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88e6ab011dd7a4/Desktop/Sophomore Year Stanford/DATASCI 120/"/>
    </mc:Choice>
  </mc:AlternateContent>
  <xr:revisionPtr revIDLastSave="35" documentId="8_{B07B2D88-A09B-41AC-A48B-FF9D7F88F06F}" xr6:coauthVersionLast="47" xr6:coauthVersionMax="47" xr10:uidLastSave="{AE550546-1090-42B5-939C-96894FF0EC4E}"/>
  <bookViews>
    <workbookView xWindow="-108" yWindow="-108" windowWidth="23256" windowHeight="12456" xr2:uid="{98C1406F-0E4A-4D30-9F51-74CFD01B503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6" i="1" l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2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4" i="1"/>
  <c r="E6955" i="1"/>
  <c r="E6956" i="1"/>
  <c r="E6957" i="1"/>
  <c r="E6958" i="1"/>
  <c r="E6959" i="1"/>
  <c r="E6964" i="1"/>
  <c r="E6965" i="1"/>
  <c r="E6968" i="1"/>
  <c r="E6969" i="1"/>
  <c r="E6970" i="1"/>
  <c r="E6971" i="1"/>
  <c r="E6972" i="1"/>
  <c r="E6973" i="1"/>
  <c r="E6976" i="1"/>
  <c r="E6977" i="1"/>
  <c r="E6982" i="1"/>
  <c r="E6983" i="1"/>
  <c r="E6984" i="1"/>
  <c r="E6985" i="1"/>
  <c r="E6986" i="1"/>
  <c r="E6987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6" i="1"/>
  <c r="E7027" i="1"/>
  <c r="E7028" i="1"/>
  <c r="E7029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7" i="1"/>
  <c r="E8049" i="1"/>
  <c r="E8050" i="1"/>
  <c r="E8051" i="1"/>
  <c r="E8052" i="1"/>
  <c r="E8053" i="1"/>
  <c r="E8054" i="1"/>
  <c r="E8055" i="1"/>
  <c r="E8056" i="1"/>
  <c r="E8057" i="1"/>
  <c r="E8058" i="1"/>
  <c r="E8059" i="1"/>
  <c r="E8062" i="1"/>
  <c r="E8077" i="1"/>
  <c r="E8091" i="1"/>
  <c r="E8092" i="1"/>
  <c r="E8093" i="1"/>
  <c r="E8094" i="1"/>
  <c r="E8095" i="1"/>
  <c r="E8096" i="1"/>
  <c r="E8097" i="1"/>
  <c r="E8098" i="1"/>
  <c r="E809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7" i="1"/>
  <c r="E8169" i="1"/>
  <c r="E8170" i="1"/>
  <c r="E8172" i="1"/>
  <c r="E8173" i="1"/>
  <c r="E8175" i="1"/>
  <c r="E8177" i="1"/>
  <c r="E8178" i="1"/>
  <c r="E8183" i="1"/>
  <c r="E8184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1" i="1"/>
  <c r="E11182" i="1"/>
  <c r="E11183" i="1"/>
  <c r="E11184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7" i="1"/>
  <c r="E11248" i="1"/>
</calcChain>
</file>

<file path=xl/sharedStrings.xml><?xml version="1.0" encoding="utf-8"?>
<sst xmlns="http://schemas.openxmlformats.org/spreadsheetml/2006/main" count="31902" uniqueCount="16853">
  <si>
    <t>percent_pos</t>
  </si>
  <si>
    <t>longitude</t>
  </si>
  <si>
    <t>latitude</t>
  </si>
  <si>
    <t>lat_long</t>
  </si>
  <si>
    <t>loc_spp</t>
  </si>
  <si>
    <t>parasite_s</t>
  </si>
  <si>
    <t>yearof_pub</t>
  </si>
  <si>
    <t>bio01</t>
  </si>
  <si>
    <t>bio02</t>
  </si>
  <si>
    <t>bio03</t>
  </si>
  <si>
    <t>bio04</t>
  </si>
  <si>
    <t>bio05</t>
  </si>
  <si>
    <t>bio06</t>
  </si>
  <si>
    <t>bio07</t>
  </si>
  <si>
    <t>bio08</t>
  </si>
  <si>
    <t>bio09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</si>
  <si>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</si>
  <si>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</si>
  <si>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</si>
  <si>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</si>
  <si>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</si>
  <si>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</si>
  <si>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</si>
  <si>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</si>
  <si>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</si>
  <si>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</si>
  <si>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hnd</t>
  </si>
  <si>
    <t>upa</t>
  </si>
  <si>
    <t>slope</t>
  </si>
  <si>
    <t>gHM</t>
  </si>
  <si>
    <t>elevation</t>
  </si>
  <si>
    <t>pH</t>
  </si>
  <si>
    <t>aspect</t>
  </si>
  <si>
    <t>clay</t>
  </si>
  <si>
    <t>sand</t>
  </si>
  <si>
    <t>31.3078--22.364</t>
  </si>
  <si>
    <t>31.3078--22.364_S. mansoni</t>
  </si>
  <si>
    <t>S. mansoni</t>
  </si>
  <si>
    <t>31.3078--22.364_S. haematobium</t>
  </si>
  <si>
    <t>S. haematobium</t>
  </si>
  <si>
    <t>30.1056--22.2749</t>
  </si>
  <si>
    <t>30.1056--22.2749_S. mansoni</t>
  </si>
  <si>
    <t>30.1056--22.2749_S. haematobium</t>
  </si>
  <si>
    <t>31.3647--22.2229</t>
  </si>
  <si>
    <t>31.3647--22.2229_S. mansoni</t>
  </si>
  <si>
    <t>31.3647--22.2229_S. haematobium</t>
  </si>
  <si>
    <t>30.8144--22.222099</t>
  </si>
  <si>
    <t>30.8144--22.222099_S. mansoni</t>
  </si>
  <si>
    <t>30.8144--22.222099_S. haematobium</t>
  </si>
  <si>
    <t>31.1882--22.177099</t>
  </si>
  <si>
    <t>31.1882--22.177099_S. mansoni</t>
  </si>
  <si>
    <t>31.1882--22.177099_S. haematobium</t>
  </si>
  <si>
    <t>30.0777--22.1611</t>
  </si>
  <si>
    <t>30.0777--22.1611_S. mansoni</t>
  </si>
  <si>
    <t>30.0777--22.1611_S. haematobium</t>
  </si>
  <si>
    <t>30.700899--22.134899</t>
  </si>
  <si>
    <t>30.700899--22.134899_S. mansoni</t>
  </si>
  <si>
    <t>30.700899--22.134899_S. haematobium</t>
  </si>
  <si>
    <t>29.701401--22.0508</t>
  </si>
  <si>
    <t>29.701401--22.0508_S. mansoni</t>
  </si>
  <si>
    <t>29.701401--22.0508_S. haematobium</t>
  </si>
  <si>
    <t>29.349501--21.921</t>
  </si>
  <si>
    <t>29.349501--21.921_S. mansoni</t>
  </si>
  <si>
    <t>29.349501--21.921_S. haematobium</t>
  </si>
  <si>
    <t>31.333099--21.7108</t>
  </si>
  <si>
    <t>31.333099--21.7108_S. mansoni</t>
  </si>
  <si>
    <t>31.333099--21.7108_S. haematobium</t>
  </si>
  <si>
    <t>29.6616--21.695999</t>
  </si>
  <si>
    <t>29.6616--21.695999_S. mansoni</t>
  </si>
  <si>
    <t>29.6616--21.695999_S. haematobium</t>
  </si>
  <si>
    <t>28.943501--21.6796</t>
  </si>
  <si>
    <t>28.943501--21.6796_S. mansoni</t>
  </si>
  <si>
    <t>28.943501--21.6796_S. haematobium</t>
  </si>
  <si>
    <t>31.589899--21.531401</t>
  </si>
  <si>
    <t>31.589899--21.531401_S. mansoni</t>
  </si>
  <si>
    <t>31.589899--21.531401_S. haematobium</t>
  </si>
  <si>
    <t>29.8794--21.5208</t>
  </si>
  <si>
    <t>29.8794--21.5208_S. mansoni</t>
  </si>
  <si>
    <t>29.8794--21.5208_S. haematobium</t>
  </si>
  <si>
    <t>28.1756--21.503799</t>
  </si>
  <si>
    <t>28.1756--21.503799_S. mansoni</t>
  </si>
  <si>
    <t>28.1756--21.503799_S. haematobium</t>
  </si>
  <si>
    <t>30.727501--21.4603</t>
  </si>
  <si>
    <t>30.727501--21.4603_S. mansoni</t>
  </si>
  <si>
    <t>30.727501--21.4603_S. haematobium</t>
  </si>
  <si>
    <t>31.956699--21.332199</t>
  </si>
  <si>
    <t>31.956699--21.332199_S. mansoni</t>
  </si>
  <si>
    <t>31.956699--21.332199_S. haematobium</t>
  </si>
  <si>
    <t>29.0951--21.326599</t>
  </si>
  <si>
    <t>29.0951--21.326599_S. mansoni</t>
  </si>
  <si>
    <t>29.0951--21.326599_S. haematobium</t>
  </si>
  <si>
    <t>29.534599--21.2812</t>
  </si>
  <si>
    <t>29.534599--21.2812_S. mansoni</t>
  </si>
  <si>
    <t>29.534599--21.2812_S. haematobium</t>
  </si>
  <si>
    <t>31.287701--21.257999</t>
  </si>
  <si>
    <t>31.287701--21.257999_S. mansoni</t>
  </si>
  <si>
    <t>31.287701--21.257999_S. haematobium</t>
  </si>
  <si>
    <t>27.962799--21.242901</t>
  </si>
  <si>
    <t>27.962799--21.242901_S. mansoni</t>
  </si>
  <si>
    <t>27.962799--21.242901_S. haematobium</t>
  </si>
  <si>
    <t>31.605--21.174999</t>
  </si>
  <si>
    <t>31.605--21.174999_S. mansoni</t>
  </si>
  <si>
    <t>31.605--21.174999_S. haematobium</t>
  </si>
  <si>
    <t>32.314899--21.136101</t>
  </si>
  <si>
    <t>32.314899--21.136101_S. mansoni</t>
  </si>
  <si>
    <t>32.314899--21.136101_S. haematobium</t>
  </si>
  <si>
    <t>30.3076--21.0984</t>
  </si>
  <si>
    <t>30.3076--21.0984_S. mansoni</t>
  </si>
  <si>
    <t>30.3076--21.0984_S. haematobium</t>
  </si>
  <si>
    <t>30.724001--21.0061</t>
  </si>
  <si>
    <t>30.724001--21.0061_S. mansoni</t>
  </si>
  <si>
    <t>30.724001--21.0061_S. haematobium</t>
  </si>
  <si>
    <t>28.870399--21.003901</t>
  </si>
  <si>
    <t>28.870399--21.003901_S. mansoni</t>
  </si>
  <si>
    <t>28.870399--21.003901_S. haematobium</t>
  </si>
  <si>
    <t>28.7008--20.9792</t>
  </si>
  <si>
    <t>28.7008--20.9792_S. mansoni</t>
  </si>
  <si>
    <t>28.7008--20.9792_S. haematobium</t>
  </si>
  <si>
    <t>27.935699--20.872601</t>
  </si>
  <si>
    <t>27.935699--20.872601_S. mansoni</t>
  </si>
  <si>
    <t>27.935699--20.872601_S. haematobium</t>
  </si>
  <si>
    <t>30.205099--20.8235</t>
  </si>
  <si>
    <t>30.205099--20.8235_S. mansoni</t>
  </si>
  <si>
    <t>30.205099--20.8235_S. haematobium</t>
  </si>
  <si>
    <t>28.167801--20.804501</t>
  </si>
  <si>
    <t>28.167801--20.804501_S. mansoni</t>
  </si>
  <si>
    <t>28.167801--20.804501_S. haematobium</t>
  </si>
  <si>
    <t>32.401402--20.7104</t>
  </si>
  <si>
    <t>32.401402--20.7104_S. mansoni</t>
  </si>
  <si>
    <t>32.401402--20.7104_S. haematobium</t>
  </si>
  <si>
    <t>32.081299--20.6714</t>
  </si>
  <si>
    <t>32.081299--20.6714_S. mansoni</t>
  </si>
  <si>
    <t>32.081299--20.6714_S. haematobium</t>
  </si>
  <si>
    <t>27.818899--20.660601</t>
  </si>
  <si>
    <t>27.818899--20.660601_S. mansoni</t>
  </si>
  <si>
    <t>27.818899--20.660601_S. haematobium</t>
  </si>
  <si>
    <t>29.7321--20.6061</t>
  </si>
  <si>
    <t>29.7321--20.6061_S. mansoni</t>
  </si>
  <si>
    <t>29.7321--20.6061_S. haematobium</t>
  </si>
  <si>
    <t>29.3071--20.591999</t>
  </si>
  <si>
    <t>29.3071--20.591999_S. mansoni</t>
  </si>
  <si>
    <t>29.3071--20.591999_S. haematobium</t>
  </si>
  <si>
    <t>31.356899--20.5793</t>
  </si>
  <si>
    <t>31.356899--20.5793_S. mansoni</t>
  </si>
  <si>
    <t>31.356899--20.5793_S. haematobium</t>
  </si>
  <si>
    <t>29.105301--20.577999</t>
  </si>
  <si>
    <t>29.105301--20.577999_S. mansoni</t>
  </si>
  <si>
    <t>29.105301--20.577999_S. haematobium</t>
  </si>
  <si>
    <t>30.518299--20.503799</t>
  </si>
  <si>
    <t>30.518299--20.503799_S. mansoni</t>
  </si>
  <si>
    <t>30.518299--20.503799_S. haematobium</t>
  </si>
  <si>
    <t>27.5252--20.4921</t>
  </si>
  <si>
    <t>27.5252--20.4921_S. mansoni</t>
  </si>
  <si>
    <t>27.5252--20.4921_S. haematobium</t>
  </si>
  <si>
    <t>28.325899--20.472</t>
  </si>
  <si>
    <t>28.325899--20.472_S. mansoni</t>
  </si>
  <si>
    <t>28.325899--20.472_S. haematobium</t>
  </si>
  <si>
    <t>29.6947--20.432199</t>
  </si>
  <si>
    <t>29.6947--20.432199_S. mansoni</t>
  </si>
  <si>
    <t>29.6947--20.432199_S. haematobium</t>
  </si>
  <si>
    <t>27.6742--20.3916</t>
  </si>
  <si>
    <t>27.6742--20.3916_S. mansoni</t>
  </si>
  <si>
    <t>27.6742--20.3916_S. haematobium</t>
  </si>
  <si>
    <t>31.2756--20.339199</t>
  </si>
  <si>
    <t>31.2756--20.339199_S. mansoni</t>
  </si>
  <si>
    <t>31.2756--20.339199_S. haematobium</t>
  </si>
  <si>
    <t>30.8043--20.3386</t>
  </si>
  <si>
    <t>30.8043--20.3386_S. mansoni</t>
  </si>
  <si>
    <t>30.8043--20.3386_S. haematobium</t>
  </si>
  <si>
    <t>27.9554--20.309799</t>
  </si>
  <si>
    <t>27.9554--20.309799_S. mansoni</t>
  </si>
  <si>
    <t>27.9554--20.309799_S. haematobium</t>
  </si>
  <si>
    <t>30.510799--20.249201</t>
  </si>
  <si>
    <t>30.510799--20.249201_S. mansoni</t>
  </si>
  <si>
    <t>30.510799--20.249201_S. haematobium</t>
  </si>
  <si>
    <t>28.537901--20.226101</t>
  </si>
  <si>
    <t>28.537901--20.226101_S. mansoni</t>
  </si>
  <si>
    <t>28.537901--20.226101_S. haematobium</t>
  </si>
  <si>
    <t>29.226801--20.208799</t>
  </si>
  <si>
    <t>29.226801--20.208799_S. mansoni</t>
  </si>
  <si>
    <t>29.226801--20.208799_S. haematobium</t>
  </si>
  <si>
    <t>31.2892--20.1744</t>
  </si>
  <si>
    <t>31.2892--20.1744_S. mansoni</t>
  </si>
  <si>
    <t>31.2892--20.1744_S. haematobium</t>
  </si>
  <si>
    <t>30.0751--20.1737</t>
  </si>
  <si>
    <t>30.0751--20.1737_S. mansoni</t>
  </si>
  <si>
    <t>30.0751--20.1737_S. haematobium</t>
  </si>
  <si>
    <t>30.525--20.1593</t>
  </si>
  <si>
    <t>30.525--20.1593_S. mansoni</t>
  </si>
  <si>
    <t>30.525--20.1593_S. haematobium</t>
  </si>
  <si>
    <t>31.902201--20.145</t>
  </si>
  <si>
    <t>31.902201--20.145_S. mansoni</t>
  </si>
  <si>
    <t>31.902201--20.145_S. haematobium</t>
  </si>
  <si>
    <t>28.1605--20.0998</t>
  </si>
  <si>
    <t>28.1605--20.0998_S. mansoni</t>
  </si>
  <si>
    <t>28.1605--20.0998_S. haematobium</t>
  </si>
  <si>
    <t>32.5186--20.017799</t>
  </si>
  <si>
    <t>32.5186--20.017799_S. mansoni</t>
  </si>
  <si>
    <t>32.5186--20.017799_S. haematobium</t>
  </si>
  <si>
    <t>31.389999--19.9659</t>
  </si>
  <si>
    <t>31.389999--19.9659_S. mansoni</t>
  </si>
  <si>
    <t>31.389999--19.9659_S. haematobium</t>
  </si>
  <si>
    <t>30.722099--19.9153</t>
  </si>
  <si>
    <t>30.722099--19.9153_S. mansoni</t>
  </si>
  <si>
    <t>30.722099--19.9153_S. haematobium</t>
  </si>
  <si>
    <t>29.237--19.907499</t>
  </si>
  <si>
    <t>29.237--19.907499_S. mansoni</t>
  </si>
  <si>
    <t>29.237--19.907499_S. haematobium</t>
  </si>
  <si>
    <t>30.854--19.8841</t>
  </si>
  <si>
    <t>30.854--19.8841_S. mansoni</t>
  </si>
  <si>
    <t>30.854--19.8841_S. haematobium</t>
  </si>
  <si>
    <t>28.7871--19.861799</t>
  </si>
  <si>
    <t>28.7871--19.861799_S. mansoni</t>
  </si>
  <si>
    <t>28.7871--19.861799_S. haematobium</t>
  </si>
  <si>
    <t>28.323099--19.8342</t>
  </si>
  <si>
    <t>28.323099--19.8342_S. mansoni</t>
  </si>
  <si>
    <t>28.323099--19.8342_S. haematobium</t>
  </si>
  <si>
    <t>29.912001--19.817699</t>
  </si>
  <si>
    <t>29.912001--19.817699_S. mansoni</t>
  </si>
  <si>
    <t>29.912001--19.817699_S. haematobium</t>
  </si>
  <si>
    <t>31.146--19.764299</t>
  </si>
  <si>
    <t>31.146--19.764299_S. mansoni</t>
  </si>
  <si>
    <t>31.146--19.764299_S. haematobium</t>
  </si>
  <si>
    <t>30.3957--19.756901</t>
  </si>
  <si>
    <t>30.3957--19.756901_S. mansoni</t>
  </si>
  <si>
    <t>30.3957--19.756901_S. haematobium</t>
  </si>
  <si>
    <t>29.3843--19.6728</t>
  </si>
  <si>
    <t>29.3843--19.6728_S. mansoni</t>
  </si>
  <si>
    <t>29.3843--19.6728_S. haematobium</t>
  </si>
  <si>
    <t>31.6537--19.639099</t>
  </si>
  <si>
    <t>31.6537--19.639099_S. mansoni</t>
  </si>
  <si>
    <t>31.6537--19.639099_S. haematobium</t>
  </si>
  <si>
    <t>32.635201--19.6066</t>
  </si>
  <si>
    <t>32.635201--19.6066_S. mansoni</t>
  </si>
  <si>
    <t>32.635201--19.6066_S. haematobium</t>
  </si>
  <si>
    <t>29.841999--19.5653</t>
  </si>
  <si>
    <t>29.841999--19.5653_S. mansoni</t>
  </si>
  <si>
    <t>29.841999--19.5653_S. haematobium</t>
  </si>
  <si>
    <t>29.543699--19.516899</t>
  </si>
  <si>
    <t>29.543699--19.516899_S. mansoni</t>
  </si>
  <si>
    <t>29.543699--19.516899_S. haematobium</t>
  </si>
  <si>
    <t>31.744699--19.4533</t>
  </si>
  <si>
    <t>31.744699--19.4533_S. mansoni</t>
  </si>
  <si>
    <t>31.744699--19.4533_S. haematobium</t>
  </si>
  <si>
    <t>32.431301--19.423201</t>
  </si>
  <si>
    <t>32.431301--19.423201_S. mansoni</t>
  </si>
  <si>
    <t>32.431301--19.423201_S. haematobium</t>
  </si>
  <si>
    <t>31.320601--19.408701</t>
  </si>
  <si>
    <t>31.320601--19.408701_S. mansoni</t>
  </si>
  <si>
    <t>31.320601--19.408701_S. haematobium</t>
  </si>
  <si>
    <t>28.441--19.394899</t>
  </si>
  <si>
    <t>28.441--19.394899_S. mansoni</t>
  </si>
  <si>
    <t>28.441--19.394899_S. haematobium</t>
  </si>
  <si>
    <t>29.9293--19.238899</t>
  </si>
  <si>
    <t>29.9293--19.238899_S. mansoni</t>
  </si>
  <si>
    <t>29.9293--19.238899_S. haematobium</t>
  </si>
  <si>
    <t>32.728001--19.181601</t>
  </si>
  <si>
    <t>32.728001--19.181601_S. mansoni</t>
  </si>
  <si>
    <t>32.728001--19.181601_S. haematobium</t>
  </si>
  <si>
    <t>30.7253--19.167101</t>
  </si>
  <si>
    <t>30.7253--19.167101_S. mansoni</t>
  </si>
  <si>
    <t>30.7253--19.167101_S. haematobium</t>
  </si>
  <si>
    <t>29.119699--19.0592</t>
  </si>
  <si>
    <t>29.119699--19.0592_S. mansoni</t>
  </si>
  <si>
    <t>29.119699--19.0592_S. haematobium</t>
  </si>
  <si>
    <t>32.601299--18.9419</t>
  </si>
  <si>
    <t>32.601299--18.9419_S. mansoni</t>
  </si>
  <si>
    <t>32.601299--18.9419_S. haematobium</t>
  </si>
  <si>
    <t>31.431999--18.924601</t>
  </si>
  <si>
    <t>31.431999--18.924601_S. mansoni</t>
  </si>
  <si>
    <t>31.431999--18.924601_S. haematobium</t>
  </si>
  <si>
    <t>29.3389--18.865999</t>
  </si>
  <si>
    <t>29.3389--18.865999_S. mansoni</t>
  </si>
  <si>
    <t>29.3389--18.865999_S. haematobium</t>
  </si>
  <si>
    <t>32.4804--18.8353</t>
  </si>
  <si>
    <t>32.4804--18.8353_S. mansoni</t>
  </si>
  <si>
    <t>32.4804--18.8353_S. haematobium</t>
  </si>
  <si>
    <t>30.6012--18.802401</t>
  </si>
  <si>
    <t>30.6012--18.802401_S. mansoni</t>
  </si>
  <si>
    <t>30.6012--18.802401_S. haematobium</t>
  </si>
  <si>
    <t>31.1194--18.725599</t>
  </si>
  <si>
    <t>31.1194--18.725599_S. mansoni</t>
  </si>
  <si>
    <t>31.1194--18.725599_S. haematobium</t>
  </si>
  <si>
    <t>32.0588--18.6586</t>
  </si>
  <si>
    <t>32.0588--18.6586_S. mansoni</t>
  </si>
  <si>
    <t>32.0588--18.6586_S. haematobium</t>
  </si>
  <si>
    <t>32.720001--18.657301</t>
  </si>
  <si>
    <t>32.720001--18.657301_S. mansoni</t>
  </si>
  <si>
    <t>32.720001--18.657301_S. haematobium</t>
  </si>
  <si>
    <t>26.716499--18.6504</t>
  </si>
  <si>
    <t>26.716499--18.6504_S. mansoni</t>
  </si>
  <si>
    <t>26.716499--18.6504_S. haematobium</t>
  </si>
  <si>
    <t>31.5012--18.588499</t>
  </si>
  <si>
    <t>31.5012--18.588499_S. mansoni</t>
  </si>
  <si>
    <t>31.5012--18.588499_S. haematobium</t>
  </si>
  <si>
    <t>29.7286--18.568001</t>
  </si>
  <si>
    <t>29.7286--18.568001_S. mansoni</t>
  </si>
  <si>
    <t>29.7286--18.568001_S. haematobium</t>
  </si>
  <si>
    <t>32.580898--18.5173</t>
  </si>
  <si>
    <t>32.580898--18.5173_S. mansoni</t>
  </si>
  <si>
    <t>32.580898--18.5173_S. haematobium</t>
  </si>
  <si>
    <t>31.8258--18.475599</t>
  </si>
  <si>
    <t>31.8258--18.475599_S. mansoni</t>
  </si>
  <si>
    <t>31.8258--18.475599_S. haematobium</t>
  </si>
  <si>
    <t>30.670799--18.447701</t>
  </si>
  <si>
    <t>30.670799--18.447701_S. mansoni</t>
  </si>
  <si>
    <t>30.670799--18.447701_S. haematobium</t>
  </si>
  <si>
    <t>32.175999--18.4466</t>
  </si>
  <si>
    <t>32.175999--18.4466_S. mansoni</t>
  </si>
  <si>
    <t>32.175999--18.4466_S. haematobium</t>
  </si>
  <si>
    <t>27.472--18.3069</t>
  </si>
  <si>
    <t>27.472--18.3069_S. mansoni</t>
  </si>
  <si>
    <t>27.472--18.3069_S. haematobium</t>
  </si>
  <si>
    <t>25.9932--18.3041</t>
  </si>
  <si>
    <t>25.9932--18.3041_S. mansoni</t>
  </si>
  <si>
    <t>25.9932--18.3041_S. haematobium</t>
  </si>
  <si>
    <t>26.1563--18.292</t>
  </si>
  <si>
    <t>26.1563--18.292_S. mansoni</t>
  </si>
  <si>
    <t>26.1563--18.292_S. haematobium</t>
  </si>
  <si>
    <t>30.2432--18.2889</t>
  </si>
  <si>
    <t>30.2432--18.2889_S. mansoni</t>
  </si>
  <si>
    <t>30.2432--18.2889_S. haematobium</t>
  </si>
  <si>
    <t>26.6248--18.2738</t>
  </si>
  <si>
    <t>26.6248--18.2738_S. mansoni</t>
  </si>
  <si>
    <t>26.6248--18.2738_S. haematobium</t>
  </si>
  <si>
    <t>28.7981--18.2686</t>
  </si>
  <si>
    <t>28.7981--18.2686_S. mansoni</t>
  </si>
  <si>
    <t>28.7981--18.2686_S. haematobium</t>
  </si>
  <si>
    <t>29.6616--18.266199</t>
  </si>
  <si>
    <t>29.6616--18.266199_S. mansoni</t>
  </si>
  <si>
    <t>29.6616--18.266199_S. haematobium</t>
  </si>
  <si>
    <t>28.4676--18.251301</t>
  </si>
  <si>
    <t>28.4676--18.251301_S. mansoni</t>
  </si>
  <si>
    <t>28.4676--18.251301_S. haematobium</t>
  </si>
  <si>
    <t>31.684601--18.242599</t>
  </si>
  <si>
    <t>31.684601--18.242599_S. mansoni</t>
  </si>
  <si>
    <t>31.684601--18.242599_S. haematobium</t>
  </si>
  <si>
    <t>25.9261--18.2048</t>
  </si>
  <si>
    <t>25.9261--18.2048_S. mansoni</t>
  </si>
  <si>
    <t>25.9261--18.2048_S. haematobium</t>
  </si>
  <si>
    <t>31.988501--18.200899</t>
  </si>
  <si>
    <t>31.988501--18.200899_S. mansoni</t>
  </si>
  <si>
    <t>31.988501--18.200899_S. haematobium</t>
  </si>
  <si>
    <t>30.1168--18.176201</t>
  </si>
  <si>
    <t>30.1168--18.176201_S. mansoni</t>
  </si>
  <si>
    <t>30.1168--18.176201_S. haematobium</t>
  </si>
  <si>
    <t>31.348499--18.1728</t>
  </si>
  <si>
    <t>31.348499--18.1728_S. mansoni</t>
  </si>
  <si>
    <t>31.348499--18.1728_S. haematobium</t>
  </si>
  <si>
    <t>31.6059--18.159401</t>
  </si>
  <si>
    <t>31.6059--18.159401_S. mansoni</t>
  </si>
  <si>
    <t>31.6059--18.159401_S. haematobium</t>
  </si>
  <si>
    <t>32.3549--18.0979</t>
  </si>
  <si>
    <t>32.3549--18.0979_S. mansoni</t>
  </si>
  <si>
    <t>32.3549--18.0979_S. haematobium</t>
  </si>
  <si>
    <t>28.7215--18.096001</t>
  </si>
  <si>
    <t>28.7215--18.096001_S. mansoni</t>
  </si>
  <si>
    <t>28.7215--18.096001_S. haematobium</t>
  </si>
  <si>
    <t>32.9925--18.065901</t>
  </si>
  <si>
    <t>32.9925--18.065901_S. mansoni</t>
  </si>
  <si>
    <t>32.9925--18.065901_S. haematobium</t>
  </si>
  <si>
    <t>29.4163--18.0385</t>
  </si>
  <si>
    <t>29.4163--18.0385_S. mansoni</t>
  </si>
  <si>
    <t>29.4163--18.0385_S. haematobium</t>
  </si>
  <si>
    <t>32.054199--18.013399</t>
  </si>
  <si>
    <t>32.054199--18.013399_S. mansoni</t>
  </si>
  <si>
    <t>32.054199--18.013399_S. haematobium</t>
  </si>
  <si>
    <t>30.6838--17.961901</t>
  </si>
  <si>
    <t>30.6838--17.961901_S. mansoni</t>
  </si>
  <si>
    <t>30.6838--17.961901_S. haematobium</t>
  </si>
  <si>
    <t>31.723499--17.9491</t>
  </si>
  <si>
    <t>31.723499--17.9491_S. mansoni</t>
  </si>
  <si>
    <t>31.723499--17.9491_S. haematobium</t>
  </si>
  <si>
    <t>30.2393--17.934</t>
  </si>
  <si>
    <t>30.2393--17.934_S. mansoni</t>
  </si>
  <si>
    <t>30.2393--17.934_S. haematobium</t>
  </si>
  <si>
    <t>31.472799--17.9247</t>
  </si>
  <si>
    <t>31.472799--17.9247_S. mansoni</t>
  </si>
  <si>
    <t>31.472799--17.9247_S. haematobium</t>
  </si>
  <si>
    <t>30.823099--17.8909</t>
  </si>
  <si>
    <t>30.823099--17.8909_S. mansoni</t>
  </si>
  <si>
    <t>30.823099--17.8909_S. haematobium</t>
  </si>
  <si>
    <t>27.3909--17.851601</t>
  </si>
  <si>
    <t>27.3909--17.851601_S. mansoni</t>
  </si>
  <si>
    <t>27.3909--17.851601_S. haematobium</t>
  </si>
  <si>
    <t>31.273199--17.8137</t>
  </si>
  <si>
    <t>31.273199--17.8137_S. mansoni</t>
  </si>
  <si>
    <t>31.273199--17.8137_S. haematobium</t>
  </si>
  <si>
    <t>31.4867--17.774799</t>
  </si>
  <si>
    <t>31.4867--17.774799_S. mansoni</t>
  </si>
  <si>
    <t>31.4867--17.774799_S. haematobium</t>
  </si>
  <si>
    <t>32.929401--17.7724</t>
  </si>
  <si>
    <t>32.929401--17.7724_S. mansoni</t>
  </si>
  <si>
    <t>32.929401--17.7724_S. haematobium</t>
  </si>
  <si>
    <t>29.2374--17.764601</t>
  </si>
  <si>
    <t>29.2374--17.764601_S. mansoni</t>
  </si>
  <si>
    <t>29.2374--17.764601_S. haematobium</t>
  </si>
  <si>
    <t>32.303001--17.726101</t>
  </si>
  <si>
    <t>32.303001--17.726101_S. mansoni</t>
  </si>
  <si>
    <t>32.303001--17.726101_S. haematobium</t>
  </si>
  <si>
    <t>28.6651--17.6448</t>
  </si>
  <si>
    <t>28.6651--17.6448_S. mansoni</t>
  </si>
  <si>
    <t>28.6651--17.6448_S. haematobium</t>
  </si>
  <si>
    <t>31.105801--17.643101</t>
  </si>
  <si>
    <t>31.105801--17.643101_S. mansoni</t>
  </si>
  <si>
    <t>31.105801--17.643101_S. haematobium</t>
  </si>
  <si>
    <t>28.003901--17.636999</t>
  </si>
  <si>
    <t>28.003901--17.636999_S. mansoni</t>
  </si>
  <si>
    <t>28.003901--17.636999_S. haematobium</t>
  </si>
  <si>
    <t>31.8881--17.575399</t>
  </si>
  <si>
    <t>31.8881--17.575399_S. mansoni</t>
  </si>
  <si>
    <t>31.8881--17.575399_S. haematobium</t>
  </si>
  <si>
    <t>31.398899--17.5741</t>
  </si>
  <si>
    <t>31.398899--17.5741_S. mansoni</t>
  </si>
  <si>
    <t>31.398899--17.5741_S. haematobium</t>
  </si>
  <si>
    <t>28.263201--17.5483</t>
  </si>
  <si>
    <t>28.263201--17.5483_S. mansoni</t>
  </si>
  <si>
    <t>28.263201--17.5483_S. haematobium</t>
  </si>
  <si>
    <t>29.943399--17.541401</t>
  </si>
  <si>
    <t>29.943399--17.541401_S. mansoni</t>
  </si>
  <si>
    <t>29.943399--17.541401_S. haematobium</t>
  </si>
  <si>
    <t>30.1984--17.528601</t>
  </si>
  <si>
    <t>30.1984--17.528601_S. mansoni</t>
  </si>
  <si>
    <t>30.1984--17.528601_S. haematobium</t>
  </si>
  <si>
    <t>30.4939--17.5142</t>
  </si>
  <si>
    <t>30.4939--17.5142_S. mansoni</t>
  </si>
  <si>
    <t>30.4939--17.5142_S. haematobium</t>
  </si>
  <si>
    <t>31.0149--17.3918</t>
  </si>
  <si>
    <t>31.0149--17.3918_S. mansoni</t>
  </si>
  <si>
    <t>31.0149--17.3918_S. haematobium</t>
  </si>
  <si>
    <t>31.625299--17.3715</t>
  </si>
  <si>
    <t>31.625299--17.3715_S. mansoni</t>
  </si>
  <si>
    <t>31.625299--17.3715_S. haematobium</t>
  </si>
  <si>
    <t>29.663099--17.3225</t>
  </si>
  <si>
    <t>29.663099--17.3225_S. mansoni</t>
  </si>
  <si>
    <t>29.663099--17.3225_S. haematobium</t>
  </si>
  <si>
    <t>30.617201--17.317499</t>
  </si>
  <si>
    <t>30.617201--17.317499_S. mansoni</t>
  </si>
  <si>
    <t>30.617201--17.317499_S. haematobium</t>
  </si>
  <si>
    <t>32.693001--17.306299</t>
  </si>
  <si>
    <t>32.693001--17.306299_S. mansoni</t>
  </si>
  <si>
    <t>32.693001--17.306299_S. haematobium</t>
  </si>
  <si>
    <t>31.6742--17.295</t>
  </si>
  <si>
    <t>31.6742--17.295_S. mansoni</t>
  </si>
  <si>
    <t>31.6742--17.295_S. haematobium</t>
  </si>
  <si>
    <t>31.264999--17.2708</t>
  </si>
  <si>
    <t>31.264999--17.2708_S. mansoni</t>
  </si>
  <si>
    <t>31.264999--17.2708_S. haematobium</t>
  </si>
  <si>
    <t>28.351999--17.2502</t>
  </si>
  <si>
    <t>28.351999--17.2502_S. mansoni</t>
  </si>
  <si>
    <t>28.351999--17.2502_S. haematobium</t>
  </si>
  <si>
    <t>28.7724--17.239</t>
  </si>
  <si>
    <t>28.7724--17.239_S. mansoni</t>
  </si>
  <si>
    <t>28.7724--17.239_S. haematobium</t>
  </si>
  <si>
    <t>31.091299--17.233801</t>
  </si>
  <si>
    <t>31.091299--17.233801_S. mansoni</t>
  </si>
  <si>
    <t>31.091299--17.233801_S. haematobium</t>
  </si>
  <si>
    <t>32.9748--17.2318</t>
  </si>
  <si>
    <t>32.9748--17.2318_S. mansoni</t>
  </si>
  <si>
    <t>32.9748--17.2318_S. haematobium</t>
  </si>
  <si>
    <t>31.501801--17.2085</t>
  </si>
  <si>
    <t>31.501801--17.2085_S. mansoni</t>
  </si>
  <si>
    <t>31.501801--17.2085_S. haematobium</t>
  </si>
  <si>
    <t>32.2411--17.2055</t>
  </si>
  <si>
    <t>32.2411--17.2055_S. mansoni</t>
  </si>
  <si>
    <t>32.2411--17.2055_S. haematobium</t>
  </si>
  <si>
    <t>31.2174--17.165501</t>
  </si>
  <si>
    <t>31.2174--17.165501_S. mansoni</t>
  </si>
  <si>
    <t>31.2174--17.165501_S. haematobium</t>
  </si>
  <si>
    <t>30.311501--17.1497</t>
  </si>
  <si>
    <t>30.311501--17.1497_S. mansoni</t>
  </si>
  <si>
    <t>30.311501--17.1497_S. haematobium</t>
  </si>
  <si>
    <t>30.9196--17.133301</t>
  </si>
  <si>
    <t>30.9196--17.133301_S. mansoni</t>
  </si>
  <si>
    <t>30.9196--17.133301_S. haematobium</t>
  </si>
  <si>
    <t>31.300501--17.085501</t>
  </si>
  <si>
    <t>31.300501--17.085501_S. mansoni</t>
  </si>
  <si>
    <t>31.300501--17.085501_S. haematobium</t>
  </si>
  <si>
    <t>28.3314--17.066099</t>
  </si>
  <si>
    <t>28.3314--17.066099_S. mansoni</t>
  </si>
  <si>
    <t>28.3314--17.066099_S. haematobium</t>
  </si>
  <si>
    <t>31.118299--17.061899</t>
  </si>
  <si>
    <t>31.118299--17.061899_S. mansoni</t>
  </si>
  <si>
    <t>31.118299--17.061899_S. haematobium</t>
  </si>
  <si>
    <t>31.2868--16.986</t>
  </si>
  <si>
    <t>31.2868--16.986_S. mansoni</t>
  </si>
  <si>
    <t>31.2868--16.986_S. haematobium</t>
  </si>
  <si>
    <t>32.767399--16.9834</t>
  </si>
  <si>
    <t>32.767399--16.9834_S. mansoni</t>
  </si>
  <si>
    <t>32.767399--16.9834_S. haematobium</t>
  </si>
  <si>
    <t>31.6772--16.9697</t>
  </si>
  <si>
    <t>31.6772--16.9697_S. mansoni</t>
  </si>
  <si>
    <t>31.6772--16.9697_S. haematobium</t>
  </si>
  <si>
    <t>30.5319--16.959</t>
  </si>
  <si>
    <t>30.5319--16.959_S. mansoni</t>
  </si>
  <si>
    <t>30.5319--16.959_S. haematobium</t>
  </si>
  <si>
    <t>29.908199--16.900299</t>
  </si>
  <si>
    <t>29.908199--16.900299_S. mansoni</t>
  </si>
  <si>
    <t>29.908199--16.900299_S. haematobium</t>
  </si>
  <si>
    <t>29.3887--16.8969</t>
  </si>
  <si>
    <t>29.3887--16.8969_S. mansoni</t>
  </si>
  <si>
    <t>29.3887--16.8969_S. haematobium</t>
  </si>
  <si>
    <t>31.258101--16.8339</t>
  </si>
  <si>
    <t>31.258101--16.8339_S. mansoni</t>
  </si>
  <si>
    <t>31.258101--16.8339_S. haematobium</t>
  </si>
  <si>
    <t>32.420898--16.8162</t>
  </si>
  <si>
    <t>32.420898--16.8162_S. mansoni</t>
  </si>
  <si>
    <t>32.420898--16.8162_S. haematobium</t>
  </si>
  <si>
    <t>30.799101--16.806</t>
  </si>
  <si>
    <t>30.799101--16.806_S. mansoni</t>
  </si>
  <si>
    <t>30.799101--16.806_S. haematobium</t>
  </si>
  <si>
    <t>30.3311--16.7234</t>
  </si>
  <si>
    <t>30.3311--16.7234_S. mansoni</t>
  </si>
  <si>
    <t>30.3311--16.7234_S. haematobium</t>
  </si>
  <si>
    <t>31.251499--16.6856</t>
  </si>
  <si>
    <t>31.251499--16.6856_S. mansoni</t>
  </si>
  <si>
    <t>31.251499--16.6856_S. haematobium</t>
  </si>
  <si>
    <t>29.444799--16.642799</t>
  </si>
  <si>
    <t>29.444799--16.642799_S. mansoni</t>
  </si>
  <si>
    <t>29.444799--16.642799_S. haematobium</t>
  </si>
  <si>
    <t>31.8948--16.6092</t>
  </si>
  <si>
    <t>31.8948--16.6092_S. mansoni</t>
  </si>
  <si>
    <t>31.8948--16.6092_S. haematobium</t>
  </si>
  <si>
    <t>29.835899--16.575199</t>
  </si>
  <si>
    <t>29.835899--16.575199_S. mansoni</t>
  </si>
  <si>
    <t>29.835899--16.575199_S. haematobium</t>
  </si>
  <si>
    <t>30.8293--16.4438</t>
  </si>
  <si>
    <t>30.8293--16.4438_S. mansoni</t>
  </si>
  <si>
    <t>30.8293--16.4438_S. haematobium</t>
  </si>
  <si>
    <t>31.1558--16.358299</t>
  </si>
  <si>
    <t>31.1558--16.358299_S. mansoni</t>
  </si>
  <si>
    <t>31.1558--16.358299_S. haematobium</t>
  </si>
  <si>
    <t>30.372601--16.205601</t>
  </si>
  <si>
    <t>30.372601--16.205601_S. mansoni</t>
  </si>
  <si>
    <t>30.372601--16.205601_S. haematobium</t>
  </si>
  <si>
    <t>28.8477--16.520201</t>
  </si>
  <si>
    <t>28.8477--16.520201_S. haematobium</t>
  </si>
  <si>
    <t>28.8477--16.520201_S. mansoni</t>
  </si>
  <si>
    <t>28.0846--20.481501</t>
  </si>
  <si>
    <t>28.0846--20.481501_S. haematobium</t>
  </si>
  <si>
    <t>31.262775--18.587164</t>
  </si>
  <si>
    <t>31.262775--18.587164_S. haematobium</t>
  </si>
  <si>
    <t>31.079369--16.764433</t>
  </si>
  <si>
    <t>31.079369--16.764433_S. haematobium</t>
  </si>
  <si>
    <t>29.973675--17.287356</t>
  </si>
  <si>
    <t>29.973675--17.287356_S. haematobium</t>
  </si>
  <si>
    <t>29.973676--17.287357</t>
  </si>
  <si>
    <t>29.973676--17.287357_S. haematobium</t>
  </si>
  <si>
    <t>29.973677--17.287358</t>
  </si>
  <si>
    <t>29.973677--17.287358_S. haematobium</t>
  </si>
  <si>
    <t>29.973678--17.287359</t>
  </si>
  <si>
    <t>29.973678--17.287359_S. haematobium</t>
  </si>
  <si>
    <t>29.973679--17.28736</t>
  </si>
  <si>
    <t>29.973679--17.28736_S. haematobium</t>
  </si>
  <si>
    <t>29.97368--17.287361</t>
  </si>
  <si>
    <t>29.97368--17.287361_S. haematobium</t>
  </si>
  <si>
    <t>29.973681--17.287362</t>
  </si>
  <si>
    <t>29.973681--17.287362_S. haematobium</t>
  </si>
  <si>
    <t>29.973682--17.287363</t>
  </si>
  <si>
    <t>29.973682--17.287363_S. haematobium</t>
  </si>
  <si>
    <t>29.973683--17.287364</t>
  </si>
  <si>
    <t>29.973683--17.287364_S. haematobium</t>
  </si>
  <si>
    <t>29.973684--17.287365</t>
  </si>
  <si>
    <t>29.973684--17.287365_S. haematobium</t>
  </si>
  <si>
    <t>29.973685--17.287366</t>
  </si>
  <si>
    <t>29.973685--17.287366_S. haematobium</t>
  </si>
  <si>
    <t>29.973686--17.287367</t>
  </si>
  <si>
    <t>29.973686--17.287367_S. haematobium</t>
  </si>
  <si>
    <t>29.973687--17.287368</t>
  </si>
  <si>
    <t>29.973687--17.287368_S. haematobium</t>
  </si>
  <si>
    <t>29.973688--17.287369</t>
  </si>
  <si>
    <t>29.973688--17.287369_S. haematobium</t>
  </si>
  <si>
    <t>29.973689--17.28737</t>
  </si>
  <si>
    <t>29.973689--17.28737_S. haematobium</t>
  </si>
  <si>
    <t>29.97369--17.287371</t>
  </si>
  <si>
    <t>29.97369--17.287371_S. haematobium</t>
  </si>
  <si>
    <t>29.973691--17.287372</t>
  </si>
  <si>
    <t>29.973691--17.287372_S. haematobium</t>
  </si>
  <si>
    <t>29.973692--17.287373</t>
  </si>
  <si>
    <t>29.973692--17.287373_S. haematobium</t>
  </si>
  <si>
    <t>29.973693--17.287374</t>
  </si>
  <si>
    <t>29.973693--17.287374_S. haematobium</t>
  </si>
  <si>
    <t>29.973694--17.287375</t>
  </si>
  <si>
    <t>29.973694--17.287375_S. haematobium</t>
  </si>
  <si>
    <t>29.973695--17.287376</t>
  </si>
  <si>
    <t>29.973695--17.287376_S. haematobium</t>
  </si>
  <si>
    <t>29.973696--17.287377</t>
  </si>
  <si>
    <t>29.973696--17.287377_S. haematobium</t>
  </si>
  <si>
    <t>29.973697--17.287378</t>
  </si>
  <si>
    <t>29.973697--17.287378_S. haematobium</t>
  </si>
  <si>
    <t>29.973698--17.287379</t>
  </si>
  <si>
    <t>29.973698--17.287379_S. haematobium</t>
  </si>
  <si>
    <t>29.973699--17.28738</t>
  </si>
  <si>
    <t>29.973699--17.28738_S. haematobium</t>
  </si>
  <si>
    <t>29.9737--17.287381</t>
  </si>
  <si>
    <t>29.9737--17.287381_S. haematobium</t>
  </si>
  <si>
    <t>29.973701--17.287382</t>
  </si>
  <si>
    <t>29.973701--17.287382_S. haematobium</t>
  </si>
  <si>
    <t>29.973702--17.287383</t>
  </si>
  <si>
    <t>29.973702--17.287383_S. haematobium</t>
  </si>
  <si>
    <t>29.973703--17.287384</t>
  </si>
  <si>
    <t>29.973703--17.287384_S. haematobium</t>
  </si>
  <si>
    <t>29.973704--17.287385</t>
  </si>
  <si>
    <t>29.973704--17.287385_S. haematobium</t>
  </si>
  <si>
    <t>29.973705--17.287386</t>
  </si>
  <si>
    <t>29.973705--17.287386_S. haematobium</t>
  </si>
  <si>
    <t>29.973706--17.287387</t>
  </si>
  <si>
    <t>29.973706--17.287387_S. haematobium</t>
  </si>
  <si>
    <t>29.973707--17.287388</t>
  </si>
  <si>
    <t>29.973707--17.287388_S. haematobium</t>
  </si>
  <si>
    <t>29.973708--17.287389</t>
  </si>
  <si>
    <t>29.973708--17.287389_S. haematobium</t>
  </si>
  <si>
    <t>29.973709--17.28739</t>
  </si>
  <si>
    <t>29.973709--17.28739_S. haematobium</t>
  </si>
  <si>
    <t>29.97371--17.287391</t>
  </si>
  <si>
    <t>29.97371--17.287391_S. haematobium</t>
  </si>
  <si>
    <t>29.973711--17.287392</t>
  </si>
  <si>
    <t>29.973711--17.287392_S. haematobium</t>
  </si>
  <si>
    <t>29.973712--17.287393</t>
  </si>
  <si>
    <t>29.973712--17.287393_S. haematobium</t>
  </si>
  <si>
    <t>29.973713--17.287394</t>
  </si>
  <si>
    <t>29.973713--17.287394_S. haematobium</t>
  </si>
  <si>
    <t>29.973714--17.287395</t>
  </si>
  <si>
    <t>29.973714--17.287395_S. haematobium</t>
  </si>
  <si>
    <t>29.973715--17.287396</t>
  </si>
  <si>
    <t>29.973715--17.287396_S. haematobium</t>
  </si>
  <si>
    <t>29.973716--17.287397</t>
  </si>
  <si>
    <t>29.973716--17.287397_S. haematobium</t>
  </si>
  <si>
    <t>29.973717--17.287398</t>
  </si>
  <si>
    <t>29.973717--17.287398_S. haematobium</t>
  </si>
  <si>
    <t>29.973718--17.287399</t>
  </si>
  <si>
    <t>29.973718--17.287399_S. haematobium</t>
  </si>
  <si>
    <t>29.973719--17.2874</t>
  </si>
  <si>
    <t>29.973719--17.2874_S. haematobium</t>
  </si>
  <si>
    <t>29.97372--17.287401</t>
  </si>
  <si>
    <t>29.97372--17.287401_S. haematobium</t>
  </si>
  <si>
    <t>29.973721--17.287402</t>
  </si>
  <si>
    <t>29.973721--17.287402_S. haematobium</t>
  </si>
  <si>
    <t>29.973722--17.287403</t>
  </si>
  <si>
    <t>29.973722--17.287403_S. haematobium</t>
  </si>
  <si>
    <t>29.973723--17.287404</t>
  </si>
  <si>
    <t>29.973723--17.287404_S. haematobium</t>
  </si>
  <si>
    <t>29.973724--17.287405</t>
  </si>
  <si>
    <t>29.973724--17.287405_S. haematobium</t>
  </si>
  <si>
    <t>29.973725--17.287406</t>
  </si>
  <si>
    <t>29.973725--17.287406_S. haematobium</t>
  </si>
  <si>
    <t>29.973726--17.287407</t>
  </si>
  <si>
    <t>29.973726--17.287407_S. haematobium</t>
  </si>
  <si>
    <t>29.973727--17.287408</t>
  </si>
  <si>
    <t>29.973727--17.287408_S. haematobium</t>
  </si>
  <si>
    <t>29.973728--17.287409</t>
  </si>
  <si>
    <t>29.973728--17.287409_S. haematobium</t>
  </si>
  <si>
    <t>29.973729--17.28741</t>
  </si>
  <si>
    <t>29.973729--17.28741_S. haematobium</t>
  </si>
  <si>
    <t>29.97373--17.287411</t>
  </si>
  <si>
    <t>29.97373--17.287411_S. haematobium</t>
  </si>
  <si>
    <t>29.973731--17.287412</t>
  </si>
  <si>
    <t>29.973731--17.287412_S. haematobium</t>
  </si>
  <si>
    <t>29.973732--17.287413</t>
  </si>
  <si>
    <t>29.973732--17.287413_S. haematobium</t>
  </si>
  <si>
    <t>29.973733--17.287414</t>
  </si>
  <si>
    <t>29.973733--17.287414_S. haematobium</t>
  </si>
  <si>
    <t>29.973734--17.287415</t>
  </si>
  <si>
    <t>29.973734--17.287415_S. haematobium</t>
  </si>
  <si>
    <t>29.973735--17.287416</t>
  </si>
  <si>
    <t>29.973735--17.287416_S. haematobium</t>
  </si>
  <si>
    <t>29.973736--17.287417</t>
  </si>
  <si>
    <t>29.973736--17.287417_S. haematobium</t>
  </si>
  <si>
    <t>29.973737--17.287418</t>
  </si>
  <si>
    <t>29.973737--17.287418_S. haematobium</t>
  </si>
  <si>
    <t>29.973738--17.287419</t>
  </si>
  <si>
    <t>29.973738--17.287419_S. haematobium</t>
  </si>
  <si>
    <t>29.973739--17.28742</t>
  </si>
  <si>
    <t>29.973739--17.28742_S. haematobium</t>
  </si>
  <si>
    <t>29.97374--17.287421</t>
  </si>
  <si>
    <t>29.97374--17.287421_S. haematobium</t>
  </si>
  <si>
    <t>29.973741--17.287422</t>
  </si>
  <si>
    <t>29.973741--17.287422_S. haematobium</t>
  </si>
  <si>
    <t>29.973742--17.287423</t>
  </si>
  <si>
    <t>29.973742--17.287423_S. haematobium</t>
  </si>
  <si>
    <t>29.973743--17.287424</t>
  </si>
  <si>
    <t>29.973743--17.287424_S. haematobium</t>
  </si>
  <si>
    <t>29.973744--17.287425</t>
  </si>
  <si>
    <t>29.973744--17.287425_S. haematobium</t>
  </si>
  <si>
    <t>29.973745--17.287426</t>
  </si>
  <si>
    <t>29.973745--17.287426_S. haematobium</t>
  </si>
  <si>
    <t>29.973746--17.287427</t>
  </si>
  <si>
    <t>29.973746--17.287427_S. haematobium</t>
  </si>
  <si>
    <t>29.973747--17.287428</t>
  </si>
  <si>
    <t>29.973747--17.287428_S. haematobium</t>
  </si>
  <si>
    <t>29.973748--17.287429</t>
  </si>
  <si>
    <t>29.973748--17.287429_S. haematobium</t>
  </si>
  <si>
    <t>31.5--17.75</t>
  </si>
  <si>
    <t>31.5--17.75_S. haematobium</t>
  </si>
  <si>
    <t>26.49--17.497801</t>
  </si>
  <si>
    <t>26.49--17.497801_S. haematobium</t>
  </si>
  <si>
    <t>26.49--17.497801_S. mansoni</t>
  </si>
  <si>
    <t>26.001699--17.4904</t>
  </si>
  <si>
    <t>26.001699--17.4904_S. haematobium</t>
  </si>
  <si>
    <t>26.001699--17.4904_S. mansoni</t>
  </si>
  <si>
    <t>26.0849--17.452999</t>
  </si>
  <si>
    <t>26.0849--17.452999_S. haematobium</t>
  </si>
  <si>
    <t>26.0849--17.452999_S. mansoni</t>
  </si>
  <si>
    <t>26--17.450001</t>
  </si>
  <si>
    <t>26--17.450001_S. mansoni</t>
  </si>
  <si>
    <t>29.6339--17.055</t>
  </si>
  <si>
    <t>29.6339--17.055_S. haematobium</t>
  </si>
  <si>
    <t>25.1579--16.9464</t>
  </si>
  <si>
    <t>25.1579--16.9464_S. haematobium</t>
  </si>
  <si>
    <t>25.1579--16.9464_S. mansoni</t>
  </si>
  <si>
    <t>26.980499--16.8165</t>
  </si>
  <si>
    <t>26.980499--16.8165_S. haematobium</t>
  </si>
  <si>
    <t>26.980499--16.8165_S. mansoni</t>
  </si>
  <si>
    <t>25.1667--16.7833</t>
  </si>
  <si>
    <t>25.1667--16.7833_S. haematobium</t>
  </si>
  <si>
    <t>25.1667--16.7833_S. mansoni</t>
  </si>
  <si>
    <t>27.251801--16.7675</t>
  </si>
  <si>
    <t>27.251801--16.7675_S. haematobium</t>
  </si>
  <si>
    <t>27.251801--16.7675_S. mansoni</t>
  </si>
  <si>
    <t>23.795--16.765301</t>
  </si>
  <si>
    <t>23.795--16.765301_S. haematobium</t>
  </si>
  <si>
    <t>23.795--16.765301_S. mansoni</t>
  </si>
  <si>
    <t>25--16.733299</t>
  </si>
  <si>
    <t>25--16.733299_S. haematobium</t>
  </si>
  <si>
    <t>24.952999--16.7066</t>
  </si>
  <si>
    <t>24.952999--16.7066_S. haematobium</t>
  </si>
  <si>
    <t>24.952999--16.7066_S. mansoni</t>
  </si>
  <si>
    <t>28.7654--16.542299</t>
  </si>
  <si>
    <t>28.7654--16.542299_S. haematobium</t>
  </si>
  <si>
    <t>NA</t>
  </si>
  <si>
    <t>28.7654--16.542299_S. mansoni</t>
  </si>
  <si>
    <t>28.724701--16.5378</t>
  </si>
  <si>
    <t>28.724701--16.5378_S. haematobium</t>
  </si>
  <si>
    <t>28.724701--16.5378_S. mansoni</t>
  </si>
  <si>
    <t>28.7139--16.535601</t>
  </si>
  <si>
    <t>28.7139--16.535601_S. haematobium</t>
  </si>
  <si>
    <t>28.7139--16.535601_S. mansoni</t>
  </si>
  <si>
    <t>28.708--16.5355</t>
  </si>
  <si>
    <t>28.708--16.5355_S. haematobium</t>
  </si>
  <si>
    <t>28.708--16.5355_S. mansoni</t>
  </si>
  <si>
    <t>28.7134--16.535299</t>
  </si>
  <si>
    <t>28.7134--16.535299_S. haematobium</t>
  </si>
  <si>
    <t>28.7134--16.535299_S. mansoni</t>
  </si>
  <si>
    <t>28.7132--16.535299</t>
  </si>
  <si>
    <t>28.7132--16.535299_S. haematobium</t>
  </si>
  <si>
    <t>28.7132--16.535299_S. mansoni</t>
  </si>
  <si>
    <t>28.7297--16.533701</t>
  </si>
  <si>
    <t>28.7297--16.533701_S. haematobium</t>
  </si>
  <si>
    <t>28.7297--16.533701_S. mansoni</t>
  </si>
  <si>
    <t>28.711053--16.532339</t>
  </si>
  <si>
    <t>28.711053--16.532339_S. haematobium</t>
  </si>
  <si>
    <t>23.4944--16.532</t>
  </si>
  <si>
    <t>23.4944--16.532_S. haematobium</t>
  </si>
  <si>
    <t>23.4944--16.532_S. mansoni</t>
  </si>
  <si>
    <t>28.703501--16.521999</t>
  </si>
  <si>
    <t>28.703501--16.521999_S. haematobium</t>
  </si>
  <si>
    <t>28.703501--16.521999_S. mansoni</t>
  </si>
  <si>
    <t>28.747--16.509501</t>
  </si>
  <si>
    <t>28.747--16.509501_S. haematobium</t>
  </si>
  <si>
    <t>28.747--16.509501_S. mansoni</t>
  </si>
  <si>
    <t>27.606899--16.497499</t>
  </si>
  <si>
    <t>27.606899--16.497499_S. haematobium</t>
  </si>
  <si>
    <t>28.6782--16.4884</t>
  </si>
  <si>
    <t>28.6782--16.4884_S. haematobium</t>
  </si>
  <si>
    <t>28.6782--16.4884_S. mansoni</t>
  </si>
  <si>
    <t>28.5347--16.483101</t>
  </si>
  <si>
    <t>28.5347--16.483101_S. haematobium</t>
  </si>
  <si>
    <t>28.5347--16.483101_S. mansoni</t>
  </si>
  <si>
    <t>23.4622--16.471701</t>
  </si>
  <si>
    <t>23.4622--16.471701_S. haematobium</t>
  </si>
  <si>
    <t>23.4622--16.471701_S. mansoni</t>
  </si>
  <si>
    <t>28.6539--16.4615</t>
  </si>
  <si>
    <t>28.6539--16.4615_S. haematobium</t>
  </si>
  <si>
    <t>28.6539--16.4615_S. mansoni</t>
  </si>
  <si>
    <t>26.768--16.426901</t>
  </si>
  <si>
    <t>26.768--16.426901_S. haematobium</t>
  </si>
  <si>
    <t>26.768--16.426901_S. mansoni</t>
  </si>
  <si>
    <t>27.1166--16.3736</t>
  </si>
  <si>
    <t>27.1166--16.3736_S. haematobium</t>
  </si>
  <si>
    <t>27.1166--16.3736_S. mansoni</t>
  </si>
  <si>
    <t>23.442301--16.298201</t>
  </si>
  <si>
    <t>23.442301--16.298201_S. haematobium</t>
  </si>
  <si>
    <t>23.442301--16.298201_S. mansoni</t>
  </si>
  <si>
    <t>23.409201--16.2694</t>
  </si>
  <si>
    <t>23.409201--16.2694_S. haematobium</t>
  </si>
  <si>
    <t>23.409201--16.2694_S. mansoni</t>
  </si>
  <si>
    <t>26.5833--16.266701</t>
  </si>
  <si>
    <t>26.5833--16.266701_S. haematobium</t>
  </si>
  <si>
    <t>26.5833--16.266701_S. mansoni</t>
  </si>
  <si>
    <t>28.0951--16.246901</t>
  </si>
  <si>
    <t>28.0951--16.246901_S. haematobium</t>
  </si>
  <si>
    <t>28.0951--16.246901_S. mansoni</t>
  </si>
  <si>
    <t>28.1329--16.224001</t>
  </si>
  <si>
    <t>28.1329--16.224001_S. haematobium</t>
  </si>
  <si>
    <t>28.1329--16.224001_S. mansoni</t>
  </si>
  <si>
    <t>23.331301--16.173599</t>
  </si>
  <si>
    <t>23.331301--16.173599_S. haematobium</t>
  </si>
  <si>
    <t>23.331301--16.173599_S. mansoni</t>
  </si>
  <si>
    <t>26.813999--16.125999</t>
  </si>
  <si>
    <t>26.813999--16.125999_S. haematobium</t>
  </si>
  <si>
    <t>27.6789--16.1248</t>
  </si>
  <si>
    <t>27.6789--16.1248_S. haematobium</t>
  </si>
  <si>
    <t>26.8144--16.124201</t>
  </si>
  <si>
    <t>26.8144--16.124201_S. haematobium</t>
  </si>
  <si>
    <t>26.8144--16.124201_S. mansoni</t>
  </si>
  <si>
    <t>27.9797--16.1119</t>
  </si>
  <si>
    <t>27.9797--16.1119_S. haematobium</t>
  </si>
  <si>
    <t>26.857--16.1</t>
  </si>
  <si>
    <t>26.857--16.1_S. haematobium</t>
  </si>
  <si>
    <t>27.6686--16.0979</t>
  </si>
  <si>
    <t>27.6686--16.0979_S. haematobium</t>
  </si>
  <si>
    <t>28.4203--16.0959</t>
  </si>
  <si>
    <t>28.4203--16.0959_S. haematobium</t>
  </si>
  <si>
    <t>28.4203--16.0959_S. mansoni</t>
  </si>
  <si>
    <t>27.615101--16.0756</t>
  </si>
  <si>
    <t>27.615101--16.0756_S. haematobium</t>
  </si>
  <si>
    <t>23.031401--16.0721</t>
  </si>
  <si>
    <t>23.031401--16.0721_S. haematobium</t>
  </si>
  <si>
    <t>23.031401--16.0721_S. mansoni</t>
  </si>
  <si>
    <t>28.495399--16.0693</t>
  </si>
  <si>
    <t>28.495399--16.0693_S. haematobium</t>
  </si>
  <si>
    <t>28.495399--16.0693_S. mansoni</t>
  </si>
  <si>
    <t>27.698299--16.055599</t>
  </si>
  <si>
    <t>27.698299--16.055599_S. haematobium</t>
  </si>
  <si>
    <t>28.413401--15.9728</t>
  </si>
  <si>
    <t>28.413401--15.9728_S. haematobium</t>
  </si>
  <si>
    <t>28.413401--15.9728_S. mansoni</t>
  </si>
  <si>
    <t>28.8388--15.9422</t>
  </si>
  <si>
    <t>28.8388--15.9422_S. haematobium</t>
  </si>
  <si>
    <t>28.8388--15.9422_S. mansoni</t>
  </si>
  <si>
    <t>28.913401--15.9412</t>
  </si>
  <si>
    <t>28.913401--15.9412_S. haematobium</t>
  </si>
  <si>
    <t>28.913401--15.9412_S. mansoni</t>
  </si>
  <si>
    <t>28.3729--15.9298</t>
  </si>
  <si>
    <t>28.3729--15.9298_S. haematobium</t>
  </si>
  <si>
    <t>28.3729--15.9298_S. mansoni</t>
  </si>
  <si>
    <t>28.9659--15.9279</t>
  </si>
  <si>
    <t>28.9659--15.9279_S. haematobium</t>
  </si>
  <si>
    <t>28.9659--15.9279_S. mansoni</t>
  </si>
  <si>
    <t>28.289801--15.8733</t>
  </si>
  <si>
    <t>28.289801--15.8733_S. haematobium</t>
  </si>
  <si>
    <t>28.289801--15.8733_S. mansoni</t>
  </si>
  <si>
    <t>26.874001--15.867</t>
  </si>
  <si>
    <t>26.874001--15.867_S. haematobium</t>
  </si>
  <si>
    <t>27.737499--15.856</t>
  </si>
  <si>
    <t>27.737499--15.856_S. haematobium</t>
  </si>
  <si>
    <t>27.737499--15.856_S. mansoni</t>
  </si>
  <si>
    <t>28.218--15.8301</t>
  </si>
  <si>
    <t>28.218--15.8301_S. haematobium</t>
  </si>
  <si>
    <t>28.2208--15.8197</t>
  </si>
  <si>
    <t>28.2208--15.8197_S. haematobium</t>
  </si>
  <si>
    <t>28.2208--15.8197_S. mansoni</t>
  </si>
  <si>
    <t>28.2386--15.8053</t>
  </si>
  <si>
    <t>28.2386--15.8053_S. haematobium</t>
  </si>
  <si>
    <t>28.2386--15.8053_S. mansoni</t>
  </si>
  <si>
    <t>28.2696--15.7677</t>
  </si>
  <si>
    <t>28.2696--15.7677_S. haematobium</t>
  </si>
  <si>
    <t>28.3533--15.7677</t>
  </si>
  <si>
    <t>28.3533--15.7677_S. haematobium</t>
  </si>
  <si>
    <t>28.1766--15.764</t>
  </si>
  <si>
    <t>28.1766--15.764_S. mansoni</t>
  </si>
  <si>
    <t>28.2694--15.745</t>
  </si>
  <si>
    <t>28.2694--15.745_S. haematobium</t>
  </si>
  <si>
    <t>28.2694--15.745_S. mansoni</t>
  </si>
  <si>
    <t>28.2696--15.7437</t>
  </si>
  <si>
    <t>28.2696--15.7437_S. haematobium</t>
  </si>
  <si>
    <t>28.2696--15.7437_S. mansoni</t>
  </si>
  <si>
    <t>30.408899--15.6227</t>
  </si>
  <si>
    <t>30.408899--15.6227_S. haematobium</t>
  </si>
  <si>
    <t>30.408899--15.6227_S. mansoni</t>
  </si>
  <si>
    <t>30.263--15.6147</t>
  </si>
  <si>
    <t>30.263--15.6147_S. haematobium</t>
  </si>
  <si>
    <t>30.263--15.6147_S. mansoni</t>
  </si>
  <si>
    <t>30.361--15.5591</t>
  </si>
  <si>
    <t>30.361--15.5591_S. haematobium</t>
  </si>
  <si>
    <t>30.361--15.5591_S. mansoni</t>
  </si>
  <si>
    <t>28.284599--15.4626</t>
  </si>
  <si>
    <t>28.284599--15.4626_S. haematobium</t>
  </si>
  <si>
    <t>28.2852--15.4613</t>
  </si>
  <si>
    <t>28.2852--15.4613_S. mansoni</t>
  </si>
  <si>
    <t>30.300501--15.4204</t>
  </si>
  <si>
    <t>30.300501--15.4204_S. haematobium</t>
  </si>
  <si>
    <t>30.300501--15.4204_S. mansoni</t>
  </si>
  <si>
    <t>28.283333--15.416667</t>
  </si>
  <si>
    <t>28.283333--15.416667_S. mansoni</t>
  </si>
  <si>
    <t>28.312599--15.4149</t>
  </si>
  <si>
    <t>28.312599--15.4149_S. haematobium</t>
  </si>
  <si>
    <t>28.312599--15.4149_S. mansoni</t>
  </si>
  <si>
    <t>30.371401--15.4142</t>
  </si>
  <si>
    <t>30.371401--15.4142_S. haematobium</t>
  </si>
  <si>
    <t>30.371401--15.4142_S. mansoni</t>
  </si>
  <si>
    <t>28.356001--15.409</t>
  </si>
  <si>
    <t>28.356001--15.409_S. mansoni</t>
  </si>
  <si>
    <t>28.356001--15.409_S. haematobium</t>
  </si>
  <si>
    <t>28.2875--15.4085</t>
  </si>
  <si>
    <t>28.2875--15.4085_S. haematobium</t>
  </si>
  <si>
    <t>28.353901--15.4048</t>
  </si>
  <si>
    <t>28.353901--15.4048_S. haematobium</t>
  </si>
  <si>
    <t>28.3062--15.3866</t>
  </si>
  <si>
    <t>28.3062--15.3866_S. haematobium</t>
  </si>
  <si>
    <t>28.3064--15.3854</t>
  </si>
  <si>
    <t>28.3064--15.3854_S. haematobium</t>
  </si>
  <si>
    <t>28.238001--15.3853</t>
  </si>
  <si>
    <t>28.238001--15.3853_S. mansoni</t>
  </si>
  <si>
    <t>28.2414--15.3812</t>
  </si>
  <si>
    <t>28.2414--15.3812_S. haematobium</t>
  </si>
  <si>
    <t>28.350599--15.3796</t>
  </si>
  <si>
    <t>28.350599--15.3796_S. haematobium</t>
  </si>
  <si>
    <t>28.350401--15.3784</t>
  </si>
  <si>
    <t>28.350401--15.3784_S. haematobium</t>
  </si>
  <si>
    <t>28.267401--15.3783</t>
  </si>
  <si>
    <t>28.267401--15.3783_S. haematobium</t>
  </si>
  <si>
    <t>28.278--15.3733</t>
  </si>
  <si>
    <t>28.278--15.3733_S. mansoni</t>
  </si>
  <si>
    <t>28.278--15.3733_S. haematobium</t>
  </si>
  <si>
    <t>28.3276--15.3641</t>
  </si>
  <si>
    <t>28.3276--15.3641_S. haematobium</t>
  </si>
  <si>
    <t>30.3202--15.308</t>
  </si>
  <si>
    <t>30.3202--15.308_S. haematobium</t>
  </si>
  <si>
    <t>30.3202--15.308_S. mansoni</t>
  </si>
  <si>
    <t>23.1502--15.2733</t>
  </si>
  <si>
    <t>23.1502--15.2733_S. haematobium</t>
  </si>
  <si>
    <t>30.25--15.2493</t>
  </si>
  <si>
    <t>30.25--15.2493_S. haematobium</t>
  </si>
  <si>
    <t>30.25--15.2493_S. mansoni</t>
  </si>
  <si>
    <t>30.2015--15.1877</t>
  </si>
  <si>
    <t>30.2015--15.1877_S. haematobium</t>
  </si>
  <si>
    <t>30.2015--15.1877_S. mansoni</t>
  </si>
  <si>
    <t>30.2052--15.1192</t>
  </si>
  <si>
    <t>30.2052--15.1192_S. haematobium</t>
  </si>
  <si>
    <t>30.2052--15.1192_S. mansoni</t>
  </si>
  <si>
    <t>30.1873--15.0873</t>
  </si>
  <si>
    <t>30.1873--15.0873_S. haematobium</t>
  </si>
  <si>
    <t>30.1873--15.0873_S. mansoni</t>
  </si>
  <si>
    <t>29.6364--15.082</t>
  </si>
  <si>
    <t>29.6364--15.082_S. haematobium</t>
  </si>
  <si>
    <t>24.447599--15.0561</t>
  </si>
  <si>
    <t>24.447599--15.0561_S. haematobium</t>
  </si>
  <si>
    <t>24.447599--15.0561_S. mansoni</t>
  </si>
  <si>
    <t>27.827999--15.0038</t>
  </si>
  <si>
    <t>27.827999--15.0038_S. haematobium</t>
  </si>
  <si>
    <t>28.377199--14.9818</t>
  </si>
  <si>
    <t>28.377199--14.9818_S. haematobium</t>
  </si>
  <si>
    <t>27.0658--14.9796</t>
  </si>
  <si>
    <t>27.0658--14.9796_S. haematobium</t>
  </si>
  <si>
    <t>27.0658--14.9796_S. mansoni</t>
  </si>
  <si>
    <t>27.711201--14.9251</t>
  </si>
  <si>
    <t>27.711201--14.9251_S. haematobium</t>
  </si>
  <si>
    <t>25.424601--14.9233</t>
  </si>
  <si>
    <t>25.424601--14.9233_S. haematobium</t>
  </si>
  <si>
    <t>25.424601--14.9233_S. mansoni</t>
  </si>
  <si>
    <t>27.883301--14.9167</t>
  </si>
  <si>
    <t>27.883301--14.9167_S. haematobium</t>
  </si>
  <si>
    <t>27.883301--14.9167_S. mansoni</t>
  </si>
  <si>
    <t>27.9333--14.9167</t>
  </si>
  <si>
    <t>27.9333--14.9167_S. haematobium</t>
  </si>
  <si>
    <t>27.9333--14.9167_S. mansoni</t>
  </si>
  <si>
    <t>27.9338--14.91</t>
  </si>
  <si>
    <t>27.9338--14.91_S. haematobium</t>
  </si>
  <si>
    <t>27.9485--14.9092</t>
  </si>
  <si>
    <t>27.9485--14.9092_S. haematobium</t>
  </si>
  <si>
    <t>27.825001--14.9027</t>
  </si>
  <si>
    <t>27.825001--14.9027_S. haematobium</t>
  </si>
  <si>
    <t>27.900999--14.9016</t>
  </si>
  <si>
    <t>27.900999--14.9016_S. haematobium</t>
  </si>
  <si>
    <t>27.900999--14.9016_S. mansoni</t>
  </si>
  <si>
    <t>27.799999--14.9</t>
  </si>
  <si>
    <t>27.799999--14.9_S. haematobium</t>
  </si>
  <si>
    <t>27.799999--14.9_S. mansoni</t>
  </si>
  <si>
    <t>27.093153--14.891769</t>
  </si>
  <si>
    <t>27.093153--14.891769_S. haematobium</t>
  </si>
  <si>
    <t>24.577--14.8842</t>
  </si>
  <si>
    <t>24.577--14.8842_S. haematobium</t>
  </si>
  <si>
    <t>24.577--14.8842_S. mansoni</t>
  </si>
  <si>
    <t>27.704--14.8625</t>
  </si>
  <si>
    <t>27.704--14.8625_S. haematobium</t>
  </si>
  <si>
    <t>27.704--14.8625_S. mansoni</t>
  </si>
  <si>
    <t>30.3253--14.8365</t>
  </si>
  <si>
    <t>30.3253--14.8365_S. haematobium</t>
  </si>
  <si>
    <t>30.3253--14.8365_S. mansoni</t>
  </si>
  <si>
    <t>24.680599--14.8344</t>
  </si>
  <si>
    <t>24.680599--14.8344_S. haematobium</t>
  </si>
  <si>
    <t>24.680599--14.8344_S. mansoni</t>
  </si>
  <si>
    <t>24.797501--14.8117</t>
  </si>
  <si>
    <t>24.797501--14.8117_S. haematobium</t>
  </si>
  <si>
    <t>27.9181--14.7893</t>
  </si>
  <si>
    <t>27.9181--14.7893_S. mansoni</t>
  </si>
  <si>
    <t>27.9181--14.7893_S. haematobium</t>
  </si>
  <si>
    <t>25.3375--14.7887</t>
  </si>
  <si>
    <t>25.3375--14.7887_S. haematobium</t>
  </si>
  <si>
    <t>25.3375--14.7887_S. mansoni</t>
  </si>
  <si>
    <t>28.0632--14.7783</t>
  </si>
  <si>
    <t>28.0632--14.7783_S. haematobium</t>
  </si>
  <si>
    <t>29.1245--14.7596</t>
  </si>
  <si>
    <t>29.1245--14.7596_S. haematobium</t>
  </si>
  <si>
    <t>29.1245--14.7596_S. mansoni</t>
  </si>
  <si>
    <t>28.131599--14.7519</t>
  </si>
  <si>
    <t>28.131599--14.7519_S. mansoni</t>
  </si>
  <si>
    <t>28.066299--14.7369</t>
  </si>
  <si>
    <t>28.066299--14.7369_S. mansoni</t>
  </si>
  <si>
    <t>27.947399--14.7363</t>
  </si>
  <si>
    <t>27.947399--14.7363_S. mansoni</t>
  </si>
  <si>
    <t>28.097192--14.65428</t>
  </si>
  <si>
    <t>28.097192--14.65428_S. haematobium</t>
  </si>
  <si>
    <t>27.581699--14.6345</t>
  </si>
  <si>
    <t>27.581699--14.6345_S. haematobium</t>
  </si>
  <si>
    <t>24.6015--14.5703</t>
  </si>
  <si>
    <t>24.6015--14.5703_S. haematobium</t>
  </si>
  <si>
    <t>24.6015--14.5703_S. mansoni</t>
  </si>
  <si>
    <t>28.443199--14.4437</t>
  </si>
  <si>
    <t>28.443199--14.4437_S. haematobium</t>
  </si>
  <si>
    <t>28.443199--14.4437_S. mansoni</t>
  </si>
  <si>
    <t>30.141199--14.1132</t>
  </si>
  <si>
    <t>30.141199--14.1132_S. haematobium</t>
  </si>
  <si>
    <t>28.103399--14.1127</t>
  </si>
  <si>
    <t>28.103399--14.1127_S. haematobium</t>
  </si>
  <si>
    <t>30.112--14.1024</t>
  </si>
  <si>
    <t>30.112--14.1024_S. haematobium</t>
  </si>
  <si>
    <t>30.112--14.1024_S. mansoni</t>
  </si>
  <si>
    <t>33.110464--13.874633</t>
  </si>
  <si>
    <t>33.110464--13.874633_S. haematobium</t>
  </si>
  <si>
    <t>30.402172--13.874633</t>
  </si>
  <si>
    <t>30.402172--13.874633_S. haematobium</t>
  </si>
  <si>
    <t>25.168861--13.874633</t>
  </si>
  <si>
    <t>25.168861--13.874633_S. haematobium</t>
  </si>
  <si>
    <t>23.104653--13.874633</t>
  </si>
  <si>
    <t>23.104653--13.874633_S. haematobium</t>
  </si>
  <si>
    <t>29.066401--13.7282</t>
  </si>
  <si>
    <t>29.066401--13.7282_S. haematobium</t>
  </si>
  <si>
    <t>23.1821--13.6846</t>
  </si>
  <si>
    <t>23.1821--13.6846_S. haematobium</t>
  </si>
  <si>
    <t>23.1821--13.6846_S. mansoni</t>
  </si>
  <si>
    <t>29.114799--13.6562</t>
  </si>
  <si>
    <t>29.114799--13.6562_S. mansoni</t>
  </si>
  <si>
    <t>29.114799--13.6562_S. haematobium</t>
  </si>
  <si>
    <t>32.645401--13.6344</t>
  </si>
  <si>
    <t>32.645401--13.6344_S. haematobium</t>
  </si>
  <si>
    <t>29.393--13.6195</t>
  </si>
  <si>
    <t>29.393--13.6195_S. haematobium</t>
  </si>
  <si>
    <t>24.2008--13.5927</t>
  </si>
  <si>
    <t>24.2008--13.5927_S. haematobium</t>
  </si>
  <si>
    <t>23.263599--13.5778</t>
  </si>
  <si>
    <t>23.263599--13.5778_S. haematobium</t>
  </si>
  <si>
    <t>23.263599--13.5778_S. mansoni</t>
  </si>
  <si>
    <t>23.105--13.5465</t>
  </si>
  <si>
    <t>23.105--13.5465_S. haematobium</t>
  </si>
  <si>
    <t>23.105--13.5465_S. mansoni</t>
  </si>
  <si>
    <t>23.107--13.5294</t>
  </si>
  <si>
    <t>23.107--13.5294_S. haematobium</t>
  </si>
  <si>
    <t>23.107--13.5294_S. mansoni</t>
  </si>
  <si>
    <t>26.65--13.3667</t>
  </si>
  <si>
    <t>26.65--13.3667_S. haematobium</t>
  </si>
  <si>
    <t>26.65--13.3667_S. mansoni</t>
  </si>
  <si>
    <t>26.6--13.35</t>
  </si>
  <si>
    <t>26.6--13.35_S. haematobium</t>
  </si>
  <si>
    <t>23.219999--13.3166</t>
  </si>
  <si>
    <t>23.219999--13.3166_S. haematobium</t>
  </si>
  <si>
    <t>23.219999--13.3166_S. mansoni</t>
  </si>
  <si>
    <t>23.214399--13.2917</t>
  </si>
  <si>
    <t>23.214399--13.2917_S. haematobium</t>
  </si>
  <si>
    <t>23.214399--13.2917_S. mansoni</t>
  </si>
  <si>
    <t>28.416401--13.143</t>
  </si>
  <si>
    <t>28.416401--13.143_S. haematobium</t>
  </si>
  <si>
    <t>28.4671--13.0691</t>
  </si>
  <si>
    <t>28.4671--13.0691_S. haematobium</t>
  </si>
  <si>
    <t>27.549586--13.057008</t>
  </si>
  <si>
    <t>27.549586--13.057008_S. haematobium</t>
  </si>
  <si>
    <t>27.549586--13.057008_S. mansoni</t>
  </si>
  <si>
    <t>28.6495--12.9898</t>
  </si>
  <si>
    <t>28.6495--12.9898_S. haematobium</t>
  </si>
  <si>
    <t>28.6495--12.9892</t>
  </si>
  <si>
    <t>28.6495--12.9892_S. haematobium</t>
  </si>
  <si>
    <t>28.633301--12.9667</t>
  </si>
  <si>
    <t>28.633301--12.9667_S. mansoni</t>
  </si>
  <si>
    <t>30.442699--12.9363</t>
  </si>
  <si>
    <t>30.442699--12.9363_S. haematobium</t>
  </si>
  <si>
    <t>30.442699--12.9363_S. mansoni</t>
  </si>
  <si>
    <t>28.610901--12.935</t>
  </si>
  <si>
    <t>28.610901--12.935_S. haematobium</t>
  </si>
  <si>
    <t>30.655701--12.9178</t>
  </si>
  <si>
    <t>30.655701--12.9178_S. haematobium</t>
  </si>
  <si>
    <t>30.655701--12.9178_S. mansoni</t>
  </si>
  <si>
    <t>27.076599--12.8531</t>
  </si>
  <si>
    <t>27.076599--12.8531_S. haematobium</t>
  </si>
  <si>
    <t>28.0949--12.8426</t>
  </si>
  <si>
    <t>28.0949--12.8426_S. haematobium</t>
  </si>
  <si>
    <t>28.1975--12.7956</t>
  </si>
  <si>
    <t>28.1975--12.7956_S. haematobium</t>
  </si>
  <si>
    <t>30.746599--12.7856</t>
  </si>
  <si>
    <t>30.746599--12.7856_S. haematobium</t>
  </si>
  <si>
    <t>30.746599--12.7856_S. mansoni</t>
  </si>
  <si>
    <t>28.224501--12.7784</t>
  </si>
  <si>
    <t>28.224501--12.7784_S. haematobium</t>
  </si>
  <si>
    <t>28.2008--12.7746</t>
  </si>
  <si>
    <t>28.2008--12.7746_S. haematobium</t>
  </si>
  <si>
    <t>28.227501--12.768</t>
  </si>
  <si>
    <t>28.227501--12.768_S. haematobium</t>
  </si>
  <si>
    <t>28.1717--12.7241</t>
  </si>
  <si>
    <t>28.1717--12.7241_S. haematobium</t>
  </si>
  <si>
    <t>30.395399--12.6013</t>
  </si>
  <si>
    <t>30.395399--12.6013_S. haematobium</t>
  </si>
  <si>
    <t>30.395399--12.6013_S. mansoni</t>
  </si>
  <si>
    <t>27.6227--12.5572</t>
  </si>
  <si>
    <t>27.6227--12.5572_S. haematobium</t>
  </si>
  <si>
    <t>28.240967--12.550269</t>
  </si>
  <si>
    <t>28.240967--12.550269_S. haematobium</t>
  </si>
  <si>
    <t>27.854401--12.5412</t>
  </si>
  <si>
    <t>27.854401--12.5412_S. haematobium</t>
  </si>
  <si>
    <t>30.3519--12.4766</t>
  </si>
  <si>
    <t>30.3519--12.4766_S. haematobium</t>
  </si>
  <si>
    <t>30.3519--12.4766_S. mansoni</t>
  </si>
  <si>
    <t>30.4909--12.4178</t>
  </si>
  <si>
    <t>30.4909--12.4178_S. haematobium</t>
  </si>
  <si>
    <t>30.4909--12.4178_S. mansoni</t>
  </si>
  <si>
    <t>29.3909--12.4025</t>
  </si>
  <si>
    <t>29.3909--12.4025_S. haematobium</t>
  </si>
  <si>
    <t>29.3909--12.4025_S. mansoni</t>
  </si>
  <si>
    <t>26.122999--12.3899</t>
  </si>
  <si>
    <t>26.122999--12.3899_S. haematobium</t>
  </si>
  <si>
    <t>26.122999--12.3899_S. mansoni</t>
  </si>
  <si>
    <t>27.3617--12.3884</t>
  </si>
  <si>
    <t>27.3617--12.3884_S. haematobium</t>
  </si>
  <si>
    <t>27.8403--12.3781</t>
  </si>
  <si>
    <t>27.8403--12.3781_S. haematobium</t>
  </si>
  <si>
    <t>27.8403--12.3781_S. mansoni</t>
  </si>
  <si>
    <t>27.837003--12.372328</t>
  </si>
  <si>
    <t>27.837003--12.372328_S. haematobium</t>
  </si>
  <si>
    <t>26.7882--12.3425</t>
  </si>
  <si>
    <t>26.7882--12.3425_S. haematobium</t>
  </si>
  <si>
    <t>26.7882--12.3425_S. mansoni</t>
  </si>
  <si>
    <t>27.8608--12.3292</t>
  </si>
  <si>
    <t>27.8608--12.3292_S. haematobium</t>
  </si>
  <si>
    <t>26.817699--12.264</t>
  </si>
  <si>
    <t>26.817699--12.264_S. haematobium</t>
  </si>
  <si>
    <t>26.817699--12.264_S. mansoni</t>
  </si>
  <si>
    <t>26.7561--12.2317</t>
  </si>
  <si>
    <t>26.7561--12.2317_S. haematobium</t>
  </si>
  <si>
    <t>26.7561--12.2317_S. mansoni</t>
  </si>
  <si>
    <t>26.3431--12.1889</t>
  </si>
  <si>
    <t>26.3431--12.1889_S. haematobium</t>
  </si>
  <si>
    <t>26.3431--12.1889_S. mansoni</t>
  </si>
  <si>
    <t>33.2178--12.1302</t>
  </si>
  <si>
    <t>33.2178--12.1302_S. haematobium</t>
  </si>
  <si>
    <t>31.3356--12.0291</t>
  </si>
  <si>
    <t>31.3356--12.0291_S. haematobium</t>
  </si>
  <si>
    <t>31.3356--12.0291_S. mansoni</t>
  </si>
  <si>
    <t>30.3708--11.9851</t>
  </si>
  <si>
    <t>30.3708--11.9851_S. haematobium</t>
  </si>
  <si>
    <t>32.846901--11.7756</t>
  </si>
  <si>
    <t>32.846901--11.7756_S. haematobium</t>
  </si>
  <si>
    <t>32.846901--11.7756_S. mansoni</t>
  </si>
  <si>
    <t>29.134701--11.6383</t>
  </si>
  <si>
    <t>29.134701--11.6383_S. haematobium</t>
  </si>
  <si>
    <t>29.134701--11.6383_S. mansoni</t>
  </si>
  <si>
    <t>30.325399--11.5435</t>
  </si>
  <si>
    <t>30.325399--11.5435_S. haematobium</t>
  </si>
  <si>
    <t>30.325399--11.5435_S. mansoni</t>
  </si>
  <si>
    <t>30.555799--11.5</t>
  </si>
  <si>
    <t>30.555799--11.5_S. haematobium</t>
  </si>
  <si>
    <t>29.821899--11.4569</t>
  </si>
  <si>
    <t>29.821899--11.4569_S. haematobium</t>
  </si>
  <si>
    <t>29.821899--11.4569_S. mansoni</t>
  </si>
  <si>
    <t>30.594101--11.4</t>
  </si>
  <si>
    <t>30.594101--11.4_S. haematobium</t>
  </si>
  <si>
    <t>30.5977--11.4</t>
  </si>
  <si>
    <t>30.5977--11.4_S. haematobium</t>
  </si>
  <si>
    <t>29.565399--11.383</t>
  </si>
  <si>
    <t>29.565399--11.383_S. haematobium</t>
  </si>
  <si>
    <t>29.565399--11.383_S. mansoni</t>
  </si>
  <si>
    <t>28.459299--11.3778</t>
  </si>
  <si>
    <t>28.459299--11.3778_S. haematobium</t>
  </si>
  <si>
    <t>28.459299--11.3778_S. mansoni</t>
  </si>
  <si>
    <t>24.333599--11.3444</t>
  </si>
  <si>
    <t>24.333599--11.3444_S. haematobium</t>
  </si>
  <si>
    <t>29.5333--11.3333</t>
  </si>
  <si>
    <t>29.5333--11.3333_S. haematobium</t>
  </si>
  <si>
    <t>29.5333--11.3333_S. mansoni</t>
  </si>
  <si>
    <t>29.5481--11.3329</t>
  </si>
  <si>
    <t>29.5481--11.3329_S. haematobium</t>
  </si>
  <si>
    <t>29.5481--11.3329_S. mansoni</t>
  </si>
  <si>
    <t>28.8512--11.3204</t>
  </si>
  <si>
    <t>28.8512--11.3204_S. haematobium</t>
  </si>
  <si>
    <t>28.8512--11.3204_S. mansoni</t>
  </si>
  <si>
    <t>33.110298--11.2714</t>
  </si>
  <si>
    <t>33.110298--11.2714_S. haematobium</t>
  </si>
  <si>
    <t>29.0504--11.2664</t>
  </si>
  <si>
    <t>29.0504--11.2664_S. haematobium</t>
  </si>
  <si>
    <t>29.0504--11.2664_S. mansoni</t>
  </si>
  <si>
    <t>29.5263--11.2657</t>
  </si>
  <si>
    <t>29.5263--11.2657_S. haematobium</t>
  </si>
  <si>
    <t>29.5263--11.2657_S. mansoni</t>
  </si>
  <si>
    <t>28.8664--11.2214</t>
  </si>
  <si>
    <t>28.8664--11.2214_S. haematobium</t>
  </si>
  <si>
    <t>28.8664--11.2214_S. mansoni</t>
  </si>
  <si>
    <t>31.775299--11.2138</t>
  </si>
  <si>
    <t>31.775299--11.2138_S. haematobium</t>
  </si>
  <si>
    <t>31.775299--11.2138_S. mansoni</t>
  </si>
  <si>
    <t>33.159199--11.2138</t>
  </si>
  <si>
    <t>33.159199--11.2138_S. haematobium</t>
  </si>
  <si>
    <t>28.793699--11.2131</t>
  </si>
  <si>
    <t>28.793699--11.2131_S. haematobium</t>
  </si>
  <si>
    <t>28.793699--11.2131_S. mansoni</t>
  </si>
  <si>
    <t>28.8965--11.2009</t>
  </si>
  <si>
    <t>28.8965--11.2009_S. haematobium</t>
  </si>
  <si>
    <t>28.8965--11.2009_S. mansoni</t>
  </si>
  <si>
    <t>28.883301--11.2</t>
  </si>
  <si>
    <t>28.883301--11.2_S. haematobium</t>
  </si>
  <si>
    <t>28.883301--11.2_S. mansoni</t>
  </si>
  <si>
    <t>28.8864--11.1874</t>
  </si>
  <si>
    <t>28.8864--11.1874_S. haematobium</t>
  </si>
  <si>
    <t>28.8864--11.1874_S. mansoni</t>
  </si>
  <si>
    <t>28.8458--11.1866</t>
  </si>
  <si>
    <t>28.8458--11.1866_S. haematobium</t>
  </si>
  <si>
    <t>28.8458--11.1866_S. mansoni</t>
  </si>
  <si>
    <t>29.5772--11.1764</t>
  </si>
  <si>
    <t>29.5772--11.1764_S. haematobium</t>
  </si>
  <si>
    <t>29.5772--11.1764_S. mansoni</t>
  </si>
  <si>
    <t>32.939899--11.1669</t>
  </si>
  <si>
    <t>32.939899--11.1669_S. haematobium</t>
  </si>
  <si>
    <t>29.910853--11.145558</t>
  </si>
  <si>
    <t>29.910853--11.145558_S. haematobium</t>
  </si>
  <si>
    <t>30.433867--11.145558</t>
  </si>
  <si>
    <t>30.433867--11.145558_S. haematobium</t>
  </si>
  <si>
    <t>30.016899--11.1285</t>
  </si>
  <si>
    <t>30.016899--11.1285_S. haematobium</t>
  </si>
  <si>
    <t>30.016899--11.1285_S. mansoni</t>
  </si>
  <si>
    <t>30.069799--11.1235</t>
  </si>
  <si>
    <t>30.069799--11.1235_S. mansoni</t>
  </si>
  <si>
    <t>29.643101--11.1164</t>
  </si>
  <si>
    <t>29.643101--11.1164_S. haematobium</t>
  </si>
  <si>
    <t>29.643101--11.1164_S. mansoni</t>
  </si>
  <si>
    <t>30.3556--11.1</t>
  </si>
  <si>
    <t>30.3556--11.1_S. haematobium</t>
  </si>
  <si>
    <t>29.8778--11.0829</t>
  </si>
  <si>
    <t>29.8778--11.0829_S. haematobium</t>
  </si>
  <si>
    <t>29.8778--11.0829_S. mansoni</t>
  </si>
  <si>
    <t>33.0434--11.055</t>
  </si>
  <si>
    <t>33.0434--11.055_S. haematobium</t>
  </si>
  <si>
    <t>33.0434--11.055_S. mansoni</t>
  </si>
  <si>
    <t>29.6966--10.9717</t>
  </si>
  <si>
    <t>29.6966--10.9717_S. haematobium</t>
  </si>
  <si>
    <t>29.9667--10.8667</t>
  </si>
  <si>
    <t>29.9667--10.8667_S. haematobium</t>
  </si>
  <si>
    <t>29.482401--10.8233</t>
  </si>
  <si>
    <t>29.482401--10.8233_S. haematobium</t>
  </si>
  <si>
    <t>29.482401--10.8233_S. mansoni</t>
  </si>
  <si>
    <t>29.941099--10.8202</t>
  </si>
  <si>
    <t>29.941099--10.8202_S. haematobium</t>
  </si>
  <si>
    <t>29.941099--10.8202_S. mansoni</t>
  </si>
  <si>
    <t>32.8424--10.7884</t>
  </si>
  <si>
    <t>32.8424--10.7884_S. haematobium</t>
  </si>
  <si>
    <t>29.9193--10.7071</t>
  </si>
  <si>
    <t>29.9193--10.7071_S. haematobium</t>
  </si>
  <si>
    <t>29.9193--10.7071_S. mansoni</t>
  </si>
  <si>
    <t>33.453201--10.573</t>
  </si>
  <si>
    <t>33.453201--10.573_S. haematobium</t>
  </si>
  <si>
    <t>33.453201--10.573_S. mansoni</t>
  </si>
  <si>
    <t>33.4398--10.5498</t>
  </si>
  <si>
    <t>33.4398--10.5498_S. haematobium</t>
  </si>
  <si>
    <t>28.652--10.5227</t>
  </si>
  <si>
    <t>28.652--10.5227_S. haematobium</t>
  </si>
  <si>
    <t>28.652--10.5227_S. mansoni</t>
  </si>
  <si>
    <t>29.046801--10.4783</t>
  </si>
  <si>
    <t>29.046801--10.4783_S. haematobium</t>
  </si>
  <si>
    <t>29.046801--10.4783_S. mansoni</t>
  </si>
  <si>
    <t>28.657801--10.3979</t>
  </si>
  <si>
    <t>28.657801--10.3979_S. haematobium</t>
  </si>
  <si>
    <t>28.657801--10.3979_S. mansoni</t>
  </si>
  <si>
    <t>28.7036--10.3901</t>
  </si>
  <si>
    <t>28.7036--10.3901_S. haematobium</t>
  </si>
  <si>
    <t>28.7036--10.3901_S. mansoni</t>
  </si>
  <si>
    <t>29.866699--10.3833</t>
  </si>
  <si>
    <t>29.866699--10.3833_S. haematobium</t>
  </si>
  <si>
    <t>29.866699--10.3833_S. mansoni</t>
  </si>
  <si>
    <t>33.402199--10.3805</t>
  </si>
  <si>
    <t>33.402199--10.3805_S. haematobium</t>
  </si>
  <si>
    <t>33.290501--10.345</t>
  </si>
  <si>
    <t>33.290501--10.345_S. haematobium</t>
  </si>
  <si>
    <t>33.446499--10.299</t>
  </si>
  <si>
    <t>33.446499--10.299_S. haematobium</t>
  </si>
  <si>
    <t>32.5355--10.271</t>
  </si>
  <si>
    <t>32.5355--10.271_S. haematobium</t>
  </si>
  <si>
    <t>32.657101--10.2675</t>
  </si>
  <si>
    <t>32.657101--10.2675_S. haematobium</t>
  </si>
  <si>
    <t>33.370499--10.2597</t>
  </si>
  <si>
    <t>33.370499--10.2597_S. haematobium</t>
  </si>
  <si>
    <t>33.370499--10.2597_S. mansoni</t>
  </si>
  <si>
    <t>32.9972--10.2588</t>
  </si>
  <si>
    <t>32.9972--10.2588_S. mansoni</t>
  </si>
  <si>
    <t>31.298201--10.2288</t>
  </si>
  <si>
    <t>31.298201--10.2288_S. haematobium</t>
  </si>
  <si>
    <t>31.298201--10.2288_S. mansoni</t>
  </si>
  <si>
    <t>33.5098--10.2271</t>
  </si>
  <si>
    <t>33.5098--10.2271_S. haematobium</t>
  </si>
  <si>
    <t>31.187401--10.2081</t>
  </si>
  <si>
    <t>31.187401--10.2081_S. haematobium</t>
  </si>
  <si>
    <t>31.187401--10.2081_S. mansoni</t>
  </si>
  <si>
    <t>33.363098--10.1903</t>
  </si>
  <si>
    <t>33.363098--10.1903_S. haematobium</t>
  </si>
  <si>
    <t>32.650002--10.1833</t>
  </si>
  <si>
    <t>32.650002--10.1833_S. haematobium</t>
  </si>
  <si>
    <t>32.650002--10.1833_S. mansoni</t>
  </si>
  <si>
    <t>32.562801--10.1743</t>
  </si>
  <si>
    <t>32.562801--10.1743_S. haematobium</t>
  </si>
  <si>
    <t>28.633301--10.1667</t>
  </si>
  <si>
    <t>28.633301--10.1667_S. haematobium</t>
  </si>
  <si>
    <t>28.633301--10.1667_S. mansoni</t>
  </si>
  <si>
    <t>32.632599--10.1571</t>
  </si>
  <si>
    <t>32.632599--10.1571_S. haematobium</t>
  </si>
  <si>
    <t>32.636002--10.1532</t>
  </si>
  <si>
    <t>32.636002--10.1532_S. haematobium</t>
  </si>
  <si>
    <t>32.636002--10.1532_S. mansoni</t>
  </si>
  <si>
    <t>32.698898--10.1529</t>
  </si>
  <si>
    <t>32.698898--10.1529_S. haematobium</t>
  </si>
  <si>
    <t>32.636398--10.1254</t>
  </si>
  <si>
    <t>32.636398--10.1254_S. haematobium</t>
  </si>
  <si>
    <t>32.671799--10.1176</t>
  </si>
  <si>
    <t>32.671799--10.1176_S. haematobium</t>
  </si>
  <si>
    <t>31.484501--10.1143</t>
  </si>
  <si>
    <t>31.484501--10.1143_S. haematobium</t>
  </si>
  <si>
    <t>31.484501--10.1143_S. mansoni</t>
  </si>
  <si>
    <t>32.573502--10.0781</t>
  </si>
  <si>
    <t>32.573502--10.0781_S. haematobium</t>
  </si>
  <si>
    <t>32.6884--10.0729</t>
  </si>
  <si>
    <t>32.6884--10.0729_S. haematobium</t>
  </si>
  <si>
    <t>32.630001--10.0682</t>
  </si>
  <si>
    <t>32.630001--10.0682_S. haematobium</t>
  </si>
  <si>
    <t>29.7659--10.0486</t>
  </si>
  <si>
    <t>29.7659--10.0486_S. haematobium</t>
  </si>
  <si>
    <t>28.693501--10.0187</t>
  </si>
  <si>
    <t>28.693501--10.0187_S. haematobium</t>
  </si>
  <si>
    <t>28.693501--10.0187_S. mansoni</t>
  </si>
  <si>
    <t>31.3179--10.0153</t>
  </si>
  <si>
    <t>31.3179--10.0153_S. haematobium</t>
  </si>
  <si>
    <t>31.3179--10.0153_S. mansoni</t>
  </si>
  <si>
    <t>32.694--9.98395</t>
  </si>
  <si>
    <t>32.694--9.98395_S. haematobium</t>
  </si>
  <si>
    <t>32.522099--9.98005</t>
  </si>
  <si>
    <t>32.522099--9.98005_S. haematobium</t>
  </si>
  <si>
    <t>33.2365--9.90693</t>
  </si>
  <si>
    <t>33.2365--9.90693_S. haematobium</t>
  </si>
  <si>
    <t>28.759899--9.81931</t>
  </si>
  <si>
    <t>28.759899--9.81931_S. haematobium</t>
  </si>
  <si>
    <t>28.759899--9.81931_S. mansoni</t>
  </si>
  <si>
    <t>32.757599--9.81805</t>
  </si>
  <si>
    <t>32.757599--9.81805_S. haematobium</t>
  </si>
  <si>
    <t>29.3536--9.81356</t>
  </si>
  <si>
    <t>29.3536--9.81356_S. haematobium</t>
  </si>
  <si>
    <t>29.3536--9.81356_S. mansoni</t>
  </si>
  <si>
    <t>31.9226--9.79422</t>
  </si>
  <si>
    <t>31.9226--9.79422_S. haematobium</t>
  </si>
  <si>
    <t>31.9226--9.79422_S. mansoni</t>
  </si>
  <si>
    <t>29.0797--9.78796</t>
  </si>
  <si>
    <t>29.0797--9.78796_S. haematobium</t>
  </si>
  <si>
    <t>29.0797--9.78796_S. mansoni</t>
  </si>
  <si>
    <t>32.890701--9.77485</t>
  </si>
  <si>
    <t>32.890701--9.77485_S. haematobium</t>
  </si>
  <si>
    <t>31.4014--9.76863</t>
  </si>
  <si>
    <t>31.4014--9.76863_S. haematobium</t>
  </si>
  <si>
    <t>31.4014--9.76863_S. mansoni</t>
  </si>
  <si>
    <t>29.0711--9.75294</t>
  </si>
  <si>
    <t>29.0711--9.75294_S. haematobium</t>
  </si>
  <si>
    <t>29.0711--9.75294_S. mansoni</t>
  </si>
  <si>
    <t>32.958099--9.71097</t>
  </si>
  <si>
    <t>32.958099--9.71097_S. haematobium</t>
  </si>
  <si>
    <t>30.627199--9.69493</t>
  </si>
  <si>
    <t>30.627199--9.69493_S. haematobium</t>
  </si>
  <si>
    <t>30.627199--9.69493_S. mansoni</t>
  </si>
  <si>
    <t>31.873199--9.67087</t>
  </si>
  <si>
    <t>31.873199--9.67087_S. haematobium</t>
  </si>
  <si>
    <t>32.625999--9.57139</t>
  </si>
  <si>
    <t>32.625999--9.57139_S. haematobium</t>
  </si>
  <si>
    <t>28.7321--9.53421</t>
  </si>
  <si>
    <t>28.7321--9.53421_S. haematobium</t>
  </si>
  <si>
    <t>28.7321--9.53421_S. mansoni</t>
  </si>
  <si>
    <t>32.479401--9.4998</t>
  </si>
  <si>
    <t>32.479401--9.4998_S. haematobium</t>
  </si>
  <si>
    <t>30.5763--9.49349</t>
  </si>
  <si>
    <t>30.5763--9.49349_S. haematobium</t>
  </si>
  <si>
    <t>30.5763--9.49349_S. mansoni</t>
  </si>
  <si>
    <t>30.0044--9.49032</t>
  </si>
  <si>
    <t>30.0044--9.49032_S. haematobium</t>
  </si>
  <si>
    <t>30.0044--9.49032_S. mansoni</t>
  </si>
  <si>
    <t>32.637699--9.48564</t>
  </si>
  <si>
    <t>32.637699--9.48564_S. haematobium</t>
  </si>
  <si>
    <t>28.7411--9.4837</t>
  </si>
  <si>
    <t>28.7411--9.4837_S. haematobium</t>
  </si>
  <si>
    <t>28.7411--9.4837_S. mansoni</t>
  </si>
  <si>
    <t>29.833099--9.47255</t>
  </si>
  <si>
    <t>29.833099--9.47255_S. haematobium</t>
  </si>
  <si>
    <t>29.833099--9.47255_S. mansoni</t>
  </si>
  <si>
    <t>32.589298--9.4477</t>
  </si>
  <si>
    <t>32.589298--9.4477_S. haematobium</t>
  </si>
  <si>
    <t>32.708302--9.4197</t>
  </si>
  <si>
    <t>32.708302--9.4197_S. haematobium</t>
  </si>
  <si>
    <t>28.7377--9.41456</t>
  </si>
  <si>
    <t>28.7377--9.41456_S. haematobium</t>
  </si>
  <si>
    <t>28.7377--9.41456_S. mansoni</t>
  </si>
  <si>
    <t>30.580158--9.383661</t>
  </si>
  <si>
    <t>30.580158--9.383661_S. haematobium</t>
  </si>
  <si>
    <t>28.741699--9.36769</t>
  </si>
  <si>
    <t>28.741699--9.36769_S. haematobium</t>
  </si>
  <si>
    <t>28.741699--9.36769_S. mansoni</t>
  </si>
  <si>
    <t>30.1075--9.36417</t>
  </si>
  <si>
    <t>30.1075--9.36417_S. haematobium</t>
  </si>
  <si>
    <t>30.1075--9.36417_S. mansoni</t>
  </si>
  <si>
    <t>30.1273--9.35433</t>
  </si>
  <si>
    <t>30.1273--9.35433_S. haematobium</t>
  </si>
  <si>
    <t>30.1273--9.35433_S. mansoni</t>
  </si>
  <si>
    <t>32.671299--9.34465</t>
  </si>
  <si>
    <t>32.671299--9.34465_S. haematobium</t>
  </si>
  <si>
    <t>32.714001--9.33918</t>
  </si>
  <si>
    <t>32.714001--9.33918_S. haematobium</t>
  </si>
  <si>
    <t>32.747601--9.33736</t>
  </si>
  <si>
    <t>32.747601--9.33736_S. haematobium</t>
  </si>
  <si>
    <t>32.685902--9.325</t>
  </si>
  <si>
    <t>32.685902--9.325_S. haematobium</t>
  </si>
  <si>
    <t>28.742701--9.30751</t>
  </si>
  <si>
    <t>28.742701--9.30751_S. haematobium</t>
  </si>
  <si>
    <t>32.443802--9.28446</t>
  </si>
  <si>
    <t>32.443802--9.28446_S. haematobium</t>
  </si>
  <si>
    <t>28.7617--9.28071</t>
  </si>
  <si>
    <t>28.7617--9.28071_S. haematobium</t>
  </si>
  <si>
    <t>28.7617--9.28071_S. mansoni</t>
  </si>
  <si>
    <t>28.8076--9.24156</t>
  </si>
  <si>
    <t>28.8076--9.24156_S. haematobium</t>
  </si>
  <si>
    <t>28.8076--9.24156_S. mansoni</t>
  </si>
  <si>
    <t>28.8277--9.19823</t>
  </si>
  <si>
    <t>28.8277--9.19823_S. haematobium</t>
  </si>
  <si>
    <t>28.8277--9.19823_S. mansoni</t>
  </si>
  <si>
    <t>31.700001--9.18333</t>
  </si>
  <si>
    <t>31.700001--9.18333_S. haematobium</t>
  </si>
  <si>
    <t>31.700001--9.18333_S. mansoni</t>
  </si>
  <si>
    <t>31.665899--9.01021</t>
  </si>
  <si>
    <t>31.665899--9.01021_S. haematobium</t>
  </si>
  <si>
    <t>31.396299--9.00731</t>
  </si>
  <si>
    <t>31.396299--9.00731_S. haematobium</t>
  </si>
  <si>
    <t>31.396299--9.00731_S. mansoni</t>
  </si>
  <si>
    <t>29.4627--8.9944</t>
  </si>
  <si>
    <t>29.4627--8.9944_S. haematobium</t>
  </si>
  <si>
    <t>29.4627--8.9944_S. mansoni</t>
  </si>
  <si>
    <t>29.0333--8.98333</t>
  </si>
  <si>
    <t>29.0333--8.98333_S. haematobium</t>
  </si>
  <si>
    <t>29.0333--8.98333_S. mansoni</t>
  </si>
  <si>
    <t>31.527201--8.8287</t>
  </si>
  <si>
    <t>31.527201--8.8287_S. haematobium</t>
  </si>
  <si>
    <t>31.527201--8.8287_S. mansoni</t>
  </si>
  <si>
    <t>31.166901--8.76656</t>
  </si>
  <si>
    <t>31.166901--8.76656_S. haematobium</t>
  </si>
  <si>
    <t>31.166901--8.76656_S. mansoni</t>
  </si>
  <si>
    <t>31.1171--8.76453</t>
  </si>
  <si>
    <t>31.1171--8.76453_S. haematobium</t>
  </si>
  <si>
    <t>31.1171--8.76453_S. mansoni</t>
  </si>
  <si>
    <t>30.728611--8.647244</t>
  </si>
  <si>
    <t>30.728611--8.647244_S. haematobium</t>
  </si>
  <si>
    <t>0-0</t>
  </si>
  <si>
    <t>0-0_S. haematobium</t>
  </si>
  <si>
    <t>30.895825--9.767019</t>
  </si>
  <si>
    <t>30.895825--9.767019_S. haematobium</t>
  </si>
  <si>
    <t>31.451331--11.828022</t>
  </si>
  <si>
    <t>31.451331--11.828022_S. haematobium</t>
  </si>
  <si>
    <t>32.433333--13.316667</t>
  </si>
  <si>
    <t>32.433333--13.316667_S. haematobium</t>
  </si>
  <si>
    <t>31.816664--13.633319</t>
  </si>
  <si>
    <t>31.816664--13.633319_S. haematobium</t>
  </si>
  <si>
    <t>27.491597--17.227392</t>
  </si>
  <si>
    <t>27.491597--17.227392_S. mansoni</t>
  </si>
  <si>
    <t>32.718136-2.878003</t>
  </si>
  <si>
    <t>32.718136-2.878003_S. mansoni</t>
  </si>
  <si>
    <t>32.627747-1.873044</t>
  </si>
  <si>
    <t>32.627747-1.873044_S. haematobium</t>
  </si>
  <si>
    <t>32.87895-3.288486</t>
  </si>
  <si>
    <t>32.87895-3.288486_S. mansoni</t>
  </si>
  <si>
    <t>30.216939-1.223703</t>
  </si>
  <si>
    <t>30.216939-1.223703_S. mansoni</t>
  </si>
  <si>
    <t>33.504158-0.339528</t>
  </si>
  <si>
    <t>33.504158-0.339528_S. mansoni</t>
  </si>
  <si>
    <t>33.550475-0.252756</t>
  </si>
  <si>
    <t>33.550475-0.252756_S. mansoni</t>
  </si>
  <si>
    <t>33.751944-0.563333</t>
  </si>
  <si>
    <t>33.751944-0.563333_S. mansoni</t>
  </si>
  <si>
    <t>33.751945-0.563334</t>
  </si>
  <si>
    <t>33.751945-0.563334_S. mansoni</t>
  </si>
  <si>
    <t>31.09-2.479167</t>
  </si>
  <si>
    <t>31.09-2.479167_S. mansoni</t>
  </si>
  <si>
    <t>31.080794-2.445828</t>
  </si>
  <si>
    <t>31.080794-2.445828_S. mansoni</t>
  </si>
  <si>
    <t>31.080795-2.445829</t>
  </si>
  <si>
    <t>31.080795-2.445829_S. mansoni</t>
  </si>
  <si>
    <t>31.72-3.655</t>
  </si>
  <si>
    <t>31.72-3.655_S. mansoni</t>
  </si>
  <si>
    <t>31.719547-3.254853</t>
  </si>
  <si>
    <t>31.719547-3.254853_S. mansoni</t>
  </si>
  <si>
    <t>33.865492-0.496072</t>
  </si>
  <si>
    <t>33.865492-0.496072_S. mansoni</t>
  </si>
  <si>
    <t>33.865492-0.496073</t>
  </si>
  <si>
    <t>33.865492-0.496073_S. mansoni</t>
  </si>
  <si>
    <t>33.865493-0.496074</t>
  </si>
  <si>
    <t>33.865493-0.496074_S. mansoni</t>
  </si>
  <si>
    <t>32.581111-0.313611</t>
  </si>
  <si>
    <t>32.581111-0.313611_S. mansoni</t>
  </si>
  <si>
    <t>32.581112-0.313612</t>
  </si>
  <si>
    <t>32.581112-0.313612_S. mansoni</t>
  </si>
  <si>
    <t>32.581113-0.313613</t>
  </si>
  <si>
    <t>32.581113-0.313613_S. mansoni</t>
  </si>
  <si>
    <t>32.581114-0.313614</t>
  </si>
  <si>
    <t>32.581114-0.313614_S. mansoni</t>
  </si>
  <si>
    <t>32.581115-0.313615</t>
  </si>
  <si>
    <t>32.581115-0.313615_S. mansoni</t>
  </si>
  <si>
    <t>32.581116-0.313616</t>
  </si>
  <si>
    <t>32.581116-0.313616_S. mansoni</t>
  </si>
  <si>
    <t>32.581117-0.313617</t>
  </si>
  <si>
    <t>32.581117-0.313617_S. mansoni</t>
  </si>
  <si>
    <t>32.581118-0.313618</t>
  </si>
  <si>
    <t>32.581118-0.313618_S. mansoni</t>
  </si>
  <si>
    <t>32.581119-0.313619</t>
  </si>
  <si>
    <t>32.581119-0.313619_S. mansoni</t>
  </si>
  <si>
    <t>32.58112-0.31362</t>
  </si>
  <si>
    <t>32.58112-0.31362_S. mansoni</t>
  </si>
  <si>
    <t>32.581121-0.313621</t>
  </si>
  <si>
    <t>32.581121-0.313621_S. mansoni</t>
  </si>
  <si>
    <t>30.809189-0.992158</t>
  </si>
  <si>
    <t>30.809189-0.992158_S. mansoni</t>
  </si>
  <si>
    <t>31.506219-2.205575</t>
  </si>
  <si>
    <t>31.506219-2.205575_S. mansoni</t>
  </si>
  <si>
    <t>33.622297-0.3883</t>
  </si>
  <si>
    <t>33.622297-0.3883_S. mansoni</t>
  </si>
  <si>
    <t>33.498425-0.331108</t>
  </si>
  <si>
    <t>33.498425-0.331108_S. mansoni</t>
  </si>
  <si>
    <t>29.8717--1.22542</t>
  </si>
  <si>
    <t>29.8717--1.22542_S. mansoni</t>
  </si>
  <si>
    <t>30.205601--1.20645</t>
  </si>
  <si>
    <t>30.205601--1.20645_S. mansoni</t>
  </si>
  <si>
    <t>30.233601--1.15005</t>
  </si>
  <si>
    <t>30.233601--1.15005_S. mansoni</t>
  </si>
  <si>
    <t>31.7673--0.91535</t>
  </si>
  <si>
    <t>31.7673--0.91535_S. mansoni</t>
  </si>
  <si>
    <t>30.27--0.88</t>
  </si>
  <si>
    <t>30.27--0.88_S. mansoni</t>
  </si>
  <si>
    <t>29.950001--0.75</t>
  </si>
  <si>
    <t>29.950001--0.75_S. mansoni</t>
  </si>
  <si>
    <t>32.268002--0.73168</t>
  </si>
  <si>
    <t>32.268002--0.73168_S. mansoni</t>
  </si>
  <si>
    <t>32.308498--0.7189</t>
  </si>
  <si>
    <t>32.308498--0.7189_S. mansoni</t>
  </si>
  <si>
    <t>30.67--0.7</t>
  </si>
  <si>
    <t>30.67--0.7_S. mansoni</t>
  </si>
  <si>
    <t>32.181702--0.68592</t>
  </si>
  <si>
    <t>32.181702--0.68592_S. mansoni</t>
  </si>
  <si>
    <t>32.326302--0.67167</t>
  </si>
  <si>
    <t>32.326302--0.67167_S. mansoni</t>
  </si>
  <si>
    <t>30.52--0.65</t>
  </si>
  <si>
    <t>30.52--0.65_S. mansoni</t>
  </si>
  <si>
    <t>32.352299--0.64666</t>
  </si>
  <si>
    <t>32.352299--0.64666_S. mansoni</t>
  </si>
  <si>
    <t>32.312801--0.632</t>
  </si>
  <si>
    <t>32.312801--0.632_S. mansoni</t>
  </si>
  <si>
    <t>31.5--0.63</t>
  </si>
  <si>
    <t>31.5--0.63_S. mansoni</t>
  </si>
  <si>
    <t>30.030001--0.6</t>
  </si>
  <si>
    <t>30.030001--0.6_S. mansoni</t>
  </si>
  <si>
    <t>30.42--0.58</t>
  </si>
  <si>
    <t>30.42--0.58_S. mansoni</t>
  </si>
  <si>
    <t>32.2225--0.56909</t>
  </si>
  <si>
    <t>32.2225--0.56909_S. mansoni</t>
  </si>
  <si>
    <t>31.25--0.533</t>
  </si>
  <si>
    <t>31.25--0.533_S. mansoni</t>
  </si>
  <si>
    <t>32.297298--0.52895</t>
  </si>
  <si>
    <t>32.297298--0.52895_S. mansoni</t>
  </si>
  <si>
    <t>32.446201--0.4887</t>
  </si>
  <si>
    <t>32.446201--0.4887_S. mansoni</t>
  </si>
  <si>
    <t>32.328201--0.45702</t>
  </si>
  <si>
    <t>32.328201--0.45702_S. mansoni</t>
  </si>
  <si>
    <t>32.227901--0.43865</t>
  </si>
  <si>
    <t>32.227901--0.43865_S. mansoni</t>
  </si>
  <si>
    <t>32.351101--0.43715</t>
  </si>
  <si>
    <t>32.351101--0.43715_S. mansoni</t>
  </si>
  <si>
    <t>32.366699--0.42411</t>
  </si>
  <si>
    <t>32.366699--0.42411_S. mansoni</t>
  </si>
  <si>
    <t>32.228298--0.4173</t>
  </si>
  <si>
    <t>32.228298--0.4173_S. mansoni</t>
  </si>
  <si>
    <t>29.7833--0.4167</t>
  </si>
  <si>
    <t>29.7833--0.4167_S. mansoni</t>
  </si>
  <si>
    <t>32.3092--0.41439</t>
  </si>
  <si>
    <t>32.3092--0.41439_S. mansoni</t>
  </si>
  <si>
    <t>32.404301--0.40281</t>
  </si>
  <si>
    <t>32.404301--0.40281_S. mansoni</t>
  </si>
  <si>
    <t>32.327801--0.396</t>
  </si>
  <si>
    <t>32.327801--0.396_S. mansoni</t>
  </si>
  <si>
    <t>30.566--0.383</t>
  </si>
  <si>
    <t>30.566--0.383_S. mansoni</t>
  </si>
  <si>
    <t>31.469999--0.38</t>
  </si>
  <si>
    <t>31.469999--0.38_S. mansoni</t>
  </si>
  <si>
    <t>32.5168--0.37463</t>
  </si>
  <si>
    <t>32.5168--0.37463_S. mansoni</t>
  </si>
  <si>
    <t>32.478199--0.37258</t>
  </si>
  <si>
    <t>32.478199--0.37258_S. mansoni</t>
  </si>
  <si>
    <t>32.414299--0.36561</t>
  </si>
  <si>
    <t>32.414299--0.36561_S. mansoni</t>
  </si>
  <si>
    <t>32.2388--0.36485</t>
  </si>
  <si>
    <t>32.2388--0.36485_S. mansoni</t>
  </si>
  <si>
    <t>32.295399--0.36381</t>
  </si>
  <si>
    <t>32.295399--0.36381_S. mansoni</t>
  </si>
  <si>
    <t>32.294899--0.363533</t>
  </si>
  <si>
    <t>32.294899--0.363533_S. mansoni</t>
  </si>
  <si>
    <t>32.571499--0.351583</t>
  </si>
  <si>
    <t>32.571499--0.351583_S. mansoni</t>
  </si>
  <si>
    <t>32.571301--0.35153</t>
  </si>
  <si>
    <t>32.571301--0.35153_S. mansoni</t>
  </si>
  <si>
    <t>32.489799--0.34038</t>
  </si>
  <si>
    <t>32.489799--0.34038_S. mansoni</t>
  </si>
  <si>
    <t>32.375999--0.33807</t>
  </si>
  <si>
    <t>32.375999--0.33807_S. mansoni</t>
  </si>
  <si>
    <t>32.5686--0.33335</t>
  </si>
  <si>
    <t>32.5686--0.33335_S. mansoni</t>
  </si>
  <si>
    <t>32.188499--0.33256</t>
  </si>
  <si>
    <t>32.188499--0.33256_S. mansoni</t>
  </si>
  <si>
    <t>32.310101--0.32837</t>
  </si>
  <si>
    <t>32.310101--0.32837_S. mansoni</t>
  </si>
  <si>
    <t>32.284199--0.32395</t>
  </si>
  <si>
    <t>32.284199--0.32395_S. mansoni</t>
  </si>
  <si>
    <t>32.149502--0.32341</t>
  </si>
  <si>
    <t>32.149502--0.32341_S. mansoni</t>
  </si>
  <si>
    <t>32.1936--0.322849</t>
  </si>
  <si>
    <t>32.1936--0.322849_S. mansoni</t>
  </si>
  <si>
    <t>32.5755--0.32025</t>
  </si>
  <si>
    <t>32.5755--0.32025_S. mansoni</t>
  </si>
  <si>
    <t>32.1996--0.31496</t>
  </si>
  <si>
    <t>32.1996--0.31496_S. mansoni</t>
  </si>
  <si>
    <t>32.237598--0.30533</t>
  </si>
  <si>
    <t>32.237598--0.30533_S. mansoni</t>
  </si>
  <si>
    <t>32.141201--0.300666</t>
  </si>
  <si>
    <t>32.141201--0.300666_S. mansoni</t>
  </si>
  <si>
    <t>32.079399--0.26678</t>
  </si>
  <si>
    <t>32.079399--0.26678_S. mansoni</t>
  </si>
  <si>
    <t>32.428501--0.26246</t>
  </si>
  <si>
    <t>32.428501--0.26246_S. mansoni</t>
  </si>
  <si>
    <t>32.3941--0.25941</t>
  </si>
  <si>
    <t>32.3941--0.25941_S. mansoni</t>
  </si>
  <si>
    <t>32.066399--0.257183</t>
  </si>
  <si>
    <t>32.066399--0.257183_S. mansoni</t>
  </si>
  <si>
    <t>32.067001--0.24923</t>
  </si>
  <si>
    <t>32.067001--0.24923_S. mansoni</t>
  </si>
  <si>
    <t>32.3564--0.24036</t>
  </si>
  <si>
    <t>32.3564--0.24036_S. mansoni</t>
  </si>
  <si>
    <t>32.1847--0.23807</t>
  </si>
  <si>
    <t>32.1847--0.23807_S. mansoni</t>
  </si>
  <si>
    <t>32.5751--0.2338</t>
  </si>
  <si>
    <t>32.5751--0.2338_S. mansoni</t>
  </si>
  <si>
    <t>32.143101--0.22986</t>
  </si>
  <si>
    <t>32.143101--0.22986_S. mansoni</t>
  </si>
  <si>
    <t>32.108002--0.2282</t>
  </si>
  <si>
    <t>32.108002--0.2282_S. mansoni</t>
  </si>
  <si>
    <t>32.557301--0.22757</t>
  </si>
  <si>
    <t>32.557301--0.22757_S. mansoni</t>
  </si>
  <si>
    <t>32.307598--0.22574</t>
  </si>
  <si>
    <t>32.307598--0.22574_S. mansoni</t>
  </si>
  <si>
    <t>32.077499--0.22048</t>
  </si>
  <si>
    <t>32.077499--0.22048_S. mansoni</t>
  </si>
  <si>
    <t>32.3311--0.19813</t>
  </si>
  <si>
    <t>32.3311--0.19813_S. mansoni</t>
  </si>
  <si>
    <t>32.259602--0.19225</t>
  </si>
  <si>
    <t>32.259602--0.19225_S. mansoni</t>
  </si>
  <si>
    <t>32.3022--0.18954</t>
  </si>
  <si>
    <t>32.3022--0.18954_S. mansoni</t>
  </si>
  <si>
    <t>32.2938--0.17993</t>
  </si>
  <si>
    <t>32.2938--0.17993_S. mansoni</t>
  </si>
  <si>
    <t>32.271198--0.16808</t>
  </si>
  <si>
    <t>32.271198--0.16808_S. mansoni</t>
  </si>
  <si>
    <t>33.681801--0.119425</t>
  </si>
  <si>
    <t>33.681801--0.119425_S. mansoni</t>
  </si>
  <si>
    <t>33.681801--0.119425_S. haematobium</t>
  </si>
  <si>
    <t>32.652199--0.08683</t>
  </si>
  <si>
    <t>32.652199--0.08683_S. mansoni</t>
  </si>
  <si>
    <t>32.6623--0.025221</t>
  </si>
  <si>
    <t>32.6623--0.025221_S. mansoni</t>
  </si>
  <si>
    <t>33.618401--0.02112</t>
  </si>
  <si>
    <t>33.618401--0.02112_S. mansoni</t>
  </si>
  <si>
    <t>33.654099--0.01055</t>
  </si>
  <si>
    <t>33.654099--0.01055_S. mansoni</t>
  </si>
  <si>
    <t>0-0_S. mansoni</t>
  </si>
  <si>
    <t>33.6586-0.003033</t>
  </si>
  <si>
    <t>33.6586-0.003033_S. mansoni</t>
  </si>
  <si>
    <t>32.7672-0.014767</t>
  </si>
  <si>
    <t>32.7672-0.014767_S. mansoni</t>
  </si>
  <si>
    <t>33.6366-0.02202</t>
  </si>
  <si>
    <t>33.6366-0.02202_S. mansoni</t>
  </si>
  <si>
    <t>33.6446-0.031083</t>
  </si>
  <si>
    <t>33.6446-0.031083_S. mansoni</t>
  </si>
  <si>
    <t>32.4342-0.03194</t>
  </si>
  <si>
    <t>32.4342-0.03194_S. mansoni</t>
  </si>
  <si>
    <t>32.448299-0.033889</t>
  </si>
  <si>
    <t>32.448299-0.033889_S. mansoni</t>
  </si>
  <si>
    <t>32.466499-0.03971</t>
  </si>
  <si>
    <t>32.466499-0.03971_S. mansoni</t>
  </si>
  <si>
    <t>32.4659-0.044546</t>
  </si>
  <si>
    <t>32.4659-0.044546_S. mansoni</t>
  </si>
  <si>
    <t>32.4659-0.044975</t>
  </si>
  <si>
    <t>32.4659-0.044975_S. mansoni</t>
  </si>
  <si>
    <t>33.605999-0.05235</t>
  </si>
  <si>
    <t>33.605999-0.05235_S. mansoni</t>
  </si>
  <si>
    <t>33.605801-0.05235</t>
  </si>
  <si>
    <t>33.605801-0.05235_S. mansoni</t>
  </si>
  <si>
    <t>32.520599-0.066483</t>
  </si>
  <si>
    <t>32.520599-0.066483_S. mansoni</t>
  </si>
  <si>
    <t>32.466702-0.070493</t>
  </si>
  <si>
    <t>32.466702-0.070493_S. mansoni</t>
  </si>
  <si>
    <t>32.7761-0.073017</t>
  </si>
  <si>
    <t>32.7761-0.073017_S. mansoni</t>
  </si>
  <si>
    <t>32.450401-0.079965</t>
  </si>
  <si>
    <t>32.450401-0.079965_S. mansoni</t>
  </si>
  <si>
    <t>32.471001-0.082938</t>
  </si>
  <si>
    <t>32.471001-0.082938_S. mansoni</t>
  </si>
  <si>
    <t>32.476799-0.0864</t>
  </si>
  <si>
    <t>32.476799-0.0864_S. mansoni</t>
  </si>
  <si>
    <t>33.599899-0.11125</t>
  </si>
  <si>
    <t>33.599899-0.11125_S. mansoni</t>
  </si>
  <si>
    <t>33.6021-0.111767</t>
  </si>
  <si>
    <t>33.6021-0.111767_S. mansoni</t>
  </si>
  <si>
    <t>33.574799-0.12363</t>
  </si>
  <si>
    <t>33.574799-0.12363_S. mansoni</t>
  </si>
  <si>
    <t>32.555199-0.12925</t>
  </si>
  <si>
    <t>32.555199-0.12925_S. mansoni</t>
  </si>
  <si>
    <t>33.550499-0.13733</t>
  </si>
  <si>
    <t>33.550499-0.13733_S. mansoni</t>
  </si>
  <si>
    <t>32.799801-0.15135</t>
  </si>
  <si>
    <t>32.799801-0.15135_S. mansoni</t>
  </si>
  <si>
    <t>32.8064-0.15575</t>
  </si>
  <si>
    <t>32.8064-0.15575_S. mansoni</t>
  </si>
  <si>
    <t>33.566002-0.156183</t>
  </si>
  <si>
    <t>33.566002-0.156183_S. mansoni</t>
  </si>
  <si>
    <t>33.821499-0.15846</t>
  </si>
  <si>
    <t>33.821499-0.15846_S. mansoni</t>
  </si>
  <si>
    <t>33.875-0.166417</t>
  </si>
  <si>
    <t>33.875-0.166417_S. mansoni</t>
  </si>
  <si>
    <t>33.874901-0.16655</t>
  </si>
  <si>
    <t>33.874901-0.16655_S. mansoni</t>
  </si>
  <si>
    <t>33.183998-0.1732</t>
  </si>
  <si>
    <t>33.183998-0.1732_S. mansoni</t>
  </si>
  <si>
    <t>33.564201-0.173318</t>
  </si>
  <si>
    <t>33.564201-0.173318_S. mansoni</t>
  </si>
  <si>
    <t>33.521702-0.1776</t>
  </si>
  <si>
    <t>33.521702-0.1776_S. mansoni</t>
  </si>
  <si>
    <t>33.521702-0.17763</t>
  </si>
  <si>
    <t>33.521702-0.17763_S. mansoni</t>
  </si>
  <si>
    <t>33.5611-0.177817</t>
  </si>
  <si>
    <t>33.5611-0.177817_S. mansoni</t>
  </si>
  <si>
    <t>33.215199-0.185583</t>
  </si>
  <si>
    <t>33.215199-0.185583_S. mansoni</t>
  </si>
  <si>
    <t>33.865002-0.193133</t>
  </si>
  <si>
    <t>33.865002-0.193133_S. mansoni</t>
  </si>
  <si>
    <t>33.864601-0.193717</t>
  </si>
  <si>
    <t>33.864601-0.193717_S. mansoni</t>
  </si>
  <si>
    <t>33.501598-0.1963</t>
  </si>
  <si>
    <t>33.501598-0.1963_S. mansoni</t>
  </si>
  <si>
    <t>33.893101-0.20765</t>
  </si>
  <si>
    <t>33.893101-0.20765_S. mansoni</t>
  </si>
  <si>
    <t>32.0723-0.209617</t>
  </si>
  <si>
    <t>32.0723-0.209617_S. mansoni</t>
  </si>
  <si>
    <t>33.909401-0.231917</t>
  </si>
  <si>
    <t>33.909401-0.231917_S. mansoni</t>
  </si>
  <si>
    <t>33.255299-0.237783</t>
  </si>
  <si>
    <t>33.255299-0.237783_S. mansoni</t>
  </si>
  <si>
    <t>33.945301-0.238267</t>
  </si>
  <si>
    <t>33.945301-0.238267_S. mansoni</t>
  </si>
  <si>
    <t>33.1371-0.2403</t>
  </si>
  <si>
    <t>33.1371-0.2403_S. mansoni</t>
  </si>
  <si>
    <t>33.943401-0.245317</t>
  </si>
  <si>
    <t>33.943401-0.245317_S. mansoni</t>
  </si>
  <si>
    <t>33.943298-0.245483</t>
  </si>
  <si>
    <t>33.943298-0.245483_S. mansoni</t>
  </si>
  <si>
    <t>33.993401-0.247283</t>
  </si>
  <si>
    <t>33.993401-0.247283_S. mansoni</t>
  </si>
  <si>
    <t>33.993198-0.247683</t>
  </si>
  <si>
    <t>33.993198-0.247683_S. mansoni</t>
  </si>
  <si>
    <t>32.083-0.25</t>
  </si>
  <si>
    <t>32.083-0.25_S. mansoni</t>
  </si>
  <si>
    <t>33.988899-0.253067</t>
  </si>
  <si>
    <t>33.988899-0.253067_S. mansoni</t>
  </si>
  <si>
    <t>33.9664-0.259259</t>
  </si>
  <si>
    <t>33.9664-0.259259_S. mansoni</t>
  </si>
  <si>
    <t>33.514-0.261283</t>
  </si>
  <si>
    <t>33.514-0.261283_S. mansoni</t>
  </si>
  <si>
    <t>33.515202-0.26163</t>
  </si>
  <si>
    <t>33.515202-0.26163_S. mansoni</t>
  </si>
  <si>
    <t>32.630199-0.262268</t>
  </si>
  <si>
    <t>32.630199-0.262268_S. mansoni</t>
  </si>
  <si>
    <t>33.984699-0.263167</t>
  </si>
  <si>
    <t>33.984699-0.263167_S. mansoni</t>
  </si>
  <si>
    <t>33.987801-0.264117</t>
  </si>
  <si>
    <t>33.987801-0.264117_S. mansoni</t>
  </si>
  <si>
    <t>33.987801-0.264317</t>
  </si>
  <si>
    <t>33.987801-0.264317_S. mansoni</t>
  </si>
  <si>
    <t>33.205898-0.270217</t>
  </si>
  <si>
    <t>33.205898-0.270217_S. mansoni</t>
  </si>
  <si>
    <t>32.6166-0.27578</t>
  </si>
  <si>
    <t>32.6166-0.27578_S. mansoni</t>
  </si>
  <si>
    <t>32.792801-0.2767</t>
  </si>
  <si>
    <t>32.792801-0.2767_S. mansoni</t>
  </si>
  <si>
    <t>32.026501-0.279267</t>
  </si>
  <si>
    <t>32.026501-0.279267_S. mansoni</t>
  </si>
  <si>
    <t>33.146301-0.2805</t>
  </si>
  <si>
    <t>33.146301-0.2805_S. mansoni</t>
  </si>
  <si>
    <t>32.650002-0.2833</t>
  </si>
  <si>
    <t>32.650002-0.2833_S. mansoni</t>
  </si>
  <si>
    <t>34.033501-0.286867</t>
  </si>
  <si>
    <t>34.033501-0.286867_S. mansoni</t>
  </si>
  <si>
    <t>34.033401-0.2869</t>
  </si>
  <si>
    <t>34.033401-0.2869_S. mansoni</t>
  </si>
  <si>
    <t>32.548698-0.292</t>
  </si>
  <si>
    <t>32.548698-0.292_S. mansoni</t>
  </si>
  <si>
    <t>33.632099-0.29426</t>
  </si>
  <si>
    <t>33.632099-0.29426_S. mansoni</t>
  </si>
  <si>
    <t>34.030399-0.299867</t>
  </si>
  <si>
    <t>34.030399-0.299867_S. mansoni</t>
  </si>
  <si>
    <t>33.492401-0.311061</t>
  </si>
  <si>
    <t>33.492401-0.311061_S. mansoni</t>
  </si>
  <si>
    <t>33.665401-0.31108</t>
  </si>
  <si>
    <t>33.665401-0.31108_S. mansoni</t>
  </si>
  <si>
    <t>33.626999-0.318117</t>
  </si>
  <si>
    <t>33.626999-0.318117_S. mansoni</t>
  </si>
  <si>
    <t>33.627701-0.322147</t>
  </si>
  <si>
    <t>33.627701-0.322147_S. mansoni</t>
  </si>
  <si>
    <t>32.2845-0.32222</t>
  </si>
  <si>
    <t>32.2845-0.32222_S. mansoni</t>
  </si>
  <si>
    <t>33.712399-0.3234</t>
  </si>
  <si>
    <t>33.712399-0.3234_S. mansoni</t>
  </si>
  <si>
    <t>33.6278-0.323433</t>
  </si>
  <si>
    <t>33.6278-0.323433_S. mansoni</t>
  </si>
  <si>
    <t>33.6283-0.32365</t>
  </si>
  <si>
    <t>33.6283-0.32365_S. mansoni</t>
  </si>
  <si>
    <t>33.713501-0.325767</t>
  </si>
  <si>
    <t>33.713501-0.325767_S. mansoni</t>
  </si>
  <si>
    <t>32.576801-0.32704</t>
  </si>
  <si>
    <t>32.576801-0.32704_S. mansoni</t>
  </si>
  <si>
    <t>33.616001-0.333</t>
  </si>
  <si>
    <t>33.616001-0.333_S. mansoni</t>
  </si>
  <si>
    <t>33.6707-0.33403</t>
  </si>
  <si>
    <t>33.6707-0.33403_S. mansoni</t>
  </si>
  <si>
    <t>33.509201-0.341767</t>
  </si>
  <si>
    <t>33.509201-0.341767_S. mansoni</t>
  </si>
  <si>
    <t>33.6092-0.34203</t>
  </si>
  <si>
    <t>33.6092-0.34203_S. mansoni</t>
  </si>
  <si>
    <t>32.998699-0.345367</t>
  </si>
  <si>
    <t>32.998699-0.345367_S. mansoni</t>
  </si>
  <si>
    <t>33.630001-0.34595</t>
  </si>
  <si>
    <t>33.630001-0.34595_S. mansoni</t>
  </si>
  <si>
    <t>33.705502-0.35065</t>
  </si>
  <si>
    <t>33.705502-0.35065_S. mansoni</t>
  </si>
  <si>
    <t>33.705502-0.350683</t>
  </si>
  <si>
    <t>33.705502-0.350683_S. mansoni</t>
  </si>
  <si>
    <t>33.6661-0.35156</t>
  </si>
  <si>
    <t>33.6661-0.35156_S. mansoni</t>
  </si>
  <si>
    <t>33.696499-0.354</t>
  </si>
  <si>
    <t>33.696499-0.354_S. mansoni</t>
  </si>
  <si>
    <t>33.442402-0.355633</t>
  </si>
  <si>
    <t>33.442402-0.355633_S. mansoni</t>
  </si>
  <si>
    <t>32.635502-0.35578</t>
  </si>
  <si>
    <t>32.635502-0.35578_S. mansoni</t>
  </si>
  <si>
    <t>33.443298-0.35605</t>
  </si>
  <si>
    <t>33.443298-0.35605_S. mansoni</t>
  </si>
  <si>
    <t>33.026798-0.357383</t>
  </si>
  <si>
    <t>33.026798-0.357383_S. mansoni</t>
  </si>
  <si>
    <t>33.620399-0.36055</t>
  </si>
  <si>
    <t>33.620399-0.36055_S. mansoni</t>
  </si>
  <si>
    <t>33.3689-0.3621</t>
  </si>
  <si>
    <t>33.3689-0.3621_S. mansoni</t>
  </si>
  <si>
    <t>33.445-0.3696</t>
  </si>
  <si>
    <t>33.445-0.3696_S. mansoni</t>
  </si>
  <si>
    <t>32.569302-0.37947</t>
  </si>
  <si>
    <t>32.569302-0.37947_S. mansoni</t>
  </si>
  <si>
    <t>33.598-0.38</t>
  </si>
  <si>
    <t>33.598-0.38_S. mansoni</t>
  </si>
  <si>
    <t>33.368-0.3837</t>
  </si>
  <si>
    <t>33.368-0.3837_S. mansoni</t>
  </si>
  <si>
    <t>33.622299-0.38813</t>
  </si>
  <si>
    <t>33.622299-0.38813_S. mansoni</t>
  </si>
  <si>
    <t>33.565399-0.39982</t>
  </si>
  <si>
    <t>33.565399-0.39982_S. mansoni</t>
  </si>
  <si>
    <t>32.560001-0.4</t>
  </si>
  <si>
    <t>32.560001-0.4_S. mansoni</t>
  </si>
  <si>
    <t>32.049999-0.4</t>
  </si>
  <si>
    <t>32.049999-0.4_S. mansoni</t>
  </si>
  <si>
    <t>33.6408-0.40162</t>
  </si>
  <si>
    <t>33.6408-0.40162_S. mansoni</t>
  </si>
  <si>
    <t>33.619499-0.40322</t>
  </si>
  <si>
    <t>33.619499-0.40322_S. mansoni</t>
  </si>
  <si>
    <t>33.4184-0.405683</t>
  </si>
  <si>
    <t>33.4184-0.405683_S. mansoni</t>
  </si>
  <si>
    <t>33.595299-0.40622</t>
  </si>
  <si>
    <t>33.595299-0.40622_S. mansoni</t>
  </si>
  <si>
    <t>33.6115-0.40693</t>
  </si>
  <si>
    <t>33.6115-0.40693_S. mansoni</t>
  </si>
  <si>
    <t>33.592701-0.41028</t>
  </si>
  <si>
    <t>33.592701-0.41028_S. mansoni</t>
  </si>
  <si>
    <t>33.2155-0.41925</t>
  </si>
  <si>
    <t>33.2155-0.41925_S. mansoni</t>
  </si>
  <si>
    <t>33.6026-0.42017</t>
  </si>
  <si>
    <t>33.6026-0.42017_S. mansoni</t>
  </si>
  <si>
    <t>33.555901-0.42118</t>
  </si>
  <si>
    <t>33.555901-0.42118_S. mansoni</t>
  </si>
  <si>
    <t>33.572102-0.42195</t>
  </si>
  <si>
    <t>33.572102-0.42195_S. mansoni</t>
  </si>
  <si>
    <t>33.204201-0.424444</t>
  </si>
  <si>
    <t>33.204201-0.424444_S. haematobium</t>
  </si>
  <si>
    <t>33.202-0.436556</t>
  </si>
  <si>
    <t>33.202-0.436556_S. mansoni</t>
  </si>
  <si>
    <t>33.228401-0.439877</t>
  </si>
  <si>
    <t>33.228401-0.439877_S. mansoni</t>
  </si>
  <si>
    <t>33.481998-0.443417</t>
  </si>
  <si>
    <t>33.481998-0.443417_S. mansoni</t>
  </si>
  <si>
    <t>33.4823-0.44362</t>
  </si>
  <si>
    <t>33.4823-0.44362_S. mansoni</t>
  </si>
  <si>
    <t>33.225601-0.451267</t>
  </si>
  <si>
    <t>33.225601-0.451267_S. mansoni</t>
  </si>
  <si>
    <t>34.095299-0.4628</t>
  </si>
  <si>
    <t>34.095299-0.4628_S. mansoni</t>
  </si>
  <si>
    <t>34.087799-0.464917</t>
  </si>
  <si>
    <t>34.087799-0.464917_S. mansoni</t>
  </si>
  <si>
    <t>33.584-0.467</t>
  </si>
  <si>
    <t>33.584-0.467_S. mansoni</t>
  </si>
  <si>
    <t>33.481998-0.48</t>
  </si>
  <si>
    <t>33.481998-0.48_S. mansoni</t>
  </si>
  <si>
    <t>33.876801-0.485161</t>
  </si>
  <si>
    <t>33.876801-0.485161_S. mansoni</t>
  </si>
  <si>
    <t>33.2202-0.488533</t>
  </si>
  <si>
    <t>33.2202-0.488533_S. mansoni</t>
  </si>
  <si>
    <t>34.083-0.5</t>
  </si>
  <si>
    <t>34.083-0.5_S. mansoni</t>
  </si>
  <si>
    <t>33.404598-0.521867</t>
  </si>
  <si>
    <t>33.404598-0.521867_S. mansoni</t>
  </si>
  <si>
    <t>33.8619-0.52625</t>
  </si>
  <si>
    <t>33.8619-0.52625_S. mansoni</t>
  </si>
  <si>
    <t>33.8741-0.5343</t>
  </si>
  <si>
    <t>33.8741-0.5343_S. mansoni</t>
  </si>
  <si>
    <t>33.904301-0.538817</t>
  </si>
  <si>
    <t>33.904301-0.538817_S. mansoni</t>
  </si>
  <si>
    <t>33.327099-0.559033</t>
  </si>
  <si>
    <t>33.327099-0.559033_S. mansoni</t>
  </si>
  <si>
    <t>33.669998-0.58</t>
  </si>
  <si>
    <t>33.669998-0.58_S. mansoni</t>
  </si>
  <si>
    <t>31.85-0.588</t>
  </si>
  <si>
    <t>31.85-0.588_S. mansoni</t>
  </si>
  <si>
    <t>33.110001-0.594383</t>
  </si>
  <si>
    <t>33.110001-0.594383_S. mansoni</t>
  </si>
  <si>
    <t>33.076302-0.59755</t>
  </si>
  <si>
    <t>33.076302-0.59755_S. mansoni</t>
  </si>
  <si>
    <t>33.3004-0.614917</t>
  </si>
  <si>
    <t>33.3004-0.614917_S. mansoni</t>
  </si>
  <si>
    <t>29.9753-0.6156</t>
  </si>
  <si>
    <t>29.9753-0.6156_S. mansoni</t>
  </si>
  <si>
    <t>33.599998-0.633</t>
  </si>
  <si>
    <t>33.599998-0.633_S. mansoni</t>
  </si>
  <si>
    <t>33.283901-0.6479</t>
  </si>
  <si>
    <t>33.283901-0.6479_S. mansoni</t>
  </si>
  <si>
    <t>30.0121-0.670617</t>
  </si>
  <si>
    <t>30.0121-0.670617_S. mansoni</t>
  </si>
  <si>
    <t>30.271999-0.675</t>
  </si>
  <si>
    <t>30.271999-0.675_S. mansoni</t>
  </si>
  <si>
    <t>30.0688-0.676633</t>
  </si>
  <si>
    <t>30.0688-0.676633_S. mansoni</t>
  </si>
  <si>
    <t>33.3666-0.6833</t>
  </si>
  <si>
    <t>33.3666-0.6833_S. mansoni</t>
  </si>
  <si>
    <t>32.922199-0.683633</t>
  </si>
  <si>
    <t>32.922199-0.683633_S. mansoni</t>
  </si>
  <si>
    <t>33.77-0.69</t>
  </si>
  <si>
    <t>33.77-0.69_S. mansoni</t>
  </si>
  <si>
    <t>34.010601-0.692607</t>
  </si>
  <si>
    <t>34.010601-0.692607_S. mansoni</t>
  </si>
  <si>
    <t>32.901001-0.700433</t>
  </si>
  <si>
    <t>32.901001-0.700433_S. mansoni</t>
  </si>
  <si>
    <t>30.076799-0.70895</t>
  </si>
  <si>
    <t>30.076799-0.70895_S. mansoni</t>
  </si>
  <si>
    <t>33.166599-0.7166</t>
  </si>
  <si>
    <t>33.166599-0.7166_S. mansoni</t>
  </si>
  <si>
    <t>30.0541-0.766217</t>
  </si>
  <si>
    <t>30.0541-0.766217_S. mansoni</t>
  </si>
  <si>
    <t>32.992199-0.779633</t>
  </si>
  <si>
    <t>32.992199-0.779633_S. mansoni</t>
  </si>
  <si>
    <t>30.1108-0.8013</t>
  </si>
  <si>
    <t>30.1108-0.8013_S. mansoni</t>
  </si>
  <si>
    <t>33.0187-0.80345</t>
  </si>
  <si>
    <t>33.0187-0.80345_S. mansoni</t>
  </si>
  <si>
    <t>32.632999-0.833</t>
  </si>
  <si>
    <t>32.632999-0.833_S. mansoni</t>
  </si>
  <si>
    <t>32.957199-0.8409</t>
  </si>
  <si>
    <t>32.957199-0.8409_S. mansoni</t>
  </si>
  <si>
    <t>34.150002-0.85</t>
  </si>
  <si>
    <t>34.150002-0.85_S. mansoni</t>
  </si>
  <si>
    <t>32.865299-0.890033</t>
  </si>
  <si>
    <t>32.865299-0.890033_S. mansoni</t>
  </si>
  <si>
    <t>30.6166-0.9166</t>
  </si>
  <si>
    <t>30.6166-0.9166_S. mansoni</t>
  </si>
  <si>
    <t>30.5665-0.951083</t>
  </si>
  <si>
    <t>30.5665-0.951083_S. mansoni</t>
  </si>
  <si>
    <t>34.056599-0.963713</t>
  </si>
  <si>
    <t>34.056599-0.963713_S. mansoni</t>
  </si>
  <si>
    <t>30.6007-0.96595</t>
  </si>
  <si>
    <t>30.6007-0.96595_S. mansoni</t>
  </si>
  <si>
    <t>34.200001-0.983</t>
  </si>
  <si>
    <t>34.200001-0.983_S. mansoni</t>
  </si>
  <si>
    <t>30.5818-1.01775</t>
  </si>
  <si>
    <t>30.5818-1.01775_S. mansoni</t>
  </si>
  <si>
    <t>30.690201-1.02597</t>
  </si>
  <si>
    <t>30.690201-1.02597_S. mansoni</t>
  </si>
  <si>
    <t>30.5912-1.03217</t>
  </si>
  <si>
    <t>30.5912-1.03217_S. mansoni</t>
  </si>
  <si>
    <t>30.574301-1.03269</t>
  </si>
  <si>
    <t>30.574301-1.03269_S. mansoni</t>
  </si>
  <si>
    <t>30.263201-1.0468</t>
  </si>
  <si>
    <t>30.263201-1.0468_S. mansoni</t>
  </si>
  <si>
    <t>32.450001-1.05</t>
  </si>
  <si>
    <t>32.450001-1.05_S. mansoni</t>
  </si>
  <si>
    <t>30.5-1.06667</t>
  </si>
  <si>
    <t>30.5-1.06667_S. mansoni</t>
  </si>
  <si>
    <t>30.633301-1.0667</t>
  </si>
  <si>
    <t>30.633301-1.0667_S. mansoni</t>
  </si>
  <si>
    <t>30.292601-1.08253</t>
  </si>
  <si>
    <t>30.292601-1.08253_S. mansoni</t>
  </si>
  <si>
    <t>32.465599-1.16262</t>
  </si>
  <si>
    <t>32.465599-1.16262_S. mansoni</t>
  </si>
  <si>
    <t>34.233002-1.233</t>
  </si>
  <si>
    <t>34.233002-1.233_S. mansoni</t>
  </si>
  <si>
    <t>34.083302-1.2332</t>
  </si>
  <si>
    <t>34.083302-1.2332_S. mansoni</t>
  </si>
  <si>
    <t>32.5467-1.30412</t>
  </si>
  <si>
    <t>32.5467-1.30412_S. mansoni</t>
  </si>
  <si>
    <t>32.471901-1.3156</t>
  </si>
  <si>
    <t>32.471901-1.3156_S. mansoni</t>
  </si>
  <si>
    <t>32.501701-1.3335</t>
  </si>
  <si>
    <t>32.501701-1.3335_S. mansoni</t>
  </si>
  <si>
    <t>30.872801-1.41027</t>
  </si>
  <si>
    <t>30.872801-1.41027_S. mansoni</t>
  </si>
  <si>
    <t>30.9063-1.43615</t>
  </si>
  <si>
    <t>30.9063-1.43615_S. mansoni</t>
  </si>
  <si>
    <t>32.2603-1.47005</t>
  </si>
  <si>
    <t>32.2603-1.47005_S. mansoni</t>
  </si>
  <si>
    <t>31.284-1.49342</t>
  </si>
  <si>
    <t>31.284-1.49342_S. mansoni</t>
  </si>
  <si>
    <t>31.2841-1.49388</t>
  </si>
  <si>
    <t>31.2841-1.49388_S. mansoni</t>
  </si>
  <si>
    <t>32.504398-1.50563</t>
  </si>
  <si>
    <t>32.504398-1.50563_S. mansoni</t>
  </si>
  <si>
    <t>30.935801-1.50728</t>
  </si>
  <si>
    <t>30.935801-1.50728_S. mansoni</t>
  </si>
  <si>
    <t>32.4063-1.51023</t>
  </si>
  <si>
    <t>32.4063-1.51023_S. mansoni</t>
  </si>
  <si>
    <t>32.040001-1.53913</t>
  </si>
  <si>
    <t>32.040001-1.53913_S. mansoni</t>
  </si>
  <si>
    <t>32.8922-1.54889</t>
  </si>
  <si>
    <t>32.8922-1.54889_S. mansoni</t>
  </si>
  <si>
    <t>32.896599-1.58034</t>
  </si>
  <si>
    <t>32.896599-1.58034_S. mansoni</t>
  </si>
  <si>
    <t>32.896599-1.58034_S. haematobium</t>
  </si>
  <si>
    <t>31.186399-1.581</t>
  </si>
  <si>
    <t>31.186399-1.581_S. mansoni</t>
  </si>
  <si>
    <t>31.1866-1.58112</t>
  </si>
  <si>
    <t>31.1866-1.58112_S. mansoni</t>
  </si>
  <si>
    <t>31.090599-1.58602</t>
  </si>
  <si>
    <t>31.090599-1.58602_S. mansoni</t>
  </si>
  <si>
    <t>31.09-1.58628</t>
  </si>
  <si>
    <t>31.09-1.58628_S. mansoni</t>
  </si>
  <si>
    <t>32.877201-1.6395</t>
  </si>
  <si>
    <t>32.877201-1.6395_S. mansoni</t>
  </si>
  <si>
    <t>32.333302-1.66667</t>
  </si>
  <si>
    <t>32.333302-1.66667_S. haematobium</t>
  </si>
  <si>
    <t>31.251301-1.67175</t>
  </si>
  <si>
    <t>31.251301-1.67175_S. mansoni</t>
  </si>
  <si>
    <t>31.250999-1.67482</t>
  </si>
  <si>
    <t>31.250999-1.67482_S. mansoni</t>
  </si>
  <si>
    <t>31.497499-1.68222</t>
  </si>
  <si>
    <t>31.497499-1.68222_S. mansoni</t>
  </si>
  <si>
    <t>32.506001-1.68352</t>
  </si>
  <si>
    <t>32.506001-1.68352_S. haematobium</t>
  </si>
  <si>
    <t>32.506001-1.68352_S. mansoni</t>
  </si>
  <si>
    <t>31.308599-1.68503</t>
  </si>
  <si>
    <t>31.308599-1.68503_S. mansoni</t>
  </si>
  <si>
    <t>32.394501-1.70354</t>
  </si>
  <si>
    <t>32.394501-1.70354_S. haematobium</t>
  </si>
  <si>
    <t>33.8522-1.71783</t>
  </si>
  <si>
    <t>33.8522-1.71783_S. mansoni</t>
  </si>
  <si>
    <t>31.310699-1.7317</t>
  </si>
  <si>
    <t>31.310699-1.7317_S. mansoni</t>
  </si>
  <si>
    <t>31.310499-1.73187</t>
  </si>
  <si>
    <t>31.310499-1.73187_S. mansoni</t>
  </si>
  <si>
    <t>31.307501-1.73315</t>
  </si>
  <si>
    <t>31.307501-1.73315_S. mansoni</t>
  </si>
  <si>
    <t>34.1007-1.73383</t>
  </si>
  <si>
    <t>34.1007-1.73383_S. mansoni</t>
  </si>
  <si>
    <t>34.034302-1.75767</t>
  </si>
  <si>
    <t>34.034302-1.75767_S. mansoni</t>
  </si>
  <si>
    <t>31.420799-1.7586</t>
  </si>
  <si>
    <t>31.420799-1.7586_S. mansoni</t>
  </si>
  <si>
    <t>31.420099-1.7647</t>
  </si>
  <si>
    <t>31.420099-1.7647_S. mansoni</t>
  </si>
  <si>
    <t>32.373001-1.77077</t>
  </si>
  <si>
    <t>32.373001-1.77077_S. haematobium</t>
  </si>
  <si>
    <t>32.373001-1.77077_S. mansoni</t>
  </si>
  <si>
    <t>34.124298-1.78567</t>
  </si>
  <si>
    <t>34.124298-1.78567_S. mansoni</t>
  </si>
  <si>
    <t>33.030899-1.79753</t>
  </si>
  <si>
    <t>33.030899-1.79753_S. haematobium</t>
  </si>
  <si>
    <t>33.030899-1.79753_S. mansoni</t>
  </si>
  <si>
    <t>31.3703-1.8107</t>
  </si>
  <si>
    <t>31.3703-1.8107_S. mansoni</t>
  </si>
  <si>
    <t>31.3167-1.8167</t>
  </si>
  <si>
    <t>31.3167-1.8167_S. mansoni</t>
  </si>
  <si>
    <t>31.3293-1.81744</t>
  </si>
  <si>
    <t>31.3293-1.81744_S. mansoni</t>
  </si>
  <si>
    <t>31.324499-1.8183</t>
  </si>
  <si>
    <t>31.324499-1.8183_S. mansoni</t>
  </si>
  <si>
    <t>31.371799-1.8202</t>
  </si>
  <si>
    <t>31.371799-1.8202_S. mansoni</t>
  </si>
  <si>
    <t>33.786098-1.82327</t>
  </si>
  <si>
    <t>33.786098-1.82327_S. mansoni</t>
  </si>
  <si>
    <t>31.3757-1.8262</t>
  </si>
  <si>
    <t>31.3757-1.8262_S. mansoni</t>
  </si>
  <si>
    <t>31.3827-1.84222</t>
  </si>
  <si>
    <t>31.3827-1.84222_S. mansoni</t>
  </si>
  <si>
    <t>31.382799-1.84232</t>
  </si>
  <si>
    <t>31.382799-1.84232_S. mansoni</t>
  </si>
  <si>
    <t>32.353699-1.84927</t>
  </si>
  <si>
    <t>32.353699-1.84927_S. haematobium</t>
  </si>
  <si>
    <t>32.353699-1.84927_S. mansoni</t>
  </si>
  <si>
    <t>31.4-1.9</t>
  </si>
  <si>
    <t>31.4-1.9_S. mansoni</t>
  </si>
  <si>
    <t>31.409901-1.9082</t>
  </si>
  <si>
    <t>31.409901-1.9082_S. mansoni</t>
  </si>
  <si>
    <t>33.9548-1.91733</t>
  </si>
  <si>
    <t>33.9548-1.91733_S. mansoni</t>
  </si>
  <si>
    <t>32.582199-1.9575</t>
  </si>
  <si>
    <t>32.582199-1.9575_S. haematobium</t>
  </si>
  <si>
    <t>32.582199-1.9575_S. mansoni</t>
  </si>
  <si>
    <t>33.063599-1.97151</t>
  </si>
  <si>
    <t>33.063599-1.97151_S. haematobium</t>
  </si>
  <si>
    <t>33.063599-1.97151_S. mansoni</t>
  </si>
  <si>
    <t>33.001499-1.98301</t>
  </si>
  <si>
    <t>33.001499-1.98301_S. haematobium</t>
  </si>
  <si>
    <t>33.001499-1.98301_S. mansoni</t>
  </si>
  <si>
    <t>32.5406-1.98438</t>
  </si>
  <si>
    <t>32.5406-1.98438_S. mansoni</t>
  </si>
  <si>
    <t>32.528-1.98498</t>
  </si>
  <si>
    <t>32.528-1.98498_S. mansoni</t>
  </si>
  <si>
    <t>32.7145-1.99212</t>
  </si>
  <si>
    <t>32.7145-1.99212_S. haematobium</t>
  </si>
  <si>
    <t>32.681702-2.00139</t>
  </si>
  <si>
    <t>32.681702-2.00139_S. haematobium</t>
  </si>
  <si>
    <t>32.681702-2.00139_S. mansoni</t>
  </si>
  <si>
    <t>32.550301-2.00153</t>
  </si>
  <si>
    <t>32.550301-2.00153_S. haematobium</t>
  </si>
  <si>
    <t>32.550301-2.00153_S. mansoni</t>
  </si>
  <si>
    <t>32.637501-2.0025</t>
  </si>
  <si>
    <t>32.637501-2.0025_S. haematobium</t>
  </si>
  <si>
    <t>32.637501-2.0025_S. mansoni</t>
  </si>
  <si>
    <t>32.7197-2.01237</t>
  </si>
  <si>
    <t>32.7197-2.01237_S. mansoni</t>
  </si>
  <si>
    <t>32.7197-2.01237_S. haematobium</t>
  </si>
  <si>
    <t>31.422701-2.01975</t>
  </si>
  <si>
    <t>31.422701-2.01975_S. mansoni</t>
  </si>
  <si>
    <t>32.594002-2.04067</t>
  </si>
  <si>
    <t>32.594002-2.04067_S. mansoni</t>
  </si>
  <si>
    <t>33.374599-2.06353</t>
  </si>
  <si>
    <t>33.374599-2.06353_S. mansoni</t>
  </si>
  <si>
    <t>33.801498-2.07183</t>
  </si>
  <si>
    <t>33.801498-2.07183_S. mansoni</t>
  </si>
  <si>
    <t>32.600101-2.08294</t>
  </si>
  <si>
    <t>32.600101-2.08294_S. haematobium</t>
  </si>
  <si>
    <t>32.600101-2.08294_S. mansoni</t>
  </si>
  <si>
    <t>32.559299-2.08305</t>
  </si>
  <si>
    <t>32.559299-2.08305_S. haematobium</t>
  </si>
  <si>
    <t>32.559299-2.08305_S. mansoni</t>
  </si>
  <si>
    <t>32.558899-2.08342</t>
  </si>
  <si>
    <t>32.558899-2.08342_S. mansoni</t>
  </si>
  <si>
    <t>32.510101-2.09111</t>
  </si>
  <si>
    <t>32.510101-2.09111_S. haematobium</t>
  </si>
  <si>
    <t>32.648701-2.10935</t>
  </si>
  <si>
    <t>32.648701-2.10935_S. haematobium</t>
  </si>
  <si>
    <t>32.648701-2.10935_S. mansoni</t>
  </si>
  <si>
    <t>32.602001-2.12556</t>
  </si>
  <si>
    <t>32.602001-2.12556_S. haematobium</t>
  </si>
  <si>
    <t>32.333199-2.13534</t>
  </si>
  <si>
    <t>32.333199-2.13534_S. mansoni</t>
  </si>
  <si>
    <t>32.333199-2.13534_S. haematobium</t>
  </si>
  <si>
    <t>32.674999-2.14452</t>
  </si>
  <si>
    <t>32.674999-2.14452_S. haematobium</t>
  </si>
  <si>
    <t>33.356098-2.14488</t>
  </si>
  <si>
    <t>33.356098-2.14488_S. haematobium</t>
  </si>
  <si>
    <t>33.356098-2.14488_S. mansoni</t>
  </si>
  <si>
    <t>32.562-2.1512</t>
  </si>
  <si>
    <t>32.562-2.1512_S. haematobium</t>
  </si>
  <si>
    <t>32.562-2.1512_S. mansoni</t>
  </si>
  <si>
    <t>31.393-2.1748</t>
  </si>
  <si>
    <t>31.393-2.1748_S. mansoni</t>
  </si>
  <si>
    <t>31.3829-2.17778</t>
  </si>
  <si>
    <t>31.3829-2.17778_S. mansoni</t>
  </si>
  <si>
    <t>31.3829-2.17787</t>
  </si>
  <si>
    <t>31.3829-2.17787_S. mansoni</t>
  </si>
  <si>
    <t>33.204399-2.18895</t>
  </si>
  <si>
    <t>33.204399-2.18895_S. haematobium</t>
  </si>
  <si>
    <t>33.204399-2.18895_S. mansoni</t>
  </si>
  <si>
    <t>32.588299-2.19778</t>
  </si>
  <si>
    <t>32.588299-2.19778_S. mansoni</t>
  </si>
  <si>
    <t>32.588299-2.19778_S. haematobium</t>
  </si>
  <si>
    <t>32.630001-2.2224</t>
  </si>
  <si>
    <t>32.630001-2.2224_S. haematobium</t>
  </si>
  <si>
    <t>32.630001-2.2224_S. mansoni</t>
  </si>
  <si>
    <t>32.648899-2.22849</t>
  </si>
  <si>
    <t>32.648899-2.22849_S. haematobium</t>
  </si>
  <si>
    <t>32.648899-2.22849_S. mansoni</t>
  </si>
  <si>
    <t>32.533298-2.23333</t>
  </si>
  <si>
    <t>32.533298-2.23333_S. haematobium</t>
  </si>
  <si>
    <t>32.386501-2.23432</t>
  </si>
  <si>
    <t>32.386501-2.23432_S. mansoni</t>
  </si>
  <si>
    <t>32.535099-2.23483</t>
  </si>
  <si>
    <t>32.535099-2.23483_S. haematobium</t>
  </si>
  <si>
    <t>32.535099-2.23483_S. mansoni</t>
  </si>
  <si>
    <t>32.909698-2.235</t>
  </si>
  <si>
    <t>32.909698-2.235_S. mansoni</t>
  </si>
  <si>
    <t>31.317801-2.24848</t>
  </si>
  <si>
    <t>31.317801-2.24848_S. mansoni</t>
  </si>
  <si>
    <t>32.966702-2.25</t>
  </si>
  <si>
    <t>32.966702-2.25_S. mansoni</t>
  </si>
  <si>
    <t>32.966702-2.25_S. haematobium</t>
  </si>
  <si>
    <t>32.899399-2.25456</t>
  </si>
  <si>
    <t>32.899399-2.25456_S. mansoni</t>
  </si>
  <si>
    <t>33.1427-2.26566</t>
  </si>
  <si>
    <t>33.1427-2.26566_S. mansoni</t>
  </si>
  <si>
    <t>33.176498-2.27343</t>
  </si>
  <si>
    <t>33.176498-2.27343_S. mansoni</t>
  </si>
  <si>
    <t>33.176498-2.27343_S. haematobium</t>
  </si>
  <si>
    <t>33.176102-2.2738</t>
  </si>
  <si>
    <t>33.176102-2.2738_S. haematobium</t>
  </si>
  <si>
    <t>33.176102-2.2738_S. mansoni</t>
  </si>
  <si>
    <t>33.772499-2.27633</t>
  </si>
  <si>
    <t>33.772499-2.27633_S. mansoni</t>
  </si>
  <si>
    <t>32.681702-2.27669</t>
  </si>
  <si>
    <t>32.681702-2.27669_S. haematobium</t>
  </si>
  <si>
    <t>32.681702-2.27669_S. mansoni</t>
  </si>
  <si>
    <t>31.33-2.32</t>
  </si>
  <si>
    <t>31.33-2.32_S. mansoni</t>
  </si>
  <si>
    <t>33.682999-2.32558</t>
  </si>
  <si>
    <t>33.682999-2.32558_S. mansoni</t>
  </si>
  <si>
    <t>32.459801-2.36579</t>
  </si>
  <si>
    <t>32.459801-2.36579_S. haematobium</t>
  </si>
  <si>
    <t>32.516399-2.36861</t>
  </si>
  <si>
    <t>32.516399-2.36861_S. haematobium</t>
  </si>
  <si>
    <t>34.507401-2.38577</t>
  </si>
  <si>
    <t>34.507401-2.38577_S. mansoni</t>
  </si>
  <si>
    <t>32.4436-2.38895</t>
  </si>
  <si>
    <t>32.4436-2.38895_S. haematobium</t>
  </si>
  <si>
    <t>32.481201-2.40318</t>
  </si>
  <si>
    <t>32.481201-2.40318_S. haematobium</t>
  </si>
  <si>
    <t>32.481201-2.40318_S. mansoni</t>
  </si>
  <si>
    <t>32.421799-2.41237</t>
  </si>
  <si>
    <t>32.421799-2.41237_S. haematobium</t>
  </si>
  <si>
    <t>32.421799-2.41237_S. mansoni</t>
  </si>
  <si>
    <t>31.3088-2.41447</t>
  </si>
  <si>
    <t>31.3088-2.41447_S. mansoni</t>
  </si>
  <si>
    <t>33.072701-2.41938</t>
  </si>
  <si>
    <t>33.072701-2.41938_S. mansoni</t>
  </si>
  <si>
    <t>33.083599-2.42379</t>
  </si>
  <si>
    <t>33.083599-2.42379_S. haematobium</t>
  </si>
  <si>
    <t>33.083599-2.42379_S. mansoni</t>
  </si>
  <si>
    <t>32.8377-2.44032</t>
  </si>
  <si>
    <t>32.8377-2.44032_S. mansoni</t>
  </si>
  <si>
    <t>31.097-2.44523</t>
  </si>
  <si>
    <t>31.097-2.44523_S. mansoni</t>
  </si>
  <si>
    <t>33.116699-2.45</t>
  </si>
  <si>
    <t>33.116699-2.45_S. mansoni</t>
  </si>
  <si>
    <t>33.116699-2.45_S. haematobium</t>
  </si>
  <si>
    <t>34.472301-2.45252</t>
  </si>
  <si>
    <t>34.472301-2.45252_S. mansoni</t>
  </si>
  <si>
    <t>31.502501-2.45361</t>
  </si>
  <si>
    <t>31.502501-2.45361_S. mansoni</t>
  </si>
  <si>
    <t>31.478001-2.45771</t>
  </si>
  <si>
    <t>31.478001-2.45771_S. mansoni</t>
  </si>
  <si>
    <t>31.3673-2.45945</t>
  </si>
  <si>
    <t>31.3673-2.45945_S. mansoni</t>
  </si>
  <si>
    <t>31.3671-2.46022</t>
  </si>
  <si>
    <t>31.3671-2.46022_S. mansoni</t>
  </si>
  <si>
    <t>31.4932-2.46135</t>
  </si>
  <si>
    <t>31.4932-2.46135_S. mansoni</t>
  </si>
  <si>
    <t>31.4984-2.46135</t>
  </si>
  <si>
    <t>31.4984-2.46135_S. mansoni</t>
  </si>
  <si>
    <t>31.490601-2.46139</t>
  </si>
  <si>
    <t>31.490601-2.46139_S. mansoni</t>
  </si>
  <si>
    <t>31.502701-2.46237</t>
  </si>
  <si>
    <t>31.502701-2.46237_S. mansoni</t>
  </si>
  <si>
    <t>31.3557-2.46471</t>
  </si>
  <si>
    <t>31.3557-2.46471_S. mansoni</t>
  </si>
  <si>
    <t>31.319-2.46668</t>
  </si>
  <si>
    <t>31.319-2.46668_S. mansoni</t>
  </si>
  <si>
    <t>32.631699-2.47488</t>
  </si>
  <si>
    <t>32.631699-2.47488_S. mansoni</t>
  </si>
  <si>
    <t>31.507601-2.475</t>
  </si>
  <si>
    <t>31.507601-2.475_S. mansoni</t>
  </si>
  <si>
    <t>31.507601-2.47508</t>
  </si>
  <si>
    <t>31.507601-2.47508_S. mansoni</t>
  </si>
  <si>
    <t>31.4014-2.47527</t>
  </si>
  <si>
    <t>31.4014-2.47527_S. mansoni</t>
  </si>
  <si>
    <t>31.4779-2.47572</t>
  </si>
  <si>
    <t>31.4779-2.47572_S. mansoni</t>
  </si>
  <si>
    <t>31.0868-2.47737</t>
  </si>
  <si>
    <t>31.0868-2.47737_S. mansoni</t>
  </si>
  <si>
    <t>34.611401-2.48088</t>
  </si>
  <si>
    <t>34.611401-2.48088_S. mansoni</t>
  </si>
  <si>
    <t>31.5215-2.48158</t>
  </si>
  <si>
    <t>31.5215-2.48158_S. mansoni</t>
  </si>
  <si>
    <t>31.4632-2.48288</t>
  </si>
  <si>
    <t>31.4632-2.48288_S. mansoni</t>
  </si>
  <si>
    <t>31.517-2.4841</t>
  </si>
  <si>
    <t>31.517-2.4841_S. mansoni</t>
  </si>
  <si>
    <t>31.476299-2.48478</t>
  </si>
  <si>
    <t>31.476299-2.48478_S. mansoni</t>
  </si>
  <si>
    <t>31.4599-2.48986</t>
  </si>
  <si>
    <t>31.4599-2.48986_S. mansoni</t>
  </si>
  <si>
    <t>32.936699-2.49286</t>
  </si>
  <si>
    <t>32.936699-2.49286_S. mansoni</t>
  </si>
  <si>
    <t>31.374201-2.49528</t>
  </si>
  <si>
    <t>31.374201-2.49528_S. mansoni</t>
  </si>
  <si>
    <t>31.468201-2.49985</t>
  </si>
  <si>
    <t>31.468201-2.49985_S. mansoni</t>
  </si>
  <si>
    <t>31.468201-2.4999</t>
  </si>
  <si>
    <t>31.468201-2.4999_S. mansoni</t>
  </si>
  <si>
    <t>32.464901-2.50895</t>
  </si>
  <si>
    <t>32.464901-2.50895_S. mansoni</t>
  </si>
  <si>
    <t>31.450001-2.51667</t>
  </si>
  <si>
    <t>31.450001-2.51667_S. mansoni</t>
  </si>
  <si>
    <t>32.666199-2.5186</t>
  </si>
  <si>
    <t>32.666199-2.5186_S. haematobium</t>
  </si>
  <si>
    <t>34.652699-2.52388</t>
  </si>
  <si>
    <t>34.652699-2.52388_S. mansoni</t>
  </si>
  <si>
    <t>31.463301-2.52397</t>
  </si>
  <si>
    <t>31.463301-2.52397_S. mansoni</t>
  </si>
  <si>
    <t>31.4632-2.52413</t>
  </si>
  <si>
    <t>31.4632-2.52413_S. mansoni</t>
  </si>
  <si>
    <t>31.4632-2.52416</t>
  </si>
  <si>
    <t>31.4632-2.52416_S. mansoni</t>
  </si>
  <si>
    <t>34.637199-2.52483</t>
  </si>
  <si>
    <t>34.637199-2.52483_S. mansoni</t>
  </si>
  <si>
    <t>31.4408-2.5275</t>
  </si>
  <si>
    <t>31.4408-2.5275_S. mansoni</t>
  </si>
  <si>
    <t>33.6222-2.53498</t>
  </si>
  <si>
    <t>33.6222-2.53498_S. mansoni</t>
  </si>
  <si>
    <t>34.6577-2.5364</t>
  </si>
  <si>
    <t>34.6577-2.5364_S. mansoni</t>
  </si>
  <si>
    <t>34.620701-2.55052</t>
  </si>
  <si>
    <t>34.620701-2.55052_S. mansoni</t>
  </si>
  <si>
    <t>31.324499-2.55187</t>
  </si>
  <si>
    <t>31.324499-2.55187_S. mansoni</t>
  </si>
  <si>
    <t>32.756401-2.56107</t>
  </si>
  <si>
    <t>32.756401-2.56107_S. haematobium</t>
  </si>
  <si>
    <t>32.756401-2.56107_S. mansoni</t>
  </si>
  <si>
    <t>31.415701-2.56121</t>
  </si>
  <si>
    <t>31.415701-2.56121_S. mansoni</t>
  </si>
  <si>
    <t>31.439501-2.56355</t>
  </si>
  <si>
    <t>31.439501-2.56355_S. mansoni</t>
  </si>
  <si>
    <t>31.4384-2.56368</t>
  </si>
  <si>
    <t>31.4384-2.56368_S. mansoni</t>
  </si>
  <si>
    <t>32.7854-2.57822</t>
  </si>
  <si>
    <t>32.7854-2.57822_S. haematobium</t>
  </si>
  <si>
    <t>32.7854-2.57822_S. mansoni</t>
  </si>
  <si>
    <t>32.464802-2.5866</t>
  </si>
  <si>
    <t>32.464802-2.5866_S. haematobium</t>
  </si>
  <si>
    <t>34.742401-2.58668</t>
  </si>
  <si>
    <t>34.742401-2.58668_S. mansoni</t>
  </si>
  <si>
    <t>31.9534-2.59318</t>
  </si>
  <si>
    <t>31.9534-2.59318_S. mansoni</t>
  </si>
  <si>
    <t>31.3883-2.59954</t>
  </si>
  <si>
    <t>31.3883-2.59954_S. mansoni</t>
  </si>
  <si>
    <t>32.752201-2.60125</t>
  </si>
  <si>
    <t>32.752201-2.60125_S. haematobium</t>
  </si>
  <si>
    <t>32.752201-2.60125_S. mansoni</t>
  </si>
  <si>
    <t>32.1745-2.60457</t>
  </si>
  <si>
    <t>32.1745-2.60457_S. mansoni</t>
  </si>
  <si>
    <t>32.164001-2.611</t>
  </si>
  <si>
    <t>32.164001-2.611_S. mansoni</t>
  </si>
  <si>
    <t>32.474899-2.6135</t>
  </si>
  <si>
    <t>32.474899-2.6135_S. mansoni</t>
  </si>
  <si>
    <t>32.940399-2.61815</t>
  </si>
  <si>
    <t>32.940399-2.61815_S. mansoni</t>
  </si>
  <si>
    <t>32.940399-2.61815_S. haematobium</t>
  </si>
  <si>
    <t>33.662399-2.67686</t>
  </si>
  <si>
    <t>33.662399-2.67686_S. mansoni</t>
  </si>
  <si>
    <t>32.725101-2.68143</t>
  </si>
  <si>
    <t>32.725101-2.68143_S. haematobium</t>
  </si>
  <si>
    <t>32.785099-2.68591</t>
  </si>
  <si>
    <t>32.785099-2.68591_S. haematobium</t>
  </si>
  <si>
    <t>32.660301-2.687</t>
  </si>
  <si>
    <t>32.660301-2.687_S. mansoni</t>
  </si>
  <si>
    <t>32.7943-2.69015</t>
  </si>
  <si>
    <t>32.7943-2.69015_S. mansoni</t>
  </si>
  <si>
    <t>33.051102-2.72947</t>
  </si>
  <si>
    <t>33.051102-2.72947_S. mansoni</t>
  </si>
  <si>
    <t>32.235001-2.76833</t>
  </si>
  <si>
    <t>32.235001-2.76833_S. mansoni</t>
  </si>
  <si>
    <t>33.7248-2.7993</t>
  </si>
  <si>
    <t>33.7248-2.7993_S. mansoni</t>
  </si>
  <si>
    <t>33.113499-2.80917</t>
  </si>
  <si>
    <t>33.113499-2.80917_S. mansoni</t>
  </si>
  <si>
    <t>32.3265-2.81513</t>
  </si>
  <si>
    <t>32.3265-2.81513_S. mansoni</t>
  </si>
  <si>
    <t>31.2199-2.82509</t>
  </si>
  <si>
    <t>31.2199-2.82509_S. mansoni</t>
  </si>
  <si>
    <t>30.942801-2.83195</t>
  </si>
  <si>
    <t>30.942801-2.83195_S. mansoni</t>
  </si>
  <si>
    <t>32.1562-2.83488</t>
  </si>
  <si>
    <t>32.1562-2.83488_S. mansoni</t>
  </si>
  <si>
    <t>32.965099-2.83623</t>
  </si>
  <si>
    <t>32.965099-2.83623_S. mansoni</t>
  </si>
  <si>
    <t>33.3428-2.85602</t>
  </si>
  <si>
    <t>33.3428-2.85602_S. mansoni</t>
  </si>
  <si>
    <t>32.4468-2.89045</t>
  </si>
  <si>
    <t>32.4468-2.89045_S. mansoni</t>
  </si>
  <si>
    <t>33.082699-2.89558</t>
  </si>
  <si>
    <t>33.082699-2.89558_S. mansoni</t>
  </si>
  <si>
    <t>33.004501-2.92515</t>
  </si>
  <si>
    <t>33.004501-2.92515_S. mansoni</t>
  </si>
  <si>
    <t>31.3965-2.97189</t>
  </si>
  <si>
    <t>31.3965-2.97189_S. intercalatum (guineensis)</t>
  </si>
  <si>
    <t>S. intercalatum (guineensis)</t>
  </si>
  <si>
    <t>31.3965-2.97189_S. mansoni</t>
  </si>
  <si>
    <t>31.382999-2.977</t>
  </si>
  <si>
    <t>31.382999-2.977_S. mansoni</t>
  </si>
  <si>
    <t>34.088299-2.99978</t>
  </si>
  <si>
    <t>34.088299-2.99978_S. mansoni</t>
  </si>
  <si>
    <t>30.9098-3.00503</t>
  </si>
  <si>
    <t>30.9098-3.00503_S. mansoni</t>
  </si>
  <si>
    <t>34.197899-3.0085</t>
  </si>
  <si>
    <t>34.197899-3.0085_S. mansoni</t>
  </si>
  <si>
    <t>34.120499-3.00937</t>
  </si>
  <si>
    <t>34.120499-3.00937_S. mansoni</t>
  </si>
  <si>
    <t>30.9095-3.02178</t>
  </si>
  <si>
    <t>30.9095-3.02178_S. mansoni</t>
  </si>
  <si>
    <t>30.9105-3.02561</t>
  </si>
  <si>
    <t>30.9105-3.02561_S. mansoni</t>
  </si>
  <si>
    <t>30.9104-3.02578</t>
  </si>
  <si>
    <t>30.9104-3.02578_S. mansoni</t>
  </si>
  <si>
    <t>31.385099-3.0271</t>
  </si>
  <si>
    <t>31.385099-3.0271_S. mansoni</t>
  </si>
  <si>
    <t>30.9415-3.03836</t>
  </si>
  <si>
    <t>30.9415-3.03836_S. mansoni</t>
  </si>
  <si>
    <t>33.3731-3.04172</t>
  </si>
  <si>
    <t>33.3731-3.04172_S. mansoni</t>
  </si>
  <si>
    <t>31.450001-3.06667</t>
  </si>
  <si>
    <t>31.450001-3.06667_S. intercalatum (guineensis)</t>
  </si>
  <si>
    <t>31.281601-3.07422</t>
  </si>
  <si>
    <t>31.281601-3.07422_S. mansoni</t>
  </si>
  <si>
    <t>31.3993-3.10328</t>
  </si>
  <si>
    <t>31.3993-3.10328_S. mansoni</t>
  </si>
  <si>
    <t>31.011299-3.15686</t>
  </si>
  <si>
    <t>31.011299-3.15686_S. mansoni</t>
  </si>
  <si>
    <t>31.821501-3.15787</t>
  </si>
  <si>
    <t>31.821501-3.15787_S. mansoni</t>
  </si>
  <si>
    <t>31.5261-3.19765</t>
  </si>
  <si>
    <t>31.5261-3.19765_S. mansoni</t>
  </si>
  <si>
    <t>31.2782-3.2084</t>
  </si>
  <si>
    <t>31.2782-3.2084_S. mansoni</t>
  </si>
  <si>
    <t>31.910101-3.21743</t>
  </si>
  <si>
    <t>31.910101-3.21743_S. mansoni</t>
  </si>
  <si>
    <t>31.783701-3.22953</t>
  </si>
  <si>
    <t>31.783701-3.22953_S. mansoni</t>
  </si>
  <si>
    <t>31.549801-3.22957</t>
  </si>
  <si>
    <t>31.549801-3.22957_S. mansoni</t>
  </si>
  <si>
    <t>31.549999-3.22965</t>
  </si>
  <si>
    <t>31.549999-3.22965_S. mansoni</t>
  </si>
  <si>
    <t>32.9151-3.24012</t>
  </si>
  <si>
    <t>32.9151-3.24012_S. mansoni</t>
  </si>
  <si>
    <t>31.5515-3.24255</t>
  </si>
  <si>
    <t>31.5515-3.24255_S. intercalatum (guineensis)</t>
  </si>
  <si>
    <t>31.5515-3.24255_S. mansoni</t>
  </si>
  <si>
    <t>31.0488-3.25155</t>
  </si>
  <si>
    <t>31.0488-3.25155_S. mansoni</t>
  </si>
  <si>
    <t>31.543301-3.2564</t>
  </si>
  <si>
    <t>31.543301-3.2564_S. mansoni</t>
  </si>
  <si>
    <t>31.2983-3.25658</t>
  </si>
  <si>
    <t>31.2983-3.25658_S. mansoni</t>
  </si>
  <si>
    <t>32.924301-3.26083</t>
  </si>
  <si>
    <t>32.924301-3.26083_S. mansoni</t>
  </si>
  <si>
    <t>32.123299-3.26245</t>
  </si>
  <si>
    <t>32.123299-3.26245_S. mansoni</t>
  </si>
  <si>
    <t>31.6443-3.28573</t>
  </si>
  <si>
    <t>31.6443-3.28573_S. mansoni</t>
  </si>
  <si>
    <t>30.9403-3.28731</t>
  </si>
  <si>
    <t>30.9403-3.28731_S. mansoni</t>
  </si>
  <si>
    <t>32.9189-3.2897</t>
  </si>
  <si>
    <t>32.9189-3.2897_S. mansoni</t>
  </si>
  <si>
    <t>32.891899-3.30387</t>
  </si>
  <si>
    <t>32.891899-3.30387_S. mansoni</t>
  </si>
  <si>
    <t>31.2159-3.3063</t>
  </si>
  <si>
    <t>31.2159-3.3063_S. mansoni</t>
  </si>
  <si>
    <t>31.8932-3.32535</t>
  </si>
  <si>
    <t>31.8932-3.32535_S. mansoni</t>
  </si>
  <si>
    <t>33.200001-3.35</t>
  </si>
  <si>
    <t>33.200001-3.35_S. mansoni</t>
  </si>
  <si>
    <t>31.242001-3.35943</t>
  </si>
  <si>
    <t>31.242001-3.35943_S. mansoni</t>
  </si>
  <si>
    <t>32.647301-3.37955</t>
  </si>
  <si>
    <t>32.647301-3.37955_S. mansoni</t>
  </si>
  <si>
    <t>31.9538-3.39017</t>
  </si>
  <si>
    <t>31.9538-3.39017_S. mansoni</t>
  </si>
  <si>
    <t>32.608799-3.4036</t>
  </si>
  <si>
    <t>32.608799-3.4036_S. mansoni</t>
  </si>
  <si>
    <t>30.9867-3.41139</t>
  </si>
  <si>
    <t>30.9867-3.41139_S. mansoni</t>
  </si>
  <si>
    <t>31.117001-3.4181</t>
  </si>
  <si>
    <t>31.117001-3.4181_S. mansoni</t>
  </si>
  <si>
    <t>31.605101-3.431</t>
  </si>
  <si>
    <t>31.605101-3.431_S. mansoni</t>
  </si>
  <si>
    <t>31.2173-3.43578</t>
  </si>
  <si>
    <t>31.2173-3.43578_S. mansoni</t>
  </si>
  <si>
    <t>31.795099-3.43718</t>
  </si>
  <si>
    <t>31.795099-3.43718_S. mansoni</t>
  </si>
  <si>
    <t>31.1975-3.44486</t>
  </si>
  <si>
    <t>31.1975-3.44486_S. mansoni</t>
  </si>
  <si>
    <t>31.7444-3.44807</t>
  </si>
  <si>
    <t>31.7444-3.44807_S. mansoni</t>
  </si>
  <si>
    <t>31.9011-3.47593</t>
  </si>
  <si>
    <t>31.9011-3.47593_S. mansoni</t>
  </si>
  <si>
    <t>31.6117-3.47785</t>
  </si>
  <si>
    <t>31.6117-3.47785_S. mansoni</t>
  </si>
  <si>
    <t>31.5466-3.4872</t>
  </si>
  <si>
    <t>31.5466-3.4872_S. mansoni</t>
  </si>
  <si>
    <t>34.139999-3.50243</t>
  </si>
  <si>
    <t>34.139999-3.50243_S. mansoni</t>
  </si>
  <si>
    <t>31.0348-3.52439</t>
  </si>
  <si>
    <t>31.0348-3.52439_S. mansoni</t>
  </si>
  <si>
    <t>31.9252-3.556</t>
  </si>
  <si>
    <t>31.9252-3.556_S. mansoni</t>
  </si>
  <si>
    <t>31.820601-3.56058</t>
  </si>
  <si>
    <t>31.820601-3.56058_S. mansoni</t>
  </si>
  <si>
    <t>31.820801-3.56128</t>
  </si>
  <si>
    <t>31.820801-3.56128_S. mansoni</t>
  </si>
  <si>
    <t>31.924601-3.5706</t>
  </si>
  <si>
    <t>31.924601-3.5706_S. mansoni</t>
  </si>
  <si>
    <t>31.584999-3.58578</t>
  </si>
  <si>
    <t>31.584999-3.58578_S. mansoni</t>
  </si>
  <si>
    <t>33.039001-3.61208</t>
  </si>
  <si>
    <t>33.039001-3.61208_S. mansoni</t>
  </si>
  <si>
    <t>31.7367-3.62798</t>
  </si>
  <si>
    <t>31.7367-3.62798_S. mansoni</t>
  </si>
  <si>
    <t>31.6553-3.6286</t>
  </si>
  <si>
    <t>31.6553-3.6286_S. mansoni</t>
  </si>
  <si>
    <t>31.4792-3.6457</t>
  </si>
  <si>
    <t>31.4792-3.6457_S. mansoni</t>
  </si>
  <si>
    <t>34.077702-3.6461</t>
  </si>
  <si>
    <t>34.077702-3.6461_S. mansoni</t>
  </si>
  <si>
    <t>31.7253-3.65873</t>
  </si>
  <si>
    <t>31.7253-3.65873_S. mansoni</t>
  </si>
  <si>
    <t>31.7836-3.7123</t>
  </si>
  <si>
    <t>31.7836-3.7123_S. mansoni</t>
  </si>
  <si>
    <t>31.810301-3.78507</t>
  </si>
  <si>
    <t>31.810301-3.78507_S. mansoni</t>
  </si>
  <si>
    <t>1.22012-6.16739</t>
  </si>
  <si>
    <t>1.22012-6.16739_S. haematobium</t>
  </si>
  <si>
    <t>1.22012-6.16739_S. mansoni</t>
  </si>
  <si>
    <t>1.48155-6.36444</t>
  </si>
  <si>
    <t>1.48155-6.36444_S. haematobium</t>
  </si>
  <si>
    <t>1.48155-6.36444_S. mansoni</t>
  </si>
  <si>
    <t>0.869064-6.45178</t>
  </si>
  <si>
    <t>0.869064-6.45178_S. haematobium</t>
  </si>
  <si>
    <t>0.869064-6.45178_S. mansoni</t>
  </si>
  <si>
    <t>1.13388-6.49544</t>
  </si>
  <si>
    <t>1.13388-6.49544_S. haematobium</t>
  </si>
  <si>
    <t>1.13388-6.49544_S. mansoni</t>
  </si>
  <si>
    <t>1.40465-6.7028</t>
  </si>
  <si>
    <t>1.40465-6.7028_S. haematobium</t>
  </si>
  <si>
    <t>1.40465-6.7028_S. mansoni</t>
  </si>
  <si>
    <t>0.715256-6.96869</t>
  </si>
  <si>
    <t>0.715256-6.96869_S. haematobium</t>
  </si>
  <si>
    <t>0.715256-6.96869_S. mansoni</t>
  </si>
  <si>
    <t>1.29067-7.00549</t>
  </si>
  <si>
    <t>1.29067-7.00549_S. haematobium</t>
  </si>
  <si>
    <t>1.29067-7.00549_S. mansoni</t>
  </si>
  <si>
    <t>1.5612-7.13496</t>
  </si>
  <si>
    <t>1.5612-7.13496_S. haematobium</t>
  </si>
  <si>
    <t>1.5612-7.13496_S. mansoni</t>
  </si>
  <si>
    <t>1.02127-7.4823</t>
  </si>
  <si>
    <t>1.02127-7.4823_S. haematobium</t>
  </si>
  <si>
    <t>1.02127-7.4823_S. mansoni</t>
  </si>
  <si>
    <t>1.44424-7.53132</t>
  </si>
  <si>
    <t>1.44424-7.53132_S. haematobium</t>
  </si>
  <si>
    <t>1.44424-7.53132_S. mansoni</t>
  </si>
  <si>
    <t>0.82901-7.70283</t>
  </si>
  <si>
    <t>0.82901-7.70283_S. haematobium</t>
  </si>
  <si>
    <t>0.82901-7.70283_S. mansoni</t>
  </si>
  <si>
    <t>0.983348-8.31682</t>
  </si>
  <si>
    <t>0.983348-8.31682_S. haematobium</t>
  </si>
  <si>
    <t>0.983348-8.31682_S. mansoni</t>
  </si>
  <si>
    <t>0.983419-8.56693</t>
  </si>
  <si>
    <t>0.983419-8.56693_S. haematobium</t>
  </si>
  <si>
    <t>0.983419-8.56693_S. mansoni</t>
  </si>
  <si>
    <t>1.13548-8.92442</t>
  </si>
  <si>
    <t>1.13548-8.92442_S. haematobium</t>
  </si>
  <si>
    <t>1.41654-9.03353</t>
  </si>
  <si>
    <t>1.41654-9.03353_S. haematobium</t>
  </si>
  <si>
    <t>1.41654-9.03353_S. mansoni</t>
  </si>
  <si>
    <t>0.777082-9.26139</t>
  </si>
  <si>
    <t>0.777082-9.26139_S. haematobium</t>
  </si>
  <si>
    <t>0.777082-9.26139_S. mansoni</t>
  </si>
  <si>
    <t>1.17268-9.3217</t>
  </si>
  <si>
    <t>1.17268-9.3217_S. haematobium</t>
  </si>
  <si>
    <t>1.17268-9.3217_S. mansoni</t>
  </si>
  <si>
    <t>1.17394-9.58856</t>
  </si>
  <si>
    <t>1.17394-9.58856_S. haematobium</t>
  </si>
  <si>
    <t>1.17394-9.58856_S. mansoni</t>
  </si>
  <si>
    <t>1.31418-9.66206</t>
  </si>
  <si>
    <t>1.31418-9.66206_S. haematobium</t>
  </si>
  <si>
    <t>1.31418-9.66206_S. mansoni</t>
  </si>
  <si>
    <t>1.09543-9.77132</t>
  </si>
  <si>
    <t>1.09543-9.77132_S. haematobium</t>
  </si>
  <si>
    <t>1.09543-9.77132_S. mansoni</t>
  </si>
  <si>
    <t>0.829239-10.1703</t>
  </si>
  <si>
    <t>0.829239-10.1703_S. haematobium</t>
  </si>
  <si>
    <t>0.829239-10.1703_S. mansoni</t>
  </si>
  <si>
    <t>0.194979-10.6562</t>
  </si>
  <si>
    <t>0.194979-10.6562_S. haematobium</t>
  </si>
  <si>
    <t>0.194979-10.6562_S. mansoni</t>
  </si>
  <si>
    <t>1.18611-9.55111</t>
  </si>
  <si>
    <t>1.18611-9.55111_S. mansoni</t>
  </si>
  <si>
    <t>1.18611-9.55111_S. haematobium</t>
  </si>
  <si>
    <t>1.40111-6.20778</t>
  </si>
  <si>
    <t>1.40111-6.20778_S. mansoni</t>
  </si>
  <si>
    <t>1.3725-6.27833</t>
  </si>
  <si>
    <t>1.3725-6.27833_S. mansoni</t>
  </si>
  <si>
    <t>1.18411-9.54652</t>
  </si>
  <si>
    <t>1.18411-9.54652_S. mansoni</t>
  </si>
  <si>
    <t>1.18411-9.54652_S. haematobium</t>
  </si>
  <si>
    <t>1.19921-9.54322</t>
  </si>
  <si>
    <t>1.19921-9.54322_S. mansoni</t>
  </si>
  <si>
    <t>0.666667-6.81667</t>
  </si>
  <si>
    <t>0.666667-6.81667_S. mansoni</t>
  </si>
  <si>
    <t>0.666667-6.81667_S. haematobium</t>
  </si>
  <si>
    <t>0.683333-6.83333</t>
  </si>
  <si>
    <t>0.683333-6.83333_S. mansoni</t>
  </si>
  <si>
    <t>0.683333-6.83333_S. haematobium</t>
  </si>
  <si>
    <t>0.666667-6.88333</t>
  </si>
  <si>
    <t>0.666667-6.88333_S. mansoni</t>
  </si>
  <si>
    <t>0.666667-6.88333_S. haematobium</t>
  </si>
  <si>
    <t>0.666667-6.95</t>
  </si>
  <si>
    <t>0.666667-6.95_S. mansoni</t>
  </si>
  <si>
    <t>0.666667-6.95_S. haematobium</t>
  </si>
  <si>
    <t>1.61667-6.5</t>
  </si>
  <si>
    <t>1.61667-6.5_S. haematobium</t>
  </si>
  <si>
    <t>1.25-6.93333</t>
  </si>
  <si>
    <t>1.25-6.93333_S. haematobium</t>
  </si>
  <si>
    <t>1.25-6.93333_S. mansoni</t>
  </si>
  <si>
    <t>1.16667-6.95</t>
  </si>
  <si>
    <t>1.16667-6.95_S. haematobium</t>
  </si>
  <si>
    <t>1.16667-6.95_S. mansoni</t>
  </si>
  <si>
    <t>1.17175-6.97262</t>
  </si>
  <si>
    <t>1.17175-6.97262_S. haematobium</t>
  </si>
  <si>
    <t>1.17175-6.97262_S. mansoni</t>
  </si>
  <si>
    <t>1.61489-7.02298</t>
  </si>
  <si>
    <t>1.61489-7.02298_S. haematobium</t>
  </si>
  <si>
    <t>1.61489-7.02298_S. mansoni</t>
  </si>
  <si>
    <t>1.60691-7.02332</t>
  </si>
  <si>
    <t>1.60691-7.02332_S. haematobium</t>
  </si>
  <si>
    <t>1.60691-7.02332_S. mansoni</t>
  </si>
  <si>
    <t>1.61667-7.33333</t>
  </si>
  <si>
    <t>1.61667-7.33333_S. haematobium</t>
  </si>
  <si>
    <t>1.61667-7.33333_S. mansoni</t>
  </si>
  <si>
    <t>1.47889-6.20139</t>
  </si>
  <si>
    <t>1.47889-6.20139_S. haematobium</t>
  </si>
  <si>
    <t>1.47889-6.20139_S. mansoni</t>
  </si>
  <si>
    <t>1.47816-6.23376</t>
  </si>
  <si>
    <t>1.47816-6.23376_S. haematobium</t>
  </si>
  <si>
    <t>1.47816-6.23376_S. mansoni</t>
  </si>
  <si>
    <t>1.37611-6.23583</t>
  </si>
  <si>
    <t>1.37611-6.23583_S. haematobium</t>
  </si>
  <si>
    <t>1.37611-6.23583_S. mansoni</t>
  </si>
  <si>
    <t>1.28139-6.24472</t>
  </si>
  <si>
    <t>1.28139-6.24472_S. haematobium</t>
  </si>
  <si>
    <t>1.28139-6.24472_S. mansoni</t>
  </si>
  <si>
    <t>1.75-6.26667</t>
  </si>
  <si>
    <t>1.75-6.26667_S. haematobium</t>
  </si>
  <si>
    <t>1.75-6.26667_S. mansoni</t>
  </si>
  <si>
    <t>1.42222-6.28389</t>
  </si>
  <si>
    <t>1.42222-6.28389_S. haematobium</t>
  </si>
  <si>
    <t>1.42222-6.28389_S. mansoni</t>
  </si>
  <si>
    <t>1.35889-6.30833</t>
  </si>
  <si>
    <t>1.35889-6.30833_S. haematobium</t>
  </si>
  <si>
    <t>1.35889-6.30833_S. mansoni</t>
  </si>
  <si>
    <t>1.71171-6.34049</t>
  </si>
  <si>
    <t>1.71171-6.34049_S. haematobium</t>
  </si>
  <si>
    <t>1.71171-6.34049_S. mansoni</t>
  </si>
  <si>
    <t>1.11167-6.34222</t>
  </si>
  <si>
    <t>1.11167-6.34222_S. haematobium</t>
  </si>
  <si>
    <t>1.11167-6.34222_S. mansoni</t>
  </si>
  <si>
    <t>1.36806-6.40444</t>
  </si>
  <si>
    <t>1.36806-6.40444_S. haematobium</t>
  </si>
  <si>
    <t>1.36806-6.40444_S. mansoni</t>
  </si>
  <si>
    <t>1.08222-6.43528</t>
  </si>
  <si>
    <t>1.08222-6.43528_S. haematobium</t>
  </si>
  <si>
    <t>1.08222-6.43528_S. mansoni</t>
  </si>
  <si>
    <t>1.25964-6.44668</t>
  </si>
  <si>
    <t>1.25964-6.44668_S. haematobium</t>
  </si>
  <si>
    <t>1.25964-6.44668_S. mansoni</t>
  </si>
  <si>
    <t>1.34417-6.47528</t>
  </si>
  <si>
    <t>1.34417-6.47528_S. haematobium</t>
  </si>
  <si>
    <t>1.34417-6.47528_S. mansoni</t>
  </si>
  <si>
    <t>1.06417-6.47722</t>
  </si>
  <si>
    <t>1.06417-6.47722_S. haematobium</t>
  </si>
  <si>
    <t>1.06417-6.47722_S. mansoni</t>
  </si>
  <si>
    <t>1.32152-6.49913</t>
  </si>
  <si>
    <t>1.32152-6.49913_S. haematobium</t>
  </si>
  <si>
    <t>1.32152-6.49913_S. mansoni</t>
  </si>
  <si>
    <t>1.66667-6.53333</t>
  </si>
  <si>
    <t>1.66667-6.53333_S. haematobium</t>
  </si>
  <si>
    <t>1.66667-6.53333_S. mansoni</t>
  </si>
  <si>
    <t>1.36203-6.53521</t>
  </si>
  <si>
    <t>1.36203-6.53521_S. haematobium</t>
  </si>
  <si>
    <t>1.36203-6.53521_S. mansoni</t>
  </si>
  <si>
    <t>1.61667-6.6</t>
  </si>
  <si>
    <t>1.61667-6.6_S. haematobium</t>
  </si>
  <si>
    <t>1.61667-6.6_S. mansoni</t>
  </si>
  <si>
    <t>1.58333-6.63333</t>
  </si>
  <si>
    <t>1.58333-6.63333_S. haematobium</t>
  </si>
  <si>
    <t>1.58333-6.63333_S. mansoni</t>
  </si>
  <si>
    <t>1.13333-6.65</t>
  </si>
  <si>
    <t>1.13333-6.65_S. haematobium</t>
  </si>
  <si>
    <t>1.13333-6.65_S. mansoni</t>
  </si>
  <si>
    <t>1.59798-6.66387</t>
  </si>
  <si>
    <t>1.59798-6.66387_S. haematobium</t>
  </si>
  <si>
    <t>1.59798-6.66387_S. mansoni</t>
  </si>
  <si>
    <t>1.16667-6.66667</t>
  </si>
  <si>
    <t>1.16667-6.66667_S. haematobium</t>
  </si>
  <si>
    <t>1.16667-6.66667_S. mansoni</t>
  </si>
  <si>
    <t>1.23333-6.66667</t>
  </si>
  <si>
    <t>1.23333-6.66667_S. haematobium</t>
  </si>
  <si>
    <t>1.23333-6.66667_S. mansoni</t>
  </si>
  <si>
    <t>1.31667-6.7</t>
  </si>
  <si>
    <t>1.31667-6.7_S. haematobium</t>
  </si>
  <si>
    <t>1.31667-6.7_S. mansoni</t>
  </si>
  <si>
    <t>1.15-6.71667</t>
  </si>
  <si>
    <t>1.15-6.71667_S. haematobium</t>
  </si>
  <si>
    <t>1.15-6.71667_S. mansoni</t>
  </si>
  <si>
    <t>1.56667-6.71667</t>
  </si>
  <si>
    <t>1.56667-6.71667_S. haematobium</t>
  </si>
  <si>
    <t>1.56667-6.71667_S. mansoni</t>
  </si>
  <si>
    <t>1.56667-6.76667</t>
  </si>
  <si>
    <t>1.56667-6.76667_S. haematobium</t>
  </si>
  <si>
    <t>1.56667-6.76667_S. mansoni</t>
  </si>
  <si>
    <t>1.61667-6.78333</t>
  </si>
  <si>
    <t>1.61667-6.78333_S. haematobium</t>
  </si>
  <si>
    <t>1.61667-6.78333_S. mansoni</t>
  </si>
  <si>
    <t>1.05-6.91667</t>
  </si>
  <si>
    <t>1.05-6.91667_S. haematobium</t>
  </si>
  <si>
    <t>1.05-6.91667_S. mansoni</t>
  </si>
  <si>
    <t>1.13333-7.06667</t>
  </si>
  <si>
    <t>1.13333-7.06667_S. haematobium</t>
  </si>
  <si>
    <t>1.13333-7.06667_S. mansoni</t>
  </si>
  <si>
    <t>1.16239-7.17603</t>
  </si>
  <si>
    <t>1.16239-7.17603_S. haematobium</t>
  </si>
  <si>
    <t>1.16239-7.17603_S. mansoni</t>
  </si>
  <si>
    <t>1.166667-6.95</t>
  </si>
  <si>
    <t>1.166667-6.95_S. haematobium</t>
  </si>
  <si>
    <t>1.166668-6.96</t>
  </si>
  <si>
    <t>1.166668-6.96_S. haematobium</t>
  </si>
  <si>
    <t>1.166669-6.97</t>
  </si>
  <si>
    <t>1.166669-6.97_S. mansoni</t>
  </si>
  <si>
    <t>0.9-9.18333</t>
  </si>
  <si>
    <t>0.9-9.18333_S. haematobium</t>
  </si>
  <si>
    <t>0.9-9.18333_S. mansoni</t>
  </si>
  <si>
    <t>0.766667-9.23333</t>
  </si>
  <si>
    <t>0.766667-9.23333_S. haematobium</t>
  </si>
  <si>
    <t>0.766667-9.23333_S. mansoni</t>
  </si>
  <si>
    <t>0.779314-9.26076</t>
  </si>
  <si>
    <t>0.779314-9.26076_S. haematobium</t>
  </si>
  <si>
    <t>0.779314-9.26076_S. mansoni</t>
  </si>
  <si>
    <t>0.8-9.26667</t>
  </si>
  <si>
    <t>0.8-9.26667_S. haematobium</t>
  </si>
  <si>
    <t>0.8-9.26667_S. mansoni</t>
  </si>
  <si>
    <t>0.582862-9.32283</t>
  </si>
  <si>
    <t>0.582862-9.32283_S. haematobium</t>
  </si>
  <si>
    <t>0.582862-9.32283_S. mansoni</t>
  </si>
  <si>
    <t>0.616667-9.41667</t>
  </si>
  <si>
    <t>0.616667-9.41667_S. haematobium</t>
  </si>
  <si>
    <t>0.616667-9.41667_S. mansoni</t>
  </si>
  <si>
    <t>0.9-9.48333</t>
  </si>
  <si>
    <t>0.9-9.48333_S. haematobium</t>
  </si>
  <si>
    <t>0.9-9.48333_S. mansoni</t>
  </si>
  <si>
    <t>0.609198-9.68914</t>
  </si>
  <si>
    <t>0.609198-9.68914_S. haematobium</t>
  </si>
  <si>
    <t>0.609198-9.68914_S. mansoni</t>
  </si>
  <si>
    <t>0.810833-9.72861</t>
  </si>
  <si>
    <t>0.810833-9.72861_S. haematobium</t>
  </si>
  <si>
    <t>0.810833-9.72861_S. mansoni</t>
  </si>
  <si>
    <t>0.4-10.1833</t>
  </si>
  <si>
    <t>0.4-10.1833_S. haematobium</t>
  </si>
  <si>
    <t>0.4-10.1833_S. mansoni</t>
  </si>
  <si>
    <t>0.448056-10.1864</t>
  </si>
  <si>
    <t>0.448056-10.1864_S. haematobium</t>
  </si>
  <si>
    <t>0.448056-10.1864_S. mansoni</t>
  </si>
  <si>
    <t>0.744722-10.3325</t>
  </si>
  <si>
    <t>0.744722-10.3325_S. haematobium</t>
  </si>
  <si>
    <t>0.744722-10.3325_S. mansoni</t>
  </si>
  <si>
    <t>0.470833-10.3592</t>
  </si>
  <si>
    <t>0.470833-10.3592_S. haematobium</t>
  </si>
  <si>
    <t>0.470833-10.3592_S. mansoni</t>
  </si>
  <si>
    <t>0.643889-10.3839</t>
  </si>
  <si>
    <t>0.643889-10.3839_S. haematobium</t>
  </si>
  <si>
    <t>0.643889-10.3839_S. mansoni</t>
  </si>
  <si>
    <t>0.55-10.4833</t>
  </si>
  <si>
    <t>0.55-10.4833_S. haematobium</t>
  </si>
  <si>
    <t>0.55-10.4833_S. mansoni</t>
  </si>
  <si>
    <t>0.491389-10.5042</t>
  </si>
  <si>
    <t>0.491389-10.5042_S. haematobium</t>
  </si>
  <si>
    <t>0.491389-10.5042_S. mansoni</t>
  </si>
  <si>
    <t>0.302222-10.5508</t>
  </si>
  <si>
    <t>0.302222-10.5508_S. haematobium</t>
  </si>
  <si>
    <t>0.302222-10.5508_S. mansoni</t>
  </si>
  <si>
    <t>0.383333-10.6</t>
  </si>
  <si>
    <t>0.383333-10.6_S. haematobium</t>
  </si>
  <si>
    <t>0.383333-10.6_S. mansoni</t>
  </si>
  <si>
    <t>1.01667-8.66667</t>
  </si>
  <si>
    <t>1.01667-8.66667_S. haematobium</t>
  </si>
  <si>
    <t>1.01667-8.66667_S. mansoni</t>
  </si>
  <si>
    <t>0.771861-8.69399</t>
  </si>
  <si>
    <t>0.771861-8.69399_S. haematobium</t>
  </si>
  <si>
    <t>0.771861-8.69399_S. mansoni</t>
  </si>
  <si>
    <t>1.14564-8.98077</t>
  </si>
  <si>
    <t>1.14564-8.98077_S. haematobium</t>
  </si>
  <si>
    <t>1.14564-8.98077_S. mansoni</t>
  </si>
  <si>
    <t>1.41667-9.03333</t>
  </si>
  <si>
    <t>1.41667-9.03333_S. haematobium</t>
  </si>
  <si>
    <t>1.41667-9.03333_S. mansoni</t>
  </si>
  <si>
    <t>1.2016-9.20434</t>
  </si>
  <si>
    <t>1.2016-9.20434_S. haematobium</t>
  </si>
  <si>
    <t>1.2016-9.20434_S. mansoni</t>
  </si>
  <si>
    <t>1.21667-9.45</t>
  </si>
  <si>
    <t>1.21667-9.45_S. haematobium</t>
  </si>
  <si>
    <t>1.21667-9.45_S. mansoni</t>
  </si>
  <si>
    <t>1.04-9.51556</t>
  </si>
  <si>
    <t>1.04-9.51556_S. haematobium</t>
  </si>
  <si>
    <t>1.04-9.51556_S. mansoni</t>
  </si>
  <si>
    <t>1.0225-9.63083</t>
  </si>
  <si>
    <t>1.0225-9.63083_S. haematobium</t>
  </si>
  <si>
    <t>1.0225-9.63083_S. mansoni</t>
  </si>
  <si>
    <t>1.25583-9.64778</t>
  </si>
  <si>
    <t>1.25583-9.64778_S. haematobium</t>
  </si>
  <si>
    <t>1.25583-9.64778_S. mansoni</t>
  </si>
  <si>
    <t>1.18333-9.66444</t>
  </si>
  <si>
    <t>1.18333-9.66444_S. haematobium</t>
  </si>
  <si>
    <t>1.18333-9.66444_S. mansoni</t>
  </si>
  <si>
    <t>1.14016-9.67101</t>
  </si>
  <si>
    <t>1.14016-9.67101_S. haematobium</t>
  </si>
  <si>
    <t>1.14016-9.67101_S. mansoni</t>
  </si>
  <si>
    <t>1.1825-9.72278</t>
  </si>
  <si>
    <t>1.1825-9.72278_S. haematobium</t>
  </si>
  <si>
    <t>1.1825-9.72278_S. mansoni</t>
  </si>
  <si>
    <t>37.666698--3.7</t>
  </si>
  <si>
    <t>37.666698--3.7_S. haematobium</t>
  </si>
  <si>
    <t>39.099998--5.0667</t>
  </si>
  <si>
    <t>39.099998--5.0667_S. haematobium</t>
  </si>
  <si>
    <t>38.765301--5.14917</t>
  </si>
  <si>
    <t>38.765301--5.14917_S. haematobium</t>
  </si>
  <si>
    <t>38.765301--5.14917_S. mansoni</t>
  </si>
  <si>
    <t>38.783298--5.1667</t>
  </si>
  <si>
    <t>38.783298--5.1667_S. haematobium</t>
  </si>
  <si>
    <t>39.766701--5.25</t>
  </si>
  <si>
    <t>39.766701--5.25_S. mansoni</t>
  </si>
  <si>
    <t>39.766701--5.25_S. haematobium</t>
  </si>
  <si>
    <t>39.6833--5.31667</t>
  </si>
  <si>
    <t>39.6833--5.31667_S. mansoni</t>
  </si>
  <si>
    <t>39.6833--5.31667_S. haematobium</t>
  </si>
  <si>
    <t>36--7.0333</t>
  </si>
  <si>
    <t>36--7.0333_S. haematobium</t>
  </si>
  <si>
    <t>35.966702--7.1</t>
  </si>
  <si>
    <t>35.966702--7.1_S. haematobium</t>
  </si>
  <si>
    <t>35.833302--7.1167</t>
  </si>
  <si>
    <t>35.833302--7.1167_S. haematobium</t>
  </si>
  <si>
    <t>37.266701--3.3333</t>
  </si>
  <si>
    <t>37.266701--3.3333_S. mansoni</t>
  </si>
  <si>
    <t>37.266701--3.3333_S. haematobium</t>
  </si>
  <si>
    <t>37.216301--3.4133</t>
  </si>
  <si>
    <t>37.216301--3.4133_S. mansoni</t>
  </si>
  <si>
    <t>37.216301--3.4133_S. haematobium</t>
  </si>
  <si>
    <t>37.1833--3.2333</t>
  </si>
  <si>
    <t>37.1833--3.2333_S. mansoni</t>
  </si>
  <si>
    <t>37.1833--3.2333_S. haematobium</t>
  </si>
  <si>
    <t>37.5667--7.0333</t>
  </si>
  <si>
    <t>37.5667--7.0333_S. haematobium</t>
  </si>
  <si>
    <t>36.049999--4.5333</t>
  </si>
  <si>
    <t>36.049999--4.5333_S. haematobium</t>
  </si>
  <si>
    <t>34.733299--4.9</t>
  </si>
  <si>
    <t>34.733299--4.9_S. haematobium</t>
  </si>
  <si>
    <t>33.349998--2.5833</t>
  </si>
  <si>
    <t>33.349998--2.5833_S. mansoni</t>
  </si>
  <si>
    <t>33.349998--2.5833_S. haematobium</t>
  </si>
  <si>
    <t>39.299702--5.93083</t>
  </si>
  <si>
    <t>39.299702--5.93083_S. haematobium</t>
  </si>
  <si>
    <t>39.299999--5.96667</t>
  </si>
  <si>
    <t>39.299999--5.96667_S. haematobium</t>
  </si>
  <si>
    <t>39.3293--6.07593</t>
  </si>
  <si>
    <t>39.3293--6.07593_S. haematobium</t>
  </si>
  <si>
    <t>39.327999--6.08853</t>
  </si>
  <si>
    <t>39.327999--6.08853_S. haematobium</t>
  </si>
  <si>
    <t>39.287498--6.16218</t>
  </si>
  <si>
    <t>39.287498--6.16218_S. haematobium</t>
  </si>
  <si>
    <t>39.333302--6.18333</t>
  </si>
  <si>
    <t>39.333302--6.18333_S. haematobium</t>
  </si>
  <si>
    <t>39.533298--6.26667</t>
  </si>
  <si>
    <t>39.533298--6.26667_S. haematobium</t>
  </si>
  <si>
    <t>39.466702--6.36667</t>
  </si>
  <si>
    <t>39.466702--6.36667_S. haematobium</t>
  </si>
  <si>
    <t>39.549999--6.41667</t>
  </si>
  <si>
    <t>39.549999--6.41667_S. haematobium</t>
  </si>
  <si>
    <t>39.4655--6.43266</t>
  </si>
  <si>
    <t>39.4655--6.43266_S. haematobium</t>
  </si>
  <si>
    <t>39.533298--6.46667</t>
  </si>
  <si>
    <t>39.533298--6.46667_S. haematobium</t>
  </si>
  <si>
    <t>39.710201--9.99765</t>
  </si>
  <si>
    <t>39.710201--9.99765_S. haematobium</t>
  </si>
  <si>
    <t>39.264--6.82168</t>
  </si>
  <si>
    <t>39.264--6.82168_S. haematobium</t>
  </si>
  <si>
    <t>36.483299--6.35</t>
  </si>
  <si>
    <t>36.483299--6.35_S. haematobium</t>
  </si>
  <si>
    <t>35.7477--4.21004</t>
  </si>
  <si>
    <t>35.7477--4.21004_S. haematobium</t>
  </si>
  <si>
    <t>32.893299--2.52333</t>
  </si>
  <si>
    <t>32.893299--2.52333_S. mansoni</t>
  </si>
  <si>
    <t>32.913799--2.52461</t>
  </si>
  <si>
    <t>32.913799--2.52461_S. mansoni</t>
  </si>
  <si>
    <t>32.9--2.5167</t>
  </si>
  <si>
    <t>32.9--2.5167_S. haematobium</t>
  </si>
  <si>
    <t>39.7761--5.05678</t>
  </si>
  <si>
    <t>39.7761--5.05678_S. haematobium</t>
  </si>
  <si>
    <t>39.809502--5.18794</t>
  </si>
  <si>
    <t>39.809502--5.18794_S. haematobium</t>
  </si>
  <si>
    <t>39.7272--5.41743</t>
  </si>
  <si>
    <t>39.7272--5.41743_S. haematobium</t>
  </si>
  <si>
    <t>39.255199--5.9297</t>
  </si>
  <si>
    <t>39.255199--5.9297_S. haematobium</t>
  </si>
  <si>
    <t>37.329102--3.51126</t>
  </si>
  <si>
    <t>37.329102--3.51126_S. mansoni</t>
  </si>
  <si>
    <t>33.4242--3.6619</t>
  </si>
  <si>
    <t>33.4242--3.6619_S. mansoni</t>
  </si>
  <si>
    <t>36.9541--4.315</t>
  </si>
  <si>
    <t>36.9541--4.315_S. mansoni</t>
  </si>
  <si>
    <t>35.0828--3.6348</t>
  </si>
  <si>
    <t>35.0828--3.6348_S. haematobium</t>
  </si>
  <si>
    <t>34.029999--1.14983</t>
  </si>
  <si>
    <t>34.029999--1.14983_S. mansoni</t>
  </si>
  <si>
    <t>33.955002--1.30631</t>
  </si>
  <si>
    <t>33.955002--1.30631_S. mansoni</t>
  </si>
  <si>
    <t>33.8251--1.35198</t>
  </si>
  <si>
    <t>33.8251--1.35198_S. mansoni</t>
  </si>
  <si>
    <t>33.405201--1.80939</t>
  </si>
  <si>
    <t>33.405201--1.80939_S. mansoni</t>
  </si>
  <si>
    <t>36.955101--7.66019</t>
  </si>
  <si>
    <t>36.955101--7.66019_S. haematobium</t>
  </si>
  <si>
    <t>36.971401--7.68519</t>
  </si>
  <si>
    <t>36.971401--7.68519_S. haematobium</t>
  </si>
  <si>
    <t>37.008598--7.68934</t>
  </si>
  <si>
    <t>37.008598--7.68934_S. haematobium</t>
  </si>
  <si>
    <t>36.952202--7.69481</t>
  </si>
  <si>
    <t>36.952202--7.69481_S. haematobium</t>
  </si>
  <si>
    <t>36.975899--7.71139</t>
  </si>
  <si>
    <t>36.975899--7.71139_S. haematobium</t>
  </si>
  <si>
    <t>36.918999--7.72812</t>
  </si>
  <si>
    <t>36.918999--7.72812_S. haematobium</t>
  </si>
  <si>
    <t>36.993999--7.73169</t>
  </si>
  <si>
    <t>36.993999--7.73169_S. haematobium</t>
  </si>
  <si>
    <t>36.915401--7.77081</t>
  </si>
  <si>
    <t>36.915401--7.77081_S. haematobium</t>
  </si>
  <si>
    <t>36.9048--7.7902</t>
  </si>
  <si>
    <t>36.9048--7.7902_S. haematobium</t>
  </si>
  <si>
    <t>37.0378--7.79686</t>
  </si>
  <si>
    <t>37.0378--7.79686_S. haematobium</t>
  </si>
  <si>
    <t>36.900101--7.80262</t>
  </si>
  <si>
    <t>36.900101--7.80262_S. haematobium</t>
  </si>
  <si>
    <t>36.9436--7.82263</t>
  </si>
  <si>
    <t>36.9436--7.82263_S. haematobium</t>
  </si>
  <si>
    <t>36.8862--7.84133</t>
  </si>
  <si>
    <t>36.8862--7.84133_S. haematobium</t>
  </si>
  <si>
    <t>36.9105--7.84491</t>
  </si>
  <si>
    <t>36.9105--7.84491_S. haematobium</t>
  </si>
  <si>
    <t>36.936501--7.85179</t>
  </si>
  <si>
    <t>36.936501--7.85179_S. haematobium</t>
  </si>
  <si>
    <t>36.8941--7.85619</t>
  </si>
  <si>
    <t>36.8941--7.85619_S. haematobium</t>
  </si>
  <si>
    <t>36.883499--7.88306</t>
  </si>
  <si>
    <t>36.883499--7.88306_S. haematobium</t>
  </si>
  <si>
    <t>36.870399--7.8949</t>
  </si>
  <si>
    <t>36.870399--7.8949_S. haematobium</t>
  </si>
  <si>
    <t>36.856998--7.95177</t>
  </si>
  <si>
    <t>36.856998--7.95177_S. haematobium</t>
  </si>
  <si>
    <t>36.868698--7.97676</t>
  </si>
  <si>
    <t>36.868698--7.97676_S. haematobium</t>
  </si>
  <si>
    <t>36.841499--8.02308</t>
  </si>
  <si>
    <t>36.841499--8.02308_S. haematobium</t>
  </si>
  <si>
    <t>36.6889--8.08538</t>
  </si>
  <si>
    <t>36.6889--8.08538_S. haematobium</t>
  </si>
  <si>
    <t>36.682098--8.08912</t>
  </si>
  <si>
    <t>36.682098--8.08912_S. haematobium</t>
  </si>
  <si>
    <t>36.726299--8.09048</t>
  </si>
  <si>
    <t>36.726299--8.09048_S. haematobium</t>
  </si>
  <si>
    <t>36.695202--8.0949</t>
  </si>
  <si>
    <t>36.695202--8.0949_S. haematobium</t>
  </si>
  <si>
    <t>36.487999--8.10271</t>
  </si>
  <si>
    <t>36.487999--8.10271_S. haematobium</t>
  </si>
  <si>
    <t>36.6894--8.10416</t>
  </si>
  <si>
    <t>36.6894--8.10416_S. haematobium</t>
  </si>
  <si>
    <t>36.706299--8.10728</t>
  </si>
  <si>
    <t>36.706299--8.10728_S. haematobium</t>
  </si>
  <si>
    <t>36.6698--8.1118</t>
  </si>
  <si>
    <t>36.6698--8.1118_S. haematobium</t>
  </si>
  <si>
    <t>36.690399--8.11441</t>
  </si>
  <si>
    <t>36.690399--8.11441_S. haematobium</t>
  </si>
  <si>
    <t>36.650299--8.11937</t>
  </si>
  <si>
    <t>36.650299--8.11937_S. haematobium</t>
  </si>
  <si>
    <t>36.672901--8.12104</t>
  </si>
  <si>
    <t>36.672901--8.12104_S. haematobium</t>
  </si>
  <si>
    <t>36.7066--8.12481</t>
  </si>
  <si>
    <t>36.7066--8.12481_S. haematobium</t>
  </si>
  <si>
    <t>36.660999--8.15063</t>
  </si>
  <si>
    <t>36.660999--8.15063_S. haematobium</t>
  </si>
  <si>
    <t>36.688702--8.15242</t>
  </si>
  <si>
    <t>36.688702--8.15242_S. haematobium</t>
  </si>
  <si>
    <t>36.393002--8.15442</t>
  </si>
  <si>
    <t>36.393002--8.15442_S. haematobium</t>
  </si>
  <si>
    <t>36.246799--8.2101</t>
  </si>
  <si>
    <t>36.246799--8.2101_S. haematobium</t>
  </si>
  <si>
    <t>36.340599--8.28842</t>
  </si>
  <si>
    <t>36.340599--8.28842_S. haematobium</t>
  </si>
  <si>
    <t>36.1306--8.31328</t>
  </si>
  <si>
    <t>36.1306--8.31328_S. haematobium</t>
  </si>
  <si>
    <t>36.1035--8.34241</t>
  </si>
  <si>
    <t>36.1035--8.34241_S. haematobium</t>
  </si>
  <si>
    <t>36.0933--8.37549</t>
  </si>
  <si>
    <t>36.0933--8.37549_S. haematobium</t>
  </si>
  <si>
    <t>35.936699--8.50851</t>
  </si>
  <si>
    <t>35.936699--8.50851_S. haematobium</t>
  </si>
  <si>
    <t>36.011299--8.55155</t>
  </si>
  <si>
    <t>36.011299--8.55155_S. haematobium</t>
  </si>
  <si>
    <t>35.925201--8.56993</t>
  </si>
  <si>
    <t>35.925201--8.56993_S. haematobium</t>
  </si>
  <si>
    <t>35.861801--8.68028</t>
  </si>
  <si>
    <t>35.861801--8.68028_S. haematobium</t>
  </si>
  <si>
    <t>35.853699--8.73135</t>
  </si>
  <si>
    <t>35.853699--8.73135_S. haematobium</t>
  </si>
  <si>
    <t>35.366402--8.74094</t>
  </si>
  <si>
    <t>35.366402--8.74094_S. haematobium</t>
  </si>
  <si>
    <t>35.409698--8.76849</t>
  </si>
  <si>
    <t>35.409698--8.76849_S. haematobium</t>
  </si>
  <si>
    <t>35.811798--8.78158</t>
  </si>
  <si>
    <t>35.811798--8.78158_S. haematobium</t>
  </si>
  <si>
    <t>35.799099--8.79693</t>
  </si>
  <si>
    <t>35.799099--8.79693_S. haematobium</t>
  </si>
  <si>
    <t>35.791698--8.79833</t>
  </si>
  <si>
    <t>35.791698--8.79833_S. haematobium</t>
  </si>
  <si>
    <t>35.813301--8.91668</t>
  </si>
  <si>
    <t>35.813301--8.91668_S. haematobium</t>
  </si>
  <si>
    <t>35.906101--8.92109</t>
  </si>
  <si>
    <t>35.906101--8.92109_S. haematobium</t>
  </si>
  <si>
    <t>35.8405--8.9533</t>
  </si>
  <si>
    <t>35.8405--8.9533_S. haematobium</t>
  </si>
  <si>
    <t>35.638901--9.03153</t>
  </si>
  <si>
    <t>35.638901--9.03153_S. haematobium</t>
  </si>
  <si>
    <t>37.204899--6.04708</t>
  </si>
  <si>
    <t>37.204899--6.04708_S. haematobium</t>
  </si>
  <si>
    <t>37.112202--6.07072</t>
  </si>
  <si>
    <t>37.112202--6.07072_S. haematobium</t>
  </si>
  <si>
    <t>37.052502--6.07242</t>
  </si>
  <si>
    <t>37.052502--6.07242_S. haematobium</t>
  </si>
  <si>
    <t>37.1549--6.07797</t>
  </si>
  <si>
    <t>37.1549--6.07797_S. haematobium</t>
  </si>
  <si>
    <t>36.8601--6.08882</t>
  </si>
  <si>
    <t>36.8601--6.08882_S. haematobium</t>
  </si>
  <si>
    <t>37.228901--6.0951</t>
  </si>
  <si>
    <t>37.228901--6.0951_S. haematobium</t>
  </si>
  <si>
    <t>37.1922--6.09598</t>
  </si>
  <si>
    <t>37.1922--6.09598_S. haematobium</t>
  </si>
  <si>
    <t>37.142799--6.1174</t>
  </si>
  <si>
    <t>37.142799--6.1174_S. haematobium</t>
  </si>
  <si>
    <t>36.999699--6.14238</t>
  </si>
  <si>
    <t>36.999699--6.14238_S. haematobium</t>
  </si>
  <si>
    <t>37.075699--6.14326</t>
  </si>
  <si>
    <t>37.075699--6.14326_S. haematobium</t>
  </si>
  <si>
    <t>37.1446--6.15478</t>
  </si>
  <si>
    <t>37.1446--6.15478_S. haematobium</t>
  </si>
  <si>
    <t>36.940498--6.16843</t>
  </si>
  <si>
    <t>36.940498--6.16843_S. haematobium</t>
  </si>
  <si>
    <t>36.916401--6.17432</t>
  </si>
  <si>
    <t>36.916401--6.17432_S. haematobium</t>
  </si>
  <si>
    <t>37.131199--6.18422</t>
  </si>
  <si>
    <t>37.131199--6.18422_S. haematobium</t>
  </si>
  <si>
    <t>37.081501--6.19864</t>
  </si>
  <si>
    <t>37.081501--6.19864_S. haematobium</t>
  </si>
  <si>
    <t>37.191502--6.2152</t>
  </si>
  <si>
    <t>37.191502--6.2152_S. haematobium</t>
  </si>
  <si>
    <t>36.864899--6.25996</t>
  </si>
  <si>
    <t>36.864899--6.25996_S. haematobium</t>
  </si>
  <si>
    <t>37.203499--6.27731</t>
  </si>
  <si>
    <t>37.203499--6.27731_S. haematobium</t>
  </si>
  <si>
    <t>37.150002--6.33336</t>
  </si>
  <si>
    <t>37.150002--6.33336_S. haematobium</t>
  </si>
  <si>
    <t>37.373199--6.37661</t>
  </si>
  <si>
    <t>37.373199--6.37661_S. haematobium</t>
  </si>
  <si>
    <t>37.288399--6.43051</t>
  </si>
  <si>
    <t>37.288399--6.43051_S. haematobium</t>
  </si>
  <si>
    <t>37.443199--6.4451</t>
  </si>
  <si>
    <t>37.443199--6.4451_S. haematobium</t>
  </si>
  <si>
    <t>37.383499--6.47134</t>
  </si>
  <si>
    <t>37.383499--6.47134_S. haematobium</t>
  </si>
  <si>
    <t>36.9869--6.47819</t>
  </si>
  <si>
    <t>36.9869--6.47819_S. haematobium</t>
  </si>
  <si>
    <t>37.2169--6.52697</t>
  </si>
  <si>
    <t>37.2169--6.52697_S. haematobium</t>
  </si>
  <si>
    <t>36.984501--6.61437</t>
  </si>
  <si>
    <t>36.984501--6.61437_S. haematobium</t>
  </si>
  <si>
    <t>36.708599--6.64455</t>
  </si>
  <si>
    <t>36.708599--6.64455_S. haematobium</t>
  </si>
  <si>
    <t>37.176998--6.65495</t>
  </si>
  <si>
    <t>37.176998--6.65495_S. haematobium</t>
  </si>
  <si>
    <t>37.136501--6.6639</t>
  </si>
  <si>
    <t>37.136501--6.6639_S. haematobium</t>
  </si>
  <si>
    <t>37.120201--6.68479</t>
  </si>
  <si>
    <t>37.120201--6.68479_S. haematobium</t>
  </si>
  <si>
    <t>37.013599--6.69084</t>
  </si>
  <si>
    <t>37.013599--6.69084_S. haematobium</t>
  </si>
  <si>
    <t>37.1493--6.71275</t>
  </si>
  <si>
    <t>37.1493--6.71275_S. haematobium</t>
  </si>
  <si>
    <t>37.120399--6.7436</t>
  </si>
  <si>
    <t>37.120399--6.7436_S. haematobium</t>
  </si>
  <si>
    <t>37.132099--6.74735</t>
  </si>
  <si>
    <t>37.132099--6.74735_S. haematobium</t>
  </si>
  <si>
    <t>37.182301--6.75826</t>
  </si>
  <si>
    <t>37.182301--6.75826_S. haematobium</t>
  </si>
  <si>
    <t>37.121201--6.76363</t>
  </si>
  <si>
    <t>37.121201--6.76363_S. haematobium</t>
  </si>
  <si>
    <t>37.0891--6.77514</t>
  </si>
  <si>
    <t>37.0891--6.77514_S. haematobium</t>
  </si>
  <si>
    <t>37.140301--6.78307</t>
  </si>
  <si>
    <t>37.140301--6.78307_S. haematobium</t>
  </si>
  <si>
    <t>37.067799--6.80105</t>
  </si>
  <si>
    <t>37.067799--6.80105_S. haematobium</t>
  </si>
  <si>
    <t>36.984798--6.82457</t>
  </si>
  <si>
    <t>36.984798--6.82457_S. haematobium</t>
  </si>
  <si>
    <t>36.9963--6.83395</t>
  </si>
  <si>
    <t>36.9963--6.83395_S. haematobium</t>
  </si>
  <si>
    <t>37.115398--6.84167</t>
  </si>
  <si>
    <t>37.115398--6.84167_S. haematobium</t>
  </si>
  <si>
    <t>36.832802--6.8434</t>
  </si>
  <si>
    <t>36.832802--6.8434_S. haematobium</t>
  </si>
  <si>
    <t>36.977001--6.84358</t>
  </si>
  <si>
    <t>36.977001--6.84358_S. haematobium</t>
  </si>
  <si>
    <t>37.042301--6.85201</t>
  </si>
  <si>
    <t>37.042301--6.85201_S. haematobium</t>
  </si>
  <si>
    <t>37.119598--6.87357</t>
  </si>
  <si>
    <t>37.119598--6.87357_S. haematobium</t>
  </si>
  <si>
    <t>37.074902--6.88752</t>
  </si>
  <si>
    <t>37.074902--6.88752_S. haematobium</t>
  </si>
  <si>
    <t>36.91--6.89666</t>
  </si>
  <si>
    <t>36.91--6.89666_S. haematobium</t>
  </si>
  <si>
    <t>36.963699--6.91771</t>
  </si>
  <si>
    <t>36.963699--6.91771_S. haematobium</t>
  </si>
  <si>
    <t>36.900299--6.94699</t>
  </si>
  <si>
    <t>36.900299--6.94699_S. haematobium</t>
  </si>
  <si>
    <t>36.917099--6.9713</t>
  </si>
  <si>
    <t>36.917099--6.9713_S. haematobium</t>
  </si>
  <si>
    <t>36.891602--6.98851</t>
  </si>
  <si>
    <t>36.891602--6.98851_S. haematobium</t>
  </si>
  <si>
    <t>36.906101--7.00385</t>
  </si>
  <si>
    <t>36.906101--7.00385_S. haematobium</t>
  </si>
  <si>
    <t>36.889599--7.03264</t>
  </si>
  <si>
    <t>36.889599--7.03264_S. haematobium</t>
  </si>
  <si>
    <t>36.914398--7.03766</t>
  </si>
  <si>
    <t>36.914398--7.03766_S. haematobium</t>
  </si>
  <si>
    <t>37.070099--7.05396</t>
  </si>
  <si>
    <t>37.070099--7.05396_S. haematobium</t>
  </si>
  <si>
    <t>37.031898--7.0619</t>
  </si>
  <si>
    <t>37.031898--7.0619_S. haematobium</t>
  </si>
  <si>
    <t>36.896999--7.06884</t>
  </si>
  <si>
    <t>36.896999--7.06884_S. haematobium</t>
  </si>
  <si>
    <t>36.9328--7.10027</t>
  </si>
  <si>
    <t>36.9328--7.10027_S. haematobium</t>
  </si>
  <si>
    <t>36.793701--7.19336</t>
  </si>
  <si>
    <t>36.793701--7.19336_S. haematobium</t>
  </si>
  <si>
    <t>36.7547--7.29136</t>
  </si>
  <si>
    <t>36.7547--7.29136_S. haematobium</t>
  </si>
  <si>
    <t>36.998199--7.38823</t>
  </si>
  <si>
    <t>36.998199--7.38823_S. haematobium</t>
  </si>
  <si>
    <t>36.984501--7.43071</t>
  </si>
  <si>
    <t>36.984501--7.43071_S. haematobium</t>
  </si>
  <si>
    <t>36.916698--7.43889</t>
  </si>
  <si>
    <t>36.916698--7.43889_S. haematobium</t>
  </si>
  <si>
    <t>37.036701--7.5261</t>
  </si>
  <si>
    <t>37.036701--7.5261_S. haematobium</t>
  </si>
  <si>
    <t>37.035999--7.56244</t>
  </si>
  <si>
    <t>37.035999--7.56244_S. haematobium</t>
  </si>
  <si>
    <t>36.945301--7.57789</t>
  </si>
  <si>
    <t>36.945301--7.57789_S. haematobium</t>
  </si>
  <si>
    <t>37.0158--7.62174</t>
  </si>
  <si>
    <t>37.0158--7.62174_S. haematobium</t>
  </si>
  <si>
    <t>36.993--7.63234</t>
  </si>
  <si>
    <t>36.993--7.63234_S. haematobium</t>
  </si>
  <si>
    <t>37.055199--7.63433</t>
  </si>
  <si>
    <t>37.055199--7.63433_S. haematobium</t>
  </si>
  <si>
    <t>36.962898--7.64913</t>
  </si>
  <si>
    <t>36.962898--7.64913_S. haematobium</t>
  </si>
  <si>
    <t>36.983898--7.65888</t>
  </si>
  <si>
    <t>36.983898--7.65888_S. haematobium</t>
  </si>
  <si>
    <t>37.043598--7.69818</t>
  </si>
  <si>
    <t>37.043598--7.69818_S. haematobium</t>
  </si>
  <si>
    <t>39.775799--5.03076</t>
  </si>
  <si>
    <t>39.775799--5.03076_S. haematobium</t>
  </si>
  <si>
    <t>38.9049--4.92131</t>
  </si>
  <si>
    <t>38.9049--4.92131_S. haematobium</t>
  </si>
  <si>
    <t>39.083302--4.96667</t>
  </si>
  <si>
    <t>39.083302--4.96667_S. haematobium</t>
  </si>
  <si>
    <t>39.097801--5.07694</t>
  </si>
  <si>
    <t>39.097801--5.07694_S. haematobium</t>
  </si>
  <si>
    <t>39.0812--5.07862</t>
  </si>
  <si>
    <t>39.0812--5.07862_S. haematobium</t>
  </si>
  <si>
    <t>39.092701--5.08856</t>
  </si>
  <si>
    <t>39.092701--5.08856_S. haematobium</t>
  </si>
  <si>
    <t>39.096298--5.09607</t>
  </si>
  <si>
    <t>39.096298--5.09607_S. haematobium</t>
  </si>
  <si>
    <t>38.768799--5.14722</t>
  </si>
  <si>
    <t>38.768799--5.14722_S. haematobium</t>
  </si>
  <si>
    <t>39.060299--5.29416</t>
  </si>
  <si>
    <t>39.060299--5.29416_S. haematobium</t>
  </si>
  <si>
    <t>39.0341--5.33145</t>
  </si>
  <si>
    <t>39.0341--5.33145_S. haematobium</t>
  </si>
  <si>
    <t>37.6667--6.8167</t>
  </si>
  <si>
    <t>37.6667--6.8167_S. haematobium</t>
  </si>
  <si>
    <t>37.6667--6.8167_S. mansoni</t>
  </si>
  <si>
    <t>38.3055--4.82801</t>
  </si>
  <si>
    <t>38.3055--4.82801_S. haematobium</t>
  </si>
  <si>
    <t>38.3055--4.82801_S. mansoni</t>
  </si>
  <si>
    <t>38.571701--5.10536</t>
  </si>
  <si>
    <t>38.571701--5.10536_S. haematobium</t>
  </si>
  <si>
    <t>38.571701--5.10536_S. mansoni</t>
  </si>
  <si>
    <t>36.714901--8.09249</t>
  </si>
  <si>
    <t>36.714901--8.09249_S. haematobium</t>
  </si>
  <si>
    <t>32.5667--42.3833</t>
  </si>
  <si>
    <t>32.5667--42.3833_S. haematobium</t>
  </si>
  <si>
    <t>32.5667--42.3833_S. mansoni</t>
  </si>
  <si>
    <t>32.990601--2.68622</t>
  </si>
  <si>
    <t>32.990601--2.68622_S. haematobium</t>
  </si>
  <si>
    <t>39.255199--5.92979</t>
  </si>
  <si>
    <t>39.255199--5.92979_S. haematobium</t>
  </si>
  <si>
    <t>39.255199--5.92979_S. mansoni</t>
  </si>
  <si>
    <t>32.925499--2.63677</t>
  </si>
  <si>
    <t>32.925499--2.63677_S. haematobium</t>
  </si>
  <si>
    <t>33.031101--2.64671</t>
  </si>
  <si>
    <t>33.031101--2.64671_S. haematobium</t>
  </si>
  <si>
    <t>33.031101--2.64671_S. mansoni</t>
  </si>
  <si>
    <t>32.897701--2.71195</t>
  </si>
  <si>
    <t>32.897701--2.71195_S. haematobium</t>
  </si>
  <si>
    <t>32.897701--2.71195_S. mansoni</t>
  </si>
  <si>
    <t>32.917198--2.73313</t>
  </si>
  <si>
    <t>32.917198--2.73313_S. haematobium</t>
  </si>
  <si>
    <t>33.050999--2.75536</t>
  </si>
  <si>
    <t>33.050999--2.75536_S. haematobium</t>
  </si>
  <si>
    <t>33.050999--2.75536_S. mansoni</t>
  </si>
  <si>
    <t>32.931099--2.75572</t>
  </si>
  <si>
    <t>32.931099--2.75572_S. haematobium</t>
  </si>
  <si>
    <t>32.931099--2.75572_S. mansoni</t>
  </si>
  <si>
    <t>33.001202--2.75782</t>
  </si>
  <si>
    <t>33.001202--2.75782_S. haematobium</t>
  </si>
  <si>
    <t>33.001202--2.75782_S. mansoni</t>
  </si>
  <si>
    <t>33.027901--2.76806</t>
  </si>
  <si>
    <t>33.027901--2.76806_S. haematobium</t>
  </si>
  <si>
    <t>33.027901--2.76806_S. mansoni</t>
  </si>
  <si>
    <t>33.081799--2.77311</t>
  </si>
  <si>
    <t>33.081799--2.77311_S. haematobium</t>
  </si>
  <si>
    <t>33.0509--2.81572</t>
  </si>
  <si>
    <t>33.0509--2.81572_S. haematobium</t>
  </si>
  <si>
    <t>37.338902--3.45854</t>
  </si>
  <si>
    <t>37.338902--3.45854_S. mansoni</t>
  </si>
  <si>
    <t>37.3279--3.5108</t>
  </si>
  <si>
    <t>37.3279--3.5108_S. haematobium</t>
  </si>
  <si>
    <t>37.329498--3.54181</t>
  </si>
  <si>
    <t>37.329498--3.54181_S. mansoni</t>
  </si>
  <si>
    <t>37.3279--3.5108_S. mansoni</t>
  </si>
  <si>
    <t>39.299999--5.93333</t>
  </si>
  <si>
    <t>39.299999--5.93333_S. haematobium</t>
  </si>
  <si>
    <t>39.745602--4.94313</t>
  </si>
  <si>
    <t>39.745602--4.94313_S. haematobium</t>
  </si>
  <si>
    <t>39.776501--5.05769</t>
  </si>
  <si>
    <t>39.776501--5.05769_S. haematobium</t>
  </si>
  <si>
    <t>39.812901--5.18917</t>
  </si>
  <si>
    <t>39.812901--5.18917_S. haematobium</t>
  </si>
  <si>
    <t>39.648201--5.36097</t>
  </si>
  <si>
    <t>39.648201--5.36097_S. haematobium</t>
  </si>
  <si>
    <t>39.733299--5.41667</t>
  </si>
  <si>
    <t>39.733299--5.41667_S. haematobium</t>
  </si>
  <si>
    <t>39.283298--5.88333</t>
  </si>
  <si>
    <t>39.283298--5.88333_S. haematobium</t>
  </si>
  <si>
    <t>39.283298--5.88333_S. mansoni</t>
  </si>
  <si>
    <t>39.347698--6.17694</t>
  </si>
  <si>
    <t>39.347698--6.17694_S. haematobium</t>
  </si>
  <si>
    <t>39.347698--6.17694_S. mansoni</t>
  </si>
  <si>
    <t>39.374599--6.30693</t>
  </si>
  <si>
    <t>39.374599--6.30693_S. haematobium</t>
  </si>
  <si>
    <t>39.374599--6.30693_S. mansoni</t>
  </si>
  <si>
    <t>39.5271--6.4484</t>
  </si>
  <si>
    <t>39.5271--6.4484_S. haematobium</t>
  </si>
  <si>
    <t>39.5271--6.4484_S. mansoni</t>
  </si>
  <si>
    <t>32.466702--2.36667</t>
  </si>
  <si>
    <t>32.466702--2.36667_S. mansoni</t>
  </si>
  <si>
    <t>30.6325--2.7175</t>
  </si>
  <si>
    <t>30.6325--2.7175_S. mansoni</t>
  </si>
  <si>
    <t>32.9949--2.68195</t>
  </si>
  <si>
    <t>32.9949--2.68195_S. haematobium</t>
  </si>
  <si>
    <t>32.9949--2.68195_S. mansoni</t>
  </si>
  <si>
    <t>32.887699--2.47173</t>
  </si>
  <si>
    <t>32.887699--2.47173_S. haematobium</t>
  </si>
  <si>
    <t>32.887699--2.47173_S. mansoni</t>
  </si>
  <si>
    <t>32.916--1.98398</t>
  </si>
  <si>
    <t>32.916--1.98398_S. mansoni</t>
  </si>
  <si>
    <t>37.499802--6.91993</t>
  </si>
  <si>
    <t>37.499802--6.91993_S. haematobium</t>
  </si>
  <si>
    <t>37.499802--6.91993_S. mansoni</t>
  </si>
  <si>
    <t>33.022099--2.71423</t>
  </si>
  <si>
    <t>33.022099--2.71423_S. haematobium</t>
  </si>
  <si>
    <t>39.736801--4.99604</t>
  </si>
  <si>
    <t>39.736801--4.99604_S. haematobium</t>
  </si>
  <si>
    <t>39.77--5.11603</t>
  </si>
  <si>
    <t>39.77--5.11603_S. haematobium</t>
  </si>
  <si>
    <t>39.733898--5.33162</t>
  </si>
  <si>
    <t>39.733898--5.33162_S. haematobium</t>
  </si>
  <si>
    <t>33.5298--2.58914</t>
  </si>
  <si>
    <t>33.5298--2.58914_S. haematobium</t>
  </si>
  <si>
    <t>33.5298--2.58914_S. mansoni</t>
  </si>
  <si>
    <t>39.2253--6.04247</t>
  </si>
  <si>
    <t>39.2253--6.04247_S. haematobium</t>
  </si>
  <si>
    <t>39.308899--5.96972</t>
  </si>
  <si>
    <t>39.308899--5.96972_S. haematobium</t>
  </si>
  <si>
    <t>38.714401--5.06409</t>
  </si>
  <si>
    <t>38.714401--5.06409_S. haematobium</t>
  </si>
  <si>
    <t>38.900002--5.15</t>
  </si>
  <si>
    <t>38.900002--5.15_S. haematobium</t>
  </si>
  <si>
    <t>38.847599--5.16954</t>
  </si>
  <si>
    <t>38.847599--5.16954_S. haematobium</t>
  </si>
  <si>
    <t>39.1023--5.0889</t>
  </si>
  <si>
    <t>39.1023--5.0889_S. haematobium</t>
  </si>
  <si>
    <t>39.75--5.0667</t>
  </si>
  <si>
    <t>39.75--5.0667_S. haematobium</t>
  </si>
  <si>
    <t>39.766701--5.0833</t>
  </si>
  <si>
    <t>39.766701--5.0833_S. haematobium</t>
  </si>
  <si>
    <t>38.883598--5.43886</t>
  </si>
  <si>
    <t>38.883598--5.43886_S. haematobium</t>
  </si>
  <si>
    <t>38.939602--5.44097</t>
  </si>
  <si>
    <t>38.939602--5.44097_S. haematobium</t>
  </si>
  <si>
    <t>38.900002--5.46667</t>
  </si>
  <si>
    <t>38.900002--5.46667_S. haematobium</t>
  </si>
  <si>
    <t>38.9492--5.48842</t>
  </si>
  <si>
    <t>38.9492--5.48842_S. haematobium</t>
  </si>
  <si>
    <t>38.9333--5.53333</t>
  </si>
  <si>
    <t>38.9333--5.53333_S. haematobium</t>
  </si>
  <si>
    <t>38.966702--5.55</t>
  </si>
  <si>
    <t>38.966702--5.55_S. haematobium</t>
  </si>
  <si>
    <t>38.854198--5.56383</t>
  </si>
  <si>
    <t>38.854198--5.56383_S. haematobium</t>
  </si>
  <si>
    <t>38.899101--5.58376</t>
  </si>
  <si>
    <t>38.899101--5.58376_S. haematobium</t>
  </si>
  <si>
    <t>38.900002--5.63333</t>
  </si>
  <si>
    <t>38.900002--5.63333_S. haematobium</t>
  </si>
  <si>
    <t>33.136101--2.09268</t>
  </si>
  <si>
    <t>33.136101--2.09268_S. mansoni</t>
  </si>
  <si>
    <t>33.136101--2.09268_S. haematobium</t>
  </si>
  <si>
    <t>33.077999--2.39165</t>
  </si>
  <si>
    <t>33.077999--2.39165_S. mansoni</t>
  </si>
  <si>
    <t>33.077999--2.39165_S. haematobium</t>
  </si>
  <si>
    <t>32.931099--2.62905</t>
  </si>
  <si>
    <t>32.931099--2.62905_S. haematobium</t>
  </si>
  <si>
    <t>31.8141--1.32815</t>
  </si>
  <si>
    <t>31.8141--1.32815_S. mansoni</t>
  </si>
  <si>
    <t>31.815599--1.35513</t>
  </si>
  <si>
    <t>31.815599--1.35513_S. mansoni</t>
  </si>
  <si>
    <t>31.633301--1.55</t>
  </si>
  <si>
    <t>31.633301--1.55_S. mansoni</t>
  </si>
  <si>
    <t>31.827499--1.33172</t>
  </si>
  <si>
    <t>31.827499--1.33172_S. mansoni</t>
  </si>
  <si>
    <t>32.911701--2.47645</t>
  </si>
  <si>
    <t>32.911701--2.47645_S. mansoni</t>
  </si>
  <si>
    <t>32.8941--2.49986</t>
  </si>
  <si>
    <t>32.8941--2.49986_S. mansoni</t>
  </si>
  <si>
    <t>32.915401--2.52632</t>
  </si>
  <si>
    <t>32.915401--2.52632_S. mansoni</t>
  </si>
  <si>
    <t>32.908699--2.54916</t>
  </si>
  <si>
    <t>32.908699--2.54916_S. mansoni</t>
  </si>
  <si>
    <t>39.3083--5.97014</t>
  </si>
  <si>
    <t>39.3083--5.97014_S. haematobium</t>
  </si>
  <si>
    <t>37.127399--6.63187</t>
  </si>
  <si>
    <t>37.127399--6.63187_S. haematobium</t>
  </si>
  <si>
    <t>39.701401--5.37812</t>
  </si>
  <si>
    <t>39.701401--5.37812_S. haematobium</t>
  </si>
  <si>
    <t>39.201099--6.84793</t>
  </si>
  <si>
    <t>39.201099--6.84793_S. haematobium</t>
  </si>
  <si>
    <t>39.258202--6.81696</t>
  </si>
  <si>
    <t>39.258202--6.81696_S. haematobium</t>
  </si>
  <si>
    <t>39.2495--6.81773</t>
  </si>
  <si>
    <t>39.2495--6.81773_S. haematobium</t>
  </si>
  <si>
    <t>39.102402--5.08889</t>
  </si>
  <si>
    <t>39.102402--5.08889_S. mansoni</t>
  </si>
  <si>
    <t>32.903099--2.51062</t>
  </si>
  <si>
    <t>32.903099--2.51062_S. haematobium</t>
  </si>
  <si>
    <t>39.7771--5.03212</t>
  </si>
  <si>
    <t>39.7771--5.03212_S. mansoni</t>
  </si>
  <si>
    <t>39.7771--5.03212_S. haematobium</t>
  </si>
  <si>
    <t>37.579399--3.47722</t>
  </si>
  <si>
    <t>37.579399--3.47722_S. haematobium</t>
  </si>
  <si>
    <t>37.603298--3.48358</t>
  </si>
  <si>
    <t>37.603298--3.48358_S. haematobium</t>
  </si>
  <si>
    <t>37.658501--3.69811</t>
  </si>
  <si>
    <t>37.658501--3.69811_S. haematobium</t>
  </si>
  <si>
    <t>37.3969--3.45978</t>
  </si>
  <si>
    <t>37.3969--3.45978_S. haematobium</t>
  </si>
  <si>
    <t>37.579399--3.47722_S. mansoni</t>
  </si>
  <si>
    <t>37.603298--3.48358_S. mansoni</t>
  </si>
  <si>
    <t>37.3969--3.45978_S. mansoni</t>
  </si>
  <si>
    <t>37.430698--3.46996</t>
  </si>
  <si>
    <t>37.430698--3.46996_S. mansoni</t>
  </si>
  <si>
    <t>37.430698--3.46996_S. haematobium</t>
  </si>
  <si>
    <t>39.326302--6.13888</t>
  </si>
  <si>
    <t>39.326302--6.13888_S. mansoni</t>
  </si>
  <si>
    <t>39.2519--6.01583</t>
  </si>
  <si>
    <t>39.2519--6.01583_S. haematobium</t>
  </si>
  <si>
    <t>39.4617--6.37833</t>
  </si>
  <si>
    <t>39.4617--6.37833_S. haematobium</t>
  </si>
  <si>
    <t>33.266701--4.21667</t>
  </si>
  <si>
    <t>33.266701--4.21667_S. haematobium</t>
  </si>
  <si>
    <t>39.267502--6.76204</t>
  </si>
  <si>
    <t>39.267502--6.76204_S. haematobium</t>
  </si>
  <si>
    <t>39.250301--6.78609</t>
  </si>
  <si>
    <t>39.250301--6.78609_S. haematobium</t>
  </si>
  <si>
    <t>39.255501--6.80245</t>
  </si>
  <si>
    <t>39.255501--6.80245_S. haematobium</t>
  </si>
  <si>
    <t>39.257301--6.80279</t>
  </si>
  <si>
    <t>39.257301--6.80279_S. haematobium</t>
  </si>
  <si>
    <t>39.249599--6.80331</t>
  </si>
  <si>
    <t>39.249599--6.80331_S. haematobium</t>
  </si>
  <si>
    <t>39.257198--6.81115</t>
  </si>
  <si>
    <t>39.257198--6.81115_S. haematobium</t>
  </si>
  <si>
    <t>39.250801--6.82919</t>
  </si>
  <si>
    <t>39.250801--6.82919_S. haematobium</t>
  </si>
  <si>
    <t>39.227402--6.83056</t>
  </si>
  <si>
    <t>39.227402--6.83056_S. haematobium</t>
  </si>
  <si>
    <t>39.276501--6.83822</t>
  </si>
  <si>
    <t>39.276501--6.83822_S. haematobium</t>
  </si>
  <si>
    <t>39.258701--6.86245</t>
  </si>
  <si>
    <t>39.258701--6.86245_S. haematobium</t>
  </si>
  <si>
    <t>39.272202--6.87444</t>
  </si>
  <si>
    <t>39.272202--6.87444_S. haematobium</t>
  </si>
  <si>
    <t>39.2453--6.81108</t>
  </si>
  <si>
    <t>39.2453--6.81108_S. haematobium</t>
  </si>
  <si>
    <t>39.227798--6.81461</t>
  </si>
  <si>
    <t>39.227798--6.81461_S. haematobium</t>
  </si>
  <si>
    <t>39.257999--6.81686</t>
  </si>
  <si>
    <t>39.257999--6.81686_S. haematobium</t>
  </si>
  <si>
    <t>39.799999--5.3</t>
  </si>
  <si>
    <t>39.799999--5.3_S. haematobium</t>
  </si>
  <si>
    <t>39.851799--4.98082</t>
  </si>
  <si>
    <t>39.851799--4.98082_S. haematobium</t>
  </si>
  <si>
    <t>39.729198--5.05598</t>
  </si>
  <si>
    <t>39.729198--5.05598_S. haematobium</t>
  </si>
  <si>
    <t>39.766701--5.24584</t>
  </si>
  <si>
    <t>39.766701--5.24584_S. haematobium</t>
  </si>
  <si>
    <t>39.7756--5.03144</t>
  </si>
  <si>
    <t>39.7756--5.03144_S. haematobium</t>
  </si>
  <si>
    <t>39.355801--5.92056</t>
  </si>
  <si>
    <t>39.355801--5.92056_S. haematobium</t>
  </si>
  <si>
    <t>39.272202--6.14389</t>
  </si>
  <si>
    <t>39.272202--6.14389_S. haematobium</t>
  </si>
  <si>
    <t>39.221699--6.14611</t>
  </si>
  <si>
    <t>39.221699--6.14611_S. haematobium</t>
  </si>
  <si>
    <t>39.205799--6.15778</t>
  </si>
  <si>
    <t>39.205799--6.15778_S. haematobium</t>
  </si>
  <si>
    <t>36.6852--8.07703</t>
  </si>
  <si>
    <t>36.6852--8.07703_S. haematobium</t>
  </si>
  <si>
    <t>36.679401--8.08093</t>
  </si>
  <si>
    <t>36.679401--8.08093_S. haematobium</t>
  </si>
  <si>
    <t>36.728802--8.08722</t>
  </si>
  <si>
    <t>36.728802--8.08722_S. haematobium</t>
  </si>
  <si>
    <t>36.7024--8.08722</t>
  </si>
  <si>
    <t>36.7024--8.08722_S. haematobium</t>
  </si>
  <si>
    <t>36.692101--8.11119</t>
  </si>
  <si>
    <t>36.692101--8.11119_S. haematobium</t>
  </si>
  <si>
    <t>36.652401--8.11968</t>
  </si>
  <si>
    <t>36.652401--8.11968_S. haematobium</t>
  </si>
  <si>
    <t>36.702702--8.12189</t>
  </si>
  <si>
    <t>36.702702--8.12189_S. haematobium</t>
  </si>
  <si>
    <t>36.694--8.12869</t>
  </si>
  <si>
    <t>36.694--8.12869_S. haematobium</t>
  </si>
  <si>
    <t>36.681099--8.13192</t>
  </si>
  <si>
    <t>36.681099--8.13192_S. haematobium</t>
  </si>
  <si>
    <t>36.6759--8.13396</t>
  </si>
  <si>
    <t>36.6759--8.13396_S. haematobium</t>
  </si>
  <si>
    <t>36.652901--8.1377</t>
  </si>
  <si>
    <t>36.652901--8.1377_S. haematobium</t>
  </si>
  <si>
    <t>36.679001--8.13787</t>
  </si>
  <si>
    <t>36.679001--8.13787_S. haematobium</t>
  </si>
  <si>
    <t>36.6675--8.13838</t>
  </si>
  <si>
    <t>36.6675--8.13838_S. haematobium</t>
  </si>
  <si>
    <t>36.682499--8.145</t>
  </si>
  <si>
    <t>36.682499--8.145_S. haematobium</t>
  </si>
  <si>
    <t>36.6922--8.14738</t>
  </si>
  <si>
    <t>36.6922--8.14738_S. haematobium</t>
  </si>
  <si>
    <t>37.470001--3.83014</t>
  </si>
  <si>
    <t>37.470001--3.83014_S. mansoni</t>
  </si>
  <si>
    <t>37.470001--3.83014_S. haematobium</t>
  </si>
  <si>
    <t>37.951199--4.13625</t>
  </si>
  <si>
    <t>37.951199--4.13625_S. mansoni</t>
  </si>
  <si>
    <t>37.951199--4.13625_S. haematobium</t>
  </si>
  <si>
    <t>38.383301--4.5</t>
  </si>
  <si>
    <t>38.383301--4.5_S. mansoni</t>
  </si>
  <si>
    <t>38.383301--4.5_S. haematobium</t>
  </si>
  <si>
    <t>36.999901--7.68781</t>
  </si>
  <si>
    <t>36.999901--7.68781_S. mansoni</t>
  </si>
  <si>
    <t>36.999901--7.68781_S. haematobium</t>
  </si>
  <si>
    <t>35.599998--7.8</t>
  </si>
  <si>
    <t>35.599998--7.8_S. mansoni</t>
  </si>
  <si>
    <t>35.599998--7.8_S. haematobium</t>
  </si>
  <si>
    <t>39.714298--9.99691</t>
  </si>
  <si>
    <t>39.714298--9.99691_S. haematobium</t>
  </si>
  <si>
    <t>30.7831--3.69294</t>
  </si>
  <si>
    <t>30.7831--3.69294_S. haematobium</t>
  </si>
  <si>
    <t>36.393002--8.15442_S. mansoni</t>
  </si>
  <si>
    <t>38.450199--5.15557</t>
  </si>
  <si>
    <t>38.450199--5.15557_S. haematobium</t>
  </si>
  <si>
    <t>38.252998--5.4481</t>
  </si>
  <si>
    <t>38.252998--5.4481_S. haematobium</t>
  </si>
  <si>
    <t>38.0159--5.49559</t>
  </si>
  <si>
    <t>38.0159--5.49559_S. haematobium</t>
  </si>
  <si>
    <t>39.271301--6.78783</t>
  </si>
  <si>
    <t>39.271301--6.78783_S. haematobium</t>
  </si>
  <si>
    <t>39.299999--6.80245</t>
  </si>
  <si>
    <t>39.299999--6.80245_S. haematobium</t>
  </si>
  <si>
    <t>39.299999--6.80279</t>
  </si>
  <si>
    <t>39.299999--6.80279_S. haematobium</t>
  </si>
  <si>
    <t>39.200001--6.80331</t>
  </si>
  <si>
    <t>39.200001--6.80331_S. haematobium</t>
  </si>
  <si>
    <t>39.299999--6.81115</t>
  </si>
  <si>
    <t>39.299999--6.81115_S. haematobium</t>
  </si>
  <si>
    <t>39.299999--6.82142</t>
  </si>
  <si>
    <t>39.299999--6.82142_S. haematobium</t>
  </si>
  <si>
    <t>36.726299--8.09048_S. mansoni</t>
  </si>
  <si>
    <t>35.983501--7.03219</t>
  </si>
  <si>
    <t>35.983501--7.03219_S. haematobium</t>
  </si>
  <si>
    <t>35.983501--7.03219_S. mansoni</t>
  </si>
  <si>
    <t>35.7104--7.21287</t>
  </si>
  <si>
    <t>35.7104--7.21287_S. haematobium</t>
  </si>
  <si>
    <t>35.7104--7.21287_S. mansoni</t>
  </si>
  <si>
    <t>37.004101--7.58345</t>
  </si>
  <si>
    <t>37.004101--7.58345_S. haematobium</t>
  </si>
  <si>
    <t>37.004101--7.58345_S. mansoni</t>
  </si>
  <si>
    <t>36.999901--7.59797</t>
  </si>
  <si>
    <t>36.999901--7.59797_S. haematobium</t>
  </si>
  <si>
    <t>36.993698--7.63081</t>
  </si>
  <si>
    <t>36.993698--7.63081_S. haematobium</t>
  </si>
  <si>
    <t>36.9188--7.64732</t>
  </si>
  <si>
    <t>36.9188--7.64732_S. haematobium</t>
  </si>
  <si>
    <t>36.9188--7.64732_S. mansoni</t>
  </si>
  <si>
    <t>36.998699--7.67703</t>
  </si>
  <si>
    <t>36.998699--7.67703_S. haematobium</t>
  </si>
  <si>
    <t>36.963501--7.68968</t>
  </si>
  <si>
    <t>36.963501--7.68968_S. haematobium</t>
  </si>
  <si>
    <t>36.958698--7.70272</t>
  </si>
  <si>
    <t>36.958698--7.70272_S. haematobium</t>
  </si>
  <si>
    <t>36.829201--7.63915</t>
  </si>
  <si>
    <t>36.829201--7.63915_S. haematobium</t>
  </si>
  <si>
    <t>36.829201--7.63915_S. mansoni</t>
  </si>
  <si>
    <t>36.897598--7.64782</t>
  </si>
  <si>
    <t>36.897598--7.64782_S. haematobium</t>
  </si>
  <si>
    <t>36.897598--7.64782_S. mansoni</t>
  </si>
  <si>
    <t>33.0424--2.55372</t>
  </si>
  <si>
    <t>33.0424--2.55372_S. haematobium</t>
  </si>
  <si>
    <t>38.8046--4.86698</t>
  </si>
  <si>
    <t>38.8046--4.86698_S. haematobium</t>
  </si>
  <si>
    <t>33.0583--2.47299</t>
  </si>
  <si>
    <t>33.0583--2.47299_S. haematobium</t>
  </si>
  <si>
    <t>33.0583--2.47299_S. mansoni</t>
  </si>
  <si>
    <t>33.0667--2.48333</t>
  </si>
  <si>
    <t>33.0667--2.48333_S. haematobium</t>
  </si>
  <si>
    <t>33.083302--2.85</t>
  </si>
  <si>
    <t>33.083302--2.85_S. haematobium</t>
  </si>
  <si>
    <t>32.2976--8.3123</t>
  </si>
  <si>
    <t>32.2976--8.3123_S. haematobium</t>
  </si>
  <si>
    <t>31.799999--1.03333</t>
  </si>
  <si>
    <t>31.799999--1.03333_S. haematobium</t>
  </si>
  <si>
    <t>31.799999--1.03333_S. mansoni</t>
  </si>
  <si>
    <t>31.7689--1.15889</t>
  </si>
  <si>
    <t>31.7689--1.15889_S. haematobium</t>
  </si>
  <si>
    <t>31.7689--1.15889_S. mansoni</t>
  </si>
  <si>
    <t>31.624201--1.19194</t>
  </si>
  <si>
    <t>31.624201--1.19194_S. haematobium</t>
  </si>
  <si>
    <t>31.624201--1.19194_S. mansoni</t>
  </si>
  <si>
    <t>31.799999--1.2</t>
  </si>
  <si>
    <t>31.799999--1.2_S. haematobium</t>
  </si>
  <si>
    <t>31.799999--1.2_S. mansoni</t>
  </si>
  <si>
    <t>30.964199--1.23389</t>
  </si>
  <si>
    <t>30.964199--1.23389_S. haematobium</t>
  </si>
  <si>
    <t>30.964199--1.23389_S. mansoni</t>
  </si>
  <si>
    <t>31.808901--1.27583</t>
  </si>
  <si>
    <t>31.808901--1.27583_S. haematobium</t>
  </si>
  <si>
    <t>31.808901--1.27583_S. mansoni</t>
  </si>
  <si>
    <t>30.829201--1.30722</t>
  </si>
  <si>
    <t>30.829201--1.30722_S. haematobium</t>
  </si>
  <si>
    <t>30.829201--1.30722_S. mansoni</t>
  </si>
  <si>
    <t>31.813601--1.32857</t>
  </si>
  <si>
    <t>31.813601--1.32857_S. haematobium</t>
  </si>
  <si>
    <t>31.813601--1.32857_S. mansoni</t>
  </si>
  <si>
    <t>31.119699--1.34833</t>
  </si>
  <si>
    <t>31.119699--1.34833_S. haematobium</t>
  </si>
  <si>
    <t>31.119699--1.34833_S. mansoni</t>
  </si>
  <si>
    <t>31.634701--1.4825</t>
  </si>
  <si>
    <t>31.634701--1.4825_S. haematobium</t>
  </si>
  <si>
    <t>31.634701--1.4825_S. mansoni</t>
  </si>
  <si>
    <t>31.137199--1.49306</t>
  </si>
  <si>
    <t>31.137199--1.49306_S. haematobium</t>
  </si>
  <si>
    <t>31.137199--1.49306_S. mansoni</t>
  </si>
  <si>
    <t>31.6989--1.66222</t>
  </si>
  <si>
    <t>31.6989--1.66222_S. haematobium</t>
  </si>
  <si>
    <t>31.6989--1.66222_S. mansoni</t>
  </si>
  <si>
    <t>31.7167--1.73333</t>
  </si>
  <si>
    <t>31.7167--1.73333_S. haematobium</t>
  </si>
  <si>
    <t>31.7167--1.73333_S. mansoni</t>
  </si>
  <si>
    <t>30.9783--1.79361</t>
  </si>
  <si>
    <t>30.9783--1.79361_S. haematobium</t>
  </si>
  <si>
    <t>30.9783--1.79361_S. mansoni</t>
  </si>
  <si>
    <t>31.5511--1.79833</t>
  </si>
  <si>
    <t>31.5511--1.79833_S. haematobium</t>
  </si>
  <si>
    <t>31.5511--1.79833_S. mansoni</t>
  </si>
  <si>
    <t>30.9519--1.81639</t>
  </si>
  <si>
    <t>30.9519--1.81639_S. haematobium</t>
  </si>
  <si>
    <t>30.9519--1.81639_S. mansoni</t>
  </si>
  <si>
    <t>31.1322--1.8225</t>
  </si>
  <si>
    <t>31.1322--1.8225_S. haematobium</t>
  </si>
  <si>
    <t>31.1322--1.8225_S. mansoni</t>
  </si>
  <si>
    <t>31.680599--1.86722</t>
  </si>
  <si>
    <t>31.680599--1.86722_S. haematobium</t>
  </si>
  <si>
    <t>31.680599--1.86722_S. mansoni</t>
  </si>
  <si>
    <t>33.783298--2.33333</t>
  </si>
  <si>
    <t>33.783298--2.33333_S. haematobium</t>
  </si>
  <si>
    <t>33.783298--2.33333_S. mansoni</t>
  </si>
  <si>
    <t>30.7528--2.40028</t>
  </si>
  <si>
    <t>30.7528--2.40028_S. haematobium</t>
  </si>
  <si>
    <t>30.7528--2.40028_S. mansoni</t>
  </si>
  <si>
    <t>33.723301--2.43361</t>
  </si>
  <si>
    <t>33.723301--2.43361_S. haematobium</t>
  </si>
  <si>
    <t>33.723301--2.43361_S. mansoni</t>
  </si>
  <si>
    <t>33.339901--2.5349</t>
  </si>
  <si>
    <t>33.339901--2.5349_S. haematobium</t>
  </si>
  <si>
    <t>33.339901--2.5349_S. mansoni</t>
  </si>
  <si>
    <t>32.978699--2.5437</t>
  </si>
  <si>
    <t>32.978699--2.5437_S. haematobium</t>
  </si>
  <si>
    <t>32.978699--2.5437_S. mansoni</t>
  </si>
  <si>
    <t>30.5278--2.54722</t>
  </si>
  <si>
    <t>30.5278--2.54722_S. haematobium</t>
  </si>
  <si>
    <t>30.5278--2.54722_S. mansoni</t>
  </si>
  <si>
    <t>32.733299--2.58333</t>
  </si>
  <si>
    <t>32.733299--2.58333_S. haematobium</t>
  </si>
  <si>
    <t>32.733299--2.58333_S. mansoni</t>
  </si>
  <si>
    <t>33.583302--2.58333</t>
  </si>
  <si>
    <t>33.583302--2.58333_S. haematobium</t>
  </si>
  <si>
    <t>33.583302--2.58333_S. mansoni</t>
  </si>
  <si>
    <t>33.516701--2.6</t>
  </si>
  <si>
    <t>33.516701--2.6_S. haematobium</t>
  </si>
  <si>
    <t>33.516701--2.6_S. mansoni</t>
  </si>
  <si>
    <t>33.0425--2.60528</t>
  </si>
  <si>
    <t>33.0425--2.60528_S. haematobium</t>
  </si>
  <si>
    <t>33.0425--2.60528_S. mansoni</t>
  </si>
  <si>
    <t>31.325001--2.62056</t>
  </si>
  <si>
    <t>31.325001--2.62056_S. haematobium</t>
  </si>
  <si>
    <t>31.325001--2.62056_S. mansoni</t>
  </si>
  <si>
    <t>31.7386--2.62417</t>
  </si>
  <si>
    <t>31.7386--2.62417_S. haematobium</t>
  </si>
  <si>
    <t>31.7386--2.62417_S. mansoni</t>
  </si>
  <si>
    <t>34.741901--2.69833</t>
  </si>
  <si>
    <t>34.741901--2.69833_S. haematobium</t>
  </si>
  <si>
    <t>34.741901--2.69833_S. mansoni</t>
  </si>
  <si>
    <t>33.016701--2.71667</t>
  </si>
  <si>
    <t>33.016701--2.71667_S. haematobium</t>
  </si>
  <si>
    <t>33.016701--2.71667_S. mansoni</t>
  </si>
  <si>
    <t>32.654202--2.74806</t>
  </si>
  <si>
    <t>32.654202--2.74806_S. haematobium</t>
  </si>
  <si>
    <t>32.654202--2.74806_S. mansoni</t>
  </si>
  <si>
    <t>31.0333--2.75</t>
  </si>
  <si>
    <t>31.0333--2.75_S. haematobium</t>
  </si>
  <si>
    <t>31.0333--2.75_S. mansoni</t>
  </si>
  <si>
    <t>34.116699--2.78333</t>
  </si>
  <si>
    <t>34.116699--2.78333_S. haematobium</t>
  </si>
  <si>
    <t>34.116699--2.78333_S. mansoni</t>
  </si>
  <si>
    <t>33.416698--2.8</t>
  </si>
  <si>
    <t>33.416698--2.8_S. haematobium</t>
  </si>
  <si>
    <t>33.416698--2.8_S. mansoni</t>
  </si>
  <si>
    <t>33.983299--2.8</t>
  </si>
  <si>
    <t>33.983299--2.8_S. haematobium</t>
  </si>
  <si>
    <t>33.983299--2.8_S. mansoni</t>
  </si>
  <si>
    <t>33.414299--2.8082</t>
  </si>
  <si>
    <t>33.414299--2.8082_S. haematobium</t>
  </si>
  <si>
    <t>33.414299--2.8082_S. mansoni</t>
  </si>
  <si>
    <t>33.643101--2.83944</t>
  </si>
  <si>
    <t>33.643101--2.83944_S. haematobium</t>
  </si>
  <si>
    <t>33.643101--2.83944_S. mansoni</t>
  </si>
  <si>
    <t>31.4594--2.84333</t>
  </si>
  <si>
    <t>31.4594--2.84333_S. haematobium</t>
  </si>
  <si>
    <t>31.4594--2.84333_S. mansoni</t>
  </si>
  <si>
    <t>33.128899--2.89778</t>
  </si>
  <si>
    <t>33.128899--2.89778_S. haematobium</t>
  </si>
  <si>
    <t>33.128899--2.89778_S. mansoni</t>
  </si>
  <si>
    <t>32.664398--3.03139</t>
  </si>
  <si>
    <t>32.664398--3.03139_S. haematobium</t>
  </si>
  <si>
    <t>32.664398--3.03139_S. mansoni</t>
  </si>
  <si>
    <t>32.540798--3.0325</t>
  </si>
  <si>
    <t>32.540798--3.0325_S. haematobium</t>
  </si>
  <si>
    <t>32.540798--3.0325_S. mansoni</t>
  </si>
  <si>
    <t>32.983299--3.03333</t>
  </si>
  <si>
    <t>32.983299--3.03333_S. haematobium</t>
  </si>
  <si>
    <t>32.983299--3.03333_S. mansoni</t>
  </si>
  <si>
    <t>31.200001--3.05</t>
  </si>
  <si>
    <t>31.200001--3.05_S. haematobium</t>
  </si>
  <si>
    <t>31.200001--3.05_S. mansoni</t>
  </si>
  <si>
    <t>32.6833--3.1</t>
  </si>
  <si>
    <t>32.6833--3.1_S. haematobium</t>
  </si>
  <si>
    <t>32.6833--3.1_S. mansoni</t>
  </si>
  <si>
    <t>31.821699--3.175</t>
  </si>
  <si>
    <t>31.821699--3.175_S. haematobium</t>
  </si>
  <si>
    <t>31.821699--3.175_S. mansoni</t>
  </si>
  <si>
    <t>31.525801--3.28333</t>
  </si>
  <si>
    <t>31.525801--3.28333_S. haematobium</t>
  </si>
  <si>
    <t>31.525801--3.28333_S. mansoni</t>
  </si>
  <si>
    <t>32.0233--3.43583</t>
  </si>
  <si>
    <t>32.0233--3.43583_S. haematobium</t>
  </si>
  <si>
    <t>32.0233--3.43583_S. mansoni</t>
  </si>
  <si>
    <t>31.974199--3.55611</t>
  </si>
  <si>
    <t>31.974199--3.55611_S. haematobium</t>
  </si>
  <si>
    <t>31.974199--3.55611_S. mansoni</t>
  </si>
  <si>
    <t>33.866699--3.61667</t>
  </si>
  <si>
    <t>33.866699--3.61667_S. haematobium</t>
  </si>
  <si>
    <t>33.866699--3.61667_S. mansoni</t>
  </si>
  <si>
    <t>32.337799--3.82833</t>
  </si>
  <si>
    <t>32.337799--3.82833_S. haematobium</t>
  </si>
  <si>
    <t>32.337799--3.82833_S. mansoni</t>
  </si>
  <si>
    <t>33.700001--3.83333</t>
  </si>
  <si>
    <t>33.700001--3.83333_S. haematobium</t>
  </si>
  <si>
    <t>33.700001--3.83333_S. mansoni</t>
  </si>
  <si>
    <t>32.339401--3.87722</t>
  </si>
  <si>
    <t>32.339401--3.87722_S. haematobium</t>
  </si>
  <si>
    <t>32.339401--3.87722_S. mansoni</t>
  </si>
  <si>
    <t>32.8689--4.05861</t>
  </si>
  <si>
    <t>32.8689--4.05861_S. haematobium</t>
  </si>
  <si>
    <t>32.8689--4.05861_S. mansoni</t>
  </si>
  <si>
    <t>33.75--4.23333</t>
  </si>
  <si>
    <t>33.75--4.23333_S. haematobium</t>
  </si>
  <si>
    <t>33.75--4.23333_S. mansoni</t>
  </si>
  <si>
    <t>33.049999--4.3</t>
  </si>
  <si>
    <t>33.049999--4.3_S. haematobium</t>
  </si>
  <si>
    <t>33.049999--4.3_S. mansoni</t>
  </si>
  <si>
    <t>34--4.3</t>
  </si>
  <si>
    <t>34--4.3_S. haematobium</t>
  </si>
  <si>
    <t>34--4.3_S. mansoni</t>
  </si>
  <si>
    <t>38.033298--4.3</t>
  </si>
  <si>
    <t>38.033298--4.3_S. haematobium</t>
  </si>
  <si>
    <t>38.033298--4.3_S. mansoni</t>
  </si>
  <si>
    <t>34.5667--4.5</t>
  </si>
  <si>
    <t>34.5667--4.5_S. haematobium</t>
  </si>
  <si>
    <t>34.5667--4.5_S. mansoni</t>
  </si>
  <si>
    <t>32.259998--4.56361</t>
  </si>
  <si>
    <t>32.259998--4.56361_S. haematobium</t>
  </si>
  <si>
    <t>32.259998--4.56361_S. mansoni</t>
  </si>
  <si>
    <t>32.111401--4.68833</t>
  </si>
  <si>
    <t>32.111401--4.68833_S. haematobium</t>
  </si>
  <si>
    <t>32.111401--4.68833_S. mansoni</t>
  </si>
  <si>
    <t>38.216702--4.7</t>
  </si>
  <si>
    <t>38.216702--4.7_S. haematobium</t>
  </si>
  <si>
    <t>38.216702--4.7_S. mansoni</t>
  </si>
  <si>
    <t>33.304401--4.7225</t>
  </si>
  <si>
    <t>33.304401--4.7225_S. haematobium</t>
  </si>
  <si>
    <t>33.304401--4.7225_S. mansoni</t>
  </si>
  <si>
    <t>32.34--4.73833</t>
  </si>
  <si>
    <t>32.34--4.73833_S. haematobium</t>
  </si>
  <si>
    <t>32.34--4.73833_S. mansoni</t>
  </si>
  <si>
    <t>38.1833--4.75</t>
  </si>
  <si>
    <t>38.1833--4.75_S. haematobium</t>
  </si>
  <si>
    <t>38.1833--4.75_S. mansoni</t>
  </si>
  <si>
    <t>38.349998--4.78333</t>
  </si>
  <si>
    <t>38.349998--4.78333_S. haematobium</t>
  </si>
  <si>
    <t>38.349998--4.78333_S. mansoni</t>
  </si>
  <si>
    <t>32.964401--4.79111</t>
  </si>
  <si>
    <t>32.964401--4.79111_S. haematobium</t>
  </si>
  <si>
    <t>32.964401--4.79111_S. mansoni</t>
  </si>
  <si>
    <t>38.773899--4.80389</t>
  </si>
  <si>
    <t>38.773899--4.80389_S. haematobium</t>
  </si>
  <si>
    <t>38.773899--4.80389_S. mansoni</t>
  </si>
  <si>
    <t>38.333302--4.81667</t>
  </si>
  <si>
    <t>38.333302--4.81667_S. haematobium</t>
  </si>
  <si>
    <t>38.333302--4.81667_S. mansoni</t>
  </si>
  <si>
    <t>38.534199--4.83722</t>
  </si>
  <si>
    <t>38.534199--4.83722_S. haematobium</t>
  </si>
  <si>
    <t>38.534199--4.83722_S. mansoni</t>
  </si>
  <si>
    <t>33.333302--4.85</t>
  </si>
  <si>
    <t>33.333302--4.85_S. haematobium</t>
  </si>
  <si>
    <t>33.333302--4.85_S. mansoni</t>
  </si>
  <si>
    <t>38.766701--4.85</t>
  </si>
  <si>
    <t>38.766701--4.85_S. haematobium</t>
  </si>
  <si>
    <t>38.766701--4.85_S. mansoni</t>
  </si>
  <si>
    <t>38.799999--4.86667</t>
  </si>
  <si>
    <t>38.799999--4.86667_S. haematobium</t>
  </si>
  <si>
    <t>38.799999--4.86667_S. mansoni</t>
  </si>
  <si>
    <t>32.733299--4.9</t>
  </si>
  <si>
    <t>32.733299--4.9_S. haematobium</t>
  </si>
  <si>
    <t>32.733299--4.9_S. mansoni</t>
  </si>
  <si>
    <t>38.5228--4.9</t>
  </si>
  <si>
    <t>38.5228--4.9_S. haematobium</t>
  </si>
  <si>
    <t>38.5228--4.9_S. mansoni</t>
  </si>
  <si>
    <t>32.1744--4.94806</t>
  </si>
  <si>
    <t>32.1744--4.94806_S. haematobium</t>
  </si>
  <si>
    <t>32.1744--4.94806_S. mansoni</t>
  </si>
  <si>
    <t>38.916698--4.95</t>
  </si>
  <si>
    <t>38.916698--4.95_S. haematobium</t>
  </si>
  <si>
    <t>38.916698--4.95_S. mansoni</t>
  </si>
  <si>
    <t>31.999399--5.04361</t>
  </si>
  <si>
    <t>31.999399--5.04361_S. haematobium</t>
  </si>
  <si>
    <t>31.999399--5.04361_S. mansoni</t>
  </si>
  <si>
    <t>32.283298--5.05</t>
  </si>
  <si>
    <t>32.283298--5.05_S. haematobium</t>
  </si>
  <si>
    <t>32.283298--5.05_S. mansoni</t>
  </si>
  <si>
    <t>31.7936--5.06056</t>
  </si>
  <si>
    <t>31.7936--5.06056_S. haematobium</t>
  </si>
  <si>
    <t>31.7936--5.06056_S. mansoni</t>
  </si>
  <si>
    <t>39.083302--5.06667</t>
  </si>
  <si>
    <t>39.083302--5.06667_S. haematobium</t>
  </si>
  <si>
    <t>39.083302--5.06667_S. mansoni</t>
  </si>
  <si>
    <t>31.798901--5.07417</t>
  </si>
  <si>
    <t>31.798901--5.07417_S. haematobium</t>
  </si>
  <si>
    <t>31.798901--5.07417_S. mansoni</t>
  </si>
  <si>
    <t>38.6194--5.08</t>
  </si>
  <si>
    <t>38.6194--5.08_S. haematobium</t>
  </si>
  <si>
    <t>38.6194--5.08_S. mansoni</t>
  </si>
  <si>
    <t>38.799999--5.1</t>
  </si>
  <si>
    <t>38.799999--5.1_S. haematobium</t>
  </si>
  <si>
    <t>38.799999--5.1_S. mansoni</t>
  </si>
  <si>
    <t>39.133301--5.1</t>
  </si>
  <si>
    <t>39.133301--5.1_S. haematobium</t>
  </si>
  <si>
    <t>39.133301--5.1_S. mansoni</t>
  </si>
  <si>
    <t>38.700001--5.11667</t>
  </si>
  <si>
    <t>38.700001--5.11667_S. haematobium</t>
  </si>
  <si>
    <t>38.700001--5.11667_S. mansoni</t>
  </si>
  <si>
    <t>38.975601--5.12389</t>
  </si>
  <si>
    <t>38.975601--5.12389_S. haematobium</t>
  </si>
  <si>
    <t>38.975601--5.12389_S. mansoni</t>
  </si>
  <si>
    <t>39.0667--5.2</t>
  </si>
  <si>
    <t>39.0667--5.2_S. mansoni</t>
  </si>
  <si>
    <t>38.5756--5.22028</t>
  </si>
  <si>
    <t>38.5756--5.22028_S. haematobium</t>
  </si>
  <si>
    <t>38.5756--5.22028_S. mansoni</t>
  </si>
  <si>
    <t>33.166698--5.33333</t>
  </si>
  <si>
    <t>33.166698--5.33333_S. haematobium</t>
  </si>
  <si>
    <t>33.166698--5.33333_S. mansoni</t>
  </si>
  <si>
    <t>39.016701--5.33333</t>
  </si>
  <si>
    <t>39.016701--5.33333_S. haematobium</t>
  </si>
  <si>
    <t>39.016701--5.33333_S. mansoni</t>
  </si>
  <si>
    <t>38.6833--5.41667</t>
  </si>
  <si>
    <t>38.6833--5.41667_S. haematobium</t>
  </si>
  <si>
    <t>38.6833--5.41667_S. mansoni</t>
  </si>
  <si>
    <t>38.049999--5.48333</t>
  </si>
  <si>
    <t>38.049999--5.48333_S. haematobium</t>
  </si>
  <si>
    <t>38.049999--5.48333_S. mansoni</t>
  </si>
  <si>
    <t>37.900002--5.48333</t>
  </si>
  <si>
    <t>37.900002--5.48333_S. haematobium</t>
  </si>
  <si>
    <t>37.900002--5.48333_S. mansoni</t>
  </si>
  <si>
    <t>38.101398--5.48639</t>
  </si>
  <si>
    <t>38.101398--5.48639_S. haematobium</t>
  </si>
  <si>
    <t>38.101398--5.48639_S. mansoni</t>
  </si>
  <si>
    <t>38.2136--5.51417</t>
  </si>
  <si>
    <t>38.2136--5.51417_S. haematobium</t>
  </si>
  <si>
    <t>38.2136--5.51417_S. mansoni</t>
  </si>
  <si>
    <t>32.883301--5.56667</t>
  </si>
  <si>
    <t>32.883301--5.56667_S. haematobium</t>
  </si>
  <si>
    <t>32.883301--5.56667_S. mansoni</t>
  </si>
  <si>
    <t>32.8167--5.66667</t>
  </si>
  <si>
    <t>32.8167--5.66667_S. haematobium</t>
  </si>
  <si>
    <t>32.8167--5.66667_S. mansoni</t>
  </si>
  <si>
    <t>37.883301--5.68333</t>
  </si>
  <si>
    <t>37.883301--5.68333_S. haematobium</t>
  </si>
  <si>
    <t>37.883301--5.68333_S. mansoni</t>
  </si>
  <si>
    <t>32.909698--5.69722</t>
  </si>
  <si>
    <t>32.909698--5.69722_S. haematobium</t>
  </si>
  <si>
    <t>32.909698--5.69722_S. mansoni</t>
  </si>
  <si>
    <t>32.799999--5.71667</t>
  </si>
  <si>
    <t>32.799999--5.71667_S. haematobium</t>
  </si>
  <si>
    <t>32.799999--5.71667_S. mansoni</t>
  </si>
  <si>
    <t>33.494701--5.74639</t>
  </si>
  <si>
    <t>33.494701--5.74639_S. haematobium</t>
  </si>
  <si>
    <t>33.494701--5.74639_S. mansoni</t>
  </si>
  <si>
    <t>31.700001--5.78333</t>
  </si>
  <si>
    <t>31.700001--5.78333_S. haematobium</t>
  </si>
  <si>
    <t>31.700001--5.78333_S. mansoni</t>
  </si>
  <si>
    <t>38.599998--5.88333</t>
  </si>
  <si>
    <t>38.599998--5.88333_S. haematobium</t>
  </si>
  <si>
    <t>38.599998--5.88333_S. mansoni</t>
  </si>
  <si>
    <t>33.900002--6.18333</t>
  </si>
  <si>
    <t>33.900002--6.18333_S. haematobium</t>
  </si>
  <si>
    <t>33.900002--6.18333_S. mansoni</t>
  </si>
  <si>
    <t>37.366699--6.21667</t>
  </si>
  <si>
    <t>37.366699--6.21667_S. haematobium</t>
  </si>
  <si>
    <t>37.366699--6.21667_S. mansoni</t>
  </si>
  <si>
    <t>33.849998--6.28333</t>
  </si>
  <si>
    <t>33.849998--6.28333_S. haematobium</t>
  </si>
  <si>
    <t>33.849998--6.28333_S. mansoni</t>
  </si>
  <si>
    <t>32.762699--8.80289</t>
  </si>
  <si>
    <t>32.762699--8.80289_S. haematobium</t>
  </si>
  <si>
    <t>33.134701--8.90892</t>
  </si>
  <si>
    <t>33.134701--8.90892_S. haematobium</t>
  </si>
  <si>
    <t>32.8018--8.93763</t>
  </si>
  <si>
    <t>32.8018--8.93763_S. haematobium</t>
  </si>
  <si>
    <t>33.063999--8.98339</t>
  </si>
  <si>
    <t>33.063999--8.98339_S. haematobium</t>
  </si>
  <si>
    <t>32.769901--9.02928</t>
  </si>
  <si>
    <t>32.769901--9.02928_S. haematobium</t>
  </si>
  <si>
    <t>33.1646--9.08648</t>
  </si>
  <si>
    <t>33.1646--9.08648_S. haematobium</t>
  </si>
  <si>
    <t>32.919998--9.10076</t>
  </si>
  <si>
    <t>32.919998--9.10076_S. haematobium</t>
  </si>
  <si>
    <t>33.061401--9.12171</t>
  </si>
  <si>
    <t>33.061401--9.12171_S. haematobium</t>
  </si>
  <si>
    <t>32.857601--9.21269</t>
  </si>
  <si>
    <t>32.857601--9.21269_S. haematobium</t>
  </si>
  <si>
    <t>33.056599--9.25636</t>
  </si>
  <si>
    <t>33.056599--9.25636_S. haematobium</t>
  </si>
  <si>
    <t>39.281399--5.9521</t>
  </si>
  <si>
    <t>39.281399--5.9521_S. haematobium</t>
  </si>
  <si>
    <t>39.468201--6.30301</t>
  </si>
  <si>
    <t>39.468201--6.30301_S. haematobium</t>
  </si>
  <si>
    <t>39.284--5.9315</t>
  </si>
  <si>
    <t>39.284--5.9315_S. haematobium</t>
  </si>
  <si>
    <t>39.301498--5.9365</t>
  </si>
  <si>
    <t>39.301498--5.9365_S. haematobium</t>
  </si>
  <si>
    <t>39.340199--5.9373</t>
  </si>
  <si>
    <t>39.340199--5.9373_S. haematobium</t>
  </si>
  <si>
    <t>39.3027--5.9469</t>
  </si>
  <si>
    <t>39.3027--5.9469_S. haematobium</t>
  </si>
  <si>
    <t>39.322701--6.01891</t>
  </si>
  <si>
    <t>39.322701--6.01891_S. haematobium</t>
  </si>
  <si>
    <t>32.791401--2.56481</t>
  </si>
  <si>
    <t>32.791401--2.56481_S. mansoni</t>
  </si>
  <si>
    <t>39.299999--5.95</t>
  </si>
  <si>
    <t>39.299999--5.95_S. haematobium</t>
  </si>
  <si>
    <t>39.25--6.1</t>
  </si>
  <si>
    <t>39.25--6.1_S. haematobium</t>
  </si>
  <si>
    <t>39.3621--6.1357</t>
  </si>
  <si>
    <t>39.3621--6.1357_S. haematobium</t>
  </si>
  <si>
    <t>38.2902--4.7987</t>
  </si>
  <si>
    <t>38.2902--4.7987_S. mansoni</t>
  </si>
  <si>
    <t>38.2902--4.7987_S. haematobium</t>
  </si>
  <si>
    <t>39.3624--6.13236</t>
  </si>
  <si>
    <t>39.3624--6.13236_S. haematobium</t>
  </si>
  <si>
    <t>32.715801--2.51809</t>
  </si>
  <si>
    <t>32.715801--2.51809_S. mansoni</t>
  </si>
  <si>
    <t>32.715801--2.51809_S. haematobium</t>
  </si>
  <si>
    <t>32.887199--1.9431</t>
  </si>
  <si>
    <t>32.887199--1.9431_S. mansoni</t>
  </si>
  <si>
    <t>33.0327--2.0176</t>
  </si>
  <si>
    <t>33.0327--2.0176_S. mansoni</t>
  </si>
  <si>
    <t>33.040298--2.1092</t>
  </si>
  <si>
    <t>33.040298--2.1092_S. mansoni</t>
  </si>
  <si>
    <t>33.110901--2.8122</t>
  </si>
  <si>
    <t>33.110901--2.8122_S. haematobium</t>
  </si>
  <si>
    <t>33.127499--2.8792</t>
  </si>
  <si>
    <t>33.127499--2.8792_S. haematobium</t>
  </si>
  <si>
    <t>35.952202--5.8925</t>
  </si>
  <si>
    <t>35.952202--5.8925_S. mansoni</t>
  </si>
  <si>
    <t>35.952202--5.8925_S. haematobium</t>
  </si>
  <si>
    <t>37.592499--3.73959</t>
  </si>
  <si>
    <t>37.592499--3.73959_S. haematobium</t>
  </si>
  <si>
    <t>37.592499--3.73959_S. mansoni</t>
  </si>
  <si>
    <t>33.011101--8.4446</t>
  </si>
  <si>
    <t>33.011101--8.4446_S. haematobium</t>
  </si>
  <si>
    <t>33.011101--8.4446_S. mansoni</t>
  </si>
  <si>
    <t>32.665699--8.051</t>
  </si>
  <si>
    <t>32.665699--8.051_S. haematobium</t>
  </si>
  <si>
    <t>32.665699--8.051_S. mansoni</t>
  </si>
  <si>
    <t>32.849499--8.3372</t>
  </si>
  <si>
    <t>32.849499--8.3372_S. haematobium</t>
  </si>
  <si>
    <t>32.849499--8.3372_S. mansoni</t>
  </si>
  <si>
    <t>32.737499--8.4994</t>
  </si>
  <si>
    <t>32.737499--8.4994_S. haematobium</t>
  </si>
  <si>
    <t>32.737499--8.4994_S. mansoni</t>
  </si>
  <si>
    <t>33.037498--8.5208</t>
  </si>
  <si>
    <t>33.037498--8.5208_S. haematobium</t>
  </si>
  <si>
    <t>33.037498--8.5208_S. mansoni</t>
  </si>
  <si>
    <t>33.067402--8.5439</t>
  </si>
  <si>
    <t>33.067402--8.5439_S. haematobium</t>
  </si>
  <si>
    <t>33.067402--8.5439_S. mansoni</t>
  </si>
  <si>
    <t>31.2909--2.3064</t>
  </si>
  <si>
    <t>31.2909--2.3064_S. haematobium</t>
  </si>
  <si>
    <t>31.2909--2.3064_S. mansoni</t>
  </si>
  <si>
    <t>32.480301--2.3511</t>
  </si>
  <si>
    <t>32.480301--2.3511_S. mansoni</t>
  </si>
  <si>
    <t>32.948--2.6881</t>
  </si>
  <si>
    <t>32.948--2.6881_S. mansoni</t>
  </si>
  <si>
    <t>38.2379--7.7748</t>
  </si>
  <si>
    <t>38.2379--7.7748_S. haematobium</t>
  </si>
  <si>
    <t>38.2673--7.78003</t>
  </si>
  <si>
    <t>38.2673--7.78003_S. haematobium</t>
  </si>
  <si>
    <t>38.299301--7.79429</t>
  </si>
  <si>
    <t>38.299301--7.79429_S. haematobium</t>
  </si>
  <si>
    <t>38.369701--7.83476</t>
  </si>
  <si>
    <t>38.369701--7.83476_S. haematobium</t>
  </si>
  <si>
    <t>38.344501--7.83666</t>
  </si>
  <si>
    <t>38.344501--7.83666_S. haematobium</t>
  </si>
  <si>
    <t>39.199001--7.84054</t>
  </si>
  <si>
    <t>39.199001--7.84054_S. haematobium</t>
  </si>
  <si>
    <t>38.425301--7.8421</t>
  </si>
  <si>
    <t>38.425301--7.8421_S. haematobium</t>
  </si>
  <si>
    <t>38.468601--7.8555</t>
  </si>
  <si>
    <t>38.468601--7.8555_S. haematobium</t>
  </si>
  <si>
    <t>38.507702--7.8645</t>
  </si>
  <si>
    <t>38.507702--7.8645_S. haematobium</t>
  </si>
  <si>
    <t>38.6404--7.86489</t>
  </si>
  <si>
    <t>38.6404--7.86489_S. haematobium</t>
  </si>
  <si>
    <t>38.566399--7.86707</t>
  </si>
  <si>
    <t>38.566399--7.86707_S. haematobium</t>
  </si>
  <si>
    <t>38.756901--7.8849</t>
  </si>
  <si>
    <t>38.756901--7.8849_S. haematobium</t>
  </si>
  <si>
    <t>39.186298--7.88867</t>
  </si>
  <si>
    <t>39.186298--7.88867_S. haematobium</t>
  </si>
  <si>
    <t>38.673698--7.90944</t>
  </si>
  <si>
    <t>38.673698--7.90944_S. haematobium</t>
  </si>
  <si>
    <t>38.816601--7.9149</t>
  </si>
  <si>
    <t>38.816601--7.9149_S. haematobium</t>
  </si>
  <si>
    <t>39.0769--7.9251</t>
  </si>
  <si>
    <t>39.0769--7.9251_S. haematobium</t>
  </si>
  <si>
    <t>38.899799--7.93154</t>
  </si>
  <si>
    <t>38.899799--7.93154_S. haematobium</t>
  </si>
  <si>
    <t>38.9828--7.9489</t>
  </si>
  <si>
    <t>38.9828--7.9489_S. haematobium</t>
  </si>
  <si>
    <t>38.758999--7.9917</t>
  </si>
  <si>
    <t>38.758999--7.9917_S. haematobium</t>
  </si>
  <si>
    <t>38.858601--8.01328</t>
  </si>
  <si>
    <t>38.858601--8.01328_S. haematobium</t>
  </si>
  <si>
    <t>38.819--8.01561</t>
  </si>
  <si>
    <t>38.819--8.01561_S. haematobium</t>
  </si>
  <si>
    <t>39.089901--8.1271</t>
  </si>
  <si>
    <t>39.089901--8.1271_S. haematobium</t>
  </si>
  <si>
    <t>38.998001--8.12803</t>
  </si>
  <si>
    <t>38.998001--8.12803_S. haematobium</t>
  </si>
  <si>
    <t>39.183998--8.1433</t>
  </si>
  <si>
    <t>39.183998--8.1433_S. haematobium</t>
  </si>
  <si>
    <t>39.0382--8.15684</t>
  </si>
  <si>
    <t>39.0382--8.15684_S. haematobium</t>
  </si>
  <si>
    <t>39.008202--8.1739</t>
  </si>
  <si>
    <t>39.008202--8.1739_S. haematobium</t>
  </si>
  <si>
    <t>32.908001--2.4723</t>
  </si>
  <si>
    <t>32.908001--2.4723_S. mansoni</t>
  </si>
  <si>
    <t>32.9328--2.41862</t>
  </si>
  <si>
    <t>32.9328--2.41862_S. haematobium</t>
  </si>
  <si>
    <t>32.9328--2.41862_S. mansoni</t>
  </si>
  <si>
    <t>32.8881--2.47157</t>
  </si>
  <si>
    <t>32.8881--2.47157_S. haematobium</t>
  </si>
  <si>
    <t>32.8881--2.47157_S. mansoni</t>
  </si>
  <si>
    <t>32.9025--2.47929</t>
  </si>
  <si>
    <t>32.9025--2.47929_S. haematobium</t>
  </si>
  <si>
    <t>32.9025--2.47929_S. mansoni</t>
  </si>
  <si>
    <t>32.897099--2.4985</t>
  </si>
  <si>
    <t>32.897099--2.4985_S. haematobium</t>
  </si>
  <si>
    <t>32.897099--2.4985_S. mansoni</t>
  </si>
  <si>
    <t>32.913502--2.5109</t>
  </si>
  <si>
    <t>32.913502--2.5109_S. haematobium</t>
  </si>
  <si>
    <t>32.913502--2.5109_S. mansoni</t>
  </si>
  <si>
    <t>32.9193--2.5134</t>
  </si>
  <si>
    <t>32.9193--2.5134_S. haematobium</t>
  </si>
  <si>
    <t>32.9193--2.5134_S. mansoni</t>
  </si>
  <si>
    <t>32.993--2.54853</t>
  </si>
  <si>
    <t>32.993--2.54853_S. haematobium</t>
  </si>
  <si>
    <t>32.993--2.54853_S. mansoni</t>
  </si>
  <si>
    <t>32.952301--2.63053</t>
  </si>
  <si>
    <t>32.952301--2.63053_S. haematobium</t>
  </si>
  <si>
    <t>32.952301--2.63053_S. mansoni</t>
  </si>
  <si>
    <t>32.931099--2.62905_S. mansoni</t>
  </si>
  <si>
    <t>33.045898--2.70122</t>
  </si>
  <si>
    <t>33.045898--2.70122_S. haematobium</t>
  </si>
  <si>
    <t>33.045898--2.70122_S. mansoni</t>
  </si>
  <si>
    <t>30.964199--3.2828</t>
  </si>
  <si>
    <t>30.964199--3.2828_S. mansoni</t>
  </si>
  <si>
    <t>30.877001--3.37723</t>
  </si>
  <si>
    <t>30.877001--3.37723_S. mansoni</t>
  </si>
  <si>
    <t>30.465401--3.62287</t>
  </si>
  <si>
    <t>30.465401--3.62287_S. mansoni</t>
  </si>
  <si>
    <t>30.673--3.63609</t>
  </si>
  <si>
    <t>30.673--3.63609_S. mansoni</t>
  </si>
  <si>
    <t>30.730301--3.72058</t>
  </si>
  <si>
    <t>30.730301--3.72058_S. mansoni</t>
  </si>
  <si>
    <t>30.7145--3.81123</t>
  </si>
  <si>
    <t>30.7145--3.81123_S. mansoni</t>
  </si>
  <si>
    <t>33.340302--2.5125</t>
  </si>
  <si>
    <t>33.340302--2.5125_S. haematobium</t>
  </si>
  <si>
    <t>33.340302--2.5125_S. mansoni</t>
  </si>
  <si>
    <t>33.043301--2.54</t>
  </si>
  <si>
    <t>33.043301--2.54_S. haematobium</t>
  </si>
  <si>
    <t>33.043301--2.54_S. mansoni</t>
  </si>
  <si>
    <t>33.333801--2.57811</t>
  </si>
  <si>
    <t>33.333801--2.57811_S. haematobium</t>
  </si>
  <si>
    <t>33.333801--2.57811_S. mansoni</t>
  </si>
  <si>
    <t>33.325802--2.62</t>
  </si>
  <si>
    <t>33.325802--2.62_S. haematobium</t>
  </si>
  <si>
    <t>33.325802--2.62_S. mansoni</t>
  </si>
  <si>
    <t>31.816099--1.3251</t>
  </si>
  <si>
    <t>31.816099--1.3251_S. mansoni</t>
  </si>
  <si>
    <t>31.8276--1.33176</t>
  </si>
  <si>
    <t>31.8276--1.33176_S. mansoni</t>
  </si>
  <si>
    <t>33.0186--1.99917</t>
  </si>
  <si>
    <t>33.0186--1.99917_S. mansoni</t>
  </si>
  <si>
    <t>32.445599--2.3925</t>
  </si>
  <si>
    <t>32.445599--2.3925_S. mansoni</t>
  </si>
  <si>
    <t>32.483299--2.4</t>
  </si>
  <si>
    <t>32.483299--2.4_S. mansoni</t>
  </si>
  <si>
    <t>32.903099--2.51062_S. mansoni</t>
  </si>
  <si>
    <t>34.373199--1.3419</t>
  </si>
  <si>
    <t>34.373199--1.3419_S. haematobium</t>
  </si>
  <si>
    <t>34.373199--1.3419_S. mansoni</t>
  </si>
  <si>
    <t>33.749901--1.496</t>
  </si>
  <si>
    <t>33.749901--1.496_S. haematobium</t>
  </si>
  <si>
    <t>33.749901--1.496_S. mansoni</t>
  </si>
  <si>
    <t>32.925999--1.96229</t>
  </si>
  <si>
    <t>32.925999--1.96229_S. haematobium</t>
  </si>
  <si>
    <t>32.925999--1.96229_S. mansoni</t>
  </si>
  <si>
    <t>33.100399--1.96539</t>
  </si>
  <si>
    <t>33.100399--1.96539_S. haematobium</t>
  </si>
  <si>
    <t>33.100399--1.96539_S. mansoni</t>
  </si>
  <si>
    <t>32.946098--1.97589</t>
  </si>
  <si>
    <t>32.946098--1.97589_S. haematobium</t>
  </si>
  <si>
    <t>32.946098--1.97589_S. mansoni</t>
  </si>
  <si>
    <t>34.343601--1.9917</t>
  </si>
  <si>
    <t>34.343601--1.9917_S. haematobium</t>
  </si>
  <si>
    <t>34.343601--1.9917_S. mansoni</t>
  </si>
  <si>
    <t>32.941898--2.05073</t>
  </si>
  <si>
    <t>32.941898--2.05073_S. haematobium</t>
  </si>
  <si>
    <t>32.941898--2.05073_S. mansoni</t>
  </si>
  <si>
    <t>33.006001--2.08856</t>
  </si>
  <si>
    <t>33.006001--2.08856_S. haematobium</t>
  </si>
  <si>
    <t>33.006001--2.08856_S. mansoni</t>
  </si>
  <si>
    <t>32.063--2.39734</t>
  </si>
  <si>
    <t>32.063--2.39734_S. haematobium</t>
  </si>
  <si>
    <t>32.063--2.39734_S. mansoni</t>
  </si>
  <si>
    <t>32.732498--2.5831</t>
  </si>
  <si>
    <t>32.732498--2.5831_S. haematobium</t>
  </si>
  <si>
    <t>32.732498--2.5831_S. mansoni</t>
  </si>
  <si>
    <t>31.3269--2.6551</t>
  </si>
  <si>
    <t>31.3269--2.6551_S. haematobium</t>
  </si>
  <si>
    <t>31.3269--2.6551_S. mansoni</t>
  </si>
  <si>
    <t>32.221298--2.9281</t>
  </si>
  <si>
    <t>32.221298--2.9281_S. haematobium</t>
  </si>
  <si>
    <t>32.221298--2.9281_S. mansoni</t>
  </si>
  <si>
    <t>31.664101--2.9781</t>
  </si>
  <si>
    <t>31.664101--2.9781_S. haematobium</t>
  </si>
  <si>
    <t>31.664101--2.9781_S. mansoni</t>
  </si>
  <si>
    <t>33.7757--3.1809</t>
  </si>
  <si>
    <t>33.7757--3.1809_S. haematobium</t>
  </si>
  <si>
    <t>33.7757--3.1809_S. mansoni</t>
  </si>
  <si>
    <t>33.332802--3.23</t>
  </si>
  <si>
    <t>33.332802--3.23_S. haematobium</t>
  </si>
  <si>
    <t>33.332802--3.23_S. mansoni</t>
  </si>
  <si>
    <t>32.866699--3.31667</t>
  </si>
  <si>
    <t>32.866699--3.31667_S. haematobium</t>
  </si>
  <si>
    <t>32.866699--3.31667_S. mansoni</t>
  </si>
  <si>
    <t>33.868698--3.61268</t>
  </si>
  <si>
    <t>33.868698--3.61268_S. haematobium</t>
  </si>
  <si>
    <t>33.868698--3.61268_S. mansoni</t>
  </si>
  <si>
    <t>33.083302--3.81667</t>
  </si>
  <si>
    <t>33.083302--3.81667_S. haematobium</t>
  </si>
  <si>
    <t>33.083302--3.81667_S. mansoni</t>
  </si>
  <si>
    <t>32.848--1.93886</t>
  </si>
  <si>
    <t>32.848--1.93886_S. haematobium</t>
  </si>
  <si>
    <t>32.848--1.93886_S. mansoni</t>
  </si>
  <si>
    <t>32.871799--2.01342</t>
  </si>
  <si>
    <t>32.871799--2.01342_S. haematobium</t>
  </si>
  <si>
    <t>32.871799--2.01342_S. mansoni</t>
  </si>
  <si>
    <t>32.883301--2.05</t>
  </si>
  <si>
    <t>32.883301--2.05_S. haematobium</t>
  </si>
  <si>
    <t>32.883301--2.05_S. mansoni</t>
  </si>
  <si>
    <t>32.465099--2.3569</t>
  </si>
  <si>
    <t>32.465099--2.3569_S. mansoni</t>
  </si>
  <si>
    <t>32.912701--2.5108</t>
  </si>
  <si>
    <t>32.912701--2.5108_S. mansoni</t>
  </si>
  <si>
    <t>32.912701--2.5108_S. haematobium</t>
  </si>
  <si>
    <t>32.902401--2.51744</t>
  </si>
  <si>
    <t>32.902401--2.51744_S. mansoni</t>
  </si>
  <si>
    <t>32.902401--2.51744_S. haematobium</t>
  </si>
  <si>
    <t>33.063702--2.8588</t>
  </si>
  <si>
    <t>33.063702--2.8588_S. haematobium</t>
  </si>
  <si>
    <t>33.1026--2.8535</t>
  </si>
  <si>
    <t>33.1026--2.8535_S. haematobium</t>
  </si>
  <si>
    <t>32.9123--2.5106</t>
  </si>
  <si>
    <t>32.9123--2.5106_S. mansoni</t>
  </si>
  <si>
    <t>32.9123--2.5106_S. haematobium</t>
  </si>
  <si>
    <t>32.747501--2.84083</t>
  </si>
  <si>
    <t>32.747501--2.84083_S. haematobium</t>
  </si>
  <si>
    <t>32.747501--2.84083_S. mansoni</t>
  </si>
  <si>
    <t>33.038601--2.39354</t>
  </si>
  <si>
    <t>33.038601--2.39354_S. mansoni</t>
  </si>
  <si>
    <t>32.9133--2.5113</t>
  </si>
  <si>
    <t>32.9133--2.5113_S. mansoni</t>
  </si>
  <si>
    <t>31.3167--2.6333</t>
  </si>
  <si>
    <t>31.3167--2.6333_S. haematobium</t>
  </si>
  <si>
    <t>31.3167--2.6333_S. mansoni</t>
  </si>
  <si>
    <t>33.8--1.5</t>
  </si>
  <si>
    <t>33.8--1.5_S. haematobium</t>
  </si>
  <si>
    <t>33.8--1.5_S. mansoni</t>
  </si>
  <si>
    <t>32.2314--2.885</t>
  </si>
  <si>
    <t>32.2314--2.885_S. haematobium</t>
  </si>
  <si>
    <t>32.2314--2.885_S. mansoni</t>
  </si>
  <si>
    <t>35.7419--6.1731</t>
  </si>
  <si>
    <t>35.7419--6.1731_S. haematobium</t>
  </si>
  <si>
    <t>35.7419--6.1731_S. mansoni</t>
  </si>
  <si>
    <t>36.856998--7.95177_S. mansoni</t>
  </si>
  <si>
    <t>36.868698--7.97676_S. mansoni</t>
  </si>
  <si>
    <t>36.738602--8.08926</t>
  </si>
  <si>
    <t>36.738602--8.08926_S. haematobium</t>
  </si>
  <si>
    <t>36.738602--8.08926_S. mansoni</t>
  </si>
  <si>
    <t>36.487999--8.10271_S. mansoni</t>
  </si>
  <si>
    <t>36.695202--8.0949_S. mansoni</t>
  </si>
  <si>
    <t>36.608299--8.08042</t>
  </si>
  <si>
    <t>36.608299--8.08042_S. haematobium</t>
  </si>
  <si>
    <t>36.608299--8.08042_S. mansoni</t>
  </si>
  <si>
    <t>36.841499--8.02308_S. mansoni</t>
  </si>
  <si>
    <t>36.6889--8.08538_S. mansoni</t>
  </si>
  <si>
    <t>36.682098--8.08912_S. mansoni</t>
  </si>
  <si>
    <t>30.6786-4.0914</t>
  </si>
  <si>
    <t>30.6786-4.0914_S. mansoni</t>
  </si>
  <si>
    <t>32.567799-4.41333</t>
  </si>
  <si>
    <t>32.567799-4.41333_S. mansoni</t>
  </si>
  <si>
    <t>28.416401-4.5706</t>
  </si>
  <si>
    <t>28.416401-4.5706_S. mansoni</t>
  </si>
  <si>
    <t>33.590302-4.7717</t>
  </si>
  <si>
    <t>33.590302-4.7717_S. mansoni</t>
  </si>
  <si>
    <t>31.616699-4.85</t>
  </si>
  <si>
    <t>31.616699-4.85_S. mansoni</t>
  </si>
  <si>
    <t>29.4769-4.9147</t>
  </si>
  <si>
    <t>29.4769-4.9147_S. mansoni</t>
  </si>
  <si>
    <t>30.3358-5.5158</t>
  </si>
  <si>
    <t>30.3358-5.5158_S. mansoni</t>
  </si>
  <si>
    <t>27.4667-5.6</t>
  </si>
  <si>
    <t>27.4667-5.6_S. mansoni</t>
  </si>
  <si>
    <t>27.68-5.73</t>
  </si>
  <si>
    <t>27.68-5.73_S. mansoni</t>
  </si>
  <si>
    <t>31.629999-6.67</t>
  </si>
  <si>
    <t>31.629999-6.67_S. mansoni</t>
  </si>
  <si>
    <t>28-7.7</t>
  </si>
  <si>
    <t>28-7.7_S. mansoni</t>
  </si>
  <si>
    <t>31.656099-9.5369</t>
  </si>
  <si>
    <t>31.656099-9.5369_S. mansoni</t>
  </si>
  <si>
    <t>31.656099-9.5369_S. haematobium</t>
  </si>
  <si>
    <t>24.8333-9.85</t>
  </si>
  <si>
    <t>24.8333-9.85_S. haematobium</t>
  </si>
  <si>
    <t>31.23-10.05</t>
  </si>
  <si>
    <t>31.23-10.05_S. haematobium</t>
  </si>
  <si>
    <t>31.08-10.29</t>
  </si>
  <si>
    <t>31.08-10.29_S. haematobium</t>
  </si>
  <si>
    <t>25.1667-10.8167</t>
  </si>
  <si>
    <t>25.1667-10.8167_S. haematobium</t>
  </si>
  <si>
    <t>30.379999-10.87</t>
  </si>
  <si>
    <t>30.379999-10.87_S. haematobium</t>
  </si>
  <si>
    <t>31.629999-10.88</t>
  </si>
  <si>
    <t>31.629999-10.88_S. haematobium</t>
  </si>
  <si>
    <t>26.2833-10.9667</t>
  </si>
  <si>
    <t>26.2833-10.9667_S. haematobium</t>
  </si>
  <si>
    <t>26.35-10.9667</t>
  </si>
  <si>
    <t>26.35-10.9667_S. haematobium</t>
  </si>
  <si>
    <t>26.1-11.01</t>
  </si>
  <si>
    <t>26.1-11.01_S. haematobium</t>
  </si>
  <si>
    <t>27.733299-11.0333</t>
  </si>
  <si>
    <t>27.733299-11.0333_S. haematobium</t>
  </si>
  <si>
    <t>24.549999-11.05</t>
  </si>
  <si>
    <t>24.549999-11.05_S. haematobium</t>
  </si>
  <si>
    <t>26.85-11.0667</t>
  </si>
  <si>
    <t>26.85-11.0667_S. haematobium</t>
  </si>
  <si>
    <t>30.040001-11.07</t>
  </si>
  <si>
    <t>30.040001-11.07_S. haematobium</t>
  </si>
  <si>
    <t>24.4-11.15</t>
  </si>
  <si>
    <t>24.4-11.15_S. haematobium</t>
  </si>
  <si>
    <t>23.883301-11.3</t>
  </si>
  <si>
    <t>23.883301-11.3_S. haematobium</t>
  </si>
  <si>
    <t>28.24-11.4</t>
  </si>
  <si>
    <t>28.24-11.4_S. haematobium</t>
  </si>
  <si>
    <t>31.233299-11.45</t>
  </si>
  <si>
    <t>31.233299-11.45_S. haematobium</t>
  </si>
  <si>
    <t>26.41-11.46</t>
  </si>
  <si>
    <t>26.41-11.46_S. haematobium</t>
  </si>
  <si>
    <t>26.809999-11.55</t>
  </si>
  <si>
    <t>26.809999-11.55_S. haematobium</t>
  </si>
  <si>
    <t>26.5667-11.5833</t>
  </si>
  <si>
    <t>26.5667-11.5833_S. haematobium</t>
  </si>
  <si>
    <t>25.190001-11.68</t>
  </si>
  <si>
    <t>25.190001-11.68_S. haematobium</t>
  </si>
  <si>
    <t>29.48-11.7</t>
  </si>
  <si>
    <t>29.48-11.7_S. haematobium</t>
  </si>
  <si>
    <t>26.790001-11.76</t>
  </si>
  <si>
    <t>26.790001-11.76_S. haematobium</t>
  </si>
  <si>
    <t>34.349998-11.7667</t>
  </si>
  <si>
    <t>34.349998-11.7667_S. mansoni</t>
  </si>
  <si>
    <t>23.7833-11.7833</t>
  </si>
  <si>
    <t>23.7833-11.7833_S. haematobium</t>
  </si>
  <si>
    <t>28.4-11.8</t>
  </si>
  <si>
    <t>28.4-11.8_S. haematobium</t>
  </si>
  <si>
    <t>31.0667-11.85</t>
  </si>
  <si>
    <t>31.0667-11.85_S. haematobium</t>
  </si>
  <si>
    <t>25.629999-12</t>
  </si>
  <si>
    <t>25.629999-12_S. haematobium</t>
  </si>
  <si>
    <t>30.049999-12.07</t>
  </si>
  <si>
    <t>30.049999-12.07_S. haematobium</t>
  </si>
  <si>
    <t>24.91-12.1</t>
  </si>
  <si>
    <t>24.91-12.1_S. haematobium</t>
  </si>
  <si>
    <t>31.66-12.33</t>
  </si>
  <si>
    <t>31.66-12.33_S. haematobium</t>
  </si>
  <si>
    <t>29.25-12.35</t>
  </si>
  <si>
    <t>29.25-12.35_S. haematobium</t>
  </si>
  <si>
    <t>23.133301-12.3667</t>
  </si>
  <si>
    <t>23.133301-12.3667_S. haematobium</t>
  </si>
  <si>
    <t>23.2833-12.3833</t>
  </si>
  <si>
    <t>23.2833-12.3833_S. haematobium</t>
  </si>
  <si>
    <t>24.08-12.43</t>
  </si>
  <si>
    <t>24.08-12.43_S. haematobium</t>
  </si>
  <si>
    <t>31.6-12.66</t>
  </si>
  <si>
    <t>31.6-12.66_S. haematobium</t>
  </si>
  <si>
    <t>22.77-12.68</t>
  </si>
  <si>
    <t>22.77-12.68_S. haematobium</t>
  </si>
  <si>
    <t>29.57-12.68</t>
  </si>
  <si>
    <t>29.57-12.68_S. haematobium</t>
  </si>
  <si>
    <t>30.65-12.7167</t>
  </si>
  <si>
    <t>30.65-12.7167_S. haematobium</t>
  </si>
  <si>
    <t>31.450001-12.9</t>
  </si>
  <si>
    <t>31.450001-12.9_S. haematobium</t>
  </si>
  <si>
    <t>29.866699-12.9667</t>
  </si>
  <si>
    <t>29.866699-12.9667_S. haematobium</t>
  </si>
  <si>
    <t>24.959999-13.03</t>
  </si>
  <si>
    <t>24.959999-13.03_S. mansoni</t>
  </si>
  <si>
    <t>33.09-13.64</t>
  </si>
  <si>
    <t>33.09-13.64_S. mansoni</t>
  </si>
  <si>
    <t>26.059999-13.78</t>
  </si>
  <si>
    <t>26.059999-13.78_S. haematobium</t>
  </si>
  <si>
    <t>33.07-13.83</t>
  </si>
  <si>
    <t>33.07-13.83_S. mansoni</t>
  </si>
  <si>
    <t>33.66-13.84</t>
  </si>
  <si>
    <t>33.66-13.84_S. mansoni</t>
  </si>
  <si>
    <t>32.970001-13.95</t>
  </si>
  <si>
    <t>32.970001-13.95_S. mansoni</t>
  </si>
  <si>
    <t>33.860001-14.01</t>
  </si>
  <si>
    <t>33.860001-14.01_S. mansoni</t>
  </si>
  <si>
    <t>35.400002-14.0333</t>
  </si>
  <si>
    <t>35.400002-14.0333_S. haematobium</t>
  </si>
  <si>
    <t>32.860001-14.06</t>
  </si>
  <si>
    <t>32.860001-14.06_S. mansoni</t>
  </si>
  <si>
    <t>32.779999-14.25</t>
  </si>
  <si>
    <t>32.779999-14.25_S. mansoni</t>
  </si>
  <si>
    <t>33.616699-14.2667</t>
  </si>
  <si>
    <t>33.616699-14.2667_S. mansoni</t>
  </si>
  <si>
    <t>32.84-14.42</t>
  </si>
  <si>
    <t>32.84-14.42_S. mansoni</t>
  </si>
  <si>
    <t>33.52-14.67</t>
  </si>
  <si>
    <t>33.52-14.67_S. mansoni</t>
  </si>
  <si>
    <t>33.259998-14.76</t>
  </si>
  <si>
    <t>33.259998-14.76_S. mansoni</t>
  </si>
  <si>
    <t>33.150002-14.7667</t>
  </si>
  <si>
    <t>33.150002-14.7667_S. mansoni</t>
  </si>
  <si>
    <t>33.116699-14.8167</t>
  </si>
  <si>
    <t>33.116699-14.8167_S. mansoni</t>
  </si>
  <si>
    <t>33.400002-14.85</t>
  </si>
  <si>
    <t>33.400002-14.85_S. mansoni</t>
  </si>
  <si>
    <t>33.200001-14.85</t>
  </si>
  <si>
    <t>33.200001-14.85_S. mansoni</t>
  </si>
  <si>
    <t>33.470001-14.89</t>
  </si>
  <si>
    <t>33.470001-14.89_S. mansoni</t>
  </si>
  <si>
    <t>33.169998-14.98</t>
  </si>
  <si>
    <t>33.169998-14.98_S. mansoni</t>
  </si>
  <si>
    <t>33-15.05</t>
  </si>
  <si>
    <t>33-15.05_S. mansoni</t>
  </si>
  <si>
    <t>33.169701-15.1019</t>
  </si>
  <si>
    <t>33.169701-15.1019_S. mansoni</t>
  </si>
  <si>
    <t>33.0989-15.1758</t>
  </si>
  <si>
    <t>33.0989-15.1758_S. mansoni</t>
  </si>
  <si>
    <t>36.398899-15.4558</t>
  </si>
  <si>
    <t>36.398899-15.4558_S. haematobium</t>
  </si>
  <si>
    <t>32.5336-15.6681</t>
  </si>
  <si>
    <t>32.5336-15.6681_S. haematobium</t>
  </si>
  <si>
    <t>32.830002-15.73</t>
  </si>
  <si>
    <t>32.830002-15.73_S. haematobium</t>
  </si>
  <si>
    <t>32.849998-15.89</t>
  </si>
  <si>
    <t>32.849998-15.89_S. haematobium</t>
  </si>
  <si>
    <t>32.531898-15.6636</t>
  </si>
  <si>
    <t>32.531898-15.6636_S. haematobium</t>
  </si>
  <si>
    <t>32.5322-15.55</t>
  </si>
  <si>
    <t>32.5322-15.55_S. mansoni</t>
  </si>
  <si>
    <t>32.856098-14.9811</t>
  </si>
  <si>
    <t>32.856098-14.9811_S. mansoni</t>
  </si>
  <si>
    <t>33.307301-14.7918</t>
  </si>
  <si>
    <t>33.307301-14.7918_S. mansoni</t>
  </si>
  <si>
    <t>34.250198-13.8908</t>
  </si>
  <si>
    <t>34.250198-13.8908_S. haematobium</t>
  </si>
  <si>
    <t>34.055901-14.0192</t>
  </si>
  <si>
    <t>34.055901-14.0192_S. haematobium</t>
  </si>
  <si>
    <t>33.925098-14.2954</t>
  </si>
  <si>
    <t>33.925098-14.2954_S. haematobium</t>
  </si>
  <si>
    <t>33.888802-14.3484</t>
  </si>
  <si>
    <t>33.888802-14.3484_S. haematobium</t>
  </si>
  <si>
    <t>30.437799-5.35789</t>
  </si>
  <si>
    <t>30.437799-5.35789_S. mansoni</t>
  </si>
  <si>
    <t>30.437799-5.35789_S. haematobium</t>
  </si>
  <si>
    <t>30.246401-7.72461</t>
  </si>
  <si>
    <t>30.246401-7.72461_S. mansoni</t>
  </si>
  <si>
    <t>30.246401-7.72461_S. haematobium</t>
  </si>
  <si>
    <t>33.400002-13.9333</t>
  </si>
  <si>
    <t>33.400002-13.9333_S. mansoni</t>
  </si>
  <si>
    <t>32.667198-14.2317</t>
  </si>
  <si>
    <t>32.667198-14.2317_S. mansoni</t>
  </si>
  <si>
    <t>32.667198-14.2317_S. haematobium</t>
  </si>
  <si>
    <t>33.177502-14.8795</t>
  </si>
  <si>
    <t>33.177502-14.8795_S. mansoni</t>
  </si>
  <si>
    <t>33.177502-14.8795_S. haematobium</t>
  </si>
  <si>
    <t>32.7155-13.0544</t>
  </si>
  <si>
    <t>32.7155-13.0544_S. mansoni</t>
  </si>
  <si>
    <t>32.7155-13.0544_S. haematobium</t>
  </si>
  <si>
    <t>33.432301-14.26</t>
  </si>
  <si>
    <t>33.432301-14.26_S. mansoni</t>
  </si>
  <si>
    <t>33.432301-14.26_S. haematobium</t>
  </si>
  <si>
    <t>33.768299-17.350401</t>
  </si>
  <si>
    <t>33.768299-17.350401_S. mansoni</t>
  </si>
  <si>
    <t>33.768299-17.350401_S. haematobium</t>
  </si>
  <si>
    <t>33.8452-17.4137</t>
  </si>
  <si>
    <t>33.8452-17.4137_S. mansoni</t>
  </si>
  <si>
    <t>33.8452-17.4137_S. haematobium</t>
  </si>
  <si>
    <t>33.864601-17.4452</t>
  </si>
  <si>
    <t>33.864601-17.4452_S. mansoni</t>
  </si>
  <si>
    <t>33.864601-17.4452_S. haematobium</t>
  </si>
  <si>
    <t>33.865101-17.528299</t>
  </si>
  <si>
    <t>33.865101-17.528299_S. mansoni</t>
  </si>
  <si>
    <t>33.865101-17.528299_S. haematobium</t>
  </si>
  <si>
    <t>33.926601-17.6001</t>
  </si>
  <si>
    <t>33.926601-17.6001_S. mansoni</t>
  </si>
  <si>
    <t>33.926601-17.6001_S. haematobium</t>
  </si>
  <si>
    <t>32.7967-14.2044</t>
  </si>
  <si>
    <t>32.7967-14.2044_S. mansoni</t>
  </si>
  <si>
    <t>32.765499-14.2783</t>
  </si>
  <si>
    <t>32.765499-14.2783_S. mansoni</t>
  </si>
  <si>
    <t>32.7383-14.3088</t>
  </si>
  <si>
    <t>32.7383-14.3088_S. mansoni</t>
  </si>
  <si>
    <t>32.805302-14.3121</t>
  </si>
  <si>
    <t>32.805302-14.3121_S. mansoni</t>
  </si>
  <si>
    <t>32.9203-15.1608</t>
  </si>
  <si>
    <t>32.9203-15.1608_S. mansoni</t>
  </si>
  <si>
    <t>32.9203-15.1608_S. haematobium</t>
  </si>
  <si>
    <t>32.892502-14.1069</t>
  </si>
  <si>
    <t>32.892502-14.1069_S. mansoni</t>
  </si>
  <si>
    <t>32.9745-14.8792</t>
  </si>
  <si>
    <t>32.9745-14.8792_S. mansoni</t>
  </si>
  <si>
    <t>32.9745-14.8792_S. haematobium</t>
  </si>
  <si>
    <t>31.6-4.85</t>
  </si>
  <si>
    <t>31.6-4.85_S. mansoni</t>
  </si>
  <si>
    <t>32.9855-12.9403</t>
  </si>
  <si>
    <t>32.9855-12.9403_S. mansoni</t>
  </si>
  <si>
    <t>32.9855-12.9403_S. haematobium</t>
  </si>
  <si>
    <t>32.666698-13.1667</t>
  </si>
  <si>
    <t>32.666698-13.1667_S. mansoni</t>
  </si>
  <si>
    <t>32.666698-13.1667_S. haematobium</t>
  </si>
  <si>
    <t>32.316399-14.0005</t>
  </si>
  <si>
    <t>32.316399-14.0005_S. mansoni</t>
  </si>
  <si>
    <t>32.316399-14.0005_S. haematobium</t>
  </si>
  <si>
    <t>32.447701-14.3123</t>
  </si>
  <si>
    <t>32.447701-14.3123_S. mansoni</t>
  </si>
  <si>
    <t>32.447701-14.3123_S. haematobium</t>
  </si>
  <si>
    <t>32.616299-12.6427</t>
  </si>
  <si>
    <t>32.616299-12.6427_S. haematobium</t>
  </si>
  <si>
    <t>32.8992-13.0737</t>
  </si>
  <si>
    <t>32.8992-13.0737_S. mansoni</t>
  </si>
  <si>
    <t>33.5672-13.5675</t>
  </si>
  <si>
    <t>33.5672-13.5675_S. mansoni</t>
  </si>
  <si>
    <t>33.5672-13.5675_S. haematobium</t>
  </si>
  <si>
    <t>33.5811-13.955</t>
  </si>
  <si>
    <t>33.5811-13.955_S. mansoni</t>
  </si>
  <si>
    <t>33.5811-13.955_S. haematobium</t>
  </si>
  <si>
    <t>33.567402-14.2044</t>
  </si>
  <si>
    <t>33.567402-14.2044_S. mansoni</t>
  </si>
  <si>
    <t>33.567402-14.2044_S. haematobium</t>
  </si>
  <si>
    <t>33.444599-14.3815</t>
  </si>
  <si>
    <t>33.444599-14.3815_S. mansoni</t>
  </si>
  <si>
    <t>33.444599-14.3815_S. haematobium</t>
  </si>
  <si>
    <t>33.2407-14.7978</t>
  </si>
  <si>
    <t>33.2407-14.7978_S. mansoni</t>
  </si>
  <si>
    <t>33.2407-14.7978_S. haematobium</t>
  </si>
  <si>
    <t>32.729099-14.4388</t>
  </si>
  <si>
    <t>32.729099-14.4388_S. mansoni</t>
  </si>
  <si>
    <t>32.729099-14.4388_S. haematobium</t>
  </si>
  <si>
    <t>33.093399-15.1485</t>
  </si>
  <si>
    <t>33.093399-15.1485_S. mansoni</t>
  </si>
  <si>
    <t>33.093399-15.1485_S. haematobium</t>
  </si>
  <si>
    <t>33.1633-14.8595</t>
  </si>
  <si>
    <t>33.1633-14.8595_S. mansoni</t>
  </si>
  <si>
    <t>33.1633-14.8595_S. haematobium</t>
  </si>
  <si>
    <t>33.160702-14.8602</t>
  </si>
  <si>
    <t>33.160702-14.8602_S. mansoni</t>
  </si>
  <si>
    <t>33.160702-14.8602_S. haematobium</t>
  </si>
  <si>
    <t>33.164799-14.8604</t>
  </si>
  <si>
    <t>33.164799-14.8604_S. mansoni</t>
  </si>
  <si>
    <t>33.164799-14.8604_S. haematobium</t>
  </si>
  <si>
    <t>32.926399-15.0609</t>
  </si>
  <si>
    <t>32.926399-15.0609_S. mansoni</t>
  </si>
  <si>
    <t>32.926399-15.0609_S. haematobium</t>
  </si>
  <si>
    <t>32.9114-15.0705</t>
  </si>
  <si>
    <t>32.9114-15.0705_S. mansoni</t>
  </si>
  <si>
    <t>32.9114-15.0705_S. haematobium</t>
  </si>
  <si>
    <t>33.094002-15.0937</t>
  </si>
  <si>
    <t>33.094002-15.0937_S. mansoni</t>
  </si>
  <si>
    <t>33.094002-15.0937_S. haematobium</t>
  </si>
  <si>
    <t>33.0867-15.1103</t>
  </si>
  <si>
    <t>33.0867-15.1103_S. mansoni</t>
  </si>
  <si>
    <t>33.0867-15.1103_S. haematobium</t>
  </si>
  <si>
    <t>33.017502-15.1566</t>
  </si>
  <si>
    <t>33.017502-15.1566_S. mansoni</t>
  </si>
  <si>
    <t>33.017502-15.1566_S. haematobium</t>
  </si>
  <si>
    <t>33.3102-14.6484</t>
  </si>
  <si>
    <t>33.3102-14.6484_S. mansoni</t>
  </si>
  <si>
    <t>33.282101-14.6806</t>
  </si>
  <si>
    <t>33.282101-14.6806_S. mansoni</t>
  </si>
  <si>
    <t>33.137798-14.9179</t>
  </si>
  <si>
    <t>33.137798-14.9179_S. mansoni</t>
  </si>
  <si>
    <t>33.1595-15.0268</t>
  </si>
  <si>
    <t>33.1595-15.0268_S. mansoni</t>
  </si>
  <si>
    <t>32.964699-15.0822</t>
  </si>
  <si>
    <t>32.964699-15.0822_S. mansoni</t>
  </si>
  <si>
    <t>33.038799-15.0895</t>
  </si>
  <si>
    <t>33.038799-15.0895_S. mansoni</t>
  </si>
  <si>
    <t>32.9767-15.0917</t>
  </si>
  <si>
    <t>32.9767-15.0917_S. mansoni</t>
  </si>
  <si>
    <t>33.197899-14.77</t>
  </si>
  <si>
    <t>33.197899-14.77_S. mansoni</t>
  </si>
  <si>
    <t>33.014702-15.0992</t>
  </si>
  <si>
    <t>33.014702-15.0992_S. mansoni</t>
  </si>
  <si>
    <t>33.006699-15.1268</t>
  </si>
  <si>
    <t>33.006699-15.1268_S. mansoni</t>
  </si>
  <si>
    <t>33.204498-14.8055</t>
  </si>
  <si>
    <t>33.204498-14.8055_S. mansoni</t>
  </si>
  <si>
    <t>33.222-14.8071</t>
  </si>
  <si>
    <t>33.222-14.8071_S. mansoni</t>
  </si>
  <si>
    <t>33.109901-14.8251</t>
  </si>
  <si>
    <t>33.109901-14.8251_S. mansoni</t>
  </si>
  <si>
    <t>33.120602-15.0681</t>
  </si>
  <si>
    <t>33.120602-15.0681_S. mansoni</t>
  </si>
  <si>
    <t>33.3377-14.5765</t>
  </si>
  <si>
    <t>33.3377-14.5765_S. mansoni</t>
  </si>
  <si>
    <t>33.237499-14.6278</t>
  </si>
  <si>
    <t>33.237499-14.6278_S. mansoni</t>
  </si>
  <si>
    <t>33.352501-14.726</t>
  </si>
  <si>
    <t>33.352501-14.726_S. mansoni</t>
  </si>
  <si>
    <t>33.243801-14.7503</t>
  </si>
  <si>
    <t>33.243801-14.7503_S. mansoni</t>
  </si>
  <si>
    <t>33.185001-14.7904</t>
  </si>
  <si>
    <t>33.185001-14.7904_S. mansoni</t>
  </si>
  <si>
    <t>33.2085-14.8207</t>
  </si>
  <si>
    <t>33.2085-14.8207_S. mansoni</t>
  </si>
  <si>
    <t>33.183998-14.9023</t>
  </si>
  <si>
    <t>33.183998-14.9023_S. mansoni</t>
  </si>
  <si>
    <t>33.0765-14.9306</t>
  </si>
  <si>
    <t>33.0765-14.9306_S. mansoni</t>
  </si>
  <si>
    <t>33.016602-14.9459</t>
  </si>
  <si>
    <t>33.016602-14.9459_S. mansoni</t>
  </si>
  <si>
    <t>33.087898-14.976</t>
  </si>
  <si>
    <t>33.087898-14.976_S. mansoni</t>
  </si>
  <si>
    <t>33.105099-14.9991</t>
  </si>
  <si>
    <t>33.105099-14.9991_S. mansoni</t>
  </si>
  <si>
    <t>33.016998-15.0117</t>
  </si>
  <si>
    <t>33.016998-15.0117_S. mansoni</t>
  </si>
  <si>
    <t>33.0956-15.014</t>
  </si>
  <si>
    <t>33.0956-15.014_S. mansoni</t>
  </si>
  <si>
    <t>33.072399-15.0319</t>
  </si>
  <si>
    <t>33.072399-15.0319_S. mansoni</t>
  </si>
  <si>
    <t>32.936298-15.0377</t>
  </si>
  <si>
    <t>32.936298-15.0377_S. mansoni</t>
  </si>
  <si>
    <t>33.093899-15.0629</t>
  </si>
  <si>
    <t>33.093899-15.0629_S. mansoni</t>
  </si>
  <si>
    <t>32.997002-14.2487</t>
  </si>
  <si>
    <t>32.997002-14.2487_S. mansoni</t>
  </si>
  <si>
    <t>33.243801-14.7503_S. haematobium</t>
  </si>
  <si>
    <t>32.823898-14.373</t>
  </si>
  <si>
    <t>32.823898-14.373_S. mansoni</t>
  </si>
  <si>
    <t>32.823898-14.373_S. haematobium</t>
  </si>
  <si>
    <t>34.310799-13.796</t>
  </si>
  <si>
    <t>34.310799-13.796_S. mansoni</t>
  </si>
  <si>
    <t>34.310799-13.796_S. haematobium</t>
  </si>
  <si>
    <t>34.251202-13.8164</t>
  </si>
  <si>
    <t>34.251202-13.8164_S. mansoni</t>
  </si>
  <si>
    <t>34.251202-13.8164_S. haematobium</t>
  </si>
  <si>
    <t>34.2644-13.852</t>
  </si>
  <si>
    <t>34.2644-13.852_S. mansoni</t>
  </si>
  <si>
    <t>34.2644-13.852_S. haematobium</t>
  </si>
  <si>
    <t>34.200802-13.8648</t>
  </si>
  <si>
    <t>34.200802-13.8648_S. mansoni</t>
  </si>
  <si>
    <t>34.200802-13.8648_S. haematobium</t>
  </si>
  <si>
    <t>34.250198-13.8908_S. mansoni</t>
  </si>
  <si>
    <t>32.759998-13.9186</t>
  </si>
  <si>
    <t>32.759998-13.9186_S. mansoni</t>
  </si>
  <si>
    <t>32.759998-13.9186_S. haematobium</t>
  </si>
  <si>
    <t>34.1525-13.9218</t>
  </si>
  <si>
    <t>34.1525-13.9218_S. mansoni</t>
  </si>
  <si>
    <t>34.1525-13.9218_S. haematobium</t>
  </si>
  <si>
    <t>34.2253-13.924</t>
  </si>
  <si>
    <t>34.2253-13.924_S. mansoni</t>
  </si>
  <si>
    <t>34.2253-13.924_S. haematobium</t>
  </si>
  <si>
    <t>34.086601-13.9403</t>
  </si>
  <si>
    <t>34.086601-13.9403_S. mansoni</t>
  </si>
  <si>
    <t>34.086601-13.9403_S. haematobium</t>
  </si>
  <si>
    <t>34.212399-13.9608</t>
  </si>
  <si>
    <t>34.212399-13.9608_S. mansoni</t>
  </si>
  <si>
    <t>34.212399-13.9608_S. haematobium</t>
  </si>
  <si>
    <t>34.139-13.9613</t>
  </si>
  <si>
    <t>34.139-13.9613_S. mansoni</t>
  </si>
  <si>
    <t>34.139-13.9613_S. haematobium</t>
  </si>
  <si>
    <t>33.4375-13.9934</t>
  </si>
  <si>
    <t>33.4375-13.9934_S. mansoni</t>
  </si>
  <si>
    <t>33.4375-13.9934_S. haematobium</t>
  </si>
  <si>
    <t>34.096401-14.0074</t>
  </si>
  <si>
    <t>34.096401-14.0074_S. mansoni</t>
  </si>
  <si>
    <t>34.096401-14.0074_S. haematobium</t>
  </si>
  <si>
    <t>34.211601-14.0104</t>
  </si>
  <si>
    <t>34.211601-14.0104_S. mansoni</t>
  </si>
  <si>
    <t>34.211601-14.0104_S. haematobium</t>
  </si>
  <si>
    <t>34.174801-14.0119</t>
  </si>
  <si>
    <t>34.174801-14.0119_S. mansoni</t>
  </si>
  <si>
    <t>34.174801-14.0119_S. haematobium</t>
  </si>
  <si>
    <t>34.133999-14.0122</t>
  </si>
  <si>
    <t>34.133999-14.0122_S. mansoni</t>
  </si>
  <si>
    <t>34.133999-14.0122_S. haematobium</t>
  </si>
  <si>
    <t>34.055901-14.0192_S. mansoni</t>
  </si>
  <si>
    <t>32.803398-14.0357</t>
  </si>
  <si>
    <t>32.803398-14.0357_S. mansoni</t>
  </si>
  <si>
    <t>32.803398-14.0357_S. haematobium</t>
  </si>
  <si>
    <t>34.1623-14.0675</t>
  </si>
  <si>
    <t>34.1623-14.0675_S. mansoni</t>
  </si>
  <si>
    <t>34.1623-14.0675_S. haematobium</t>
  </si>
  <si>
    <t>34.092098-14.077</t>
  </si>
  <si>
    <t>34.092098-14.077_S. mansoni</t>
  </si>
  <si>
    <t>34.092098-14.077_S. haematobium</t>
  </si>
  <si>
    <t>34.0172-14.0855</t>
  </si>
  <si>
    <t>34.0172-14.0855_S. mansoni</t>
  </si>
  <si>
    <t>34.0172-14.0855_S. haematobium</t>
  </si>
  <si>
    <t>33.6189-14.1031</t>
  </si>
  <si>
    <t>33.6189-14.1031_S. mansoni</t>
  </si>
  <si>
    <t>33.6189-14.1031_S. haematobium</t>
  </si>
  <si>
    <t>34.090599-14.1086</t>
  </si>
  <si>
    <t>34.090599-14.1086_S. mansoni</t>
  </si>
  <si>
    <t>34.090599-14.1086_S. haematobium</t>
  </si>
  <si>
    <t>33.956501-14.1162</t>
  </si>
  <si>
    <t>33.956501-14.1162_S. mansoni</t>
  </si>
  <si>
    <t>33.956501-14.1162_S. haematobium</t>
  </si>
  <si>
    <t>34.0238-14.139</t>
  </si>
  <si>
    <t>34.0238-14.139_S. mansoni</t>
  </si>
  <si>
    <t>34.0238-14.139_S. haematobium</t>
  </si>
  <si>
    <t>33.9286-14.1925</t>
  </si>
  <si>
    <t>33.9286-14.1925_S. mansoni</t>
  </si>
  <si>
    <t>33.9286-14.1925_S. haematobium</t>
  </si>
  <si>
    <t>33.839401-14.2022</t>
  </si>
  <si>
    <t>33.839401-14.2022_S. mansoni</t>
  </si>
  <si>
    <t>33.839401-14.2022_S. haematobium</t>
  </si>
  <si>
    <t>33.885799-14.2133</t>
  </si>
  <si>
    <t>33.885799-14.2133_S. mansoni</t>
  </si>
  <si>
    <t>33.885799-14.2133_S. haematobium</t>
  </si>
  <si>
    <t>32.692001-14.2211</t>
  </si>
  <si>
    <t>32.692001-14.2211_S. mansoni</t>
  </si>
  <si>
    <t>32.692001-14.2211_S. haematobium</t>
  </si>
  <si>
    <t>34.0037-14.2242</t>
  </si>
  <si>
    <t>34.0037-14.2242_S. mansoni</t>
  </si>
  <si>
    <t>34.0037-14.2242_S. haematobium</t>
  </si>
  <si>
    <t>32.723301-14.2308</t>
  </si>
  <si>
    <t>32.723301-14.2308_S. mansoni</t>
  </si>
  <si>
    <t>32.723301-14.2308_S. haematobium</t>
  </si>
  <si>
    <t>33.838799-14.2335</t>
  </si>
  <si>
    <t>33.838799-14.2335_S. mansoni</t>
  </si>
  <si>
    <t>33.838799-14.2335_S. haematobium</t>
  </si>
  <si>
    <t>33.337601-14.2388</t>
  </si>
  <si>
    <t>33.337601-14.2388_S. mansoni</t>
  </si>
  <si>
    <t>33.337601-14.2388_S. haematobium</t>
  </si>
  <si>
    <t>33.959599-14.2533</t>
  </si>
  <si>
    <t>33.959599-14.2533_S. mansoni</t>
  </si>
  <si>
    <t>33.959599-14.2533_S. haematobium</t>
  </si>
  <si>
    <t>33.724602-14.2709</t>
  </si>
  <si>
    <t>33.724602-14.2709_S. mansoni</t>
  </si>
  <si>
    <t>33.724602-14.2709_S. haematobium</t>
  </si>
  <si>
    <t>33.362099-14.271</t>
  </si>
  <si>
    <t>33.362099-14.271_S. mansoni</t>
  </si>
  <si>
    <t>33.362099-14.271_S. haematobium</t>
  </si>
  <si>
    <t>33.894901-14.2711</t>
  </si>
  <si>
    <t>33.894901-14.2711_S. mansoni</t>
  </si>
  <si>
    <t>33.894901-14.2711_S. haematobium</t>
  </si>
  <si>
    <t>33.925098-14.2954_S. mansoni</t>
  </si>
  <si>
    <t>33.800999-14.304</t>
  </si>
  <si>
    <t>33.800999-14.304_S. mansoni</t>
  </si>
  <si>
    <t>33.800999-14.304_S. haematobium</t>
  </si>
  <si>
    <t>33.964699-14.3182</t>
  </si>
  <si>
    <t>33.964699-14.3182_S. mansoni</t>
  </si>
  <si>
    <t>33.964699-14.3182_S. haematobium</t>
  </si>
  <si>
    <t>33.842201-14.3285</t>
  </si>
  <si>
    <t>33.842201-14.3285_S. mansoni</t>
  </si>
  <si>
    <t>33.842201-14.3285_S. haematobium</t>
  </si>
  <si>
    <t>32.648102-14.3421</t>
  </si>
  <si>
    <t>32.648102-14.3421_S. mansoni</t>
  </si>
  <si>
    <t>32.648102-14.3421_S. haematobium</t>
  </si>
  <si>
    <t>33.888802-14.3484_S. mansoni</t>
  </si>
  <si>
    <t>33.8102-14.3507</t>
  </si>
  <si>
    <t>33.8102-14.3507_S. mansoni</t>
  </si>
  <si>
    <t>33.8102-14.3507_S. haematobium</t>
  </si>
  <si>
    <t>33.942402-14.3579</t>
  </si>
  <si>
    <t>33.942402-14.3579_S. mansoni</t>
  </si>
  <si>
    <t>33.942402-14.3579_S. haematobium</t>
  </si>
  <si>
    <t>33.836498-14.4081</t>
  </si>
  <si>
    <t>33.836498-14.4081_S. mansoni</t>
  </si>
  <si>
    <t>33.836498-14.4081_S. haematobium</t>
  </si>
  <si>
    <t>33.7281-14.4108</t>
  </si>
  <si>
    <t>33.7281-14.4108_S. mansoni</t>
  </si>
  <si>
    <t>33.7281-14.4108_S. haematobium</t>
  </si>
  <si>
    <t>33.923698-14.4121</t>
  </si>
  <si>
    <t>33.923698-14.4121_S. mansoni</t>
  </si>
  <si>
    <t>33.923698-14.4121_S. haematobium</t>
  </si>
  <si>
    <t>33.878399-14.4153</t>
  </si>
  <si>
    <t>33.878399-14.4153_S. mansoni</t>
  </si>
  <si>
    <t>33.878399-14.4153_S. haematobium</t>
  </si>
  <si>
    <t>33.400501-14.4193</t>
  </si>
  <si>
    <t>33.400501-14.4193_S. mansoni</t>
  </si>
  <si>
    <t>33.400501-14.4193_S. haematobium</t>
  </si>
  <si>
    <t>33.779099-14.4365</t>
  </si>
  <si>
    <t>33.779099-14.4365_S. mansoni</t>
  </si>
  <si>
    <t>33.779099-14.4365_S. haematobium</t>
  </si>
  <si>
    <t>32.698898-14.4421</t>
  </si>
  <si>
    <t>32.698898-14.4421_S. mansoni</t>
  </si>
  <si>
    <t>32.698898-14.4421_S. haematobium</t>
  </si>
  <si>
    <t>33.887001-14.4487</t>
  </si>
  <si>
    <t>33.887001-14.4487_S. mansoni</t>
  </si>
  <si>
    <t>33.887001-14.4487_S. haematobium</t>
  </si>
  <si>
    <t>32.9105-14.4518</t>
  </si>
  <si>
    <t>32.9105-14.4518_S. mansoni</t>
  </si>
  <si>
    <t>32.9105-14.4518_S. haematobium</t>
  </si>
  <si>
    <t>33.655399-14.4822</t>
  </si>
  <si>
    <t>33.655399-14.4822_S. mansoni</t>
  </si>
  <si>
    <t>33.655399-14.4822_S. haematobium</t>
  </si>
  <si>
    <t>33.718601-14.5075</t>
  </si>
  <si>
    <t>33.718601-14.5075_S. mansoni</t>
  </si>
  <si>
    <t>33.718601-14.5075_S. haematobium</t>
  </si>
  <si>
    <t>33.5882-14.5083</t>
  </si>
  <si>
    <t>33.5882-14.5083_S. mansoni</t>
  </si>
  <si>
    <t>33.5882-14.5083_S. haematobium</t>
  </si>
  <si>
    <t>33.6674-14.5303</t>
  </si>
  <si>
    <t>33.6674-14.5303_S. mansoni</t>
  </si>
  <si>
    <t>33.6674-14.5303_S. haematobium</t>
  </si>
  <si>
    <t>32.466999-14.5327</t>
  </si>
  <si>
    <t>32.466999-14.5327_S. mansoni</t>
  </si>
  <si>
    <t>32.466999-14.5327_S. haematobium</t>
  </si>
  <si>
    <t>33.450401-14.5352</t>
  </si>
  <si>
    <t>33.450401-14.5352_S. mansoni</t>
  </si>
  <si>
    <t>33.450401-14.5352_S. haematobium</t>
  </si>
  <si>
    <t>33.186699-14.5378</t>
  </si>
  <si>
    <t>33.186699-14.5378_S. mansoni</t>
  </si>
  <si>
    <t>33.186699-14.5378_S. haematobium</t>
  </si>
  <si>
    <t>33.0667-14.5384</t>
  </si>
  <si>
    <t>33.0667-14.5384_S. mansoni</t>
  </si>
  <si>
    <t>33.0667-14.5384_S. haematobium</t>
  </si>
  <si>
    <t>33.291199-14.6119</t>
  </si>
  <si>
    <t>33.291199-14.6119_S. mansoni</t>
  </si>
  <si>
    <t>33.291199-14.6119_S. haematobium</t>
  </si>
  <si>
    <t>33.235802-14.6274</t>
  </si>
  <si>
    <t>33.235802-14.6274_S. mansoni</t>
  </si>
  <si>
    <t>33.235802-14.6274_S. haematobium</t>
  </si>
  <si>
    <t>33.110401-14.8443</t>
  </si>
  <si>
    <t>33.110401-14.8443_S. mansoni</t>
  </si>
  <si>
    <t>33.110401-14.8443_S. haematobium</t>
  </si>
  <si>
    <t>33.026901-14.9942</t>
  </si>
  <si>
    <t>33.026901-14.9942_S. mansoni</t>
  </si>
  <si>
    <t>33.026901-14.9942_S. haematobium</t>
  </si>
  <si>
    <t>33.4417-15.0183</t>
  </si>
  <si>
    <t>33.4417-15.0183_S. mansoni</t>
  </si>
  <si>
    <t>33.4417-15.0183_S. haematobium</t>
  </si>
  <si>
    <t>33.3839-15.0672</t>
  </si>
  <si>
    <t>33.3839-15.0672_S. mansoni</t>
  </si>
  <si>
    <t>33.3839-15.0672_S. haematobium</t>
  </si>
  <si>
    <t>33.158798-15.11</t>
  </si>
  <si>
    <t>33.158798-15.11_S. mansoni</t>
  </si>
  <si>
    <t>33.158798-15.11_S. haematobium</t>
  </si>
  <si>
    <t>34.02-13.14</t>
  </si>
  <si>
    <t>34.02-13.14_S. haematobium</t>
  </si>
  <si>
    <t>34.02-13.14_S. mansoni</t>
  </si>
  <si>
    <t>33.498901-14.4056</t>
  </si>
  <si>
    <t>33.498901-14.4056_S. haematobium</t>
  </si>
  <si>
    <t>33.498901-14.4056_S. mansoni</t>
  </si>
  <si>
    <t>33.370098-14.3237</t>
  </si>
  <si>
    <t>33.370098-14.3237_S. haematobium</t>
  </si>
  <si>
    <t>33.370098-14.3237_S. mansoni</t>
  </si>
  <si>
    <t>25.153-11.2326</t>
  </si>
  <si>
    <t>25.153-11.2326_S. haematobium</t>
  </si>
  <si>
    <t>25.153-11.2326_S. mansoni</t>
  </si>
  <si>
    <t>35.559898-15.4735</t>
  </si>
  <si>
    <t>35.559898-15.4735_S. mansoni</t>
  </si>
  <si>
    <t>32.4833-15.65</t>
  </si>
  <si>
    <t>32.4833-15.65_S. mansoni</t>
  </si>
  <si>
    <t>42.545399--0.358173</t>
  </si>
  <si>
    <t>42.545399--0.358173_S. mansoni</t>
  </si>
  <si>
    <t>42.572899--0.073403</t>
  </si>
  <si>
    <t>42.572899--0.073403_S. haematobium</t>
  </si>
  <si>
    <t>45.5008-2.78</t>
  </si>
  <si>
    <t>45.5008-2.78_S. haematobium</t>
  </si>
  <si>
    <t>45.5008-2.79</t>
  </si>
  <si>
    <t>45.5008-2.79_S. haematobium</t>
  </si>
  <si>
    <t>44.768614-1.717467</t>
  </si>
  <si>
    <t>44.768614-1.717467_S. haematobium</t>
  </si>
  <si>
    <t>42.750599-0.072222</t>
  </si>
  <si>
    <t>42.750599-0.072222_S. haematobium</t>
  </si>
  <si>
    <t>42.459999-0.19</t>
  </si>
  <si>
    <t>42.459999-0.19_S. haematobium</t>
  </si>
  <si>
    <t>42.8703-0.398258</t>
  </si>
  <si>
    <t>42.8703-0.398258_S. haematobium</t>
  </si>
  <si>
    <t>42.720001-0.42</t>
  </si>
  <si>
    <t>42.720001-0.42_S. haematobium</t>
  </si>
  <si>
    <t>42.7728-0.49583</t>
  </si>
  <si>
    <t>42.7728-0.49583_S. haematobium</t>
  </si>
  <si>
    <t>42.7728-0.495833</t>
  </si>
  <si>
    <t>42.7728-0.495833_S. haematobium</t>
  </si>
  <si>
    <t>42.705799-0.611667</t>
  </si>
  <si>
    <t>42.705799-0.611667_S. haematobium</t>
  </si>
  <si>
    <t>42.7458-0.643333</t>
  </si>
  <si>
    <t>42.7458-0.643333_S. haematobium</t>
  </si>
  <si>
    <t>42.598301-0.85694</t>
  </si>
  <si>
    <t>42.598301-0.85694_S. mansoni</t>
  </si>
  <si>
    <t>42.598301-0.85694_S. haematobium</t>
  </si>
  <si>
    <t>42.619999-0.96</t>
  </si>
  <si>
    <t>42.619999-0.96_S. haematobium</t>
  </si>
  <si>
    <t>44.400002-1.61667</t>
  </si>
  <si>
    <t>44.400002-1.61667_S. haematobium</t>
  </si>
  <si>
    <t>42.450802-1.63711</t>
  </si>
  <si>
    <t>42.450802-1.63711_S. haematobium</t>
  </si>
  <si>
    <t>44.583302-1.66667</t>
  </si>
  <si>
    <t>44.583302-1.66667_S. haematobium</t>
  </si>
  <si>
    <t>44.4972-1.6903</t>
  </si>
  <si>
    <t>44.4972-1.6903_S. haematobium</t>
  </si>
  <si>
    <t>44.4174-1.69142</t>
  </si>
  <si>
    <t>44.4174-1.69142_S. haematobium</t>
  </si>
  <si>
    <t>44.6833-1.7</t>
  </si>
  <si>
    <t>44.6833-1.7_S. haematobium</t>
  </si>
  <si>
    <t>44.770401-1.71598</t>
  </si>
  <si>
    <t>44.770401-1.71598_S. haematobium</t>
  </si>
  <si>
    <t>44.466202-1.72642</t>
  </si>
  <si>
    <t>44.466202-1.72642_S. haematobium</t>
  </si>
  <si>
    <t>44.4659-1.72722</t>
  </si>
  <si>
    <t>44.4659-1.72722_S. haematobium</t>
  </si>
  <si>
    <t>44.442699-1.72765</t>
  </si>
  <si>
    <t>44.442699-1.72765_S. haematobium</t>
  </si>
  <si>
    <t>44.469002-1.73473</t>
  </si>
  <si>
    <t>44.469002-1.73473_S. haematobium</t>
  </si>
  <si>
    <t>44.4856-1.74899</t>
  </si>
  <si>
    <t>44.4856-1.74899_S. haematobium</t>
  </si>
  <si>
    <t>44.5639-1.763</t>
  </si>
  <si>
    <t>44.5639-1.763_S. haematobium</t>
  </si>
  <si>
    <t>44.501099-1.76814</t>
  </si>
  <si>
    <t>44.501099-1.76814_S. haematobium</t>
  </si>
  <si>
    <t>44.569302-1.76906</t>
  </si>
  <si>
    <t>44.569302-1.76906_S. haematobium</t>
  </si>
  <si>
    <t>44.548-1.78446</t>
  </si>
  <si>
    <t>44.548-1.78446_S. haematobium</t>
  </si>
  <si>
    <t>44.700001-1.8</t>
  </si>
  <si>
    <t>44.700001-1.8_S. haematobium</t>
  </si>
  <si>
    <t>44.696499-1.80803</t>
  </si>
  <si>
    <t>44.696499-1.80803_S. haematobium</t>
  </si>
  <si>
    <t>44.696098-1.80895</t>
  </si>
  <si>
    <t>44.696098-1.80895_S. haematobium</t>
  </si>
  <si>
    <t>44.299999-1.81</t>
  </si>
  <si>
    <t>44.299999-1.81_S. haematobium</t>
  </si>
  <si>
    <t>44.700001-1.85</t>
  </si>
  <si>
    <t>44.700001-1.85_S. haematobium</t>
  </si>
  <si>
    <t>44.733299-1.9</t>
  </si>
  <si>
    <t>44.733299-1.9_S. haematobium</t>
  </si>
  <si>
    <t>44.9991-2.0083</t>
  </si>
  <si>
    <t>44.9991-2.0083_S. haematobium</t>
  </si>
  <si>
    <t>44.779999-2.02</t>
  </si>
  <si>
    <t>44.779999-2.02_S. haematobium</t>
  </si>
  <si>
    <t>44.859798-2.02855</t>
  </si>
  <si>
    <t>44.859798-2.02855_S. haematobium</t>
  </si>
  <si>
    <t>44.873798-2.04973</t>
  </si>
  <si>
    <t>44.873798-2.04973_S. haematobium</t>
  </si>
  <si>
    <t>45.025002-2.12349</t>
  </si>
  <si>
    <t>45.025002-2.12349_S. haematobium</t>
  </si>
  <si>
    <t>45.116699-2.15</t>
  </si>
  <si>
    <t>45.116699-2.15_S. haematobium</t>
  </si>
  <si>
    <t>45.383301-2.35</t>
  </si>
  <si>
    <t>45.383301-2.35_S. haematobium</t>
  </si>
  <si>
    <t>45.355099-2.36882</t>
  </si>
  <si>
    <t>45.355099-2.36882_S. haematobium</t>
  </si>
  <si>
    <t>45.3423-2.41759</t>
  </si>
  <si>
    <t>45.3423-2.41759_S. haematobium</t>
  </si>
  <si>
    <t>42.311199-2.48796</t>
  </si>
  <si>
    <t>42.311199-2.48796_S. haematobium</t>
  </si>
  <si>
    <t>45.588299-2.76654</t>
  </si>
  <si>
    <t>45.588299-2.76654_S. haematobium</t>
  </si>
  <si>
    <t>45.516701-2.76667</t>
  </si>
  <si>
    <t>45.516701-2.76667_S. haematobium</t>
  </si>
  <si>
    <t>45.497601-2.77496</t>
  </si>
  <si>
    <t>45.497601-2.77496_S. haematobium</t>
  </si>
  <si>
    <t>45.499298-2.78074</t>
  </si>
  <si>
    <t>45.499298-2.78074_S. haematobium</t>
  </si>
  <si>
    <t>45.499298-2.78074_S. mansoni</t>
  </si>
  <si>
    <t>45.4991-2.78088</t>
  </si>
  <si>
    <t>45.4991-2.78088_S. mansoni</t>
  </si>
  <si>
    <t>45.4991-2.78088_S. haematobium</t>
  </si>
  <si>
    <t>44.083302-2.78333</t>
  </si>
  <si>
    <t>44.083302-2.78333_S. haematobium</t>
  </si>
  <si>
    <t>45.512001-2.79874</t>
  </si>
  <si>
    <t>45.512001-2.79874_S. haematobium</t>
  </si>
  <si>
    <t>45.5201-2.8137</t>
  </si>
  <si>
    <t>45.5201-2.8137_S. haematobium</t>
  </si>
  <si>
    <t>45.535599-2.82116</t>
  </si>
  <si>
    <t>45.535599-2.82116_S. haematobium</t>
  </si>
  <si>
    <t>45.480099-2.86423</t>
  </si>
  <si>
    <t>45.480099-2.86423_S. haematobium</t>
  </si>
  <si>
    <t>45.5271-2.86873</t>
  </si>
  <si>
    <t>45.5271-2.86873_S. haematobium</t>
  </si>
  <si>
    <t>45.535702-2.97275</t>
  </si>
  <si>
    <t>45.535702-2.97275_S. haematobium</t>
  </si>
  <si>
    <t>45.535702-2.97275_S. mansoni</t>
  </si>
  <si>
    <t>43.450001-3</t>
  </si>
  <si>
    <t>43.450001-3_S. haematobium</t>
  </si>
  <si>
    <t>45.166698-3.08333</t>
  </si>
  <si>
    <t>45.166698-3.08333_S. haematobium</t>
  </si>
  <si>
    <t>45.166698-3.08333_S. mansoni</t>
  </si>
  <si>
    <t>43.650002-3.11667</t>
  </si>
  <si>
    <t>43.650002-3.11667_S. haematobium</t>
  </si>
  <si>
    <t>46.616699-4.68333</t>
  </si>
  <si>
    <t>46.616699-4.68333_S. haematobium</t>
  </si>
  <si>
    <t>45.209999-4.70417</t>
  </si>
  <si>
    <t>45.209999-4.70417_S. haematobium</t>
  </si>
  <si>
    <t>47.4333-6.78333</t>
  </si>
  <si>
    <t>47.4333-6.78333_S. haematobium</t>
  </si>
  <si>
    <t>45.0667-9.4</t>
  </si>
  <si>
    <t>45.0667-9.4_S. haematobium</t>
  </si>
  <si>
    <t>45.5369-9.52417</t>
  </si>
  <si>
    <t>45.5369-9.52417_S. mansoni</t>
  </si>
  <si>
    <t>44.064999-9.56</t>
  </si>
  <si>
    <t>44.064999-9.56_S. mansoni</t>
  </si>
  <si>
    <t>44.064999-9.56_S. haematobium</t>
  </si>
  <si>
    <t>45.1917-9.92917</t>
  </si>
  <si>
    <t>45.1917-9.92917_S. mansoni</t>
  </si>
  <si>
    <t>45.1917-9.92917_S. haematobium</t>
  </si>
  <si>
    <t>45.016399-10.4356</t>
  </si>
  <si>
    <t>45.016399-10.4356_S. mansoni</t>
  </si>
  <si>
    <t>45.016399-10.4356_S. haematobium</t>
  </si>
  <si>
    <t>45.116717-2.142622</t>
  </si>
  <si>
    <t>45.116717-2.142622_S. haematobium</t>
  </si>
  <si>
    <t>45.5009-2.79</t>
  </si>
  <si>
    <t>45.5009-2.79_S. haematobium</t>
  </si>
  <si>
    <t>-11.740994-7.955178_S. haematobium</t>
  </si>
  <si>
    <t>-12.502-7.525_S. haematobium</t>
  </si>
  <si>
    <t>-12.502-7.525_S. mansoni</t>
  </si>
  <si>
    <t>-12.268-7.548_S. haematobium</t>
  </si>
  <si>
    <t>-11.154-7.579_S. haematobium</t>
  </si>
  <si>
    <t>-11.154-7.579_S. mansoni</t>
  </si>
  <si>
    <t>-11.064-7.694_S. haematobium</t>
  </si>
  <si>
    <t>-11.865-7.766_S. haematobium</t>
  </si>
  <si>
    <t>-11.865-7.766_S. mansoni</t>
  </si>
  <si>
    <t>-12.05-7.8_S. haematobium</t>
  </si>
  <si>
    <t>-12.05-7.8_S. mansoni</t>
  </si>
  <si>
    <t>-10.951-7.815_S. haematobium</t>
  </si>
  <si>
    <t>-12.068-7.838_S. haematobium</t>
  </si>
  <si>
    <t>-11.302-7.918_S. haematobium</t>
  </si>
  <si>
    <t>-11.7384-7.95811_S. haematobium</t>
  </si>
  <si>
    <t>-11.7383-7.96472_S. haematobium</t>
  </si>
  <si>
    <t>-11.7383-7.96472_S. mansoni</t>
  </si>
  <si>
    <t>-12.5134-7.97664_S. haematobium</t>
  </si>
  <si>
    <t>-12.5134-7.97664_S. mansoni</t>
  </si>
  <si>
    <t>-10.7511-7.99444_S. haematobium</t>
  </si>
  <si>
    <t>-12.4478-8.08968_S. haematobium</t>
  </si>
  <si>
    <t>-12.4478-8.08968_S. mansoni</t>
  </si>
  <si>
    <t>-12.0756-8.1118_S. haematobium</t>
  </si>
  <si>
    <t>-11.302-8.152_S. haematobium</t>
  </si>
  <si>
    <t>-11.302-8.152_S. mansoni</t>
  </si>
  <si>
    <t>-11.3506-8.15451_S. haematobium</t>
  </si>
  <si>
    <t>-11.334-8.16564_S. haematobium</t>
  </si>
  <si>
    <t>-11.0833-8.16667_S. haematobium</t>
  </si>
  <si>
    <t>-10.685-8.167_S. haematobium</t>
  </si>
  <si>
    <t>-10.749-8.169_S. haematobium</t>
  </si>
  <si>
    <t>-11.351-8.17184_S. haematobium</t>
  </si>
  <si>
    <t>-12.4943-8.17282_S. haematobium</t>
  </si>
  <si>
    <t>-12.4943-8.17282_S. mansoni</t>
  </si>
  <si>
    <t>-11.3058-8.17303_S. haematobium</t>
  </si>
  <si>
    <t>-11.333-8.183_S. haematobium</t>
  </si>
  <si>
    <t>-11.312-8.18331_S. haematobium</t>
  </si>
  <si>
    <t>-11.341-8.18747_S. haematobium</t>
  </si>
  <si>
    <t>-12.134-8.199_S. haematobium</t>
  </si>
  <si>
    <t>-10.3731-8.2025_S. haematobium</t>
  </si>
  <si>
    <t>-10.3731-8.2025_S. mansoni</t>
  </si>
  <si>
    <t>-11.3117-8.20373_S. haematobium</t>
  </si>
  <si>
    <t>-11.3596-8.20481_S. haematobium</t>
  </si>
  <si>
    <t>-11.0529-8.21116_S. haematobium</t>
  </si>
  <si>
    <t>-11.0529-8.21116_S. mansoni</t>
  </si>
  <si>
    <t>-12.383-8.218_S. haematobium</t>
  </si>
  <si>
    <t>-12.383-8.218_S. mansoni</t>
  </si>
  <si>
    <t>-11.3387-8.21993_S. haematobium</t>
  </si>
  <si>
    <t>-12.3318-8.24541_S. haematobium</t>
  </si>
  <si>
    <t>-12.3318-8.24541_S. mansoni</t>
  </si>
  <si>
    <t>-10.9667-8.25_S. mansoni</t>
  </si>
  <si>
    <t>-12.281-8.2607_S. haematobium</t>
  </si>
  <si>
    <t>-12.281-8.2607_S. mansoni</t>
  </si>
  <si>
    <t>-10.578-8.274_S. haematobium</t>
  </si>
  <si>
    <t>-10.578-8.274_S. mansoni</t>
  </si>
  <si>
    <t>-10.501-8.318_S. haematobium</t>
  </si>
  <si>
    <t>-11.2167-8.36667_S. mansoni</t>
  </si>
  <si>
    <t>-11.0592-8.37417_S. mansoni</t>
  </si>
  <si>
    <t>-10.85-8.3833_S. haematobium</t>
  </si>
  <si>
    <t>-10.85-8.3833_S. mansoni</t>
  </si>
  <si>
    <t>-11.1575-8.42056_S. mansoni</t>
  </si>
  <si>
    <t>-11.532-8.431_S. haematobium</t>
  </si>
  <si>
    <t>-11.532-8.431_S. mansoni</t>
  </si>
  <si>
    <t>-10.853-8.432_S. haematobium</t>
  </si>
  <si>
    <t>-10.853-8.432_S. mansoni</t>
  </si>
  <si>
    <t>-13.1694-8.44861_S. mansoni</t>
  </si>
  <si>
    <t>-13.1694-8.44861_S. haematobium</t>
  </si>
  <si>
    <t>-10.937-8.466_S. haematobium</t>
  </si>
  <si>
    <t>-10.9833-8.46667_S. haematobium</t>
  </si>
  <si>
    <t>-13.2006-8.47553_S. mansoni</t>
  </si>
  <si>
    <t>-13.2006-8.47553_S. haematobium</t>
  </si>
  <si>
    <t>-13.2028-8.48051_S. mansoni</t>
  </si>
  <si>
    <t>-13.2028-8.48051_S. haematobium</t>
  </si>
  <si>
    <t>-13.2299-8.48223_S. mansoni</t>
  </si>
  <si>
    <t>-13.2299-8.48223_S. haematobium</t>
  </si>
  <si>
    <t>-13.237-8.486_S. haematobium</t>
  </si>
  <si>
    <t>-13.237-8.486_S. mansoni</t>
  </si>
  <si>
    <t>-13.2119-8.48607_S. mansoni</t>
  </si>
  <si>
    <t>-13.2119-8.48607_S. haematobium</t>
  </si>
  <si>
    <t>-11.837-8.518_S. haematobium</t>
  </si>
  <si>
    <t>-12.4167-8.5667_S. haematobium</t>
  </si>
  <si>
    <t>-12.4167-8.5667_S. mansoni</t>
  </si>
  <si>
    <t>-11.054-8.615_S. haematobium</t>
  </si>
  <si>
    <t>-11.054-8.615_S. mansoni</t>
  </si>
  <si>
    <t>-11.05-8.61667_S. mansoni</t>
  </si>
  <si>
    <t>-11.05-8.61667_S. haematobium</t>
  </si>
  <si>
    <t>-11.66-8.623_S. haematobium</t>
  </si>
  <si>
    <t>-10.9833-8.652_S. haematobium</t>
  </si>
  <si>
    <t>-10.9833-8.652_S. mansoni</t>
  </si>
  <si>
    <t>-12.452-8.667_S. haematobium</t>
  </si>
  <si>
    <t>-12.5333-8.68333_S. mansoni</t>
  </si>
  <si>
    <t>-12.5333-8.68333_S. haematobium</t>
  </si>
  <si>
    <t>-11.951-8.718_S. haematobium</t>
  </si>
  <si>
    <t>-11.951-8.718_S. mansoni</t>
  </si>
  <si>
    <t>-11.951-8.785_S. haematobium</t>
  </si>
  <si>
    <t>-12.046-8.882_S. haematobium</t>
  </si>
  <si>
    <t>-11.903-9.119_S. haematobium</t>
  </si>
  <si>
    <t>-11.7667-9.3833_S. haematobium</t>
  </si>
  <si>
    <t>-11.7667-9.3833_S. mansoni</t>
  </si>
  <si>
    <t>-12.244-9.497_S. haematobium</t>
  </si>
  <si>
    <t>-12.244-9.497_S. mansoni</t>
  </si>
  <si>
    <t>-11.66-9.584_S. haematobium</t>
  </si>
  <si>
    <t>-11.66-9.584_S. mansoni</t>
  </si>
  <si>
    <t>-11.4333-9.8667_S. haematobium</t>
  </si>
  <si>
    <t>-11.4333-9.8667_S. mansoni</t>
  </si>
  <si>
    <t>-10.89035-8.247364_S. haematobium</t>
  </si>
  <si>
    <t>-10.89035-8.247364_S. mansoni</t>
  </si>
  <si>
    <t>-10.89036-8.247365_S. haematobium</t>
  </si>
  <si>
    <t>-10.89037-8.247366_S. haematobium</t>
  </si>
  <si>
    <t>-10.89038-8.247367_S. mansoni</t>
  </si>
  <si>
    <t>-12.183333-12.55_S. mansoni</t>
  </si>
  <si>
    <t>-12.183334-12.56_S. haematobium</t>
  </si>
  <si>
    <t>-12.183335-12.57_S. mansoni</t>
  </si>
  <si>
    <t>-12.183336-12.58_S. mansoni</t>
  </si>
  <si>
    <t>-12.183337-12.59_S. haematobium</t>
  </si>
  <si>
    <t>-15.84075-16.247569_S. haematobium</t>
  </si>
  <si>
    <t>-16.811939-14.952672_S. haematobium</t>
  </si>
  <si>
    <t>-16.81194-14.952673_S. mansoni</t>
  </si>
  <si>
    <t>-16.811941-14.952674_S. haematobium</t>
  </si>
  <si>
    <t>-16.811942-14.952675_S. haematobium</t>
  </si>
  <si>
    <t>-16.811943-14.952676_S. mansoni</t>
  </si>
  <si>
    <t>-15.954114-14.896447_S. haematobium</t>
  </si>
  <si>
    <t>-16.167228-14.088964_S. haematobium</t>
  </si>
  <si>
    <t>-16.481817-16.032631_S. haematobium</t>
  </si>
  <si>
    <t>-16.481818-16.032632_S. haematobium</t>
  </si>
  <si>
    <t>-16.266667-12.583333_S. haematobium</t>
  </si>
  <si>
    <t>-16.266668-12.583334_S. haematobium</t>
  </si>
  <si>
    <t>-16.266669-12.583335_S. haematobium</t>
  </si>
  <si>
    <t>-16.26667-12.583336_S. haematobium</t>
  </si>
  <si>
    <t>-15.933333-15.966667_S. haematobium</t>
  </si>
  <si>
    <t>-15.933334-15.966668_S. mansoni</t>
  </si>
  <si>
    <t>-13.854958-16.071778_S. haematobium</t>
  </si>
  <si>
    <t>-13.854958-16.071778_S. mansoni</t>
  </si>
  <si>
    <t>-16.481819-16.032633_S. haematobium</t>
  </si>
  <si>
    <t>-16.48182-16.032634_S. haematobium</t>
  </si>
  <si>
    <t>-16.481821-16.032635_S. mansoni</t>
  </si>
  <si>
    <t>-16.481822-16.032636_S. haematobium</t>
  </si>
  <si>
    <t>-16.481823-16.032637_S. mansoni</t>
  </si>
  <si>
    <t>-16.481824-16.032638_S. mansoni</t>
  </si>
  <si>
    <t>-16.481825-16.032639_S. mansoni</t>
  </si>
  <si>
    <t>-16.481826-16.03264_S. mansoni</t>
  </si>
  <si>
    <t>-16.332561-14.666456_S. haematobium</t>
  </si>
  <si>
    <t>-16.064017-15.649289_S. haematobium</t>
  </si>
  <si>
    <t>-16.064018-15.64929_S. haematobium</t>
  </si>
  <si>
    <t>-16.064019-15.649291_S. mansoni</t>
  </si>
  <si>
    <t>-15.933334-15.966668_S. haematobium</t>
  </si>
  <si>
    <t>-15.933335-15.966669_S. mansoni</t>
  </si>
  <si>
    <t>-16.433331-15.366669_S. haematobium</t>
  </si>
  <si>
    <t>-16.433332-15.36667_S. haematobium</t>
  </si>
  <si>
    <t>-15.908333-14.791667_S. haematobium</t>
  </si>
  <si>
    <t>-15.908334-14.791668_S. haematobium</t>
  </si>
  <si>
    <t>-16.255667-14.647856_S. haematobium</t>
  </si>
  <si>
    <t>-16.255668-14.647857_S. haematobium</t>
  </si>
  <si>
    <t>-16.255669-14.647858_S. haematobium</t>
  </si>
  <si>
    <t>-16.25567-14.647859_S. haematobium</t>
  </si>
  <si>
    <t>-16.255671-14.64786_S. haematobium</t>
  </si>
  <si>
    <t>-16.255672-14.647861_S. haematobium</t>
  </si>
  <si>
    <t>-16.255673-14.647862_S. haematobium</t>
  </si>
  <si>
    <t>-16.255674-14.647863_S. haematobium</t>
  </si>
  <si>
    <t>-16.255675-14.647864_S. haematobium</t>
  </si>
  <si>
    <t>-13.667222-13.768889_S. haematobium</t>
  </si>
  <si>
    <t>-12.716667-14.183333_S. haematobium</t>
  </si>
  <si>
    <t>-12.716668-14.183334_S. haematobium</t>
  </si>
  <si>
    <t>-12.716669-14.183335_S. haematobium</t>
  </si>
  <si>
    <t>-12.71667-14.183336_S. haematobium</t>
  </si>
  <si>
    <t>-12.716671-14.183337_S. haematobium</t>
  </si>
  <si>
    <t>-12.716672-14.183338_S. haematobium</t>
  </si>
  <si>
    <t>-12.189831-12.537564_S. haematobium</t>
  </si>
  <si>
    <t>-16.440586-14.353828_S. haematobium</t>
  </si>
  <si>
    <t>-16.440587-14.353829_S. haematobium</t>
  </si>
  <si>
    <t>-16.440588-14.35383_S. haematobium</t>
  </si>
  <si>
    <t>-16.066764-14.499961_S. haematobium</t>
  </si>
  <si>
    <t>-15.95-14.266667_S. haematobium</t>
  </si>
  <si>
    <t>-15.96-14.266668_S. haematobium</t>
  </si>
  <si>
    <t>-15.97-14.266669_S. haematobium</t>
  </si>
  <si>
    <t>-15.98-14.26667_S. haematobium</t>
  </si>
  <si>
    <t>-16.075775-14.165208_S. haematobium</t>
  </si>
  <si>
    <t>-16.075776-14.165209_S. haematobium</t>
  </si>
  <si>
    <t>-16.075777-14.16521_S. haematobium</t>
  </si>
  <si>
    <t>-16.075778-14.165211_S. haematobium</t>
  </si>
  <si>
    <t>-16.075779-14.165212_S. haematobium</t>
  </si>
  <si>
    <t>-16.07578-14.165213_S. haematobium</t>
  </si>
  <si>
    <t>-16.075781-14.165214_S. haematobium</t>
  </si>
  <si>
    <t>-16.075782-14.165215_S. haematobium</t>
  </si>
  <si>
    <t>-16.075783-14.165216_S. haematobium</t>
  </si>
  <si>
    <t>-15.55-14.116667_S. haematobium</t>
  </si>
  <si>
    <t>-16.234564-12.805092_S. haematobium</t>
  </si>
  <si>
    <t>-17.366033-14.764503_S. haematobium</t>
  </si>
  <si>
    <t>-17.366034-14.764504_S. haematobium</t>
  </si>
  <si>
    <t>-16.234564-14.656125_S. haematobium</t>
  </si>
  <si>
    <t>-14.618075-16.649419_S. haematobium</t>
  </si>
  <si>
    <t>-15.876294-13.852158_S. haematobium</t>
  </si>
  <si>
    <t>-16.9-14.766667_S. haematobium</t>
  </si>
  <si>
    <t>-14.937511-12.891044_S. mansoni</t>
  </si>
  <si>
    <t>-16.7206-12.3556_S. haematobium</t>
  </si>
  <si>
    <t>-12.3248-12.3816_S. haematobium</t>
  </si>
  <si>
    <t>-12.2832-12.4092_S. haematobium</t>
  </si>
  <si>
    <t>-12.2832-12.4092_S. mansoni</t>
  </si>
  <si>
    <t>-12.2208-12.4178_S. mansoni</t>
  </si>
  <si>
    <t>-12.2208-12.4178_S. haematobium</t>
  </si>
  <si>
    <t>-12.0102-12.4225_S. haematobium</t>
  </si>
  <si>
    <t>-11.9345-12.4329_S. haematobium</t>
  </si>
  <si>
    <t>-12.065-12.4466_S. haematobium</t>
  </si>
  <si>
    <t>-16.4167-12.45_S. haematobium</t>
  </si>
  <si>
    <t>-16.517799-12.4528_S. haematobium</t>
  </si>
  <si>
    <t>-16.419399-12.4569_S. haematobium</t>
  </si>
  <si>
    <t>-12.6469-12.4574_S. haematobium</t>
  </si>
  <si>
    <t>-12.0596-12.4585_S. haematobium</t>
  </si>
  <si>
    <t>-12.0596-12.4585_S. mansoni</t>
  </si>
  <si>
    <t>-16.2381-12.4619_S. haematobium</t>
  </si>
  <si>
    <t>-16.382799-12.4706_S. haematobium</t>
  </si>
  <si>
    <t>-16.366699-12.4833_S. haematobium</t>
  </si>
  <si>
    <t>-16.366699-12.4833_S. mansoni</t>
  </si>
  <si>
    <t>-16.26-12.49_S. haematobium</t>
  </si>
  <si>
    <t>-16.3347-12.4981_S. haematobium</t>
  </si>
  <si>
    <t>-16.436399-12.5028_S. haematobium</t>
  </si>
  <si>
    <t>-16.0767-12.5042_S. haematobium</t>
  </si>
  <si>
    <t>-16.0327-12.5083_S. haematobium</t>
  </si>
  <si>
    <t>-16.27-12.51_S. haematobium</t>
  </si>
  <si>
    <t>-16.4489-12.5117_S. haematobium</t>
  </si>
  <si>
    <t>-12.3817-12.5132_S. mansoni</t>
  </si>
  <si>
    <t>-12.3817-12.5132_S. haematobium</t>
  </si>
  <si>
    <t>-12.3781-12.5158_S. haematobium</t>
  </si>
  <si>
    <t>-16.3853-12.5181_S. haematobium</t>
  </si>
  <si>
    <t>-16.4261-12.5194_S. haematobium</t>
  </si>
  <si>
    <t>-11.5781-12.5241_S. haematobium</t>
  </si>
  <si>
    <t>-16.465599-12.5269_S. haematobium</t>
  </si>
  <si>
    <t>-16.35-12.5333_S. haematobium</t>
  </si>
  <si>
    <t>-16.468-12.534_S. haematobium</t>
  </si>
  <si>
    <t>-16.251699-12.5372_S. haematobium</t>
  </si>
  <si>
    <t>-16.2094-12.5381_S. haematobium</t>
  </si>
  <si>
    <t>-12.3797-12.5383_S. mansoni</t>
  </si>
  <si>
    <t>-12.3797-12.5383_S. haematobium</t>
  </si>
  <si>
    <t>-12.3106-12.5387_S. haematobium</t>
  </si>
  <si>
    <t>-12.3077-12.5406_S. haematobium</t>
  </si>
  <si>
    <t>-12.3077-12.5406_S. mansoni</t>
  </si>
  <si>
    <t>-16.278099-12.545_S. haematobium</t>
  </si>
  <si>
    <t>-16.6278-12.5489_S. haematobium</t>
  </si>
  <si>
    <t>-16.633301-12.55_S. haematobium</t>
  </si>
  <si>
    <t>-12.1761-12.5517_S. mansoni</t>
  </si>
  <si>
    <t>-16.2486-12.5536_S. haematobium</t>
  </si>
  <si>
    <t>-12.1733-12.5546_S. haematobium</t>
  </si>
  <si>
    <t>-16.325001-12.5553_S. haematobium</t>
  </si>
  <si>
    <t>-12.1733-12.556_S. haematobium</t>
  </si>
  <si>
    <t>-16.2339-12.5567_S. haematobium</t>
  </si>
  <si>
    <t>-12.1743-12.5579_S. haematobium</t>
  </si>
  <si>
    <t>-12.1743-12.5579_S. mansoni</t>
  </si>
  <si>
    <t>-12.4011-12.5581_S. mansoni</t>
  </si>
  <si>
    <t>-12.4011-12.5581_S. haematobium</t>
  </si>
  <si>
    <t>-16.1833-12.5583_S. haematobium</t>
  </si>
  <si>
    <t>-12.4621-12.5584_S. mansoni</t>
  </si>
  <si>
    <t>-12.4621-12.5584_S. haematobium</t>
  </si>
  <si>
    <t>-12.4764-12.56_S. mansoni</t>
  </si>
  <si>
    <t>-12.4764-12.56_S. haematobium</t>
  </si>
  <si>
    <t>-16.296101-12.5611_S. haematobium</t>
  </si>
  <si>
    <t>-16.570801-12.5619_S. haematobium</t>
  </si>
  <si>
    <t>-12.4616-12.5633_S. mansoni</t>
  </si>
  <si>
    <t>-12.4616-12.5633_S. haematobium</t>
  </si>
  <si>
    <t>-16.2253-12.5658_S. haematobium</t>
  </si>
  <si>
    <t>-16.5833-12.5667_S. haematobium</t>
  </si>
  <si>
    <t>-16.5833-12.5667_S. mansoni</t>
  </si>
  <si>
    <t>-16.568001-12.568_S. haematobium</t>
  </si>
  <si>
    <t>-16.173599-12.5692_S. haematobium</t>
  </si>
  <si>
    <t>-12.78-12.57_S. haematobium</t>
  </si>
  <si>
    <t>-16.121901-12.5719_S. haematobium</t>
  </si>
  <si>
    <t>-16.291401-12.5761_S. haematobium</t>
  </si>
  <si>
    <t>-16.1364-12.5797_S. haematobium</t>
  </si>
  <si>
    <t>-16.483101-12.5808_S. haematobium</t>
  </si>
  <si>
    <t>-15.9742-12.5808_S. haematobium</t>
  </si>
  <si>
    <t>-12.66-12.5811_S. haematobium</t>
  </si>
  <si>
    <t>-12.85-12.59_S. haematobium</t>
  </si>
  <si>
    <t>-12.8567-12.5924_S. mansoni</t>
  </si>
  <si>
    <t>-16.035299-12.5986_S. haematobium</t>
  </si>
  <si>
    <t>-16.0772-12.6022_S. haematobium</t>
  </si>
  <si>
    <t>-16.055799-12.6064_S. haematobium</t>
  </si>
  <si>
    <t>-12.1279-12.6085_S. haematobium</t>
  </si>
  <si>
    <t>-12.1279-12.6085_S. mansoni</t>
  </si>
  <si>
    <t>-16.01-12.61_S. haematobium</t>
  </si>
  <si>
    <t>-15.9833-12.6167_S. haematobium</t>
  </si>
  <si>
    <t>-12.8797-12.6185_S. mansoni</t>
  </si>
  <si>
    <t>-12.8797-12.6185_S. haematobium</t>
  </si>
  <si>
    <t>-16.018999-12.63_S. haematobium</t>
  </si>
  <si>
    <t>-16.018999-12.63_S. mansoni</t>
  </si>
  <si>
    <t>-16.016899-12.63_S. haematobium</t>
  </si>
  <si>
    <t>-12.8188-12.6304_S. mansoni</t>
  </si>
  <si>
    <t>-12.4156-12.6349_S. mansoni</t>
  </si>
  <si>
    <t>-12.4156-12.6349_S. haematobium</t>
  </si>
  <si>
    <t>-16.09-12.6664_S. haematobium</t>
  </si>
  <si>
    <t>-16.052-12.702_S. haematobium</t>
  </si>
  <si>
    <t>-16.052-12.702_S. mansoni</t>
  </si>
  <si>
    <t>-16.049999-12.719_S. haematobium</t>
  </si>
  <si>
    <t>-16.049999-12.719_S. mansoni</t>
  </si>
  <si>
    <t>-14.16-12.745_S. haematobium</t>
  </si>
  <si>
    <t>-11.7351-12.7468_S. haematobium</t>
  </si>
  <si>
    <t>-11.7351-12.7468_S. mansoni</t>
  </si>
  <si>
    <t>-11.7352-12.7468_S. haematobium</t>
  </si>
  <si>
    <t>-13.9666-12.75_S. haematobium</t>
  </si>
  <si>
    <t>-13.9666-12.75_S. mansoni</t>
  </si>
  <si>
    <t>-15.1075-12.7658_S. haematobium</t>
  </si>
  <si>
    <t>-15.1075-12.7658_S. mansoni</t>
  </si>
  <si>
    <t>-16.302999-12.768_S. haematobium</t>
  </si>
  <si>
    <t>-16.302999-12.768_S. mansoni</t>
  </si>
  <si>
    <t>-14.66-12.78_S. haematobium</t>
  </si>
  <si>
    <t>-16.5217-12.7856_S. haematobium</t>
  </si>
  <si>
    <t>-16.234501-12.8052_S. haematobium</t>
  </si>
  <si>
    <t>-11.7538-12.8317_S. haematobium</t>
  </si>
  <si>
    <t>-11.7538-12.8317_S. mansoni</t>
  </si>
  <si>
    <t>-14.61-12.85_S. haematobium</t>
  </si>
  <si>
    <t>-14.61-12.85_S. mansoni</t>
  </si>
  <si>
    <t>-14.0666-12.85_S. haematobium</t>
  </si>
  <si>
    <t>-14.0666-12.85_S. mansoni</t>
  </si>
  <si>
    <t>-12.3506-12.8555_S. haematobium</t>
  </si>
  <si>
    <t>-12.3506-12.8555_S. mansoni</t>
  </si>
  <si>
    <t>-16.4694-12.8625_S. haematobium</t>
  </si>
  <si>
    <t>-14.6166-12.8667_S. haematobium</t>
  </si>
  <si>
    <t>-14.6166-12.8667_S. mansoni</t>
  </si>
  <si>
    <t>-16.514999-12.87_S. haematobium</t>
  </si>
  <si>
    <t>-16.514999-12.87_S. mansoni</t>
  </si>
  <si>
    <t>-13.58-12.87_S. haematobium</t>
  </si>
  <si>
    <t>-15.9844-12.8775_S. haematobium</t>
  </si>
  <si>
    <t>-14.9166-12.8833_S. haematobium</t>
  </si>
  <si>
    <t>-14.9166-12.8833_S. mansoni</t>
  </si>
  <si>
    <t>-14.4833-12.8833_S. haematobium</t>
  </si>
  <si>
    <t>-14.4833-12.8833_S. mansoni</t>
  </si>
  <si>
    <t>-13.96-12.89_S. haematobium</t>
  </si>
  <si>
    <t>-14.945-12.901_S. haematobium</t>
  </si>
  <si>
    <t>-14.945-12.901_S. mansoni</t>
  </si>
  <si>
    <t>-13.9657-12.9123_S. haematobium</t>
  </si>
  <si>
    <t>-11.7205-12.9183_S. haematobium</t>
  </si>
  <si>
    <t>-16.003-12.919_S. haematobium</t>
  </si>
  <si>
    <t>-16.003-12.919_S. mansoni</t>
  </si>
  <si>
    <t>-13.6392-12.9246_S. haematobium</t>
  </si>
  <si>
    <t>-13.75-12.95_S. haematobium</t>
  </si>
  <si>
    <t>-16.459999-12.97_S. haematobium</t>
  </si>
  <si>
    <t>-11.9676-13.0279_S. haematobium</t>
  </si>
  <si>
    <t>-13.9333-13.0333_S. haematobium</t>
  </si>
  <si>
    <t>-13.9333-13.0333_S. mansoni</t>
  </si>
  <si>
    <t>-14.0556-13.0778_S. haematobium</t>
  </si>
  <si>
    <t>-14.2333-13.0833_S. haematobium</t>
  </si>
  <si>
    <t>-11.7018-13.0872_S. haematobium</t>
  </si>
  <si>
    <t>-11.7018-13.0872_S. mansoni</t>
  </si>
  <si>
    <t>-15.3723-13.0976_S. mansoni</t>
  </si>
  <si>
    <t>-11.97-13.133_S. haematobium</t>
  </si>
  <si>
    <t>-11.97-13.133_S. mansoni</t>
  </si>
  <si>
    <t>-14.1194-13.1417_S. haematobium</t>
  </si>
  <si>
    <t>-14.1097-13.1478_S. haematobium</t>
  </si>
  <si>
    <t>-14.1-13.1556_S. haematobium</t>
  </si>
  <si>
    <t>-14.1097-13.1569_S. haematobium</t>
  </si>
  <si>
    <t>-12.1127-13.1612_S. haematobium</t>
  </si>
  <si>
    <t>-13.9671-13.1864_S. haematobium</t>
  </si>
  <si>
    <t>-14.0833-13.2167_S. haematobium</t>
  </si>
  <si>
    <t>-14.07-13.23_S. haematobium</t>
  </si>
  <si>
    <t>-13.9167-13.25_S. haematobium</t>
  </si>
  <si>
    <t>-13.9-13.27_S. haematobium</t>
  </si>
  <si>
    <t>-13.9-13.27_S. mansoni</t>
  </si>
  <si>
    <t>-14.07-13.28_S. haematobium</t>
  </si>
  <si>
    <t>-14.583-13.301_S. haematobium</t>
  </si>
  <si>
    <t>-13.3-13.3167_S. haematobium</t>
  </si>
  <si>
    <t>-13.3-13.3167_S. mansoni</t>
  </si>
  <si>
    <t>-11.7776-13.3316_S. haematobium</t>
  </si>
  <si>
    <t>-14.6-13.3333_S. haematobium</t>
  </si>
  <si>
    <t>-14.6-13.3333_S. mansoni</t>
  </si>
  <si>
    <t>-14.6166-13.3333_S. haematobium</t>
  </si>
  <si>
    <t>-14.6166-13.3333_S. mansoni</t>
  </si>
  <si>
    <t>-14.6-13.3344_S. haematobium</t>
  </si>
  <si>
    <t>-13.3-13.34_S. haematobium</t>
  </si>
  <si>
    <t>-13.3333-13.35_S. haematobium</t>
  </si>
  <si>
    <t>-11.6442-13.3914_S. haematobium</t>
  </si>
  <si>
    <t>-14.9666-13.4_S. haematobium</t>
  </si>
  <si>
    <t>-14.9666-13.4_S. mansoni</t>
  </si>
  <si>
    <t>-14.95-13.4333_S. haematobium</t>
  </si>
  <si>
    <t>-14.95-13.4333_S. mansoni</t>
  </si>
  <si>
    <t>-14.9833-13.4333_S. haematobium</t>
  </si>
  <si>
    <t>-14.9833-13.4333_S. mansoni</t>
  </si>
  <si>
    <t>-13.7167-13.5_S. haematobium</t>
  </si>
  <si>
    <t>-13.7166-13.5_S. haematobium</t>
  </si>
  <si>
    <t>-13.7166-13.5_S. mansoni</t>
  </si>
  <si>
    <t>-13.868-13.535_S. haematobium</t>
  </si>
  <si>
    <t>-16.426901-13.6078_S. haematobium</t>
  </si>
  <si>
    <t>-15.62-13.61_S. haematobium</t>
  </si>
  <si>
    <t>-14.29-13.66_S. haematobium</t>
  </si>
  <si>
    <t>-14.2833-13.6667_S. haematobium</t>
  </si>
  <si>
    <t>-14.2833-13.6667_S. mansoni</t>
  </si>
  <si>
    <t>-14.25-13.6667_S. haematobium</t>
  </si>
  <si>
    <t>-15.7833-13.6667_S. haematobium</t>
  </si>
  <si>
    <t>-15.68-13.68_S. haematobium</t>
  </si>
  <si>
    <t>-13.1667-13.6833_S. haematobium</t>
  </si>
  <si>
    <t>-16.500299-13.6833_S. haematobium</t>
  </si>
  <si>
    <t>-15.8-13.6833_S. haematobium</t>
  </si>
  <si>
    <t>-13.585-13.7223_S. haematobium</t>
  </si>
  <si>
    <t>-13.96-13.73_S. haematobium</t>
  </si>
  <si>
    <t>-13.96-13.73_S. mansoni</t>
  </si>
  <si>
    <t>-14.09-13.74_S. haematobium</t>
  </si>
  <si>
    <t>-14.09-13.74_S. mansoni</t>
  </si>
  <si>
    <t>-16.4793-13.7412_S. haematobium</t>
  </si>
  <si>
    <t>-15.6849-13.7419_S. haematobium</t>
  </si>
  <si>
    <t>-14.1-13.75_S. haematobium</t>
  </si>
  <si>
    <t>-14.7333-13.75_S. haematobium</t>
  </si>
  <si>
    <t>-15.83-13.75_S. haematobium</t>
  </si>
  <si>
    <t>-14.6167-13.7667_S. haematobium</t>
  </si>
  <si>
    <t>-16-13.7667_S. haematobium</t>
  </si>
  <si>
    <t>-15.8-13.7667_S. haematobium</t>
  </si>
  <si>
    <t>-13.6672-13.7692_S. haematobium</t>
  </si>
  <si>
    <t>-16.383301-13.7833_S. haematobium</t>
  </si>
  <si>
    <t>-13.5819-13.8047_S. haematobium</t>
  </si>
  <si>
    <t>-14.44-13.81_S. haematobium</t>
  </si>
  <si>
    <t>-16.452101-13.8146_S. haematobium</t>
  </si>
  <si>
    <t>-13.9167-13.8167_S. haematobium</t>
  </si>
  <si>
    <t>-13.9167-13.8167_S. mansoni</t>
  </si>
  <si>
    <t>-13.5833-13.8167_S. haematobium</t>
  </si>
  <si>
    <t>-13.5833-13.8167_S. mansoni</t>
  </si>
  <si>
    <t>-13.9166-13.8167_S. haematobium</t>
  </si>
  <si>
    <t>-13.9166-13.8167_S. mansoni</t>
  </si>
  <si>
    <t>-13.2833-13.8167_S. haematobium</t>
  </si>
  <si>
    <t>-16.42-13.82_S. haematobium</t>
  </si>
  <si>
    <t>-15.4333-13.8333_S. haematobium</t>
  </si>
  <si>
    <t>-15.4333-13.8333_S. mansoni</t>
  </si>
  <si>
    <t>-14.5833-13.8667_S. haematobium</t>
  </si>
  <si>
    <t>-15.88-13.87_S. haematobium</t>
  </si>
  <si>
    <t>-13.6333-13.8833_S. haematobium</t>
  </si>
  <si>
    <t>-13.4-13.9167_S. haematobium</t>
  </si>
  <si>
    <t>-15.9333-13.9167_S. haematobium</t>
  </si>
  <si>
    <t>-15.9333-13.9167_S. mansoni</t>
  </si>
  <si>
    <t>-16.3333-13.9333_S. haematobium</t>
  </si>
  <si>
    <t>-16.3333-13.9333_S. mansoni</t>
  </si>
  <si>
    <t>-14.2952-13.9402_S. haematobium</t>
  </si>
  <si>
    <t>-16.35-13.96_S. haematobium</t>
  </si>
  <si>
    <t>-13.1333-13.9667_S. haematobium</t>
  </si>
  <si>
    <t>-15.15-14_S. haematobium</t>
  </si>
  <si>
    <t>-14.75-14.0167_S. haematobium</t>
  </si>
  <si>
    <t>-14.75-14.0167_S. mansoni</t>
  </si>
  <si>
    <t>-15.81-14.02_S. haematobium</t>
  </si>
  <si>
    <t>-15.1914-14.0208_S. haematobium</t>
  </si>
  <si>
    <t>-13.1667-14.0333_S. haematobium</t>
  </si>
  <si>
    <t>-16.049999-14.05_S. haematobium</t>
  </si>
  <si>
    <t>-15.2333-14.05_S. haematobium</t>
  </si>
  <si>
    <t>-16.6425-14.0532_S. haematobium</t>
  </si>
  <si>
    <t>-16.040001-14.06_S. haematobium</t>
  </si>
  <si>
    <t>-15.25-14.0667_S. haematobium</t>
  </si>
  <si>
    <t>-15.9333-14.0667_S. haematobium</t>
  </si>
  <si>
    <t>-13.1333-14.0667_S. haematobium</t>
  </si>
  <si>
    <t>-15.5167-14.0667_S. haematobium</t>
  </si>
  <si>
    <t>-16.48-14.08_S. haematobium</t>
  </si>
  <si>
    <t>-15.3-14.0833_S. haematobium</t>
  </si>
  <si>
    <t>-16.0667-14.0833_S. haematobium</t>
  </si>
  <si>
    <t>-16.2167-14.0833_S. haematobium</t>
  </si>
  <si>
    <t>-16.1667-14.0833_S. haematobium</t>
  </si>
  <si>
    <t>-15.65-14.0833_S. haematobium</t>
  </si>
  <si>
    <t>-16.18-14.09_S. haematobium</t>
  </si>
  <si>
    <t>-15.38-14.09_S. haematobium</t>
  </si>
  <si>
    <t>-12.0595-14.0983_S. haematobium</t>
  </si>
  <si>
    <t>-15.2333-14.1_S. haematobium</t>
  </si>
  <si>
    <t>-15.2333-14.1_S. mansoni</t>
  </si>
  <si>
    <t>-12.3666-14.1044_S. haematobium</t>
  </si>
  <si>
    <t>-15.5506-14.1049_S. haematobium</t>
  </si>
  <si>
    <t>-15.5407-14.1104_S. haematobium</t>
  </si>
  <si>
    <t>-16.35-14.1167_S. haematobium</t>
  </si>
  <si>
    <t>-16.2833-14.1167_S. haematobium</t>
  </si>
  <si>
    <t>-16.091101-14.1286_S. haematobium</t>
  </si>
  <si>
    <t>-15.65-14.13_S. haematobium</t>
  </si>
  <si>
    <t>-12.4451-14.1314_S. haematobium</t>
  </si>
  <si>
    <t>-16.666599-14.1333_S. haematobium</t>
  </si>
  <si>
    <t>-16.666599-14.1333_S. mansoni</t>
  </si>
  <si>
    <t>-16.6667-14.1333_S. haematobium</t>
  </si>
  <si>
    <t>-16.6667-14.1333_S. mansoni</t>
  </si>
  <si>
    <t>-16.064699-14.1342_S. haematobium</t>
  </si>
  <si>
    <t>-15.8292-14.1384_S. haematobium</t>
  </si>
  <si>
    <t>-16.073601-14.1397_S. haematobium</t>
  </si>
  <si>
    <t>-16.092501-14.1428_S. haematobium</t>
  </si>
  <si>
    <t>-16.2269-14.1439_S. haematobium</t>
  </si>
  <si>
    <t>-16.0686-14.1489_S. haematobium</t>
  </si>
  <si>
    <t>-15.2833-14.15_S. haematobium</t>
  </si>
  <si>
    <t>-12.72-14.15_S. haematobium</t>
  </si>
  <si>
    <t>-16.0881-14.1536_S. haematobium</t>
  </si>
  <si>
    <t>-16.063299-14.1569_S. haematobium</t>
  </si>
  <si>
    <t>-16.096901-14.1583_S. haematobium</t>
  </si>
  <si>
    <t>-16.107201-14.1594_S. haematobium</t>
  </si>
  <si>
    <t>-15.6557-14.1606_S. haematobium</t>
  </si>
  <si>
    <t>-16.080299-14.1639_S. haematobium</t>
  </si>
  <si>
    <t>-16.0578-14.1667_S. haematobium</t>
  </si>
  <si>
    <t>-16.049999-14.1667_S. haematobium</t>
  </si>
  <si>
    <t>-16.133301-14.1667_S. haematobium</t>
  </si>
  <si>
    <t>-16.1623-14.169_S. haematobium</t>
  </si>
  <si>
    <t>-16.071699-14.17_S. haematobium</t>
  </si>
  <si>
    <t>-15.86-14.17_S. haematobium</t>
  </si>
  <si>
    <t>-15.76-14.18_S. haematobium</t>
  </si>
  <si>
    <t>-15.76-14.18_S. mansoni</t>
  </si>
  <si>
    <t>-15.7694-14.1825_S. haematobium</t>
  </si>
  <si>
    <t>-15.3-14.1833_S. haematobium</t>
  </si>
  <si>
    <t>-16.0833-14.1833_S. haematobium</t>
  </si>
  <si>
    <t>-16.6667-14.1833_S. haematobium</t>
  </si>
  <si>
    <t>-16.1611-14.1847_S. haematobium</t>
  </si>
  <si>
    <t>-16.1667-14.2_S. haematobium</t>
  </si>
  <si>
    <t>-16.02-14.2_S. haematobium</t>
  </si>
  <si>
    <t>-16.700001-14.21_S. haematobium</t>
  </si>
  <si>
    <t>-16.299999-14.2167_S. haematobium</t>
  </si>
  <si>
    <t>-12.3811-14.2228_S. haematobium</t>
  </si>
  <si>
    <t>-16.719999-14.23_S. haematobium</t>
  </si>
  <si>
    <t>-16.516701-14.2333_S. haematobium</t>
  </si>
  <si>
    <t>-16.273199-14.2395_S. haematobium</t>
  </si>
  <si>
    <t>-12.8012-14.2519_S. haematobium</t>
  </si>
  <si>
    <t>-12.8012-14.2519_S. mansoni</t>
  </si>
  <si>
    <t>-15.986-14.271_S. haematobium</t>
  </si>
  <si>
    <t>-15.986-14.271_S. mansoni</t>
  </si>
  <si>
    <t>-12.8094-14.2774_S. haematobium</t>
  </si>
  <si>
    <t>-12.8094-14.2774_S. mansoni</t>
  </si>
  <si>
    <t>-15.535-14.2777_S. haematobium</t>
  </si>
  <si>
    <t>-15.535-14.2777_S. mansoni</t>
  </si>
  <si>
    <t>-16.040001-14.28_S. haematobium</t>
  </si>
  <si>
    <t>-16.700001-14.28_S. haematobium</t>
  </si>
  <si>
    <t>-13.0667-14.2833_S. haematobium</t>
  </si>
  <si>
    <t>-16.483299-14.2833_S. haematobium</t>
  </si>
  <si>
    <t>-16.483299-14.2833_S. mansoni</t>
  </si>
  <si>
    <t>-16.75-14.2833_S. haematobium</t>
  </si>
  <si>
    <t>-16.75-14.2833_S. mansoni</t>
  </si>
  <si>
    <t>-16.6665-14.2898_S. haematobium</t>
  </si>
  <si>
    <t>-15.5333-14.3_S. haematobium</t>
  </si>
  <si>
    <t>-16.116699-14.3_S. haematobium</t>
  </si>
  <si>
    <t>-12.43-14.31_S. haematobium</t>
  </si>
  <si>
    <t>-16.609699-14.3138_S. haematobium</t>
  </si>
  <si>
    <t>-15.78-14.33_S. haematobium</t>
  </si>
  <si>
    <t>-15.9833-14.3333_S. haematobium</t>
  </si>
  <si>
    <t>-15.9833-14.3333_S. mansoni</t>
  </si>
  <si>
    <t>-16.410999-14.3392_S. haematobium</t>
  </si>
  <si>
    <t>-16.410999-14.3392_S. mansoni</t>
  </si>
  <si>
    <t>-16.290001-14.34_S. haematobium</t>
  </si>
  <si>
    <t>-16.07-14.34_S. haematobium</t>
  </si>
  <si>
    <t>-16.634701-14.3424_S. haematobium</t>
  </si>
  <si>
    <t>-16.0935-14.348_S. haematobium</t>
  </si>
  <si>
    <t>-12.39-14.35_S. haematobium</t>
  </si>
  <si>
    <t>-16.5333-14.35_S. haematobium</t>
  </si>
  <si>
    <t>-16.483299-14.35_S. haematobium</t>
  </si>
  <si>
    <t>-15.81-14.35_S. haematobium</t>
  </si>
  <si>
    <t>-12.2482-14.3582_S. haematobium</t>
  </si>
  <si>
    <t>-16.6798-14.3652_S. haematobium</t>
  </si>
  <si>
    <t>-16.450001-14.3667_S. haematobium</t>
  </si>
  <si>
    <t>-12.252-14.367_S. haematobium</t>
  </si>
  <si>
    <t>-16.620199-14.3698_S. haematobium</t>
  </si>
  <si>
    <t>-16.049999-14.3833_S. haematobium</t>
  </si>
  <si>
    <t>-12.371-14.3882_S. haematobium</t>
  </si>
  <si>
    <t>-12.371-14.3882_S. mansoni</t>
  </si>
  <si>
    <t>-16.4167-14.4_S. haematobium</t>
  </si>
  <si>
    <t>-16.1-14.4_S. haematobium</t>
  </si>
  <si>
    <t>-16.059999-14.4_S. haematobium</t>
  </si>
  <si>
    <t>-12.3009-14.4143_S. haematobium</t>
  </si>
  <si>
    <t>-12.3009-14.4143_S. mansoni</t>
  </si>
  <si>
    <t>-16.2167-14.4167_S. haematobium</t>
  </si>
  <si>
    <t>-16.606899-14.4239_S. haematobium</t>
  </si>
  <si>
    <t>-16.606899-14.4239_S. mansoni</t>
  </si>
  <si>
    <t>-15.65-14.4333_S. haematobium</t>
  </si>
  <si>
    <t>-15.65-14.4333_S. mansoni</t>
  </si>
  <si>
    <t>-16.049999-14.4333_S. haematobium</t>
  </si>
  <si>
    <t>-16.049999-14.4333_S. mansoni</t>
  </si>
  <si>
    <t>-12.21-14.45_S. haematobium</t>
  </si>
  <si>
    <t>-12.2166-14.4567_S. haematobium</t>
  </si>
  <si>
    <t>-12.2166-14.4567_S. mansoni</t>
  </si>
  <si>
    <t>-15.85-14.4667_S. haematobium</t>
  </si>
  <si>
    <t>-15.92-14.47_S. haematobium</t>
  </si>
  <si>
    <t>-16.129999-14.47_S. haematobium</t>
  </si>
  <si>
    <t>-12.2052-14.4727_S. haematobium</t>
  </si>
  <si>
    <t>-16.4032-14.4759_S. haematobium</t>
  </si>
  <si>
    <t>-15.5-14.4833_S. haematobium</t>
  </si>
  <si>
    <t>-15.5-14.4833_S. mansoni</t>
  </si>
  <si>
    <t>-16.516701-14.5_S. haematobium</t>
  </si>
  <si>
    <t>-15.92-14.51_S. haematobium</t>
  </si>
  <si>
    <t>-16.483299-14.5333_S. haematobium</t>
  </si>
  <si>
    <t>-15.7666-14.5333_S. haematobium</t>
  </si>
  <si>
    <t>-15.7666-14.5333_S. mansoni</t>
  </si>
  <si>
    <t>-16.41-14.54_S. haematobium</t>
  </si>
  <si>
    <t>-16.4125-14.5492_S. haematobium</t>
  </si>
  <si>
    <t>-16.733299-14.55_S. haematobium</t>
  </si>
  <si>
    <t>-16.7955-14.5551_S. haematobium</t>
  </si>
  <si>
    <t>-16.166599-14.5667_S. haematobium</t>
  </si>
  <si>
    <t>-16.166599-14.5667_S. mansoni</t>
  </si>
  <si>
    <t>-16.253-14.568_S. haematobium</t>
  </si>
  <si>
    <t>-16.253-14.568_S. mansoni</t>
  </si>
  <si>
    <t>-15.4-14.6_S. haematobium</t>
  </si>
  <si>
    <t>-15.4-14.6_S. mansoni</t>
  </si>
  <si>
    <t>-16.516701-14.6_S. haematobium</t>
  </si>
  <si>
    <t>-12.8321-14.6008_S. haematobium</t>
  </si>
  <si>
    <t>-12.8321-14.6008_S. mansoni</t>
  </si>
  <si>
    <t>-16.299999-14.6167_S. haematobium</t>
  </si>
  <si>
    <t>-16.299999-14.6167_S. mansoni</t>
  </si>
  <si>
    <t>-16.459999-14.62_S. haematobium</t>
  </si>
  <si>
    <t>-17.028601-14.625_S. haematobium</t>
  </si>
  <si>
    <t>-17.105801-14.6275_S. haematobium</t>
  </si>
  <si>
    <t>-17.105801-14.6275_S. mansoni</t>
  </si>
  <si>
    <t>-16.450001-14.6333_S. haematobium</t>
  </si>
  <si>
    <t>-16.450001-14.6333_S. mansoni</t>
  </si>
  <si>
    <t>-16.440599-14.6346_S. haematobium</t>
  </si>
  <si>
    <t>-17.127199-14.6361_S. haematobium</t>
  </si>
  <si>
    <t>-17.127199-14.6361_S. mansoni</t>
  </si>
  <si>
    <t>-17.087799-14.6392_S. haematobium</t>
  </si>
  <si>
    <t>-17.087799-14.6392_S. mansoni</t>
  </si>
  <si>
    <t>-12.2098-14.6443_S. haematobium</t>
  </si>
  <si>
    <t>-15.7074-14.6455_S. haematobium</t>
  </si>
  <si>
    <t>-15.7166-14.65_S. haematobium</t>
  </si>
  <si>
    <t>-15.7166-14.65_S. mansoni</t>
  </si>
  <si>
    <t>-16.33-14.65_S. haematobium</t>
  </si>
  <si>
    <t>-17.113899-14.6519_S. haematobium</t>
  </si>
  <si>
    <t>-17.113899-14.6519_S. mansoni</t>
  </si>
  <si>
    <t>-16.2306-14.6538_S. haematobium</t>
  </si>
  <si>
    <t>-13.9833-14.6667_S. haematobium</t>
  </si>
  <si>
    <t>-13.9833-14.6667_S. mansoni</t>
  </si>
  <si>
    <t>-16.4-14.6667_S. haematobium</t>
  </si>
  <si>
    <t>-16.332899-14.6675_S. haematobium</t>
  </si>
  <si>
    <t>-17.041401-14.6692_S. haematobium</t>
  </si>
  <si>
    <t>-16.299999-14.67_S. haematobium</t>
  </si>
  <si>
    <t>-16.7855-14.6709_S. haematobium</t>
  </si>
  <si>
    <t>-17.440001-14.674_S. haematobium</t>
  </si>
  <si>
    <t>-16.801001-14.685_S. haematobium</t>
  </si>
  <si>
    <t>-16.389999-14.69_S. haematobium</t>
  </si>
  <si>
    <t>-16.3577-14.6953_S. haematobium</t>
  </si>
  <si>
    <t>-16.3577-14.6953_S. mansoni</t>
  </si>
  <si>
    <t>-12.8277-14.6969_S. haematobium</t>
  </si>
  <si>
    <t>-12.8277-14.6969_S. mansoni</t>
  </si>
  <si>
    <t>-16.360701-14.6979_S. haematobium</t>
  </si>
  <si>
    <t>-13.5667-14.7_S. haematobium</t>
  </si>
  <si>
    <t>-13.5667-14.7_S. mansoni</t>
  </si>
  <si>
    <t>-16.35-14.701_S. haematobium</t>
  </si>
  <si>
    <t>-16.35-14.701_S. mansoni</t>
  </si>
  <si>
    <t>-16.733299-14.7167_S. haematobium</t>
  </si>
  <si>
    <t>-16.733299-14.7167_S. mansoni</t>
  </si>
  <si>
    <t>-12.4106-14.7171_S. haematobium</t>
  </si>
  <si>
    <t>-12.4106-14.7171_S. mansoni</t>
  </si>
  <si>
    <t>-15.95-14.719_S. haematobium</t>
  </si>
  <si>
    <t>-15.95-14.719_S. mansoni</t>
  </si>
  <si>
    <t>-12.5183-14.7318_S. haematobium</t>
  </si>
  <si>
    <t>-16.35-14.7333_S. haematobium</t>
  </si>
  <si>
    <t>-16.1166-14.7333_S. haematobium</t>
  </si>
  <si>
    <t>-16.1166-14.7333_S. mansoni</t>
  </si>
  <si>
    <t>-16.35-14.7333_S. mansoni</t>
  </si>
  <si>
    <t>-12.238-14.738_S. haematobium</t>
  </si>
  <si>
    <t>-16.379999-14.74_S. haematobium</t>
  </si>
  <si>
    <t>-12.2528-14.7635_S. haematobium</t>
  </si>
  <si>
    <t>-12.2528-14.7635_S. mansoni</t>
  </si>
  <si>
    <t>-17.3654-14.7643_S. haematobium</t>
  </si>
  <si>
    <t>-16-14.7667_S. haematobium</t>
  </si>
  <si>
    <t>-17.0602-14.7739_S. haematobium</t>
  </si>
  <si>
    <t>-17.0602-14.7739_S. mansoni</t>
  </si>
  <si>
    <t>-12.2941-14.7762_S. haematobium</t>
  </si>
  <si>
    <t>-16.687599-14.7783_S. haematobium</t>
  </si>
  <si>
    <t>-16.616699-14.7833_S. haematobium</t>
  </si>
  <si>
    <t>-16.616699-14.7833_S. mansoni</t>
  </si>
  <si>
    <t>-15.9833-14.7833_S. haematobium</t>
  </si>
  <si>
    <t>-15.65-14.7833_S. haematobium</t>
  </si>
  <si>
    <t>-16.818001-14.784_S. haematobium</t>
  </si>
  <si>
    <t>-16.818001-14.784_S. mansoni</t>
  </si>
  <si>
    <t>-16.868-14.785_S. haematobium</t>
  </si>
  <si>
    <t>-16.868-14.785_S. mansoni</t>
  </si>
  <si>
    <t>-17.310499-14.7853_S. haematobium</t>
  </si>
  <si>
    <t>-17.310499-14.7853_S. mansoni</t>
  </si>
  <si>
    <t>-16.8666-14.8_S. haematobium</t>
  </si>
  <si>
    <t>-16.8666-14.8_S. mansoni</t>
  </si>
  <si>
    <t>-15.55-14.8_S. haematobium</t>
  </si>
  <si>
    <t>-17.1866-14.8019_S. haematobium</t>
  </si>
  <si>
    <t>-17.1866-14.8019_S. mansoni</t>
  </si>
  <si>
    <t>-16.868-14.802_S. haematobium</t>
  </si>
  <si>
    <t>-15.9076-14.8076_S. haematobium</t>
  </si>
  <si>
    <t>-14.4-14.8167_S. haematobium</t>
  </si>
  <si>
    <t>-14.4-14.8167_S. mansoni</t>
  </si>
  <si>
    <t>-16.6667-14.8167_S. haematobium</t>
  </si>
  <si>
    <t>-15.8833-14.8333_S. haematobium</t>
  </si>
  <si>
    <t>-15.8833-14.8333_S. mansoni</t>
  </si>
  <si>
    <t>-12.3992-14.8415_S. haematobium</t>
  </si>
  <si>
    <t>-16.2166-14.8833_S. haematobium</t>
  </si>
  <si>
    <t>-16.2166-14.8833_S. mansoni</t>
  </si>
  <si>
    <t>-16.667-14.9_S. haematobium</t>
  </si>
  <si>
    <t>-16.667-14.9_S. mansoni</t>
  </si>
  <si>
    <t>-12.4574-14.9007_S. haematobium</t>
  </si>
  <si>
    <t>-12.458-14.903_S. haematobium</t>
  </si>
  <si>
    <t>-12.5181-14.9073_S. haematobium</t>
  </si>
  <si>
    <t>-12.5181-14.9073_S. mansoni</t>
  </si>
  <si>
    <t>-16.766701-14.9333_S. haematobium</t>
  </si>
  <si>
    <t>-16.766701-14.9333_S. mansoni</t>
  </si>
  <si>
    <t>-16.983299-14.9333_S. haematobium</t>
  </si>
  <si>
    <t>-16.983299-14.9333_S. mansoni</t>
  </si>
  <si>
    <t>-15.0667-14.9333_S. haematobium</t>
  </si>
  <si>
    <t>-16.8193-14.9565_S. haematobium</t>
  </si>
  <si>
    <t>-16.8193-14.9565_S. mansoni</t>
  </si>
  <si>
    <t>-16.84-14.96_S. haematobium</t>
  </si>
  <si>
    <t>-16.84-14.96_S. mansoni</t>
  </si>
  <si>
    <t>-12.4664-14.9767_S. haematobium</t>
  </si>
  <si>
    <t>-17.009701-14.9933_S. haematobium</t>
  </si>
  <si>
    <t>-17.009701-14.9933_S. mansoni</t>
  </si>
  <si>
    <t>-14.6667-15_S. haematobium</t>
  </si>
  <si>
    <t>-14.6667-15_S. mansoni</t>
  </si>
  <si>
    <t>-16.9547-15.0105_S. haematobium</t>
  </si>
  <si>
    <t>-16.9856-15.0129_S. haematobium</t>
  </si>
  <si>
    <t>-16.9856-15.0129_S. mansoni</t>
  </si>
  <si>
    <t>-12.5437-15.022_S. haematobium</t>
  </si>
  <si>
    <t>-12.5437-15.022_S. mansoni</t>
  </si>
  <si>
    <t>-16.1833-15.0334_S. haematobium</t>
  </si>
  <si>
    <t>-16.879299-15.0371_S. haematobium</t>
  </si>
  <si>
    <t>-16.879299-15.0371_S. mansoni</t>
  </si>
  <si>
    <t>-16.0483-15.0411_S. haematobium</t>
  </si>
  <si>
    <t>-16.0464-15.043_S. haematobium</t>
  </si>
  <si>
    <t>-16.166599-15.05_S. haematobium</t>
  </si>
  <si>
    <t>-16.166599-15.05_S. mansoni</t>
  </si>
  <si>
    <t>-16.859501-15.0549_S. haematobium</t>
  </si>
  <si>
    <t>-16.859501-15.0549_S. mansoni</t>
  </si>
  <si>
    <t>-12.5908-15.0567_S. haematobium</t>
  </si>
  <si>
    <t>-16.345301-15.0735_S. haematobium</t>
  </si>
  <si>
    <t>-16.345301-15.0735_S. mansoni</t>
  </si>
  <si>
    <t>-16.1714-15.1007_S. haematobium</t>
  </si>
  <si>
    <t>-16.547001-15.1022_S. haematobium</t>
  </si>
  <si>
    <t>-16.547001-15.1022_S. mansoni</t>
  </si>
  <si>
    <t>-15.85-15.15_S. haematobium</t>
  </si>
  <si>
    <t>-15.9-15.2072_S. haematobium</t>
  </si>
  <si>
    <t>-16.09-15.21_S. haematobium</t>
  </si>
  <si>
    <t>-15.5568-15.2194_S. haematobium</t>
  </si>
  <si>
    <t>-15.5568-15.2194_S. mansoni</t>
  </si>
  <si>
    <t>-14.1502-15.2211_S. haematobium</t>
  </si>
  <si>
    <t>-14.1502-15.2211_S. mansoni</t>
  </si>
  <si>
    <t>-15.6429-15.2352_S. haematobium</t>
  </si>
  <si>
    <t>-16.848101-15.2628_S. haematobium</t>
  </si>
  <si>
    <t>-16.848101-15.2628_S. mansoni</t>
  </si>
  <si>
    <t>-14.7287-15.2653_S. haematobium</t>
  </si>
  <si>
    <t>-14.6708-15.2755_S. haematobium</t>
  </si>
  <si>
    <t>-14.6708-15.2755_S. mansoni</t>
  </si>
  <si>
    <t>-14.8694-15.276_S. haematobium</t>
  </si>
  <si>
    <t>-16.08-15.28_S. haematobium</t>
  </si>
  <si>
    <t>-13.9666-15.3_S. haematobium</t>
  </si>
  <si>
    <t>-13.9666-15.3_S. mansoni</t>
  </si>
  <si>
    <t>-13.9667-15.3_S. haematobium</t>
  </si>
  <si>
    <t>-16.819599-15.3002_S. haematobium</t>
  </si>
  <si>
    <t>-16.819599-15.3002_S. mansoni</t>
  </si>
  <si>
    <t>-12.992-15.3133_S. haematobium</t>
  </si>
  <si>
    <t>-13.7333-15.3167_S. haematobium</t>
  </si>
  <si>
    <t>-13.7333-15.3167_S. mansoni</t>
  </si>
  <si>
    <t>-13.8666-15.3167_S. haematobium</t>
  </si>
  <si>
    <t>-13.8666-15.3167_S. mansoni</t>
  </si>
  <si>
    <t>-13.9166-15.3167_S. haematobium</t>
  </si>
  <si>
    <t>-13.9166-15.3167_S. mansoni</t>
  </si>
  <si>
    <t>-13.0511-15.3468_S. haematobium</t>
  </si>
  <si>
    <t>-13.019-15.353_S. haematobium</t>
  </si>
  <si>
    <t>-16.0576-15.364_S. haematobium</t>
  </si>
  <si>
    <t>-16.483299-15.3667_S. haematobium</t>
  </si>
  <si>
    <t>-13.1321-15.3764_S. haematobium</t>
  </si>
  <si>
    <t>-15.1282-15.3785_S. haematobium</t>
  </si>
  <si>
    <t>-16.6166-15.3833_S. haematobium</t>
  </si>
  <si>
    <t>-16.6166-15.3833_S. mansoni</t>
  </si>
  <si>
    <t>-13.1555-15.3867_S. haematobium</t>
  </si>
  <si>
    <t>-13.5333-15.4_S. haematobium</t>
  </si>
  <si>
    <t>-13.5333-15.4_S. mansoni</t>
  </si>
  <si>
    <t>-15.1473-15.4137_S. haematobium</t>
  </si>
  <si>
    <t>-15.1473-15.4137_S. mansoni</t>
  </si>
  <si>
    <t>-13.1858-15.4377_S. haematobium</t>
  </si>
  <si>
    <t>-16.440599-15.4392_S. haematobium</t>
  </si>
  <si>
    <t>-16.2925-15.4446_S. haematobium</t>
  </si>
  <si>
    <t>-13.1825-15.4465_S. haematobium</t>
  </si>
  <si>
    <t>-13.1825-15.4465_S. mansoni</t>
  </si>
  <si>
    <t>-13.136-15.45_S. haematobium</t>
  </si>
  <si>
    <t>-15.1981-15.4701_S. haematobium</t>
  </si>
  <si>
    <t>-15.1981-15.4701_S. mansoni</t>
  </si>
  <si>
    <t>-13.1763-15.4916_S. haematobium</t>
  </si>
  <si>
    <t>-13.32-15.501_S. haematobium</t>
  </si>
  <si>
    <t>-14.9517-15.5315_S. haematobium</t>
  </si>
  <si>
    <t>-14.9517-15.5315_S. mansoni</t>
  </si>
  <si>
    <t>-13.2833-15.55_S. haematobium</t>
  </si>
  <si>
    <t>-13.2833-15.55_S. mansoni</t>
  </si>
  <si>
    <t>-13.2961-15.5533_S. haematobium</t>
  </si>
  <si>
    <t>-14.6186-15.559_S. haematobium</t>
  </si>
  <si>
    <t>-14.6186-15.559_S. mansoni</t>
  </si>
  <si>
    <t>-13.104-15.566_S. haematobium</t>
  </si>
  <si>
    <t>-14.6469-15.5693_S. haematobium</t>
  </si>
  <si>
    <t>-14.8027-15.5717_S. haematobium</t>
  </si>
  <si>
    <t>-14.8027-15.5717_S. mansoni</t>
  </si>
  <si>
    <t>-15.342-15.5915_S. haematobium</t>
  </si>
  <si>
    <t>-15.342-15.5915_S. mansoni</t>
  </si>
  <si>
    <t>-15.3237-15.6199_S. haematobium</t>
  </si>
  <si>
    <t>-15.3237-15.6199_S. mansoni</t>
  </si>
  <si>
    <t>-13.2467-15.6328_S. haematobium</t>
  </si>
  <si>
    <t>-13.2467-15.6328_S. mansoni</t>
  </si>
  <si>
    <t>-13.25-15.6333_S. haematobium</t>
  </si>
  <si>
    <t>-13.25-15.6333_S. mansoni</t>
  </si>
  <si>
    <t>-15.9912-15.6458_S. haematobium</t>
  </si>
  <si>
    <t>-15.9912-15.6458_S. mansoni</t>
  </si>
  <si>
    <t>-15.3492-15.6487_S. haematobium</t>
  </si>
  <si>
    <t>-13.35-15.65_S. haematobium</t>
  </si>
  <si>
    <t>-13.2573-15.6622_S. haematobium</t>
  </si>
  <si>
    <t>-13.2612-15.6637_S. haematobium</t>
  </si>
  <si>
    <t>-16.0303-15.6743_S. haematobium</t>
  </si>
  <si>
    <t>-16.0303-15.6743_S. mansoni</t>
  </si>
  <si>
    <t>-15.5543-15.6821_S. haematobium</t>
  </si>
  <si>
    <t>-15.5543-15.6821_S. mansoni</t>
  </si>
  <si>
    <t>-16.2796-15.7122_S. haematobium</t>
  </si>
  <si>
    <t>-16.2796-15.7122_S. mansoni</t>
  </si>
  <si>
    <t>-16.2833-15.7167_S. mansoni</t>
  </si>
  <si>
    <t>-16.2833-15.7167_S. haematobium</t>
  </si>
  <si>
    <t>-16.5-15.7167_S. haematobium</t>
  </si>
  <si>
    <t>-16.5-15.7167_S. mansoni</t>
  </si>
  <si>
    <t>-13.4166-15.7667_S. haematobium</t>
  </si>
  <si>
    <t>-13.4166-15.7667_S. mansoni</t>
  </si>
  <si>
    <t>-15.9405-15.7938_S. haematobium</t>
  </si>
  <si>
    <t>-15.9405-15.7938_S. mansoni</t>
  </si>
  <si>
    <t>-13.45-15.8333_S. haematobium</t>
  </si>
  <si>
    <t>-13.45-15.8333_S. mansoni</t>
  </si>
  <si>
    <t>-15.92-15.84_S. mansoni</t>
  </si>
  <si>
    <t>-15.0601-15.8564_S. haematobium</t>
  </si>
  <si>
    <t>-16.275-15.8678_S. haematobium</t>
  </si>
  <si>
    <t>-16.275-15.8678_S. mansoni</t>
  </si>
  <si>
    <t>-13.5-15.8833_S. haematobium</t>
  </si>
  <si>
    <t>-13.3333-15.9_S. haematobium</t>
  </si>
  <si>
    <t>-13.3333-15.9_S. mansoni</t>
  </si>
  <si>
    <t>-16.3214-15.9039_S. mansoni</t>
  </si>
  <si>
    <t>-16.3214-15.9039_S. haematobium</t>
  </si>
  <si>
    <t>-15.9421-15.9076_S. mansoni</t>
  </si>
  <si>
    <t>-15.9681-15.9229_S. haematobium</t>
  </si>
  <si>
    <t>-15.9681-15.9229_S. mansoni</t>
  </si>
  <si>
    <t>-13.6577-15.9239_S. haematobium</t>
  </si>
  <si>
    <t>-13.6577-15.9239_S. mansoni</t>
  </si>
  <si>
    <t>-15.9667-15.925_S. haematobium</t>
  </si>
  <si>
    <t>-15.975-15.9331_S. haematobium</t>
  </si>
  <si>
    <t>-15.975-15.9389_S. haematobium</t>
  </si>
  <si>
    <t>-15.9433-15.9403_S. haematobium</t>
  </si>
  <si>
    <t>-13.3403-15.95_S. haematobium</t>
  </si>
  <si>
    <t>-15.9646-15.969_S. mansoni</t>
  </si>
  <si>
    <t>-15.9672-15.9694_S. haematobium</t>
  </si>
  <si>
    <t>-15.9277-15.9792_S. haematobium</t>
  </si>
  <si>
    <t>-15.9277-15.9792_S. mansoni</t>
  </si>
  <si>
    <t>-15.9291-15.98_S. haematobium</t>
  </si>
  <si>
    <t>-13.9286-15.9858_S. haematobium</t>
  </si>
  <si>
    <t>-16.490801-15.9944_S. haematobium</t>
  </si>
  <si>
    <t>-16.490801-15.9944_S. mansoni</t>
  </si>
  <si>
    <t>-15.3249-15.9968_S. haematobium</t>
  </si>
  <si>
    <t>-16.509199-16.002199_S. haematobium</t>
  </si>
  <si>
    <t>-16.495001-16.006399_S. haematobium</t>
  </si>
  <si>
    <t>-15.9075-16.0072_S. haematobium</t>
  </si>
  <si>
    <t>-13.6932-16.0079_S. haematobium</t>
  </si>
  <si>
    <t>-15.9017-16.0142_S. haematobium</t>
  </si>
  <si>
    <t>-16.4953-16.0186_S. haematobium</t>
  </si>
  <si>
    <t>-16.509399-16.02_S. haematobium</t>
  </si>
  <si>
    <t>-13.385-16.021_S. haematobium</t>
  </si>
  <si>
    <t>-16.487801-16.021099_S. haematobium</t>
  </si>
  <si>
    <t>-13.3845-16.0212_S. haematobium</t>
  </si>
  <si>
    <t>-16.5086-16.0247_S. haematobium</t>
  </si>
  <si>
    <t>-16.489201-16.025_S. haematobium</t>
  </si>
  <si>
    <t>-16.474701-16.0261_S. haematobium</t>
  </si>
  <si>
    <t>-16.4953-16.0275_S. mansoni</t>
  </si>
  <si>
    <t>-16.471701-16.0294_S. mansoni</t>
  </si>
  <si>
    <t>-15.9536-16.035299_S. haematobium</t>
  </si>
  <si>
    <t>-16.5089-16.0453_S. haematobium</t>
  </si>
  <si>
    <t>-16.002501-16.0467_S. mansoni</t>
  </si>
  <si>
    <t>-13.8008-16.0543_S. haematobium</t>
  </si>
  <si>
    <t>-16.460699-16.0611_S. haematobium</t>
  </si>
  <si>
    <t>-13.8145-16.0616_S. haematobium</t>
  </si>
  <si>
    <t>-13.8396-16.0679_S. haematobium</t>
  </si>
  <si>
    <t>-13.485-16.068001_S. haematobium</t>
  </si>
  <si>
    <t>-15.8925-16.074699_S. haematobium</t>
  </si>
  <si>
    <t>-13.5076-16.0809_S. haematobium</t>
  </si>
  <si>
    <t>-13.5076-16.0809_S. mansoni</t>
  </si>
  <si>
    <t>-16.364401-16.083099_S. haematobium</t>
  </si>
  <si>
    <t>-16.3706-16.087799_S. haematobium</t>
  </si>
  <si>
    <t>-15.7165-16.095301_S. haematobium</t>
  </si>
  <si>
    <t>-16.368-16.101_S. haematobium</t>
  </si>
  <si>
    <t>-16.345301-16.1075_S. haematobium</t>
  </si>
  <si>
    <t>-15.8959-16.113501_S. haematobium</t>
  </si>
  <si>
    <t>-15.8959-16.113501_S. mansoni</t>
  </si>
  <si>
    <t>-14.0882-16.1458_S. haematobium</t>
  </si>
  <si>
    <t>-15.9211-16.1472_S. haematobium</t>
  </si>
  <si>
    <t>-15.8514-16.15_S. haematobium</t>
  </si>
  <si>
    <t>-15.8514-16.15_S. mansoni</t>
  </si>
  <si>
    <t>-15.8453-16.157801_S. haematobium</t>
  </si>
  <si>
    <t>-16.0644-16.1614_S. haematobium</t>
  </si>
  <si>
    <t>-15.9125-16.1775_S. haematobium</t>
  </si>
  <si>
    <t>-14.0156-16.190001_S. haematobium</t>
  </si>
  <si>
    <t>-14.0156-16.190001_S. mansoni</t>
  </si>
  <si>
    <t>-15.8225-16.1917_S. haematobium</t>
  </si>
  <si>
    <t>-16.278601-16.199699_S. haematobium</t>
  </si>
  <si>
    <t>-16.4039-16.2031_S. haematobium</t>
  </si>
  <si>
    <t>-16.4039-16.2031_S. mansoni</t>
  </si>
  <si>
    <t>-16.254999-16.211901_S. haematobium</t>
  </si>
  <si>
    <t>-16.254999-16.211901_S. mansoni</t>
  </si>
  <si>
    <t>-16.2292-16.2206_S. haematobium</t>
  </si>
  <si>
    <t>-14.4722-16.222601_S. haematobium</t>
  </si>
  <si>
    <t>-15.2841-16.2309_S. haematobium</t>
  </si>
  <si>
    <t>-15.8833-16.2335_S. haematobium</t>
  </si>
  <si>
    <t>-15.8-16.240801_S. haematobium</t>
  </si>
  <si>
    <t>-15.7991-16.2477_S. haematobium</t>
  </si>
  <si>
    <t>-15.8872-16.254999_S. mansoni</t>
  </si>
  <si>
    <t>-15.8872-16.254999_S. haematobium</t>
  </si>
  <si>
    <t>-15.8839-16.2593_S. haematobium</t>
  </si>
  <si>
    <t>-15.8764-16.2656_S. haematobium</t>
  </si>
  <si>
    <t>-16.184401-16.266399_S. haematobium</t>
  </si>
  <si>
    <t>-16.1378-16.2733_S. haematobium</t>
  </si>
  <si>
    <t>-16.1378-16.2733_S. mansoni</t>
  </si>
  <si>
    <t>-16.1367-16.2756_S. haematobium</t>
  </si>
  <si>
    <t>-15.7708-16.3325_S. mansoni</t>
  </si>
  <si>
    <t>-15.7683-16.3339_S. haematobium</t>
  </si>
  <si>
    <t>-15.77-16.370001_S. haematobium</t>
  </si>
  <si>
    <t>-15.8-16.379999_S. haematobium</t>
  </si>
  <si>
    <t>-15.8-16.379999_S. mansoni</t>
  </si>
  <si>
    <t>-15.7289-16.3894_S. haematobium</t>
  </si>
  <si>
    <t>-14.5631-16.3894_S. haematobium</t>
  </si>
  <si>
    <t>-15.7264-16.393299_S. mansoni</t>
  </si>
  <si>
    <t>-14.3219-16.396999_S. haematobium</t>
  </si>
  <si>
    <t>-14.3219-16.396999_S. mansoni</t>
  </si>
  <si>
    <t>-16.0748-16.3976_S. mansoni</t>
  </si>
  <si>
    <t>-15.2867-16.4042_S. haematobium</t>
  </si>
  <si>
    <t>-14.6431-16.4165_S. haematobium</t>
  </si>
  <si>
    <t>-14.7646-16.419001_S. haematobium</t>
  </si>
  <si>
    <t>-15.6992-16.4347_S. mansoni</t>
  </si>
  <si>
    <t>-15.6992-16.4347_S. haematobium</t>
  </si>
  <si>
    <t>-14.8043-16.4356_S. haematobium</t>
  </si>
  <si>
    <t>-14.801-16.4387_S. haematobium</t>
  </si>
  <si>
    <t>-15.7016-16.4589_S. mansoni</t>
  </si>
  <si>
    <t>-15.7008-16.4625_S. mansoni</t>
  </si>
  <si>
    <t>-15.6692-16.4625_S. mansoni</t>
  </si>
  <si>
    <t>-15.6692-16.4625_S. haematobium</t>
  </si>
  <si>
    <t>-15.7008-16.4625_S. haematobium</t>
  </si>
  <si>
    <t>-15.7008-16.4625_S. bovis</t>
  </si>
  <si>
    <t>S. bovis</t>
  </si>
  <si>
    <t>-15.7197-16.468901_S. mansoni</t>
  </si>
  <si>
    <t>-16.0256-16.4792_S. haematobium</t>
  </si>
  <si>
    <t>-15.9894-16.48_S. haematobium</t>
  </si>
  <si>
    <t>-15.6-16.48_S. mansoni</t>
  </si>
  <si>
    <t>-15.85-16.48_S. mansoni</t>
  </si>
  <si>
    <t>-16.0257-16.4802_S. mansoni</t>
  </si>
  <si>
    <t>-15.7832-16.4884_S. haematobium</t>
  </si>
  <si>
    <t>-15.7832-16.4884_S. mansoni</t>
  </si>
  <si>
    <t>-15.9189-16.4967_S. haematobium</t>
  </si>
  <si>
    <t>-15.9189-16.4967_S. mansoni</t>
  </si>
  <si>
    <t>-15.8153-16.4986_S. haematobium</t>
  </si>
  <si>
    <t>-15.6167-16.5_S. mansoni</t>
  </si>
  <si>
    <t>-15.8102-16.500999_S. mansoni</t>
  </si>
  <si>
    <t>-14.6472-16.506901_S. haematobium</t>
  </si>
  <si>
    <t>-14.6519-16.508301_S. haematobium</t>
  </si>
  <si>
    <t>-15.5034-16.510599_S. haematobium</t>
  </si>
  <si>
    <t>-14.6417-16.5117_S. haematobium</t>
  </si>
  <si>
    <t>-14.6508-16.5131_S. haematobium</t>
  </si>
  <si>
    <t>-14.6984-16.5159_S. haematobium</t>
  </si>
  <si>
    <t>-14.6984-16.5159_S. mansoni</t>
  </si>
  <si>
    <t>-14.6461-16.5175_S. haematobium</t>
  </si>
  <si>
    <t>-14.7139-16.5189_S. haematobium</t>
  </si>
  <si>
    <t>-14.8-16.52_S. haematobium</t>
  </si>
  <si>
    <t>-14.8-16.52_S. mansoni</t>
  </si>
  <si>
    <t>-15.4-16.52_S. haematobium</t>
  </si>
  <si>
    <t>-14.7681-16.522499_S. haematobium</t>
  </si>
  <si>
    <t>-14.7975-16.525499_S. haematobium</t>
  </si>
  <si>
    <t>-14.7927-16.5313_S. haematobium</t>
  </si>
  <si>
    <t>-14.8041-16.538401_S. haematobium</t>
  </si>
  <si>
    <t>-14.8379-16.541_S. haematobium</t>
  </si>
  <si>
    <t>-14.803-16.5418_S. haematobium</t>
  </si>
  <si>
    <t>-14.803-16.5418_S. mansoni</t>
  </si>
  <si>
    <t>-14.8008-16.543301_S. haematobium</t>
  </si>
  <si>
    <t>-14.7594-16.543501_S. haematobium</t>
  </si>
  <si>
    <t>-14.7594-16.543501_S. mansoni</t>
  </si>
  <si>
    <t>-14.8458-16.5702_S. haematobium</t>
  </si>
  <si>
    <t>-15.1502-16.5816_S. haematobium</t>
  </si>
  <si>
    <t>-14.8542-16.5858_S. haematobium</t>
  </si>
  <si>
    <t>-14.9953-16.5889_S. haematobium</t>
  </si>
  <si>
    <t>-14.9917-16.589399_S. haematobium</t>
  </si>
  <si>
    <t>-14.9917-16.589399_S. mansoni</t>
  </si>
  <si>
    <t>-14.9288-16.599001_S. haematobium</t>
  </si>
  <si>
    <t>-14.9288-16.5991_S. haematobium</t>
  </si>
  <si>
    <t>-14.9288-16.5991_S. mansoni</t>
  </si>
  <si>
    <t>-15.0003-16.6017_S. haematobium</t>
  </si>
  <si>
    <t>-15.0003-16.6017_S. mansoni</t>
  </si>
  <si>
    <t>-14.9134-16.6325_S. haematobium</t>
  </si>
  <si>
    <t>-14.8685-16.639799_S. haematobium</t>
  </si>
  <si>
    <t>-14.8685-16.639799_S. mansoni</t>
  </si>
  <si>
    <t>-14.968-16.655001_S. haematobium</t>
  </si>
  <si>
    <t>-14.9993-16.663601_S. haematobium</t>
  </si>
  <si>
    <t>29.633333--1.5</t>
  </si>
  <si>
    <t>29.633333--1.5_S. mansoni</t>
  </si>
  <si>
    <t>29.633333--1.5_S. haematobium</t>
  </si>
  <si>
    <t>29.759399--1.39816</t>
  </si>
  <si>
    <t>29.759399--1.39816_S. mansoni</t>
  </si>
  <si>
    <t>29.795--1.49164</t>
  </si>
  <si>
    <t>29.795--1.49164_S. mansoni</t>
  </si>
  <si>
    <t>29.7344--1.47791</t>
  </si>
  <si>
    <t>29.7344--1.47791_S. mansoni</t>
  </si>
  <si>
    <t>29.745501--1.54265</t>
  </si>
  <si>
    <t>29.745501--1.54265_S. mansoni</t>
  </si>
  <si>
    <t>29.633301--1.49989</t>
  </si>
  <si>
    <t>29.633301--1.49989_S. mansoni</t>
  </si>
  <si>
    <t>29.8353--1.48775</t>
  </si>
  <si>
    <t>29.8353--1.48775_S. mansoni</t>
  </si>
  <si>
    <t>30.1984--2.22554</t>
  </si>
  <si>
    <t>30.1984--2.22554_S. mansoni</t>
  </si>
  <si>
    <t>30.1984--2.22554_S. haematobium</t>
  </si>
  <si>
    <t>30.3866--1.58046</t>
  </si>
  <si>
    <t>30.3866--1.58046_S. mansoni</t>
  </si>
  <si>
    <t>30.3866--1.58046_S. haematobium</t>
  </si>
  <si>
    <t>30.509199--1.90166</t>
  </si>
  <si>
    <t>30.509199--1.90166_S. mansoni</t>
  </si>
  <si>
    <t>30.509199--1.90166_S. haematobium</t>
  </si>
  <si>
    <t>30.7533--2.18163</t>
  </si>
  <si>
    <t>30.7533--2.18163_S. mansoni</t>
  </si>
  <si>
    <t>30.7533--2.18163_S. haematobium</t>
  </si>
  <si>
    <t>30.545799--2.157</t>
  </si>
  <si>
    <t>30.545799--2.157_S. mansoni</t>
  </si>
  <si>
    <t>30.545799--2.157_S. haematobium</t>
  </si>
  <si>
    <t>30.3186--1.29954</t>
  </si>
  <si>
    <t>30.3186--1.29954_S. mansoni</t>
  </si>
  <si>
    <t>30.3186--1.29954_S. haematobium</t>
  </si>
  <si>
    <t>30.433201--1.94798</t>
  </si>
  <si>
    <t>30.433201--1.94798_S. mansoni</t>
  </si>
  <si>
    <t>30.433201--1.94798_S. haematobium</t>
  </si>
  <si>
    <t>30.132601--1.86734</t>
  </si>
  <si>
    <t>30.132601--1.86734_S. mansoni</t>
  </si>
  <si>
    <t>30.132601--1.86734_S. haematobium</t>
  </si>
  <si>
    <t>30.1042--1.98238</t>
  </si>
  <si>
    <t>30.1042--1.98238_S. mansoni</t>
  </si>
  <si>
    <t>30.1042--1.98238_S. haematobium</t>
  </si>
  <si>
    <t>30.063601--1.95141</t>
  </si>
  <si>
    <t>30.063601--1.95141_S. mansoni</t>
  </si>
  <si>
    <t>30.063601--1.95141_S. haematobium</t>
  </si>
  <si>
    <t>29.8353--1.47132</t>
  </si>
  <si>
    <t>29.8353--1.47132_S. mansoni</t>
  </si>
  <si>
    <t>29.8353--1.47132_S. haematobium</t>
  </si>
  <si>
    <t>29.836--1.67243</t>
  </si>
  <si>
    <t>29.836--1.67243_S. mansoni</t>
  </si>
  <si>
    <t>29.836--1.67243_S. haematobium</t>
  </si>
  <si>
    <t>30.116699--1.61667</t>
  </si>
  <si>
    <t>30.116699--1.61667_S. mansoni</t>
  </si>
  <si>
    <t>30.116699--1.61667_S. haematobium</t>
  </si>
  <si>
    <t>29.6--1.5</t>
  </si>
  <si>
    <t>29.6--1.5_S. mansoni</t>
  </si>
  <si>
    <t>29.6--1.5_S. haematobium</t>
  </si>
  <si>
    <t>30.0235--1.73832</t>
  </si>
  <si>
    <t>30.0235--1.73832_S. mansoni</t>
  </si>
  <si>
    <t>30.0235--1.73832_S. haematobium</t>
  </si>
  <si>
    <t>29.85--2.61667</t>
  </si>
  <si>
    <t>29.85--2.61667_S. mansoni</t>
  </si>
  <si>
    <t>29.85--2.61667_S. haematobium</t>
  </si>
  <si>
    <t>29.688999--2.58511</t>
  </si>
  <si>
    <t>29.688999--2.58511_S. mansoni</t>
  </si>
  <si>
    <t>29.688999--2.58511_S. haematobium</t>
  </si>
  <si>
    <t>29.887501--1.99636</t>
  </si>
  <si>
    <t>29.887501--1.99636_S. mansoni</t>
  </si>
  <si>
    <t>29.887501--1.99636_S. haematobium</t>
  </si>
  <si>
    <t>29.741899--1.87764</t>
  </si>
  <si>
    <t>29.741899--1.87764_S. mansoni</t>
  </si>
  <si>
    <t>29.741899--1.87764_S. haematobium</t>
  </si>
  <si>
    <t>29.4667--2.4</t>
  </si>
  <si>
    <t>29.4667--2.4_S. mansoni</t>
  </si>
  <si>
    <t>29.4667--2.4_S. haematobium</t>
  </si>
  <si>
    <t>29.5--2.5</t>
  </si>
  <si>
    <t>29.5--2.5_S. mansoni</t>
  </si>
  <si>
    <t>29.5--2.5_S. haematobium</t>
  </si>
  <si>
    <t>29.516701--2.7</t>
  </si>
  <si>
    <t>29.516701--2.7_S. mansoni</t>
  </si>
  <si>
    <t>29.516701--2.7_S. haematobium</t>
  </si>
  <si>
    <t>29.858--2.00563</t>
  </si>
  <si>
    <t>29.858--2.00563_S. mansoni</t>
  </si>
  <si>
    <t>29.858--2.00563_S. haematobium</t>
  </si>
  <si>
    <t>29.395901--2.13292</t>
  </si>
  <si>
    <t>29.395901--2.13292_S. mansoni</t>
  </si>
  <si>
    <t>29.395901--2.13292_S. haematobium</t>
  </si>
  <si>
    <t>29.65--1.86667</t>
  </si>
  <si>
    <t>29.65--1.86667_S. mansoni</t>
  </si>
  <si>
    <t>29.65--1.86667_S. haematobium</t>
  </si>
  <si>
    <t>29.5--1.65</t>
  </si>
  <si>
    <t>29.5--1.65_S. mansoni</t>
  </si>
  <si>
    <t>29.5--1.65_S. haematobium</t>
  </si>
  <si>
    <t>29.15--2.36667</t>
  </si>
  <si>
    <t>29.15--2.36667_S. mansoni</t>
  </si>
  <si>
    <t>29.15--2.36667_S. haematobium</t>
  </si>
  <si>
    <t>29.3333--1.68333</t>
  </si>
  <si>
    <t>29.3333--1.68333_S. mansoni</t>
  </si>
  <si>
    <t>29.3333--1.68333_S. haematobium</t>
  </si>
  <si>
    <t>28.8967--2.48333</t>
  </si>
  <si>
    <t>28.8967--2.48333_S. mansoni</t>
  </si>
  <si>
    <t>28.8967--2.48333_S. haematobium</t>
  </si>
  <si>
    <t>29.3167--1.91667</t>
  </si>
  <si>
    <t>29.3167--1.91667_S. mansoni</t>
  </si>
  <si>
    <t>29.3167--1.91667_S. haematobium</t>
  </si>
  <si>
    <t>4.431-8.452</t>
  </si>
  <si>
    <t>4.431-8.452_S. haematobium</t>
  </si>
  <si>
    <t>4.431-8.452_S. mansoni</t>
  </si>
  <si>
    <t>4.194-12.457</t>
  </si>
  <si>
    <t>4.194-12.457_S. haematobium</t>
  </si>
  <si>
    <t>4.194-12.457_S. mansoni</t>
  </si>
  <si>
    <t>7.444-10.519</t>
  </si>
  <si>
    <t>7.444-10.519_S. mansoni</t>
  </si>
  <si>
    <t>6.482-11.017</t>
  </si>
  <si>
    <t>6.482-11.017_S. haematobium</t>
  </si>
  <si>
    <t>7.603-12.996</t>
  </si>
  <si>
    <t>7.603-12.996_S. haematobium</t>
  </si>
  <si>
    <t>7.603-12.996_S. mansoni</t>
  </si>
  <si>
    <t>7.825-12.545</t>
  </si>
  <si>
    <t>7.825-12.545_S. haematobium</t>
  </si>
  <si>
    <t>4.266-11.251</t>
  </si>
  <si>
    <t>4.266-11.251_S. haematobium</t>
  </si>
  <si>
    <t>8.29-9.584</t>
  </si>
  <si>
    <t>8.29-9.584_S. haematobium</t>
  </si>
  <si>
    <t>8.506-11.998</t>
  </si>
  <si>
    <t>8.506-11.998_S. haematobium</t>
  </si>
  <si>
    <t>8.506-11.998_S. mansoni</t>
  </si>
  <si>
    <t>9.842-10.313</t>
  </si>
  <si>
    <t>9.842-10.313_S. haematobium</t>
  </si>
  <si>
    <t>9.842-10.313_S. mansoni</t>
  </si>
  <si>
    <t>11.3167-12.2667</t>
  </si>
  <si>
    <t>11.3167-12.2667_S. haematobium</t>
  </si>
  <si>
    <t>11.3167-12.2667_S. mansoni</t>
  </si>
  <si>
    <t>11.333-10.804</t>
  </si>
  <si>
    <t>11.333-10.804_S. haematobium</t>
  </si>
  <si>
    <t>11.333-10.804_S. mansoni</t>
  </si>
  <si>
    <t>12.596-10.408</t>
  </si>
  <si>
    <t>12.596-10.408_S. haematobium</t>
  </si>
  <si>
    <t>14.1833-12.4833</t>
  </si>
  <si>
    <t>14.1833-12.4833_S. haematobium</t>
  </si>
  <si>
    <t>13.2333-13.55</t>
  </si>
  <si>
    <t>13.2333-13.55_S. haematobium</t>
  </si>
  <si>
    <t>13.2333-13.55_S. mansoni</t>
  </si>
  <si>
    <t>14.1867-12.3419</t>
  </si>
  <si>
    <t>14.1867-12.3419_S. haematobium</t>
  </si>
  <si>
    <t>14.1867-12.3419_S. mansoni</t>
  </si>
  <si>
    <t>12.831-13.418</t>
  </si>
  <si>
    <t>12.831-13.418_S. haematobium</t>
  </si>
  <si>
    <t>12.831-13.418_S. mansoni</t>
  </si>
  <si>
    <t>13.3841-13.47</t>
  </si>
  <si>
    <t>13.3841-13.47_S. haematobium</t>
  </si>
  <si>
    <t>13.3841-13.47_S. mansoni</t>
  </si>
  <si>
    <t>5.48333-6.35</t>
  </si>
  <si>
    <t>5.48333-6.35_S. haematobium</t>
  </si>
  <si>
    <t>5.48333-6.35_S. mansoni</t>
  </si>
  <si>
    <t>4.71667-10.6833</t>
  </si>
  <si>
    <t>4.71667-10.6833_S. haematobium</t>
  </si>
  <si>
    <t>4.71667-10.6833_S. mansoni</t>
  </si>
  <si>
    <t>4.517-9.888</t>
  </si>
  <si>
    <t>4.517-9.888_S. haematobium</t>
  </si>
  <si>
    <t>4.517-9.888_S. mansoni</t>
  </si>
  <si>
    <t>4.455-10.34</t>
  </si>
  <si>
    <t>4.455-10.34_S. haematobium</t>
  </si>
  <si>
    <t>4.455-10.34_S. mansoni</t>
  </si>
  <si>
    <t>4.38567-9.9521</t>
  </si>
  <si>
    <t>4.38567-9.9521_S. haematobium</t>
  </si>
  <si>
    <t>4.38567-9.9521_S. mansoni</t>
  </si>
  <si>
    <t>4.582-10.701</t>
  </si>
  <si>
    <t>4.582-10.701_S. haematobium</t>
  </si>
  <si>
    <t>7.046-8.212</t>
  </si>
  <si>
    <t>7.046-8.212_S. haematobium</t>
  </si>
  <si>
    <t>4.391-9.83266</t>
  </si>
  <si>
    <t>4.391-9.83266_S. haematobium</t>
  </si>
  <si>
    <t>4.391-9.83266_S. mansoni</t>
  </si>
  <si>
    <t>4.976-8.818</t>
  </si>
  <si>
    <t>4.976-8.818_S. haematobium</t>
  </si>
  <si>
    <t>4.976-8.818_S. mansoni</t>
  </si>
  <si>
    <t>5.763-8.726</t>
  </si>
  <si>
    <t>5.763-8.726_S. haematobium</t>
  </si>
  <si>
    <t>5.763-8.726_S. mansoni</t>
  </si>
  <si>
    <t>4.948-9.087</t>
  </si>
  <si>
    <t>4.948-9.087_S. haematobium</t>
  </si>
  <si>
    <t>4.948-9.087_S. mansoni</t>
  </si>
  <si>
    <t>6.007-9.077</t>
  </si>
  <si>
    <t>6.007-9.077_S. haematobium</t>
  </si>
  <si>
    <t>6.007-9.077_S. mansoni</t>
  </si>
  <si>
    <t>9.83-11.301</t>
  </si>
  <si>
    <t>9.83-11.301_S. haematobium</t>
  </si>
  <si>
    <t>9.83-11.301_S. mansoni</t>
  </si>
  <si>
    <t>11.164-11.068</t>
  </si>
  <si>
    <t>11.164-11.068_S. haematobium</t>
  </si>
  <si>
    <t>11.164-11.068_S. mansoni</t>
  </si>
  <si>
    <t>4.74677-10.8734</t>
  </si>
  <si>
    <t>4.74677-10.8734_S. haematobium</t>
  </si>
  <si>
    <t>4.74677-10.8734_S. mansoni</t>
  </si>
  <si>
    <t>8.017-8.784</t>
  </si>
  <si>
    <t>8.017-8.784_S. haematobium</t>
  </si>
  <si>
    <t>8.017-8.784_S. mansoni</t>
  </si>
  <si>
    <t>4.712-10.417</t>
  </si>
  <si>
    <t>4.712-10.417_S. haematobium</t>
  </si>
  <si>
    <t>4.712-10.417_S. mansoni</t>
  </si>
  <si>
    <t>6.714-8.102</t>
  </si>
  <si>
    <t>6.714-8.102_S. haematobium</t>
  </si>
  <si>
    <t>4.816-10.781</t>
  </si>
  <si>
    <t>4.816-10.781_S. haematobium</t>
  </si>
  <si>
    <t>4.816-10.781_S. mansoni</t>
  </si>
  <si>
    <t>8.894-9.926</t>
  </si>
  <si>
    <t>8.894-9.926_S. haematobium</t>
  </si>
  <si>
    <t>8.894-9.926_S. mansoni</t>
  </si>
  <si>
    <t>9.443-9.317</t>
  </si>
  <si>
    <t>9.443-9.317_S. haematobium</t>
  </si>
  <si>
    <t>9.443-9.317_S. mansoni</t>
  </si>
  <si>
    <t>9.211-9.398</t>
  </si>
  <si>
    <t>9.211-9.398_S. haematobium</t>
  </si>
  <si>
    <t>9.211-9.398_S. mansoni</t>
  </si>
  <si>
    <t>8.5777-11.9737</t>
  </si>
  <si>
    <t>8.5777-11.9737_S. haematobium</t>
  </si>
  <si>
    <t>8.5777-11.9738</t>
  </si>
  <si>
    <t>8.5777-11.9738_S. mansoni</t>
  </si>
  <si>
    <t>9.67-9.365</t>
  </si>
  <si>
    <t>9.67-9.365_S. haematobium</t>
  </si>
  <si>
    <t>9.67-9.365_S. mansoni</t>
  </si>
  <si>
    <t>9.147-9.218</t>
  </si>
  <si>
    <t>9.147-9.218_S. haematobium</t>
  </si>
  <si>
    <t>9.147-9.218_S. mansoni</t>
  </si>
  <si>
    <t>9.468-8.894</t>
  </si>
  <si>
    <t>9.468-8.894_S. haematobium</t>
  </si>
  <si>
    <t>9.468-8.894_S. mansoni</t>
  </si>
  <si>
    <t>8.781-9.735</t>
  </si>
  <si>
    <t>8.781-9.735_S. haematobium</t>
  </si>
  <si>
    <t>8.781-9.735_S. mansoni</t>
  </si>
  <si>
    <t>8.384-9.603</t>
  </si>
  <si>
    <t>8.384-9.603_S. haematobium</t>
  </si>
  <si>
    <t>8.384-9.603_S. mansoni</t>
  </si>
  <si>
    <t>11.747-8.985</t>
  </si>
  <si>
    <t>11.747-8.985_S. mansoni</t>
  </si>
  <si>
    <t>3.931-7.599</t>
  </si>
  <si>
    <t>3.931-7.599_S. haematobium</t>
  </si>
  <si>
    <t>3.93083-7.60417</t>
  </si>
  <si>
    <t>3.93083-7.60417_S. haematobium</t>
  </si>
  <si>
    <t>3.86722-7.29389</t>
  </si>
  <si>
    <t>3.86722-7.29389_S. haematobium</t>
  </si>
  <si>
    <t>3.86722-7.29389_S. mansoni</t>
  </si>
  <si>
    <t>3.91667-7.61667</t>
  </si>
  <si>
    <t>3.91667-7.61667_S. haematobium</t>
  </si>
  <si>
    <t>4.315-8.517</t>
  </si>
  <si>
    <t>4.315-8.517_S. haematobium</t>
  </si>
  <si>
    <t>3.75361-7.39389</t>
  </si>
  <si>
    <t>3.75361-7.39389_S. haematobium</t>
  </si>
  <si>
    <t>3.332-7.335</t>
  </si>
  <si>
    <t>3.332-7.335_S. haematobium</t>
  </si>
  <si>
    <t>3.73333-7.38333</t>
  </si>
  <si>
    <t>3.73333-7.38333_S. haematobium</t>
  </si>
  <si>
    <t>3.73333-7.38333_S. mansoni</t>
  </si>
  <si>
    <t>3.63-7.2</t>
  </si>
  <si>
    <t>3.63-7.2_S. haematobium</t>
  </si>
  <si>
    <t>4.116-7.598</t>
  </si>
  <si>
    <t>4.116-7.598_S. haematobium</t>
  </si>
  <si>
    <t>4.176-7.624</t>
  </si>
  <si>
    <t>4.176-7.624_S. haematobium</t>
  </si>
  <si>
    <t>3.498-7.284</t>
  </si>
  <si>
    <t>3.498-7.284_S. haematobium</t>
  </si>
  <si>
    <t>3.498-7.284_S. mansoni</t>
  </si>
  <si>
    <t>4.499-7.784</t>
  </si>
  <si>
    <t>4.499-7.784_S. haematobium</t>
  </si>
  <si>
    <t>3.717-7.217</t>
  </si>
  <si>
    <t>3.717-7.217_S. haematobium</t>
  </si>
  <si>
    <t>3.617-7.218</t>
  </si>
  <si>
    <t>3.617-7.218_S. haematobium</t>
  </si>
  <si>
    <t>2.91667-7.51667</t>
  </si>
  <si>
    <t>2.91667-7.51667_S. haematobium</t>
  </si>
  <si>
    <t>3.432-6.884</t>
  </si>
  <si>
    <t>3.432-6.884_S. haematobium</t>
  </si>
  <si>
    <t>3.432-6.884_S. mansoni</t>
  </si>
  <si>
    <t>4.031-7.252</t>
  </si>
  <si>
    <t>4.031-7.252_S. haematobium</t>
  </si>
  <si>
    <t>3.514-7.22</t>
  </si>
  <si>
    <t>3.514-7.22_S. haematobium</t>
  </si>
  <si>
    <t>3.481-7.219</t>
  </si>
  <si>
    <t>3.481-7.219_S. haematobium</t>
  </si>
  <si>
    <t>3.499-7.335</t>
  </si>
  <si>
    <t>3.499-7.335_S. haematobium</t>
  </si>
  <si>
    <t>3.499-7.319</t>
  </si>
  <si>
    <t>3.499-7.319_S. haematobium</t>
  </si>
  <si>
    <t>3.665-7.168</t>
  </si>
  <si>
    <t>3.665-7.168_S. haematobium</t>
  </si>
  <si>
    <t>3.35-7.161</t>
  </si>
  <si>
    <t>3.35-7.161_S. haematobium</t>
  </si>
  <si>
    <t>3.35-7.161_S. mansoni</t>
  </si>
  <si>
    <t>4.06667-7.03333</t>
  </si>
  <si>
    <t>4.06667-7.03333_S. haematobium</t>
  </si>
  <si>
    <t>4.006-6.969</t>
  </si>
  <si>
    <t>4.006-6.969_S. haematobium</t>
  </si>
  <si>
    <t>3.9208-6.8208</t>
  </si>
  <si>
    <t>3.9208-6.8208_S. haematobium</t>
  </si>
  <si>
    <t>3.9833-7.6</t>
  </si>
  <si>
    <t>3.9833-7.6_S. haematobium</t>
  </si>
  <si>
    <t>5.984-7.952</t>
  </si>
  <si>
    <t>5.984-7.952_S. haematobium</t>
  </si>
  <si>
    <t>5.984-7.952_S. mansoni</t>
  </si>
  <si>
    <t>6.981-7.685</t>
  </si>
  <si>
    <t>6.981-7.685_S. haematobium</t>
  </si>
  <si>
    <t>3.531-7.417</t>
  </si>
  <si>
    <t>3.531-7.417_S. haematobium</t>
  </si>
  <si>
    <t>3.488-7.401</t>
  </si>
  <si>
    <t>3.488-7.401_S. haematobium</t>
  </si>
  <si>
    <t>3.913-7.669</t>
  </si>
  <si>
    <t>3.913-7.669_S. haematobium</t>
  </si>
  <si>
    <t>3.36917-6.69</t>
  </si>
  <si>
    <t>3.36917-6.69_S. haematobium</t>
  </si>
  <si>
    <t>4.064-7.463</t>
  </si>
  <si>
    <t>4.064-7.463_S. haematobium</t>
  </si>
  <si>
    <t>4.084-7.535</t>
  </si>
  <si>
    <t>4.084-7.535_S. haematobium</t>
  </si>
  <si>
    <t>3.698-7.435</t>
  </si>
  <si>
    <t>3.698-7.435_S. haematobium</t>
  </si>
  <si>
    <t>3.515-7.585</t>
  </si>
  <si>
    <t>3.515-7.585_S. haematobium</t>
  </si>
  <si>
    <t>3.899-7.118</t>
  </si>
  <si>
    <t>3.899-7.118_S. haematobium</t>
  </si>
  <si>
    <t>3.9404-6.9631</t>
  </si>
  <si>
    <t>3.9404-6.9631_S. haematobium</t>
  </si>
  <si>
    <t>4.047-7.551</t>
  </si>
  <si>
    <t>4.047-7.551_S. haematobium</t>
  </si>
  <si>
    <t>3.711-7.217</t>
  </si>
  <si>
    <t>3.711-7.217_S. haematobium</t>
  </si>
  <si>
    <t>4.968-7.968</t>
  </si>
  <si>
    <t>4.968-7.968_S. haematobium</t>
  </si>
  <si>
    <t>4.516-8.169</t>
  </si>
  <si>
    <t>4.516-8.169_S. haematobium</t>
  </si>
  <si>
    <t>4.083-7.902</t>
  </si>
  <si>
    <t>4.083-7.902_S. haematobium</t>
  </si>
  <si>
    <t>4.083-7.902_S. mansoni</t>
  </si>
  <si>
    <t>3.75-7.468</t>
  </si>
  <si>
    <t>3.75-7.468_S. haematobium</t>
  </si>
  <si>
    <t>3.9208-6.820833</t>
  </si>
  <si>
    <t>3.9208-6.820833_S. haematobium</t>
  </si>
  <si>
    <t>4.047-7.568</t>
  </si>
  <si>
    <t>4.047-7.568_S. haematobium</t>
  </si>
  <si>
    <t>4.0333-7.2333</t>
  </si>
  <si>
    <t>4.0333-7.2333_S. haematobium</t>
  </si>
  <si>
    <t>8.63-8.451</t>
  </si>
  <si>
    <t>8.63-8.451_S. haematobium</t>
  </si>
  <si>
    <t>3.414-7.454</t>
  </si>
  <si>
    <t>3.414-7.454_S. haematobium</t>
  </si>
  <si>
    <t>3.414-7.454_S. mansoni</t>
  </si>
  <si>
    <t>3.782-7.518</t>
  </si>
  <si>
    <t>3.782-7.518_S. haematobium</t>
  </si>
  <si>
    <t>3.247-7.486</t>
  </si>
  <si>
    <t>3.247-7.486_S. haematobium</t>
  </si>
  <si>
    <t>3.969-7.182</t>
  </si>
  <si>
    <t>3.969-7.182_S. haematobium</t>
  </si>
  <si>
    <t>3.932-7.236</t>
  </si>
  <si>
    <t>3.932-7.236_S. haematobium</t>
  </si>
  <si>
    <t>4.033-7.533</t>
  </si>
  <si>
    <t>4.033-7.533_S. haematobium</t>
  </si>
  <si>
    <t>3.18-7.471</t>
  </si>
  <si>
    <t>3.18-7.471_S. haematobium</t>
  </si>
  <si>
    <t>3.37913-6.52461</t>
  </si>
  <si>
    <t>3.37913-6.52461_S. haematobium</t>
  </si>
  <si>
    <t>5.221-7.616</t>
  </si>
  <si>
    <t>5.221-7.616_S. haematobium</t>
  </si>
  <si>
    <t>3.332-7.65</t>
  </si>
  <si>
    <t>3.332-7.65_S. haematobium</t>
  </si>
  <si>
    <t>7.49-5.229</t>
  </si>
  <si>
    <t>7.49-5.229_S. haematobium</t>
  </si>
  <si>
    <t>5.422-7.455</t>
  </si>
  <si>
    <t>5.422-7.455_S. haematobium</t>
  </si>
  <si>
    <t>4.893564-6.895928</t>
  </si>
  <si>
    <t>4.893564-6.895928_S. haematobium</t>
  </si>
  <si>
    <t>5.466-7.448</t>
  </si>
  <si>
    <t>5.466-7.448_S. haematobium</t>
  </si>
  <si>
    <t>5.081-7.317</t>
  </si>
  <si>
    <t>5.081-7.317_S. haematobium</t>
  </si>
  <si>
    <t>5.116-7.104</t>
  </si>
  <si>
    <t>5.116-7.104_S. haematobium</t>
  </si>
  <si>
    <t>4.632-7.699</t>
  </si>
  <si>
    <t>4.632-7.699_S. haematobium</t>
  </si>
  <si>
    <t>4.864-6.783</t>
  </si>
  <si>
    <t>4.864-6.783_S. haematobium</t>
  </si>
  <si>
    <t>7.832-7.283</t>
  </si>
  <si>
    <t>7.832-7.283_S. haematobium</t>
  </si>
  <si>
    <t>5.6145-6.3176</t>
  </si>
  <si>
    <t>5.6145-6.3176_S. haematobium</t>
  </si>
  <si>
    <t>5.628-6.34</t>
  </si>
  <si>
    <t>5.628-6.34_S. haematobium</t>
  </si>
  <si>
    <t>6.186-6.258</t>
  </si>
  <si>
    <t>6.186-6.258_S. haematobium</t>
  </si>
  <si>
    <t>6.049-5.77</t>
  </si>
  <si>
    <t>6.049-5.77_S. haematobium</t>
  </si>
  <si>
    <t>5.467-6.299</t>
  </si>
  <si>
    <t>5.467-6.299_S. haematobium</t>
  </si>
  <si>
    <t>5.748-5.508</t>
  </si>
  <si>
    <t>5.748-5.508_S. haematobium</t>
  </si>
  <si>
    <t>5.679-5.893</t>
  </si>
  <si>
    <t>5.679-5.893_S. haematobium</t>
  </si>
  <si>
    <t>5.513-5.346</t>
  </si>
  <si>
    <t>5.513-5.346_S. haematobium</t>
  </si>
  <si>
    <t>7.023-5.493</t>
  </si>
  <si>
    <t>7.023-5.493_S. haematobium</t>
  </si>
  <si>
    <t>10.4514-12.8775</t>
  </si>
  <si>
    <t>10.4514-12.8775_S. haematobium</t>
  </si>
  <si>
    <t>8.093586-6.324008</t>
  </si>
  <si>
    <t>8.093586-6.324008_S. haematobium</t>
  </si>
  <si>
    <t>8.05953-6.36974</t>
  </si>
  <si>
    <t>8.05953-6.36974_S. haematobium</t>
  </si>
  <si>
    <t>8.23333-6.63333</t>
  </si>
  <si>
    <t>8.23333-6.63333_S. haematobium</t>
  </si>
  <si>
    <t>8.05649-6.29788</t>
  </si>
  <si>
    <t>8.05649-6.29788_S. haematobium</t>
  </si>
  <si>
    <t>7.91865-6.23958</t>
  </si>
  <si>
    <t>7.91865-6.23958_S. haematobium</t>
  </si>
  <si>
    <t>8.1336-6.4958</t>
  </si>
  <si>
    <t>8.1336-6.4958_S. haematobium</t>
  </si>
  <si>
    <t>8.225806-6.224572</t>
  </si>
  <si>
    <t>8.225806-6.224572_S. haematobium</t>
  </si>
  <si>
    <t>7.76354-5.9705</t>
  </si>
  <si>
    <t>7.76354-5.9705_S. haematobium</t>
  </si>
  <si>
    <t>7.959306-6.011303</t>
  </si>
  <si>
    <t>7.959306-6.011303_S. haematobium</t>
  </si>
  <si>
    <t>7.56011-5.95293</t>
  </si>
  <si>
    <t>7.56011-5.95293_S. haematobium</t>
  </si>
  <si>
    <t>7.55666-5.95399</t>
  </si>
  <si>
    <t>7.55666-5.95399_S. haematobium</t>
  </si>
  <si>
    <t>7.628742-5.984881</t>
  </si>
  <si>
    <t>7.628742-5.984881_S. haematobium</t>
  </si>
  <si>
    <t>7.7-5.96667</t>
  </si>
  <si>
    <t>7.7-5.96667_S. haematobium</t>
  </si>
  <si>
    <t>7.69231-5.95405</t>
  </si>
  <si>
    <t>7.69231-5.95405_S. haematobium</t>
  </si>
  <si>
    <t>7.54546-5.86677</t>
  </si>
  <si>
    <t>7.54546-5.86677_S. haematobium</t>
  </si>
  <si>
    <t>4.58-7.90583</t>
  </si>
  <si>
    <t>4.58-7.90583_S. haematobium</t>
  </si>
  <si>
    <t>4.53333-7.96667</t>
  </si>
  <si>
    <t>4.53333-7.96667_S. haematobium</t>
  </si>
  <si>
    <t>2.88333-6.41667</t>
  </si>
  <si>
    <t>2.88333-6.41667_S. haematobium</t>
  </si>
  <si>
    <t>3.15-6.96667</t>
  </si>
  <si>
    <t>3.15-6.96667_S. haematobium</t>
  </si>
  <si>
    <t>3.20681-6.96541</t>
  </si>
  <si>
    <t>3.20681-6.96541_S. haematobium</t>
  </si>
  <si>
    <t>3.18333-7.13333</t>
  </si>
  <si>
    <t>3.18333-7.13333_S. haematobium</t>
  </si>
  <si>
    <t>3.13333-7.28333</t>
  </si>
  <si>
    <t>3.13333-7.28333_S. haematobium</t>
  </si>
  <si>
    <t>3.18021-7.30912</t>
  </si>
  <si>
    <t>3.18021-7.30912_S. haematobium</t>
  </si>
  <si>
    <t>3.359925-6.554458</t>
  </si>
  <si>
    <t>3.359925-6.554458_S. haematobium</t>
  </si>
  <si>
    <t>6.1397-7.33784</t>
  </si>
  <si>
    <t>6.1397-7.33784_S. haematobium</t>
  </si>
  <si>
    <t>7.98333-5.76667</t>
  </si>
  <si>
    <t>7.98333-5.76667_S. haematobium</t>
  </si>
  <si>
    <t>6.920914-5.521453</t>
  </si>
  <si>
    <t>6.920914-5.521453_S. haematobium</t>
  </si>
  <si>
    <t>7.523767-5.431036</t>
  </si>
  <si>
    <t>7.523767-5.431036_S. mansoni</t>
  </si>
  <si>
    <t>5.900994-5.532319</t>
  </si>
  <si>
    <t>5.900994-5.532319_S. haematobium</t>
  </si>
  <si>
    <t>5.898714-6.34195</t>
  </si>
  <si>
    <t>5.898714-6.34195_S. haematobium</t>
  </si>
  <si>
    <t>5.898714-0</t>
  </si>
  <si>
    <t>5.898714-0_S. haematobium</t>
  </si>
  <si>
    <t>9.45877-7.1772</t>
  </si>
  <si>
    <t>9.45877-7.1772_S. haematobium</t>
  </si>
  <si>
    <t>8.837333-7.351853</t>
  </si>
  <si>
    <t>8.837333-7.351853_S. haematobium</t>
  </si>
  <si>
    <t>9.23428-7.70443</t>
  </si>
  <si>
    <t>9.23428-7.70443_S. haematobium</t>
  </si>
  <si>
    <t>9.7-7.23333</t>
  </si>
  <si>
    <t>9.7-7.23333_S. haematobium</t>
  </si>
  <si>
    <t>8.09703-6.52173</t>
  </si>
  <si>
    <t>8.09703-6.52173_S. haematobium</t>
  </si>
  <si>
    <t>8.05925-6.62917</t>
  </si>
  <si>
    <t>8.05925-6.62917_S. haematobium</t>
  </si>
  <si>
    <t>8.171-5.9686</t>
  </si>
  <si>
    <t>8.171-5.9686_S. haematobium</t>
  </si>
  <si>
    <t>7.36667-6.55</t>
  </si>
  <si>
    <t>7.36667-6.55_S. haematobium</t>
  </si>
  <si>
    <t>7.9071-7.9815</t>
  </si>
  <si>
    <t>7.9071-7.9815_S. haematobium</t>
  </si>
  <si>
    <t>7.6412-7.2115</t>
  </si>
  <si>
    <t>7.6412-7.2115_S. haematobium</t>
  </si>
  <si>
    <t>8.26206-6.72858</t>
  </si>
  <si>
    <t>8.26206-6.72858_S. haematobium</t>
  </si>
  <si>
    <t>8.2126-6.36724</t>
  </si>
  <si>
    <t>8.2126-6.36724_S. haematobium</t>
  </si>
  <si>
    <t>8.11667-6.66667</t>
  </si>
  <si>
    <t>8.11667-6.66667_S. haematobium</t>
  </si>
  <si>
    <t>8.23312-6.73419</t>
  </si>
  <si>
    <t>8.23312-6.73419_S. haematobium</t>
  </si>
  <si>
    <t>3.25217-7.27362</t>
  </si>
  <si>
    <t>3.25217-7.27362_S. haematobium</t>
  </si>
  <si>
    <t>3.23489-7.25097</t>
  </si>
  <si>
    <t>3.23489-7.25097_S. haematobium</t>
  </si>
  <si>
    <t>8.9-9.91667</t>
  </si>
  <si>
    <t>8.9-9.91667_S. mansoni</t>
  </si>
  <si>
    <t>9.83333-10.3167</t>
  </si>
  <si>
    <t>9.83333-10.3167_S. mansoni</t>
  </si>
  <si>
    <t>6.05-5.76667</t>
  </si>
  <si>
    <t>6.05-5.76667_S. mansoni</t>
  </si>
  <si>
    <t>3.23333-7.26667</t>
  </si>
  <si>
    <t>3.23333-7.26667_S. haematobium</t>
  </si>
  <si>
    <t>3.91663-7.41218</t>
  </si>
  <si>
    <t>3.91663-7.41218_S. haematobium</t>
  </si>
  <si>
    <t>7.65-6.33333</t>
  </si>
  <si>
    <t>7.65-6.33333_S. mansoni</t>
  </si>
  <si>
    <t>7.65-6.33333_S. haematobium</t>
  </si>
  <si>
    <t>12.4333-9.3</t>
  </si>
  <si>
    <t>12.4333-9.3_S. haematobium</t>
  </si>
  <si>
    <t>12.4333-9.3_S. mansoni</t>
  </si>
  <si>
    <t>3.92194-7.65944</t>
  </si>
  <si>
    <t>3.92194-7.65944_S. haematobium</t>
  </si>
  <si>
    <t>3.89639-7.38778</t>
  </si>
  <si>
    <t>3.89639-7.38778_S. haematobium</t>
  </si>
  <si>
    <t>8.08333-5.8</t>
  </si>
  <si>
    <t>8.08333-5.8_S. haematobium</t>
  </si>
  <si>
    <t>4.54844-7.888</t>
  </si>
  <si>
    <t>4.54844-7.888_S. haematobium</t>
  </si>
  <si>
    <t>4.54844-7.888_S. mansoni</t>
  </si>
  <si>
    <t>4.52702-7.87153</t>
  </si>
  <si>
    <t>4.52702-7.87153_S. haematobium</t>
  </si>
  <si>
    <t>4.52702-7.87153_S. mansoni</t>
  </si>
  <si>
    <t>4.56267-7.89462</t>
  </si>
  <si>
    <t>4.56267-7.89462_S. haematobium</t>
  </si>
  <si>
    <t>4.56267-7.89462_S. mansoni</t>
  </si>
  <si>
    <t>4.52306-7.91161</t>
  </si>
  <si>
    <t>4.52306-7.91161_S. haematobium</t>
  </si>
  <si>
    <t>4.52306-7.91161_S. mansoni</t>
  </si>
  <si>
    <t>4.5525-7.88755</t>
  </si>
  <si>
    <t>4.5525-7.88755_S. haematobium</t>
  </si>
  <si>
    <t>4.5525-7.88755_S. mansoni</t>
  </si>
  <si>
    <t>7.7-11.0667</t>
  </si>
  <si>
    <t>7.7-11.0667_S. haematobium</t>
  </si>
  <si>
    <t>4.59323-7.20184</t>
  </si>
  <si>
    <t>4.59323-7.20184_S. haematobium</t>
  </si>
  <si>
    <t>3.48913-7.40196</t>
  </si>
  <si>
    <t>3.48913-7.40196_S. haematobium</t>
  </si>
  <si>
    <t>4.42553-8.08782</t>
  </si>
  <si>
    <t>4.42553-8.08782_S. haematobium</t>
  </si>
  <si>
    <t>7.7-5.55</t>
  </si>
  <si>
    <t>7.7-5.55_S. haematobium</t>
  </si>
  <si>
    <t>7.78333-5.5</t>
  </si>
  <si>
    <t>7.78333-5.5_S. haematobium</t>
  </si>
  <si>
    <t>7.68333-5.5</t>
  </si>
  <si>
    <t>7.68333-5.5_S. haematobium</t>
  </si>
  <si>
    <t>7.76389-5.48528</t>
  </si>
  <si>
    <t>7.76389-5.48528_S. haematobium</t>
  </si>
  <si>
    <t>7.8-5.48333</t>
  </si>
  <si>
    <t>7.8-5.48333_S. haematobium</t>
  </si>
  <si>
    <t>7.76389-5.50383</t>
  </si>
  <si>
    <t>7.76389-5.50383_S. haematobium</t>
  </si>
  <si>
    <t>7.81667-5.55</t>
  </si>
  <si>
    <t>7.81667-5.55_S. haematobium</t>
  </si>
  <si>
    <t>5.23139-13.0514</t>
  </si>
  <si>
    <t>5.23139-13.0514_S. haematobium</t>
  </si>
  <si>
    <t>9.02035-10.2611</t>
  </si>
  <si>
    <t>9.02035-10.2611_S. haematobium</t>
  </si>
  <si>
    <t>9.02035-10.2611_S. mansoni</t>
  </si>
  <si>
    <t>9.03333-10.2333</t>
  </si>
  <si>
    <t>9.03333-10.2333_S. haematobium</t>
  </si>
  <si>
    <t>9.03333-10.2333_S. mansoni</t>
  </si>
  <si>
    <t>9.1-10.1667</t>
  </si>
  <si>
    <t>9.1-10.1667_S. haematobium</t>
  </si>
  <si>
    <t>9.1-10.1667_S. mansoni</t>
  </si>
  <si>
    <t>9.16667-10.0833</t>
  </si>
  <si>
    <t>9.16667-10.0833_S. haematobium</t>
  </si>
  <si>
    <t>9.16667-10.0833_S. mansoni</t>
  </si>
  <si>
    <t>3.98333-6.58333</t>
  </si>
  <si>
    <t>3.98333-6.58333_S. haematobium</t>
  </si>
  <si>
    <t>8.5-12.2833</t>
  </si>
  <si>
    <t>8.5-12.2833_S. mansoni</t>
  </si>
  <si>
    <t>8.5-12.2833_S. haematobium</t>
  </si>
  <si>
    <t>8.25-12</t>
  </si>
  <si>
    <t>8.25-12_S. mansoni</t>
  </si>
  <si>
    <t>8.25-12_S. haematobium</t>
  </si>
  <si>
    <t>4.73333-7.61667</t>
  </si>
  <si>
    <t>4.73333-7.61667_S. haematobium</t>
  </si>
  <si>
    <t>4.74556-10.8333</t>
  </si>
  <si>
    <t>4.74556-10.8333_S. haematobium</t>
  </si>
  <si>
    <t>4.74556-10.8333_S. mansoni</t>
  </si>
  <si>
    <t>4.74722-10.8583</t>
  </si>
  <si>
    <t>4.74722-10.8583_S. haematobium</t>
  </si>
  <si>
    <t>4.74722-10.8583_S. mansoni</t>
  </si>
  <si>
    <t>4.68333-10.3667</t>
  </si>
  <si>
    <t>4.68333-10.3667_S. haematobium</t>
  </si>
  <si>
    <t>4.68333-10.3667_S. mansoni</t>
  </si>
  <si>
    <t>4.63333-10.4833</t>
  </si>
  <si>
    <t>4.63333-10.4833_S. haematobium</t>
  </si>
  <si>
    <t>4.63333-10.4833_S. mansoni</t>
  </si>
  <si>
    <t>4.64167-10.475</t>
  </si>
  <si>
    <t>4.64167-10.475_S. haematobium</t>
  </si>
  <si>
    <t>4.64167-10.475_S. mansoni</t>
  </si>
  <si>
    <t>4.65833-10.45</t>
  </si>
  <si>
    <t>4.65833-10.45_S. haematobium</t>
  </si>
  <si>
    <t>4.65833-10.45_S. mansoni</t>
  </si>
  <si>
    <t>4.675-10.4333</t>
  </si>
  <si>
    <t>4.675-10.4333_S. haematobium</t>
  </si>
  <si>
    <t>4.675-10.4333_S. mansoni</t>
  </si>
  <si>
    <t>4.625-10.2267</t>
  </si>
  <si>
    <t>4.625-10.2267_S. haematobium</t>
  </si>
  <si>
    <t>4.625-10.2267_S. mansoni</t>
  </si>
  <si>
    <t>4.62222-10.2042</t>
  </si>
  <si>
    <t>4.62222-10.2042_S. haematobium</t>
  </si>
  <si>
    <t>4.62222-10.2042_S. mansoni</t>
  </si>
  <si>
    <t>13.25-11.85</t>
  </si>
  <si>
    <t>13.25-11.85_S. haematobium</t>
  </si>
  <si>
    <t>3.89639-7.38778_S. mansoni</t>
  </si>
  <si>
    <t>7.616667-11.8</t>
  </si>
  <si>
    <t>7.616667-11.8_S. haematobium</t>
  </si>
  <si>
    <t>7.7-11.0667_S. mansoni</t>
  </si>
  <si>
    <t>6.072067-6.749303</t>
  </si>
  <si>
    <t>6.072067-6.749303_S. haematobium</t>
  </si>
  <si>
    <t>6.20194-5.16472</t>
  </si>
  <si>
    <t>6.20194-5.16472_S. intercalatum (guineensis)</t>
  </si>
  <si>
    <t>6.36667-6.01667</t>
  </si>
  <si>
    <t>6.36667-6.01667_S. haematobium</t>
  </si>
  <si>
    <t>2.9-6.43333</t>
  </si>
  <si>
    <t>2.9-6.43333_S. haematobium</t>
  </si>
  <si>
    <t>8.78333-9.73333</t>
  </si>
  <si>
    <t>8.78333-9.73333_S. mansoni</t>
  </si>
  <si>
    <t>6.45139-4.9225</t>
  </si>
  <si>
    <t>6.45139-4.9225_S. haematobium</t>
  </si>
  <si>
    <t>3.89025-7.40088</t>
  </si>
  <si>
    <t>3.89025-7.40088_S. haematobium</t>
  </si>
  <si>
    <t>9.45-9.33333</t>
  </si>
  <si>
    <t>9.45-9.33333_S. haematobium</t>
  </si>
  <si>
    <t>9.53333-8.88333</t>
  </si>
  <si>
    <t>9.53333-8.88333_S. haematobium</t>
  </si>
  <si>
    <t>9.14997-8.80026</t>
  </si>
  <si>
    <t>9.14997-8.80026_S. haematobium</t>
  </si>
  <si>
    <t>9.7575-9.12417</t>
  </si>
  <si>
    <t>9.7575-9.12417_S. haematobium</t>
  </si>
  <si>
    <t>9.76667-9.14111</t>
  </si>
  <si>
    <t>9.76667-9.14111_S. haematobium</t>
  </si>
  <si>
    <t>9.96667-9.1</t>
  </si>
  <si>
    <t>9.96667-9.1_S. haematobium</t>
  </si>
  <si>
    <t>6.83333-6.33333</t>
  </si>
  <si>
    <t>6.83333-6.33333_S. haematobium</t>
  </si>
  <si>
    <t>4.56667-7.46667</t>
  </si>
  <si>
    <t>4.56667-7.46667_S. haematobium</t>
  </si>
  <si>
    <t>7-6.16667</t>
  </si>
  <si>
    <t>7-6.16667_S. mansoni</t>
  </si>
  <si>
    <t>7.6-5.65</t>
  </si>
  <si>
    <t>7.6-5.65_S. haematobium</t>
  </si>
  <si>
    <t>7.523675-5.431847</t>
  </si>
  <si>
    <t>7.523675-5.431847_S. haematobium</t>
  </si>
  <si>
    <t>7.68333-5.46667</t>
  </si>
  <si>
    <t>7.68333-5.46667_S. haematobium</t>
  </si>
  <si>
    <t>7.63407-5.55834</t>
  </si>
  <si>
    <t>7.63407-5.55834_S. haematobium</t>
  </si>
  <si>
    <t>7.633989-5.55834</t>
  </si>
  <si>
    <t>7.633989-5.55834_S. haematobium</t>
  </si>
  <si>
    <t>8.308844-8.570514</t>
  </si>
  <si>
    <t>8.308844-8.570514_S. haematobium</t>
  </si>
  <si>
    <t>9.12191-10.0667</t>
  </si>
  <si>
    <t>9.12191-10.0667_S. mansoni</t>
  </si>
  <si>
    <t>3.81611-10.4325</t>
  </si>
  <si>
    <t>3.81611-10.4325_S. haematobium</t>
  </si>
  <si>
    <t>3.68333-10.2833</t>
  </si>
  <si>
    <t>3.68333-10.2833_S. haematobium</t>
  </si>
  <si>
    <t>3.9-10.4167</t>
  </si>
  <si>
    <t>3.9-10.4167_S. haematobium</t>
  </si>
  <si>
    <t>3.66649-10.2422</t>
  </si>
  <si>
    <t>3.66649-10.2422_S. haematobium</t>
  </si>
  <si>
    <t>4.02806-10.6067</t>
  </si>
  <si>
    <t>4.02806-10.6067_S. haematobium</t>
  </si>
  <si>
    <t>3.9-10.5333</t>
  </si>
  <si>
    <t>3.9-10.5333_S. haematobium</t>
  </si>
  <si>
    <t>3.9-10.4833</t>
  </si>
  <si>
    <t>3.9-10.4833_S. haematobium</t>
  </si>
  <si>
    <t>3.78333-10.3667</t>
  </si>
  <si>
    <t>3.78333-10.3667_S. haematobium</t>
  </si>
  <si>
    <t>7.05-6.1</t>
  </si>
  <si>
    <t>7.05-6.1_S. haematobium</t>
  </si>
  <si>
    <t>7.01667-6.15</t>
  </si>
  <si>
    <t>7.01667-6.15_S. haematobium</t>
  </si>
  <si>
    <t>6.99556-6.08624</t>
  </si>
  <si>
    <t>6.99556-6.08624_S. haematobium</t>
  </si>
  <si>
    <t>7.006839-6.275767</t>
  </si>
  <si>
    <t>7.006839-6.275767_S. haematobium</t>
  </si>
  <si>
    <t>7.03107-6.09899</t>
  </si>
  <si>
    <t>7.03107-6.09899_S. haematobium</t>
  </si>
  <si>
    <t>7.03103-6.1568</t>
  </si>
  <si>
    <t>7.03103-6.1568_S. haematobium</t>
  </si>
  <si>
    <t>7.03785-6.10866</t>
  </si>
  <si>
    <t>7.03785-6.10866_S. haematobium</t>
  </si>
  <si>
    <t>7.05638-6.13452</t>
  </si>
  <si>
    <t>7.05638-6.13452_S. haematobium</t>
  </si>
  <si>
    <t>7.05819-6.09313</t>
  </si>
  <si>
    <t>7.05819-6.09313_S. haematobium</t>
  </si>
  <si>
    <t>7.05235-6.12394</t>
  </si>
  <si>
    <t>7.05235-6.12394_S. haematobium</t>
  </si>
  <si>
    <t>7.035-6.13836</t>
  </si>
  <si>
    <t>7.035-6.13836_S. haematobium</t>
  </si>
  <si>
    <t>7.04806-6.11225</t>
  </si>
  <si>
    <t>7.04806-6.11225_S. haematobium</t>
  </si>
  <si>
    <t>7.03621-6.13051</t>
  </si>
  <si>
    <t>7.03621-6.13051_S. haematobium</t>
  </si>
  <si>
    <t>7.03269-6.12087</t>
  </si>
  <si>
    <t>7.03269-6.12087_S. haematobium</t>
  </si>
  <si>
    <t>7.029-6.10815</t>
  </si>
  <si>
    <t>7.029-6.10815_S. haematobium</t>
  </si>
  <si>
    <t>7.03333-6.11667</t>
  </si>
  <si>
    <t>7.03333-6.11667_S. haematobium</t>
  </si>
  <si>
    <t>7.44028-10.5231</t>
  </si>
  <si>
    <t>7.44028-10.5231_S. haematobium</t>
  </si>
  <si>
    <t>7.44028-10.5231_S. mansoni</t>
  </si>
  <si>
    <t>6.99806-4.8675</t>
  </si>
  <si>
    <t>6.99806-4.8675_S. mansoni</t>
  </si>
  <si>
    <t>6.99806-4.8675_S. haematobium</t>
  </si>
  <si>
    <t>6.99806-4.8675_S. intercalatum (guineensis)</t>
  </si>
  <si>
    <t>6.99139-4.85028</t>
  </si>
  <si>
    <t>6.99139-4.85028_S. mansoni</t>
  </si>
  <si>
    <t>6.99139-4.85028_S. haematobium</t>
  </si>
  <si>
    <t>6.99139-4.85028_S. intercalatum (guineensis)</t>
  </si>
  <si>
    <t>6.98917-4.83833</t>
  </si>
  <si>
    <t>6.98917-4.83833_S. mansoni</t>
  </si>
  <si>
    <t>6.98917-4.83833_S. haematobium</t>
  </si>
  <si>
    <t>6.98917-4.83833_S. intercalatum (guineensis)</t>
  </si>
  <si>
    <t>7.00167-4.82528</t>
  </si>
  <si>
    <t>7.00167-4.82528_S. mansoni</t>
  </si>
  <si>
    <t>7.00167-4.82528_S. haematobium</t>
  </si>
  <si>
    <t>7.00167-4.82528_S. intercalatum (guineensis)</t>
  </si>
  <si>
    <t>7.00056-4.80556</t>
  </si>
  <si>
    <t>7.00056-4.80556_S. mansoni</t>
  </si>
  <si>
    <t>7.00056-4.80556_S. haematobium</t>
  </si>
  <si>
    <t>7.00056-4.80556_S. intercalatum (guineensis)</t>
  </si>
  <si>
    <t>6.98667-4.81167</t>
  </si>
  <si>
    <t>6.98667-4.81167_S. mansoni</t>
  </si>
  <si>
    <t>6.98667-4.81167_S. haematobium</t>
  </si>
  <si>
    <t>6.98667-4.81167_S. intercalatum (guineensis)</t>
  </si>
  <si>
    <t>7.01056-4.79611</t>
  </si>
  <si>
    <t>7.01056-4.79611_S. mansoni</t>
  </si>
  <si>
    <t>7.01056-4.79611_S. haematobium</t>
  </si>
  <si>
    <t>7.01056-4.79611_S. intercalatum (guineensis)</t>
  </si>
  <si>
    <t>7.01389-4.78056</t>
  </si>
  <si>
    <t>7.01389-4.78056_S. mansoni</t>
  </si>
  <si>
    <t>7.01389-4.78056_S. haematobium</t>
  </si>
  <si>
    <t>7.01389-4.78056_S. intercalatum (guineensis)</t>
  </si>
  <si>
    <t>7.02556-4.7625</t>
  </si>
  <si>
    <t>7.02556-4.7625_S. mansoni</t>
  </si>
  <si>
    <t>7.02556-4.7625_S. haematobium</t>
  </si>
  <si>
    <t>7.02556-4.7625_S. intercalatum (guineensis)</t>
  </si>
  <si>
    <t>7.03778-4.74583</t>
  </si>
  <si>
    <t>7.03778-4.74583_S. mansoni</t>
  </si>
  <si>
    <t>7.03778-4.74583_S. haematobium</t>
  </si>
  <si>
    <t>7.03778-4.74583_S. intercalatum (guineensis)</t>
  </si>
  <si>
    <t>7.06111-4.77889</t>
  </si>
  <si>
    <t>7.06111-4.77889_S. mansoni</t>
  </si>
  <si>
    <t>7.06111-4.77889_S. haematobium</t>
  </si>
  <si>
    <t>7.06111-4.77889_S. intercalatum (guineensis)</t>
  </si>
  <si>
    <t>7.04611-4.79972</t>
  </si>
  <si>
    <t>7.04611-4.79972_S. mansoni</t>
  </si>
  <si>
    <t>7.04611-4.79972_S. haematobium</t>
  </si>
  <si>
    <t>7.04611-4.79972_S. intercalatum (guineensis)</t>
  </si>
  <si>
    <t>7.03278-4.81222</t>
  </si>
  <si>
    <t>7.03278-4.81222_S. mansoni</t>
  </si>
  <si>
    <t>7.03278-4.81222_S. haematobium</t>
  </si>
  <si>
    <t>7.03278-4.81222_S. intercalatum (guineensis)</t>
  </si>
  <si>
    <t>7.02722-4.83306</t>
  </si>
  <si>
    <t>7.02722-4.83306_S. mansoni</t>
  </si>
  <si>
    <t>7.02722-4.83306_S. haematobium</t>
  </si>
  <si>
    <t>7.02722-4.83306_S. intercalatum (guineensis)</t>
  </si>
  <si>
    <t>7.04778-4.84528</t>
  </si>
  <si>
    <t>7.04778-4.84528_S. mansoni</t>
  </si>
  <si>
    <t>7.04778-4.84528_S. haematobium</t>
  </si>
  <si>
    <t>7.04778-4.84528_S. intercalatum (guineensis)</t>
  </si>
  <si>
    <t>7.05694-4.85917</t>
  </si>
  <si>
    <t>7.05694-4.85917_S. mansoni</t>
  </si>
  <si>
    <t>7.05694-4.85917_S. haematobium</t>
  </si>
  <si>
    <t>7.05694-4.85917_S. intercalatum (guineensis)</t>
  </si>
  <si>
    <t>6.65087-5.07964</t>
  </si>
  <si>
    <t>6.65087-5.07964_S. mansoni</t>
  </si>
  <si>
    <t>6.65087-5.07964_S. haematobium</t>
  </si>
  <si>
    <t>2.96667-7.21667</t>
  </si>
  <si>
    <t>2.96667-7.21667_S. haematobium</t>
  </si>
  <si>
    <t>3.35-7.15</t>
  </si>
  <si>
    <t>3.35-7.15_S. haematobium</t>
  </si>
  <si>
    <t>8.8-7.01667</t>
  </si>
  <si>
    <t>8.8-7.01667_S. mansoni</t>
  </si>
  <si>
    <t>9.5-6.9</t>
  </si>
  <si>
    <t>9.5-6.9_S. mansoni</t>
  </si>
  <si>
    <t>9.23333-6.88333</t>
  </si>
  <si>
    <t>9.23333-6.88333_S. mansoni</t>
  </si>
  <si>
    <t>4.51667-9.88333</t>
  </si>
  <si>
    <t>4.51667-9.88333_S. mansoni</t>
  </si>
  <si>
    <t>8.88333-9.9</t>
  </si>
  <si>
    <t>8.88333-9.9_S. mansoni</t>
  </si>
  <si>
    <t>7.6539-6.3267</t>
  </si>
  <si>
    <t>7.6539-6.3267_S. haematobium</t>
  </si>
  <si>
    <t>7.6539-6.3267_S. mansoni</t>
  </si>
  <si>
    <t>3.91278-7.435</t>
  </si>
  <si>
    <t>3.91278-7.435_S. haematobium</t>
  </si>
  <si>
    <t>5.6-6.4</t>
  </si>
  <si>
    <t>5.6-6.4_S. mansoni</t>
  </si>
  <si>
    <t>9.41667-9.4</t>
  </si>
  <si>
    <t>9.41667-9.4_S. mansoni</t>
  </si>
  <si>
    <t>9.41667-9.4_S. haematobium</t>
  </si>
  <si>
    <t>3.1208-6.49666</t>
  </si>
  <si>
    <t>3.1208-6.49666_S. haematobium</t>
  </si>
  <si>
    <t>3.1208-6.49666_S. mansoni</t>
  </si>
  <si>
    <t>7.98333-5.76667_S. mansoni</t>
  </si>
  <si>
    <t>6.461075-6.327661</t>
  </si>
  <si>
    <t>6.461075-6.327661_S. haematobium</t>
  </si>
  <si>
    <t>5.125156-6.450547</t>
  </si>
  <si>
    <t>5.125156-6.450547_S. haematobium</t>
  </si>
  <si>
    <t>3.466875-6.590153</t>
  </si>
  <si>
    <t>3.466875-6.590153_S. mansoni</t>
  </si>
  <si>
    <t>3.355264-6.443369</t>
  </si>
  <si>
    <t>3.355264-6.443369_S. mansoni</t>
  </si>
  <si>
    <t>3.916611-7.396294</t>
  </si>
  <si>
    <t>3.916611-7.396294_S. haematobium</t>
  </si>
  <si>
    <t>5.14844-7.09203</t>
  </si>
  <si>
    <t>5.14844-7.09203_S. haematobium</t>
  </si>
  <si>
    <t>4.77954-6.50278</t>
  </si>
  <si>
    <t>4.77954-6.50278_S. haematobium</t>
  </si>
  <si>
    <t>5.14835-7.25145</t>
  </si>
  <si>
    <t>5.14835-7.25145_S. haematobium</t>
  </si>
  <si>
    <t>5.25673-7.37336</t>
  </si>
  <si>
    <t>5.25673-7.37336_S. haematobium</t>
  </si>
  <si>
    <t>5.76502-7.6586</t>
  </si>
  <si>
    <t>5.76502-7.6586_S. haematobium</t>
  </si>
  <si>
    <t>5.76708-7.52451</t>
  </si>
  <si>
    <t>5.76708-7.52451_S. haematobium</t>
  </si>
  <si>
    <t>5.68811-7.44384</t>
  </si>
  <si>
    <t>5.68811-7.44384_S. haematobium</t>
  </si>
  <si>
    <t>5.90847-7.44962</t>
  </si>
  <si>
    <t>5.90847-7.44962_S. haematobium</t>
  </si>
  <si>
    <t>4.99317-6.25319</t>
  </si>
  <si>
    <t>4.99317-6.25319_S. haematobium</t>
  </si>
  <si>
    <t>5.00181-6.51898</t>
  </si>
  <si>
    <t>5.00181-6.51898_S. haematobium</t>
  </si>
  <si>
    <t>4.88555-7.31709</t>
  </si>
  <si>
    <t>4.88555-7.31709_S. haematobium</t>
  </si>
  <si>
    <t>5.10578-7.35089</t>
  </si>
  <si>
    <t>5.10578-7.35089_S. haematobium</t>
  </si>
  <si>
    <t>4.71233-6.2136</t>
  </si>
  <si>
    <t>4.71233-6.2136_S. haematobium</t>
  </si>
  <si>
    <t>5.686-6.94006</t>
  </si>
  <si>
    <t>5.686-6.94006_S. haematobium</t>
  </si>
  <si>
    <t>4.75393-7.03752</t>
  </si>
  <si>
    <t>4.75393-7.03752_S. haematobium</t>
  </si>
  <si>
    <t>4.93624-7.10805</t>
  </si>
  <si>
    <t>4.93624-7.10805_S. haematobium</t>
  </si>
  <si>
    <t>5.5836-7.18299</t>
  </si>
  <si>
    <t>5.5836-7.18299_S. haematobium</t>
  </si>
  <si>
    <t>4.87781-6.7669</t>
  </si>
  <si>
    <t>4.87781-6.7669_S. haematobium</t>
  </si>
  <si>
    <t>7.35017-5.81703</t>
  </si>
  <si>
    <t>7.35017-5.81703_S. haematobium</t>
  </si>
  <si>
    <t>6.84443-5.39761</t>
  </si>
  <si>
    <t>6.84443-5.39761_S. haematobium</t>
  </si>
  <si>
    <t>6.81009-5.71062</t>
  </si>
  <si>
    <t>6.81009-5.71062_S. haematobium</t>
  </si>
  <si>
    <t>6.98968-5.40992</t>
  </si>
  <si>
    <t>6.98968-5.40992_S. haematobium</t>
  </si>
  <si>
    <t>6.14208-12.5584</t>
  </si>
  <si>
    <t>6.14208-12.5584_S. haematobium</t>
  </si>
  <si>
    <t>6.181717-12.51225</t>
  </si>
  <si>
    <t>6.181717-12.51225_S. haematobium</t>
  </si>
  <si>
    <t>6.47088-6.55776</t>
  </si>
  <si>
    <t>6.47088-6.55776_S. haematobium</t>
  </si>
  <si>
    <t>4.61667-7.33333</t>
  </si>
  <si>
    <t>4.61667-7.33333_S. haematobium</t>
  </si>
  <si>
    <t>7.0724-6.11</t>
  </si>
  <si>
    <t>7.0724-6.11_S. haematobium</t>
  </si>
  <si>
    <t>7.0311-6.1199</t>
  </si>
  <si>
    <t>7.0311-6.1199_S. haematobium</t>
  </si>
  <si>
    <t>6.75-7.083336</t>
  </si>
  <si>
    <t>6.75-7.083336_S. haematobium</t>
  </si>
  <si>
    <t>7.047158-7.691975</t>
  </si>
  <si>
    <t>7.047158-7.691975_S. haematobium</t>
  </si>
  <si>
    <t>8.799072-10.054472</t>
  </si>
  <si>
    <t>8.799072-10.054472_S. haematobium</t>
  </si>
  <si>
    <t>7.633333-7.433333</t>
  </si>
  <si>
    <t>7.633333-7.433333_S. haematobium</t>
  </si>
  <si>
    <t>3.183333-7.3</t>
  </si>
  <si>
    <t>3.183333-7.3_S. haematobium</t>
  </si>
  <si>
    <t>8.13032-7.19821</t>
  </si>
  <si>
    <t>8.13032-7.19821_S. haematobium</t>
  </si>
  <si>
    <t>7.65049-7.8008</t>
  </si>
  <si>
    <t>7.65049-7.8008_S. haematobium</t>
  </si>
  <si>
    <t>8.383519-6.856644</t>
  </si>
  <si>
    <t>8.383519-6.856644_S. haematobium</t>
  </si>
  <si>
    <t>8.53598-7.73174</t>
  </si>
  <si>
    <t>8.53598-7.73174_S. haematobium</t>
  </si>
  <si>
    <t>7.950033-13.092858</t>
  </si>
  <si>
    <t>7.950033-13.092858_S. haematobium</t>
  </si>
  <si>
    <t>9.00481-7.32535</t>
  </si>
  <si>
    <t>9.00481-7.32535_S. haematobium</t>
  </si>
  <si>
    <t>8.535942-7.721811</t>
  </si>
  <si>
    <t>8.535942-7.721811_S. haematobium</t>
  </si>
  <si>
    <t>9.069547-6.783539</t>
  </si>
  <si>
    <t>9.069547-6.783539_S. haematobium</t>
  </si>
  <si>
    <t>9.309892-8.723519</t>
  </si>
  <si>
    <t>9.309892-8.723519_S. haematobium</t>
  </si>
  <si>
    <t>9.28342-7.16681</t>
  </si>
  <si>
    <t>9.28342-7.16681_S. haematobium</t>
  </si>
  <si>
    <t>7.4943-6.4402</t>
  </si>
  <si>
    <t>7.4943-6.4402_S. haematobium</t>
  </si>
  <si>
    <t>7.4191-5.92871</t>
  </si>
  <si>
    <t>7.4191-5.92871_S. haematobium</t>
  </si>
  <si>
    <t>6.0301-7.2058</t>
  </si>
  <si>
    <t>6.0301-7.2058_S. haematobium</t>
  </si>
  <si>
    <t>6.1235-7.0398</t>
  </si>
  <si>
    <t>6.1235-7.0398_S. haematobium</t>
  </si>
  <si>
    <t>8.04077-5.73642</t>
  </si>
  <si>
    <t>8.04077-5.73642_S. haematobium</t>
  </si>
  <si>
    <t>8.29901-6.15922</t>
  </si>
  <si>
    <t>8.29901-6.15922_S. haematobium</t>
  </si>
  <si>
    <t>7.959286-6.19159</t>
  </si>
  <si>
    <t>7.959286-6.19159_S. haematobium</t>
  </si>
  <si>
    <t>4.566667-7.466667</t>
  </si>
  <si>
    <t>4.566667-7.466667_S. haematobium</t>
  </si>
  <si>
    <t>4.5912-7.943</t>
  </si>
  <si>
    <t>4.5912-7.943_S. mansoni</t>
  </si>
  <si>
    <t>4.56667-7.96667</t>
  </si>
  <si>
    <t>4.56667-7.96667_S. mansoni</t>
  </si>
  <si>
    <t>8.42296-11.9344</t>
  </si>
  <si>
    <t>8.42296-11.9344_S. haematobium</t>
  </si>
  <si>
    <t>6.53579-9.61036</t>
  </si>
  <si>
    <t>6.53579-9.61036_S. haematobium</t>
  </si>
  <si>
    <t>6.55337-9.60801</t>
  </si>
  <si>
    <t>6.55337-9.60801_S. haematobium</t>
  </si>
  <si>
    <t>6.51611-9.65333</t>
  </si>
  <si>
    <t>6.51611-9.65333_S. haematobium</t>
  </si>
  <si>
    <t>6.5442-9.62489</t>
  </si>
  <si>
    <t>6.5442-9.62489_S. haematobium</t>
  </si>
  <si>
    <t>7.41667-5.93333</t>
  </si>
  <si>
    <t>7.41667-5.93333_S. haematobium</t>
  </si>
  <si>
    <t>7.42592-5.9258</t>
  </si>
  <si>
    <t>7.42592-5.9258_S. haematobium</t>
  </si>
  <si>
    <t>7.45-5.96667</t>
  </si>
  <si>
    <t>7.45-5.96667_S. haematobium</t>
  </si>
  <si>
    <t>7.41885-5.92922</t>
  </si>
  <si>
    <t>7.41885-5.92922_S. haematobium</t>
  </si>
  <si>
    <t>7.4717-6.0022</t>
  </si>
  <si>
    <t>7.4717-6.0022_S. haematobium</t>
  </si>
  <si>
    <t>7.4-5.91667</t>
  </si>
  <si>
    <t>7.4-5.91667_S. haematobium</t>
  </si>
  <si>
    <t>3.34833-7.16083</t>
  </si>
  <si>
    <t>3.34833-7.16083_S. haematobium</t>
  </si>
  <si>
    <t>3.348333-7.466667</t>
  </si>
  <si>
    <t>3.348333-7.466667_S. haematobium</t>
  </si>
  <si>
    <t>2.95589-6.59026</t>
  </si>
  <si>
    <t>2.95589-6.59026_S. haematobium</t>
  </si>
  <si>
    <t>3.22279-6.93561</t>
  </si>
  <si>
    <t>3.22279-6.93561_S. haematobium</t>
  </si>
  <si>
    <t>3.19991-6.81718</t>
  </si>
  <si>
    <t>3.19991-6.81718_S. haematobium</t>
  </si>
  <si>
    <t>3.09255-6.51028</t>
  </si>
  <si>
    <t>3.09255-6.51028_S. haematobium</t>
  </si>
  <si>
    <t>3.99985-6.96698</t>
  </si>
  <si>
    <t>3.99985-6.96698_S. haematobium</t>
  </si>
  <si>
    <t>3.92123-6.8211</t>
  </si>
  <si>
    <t>3.92123-6.8211_S. haematobium</t>
  </si>
  <si>
    <t>4.00635-6.89281</t>
  </si>
  <si>
    <t>4.00635-6.89281_S. haematobium</t>
  </si>
  <si>
    <t>3.71671-6.86687</t>
  </si>
  <si>
    <t>3.71671-6.86687_S. haematobium</t>
  </si>
  <si>
    <t>3.08142-6.89851</t>
  </si>
  <si>
    <t>3.08142-6.89851_S. haematobium</t>
  </si>
  <si>
    <t>2.8403-6.52503</t>
  </si>
  <si>
    <t>2.8403-6.52503_S. haematobium</t>
  </si>
  <si>
    <t>3.56547-7.12029</t>
  </si>
  <si>
    <t>3.56547-7.12029_S. haematobium</t>
  </si>
  <si>
    <t>3.52819-7.23293</t>
  </si>
  <si>
    <t>3.52819-7.23293_S. haematobium</t>
  </si>
  <si>
    <t>3.7688-6.83678</t>
  </si>
  <si>
    <t>3.7688-6.83678_S. haematobium</t>
  </si>
  <si>
    <t>4.33461-6.53983</t>
  </si>
  <si>
    <t>4.33461-6.53983_S. haematobium</t>
  </si>
  <si>
    <t>3.63198-6.83235</t>
  </si>
  <si>
    <t>3.63198-6.83235_S. haematobium</t>
  </si>
  <si>
    <t>2.829408-7.19385</t>
  </si>
  <si>
    <t>2.829408-7.19385_S. haematobium</t>
  </si>
  <si>
    <t>3.2833-7.4333</t>
  </si>
  <si>
    <t>3.2833-7.4333_S. haematobium</t>
  </si>
  <si>
    <t>3.71667-7.21667</t>
  </si>
  <si>
    <t>3.71667-7.21667_S. haematobium</t>
  </si>
  <si>
    <t>3.90177-7.40154</t>
  </si>
  <si>
    <t>3.90177-7.40154_S. haematobium</t>
  </si>
  <si>
    <t>3.41798-6.44116</t>
  </si>
  <si>
    <t>3.41798-6.44116_S. mansoni</t>
  </si>
  <si>
    <t>11.7458-8.98152</t>
  </si>
  <si>
    <t>11.7458-8.98152_S. haematobium</t>
  </si>
  <si>
    <t>11.7-8.91667</t>
  </si>
  <si>
    <t>11.7-8.91667_S. haematobium</t>
  </si>
  <si>
    <t>3.84716-7.38046</t>
  </si>
  <si>
    <t>3.84716-7.38046_S. mansoni</t>
  </si>
  <si>
    <t>3.84716-7.38046_S. haematobium</t>
  </si>
  <si>
    <t>3.98561-6.58111</t>
  </si>
  <si>
    <t>3.98561-6.58111_S. mansoni</t>
  </si>
  <si>
    <t>3.98561-6.58111_S. haematobium</t>
  </si>
  <si>
    <t>3.35-7.15_S. mansoni</t>
  </si>
  <si>
    <t>7.4943-6.4402_S. mansoni</t>
  </si>
  <si>
    <t>7.00523-4.78501</t>
  </si>
  <si>
    <t>7.00523-4.78501_S. mansoni</t>
  </si>
  <si>
    <t>6.23911-7.54886</t>
  </si>
  <si>
    <t>6.23911-7.54886_S. haematobium</t>
  </si>
  <si>
    <t>6.23687-7.59873</t>
  </si>
  <si>
    <t>6.23687-7.59873_S. haematobium</t>
  </si>
  <si>
    <t>6.24391-7.57499</t>
  </si>
  <si>
    <t>6.24391-7.57499_S. haematobium</t>
  </si>
  <si>
    <t>6.2301-7.5404</t>
  </si>
  <si>
    <t>6.2301-7.5404_S. haematobium</t>
  </si>
  <si>
    <t>6.23248-7.55145</t>
  </si>
  <si>
    <t>6.23248-7.55145_S. haematobium</t>
  </si>
  <si>
    <t>6.1555-7.4742</t>
  </si>
  <si>
    <t>6.1555-7.4742_S. haematobium</t>
  </si>
  <si>
    <t>6.24958-7.52709</t>
  </si>
  <si>
    <t>6.24958-7.52709_S. haematobium</t>
  </si>
  <si>
    <t>6.16124-7.59654</t>
  </si>
  <si>
    <t>6.16124-7.59654_S. haematobium</t>
  </si>
  <si>
    <t>6.1917-7.5488</t>
  </si>
  <si>
    <t>6.1917-7.5488_S. haematobium</t>
  </si>
  <si>
    <t>6.45033-7.53168</t>
  </si>
  <si>
    <t>6.45033-7.53168_S. haematobium</t>
  </si>
  <si>
    <t>6.4144-7.5262</t>
  </si>
  <si>
    <t>6.4144-7.5262_S. haematobium</t>
  </si>
  <si>
    <t>6.1063-7.6643</t>
  </si>
  <si>
    <t>6.1063-7.6643_S. haematobium</t>
  </si>
  <si>
    <t>6.20036-7.61765</t>
  </si>
  <si>
    <t>6.20036-7.61765_S. haematobium</t>
  </si>
  <si>
    <t>7.62217-11.7835</t>
  </si>
  <si>
    <t>7.62217-11.7835_S. haematobium</t>
  </si>
  <si>
    <t>7.62217-11.7835_S. mansoni</t>
  </si>
  <si>
    <t>7.43828-10.5222</t>
  </si>
  <si>
    <t>7.43828-10.5222_S. haematobium</t>
  </si>
  <si>
    <t>7.43828-10.5222_S. mansoni</t>
  </si>
  <si>
    <t>7.746-11.7017</t>
  </si>
  <si>
    <t>7.746-11.7017_S. haematobium</t>
  </si>
  <si>
    <t>7.746-11.7017_S. mansoni</t>
  </si>
  <si>
    <t>7.006839-6.275767_S. mansoni</t>
  </si>
  <si>
    <t>3.89528-7.37884</t>
  </si>
  <si>
    <t>3.89528-7.37884_S. haematobium</t>
  </si>
  <si>
    <t>3.84795-7.38373</t>
  </si>
  <si>
    <t>3.84795-7.38373_S. haematobium</t>
  </si>
  <si>
    <t>3.84934-7.38387</t>
  </si>
  <si>
    <t>3.84934-7.38387_S. haematobium</t>
  </si>
  <si>
    <t>4.5-7.78333</t>
  </si>
  <si>
    <t>4.5-7.78333_S. haematobium</t>
  </si>
  <si>
    <t>3.933333-7.85</t>
  </si>
  <si>
    <t>3.933333-7.85_S. haematobium</t>
  </si>
  <si>
    <t>3.933333-7.85_S. mansoni</t>
  </si>
  <si>
    <t>3.916667-7.396394</t>
  </si>
  <si>
    <t>3.916667-7.396394_S. haematobium</t>
  </si>
  <si>
    <t>3.916667-7.396394_S. mansoni</t>
  </si>
  <si>
    <t>3.89087-7.44904</t>
  </si>
  <si>
    <t>3.89087-7.44904_S. haematobium</t>
  </si>
  <si>
    <t>3.89087-7.44904_S. mansoni</t>
  </si>
  <si>
    <t>7.396394-7.396394</t>
  </si>
  <si>
    <t>7.396394-7.396394_S. haematobium</t>
  </si>
  <si>
    <t>7.396394-7.396394_S. mansoni</t>
  </si>
  <si>
    <t>4.59226-7.94403</t>
  </si>
  <si>
    <t>4.59226-7.94403_S. haematobium</t>
  </si>
  <si>
    <t>4.56667-7.96667_S. haematobium</t>
  </si>
  <si>
    <t>4.48333-7.83333</t>
  </si>
  <si>
    <t>4.48333-7.83333_S. haematobium</t>
  </si>
  <si>
    <t>4.48333-7.81667</t>
  </si>
  <si>
    <t>4.48333-7.81667_S. haematobium</t>
  </si>
  <si>
    <t>2.88337-6.41715</t>
  </si>
  <si>
    <t>2.88337-6.41715_S. haematobium</t>
  </si>
  <si>
    <t>7.85654-11.6891</t>
  </si>
  <si>
    <t>7.85654-11.6891_S. haematobium</t>
  </si>
  <si>
    <t>7.58399-11.72</t>
  </si>
  <si>
    <t>7.58399-11.72_S. haematobium</t>
  </si>
  <si>
    <t>7.616667-7.396394</t>
  </si>
  <si>
    <t>7.616667-7.396394_S. haematobium</t>
  </si>
  <si>
    <t>7.60597-11.7153</t>
  </si>
  <si>
    <t>7.60597-11.7153_S. haematobium</t>
  </si>
  <si>
    <t>7.59648-11.6965</t>
  </si>
  <si>
    <t>7.59648-11.6965_S. haematobium</t>
  </si>
  <si>
    <t>7.60923-11.7304</t>
  </si>
  <si>
    <t>7.60923-11.7304_S. haematobium</t>
  </si>
  <si>
    <t>7.60691-11.7291</t>
  </si>
  <si>
    <t>7.60691-11.7291_S. haematobium</t>
  </si>
  <si>
    <t>7.57457-11.7197</t>
  </si>
  <si>
    <t>7.57457-11.7197_S. haematobium</t>
  </si>
  <si>
    <t>7.43394-10.5225</t>
  </si>
  <si>
    <t>7.43394-10.5225_S. mansoni</t>
  </si>
  <si>
    <t>3.34597-7.15959</t>
  </si>
  <si>
    <t>3.34597-7.15959_S. haematobium</t>
  </si>
  <si>
    <t>3.89666-7.37755</t>
  </si>
  <si>
    <t>3.89666-7.37755_S. haematobium</t>
  </si>
  <si>
    <t>3.41694-6.44472</t>
  </si>
  <si>
    <t>3.41694-6.44472_S. haematobium</t>
  </si>
  <si>
    <t>7.71496-11.0845</t>
  </si>
  <si>
    <t>7.71496-11.0845_S. haematobium</t>
  </si>
  <si>
    <t>3.97961-6.58475</t>
  </si>
  <si>
    <t>3.97961-6.58475_S. haematobium</t>
  </si>
  <si>
    <t>13.1609-11.8488</t>
  </si>
  <si>
    <t>13.1609-11.8488_S. haematobium</t>
  </si>
  <si>
    <t>4.52592-12.7452</t>
  </si>
  <si>
    <t>4.52592-12.7452_S. haematobium</t>
  </si>
  <si>
    <t>3.446667-11.887778</t>
  </si>
  <si>
    <t>3.446667-11.887778_S. mansoni</t>
  </si>
  <si>
    <t>1.45-14.216667</t>
  </si>
  <si>
    <t>1.45-14.216667_S. haematobium</t>
  </si>
  <si>
    <t>3.316667-14.351944</t>
  </si>
  <si>
    <t>3.316667-14.351944_S. haematobium</t>
  </si>
  <si>
    <t>2.302447-13.718253</t>
  </si>
  <si>
    <t>2.302447-13.718253_S. haematobium</t>
  </si>
  <si>
    <t>3.62793-11.7121</t>
  </si>
  <si>
    <t>3.62793-11.7121_S. haematobium</t>
  </si>
  <si>
    <t>3.63333-11.7167</t>
  </si>
  <si>
    <t>3.63333-11.7167_S. haematobium</t>
  </si>
  <si>
    <t>3.63333-11.7167_S. mansoni</t>
  </si>
  <si>
    <t>3.56667-11.7833</t>
  </si>
  <si>
    <t>3.56667-11.7833_S. haematobium</t>
  </si>
  <si>
    <t>3.56667-11.7833_S. mansoni</t>
  </si>
  <si>
    <t>3.55533-11.79</t>
  </si>
  <si>
    <t>3.55533-11.79_S. haematobium</t>
  </si>
  <si>
    <t>3.62307-11.7968</t>
  </si>
  <si>
    <t>3.62307-11.7968_S. haematobium</t>
  </si>
  <si>
    <t>3.62307-11.7968_S. mansoni</t>
  </si>
  <si>
    <t>3.6231-11.7968</t>
  </si>
  <si>
    <t>3.6231-11.7968_S. haematobium</t>
  </si>
  <si>
    <t>3.6231-11.7968_S. mansoni</t>
  </si>
  <si>
    <t>3.61667-11.8</t>
  </si>
  <si>
    <t>3.61667-11.8_S. haematobium</t>
  </si>
  <si>
    <t>3.61667-11.8_S. mansoni</t>
  </si>
  <si>
    <t>3.55228-11.8391</t>
  </si>
  <si>
    <t>3.55228-11.8391_S. haematobium</t>
  </si>
  <si>
    <t>3.55228-11.8391_S. mansoni</t>
  </si>
  <si>
    <t>3.5896-11.8786</t>
  </si>
  <si>
    <t>3.5896-11.8786_S. haematobium</t>
  </si>
  <si>
    <t>3.5896-11.8786_S. mansoni</t>
  </si>
  <si>
    <t>3.59611-11.8847</t>
  </si>
  <si>
    <t>3.59611-11.8847_S. haematobium</t>
  </si>
  <si>
    <t>3.59611-11.8847_S. mansoni</t>
  </si>
  <si>
    <t>3.44667-11.8878</t>
  </si>
  <si>
    <t>3.44667-11.8878_S. haematobium</t>
  </si>
  <si>
    <t>3.44667-11.8878_S. mansoni</t>
  </si>
  <si>
    <t>3.49-11.888</t>
  </si>
  <si>
    <t>3.49-11.888_S. haematobium</t>
  </si>
  <si>
    <t>3.33333-11.9</t>
  </si>
  <si>
    <t>3.33333-11.9_S. haematobium</t>
  </si>
  <si>
    <t>3.33333-11.9_S. mansoni</t>
  </si>
  <si>
    <t>3.31667-11.9833</t>
  </si>
  <si>
    <t>3.31667-11.9833_S. haematobium</t>
  </si>
  <si>
    <t>3.31667-11.9833_S. mansoni</t>
  </si>
  <si>
    <t>3.58333-11.9833</t>
  </si>
  <si>
    <t>3.58333-11.9833_S. haematobium</t>
  </si>
  <si>
    <t>3.58333-11.9833_S. mansoni</t>
  </si>
  <si>
    <t>3.5876-11.99</t>
  </si>
  <si>
    <t>3.5876-11.99_S. haematobium</t>
  </si>
  <si>
    <t>3.5876-11.99_S. mansoni</t>
  </si>
  <si>
    <t>3.56667-12.0167</t>
  </si>
  <si>
    <t>3.56667-12.0167_S. mansoni</t>
  </si>
  <si>
    <t>3.26823-12.0175</t>
  </si>
  <si>
    <t>3.26823-12.0175_S. haematobium</t>
  </si>
  <si>
    <t>3.55-12.0333</t>
  </si>
  <si>
    <t>3.55-12.0333_S. haematobium</t>
  </si>
  <si>
    <t>3.55-12.0333_S. mansoni</t>
  </si>
  <si>
    <t>3.55-12.0333_S. bovis</t>
  </si>
  <si>
    <t>3.55306-12.0506</t>
  </si>
  <si>
    <t>3.55306-12.0506_S. haematobium</t>
  </si>
  <si>
    <t>3.55306-12.0506_S. mansoni</t>
  </si>
  <si>
    <t>3.5512-12.0521</t>
  </si>
  <si>
    <t>3.5512-12.0521_S. haematobium</t>
  </si>
  <si>
    <t>3.5512-12.0521_S. mansoni</t>
  </si>
  <si>
    <t>3.23047-12.0839</t>
  </si>
  <si>
    <t>3.23047-12.0839_S. haematobium</t>
  </si>
  <si>
    <t>3.6-12.1167</t>
  </si>
  <si>
    <t>3.6-12.1167_S. haematobium</t>
  </si>
  <si>
    <t>3.6-12.1167_S. mansoni</t>
  </si>
  <si>
    <t>3.16035-12.1644</t>
  </si>
  <si>
    <t>3.16035-12.1644_S. haematobium</t>
  </si>
  <si>
    <t>3.16035-12.1644_S. mansoni</t>
  </si>
  <si>
    <t>3.46361-12.1703</t>
  </si>
  <si>
    <t>3.46361-12.1703_S. haematobium</t>
  </si>
  <si>
    <t>3.46361-12.1703_S. mansoni</t>
  </si>
  <si>
    <t>3.06503-12.2173</t>
  </si>
  <si>
    <t>3.06503-12.2173_S. haematobium</t>
  </si>
  <si>
    <t>3.06503-12.2173_S. mansoni</t>
  </si>
  <si>
    <t>3.57917-12.2625</t>
  </si>
  <si>
    <t>3.57917-12.2625_S. haematobium</t>
  </si>
  <si>
    <t>3.57917-12.2625_S. mansoni</t>
  </si>
  <si>
    <t>2.99032-12.3014</t>
  </si>
  <si>
    <t>2.99032-12.3014_S. haematobium</t>
  </si>
  <si>
    <t>2.99032-12.3014_S. mansoni</t>
  </si>
  <si>
    <t>3.42889-12.3275</t>
  </si>
  <si>
    <t>3.42889-12.3275_S. haematobium</t>
  </si>
  <si>
    <t>3.42889-12.3275_S. mansoni</t>
  </si>
  <si>
    <t>3.432-12.334</t>
  </si>
  <si>
    <t>3.432-12.334_S. haematobium</t>
  </si>
  <si>
    <t>3.432-12.334_S. mansoni</t>
  </si>
  <si>
    <t>3.43333-12.3833</t>
  </si>
  <si>
    <t>3.43333-12.3833_S. haematobium</t>
  </si>
  <si>
    <t>3.43333-12.3833_S. mansoni</t>
  </si>
  <si>
    <t>3.58333-12.4</t>
  </si>
  <si>
    <t>3.58333-12.4_S. haematobium</t>
  </si>
  <si>
    <t>3.58333-12.4_S. mansoni</t>
  </si>
  <si>
    <t>2.84558-12.4073</t>
  </si>
  <si>
    <t>2.84558-12.4073_S. haematobium</t>
  </si>
  <si>
    <t>2.84558-12.4073_S. mansoni</t>
  </si>
  <si>
    <t>2.87865-12.4495</t>
  </si>
  <si>
    <t>2.87865-12.4495_S. haematobium</t>
  </si>
  <si>
    <t>2.87865-12.4495_S. mansoni</t>
  </si>
  <si>
    <t>2.36-12.4919</t>
  </si>
  <si>
    <t>2.36-12.4919_S. haematobium</t>
  </si>
  <si>
    <t>3.53333-12.5</t>
  </si>
  <si>
    <t>3.53333-12.5_S. haematobium</t>
  </si>
  <si>
    <t>3.53333-12.5_S. mansoni</t>
  </si>
  <si>
    <t>9.23277-12.521</t>
  </si>
  <si>
    <t>9.23277-12.521_S. haematobium</t>
  </si>
  <si>
    <t>9.23277-12.521_S. mansoni</t>
  </si>
  <si>
    <t>2.89808-12.5284</t>
  </si>
  <si>
    <t>2.89808-12.5284_S. haematobium</t>
  </si>
  <si>
    <t>2.89808-12.5284_S. mansoni</t>
  </si>
  <si>
    <t>9.30462-12.5354</t>
  </si>
  <si>
    <t>9.30462-12.5354_S. haematobium</t>
  </si>
  <si>
    <t>9.30462-12.5354_S. mansoni</t>
  </si>
  <si>
    <t>8.44117-12.5358</t>
  </si>
  <si>
    <t>8.44117-12.5358_S. haematobium</t>
  </si>
  <si>
    <t>8.44117-12.5358_S. mansoni</t>
  </si>
  <si>
    <t>2.45833-12.5417</t>
  </si>
  <si>
    <t>2.45833-12.5417_S. haematobium</t>
  </si>
  <si>
    <t>2.73573-12.5435</t>
  </si>
  <si>
    <t>2.73573-12.5435_S. haematobium</t>
  </si>
  <si>
    <t>9.44356-12.5651</t>
  </si>
  <si>
    <t>9.44356-12.5651_S. haematobium</t>
  </si>
  <si>
    <t>9.44356-12.5651_S. mansoni</t>
  </si>
  <si>
    <t>2.85228-12.5953</t>
  </si>
  <si>
    <t>2.85228-12.5953_S. haematobium</t>
  </si>
  <si>
    <t>2.85228-12.5953_S. mansoni</t>
  </si>
  <si>
    <t>3.46667-12.6</t>
  </si>
  <si>
    <t>3.46667-12.6_S. haematobium</t>
  </si>
  <si>
    <t>3.46667-12.6_S. mansoni</t>
  </si>
  <si>
    <t>2.933-12.617</t>
  </si>
  <si>
    <t>2.933-12.617_S. haematobium</t>
  </si>
  <si>
    <t>3.54306-12.6194</t>
  </si>
  <si>
    <t>3.54306-12.6194_S. haematobium</t>
  </si>
  <si>
    <t>3.54306-12.6194_S. mansoni</t>
  </si>
  <si>
    <t>1.64008-12.6669</t>
  </si>
  <si>
    <t>1.64008-12.6669_S. haematobium</t>
  </si>
  <si>
    <t>1.94115-12.7025</t>
  </si>
  <si>
    <t>1.94115-12.7025_S. haematobium</t>
  </si>
  <si>
    <t>3.55833-12.7042</t>
  </si>
  <si>
    <t>3.55833-12.7042_S. haematobium</t>
  </si>
  <si>
    <t>3.55833-12.7042_S. mansoni</t>
  </si>
  <si>
    <t>3.64818-12.7057</t>
  </si>
  <si>
    <t>3.64818-12.7057_S. haematobium</t>
  </si>
  <si>
    <t>3.64818-12.7057_S. mansoni</t>
  </si>
  <si>
    <t>2.33535-12.7076</t>
  </si>
  <si>
    <t>2.33535-12.7076_S. haematobium</t>
  </si>
  <si>
    <t>1.92623-12.715</t>
  </si>
  <si>
    <t>1.92623-12.715_S. haematobium</t>
  </si>
  <si>
    <t>2.4913-12.7385</t>
  </si>
  <si>
    <t>2.4913-12.7385_S. haematobium</t>
  </si>
  <si>
    <t>1.96111-12.7444</t>
  </si>
  <si>
    <t>1.96111-12.7444_S. haematobium</t>
  </si>
  <si>
    <t>1.6409-12.7493</t>
  </si>
  <si>
    <t>1.6409-12.7493_S. haematobium</t>
  </si>
  <si>
    <t>2.1716-12.7541</t>
  </si>
  <si>
    <t>2.1716-12.7541_S. haematobium</t>
  </si>
  <si>
    <t>2.31667-12.7667</t>
  </si>
  <si>
    <t>2.31667-12.7667_S. haematobium</t>
  </si>
  <si>
    <t>2.2093-12.7833</t>
  </si>
  <si>
    <t>2.2093-12.7833_S. haematobium</t>
  </si>
  <si>
    <t>2.47587-12.7937</t>
  </si>
  <si>
    <t>2.47587-12.7937_S. haematobium</t>
  </si>
  <si>
    <t>2.47587-12.7937_S. mansoni</t>
  </si>
  <si>
    <t>3.63972-12.7981</t>
  </si>
  <si>
    <t>3.63972-12.7981_S. haematobium</t>
  </si>
  <si>
    <t>3.63972-12.7981_S. mansoni</t>
  </si>
  <si>
    <t>1.75142-12.8029</t>
  </si>
  <si>
    <t>1.75142-12.8029_S. haematobium</t>
  </si>
  <si>
    <t>2.4583-12.8153</t>
  </si>
  <si>
    <t>2.4583-12.8153_S. haematobium</t>
  </si>
  <si>
    <t>2.4583-12.8153_S. mansoni</t>
  </si>
  <si>
    <t>2.42182-12.8321</t>
  </si>
  <si>
    <t>2.42182-12.8321_S. haematobium</t>
  </si>
  <si>
    <t>2.44055-12.8355</t>
  </si>
  <si>
    <t>2.44055-12.8355_S. haematobium</t>
  </si>
  <si>
    <t>1.95657-12.8585</t>
  </si>
  <si>
    <t>1.95657-12.8585_S. haematobium</t>
  </si>
  <si>
    <t>1.86667-12.8722</t>
  </si>
  <si>
    <t>1.86667-12.8722_S. haematobium</t>
  </si>
  <si>
    <t>2.3181-12.8841</t>
  </si>
  <si>
    <t>2.3181-12.8841_S. haematobium</t>
  </si>
  <si>
    <t>2.41065-12.8915</t>
  </si>
  <si>
    <t>2.41065-12.8915_S. haematobium</t>
  </si>
  <si>
    <t>2.38472-12.8944</t>
  </si>
  <si>
    <t>2.38472-12.8944_S. haematobium</t>
  </si>
  <si>
    <t>2.40607-12.951</t>
  </si>
  <si>
    <t>2.40607-12.951_S. haematobium</t>
  </si>
  <si>
    <t>2.29645-12.9737</t>
  </si>
  <si>
    <t>2.29645-12.9737_S. haematobium</t>
  </si>
  <si>
    <t>8.903-12.993</t>
  </si>
  <si>
    <t>8.903-12.993_S. haematobium</t>
  </si>
  <si>
    <t>7.04185-13.0116</t>
  </si>
  <si>
    <t>7.04185-13.0116_S. haematobium</t>
  </si>
  <si>
    <t>7.04185-13.0116_S. mansoni</t>
  </si>
  <si>
    <t>2.93182-13.0159</t>
  </si>
  <si>
    <t>2.93182-13.0159_S. haematobium</t>
  </si>
  <si>
    <t>9.2853-13.0203</t>
  </si>
  <si>
    <t>9.2853-13.0203_S. haematobium</t>
  </si>
  <si>
    <t>9.2853-13.0203_S. mansoni</t>
  </si>
  <si>
    <t>6.97464-13.0263</t>
  </si>
  <si>
    <t>6.97464-13.0263_S. haematobium</t>
  </si>
  <si>
    <t>6.97464-13.0263_S. mansoni</t>
  </si>
  <si>
    <t>2.32767-13.0269</t>
  </si>
  <si>
    <t>2.32767-13.0269_S. haematobium</t>
  </si>
  <si>
    <t>3.03087-13.0447</t>
  </si>
  <si>
    <t>3.03087-13.0447_S. haematobium</t>
  </si>
  <si>
    <t>3.03087-13.0447_S. mansoni</t>
  </si>
  <si>
    <t>3.38246-13.0616</t>
  </si>
  <si>
    <t>3.38246-13.0616_S. haematobium</t>
  </si>
  <si>
    <t>3.38246-13.0616_S. mansoni</t>
  </si>
  <si>
    <t>1.43306-13.0667</t>
  </si>
  <si>
    <t>1.43306-13.0667_S. haematobium</t>
  </si>
  <si>
    <t>9.09333-13.0933</t>
  </si>
  <si>
    <t>9.09333-13.0933_S. haematobium</t>
  </si>
  <si>
    <t>9.09333-13.0933_S. mansoni</t>
  </si>
  <si>
    <t>8.23065-13.0936</t>
  </si>
  <si>
    <t>8.23065-13.0936_S. haematobium</t>
  </si>
  <si>
    <t>8.23065-13.0936_S. mansoni</t>
  </si>
  <si>
    <t>2.01128-13.0963</t>
  </si>
  <si>
    <t>2.01128-13.0963_S. haematobium</t>
  </si>
  <si>
    <t>1.91648-13.1068</t>
  </si>
  <si>
    <t>1.91648-13.1068_S. haematobium</t>
  </si>
  <si>
    <t>2.365-13.109</t>
  </si>
  <si>
    <t>2.365-13.109_S. haematobium</t>
  </si>
  <si>
    <t>2.36111-13.1167</t>
  </si>
  <si>
    <t>2.36111-13.1167_S. haematobium</t>
  </si>
  <si>
    <t>1.79917-13.1178</t>
  </si>
  <si>
    <t>1.79917-13.1178_S. haematobium</t>
  </si>
  <si>
    <t>2.8511-13.1207</t>
  </si>
  <si>
    <t>2.8511-13.1207_S. haematobium</t>
  </si>
  <si>
    <t>2.91568-13.1211</t>
  </si>
  <si>
    <t>2.91568-13.1211_S. haematobium</t>
  </si>
  <si>
    <t>8.37226-13.1231</t>
  </si>
  <si>
    <t>8.37226-13.1231_S. haematobium</t>
  </si>
  <si>
    <t>8.37226-13.1231_S. mansoni</t>
  </si>
  <si>
    <t>2.83889-13.1278</t>
  </si>
  <si>
    <t>2.83889-13.1278_S. haematobium</t>
  </si>
  <si>
    <t>1.72963-13.1287</t>
  </si>
  <si>
    <t>1.72963-13.1287_S. haematobium</t>
  </si>
  <si>
    <t>1.9442-13.1355</t>
  </si>
  <si>
    <t>1.9442-13.1355_S. haematobium</t>
  </si>
  <si>
    <t>3.44027-13.1425</t>
  </si>
  <si>
    <t>3.44027-13.1425_S. haematobium</t>
  </si>
  <si>
    <t>3.44027-13.1425_S. mansoni</t>
  </si>
  <si>
    <t>2.35582-13.1493</t>
  </si>
  <si>
    <t>2.35582-13.1493_S. haematobium</t>
  </si>
  <si>
    <t>2.3691-13.1582</t>
  </si>
  <si>
    <t>2.3691-13.1582_S. haematobium</t>
  </si>
  <si>
    <t>2.34152-13.1611</t>
  </si>
  <si>
    <t>2.34152-13.1611_S. haematobium</t>
  </si>
  <si>
    <t>2.3438-13.1958</t>
  </si>
  <si>
    <t>2.3438-13.1958_S. haematobium</t>
  </si>
  <si>
    <t>8.33252-13.2</t>
  </si>
  <si>
    <t>8.33252-13.2_S. haematobium</t>
  </si>
  <si>
    <t>8.33252-13.2_S. mansoni</t>
  </si>
  <si>
    <t>2.775-13.2139</t>
  </si>
  <si>
    <t>2.775-13.2139_S. haematobium</t>
  </si>
  <si>
    <t>1.86057-13.2163</t>
  </si>
  <si>
    <t>1.86057-13.2163_S. haematobium</t>
  </si>
  <si>
    <t>11.5709-13.2205</t>
  </si>
  <si>
    <t>11.5709-13.2205_S. haematobium</t>
  </si>
  <si>
    <t>11.5709-13.2205_S. mansoni</t>
  </si>
  <si>
    <t>6.58162-13.2227</t>
  </si>
  <si>
    <t>6.58162-13.2227_S. haematobium</t>
  </si>
  <si>
    <t>6.58162-13.2227_S. mansoni</t>
  </si>
  <si>
    <t>11.2608-13.2302</t>
  </si>
  <si>
    <t>11.2608-13.2302_S. haematobium</t>
  </si>
  <si>
    <t>11.2608-13.2302_S. mansoni</t>
  </si>
  <si>
    <t>11.5916-13.2302</t>
  </si>
  <si>
    <t>11.5916-13.2302_S. haematobium</t>
  </si>
  <si>
    <t>11.5916-13.2302_S. mansoni</t>
  </si>
  <si>
    <t>10.0654-13.2419</t>
  </si>
  <si>
    <t>10.0654-13.2419_S. haematobium</t>
  </si>
  <si>
    <t>10.0654-13.2419_S. mansoni</t>
  </si>
  <si>
    <t>10.5439-13.244</t>
  </si>
  <si>
    <t>10.5439-13.244_S. haematobium</t>
  </si>
  <si>
    <t>10.5439-13.244_S. mansoni</t>
  </si>
  <si>
    <t>2.86505-13.2473</t>
  </si>
  <si>
    <t>2.86505-13.2473_S. haematobium</t>
  </si>
  <si>
    <t>10.0556-13.2514</t>
  </si>
  <si>
    <t>10.0556-13.2514_S. haematobium</t>
  </si>
  <si>
    <t>10.0556-13.2514_S. mansoni</t>
  </si>
  <si>
    <t>11.2315-13.2526</t>
  </si>
  <si>
    <t>11.2315-13.2526_S. haematobium</t>
  </si>
  <si>
    <t>11.2315-13.2526_S. mansoni</t>
  </si>
  <si>
    <t>12.4606-13.2815</t>
  </si>
  <si>
    <t>12.4606-13.2815_S. haematobium</t>
  </si>
  <si>
    <t>12.4606-13.2815_S. mansoni</t>
  </si>
  <si>
    <t>2.315-13.284</t>
  </si>
  <si>
    <t>2.315-13.284_S. haematobium</t>
  </si>
  <si>
    <t>12.4856-13.2905</t>
  </si>
  <si>
    <t>12.4856-13.2905_S. haematobium</t>
  </si>
  <si>
    <t>12.4856-13.2905_S. mansoni</t>
  </si>
  <si>
    <t>2.3462-13.294</t>
  </si>
  <si>
    <t>2.3462-13.294_S. haematobium</t>
  </si>
  <si>
    <t>2.34415-13.2942</t>
  </si>
  <si>
    <t>2.34415-13.2942_S. haematobium</t>
  </si>
  <si>
    <t>8.24205-13.2952</t>
  </si>
  <si>
    <t>8.24205-13.2952_S. haematobium</t>
  </si>
  <si>
    <t>8.24205-13.2952_S. mansoni</t>
  </si>
  <si>
    <t>2.345-13.2953</t>
  </si>
  <si>
    <t>2.345-13.2953_S. haematobium</t>
  </si>
  <si>
    <t>2.33742-13.3055</t>
  </si>
  <si>
    <t>2.33742-13.3055_S. haematobium</t>
  </si>
  <si>
    <t>2.33889-13.3056</t>
  </si>
  <si>
    <t>2.33889-13.3056_S. haematobium</t>
  </si>
  <si>
    <t>2.33028-13.3078</t>
  </si>
  <si>
    <t>2.33028-13.3078_S. haematobium</t>
  </si>
  <si>
    <t>2.33083-13.3081</t>
  </si>
  <si>
    <t>2.33083-13.3081_S. haematobium</t>
  </si>
  <si>
    <t>2.32506-13.3121</t>
  </si>
  <si>
    <t>2.32506-13.3121_S. haematobium</t>
  </si>
  <si>
    <t>12.5784-13.3133</t>
  </si>
  <si>
    <t>12.5784-13.3133_S. haematobium</t>
  </si>
  <si>
    <t>12.5784-13.3133_S. mansoni</t>
  </si>
  <si>
    <t>4.15179-13.3143</t>
  </si>
  <si>
    <t>4.15179-13.3143_S. haematobium</t>
  </si>
  <si>
    <t>4.15179-13.3143_S. mansoni</t>
  </si>
  <si>
    <t>11.8786-13.3177</t>
  </si>
  <si>
    <t>11.8786-13.3177_S. haematobium</t>
  </si>
  <si>
    <t>2.33652-13.3184</t>
  </si>
  <si>
    <t>2.33652-13.3184_S. haematobium</t>
  </si>
  <si>
    <t>13.0476-13.3202</t>
  </si>
  <si>
    <t>13.0476-13.3202_S. haematobium</t>
  </si>
  <si>
    <t>13.0476-13.3202_S. mansoni</t>
  </si>
  <si>
    <t>2.3294-13.322</t>
  </si>
  <si>
    <t>2.3294-13.322_S. haematobium</t>
  </si>
  <si>
    <t>2.30328-13.3299</t>
  </si>
  <si>
    <t>2.30328-13.3299_S. haematobium</t>
  </si>
  <si>
    <t>8.37414-13.3336</t>
  </si>
  <si>
    <t>8.37414-13.3336_S. haematobium</t>
  </si>
  <si>
    <t>8.37414-13.3336_S. mansoni</t>
  </si>
  <si>
    <t>2.24556-13.3356</t>
  </si>
  <si>
    <t>2.24556-13.3356_S. haematobium</t>
  </si>
  <si>
    <t>7.81472-13.3472</t>
  </si>
  <si>
    <t>7.81472-13.3472_S. haematobium</t>
  </si>
  <si>
    <t>7.81472-13.3472_S. mansoni</t>
  </si>
  <si>
    <t>2.2475-13.3597</t>
  </si>
  <si>
    <t>2.2475-13.3597_S. haematobium</t>
  </si>
  <si>
    <t>2.2475-13.3597_S. mansoni</t>
  </si>
  <si>
    <t>7.15203-13.3631</t>
  </si>
  <si>
    <t>7.15203-13.3631_S. haematobium</t>
  </si>
  <si>
    <t>7.15203-13.3631_S. mansoni</t>
  </si>
  <si>
    <t>6.5937-13.3657</t>
  </si>
  <si>
    <t>6.5937-13.3657_S. haematobium</t>
  </si>
  <si>
    <t>6.5937-13.3657_S. mansoni</t>
  </si>
  <si>
    <t>2.23742-13.3778</t>
  </si>
  <si>
    <t>2.23742-13.3778_S. haematobium</t>
  </si>
  <si>
    <t>2.23742-13.3778_S. mansoni</t>
  </si>
  <si>
    <t>8.98472-13.3778</t>
  </si>
  <si>
    <t>8.98472-13.3778_S. haematobium</t>
  </si>
  <si>
    <t>2.2289-13.3798</t>
  </si>
  <si>
    <t>2.2289-13.3798_S. haematobium</t>
  </si>
  <si>
    <t>2.2289-13.3798_S. mansoni</t>
  </si>
  <si>
    <t>2.20861-13.3828</t>
  </si>
  <si>
    <t>2.20861-13.3828_S. haematobium</t>
  </si>
  <si>
    <t>2.197-13.383</t>
  </si>
  <si>
    <t>2.197-13.383_S. haematobium</t>
  </si>
  <si>
    <t>2.17717-13.3844</t>
  </si>
  <si>
    <t>2.17717-13.3844_S. haematobium</t>
  </si>
  <si>
    <t>11.0527-13.3858</t>
  </si>
  <si>
    <t>11.0527-13.3858_S. haematobium</t>
  </si>
  <si>
    <t>11.0527-13.3858_S. mansoni</t>
  </si>
  <si>
    <t>11.5237-13.3908</t>
  </si>
  <si>
    <t>11.5237-13.3908_S. haematobium</t>
  </si>
  <si>
    <t>11.5237-13.3908_S. mansoni</t>
  </si>
  <si>
    <t>9.16122-13.3934</t>
  </si>
  <si>
    <t>9.16122-13.3934_S. haematobium</t>
  </si>
  <si>
    <t>2.20292-13.3958</t>
  </si>
  <si>
    <t>2.20292-13.3958_S. haematobium</t>
  </si>
  <si>
    <t>9.05642-13.3971</t>
  </si>
  <si>
    <t>9.05642-13.3971_S. haematobium</t>
  </si>
  <si>
    <t>2.182-13.4</t>
  </si>
  <si>
    <t>2.182-13.4_S. haematobium</t>
  </si>
  <si>
    <t>13.113-13.4</t>
  </si>
  <si>
    <t>13.113-13.4_S. haematobium</t>
  </si>
  <si>
    <t>13.113-13.4_S. mansoni</t>
  </si>
  <si>
    <t>2.19667-13.4006</t>
  </si>
  <si>
    <t>2.19667-13.4006_S. haematobium</t>
  </si>
  <si>
    <t>2.19139-13.4047</t>
  </si>
  <si>
    <t>2.19139-13.4047_S. haematobium</t>
  </si>
  <si>
    <t>8.85172-13.4056</t>
  </si>
  <si>
    <t>8.85172-13.4056_S. haematobium</t>
  </si>
  <si>
    <t>3.44478-13.4103</t>
  </si>
  <si>
    <t>3.44478-13.4103_S. haematobium</t>
  </si>
  <si>
    <t>3.44478-13.4103_S. mansoni</t>
  </si>
  <si>
    <t>2.03333-13.4111</t>
  </si>
  <si>
    <t>2.03333-13.4111_S. haematobium</t>
  </si>
  <si>
    <t>2.75537-13.4124</t>
  </si>
  <si>
    <t>2.75537-13.4124_S. haematobium</t>
  </si>
  <si>
    <t>2.17861-13.4133</t>
  </si>
  <si>
    <t>2.17861-13.4133_S. haematobium</t>
  </si>
  <si>
    <t>3.34451-13.4135</t>
  </si>
  <si>
    <t>3.34451-13.4135_S. haematobium</t>
  </si>
  <si>
    <t>3.34451-13.4135_S. mansoni</t>
  </si>
  <si>
    <t>3.3444-13.4137</t>
  </si>
  <si>
    <t>3.3444-13.4137_S. haematobium</t>
  </si>
  <si>
    <t>3.3444-13.4137_S. mansoni</t>
  </si>
  <si>
    <t>2.17806-13.4158</t>
  </si>
  <si>
    <t>2.17806-13.4158_S. haematobium</t>
  </si>
  <si>
    <t>2.21333-13.4161</t>
  </si>
  <si>
    <t>2.21333-13.4161_S. haematobium</t>
  </si>
  <si>
    <t>2.193-13.417</t>
  </si>
  <si>
    <t>2.193-13.417_S. haematobium</t>
  </si>
  <si>
    <t>2.198-13.417</t>
  </si>
  <si>
    <t>2.198-13.417_S. haematobium</t>
  </si>
  <si>
    <t>2.18389-13.4247</t>
  </si>
  <si>
    <t>2.18389-13.4247_S. haematobium</t>
  </si>
  <si>
    <t>2.16872-13.4277</t>
  </si>
  <si>
    <t>2.16872-13.4277_S. haematobium</t>
  </si>
  <si>
    <t>2.1875-13.4281</t>
  </si>
  <si>
    <t>2.1875-13.4281_S. haematobium</t>
  </si>
  <si>
    <t>2.1957-13.4285</t>
  </si>
  <si>
    <t>2.1957-13.4285_S. haematobium</t>
  </si>
  <si>
    <t>2.1964-13.4298</t>
  </si>
  <si>
    <t>2.1964-13.4298_S. haematobium</t>
  </si>
  <si>
    <t>2.19583-13.43</t>
  </si>
  <si>
    <t>2.19583-13.43_S. haematobium</t>
  </si>
  <si>
    <t>4.215-13.4328</t>
  </si>
  <si>
    <t>4.215-13.4328_S. haematobium</t>
  </si>
  <si>
    <t>4.215-13.4328_S. mansoni</t>
  </si>
  <si>
    <t>2.183-13.434</t>
  </si>
  <si>
    <t>2.183-13.434_S. haematobium</t>
  </si>
  <si>
    <t>2.183-13.436</t>
  </si>
  <si>
    <t>2.183-13.436_S. haematobium</t>
  </si>
  <si>
    <t>10.4258-13.4381</t>
  </si>
  <si>
    <t>10.4258-13.4381_S. haematobium</t>
  </si>
  <si>
    <t>2.23417-13.4386</t>
  </si>
  <si>
    <t>2.23417-13.4386_S. haematobium</t>
  </si>
  <si>
    <t>2.17617-13.4395</t>
  </si>
  <si>
    <t>2.17617-13.4395_S. haematobium</t>
  </si>
  <si>
    <t>2.16129-13.4395</t>
  </si>
  <si>
    <t>2.16129-13.4395_S. haematobium</t>
  </si>
  <si>
    <t>2.21059-13.4422</t>
  </si>
  <si>
    <t>2.21059-13.4422_S. haematobium</t>
  </si>
  <si>
    <t>6.50461-13.4423</t>
  </si>
  <si>
    <t>6.50461-13.4423_S. haematobium</t>
  </si>
  <si>
    <t>6.50461-13.4423_S. mansoni</t>
  </si>
  <si>
    <t>2.12225-13.4452</t>
  </si>
  <si>
    <t>2.12225-13.4452_S. haematobium</t>
  </si>
  <si>
    <t>2.21444-13.4478</t>
  </si>
  <si>
    <t>2.21444-13.4478_S. haematobium</t>
  </si>
  <si>
    <t>2.12444-13.4478</t>
  </si>
  <si>
    <t>2.12444-13.4478_S. haematobium</t>
  </si>
  <si>
    <t>2.149-13.452</t>
  </si>
  <si>
    <t>2.149-13.452_S. haematobium</t>
  </si>
  <si>
    <t>2.15237-13.4582</t>
  </si>
  <si>
    <t>2.15237-13.4582_S. haematobium</t>
  </si>
  <si>
    <t>2.92865-13.4593</t>
  </si>
  <si>
    <t>2.92865-13.4593_S. haematobium</t>
  </si>
  <si>
    <t>4.34095-13.4608</t>
  </si>
  <si>
    <t>4.34095-13.4608_S. haematobium</t>
  </si>
  <si>
    <t>4.34095-13.4608_S. mansoni</t>
  </si>
  <si>
    <t>2.14048-13.461</t>
  </si>
  <si>
    <t>2.14048-13.461_S. haematobium</t>
  </si>
  <si>
    <t>2.23694-13.4611</t>
  </si>
  <si>
    <t>2.23694-13.4611_S. haematobium</t>
  </si>
  <si>
    <t>8.97975-13.4671</t>
  </si>
  <si>
    <t>8.97975-13.4671_S. haematobium</t>
  </si>
  <si>
    <t>2.17164-13.4677</t>
  </si>
  <si>
    <t>2.17164-13.4677_S. haematobium</t>
  </si>
  <si>
    <t>2.1393-13.4684</t>
  </si>
  <si>
    <t>2.1393-13.4684_S. haematobium</t>
  </si>
  <si>
    <t>2.1775-13.4719</t>
  </si>
  <si>
    <t>2.1775-13.4719_S. haematobium</t>
  </si>
  <si>
    <t>8.55309-13.4738</t>
  </si>
  <si>
    <t>8.55309-13.4738_S. haematobium</t>
  </si>
  <si>
    <t>8.55309-13.4738_S. mansoni</t>
  </si>
  <si>
    <t>2.09806-13.4828</t>
  </si>
  <si>
    <t>2.09806-13.4828_S. haematobium</t>
  </si>
  <si>
    <t>2.13682-13.4838</t>
  </si>
  <si>
    <t>2.13682-13.4838_S. haematobium</t>
  </si>
  <si>
    <t>2.116-13.484</t>
  </si>
  <si>
    <t>2.116-13.484_S. haematobium</t>
  </si>
  <si>
    <t>12.4295-13.4849</t>
  </si>
  <si>
    <t>12.4295-13.4849_S. haematobium</t>
  </si>
  <si>
    <t>12.4295-13.4849_S. mansoni</t>
  </si>
  <si>
    <t>2.1075-13.4858</t>
  </si>
  <si>
    <t>2.1075-13.4858_S. haematobium</t>
  </si>
  <si>
    <t>2.10056-13.4878</t>
  </si>
  <si>
    <t>2.10056-13.4878_S. haematobium</t>
  </si>
  <si>
    <t>2.09389-13.4923</t>
  </si>
  <si>
    <t>2.09389-13.4923_S. haematobium</t>
  </si>
  <si>
    <t>2.01367-13.4926</t>
  </si>
  <si>
    <t>2.01367-13.4926_S. haematobium</t>
  </si>
  <si>
    <t>2.12954-13.4928</t>
  </si>
  <si>
    <t>2.12954-13.4928_S. haematobium</t>
  </si>
  <si>
    <t>2.1554-13.4948</t>
  </si>
  <si>
    <t>2.1554-13.4948_S. haematobium</t>
  </si>
  <si>
    <t>2.63198-13.4967</t>
  </si>
  <si>
    <t>2.63198-13.4967_S. haematobium</t>
  </si>
  <si>
    <t>2.23333-13.5</t>
  </si>
  <si>
    <t>2.23333-13.5_S. haematobium</t>
  </si>
  <si>
    <t>9.28077-13.5024</t>
  </si>
  <si>
    <t>9.28077-13.5024_S. haematobium</t>
  </si>
  <si>
    <t>9.28077-13.5024_S. mansoni</t>
  </si>
  <si>
    <t>9.01667-13.5028</t>
  </si>
  <si>
    <t>9.01667-13.5028_S. haematobium</t>
  </si>
  <si>
    <t>9.18085-13.5032</t>
  </si>
  <si>
    <t>9.18085-13.5032_S. haematobium</t>
  </si>
  <si>
    <t>2.11444-13.5042</t>
  </si>
  <si>
    <t>2.11444-13.5042_S. haematobium</t>
  </si>
  <si>
    <t>2.14056-13.505</t>
  </si>
  <si>
    <t>2.14056-13.505_S. haematobium</t>
  </si>
  <si>
    <t>2.07441-13.5065</t>
  </si>
  <si>
    <t>2.07441-13.5065_S. haematobium</t>
  </si>
  <si>
    <t>2.14111-13.5067</t>
  </si>
  <si>
    <t>2.14111-13.5067_S. haematobium</t>
  </si>
  <si>
    <t>2.13056-13.5072</t>
  </si>
  <si>
    <t>2.13056-13.5072_S. haematobium</t>
  </si>
  <si>
    <t>2.05393-13.5073</t>
  </si>
  <si>
    <t>2.05393-13.5073_S. haematobium</t>
  </si>
  <si>
    <t>2.085-13.5081</t>
  </si>
  <si>
    <t>2.085-13.5081_S. haematobium</t>
  </si>
  <si>
    <t>2.3576-13.5082</t>
  </si>
  <si>
    <t>2.3576-13.5082_S. haematobium</t>
  </si>
  <si>
    <t>2.3576-13.5082_S. mansoni</t>
  </si>
  <si>
    <t>2.13861-13.5094</t>
  </si>
  <si>
    <t>2.13861-13.5094_S. haematobium</t>
  </si>
  <si>
    <t>2.12694-13.5108</t>
  </si>
  <si>
    <t>2.12694-13.5108_S. haematobium</t>
  </si>
  <si>
    <t>2.121-13.511</t>
  </si>
  <si>
    <t>2.121-13.511_S. haematobium</t>
  </si>
  <si>
    <t>12.9485-13.5116</t>
  </si>
  <si>
    <t>12.9485-13.5116_S. haematobium</t>
  </si>
  <si>
    <t>2.10808-13.5121</t>
  </si>
  <si>
    <t>2.10808-13.5121_S. haematobium</t>
  </si>
  <si>
    <t>11.6202-13.5126</t>
  </si>
  <si>
    <t>11.6202-13.5126_S. haematobium</t>
  </si>
  <si>
    <t>11.6202-13.5126_S. mansoni</t>
  </si>
  <si>
    <t>2.10139-13.5133</t>
  </si>
  <si>
    <t>2.10139-13.5133_S. mansoni</t>
  </si>
  <si>
    <t>2.11028-13.5133</t>
  </si>
  <si>
    <t>2.11028-13.5133_S. haematobium</t>
  </si>
  <si>
    <t>2.13056-13.5139</t>
  </si>
  <si>
    <t>2.13056-13.5139_S. haematobium</t>
  </si>
  <si>
    <t>2.12521-13.5168</t>
  </si>
  <si>
    <t>2.12521-13.5168_S. haematobium</t>
  </si>
  <si>
    <t>2.11944-13.5181</t>
  </si>
  <si>
    <t>2.11944-13.5181_S. haematobium</t>
  </si>
  <si>
    <t>2.10917-13.5186</t>
  </si>
  <si>
    <t>2.10917-13.5186_S. haematobium</t>
  </si>
  <si>
    <t>2.11833-13.5194</t>
  </si>
  <si>
    <t>2.11833-13.5194_S. haematobium</t>
  </si>
  <si>
    <t>2.1105-13.5198</t>
  </si>
  <si>
    <t>2.1105-13.5198_S. haematobium</t>
  </si>
  <si>
    <t>2.115-13.5208</t>
  </si>
  <si>
    <t>2.115-13.5208_S. haematobium</t>
  </si>
  <si>
    <t>2.11333-13.5214</t>
  </si>
  <si>
    <t>2.11333-13.5214_S. haematobium</t>
  </si>
  <si>
    <t>11.574-13.5214</t>
  </si>
  <si>
    <t>11.574-13.5214_S. haematobium</t>
  </si>
  <si>
    <t>11.574-13.5214_S. mansoni</t>
  </si>
  <si>
    <t>2.14806-13.5228</t>
  </si>
  <si>
    <t>2.14806-13.5228_S. haematobium</t>
  </si>
  <si>
    <t>9.05556-13.525</t>
  </si>
  <si>
    <t>9.05556-13.525_S. haematobium</t>
  </si>
  <si>
    <t>2.12778-13.5261</t>
  </si>
  <si>
    <t>2.12778-13.5261_S. haematobium</t>
  </si>
  <si>
    <t>2.06332-13.5277</t>
  </si>
  <si>
    <t>2.06332-13.5277_S. haematobium</t>
  </si>
  <si>
    <t>2.08139-13.53</t>
  </si>
  <si>
    <t>2.08139-13.53_S. haematobium</t>
  </si>
  <si>
    <t>2.1194-13.5306</t>
  </si>
  <si>
    <t>2.1194-13.5306_S. haematobium</t>
  </si>
  <si>
    <t>2.11806-13.5319</t>
  </si>
  <si>
    <t>2.11806-13.5319_S. haematobium</t>
  </si>
  <si>
    <t>2.09581-13.5323</t>
  </si>
  <si>
    <t>2.09581-13.5323_S. haematobium</t>
  </si>
  <si>
    <t>2.12735-13.5345</t>
  </si>
  <si>
    <t>2.12735-13.5345_S. haematobium</t>
  </si>
  <si>
    <t>2.0048-13.5347</t>
  </si>
  <si>
    <t>2.0048-13.5347_S. haematobium</t>
  </si>
  <si>
    <t>9.01246-13.5351</t>
  </si>
  <si>
    <t>9.01246-13.5351_S. haematobium</t>
  </si>
  <si>
    <t>9.01246-13.5351_S. mansoni</t>
  </si>
  <si>
    <t>2.08167-13.5353</t>
  </si>
  <si>
    <t>2.08167-13.5353_S. haematobium</t>
  </si>
  <si>
    <t>2.00583-13.5354</t>
  </si>
  <si>
    <t>2.00583-13.5354_S. haematobium</t>
  </si>
  <si>
    <t>2.13056-13.5375</t>
  </si>
  <si>
    <t>2.13056-13.5375_S. haematobium</t>
  </si>
  <si>
    <t>2.93417-13.5406</t>
  </si>
  <si>
    <t>2.93417-13.5406_S. haematobium</t>
  </si>
  <si>
    <t>2.25055-13.5408</t>
  </si>
  <si>
    <t>2.25055-13.5408_S. haematobium</t>
  </si>
  <si>
    <t>9.19504-13.5422</t>
  </si>
  <si>
    <t>9.19504-13.5422_S. haematobium</t>
  </si>
  <si>
    <t>9.19504-13.5422_S. mansoni</t>
  </si>
  <si>
    <t>2.08972-13.5425</t>
  </si>
  <si>
    <t>2.08972-13.5425_S. haematobium</t>
  </si>
  <si>
    <t>2.24-13.5444</t>
  </si>
  <si>
    <t>2.24-13.5444_S. haematobium</t>
  </si>
  <si>
    <t>2.10472-13.5492</t>
  </si>
  <si>
    <t>2.10472-13.5492_S. haematobium</t>
  </si>
  <si>
    <t>2.02142-13.5511</t>
  </si>
  <si>
    <t>2.02142-13.5511_S. haematobium</t>
  </si>
  <si>
    <t>1.97032-13.5522</t>
  </si>
  <si>
    <t>1.97032-13.5522_S. haematobium</t>
  </si>
  <si>
    <t>1.98458-13.5597</t>
  </si>
  <si>
    <t>1.98458-13.5597_S. haematobium</t>
  </si>
  <si>
    <t>2.12111-13.56</t>
  </si>
  <si>
    <t>2.12111-13.56_S. haematobium</t>
  </si>
  <si>
    <t>9.23056-13.5611</t>
  </si>
  <si>
    <t>9.23056-13.5611_S. haematobium</t>
  </si>
  <si>
    <t>2.0156-13.563</t>
  </si>
  <si>
    <t>2.0156-13.563_S. haematobium</t>
  </si>
  <si>
    <t>2.137-13.5635</t>
  </si>
  <si>
    <t>2.137-13.5635_S. haematobium</t>
  </si>
  <si>
    <t>1.9767-13.5661</t>
  </si>
  <si>
    <t>1.9767-13.5661_S. haematobium</t>
  </si>
  <si>
    <t>8.89022-13.5687</t>
  </si>
  <si>
    <t>8.89022-13.5687_S. haematobium</t>
  </si>
  <si>
    <t>1.99028-13.5714</t>
  </si>
  <si>
    <t>1.99028-13.5714_S. haematobium</t>
  </si>
  <si>
    <t>9.49327-13.5737</t>
  </si>
  <si>
    <t>9.49327-13.5737_S. haematobium</t>
  </si>
  <si>
    <t>9.49327-13.5737_S. mansoni</t>
  </si>
  <si>
    <t>2.00353-13.5743</t>
  </si>
  <si>
    <t>2.00353-13.5743_S. haematobium</t>
  </si>
  <si>
    <t>9.3949-13.5751</t>
  </si>
  <si>
    <t>9.3949-13.5751_S. haematobium</t>
  </si>
  <si>
    <t>9.12613-13.5819</t>
  </si>
  <si>
    <t>9.12613-13.5819_S. haematobium</t>
  </si>
  <si>
    <t>1.92782-13.5826</t>
  </si>
  <si>
    <t>1.92782-13.5826_S. haematobium</t>
  </si>
  <si>
    <t>1.9611-13.5833</t>
  </si>
  <si>
    <t>1.9611-13.5833_S. haematobium</t>
  </si>
  <si>
    <t>1.9611-13.5833_S. mansoni</t>
  </si>
  <si>
    <t>1.9607-13.5847</t>
  </si>
  <si>
    <t>1.9607-13.5847_S. haematobium</t>
  </si>
  <si>
    <t>1.9607-13.5847_S. mansoni</t>
  </si>
  <si>
    <t>1.99306-13.5869</t>
  </si>
  <si>
    <t>1.99306-13.5869_S. haematobium</t>
  </si>
  <si>
    <t>2.11056-13.5889</t>
  </si>
  <si>
    <t>2.11056-13.5889_S. haematobium</t>
  </si>
  <si>
    <t>1.93611-13.5889</t>
  </si>
  <si>
    <t>1.93611-13.5889_S. haematobium</t>
  </si>
  <si>
    <t>2.11534-13.5907</t>
  </si>
  <si>
    <t>2.11534-13.5907_S. haematobium</t>
  </si>
  <si>
    <t>9.07145-13.5914</t>
  </si>
  <si>
    <t>9.07145-13.5914_S. haematobium</t>
  </si>
  <si>
    <t>9.07145-13.5914_S. mansoni</t>
  </si>
  <si>
    <t>1.92968-13.5984</t>
  </si>
  <si>
    <t>1.92968-13.5984_S. haematobium</t>
  </si>
  <si>
    <t>9.07047-13.6038</t>
  </si>
  <si>
    <t>9.07047-13.6038_S. haematobium</t>
  </si>
  <si>
    <t>1.99555-13.6057</t>
  </si>
  <si>
    <t>1.99555-13.6057_S. haematobium</t>
  </si>
  <si>
    <t>1.87163-13.6124</t>
  </si>
  <si>
    <t>1.87163-13.6124_S. haematobium</t>
  </si>
  <si>
    <t>1.86667-13.6167</t>
  </si>
  <si>
    <t>1.86667-13.6167_S. mansoni</t>
  </si>
  <si>
    <t>1.86667-13.6167_S. haematobium</t>
  </si>
  <si>
    <t>9.17822-13.6177</t>
  </si>
  <si>
    <t>9.17822-13.6177_S. haematobium</t>
  </si>
  <si>
    <t>1.8801-13.6182</t>
  </si>
  <si>
    <t>1.8801-13.6182_S. haematobium</t>
  </si>
  <si>
    <t>9.43552-13.6192</t>
  </si>
  <si>
    <t>9.43552-13.6192_S. haematobium</t>
  </si>
  <si>
    <t>9.097-13.6225</t>
  </si>
  <si>
    <t>9.097-13.6225_S. haematobium</t>
  </si>
  <si>
    <t>1.85967-13.6235</t>
  </si>
  <si>
    <t>1.85967-13.6235_S. haematobium</t>
  </si>
  <si>
    <t>8.94483-13.6373</t>
  </si>
  <si>
    <t>8.94483-13.6373_S. haematobium</t>
  </si>
  <si>
    <t>1.881-13.6373</t>
  </si>
  <si>
    <t>1.881-13.6373_S. haematobium</t>
  </si>
  <si>
    <t>8.96111-13.6417</t>
  </si>
  <si>
    <t>8.96111-13.6417_S. haematobium</t>
  </si>
  <si>
    <t>1.78063-13.6442</t>
  </si>
  <si>
    <t>1.78063-13.6442_S. haematobium</t>
  </si>
  <si>
    <t>1.86587-13.6499</t>
  </si>
  <si>
    <t>1.86587-13.6499_S. haematobium</t>
  </si>
  <si>
    <t>1.81635-13.6504</t>
  </si>
  <si>
    <t>1.81635-13.6504_S. haematobium</t>
  </si>
  <si>
    <t>8.70722-13.6505</t>
  </si>
  <si>
    <t>8.70722-13.6505_S. haematobium</t>
  </si>
  <si>
    <t>2.89603-13.6506</t>
  </si>
  <si>
    <t>2.89603-13.6506_S. haematobium</t>
  </si>
  <si>
    <t>1.83045-13.6582</t>
  </si>
  <si>
    <t>1.83045-13.6582_S. haematobium</t>
  </si>
  <si>
    <t>1.7751-13.6592</t>
  </si>
  <si>
    <t>1.7751-13.6592_S. haematobium</t>
  </si>
  <si>
    <t>1.854-13.6593</t>
  </si>
  <si>
    <t>1.854-13.6593_S. haematobium</t>
  </si>
  <si>
    <t>0.95833-13.6611</t>
  </si>
  <si>
    <t>0.95833-13.6611_S. haematobium</t>
  </si>
  <si>
    <t>4.0188-13.6611</t>
  </si>
  <si>
    <t>4.0188-13.6611_S. haematobium</t>
  </si>
  <si>
    <t>1.77222-13.6611</t>
  </si>
  <si>
    <t>1.77222-13.6611_S. haematobium</t>
  </si>
  <si>
    <t>8.99987-13.6628</t>
  </si>
  <si>
    <t>8.99987-13.6628_S. haematobium</t>
  </si>
  <si>
    <t>1.73282-13.6647</t>
  </si>
  <si>
    <t>1.73282-13.6647_S. haematobium</t>
  </si>
  <si>
    <t>9.4488-13.6649</t>
  </si>
  <si>
    <t>9.4488-13.6649_S. haematobium</t>
  </si>
  <si>
    <t>1.83767-13.6655</t>
  </si>
  <si>
    <t>1.83767-13.6655_S. haematobium</t>
  </si>
  <si>
    <t>1.78333-13.6667</t>
  </si>
  <si>
    <t>1.78333-13.6667_S. haematobium</t>
  </si>
  <si>
    <t>1.78333-13.6667_S. mansoni</t>
  </si>
  <si>
    <t>1.51667-13.6667</t>
  </si>
  <si>
    <t>1.51667-13.6667_S. haematobium</t>
  </si>
  <si>
    <t>1.74444-13.6667</t>
  </si>
  <si>
    <t>1.74444-13.6667_S. haematobium</t>
  </si>
  <si>
    <t>1.7898-13.6705</t>
  </si>
  <si>
    <t>1.7898-13.6705_S. haematobium</t>
  </si>
  <si>
    <t>9.36115-13.6705</t>
  </si>
  <si>
    <t>9.36115-13.6705_S. haematobium</t>
  </si>
  <si>
    <t>1.81117-13.6712</t>
  </si>
  <si>
    <t>1.81117-13.6712_S. haematobium</t>
  </si>
  <si>
    <t>1.77852-13.6718</t>
  </si>
  <si>
    <t>1.77852-13.6718_S. haematobium</t>
  </si>
  <si>
    <t>1.76442-13.6719</t>
  </si>
  <si>
    <t>1.76442-13.6719_S. haematobium</t>
  </si>
  <si>
    <t>1.81278-13.6722</t>
  </si>
  <si>
    <t>1.81278-13.6722_S. mansoni</t>
  </si>
  <si>
    <t>1.81278-13.6722_S. haematobium</t>
  </si>
  <si>
    <t>1.8102-13.6723</t>
  </si>
  <si>
    <t>1.8102-13.6723_S. mansoni</t>
  </si>
  <si>
    <t>1.814-13.673</t>
  </si>
  <si>
    <t>1.814-13.673_S. haematobium</t>
  </si>
  <si>
    <t>8.38328-13.6737</t>
  </si>
  <si>
    <t>8.38328-13.6737_S. haematobium</t>
  </si>
  <si>
    <t>9.18405-13.6746</t>
  </si>
  <si>
    <t>9.18405-13.6746_S. haematobium</t>
  </si>
  <si>
    <t>1.76528-13.6749</t>
  </si>
  <si>
    <t>1.76528-13.6749_S. haematobium</t>
  </si>
  <si>
    <t>10.3804-13.6753</t>
  </si>
  <si>
    <t>10.3804-13.6753_S. haematobium</t>
  </si>
  <si>
    <t>10.3804-13.6753_S. mansoni</t>
  </si>
  <si>
    <t>8.52823-13.68</t>
  </si>
  <si>
    <t>8.52823-13.68_S. haematobium</t>
  </si>
  <si>
    <t>1.73558-13.6801</t>
  </si>
  <si>
    <t>1.73558-13.6801_S. haematobium</t>
  </si>
  <si>
    <t>1.71667-13.6833</t>
  </si>
  <si>
    <t>1.71667-13.6833_S. mansoni</t>
  </si>
  <si>
    <t>1.71667-13.6833_S. haematobium</t>
  </si>
  <si>
    <t>1.783-13.684</t>
  </si>
  <si>
    <t>1.783-13.684_S. haematobium</t>
  </si>
  <si>
    <t>1.766-13.685</t>
  </si>
  <si>
    <t>1.766-13.685_S. haematobium</t>
  </si>
  <si>
    <t>1.72728-13.6853</t>
  </si>
  <si>
    <t>1.72728-13.6853_S. haematobium</t>
  </si>
  <si>
    <t>1.72639-13.6875</t>
  </si>
  <si>
    <t>1.72639-13.6875_S. haematobium</t>
  </si>
  <si>
    <t>2.38944-13.6911</t>
  </si>
  <si>
    <t>2.38944-13.6911_S. haematobium</t>
  </si>
  <si>
    <t>1.74365-13.6912</t>
  </si>
  <si>
    <t>1.74365-13.6912_S. haematobium</t>
  </si>
  <si>
    <t>1.74365-13.6912_S. mansoni</t>
  </si>
  <si>
    <t>1.7351-13.6919</t>
  </si>
  <si>
    <t>1.7351-13.6919_S. haematobium</t>
  </si>
  <si>
    <t>1.7351-13.6919_S. mansoni</t>
  </si>
  <si>
    <t>1.55808-13.693</t>
  </si>
  <si>
    <t>1.55808-13.693_S. haematobium</t>
  </si>
  <si>
    <t>8.09565-13.6934</t>
  </si>
  <si>
    <t>8.09565-13.6934_S. haematobium</t>
  </si>
  <si>
    <t>8.09565-13.6934_S. mansoni</t>
  </si>
  <si>
    <t>8.31428-13.6937</t>
  </si>
  <si>
    <t>8.31428-13.6937_S. haematobium</t>
  </si>
  <si>
    <t>9.51338-13.6938</t>
  </si>
  <si>
    <t>9.51338-13.6938_S. haematobium</t>
  </si>
  <si>
    <t>8.31944-13.6958</t>
  </si>
  <si>
    <t>8.31944-13.6958_S. haematobium</t>
  </si>
  <si>
    <t>1.75-13.7</t>
  </si>
  <si>
    <t>1.75-13.7_S. mansoni</t>
  </si>
  <si>
    <t>1.75-13.7_S. haematobium</t>
  </si>
  <si>
    <t>1.78611-13.7</t>
  </si>
  <si>
    <t>1.78611-13.7_S. haematobium</t>
  </si>
  <si>
    <t>8.36403-13.7021</t>
  </si>
  <si>
    <t>8.36403-13.7021_S. haematobium</t>
  </si>
  <si>
    <t>7.93383-13.7024</t>
  </si>
  <si>
    <t>7.93383-13.7024_S. haematobium</t>
  </si>
  <si>
    <t>1.72558-13.7029</t>
  </si>
  <si>
    <t>1.72558-13.7029_S. haematobium</t>
  </si>
  <si>
    <t>1.556-13.705</t>
  </si>
  <si>
    <t>1.556-13.705_S. haematobium</t>
  </si>
  <si>
    <t>9.0259-13.7071</t>
  </si>
  <si>
    <t>9.0259-13.7071_S. haematobium</t>
  </si>
  <si>
    <t>1.81902-13.7072</t>
  </si>
  <si>
    <t>1.81902-13.7072_S. haematobium</t>
  </si>
  <si>
    <t>1.71693-13.7102</t>
  </si>
  <si>
    <t>1.71693-13.7102_S. haematobium</t>
  </si>
  <si>
    <t>9.15555-13.7111</t>
  </si>
  <si>
    <t>9.15555-13.7111_S. haematobium</t>
  </si>
  <si>
    <t>9.06233-13.7115</t>
  </si>
  <si>
    <t>9.06233-13.7115_S. haematobium</t>
  </si>
  <si>
    <t>9.11944-13.7139</t>
  </si>
  <si>
    <t>9.11944-13.7139_S. haematobium</t>
  </si>
  <si>
    <t>9.0887-13.714</t>
  </si>
  <si>
    <t>9.0887-13.714_S. haematobium</t>
  </si>
  <si>
    <t>1.364-13.719</t>
  </si>
  <si>
    <t>1.364-13.719_S. mansoni</t>
  </si>
  <si>
    <t>8.91833-13.7194</t>
  </si>
  <si>
    <t>8.91833-13.7194_S. haematobium</t>
  </si>
  <si>
    <t>1.70347-13.7198</t>
  </si>
  <si>
    <t>1.70347-13.7198_S. haematobium</t>
  </si>
  <si>
    <t>8.26702-13.7207</t>
  </si>
  <si>
    <t>8.26702-13.7207_S. haematobium</t>
  </si>
  <si>
    <t>1.7487-13.7215</t>
  </si>
  <si>
    <t>1.7487-13.7215_S. haematobium</t>
  </si>
  <si>
    <t>1.682-13.7246</t>
  </si>
  <si>
    <t>1.682-13.7246_S. haematobium</t>
  </si>
  <si>
    <t>3.05022-13.7292</t>
  </si>
  <si>
    <t>3.05022-13.7292_S. haematobium</t>
  </si>
  <si>
    <t>1.73377-13.7314</t>
  </si>
  <si>
    <t>1.73377-13.7314_S. haematobium</t>
  </si>
  <si>
    <t>1.61518-13.7342</t>
  </si>
  <si>
    <t>1.61518-13.7342_S. haematobium</t>
  </si>
  <si>
    <t>9.3739-13.7369</t>
  </si>
  <si>
    <t>9.3739-13.7369_S. haematobium</t>
  </si>
  <si>
    <t>1.68225-13.739</t>
  </si>
  <si>
    <t>1.68225-13.739_S. haematobium</t>
  </si>
  <si>
    <t>1.60378-13.7399</t>
  </si>
  <si>
    <t>1.60378-13.7399_S. haematobium</t>
  </si>
  <si>
    <t>1.7669-13.7405</t>
  </si>
  <si>
    <t>1.7669-13.7405_S. haematobium</t>
  </si>
  <si>
    <t>6.05262-13.7409</t>
  </si>
  <si>
    <t>6.05262-13.7409_S. haematobium</t>
  </si>
  <si>
    <t>6.05262-13.7409_S. mansoni</t>
  </si>
  <si>
    <t>3.06077-13.7416</t>
  </si>
  <si>
    <t>3.06077-13.7416_S. haematobium</t>
  </si>
  <si>
    <t>8.6882-13.7425</t>
  </si>
  <si>
    <t>8.6882-13.7425_S. haematobium</t>
  </si>
  <si>
    <t>1.57999-13.7442</t>
  </si>
  <si>
    <t>1.57999-13.7442_S. haematobium</t>
  </si>
  <si>
    <t>1.00757-13.7444</t>
  </si>
  <si>
    <t>1.00757-13.7444_S. haematobium</t>
  </si>
  <si>
    <t>3.08628-13.7472</t>
  </si>
  <si>
    <t>3.08628-13.7472_S. haematobium</t>
  </si>
  <si>
    <t>1.69262-13.7486</t>
  </si>
  <si>
    <t>1.69262-13.7486_S. haematobium</t>
  </si>
  <si>
    <t>9.204-13.7489</t>
  </si>
  <si>
    <t>9.204-13.7489_S. haematobium</t>
  </si>
  <si>
    <t>7.991-13.751</t>
  </si>
  <si>
    <t>7.991-13.751_S. haematobium</t>
  </si>
  <si>
    <t>8.84192-13.7517</t>
  </si>
  <si>
    <t>8.84192-13.7517_S. haematobium</t>
  </si>
  <si>
    <t>8.48233-13.7528</t>
  </si>
  <si>
    <t>8.48233-13.7528_S. haematobium</t>
  </si>
  <si>
    <t>1.709-13.754</t>
  </si>
  <si>
    <t>1.709-13.754_S. haematobium</t>
  </si>
  <si>
    <t>9.11607-13.7554</t>
  </si>
  <si>
    <t>9.11607-13.7554_S. haematobium</t>
  </si>
  <si>
    <t>1.66667-13.7583</t>
  </si>
  <si>
    <t>1.66667-13.7583_S. haematobium</t>
  </si>
  <si>
    <t>9.42377-13.7605</t>
  </si>
  <si>
    <t>9.42377-13.7605_S. haematobium</t>
  </si>
  <si>
    <t>1.62937-13.7628</t>
  </si>
  <si>
    <t>1.62937-13.7628_S. haematobium</t>
  </si>
  <si>
    <t>8.79695-13.7725</t>
  </si>
  <si>
    <t>8.79695-13.7725_S. haematobium</t>
  </si>
  <si>
    <t>1.43477-13.7775</t>
  </si>
  <si>
    <t>1.43477-13.7775_S. haematobium</t>
  </si>
  <si>
    <t>5.20787-13.7792</t>
  </si>
  <si>
    <t>5.20787-13.7792_S. haematobium</t>
  </si>
  <si>
    <t>8.92787-13.7835</t>
  </si>
  <si>
    <t>8.92787-13.7835_S. haematobium</t>
  </si>
  <si>
    <t>8.96683-13.7851</t>
  </si>
  <si>
    <t>8.96683-13.7851_S. haematobium</t>
  </si>
  <si>
    <t>9.18611-13.7889</t>
  </si>
  <si>
    <t>9.18611-13.7889_S. haematobium</t>
  </si>
  <si>
    <t>5.13212-13.7892</t>
  </si>
  <si>
    <t>5.13212-13.7892_S. haematobium</t>
  </si>
  <si>
    <t>8.40838-13.7929</t>
  </si>
  <si>
    <t>8.40838-13.7929_S. haematobium</t>
  </si>
  <si>
    <t>3.01427-13.7945</t>
  </si>
  <si>
    <t>3.01427-13.7945_S. haematobium</t>
  </si>
  <si>
    <t>5.10003-13.7965</t>
  </si>
  <si>
    <t>5.10003-13.7965_S. haematobium</t>
  </si>
  <si>
    <t>1.582-13.8</t>
  </si>
  <si>
    <t>1.582-13.8_S. mansoni</t>
  </si>
  <si>
    <t>5.25-13.8</t>
  </si>
  <si>
    <t>5.25-13.8_S. haematobium</t>
  </si>
  <si>
    <t>1.59028-13.8</t>
  </si>
  <si>
    <t>1.59028-13.8_S. haematobium</t>
  </si>
  <si>
    <t>1.3567-13.8</t>
  </si>
  <si>
    <t>1.3567-13.8_S. haematobium</t>
  </si>
  <si>
    <t>5.2214-13.8022</t>
  </si>
  <si>
    <t>5.2214-13.8022_S. haematobium</t>
  </si>
  <si>
    <t>8.98333-13.8083</t>
  </si>
  <si>
    <t>8.98333-13.8083_S. haematobium</t>
  </si>
  <si>
    <t>1.3933-13.8152</t>
  </si>
  <si>
    <t>1.3933-13.8152_S. haematobium</t>
  </si>
  <si>
    <t>1.3933-13.8152_S. mansoni</t>
  </si>
  <si>
    <t>9.43405-13.8214</t>
  </si>
  <si>
    <t>9.43405-13.8214_S. haematobium</t>
  </si>
  <si>
    <t>1.58056-13.8222</t>
  </si>
  <si>
    <t>1.58056-13.8222_S. haematobium</t>
  </si>
  <si>
    <t>9.109-13.8338</t>
  </si>
  <si>
    <t>9.109-13.8338_S. haematobium</t>
  </si>
  <si>
    <t>9.575-13.8361</t>
  </si>
  <si>
    <t>9.575-13.8361_S. haematobium</t>
  </si>
  <si>
    <t>4.76182-13.8379</t>
  </si>
  <si>
    <t>4.76182-13.8379_S. haematobium</t>
  </si>
  <si>
    <t>5.29703-13.8385</t>
  </si>
  <si>
    <t>5.29703-13.8385_S. haematobium</t>
  </si>
  <si>
    <t>1.35002-13.8418</t>
  </si>
  <si>
    <t>1.35002-13.8418_S. haematobium</t>
  </si>
  <si>
    <t>5.23775-13.8422</t>
  </si>
  <si>
    <t>5.23775-13.8422_S. haematobium</t>
  </si>
  <si>
    <t>1.60888-13.8441</t>
  </si>
  <si>
    <t>1.60888-13.8441_S. haematobium</t>
  </si>
  <si>
    <t>9.50447-13.8454</t>
  </si>
  <si>
    <t>9.50447-13.8454_S. haematobium</t>
  </si>
  <si>
    <t>1.57264-13.8463</t>
  </si>
  <si>
    <t>1.57264-13.8463_S. haematobium</t>
  </si>
  <si>
    <t>1-13.848</t>
  </si>
  <si>
    <t>1-13.848_S. mansoni</t>
  </si>
  <si>
    <t>9.09167-13.8514</t>
  </si>
  <si>
    <t>9.09167-13.8514_S. haematobium</t>
  </si>
  <si>
    <t>10.123-13.8514</t>
  </si>
  <si>
    <t>10.123-13.8514_S. haematobium</t>
  </si>
  <si>
    <t>1.47268-13.8515</t>
  </si>
  <si>
    <t>1.47268-13.8515_S. haematobium</t>
  </si>
  <si>
    <t>9.34288-13.8558</t>
  </si>
  <si>
    <t>9.34288-13.8558_S. haematobium</t>
  </si>
  <si>
    <t>1.47-13.856</t>
  </si>
  <si>
    <t>1.47-13.856_S. mansoni</t>
  </si>
  <si>
    <t>8.78383-13.8581</t>
  </si>
  <si>
    <t>8.78383-13.8581_S. haematobium</t>
  </si>
  <si>
    <t>9.11498-13.8589</t>
  </si>
  <si>
    <t>9.11498-13.8589_S. haematobium</t>
  </si>
  <si>
    <t>8.90572-13.8674</t>
  </si>
  <si>
    <t>8.90572-13.8674_S. haematobium</t>
  </si>
  <si>
    <t>9.3186-13.869</t>
  </si>
  <si>
    <t>9.3186-13.869_S. haematobium</t>
  </si>
  <si>
    <t>1.28955-13.8782</t>
  </si>
  <si>
    <t>1.28955-13.8782_S. haematobium</t>
  </si>
  <si>
    <t>1.27752-13.879</t>
  </si>
  <si>
    <t>1.27752-13.879_S. haematobium</t>
  </si>
  <si>
    <t>5.19443-13.8797</t>
  </si>
  <si>
    <t>5.19443-13.8797_S. haematobium</t>
  </si>
  <si>
    <t>1.276-13.881</t>
  </si>
  <si>
    <t>1.276-13.881_S. mansoni</t>
  </si>
  <si>
    <t>8.58056-13.8819</t>
  </si>
  <si>
    <t>8.58056-13.8819_S. haematobium</t>
  </si>
  <si>
    <t>1.50647-13.8822</t>
  </si>
  <si>
    <t>1.50647-13.8822_S. haematobium</t>
  </si>
  <si>
    <t>1.53318-13.8852</t>
  </si>
  <si>
    <t>1.53318-13.8852_S. haematobium</t>
  </si>
  <si>
    <t>5.4472-13.8857</t>
  </si>
  <si>
    <t>5.4472-13.8857_S. haematobium</t>
  </si>
  <si>
    <t>5.4472-13.8857_S. mansoni</t>
  </si>
  <si>
    <t>5.34353-13.8873</t>
  </si>
  <si>
    <t>5.34353-13.8873_S. haematobium</t>
  </si>
  <si>
    <t>8.72563-13.8876</t>
  </si>
  <si>
    <t>8.72563-13.8876_S. haematobium</t>
  </si>
  <si>
    <t>9.02142-13.8879</t>
  </si>
  <si>
    <t>9.02142-13.8879_S. haematobium</t>
  </si>
  <si>
    <t>9.17047-13.8911</t>
  </si>
  <si>
    <t>9.17047-13.8911_S. haematobium</t>
  </si>
  <si>
    <t>3.02005-13.8919</t>
  </si>
  <si>
    <t>3.02005-13.8919_S. haematobium</t>
  </si>
  <si>
    <t>3.07158-13.8975</t>
  </si>
  <si>
    <t>3.07158-13.8975_S. haematobium</t>
  </si>
  <si>
    <t>1.20527-13.9113</t>
  </si>
  <si>
    <t>1.20527-13.9113_S. haematobium</t>
  </si>
  <si>
    <t>1.2067-13.9119</t>
  </si>
  <si>
    <t>1.2067-13.9119_S. mansoni</t>
  </si>
  <si>
    <t>8.98827-13.9152</t>
  </si>
  <si>
    <t>8.98827-13.9152_S. haematobium</t>
  </si>
  <si>
    <t>1.2421-13.9177</t>
  </si>
  <si>
    <t>1.2421-13.9177_S. haematobium</t>
  </si>
  <si>
    <t>1.57433-13.9198</t>
  </si>
  <si>
    <t>1.57433-13.9198_S. haematobium</t>
  </si>
  <si>
    <t>9.25935-13.9215</t>
  </si>
  <si>
    <t>9.25935-13.9215_S. haematobium</t>
  </si>
  <si>
    <t>9.33677-13.9304</t>
  </si>
  <si>
    <t>9.33677-13.9304_S. haematobium</t>
  </si>
  <si>
    <t>1.53333-13.9333</t>
  </si>
  <si>
    <t>1.53333-13.9333_S. mansoni</t>
  </si>
  <si>
    <t>9.07698-13.9333</t>
  </si>
  <si>
    <t>9.07698-13.9333_S. haematobium</t>
  </si>
  <si>
    <t>1.52875-13.9342</t>
  </si>
  <si>
    <t>1.52875-13.9342_S. haematobium</t>
  </si>
  <si>
    <t>9.16317-13.9412</t>
  </si>
  <si>
    <t>9.16317-13.9412_S. haematobium</t>
  </si>
  <si>
    <t>8.27609-13.9438</t>
  </si>
  <si>
    <t>8.27609-13.9438_S. haematobium</t>
  </si>
  <si>
    <t>8.27609-13.9438_S. mansoni</t>
  </si>
  <si>
    <t>10.4892-13.9496</t>
  </si>
  <si>
    <t>10.4892-13.9496_S. haematobium</t>
  </si>
  <si>
    <t>5.61513-13.9647</t>
  </si>
  <si>
    <t>5.61513-13.9647_S. haematobium</t>
  </si>
  <si>
    <t>9.14182-13.9688</t>
  </si>
  <si>
    <t>9.14182-13.9688_S. haematobium</t>
  </si>
  <si>
    <t>9.03798-13.9707</t>
  </si>
  <si>
    <t>9.03798-13.9707_S. haematobium</t>
  </si>
  <si>
    <t>1.555-13.9744</t>
  </si>
  <si>
    <t>1.555-13.9744_S. haematobium</t>
  </si>
  <si>
    <t>9.23207-13.9752</t>
  </si>
  <si>
    <t>9.23207-13.9752_S. haematobium</t>
  </si>
  <si>
    <t>9.27838-13.9893</t>
  </si>
  <si>
    <t>9.27838-13.9893_S. haematobium</t>
  </si>
  <si>
    <t>1.5293-13.9975</t>
  </si>
  <si>
    <t>1.5293-13.9975_S. haematobium</t>
  </si>
  <si>
    <t>1.1818-14.0013</t>
  </si>
  <si>
    <t>1.1818-14.0013_S. haematobium</t>
  </si>
  <si>
    <t>3.21445-14.011</t>
  </si>
  <si>
    <t>3.21445-14.011_S. haematobium</t>
  </si>
  <si>
    <t>5.32012-14.013</t>
  </si>
  <si>
    <t>5.32012-14.013_S. haematobium</t>
  </si>
  <si>
    <t>9.58815-14.0227</t>
  </si>
  <si>
    <t>9.58815-14.0227_S. haematobium</t>
  </si>
  <si>
    <t>1.98889-14.0278</t>
  </si>
  <si>
    <t>1.98889-14.0278_S. haematobium</t>
  </si>
  <si>
    <t>0.766665-14.0278</t>
  </si>
  <si>
    <t>0.766665-14.0278_S. haematobium</t>
  </si>
  <si>
    <t>8.94577-14.0291</t>
  </si>
  <si>
    <t>8.94577-14.0291_S. haematobium</t>
  </si>
  <si>
    <t>9.74365-14.03</t>
  </si>
  <si>
    <t>9.74365-14.03_S. haematobium</t>
  </si>
  <si>
    <t>4.26535-14.0301</t>
  </si>
  <si>
    <t>4.26535-14.0301_S. haematobium</t>
  </si>
  <si>
    <t>4.26535-14.0301_S. mansoni</t>
  </si>
  <si>
    <t>6.41345-14.0322</t>
  </si>
  <si>
    <t>6.41345-14.0322_S. haematobium</t>
  </si>
  <si>
    <t>6.41345-14.0322_S. mansoni</t>
  </si>
  <si>
    <t>5.9924-14.0363</t>
  </si>
  <si>
    <t>5.9924-14.0363_S. haematobium</t>
  </si>
  <si>
    <t>8.81111-14.0389</t>
  </si>
  <si>
    <t>8.81111-14.0389_S. haematobium</t>
  </si>
  <si>
    <t>9.3389-14.0434</t>
  </si>
  <si>
    <t>9.3389-14.0434_S. haematobium</t>
  </si>
  <si>
    <t>5.871-14.0448</t>
  </si>
  <si>
    <t>5.871-14.0448_S. haematobium</t>
  </si>
  <si>
    <t>5.6706-14.0687</t>
  </si>
  <si>
    <t>5.6706-14.0687_S. haematobium</t>
  </si>
  <si>
    <t>5.95833-14.0753</t>
  </si>
  <si>
    <t>5.95833-14.0753_S. haematobium</t>
  </si>
  <si>
    <t>9.54782-14.0771</t>
  </si>
  <si>
    <t>9.54782-14.0771_S. haematobium</t>
  </si>
  <si>
    <t>3.14107-14.0825</t>
  </si>
  <si>
    <t>3.14107-14.0825_S. haematobium</t>
  </si>
  <si>
    <t>5.3281-14.0831</t>
  </si>
  <si>
    <t>5.3281-14.0831_S. haematobium</t>
  </si>
  <si>
    <t>5.3281-14.0831_S. mansoni</t>
  </si>
  <si>
    <t>10.5404-14.1059</t>
  </si>
  <si>
    <t>10.5404-14.1059_S. haematobium</t>
  </si>
  <si>
    <t>10.5404-14.1059_S. mansoni</t>
  </si>
  <si>
    <t>5.62876-14.1223</t>
  </si>
  <si>
    <t>5.62876-14.1223_S. haematobium</t>
  </si>
  <si>
    <t>5.62876-14.1223_S. mansoni</t>
  </si>
  <si>
    <t>9.81757-14.1278</t>
  </si>
  <si>
    <t>9.81757-14.1278_S. haematobium</t>
  </si>
  <si>
    <t>8.87842-14.1321</t>
  </si>
  <si>
    <t>8.87842-14.1321_S. haematobium</t>
  </si>
  <si>
    <t>9.69215-14.1378</t>
  </si>
  <si>
    <t>9.69215-14.1378_S. haematobium</t>
  </si>
  <si>
    <t>9.4842-14.1394</t>
  </si>
  <si>
    <t>9.4842-14.1394_S. haematobium</t>
  </si>
  <si>
    <t>5.91302-14.1398</t>
  </si>
  <si>
    <t>5.91302-14.1398_S. haematobium</t>
  </si>
  <si>
    <t>5.64058-14.1456</t>
  </si>
  <si>
    <t>5.64058-14.1456_S. haematobium</t>
  </si>
  <si>
    <t>7.61079-14.1547</t>
  </si>
  <si>
    <t>7.61079-14.1547_S. haematobium</t>
  </si>
  <si>
    <t>7.61079-14.1547_S. mansoni</t>
  </si>
  <si>
    <t>1.50497-14.1581</t>
  </si>
  <si>
    <t>1.50497-14.1581_S. haematobium</t>
  </si>
  <si>
    <t>1.5-14.1667</t>
  </si>
  <si>
    <t>1.5-14.1667_S. haematobium</t>
  </si>
  <si>
    <t>6.21665-14.1667</t>
  </si>
  <si>
    <t>6.21665-14.1667_S. haematobium</t>
  </si>
  <si>
    <t>6.21665-14.1667_S. mansoni</t>
  </si>
  <si>
    <t>2.31298-14.1735</t>
  </si>
  <si>
    <t>2.31298-14.1735_S. haematobium</t>
  </si>
  <si>
    <t>2.31298-14.1735_S. mansoni</t>
  </si>
  <si>
    <t>2.31388-14.1736</t>
  </si>
  <si>
    <t>2.31388-14.1736_S. haematobium</t>
  </si>
  <si>
    <t>2.31388-14.1736_S. mansoni</t>
  </si>
  <si>
    <t>9.76152-14.177</t>
  </si>
  <si>
    <t>9.76152-14.177_S. haematobium</t>
  </si>
  <si>
    <t>1.43513-14.1777</t>
  </si>
  <si>
    <t>1.43513-14.1777_S. haematobium</t>
  </si>
  <si>
    <t>1.43583-14.1803</t>
  </si>
  <si>
    <t>1.43583-14.1803_S. mansoni</t>
  </si>
  <si>
    <t>1.43583-14.1803_S. haematobium</t>
  </si>
  <si>
    <t>1.03611-14.1806</t>
  </si>
  <si>
    <t>1.03611-14.1806_S. haematobium</t>
  </si>
  <si>
    <t>1.48403-14.1807</t>
  </si>
  <si>
    <t>1.48403-14.1807_S. haematobium</t>
  </si>
  <si>
    <t>1.48403-14.1807_S. mansoni</t>
  </si>
  <si>
    <t>2.84068-14.1822</t>
  </si>
  <si>
    <t>2.84068-14.1822_S. haematobium</t>
  </si>
  <si>
    <t>1.48333-14.1833</t>
  </si>
  <si>
    <t>1.48333-14.1833_S. mansoni</t>
  </si>
  <si>
    <t>1.48333-14.1833_S. haematobium</t>
  </si>
  <si>
    <t>1.4833-14.1833</t>
  </si>
  <si>
    <t>1.4833-14.1833_S. haematobium</t>
  </si>
  <si>
    <t>1.4833-14.1833_S. mansoni</t>
  </si>
  <si>
    <t>1.48631-14.1875</t>
  </si>
  <si>
    <t>1.48631-14.1875_S. haematobium</t>
  </si>
  <si>
    <t>2.05166-14.1902</t>
  </si>
  <si>
    <t>2.05166-14.1902_S. haematobium</t>
  </si>
  <si>
    <t>2.05166-14.1902_S. mansoni</t>
  </si>
  <si>
    <t>7.46155-14.1907</t>
  </si>
  <si>
    <t>7.46155-14.1907_S. haematobium</t>
  </si>
  <si>
    <t>7.46155-14.1907_S. mansoni</t>
  </si>
  <si>
    <t>2.05203-14.1913</t>
  </si>
  <si>
    <t>2.05203-14.1913_S. haematobium</t>
  </si>
  <si>
    <t>2.05203-14.1913_S. mansoni</t>
  </si>
  <si>
    <t>1.43635-14.1919</t>
  </si>
  <si>
    <t>1.43635-14.1919_S. haematobium</t>
  </si>
  <si>
    <t>1.43635-14.1919_S. mansoni</t>
  </si>
  <si>
    <t>2.49353-14.1933</t>
  </si>
  <si>
    <t>2.49353-14.1933_S. haematobium</t>
  </si>
  <si>
    <t>2.49353-14.1933_S. mansoni</t>
  </si>
  <si>
    <t>7.51358-14.195</t>
  </si>
  <si>
    <t>7.51358-14.195_S. haematobium</t>
  </si>
  <si>
    <t>7.51358-14.195_S. mansoni</t>
  </si>
  <si>
    <t>2.16723-14.1959</t>
  </si>
  <si>
    <t>2.16723-14.1959_S. haematobium</t>
  </si>
  <si>
    <t>7.89005-14.197</t>
  </si>
  <si>
    <t>7.89005-14.197_S. haematobium</t>
  </si>
  <si>
    <t>7.89005-14.197_S. mansoni</t>
  </si>
  <si>
    <t>3.42963-14.2039</t>
  </si>
  <si>
    <t>3.42963-14.2039_S. haematobium</t>
  </si>
  <si>
    <t>5.70848-14.2057</t>
  </si>
  <si>
    <t>5.70848-14.2057_S. haematobium</t>
  </si>
  <si>
    <t>0.9194-14.2062</t>
  </si>
  <si>
    <t>0.9194-14.2062_S. haematobium</t>
  </si>
  <si>
    <t>0.919399-14.2062</t>
  </si>
  <si>
    <t>0.919399-14.2062_S. haematobium</t>
  </si>
  <si>
    <t>0.919399-14.2062_S. mansoni</t>
  </si>
  <si>
    <t>5.2713-14.2076</t>
  </si>
  <si>
    <t>5.2713-14.2076_S. haematobium</t>
  </si>
  <si>
    <t>5.7477-14.2099</t>
  </si>
  <si>
    <t>5.7477-14.2099_S. haematobium</t>
  </si>
  <si>
    <t>1.45-14.2111</t>
  </si>
  <si>
    <t>1.45-14.2111_S. haematobium</t>
  </si>
  <si>
    <t>3.19154-14.2139</t>
  </si>
  <si>
    <t>3.19154-14.2139_S. haematobium</t>
  </si>
  <si>
    <t>3.19154-14.2139_S. mansoni</t>
  </si>
  <si>
    <t>8.23037-14.2152</t>
  </si>
  <si>
    <t>8.23037-14.2152_S. haematobium</t>
  </si>
  <si>
    <t>8.23037-14.2152_S. mansoni</t>
  </si>
  <si>
    <t>1.45139-14.2236</t>
  </si>
  <si>
    <t>1.45139-14.2236_S. haematobium</t>
  </si>
  <si>
    <t>10.1214-14.2257</t>
  </si>
  <si>
    <t>10.1214-14.2257_S. haematobium</t>
  </si>
  <si>
    <t>10.1214-14.2257_S. mansoni</t>
  </si>
  <si>
    <t>10.0485-14.2278</t>
  </si>
  <si>
    <t>10.0485-14.2278_S. haematobium</t>
  </si>
  <si>
    <t>1.4465-14.2285</t>
  </si>
  <si>
    <t>1.4465-14.2285_S. haematobium</t>
  </si>
  <si>
    <t>1.4465-14.2285_S. mansoni</t>
  </si>
  <si>
    <t>2.11389-14.2389</t>
  </si>
  <si>
    <t>2.11389-14.2389_S. haematobium</t>
  </si>
  <si>
    <t>1.53107-14.2402</t>
  </si>
  <si>
    <t>1.53107-14.2402_S. haematobium</t>
  </si>
  <si>
    <t>6.41273-14.2416</t>
  </si>
  <si>
    <t>6.41273-14.2416_S. haematobium</t>
  </si>
  <si>
    <t>6.41273-14.2416_S. mansoni</t>
  </si>
  <si>
    <t>3.2969-14.2423</t>
  </si>
  <si>
    <t>3.2969-14.2423_S. haematobium</t>
  </si>
  <si>
    <t>7.53281-14.2454</t>
  </si>
  <si>
    <t>7.53281-14.2454_S. haematobium</t>
  </si>
  <si>
    <t>7.53281-14.2454_S. mansoni</t>
  </si>
  <si>
    <t>13.117-14.251</t>
  </si>
  <si>
    <t>13.117-14.251_S. haematobium</t>
  </si>
  <si>
    <t>5.7681-14.2758</t>
  </si>
  <si>
    <t>5.7681-14.2758_S. haematobium</t>
  </si>
  <si>
    <t>8.41081-14.2821</t>
  </si>
  <si>
    <t>8.41081-14.2821_S. haematobium</t>
  </si>
  <si>
    <t>8.41081-14.2821_S. mansoni</t>
  </si>
  <si>
    <t>1.4-14.2833</t>
  </si>
  <si>
    <t>1.4-14.2833_S. haematobium</t>
  </si>
  <si>
    <t>1.402-14.288</t>
  </si>
  <si>
    <t>1.402-14.288_S. mansoni</t>
  </si>
  <si>
    <t>3.39157-14.2902</t>
  </si>
  <si>
    <t>3.39157-14.2902_S. haematobium</t>
  </si>
  <si>
    <t>3.39157-14.2902_S. mansoni</t>
  </si>
  <si>
    <t>7.33199-14.2922</t>
  </si>
  <si>
    <t>7.33199-14.2922_S. haematobium</t>
  </si>
  <si>
    <t>7.33199-14.2922_S. mansoni</t>
  </si>
  <si>
    <t>4.64593-14.2977</t>
  </si>
  <si>
    <t>4.64593-14.2977_S. haematobium</t>
  </si>
  <si>
    <t>4.64593-14.2977_S. mansoni</t>
  </si>
  <si>
    <t>8.04346-14.301</t>
  </si>
  <si>
    <t>8.04346-14.301_S. haematobium</t>
  </si>
  <si>
    <t>8.04346-14.301_S. mansoni</t>
  </si>
  <si>
    <t>0.470799-14.3071</t>
  </si>
  <si>
    <t>0.470799-14.3071_S. haematobium</t>
  </si>
  <si>
    <t>3.52081-14.3119</t>
  </si>
  <si>
    <t>3.52081-14.3119_S. haematobium</t>
  </si>
  <si>
    <t>3.52081-14.3119_S. mansoni</t>
  </si>
  <si>
    <t>3.22329-14.3127</t>
  </si>
  <si>
    <t>3.22329-14.3127_S. haematobium</t>
  </si>
  <si>
    <t>3.22329-14.3127_S. mansoni</t>
  </si>
  <si>
    <t>1.2999-14.3131</t>
  </si>
  <si>
    <t>1.2999-14.3131_S. haematobium</t>
  </si>
  <si>
    <t>2.09017-14.3151</t>
  </si>
  <si>
    <t>2.09017-14.3151_S. haematobium</t>
  </si>
  <si>
    <t>9.6156-14.3161</t>
  </si>
  <si>
    <t>9.6156-14.3161_S. haematobium</t>
  </si>
  <si>
    <t>1.3-14.3167</t>
  </si>
  <si>
    <t>1.3-14.3167_S. mansoni</t>
  </si>
  <si>
    <t>1.3-14.3167_S. haematobium</t>
  </si>
  <si>
    <t>1.3-14.3217</t>
  </si>
  <si>
    <t>1.3-14.3217_S. mansoni</t>
  </si>
  <si>
    <t>1.3-14.3217_S. haematobium</t>
  </si>
  <si>
    <t>3.32055-14.3342</t>
  </si>
  <si>
    <t>3.32055-14.3342_S. haematobium</t>
  </si>
  <si>
    <t>2.16867-14.3369</t>
  </si>
  <si>
    <t>2.16867-14.3369_S. haematobium</t>
  </si>
  <si>
    <t>1.25753-14.3499</t>
  </si>
  <si>
    <t>1.25753-14.3499_S. haematobium</t>
  </si>
  <si>
    <t>1.264-14.35</t>
  </si>
  <si>
    <t>1.264-14.35_S. mansoni</t>
  </si>
  <si>
    <t>3.334-14.352</t>
  </si>
  <si>
    <t>3.334-14.352_S. haematobium</t>
  </si>
  <si>
    <t>3.31944-14.3528</t>
  </si>
  <si>
    <t>3.31944-14.3528_S. haematobium</t>
  </si>
  <si>
    <t>9.11413-14.359</t>
  </si>
  <si>
    <t>9.11413-14.359_S. haematobium</t>
  </si>
  <si>
    <t>5.88178-14.3664</t>
  </si>
  <si>
    <t>5.88178-14.3664_S. haematobium</t>
  </si>
  <si>
    <t>1.21372-14.3731</t>
  </si>
  <si>
    <t>1.21372-14.3731_S. haematobium</t>
  </si>
  <si>
    <t>7.30694-14.3781</t>
  </si>
  <si>
    <t>7.30694-14.3781_S. haematobium</t>
  </si>
  <si>
    <t>7.30694-14.3781_S. mansoni</t>
  </si>
  <si>
    <t>1.21423-14.3811</t>
  </si>
  <si>
    <t>1.21423-14.3811_S. haematobium</t>
  </si>
  <si>
    <t>1.21667-14.3833</t>
  </si>
  <si>
    <t>1.21667-14.3833_S. mansoni</t>
  </si>
  <si>
    <t>1.21667-14.3833_S. haematobium</t>
  </si>
  <si>
    <t>1.12555-14.3947</t>
  </si>
  <si>
    <t>1.12555-14.3947_S. haematobium</t>
  </si>
  <si>
    <t>8.09122-14.3953</t>
  </si>
  <si>
    <t>8.09122-14.3953_S. haematobium</t>
  </si>
  <si>
    <t>8.09122-14.3953_S. mansoni</t>
  </si>
  <si>
    <t>6.12046-14.3957</t>
  </si>
  <si>
    <t>6.12046-14.3957_S. haematobium</t>
  </si>
  <si>
    <t>6.12046-14.3957_S. mansoni</t>
  </si>
  <si>
    <t>4.99307-14.3958</t>
  </si>
  <si>
    <t>4.99307-14.3958_S. haematobium</t>
  </si>
  <si>
    <t>8.08549-14.4125</t>
  </si>
  <si>
    <t>8.08549-14.4125_S. haematobium</t>
  </si>
  <si>
    <t>8.08549-14.4125_S. mansoni</t>
  </si>
  <si>
    <t>1.1225-14.4178</t>
  </si>
  <si>
    <t>1.1225-14.4178_S. haematobium</t>
  </si>
  <si>
    <t>0.897117-14.4185</t>
  </si>
  <si>
    <t>0.897117-14.4185_S. haematobium</t>
  </si>
  <si>
    <t>6.45467-14.4206</t>
  </si>
  <si>
    <t>6.45467-14.4206_S. haematobium</t>
  </si>
  <si>
    <t>8.48454-14.424</t>
  </si>
  <si>
    <t>8.48454-14.424_S. haematobium</t>
  </si>
  <si>
    <t>8.48454-14.424_S. mansoni</t>
  </si>
  <si>
    <t>5.12303-14.4284</t>
  </si>
  <si>
    <t>5.12303-14.4284_S. haematobium</t>
  </si>
  <si>
    <t>2.76944-14.4319</t>
  </si>
  <si>
    <t>2.76944-14.4319_S. haematobium</t>
  </si>
  <si>
    <t>8.37496-14.4343</t>
  </si>
  <si>
    <t>8.37496-14.4343_S. haematobium</t>
  </si>
  <si>
    <t>8.37496-14.4343_S. mansoni</t>
  </si>
  <si>
    <t>1.13333-14.45</t>
  </si>
  <si>
    <t>1.13333-14.45_S. mansoni</t>
  </si>
  <si>
    <t>1.13333-14.45_S. haematobium</t>
  </si>
  <si>
    <t>0.850283-14.4517</t>
  </si>
  <si>
    <t>0.850283-14.4517_S. haematobium</t>
  </si>
  <si>
    <t>1.132-14.452</t>
  </si>
  <si>
    <t>1.132-14.452_S. mansoni</t>
  </si>
  <si>
    <t>1.1296-14.4522</t>
  </si>
  <si>
    <t>1.1296-14.4522_S. haematobium</t>
  </si>
  <si>
    <t>4.61685-14.4578</t>
  </si>
  <si>
    <t>4.61685-14.4578_S. haematobium</t>
  </si>
  <si>
    <t>2.03117-14.4586</t>
  </si>
  <si>
    <t>2.03117-14.4586_S. haematobium</t>
  </si>
  <si>
    <t>5.25158-14.4597</t>
  </si>
  <si>
    <t>5.25158-14.4597_S. haematobium</t>
  </si>
  <si>
    <t>0.78635-14.461</t>
  </si>
  <si>
    <t>0.78635-14.461_S. haematobium</t>
  </si>
  <si>
    <t>1.0746-14.4718</t>
  </si>
  <si>
    <t>1.0746-14.4718_S. haematobium</t>
  </si>
  <si>
    <t>1.0933-14.4739</t>
  </si>
  <si>
    <t>1.0933-14.4739_S. haematobium</t>
  </si>
  <si>
    <t>1.10278-14.4972</t>
  </si>
  <si>
    <t>1.10278-14.4972_S. haematobium</t>
  </si>
  <si>
    <t>3.55246-14.5017</t>
  </si>
  <si>
    <t>3.55246-14.5017_S. haematobium</t>
  </si>
  <si>
    <t>3.55246-14.5017_S. mansoni</t>
  </si>
  <si>
    <t>0.447083-14.5041</t>
  </si>
  <si>
    <t>0.447083-14.5041_S. haematobium</t>
  </si>
  <si>
    <t>1.232-14.518</t>
  </si>
  <si>
    <t>1.232-14.518_S. mansoni</t>
  </si>
  <si>
    <t>5.37227-14.5203</t>
  </si>
  <si>
    <t>5.37227-14.5203_S. haematobium</t>
  </si>
  <si>
    <t>3.54509-14.5269</t>
  </si>
  <si>
    <t>3.54509-14.5269_S. haematobium</t>
  </si>
  <si>
    <t>3.54509-14.5269_S. mansoni</t>
  </si>
  <si>
    <t>1.0972-14.5319</t>
  </si>
  <si>
    <t>1.0972-14.5319_S. haematobium</t>
  </si>
  <si>
    <t>1.0972-14.5319_S. mansoni</t>
  </si>
  <si>
    <t>1.0999-14.5327</t>
  </si>
  <si>
    <t>1.0999-14.5327_S. haematobium</t>
  </si>
  <si>
    <t>1.0999-14.5327_S. mansoni</t>
  </si>
  <si>
    <t>3.54097-14.5345</t>
  </si>
  <si>
    <t>3.54097-14.5345_S. haematobium</t>
  </si>
  <si>
    <t>3.54097-14.5345_S. mansoni</t>
  </si>
  <si>
    <t>2.39499-14.5434</t>
  </si>
  <si>
    <t>2.39499-14.5434_S. haematobium</t>
  </si>
  <si>
    <t>2.39499-14.5434_S. mansoni</t>
  </si>
  <si>
    <t>2.39498-14.5434</t>
  </si>
  <si>
    <t>2.39498-14.5434_S. haematobium</t>
  </si>
  <si>
    <t>2.39498-14.5434_S. mansoni</t>
  </si>
  <si>
    <t>1.082-14.552</t>
  </si>
  <si>
    <t>1.082-14.552_S. mansoni</t>
  </si>
  <si>
    <t>1.08338-14.5522</t>
  </si>
  <si>
    <t>1.08338-14.5522_S. haematobium</t>
  </si>
  <si>
    <t>1.08338-14.5522_S. mansoni</t>
  </si>
  <si>
    <t>5.31492-14.5522</t>
  </si>
  <si>
    <t>5.31492-14.5522_S. haematobium</t>
  </si>
  <si>
    <t>5.31492-14.5522_S. mansoni</t>
  </si>
  <si>
    <t>1.0806-14.5528</t>
  </si>
  <si>
    <t>1.0806-14.5528_S. haematobium</t>
  </si>
  <si>
    <t>1.0806-14.5528_S. mansoni</t>
  </si>
  <si>
    <t>3.34326-14.5531</t>
  </si>
  <si>
    <t>3.34326-14.5531_S. haematobium</t>
  </si>
  <si>
    <t>3.34326-14.5531_S. mansoni</t>
  </si>
  <si>
    <t>3.34326-14.5533</t>
  </si>
  <si>
    <t>3.34326-14.5533_S. haematobium</t>
  </si>
  <si>
    <t>3.34326-14.5533_S. mansoni</t>
  </si>
  <si>
    <t>7.25158-14.5548</t>
  </si>
  <si>
    <t>7.25158-14.5548_S. haematobium</t>
  </si>
  <si>
    <t>7.25158-14.5548_S. mansoni</t>
  </si>
  <si>
    <t>0.725-14.577</t>
  </si>
  <si>
    <t>0.725-14.577_S. mansoni</t>
  </si>
  <si>
    <t>0.7357-14.5812</t>
  </si>
  <si>
    <t>0.7357-14.5812_S. haematobium</t>
  </si>
  <si>
    <t>1.04525-14.5965</t>
  </si>
  <si>
    <t>1.04525-14.5965_S. haematobium</t>
  </si>
  <si>
    <t>0.290283-14.6126</t>
  </si>
  <si>
    <t>0.290283-14.6126_S. haematobium</t>
  </si>
  <si>
    <t>6.80824-14.6168</t>
  </si>
  <si>
    <t>6.80824-14.6168_S. haematobium</t>
  </si>
  <si>
    <t>0.974331-14.6297</t>
  </si>
  <si>
    <t>0.974331-14.6297_S. haematobium</t>
  </si>
  <si>
    <t>0.974331-14.6297_S. mansoni</t>
  </si>
  <si>
    <t>0.9778-14.6333</t>
  </si>
  <si>
    <t>0.9778-14.6333_S. haematobium</t>
  </si>
  <si>
    <t>0.9778-14.6333_S. mansoni</t>
  </si>
  <si>
    <t>0.979-14.634</t>
  </si>
  <si>
    <t>0.979-14.634_S. mansoni</t>
  </si>
  <si>
    <t>0.831417-14.6431</t>
  </si>
  <si>
    <t>0.831417-14.6431_S. haematobium</t>
  </si>
  <si>
    <t>0.533333-14.65</t>
  </si>
  <si>
    <t>0.533333-14.65_S. haematobium</t>
  </si>
  <si>
    <t>0.547883-14.6523</t>
  </si>
  <si>
    <t>0.547883-14.6523_S. haematobium</t>
  </si>
  <si>
    <t>0.534-14.654</t>
  </si>
  <si>
    <t>0.534-14.654_S. mansoni</t>
  </si>
  <si>
    <t>5.32967-14.6736</t>
  </si>
  <si>
    <t>5.32967-14.6736_S. haematobium</t>
  </si>
  <si>
    <t>0.946-14.687</t>
  </si>
  <si>
    <t>0.946-14.687_S. mansoni</t>
  </si>
  <si>
    <t>0.3203-14.7079</t>
  </si>
  <si>
    <t>0.3203-14.7079_S. haematobium</t>
  </si>
  <si>
    <t>5.32991-14.7145</t>
  </si>
  <si>
    <t>5.32991-14.7145_S. haematobium</t>
  </si>
  <si>
    <t>5.32991-14.7145_S. mansoni</t>
  </si>
  <si>
    <t>4.83731-14.7146</t>
  </si>
  <si>
    <t>4.83731-14.7146_S. haematobium</t>
  </si>
  <si>
    <t>4.83731-14.7146_S. mansoni</t>
  </si>
  <si>
    <t>0.916667-14.7167</t>
  </si>
  <si>
    <t>0.916667-14.7167_S. mansoni</t>
  </si>
  <si>
    <t>5.08955-14.7177</t>
  </si>
  <si>
    <t>5.08955-14.7177_S. haematobium</t>
  </si>
  <si>
    <t>0.298-14.718</t>
  </si>
  <si>
    <t>0.298-14.718_S. mansoni</t>
  </si>
  <si>
    <t>0.909233-14.7229</t>
  </si>
  <si>
    <t>0.909233-14.7229_S. haematobium</t>
  </si>
  <si>
    <t>0.675-14.7293</t>
  </si>
  <si>
    <t>0.675-14.7293_S. haematobium</t>
  </si>
  <si>
    <t>0.911333-14.7304</t>
  </si>
  <si>
    <t>0.911333-14.7304_S. haematobium</t>
  </si>
  <si>
    <t>0.682-14.732</t>
  </si>
  <si>
    <t>0.682-14.732_S. mansoni</t>
  </si>
  <si>
    <t>0.924-14.738</t>
  </si>
  <si>
    <t>0.924-14.738_S. mansoni</t>
  </si>
  <si>
    <t>0.37385-14.74</t>
  </si>
  <si>
    <t>0.37385-14.74_S. haematobium</t>
  </si>
  <si>
    <t>0.365-14.742</t>
  </si>
  <si>
    <t>0.365-14.742_S. mansoni</t>
  </si>
  <si>
    <t>0.884-14.75</t>
  </si>
  <si>
    <t>0.884-14.75_S. mansoni</t>
  </si>
  <si>
    <t>0.612-14.751</t>
  </si>
  <si>
    <t>0.612-14.751_S. mansoni</t>
  </si>
  <si>
    <t>0.646517-14.7525</t>
  </si>
  <si>
    <t>0.646517-14.7525_S. haematobium</t>
  </si>
  <si>
    <t>5.77475-14.7558</t>
  </si>
  <si>
    <t>5.77475-14.7558_S. haematobium</t>
  </si>
  <si>
    <t>0.545033-14.7711</t>
  </si>
  <si>
    <t>0.545033-14.7711_S. haematobium</t>
  </si>
  <si>
    <t>5.5922-14.7721</t>
  </si>
  <si>
    <t>5.5922-14.7721_S. haematobium</t>
  </si>
  <si>
    <t>0.38505-14.7928</t>
  </si>
  <si>
    <t>0.38505-14.7928_S. haematobium</t>
  </si>
  <si>
    <t>5.9303-14.7966</t>
  </si>
  <si>
    <t>5.9303-14.7966_S. haematobium</t>
  </si>
  <si>
    <t>0.884-14.802</t>
  </si>
  <si>
    <t>0.884-14.802_S. mansoni</t>
  </si>
  <si>
    <t>0.365-14.802</t>
  </si>
  <si>
    <t>0.365-14.802_S. mansoni</t>
  </si>
  <si>
    <t>5.4472-14.8032</t>
  </si>
  <si>
    <t>5.4472-14.8032_S. haematobium</t>
  </si>
  <si>
    <t>0.876-14.8101</t>
  </si>
  <si>
    <t>0.876-14.8101_S. haematobium</t>
  </si>
  <si>
    <t>4.77659-14.8203</t>
  </si>
  <si>
    <t>4.77659-14.8203_S. haematobium</t>
  </si>
  <si>
    <t>4.77659-14.8203_S. mansoni</t>
  </si>
  <si>
    <t>5.7441-14.8378</t>
  </si>
  <si>
    <t>5.7441-14.8378_S. haematobium</t>
  </si>
  <si>
    <t>2.67717-14.8522</t>
  </si>
  <si>
    <t>2.67717-14.8522_S. haematobium</t>
  </si>
  <si>
    <t>5.52437-14.8574</t>
  </si>
  <si>
    <t>5.52437-14.8574_S. haematobium</t>
  </si>
  <si>
    <t>5.263-14.9019</t>
  </si>
  <si>
    <t>5.263-14.9019_S. haematobium</t>
  </si>
  <si>
    <t>5.263-14.9019_S. mansoni</t>
  </si>
  <si>
    <t>0.846633-14.9072</t>
  </si>
  <si>
    <t>0.846633-14.9072_S. haematobium</t>
  </si>
  <si>
    <t>0.783333-14.9167</t>
  </si>
  <si>
    <t>0.783333-14.9167_S. haematobium</t>
  </si>
  <si>
    <t>0.848-14.917</t>
  </si>
  <si>
    <t>0.848-14.917_S. mansoni</t>
  </si>
  <si>
    <t>3.42943-14.9301</t>
  </si>
  <si>
    <t>3.42943-14.9301_S. haematobium</t>
  </si>
  <si>
    <t>4.94337-14.9301</t>
  </si>
  <si>
    <t>4.94337-14.9301_S. haematobium</t>
  </si>
  <si>
    <t>4.94337-14.9301_S. mansoni</t>
  </si>
  <si>
    <t>0.7816-14.944</t>
  </si>
  <si>
    <t>0.7816-14.944_S. haematobium</t>
  </si>
  <si>
    <t>0.782-14.952</t>
  </si>
  <si>
    <t>0.782-14.952_S. mansoni</t>
  </si>
  <si>
    <t>2.35292-14.9814</t>
  </si>
  <si>
    <t>2.35292-14.9814_S. haematobium</t>
  </si>
  <si>
    <t>5.0833-15.0197</t>
  </si>
  <si>
    <t>5.0833-15.0197_S. haematobium</t>
  </si>
  <si>
    <t>5.0833-15.0197_S. mansoni</t>
  </si>
  <si>
    <t>5.63445-15.0505</t>
  </si>
  <si>
    <t>5.63445-15.0505_S. haematobium</t>
  </si>
  <si>
    <t>1.59438-15.0704</t>
  </si>
  <si>
    <t>1.59438-15.0704_S. haematobium</t>
  </si>
  <si>
    <t>1.59438-15.0704_S. mansoni</t>
  </si>
  <si>
    <t>6.49052-15.0853</t>
  </si>
  <si>
    <t>6.49052-15.0853_S. haematobium</t>
  </si>
  <si>
    <t>6.49052-15.0853_S. mansoni</t>
  </si>
  <si>
    <t>5.66667-15.1</t>
  </si>
  <si>
    <t>5.66667-15.1_S. haematobium</t>
  </si>
  <si>
    <t>5.6711-15.1153</t>
  </si>
  <si>
    <t>5.6711-15.1153_S. haematobium</t>
  </si>
  <si>
    <t>5.6711-15.1153_S. mansoni</t>
  </si>
  <si>
    <t>6.81889-15.1477</t>
  </si>
  <si>
    <t>6.81889-15.1477_S. haematobium</t>
  </si>
  <si>
    <t>8.56069-15.1808</t>
  </si>
  <si>
    <t>8.56069-15.1808_S. haematobium</t>
  </si>
  <si>
    <t>8.56069-15.1808_S. mansoni</t>
  </si>
  <si>
    <t>1.3135-15.2275</t>
  </si>
  <si>
    <t>1.3135-15.2275_S. mansoni</t>
  </si>
  <si>
    <t>1.31435-15.2298</t>
  </si>
  <si>
    <t>1.31435-15.2298_S. haematobium</t>
  </si>
  <si>
    <t>5.8573-15.2494</t>
  </si>
  <si>
    <t>5.8573-15.2494_S. haematobium</t>
  </si>
  <si>
    <t>5.6141-15.2761</t>
  </si>
  <si>
    <t>5.6141-15.2761_S. haematobium</t>
  </si>
  <si>
    <t>9.02429-15.3117</t>
  </si>
  <si>
    <t>9.02429-15.3117_S. haematobium</t>
  </si>
  <si>
    <t>9.02429-15.3117_S. mansoni</t>
  </si>
  <si>
    <t>6.0941-15.3417</t>
  </si>
  <si>
    <t>6.0941-15.3417_S. haematobium</t>
  </si>
  <si>
    <t>7.53696-15.3717</t>
  </si>
  <si>
    <t>7.53696-15.3717_S. haematobium</t>
  </si>
  <si>
    <t>7.53696-15.3717_S. mansoni</t>
  </si>
  <si>
    <t>7.51721-15.3999</t>
  </si>
  <si>
    <t>7.51721-15.3999_S. haematobium</t>
  </si>
  <si>
    <t>7.51721-15.3999_S. mansoni</t>
  </si>
  <si>
    <t>5.72985-15.4098</t>
  </si>
  <si>
    <t>5.72985-15.4098_S. haematobium</t>
  </si>
  <si>
    <t>7.5544-15.4166</t>
  </si>
  <si>
    <t>7.5544-15.4166_S. haematobium</t>
  </si>
  <si>
    <t>7.5544-15.4166_S. mansoni</t>
  </si>
  <si>
    <t>6.28333-15.4333</t>
  </si>
  <si>
    <t>6.28333-15.4333_S. haematobium</t>
  </si>
  <si>
    <t>8.32082-15.5011</t>
  </si>
  <si>
    <t>8.32082-15.5011_S. haematobium</t>
  </si>
  <si>
    <t>8.32082-15.5011_S. mansoni</t>
  </si>
  <si>
    <t>5.9364-15.5633</t>
  </si>
  <si>
    <t>5.9364-15.5633_S. haematobium</t>
  </si>
  <si>
    <t>5.9364-15.5633_S. mansoni</t>
  </si>
  <si>
    <t>6.55327-15.8372</t>
  </si>
  <si>
    <t>6.55327-15.8372_S. haematobium</t>
  </si>
  <si>
    <t>7.30126-16.1241</t>
  </si>
  <si>
    <t>7.30126-16.1241_S. haematobium</t>
  </si>
  <si>
    <t>7.30126-16.1241_S. mansoni</t>
  </si>
  <si>
    <t>6.56194-16.1747</t>
  </si>
  <si>
    <t>6.56194-16.1747_S. haematobium</t>
  </si>
  <si>
    <t>6.56194-16.1747_S. mansoni</t>
  </si>
  <si>
    <t>7.10971-16.2048</t>
  </si>
  <si>
    <t>7.10971-16.2048_S. haematobium</t>
  </si>
  <si>
    <t>7.10971-16.2048_S. mansoni</t>
  </si>
  <si>
    <t>8.1298-16.5233</t>
  </si>
  <si>
    <t>8.1298-16.5233_S. haematobium</t>
  </si>
  <si>
    <t>8.1298-16.5233_S. mansoni</t>
  </si>
  <si>
    <t>7.59307-16.584299</t>
  </si>
  <si>
    <t>7.59307-16.584299_S. haematobium</t>
  </si>
  <si>
    <t>7.59307-16.584299_S. mansoni</t>
  </si>
  <si>
    <t>7.57267-16.590799</t>
  </si>
  <si>
    <t>7.57267-16.590799_S. haematobium</t>
  </si>
  <si>
    <t>7.57267-16.590799_S. mansoni</t>
  </si>
  <si>
    <t>8.29348-16.590799</t>
  </si>
  <si>
    <t>8.29348-16.590799_S. haematobium</t>
  </si>
  <si>
    <t>8.29348-16.590799_S. mansoni</t>
  </si>
  <si>
    <t>7.8139-16.8892</t>
  </si>
  <si>
    <t>7.8139-16.8892_S. haematobium</t>
  </si>
  <si>
    <t>7.81167-17.045601</t>
  </si>
  <si>
    <t>7.81167-17.045601_S. haematobium</t>
  </si>
  <si>
    <t>8.0565-17.0756</t>
  </si>
  <si>
    <t>8.0565-17.0756_S. haematobium</t>
  </si>
  <si>
    <t>7.57405-17.230301</t>
  </si>
  <si>
    <t>7.57405-17.230301_S. haematobium</t>
  </si>
  <si>
    <t>7.57405-17.230301_S. mansoni</t>
  </si>
  <si>
    <t>9.0895-17.406</t>
  </si>
  <si>
    <t>9.0895-17.406_S. haematobium</t>
  </si>
  <si>
    <t>9.0895-17.406_S. mansoni</t>
  </si>
  <si>
    <t>8.16363-17.441299</t>
  </si>
  <si>
    <t>8.16363-17.441299_S. haematobium</t>
  </si>
  <si>
    <t>8.16363-17.441299_S. mansoni</t>
  </si>
  <si>
    <t>7.5797-17.447001</t>
  </si>
  <si>
    <t>7.5797-17.447001_S. haematobium</t>
  </si>
  <si>
    <t>7.5797-17.447001_S. mansoni</t>
  </si>
  <si>
    <t>8.27444-17.7328</t>
  </si>
  <si>
    <t>8.27444-17.7328_S. haematobium</t>
  </si>
  <si>
    <t>8.46492-18.0644</t>
  </si>
  <si>
    <t>8.46492-18.0644_S. haematobium</t>
  </si>
  <si>
    <t>8.46492-18.0644_S. mansoni</t>
  </si>
  <si>
    <t>8.77611-18.1122</t>
  </si>
  <si>
    <t>8.77611-18.1122_S. haematobium</t>
  </si>
  <si>
    <t>7.23092-18.4422</t>
  </si>
  <si>
    <t>7.23092-18.4422_S. haematobium</t>
  </si>
  <si>
    <t>7.23092-18.4422_S. mansoni</t>
  </si>
  <si>
    <t>8.25079-19.042801</t>
  </si>
  <si>
    <t>8.25079-19.042801_S. haematobium</t>
  </si>
  <si>
    <t>8.25079-19.042801_S. mansoni</t>
  </si>
  <si>
    <t>1.0833-14.59</t>
  </si>
  <si>
    <t>1.0833-14.59_S. mansoni</t>
  </si>
  <si>
    <t>2.288331-13.231689</t>
  </si>
  <si>
    <t>2.288331-13.231689_S. haematobium</t>
  </si>
  <si>
    <t>0.753056-14.010556</t>
  </si>
  <si>
    <t>0.753056-14.010556_S. haematobium</t>
  </si>
  <si>
    <t>13.6166--19.124701</t>
  </si>
  <si>
    <t>13.6166--19.124701_S. haematobium</t>
  </si>
  <si>
    <t>13.6166--19.124701_S. mansoni</t>
  </si>
  <si>
    <t>23.643499--18.260599</t>
  </si>
  <si>
    <t>23.643499--18.260599_S. mansoni</t>
  </si>
  <si>
    <t>23.643499--18.260599_S. haematobium</t>
  </si>
  <si>
    <t>23.559401--18.238899</t>
  </si>
  <si>
    <t>23.559401--18.238899_S. mansoni</t>
  </si>
  <si>
    <t>23.559401--18.238899_S. haematobium</t>
  </si>
  <si>
    <t>23.420799--18.1714</t>
  </si>
  <si>
    <t>23.420799--18.1714_S. mansoni</t>
  </si>
  <si>
    <t>23.420799--18.1714_S. haematobium</t>
  </si>
  <si>
    <t>24.0152--18.0716</t>
  </si>
  <si>
    <t>24.0152--18.0716_S. haematobium</t>
  </si>
  <si>
    <t>24.0152--18.0716_S. mansoni</t>
  </si>
  <si>
    <t>21.440399--18.0616</t>
  </si>
  <si>
    <t>21.440399--18.0616_S. haematobium</t>
  </si>
  <si>
    <t>21.440399--18.0616_S. mansoni</t>
  </si>
  <si>
    <t>23.3269--18.0366</t>
  </si>
  <si>
    <t>23.3269--18.0366_S. mansoni</t>
  </si>
  <si>
    <t>23.3269--18.0366_S. haematobium</t>
  </si>
  <si>
    <t>20.5457--17.985901</t>
  </si>
  <si>
    <t>20.5457--17.985901_S. haematobium</t>
  </si>
  <si>
    <t>20.5457--17.985901_S. mansoni</t>
  </si>
  <si>
    <t>23.323999--17.956301</t>
  </si>
  <si>
    <t>23.323999--17.956301_S. mansoni</t>
  </si>
  <si>
    <t>23.323999--17.956301_S. haematobium</t>
  </si>
  <si>
    <t>24.1474--17.9361</t>
  </si>
  <si>
    <t>24.1474--17.9361_S. haematobium</t>
  </si>
  <si>
    <t>24.1474--17.9361_S. mansoni</t>
  </si>
  <si>
    <t>23.364--17.8582</t>
  </si>
  <si>
    <t>23.364--17.8582_S. mansoni</t>
  </si>
  <si>
    <t>23.364--17.8582_S. haematobium</t>
  </si>
  <si>
    <t>23.364--17.8582_S. margrebowiei</t>
  </si>
  <si>
    <t>S. margrebowiei</t>
  </si>
  <si>
    <t>19.321699--17.857901</t>
  </si>
  <si>
    <t>19.321699--17.857901_S. haematobium</t>
  </si>
  <si>
    <t>19.321699--17.857901_S. mansoni</t>
  </si>
  <si>
    <t>19.1311--17.840401</t>
  </si>
  <si>
    <t>19.1311--17.840401_S. haematobium</t>
  </si>
  <si>
    <t>19.1311--17.840401_S. mansoni</t>
  </si>
  <si>
    <t>23.384399--17.815001</t>
  </si>
  <si>
    <t>23.384399--17.815001_S. mansoni</t>
  </si>
  <si>
    <t>23.384399--17.815001_S. haematobium</t>
  </si>
  <si>
    <t>24.2048--17.7945</t>
  </si>
  <si>
    <t>24.2048--17.7945_S. haematobium</t>
  </si>
  <si>
    <t>24.2048--17.7945_S. mansoni</t>
  </si>
  <si>
    <t>15.7636--17.7801</t>
  </si>
  <si>
    <t>15.7636--17.7801_S. haematobium</t>
  </si>
  <si>
    <t>15.7636--17.7801_S. mansoni</t>
  </si>
  <si>
    <t>24.3678--17.776501</t>
  </si>
  <si>
    <t>24.3678--17.776501_S. haematobium</t>
  </si>
  <si>
    <t>24.3678--17.776501_S. mansoni</t>
  </si>
  <si>
    <t>24.3678--17.776501_S. margrebowiei</t>
  </si>
  <si>
    <t>23.398001--17.7523</t>
  </si>
  <si>
    <t>23.398001--17.7523_S. mansoni</t>
  </si>
  <si>
    <t>23.398001--17.7523_S. haematobium</t>
  </si>
  <si>
    <t>24.632099--17.7185</t>
  </si>
  <si>
    <t>24.632099--17.7185_S. haematobium</t>
  </si>
  <si>
    <t>24.632099--17.7185_S. mansoni</t>
  </si>
  <si>
    <t>24.5383--17.712999</t>
  </si>
  <si>
    <t>24.5383--17.712999_S. haematobium</t>
  </si>
  <si>
    <t>24.5383--17.712999_S. mansoni</t>
  </si>
  <si>
    <t>24.5383--17.712999_S. margrebowiei</t>
  </si>
  <si>
    <t>23.4179--17.693199</t>
  </si>
  <si>
    <t>23.4179--17.693199_S. mansoni</t>
  </si>
  <si>
    <t>23.4179--17.693199_S. haematobium</t>
  </si>
  <si>
    <t>23.4132--17.642</t>
  </si>
  <si>
    <t>23.4132--17.642_S. haematobium</t>
  </si>
  <si>
    <t>23.4132--17.642_S. mansoni</t>
  </si>
  <si>
    <t>18.611401--17.628901</t>
  </si>
  <si>
    <t>18.611401--17.628901_S. haematobium</t>
  </si>
  <si>
    <t>18.611401--17.628901_S. mansoni</t>
  </si>
  <si>
    <t>14.6847--17.591499</t>
  </si>
  <si>
    <t>14.6847--17.591499_S. haematobium</t>
  </si>
  <si>
    <t>14.6847--17.591499_S. mansoni</t>
  </si>
  <si>
    <t>24.5098--17.5541</t>
  </si>
  <si>
    <t>24.5098--17.5541_S. haematobium</t>
  </si>
  <si>
    <t>24.5098--17.5541_S. mansoni</t>
  </si>
  <si>
    <t>24.3524--17.548201</t>
  </si>
  <si>
    <t>24.3524--17.548201_S. haematobium</t>
  </si>
  <si>
    <t>24.3524--17.548201_S. mansoni</t>
  </si>
  <si>
    <t>24.3524--17.548201_S. margrebowiei</t>
  </si>
  <si>
    <t>24.2756--17.5072</t>
  </si>
  <si>
    <t>24.2756--17.5072_S. haematobium</t>
  </si>
  <si>
    <t>24.2756--17.5072_S. mansoni</t>
  </si>
  <si>
    <t>15.8676--17.4459</t>
  </si>
  <si>
    <t>15.8676--17.4459_S. haematobium</t>
  </si>
  <si>
    <t>15.8676--17.4459_S. mansoni</t>
  </si>
  <si>
    <t>32.5835--25.9666</t>
  </si>
  <si>
    <t>32.5835--25.9666_S. haematobium</t>
  </si>
  <si>
    <t>32.5835--25.9666_S. mansoni</t>
  </si>
  <si>
    <t>32.5835--25.9666_S. bovis</t>
  </si>
  <si>
    <t>32.5756--25.946199</t>
  </si>
  <si>
    <t>32.5756--25.946199_S. haematobium</t>
  </si>
  <si>
    <t>32.5821--25.933701</t>
  </si>
  <si>
    <t>32.5821--25.933701_S. haematobium</t>
  </si>
  <si>
    <t>32.5009--25.930799</t>
  </si>
  <si>
    <t>32.5009--25.930799_S. haematobium</t>
  </si>
  <si>
    <t>32.635799--25.9249</t>
  </si>
  <si>
    <t>32.635799--25.9249_S. haematobium</t>
  </si>
  <si>
    <t>32.633598--25.916901</t>
  </si>
  <si>
    <t>32.633598--25.916901_S. haematobium</t>
  </si>
  <si>
    <t>32.610199--25.915001</t>
  </si>
  <si>
    <t>32.610199--25.915001_S. haematobium</t>
  </si>
  <si>
    <t>32.486099--25.8986</t>
  </si>
  <si>
    <t>32.486099--25.8986_S. haematobium</t>
  </si>
  <si>
    <t>32.674301--25.7393</t>
  </si>
  <si>
    <t>32.674301--25.7393_S. haematobium</t>
  </si>
  <si>
    <t>32.674301--25.7393_S. mansoni</t>
  </si>
  <si>
    <t>32.676399--25.7369</t>
  </si>
  <si>
    <t>32.676399--25.7369_S. haematobium</t>
  </si>
  <si>
    <t>32.807201--25.4051</t>
  </si>
  <si>
    <t>32.807201--25.4051_S. haematobium</t>
  </si>
  <si>
    <t>32.807201--25.4051_S. mansoni</t>
  </si>
  <si>
    <t>32.245201--25.318899</t>
  </si>
  <si>
    <t>32.245201--25.318899_S. haematobium</t>
  </si>
  <si>
    <t>32.245201--25.318899_S. mansoni</t>
  </si>
  <si>
    <t>33.193001--25.1646</t>
  </si>
  <si>
    <t>33.193001--25.1646_S. haematobium</t>
  </si>
  <si>
    <t>33.193001--25.1646_S. mansoni</t>
  </si>
  <si>
    <t>33.950001--25.033001</t>
  </si>
  <si>
    <t>33.950001--25.033001_S. haematobium</t>
  </si>
  <si>
    <t>33.950001--25.033001_S. mansoni</t>
  </si>
  <si>
    <t>32.646198--25.0203</t>
  </si>
  <si>
    <t>32.646198--25.0203_S. haematobium</t>
  </si>
  <si>
    <t>32.646198--25.0203_S. mansoni</t>
  </si>
  <si>
    <t>34.417--24.694401</t>
  </si>
  <si>
    <t>34.417--24.694401_S. haematobium</t>
  </si>
  <si>
    <t>34.417--24.694401_S. mansoni</t>
  </si>
  <si>
    <t>33.533501--24.683201</t>
  </si>
  <si>
    <t>33.533501--24.683201_S. haematobium</t>
  </si>
  <si>
    <t>33.533501--24.683201_S. mansoni</t>
  </si>
  <si>
    <t>35.0303--24.4769</t>
  </si>
  <si>
    <t>35.0303--24.4769_S. haematobium</t>
  </si>
  <si>
    <t>35.0303--24.4769_S. mansoni</t>
  </si>
  <si>
    <t>32.941601--24.416401</t>
  </si>
  <si>
    <t>32.941601--24.416401_S. haematobium</t>
  </si>
  <si>
    <t>32.941601--24.416401_S. mansoni</t>
  </si>
  <si>
    <t>34.728001--24.065001</t>
  </si>
  <si>
    <t>34.728001--24.065001_S. haematobium</t>
  </si>
  <si>
    <t>34.728001--24.065001_S. mansoni</t>
  </si>
  <si>
    <t>35.153--23.884001</t>
  </si>
  <si>
    <t>35.153--23.884001_S. haematobium</t>
  </si>
  <si>
    <t>35.153--23.884001_S. mansoni</t>
  </si>
  <si>
    <t>35.388199--23.8736</t>
  </si>
  <si>
    <t>35.388199--23.8736_S. haematobium</t>
  </si>
  <si>
    <t>35.388199--23.8736_S. mansoni</t>
  </si>
  <si>
    <t>35.307499--23.719601</t>
  </si>
  <si>
    <t>35.307499--23.719601_S. haematobium</t>
  </si>
  <si>
    <t>35.339199--23.655199</t>
  </si>
  <si>
    <t>35.339199--23.655199_S. haematobium</t>
  </si>
  <si>
    <t>35.339199--23.655199_S. mansoni</t>
  </si>
  <si>
    <t>34.882198--19.838301</t>
  </si>
  <si>
    <t>34.882198--19.838301_S. haematobium</t>
  </si>
  <si>
    <t>34.882198--19.838301_S. mansoni</t>
  </si>
  <si>
    <t>34.8699--19.7792</t>
  </si>
  <si>
    <t>34.8699--19.7792_S. haematobium</t>
  </si>
  <si>
    <t>34.749901--19.6166</t>
  </si>
  <si>
    <t>34.749901--19.6166_S. haematobium</t>
  </si>
  <si>
    <t>34.749901--19.6166_S. mansoni</t>
  </si>
  <si>
    <t>36.379101--18.6562</t>
  </si>
  <si>
    <t>36.379101--18.6562_S. haematobium</t>
  </si>
  <si>
    <t>36.379101--18.6562_S. mansoni</t>
  </si>
  <si>
    <t>36.314701--18.635799</t>
  </si>
  <si>
    <t>36.314701--18.635799_S. haematobium</t>
  </si>
  <si>
    <t>36.314701--18.635799_S. mansoni</t>
  </si>
  <si>
    <t>36.1833--18.5333</t>
  </si>
  <si>
    <t>36.1833--18.5333_S. haematobium</t>
  </si>
  <si>
    <t>36.1833--18.5333_S. mansoni</t>
  </si>
  <si>
    <t>36.100498--18.3985</t>
  </si>
  <si>
    <t>36.100498--18.3985_S. haematobium</t>
  </si>
  <si>
    <t>36.100498--18.3985_S. mansoni</t>
  </si>
  <si>
    <t>36.714401--18.291901</t>
  </si>
  <si>
    <t>36.714401--18.291901_S. haematobium</t>
  </si>
  <si>
    <t>36.714401--18.291901_S. mansoni</t>
  </si>
  <si>
    <t>36.6544--18.2747</t>
  </si>
  <si>
    <t>36.6544--18.2747_S. haematobium</t>
  </si>
  <si>
    <t>36.6544--18.2747_S. mansoni</t>
  </si>
  <si>
    <t>35.949402--18.134199</t>
  </si>
  <si>
    <t>35.949402--18.134199_S. haematobium</t>
  </si>
  <si>
    <t>35.949402--18.134199_S. mansoni</t>
  </si>
  <si>
    <t>35.822399--18.091101</t>
  </si>
  <si>
    <t>35.822399--18.091101_S. haematobium</t>
  </si>
  <si>
    <t>35.822399--18.091101_S. mansoni</t>
  </si>
  <si>
    <t>36.872002--18.061899</t>
  </si>
  <si>
    <t>36.872002--18.061899_S. haematobium</t>
  </si>
  <si>
    <t>36.872002--18.061899_S. mansoni</t>
  </si>
  <si>
    <t>35.850498--18.034901</t>
  </si>
  <si>
    <t>35.850498--18.034901_S. haematobium</t>
  </si>
  <si>
    <t>35.850498--18.034901_S. mansoni</t>
  </si>
  <si>
    <t>35.832802--17.896099</t>
  </si>
  <si>
    <t>35.832802--17.896099_S. haematobium</t>
  </si>
  <si>
    <t>35.832802--17.896099_S. mansoni</t>
  </si>
  <si>
    <t>36.887699--17.875999</t>
  </si>
  <si>
    <t>36.887699--17.875999_S. mansoni</t>
  </si>
  <si>
    <t>35.682899--17.847601</t>
  </si>
  <si>
    <t>35.682899--17.847601_S. haematobium</t>
  </si>
  <si>
    <t>35.682899--17.847601_S. mansoni</t>
  </si>
  <si>
    <t>37.077801--17.8053</t>
  </si>
  <si>
    <t>37.077801--17.8053_S. haematobium</t>
  </si>
  <si>
    <t>37.077801--17.8053_S. mansoni</t>
  </si>
  <si>
    <t>36.464401--17.803101</t>
  </si>
  <si>
    <t>36.464401--17.803101_S. haematobium</t>
  </si>
  <si>
    <t>36.464401--17.803101_S. mansoni</t>
  </si>
  <si>
    <t>36.977798--17.795</t>
  </si>
  <si>
    <t>36.977798--17.795_S. haematobium</t>
  </si>
  <si>
    <t>36.977798--17.795_S. mansoni</t>
  </si>
  <si>
    <t>36.2728--17.740299</t>
  </si>
  <si>
    <t>36.2728--17.740299_S. haematobium</t>
  </si>
  <si>
    <t>36.2728--17.740299_S. mansoni</t>
  </si>
  <si>
    <t>37.191502--17.717899</t>
  </si>
  <si>
    <t>37.191502--17.717899_S. haematobium</t>
  </si>
  <si>
    <t>37.191502--17.717899_S. mansoni</t>
  </si>
  <si>
    <t>37.220001--17.700001</t>
  </si>
  <si>
    <t>37.220001--17.700001_S. haematobium</t>
  </si>
  <si>
    <t>37.220001--17.700001_S. mansoni</t>
  </si>
  <si>
    <t>37.294201--17.658899</t>
  </si>
  <si>
    <t>37.294201--17.658899_S. haematobium</t>
  </si>
  <si>
    <t>37.294201--17.658899_S. mansoni</t>
  </si>
  <si>
    <t>37.396702--17.608</t>
  </si>
  <si>
    <t>37.396702--17.608_S. haematobium</t>
  </si>
  <si>
    <t>37.396702--17.608_S. mansoni</t>
  </si>
  <si>
    <t>36.814098--17.5956</t>
  </si>
  <si>
    <t>36.814098--17.5956_S. haematobium</t>
  </si>
  <si>
    <t>36.814098--17.5956_S. mansoni</t>
  </si>
  <si>
    <t>37.467499--17.559401</t>
  </si>
  <si>
    <t>37.467499--17.559401_S. haematobium</t>
  </si>
  <si>
    <t>37.467499--17.559401_S. mansoni</t>
  </si>
  <si>
    <t>37.0453--17.5123</t>
  </si>
  <si>
    <t>37.0453--17.5123_S. haematobium</t>
  </si>
  <si>
    <t>37.0453--17.5123_S. mansoni</t>
  </si>
  <si>
    <t>37.108601--17.5016</t>
  </si>
  <si>
    <t>37.108601--17.5016_S. haematobium</t>
  </si>
  <si>
    <t>37.108601--17.5016_S. mansoni</t>
  </si>
  <si>
    <t>37.607601--17.493401</t>
  </si>
  <si>
    <t>37.607601--17.493401_S. haematobium</t>
  </si>
  <si>
    <t>37.607601--17.493401_S. mansoni</t>
  </si>
  <si>
    <t>37.286098--17.436701</t>
  </si>
  <si>
    <t>37.286098--17.436701_S. haematobium</t>
  </si>
  <si>
    <t>37.286098--17.436701_S. mansoni</t>
  </si>
  <si>
    <t>35.3535--17.364</t>
  </si>
  <si>
    <t>35.3535--17.364_S. haematobium</t>
  </si>
  <si>
    <t>35.3535--17.364_S. mansoni</t>
  </si>
  <si>
    <t>35.639702--17.3575</t>
  </si>
  <si>
    <t>35.639702--17.3575_S. haematobium</t>
  </si>
  <si>
    <t>35.639702--17.3575_S. mansoni</t>
  </si>
  <si>
    <t>37.520302--17.3183</t>
  </si>
  <si>
    <t>37.520302--17.3183_S. haematobium</t>
  </si>
  <si>
    <t>37.520302--17.3183_S. mansoni</t>
  </si>
  <si>
    <t>37.166901--17.305599</t>
  </si>
  <si>
    <t>37.166901--17.305599_S. haematobium</t>
  </si>
  <si>
    <t>37.166901--17.305599_S. mansoni</t>
  </si>
  <si>
    <t>37.941898--17.278601</t>
  </si>
  <si>
    <t>37.941898--17.278601_S. haematobium</t>
  </si>
  <si>
    <t>37.941898--17.278601_S. mansoni</t>
  </si>
  <si>
    <t>38.1423--17.266199</t>
  </si>
  <si>
    <t>38.1423--17.266199_S. haematobium</t>
  </si>
  <si>
    <t>38.1423--17.266199_S. mansoni</t>
  </si>
  <si>
    <t>37.075802--17.2656</t>
  </si>
  <si>
    <t>37.075802--17.2656_S. haematobium</t>
  </si>
  <si>
    <t>37.075802--17.2656_S. mansoni</t>
  </si>
  <si>
    <t>35.8363--17.257299</t>
  </si>
  <si>
    <t>35.8363--17.257299_S. haematobium</t>
  </si>
  <si>
    <t>35.8363--17.257299_S. mansoni</t>
  </si>
  <si>
    <t>36.981899--17.2281</t>
  </si>
  <si>
    <t>36.981899--17.2281_S. haematobium</t>
  </si>
  <si>
    <t>36.981899--17.2281_S. mansoni</t>
  </si>
  <si>
    <t>35.3606--17.204201</t>
  </si>
  <si>
    <t>35.3606--17.204201_S. haematobium</t>
  </si>
  <si>
    <t>35.3606--17.204201_S. mansoni</t>
  </si>
  <si>
    <t>38.0173--17.1693</t>
  </si>
  <si>
    <t>38.0173--17.1693_S. haematobium</t>
  </si>
  <si>
    <t>38.0173--17.1693_S. mansoni</t>
  </si>
  <si>
    <t>35.961899--17.1583</t>
  </si>
  <si>
    <t>35.961899--17.1583_S. haematobium</t>
  </si>
  <si>
    <t>35.961899--17.1583_S. mansoni</t>
  </si>
  <si>
    <t>38.1469--17.127899</t>
  </si>
  <si>
    <t>38.1469--17.127899_S. haematobium</t>
  </si>
  <si>
    <t>38.1469--17.127899_S. mansoni</t>
  </si>
  <si>
    <t>36.141399--17.0422</t>
  </si>
  <si>
    <t>36.141399--17.0422_S. haematobium</t>
  </si>
  <si>
    <t>36.141399--17.0422_S. mansoni</t>
  </si>
  <si>
    <t>36.777802--16.928301</t>
  </si>
  <si>
    <t>36.777802--16.928301_S. haematobium</t>
  </si>
  <si>
    <t>36.777802--16.928301_S. mansoni</t>
  </si>
  <si>
    <t>38.329201--16.881399</t>
  </si>
  <si>
    <t>38.329201--16.881399_S. haematobium</t>
  </si>
  <si>
    <t>38.329201--16.881399_S. mansoni</t>
  </si>
  <si>
    <t>39.035599--16.8717</t>
  </si>
  <si>
    <t>39.035599--16.8717_S. haematobium</t>
  </si>
  <si>
    <t>39.035599--16.8717_S. mansoni</t>
  </si>
  <si>
    <t>36.584499--16.8629</t>
  </si>
  <si>
    <t>36.584499--16.8629_S. haematobium</t>
  </si>
  <si>
    <t>36.584499--16.8629_S. mansoni</t>
  </si>
  <si>
    <t>37.8797--16.8542</t>
  </si>
  <si>
    <t>37.8797--16.8542_S. haematobium</t>
  </si>
  <si>
    <t>37.8797--16.8542_S. mansoni</t>
  </si>
  <si>
    <t>36.9865--16.8402</t>
  </si>
  <si>
    <t>36.9865--16.8402_S. haematobium</t>
  </si>
  <si>
    <t>36.9865--16.8402_S. mansoni</t>
  </si>
  <si>
    <t>36.9874--16.8332</t>
  </si>
  <si>
    <t>36.9874--16.8332_S. mansoni</t>
  </si>
  <si>
    <t>38.5056--16.826401</t>
  </si>
  <si>
    <t>38.5056--16.826401_S. haematobium</t>
  </si>
  <si>
    <t>38.5056--16.826401_S. mansoni</t>
  </si>
  <si>
    <t>36.991699--16.8241</t>
  </si>
  <si>
    <t>36.991699--16.8241_S. mansoni</t>
  </si>
  <si>
    <t>37.720299--16.8144</t>
  </si>
  <si>
    <t>37.720299--16.8144_S. haematobium</t>
  </si>
  <si>
    <t>37.720299--16.8144_S. mansoni</t>
  </si>
  <si>
    <t>36.591599--16.782801</t>
  </si>
  <si>
    <t>36.591599--16.782801_S. haematobium</t>
  </si>
  <si>
    <t>36.591599--16.782801_S. mansoni</t>
  </si>
  <si>
    <t>39.222--16.7568</t>
  </si>
  <si>
    <t>39.222--16.7568_S. haematobium</t>
  </si>
  <si>
    <t>39.222--16.7568_S. mansoni</t>
  </si>
  <si>
    <t>38.879398--16.753099</t>
  </si>
  <si>
    <t>38.879398--16.753099_S. haematobium</t>
  </si>
  <si>
    <t>38.879398--16.753099_S. mansoni</t>
  </si>
  <si>
    <t>35.3461--16.6919</t>
  </si>
  <si>
    <t>35.3461--16.6919_S. haematobium</t>
  </si>
  <si>
    <t>35.3461--16.6919_S. mansoni</t>
  </si>
  <si>
    <t>37.253201--16.6577</t>
  </si>
  <si>
    <t>37.253201--16.6577_S. haematobium</t>
  </si>
  <si>
    <t>37.253201--16.6577_S. mansoni</t>
  </si>
  <si>
    <t>37.2215--16.6332</t>
  </si>
  <si>
    <t>37.2215--16.6332_S. haematobium</t>
  </si>
  <si>
    <t>37.2215--16.6332_S. mansoni</t>
  </si>
  <si>
    <t>36.0425--16.455799</t>
  </si>
  <si>
    <t>36.0425--16.455799_S. haematobium</t>
  </si>
  <si>
    <t>36.0425--16.455799_S. mansoni</t>
  </si>
  <si>
    <t>37.592098--16.433399</t>
  </si>
  <si>
    <t>37.592098--16.433399_S. haematobium</t>
  </si>
  <si>
    <t>37.592098--16.433399_S. mansoni</t>
  </si>
  <si>
    <t>36.75--16.429399</t>
  </si>
  <si>
    <t>36.75--16.429399_S. haematobium</t>
  </si>
  <si>
    <t>36.75--16.429399_S. mansoni</t>
  </si>
  <si>
    <t>36.662201--16.4184</t>
  </si>
  <si>
    <t>36.662201--16.4184_S. haematobium</t>
  </si>
  <si>
    <t>36.662201--16.4184_S. mansoni</t>
  </si>
  <si>
    <t>36.462799--16.4158</t>
  </si>
  <si>
    <t>36.462799--16.4158_S. haematobium</t>
  </si>
  <si>
    <t>36.462799--16.4158_S. mansoni</t>
  </si>
  <si>
    <t>35.433899--16.319201</t>
  </si>
  <si>
    <t>35.433899--16.319201_S. haematobium</t>
  </si>
  <si>
    <t>35.433899--16.319201_S. mansoni</t>
  </si>
  <si>
    <t>37.300598--16.283899</t>
  </si>
  <si>
    <t>37.300598--16.283899_S. haematobium</t>
  </si>
  <si>
    <t>37.300598--16.283899_S. mansoni</t>
  </si>
  <si>
    <t>36.951099--16.278299</t>
  </si>
  <si>
    <t>36.951099--16.278299_S. haematobium</t>
  </si>
  <si>
    <t>36.951099--16.278299_S. mansoni</t>
  </si>
  <si>
    <t>37.229198--16.275</t>
  </si>
  <si>
    <t>37.229198--16.275_S. haematobium</t>
  </si>
  <si>
    <t>37.229198--16.275_S. mansoni</t>
  </si>
  <si>
    <t>35.735802--16.257799</t>
  </si>
  <si>
    <t>35.735802--16.257799_S. haematobium</t>
  </si>
  <si>
    <t>35.735802--16.257799_S. mansoni</t>
  </si>
  <si>
    <t>39.910599--16.2307</t>
  </si>
  <si>
    <t>39.910599--16.2307_S. haematobium</t>
  </si>
  <si>
    <t>39.910599--16.2307_S. mansoni</t>
  </si>
  <si>
    <t>37.361698--16.2092</t>
  </si>
  <si>
    <t>37.361698--16.2092_S. haematobium</t>
  </si>
  <si>
    <t>37.361698--16.2092_S. mansoni</t>
  </si>
  <si>
    <t>38.345798--16.2092</t>
  </si>
  <si>
    <t>38.345798--16.2092_S. haematobium</t>
  </si>
  <si>
    <t>38.345798--16.2092_S. mansoni</t>
  </si>
  <si>
    <t>36.8288--16.1828</t>
  </si>
  <si>
    <t>36.8288--16.1828_S. haematobium</t>
  </si>
  <si>
    <t>36.8288--16.1828_S. mansoni</t>
  </si>
  <si>
    <t>35.688999--16.166401</t>
  </si>
  <si>
    <t>35.688999--16.166401_S. haematobium</t>
  </si>
  <si>
    <t>35.688999--16.166401_S. mansoni</t>
  </si>
  <si>
    <t>33.733299--16.116501</t>
  </si>
  <si>
    <t>33.733299--16.116501_S. haematobium</t>
  </si>
  <si>
    <t>33.733299--16.116501_S. mansoni</t>
  </si>
  <si>
    <t>38.4431--16.0931</t>
  </si>
  <si>
    <t>38.4431--16.0931_S. haematobium</t>
  </si>
  <si>
    <t>38.4431--16.0931_S. mansoni</t>
  </si>
  <si>
    <t>37.163101--16.055099</t>
  </si>
  <si>
    <t>37.163101--16.055099_S. haematobium</t>
  </si>
  <si>
    <t>37.163101--16.055099_S. mansoni</t>
  </si>
  <si>
    <t>36.997398--16.0424</t>
  </si>
  <si>
    <t>36.997398--16.0424_S. haematobium</t>
  </si>
  <si>
    <t>36.997398--16.0424_S. mansoni</t>
  </si>
  <si>
    <t>37.339199--15.9881</t>
  </si>
  <si>
    <t>37.339199--15.9881_S. haematobium</t>
  </si>
  <si>
    <t>37.339199--15.9881_S. mansoni</t>
  </si>
  <si>
    <t>36.865898--15.9547</t>
  </si>
  <si>
    <t>36.865898--15.9547_S. haematobium</t>
  </si>
  <si>
    <t>36.865898--15.9547_S. mansoni</t>
  </si>
  <si>
    <t>37.127499--15.9532</t>
  </si>
  <si>
    <t>37.127499--15.9532_S. haematobium</t>
  </si>
  <si>
    <t>37.127499--15.9532_S. mansoni</t>
  </si>
  <si>
    <t>38.6283--15.8925</t>
  </si>
  <si>
    <t>38.6283--15.8925_S. haematobium</t>
  </si>
  <si>
    <t>38.6283--15.8925_S. mansoni</t>
  </si>
  <si>
    <t>38.6917--15.815</t>
  </si>
  <si>
    <t>38.6917--15.815_S. haematobium</t>
  </si>
  <si>
    <t>38.6917--15.815_S. mansoni</t>
  </si>
  <si>
    <t>37.114399--15.8022</t>
  </si>
  <si>
    <t>37.114399--15.8022_S. haematobium</t>
  </si>
  <si>
    <t>37.114399--15.8022_S. mansoni</t>
  </si>
  <si>
    <t>39.2374--15.779</t>
  </si>
  <si>
    <t>39.2374--15.779_S. haematobium</t>
  </si>
  <si>
    <t>39.2374--15.779_S. mansoni</t>
  </si>
  <si>
    <t>36.016701--15.7739</t>
  </si>
  <si>
    <t>36.016701--15.7739_S. haematobium</t>
  </si>
  <si>
    <t>36.016701--15.7739_S. mansoni</t>
  </si>
  <si>
    <t>37.5676--15.6989</t>
  </si>
  <si>
    <t>37.5676--15.6989_S. haematobium</t>
  </si>
  <si>
    <t>37.5676--15.6989_S. mansoni</t>
  </si>
  <si>
    <t>37.733398--15.679</t>
  </si>
  <si>
    <t>37.733398--15.679_S. haematobium</t>
  </si>
  <si>
    <t>37.733398--15.679_S. mansoni</t>
  </si>
  <si>
    <t>38.335201--15.6385</t>
  </si>
  <si>
    <t>38.335201--15.6385_S. haematobium</t>
  </si>
  <si>
    <t>38.335201--15.6385_S. mansoni</t>
  </si>
  <si>
    <t>40.413502--15.5657</t>
  </si>
  <si>
    <t>40.413502--15.5657_S. haematobium</t>
  </si>
  <si>
    <t>40.413502--15.5657_S. mansoni</t>
  </si>
  <si>
    <t>36.882801--15.5383</t>
  </si>
  <si>
    <t>36.882801--15.5383_S. haematobium</t>
  </si>
  <si>
    <t>36.882801--15.5383_S. mansoni</t>
  </si>
  <si>
    <t>37.300098--15.5274</t>
  </si>
  <si>
    <t>37.300098--15.5274_S. haematobium</t>
  </si>
  <si>
    <t>37.300098--15.5274_S. mansoni</t>
  </si>
  <si>
    <t>38.254398--15.5124</t>
  </si>
  <si>
    <t>38.254398--15.5124_S. haematobium</t>
  </si>
  <si>
    <t>38.254398--15.5124_S. mansoni</t>
  </si>
  <si>
    <t>36.259701--15.4853</t>
  </si>
  <si>
    <t>36.259701--15.4853_S. haematobium</t>
  </si>
  <si>
    <t>36.259701--15.4853_S. mansoni</t>
  </si>
  <si>
    <t>36.067799--15.4647</t>
  </si>
  <si>
    <t>36.067799--15.4647_S. haematobium</t>
  </si>
  <si>
    <t>36.067799--15.4647_S. mansoni</t>
  </si>
  <si>
    <t>37.033699--15.4531</t>
  </si>
  <si>
    <t>37.033699--15.4531_S. haematobium</t>
  </si>
  <si>
    <t>37.033699--15.4531_S. mansoni</t>
  </si>
  <si>
    <t>37.435699--15.395</t>
  </si>
  <si>
    <t>37.435699--15.395_S. haematobium</t>
  </si>
  <si>
    <t>37.435699--15.395_S. mansoni</t>
  </si>
  <si>
    <t>36.5681--15.3658</t>
  </si>
  <si>
    <t>36.5681--15.3658_S. haematobium</t>
  </si>
  <si>
    <t>36.5681--15.3658_S. mansoni</t>
  </si>
  <si>
    <t>36.9142--15.1908</t>
  </si>
  <si>
    <t>36.9142--15.1908_S. haematobium</t>
  </si>
  <si>
    <t>36.9142--15.1908_S. mansoni</t>
  </si>
  <si>
    <t>36.804298--15.1728</t>
  </si>
  <si>
    <t>36.804298--15.1728_S. haematobium</t>
  </si>
  <si>
    <t>36.804298--15.1728_S. mansoni</t>
  </si>
  <si>
    <t>39.2668--15.1162</t>
  </si>
  <si>
    <t>39.2668--15.1162_S. haematobium</t>
  </si>
  <si>
    <t>39.2668--15.1162_S. mansoni</t>
  </si>
  <si>
    <t>38.234699--15.0509</t>
  </si>
  <si>
    <t>38.234699--15.0509_S. haematobium</t>
  </si>
  <si>
    <t>38.234699--15.0509_S. mansoni</t>
  </si>
  <si>
    <t>40.731701--15.0381</t>
  </si>
  <si>
    <t>40.731701--15.0381_S. haematobium</t>
  </si>
  <si>
    <t>40.731701--15.0381_S. mansoni</t>
  </si>
  <si>
    <t>39.846001--14.9598</t>
  </si>
  <si>
    <t>39.846001--14.9598_S. haematobium</t>
  </si>
  <si>
    <t>39.846001--14.9598_S. mansoni</t>
  </si>
  <si>
    <t>40.554401--14.8837</t>
  </si>
  <si>
    <t>40.554401--14.8837_S. haematobium</t>
  </si>
  <si>
    <t>40.554401--14.8837_S. mansoni</t>
  </si>
  <si>
    <t>37.383301--14.7457</t>
  </si>
  <si>
    <t>37.383301--14.7457_S. haematobium</t>
  </si>
  <si>
    <t>37.383301--14.7457_S. mansoni</t>
  </si>
  <si>
    <t>39.5756--14.5762</t>
  </si>
  <si>
    <t>39.5756--14.5762_S. haematobium</t>
  </si>
  <si>
    <t>39.5756--14.5762_S. mansoni</t>
  </si>
  <si>
    <t>40.688999--14.5643</t>
  </si>
  <si>
    <t>40.688999--14.5643_S. haematobium</t>
  </si>
  <si>
    <t>40.688999--14.5643_S. mansoni</t>
  </si>
  <si>
    <t>40.521198--14.1829</t>
  </si>
  <si>
    <t>40.521198--14.1829_S. haematobium</t>
  </si>
  <si>
    <t>40.521198--14.1829_S. mansoni</t>
  </si>
  <si>
    <t>35.943802--14.13</t>
  </si>
  <si>
    <t>35.943802--14.13_S. haematobium</t>
  </si>
  <si>
    <t>35.943802--14.13_S. mansoni</t>
  </si>
  <si>
    <t>39.8195--13.8994</t>
  </si>
  <si>
    <t>39.8195--13.8994_S. haematobium</t>
  </si>
  <si>
    <t>39.8195--13.8994_S. mansoni</t>
  </si>
  <si>
    <t>40.5471--13.3415</t>
  </si>
  <si>
    <t>40.5471--13.3415_S. haematobium</t>
  </si>
  <si>
    <t>40.5471--13.3415_S. mansoni</t>
  </si>
  <si>
    <t>39.000198--13.1168</t>
  </si>
  <si>
    <t>39.000198--13.1168_S. haematobium</t>
  </si>
  <si>
    <t>39.000198--13.1168_S. mansoni</t>
  </si>
  <si>
    <t>39.6133--13.0747</t>
  </si>
  <si>
    <t>39.6133--13.0747_S. haematobium</t>
  </si>
  <si>
    <t>40.517899--12.9729</t>
  </si>
  <si>
    <t>40.517899--12.9729_S. haematobium</t>
  </si>
  <si>
    <t>40.517899--12.9729_S. mansoni</t>
  </si>
  <si>
    <t>40.507801--12.9608</t>
  </si>
  <si>
    <t>40.507801--12.9608_S. haematobium</t>
  </si>
  <si>
    <t>40.390999--12.5184</t>
  </si>
  <si>
    <t>40.390999--12.5184_S. haematobium</t>
  </si>
  <si>
    <t>40.390999--12.5184_S. mansoni</t>
  </si>
  <si>
    <t>40.587399--12.3426</t>
  </si>
  <si>
    <t>40.587399--12.3426_S. haematobium</t>
  </si>
  <si>
    <t>40.587399--12.3426_S. mansoni</t>
  </si>
  <si>
    <t>40.120399--12.252</t>
  </si>
  <si>
    <t>40.120399--12.252_S. haematobium</t>
  </si>
  <si>
    <t>40.120399--12.252_S. mansoni</t>
  </si>
  <si>
    <t>38.7593--11.6253</t>
  </si>
  <si>
    <t>38.7593--11.6253_S. haematobium</t>
  </si>
  <si>
    <t>38.7593--11.6253_S. mansoni</t>
  </si>
  <si>
    <t>40.352299--11.3536</t>
  </si>
  <si>
    <t>40.352299--11.3536_S. haematobium</t>
  </si>
  <si>
    <t>40.352299--11.3536_S. mansoni</t>
  </si>
  <si>
    <t>40.474602--10.7743</t>
  </si>
  <si>
    <t>40.474602--10.7743_S. haematobium</t>
  </si>
  <si>
    <t>40.474602--10.7743_S. mansoni</t>
  </si>
  <si>
    <t>36.766667--14.916667</t>
  </si>
  <si>
    <t>36.766667--14.916667_S. haematobium</t>
  </si>
  <si>
    <t>36.766667--14.916667_S. mansoni</t>
  </si>
  <si>
    <t>32.718136--23.022194</t>
  </si>
  <si>
    <t>32.718136--23.022194_S. haematobium</t>
  </si>
  <si>
    <t>32.718136--23.022194_S. mansoni</t>
  </si>
  <si>
    <t>39.320625--12.333547</t>
  </si>
  <si>
    <t>39.320625--12.333547_S. haematobium</t>
  </si>
  <si>
    <t>39.320625--12.333547_S. mansoni</t>
  </si>
  <si>
    <t>36.609394--12.782619</t>
  </si>
  <si>
    <t>36.609394--12.782619_S. haematobium</t>
  </si>
  <si>
    <t>36.609394--12.782619_S. mansoni</t>
  </si>
  <si>
    <t>39.266667--15.116667</t>
  </si>
  <si>
    <t>39.266667--15.116667_S. haematobium</t>
  </si>
  <si>
    <t>39.266667--15.116667_S. mansoni</t>
  </si>
  <si>
    <t>36.612714--16.562097</t>
  </si>
  <si>
    <t>36.612714--16.562097_S. haematobium</t>
  </si>
  <si>
    <t>36.612714--16.562097_S. mansoni</t>
  </si>
  <si>
    <t>33.600011--16.166669</t>
  </si>
  <si>
    <t>33.600011--16.166669_S. haematobium</t>
  </si>
  <si>
    <t>33.600011--16.166669_S. mansoni</t>
  </si>
  <si>
    <t>33.438367--19.505719</t>
  </si>
  <si>
    <t>33.438367--19.505719_S. haematobium</t>
  </si>
  <si>
    <t>33.438367--19.505719_S. mansoni</t>
  </si>
  <si>
    <t>34.862417--19.203906</t>
  </si>
  <si>
    <t>34.862417--19.203906_S. haematobium</t>
  </si>
  <si>
    <t>34.862417--19.203906_S. mansoni</t>
  </si>
  <si>
    <t>35.383331--23.866653</t>
  </si>
  <si>
    <t>35.383331--23.866653_S. haematobium</t>
  </si>
  <si>
    <t>35.383331--23.866653_S. mansoni</t>
  </si>
  <si>
    <t>32.718483--23.022303</t>
  </si>
  <si>
    <t>32.718483--23.022303_S. haematobium</t>
  </si>
  <si>
    <t>32.718483--23.022303_S. mansoni</t>
  </si>
  <si>
    <t>32.583333--25.966667</t>
  </si>
  <si>
    <t>32.583333--25.966667_S. haematobium</t>
  </si>
  <si>
    <t>32.583333--25.966667_S. mansoni</t>
  </si>
  <si>
    <t>-15.802611-16.516342_S. haematobium</t>
  </si>
  <si>
    <t>-15.802611-16.516342_S. mansoni</t>
  </si>
  <si>
    <t>-16.233481-16.557947_S. haematobium</t>
  </si>
  <si>
    <t>-16.233481-16.557947_S. mansoni</t>
  </si>
  <si>
    <t>-12.0839-14.7383_S. haematobium</t>
  </si>
  <si>
    <t>-12.0839-14.7383_S. mansoni</t>
  </si>
  <si>
    <t>-12.3919-14.8478_S. haematobium</t>
  </si>
  <si>
    <t>-12.4489-14.8993_S. haematobium</t>
  </si>
  <si>
    <t>-12.2722-15.1117_S. haematobium</t>
  </si>
  <si>
    <t>-12.2722-15.1117_S. mansoni</t>
  </si>
  <si>
    <t>-12.7256-15.131_S. haematobium</t>
  </si>
  <si>
    <t>-12.7256-15.131_S. mansoni</t>
  </si>
  <si>
    <t>-12.1829-15.1589_S. haematobium</t>
  </si>
  <si>
    <t>-11.801-15.3175_S. haematobium</t>
  </si>
  <si>
    <t>-9.52472-15.4897_S. haematobium</t>
  </si>
  <si>
    <t>-9.48735-15.5178_S. haematobium</t>
  </si>
  <si>
    <t>-13.0833-15.5833_S. haematobium</t>
  </si>
  <si>
    <t>-13.0833-15.5833_S. mansoni</t>
  </si>
  <si>
    <t>-9.48203-15.6947_S. haematobium</t>
  </si>
  <si>
    <t>-9.5398-15.6968_S. haematobium</t>
  </si>
  <si>
    <t>-12.4832-15.7485_S. haematobium</t>
  </si>
  <si>
    <t>-9.37333-15.825_S. haematobium</t>
  </si>
  <si>
    <t>-12.5805-16.0215_S. haematobium</t>
  </si>
  <si>
    <t>-12.5786-16.0233_S. haematobium</t>
  </si>
  <si>
    <t>-13.3792-16.059601_S. haematobium</t>
  </si>
  <si>
    <t>-13.3792-16.059601_S. mansoni</t>
  </si>
  <si>
    <t>-9.93333-16.1_S. haematobium</t>
  </si>
  <si>
    <t>-13.5904-16.129999_S. haematobium</t>
  </si>
  <si>
    <t>-13.58-16.140301_S. haematobium</t>
  </si>
  <si>
    <t>-13.5595-16.142401_S. haematobium</t>
  </si>
  <si>
    <t>-13.5737-16.143499_S. haematobium</t>
  </si>
  <si>
    <t>-13.5047-16.1465_S. haematobium</t>
  </si>
  <si>
    <t>-13.7028-16.1611_S. haematobium</t>
  </si>
  <si>
    <t>-13.7028-16.1611_S. mansoni</t>
  </si>
  <si>
    <t>-13.3581-16.169201_S. haematobium</t>
  </si>
  <si>
    <t>-13.3581-16.169201_S. mansoni</t>
  </si>
  <si>
    <t>-13.9006-16.1908_S. haematobium</t>
  </si>
  <si>
    <t>-13.9006-16.1908_S. mansoni</t>
  </si>
  <si>
    <t>-9.99323-16.196501_S. haematobium</t>
  </si>
  <si>
    <t>-13.1449-16.215799_S. haematobium</t>
  </si>
  <si>
    <t>-13.1444-16.217699_S. haematobium</t>
  </si>
  <si>
    <t>-13.409-16.237101_S. haematobium</t>
  </si>
  <si>
    <t>-13.9529-16.337099_S. haematobium</t>
  </si>
  <si>
    <t>-13.1362-16.4114_S. haematobium</t>
  </si>
  <si>
    <t>-13.1409-16.423599_S. haematobium</t>
  </si>
  <si>
    <t>-10.7167-16.483299_S. haematobium</t>
  </si>
  <si>
    <t>-15.9333-16.5_S. mansoni</t>
  </si>
  <si>
    <t>-15.9333-16.5_S. haematobium</t>
  </si>
  <si>
    <t>-15.7833-16.5_S. haematobium</t>
  </si>
  <si>
    <t>-15.7833-16.5_S. mansoni</t>
  </si>
  <si>
    <t>-15.6544-16.5103_S. haematobium</t>
  </si>
  <si>
    <t>-15.6544-16.5103_S. mansoni</t>
  </si>
  <si>
    <t>-15.795-16.511101_S. haematobium</t>
  </si>
  <si>
    <t>-15.795-16.511101_S. mansoni</t>
  </si>
  <si>
    <t>-15.7987-16.511801_S. haematobium</t>
  </si>
  <si>
    <t>-15.805-16.5128_S. mansoni</t>
  </si>
  <si>
    <t>-15.805-16.5128_S. haematobium</t>
  </si>
  <si>
    <t>-15.5617-16.5133_S. haematobium</t>
  </si>
  <si>
    <t>-15.5617-16.5133_S. mansoni</t>
  </si>
  <si>
    <t>-15.9-16.516701_S. mansoni</t>
  </si>
  <si>
    <t>-15.9-16.516701_S. haematobium</t>
  </si>
  <si>
    <t>-15.7667-16.516701_S. mansoni</t>
  </si>
  <si>
    <t>-15.7667-16.516701_S. haematobium</t>
  </si>
  <si>
    <t>-16.214899-16.5385_S. mansoni</t>
  </si>
  <si>
    <t>-16.214899-16.5385_S. haematobium</t>
  </si>
  <si>
    <t>-15.7667-16.549999_S. mansoni</t>
  </si>
  <si>
    <t>-15.7667-16.549999_S. haematobium</t>
  </si>
  <si>
    <t>-15.52-16.555799_S. haematobium</t>
  </si>
  <si>
    <t>-15.52-16.555799_S. mansoni</t>
  </si>
  <si>
    <t>-15.5056-16.571699_S. haematobium</t>
  </si>
  <si>
    <t>-15.5056-16.571699_S. mansoni</t>
  </si>
  <si>
    <t>-15.4597-16.5781_S. haematobium</t>
  </si>
  <si>
    <t>-15.4597-16.5781_S. mansoni</t>
  </si>
  <si>
    <t>-14.2706-16.580299_S. haematobium</t>
  </si>
  <si>
    <t>-15.45-16.5833_S. mansoni</t>
  </si>
  <si>
    <t>-15.45-16.5833_S. haematobium</t>
  </si>
  <si>
    <t>-15.65-16.5833_S. mansoni</t>
  </si>
  <si>
    <t>-15.65-16.5833_S. haematobium</t>
  </si>
  <si>
    <t>-15.4555-16.5917_S. haematobium</t>
  </si>
  <si>
    <t>-15.4544-16.593901_S. haematobium</t>
  </si>
  <si>
    <t>-15.4544-16.593901_S. mansoni</t>
  </si>
  <si>
    <t>-16.129101-16.6071_S. haematobium</t>
  </si>
  <si>
    <t>-16.129101-16.6071_S. mansoni</t>
  </si>
  <si>
    <t>-14.256-16.6241_S. haematobium</t>
  </si>
  <si>
    <t>-15.5167-16.633301_S. haematobium</t>
  </si>
  <si>
    <t>-15.5167-16.633301_S. mansoni</t>
  </si>
  <si>
    <t>-14.3449-16.638599_S. haematobium</t>
  </si>
  <si>
    <t>-14.3449-16.638599_S. mansoni</t>
  </si>
  <si>
    <t>-14.5506-16.650299_S. haematobium</t>
  </si>
  <si>
    <t>-14.5506-16.650299_S. mansoni</t>
  </si>
  <si>
    <t>-14.3215-16.654699_S. haematobium</t>
  </si>
  <si>
    <t>-14.3215-16.654699_S. mansoni</t>
  </si>
  <si>
    <t>-10.1833-16.733299_S. haematobium</t>
  </si>
  <si>
    <t>-15.39-16.848101_S. haematobium</t>
  </si>
  <si>
    <t>-15.2433-16.919701_S. haematobium</t>
  </si>
  <si>
    <t>-15.2433-16.919701_S. mansoni</t>
  </si>
  <si>
    <t>-13.9135-17.0527_S. haematobium</t>
  </si>
  <si>
    <t>-13.7722-17.7225_S. mansoni</t>
  </si>
  <si>
    <t>-13.7722-17.7225_S. haematobium</t>
  </si>
  <si>
    <t>-11.4302-18.557501_S. haematobium</t>
  </si>
  <si>
    <t>-9.85277-18.6598_S. haematobium</t>
  </si>
  <si>
    <t>-14.3893-19.746401_S. haematobium</t>
  </si>
  <si>
    <t>-13.0484-19.885799_S. haematobium</t>
  </si>
  <si>
    <t>-13.0534-20.0268_S. haematobium</t>
  </si>
  <si>
    <t>-13.1333-20.049999_S. haematobium</t>
  </si>
  <si>
    <t>-13.0956-20.2584_S. haematobium</t>
  </si>
  <si>
    <t>-9.545097-16.691214_S. haematobium</t>
  </si>
  <si>
    <t>-8.233333-11.616667_S. mansoni</t>
  </si>
  <si>
    <t>-8.233333-11.616667_S. haematobium</t>
  </si>
  <si>
    <t>-6.266667-13.45_S. mansoni</t>
  </si>
  <si>
    <t>-6.266667-13.45_S. haematobium</t>
  </si>
  <si>
    <t>-5.985314-14.227367_S. haematobium</t>
  </si>
  <si>
    <t>-5.477781-13.945769_S. haematobium</t>
  </si>
  <si>
    <t>-5.477781-13.945769_S. mansoni</t>
  </si>
  <si>
    <t>-7.438136-13.801808_S. haematobium</t>
  </si>
  <si>
    <t>-7.483333-11.416669_S. haematobium</t>
  </si>
  <si>
    <t>-3.611111-14.35_S. haematobium</t>
  </si>
  <si>
    <t>-3.611111-14.35_S. mansoni</t>
  </si>
  <si>
    <t>-7.933333-13.1_S. haematobium</t>
  </si>
  <si>
    <t>-7.933333-13.1_S. mansoni</t>
  </si>
  <si>
    <t>-5.985314-14.227367_S. mansoni</t>
  </si>
  <si>
    <t>-0.027986-16.263981_S. haematobium</t>
  </si>
  <si>
    <t>-0.027986-16.263981_S. mansoni</t>
  </si>
  <si>
    <t>-4.198608-14.495833_S. haematobium</t>
  </si>
  <si>
    <t>-4.198608-14.495833_S. mansoni</t>
  </si>
  <si>
    <t>-7.558333-12.861111_S. haematobium</t>
  </si>
  <si>
    <t>-7.558333-12.861111_S. mansoni</t>
  </si>
  <si>
    <t>-6.11667-10.25_S. haematobium</t>
  </si>
  <si>
    <t>-6.11667-10.25_S. mansoni</t>
  </si>
  <si>
    <t>-6.11099-10.3063_S. haematobium</t>
  </si>
  <si>
    <t>-6.11099-10.3063_S. mansoni</t>
  </si>
  <si>
    <t>-6.06667-10.3167_S. haematobium</t>
  </si>
  <si>
    <t>-6.06667-10.3167_S. mansoni</t>
  </si>
  <si>
    <t>-5.91667-10.3833_S. haematobium</t>
  </si>
  <si>
    <t>-5.91667-10.3833_S. mansoni</t>
  </si>
  <si>
    <t>-6.11667-10.4333_S. haematobium</t>
  </si>
  <si>
    <t>-6.11667-10.4333_S. mansoni</t>
  </si>
  <si>
    <t>-5.836-10.468_S. haematobium</t>
  </si>
  <si>
    <t>-5.836-10.468_S. mansoni</t>
  </si>
  <si>
    <t>-6.91667-10.5333_S. haematobium</t>
  </si>
  <si>
    <t>-6.91667-10.5333_S. mansoni</t>
  </si>
  <si>
    <t>-5.91667-10.5333_S. haematobium</t>
  </si>
  <si>
    <t>-5.91667-10.5333_S. mansoni</t>
  </si>
  <si>
    <t>-5.76667-10.55_S. haematobium</t>
  </si>
  <si>
    <t>-5.76667-10.55_S. mansoni</t>
  </si>
  <si>
    <t>-5.77-10.559_S. haematobium</t>
  </si>
  <si>
    <t>-5.77-10.559_S. mansoni</t>
  </si>
  <si>
    <t>-7.03333-10.5667_S. haematobium</t>
  </si>
  <si>
    <t>-7.03333-10.5667_S. mansoni</t>
  </si>
  <si>
    <t>-5.91667-10.6_S. haematobium</t>
  </si>
  <si>
    <t>-5.91667-10.6_S. mansoni</t>
  </si>
  <si>
    <t>-5.719-10.633_S. haematobium</t>
  </si>
  <si>
    <t>-5.719-10.633_S. mansoni</t>
  </si>
  <si>
    <t>-5.83333-10.6333_S. haematobium</t>
  </si>
  <si>
    <t>-5.83333-10.6333_S. mansoni</t>
  </si>
  <si>
    <t>-5.837-10.634_S. haematobium</t>
  </si>
  <si>
    <t>-5.837-10.634_S. mansoni</t>
  </si>
  <si>
    <t>-6.81667-10.7167_S. haematobium</t>
  </si>
  <si>
    <t>-6.81667-10.7167_S. mansoni</t>
  </si>
  <si>
    <t>-6.9333-10.8167_S. haematobium</t>
  </si>
  <si>
    <t>-6.9333-10.8167_S. mansoni</t>
  </si>
  <si>
    <t>-6.88333-10.8167_S. haematobium</t>
  </si>
  <si>
    <t>-6.88333-10.8167_S. mansoni</t>
  </si>
  <si>
    <t>-6.85-10.8333_S. haematobium</t>
  </si>
  <si>
    <t>-6.85-10.8333_S. mansoni</t>
  </si>
  <si>
    <t>-5.6-10.9_S. haematobium</t>
  </si>
  <si>
    <t>-5.6-10.9_S. mansoni</t>
  </si>
  <si>
    <t>-8.217-11.032_S. haematobium</t>
  </si>
  <si>
    <t>-8.217-11.032_S. mansoni</t>
  </si>
  <si>
    <t>-6.8446-11.0553_S. mansoni</t>
  </si>
  <si>
    <t>-6.8446-11.0553_S. haematobium</t>
  </si>
  <si>
    <t>-7.66658-11.0835_S. haematobium</t>
  </si>
  <si>
    <t>-7.66658-11.0835_S. mansoni</t>
  </si>
  <si>
    <t>-8.216-11.134_S. haematobium</t>
  </si>
  <si>
    <t>-8.216-11.134_S. mansoni</t>
  </si>
  <si>
    <t>-8.535-11.136_S. haematobium</t>
  </si>
  <si>
    <t>-8.535-11.136_S. mansoni</t>
  </si>
  <si>
    <t>-8.162-11.169_S. haematobium</t>
  </si>
  <si>
    <t>-8.162-11.169_S. mansoni</t>
  </si>
  <si>
    <t>-8.15-11.1833_S. haematobium</t>
  </si>
  <si>
    <t>-8.15-11.1833_S. mansoni</t>
  </si>
  <si>
    <t>-7.10991-11.1972_S. haematobium</t>
  </si>
  <si>
    <t>-7.10991-11.1972_S. mansoni</t>
  </si>
  <si>
    <t>-8.453-11.202_S. haematobium</t>
  </si>
  <si>
    <t>-8.453-11.202_S. mansoni</t>
  </si>
  <si>
    <t>-7.0569-11.2122_S. haematobium</t>
  </si>
  <si>
    <t>-7.0569-11.2122_S. mansoni</t>
  </si>
  <si>
    <t>-8.234-11.217_S. haematobium</t>
  </si>
  <si>
    <t>-8.234-11.217_S. mansoni</t>
  </si>
  <si>
    <t>-7.48655-11.2234_S. haematobium</t>
  </si>
  <si>
    <t>-7.48655-11.2234_S. mansoni</t>
  </si>
  <si>
    <t>-8.23555-11.2281_S. haematobium</t>
  </si>
  <si>
    <t>-8.23555-11.2281_S. mansoni</t>
  </si>
  <si>
    <t>-6.6586-11.2467_S. haematobium</t>
  </si>
  <si>
    <t>-8.45-11.25_S. haematobium</t>
  </si>
  <si>
    <t>-8.45-11.25_S. mansoni</t>
  </si>
  <si>
    <t>-7.08139-11.2552_S. haematobium</t>
  </si>
  <si>
    <t>-7.08139-11.2552_S. mansoni</t>
  </si>
  <si>
    <t>-8.436-11.268_S. haematobium</t>
  </si>
  <si>
    <t>-8.436-11.268_S. mansoni</t>
  </si>
  <si>
    <t>-8.25-11.2833_S. mansoni</t>
  </si>
  <si>
    <t>-8.25-11.2833_S. haematobium</t>
  </si>
  <si>
    <t>-8.084-11.285_S. haematobium</t>
  </si>
  <si>
    <t>-8.084-11.285_S. mansoni</t>
  </si>
  <si>
    <t>-7.0797-11.286_S. haematobium</t>
  </si>
  <si>
    <t>-7.0797-11.286_S. mansoni</t>
  </si>
  <si>
    <t>-8.16667-11.3_S. haematobium</t>
  </si>
  <si>
    <t>-8.16667-11.3_S. mansoni</t>
  </si>
  <si>
    <t>-8.253-11.317_S. haematobium</t>
  </si>
  <si>
    <t>-8.253-11.317_S. mansoni</t>
  </si>
  <si>
    <t>-8.26164-11.3235_S. haematobium</t>
  </si>
  <si>
    <t>-8.26164-11.3235_S. mansoni</t>
  </si>
  <si>
    <t>-8.21687-11.3456_S. haematobium</t>
  </si>
  <si>
    <t>-8.21687-11.3456_S. mansoni</t>
  </si>
  <si>
    <t>-8.152-11.35_S. haematobium</t>
  </si>
  <si>
    <t>-8.152-11.35_S. mansoni</t>
  </si>
  <si>
    <t>-8.334-11.35_S. haematobium</t>
  </si>
  <si>
    <t>-8.334-11.35_S. mansoni</t>
  </si>
  <si>
    <t>-8.33333-11.35_S. haematobium</t>
  </si>
  <si>
    <t>-8.33333-11.35_S. mansoni</t>
  </si>
  <si>
    <t>-8.15-11.35_S. haematobium</t>
  </si>
  <si>
    <t>-8.15-11.35_S. mansoni</t>
  </si>
  <si>
    <t>-8.15676-11.3519_S. haematobium</t>
  </si>
  <si>
    <t>-8.15676-11.3519_S. mansoni</t>
  </si>
  <si>
    <t>-7.09103-11.3715_S. haematobium</t>
  </si>
  <si>
    <t>-7.09103-11.3715_S. mansoni</t>
  </si>
  <si>
    <t>-8.33333-11.3833_S. haematobium</t>
  </si>
  <si>
    <t>-8.33333-11.3833_S. mansoni</t>
  </si>
  <si>
    <t>-8.335-11.384_S. haematobium</t>
  </si>
  <si>
    <t>-8.335-11.384_S. mansoni</t>
  </si>
  <si>
    <t>-7.25497-11.3852_S. haematobium</t>
  </si>
  <si>
    <t>-7.25497-11.3852_S. mansoni</t>
  </si>
  <si>
    <t>-7.18485-11.4121_S. haematobium</t>
  </si>
  <si>
    <t>-7.18485-11.4121_S. mansoni</t>
  </si>
  <si>
    <t>-7.486-11.416_S. haematobium</t>
  </si>
  <si>
    <t>-8.06667-11.4167_S. mansoni</t>
  </si>
  <si>
    <t>-8.06667-11.4167_S. haematobium</t>
  </si>
  <si>
    <t>-8.30833-11.4167_S. haematobium</t>
  </si>
  <si>
    <t>-8.30833-11.4167_S. mansoni</t>
  </si>
  <si>
    <t>-8.35-11.4167_S. haematobium</t>
  </si>
  <si>
    <t>-8.35-11.4167_S. mansoni</t>
  </si>
  <si>
    <t>-8.351-11.419_S. haematobium</t>
  </si>
  <si>
    <t>-8.351-11.419_S. mansoni</t>
  </si>
  <si>
    <t>-8.216-11.433_S. haematobium</t>
  </si>
  <si>
    <t>-8.216-11.433_S. mansoni</t>
  </si>
  <si>
    <t>-8.21667-11.4333_S. mansoni</t>
  </si>
  <si>
    <t>-8.21667-11.4333_S. haematobium</t>
  </si>
  <si>
    <t>-8.18333-11.4333_S. haematobium</t>
  </si>
  <si>
    <t>-8.18333-11.4333_S. mansoni</t>
  </si>
  <si>
    <t>-8.33144-11.4707_S. haematobium</t>
  </si>
  <si>
    <t>-8.33144-11.4707_S. mansoni</t>
  </si>
  <si>
    <t>-7.51333-11.4731_S. haematobium</t>
  </si>
  <si>
    <t>-7.51333-11.4731_S. mansoni</t>
  </si>
  <si>
    <t>-8.3-11.4833_S. mansoni</t>
  </si>
  <si>
    <t>-8.3-11.4833_S. haematobium</t>
  </si>
  <si>
    <t>-8.2833-11.5167_S. haematobium</t>
  </si>
  <si>
    <t>-8.2833-11.5167_S. mansoni</t>
  </si>
  <si>
    <t>-8.28333-11.5167_S. mansoni</t>
  </si>
  <si>
    <t>-8.28333-11.5167_S. haematobium</t>
  </si>
  <si>
    <t>-5.6926-11.524_S. haematobium</t>
  </si>
  <si>
    <t>-5.6926-11.524_S. mansoni</t>
  </si>
  <si>
    <t>-8.08766-11.5322_S. haematobium</t>
  </si>
  <si>
    <t>-8.08766-11.5322_S. mansoni</t>
  </si>
  <si>
    <t>-5.7928-11.5327_S. haematobium</t>
  </si>
  <si>
    <t>-5.7928-11.5327_S. mansoni</t>
  </si>
  <si>
    <t>-8.218-11.533_S. haematobium</t>
  </si>
  <si>
    <t>-8.218-11.533_S. mansoni</t>
  </si>
  <si>
    <t>-8.21667-11.5333_S. mansoni</t>
  </si>
  <si>
    <t>-8.21667-11.5333_S. haematobium</t>
  </si>
  <si>
    <t>-8.08333-11.5333_S. haematobium</t>
  </si>
  <si>
    <t>-8.08333-11.5333_S. mansoni</t>
  </si>
  <si>
    <t>-8.085-11.534_S. haematobium</t>
  </si>
  <si>
    <t>-8.085-11.534_S. mansoni</t>
  </si>
  <si>
    <t>-7.71828-11.5393_S. haematobium</t>
  </si>
  <si>
    <t>-7.71828-11.5393_S. mansoni</t>
  </si>
  <si>
    <t>-8.05-11.55_S. haematobium</t>
  </si>
  <si>
    <t>-8.05-11.55_S. mansoni</t>
  </si>
  <si>
    <t>-7.54029-11.5809_S. haematobium</t>
  </si>
  <si>
    <t>-7.54029-11.5809_S. mansoni</t>
  </si>
  <si>
    <t>-8.169-11.583_S. haematobium</t>
  </si>
  <si>
    <t>-8.169-11.583_S. mansoni</t>
  </si>
  <si>
    <t>-8.16667-11.5833_S. haematobium</t>
  </si>
  <si>
    <t>-8.16667-11.5833_S. mansoni</t>
  </si>
  <si>
    <t>-8.25-11.5833_S. haematobium</t>
  </si>
  <si>
    <t>-8.25-11.5833_S. mansoni</t>
  </si>
  <si>
    <t>-8.16101-11.5847_S. haematobium</t>
  </si>
  <si>
    <t>-8.16101-11.5847_S. mansoni</t>
  </si>
  <si>
    <t>-8.33333-11.6_S. haematobium</t>
  </si>
  <si>
    <t>-8.33333-11.6_S. mansoni</t>
  </si>
  <si>
    <t>-7.51811-11.6013_S. haematobium</t>
  </si>
  <si>
    <t>-7.51811-11.6013_S. mansoni</t>
  </si>
  <si>
    <t>-8.334-11.603_S. haematobium</t>
  </si>
  <si>
    <t>-8.334-11.603_S. mansoni</t>
  </si>
  <si>
    <t>-8.23333-11.6167_S. mansoni</t>
  </si>
  <si>
    <t>-8.23333-11.6167_S. haematobium</t>
  </si>
  <si>
    <t>-8.24091-11.643_S. mansoni</t>
  </si>
  <si>
    <t>-8.24091-11.643_S. haematobium</t>
  </si>
  <si>
    <t>-8.24857-11.6435_S. haematobium</t>
  </si>
  <si>
    <t>-8.24857-11.6435_S. mansoni</t>
  </si>
  <si>
    <t>-8.18889-11.6444_S. haematobium</t>
  </si>
  <si>
    <t>-8.18889-11.6444_S. mansoni</t>
  </si>
  <si>
    <t>-8.1833-11.65_S. haematobium</t>
  </si>
  <si>
    <t>-8.1833-11.65_S. mansoni</t>
  </si>
  <si>
    <t>-8.18333-11.65_S. haematobium</t>
  </si>
  <si>
    <t>-8.18333-11.65_S. mansoni</t>
  </si>
  <si>
    <t>-8.18333-11.6667_S. mansoni</t>
  </si>
  <si>
    <t>-8.18333-11.6667_S. haematobium</t>
  </si>
  <si>
    <t>-5.9314-11.675_S. haematobium</t>
  </si>
  <si>
    <t>-5.9314-11.675_S. mansoni</t>
  </si>
  <si>
    <t>-8.71667-11.6833_S. haematobium</t>
  </si>
  <si>
    <t>-8.71667-11.6833_S. mansoni</t>
  </si>
  <si>
    <t>-8.15959-11.7132_S. mansoni</t>
  </si>
  <si>
    <t>-8.15959-11.7132_S. haematobium</t>
  </si>
  <si>
    <t>-8.68333-11.7167_S. haematobium</t>
  </si>
  <si>
    <t>-8.68333-11.7167_S. mansoni</t>
  </si>
  <si>
    <t>-7.28423-11.739_S. haematobium</t>
  </si>
  <si>
    <t>-7.28423-11.739_S. mansoni</t>
  </si>
  <si>
    <t>-5.9466-11.7482_S. haematobium</t>
  </si>
  <si>
    <t>-5.9466-11.7482_S. mansoni</t>
  </si>
  <si>
    <t>-5.2986-11.8813_S. haematobium</t>
  </si>
  <si>
    <t>-5.2986-11.8813_S. mansoni</t>
  </si>
  <si>
    <t>-6.652-11.886_S. haematobium</t>
  </si>
  <si>
    <t>-6.652-11.886_S. mansoni</t>
  </si>
  <si>
    <t>-6.051-12.002_S. haematobium</t>
  </si>
  <si>
    <t>-6.051-12.002_S. mansoni</t>
  </si>
  <si>
    <t>-5.28633-12.0039_S. haematobium</t>
  </si>
  <si>
    <t>-5.28633-12.0039_S. mansoni</t>
  </si>
  <si>
    <t>-8.28615-12.0098_S. haematobium</t>
  </si>
  <si>
    <t>-8.28615-12.0098_S. mansoni</t>
  </si>
  <si>
    <t>-5.70803-12.0146_S. haematobium</t>
  </si>
  <si>
    <t>-5.70803-12.0146_S. mansoni</t>
  </si>
  <si>
    <t>-5.35993-12.061_S. haematobium</t>
  </si>
  <si>
    <t>-5.35993-12.061_S. mansoni</t>
  </si>
  <si>
    <t>-8.67157-12.071_S. haematobium</t>
  </si>
  <si>
    <t>-8.67157-12.071_S. mansoni</t>
  </si>
  <si>
    <t>-8.29052-12.0853_S. haematobium</t>
  </si>
  <si>
    <t>-8.29052-12.0853_S. mansoni</t>
  </si>
  <si>
    <t>-8.32795-12.1093_S. haematobium</t>
  </si>
  <si>
    <t>-8.32795-12.1093_S. mansoni</t>
  </si>
  <si>
    <t>-8.88087-12.1489_S. haematobium</t>
  </si>
  <si>
    <t>-8.88087-12.1489_S. mansoni</t>
  </si>
  <si>
    <t>-8.30327-12.1526_S. haematobium</t>
  </si>
  <si>
    <t>-8.30327-12.1526_S. mansoni</t>
  </si>
  <si>
    <t>-7.83333-12.1667_S. haematobium</t>
  </si>
  <si>
    <t>-5.18883-12.1718_S. haematobium</t>
  </si>
  <si>
    <t>-5.18883-12.1718_S. mansoni</t>
  </si>
  <si>
    <t>-9.964-12.212_S. haematobium</t>
  </si>
  <si>
    <t>-9.964-12.212_S. mansoni</t>
  </si>
  <si>
    <t>-6.918-12.249_S. haematobium</t>
  </si>
  <si>
    <t>-6.918-12.249_S. mansoni</t>
  </si>
  <si>
    <t>-8.18367-12.259_S. haematobium</t>
  </si>
  <si>
    <t>-8.18367-12.259_S. mansoni</t>
  </si>
  <si>
    <t>-11.277-12.26_S. haematobium</t>
  </si>
  <si>
    <t>-11.277-12.26_S. mansoni</t>
  </si>
  <si>
    <t>-8.14917-12.3056_S. haematobium</t>
  </si>
  <si>
    <t>-8.14917-12.3056_S. mansoni</t>
  </si>
  <si>
    <t>-5.36429-12.3211_S. haematobium</t>
  </si>
  <si>
    <t>-5.36429-12.3211_S. mansoni</t>
  </si>
  <si>
    <t>-5.07543-12.383_S. haematobium</t>
  </si>
  <si>
    <t>-5.07543-12.383_S. mansoni</t>
  </si>
  <si>
    <t>-5.471-12.39_S. haematobium</t>
  </si>
  <si>
    <t>-4.6677-12.3922_S. haematobium</t>
  </si>
  <si>
    <t>-4.6677-12.3922_S. mansoni</t>
  </si>
  <si>
    <t>-7.87883-12.4193_S. haematobium</t>
  </si>
  <si>
    <t>-7.87883-12.4193_S. mansoni</t>
  </si>
  <si>
    <t>-4.5442-12.4615_S. haematobium</t>
  </si>
  <si>
    <t>-4.5442-12.4615_S. mansoni</t>
  </si>
  <si>
    <t>-5.19393-12.4802_S. haematobium</t>
  </si>
  <si>
    <t>-5.19393-12.4802_S. mansoni</t>
  </si>
  <si>
    <t>-5.01161-12.5152_S. haematobium</t>
  </si>
  <si>
    <t>-5.01161-12.5152_S. mansoni</t>
  </si>
  <si>
    <t>-7.93627-12.5308_S. haematobium</t>
  </si>
  <si>
    <t>-7.93627-12.5308_S. mansoni</t>
  </si>
  <si>
    <t>-4.4216-12.565_S. haematobium</t>
  </si>
  <si>
    <t>-4.4216-12.565_S. mansoni</t>
  </si>
  <si>
    <t>-7.97713-12.5733_S. haematobium</t>
  </si>
  <si>
    <t>-7.97713-12.5733_S. mansoni</t>
  </si>
  <si>
    <t>-7.97263-12.5759_S. haematobium</t>
  </si>
  <si>
    <t>-7.97263-12.5759_S. mansoni</t>
  </si>
  <si>
    <t>-7.98465-12.5842_S. haematobium</t>
  </si>
  <si>
    <t>-7.98465-12.5842_S. mansoni</t>
  </si>
  <si>
    <t>-7.6982-12.585_S. haematobium</t>
  </si>
  <si>
    <t>-7.6982-12.585_S. mansoni</t>
  </si>
  <si>
    <t>-7.76717-12.5898_S. haematobium</t>
  </si>
  <si>
    <t>-7.76717-12.5898_S. mansoni</t>
  </si>
  <si>
    <t>-8.01986-12.591_S. mansoni</t>
  </si>
  <si>
    <t>-8.01986-12.591_S. haematobium</t>
  </si>
  <si>
    <t>-7.99448-12.5939_S. haematobium</t>
  </si>
  <si>
    <t>-7.99448-12.5939_S. mansoni</t>
  </si>
  <si>
    <t>-8.02111-12.605_S. haematobium</t>
  </si>
  <si>
    <t>-8.02111-12.605_S. mansoni</t>
  </si>
  <si>
    <t>-7.96558-12.6061_S. haematobium</t>
  </si>
  <si>
    <t>-7.96558-12.6061_S. mansoni</t>
  </si>
  <si>
    <t>-8.00277-12.6101_S. haematobium</t>
  </si>
  <si>
    <t>-8.00277-12.6101_S. mansoni</t>
  </si>
  <si>
    <t>-7.7734-12.6129_S. haematobium</t>
  </si>
  <si>
    <t>-7.7734-12.6129_S. mansoni</t>
  </si>
  <si>
    <t>-8.04133-12.613_S. haematobium</t>
  </si>
  <si>
    <t>-8.04133-12.613_S. mansoni</t>
  </si>
  <si>
    <t>-4.745-12.613_S. haematobium</t>
  </si>
  <si>
    <t>-4.745-12.613_S. mansoni</t>
  </si>
  <si>
    <t>-8.02693-12.6139_S. haematobium</t>
  </si>
  <si>
    <t>-8.02693-12.6139_S. mansoni</t>
  </si>
  <si>
    <t>-7.785-12.615_S. haematobium</t>
  </si>
  <si>
    <t>-7.785-12.615_S. mansoni</t>
  </si>
  <si>
    <t>-7.77597-12.6184_S. haematobium</t>
  </si>
  <si>
    <t>-7.77597-12.6184_S. mansoni</t>
  </si>
  <si>
    <t>-7.9916-12.6194_S. haematobium</t>
  </si>
  <si>
    <t>-7.9916-12.6194_S. mansoni</t>
  </si>
  <si>
    <t>-4.97004-12.6199_S. haematobium</t>
  </si>
  <si>
    <t>-4.97004-12.6199_S. mansoni</t>
  </si>
  <si>
    <t>-7.8169-12.622_S. haematobium</t>
  </si>
  <si>
    <t>-7.8169-12.622_S. mansoni</t>
  </si>
  <si>
    <t>-7.81556-12.6228_S. haematobium</t>
  </si>
  <si>
    <t>-7.81556-12.6228_S. mansoni</t>
  </si>
  <si>
    <t>-8.05904-12.6285_S. haematobium</t>
  </si>
  <si>
    <t>-8.05904-12.6285_S. mansoni</t>
  </si>
  <si>
    <t>-7.75191-12.63_S. haematobium</t>
  </si>
  <si>
    <t>-7.75191-12.63_S. mansoni</t>
  </si>
  <si>
    <t>-7.91778-12.6303_S. haematobium</t>
  </si>
  <si>
    <t>-7.91778-12.6303_S. mansoni</t>
  </si>
  <si>
    <t>-7.78747-12.6306_S. haematobium</t>
  </si>
  <si>
    <t>-7.78747-12.6306_S. mansoni</t>
  </si>
  <si>
    <t>-7.92083-12.6316_S. haematobium</t>
  </si>
  <si>
    <t>-7.92083-12.6316_S. mansoni</t>
  </si>
  <si>
    <t>-8.00035-12.6328_S. haematobium</t>
  </si>
  <si>
    <t>-8.00035-12.6328_S. mansoni</t>
  </si>
  <si>
    <t>-7.73361-12.6336_S. haematobium</t>
  </si>
  <si>
    <t>-7.73361-12.6336_S. mansoni</t>
  </si>
  <si>
    <t>-7.718-12.635_S. haematobium</t>
  </si>
  <si>
    <t>-7.718-12.635_S. mansoni</t>
  </si>
  <si>
    <t>-10.85-12.636_S. haematobium</t>
  </si>
  <si>
    <t>-10.85-12.636_S. mansoni</t>
  </si>
  <si>
    <t>-7.83559-12.6368_S. haematobium</t>
  </si>
  <si>
    <t>-7.83559-12.6368_S. mansoni</t>
  </si>
  <si>
    <t>-8.0441-12.637_S. haematobium</t>
  </si>
  <si>
    <t>-8.0441-12.637_S. mansoni</t>
  </si>
  <si>
    <t>-7.72247-12.6392_S. haematobium</t>
  </si>
  <si>
    <t>-7.72247-12.6392_S. mansoni</t>
  </si>
  <si>
    <t>-7.84-12.64_S. haematobium</t>
  </si>
  <si>
    <t>-7.84-12.64_S. mansoni</t>
  </si>
  <si>
    <t>-7.99192-12.641_S. haematobium</t>
  </si>
  <si>
    <t>-7.99192-12.641_S. mansoni</t>
  </si>
  <si>
    <t>-7.71241-12.6427_S. haematobium</t>
  </si>
  <si>
    <t>-7.71241-12.6427_S. mansoni</t>
  </si>
  <si>
    <t>-8.02812-12.6428_S. haematobium</t>
  </si>
  <si>
    <t>-8.02812-12.6428_S. mansoni</t>
  </si>
  <si>
    <t>-7.85122-12.645_S. haematobium</t>
  </si>
  <si>
    <t>-7.85122-12.645_S. mansoni</t>
  </si>
  <si>
    <t>-7.7091-12.6487_S. haematobium</t>
  </si>
  <si>
    <t>-7.7091-12.6487_S. mansoni</t>
  </si>
  <si>
    <t>-8-12.65_S. mansoni</t>
  </si>
  <si>
    <t>-8-12.65_S. haematobium</t>
  </si>
  <si>
    <t>-7.7107-12.6519_S. haematobium</t>
  </si>
  <si>
    <t>-7.7107-12.6519_S. mansoni</t>
  </si>
  <si>
    <t>-7.70833-12.6536_S. haematobium</t>
  </si>
  <si>
    <t>-7.70833-12.6536_S. mansoni</t>
  </si>
  <si>
    <t>-8.00628-12.6546_S. haematobium</t>
  </si>
  <si>
    <t>-8.00628-12.6546_S. mansoni</t>
  </si>
  <si>
    <t>-8.0293-12.655_S. haematobium</t>
  </si>
  <si>
    <t>-8.0293-12.655_S. mansoni</t>
  </si>
  <si>
    <t>-8.02278-12.6572_S. haematobium</t>
  </si>
  <si>
    <t>-8.02278-12.6572_S. mansoni</t>
  </si>
  <si>
    <t>-7.98293-12.6592_S. haematobium</t>
  </si>
  <si>
    <t>-7.98293-12.6592_S. mansoni</t>
  </si>
  <si>
    <t>-7.91717-12.6612_S. haematobium</t>
  </si>
  <si>
    <t>-7.91717-12.6612_S. mansoni</t>
  </si>
  <si>
    <t>-7.96333-12.6689_S. mansoni</t>
  </si>
  <si>
    <t>-7.96333-12.6689_S. haematobium</t>
  </si>
  <si>
    <t>-5.18861-12.6694_S. haematobium</t>
  </si>
  <si>
    <t>-5.18861-12.6694_S. mansoni</t>
  </si>
  <si>
    <t>-7.707-12.6699_S. haematobium</t>
  </si>
  <si>
    <t>-7.707-12.6699_S. mansoni</t>
  </si>
  <si>
    <t>-7.705-12.6708_S. haematobium</t>
  </si>
  <si>
    <t>-7.705-12.6708_S. mansoni</t>
  </si>
  <si>
    <t>-7.9662-12.6721_S. haematobium</t>
  </si>
  <si>
    <t>-7.9662-12.6721_S. mansoni</t>
  </si>
  <si>
    <t>-7.95-12.6772_S. haematobium</t>
  </si>
  <si>
    <t>-7.95-12.6772_S. mansoni</t>
  </si>
  <si>
    <t>-7.70287-12.6774_S. haematobium</t>
  </si>
  <si>
    <t>-7.70287-12.6774_S. mansoni</t>
  </si>
  <si>
    <t>-9.284-12.685_S. haematobium</t>
  </si>
  <si>
    <t>-9.284-12.685_S. mansoni</t>
  </si>
  <si>
    <t>-7.69282-12.6886_S. haematobium</t>
  </si>
  <si>
    <t>-7.69282-12.6886_S. mansoni</t>
  </si>
  <si>
    <t>-7.94725-12.6919_S. haematobium</t>
  </si>
  <si>
    <t>-7.94725-12.6919_S. mansoni</t>
  </si>
  <si>
    <t>-7.73117-12.6971_S. haematobium</t>
  </si>
  <si>
    <t>-7.73117-12.6971_S. mansoni</t>
  </si>
  <si>
    <t>-7.96463-12.7035_S. haematobium</t>
  </si>
  <si>
    <t>-8.285-12.717_S. haematobium</t>
  </si>
  <si>
    <t>-4.3094-12.7262_S. haematobium</t>
  </si>
  <si>
    <t>-4.3094-12.7262_S. mansoni</t>
  </si>
  <si>
    <t>-8.3667-12.75_S. haematobium</t>
  </si>
  <si>
    <t>-11.202-12.767_S. haematobium</t>
  </si>
  <si>
    <t>-11.202-12.767_S. mansoni</t>
  </si>
  <si>
    <t>-7.69678-12.777_S. mansoni</t>
  </si>
  <si>
    <t>-7.69678-12.777_S. haematobium</t>
  </si>
  <si>
    <t>-4.3596-12.7847_S. haematobium</t>
  </si>
  <si>
    <t>-4.3596-12.7847_S. mansoni</t>
  </si>
  <si>
    <t>-7.98265-12.8052_S. haematobium</t>
  </si>
  <si>
    <t>-7.98265-12.8052_S. mansoni</t>
  </si>
  <si>
    <t>-4.337-12.811_S. haematobium</t>
  </si>
  <si>
    <t>-4.337-12.811_S. mansoni</t>
  </si>
  <si>
    <t>-8.25-12.8167_S. haematobium</t>
  </si>
  <si>
    <t>-8.25-12.8167_S. mansoni</t>
  </si>
  <si>
    <t>-7.6417-12.824_S. haematobium</t>
  </si>
  <si>
    <t>-7.6417-12.824_S. mansoni</t>
  </si>
  <si>
    <t>-7.60622-12.8272_S. haematobium</t>
  </si>
  <si>
    <t>-7.60622-12.8272_S. mansoni</t>
  </si>
  <si>
    <t>-4.3919-12.8523_S. haematobium</t>
  </si>
  <si>
    <t>-4.3919-12.8523_S. mansoni</t>
  </si>
  <si>
    <t>-5.79444-12.8533_S. haematobium</t>
  </si>
  <si>
    <t>-5.79444-12.8533_S. mansoni</t>
  </si>
  <si>
    <t>-7.55985-12.8627_S. haematobium</t>
  </si>
  <si>
    <t>-7.55985-12.8627_S. mansoni</t>
  </si>
  <si>
    <t>-4.4257-12.8633_S. haematobium</t>
  </si>
  <si>
    <t>-4.4257-12.8633_S. mansoni</t>
  </si>
  <si>
    <t>-7.57-12.867_S. haematobium</t>
  </si>
  <si>
    <t>-5.60319-12.8729_S. haematobium</t>
  </si>
  <si>
    <t>-5.60319-12.8729_S. mansoni</t>
  </si>
  <si>
    <t>-7.54419-12.8876_S. haematobium</t>
  </si>
  <si>
    <t>-7.54419-12.8876_S. mansoni</t>
  </si>
  <si>
    <t>-5.9686-12.9028_S. haematobium</t>
  </si>
  <si>
    <t>-5.9686-12.9028_S. mansoni</t>
  </si>
  <si>
    <t>-5.95893-12.9248_S. haematobium</t>
  </si>
  <si>
    <t>-5.95893-12.9248_S. mansoni</t>
  </si>
  <si>
    <t>-11.101-12.967_S. haematobium</t>
  </si>
  <si>
    <t>-11.101-12.967_S. mansoni</t>
  </si>
  <si>
    <t>-9.87247-12.9701_S. haematobium</t>
  </si>
  <si>
    <t>-9.87247-12.9701_S. mansoni</t>
  </si>
  <si>
    <t>-5.6826-12.9911_S. haematobium</t>
  </si>
  <si>
    <t>-5.6826-12.9911_S. mansoni</t>
  </si>
  <si>
    <t>-7.98319-13.0131_S. haematobium</t>
  </si>
  <si>
    <t>-7.98319-13.0131_S. mansoni</t>
  </si>
  <si>
    <t>-6.703-13.016_S. haematobium</t>
  </si>
  <si>
    <t>-6.703-13.016_S. mansoni</t>
  </si>
  <si>
    <t>-10.15-13.0333_S. haematobium</t>
  </si>
  <si>
    <t>-10.15-13.0333_S. mansoni</t>
  </si>
  <si>
    <t>-9.486-13.04_S. haematobium</t>
  </si>
  <si>
    <t>-9.486-13.04_S. mansoni</t>
  </si>
  <si>
    <t>-4.435-13.051_S. haematobium</t>
  </si>
  <si>
    <t>-4.435-13.051_S. mansoni</t>
  </si>
  <si>
    <t>-7.9831-13.0521_S. haematobium</t>
  </si>
  <si>
    <t>-7.9831-13.0521_S. mansoni</t>
  </si>
  <si>
    <t>-8.0124-13.053_S. haematobium</t>
  </si>
  <si>
    <t>-8.0124-13.053_S. mansoni</t>
  </si>
  <si>
    <t>-7.3644-13.0572_S. haematobium</t>
  </si>
  <si>
    <t>-7.3644-13.0572_S. mansoni</t>
  </si>
  <si>
    <t>-8.0179-13.061_S. haematobium</t>
  </si>
  <si>
    <t>-8.0179-13.061_S. mansoni</t>
  </si>
  <si>
    <t>-8.0398-13.0684_S. haematobium</t>
  </si>
  <si>
    <t>-8.0398-13.0684_S. mansoni</t>
  </si>
  <si>
    <t>-7.8816-13.0694_S. haematobium</t>
  </si>
  <si>
    <t>-7.8816-13.0694_S. mansoni</t>
  </si>
  <si>
    <t>-7.95031-13.0696_S. haematobium</t>
  </si>
  <si>
    <t>-7.95031-13.0696_S. mansoni</t>
  </si>
  <si>
    <t>-7.91607-13.0724_S. haematobium</t>
  </si>
  <si>
    <t>-7.91607-13.0724_S. mansoni</t>
  </si>
  <si>
    <t>-10.4151-13.0781_S. haematobium</t>
  </si>
  <si>
    <t>-10.4151-13.0781_S. mansoni</t>
  </si>
  <si>
    <t>-7.95732-13.0893_S. haematobium</t>
  </si>
  <si>
    <t>-7.95733-13.0893_S. haematobium</t>
  </si>
  <si>
    <t>-7.95733-13.0893_S. mansoni</t>
  </si>
  <si>
    <t>-8.0148-13.0913_S. haematobium</t>
  </si>
  <si>
    <t>-8.0148-13.0913_S. mansoni</t>
  </si>
  <si>
    <t>-10.4128-13.0919_S. haematobium</t>
  </si>
  <si>
    <t>-10.4128-13.0919_S. mansoni</t>
  </si>
  <si>
    <t>-7.9614-13.092_S. haematobium</t>
  </si>
  <si>
    <t>-7.9614-13.092_S. mansoni</t>
  </si>
  <si>
    <t>-7.9341-13.0968_S. haematobium</t>
  </si>
  <si>
    <t>-7.9341-13.0968_S. mansoni</t>
  </si>
  <si>
    <t>-7.35479-13.0977_S. haematobium</t>
  </si>
  <si>
    <t>-7.35479-13.0977_S. mansoni</t>
  </si>
  <si>
    <t>-7.936-13.099_S. haematobium</t>
  </si>
  <si>
    <t>-7.936-13.099_S. mansoni</t>
  </si>
  <si>
    <t>-8.0088-13.1016_S. haematobium</t>
  </si>
  <si>
    <t>-8.0088-13.1016_S. mansoni</t>
  </si>
  <si>
    <t>-7.995-13.1142_S. haematobium</t>
  </si>
  <si>
    <t>-7.995-13.1142_S. mansoni</t>
  </si>
  <si>
    <t>-7.99351-13.1311_S. haematobium</t>
  </si>
  <si>
    <t>-7.99351-13.1311_S. mansoni</t>
  </si>
  <si>
    <t>-7.888-13.1325_S. haematobium</t>
  </si>
  <si>
    <t>-7.888-13.1325_S. mansoni</t>
  </si>
  <si>
    <t>-9.085-13.135_S. haematobium</t>
  </si>
  <si>
    <t>-9.085-13.135_S. mansoni</t>
  </si>
  <si>
    <t>-10.3941-13.141_S. haematobium</t>
  </si>
  <si>
    <t>-10.3941-13.141_S. mansoni</t>
  </si>
  <si>
    <t>-8.0495-13.1416_S. haematobium</t>
  </si>
  <si>
    <t>-8.0495-13.1416_S. mansoni</t>
  </si>
  <si>
    <t>-7.9403-13.1492_S. haematobium</t>
  </si>
  <si>
    <t>-7.9403-13.1492_S. mansoni</t>
  </si>
  <si>
    <t>-7.96098-13.1561_S. haematobium</t>
  </si>
  <si>
    <t>-7.79555-13.1665_S. haematobium</t>
  </si>
  <si>
    <t>-7.79555-13.1665_S. mansoni</t>
  </si>
  <si>
    <t>-10.3809-13.1721_S. haematobium</t>
  </si>
  <si>
    <t>-10.3809-13.1721_S. mansoni</t>
  </si>
  <si>
    <t>-8.0503-13.1737_S. haematobium</t>
  </si>
  <si>
    <t>-8.0503-13.1737_S. mansoni</t>
  </si>
  <si>
    <t>-8.0245-13.1796_S. haematobium</t>
  </si>
  <si>
    <t>-8.0245-13.1796_S. mansoni</t>
  </si>
  <si>
    <t>-10.2015-13.1827_S. haematobium</t>
  </si>
  <si>
    <t>-10.2015-13.1827_S. mansoni</t>
  </si>
  <si>
    <t>-8.0392-13.1906_S. haematobium</t>
  </si>
  <si>
    <t>-8.0392-13.1906_S. mansoni</t>
  </si>
  <si>
    <t>-7.90727-13.1946_S. haematobium</t>
  </si>
  <si>
    <t>-7.90727-13.1946_S. mansoni</t>
  </si>
  <si>
    <t>-8.02177-13.1969_S. haematobium</t>
  </si>
  <si>
    <t>-8.02177-13.1969_S. mansoni</t>
  </si>
  <si>
    <t>-10.7147-13.1984_S. haematobium</t>
  </si>
  <si>
    <t>-10.7147-13.1984_S. mansoni</t>
  </si>
  <si>
    <t>-7.9333-13.2_S. haematobium</t>
  </si>
  <si>
    <t>-7.9333-13.2_S. mansoni</t>
  </si>
  <si>
    <t>-10.251-13.201_S. haematobium</t>
  </si>
  <si>
    <t>-10.251-13.201_S. mansoni</t>
  </si>
  <si>
    <t>-7.87538-13.2018_S. haematobium</t>
  </si>
  <si>
    <t>-7.87538-13.2018_S. mansoni</t>
  </si>
  <si>
    <t>-7.9287-13.202_S. haematobium</t>
  </si>
  <si>
    <t>-7.9287-13.202_S. mansoni</t>
  </si>
  <si>
    <t>-10.469-13.203_S. haematobium</t>
  </si>
  <si>
    <t>-10.469-13.203_S. mansoni</t>
  </si>
  <si>
    <t>-10.3189-13.2067_S. haematobium</t>
  </si>
  <si>
    <t>-10.3189-13.2067_S. mansoni</t>
  </si>
  <si>
    <t>-10.2522-13.2075_S. haematobium</t>
  </si>
  <si>
    <t>-10.2522-13.2075_S. mansoni</t>
  </si>
  <si>
    <t>-7.9665-13.214_S. haematobium</t>
  </si>
  <si>
    <t>-7.9665-13.214_S. mansoni</t>
  </si>
  <si>
    <t>-7.79545-13.2185_S. haematobium</t>
  </si>
  <si>
    <t>-7.79545-13.2185_S. mansoni</t>
  </si>
  <si>
    <t>-7.854-13.2214_S. haematobium</t>
  </si>
  <si>
    <t>-7.854-13.2214_S. mansoni</t>
  </si>
  <si>
    <t>-7.72169-13.2223_S. haematobium</t>
  </si>
  <si>
    <t>-7.72169-13.2223_S. mansoni</t>
  </si>
  <si>
    <t>-7.9895-13.2314_S. haematobium</t>
  </si>
  <si>
    <t>-7.9895-13.2314_S. mansoni</t>
  </si>
  <si>
    <t>-7.95-13.2333_S. haematobium</t>
  </si>
  <si>
    <t>-7.8978-13.2343_S. haematobium</t>
  </si>
  <si>
    <t>-7.8978-13.2343_S. mansoni</t>
  </si>
  <si>
    <t>-7.017-13.235_S. haematobium</t>
  </si>
  <si>
    <t>-7.017-13.235_S. mansoni</t>
  </si>
  <si>
    <t>-4.88043-13.2353_S. haematobium</t>
  </si>
  <si>
    <t>-4.88043-13.2353_S. mansoni</t>
  </si>
  <si>
    <t>-7.9642-13.2428_S. haematobium</t>
  </si>
  <si>
    <t>-7.9642-13.2428_S. mansoni</t>
  </si>
  <si>
    <t>-7.84164-13.244_S. haematobium</t>
  </si>
  <si>
    <t>-7.84164-13.244_S. mansoni</t>
  </si>
  <si>
    <t>-6.33927-13.2461_S. haematobium</t>
  </si>
  <si>
    <t>-6.33927-13.2461_S. mansoni</t>
  </si>
  <si>
    <t>-10.6254-13.2476_S. haematobium</t>
  </si>
  <si>
    <t>-10.6254-13.2476_S. mansoni</t>
  </si>
  <si>
    <t>-7.604-13.25_S. haematobium</t>
  </si>
  <si>
    <t>-7.604-13.25_S. mansoni</t>
  </si>
  <si>
    <t>-10.501-13.251_S. haematobium</t>
  </si>
  <si>
    <t>-10.501-13.251_S. mansoni</t>
  </si>
  <si>
    <t>-8.0174-13.2517_S. haematobium</t>
  </si>
  <si>
    <t>-8.0174-13.2517_S. mansoni</t>
  </si>
  <si>
    <t>-7.9402-13.2597_S. haematobium</t>
  </si>
  <si>
    <t>-7.9402-13.2597_S. mansoni</t>
  </si>
  <si>
    <t>-7.92158-13.2613_S. haematobium</t>
  </si>
  <si>
    <t>-7.92158-13.2613_S. mansoni</t>
  </si>
  <si>
    <t>-7.7994-13.2661_S. haematobium</t>
  </si>
  <si>
    <t>-7.7994-13.2661_S. mansoni</t>
  </si>
  <si>
    <t>-7.96927-13.2749_S. haematobium</t>
  </si>
  <si>
    <t>-7.96927-13.2749_S. mansoni</t>
  </si>
  <si>
    <t>-7.0333-13.2833_S. haematobium</t>
  </si>
  <si>
    <t>-7.0333-13.2833_S. mansoni</t>
  </si>
  <si>
    <t>-7.9508-13.2866_S. haematobium</t>
  </si>
  <si>
    <t>-7.9508-13.2866_S. mansoni</t>
  </si>
  <si>
    <t>-7.8306-13.2906_S. haematobium</t>
  </si>
  <si>
    <t>-7.8306-13.2906_S. mansoni</t>
  </si>
  <si>
    <t>-10.5693-13.3008_S. haematobium</t>
  </si>
  <si>
    <t>-10.5693-13.3008_S. mansoni</t>
  </si>
  <si>
    <t>-4.89561-13.3033_S. haematobium</t>
  </si>
  <si>
    <t>-4.89561-13.3033_S. mansoni</t>
  </si>
  <si>
    <t>-3.3839-13.305_S. haematobium</t>
  </si>
  <si>
    <t>-3.3839-13.305_S. mansoni</t>
  </si>
  <si>
    <t>-7.88556-13.3107_S. haematobium</t>
  </si>
  <si>
    <t>-7.88556-13.3107_S. mansoni</t>
  </si>
  <si>
    <t>-7.87-13.3107_S. haematobium</t>
  </si>
  <si>
    <t>-7.87-13.3107_S. mansoni</t>
  </si>
  <si>
    <t>-10.5501-13.3127_S. haematobium</t>
  </si>
  <si>
    <t>-10.5501-13.3127_S. mansoni</t>
  </si>
  <si>
    <t>-9.386-13.317_S. haematobium</t>
  </si>
  <si>
    <t>-9.386-13.317_S. mansoni</t>
  </si>
  <si>
    <t>-7.76833-13.3177_S. haematobium</t>
  </si>
  <si>
    <t>-7.76833-13.3177_S. mansoni</t>
  </si>
  <si>
    <t>-6.2437-13.3182_S. haematobium</t>
  </si>
  <si>
    <t>-6.2437-13.3182_S. mansoni</t>
  </si>
  <si>
    <t>-10.2623-13.3185_S. haematobium</t>
  </si>
  <si>
    <t>-10.2623-13.3185_S. mansoni</t>
  </si>
  <si>
    <t>-7.9-13.3333_S. haematobium</t>
  </si>
  <si>
    <t>-7.9-13.3333_S. mansoni</t>
  </si>
  <si>
    <t>-10.6116-13.3344_S. haematobium</t>
  </si>
  <si>
    <t>-10.6116-13.3344_S. mansoni</t>
  </si>
  <si>
    <t>-7.9175-13.3355_S. haematobium</t>
  </si>
  <si>
    <t>-7.9175-13.3355_S. mansoni</t>
  </si>
  <si>
    <t>-7.88333-13.35_S. haematobium</t>
  </si>
  <si>
    <t>-7.88333-13.35_S. mansoni</t>
  </si>
  <si>
    <t>-9.335-13.366_S. haematobium</t>
  </si>
  <si>
    <t>-11.617-13.368_S. haematobium</t>
  </si>
  <si>
    <t>-11.617-13.368_S. mansoni</t>
  </si>
  <si>
    <t>-6.3704-13.3703_S. haematobium</t>
  </si>
  <si>
    <t>-6.3704-13.3703_S. mansoni</t>
  </si>
  <si>
    <t>-4.735-13.3703_S. haematobium</t>
  </si>
  <si>
    <t>-4.735-13.3703_S. mansoni</t>
  </si>
  <si>
    <t>-6.0074-13.3706_S. haematobium</t>
  </si>
  <si>
    <t>-6.0074-13.3706_S. mansoni</t>
  </si>
  <si>
    <t>-4.9137-13.3733_S. haematobium</t>
  </si>
  <si>
    <t>-4.9137-13.3733_S. mansoni</t>
  </si>
  <si>
    <t>-4.91675-13.3763_S. haematobium</t>
  </si>
  <si>
    <t>-4.91675-13.3763_S. mansoni</t>
  </si>
  <si>
    <t>-3.31605-13.3865_S. haematobium</t>
  </si>
  <si>
    <t>-3.31605-13.3865_S. mansoni</t>
  </si>
  <si>
    <t>-4.4583-13.3945_S. haematobium</t>
  </si>
  <si>
    <t>-4.4583-13.3945_S. mansoni</t>
  </si>
  <si>
    <t>-3.36092-13.3956_S. haematobium</t>
  </si>
  <si>
    <t>-3.36092-13.3956_S. mansoni</t>
  </si>
  <si>
    <t>-6.518-13.401_S. haematobium</t>
  </si>
  <si>
    <t>-6.31465-13.4188_S. haematobium</t>
  </si>
  <si>
    <t>-6.31465-13.4188_S. mansoni</t>
  </si>
  <si>
    <t>-10.6995-13.4326_S. haematobium</t>
  </si>
  <si>
    <t>-10.6995-13.4326_S. mansoni</t>
  </si>
  <si>
    <t>-6.2723-13.4327_S. haematobium</t>
  </si>
  <si>
    <t>-6.2723-13.4327_S. mansoni</t>
  </si>
  <si>
    <t>-6.1151-13.4512_S. haematobium</t>
  </si>
  <si>
    <t>-6.1151-13.4512_S. mansoni</t>
  </si>
  <si>
    <t>-5.77219-13.4558_S. haematobium</t>
  </si>
  <si>
    <t>-5.77219-13.4558_S. mansoni</t>
  </si>
  <si>
    <t>-7.3811-13.4623_S. haematobium</t>
  </si>
  <si>
    <t>-7.3811-13.4623_S. mansoni</t>
  </si>
  <si>
    <t>-6.19203-13.4828_S. haematobium</t>
  </si>
  <si>
    <t>-6.19203-13.4828_S. mansoni</t>
  </si>
  <si>
    <t>-7.4845-13.4965_S. haematobium</t>
  </si>
  <si>
    <t>-7.4845-13.4965_S. mansoni</t>
  </si>
  <si>
    <t>-3.4445-13.4984_S. haematobium</t>
  </si>
  <si>
    <t>-3.4445-13.4984_S. mansoni</t>
  </si>
  <si>
    <t>-8.24531-13.5034_S. haematobium</t>
  </si>
  <si>
    <t>-8.24531-13.5034_S. mansoni</t>
  </si>
  <si>
    <t>-10.7504-13.5079_S. haematobium</t>
  </si>
  <si>
    <t>-10.7504-13.5079_S. mansoni</t>
  </si>
  <si>
    <t>-6.15322-13.5115_S. haematobium</t>
  </si>
  <si>
    <t>-6.15322-13.5115_S. mansoni</t>
  </si>
  <si>
    <t>-4.5183-13.5207_S. haematobium</t>
  </si>
  <si>
    <t>-4.5183-13.5207_S. mansoni</t>
  </si>
  <si>
    <t>-7.217-13.533_S. haematobium</t>
  </si>
  <si>
    <t>-7.217-13.533_S. mansoni</t>
  </si>
  <si>
    <t>-11.686-13.537_S. haematobium</t>
  </si>
  <si>
    <t>-11.686-13.537_S. mansoni</t>
  </si>
  <si>
    <t>-8.2666-13.5671_S. haematobium</t>
  </si>
  <si>
    <t>-8.2666-13.5671_S. mansoni</t>
  </si>
  <si>
    <t>-7.501-13.568_S. haematobium</t>
  </si>
  <si>
    <t>-7.501-13.568_S. mansoni</t>
  </si>
  <si>
    <t>-7.3529-13.5767_S. haematobium</t>
  </si>
  <si>
    <t>-7.3529-13.5767_S. mansoni</t>
  </si>
  <si>
    <t>-3.3176-13.5847_S. haematobium</t>
  </si>
  <si>
    <t>-3.3176-13.5847_S. mansoni</t>
  </si>
  <si>
    <t>-5.7538-13.5893_S. haematobium</t>
  </si>
  <si>
    <t>-5.7538-13.5893_S. mansoni</t>
  </si>
  <si>
    <t>-4.5356-13.5965_S. haematobium</t>
  </si>
  <si>
    <t>-4.5356-13.5965_S. mansoni</t>
  </si>
  <si>
    <t>-4.9833-13.6_S. haematobium</t>
  </si>
  <si>
    <t>-4.9833-13.6_S. mansoni</t>
  </si>
  <si>
    <t>-7.0388-13.6083_S. haematobium</t>
  </si>
  <si>
    <t>-7.0388-13.6083_S. mansoni</t>
  </si>
  <si>
    <t>-8.244-13.6349_S. haematobium</t>
  </si>
  <si>
    <t>-8.244-13.6349_S. mansoni</t>
  </si>
  <si>
    <t>-4.4781-13.6376_S. haematobium</t>
  </si>
  <si>
    <t>-4.4781-13.6376_S. mansoni</t>
  </si>
  <si>
    <t>-3.6391-13.6817_S. haematobium</t>
  </si>
  <si>
    <t>-5.8343-13.6852_S. haematobium</t>
  </si>
  <si>
    <t>-5.8343-13.6852_S. mansoni</t>
  </si>
  <si>
    <t>-7.5641-13.6939_S. haematobium</t>
  </si>
  <si>
    <t>-7.5641-13.6939_S. mansoni</t>
  </si>
  <si>
    <t>-5.7569-13.7239_S. haematobium</t>
  </si>
  <si>
    <t>-5.7569-13.7239_S. mansoni</t>
  </si>
  <si>
    <t>-5.745-13.7311_S. haematobium</t>
  </si>
  <si>
    <t>-5.745-13.7311_S. mansoni</t>
  </si>
  <si>
    <t>-3.5462-13.7352_S. haematobium</t>
  </si>
  <si>
    <t>-3.5462-13.7352_S. mansoni</t>
  </si>
  <si>
    <t>-6.0375-13.7384_S. haematobium</t>
  </si>
  <si>
    <t>-6.0375-13.7384_S. mansoni</t>
  </si>
  <si>
    <t>-5.72717-13.7587_S. haematobium</t>
  </si>
  <si>
    <t>-5.72717-13.7587_S. mansoni</t>
  </si>
  <si>
    <t>-4.4667-13.7667_S. haematobium</t>
  </si>
  <si>
    <t>-4.4667-13.7667_S. mansoni</t>
  </si>
  <si>
    <t>-10.849-13.8_S. haematobium</t>
  </si>
  <si>
    <t>-5.77363-13.8096_S. mansoni</t>
  </si>
  <si>
    <t>-5.77363-13.8096_S. haematobium</t>
  </si>
  <si>
    <t>-7.46796-13.8097_S. haematobium</t>
  </si>
  <si>
    <t>-7.46796-13.8097_S. mansoni</t>
  </si>
  <si>
    <t>-3.44044-13.8166_S. haematobium</t>
  </si>
  <si>
    <t>-3.44044-13.8166_S. mansoni</t>
  </si>
  <si>
    <t>-3.43333-13.8167_S. haematobium</t>
  </si>
  <si>
    <t>-3.43333-13.8167_S. mansoni</t>
  </si>
  <si>
    <t>-6.10498-13.8345_S. haematobium</t>
  </si>
  <si>
    <t>-6.10498-13.8345_S. mansoni</t>
  </si>
  <si>
    <t>-5.6968-13.8403_S. haematobium</t>
  </si>
  <si>
    <t>-5.6968-13.8403_S. mansoni</t>
  </si>
  <si>
    <t>-3.7504-13.8417_S. haematobium</t>
  </si>
  <si>
    <t>-5.7309-13.8588_S. mansoni</t>
  </si>
  <si>
    <t>-5.7309-13.8588_S. haematobium</t>
  </si>
  <si>
    <t>-5.734-13.867_S. haematobium</t>
  </si>
  <si>
    <t>-5.734-13.867_S. mansoni</t>
  </si>
  <si>
    <t>-5.6553-13.8701_S. haematobium</t>
  </si>
  <si>
    <t>-5.6553-13.8701_S. mansoni</t>
  </si>
  <si>
    <t>-5.7117-13.8702_S. haematobium</t>
  </si>
  <si>
    <t>-5.7117-13.8702_S. mansoni</t>
  </si>
  <si>
    <t>-5.789-13.8765_S. haematobium</t>
  </si>
  <si>
    <t>-5.789-13.8765_S. mansoni</t>
  </si>
  <si>
    <t>-5.6989-13.8774_S. haematobium</t>
  </si>
  <si>
    <t>-5.6989-13.8774_S. mansoni</t>
  </si>
  <si>
    <t>-5.657-13.8788_S. mansoni</t>
  </si>
  <si>
    <t>-5.657-13.8788_S. haematobium</t>
  </si>
  <si>
    <t>-5.3627-13.8843_S. haematobium</t>
  </si>
  <si>
    <t>-5.3627-13.8843_S. mansoni</t>
  </si>
  <si>
    <t>-8.09292-13.8851_S. haematobium</t>
  </si>
  <si>
    <t>-8.09292-13.8851_S. mansoni</t>
  </si>
  <si>
    <t>-5.6158-13.8887_S. haematobium</t>
  </si>
  <si>
    <t>-5.6158-13.8887_S. mansoni</t>
  </si>
  <si>
    <t>-5.6348-13.8905_S. haematobium</t>
  </si>
  <si>
    <t>-5.6348-13.8905_S. mansoni</t>
  </si>
  <si>
    <t>-5.7245-13.9001_S. mansoni</t>
  </si>
  <si>
    <t>-5.7245-13.9001_S. haematobium</t>
  </si>
  <si>
    <t>-7.468-13.917_S. haematobium</t>
  </si>
  <si>
    <t>-7.468-13.917_S. mansoni</t>
  </si>
  <si>
    <t>-5.6635-13.9174_S. haematobium</t>
  </si>
  <si>
    <t>-5.6635-13.9174_S. mansoni</t>
  </si>
  <si>
    <t>-5.9758-13.9295_S. haematobium</t>
  </si>
  <si>
    <t>-5.9758-13.9295_S. mansoni</t>
  </si>
  <si>
    <t>-5.3596-13.9313_S. haematobium</t>
  </si>
  <si>
    <t>-5.3596-13.9313_S. mansoni</t>
  </si>
  <si>
    <t>-5.6185-13.935_S. haematobium</t>
  </si>
  <si>
    <t>-5.6185-13.935_S. mansoni</t>
  </si>
  <si>
    <t>-5.6018-13.9436_S. haematobium</t>
  </si>
  <si>
    <t>-5.6018-13.9436_S. mansoni</t>
  </si>
  <si>
    <t>-5.634-13.949_S. haematobium</t>
  </si>
  <si>
    <t>-5.634-13.949_S. mansoni</t>
  </si>
  <si>
    <t>-5.6293-13.9502_S. mansoni</t>
  </si>
  <si>
    <t>-5.6293-13.9502_S. haematobium</t>
  </si>
  <si>
    <t>-5.5316-13.9549_S. haematobium</t>
  </si>
  <si>
    <t>-5.5316-13.9549_S. mansoni</t>
  </si>
  <si>
    <t>-5.5116-13.9647_S. haematobium</t>
  </si>
  <si>
    <t>-5.5116-13.9647_S. mansoni</t>
  </si>
  <si>
    <t>-10.335-13.966_S. haematobium</t>
  </si>
  <si>
    <t>-10.335-13.966_S. mansoni</t>
  </si>
  <si>
    <t>-5.501-13.966_S. haematobium</t>
  </si>
  <si>
    <t>-5.501-13.966_S. mansoni</t>
  </si>
  <si>
    <t>-5.6175-13.9687_S. haematobium</t>
  </si>
  <si>
    <t>-5.6175-13.9687_S. mansoni</t>
  </si>
  <si>
    <t>-5.4901-13.9689_S. haematobium</t>
  </si>
  <si>
    <t>-5.4901-13.9689_S. mansoni</t>
  </si>
  <si>
    <t>-5.08477-13.9704_S. haematobium</t>
  </si>
  <si>
    <t>-5.08477-13.9704_S. mansoni</t>
  </si>
  <si>
    <t>-5.6131-13.9752_S. haematobium</t>
  </si>
  <si>
    <t>-5.6131-13.9752_S. mansoni</t>
  </si>
  <si>
    <t>-5.483-13.9774_S. haematobium</t>
  </si>
  <si>
    <t>-5.483-13.9774_S. mansoni</t>
  </si>
  <si>
    <t>-3.5811-13.9795_S. haematobium</t>
  </si>
  <si>
    <t>-3.5811-13.9795_S. mansoni</t>
  </si>
  <si>
    <t>-5.43333-13.9833_S. haematobium</t>
  </si>
  <si>
    <t>-5.43333-13.9833_S. mansoni</t>
  </si>
  <si>
    <t>-3.5615-13.9924_S. haematobium</t>
  </si>
  <si>
    <t>-3.5615-13.9924_S. mansoni</t>
  </si>
  <si>
    <t>-3.17621-14.009_S. haematobium</t>
  </si>
  <si>
    <t>-3.17621-14.009_S. mansoni</t>
  </si>
  <si>
    <t>-10.869-14.017_S. haematobium</t>
  </si>
  <si>
    <t>-10.869-14.017_S. mansoni</t>
  </si>
  <si>
    <t>-3.4348-14.0203_S. haematobium</t>
  </si>
  <si>
    <t>-3.4348-14.0203_S. mansoni</t>
  </si>
  <si>
    <t>-5.32634-14.0474_S. haematobium</t>
  </si>
  <si>
    <t>-5.32634-14.0474_S. mansoni</t>
  </si>
  <si>
    <t>-5.0639-14.0521_S. haematobium</t>
  </si>
  <si>
    <t>-5.0639-14.0521_S. mansoni</t>
  </si>
  <si>
    <t>-4.18-14.06_S. haematobium</t>
  </si>
  <si>
    <t>-4.18-14.06_S. mansoni</t>
  </si>
  <si>
    <t>-4.185-14.067_S. haematobium</t>
  </si>
  <si>
    <t>-4.185-14.067_S. mansoni</t>
  </si>
  <si>
    <t>-5.48512-14.0689_S. haematobium</t>
  </si>
  <si>
    <t>-5.48512-14.0689_S. mansoni</t>
  </si>
  <si>
    <t>-4.9844-14.0777_S. haematobium</t>
  </si>
  <si>
    <t>-4.9844-14.0777_S. mansoni</t>
  </si>
  <si>
    <t>-5.45-14.083_S. haematobium</t>
  </si>
  <si>
    <t>-5.45-14.083_S. mansoni</t>
  </si>
  <si>
    <t>-9.585-14.102_S. haematobium</t>
  </si>
  <si>
    <t>-9.585-14.102_S. mansoni</t>
  </si>
  <si>
    <t>-4.49299-14.1064_S. haematobium</t>
  </si>
  <si>
    <t>-4.49299-14.1064_S. mansoni</t>
  </si>
  <si>
    <t>-5.768-14.1223_S. haematobium</t>
  </si>
  <si>
    <t>-5.768-14.1223_S. mansoni</t>
  </si>
  <si>
    <t>-4.59386-14.1393_S. haematobium</t>
  </si>
  <si>
    <t>-4.59386-14.1393_S. mansoni</t>
  </si>
  <si>
    <t>-3.61839-14.1403_S. mansoni</t>
  </si>
  <si>
    <t>-3.61839-14.1403_S. haematobium</t>
  </si>
  <si>
    <t>-5.9775-14.1418_S. haematobium</t>
  </si>
  <si>
    <t>-5.9775-14.1418_S. mansoni</t>
  </si>
  <si>
    <t>-3.59459-14.1458_S. mansoni</t>
  </si>
  <si>
    <t>-3.59459-14.1458_S. haematobium</t>
  </si>
  <si>
    <t>-6.0958-14.1477_S. haematobium</t>
  </si>
  <si>
    <t>-6.0958-14.1477_S. mansoni</t>
  </si>
  <si>
    <t>-6.034-14.148_S. haematobium</t>
  </si>
  <si>
    <t>-6.034-14.148_S. mansoni</t>
  </si>
  <si>
    <t>-4.99347-14.1499_S. haematobium</t>
  </si>
  <si>
    <t>-4.99347-14.1499_S. mansoni</t>
  </si>
  <si>
    <t>-4.50891-14.1525_S. haematobium</t>
  </si>
  <si>
    <t>-4.50891-14.1525_S. mansoni</t>
  </si>
  <si>
    <t>-3.49057-14.1545_S. haematobium</t>
  </si>
  <si>
    <t>-3.49057-14.1545_S. mansoni</t>
  </si>
  <si>
    <t>-6.0277-14.1557_S. haematobium</t>
  </si>
  <si>
    <t>-6.0277-14.1557_S. mansoni</t>
  </si>
  <si>
    <t>-6.00048-14.1565_S. haematobium</t>
  </si>
  <si>
    <t>-6.00048-14.1565_S. mansoni</t>
  </si>
  <si>
    <t>-5.015-14.1587_S. haematobium</t>
  </si>
  <si>
    <t>-5.015-14.1587_S. mansoni</t>
  </si>
  <si>
    <t>-3.5637-14.1603_S. mansoni</t>
  </si>
  <si>
    <t>-3.5637-14.1603_S. haematobium</t>
  </si>
  <si>
    <t>-3.5494-14.1726_S. mansoni</t>
  </si>
  <si>
    <t>-3.5494-14.1726_S. haematobium</t>
  </si>
  <si>
    <t>-11.2468-14.177_S. haematobium</t>
  </si>
  <si>
    <t>-11.2468-14.177_S. mansoni</t>
  </si>
  <si>
    <t>-4.12021-14.1792_S. haematobium</t>
  </si>
  <si>
    <t>-4.12021-14.1792_S. mansoni</t>
  </si>
  <si>
    <t>-6.02502-14.1798_S. haematobium</t>
  </si>
  <si>
    <t>-6.02502-14.1798_S. mansoni</t>
  </si>
  <si>
    <t>-3.53079-14.1825_S. mansoni</t>
  </si>
  <si>
    <t>-3.53079-14.1825_S. haematobium</t>
  </si>
  <si>
    <t>-6.5098-14.2013_S. haematobium</t>
  </si>
  <si>
    <t>-6.5098-14.2013_S. mansoni</t>
  </si>
  <si>
    <t>-6.00937-14.2043_S. haematobium</t>
  </si>
  <si>
    <t>-6.00937-14.2043_S. mansoni</t>
  </si>
  <si>
    <t>-6.08008-14.2126_S. haematobium</t>
  </si>
  <si>
    <t>-3.619-14.218_S. haematobium</t>
  </si>
  <si>
    <t>-3.619-14.218_S. mansoni</t>
  </si>
  <si>
    <t>-2.1636-14.2187_S. haematobium</t>
  </si>
  <si>
    <t>-2.1636-14.2187_S. mansoni</t>
  </si>
  <si>
    <t>-3.61219-14.2206_S. haematobium</t>
  </si>
  <si>
    <t>-3.61219-14.2206_S. mansoni</t>
  </si>
  <si>
    <t>-4.49593-14.2223_S. haematobium</t>
  </si>
  <si>
    <t>-4.49593-14.2223_S. mansoni</t>
  </si>
  <si>
    <t>-5.00211-14.2252_S. haematobium</t>
  </si>
  <si>
    <t>-5.00211-14.2252_S. mansoni</t>
  </si>
  <si>
    <t>-4.62368-14.2263_S. haematobium</t>
  </si>
  <si>
    <t>-4.62368-14.2263_S. mansoni</t>
  </si>
  <si>
    <t>-3.52899-14.2271_S. haematobium</t>
  </si>
  <si>
    <t>-3.52899-14.2271_S. mansoni</t>
  </si>
  <si>
    <t>-5.9896-14.2276_S. haematobium</t>
  </si>
  <si>
    <t>-5.9896-14.2276_S. mansoni</t>
  </si>
  <si>
    <t>-6.03333-14.2333_S. haematobium</t>
  </si>
  <si>
    <t>-6.03333-14.2333_S. mansoni</t>
  </si>
  <si>
    <t>-6.0241-14.2387_S. mansoni</t>
  </si>
  <si>
    <t>-6.0241-14.2387_S. haematobium</t>
  </si>
  <si>
    <t>-3.5762-14.2429_S. haematobium</t>
  </si>
  <si>
    <t>-3.5762-14.2429_S. mansoni</t>
  </si>
  <si>
    <t>-2.883-14.2451_S. haematobium</t>
  </si>
  <si>
    <t>-2.883-14.2451_S. mansoni</t>
  </si>
  <si>
    <t>-11.2557-14.2462_S. haematobium</t>
  </si>
  <si>
    <t>-11.2557-14.2462_S. mansoni</t>
  </si>
  <si>
    <t>-5.993-14.2526_S. haematobium</t>
  </si>
  <si>
    <t>-5.993-14.2526_S. mansoni</t>
  </si>
  <si>
    <t>-3.60909-14.2639_S. haematobium</t>
  </si>
  <si>
    <t>-3.60909-14.2639_S. mansoni</t>
  </si>
  <si>
    <t>-2.8276-14.2704_S. haematobium</t>
  </si>
  <si>
    <t>-2.8276-14.2704_S. mansoni</t>
  </si>
  <si>
    <t>-6.04741-14.2829_S. haematobium</t>
  </si>
  <si>
    <t>-6.04741-14.2829_S. mansoni</t>
  </si>
  <si>
    <t>-3.4592-14.2836_S. haematobium</t>
  </si>
  <si>
    <t>-3.4592-14.2836_S. mansoni</t>
  </si>
  <si>
    <t>-3.5324-14.2844_S. haematobium</t>
  </si>
  <si>
    <t>-3.5324-14.2844_S. mansoni</t>
  </si>
  <si>
    <t>-6.0129-14.2861_S. haematobium</t>
  </si>
  <si>
    <t>-6.0129-14.2861_S. mansoni</t>
  </si>
  <si>
    <t>-5.9846-14.289_S. haematobium</t>
  </si>
  <si>
    <t>-5.9846-14.289_S. mansoni</t>
  </si>
  <si>
    <t>-3.70569-14.292_S. haematobium</t>
  </si>
  <si>
    <t>-3.70569-14.292_S. mansoni</t>
  </si>
  <si>
    <t>-3.42382-14.2949_S. haematobium</t>
  </si>
  <si>
    <t>-3.42382-14.2949_S. mansoni</t>
  </si>
  <si>
    <t>-3.60201-14.2954_S. haematobium</t>
  </si>
  <si>
    <t>-3.60201-14.2954_S. mansoni</t>
  </si>
  <si>
    <t>-3.48549-14.2976_S. haematobium</t>
  </si>
  <si>
    <t>-3.48549-14.2976_S. mansoni</t>
  </si>
  <si>
    <t>-3.4574-14.2983_S. haematobium</t>
  </si>
  <si>
    <t>-3.4574-14.2983_S. mansoni</t>
  </si>
  <si>
    <t>-3.703-14.301_S. haematobium</t>
  </si>
  <si>
    <t>-3.42859-14.3027_S. haematobium</t>
  </si>
  <si>
    <t>-3.42859-14.3027_S. mansoni</t>
  </si>
  <si>
    <t>-3.43181-14.3041_S. haematobium</t>
  </si>
  <si>
    <t>-3.43181-14.3041_S. mansoni</t>
  </si>
  <si>
    <t>-5.95994-14.3079_S. mansoni</t>
  </si>
  <si>
    <t>-5.95994-14.3079_S. haematobium</t>
  </si>
  <si>
    <t>-3.568-14.3079_S. haematobium</t>
  </si>
  <si>
    <t>-3.568-14.3079_S. mansoni</t>
  </si>
  <si>
    <t>-5.95668-14.3085_S. haematobium</t>
  </si>
  <si>
    <t>-5.95668-14.3085_S. mansoni</t>
  </si>
  <si>
    <t>-3.5358-14.315_S. haematobium</t>
  </si>
  <si>
    <t>-3.66002-14.32_S. haematobium</t>
  </si>
  <si>
    <t>-5.9562-14.3247_S. mansoni</t>
  </si>
  <si>
    <t>-5.9562-14.3247_S. haematobium</t>
  </si>
  <si>
    <t>-3.55439-14.3312_S. mansoni</t>
  </si>
  <si>
    <t>-3.55439-14.3312_S. haematobium</t>
  </si>
  <si>
    <t>-3.5256-14.3327_S. haematobium</t>
  </si>
  <si>
    <t>-3.5256-14.3327_S. mansoni</t>
  </si>
  <si>
    <t>-3.552-14.333_S. haematobium</t>
  </si>
  <si>
    <t>-3.552-14.333_S. mansoni</t>
  </si>
  <si>
    <t>-6.00217-14.3338_S. haematobium</t>
  </si>
  <si>
    <t>-6.00217-14.3338_S. mansoni</t>
  </si>
  <si>
    <t>-6.02148-14.3356_S. haematobium</t>
  </si>
  <si>
    <t>-6.02148-14.3356_S. mansoni</t>
  </si>
  <si>
    <t>-3.38879-14.3395_S. haematobium</t>
  </si>
  <si>
    <t>-3.38879-14.3395_S. mansoni</t>
  </si>
  <si>
    <t>-5.945-14.3403_S. mansoni</t>
  </si>
  <si>
    <t>-5.945-14.3403_S. haematobium</t>
  </si>
  <si>
    <t>-3.44109-14.3414_S. haematobium</t>
  </si>
  <si>
    <t>-3.44109-14.3414_S. mansoni</t>
  </si>
  <si>
    <t>-4.958-14.346_S. haematobium</t>
  </si>
  <si>
    <t>-4.958-14.346_S. mansoni</t>
  </si>
  <si>
    <t>-3.60879-14.348_S. haematobium</t>
  </si>
  <si>
    <t>-3.60879-14.348_S. mansoni</t>
  </si>
  <si>
    <t>-3.61667-14.35_S. mansoni</t>
  </si>
  <si>
    <t>-3.61667-14.35_S. haematobium</t>
  </si>
  <si>
    <t>-5.986-14.353_S. haematobium</t>
  </si>
  <si>
    <t>-5.986-14.353_S. mansoni</t>
  </si>
  <si>
    <t>-3.47639-14.3589_S. haematobium</t>
  </si>
  <si>
    <t>-3.47639-14.3589_S. mansoni</t>
  </si>
  <si>
    <t>-5.91323-14.3614_S. mansoni</t>
  </si>
  <si>
    <t>-5.91323-14.3614_S. haematobium</t>
  </si>
  <si>
    <t>-2.3648-14.3622_S. haematobium</t>
  </si>
  <si>
    <t>-2.3648-14.3622_S. mansoni</t>
  </si>
  <si>
    <t>-5.98333-14.3667_S. haematobium</t>
  </si>
  <si>
    <t>-5.98333-14.3667_S. mansoni</t>
  </si>
  <si>
    <t>-3.7-14.3667_S. haematobium</t>
  </si>
  <si>
    <t>-3.7-14.3667_S. mansoni</t>
  </si>
  <si>
    <t>-5.9771-14.3751_S. haematobium</t>
  </si>
  <si>
    <t>-5.9771-14.3751_S. mansoni</t>
  </si>
  <si>
    <t>-2.39517-14.38_S. haematobium</t>
  </si>
  <si>
    <t>-2.39517-14.38_S. mansoni</t>
  </si>
  <si>
    <t>-5.96089-14.3814_S. haematobium</t>
  </si>
  <si>
    <t>-5.96089-14.3814_S. mansoni</t>
  </si>
  <si>
    <t>-3.34803-14.3824_S. haematobium</t>
  </si>
  <si>
    <t>-3.34803-14.3824_S. mansoni</t>
  </si>
  <si>
    <t>-3.5462-14.3837_S. haematobium</t>
  </si>
  <si>
    <t>-3.5462-14.3837_S. mansoni</t>
  </si>
  <si>
    <t>-6.00138-14.3909_S. haematobium</t>
  </si>
  <si>
    <t>-6.00138-14.3909_S. mansoni</t>
  </si>
  <si>
    <t>-4.03034-14.3916_S. haematobium</t>
  </si>
  <si>
    <t>-4.03034-14.3916_S. mansoni</t>
  </si>
  <si>
    <t>-5.9753-14.3985_S. haematobium</t>
  </si>
  <si>
    <t>-5.9753-14.3985_S. mansoni</t>
  </si>
  <si>
    <t>-4.137-14.4_S. haematobium</t>
  </si>
  <si>
    <t>-4.137-14.4_S. mansoni</t>
  </si>
  <si>
    <t>-5.8778-14.4011_S. haematobium</t>
  </si>
  <si>
    <t>-5.8778-14.4011_S. mansoni</t>
  </si>
  <si>
    <t>-3.4207-14.4053_S. haematobium</t>
  </si>
  <si>
    <t>-3.4207-14.4053_S. mansoni</t>
  </si>
  <si>
    <t>-4.92503-14.4059_S. haematobium</t>
  </si>
  <si>
    <t>-4.92503-14.4059_S. mansoni</t>
  </si>
  <si>
    <t>-3.74979-14.406_S. haematobium</t>
  </si>
  <si>
    <t>-3.74979-14.406_S. mansoni</t>
  </si>
  <si>
    <t>-3.491-14.407_S. haematobium</t>
  </si>
  <si>
    <t>-3.491-14.407_S. mansoni</t>
  </si>
  <si>
    <t>-3.45449-14.409_S. haematobium</t>
  </si>
  <si>
    <t>-3.45449-14.409_S. mansoni</t>
  </si>
  <si>
    <t>-3.20593-14.4093_S. haematobium</t>
  </si>
  <si>
    <t>-3.20593-14.4093_S. mansoni</t>
  </si>
  <si>
    <t>-3.51089-14.4099_S. haematobium</t>
  </si>
  <si>
    <t>-3.51089-14.4099_S. mansoni</t>
  </si>
  <si>
    <t>-3.53659-14.4114_S. haematobium</t>
  </si>
  <si>
    <t>-3.53659-14.4114_S. mansoni</t>
  </si>
  <si>
    <t>-5.98055-14.4153_S. haematobium</t>
  </si>
  <si>
    <t>-5.98055-14.4153_S. mansoni</t>
  </si>
  <si>
    <t>-3.53333-14.4167_S. haematobium</t>
  </si>
  <si>
    <t>-3.53333-14.4167_S. mansoni</t>
  </si>
  <si>
    <t>-3.752-14.418_S. haematobium</t>
  </si>
  <si>
    <t>-3.752-14.418_S. mansoni</t>
  </si>
  <si>
    <t>-3.41779-14.4197_S. haematobium</t>
  </si>
  <si>
    <t>-3.41779-14.4197_S. mansoni</t>
  </si>
  <si>
    <t>-3.40743-14.4245_S. haematobium</t>
  </si>
  <si>
    <t>-3.40743-14.4245_S. mansoni</t>
  </si>
  <si>
    <t>-3.39908-14.4272_S. haematobium</t>
  </si>
  <si>
    <t>-3.39908-14.4272_S. mansoni</t>
  </si>
  <si>
    <t>-3.30703-14.4329_S. haematobium</t>
  </si>
  <si>
    <t>-3.30703-14.4329_S. mansoni</t>
  </si>
  <si>
    <t>-5.9753-14.4377_S. mansoni</t>
  </si>
  <si>
    <t>-5.9753-14.4377_S. haematobium</t>
  </si>
  <si>
    <t>-3.58563-14.439_S. haematobium</t>
  </si>
  <si>
    <t>-4.20138-14.4395_S. haematobium</t>
  </si>
  <si>
    <t>-4.20138-14.4395_S. mansoni</t>
  </si>
  <si>
    <t>-3.48489-14.4397_S. haematobium</t>
  </si>
  <si>
    <t>-3.48489-14.4397_S. mansoni</t>
  </si>
  <si>
    <t>-3.28661-14.4483_S. haematobium</t>
  </si>
  <si>
    <t>-3.28661-14.4483_S. mansoni</t>
  </si>
  <si>
    <t>-4.914-14.449_S. haematobium</t>
  </si>
  <si>
    <t>-4.914-14.449_S. mansoni</t>
  </si>
  <si>
    <t>-5.91813-14.4502_S. haematobium</t>
  </si>
  <si>
    <t>-5.91813-14.4502_S. mansoni</t>
  </si>
  <si>
    <t>-11.432-14.452_S. haematobium</t>
  </si>
  <si>
    <t>-11.432-14.452_S. mansoni</t>
  </si>
  <si>
    <t>-5.9806-14.4576_S. mansoni</t>
  </si>
  <si>
    <t>-5.9806-14.4576_S. haematobium</t>
  </si>
  <si>
    <t>-3.30833-14.4583_S. haematobium</t>
  </si>
  <si>
    <t>-3.30833-14.4583_S. mansoni</t>
  </si>
  <si>
    <t>-2.82814-14.4592_S. haematobium</t>
  </si>
  <si>
    <t>-2.82814-14.4592_S. mansoni</t>
  </si>
  <si>
    <t>-3.40013-14.4593_S. haematobium</t>
  </si>
  <si>
    <t>-3.40013-14.4593_S. mansoni</t>
  </si>
  <si>
    <t>-3.28623-14.4615_S. haematobium</t>
  </si>
  <si>
    <t>-3.28623-14.4615_S. mansoni</t>
  </si>
  <si>
    <t>-5.98776-14.4629_S. haematobium</t>
  </si>
  <si>
    <t>-5.98776-14.4629_S. mansoni</t>
  </si>
  <si>
    <t>-5.89862-14.4653_S. haematobium</t>
  </si>
  <si>
    <t>-5.89862-14.4653_S. mansoni</t>
  </si>
  <si>
    <t>-3.38333-14.4667_S. haematobium</t>
  </si>
  <si>
    <t>-3.38333-14.4667_S. mansoni</t>
  </si>
  <si>
    <t>-3.30417-14.4667_S. haematobium</t>
  </si>
  <si>
    <t>-3.30417-14.4667_S. mansoni</t>
  </si>
  <si>
    <t>-3.31383-14.4671_S. haematobium</t>
  </si>
  <si>
    <t>-3.31383-14.4671_S. mansoni</t>
  </si>
  <si>
    <t>-3.28899-14.4691_S. haematobium</t>
  </si>
  <si>
    <t>-3.28899-14.4691_S. mansoni</t>
  </si>
  <si>
    <t>-5.98672-14.4694_S. haematobium</t>
  </si>
  <si>
    <t>-5.98672-14.4694_S. mansoni</t>
  </si>
  <si>
    <t>-3.40793-14.4706_S. haematobium</t>
  </si>
  <si>
    <t>-3.40793-14.4706_S. mansoni</t>
  </si>
  <si>
    <t>-3.38203-14.4728_S. haematobium</t>
  </si>
  <si>
    <t>-3.38203-14.4728_S. mansoni</t>
  </si>
  <si>
    <t>-3.30763-14.4766_S. haematobium</t>
  </si>
  <si>
    <t>-3.30763-14.4766_S. mansoni</t>
  </si>
  <si>
    <t>-4.18342-14.4788_S. haematobium</t>
  </si>
  <si>
    <t>-4.18342-14.4788_S. mansoni</t>
  </si>
  <si>
    <t>-5.99152-14.4798_S. haematobium</t>
  </si>
  <si>
    <t>-5.99152-14.4798_S. mansoni</t>
  </si>
  <si>
    <t>-4.186-14.483_S. haematobium</t>
  </si>
  <si>
    <t>-4.186-14.483_S. mansoni</t>
  </si>
  <si>
    <t>-11.5652-14.4853_S. haematobium</t>
  </si>
  <si>
    <t>-11.5652-14.4853_S. mansoni</t>
  </si>
  <si>
    <t>-4.19283-14.4891_S. haematobium</t>
  </si>
  <si>
    <t>-4.19283-14.4891_S. mansoni</t>
  </si>
  <si>
    <t>-11.5303-14.4907_S. haematobium</t>
  </si>
  <si>
    <t>-11.5303-14.4907_S. mansoni</t>
  </si>
  <si>
    <t>-3.9047-14.4951_S. haematobium</t>
  </si>
  <si>
    <t>-3.9047-14.4951_S. mansoni</t>
  </si>
  <si>
    <t>-3.469-14.499_S. haematobium</t>
  </si>
  <si>
    <t>-2.1307-14.5062_S. haematobium</t>
  </si>
  <si>
    <t>-2.1307-14.5062_S. mansoni</t>
  </si>
  <si>
    <t>-3.79769-14.5114_S. haematobium</t>
  </si>
  <si>
    <t>-3.79769-14.5114_S. mansoni</t>
  </si>
  <si>
    <t>-2.0999-14.5166_S. haematobium</t>
  </si>
  <si>
    <t>-2.0999-14.5166_S. mansoni</t>
  </si>
  <si>
    <t>-3.5667-14.5167_S. haematobium</t>
  </si>
  <si>
    <t>-4.21225-14.526_S. haematobium</t>
  </si>
  <si>
    <t>-4.21225-14.526_S. mansoni</t>
  </si>
  <si>
    <t>-3.45103-14.5298_S. haematobium</t>
  </si>
  <si>
    <t>-3.45103-14.5298_S. mansoni</t>
  </si>
  <si>
    <t>-3.46496-14.5324_S. haematobium</t>
  </si>
  <si>
    <t>-3.46496-14.5324_S. mansoni</t>
  </si>
  <si>
    <t>-4.08125-14.558_S. haematobium</t>
  </si>
  <si>
    <t>-4.08125-14.558_S. mansoni</t>
  </si>
  <si>
    <t>-3.44379-14.5605_S. haematobium</t>
  </si>
  <si>
    <t>-3.44379-14.5605_S. mansoni</t>
  </si>
  <si>
    <t>-3.3878-14.5655_S. haematobium</t>
  </si>
  <si>
    <t>-3.3878-14.5655_S. mansoni</t>
  </si>
  <si>
    <t>-4.17759-14.5947_S. haematobium</t>
  </si>
  <si>
    <t>-4.17759-14.5947_S. mansoni</t>
  </si>
  <si>
    <t>-3.54919-14.5978_S. haematobium</t>
  </si>
  <si>
    <t>-3.54919-14.5978_S. mansoni</t>
  </si>
  <si>
    <t>-10.35-14.6_S. haematobium</t>
  </si>
  <si>
    <t>-10.35-14.6_S. mansoni</t>
  </si>
  <si>
    <t>-3.49722-14.6097_S. haematobium</t>
  </si>
  <si>
    <t>-3.49722-14.6097_S. mansoni</t>
  </si>
  <si>
    <t>-11.8447-14.61_S. haematobium</t>
  </si>
  <si>
    <t>-11.8447-14.61_S. mansoni</t>
  </si>
  <si>
    <t>-3.55269-14.6125_S. haematobium</t>
  </si>
  <si>
    <t>-3.55269-14.6125_S. mansoni</t>
  </si>
  <si>
    <t>-3.50278-14.6139_S. haematobium</t>
  </si>
  <si>
    <t>-3.50278-14.6139_S. mansoni</t>
  </si>
  <si>
    <t>-4.77-14.616_S. haematobium</t>
  </si>
  <si>
    <t>-4.77-14.616_S. mansoni</t>
  </si>
  <si>
    <t>-3.47969-14.6165_S. haematobium</t>
  </si>
  <si>
    <t>-3.47969-14.6165_S. mansoni</t>
  </si>
  <si>
    <t>-3.53859-14.6195_S. haematobium</t>
  </si>
  <si>
    <t>-3.53859-14.6195_S. mansoni</t>
  </si>
  <si>
    <t>-3.51529-14.6266_S. mansoni</t>
  </si>
  <si>
    <t>-3.51529-14.6266_S. haematobium</t>
  </si>
  <si>
    <t>-11.019-14.634_S. haematobium</t>
  </si>
  <si>
    <t>-11.019-14.634_S. mansoni</t>
  </si>
  <si>
    <t>-5.96045-14.6519_S. mansoni</t>
  </si>
  <si>
    <t>-5.96045-14.6519_S. haematobium</t>
  </si>
  <si>
    <t>-6.03321-14.6519_S. haematobium</t>
  </si>
  <si>
    <t>-6.03321-14.6519_S. mansoni</t>
  </si>
  <si>
    <t>-3.19553-14.656_S. haematobium</t>
  </si>
  <si>
    <t>-3.19553-14.656_S. mansoni</t>
  </si>
  <si>
    <t>-4.09882-14.6564_S. haematobium</t>
  </si>
  <si>
    <t>-4.09882-14.6564_S. mansoni</t>
  </si>
  <si>
    <t>-6.0068-14.6576_S. haematobium</t>
  </si>
  <si>
    <t>-6.0068-14.6576_S. mansoni</t>
  </si>
  <si>
    <t>-3.1811-14.6674_S. haematobium</t>
  </si>
  <si>
    <t>-3.1811-14.6674_S. mansoni</t>
  </si>
  <si>
    <t>-11.9709-14.6693_S. haematobium</t>
  </si>
  <si>
    <t>-11.9709-14.6693_S. mansoni</t>
  </si>
  <si>
    <t>-3.50735-14.6724_S. mansoni</t>
  </si>
  <si>
    <t>-4.18822-14.6754_S. haematobium</t>
  </si>
  <si>
    <t>-4.18822-14.6754_S. mansoni</t>
  </si>
  <si>
    <t>-3.17893-14.6786_S. haematobium</t>
  </si>
  <si>
    <t>-3.27329-14.686_S. haematobium</t>
  </si>
  <si>
    <t>-3.27329-14.686_S. mansoni</t>
  </si>
  <si>
    <t>-4.05-14.7_S. haematobium</t>
  </si>
  <si>
    <t>-4.05-14.7_S. mansoni</t>
  </si>
  <si>
    <t>-3.06629-14.7247_S. haematobium</t>
  </si>
  <si>
    <t>-6.0809-14.7465_S. haematobium</t>
  </si>
  <si>
    <t>-6.0809-14.7465_S. mansoni</t>
  </si>
  <si>
    <t>-4.002-14.764_S. haematobium</t>
  </si>
  <si>
    <t>-4.002-14.764_S. mansoni</t>
  </si>
  <si>
    <t>-6.0208-14.7997_S. haematobium</t>
  </si>
  <si>
    <t>-6.0208-14.7997_S. mansoni</t>
  </si>
  <si>
    <t>-3.7583-14.8052_S. haematobium</t>
  </si>
  <si>
    <t>-3.7583-14.8052_S. mansoni</t>
  </si>
  <si>
    <t>-6.0182-14.8059_S. haematobium</t>
  </si>
  <si>
    <t>-6.0182-14.8059_S. mansoni</t>
  </si>
  <si>
    <t>-5.99653-14.8328_S. haematobium</t>
  </si>
  <si>
    <t>-5.99653-14.8328_S. mansoni</t>
  </si>
  <si>
    <t>-6.03317-14.8364_S. haematobium</t>
  </si>
  <si>
    <t>-6.03317-14.8364_S. mansoni</t>
  </si>
  <si>
    <t>-6.02023-14.8608_S. haematobium</t>
  </si>
  <si>
    <t>-6.02023-14.8608_S. mansoni</t>
  </si>
  <si>
    <t>-3.933-14.868_S. haematobium</t>
  </si>
  <si>
    <t>-3.933-14.868_S. mansoni</t>
  </si>
  <si>
    <t>-11.6463-14.9212_S. haematobium</t>
  </si>
  <si>
    <t>-11.6463-14.9212_S. mansoni</t>
  </si>
  <si>
    <t>-3.89309-14.9462_S. haematobium</t>
  </si>
  <si>
    <t>-11.5856-14.9655_S. haematobium</t>
  </si>
  <si>
    <t>-11.5856-14.9655_S. mansoni</t>
  </si>
  <si>
    <t>-4.43041-14.9984_S. haematobium</t>
  </si>
  <si>
    <t>-4.43041-14.9984_S. mansoni</t>
  </si>
  <si>
    <t>-10.3832-15.0106_S. haematobium</t>
  </si>
  <si>
    <t>-10.3832-15.0106_S. mansoni</t>
  </si>
  <si>
    <t>-10.386-15.016_S. haematobium</t>
  </si>
  <si>
    <t>-10.386-15.016_S. mansoni</t>
  </si>
  <si>
    <t>-4.4533-15.0615_S. haematobium</t>
  </si>
  <si>
    <t>-11.6512-15.0894_S. haematobium</t>
  </si>
  <si>
    <t>-11.6512-15.0894_S. mansoni</t>
  </si>
  <si>
    <t>-10.572-15.118_S. haematobium</t>
  </si>
  <si>
    <t>-10.572-15.118_S. mansoni</t>
  </si>
  <si>
    <t>-10.5773-15.1187_S. haematobium</t>
  </si>
  <si>
    <t>-10.5773-15.1187_S. mansoni</t>
  </si>
  <si>
    <t>-4.5338-15.1481_S. haematobium</t>
  </si>
  <si>
    <t>-4.5338-15.1481_S. mansoni</t>
  </si>
  <si>
    <t>-4.4312-15.1686_S. haematobium</t>
  </si>
  <si>
    <t>-4.4312-15.1686_S. mansoni</t>
  </si>
  <si>
    <t>-10.2029-15.1732_S. haematobium</t>
  </si>
  <si>
    <t>-10.2029-15.1732_S. mansoni</t>
  </si>
  <si>
    <t>-11.7876-15.1877_S. haematobium</t>
  </si>
  <si>
    <t>-11.7876-15.1877_S. mansoni</t>
  </si>
  <si>
    <t>-4.4281-15.1879_S. haematobium</t>
  </si>
  <si>
    <t>-4.4281-15.1879_S. mansoni</t>
  </si>
  <si>
    <t>-10.2598-15.1984_S. haematobium</t>
  </si>
  <si>
    <t>-10.2598-15.1984_S. mansoni</t>
  </si>
  <si>
    <t>-3.7632-15.279_S. haematobium</t>
  </si>
  <si>
    <t>-3.7632-15.279_S. mansoni</t>
  </si>
  <si>
    <t>-10.141-15.3495_S. haematobium</t>
  </si>
  <si>
    <t>-10.141-15.3495_S. mansoni</t>
  </si>
  <si>
    <t>-10.3458-15.3505_S. haematobium</t>
  </si>
  <si>
    <t>-10.3458-15.3505_S. mansoni</t>
  </si>
  <si>
    <t>-11.6105-15.3728_S. haematobium</t>
  </si>
  <si>
    <t>-11.6105-15.3728_S. mansoni</t>
  </si>
  <si>
    <t>-3.8692-15.3739_S. haematobium</t>
  </si>
  <si>
    <t>-3.8692-15.3739_S. mansoni</t>
  </si>
  <si>
    <t>-3.8678-15.4081_S. haematobium</t>
  </si>
  <si>
    <t>-3.8678-15.4081_S. mansoni</t>
  </si>
  <si>
    <t>0.7461-15.4235</t>
  </si>
  <si>
    <t>0.7461-15.4235_S. haematobium</t>
  </si>
  <si>
    <t>0.7461-15.4235_S. mansoni</t>
  </si>
  <si>
    <t>-10.2801-15.4262_S. haematobium</t>
  </si>
  <si>
    <t>-10.2801-15.4262_S. mansoni</t>
  </si>
  <si>
    <t>-3.4958-15.4632_S. haematobium</t>
  </si>
  <si>
    <t>-3.4958-15.4632_S. mansoni</t>
  </si>
  <si>
    <t>-3.9707-15.4655_S. haematobium</t>
  </si>
  <si>
    <t>-3.9707-15.4655_S. mansoni</t>
  </si>
  <si>
    <t>0.6941-15.4729</t>
  </si>
  <si>
    <t>0.6941-15.4729_S. haematobium</t>
  </si>
  <si>
    <t>0.6941-15.4729_S. mansoni</t>
  </si>
  <si>
    <t>0.6107-15.5095</t>
  </si>
  <si>
    <t>0.6107-15.5095_S. haematobium</t>
  </si>
  <si>
    <t>0.6107-15.5095_S. mansoni</t>
  </si>
  <si>
    <t>-3.708-15.5231_S. haematobium</t>
  </si>
  <si>
    <t>-3.708-15.5231_S. mansoni</t>
  </si>
  <si>
    <t>0.5036-15.6222</t>
  </si>
  <si>
    <t>0.5036-15.6222_S. haematobium</t>
  </si>
  <si>
    <t>0.5036-15.6222_S. mansoni</t>
  </si>
  <si>
    <t>-3.67516-15.679_S. haematobium</t>
  </si>
  <si>
    <t>-3.67516-15.679_S. mansoni</t>
  </si>
  <si>
    <t>-3.78312-15.6922_S. haematobium</t>
  </si>
  <si>
    <t>-3.78312-15.6922_S. mansoni</t>
  </si>
  <si>
    <t>-3.7138-15.712_S. haematobium</t>
  </si>
  <si>
    <t>-3.7138-15.712_S. mansoni</t>
  </si>
  <si>
    <t>2.5129-15.7374</t>
  </si>
  <si>
    <t>2.5129-15.7374_S. haematobium</t>
  </si>
  <si>
    <t>2.5129-15.7374_S. mansoni</t>
  </si>
  <si>
    <t>-3.5183-15.7455_S. haematobium</t>
  </si>
  <si>
    <t>-3.5183-15.7455_S. mansoni</t>
  </si>
  <si>
    <t>0.3245-15.8071</t>
  </si>
  <si>
    <t>0.3245-15.8071_S. haematobium</t>
  </si>
  <si>
    <t>0.3245-15.8071_S. mansoni</t>
  </si>
  <si>
    <t>2.5212-15.8146</t>
  </si>
  <si>
    <t>2.5212-15.8146_S. haematobium</t>
  </si>
  <si>
    <t>2.5212-15.8146_S. mansoni</t>
  </si>
  <si>
    <t>-1.285-15.817_S. haematobium</t>
  </si>
  <si>
    <t>-1.29113-15.8196_S. haematobium</t>
  </si>
  <si>
    <t>-1.29113-15.8196_S. mansoni</t>
  </si>
  <si>
    <t>-1.29722-15.8228_S. haematobium</t>
  </si>
  <si>
    <t>-4.1277-15.8993_S. haematobium</t>
  </si>
  <si>
    <t>-4.1277-15.8993_S. mansoni</t>
  </si>
  <si>
    <t>2.4022-15.9182</t>
  </si>
  <si>
    <t>2.4022-15.9182_S. haematobium</t>
  </si>
  <si>
    <t>2.4022-15.9182_S. mansoni</t>
  </si>
  <si>
    <t>-3.9906-15.9322_S. haematobium</t>
  </si>
  <si>
    <t>-3.9906-15.9322_S. mansoni</t>
  </si>
  <si>
    <t>-4.0464-15.9694_S. haematobium</t>
  </si>
  <si>
    <t>-4.0464-15.9694_S. mansoni</t>
  </si>
  <si>
    <t>-3.80669-15.9838_S. haematobium</t>
  </si>
  <si>
    <t>-3.80669-15.9838_S. mansoni</t>
  </si>
  <si>
    <t>-4.0306-16.0721_S. haematobium</t>
  </si>
  <si>
    <t>-4.0306-16.0721_S. mansoni</t>
  </si>
  <si>
    <t>-3.75-16.133301_S. haematobium</t>
  </si>
  <si>
    <t>-3.75-16.133301_S. mansoni</t>
  </si>
  <si>
    <t>-3.748-16.134001_S. haematobium</t>
  </si>
  <si>
    <t>-3.748-16.134001_S. mansoni</t>
  </si>
  <si>
    <t>-3.837-16.16_S. haematobium</t>
  </si>
  <si>
    <t>-3.83333-16.1667_S. haematobium</t>
  </si>
  <si>
    <t>-3.83333-16.1667_S. mansoni</t>
  </si>
  <si>
    <t>-0.010833-16.2131_S. haematobium</t>
  </si>
  <si>
    <t>-0.010833-16.2131_S. mansoni</t>
  </si>
  <si>
    <t>-0.05566-16.2556_S. haematobium</t>
  </si>
  <si>
    <t>-0.05566-16.2556_S. mansoni</t>
  </si>
  <si>
    <t>-3.73333-16.2833_S. haematobium</t>
  </si>
  <si>
    <t>-3.73333-16.2833_S. mansoni</t>
  </si>
  <si>
    <t>-0.028611-16.365801_S. haematobium</t>
  </si>
  <si>
    <t>-0.028611-16.365801_S. mansoni</t>
  </si>
  <si>
    <t>-3.23333-16.4_S. haematobium</t>
  </si>
  <si>
    <t>-3.23333-16.4_S. mansoni</t>
  </si>
  <si>
    <t>-0.055-16.410601_S. haematobium</t>
  </si>
  <si>
    <t>-0.055-16.410601_S. mansoni</t>
  </si>
  <si>
    <t>-3.66667-16.4167_S. haematobium</t>
  </si>
  <si>
    <t>-3.66667-16.4167_S. mansoni</t>
  </si>
  <si>
    <t>-3.672-16.419001_S. haematobium</t>
  </si>
  <si>
    <t>-3.672-16.419001_S. mansoni</t>
  </si>
  <si>
    <t>-3.13333-16.4667_S. haematobium</t>
  </si>
  <si>
    <t>-3.13333-16.4667_S. mansoni</t>
  </si>
  <si>
    <t>-0.114444-16.4711_S. haematobium</t>
  </si>
  <si>
    <t>-0.114444-16.4711_S. mansoni</t>
  </si>
  <si>
    <t>0.77-16.49</t>
  </si>
  <si>
    <t>0.77-16.49_S. haematobium</t>
  </si>
  <si>
    <t>-3.13333-16.5_S. haematobium</t>
  </si>
  <si>
    <t>-3.13333-16.5_S. mansoni</t>
  </si>
  <si>
    <t>-3.22424-16.517599_S. haematobium</t>
  </si>
  <si>
    <t>-3.22424-16.517599_S. mansoni</t>
  </si>
  <si>
    <t>0.22-16.525299</t>
  </si>
  <si>
    <t>0.22-16.525299_S. haematobium</t>
  </si>
  <si>
    <t>-3.19377-16.549299_S. haematobium</t>
  </si>
  <si>
    <t>-3.19377-16.549299_S. mansoni</t>
  </si>
  <si>
    <t>-0.131944-16.560301_S. haematobium</t>
  </si>
  <si>
    <t>-0.131944-16.560301_S. mansoni</t>
  </si>
  <si>
    <t>-3.368-16.582001_S. haematobium</t>
  </si>
  <si>
    <t>-3.36667-16.5833_S. haematobium</t>
  </si>
  <si>
    <t>-3.73333-16.733299_S. haematobium</t>
  </si>
  <si>
    <t>-3.743-16.74_S. haematobium</t>
  </si>
  <si>
    <t>-1.01611-16.986099_S. haematobium</t>
  </si>
  <si>
    <t>-1.01611-16.986099_S. mansoni</t>
  </si>
  <si>
    <t>-0.957222-16.996401_S. haematobium</t>
  </si>
  <si>
    <t>-0.957222-16.996401_S. mansoni</t>
  </si>
  <si>
    <t>-0.935556-17.000601_S. haematobium</t>
  </si>
  <si>
    <t>-0.935556-17.000601_S. mansoni</t>
  </si>
  <si>
    <t>-0.89066-17.002199_S. haematobium</t>
  </si>
  <si>
    <t>-0.89066-17.002199_S. mansoni</t>
  </si>
  <si>
    <t>-1.07194-17.0403_S. haematobium</t>
  </si>
  <si>
    <t>-1.07194-17.0403_S. mansoni</t>
  </si>
  <si>
    <t>35.222301--17.0994</t>
  </si>
  <si>
    <t>35.222301--17.0994_S. mansoni</t>
  </si>
  <si>
    <t>35.222301--17.0994_S. haematobium</t>
  </si>
  <si>
    <t>34.896099--16.5415</t>
  </si>
  <si>
    <t>34.896099--16.5415_S. mansoni</t>
  </si>
  <si>
    <t>34.896099--16.5415_S. haematobium</t>
  </si>
  <si>
    <t>35.173599--16.421801</t>
  </si>
  <si>
    <t>35.173599--16.421801_S. mansoni</t>
  </si>
  <si>
    <t>35.180401--16.2756</t>
  </si>
  <si>
    <t>35.180401--16.2756_S. mansoni</t>
  </si>
  <si>
    <t>35.180401--16.2756_S. haematobium</t>
  </si>
  <si>
    <t>35.347301--16.0968</t>
  </si>
  <si>
    <t>35.347301--16.0968_S. mansoni</t>
  </si>
  <si>
    <t>35.347301--16.0968_S. haematobium</t>
  </si>
  <si>
    <t>35.133301--16.0667</t>
  </si>
  <si>
    <t>35.133301--16.0667_S. mansoni</t>
  </si>
  <si>
    <t>34.8004--16.0422</t>
  </si>
  <si>
    <t>34.8004--16.0422_S. haematobium</t>
  </si>
  <si>
    <t>34.7995--16.041401</t>
  </si>
  <si>
    <t>34.7995--16.041401_S. haematobium</t>
  </si>
  <si>
    <t>35.500099--16.0333</t>
  </si>
  <si>
    <t>35.500099--16.0333_S. haematobium</t>
  </si>
  <si>
    <t>35.116699--15.9167</t>
  </si>
  <si>
    <t>35.116699--15.9167_S. mansoni</t>
  </si>
  <si>
    <t>35.087799--15.8609</t>
  </si>
  <si>
    <t>35.087799--15.8609_S. mansoni</t>
  </si>
  <si>
    <t>35.087799--15.8609_S. haematobium</t>
  </si>
  <si>
    <t>35.054501--15.8609</t>
  </si>
  <si>
    <t>35.054501--15.8609_S. mansoni</t>
  </si>
  <si>
    <t>35.054501--15.8609_S. haematobium</t>
  </si>
  <si>
    <t>35.650002--15.8</t>
  </si>
  <si>
    <t>35.650002--15.8_S. haematobium</t>
  </si>
  <si>
    <t>35.0079--15.7958</t>
  </si>
  <si>
    <t>35.0079--15.7958_S. haematobium</t>
  </si>
  <si>
    <t>35.0079--15.7958_S. mansoni</t>
  </si>
  <si>
    <t>35.005798--15.7863</t>
  </si>
  <si>
    <t>35.005798--15.7863_S. haematobium</t>
  </si>
  <si>
    <t>35.0238--15.7841</t>
  </si>
  <si>
    <t>35.0238--15.7841_S. mansoni</t>
  </si>
  <si>
    <t>35.0238--15.7841_S. haematobium</t>
  </si>
  <si>
    <t>35--15.7833</t>
  </si>
  <si>
    <t>35--15.7833_S. haematobium</t>
  </si>
  <si>
    <t>35.031799--15.7793</t>
  </si>
  <si>
    <t>35.031799--15.7793_S. mansoni</t>
  </si>
  <si>
    <t>35.019402--15.6508</t>
  </si>
  <si>
    <t>35.019402--15.6508_S. haematobium</t>
  </si>
  <si>
    <t>35.019402--15.6508_S. mansoni</t>
  </si>
  <si>
    <t>34.5201--15.5999</t>
  </si>
  <si>
    <t>34.5201--15.5999_S. haematobium</t>
  </si>
  <si>
    <t>34.5201--15.5999_S. mansoni</t>
  </si>
  <si>
    <t>35.602501--15.5311</t>
  </si>
  <si>
    <t>35.602501--15.5311_S. mansoni</t>
  </si>
  <si>
    <t>35.602501--15.5311_S. haematobium</t>
  </si>
  <si>
    <t>35.333401--15.3832</t>
  </si>
  <si>
    <t>35.333401--15.3832_S. haematobium</t>
  </si>
  <si>
    <t>35.580601--15.3742</t>
  </si>
  <si>
    <t>35.580601--15.3742_S. haematobium</t>
  </si>
  <si>
    <t>35.603699--15.3277</t>
  </si>
  <si>
    <t>35.603699--15.3277_S. haematobium</t>
  </si>
  <si>
    <t>35.603699--15.3277_S. mansoni</t>
  </si>
  <si>
    <t>35.233299--15.0663</t>
  </si>
  <si>
    <t>35.233299--15.0663_S. haematobium</t>
  </si>
  <si>
    <t>35.0756--15.0157</t>
  </si>
  <si>
    <t>35.0756--15.0157_S. mansoni</t>
  </si>
  <si>
    <t>35.0756--15.0157_S. haematobium</t>
  </si>
  <si>
    <t>34.734402--14.9179</t>
  </si>
  <si>
    <t>34.734402--14.9179_S. mansoni</t>
  </si>
  <si>
    <t>34.734402--14.9179_S. haematobium</t>
  </si>
  <si>
    <t>35.530201--14.874</t>
  </si>
  <si>
    <t>35.530201--14.874_S. haematobium</t>
  </si>
  <si>
    <t>35.680199--14.8724</t>
  </si>
  <si>
    <t>35.680199--14.8724_S. mansoni</t>
  </si>
  <si>
    <t>35.680199--14.8724_S. haematobium</t>
  </si>
  <si>
    <t>35.170399--14.7465</t>
  </si>
  <si>
    <t>35.170399--14.7465_S. haematobium</t>
  </si>
  <si>
    <t>34.966702--14.7</t>
  </si>
  <si>
    <t>34.966702--14.7_S. haematobium</t>
  </si>
  <si>
    <t>34.950001--14.7</t>
  </si>
  <si>
    <t>34.950001--14.7_S. haematobium</t>
  </si>
  <si>
    <t>35.3423--14.6511</t>
  </si>
  <si>
    <t>35.3423--14.6511_S. haematobium</t>
  </si>
  <si>
    <t>35.181198--14.6199</t>
  </si>
  <si>
    <t>35.181198--14.6199_S. haematobium</t>
  </si>
  <si>
    <t>35.364799--14.5813</t>
  </si>
  <si>
    <t>35.364799--14.5813_S. haematobium</t>
  </si>
  <si>
    <t>35.049999--14.55</t>
  </si>
  <si>
    <t>35.049999--14.55_S. haematobium</t>
  </si>
  <si>
    <t>35.366699--14.5333</t>
  </si>
  <si>
    <t>35.366699--14.5333_S. haematobium</t>
  </si>
  <si>
    <t>35.2164--14.5327</t>
  </si>
  <si>
    <t>35.2164--14.5327_S. haematobium</t>
  </si>
  <si>
    <t>35.25--14.5</t>
  </si>
  <si>
    <t>35.25--14.5_S. haematobium</t>
  </si>
  <si>
    <t>35.1847--14.4885</t>
  </si>
  <si>
    <t>35.1847--14.4885_S. haematobium</t>
  </si>
  <si>
    <t>35.259701--14.4801</t>
  </si>
  <si>
    <t>35.259701--14.4801_S. haematobium</t>
  </si>
  <si>
    <t>35.2785--14.475</t>
  </si>
  <si>
    <t>35.2785--14.475_S. haematobium</t>
  </si>
  <si>
    <t>35.243999--14.4607</t>
  </si>
  <si>
    <t>35.243999--14.4607_S. haematobium</t>
  </si>
  <si>
    <t>34.007801--14.4451</t>
  </si>
  <si>
    <t>34.007801--14.4451_S. haematobium</t>
  </si>
  <si>
    <t>34.007801--14.4451_S. mansoni</t>
  </si>
  <si>
    <t>35.382301--14.4204</t>
  </si>
  <si>
    <t>35.382301--14.4204_S. haematobium</t>
  </si>
  <si>
    <t>35.216702--14.4167</t>
  </si>
  <si>
    <t>35.216702--14.4167_S. haematobium</t>
  </si>
  <si>
    <t>35.299702--14.3773</t>
  </si>
  <si>
    <t>35.299702--14.3773_S. haematobium</t>
  </si>
  <si>
    <t>35.601601--14.3714</t>
  </si>
  <si>
    <t>35.601601--14.3714_S. haematobium</t>
  </si>
  <si>
    <t>35.450001--14.3667</t>
  </si>
  <si>
    <t>35.450001--14.3667_S. haematobium</t>
  </si>
  <si>
    <t>35.5089--14.3588</t>
  </si>
  <si>
    <t>35.5089--14.3588_S. haematobium</t>
  </si>
  <si>
    <t>35.6511--14.3547</t>
  </si>
  <si>
    <t>35.6511--14.3547_S. haematobium</t>
  </si>
  <si>
    <t>35.400002--14.35</t>
  </si>
  <si>
    <t>35.400002--14.35_S. haematobium</t>
  </si>
  <si>
    <t>35.521099--14.3496</t>
  </si>
  <si>
    <t>35.521099--14.3496_S. haematobium</t>
  </si>
  <si>
    <t>34.808102--14.3102</t>
  </si>
  <si>
    <t>34.808102--14.3102_S. haematobium</t>
  </si>
  <si>
    <t>35.117001--14.308</t>
  </si>
  <si>
    <t>35.117001--14.308_S. haematobium</t>
  </si>
  <si>
    <t>35.129299--14.3063</t>
  </si>
  <si>
    <t>35.129299--14.3063_S. haematobium</t>
  </si>
  <si>
    <t>34.158298--14.2888</t>
  </si>
  <si>
    <t>34.158298--14.2888_S. mansoni</t>
  </si>
  <si>
    <t>34.158298--14.2888_S. haematobium</t>
  </si>
  <si>
    <t>35.266701--14.2833</t>
  </si>
  <si>
    <t>35.266701--14.2833_S. haematobium</t>
  </si>
  <si>
    <t>35.442902--14.264</t>
  </si>
  <si>
    <t>35.442902--14.264_S. mansoni</t>
  </si>
  <si>
    <t>35.442902--14.264_S. haematobium</t>
  </si>
  <si>
    <t>35.4701--14.2378</t>
  </si>
  <si>
    <t>35.4701--14.2378_S. haematobium</t>
  </si>
  <si>
    <t>34.8148--14.2294</t>
  </si>
  <si>
    <t>34.8148--14.2294_S. haematobium</t>
  </si>
  <si>
    <t>34.816898--14.2292</t>
  </si>
  <si>
    <t>34.816898--14.2292_S. haematobium</t>
  </si>
  <si>
    <t>34.816898--14.2292_S. mansoni</t>
  </si>
  <si>
    <t>35.069401--14.2207</t>
  </si>
  <si>
    <t>35.069401--14.2207_S. haematobium</t>
  </si>
  <si>
    <t>35.033298--14.2</t>
  </si>
  <si>
    <t>35.033298--14.2_S. haematobium</t>
  </si>
  <si>
    <t>34.997898--14.1814</t>
  </si>
  <si>
    <t>34.997898--14.1814_S. haematobium</t>
  </si>
  <si>
    <t>33.633301--14.1667</t>
  </si>
  <si>
    <t>33.633301--14.1667_S. haematobium</t>
  </si>
  <si>
    <t>33.633301--14.1667_S. mansoni</t>
  </si>
  <si>
    <t>33.881802--14.1516</t>
  </si>
  <si>
    <t>33.881802--14.1516_S. mansoni</t>
  </si>
  <si>
    <t>34.8167--14.15</t>
  </si>
  <si>
    <t>34.8167--14.15_S. haematobium</t>
  </si>
  <si>
    <t>35.384201--14.1344</t>
  </si>
  <si>
    <t>35.384201--14.1344_S. haematobium</t>
  </si>
  <si>
    <t>34.861401--14.1209</t>
  </si>
  <si>
    <t>34.861401--14.1209_S. haematobium</t>
  </si>
  <si>
    <t>34.922901--14.1129</t>
  </si>
  <si>
    <t>34.922901--14.1129_S. haematobium</t>
  </si>
  <si>
    <t>33.938--14.1106</t>
  </si>
  <si>
    <t>33.938--14.1106_S. mansoni</t>
  </si>
  <si>
    <t>34.914299--14.0805</t>
  </si>
  <si>
    <t>34.914299--14.0805_S. haematobium</t>
  </si>
  <si>
    <t>34.8456--14.0697</t>
  </si>
  <si>
    <t>34.8456--14.0697_S. haematobium</t>
  </si>
  <si>
    <t>34.843899--14.0678</t>
  </si>
  <si>
    <t>34.843899--14.0678_S. haematobium</t>
  </si>
  <si>
    <t>34.099998--14.0333</t>
  </si>
  <si>
    <t>34.099998--14.0333_S. haematobium</t>
  </si>
  <si>
    <t>34.099998--14.0333_S. mansoni</t>
  </si>
  <si>
    <t>34.840401--14.0268</t>
  </si>
  <si>
    <t>34.840401--14.0268_S. haematobium</t>
  </si>
  <si>
    <t>34.849998--14.0167</t>
  </si>
  <si>
    <t>34.849998--14.0167_S. haematobium</t>
  </si>
  <si>
    <t>34.849998--14.0166</t>
  </si>
  <si>
    <t>34.849998--14.0166_S. haematobium</t>
  </si>
  <si>
    <t>35.150002--14</t>
  </si>
  <si>
    <t>35.150002--14_S. haematobium</t>
  </si>
  <si>
    <t>33.782299--13.9826</t>
  </si>
  <si>
    <t>33.782299--13.9826_S. haematobium</t>
  </si>
  <si>
    <t>33.782299--13.9826_S. mansoni</t>
  </si>
  <si>
    <t>33.772999--13.981</t>
  </si>
  <si>
    <t>33.772999--13.981_S. mansoni</t>
  </si>
  <si>
    <t>33.772999--13.981_S. haematobium</t>
  </si>
  <si>
    <t>33.787399--13.963</t>
  </si>
  <si>
    <t>33.787399--13.963_S. haematobium</t>
  </si>
  <si>
    <t>33.787399--13.963_S. mansoni</t>
  </si>
  <si>
    <t>35.141998--13.962</t>
  </si>
  <si>
    <t>35.141998--13.962_S. haematobium</t>
  </si>
  <si>
    <t>33.776699--13.9489</t>
  </si>
  <si>
    <t>33.776699--13.9489_S. mansoni</t>
  </si>
  <si>
    <t>33.776699--13.9489_S. haematobium</t>
  </si>
  <si>
    <t>32.8932--13.7999</t>
  </si>
  <si>
    <t>32.8932--13.7999_S. haematobium</t>
  </si>
  <si>
    <t>32.8932--13.7999_S. mansoni</t>
  </si>
  <si>
    <t>34.5191--13.7734</t>
  </si>
  <si>
    <t>34.5191--13.7734_S. mansoni</t>
  </si>
  <si>
    <t>34.5191--13.7734_S. haematobium</t>
  </si>
  <si>
    <t>35.075298--13.7586</t>
  </si>
  <si>
    <t>35.075298--13.7586_S. mansoni</t>
  </si>
  <si>
    <t>35.075298--13.7586_S. haematobium</t>
  </si>
  <si>
    <t>35.044899--13.7102</t>
  </si>
  <si>
    <t>35.044899--13.7102_S. haematobium</t>
  </si>
  <si>
    <t>33.6008--13.7059</t>
  </si>
  <si>
    <t>33.6008--13.7059_S. haematobium</t>
  </si>
  <si>
    <t>33.6008--13.7059_S. mansoni</t>
  </si>
  <si>
    <t>35.044399--13.7056</t>
  </si>
  <si>
    <t>35.044399--13.7056_S. haematobium</t>
  </si>
  <si>
    <t>35.044399--13.7056_S. mansoni</t>
  </si>
  <si>
    <t>34.917999--13.6878</t>
  </si>
  <si>
    <t>34.917999--13.6878_S. haematobium</t>
  </si>
  <si>
    <t>35.0303--13.6473</t>
  </si>
  <si>
    <t>35.0303--13.6473_S. haematobium</t>
  </si>
  <si>
    <t>34.294601--13.5964</t>
  </si>
  <si>
    <t>34.294601--13.5964_S. mansoni</t>
  </si>
  <si>
    <t>34.294601--13.5964_S. haematobium</t>
  </si>
  <si>
    <t>33.628899--13.5663</t>
  </si>
  <si>
    <t>33.628899--13.5663_S. mansoni</t>
  </si>
  <si>
    <t>33.628899--13.5663_S. haematobium</t>
  </si>
  <si>
    <t>33.063999--13.4044</t>
  </si>
  <si>
    <t>33.063999--13.4044_S. mansoni</t>
  </si>
  <si>
    <t>33.063999--13.4044_S. haematobium</t>
  </si>
  <si>
    <t>34.1143--13.3655</t>
  </si>
  <si>
    <t>34.1143--13.3655_S. mansoni</t>
  </si>
  <si>
    <t>34.1143--13.3655_S. haematobium</t>
  </si>
  <si>
    <t>33.645599--13.0818</t>
  </si>
  <si>
    <t>33.645599--13.0818_S. mansoni</t>
  </si>
  <si>
    <t>33.645599--13.0818_S. haematobium</t>
  </si>
  <si>
    <t>34.283298--12.9167</t>
  </si>
  <si>
    <t>34.283298--12.9167_S. haematobium</t>
  </si>
  <si>
    <t>34.283298--12.9167_S. mansoni</t>
  </si>
  <si>
    <t>33.516701--12.5667</t>
  </si>
  <si>
    <t>33.516701--12.5667_S. haematobium</t>
  </si>
  <si>
    <t>34.1287--12.5385</t>
  </si>
  <si>
    <t>34.1287--12.5385_S. mansoni</t>
  </si>
  <si>
    <t>33.9981--12.2424</t>
  </si>
  <si>
    <t>33.9981--12.2424_S. mansoni</t>
  </si>
  <si>
    <t>33.9981--12.2424_S. haematobium</t>
  </si>
  <si>
    <t>34.7332--12.0693</t>
  </si>
  <si>
    <t>34.7332--12.0693_S. haematobium</t>
  </si>
  <si>
    <t>34.733299--12.0672</t>
  </si>
  <si>
    <t>34.733299--12.0672_S. haematobium</t>
  </si>
  <si>
    <t>34.624401--12.018</t>
  </si>
  <si>
    <t>34.624401--12.018_S. haematobium</t>
  </si>
  <si>
    <t>33.440498--11.938</t>
  </si>
  <si>
    <t>33.440498--11.938_S. mansoni</t>
  </si>
  <si>
    <t>33.440498--11.938_S. haematobium</t>
  </si>
  <si>
    <t>34.166698--11.8333</t>
  </si>
  <si>
    <t>34.166698--11.8333_S. haematobium</t>
  </si>
  <si>
    <t>34.166698--11.8333_S. mansoni</t>
  </si>
  <si>
    <t>33.993099--11.4553</t>
  </si>
  <si>
    <t>33.993099--11.4553_S. mansoni</t>
  </si>
  <si>
    <t>33.993099--11.4553_S. haematobium</t>
  </si>
  <si>
    <t>33.630299--11.3169</t>
  </si>
  <si>
    <t>33.630299--11.3169_S. mansoni</t>
  </si>
  <si>
    <t>33.630299--11.3169_S. haematobium</t>
  </si>
  <si>
    <t>34.024399--10.8717</t>
  </si>
  <si>
    <t>34.024399--10.8717_S. mansoni</t>
  </si>
  <si>
    <t>34.024399--10.8717_S. haematobium</t>
  </si>
  <si>
    <t>33.484699--10.8533</t>
  </si>
  <si>
    <t>33.484699--10.8533_S. mansoni</t>
  </si>
  <si>
    <t>33.484699--10.8533_S. haematobium</t>
  </si>
  <si>
    <t>34.188301--10.4858</t>
  </si>
  <si>
    <t>34.188301--10.4858_S. mansoni</t>
  </si>
  <si>
    <t>34.188301--10.4858_S. haematobium</t>
  </si>
  <si>
    <t>34.250401--10.4335</t>
  </si>
  <si>
    <t>34.250401--10.4335_S. mansoni</t>
  </si>
  <si>
    <t>34.250401--10.4335_S. haematobium</t>
  </si>
  <si>
    <t>33.6138--9.89275</t>
  </si>
  <si>
    <t>33.6138--9.89275_S. haematobium</t>
  </si>
  <si>
    <t>33.6138--9.89275_S. mansoni</t>
  </si>
  <si>
    <t>33.881001--9.85095</t>
  </si>
  <si>
    <t>33.881001--9.85095_S. mansoni</t>
  </si>
  <si>
    <t>33.881001--9.85095_S. haematobium</t>
  </si>
  <si>
    <t>33.833302--9.8</t>
  </si>
  <si>
    <t>33.833302--9.8_S. mansoni</t>
  </si>
  <si>
    <t>33.833302--9.8_S. haematobium</t>
  </si>
  <si>
    <t>33.876099--9.76544</t>
  </si>
  <si>
    <t>33.876099--9.76544_S. haematobium</t>
  </si>
  <si>
    <t>33.876099--9.76544_S. mansoni</t>
  </si>
  <si>
    <t>33.017399--9.61157</t>
  </si>
  <si>
    <t>33.017399--9.61157_S. mansoni</t>
  </si>
  <si>
    <t>33.017399--9.61157_S. haematobium</t>
  </si>
  <si>
    <t>34.325483--14.381661</t>
  </si>
  <si>
    <t>34.325483--14.381661_S. mansoni</t>
  </si>
  <si>
    <t>34.325483--14.381661_S. haematobium</t>
  </si>
  <si>
    <t>34.281956--12.932239</t>
  </si>
  <si>
    <t>34.281956--12.932239_S. mansoni</t>
  </si>
  <si>
    <t>34.281956--12.932239_S. haematobium</t>
  </si>
  <si>
    <t>35.556514--16.074175</t>
  </si>
  <si>
    <t>35.556514--16.074175_S. mansoni</t>
  </si>
  <si>
    <t>35.556514--16.074175_S. haematobium</t>
  </si>
  <si>
    <t>35.5--16.033333</t>
  </si>
  <si>
    <t>35.5--16.033333_S. mansoni</t>
  </si>
  <si>
    <t>35.5--16.033333_S. haematobium</t>
  </si>
  <si>
    <t>33.933333--9.933333</t>
  </si>
  <si>
    <t>33.933333--9.933333_S. mansoni</t>
  </si>
  <si>
    <t>33.933333--9.933333_S. haematobium</t>
  </si>
  <si>
    <t>33.783333--13.983333</t>
  </si>
  <si>
    <t>33.783333--13.983333_S. haematobium</t>
  </si>
  <si>
    <t>34.458642--13.779553</t>
  </si>
  <si>
    <t>34.458642--13.779553_S. haematobium</t>
  </si>
  <si>
    <t>34.458642--13.779553_S. mansoni</t>
  </si>
  <si>
    <t>33.866667--11.016667</t>
  </si>
  <si>
    <t>33.866667--11.016667_S. haematobium</t>
  </si>
  <si>
    <t>33.866667--11.016667_S. mansoni</t>
  </si>
  <si>
    <t>33.276625--9.705</t>
  </si>
  <si>
    <t>33.276625--9.705_S. haematobium</t>
  </si>
  <si>
    <t>33.276625--9.705_S. mansoni</t>
  </si>
  <si>
    <t>35.333333--15.383333</t>
  </si>
  <si>
    <t>35.333333--15.383333_S. haematobium</t>
  </si>
  <si>
    <t>35.333333--15.383333_S. mansoni</t>
  </si>
  <si>
    <t>35.478192--14.940725</t>
  </si>
  <si>
    <t>35.478192--14.940725_S. haematobium</t>
  </si>
  <si>
    <t>33.935978--13.651469</t>
  </si>
  <si>
    <t>33.935978--13.651469_S. haematobium</t>
  </si>
  <si>
    <t>33.935978--13.651469_S. mansoni</t>
  </si>
  <si>
    <t>33.885775--13.2842</t>
  </si>
  <si>
    <t>33.885775--13.2842_S. haematobium</t>
  </si>
  <si>
    <t>33.885775--13.2842_S. mansoni</t>
  </si>
  <si>
    <t>34.816667--14.35</t>
  </si>
  <si>
    <t>34.816667--14.35_S. haematobium</t>
  </si>
  <si>
    <t>34.816667--14.35_S. mansoni</t>
  </si>
  <si>
    <t>34.083333--12.466667</t>
  </si>
  <si>
    <t>34.083333--12.466667_S. haematobium</t>
  </si>
  <si>
    <t>34.083333--12.466667_S. mansoni</t>
  </si>
  <si>
    <t>35.170875--16.728819</t>
  </si>
  <si>
    <t>35.170875--16.728819_S. haematobium</t>
  </si>
  <si>
    <t>35.253303--14.486172</t>
  </si>
  <si>
    <t>35.253303--14.486172_S. haematobium</t>
  </si>
  <si>
    <t>33.783333--13.983333_S. mansoni</t>
  </si>
  <si>
    <t>35.258797--15.742317</t>
  </si>
  <si>
    <t>35.258797--15.742317_S. haematobium</t>
  </si>
  <si>
    <t>34.774078--16.195844</t>
  </si>
  <si>
    <t>34.774078--16.195844_S. haematobium</t>
  </si>
  <si>
    <t>35.65875--15.763331</t>
  </si>
  <si>
    <t>35.65875--15.763331_S. haematobium</t>
  </si>
  <si>
    <t>-9.983097-6.97615_S. haematobium</t>
  </si>
  <si>
    <t>-9.983097-6.97615_S. mansoni</t>
  </si>
  <si>
    <t>-9.589639-7.122253_S. haematobium</t>
  </si>
  <si>
    <t>-9.589639-7.122253_S. mansoni</t>
  </si>
  <si>
    <t>-9.183372-6.843261_S. haematobium</t>
  </si>
  <si>
    <t>-9.183372-6.843261_S. mansoni</t>
  </si>
  <si>
    <t>-10.8-6.4833_S. haematobium</t>
  </si>
  <si>
    <t>-10.8-6.4833_S. mansoni</t>
  </si>
  <si>
    <t>-8.867-6.495_S. haematobium</t>
  </si>
  <si>
    <t>-9.47-6.51_S. haematobium</t>
  </si>
  <si>
    <t>-9.47-6.51_S. mansoni</t>
  </si>
  <si>
    <t>-10.947-6.546_S. haematobium</t>
  </si>
  <si>
    <t>-9.44917-6.56222_S. haematobium</t>
  </si>
  <si>
    <t>-9.44917-6.56222_S. mansoni</t>
  </si>
  <si>
    <t>-9.3725-6.6525_S. haematobium</t>
  </si>
  <si>
    <t>-9.3725-6.6525_S. mansoni</t>
  </si>
  <si>
    <t>-9.18972-6.67111_S. haematobium</t>
  </si>
  <si>
    <t>-9.18972-6.67111_S. mansoni</t>
  </si>
  <si>
    <t>-9.68883-6.68517_S. haematobium</t>
  </si>
  <si>
    <t>-9.68883-6.68517_S. mansoni</t>
  </si>
  <si>
    <t>-9.36278-6.68667_S. haematobium</t>
  </si>
  <si>
    <t>-9.36278-6.68667_S. mansoni</t>
  </si>
  <si>
    <t>-9.3-6.7_S. mansoni</t>
  </si>
  <si>
    <t>-9.3-6.7_S. haematobium</t>
  </si>
  <si>
    <t>-9.52639-6.72611_S. haematobium</t>
  </si>
  <si>
    <t>-9.52639-6.72611_S. mansoni</t>
  </si>
  <si>
    <t>-10.0286-6.76167_S. haematobium</t>
  </si>
  <si>
    <t>-10.0286-6.76167_S. mansoni</t>
  </si>
  <si>
    <t>-9.44333-6.78222_S. haematobium</t>
  </si>
  <si>
    <t>-9.44333-6.78222_S. mansoni</t>
  </si>
  <si>
    <t>-8.811-6.806_S. haematobium</t>
  </si>
  <si>
    <t>-9.93806-6.8125_S. mansoni</t>
  </si>
  <si>
    <t>-9.93806-6.8125_S. haematobium</t>
  </si>
  <si>
    <t>-9.1825-6.81556_S. haematobium</t>
  </si>
  <si>
    <t>-9.1825-6.81556_S. mansoni</t>
  </si>
  <si>
    <t>-9.935-6.819_S. haematobium</t>
  </si>
  <si>
    <t>-9.935-6.819_S. mansoni</t>
  </si>
  <si>
    <t>-9.64778-6.82778_S. haematobium</t>
  </si>
  <si>
    <t>-9.64778-6.82778_S. mansoni</t>
  </si>
  <si>
    <t>-9.45778-6.83139_S. haematobium</t>
  </si>
  <si>
    <t>-9.45778-6.83139_S. mansoni</t>
  </si>
  <si>
    <t>-9.852-6.833_S. haematobium</t>
  </si>
  <si>
    <t>-9.84278-6.84028_S. mansoni</t>
  </si>
  <si>
    <t>-9.84278-6.84028_S. haematobium</t>
  </si>
  <si>
    <t>-9.068-6.85_S. haematobium</t>
  </si>
  <si>
    <t>-9.79167-6.85361_S. haematobium</t>
  </si>
  <si>
    <t>-9.7825-6.85528_S. mansoni</t>
  </si>
  <si>
    <t>-9.7825-6.85528_S. haematobium</t>
  </si>
  <si>
    <t>-9.792-6.856_S. haematobium</t>
  </si>
  <si>
    <t>-9.16031-6.85755_S. haematobium</t>
  </si>
  <si>
    <t>-9.16031-6.85755_S. mansoni</t>
  </si>
  <si>
    <t>-9.19148-6.86176_S. haematobium</t>
  </si>
  <si>
    <t>-9.19148-6.86176_S. mansoni</t>
  </si>
  <si>
    <t>-8.952-6.866_S. haematobium</t>
  </si>
  <si>
    <t>-9.75778-6.88222_S. haematobium</t>
  </si>
  <si>
    <t>-9.75778-6.88222_S. mansoni</t>
  </si>
  <si>
    <t>-9.751-6.883_S. haematobium</t>
  </si>
  <si>
    <t>-9.751-6.883_S. mansoni</t>
  </si>
  <si>
    <t>-9.75972-6.88333_S. haematobium</t>
  </si>
  <si>
    <t>-9.67722-6.88694_S. mansoni</t>
  </si>
  <si>
    <t>-9.67722-6.88694_S. haematobium</t>
  </si>
  <si>
    <t>-8.512-6.891_S. haematobium</t>
  </si>
  <si>
    <t>-9.65444-6.90306_S. haematobium</t>
  </si>
  <si>
    <t>-9.65444-6.90306_S. mansoni</t>
  </si>
  <si>
    <t>-10.0167-6.93333_S. haematobium</t>
  </si>
  <si>
    <t>-10.0167-6.93333_S. mansoni</t>
  </si>
  <si>
    <t>-9.63556-6.94139_S. mansoni</t>
  </si>
  <si>
    <t>-9.63556-6.94139_S. haematobium</t>
  </si>
  <si>
    <t>-10.8-6.95_S. haematobium</t>
  </si>
  <si>
    <t>-9.6566-6.96207_S. haematobium</t>
  </si>
  <si>
    <t>-9.6566-6.96207_S. mansoni</t>
  </si>
  <si>
    <t>-8.84-6.967_S. haematobium</t>
  </si>
  <si>
    <t>-9.98278-6.97444_S. haematobium</t>
  </si>
  <si>
    <t>-9.98278-6.97444_S. mansoni</t>
  </si>
  <si>
    <t>-9.28664-6.98649_S. haematobium</t>
  </si>
  <si>
    <t>-9.28664-6.98649_S. mansoni</t>
  </si>
  <si>
    <t>-9.58139-6.98889_S. mansoni</t>
  </si>
  <si>
    <t>-9.58139-6.98889_S. haematobium</t>
  </si>
  <si>
    <t>-9.5814-6.9889_S. haematobium</t>
  </si>
  <si>
    <t>-9.5814-6.9889_S. mansoni</t>
  </si>
  <si>
    <t>-9.582-6.991_S. haematobium</t>
  </si>
  <si>
    <t>-9.582-6.991_S. mansoni</t>
  </si>
  <si>
    <t>-9.47222-6.99556_S. haematobium</t>
  </si>
  <si>
    <t>-9.47222-6.99556_S. mansoni</t>
  </si>
  <si>
    <t>-9.4722-6.9956_S. haematobium</t>
  </si>
  <si>
    <t>-9.4722-6.9956_S. mansoni</t>
  </si>
  <si>
    <t>-9.28722-6.99861_S. haematobium</t>
  </si>
  <si>
    <t>-9.28722-6.99861_S. mansoni</t>
  </si>
  <si>
    <t>-9.56306-7.01361_S. haematobium</t>
  </si>
  <si>
    <t>-9.56306-7.01361_S. mansoni</t>
  </si>
  <si>
    <t>-8.718-7.015_S. haematobium</t>
  </si>
  <si>
    <t>-10.1667-7.01667_S. haematobium</t>
  </si>
  <si>
    <t>-10.1667-7.01667_S. mansoni</t>
  </si>
  <si>
    <t>-9.567-7.018_S. haematobium</t>
  </si>
  <si>
    <t>-9.567-7.018_S. mansoni</t>
  </si>
  <si>
    <t>-9.55-7.03333_S. haematobium</t>
  </si>
  <si>
    <t>-9.55-7.03333_S. mansoni</t>
  </si>
  <si>
    <t>-9.51861-7.04361_S. mansoni</t>
  </si>
  <si>
    <t>-9.51861-7.04361_S. haematobium</t>
  </si>
  <si>
    <t>-9.89884-7.0482_S. mansoni</t>
  </si>
  <si>
    <t>-9.55833-7.05361_S. haematobium</t>
  </si>
  <si>
    <t>-9.55833-7.05361_S. mansoni</t>
  </si>
  <si>
    <t>-9.58694-7.06861_S. mansoni</t>
  </si>
  <si>
    <t>-9.58694-7.06861_S. haematobium</t>
  </si>
  <si>
    <t>-9.22306-7.08944_S. haematobium</t>
  </si>
  <si>
    <t>-9.22306-7.08944_S. mansoni</t>
  </si>
  <si>
    <t>-9.88231-7.09366_S. haematobium</t>
  </si>
  <si>
    <t>-9.88231-7.09366_S. mansoni</t>
  </si>
  <si>
    <t>-9.56306-7.1_S. haematobium</t>
  </si>
  <si>
    <t>-9.56306-7.1_S. mansoni</t>
  </si>
  <si>
    <t>-9.45667-7.11389_S. haematobium</t>
  </si>
  <si>
    <t>-9.45667-7.11389_S. mansoni</t>
  </si>
  <si>
    <t>-8.919-7.118_S. haematobium</t>
  </si>
  <si>
    <t>-9.78028-7.11861_S. haematobium</t>
  </si>
  <si>
    <t>-9.78028-7.11861_S. mansoni</t>
  </si>
  <si>
    <t>-8.466-7.126_S. haematobium</t>
  </si>
  <si>
    <t>-9.22889-7.12694_S. haematobium</t>
  </si>
  <si>
    <t>-9.22889-7.12694_S. mansoni</t>
  </si>
  <si>
    <t>-8.89961-7.13092_S. haematobium</t>
  </si>
  <si>
    <t>-8.89961-7.13092_S. mansoni</t>
  </si>
  <si>
    <t>-9.21056-7.16361_S. haematobium</t>
  </si>
  <si>
    <t>-9.21056-7.16361_S. mansoni</t>
  </si>
  <si>
    <t>-9.43782-7.21817_S. haematobium</t>
  </si>
  <si>
    <t>-9.43782-7.21817_S. mansoni</t>
  </si>
  <si>
    <t>-8.9844-7.235_S. haematobium</t>
  </si>
  <si>
    <t>-8.9844-7.235_S. mansoni</t>
  </si>
  <si>
    <t>-9.38917-7.24389_S. haematobium</t>
  </si>
  <si>
    <t>-9.38917-7.24389_S. mansoni</t>
  </si>
  <si>
    <t>-9.43528-7.26_S. haematobium</t>
  </si>
  <si>
    <t>-9.43528-7.26_S. mansoni</t>
  </si>
  <si>
    <t>-9.35333-7.26111_S. haematobium</t>
  </si>
  <si>
    <t>-9.35333-7.26111_S. mansoni</t>
  </si>
  <si>
    <t>-8.5039-7.2697_S. haematobium</t>
  </si>
  <si>
    <t>-8.5039-7.2697_S. mansoni</t>
  </si>
  <si>
    <t>-8.823-7.274_S. haematobium</t>
  </si>
  <si>
    <t>-8.823-7.274_S. mansoni</t>
  </si>
  <si>
    <t>-9.218-7.319_S. haematobium</t>
  </si>
  <si>
    <t>-9.218-7.319_S. mansoni</t>
  </si>
  <si>
    <t>-9.33667-7.37111_S. haematobium</t>
  </si>
  <si>
    <t>-9.33667-7.37111_S. mansoni</t>
  </si>
  <si>
    <t>-8.688-7.374_S. haematobium</t>
  </si>
  <si>
    <t>-8.688-7.374_S. mansoni</t>
  </si>
  <si>
    <t>-9.436-7.689_S. haematobium</t>
  </si>
  <si>
    <t>-9.434-7.783_S. haematobium</t>
  </si>
  <si>
    <t>-9.471-7.817_S. haematobium</t>
  </si>
  <si>
    <t>-10.35-8.098_S. haematobium</t>
  </si>
  <si>
    <t>-9.54-8.22_S. haematobium</t>
  </si>
  <si>
    <t>-9.54-8.22_S. mansoni</t>
  </si>
  <si>
    <t>-10.151-8.233_S. haematobium</t>
  </si>
  <si>
    <t>-10.151-8.233_S. mansoni</t>
  </si>
  <si>
    <t>-10.084-8.284_S. haematobium</t>
  </si>
  <si>
    <t>-10.084-8.286_S. haematobium</t>
  </si>
  <si>
    <t>-10.084-8.286_S. mansoni</t>
  </si>
  <si>
    <t>-10.1956-8.2925_S. haematobium</t>
  </si>
  <si>
    <t>-10.1956-8.2925_S. mansoni</t>
  </si>
  <si>
    <t>-9.634-8.293_S. haematobium</t>
  </si>
  <si>
    <t>-9.634-8.293_S. mansoni</t>
  </si>
  <si>
    <t>-10.2764-8.2997_S. haematobium</t>
  </si>
  <si>
    <t>-9.886-8.3_S. haematobium</t>
  </si>
  <si>
    <t>-9.886-8.3_S. mansoni</t>
  </si>
  <si>
    <t>-10.1349-8.31053_S. haematobium</t>
  </si>
  <si>
    <t>-10.2856-8.3314_S. haematobium</t>
  </si>
  <si>
    <t>-9.833-8.333_S. haematobium</t>
  </si>
  <si>
    <t>-9.833-8.333_S. mansoni</t>
  </si>
  <si>
    <t>-10.1972-8.35528_S. haematobium</t>
  </si>
  <si>
    <t>-10.1972-8.35528_S. mansoni</t>
  </si>
  <si>
    <t>-9.83472-8.35889_S. haematobium</t>
  </si>
  <si>
    <t>-9.83472-8.35889_S. mansoni</t>
  </si>
  <si>
    <t>-10.1988-8.36273_S. haematobium</t>
  </si>
  <si>
    <t>-10.1988-8.36273_S. mansoni</t>
  </si>
  <si>
    <t>-10.2689-8.3633_S. haematobium</t>
  </si>
  <si>
    <t>-9.936-8.367_S. haematobium</t>
  </si>
  <si>
    <t>-9.936-8.367_S. mansoni</t>
  </si>
  <si>
    <t>-9.76694-8.36722_S. haematobium</t>
  </si>
  <si>
    <t>-9.76694-8.36722_S. mansoni</t>
  </si>
  <si>
    <t>-9.753-8.384_S. haematobium</t>
  </si>
  <si>
    <t>-9.753-8.384_S. mansoni</t>
  </si>
  <si>
    <t>-9.901-8.385_S. haematobium</t>
  </si>
  <si>
    <t>-9.901-8.385_S. mansoni</t>
  </si>
  <si>
    <t>-9.853-8.386_S. haematobium</t>
  </si>
  <si>
    <t>-9.853-8.386_S. mansoni</t>
  </si>
  <si>
    <t>-10.266-8.4_S. haematobium</t>
  </si>
  <si>
    <t>-10.266-8.4_S. mansoni</t>
  </si>
  <si>
    <t>-9.718-8.415_S. haematobium</t>
  </si>
  <si>
    <t>-9.718-8.415_S. mansoni</t>
  </si>
  <si>
    <t>-9.755-8.418_S. haematobium</t>
  </si>
  <si>
    <t>-9.876-8.427_S. haematobium</t>
  </si>
  <si>
    <t>-10.267-8.431_S. haematobium</t>
  </si>
  <si>
    <t>-9.668-8.433_S. haematobium</t>
  </si>
  <si>
    <t>-9.668-8.433_S. mansoni</t>
  </si>
  <si>
    <t>-10.111-8.433_S. haematobium</t>
  </si>
  <si>
    <t>-10.111-8.433_S. mansoni</t>
  </si>
  <si>
    <t>-9.852-8.45_S. haematobium</t>
  </si>
  <si>
    <t>-9.852-8.45_S. mansoni</t>
  </si>
  <si>
    <t>-9.952-8.451_S. haematobium</t>
  </si>
  <si>
    <t>-9.952-8.451_S. mansoni</t>
  </si>
  <si>
    <t>-10.215-8.465_S. haematobium</t>
  </si>
  <si>
    <t>-10.215-8.465_S. mansoni</t>
  </si>
  <si>
    <t>-9.668-8.467_S. haematobium</t>
  </si>
  <si>
    <t>-9.668-8.467_S. mansoni</t>
  </si>
  <si>
    <t>-10.167-8.499_S. haematobium</t>
  </si>
  <si>
    <t>-10.167-8.499_S. mansoni</t>
  </si>
  <si>
    <t>-1.28327-10.7334_S. haematobium</t>
  </si>
  <si>
    <t>40.0667-1.75</t>
  </si>
  <si>
    <t>40.0667-1.75_S. mansoni</t>
  </si>
  <si>
    <t>40.0667-1.75_S. haematobium</t>
  </si>
  <si>
    <t>40.533298-1.75</t>
  </si>
  <si>
    <t>40.533298-1.75_S. haematobium</t>
  </si>
  <si>
    <t>35.285301-1.59281</t>
  </si>
  <si>
    <t>35.285301-1.59281_S. haematobium</t>
  </si>
  <si>
    <t>34.6833-0.7667</t>
  </si>
  <si>
    <t>34.6833-0.7667_S. mansoni</t>
  </si>
  <si>
    <t>34.6833-0.7667_S. haematobium</t>
  </si>
  <si>
    <t>34.016701-0.216667</t>
  </si>
  <si>
    <t>34.016701-0.216667_S. mansoni</t>
  </si>
  <si>
    <t>34.016701-0.216667_S. haematobium</t>
  </si>
  <si>
    <t>34.0434-0.203702</t>
  </si>
  <si>
    <t>34.0434-0.203702_S. mansoni</t>
  </si>
  <si>
    <t>34.0434-0.203702_S. haematobium</t>
  </si>
  <si>
    <t>34.006001-0.189797</t>
  </si>
  <si>
    <t>34.006001-0.189797_S. mansoni</t>
  </si>
  <si>
    <t>34.006001-0.189797_S. haematobium</t>
  </si>
  <si>
    <t>34.051399-0.172056</t>
  </si>
  <si>
    <t>34.051399-0.172056_S. mansoni</t>
  </si>
  <si>
    <t>34.051399-0.172056_S. haematobium</t>
  </si>
  <si>
    <t>34.047699-0.138385</t>
  </si>
  <si>
    <t>34.047699-0.138385_S. mansoni</t>
  </si>
  <si>
    <t>34.047699-0.138385_S. haematobium</t>
  </si>
  <si>
    <t>34.027802-0.13036</t>
  </si>
  <si>
    <t>34.027802-0.13036_S. mansoni</t>
  </si>
  <si>
    <t>34.027802-0.13036_S. haematobium</t>
  </si>
  <si>
    <t>35.669998-0.13</t>
  </si>
  <si>
    <t>35.669998-0.13_S. mansoni</t>
  </si>
  <si>
    <t>35.669998-0.13_S. haematobium</t>
  </si>
  <si>
    <t>34.052799-0.1225</t>
  </si>
  <si>
    <t>34.052799-0.1225_S. mansoni</t>
  </si>
  <si>
    <t>34.052799-0.1225_S. haematobium</t>
  </si>
  <si>
    <t>35.1833-0.1167</t>
  </si>
  <si>
    <t>35.1833-0.1167_S. mansoni</t>
  </si>
  <si>
    <t>35.1833-0.1167_S. haematobium</t>
  </si>
  <si>
    <t>34.049301-0.105082</t>
  </si>
  <si>
    <t>34.049301-0.105082_S. mansoni</t>
  </si>
  <si>
    <t>34.049301-0.105082_S. haematobium</t>
  </si>
  <si>
    <t>33.9758-0.0972</t>
  </si>
  <si>
    <t>33.9758-0.0972_S. mansoni</t>
  </si>
  <si>
    <t>33.9758-0.0972_S. haematobium</t>
  </si>
  <si>
    <t>33.9547-0.062596</t>
  </si>
  <si>
    <t>33.9547-0.062596_S. mansoni</t>
  </si>
  <si>
    <t>33.9547-0.062596_S. haematobium</t>
  </si>
  <si>
    <t>34.041698-0.047379</t>
  </si>
  <si>
    <t>34.041698-0.047379_S. mansoni</t>
  </si>
  <si>
    <t>34.041698-0.047379_S. haematobium</t>
  </si>
  <si>
    <t>37.345322--1.305567</t>
  </si>
  <si>
    <t>37.345322--1.305567_S. mansoni</t>
  </si>
  <si>
    <t>36.942856--1.392275</t>
  </si>
  <si>
    <t>36.942856--1.392275_S. mansoni</t>
  </si>
  <si>
    <t>39.45--4.166667</t>
  </si>
  <si>
    <t>39.45--4.166667_S. haematobium</t>
  </si>
  <si>
    <t>34.767958--0.091703</t>
  </si>
  <si>
    <t>34.767958--0.091703_S. mansoni</t>
  </si>
  <si>
    <t>34.767959--0.091704</t>
  </si>
  <si>
    <t>34.767959--0.091704_S. mansoni</t>
  </si>
  <si>
    <t>34.76796--0.091705</t>
  </si>
  <si>
    <t>34.76796--0.091705_S. mansoni</t>
  </si>
  <si>
    <t>34.767961--0.091706</t>
  </si>
  <si>
    <t>34.767961--0.091706_S. mansoni</t>
  </si>
  <si>
    <t>37.983333-2.333333</t>
  </si>
  <si>
    <t>37.983333-2.333333_S. haematobium</t>
  </si>
  <si>
    <t>34.092564--0.060825</t>
  </si>
  <si>
    <t>34.092564--0.060825_S. mansoni</t>
  </si>
  <si>
    <t>37.168742--0.636572</t>
  </si>
  <si>
    <t>37.168742--0.636572_S. mansoni</t>
  </si>
  <si>
    <t>39.45--4.166667_S. mansoni</t>
  </si>
  <si>
    <t>35.285361-1.592444</t>
  </si>
  <si>
    <t>35.285361-1.592444_S. mansoni</t>
  </si>
  <si>
    <t>34.091453--0.062019</t>
  </si>
  <si>
    <t>34.091453--0.062019_S. mansoni</t>
  </si>
  <si>
    <t>34.091453--0.062019_S. haematobium</t>
  </si>
  <si>
    <t>37.361431--0.673081</t>
  </si>
  <si>
    <t>37.361431--0.673081_S. mansoni</t>
  </si>
  <si>
    <t>37.559214--1.005672</t>
  </si>
  <si>
    <t>37.559214--1.005672_S. mansoni</t>
  </si>
  <si>
    <t>37.343325--1.305747</t>
  </si>
  <si>
    <t>37.343325--1.305747_S. mansoni</t>
  </si>
  <si>
    <t>36.978747--1.44825</t>
  </si>
  <si>
    <t>36.978747--1.44825_S. mansoni</t>
  </si>
  <si>
    <t>37.267969--1.517122</t>
  </si>
  <si>
    <t>37.267969--1.517122_S. mansoni</t>
  </si>
  <si>
    <t>37.670408--1.534208</t>
  </si>
  <si>
    <t>37.670408--1.534208_S. mansoni</t>
  </si>
  <si>
    <t>37.134833--1.738075</t>
  </si>
  <si>
    <t>37.134833--1.738075_S. mansoni</t>
  </si>
  <si>
    <t>37.995214--1.375081</t>
  </si>
  <si>
    <t>37.995214--1.375081_S. mansoni</t>
  </si>
  <si>
    <t>37.995214--1.375081_S. haematobium</t>
  </si>
  <si>
    <t>38.517844--1.312972</t>
  </si>
  <si>
    <t>38.517844--1.312972_S. mansoni</t>
  </si>
  <si>
    <t>38.517844--1.312972_S. haematobium</t>
  </si>
  <si>
    <t>38.400428--2.187361</t>
  </si>
  <si>
    <t>38.400428--2.187361_S. mansoni</t>
  </si>
  <si>
    <t>38.400428--2.187361_S. haematobium</t>
  </si>
  <si>
    <t>38.155383--0.785228</t>
  </si>
  <si>
    <t>38.155383--0.785228_S. mansoni</t>
  </si>
  <si>
    <t>38.155383--0.785228_S. haematobium</t>
  </si>
  <si>
    <t>38.060503--0.937411</t>
  </si>
  <si>
    <t>38.060503--0.937411_S. mansoni</t>
  </si>
  <si>
    <t>38.060503--0.937411_S. haematobium</t>
  </si>
  <si>
    <t>34.766083--0.093039</t>
  </si>
  <si>
    <t>34.766083--0.093039_S. mansoni</t>
  </si>
  <si>
    <t>34.0882--0.060819</t>
  </si>
  <si>
    <t>34.0882--0.060819_S. mansoni</t>
  </si>
  <si>
    <t>34.041864-0.046397</t>
  </si>
  <si>
    <t>34.041864-0.046397_S. mansoni</t>
  </si>
  <si>
    <t>34.041864-0.046397_S. haematobium</t>
  </si>
  <si>
    <t>34.357992--0.301894</t>
  </si>
  <si>
    <t>34.357992--0.301894_S. mansoni</t>
  </si>
  <si>
    <t>34.132401--0.006067</t>
  </si>
  <si>
    <t>34.132401--0.006067_S. mansoni</t>
  </si>
  <si>
    <t>34.227901--0.010583</t>
  </si>
  <si>
    <t>34.227901--0.010583_S. mansoni</t>
  </si>
  <si>
    <t>34.117001--0.0144</t>
  </si>
  <si>
    <t>34.117001--0.0144_S. mansoni</t>
  </si>
  <si>
    <t>34.155701--0.014617</t>
  </si>
  <si>
    <t>34.155701--0.014617_S. mansoni</t>
  </si>
  <si>
    <t>34.150902--0.025283</t>
  </si>
  <si>
    <t>34.150902--0.025283_S. mansoni</t>
  </si>
  <si>
    <t>34.188202--0.0299</t>
  </si>
  <si>
    <t>34.188202--0.0299_S. mansoni</t>
  </si>
  <si>
    <t>40.4562--0.03048</t>
  </si>
  <si>
    <t>40.4562--0.03048_S. haematobium</t>
  </si>
  <si>
    <t>34.598999--0.032</t>
  </si>
  <si>
    <t>34.598999--0.032_S. mansoni</t>
  </si>
  <si>
    <t>34.598999--0.032_S. haematobium</t>
  </si>
  <si>
    <t>34.343601--0.037</t>
  </si>
  <si>
    <t>34.343601--0.037_S. mansoni</t>
  </si>
  <si>
    <t>34.314098--0.045118</t>
  </si>
  <si>
    <t>34.314098--0.045118_S. mansoni</t>
  </si>
  <si>
    <t>34.175301--0.047417</t>
  </si>
  <si>
    <t>34.175301--0.047417_S. mansoni</t>
  </si>
  <si>
    <t>34.207001--0.04788</t>
  </si>
  <si>
    <t>34.207001--0.04788_S. mansoni</t>
  </si>
  <si>
    <t>34.322498--0.049883</t>
  </si>
  <si>
    <t>34.322498--0.049883_S. mansoni</t>
  </si>
  <si>
    <t>34.311501--0.05341</t>
  </si>
  <si>
    <t>34.311501--0.05341_S. mansoni</t>
  </si>
  <si>
    <t>34.1912--0.057383</t>
  </si>
  <si>
    <t>34.1912--0.057383_S. mansoni</t>
  </si>
  <si>
    <t>34.3615--0.0575</t>
  </si>
  <si>
    <t>34.3615--0.0575_S. mansoni</t>
  </si>
  <si>
    <t>34.334499--0.058317</t>
  </si>
  <si>
    <t>34.334499--0.058317_S. mansoni</t>
  </si>
  <si>
    <t>34.241402--0.060425</t>
  </si>
  <si>
    <t>34.241402--0.060425_S. mansoni</t>
  </si>
  <si>
    <t>34.280399--0.063817</t>
  </si>
  <si>
    <t>34.280399--0.063817_S. mansoni</t>
  </si>
  <si>
    <t>34.195599--0.064317</t>
  </si>
  <si>
    <t>34.195599--0.064317_S. mansoni</t>
  </si>
  <si>
    <t>34.353401--0.0657</t>
  </si>
  <si>
    <t>34.353401--0.0657_S. mansoni</t>
  </si>
  <si>
    <t>34.055199--0.066475</t>
  </si>
  <si>
    <t>34.055199--0.066475_S. mansoni</t>
  </si>
  <si>
    <t>34.75--0.06667</t>
  </si>
  <si>
    <t>34.75--0.06667_S. haematobium</t>
  </si>
  <si>
    <t>34.2174--0.068833</t>
  </si>
  <si>
    <t>34.2174--0.068833_S. mansoni</t>
  </si>
  <si>
    <t>34.372898--0.069794</t>
  </si>
  <si>
    <t>34.372898--0.069794_S. mansoni</t>
  </si>
  <si>
    <t>34.372898--0.069794_S. haematobium</t>
  </si>
  <si>
    <t>34.322201--0.072617</t>
  </si>
  <si>
    <t>34.322201--0.072617_S. mansoni</t>
  </si>
  <si>
    <t>34.330601--0.07275</t>
  </si>
  <si>
    <t>34.330601--0.07275_S. mansoni</t>
  </si>
  <si>
    <t>34.058498--0.07313</t>
  </si>
  <si>
    <t>34.058498--0.07313_S. mansoni</t>
  </si>
  <si>
    <t>34.395401--0.07504</t>
  </si>
  <si>
    <t>34.395401--0.07504_S. mansoni</t>
  </si>
  <si>
    <t>34.395401--0.07504_S. haematobium</t>
  </si>
  <si>
    <t>34.8218--0.076382</t>
  </si>
  <si>
    <t>34.8218--0.076382_S. haematobium</t>
  </si>
  <si>
    <t>34.8218--0.076382_S. mansoni</t>
  </si>
  <si>
    <t>34.2565--0.077933</t>
  </si>
  <si>
    <t>34.2565--0.077933_S. mansoni</t>
  </si>
  <si>
    <t>34.385101--0.080215</t>
  </si>
  <si>
    <t>34.385101--0.080215_S. mansoni</t>
  </si>
  <si>
    <t>34.385101--0.080215_S. haematobium</t>
  </si>
  <si>
    <t>34.773899--0.080968</t>
  </si>
  <si>
    <t>34.773899--0.080968_S. haematobium</t>
  </si>
  <si>
    <t>34.706699--0.081403</t>
  </si>
  <si>
    <t>34.706699--0.081403_S. haematobium</t>
  </si>
  <si>
    <t>34.2537--0.0843</t>
  </si>
  <si>
    <t>34.2537--0.0843_S. mansoni</t>
  </si>
  <si>
    <t>34.2248--0.08505</t>
  </si>
  <si>
    <t>34.2248--0.08505_S. mansoni</t>
  </si>
  <si>
    <t>34.7897--0.085345</t>
  </si>
  <si>
    <t>34.7897--0.085345_S. haematobium</t>
  </si>
  <si>
    <t>34.7897--0.085345_S. mansoni</t>
  </si>
  <si>
    <t>34.369999--0.08823</t>
  </si>
  <si>
    <t>34.369999--0.08823_S. mansoni</t>
  </si>
  <si>
    <t>34.369999--0.08823_S. haematobium</t>
  </si>
  <si>
    <t>34.213699--0.09104</t>
  </si>
  <si>
    <t>34.213699--0.09104_S. mansoni</t>
  </si>
  <si>
    <t>34.767899--0.091324</t>
  </si>
  <si>
    <t>34.767899--0.091324_S. haematobium</t>
  </si>
  <si>
    <t>34.399101--0.093704</t>
  </si>
  <si>
    <t>34.399101--0.093704_S. mansoni</t>
  </si>
  <si>
    <t>34.399101--0.093704_S. haematobium</t>
  </si>
  <si>
    <t>34.846298--0.093917</t>
  </si>
  <si>
    <t>34.846298--0.093917_S. haematobium</t>
  </si>
  <si>
    <t>34.846298--0.093917_S. mansoni</t>
  </si>
  <si>
    <t>34.354--0.094055</t>
  </si>
  <si>
    <t>34.354--0.094055_S. mansoni</t>
  </si>
  <si>
    <t>34.354--0.094055_S. haematobium</t>
  </si>
  <si>
    <t>34.274601--0.099392</t>
  </si>
  <si>
    <t>34.274601--0.099392_S. mansoni</t>
  </si>
  <si>
    <t>34.75--0.1</t>
  </si>
  <si>
    <t>34.75--0.1_S. mansoni</t>
  </si>
  <si>
    <t>34.75--0.1_S. haematobium</t>
  </si>
  <si>
    <t>34.375099--0.10359</t>
  </si>
  <si>
    <t>34.375099--0.10359_S. mansoni</t>
  </si>
  <si>
    <t>34.375099--0.10359_S. haematobium</t>
  </si>
  <si>
    <t>34.3992--0.10376</t>
  </si>
  <si>
    <t>34.3992--0.10376_S. mansoni</t>
  </si>
  <si>
    <t>34.3992--0.10376_S. haematobium</t>
  </si>
  <si>
    <t>34.355701--0.104715</t>
  </si>
  <si>
    <t>34.355701--0.104715_S. mansoni</t>
  </si>
  <si>
    <t>34.355701--0.104715_S. haematobium</t>
  </si>
  <si>
    <t>34.7183--0.10519</t>
  </si>
  <si>
    <t>34.7183--0.10519_S. mansoni</t>
  </si>
  <si>
    <t>34.9333--0.109484</t>
  </si>
  <si>
    <t>34.9333--0.109484_S. haematobium</t>
  </si>
  <si>
    <t>34.9333--0.109484_S. mansoni</t>
  </si>
  <si>
    <t>34.308201--0.11398</t>
  </si>
  <si>
    <t>34.308201--0.11398_S. mansoni</t>
  </si>
  <si>
    <t>34.965--0.115096</t>
  </si>
  <si>
    <t>34.965--0.115096_S. haematobium</t>
  </si>
  <si>
    <t>34.965--0.115096_S. mansoni</t>
  </si>
  <si>
    <t>34.345798--0.120418</t>
  </si>
  <si>
    <t>34.345798--0.120418_S. mansoni</t>
  </si>
  <si>
    <t>34.345798--0.120418_S. haematobium</t>
  </si>
  <si>
    <t>34.811699--0.120428</t>
  </si>
  <si>
    <t>34.811699--0.120428_S. haematobium</t>
  </si>
  <si>
    <t>34.987598--0.121186</t>
  </si>
  <si>
    <t>34.987598--0.121186_S. haematobium</t>
  </si>
  <si>
    <t>34.382599--0.12298</t>
  </si>
  <si>
    <t>34.382599--0.12298_S. mansoni</t>
  </si>
  <si>
    <t>34.382599--0.12298_S. haematobium</t>
  </si>
  <si>
    <t>34.2621--0.1236</t>
  </si>
  <si>
    <t>34.2621--0.1236_S. mansoni</t>
  </si>
  <si>
    <t>34.375401--0.12567</t>
  </si>
  <si>
    <t>34.375401--0.12567_S. mansoni</t>
  </si>
  <si>
    <t>34.375401--0.12567_S. haematobium</t>
  </si>
  <si>
    <t>34.395199--0.128487</t>
  </si>
  <si>
    <t>34.395199--0.128487_S. mansoni</t>
  </si>
  <si>
    <t>34.395199--0.128487_S. haematobium</t>
  </si>
  <si>
    <t>34.890999--0.132401</t>
  </si>
  <si>
    <t>34.890999--0.132401_S. haematobium</t>
  </si>
  <si>
    <t>34.419998--0.133078</t>
  </si>
  <si>
    <t>34.419998--0.133078_S. mansoni</t>
  </si>
  <si>
    <t>34.419998--0.133078_S. haematobium</t>
  </si>
  <si>
    <t>34.369099--0.13498</t>
  </si>
  <si>
    <t>34.369099--0.13498_S. mansoni</t>
  </si>
  <si>
    <t>34.369099--0.13498_S. haematobium</t>
  </si>
  <si>
    <t>34.408501--0.135736</t>
  </si>
  <si>
    <t>34.408501--0.135736_S. mansoni</t>
  </si>
  <si>
    <t>34.408501--0.135736_S. haematobium</t>
  </si>
  <si>
    <t>34.278198--0.13592</t>
  </si>
  <si>
    <t>34.278198--0.13592_S. mansoni</t>
  </si>
  <si>
    <t>34.356701--0.13654</t>
  </si>
  <si>
    <t>34.356701--0.13654_S. mansoni</t>
  </si>
  <si>
    <t>34.356701--0.13654_S. haematobium</t>
  </si>
  <si>
    <t>34.388302--0.13778</t>
  </si>
  <si>
    <t>34.388302--0.13778_S. mansoni</t>
  </si>
  <si>
    <t>34.388302--0.13778_S. haematobium</t>
  </si>
  <si>
    <t>34.301201--0.1383</t>
  </si>
  <si>
    <t>34.301201--0.1383_S. mansoni</t>
  </si>
  <si>
    <t>34.931801--0.140705</t>
  </si>
  <si>
    <t>34.931801--0.140705_S. haematobium</t>
  </si>
  <si>
    <t>34.931801--0.140705_S. mansoni</t>
  </si>
  <si>
    <t>34.739799--0.141016</t>
  </si>
  <si>
    <t>34.739799--0.141016_S. haematobium</t>
  </si>
  <si>
    <t>34.877499--0.141317</t>
  </si>
  <si>
    <t>34.877499--0.141317_S. haematobium</t>
  </si>
  <si>
    <t>34.7369--0.143581</t>
  </si>
  <si>
    <t>34.7369--0.143581_S. haematobium</t>
  </si>
  <si>
    <t>34.362598--0.14751</t>
  </si>
  <si>
    <t>34.362598--0.14751_S. mansoni</t>
  </si>
  <si>
    <t>34.362598--0.14751_S. haematobium</t>
  </si>
  <si>
    <t>34.392799--0.149338</t>
  </si>
  <si>
    <t>34.392799--0.149338_S. mansoni</t>
  </si>
  <si>
    <t>34.392799--0.149338_S. haematobium</t>
  </si>
  <si>
    <t>34.382702--0.149608</t>
  </si>
  <si>
    <t>34.382702--0.149608_S. mansoni</t>
  </si>
  <si>
    <t>34.382702--0.149608_S. haematobium</t>
  </si>
  <si>
    <t>34.4081--0.149884</t>
  </si>
  <si>
    <t>34.4081--0.149884_S. mansoni</t>
  </si>
  <si>
    <t>34.4081--0.149884_S. haematobium</t>
  </si>
  <si>
    <t>34.7906--0.151098</t>
  </si>
  <si>
    <t>34.7906--0.151098_S. haematobium</t>
  </si>
  <si>
    <t>34.7906--0.151098_S. mansoni</t>
  </si>
  <si>
    <t>34.293598--0.152583</t>
  </si>
  <si>
    <t>34.293598--0.152583_S. mansoni</t>
  </si>
  <si>
    <t>34.9827--0.153242</t>
  </si>
  <si>
    <t>34.9827--0.153242_S. haematobium</t>
  </si>
  <si>
    <t>34.3647--0.15717</t>
  </si>
  <si>
    <t>34.3647--0.15717_S. mansoni</t>
  </si>
  <si>
    <t>34.3647--0.15717_S. haematobium</t>
  </si>
  <si>
    <t>34.811699--0.158866</t>
  </si>
  <si>
    <t>34.811699--0.158866_S. haematobium</t>
  </si>
  <si>
    <t>34.811699--0.158866_S. mansoni</t>
  </si>
  <si>
    <t>34.396801--0.161663</t>
  </si>
  <si>
    <t>34.396801--0.161663_S. mansoni</t>
  </si>
  <si>
    <t>34.396801--0.161663_S. haematobium</t>
  </si>
  <si>
    <t>35.599998--0.1667</t>
  </si>
  <si>
    <t>35.599998--0.1667_S. mansoni</t>
  </si>
  <si>
    <t>35.599998--0.1667_S. haematobium</t>
  </si>
  <si>
    <t>34.891602--0.16747</t>
  </si>
  <si>
    <t>34.891602--0.16747_S. haematobium</t>
  </si>
  <si>
    <t>34.347--0.16936</t>
  </si>
  <si>
    <t>34.347--0.16936_S. mansoni</t>
  </si>
  <si>
    <t>34.347--0.16936_S. haematobium</t>
  </si>
  <si>
    <t>34.822701--0.169523</t>
  </si>
  <si>
    <t>34.822701--0.169523_S. mansoni</t>
  </si>
  <si>
    <t>34.8498--0.170088</t>
  </si>
  <si>
    <t>34.8498--0.170088_S. haematobium</t>
  </si>
  <si>
    <t>34.8498--0.170088_S. mansoni</t>
  </si>
  <si>
    <t>35.0891--0.170189</t>
  </si>
  <si>
    <t>35.0891--0.170189_S. haematobium</t>
  </si>
  <si>
    <t>34.937199--0.171289</t>
  </si>
  <si>
    <t>34.937199--0.171289_S. haematobium</t>
  </si>
  <si>
    <t>34.396999--0.172688</t>
  </si>
  <si>
    <t>34.396999--0.172688_S. mansoni</t>
  </si>
  <si>
    <t>34.396999--0.172688_S. haematobium</t>
  </si>
  <si>
    <t>34.806801--0.172837</t>
  </si>
  <si>
    <t>34.806801--0.172837_S. mansoni</t>
  </si>
  <si>
    <t>34.379398--0.173728</t>
  </si>
  <si>
    <t>34.379398--0.173728_S. mansoni</t>
  </si>
  <si>
    <t>34.379398--0.173728_S. haematobium</t>
  </si>
  <si>
    <t>34.356098--0.17747</t>
  </si>
  <si>
    <t>34.356098--0.17747_S. mansoni</t>
  </si>
  <si>
    <t>34.356098--0.17747_S. haematobium</t>
  </si>
  <si>
    <t>34.3866--0.178254</t>
  </si>
  <si>
    <t>34.3866--0.178254_S. mansoni</t>
  </si>
  <si>
    <t>34.3866--0.178254_S. haematobium</t>
  </si>
  <si>
    <t>34.368999--0.1795</t>
  </si>
  <si>
    <t>34.368999--0.1795_S. mansoni</t>
  </si>
  <si>
    <t>34.368999--0.1795_S. haematobium</t>
  </si>
  <si>
    <t>34.3857--0.18319</t>
  </si>
  <si>
    <t>34.3857--0.18319_S. mansoni</t>
  </si>
  <si>
    <t>34.387501--0.18737</t>
  </si>
  <si>
    <t>34.387501--0.18737_S. mansoni</t>
  </si>
  <si>
    <t>34.980801--0.190734</t>
  </si>
  <si>
    <t>34.980801--0.190734_S. haematobium</t>
  </si>
  <si>
    <t>34.952499--0.195473</t>
  </si>
  <si>
    <t>34.952499--0.195473_S. haematobium</t>
  </si>
  <si>
    <t>34.827801--0.197654</t>
  </si>
  <si>
    <t>34.827801--0.197654_S. haematobium</t>
  </si>
  <si>
    <t>34.827801--0.197654_S. mansoni</t>
  </si>
  <si>
    <t>34.833302--0.21667</t>
  </si>
  <si>
    <t>34.833302--0.21667_S. mansoni</t>
  </si>
  <si>
    <t>34.873199--0.216866</t>
  </si>
  <si>
    <t>34.873199--0.216866_S. haematobium</t>
  </si>
  <si>
    <t>34.873199--0.216866_S. mansoni</t>
  </si>
  <si>
    <t>34.837601--0.217037</t>
  </si>
  <si>
    <t>34.837601--0.217037_S. haematobium</t>
  </si>
  <si>
    <t>34.837601--0.217037_S. mansoni</t>
  </si>
  <si>
    <t>34.8475--0.230334</t>
  </si>
  <si>
    <t>34.8475--0.230334_S. mansoni</t>
  </si>
  <si>
    <t>34.956799--0.241019</t>
  </si>
  <si>
    <t>34.956799--0.241019_S. haematobium</t>
  </si>
  <si>
    <t>34.956799--0.241019_S. mansoni</t>
  </si>
  <si>
    <t>34.850101--0.247104</t>
  </si>
  <si>
    <t>34.850101--0.247104_S. mansoni</t>
  </si>
  <si>
    <t>34.962502--0.261843</t>
  </si>
  <si>
    <t>34.962502--0.261843_S. haematobium</t>
  </si>
  <si>
    <t>34.962502--0.261843_S. mansoni</t>
  </si>
  <si>
    <t>35.017899--0.26355</t>
  </si>
  <si>
    <t>35.017899--0.26355_S. haematobium</t>
  </si>
  <si>
    <t>35.017899--0.26355_S. mansoni</t>
  </si>
  <si>
    <t>34.9687--0.269146</t>
  </si>
  <si>
    <t>34.9687--0.269146_S. haematobium</t>
  </si>
  <si>
    <t>34.954498--0.285565</t>
  </si>
  <si>
    <t>34.954498--0.285565_S. haematobium</t>
  </si>
  <si>
    <t>34.954498--0.285565_S. mansoni</t>
  </si>
  <si>
    <t>34.9757--0.28981</t>
  </si>
  <si>
    <t>34.9757--0.28981_S. haematobium</t>
  </si>
  <si>
    <t>34.9757--0.28981_S. mansoni</t>
  </si>
  <si>
    <t>34.857399--0.29387</t>
  </si>
  <si>
    <t>34.857399--0.29387_S. mansoni</t>
  </si>
  <si>
    <t>34.931702--0.308489</t>
  </si>
  <si>
    <t>34.931702--0.308489_S. haematobium</t>
  </si>
  <si>
    <t>34.931702--0.308489_S. mansoni</t>
  </si>
  <si>
    <t>35.316799--0.30938</t>
  </si>
  <si>
    <t>35.316799--0.30938_S. mansoni</t>
  </si>
  <si>
    <t>35.316799--0.30938_S. haematobium</t>
  </si>
  <si>
    <t>34.9319--0.310034</t>
  </si>
  <si>
    <t>34.9319--0.310034_S. haematobium</t>
  </si>
  <si>
    <t>34.9319--0.310034_S. mansoni</t>
  </si>
  <si>
    <t>34.937302--0.311622</t>
  </si>
  <si>
    <t>34.937302--0.311622_S. haematobium</t>
  </si>
  <si>
    <t>34.937302--0.311622_S. mansoni</t>
  </si>
  <si>
    <t>34.9034--0.326227</t>
  </si>
  <si>
    <t>34.9034--0.326227_S. haematobium</t>
  </si>
  <si>
    <t>34.9034--0.326227_S. mansoni</t>
  </si>
  <si>
    <t>34.844501--0.326749</t>
  </si>
  <si>
    <t>34.844501--0.326749_S. haematobium</t>
  </si>
  <si>
    <t>34.844501--0.326749_S. mansoni</t>
  </si>
  <si>
    <t>34.854--0.333748</t>
  </si>
  <si>
    <t>34.854--0.333748_S. haematobium</t>
  </si>
  <si>
    <t>34.854--0.333748_S. mansoni</t>
  </si>
  <si>
    <t>34.168201--0.379684</t>
  </si>
  <si>
    <t>34.168201--0.379684_S. mansoni</t>
  </si>
  <si>
    <t>34.213402--0.382205</t>
  </si>
  <si>
    <t>34.213402--0.382205_S. mansoni</t>
  </si>
  <si>
    <t>34.216202--0.382602</t>
  </si>
  <si>
    <t>34.216202--0.382602_S. mansoni</t>
  </si>
  <si>
    <t>34.3008--0.382617</t>
  </si>
  <si>
    <t>34.3008--0.382617_S. mansoni</t>
  </si>
  <si>
    <t>34.164299--0.398001</t>
  </si>
  <si>
    <t>34.164299--0.398001_S. mansoni</t>
  </si>
  <si>
    <t>34.1675--0.398738</t>
  </si>
  <si>
    <t>34.1675--0.398738_S. mansoni</t>
  </si>
  <si>
    <t>34.193001--0.402529</t>
  </si>
  <si>
    <t>34.193001--0.402529_S. mansoni</t>
  </si>
  <si>
    <t>34.2015--0.415325</t>
  </si>
  <si>
    <t>34.2015--0.415325_S. mansoni</t>
  </si>
  <si>
    <t>34.137699--0.419104</t>
  </si>
  <si>
    <t>34.137699--0.419104_S. mansoni</t>
  </si>
  <si>
    <t>34.159--0.423631</t>
  </si>
  <si>
    <t>34.159--0.423631_S. mansoni</t>
  </si>
  <si>
    <t>34.138599--0.42781</t>
  </si>
  <si>
    <t>34.138599--0.42781_S. mansoni</t>
  </si>
  <si>
    <t>34.0397--0.435561</t>
  </si>
  <si>
    <t>34.0397--0.435561_S. mansoni</t>
  </si>
  <si>
    <t>34.638199--0.435831</t>
  </si>
  <si>
    <t>34.638199--0.435831_S. haematobium</t>
  </si>
  <si>
    <t>34.021301--0.436848</t>
  </si>
  <si>
    <t>34.021301--0.436848_S. mansoni</t>
  </si>
  <si>
    <t>34.040798--0.446718</t>
  </si>
  <si>
    <t>34.040798--0.446718_S. mansoni</t>
  </si>
  <si>
    <t>33.9916--0.447834</t>
  </si>
  <si>
    <t>33.9916--0.447834_S. mansoni</t>
  </si>
  <si>
    <t>34.052601--0.453327</t>
  </si>
  <si>
    <t>34.052601--0.453327_S. mansoni</t>
  </si>
  <si>
    <t>39.658298--0.456944</t>
  </si>
  <si>
    <t>39.658298--0.456944_S. haematobium</t>
  </si>
  <si>
    <t>34.028801--0.459593</t>
  </si>
  <si>
    <t>34.028801--0.459593_S. mansoni</t>
  </si>
  <si>
    <t>33.9664--0.467146</t>
  </si>
  <si>
    <t>33.9664--0.467146_S. mansoni</t>
  </si>
  <si>
    <t>34.062901--0.47899</t>
  </si>
  <si>
    <t>34.062901--0.47899_S. mansoni</t>
  </si>
  <si>
    <t>34.026501--0.486371</t>
  </si>
  <si>
    <t>34.026501--0.486371_S. mansoni</t>
  </si>
  <si>
    <t>34.023201--0.493765</t>
  </si>
  <si>
    <t>34.023201--0.493765_S. mansoni</t>
  </si>
  <si>
    <t>34.366699--0.5</t>
  </si>
  <si>
    <t>34.366699--0.5_S. mansoni</t>
  </si>
  <si>
    <t>34.450001--0.5167</t>
  </si>
  <si>
    <t>34.450001--0.5167_S. mansoni</t>
  </si>
  <si>
    <t>34.450001--0.5167_S. haematobium</t>
  </si>
  <si>
    <t>37.450001--0.533333</t>
  </si>
  <si>
    <t>37.450001--0.533333_S. haematobium</t>
  </si>
  <si>
    <t>37.349998--0.58333</t>
  </si>
  <si>
    <t>37.349998--0.58333_S. mansoni</t>
  </si>
  <si>
    <t>37.4333--0.6</t>
  </si>
  <si>
    <t>37.4333--0.6_S. mansoni</t>
  </si>
  <si>
    <t>37.299999--0.61667</t>
  </si>
  <si>
    <t>37.299999--0.61667_S. mansoni</t>
  </si>
  <si>
    <t>37.366699--0.6167</t>
  </si>
  <si>
    <t>37.366699--0.6167_S. mansoni</t>
  </si>
  <si>
    <t>37.366699--0.6167_S. haematobium</t>
  </si>
  <si>
    <t>37.321999--0.663787</t>
  </si>
  <si>
    <t>37.321999--0.663787_S. mansoni</t>
  </si>
  <si>
    <t>37.349998--0.68333</t>
  </si>
  <si>
    <t>37.349998--0.68333_S. mansoni</t>
  </si>
  <si>
    <t>34.766701--0.683333</t>
  </si>
  <si>
    <t>34.766701--0.683333_S. haematobium</t>
  </si>
  <si>
    <t>37.344601--0.6981</t>
  </si>
  <si>
    <t>37.344601--0.6981_S. mansoni</t>
  </si>
  <si>
    <t>37.366699--0.7</t>
  </si>
  <si>
    <t>37.366699--0.7_S. mansoni</t>
  </si>
  <si>
    <t>37.439098--0.71293</t>
  </si>
  <si>
    <t>37.439098--0.71293_S. mansoni</t>
  </si>
  <si>
    <t>36.4333--0.7167</t>
  </si>
  <si>
    <t>36.4333--0.7167_S. mansoni</t>
  </si>
  <si>
    <t>36.4333--0.7167_S. haematobium</t>
  </si>
  <si>
    <t>37.321602--0.7256</t>
  </si>
  <si>
    <t>37.321602--0.7256_S. mansoni</t>
  </si>
  <si>
    <t>37.330502--0.73025</t>
  </si>
  <si>
    <t>37.330502--0.73025_S. mansoni</t>
  </si>
  <si>
    <t>34.126801--1.01244</t>
  </si>
  <si>
    <t>34.126801--1.01244_S. mansoni</t>
  </si>
  <si>
    <t>36.733299--1.0333</t>
  </si>
  <si>
    <t>36.733299--1.0333_S. mansoni</t>
  </si>
  <si>
    <t>37.545898--1.14695</t>
  </si>
  <si>
    <t>37.545898--1.14695_S. haematobium</t>
  </si>
  <si>
    <t>37.233299--1.18333</t>
  </si>
  <si>
    <t>37.233299--1.18333_S. haematobium</t>
  </si>
  <si>
    <t>40.001999--1.20539</t>
  </si>
  <si>
    <t>40.001999--1.20539_S. haematobium</t>
  </si>
  <si>
    <t>37.266701--1.21667</t>
  </si>
  <si>
    <t>37.266701--1.21667_S. haematobium</t>
  </si>
  <si>
    <t>37.295799--1.22208</t>
  </si>
  <si>
    <t>37.295799--1.22208_S. mansoni</t>
  </si>
  <si>
    <t>36.8167--1.2833</t>
  </si>
  <si>
    <t>36.8167--1.2833_S. mansoni</t>
  </si>
  <si>
    <t>36.849998--1.28333</t>
  </si>
  <si>
    <t>36.849998--1.28333_S. mansoni</t>
  </si>
  <si>
    <t>36.821899--1.29216</t>
  </si>
  <si>
    <t>36.821899--1.29216_S. mansoni</t>
  </si>
  <si>
    <t>37.349998--1.3</t>
  </si>
  <si>
    <t>37.349998--1.3_S. mansoni</t>
  </si>
  <si>
    <t>37.349998--1.3_S. haematobium</t>
  </si>
  <si>
    <t>37.4333--1.31667</t>
  </si>
  <si>
    <t>37.4333--1.31667_S. haematobium</t>
  </si>
  <si>
    <t>37.3167--1.34875</t>
  </si>
  <si>
    <t>37.3167--1.34875_S. mansoni</t>
  </si>
  <si>
    <t>37.351299--1.35074</t>
  </si>
  <si>
    <t>37.351299--1.35074_S. mansoni</t>
  </si>
  <si>
    <t>38.016701--1.3667</t>
  </si>
  <si>
    <t>38.016701--1.3667_S. mansoni</t>
  </si>
  <si>
    <t>38.016701--1.3667_S. haematobium</t>
  </si>
  <si>
    <t>37.344101--1.36751</t>
  </si>
  <si>
    <t>37.344101--1.36751_S. mansoni</t>
  </si>
  <si>
    <t>37.3573--1.37496</t>
  </si>
  <si>
    <t>37.3573--1.37496_S. mansoni</t>
  </si>
  <si>
    <t>37.306--1.375</t>
  </si>
  <si>
    <t>37.306--1.375_S. mansoni</t>
  </si>
  <si>
    <t>37.306--1.37771</t>
  </si>
  <si>
    <t>37.306--1.37771_S. mansoni</t>
  </si>
  <si>
    <t>37.306--1.37771_S. haematobium</t>
  </si>
  <si>
    <t>37.3475--1.38165</t>
  </si>
  <si>
    <t>37.3475--1.38165_S. mansoni</t>
  </si>
  <si>
    <t>37.350498--1.3818</t>
  </si>
  <si>
    <t>37.350498--1.3818_S. mansoni</t>
  </si>
  <si>
    <t>37.383301--1.38333</t>
  </si>
  <si>
    <t>37.383301--1.38333_S. mansoni</t>
  </si>
  <si>
    <t>37.391899--1.3875</t>
  </si>
  <si>
    <t>37.391899--1.3875_S. mansoni</t>
  </si>
  <si>
    <t>37.391899--1.3875_S. haematobium</t>
  </si>
  <si>
    <t>37.383099--1.39855</t>
  </si>
  <si>
    <t>37.383099--1.39855_S. mansoni</t>
  </si>
  <si>
    <t>37.377998--1.40014</t>
  </si>
  <si>
    <t>37.377998--1.40014_S. mansoni</t>
  </si>
  <si>
    <t>37.25--1.4667</t>
  </si>
  <si>
    <t>37.25--1.4667_S. mansoni</t>
  </si>
  <si>
    <t>40.0289--1.50361</t>
  </si>
  <si>
    <t>40.0289--1.50361_S. haematobium</t>
  </si>
  <si>
    <t>38.091599--1.50807</t>
  </si>
  <si>
    <t>38.091599--1.50807_S. haematobium</t>
  </si>
  <si>
    <t>37.5667--1.51667</t>
  </si>
  <si>
    <t>37.5667--1.51667_S. mansoni</t>
  </si>
  <si>
    <t>37.233299--1.5167</t>
  </si>
  <si>
    <t>37.233299--1.5167_S. mansoni</t>
  </si>
  <si>
    <t>37.233299--1.5167_S. haematobium</t>
  </si>
  <si>
    <t>37.349998--1.5167</t>
  </si>
  <si>
    <t>37.349998--1.5167_S. mansoni</t>
  </si>
  <si>
    <t>37.263401--1.51748</t>
  </si>
  <si>
    <t>37.263401--1.51748_S. mansoni</t>
  </si>
  <si>
    <t>37.2635--1.51765</t>
  </si>
  <si>
    <t>37.2635--1.51765_S. mansoni</t>
  </si>
  <si>
    <t>37.269901--1.52029</t>
  </si>
  <si>
    <t>37.269901--1.52029_S. mansoni</t>
  </si>
  <si>
    <t>37.91--1.54</t>
  </si>
  <si>
    <t>37.91--1.54_S. mansoni</t>
  </si>
  <si>
    <t>37.91--1.54_S. haematobium</t>
  </si>
  <si>
    <t>38.088501--1.60323</t>
  </si>
  <si>
    <t>38.088501--1.60323_S. haematobium</t>
  </si>
  <si>
    <t>37.366699--1.76667</t>
  </si>
  <si>
    <t>37.366699--1.76667_S. haematobium</t>
  </si>
  <si>
    <t>37.366699--1.76667_S. mansoni</t>
  </si>
  <si>
    <t>37.506802--1.91072</t>
  </si>
  <si>
    <t>37.506802--1.91072_S. mansoni</t>
  </si>
  <si>
    <t>37.383301--1.91667</t>
  </si>
  <si>
    <t>37.383301--1.91667_S. mansoni</t>
  </si>
  <si>
    <t>40.903301--2.27833</t>
  </si>
  <si>
    <t>40.903301--2.27833_S. haematobium</t>
  </si>
  <si>
    <t>37.8167--2.2833</t>
  </si>
  <si>
    <t>37.8167--2.2833_S. mansoni</t>
  </si>
  <si>
    <t>37.8167--2.2833_S. haematobium</t>
  </si>
  <si>
    <t>37.898201--2.36117</t>
  </si>
  <si>
    <t>37.898201--2.36117_S. mansoni</t>
  </si>
  <si>
    <t>38.115299--2.47483</t>
  </si>
  <si>
    <t>38.115299--2.47483_S. mansoni</t>
  </si>
  <si>
    <t>38.0355--2.4759</t>
  </si>
  <si>
    <t>38.0355--2.4759_S. mansoni</t>
  </si>
  <si>
    <t>38.016701--2.48333</t>
  </si>
  <si>
    <t>38.016701--2.48333_S. mansoni</t>
  </si>
  <si>
    <t>40.538898--2.52278</t>
  </si>
  <si>
    <t>40.538898--2.52278_S. haematobium</t>
  </si>
  <si>
    <t>38.200298--2.54577</t>
  </si>
  <si>
    <t>38.200298--2.54577_S. mansoni</t>
  </si>
  <si>
    <t>38.135899--2.55116</t>
  </si>
  <si>
    <t>38.135899--2.55116_S. mansoni</t>
  </si>
  <si>
    <t>38.151299--2.57665</t>
  </si>
  <si>
    <t>38.151299--2.57665_S. mansoni</t>
  </si>
  <si>
    <t>38.151299--2.57665_S. haematobium</t>
  </si>
  <si>
    <t>38.075699--2.59538</t>
  </si>
  <si>
    <t>38.075699--2.59538_S. mansoni</t>
  </si>
  <si>
    <t>37.9991--2.6043</t>
  </si>
  <si>
    <t>37.9991--2.6043_S. mansoni</t>
  </si>
  <si>
    <t>38.221802--2.61185</t>
  </si>
  <si>
    <t>38.221802--2.61185_S. mansoni</t>
  </si>
  <si>
    <t>38.170101--2.68998</t>
  </si>
  <si>
    <t>38.170101--2.68998_S. mansoni</t>
  </si>
  <si>
    <t>40.019199--3.18685</t>
  </si>
  <si>
    <t>40.019199--3.18685_S. mansoni</t>
  </si>
  <si>
    <t>40.019199--3.18685_S. haematobium</t>
  </si>
  <si>
    <t>40.116699--3.21667</t>
  </si>
  <si>
    <t>40.116699--3.21667_S. haematobium</t>
  </si>
  <si>
    <t>37.736--3.29582</t>
  </si>
  <si>
    <t>37.736--3.29582_S. mansoni</t>
  </si>
  <si>
    <t>37.736--3.29582_S. haematobium</t>
  </si>
  <si>
    <t>38.349899--3.38233</t>
  </si>
  <si>
    <t>38.349899--3.38233_S. mansoni</t>
  </si>
  <si>
    <t>38.349899--3.38233_S. haematobium</t>
  </si>
  <si>
    <t>38.5667--3.3833</t>
  </si>
  <si>
    <t>38.5667--3.3833_S. mansoni</t>
  </si>
  <si>
    <t>38.5667--3.3833_S. haematobium</t>
  </si>
  <si>
    <t>39.950001--3.38333</t>
  </si>
  <si>
    <t>39.950001--3.38333_S. haematobium</t>
  </si>
  <si>
    <t>37.6833--3.4</t>
  </si>
  <si>
    <t>37.6833--3.4_S. mansoni</t>
  </si>
  <si>
    <t>37.6833--3.4_S. haematobium</t>
  </si>
  <si>
    <t>38.366699--3.4</t>
  </si>
  <si>
    <t>38.366699--3.4_S. mansoni</t>
  </si>
  <si>
    <t>38.366699--3.4_S. haematobium</t>
  </si>
  <si>
    <t>37.687698--3.43541</t>
  </si>
  <si>
    <t>37.687698--3.43541_S. mansoni</t>
  </si>
  <si>
    <t>37.687698--3.43541_S. haematobium</t>
  </si>
  <si>
    <t>39.887798--3.46455</t>
  </si>
  <si>
    <t>39.887798--3.46455_S. haematobium</t>
  </si>
  <si>
    <t>37.680599--3.48084</t>
  </si>
  <si>
    <t>37.680599--3.48084_S. mansoni</t>
  </si>
  <si>
    <t>37.680599--3.48084_S. haematobium</t>
  </si>
  <si>
    <t>39.616699--3.48333</t>
  </si>
  <si>
    <t>39.616699--3.48333_S. haematobium</t>
  </si>
  <si>
    <t>39.820499--3.5139</t>
  </si>
  <si>
    <t>39.820499--3.5139_S. haematobium</t>
  </si>
  <si>
    <t>39.632401--3.52281</t>
  </si>
  <si>
    <t>39.632401--3.52281_S. haematobium</t>
  </si>
  <si>
    <t>39.466702--3.53333</t>
  </si>
  <si>
    <t>39.466702--3.53333_S. haematobium</t>
  </si>
  <si>
    <t>39.866699--3.55</t>
  </si>
  <si>
    <t>39.866699--3.55_S. haematobium</t>
  </si>
  <si>
    <t>39.842899--3.55963</t>
  </si>
  <si>
    <t>39.842899--3.55963_S. haematobium</t>
  </si>
  <si>
    <t>39.612499--3.5605</t>
  </si>
  <si>
    <t>39.612499--3.5605_S. haematobium</t>
  </si>
  <si>
    <t>39.866699--3.56667</t>
  </si>
  <si>
    <t>39.866699--3.56667_S. haematobium</t>
  </si>
  <si>
    <t>37.775101--3.58019</t>
  </si>
  <si>
    <t>37.775101--3.58019_S. mansoni</t>
  </si>
  <si>
    <t>37.775101--3.58019_S. haematobium</t>
  </si>
  <si>
    <t>39.599998--3.6</t>
  </si>
  <si>
    <t>39.599998--3.6_S. haematobium</t>
  </si>
  <si>
    <t>39.743--3.61902</t>
  </si>
  <si>
    <t>39.743--3.61902_S. haematobium</t>
  </si>
  <si>
    <t>39.6413--3.62629</t>
  </si>
  <si>
    <t>39.6413--3.62629_S. haematobium</t>
  </si>
  <si>
    <t>39.849998--3.63333</t>
  </si>
  <si>
    <t>39.849998--3.63333_S. haematobium</t>
  </si>
  <si>
    <t>39.466702--3.63333</t>
  </si>
  <si>
    <t>39.466702--3.63333_S. haematobium</t>
  </si>
  <si>
    <t>39.8167--3.7</t>
  </si>
  <si>
    <t>39.8167--3.7_S. haematobium</t>
  </si>
  <si>
    <t>39.783298--3.73333</t>
  </si>
  <si>
    <t>39.783298--3.73333_S. haematobium</t>
  </si>
  <si>
    <t>39.833302--3.78333</t>
  </si>
  <si>
    <t>39.833302--3.78333_S. haematobium</t>
  </si>
  <si>
    <t>39.575298--3.81368</t>
  </si>
  <si>
    <t>39.575298--3.81368_S. haematobium</t>
  </si>
  <si>
    <t>39.666698--3.8167</t>
  </si>
  <si>
    <t>39.666698--3.8167_S. haematobium</t>
  </si>
  <si>
    <t>39.761101--3.82987</t>
  </si>
  <si>
    <t>39.761101--3.82987_S. haematobium</t>
  </si>
  <si>
    <t>39.5392--3.83235</t>
  </si>
  <si>
    <t>39.5392--3.83235_S. haematobium</t>
  </si>
  <si>
    <t>39.766701--3.83333</t>
  </si>
  <si>
    <t>39.766701--3.83333_S. haematobium</t>
  </si>
  <si>
    <t>39.6147--3.85558</t>
  </si>
  <si>
    <t>39.6147--3.85558_S. haematobium</t>
  </si>
  <si>
    <t>39.577499--3.8614</t>
  </si>
  <si>
    <t>39.577499--3.8614_S. haematobium</t>
  </si>
  <si>
    <t>39.599998--3.86261</t>
  </si>
  <si>
    <t>39.599998--3.86261_S. haematobium</t>
  </si>
  <si>
    <t>39.5695--3.87682</t>
  </si>
  <si>
    <t>39.5695--3.87682_S. haematobium</t>
  </si>
  <si>
    <t>39.612202--3.87716</t>
  </si>
  <si>
    <t>39.612202--3.87716_S. haematobium</t>
  </si>
  <si>
    <t>39.549--3.88324</t>
  </si>
  <si>
    <t>39.549--3.88324_S. haematobium</t>
  </si>
  <si>
    <t>39.783298--3.88333</t>
  </si>
  <si>
    <t>39.783298--3.88333_S. haematobium</t>
  </si>
  <si>
    <t>39.599998--3.91667</t>
  </si>
  <si>
    <t>39.599998--3.91667_S. haematobium</t>
  </si>
  <si>
    <t>39.6469--3.9329</t>
  </si>
  <si>
    <t>39.6469--3.9329_S. haematobium</t>
  </si>
  <si>
    <t>39.539001--3.94261</t>
  </si>
  <si>
    <t>39.539001--3.94261_S. haematobium</t>
  </si>
  <si>
    <t>39.631302--3.95637</t>
  </si>
  <si>
    <t>39.631302--3.95637_S. haematobium</t>
  </si>
  <si>
    <t>39.646599--3.96901</t>
  </si>
  <si>
    <t>39.646599--3.96901_S. haematobium</t>
  </si>
  <si>
    <t>39.655499--4.08448</t>
  </si>
  <si>
    <t>39.655499--4.08448_S. haematobium</t>
  </si>
  <si>
    <t>39.5518--4.10493</t>
  </si>
  <si>
    <t>39.5518--4.10493_S. haematobium</t>
  </si>
  <si>
    <t>39.626999--4.11814</t>
  </si>
  <si>
    <t>39.626999--4.11814_S. haematobium</t>
  </si>
  <si>
    <t>39.6064--4.11859</t>
  </si>
  <si>
    <t>39.6064--4.11859_S. haematobium</t>
  </si>
  <si>
    <t>39.629002--4.12633</t>
  </si>
  <si>
    <t>39.629002--4.12633_S. haematobium</t>
  </si>
  <si>
    <t>39.4972--4.12687</t>
  </si>
  <si>
    <t>39.4972--4.12687_S. haematobium</t>
  </si>
  <si>
    <t>39.612801--4.12771</t>
  </si>
  <si>
    <t>39.612801--4.12771_S. haematobium</t>
  </si>
  <si>
    <t>39.423698--4.13006</t>
  </si>
  <si>
    <t>39.423698--4.13006_S. haematobium</t>
  </si>
  <si>
    <t>39.616699--4.13333</t>
  </si>
  <si>
    <t>39.616699--4.13333_S. haematobium</t>
  </si>
  <si>
    <t>39.617001--4.1432</t>
  </si>
  <si>
    <t>39.617001--4.1432_S. haematobium</t>
  </si>
  <si>
    <t>39.616699--4.15</t>
  </si>
  <si>
    <t>39.616699--4.15_S. haematobium</t>
  </si>
  <si>
    <t>39.486698--4.1515</t>
  </si>
  <si>
    <t>39.486698--4.1515_S. haematobium</t>
  </si>
  <si>
    <t>39.454102--4.15534</t>
  </si>
  <si>
    <t>39.454102--4.15534_S. haematobium</t>
  </si>
  <si>
    <t>39.587399--4.16341</t>
  </si>
  <si>
    <t>39.587399--4.16341_S. haematobium</t>
  </si>
  <si>
    <t>39.604--4.16777</t>
  </si>
  <si>
    <t>39.604--4.16777_S. haematobium</t>
  </si>
  <si>
    <t>39.569199--4.16925</t>
  </si>
  <si>
    <t>39.569199--4.16925_S. haematobium</t>
  </si>
  <si>
    <t>39.4604--4.17428</t>
  </si>
  <si>
    <t>39.4604--4.17428_S. haematobium</t>
  </si>
  <si>
    <t>39.4603--4.17437</t>
  </si>
  <si>
    <t>39.4603--4.17437_S. haematobium</t>
  </si>
  <si>
    <t>39.587601--4.17488</t>
  </si>
  <si>
    <t>39.587601--4.17488_S. haematobium</t>
  </si>
  <si>
    <t>39.457401--4.17904</t>
  </si>
  <si>
    <t>39.457401--4.17904_S. haematobium</t>
  </si>
  <si>
    <t>39.533298--4.18333</t>
  </si>
  <si>
    <t>39.533298--4.18333_S. haematobium</t>
  </si>
  <si>
    <t>39.5065--4.18453</t>
  </si>
  <si>
    <t>39.5065--4.18453_S. haematobium</t>
  </si>
  <si>
    <t>39.4893--4.18507</t>
  </si>
  <si>
    <t>39.4893--4.18507_S. haematobium</t>
  </si>
  <si>
    <t>39.5797--4.18924</t>
  </si>
  <si>
    <t>39.5797--4.18924_S. haematobium</t>
  </si>
  <si>
    <t>39.561798--4.19263</t>
  </si>
  <si>
    <t>39.561798--4.19263_S. haematobium</t>
  </si>
  <si>
    <t>39.5965--4.19924</t>
  </si>
  <si>
    <t>39.5965--4.19924_S. haematobium</t>
  </si>
  <si>
    <t>39.583302--4.2</t>
  </si>
  <si>
    <t>39.583302--4.2_S. haematobium</t>
  </si>
  <si>
    <t>39.599998--4.2</t>
  </si>
  <si>
    <t>39.599998--4.2_S. haematobium</t>
  </si>
  <si>
    <t>39.5028--4.20122</t>
  </si>
  <si>
    <t>39.5028--4.20122_S. haematobium</t>
  </si>
  <si>
    <t>39.387798--4.20597</t>
  </si>
  <si>
    <t>39.387798--4.20597_S. haematobium</t>
  </si>
  <si>
    <t>39.5546--4.21111</t>
  </si>
  <si>
    <t>39.5546--4.21111_S. haematobium</t>
  </si>
  <si>
    <t>39.583--4.21231</t>
  </si>
  <si>
    <t>39.583--4.21231_S. haematobium</t>
  </si>
  <si>
    <t>39.549999--4.21667</t>
  </si>
  <si>
    <t>39.549999--4.21667_S. haematobium</t>
  </si>
  <si>
    <t>39.570301--4.22096</t>
  </si>
  <si>
    <t>39.570301--4.22096_S. haematobium</t>
  </si>
  <si>
    <t>39.537399--4.22135</t>
  </si>
  <si>
    <t>39.537399--4.22135_S. haematobium</t>
  </si>
  <si>
    <t>39.5881--4.22626</t>
  </si>
  <si>
    <t>39.5881--4.22626_S. haematobium</t>
  </si>
  <si>
    <t>39.580601--4.23142</t>
  </si>
  <si>
    <t>39.580601--4.23142_S. haematobium</t>
  </si>
  <si>
    <t>39.548698--4.23254</t>
  </si>
  <si>
    <t>39.548698--4.23254_S. haematobium</t>
  </si>
  <si>
    <t>39.581902--4.24029</t>
  </si>
  <si>
    <t>39.581902--4.24029_S. haematobium</t>
  </si>
  <si>
    <t>39.491299--4.2417</t>
  </si>
  <si>
    <t>39.491299--4.2417_S. haematobium</t>
  </si>
  <si>
    <t>39.577099--4.24483</t>
  </si>
  <si>
    <t>39.577099--4.24483_S. haematobium</t>
  </si>
  <si>
    <t>39.571301--4.25061</t>
  </si>
  <si>
    <t>39.571301--4.25061_S. haematobium</t>
  </si>
  <si>
    <t>39.5667--4.26667</t>
  </si>
  <si>
    <t>39.5667--4.26667_S. haematobium</t>
  </si>
  <si>
    <t>39.473701--4.27551</t>
  </si>
  <si>
    <t>39.473701--4.27551_S. haematobium</t>
  </si>
  <si>
    <t>39.566399--4.28144</t>
  </si>
  <si>
    <t>39.566399--4.28144_S. haematobium</t>
  </si>
  <si>
    <t>39.566299--4.28144</t>
  </si>
  <si>
    <t>39.566299--4.28144_S. haematobium</t>
  </si>
  <si>
    <t>39.5667--4.28161</t>
  </si>
  <si>
    <t>39.5667--4.28161_S. haematobium</t>
  </si>
  <si>
    <t>39.516701--4.28333</t>
  </si>
  <si>
    <t>39.516701--4.28333_S. haematobium</t>
  </si>
  <si>
    <t>39.533298--4.3</t>
  </si>
  <si>
    <t>39.533298--4.3_S. haematobium</t>
  </si>
  <si>
    <t>39.5397--4.30164</t>
  </si>
  <si>
    <t>39.5397--4.30164_S. haematobium</t>
  </si>
  <si>
    <t>39.133301--4.33333</t>
  </si>
  <si>
    <t>39.133301--4.33333_S. haematobium</t>
  </si>
  <si>
    <t>39.571899--4.33799</t>
  </si>
  <si>
    <t>39.571899--4.33799_S. haematobium</t>
  </si>
  <si>
    <t>39.514099--4.34114</t>
  </si>
  <si>
    <t>39.514099--4.34114_S. haematobium</t>
  </si>
  <si>
    <t>39.5667--4.35</t>
  </si>
  <si>
    <t>39.5667--4.35_S. haematobium</t>
  </si>
  <si>
    <t>39.5--4.36667</t>
  </si>
  <si>
    <t>39.5--4.36667_S. haematobium</t>
  </si>
  <si>
    <t>39.5--4.41667</t>
  </si>
  <si>
    <t>39.5--4.41667_S. haematobium</t>
  </si>
  <si>
    <t>39.383301--4.41667</t>
  </si>
  <si>
    <t>39.383301--4.41667_S. haematobium</t>
  </si>
  <si>
    <t>39.5061--4.42419</t>
  </si>
  <si>
    <t>39.5061--4.42419_S. haematobium</t>
  </si>
  <si>
    <t>39.375--4.44518</t>
  </si>
  <si>
    <t>39.375--4.44518_S. haematobium</t>
  </si>
  <si>
    <t>39.466--4.449</t>
  </si>
  <si>
    <t>39.466--4.449_S. haematobium</t>
  </si>
  <si>
    <t>39.455898--4.45704</t>
  </si>
  <si>
    <t>39.455898--4.45704_S. haematobium</t>
  </si>
  <si>
    <t>39.467602--4.45772</t>
  </si>
  <si>
    <t>39.467602--4.45772_S. haematobium</t>
  </si>
  <si>
    <t>39.476398--4.46209</t>
  </si>
  <si>
    <t>39.476398--4.46209_S. haematobium</t>
  </si>
  <si>
    <t>39.4734--4.4637</t>
  </si>
  <si>
    <t>39.4734--4.4637_S. haematobium</t>
  </si>
  <si>
    <t>39.473--4.46476</t>
  </si>
  <si>
    <t>39.473--4.46476_S. haematobium</t>
  </si>
  <si>
    <t>39.466--4.465</t>
  </si>
  <si>
    <t>39.466--4.465_S. haematobium</t>
  </si>
  <si>
    <t>39.450001--4.465</t>
  </si>
  <si>
    <t>39.450001--4.465_S. haematobium</t>
  </si>
  <si>
    <t>39.483002--4.465</t>
  </si>
  <si>
    <t>39.483002--4.465_S. haematobium</t>
  </si>
  <si>
    <t>39.4814--4.46502</t>
  </si>
  <si>
    <t>39.4814--4.46502_S. haematobium</t>
  </si>
  <si>
    <t>39.483898--4.46534</t>
  </si>
  <si>
    <t>39.483898--4.46534_S. haematobium</t>
  </si>
  <si>
    <t>39.484299--4.46591</t>
  </si>
  <si>
    <t>39.484299--4.46591_S. haematobium</t>
  </si>
  <si>
    <t>39.466702--4.4667</t>
  </si>
  <si>
    <t>39.466702--4.4667_S. haematobium</t>
  </si>
  <si>
    <t>39.451099--4.46738</t>
  </si>
  <si>
    <t>39.451099--4.46738_S. haematobium</t>
  </si>
  <si>
    <t>39.454899--4.47205</t>
  </si>
  <si>
    <t>39.454899--4.47205_S. haematobium</t>
  </si>
  <si>
    <t>39.483501--4.47295</t>
  </si>
  <si>
    <t>39.483501--4.47295_S. haematobium</t>
  </si>
  <si>
    <t>39.459202--4.47307</t>
  </si>
  <si>
    <t>39.459202--4.47307_S. haematobium</t>
  </si>
  <si>
    <t>39.4818--4.47767</t>
  </si>
  <si>
    <t>39.4818--4.47767_S. haematobium</t>
  </si>
  <si>
    <t>39.481201--4.47926</t>
  </si>
  <si>
    <t>39.481201--4.47926_S. haematobium</t>
  </si>
  <si>
    <t>39.48--4.48</t>
  </si>
  <si>
    <t>39.48--4.48_S. haematobium</t>
  </si>
  <si>
    <t>39.450001--4.48</t>
  </si>
  <si>
    <t>39.450001--4.48_S. haematobium</t>
  </si>
  <si>
    <t>39.450001--4.482</t>
  </si>
  <si>
    <t>39.450001--4.482_S. haematobium</t>
  </si>
  <si>
    <t>39.4776--4.48319</t>
  </si>
  <si>
    <t>39.4776--4.48319_S. haematobium</t>
  </si>
  <si>
    <t>39.450001--4.48333</t>
  </si>
  <si>
    <t>39.450001--4.48333_S. haematobium</t>
  </si>
  <si>
    <t>39.460098--4.49011</t>
  </si>
  <si>
    <t>39.460098--4.49011_S. haematobium</t>
  </si>
  <si>
    <t>39.457401--4.49191</t>
  </si>
  <si>
    <t>39.457401--4.49191_S. haematobium</t>
  </si>
  <si>
    <t>34.008447--0.459367</t>
  </si>
  <si>
    <t>34.008447--0.459367_S. mansoni</t>
  </si>
  <si>
    <t>34.008447--0.459367_S. haematobium</t>
  </si>
  <si>
    <t>38.357742--3.400622</t>
  </si>
  <si>
    <t>38.357742--3.400622_S. mansoni</t>
  </si>
  <si>
    <t>38.357742--3.400622_S. haematobium</t>
  </si>
  <si>
    <t>34.284306-4.404672</t>
  </si>
  <si>
    <t>34.284306-4.404672_S. mansoni</t>
  </si>
  <si>
    <t>34.284306-4.404672_S. haematobium</t>
  </si>
  <si>
    <t>-15.216667-12.483333_S. haematobium</t>
  </si>
  <si>
    <t>-15.429778-12.038356_S. haematobium</t>
  </si>
  <si>
    <t>-14.8601-12.0224_S. haematobium</t>
  </si>
  <si>
    <t>-16.0397-12.0543_S. haematobium</t>
  </si>
  <si>
    <t>-16.044001-12.0622_S. haematobium</t>
  </si>
  <si>
    <t>-16.0518-12.0625_S. haematobium</t>
  </si>
  <si>
    <t>-16.055401-12.0663_S. haematobium</t>
  </si>
  <si>
    <t>-16.233299-12.0667_S. haematobium</t>
  </si>
  <si>
    <t>-16.0825-12.0667_S. haematobium</t>
  </si>
  <si>
    <t>-16.0553-12.0781_S. haematobium</t>
  </si>
  <si>
    <t>-16.0333-12.0833_S. haematobium</t>
  </si>
  <si>
    <t>-16.070601-12.0836_S. haematobium</t>
  </si>
  <si>
    <t>-16.0839-12.0856_S. haematobium</t>
  </si>
  <si>
    <t>-16.0742-12.1_S. haematobium</t>
  </si>
  <si>
    <t>-16.049999-12.1_S. haematobium</t>
  </si>
  <si>
    <t>-16.0511-12.1053_S. haematobium</t>
  </si>
  <si>
    <t>-16.1161-12.1056_S. haematobium</t>
  </si>
  <si>
    <t>-16.0833-12.1167_S. haematobium</t>
  </si>
  <si>
    <t>-14.9167-12.1167_S. haematobium</t>
  </si>
  <si>
    <t>-14.6667-12.1667_S. haematobium</t>
  </si>
  <si>
    <t>-14.7667-12.1667_S. haematobium</t>
  </si>
  <si>
    <t>-14.6667-12.1678_S. haematobium</t>
  </si>
  <si>
    <t>-14.95-12.1833_S. haematobium</t>
  </si>
  <si>
    <t>-14.6333-12.2_S. haematobium</t>
  </si>
  <si>
    <t>-15.1977-12.2465_S. haematobium</t>
  </si>
  <si>
    <t>-15.5847-12.2506_S. haematobium</t>
  </si>
  <si>
    <t>-14.55-12.3167_S. haematobium</t>
  </si>
  <si>
    <t>-15.4802-12.3171_S. haematobium</t>
  </si>
  <si>
    <t>-14.5631-12.3783_S. haematobium</t>
  </si>
  <si>
    <t>-15.2217-12.4839_S. haematobium</t>
  </si>
  <si>
    <t>-14.9-12.55_S. haematobium</t>
  </si>
  <si>
    <t>-15.0333-12.6167_S. haematobium</t>
  </si>
  <si>
    <t>-15.0645-12.6255_S. haematobium</t>
  </si>
  <si>
    <t>-15.0683-12.6558_S. haematobium</t>
  </si>
  <si>
    <t>-15.0003-12.6561_S. haematobium</t>
  </si>
  <si>
    <t>-15.0175-12.6658_S. haematobium</t>
  </si>
  <si>
    <t>-14.9167-12.6833_S. haematobium</t>
  </si>
  <si>
    <t>-14.039333-10.180303_S. haematobium</t>
  </si>
  <si>
    <t>-14.039333-10.180303_S. mansoni</t>
  </si>
  <si>
    <t>-14.424208-10.394681_S. haematobium</t>
  </si>
  <si>
    <t>-14.424208-10.394681_S. mansoni</t>
  </si>
  <si>
    <t>-9.268767-10.420678_S. haematobium</t>
  </si>
  <si>
    <t>-9.268767-10.420678_S. mansoni</t>
  </si>
  <si>
    <t>-9.378094-8.539111_S. haematobium</t>
  </si>
  <si>
    <t>-9.378094-8.539111_S. mansoni</t>
  </si>
  <si>
    <t>-8.8675-7.805278_S. haematobium</t>
  </si>
  <si>
    <t>-8.8675-7.805278_S. mansoni</t>
  </si>
  <si>
    <t>-8.815-7.82861_S. haematobium</t>
  </si>
  <si>
    <t>-8.815-7.82861_S. mansoni</t>
  </si>
  <si>
    <t>-8.89389-7.84111_S. haematobium</t>
  </si>
  <si>
    <t>-8.89389-7.84111_S. mansoni</t>
  </si>
  <si>
    <t>-8.84528-7.84472_S. haematobium</t>
  </si>
  <si>
    <t>-8.84528-7.84472_S. mansoni</t>
  </si>
  <si>
    <t>-8.83028-7.87917_S. haematobium</t>
  </si>
  <si>
    <t>-8.83028-7.87917_S. mansoni</t>
  </si>
  <si>
    <t>-9.67167-8.50917_S. haematobium</t>
  </si>
  <si>
    <t>-9.67167-8.50917_S. mansoni</t>
  </si>
  <si>
    <t>-9.38361-8.51306_S. haematobium</t>
  </si>
  <si>
    <t>-9.38361-8.51306_S. mansoni</t>
  </si>
  <si>
    <t>-9.39667-8.57278_S. haematobium</t>
  </si>
  <si>
    <t>-9.39667-8.57278_S. mansoni</t>
  </si>
  <si>
    <t>-13.6461-9.61167_S. haematobium</t>
  </si>
  <si>
    <t>-13.6461-9.61167_S. mansoni</t>
  </si>
  <si>
    <t>-13.6333-9.61667_S. haematobium</t>
  </si>
  <si>
    <t>-13.6333-9.61667_S. mansoni</t>
  </si>
  <si>
    <t>-13.6019-9.66028_S. haematobium</t>
  </si>
  <si>
    <t>-13.6019-9.66028_S. mansoni</t>
  </si>
  <si>
    <t>-13.5931-9.66444_S. haematobium</t>
  </si>
  <si>
    <t>-13.5931-9.66444_S. mansoni</t>
  </si>
  <si>
    <t>-13.5558-9.66667_S. haematobium</t>
  </si>
  <si>
    <t>-13.5558-9.66667_S. mansoni</t>
  </si>
  <si>
    <t>-14.0667-10.1833_S. haematobium</t>
  </si>
  <si>
    <t>-14.0667-10.1833_S. mansoni</t>
  </si>
  <si>
    <t>-14.4505-10.391_S. haematobium</t>
  </si>
  <si>
    <t>-14.4505-10.391_S. mansoni</t>
  </si>
  <si>
    <t>-9.26667-10.4167_S. haematobium</t>
  </si>
  <si>
    <t>-9.26667-10.4167_S. mansoni</t>
  </si>
  <si>
    <t>-9.25156-10.4355_S. haematobium</t>
  </si>
  <si>
    <t>-9.25156-10.4355_S. mansoni</t>
  </si>
  <si>
    <t>-9.23333-10.4667_S. haematobium</t>
  </si>
  <si>
    <t>-9.23333-10.4667_S. mansoni</t>
  </si>
  <si>
    <t>-9.23333-10.6_S. haematobium</t>
  </si>
  <si>
    <t>-9.23333-10.6_S. mansoni</t>
  </si>
  <si>
    <t>-12.1167-10.8667_S. haematobium</t>
  </si>
  <si>
    <t>-12.1167-10.8667_S. mansoni</t>
  </si>
  <si>
    <t>-12.1833-10.8833_S. haematobium</t>
  </si>
  <si>
    <t>-12.1833-10.8833_S. mansoni</t>
  </si>
  <si>
    <t>-12.3-11.0667_S. haematobium</t>
  </si>
  <si>
    <t>-12.3-11.0667_S. mansoni</t>
  </si>
  <si>
    <t>-0.2-5.57_S. haematobium</t>
  </si>
  <si>
    <t>-0.23333-5.61667_S. haematobium</t>
  </si>
  <si>
    <t>-0.22-5.63_S. haematobium</t>
  </si>
  <si>
    <t>-0.21-5.63_S. haematobium</t>
  </si>
  <si>
    <t>-0.24-5.67_S. haematobium</t>
  </si>
  <si>
    <t>-0.16-5.67_S. haematobium</t>
  </si>
  <si>
    <t>-0.2-5.72_S. haematobium</t>
  </si>
  <si>
    <t>0.37-5.79</t>
  </si>
  <si>
    <t>0.37-5.79_S. haematobium</t>
  </si>
  <si>
    <t>0.42-5.79</t>
  </si>
  <si>
    <t>0.42-5.79_S. haematobium</t>
  </si>
  <si>
    <t>0.39-5.84</t>
  </si>
  <si>
    <t>0.39-5.84_S. haematobium</t>
  </si>
  <si>
    <t>0.42-5.86</t>
  </si>
  <si>
    <t>0.42-5.86_S. haematobium</t>
  </si>
  <si>
    <t>0.43-5.88</t>
  </si>
  <si>
    <t>0.43-5.88_S. haematobium</t>
  </si>
  <si>
    <t>-0.01667-5.9_S. haematobium</t>
  </si>
  <si>
    <t>0.016667-5.98333</t>
  </si>
  <si>
    <t>0.016667-5.98333_S. haematobium</t>
  </si>
  <si>
    <t>-1.78333-6.73333_S. haematobium</t>
  </si>
  <si>
    <t>-1.76667-6.8_S. haematobium</t>
  </si>
  <si>
    <t>-1.73333-6.8_S. haematobium</t>
  </si>
  <si>
    <t>-1.76667-6.81667_S. haematobium</t>
  </si>
  <si>
    <t>-0.6-5.41667_S. mansoni</t>
  </si>
  <si>
    <t>-0.6-5.41667_S. haematobium</t>
  </si>
  <si>
    <t>-1.15-10.8667_S. haematobium</t>
  </si>
  <si>
    <t>-1.15-10.8667_S. mansoni</t>
  </si>
  <si>
    <t>-0.216667-5.55_S. haematobium</t>
  </si>
  <si>
    <t>-0.35-5.68333_S. haematobium</t>
  </si>
  <si>
    <t>-0.232967-11.05_S. haematobium</t>
  </si>
  <si>
    <t>0.3-7.06667</t>
  </si>
  <si>
    <t>0.3-7.06667_S. haematobium</t>
  </si>
  <si>
    <t>0.487992-5.940758</t>
  </si>
  <si>
    <t>0.487992-5.940758_S. haematobium</t>
  </si>
  <si>
    <t>-0.516667-6.71667_S. haematobium</t>
  </si>
  <si>
    <t>0.583333-5.98333</t>
  </si>
  <si>
    <t>0.583333-5.98333_S. haematobium</t>
  </si>
  <si>
    <t>0.583333-5.98333_S. mansoni</t>
  </si>
  <si>
    <t>0.366667-6.05</t>
  </si>
  <si>
    <t>0.366667-6.05_S. haematobium</t>
  </si>
  <si>
    <t>0.366667-6.05_S. mansoni</t>
  </si>
  <si>
    <t>0.416667-6.06667</t>
  </si>
  <si>
    <t>0.416667-6.06667_S. haematobium</t>
  </si>
  <si>
    <t>0.416667-6.06667_S. mansoni</t>
  </si>
  <si>
    <t>0.433333-6.06667</t>
  </si>
  <si>
    <t>0.433333-6.06667_S. haematobium</t>
  </si>
  <si>
    <t>0.433333-6.06667_S. mansoni</t>
  </si>
  <si>
    <t>0.516667-6.06667</t>
  </si>
  <si>
    <t>0.516667-6.06667_S. haematobium</t>
  </si>
  <si>
    <t>0.516667-6.06667_S. mansoni</t>
  </si>
  <si>
    <t>0.158333-6.09444</t>
  </si>
  <si>
    <t>0.158333-6.09444_S. haematobium</t>
  </si>
  <si>
    <t>0.158333-6.09444_S. mansoni</t>
  </si>
  <si>
    <t>0.133333-6.125</t>
  </si>
  <si>
    <t>0.133333-6.125_S. haematobium</t>
  </si>
  <si>
    <t>0.133333-6.125_S. mansoni</t>
  </si>
  <si>
    <t>-1.61667-6.68333_S. mansoni</t>
  </si>
  <si>
    <t>0.955453-6.13597</t>
  </si>
  <si>
    <t>0.955453-6.13597_S. haematobium</t>
  </si>
  <si>
    <t>1.0025-6.14556</t>
  </si>
  <si>
    <t>1.0025-6.14556_S. haematobium</t>
  </si>
  <si>
    <t>0.966667-6.15</t>
  </si>
  <si>
    <t>0.966667-6.15_S. haematobium</t>
  </si>
  <si>
    <t>0.995536-6.17181</t>
  </si>
  <si>
    <t>0.995536-6.17181_S. haematobium</t>
  </si>
  <si>
    <t>0.918546-6.1736</t>
  </si>
  <si>
    <t>0.918546-6.1736_S. haematobium</t>
  </si>
  <si>
    <t>0.896144-6.19084</t>
  </si>
  <si>
    <t>0.896144-6.19084_S. haematobium</t>
  </si>
  <si>
    <t>0.964022-6.19334</t>
  </si>
  <si>
    <t>0.964022-6.19334_S. haematobium</t>
  </si>
  <si>
    <t>1.00111-6.23222</t>
  </si>
  <si>
    <t>1.00111-6.23222_S. haematobium</t>
  </si>
  <si>
    <t>0.85-6.23333</t>
  </si>
  <si>
    <t>0.85-6.23333_S. haematobium</t>
  </si>
  <si>
    <t>1.0175-6.26639</t>
  </si>
  <si>
    <t>1.0175-6.26639_S. haematobium</t>
  </si>
  <si>
    <t>0.904298-6.30193</t>
  </si>
  <si>
    <t>0.904298-6.30193_S. haematobium</t>
  </si>
  <si>
    <t>0.87872-6.32983</t>
  </si>
  <si>
    <t>0.87872-6.32983_S. haematobium</t>
  </si>
  <si>
    <t>0.755467-6.41444</t>
  </si>
  <si>
    <t>0.755467-6.41444_S. haematobium</t>
  </si>
  <si>
    <t>-0.283333-5.68333_S. haematobium</t>
  </si>
  <si>
    <t>-0.283333-5.68333_S. mansoni</t>
  </si>
  <si>
    <t>-0.366667-5.68333_S. haematobium</t>
  </si>
  <si>
    <t>-0.383333-5.75_S. haematobium</t>
  </si>
  <si>
    <t>-0.383333-5.76667_S. haematobium</t>
  </si>
  <si>
    <t>-0.384444-5.77694_S. haematobium</t>
  </si>
  <si>
    <t>-0.384444-5.79083_S. haematobium</t>
  </si>
  <si>
    <t>-0.36667-5.85_S. haematobium</t>
  </si>
  <si>
    <t>-0.35-5.85_S. haematobium</t>
  </si>
  <si>
    <t>0.354222-5.6097</t>
  </si>
  <si>
    <t>0.354222-5.6097_S. haematobium</t>
  </si>
  <si>
    <t>0.186964-7.1359</t>
  </si>
  <si>
    <t>0.186964-7.1359_S. mansoni</t>
  </si>
  <si>
    <t>0.204942-7.543944</t>
  </si>
  <si>
    <t>0.204942-7.543944_S. haematobium</t>
  </si>
  <si>
    <t>0.180232-7.423521</t>
  </si>
  <si>
    <t>0.180232-7.423521_S. haematobium</t>
  </si>
  <si>
    <t>0.123568-7.392568</t>
  </si>
  <si>
    <t>0.123568-7.392568_S. haematobium</t>
  </si>
  <si>
    <t>0.145489-7.386549</t>
  </si>
  <si>
    <t>0.145489-7.386549_S. haematobium</t>
  </si>
  <si>
    <t>0.152489-7.364895</t>
  </si>
  <si>
    <t>0.152489-7.364895_S. haematobium</t>
  </si>
  <si>
    <t>0.148659-7.248649</t>
  </si>
  <si>
    <t>0.148659-7.248649_S. haematobium</t>
  </si>
  <si>
    <t>0.288372-7.88308</t>
  </si>
  <si>
    <t>0.288372-7.88308_S. haematobium</t>
  </si>
  <si>
    <t>0.324598-7.826189</t>
  </si>
  <si>
    <t>0.324598-7.826189_S. haematobium</t>
  </si>
  <si>
    <t>0.298935-7.851648</t>
  </si>
  <si>
    <t>0.298935-7.851648_S. haematobium</t>
  </si>
  <si>
    <t>0.234587-7.943512</t>
  </si>
  <si>
    <t>0.234587-7.943512_S. haematobium</t>
  </si>
  <si>
    <t>0.265492-7.906542</t>
  </si>
  <si>
    <t>0.265492-7.906542_S. haematobium</t>
  </si>
  <si>
    <t>0.270121-7.891264</t>
  </si>
  <si>
    <t>0.270121-7.891264_S. haematobium</t>
  </si>
  <si>
    <t>0.164531-8.002047</t>
  </si>
  <si>
    <t>0.164531-8.002047_S. haematobium</t>
  </si>
  <si>
    <t>0.031594-8.510648</t>
  </si>
  <si>
    <t>0.031594-8.510648_S. haematobium</t>
  </si>
  <si>
    <t>0.321594-8.617591</t>
  </si>
  <si>
    <t>0.321594-8.617591_S. haematobium</t>
  </si>
  <si>
    <t>0.216548-7.619135</t>
  </si>
  <si>
    <t>0.216548-7.619135_S. haematobium</t>
  </si>
  <si>
    <t>0.183154-7.359426</t>
  </si>
  <si>
    <t>0.183154-7.359426_S. haematobium</t>
  </si>
  <si>
    <t>0.086492-8.912645</t>
  </si>
  <si>
    <t>0.086492-8.912645_S. haematobium</t>
  </si>
  <si>
    <t>-2.5-10.066667_S. haematobium</t>
  </si>
  <si>
    <t>-2.5-10.028168_S. haematobium</t>
  </si>
  <si>
    <t>-2.623418-10.219531_S. haematobium</t>
  </si>
  <si>
    <t>-2.516844-10.018246_S. haematobium</t>
  </si>
  <si>
    <t>-2.591347-10.062481_S. haematobium</t>
  </si>
  <si>
    <t>-2.381694-9.981647_S. haematobium</t>
  </si>
  <si>
    <t>-2.453716-9.992645_S. haematobium</t>
  </si>
  <si>
    <t>-2.553419-10.110348_S. haematobium</t>
  </si>
  <si>
    <t>-2.467129-10.000649_S. haematobium</t>
  </si>
  <si>
    <t>-2.372943-10.062232_S. haematobium</t>
  </si>
  <si>
    <t>-2.521934-10.064816_S. haematobium</t>
  </si>
  <si>
    <t>-2.481616-10.031594_S. haematobium</t>
  </si>
  <si>
    <t>-2.521313-10.103145_S. mansoni</t>
  </si>
  <si>
    <t>-2.701291-10.081634_S. haematobium</t>
  </si>
  <si>
    <t>-2.731506-10.293812_S. haematobium</t>
  </si>
  <si>
    <t>-2.500015-10.054687_S. haematobium</t>
  </si>
  <si>
    <t>0.5333-5.9</t>
  </si>
  <si>
    <t>0.5333-5.9_S. haematobium</t>
  </si>
  <si>
    <t>0.55-5.9333</t>
  </si>
  <si>
    <t>0.55-5.9333_S. haematobium</t>
  </si>
  <si>
    <t>0.5833-5.9833</t>
  </si>
  <si>
    <t>0.5833-5.9833_S. haematobium</t>
  </si>
  <si>
    <t>0.5242-5.9881</t>
  </si>
  <si>
    <t>0.5242-5.9881_S. haematobium</t>
  </si>
  <si>
    <t>0.5876-5.9987</t>
  </si>
  <si>
    <t>0.5876-5.9987_S. haematobium</t>
  </si>
  <si>
    <t>0.5027-6.0005</t>
  </si>
  <si>
    <t>0.5027-6.0005_S. haematobium</t>
  </si>
  <si>
    <t>0.5506-6.0085</t>
  </si>
  <si>
    <t>0.5506-6.0085_S. haematobium</t>
  </si>
  <si>
    <t>0.4833-6.0333</t>
  </si>
  <si>
    <t>0.4833-6.0333_S. haematobium</t>
  </si>
  <si>
    <t>0.4018-6.0679</t>
  </si>
  <si>
    <t>0.4018-6.0679_S. haematobium</t>
  </si>
  <si>
    <t>-1.716667-8.05_S. haematobium</t>
  </si>
  <si>
    <t>-2.883333-7.283333_S. haematobium</t>
  </si>
  <si>
    <t>-2.029767-7.085783_S. haematobium</t>
  </si>
  <si>
    <t>-2.09979-7.16664_S. haematobium</t>
  </si>
  <si>
    <t>-2.33325-7.33352_S. haematobium</t>
  </si>
  <si>
    <t>-1.92899-7.57744_S. haematobium</t>
  </si>
  <si>
    <t>-2.78548-7.58382_S. haematobium</t>
  </si>
  <si>
    <t>-0.633202-7.68377_S. haematobium</t>
  </si>
  <si>
    <t>-1.59897-7.70011_S. haematobium</t>
  </si>
  <si>
    <t>-2.10411-7.73821_S. haematobium</t>
  </si>
  <si>
    <t>-0.983291-7.75029_S. haematobium</t>
  </si>
  <si>
    <t>-1.97102-7.79429_S. haematobium</t>
  </si>
  <si>
    <t>-1.18211-7.95902_S. haematobium</t>
  </si>
  <si>
    <t>-0.649924-8.21676_S. haematobium</t>
  </si>
  <si>
    <t>-1.56569-8.44971_S. haematobium</t>
  </si>
  <si>
    <t>-1.831954-7.950631_S. haematobium</t>
  </si>
  <si>
    <t>-1.596137-7.947613_S. haematobium</t>
  </si>
  <si>
    <t>-1.764981-7.959241_S. haematobium</t>
  </si>
  <si>
    <t>-1.676096-7.955925_S. haematobium</t>
  </si>
  <si>
    <t>-1.643572-7.937851_S. haematobium</t>
  </si>
  <si>
    <t>-0.075116-5.60064_S. haematobium</t>
  </si>
  <si>
    <t>0.006323-5.64713</t>
  </si>
  <si>
    <t>0.006323-5.64713_S. haematobium</t>
  </si>
  <si>
    <t>-0.054002-5.66145_S. haematobium</t>
  </si>
  <si>
    <t>0.05662-5.69154</t>
  </si>
  <si>
    <t>0.05662-5.69154_S. haematobium</t>
  </si>
  <si>
    <t>-0.017095-5.6928_S. haematobium</t>
  </si>
  <si>
    <t>-0.033333-7.816667_S. haematobium</t>
  </si>
  <si>
    <t>0.451922-6.477825</t>
  </si>
  <si>
    <t>0.451922-6.477825_S. haematobium</t>
  </si>
  <si>
    <t>-0.051144-7.800214_S. haematobium</t>
  </si>
  <si>
    <t>-0.053144-7.786436_S. haematobium</t>
  </si>
  <si>
    <t>0.603389-7.703933</t>
  </si>
  <si>
    <t>0.603389-7.703933_S. haematobium</t>
  </si>
  <si>
    <t>-0.1495-6.920889_S. haematobium</t>
  </si>
  <si>
    <t>0.3-7.2833</t>
  </si>
  <si>
    <t>0.3-7.2833_S. haematobium</t>
  </si>
  <si>
    <t>-0.1-6.39667_S. haematobium</t>
  </si>
  <si>
    <t>-0.1-6.33667_S. haematobium</t>
  </si>
  <si>
    <t>0.28333-6.9</t>
  </si>
  <si>
    <t>0.28333-6.9_S. haematobium</t>
  </si>
  <si>
    <t>0.430469-7.044506</t>
  </si>
  <si>
    <t>0.430469-7.044506_S. haematobium</t>
  </si>
  <si>
    <t>0.24675-6.53425</t>
  </si>
  <si>
    <t>0.24675-6.53425_S. haematobium</t>
  </si>
  <si>
    <t>0.618789-6.6787</t>
  </si>
  <si>
    <t>0.618789-6.6787_S. haematobium</t>
  </si>
  <si>
    <t>-0.230036-5.558078_S. haematobium</t>
  </si>
  <si>
    <t>-0.230036-5.546215_S. haematobium</t>
  </si>
  <si>
    <t>0.277664-6.277706</t>
  </si>
  <si>
    <t>0.277664-6.277706_S. haematobium</t>
  </si>
  <si>
    <t>0.487992-6.450111</t>
  </si>
  <si>
    <t>0.487992-6.450111_S. haematobium</t>
  </si>
  <si>
    <t>0.569356-6.280758</t>
  </si>
  <si>
    <t>0.569356-6.280758_S. haematobium</t>
  </si>
  <si>
    <t>0.569208-6.267464</t>
  </si>
  <si>
    <t>0.569208-6.267464_S. haematobium</t>
  </si>
  <si>
    <t>0.63333-5.88333</t>
  </si>
  <si>
    <t>0.63333-5.88333_S. haematobium</t>
  </si>
  <si>
    <t>0.824894-6.341419</t>
  </si>
  <si>
    <t>0.824894-6.341419_S. haematobium</t>
  </si>
  <si>
    <t>0.650231-5.88333</t>
  </si>
  <si>
    <t>0.650231-5.88333_S. haematobium</t>
  </si>
  <si>
    <t>0.569153-6.268733</t>
  </si>
  <si>
    <t>0.569153-6.268733_S. mansoni</t>
  </si>
  <si>
    <t>0.565383-6.268489</t>
  </si>
  <si>
    <t>0.565383-6.268489_S. haematobium</t>
  </si>
  <si>
    <t>0.173958-6.025122</t>
  </si>
  <si>
    <t>0.173958-6.025122_S. mansoni</t>
  </si>
  <si>
    <t>0.154637-6.049137</t>
  </si>
  <si>
    <t>0.154637-6.049137_S. haematobium</t>
  </si>
  <si>
    <t>0.179096-6.073503</t>
  </si>
  <si>
    <t>0.179096-6.073503_S. mansoni</t>
  </si>
  <si>
    <t>0.183457-6.077315</t>
  </si>
  <si>
    <t>0.183457-6.077315_S. haematobium</t>
  </si>
  <si>
    <t>0.984592-5.89677</t>
  </si>
  <si>
    <t>0.984592-5.89677_S. haematobium</t>
  </si>
  <si>
    <t>0.366667-6.03333</t>
  </si>
  <si>
    <t>0.366667-6.03333_S. mansoni</t>
  </si>
  <si>
    <t>0.366667-6.03333_S. haematobium</t>
  </si>
  <si>
    <t>0.483333-6.03333</t>
  </si>
  <si>
    <t>0.483333-6.03333_S. mansoni</t>
  </si>
  <si>
    <t>0.483333-6.03333_S. haematobium</t>
  </si>
  <si>
    <t>0.45-6.03333</t>
  </si>
  <si>
    <t>0.45-6.03333_S. mansoni</t>
  </si>
  <si>
    <t>0.45-6.03333_S. haematobium</t>
  </si>
  <si>
    <t>0.863621-6.06093</t>
  </si>
  <si>
    <t>0.863621-6.06093_S. haematobium</t>
  </si>
  <si>
    <t>0.41678-6.06673</t>
  </si>
  <si>
    <t>0.41678-6.06673_S. haematobium</t>
  </si>
  <si>
    <t>0.429018-6.07578</t>
  </si>
  <si>
    <t>0.429018-6.07578_S. haematobium</t>
  </si>
  <si>
    <t>0.133333-6.1</t>
  </si>
  <si>
    <t>0.133333-6.1_S. mansoni</t>
  </si>
  <si>
    <t>0.133333-6.1_S. haematobium</t>
  </si>
  <si>
    <t>0.996137-6.23706</t>
  </si>
  <si>
    <t>0.996137-6.23706_S. haematobium</t>
  </si>
  <si>
    <t>0.6-6.75</t>
  </si>
  <si>
    <t>0.6-6.75_S. mansoni</t>
  </si>
  <si>
    <t>0.633333-6.75</t>
  </si>
  <si>
    <t>0.633333-6.75_S. mansoni</t>
  </si>
  <si>
    <t>0.295057-6.99101</t>
  </si>
  <si>
    <t>0.295057-6.99101_S. haematobium</t>
  </si>
  <si>
    <t>0.466667-7.4</t>
  </si>
  <si>
    <t>0.466667-7.4_S. mansoni</t>
  </si>
  <si>
    <t>0.466667-7.4_S. haematobium</t>
  </si>
  <si>
    <t>0.475831-7.52766</t>
  </si>
  <si>
    <t>0.475831-7.52766_S. haematobium</t>
  </si>
  <si>
    <t>0.500193-7.80012</t>
  </si>
  <si>
    <t>0.500193-7.80012_S. haematobium</t>
  </si>
  <si>
    <t>-0.35-6.61667_S. haematobium</t>
  </si>
  <si>
    <t>-0.050311-7.79895_S. haematobium</t>
  </si>
  <si>
    <t>-0.41667-6.61667_S. haematobium</t>
  </si>
  <si>
    <t>-0.651655-8.227_S. haematobium</t>
  </si>
  <si>
    <t>-0.48333-6.7_S. haematobium</t>
  </si>
  <si>
    <t>-0.510278-6.71331_S. haematobium</t>
  </si>
  <si>
    <t>-0.216667-5.55_S. mansoni</t>
  </si>
  <si>
    <t>-0.63333-9.26667_S. haematobium</t>
  </si>
  <si>
    <t>-0.837736-9.39458_S. haematobium</t>
  </si>
  <si>
    <t>-0.06667-9.41667_S. haematobium</t>
  </si>
  <si>
    <t>-0.0105-9.44234_S. haematobium</t>
  </si>
  <si>
    <t>-0.848279-9.58427_S. haematobium</t>
  </si>
  <si>
    <t>-0.362563-6.22711_S. haematobium</t>
  </si>
  <si>
    <t>-0.36667-6.21667_S. haematobium</t>
  </si>
  <si>
    <t>0.5-6.83333</t>
  </si>
  <si>
    <t>0.5-6.83333_S. haematobium</t>
  </si>
  <si>
    <t>-0.68333-5.55_S. haematobium</t>
  </si>
  <si>
    <t>-0.841581-10.772167_S. haematobium</t>
  </si>
  <si>
    <t>-0.849833-10.784108_S. haematobium</t>
  </si>
  <si>
    <t>-0.845316-10.803429_S. haematobium</t>
  </si>
  <si>
    <t>-1.36525-10.5006_S. haematobium</t>
  </si>
  <si>
    <t>-1.25868-10.5023_S. haematobium</t>
  </si>
  <si>
    <t>-1.25024-10.6225_S. haematobium</t>
  </si>
  <si>
    <t>-1.39031-10.6545_S. haematobium</t>
  </si>
  <si>
    <t>-0.799971-10.7163_S. haematobium</t>
  </si>
  <si>
    <t>-1.28335-10.7333_S. haematobium</t>
  </si>
  <si>
    <t>-1.07843-10.7369_S. haematobium</t>
  </si>
  <si>
    <t>-0.487633-10.7551_S. haematobium</t>
  </si>
  <si>
    <t>-0.807931-10.7962_S. haematobium</t>
  </si>
  <si>
    <t>-1.18091-10.8176_S. haematobium</t>
  </si>
  <si>
    <t>-0.642071-10.8313_S. haematobium</t>
  </si>
  <si>
    <t>-1.09027-10.8848_S. haematobium</t>
  </si>
  <si>
    <t>-1.33799-10.8862_S. haematobium</t>
  </si>
  <si>
    <t>-0.977798-10.9023_S. haematobium</t>
  </si>
  <si>
    <t>-0.807974-10.909_S. haematobium</t>
  </si>
  <si>
    <t>-1.00599-10.9675_S. haematobium</t>
  </si>
  <si>
    <t>-0.853219-10.793514_S. haematobium</t>
  </si>
  <si>
    <t>-0.838964-10.703519_S. haematobium</t>
  </si>
  <si>
    <t>-1.3833-10.55_S. haematobium</t>
  </si>
  <si>
    <t>-1.330053-10.349867_S. haematobium</t>
  </si>
  <si>
    <t>-1.45-10.65_S. haematobium</t>
  </si>
  <si>
    <t>-1.25-10.3167_S. haematobium</t>
  </si>
  <si>
    <t>-1.248961-10.316078_S. haematobium</t>
  </si>
  <si>
    <t>-1.340925-10.84036_S. haematobium</t>
  </si>
  <si>
    <t>-0.848315-10.786248_S. haematobium</t>
  </si>
  <si>
    <t>-1.30596-10.4512_S. haematobium</t>
  </si>
  <si>
    <t>-1.22417-10.5357_S. haematobium</t>
  </si>
  <si>
    <t>-1.32044-10.5691_S. haematobium</t>
  </si>
  <si>
    <t>-1.22893-10.5863_S. haematobium</t>
  </si>
  <si>
    <t>-1.0269-10.6004_S. haematobium</t>
  </si>
  <si>
    <t>-1.4217-10.6193_S. haematobium</t>
  </si>
  <si>
    <t>-1.26624-10.6551_S. haematobium</t>
  </si>
  <si>
    <t>-1.35-10.6668_S. haematobium</t>
  </si>
  <si>
    <t>-0.799971-10.7166_S. haematobium</t>
  </si>
  <si>
    <t>-1.07838-10.7368_S. haematobium</t>
  </si>
  <si>
    <t>-0.487747-10.7578_S. haematobium</t>
  </si>
  <si>
    <t>-1.10834-10.7748_S. haematobium</t>
  </si>
  <si>
    <t>-0.619233-10.7952_S. haematobium</t>
  </si>
  <si>
    <t>-0.807974-10.7962_S. haematobium</t>
  </si>
  <si>
    <t>-1.41922-10.8138_S. haematobium</t>
  </si>
  <si>
    <t>-1.18087-10.8175_S. haematobium</t>
  </si>
  <si>
    <t>-0.67018-10.8529_S. haematobium</t>
  </si>
  <si>
    <t>-1.26258-10.8567_S. haematobium</t>
  </si>
  <si>
    <t>-1.09032-10.8847_S. haematobium</t>
  </si>
  <si>
    <t>-0.961758-10.8988_S. haematobium</t>
  </si>
  <si>
    <t>-0.995189-10.9071_S. haematobium</t>
  </si>
  <si>
    <t>-0.772591-10.9122_S. haematobium</t>
  </si>
  <si>
    <t>-0.936635-10.9482_S. haematobium</t>
  </si>
  <si>
    <t>-1.33004-10.975_S. haematobium</t>
  </si>
  <si>
    <t>-1.11332-10.9924_S. haematobium</t>
  </si>
  <si>
    <t>-14.892167-13.599447_S. haematobium</t>
  </si>
  <si>
    <t>-16.7041-13.4637_S. haematobium</t>
  </si>
  <si>
    <t>-16.239725-13.288914_S. haematobium</t>
  </si>
  <si>
    <t>-16.283719-13.319839_S. haematobium</t>
  </si>
  <si>
    <t>-16.016997-13.528544_S. haematobium</t>
  </si>
  <si>
    <t>-14.767-13.533_S. haematobium</t>
  </si>
  <si>
    <t>-14.723611-13.425736_S. haematobium</t>
  </si>
  <si>
    <t>-14.769597-13.533622_S. haematobium</t>
  </si>
  <si>
    <t>-14.008544-13.425931_S. haematobium</t>
  </si>
  <si>
    <t>-16.754601-13.0901_S. haematobium</t>
  </si>
  <si>
    <t>-16.6572-13.173_S. mansoni</t>
  </si>
  <si>
    <t>-16.5714-13.1817_S. mansoni</t>
  </si>
  <si>
    <t>-16.5714-13.1817_S. haematobium</t>
  </si>
  <si>
    <t>-16.6306-13.1904_S. mansoni</t>
  </si>
  <si>
    <t>-16.6497-13.2111_S. mansoni</t>
  </si>
  <si>
    <t>-16.6667-13.2311_S. mansoni</t>
  </si>
  <si>
    <t>-14.0609-13.2973_S. haematobium</t>
  </si>
  <si>
    <t>-14.65-13.35_S. haematobium</t>
  </si>
  <si>
    <t>-14.6333-13.35_S. haematobium</t>
  </si>
  <si>
    <t>-14.7-13.3667_S. haematobium</t>
  </si>
  <si>
    <t>-14.65-13.3667_S. haematobium</t>
  </si>
  <si>
    <t>-14.6167-13.3667_S. haematobium</t>
  </si>
  <si>
    <t>-14.5667-13.3667_S. haematobium</t>
  </si>
  <si>
    <t>-14.7333-13.3806_S. haematobium</t>
  </si>
  <si>
    <t>-14.7-13.3833_S. haematobium</t>
  </si>
  <si>
    <t>-14.6833-13.3833_S. haematobium</t>
  </si>
  <si>
    <t>-14.5333-13.3833_S. haematobium</t>
  </si>
  <si>
    <t>-14.55-13.3833_S. haematobium</t>
  </si>
  <si>
    <t>-14.7333-13.3942_S. haematobium</t>
  </si>
  <si>
    <t>-14.75-13.4_S. haematobium</t>
  </si>
  <si>
    <t>-14.7333-13.4_S. haematobium</t>
  </si>
  <si>
    <t>-14.6702-13.4025_S. haematobium</t>
  </si>
  <si>
    <t>-14.6645-13.4071_S. haematobium</t>
  </si>
  <si>
    <t>-14.6333-13.4167_S. haematobium</t>
  </si>
  <si>
    <t>-14.65-13.4167_S. haematobium</t>
  </si>
  <si>
    <t>-14.7247-13.4172_S. haematobium</t>
  </si>
  <si>
    <t>-14.6638-13.4197_S. haematobium</t>
  </si>
  <si>
    <t>-14.6-13.4333_S. haematobium</t>
  </si>
  <si>
    <t>-14.6667-13.45_S. haematobium</t>
  </si>
  <si>
    <t>-14.7-13.45_S. haematobium</t>
  </si>
  <si>
    <t>-14.55-13.45_S. haematobium</t>
  </si>
  <si>
    <t>-14.85-13.4667_S. haematobium</t>
  </si>
  <si>
    <t>-14.8667-13.4667_S. haematobium</t>
  </si>
  <si>
    <t>-14.8333-13.4667_S. haematobium</t>
  </si>
  <si>
    <t>-14.8885-13.4765_S. haematobium</t>
  </si>
  <si>
    <t>-14.9368-13.4766_S. haematobium</t>
  </si>
  <si>
    <t>-14.8167-13.4833_S. haematobium</t>
  </si>
  <si>
    <t>-14.9066-13.4837_S. haematobium</t>
  </si>
  <si>
    <t>-14.7107-13.4993_S. haematobium</t>
  </si>
  <si>
    <t>-14.85-13.5_S. haematobium</t>
  </si>
  <si>
    <t>-14.8333-13.5_S. haematobium</t>
  </si>
  <si>
    <t>-14.9257-13.5003_S. haematobium</t>
  </si>
  <si>
    <t>-14.8248-13.5113_S. haematobium</t>
  </si>
  <si>
    <t>-14.9333-13.5333_S. haematobium</t>
  </si>
  <si>
    <t>-15.0219-13.5453_S. haematobium</t>
  </si>
  <si>
    <t>-14.9722-13.5473_S. haematobium</t>
  </si>
  <si>
    <t>-14.9167-13.55_S. haematobium</t>
  </si>
  <si>
    <t>-15.7-13.55_S. haematobium</t>
  </si>
  <si>
    <t>-14.9333-13.55_S. haematobium</t>
  </si>
  <si>
    <t>35.1084-9.791</t>
  </si>
  <si>
    <t>35.1084-9.791_S. mansoni</t>
  </si>
  <si>
    <t>37.8512-6.3346</t>
  </si>
  <si>
    <t>37.8512-6.3346_S. mansoni</t>
  </si>
  <si>
    <t>39.8667-10.7167</t>
  </si>
  <si>
    <t>39.8667-10.7167_S. mansoni</t>
  </si>
  <si>
    <t>38.3166-14.0324</t>
  </si>
  <si>
    <t>38.3166-14.0324_S. mansoni</t>
  </si>
  <si>
    <t>35.966702-4.8</t>
  </si>
  <si>
    <t>35.966702-4.8_S. mansoni</t>
  </si>
  <si>
    <t>36.050098-4.80314</t>
  </si>
  <si>
    <t>36.050098-4.80314_S. mansoni</t>
  </si>
  <si>
    <t>38.083302-4.88333</t>
  </si>
  <si>
    <t>38.083302-4.88333_S. mansoni</t>
  </si>
  <si>
    <t>44.914299-5.07246</t>
  </si>
  <si>
    <t>44.914299-5.07246_S. haematobium</t>
  </si>
  <si>
    <t>36.200001-5.15</t>
  </si>
  <si>
    <t>36.200001-5.15_S. mansoni</t>
  </si>
  <si>
    <t>35.9333-5.16667</t>
  </si>
  <si>
    <t>35.9333-5.16667_S. mansoni</t>
  </si>
  <si>
    <t>35.833302-5.23333</t>
  </si>
  <si>
    <t>35.833302-5.23333_S. mansoni</t>
  </si>
  <si>
    <t>44.732498-5.24504</t>
  </si>
  <si>
    <t>44.732498-5.24504_S. haematobium</t>
  </si>
  <si>
    <t>37.483299-5.25</t>
  </si>
  <si>
    <t>37.483299-5.25_S. mansoni</t>
  </si>
  <si>
    <t>37.266701-5.25</t>
  </si>
  <si>
    <t>37.266701-5.25_S. mansoni</t>
  </si>
  <si>
    <t>39.619999-5.37</t>
  </si>
  <si>
    <t>39.619999-5.37_S. mansoni</t>
  </si>
  <si>
    <t>36.966702-5.41667</t>
  </si>
  <si>
    <t>36.966702-5.41667_S. mansoni</t>
  </si>
  <si>
    <t>39.400002-5.55</t>
  </si>
  <si>
    <t>39.400002-5.55_S. mansoni</t>
  </si>
  <si>
    <t>44.1348-5.61643</t>
  </si>
  <si>
    <t>44.1348-5.61643_S. haematobium</t>
  </si>
  <si>
    <t>37.4678-5.8493</t>
  </si>
  <si>
    <t>37.4678-5.8493_S. mansoni</t>
  </si>
  <si>
    <t>37.434101-5.8569</t>
  </si>
  <si>
    <t>37.434101-5.8569_S. mansoni</t>
  </si>
  <si>
    <t>38.983299-5.88333</t>
  </si>
  <si>
    <t>38.983299-5.88333_S. mansoni</t>
  </si>
  <si>
    <t>37.448399-5.88536</t>
  </si>
  <si>
    <t>37.448399-5.88536_S. mansoni</t>
  </si>
  <si>
    <t>43.562801-5.94878</t>
  </si>
  <si>
    <t>43.562801-5.94878_S. haematobium</t>
  </si>
  <si>
    <t>35.833302-6.00007</t>
  </si>
  <si>
    <t>35.833302-6.00007_S. mansoni</t>
  </si>
  <si>
    <t>35.8325-6.00127</t>
  </si>
  <si>
    <t>35.8325-6.00127_S. mansoni</t>
  </si>
  <si>
    <t>37.549999-6.0333</t>
  </si>
  <si>
    <t>37.549999-6.0333_S. mansoni</t>
  </si>
  <si>
    <t>37.549999-6.03333</t>
  </si>
  <si>
    <t>37.549999-6.03333_S. mansoni</t>
  </si>
  <si>
    <t>35.549999-6.05</t>
  </si>
  <si>
    <t>35.549999-6.05_S. mansoni</t>
  </si>
  <si>
    <t>35.668301-6.0518</t>
  </si>
  <si>
    <t>35.668301-6.0518_S. mansoni</t>
  </si>
  <si>
    <t>35.849998-6.11</t>
  </si>
  <si>
    <t>35.849998-6.11_S. mansoni</t>
  </si>
  <si>
    <t>37.6464-6.13667</t>
  </si>
  <si>
    <t>37.6464-6.13667_S. mansoni</t>
  </si>
  <si>
    <t>37.766701-6.16667</t>
  </si>
  <si>
    <t>37.766701-6.16667_S. mansoni</t>
  </si>
  <si>
    <t>35.583302-6.2</t>
  </si>
  <si>
    <t>35.583302-6.2_S. mansoni</t>
  </si>
  <si>
    <t>38.700001-6.2</t>
  </si>
  <si>
    <t>38.700001-6.2_S. mansoni</t>
  </si>
  <si>
    <t>36.128601-6.22378</t>
  </si>
  <si>
    <t>36.128601-6.22378_S. mansoni</t>
  </si>
  <si>
    <t>42.559399-6.27339</t>
  </si>
  <si>
    <t>42.559399-6.27339_S. haematobium</t>
  </si>
  <si>
    <t>37.75-6.44</t>
  </si>
  <si>
    <t>37.75-6.44_S. mansoni</t>
  </si>
  <si>
    <t>42.138699-6.45652</t>
  </si>
  <si>
    <t>42.138699-6.45652_S. haematobium</t>
  </si>
  <si>
    <t>38.416698-6.75</t>
  </si>
  <si>
    <t>38.416698-6.75_S. mansoni</t>
  </si>
  <si>
    <t>35.866699-6.8333</t>
  </si>
  <si>
    <t>35.866699-6.8333_S. mansoni</t>
  </si>
  <si>
    <t>37.830002-6.89887</t>
  </si>
  <si>
    <t>37.830002-6.89887_S. mansoni</t>
  </si>
  <si>
    <t>37.8615-6.9589</t>
  </si>
  <si>
    <t>37.8615-6.9589_S. mansoni</t>
  </si>
  <si>
    <t>35.766701-6.96667</t>
  </si>
  <si>
    <t>35.766701-6.96667_S. mansoni</t>
  </si>
  <si>
    <t>38.561699-6.97519</t>
  </si>
  <si>
    <t>38.561699-6.97519_S. mansoni</t>
  </si>
  <si>
    <t>38.542-6.97591</t>
  </si>
  <si>
    <t>38.542-6.97591_S. mansoni</t>
  </si>
  <si>
    <t>35.583302-6.98333</t>
  </si>
  <si>
    <t>35.583302-6.98333_S. mansoni</t>
  </si>
  <si>
    <t>38.506699-6.9843</t>
  </si>
  <si>
    <t>38.506699-6.9843_S. mansoni</t>
  </si>
  <si>
    <t>38.523201-6.98774</t>
  </si>
  <si>
    <t>38.523201-6.98774_S. mansoni</t>
  </si>
  <si>
    <t>38.580799-6.98954</t>
  </si>
  <si>
    <t>38.580799-6.98954_S. mansoni</t>
  </si>
  <si>
    <t>38.5839-7.0151</t>
  </si>
  <si>
    <t>38.5839-7.0151_S. mansoni</t>
  </si>
  <si>
    <t>39.983299-7.0167</t>
  </si>
  <si>
    <t>39.983299-7.0167_S. mansoni</t>
  </si>
  <si>
    <t>38.605-7.02289</t>
  </si>
  <si>
    <t>38.605-7.02289_S. mansoni</t>
  </si>
  <si>
    <t>38.625198-7.02922</t>
  </si>
  <si>
    <t>38.625198-7.02922_S. mansoni</t>
  </si>
  <si>
    <t>38.6091-7.04285</t>
  </si>
  <si>
    <t>38.6091-7.04285_S. mansoni</t>
  </si>
  <si>
    <t>38.466702-7.05</t>
  </si>
  <si>
    <t>38.466702-7.05_S. mansoni</t>
  </si>
  <si>
    <t>38.613499-7.06273</t>
  </si>
  <si>
    <t>38.613499-7.06273_S. mansoni</t>
  </si>
  <si>
    <t>38.618099-7.07608</t>
  </si>
  <si>
    <t>38.618099-7.07608_S. mansoni</t>
  </si>
  <si>
    <t>38.6189-7.08433</t>
  </si>
  <si>
    <t>38.6189-7.08433_S. mansoni</t>
  </si>
  <si>
    <t>38.612598-7.08891</t>
  </si>
  <si>
    <t>38.612598-7.08891_S. mansoni</t>
  </si>
  <si>
    <t>38.624699-7.1036</t>
  </si>
  <si>
    <t>38.624699-7.1036_S. mansoni</t>
  </si>
  <si>
    <t>38.6087-7.10974</t>
  </si>
  <si>
    <t>38.6087-7.10974_S. mansoni</t>
  </si>
  <si>
    <t>38.689999-7.13</t>
  </si>
  <si>
    <t>38.689999-7.13_S. mansoni</t>
  </si>
  <si>
    <t>40.700001-7.13333</t>
  </si>
  <si>
    <t>40.700001-7.13333_S. mansoni</t>
  </si>
  <si>
    <t>37.950001-7.13333</t>
  </si>
  <si>
    <t>37.950001-7.13333_S. mansoni</t>
  </si>
  <si>
    <t>35.450001-7.2</t>
  </si>
  <si>
    <t>35.450001-7.2_S. mansoni</t>
  </si>
  <si>
    <t>37.775101-7.20654</t>
  </si>
  <si>
    <t>37.775101-7.20654_S. mansoni</t>
  </si>
  <si>
    <t>37.900799-7.24272</t>
  </si>
  <si>
    <t>37.900799-7.24272_S. mansoni</t>
  </si>
  <si>
    <t>36.25-7.2667</t>
  </si>
  <si>
    <t>36.25-7.2667_S. mansoni</t>
  </si>
  <si>
    <t>37.819199-7.31128</t>
  </si>
  <si>
    <t>37.819199-7.31128_S. mansoni</t>
  </si>
  <si>
    <t>36.380001-7.33</t>
  </si>
  <si>
    <t>36.380001-7.33_S. mansoni</t>
  </si>
  <si>
    <t>40.216702-7.36667</t>
  </si>
  <si>
    <t>40.216702-7.36667_S. mansoni</t>
  </si>
  <si>
    <t>39.25-7.41667</t>
  </si>
  <si>
    <t>39.25-7.41667_S. mansoni</t>
  </si>
  <si>
    <t>38.7444-7.4888</t>
  </si>
  <si>
    <t>38.7444-7.4888_S. mansoni</t>
  </si>
  <si>
    <t>38.705898-7.49433</t>
  </si>
  <si>
    <t>38.705898-7.49433_S. mansoni</t>
  </si>
  <si>
    <t>36.516701-7.5</t>
  </si>
  <si>
    <t>36.516701-7.5_S. mansoni</t>
  </si>
  <si>
    <t>38.736698-7.50897</t>
  </si>
  <si>
    <t>38.736698-7.50897_S. mansoni</t>
  </si>
  <si>
    <t>38.682499-7.51261</t>
  </si>
  <si>
    <t>38.682499-7.51261_S. mansoni</t>
  </si>
  <si>
    <t>38.7966-7.51414</t>
  </si>
  <si>
    <t>38.7966-7.51414_S. mansoni</t>
  </si>
  <si>
    <t>36.866699-7.5167</t>
  </si>
  <si>
    <t>36.866699-7.5167_S. mansoni</t>
  </si>
  <si>
    <t>38.772202-7.52018</t>
  </si>
  <si>
    <t>38.772202-7.52018_S. mansoni</t>
  </si>
  <si>
    <t>38.789398-7.52078</t>
  </si>
  <si>
    <t>38.789398-7.52078_S. mansoni</t>
  </si>
  <si>
    <t>38.6745-7.5226</t>
  </si>
  <si>
    <t>38.6745-7.5226_S. mansoni</t>
  </si>
  <si>
    <t>36.383301-7.5333</t>
  </si>
  <si>
    <t>36.383301-7.5333_S. mansoni</t>
  </si>
  <si>
    <t>38.7971-7.53616</t>
  </si>
  <si>
    <t>38.7971-7.53616_S. mansoni</t>
  </si>
  <si>
    <t>37.8545-7.55415</t>
  </si>
  <si>
    <t>37.8545-7.55415_S. mansoni</t>
  </si>
  <si>
    <t>38.831699-7.5557</t>
  </si>
  <si>
    <t>38.831699-7.5557_S. mansoni</t>
  </si>
  <si>
    <t>38.671299-7.58706</t>
  </si>
  <si>
    <t>38.671299-7.58706_S. mansoni</t>
  </si>
  <si>
    <t>34.2551-7.64491</t>
  </si>
  <si>
    <t>34.2551-7.64491_S. mansoni</t>
  </si>
  <si>
    <t>37.889-7.649</t>
  </si>
  <si>
    <t>37.889-7.649_S. mansoni</t>
  </si>
  <si>
    <t>38.681999-7.65325</t>
  </si>
  <si>
    <t>38.681999-7.65325_S. mansoni</t>
  </si>
  <si>
    <t>36.833302-7.66667</t>
  </si>
  <si>
    <t>36.833302-7.66667_S. mansoni</t>
  </si>
  <si>
    <t>36.833302-7.6667</t>
  </si>
  <si>
    <t>36.833302-7.6667_S. mansoni</t>
  </si>
  <si>
    <t>36.983299-7.7167</t>
  </si>
  <si>
    <t>36.983299-7.7167_S. mansoni</t>
  </si>
  <si>
    <t>39.150002-7.75</t>
  </si>
  <si>
    <t>39.150002-7.75_S. mansoni</t>
  </si>
  <si>
    <t>37.366699-7.8333</t>
  </si>
  <si>
    <t>37.366699-7.8333_S. mansoni</t>
  </si>
  <si>
    <t>38.835999-7.84473</t>
  </si>
  <si>
    <t>38.835999-7.84473_S. mansoni</t>
  </si>
  <si>
    <t>38.803101-7.84807</t>
  </si>
  <si>
    <t>38.803101-7.84807_S. mansoni</t>
  </si>
  <si>
    <t>36.650002-7.85</t>
  </si>
  <si>
    <t>36.650002-7.85_S. mansoni</t>
  </si>
  <si>
    <t>38.776199-7.87488</t>
  </si>
  <si>
    <t>38.776199-7.87488_S. mansoni</t>
  </si>
  <si>
    <t>38.718899-7.8753</t>
  </si>
  <si>
    <t>38.718899-7.8753_S. mansoni</t>
  </si>
  <si>
    <t>38.755901-7.88624</t>
  </si>
  <si>
    <t>38.755901-7.88624_S. mansoni</t>
  </si>
  <si>
    <t>38.725498-7.88977</t>
  </si>
  <si>
    <t>38.725498-7.88977_S. mansoni</t>
  </si>
  <si>
    <t>34.538601-7.89681</t>
  </si>
  <si>
    <t>34.538601-7.89681_S. mansoni</t>
  </si>
  <si>
    <t>38.726501-7.90575</t>
  </si>
  <si>
    <t>38.726501-7.90575_S. mansoni</t>
  </si>
  <si>
    <t>38.868301-7.93781</t>
  </si>
  <si>
    <t>38.868301-7.93781_S. mansoni</t>
  </si>
  <si>
    <t>38.901402-7.95888</t>
  </si>
  <si>
    <t>38.901402-7.95888_S. mansoni</t>
  </si>
  <si>
    <t>38.886902-7.95967</t>
  </si>
  <si>
    <t>38.886902-7.95967_S. mansoni</t>
  </si>
  <si>
    <t>38.909599-7.96155</t>
  </si>
  <si>
    <t>38.909599-7.96155_S. mansoni</t>
  </si>
  <si>
    <t>38.907902-7.96316</t>
  </si>
  <si>
    <t>38.907902-7.96316_S. mansoni</t>
  </si>
  <si>
    <t>37.4333-7.9667</t>
  </si>
  <si>
    <t>37.4333-7.9667_S. mansoni</t>
  </si>
  <si>
    <t>38.933399-7.96902</t>
  </si>
  <si>
    <t>38.933399-7.96902_S. mansoni</t>
  </si>
  <si>
    <t>38.934601-7.98275</t>
  </si>
  <si>
    <t>38.934601-7.98275_S. mansoni</t>
  </si>
  <si>
    <t>38.894798-7.98286</t>
  </si>
  <si>
    <t>38.894798-7.98286_S. mansoni</t>
  </si>
  <si>
    <t>34.711498-7.99237</t>
  </si>
  <si>
    <t>34.711498-7.99237_S. mansoni</t>
  </si>
  <si>
    <t>38.833302-8</t>
  </si>
  <si>
    <t>38.833302-8_S. mansoni</t>
  </si>
  <si>
    <t>38.944302-8.02977</t>
  </si>
  <si>
    <t>38.944302-8.02977_S. mansoni</t>
  </si>
  <si>
    <t>43.2794-8.06583</t>
  </si>
  <si>
    <t>43.2794-8.06583_S. mansoni</t>
  </si>
  <si>
    <t>35.150002-8.06667</t>
  </si>
  <si>
    <t>35.150002-8.06667_S. mansoni</t>
  </si>
  <si>
    <t>38.952599-8.06988</t>
  </si>
  <si>
    <t>38.952599-8.06988_S. mansoni</t>
  </si>
  <si>
    <t>38.860001-8.07785</t>
  </si>
  <si>
    <t>38.860001-8.07785_S. mansoni</t>
  </si>
  <si>
    <t>38.8549-8.11797</t>
  </si>
  <si>
    <t>38.8549-8.11797_S. mansoni</t>
  </si>
  <si>
    <t>38.377701-8.11984</t>
  </si>
  <si>
    <t>38.377701-8.11984_S. mansoni</t>
  </si>
  <si>
    <t>38.9105-8.12034</t>
  </si>
  <si>
    <t>38.9105-8.12034_S. mansoni</t>
  </si>
  <si>
    <t>36.490002-8.15</t>
  </si>
  <si>
    <t>36.490002-8.15_S. mansoni</t>
  </si>
  <si>
    <t>35.533298-8.15</t>
  </si>
  <si>
    <t>35.533298-8.15_S. mansoni</t>
  </si>
  <si>
    <t>34.266701-8.2</t>
  </si>
  <si>
    <t>34.266701-8.2_S. mansoni</t>
  </si>
  <si>
    <t>34.266701-8.2_S. haematobium</t>
  </si>
  <si>
    <t>34.583302-8.25</t>
  </si>
  <si>
    <t>34.583302-8.25_S. mansoni</t>
  </si>
  <si>
    <t>39.853298-8.28256</t>
  </si>
  <si>
    <t>39.853298-8.28256_S. mansoni</t>
  </si>
  <si>
    <t>35.583302-8.3</t>
  </si>
  <si>
    <t>35.583302-8.3_S. mansoni</t>
  </si>
  <si>
    <t>35.133301-8.3333</t>
  </si>
  <si>
    <t>35.133301-8.3333_S. mansoni</t>
  </si>
  <si>
    <t>39.3167-8.33333</t>
  </si>
  <si>
    <t>39.3167-8.33333_S. mansoni</t>
  </si>
  <si>
    <t>35.716702-8.33333</t>
  </si>
  <si>
    <t>35.716702-8.33333_S. mansoni</t>
  </si>
  <si>
    <t>39.236599-8.3722</t>
  </si>
  <si>
    <t>39.236599-8.3722_S. mansoni</t>
  </si>
  <si>
    <t>39.256302-8.37671</t>
  </si>
  <si>
    <t>39.256302-8.37671_S. mansoni</t>
  </si>
  <si>
    <t>39.2402-8.3857</t>
  </si>
  <si>
    <t>39.2402-8.3857_S. mansoni</t>
  </si>
  <si>
    <t>39.3032-8.3926</t>
  </si>
  <si>
    <t>39.3032-8.3926_S. mansoni</t>
  </si>
  <si>
    <t>39.264099-8.3933</t>
  </si>
  <si>
    <t>39.264099-8.3933_S. mansoni</t>
  </si>
  <si>
    <t>39.241798-8.3989</t>
  </si>
  <si>
    <t>39.241798-8.3989_S. mansoni</t>
  </si>
  <si>
    <t>39.383301-8.4</t>
  </si>
  <si>
    <t>39.383301-8.4_S. mansoni</t>
  </si>
  <si>
    <t>39.383301-8.4_S. haematobium</t>
  </si>
  <si>
    <t>39.230301-8.4013</t>
  </si>
  <si>
    <t>39.230301-8.4013_S. mansoni</t>
  </si>
  <si>
    <t>39.290699-8.4028</t>
  </si>
  <si>
    <t>39.290699-8.4028_S. mansoni</t>
  </si>
  <si>
    <t>39.218601-8.412</t>
  </si>
  <si>
    <t>39.218601-8.412_S. mansoni</t>
  </si>
  <si>
    <t>39.237-8.4152</t>
  </si>
  <si>
    <t>39.237-8.4152_S. mansoni</t>
  </si>
  <si>
    <t>39.236801-8.41568</t>
  </si>
  <si>
    <t>39.236801-8.41568_S. mansoni</t>
  </si>
  <si>
    <t>39.236801-8.41568_S. haematobium</t>
  </si>
  <si>
    <t>39.2603-8.4166</t>
  </si>
  <si>
    <t>39.2603-8.4166_S. mansoni</t>
  </si>
  <si>
    <t>39.029999-8.43</t>
  </si>
  <si>
    <t>39.029999-8.43_S. haematobium</t>
  </si>
  <si>
    <t>39.033298-8.4333</t>
  </si>
  <si>
    <t>39.033298-8.4333_S. mansoni</t>
  </si>
  <si>
    <t>39.033298-8.4333_S. haematobium</t>
  </si>
  <si>
    <t>39.030899-8.43442</t>
  </si>
  <si>
    <t>39.030899-8.43442_S. haematobium</t>
  </si>
  <si>
    <t>39.219398-8.4352</t>
  </si>
  <si>
    <t>39.219398-8.4352_S. mansoni</t>
  </si>
  <si>
    <t>39.259102-8.4354</t>
  </si>
  <si>
    <t>39.259102-8.4354_S. mansoni</t>
  </si>
  <si>
    <t>39.235802-8.4437</t>
  </si>
  <si>
    <t>39.235802-8.4437_S. mansoni</t>
  </si>
  <si>
    <t>39.283298-8.45</t>
  </si>
  <si>
    <t>39.283298-8.45_S. mansoni</t>
  </si>
  <si>
    <t>39.280201-8.45111</t>
  </si>
  <si>
    <t>39.280201-8.45111_S. mansoni</t>
  </si>
  <si>
    <t>39.784698-8.45239</t>
  </si>
  <si>
    <t>39.784698-8.45239_S. mansoni</t>
  </si>
  <si>
    <t>39.450001-8.46667</t>
  </si>
  <si>
    <t>39.450001-8.46667_S. mansoni</t>
  </si>
  <si>
    <t>39.832001-8.48708</t>
  </si>
  <si>
    <t>39.832001-8.48708_S. mansoni</t>
  </si>
  <si>
    <t>39.333302-8.56667</t>
  </si>
  <si>
    <t>39.333302-8.56667_S. mansoni</t>
  </si>
  <si>
    <t>41.466702-8.56667</t>
  </si>
  <si>
    <t>41.466702-8.56667_S. mansoni</t>
  </si>
  <si>
    <t>39.7243-8.6157</t>
  </si>
  <si>
    <t>39.7243-8.6157_S. mansoni</t>
  </si>
  <si>
    <t>39.4333-8.66667</t>
  </si>
  <si>
    <t>39.4333-8.66667_S. mansoni</t>
  </si>
  <si>
    <t>37.633301-8.68333</t>
  </si>
  <si>
    <t>37.633301-8.68333_S. mansoni</t>
  </si>
  <si>
    <t>37.633301-8.68333_S. haematobium</t>
  </si>
  <si>
    <t>39.790901-8.70021</t>
  </si>
  <si>
    <t>39.790901-8.70021_S. mansoni</t>
  </si>
  <si>
    <t>38.970001-8.74617</t>
  </si>
  <si>
    <t>38.970001-8.74617_S. mansoni</t>
  </si>
  <si>
    <t>38.970001-8.74617_S. haematobium</t>
  </si>
  <si>
    <t>38.983299-8.75</t>
  </si>
  <si>
    <t>38.983299-8.75_S. mansoni</t>
  </si>
  <si>
    <t>39.864899-8.77436</t>
  </si>
  <si>
    <t>39.864899-8.77436_S. mansoni</t>
  </si>
  <si>
    <t>39.864899-8.77436_S. haematobium</t>
  </si>
  <si>
    <t>40.516701-8.81667</t>
  </si>
  <si>
    <t>40.516701-8.81667_S. mansoni</t>
  </si>
  <si>
    <t>39.9244-8.8378</t>
  </si>
  <si>
    <t>39.9244-8.8378_S. mansoni</t>
  </si>
  <si>
    <t>39.9244-8.8378_S. haematobium</t>
  </si>
  <si>
    <t>40.18-8.85</t>
  </si>
  <si>
    <t>40.18-8.85_S. mansoni</t>
  </si>
  <si>
    <t>38.811501-8.8512</t>
  </si>
  <si>
    <t>38.811501-8.8512_S. mansoni</t>
  </si>
  <si>
    <t>38.7929-8.86003</t>
  </si>
  <si>
    <t>38.7929-8.86003_S. mansoni</t>
  </si>
  <si>
    <t>38.796902-8.86333</t>
  </si>
  <si>
    <t>38.796902-8.86333_S. mansoni</t>
  </si>
  <si>
    <t>38.7869-8.86575</t>
  </si>
  <si>
    <t>38.7869-8.86575_S. mansoni</t>
  </si>
  <si>
    <t>43.150002-8.8667</t>
  </si>
  <si>
    <t>43.150002-8.8667_S. mansoni</t>
  </si>
  <si>
    <t>38.791302-8.86889</t>
  </si>
  <si>
    <t>38.791302-8.86889_S. mansoni</t>
  </si>
  <si>
    <t>38.787201-8.8716</t>
  </si>
  <si>
    <t>38.787201-8.8716_S. mansoni</t>
  </si>
  <si>
    <t>38.798599-8.87337</t>
  </si>
  <si>
    <t>38.798599-8.87337_S. mansoni</t>
  </si>
  <si>
    <t>38.7766-8.88038</t>
  </si>
  <si>
    <t>38.7766-8.88038_S. mansoni</t>
  </si>
  <si>
    <t>38.806099-8.88319</t>
  </si>
  <si>
    <t>38.806099-8.88319_S. mansoni</t>
  </si>
  <si>
    <t>38.786201-8.88619</t>
  </si>
  <si>
    <t>38.786201-8.88619_S. mansoni</t>
  </si>
  <si>
    <t>38.775501-8.89663</t>
  </si>
  <si>
    <t>38.775501-8.89663_S. mansoni</t>
  </si>
  <si>
    <t>36.483299-8.9</t>
  </si>
  <si>
    <t>36.483299-8.9_S. mansoni</t>
  </si>
  <si>
    <t>39.916698-8.90004</t>
  </si>
  <si>
    <t>39.916698-8.90004_S. haematobium</t>
  </si>
  <si>
    <t>38.7668-8.91184</t>
  </si>
  <si>
    <t>38.7668-8.91184_S. mansoni</t>
  </si>
  <si>
    <t>38.757999-8.98139</t>
  </si>
  <si>
    <t>38.757999-8.98139_S. mansoni</t>
  </si>
  <si>
    <t>40.166698-8.9833</t>
  </si>
  <si>
    <t>40.166698-8.9833_S. mansoni</t>
  </si>
  <si>
    <t>34.616699-8.98333</t>
  </si>
  <si>
    <t>34.616699-8.98333_S. mansoni</t>
  </si>
  <si>
    <t>38.727299-8.99647</t>
  </si>
  <si>
    <t>38.727299-8.99647_S. mansoni</t>
  </si>
  <si>
    <t>39-9</t>
  </si>
  <si>
    <t>39-9_S. mansoni</t>
  </si>
  <si>
    <t>38.250999-9.00383</t>
  </si>
  <si>
    <t>38.250999-9.00383_S. mansoni</t>
  </si>
  <si>
    <t>38.802799-9.01891</t>
  </si>
  <si>
    <t>38.802799-9.01891_S. mansoni</t>
  </si>
  <si>
    <t>38.749199-9.02433</t>
  </si>
  <si>
    <t>38.749199-9.02433_S. mansoni</t>
  </si>
  <si>
    <t>36.666698-9.0333</t>
  </si>
  <si>
    <t>36.666698-9.0333_S. mansoni</t>
  </si>
  <si>
    <t>38.7635-9.03519</t>
  </si>
  <si>
    <t>38.7635-9.03519_S. mansoni</t>
  </si>
  <si>
    <t>38.7635-9.03519_S. haematobium</t>
  </si>
  <si>
    <t>38.854401-9.03726</t>
  </si>
  <si>
    <t>38.854401-9.03726_S. mansoni</t>
  </si>
  <si>
    <t>38.7603-9.06271</t>
  </si>
  <si>
    <t>38.7603-9.06271_S. mansoni</t>
  </si>
  <si>
    <t>38.7603-9.06271_S. haematobium</t>
  </si>
  <si>
    <t>38.883301-9.06667</t>
  </si>
  <si>
    <t>38.883301-9.06667_S. mansoni</t>
  </si>
  <si>
    <t>38.538502-9.06943</t>
  </si>
  <si>
    <t>38.538502-9.06943_S. mansoni</t>
  </si>
  <si>
    <t>40.18-9.08</t>
  </si>
  <si>
    <t>40.18-9.08_S. mansoni</t>
  </si>
  <si>
    <t>40.18-9.08_S. haematobium</t>
  </si>
  <si>
    <t>36.549999-9.0833</t>
  </si>
  <si>
    <t>36.549999-9.0833_S. mansoni</t>
  </si>
  <si>
    <t>40.866699-9.08333</t>
  </si>
  <si>
    <t>40.866699-9.08333_S. mansoni</t>
  </si>
  <si>
    <t>40.8666-9.0839</t>
  </si>
  <si>
    <t>40.8666-9.0839_S. mansoni</t>
  </si>
  <si>
    <t>39.953999-9.14452</t>
  </si>
  <si>
    <t>39.953999-9.14452_S. mansoni</t>
  </si>
  <si>
    <t>39.966702-9.15</t>
  </si>
  <si>
    <t>39.966702-9.15_S. mansoni</t>
  </si>
  <si>
    <t>39.023899-9.15009</t>
  </si>
  <si>
    <t>39.023899-9.15009_S. mansoni</t>
  </si>
  <si>
    <t>35.833302-9.16667</t>
  </si>
  <si>
    <t>35.833302-9.16667_S. mansoni</t>
  </si>
  <si>
    <t>35.466702-9.16667</t>
  </si>
  <si>
    <t>35.466702-9.16667_S. mansoni</t>
  </si>
  <si>
    <t>40.166698-9.18333</t>
  </si>
  <si>
    <t>40.166698-9.18333_S. haematobium</t>
  </si>
  <si>
    <t>39.153702-9.19579</t>
  </si>
  <si>
    <t>39.153702-9.19579_S. mansoni</t>
  </si>
  <si>
    <t>39.153198-9.19584</t>
  </si>
  <si>
    <t>39.153198-9.19584_S. mansoni</t>
  </si>
  <si>
    <t>41.099998-9.21667</t>
  </si>
  <si>
    <t>41.099998-9.21667_S. mansoni</t>
  </si>
  <si>
    <t>42.216702-9.21667</t>
  </si>
  <si>
    <t>42.216702-9.21667_S. mansoni</t>
  </si>
  <si>
    <t>40.259998-9.23</t>
  </si>
  <si>
    <t>40.259998-9.23_S. mansoni</t>
  </si>
  <si>
    <t>40.259998-9.23_S. haematobium</t>
  </si>
  <si>
    <t>40.094398-9.2327</t>
  </si>
  <si>
    <t>40.094398-9.2327_S. mansoni</t>
  </si>
  <si>
    <t>40.75-9.23333</t>
  </si>
  <si>
    <t>40.75-9.23333_S. mansoni</t>
  </si>
  <si>
    <t>40.755501-9.23506</t>
  </si>
  <si>
    <t>40.755501-9.23506_S. haematobium</t>
  </si>
  <si>
    <t>42.255299-9.23778</t>
  </si>
  <si>
    <t>42.255299-9.23778_S. mansoni</t>
  </si>
  <si>
    <t>42.598099-9.24</t>
  </si>
  <si>
    <t>42.598099-9.24_S. mansoni</t>
  </si>
  <si>
    <t>40.1455-9.2412</t>
  </si>
  <si>
    <t>40.1455-9.2412_S. mansoni</t>
  </si>
  <si>
    <t>40.5-9.26667</t>
  </si>
  <si>
    <t>40.5-9.26667_S. haematobium</t>
  </si>
  <si>
    <t>40.1422-9.29333</t>
  </si>
  <si>
    <t>40.1422-9.29333_S. haematobium</t>
  </si>
  <si>
    <t>40.1422-9.29333_S. mansoni</t>
  </si>
  <si>
    <t>38.752998-9.3034</t>
  </si>
  <si>
    <t>38.752998-9.3034_S. mansoni</t>
  </si>
  <si>
    <t>38.7528-9.305</t>
  </si>
  <si>
    <t>38.7528-9.305_S. mansoni</t>
  </si>
  <si>
    <t>42.138901-9.31059</t>
  </si>
  <si>
    <t>42.138901-9.31059_S. mansoni</t>
  </si>
  <si>
    <t>42.116699-9.3167</t>
  </si>
  <si>
    <t>42.116699-9.3167_S. mansoni</t>
  </si>
  <si>
    <t>42.125198-9.31779</t>
  </si>
  <si>
    <t>42.125198-9.31779_S. mansoni</t>
  </si>
  <si>
    <t>40.177601-9.31782</t>
  </si>
  <si>
    <t>40.177601-9.31782_S. haematobium</t>
  </si>
  <si>
    <t>36.549999-9.32</t>
  </si>
  <si>
    <t>36.549999-9.32_S. mansoni</t>
  </si>
  <si>
    <t>40.1796-9.32261</t>
  </si>
  <si>
    <t>40.1796-9.32261_S. haematobium</t>
  </si>
  <si>
    <t>39.2924-9.32706</t>
  </si>
  <si>
    <t>39.2924-9.32706_S. mansoni</t>
  </si>
  <si>
    <t>40.181099-9.32891</t>
  </si>
  <si>
    <t>40.181099-9.32891_S. haematobium</t>
  </si>
  <si>
    <t>39.299999-9.3333</t>
  </si>
  <si>
    <t>39.299999-9.3333_S. mansoni</t>
  </si>
  <si>
    <t>39.299999-9.33333</t>
  </si>
  <si>
    <t>39.299999-9.33333_S. mansoni</t>
  </si>
  <si>
    <t>40.299999-9.35</t>
  </si>
  <si>
    <t>40.299999-9.35_S. haematobium</t>
  </si>
  <si>
    <t>38.849998-9.35</t>
  </si>
  <si>
    <t>38.849998-9.35_S. mansoni</t>
  </si>
  <si>
    <t>42.7995-9.353</t>
  </si>
  <si>
    <t>42.7995-9.353_S. mansoni</t>
  </si>
  <si>
    <t>42.398102-9.35563</t>
  </si>
  <si>
    <t>42.398102-9.35563_S. mansoni</t>
  </si>
  <si>
    <t>40.184299-9.35642</t>
  </si>
  <si>
    <t>40.184299-9.35642_S. haematobium</t>
  </si>
  <si>
    <t>40.184299-9.35642_S. mansoni</t>
  </si>
  <si>
    <t>42.0131-9.3947</t>
  </si>
  <si>
    <t>42.0131-9.3947_S. mansoni</t>
  </si>
  <si>
    <t>42.0131-9.39472</t>
  </si>
  <si>
    <t>42.0131-9.39472_S. mansoni</t>
  </si>
  <si>
    <t>42.0434-9.42015</t>
  </si>
  <si>
    <t>42.0434-9.42015_S. mansoni</t>
  </si>
  <si>
    <t>42.052101-9.42325</t>
  </si>
  <si>
    <t>42.052101-9.42325_S. mansoni</t>
  </si>
  <si>
    <t>36.32-9.45</t>
  </si>
  <si>
    <t>36.32-9.45_S. mansoni</t>
  </si>
  <si>
    <t>41.866402-9.455</t>
  </si>
  <si>
    <t>41.866402-9.455_S. mansoni</t>
  </si>
  <si>
    <t>42.702499-9.47</t>
  </si>
  <si>
    <t>42.702499-9.47_S. mansoni</t>
  </si>
  <si>
    <t>40.198101-9.48332</t>
  </si>
  <si>
    <t>40.198101-9.48332_S. haematobium</t>
  </si>
  <si>
    <t>35.5-9.5</t>
  </si>
  <si>
    <t>35.5-9.5_S. mansoni</t>
  </si>
  <si>
    <t>42.611099-9.50528</t>
  </si>
  <si>
    <t>42.611099-9.50528_S. mansoni</t>
  </si>
  <si>
    <t>40.300701-9.5237</t>
  </si>
  <si>
    <t>40.300701-9.5237_S. haematobium</t>
  </si>
  <si>
    <t>39.4562-9.53214</t>
  </si>
  <si>
    <t>39.4562-9.53214_S. mansoni</t>
  </si>
  <si>
    <t>39.4562-9.53214_S. haematobium</t>
  </si>
  <si>
    <t>40.34-9.55</t>
  </si>
  <si>
    <t>40.34-9.55_S. mansoni</t>
  </si>
  <si>
    <t>40.34-9.55_S. haematobium</t>
  </si>
  <si>
    <t>38.866699-9.55</t>
  </si>
  <si>
    <t>38.866699-9.55_S. mansoni</t>
  </si>
  <si>
    <t>40.311501-9.55091</t>
  </si>
  <si>
    <t>40.311501-9.55091_S. haematobium</t>
  </si>
  <si>
    <t>40.311699-9.55129</t>
  </si>
  <si>
    <t>40.311699-9.55129_S. haematobium</t>
  </si>
  <si>
    <t>9.56183-9.56183</t>
  </si>
  <si>
    <t>9.56183-9.56183_S. haematobium</t>
  </si>
  <si>
    <t>37.099998-9.5667</t>
  </si>
  <si>
    <t>37.099998-9.5667_S. mansoni</t>
  </si>
  <si>
    <t>35.380001-9.57</t>
  </si>
  <si>
    <t>35.380001-9.57_S. mansoni</t>
  </si>
  <si>
    <t>39.733299-9.58333</t>
  </si>
  <si>
    <t>39.733299-9.58333_S. mansoni</t>
  </si>
  <si>
    <t>41.864601-9.5866</t>
  </si>
  <si>
    <t>41.864601-9.5866_S. mansoni</t>
  </si>
  <si>
    <t>41.6394-9.60499</t>
  </si>
  <si>
    <t>41.6394-9.60499_S. mansoni</t>
  </si>
  <si>
    <t>35.825298-9.62996</t>
  </si>
  <si>
    <t>35.825298-9.62996_S. mansoni</t>
  </si>
  <si>
    <t>39.049999-9.65</t>
  </si>
  <si>
    <t>39.049999-9.65_S. mansoni</t>
  </si>
  <si>
    <t>38.849998-9.65</t>
  </si>
  <si>
    <t>38.849998-9.65_S. haematobium</t>
  </si>
  <si>
    <t>38.849998-9.65_S. mansoni</t>
  </si>
  <si>
    <t>39.446301-9.65144</t>
  </si>
  <si>
    <t>39.446301-9.65144_S. haematobium</t>
  </si>
  <si>
    <t>39.315899-9.65666</t>
  </si>
  <si>
    <t>39.315899-9.65666_S. mansoni</t>
  </si>
  <si>
    <t>35.758801-9.67273</t>
  </si>
  <si>
    <t>35.758801-9.67273_S. mansoni</t>
  </si>
  <si>
    <t>39.533298-9.68333</t>
  </si>
  <si>
    <t>39.533298-9.68333_S. mansoni</t>
  </si>
  <si>
    <t>37.403301-9.70166</t>
  </si>
  <si>
    <t>37.403301-9.70166_S. mansoni</t>
  </si>
  <si>
    <t>35.733002-9.71669</t>
  </si>
  <si>
    <t>35.733002-9.71669_S. mansoni</t>
  </si>
  <si>
    <t>40.310001-9.72</t>
  </si>
  <si>
    <t>40.310001-9.72_S. haematobium</t>
  </si>
  <si>
    <t>35.862301-9.72061</t>
  </si>
  <si>
    <t>35.862301-9.72061_S. mansoni</t>
  </si>
  <si>
    <t>34.733299-9.75</t>
  </si>
  <si>
    <t>34.733299-9.75_S. mansoni</t>
  </si>
  <si>
    <t>35.848701-9.77666</t>
  </si>
  <si>
    <t>35.848701-9.77666_S. mansoni</t>
  </si>
  <si>
    <t>35.771801-9.78236</t>
  </si>
  <si>
    <t>35.771801-9.78236_S. mansoni</t>
  </si>
  <si>
    <t>38.724602-9.7911</t>
  </si>
  <si>
    <t>38.724602-9.7911_S. mansoni</t>
  </si>
  <si>
    <t>35.099998-9.8</t>
  </si>
  <si>
    <t>35.099998-9.8_S. mansoni</t>
  </si>
  <si>
    <t>38.733299-9.8</t>
  </si>
  <si>
    <t>38.733299-9.8_S. mansoni</t>
  </si>
  <si>
    <t>38.423801-9.80026</t>
  </si>
  <si>
    <t>38.423801-9.80026_S. mansoni</t>
  </si>
  <si>
    <t>35.8419-9.81862</t>
  </si>
  <si>
    <t>35.8419-9.81862_S. mansoni</t>
  </si>
  <si>
    <t>35.733299-9.82643</t>
  </si>
  <si>
    <t>35.733299-9.82643_S. mansoni</t>
  </si>
  <si>
    <t>43.0219-9.84694</t>
  </si>
  <si>
    <t>43.0219-9.84694_S. mansoni</t>
  </si>
  <si>
    <t>39.766701-9.85</t>
  </si>
  <si>
    <t>39.766701-9.85_S. mansoni</t>
  </si>
  <si>
    <t>35.7048-9.86897</t>
  </si>
  <si>
    <t>35.7048-9.86897_S. mansoni</t>
  </si>
  <si>
    <t>35.638401-9.86928</t>
  </si>
  <si>
    <t>35.638401-9.86928_S. mansoni</t>
  </si>
  <si>
    <t>35.116699-9.88333</t>
  </si>
  <si>
    <t>35.116699-9.88333_S. mansoni</t>
  </si>
  <si>
    <t>39.146099-9.89311</t>
  </si>
  <si>
    <t>39.146099-9.89311_S. mansoni</t>
  </si>
  <si>
    <t>37.450001-9.9</t>
  </si>
  <si>
    <t>37.450001-9.9_S. mansoni</t>
  </si>
  <si>
    <t>40.380001-9.9</t>
  </si>
  <si>
    <t>40.380001-9.9_S. haematobium</t>
  </si>
  <si>
    <t>35.621601-9.91307</t>
  </si>
  <si>
    <t>35.621601-9.91307_S. mansoni</t>
  </si>
  <si>
    <t>40.66-9.92</t>
  </si>
  <si>
    <t>40.66-9.92_S. haematobium</t>
  </si>
  <si>
    <t>40.3764-9.92511</t>
  </si>
  <si>
    <t>40.3764-9.92511_S. haematobium</t>
  </si>
  <si>
    <t>39.630402-9.95436</t>
  </si>
  <si>
    <t>39.630402-9.95436_S. mansoni</t>
  </si>
  <si>
    <t>34.549999-9.99</t>
  </si>
  <si>
    <t>34.549999-9.99_S. mansoni</t>
  </si>
  <si>
    <t>39.900002-10</t>
  </si>
  <si>
    <t>39.900002-10_S. mansoni</t>
  </si>
  <si>
    <t>39.25-10.0167</t>
  </si>
  <si>
    <t>39.25-10.0167_S. mansoni</t>
  </si>
  <si>
    <t>35.210602-10.0184</t>
  </si>
  <si>
    <t>35.210602-10.0184_S. mansoni</t>
  </si>
  <si>
    <t>40.59-10.043</t>
  </si>
  <si>
    <t>40.59-10.043_S. haematobium</t>
  </si>
  <si>
    <t>38.216702-10.05</t>
  </si>
  <si>
    <t>38.216702-10.05_S. mansoni</t>
  </si>
  <si>
    <t>35.27-10.07</t>
  </si>
  <si>
    <t>35.27-10.07_S. mansoni</t>
  </si>
  <si>
    <t>40.596901-10.0857</t>
  </si>
  <si>
    <t>40.596901-10.0857_S. haematobium</t>
  </si>
  <si>
    <t>39.972801-10.1059</t>
  </si>
  <si>
    <t>39.972801-10.1059_S. mansoni</t>
  </si>
  <si>
    <t>40.592701-10.1175</t>
  </si>
  <si>
    <t>40.592701-10.1175_S. haematobium</t>
  </si>
  <si>
    <t>35.378399-10.1257</t>
  </si>
  <si>
    <t>35.378399-10.1257_S. mansoni</t>
  </si>
  <si>
    <t>40.655201-10.1564</t>
  </si>
  <si>
    <t>40.655201-10.1564_S. haematobium</t>
  </si>
  <si>
    <t>40.563499-10.1614</t>
  </si>
  <si>
    <t>40.563499-10.1614_S. haematobium</t>
  </si>
  <si>
    <t>40.563499-10.1614_S. mansoni</t>
  </si>
  <si>
    <t>40.563301-10.1617</t>
  </si>
  <si>
    <t>40.563301-10.1617_S. mansoni</t>
  </si>
  <si>
    <t>40.645302-10.1664</t>
  </si>
  <si>
    <t>40.645302-10.1664_S. haematobium</t>
  </si>
  <si>
    <t>40.646999-10.1666</t>
  </si>
  <si>
    <t>40.646999-10.1666_S. haematobium</t>
  </si>
  <si>
    <t>40.650002-10.17</t>
  </si>
  <si>
    <t>40.650002-10.17_S. haematobium</t>
  </si>
  <si>
    <t>34.970001-10.19</t>
  </si>
  <si>
    <t>34.970001-10.19_S. mansoni</t>
  </si>
  <si>
    <t>38.033298-10.2333</t>
  </si>
  <si>
    <t>38.033298-10.2333_S. mansoni</t>
  </si>
  <si>
    <t>37.938801-10.2498</t>
  </si>
  <si>
    <t>37.938801-10.2498_S. mansoni</t>
  </si>
  <si>
    <t>39.983299-10.3</t>
  </si>
  <si>
    <t>39.983299-10.3_S. mansoni</t>
  </si>
  <si>
    <t>38.133301-10.3333</t>
  </si>
  <si>
    <t>38.133301-10.3333_S. mansoni</t>
  </si>
  <si>
    <t>39.9333-10.35</t>
  </si>
  <si>
    <t>39.9333-10.35_S. mansoni</t>
  </si>
  <si>
    <t>39.966702-10.35</t>
  </si>
  <si>
    <t>39.966702-10.35_S. mansoni</t>
  </si>
  <si>
    <t>39.9333-10.4167</t>
  </si>
  <si>
    <t>39.9333-10.4167_S. mansoni</t>
  </si>
  <si>
    <t>39.933998-10.4252</t>
  </si>
  <si>
    <t>39.933998-10.4252_S. mansoni</t>
  </si>
  <si>
    <t>34.790001-10.45</t>
  </si>
  <si>
    <t>34.790001-10.45_S. mansoni</t>
  </si>
  <si>
    <t>37.5667-10.45</t>
  </si>
  <si>
    <t>37.5667-10.45_S. mansoni</t>
  </si>
  <si>
    <t>39.9473-10.5113</t>
  </si>
  <si>
    <t>39.9473-10.5113_S. mansoni</t>
  </si>
  <si>
    <t>34.283298-10.5333</t>
  </si>
  <si>
    <t>34.283298-10.5333_S. mansoni</t>
  </si>
  <si>
    <t>34.283298-10.5333_S. haematobium</t>
  </si>
  <si>
    <t>34.285-10.5566</t>
  </si>
  <si>
    <t>34.285-10.5566_S. haematobium</t>
  </si>
  <si>
    <t>34.285099-10.5574</t>
  </si>
  <si>
    <t>34.285099-10.5574_S. haematobium</t>
  </si>
  <si>
    <t>37.489101-10.5665</t>
  </si>
  <si>
    <t>37.489101-10.5665_S. mansoni</t>
  </si>
  <si>
    <t>39.885799-10.5833</t>
  </si>
  <si>
    <t>39.885799-10.5833_S. mansoni</t>
  </si>
  <si>
    <t>39.921398-10.6</t>
  </si>
  <si>
    <t>39.921398-10.6_S. mansoni</t>
  </si>
  <si>
    <t>37.366699-10.6667</t>
  </si>
  <si>
    <t>37.366699-10.6667_S. mansoni</t>
  </si>
  <si>
    <t>37.376999-10.6736</t>
  </si>
  <si>
    <t>37.376999-10.6736_S. mansoni</t>
  </si>
  <si>
    <t>37.233299-10.6833</t>
  </si>
  <si>
    <t>37.233299-10.6833_S. mansoni</t>
  </si>
  <si>
    <t>37.2617-10.6858</t>
  </si>
  <si>
    <t>37.2617-10.6858_S. mansoni</t>
  </si>
  <si>
    <t>37.266701-10.7</t>
  </si>
  <si>
    <t>37.266701-10.7_S. mansoni</t>
  </si>
  <si>
    <t>37.0667-10.7</t>
  </si>
  <si>
    <t>37.0667-10.7_S. mansoni</t>
  </si>
  <si>
    <t>39.866699-10.7167</t>
  </si>
  <si>
    <t>39.866699-10.7167_S. mansoni</t>
  </si>
  <si>
    <t>36.490002-10.73</t>
  </si>
  <si>
    <t>36.490002-10.73_S. mansoni</t>
  </si>
  <si>
    <t>39.908798-10.7535</t>
  </si>
  <si>
    <t>39.908798-10.7535_S. mansoni</t>
  </si>
  <si>
    <t>39.814602-10.8592</t>
  </si>
  <si>
    <t>39.814602-10.8592_S. mansoni</t>
  </si>
  <si>
    <t>39.773899-10.8966</t>
  </si>
  <si>
    <t>39.773899-10.8966_S. mansoni</t>
  </si>
  <si>
    <t>39.754299-10.907</t>
  </si>
  <si>
    <t>39.754299-10.907_S. mansoni</t>
  </si>
  <si>
    <t>36.419998-10.91</t>
  </si>
  <si>
    <t>36.419998-10.91_S. mansoni</t>
  </si>
  <si>
    <t>36.639999-10.91</t>
  </si>
  <si>
    <t>36.639999-10.91_S. mansoni</t>
  </si>
  <si>
    <t>39.769001-10.9131</t>
  </si>
  <si>
    <t>39.769001-10.9131_S. mansoni</t>
  </si>
  <si>
    <t>39.783298-10.9167</t>
  </si>
  <si>
    <t>39.783298-10.9167_S. mansoni</t>
  </si>
  <si>
    <t>39.7855-10.9221</t>
  </si>
  <si>
    <t>39.7855-10.9221_S. mansoni</t>
  </si>
  <si>
    <t>39.785801-10.9222</t>
  </si>
  <si>
    <t>39.785801-10.9222_S. mansoni</t>
  </si>
  <si>
    <t>39.632599-10.9332</t>
  </si>
  <si>
    <t>39.632599-10.9332_S. mansoni</t>
  </si>
  <si>
    <t>36.5-10.95</t>
  </si>
  <si>
    <t>36.5-10.95_S. mansoni</t>
  </si>
  <si>
    <t>39.634701-10.9574</t>
  </si>
  <si>
    <t>39.634701-10.9574_S. mansoni</t>
  </si>
  <si>
    <t>37.4734-10.9789</t>
  </si>
  <si>
    <t>37.4734-10.9789_S. mansoni</t>
  </si>
  <si>
    <t>39.6483-10.9879</t>
  </si>
  <si>
    <t>39.6483-10.9879_S. mansoni</t>
  </si>
  <si>
    <t>39.75-11.04</t>
  </si>
  <si>
    <t>39.75-11.04_S. mansoni</t>
  </si>
  <si>
    <t>37.866699-11.0833</t>
  </si>
  <si>
    <t>37.866699-11.0833_S. mansoni</t>
  </si>
  <si>
    <t>39.733299-11.0833</t>
  </si>
  <si>
    <t>39.733299-11.0833_S. mansoni</t>
  </si>
  <si>
    <t>36.403-11.1097</t>
  </si>
  <si>
    <t>36.403-11.1097_S. mansoni</t>
  </si>
  <si>
    <t>39.633301-11.1333</t>
  </si>
  <si>
    <t>39.633301-11.1333_S. mansoni</t>
  </si>
  <si>
    <t>39.641399-11.1419</t>
  </si>
  <si>
    <t>39.641399-11.1419_S. mansoni</t>
  </si>
  <si>
    <t>40.450001-11.15</t>
  </si>
  <si>
    <t>40.450001-11.15_S. mansoni</t>
  </si>
  <si>
    <t>39.666698-11.15</t>
  </si>
  <si>
    <t>39.666698-11.15_S. mansoni</t>
  </si>
  <si>
    <t>39.633598-11.1535</t>
  </si>
  <si>
    <t>39.633598-11.1535_S. mansoni</t>
  </si>
  <si>
    <t>36.3428-11.1578</t>
  </si>
  <si>
    <t>36.3428-11.1578_S. mansoni</t>
  </si>
  <si>
    <t>40.016701-11.1833</t>
  </si>
  <si>
    <t>40.016701-11.1833_S. mansoni</t>
  </si>
  <si>
    <t>40.0177-11.1925</t>
  </si>
  <si>
    <t>40.0177-11.1925_S. mansoni</t>
  </si>
  <si>
    <t>40.0177-11.1925_S. haematobium</t>
  </si>
  <si>
    <t>39.590698-11.2341</t>
  </si>
  <si>
    <t>39.590698-11.2341_S. mansoni</t>
  </si>
  <si>
    <t>41.32-11.24</t>
  </si>
  <si>
    <t>41.32-11.24_S. haematobium</t>
  </si>
  <si>
    <t>36.843399-11.2595</t>
  </si>
  <si>
    <t>36.843399-11.2595_S. mansoni</t>
  </si>
  <si>
    <t>39.533298-11.2667</t>
  </si>
  <si>
    <t>39.533298-11.2667_S. mansoni</t>
  </si>
  <si>
    <t>39.5467-11.2736</t>
  </si>
  <si>
    <t>39.5467-11.2736_S. mansoni</t>
  </si>
  <si>
    <t>36.216702-11.2833</t>
  </si>
  <si>
    <t>36.216702-11.2833_S. mansoni</t>
  </si>
  <si>
    <t>40.18-11.29</t>
  </si>
  <si>
    <t>40.18-11.29_S. mansoni</t>
  </si>
  <si>
    <t>40.439999-11.35</t>
  </si>
  <si>
    <t>40.439999-11.35_S. mansoni</t>
  </si>
  <si>
    <t>39.819401-11.362</t>
  </si>
  <si>
    <t>39.819401-11.362_S. mansoni</t>
  </si>
  <si>
    <t>37.033298-11.3667</t>
  </si>
  <si>
    <t>37.033298-11.3667_S. mansoni</t>
  </si>
  <si>
    <t>41.459999-11.39</t>
  </si>
  <si>
    <t>41.459999-11.39_S. mansoni</t>
  </si>
  <si>
    <t>37.1581-11.4141</t>
  </si>
  <si>
    <t>37.1581-11.4141_S. mansoni</t>
  </si>
  <si>
    <t>37.966702-11.4167</t>
  </si>
  <si>
    <t>37.966702-11.4167_S. mansoni</t>
  </si>
  <si>
    <t>40.762798-11.421</t>
  </si>
  <si>
    <t>40.762798-11.421_S. haematobium</t>
  </si>
  <si>
    <t>40.7631-11.4214</t>
  </si>
  <si>
    <t>40.7631-11.4214_S. haematobium</t>
  </si>
  <si>
    <t>37.285301-11.4737</t>
  </si>
  <si>
    <t>37.285301-11.4737_S. mansoni</t>
  </si>
  <si>
    <t>41.679699-11.4744</t>
  </si>
  <si>
    <t>41.679699-11.4744_S. haematobium</t>
  </si>
  <si>
    <t>37.583302-11.4833</t>
  </si>
  <si>
    <t>37.583302-11.4833_S. mansoni</t>
  </si>
  <si>
    <t>41.471298-11.5162</t>
  </si>
  <si>
    <t>41.471298-11.5162_S. haematobium</t>
  </si>
  <si>
    <t>41.273701-11.5364</t>
  </si>
  <si>
    <t>41.273701-11.5364_S. haematobium</t>
  </si>
  <si>
    <t>41.2728-11.5365</t>
  </si>
  <si>
    <t>41.2728-11.5365_S. haematobium</t>
  </si>
  <si>
    <t>41.4394-11.5636</t>
  </si>
  <si>
    <t>41.4394-11.5636_S. haematobium</t>
  </si>
  <si>
    <t>41.4394-11.5636_S. mansoni</t>
  </si>
  <si>
    <t>41.438599-11.5667</t>
  </si>
  <si>
    <t>41.438599-11.5667_S. haematobium</t>
  </si>
  <si>
    <t>41.435799-11.5697</t>
  </si>
  <si>
    <t>41.435799-11.5697_S. haematobium</t>
  </si>
  <si>
    <t>41.266201-11.5713</t>
  </si>
  <si>
    <t>41.266201-11.5713_S. haematobium</t>
  </si>
  <si>
    <t>37.4035-11.5866</t>
  </si>
  <si>
    <t>37.4035-11.5866_S. mansoni</t>
  </si>
  <si>
    <t>37.385502-11.5892</t>
  </si>
  <si>
    <t>37.385502-11.5892_S. mansoni</t>
  </si>
  <si>
    <t>37.4016-11.5898</t>
  </si>
  <si>
    <t>37.4016-11.5898_S. mansoni</t>
  </si>
  <si>
    <t>37.381401-11.5975</t>
  </si>
  <si>
    <t>37.381401-11.5975_S. mansoni</t>
  </si>
  <si>
    <t>37.381401-11.5975_S. haematobium</t>
  </si>
  <si>
    <t>37.401798-11.5982</t>
  </si>
  <si>
    <t>37.401798-11.5982_S. mansoni</t>
  </si>
  <si>
    <t>37.381901-11.5985</t>
  </si>
  <si>
    <t>37.381901-11.5985_S. mansoni</t>
  </si>
  <si>
    <t>40.016701-11.6</t>
  </si>
  <si>
    <t>40.016701-11.6_S. mansoni</t>
  </si>
  <si>
    <t>37.383301-11.6</t>
  </si>
  <si>
    <t>37.383301-11.6_S. mansoni</t>
  </si>
  <si>
    <t>37.3983-11.6016</t>
  </si>
  <si>
    <t>37.3983-11.6016_S. mansoni</t>
  </si>
  <si>
    <t>41.143101-11.6928</t>
  </si>
  <si>
    <t>41.143101-11.6928_S. haematobium</t>
  </si>
  <si>
    <t>37.633301-11.7167</t>
  </si>
  <si>
    <t>37.633301-11.7167_S. mansoni</t>
  </si>
  <si>
    <t>37.916698-11.7167</t>
  </si>
  <si>
    <t>37.916698-11.7167_S. mansoni</t>
  </si>
  <si>
    <t>40.982201-11.7268</t>
  </si>
  <si>
    <t>40.982201-11.7268_S. haematobium</t>
  </si>
  <si>
    <t>38.466702-11.7333</t>
  </si>
  <si>
    <t>38.466702-11.7333_S. mansoni</t>
  </si>
  <si>
    <t>41.082802-11.7379</t>
  </si>
  <si>
    <t>41.082802-11.7379_S. haematobium</t>
  </si>
  <si>
    <t>41.093601-11.7758</t>
  </si>
  <si>
    <t>41.093601-11.7758_S. haematobium</t>
  </si>
  <si>
    <t>37.5667-11.7833</t>
  </si>
  <si>
    <t>37.5667-11.7833_S. mansoni</t>
  </si>
  <si>
    <t>41.110001-11.7942</t>
  </si>
  <si>
    <t>41.110001-11.7942_S. haematobium</t>
  </si>
  <si>
    <t>39.5924-11.8304</t>
  </si>
  <si>
    <t>39.5924-11.8304_S. mansoni</t>
  </si>
  <si>
    <t>37.633301-11.8333</t>
  </si>
  <si>
    <t>37.633301-11.8333_S. mansoni</t>
  </si>
  <si>
    <t>38.016701-11.85</t>
  </si>
  <si>
    <t>38.016701-11.85_S. mansoni</t>
  </si>
  <si>
    <t>39.599998-11.85</t>
  </si>
  <si>
    <t>39.599998-11.85_S. mansoni</t>
  </si>
  <si>
    <t>38.069901-11.8726</t>
  </si>
  <si>
    <t>38.069901-11.8726_S. mansoni</t>
  </si>
  <si>
    <t>37.631401-11.8736</t>
  </si>
  <si>
    <t>37.631401-11.8736_S. mansoni</t>
  </si>
  <si>
    <t>37.031898-11.878</t>
  </si>
  <si>
    <t>37.031898-11.878_S. mansoni</t>
  </si>
  <si>
    <t>37.669201-11.8936</t>
  </si>
  <si>
    <t>37.669201-11.8936_S. mansoni</t>
  </si>
  <si>
    <t>37.583302-11.9</t>
  </si>
  <si>
    <t>37.583302-11.9_S. mansoni</t>
  </si>
  <si>
    <t>41.583599-11.9104</t>
  </si>
  <si>
    <t>41.583599-11.9104_S. haematobium</t>
  </si>
  <si>
    <t>41.583698-11.9105</t>
  </si>
  <si>
    <t>41.583698-11.9105_S. haematobium</t>
  </si>
  <si>
    <t>37.884201-11.9125</t>
  </si>
  <si>
    <t>37.884201-11.9125_S. mansoni</t>
  </si>
  <si>
    <t>37.6959-11.9254</t>
  </si>
  <si>
    <t>37.6959-11.9254_S. mansoni</t>
  </si>
  <si>
    <t>37.950001-11.9333</t>
  </si>
  <si>
    <t>37.950001-11.9333_S. mansoni</t>
  </si>
  <si>
    <t>36.8727-11.9343</t>
  </si>
  <si>
    <t>36.8727-11.9343_S. mansoni</t>
  </si>
  <si>
    <t>37-11.95</t>
  </si>
  <si>
    <t>37-11.95_S. mansoni</t>
  </si>
  <si>
    <t>37.604099-11.9501</t>
  </si>
  <si>
    <t>37.604099-11.9501_S. mansoni</t>
  </si>
  <si>
    <t>37.650501-11.9618</t>
  </si>
  <si>
    <t>37.650501-11.9618_S. mansoni</t>
  </si>
  <si>
    <t>38.1833-11.9667</t>
  </si>
  <si>
    <t>38.1833-11.9667_S. mansoni</t>
  </si>
  <si>
    <t>37.6791-11.9789</t>
  </si>
  <si>
    <t>37.6791-11.9789_S. mansoni</t>
  </si>
  <si>
    <t>37.799999-11.9833</t>
  </si>
  <si>
    <t>37.799999-11.9833_S. mansoni</t>
  </si>
  <si>
    <t>37.616699-11.9833</t>
  </si>
  <si>
    <t>37.616699-11.9833_S. mansoni</t>
  </si>
  <si>
    <t>37.636002-11.9937</t>
  </si>
  <si>
    <t>37.636002-11.9937_S. mansoni</t>
  </si>
  <si>
    <t>37.6185-12.0043</t>
  </si>
  <si>
    <t>37.6185-12.0043_S. mansoni</t>
  </si>
  <si>
    <t>36.985802-12.0327</t>
  </si>
  <si>
    <t>36.985802-12.0327_S. mansoni</t>
  </si>
  <si>
    <t>37.727299-12.0819</t>
  </si>
  <si>
    <t>37.727299-12.0819_S. mansoni</t>
  </si>
  <si>
    <t>37.716702-12.0833</t>
  </si>
  <si>
    <t>37.716702-12.0833_S. mansoni</t>
  </si>
  <si>
    <t>37.8885-12.1125</t>
  </si>
  <si>
    <t>37.8885-12.1125_S. mansoni</t>
  </si>
  <si>
    <t>37.783298-12.1167</t>
  </si>
  <si>
    <t>37.783298-12.1167_S. mansoni</t>
  </si>
  <si>
    <t>37.778801-12.1251</t>
  </si>
  <si>
    <t>37.778801-12.1251_S. mansoni</t>
  </si>
  <si>
    <t>37.734402-12.1339</t>
  </si>
  <si>
    <t>37.734402-12.1339_S. mansoni</t>
  </si>
  <si>
    <t>42.1506-12.137</t>
  </si>
  <si>
    <t>42.1506-12.137_S. haematobium</t>
  </si>
  <si>
    <t>39.633301-12.15</t>
  </si>
  <si>
    <t>39.633301-12.15_S. mansoni</t>
  </si>
  <si>
    <t>40-12.1667</t>
  </si>
  <si>
    <t>40-12.1667_S. mansoni</t>
  </si>
  <si>
    <t>37.048698-12.1934</t>
  </si>
  <si>
    <t>37.048698-12.1934_S. mansoni</t>
  </si>
  <si>
    <t>39.766701-12.2</t>
  </si>
  <si>
    <t>39.766701-12.2_S. mansoni</t>
  </si>
  <si>
    <t>37.215401-12.2216</t>
  </si>
  <si>
    <t>37.215401-12.2216_S. mansoni</t>
  </si>
  <si>
    <t>37.296501-12.2379</t>
  </si>
  <si>
    <t>37.296501-12.2379_S. mansoni</t>
  </si>
  <si>
    <t>37.296501-12.2379_S. haematobium</t>
  </si>
  <si>
    <t>37.3008-12.2403</t>
  </si>
  <si>
    <t>37.3008-12.2403_S. mansoni</t>
  </si>
  <si>
    <t>37.6297-12.2572</t>
  </si>
  <si>
    <t>37.6297-12.2572_S. mansoni</t>
  </si>
  <si>
    <t>37.237999-12.2674</t>
  </si>
  <si>
    <t>37.237999-12.2674_S. mansoni</t>
  </si>
  <si>
    <t>37.103401-12.2734</t>
  </si>
  <si>
    <t>37.103401-12.2734_S. mansoni</t>
  </si>
  <si>
    <t>39.6022-12.285</t>
  </si>
  <si>
    <t>39.6022-12.285_S. mansoni</t>
  </si>
  <si>
    <t>37.366699-12.3</t>
  </si>
  <si>
    <t>37.366699-12.3_S. mansoni</t>
  </si>
  <si>
    <t>36.216702-12.3</t>
  </si>
  <si>
    <t>36.216702-12.3_S. mansoni</t>
  </si>
  <si>
    <t>37.080399-12.3037</t>
  </si>
  <si>
    <t>37.080399-12.3037_S. mansoni</t>
  </si>
  <si>
    <t>37.256302-12.3146</t>
  </si>
  <si>
    <t>37.256302-12.3146_S. mansoni</t>
  </si>
  <si>
    <t>39.5994-12.3159</t>
  </si>
  <si>
    <t>39.5994-12.3159_S. mansoni</t>
  </si>
  <si>
    <t>37.266701-12.3167</t>
  </si>
  <si>
    <t>37.266701-12.3167_S. mansoni</t>
  </si>
  <si>
    <t>37.226398-12.3344</t>
  </si>
  <si>
    <t>37.226398-12.3344_S. mansoni</t>
  </si>
  <si>
    <t>37.226398-12.3344_S. haematobium</t>
  </si>
  <si>
    <t>37.337502-12.3479</t>
  </si>
  <si>
    <t>37.337502-12.3479_S. mansoni</t>
  </si>
  <si>
    <t>37.366699-12.3667</t>
  </si>
  <si>
    <t>37.366699-12.3667_S. mansoni</t>
  </si>
  <si>
    <t>37.183701-12.3714</t>
  </si>
  <si>
    <t>37.183701-12.3714_S. mansoni</t>
  </si>
  <si>
    <t>39.557201-12.4169</t>
  </si>
  <si>
    <t>39.557201-12.4169_S. mansoni</t>
  </si>
  <si>
    <t>37.325001-12.4242</t>
  </si>
  <si>
    <t>37.325001-12.4242_S. mansoni</t>
  </si>
  <si>
    <t>37.1609-12.4728</t>
  </si>
  <si>
    <t>37.1609-12.4728_S. mansoni</t>
  </si>
  <si>
    <t>39.6105-12.4835</t>
  </si>
  <si>
    <t>39.6105-12.4835_S. mansoni</t>
  </si>
  <si>
    <t>37.128399-12.4965</t>
  </si>
  <si>
    <t>37.128399-12.4965_S. mansoni</t>
  </si>
  <si>
    <t>37.5-12.5</t>
  </si>
  <si>
    <t>37.5-12.5_S. mansoni</t>
  </si>
  <si>
    <t>37.2481-12.5252</t>
  </si>
  <si>
    <t>37.2481-12.5252_S. mansoni</t>
  </si>
  <si>
    <t>37.347801-12.5342</t>
  </si>
  <si>
    <t>37.347801-12.5342_S. mansoni</t>
  </si>
  <si>
    <t>37.4333-12.55</t>
  </si>
  <si>
    <t>37.4333-12.55_S. mansoni</t>
  </si>
  <si>
    <t>37.0667-12.55</t>
  </si>
  <si>
    <t>37.0667-12.55_S. mansoni</t>
  </si>
  <si>
    <t>37.451599-12.5947</t>
  </si>
  <si>
    <t>37.451599-12.5947_S. mansoni</t>
  </si>
  <si>
    <t>37.466702-12.6</t>
  </si>
  <si>
    <t>37.466702-12.6_S. mansoni</t>
  </si>
  <si>
    <t>37.4673-12.6134</t>
  </si>
  <si>
    <t>37.4673-12.6134_S. mansoni</t>
  </si>
  <si>
    <t>37.468201-12.6138</t>
  </si>
  <si>
    <t>37.468201-12.6138_S. mansoni</t>
  </si>
  <si>
    <t>37.450001-12.6169</t>
  </si>
  <si>
    <t>37.450001-12.6169_S. mansoni</t>
  </si>
  <si>
    <t>39.767399-12.6293</t>
  </si>
  <si>
    <t>39.767399-12.6293_S. mansoni</t>
  </si>
  <si>
    <t>39.502899-12.7229</t>
  </si>
  <si>
    <t>39.502899-12.7229_S. mansoni</t>
  </si>
  <si>
    <t>39.602299-12.7327</t>
  </si>
  <si>
    <t>39.602299-12.7327_S. mansoni</t>
  </si>
  <si>
    <t>39.526299-12.7581</t>
  </si>
  <si>
    <t>39.526299-12.7581_S. mansoni</t>
  </si>
  <si>
    <t>39.766701-12.7833</t>
  </si>
  <si>
    <t>39.766701-12.7833_S. mansoni</t>
  </si>
  <si>
    <t>39.539299-12.7842</t>
  </si>
  <si>
    <t>39.539299-12.7842_S. mansoni</t>
  </si>
  <si>
    <t>39.542198-12.7875</t>
  </si>
  <si>
    <t>39.542198-12.7875_S. mansoni</t>
  </si>
  <si>
    <t>39.548801-12.7978</t>
  </si>
  <si>
    <t>39.548801-12.7978_S. mansoni</t>
  </si>
  <si>
    <t>41.400002-12.8</t>
  </si>
  <si>
    <t>41.400002-12.8_S. mansoni</t>
  </si>
  <si>
    <t>39.631599-12.8127</t>
  </si>
  <si>
    <t>39.631599-12.8127_S. mansoni</t>
  </si>
  <si>
    <t>36.155201-12.9538</t>
  </si>
  <si>
    <t>36.155201-12.9538_S. mansoni</t>
  </si>
  <si>
    <t>39.400002-12.9667</t>
  </si>
  <si>
    <t>39.400002-12.9667_S. mansoni</t>
  </si>
  <si>
    <t>39.526798-12.9781</t>
  </si>
  <si>
    <t>39.526798-12.9781_S. mansoni</t>
  </si>
  <si>
    <t>40.060001-13.18</t>
  </si>
  <si>
    <t>40.060001-13.18_S. mansoni</t>
  </si>
  <si>
    <t>39.208-13.1845</t>
  </si>
  <si>
    <t>39.208-13.1845_S. mansoni</t>
  </si>
  <si>
    <t>39.525299-13.1901</t>
  </si>
  <si>
    <t>39.525299-13.1901_S. mansoni</t>
  </si>
  <si>
    <t>39.4436-13.1907</t>
  </si>
  <si>
    <t>39.4436-13.1907_S. mansoni</t>
  </si>
  <si>
    <t>39.460999-13.2064</t>
  </si>
  <si>
    <t>39.460999-13.2064_S. mansoni</t>
  </si>
  <si>
    <t>39.514999-13.2495</t>
  </si>
  <si>
    <t>39.514999-13.2495_S. mansoni</t>
  </si>
  <si>
    <t>39.455399-13.3</t>
  </si>
  <si>
    <t>39.455399-13.3_S. mansoni</t>
  </si>
  <si>
    <t>39.4585-13.3171</t>
  </si>
  <si>
    <t>39.4585-13.3171_S. mansoni</t>
  </si>
  <si>
    <t>37.882401-13.3406</t>
  </si>
  <si>
    <t>37.882401-13.3406_S. mansoni</t>
  </si>
  <si>
    <t>37.882702-13.3407</t>
  </si>
  <si>
    <t>37.882702-13.3407_S. mansoni</t>
  </si>
  <si>
    <t>39.527599-13.3605</t>
  </si>
  <si>
    <t>39.527599-13.3605_S. mansoni</t>
  </si>
  <si>
    <t>39.5415-13.3658</t>
  </si>
  <si>
    <t>39.5415-13.3658_S. mansoni</t>
  </si>
  <si>
    <t>38.0606-13.4486</t>
  </si>
  <si>
    <t>38.0606-13.4486_S. mansoni</t>
  </si>
  <si>
    <t>39.488899-13.4562</t>
  </si>
  <si>
    <t>39.488899-13.4562_S. mansoni</t>
  </si>
  <si>
    <t>39.5439-13.4769</t>
  </si>
  <si>
    <t>39.5439-13.4769_S. mansoni</t>
  </si>
  <si>
    <t>39.545502-13.4791</t>
  </si>
  <si>
    <t>39.545502-13.4791_S. mansoni</t>
  </si>
  <si>
    <t>39.649502-13.4872</t>
  </si>
  <si>
    <t>39.649502-13.4872_S. mansoni</t>
  </si>
  <si>
    <t>39.4753-13.4967</t>
  </si>
  <si>
    <t>39.4753-13.4967_S. mansoni</t>
  </si>
  <si>
    <t>39.4804-13.5142</t>
  </si>
  <si>
    <t>39.4804-13.5142_S. mansoni</t>
  </si>
  <si>
    <t>39.4632-13.5182</t>
  </si>
  <si>
    <t>39.4632-13.5182_S. mansoni</t>
  </si>
  <si>
    <t>39.056301-13.5509</t>
  </si>
  <si>
    <t>39.056301-13.5509_S. mansoni</t>
  </si>
  <si>
    <t>38.1325-13.5614</t>
  </si>
  <si>
    <t>38.1325-13.5614_S. mansoni</t>
  </si>
  <si>
    <t>39.377998-13.5912</t>
  </si>
  <si>
    <t>39.377998-13.5912_S. mansoni</t>
  </si>
  <si>
    <t>39.160702-13.6128</t>
  </si>
  <si>
    <t>39.160702-13.6128_S. mansoni</t>
  </si>
  <si>
    <t>39.002102-13.6232</t>
  </si>
  <si>
    <t>39.002102-13.6232_S. mansoni</t>
  </si>
  <si>
    <t>38.353199-13.6447</t>
  </si>
  <si>
    <t>38.353199-13.6447_S. mansoni</t>
  </si>
  <si>
    <t>38.944099-13.6591</t>
  </si>
  <si>
    <t>38.944099-13.6591_S. mansoni</t>
  </si>
  <si>
    <t>39.243198-13.6637</t>
  </si>
  <si>
    <t>39.243198-13.6637_S. mansoni</t>
  </si>
  <si>
    <t>39.593899-13.6931</t>
  </si>
  <si>
    <t>39.593899-13.6931_S. mansoni</t>
  </si>
  <si>
    <t>38.988098-13.7055</t>
  </si>
  <si>
    <t>38.988098-13.7055_S. mansoni</t>
  </si>
  <si>
    <t>39-13.7333</t>
  </si>
  <si>
    <t>39-13.7333_S. mansoni</t>
  </si>
  <si>
    <t>39.0667-13.75</t>
  </si>
  <si>
    <t>39.0667-13.75_S. mansoni</t>
  </si>
  <si>
    <t>39.616699-13.7724</t>
  </si>
  <si>
    <t>39.616699-13.7724_S. mansoni</t>
  </si>
  <si>
    <t>39.044498-13.7823</t>
  </si>
  <si>
    <t>39.044498-13.7823_S. mansoni</t>
  </si>
  <si>
    <t>38.700001-13.7833</t>
  </si>
  <si>
    <t>38.700001-13.7833_S. mansoni</t>
  </si>
  <si>
    <t>39.6003-13.7895</t>
  </si>
  <si>
    <t>39.6003-13.7895_S. mansoni</t>
  </si>
  <si>
    <t>39.603001-13.7953</t>
  </si>
  <si>
    <t>39.603001-13.7953_S. mansoni</t>
  </si>
  <si>
    <t>39.585098-13.8005</t>
  </si>
  <si>
    <t>39.585098-13.8005_S. mansoni</t>
  </si>
  <si>
    <t>38.8167-13.8167</t>
  </si>
  <si>
    <t>38.8167-13.8167_S. mansoni</t>
  </si>
  <si>
    <t>39.7374-13.8716</t>
  </si>
  <si>
    <t>39.7374-13.8716_S. mansoni</t>
  </si>
  <si>
    <t>39.7383-13.8719</t>
  </si>
  <si>
    <t>39.7383-13.8719_S. mansoni</t>
  </si>
  <si>
    <t>38.988201-13.9445</t>
  </si>
  <si>
    <t>38.988201-13.9445_S. mansoni</t>
  </si>
  <si>
    <t>39.589901-13.9463</t>
  </si>
  <si>
    <t>39.589901-13.9463_S. mansoni</t>
  </si>
  <si>
    <t>38.1842-13.9494</t>
  </si>
  <si>
    <t>38.1842-13.9494_S. mansoni</t>
  </si>
  <si>
    <t>38.4547-13.9514</t>
  </si>
  <si>
    <t>38.4547-13.9514_S. mansoni</t>
  </si>
  <si>
    <t>39.019199-13.9666</t>
  </si>
  <si>
    <t>39.019199-13.9666_S. mansoni</t>
  </si>
  <si>
    <t>39.429699-13.9784</t>
  </si>
  <si>
    <t>39.429699-13.9784_S. mansoni</t>
  </si>
  <si>
    <t>39.587002-14.0229</t>
  </si>
  <si>
    <t>39.587002-14.0229_S. mansoni</t>
  </si>
  <si>
    <t>39.070801-14.0395</t>
  </si>
  <si>
    <t>39.070801-14.0395_S. mansoni</t>
  </si>
  <si>
    <t>39.029598-14.0436</t>
  </si>
  <si>
    <t>39.029598-14.0436_S. mansoni</t>
  </si>
  <si>
    <t>39.577202-14.0547</t>
  </si>
  <si>
    <t>39.577202-14.0547_S. mansoni</t>
  </si>
  <si>
    <t>39.563099-14.0772</t>
  </si>
  <si>
    <t>39.563099-14.0772_S. mansoni</t>
  </si>
  <si>
    <t>39.5653-14.0917</t>
  </si>
  <si>
    <t>39.5653-14.0917_S. mansoni</t>
  </si>
  <si>
    <t>38.658001-14.0953</t>
  </si>
  <si>
    <t>38.658001-14.0953_S. mansoni</t>
  </si>
  <si>
    <t>38.282902-14.1027</t>
  </si>
  <si>
    <t>38.282902-14.1027_S. mansoni</t>
  </si>
  <si>
    <t>38.6926-14.1039</t>
  </si>
  <si>
    <t>38.6926-14.1039_S. mansoni</t>
  </si>
  <si>
    <t>38.475601-14.1139</t>
  </si>
  <si>
    <t>38.475601-14.1139_S. mansoni</t>
  </si>
  <si>
    <t>39.6366-14.1194</t>
  </si>
  <si>
    <t>39.6366-14.1194_S. mansoni</t>
  </si>
  <si>
    <t>38.594799-14.1231</t>
  </si>
  <si>
    <t>38.594799-14.1231_S. mansoni</t>
  </si>
  <si>
    <t>38.7757-14.1241</t>
  </si>
  <si>
    <t>38.7757-14.1241_S. mansoni</t>
  </si>
  <si>
    <t>38.7244-14.1245</t>
  </si>
  <si>
    <t>38.7244-14.1245_S. mansoni</t>
  </si>
  <si>
    <t>39.5625-14.1446</t>
  </si>
  <si>
    <t>39.5625-14.1446_S. mansoni</t>
  </si>
  <si>
    <t>38.898102-14.1569</t>
  </si>
  <si>
    <t>38.898102-14.1569_S. mansoni</t>
  </si>
  <si>
    <t>38.904701-14.1609</t>
  </si>
  <si>
    <t>38.904701-14.1609_S. mansoni</t>
  </si>
  <si>
    <t>38.9077-14.1615</t>
  </si>
  <si>
    <t>38.9077-14.1615_S. mansoni</t>
  </si>
  <si>
    <t>38.901299-14.162</t>
  </si>
  <si>
    <t>38.901299-14.162_S. mansoni</t>
  </si>
  <si>
    <t>38.8992-14.1635</t>
  </si>
  <si>
    <t>38.8992-14.1635_S. mansoni</t>
  </si>
  <si>
    <t>38.9044-14.1636</t>
  </si>
  <si>
    <t>38.9044-14.1636_S. mansoni</t>
  </si>
  <si>
    <t>38.899601-14.164</t>
  </si>
  <si>
    <t>38.899601-14.164_S. mansoni</t>
  </si>
  <si>
    <t>38.900002-14.1667</t>
  </si>
  <si>
    <t>38.900002-14.1667_S. mansoni</t>
  </si>
  <si>
    <t>38.8983-14.167</t>
  </si>
  <si>
    <t>38.8983-14.167_S. mansoni</t>
  </si>
  <si>
    <t>38.875599-14.1816</t>
  </si>
  <si>
    <t>38.875599-14.1816_S. mansoni</t>
  </si>
  <si>
    <t>38.8825-14.1824</t>
  </si>
  <si>
    <t>38.8825-14.1824_S. mansoni</t>
  </si>
  <si>
    <t>38.887501-14.1835</t>
  </si>
  <si>
    <t>38.887501-14.1835_S. mansoni</t>
  </si>
  <si>
    <t>38.883598-14.1872</t>
  </si>
  <si>
    <t>38.883598-14.1872_S. mansoni</t>
  </si>
  <si>
    <t>38.884499-14.1888</t>
  </si>
  <si>
    <t>38.884499-14.1888_S. mansoni</t>
  </si>
  <si>
    <t>39.533001-14.189</t>
  </si>
  <si>
    <t>39.533001-14.189_S. mansoni</t>
  </si>
  <si>
    <t>38.3433-14.1943</t>
  </si>
  <si>
    <t>38.3433-14.1943_S. mansoni</t>
  </si>
  <si>
    <t>39.572498-14.1973</t>
  </si>
  <si>
    <t>39.572498-14.1973_S. mansoni</t>
  </si>
  <si>
    <t>38.9748-14.2126</t>
  </si>
  <si>
    <t>38.9748-14.2126_S. mansoni</t>
  </si>
  <si>
    <t>39.007-14.2211</t>
  </si>
  <si>
    <t>39.007-14.2211_S. mansoni</t>
  </si>
  <si>
    <t>39.150002-14.2789</t>
  </si>
  <si>
    <t>39.150002-14.2789_S. mansoni</t>
  </si>
  <si>
    <t>39.017799-14.2836</t>
  </si>
  <si>
    <t>39.017799-14.2836_S. mansoni</t>
  </si>
  <si>
    <t>39.469601-14.2843</t>
  </si>
  <si>
    <t>39.469601-14.2843_S. mansoni</t>
  </si>
  <si>
    <t>36.608101-14.2859</t>
  </si>
  <si>
    <t>36.608101-14.2859_S. mansoni</t>
  </si>
  <si>
    <t>38.170898-14.3156</t>
  </si>
  <si>
    <t>38.170898-14.3156_S. mansoni</t>
  </si>
  <si>
    <t>38.162998-14.325</t>
  </si>
  <si>
    <t>38.162998-14.325_S. mansoni</t>
  </si>
  <si>
    <t>37.9333-14.4</t>
  </si>
  <si>
    <t>37.9333-14.4_S. mansoni</t>
  </si>
  <si>
    <t>38.784698-14.4133</t>
  </si>
  <si>
    <t>38.784698-14.4133_S. mansoni</t>
  </si>
  <si>
    <t>38.176102-14.4561</t>
  </si>
  <si>
    <t>38.176102-14.4561_S. mansoni</t>
  </si>
  <si>
    <t>38.058601-14.5156</t>
  </si>
  <si>
    <t>38.058601-14.5156_S. mansoni</t>
  </si>
  <si>
    <t>39.382099-14.5194</t>
  </si>
  <si>
    <t>39.382099-14.5194_S. mansoni</t>
  </si>
  <si>
    <t>38.087799-14.5753</t>
  </si>
  <si>
    <t>38.087799-14.5753_S. mansoni</t>
  </si>
  <si>
    <t>40.7595-11.4117</t>
  </si>
  <si>
    <t>40.7595-11.4117_S. haematobium</t>
  </si>
  <si>
    <t>41.6012-8.808</t>
  </si>
  <si>
    <t>41.6012-8.808_S. mansoni</t>
  </si>
  <si>
    <t>43.5655-8.2242</t>
  </si>
  <si>
    <t>43.5655-8.2242_S. mansoni</t>
  </si>
  <si>
    <t>37.7663-7.3235</t>
  </si>
  <si>
    <t>37.7663-7.3235_S. mansoni</t>
  </si>
  <si>
    <t>38.0631-8.1823</t>
  </si>
  <si>
    <t>38.0631-8.1823_S. mansoni</t>
  </si>
  <si>
    <t>38.834202-14.6353</t>
  </si>
  <si>
    <t>38.834202-14.6353_S. mansoni</t>
  </si>
  <si>
    <t>38.834499-14.6362</t>
  </si>
  <si>
    <t>38.834499-14.6362_S. mansoni</t>
  </si>
  <si>
    <t>38.8489-14.8692</t>
  </si>
  <si>
    <t>38.8489-14.8692_S. mansoni</t>
  </si>
  <si>
    <t>38.8489-14.8692_S. haematobium</t>
  </si>
  <si>
    <t>38.8153-14.8872</t>
  </si>
  <si>
    <t>38.8153-14.8872_S. mansoni</t>
  </si>
  <si>
    <t>38.8153-14.8872_S. haematobium</t>
  </si>
  <si>
    <t>39.1483-15.0372</t>
  </si>
  <si>
    <t>39.1483-15.0372_S. mansoni</t>
  </si>
  <si>
    <t>39.1483-15.0372_S. haematobium</t>
  </si>
  <si>
    <t>39.187199-15.0528</t>
  </si>
  <si>
    <t>39.187199-15.0528_S. mansoni</t>
  </si>
  <si>
    <t>39.187199-15.0528_S. haematobium</t>
  </si>
  <si>
    <t>39.047501-15.07</t>
  </si>
  <si>
    <t>39.047501-15.07_S. mansoni</t>
  </si>
  <si>
    <t>39.047501-15.07_S. haematobium</t>
  </si>
  <si>
    <t>38.9333-15.3333</t>
  </si>
  <si>
    <t>38.9333-15.3333_S. mansoni</t>
  </si>
  <si>
    <t>38.9333-15.3333_S. haematobium</t>
  </si>
  <si>
    <t>39.450001-15.6097</t>
  </si>
  <si>
    <t>39.450001-15.6097_S. mansoni</t>
  </si>
  <si>
    <t>39.450001-15.6097_S. haematobium</t>
  </si>
  <si>
    <t>9.76507-1.86323</t>
  </si>
  <si>
    <t>9.76507-1.86323_S. mansoni</t>
  </si>
  <si>
    <t>42.660599-11.8469</t>
  </si>
  <si>
    <t>42.660599-11.8469_S. mansoni</t>
  </si>
  <si>
    <t>30.3421-3.44098</t>
  </si>
  <si>
    <t>30.3421-3.44098_S. mansoni</t>
  </si>
  <si>
    <t>30.2192-2.95422</t>
  </si>
  <si>
    <t>30.2192-2.95422_S. mansoni</t>
  </si>
  <si>
    <t>30.8375-2.86823</t>
  </si>
  <si>
    <t>30.8375-2.86823_S. mansoni</t>
  </si>
  <si>
    <t>30.128401-1.81936</t>
  </si>
  <si>
    <t>30.128401-1.81936_S. mansoni</t>
  </si>
  <si>
    <t>29.692301-1.20062</t>
  </si>
  <si>
    <t>29.692301-1.20062_S. mansoni</t>
  </si>
  <si>
    <t>25.0296-0.572441</t>
  </si>
  <si>
    <t>25.0296-0.572441_S. intercalatum (guineensis)</t>
  </si>
  <si>
    <t>25.025-0.571893</t>
  </si>
  <si>
    <t>25.025-0.571893_S. intercalatum (guineensis)</t>
  </si>
  <si>
    <t>28.616699--1.18333</t>
  </si>
  <si>
    <t>28.616699--1.18333_S. mansoni</t>
  </si>
  <si>
    <t>26.7577--2.40919</t>
  </si>
  <si>
    <t>26.7577--2.40919_S. mansoni</t>
  </si>
  <si>
    <t>26.5263--2.55379</t>
  </si>
  <si>
    <t>26.5263--2.55379_S. mansoni</t>
  </si>
  <si>
    <t>25.9202--2.94756</t>
  </si>
  <si>
    <t>25.9202--2.94756_S. haematobium</t>
  </si>
  <si>
    <t>25.9202--2.94756_S. mansoni</t>
  </si>
  <si>
    <t>15.2743--4.33805</t>
  </si>
  <si>
    <t>15.2743--4.33805_S. mansoni</t>
  </si>
  <si>
    <t>15.2167--4.33844</t>
  </si>
  <si>
    <t>15.2167--4.33844_S. intercalatum (guineensis)</t>
  </si>
  <si>
    <t>15.2702--4.33848</t>
  </si>
  <si>
    <t>15.2702--4.33848_S. mansoni</t>
  </si>
  <si>
    <t>15.268--4.34086</t>
  </si>
  <si>
    <t>15.268--4.34086_S. mansoni</t>
  </si>
  <si>
    <t>15.268--4.34086_S. haematobium</t>
  </si>
  <si>
    <t>15.2758--4.34233</t>
  </si>
  <si>
    <t>15.2758--4.34233_S. mansoni</t>
  </si>
  <si>
    <t>15.2769--4.35243</t>
  </si>
  <si>
    <t>15.2769--4.35243_S. mansoni</t>
  </si>
  <si>
    <t>26.579399--4.52917</t>
  </si>
  <si>
    <t>26.579399--4.52917_S. haematobium</t>
  </si>
  <si>
    <t>26.579399--4.52917_S. mansoni</t>
  </si>
  <si>
    <t>13.1--4.91667</t>
  </si>
  <si>
    <t>13.1--4.91667_S. mansoni</t>
  </si>
  <si>
    <t>13.1--4.91667_S. haematobium</t>
  </si>
  <si>
    <t>12.8667--4.93333</t>
  </si>
  <si>
    <t>12.8667--4.93333_S. mansoni</t>
  </si>
  <si>
    <t>12.8667--4.93333_S. haematobium</t>
  </si>
  <si>
    <t>13.0167--4.95</t>
  </si>
  <si>
    <t>13.0167--4.95_S. mansoni</t>
  </si>
  <si>
    <t>13.0167--4.95_S. haematobium</t>
  </si>
  <si>
    <t>12.7217--4.95583</t>
  </si>
  <si>
    <t>12.7217--4.95583_S. mansoni</t>
  </si>
  <si>
    <t>12.7217--4.95583_S. haematobium</t>
  </si>
  <si>
    <t>13--4.98333</t>
  </si>
  <si>
    <t>13--4.98333_S. mansoni</t>
  </si>
  <si>
    <t>13--4.98333_S. haematobium</t>
  </si>
  <si>
    <t>12.6333--5</t>
  </si>
  <si>
    <t>12.6333--5_S. mansoni</t>
  </si>
  <si>
    <t>12.6333--5_S. haematobium</t>
  </si>
  <si>
    <t>12.9556--5.00676</t>
  </si>
  <si>
    <t>12.9556--5.00676_S. mansoni</t>
  </si>
  <si>
    <t>12.9556--5.00676_S. haematobium</t>
  </si>
  <si>
    <t>12.85--5.01667</t>
  </si>
  <si>
    <t>12.85--5.01667_S. mansoni</t>
  </si>
  <si>
    <t>12.85--5.01667_S. haematobium</t>
  </si>
  <si>
    <t>12.7415--5.05031</t>
  </si>
  <si>
    <t>12.7415--5.05031_S. mansoni</t>
  </si>
  <si>
    <t>12.7415--5.05031_S. haematobium</t>
  </si>
  <si>
    <t>12.85--5.06667</t>
  </si>
  <si>
    <t>12.85--5.06667_S. mansoni</t>
  </si>
  <si>
    <t>12.85--5.06667_S. haematobium</t>
  </si>
  <si>
    <t>14.2811--5.07551</t>
  </si>
  <si>
    <t>14.2811--5.07551_S. haematobium</t>
  </si>
  <si>
    <t>14.2811--5.07551_S. mansoni</t>
  </si>
  <si>
    <t>12.758--5.0767</t>
  </si>
  <si>
    <t>12.758--5.0767_S. mansoni</t>
  </si>
  <si>
    <t>12.6333--5.08333</t>
  </si>
  <si>
    <t>12.6333--5.08333_S. mansoni</t>
  </si>
  <si>
    <t>12.6333--5.08333_S. haematobium</t>
  </si>
  <si>
    <t>12.9833--5.08333</t>
  </si>
  <si>
    <t>12.9833--5.08333_S. mansoni</t>
  </si>
  <si>
    <t>12.9833--5.08333_S. haematobium</t>
  </si>
  <si>
    <t>12.7333--5.1</t>
  </si>
  <si>
    <t>12.7333--5.1_S. mansoni</t>
  </si>
  <si>
    <t>12.7333--5.1_S. haematobium</t>
  </si>
  <si>
    <t>12.65--5.11667</t>
  </si>
  <si>
    <t>12.65--5.11667_S. mansoni</t>
  </si>
  <si>
    <t>12.65--5.11667_S. haematobium</t>
  </si>
  <si>
    <t>12.5356--5.12161</t>
  </si>
  <si>
    <t>12.5356--5.12161_S. mansoni</t>
  </si>
  <si>
    <t>12.5356--5.12161_S. haematobium</t>
  </si>
  <si>
    <t>13.0833--5.15</t>
  </si>
  <si>
    <t>13.0833--5.15_S. mansoni</t>
  </si>
  <si>
    <t>13.0833--5.15_S. haematobium</t>
  </si>
  <si>
    <t>12.7667--5.16667</t>
  </si>
  <si>
    <t>12.7667--5.16667_S. mansoni</t>
  </si>
  <si>
    <t>12.7667--5.16667_S. haematobium</t>
  </si>
  <si>
    <t>12.9744--5.16999</t>
  </si>
  <si>
    <t>12.9744--5.16999_S. mansoni</t>
  </si>
  <si>
    <t>12.9744--5.16999_S. haematobium</t>
  </si>
  <si>
    <t>12.9842--5.19698</t>
  </si>
  <si>
    <t>12.9842--5.19698_S. mansoni</t>
  </si>
  <si>
    <t>12.9842--5.19698_S. haematobium</t>
  </si>
  <si>
    <t>12.6869--5.21256</t>
  </si>
  <si>
    <t>12.6869--5.21256_S. mansoni</t>
  </si>
  <si>
    <t>12.6869--5.21256_S. haematobium</t>
  </si>
  <si>
    <t>14.1833--5.23333</t>
  </si>
  <si>
    <t>14.1833--5.23333_S. haematobium</t>
  </si>
  <si>
    <t>14.1833--5.23333_S. mansoni</t>
  </si>
  <si>
    <t>12.726--5.24906</t>
  </si>
  <si>
    <t>12.726--5.24906_S. mansoni</t>
  </si>
  <si>
    <t>12.726--5.24906_S. haematobium</t>
  </si>
  <si>
    <t>14.15--5.25</t>
  </si>
  <si>
    <t>14.15--5.25_S. haematobium</t>
  </si>
  <si>
    <t>14.15--5.25_S. mansoni</t>
  </si>
  <si>
    <t>12.9685--5.25587</t>
  </si>
  <si>
    <t>12.9685--5.25587_S. mansoni</t>
  </si>
  <si>
    <t>12.9685--5.25587_S. haematobium</t>
  </si>
  <si>
    <t>14.3--5.26667</t>
  </si>
  <si>
    <t>14.3--5.26667_S. haematobium</t>
  </si>
  <si>
    <t>14.3--5.26667_S. mansoni</t>
  </si>
  <si>
    <t>12.8167--5.26667</t>
  </si>
  <si>
    <t>12.8167--5.26667_S. mansoni</t>
  </si>
  <si>
    <t>12.8167--5.26667_S. haematobium</t>
  </si>
  <si>
    <t>12.9488--5.26675</t>
  </si>
  <si>
    <t>12.9488--5.26675_S. mansoni</t>
  </si>
  <si>
    <t>12.9488--5.26675_S. haematobium</t>
  </si>
  <si>
    <t>12.9268--5.33125</t>
  </si>
  <si>
    <t>12.9268--5.33125_S. mansoni</t>
  </si>
  <si>
    <t>12.9268--5.33125_S. haematobium</t>
  </si>
  <si>
    <t>14.1333--5.33333</t>
  </si>
  <si>
    <t>14.1333--5.33333_S. haematobium</t>
  </si>
  <si>
    <t>14.1333--5.33333_S. mansoni</t>
  </si>
  <si>
    <t>12.85--5.33333</t>
  </si>
  <si>
    <t>12.85--5.33333_S. mansoni</t>
  </si>
  <si>
    <t>12.85--5.33333_S. haematobium</t>
  </si>
  <si>
    <t>14.5167--5.36667</t>
  </si>
  <si>
    <t>14.5167--5.36667_S. haematobium</t>
  </si>
  <si>
    <t>14.5167--5.36667_S. mansoni</t>
  </si>
  <si>
    <t>12.9473--5.39374</t>
  </si>
  <si>
    <t>12.9473--5.39374_S. mansoni</t>
  </si>
  <si>
    <t>12.9473--5.39374_S. haematobium</t>
  </si>
  <si>
    <t>12.6658--5.40115</t>
  </si>
  <si>
    <t>12.6658--5.40115_S. mansoni</t>
  </si>
  <si>
    <t>12.6658--5.40115_S. haematobium</t>
  </si>
  <si>
    <t>14.3206--5.42886</t>
  </si>
  <si>
    <t>14.3206--5.42886_S. haematobium</t>
  </si>
  <si>
    <t>14.3206--5.42886_S. mansoni</t>
  </si>
  <si>
    <t>12.7833--5.43333</t>
  </si>
  <si>
    <t>12.7833--5.43333_S. mansoni</t>
  </si>
  <si>
    <t>12.7833--5.43333_S. haematobium</t>
  </si>
  <si>
    <t>12.9333--5.43333</t>
  </si>
  <si>
    <t>12.9333--5.43333_S. mansoni</t>
  </si>
  <si>
    <t>12.9333--5.43333_S. haematobium</t>
  </si>
  <si>
    <t>14.2152--5.46279</t>
  </si>
  <si>
    <t>14.2152--5.46279_S. haematobium</t>
  </si>
  <si>
    <t>14.2152--5.46279_S. mansoni</t>
  </si>
  <si>
    <t>13.9581--5.46524</t>
  </si>
  <si>
    <t>13.9581--5.46524_S. haematobium</t>
  </si>
  <si>
    <t>13.9581--5.46524_S. mansoni</t>
  </si>
  <si>
    <t>13.7833--5.46667</t>
  </si>
  <si>
    <t>13.7833--5.46667_S. haematobium</t>
  </si>
  <si>
    <t>13.7833--5.46667_S. mansoni</t>
  </si>
  <si>
    <t>14.45--5.48333</t>
  </si>
  <si>
    <t>14.45--5.48333_S. haematobium</t>
  </si>
  <si>
    <t>14.45--5.48333_S. mansoni</t>
  </si>
  <si>
    <t>13.8--5.5</t>
  </si>
  <si>
    <t>13.8--5.5_S. haematobium</t>
  </si>
  <si>
    <t>13.8--5.5_S. mansoni</t>
  </si>
  <si>
    <t>12.7162--5.53464</t>
  </si>
  <si>
    <t>12.7162--5.53464_S. mansoni</t>
  </si>
  <si>
    <t>12.7162--5.53464_S. haematobium</t>
  </si>
  <si>
    <t>14.3531--5.55682</t>
  </si>
  <si>
    <t>14.3531--5.55682_S. haematobium</t>
  </si>
  <si>
    <t>14.3531--5.55682_S. mansoni</t>
  </si>
  <si>
    <t>13.0435--5.55847</t>
  </si>
  <si>
    <t>13.0435--5.55847_S. mansoni</t>
  </si>
  <si>
    <t>13.0435--5.55847_S. haematobium</t>
  </si>
  <si>
    <t>14.4326--5.5612</t>
  </si>
  <si>
    <t>14.4326--5.5612_S. haematobium</t>
  </si>
  <si>
    <t>14.4326--5.5612_S. mansoni</t>
  </si>
  <si>
    <t>14.4329--5.56434</t>
  </si>
  <si>
    <t>14.4329--5.56434_S. haematobium</t>
  </si>
  <si>
    <t>14.4329--5.56434_S. mansoni</t>
  </si>
  <si>
    <t>13.9295--5.57094</t>
  </si>
  <si>
    <t>13.9295--5.57094_S. haematobium</t>
  </si>
  <si>
    <t>13.9295--5.57094_S. mansoni</t>
  </si>
  <si>
    <t>13.9167--5.58333</t>
  </si>
  <si>
    <t>13.9167--5.58333_S. haematobium</t>
  </si>
  <si>
    <t>13.9167--5.58333_S. mansoni</t>
  </si>
  <si>
    <t>13.0196--5.58555</t>
  </si>
  <si>
    <t>13.0196--5.58555_S. mansoni</t>
  </si>
  <si>
    <t>13.0196--5.58555_S. haematobium</t>
  </si>
  <si>
    <t>14.2983--5.59832</t>
  </si>
  <si>
    <t>14.2983--5.59832_S. haematobium</t>
  </si>
  <si>
    <t>14.2983--5.59832_S. mansoni</t>
  </si>
  <si>
    <t>14.2667--5.61667</t>
  </si>
  <si>
    <t>14.2667--5.61667_S. haematobium</t>
  </si>
  <si>
    <t>14.2667--5.61667_S. mansoni</t>
  </si>
  <si>
    <t>13.9912--5.6595</t>
  </si>
  <si>
    <t>13.9912--5.6595_S. haematobium</t>
  </si>
  <si>
    <t>13.9912--5.6595_S. mansoni</t>
  </si>
  <si>
    <t>14.0399--5.6989</t>
  </si>
  <si>
    <t>14.0399--5.6989_S. haematobium</t>
  </si>
  <si>
    <t>14.0399--5.6989_S. mansoni</t>
  </si>
  <si>
    <t>14.25--5.71667</t>
  </si>
  <si>
    <t>14.25--5.71667_S. haematobium</t>
  </si>
  <si>
    <t>14.25--5.71667_S. mansoni</t>
  </si>
  <si>
    <t>13.6619--5.76611</t>
  </si>
  <si>
    <t>13.6619--5.76611_S. haematobium</t>
  </si>
  <si>
    <t>13.6619--5.76611_S. mansoni</t>
  </si>
  <si>
    <t>14.1112--5.76757</t>
  </si>
  <si>
    <t>14.1112--5.76757_S. haematobium</t>
  </si>
  <si>
    <t>14.1112--5.76757_S. mansoni</t>
  </si>
  <si>
    <t>13.9184--5.76762</t>
  </si>
  <si>
    <t>13.9184--5.76762_S. haematobium</t>
  </si>
  <si>
    <t>13.9184--5.76762_S. mansoni</t>
  </si>
  <si>
    <t>14.5011--5.79821</t>
  </si>
  <si>
    <t>14.5011--5.79821_S. mansoni</t>
  </si>
  <si>
    <t>14.4167--5.8</t>
  </si>
  <si>
    <t>14.4167--5.8_S. haematobium</t>
  </si>
  <si>
    <t>14.4167--5.8_S. mansoni</t>
  </si>
  <si>
    <t>13.4573--5.80019</t>
  </si>
  <si>
    <t>13.4573--5.80019_S. haematobium</t>
  </si>
  <si>
    <t>13.4573--5.80019_S. mansoni</t>
  </si>
  <si>
    <t>13.4616--5.83111</t>
  </si>
  <si>
    <t>13.4616--5.83111_S. haematobium</t>
  </si>
  <si>
    <t>13.4616--5.83111_S. mansoni</t>
  </si>
  <si>
    <t>14.3667--5.83333</t>
  </si>
  <si>
    <t>14.3667--5.83333_S. haematobium</t>
  </si>
  <si>
    <t>14.3667--5.83333_S. mansoni</t>
  </si>
  <si>
    <t>13.4931--5.83644</t>
  </si>
  <si>
    <t>13.4931--5.83644_S. haematobium</t>
  </si>
  <si>
    <t>13.4931--5.83644_S. mansoni</t>
  </si>
  <si>
    <t>13.6047--5.83718</t>
  </si>
  <si>
    <t>13.6047--5.83718_S. haematobium</t>
  </si>
  <si>
    <t>13.6047--5.83718_S. mansoni</t>
  </si>
  <si>
    <t>13.5005--5.83731</t>
  </si>
  <si>
    <t>13.5005--5.83731_S. haematobium</t>
  </si>
  <si>
    <t>13.5005--5.83731_S. mansoni</t>
  </si>
  <si>
    <t>14.2167--5.85</t>
  </si>
  <si>
    <t>14.2167--5.85_S. haematobium</t>
  </si>
  <si>
    <t>14.2167--5.85_S. mansoni</t>
  </si>
  <si>
    <t>14.5715--5.85892</t>
  </si>
  <si>
    <t>14.5715--5.85892_S. haematobium</t>
  </si>
  <si>
    <t>14.5715--5.85892_S. mansoni</t>
  </si>
  <si>
    <t>14.5333--5.86667</t>
  </si>
  <si>
    <t>14.5333--5.86667_S. haematobium</t>
  </si>
  <si>
    <t>14.5333--5.86667_S. mansoni</t>
  </si>
  <si>
    <t>26.939199--10.9056</t>
  </si>
  <si>
    <t>26.939199--10.9056_S. haematobium</t>
  </si>
  <si>
    <t>26.953699--10.9399</t>
  </si>
  <si>
    <t>26.953699--10.9399_S. haematobium</t>
  </si>
  <si>
    <t>26.9491--10.962</t>
  </si>
  <si>
    <t>26.9491--10.962_S. haematobium</t>
  </si>
  <si>
    <t>26.9548--10.9864</t>
  </si>
  <si>
    <t>26.9548--10.9864_S. haematobium</t>
  </si>
  <si>
    <t>26.9548--10.9864_S. mansoni</t>
  </si>
  <si>
    <t>12.7279--2.9655</t>
  </si>
  <si>
    <t>12.7279--2.9655_S. haematobium</t>
  </si>
  <si>
    <t>12.3065--3.47664</t>
  </si>
  <si>
    <t>12.3065--3.47664_S. haematobium</t>
  </si>
  <si>
    <t>12.3383--3.55361</t>
  </si>
  <si>
    <t>12.3383--3.55361_S. haematobium</t>
  </si>
  <si>
    <t>14.1431--3.73194</t>
  </si>
  <si>
    <t>14.1431--3.73194_S. haematobium</t>
  </si>
  <si>
    <t>12.4653--3.74556</t>
  </si>
  <si>
    <t>12.4653--3.74556_S. haematobium</t>
  </si>
  <si>
    <t>13.8483--3.7976</t>
  </si>
  <si>
    <t>13.8483--3.7976_S. haematobium</t>
  </si>
  <si>
    <t>14.0997--3.80722</t>
  </si>
  <si>
    <t>14.0997--3.80722_S. haematobium</t>
  </si>
  <si>
    <t>14.0644--3.81833</t>
  </si>
  <si>
    <t>14.0644--3.81833_S. haematobium</t>
  </si>
  <si>
    <t>13.7883--3.89667</t>
  </si>
  <si>
    <t>13.7883--3.89667_S. haematobium</t>
  </si>
  <si>
    <t>14.1283--3.93389</t>
  </si>
  <si>
    <t>14.1283--3.93389_S. haematobium</t>
  </si>
  <si>
    <t>12.8231--3.93556</t>
  </si>
  <si>
    <t>12.8231--3.93556_S. haematobium</t>
  </si>
  <si>
    <t>13.89--3.95278</t>
  </si>
  <si>
    <t>13.89--3.95278_S. haematobium</t>
  </si>
  <si>
    <t>13.9644--3.95583</t>
  </si>
  <si>
    <t>13.9644--3.95583_S. haematobium</t>
  </si>
  <si>
    <t>13.8517--4.00111</t>
  </si>
  <si>
    <t>13.8517--4.00111_S. haematobium</t>
  </si>
  <si>
    <t>13.9356--4.035</t>
  </si>
  <si>
    <t>13.9356--4.035_S. haematobium</t>
  </si>
  <si>
    <t>13.0932--4.05575</t>
  </si>
  <si>
    <t>13.0932--4.05575_S. haematobium</t>
  </si>
  <si>
    <t>12.8825--4.07</t>
  </si>
  <si>
    <t>12.8825--4.07_S. haematobium</t>
  </si>
  <si>
    <t>13.9228--4.09139</t>
  </si>
  <si>
    <t>13.9228--4.09139_S. haematobium</t>
  </si>
  <si>
    <t>13.0602--4.11046</t>
  </si>
  <si>
    <t>13.0602--4.11046_S. haematobium</t>
  </si>
  <si>
    <t>12.8327--4.11679</t>
  </si>
  <si>
    <t>12.8327--4.11679_S. haematobium</t>
  </si>
  <si>
    <t>13.8528--4.12028</t>
  </si>
  <si>
    <t>13.8528--4.12028_S. haematobium</t>
  </si>
  <si>
    <t>12.9136--4.14278</t>
  </si>
  <si>
    <t>12.9136--4.14278_S. haematobium</t>
  </si>
  <si>
    <t>13.0469--4.1575</t>
  </si>
  <si>
    <t>13.0469--4.1575_S. haematobium</t>
  </si>
  <si>
    <t>13.6289--4.16278</t>
  </si>
  <si>
    <t>13.6289--4.16278_S. haematobium</t>
  </si>
  <si>
    <t>13.5528--4.16434</t>
  </si>
  <si>
    <t>13.5528--4.16434_S. haematobium</t>
  </si>
  <si>
    <t>13.2928--4.16556</t>
  </si>
  <si>
    <t>13.2928--4.16556_S. haematobium</t>
  </si>
  <si>
    <t>13.2928--4.16556_S. mansoni</t>
  </si>
  <si>
    <t>13.2934--4.16878</t>
  </si>
  <si>
    <t>13.2934--4.16878_S. haematobium</t>
  </si>
  <si>
    <t>13.2934--4.16918</t>
  </si>
  <si>
    <t>13.2934--4.16918_S. haematobium</t>
  </si>
  <si>
    <t>13.7181--4.17</t>
  </si>
  <si>
    <t>13.7181--4.17_S. haematobium</t>
  </si>
  <si>
    <t>13.4091--4.1734</t>
  </si>
  <si>
    <t>13.4091--4.1734_S. haematobium</t>
  </si>
  <si>
    <t>12.6634--4.17811</t>
  </si>
  <si>
    <t>12.6634--4.17811_S. haematobium</t>
  </si>
  <si>
    <t>13.2816--4.18333</t>
  </si>
  <si>
    <t>13.2816--4.18333_S. haematobium</t>
  </si>
  <si>
    <t>13.2878--4.1841</t>
  </si>
  <si>
    <t>13.2878--4.1841_S. haematobium</t>
  </si>
  <si>
    <t>13.3003--4.18442</t>
  </si>
  <si>
    <t>13.3003--4.18442_S. haematobium</t>
  </si>
  <si>
    <t>13.2851--4.18676</t>
  </si>
  <si>
    <t>13.2851--4.18676_S. haematobium</t>
  </si>
  <si>
    <t>13.732--4.1875</t>
  </si>
  <si>
    <t>13.732--4.1875_S. haematobium</t>
  </si>
  <si>
    <t>13.5326--4.19178</t>
  </si>
  <si>
    <t>13.5326--4.19178_S. haematobium</t>
  </si>
  <si>
    <t>12.6718--4.196</t>
  </si>
  <si>
    <t>12.6718--4.196_S. haematobium</t>
  </si>
  <si>
    <t>12.6718--4.196_S. mansoni</t>
  </si>
  <si>
    <t>13.3133--4.20083</t>
  </si>
  <si>
    <t>13.3133--4.20083_S. haematobium</t>
  </si>
  <si>
    <t>13.3497--4.20445</t>
  </si>
  <si>
    <t>13.3497--4.20445_S. haematobium</t>
  </si>
  <si>
    <t>13.7604--4.21731</t>
  </si>
  <si>
    <t>13.7604--4.21731_S. haematobium</t>
  </si>
  <si>
    <t>13.7617--4.21861</t>
  </si>
  <si>
    <t>13.7617--4.21861_S. haematobium</t>
  </si>
  <si>
    <t>14.075--4.22442</t>
  </si>
  <si>
    <t>14.075--4.22442_S. haematobium</t>
  </si>
  <si>
    <t>14.0863--4.24967</t>
  </si>
  <si>
    <t>14.0863--4.24967_S. haematobium</t>
  </si>
  <si>
    <t>13.5408--4.26248</t>
  </si>
  <si>
    <t>13.5408--4.26248_S. haematobium</t>
  </si>
  <si>
    <t>13.7894--4.26306</t>
  </si>
  <si>
    <t>13.7894--4.26306_S. haematobium</t>
  </si>
  <si>
    <t>13.8534--4.28563</t>
  </si>
  <si>
    <t>13.8534--4.28563_S. haematobium</t>
  </si>
  <si>
    <t>13.8553--4.29475</t>
  </si>
  <si>
    <t>13.8553--4.29475_S. haematobium</t>
  </si>
  <si>
    <t>13.8559--4.29997</t>
  </si>
  <si>
    <t>13.8559--4.29997_S. haematobium</t>
  </si>
  <si>
    <t>13.7817--4.30028</t>
  </si>
  <si>
    <t>13.7817--4.30028_S. haematobium</t>
  </si>
  <si>
    <t>14.0903--4.30408</t>
  </si>
  <si>
    <t>14.0903--4.30408_S. haematobium</t>
  </si>
  <si>
    <t>13.8614--4.30445</t>
  </si>
  <si>
    <t>13.8614--4.30445_S. haematobium</t>
  </si>
  <si>
    <t>13.6086--4.32417</t>
  </si>
  <si>
    <t>13.6086--4.32417_S. haematobium</t>
  </si>
  <si>
    <t>13.8138--4.39723</t>
  </si>
  <si>
    <t>13.8138--4.39723_S. haematobium</t>
  </si>
  <si>
    <t>13.6199--4.44095</t>
  </si>
  <si>
    <t>13.6199--4.44095_S. haematobium</t>
  </si>
  <si>
    <t>12.9477--4.48442</t>
  </si>
  <si>
    <t>12.9477--4.48442_S. haematobium</t>
  </si>
  <si>
    <t>11.8666--4.76839</t>
  </si>
  <si>
    <t>11.8666--4.76839_S. haematobium</t>
  </si>
  <si>
    <t>11.8674--4.78031</t>
  </si>
  <si>
    <t>11.8674--4.78031_S. haematobium</t>
  </si>
  <si>
    <t>13.9328-8.5753</t>
  </si>
  <si>
    <t>13.9328-8.5753_S. haematobium</t>
  </si>
  <si>
    <t>13.9328-8.5753_S. mansoni</t>
  </si>
  <si>
    <t>15.2167-2.04167</t>
  </si>
  <si>
    <t>15.2167-2.04167_S. haematobium</t>
  </si>
  <si>
    <t>15.2167-2.04167_S. mansoni</t>
  </si>
  <si>
    <t>15.2167-2.04167_S. intercalatum (guineensis)</t>
  </si>
  <si>
    <t>15.3333-2.12222</t>
  </si>
  <si>
    <t>15.3333-2.12222_S. haematobium</t>
  </si>
  <si>
    <t>15.3333-2.12222_S. mansoni</t>
  </si>
  <si>
    <t>15.3333-2.12222_S. intercalatum (guineensis)</t>
  </si>
  <si>
    <t>11.125-2.175</t>
  </si>
  <si>
    <t>11.125-2.175_S. haematobium</t>
  </si>
  <si>
    <t>11.125-2.175_S. mansoni</t>
  </si>
  <si>
    <t>11.125-2.175_S. intercalatum (guineensis)</t>
  </si>
  <si>
    <t>11.1667-2.20556</t>
  </si>
  <si>
    <t>11.1667-2.20556_S. haematobium</t>
  </si>
  <si>
    <t>11.1667-2.20556_S. mansoni</t>
  </si>
  <si>
    <t>11.1667-2.20556_S. intercalatum (guineensis)</t>
  </si>
  <si>
    <t>11.0778-2.23333</t>
  </si>
  <si>
    <t>11.0778-2.23333_S. haematobium</t>
  </si>
  <si>
    <t>11.0778-2.23333_S. mansoni</t>
  </si>
  <si>
    <t>11.0778-2.23333_S. intercalatum (guineensis)</t>
  </si>
  <si>
    <t>15.35-2.3</t>
  </si>
  <si>
    <t>15.35-2.3_S. haematobium</t>
  </si>
  <si>
    <t>15.35-2.3_S. mansoni</t>
  </si>
  <si>
    <t>15.35-2.3_S. intercalatum (guineensis)</t>
  </si>
  <si>
    <t>11.1667-2.31667</t>
  </si>
  <si>
    <t>11.1667-2.31667_S. haematobium</t>
  </si>
  <si>
    <t>11.1667-2.31667_S. mansoni</t>
  </si>
  <si>
    <t>11.1667-2.31667_S. intercalatum (guineensis)</t>
  </si>
  <si>
    <t>11.2667-2.38333</t>
  </si>
  <si>
    <t>11.2667-2.38333_S. haematobium</t>
  </si>
  <si>
    <t>11.2667-2.38333_S. mansoni</t>
  </si>
  <si>
    <t>11.2667-2.38333_S. intercalatum (guineensis)</t>
  </si>
  <si>
    <t>15.3833-2.44444</t>
  </si>
  <si>
    <t>15.3833-2.44444_S. haematobium</t>
  </si>
  <si>
    <t>15.3833-2.44444_S. mansoni</t>
  </si>
  <si>
    <t>15.3833-2.44444_S. intercalatum (guineensis)</t>
  </si>
  <si>
    <t>9.83333-2.51111</t>
  </si>
  <si>
    <t>9.83333-2.51111_S. haematobium</t>
  </si>
  <si>
    <t>9.83333-2.51111_S. mansoni</t>
  </si>
  <si>
    <t>9.83333-2.51111_S. intercalatum (guineensis)</t>
  </si>
  <si>
    <t>11.9028-2.51389</t>
  </si>
  <si>
    <t>11.9028-2.51389_S. haematobium</t>
  </si>
  <si>
    <t>11.9028-2.51389_S. mansoni</t>
  </si>
  <si>
    <t>11.9028-2.51389_S. intercalatum (guineensis)</t>
  </si>
  <si>
    <t>9.82778-2.51667</t>
  </si>
  <si>
    <t>9.82778-2.51667_S. haematobium</t>
  </si>
  <si>
    <t>9.82778-2.51667_S. mansoni</t>
  </si>
  <si>
    <t>9.82778-2.51667_S. intercalatum (guineensis)</t>
  </si>
  <si>
    <t>11.45-2.58889</t>
  </si>
  <si>
    <t>11.45-2.58889_S. haematobium</t>
  </si>
  <si>
    <t>11.45-2.58889_S. mansoni</t>
  </si>
  <si>
    <t>11.45-2.58889_S. intercalatum (guineensis)</t>
  </si>
  <si>
    <t>12.6833-2.66944</t>
  </si>
  <si>
    <t>12.6833-2.66944_S. haematobium</t>
  </si>
  <si>
    <t>12.6833-2.66944_S. mansoni</t>
  </si>
  <si>
    <t>12.6833-2.66944_S. intercalatum (guineensis)</t>
  </si>
  <si>
    <t>12.6056-2.75</t>
  </si>
  <si>
    <t>12.6056-2.75_S. haematobium</t>
  </si>
  <si>
    <t>12.6056-2.75_S. mansoni</t>
  </si>
  <si>
    <t>12.6056-2.75_S. intercalatum (guineensis)</t>
  </si>
  <si>
    <t>11.118-2.783</t>
  </si>
  <si>
    <t>11.118-2.783_S. haematobium</t>
  </si>
  <si>
    <t>10.55-2.81667</t>
  </si>
  <si>
    <t>10.55-2.81667_S. haematobium</t>
  </si>
  <si>
    <t>10.55-2.81667_S. mansoni</t>
  </si>
  <si>
    <t>10.55-2.81667_S. intercalatum (guineensis)</t>
  </si>
  <si>
    <t>15.2333-2.82222</t>
  </si>
  <si>
    <t>15.2333-2.82222_S. haematobium</t>
  </si>
  <si>
    <t>15.2333-2.82222_S. mansoni</t>
  </si>
  <si>
    <t>15.2333-2.82222_S. intercalatum (guineensis)</t>
  </si>
  <si>
    <t>11.3167-2.86389</t>
  </si>
  <si>
    <t>11.3167-2.86389_S. haematobium</t>
  </si>
  <si>
    <t>11.3167-2.86389_S. mansoni</t>
  </si>
  <si>
    <t>11.3167-2.86389_S. intercalatum (guineensis)</t>
  </si>
  <si>
    <t>9.91-2.933</t>
  </si>
  <si>
    <t>9.91-2.933_S. haematobium</t>
  </si>
  <si>
    <t>9.91-2.933_S. mansoni</t>
  </si>
  <si>
    <t>11.9778-2.93333</t>
  </si>
  <si>
    <t>11.9778-2.93333_S. haematobium</t>
  </si>
  <si>
    <t>11.9778-2.93333_S. mansoni</t>
  </si>
  <si>
    <t>11.9778-2.93333_S. intercalatum (guineensis)</t>
  </si>
  <si>
    <t>11.7083-2.93333</t>
  </si>
  <si>
    <t>11.7083-2.93333_S. haematobium</t>
  </si>
  <si>
    <t>11.7083-2.93333_S. mansoni</t>
  </si>
  <si>
    <t>11.7083-2.93333_S. intercalatum (guineensis)</t>
  </si>
  <si>
    <t>11.1667-2.93889</t>
  </si>
  <si>
    <t>11.1667-2.93889_S. haematobium</t>
  </si>
  <si>
    <t>11.1667-2.93889_S. mansoni</t>
  </si>
  <si>
    <t>11.1667-2.93889_S. intercalatum (guineensis)</t>
  </si>
  <si>
    <t>9.90833-2.94167</t>
  </si>
  <si>
    <t>9.90833-2.94167_S. haematobium</t>
  </si>
  <si>
    <t>9.90833-2.94167_S. mansoni</t>
  </si>
  <si>
    <t>9.90833-2.94167_S. intercalatum (guineensis)</t>
  </si>
  <si>
    <t>11.6833-2.96667</t>
  </si>
  <si>
    <t>11.6833-2.96667_S. haematobium</t>
  </si>
  <si>
    <t>11.6833-2.96667_S. mansoni</t>
  </si>
  <si>
    <t>11.6833-2.96667_S. intercalatum (guineensis)</t>
  </si>
  <si>
    <t>10.9417-2.98889</t>
  </si>
  <si>
    <t>10.9417-2.98889_S. haematobium</t>
  </si>
  <si>
    <t>10.9417-2.98889_S. mansoni</t>
  </si>
  <si>
    <t>10.9417-2.98889_S. intercalatum (guineensis)</t>
  </si>
  <si>
    <t>12-3.09444</t>
  </si>
  <si>
    <t>12-3.09444_S. haematobium</t>
  </si>
  <si>
    <t>12-3.09444_S. mansoni</t>
  </si>
  <si>
    <t>12-3.09444_S. intercalatum (guineensis)</t>
  </si>
  <si>
    <t>12.2389-3.11667</t>
  </si>
  <si>
    <t>12.2389-3.11667_S. haematobium</t>
  </si>
  <si>
    <t>12.2389-3.11667_S. mansoni</t>
  </si>
  <si>
    <t>12.2389-3.11667_S. intercalatum (guineensis)</t>
  </si>
  <si>
    <t>13.775-3.14167</t>
  </si>
  <si>
    <t>13.775-3.14167_S. haematobium</t>
  </si>
  <si>
    <t>13.775-3.14167_S. mansoni</t>
  </si>
  <si>
    <t>13.775-3.14167_S. intercalatum (guineensis)</t>
  </si>
  <si>
    <t>13.6444-3.14167</t>
  </si>
  <si>
    <t>13.6444-3.14167_S. haematobium</t>
  </si>
  <si>
    <t>13.6444-3.14167_S. mansoni</t>
  </si>
  <si>
    <t>13.6444-3.14167_S. intercalatum (guineensis)</t>
  </si>
  <si>
    <t>15.0556-3.14444</t>
  </si>
  <si>
    <t>15.0556-3.14444_S. haematobium</t>
  </si>
  <si>
    <t>15.0556-3.14444_S. mansoni</t>
  </si>
  <si>
    <t>15.0556-3.14444_S. intercalatum (guineensis)</t>
  </si>
  <si>
    <t>11.9444-3.18889</t>
  </si>
  <si>
    <t>11.9444-3.18889_S. haematobium</t>
  </si>
  <si>
    <t>11.9444-3.18889_S. mansoni</t>
  </si>
  <si>
    <t>11.9444-3.18889_S. intercalatum (guineensis)</t>
  </si>
  <si>
    <t>11.5833-3.2</t>
  </si>
  <si>
    <t>11.5833-3.2_S. mansoni</t>
  </si>
  <si>
    <t>11.5833-3.2_S. intercalatum (guineensis)</t>
  </si>
  <si>
    <t>11.6222-3.23889</t>
  </si>
  <si>
    <t>11.6222-3.23889_S. mansoni</t>
  </si>
  <si>
    <t>11.6222-3.23889_S. intercalatum (guineensis)</t>
  </si>
  <si>
    <t>11.8833-3.25</t>
  </si>
  <si>
    <t>11.8833-3.25_S. haematobium</t>
  </si>
  <si>
    <t>11.8833-3.25_S. mansoni</t>
  </si>
  <si>
    <t>11.8833-3.25_S. intercalatum (guineensis)</t>
  </si>
  <si>
    <t>11.2-3.26111</t>
  </si>
  <si>
    <t>11.2-3.26111_S. haematobium</t>
  </si>
  <si>
    <t>11.2-3.26111_S. mansoni</t>
  </si>
  <si>
    <t>11.2-3.26111_S. intercalatum (guineensis)</t>
  </si>
  <si>
    <t>11.8667-3.275</t>
  </si>
  <si>
    <t>11.8667-3.275_S. haematobium</t>
  </si>
  <si>
    <t>11.8667-3.275_S. mansoni</t>
  </si>
  <si>
    <t>11.8667-3.275_S. intercalatum (guineensis)</t>
  </si>
  <si>
    <t>11.5278-3.28056</t>
  </si>
  <si>
    <t>11.5278-3.28056_S. mansoni</t>
  </si>
  <si>
    <t>11.5278-3.28056_S. intercalatum (guineensis)</t>
  </si>
  <si>
    <t>10.9694-3.28889</t>
  </si>
  <si>
    <t>10.9694-3.28889_S. haematobium</t>
  </si>
  <si>
    <t>10.9694-3.28889_S. mansoni</t>
  </si>
  <si>
    <t>10.9694-3.28889_S. intercalatum (guineensis)</t>
  </si>
  <si>
    <t>10.4833-3.29722</t>
  </si>
  <si>
    <t>10.4833-3.29722_S. haematobium</t>
  </si>
  <si>
    <t>10.4833-3.29722_S. mansoni</t>
  </si>
  <si>
    <t>10.4833-3.29722_S. intercalatum (guineensis)</t>
  </si>
  <si>
    <t>10.7667-3.30833</t>
  </si>
  <si>
    <t>10.7667-3.30833_S. haematobium</t>
  </si>
  <si>
    <t>10.7667-3.30833_S. mansoni</t>
  </si>
  <si>
    <t>10.7667-3.30833_S. intercalatum (guineensis)</t>
  </si>
  <si>
    <t>11.2167-3.33333</t>
  </si>
  <si>
    <t>11.2167-3.33333_S. mansoni</t>
  </si>
  <si>
    <t>11.2167-3.33333_S. intercalatum (guineensis)</t>
  </si>
  <si>
    <t>12.25-3.34444</t>
  </si>
  <si>
    <t>12.25-3.34444_S. haematobium</t>
  </si>
  <si>
    <t>12.25-3.34444_S. mansoni</t>
  </si>
  <si>
    <t>12.25-3.34444_S. intercalatum (guineensis)</t>
  </si>
  <si>
    <t>11.175-3.39167</t>
  </si>
  <si>
    <t>11.175-3.39167_S. haematobium</t>
  </si>
  <si>
    <t>11.175-3.39167_S. mansoni</t>
  </si>
  <si>
    <t>11.175-3.39167_S. intercalatum (guineensis)</t>
  </si>
  <si>
    <t>12.1667-3.41667</t>
  </si>
  <si>
    <t>12.1667-3.41667_S. haematobium</t>
  </si>
  <si>
    <t>12.1667-3.41667_S. mansoni</t>
  </si>
  <si>
    <t>12.1667-3.41667_S. intercalatum (guineensis)</t>
  </si>
  <si>
    <t>11.2889-3.42222</t>
  </si>
  <si>
    <t>11.2889-3.42222_S. haematobium</t>
  </si>
  <si>
    <t>11.2889-3.42222_S. mansoni</t>
  </si>
  <si>
    <t>11.2889-3.42222_S. intercalatum (guineensis)</t>
  </si>
  <si>
    <t>11.7722-3.42778</t>
  </si>
  <si>
    <t>11.7722-3.42778_S. mansoni</t>
  </si>
  <si>
    <t>11.7722-3.42778_S. intercalatum (guineensis)</t>
  </si>
  <si>
    <t>12.4583-3.44444</t>
  </si>
  <si>
    <t>12.4583-3.44444_S. haematobium</t>
  </si>
  <si>
    <t>12.4583-3.44444_S. mansoni</t>
  </si>
  <si>
    <t>12.4583-3.44444_S. intercalatum (guineensis)</t>
  </si>
  <si>
    <t>11.3389-3.45556</t>
  </si>
  <si>
    <t>11.3389-3.45556_S. haematobium</t>
  </si>
  <si>
    <t>11.3389-3.45556_S. mansoni</t>
  </si>
  <si>
    <t>11.3389-3.45556_S. intercalatum (guineensis)</t>
  </si>
  <si>
    <t>11.3056-3.46111</t>
  </si>
  <si>
    <t>11.3056-3.46111_S. mansoni</t>
  </si>
  <si>
    <t>11.3056-3.46111_S. intercalatum (guineensis)</t>
  </si>
  <si>
    <t>15.0222-3.46111</t>
  </si>
  <si>
    <t>15.0222-3.46111_S. haematobium</t>
  </si>
  <si>
    <t>15.0222-3.46111_S. mansoni</t>
  </si>
  <si>
    <t>15.0222-3.46111_S. intercalatum (guineensis)</t>
  </si>
  <si>
    <t>11.6333-3.47222</t>
  </si>
  <si>
    <t>11.6333-3.47222_S. mansoni</t>
  </si>
  <si>
    <t>11.6333-3.47222_S. intercalatum (guineensis)</t>
  </si>
  <si>
    <t>12.1-3.5</t>
  </si>
  <si>
    <t>12.1-3.5_S. haematobium</t>
  </si>
  <si>
    <t>12.1-3.5_S. mansoni</t>
  </si>
  <si>
    <t>12.1-3.5_S. intercalatum (guineensis)</t>
  </si>
  <si>
    <t>11.45-3.51667</t>
  </si>
  <si>
    <t>11.45-3.51667_S. haematobium</t>
  </si>
  <si>
    <t>11.45-3.51667_S. mansoni</t>
  </si>
  <si>
    <t>11.45-3.51667_S. intercalatum (guineensis)</t>
  </si>
  <si>
    <t>11.5-3.51667</t>
  </si>
  <si>
    <t>11.5-3.51667_S. haematobium</t>
  </si>
  <si>
    <t>11.5-3.51667_S. mansoni</t>
  </si>
  <si>
    <t>11.5-3.51667_S. intercalatum (guineensis)</t>
  </si>
  <si>
    <t>15.05-3.51667</t>
  </si>
  <si>
    <t>15.05-3.51667_S. haematobium</t>
  </si>
  <si>
    <t>15.05-3.51667_S. mansoni</t>
  </si>
  <si>
    <t>15.05-3.51667_S. intercalatum (guineensis)</t>
  </si>
  <si>
    <t>11.1556-3.52778</t>
  </si>
  <si>
    <t>11.1556-3.52778_S. haematobium</t>
  </si>
  <si>
    <t>11.1556-3.52778_S. mansoni</t>
  </si>
  <si>
    <t>11.1556-3.52778_S. intercalatum (guineensis)</t>
  </si>
  <si>
    <t>10.9556-3.53333</t>
  </si>
  <si>
    <t>10.9556-3.53333_S. haematobium</t>
  </si>
  <si>
    <t>10.9556-3.53333_S. mansoni</t>
  </si>
  <si>
    <t>10.9556-3.53333_S. intercalatum (guineensis)</t>
  </si>
  <si>
    <t>11.0944-3.55556</t>
  </si>
  <si>
    <t>11.0944-3.55556_S. mansoni</t>
  </si>
  <si>
    <t>11.0944-3.55556_S. intercalatum (guineensis)</t>
  </si>
  <si>
    <t>13.4-3.55833</t>
  </si>
  <si>
    <t>13.4-3.55833_S. haematobium</t>
  </si>
  <si>
    <t>13.4-3.55833_S. mansoni</t>
  </si>
  <si>
    <t>13.4-3.55833_S. intercalatum (guineensis)</t>
  </si>
  <si>
    <t>11.6417-3.58611</t>
  </si>
  <si>
    <t>11.6417-3.58611_S. mansoni</t>
  </si>
  <si>
    <t>11.6417-3.58611_S. intercalatum (guineensis)</t>
  </si>
  <si>
    <t>9.71944-3.5975</t>
  </si>
  <si>
    <t>9.71944-3.5975_S. haematobium</t>
  </si>
  <si>
    <t>9.71944-3.5975_S. mansoni</t>
  </si>
  <si>
    <t>9.71944-3.5975_S. intercalatum (guineensis)</t>
  </si>
  <si>
    <t>11.1667-3.6</t>
  </si>
  <si>
    <t>11.1667-3.6_S. mansoni</t>
  </si>
  <si>
    <t>11.1667-3.6_S. intercalatum (guineensis)</t>
  </si>
  <si>
    <t>11.85-3.6</t>
  </si>
  <si>
    <t>11.85-3.6_S. haematobium</t>
  </si>
  <si>
    <t>11.85-3.6_S. mansoni</t>
  </si>
  <si>
    <t>11.85-3.6_S. intercalatum (guineensis)</t>
  </si>
  <si>
    <t>11.3083-3.60556</t>
  </si>
  <si>
    <t>11.3083-3.60556_S. haematobium</t>
  </si>
  <si>
    <t>11.3083-3.60556_S. mansoni</t>
  </si>
  <si>
    <t>11.3083-3.60556_S. intercalatum (guineensis)</t>
  </si>
  <si>
    <t>15.0667-3.60833</t>
  </si>
  <si>
    <t>15.0667-3.60833_S. haematobium</t>
  </si>
  <si>
    <t>15.0667-3.60833_S. mansoni</t>
  </si>
  <si>
    <t>15.0667-3.60833_S. intercalatum (guineensis)</t>
  </si>
  <si>
    <t>11.9167-3.62222</t>
  </si>
  <si>
    <t>11.9167-3.62222_S. mansoni</t>
  </si>
  <si>
    <t>11.9167-3.62222_S. intercalatum (guineensis)</t>
  </si>
  <si>
    <t>10.4333-3.62778</t>
  </si>
  <si>
    <t>10.4333-3.62778_S. mansoni</t>
  </si>
  <si>
    <t>10.4333-3.62778_S. intercalatum (guineensis)</t>
  </si>
  <si>
    <t>11.6-3.62778</t>
  </si>
  <si>
    <t>11.6-3.62778_S. mansoni</t>
  </si>
  <si>
    <t>11.6-3.62778_S. intercalatum (guineensis)</t>
  </si>
  <si>
    <t>9.99139-3.63694</t>
  </si>
  <si>
    <t>9.99139-3.63694_S. mansoni</t>
  </si>
  <si>
    <t>9.99139-3.63694_S. intercalatum (guineensis)</t>
  </si>
  <si>
    <t>9.78917-3.64139</t>
  </si>
  <si>
    <t>9.78917-3.64139_S. haematobium</t>
  </si>
  <si>
    <t>9.78917-3.64139_S. mansoni</t>
  </si>
  <si>
    <t>9.78917-3.64139_S. intercalatum (guineensis)</t>
  </si>
  <si>
    <t>10.775-3.64167</t>
  </si>
  <si>
    <t>10.775-3.64167_S. haematobium</t>
  </si>
  <si>
    <t>10.775-3.64167_S. mansoni</t>
  </si>
  <si>
    <t>10.775-3.64167_S. intercalatum (guineensis)</t>
  </si>
  <si>
    <t>10.774-3.65</t>
  </si>
  <si>
    <t>10.774-3.65_S. mansoni</t>
  </si>
  <si>
    <t>10.774-3.65_S. intercalatum (guineensis)</t>
  </si>
  <si>
    <t>10.7833-3.65</t>
  </si>
  <si>
    <t>10.7833-3.65_S. haematobium</t>
  </si>
  <si>
    <t>10.7833-3.65_S. mansoni</t>
  </si>
  <si>
    <t>10.7833-3.65_S. intercalatum (guineensis)</t>
  </si>
  <si>
    <t>10.6806-3.66667</t>
  </si>
  <si>
    <t>10.6806-3.66667_S. mansoni</t>
  </si>
  <si>
    <t>10.6806-3.66667_S. intercalatum (guineensis)</t>
  </si>
  <si>
    <t>12.3083-3.7</t>
  </si>
  <si>
    <t>12.3083-3.7_S. haematobium</t>
  </si>
  <si>
    <t>12.3083-3.7_S. mansoni</t>
  </si>
  <si>
    <t>12.3083-3.7_S. intercalatum (guineensis)</t>
  </si>
  <si>
    <t>10.3861-3.70139</t>
  </si>
  <si>
    <t>10.3861-3.70139_S. haematobium</t>
  </si>
  <si>
    <t>10.3861-3.70139_S. mansoni</t>
  </si>
  <si>
    <t>10.3861-3.70139_S. intercalatum (guineensis)</t>
  </si>
  <si>
    <t>12.8417-3.71667</t>
  </si>
  <si>
    <t>12.8417-3.71667_S. haematobium</t>
  </si>
  <si>
    <t>12.8417-3.71667_S. mansoni</t>
  </si>
  <si>
    <t>12.8417-3.71667_S. intercalatum (guineensis)</t>
  </si>
  <si>
    <t>11.6583-3.73056</t>
  </si>
  <si>
    <t>11.6583-3.73056_S. mansoni</t>
  </si>
  <si>
    <t>11.6583-3.73056_S. intercalatum (guineensis)</t>
  </si>
  <si>
    <t>10.0231-3.74667</t>
  </si>
  <si>
    <t>10.0231-3.74667_S. mansoni</t>
  </si>
  <si>
    <t>10.0231-3.74667_S. intercalatum (guineensis)</t>
  </si>
  <si>
    <t>11.8861-3.75278</t>
  </si>
  <si>
    <t>11.8861-3.75278_S. haematobium</t>
  </si>
  <si>
    <t>11.8861-3.75278_S. mansoni</t>
  </si>
  <si>
    <t>11.8861-3.75278_S. intercalatum (guineensis)</t>
  </si>
  <si>
    <t>10.6667-3.76111</t>
  </si>
  <si>
    <t>10.6667-3.76111_S. haematobium</t>
  </si>
  <si>
    <t>10.6667-3.76111_S. mansoni</t>
  </si>
  <si>
    <t>10.6667-3.76111_S. intercalatum (guineensis)</t>
  </si>
  <si>
    <t>11.0944-3.76667</t>
  </si>
  <si>
    <t>11.0944-3.76667_S. haematobium</t>
  </si>
  <si>
    <t>11.0944-3.76667_S. mansoni</t>
  </si>
  <si>
    <t>11.0944-3.76667_S. intercalatum (guineensis)</t>
  </si>
  <si>
    <t>12.25-3.76667</t>
  </si>
  <si>
    <t>12.25-3.76667_S. haematobium</t>
  </si>
  <si>
    <t>12.25-3.76667_S. mansoni</t>
  </si>
  <si>
    <t>12.25-3.76667_S. intercalatum (guineensis)</t>
  </si>
  <si>
    <t>11.85-3.77778</t>
  </si>
  <si>
    <t>11.85-3.77778_S. haematobium</t>
  </si>
  <si>
    <t>11.85-3.77778_S. mansoni</t>
  </si>
  <si>
    <t>11.85-3.77778_S. intercalatum (guineensis)</t>
  </si>
  <si>
    <t>11.4056-3.78333</t>
  </si>
  <si>
    <t>11.4056-3.78333_S. haematobium</t>
  </si>
  <si>
    <t>11.4056-3.78333_S. mansoni</t>
  </si>
  <si>
    <t>11.4056-3.78333_S. intercalatum (guineensis)</t>
  </si>
  <si>
    <t>10.125-3.8</t>
  </si>
  <si>
    <t>10.125-3.8_S. haematobium</t>
  </si>
  <si>
    <t>10.125-3.8_S. mansoni</t>
  </si>
  <si>
    <t>10.125-3.8_S. intercalatum (guineensis)</t>
  </si>
  <si>
    <t>12.3-3.8</t>
  </si>
  <si>
    <t>12.3-3.8_S. haematobium</t>
  </si>
  <si>
    <t>12.3-3.8_S. mansoni</t>
  </si>
  <si>
    <t>12.3-3.8_S. intercalatum (guineensis)</t>
  </si>
  <si>
    <t>11.4667-3.8</t>
  </si>
  <si>
    <t>11.4667-3.8_S. haematobium</t>
  </si>
  <si>
    <t>11.4667-3.8_S. mansoni</t>
  </si>
  <si>
    <t>11.4667-3.8_S. intercalatum (guineensis)</t>
  </si>
  <si>
    <t>11.0667-3.81667</t>
  </si>
  <si>
    <t>11.0667-3.81667_S. haematobium</t>
  </si>
  <si>
    <t>11.0667-3.81667_S. mansoni</t>
  </si>
  <si>
    <t>11.0667-3.81667_S. intercalatum (guineensis)</t>
  </si>
  <si>
    <t>12.7361-3.825</t>
  </si>
  <si>
    <t>12.7361-3.825_S. haematobium</t>
  </si>
  <si>
    <t>12.7361-3.825_S. mansoni</t>
  </si>
  <si>
    <t>12.7361-3.825_S. intercalatum (guineensis)</t>
  </si>
  <si>
    <t>10.4383-3.82778</t>
  </si>
  <si>
    <t>10.4383-3.82778_S. haematobium</t>
  </si>
  <si>
    <t>10.4383-3.82778_S. mansoni</t>
  </si>
  <si>
    <t>10.4383-3.82778_S. intercalatum (guineensis)</t>
  </si>
  <si>
    <t>11.7611-3.83333</t>
  </si>
  <si>
    <t>11.7611-3.83333_S. mansoni</t>
  </si>
  <si>
    <t>11.7611-3.83333_S. intercalatum (guineensis)</t>
  </si>
  <si>
    <t>11.616-3.849</t>
  </si>
  <si>
    <t>11.616-3.849_S. mansoni</t>
  </si>
  <si>
    <t>10.1167-3.85</t>
  </si>
  <si>
    <t>10.1167-3.85_S. mansoni</t>
  </si>
  <si>
    <t>10.1167-3.85_S. intercalatum (guineensis)</t>
  </si>
  <si>
    <t>10.525-3.85333</t>
  </si>
  <si>
    <t>10.525-3.85333_S. haematobium</t>
  </si>
  <si>
    <t>10.525-3.85333_S. mansoni</t>
  </si>
  <si>
    <t>10.525-3.85333_S. intercalatum (guineensis)</t>
  </si>
  <si>
    <t>11.5167-3.88333</t>
  </si>
  <si>
    <t>11.5167-3.88333_S. haematobium</t>
  </si>
  <si>
    <t>11.5167-3.88333_S. mansoni</t>
  </si>
  <si>
    <t>11.5167-3.88333_S. intercalatum (guineensis)</t>
  </si>
  <si>
    <t>10.8833-3.88333</t>
  </si>
  <si>
    <t>10.8833-3.88333_S. haematobium</t>
  </si>
  <si>
    <t>10.8833-3.88333_S. mansoni</t>
  </si>
  <si>
    <t>10.8833-3.88333_S. intercalatum (guineensis)</t>
  </si>
  <si>
    <t>11.45-3.88333</t>
  </si>
  <si>
    <t>11.45-3.88333_S. mansoni</t>
  </si>
  <si>
    <t>11.9944-3.89167</t>
  </si>
  <si>
    <t>11.9944-3.89167_S. mansoni</t>
  </si>
  <si>
    <t>11.9944-3.89167_S. intercalatum (guineensis)</t>
  </si>
  <si>
    <t>12.5278-3.89444</t>
  </si>
  <si>
    <t>12.5278-3.89444_S. haematobium</t>
  </si>
  <si>
    <t>12.5278-3.89444_S. mansoni</t>
  </si>
  <si>
    <t>12.5278-3.89444_S. intercalatum (guineensis)</t>
  </si>
  <si>
    <t>11.899-3.901</t>
  </si>
  <si>
    <t>11.899-3.901_S. mansoni</t>
  </si>
  <si>
    <t>10.5722-3.90806</t>
  </si>
  <si>
    <t>10.5722-3.90806_S. mansoni</t>
  </si>
  <si>
    <t>10.5722-3.90806_S. intercalatum (guineensis)</t>
  </si>
  <si>
    <t>9.82694-3.92806</t>
  </si>
  <si>
    <t>9.82694-3.92806_S. mansoni</t>
  </si>
  <si>
    <t>9.82694-3.92806_S. intercalatum (guineensis)</t>
  </si>
  <si>
    <t>11.0167-3.93333</t>
  </si>
  <si>
    <t>11.0167-3.93333_S. mansoni</t>
  </si>
  <si>
    <t>11.0167-3.93333_S. intercalatum (guineensis)</t>
  </si>
  <si>
    <t>11.0639-3.93889</t>
  </si>
  <si>
    <t>11.0639-3.93889_S. mansoni</t>
  </si>
  <si>
    <t>11.0639-3.93889_S. intercalatum (guineensis)</t>
  </si>
  <si>
    <t>10.8347-3.94583</t>
  </si>
  <si>
    <t>10.8347-3.94583_S. mansoni</t>
  </si>
  <si>
    <t>10.8347-3.94583_S. intercalatum (guineensis)</t>
  </si>
  <si>
    <t>10.8861-3.94583</t>
  </si>
  <si>
    <t>10.8861-3.94583_S. mansoni</t>
  </si>
  <si>
    <t>10.8861-3.94583_S. intercalatum (guineensis)</t>
  </si>
  <si>
    <t>10.5583-3.96417</t>
  </si>
  <si>
    <t>10.5583-3.96417_S. mansoni</t>
  </si>
  <si>
    <t>10.5583-3.96417_S. intercalatum (guineensis)</t>
  </si>
  <si>
    <t>14.2667-3.96667</t>
  </si>
  <si>
    <t>14.2667-3.96667_S. haematobium</t>
  </si>
  <si>
    <t>14.2667-3.96667_S. mansoni</t>
  </si>
  <si>
    <t>14.2667-3.96667_S. intercalatum (guineensis)</t>
  </si>
  <si>
    <t>11.2894-3.97</t>
  </si>
  <si>
    <t>11.2894-3.97_S. mansoni</t>
  </si>
  <si>
    <t>11.2894-3.97_S. intercalatum (guineensis)</t>
  </si>
  <si>
    <t>10.8056-3.98333</t>
  </si>
  <si>
    <t>10.8056-3.98333_S. mansoni</t>
  </si>
  <si>
    <t>10.8056-3.98333_S. intercalatum (guineensis)</t>
  </si>
  <si>
    <t>13.1833-3.98333</t>
  </si>
  <si>
    <t>13.1833-3.98333_S. haematobium</t>
  </si>
  <si>
    <t>13.1833-3.98333_S. mansoni</t>
  </si>
  <si>
    <t>13.1833-3.98333_S. intercalatum (guineensis)</t>
  </si>
  <si>
    <t>10.9444-3.99444</t>
  </si>
  <si>
    <t>10.9444-3.99444_S. haematobium</t>
  </si>
  <si>
    <t>10.9444-3.99444_S. mansoni</t>
  </si>
  <si>
    <t>10.9444-3.99444_S. intercalatum (guineensis)</t>
  </si>
  <si>
    <t>10.7167-3.99722</t>
  </si>
  <si>
    <t>10.7167-3.99722_S. mansoni</t>
  </si>
  <si>
    <t>10.7167-3.99722_S. intercalatum (guineensis)</t>
  </si>
  <si>
    <t>11.3917-4.01944</t>
  </si>
  <si>
    <t>11.3917-4.01944_S. haematobium</t>
  </si>
  <si>
    <t>11.3917-4.01944_S. mansoni</t>
  </si>
  <si>
    <t>11.3917-4.01944_S. intercalatum (guineensis)</t>
  </si>
  <si>
    <t>12.4-4.02222</t>
  </si>
  <si>
    <t>12.4-4.02222_S. haematobium</t>
  </si>
  <si>
    <t>12.4-4.02222_S. mansoni</t>
  </si>
  <si>
    <t>12.4-4.02222_S. intercalatum (guineensis)</t>
  </si>
  <si>
    <t>15.025-4.025</t>
  </si>
  <si>
    <t>15.025-4.025_S. haematobium</t>
  </si>
  <si>
    <t>15.025-4.025_S. mansoni</t>
  </si>
  <si>
    <t>15.025-4.025_S. intercalatum (guineensis)</t>
  </si>
  <si>
    <t>14.0389-4.02778</t>
  </si>
  <si>
    <t>14.0389-4.02778_S. haematobium</t>
  </si>
  <si>
    <t>14.0389-4.02778_S. mansoni</t>
  </si>
  <si>
    <t>14.0389-4.02778_S. intercalatum (guineensis)</t>
  </si>
  <si>
    <t>14.8833-4.03333</t>
  </si>
  <si>
    <t>14.8833-4.03333_S. haematobium</t>
  </si>
  <si>
    <t>14.8833-4.03333_S. mansoni</t>
  </si>
  <si>
    <t>14.8833-4.03333_S. intercalatum (guineensis)</t>
  </si>
  <si>
    <t>10.5694-4.05139</t>
  </si>
  <si>
    <t>10.5694-4.05139_S. mansoni</t>
  </si>
  <si>
    <t>10.5694-4.05139_S. intercalatum (guineensis)</t>
  </si>
  <si>
    <t>11.325-4.05278</t>
  </si>
  <si>
    <t>11.325-4.05278_S. mansoni</t>
  </si>
  <si>
    <t>11.325-4.05278_S. intercalatum (guineensis)</t>
  </si>
  <si>
    <t>10.8861-4.06667</t>
  </si>
  <si>
    <t>10.8861-4.06667_S. haematobium</t>
  </si>
  <si>
    <t>10.8861-4.06667_S. mansoni</t>
  </si>
  <si>
    <t>10.8861-4.06667_S. intercalatum (guineensis)</t>
  </si>
  <si>
    <t>14.4944-4.075</t>
  </si>
  <si>
    <t>14.4944-4.075_S. haematobium</t>
  </si>
  <si>
    <t>14.4944-4.075_S. mansoni</t>
  </si>
  <si>
    <t>14.4944-4.075_S. intercalatum (guineensis)</t>
  </si>
  <si>
    <t>10.6875-4.09278</t>
  </si>
  <si>
    <t>10.6875-4.09278_S. haematobium</t>
  </si>
  <si>
    <t>10.6875-4.09278_S. mansoni</t>
  </si>
  <si>
    <t>10.6875-4.09278_S. intercalatum (guineensis)</t>
  </si>
  <si>
    <t>12.6347-4.10556</t>
  </si>
  <si>
    <t>12.6347-4.10556_S. mansoni</t>
  </si>
  <si>
    <t>12.6347-4.10556_S. intercalatum (guineensis)</t>
  </si>
  <si>
    <t>14.5722-4.11111</t>
  </si>
  <si>
    <t>14.5722-4.11111_S. haematobium</t>
  </si>
  <si>
    <t>14.5722-4.11111_S. mansoni</t>
  </si>
  <si>
    <t>14.5722-4.11111_S. intercalatum (guineensis)</t>
  </si>
  <si>
    <t>11.533-4.117</t>
  </si>
  <si>
    <t>11.533-4.117_S. mansoni</t>
  </si>
  <si>
    <t>11.533-4.117_S. intercalatum (guineensis)</t>
  </si>
  <si>
    <t>11.9083-4.11944</t>
  </si>
  <si>
    <t>11.9083-4.11944_S. mansoni</t>
  </si>
  <si>
    <t>11.9083-4.11944_S. intercalatum (guineensis)</t>
  </si>
  <si>
    <t>11.2389-4.13333</t>
  </si>
  <si>
    <t>11.2389-4.13333_S. mansoni</t>
  </si>
  <si>
    <t>11.2389-4.13333_S. intercalatum (guineensis)</t>
  </si>
  <si>
    <t>11.1667-4.14444</t>
  </si>
  <si>
    <t>11.1667-4.14444_S. haematobium</t>
  </si>
  <si>
    <t>11.1667-4.14444_S. mansoni</t>
  </si>
  <si>
    <t>11.1667-4.14444_S. intercalatum (guineensis)</t>
  </si>
  <si>
    <t>10.9369-4.15</t>
  </si>
  <si>
    <t>10.9369-4.15_S. mansoni</t>
  </si>
  <si>
    <t>10.9369-4.15_S. intercalatum (guineensis)</t>
  </si>
  <si>
    <t>9.62444-4.16667</t>
  </si>
  <si>
    <t>9.62444-4.16667_S. haematobium</t>
  </si>
  <si>
    <t>9.62444-4.16667_S. mansoni</t>
  </si>
  <si>
    <t>9.62444-4.16667_S. intercalatum (guineensis)</t>
  </si>
  <si>
    <t>15.0361-4.175</t>
  </si>
  <si>
    <t>15.0361-4.175_S. haematobium</t>
  </si>
  <si>
    <t>15.0361-4.175_S. mansoni</t>
  </si>
  <si>
    <t>15.0361-4.175_S. intercalatum (guineensis)</t>
  </si>
  <si>
    <t>11.4736-4.17917</t>
  </si>
  <si>
    <t>11.4736-4.17917_S. haematobium</t>
  </si>
  <si>
    <t>11.4736-4.17917_S. mansoni</t>
  </si>
  <si>
    <t>11.4736-4.17917_S. intercalatum (guineensis)</t>
  </si>
  <si>
    <t>14.75-4.18333</t>
  </si>
  <si>
    <t>14.75-4.18333_S. haematobium</t>
  </si>
  <si>
    <t>14.75-4.18333_S. mansoni</t>
  </si>
  <si>
    <t>14.75-4.18333_S. intercalatum (guineensis)</t>
  </si>
  <si>
    <t>11.583-4.184</t>
  </si>
  <si>
    <t>11.583-4.184_S. mansoni</t>
  </si>
  <si>
    <t>11.5683-4.18833</t>
  </si>
  <si>
    <t>11.5683-4.18833_S. mansoni</t>
  </si>
  <si>
    <t>11.5683-4.18833_S. intercalatum (guineensis)</t>
  </si>
  <si>
    <t>14.6944-4.19444</t>
  </si>
  <si>
    <t>14.6944-4.19444_S. haematobium</t>
  </si>
  <si>
    <t>14.6944-4.19444_S. mansoni</t>
  </si>
  <si>
    <t>14.6944-4.19444_S. intercalatum (guineensis)</t>
  </si>
  <si>
    <t>11.2417-4.20833</t>
  </si>
  <si>
    <t>11.2417-4.20833_S. mansoni</t>
  </si>
  <si>
    <t>11.2417-4.20833_S. intercalatum (guineensis)</t>
  </si>
  <si>
    <t>14.675-4.21667</t>
  </si>
  <si>
    <t>14.675-4.21667_S. haematobium</t>
  </si>
  <si>
    <t>14.675-4.21667_S. mansoni</t>
  </si>
  <si>
    <t>14.675-4.21667_S. intercalatum (guineensis)</t>
  </si>
  <si>
    <t>13.4083-4.21667</t>
  </si>
  <si>
    <t>13.4083-4.21667_S. haematobium</t>
  </si>
  <si>
    <t>13.4083-4.21667_S. mansoni</t>
  </si>
  <si>
    <t>13.4083-4.21667_S. intercalatum (guineensis)</t>
  </si>
  <si>
    <t>13.601-4.22</t>
  </si>
  <si>
    <t>13.601-4.22_S. mansoni</t>
  </si>
  <si>
    <t>13.601-4.22_S. intercalatum (guineensis)</t>
  </si>
  <si>
    <t>11.2111-4.22917</t>
  </si>
  <si>
    <t>11.2111-4.22917_S. mansoni</t>
  </si>
  <si>
    <t>11.2111-4.22917_S. intercalatum (guineensis)</t>
  </si>
  <si>
    <t>11.2333-4.23056</t>
  </si>
  <si>
    <t>11.2333-4.23056_S. haematobium</t>
  </si>
  <si>
    <t>11.2333-4.23056_S. mansoni</t>
  </si>
  <si>
    <t>11.2333-4.23056_S. intercalatum (guineensis)</t>
  </si>
  <si>
    <t>10.6167-4.23333</t>
  </si>
  <si>
    <t>10.6167-4.23333_S. haematobium</t>
  </si>
  <si>
    <t>10.6167-4.23333_S. mansoni</t>
  </si>
  <si>
    <t>10.6167-4.23333_S. intercalatum (guineensis)</t>
  </si>
  <si>
    <t>13.45-4.24167</t>
  </si>
  <si>
    <t>13.45-4.24167_S. haematobium</t>
  </si>
  <si>
    <t>13.45-4.24167_S. mansoni</t>
  </si>
  <si>
    <t>13.45-4.24167_S. intercalatum (guineensis)</t>
  </si>
  <si>
    <t>11.2056-4.25556</t>
  </si>
  <si>
    <t>11.2056-4.25556_S. haematobium</t>
  </si>
  <si>
    <t>11.2056-4.25556_S. mansoni</t>
  </si>
  <si>
    <t>11.2056-4.25556_S. intercalatum (guineensis)</t>
  </si>
  <si>
    <t>11.4139-4.26111</t>
  </si>
  <si>
    <t>11.4139-4.26111_S. mansoni</t>
  </si>
  <si>
    <t>11.4139-4.26111_S. intercalatum (guineensis)</t>
  </si>
  <si>
    <t>10.9583-4.26389</t>
  </si>
  <si>
    <t>10.9583-4.26389_S. mansoni</t>
  </si>
  <si>
    <t>10.9583-4.26389_S. intercalatum (guineensis)</t>
  </si>
  <si>
    <t>14.05-4.26667</t>
  </si>
  <si>
    <t>14.05-4.26667_S. haematobium</t>
  </si>
  <si>
    <t>14.05-4.26667_S. mansoni</t>
  </si>
  <si>
    <t>14.05-4.26667_S. intercalatum (guineensis)</t>
  </si>
  <si>
    <t>10.9475-4.27889</t>
  </si>
  <si>
    <t>10.9475-4.27889_S. haematobium</t>
  </si>
  <si>
    <t>10.9475-4.27889_S. mansoni</t>
  </si>
  <si>
    <t>10.9475-4.27889_S. intercalatum (guineensis)</t>
  </si>
  <si>
    <t>11.631-4.283</t>
  </si>
  <si>
    <t>11.631-4.283_S. mansoni</t>
  </si>
  <si>
    <t>11.431-4.289</t>
  </si>
  <si>
    <t>11.431-4.289_S. mansoni</t>
  </si>
  <si>
    <t>11.431-4.289_S. intercalatum (guineensis)</t>
  </si>
  <si>
    <t>9.71056-4.29583</t>
  </si>
  <si>
    <t>9.71056-4.29583_S. haematobium</t>
  </si>
  <si>
    <t>9.71056-4.29583_S. mansoni</t>
  </si>
  <si>
    <t>9.71056-4.29583_S. intercalatum (guineensis)</t>
  </si>
  <si>
    <t>11.4167-4.3</t>
  </si>
  <si>
    <t>11.4167-4.3_S. mansoni</t>
  </si>
  <si>
    <t>11.4167-4.3_S. intercalatum (guineensis)</t>
  </si>
  <si>
    <t>11.3556-4.30556</t>
  </si>
  <si>
    <t>11.3556-4.30556_S. mansoni</t>
  </si>
  <si>
    <t>11.3556-4.30556_S. intercalatum (guineensis)</t>
  </si>
  <si>
    <t>14.5917-4.30833</t>
  </si>
  <si>
    <t>14.5917-4.30833_S. haematobium</t>
  </si>
  <si>
    <t>14.5917-4.30833_S. mansoni</t>
  </si>
  <si>
    <t>14.5917-4.30833_S. intercalatum (guineensis)</t>
  </si>
  <si>
    <t>10.9153-4.32472</t>
  </si>
  <si>
    <t>10.9153-4.32472_S. mansoni</t>
  </si>
  <si>
    <t>10.9153-4.32472_S. intercalatum (guineensis)</t>
  </si>
  <si>
    <t>11.4667-4.325</t>
  </si>
  <si>
    <t>11.4667-4.325_S. mansoni</t>
  </si>
  <si>
    <t>11.4667-4.325_S. intercalatum (guineensis)</t>
  </si>
  <si>
    <t>11.6333-4.32917</t>
  </si>
  <si>
    <t>11.6333-4.32917_S. mansoni</t>
  </si>
  <si>
    <t>11.6333-4.32917_S. intercalatum (guineensis)</t>
  </si>
  <si>
    <t>13.5667-4.36667</t>
  </si>
  <si>
    <t>13.5667-4.36667_S. haematobium</t>
  </si>
  <si>
    <t>13.5667-4.36667_S. mansoni</t>
  </si>
  <si>
    <t>13.5667-4.36667_S. intercalatum (guineensis)</t>
  </si>
  <si>
    <t>11.6333-4.36889</t>
  </si>
  <si>
    <t>11.6333-4.36889_S. mansoni</t>
  </si>
  <si>
    <t>11.6333-4.36889_S. intercalatum (guineensis)</t>
  </si>
  <si>
    <t>12.9333-4.38333</t>
  </si>
  <si>
    <t>12.9333-4.38333_S. haematobium</t>
  </si>
  <si>
    <t>12.9333-4.38333_S. mansoni</t>
  </si>
  <si>
    <t>12.9333-4.38333_S. intercalatum (guineensis)</t>
  </si>
  <si>
    <t>10.8208-4.39306</t>
  </si>
  <si>
    <t>10.8208-4.39306_S. mansoni</t>
  </si>
  <si>
    <t>10.8208-4.39306_S. intercalatum (guineensis)</t>
  </si>
  <si>
    <t>11.8167-4.39444</t>
  </si>
  <si>
    <t>11.8167-4.39444_S. mansoni</t>
  </si>
  <si>
    <t>11.8167-4.39444_S. intercalatum (guineensis)</t>
  </si>
  <si>
    <t>11.025-4.39722</t>
  </si>
  <si>
    <t>11.025-4.39722_S. mansoni</t>
  </si>
  <si>
    <t>11.025-4.39722_S. intercalatum (guineensis)</t>
  </si>
  <si>
    <t>14.2111-4.4</t>
  </si>
  <si>
    <t>14.2111-4.4_S. haematobium</t>
  </si>
  <si>
    <t>14.2111-4.4_S. mansoni</t>
  </si>
  <si>
    <t>14.2111-4.4_S. intercalatum (guineensis)</t>
  </si>
  <si>
    <t>11.3833-4.4</t>
  </si>
  <si>
    <t>11.3833-4.4_S. mansoni</t>
  </si>
  <si>
    <t>11.3833-4.4_S. intercalatum (guineensis)</t>
  </si>
  <si>
    <t>11.398-4.402</t>
  </si>
  <si>
    <t>11.398-4.402_S. mansoni</t>
  </si>
  <si>
    <t>11.398-4.402_S. intercalatum (guineensis)</t>
  </si>
  <si>
    <t>11.4167-4.40833</t>
  </si>
  <si>
    <t>11.4167-4.40833_S. mansoni</t>
  </si>
  <si>
    <t>11.4167-4.40833_S. intercalatum (guineensis)</t>
  </si>
  <si>
    <t>11.075-4.42222</t>
  </si>
  <si>
    <t>11.075-4.42222_S. mansoni</t>
  </si>
  <si>
    <t>11.075-4.42222_S. intercalatum (guineensis)</t>
  </si>
  <si>
    <t>14.362-4.428</t>
  </si>
  <si>
    <t>14.362-4.428_S. mansoni</t>
  </si>
  <si>
    <t>14.3667-4.43333</t>
  </si>
  <si>
    <t>14.3667-4.43333_S. haematobium</t>
  </si>
  <si>
    <t>14.3667-4.43333_S. mansoni</t>
  </si>
  <si>
    <t>14.3667-4.43333_S. intercalatum (guineensis)</t>
  </si>
  <si>
    <t>11.4333-4.45</t>
  </si>
  <si>
    <t>11.4333-4.45_S. haematobium</t>
  </si>
  <si>
    <t>11.4333-4.45_S. mansoni</t>
  </si>
  <si>
    <t>11.4333-4.45_S. intercalatum (guineensis)</t>
  </si>
  <si>
    <t>11.625-4.45556</t>
  </si>
  <si>
    <t>11.625-4.45556_S. haematobium</t>
  </si>
  <si>
    <t>11.625-4.45556_S. mansoni</t>
  </si>
  <si>
    <t>11.625-4.45556_S. intercalatum (guineensis)</t>
  </si>
  <si>
    <t>9.248-4.466</t>
  </si>
  <si>
    <t>9.248-4.466_S. haematobium</t>
  </si>
  <si>
    <t>9.53556-4.49472</t>
  </si>
  <si>
    <t>9.53556-4.49472_S. haematobium</t>
  </si>
  <si>
    <t>9.53556-4.49472_S. mansoni</t>
  </si>
  <si>
    <t>9.53556-4.49472_S. intercalatum (guineensis)</t>
  </si>
  <si>
    <t>9.27639-4.50278</t>
  </si>
  <si>
    <t>9.27639-4.50278_S. haematobium</t>
  </si>
  <si>
    <t>9.56667-4.50694</t>
  </si>
  <si>
    <t>9.56667-4.50694_S. haematobium</t>
  </si>
  <si>
    <t>9.56667-4.50694_S. mansoni</t>
  </si>
  <si>
    <t>9.56667-4.50694_S. intercalatum (guineensis)</t>
  </si>
  <si>
    <t>12.05-4.51667</t>
  </si>
  <si>
    <t>12.05-4.51667_S. haematobium</t>
  </si>
  <si>
    <t>12.05-4.51667_S. mansoni</t>
  </si>
  <si>
    <t>12.05-4.51667_S. intercalatum (guineensis)</t>
  </si>
  <si>
    <t>10.3258-4.52028</t>
  </si>
  <si>
    <t>10.3258-4.52028_S. haematobium</t>
  </si>
  <si>
    <t>10.3258-4.52028_S. mansoni</t>
  </si>
  <si>
    <t>10.3258-4.52028_S. intercalatum (guineensis)</t>
  </si>
  <si>
    <t>10.2917-4.52639</t>
  </si>
  <si>
    <t>10.2917-4.52639_S. haematobium</t>
  </si>
  <si>
    <t>10.2917-4.52639_S. mansoni</t>
  </si>
  <si>
    <t>10.2917-4.52639_S. intercalatum (guineensis)</t>
  </si>
  <si>
    <t>11.1174-4.52778</t>
  </si>
  <si>
    <t>11.1174-4.52778_S. mansoni</t>
  </si>
  <si>
    <t>10.3456-4.53333</t>
  </si>
  <si>
    <t>10.3456-4.53333_S. haematobium</t>
  </si>
  <si>
    <t>10.3456-4.53333_S. mansoni</t>
  </si>
  <si>
    <t>10.3456-4.53333_S. intercalatum (guineensis)</t>
  </si>
  <si>
    <t>9.07944-4.53694</t>
  </si>
  <si>
    <t>9.07944-4.53694_S. haematobium</t>
  </si>
  <si>
    <t>9.07944-4.53694_S. mansoni</t>
  </si>
  <si>
    <t>9.07944-4.53694_S. intercalatum (guineensis)</t>
  </si>
  <si>
    <t>9.88528-4.54306</t>
  </si>
  <si>
    <t>9.88528-4.54306_S. haematobium</t>
  </si>
  <si>
    <t>9.88528-4.54306_S. mansoni</t>
  </si>
  <si>
    <t>9.88528-4.54306_S. intercalatum (guineensis)</t>
  </si>
  <si>
    <t>11.4783-4.54667</t>
  </si>
  <si>
    <t>11.4783-4.54667_S. mansoni</t>
  </si>
  <si>
    <t>11.4783-4.54667_S. intercalatum (guineensis)</t>
  </si>
  <si>
    <t>11.3694-4.55333</t>
  </si>
  <si>
    <t>11.3694-4.55333_S. mansoni</t>
  </si>
  <si>
    <t>11.3694-4.55333_S. intercalatum (guineensis)</t>
  </si>
  <si>
    <t>11.1167-4.56667</t>
  </si>
  <si>
    <t>11.1167-4.56667_S. haematobium</t>
  </si>
  <si>
    <t>11.1167-4.56667_S. mansoni</t>
  </si>
  <si>
    <t>11.1167-4.56667_S. intercalatum (guineensis)</t>
  </si>
  <si>
    <t>12.8333-4.56667</t>
  </si>
  <si>
    <t>12.8333-4.56667_S. haematobium</t>
  </si>
  <si>
    <t>12.8333-4.56667_S. mansoni</t>
  </si>
  <si>
    <t>12.8333-4.56667_S. intercalatum (guineensis)</t>
  </si>
  <si>
    <t>13.675-4.575</t>
  </si>
  <si>
    <t>13.675-4.575_S. haematobium</t>
  </si>
  <si>
    <t>13.675-4.575_S. mansoni</t>
  </si>
  <si>
    <t>13.675-4.575_S. intercalatum (guineensis)</t>
  </si>
  <si>
    <t>13.3389-4.575</t>
  </si>
  <si>
    <t>13.3389-4.575_S. haematobium</t>
  </si>
  <si>
    <t>13.3389-4.575_S. mansoni</t>
  </si>
  <si>
    <t>13.3389-4.575_S. intercalatum (guineensis)</t>
  </si>
  <si>
    <t>9.66472-4.58056</t>
  </si>
  <si>
    <t>9.66472-4.58056_S. haematobium</t>
  </si>
  <si>
    <t>13.6833-4.58333</t>
  </si>
  <si>
    <t>13.6833-4.58333_S. haematobium</t>
  </si>
  <si>
    <t>9.67139-4.58861</t>
  </si>
  <si>
    <t>9.67139-4.58861_S. haematobium</t>
  </si>
  <si>
    <t>9.67139-4.58861_S. mansoni</t>
  </si>
  <si>
    <t>9.67139-4.58861_S. intercalatum (guineensis)</t>
  </si>
  <si>
    <t>11.1417-4.58889</t>
  </si>
  <si>
    <t>11.1417-4.58889_S. mansoni</t>
  </si>
  <si>
    <t>11.1417-4.58889_S. intercalatum (guineensis)</t>
  </si>
  <si>
    <t>11.2611-4.6</t>
  </si>
  <si>
    <t>11.2611-4.6_S. haematobium</t>
  </si>
  <si>
    <t>11.2611-4.6_S. mansoni</t>
  </si>
  <si>
    <t>11.2611-4.6_S. intercalatum (guineensis)</t>
  </si>
  <si>
    <t>9.683-4.633</t>
  </si>
  <si>
    <t>9.683-4.633_S. haematobium</t>
  </si>
  <si>
    <t>9.68944-4.63472</t>
  </si>
  <si>
    <t>9.68944-4.63472_S. haematobium</t>
  </si>
  <si>
    <t>9.68944-4.63472_S. mansoni</t>
  </si>
  <si>
    <t>9.68944-4.63472_S. intercalatum (guineensis)</t>
  </si>
  <si>
    <t>11.2608-4.63556</t>
  </si>
  <si>
    <t>11.2608-4.63556_S. mansoni</t>
  </si>
  <si>
    <t>11.2608-4.63556_S. intercalatum (guineensis)</t>
  </si>
  <si>
    <t>9.43861-4.64389</t>
  </si>
  <si>
    <t>9.43861-4.64389_S. haematobium</t>
  </si>
  <si>
    <t>10.8722-4.64444</t>
  </si>
  <si>
    <t>10.8722-4.64444_S. mansoni</t>
  </si>
  <si>
    <t>10.8722-4.64444_S. intercalatum (guineensis)</t>
  </si>
  <si>
    <t>11.3353-4.66056</t>
  </si>
  <si>
    <t>11.3353-4.66056_S. mansoni</t>
  </si>
  <si>
    <t>11.3353-4.66056_S. intercalatum (guineensis)</t>
  </si>
  <si>
    <t>9.382-4.667</t>
  </si>
  <si>
    <t>9.382-4.667_S. haematobium</t>
  </si>
  <si>
    <t>9.72556-4.67333</t>
  </si>
  <si>
    <t>9.72556-4.67333_S. haematobium</t>
  </si>
  <si>
    <t>9.72556-4.67333_S. mansoni</t>
  </si>
  <si>
    <t>9.72556-4.67333_S. intercalatum (guineensis)</t>
  </si>
  <si>
    <t>9.38972-4.67444</t>
  </si>
  <si>
    <t>9.38972-4.67444_S. haematobium</t>
  </si>
  <si>
    <t>12.3778-4.67778</t>
  </si>
  <si>
    <t>12.3778-4.67778_S. mansoni</t>
  </si>
  <si>
    <t>12.3778-4.67778_S. intercalatum (guineensis)</t>
  </si>
  <si>
    <t>11.3069-4.68333</t>
  </si>
  <si>
    <t>11.3069-4.68333_S. mansoni</t>
  </si>
  <si>
    <t>11.3069-4.68333_S. intercalatum (guineensis)</t>
  </si>
  <si>
    <t>11.2333-4.7</t>
  </si>
  <si>
    <t>11.2333-4.7_S. mansoni</t>
  </si>
  <si>
    <t>11.2333-4.7_S. intercalatum (guineensis)</t>
  </si>
  <si>
    <t>9.74639-4.70528</t>
  </si>
  <si>
    <t>9.74639-4.70528_S. haematobium</t>
  </si>
  <si>
    <t>11.1944-4.70556</t>
  </si>
  <si>
    <t>11.1944-4.70556_S. mansoni</t>
  </si>
  <si>
    <t>11.1944-4.70556_S. intercalatum (guineensis)</t>
  </si>
  <si>
    <t>9.74556-4.71056</t>
  </si>
  <si>
    <t>9.74556-4.71056_S. haematobium</t>
  </si>
  <si>
    <t>9.74556-4.71056_S. mansoni</t>
  </si>
  <si>
    <t>9.74556-4.71056_S. intercalatum (guineensis)</t>
  </si>
  <si>
    <t>14.5944-4.71111</t>
  </si>
  <si>
    <t>14.5944-4.71111_S. haematobium</t>
  </si>
  <si>
    <t>14.5944-4.71111_S. mansoni</t>
  </si>
  <si>
    <t>14.5944-4.71111_S. intercalatum (guineensis)</t>
  </si>
  <si>
    <t>9.735-4.714</t>
  </si>
  <si>
    <t>9.735-4.714_S. haematobium</t>
  </si>
  <si>
    <t>9.74639-4.71611</t>
  </si>
  <si>
    <t>9.74639-4.71611_S. haematobium</t>
  </si>
  <si>
    <t>9.74639-4.71611_S. mansoni</t>
  </si>
  <si>
    <t>9.73444-4.71833</t>
  </si>
  <si>
    <t>9.73444-4.71833_S. haematobium</t>
  </si>
  <si>
    <t>9.7325-4.72</t>
  </si>
  <si>
    <t>9.7325-4.72_S. haematobium</t>
  </si>
  <si>
    <t>13.3889-4.72222</t>
  </si>
  <si>
    <t>13.3889-4.72222_S. haematobium</t>
  </si>
  <si>
    <t>13.3889-4.72222_S. mansoni</t>
  </si>
  <si>
    <t>13.3889-4.72222_S. intercalatum (guineensis)</t>
  </si>
  <si>
    <t>11.2306-4.74444</t>
  </si>
  <si>
    <t>11.2306-4.74444_S. haematobium</t>
  </si>
  <si>
    <t>11.2306-4.74444_S. mansoni</t>
  </si>
  <si>
    <t>11.2306-4.74444_S. intercalatum (guineensis)</t>
  </si>
  <si>
    <t>11.2333-4.75</t>
  </si>
  <si>
    <t>11.2333-4.75_S. mansoni</t>
  </si>
  <si>
    <t>10.8222-4.75556</t>
  </si>
  <si>
    <t>10.8222-4.75556_S. haematobium</t>
  </si>
  <si>
    <t>10.8222-4.75556_S. mansoni</t>
  </si>
  <si>
    <t>10.8222-4.75556_S. intercalatum (guineensis)</t>
  </si>
  <si>
    <t>11.1656-4.77472</t>
  </si>
  <si>
    <t>11.1656-4.77472_S. mansoni</t>
  </si>
  <si>
    <t>11.1656-4.77472_S. intercalatum (guineensis)</t>
  </si>
  <si>
    <t>13.8917-4.78056</t>
  </si>
  <si>
    <t>13.8917-4.78056_S. haematobium</t>
  </si>
  <si>
    <t>13.8917-4.78056_S. mansoni</t>
  </si>
  <si>
    <t>13.8917-4.78056_S. intercalatum (guineensis)</t>
  </si>
  <si>
    <t>10.9611-4.78333</t>
  </si>
  <si>
    <t>10.9611-4.78333_S. mansoni</t>
  </si>
  <si>
    <t>10.9611-4.78333_S. intercalatum (guineensis)</t>
  </si>
  <si>
    <t>14.55-4.79444</t>
  </si>
  <si>
    <t>14.55-4.79444_S. haematobium</t>
  </si>
  <si>
    <t>14.55-4.79444_S. mansoni</t>
  </si>
  <si>
    <t>14.55-4.79444_S. intercalatum (guineensis)</t>
  </si>
  <si>
    <t>11.9378-4.80889</t>
  </si>
  <si>
    <t>11.9378-4.80889_S. mansoni</t>
  </si>
  <si>
    <t>11.9378-4.80889_S. intercalatum (guineensis)</t>
  </si>
  <si>
    <t>10.2244-4.83083</t>
  </si>
  <si>
    <t>10.2244-4.83083_S. haematobium</t>
  </si>
  <si>
    <t>10.2244-4.83083_S. mansoni</t>
  </si>
  <si>
    <t>10.2244-4.83083_S. intercalatum (guineensis)</t>
  </si>
  <si>
    <t>9.82778-4.84361</t>
  </si>
  <si>
    <t>9.82778-4.84361_S. haematobium</t>
  </si>
  <si>
    <t>9.82778-4.84361_S. mansoni</t>
  </si>
  <si>
    <t>9.82778-4.84361_S. intercalatum (guineensis)</t>
  </si>
  <si>
    <t>12.8056-4.86111</t>
  </si>
  <si>
    <t>12.8056-4.86111_S. haematobium</t>
  </si>
  <si>
    <t>12.8056-4.86111_S. mansoni</t>
  </si>
  <si>
    <t>12.8056-4.86111_S. intercalatum (guineensis)</t>
  </si>
  <si>
    <t>11.149-4.867</t>
  </si>
  <si>
    <t>11.149-4.867_S. haematobium</t>
  </si>
  <si>
    <t>12.0006-4.875</t>
  </si>
  <si>
    <t>12.0006-4.875_S. haematobium</t>
  </si>
  <si>
    <t>12.0006-4.875_S. mansoni</t>
  </si>
  <si>
    <t>12.0006-4.875_S. intercalatum (guineensis)</t>
  </si>
  <si>
    <t>14.55-4.88333</t>
  </si>
  <si>
    <t>14.55-4.88333_S. haematobium</t>
  </si>
  <si>
    <t>14.55-4.88333_S. mansoni</t>
  </si>
  <si>
    <t>14.55-4.88333_S. intercalatum (guineensis)</t>
  </si>
  <si>
    <t>12.9389-4.88889</t>
  </si>
  <si>
    <t>12.9389-4.88889_S. haematobium</t>
  </si>
  <si>
    <t>12.9389-4.88889_S. mansoni</t>
  </si>
  <si>
    <t>12.9389-4.88889_S. intercalatum (guineensis)</t>
  </si>
  <si>
    <t>10.7828-4.8925</t>
  </si>
  <si>
    <t>10.7828-4.8925_S. haematobium</t>
  </si>
  <si>
    <t>10.7828-4.8925_S. mansoni</t>
  </si>
  <si>
    <t>10.7828-4.8925_S. intercalatum (guineensis)</t>
  </si>
  <si>
    <t>12.5-4.9</t>
  </si>
  <si>
    <t>12.5-4.9_S. haematobium</t>
  </si>
  <si>
    <t>12.5-4.9_S. mansoni</t>
  </si>
  <si>
    <t>12.5-4.9_S. intercalatum (guineensis)</t>
  </si>
  <si>
    <t>10.7299-4.91535</t>
  </si>
  <si>
    <t>10.7299-4.91535_S. mansoni</t>
  </si>
  <si>
    <t>10.7299-4.91535_S. haematobium</t>
  </si>
  <si>
    <t>10.7299-4.91535_S. intercalatum (guineensis)</t>
  </si>
  <si>
    <t>13.2889-4.91667</t>
  </si>
  <si>
    <t>13.2889-4.91667_S. haematobium</t>
  </si>
  <si>
    <t>13.2889-4.91667_S. mansoni</t>
  </si>
  <si>
    <t>13.2889-4.91667_S. intercalatum (guineensis)</t>
  </si>
  <si>
    <t>10.7528-4.92806</t>
  </si>
  <si>
    <t>10.7528-4.92806_S. mansoni</t>
  </si>
  <si>
    <t>10.7528-4.92806_S. intercalatum (guineensis)</t>
  </si>
  <si>
    <t>9.93333-4.95</t>
  </si>
  <si>
    <t>9.93333-4.95_S. haematobium</t>
  </si>
  <si>
    <t>9.93333-4.95_S. mansoni</t>
  </si>
  <si>
    <t>9.93333-4.95_S. intercalatum (guineensis)</t>
  </si>
  <si>
    <t>11.3939-4.95778</t>
  </si>
  <si>
    <t>11.3939-4.95778_S. mansoni</t>
  </si>
  <si>
    <t>11.3939-4.95778_S. intercalatum (guineensis)</t>
  </si>
  <si>
    <t>9.95278-4.95833</t>
  </si>
  <si>
    <t>9.95278-4.95833_S. haematobium</t>
  </si>
  <si>
    <t>9.95278-4.95833_S. mansoni</t>
  </si>
  <si>
    <t>9.95278-4.95833_S. intercalatum (guineensis)</t>
  </si>
  <si>
    <t>10.7-4.96667</t>
  </si>
  <si>
    <t>10.7-4.96667_S. haematobium</t>
  </si>
  <si>
    <t>10.7-4.96667_S. mansoni</t>
  </si>
  <si>
    <t>10.7-4.96667_S. intercalatum (guineensis)</t>
  </si>
  <si>
    <t>10.2431-4.96806</t>
  </si>
  <si>
    <t>10.2431-4.96806_S. haematobium</t>
  </si>
  <si>
    <t>10.2431-4.96806_S. mansoni</t>
  </si>
  <si>
    <t>10.2431-4.96806_S. intercalatum (guineensis)</t>
  </si>
  <si>
    <t>9.79139-4.99472</t>
  </si>
  <si>
    <t>9.79139-4.99472_S. haematobium</t>
  </si>
  <si>
    <t>9.79139-4.99472_S. mansoni</t>
  </si>
  <si>
    <t>9.79139-4.99472_S. intercalatum (guineensis)</t>
  </si>
  <si>
    <t>9.96333-5.005</t>
  </si>
  <si>
    <t>9.96333-5.005_S. haematobium</t>
  </si>
  <si>
    <t>9.96333-5.005_S. mansoni</t>
  </si>
  <si>
    <t>9.96333-5.005_S. intercalatum (guineensis)</t>
  </si>
  <si>
    <t>10.0119-5.01667</t>
  </si>
  <si>
    <t>10.0119-5.01667_S. haematobium</t>
  </si>
  <si>
    <t>10.0119-5.01667_S. mansoni</t>
  </si>
  <si>
    <t>10.0119-5.01667_S. intercalatum (guineensis)</t>
  </si>
  <si>
    <t>12.0083-5.01944</t>
  </si>
  <si>
    <t>12.0083-5.01944_S. mansoni</t>
  </si>
  <si>
    <t>12.0083-5.01944_S. intercalatum (guineensis)</t>
  </si>
  <si>
    <t>10.4667-5.06111</t>
  </si>
  <si>
    <t>10.4667-5.06111_S. haematobium</t>
  </si>
  <si>
    <t>10.4667-5.06111_S. mansoni</t>
  </si>
  <si>
    <t>10.4667-5.06111_S. intercalatum (guineensis)</t>
  </si>
  <si>
    <t>10.3625-5.09861</t>
  </si>
  <si>
    <t>10.3625-5.09861_S. haematobium</t>
  </si>
  <si>
    <t>10.3625-5.09861_S. mansoni</t>
  </si>
  <si>
    <t>10.3625-5.09861_S. intercalatum (guineensis)</t>
  </si>
  <si>
    <t>10.0819-5.10278</t>
  </si>
  <si>
    <t>10.0819-5.10278_S. haematobium</t>
  </si>
  <si>
    <t>10.0819-5.10278_S. mansoni</t>
  </si>
  <si>
    <t>10.0819-5.10278_S. intercalatum (guineensis)</t>
  </si>
  <si>
    <t>10.4167-5.11667</t>
  </si>
  <si>
    <t>10.4167-5.11667_S. haematobium</t>
  </si>
  <si>
    <t>10.4167-5.11667_S. mansoni</t>
  </si>
  <si>
    <t>10.4167-5.11667_S. intercalatum (guineensis)</t>
  </si>
  <si>
    <t>10.2667-5.11667</t>
  </si>
  <si>
    <t>10.2667-5.11667_S. haematobium</t>
  </si>
  <si>
    <t>10.2667-5.11667_S. mansoni</t>
  </si>
  <si>
    <t>10.2667-5.11667_S. intercalatum (guineensis)</t>
  </si>
  <si>
    <t>10.1833-5.12778</t>
  </si>
  <si>
    <t>10.1833-5.12778_S. haematobium</t>
  </si>
  <si>
    <t>10.1833-5.12778_S. mansoni</t>
  </si>
  <si>
    <t>10.1833-5.12778_S. intercalatum (guineensis)</t>
  </si>
  <si>
    <t>10.525-5.13333</t>
  </si>
  <si>
    <t>10.525-5.13333_S. haematobium</t>
  </si>
  <si>
    <t>10.525-5.13333_S. mansoni</t>
  </si>
  <si>
    <t>10.525-5.13333_S. intercalatum (guineensis)</t>
  </si>
  <si>
    <t>10.0014-5.15417</t>
  </si>
  <si>
    <t>10.0014-5.15417_S. haematobium</t>
  </si>
  <si>
    <t>10.0014-5.15417_S. mansoni</t>
  </si>
  <si>
    <t>10.0014-5.15417_S. intercalatum (guineensis)</t>
  </si>
  <si>
    <t>10.1806-5.15417</t>
  </si>
  <si>
    <t>10.1806-5.15417_S. haematobium</t>
  </si>
  <si>
    <t>10.1806-5.15417_S. mansoni</t>
  </si>
  <si>
    <t>10.1806-5.15417_S. intercalatum (guineensis)</t>
  </si>
  <si>
    <t>10.2736-5.15556</t>
  </si>
  <si>
    <t>10.2736-5.15556_S. haematobium</t>
  </si>
  <si>
    <t>10.2736-5.15556_S. mansoni</t>
  </si>
  <si>
    <t>10.2736-5.15556_S. intercalatum (guineensis)</t>
  </si>
  <si>
    <t>10.1556-5.15556</t>
  </si>
  <si>
    <t>10.1556-5.15556_S. haematobium</t>
  </si>
  <si>
    <t>10.1556-5.15556_S. mansoni</t>
  </si>
  <si>
    <t>10.1556-5.15556_S. intercalatum (guineensis)</t>
  </si>
  <si>
    <t>10.0201-5.15731</t>
  </si>
  <si>
    <t>10.0201-5.15731_S. haematobium</t>
  </si>
  <si>
    <t>10.3-5.2</t>
  </si>
  <si>
    <t>10.3-5.2_S. haematobium</t>
  </si>
  <si>
    <t>10.3-5.2_S. mansoni</t>
  </si>
  <si>
    <t>10.3-5.2_S. intercalatum (guineensis)</t>
  </si>
  <si>
    <t>10.1167-5.225</t>
  </si>
  <si>
    <t>10.1167-5.225_S. haematobium</t>
  </si>
  <si>
    <t>10.1167-5.225_S. mansoni</t>
  </si>
  <si>
    <t>10.1167-5.225_S. intercalatum (guineensis)</t>
  </si>
  <si>
    <t>14.2597-5.23333</t>
  </si>
  <si>
    <t>14.2597-5.23333_S. haematobium</t>
  </si>
  <si>
    <t>14.2597-5.23333_S. mansoni</t>
  </si>
  <si>
    <t>14.2597-5.23333_S. intercalatum (guineensis)</t>
  </si>
  <si>
    <t>10.5-5.24444</t>
  </si>
  <si>
    <t>10.5-5.24444_S. haematobium</t>
  </si>
  <si>
    <t>10.5-5.24444_S. mansoni</t>
  </si>
  <si>
    <t>10.5-5.24444_S. intercalatum (guineensis)</t>
  </si>
  <si>
    <t>10.4167-5.25</t>
  </si>
  <si>
    <t>10.4167-5.25_S. haematobium</t>
  </si>
  <si>
    <t>10.4167-5.25_S. mansoni</t>
  </si>
  <si>
    <t>10.4167-5.25_S. intercalatum (guineensis)</t>
  </si>
  <si>
    <t>10.2264-5.2625</t>
  </si>
  <si>
    <t>10.2264-5.2625_S. haematobium</t>
  </si>
  <si>
    <t>10.2264-5.2625_S. mansoni</t>
  </si>
  <si>
    <t>10.2264-5.2625_S. intercalatum (guineensis)</t>
  </si>
  <si>
    <t>10.3667-5.28472</t>
  </si>
  <si>
    <t>10.3667-5.28472_S. haematobium</t>
  </si>
  <si>
    <t>10.3667-5.28472_S. mansoni</t>
  </si>
  <si>
    <t>10.3667-5.28472_S. intercalatum (guineensis)</t>
  </si>
  <si>
    <t>10.3903-5.29444</t>
  </si>
  <si>
    <t>10.3903-5.29444_S. haematobium</t>
  </si>
  <si>
    <t>10.3903-5.29444_S. mansoni</t>
  </si>
  <si>
    <t>10.3903-5.29444_S. intercalatum (guineensis)</t>
  </si>
  <si>
    <t>10.05-5.31667</t>
  </si>
  <si>
    <t>10.05-5.31667_S. intercalatum (guineensis)</t>
  </si>
  <si>
    <t>10.0167-5.325</t>
  </si>
  <si>
    <t>10.0167-5.325_S. haematobium</t>
  </si>
  <si>
    <t>10.0167-5.325_S. mansoni</t>
  </si>
  <si>
    <t>10.0167-5.325_S. intercalatum (guineensis)</t>
  </si>
  <si>
    <t>10.2292-5.325</t>
  </si>
  <si>
    <t>10.2292-5.325_S. haematobium</t>
  </si>
  <si>
    <t>10.2292-5.325_S. mansoni</t>
  </si>
  <si>
    <t>10.2292-5.325_S. intercalatum (guineensis)</t>
  </si>
  <si>
    <t>14.0542-5.32917</t>
  </si>
  <si>
    <t>14.0542-5.32917_S. haematobium</t>
  </si>
  <si>
    <t>14.0542-5.32917_S. mansoni</t>
  </si>
  <si>
    <t>14.0542-5.32917_S. intercalatum (guineensis)</t>
  </si>
  <si>
    <t>12.2389-5.35833</t>
  </si>
  <si>
    <t>12.2389-5.35833_S. mansoni</t>
  </si>
  <si>
    <t>12.2389-5.35833_S. intercalatum (guineensis)</t>
  </si>
  <si>
    <t>10.4167-5.36667</t>
  </si>
  <si>
    <t>10.4167-5.36667_S. haematobium</t>
  </si>
  <si>
    <t>10.4167-5.36667_S. mansoni</t>
  </si>
  <si>
    <t>10.4167-5.36667_S. intercalatum (guineensis)</t>
  </si>
  <si>
    <t>10.3333-5.38889</t>
  </si>
  <si>
    <t>10.3333-5.38889_S. haematobium</t>
  </si>
  <si>
    <t>10.3333-5.38889_S. mansoni</t>
  </si>
  <si>
    <t>10.3333-5.38889_S. intercalatum (guineensis)</t>
  </si>
  <si>
    <t>10.8333-5.42917</t>
  </si>
  <si>
    <t>10.8333-5.42917_S. haematobium</t>
  </si>
  <si>
    <t>10.8333-5.42917_S. mansoni</t>
  </si>
  <si>
    <t>10.8333-5.42917_S. intercalatum (guineensis)</t>
  </si>
  <si>
    <t>9.98333-5.43333</t>
  </si>
  <si>
    <t>9.98333-5.43333_S. haematobium</t>
  </si>
  <si>
    <t>9.98333-5.43333_S. mansoni</t>
  </si>
  <si>
    <t>9.98333-5.43333_S. intercalatum (guineensis)</t>
  </si>
  <si>
    <t>10.0542-5.44444</t>
  </si>
  <si>
    <t>10.0542-5.44444_S. haematobium</t>
  </si>
  <si>
    <t>10.0542-5.44444_S. mansoni</t>
  </si>
  <si>
    <t>10.0542-5.44444_S. intercalatum (guineensis)</t>
  </si>
  <si>
    <t>10.4833-5.45</t>
  </si>
  <si>
    <t>10.4833-5.45_S. haematobium</t>
  </si>
  <si>
    <t>10.4833-5.45_S. mansoni</t>
  </si>
  <si>
    <t>10.4833-5.45_S. intercalatum (guineensis)</t>
  </si>
  <si>
    <t>10.2431-5.46528</t>
  </si>
  <si>
    <t>10.2431-5.46528_S. haematobium</t>
  </si>
  <si>
    <t>10.2431-5.46528_S. mansoni</t>
  </si>
  <si>
    <t>10.2431-5.46528_S. intercalatum (guineensis)</t>
  </si>
  <si>
    <t>10.4431-5.46944</t>
  </si>
  <si>
    <t>10.4431-5.46944_S. haematobium</t>
  </si>
  <si>
    <t>10.4431-5.46944_S. mansoni</t>
  </si>
  <si>
    <t>10.4431-5.46944_S. intercalatum (guineensis)</t>
  </si>
  <si>
    <t>10.2389-5.47083</t>
  </si>
  <si>
    <t>10.2389-5.47083_S. haematobium</t>
  </si>
  <si>
    <t>10.2389-5.47083_S. mansoni</t>
  </si>
  <si>
    <t>10.2389-5.47083_S. intercalatum (guineensis)</t>
  </si>
  <si>
    <t>10.1403-5.50417</t>
  </si>
  <si>
    <t>10.1403-5.50417_S. haematobium</t>
  </si>
  <si>
    <t>10.1403-5.50417_S. mansoni</t>
  </si>
  <si>
    <t>10.1403-5.50417_S. intercalatum (guineensis)</t>
  </si>
  <si>
    <t>10.6347-5.50694</t>
  </si>
  <si>
    <t>10.6347-5.50694_S. haematobium</t>
  </si>
  <si>
    <t>10.6347-5.50694_S. mansoni</t>
  </si>
  <si>
    <t>10.6347-5.50694_S. intercalatum (guineensis)</t>
  </si>
  <si>
    <t>10.2181-5.51111</t>
  </si>
  <si>
    <t>10.2181-5.51111_S. haematobium</t>
  </si>
  <si>
    <t>10.2181-5.51111_S. mansoni</t>
  </si>
  <si>
    <t>10.2181-5.51111_S. intercalatum (guineensis)</t>
  </si>
  <si>
    <t>14.1167-5.51667</t>
  </si>
  <si>
    <t>14.1167-5.51667_S. haematobium</t>
  </si>
  <si>
    <t>14.1167-5.51667_S. mansoni</t>
  </si>
  <si>
    <t>14.1167-5.51667_S. intercalatum (guineensis)</t>
  </si>
  <si>
    <t>10.2333-5.51667</t>
  </si>
  <si>
    <t>10.2333-5.51667_S. haematobium</t>
  </si>
  <si>
    <t>10.2333-5.51667_S. mansoni</t>
  </si>
  <si>
    <t>10.2333-5.51667_S. intercalatum (guineensis)</t>
  </si>
  <si>
    <t>12.4736-5.54778</t>
  </si>
  <si>
    <t>12.4736-5.54778_S. mansoni</t>
  </si>
  <si>
    <t>12.4736-5.54778_S. intercalatum (guineensis)</t>
  </si>
  <si>
    <t>10.1667-5.55</t>
  </si>
  <si>
    <t>10.1667-5.55_S. haematobium</t>
  </si>
  <si>
    <t>10.1667-5.55_S. mansoni</t>
  </si>
  <si>
    <t>10.1667-5.55_S. intercalatum (guineensis)</t>
  </si>
  <si>
    <t>13.8417-5.56944</t>
  </si>
  <si>
    <t>13.8417-5.56944_S. haematobium</t>
  </si>
  <si>
    <t>13.8417-5.56944_S. mansoni</t>
  </si>
  <si>
    <t>13.8417-5.56944_S. intercalatum (guineensis)</t>
  </si>
  <si>
    <t>14.0833-5.59167</t>
  </si>
  <si>
    <t>14.0833-5.59167_S. haematobium</t>
  </si>
  <si>
    <t>14.0833-5.59167_S. mansoni</t>
  </si>
  <si>
    <t>14.0833-5.59167_S. intercalatum (guineensis)</t>
  </si>
  <si>
    <t>10.2583-5.62361</t>
  </si>
  <si>
    <t>10.2583-5.62361_S. haematobium</t>
  </si>
  <si>
    <t>10.2583-5.62361_S. mansoni</t>
  </si>
  <si>
    <t>10.2583-5.62361_S. intercalatum (guineensis)</t>
  </si>
  <si>
    <t>10.7514-5.62639</t>
  </si>
  <si>
    <t>10.7514-5.62639_S. haematobium</t>
  </si>
  <si>
    <t>10.7514-5.62639_S. mansoni</t>
  </si>
  <si>
    <t>10.7514-5.62639_S. intercalatum (guineensis)</t>
  </si>
  <si>
    <t>14.3917-5.675</t>
  </si>
  <si>
    <t>14.3917-5.675_S. haematobium</t>
  </si>
  <si>
    <t>14.3917-5.675_S. mansoni</t>
  </si>
  <si>
    <t>14.3917-5.675_S. intercalatum (guineensis)</t>
  </si>
  <si>
    <t>10.35-5.7</t>
  </si>
  <si>
    <t>10.35-5.7_S. haematobium</t>
  </si>
  <si>
    <t>10.35-5.7_S. mansoni</t>
  </si>
  <si>
    <t>10.35-5.7_S. intercalatum (guineensis)</t>
  </si>
  <si>
    <t>10.4889-5.70556</t>
  </si>
  <si>
    <t>10.4889-5.70556_S. haematobium</t>
  </si>
  <si>
    <t>10.4889-5.70556_S. mansoni</t>
  </si>
  <si>
    <t>10.4889-5.70556_S. intercalatum (guineensis)</t>
  </si>
  <si>
    <t>11.1181-5.71528</t>
  </si>
  <si>
    <t>11.1181-5.71528_S. haematobium</t>
  </si>
  <si>
    <t>11.1181-5.71528_S. mansoni</t>
  </si>
  <si>
    <t>11.1181-5.71528_S. intercalatum (guineensis)</t>
  </si>
  <si>
    <t>10.9056-5.73333</t>
  </si>
  <si>
    <t>10.9056-5.73333_S. haematobium</t>
  </si>
  <si>
    <t>10.9056-5.73333_S. mansoni</t>
  </si>
  <si>
    <t>10.9056-5.73333_S. intercalatum (guineensis)</t>
  </si>
  <si>
    <t>14.4417-5.75</t>
  </si>
  <si>
    <t>14.4417-5.75_S. haematobium</t>
  </si>
  <si>
    <t>14.4417-5.75_S. mansoni</t>
  </si>
  <si>
    <t>14.4417-5.75_S. intercalatum (guineensis)</t>
  </si>
  <si>
    <t>14.5444-5.89167</t>
  </si>
  <si>
    <t>14.5444-5.89167_S. haematobium</t>
  </si>
  <si>
    <t>14.5444-5.89167_S. mansoni</t>
  </si>
  <si>
    <t>14.5444-5.89167_S. intercalatum (guineensis)</t>
  </si>
  <si>
    <t>11.2361-5.975</t>
  </si>
  <si>
    <t>11.2361-5.975_S. haematobium</t>
  </si>
  <si>
    <t>11.2361-5.975_S. mansoni</t>
  </si>
  <si>
    <t>11.2361-5.975_S. intercalatum (guineensis)</t>
  </si>
  <si>
    <t>14.3833-6.075</t>
  </si>
  <si>
    <t>14.3833-6.075_S. mansoni</t>
  </si>
  <si>
    <t>14.3833-6.075_S. intercalatum (guineensis)</t>
  </si>
  <si>
    <t>11.4889-6.08194</t>
  </si>
  <si>
    <t>11.4889-6.08194_S. haematobium</t>
  </si>
  <si>
    <t>11.4889-6.08194_S. mansoni</t>
  </si>
  <si>
    <t>11.4889-6.08194_S. intercalatum (guineensis)</t>
  </si>
  <si>
    <t>10.2903-6.275</t>
  </si>
  <si>
    <t>10.2903-6.275_S. haematobium</t>
  </si>
  <si>
    <t>10.2903-6.275_S. mansoni</t>
  </si>
  <si>
    <t>10.2903-6.275_S. intercalatum (guineensis)</t>
  </si>
  <si>
    <t>11.5792-6.29028</t>
  </si>
  <si>
    <t>11.5792-6.29028_S. haematobium</t>
  </si>
  <si>
    <t>11.5792-6.29028_S. mansoni</t>
  </si>
  <si>
    <t>11.5792-6.29028_S. intercalatum (guineensis)</t>
  </si>
  <si>
    <t>12.55-6.33333</t>
  </si>
  <si>
    <t>12.55-6.33333_S. mansoni</t>
  </si>
  <si>
    <t>12.55-6.33333_S. haematobium</t>
  </si>
  <si>
    <t>12.5583-6.35</t>
  </si>
  <si>
    <t>12.5583-6.35_S. mansoni</t>
  </si>
  <si>
    <t>12.5583-6.35_S. intercalatum (guineensis)</t>
  </si>
  <si>
    <t>14.325-6.375</t>
  </si>
  <si>
    <t>14.325-6.375_S. haematobium</t>
  </si>
  <si>
    <t>14.325-6.375_S. mansoni</t>
  </si>
  <si>
    <t>14.325-6.375_S. intercalatum (guineensis)</t>
  </si>
  <si>
    <t>14.3232-6.37643</t>
  </si>
  <si>
    <t>14.3232-6.37643_S. mansoni</t>
  </si>
  <si>
    <t>14.3232-6.37643_S. haematobium</t>
  </si>
  <si>
    <t>10.0819-6.38889</t>
  </si>
  <si>
    <t>10.0819-6.38889_S. haematobium</t>
  </si>
  <si>
    <t>10.0819-6.38889_S. mansoni</t>
  </si>
  <si>
    <t>10.0819-6.38889_S. intercalatum (guineensis)</t>
  </si>
  <si>
    <t>10.725-6.39861</t>
  </si>
  <si>
    <t>10.725-6.39861_S. haematobium</t>
  </si>
  <si>
    <t>10.725-6.39861_S. mansoni</t>
  </si>
  <si>
    <t>10.725-6.39861_S. intercalatum (guineensis)</t>
  </si>
  <si>
    <t>11.3222-6.40694</t>
  </si>
  <si>
    <t>11.3222-6.40694_S. haematobium</t>
  </si>
  <si>
    <t>11.3222-6.40694_S. mansoni</t>
  </si>
  <si>
    <t>11.3222-6.40694_S. intercalatum (guineensis)</t>
  </si>
  <si>
    <t>13.4-6.41667</t>
  </si>
  <si>
    <t>13.4-6.41667_S. mansoni</t>
  </si>
  <si>
    <t>13.4-6.41667_S. intercalatum (guineensis)</t>
  </si>
  <si>
    <t>10.7514-6.43472</t>
  </si>
  <si>
    <t>10.7514-6.43472_S. haematobium</t>
  </si>
  <si>
    <t>10.7514-6.43472_S. mansoni</t>
  </si>
  <si>
    <t>10.7514-6.43472_S. intercalatum (guineensis)</t>
  </si>
  <si>
    <t>12.6249-6.46314</t>
  </si>
  <si>
    <t>12.6249-6.46314_S. mansoni</t>
  </si>
  <si>
    <t>12.6249-6.46314_S. haematobium</t>
  </si>
  <si>
    <t>12.622-6.466</t>
  </si>
  <si>
    <t>12.622-6.466_S. mansoni</t>
  </si>
  <si>
    <t>12.6333-6.46667</t>
  </si>
  <si>
    <t>12.6333-6.46667_S. haematobium</t>
  </si>
  <si>
    <t>12.6333-6.46667_S. mansoni</t>
  </si>
  <si>
    <t>12.6333-6.46667_S. intercalatum (guineensis)</t>
  </si>
  <si>
    <t>10.7611-6.49861</t>
  </si>
  <si>
    <t>10.7611-6.49861_S. haematobium</t>
  </si>
  <si>
    <t>10.7611-6.49861_S. mansoni</t>
  </si>
  <si>
    <t>10.7611-6.49861_S. intercalatum (guineensis)</t>
  </si>
  <si>
    <t>11.55-6.5</t>
  </si>
  <si>
    <t>11.55-6.5_S. haematobium</t>
  </si>
  <si>
    <t>11.55-6.5_S. mansoni</t>
  </si>
  <si>
    <t>11.55-6.5_S. intercalatum (guineensis)</t>
  </si>
  <si>
    <t>14.2833-6.51667</t>
  </si>
  <si>
    <t>14.2833-6.51667_S. haematobium</t>
  </si>
  <si>
    <t>14.2833-6.51667_S. mansoni</t>
  </si>
  <si>
    <t>14.2833-6.51667_S. intercalatum (guineensis)</t>
  </si>
  <si>
    <t>14.2848-6.51801</t>
  </si>
  <si>
    <t>14.2848-6.51801_S. mansoni</t>
  </si>
  <si>
    <t>14.2848-6.51801_S. haematobium</t>
  </si>
  <si>
    <t>14.285-6.52</t>
  </si>
  <si>
    <t>14.285-6.52_S. mansoni</t>
  </si>
  <si>
    <t>10.4889-6.53472</t>
  </si>
  <si>
    <t>10.4889-6.53472_S. haematobium</t>
  </si>
  <si>
    <t>10.4889-6.53472_S. mansoni</t>
  </si>
  <si>
    <t>10.4889-6.53472_S. intercalatum (guineensis)</t>
  </si>
  <si>
    <t>12.25-6.58333</t>
  </si>
  <si>
    <t>12.25-6.58333_S. haematobium</t>
  </si>
  <si>
    <t>12.25-6.58333_S. mansoni</t>
  </si>
  <si>
    <t>12.25-6.58333_S. intercalatum (guineensis)</t>
  </si>
  <si>
    <t>10.3986-6.59722</t>
  </si>
  <si>
    <t>10.3986-6.59722_S. haematobium</t>
  </si>
  <si>
    <t>10.3986-6.59722_S. mansoni</t>
  </si>
  <si>
    <t>10.3986-6.59722_S. intercalatum (guineensis)</t>
  </si>
  <si>
    <t>13.0111-6.6064</t>
  </si>
  <si>
    <t>13.0111-6.6064_S. mansoni</t>
  </si>
  <si>
    <t>13.0111-6.6064_S. haematobium</t>
  </si>
  <si>
    <t>13.0125-6.60833</t>
  </si>
  <si>
    <t>13.0125-6.60833_S. haematobium</t>
  </si>
  <si>
    <t>13.0125-6.60833_S. mansoni</t>
  </si>
  <si>
    <t>13.0125-6.60833_S. intercalatum (guineensis)</t>
  </si>
  <si>
    <t>13.9-6.69167</t>
  </si>
  <si>
    <t>13.9-6.69167_S. haematobium</t>
  </si>
  <si>
    <t>13.9-6.69167_S. mansoni</t>
  </si>
  <si>
    <t>13.9-6.69167_S. intercalatum (guineensis)</t>
  </si>
  <si>
    <t>12.6167-6.7</t>
  </si>
  <si>
    <t>12.6167-6.7_S. haematobium</t>
  </si>
  <si>
    <t>12.6167-6.7_S. mansoni</t>
  </si>
  <si>
    <t>12.6167-6.7_S. intercalatum (guineensis)</t>
  </si>
  <si>
    <t>14.4667-6.73333</t>
  </si>
  <si>
    <t>14.4667-6.73333_S. haematobium</t>
  </si>
  <si>
    <t>14.4667-6.73333_S. mansoni</t>
  </si>
  <si>
    <t>14.4667-6.73333_S. intercalatum (guineensis)</t>
  </si>
  <si>
    <t>11.8-6.73333</t>
  </si>
  <si>
    <t>11.8-6.73333_S. haematobium</t>
  </si>
  <si>
    <t>11.8-6.73333_S. mansoni</t>
  </si>
  <si>
    <t>11.8-6.73333_S. intercalatum (guineensis)</t>
  </si>
  <si>
    <t>14.5667-6.7375</t>
  </si>
  <si>
    <t>14.5667-6.7375_S. haematobium</t>
  </si>
  <si>
    <t>14.5667-6.7375_S. mansoni</t>
  </si>
  <si>
    <t>14.5667-6.7375_S. intercalatum (guineensis)</t>
  </si>
  <si>
    <t>13.1125-6.75</t>
  </si>
  <si>
    <t>13.1125-6.75_S. haematobium</t>
  </si>
  <si>
    <t>13.1125-6.75_S. mansoni</t>
  </si>
  <si>
    <t>13.1125-6.75_S. intercalatum (guineensis)</t>
  </si>
  <si>
    <t>12-6.78333</t>
  </si>
  <si>
    <t>12-6.78333_S. mansoni</t>
  </si>
  <si>
    <t>12-6.78333_S. intercalatum (guineensis)</t>
  </si>
  <si>
    <t>14.7-6.83333</t>
  </si>
  <si>
    <t>14.7-6.83333_S. haematobium</t>
  </si>
  <si>
    <t>14.7-6.83333_S. mansoni</t>
  </si>
  <si>
    <t>14.7-6.83333_S. intercalatum (guineensis)</t>
  </si>
  <si>
    <t>14.4056-6.87222</t>
  </si>
  <si>
    <t>14.4056-6.87222_S. haematobium</t>
  </si>
  <si>
    <t>14.4056-6.87222_S. mansoni</t>
  </si>
  <si>
    <t>14.4056-6.87222_S. intercalatum (guineensis)</t>
  </si>
  <si>
    <t>14.4667-6.91667</t>
  </si>
  <si>
    <t>14.4667-6.91667_S. haematobium</t>
  </si>
  <si>
    <t>14.4667-6.91667_S. mansoni</t>
  </si>
  <si>
    <t>14.4667-6.91667_S. intercalatum (guineensis)</t>
  </si>
  <si>
    <t>12.8694-6.96806</t>
  </si>
  <si>
    <t>12.8694-6.96806_S. mansoni</t>
  </si>
  <si>
    <t>12.8694-6.96806_S. haematobium</t>
  </si>
  <si>
    <t>12.6667-7.01111</t>
  </si>
  <si>
    <t>12.6667-7.01111_S. haematobium</t>
  </si>
  <si>
    <t>12.6667-7.01111_S. mansoni</t>
  </si>
  <si>
    <t>12.6667-7.01111_S. intercalatum (guineensis)</t>
  </si>
  <si>
    <t>14.55-7.03333</t>
  </si>
  <si>
    <t>14.55-7.03333_S. haematobium</t>
  </si>
  <si>
    <t>14.55-7.03333_S. mansoni</t>
  </si>
  <si>
    <t>14.55-7.03333_S. intercalatum (guineensis)</t>
  </si>
  <si>
    <t>13.7833-7.07222</t>
  </si>
  <si>
    <t>13.7833-7.07222_S. haematobium</t>
  </si>
  <si>
    <t>13.7833-7.07222_S. mansoni</t>
  </si>
  <si>
    <t>13.7833-7.07222_S. intercalatum (guineensis)</t>
  </si>
  <si>
    <t>11.9833-7.075</t>
  </si>
  <si>
    <t>11.9833-7.075_S. haematobium</t>
  </si>
  <si>
    <t>11.9833-7.075_S. mansoni</t>
  </si>
  <si>
    <t>11.9833-7.075_S. intercalatum (guineensis)</t>
  </si>
  <si>
    <t>12.4756-7.09686</t>
  </si>
  <si>
    <t>12.4756-7.09686_S. mansoni</t>
  </si>
  <si>
    <t>12.4756-7.09686_S. haematobium</t>
  </si>
  <si>
    <t>12.4778-7.1</t>
  </si>
  <si>
    <t>12.4778-7.1_S. haematobium</t>
  </si>
  <si>
    <t>12.4778-7.1_S. mansoni</t>
  </si>
  <si>
    <t>12.4778-7.1_S. intercalatum (guineensis)</t>
  </si>
  <si>
    <t>14.1083-7.18889</t>
  </si>
  <si>
    <t>14.1083-7.18889_S. haematobium</t>
  </si>
  <si>
    <t>14.1083-7.18889_S. mansoni</t>
  </si>
  <si>
    <t>14.1083-7.18889_S. intercalatum (guineensis)</t>
  </si>
  <si>
    <t>12.5644-7.20047</t>
  </si>
  <si>
    <t>12.5644-7.20047_S. mansoni</t>
  </si>
  <si>
    <t>12.5644-7.20047_S. haematobium</t>
  </si>
  <si>
    <t>14.1667-7.21667</t>
  </si>
  <si>
    <t>14.1667-7.21667_S. mansoni</t>
  </si>
  <si>
    <t>13.2833-7.28333</t>
  </si>
  <si>
    <t>13.2833-7.28333_S. haematobium</t>
  </si>
  <si>
    <t>13.2833-7.28333_S. mansoni</t>
  </si>
  <si>
    <t>13.2833-7.28333_S. intercalatum (guineensis)</t>
  </si>
  <si>
    <t>13.5833-7.31667</t>
  </si>
  <si>
    <t>13.5833-7.31667_S. haematobium</t>
  </si>
  <si>
    <t>13.5833-7.31667_S. mansoni</t>
  </si>
  <si>
    <t>13.5833-7.31667_S. intercalatum (guineensis)</t>
  </si>
  <si>
    <t>13.1222-7.34167</t>
  </si>
  <si>
    <t>13.1222-7.34167_S. haematobium</t>
  </si>
  <si>
    <t>13.1222-7.34167_S. mansoni</t>
  </si>
  <si>
    <t>13.1222-7.34167_S. intercalatum (guineensis)</t>
  </si>
  <si>
    <t>15.3-7.36667</t>
  </si>
  <si>
    <t>15.3-7.36667_S. haematobium</t>
  </si>
  <si>
    <t>15.3-7.36667_S. mansoni</t>
  </si>
  <si>
    <t>15.3-7.36667_S. intercalatum (guineensis)</t>
  </si>
  <si>
    <t>12.647-7.368</t>
  </si>
  <si>
    <t>12.647-7.368_S. mansoni</t>
  </si>
  <si>
    <t>12.6542-7.37487</t>
  </si>
  <si>
    <t>12.6542-7.37487_S. mansoni</t>
  </si>
  <si>
    <t>12.6542-7.37487_S. haematobium</t>
  </si>
  <si>
    <t>12.6333-7.38333</t>
  </si>
  <si>
    <t>12.6333-7.38333_S. haematobium</t>
  </si>
  <si>
    <t>12.6333-7.38333_S. mansoni</t>
  </si>
  <si>
    <t>12.6333-7.38333_S. intercalatum (guineensis)</t>
  </si>
  <si>
    <t>14.701-7.4</t>
  </si>
  <si>
    <t>14.701-7.4_S. haematobium</t>
  </si>
  <si>
    <t>12.4667-7.42778</t>
  </si>
  <si>
    <t>12.4667-7.42778_S. mansoni</t>
  </si>
  <si>
    <t>12.4667-7.42778_S. intercalatum (guineensis)</t>
  </si>
  <si>
    <t>13.8333-7.51667</t>
  </si>
  <si>
    <t>13.8333-7.51667_S. haematobium</t>
  </si>
  <si>
    <t>13.8333-7.51667_S. mansoni</t>
  </si>
  <si>
    <t>13.8333-7.51667_S. intercalatum (guineensis)</t>
  </si>
  <si>
    <t>12.3278-7.66111</t>
  </si>
  <si>
    <t>12.3278-7.66111_S. haematobium</t>
  </si>
  <si>
    <t>12.3278-7.66111_S. mansoni</t>
  </si>
  <si>
    <t>12.3278-7.66111_S. intercalatum (guineensis)</t>
  </si>
  <si>
    <t>15.3611-7.77222</t>
  </si>
  <si>
    <t>15.3611-7.77222_S. haematobium</t>
  </si>
  <si>
    <t>15.3611-7.77222_S. mansoni</t>
  </si>
  <si>
    <t>15.3611-7.77222_S. intercalatum (guineensis)</t>
  </si>
  <si>
    <t>15.0083-7.79167</t>
  </si>
  <si>
    <t>15.0083-7.79167_S. haematobium</t>
  </si>
  <si>
    <t>15.0083-7.79167_S. mansoni</t>
  </si>
  <si>
    <t>15.0083-7.79167_S. intercalatum (guineensis)</t>
  </si>
  <si>
    <t>13.5833-7.81667</t>
  </si>
  <si>
    <t>13.5833-7.81667_S. haematobium</t>
  </si>
  <si>
    <t>13.5833-7.81667_S. mansoni</t>
  </si>
  <si>
    <t>13.5833-7.81667_S. intercalatum (guineensis)</t>
  </si>
  <si>
    <t>12.4944-7.82778</t>
  </si>
  <si>
    <t>12.4944-7.82778_S. haematobium</t>
  </si>
  <si>
    <t>12.4944-7.82778_S. mansoni</t>
  </si>
  <si>
    <t>12.4944-7.82778_S. intercalatum (guineensis)</t>
  </si>
  <si>
    <t>13.6-7.85833</t>
  </si>
  <si>
    <t>13.6-7.85833_S. haematobium</t>
  </si>
  <si>
    <t>13.6-7.85833_S. mansoni</t>
  </si>
  <si>
    <t>13.6-7.85833_S. intercalatum (guineensis)</t>
  </si>
  <si>
    <t>13.5833-8.01667</t>
  </si>
  <si>
    <t>13.5833-8.01667_S. haematobium</t>
  </si>
  <si>
    <t>13.5833-8.01667_S. mansoni</t>
  </si>
  <si>
    <t>13.5833-8.01667_S. intercalatum (guineensis)</t>
  </si>
  <si>
    <t>13.5778-8.11667</t>
  </si>
  <si>
    <t>13.5778-8.11667_S. haematobium</t>
  </si>
  <si>
    <t>13.5778-8.11667_S. mansoni</t>
  </si>
  <si>
    <t>13.5778-8.11667_S. intercalatum (guineensis)</t>
  </si>
  <si>
    <t>14.2722-8.38889</t>
  </si>
  <si>
    <t>14.2722-8.38889_S. haematobium</t>
  </si>
  <si>
    <t>14.2722-8.38889_S. mansoni</t>
  </si>
  <si>
    <t>14.2722-8.38889_S. intercalatum (guineensis)</t>
  </si>
  <si>
    <t>14.1667-8.4</t>
  </si>
  <si>
    <t>14.1667-8.4_S. haematobium</t>
  </si>
  <si>
    <t>14.1667-8.4_S. mansoni</t>
  </si>
  <si>
    <t>14.1667-8.4_S. intercalatum (guineensis)</t>
  </si>
  <si>
    <t>13.9611-8.4</t>
  </si>
  <si>
    <t>13.9611-8.4_S. haematobium</t>
  </si>
  <si>
    <t>13.9611-8.4_S. mansoni</t>
  </si>
  <si>
    <t>13.9611-8.4_S. intercalatum (guineensis)</t>
  </si>
  <si>
    <t>13.249-8.417</t>
  </si>
  <si>
    <t>13.249-8.417_S. haematobium</t>
  </si>
  <si>
    <t>13.284-8.451</t>
  </si>
  <si>
    <t>13.284-8.451_S. haematobium</t>
  </si>
  <si>
    <t>13.243-8.47</t>
  </si>
  <si>
    <t>13.243-8.47_S. haematobium</t>
  </si>
  <si>
    <t>13.2417-8.475</t>
  </si>
  <si>
    <t>13.2417-8.475_S. haematobium</t>
  </si>
  <si>
    <t>13.2417-8.475_S. mansoni</t>
  </si>
  <si>
    <t>13.2417-8.475_S. intercalatum (guineensis)</t>
  </si>
  <si>
    <t>12.675-8.55833</t>
  </si>
  <si>
    <t>12.675-8.55833_S. haematobium</t>
  </si>
  <si>
    <t>12.675-8.55833_S. mansoni</t>
  </si>
  <si>
    <t>12.675-8.55833_S. intercalatum (guineensis)</t>
  </si>
  <si>
    <t>13.0833-8.61667</t>
  </si>
  <si>
    <t>13.0833-8.61667_S. haematobium</t>
  </si>
  <si>
    <t>13.0833-8.61667_S. mansoni</t>
  </si>
  <si>
    <t>13.0833-8.61667_S. intercalatum (guineensis)</t>
  </si>
  <si>
    <t>14.1833-8.67222</t>
  </si>
  <si>
    <t>14.1833-8.67222_S. haematobium</t>
  </si>
  <si>
    <t>14.1833-8.67222_S. mansoni</t>
  </si>
  <si>
    <t>14.1833-8.67222_S. intercalatum (guineensis)</t>
  </si>
  <si>
    <t>14.15-8.75833</t>
  </si>
  <si>
    <t>14.15-8.75833_S. haematobium</t>
  </si>
  <si>
    <t>14.15-8.75833_S. mansoni</t>
  </si>
  <si>
    <t>14.15-8.75833_S. intercalatum (guineensis)</t>
  </si>
  <si>
    <t>13.179-9.019</t>
  </si>
  <si>
    <t>13.179-9.019_S. haematobium</t>
  </si>
  <si>
    <t>14.2278-9.02222</t>
  </si>
  <si>
    <t>14.2278-9.02222_S. haematobium</t>
  </si>
  <si>
    <t>14.2278-9.02222_S. mansoni</t>
  </si>
  <si>
    <t>14.2278-9.02222_S. intercalatum (guineensis)</t>
  </si>
  <si>
    <t>13.6946-9.06996</t>
  </si>
  <si>
    <t>13.6946-9.06996_S. haematobium</t>
  </si>
  <si>
    <t>13.6942-9.07105</t>
  </si>
  <si>
    <t>13.6942-9.07105_S. mansoni</t>
  </si>
  <si>
    <t>13.6942-9.07105_S. haematobium</t>
  </si>
  <si>
    <t>13.7204-9.09785</t>
  </si>
  <si>
    <t>13.7204-9.09785_S. mansoni</t>
  </si>
  <si>
    <t>13.7204-9.09785_S. haematobium</t>
  </si>
  <si>
    <t>13.7167-9.11667</t>
  </si>
  <si>
    <t>13.7167-9.11667_S. mansoni</t>
  </si>
  <si>
    <t>13.7167-9.11667_S. haematobium</t>
  </si>
  <si>
    <t>13.6783-9.12222</t>
  </si>
  <si>
    <t>13.6783-9.12222_S. mansoni</t>
  </si>
  <si>
    <t>13.6783-9.12222_S. haematobium</t>
  </si>
  <si>
    <t>13.7467-9.125</t>
  </si>
  <si>
    <t>13.7467-9.125_S. mansoni</t>
  </si>
  <si>
    <t>13.7467-9.125_S. haematobium</t>
  </si>
  <si>
    <t>13.7778-9.13167</t>
  </si>
  <si>
    <t>13.7778-9.13167_S. mansoni</t>
  </si>
  <si>
    <t>13.7778-9.13167_S. haematobium</t>
  </si>
  <si>
    <t>13.7167-9.13333</t>
  </si>
  <si>
    <t>13.7167-9.13333_S. mansoni</t>
  </si>
  <si>
    <t>13.7167-9.13333_S. haematobium</t>
  </si>
  <si>
    <t>13.7342-9.14722</t>
  </si>
  <si>
    <t>13.7342-9.14722_S. mansoni</t>
  </si>
  <si>
    <t>13.7342-9.14722_S. haematobium</t>
  </si>
  <si>
    <t>13.6767-9.15417</t>
  </si>
  <si>
    <t>13.6767-9.15417_S. mansoni</t>
  </si>
  <si>
    <t>13.6767-9.15417_S. haematobium</t>
  </si>
  <si>
    <t>13.6583-9.20833</t>
  </si>
  <si>
    <t>13.6583-9.20833_S. mansoni</t>
  </si>
  <si>
    <t>13.6583-9.20833_S. haematobium</t>
  </si>
  <si>
    <t>13.4389-9.22778</t>
  </si>
  <si>
    <t>13.4389-9.22778_S. haematobium</t>
  </si>
  <si>
    <t>13.4389-9.22778_S. mansoni</t>
  </si>
  <si>
    <t>13.4389-9.22778_S. intercalatum (guineensis)</t>
  </si>
  <si>
    <t>13.8-9.251</t>
  </si>
  <si>
    <t>13.8-9.251_S. haematobium</t>
  </si>
  <si>
    <t>13.4-9.3</t>
  </si>
  <si>
    <t>13.4-9.3_S. haematobium</t>
  </si>
  <si>
    <t>13.4-9.3_S. mansoni</t>
  </si>
  <si>
    <t>13.4-9.3_S. intercalatum (guineensis)</t>
  </si>
  <si>
    <t>13.883-9.313</t>
  </si>
  <si>
    <t>13.883-9.313_S. haematobium</t>
  </si>
  <si>
    <t>13.8667-9.31667</t>
  </si>
  <si>
    <t>13.8667-9.31667_S. haematobium</t>
  </si>
  <si>
    <t>13.8667-9.31667_S. mansoni</t>
  </si>
  <si>
    <t>13.8667-9.31667_S. intercalatum (guineensis)</t>
  </si>
  <si>
    <t>13.6167-9.33333</t>
  </si>
  <si>
    <t>13.6167-9.33333_S. haematobium</t>
  </si>
  <si>
    <t>13.6167-9.33333_S. mansoni</t>
  </si>
  <si>
    <t>13.6167-9.33333_S. intercalatum (guineensis)</t>
  </si>
  <si>
    <t>13.5-9.38333</t>
  </si>
  <si>
    <t>13.5-9.38333_S. haematobium</t>
  </si>
  <si>
    <t>13.5-9.38333_S. mansoni</t>
  </si>
  <si>
    <t>13.5-9.38333_S. intercalatum (guineensis)</t>
  </si>
  <si>
    <t>13.5833-9.43333</t>
  </si>
  <si>
    <t>13.5833-9.43333_S. haematobium</t>
  </si>
  <si>
    <t>13.5833-9.43333_S. mansoni</t>
  </si>
  <si>
    <t>13.5833-9.43333_S. intercalatum (guineensis)</t>
  </si>
  <si>
    <t>13.367-9.434</t>
  </si>
  <si>
    <t>13.367-9.434_S. haematobium</t>
  </si>
  <si>
    <t>14.0617-9.5304</t>
  </si>
  <si>
    <t>14.0617-9.5304_S. haematobium</t>
  </si>
  <si>
    <t>14.0667-9.53333</t>
  </si>
  <si>
    <t>14.0667-9.53333_S. haematobium</t>
  </si>
  <si>
    <t>14.0667-9.53333_S. mansoni</t>
  </si>
  <si>
    <t>14.0667-9.53333_S. intercalatum (guineensis)</t>
  </si>
  <si>
    <t>13.7667-9.55833</t>
  </si>
  <si>
    <t>13.7667-9.55833_S. haematobium</t>
  </si>
  <si>
    <t>13.7667-9.55833_S. mansoni</t>
  </si>
  <si>
    <t>13.7667-9.55833_S. intercalatum (guineensis)</t>
  </si>
  <si>
    <t>13.9204-9.63581</t>
  </si>
  <si>
    <t>13.9204-9.63581_S. haematobium</t>
  </si>
  <si>
    <t>13.3722-9.67222</t>
  </si>
  <si>
    <t>13.3722-9.67222_S. haematobium</t>
  </si>
  <si>
    <t>13.85-9.68333</t>
  </si>
  <si>
    <t>13.85-9.68333_S. haematobium</t>
  </si>
  <si>
    <t>13.85-9.68333_S. mansoni</t>
  </si>
  <si>
    <t>13.85-9.68333_S. intercalatum (guineensis)</t>
  </si>
  <si>
    <t>13.55-9.71111</t>
  </si>
  <si>
    <t>13.55-9.71111_S. haematobium</t>
  </si>
  <si>
    <t>13.55-9.71111_S. mansoni</t>
  </si>
  <si>
    <t>13.55-9.71111_S. intercalatum (guineensis)</t>
  </si>
  <si>
    <t>13.55-9.718</t>
  </si>
  <si>
    <t>13.55-9.718_S. haematobium</t>
  </si>
  <si>
    <t>13.9667-9.75</t>
  </si>
  <si>
    <t>13.9667-9.75_S. haematobium</t>
  </si>
  <si>
    <t>13.9667-9.75_S. mansoni</t>
  </si>
  <si>
    <t>13.9667-9.75_S. intercalatum (guineensis)</t>
  </si>
  <si>
    <t>14.1167-9.89444</t>
  </si>
  <si>
    <t>14.1167-9.89444_S. haematobium</t>
  </si>
  <si>
    <t>14.1167-9.89444_S. mansoni</t>
  </si>
  <si>
    <t>14.1167-9.89444_S. intercalatum (guineensis)</t>
  </si>
  <si>
    <t>13.95-9.93333</t>
  </si>
  <si>
    <t>13.95-9.93333_S. haematobium</t>
  </si>
  <si>
    <t>13.95-9.93333_S. mansoni</t>
  </si>
  <si>
    <t>13.95-9.93333_S. intercalatum (guineensis)</t>
  </si>
  <si>
    <t>14.8223-9.94588</t>
  </si>
  <si>
    <t>14.8223-9.94588_S. haematobium</t>
  </si>
  <si>
    <t>13.6167-9.96667</t>
  </si>
  <si>
    <t>13.6167-9.96667_S. haematobium</t>
  </si>
  <si>
    <t>13.6167-9.96667_S. mansoni</t>
  </si>
  <si>
    <t>13.6167-9.96667_S. intercalatum (guineensis)</t>
  </si>
  <si>
    <t>14.8509-9.96998</t>
  </si>
  <si>
    <t>14.8509-9.96998_S. haematobium</t>
  </si>
  <si>
    <t>13.5222-9.98333</t>
  </si>
  <si>
    <t>13.5222-9.98333_S. haematobium</t>
  </si>
  <si>
    <t>13.5222-9.98333_S. mansoni</t>
  </si>
  <si>
    <t>13.5222-9.98333_S. intercalatum (guineensis)</t>
  </si>
  <si>
    <t>15.055-9.98588</t>
  </si>
  <si>
    <t>15.055-9.98588_S. haematobium</t>
  </si>
  <si>
    <t>15.1683-9.99602</t>
  </si>
  <si>
    <t>15.1683-9.99602_S. haematobium</t>
  </si>
  <si>
    <t>15.115-9.998</t>
  </si>
  <si>
    <t>15.115-9.998_S. haematobium</t>
  </si>
  <si>
    <t>15.4167-10</t>
  </si>
  <si>
    <t>15.4167-10_S. haematobium</t>
  </si>
  <si>
    <t>15.4167-10_S. mansoni</t>
  </si>
  <si>
    <t>15.4167-10_S. intercalatum (guineensis)</t>
  </si>
  <si>
    <t>15.4186-10.0002</t>
  </si>
  <si>
    <t>15.4186-10.0002_S. haematobium</t>
  </si>
  <si>
    <t>15.0259-10.0069</t>
  </si>
  <si>
    <t>15.0259-10.0069_S. haematobium</t>
  </si>
  <si>
    <t>15.1343-10.0085</t>
  </si>
  <si>
    <t>15.1343-10.0085_S. haematobium</t>
  </si>
  <si>
    <t>15.0333-10.0167</t>
  </si>
  <si>
    <t>15.0333-10.0167_S. haematobium</t>
  </si>
  <si>
    <t>15.0333-10.0167_S. mansoni</t>
  </si>
  <si>
    <t>15.0333-10.0167_S. intercalatum (guineensis)</t>
  </si>
  <si>
    <t>15.0791-10.0199</t>
  </si>
  <si>
    <t>15.0791-10.0199_S. haematobium</t>
  </si>
  <si>
    <t>14.8911-10.0284</t>
  </si>
  <si>
    <t>14.8911-10.0284_S. haematobium</t>
  </si>
  <si>
    <t>15.272-10.0311</t>
  </si>
  <si>
    <t>15.272-10.0311_S. haematobium</t>
  </si>
  <si>
    <t>15.4095-10.0344</t>
  </si>
  <si>
    <t>15.4095-10.0344_S. haematobium</t>
  </si>
  <si>
    <t>15.1556-10.0359</t>
  </si>
  <si>
    <t>15.1556-10.0359_S. haematobium</t>
  </si>
  <si>
    <t>14.9757-10.0439</t>
  </si>
  <si>
    <t>14.9757-10.0439_S. haematobium</t>
  </si>
  <si>
    <t>14.5292-10.0468</t>
  </si>
  <si>
    <t>14.5292-10.0468_S. haematobium</t>
  </si>
  <si>
    <t>14.9278-10.0472</t>
  </si>
  <si>
    <t>14.9278-10.0472_S. haematobium</t>
  </si>
  <si>
    <t>14.9278-10.0472_S. mansoni</t>
  </si>
  <si>
    <t>14.9278-10.0472_S. intercalatum (guineensis)</t>
  </si>
  <si>
    <t>14.9778-10.0475</t>
  </si>
  <si>
    <t>14.9778-10.0475_S. haematobium</t>
  </si>
  <si>
    <t>14.271-10.0492</t>
  </si>
  <si>
    <t>14.271-10.0492_S. haematobium</t>
  </si>
  <si>
    <t>14.532-10.05</t>
  </si>
  <si>
    <t>14.532-10.05_S. mansoni</t>
  </si>
  <si>
    <t>15.1833-10.05</t>
  </si>
  <si>
    <t>15.1833-10.05_S. haematobium</t>
  </si>
  <si>
    <t>14.9259-10.0502</t>
  </si>
  <si>
    <t>14.9259-10.0502_S. haematobium</t>
  </si>
  <si>
    <t>14.525-10.0528</t>
  </si>
  <si>
    <t>14.525-10.0528_S. haematobium</t>
  </si>
  <si>
    <t>14.525-10.0528_S. mansoni</t>
  </si>
  <si>
    <t>14.525-10.0528_S. intercalatum (guineensis)</t>
  </si>
  <si>
    <t>15.2278-10.0611</t>
  </si>
  <si>
    <t>15.2278-10.0611_S. haematobium</t>
  </si>
  <si>
    <t>15.2278-10.0611_S. mansoni</t>
  </si>
  <si>
    <t>15.2278-10.0611_S. intercalatum (guineensis)</t>
  </si>
  <si>
    <t>15.2599-10.0717</t>
  </si>
  <si>
    <t>15.2599-10.0717_S. haematobium</t>
  </si>
  <si>
    <t>14.9556-10.0722</t>
  </si>
  <si>
    <t>14.9556-10.0722_S. haematobium</t>
  </si>
  <si>
    <t>15.0244-10.0727</t>
  </si>
  <si>
    <t>15.0244-10.0727_S. haematobium</t>
  </si>
  <si>
    <t>14.15-10.075</t>
  </si>
  <si>
    <t>14.15-10.075_S. haematobium</t>
  </si>
  <si>
    <t>14.15-10.075_S. mansoni</t>
  </si>
  <si>
    <t>14.15-10.075_S. intercalatum (guineensis)</t>
  </si>
  <si>
    <t>14.4389-10.0778</t>
  </si>
  <si>
    <t>14.4389-10.0778_S. haematobium</t>
  </si>
  <si>
    <t>14.4389-10.0778_S. mansoni</t>
  </si>
  <si>
    <t>14.4389-10.0778_S. intercalatum (guineensis)</t>
  </si>
  <si>
    <t>13.5111-10.0889</t>
  </si>
  <si>
    <t>13.5111-10.0889_S. haematobium</t>
  </si>
  <si>
    <t>13.5111-10.0889_S. mansoni</t>
  </si>
  <si>
    <t>13.5111-10.0889_S. intercalatum (guineensis)</t>
  </si>
  <si>
    <t>14.9894-10.0904</t>
  </si>
  <si>
    <t>14.9894-10.0904_S. haematobium</t>
  </si>
  <si>
    <t>14.683-10.101</t>
  </si>
  <si>
    <t>14.683-10.101_S. haematobium</t>
  </si>
  <si>
    <t>14.4389-10.1028</t>
  </si>
  <si>
    <t>14.4389-10.1028_S. haematobium</t>
  </si>
  <si>
    <t>14.4389-10.1028_S. mansoni</t>
  </si>
  <si>
    <t>14.4389-10.1028_S. intercalatum (guineensis)</t>
  </si>
  <si>
    <t>14.9722-10.1056</t>
  </si>
  <si>
    <t>14.9722-10.1056_S. haematobium</t>
  </si>
  <si>
    <t>14.9722-10.1056_S. mansoni</t>
  </si>
  <si>
    <t>14.9722-10.1056_S. intercalatum (guineensis)</t>
  </si>
  <si>
    <t>14.966-10.115</t>
  </si>
  <si>
    <t>14.966-10.115_S. haematobium</t>
  </si>
  <si>
    <t>14.9711-10.1162</t>
  </si>
  <si>
    <t>14.9711-10.1162_S. haematobium</t>
  </si>
  <si>
    <t>14.882-10.12</t>
  </si>
  <si>
    <t>14.882-10.12_S. haematobium</t>
  </si>
  <si>
    <t>15.0757-10.1203</t>
  </si>
  <si>
    <t>15.0757-10.1203_S. haematobium</t>
  </si>
  <si>
    <t>14.71-10.132</t>
  </si>
  <si>
    <t>14.71-10.132_S. haematobium</t>
  </si>
  <si>
    <t>13.7111-10.1333</t>
  </si>
  <si>
    <t>13.7111-10.1333_S. haematobium</t>
  </si>
  <si>
    <t>13.7111-10.1333_S. mansoni</t>
  </si>
  <si>
    <t>13.7111-10.1333_S. intercalatum (guineensis)</t>
  </si>
  <si>
    <t>14.8943-10.1441</t>
  </si>
  <si>
    <t>14.8943-10.1441_S. haematobium</t>
  </si>
  <si>
    <t>14.8944-10.1444</t>
  </si>
  <si>
    <t>14.8944-10.1444_S. haematobium</t>
  </si>
  <si>
    <t>14.8944-10.1444_S. mansoni</t>
  </si>
  <si>
    <t>14.8944-10.1444_S. intercalatum (guineensis)</t>
  </si>
  <si>
    <t>13.45-10.15</t>
  </si>
  <si>
    <t>13.45-10.15_S. haematobium</t>
  </si>
  <si>
    <t>13.45-10.15_S. mansoni</t>
  </si>
  <si>
    <t>13.45-10.15_S. intercalatum (guineensis)</t>
  </si>
  <si>
    <t>15.2232-10.1601</t>
  </si>
  <si>
    <t>15.2232-10.1601_S. haematobium</t>
  </si>
  <si>
    <t>13.9-10.1667</t>
  </si>
  <si>
    <t>13.9-10.1667_S. haematobium</t>
  </si>
  <si>
    <t>13.9-10.1667_S. mansoni</t>
  </si>
  <si>
    <t>13.9-10.1667_S. intercalatum (guineensis)</t>
  </si>
  <si>
    <t>14.55-10.1667</t>
  </si>
  <si>
    <t>14.55-10.1667_S. haematobium</t>
  </si>
  <si>
    <t>14.55-10.1667_S. mansoni</t>
  </si>
  <si>
    <t>14.55-10.1667_S. intercalatum (guineensis)</t>
  </si>
  <si>
    <t>14.3354-10.169</t>
  </si>
  <si>
    <t>14.3354-10.169_S. haematobium</t>
  </si>
  <si>
    <t>14.9506-10.1706</t>
  </si>
  <si>
    <t>14.9506-10.1706_S. haematobium</t>
  </si>
  <si>
    <t>14.833-10.183</t>
  </si>
  <si>
    <t>14.833-10.183_S. haematobium</t>
  </si>
  <si>
    <t>15.0954-10.1926</t>
  </si>
  <si>
    <t>15.0954-10.1926_S. haematobium</t>
  </si>
  <si>
    <t>14.1778-10.199</t>
  </si>
  <si>
    <t>14.1778-10.199_S. haematobium</t>
  </si>
  <si>
    <t>14.8611-10.2111</t>
  </si>
  <si>
    <t>14.8611-10.2111_S. haematobium</t>
  </si>
  <si>
    <t>14.8611-10.2111_S. mansoni</t>
  </si>
  <si>
    <t>14.8611-10.2111_S. intercalatum (guineensis)</t>
  </si>
  <si>
    <t>14.7889-10.2167</t>
  </si>
  <si>
    <t>14.7889-10.2167_S. haematobium</t>
  </si>
  <si>
    <t>14.7889-10.2167_S. mansoni</t>
  </si>
  <si>
    <t>14.7889-10.2167_S. intercalatum (guineensis)</t>
  </si>
  <si>
    <t>14.8167-10.225</t>
  </si>
  <si>
    <t>14.8167-10.225_S. haematobium</t>
  </si>
  <si>
    <t>14.8167-10.225_S. mansoni</t>
  </si>
  <si>
    <t>14.8167-10.225_S. intercalatum (guineensis)</t>
  </si>
  <si>
    <t>14.55-10.2278</t>
  </si>
  <si>
    <t>14.55-10.2278_S. haematobium</t>
  </si>
  <si>
    <t>14.55-10.2278_S. mansoni</t>
  </si>
  <si>
    <t>14.55-10.2278_S. intercalatum (guineensis)</t>
  </si>
  <si>
    <t>15.1792-10.2369</t>
  </si>
  <si>
    <t>15.1792-10.2369_S. haematobium</t>
  </si>
  <si>
    <t>15.292-10.2375</t>
  </si>
  <si>
    <t>15.292-10.2375_S. haematobium</t>
  </si>
  <si>
    <t>13.5167-10.25</t>
  </si>
  <si>
    <t>13.5167-10.25_S. haematobium</t>
  </si>
  <si>
    <t>13.5167-10.25_S. mansoni</t>
  </si>
  <si>
    <t>13.5167-10.25_S. intercalatum (guineensis)</t>
  </si>
  <si>
    <t>14.8167-10.275</t>
  </si>
  <si>
    <t>14.8167-10.275_S. haematobium</t>
  </si>
  <si>
    <t>14.8167-10.275_S. mansoni</t>
  </si>
  <si>
    <t>14.8167-10.275_S. intercalatum (guineensis)</t>
  </si>
  <si>
    <t>14.9293-10.2852</t>
  </si>
  <si>
    <t>14.9293-10.2852_S. haematobium</t>
  </si>
  <si>
    <t>15.2937-10.3133</t>
  </si>
  <si>
    <t>15.2937-10.3133_S. haematobium</t>
  </si>
  <si>
    <t>15.2915-10.3133</t>
  </si>
  <si>
    <t>15.2915-10.3133_S. haematobium</t>
  </si>
  <si>
    <t>14.8758-10.3135</t>
  </si>
  <si>
    <t>14.8758-10.3135_S. haematobium</t>
  </si>
  <si>
    <t>15.2711-10.3397</t>
  </si>
  <si>
    <t>15.2711-10.3397_S. haematobium</t>
  </si>
  <si>
    <t>15.241-10.343</t>
  </si>
  <si>
    <t>15.241-10.343_S. haematobium</t>
  </si>
  <si>
    <t>15.215-10.3433</t>
  </si>
  <si>
    <t>15.215-10.3433_S. haematobium</t>
  </si>
  <si>
    <t>15.225-10.3444</t>
  </si>
  <si>
    <t>15.225-10.3444_S. haematobium</t>
  </si>
  <si>
    <t>15.225-10.3444_S. mansoni</t>
  </si>
  <si>
    <t>15.225-10.3444_S. intercalatum (guineensis)</t>
  </si>
  <si>
    <t>15.2285-10.3444</t>
  </si>
  <si>
    <t>15.2285-10.3444_S. haematobium</t>
  </si>
  <si>
    <t>15.2379-10.3478</t>
  </si>
  <si>
    <t>15.2379-10.3478_S. haematobium</t>
  </si>
  <si>
    <t>13.55-10.35</t>
  </si>
  <si>
    <t>13.55-10.35_S. haematobium</t>
  </si>
  <si>
    <t>13.55-10.35_S. mansoni</t>
  </si>
  <si>
    <t>13.55-10.35_S. intercalatum (guineensis)</t>
  </si>
  <si>
    <t>15.2257-10.3608</t>
  </si>
  <si>
    <t>15.2257-10.3608_S. haematobium</t>
  </si>
  <si>
    <t>14.7667-10.3611</t>
  </si>
  <si>
    <t>14.7667-10.3611_S. haematobium</t>
  </si>
  <si>
    <t>14.7667-10.3611_S. mansoni</t>
  </si>
  <si>
    <t>14.7667-10.3611_S. intercalatum (guineensis)</t>
  </si>
  <si>
    <t>15.2188-10.3738</t>
  </si>
  <si>
    <t>15.2188-10.3738_S. mansoni</t>
  </si>
  <si>
    <t>15.15-10.384</t>
  </si>
  <si>
    <t>15.15-10.384_S. mansoni</t>
  </si>
  <si>
    <t>15.2538-10.3846</t>
  </si>
  <si>
    <t>15.2538-10.3846_S. haematobium</t>
  </si>
  <si>
    <t>15.2735-10.3909</t>
  </si>
  <si>
    <t>15.2735-10.3909_S. mansoni</t>
  </si>
  <si>
    <t>15.2751-10.3942</t>
  </si>
  <si>
    <t>15.2751-10.3942_S. haematobium</t>
  </si>
  <si>
    <t>14.45-10.4</t>
  </si>
  <si>
    <t>14.45-10.4_S. haematobium</t>
  </si>
  <si>
    <t>14.45-10.4_S. mansoni</t>
  </si>
  <si>
    <t>14.45-10.4_S. intercalatum (guineensis)</t>
  </si>
  <si>
    <t>15.2494-10.4021</t>
  </si>
  <si>
    <t>15.2494-10.4021_S. haematobium</t>
  </si>
  <si>
    <t>15.2493-10.4024</t>
  </si>
  <si>
    <t>15.2493-10.4024_S. haematobium</t>
  </si>
  <si>
    <t>15.25-10.417</t>
  </si>
  <si>
    <t>15.25-10.417_S. haematobium</t>
  </si>
  <si>
    <t>15.1916-10.4252</t>
  </si>
  <si>
    <t>15.1916-10.4252_S. haematobium</t>
  </si>
  <si>
    <t>15.1125-10.4503</t>
  </si>
  <si>
    <t>15.1125-10.4503_S. mansoni</t>
  </si>
  <si>
    <t>15.1125-10.4503_S. haematobium</t>
  </si>
  <si>
    <t>15.1936-10.4506</t>
  </si>
  <si>
    <t>15.1936-10.4506_S. mansoni</t>
  </si>
  <si>
    <t>15.1936-10.4506_S. haematobium</t>
  </si>
  <si>
    <t>15.2341-10.4658</t>
  </si>
  <si>
    <t>15.2341-10.4658_S. haematobium</t>
  </si>
  <si>
    <t>15.0833-10.4833</t>
  </si>
  <si>
    <t>15.0833-10.4833_S. haematobium</t>
  </si>
  <si>
    <t>15.164-10.499</t>
  </si>
  <si>
    <t>15.164-10.499_S. haematobium</t>
  </si>
  <si>
    <t>15.1702-10.5072</t>
  </si>
  <si>
    <t>15.1702-10.5072_S. haematobium</t>
  </si>
  <si>
    <t>15.0694-10.5101</t>
  </si>
  <si>
    <t>15.0694-10.5101_S. haematobium</t>
  </si>
  <si>
    <t>15.0717-10.5117</t>
  </si>
  <si>
    <t>15.0717-10.5117_S. mansoni</t>
  </si>
  <si>
    <t>15.0717-10.5117_S. haematobium</t>
  </si>
  <si>
    <t>14.6-10.5333</t>
  </si>
  <si>
    <t>14.6-10.5333_S. haematobium</t>
  </si>
  <si>
    <t>14.6-10.5333_S. mansoni</t>
  </si>
  <si>
    <t>14.6-10.5333_S. intercalatum (guineensis)</t>
  </si>
  <si>
    <t>15.0617-10.5403</t>
  </si>
  <si>
    <t>15.0617-10.5403_S. haematobium</t>
  </si>
  <si>
    <t>15.1389-10.5444</t>
  </si>
  <si>
    <t>15.1389-10.5444_S. haematobium</t>
  </si>
  <si>
    <t>15.1389-10.5444_S. mansoni</t>
  </si>
  <si>
    <t>15.1389-10.5444_S. intercalatum (guineensis)</t>
  </si>
  <si>
    <t>15.05-10.55</t>
  </si>
  <si>
    <t>15.05-10.55_S. mansoni</t>
  </si>
  <si>
    <t>15.0487-10.554</t>
  </si>
  <si>
    <t>15.0487-10.554_S. haematobium</t>
  </si>
  <si>
    <t>15.1356-10.56</t>
  </si>
  <si>
    <t>15.1356-10.56_S. haematobium</t>
  </si>
  <si>
    <t>13.6833-10.5667</t>
  </si>
  <si>
    <t>13.6833-10.5667_S. haematobium</t>
  </si>
  <si>
    <t>13.6833-10.5667_S. mansoni</t>
  </si>
  <si>
    <t>13.6833-10.5667_S. intercalatum (guineensis)</t>
  </si>
  <si>
    <t>15.1313-10.5718</t>
  </si>
  <si>
    <t>15.1313-10.5718_S. haematobium</t>
  </si>
  <si>
    <t>14.3333-10.5833</t>
  </si>
  <si>
    <t>14.3333-10.5833_S. haematobium</t>
  </si>
  <si>
    <t>14.3333-10.5833_S. mansoni</t>
  </si>
  <si>
    <t>14.3333-10.5833_S. intercalatum (guineensis)</t>
  </si>
  <si>
    <t>14.3159-10.591</t>
  </si>
  <si>
    <t>14.3159-10.591_S. haematobium</t>
  </si>
  <si>
    <t>14.326-10.593</t>
  </si>
  <si>
    <t>14.326-10.593_S. haematobium</t>
  </si>
  <si>
    <t>14.3167-10.595</t>
  </si>
  <si>
    <t>14.3167-10.595_S. mansoni</t>
  </si>
  <si>
    <t>15.1389-10.6111</t>
  </si>
  <si>
    <t>15.1389-10.6111_S. haematobium</t>
  </si>
  <si>
    <t>15.1389-10.6111_S. mansoni</t>
  </si>
  <si>
    <t>15.1389-10.6111_S. intercalatum (guineensis)</t>
  </si>
  <si>
    <t>15.133-10.619</t>
  </si>
  <si>
    <t>15.133-10.619_S. haematobium</t>
  </si>
  <si>
    <t>15.099-10.653</t>
  </si>
  <si>
    <t>15.099-10.653_S. haematobium</t>
  </si>
  <si>
    <t>15.1316-10.6647</t>
  </si>
  <si>
    <t>15.1316-10.6647_S. haematobium</t>
  </si>
  <si>
    <t>15.0284-10.666</t>
  </si>
  <si>
    <t>15.0284-10.666_S. haematobium</t>
  </si>
  <si>
    <t>15.0317-10.6679</t>
  </si>
  <si>
    <t>15.0317-10.6679_S. haematobium</t>
  </si>
  <si>
    <t>15.1333-10.6833</t>
  </si>
  <si>
    <t>15.1333-10.6833_S. haematobium</t>
  </si>
  <si>
    <t>15.044-10.6834</t>
  </si>
  <si>
    <t>15.044-10.6834_S. haematobium</t>
  </si>
  <si>
    <t>14.9783-10.6836</t>
  </si>
  <si>
    <t>14.9783-10.6836_S. haematobium</t>
  </si>
  <si>
    <t>15.1222-10.6889</t>
  </si>
  <si>
    <t>15.1222-10.6889_S. haematobium</t>
  </si>
  <si>
    <t>15.1222-10.6889_S. mansoni</t>
  </si>
  <si>
    <t>15.1222-10.6889_S. intercalatum (guineensis)</t>
  </si>
  <si>
    <t>14.3-10.7056</t>
  </si>
  <si>
    <t>14.3-10.7056_S. haematobium</t>
  </si>
  <si>
    <t>14.3-10.7056_S. mansoni</t>
  </si>
  <si>
    <t>14.3-10.7056_S. intercalatum (guineensis)</t>
  </si>
  <si>
    <t>14.9003-10.7157</t>
  </si>
  <si>
    <t>14.9003-10.7157_S. haematobium</t>
  </si>
  <si>
    <t>15.098-10.733</t>
  </si>
  <si>
    <t>15.098-10.733_S. haematobium</t>
  </si>
  <si>
    <t>15.098-10.733_S. mansoni</t>
  </si>
  <si>
    <t>15.097-10.733</t>
  </si>
  <si>
    <t>15.097-10.733_S. haematobium</t>
  </si>
  <si>
    <t>15.097-10.733_S. mansoni</t>
  </si>
  <si>
    <t>14.6167-10.7389</t>
  </si>
  <si>
    <t>14.6167-10.7389_S. haematobium</t>
  </si>
  <si>
    <t>14.6167-10.7389_S. mansoni</t>
  </si>
  <si>
    <t>14.6167-10.7389_S. intercalatum (guineensis)</t>
  </si>
  <si>
    <t>13.8-10.75</t>
  </si>
  <si>
    <t>13.8-10.75_S. haematobium</t>
  </si>
  <si>
    <t>13.8-10.75_S. mansoni</t>
  </si>
  <si>
    <t>13.8-10.75_S. intercalatum (guineensis)</t>
  </si>
  <si>
    <t>14.6667-10.7611</t>
  </si>
  <si>
    <t>14.6667-10.7611_S. haematobium</t>
  </si>
  <si>
    <t>14.6667-10.7611_S. mansoni</t>
  </si>
  <si>
    <t>14.6667-10.7611_S. intercalatum (guineensis)</t>
  </si>
  <si>
    <t>13.8333-10.7667</t>
  </si>
  <si>
    <t>13.8333-10.7667_S. haematobium</t>
  </si>
  <si>
    <t>13.8333-10.7667_S. mansoni</t>
  </si>
  <si>
    <t>13.8333-10.7667_S. intercalatum (guineensis)</t>
  </si>
  <si>
    <t>14.1278-10.7778</t>
  </si>
  <si>
    <t>14.1278-10.7778_S. haematobium</t>
  </si>
  <si>
    <t>14.1278-10.7778_S. mansoni</t>
  </si>
  <si>
    <t>14.1278-10.7778_S. intercalatum (guineensis)</t>
  </si>
  <si>
    <t>14.0583-10.7889</t>
  </si>
  <si>
    <t>14.0583-10.7889_S. haematobium</t>
  </si>
  <si>
    <t>14.0583-10.7889_S. mansoni</t>
  </si>
  <si>
    <t>14.0583-10.7889_S. intercalatum (guineensis)</t>
  </si>
  <si>
    <t>13.88-10.833</t>
  </si>
  <si>
    <t>13.88-10.833_S. haematobium</t>
  </si>
  <si>
    <t>13.88-10.833_S. mansoni</t>
  </si>
  <si>
    <t>13.9-10.8333</t>
  </si>
  <si>
    <t>13.9-10.8333_S. haematobium</t>
  </si>
  <si>
    <t>13.9-10.8333_S. mansoni</t>
  </si>
  <si>
    <t>13.9-10.8333_S. intercalatum (guineensis)</t>
  </si>
  <si>
    <t>15.0336-10.8364</t>
  </si>
  <si>
    <t>15.0336-10.8364_S. haematobium</t>
  </si>
  <si>
    <t>15.041-10.8409</t>
  </si>
  <si>
    <t>15.041-10.8409_S. haematobium</t>
  </si>
  <si>
    <t>15.061-10.841</t>
  </si>
  <si>
    <t>15.061-10.841_S. haematobium</t>
  </si>
  <si>
    <t>14.9396-10.8434</t>
  </si>
  <si>
    <t>14.9396-10.8434_S. haematobium</t>
  </si>
  <si>
    <t>14.9389-10.8444</t>
  </si>
  <si>
    <t>14.9389-10.8444_S. haematobium</t>
  </si>
  <si>
    <t>15.0551-10.8458</t>
  </si>
  <si>
    <t>15.0551-10.8458_S. haematobium</t>
  </si>
  <si>
    <t>15.0556-10.85</t>
  </si>
  <si>
    <t>15.0556-10.85_S. haematobium</t>
  </si>
  <si>
    <t>15.0556-10.85_S. mansoni</t>
  </si>
  <si>
    <t>15.0556-10.85_S. intercalatum (guineensis)</t>
  </si>
  <si>
    <t>13.85-10.85</t>
  </si>
  <si>
    <t>13.85-10.85_S. haematobium</t>
  </si>
  <si>
    <t>13.85-10.85_S. mansoni</t>
  </si>
  <si>
    <t>13.85-10.85_S. intercalatum (guineensis)</t>
  </si>
  <si>
    <t>15.0265-10.8543</t>
  </si>
  <si>
    <t>15.0265-10.8543_S. haematobium</t>
  </si>
  <si>
    <t>14.2333-10.8556</t>
  </si>
  <si>
    <t>14.2333-10.8556_S. haematobium</t>
  </si>
  <si>
    <t>14.2333-10.8556_S. mansoni</t>
  </si>
  <si>
    <t>14.2333-10.8556_S. intercalatum (guineensis)</t>
  </si>
  <si>
    <t>14.1528-10.8611</t>
  </si>
  <si>
    <t>14.1528-10.8611_S. haematobium</t>
  </si>
  <si>
    <t>14.1528-10.8611_S. mansoni</t>
  </si>
  <si>
    <t>14.1528-10.8611_S. intercalatum (guineensis)</t>
  </si>
  <si>
    <t>15.074-10.8644</t>
  </si>
  <si>
    <t>15.074-10.8644_S. haematobium</t>
  </si>
  <si>
    <t>13.8833-10.8667</t>
  </si>
  <si>
    <t>13.8833-10.8667_S. haematobium</t>
  </si>
  <si>
    <t>13.8833-10.8667_S. mansoni</t>
  </si>
  <si>
    <t>13.8833-10.8667_S. intercalatum (guineensis)</t>
  </si>
  <si>
    <t>14.9089-10.8667</t>
  </si>
  <si>
    <t>14.9089-10.8667_S. haematobium</t>
  </si>
  <si>
    <t>14.149-10.868</t>
  </si>
  <si>
    <t>14.149-10.868_S. haematobium</t>
  </si>
  <si>
    <t>15.088-10.8684</t>
  </si>
  <si>
    <t>15.088-10.8684_S. haematobium</t>
  </si>
  <si>
    <t>13.882-10.869</t>
  </si>
  <si>
    <t>13.882-10.869_S. haematobium</t>
  </si>
  <si>
    <t>13.882-10.869_S. mansoni</t>
  </si>
  <si>
    <t>14.8333-10.875</t>
  </si>
  <si>
    <t>14.8333-10.875_S. haematobium</t>
  </si>
  <si>
    <t>14.8333-10.875_S. mansoni</t>
  </si>
  <si>
    <t>14.8333-10.875_S. intercalatum (guineensis)</t>
  </si>
  <si>
    <t>14.837-10.878</t>
  </si>
  <si>
    <t>14.837-10.878_S. haematobium</t>
  </si>
  <si>
    <t>14.7673-10.8816</t>
  </si>
  <si>
    <t>14.7673-10.8816_S. haematobium</t>
  </si>
  <si>
    <t>14.8333-10.8853</t>
  </si>
  <si>
    <t>14.8333-10.8853_S. haematobium</t>
  </si>
  <si>
    <t>14.063-10.8894</t>
  </si>
  <si>
    <t>14.063-10.8894_S. haematobium</t>
  </si>
  <si>
    <t>14.063-10.8894_S. mansoni</t>
  </si>
  <si>
    <t>15.083-10.9</t>
  </si>
  <si>
    <t>15.083-10.9_S. haematobium</t>
  </si>
  <si>
    <t>14.066-10.9014</t>
  </si>
  <si>
    <t>14.066-10.9014_S. haematobium</t>
  </si>
  <si>
    <t>14.066-10.9014_S. mansoni</t>
  </si>
  <si>
    <t>15.0834-10.9057</t>
  </si>
  <si>
    <t>15.0834-10.9057_S. haematobium</t>
  </si>
  <si>
    <t>14.9603-10.9079</t>
  </si>
  <si>
    <t>14.9603-10.9079_S. haematobium</t>
  </si>
  <si>
    <t>14.8111-10.919</t>
  </si>
  <si>
    <t>14.8111-10.919_S. haematobium</t>
  </si>
  <si>
    <t>13.983-10.92</t>
  </si>
  <si>
    <t>13.983-10.92_S. haematobium</t>
  </si>
  <si>
    <t>13.983-10.92_S. mansoni</t>
  </si>
  <si>
    <t>13.8667-10.95</t>
  </si>
  <si>
    <t>13.8667-10.95_S. haematobium</t>
  </si>
  <si>
    <t>13.8667-10.95_S. mansoni</t>
  </si>
  <si>
    <t>13.8667-10.95_S. intercalatum (guineensis)</t>
  </si>
  <si>
    <t>14.0666-10.951</t>
  </si>
  <si>
    <t>14.0666-10.951_S. haematobium</t>
  </si>
  <si>
    <t>14.0666-10.951_S. mansoni</t>
  </si>
  <si>
    <t>14.0665-10.9662</t>
  </si>
  <si>
    <t>14.0665-10.9662_S. haematobium</t>
  </si>
  <si>
    <t>14.0665-10.9662_S. mansoni</t>
  </si>
  <si>
    <t>14.5-10.9667</t>
  </si>
  <si>
    <t>14.5-10.9667_S. haematobium</t>
  </si>
  <si>
    <t>14.5-10.9667_S. mansoni</t>
  </si>
  <si>
    <t>14.5-10.9667_S. intercalatum (guineensis)</t>
  </si>
  <si>
    <t>15.0296-10.9805</t>
  </si>
  <si>
    <t>15.0296-10.9805_S. haematobium</t>
  </si>
  <si>
    <t>14.9556-10.9874</t>
  </si>
  <si>
    <t>14.9556-10.9874_S. haematobium</t>
  </si>
  <si>
    <t>14.0688-10.9898</t>
  </si>
  <si>
    <t>14.0688-10.9898_S. haematobium</t>
  </si>
  <si>
    <t>14.0688-10.9898_S. mansoni</t>
  </si>
  <si>
    <t>14.9922-11.023</t>
  </si>
  <si>
    <t>14.9922-11.023_S. haematobium</t>
  </si>
  <si>
    <t>14.15-11.0444</t>
  </si>
  <si>
    <t>14.15-11.0444_S. haematobium</t>
  </si>
  <si>
    <t>14.15-11.0444_S. mansoni</t>
  </si>
  <si>
    <t>14.15-11.0444_S. intercalatum (guineensis)</t>
  </si>
  <si>
    <t>14.1139-11.0889</t>
  </si>
  <si>
    <t>14.1139-11.0889_S. haematobium</t>
  </si>
  <si>
    <t>14.1139-11.0889_S. mansoni</t>
  </si>
  <si>
    <t>14.1139-11.0889_S. intercalatum (guineensis)</t>
  </si>
  <si>
    <t>14.0333-11.1167</t>
  </si>
  <si>
    <t>14.0333-11.1167_S. haematobium</t>
  </si>
  <si>
    <t>14.0333-11.1167_S. mansoni</t>
  </si>
  <si>
    <t>14.0333-11.1167_S. intercalatum (guineensis)</t>
  </si>
  <si>
    <t>14.949-11.118</t>
  </si>
  <si>
    <t>14.949-11.118_S. haematobium</t>
  </si>
  <si>
    <t>14.0167-11.1667</t>
  </si>
  <si>
    <t>14.0167-11.1667_S. haematobium</t>
  </si>
  <si>
    <t>14.0167-11.1667_S. mansoni</t>
  </si>
  <si>
    <t>14.0167-11.1667_S. intercalatum (guineensis)</t>
  </si>
  <si>
    <t>13.9167-11.1833</t>
  </si>
  <si>
    <t>13.9167-11.1833_S. haematobium</t>
  </si>
  <si>
    <t>13.9167-11.1833_S. mansoni</t>
  </si>
  <si>
    <t>13.9167-11.1833_S. intercalatum (guineensis)</t>
  </si>
  <si>
    <t>14.5833-11.4</t>
  </si>
  <si>
    <t>14.5833-11.4_S. haematobium</t>
  </si>
  <si>
    <t>14.5833-11.4_S. mansoni</t>
  </si>
  <si>
    <t>14.5833-11.4_S. intercalatum (guineensis)</t>
  </si>
  <si>
    <t>14.6833-11.4833</t>
  </si>
  <si>
    <t>14.6833-11.4833_S. haematobium</t>
  </si>
  <si>
    <t>14.6833-11.4833_S. mansoni</t>
  </si>
  <si>
    <t>14.6833-11.4833_S. intercalatum (guineensis)</t>
  </si>
  <si>
    <t>14.732-11.551</t>
  </si>
  <si>
    <t>14.732-11.551_S. haematobium</t>
  </si>
  <si>
    <t>14.6333-11.8333</t>
  </si>
  <si>
    <t>14.6333-11.8333_S. haematobium</t>
  </si>
  <si>
    <t>14.6333-11.8333_S. mansoni</t>
  </si>
  <si>
    <t>14.6333-11.8333_S. intercalatum (guineensis)</t>
  </si>
  <si>
    <t>15.0167-12.0833</t>
  </si>
  <si>
    <t>15.0167-12.0833_S. haematobium</t>
  </si>
  <si>
    <t>15.0167-12.0833_S. mansoni</t>
  </si>
  <si>
    <t>15.0167-12.0833_S. intercalatum (guineensis)</t>
  </si>
  <si>
    <t>14.2333-12.3833</t>
  </si>
  <si>
    <t>14.2333-12.3833_S. haematobium</t>
  </si>
  <si>
    <t>14.2333-12.3833_S. mansoni</t>
  </si>
  <si>
    <t>14.2333-12.3833_S. intercalatum (guineensis)</t>
  </si>
  <si>
    <t>14.7417-12.4667</t>
  </si>
  <si>
    <t>14.7417-12.4667_S. haematobium</t>
  </si>
  <si>
    <t>14.7417-12.4667_S. mansoni</t>
  </si>
  <si>
    <t>14.7417-12.4667_S. intercalatum (guineensis)</t>
  </si>
  <si>
    <t>14.85-12.5333</t>
  </si>
  <si>
    <t>14.85-12.5333_S. haematobium</t>
  </si>
  <si>
    <t>14.85-12.5333_S. mansoni</t>
  </si>
  <si>
    <t>14.85-12.5333_S. intercalatum (guineensis)</t>
  </si>
  <si>
    <t>14.45-12.5833</t>
  </si>
  <si>
    <t>14.45-12.5833_S. haematobium</t>
  </si>
  <si>
    <t>14.45-12.5833_S. mansoni</t>
  </si>
  <si>
    <t>14.45-12.5833_S. intercalatum (guineensis)</t>
  </si>
  <si>
    <t>14.2667-12.8333</t>
  </si>
  <si>
    <t>14.2667-12.8333_S. haematobium</t>
  </si>
  <si>
    <t>14.2667-12.8333_S. mansoni</t>
  </si>
  <si>
    <t>14.2667-12.8333_S. intercalatum (guineensis)</t>
  </si>
  <si>
    <t>0-0_S. intercalatum (guineensis)</t>
  </si>
  <si>
    <t>-4.0333-5.3167_S. mansoni</t>
  </si>
  <si>
    <t>-4.8333-5.9_S. mansoni</t>
  </si>
  <si>
    <t>-6.61667-4.73333_S. mansoni</t>
  </si>
  <si>
    <t>-6.61991-4.74026_S. haematobium</t>
  </si>
  <si>
    <t>-6.73396-4.76279_S. haematobium</t>
  </si>
  <si>
    <t>-6.65201-4.77465_S. haematobium</t>
  </si>
  <si>
    <t>-6.64889-4.77936_S. haematobium</t>
  </si>
  <si>
    <t>-6.64889-4.77936_S. mansoni</t>
  </si>
  <si>
    <t>-6.55855-4.92825_S. haematobium</t>
  </si>
  <si>
    <t>-6.08333-4.95_S. mansoni</t>
  </si>
  <si>
    <t>-6.6597-4.97888_S. haematobium</t>
  </si>
  <si>
    <t>-6.62202-5.00094_S. haematobium</t>
  </si>
  <si>
    <t>-6.51817-5.01872_S. haematobium</t>
  </si>
  <si>
    <t>-6.49285-5.03523_S. haematobium</t>
  </si>
  <si>
    <t>-6.49285-5.03523_S. mansoni</t>
  </si>
  <si>
    <t>-5.56889-5.08111_S. mansoni</t>
  </si>
  <si>
    <t>-6.56058-5.08672_S. haematobium</t>
  </si>
  <si>
    <t>-3.96444-5.25556_S. mansoni</t>
  </si>
  <si>
    <t>-4.48472-5.29222_S. mansoni</t>
  </si>
  <si>
    <t>-4.14778-5.30935_S. mansoni</t>
  </si>
  <si>
    <t>-4.14778-5.30935_S. haematobium</t>
  </si>
  <si>
    <t>-4.04556-5.43472_S. mansoni</t>
  </si>
  <si>
    <t>-3.21444-5.4675_S. mansoni</t>
  </si>
  <si>
    <t>-4.05472-5.49583_S. mansoni</t>
  </si>
  <si>
    <t>-4.08324-5.6284_S. mansoni</t>
  </si>
  <si>
    <t>-4.82435-5.7246_S. haematobium</t>
  </si>
  <si>
    <t>-4.23583-5.7375_S. haematobium</t>
  </si>
  <si>
    <t>-4.23583-5.7375_S. mansoni</t>
  </si>
  <si>
    <t>-4.75488-5.77626_S. haematobium</t>
  </si>
  <si>
    <t>-4.79483-5.77697_S. haematobium</t>
  </si>
  <si>
    <t>-4.7532-5.77792_S. haematobium</t>
  </si>
  <si>
    <t>-6.60694-5.78194_S. mansoni</t>
  </si>
  <si>
    <t>-4.663-5.79418_S. haematobium</t>
  </si>
  <si>
    <t>-4.66269-5.79505_S. haematobium</t>
  </si>
  <si>
    <t>-4.66705-5.79958_S. haematobium</t>
  </si>
  <si>
    <t>-4.73007-5.83587_S. haematobium</t>
  </si>
  <si>
    <t>-4.75867-5.86255_S. haematobium</t>
  </si>
  <si>
    <t>-4.76497-5.8638_S. haematobium</t>
  </si>
  <si>
    <t>-4.8626-5.86705_S. haematobium</t>
  </si>
  <si>
    <t>-4.76732-5.8685_S. haematobium</t>
  </si>
  <si>
    <t>-4.69537-5.8847_S. haematobium</t>
  </si>
  <si>
    <t>-4.5205-5.88538_S. haematobium</t>
  </si>
  <si>
    <t>-4.82797-5.89088_S. haematobium</t>
  </si>
  <si>
    <t>-4.82675-5.8912_S. haematobium</t>
  </si>
  <si>
    <t>-4.82833-5.89833_S. mansoni</t>
  </si>
  <si>
    <t>-4.82278-5.89885_S. haematobium</t>
  </si>
  <si>
    <t>-4.68917-5.91_S. haematobium</t>
  </si>
  <si>
    <t>-4.69115-5.91023_S. haematobium</t>
  </si>
  <si>
    <t>-4.68538-5.91162_S. haematobium</t>
  </si>
  <si>
    <t>-4.90508-5.91272_S. haematobium</t>
  </si>
  <si>
    <t>-4.79603-5.92388_S. haematobium</t>
  </si>
  <si>
    <t>-4.96365-5.92743_S. haematobium</t>
  </si>
  <si>
    <t>-4.10917-5.93028_S. mansoni</t>
  </si>
  <si>
    <t>-4.10917-5.93028_S. haematobium</t>
  </si>
  <si>
    <t>-4.22139-5.93417_S. mansoni</t>
  </si>
  <si>
    <t>-4.22139-5.93417_S. haematobium</t>
  </si>
  <si>
    <t>-4.84178-5.9363_S. haematobium</t>
  </si>
  <si>
    <t>-4.63078-5.95335_S. haematobium</t>
  </si>
  <si>
    <t>-3.98333-6.02639_S. mansoni</t>
  </si>
  <si>
    <t>-5.78333-6.03333_S. mansoni</t>
  </si>
  <si>
    <t>-3.91306-6.04139_S. mansoni</t>
  </si>
  <si>
    <t>-3.9625-6.04417_S. mansoni</t>
  </si>
  <si>
    <t>-4.96447-6.04837_S. haematobium</t>
  </si>
  <si>
    <t>-4.7046-6.07562_S. haematobium</t>
  </si>
  <si>
    <t>-3.94556-6.08028_S. mansoni</t>
  </si>
  <si>
    <t>-4.98458-6.08388_S. haematobium</t>
  </si>
  <si>
    <t>-4.97325-6.10998_S. haematobium</t>
  </si>
  <si>
    <t>-3.85-6.11667_S. haematobium</t>
  </si>
  <si>
    <t>-3.85-6.11667_S. mansoni</t>
  </si>
  <si>
    <t>-3.71111-6.12667_S. mansoni</t>
  </si>
  <si>
    <t>-4.89428-6.12893_S. haematobium</t>
  </si>
  <si>
    <t>-4.74127-6.13182_S. haematobium</t>
  </si>
  <si>
    <t>-5.93333-6.13333_S. mansoni</t>
  </si>
  <si>
    <t>-4.93805-6.16702_S. haematobium</t>
  </si>
  <si>
    <t>-5.02712-6.16817_S. haematobium</t>
  </si>
  <si>
    <t>-5.097-6.1784_S. haematobium</t>
  </si>
  <si>
    <t>-3.80778-6.19944_S. mansoni</t>
  </si>
  <si>
    <t>-5.10735-6.20332_S. haematobium</t>
  </si>
  <si>
    <t>-5.10747-6.20337_S. haematobium</t>
  </si>
  <si>
    <t>-5.08333-6.21667_S. haematobium</t>
  </si>
  <si>
    <t>-5.22525-6.23142_S. haematobium</t>
  </si>
  <si>
    <t>-5.13333-6.23333_S. haematobium</t>
  </si>
  <si>
    <t>-5.13333-6.23333_S. mansoni</t>
  </si>
  <si>
    <t>-4.93118-6.25742_S. haematobium</t>
  </si>
  <si>
    <t>-5.06902-6.27283_S. haematobium</t>
  </si>
  <si>
    <t>-5.13722-6.28528_S. mansoni</t>
  </si>
  <si>
    <t>-5.13722-6.28528_S. haematobium</t>
  </si>
  <si>
    <t>-5.1496-6.30983_S. haematobium</t>
  </si>
  <si>
    <t>-5.12575-6.31985_S. haematobium</t>
  </si>
  <si>
    <t>-4.85947-6.33493_S. haematobium</t>
  </si>
  <si>
    <t>-5.2-6.36667_S. haematobium</t>
  </si>
  <si>
    <t>-5.2-6.36667_S. mansoni</t>
  </si>
  <si>
    <t>-5.19967-6.37273_S. haematobium</t>
  </si>
  <si>
    <t>-5.21667-6.38333_S. haematobium</t>
  </si>
  <si>
    <t>-5.21667-6.38333_S. mansoni</t>
  </si>
  <si>
    <t>-5.22463-6.38587_S. haematobium</t>
  </si>
  <si>
    <t>-4.89117-6.39638_S. haematobium</t>
  </si>
  <si>
    <t>-4.82273-6.40133_S. haematobium</t>
  </si>
  <si>
    <t>-5.11468-6.4676_S. haematobium</t>
  </si>
  <si>
    <t>-5.11492-6.50758_S. haematobium</t>
  </si>
  <si>
    <t>-5.14015-6.53623_S. haematobium</t>
  </si>
  <si>
    <t>-7.91194-6.53944_S. haematobium</t>
  </si>
  <si>
    <t>-7.91194-6.53944_S. mansoni</t>
  </si>
  <si>
    <t>-5.19867-6.54097_S. haematobium</t>
  </si>
  <si>
    <t>-7.59528-6.54278_S. haematobium</t>
  </si>
  <si>
    <t>-7.59528-6.54278_S. mansoni</t>
  </si>
  <si>
    <t>-7.63028-6.54528_S. haematobium</t>
  </si>
  <si>
    <t>-7.63028-6.54528_S. mansoni</t>
  </si>
  <si>
    <t>-5.01367-6.54565_S. haematobium</t>
  </si>
  <si>
    <t>-7.88333-6.55_S. haematobium</t>
  </si>
  <si>
    <t>-7.88333-6.55_S. mansoni</t>
  </si>
  <si>
    <t>-7.93611-6.55167_S. haematobium</t>
  </si>
  <si>
    <t>-7.93611-6.55167_S. mansoni</t>
  </si>
  <si>
    <t>-5.021-6.5523_S. haematobium</t>
  </si>
  <si>
    <t>-5.02053-6.55248_S. haematobium</t>
  </si>
  <si>
    <t>-5.02132-6.5534_S. haematobium</t>
  </si>
  <si>
    <t>-5.01928-6.55828_S. haematobium</t>
  </si>
  <si>
    <t>-5.0213-6.56057_S. haematobium</t>
  </si>
  <si>
    <t>-7.79611-6.56306_S. haematobium</t>
  </si>
  <si>
    <t>-7.79611-6.56306_S. mansoni</t>
  </si>
  <si>
    <t>-5.01673-6.5654_S. haematobium</t>
  </si>
  <si>
    <t>-7.74865-6.56542_S. haematobium</t>
  </si>
  <si>
    <t>-7.74865-6.56542_S. mansoni</t>
  </si>
  <si>
    <t>-5.08017-6.69862_S. haematobium</t>
  </si>
  <si>
    <t>-5.00403-6.7183_S. haematobium</t>
  </si>
  <si>
    <t>-5.0831-6.75533_S. haematobium</t>
  </si>
  <si>
    <t>-8.33556-6.78222_S. haematobium</t>
  </si>
  <si>
    <t>-8.33556-6.78222_S. mansoni</t>
  </si>
  <si>
    <t>-8.3-6.81667_S. haematobium</t>
  </si>
  <si>
    <t>-8.3-6.81667_S. mansoni</t>
  </si>
  <si>
    <t>-6.43056-6.87222_S. haematobium</t>
  </si>
  <si>
    <t>-6.45194-6.87472_S. mansoni</t>
  </si>
  <si>
    <t>-5.40331-6.8772_S. haematobium</t>
  </si>
  <si>
    <t>-8.13333-6.88333_S. haematobium</t>
  </si>
  <si>
    <t>-8.13333-6.88333_S. mansoni</t>
  </si>
  <si>
    <t>-8.15-6.88333_S. haematobium</t>
  </si>
  <si>
    <t>-8.15-6.88333_S. mansoni</t>
  </si>
  <si>
    <t>-6.46944-6.88889_S. haematobium</t>
  </si>
  <si>
    <t>-8.12792-6.90285_S. haematobium</t>
  </si>
  <si>
    <t>-8.12792-6.90285_S. mansoni</t>
  </si>
  <si>
    <t>-8.23333-6.91667_S. haematobium</t>
  </si>
  <si>
    <t>-8.23333-6.91667_S. mansoni</t>
  </si>
  <si>
    <t>-8.26552-6.92102_S. haematobium</t>
  </si>
  <si>
    <t>-8.26552-6.92102_S. mansoni</t>
  </si>
  <si>
    <t>-8.17904-6.94936_S. haematobium</t>
  </si>
  <si>
    <t>-8.17904-6.94936_S. mansoni</t>
  </si>
  <si>
    <t>-5.96667-6.95_S. haematobium</t>
  </si>
  <si>
    <t>-8.195-6.951_S. haematobium</t>
  </si>
  <si>
    <t>-8.195-6.951_S. mansoni</t>
  </si>
  <si>
    <t>-8.195-6.95722_S. haematobium</t>
  </si>
  <si>
    <t>-8.195-6.95722_S. mansoni</t>
  </si>
  <si>
    <t>-8.12361-6.95861_S. haematobium</t>
  </si>
  <si>
    <t>-8.12361-6.95861_S. mansoni</t>
  </si>
  <si>
    <t>-8.23639-6.97194_S. haematobium</t>
  </si>
  <si>
    <t>-8.23639-6.97194_S. mansoni</t>
  </si>
  <si>
    <t>-5.75-6.98333_S. mansoni</t>
  </si>
  <si>
    <t>-8.165-6.98611_S. haematobium</t>
  </si>
  <si>
    <t>-8.165-6.98611_S. mansoni</t>
  </si>
  <si>
    <t>-8.2384-6.99157_S. haematobium</t>
  </si>
  <si>
    <t>-8.2384-6.99157_S. mansoni</t>
  </si>
  <si>
    <t>-8.15278-6.99278_S. haematobium</t>
  </si>
  <si>
    <t>-8.15278-6.99278_S. mansoni</t>
  </si>
  <si>
    <t>-8.05-7_S. haematobium</t>
  </si>
  <si>
    <t>-8.05-7_S. mansoni</t>
  </si>
  <si>
    <t>-5.40361-7.00139_S. haematobium</t>
  </si>
  <si>
    <t>-5.40361-7.00139_S. mansoni</t>
  </si>
  <si>
    <t>-5.45147-7.01386_S. haematobium</t>
  </si>
  <si>
    <t>-8.16528-7.02806_S. haematobium</t>
  </si>
  <si>
    <t>-8.16528-7.02806_S. mansoni</t>
  </si>
  <si>
    <t>-8.25722-7.02917_S. haematobium</t>
  </si>
  <si>
    <t>-8.25722-7.02917_S. mansoni</t>
  </si>
  <si>
    <t>-5.44222-7.03_S. haematobium</t>
  </si>
  <si>
    <t>-5.44222-7.03_S. mansoni</t>
  </si>
  <si>
    <t>-5.48333-7.03333_S. haematobium</t>
  </si>
  <si>
    <t>-5.48333-7.03333_S. mansoni</t>
  </si>
  <si>
    <t>-5.38667-7.03444_S. haematobium</t>
  </si>
  <si>
    <t>-5.51639-7.03667_S. haematobium</t>
  </si>
  <si>
    <t>-5.51639-7.03667_S. mansoni</t>
  </si>
  <si>
    <t>-8.12998-7.05765_S. haematobium</t>
  </si>
  <si>
    <t>-8.12998-7.05765_S. mansoni</t>
  </si>
  <si>
    <t>-8.11361-7.07917_S. haematobium</t>
  </si>
  <si>
    <t>-8.11361-7.07917_S. mansoni</t>
  </si>
  <si>
    <t>-8.17528-7.09833_S. haematobium</t>
  </si>
  <si>
    <t>-8.17528-7.09833_S. mansoni</t>
  </si>
  <si>
    <t>-5.83528-7.09861_S. haematobium</t>
  </si>
  <si>
    <t>-8.22667-7.10083_S. haematobium</t>
  </si>
  <si>
    <t>-8.22667-7.10083_S. mansoni</t>
  </si>
  <si>
    <t>-7.76912-7.12858_S. mansoni</t>
  </si>
  <si>
    <t>-7.73522-7.133_S. mansoni</t>
  </si>
  <si>
    <t>-7.53466-7.13899_S. mansoni</t>
  </si>
  <si>
    <t>-7.75485-7.14402_S. mansoni</t>
  </si>
  <si>
    <t>-8.18639-7.1525_S. haematobium</t>
  </si>
  <si>
    <t>-8.18639-7.1525_S. mansoni</t>
  </si>
  <si>
    <t>-7.74579-7.15408_S. mansoni</t>
  </si>
  <si>
    <t>-7.74487-7.15423_S. mansoni</t>
  </si>
  <si>
    <t>-7.7687-7.15538_S. mansoni</t>
  </si>
  <si>
    <t>-7.77332-7.15565_S. mansoni</t>
  </si>
  <si>
    <t>-7.77178-7.15675_S. mansoni</t>
  </si>
  <si>
    <t>-7.79945-7.15808_S. mansoni</t>
  </si>
  <si>
    <t>-7.79229-7.15974_S. mansoni</t>
  </si>
  <si>
    <t>-7.80478-7.17303_S. mansoni</t>
  </si>
  <si>
    <t>-7.80629-7.17308_S. mansoni</t>
  </si>
  <si>
    <t>-7.75028-7.17475_S. mansoni</t>
  </si>
  <si>
    <t>-8.05389-7.18667_S. haematobium</t>
  </si>
  <si>
    <t>-8.05389-7.18667_S. mansoni</t>
  </si>
  <si>
    <t>-7.76983-7.20152_S. mansoni</t>
  </si>
  <si>
    <t>-7.77012-7.21092_S. mansoni</t>
  </si>
  <si>
    <t>-7.78545-7.21174_S. mansoni</t>
  </si>
  <si>
    <t>-8.01712-7.22576_S. haematobium</t>
  </si>
  <si>
    <t>-8.01712-7.22576_S. mansoni</t>
  </si>
  <si>
    <t>-7.78112-7.23592_S. mansoni</t>
  </si>
  <si>
    <t>-7.78038-7.23652_S. mansoni</t>
  </si>
  <si>
    <t>-8.34861-7.24674_S. haematobium</t>
  </si>
  <si>
    <t>-8.34861-7.24674_S. mansoni</t>
  </si>
  <si>
    <t>-8.29389-7.25889_S. haematobium</t>
  </si>
  <si>
    <t>-8.29389-7.25889_S. mansoni</t>
  </si>
  <si>
    <t>-7.80062-7.25974_S. mansoni</t>
  </si>
  <si>
    <t>-7.78142-7.27168_S. mansoni</t>
  </si>
  <si>
    <t>-7.78212-7.27209_S. mansoni</t>
  </si>
  <si>
    <t>-5.36444-7.28611_S. haematobium</t>
  </si>
  <si>
    <t>-7.71795-7.29925_S. mansoni</t>
  </si>
  <si>
    <t>-7.57195-7.30558_S. mansoni</t>
  </si>
  <si>
    <t>-7.51377-7.31658_S. mansoni</t>
  </si>
  <si>
    <t>-8.31639-7.32861_S. mansoni</t>
  </si>
  <si>
    <t>-7.67261-7.33291_S. mansoni</t>
  </si>
  <si>
    <t>-7.78762-7.33308_S. mansoni</t>
  </si>
  <si>
    <t>-7.67587-7.3352_S. mansoni</t>
  </si>
  <si>
    <t>-7.59645-7.33978_S. mansoni</t>
  </si>
  <si>
    <t>-7.538-7.34867_S. mansoni</t>
  </si>
  <si>
    <t>-7.61728-7.35775_S. mansoni</t>
  </si>
  <si>
    <t>-7.64112-7.35959_S. mansoni</t>
  </si>
  <si>
    <t>-7.76862-7.36325_S. mansoni</t>
  </si>
  <si>
    <t>-7.58438-7.36383_S. mansoni</t>
  </si>
  <si>
    <t>-7.58428-7.36391_S. mansoni</t>
  </si>
  <si>
    <t>-7.80528-7.36441_S. mansoni</t>
  </si>
  <si>
    <t>-7.63295-7.36525_S. mansoni</t>
  </si>
  <si>
    <t>-7.60561-7.36958_S. mansoni</t>
  </si>
  <si>
    <t>-7.79629-7.37041_S. mansoni</t>
  </si>
  <si>
    <t>-7.71862-7.37258_S. mansoni</t>
  </si>
  <si>
    <t>-7.71882-7.3727_S. mansoni</t>
  </si>
  <si>
    <t>-7.51177-7.37908_S. mansoni</t>
  </si>
  <si>
    <t>-7.51215-7.37922_S. mansoni</t>
  </si>
  <si>
    <t>-7.54967-7.38752_S. mansoni</t>
  </si>
  <si>
    <t>-7.5371-7.38752_S. mansoni</t>
  </si>
  <si>
    <t>-7.83188-7.39027_S. mansoni</t>
  </si>
  <si>
    <t>-7.83178-7.39058_S. mansoni</t>
  </si>
  <si>
    <t>-7.55815-7.39182_S. mansoni</t>
  </si>
  <si>
    <t>-7.56582-7.398_S. mansoni</t>
  </si>
  <si>
    <t>-7.52328-7.39825_S. mansoni</t>
  </si>
  <si>
    <t>-7.52325-7.39835_S. mansoni</t>
  </si>
  <si>
    <t>-7.67011-7.39875_S. mansoni</t>
  </si>
  <si>
    <t>-7.54727-7.39958_S. mansoni</t>
  </si>
  <si>
    <t>-7.55398-7.4019_S. mansoni</t>
  </si>
  <si>
    <t>-7.56215-7.4025_S. mansoni</t>
  </si>
  <si>
    <t>-7.55295-7.40283_S. mansoni</t>
  </si>
  <si>
    <t>-7.55889-7.40306_S. mansoni</t>
  </si>
  <si>
    <t>-7.55402-7.40385_S. mansoni</t>
  </si>
  <si>
    <t>-7.50028-7.40858_S. mansoni</t>
  </si>
  <si>
    <t>-7.54438-7.40865_S. mansoni</t>
  </si>
  <si>
    <t>-7.54502-7.40915_S. mansoni</t>
  </si>
  <si>
    <t>-7.4776-7.4094_S. mansoni</t>
  </si>
  <si>
    <t>-7.47761-7.40975_S. mansoni</t>
  </si>
  <si>
    <t>-7.53335-7.41142_S. mansoni</t>
  </si>
  <si>
    <t>-7.48565-7.41187_S. mansoni</t>
  </si>
  <si>
    <t>-7.54088-7.41193_S. mansoni</t>
  </si>
  <si>
    <t>-7.5722-7.41428_S. mansoni</t>
  </si>
  <si>
    <t>-7.66457-7.41518_S. mansoni</t>
  </si>
  <si>
    <t>-7.66494-7.41525_S. mansoni</t>
  </si>
  <si>
    <t>-7.54523-7.41633_S. mansoni</t>
  </si>
  <si>
    <t>-7.54663-7.41867_S. mansoni</t>
  </si>
  <si>
    <t>-7.54747-7.4195_S. mansoni</t>
  </si>
  <si>
    <t>-7.55655-7.41983_S. mansoni</t>
  </si>
  <si>
    <t>-7.55747-7.4199_S. mansoni</t>
  </si>
  <si>
    <t>-7.55718-7.42052_S. mansoni</t>
  </si>
  <si>
    <t>-7.43911-7.42825_S. mansoni</t>
  </si>
  <si>
    <t>-7.43878-7.42857_S. mansoni</t>
  </si>
  <si>
    <t>-7.60478-7.42925_S. mansoni</t>
  </si>
  <si>
    <t>-7.51787-7.42953_S. mansoni</t>
  </si>
  <si>
    <t>-7.51694-7.42958_S. mansoni</t>
  </si>
  <si>
    <t>-7.60543-7.42968_S. mansoni</t>
  </si>
  <si>
    <t>-7.55013-7.43165_S. mansoni</t>
  </si>
  <si>
    <t>-7.54961-7.43241_S. mansoni</t>
  </si>
  <si>
    <t>-8.16333-7.44556_S. haematobium</t>
  </si>
  <si>
    <t>-8.16333-7.44556_S. mansoni</t>
  </si>
  <si>
    <t>-7.40027-7.44842_S. mansoni</t>
  </si>
  <si>
    <t>-7.39943-7.44858_S. mansoni</t>
  </si>
  <si>
    <t>-7.4-7.45_S. mansoni</t>
  </si>
  <si>
    <t>-7.80095-7.45275_S. mansoni</t>
  </si>
  <si>
    <t>-7.50161-7.45442_S. mansoni</t>
  </si>
  <si>
    <t>-7.50212-7.45502_S. mansoni</t>
  </si>
  <si>
    <t>-7.69378-7.45658_S. mansoni</t>
  </si>
  <si>
    <t>-7.58565-7.4598_S. mansoni</t>
  </si>
  <si>
    <t>-7.37759-7.4602_S. mansoni</t>
  </si>
  <si>
    <t>-7.58545-7.46075_S. mansoni</t>
  </si>
  <si>
    <t>-7.63077-7.46108_S. mansoni</t>
  </si>
  <si>
    <t>-7.35-7.46667_S. mansoni</t>
  </si>
  <si>
    <t>-7.49778-7.47878_S. mansoni</t>
  </si>
  <si>
    <t>-7.49761-7.47941_S. mansoni</t>
  </si>
  <si>
    <t>-7.47344-7.48525_S. mansoni</t>
  </si>
  <si>
    <t>-7.46177-7.49825_S. mansoni</t>
  </si>
  <si>
    <t>-7.61528-7.50008_S. mansoni</t>
  </si>
  <si>
    <t>-7.50661-7.50059_S. mansoni</t>
  </si>
  <si>
    <t>-7.5071-7.50063_S. mansoni</t>
  </si>
  <si>
    <t>-7.66955-7.50818_S. mansoni</t>
  </si>
  <si>
    <t>-7.66945-7.50825_S. mansoni</t>
  </si>
  <si>
    <t>-7.62528-7.52558_S. mansoni</t>
  </si>
  <si>
    <t>-7.65294-7.54109_S. mansoni</t>
  </si>
  <si>
    <t>-7.65287-7.5411_S. mansoni</t>
  </si>
  <si>
    <t>-7.53067-7.55548_S. mansoni</t>
  </si>
  <si>
    <t>-7.53044-7.55608_S. mansoni</t>
  </si>
  <si>
    <t>-4.9588-7.56189_S. haematobium</t>
  </si>
  <si>
    <t>-7.43927-7.58259_S. mansoni</t>
  </si>
  <si>
    <t>-7.43995-7.58277_S. mansoni</t>
  </si>
  <si>
    <t>-5.18444-7.58444_S. haematobium</t>
  </si>
  <si>
    <t>-7.62235-7.58645_S. mansoni</t>
  </si>
  <si>
    <t>-7.54278-7.58925_S. mansoni</t>
  </si>
  <si>
    <t>-7.54252-7.5902_S. mansoni</t>
  </si>
  <si>
    <t>-7.48311-7.60275_S. mansoni</t>
  </si>
  <si>
    <t>-7.54894-7.60358_S. mansoni</t>
  </si>
  <si>
    <t>-5.03306-7.68333_S. haematobium</t>
  </si>
  <si>
    <t>-4.98333-8.18333_S. haematobium</t>
  </si>
  <si>
    <t>-4.98333-8.18333_S. mansoni</t>
  </si>
  <si>
    <t>-5.16667-8.36667_S. haematobium</t>
  </si>
  <si>
    <t>-5.16667-8.36667_S. mansoni</t>
  </si>
  <si>
    <t>-5.11667-8.43333_S. haematobium</t>
  </si>
  <si>
    <t>-5.11667-8.43333_S. mansoni</t>
  </si>
  <si>
    <t>-5.15-8.45_S. haematobium</t>
  </si>
  <si>
    <t>-5.15-8.45_S. mansoni</t>
  </si>
  <si>
    <t>-5.2-8.5_S. haematobium</t>
  </si>
  <si>
    <t>-5.2-8.5_S. mansoni</t>
  </si>
  <si>
    <t>-5.18333-8.51667_S. haematobium</t>
  </si>
  <si>
    <t>-5.18333-8.51667_S. mansoni</t>
  </si>
  <si>
    <t>-5.21667-8.58333_S. haematobium</t>
  </si>
  <si>
    <t>-5.21667-8.58333_S. mansoni</t>
  </si>
  <si>
    <t>-5.13333-8.9_S. haematobium</t>
  </si>
  <si>
    <t>-5.13333-8.9_S. mansoni</t>
  </si>
  <si>
    <t>-5.678-9.224_S. haematobium</t>
  </si>
  <si>
    <t>-5.678-9.224_S. mansoni</t>
  </si>
  <si>
    <t>-5.73333-9.23333_S. haematobium</t>
  </si>
  <si>
    <t>-5.73333-9.23333_S. mansoni</t>
  </si>
  <si>
    <t>-5.6-9.25_S. haematobium</t>
  </si>
  <si>
    <t>-5.6-9.25_S. mansoni</t>
  </si>
  <si>
    <t>-5.643-9.27_S. haematobium</t>
  </si>
  <si>
    <t>-5.643-9.27_S. mansoni</t>
  </si>
  <si>
    <t>-5.68441-9.28234_S. haematobium</t>
  </si>
  <si>
    <t>-5.68441-9.28234_S. mansoni</t>
  </si>
  <si>
    <t>-5.66667-9.3_S. haematobium</t>
  </si>
  <si>
    <t>-5.66667-9.3_S. mansoni</t>
  </si>
  <si>
    <t>-5.88333-9.33333_S. haematobium</t>
  </si>
  <si>
    <t>-5.88333-9.33333_S. mansoni</t>
  </si>
  <si>
    <t>-5.638-9.357_S. haematobium</t>
  </si>
  <si>
    <t>-5.638-9.357_S. mansoni</t>
  </si>
  <si>
    <t>-5.826-9.412_S. haematobium</t>
  </si>
  <si>
    <t>-5.826-9.412_S. mansoni</t>
  </si>
  <si>
    <t>-5.83333-9.48333_S. haematobium</t>
  </si>
  <si>
    <t>-5.83333-9.48333_S. mansoni</t>
  </si>
  <si>
    <t>-5.412-9.499_S. haematobium</t>
  </si>
  <si>
    <t>-5.412-9.499_S. mansoni</t>
  </si>
  <si>
    <t>-5.81667-9.51667_S. haematobium</t>
  </si>
  <si>
    <t>-5.81667-9.51667_S. mansoni</t>
  </si>
  <si>
    <t>-5.4-9.51667_S. haematobium</t>
  </si>
  <si>
    <t>-5.4-9.51667_S. mansoni</t>
  </si>
  <si>
    <t>-5.75-9.56667_S. haematobium</t>
  </si>
  <si>
    <t>-5.75-9.56667_S. mansoni</t>
  </si>
  <si>
    <t>-5.622-9.62_S. haematobium</t>
  </si>
  <si>
    <t>-5.622-9.62_S. mansoni</t>
  </si>
  <si>
    <t>-5.61667-9.65_S. haematobium</t>
  </si>
  <si>
    <t>-5.61667-9.65_S. mansoni</t>
  </si>
  <si>
    <t>-7.83917-10.1078_S. mansoni</t>
  </si>
  <si>
    <t>-7.835-10.2036_S. mansoni</t>
  </si>
  <si>
    <t>29.4503--3.95167</t>
  </si>
  <si>
    <t>29.4503--3.95167_S. mansoni</t>
  </si>
  <si>
    <t>29.420601--3.92361</t>
  </si>
  <si>
    <t>29.420601--3.92361_S. mansoni</t>
  </si>
  <si>
    <t>29.3883--3.89222</t>
  </si>
  <si>
    <t>29.3883--3.89222_S. mansoni</t>
  </si>
  <si>
    <t>29.3689--3.84333</t>
  </si>
  <si>
    <t>29.3689--3.84333_S. mansoni</t>
  </si>
  <si>
    <t>29.319401--3.72639</t>
  </si>
  <si>
    <t>29.319401--3.72639_S. mansoni</t>
  </si>
  <si>
    <t>30.493299--3.45083</t>
  </si>
  <si>
    <t>30.493299--3.45083_S. mansoni</t>
  </si>
  <si>
    <t>29.360001--3.37611</t>
  </si>
  <si>
    <t>29.360001--3.37611_S. mansoni</t>
  </si>
  <si>
    <t>29.3533--3.36972</t>
  </si>
  <si>
    <t>29.3533--3.36972_S. mansoni</t>
  </si>
  <si>
    <t>29.687901--3.36512</t>
  </si>
  <si>
    <t>29.687901--3.36512_S. mansoni</t>
  </si>
  <si>
    <t>29.3792--3.34361</t>
  </si>
  <si>
    <t>29.3792--3.34361_S. mansoni</t>
  </si>
  <si>
    <t>29.3703--3.34278</t>
  </si>
  <si>
    <t>29.3703--3.34278_S. mansoni</t>
  </si>
  <si>
    <t>29.377501--3.33444</t>
  </si>
  <si>
    <t>29.377501--3.33444_S. mansoni</t>
  </si>
  <si>
    <t>29.25--3.33324</t>
  </si>
  <si>
    <t>29.25--3.33324_S. mansoni</t>
  </si>
  <si>
    <t>29.291901--3.31583</t>
  </si>
  <si>
    <t>29.291901--3.31583_S. mansoni</t>
  </si>
  <si>
    <t>29.3599--3.29014</t>
  </si>
  <si>
    <t>29.3599--3.29014_S. mansoni</t>
  </si>
  <si>
    <t>29.3599--3.28997</t>
  </si>
  <si>
    <t>29.3599--3.28997_S. mansoni</t>
  </si>
  <si>
    <t>29.6224--3.26739</t>
  </si>
  <si>
    <t>29.6224--3.26739_S. mansoni</t>
  </si>
  <si>
    <t>29.3225--3.24575</t>
  </si>
  <si>
    <t>29.3225--3.24575_S. mansoni</t>
  </si>
  <si>
    <t>29.316099--3.24167</t>
  </si>
  <si>
    <t>29.316099--3.24167_S. mansoni</t>
  </si>
  <si>
    <t>29.4708--3.22936</t>
  </si>
  <si>
    <t>29.4708--3.22936_S. mansoni</t>
  </si>
  <si>
    <t>29.3556--3.2125</t>
  </si>
  <si>
    <t>29.3556--3.2125_S. mansoni</t>
  </si>
  <si>
    <t>29.3062--3.19361</t>
  </si>
  <si>
    <t>29.3062--3.19361_S. mansoni</t>
  </si>
  <si>
    <t>29.3062--3.19356</t>
  </si>
  <si>
    <t>29.3062--3.19356_S. mansoni</t>
  </si>
  <si>
    <t>29.3062--3.19348</t>
  </si>
  <si>
    <t>29.3062--3.19348_S. mansoni</t>
  </si>
  <si>
    <t>29.3417--3.18056</t>
  </si>
  <si>
    <t>29.3417--3.18056_S. mansoni</t>
  </si>
  <si>
    <t>29.372601--3.17222</t>
  </si>
  <si>
    <t>29.372601--3.17222_S. mansoni</t>
  </si>
  <si>
    <t>29.4042--3.17079</t>
  </si>
  <si>
    <t>29.4042--3.17079_S. mansoni</t>
  </si>
  <si>
    <t>29.4042--3.17077</t>
  </si>
  <si>
    <t>29.4042--3.17077_S. mansoni</t>
  </si>
  <si>
    <t>29.346701--3.15553</t>
  </si>
  <si>
    <t>29.346701--3.15553_S. mansoni</t>
  </si>
  <si>
    <t>29.3472--3.15139</t>
  </si>
  <si>
    <t>29.3472--3.15139_S. mansoni</t>
  </si>
  <si>
    <t>29.25--3.15</t>
  </si>
  <si>
    <t>29.25--3.15_S. mansoni</t>
  </si>
  <si>
    <t>29.3256--3.10222</t>
  </si>
  <si>
    <t>29.3256--3.10222_S. mansoni</t>
  </si>
  <si>
    <t>29.4--3.08331</t>
  </si>
  <si>
    <t>29.4--3.08331_S. mansoni</t>
  </si>
  <si>
    <t>29.2458--3.04444</t>
  </si>
  <si>
    <t>29.2458--3.04444_S. mansoni</t>
  </si>
  <si>
    <t>29.2582--3.02593</t>
  </si>
  <si>
    <t>29.2582--3.02593_S. mansoni</t>
  </si>
  <si>
    <t>29.221201--2.99676</t>
  </si>
  <si>
    <t>29.221201--2.99676_S. mansoni</t>
  </si>
  <si>
    <t>29.192801--2.96511</t>
  </si>
  <si>
    <t>29.192801--2.96511_S. mansoni</t>
  </si>
  <si>
    <t>29.1929--2.96511</t>
  </si>
  <si>
    <t>29.1929--2.96511_S. mansoni</t>
  </si>
  <si>
    <t>29.571699--2.91194</t>
  </si>
  <si>
    <t>29.571699--2.91194_S. mansoni</t>
  </si>
  <si>
    <t>29.120001--2.8887</t>
  </si>
  <si>
    <t>29.120001--2.8887_S. mansoni</t>
  </si>
  <si>
    <t>29.2038--2.88722</t>
  </si>
  <si>
    <t>29.2038--2.88722_S. mansoni</t>
  </si>
  <si>
    <t>29.079399--2.81651</t>
  </si>
  <si>
    <t>29.079399--2.81651_S. mansoni</t>
  </si>
  <si>
    <t>29.079399--2.81643</t>
  </si>
  <si>
    <t>29.079399--2.81643_S. mansoni</t>
  </si>
  <si>
    <t>29.0613--2.77359</t>
  </si>
  <si>
    <t>29.0613--2.77359_S. mansoni</t>
  </si>
  <si>
    <t>29.0613--2.77357</t>
  </si>
  <si>
    <t>29.0613--2.77357_S. mansoni</t>
  </si>
  <si>
    <t>29.108601--2.75421</t>
  </si>
  <si>
    <t>29.108601--2.75421_S. mansoni</t>
  </si>
  <si>
    <t>30.0811--2.5875</t>
  </si>
  <si>
    <t>30.0811--2.5875_S. mansoni</t>
  </si>
  <si>
    <t>30.0944--2.585</t>
  </si>
  <si>
    <t>30.0944--2.585_S. mansoni</t>
  </si>
  <si>
    <t>30.1089--2.57139</t>
  </si>
  <si>
    <t>30.1089--2.57139_S. mansoni</t>
  </si>
  <si>
    <t>30.0569--2.56139</t>
  </si>
  <si>
    <t>30.0569--2.56139_S. mansoni</t>
  </si>
  <si>
    <t>30.188101--2.55528</t>
  </si>
  <si>
    <t>30.188101--2.55528_S. mansoni</t>
  </si>
  <si>
    <t>30.1378--2.52722</t>
  </si>
  <si>
    <t>30.1378--2.52722_S. mansoni</t>
  </si>
  <si>
    <t>30.098301--2.52167</t>
  </si>
  <si>
    <t>30.098301--2.52167_S. mansoni</t>
  </si>
  <si>
    <t>30.048901--2.51694</t>
  </si>
  <si>
    <t>30.048901--2.51694_S. mansoni</t>
  </si>
  <si>
    <t>29.9806--2.51694</t>
  </si>
  <si>
    <t>29.9806--2.51694_S. mansoni</t>
  </si>
  <si>
    <t>30.0256--2.50333</t>
  </si>
  <si>
    <t>30.0256--2.50333_S. mansoni</t>
  </si>
  <si>
    <t>30.189199--2.50028</t>
  </si>
  <si>
    <t>30.189199--2.50028_S. mansoni</t>
  </si>
  <si>
    <t>30.0875--2.49361</t>
  </si>
  <si>
    <t>30.0875--2.49361_S. mansoni</t>
  </si>
  <si>
    <t>30.1586--2.455</t>
  </si>
  <si>
    <t>30.1586--2.455_S. mansoni</t>
  </si>
  <si>
    <t>30.058901--2.44833</t>
  </si>
  <si>
    <t>30.058901--2.44833_S. mansoni</t>
  </si>
  <si>
    <t>30.0336--2.43583</t>
  </si>
  <si>
    <t>30.0336--2.43583_S. mansoni</t>
  </si>
  <si>
    <t>30.0483--2.41583</t>
  </si>
  <si>
    <t>30.0483--2.41583_S. mansoni</t>
  </si>
  <si>
    <t>30.031099--2.40222</t>
  </si>
  <si>
    <t>30.031099--2.40222_S. mansoni</t>
  </si>
  <si>
    <t>29.986401--2.37611</t>
  </si>
  <si>
    <t>29.986401--2.37611_S. mansoni</t>
  </si>
  <si>
    <t>0.00883-13.9773</t>
  </si>
  <si>
    <t>0.00883-13.9773_S. haematobium</t>
  </si>
  <si>
    <t>0.00883-13.9773_S. mansoni</t>
  </si>
  <si>
    <t>-1.633-14.0992_S. haematobium</t>
  </si>
  <si>
    <t>-1.633-14.0992_S. mansoni</t>
  </si>
  <si>
    <t>-0.03567-14.0342_S. haematobium</t>
  </si>
  <si>
    <t>-0.03567-14.0342_S. mansoni</t>
  </si>
  <si>
    <t>-3.45648-9.967_S. haematobium</t>
  </si>
  <si>
    <t>-3.45648-9.967_S. mansoni</t>
  </si>
  <si>
    <t>-0.97597-14.179_S. haematobium</t>
  </si>
  <si>
    <t>-0.97597-14.179_S. mansoni</t>
  </si>
  <si>
    <t>-2.17993-13.0211_S. haematobium</t>
  </si>
  <si>
    <t>-2.17993-13.0211_S. mansoni</t>
  </si>
  <si>
    <t>-1.83897-13.7633_S. haematobium</t>
  </si>
  <si>
    <t>-1.83897-13.7633_S. mansoni</t>
  </si>
  <si>
    <t>-1.98082-13.174_S. haematobium</t>
  </si>
  <si>
    <t>-1.98082-13.174_S. mansoni</t>
  </si>
  <si>
    <t>-3.45725-10.1403_S. haematobium</t>
  </si>
  <si>
    <t>-3.45725-10.1403_S. mansoni</t>
  </si>
  <si>
    <t>-3.14663-11.7694_S. haematobium</t>
  </si>
  <si>
    <t>-3.14663-11.7694_S. mansoni</t>
  </si>
  <si>
    <t>-2.41285-13.843_S. haematobium</t>
  </si>
  <si>
    <t>-2.41285-13.843_S. mansoni</t>
  </si>
  <si>
    <t>-2.35135-13.1128_S. haematobium</t>
  </si>
  <si>
    <t>-2.35135-13.1128_S. mansoni</t>
  </si>
  <si>
    <t>-0.46323-14.6758_S. haematobium</t>
  </si>
  <si>
    <t>-0.46323-14.6758_S. mansoni</t>
  </si>
  <si>
    <t>-3.24033-13.2251_S. haematobium</t>
  </si>
  <si>
    <t>-3.24033-13.2251_S. mansoni</t>
  </si>
  <si>
    <t>-0.0358-13.994_S. haematobium</t>
  </si>
  <si>
    <t>-0.0358-13.994_S. mansoni</t>
  </si>
  <si>
    <t>-3.13688-11.7563_S. haematobium</t>
  </si>
  <si>
    <t>-3.13688-11.7563_S. mansoni</t>
  </si>
  <si>
    <t>-1.16667-13.1167_S. haematobium</t>
  </si>
  <si>
    <t>-1.1-13.0167_S. haematobium</t>
  </si>
  <si>
    <t>-0.95-13.1833_S. haematobium</t>
  </si>
  <si>
    <t>-1.53331-13.3335_S. haematobium</t>
  </si>
  <si>
    <t>-1.88556-12.1897_S. haematobium</t>
  </si>
  <si>
    <t>-1.96083-12.1906_S. haematobium</t>
  </si>
  <si>
    <t>-2.46667-12.3167_S. haematobium</t>
  </si>
  <si>
    <t>-2.23333-12.2167_S. haematobium</t>
  </si>
  <si>
    <t>-2.15-12.2_S. haematobium</t>
  </si>
  <si>
    <t>-2.1-12.2167_S. haematobium</t>
  </si>
  <si>
    <t>-2.51667-12.3_S. haematobium</t>
  </si>
  <si>
    <t>-2.56667-12.2833_S. haematobium</t>
  </si>
  <si>
    <t>-2.58333-12.2333_S. haematobium</t>
  </si>
  <si>
    <t>-2.68333-12.1833_S. haematobium</t>
  </si>
  <si>
    <t>-2.68333-12.1_S. haematobium</t>
  </si>
  <si>
    <t>-2.36667-12.1667_S. haematobium</t>
  </si>
  <si>
    <t>-2.36667-12.0833_S. haematobium</t>
  </si>
  <si>
    <t>-2.15-12.0833_S. haematobium</t>
  </si>
  <si>
    <t>-2.06667-12.1333_S. haematobium</t>
  </si>
  <si>
    <t>-2.06667-12.2333_S. haematobium</t>
  </si>
  <si>
    <t>-2.51667-12.3667_S. haematobium</t>
  </si>
  <si>
    <t>-2.56667-12.3833_S. haematobium</t>
  </si>
  <si>
    <t>-2.66667-12.65_S. haematobium</t>
  </si>
  <si>
    <t>-2.71667-12.65_S. haematobium</t>
  </si>
  <si>
    <t>-2.45-12.6833_S. haematobium</t>
  </si>
  <si>
    <t>-2.61667-12.4667_S. haematobium</t>
  </si>
  <si>
    <t>-2.71667-12.5167_S. haematobium</t>
  </si>
  <si>
    <t>-2.7-12.45_S. haematobium</t>
  </si>
  <si>
    <t>-2.61667-12.5667_S. haematobium</t>
  </si>
  <si>
    <t>-2.53333-12.6333_S. haematobium</t>
  </si>
  <si>
    <t>-2.58333-12.7333_S. haematobium</t>
  </si>
  <si>
    <t>-2.61667-12.65_S. haematobium</t>
  </si>
  <si>
    <t>-2.6-12.9167_S. haematobium</t>
  </si>
  <si>
    <t>-2.43333-12.9333_S. haematobium</t>
  </si>
  <si>
    <t>-1.68306-12.6228_S. haematobium</t>
  </si>
  <si>
    <t>-2.41667-12.8_S. haematobium</t>
  </si>
  <si>
    <t>-2.33333-12.7167_S. haematobium</t>
  </si>
  <si>
    <t>-2.41667-12.7333_S. haematobium</t>
  </si>
  <si>
    <t>-2.43333-12.65_S. haematobium</t>
  </si>
  <si>
    <t>-2.36667-12.6_S. haematobium</t>
  </si>
  <si>
    <t>-2.3-12.6_S. haematobium</t>
  </si>
  <si>
    <t>-2.15-12.9833_S. haematobium</t>
  </si>
  <si>
    <t>-2.27042-13.1625_S. haematobium</t>
  </si>
  <si>
    <t>-1.93778-13.0403_S. haematobium</t>
  </si>
  <si>
    <t>-1.23333-12.9833_S. haematobium</t>
  </si>
  <si>
    <t>-1.78333-13.0833_S. haematobium</t>
  </si>
  <si>
    <t>-1.51667-13.3333_S. haematobium</t>
  </si>
  <si>
    <t>-1.53472-13.3258_S. haematobium</t>
  </si>
  <si>
    <t>-1.56667-13.2667_S. haematobium</t>
  </si>
  <si>
    <t>-1.58333-13.3_S. haematobium</t>
  </si>
  <si>
    <t>-1.73333-13.4333_S. haematobium</t>
  </si>
  <si>
    <t>-1.78333-13.4333_S. haematobium</t>
  </si>
  <si>
    <t>-1.83333-13.45_S. haematobium</t>
  </si>
  <si>
    <t>-1.81667-13.35_S. haematobium</t>
  </si>
  <si>
    <t>-1.51667-13.3667_S. haematobium</t>
  </si>
  <si>
    <t>-1.55-13.0167_S. haematobium</t>
  </si>
  <si>
    <t>-1.33972-12.9886_S. haematobium</t>
  </si>
  <si>
    <t>-1.81667-13.3667_S. haematobium</t>
  </si>
  <si>
    <t>-1.21667-13.0833_S. haematobium</t>
  </si>
  <si>
    <t>-1.23333-13.1167_S. haematobium</t>
  </si>
  <si>
    <t>-1.18333-13.2_S. haematobium</t>
  </si>
  <si>
    <t>-1.15-13.15_S. haematobium</t>
  </si>
  <si>
    <t>-1.03333-13.2_S. haematobium</t>
  </si>
  <si>
    <t>-1.08444-13.0917_S. haematobium</t>
  </si>
  <si>
    <t>-1.23389-12.6683_S. haematobium</t>
  </si>
  <si>
    <t>-1.2-13.0833_S. haematobium</t>
  </si>
  <si>
    <t>-2.45-12.2333_S. haematobium</t>
  </si>
  <si>
    <t>-2.53333-12.2_S. haematobium</t>
  </si>
  <si>
    <t>-2.6-12.2_S. haematobium</t>
  </si>
  <si>
    <t>-2.58333-12.1167_S. haematobium</t>
  </si>
  <si>
    <t>-2.23333-12.0667_S. haematobium</t>
  </si>
  <si>
    <t>-2.36667-12.25_S. haematobium</t>
  </si>
  <si>
    <t>-2.16667-12.3333_S. haematobium</t>
  </si>
  <si>
    <t>-2.01667-12.4333_S. haematobium</t>
  </si>
  <si>
    <t>-1.31583-12.4558_S. haematobium</t>
  </si>
  <si>
    <t>-1.18889-12.4711_S. haematobium</t>
  </si>
  <si>
    <t>-1.29833-12.5822_S. haematobium</t>
  </si>
  <si>
    <t>-1.20306-12.6972_S. haematobium</t>
  </si>
  <si>
    <t>-1.62528-12.3294_S. haematobium</t>
  </si>
  <si>
    <t>-1.22056-12.0392_S. haematobium</t>
  </si>
  <si>
    <t>-1.56639-12.1003_S. haematobium</t>
  </si>
  <si>
    <t>-1.48167-12.0733_S. haematobium</t>
  </si>
  <si>
    <t>-1.3375-12.0656_S. haematobium</t>
  </si>
  <si>
    <t>-1.26639-11.83_S. haematobium</t>
  </si>
  <si>
    <t>-1.07306-11.6636_S. haematobium</t>
  </si>
  <si>
    <t>-1.33333-11.7_S. haematobium</t>
  </si>
  <si>
    <t>-1.37722-11.3689_S. haematobium</t>
  </si>
  <si>
    <t>-1.145-11.1697_S. haematobium</t>
  </si>
  <si>
    <t>-1.20444-11.5581_S. haematobium</t>
  </si>
  <si>
    <t>-1.05-12.75_S. haematobium</t>
  </si>
  <si>
    <t>-1.05-12.75_S. mansoni</t>
  </si>
  <si>
    <t>-1.05556-12.64_S. haematobium</t>
  </si>
  <si>
    <t>-1.05556-12.64_S. mansoni</t>
  </si>
  <si>
    <t>-1.14056-12.6064_S. haematobium</t>
  </si>
  <si>
    <t>-1.14056-12.6064_S. mansoni</t>
  </si>
  <si>
    <t>-1.025-12.5417_S. haematobium</t>
  </si>
  <si>
    <t>-1.025-12.5417_S. mansoni</t>
  </si>
  <si>
    <t>-1.15944-12.4656_S. haematobium</t>
  </si>
  <si>
    <t>-1.15944-12.4656_S. mansoni</t>
  </si>
  <si>
    <t>-3.42083-13.0133_S. haematobium</t>
  </si>
  <si>
    <t>-3.42083-13.0133_S. mansoni</t>
  </si>
  <si>
    <t>-3.41667-13.1667_S. haematobium</t>
  </si>
  <si>
    <t>-3.41667-13.1667_S. mansoni</t>
  </si>
  <si>
    <t>-3.43333-13.1_S. haematobium</t>
  </si>
  <si>
    <t>-3.43333-13.1_S. mansoni</t>
  </si>
  <si>
    <t>-3.45-13.15_S. haematobium</t>
  </si>
  <si>
    <t>-3.45-13.15_S. mansoni</t>
  </si>
  <si>
    <t>-0.32222-13.0756_S. haematobium</t>
  </si>
  <si>
    <t>-0.36667-12.15_S. haematobium</t>
  </si>
  <si>
    <t>-0.889444-11.8575_S. haematobium</t>
  </si>
  <si>
    <t>-3.43333-13.0833_S. haematobium</t>
  </si>
  <si>
    <t>-3.41667-12.9833_S. haematobium</t>
  </si>
  <si>
    <t>-3.33333-13.2333_S. haematobium</t>
  </si>
  <si>
    <t>-3.25-13.2333_S. haematobium</t>
  </si>
  <si>
    <t>-3.23333-13.25_S. haematobium</t>
  </si>
  <si>
    <t>-1.6375-12.7783_S. haematobium</t>
  </si>
  <si>
    <t>-4.08333-11.3_S. haematobium</t>
  </si>
  <si>
    <t>-4.08333-11.3_S. mansoni</t>
  </si>
  <si>
    <t>-3.28333-11.8_S. haematobium</t>
  </si>
  <si>
    <t>-4.2-11.3833_S. haematobium</t>
  </si>
  <si>
    <t>-4.2-11.3833_S. mansoni</t>
  </si>
  <si>
    <t>-5.15-10.7667_S. haematobium</t>
  </si>
  <si>
    <t>-5.15-10.7667_S. mansoni</t>
  </si>
  <si>
    <t>-4.11667-11.3333_S. haematobium</t>
  </si>
  <si>
    <t>-4.11667-11.3333_S. mansoni</t>
  </si>
  <si>
    <t>-4.23333-11.2833_S. haematobium</t>
  </si>
  <si>
    <t>-4.23333-11.2833_S. mansoni</t>
  </si>
  <si>
    <t>-4.18333-11.35_S. haematobium</t>
  </si>
  <si>
    <t>-4.18333-11.35_S. mansoni</t>
  </si>
  <si>
    <t>-4.16667-11.2333_S. haematobium</t>
  </si>
  <si>
    <t>-4.16667-11.2333_S. mansoni</t>
  </si>
  <si>
    <t>-3.98333-11.2833_S. haematobium</t>
  </si>
  <si>
    <t>-3.98333-11.2833_S. mansoni</t>
  </si>
  <si>
    <t>-3.6-11.55_S. haematobium</t>
  </si>
  <si>
    <t>-3.6-11.55_S. mansoni</t>
  </si>
  <si>
    <t>-4.21667-11.2833_S. haematobium</t>
  </si>
  <si>
    <t>-4.21667-11.2833_S. mansoni</t>
  </si>
  <si>
    <t>-4.06667-11.2167_S. haematobium</t>
  </si>
  <si>
    <t>-4.06667-11.2167_S. mansoni</t>
  </si>
  <si>
    <t>-3.95-11.3_S. haematobium</t>
  </si>
  <si>
    <t>-3.95-11.3_S. mansoni</t>
  </si>
  <si>
    <t>-4.15-11.1833_S. haematobium</t>
  </si>
  <si>
    <t>-4.15-11.1833_S. mansoni</t>
  </si>
  <si>
    <t>-2.42158-13.5828_S. haematobium</t>
  </si>
  <si>
    <t>-0.0345-14.0354_S. haematobium</t>
  </si>
  <si>
    <t>-3.46667-12.4667_S. haematobium</t>
  </si>
  <si>
    <t>-3.0694-13.0725_S. haematobium</t>
  </si>
  <si>
    <t>-1.52472-12.3703_S. haematobium</t>
  </si>
  <si>
    <t>-1.22722-12.0425_S. haematobium</t>
  </si>
  <si>
    <t>-1.10833-11.8486_S. haematobium</t>
  </si>
  <si>
    <t>-1.09444-11.7542_S. haematobium</t>
  </si>
  <si>
    <t>-1.35944-11.9028_S. haematobium</t>
  </si>
  <si>
    <t>-1.38333-11.9833_S. haematobium</t>
  </si>
  <si>
    <t>-1.40028-12.0572_S. haematobium</t>
  </si>
  <si>
    <t>-0.8718-14.2265_S. haematobium</t>
  </si>
  <si>
    <t>0.526178-13.4412</t>
  </si>
  <si>
    <t>0.526178-13.4412_S. haematobium</t>
  </si>
  <si>
    <t>-0.76667-11.7667_S. haematobium</t>
  </si>
  <si>
    <t>-0.73389-11.7808_S. haematobium</t>
  </si>
  <si>
    <t>-0.7-11.8_S. haematobium</t>
  </si>
  <si>
    <t>-0.67944-11.8256_S. haematobium</t>
  </si>
  <si>
    <t>0.357778-12.0622</t>
  </si>
  <si>
    <t>0.357778-12.0622_S. haematobium</t>
  </si>
  <si>
    <t>1.74167-11.7958</t>
  </si>
  <si>
    <t>1.74167-11.7958_S. haematobium</t>
  </si>
  <si>
    <t>0.83-11.1811</t>
  </si>
  <si>
    <t>0.83-11.1811_S. haematobium</t>
  </si>
  <si>
    <t>0.323611-11.2017</t>
  </si>
  <si>
    <t>0.323611-11.2017_S. haematobium</t>
  </si>
  <si>
    <t>1.21667-11.45</t>
  </si>
  <si>
    <t>1.21667-11.45_S. haematobium</t>
  </si>
  <si>
    <t>0.146667-11.4947</t>
  </si>
  <si>
    <t>0.146667-11.4947_S. haematobium</t>
  </si>
  <si>
    <t>-1.31028-12.7492_S. haematobium</t>
  </si>
  <si>
    <t>-0.88333-11.0833_S. haematobium</t>
  </si>
  <si>
    <t>-0.96556-11.0972_S. haematobium</t>
  </si>
  <si>
    <t>-2.08333-11.15_S. haematobium</t>
  </si>
  <si>
    <t>-2.1-11.1_S. haematobium</t>
  </si>
  <si>
    <t>-2.5-11.0333_S. haematobium</t>
  </si>
  <si>
    <t>-0.55056-11.8_S. haematobium</t>
  </si>
  <si>
    <t>-0.55-11.7833_S. haematobium</t>
  </si>
  <si>
    <t>-0.3-11.9833_S. haematobium</t>
  </si>
  <si>
    <t>-1.2034-11.6823_S. haematobium</t>
  </si>
  <si>
    <t>-1.31667-11.8667_S. haematobium</t>
  </si>
  <si>
    <t>-1.15-11.8333_S. haematobium</t>
  </si>
  <si>
    <t>-1.84389-12.0131_S. haematobium</t>
  </si>
  <si>
    <t>-1.91667-11.95_S. haematobium</t>
  </si>
  <si>
    <t>-0.904584-12.8109_S. haematobium</t>
  </si>
  <si>
    <t>-3.52374-11.4896_S. haematobium</t>
  </si>
  <si>
    <t>-4.51923-11.8839_S. haematobium</t>
  </si>
  <si>
    <t>-4.86667-11.8333_S. haematobium</t>
  </si>
  <si>
    <t>-5.00386-10.4756_S. haematobium</t>
  </si>
  <si>
    <t>-1.79028-13.0081_S. haematobium</t>
  </si>
  <si>
    <t>-0.35167-12.1794_S. haematobium</t>
  </si>
  <si>
    <t>-0.31667-12.0833_S. haematobium</t>
  </si>
  <si>
    <t>-0.239428-12.1782_S. haematobium</t>
  </si>
  <si>
    <t>-0.15-12.2_S. haematobium</t>
  </si>
  <si>
    <t>-0.068114-12.1386_S. haematobium</t>
  </si>
  <si>
    <t>-1.52698-13.3234_S. haematobium</t>
  </si>
  <si>
    <t>-1.72611-13.2914_S. haematobium</t>
  </si>
  <si>
    <t>-2.98333-10.4667_S. haematobium</t>
  </si>
  <si>
    <t>-4.81667-10.6667_S. haematobium</t>
  </si>
  <si>
    <t>-3.04013-12.4465_S. haematobium</t>
  </si>
  <si>
    <t>-0.77917-11.0361_S. haematobium</t>
  </si>
  <si>
    <t>-4.55478-10.6262_S. mansoni</t>
  </si>
  <si>
    <t>-4.55478-10.6262_S. haematobium</t>
  </si>
  <si>
    <t>-4.82507-10.6524_S. mansoni</t>
  </si>
  <si>
    <t>-4.82507-10.6524_S. haematobium</t>
  </si>
  <si>
    <t>-4.77953-10.4704_S. mansoni</t>
  </si>
  <si>
    <t>-4.77953-10.4704_S. haematobium</t>
  </si>
  <si>
    <t>-5.11667-10.6167_S. mansoni</t>
  </si>
  <si>
    <t>-5.11667-10.6167_S. haematobium</t>
  </si>
  <si>
    <t>-4.81706-10.6996_S. mansoni</t>
  </si>
  <si>
    <t>-4.81706-10.6996_S. haematobium</t>
  </si>
  <si>
    <t>-5.16667-10.6_S. mansoni</t>
  </si>
  <si>
    <t>-5.16667-10.6_S. haematobium</t>
  </si>
  <si>
    <t>-4.63523-10.6394_S. haematobium</t>
  </si>
  <si>
    <t>-4.2-11.15_S. haematobium</t>
  </si>
  <si>
    <t>-4.2-11.15_S. mansoni</t>
  </si>
  <si>
    <t>-4.28789-11.3487_S. haematobium</t>
  </si>
  <si>
    <t>-4.28789-11.3487_S. mansoni</t>
  </si>
  <si>
    <t>-1.25438-12.6517_S. haematobium</t>
  </si>
  <si>
    <t>-1.41278-12.5908_S. haematobium</t>
  </si>
  <si>
    <t>-1.26667-11.9833_S. haematobium</t>
  </si>
  <si>
    <t>-1.2-11.8667_S. haematobium</t>
  </si>
  <si>
    <t>-1.33583-12.0666_S. haematobium</t>
  </si>
  <si>
    <t>-1.45139-12.6619_S. haematobium</t>
  </si>
  <si>
    <t>-1.43194-12.5_S. haematobium</t>
  </si>
  <si>
    <t>0.304095-13.9732</t>
  </si>
  <si>
    <t>0.304095-13.9732_S. haematobium</t>
  </si>
  <si>
    <t>-0.203254-14.0771_S. haematobium</t>
  </si>
  <si>
    <t>-0.31138-14.0372_S. haematobium</t>
  </si>
  <si>
    <t>25.9119--24.6464</t>
  </si>
  <si>
    <t>25.9119--24.6464_S. mansoni</t>
  </si>
  <si>
    <t>26.154301--24.380199</t>
  </si>
  <si>
    <t>26.154301--24.380199_S. haematobium</t>
  </si>
  <si>
    <t>24.402901--21.0305</t>
  </si>
  <si>
    <t>24.402901--21.0305_S. haematobium</t>
  </si>
  <si>
    <t>24.402901--21.0305_S. mansoni</t>
  </si>
  <si>
    <t>22.7029--20.4786</t>
  </si>
  <si>
    <t>22.7029--20.4786_S. haematobium</t>
  </si>
  <si>
    <t>22.7029--20.4786_S. mansoni</t>
  </si>
  <si>
    <t>23.8859--20.3246</t>
  </si>
  <si>
    <t>23.8859--20.3246_S. haematobium</t>
  </si>
  <si>
    <t>23.8859--20.3246_S. mansoni</t>
  </si>
  <si>
    <t>22.455--20.164801</t>
  </si>
  <si>
    <t>22.455--20.164801_S. haematobium</t>
  </si>
  <si>
    <t>22.455--20.164801_S. mansoni</t>
  </si>
  <si>
    <t>23.438801--20.0327</t>
  </si>
  <si>
    <t>23.438801--20.0327_S. mansoni</t>
  </si>
  <si>
    <t>23.438801--20.0327_S. haematobium</t>
  </si>
  <si>
    <t>23.432199--20.0161</t>
  </si>
  <si>
    <t>23.432199--20.0161_S. mansoni</t>
  </si>
  <si>
    <t>23.427799--20.008699</t>
  </si>
  <si>
    <t>23.427799--20.008699_S. mansoni</t>
  </si>
  <si>
    <t>23.435101--20.0028</t>
  </si>
  <si>
    <t>23.435101--20.0028_S. mansoni</t>
  </si>
  <si>
    <t>23.435101--20.0028_S. haematobium</t>
  </si>
  <si>
    <t>23.4142--19.9986</t>
  </si>
  <si>
    <t>23.4142--19.9986_S. mansoni</t>
  </si>
  <si>
    <t>23.4142--19.9986_S. haematobium</t>
  </si>
  <si>
    <t>23.4219--19.993299</t>
  </si>
  <si>
    <t>23.4219--19.993299_S. mansoni</t>
  </si>
  <si>
    <t>23.4219--19.993299_S. haematobium</t>
  </si>
  <si>
    <t>23.423901--19.9928</t>
  </si>
  <si>
    <t>23.423901--19.9928_S. mansoni</t>
  </si>
  <si>
    <t>23.423901--19.9928_S. haematobium</t>
  </si>
  <si>
    <t>23.416201--19.992599</t>
  </si>
  <si>
    <t>23.416201--19.992599_S. haematobium</t>
  </si>
  <si>
    <t>23.416201--19.992599_S. mansoni</t>
  </si>
  <si>
    <t>23.413601--19.985001</t>
  </si>
  <si>
    <t>23.413601--19.985001_S. mansoni</t>
  </si>
  <si>
    <t>23.413601--19.985001_S. haematobium</t>
  </si>
  <si>
    <t>23.426701--19.9844</t>
  </si>
  <si>
    <t>23.426701--19.9844_S. mansoni</t>
  </si>
  <si>
    <t>23.426701--19.9844_S. haematobium</t>
  </si>
  <si>
    <t>23.4891--19.939699</t>
  </si>
  <si>
    <t>23.4891--19.939699_S. mansoni</t>
  </si>
  <si>
    <t>23.4891--19.939699_S. haematobium</t>
  </si>
  <si>
    <t>23.510599--19.9359</t>
  </si>
  <si>
    <t>23.510599--19.9359_S. mansoni</t>
  </si>
  <si>
    <t>23.509199--19.916401</t>
  </si>
  <si>
    <t>23.509199--19.916401_S. mansoni</t>
  </si>
  <si>
    <t>23.672701--19.7659</t>
  </si>
  <si>
    <t>23.672701--19.7659_S. haematobium</t>
  </si>
  <si>
    <t>23.672701--19.7659_S. mansoni</t>
  </si>
  <si>
    <t>22.1908--19.6621</t>
  </si>
  <si>
    <t>22.1908--19.6621_S. haematobium</t>
  </si>
  <si>
    <t>22.1908--19.6621_S. mansoni</t>
  </si>
  <si>
    <t>22.163099--19.372101</t>
  </si>
  <si>
    <t>22.163099--19.372101_S. haematobium</t>
  </si>
  <si>
    <t>22.163099--19.372101_S. mansoni</t>
  </si>
  <si>
    <t>23.9998--19.1817</t>
  </si>
  <si>
    <t>23.9998--19.1817_S. haematobium</t>
  </si>
  <si>
    <t>23.9998--19.1817_S. mansoni</t>
  </si>
  <si>
    <t>23.749901--19.1658</t>
  </si>
  <si>
    <t>23.749901--19.1658_S. haematobium</t>
  </si>
  <si>
    <t>23.749901--19.1658_S. mansoni</t>
  </si>
  <si>
    <t>22.4179--18.813801</t>
  </si>
  <si>
    <t>22.4179--18.813801_S. mansoni</t>
  </si>
  <si>
    <t>22.4179--18.813801_S. haematobium</t>
  </si>
  <si>
    <t>22.176901--18.735399</t>
  </si>
  <si>
    <t>22.176901--18.735399_S. haematobium</t>
  </si>
  <si>
    <t>22.176901--18.735399_S. mansoni</t>
  </si>
  <si>
    <t>21.8426--18.366501</t>
  </si>
  <si>
    <t>21.8426--18.366501_S. haematobium</t>
  </si>
  <si>
    <t>21.8426--18.366501_S. mansoni</t>
  </si>
  <si>
    <t>24.5028--18.1527</t>
  </si>
  <si>
    <t>24.5028--18.1527_S. haematobium</t>
  </si>
  <si>
    <t>24.5028--18.1527_S. mansoni</t>
  </si>
  <si>
    <t>24.4062--18.012899</t>
  </si>
  <si>
    <t>24.4062--18.012899_S. haematobium</t>
  </si>
  <si>
    <t>24.4062--18.012899_S. mansoni</t>
  </si>
  <si>
    <t>24.648001--17.9907</t>
  </si>
  <si>
    <t>24.648001--17.9907_S. haematobium</t>
  </si>
  <si>
    <t>24.648001--17.9907_S. mansoni</t>
  </si>
  <si>
    <t>2.55-6.58333</t>
  </si>
  <si>
    <t>2.55-6.58333_S. haematobium</t>
  </si>
  <si>
    <t>1.57136-6.98748</t>
  </si>
  <si>
    <t>1.57136-6.98748_S. haematobium</t>
  </si>
  <si>
    <t>1.57136-6.98748_S. mansoni</t>
  </si>
  <si>
    <t>1.63171-6.95312</t>
  </si>
  <si>
    <t>1.63171-6.95312_S. haematobium</t>
  </si>
  <si>
    <t>1.63171-6.95312_S. mansoni</t>
  </si>
  <si>
    <t>1.66646-6.8837</t>
  </si>
  <si>
    <t>1.66646-6.8837_S. haematobium</t>
  </si>
  <si>
    <t>1.66646-6.8837_S. mansoni</t>
  </si>
  <si>
    <t>1.65719-6.84127</t>
  </si>
  <si>
    <t>1.65719-6.84127_S. haematobium</t>
  </si>
  <si>
    <t>1.65719-6.84127_S. mansoni</t>
  </si>
  <si>
    <t>1.68333-6.93333</t>
  </si>
  <si>
    <t>1.68333-6.93333_S. haematobium</t>
  </si>
  <si>
    <t>1.68333-6.93333_S. mansoni</t>
  </si>
  <si>
    <t>2.15111-6.40111</t>
  </si>
  <si>
    <t>2.15111-6.40111_S. haematobium</t>
  </si>
  <si>
    <t>2.15111-6.40111_S. mansoni</t>
  </si>
  <si>
    <t>2.13778-6.40972</t>
  </si>
  <si>
    <t>2.13778-6.40972_S. haematobium</t>
  </si>
  <si>
    <t>2.13778-6.40972_S. mansoni</t>
  </si>
  <si>
    <t>2.1202-6.41778</t>
  </si>
  <si>
    <t>2.1202-6.41778_S. haematobium</t>
  </si>
  <si>
    <t>2.1202-6.41778_S. mansoni</t>
  </si>
  <si>
    <t>2.17639-6.39417</t>
  </si>
  <si>
    <t>2.17639-6.39417_S. haematobium</t>
  </si>
  <si>
    <t>2.17639-6.39417_S. mansoni</t>
  </si>
  <si>
    <t>2.19361-6.41056</t>
  </si>
  <si>
    <t>2.19361-6.41056_S. haematobium</t>
  </si>
  <si>
    <t>2.19361-6.41056_S. mansoni</t>
  </si>
  <si>
    <t>1.38862-10.3129</t>
  </si>
  <si>
    <t>1.38862-10.3129_S. mansoni</t>
  </si>
  <si>
    <t>1.09694-10.3031</t>
  </si>
  <si>
    <t>1.09694-10.3031_S. mansoni</t>
  </si>
  <si>
    <t>1.3317-10.3703</t>
  </si>
  <si>
    <t>1.3317-10.3703_S. mansoni</t>
  </si>
  <si>
    <t>1.35324-10.3588</t>
  </si>
  <si>
    <t>1.35324-10.3588_S. mansoni</t>
  </si>
  <si>
    <t>1.39053-10.2428</t>
  </si>
  <si>
    <t>1.39053-10.2428_S. mansoni</t>
  </si>
  <si>
    <t>1.37556-10.4986</t>
  </si>
  <si>
    <t>1.37556-10.4986_S. mansoni</t>
  </si>
  <si>
    <t>20.058201--17.883499</t>
  </si>
  <si>
    <t>20.058201--17.883499_S. haematobium</t>
  </si>
  <si>
    <t>20.058201--17.883499_S. mansoni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</si>
</sst>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29D7-0CE2-4482-BFF6-114EEBD3F840}">
  <dimension ref="A1:AK11331"/>
  <sheetViews>
    <sheetView tabSelected="1" topLeftCell="P1" workbookViewId="0">
      <selection activeCell="AL6" sqref="AL6"/>
    </sheetView>
  </sheetViews>
  <sheetFormatPr defaultRowHeight="14.4" x14ac:dyDescent="0.3"/>
  <sheetData>
    <row r="1" spans="1: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I1" t="s">
        <v>32</v>
      </c>
      <c r="AJ1" t="s">
        <v>33</v>
      </c>
      <c r="AK1" t="s">
        <v>34</v>
      </c>
    </row>
    <row r="2" spans="1:37" x14ac:dyDescent="0.3">
      <c r="A2">
        <v>1</v>
      </c>
      <c r="B2">
        <v>18</v>
      </c>
      <c r="C2">
        <v>31.3078</v>
      </c>
      <c r="D2">
        <v>-22.364000000000001</v>
      </c>
      <c r="E2" t="s">
        <v>35</v>
      </c>
      <c r="F2" t="s">
        <v>36</v>
      </c>
      <c r="G2" t="s">
        <v>37</v>
      </c>
      <c r="H2">
        <v>1985</v>
      </c>
      <c r="I2">
        <v>24.5</v>
      </c>
      <c r="J2">
        <v>15.199999809265099</v>
      </c>
      <c r="K2">
        <v>61</v>
      </c>
      <c r="L2">
        <v>33.511574752687501</v>
      </c>
      <c r="M2">
        <v>34.829133762149397</v>
      </c>
      <c r="N2">
        <v>10.0708664120652</v>
      </c>
      <c r="O2">
        <v>24.758268146064299</v>
      </c>
      <c r="P2">
        <v>27.899999618530298</v>
      </c>
      <c r="Q2">
        <v>19.600000381469702</v>
      </c>
      <c r="R2">
        <v>27.899999618530298</v>
      </c>
      <c r="S2">
        <v>19.600000381469702</v>
      </c>
      <c r="T2">
        <v>429.12598425196899</v>
      </c>
      <c r="U2">
        <v>94.708661417322901</v>
      </c>
      <c r="V2">
        <v>2</v>
      </c>
      <c r="W2">
        <v>94</v>
      </c>
      <c r="X2">
        <v>264.41732283464597</v>
      </c>
      <c r="Y2">
        <v>10</v>
      </c>
      <c r="Z2">
        <v>264.41732283464597</v>
      </c>
      <c r="AA2">
        <v>10</v>
      </c>
      <c r="AB2">
        <v>6.6085016445850799</v>
      </c>
      <c r="AC2">
        <v>7.4737793345033998E-2</v>
      </c>
      <c r="AD2">
        <v>1.97248876958381</v>
      </c>
      <c r="AE2">
        <v>0.193281084299088</v>
      </c>
      <c r="AF2">
        <v>244.40472440944899</v>
      </c>
      <c r="AG2">
        <f>IFERROR(AH2*0.1, "N/A")</f>
        <v>6.6689763779527595</v>
      </c>
      <c r="AH2">
        <v>66.689763779527595</v>
      </c>
      <c r="AI2">
        <v>155.19504733348501</v>
      </c>
      <c r="AJ2">
        <v>26.4661417322835</v>
      </c>
      <c r="AK2">
        <v>63.116535433070901</v>
      </c>
    </row>
    <row r="3" spans="1:37" x14ac:dyDescent="0.3">
      <c r="A3">
        <v>2</v>
      </c>
      <c r="B3">
        <v>50</v>
      </c>
      <c r="C3">
        <v>31.3078</v>
      </c>
      <c r="D3">
        <v>-22.364000000000001</v>
      </c>
      <c r="E3" t="s">
        <v>35</v>
      </c>
      <c r="F3" t="s">
        <v>38</v>
      </c>
      <c r="G3" t="s">
        <v>39</v>
      </c>
      <c r="H3">
        <v>1985</v>
      </c>
      <c r="I3">
        <v>24.5</v>
      </c>
      <c r="J3">
        <v>15.199999809265099</v>
      </c>
      <c r="K3">
        <v>61</v>
      </c>
      <c r="L3">
        <v>33.511574752687501</v>
      </c>
      <c r="M3">
        <v>34.829133762149397</v>
      </c>
      <c r="N3">
        <v>10.0708664120652</v>
      </c>
      <c r="O3">
        <v>24.758268146064299</v>
      </c>
      <c r="P3">
        <v>27.899999618530298</v>
      </c>
      <c r="Q3">
        <v>19.600000381469702</v>
      </c>
      <c r="R3">
        <v>27.899999618530298</v>
      </c>
      <c r="S3">
        <v>19.600000381469702</v>
      </c>
      <c r="T3">
        <v>429.12598425196899</v>
      </c>
      <c r="U3">
        <v>94.708661417322901</v>
      </c>
      <c r="V3">
        <v>2</v>
      </c>
      <c r="W3">
        <v>94</v>
      </c>
      <c r="X3">
        <v>264.41732283464597</v>
      </c>
      <c r="Y3">
        <v>10</v>
      </c>
      <c r="Z3">
        <v>264.41732283464597</v>
      </c>
      <c r="AA3">
        <v>10</v>
      </c>
      <c r="AB3">
        <v>6.6085016445850799</v>
      </c>
      <c r="AC3">
        <v>7.4737793345033998E-2</v>
      </c>
      <c r="AD3">
        <v>1.97248876958381</v>
      </c>
      <c r="AE3">
        <v>0.193281084299088</v>
      </c>
      <c r="AF3">
        <v>244.40472440944899</v>
      </c>
      <c r="AG3">
        <f>IFERROR(AH3*0.1, "N/A")</f>
        <v>6.6689763779527595</v>
      </c>
      <c r="AH3">
        <v>66.689763779527595</v>
      </c>
      <c r="AI3">
        <v>155.19504733348501</v>
      </c>
      <c r="AJ3">
        <v>26.4661417322835</v>
      </c>
      <c r="AK3">
        <v>63.116535433070901</v>
      </c>
    </row>
    <row r="4" spans="1:37" x14ac:dyDescent="0.3">
      <c r="A4">
        <v>3</v>
      </c>
      <c r="B4">
        <v>5</v>
      </c>
      <c r="C4">
        <v>30.105599999999999</v>
      </c>
      <c r="D4">
        <v>-22.274899999999999</v>
      </c>
      <c r="E4" t="s">
        <v>40</v>
      </c>
      <c r="F4" t="s">
        <v>41</v>
      </c>
      <c r="G4" t="s">
        <v>37</v>
      </c>
      <c r="H4">
        <v>1985</v>
      </c>
      <c r="I4">
        <v>23.470440138810801</v>
      </c>
      <c r="J4">
        <v>13.699999809265099</v>
      </c>
      <c r="K4">
        <v>57</v>
      </c>
      <c r="L4">
        <v>35.705220444397398</v>
      </c>
      <c r="M4">
        <v>33.099998474121101</v>
      </c>
      <c r="N4">
        <v>9.3000001907348597</v>
      </c>
      <c r="O4">
        <v>23.799999237060501</v>
      </c>
      <c r="P4">
        <v>27.100000381469702</v>
      </c>
      <c r="Q4">
        <v>18.200000762939499</v>
      </c>
      <c r="R4">
        <v>27.100000381469702</v>
      </c>
      <c r="S4">
        <v>18.200000762939499</v>
      </c>
      <c r="T4">
        <v>340</v>
      </c>
      <c r="U4">
        <v>73</v>
      </c>
      <c r="V4">
        <v>1</v>
      </c>
      <c r="W4">
        <v>88</v>
      </c>
      <c r="X4">
        <v>196</v>
      </c>
      <c r="Y4">
        <v>6</v>
      </c>
      <c r="Z4">
        <v>196</v>
      </c>
      <c r="AA4">
        <v>6</v>
      </c>
      <c r="AB4">
        <v>5.0655742621271802</v>
      </c>
      <c r="AC4">
        <v>2.0999186429189E-2</v>
      </c>
      <c r="AD4">
        <v>2.94842269726144</v>
      </c>
      <c r="AE4">
        <v>0.124007239937782</v>
      </c>
      <c r="AF4">
        <v>431.35377358490598</v>
      </c>
      <c r="AG4">
        <f>IFERROR(AH4*0.1, "N/A")</f>
        <v>7.2165094339622602</v>
      </c>
      <c r="AH4">
        <v>72.165094339622598</v>
      </c>
      <c r="AI4">
        <v>300.61432153473902</v>
      </c>
      <c r="AJ4">
        <v>22.9669811320755</v>
      </c>
      <c r="AK4">
        <v>65.746855345911897</v>
      </c>
    </row>
    <row r="5" spans="1:37" x14ac:dyDescent="0.3">
      <c r="A5">
        <v>4</v>
      </c>
      <c r="B5">
        <v>25</v>
      </c>
      <c r="C5">
        <v>30.105599999999999</v>
      </c>
      <c r="D5">
        <v>-22.274899999999999</v>
      </c>
      <c r="E5" t="s">
        <v>40</v>
      </c>
      <c r="F5" t="s">
        <v>42</v>
      </c>
      <c r="G5" t="s">
        <v>39</v>
      </c>
      <c r="H5">
        <v>1985</v>
      </c>
      <c r="I5">
        <v>23.470440138810801</v>
      </c>
      <c r="J5">
        <v>13.699999809265099</v>
      </c>
      <c r="K5">
        <v>57</v>
      </c>
      <c r="L5">
        <v>35.705220444397398</v>
      </c>
      <c r="M5">
        <v>33.099998474121101</v>
      </c>
      <c r="N5">
        <v>9.3000001907348597</v>
      </c>
      <c r="O5">
        <v>23.799999237060501</v>
      </c>
      <c r="P5">
        <v>27.100000381469702</v>
      </c>
      <c r="Q5">
        <v>18.200000762939499</v>
      </c>
      <c r="R5">
        <v>27.100000381469702</v>
      </c>
      <c r="S5">
        <v>18.200000762939499</v>
      </c>
      <c r="T5">
        <v>340</v>
      </c>
      <c r="U5">
        <v>73</v>
      </c>
      <c r="V5">
        <v>1</v>
      </c>
      <c r="W5">
        <v>88</v>
      </c>
      <c r="X5">
        <v>196</v>
      </c>
      <c r="Y5">
        <v>6</v>
      </c>
      <c r="Z5">
        <v>196</v>
      </c>
      <c r="AA5">
        <v>6</v>
      </c>
      <c r="AB5">
        <v>5.0655742621271802</v>
      </c>
      <c r="AC5">
        <v>2.0999186429189E-2</v>
      </c>
      <c r="AD5">
        <v>2.94842269726144</v>
      </c>
      <c r="AE5">
        <v>0.124007239937782</v>
      </c>
      <c r="AF5">
        <v>431.35377358490598</v>
      </c>
      <c r="AG5">
        <f>IFERROR(AH5*0.1, "N/A")</f>
        <v>7.2165094339622602</v>
      </c>
      <c r="AH5">
        <v>72.165094339622598</v>
      </c>
      <c r="AI5">
        <v>300.61432153473902</v>
      </c>
      <c r="AJ5">
        <v>22.9669811320755</v>
      </c>
      <c r="AK5">
        <v>65.746855345911897</v>
      </c>
    </row>
    <row r="6" spans="1:37" x14ac:dyDescent="0.3">
      <c r="A6">
        <v>5</v>
      </c>
      <c r="B6">
        <v>50</v>
      </c>
      <c r="C6">
        <v>31.364699999999999</v>
      </c>
      <c r="D6">
        <v>-22.222899999999999</v>
      </c>
      <c r="E6" t="s">
        <v>43</v>
      </c>
      <c r="F6" t="s">
        <v>44</v>
      </c>
      <c r="G6" t="s">
        <v>37</v>
      </c>
      <c r="H6">
        <v>1985</v>
      </c>
      <c r="I6">
        <v>24.600000381469702</v>
      </c>
      <c r="J6">
        <v>14.8999996185303</v>
      </c>
      <c r="K6">
        <v>62</v>
      </c>
      <c r="L6">
        <v>30.7700004577637</v>
      </c>
      <c r="M6">
        <v>34.700000762939503</v>
      </c>
      <c r="N6">
        <v>10.800000190734901</v>
      </c>
      <c r="O6">
        <v>23.899999618530298</v>
      </c>
      <c r="P6">
        <v>27.799999237060501</v>
      </c>
      <c r="Q6">
        <v>20.100000381469702</v>
      </c>
      <c r="R6">
        <v>27.799999237060501</v>
      </c>
      <c r="S6">
        <v>20.100000381469702</v>
      </c>
      <c r="T6">
        <v>430</v>
      </c>
      <c r="U6">
        <v>94</v>
      </c>
      <c r="V6">
        <v>2</v>
      </c>
      <c r="W6">
        <v>96</v>
      </c>
      <c r="X6">
        <v>269</v>
      </c>
      <c r="Y6">
        <v>10</v>
      </c>
      <c r="Z6">
        <v>269</v>
      </c>
      <c r="AA6">
        <v>10</v>
      </c>
      <c r="AB6">
        <v>0.31068924238097001</v>
      </c>
      <c r="AC6">
        <v>42.480010689854197</v>
      </c>
      <c r="AD6">
        <v>0.92440778832390602</v>
      </c>
      <c r="AE6">
        <v>0.19852325320243799</v>
      </c>
      <c r="AF6">
        <v>215.822327044025</v>
      </c>
      <c r="AG6">
        <f>IFERROR(AH6*0.1, "N/A")</f>
        <v>6.8982704402515695</v>
      </c>
      <c r="AH6">
        <v>68.982704402515694</v>
      </c>
      <c r="AI6">
        <v>236.00924764189301</v>
      </c>
      <c r="AJ6">
        <v>30.924528301886799</v>
      </c>
      <c r="AK6">
        <v>57.627358490566003</v>
      </c>
    </row>
    <row r="7" spans="1:37" x14ac:dyDescent="0.3">
      <c r="A7">
        <v>6</v>
      </c>
      <c r="B7">
        <v>32</v>
      </c>
      <c r="C7">
        <v>31.364699999999999</v>
      </c>
      <c r="D7">
        <v>-22.222899999999999</v>
      </c>
      <c r="E7" t="s">
        <v>43</v>
      </c>
      <c r="F7" t="s">
        <v>45</v>
      </c>
      <c r="G7" t="s">
        <v>39</v>
      </c>
      <c r="H7">
        <v>1985</v>
      </c>
      <c r="I7">
        <v>24.600000381469702</v>
      </c>
      <c r="J7">
        <v>14.8999996185303</v>
      </c>
      <c r="K7">
        <v>62</v>
      </c>
      <c r="L7">
        <v>30.7700004577637</v>
      </c>
      <c r="M7">
        <v>34.700000762939503</v>
      </c>
      <c r="N7">
        <v>10.800000190734901</v>
      </c>
      <c r="O7">
        <v>23.899999618530298</v>
      </c>
      <c r="P7">
        <v>27.799999237060501</v>
      </c>
      <c r="Q7">
        <v>20.100000381469702</v>
      </c>
      <c r="R7">
        <v>27.799999237060501</v>
      </c>
      <c r="S7">
        <v>20.100000381469702</v>
      </c>
      <c r="T7">
        <v>430</v>
      </c>
      <c r="U7">
        <v>94</v>
      </c>
      <c r="V7">
        <v>2</v>
      </c>
      <c r="W7">
        <v>96</v>
      </c>
      <c r="X7">
        <v>269</v>
      </c>
      <c r="Y7">
        <v>10</v>
      </c>
      <c r="Z7">
        <v>269</v>
      </c>
      <c r="AA7">
        <v>10</v>
      </c>
      <c r="AB7">
        <v>0.31068924238097001</v>
      </c>
      <c r="AC7">
        <v>42.480010689854197</v>
      </c>
      <c r="AD7">
        <v>0.92440778832390602</v>
      </c>
      <c r="AE7">
        <v>0.19852325320243799</v>
      </c>
      <c r="AF7">
        <v>215.822327044025</v>
      </c>
      <c r="AG7">
        <f>IFERROR(AH7*0.1, "N/A")</f>
        <v>6.8982704402515695</v>
      </c>
      <c r="AH7">
        <v>68.982704402515694</v>
      </c>
      <c r="AI7">
        <v>236.00924764189301</v>
      </c>
      <c r="AJ7">
        <v>30.924528301886799</v>
      </c>
      <c r="AK7">
        <v>57.627358490566003</v>
      </c>
    </row>
    <row r="8" spans="1:37" x14ac:dyDescent="0.3">
      <c r="A8">
        <v>7</v>
      </c>
      <c r="B8">
        <v>2</v>
      </c>
      <c r="C8">
        <v>30.814399999999999</v>
      </c>
      <c r="D8">
        <v>-22.222099</v>
      </c>
      <c r="E8" t="s">
        <v>46</v>
      </c>
      <c r="F8" t="s">
        <v>47</v>
      </c>
      <c r="G8" t="s">
        <v>37</v>
      </c>
      <c r="H8">
        <v>1985</v>
      </c>
      <c r="I8">
        <v>23.100000381469702</v>
      </c>
      <c r="J8">
        <v>13.800000190734901</v>
      </c>
      <c r="K8">
        <v>60</v>
      </c>
      <c r="L8">
        <v>31.840000152587901</v>
      </c>
      <c r="M8">
        <v>32.900001525878899</v>
      </c>
      <c r="N8">
        <v>10</v>
      </c>
      <c r="O8">
        <v>22.899999618530298</v>
      </c>
      <c r="P8">
        <v>26.399999618530298</v>
      </c>
      <c r="Q8">
        <v>18.5</v>
      </c>
      <c r="R8">
        <v>26.399999618530298</v>
      </c>
      <c r="S8">
        <v>18.5</v>
      </c>
      <c r="T8">
        <v>475</v>
      </c>
      <c r="U8">
        <v>102</v>
      </c>
      <c r="V8">
        <v>1</v>
      </c>
      <c r="W8">
        <v>92</v>
      </c>
      <c r="X8">
        <v>288</v>
      </c>
      <c r="Y8">
        <v>10</v>
      </c>
      <c r="Z8">
        <v>288</v>
      </c>
      <c r="AA8">
        <v>10</v>
      </c>
      <c r="AB8">
        <v>17.1428954307965</v>
      </c>
      <c r="AC8">
        <v>8.9367443008189999E-3</v>
      </c>
      <c r="AD8">
        <v>2.8251635575144101</v>
      </c>
      <c r="AE8">
        <v>0.15119770169258101</v>
      </c>
      <c r="AF8">
        <v>424.69873817034699</v>
      </c>
      <c r="AG8">
        <f>IFERROR(AH8*0.1, "N/A")</f>
        <v>6.8025236593059901</v>
      </c>
      <c r="AH8">
        <v>68.025236593059901</v>
      </c>
      <c r="AI8">
        <v>145.798432888669</v>
      </c>
      <c r="AJ8">
        <v>19.9826498422713</v>
      </c>
      <c r="AK8">
        <v>70.522082018927406</v>
      </c>
    </row>
    <row r="9" spans="1:37" x14ac:dyDescent="0.3">
      <c r="A9">
        <v>8</v>
      </c>
      <c r="B9">
        <v>8</v>
      </c>
      <c r="C9">
        <v>30.814399999999999</v>
      </c>
      <c r="D9">
        <v>-22.222099</v>
      </c>
      <c r="E9" t="s">
        <v>46</v>
      </c>
      <c r="F9" t="s">
        <v>48</v>
      </c>
      <c r="G9" t="s">
        <v>39</v>
      </c>
      <c r="H9">
        <v>1985</v>
      </c>
      <c r="I9">
        <v>23.100000381469702</v>
      </c>
      <c r="J9">
        <v>13.800000190734901</v>
      </c>
      <c r="K9">
        <v>60</v>
      </c>
      <c r="L9">
        <v>31.840000152587901</v>
      </c>
      <c r="M9">
        <v>32.900001525878899</v>
      </c>
      <c r="N9">
        <v>10</v>
      </c>
      <c r="O9">
        <v>22.899999618530298</v>
      </c>
      <c r="P9">
        <v>26.399999618530298</v>
      </c>
      <c r="Q9">
        <v>18.5</v>
      </c>
      <c r="R9">
        <v>26.399999618530298</v>
      </c>
      <c r="S9">
        <v>18.5</v>
      </c>
      <c r="T9">
        <v>475</v>
      </c>
      <c r="U9">
        <v>102</v>
      </c>
      <c r="V9">
        <v>1</v>
      </c>
      <c r="W9">
        <v>92</v>
      </c>
      <c r="X9">
        <v>288</v>
      </c>
      <c r="Y9">
        <v>10</v>
      </c>
      <c r="Z9">
        <v>288</v>
      </c>
      <c r="AA9">
        <v>10</v>
      </c>
      <c r="AB9">
        <v>17.1428954307965</v>
      </c>
      <c r="AC9">
        <v>8.9367443008189999E-3</v>
      </c>
      <c r="AD9">
        <v>2.8251635575144101</v>
      </c>
      <c r="AE9">
        <v>0.15119770169258101</v>
      </c>
      <c r="AF9">
        <v>424.69873817034699</v>
      </c>
      <c r="AG9">
        <f>IFERROR(AH9*0.1, "N/A")</f>
        <v>6.8025236593059901</v>
      </c>
      <c r="AH9">
        <v>68.025236593059901</v>
      </c>
      <c r="AI9">
        <v>145.798432888669</v>
      </c>
      <c r="AJ9">
        <v>19.9826498422713</v>
      </c>
      <c r="AK9">
        <v>70.522082018927406</v>
      </c>
    </row>
    <row r="10" spans="1:37" x14ac:dyDescent="0.3">
      <c r="A10">
        <v>9</v>
      </c>
      <c r="B10">
        <v>3</v>
      </c>
      <c r="C10">
        <v>31.188199999999998</v>
      </c>
      <c r="D10">
        <v>-22.177098999999998</v>
      </c>
      <c r="E10" t="s">
        <v>49</v>
      </c>
      <c r="F10" t="s">
        <v>50</v>
      </c>
      <c r="G10" t="s">
        <v>37</v>
      </c>
      <c r="H10">
        <v>1985</v>
      </c>
      <c r="I10">
        <v>23.700000762939499</v>
      </c>
      <c r="J10">
        <v>14.3999996185303</v>
      </c>
      <c r="K10">
        <v>61</v>
      </c>
      <c r="L10">
        <v>31.930000305175799</v>
      </c>
      <c r="M10">
        <v>33.700000762939503</v>
      </c>
      <c r="N10">
        <v>10.199999809265099</v>
      </c>
      <c r="O10">
        <v>23.5</v>
      </c>
      <c r="P10">
        <v>27</v>
      </c>
      <c r="Q10">
        <v>19</v>
      </c>
      <c r="R10">
        <v>27</v>
      </c>
      <c r="S10">
        <v>19</v>
      </c>
      <c r="T10">
        <v>484</v>
      </c>
      <c r="U10">
        <v>103</v>
      </c>
      <c r="V10">
        <v>2</v>
      </c>
      <c r="W10">
        <v>91</v>
      </c>
      <c r="X10">
        <v>294</v>
      </c>
      <c r="Y10">
        <v>11</v>
      </c>
      <c r="Z10">
        <v>294</v>
      </c>
      <c r="AA10">
        <v>11</v>
      </c>
      <c r="AB10">
        <v>5.6839319463783999</v>
      </c>
      <c r="AC10">
        <v>0.13938558859345199</v>
      </c>
      <c r="AD10">
        <v>1.6898360687663501</v>
      </c>
      <c r="AE10">
        <v>0.17556595802307101</v>
      </c>
      <c r="AF10">
        <v>356.57413249211402</v>
      </c>
      <c r="AG10">
        <f>IFERROR(AH10*0.1, "N/A")</f>
        <v>6.8872239747634101</v>
      </c>
      <c r="AH10">
        <v>68.872239747634097</v>
      </c>
      <c r="AI10">
        <v>137.58173611036199</v>
      </c>
      <c r="AJ10">
        <v>30.356466876971599</v>
      </c>
      <c r="AK10">
        <v>57.872239747634097</v>
      </c>
    </row>
    <row r="11" spans="1:37" x14ac:dyDescent="0.3">
      <c r="A11">
        <v>10</v>
      </c>
      <c r="B11">
        <v>24</v>
      </c>
      <c r="C11">
        <v>31.188199999999998</v>
      </c>
      <c r="D11">
        <v>-22.177098999999998</v>
      </c>
      <c r="E11" t="s">
        <v>49</v>
      </c>
      <c r="F11" t="s">
        <v>51</v>
      </c>
      <c r="G11" t="s">
        <v>39</v>
      </c>
      <c r="H11">
        <v>1985</v>
      </c>
      <c r="I11">
        <v>23.700000762939499</v>
      </c>
      <c r="J11">
        <v>14.3999996185303</v>
      </c>
      <c r="K11">
        <v>61</v>
      </c>
      <c r="L11">
        <v>31.930000305175799</v>
      </c>
      <c r="M11">
        <v>33.700000762939503</v>
      </c>
      <c r="N11">
        <v>10.199999809265099</v>
      </c>
      <c r="O11">
        <v>23.5</v>
      </c>
      <c r="P11">
        <v>27</v>
      </c>
      <c r="Q11">
        <v>19</v>
      </c>
      <c r="R11">
        <v>27</v>
      </c>
      <c r="S11">
        <v>19</v>
      </c>
      <c r="T11">
        <v>484</v>
      </c>
      <c r="U11">
        <v>103</v>
      </c>
      <c r="V11">
        <v>2</v>
      </c>
      <c r="W11">
        <v>91</v>
      </c>
      <c r="X11">
        <v>294</v>
      </c>
      <c r="Y11">
        <v>11</v>
      </c>
      <c r="Z11">
        <v>294</v>
      </c>
      <c r="AA11">
        <v>11</v>
      </c>
      <c r="AB11">
        <v>5.6839319463783999</v>
      </c>
      <c r="AC11">
        <v>0.13938558859345199</v>
      </c>
      <c r="AD11">
        <v>1.6898360687663501</v>
      </c>
      <c r="AE11">
        <v>0.17556595802307101</v>
      </c>
      <c r="AF11">
        <v>356.57413249211402</v>
      </c>
      <c r="AG11">
        <f>IFERROR(AH11*0.1, "N/A")</f>
        <v>6.8872239747634101</v>
      </c>
      <c r="AH11">
        <v>68.872239747634097</v>
      </c>
      <c r="AI11">
        <v>137.58173611036199</v>
      </c>
      <c r="AJ11">
        <v>30.356466876971599</v>
      </c>
      <c r="AK11">
        <v>57.872239747634097</v>
      </c>
    </row>
    <row r="12" spans="1:37" x14ac:dyDescent="0.3">
      <c r="A12">
        <v>11</v>
      </c>
      <c r="B12">
        <v>2</v>
      </c>
      <c r="C12">
        <v>30.0777</v>
      </c>
      <c r="D12">
        <v>-22.161100000000001</v>
      </c>
      <c r="E12" t="s">
        <v>52</v>
      </c>
      <c r="F12" t="s">
        <v>53</v>
      </c>
      <c r="G12" t="s">
        <v>37</v>
      </c>
      <c r="H12">
        <v>1985</v>
      </c>
      <c r="I12">
        <v>22.899999618530298</v>
      </c>
      <c r="J12">
        <v>13.699999809265099</v>
      </c>
      <c r="K12">
        <v>57</v>
      </c>
      <c r="L12">
        <v>36.659999847412102</v>
      </c>
      <c r="M12">
        <v>32.599998474121101</v>
      </c>
      <c r="N12">
        <v>8.6000003814697301</v>
      </c>
      <c r="O12">
        <v>24</v>
      </c>
      <c r="P12">
        <v>26.600000381469702</v>
      </c>
      <c r="Q12">
        <v>17.5</v>
      </c>
      <c r="R12">
        <v>26.600000381469702</v>
      </c>
      <c r="S12">
        <v>17.5</v>
      </c>
      <c r="T12">
        <v>359</v>
      </c>
      <c r="U12">
        <v>77</v>
      </c>
      <c r="V12">
        <v>1</v>
      </c>
      <c r="W12">
        <v>89</v>
      </c>
      <c r="X12">
        <v>205</v>
      </c>
      <c r="Y12">
        <v>6</v>
      </c>
      <c r="Z12">
        <v>205</v>
      </c>
      <c r="AA12">
        <v>6</v>
      </c>
      <c r="AB12">
        <v>9.6519152042617602</v>
      </c>
      <c r="AC12">
        <v>1.162902851022E-2</v>
      </c>
      <c r="AD12">
        <v>1.5577315627964501</v>
      </c>
      <c r="AE12">
        <v>0.166768863797188</v>
      </c>
      <c r="AF12">
        <v>512.24290220820205</v>
      </c>
      <c r="AG12">
        <f>IFERROR(AH12*0.1, "N/A")</f>
        <v>7.4779179810725598</v>
      </c>
      <c r="AH12">
        <v>74.779179810725594</v>
      </c>
      <c r="AI12">
        <v>141.03338704876299</v>
      </c>
      <c r="AJ12">
        <v>18.1403785488959</v>
      </c>
      <c r="AK12">
        <v>73.178233438485805</v>
      </c>
    </row>
    <row r="13" spans="1:37" x14ac:dyDescent="0.3">
      <c r="A13">
        <v>12</v>
      </c>
      <c r="B13">
        <v>17</v>
      </c>
      <c r="C13">
        <v>30.0777</v>
      </c>
      <c r="D13">
        <v>-22.161100000000001</v>
      </c>
      <c r="E13" t="s">
        <v>52</v>
      </c>
      <c r="F13" t="s">
        <v>54</v>
      </c>
      <c r="G13" t="s">
        <v>39</v>
      </c>
      <c r="H13">
        <v>1985</v>
      </c>
      <c r="I13">
        <v>22.899999618530298</v>
      </c>
      <c r="J13">
        <v>13.699999809265099</v>
      </c>
      <c r="K13">
        <v>57</v>
      </c>
      <c r="L13">
        <v>36.659999847412102</v>
      </c>
      <c r="M13">
        <v>32.599998474121101</v>
      </c>
      <c r="N13">
        <v>8.6000003814697301</v>
      </c>
      <c r="O13">
        <v>24</v>
      </c>
      <c r="P13">
        <v>26.600000381469702</v>
      </c>
      <c r="Q13">
        <v>17.5</v>
      </c>
      <c r="R13">
        <v>26.600000381469702</v>
      </c>
      <c r="S13">
        <v>17.5</v>
      </c>
      <c r="T13">
        <v>359</v>
      </c>
      <c r="U13">
        <v>77</v>
      </c>
      <c r="V13">
        <v>1</v>
      </c>
      <c r="W13">
        <v>89</v>
      </c>
      <c r="X13">
        <v>205</v>
      </c>
      <c r="Y13">
        <v>6</v>
      </c>
      <c r="Z13">
        <v>205</v>
      </c>
      <c r="AA13">
        <v>6</v>
      </c>
      <c r="AB13">
        <v>9.6519152042617602</v>
      </c>
      <c r="AC13">
        <v>1.162902851022E-2</v>
      </c>
      <c r="AD13">
        <v>1.5577315627964501</v>
      </c>
      <c r="AE13">
        <v>0.166768863797188</v>
      </c>
      <c r="AF13">
        <v>512.24290220820205</v>
      </c>
      <c r="AG13">
        <f>IFERROR(AH13*0.1, "N/A")</f>
        <v>7.4779179810725598</v>
      </c>
      <c r="AH13">
        <v>74.779179810725594</v>
      </c>
      <c r="AI13">
        <v>141.03338704876299</v>
      </c>
      <c r="AJ13">
        <v>18.1403785488959</v>
      </c>
      <c r="AK13">
        <v>73.178233438485805</v>
      </c>
    </row>
    <row r="14" spans="1:37" x14ac:dyDescent="0.3">
      <c r="A14">
        <v>13</v>
      </c>
      <c r="B14">
        <v>3</v>
      </c>
      <c r="C14">
        <v>30.700899</v>
      </c>
      <c r="D14">
        <v>-22.134899000000001</v>
      </c>
      <c r="E14" t="s">
        <v>55</v>
      </c>
      <c r="F14" t="s">
        <v>56</v>
      </c>
      <c r="G14" t="s">
        <v>37</v>
      </c>
      <c r="H14">
        <v>1985</v>
      </c>
      <c r="I14">
        <v>22.700000762939499</v>
      </c>
      <c r="J14">
        <v>13.699999809265099</v>
      </c>
      <c r="K14">
        <v>60</v>
      </c>
      <c r="L14">
        <v>31.969999313354499</v>
      </c>
      <c r="M14">
        <v>32.400001525878899</v>
      </c>
      <c r="N14">
        <v>9.6000003814697301</v>
      </c>
      <c r="O14">
        <v>22.799999237060501</v>
      </c>
      <c r="P14">
        <v>26</v>
      </c>
      <c r="Q14">
        <v>18.100000381469702</v>
      </c>
      <c r="R14">
        <v>26</v>
      </c>
      <c r="S14">
        <v>18.100000381469702</v>
      </c>
      <c r="T14">
        <v>477</v>
      </c>
      <c r="U14">
        <v>104</v>
      </c>
      <c r="V14">
        <v>1</v>
      </c>
      <c r="W14">
        <v>92</v>
      </c>
      <c r="X14">
        <v>289</v>
      </c>
      <c r="Y14">
        <v>11</v>
      </c>
      <c r="Z14">
        <v>289</v>
      </c>
      <c r="AA14">
        <v>11</v>
      </c>
      <c r="AB14">
        <v>7.1342327707573396</v>
      </c>
      <c r="AC14">
        <v>9.1586827106586E-2</v>
      </c>
      <c r="AD14">
        <v>1.46730506814993</v>
      </c>
      <c r="AE14">
        <v>0.15013299278374301</v>
      </c>
      <c r="AF14">
        <v>491.85646687697198</v>
      </c>
      <c r="AG14">
        <f>IFERROR(AH14*0.1, "N/A")</f>
        <v>6.4</v>
      </c>
      <c r="AH14">
        <v>64</v>
      </c>
      <c r="AI14">
        <v>145.17091665659001</v>
      </c>
      <c r="AJ14">
        <v>16.600946372239701</v>
      </c>
      <c r="AK14">
        <v>75.399053627760296</v>
      </c>
    </row>
    <row r="15" spans="1:37" x14ac:dyDescent="0.3">
      <c r="A15">
        <v>14</v>
      </c>
      <c r="B15">
        <v>5</v>
      </c>
      <c r="C15">
        <v>30.700899</v>
      </c>
      <c r="D15">
        <v>-22.134899000000001</v>
      </c>
      <c r="E15" t="s">
        <v>55</v>
      </c>
      <c r="F15" t="s">
        <v>57</v>
      </c>
      <c r="G15" t="s">
        <v>39</v>
      </c>
      <c r="H15">
        <v>1985</v>
      </c>
      <c r="I15">
        <v>22.700000762939499</v>
      </c>
      <c r="J15">
        <v>13.699999809265099</v>
      </c>
      <c r="K15">
        <v>60</v>
      </c>
      <c r="L15">
        <v>31.969999313354499</v>
      </c>
      <c r="M15">
        <v>32.400001525878899</v>
      </c>
      <c r="N15">
        <v>9.6000003814697301</v>
      </c>
      <c r="O15">
        <v>22.799999237060501</v>
      </c>
      <c r="P15">
        <v>26</v>
      </c>
      <c r="Q15">
        <v>18.100000381469702</v>
      </c>
      <c r="R15">
        <v>26</v>
      </c>
      <c r="S15">
        <v>18.100000381469702</v>
      </c>
      <c r="T15">
        <v>477</v>
      </c>
      <c r="U15">
        <v>104</v>
      </c>
      <c r="V15">
        <v>1</v>
      </c>
      <c r="W15">
        <v>92</v>
      </c>
      <c r="X15">
        <v>289</v>
      </c>
      <c r="Y15">
        <v>11</v>
      </c>
      <c r="Z15">
        <v>289</v>
      </c>
      <c r="AA15">
        <v>11</v>
      </c>
      <c r="AB15">
        <v>7.1342327707573396</v>
      </c>
      <c r="AC15">
        <v>9.1586827106586E-2</v>
      </c>
      <c r="AD15">
        <v>1.46730506814993</v>
      </c>
      <c r="AE15">
        <v>0.15013299278374301</v>
      </c>
      <c r="AF15">
        <v>491.85646687697198</v>
      </c>
      <c r="AG15">
        <f>IFERROR(AH15*0.1, "N/A")</f>
        <v>6.4</v>
      </c>
      <c r="AH15">
        <v>64</v>
      </c>
      <c r="AI15">
        <v>145.17091665659001</v>
      </c>
      <c r="AJ15">
        <v>16.600946372239701</v>
      </c>
      <c r="AK15">
        <v>75.399053627760296</v>
      </c>
    </row>
    <row r="16" spans="1:37" x14ac:dyDescent="0.3">
      <c r="A16">
        <v>15</v>
      </c>
      <c r="B16">
        <v>0</v>
      </c>
      <c r="C16">
        <v>29.701401000000001</v>
      </c>
      <c r="D16">
        <v>-22.050799999999999</v>
      </c>
      <c r="E16" t="s">
        <v>58</v>
      </c>
      <c r="F16" t="s">
        <v>59</v>
      </c>
      <c r="G16" t="s">
        <v>37</v>
      </c>
      <c r="H16">
        <v>1985</v>
      </c>
      <c r="I16">
        <v>22.102054101784301</v>
      </c>
      <c r="J16">
        <v>14.7020535295797</v>
      </c>
      <c r="K16">
        <v>56</v>
      </c>
      <c r="L16">
        <v>38.996443822297302</v>
      </c>
      <c r="M16">
        <v>32.700000762939503</v>
      </c>
      <c r="N16">
        <v>6.6020536151542499</v>
      </c>
      <c r="O16">
        <v>26.097946661155198</v>
      </c>
      <c r="P16">
        <v>26.1979470426249</v>
      </c>
      <c r="Q16">
        <v>16.5020537203145</v>
      </c>
      <c r="R16">
        <v>26.1979470426249</v>
      </c>
      <c r="S16">
        <v>16.5020537203145</v>
      </c>
      <c r="T16">
        <v>341.93838862559198</v>
      </c>
      <c r="U16">
        <v>73.979462875197498</v>
      </c>
      <c r="V16">
        <v>1</v>
      </c>
      <c r="W16">
        <v>86.979462875197498</v>
      </c>
      <c r="X16">
        <v>191.958925750395</v>
      </c>
      <c r="Y16">
        <v>6</v>
      </c>
      <c r="Z16">
        <v>191.958925750395</v>
      </c>
      <c r="AA16">
        <v>6</v>
      </c>
      <c r="AB16">
        <v>11.085635409724301</v>
      </c>
      <c r="AC16">
        <v>2.0981198760841001E-2</v>
      </c>
      <c r="AD16">
        <v>2.2631699562449401</v>
      </c>
      <c r="AE16">
        <v>0.162107199430466</v>
      </c>
      <c r="AF16">
        <v>562.65086887835696</v>
      </c>
      <c r="AG16">
        <f>IFERROR(AH16*0.1, "N/A")</f>
        <v>6.9838862559241708</v>
      </c>
      <c r="AH16">
        <v>69.838862559241704</v>
      </c>
      <c r="AI16">
        <v>20.034824439134599</v>
      </c>
      <c r="AJ16">
        <v>22.184834123222799</v>
      </c>
      <c r="AK16">
        <v>68.8151658767773</v>
      </c>
    </row>
    <row r="17" spans="1:37" x14ac:dyDescent="0.3">
      <c r="A17">
        <v>16</v>
      </c>
      <c r="B17">
        <v>2</v>
      </c>
      <c r="C17">
        <v>29.701401000000001</v>
      </c>
      <c r="D17">
        <v>-22.050799999999999</v>
      </c>
      <c r="E17" t="s">
        <v>58</v>
      </c>
      <c r="F17" t="s">
        <v>60</v>
      </c>
      <c r="G17" t="s">
        <v>39</v>
      </c>
      <c r="H17">
        <v>1985</v>
      </c>
      <c r="I17">
        <v>22.102054101784301</v>
      </c>
      <c r="J17">
        <v>14.7020535295797</v>
      </c>
      <c r="K17">
        <v>56</v>
      </c>
      <c r="L17">
        <v>38.996443822297302</v>
      </c>
      <c r="M17">
        <v>32.700000762939503</v>
      </c>
      <c r="N17">
        <v>6.6020536151542499</v>
      </c>
      <c r="O17">
        <v>26.097946661155198</v>
      </c>
      <c r="P17">
        <v>26.1979470426249</v>
      </c>
      <c r="Q17">
        <v>16.5020537203145</v>
      </c>
      <c r="R17">
        <v>26.1979470426249</v>
      </c>
      <c r="S17">
        <v>16.5020537203145</v>
      </c>
      <c r="T17">
        <v>341.93838862559198</v>
      </c>
      <c r="U17">
        <v>73.979462875197498</v>
      </c>
      <c r="V17">
        <v>1</v>
      </c>
      <c r="W17">
        <v>86.979462875197498</v>
      </c>
      <c r="X17">
        <v>191.958925750395</v>
      </c>
      <c r="Y17">
        <v>6</v>
      </c>
      <c r="Z17">
        <v>191.958925750395</v>
      </c>
      <c r="AA17">
        <v>6</v>
      </c>
      <c r="AB17">
        <v>11.085635409724301</v>
      </c>
      <c r="AC17">
        <v>2.0981198760841001E-2</v>
      </c>
      <c r="AD17">
        <v>2.2631699562449401</v>
      </c>
      <c r="AE17">
        <v>0.162107199430466</v>
      </c>
      <c r="AF17">
        <v>562.65086887835696</v>
      </c>
      <c r="AG17">
        <f>IFERROR(AH17*0.1, "N/A")</f>
        <v>6.9838862559241708</v>
      </c>
      <c r="AH17">
        <v>69.838862559241704</v>
      </c>
      <c r="AI17">
        <v>20.034824439134599</v>
      </c>
      <c r="AJ17">
        <v>22.184834123222799</v>
      </c>
      <c r="AK17">
        <v>68.8151658767773</v>
      </c>
    </row>
    <row r="18" spans="1:37" x14ac:dyDescent="0.3">
      <c r="A18">
        <v>17</v>
      </c>
      <c r="B18">
        <v>0</v>
      </c>
      <c r="C18">
        <v>29.349501</v>
      </c>
      <c r="D18">
        <v>-21.920999999999999</v>
      </c>
      <c r="E18" t="s">
        <v>61</v>
      </c>
      <c r="F18" t="s">
        <v>62</v>
      </c>
      <c r="G18" t="s">
        <v>37</v>
      </c>
      <c r="H18">
        <v>1985</v>
      </c>
      <c r="I18">
        <v>22</v>
      </c>
      <c r="J18">
        <v>15.6000003814697</v>
      </c>
      <c r="K18">
        <v>58</v>
      </c>
      <c r="L18">
        <v>37.648507666209397</v>
      </c>
      <c r="M18">
        <v>32.669206407335103</v>
      </c>
      <c r="N18">
        <v>6</v>
      </c>
      <c r="O18">
        <v>26.6692069946773</v>
      </c>
      <c r="P18">
        <v>25.7692060561407</v>
      </c>
      <c r="Q18">
        <v>16.5</v>
      </c>
      <c r="R18">
        <v>25.7692060561407</v>
      </c>
      <c r="S18">
        <v>16.5</v>
      </c>
      <c r="T18">
        <v>339.69206349206303</v>
      </c>
      <c r="U18">
        <v>75</v>
      </c>
      <c r="V18">
        <v>0</v>
      </c>
      <c r="W18">
        <v>89</v>
      </c>
      <c r="X18">
        <v>193</v>
      </c>
      <c r="Y18">
        <v>4</v>
      </c>
      <c r="Z18">
        <v>191.46031746031699</v>
      </c>
      <c r="AA18">
        <v>4</v>
      </c>
      <c r="AB18">
        <v>6.3099787636408697</v>
      </c>
      <c r="AC18">
        <v>1.1079543080949999E-2</v>
      </c>
      <c r="AD18">
        <v>1.38699178865978</v>
      </c>
      <c r="AE18">
        <v>0.156193092465401</v>
      </c>
      <c r="AF18">
        <v>605.21746031746</v>
      </c>
      <c r="AG18">
        <f>IFERROR(AH18*0.1, "N/A")</f>
        <v>7.2307936507936503</v>
      </c>
      <c r="AH18">
        <v>72.307936507936503</v>
      </c>
      <c r="AI18">
        <v>140.55355240049801</v>
      </c>
      <c r="AJ18">
        <v>40.365079365079403</v>
      </c>
      <c r="AK18">
        <v>40.577777777777797</v>
      </c>
    </row>
    <row r="19" spans="1:37" x14ac:dyDescent="0.3">
      <c r="A19">
        <v>18</v>
      </c>
      <c r="B19">
        <v>2</v>
      </c>
      <c r="C19">
        <v>29.349501</v>
      </c>
      <c r="D19">
        <v>-21.920999999999999</v>
      </c>
      <c r="E19" t="s">
        <v>61</v>
      </c>
      <c r="F19" t="s">
        <v>63</v>
      </c>
      <c r="G19" t="s">
        <v>39</v>
      </c>
      <c r="H19">
        <v>1985</v>
      </c>
      <c r="I19">
        <v>22</v>
      </c>
      <c r="J19">
        <v>15.6000003814697</v>
      </c>
      <c r="K19">
        <v>58</v>
      </c>
      <c r="L19">
        <v>37.648507666209397</v>
      </c>
      <c r="M19">
        <v>32.669206407335103</v>
      </c>
      <c r="N19">
        <v>6</v>
      </c>
      <c r="O19">
        <v>26.6692069946773</v>
      </c>
      <c r="P19">
        <v>25.7692060561407</v>
      </c>
      <c r="Q19">
        <v>16.5</v>
      </c>
      <c r="R19">
        <v>25.7692060561407</v>
      </c>
      <c r="S19">
        <v>16.5</v>
      </c>
      <c r="T19">
        <v>339.69206349206303</v>
      </c>
      <c r="U19">
        <v>75</v>
      </c>
      <c r="V19">
        <v>0</v>
      </c>
      <c r="W19">
        <v>89</v>
      </c>
      <c r="X19">
        <v>193</v>
      </c>
      <c r="Y19">
        <v>4</v>
      </c>
      <c r="Z19">
        <v>191.46031746031699</v>
      </c>
      <c r="AA19">
        <v>4</v>
      </c>
      <c r="AB19">
        <v>6.3099787636408697</v>
      </c>
      <c r="AC19">
        <v>1.1079543080949999E-2</v>
      </c>
      <c r="AD19">
        <v>1.38699178865978</v>
      </c>
      <c r="AE19">
        <v>0.156193092465401</v>
      </c>
      <c r="AF19">
        <v>605.21746031746</v>
      </c>
      <c r="AG19">
        <f>IFERROR(AH19*0.1, "N/A")</f>
        <v>7.2307936507936503</v>
      </c>
      <c r="AH19">
        <v>72.307936507936503</v>
      </c>
      <c r="AI19">
        <v>140.55355240049801</v>
      </c>
      <c r="AJ19">
        <v>40.365079365079403</v>
      </c>
      <c r="AK19">
        <v>40.577777777777797</v>
      </c>
    </row>
    <row r="20" spans="1:37" x14ac:dyDescent="0.3">
      <c r="A20">
        <v>19</v>
      </c>
      <c r="B20">
        <v>8</v>
      </c>
      <c r="C20">
        <v>31.333099000000001</v>
      </c>
      <c r="D20">
        <v>-21.710799999999999</v>
      </c>
      <c r="E20" t="s">
        <v>64</v>
      </c>
      <c r="F20" t="s">
        <v>65</v>
      </c>
      <c r="G20" t="s">
        <v>37</v>
      </c>
      <c r="H20">
        <v>1985</v>
      </c>
      <c r="I20">
        <v>23.100000381469702</v>
      </c>
      <c r="J20">
        <v>14.300000190734901</v>
      </c>
      <c r="K20">
        <v>61</v>
      </c>
      <c r="L20">
        <v>31.824095026652</v>
      </c>
      <c r="M20">
        <v>33</v>
      </c>
      <c r="N20">
        <v>9.6000003814697301</v>
      </c>
      <c r="O20">
        <v>23.399999618530298</v>
      </c>
      <c r="P20">
        <v>26.399999618530298</v>
      </c>
      <c r="Q20">
        <v>18.5</v>
      </c>
      <c r="R20">
        <v>26.399999618530298</v>
      </c>
      <c r="S20">
        <v>18.5</v>
      </c>
      <c r="T20">
        <v>553.40158730158703</v>
      </c>
      <c r="U20">
        <v>115</v>
      </c>
      <c r="V20">
        <v>3</v>
      </c>
      <c r="W20">
        <v>89</v>
      </c>
      <c r="X20">
        <v>330.40158730158703</v>
      </c>
      <c r="Y20">
        <v>15</v>
      </c>
      <c r="Z20">
        <v>330.40158730158703</v>
      </c>
      <c r="AA20">
        <v>15</v>
      </c>
      <c r="AB20">
        <v>2.2415982685391902</v>
      </c>
      <c r="AC20">
        <v>5.7915007407288999E-2</v>
      </c>
      <c r="AD20">
        <v>1.00609355918945</v>
      </c>
      <c r="AE20">
        <v>0.22013636347320301</v>
      </c>
      <c r="AF20">
        <v>387.38571428571402</v>
      </c>
      <c r="AG20">
        <f>IFERROR(AH20*0.1, "N/A")</f>
        <v>6.9992063492063501</v>
      </c>
      <c r="AH20">
        <v>69.992063492063494</v>
      </c>
      <c r="AI20">
        <v>153.987388731941</v>
      </c>
      <c r="AJ20">
        <v>38.128571428571398</v>
      </c>
      <c r="AK20">
        <v>50.317460317460302</v>
      </c>
    </row>
    <row r="21" spans="1:37" x14ac:dyDescent="0.3">
      <c r="A21">
        <v>20</v>
      </c>
      <c r="B21">
        <v>30</v>
      </c>
      <c r="C21">
        <v>31.333099000000001</v>
      </c>
      <c r="D21">
        <v>-21.710799999999999</v>
      </c>
      <c r="E21" t="s">
        <v>64</v>
      </c>
      <c r="F21" t="s">
        <v>66</v>
      </c>
      <c r="G21" t="s">
        <v>39</v>
      </c>
      <c r="H21">
        <v>1985</v>
      </c>
      <c r="I21">
        <v>23.100000381469702</v>
      </c>
      <c r="J21">
        <v>14.300000190734901</v>
      </c>
      <c r="K21">
        <v>61</v>
      </c>
      <c r="L21">
        <v>31.824095026652</v>
      </c>
      <c r="M21">
        <v>33</v>
      </c>
      <c r="N21">
        <v>9.6000003814697301</v>
      </c>
      <c r="O21">
        <v>23.399999618530298</v>
      </c>
      <c r="P21">
        <v>26.399999618530298</v>
      </c>
      <c r="Q21">
        <v>18.5</v>
      </c>
      <c r="R21">
        <v>26.399999618530298</v>
      </c>
      <c r="S21">
        <v>18.5</v>
      </c>
      <c r="T21">
        <v>553.40158730158703</v>
      </c>
      <c r="U21">
        <v>115</v>
      </c>
      <c r="V21">
        <v>3</v>
      </c>
      <c r="W21">
        <v>89</v>
      </c>
      <c r="X21">
        <v>330.40158730158703</v>
      </c>
      <c r="Y21">
        <v>15</v>
      </c>
      <c r="Z21">
        <v>330.40158730158703</v>
      </c>
      <c r="AA21">
        <v>15</v>
      </c>
      <c r="AB21">
        <v>2.2415982685391902</v>
      </c>
      <c r="AC21">
        <v>5.7915007407288999E-2</v>
      </c>
      <c r="AD21">
        <v>1.00609355918945</v>
      </c>
      <c r="AE21">
        <v>0.22013636347320301</v>
      </c>
      <c r="AF21">
        <v>387.38571428571402</v>
      </c>
      <c r="AG21">
        <f>IFERROR(AH21*0.1, "N/A")</f>
        <v>6.9992063492063501</v>
      </c>
      <c r="AH21">
        <v>69.992063492063494</v>
      </c>
      <c r="AI21">
        <v>153.987388731941</v>
      </c>
      <c r="AJ21">
        <v>38.128571428571398</v>
      </c>
      <c r="AK21">
        <v>50.317460317460302</v>
      </c>
    </row>
    <row r="22" spans="1:37" x14ac:dyDescent="0.3">
      <c r="A22">
        <v>21</v>
      </c>
      <c r="B22">
        <v>2</v>
      </c>
      <c r="C22">
        <v>29.6616</v>
      </c>
      <c r="D22">
        <v>-21.695999</v>
      </c>
      <c r="E22" t="s">
        <v>67</v>
      </c>
      <c r="F22" t="s">
        <v>68</v>
      </c>
      <c r="G22" t="s">
        <v>37</v>
      </c>
      <c r="H22">
        <v>1985</v>
      </c>
      <c r="I22">
        <v>22.100000381469702</v>
      </c>
      <c r="J22">
        <v>15.1000003814697</v>
      </c>
      <c r="K22">
        <v>58</v>
      </c>
      <c r="L22">
        <v>36.590000152587898</v>
      </c>
      <c r="M22">
        <v>32.200000762939503</v>
      </c>
      <c r="N22">
        <v>6.5999999046325701</v>
      </c>
      <c r="O22">
        <v>25.600000381469702</v>
      </c>
      <c r="P22">
        <v>25.700000762939499</v>
      </c>
      <c r="Q22">
        <v>16.799999237060501</v>
      </c>
      <c r="R22">
        <v>25.700000762939499</v>
      </c>
      <c r="S22">
        <v>16.799999237060501</v>
      </c>
      <c r="T22">
        <v>370</v>
      </c>
      <c r="U22">
        <v>84</v>
      </c>
      <c r="V22">
        <v>1</v>
      </c>
      <c r="W22">
        <v>93</v>
      </c>
      <c r="X22">
        <v>218</v>
      </c>
      <c r="Y22">
        <v>7</v>
      </c>
      <c r="Z22">
        <v>207</v>
      </c>
      <c r="AA22">
        <v>7</v>
      </c>
      <c r="AB22">
        <v>0.50744793604290706</v>
      </c>
      <c r="AC22">
        <v>905.67144171038103</v>
      </c>
      <c r="AD22">
        <v>1.6819875736085199</v>
      </c>
      <c r="AE22">
        <v>0.15719217061996499</v>
      </c>
      <c r="AF22">
        <v>579.93492063492101</v>
      </c>
      <c r="AG22">
        <f>IFERROR(AH22*0.1, "N/A")</f>
        <v>7.2004761904761914</v>
      </c>
      <c r="AH22">
        <v>72.004761904761907</v>
      </c>
      <c r="AI22">
        <v>263.67768855019199</v>
      </c>
      <c r="AJ22">
        <v>33.009523809523799</v>
      </c>
      <c r="AK22">
        <v>50.980952380952402</v>
      </c>
    </row>
    <row r="23" spans="1:37" x14ac:dyDescent="0.3">
      <c r="A23">
        <v>22</v>
      </c>
      <c r="B23">
        <v>13</v>
      </c>
      <c r="C23">
        <v>29.6616</v>
      </c>
      <c r="D23">
        <v>-21.695999</v>
      </c>
      <c r="E23" t="s">
        <v>67</v>
      </c>
      <c r="F23" t="s">
        <v>69</v>
      </c>
      <c r="G23" t="s">
        <v>39</v>
      </c>
      <c r="H23">
        <v>1985</v>
      </c>
      <c r="I23">
        <v>22.100000381469702</v>
      </c>
      <c r="J23">
        <v>15.1000003814697</v>
      </c>
      <c r="K23">
        <v>58</v>
      </c>
      <c r="L23">
        <v>36.590000152587898</v>
      </c>
      <c r="M23">
        <v>32.200000762939503</v>
      </c>
      <c r="N23">
        <v>6.5999999046325701</v>
      </c>
      <c r="O23">
        <v>25.600000381469702</v>
      </c>
      <c r="P23">
        <v>25.700000762939499</v>
      </c>
      <c r="Q23">
        <v>16.799999237060501</v>
      </c>
      <c r="R23">
        <v>25.700000762939499</v>
      </c>
      <c r="S23">
        <v>16.799999237060501</v>
      </c>
      <c r="T23">
        <v>370</v>
      </c>
      <c r="U23">
        <v>84</v>
      </c>
      <c r="V23">
        <v>1</v>
      </c>
      <c r="W23">
        <v>93</v>
      </c>
      <c r="X23">
        <v>218</v>
      </c>
      <c r="Y23">
        <v>7</v>
      </c>
      <c r="Z23">
        <v>207</v>
      </c>
      <c r="AA23">
        <v>7</v>
      </c>
      <c r="AB23">
        <v>0.50744793604290706</v>
      </c>
      <c r="AC23">
        <v>905.67144171038103</v>
      </c>
      <c r="AD23">
        <v>1.6819875736085199</v>
      </c>
      <c r="AE23">
        <v>0.15719217061996499</v>
      </c>
      <c r="AF23">
        <v>579.93492063492101</v>
      </c>
      <c r="AG23">
        <f>IFERROR(AH23*0.1, "N/A")</f>
        <v>7.2004761904761914</v>
      </c>
      <c r="AH23">
        <v>72.004761904761907</v>
      </c>
      <c r="AI23">
        <v>263.67768855019199</v>
      </c>
      <c r="AJ23">
        <v>33.009523809523799</v>
      </c>
      <c r="AK23">
        <v>50.980952380952402</v>
      </c>
    </row>
    <row r="24" spans="1:37" x14ac:dyDescent="0.3">
      <c r="A24">
        <v>23</v>
      </c>
      <c r="B24">
        <v>0</v>
      </c>
      <c r="C24">
        <v>28.943501000000001</v>
      </c>
      <c r="D24">
        <v>-21.679600000000001</v>
      </c>
      <c r="E24" t="s">
        <v>70</v>
      </c>
      <c r="F24" t="s">
        <v>71</v>
      </c>
      <c r="G24" t="s">
        <v>37</v>
      </c>
      <c r="H24">
        <v>1985</v>
      </c>
      <c r="I24">
        <v>21.399999618530298</v>
      </c>
      <c r="J24">
        <v>15.6000003814697</v>
      </c>
      <c r="K24">
        <v>58</v>
      </c>
      <c r="L24">
        <v>36.599998474121101</v>
      </c>
      <c r="M24">
        <v>32.200000762939503</v>
      </c>
      <c r="N24">
        <v>5.5999999046325701</v>
      </c>
      <c r="O24">
        <v>26.600000381469702</v>
      </c>
      <c r="P24">
        <v>24.899999618530298</v>
      </c>
      <c r="Q24">
        <v>16.100000381469702</v>
      </c>
      <c r="R24">
        <v>25</v>
      </c>
      <c r="S24">
        <v>16.100000381469702</v>
      </c>
      <c r="T24">
        <v>371</v>
      </c>
      <c r="U24">
        <v>78</v>
      </c>
      <c r="V24">
        <v>0</v>
      </c>
      <c r="W24">
        <v>92</v>
      </c>
      <c r="X24">
        <v>215</v>
      </c>
      <c r="Y24">
        <v>6</v>
      </c>
      <c r="Z24">
        <v>203</v>
      </c>
      <c r="AA24">
        <v>6</v>
      </c>
      <c r="AB24">
        <v>7.5505531661672904</v>
      </c>
      <c r="AC24">
        <v>7.3653220675778994E-2</v>
      </c>
      <c r="AD24">
        <v>1.3634439664767399</v>
      </c>
      <c r="AE24">
        <v>0.185018375515938</v>
      </c>
      <c r="AF24">
        <v>725.99524564183798</v>
      </c>
      <c r="AG24">
        <f>IFERROR(AH24*0.1, "N/A")</f>
        <v>7.1505546751188609</v>
      </c>
      <c r="AH24">
        <v>71.505546751188604</v>
      </c>
      <c r="AI24">
        <v>159.32978894253401</v>
      </c>
      <c r="AJ24">
        <v>23.7274167987322</v>
      </c>
      <c r="AK24">
        <v>62</v>
      </c>
    </row>
    <row r="25" spans="1:37" x14ac:dyDescent="0.3">
      <c r="A25">
        <v>24</v>
      </c>
      <c r="B25">
        <v>15</v>
      </c>
      <c r="C25">
        <v>28.943501000000001</v>
      </c>
      <c r="D25">
        <v>-21.679600000000001</v>
      </c>
      <c r="E25" t="s">
        <v>70</v>
      </c>
      <c r="F25" t="s">
        <v>72</v>
      </c>
      <c r="G25" t="s">
        <v>39</v>
      </c>
      <c r="H25">
        <v>1985</v>
      </c>
      <c r="I25">
        <v>21.399999618530298</v>
      </c>
      <c r="J25">
        <v>15.6000003814697</v>
      </c>
      <c r="K25">
        <v>58</v>
      </c>
      <c r="L25">
        <v>36.599998474121101</v>
      </c>
      <c r="M25">
        <v>32.200000762939503</v>
      </c>
      <c r="N25">
        <v>5.5999999046325701</v>
      </c>
      <c r="O25">
        <v>26.600000381469702</v>
      </c>
      <c r="P25">
        <v>24.899999618530298</v>
      </c>
      <c r="Q25">
        <v>16.100000381469702</v>
      </c>
      <c r="R25">
        <v>25</v>
      </c>
      <c r="S25">
        <v>16.100000381469702</v>
      </c>
      <c r="T25">
        <v>371</v>
      </c>
      <c r="U25">
        <v>78</v>
      </c>
      <c r="V25">
        <v>0</v>
      </c>
      <c r="W25">
        <v>92</v>
      </c>
      <c r="X25">
        <v>215</v>
      </c>
      <c r="Y25">
        <v>6</v>
      </c>
      <c r="Z25">
        <v>203</v>
      </c>
      <c r="AA25">
        <v>6</v>
      </c>
      <c r="AB25">
        <v>7.5505531661672904</v>
      </c>
      <c r="AC25">
        <v>7.3653220675778994E-2</v>
      </c>
      <c r="AD25">
        <v>1.3634439664767399</v>
      </c>
      <c r="AE25">
        <v>0.185018375515938</v>
      </c>
      <c r="AF25">
        <v>725.99524564183798</v>
      </c>
      <c r="AG25">
        <f>IFERROR(AH25*0.1, "N/A")</f>
        <v>7.1505546751188609</v>
      </c>
      <c r="AH25">
        <v>71.505546751188604</v>
      </c>
      <c r="AI25">
        <v>159.32978894253401</v>
      </c>
      <c r="AJ25">
        <v>23.7274167987322</v>
      </c>
      <c r="AK25">
        <v>62</v>
      </c>
    </row>
    <row r="26" spans="1:37" x14ac:dyDescent="0.3">
      <c r="A26">
        <v>25</v>
      </c>
      <c r="B26">
        <v>12</v>
      </c>
      <c r="C26">
        <v>31.589898999999999</v>
      </c>
      <c r="D26">
        <v>-21.531400999999999</v>
      </c>
      <c r="E26" t="s">
        <v>73</v>
      </c>
      <c r="F26" t="s">
        <v>74</v>
      </c>
      <c r="G26" t="s">
        <v>37</v>
      </c>
      <c r="H26">
        <v>1985</v>
      </c>
      <c r="I26">
        <v>22.5</v>
      </c>
      <c r="J26">
        <v>14</v>
      </c>
      <c r="K26">
        <v>61</v>
      </c>
      <c r="L26">
        <v>30.870000839233398</v>
      </c>
      <c r="M26">
        <v>32.200000762939503</v>
      </c>
      <c r="N26">
        <v>9.5</v>
      </c>
      <c r="O26">
        <v>22.700000762939499</v>
      </c>
      <c r="P26">
        <v>25.799999237060501</v>
      </c>
      <c r="Q26">
        <v>18.100000381469702</v>
      </c>
      <c r="R26">
        <v>25.799999237060501</v>
      </c>
      <c r="S26">
        <v>18.100000381469702</v>
      </c>
      <c r="T26">
        <v>627</v>
      </c>
      <c r="U26">
        <v>126</v>
      </c>
      <c r="V26">
        <v>5</v>
      </c>
      <c r="W26">
        <v>88</v>
      </c>
      <c r="X26">
        <v>369</v>
      </c>
      <c r="Y26">
        <v>21</v>
      </c>
      <c r="Z26">
        <v>369</v>
      </c>
      <c r="AA26">
        <v>21</v>
      </c>
      <c r="AB26">
        <v>2.7683109821494898</v>
      </c>
      <c r="AC26">
        <v>0.75499011762440205</v>
      </c>
      <c r="AD26">
        <v>2.0312136145288</v>
      </c>
      <c r="AE26">
        <v>0.196746787702792</v>
      </c>
      <c r="AF26">
        <v>456.91917591125201</v>
      </c>
      <c r="AG26">
        <f>IFERROR(AH26*0.1, "N/A")</f>
        <v>6.7057052297939812</v>
      </c>
      <c r="AH26">
        <v>67.057052297939805</v>
      </c>
      <c r="AI26">
        <v>208.52717007547901</v>
      </c>
      <c r="AJ26">
        <v>20.057052297939801</v>
      </c>
      <c r="AK26">
        <v>71.942947702060195</v>
      </c>
    </row>
    <row r="27" spans="1:37" x14ac:dyDescent="0.3">
      <c r="A27">
        <v>26</v>
      </c>
      <c r="B27">
        <v>25</v>
      </c>
      <c r="C27">
        <v>31.589898999999999</v>
      </c>
      <c r="D27">
        <v>-21.531400999999999</v>
      </c>
      <c r="E27" t="s">
        <v>73</v>
      </c>
      <c r="F27" t="s">
        <v>75</v>
      </c>
      <c r="G27" t="s">
        <v>39</v>
      </c>
      <c r="H27">
        <v>1985</v>
      </c>
      <c r="I27">
        <v>22.5</v>
      </c>
      <c r="J27">
        <v>14</v>
      </c>
      <c r="K27">
        <v>61</v>
      </c>
      <c r="L27">
        <v>30.870000839233398</v>
      </c>
      <c r="M27">
        <v>32.200000762939503</v>
      </c>
      <c r="N27">
        <v>9.5</v>
      </c>
      <c r="O27">
        <v>22.700000762939499</v>
      </c>
      <c r="P27">
        <v>25.799999237060501</v>
      </c>
      <c r="Q27">
        <v>18.100000381469702</v>
      </c>
      <c r="R27">
        <v>25.799999237060501</v>
      </c>
      <c r="S27">
        <v>18.100000381469702</v>
      </c>
      <c r="T27">
        <v>627</v>
      </c>
      <c r="U27">
        <v>126</v>
      </c>
      <c r="V27">
        <v>5</v>
      </c>
      <c r="W27">
        <v>88</v>
      </c>
      <c r="X27">
        <v>369</v>
      </c>
      <c r="Y27">
        <v>21</v>
      </c>
      <c r="Z27">
        <v>369</v>
      </c>
      <c r="AA27">
        <v>21</v>
      </c>
      <c r="AB27">
        <v>2.7683109821494898</v>
      </c>
      <c r="AC27">
        <v>0.75499011762440205</v>
      </c>
      <c r="AD27">
        <v>2.0312136145288</v>
      </c>
      <c r="AE27">
        <v>0.196746787702792</v>
      </c>
      <c r="AF27">
        <v>456.91917591125201</v>
      </c>
      <c r="AG27">
        <f>IFERROR(AH27*0.1, "N/A")</f>
        <v>6.7057052297939812</v>
      </c>
      <c r="AH27">
        <v>67.057052297939805</v>
      </c>
      <c r="AI27">
        <v>208.52717007547901</v>
      </c>
      <c r="AJ27">
        <v>20.057052297939801</v>
      </c>
      <c r="AK27">
        <v>71.942947702060195</v>
      </c>
    </row>
    <row r="28" spans="1:37" x14ac:dyDescent="0.3">
      <c r="A28">
        <v>27</v>
      </c>
      <c r="B28">
        <v>0</v>
      </c>
      <c r="C28">
        <v>29.8794</v>
      </c>
      <c r="D28">
        <v>-21.520800000000001</v>
      </c>
      <c r="E28" t="s">
        <v>76</v>
      </c>
      <c r="F28" t="s">
        <v>77</v>
      </c>
      <c r="G28" t="s">
        <v>37</v>
      </c>
      <c r="H28">
        <v>1985</v>
      </c>
      <c r="I28">
        <v>21.5</v>
      </c>
      <c r="J28">
        <v>14.699999809265099</v>
      </c>
      <c r="K28">
        <v>58</v>
      </c>
      <c r="L28">
        <v>35.930000305175803</v>
      </c>
      <c r="M28">
        <v>31.600000381469702</v>
      </c>
      <c r="N28">
        <v>6.5</v>
      </c>
      <c r="O28">
        <v>25.100000381469702</v>
      </c>
      <c r="P28">
        <v>25</v>
      </c>
      <c r="Q28">
        <v>16.299999237060501</v>
      </c>
      <c r="R28">
        <v>25.100000381469702</v>
      </c>
      <c r="S28">
        <v>16.299999237060501</v>
      </c>
      <c r="T28">
        <v>448</v>
      </c>
      <c r="U28">
        <v>102</v>
      </c>
      <c r="V28">
        <v>2</v>
      </c>
      <c r="W28">
        <v>93</v>
      </c>
      <c r="X28">
        <v>267</v>
      </c>
      <c r="Y28">
        <v>11</v>
      </c>
      <c r="Z28">
        <v>251</v>
      </c>
      <c r="AA28">
        <v>11</v>
      </c>
      <c r="AB28">
        <v>3.6298341781374002</v>
      </c>
      <c r="AC28">
        <v>0.102568656472223</v>
      </c>
      <c r="AD28">
        <v>1.47688546029348</v>
      </c>
      <c r="AE28">
        <v>0.15758396685123399</v>
      </c>
      <c r="AF28">
        <v>676.3</v>
      </c>
      <c r="AG28">
        <f>IFERROR(AH28*0.1, "N/A")</f>
        <v>6.9</v>
      </c>
      <c r="AH28">
        <v>69</v>
      </c>
      <c r="AI28">
        <v>256.268912627205</v>
      </c>
      <c r="AJ28">
        <v>20.3095238095238</v>
      </c>
      <c r="AK28">
        <v>70.793650793650798</v>
      </c>
    </row>
    <row r="29" spans="1:37" x14ac:dyDescent="0.3">
      <c r="A29">
        <v>28</v>
      </c>
      <c r="B29">
        <v>59</v>
      </c>
      <c r="C29">
        <v>29.8794</v>
      </c>
      <c r="D29">
        <v>-21.520800000000001</v>
      </c>
      <c r="E29" t="s">
        <v>76</v>
      </c>
      <c r="F29" t="s">
        <v>78</v>
      </c>
      <c r="G29" t="s">
        <v>39</v>
      </c>
      <c r="H29">
        <v>1985</v>
      </c>
      <c r="I29">
        <v>21.5</v>
      </c>
      <c r="J29">
        <v>14.699999809265099</v>
      </c>
      <c r="K29">
        <v>58</v>
      </c>
      <c r="L29">
        <v>35.930000305175803</v>
      </c>
      <c r="M29">
        <v>31.600000381469702</v>
      </c>
      <c r="N29">
        <v>6.5</v>
      </c>
      <c r="O29">
        <v>25.100000381469702</v>
      </c>
      <c r="P29">
        <v>25</v>
      </c>
      <c r="Q29">
        <v>16.299999237060501</v>
      </c>
      <c r="R29">
        <v>25.100000381469702</v>
      </c>
      <c r="S29">
        <v>16.299999237060501</v>
      </c>
      <c r="T29">
        <v>448</v>
      </c>
      <c r="U29">
        <v>102</v>
      </c>
      <c r="V29">
        <v>2</v>
      </c>
      <c r="W29">
        <v>93</v>
      </c>
      <c r="X29">
        <v>267</v>
      </c>
      <c r="Y29">
        <v>11</v>
      </c>
      <c r="Z29">
        <v>251</v>
      </c>
      <c r="AA29">
        <v>11</v>
      </c>
      <c r="AB29">
        <v>3.6298341781374002</v>
      </c>
      <c r="AC29">
        <v>0.102568656472223</v>
      </c>
      <c r="AD29">
        <v>1.47688546029348</v>
      </c>
      <c r="AE29">
        <v>0.15758396685123399</v>
      </c>
      <c r="AF29">
        <v>676.3</v>
      </c>
      <c r="AG29">
        <f>IFERROR(AH29*0.1, "N/A")</f>
        <v>6.9</v>
      </c>
      <c r="AH29">
        <v>69</v>
      </c>
      <c r="AI29">
        <v>256.268912627205</v>
      </c>
      <c r="AJ29">
        <v>20.3095238095238</v>
      </c>
      <c r="AK29">
        <v>70.793650793650798</v>
      </c>
    </row>
    <row r="30" spans="1:37" x14ac:dyDescent="0.3">
      <c r="A30">
        <v>29</v>
      </c>
      <c r="B30">
        <v>1</v>
      </c>
      <c r="C30">
        <v>28.175599999999999</v>
      </c>
      <c r="D30">
        <v>-21.503799000000001</v>
      </c>
      <c r="E30" t="s">
        <v>79</v>
      </c>
      <c r="F30" t="s">
        <v>80</v>
      </c>
      <c r="G30" t="s">
        <v>37</v>
      </c>
      <c r="H30">
        <v>1985</v>
      </c>
      <c r="I30">
        <v>20.700000762939499</v>
      </c>
      <c r="J30">
        <v>14.8999996185303</v>
      </c>
      <c r="K30">
        <v>57</v>
      </c>
      <c r="L30">
        <v>36.568414908770301</v>
      </c>
      <c r="M30">
        <v>31.5</v>
      </c>
      <c r="N30">
        <v>5.5006339138170102</v>
      </c>
      <c r="O30">
        <v>25.9993660831603</v>
      </c>
      <c r="P30">
        <v>23.899999618530298</v>
      </c>
      <c r="Q30">
        <v>15.3006341015291</v>
      </c>
      <c r="R30">
        <v>24.100000381469702</v>
      </c>
      <c r="S30">
        <v>15.3006341015291</v>
      </c>
      <c r="T30">
        <v>392.98098256735301</v>
      </c>
      <c r="U30">
        <v>86.993660855784498</v>
      </c>
      <c r="V30">
        <v>0</v>
      </c>
      <c r="W30">
        <v>93.993660855784498</v>
      </c>
      <c r="X30">
        <v>233.98098256735301</v>
      </c>
      <c r="Y30">
        <v>2</v>
      </c>
      <c r="Z30">
        <v>210.987321711569</v>
      </c>
      <c r="AA30">
        <v>2.0126782884310601</v>
      </c>
      <c r="AB30">
        <v>24.595714635592099</v>
      </c>
      <c r="AC30">
        <v>9.5159283495269992E-3</v>
      </c>
      <c r="AD30">
        <v>8.2430102738260995</v>
      </c>
      <c r="AE30">
        <v>0.17685399949550601</v>
      </c>
      <c r="AF30">
        <v>895.50396196513498</v>
      </c>
      <c r="AG30">
        <f>IFERROR(AH30*0.1, "N/A")</f>
        <v>5.9012678288431104</v>
      </c>
      <c r="AH30">
        <v>59.012678288431097</v>
      </c>
      <c r="AI30">
        <v>116.700142475013</v>
      </c>
      <c r="AJ30">
        <v>12</v>
      </c>
      <c r="AK30">
        <v>79.990491283676704</v>
      </c>
    </row>
    <row r="31" spans="1:37" x14ac:dyDescent="0.3">
      <c r="A31">
        <v>30</v>
      </c>
      <c r="B31">
        <v>1</v>
      </c>
      <c r="C31">
        <v>28.175599999999999</v>
      </c>
      <c r="D31">
        <v>-21.503799000000001</v>
      </c>
      <c r="E31" t="s">
        <v>79</v>
      </c>
      <c r="F31" t="s">
        <v>81</v>
      </c>
      <c r="G31" t="s">
        <v>39</v>
      </c>
      <c r="H31">
        <v>1985</v>
      </c>
      <c r="I31">
        <v>20.700000762939499</v>
      </c>
      <c r="J31">
        <v>14.8999996185303</v>
      </c>
      <c r="K31">
        <v>57</v>
      </c>
      <c r="L31">
        <v>36.568414908770301</v>
      </c>
      <c r="M31">
        <v>31.5</v>
      </c>
      <c r="N31">
        <v>5.5006339138170102</v>
      </c>
      <c r="O31">
        <v>25.9993660831603</v>
      </c>
      <c r="P31">
        <v>23.899999618530298</v>
      </c>
      <c r="Q31">
        <v>15.3006341015291</v>
      </c>
      <c r="R31">
        <v>24.100000381469702</v>
      </c>
      <c r="S31">
        <v>15.3006341015291</v>
      </c>
      <c r="T31">
        <v>392.98098256735301</v>
      </c>
      <c r="U31">
        <v>86.993660855784498</v>
      </c>
      <c r="V31">
        <v>0</v>
      </c>
      <c r="W31">
        <v>93.993660855784498</v>
      </c>
      <c r="X31">
        <v>233.98098256735301</v>
      </c>
      <c r="Y31">
        <v>2</v>
      </c>
      <c r="Z31">
        <v>210.987321711569</v>
      </c>
      <c r="AA31">
        <v>2.0126782884310601</v>
      </c>
      <c r="AB31">
        <v>24.595714635592099</v>
      </c>
      <c r="AC31">
        <v>9.5159283495269992E-3</v>
      </c>
      <c r="AD31">
        <v>8.2430102738260995</v>
      </c>
      <c r="AE31">
        <v>0.17685399949550601</v>
      </c>
      <c r="AF31">
        <v>895.50396196513498</v>
      </c>
      <c r="AG31">
        <f>IFERROR(AH31*0.1, "N/A")</f>
        <v>5.9012678288431104</v>
      </c>
      <c r="AH31">
        <v>59.012678288431097</v>
      </c>
      <c r="AI31">
        <v>116.700142475013</v>
      </c>
      <c r="AJ31">
        <v>12</v>
      </c>
      <c r="AK31">
        <v>79.990491283676704</v>
      </c>
    </row>
    <row r="32" spans="1:37" x14ac:dyDescent="0.3">
      <c r="A32">
        <v>31</v>
      </c>
      <c r="B32">
        <v>1</v>
      </c>
      <c r="C32">
        <v>30.727501</v>
      </c>
      <c r="D32">
        <v>-21.4603</v>
      </c>
      <c r="E32" t="s">
        <v>82</v>
      </c>
      <c r="F32" t="s">
        <v>83</v>
      </c>
      <c r="G32" t="s">
        <v>37</v>
      </c>
      <c r="H32">
        <v>1985</v>
      </c>
      <c r="I32">
        <v>22.100000381469702</v>
      </c>
      <c r="J32">
        <v>14.800000190734901</v>
      </c>
      <c r="K32">
        <v>57</v>
      </c>
      <c r="L32">
        <v>38.5</v>
      </c>
      <c r="M32">
        <v>32.599998474121101</v>
      </c>
      <c r="N32">
        <v>6.8000001907348597</v>
      </c>
      <c r="O32">
        <v>25.799999237060501</v>
      </c>
      <c r="P32">
        <v>26</v>
      </c>
      <c r="Q32">
        <v>16.5</v>
      </c>
      <c r="R32">
        <v>26.100000381469702</v>
      </c>
      <c r="S32">
        <v>16.5</v>
      </c>
      <c r="T32">
        <v>448</v>
      </c>
      <c r="U32">
        <v>108</v>
      </c>
      <c r="V32">
        <v>2</v>
      </c>
      <c r="W32">
        <v>92</v>
      </c>
      <c r="X32">
        <v>267</v>
      </c>
      <c r="Y32">
        <v>9</v>
      </c>
      <c r="Z32">
        <v>250</v>
      </c>
      <c r="AA32">
        <v>9</v>
      </c>
      <c r="AB32">
        <v>0.43481610272381799</v>
      </c>
      <c r="AC32">
        <v>10.4998524313043</v>
      </c>
      <c r="AD32">
        <v>0.61376090876059197</v>
      </c>
      <c r="AE32">
        <v>0.19906289809174699</v>
      </c>
      <c r="AF32">
        <v>480.74880763116101</v>
      </c>
      <c r="AG32">
        <f>IFERROR(AH32*0.1, "N/A")</f>
        <v>6.5</v>
      </c>
      <c r="AH32">
        <v>65</v>
      </c>
      <c r="AI32">
        <v>108.50390192586801</v>
      </c>
      <c r="AJ32">
        <v>23</v>
      </c>
      <c r="AK32">
        <v>69</v>
      </c>
    </row>
    <row r="33" spans="1:37" x14ac:dyDescent="0.3">
      <c r="A33">
        <v>32</v>
      </c>
      <c r="B33">
        <v>46</v>
      </c>
      <c r="C33">
        <v>30.727501</v>
      </c>
      <c r="D33">
        <v>-21.4603</v>
      </c>
      <c r="E33" t="s">
        <v>82</v>
      </c>
      <c r="F33" t="s">
        <v>84</v>
      </c>
      <c r="G33" t="s">
        <v>39</v>
      </c>
      <c r="H33">
        <v>1985</v>
      </c>
      <c r="I33">
        <v>22.100000381469702</v>
      </c>
      <c r="J33">
        <v>14.800000190734901</v>
      </c>
      <c r="K33">
        <v>57</v>
      </c>
      <c r="L33">
        <v>38.5</v>
      </c>
      <c r="M33">
        <v>32.599998474121101</v>
      </c>
      <c r="N33">
        <v>6.8000001907348597</v>
      </c>
      <c r="O33">
        <v>25.799999237060501</v>
      </c>
      <c r="P33">
        <v>26</v>
      </c>
      <c r="Q33">
        <v>16.5</v>
      </c>
      <c r="R33">
        <v>26.100000381469702</v>
      </c>
      <c r="S33">
        <v>16.5</v>
      </c>
      <c r="T33">
        <v>448</v>
      </c>
      <c r="U33">
        <v>108</v>
      </c>
      <c r="V33">
        <v>2</v>
      </c>
      <c r="W33">
        <v>92</v>
      </c>
      <c r="X33">
        <v>267</v>
      </c>
      <c r="Y33">
        <v>9</v>
      </c>
      <c r="Z33">
        <v>250</v>
      </c>
      <c r="AA33">
        <v>9</v>
      </c>
      <c r="AB33">
        <v>0.43481610272381799</v>
      </c>
      <c r="AC33">
        <v>10.4998524313043</v>
      </c>
      <c r="AD33">
        <v>0.61376090876059197</v>
      </c>
      <c r="AE33">
        <v>0.19906289809174699</v>
      </c>
      <c r="AF33">
        <v>480.74880763116101</v>
      </c>
      <c r="AG33">
        <f>IFERROR(AH33*0.1, "N/A")</f>
        <v>6.5</v>
      </c>
      <c r="AH33">
        <v>65</v>
      </c>
      <c r="AI33">
        <v>108.50390192586801</v>
      </c>
      <c r="AJ33">
        <v>23</v>
      </c>
      <c r="AK33">
        <v>69</v>
      </c>
    </row>
    <row r="34" spans="1:37" x14ac:dyDescent="0.3">
      <c r="A34">
        <v>33</v>
      </c>
      <c r="B34">
        <v>76</v>
      </c>
      <c r="C34">
        <v>31.956699</v>
      </c>
      <c r="D34">
        <v>-21.332198999999999</v>
      </c>
      <c r="E34" t="s">
        <v>85</v>
      </c>
      <c r="F34" t="s">
        <v>86</v>
      </c>
      <c r="G34" t="s">
        <v>37</v>
      </c>
      <c r="H34">
        <v>1985</v>
      </c>
      <c r="I34">
        <v>23.200000762939499</v>
      </c>
      <c r="J34">
        <v>14.300000190734901</v>
      </c>
      <c r="K34">
        <v>61</v>
      </c>
      <c r="L34">
        <v>31.170000076293899</v>
      </c>
      <c r="M34">
        <v>32.799999237060497</v>
      </c>
      <c r="N34">
        <v>9.6000003814697301</v>
      </c>
      <c r="O34">
        <v>23.200000762939499</v>
      </c>
      <c r="P34">
        <v>26.299999237060501</v>
      </c>
      <c r="Q34">
        <v>18.700000762939499</v>
      </c>
      <c r="R34">
        <v>26.299999237060501</v>
      </c>
      <c r="S34">
        <v>18.700000762939499</v>
      </c>
      <c r="T34">
        <v>538</v>
      </c>
      <c r="U34">
        <v>116</v>
      </c>
      <c r="V34">
        <v>3</v>
      </c>
      <c r="W34">
        <v>94</v>
      </c>
      <c r="X34">
        <v>329</v>
      </c>
      <c r="Y34">
        <v>17</v>
      </c>
      <c r="Z34">
        <v>329</v>
      </c>
      <c r="AA34">
        <v>17</v>
      </c>
      <c r="AB34">
        <v>6.7116035012637898</v>
      </c>
      <c r="AC34">
        <v>0.67611861583260002</v>
      </c>
      <c r="AD34">
        <v>3.7898377591362098</v>
      </c>
      <c r="AE34">
        <v>0.19684278964996299</v>
      </c>
      <c r="AF34">
        <v>284.49443561208301</v>
      </c>
      <c r="AG34">
        <f>IFERROR(AH34*0.1, "N/A")</f>
        <v>6.5406995230524707</v>
      </c>
      <c r="AH34">
        <v>65.4069952305247</v>
      </c>
      <c r="AI34">
        <v>237.95218853730699</v>
      </c>
      <c r="AJ34">
        <v>24</v>
      </c>
      <c r="AK34">
        <v>65.593004769475399</v>
      </c>
    </row>
    <row r="35" spans="1:37" x14ac:dyDescent="0.3">
      <c r="A35">
        <v>34</v>
      </c>
      <c r="B35">
        <v>73</v>
      </c>
      <c r="C35">
        <v>31.956699</v>
      </c>
      <c r="D35">
        <v>-21.332198999999999</v>
      </c>
      <c r="E35" t="s">
        <v>85</v>
      </c>
      <c r="F35" t="s">
        <v>87</v>
      </c>
      <c r="G35" t="s">
        <v>39</v>
      </c>
      <c r="H35">
        <v>1985</v>
      </c>
      <c r="I35">
        <v>23.200000762939499</v>
      </c>
      <c r="J35">
        <v>14.300000190734901</v>
      </c>
      <c r="K35">
        <v>61</v>
      </c>
      <c r="L35">
        <v>31.170000076293899</v>
      </c>
      <c r="M35">
        <v>32.799999237060497</v>
      </c>
      <c r="N35">
        <v>9.6000003814697301</v>
      </c>
      <c r="O35">
        <v>23.200000762939499</v>
      </c>
      <c r="P35">
        <v>26.299999237060501</v>
      </c>
      <c r="Q35">
        <v>18.700000762939499</v>
      </c>
      <c r="R35">
        <v>26.299999237060501</v>
      </c>
      <c r="S35">
        <v>18.700000762939499</v>
      </c>
      <c r="T35">
        <v>538</v>
      </c>
      <c r="U35">
        <v>116</v>
      </c>
      <c r="V35">
        <v>3</v>
      </c>
      <c r="W35">
        <v>94</v>
      </c>
      <c r="X35">
        <v>329</v>
      </c>
      <c r="Y35">
        <v>17</v>
      </c>
      <c r="Z35">
        <v>329</v>
      </c>
      <c r="AA35">
        <v>17</v>
      </c>
      <c r="AB35">
        <v>6.7116035012637898</v>
      </c>
      <c r="AC35">
        <v>0.67611861583260002</v>
      </c>
      <c r="AD35">
        <v>3.7898377591362098</v>
      </c>
      <c r="AE35">
        <v>0.19684278964996299</v>
      </c>
      <c r="AF35">
        <v>284.49443561208301</v>
      </c>
      <c r="AG35">
        <f>IFERROR(AH35*0.1, "N/A")</f>
        <v>6.5406995230524707</v>
      </c>
      <c r="AH35">
        <v>65.4069952305247</v>
      </c>
      <c r="AI35">
        <v>237.95218853730699</v>
      </c>
      <c r="AJ35">
        <v>24</v>
      </c>
      <c r="AK35">
        <v>65.593004769475399</v>
      </c>
    </row>
    <row r="36" spans="1:37" x14ac:dyDescent="0.3">
      <c r="A36">
        <v>35</v>
      </c>
      <c r="B36">
        <v>4</v>
      </c>
      <c r="C36">
        <v>29.095099999999999</v>
      </c>
      <c r="D36">
        <v>-21.326599000000002</v>
      </c>
      <c r="E36" t="s">
        <v>88</v>
      </c>
      <c r="F36" t="s">
        <v>89</v>
      </c>
      <c r="G36" t="s">
        <v>37</v>
      </c>
      <c r="H36">
        <v>1985</v>
      </c>
      <c r="I36">
        <v>20.700000762939499</v>
      </c>
      <c r="J36">
        <v>15.300000190734901</v>
      </c>
      <c r="K36">
        <v>58</v>
      </c>
      <c r="L36">
        <v>37.639999389648402</v>
      </c>
      <c r="M36">
        <v>31.200000762939499</v>
      </c>
      <c r="N36">
        <v>4.9000000953674299</v>
      </c>
      <c r="O36">
        <v>26.299999237060501</v>
      </c>
      <c r="P36">
        <v>24.299999237060501</v>
      </c>
      <c r="Q36">
        <v>15.199999809265099</v>
      </c>
      <c r="R36">
        <v>24.299999237060501</v>
      </c>
      <c r="S36">
        <v>15.199999809265099</v>
      </c>
      <c r="T36">
        <v>407</v>
      </c>
      <c r="U36">
        <v>84</v>
      </c>
      <c r="V36">
        <v>1</v>
      </c>
      <c r="W36">
        <v>91</v>
      </c>
      <c r="X36">
        <v>237</v>
      </c>
      <c r="Y36">
        <v>8</v>
      </c>
      <c r="Z36">
        <v>218</v>
      </c>
      <c r="AA36">
        <v>8</v>
      </c>
      <c r="AB36">
        <v>3.4018789512743401</v>
      </c>
      <c r="AC36">
        <v>2.7177096134280002E-2</v>
      </c>
      <c r="AD36">
        <v>1.9446882665252101</v>
      </c>
      <c r="AE36">
        <v>0.170457258820534</v>
      </c>
      <c r="AF36">
        <v>819.43402225755199</v>
      </c>
      <c r="AG36">
        <f>IFERROR(AH36*0.1, "N/A")</f>
        <v>7.0796502384737714</v>
      </c>
      <c r="AH36">
        <v>70.796502384737707</v>
      </c>
      <c r="AI36">
        <v>166.91250908734901</v>
      </c>
      <c r="AJ36">
        <v>12.263910969793301</v>
      </c>
      <c r="AK36">
        <v>78.920508744038102</v>
      </c>
    </row>
    <row r="37" spans="1:37" x14ac:dyDescent="0.3">
      <c r="A37">
        <v>36</v>
      </c>
      <c r="B37">
        <v>4</v>
      </c>
      <c r="C37">
        <v>29.095099999999999</v>
      </c>
      <c r="D37">
        <v>-21.326599000000002</v>
      </c>
      <c r="E37" t="s">
        <v>88</v>
      </c>
      <c r="F37" t="s">
        <v>90</v>
      </c>
      <c r="G37" t="s">
        <v>39</v>
      </c>
      <c r="H37">
        <v>1985</v>
      </c>
      <c r="I37">
        <v>20.700000762939499</v>
      </c>
      <c r="J37">
        <v>15.300000190734901</v>
      </c>
      <c r="K37">
        <v>58</v>
      </c>
      <c r="L37">
        <v>37.639999389648402</v>
      </c>
      <c r="M37">
        <v>31.200000762939499</v>
      </c>
      <c r="N37">
        <v>4.9000000953674299</v>
      </c>
      <c r="O37">
        <v>26.299999237060501</v>
      </c>
      <c r="P37">
        <v>24.299999237060501</v>
      </c>
      <c r="Q37">
        <v>15.199999809265099</v>
      </c>
      <c r="R37">
        <v>24.299999237060501</v>
      </c>
      <c r="S37">
        <v>15.199999809265099</v>
      </c>
      <c r="T37">
        <v>407</v>
      </c>
      <c r="U37">
        <v>84</v>
      </c>
      <c r="V37">
        <v>1</v>
      </c>
      <c r="W37">
        <v>91</v>
      </c>
      <c r="X37">
        <v>237</v>
      </c>
      <c r="Y37">
        <v>8</v>
      </c>
      <c r="Z37">
        <v>218</v>
      </c>
      <c r="AA37">
        <v>8</v>
      </c>
      <c r="AB37">
        <v>3.4018789512743401</v>
      </c>
      <c r="AC37">
        <v>2.7177096134280002E-2</v>
      </c>
      <c r="AD37">
        <v>1.9446882665252101</v>
      </c>
      <c r="AE37">
        <v>0.170457258820534</v>
      </c>
      <c r="AF37">
        <v>819.43402225755199</v>
      </c>
      <c r="AG37">
        <f>IFERROR(AH37*0.1, "N/A")</f>
        <v>7.0796502384737714</v>
      </c>
      <c r="AH37">
        <v>70.796502384737707</v>
      </c>
      <c r="AI37">
        <v>166.91250908734901</v>
      </c>
      <c r="AJ37">
        <v>12.263910969793301</v>
      </c>
      <c r="AK37">
        <v>78.920508744038102</v>
      </c>
    </row>
    <row r="38" spans="1:37" x14ac:dyDescent="0.3">
      <c r="A38">
        <v>37</v>
      </c>
      <c r="B38">
        <v>3</v>
      </c>
      <c r="C38">
        <v>29.534599</v>
      </c>
      <c r="D38">
        <v>-21.281199999999998</v>
      </c>
      <c r="E38" t="s">
        <v>91</v>
      </c>
      <c r="F38" t="s">
        <v>92</v>
      </c>
      <c r="G38" t="s">
        <v>37</v>
      </c>
      <c r="H38">
        <v>1985</v>
      </c>
      <c r="I38">
        <v>20.899999618530298</v>
      </c>
      <c r="J38">
        <v>15</v>
      </c>
      <c r="K38">
        <v>57</v>
      </c>
      <c r="L38">
        <v>36.409999847412102</v>
      </c>
      <c r="M38">
        <v>31.5</v>
      </c>
      <c r="N38">
        <v>5.5999999046325701</v>
      </c>
      <c r="O38">
        <v>25.899999618530298</v>
      </c>
      <c r="P38">
        <v>24.299999237060501</v>
      </c>
      <c r="Q38">
        <v>15.6000003814697</v>
      </c>
      <c r="R38">
        <v>24.399999618530298</v>
      </c>
      <c r="S38">
        <v>15.6000003814697</v>
      </c>
      <c r="T38">
        <v>454</v>
      </c>
      <c r="U38">
        <v>110</v>
      </c>
      <c r="V38">
        <v>1</v>
      </c>
      <c r="W38">
        <v>98</v>
      </c>
      <c r="X38">
        <v>279</v>
      </c>
      <c r="Y38">
        <v>10</v>
      </c>
      <c r="Z38">
        <v>252</v>
      </c>
      <c r="AA38">
        <v>10</v>
      </c>
      <c r="AB38">
        <v>1.68426484561308</v>
      </c>
      <c r="AC38">
        <v>0.751261024854319</v>
      </c>
      <c r="AD38">
        <v>1.29202553648827</v>
      </c>
      <c r="AE38">
        <v>0.168778210878372</v>
      </c>
      <c r="AF38">
        <v>785.400635930048</v>
      </c>
      <c r="AG38">
        <f>IFERROR(AH38*0.1, "N/A")</f>
        <v>6.4</v>
      </c>
      <c r="AH38">
        <v>64</v>
      </c>
      <c r="AI38">
        <v>145.62640477894601</v>
      </c>
      <c r="AJ38">
        <v>18</v>
      </c>
      <c r="AK38">
        <v>74</v>
      </c>
    </row>
    <row r="39" spans="1:37" x14ac:dyDescent="0.3">
      <c r="A39">
        <v>38</v>
      </c>
      <c r="B39">
        <v>22</v>
      </c>
      <c r="C39">
        <v>29.534599</v>
      </c>
      <c r="D39">
        <v>-21.281199999999998</v>
      </c>
      <c r="E39" t="s">
        <v>91</v>
      </c>
      <c r="F39" t="s">
        <v>93</v>
      </c>
      <c r="G39" t="s">
        <v>39</v>
      </c>
      <c r="H39">
        <v>1985</v>
      </c>
      <c r="I39">
        <v>20.899999618530298</v>
      </c>
      <c r="J39">
        <v>15</v>
      </c>
      <c r="K39">
        <v>57</v>
      </c>
      <c r="L39">
        <v>36.409999847412102</v>
      </c>
      <c r="M39">
        <v>31.5</v>
      </c>
      <c r="N39">
        <v>5.5999999046325701</v>
      </c>
      <c r="O39">
        <v>25.899999618530298</v>
      </c>
      <c r="P39">
        <v>24.299999237060501</v>
      </c>
      <c r="Q39">
        <v>15.6000003814697</v>
      </c>
      <c r="R39">
        <v>24.399999618530298</v>
      </c>
      <c r="S39">
        <v>15.6000003814697</v>
      </c>
      <c r="T39">
        <v>454</v>
      </c>
      <c r="U39">
        <v>110</v>
      </c>
      <c r="V39">
        <v>1</v>
      </c>
      <c r="W39">
        <v>98</v>
      </c>
      <c r="X39">
        <v>279</v>
      </c>
      <c r="Y39">
        <v>10</v>
      </c>
      <c r="Z39">
        <v>252</v>
      </c>
      <c r="AA39">
        <v>10</v>
      </c>
      <c r="AB39">
        <v>1.68426484561308</v>
      </c>
      <c r="AC39">
        <v>0.751261024854319</v>
      </c>
      <c r="AD39">
        <v>1.29202553648827</v>
      </c>
      <c r="AE39">
        <v>0.168778210878372</v>
      </c>
      <c r="AF39">
        <v>785.400635930048</v>
      </c>
      <c r="AG39">
        <f>IFERROR(AH39*0.1, "N/A")</f>
        <v>6.4</v>
      </c>
      <c r="AH39">
        <v>64</v>
      </c>
      <c r="AI39">
        <v>145.62640477894601</v>
      </c>
      <c r="AJ39">
        <v>18</v>
      </c>
      <c r="AK39">
        <v>74</v>
      </c>
    </row>
    <row r="40" spans="1:37" x14ac:dyDescent="0.3">
      <c r="A40">
        <v>39</v>
      </c>
      <c r="B40">
        <v>17</v>
      </c>
      <c r="C40">
        <v>31.287700999999998</v>
      </c>
      <c r="D40">
        <v>-21.257999000000002</v>
      </c>
      <c r="E40" t="s">
        <v>94</v>
      </c>
      <c r="F40" t="s">
        <v>95</v>
      </c>
      <c r="G40" t="s">
        <v>37</v>
      </c>
      <c r="H40">
        <v>1985</v>
      </c>
      <c r="I40">
        <v>22.496178329370601</v>
      </c>
      <c r="J40">
        <v>14.8999996185303</v>
      </c>
      <c r="K40">
        <v>59.038216560509603</v>
      </c>
      <c r="L40">
        <v>34.388026510833903</v>
      </c>
      <c r="M40">
        <v>32.696179019417698</v>
      </c>
      <c r="N40">
        <v>7.8038218431411996</v>
      </c>
      <c r="O40">
        <v>24.892356350163698</v>
      </c>
      <c r="P40">
        <v>26</v>
      </c>
      <c r="Q40">
        <v>17.5</v>
      </c>
      <c r="R40">
        <v>26.096178710840299</v>
      </c>
      <c r="S40">
        <v>17.5</v>
      </c>
      <c r="T40">
        <v>550.07643312101902</v>
      </c>
      <c r="U40">
        <v>117</v>
      </c>
      <c r="V40">
        <v>4</v>
      </c>
      <c r="W40">
        <v>90.923566878980907</v>
      </c>
      <c r="X40">
        <v>325.03821656051002</v>
      </c>
      <c r="Y40">
        <v>16</v>
      </c>
      <c r="Z40">
        <v>289</v>
      </c>
      <c r="AA40">
        <v>16</v>
      </c>
      <c r="AB40">
        <v>7.1574849900166697</v>
      </c>
      <c r="AC40">
        <v>2.1046848850514999E-2</v>
      </c>
      <c r="AD40">
        <v>1.16651625883807</v>
      </c>
      <c r="AE40">
        <v>0.17951031294977601</v>
      </c>
      <c r="AF40">
        <v>425.15127388535001</v>
      </c>
      <c r="AG40">
        <f>IFERROR(AH40*0.1, "N/A")</f>
        <v>6.7</v>
      </c>
      <c r="AH40">
        <v>67</v>
      </c>
      <c r="AI40">
        <v>155.28760064787201</v>
      </c>
      <c r="AJ40">
        <v>19.541401273885398</v>
      </c>
      <c r="AK40">
        <v>70.458598726114701</v>
      </c>
    </row>
    <row r="41" spans="1:37" x14ac:dyDescent="0.3">
      <c r="A41">
        <v>40</v>
      </c>
      <c r="B41">
        <v>57</v>
      </c>
      <c r="C41">
        <v>31.287700999999998</v>
      </c>
      <c r="D41">
        <v>-21.257999000000002</v>
      </c>
      <c r="E41" t="s">
        <v>94</v>
      </c>
      <c r="F41" t="s">
        <v>96</v>
      </c>
      <c r="G41" t="s">
        <v>39</v>
      </c>
      <c r="H41">
        <v>1985</v>
      </c>
      <c r="I41">
        <v>22.496178329370601</v>
      </c>
      <c r="J41">
        <v>14.8999996185303</v>
      </c>
      <c r="K41">
        <v>59.038216560509603</v>
      </c>
      <c r="L41">
        <v>34.388026510833903</v>
      </c>
      <c r="M41">
        <v>32.696179019417698</v>
      </c>
      <c r="N41">
        <v>7.8038218431411996</v>
      </c>
      <c r="O41">
        <v>24.892356350163698</v>
      </c>
      <c r="P41">
        <v>26</v>
      </c>
      <c r="Q41">
        <v>17.5</v>
      </c>
      <c r="R41">
        <v>26.096178710840299</v>
      </c>
      <c r="S41">
        <v>17.5</v>
      </c>
      <c r="T41">
        <v>550.07643312101902</v>
      </c>
      <c r="U41">
        <v>117</v>
      </c>
      <c r="V41">
        <v>4</v>
      </c>
      <c r="W41">
        <v>90.923566878980907</v>
      </c>
      <c r="X41">
        <v>325.03821656051002</v>
      </c>
      <c r="Y41">
        <v>16</v>
      </c>
      <c r="Z41">
        <v>289</v>
      </c>
      <c r="AA41">
        <v>16</v>
      </c>
      <c r="AB41">
        <v>7.1574849900166697</v>
      </c>
      <c r="AC41">
        <v>2.1046848850514999E-2</v>
      </c>
      <c r="AD41">
        <v>1.16651625883807</v>
      </c>
      <c r="AE41">
        <v>0.17951031294977601</v>
      </c>
      <c r="AF41">
        <v>425.15127388535001</v>
      </c>
      <c r="AG41">
        <f>IFERROR(AH41*0.1, "N/A")</f>
        <v>6.7</v>
      </c>
      <c r="AH41">
        <v>67</v>
      </c>
      <c r="AI41">
        <v>155.28760064787201</v>
      </c>
      <c r="AJ41">
        <v>19.541401273885398</v>
      </c>
      <c r="AK41">
        <v>70.458598726114701</v>
      </c>
    </row>
    <row r="42" spans="1:37" x14ac:dyDescent="0.3">
      <c r="A42">
        <v>41</v>
      </c>
      <c r="B42">
        <v>0</v>
      </c>
      <c r="C42">
        <v>27.962799</v>
      </c>
      <c r="D42">
        <v>-21.242901</v>
      </c>
      <c r="E42" t="s">
        <v>97</v>
      </c>
      <c r="F42" t="s">
        <v>98</v>
      </c>
      <c r="G42" t="s">
        <v>37</v>
      </c>
      <c r="H42">
        <v>1985</v>
      </c>
      <c r="I42">
        <v>20.399999618530298</v>
      </c>
      <c r="J42">
        <v>14.6000003814697</v>
      </c>
      <c r="K42">
        <v>57</v>
      </c>
      <c r="L42">
        <v>34.470001220703097</v>
      </c>
      <c r="M42">
        <v>31.200000762939499</v>
      </c>
      <c r="N42">
        <v>5.9000000953674299</v>
      </c>
      <c r="O42">
        <v>25.299999237060501</v>
      </c>
      <c r="P42">
        <v>23.299999237060501</v>
      </c>
      <c r="Q42">
        <v>15.300000190734901</v>
      </c>
      <c r="R42">
        <v>23.600000381469702</v>
      </c>
      <c r="S42">
        <v>15.300000190734901</v>
      </c>
      <c r="T42">
        <v>438</v>
      </c>
      <c r="U42">
        <v>92</v>
      </c>
      <c r="V42">
        <v>0</v>
      </c>
      <c r="W42">
        <v>93</v>
      </c>
      <c r="X42">
        <v>262</v>
      </c>
      <c r="Y42">
        <v>3</v>
      </c>
      <c r="Z42">
        <v>167</v>
      </c>
      <c r="AA42">
        <v>7</v>
      </c>
      <c r="AB42">
        <v>7.5009475537654504</v>
      </c>
      <c r="AC42">
        <v>1.3499535231046999E-2</v>
      </c>
      <c r="AD42">
        <v>0.71508018175760901</v>
      </c>
      <c r="AE42">
        <v>0.16766965120698099</v>
      </c>
      <c r="AF42">
        <v>968.59489633173803</v>
      </c>
      <c r="AG42">
        <f>IFERROR(AH42*0.1, "N/A")</f>
        <v>6.3523125996810208</v>
      </c>
      <c r="AH42">
        <v>63.523125996810201</v>
      </c>
      <c r="AI42">
        <v>136.03291269694799</v>
      </c>
      <c r="AJ42">
        <v>14.7065390749601</v>
      </c>
      <c r="AK42">
        <v>77.751196172248797</v>
      </c>
    </row>
    <row r="43" spans="1:37" x14ac:dyDescent="0.3">
      <c r="A43">
        <v>42</v>
      </c>
      <c r="B43">
        <v>0</v>
      </c>
      <c r="C43">
        <v>27.962799</v>
      </c>
      <c r="D43">
        <v>-21.242901</v>
      </c>
      <c r="E43" t="s">
        <v>97</v>
      </c>
      <c r="F43" t="s">
        <v>99</v>
      </c>
      <c r="G43" t="s">
        <v>39</v>
      </c>
      <c r="H43">
        <v>1985</v>
      </c>
      <c r="I43">
        <v>20.399999618530298</v>
      </c>
      <c r="J43">
        <v>14.6000003814697</v>
      </c>
      <c r="K43">
        <v>57</v>
      </c>
      <c r="L43">
        <v>34.470001220703097</v>
      </c>
      <c r="M43">
        <v>31.200000762939499</v>
      </c>
      <c r="N43">
        <v>5.9000000953674299</v>
      </c>
      <c r="O43">
        <v>25.299999237060501</v>
      </c>
      <c r="P43">
        <v>23.299999237060501</v>
      </c>
      <c r="Q43">
        <v>15.300000190734901</v>
      </c>
      <c r="R43">
        <v>23.600000381469702</v>
      </c>
      <c r="S43">
        <v>15.300000190734901</v>
      </c>
      <c r="T43">
        <v>438</v>
      </c>
      <c r="U43">
        <v>92</v>
      </c>
      <c r="V43">
        <v>0</v>
      </c>
      <c r="W43">
        <v>93</v>
      </c>
      <c r="X43">
        <v>262</v>
      </c>
      <c r="Y43">
        <v>3</v>
      </c>
      <c r="Z43">
        <v>167</v>
      </c>
      <c r="AA43">
        <v>7</v>
      </c>
      <c r="AB43">
        <v>7.5009475537654504</v>
      </c>
      <c r="AC43">
        <v>1.3499535231046999E-2</v>
      </c>
      <c r="AD43">
        <v>0.71508018175760901</v>
      </c>
      <c r="AE43">
        <v>0.16766965120698099</v>
      </c>
      <c r="AF43">
        <v>968.59489633173803</v>
      </c>
      <c r="AG43">
        <f>IFERROR(AH43*0.1, "N/A")</f>
        <v>6.3523125996810208</v>
      </c>
      <c r="AH43">
        <v>63.523125996810201</v>
      </c>
      <c r="AI43">
        <v>136.03291269694799</v>
      </c>
      <c r="AJ43">
        <v>14.7065390749601</v>
      </c>
      <c r="AK43">
        <v>77.751196172248797</v>
      </c>
    </row>
    <row r="44" spans="1:37" x14ac:dyDescent="0.3">
      <c r="A44">
        <v>43</v>
      </c>
      <c r="B44">
        <v>9</v>
      </c>
      <c r="C44">
        <v>31.605</v>
      </c>
      <c r="D44">
        <v>-21.174999</v>
      </c>
      <c r="E44" t="s">
        <v>100</v>
      </c>
      <c r="F44" t="s">
        <v>101</v>
      </c>
      <c r="G44" t="s">
        <v>37</v>
      </c>
      <c r="H44">
        <v>1985</v>
      </c>
      <c r="I44">
        <v>22.799999237060501</v>
      </c>
      <c r="J44">
        <v>14.699999809265099</v>
      </c>
      <c r="K44">
        <v>60</v>
      </c>
      <c r="L44">
        <v>32.909411710851302</v>
      </c>
      <c r="M44">
        <v>32.900001525878899</v>
      </c>
      <c r="N44">
        <v>8.6999998092651403</v>
      </c>
      <c r="O44">
        <v>24.200000762939499</v>
      </c>
      <c r="P44">
        <v>26.200000762939499</v>
      </c>
      <c r="Q44">
        <v>18.100000381469702</v>
      </c>
      <c r="R44">
        <v>26.258823394775401</v>
      </c>
      <c r="S44">
        <v>18.100000381469702</v>
      </c>
      <c r="T44">
        <v>546.47058823529403</v>
      </c>
      <c r="U44">
        <v>114.41176470588201</v>
      </c>
      <c r="V44">
        <v>3</v>
      </c>
      <c r="W44">
        <v>90.411764705882305</v>
      </c>
      <c r="X44">
        <v>325.23529411764702</v>
      </c>
      <c r="Y44">
        <v>15</v>
      </c>
      <c r="Z44">
        <v>288.23529411764702</v>
      </c>
      <c r="AA44">
        <v>15</v>
      </c>
      <c r="AB44">
        <v>13.7214621830441</v>
      </c>
      <c r="AC44">
        <v>3.7798989789237999E-2</v>
      </c>
      <c r="AD44">
        <v>2.5225914578369601</v>
      </c>
      <c r="AE44">
        <v>0.18003930151462599</v>
      </c>
      <c r="AF44">
        <v>373.57392686804502</v>
      </c>
      <c r="AG44">
        <f>IFERROR(AH44*0.1, "N/A")</f>
        <v>6.1860095389507208</v>
      </c>
      <c r="AH44">
        <v>61.860095389507201</v>
      </c>
      <c r="AI44">
        <v>146.84305713210799</v>
      </c>
      <c r="AJ44">
        <v>24.860095389507201</v>
      </c>
      <c r="AK44">
        <v>64.279809220985697</v>
      </c>
    </row>
    <row r="45" spans="1:37" x14ac:dyDescent="0.3">
      <c r="A45">
        <v>44</v>
      </c>
      <c r="B45">
        <v>36</v>
      </c>
      <c r="C45">
        <v>31.605</v>
      </c>
      <c r="D45">
        <v>-21.174999</v>
      </c>
      <c r="E45" t="s">
        <v>100</v>
      </c>
      <c r="F45" t="s">
        <v>102</v>
      </c>
      <c r="G45" t="s">
        <v>39</v>
      </c>
      <c r="H45">
        <v>1985</v>
      </c>
      <c r="I45">
        <v>22.799999237060501</v>
      </c>
      <c r="J45">
        <v>14.699999809265099</v>
      </c>
      <c r="K45">
        <v>60</v>
      </c>
      <c r="L45">
        <v>32.909411710851302</v>
      </c>
      <c r="M45">
        <v>32.900001525878899</v>
      </c>
      <c r="N45">
        <v>8.6999998092651403</v>
      </c>
      <c r="O45">
        <v>24.200000762939499</v>
      </c>
      <c r="P45">
        <v>26.200000762939499</v>
      </c>
      <c r="Q45">
        <v>18.100000381469702</v>
      </c>
      <c r="R45">
        <v>26.258823394775401</v>
      </c>
      <c r="S45">
        <v>18.100000381469702</v>
      </c>
      <c r="T45">
        <v>546.47058823529403</v>
      </c>
      <c r="U45">
        <v>114.41176470588201</v>
      </c>
      <c r="V45">
        <v>3</v>
      </c>
      <c r="W45">
        <v>90.411764705882305</v>
      </c>
      <c r="X45">
        <v>325.23529411764702</v>
      </c>
      <c r="Y45">
        <v>15</v>
      </c>
      <c r="Z45">
        <v>288.23529411764702</v>
      </c>
      <c r="AA45">
        <v>15</v>
      </c>
      <c r="AB45">
        <v>13.7214621830441</v>
      </c>
      <c r="AC45">
        <v>3.7798989789237999E-2</v>
      </c>
      <c r="AD45">
        <v>2.5225914578369601</v>
      </c>
      <c r="AE45">
        <v>0.18003930151462599</v>
      </c>
      <c r="AF45">
        <v>373.57392686804502</v>
      </c>
      <c r="AG45">
        <f>IFERROR(AH45*0.1, "N/A")</f>
        <v>6.1860095389507208</v>
      </c>
      <c r="AH45">
        <v>61.860095389507201</v>
      </c>
      <c r="AI45">
        <v>146.84305713210799</v>
      </c>
      <c r="AJ45">
        <v>24.860095389507201</v>
      </c>
      <c r="AK45">
        <v>64.279809220985697</v>
      </c>
    </row>
    <row r="46" spans="1:37" x14ac:dyDescent="0.3">
      <c r="A46">
        <v>45</v>
      </c>
      <c r="B46">
        <v>81</v>
      </c>
      <c r="C46">
        <v>32.314898999999997</v>
      </c>
      <c r="D46">
        <v>-21.136101</v>
      </c>
      <c r="E46" t="s">
        <v>103</v>
      </c>
      <c r="F46" t="s">
        <v>104</v>
      </c>
      <c r="G46" t="s">
        <v>37</v>
      </c>
      <c r="H46">
        <v>1985</v>
      </c>
      <c r="I46">
        <v>22.399999618530298</v>
      </c>
      <c r="J46">
        <v>13.800000190734901</v>
      </c>
      <c r="K46">
        <v>61</v>
      </c>
      <c r="L46">
        <v>30.200000762939499</v>
      </c>
      <c r="M46">
        <v>31.600000381469702</v>
      </c>
      <c r="N46">
        <v>9.3000001907348597</v>
      </c>
      <c r="O46">
        <v>22.299999237060501</v>
      </c>
      <c r="P46">
        <v>25.399999618530298</v>
      </c>
      <c r="Q46">
        <v>19.600000381469702</v>
      </c>
      <c r="R46">
        <v>25.399999618530298</v>
      </c>
      <c r="S46">
        <v>18</v>
      </c>
      <c r="T46">
        <v>609</v>
      </c>
      <c r="U46">
        <v>132</v>
      </c>
      <c r="V46">
        <v>4</v>
      </c>
      <c r="W46">
        <v>92</v>
      </c>
      <c r="X46">
        <v>365</v>
      </c>
      <c r="Y46">
        <v>22</v>
      </c>
      <c r="Z46">
        <v>331</v>
      </c>
      <c r="AA46">
        <v>23</v>
      </c>
      <c r="AB46">
        <v>36.924048940087602</v>
      </c>
      <c r="AC46">
        <v>0.12800179711679499</v>
      </c>
      <c r="AD46">
        <v>3.8325392751936702</v>
      </c>
      <c r="AE46">
        <v>0.27850469628906599</v>
      </c>
      <c r="AF46">
        <v>420.45700636942701</v>
      </c>
      <c r="AG46">
        <f>IFERROR(AH46*0.1, "N/A")</f>
        <v>6.1036624203821708</v>
      </c>
      <c r="AH46">
        <v>61.036624203821702</v>
      </c>
      <c r="AI46">
        <v>249.35917964862401</v>
      </c>
      <c r="AJ46">
        <v>23.648089171974501</v>
      </c>
      <c r="AK46">
        <v>67.111464968152902</v>
      </c>
    </row>
    <row r="47" spans="1:37" x14ac:dyDescent="0.3">
      <c r="A47">
        <v>46</v>
      </c>
      <c r="B47">
        <v>85</v>
      </c>
      <c r="C47">
        <v>32.314898999999997</v>
      </c>
      <c r="D47">
        <v>-21.136101</v>
      </c>
      <c r="E47" t="s">
        <v>103</v>
      </c>
      <c r="F47" t="s">
        <v>105</v>
      </c>
      <c r="G47" t="s">
        <v>39</v>
      </c>
      <c r="H47">
        <v>1985</v>
      </c>
      <c r="I47">
        <v>22.399999618530298</v>
      </c>
      <c r="J47">
        <v>13.800000190734901</v>
      </c>
      <c r="K47">
        <v>61</v>
      </c>
      <c r="L47">
        <v>30.200000762939499</v>
      </c>
      <c r="M47">
        <v>31.600000381469702</v>
      </c>
      <c r="N47">
        <v>9.3000001907348597</v>
      </c>
      <c r="O47">
        <v>22.299999237060501</v>
      </c>
      <c r="P47">
        <v>25.399999618530298</v>
      </c>
      <c r="Q47">
        <v>19.600000381469702</v>
      </c>
      <c r="R47">
        <v>25.399999618530298</v>
      </c>
      <c r="S47">
        <v>18</v>
      </c>
      <c r="T47">
        <v>609</v>
      </c>
      <c r="U47">
        <v>132</v>
      </c>
      <c r="V47">
        <v>4</v>
      </c>
      <c r="W47">
        <v>92</v>
      </c>
      <c r="X47">
        <v>365</v>
      </c>
      <c r="Y47">
        <v>22</v>
      </c>
      <c r="Z47">
        <v>331</v>
      </c>
      <c r="AA47">
        <v>23</v>
      </c>
      <c r="AB47">
        <v>36.924048940087602</v>
      </c>
      <c r="AC47">
        <v>0.12800179711679499</v>
      </c>
      <c r="AD47">
        <v>3.8325392751936702</v>
      </c>
      <c r="AE47">
        <v>0.27850469628906599</v>
      </c>
      <c r="AF47">
        <v>420.45700636942701</v>
      </c>
      <c r="AG47">
        <f>IFERROR(AH47*0.1, "N/A")</f>
        <v>6.1036624203821708</v>
      </c>
      <c r="AH47">
        <v>61.036624203821702</v>
      </c>
      <c r="AI47">
        <v>249.35917964862401</v>
      </c>
      <c r="AJ47">
        <v>23.648089171974501</v>
      </c>
      <c r="AK47">
        <v>67.111464968152902</v>
      </c>
    </row>
    <row r="48" spans="1:37" x14ac:dyDescent="0.3">
      <c r="A48">
        <v>47</v>
      </c>
      <c r="B48">
        <v>0</v>
      </c>
      <c r="C48">
        <v>30.307600000000001</v>
      </c>
      <c r="D48">
        <v>-21.098400000000002</v>
      </c>
      <c r="E48" t="s">
        <v>106</v>
      </c>
      <c r="F48" t="s">
        <v>107</v>
      </c>
      <c r="G48" t="s">
        <v>37</v>
      </c>
      <c r="H48">
        <v>1985</v>
      </c>
      <c r="I48">
        <v>21.204300060393699</v>
      </c>
      <c r="J48">
        <v>14.6000003814697</v>
      </c>
      <c r="K48">
        <v>57</v>
      </c>
      <c r="L48">
        <v>35.364409877995797</v>
      </c>
      <c r="M48">
        <v>31.704300060393699</v>
      </c>
      <c r="N48">
        <v>6.4042994543245602</v>
      </c>
      <c r="O48">
        <v>25.299999237060501</v>
      </c>
      <c r="P48">
        <v>24.5085987589162</v>
      </c>
      <c r="Q48">
        <v>16.104299760927798</v>
      </c>
      <c r="R48">
        <v>24.608599058382101</v>
      </c>
      <c r="S48">
        <v>16.104299760927798</v>
      </c>
      <c r="T48">
        <v>471.828025477707</v>
      </c>
      <c r="U48">
        <v>109</v>
      </c>
      <c r="V48">
        <v>1</v>
      </c>
      <c r="W48">
        <v>93</v>
      </c>
      <c r="X48">
        <v>285.95700636942701</v>
      </c>
      <c r="Y48">
        <v>10.9570063694268</v>
      </c>
      <c r="Z48">
        <v>259.91401273885401</v>
      </c>
      <c r="AA48">
        <v>10.9570063694268</v>
      </c>
      <c r="AB48">
        <v>16.465789017403999</v>
      </c>
      <c r="AC48">
        <v>8.5828178280450002E-3</v>
      </c>
      <c r="AD48">
        <v>4.23146105533952</v>
      </c>
      <c r="AE48">
        <v>0.2093633450805</v>
      </c>
      <c r="AF48">
        <v>665.054140127388</v>
      </c>
      <c r="AG48">
        <f>IFERROR(AH48*0.1, "N/A")</f>
        <v>6.3742038216560504</v>
      </c>
      <c r="AH48">
        <v>63.742038216560502</v>
      </c>
      <c r="AI48">
        <v>160.03252374442499</v>
      </c>
      <c r="AJ48">
        <v>16.031847133757999</v>
      </c>
      <c r="AK48">
        <v>74.054140127388493</v>
      </c>
    </row>
    <row r="49" spans="1:37" x14ac:dyDescent="0.3">
      <c r="A49">
        <v>48</v>
      </c>
      <c r="B49">
        <v>42</v>
      </c>
      <c r="C49">
        <v>30.307600000000001</v>
      </c>
      <c r="D49">
        <v>-21.098400000000002</v>
      </c>
      <c r="E49" t="s">
        <v>106</v>
      </c>
      <c r="F49" t="s">
        <v>108</v>
      </c>
      <c r="G49" t="s">
        <v>39</v>
      </c>
      <c r="H49">
        <v>1985</v>
      </c>
      <c r="I49">
        <v>21.204300060393699</v>
      </c>
      <c r="J49">
        <v>14.6000003814697</v>
      </c>
      <c r="K49">
        <v>57</v>
      </c>
      <c r="L49">
        <v>35.364409877995797</v>
      </c>
      <c r="M49">
        <v>31.704300060393699</v>
      </c>
      <c r="N49">
        <v>6.4042994543245602</v>
      </c>
      <c r="O49">
        <v>25.299999237060501</v>
      </c>
      <c r="P49">
        <v>24.5085987589162</v>
      </c>
      <c r="Q49">
        <v>16.104299760927798</v>
      </c>
      <c r="R49">
        <v>24.608599058382101</v>
      </c>
      <c r="S49">
        <v>16.104299760927798</v>
      </c>
      <c r="T49">
        <v>471.828025477707</v>
      </c>
      <c r="U49">
        <v>109</v>
      </c>
      <c r="V49">
        <v>1</v>
      </c>
      <c r="W49">
        <v>93</v>
      </c>
      <c r="X49">
        <v>285.95700636942701</v>
      </c>
      <c r="Y49">
        <v>10.9570063694268</v>
      </c>
      <c r="Z49">
        <v>259.91401273885401</v>
      </c>
      <c r="AA49">
        <v>10.9570063694268</v>
      </c>
      <c r="AB49">
        <v>16.465789017403999</v>
      </c>
      <c r="AC49">
        <v>8.5828178280450002E-3</v>
      </c>
      <c r="AD49">
        <v>4.23146105533952</v>
      </c>
      <c r="AE49">
        <v>0.2093633450805</v>
      </c>
      <c r="AF49">
        <v>665.054140127388</v>
      </c>
      <c r="AG49">
        <f>IFERROR(AH49*0.1, "N/A")</f>
        <v>6.3742038216560504</v>
      </c>
      <c r="AH49">
        <v>63.742038216560502</v>
      </c>
      <c r="AI49">
        <v>160.03252374442499</v>
      </c>
      <c r="AJ49">
        <v>16.031847133757999</v>
      </c>
      <c r="AK49">
        <v>74.054140127388493</v>
      </c>
    </row>
    <row r="50" spans="1:37" x14ac:dyDescent="0.3">
      <c r="A50">
        <v>49</v>
      </c>
      <c r="B50">
        <v>0</v>
      </c>
      <c r="C50">
        <v>30.724001000000001</v>
      </c>
      <c r="D50">
        <v>-21.0061</v>
      </c>
      <c r="E50" t="s">
        <v>109</v>
      </c>
      <c r="F50" t="s">
        <v>110</v>
      </c>
      <c r="G50" t="s">
        <v>37</v>
      </c>
      <c r="H50">
        <v>1985</v>
      </c>
      <c r="I50">
        <v>21.5</v>
      </c>
      <c r="J50">
        <v>14.699999809265099</v>
      </c>
      <c r="K50">
        <v>58</v>
      </c>
      <c r="L50">
        <v>33.939998626708999</v>
      </c>
      <c r="M50">
        <v>32.099998474121101</v>
      </c>
      <c r="N50">
        <v>6.9000000953674299</v>
      </c>
      <c r="O50">
        <v>25.200000762939499</v>
      </c>
      <c r="P50">
        <v>24.799999237060501</v>
      </c>
      <c r="Q50">
        <v>18.5</v>
      </c>
      <c r="R50">
        <v>24.799999237060501</v>
      </c>
      <c r="S50">
        <v>16.600000381469702</v>
      </c>
      <c r="T50">
        <v>593</v>
      </c>
      <c r="U50">
        <v>138</v>
      </c>
      <c r="V50">
        <v>4</v>
      </c>
      <c r="W50">
        <v>95</v>
      </c>
      <c r="X50">
        <v>365</v>
      </c>
      <c r="Y50">
        <v>18</v>
      </c>
      <c r="Z50">
        <v>324</v>
      </c>
      <c r="AA50">
        <v>19</v>
      </c>
      <c r="AB50">
        <v>23.648245229507801</v>
      </c>
      <c r="AC50">
        <v>1.4959084643676001E-2</v>
      </c>
      <c r="AD50">
        <v>8.9092665499391703</v>
      </c>
      <c r="AE50">
        <v>0.18110704421997101</v>
      </c>
      <c r="AF50">
        <v>601.92172523961699</v>
      </c>
      <c r="AG50">
        <f>IFERROR(AH50*0.1, "N/A")</f>
        <v>6.2</v>
      </c>
      <c r="AH50">
        <v>62</v>
      </c>
      <c r="AI50">
        <v>211.594221145581</v>
      </c>
      <c r="AJ50">
        <v>15</v>
      </c>
      <c r="AK50">
        <v>73.150159744408995</v>
      </c>
    </row>
    <row r="51" spans="1:37" x14ac:dyDescent="0.3">
      <c r="A51">
        <v>50</v>
      </c>
      <c r="B51">
        <v>41</v>
      </c>
      <c r="C51">
        <v>30.724001000000001</v>
      </c>
      <c r="D51">
        <v>-21.0061</v>
      </c>
      <c r="E51" t="s">
        <v>109</v>
      </c>
      <c r="F51" t="s">
        <v>111</v>
      </c>
      <c r="G51" t="s">
        <v>39</v>
      </c>
      <c r="H51">
        <v>1985</v>
      </c>
      <c r="I51">
        <v>21.5</v>
      </c>
      <c r="J51">
        <v>14.699999809265099</v>
      </c>
      <c r="K51">
        <v>58</v>
      </c>
      <c r="L51">
        <v>33.939998626708999</v>
      </c>
      <c r="M51">
        <v>32.099998474121101</v>
      </c>
      <c r="N51">
        <v>6.9000000953674299</v>
      </c>
      <c r="O51">
        <v>25.200000762939499</v>
      </c>
      <c r="P51">
        <v>24.799999237060501</v>
      </c>
      <c r="Q51">
        <v>18.5</v>
      </c>
      <c r="R51">
        <v>24.799999237060501</v>
      </c>
      <c r="S51">
        <v>16.600000381469702</v>
      </c>
      <c r="T51">
        <v>593</v>
      </c>
      <c r="U51">
        <v>138</v>
      </c>
      <c r="V51">
        <v>4</v>
      </c>
      <c r="W51">
        <v>95</v>
      </c>
      <c r="X51">
        <v>365</v>
      </c>
      <c r="Y51">
        <v>18</v>
      </c>
      <c r="Z51">
        <v>324</v>
      </c>
      <c r="AA51">
        <v>19</v>
      </c>
      <c r="AB51">
        <v>23.648245229507801</v>
      </c>
      <c r="AC51">
        <v>1.4959084643676001E-2</v>
      </c>
      <c r="AD51">
        <v>8.9092665499391703</v>
      </c>
      <c r="AE51">
        <v>0.18110704421997101</v>
      </c>
      <c r="AF51">
        <v>601.92172523961699</v>
      </c>
      <c r="AG51">
        <f>IFERROR(AH51*0.1, "N/A")</f>
        <v>6.2</v>
      </c>
      <c r="AH51">
        <v>62</v>
      </c>
      <c r="AI51">
        <v>211.594221145581</v>
      </c>
      <c r="AJ51">
        <v>15</v>
      </c>
      <c r="AK51">
        <v>73.150159744408995</v>
      </c>
    </row>
    <row r="52" spans="1:37" x14ac:dyDescent="0.3">
      <c r="A52">
        <v>51</v>
      </c>
      <c r="B52">
        <v>0</v>
      </c>
      <c r="C52">
        <v>28.870398999999999</v>
      </c>
      <c r="D52">
        <v>-21.003900999999999</v>
      </c>
      <c r="E52" t="s">
        <v>112</v>
      </c>
      <c r="F52" t="s">
        <v>113</v>
      </c>
      <c r="G52" t="s">
        <v>37</v>
      </c>
      <c r="H52">
        <v>1985</v>
      </c>
      <c r="I52">
        <v>20.399999618530298</v>
      </c>
      <c r="J52">
        <v>15</v>
      </c>
      <c r="K52">
        <v>57</v>
      </c>
      <c r="L52">
        <v>36.630001068115199</v>
      </c>
      <c r="M52">
        <v>31.299999237060501</v>
      </c>
      <c r="N52">
        <v>5.0999999046325701</v>
      </c>
      <c r="O52">
        <v>26.200000762939499</v>
      </c>
      <c r="P52">
        <v>23.700000762939499</v>
      </c>
      <c r="Q52">
        <v>15.1000003814697</v>
      </c>
      <c r="R52">
        <v>24</v>
      </c>
      <c r="S52">
        <v>15.1000003814697</v>
      </c>
      <c r="T52">
        <v>453</v>
      </c>
      <c r="U52">
        <v>95</v>
      </c>
      <c r="V52">
        <v>1</v>
      </c>
      <c r="W52">
        <v>95</v>
      </c>
      <c r="X52">
        <v>273</v>
      </c>
      <c r="Y52">
        <v>7</v>
      </c>
      <c r="Z52">
        <v>249</v>
      </c>
      <c r="AA52">
        <v>7</v>
      </c>
      <c r="AB52">
        <v>10.106247800008701</v>
      </c>
      <c r="AC52">
        <v>2.145997827733E-2</v>
      </c>
      <c r="AD52">
        <v>2.29596298029929</v>
      </c>
      <c r="AE52">
        <v>0.17321762442588801</v>
      </c>
      <c r="AF52">
        <v>917.11004784688998</v>
      </c>
      <c r="AG52">
        <f>IFERROR(AH52*0.1, "N/A")</f>
        <v>6.3891547049441799</v>
      </c>
      <c r="AH52">
        <v>63.891547049441797</v>
      </c>
      <c r="AI52">
        <v>153.495618003407</v>
      </c>
      <c r="AJ52">
        <v>23.891547049441801</v>
      </c>
      <c r="AK52">
        <v>63.108452950558203</v>
      </c>
    </row>
    <row r="53" spans="1:37" x14ac:dyDescent="0.3">
      <c r="A53">
        <v>52</v>
      </c>
      <c r="B53">
        <v>44</v>
      </c>
      <c r="C53">
        <v>28.870398999999999</v>
      </c>
      <c r="D53">
        <v>-21.003900999999999</v>
      </c>
      <c r="E53" t="s">
        <v>112</v>
      </c>
      <c r="F53" t="s">
        <v>114</v>
      </c>
      <c r="G53" t="s">
        <v>39</v>
      </c>
      <c r="H53">
        <v>1985</v>
      </c>
      <c r="I53">
        <v>20.399999618530298</v>
      </c>
      <c r="J53">
        <v>15</v>
      </c>
      <c r="K53">
        <v>57</v>
      </c>
      <c r="L53">
        <v>36.630001068115199</v>
      </c>
      <c r="M53">
        <v>31.299999237060501</v>
      </c>
      <c r="N53">
        <v>5.0999999046325701</v>
      </c>
      <c r="O53">
        <v>26.200000762939499</v>
      </c>
      <c r="P53">
        <v>23.700000762939499</v>
      </c>
      <c r="Q53">
        <v>15.1000003814697</v>
      </c>
      <c r="R53">
        <v>24</v>
      </c>
      <c r="S53">
        <v>15.1000003814697</v>
      </c>
      <c r="T53">
        <v>453</v>
      </c>
      <c r="U53">
        <v>95</v>
      </c>
      <c r="V53">
        <v>1</v>
      </c>
      <c r="W53">
        <v>95</v>
      </c>
      <c r="X53">
        <v>273</v>
      </c>
      <c r="Y53">
        <v>7</v>
      </c>
      <c r="Z53">
        <v>249</v>
      </c>
      <c r="AA53">
        <v>7</v>
      </c>
      <c r="AB53">
        <v>10.106247800008701</v>
      </c>
      <c r="AC53">
        <v>2.145997827733E-2</v>
      </c>
      <c r="AD53">
        <v>2.29596298029929</v>
      </c>
      <c r="AE53">
        <v>0.17321762442588801</v>
      </c>
      <c r="AF53">
        <v>917.11004784688998</v>
      </c>
      <c r="AG53">
        <f>IFERROR(AH53*0.1, "N/A")</f>
        <v>6.3891547049441799</v>
      </c>
      <c r="AH53">
        <v>63.891547049441797</v>
      </c>
      <c r="AI53">
        <v>153.495618003407</v>
      </c>
      <c r="AJ53">
        <v>23.891547049441801</v>
      </c>
      <c r="AK53">
        <v>63.108452950558203</v>
      </c>
    </row>
    <row r="54" spans="1:37" x14ac:dyDescent="0.3">
      <c r="A54">
        <v>53</v>
      </c>
      <c r="B54">
        <v>0</v>
      </c>
      <c r="C54">
        <v>28.700800000000001</v>
      </c>
      <c r="D54">
        <v>-20.979199999999999</v>
      </c>
      <c r="E54" t="s">
        <v>115</v>
      </c>
      <c r="F54" t="s">
        <v>116</v>
      </c>
      <c r="G54" t="s">
        <v>37</v>
      </c>
      <c r="H54">
        <v>1985</v>
      </c>
      <c r="I54">
        <v>20.200000762939499</v>
      </c>
      <c r="J54">
        <v>14.800000190734901</v>
      </c>
      <c r="K54">
        <v>57</v>
      </c>
      <c r="L54">
        <v>35.889999389648402</v>
      </c>
      <c r="M54">
        <v>31</v>
      </c>
      <c r="N54">
        <v>5.1999998092651403</v>
      </c>
      <c r="O54">
        <v>25.799999237060501</v>
      </c>
      <c r="P54">
        <v>23.399999618530298</v>
      </c>
      <c r="Q54">
        <v>15</v>
      </c>
      <c r="R54">
        <v>23.600000381469702</v>
      </c>
      <c r="S54">
        <v>15</v>
      </c>
      <c r="T54">
        <v>475.21690590111598</v>
      </c>
      <c r="U54">
        <v>101.108452950558</v>
      </c>
      <c r="V54">
        <v>1</v>
      </c>
      <c r="W54">
        <v>95</v>
      </c>
      <c r="X54">
        <v>287.21690590111598</v>
      </c>
      <c r="Y54">
        <v>7</v>
      </c>
      <c r="Z54">
        <v>262.21690590111598</v>
      </c>
      <c r="AA54">
        <v>7</v>
      </c>
      <c r="AB54">
        <v>6.1862922437263297</v>
      </c>
      <c r="AC54">
        <v>8.2718825555950001E-3</v>
      </c>
      <c r="AD54">
        <v>0.94044006308109895</v>
      </c>
      <c r="AE54">
        <v>0.20571108162403101</v>
      </c>
      <c r="AF54">
        <v>973.99362041467305</v>
      </c>
      <c r="AG54">
        <f>IFERROR(AH54*0.1, "N/A")</f>
        <v>6.2108452950558206</v>
      </c>
      <c r="AH54">
        <v>62.108452950558203</v>
      </c>
      <c r="AI54">
        <v>185.152607627272</v>
      </c>
      <c r="AJ54">
        <v>17.891547049441801</v>
      </c>
      <c r="AK54">
        <v>72.108452950558203</v>
      </c>
    </row>
    <row r="55" spans="1:37" x14ac:dyDescent="0.3">
      <c r="A55">
        <v>54</v>
      </c>
      <c r="B55">
        <v>0</v>
      </c>
      <c r="C55">
        <v>28.700800000000001</v>
      </c>
      <c r="D55">
        <v>-20.979199999999999</v>
      </c>
      <c r="E55" t="s">
        <v>115</v>
      </c>
      <c r="F55" t="s">
        <v>117</v>
      </c>
      <c r="G55" t="s">
        <v>39</v>
      </c>
      <c r="H55">
        <v>1985</v>
      </c>
      <c r="I55">
        <v>20.200000762939499</v>
      </c>
      <c r="J55">
        <v>14.800000190734901</v>
      </c>
      <c r="K55">
        <v>57</v>
      </c>
      <c r="L55">
        <v>35.889999389648402</v>
      </c>
      <c r="M55">
        <v>31</v>
      </c>
      <c r="N55">
        <v>5.1999998092651403</v>
      </c>
      <c r="O55">
        <v>25.799999237060501</v>
      </c>
      <c r="P55">
        <v>23.399999618530298</v>
      </c>
      <c r="Q55">
        <v>15</v>
      </c>
      <c r="R55">
        <v>23.600000381469702</v>
      </c>
      <c r="S55">
        <v>15</v>
      </c>
      <c r="T55">
        <v>475.21690590111598</v>
      </c>
      <c r="U55">
        <v>101.108452950558</v>
      </c>
      <c r="V55">
        <v>1</v>
      </c>
      <c r="W55">
        <v>95</v>
      </c>
      <c r="X55">
        <v>287.21690590111598</v>
      </c>
      <c r="Y55">
        <v>7</v>
      </c>
      <c r="Z55">
        <v>262.21690590111598</v>
      </c>
      <c r="AA55">
        <v>7</v>
      </c>
      <c r="AB55">
        <v>6.1862922437263297</v>
      </c>
      <c r="AC55">
        <v>8.2718825555950001E-3</v>
      </c>
      <c r="AD55">
        <v>0.94044006308109895</v>
      </c>
      <c r="AE55">
        <v>0.20571108162403101</v>
      </c>
      <c r="AF55">
        <v>973.99362041467305</v>
      </c>
      <c r="AG55">
        <f>IFERROR(AH55*0.1, "N/A")</f>
        <v>6.2108452950558206</v>
      </c>
      <c r="AH55">
        <v>62.108452950558203</v>
      </c>
      <c r="AI55">
        <v>185.152607627272</v>
      </c>
      <c r="AJ55">
        <v>17.891547049441801</v>
      </c>
      <c r="AK55">
        <v>72.108452950558203</v>
      </c>
    </row>
    <row r="56" spans="1:37" x14ac:dyDescent="0.3">
      <c r="A56">
        <v>55</v>
      </c>
      <c r="B56">
        <v>0</v>
      </c>
      <c r="C56">
        <v>27.935699</v>
      </c>
      <c r="D56">
        <v>-20.872601</v>
      </c>
      <c r="E56" t="s">
        <v>118</v>
      </c>
      <c r="F56" t="s">
        <v>119</v>
      </c>
      <c r="G56" t="s">
        <v>37</v>
      </c>
      <c r="H56">
        <v>1985</v>
      </c>
      <c r="I56">
        <v>19.5</v>
      </c>
      <c r="J56">
        <v>14.1000003814697</v>
      </c>
      <c r="K56">
        <v>56</v>
      </c>
      <c r="L56">
        <v>34.459999084472699</v>
      </c>
      <c r="M56">
        <v>30.299999237060501</v>
      </c>
      <c r="N56">
        <v>5.5</v>
      </c>
      <c r="O56">
        <v>24.799999237060501</v>
      </c>
      <c r="P56">
        <v>22.399999618530298</v>
      </c>
      <c r="Q56">
        <v>14.5</v>
      </c>
      <c r="R56">
        <v>22.700000762939499</v>
      </c>
      <c r="S56">
        <v>14.5</v>
      </c>
      <c r="T56">
        <v>532</v>
      </c>
      <c r="U56">
        <v>115</v>
      </c>
      <c r="V56">
        <v>1</v>
      </c>
      <c r="W56">
        <v>97</v>
      </c>
      <c r="X56">
        <v>327</v>
      </c>
      <c r="Y56">
        <v>5</v>
      </c>
      <c r="Z56">
        <v>206</v>
      </c>
      <c r="AA56">
        <v>10</v>
      </c>
      <c r="AB56">
        <v>16.937326531661199</v>
      </c>
      <c r="AC56">
        <v>8.5072682047500001E-3</v>
      </c>
      <c r="AD56">
        <v>1.2875260043372401</v>
      </c>
      <c r="AE56">
        <v>0.17621934413909901</v>
      </c>
      <c r="AF56">
        <v>1135.97767145136</v>
      </c>
      <c r="AG56">
        <f>IFERROR(AH56*0.1, "N/A")</f>
        <v>5.9582137161084505</v>
      </c>
      <c r="AH56">
        <v>59.582137161084503</v>
      </c>
      <c r="AI56">
        <v>222.74277560828801</v>
      </c>
      <c r="AJ56">
        <v>15.5821371610845</v>
      </c>
      <c r="AK56">
        <v>75</v>
      </c>
    </row>
    <row r="57" spans="1:37" x14ac:dyDescent="0.3">
      <c r="A57">
        <v>56</v>
      </c>
      <c r="B57">
        <v>10</v>
      </c>
      <c r="C57">
        <v>27.935699</v>
      </c>
      <c r="D57">
        <v>-20.872601</v>
      </c>
      <c r="E57" t="s">
        <v>118</v>
      </c>
      <c r="F57" t="s">
        <v>120</v>
      </c>
      <c r="G57" t="s">
        <v>39</v>
      </c>
      <c r="H57">
        <v>1985</v>
      </c>
      <c r="I57">
        <v>19.5</v>
      </c>
      <c r="J57">
        <v>14.1000003814697</v>
      </c>
      <c r="K57">
        <v>56</v>
      </c>
      <c r="L57">
        <v>34.459999084472699</v>
      </c>
      <c r="M57">
        <v>30.299999237060501</v>
      </c>
      <c r="N57">
        <v>5.5</v>
      </c>
      <c r="O57">
        <v>24.799999237060501</v>
      </c>
      <c r="P57">
        <v>22.399999618530298</v>
      </c>
      <c r="Q57">
        <v>14.5</v>
      </c>
      <c r="R57">
        <v>22.700000762939499</v>
      </c>
      <c r="S57">
        <v>14.5</v>
      </c>
      <c r="T57">
        <v>532</v>
      </c>
      <c r="U57">
        <v>115</v>
      </c>
      <c r="V57">
        <v>1</v>
      </c>
      <c r="W57">
        <v>97</v>
      </c>
      <c r="X57">
        <v>327</v>
      </c>
      <c r="Y57">
        <v>5</v>
      </c>
      <c r="Z57">
        <v>206</v>
      </c>
      <c r="AA57">
        <v>10</v>
      </c>
      <c r="AB57">
        <v>16.937326531661199</v>
      </c>
      <c r="AC57">
        <v>8.5072682047500001E-3</v>
      </c>
      <c r="AD57">
        <v>1.2875260043372401</v>
      </c>
      <c r="AE57">
        <v>0.17621934413909901</v>
      </c>
      <c r="AF57">
        <v>1135.97767145136</v>
      </c>
      <c r="AG57">
        <f>IFERROR(AH57*0.1, "N/A")</f>
        <v>5.9582137161084505</v>
      </c>
      <c r="AH57">
        <v>59.582137161084503</v>
      </c>
      <c r="AI57">
        <v>222.74277560828801</v>
      </c>
      <c r="AJ57">
        <v>15.5821371610845</v>
      </c>
      <c r="AK57">
        <v>75</v>
      </c>
    </row>
    <row r="58" spans="1:37" x14ac:dyDescent="0.3">
      <c r="A58">
        <v>57</v>
      </c>
      <c r="B58">
        <v>0</v>
      </c>
      <c r="C58">
        <v>30.205099000000001</v>
      </c>
      <c r="D58">
        <v>-20.823499999999999</v>
      </c>
      <c r="E58" t="s">
        <v>121</v>
      </c>
      <c r="F58" t="s">
        <v>122</v>
      </c>
      <c r="G58" t="s">
        <v>37</v>
      </c>
      <c r="H58">
        <v>1985</v>
      </c>
      <c r="I58">
        <v>20.5</v>
      </c>
      <c r="J58">
        <v>14.300000190734901</v>
      </c>
      <c r="K58">
        <v>57</v>
      </c>
      <c r="L58">
        <v>35.490001678466797</v>
      </c>
      <c r="M58">
        <v>30.899999618530298</v>
      </c>
      <c r="N58">
        <v>5.9000000953674299</v>
      </c>
      <c r="O58">
        <v>25</v>
      </c>
      <c r="P58">
        <v>23.799999237060501</v>
      </c>
      <c r="Q58">
        <v>15.300000190734901</v>
      </c>
      <c r="R58">
        <v>24</v>
      </c>
      <c r="S58">
        <v>15.300000190734901</v>
      </c>
      <c r="T58">
        <v>611</v>
      </c>
      <c r="U58">
        <v>142</v>
      </c>
      <c r="V58">
        <v>3</v>
      </c>
      <c r="W58">
        <v>94</v>
      </c>
      <c r="X58">
        <v>365</v>
      </c>
      <c r="Y58">
        <v>13</v>
      </c>
      <c r="Z58">
        <v>316</v>
      </c>
      <c r="AA58">
        <v>13</v>
      </c>
      <c r="AB58">
        <v>16.986392475164699</v>
      </c>
      <c r="AC58">
        <v>2.7768604790631E-2</v>
      </c>
      <c r="AD58">
        <v>7.8230859573466303</v>
      </c>
      <c r="AE58">
        <v>0.32117435336112998</v>
      </c>
      <c r="AF58">
        <v>790.827476038339</v>
      </c>
      <c r="AG58">
        <f>IFERROR(AH58*0.1, "N/A")</f>
        <v>6.1172523961661405</v>
      </c>
      <c r="AH58">
        <v>61.172523961661398</v>
      </c>
      <c r="AI58">
        <v>180.08691690219499</v>
      </c>
      <c r="AJ58">
        <v>15.4297124600639</v>
      </c>
      <c r="AK58">
        <v>76.728434504792304</v>
      </c>
    </row>
    <row r="59" spans="1:37" x14ac:dyDescent="0.3">
      <c r="A59">
        <v>58</v>
      </c>
      <c r="B59">
        <v>62</v>
      </c>
      <c r="C59">
        <v>30.205099000000001</v>
      </c>
      <c r="D59">
        <v>-20.823499999999999</v>
      </c>
      <c r="E59" t="s">
        <v>121</v>
      </c>
      <c r="F59" t="s">
        <v>123</v>
      </c>
      <c r="G59" t="s">
        <v>39</v>
      </c>
      <c r="H59">
        <v>1985</v>
      </c>
      <c r="I59">
        <v>20.5</v>
      </c>
      <c r="J59">
        <v>14.300000190734901</v>
      </c>
      <c r="K59">
        <v>57</v>
      </c>
      <c r="L59">
        <v>35.490001678466797</v>
      </c>
      <c r="M59">
        <v>30.899999618530298</v>
      </c>
      <c r="N59">
        <v>5.9000000953674299</v>
      </c>
      <c r="O59">
        <v>25</v>
      </c>
      <c r="P59">
        <v>23.799999237060501</v>
      </c>
      <c r="Q59">
        <v>15.300000190734901</v>
      </c>
      <c r="R59">
        <v>24</v>
      </c>
      <c r="S59">
        <v>15.300000190734901</v>
      </c>
      <c r="T59">
        <v>611</v>
      </c>
      <c r="U59">
        <v>142</v>
      </c>
      <c r="V59">
        <v>3</v>
      </c>
      <c r="W59">
        <v>94</v>
      </c>
      <c r="X59">
        <v>365</v>
      </c>
      <c r="Y59">
        <v>13</v>
      </c>
      <c r="Z59">
        <v>316</v>
      </c>
      <c r="AA59">
        <v>13</v>
      </c>
      <c r="AB59">
        <v>16.986392475164699</v>
      </c>
      <c r="AC59">
        <v>2.7768604790631E-2</v>
      </c>
      <c r="AD59">
        <v>7.8230859573466303</v>
      </c>
      <c r="AE59">
        <v>0.32117435336112998</v>
      </c>
      <c r="AF59">
        <v>790.827476038339</v>
      </c>
      <c r="AG59">
        <f>IFERROR(AH59*0.1, "N/A")</f>
        <v>6.1172523961661405</v>
      </c>
      <c r="AH59">
        <v>61.172523961661398</v>
      </c>
      <c r="AI59">
        <v>180.08691690219499</v>
      </c>
      <c r="AJ59">
        <v>15.4297124600639</v>
      </c>
      <c r="AK59">
        <v>76.728434504792304</v>
      </c>
    </row>
    <row r="60" spans="1:37" x14ac:dyDescent="0.3">
      <c r="A60">
        <v>59</v>
      </c>
      <c r="B60">
        <v>0</v>
      </c>
      <c r="C60">
        <v>28.167801000000001</v>
      </c>
      <c r="D60">
        <v>-20.804500999999998</v>
      </c>
      <c r="E60" t="s">
        <v>124</v>
      </c>
      <c r="F60" t="s">
        <v>125</v>
      </c>
      <c r="G60" t="s">
        <v>37</v>
      </c>
      <c r="H60">
        <v>1985</v>
      </c>
      <c r="I60">
        <v>19.299999237060501</v>
      </c>
      <c r="J60">
        <v>14.199999809265099</v>
      </c>
      <c r="K60">
        <v>56</v>
      </c>
      <c r="L60">
        <v>34.290000915527301</v>
      </c>
      <c r="M60">
        <v>30.100000381469702</v>
      </c>
      <c r="N60">
        <v>5.0999999046325701</v>
      </c>
      <c r="O60">
        <v>25</v>
      </c>
      <c r="P60">
        <v>22.200000762939499</v>
      </c>
      <c r="Q60">
        <v>14.300000190734901</v>
      </c>
      <c r="R60">
        <v>22.5</v>
      </c>
      <c r="S60">
        <v>14.300000190734901</v>
      </c>
      <c r="T60">
        <v>559</v>
      </c>
      <c r="U60">
        <v>123</v>
      </c>
      <c r="V60">
        <v>1</v>
      </c>
      <c r="W60">
        <v>98</v>
      </c>
      <c r="X60">
        <v>347</v>
      </c>
      <c r="Y60">
        <v>5</v>
      </c>
      <c r="Z60">
        <v>216</v>
      </c>
      <c r="AA60">
        <v>11</v>
      </c>
      <c r="AB60">
        <v>39.964806953685702</v>
      </c>
      <c r="AC60">
        <v>9.5318743789740007E-3</v>
      </c>
      <c r="AD60">
        <v>11.6877597671186</v>
      </c>
      <c r="AE60">
        <v>0.18209458887577101</v>
      </c>
      <c r="AF60">
        <v>1168.5311004784701</v>
      </c>
      <c r="AG60">
        <f>IFERROR(AH60*0.1, "N/A")</f>
        <v>6.4602870813397111</v>
      </c>
      <c r="AH60">
        <v>64.602870813397104</v>
      </c>
      <c r="AI60">
        <v>180.11248385050601</v>
      </c>
      <c r="AJ60">
        <v>16.076555023923401</v>
      </c>
      <c r="AK60">
        <v>71.722488038277504</v>
      </c>
    </row>
    <row r="61" spans="1:37" x14ac:dyDescent="0.3">
      <c r="A61">
        <v>60</v>
      </c>
      <c r="B61">
        <v>24</v>
      </c>
      <c r="C61">
        <v>28.167801000000001</v>
      </c>
      <c r="D61">
        <v>-20.804500999999998</v>
      </c>
      <c r="E61" t="s">
        <v>124</v>
      </c>
      <c r="F61" t="s">
        <v>126</v>
      </c>
      <c r="G61" t="s">
        <v>39</v>
      </c>
      <c r="H61">
        <v>1985</v>
      </c>
      <c r="I61">
        <v>19.299999237060501</v>
      </c>
      <c r="J61">
        <v>14.199999809265099</v>
      </c>
      <c r="K61">
        <v>56</v>
      </c>
      <c r="L61">
        <v>34.290000915527301</v>
      </c>
      <c r="M61">
        <v>30.100000381469702</v>
      </c>
      <c r="N61">
        <v>5.0999999046325701</v>
      </c>
      <c r="O61">
        <v>25</v>
      </c>
      <c r="P61">
        <v>22.200000762939499</v>
      </c>
      <c r="Q61">
        <v>14.300000190734901</v>
      </c>
      <c r="R61">
        <v>22.5</v>
      </c>
      <c r="S61">
        <v>14.300000190734901</v>
      </c>
      <c r="T61">
        <v>559</v>
      </c>
      <c r="U61">
        <v>123</v>
      </c>
      <c r="V61">
        <v>1</v>
      </c>
      <c r="W61">
        <v>98</v>
      </c>
      <c r="X61">
        <v>347</v>
      </c>
      <c r="Y61">
        <v>5</v>
      </c>
      <c r="Z61">
        <v>216</v>
      </c>
      <c r="AA61">
        <v>11</v>
      </c>
      <c r="AB61">
        <v>39.964806953685702</v>
      </c>
      <c r="AC61">
        <v>9.5318743789740007E-3</v>
      </c>
      <c r="AD61">
        <v>11.6877597671186</v>
      </c>
      <c r="AE61">
        <v>0.18209458887577101</v>
      </c>
      <c r="AF61">
        <v>1168.5311004784701</v>
      </c>
      <c r="AG61">
        <f>IFERROR(AH61*0.1, "N/A")</f>
        <v>6.4602870813397111</v>
      </c>
      <c r="AH61">
        <v>64.602870813397104</v>
      </c>
      <c r="AI61">
        <v>180.11248385050601</v>
      </c>
      <c r="AJ61">
        <v>16.076555023923401</v>
      </c>
      <c r="AK61">
        <v>71.722488038277504</v>
      </c>
    </row>
    <row r="62" spans="1:37" x14ac:dyDescent="0.3">
      <c r="A62">
        <v>61</v>
      </c>
      <c r="B62">
        <v>4</v>
      </c>
      <c r="C62">
        <v>32.401401999999997</v>
      </c>
      <c r="D62">
        <v>-20.7104</v>
      </c>
      <c r="E62" t="s">
        <v>127</v>
      </c>
      <c r="F62" t="s">
        <v>128</v>
      </c>
      <c r="G62" t="s">
        <v>37</v>
      </c>
      <c r="H62">
        <v>1985</v>
      </c>
      <c r="I62">
        <v>21.700000762939499</v>
      </c>
      <c r="J62">
        <v>13.699999809265099</v>
      </c>
      <c r="K62">
        <v>61</v>
      </c>
      <c r="L62">
        <v>30.350000381469702</v>
      </c>
      <c r="M62">
        <v>31</v>
      </c>
      <c r="N62">
        <v>8.6000003814697301</v>
      </c>
      <c r="O62">
        <v>22.399999618530298</v>
      </c>
      <c r="P62">
        <v>24.799999237060501</v>
      </c>
      <c r="Q62">
        <v>17.299999237060501</v>
      </c>
      <c r="R62">
        <v>24.799999237060501</v>
      </c>
      <c r="S62">
        <v>17.299999237060501</v>
      </c>
      <c r="T62">
        <v>661</v>
      </c>
      <c r="U62">
        <v>136</v>
      </c>
      <c r="V62">
        <v>6</v>
      </c>
      <c r="W62">
        <v>89</v>
      </c>
      <c r="X62">
        <v>396</v>
      </c>
      <c r="Y62">
        <v>27</v>
      </c>
      <c r="Z62">
        <v>346</v>
      </c>
      <c r="AA62">
        <v>27</v>
      </c>
      <c r="AB62">
        <v>6.05693888930423</v>
      </c>
      <c r="AC62">
        <v>3.2762808587098999E-2</v>
      </c>
      <c r="AD62">
        <v>1.95829176655607</v>
      </c>
      <c r="AE62">
        <v>0.39070287346839899</v>
      </c>
      <c r="AF62">
        <v>491.22807017543897</v>
      </c>
      <c r="AG62">
        <f>IFERROR(AH62*0.1, "N/A")</f>
        <v>6.6000000000000005</v>
      </c>
      <c r="AH62">
        <v>66</v>
      </c>
      <c r="AI62">
        <v>277.39085239732901</v>
      </c>
      <c r="AJ62">
        <v>19</v>
      </c>
      <c r="AK62">
        <v>69</v>
      </c>
    </row>
    <row r="63" spans="1:37" x14ac:dyDescent="0.3">
      <c r="A63">
        <v>62</v>
      </c>
      <c r="B63">
        <v>9</v>
      </c>
      <c r="C63">
        <v>32.401401999999997</v>
      </c>
      <c r="D63">
        <v>-20.7104</v>
      </c>
      <c r="E63" t="s">
        <v>127</v>
      </c>
      <c r="F63" t="s">
        <v>129</v>
      </c>
      <c r="G63" t="s">
        <v>39</v>
      </c>
      <c r="H63">
        <v>1985</v>
      </c>
      <c r="I63">
        <v>21.700000762939499</v>
      </c>
      <c r="J63">
        <v>13.699999809265099</v>
      </c>
      <c r="K63">
        <v>61</v>
      </c>
      <c r="L63">
        <v>30.350000381469702</v>
      </c>
      <c r="M63">
        <v>31</v>
      </c>
      <c r="N63">
        <v>8.6000003814697301</v>
      </c>
      <c r="O63">
        <v>22.399999618530298</v>
      </c>
      <c r="P63">
        <v>24.799999237060501</v>
      </c>
      <c r="Q63">
        <v>17.299999237060501</v>
      </c>
      <c r="R63">
        <v>24.799999237060501</v>
      </c>
      <c r="S63">
        <v>17.299999237060501</v>
      </c>
      <c r="T63">
        <v>661</v>
      </c>
      <c r="U63">
        <v>136</v>
      </c>
      <c r="V63">
        <v>6</v>
      </c>
      <c r="W63">
        <v>89</v>
      </c>
      <c r="X63">
        <v>396</v>
      </c>
      <c r="Y63">
        <v>27</v>
      </c>
      <c r="Z63">
        <v>346</v>
      </c>
      <c r="AA63">
        <v>27</v>
      </c>
      <c r="AB63">
        <v>6.05693888930423</v>
      </c>
      <c r="AC63">
        <v>3.2762808587098999E-2</v>
      </c>
      <c r="AD63">
        <v>1.95829176655607</v>
      </c>
      <c r="AE63">
        <v>0.39070287346839899</v>
      </c>
      <c r="AF63">
        <v>491.22807017543897</v>
      </c>
      <c r="AG63">
        <f>IFERROR(AH63*0.1, "N/A")</f>
        <v>6.6000000000000005</v>
      </c>
      <c r="AH63">
        <v>66</v>
      </c>
      <c r="AI63">
        <v>277.39085239732901</v>
      </c>
      <c r="AJ63">
        <v>19</v>
      </c>
      <c r="AK63">
        <v>69</v>
      </c>
    </row>
    <row r="64" spans="1:37" x14ac:dyDescent="0.3">
      <c r="A64">
        <v>63</v>
      </c>
      <c r="B64">
        <v>25</v>
      </c>
      <c r="C64">
        <v>32.081299000000001</v>
      </c>
      <c r="D64">
        <v>-20.671399999999998</v>
      </c>
      <c r="E64" t="s">
        <v>130</v>
      </c>
      <c r="F64" t="s">
        <v>131</v>
      </c>
      <c r="G64" t="s">
        <v>37</v>
      </c>
      <c r="H64">
        <v>1985</v>
      </c>
      <c r="I64">
        <v>21.799999237060501</v>
      </c>
      <c r="J64">
        <v>14.3999996185303</v>
      </c>
      <c r="K64">
        <v>61</v>
      </c>
      <c r="L64">
        <v>30.940000534057599</v>
      </c>
      <c r="M64">
        <v>31.799999237060501</v>
      </c>
      <c r="N64">
        <v>8.1999998092651403</v>
      </c>
      <c r="O64">
        <v>23.600000381469702</v>
      </c>
      <c r="P64">
        <v>24.799999237060501</v>
      </c>
      <c r="Q64">
        <v>19</v>
      </c>
      <c r="R64">
        <v>24.899999618530298</v>
      </c>
      <c r="S64">
        <v>17.299999237060501</v>
      </c>
      <c r="T64">
        <v>590</v>
      </c>
      <c r="U64">
        <v>126</v>
      </c>
      <c r="V64">
        <v>4</v>
      </c>
      <c r="W64">
        <v>94</v>
      </c>
      <c r="X64">
        <v>366</v>
      </c>
      <c r="Y64">
        <v>19</v>
      </c>
      <c r="Z64">
        <v>325</v>
      </c>
      <c r="AA64">
        <v>20</v>
      </c>
      <c r="AB64">
        <v>2.2030413700984099</v>
      </c>
      <c r="AC64">
        <v>0.43942101235286501</v>
      </c>
      <c r="AD64">
        <v>1.4765351242744</v>
      </c>
      <c r="AE64">
        <v>0.19146224641456</v>
      </c>
      <c r="AF64">
        <v>483.935897435897</v>
      </c>
      <c r="AG64">
        <f>IFERROR(AH64*0.1, "N/A")</f>
        <v>6.2365384615384603</v>
      </c>
      <c r="AH64">
        <v>62.365384615384599</v>
      </c>
      <c r="AI64">
        <v>160.04305494748601</v>
      </c>
      <c r="AJ64">
        <v>18</v>
      </c>
      <c r="AK64">
        <v>73</v>
      </c>
    </row>
    <row r="65" spans="1:37" x14ac:dyDescent="0.3">
      <c r="A65">
        <v>64</v>
      </c>
      <c r="B65">
        <v>50</v>
      </c>
      <c r="C65">
        <v>32.081299000000001</v>
      </c>
      <c r="D65">
        <v>-20.671399999999998</v>
      </c>
      <c r="E65" t="s">
        <v>130</v>
      </c>
      <c r="F65" t="s">
        <v>132</v>
      </c>
      <c r="G65" t="s">
        <v>39</v>
      </c>
      <c r="H65">
        <v>1985</v>
      </c>
      <c r="I65">
        <v>21.799999237060501</v>
      </c>
      <c r="J65">
        <v>14.3999996185303</v>
      </c>
      <c r="K65">
        <v>61</v>
      </c>
      <c r="L65">
        <v>30.940000534057599</v>
      </c>
      <c r="M65">
        <v>31.799999237060501</v>
      </c>
      <c r="N65">
        <v>8.1999998092651403</v>
      </c>
      <c r="O65">
        <v>23.600000381469702</v>
      </c>
      <c r="P65">
        <v>24.799999237060501</v>
      </c>
      <c r="Q65">
        <v>19</v>
      </c>
      <c r="R65">
        <v>24.899999618530298</v>
      </c>
      <c r="S65">
        <v>17.299999237060501</v>
      </c>
      <c r="T65">
        <v>590</v>
      </c>
      <c r="U65">
        <v>126</v>
      </c>
      <c r="V65">
        <v>4</v>
      </c>
      <c r="W65">
        <v>94</v>
      </c>
      <c r="X65">
        <v>366</v>
      </c>
      <c r="Y65">
        <v>19</v>
      </c>
      <c r="Z65">
        <v>325</v>
      </c>
      <c r="AA65">
        <v>20</v>
      </c>
      <c r="AB65">
        <v>2.2030413700984099</v>
      </c>
      <c r="AC65">
        <v>0.43942101235286501</v>
      </c>
      <c r="AD65">
        <v>1.4765351242744</v>
      </c>
      <c r="AE65">
        <v>0.19146224641456</v>
      </c>
      <c r="AF65">
        <v>483.935897435897</v>
      </c>
      <c r="AG65">
        <f>IFERROR(AH65*0.1, "N/A")</f>
        <v>6.2365384615384603</v>
      </c>
      <c r="AH65">
        <v>62.365384615384599</v>
      </c>
      <c r="AI65">
        <v>160.04305494748601</v>
      </c>
      <c r="AJ65">
        <v>18</v>
      </c>
      <c r="AK65">
        <v>73</v>
      </c>
    </row>
    <row r="66" spans="1:37" x14ac:dyDescent="0.3">
      <c r="A66">
        <v>65</v>
      </c>
      <c r="B66">
        <v>0</v>
      </c>
      <c r="C66">
        <v>27.818898999999998</v>
      </c>
      <c r="D66">
        <v>-20.660601</v>
      </c>
      <c r="E66" t="s">
        <v>133</v>
      </c>
      <c r="F66" t="s">
        <v>134</v>
      </c>
      <c r="G66" t="s">
        <v>37</v>
      </c>
      <c r="H66">
        <v>1985</v>
      </c>
      <c r="I66">
        <v>19.299999237060501</v>
      </c>
      <c r="J66">
        <v>13.8999996185303</v>
      </c>
      <c r="K66">
        <v>56</v>
      </c>
      <c r="L66">
        <v>33.959999084472699</v>
      </c>
      <c r="M66">
        <v>30.200000762939499</v>
      </c>
      <c r="N66">
        <v>5.6999998092651403</v>
      </c>
      <c r="O66">
        <v>24.5</v>
      </c>
      <c r="P66">
        <v>22.100000381469702</v>
      </c>
      <c r="Q66">
        <v>14.3999996185303</v>
      </c>
      <c r="R66">
        <v>22.600000381469702</v>
      </c>
      <c r="S66">
        <v>14.3999996185303</v>
      </c>
      <c r="T66">
        <v>548</v>
      </c>
      <c r="U66">
        <v>119</v>
      </c>
      <c r="V66">
        <v>1</v>
      </c>
      <c r="W66">
        <v>98</v>
      </c>
      <c r="X66">
        <v>336</v>
      </c>
      <c r="Y66">
        <v>5</v>
      </c>
      <c r="Z66">
        <v>217</v>
      </c>
      <c r="AA66">
        <v>5</v>
      </c>
      <c r="AB66">
        <v>3.7127699218750001</v>
      </c>
      <c r="AC66">
        <v>1.0147883696854E-2</v>
      </c>
      <c r="AD66">
        <v>2.04760185928345</v>
      </c>
      <c r="AE66">
        <v>0.18513576686382299</v>
      </c>
      <c r="AF66">
        <v>1208.5344</v>
      </c>
      <c r="AG66">
        <f>IFERROR(AH66*0.1, "N/A")</f>
        <v>6.4180800000000007</v>
      </c>
      <c r="AH66">
        <v>64.180800000000005</v>
      </c>
      <c r="AI66">
        <v>177.289591479492</v>
      </c>
      <c r="AJ66">
        <v>11.4384</v>
      </c>
      <c r="AK66">
        <v>80.595200000000006</v>
      </c>
    </row>
    <row r="67" spans="1:37" x14ac:dyDescent="0.3">
      <c r="A67">
        <v>66</v>
      </c>
      <c r="B67">
        <v>0</v>
      </c>
      <c r="C67">
        <v>27.818898999999998</v>
      </c>
      <c r="D67">
        <v>-20.660601</v>
      </c>
      <c r="E67" t="s">
        <v>133</v>
      </c>
      <c r="F67" t="s">
        <v>135</v>
      </c>
      <c r="G67" t="s">
        <v>39</v>
      </c>
      <c r="H67">
        <v>1985</v>
      </c>
      <c r="I67">
        <v>19.299999237060501</v>
      </c>
      <c r="J67">
        <v>13.8999996185303</v>
      </c>
      <c r="K67">
        <v>56</v>
      </c>
      <c r="L67">
        <v>33.959999084472699</v>
      </c>
      <c r="M67">
        <v>30.200000762939499</v>
      </c>
      <c r="N67">
        <v>5.6999998092651403</v>
      </c>
      <c r="O67">
        <v>24.5</v>
      </c>
      <c r="P67">
        <v>22.100000381469702</v>
      </c>
      <c r="Q67">
        <v>14.3999996185303</v>
      </c>
      <c r="R67">
        <v>22.600000381469702</v>
      </c>
      <c r="S67">
        <v>14.3999996185303</v>
      </c>
      <c r="T67">
        <v>548</v>
      </c>
      <c r="U67">
        <v>119</v>
      </c>
      <c r="V67">
        <v>1</v>
      </c>
      <c r="W67">
        <v>98</v>
      </c>
      <c r="X67">
        <v>336</v>
      </c>
      <c r="Y67">
        <v>5</v>
      </c>
      <c r="Z67">
        <v>217</v>
      </c>
      <c r="AA67">
        <v>5</v>
      </c>
      <c r="AB67">
        <v>3.7127699218750001</v>
      </c>
      <c r="AC67">
        <v>1.0147883696854E-2</v>
      </c>
      <c r="AD67">
        <v>2.04760185928345</v>
      </c>
      <c r="AE67">
        <v>0.18513576686382299</v>
      </c>
      <c r="AF67">
        <v>1208.5344</v>
      </c>
      <c r="AG67">
        <f>IFERROR(AH67*0.1, "N/A")</f>
        <v>6.4180800000000007</v>
      </c>
      <c r="AH67">
        <v>64.180800000000005</v>
      </c>
      <c r="AI67">
        <v>177.289591479492</v>
      </c>
      <c r="AJ67">
        <v>11.4384</v>
      </c>
      <c r="AK67">
        <v>80.595200000000006</v>
      </c>
    </row>
    <row r="68" spans="1:37" x14ac:dyDescent="0.3">
      <c r="A68">
        <v>67</v>
      </c>
      <c r="B68">
        <v>0</v>
      </c>
      <c r="C68">
        <v>29.732099999999999</v>
      </c>
      <c r="D68">
        <v>-20.606100000000001</v>
      </c>
      <c r="E68" t="s">
        <v>136</v>
      </c>
      <c r="F68" t="s">
        <v>137</v>
      </c>
      <c r="G68" t="s">
        <v>37</v>
      </c>
      <c r="H68">
        <v>1985</v>
      </c>
      <c r="I68">
        <v>19.399999618530298</v>
      </c>
      <c r="J68">
        <v>14</v>
      </c>
      <c r="K68">
        <v>56</v>
      </c>
      <c r="L68">
        <v>35.25</v>
      </c>
      <c r="M68">
        <v>30</v>
      </c>
      <c r="N68">
        <v>5.1999998092651403</v>
      </c>
      <c r="O68">
        <v>24.799999237060501</v>
      </c>
      <c r="P68">
        <v>22.600000381469702</v>
      </c>
      <c r="Q68">
        <v>14.300000190734901</v>
      </c>
      <c r="R68">
        <v>22.700000762939499</v>
      </c>
      <c r="S68">
        <v>14.300000190734901</v>
      </c>
      <c r="T68">
        <v>580</v>
      </c>
      <c r="U68">
        <v>125</v>
      </c>
      <c r="V68">
        <v>1</v>
      </c>
      <c r="W68">
        <v>93</v>
      </c>
      <c r="X68">
        <v>346</v>
      </c>
      <c r="Y68">
        <v>11</v>
      </c>
      <c r="Z68">
        <v>311</v>
      </c>
      <c r="AA68">
        <v>11</v>
      </c>
      <c r="AB68">
        <v>18.126098828124999</v>
      </c>
      <c r="AC68">
        <v>9.0491484612230007E-3</v>
      </c>
      <c r="AD68">
        <v>2.1303432395935</v>
      </c>
      <c r="AE68">
        <v>0.24982053041458099</v>
      </c>
      <c r="AF68">
        <v>1044.3024</v>
      </c>
      <c r="AG68">
        <f>IFERROR(AH68*0.1, "N/A")</f>
        <v>6.2</v>
      </c>
      <c r="AH68">
        <v>62</v>
      </c>
      <c r="AI68">
        <v>76.989063928222606</v>
      </c>
      <c r="AJ68">
        <v>19.091200000000001</v>
      </c>
      <c r="AK68">
        <v>68.908799999999999</v>
      </c>
    </row>
    <row r="69" spans="1:37" x14ac:dyDescent="0.3">
      <c r="A69">
        <v>68</v>
      </c>
      <c r="B69">
        <v>32</v>
      </c>
      <c r="C69">
        <v>29.732099999999999</v>
      </c>
      <c r="D69">
        <v>-20.606100000000001</v>
      </c>
      <c r="E69" t="s">
        <v>136</v>
      </c>
      <c r="F69" t="s">
        <v>138</v>
      </c>
      <c r="G69" t="s">
        <v>39</v>
      </c>
      <c r="H69">
        <v>1985</v>
      </c>
      <c r="I69">
        <v>19.399999618530298</v>
      </c>
      <c r="J69">
        <v>14</v>
      </c>
      <c r="K69">
        <v>56</v>
      </c>
      <c r="L69">
        <v>35.25</v>
      </c>
      <c r="M69">
        <v>30</v>
      </c>
      <c r="N69">
        <v>5.1999998092651403</v>
      </c>
      <c r="O69">
        <v>24.799999237060501</v>
      </c>
      <c r="P69">
        <v>22.600000381469702</v>
      </c>
      <c r="Q69">
        <v>14.300000190734901</v>
      </c>
      <c r="R69">
        <v>22.700000762939499</v>
      </c>
      <c r="S69">
        <v>14.300000190734901</v>
      </c>
      <c r="T69">
        <v>580</v>
      </c>
      <c r="U69">
        <v>125</v>
      </c>
      <c r="V69">
        <v>1</v>
      </c>
      <c r="W69">
        <v>93</v>
      </c>
      <c r="X69">
        <v>346</v>
      </c>
      <c r="Y69">
        <v>11</v>
      </c>
      <c r="Z69">
        <v>311</v>
      </c>
      <c r="AA69">
        <v>11</v>
      </c>
      <c r="AB69">
        <v>18.126098828124999</v>
      </c>
      <c r="AC69">
        <v>9.0491484612230007E-3</v>
      </c>
      <c r="AD69">
        <v>2.1303432395935</v>
      </c>
      <c r="AE69">
        <v>0.24982053041458099</v>
      </c>
      <c r="AF69">
        <v>1044.3024</v>
      </c>
      <c r="AG69">
        <f>IFERROR(AH69*0.1, "N/A")</f>
        <v>6.2</v>
      </c>
      <c r="AH69">
        <v>62</v>
      </c>
      <c r="AI69">
        <v>76.989063928222606</v>
      </c>
      <c r="AJ69">
        <v>19.091200000000001</v>
      </c>
      <c r="AK69">
        <v>68.908799999999999</v>
      </c>
    </row>
    <row r="70" spans="1:37" x14ac:dyDescent="0.3">
      <c r="A70">
        <v>69</v>
      </c>
      <c r="B70">
        <v>1</v>
      </c>
      <c r="C70">
        <v>29.307099999999998</v>
      </c>
      <c r="D70">
        <v>-20.591999000000001</v>
      </c>
      <c r="E70" t="s">
        <v>139</v>
      </c>
      <c r="F70" t="s">
        <v>140</v>
      </c>
      <c r="G70" t="s">
        <v>37</v>
      </c>
      <c r="H70">
        <v>1985</v>
      </c>
      <c r="I70">
        <v>19.658467058175699</v>
      </c>
      <c r="J70">
        <v>14.6584665005961</v>
      </c>
      <c r="K70">
        <v>57</v>
      </c>
      <c r="L70">
        <v>34.904920181908203</v>
      </c>
      <c r="M70">
        <v>30.558466676705901</v>
      </c>
      <c r="N70">
        <v>4.9000000953674299</v>
      </c>
      <c r="O70">
        <v>25.658467058175699</v>
      </c>
      <c r="P70">
        <v>22.658467058175699</v>
      </c>
      <c r="Q70">
        <v>14.558466676705899</v>
      </c>
      <c r="R70">
        <v>22.858465913766501</v>
      </c>
      <c r="S70">
        <v>14.558466676705899</v>
      </c>
      <c r="T70">
        <v>550.415335463259</v>
      </c>
      <c r="U70">
        <v>121.415335463259</v>
      </c>
      <c r="V70">
        <v>0</v>
      </c>
      <c r="W70">
        <v>94.415335463258799</v>
      </c>
      <c r="X70">
        <v>328.830670926518</v>
      </c>
      <c r="Y70">
        <v>6</v>
      </c>
      <c r="Z70">
        <v>210.830670926518</v>
      </c>
      <c r="AA70">
        <v>6</v>
      </c>
      <c r="AB70">
        <v>0.84773308019668503</v>
      </c>
      <c r="AC70">
        <v>3.3612053690451398</v>
      </c>
      <c r="AD70">
        <v>0.879455014253958</v>
      </c>
      <c r="AE70">
        <v>0.20919647815223699</v>
      </c>
      <c r="AF70">
        <v>1027.68690095847</v>
      </c>
      <c r="AG70">
        <f>IFERROR(AH70*0.1, "N/A")</f>
        <v>6.6511182108626201</v>
      </c>
      <c r="AH70">
        <v>66.511182108626201</v>
      </c>
      <c r="AI70">
        <v>182.803460509632</v>
      </c>
      <c r="AJ70">
        <v>20.351437699680499</v>
      </c>
      <c r="AK70">
        <v>66.763578274760405</v>
      </c>
    </row>
    <row r="71" spans="1:37" x14ac:dyDescent="0.3">
      <c r="A71">
        <v>70</v>
      </c>
      <c r="B71">
        <v>6</v>
      </c>
      <c r="C71">
        <v>29.307099999999998</v>
      </c>
      <c r="D71">
        <v>-20.591999000000001</v>
      </c>
      <c r="E71" t="s">
        <v>139</v>
      </c>
      <c r="F71" t="s">
        <v>141</v>
      </c>
      <c r="G71" t="s">
        <v>39</v>
      </c>
      <c r="H71">
        <v>1985</v>
      </c>
      <c r="I71">
        <v>19.658467058175699</v>
      </c>
      <c r="J71">
        <v>14.6584665005961</v>
      </c>
      <c r="K71">
        <v>57</v>
      </c>
      <c r="L71">
        <v>34.904920181908203</v>
      </c>
      <c r="M71">
        <v>30.558466676705901</v>
      </c>
      <c r="N71">
        <v>4.9000000953674299</v>
      </c>
      <c r="O71">
        <v>25.658467058175699</v>
      </c>
      <c r="P71">
        <v>22.658467058175699</v>
      </c>
      <c r="Q71">
        <v>14.558466676705899</v>
      </c>
      <c r="R71">
        <v>22.858465913766501</v>
      </c>
      <c r="S71">
        <v>14.558466676705899</v>
      </c>
      <c r="T71">
        <v>550.415335463259</v>
      </c>
      <c r="U71">
        <v>121.415335463259</v>
      </c>
      <c r="V71">
        <v>0</v>
      </c>
      <c r="W71">
        <v>94.415335463258799</v>
      </c>
      <c r="X71">
        <v>328.830670926518</v>
      </c>
      <c r="Y71">
        <v>6</v>
      </c>
      <c r="Z71">
        <v>210.830670926518</v>
      </c>
      <c r="AA71">
        <v>6</v>
      </c>
      <c r="AB71">
        <v>0.84773308019668503</v>
      </c>
      <c r="AC71">
        <v>3.3612053690451398</v>
      </c>
      <c r="AD71">
        <v>0.879455014253958</v>
      </c>
      <c r="AE71">
        <v>0.20919647815223699</v>
      </c>
      <c r="AF71">
        <v>1027.68690095847</v>
      </c>
      <c r="AG71">
        <f>IFERROR(AH71*0.1, "N/A")</f>
        <v>6.6511182108626201</v>
      </c>
      <c r="AH71">
        <v>66.511182108626201</v>
      </c>
      <c r="AI71">
        <v>182.803460509632</v>
      </c>
      <c r="AJ71">
        <v>20.351437699680499</v>
      </c>
      <c r="AK71">
        <v>66.763578274760405</v>
      </c>
    </row>
    <row r="72" spans="1:37" x14ac:dyDescent="0.3">
      <c r="A72">
        <v>71</v>
      </c>
      <c r="B72">
        <v>3</v>
      </c>
      <c r="C72">
        <v>31.356898999999999</v>
      </c>
      <c r="D72">
        <v>-20.5793</v>
      </c>
      <c r="E72" t="s">
        <v>142</v>
      </c>
      <c r="F72" t="s">
        <v>143</v>
      </c>
      <c r="G72" t="s">
        <v>37</v>
      </c>
      <c r="H72">
        <v>1985</v>
      </c>
      <c r="I72">
        <v>21.299999237060501</v>
      </c>
      <c r="J72">
        <v>14.3999996185303</v>
      </c>
      <c r="K72">
        <v>58</v>
      </c>
      <c r="L72">
        <v>32.009998321533203</v>
      </c>
      <c r="M72">
        <v>31.799999237060501</v>
      </c>
      <c r="N72">
        <v>7.3000001907348597</v>
      </c>
      <c r="O72">
        <v>24.5</v>
      </c>
      <c r="P72">
        <v>24.200000762939499</v>
      </c>
      <c r="Q72">
        <v>18.5</v>
      </c>
      <c r="R72">
        <v>24.399999618530298</v>
      </c>
      <c r="S72">
        <v>16.600000381469702</v>
      </c>
      <c r="T72">
        <v>834</v>
      </c>
      <c r="U72">
        <v>170</v>
      </c>
      <c r="V72">
        <v>6</v>
      </c>
      <c r="W72">
        <v>89</v>
      </c>
      <c r="X72">
        <v>498</v>
      </c>
      <c r="Y72">
        <v>31</v>
      </c>
      <c r="Z72">
        <v>422</v>
      </c>
      <c r="AA72">
        <v>33</v>
      </c>
      <c r="AB72">
        <v>5.0132473589132402</v>
      </c>
      <c r="AC72">
        <v>0.38192516124506798</v>
      </c>
      <c r="AD72">
        <v>4.1590415301223898</v>
      </c>
      <c r="AE72">
        <v>0.26370498538017301</v>
      </c>
      <c r="AF72">
        <v>626.54313099041497</v>
      </c>
      <c r="AG72">
        <f>IFERROR(AH72*0.1, "N/A")</f>
        <v>6.224760383386581</v>
      </c>
      <c r="AH72">
        <v>62.247603833865803</v>
      </c>
      <c r="AI72">
        <v>188.47957494083701</v>
      </c>
      <c r="AJ72">
        <v>16.749201277955301</v>
      </c>
      <c r="AK72">
        <v>72.501597444089398</v>
      </c>
    </row>
    <row r="73" spans="1:37" x14ac:dyDescent="0.3">
      <c r="A73">
        <v>72</v>
      </c>
      <c r="B73">
        <v>26</v>
      </c>
      <c r="C73">
        <v>31.356898999999999</v>
      </c>
      <c r="D73">
        <v>-20.5793</v>
      </c>
      <c r="E73" t="s">
        <v>142</v>
      </c>
      <c r="F73" t="s">
        <v>144</v>
      </c>
      <c r="G73" t="s">
        <v>39</v>
      </c>
      <c r="H73">
        <v>1985</v>
      </c>
      <c r="I73">
        <v>21.299999237060501</v>
      </c>
      <c r="J73">
        <v>14.3999996185303</v>
      </c>
      <c r="K73">
        <v>58</v>
      </c>
      <c r="L73">
        <v>32.009998321533203</v>
      </c>
      <c r="M73">
        <v>31.799999237060501</v>
      </c>
      <c r="N73">
        <v>7.3000001907348597</v>
      </c>
      <c r="O73">
        <v>24.5</v>
      </c>
      <c r="P73">
        <v>24.200000762939499</v>
      </c>
      <c r="Q73">
        <v>18.5</v>
      </c>
      <c r="R73">
        <v>24.399999618530298</v>
      </c>
      <c r="S73">
        <v>16.600000381469702</v>
      </c>
      <c r="T73">
        <v>834</v>
      </c>
      <c r="U73">
        <v>170</v>
      </c>
      <c r="V73">
        <v>6</v>
      </c>
      <c r="W73">
        <v>89</v>
      </c>
      <c r="X73">
        <v>498</v>
      </c>
      <c r="Y73">
        <v>31</v>
      </c>
      <c r="Z73">
        <v>422</v>
      </c>
      <c r="AA73">
        <v>33</v>
      </c>
      <c r="AB73">
        <v>5.0132473589132402</v>
      </c>
      <c r="AC73">
        <v>0.38192516124506798</v>
      </c>
      <c r="AD73">
        <v>4.1590415301223898</v>
      </c>
      <c r="AE73">
        <v>0.26370498538017301</v>
      </c>
      <c r="AF73">
        <v>626.54313099041497</v>
      </c>
      <c r="AG73">
        <f>IFERROR(AH73*0.1, "N/A")</f>
        <v>6.224760383386581</v>
      </c>
      <c r="AH73">
        <v>62.247603833865803</v>
      </c>
      <c r="AI73">
        <v>188.47957494083701</v>
      </c>
      <c r="AJ73">
        <v>16.749201277955301</v>
      </c>
      <c r="AK73">
        <v>72.501597444089398</v>
      </c>
    </row>
    <row r="74" spans="1:37" x14ac:dyDescent="0.3">
      <c r="A74">
        <v>73</v>
      </c>
      <c r="B74">
        <v>0</v>
      </c>
      <c r="C74">
        <v>29.105301000000001</v>
      </c>
      <c r="D74">
        <v>-20.577998999999998</v>
      </c>
      <c r="E74" t="s">
        <v>145</v>
      </c>
      <c r="F74" t="s">
        <v>146</v>
      </c>
      <c r="G74" t="s">
        <v>37</v>
      </c>
      <c r="H74">
        <v>1985</v>
      </c>
      <c r="I74">
        <v>19.700000762939499</v>
      </c>
      <c r="J74">
        <v>14.8999996185303</v>
      </c>
      <c r="K74">
        <v>57</v>
      </c>
      <c r="L74">
        <v>35.159999847412102</v>
      </c>
      <c r="M74">
        <v>30.799999237060501</v>
      </c>
      <c r="N74">
        <v>4.8000001907348597</v>
      </c>
      <c r="O74">
        <v>26</v>
      </c>
      <c r="P74">
        <v>22.799999237060501</v>
      </c>
      <c r="Q74">
        <v>14.6000003814697</v>
      </c>
      <c r="R74">
        <v>23</v>
      </c>
      <c r="S74">
        <v>14.6000003814697</v>
      </c>
      <c r="T74">
        <v>523</v>
      </c>
      <c r="U74">
        <v>113</v>
      </c>
      <c r="V74">
        <v>1</v>
      </c>
      <c r="W74">
        <v>96</v>
      </c>
      <c r="X74">
        <v>320</v>
      </c>
      <c r="Y74">
        <v>5</v>
      </c>
      <c r="Z74">
        <v>205</v>
      </c>
      <c r="AA74">
        <v>11</v>
      </c>
      <c r="AB74">
        <v>11.001573904966699</v>
      </c>
      <c r="AC74">
        <v>9.9256066874100005E-3</v>
      </c>
      <c r="AD74">
        <v>2.0406078188083101</v>
      </c>
      <c r="AE74">
        <v>0.24259407818317399</v>
      </c>
      <c r="AF74">
        <v>1029.7163461538501</v>
      </c>
      <c r="AG74">
        <f>IFERROR(AH74*0.1, "N/A")</f>
        <v>6.0985576923076898</v>
      </c>
      <c r="AH74">
        <v>60.985576923076898</v>
      </c>
      <c r="AI74">
        <v>235.001885291858</v>
      </c>
      <c r="AJ74">
        <v>14.4182692307692</v>
      </c>
      <c r="AK74">
        <v>77.581730769230802</v>
      </c>
    </row>
    <row r="75" spans="1:37" x14ac:dyDescent="0.3">
      <c r="A75">
        <v>74</v>
      </c>
      <c r="B75">
        <v>38</v>
      </c>
      <c r="C75">
        <v>29.105301000000001</v>
      </c>
      <c r="D75">
        <v>-20.577998999999998</v>
      </c>
      <c r="E75" t="s">
        <v>145</v>
      </c>
      <c r="F75" t="s">
        <v>147</v>
      </c>
      <c r="G75" t="s">
        <v>39</v>
      </c>
      <c r="H75">
        <v>1985</v>
      </c>
      <c r="I75">
        <v>19.700000762939499</v>
      </c>
      <c r="J75">
        <v>14.8999996185303</v>
      </c>
      <c r="K75">
        <v>57</v>
      </c>
      <c r="L75">
        <v>35.159999847412102</v>
      </c>
      <c r="M75">
        <v>30.799999237060501</v>
      </c>
      <c r="N75">
        <v>4.8000001907348597</v>
      </c>
      <c r="O75">
        <v>26</v>
      </c>
      <c r="P75">
        <v>22.799999237060501</v>
      </c>
      <c r="Q75">
        <v>14.6000003814697</v>
      </c>
      <c r="R75">
        <v>23</v>
      </c>
      <c r="S75">
        <v>14.6000003814697</v>
      </c>
      <c r="T75">
        <v>523</v>
      </c>
      <c r="U75">
        <v>113</v>
      </c>
      <c r="V75">
        <v>1</v>
      </c>
      <c r="W75">
        <v>96</v>
      </c>
      <c r="X75">
        <v>320</v>
      </c>
      <c r="Y75">
        <v>5</v>
      </c>
      <c r="Z75">
        <v>205</v>
      </c>
      <c r="AA75">
        <v>11</v>
      </c>
      <c r="AB75">
        <v>11.001573904966699</v>
      </c>
      <c r="AC75">
        <v>9.9256066874100005E-3</v>
      </c>
      <c r="AD75">
        <v>2.0406078188083101</v>
      </c>
      <c r="AE75">
        <v>0.24259407818317399</v>
      </c>
      <c r="AF75">
        <v>1029.7163461538501</v>
      </c>
      <c r="AG75">
        <f>IFERROR(AH75*0.1, "N/A")</f>
        <v>6.0985576923076898</v>
      </c>
      <c r="AH75">
        <v>60.985576923076898</v>
      </c>
      <c r="AI75">
        <v>235.001885291858</v>
      </c>
      <c r="AJ75">
        <v>14.4182692307692</v>
      </c>
      <c r="AK75">
        <v>77.581730769230802</v>
      </c>
    </row>
    <row r="76" spans="1:37" x14ac:dyDescent="0.3">
      <c r="A76">
        <v>75</v>
      </c>
      <c r="B76">
        <v>0</v>
      </c>
      <c r="C76">
        <v>30.518298999999999</v>
      </c>
      <c r="D76">
        <v>-20.503799000000001</v>
      </c>
      <c r="E76" t="s">
        <v>148</v>
      </c>
      <c r="F76" t="s">
        <v>149</v>
      </c>
      <c r="G76" t="s">
        <v>37</v>
      </c>
      <c r="H76">
        <v>1985</v>
      </c>
      <c r="I76">
        <v>20.5</v>
      </c>
      <c r="J76">
        <v>14.1000003814697</v>
      </c>
      <c r="K76">
        <v>57</v>
      </c>
      <c r="L76">
        <v>32.310001373291001</v>
      </c>
      <c r="M76">
        <v>31</v>
      </c>
      <c r="N76">
        <v>6.5999999046325701</v>
      </c>
      <c r="O76">
        <v>24.399999618530298</v>
      </c>
      <c r="P76">
        <v>23.399999618530298</v>
      </c>
      <c r="Q76">
        <v>17.799999237060501</v>
      </c>
      <c r="R76">
        <v>23.600000381469702</v>
      </c>
      <c r="S76">
        <v>15.800000190734901</v>
      </c>
      <c r="T76">
        <v>615</v>
      </c>
      <c r="U76">
        <v>139</v>
      </c>
      <c r="V76">
        <v>3</v>
      </c>
      <c r="W76">
        <v>98</v>
      </c>
      <c r="X76">
        <v>392</v>
      </c>
      <c r="Y76">
        <v>15</v>
      </c>
      <c r="Z76">
        <v>346</v>
      </c>
      <c r="AA76">
        <v>16</v>
      </c>
      <c r="AB76">
        <v>15.835766777062901</v>
      </c>
      <c r="AC76">
        <v>8.5284312437180002E-3</v>
      </c>
      <c r="AD76">
        <v>2.5202670019274702</v>
      </c>
      <c r="AE76">
        <v>0.30135893821716297</v>
      </c>
      <c r="AF76">
        <v>806.54632587859396</v>
      </c>
      <c r="AG76">
        <f>IFERROR(AH76*0.1, "N/A")</f>
        <v>6.3236421725239609</v>
      </c>
      <c r="AH76">
        <v>63.236421725239602</v>
      </c>
      <c r="AI76">
        <v>84.886981427859993</v>
      </c>
      <c r="AJ76">
        <v>15.3626198083067</v>
      </c>
      <c r="AK76">
        <v>74.338658146964903</v>
      </c>
    </row>
    <row r="77" spans="1:37" x14ac:dyDescent="0.3">
      <c r="A77">
        <v>76</v>
      </c>
      <c r="B77">
        <v>24</v>
      </c>
      <c r="C77">
        <v>30.518298999999999</v>
      </c>
      <c r="D77">
        <v>-20.503799000000001</v>
      </c>
      <c r="E77" t="s">
        <v>148</v>
      </c>
      <c r="F77" t="s">
        <v>150</v>
      </c>
      <c r="G77" t="s">
        <v>39</v>
      </c>
      <c r="H77">
        <v>1985</v>
      </c>
      <c r="I77">
        <v>20.5</v>
      </c>
      <c r="J77">
        <v>14.1000003814697</v>
      </c>
      <c r="K77">
        <v>57</v>
      </c>
      <c r="L77">
        <v>32.310001373291001</v>
      </c>
      <c r="M77">
        <v>31</v>
      </c>
      <c r="N77">
        <v>6.5999999046325701</v>
      </c>
      <c r="O77">
        <v>24.399999618530298</v>
      </c>
      <c r="P77">
        <v>23.399999618530298</v>
      </c>
      <c r="Q77">
        <v>17.799999237060501</v>
      </c>
      <c r="R77">
        <v>23.600000381469702</v>
      </c>
      <c r="S77">
        <v>15.800000190734901</v>
      </c>
      <c r="T77">
        <v>615</v>
      </c>
      <c r="U77">
        <v>139</v>
      </c>
      <c r="V77">
        <v>3</v>
      </c>
      <c r="W77">
        <v>98</v>
      </c>
      <c r="X77">
        <v>392</v>
      </c>
      <c r="Y77">
        <v>15</v>
      </c>
      <c r="Z77">
        <v>346</v>
      </c>
      <c r="AA77">
        <v>16</v>
      </c>
      <c r="AB77">
        <v>15.835766777062901</v>
      </c>
      <c r="AC77">
        <v>8.5284312437180002E-3</v>
      </c>
      <c r="AD77">
        <v>2.5202670019274702</v>
      </c>
      <c r="AE77">
        <v>0.30135893821716297</v>
      </c>
      <c r="AF77">
        <v>806.54632587859396</v>
      </c>
      <c r="AG77">
        <f>IFERROR(AH77*0.1, "N/A")</f>
        <v>6.3236421725239609</v>
      </c>
      <c r="AH77">
        <v>63.236421725239602</v>
      </c>
      <c r="AI77">
        <v>84.886981427859993</v>
      </c>
      <c r="AJ77">
        <v>15.3626198083067</v>
      </c>
      <c r="AK77">
        <v>74.338658146964903</v>
      </c>
    </row>
    <row r="78" spans="1:37" x14ac:dyDescent="0.3">
      <c r="A78">
        <v>77</v>
      </c>
      <c r="B78">
        <v>0</v>
      </c>
      <c r="C78">
        <v>27.525200000000002</v>
      </c>
      <c r="D78">
        <v>-20.492100000000001</v>
      </c>
      <c r="E78" t="s">
        <v>151</v>
      </c>
      <c r="F78" t="s">
        <v>152</v>
      </c>
      <c r="G78" t="s">
        <v>37</v>
      </c>
      <c r="H78">
        <v>1985</v>
      </c>
      <c r="I78">
        <v>19.092652110626901</v>
      </c>
      <c r="J78">
        <v>14</v>
      </c>
      <c r="K78">
        <v>56</v>
      </c>
      <c r="L78">
        <v>34.208705426785897</v>
      </c>
      <c r="M78">
        <v>30.092652110626901</v>
      </c>
      <c r="N78">
        <v>5.3000001907348597</v>
      </c>
      <c r="O78">
        <v>24.792651106374301</v>
      </c>
      <c r="P78">
        <v>21.892651347687401</v>
      </c>
      <c r="Q78">
        <v>14.092652110626901</v>
      </c>
      <c r="R78">
        <v>22.340574471714401</v>
      </c>
      <c r="S78">
        <v>14.092652110626901</v>
      </c>
      <c r="T78">
        <v>535.26517571884995</v>
      </c>
      <c r="U78">
        <v>114.552715654952</v>
      </c>
      <c r="V78">
        <v>0</v>
      </c>
      <c r="W78">
        <v>97.987220447284301</v>
      </c>
      <c r="X78">
        <v>325.19169329073497</v>
      </c>
      <c r="Y78">
        <v>3</v>
      </c>
      <c r="Z78">
        <v>217.55271565495201</v>
      </c>
      <c r="AA78">
        <v>8</v>
      </c>
      <c r="AB78">
        <v>14.755945175219599</v>
      </c>
      <c r="AC78">
        <v>6.9091907516418999E-2</v>
      </c>
      <c r="AD78">
        <v>2.4134644148067901</v>
      </c>
      <c r="AE78">
        <v>0.59063565731048595</v>
      </c>
      <c r="AF78">
        <v>1295.34185303514</v>
      </c>
      <c r="AG78">
        <f>IFERROR(AH78*0.1, "N/A")</f>
        <v>6.1000000000000005</v>
      </c>
      <c r="AH78">
        <v>61</v>
      </c>
      <c r="AI78">
        <v>238.860636872605</v>
      </c>
      <c r="AJ78">
        <v>15.212460063897799</v>
      </c>
      <c r="AK78">
        <v>75</v>
      </c>
    </row>
    <row r="79" spans="1:37" x14ac:dyDescent="0.3">
      <c r="A79">
        <v>78</v>
      </c>
      <c r="B79">
        <v>24</v>
      </c>
      <c r="C79">
        <v>27.525200000000002</v>
      </c>
      <c r="D79">
        <v>-20.492100000000001</v>
      </c>
      <c r="E79" t="s">
        <v>151</v>
      </c>
      <c r="F79" t="s">
        <v>153</v>
      </c>
      <c r="G79" t="s">
        <v>39</v>
      </c>
      <c r="H79">
        <v>1985</v>
      </c>
      <c r="I79">
        <v>19.092652110626901</v>
      </c>
      <c r="J79">
        <v>14</v>
      </c>
      <c r="K79">
        <v>56</v>
      </c>
      <c r="L79">
        <v>34.208705426785897</v>
      </c>
      <c r="M79">
        <v>30.092652110626901</v>
      </c>
      <c r="N79">
        <v>5.3000001907348597</v>
      </c>
      <c r="O79">
        <v>24.792651106374301</v>
      </c>
      <c r="P79">
        <v>21.892651347687401</v>
      </c>
      <c r="Q79">
        <v>14.092652110626901</v>
      </c>
      <c r="R79">
        <v>22.340574471714401</v>
      </c>
      <c r="S79">
        <v>14.092652110626901</v>
      </c>
      <c r="T79">
        <v>535.26517571884995</v>
      </c>
      <c r="U79">
        <v>114.552715654952</v>
      </c>
      <c r="V79">
        <v>0</v>
      </c>
      <c r="W79">
        <v>97.987220447284301</v>
      </c>
      <c r="X79">
        <v>325.19169329073497</v>
      </c>
      <c r="Y79">
        <v>3</v>
      </c>
      <c r="Z79">
        <v>217.55271565495201</v>
      </c>
      <c r="AA79">
        <v>8</v>
      </c>
      <c r="AB79">
        <v>14.755945175219599</v>
      </c>
      <c r="AC79">
        <v>6.9091907516418999E-2</v>
      </c>
      <c r="AD79">
        <v>2.4134644148067901</v>
      </c>
      <c r="AE79">
        <v>0.59063565731048595</v>
      </c>
      <c r="AF79">
        <v>1295.34185303514</v>
      </c>
      <c r="AG79">
        <f>IFERROR(AH79*0.1, "N/A")</f>
        <v>6.1000000000000005</v>
      </c>
      <c r="AH79">
        <v>61</v>
      </c>
      <c r="AI79">
        <v>238.860636872605</v>
      </c>
      <c r="AJ79">
        <v>15.212460063897799</v>
      </c>
      <c r="AK79">
        <v>75</v>
      </c>
    </row>
    <row r="80" spans="1:37" x14ac:dyDescent="0.3">
      <c r="A80">
        <v>79</v>
      </c>
      <c r="B80">
        <v>0</v>
      </c>
      <c r="C80">
        <v>28.325899</v>
      </c>
      <c r="D80">
        <v>-20.472000000000001</v>
      </c>
      <c r="E80" t="s">
        <v>154</v>
      </c>
      <c r="F80" t="s">
        <v>155</v>
      </c>
      <c r="G80" t="s">
        <v>37</v>
      </c>
      <c r="H80">
        <v>1985</v>
      </c>
      <c r="I80">
        <v>18</v>
      </c>
      <c r="J80">
        <v>14.300000190734901</v>
      </c>
      <c r="K80">
        <v>56</v>
      </c>
      <c r="L80">
        <v>33.669998168945298</v>
      </c>
      <c r="M80">
        <v>29</v>
      </c>
      <c r="N80">
        <v>3.9000000953674299</v>
      </c>
      <c r="O80">
        <v>25.100000381469702</v>
      </c>
      <c r="P80">
        <v>20.700000762939499</v>
      </c>
      <c r="Q80">
        <v>13</v>
      </c>
      <c r="R80">
        <v>21.200000762939499</v>
      </c>
      <c r="S80">
        <v>13</v>
      </c>
      <c r="T80">
        <v>602</v>
      </c>
      <c r="U80">
        <v>139</v>
      </c>
      <c r="V80">
        <v>0</v>
      </c>
      <c r="W80">
        <v>102</v>
      </c>
      <c r="X80">
        <v>387</v>
      </c>
      <c r="Y80">
        <v>3</v>
      </c>
      <c r="Z80">
        <v>240</v>
      </c>
      <c r="AA80">
        <v>3</v>
      </c>
      <c r="AB80">
        <v>8.9353416015625005</v>
      </c>
      <c r="AC80">
        <v>0.16698782475292701</v>
      </c>
      <c r="AD80">
        <v>2.57183486289978</v>
      </c>
      <c r="AE80">
        <v>0.22009448707103699</v>
      </c>
      <c r="AF80">
        <v>1391.5519999999999</v>
      </c>
      <c r="AG80">
        <f>IFERROR(AH80*0.1, "N/A")</f>
        <v>6.1000000000000005</v>
      </c>
      <c r="AH80">
        <v>61</v>
      </c>
      <c r="AI80">
        <v>140.84752133178699</v>
      </c>
      <c r="AJ80">
        <v>17</v>
      </c>
      <c r="AK80">
        <v>73.844800000000006</v>
      </c>
    </row>
    <row r="81" spans="1:37" x14ac:dyDescent="0.3">
      <c r="A81">
        <v>80</v>
      </c>
      <c r="B81">
        <v>14</v>
      </c>
      <c r="C81">
        <v>28.325899</v>
      </c>
      <c r="D81">
        <v>-20.472000000000001</v>
      </c>
      <c r="E81" t="s">
        <v>154</v>
      </c>
      <c r="F81" t="s">
        <v>156</v>
      </c>
      <c r="G81" t="s">
        <v>39</v>
      </c>
      <c r="H81">
        <v>1985</v>
      </c>
      <c r="I81">
        <v>18</v>
      </c>
      <c r="J81">
        <v>14.300000190734901</v>
      </c>
      <c r="K81">
        <v>56</v>
      </c>
      <c r="L81">
        <v>33.669998168945298</v>
      </c>
      <c r="M81">
        <v>29</v>
      </c>
      <c r="N81">
        <v>3.9000000953674299</v>
      </c>
      <c r="O81">
        <v>25.100000381469702</v>
      </c>
      <c r="P81">
        <v>20.700000762939499</v>
      </c>
      <c r="Q81">
        <v>13</v>
      </c>
      <c r="R81">
        <v>21.200000762939499</v>
      </c>
      <c r="S81">
        <v>13</v>
      </c>
      <c r="T81">
        <v>602</v>
      </c>
      <c r="U81">
        <v>139</v>
      </c>
      <c r="V81">
        <v>0</v>
      </c>
      <c r="W81">
        <v>102</v>
      </c>
      <c r="X81">
        <v>387</v>
      </c>
      <c r="Y81">
        <v>3</v>
      </c>
      <c r="Z81">
        <v>240</v>
      </c>
      <c r="AA81">
        <v>3</v>
      </c>
      <c r="AB81">
        <v>8.9353416015625005</v>
      </c>
      <c r="AC81">
        <v>0.16698782475292701</v>
      </c>
      <c r="AD81">
        <v>2.57183486289978</v>
      </c>
      <c r="AE81">
        <v>0.22009448707103699</v>
      </c>
      <c r="AF81">
        <v>1391.5519999999999</v>
      </c>
      <c r="AG81">
        <f>IFERROR(AH81*0.1, "N/A")</f>
        <v>6.1000000000000005</v>
      </c>
      <c r="AH81">
        <v>61</v>
      </c>
      <c r="AI81">
        <v>140.84752133178699</v>
      </c>
      <c r="AJ81">
        <v>17</v>
      </c>
      <c r="AK81">
        <v>73.844800000000006</v>
      </c>
    </row>
    <row r="82" spans="1:37" x14ac:dyDescent="0.3">
      <c r="A82">
        <v>81</v>
      </c>
      <c r="B82">
        <v>0</v>
      </c>
      <c r="C82">
        <v>29.694700000000001</v>
      </c>
      <c r="D82">
        <v>-20.432199000000001</v>
      </c>
      <c r="E82" t="s">
        <v>157</v>
      </c>
      <c r="F82" t="s">
        <v>158</v>
      </c>
      <c r="G82" t="s">
        <v>37</v>
      </c>
      <c r="H82">
        <v>1985</v>
      </c>
      <c r="I82">
        <v>19.100000381469702</v>
      </c>
      <c r="J82">
        <v>13.800000190734901</v>
      </c>
      <c r="K82">
        <v>56</v>
      </c>
      <c r="L82">
        <v>34.529998779296903</v>
      </c>
      <c r="M82">
        <v>29.700000762939499</v>
      </c>
      <c r="N82">
        <v>5.1999998092651403</v>
      </c>
      <c r="O82">
        <v>24.5</v>
      </c>
      <c r="P82">
        <v>22.100000381469702</v>
      </c>
      <c r="Q82">
        <v>14</v>
      </c>
      <c r="R82">
        <v>22.299999237060501</v>
      </c>
      <c r="S82">
        <v>14</v>
      </c>
      <c r="T82">
        <v>563</v>
      </c>
      <c r="U82">
        <v>120</v>
      </c>
      <c r="V82">
        <v>1</v>
      </c>
      <c r="W82">
        <v>98</v>
      </c>
      <c r="X82">
        <v>343</v>
      </c>
      <c r="Y82">
        <v>9</v>
      </c>
      <c r="Z82">
        <v>314</v>
      </c>
      <c r="AA82">
        <v>9</v>
      </c>
      <c r="AB82">
        <v>4.8386657616874</v>
      </c>
      <c r="AC82">
        <v>1.2190737943935E-2</v>
      </c>
      <c r="AD82">
        <v>1.70919579449282</v>
      </c>
      <c r="AE82">
        <v>0.219863614483017</v>
      </c>
      <c r="AF82">
        <v>1126.4911717496</v>
      </c>
      <c r="AG82">
        <f>IFERROR(AH82*0.1, "N/A")</f>
        <v>6.2495987158908504</v>
      </c>
      <c r="AH82">
        <v>62.495987158908498</v>
      </c>
      <c r="AI82">
        <v>268.09892760348703</v>
      </c>
      <c r="AJ82">
        <v>10.4959871589085</v>
      </c>
      <c r="AK82">
        <v>80</v>
      </c>
    </row>
    <row r="83" spans="1:37" x14ac:dyDescent="0.3">
      <c r="A83">
        <v>82</v>
      </c>
      <c r="B83">
        <v>23</v>
      </c>
      <c r="C83">
        <v>29.694700000000001</v>
      </c>
      <c r="D83">
        <v>-20.432199000000001</v>
      </c>
      <c r="E83" t="s">
        <v>157</v>
      </c>
      <c r="F83" t="s">
        <v>159</v>
      </c>
      <c r="G83" t="s">
        <v>39</v>
      </c>
      <c r="H83">
        <v>1985</v>
      </c>
      <c r="I83">
        <v>19.100000381469702</v>
      </c>
      <c r="J83">
        <v>13.800000190734901</v>
      </c>
      <c r="K83">
        <v>56</v>
      </c>
      <c r="L83">
        <v>34.529998779296903</v>
      </c>
      <c r="M83">
        <v>29.700000762939499</v>
      </c>
      <c r="N83">
        <v>5.1999998092651403</v>
      </c>
      <c r="O83">
        <v>24.5</v>
      </c>
      <c r="P83">
        <v>22.100000381469702</v>
      </c>
      <c r="Q83">
        <v>14</v>
      </c>
      <c r="R83">
        <v>22.299999237060501</v>
      </c>
      <c r="S83">
        <v>14</v>
      </c>
      <c r="T83">
        <v>563</v>
      </c>
      <c r="U83">
        <v>120</v>
      </c>
      <c r="V83">
        <v>1</v>
      </c>
      <c r="W83">
        <v>98</v>
      </c>
      <c r="X83">
        <v>343</v>
      </c>
      <c r="Y83">
        <v>9</v>
      </c>
      <c r="Z83">
        <v>314</v>
      </c>
      <c r="AA83">
        <v>9</v>
      </c>
      <c r="AB83">
        <v>4.8386657616874</v>
      </c>
      <c r="AC83">
        <v>1.2190737943935E-2</v>
      </c>
      <c r="AD83">
        <v>1.70919579449282</v>
      </c>
      <c r="AE83">
        <v>0.219863614483017</v>
      </c>
      <c r="AF83">
        <v>1126.4911717496</v>
      </c>
      <c r="AG83">
        <f>IFERROR(AH83*0.1, "N/A")</f>
        <v>6.2495987158908504</v>
      </c>
      <c r="AH83">
        <v>62.495987158908498</v>
      </c>
      <c r="AI83">
        <v>268.09892760348703</v>
      </c>
      <c r="AJ83">
        <v>10.4959871589085</v>
      </c>
      <c r="AK83">
        <v>80</v>
      </c>
    </row>
    <row r="84" spans="1:37" x14ac:dyDescent="0.3">
      <c r="A84">
        <v>83</v>
      </c>
      <c r="B84">
        <v>0</v>
      </c>
      <c r="C84">
        <v>27.674199999999999</v>
      </c>
      <c r="D84">
        <v>-20.3916</v>
      </c>
      <c r="E84" t="s">
        <v>160</v>
      </c>
      <c r="F84" t="s">
        <v>161</v>
      </c>
      <c r="G84" t="s">
        <v>37</v>
      </c>
      <c r="H84">
        <v>1985</v>
      </c>
      <c r="I84">
        <v>19.100000381469702</v>
      </c>
      <c r="J84">
        <v>14</v>
      </c>
      <c r="K84">
        <v>56</v>
      </c>
      <c r="L84">
        <v>33.644253646581198</v>
      </c>
      <c r="M84">
        <v>30.164366598114</v>
      </c>
      <c r="N84">
        <v>5.5</v>
      </c>
      <c r="O84">
        <v>24.664366598114</v>
      </c>
      <c r="P84">
        <v>21.828731968544499</v>
      </c>
      <c r="Q84">
        <v>14.199999809265099</v>
      </c>
      <c r="R84">
        <v>22.299999237060501</v>
      </c>
      <c r="S84">
        <v>14.1643659842722</v>
      </c>
      <c r="T84">
        <v>584.643659711076</v>
      </c>
      <c r="U84">
        <v>123</v>
      </c>
      <c r="V84">
        <v>0</v>
      </c>
      <c r="W84">
        <v>97.6436597110755</v>
      </c>
      <c r="X84">
        <v>356.64365971107497</v>
      </c>
      <c r="Y84">
        <v>3</v>
      </c>
      <c r="Z84">
        <v>231</v>
      </c>
      <c r="AA84">
        <v>10</v>
      </c>
      <c r="AB84">
        <v>4.2163658080858699</v>
      </c>
      <c r="AC84">
        <v>2.34965550693807</v>
      </c>
      <c r="AD84">
        <v>2.5304663551561699</v>
      </c>
      <c r="AE84">
        <v>0.22446079552173601</v>
      </c>
      <c r="AF84">
        <v>1269.87640449438</v>
      </c>
      <c r="AG84">
        <f>IFERROR(AH84*0.1, "N/A")</f>
        <v>6.4</v>
      </c>
      <c r="AH84">
        <v>64</v>
      </c>
      <c r="AI84">
        <v>35.3668305410811</v>
      </c>
      <c r="AJ84">
        <v>22</v>
      </c>
      <c r="AK84">
        <v>66</v>
      </c>
    </row>
    <row r="85" spans="1:37" x14ac:dyDescent="0.3">
      <c r="A85">
        <v>84</v>
      </c>
      <c r="B85">
        <v>13</v>
      </c>
      <c r="C85">
        <v>27.674199999999999</v>
      </c>
      <c r="D85">
        <v>-20.3916</v>
      </c>
      <c r="E85" t="s">
        <v>160</v>
      </c>
      <c r="F85" t="s">
        <v>162</v>
      </c>
      <c r="G85" t="s">
        <v>39</v>
      </c>
      <c r="H85">
        <v>1985</v>
      </c>
      <c r="I85">
        <v>19.100000381469702</v>
      </c>
      <c r="J85">
        <v>14</v>
      </c>
      <c r="K85">
        <v>56</v>
      </c>
      <c r="L85">
        <v>33.644253646581198</v>
      </c>
      <c r="M85">
        <v>30.164366598114</v>
      </c>
      <c r="N85">
        <v>5.5</v>
      </c>
      <c r="O85">
        <v>24.664366598114</v>
      </c>
      <c r="P85">
        <v>21.828731968544499</v>
      </c>
      <c r="Q85">
        <v>14.199999809265099</v>
      </c>
      <c r="R85">
        <v>22.299999237060501</v>
      </c>
      <c r="S85">
        <v>14.1643659842722</v>
      </c>
      <c r="T85">
        <v>584.643659711076</v>
      </c>
      <c r="U85">
        <v>123</v>
      </c>
      <c r="V85">
        <v>0</v>
      </c>
      <c r="W85">
        <v>97.6436597110755</v>
      </c>
      <c r="X85">
        <v>356.64365971107497</v>
      </c>
      <c r="Y85">
        <v>3</v>
      </c>
      <c r="Z85">
        <v>231</v>
      </c>
      <c r="AA85">
        <v>10</v>
      </c>
      <c r="AB85">
        <v>4.2163658080858699</v>
      </c>
      <c r="AC85">
        <v>2.34965550693807</v>
      </c>
      <c r="AD85">
        <v>2.5304663551561699</v>
      </c>
      <c r="AE85">
        <v>0.22446079552173601</v>
      </c>
      <c r="AF85">
        <v>1269.87640449438</v>
      </c>
      <c r="AG85">
        <f>IFERROR(AH85*0.1, "N/A")</f>
        <v>6.4</v>
      </c>
      <c r="AH85">
        <v>64</v>
      </c>
      <c r="AI85">
        <v>35.3668305410811</v>
      </c>
      <c r="AJ85">
        <v>22</v>
      </c>
      <c r="AK85">
        <v>66</v>
      </c>
    </row>
    <row r="86" spans="1:37" x14ac:dyDescent="0.3">
      <c r="A86">
        <v>85</v>
      </c>
      <c r="B86">
        <v>2</v>
      </c>
      <c r="C86">
        <v>31.275600000000001</v>
      </c>
      <c r="D86">
        <v>-20.339199000000001</v>
      </c>
      <c r="E86" t="s">
        <v>163</v>
      </c>
      <c r="F86" t="s">
        <v>164</v>
      </c>
      <c r="G86" t="s">
        <v>37</v>
      </c>
      <c r="H86">
        <v>1985</v>
      </c>
      <c r="I86">
        <v>19.100000381469702</v>
      </c>
      <c r="J86">
        <v>12.800000190734901</v>
      </c>
      <c r="K86">
        <v>57</v>
      </c>
      <c r="L86">
        <v>30.781798437740001</v>
      </c>
      <c r="M86">
        <v>28.904494017697399</v>
      </c>
      <c r="N86">
        <v>6.6022470935007203</v>
      </c>
      <c r="O86">
        <v>22.302246436644101</v>
      </c>
      <c r="P86">
        <v>21.899999618530298</v>
      </c>
      <c r="Q86">
        <v>16.399999618530298</v>
      </c>
      <c r="R86">
        <v>22</v>
      </c>
      <c r="S86">
        <v>14.6000003814697</v>
      </c>
      <c r="T86">
        <v>960.95505617977506</v>
      </c>
      <c r="U86">
        <v>201</v>
      </c>
      <c r="V86">
        <v>10</v>
      </c>
      <c r="W86">
        <v>89.022471910112401</v>
      </c>
      <c r="X86">
        <v>567.95505617977506</v>
      </c>
      <c r="Y86">
        <v>39</v>
      </c>
      <c r="Z86">
        <v>481.97752808988798</v>
      </c>
      <c r="AA86">
        <v>41</v>
      </c>
      <c r="AB86">
        <v>97.9890578562337</v>
      </c>
      <c r="AC86">
        <v>2.4318537963360001E-2</v>
      </c>
      <c r="AD86">
        <v>17.851713217280601</v>
      </c>
      <c r="AE86">
        <v>0.28386107087135298</v>
      </c>
      <c r="AF86">
        <v>1085.1524879614799</v>
      </c>
      <c r="AG86">
        <f>IFERROR(AH86*0.1, "N/A")</f>
        <v>5.4820224719101098</v>
      </c>
      <c r="AH86">
        <v>54.820224719101098</v>
      </c>
      <c r="AI86">
        <v>114.358872436597</v>
      </c>
      <c r="AJ86">
        <v>37.337078651685403</v>
      </c>
      <c r="AK86">
        <v>47.460674157303401</v>
      </c>
    </row>
    <row r="87" spans="1:37" x14ac:dyDescent="0.3">
      <c r="A87">
        <v>86</v>
      </c>
      <c r="B87">
        <v>9</v>
      </c>
      <c r="C87">
        <v>31.275600000000001</v>
      </c>
      <c r="D87">
        <v>-20.339199000000001</v>
      </c>
      <c r="E87" t="s">
        <v>163</v>
      </c>
      <c r="F87" t="s">
        <v>165</v>
      </c>
      <c r="G87" t="s">
        <v>39</v>
      </c>
      <c r="H87">
        <v>1985</v>
      </c>
      <c r="I87">
        <v>19.100000381469702</v>
      </c>
      <c r="J87">
        <v>12.800000190734901</v>
      </c>
      <c r="K87">
        <v>57</v>
      </c>
      <c r="L87">
        <v>30.781798437740001</v>
      </c>
      <c r="M87">
        <v>28.904494017697399</v>
      </c>
      <c r="N87">
        <v>6.6022470935007203</v>
      </c>
      <c r="O87">
        <v>22.302246436644101</v>
      </c>
      <c r="P87">
        <v>21.899999618530298</v>
      </c>
      <c r="Q87">
        <v>16.399999618530298</v>
      </c>
      <c r="R87">
        <v>22</v>
      </c>
      <c r="S87">
        <v>14.6000003814697</v>
      </c>
      <c r="T87">
        <v>960.95505617977506</v>
      </c>
      <c r="U87">
        <v>201</v>
      </c>
      <c r="V87">
        <v>10</v>
      </c>
      <c r="W87">
        <v>89.022471910112401</v>
      </c>
      <c r="X87">
        <v>567.95505617977506</v>
      </c>
      <c r="Y87">
        <v>39</v>
      </c>
      <c r="Z87">
        <v>481.97752808988798</v>
      </c>
      <c r="AA87">
        <v>41</v>
      </c>
      <c r="AB87">
        <v>97.9890578562337</v>
      </c>
      <c r="AC87">
        <v>2.4318537963360001E-2</v>
      </c>
      <c r="AD87">
        <v>17.851713217280601</v>
      </c>
      <c r="AE87">
        <v>0.28386107087135298</v>
      </c>
      <c r="AF87">
        <v>1085.1524879614799</v>
      </c>
      <c r="AG87">
        <f>IFERROR(AH87*0.1, "N/A")</f>
        <v>5.4820224719101098</v>
      </c>
      <c r="AH87">
        <v>54.820224719101098</v>
      </c>
      <c r="AI87">
        <v>114.358872436597</v>
      </c>
      <c r="AJ87">
        <v>37.337078651685403</v>
      </c>
      <c r="AK87">
        <v>47.460674157303401</v>
      </c>
    </row>
    <row r="88" spans="1:37" x14ac:dyDescent="0.3">
      <c r="A88">
        <v>87</v>
      </c>
      <c r="B88">
        <v>5</v>
      </c>
      <c r="C88">
        <v>30.804300000000001</v>
      </c>
      <c r="D88">
        <v>-20.3386</v>
      </c>
      <c r="E88" t="s">
        <v>166</v>
      </c>
      <c r="F88" t="s">
        <v>167</v>
      </c>
      <c r="G88" t="s">
        <v>37</v>
      </c>
      <c r="H88">
        <v>1985</v>
      </c>
      <c r="I88">
        <v>18.299999237060501</v>
      </c>
      <c r="J88">
        <v>12.699999809265099</v>
      </c>
      <c r="K88">
        <v>56</v>
      </c>
      <c r="L88">
        <v>31.059999465942401</v>
      </c>
      <c r="M88">
        <v>28.200000762939499</v>
      </c>
      <c r="N88">
        <v>5.8000001907348597</v>
      </c>
      <c r="O88">
        <v>22.399999618530298</v>
      </c>
      <c r="P88">
        <v>21</v>
      </c>
      <c r="Q88">
        <v>15.6000003814697</v>
      </c>
      <c r="R88">
        <v>21.200000762939499</v>
      </c>
      <c r="S88">
        <v>13.699999809265099</v>
      </c>
      <c r="T88">
        <v>865</v>
      </c>
      <c r="U88">
        <v>185</v>
      </c>
      <c r="V88">
        <v>8</v>
      </c>
      <c r="W88">
        <v>92</v>
      </c>
      <c r="X88">
        <v>517</v>
      </c>
      <c r="Y88">
        <v>29</v>
      </c>
      <c r="Z88">
        <v>441</v>
      </c>
      <c r="AA88">
        <v>35</v>
      </c>
      <c r="AB88">
        <v>39.660271082168997</v>
      </c>
      <c r="AC88">
        <v>1.0918163869063999E-2</v>
      </c>
      <c r="AD88">
        <v>2.5111085405716498</v>
      </c>
      <c r="AE88">
        <v>0.30092862248420699</v>
      </c>
      <c r="AF88">
        <v>1238.3060897435901</v>
      </c>
      <c r="AG88">
        <f>IFERROR(AH88*0.1, "N/A")</f>
        <v>5.8000000000000007</v>
      </c>
      <c r="AH88">
        <v>58</v>
      </c>
      <c r="AI88">
        <v>155.768697292377</v>
      </c>
      <c r="AJ88">
        <v>29.028846153846199</v>
      </c>
      <c r="AK88">
        <v>53.918269230769198</v>
      </c>
    </row>
    <row r="89" spans="1:37" x14ac:dyDescent="0.3">
      <c r="A89">
        <v>88</v>
      </c>
      <c r="B89">
        <v>14</v>
      </c>
      <c r="C89">
        <v>30.804300000000001</v>
      </c>
      <c r="D89">
        <v>-20.3386</v>
      </c>
      <c r="E89" t="s">
        <v>166</v>
      </c>
      <c r="F89" t="s">
        <v>168</v>
      </c>
      <c r="G89" t="s">
        <v>39</v>
      </c>
      <c r="H89">
        <v>1985</v>
      </c>
      <c r="I89">
        <v>18.299999237060501</v>
      </c>
      <c r="J89">
        <v>12.699999809265099</v>
      </c>
      <c r="K89">
        <v>56</v>
      </c>
      <c r="L89">
        <v>31.059999465942401</v>
      </c>
      <c r="M89">
        <v>28.200000762939499</v>
      </c>
      <c r="N89">
        <v>5.8000001907348597</v>
      </c>
      <c r="O89">
        <v>22.399999618530298</v>
      </c>
      <c r="P89">
        <v>21</v>
      </c>
      <c r="Q89">
        <v>15.6000003814697</v>
      </c>
      <c r="R89">
        <v>21.200000762939499</v>
      </c>
      <c r="S89">
        <v>13.699999809265099</v>
      </c>
      <c r="T89">
        <v>865</v>
      </c>
      <c r="U89">
        <v>185</v>
      </c>
      <c r="V89">
        <v>8</v>
      </c>
      <c r="W89">
        <v>92</v>
      </c>
      <c r="X89">
        <v>517</v>
      </c>
      <c r="Y89">
        <v>29</v>
      </c>
      <c r="Z89">
        <v>441</v>
      </c>
      <c r="AA89">
        <v>35</v>
      </c>
      <c r="AB89">
        <v>39.660271082168997</v>
      </c>
      <c r="AC89">
        <v>1.0918163869063999E-2</v>
      </c>
      <c r="AD89">
        <v>2.5111085405716498</v>
      </c>
      <c r="AE89">
        <v>0.30092862248420699</v>
      </c>
      <c r="AF89">
        <v>1238.3060897435901</v>
      </c>
      <c r="AG89">
        <f>IFERROR(AH89*0.1, "N/A")</f>
        <v>5.8000000000000007</v>
      </c>
      <c r="AH89">
        <v>58</v>
      </c>
      <c r="AI89">
        <v>155.768697292377</v>
      </c>
      <c r="AJ89">
        <v>29.028846153846199</v>
      </c>
      <c r="AK89">
        <v>53.918269230769198</v>
      </c>
    </row>
    <row r="90" spans="1:37" x14ac:dyDescent="0.3">
      <c r="A90">
        <v>89</v>
      </c>
      <c r="B90">
        <v>0</v>
      </c>
      <c r="C90">
        <v>27.955400000000001</v>
      </c>
      <c r="D90">
        <v>-20.309799000000002</v>
      </c>
      <c r="E90" t="s">
        <v>169</v>
      </c>
      <c r="F90" t="s">
        <v>170</v>
      </c>
      <c r="G90" t="s">
        <v>37</v>
      </c>
      <c r="H90">
        <v>1985</v>
      </c>
      <c r="I90">
        <v>18.799999237060501</v>
      </c>
      <c r="J90">
        <v>14.1000003814697</v>
      </c>
      <c r="K90">
        <v>57</v>
      </c>
      <c r="L90">
        <v>32.060001373291001</v>
      </c>
      <c r="M90">
        <v>29.899999618530298</v>
      </c>
      <c r="N90">
        <v>5.5</v>
      </c>
      <c r="O90">
        <v>24.399999618530298</v>
      </c>
      <c r="P90">
        <v>21.299999237060501</v>
      </c>
      <c r="Q90">
        <v>14.199999809265099</v>
      </c>
      <c r="R90">
        <v>21.899999618530298</v>
      </c>
      <c r="S90">
        <v>14.1000003814697</v>
      </c>
      <c r="T90">
        <v>592</v>
      </c>
      <c r="U90">
        <v>129</v>
      </c>
      <c r="V90">
        <v>0</v>
      </c>
      <c r="W90">
        <v>99</v>
      </c>
      <c r="X90">
        <v>368</v>
      </c>
      <c r="Y90">
        <v>2</v>
      </c>
      <c r="Z90">
        <v>236</v>
      </c>
      <c r="AA90">
        <v>9</v>
      </c>
      <c r="AB90">
        <v>2.8498930954052999</v>
      </c>
      <c r="AC90">
        <v>1.0440398607564501</v>
      </c>
      <c r="AD90">
        <v>2.18896385467646</v>
      </c>
      <c r="AE90">
        <v>0.196683447945558</v>
      </c>
      <c r="AF90">
        <v>1337.4414125200601</v>
      </c>
      <c r="AG90">
        <f>IFERROR(AH90*0.1, "N/A")</f>
        <v>5.9953451043338708</v>
      </c>
      <c r="AH90">
        <v>59.953451043338703</v>
      </c>
      <c r="AI90">
        <v>238.77148028476299</v>
      </c>
      <c r="AJ90">
        <v>14.860353130016</v>
      </c>
      <c r="AK90">
        <v>75.093097913322595</v>
      </c>
    </row>
    <row r="91" spans="1:37" x14ac:dyDescent="0.3">
      <c r="A91">
        <v>90</v>
      </c>
      <c r="B91">
        <v>10</v>
      </c>
      <c r="C91">
        <v>27.955400000000001</v>
      </c>
      <c r="D91">
        <v>-20.309799000000002</v>
      </c>
      <c r="E91" t="s">
        <v>169</v>
      </c>
      <c r="F91" t="s">
        <v>171</v>
      </c>
      <c r="G91" t="s">
        <v>39</v>
      </c>
      <c r="H91">
        <v>1985</v>
      </c>
      <c r="I91">
        <v>18.799999237060501</v>
      </c>
      <c r="J91">
        <v>14.1000003814697</v>
      </c>
      <c r="K91">
        <v>57</v>
      </c>
      <c r="L91">
        <v>32.060001373291001</v>
      </c>
      <c r="M91">
        <v>29.899999618530298</v>
      </c>
      <c r="N91">
        <v>5.5</v>
      </c>
      <c r="O91">
        <v>24.399999618530298</v>
      </c>
      <c r="P91">
        <v>21.299999237060501</v>
      </c>
      <c r="Q91">
        <v>14.199999809265099</v>
      </c>
      <c r="R91">
        <v>21.899999618530298</v>
      </c>
      <c r="S91">
        <v>14.1000003814697</v>
      </c>
      <c r="T91">
        <v>592</v>
      </c>
      <c r="U91">
        <v>129</v>
      </c>
      <c r="V91">
        <v>0</v>
      </c>
      <c r="W91">
        <v>99</v>
      </c>
      <c r="X91">
        <v>368</v>
      </c>
      <c r="Y91">
        <v>2</v>
      </c>
      <c r="Z91">
        <v>236</v>
      </c>
      <c r="AA91">
        <v>9</v>
      </c>
      <c r="AB91">
        <v>2.8498930954052999</v>
      </c>
      <c r="AC91">
        <v>1.0440398607564501</v>
      </c>
      <c r="AD91">
        <v>2.18896385467646</v>
      </c>
      <c r="AE91">
        <v>0.196683447945558</v>
      </c>
      <c r="AF91">
        <v>1337.4414125200601</v>
      </c>
      <c r="AG91">
        <f>IFERROR(AH91*0.1, "N/A")</f>
        <v>5.9953451043338708</v>
      </c>
      <c r="AH91">
        <v>59.953451043338703</v>
      </c>
      <c r="AI91">
        <v>238.77148028476299</v>
      </c>
      <c r="AJ91">
        <v>14.860353130016</v>
      </c>
      <c r="AK91">
        <v>75.093097913322595</v>
      </c>
    </row>
    <row r="92" spans="1:37" x14ac:dyDescent="0.3">
      <c r="A92">
        <v>91</v>
      </c>
      <c r="B92">
        <v>3</v>
      </c>
      <c r="C92">
        <v>30.510798999999999</v>
      </c>
      <c r="D92">
        <v>-20.249200999999999</v>
      </c>
      <c r="E92" t="s">
        <v>172</v>
      </c>
      <c r="F92" t="s">
        <v>173</v>
      </c>
      <c r="G92" t="s">
        <v>37</v>
      </c>
      <c r="H92">
        <v>1985</v>
      </c>
      <c r="I92">
        <v>20.195666878028199</v>
      </c>
      <c r="J92">
        <v>13.8956657749501</v>
      </c>
      <c r="K92">
        <v>57.9566613162119</v>
      </c>
      <c r="L92">
        <v>30.895665733619101</v>
      </c>
      <c r="M92">
        <v>30.595666496558501</v>
      </c>
      <c r="N92">
        <v>6.69566594501942</v>
      </c>
      <c r="O92">
        <v>23.899999618530298</v>
      </c>
      <c r="P92">
        <v>22.895665733619101</v>
      </c>
      <c r="Q92">
        <v>15.6000003814697</v>
      </c>
      <c r="R92">
        <v>23</v>
      </c>
      <c r="S92">
        <v>15.6000003814697</v>
      </c>
      <c r="T92">
        <v>580.13001605136401</v>
      </c>
      <c r="U92">
        <v>135.04333868378799</v>
      </c>
      <c r="V92">
        <v>1</v>
      </c>
      <c r="W92">
        <v>102</v>
      </c>
      <c r="X92">
        <v>376.08667736757599</v>
      </c>
      <c r="Y92">
        <v>10</v>
      </c>
      <c r="Z92">
        <v>233.04333868378799</v>
      </c>
      <c r="AA92">
        <v>10</v>
      </c>
      <c r="AB92">
        <v>4.8165370396205303</v>
      </c>
      <c r="AC92">
        <v>0.92549275383532603</v>
      </c>
      <c r="AD92">
        <v>3.5993037958589098</v>
      </c>
      <c r="AE92">
        <v>0.30287674069404602</v>
      </c>
      <c r="AF92">
        <v>907.61155698234302</v>
      </c>
      <c r="AG92">
        <f>IFERROR(AH92*0.1, "N/A")</f>
        <v>6.8256821829855499</v>
      </c>
      <c r="AH92">
        <v>68.256821829855497</v>
      </c>
      <c r="AI92">
        <v>290.49072309711403</v>
      </c>
      <c r="AJ92">
        <v>14.0272873194222</v>
      </c>
      <c r="AK92">
        <v>76.113964686998401</v>
      </c>
    </row>
    <row r="93" spans="1:37" x14ac:dyDescent="0.3">
      <c r="A93">
        <v>92</v>
      </c>
      <c r="B93">
        <v>13</v>
      </c>
      <c r="C93">
        <v>30.510798999999999</v>
      </c>
      <c r="D93">
        <v>-20.249200999999999</v>
      </c>
      <c r="E93" t="s">
        <v>172</v>
      </c>
      <c r="F93" t="s">
        <v>174</v>
      </c>
      <c r="G93" t="s">
        <v>39</v>
      </c>
      <c r="H93">
        <v>1985</v>
      </c>
      <c r="I93">
        <v>20.195666878028199</v>
      </c>
      <c r="J93">
        <v>13.8956657749501</v>
      </c>
      <c r="K93">
        <v>57.9566613162119</v>
      </c>
      <c r="L93">
        <v>30.895665733619101</v>
      </c>
      <c r="M93">
        <v>30.595666496558501</v>
      </c>
      <c r="N93">
        <v>6.69566594501942</v>
      </c>
      <c r="O93">
        <v>23.899999618530298</v>
      </c>
      <c r="P93">
        <v>22.895665733619101</v>
      </c>
      <c r="Q93">
        <v>15.6000003814697</v>
      </c>
      <c r="R93">
        <v>23</v>
      </c>
      <c r="S93">
        <v>15.6000003814697</v>
      </c>
      <c r="T93">
        <v>580.13001605136401</v>
      </c>
      <c r="U93">
        <v>135.04333868378799</v>
      </c>
      <c r="V93">
        <v>1</v>
      </c>
      <c r="W93">
        <v>102</v>
      </c>
      <c r="X93">
        <v>376.08667736757599</v>
      </c>
      <c r="Y93">
        <v>10</v>
      </c>
      <c r="Z93">
        <v>233.04333868378799</v>
      </c>
      <c r="AA93">
        <v>10</v>
      </c>
      <c r="AB93">
        <v>4.8165370396205303</v>
      </c>
      <c r="AC93">
        <v>0.92549275383532603</v>
      </c>
      <c r="AD93">
        <v>3.5993037958589098</v>
      </c>
      <c r="AE93">
        <v>0.30287674069404602</v>
      </c>
      <c r="AF93">
        <v>907.61155698234302</v>
      </c>
      <c r="AG93">
        <f>IFERROR(AH93*0.1, "N/A")</f>
        <v>6.8256821829855499</v>
      </c>
      <c r="AH93">
        <v>68.256821829855497</v>
      </c>
      <c r="AI93">
        <v>290.49072309711403</v>
      </c>
      <c r="AJ93">
        <v>14.0272873194222</v>
      </c>
      <c r="AK93">
        <v>76.113964686998401</v>
      </c>
    </row>
    <row r="94" spans="1:37" x14ac:dyDescent="0.3">
      <c r="A94">
        <v>93</v>
      </c>
      <c r="B94">
        <v>0</v>
      </c>
      <c r="C94">
        <v>28.537901000000002</v>
      </c>
      <c r="D94">
        <v>-20.226101</v>
      </c>
      <c r="E94" t="s">
        <v>175</v>
      </c>
      <c r="F94" t="s">
        <v>176</v>
      </c>
      <c r="G94" t="s">
        <v>37</v>
      </c>
      <c r="H94">
        <v>1985</v>
      </c>
      <c r="I94">
        <v>18</v>
      </c>
      <c r="J94">
        <v>14</v>
      </c>
      <c r="K94">
        <v>56</v>
      </c>
      <c r="L94">
        <v>33.090000152587898</v>
      </c>
      <c r="M94">
        <v>28.899999618530298</v>
      </c>
      <c r="N94">
        <v>4.3000001907348597</v>
      </c>
      <c r="O94">
        <v>24.600000381469702</v>
      </c>
      <c r="P94">
        <v>20.700000762939499</v>
      </c>
      <c r="Q94">
        <v>13.199999809265099</v>
      </c>
      <c r="R94">
        <v>21.100000381469702</v>
      </c>
      <c r="S94">
        <v>13.1000003814697</v>
      </c>
      <c r="T94">
        <v>595</v>
      </c>
      <c r="U94">
        <v>130</v>
      </c>
      <c r="V94">
        <v>1</v>
      </c>
      <c r="W94">
        <v>100</v>
      </c>
      <c r="X94">
        <v>369</v>
      </c>
      <c r="Y94">
        <v>4</v>
      </c>
      <c r="Z94">
        <v>248</v>
      </c>
      <c r="AA94">
        <v>9</v>
      </c>
      <c r="AB94">
        <v>6.1832243989901503</v>
      </c>
      <c r="AC94">
        <v>6.8749026637943994E-2</v>
      </c>
      <c r="AD94">
        <v>3.03464939481192</v>
      </c>
      <c r="AE94">
        <v>0.52752194968067201</v>
      </c>
      <c r="AF94">
        <v>1377.8376205787799</v>
      </c>
      <c r="AG94">
        <f>IFERROR(AH94*0.1, "N/A")</f>
        <v>6.6008038585208997</v>
      </c>
      <c r="AH94">
        <v>66.008038585208993</v>
      </c>
      <c r="AI94">
        <v>273.56413376982999</v>
      </c>
      <c r="AJ94">
        <v>28.485530546623799</v>
      </c>
      <c r="AK94">
        <v>57.491961414791</v>
      </c>
    </row>
    <row r="95" spans="1:37" x14ac:dyDescent="0.3">
      <c r="A95">
        <v>94</v>
      </c>
      <c r="B95">
        <v>0</v>
      </c>
      <c r="C95">
        <v>28.537901000000002</v>
      </c>
      <c r="D95">
        <v>-20.226101</v>
      </c>
      <c r="E95" t="s">
        <v>175</v>
      </c>
      <c r="F95" t="s">
        <v>177</v>
      </c>
      <c r="G95" t="s">
        <v>39</v>
      </c>
      <c r="H95">
        <v>1985</v>
      </c>
      <c r="I95">
        <v>18</v>
      </c>
      <c r="J95">
        <v>14</v>
      </c>
      <c r="K95">
        <v>56</v>
      </c>
      <c r="L95">
        <v>33.090000152587898</v>
      </c>
      <c r="M95">
        <v>28.899999618530298</v>
      </c>
      <c r="N95">
        <v>4.3000001907348597</v>
      </c>
      <c r="O95">
        <v>24.600000381469702</v>
      </c>
      <c r="P95">
        <v>20.700000762939499</v>
      </c>
      <c r="Q95">
        <v>13.199999809265099</v>
      </c>
      <c r="R95">
        <v>21.100000381469702</v>
      </c>
      <c r="S95">
        <v>13.1000003814697</v>
      </c>
      <c r="T95">
        <v>595</v>
      </c>
      <c r="U95">
        <v>130</v>
      </c>
      <c r="V95">
        <v>1</v>
      </c>
      <c r="W95">
        <v>100</v>
      </c>
      <c r="X95">
        <v>369</v>
      </c>
      <c r="Y95">
        <v>4</v>
      </c>
      <c r="Z95">
        <v>248</v>
      </c>
      <c r="AA95">
        <v>9</v>
      </c>
      <c r="AB95">
        <v>6.1832243989901503</v>
      </c>
      <c r="AC95">
        <v>6.8749026637943994E-2</v>
      </c>
      <c r="AD95">
        <v>3.03464939481192</v>
      </c>
      <c r="AE95">
        <v>0.52752194968067201</v>
      </c>
      <c r="AF95">
        <v>1377.8376205787799</v>
      </c>
      <c r="AG95">
        <f>IFERROR(AH95*0.1, "N/A")</f>
        <v>6.6008038585208997</v>
      </c>
      <c r="AH95">
        <v>66.008038585208993</v>
      </c>
      <c r="AI95">
        <v>273.56413376982999</v>
      </c>
      <c r="AJ95">
        <v>28.485530546623799</v>
      </c>
      <c r="AK95">
        <v>57.491961414791</v>
      </c>
    </row>
    <row r="96" spans="1:37" x14ac:dyDescent="0.3">
      <c r="A96">
        <v>95</v>
      </c>
      <c r="B96">
        <v>0</v>
      </c>
      <c r="C96">
        <v>29.226800999999998</v>
      </c>
      <c r="D96">
        <v>-20.208798999999999</v>
      </c>
      <c r="E96" t="s">
        <v>178</v>
      </c>
      <c r="F96" t="s">
        <v>179</v>
      </c>
      <c r="G96" t="s">
        <v>37</v>
      </c>
      <c r="H96">
        <v>1985</v>
      </c>
      <c r="I96">
        <v>19.200000762939499</v>
      </c>
      <c r="J96">
        <v>14.2721154689789</v>
      </c>
      <c r="K96">
        <v>57</v>
      </c>
      <c r="L96">
        <v>32.705865970024703</v>
      </c>
      <c r="M96">
        <v>30.1721160411835</v>
      </c>
      <c r="N96">
        <v>5.2278845310211199</v>
      </c>
      <c r="O96">
        <v>24.944230556488002</v>
      </c>
      <c r="P96">
        <v>21.927884340286301</v>
      </c>
      <c r="Q96">
        <v>14.3999996185303</v>
      </c>
      <c r="R96">
        <v>22.299999237060501</v>
      </c>
      <c r="S96">
        <v>14.3999996185303</v>
      </c>
      <c r="T96">
        <v>601.55769230769204</v>
      </c>
      <c r="U96">
        <v>132.27884615384599</v>
      </c>
      <c r="V96">
        <v>1</v>
      </c>
      <c r="W96">
        <v>98</v>
      </c>
      <c r="X96">
        <v>362.55769230769198</v>
      </c>
      <c r="Y96">
        <v>6</v>
      </c>
      <c r="Z96">
        <v>236.27884615384599</v>
      </c>
      <c r="AA96">
        <v>6</v>
      </c>
      <c r="AB96">
        <v>12.5958613860301</v>
      </c>
      <c r="AC96">
        <v>8.9901655345247994E-2</v>
      </c>
      <c r="AD96">
        <v>1.24207318029725</v>
      </c>
      <c r="AE96">
        <v>0.21378441154956801</v>
      </c>
      <c r="AF96">
        <v>1175.9375</v>
      </c>
      <c r="AG96">
        <f>IFERROR(AH96*0.1, "N/A")</f>
        <v>6.1421474358974404</v>
      </c>
      <c r="AH96">
        <v>61.4214743589744</v>
      </c>
      <c r="AI96">
        <v>224.93985220102201</v>
      </c>
      <c r="AJ96">
        <v>15.033653846153801</v>
      </c>
      <c r="AK96">
        <v>74.703525641025607</v>
      </c>
    </row>
    <row r="97" spans="1:37" x14ac:dyDescent="0.3">
      <c r="A97">
        <v>96</v>
      </c>
      <c r="B97">
        <v>40</v>
      </c>
      <c r="C97">
        <v>29.226800999999998</v>
      </c>
      <c r="D97">
        <v>-20.208798999999999</v>
      </c>
      <c r="E97" t="s">
        <v>178</v>
      </c>
      <c r="F97" t="s">
        <v>180</v>
      </c>
      <c r="G97" t="s">
        <v>39</v>
      </c>
      <c r="H97">
        <v>1985</v>
      </c>
      <c r="I97">
        <v>19.200000762939499</v>
      </c>
      <c r="J97">
        <v>14.2721154689789</v>
      </c>
      <c r="K97">
        <v>57</v>
      </c>
      <c r="L97">
        <v>32.705865970024703</v>
      </c>
      <c r="M97">
        <v>30.1721160411835</v>
      </c>
      <c r="N97">
        <v>5.2278845310211199</v>
      </c>
      <c r="O97">
        <v>24.944230556488002</v>
      </c>
      <c r="P97">
        <v>21.927884340286301</v>
      </c>
      <c r="Q97">
        <v>14.3999996185303</v>
      </c>
      <c r="R97">
        <v>22.299999237060501</v>
      </c>
      <c r="S97">
        <v>14.3999996185303</v>
      </c>
      <c r="T97">
        <v>601.55769230769204</v>
      </c>
      <c r="U97">
        <v>132.27884615384599</v>
      </c>
      <c r="V97">
        <v>1</v>
      </c>
      <c r="W97">
        <v>98</v>
      </c>
      <c r="X97">
        <v>362.55769230769198</v>
      </c>
      <c r="Y97">
        <v>6</v>
      </c>
      <c r="Z97">
        <v>236.27884615384599</v>
      </c>
      <c r="AA97">
        <v>6</v>
      </c>
      <c r="AB97">
        <v>12.5958613860301</v>
      </c>
      <c r="AC97">
        <v>8.9901655345247994E-2</v>
      </c>
      <c r="AD97">
        <v>1.24207318029725</v>
      </c>
      <c r="AE97">
        <v>0.21378441154956801</v>
      </c>
      <c r="AF97">
        <v>1175.9375</v>
      </c>
      <c r="AG97">
        <f>IFERROR(AH97*0.1, "N/A")</f>
        <v>6.1421474358974404</v>
      </c>
      <c r="AH97">
        <v>61.4214743589744</v>
      </c>
      <c r="AI97">
        <v>224.93985220102201</v>
      </c>
      <c r="AJ97">
        <v>15.033653846153801</v>
      </c>
      <c r="AK97">
        <v>74.703525641025607</v>
      </c>
    </row>
    <row r="98" spans="1:37" x14ac:dyDescent="0.3">
      <c r="A98">
        <v>97</v>
      </c>
      <c r="B98">
        <v>2</v>
      </c>
      <c r="C98">
        <v>31.289200000000001</v>
      </c>
      <c r="D98">
        <v>-20.174399999999999</v>
      </c>
      <c r="E98" t="s">
        <v>181</v>
      </c>
      <c r="F98" t="s">
        <v>182</v>
      </c>
      <c r="G98" t="s">
        <v>37</v>
      </c>
      <c r="H98">
        <v>1985</v>
      </c>
      <c r="I98">
        <v>19.299999237060501</v>
      </c>
      <c r="J98">
        <v>12.8999996185303</v>
      </c>
      <c r="K98">
        <v>57</v>
      </c>
      <c r="L98">
        <v>30.350000381469702</v>
      </c>
      <c r="M98">
        <v>29.299999237060501</v>
      </c>
      <c r="N98">
        <v>6.8000001907348597</v>
      </c>
      <c r="O98">
        <v>22.5</v>
      </c>
      <c r="P98">
        <v>21.899999618530298</v>
      </c>
      <c r="Q98">
        <v>16.700000762939499</v>
      </c>
      <c r="R98">
        <v>22.200000762939499</v>
      </c>
      <c r="S98">
        <v>14.800000190734901</v>
      </c>
      <c r="T98">
        <v>925</v>
      </c>
      <c r="U98">
        <v>199</v>
      </c>
      <c r="V98">
        <v>9</v>
      </c>
      <c r="W98">
        <v>92</v>
      </c>
      <c r="X98">
        <v>552</v>
      </c>
      <c r="Y98">
        <v>32</v>
      </c>
      <c r="Z98">
        <v>301</v>
      </c>
      <c r="AA98">
        <v>35</v>
      </c>
      <c r="AB98">
        <v>2.9009972596779798</v>
      </c>
      <c r="AC98">
        <v>29.213047190626099</v>
      </c>
      <c r="AD98">
        <v>7.5327677826086701</v>
      </c>
      <c r="AE98">
        <v>0.34550737513181501</v>
      </c>
      <c r="AF98">
        <v>1027.39102564103</v>
      </c>
      <c r="AG98">
        <f>IFERROR(AH98*0.1, "N/A")</f>
        <v>5.9475961538461499</v>
      </c>
      <c r="AH98">
        <v>59.475961538461497</v>
      </c>
      <c r="AI98">
        <v>171.46885497753399</v>
      </c>
      <c r="AJ98">
        <v>28.524038461538499</v>
      </c>
      <c r="AK98">
        <v>56.475961538461497</v>
      </c>
    </row>
    <row r="99" spans="1:37" x14ac:dyDescent="0.3">
      <c r="A99">
        <v>98</v>
      </c>
      <c r="B99">
        <v>27</v>
      </c>
      <c r="C99">
        <v>31.289200000000001</v>
      </c>
      <c r="D99">
        <v>-20.174399999999999</v>
      </c>
      <c r="E99" t="s">
        <v>181</v>
      </c>
      <c r="F99" t="s">
        <v>183</v>
      </c>
      <c r="G99" t="s">
        <v>39</v>
      </c>
      <c r="H99">
        <v>1985</v>
      </c>
      <c r="I99">
        <v>19.299999237060501</v>
      </c>
      <c r="J99">
        <v>12.8999996185303</v>
      </c>
      <c r="K99">
        <v>57</v>
      </c>
      <c r="L99">
        <v>30.350000381469702</v>
      </c>
      <c r="M99">
        <v>29.299999237060501</v>
      </c>
      <c r="N99">
        <v>6.8000001907348597</v>
      </c>
      <c r="O99">
        <v>22.5</v>
      </c>
      <c r="P99">
        <v>21.899999618530298</v>
      </c>
      <c r="Q99">
        <v>16.700000762939499</v>
      </c>
      <c r="R99">
        <v>22.200000762939499</v>
      </c>
      <c r="S99">
        <v>14.800000190734901</v>
      </c>
      <c r="T99">
        <v>925</v>
      </c>
      <c r="U99">
        <v>199</v>
      </c>
      <c r="V99">
        <v>9</v>
      </c>
      <c r="W99">
        <v>92</v>
      </c>
      <c r="X99">
        <v>552</v>
      </c>
      <c r="Y99">
        <v>32</v>
      </c>
      <c r="Z99">
        <v>301</v>
      </c>
      <c r="AA99">
        <v>35</v>
      </c>
      <c r="AB99">
        <v>2.9009972596779798</v>
      </c>
      <c r="AC99">
        <v>29.213047190626099</v>
      </c>
      <c r="AD99">
        <v>7.5327677826086701</v>
      </c>
      <c r="AE99">
        <v>0.34550737513181501</v>
      </c>
      <c r="AF99">
        <v>1027.39102564103</v>
      </c>
      <c r="AG99">
        <f>IFERROR(AH99*0.1, "N/A")</f>
        <v>5.9475961538461499</v>
      </c>
      <c r="AH99">
        <v>59.475961538461497</v>
      </c>
      <c r="AI99">
        <v>171.46885497753399</v>
      </c>
      <c r="AJ99">
        <v>28.524038461538499</v>
      </c>
      <c r="AK99">
        <v>56.475961538461497</v>
      </c>
    </row>
    <row r="100" spans="1:37" x14ac:dyDescent="0.3">
      <c r="A100">
        <v>99</v>
      </c>
      <c r="B100">
        <v>1</v>
      </c>
      <c r="C100">
        <v>30.075099999999999</v>
      </c>
      <c r="D100">
        <v>-20.1737</v>
      </c>
      <c r="E100" t="s">
        <v>184</v>
      </c>
      <c r="F100" t="s">
        <v>185</v>
      </c>
      <c r="G100" t="s">
        <v>37</v>
      </c>
      <c r="H100">
        <v>1985</v>
      </c>
      <c r="I100">
        <v>20.399999618530298</v>
      </c>
      <c r="J100">
        <v>13.8820221933086</v>
      </c>
      <c r="K100">
        <v>57</v>
      </c>
      <c r="L100">
        <v>31.584156636441701</v>
      </c>
      <c r="M100">
        <v>30.899999618530298</v>
      </c>
      <c r="N100">
        <v>6.8820225844222502</v>
      </c>
      <c r="O100">
        <v>24.0179775966687</v>
      </c>
      <c r="P100">
        <v>23.200000762939499</v>
      </c>
      <c r="Q100">
        <v>15.782022594066101</v>
      </c>
      <c r="R100">
        <v>23.399999618530298</v>
      </c>
      <c r="S100">
        <v>15.782022594066101</v>
      </c>
      <c r="T100">
        <v>563.35955056179796</v>
      </c>
      <c r="U100">
        <v>121.17977528089899</v>
      </c>
      <c r="V100">
        <v>1</v>
      </c>
      <c r="W100">
        <v>96.820224719101105</v>
      </c>
      <c r="X100">
        <v>351.17977528089898</v>
      </c>
      <c r="Y100">
        <v>8</v>
      </c>
      <c r="Z100">
        <v>222.17977528089901</v>
      </c>
      <c r="AA100">
        <v>8</v>
      </c>
      <c r="AB100">
        <v>1.24992309374373</v>
      </c>
      <c r="AC100">
        <v>2.0182302028903498</v>
      </c>
      <c r="AD100">
        <v>1.25361366294934</v>
      </c>
      <c r="AE100">
        <v>0.40748858451843301</v>
      </c>
      <c r="AF100">
        <v>921.83788121990403</v>
      </c>
      <c r="AG100">
        <f>IFERROR(AH100*0.1, "N/A")</f>
        <v>6.0141252006420505</v>
      </c>
      <c r="AH100">
        <v>60.141252006420501</v>
      </c>
      <c r="AI100">
        <v>164.22058051585401</v>
      </c>
      <c r="AJ100">
        <v>13.5634028892456</v>
      </c>
      <c r="AK100">
        <v>78.436597110754406</v>
      </c>
    </row>
    <row r="101" spans="1:37" x14ac:dyDescent="0.3">
      <c r="A101">
        <v>100</v>
      </c>
      <c r="B101">
        <v>55</v>
      </c>
      <c r="C101">
        <v>30.075099999999999</v>
      </c>
      <c r="D101">
        <v>-20.1737</v>
      </c>
      <c r="E101" t="s">
        <v>184</v>
      </c>
      <c r="F101" t="s">
        <v>186</v>
      </c>
      <c r="G101" t="s">
        <v>39</v>
      </c>
      <c r="H101">
        <v>1985</v>
      </c>
      <c r="I101">
        <v>20.399999618530298</v>
      </c>
      <c r="J101">
        <v>13.8820221933086</v>
      </c>
      <c r="K101">
        <v>57</v>
      </c>
      <c r="L101">
        <v>31.584156636441701</v>
      </c>
      <c r="M101">
        <v>30.899999618530298</v>
      </c>
      <c r="N101">
        <v>6.8820225844222502</v>
      </c>
      <c r="O101">
        <v>24.0179775966687</v>
      </c>
      <c r="P101">
        <v>23.200000762939499</v>
      </c>
      <c r="Q101">
        <v>15.782022594066101</v>
      </c>
      <c r="R101">
        <v>23.399999618530298</v>
      </c>
      <c r="S101">
        <v>15.782022594066101</v>
      </c>
      <c r="T101">
        <v>563.35955056179796</v>
      </c>
      <c r="U101">
        <v>121.17977528089899</v>
      </c>
      <c r="V101">
        <v>1</v>
      </c>
      <c r="W101">
        <v>96.820224719101105</v>
      </c>
      <c r="X101">
        <v>351.17977528089898</v>
      </c>
      <c r="Y101">
        <v>8</v>
      </c>
      <c r="Z101">
        <v>222.17977528089901</v>
      </c>
      <c r="AA101">
        <v>8</v>
      </c>
      <c r="AB101">
        <v>1.24992309374373</v>
      </c>
      <c r="AC101">
        <v>2.0182302028903498</v>
      </c>
      <c r="AD101">
        <v>1.25361366294934</v>
      </c>
      <c r="AE101">
        <v>0.40748858451843301</v>
      </c>
      <c r="AF101">
        <v>921.83788121990403</v>
      </c>
      <c r="AG101">
        <f>IFERROR(AH101*0.1, "N/A")</f>
        <v>6.0141252006420505</v>
      </c>
      <c r="AH101">
        <v>60.141252006420501</v>
      </c>
      <c r="AI101">
        <v>164.22058051585401</v>
      </c>
      <c r="AJ101">
        <v>13.5634028892456</v>
      </c>
      <c r="AK101">
        <v>78.436597110754406</v>
      </c>
    </row>
    <row r="102" spans="1:37" x14ac:dyDescent="0.3">
      <c r="A102">
        <v>101</v>
      </c>
      <c r="B102">
        <v>0</v>
      </c>
      <c r="C102">
        <v>30.524999999999999</v>
      </c>
      <c r="D102">
        <v>-20.159300000000002</v>
      </c>
      <c r="E102" t="s">
        <v>187</v>
      </c>
      <c r="F102" t="s">
        <v>188</v>
      </c>
      <c r="G102" t="s">
        <v>37</v>
      </c>
      <c r="H102">
        <v>1985</v>
      </c>
      <c r="I102">
        <v>20.129260943250301</v>
      </c>
      <c r="J102">
        <v>13.8999996185303</v>
      </c>
      <c r="K102">
        <v>58</v>
      </c>
      <c r="L102">
        <v>30.571961712607202</v>
      </c>
      <c r="M102">
        <v>30.5292605617805</v>
      </c>
      <c r="N102">
        <v>6.6999998092651403</v>
      </c>
      <c r="O102">
        <v>23.8292597988411</v>
      </c>
      <c r="P102">
        <v>22.799999237060501</v>
      </c>
      <c r="Q102">
        <v>15.699999809265099</v>
      </c>
      <c r="R102">
        <v>23</v>
      </c>
      <c r="S102">
        <v>15.699999809265099</v>
      </c>
      <c r="T102">
        <v>582.53697749196101</v>
      </c>
      <c r="U102">
        <v>135.707395498392</v>
      </c>
      <c r="V102">
        <v>1</v>
      </c>
      <c r="W102">
        <v>102.707395498392</v>
      </c>
      <c r="X102">
        <v>376.122186495177</v>
      </c>
      <c r="Y102">
        <v>9</v>
      </c>
      <c r="Z102">
        <v>232.414790996785</v>
      </c>
      <c r="AA102">
        <v>10.4630225080386</v>
      </c>
      <c r="AB102">
        <v>8.0379728948954998</v>
      </c>
      <c r="AC102">
        <v>3.6191080928962997E-2</v>
      </c>
      <c r="AD102">
        <v>1.6906033499447899</v>
      </c>
      <c r="AE102">
        <v>0.23276050388812999</v>
      </c>
      <c r="AF102">
        <v>917.63987138263599</v>
      </c>
      <c r="AG102">
        <f>IFERROR(AH102*0.1, "N/A")</f>
        <v>6.3877813504823102</v>
      </c>
      <c r="AH102">
        <v>63.877813504823102</v>
      </c>
      <c r="AI102">
        <v>217.39041931299499</v>
      </c>
      <c r="AJ102">
        <v>14.7990353697749</v>
      </c>
      <c r="AK102">
        <v>74.762057877813504</v>
      </c>
    </row>
    <row r="103" spans="1:37" x14ac:dyDescent="0.3">
      <c r="A103">
        <v>102</v>
      </c>
      <c r="B103">
        <v>19</v>
      </c>
      <c r="C103">
        <v>30.524999999999999</v>
      </c>
      <c r="D103">
        <v>-20.159300000000002</v>
      </c>
      <c r="E103" t="s">
        <v>187</v>
      </c>
      <c r="F103" t="s">
        <v>189</v>
      </c>
      <c r="G103" t="s">
        <v>39</v>
      </c>
      <c r="H103">
        <v>1985</v>
      </c>
      <c r="I103">
        <v>20.129260943250301</v>
      </c>
      <c r="J103">
        <v>13.8999996185303</v>
      </c>
      <c r="K103">
        <v>58</v>
      </c>
      <c r="L103">
        <v>30.571961712607202</v>
      </c>
      <c r="M103">
        <v>30.5292605617805</v>
      </c>
      <c r="N103">
        <v>6.6999998092651403</v>
      </c>
      <c r="O103">
        <v>23.8292597988411</v>
      </c>
      <c r="P103">
        <v>22.799999237060501</v>
      </c>
      <c r="Q103">
        <v>15.699999809265099</v>
      </c>
      <c r="R103">
        <v>23</v>
      </c>
      <c r="S103">
        <v>15.699999809265099</v>
      </c>
      <c r="T103">
        <v>582.53697749196101</v>
      </c>
      <c r="U103">
        <v>135.707395498392</v>
      </c>
      <c r="V103">
        <v>1</v>
      </c>
      <c r="W103">
        <v>102.707395498392</v>
      </c>
      <c r="X103">
        <v>376.122186495177</v>
      </c>
      <c r="Y103">
        <v>9</v>
      </c>
      <c r="Z103">
        <v>232.414790996785</v>
      </c>
      <c r="AA103">
        <v>10.4630225080386</v>
      </c>
      <c r="AB103">
        <v>8.0379728948954998</v>
      </c>
      <c r="AC103">
        <v>3.6191080928962997E-2</v>
      </c>
      <c r="AD103">
        <v>1.6906033499447899</v>
      </c>
      <c r="AE103">
        <v>0.23276050388812999</v>
      </c>
      <c r="AF103">
        <v>917.63987138263599</v>
      </c>
      <c r="AG103">
        <f>IFERROR(AH103*0.1, "N/A")</f>
        <v>6.3877813504823102</v>
      </c>
      <c r="AH103">
        <v>63.877813504823102</v>
      </c>
      <c r="AI103">
        <v>217.39041931299499</v>
      </c>
      <c r="AJ103">
        <v>14.7990353697749</v>
      </c>
      <c r="AK103">
        <v>74.762057877813504</v>
      </c>
    </row>
    <row r="104" spans="1:37" x14ac:dyDescent="0.3">
      <c r="A104">
        <v>103</v>
      </c>
      <c r="B104">
        <v>3</v>
      </c>
      <c r="C104">
        <v>31.902201000000002</v>
      </c>
      <c r="D104">
        <v>-20.145</v>
      </c>
      <c r="E104" t="s">
        <v>190</v>
      </c>
      <c r="F104" t="s">
        <v>191</v>
      </c>
      <c r="G104" t="s">
        <v>37</v>
      </c>
      <c r="H104">
        <v>1985</v>
      </c>
      <c r="I104">
        <v>21</v>
      </c>
      <c r="J104">
        <v>14.1000003814697</v>
      </c>
      <c r="K104">
        <v>59</v>
      </c>
      <c r="L104">
        <v>30.469999313354499</v>
      </c>
      <c r="M104">
        <v>31.5</v>
      </c>
      <c r="N104">
        <v>7.6999998092651403</v>
      </c>
      <c r="O104">
        <v>23.799999237060501</v>
      </c>
      <c r="P104">
        <v>23.700000762939499</v>
      </c>
      <c r="Q104">
        <v>18.399999618530298</v>
      </c>
      <c r="R104">
        <v>23.899999618530298</v>
      </c>
      <c r="S104">
        <v>16.5</v>
      </c>
      <c r="T104">
        <v>640</v>
      </c>
      <c r="U104">
        <v>148</v>
      </c>
      <c r="V104">
        <v>3</v>
      </c>
      <c r="W104">
        <v>97</v>
      </c>
      <c r="X104">
        <v>403</v>
      </c>
      <c r="Y104">
        <v>16</v>
      </c>
      <c r="Z104">
        <v>364</v>
      </c>
      <c r="AA104">
        <v>20</v>
      </c>
      <c r="AB104">
        <v>36.212205773198498</v>
      </c>
      <c r="AC104">
        <v>6.8689204068574997E-2</v>
      </c>
      <c r="AD104">
        <v>6.2351113471432003</v>
      </c>
      <c r="AE104">
        <v>0.235542327165604</v>
      </c>
      <c r="AF104">
        <v>704.36876006441196</v>
      </c>
      <c r="AG104">
        <f>IFERROR(AH104*0.1, "N/A")</f>
        <v>6.8342995169082101</v>
      </c>
      <c r="AH104">
        <v>68.342995169082101</v>
      </c>
      <c r="AI104">
        <v>206.371765800144</v>
      </c>
      <c r="AJ104">
        <v>24.172302737520099</v>
      </c>
      <c r="AK104">
        <v>60.231884057971001</v>
      </c>
    </row>
    <row r="105" spans="1:37" x14ac:dyDescent="0.3">
      <c r="A105">
        <v>104</v>
      </c>
      <c r="B105">
        <v>60</v>
      </c>
      <c r="C105">
        <v>31.902201000000002</v>
      </c>
      <c r="D105">
        <v>-20.145</v>
      </c>
      <c r="E105" t="s">
        <v>190</v>
      </c>
      <c r="F105" t="s">
        <v>192</v>
      </c>
      <c r="G105" t="s">
        <v>39</v>
      </c>
      <c r="H105">
        <v>1985</v>
      </c>
      <c r="I105">
        <v>21</v>
      </c>
      <c r="J105">
        <v>14.1000003814697</v>
      </c>
      <c r="K105">
        <v>59</v>
      </c>
      <c r="L105">
        <v>30.469999313354499</v>
      </c>
      <c r="M105">
        <v>31.5</v>
      </c>
      <c r="N105">
        <v>7.6999998092651403</v>
      </c>
      <c r="O105">
        <v>23.799999237060501</v>
      </c>
      <c r="P105">
        <v>23.700000762939499</v>
      </c>
      <c r="Q105">
        <v>18.399999618530298</v>
      </c>
      <c r="R105">
        <v>23.899999618530298</v>
      </c>
      <c r="S105">
        <v>16.5</v>
      </c>
      <c r="T105">
        <v>640</v>
      </c>
      <c r="U105">
        <v>148</v>
      </c>
      <c r="V105">
        <v>3</v>
      </c>
      <c r="W105">
        <v>97</v>
      </c>
      <c r="X105">
        <v>403</v>
      </c>
      <c r="Y105">
        <v>16</v>
      </c>
      <c r="Z105">
        <v>364</v>
      </c>
      <c r="AA105">
        <v>20</v>
      </c>
      <c r="AB105">
        <v>36.212205773198498</v>
      </c>
      <c r="AC105">
        <v>6.8689204068574997E-2</v>
      </c>
      <c r="AD105">
        <v>6.2351113471432003</v>
      </c>
      <c r="AE105">
        <v>0.235542327165604</v>
      </c>
      <c r="AF105">
        <v>704.36876006441196</v>
      </c>
      <c r="AG105">
        <f>IFERROR(AH105*0.1, "N/A")</f>
        <v>6.8342995169082101</v>
      </c>
      <c r="AH105">
        <v>68.342995169082101</v>
      </c>
      <c r="AI105">
        <v>206.371765800144</v>
      </c>
      <c r="AJ105">
        <v>24.172302737520099</v>
      </c>
      <c r="AK105">
        <v>60.231884057971001</v>
      </c>
    </row>
    <row r="106" spans="1:37" x14ac:dyDescent="0.3">
      <c r="A106">
        <v>105</v>
      </c>
      <c r="B106">
        <v>0</v>
      </c>
      <c r="C106">
        <v>28.160499999999999</v>
      </c>
      <c r="D106">
        <v>-20.099799999999998</v>
      </c>
      <c r="E106" t="s">
        <v>193</v>
      </c>
      <c r="F106" t="s">
        <v>194</v>
      </c>
      <c r="G106" t="s">
        <v>37</v>
      </c>
      <c r="H106">
        <v>1985</v>
      </c>
      <c r="I106">
        <v>19.200000762939499</v>
      </c>
      <c r="J106">
        <v>14.8999996185303</v>
      </c>
      <c r="K106">
        <v>58</v>
      </c>
      <c r="L106">
        <v>32.232752322382801</v>
      </c>
      <c r="M106">
        <v>30.700000762939499</v>
      </c>
      <c r="N106">
        <v>5.2524959837564902</v>
      </c>
      <c r="O106">
        <v>25.447503825508601</v>
      </c>
      <c r="P106">
        <v>21.7524959361496</v>
      </c>
      <c r="Q106">
        <v>14.552496174491401</v>
      </c>
      <c r="R106">
        <v>22.299999237060501</v>
      </c>
      <c r="S106">
        <v>14.452495793021599</v>
      </c>
      <c r="T106">
        <v>560.47504025764897</v>
      </c>
      <c r="U106">
        <v>126</v>
      </c>
      <c r="V106">
        <v>0</v>
      </c>
      <c r="W106">
        <v>102.475040257649</v>
      </c>
      <c r="X106">
        <v>356.47504025764903</v>
      </c>
      <c r="Y106">
        <v>1</v>
      </c>
      <c r="Z106">
        <v>226</v>
      </c>
      <c r="AA106">
        <v>8</v>
      </c>
      <c r="AB106">
        <v>18.522865479695</v>
      </c>
      <c r="AC106">
        <v>8.0885479133730002E-3</v>
      </c>
      <c r="AD106">
        <v>0.66313195190184004</v>
      </c>
      <c r="AE106">
        <v>0.18625265359878501</v>
      </c>
      <c r="AF106">
        <v>1230.47987117552</v>
      </c>
      <c r="AG106">
        <f>IFERROR(AH106*0.1, "N/A")</f>
        <v>5.8000000000000007</v>
      </c>
      <c r="AH106">
        <v>58</v>
      </c>
      <c r="AI106">
        <v>162.82716961797701</v>
      </c>
      <c r="AJ106">
        <v>18</v>
      </c>
      <c r="AK106">
        <v>69.399355877616699</v>
      </c>
    </row>
    <row r="107" spans="1:37" x14ac:dyDescent="0.3">
      <c r="A107">
        <v>106</v>
      </c>
      <c r="B107">
        <v>32</v>
      </c>
      <c r="C107">
        <v>28.160499999999999</v>
      </c>
      <c r="D107">
        <v>-20.099799999999998</v>
      </c>
      <c r="E107" t="s">
        <v>193</v>
      </c>
      <c r="F107" t="s">
        <v>195</v>
      </c>
      <c r="G107" t="s">
        <v>39</v>
      </c>
      <c r="H107">
        <v>1985</v>
      </c>
      <c r="I107">
        <v>19.200000762939499</v>
      </c>
      <c r="J107">
        <v>14.8999996185303</v>
      </c>
      <c r="K107">
        <v>58</v>
      </c>
      <c r="L107">
        <v>32.232752322382801</v>
      </c>
      <c r="M107">
        <v>30.700000762939499</v>
      </c>
      <c r="N107">
        <v>5.2524959837564902</v>
      </c>
      <c r="O107">
        <v>25.447503825508601</v>
      </c>
      <c r="P107">
        <v>21.7524959361496</v>
      </c>
      <c r="Q107">
        <v>14.552496174491401</v>
      </c>
      <c r="R107">
        <v>22.299999237060501</v>
      </c>
      <c r="S107">
        <v>14.452495793021599</v>
      </c>
      <c r="T107">
        <v>560.47504025764897</v>
      </c>
      <c r="U107">
        <v>126</v>
      </c>
      <c r="V107">
        <v>0</v>
      </c>
      <c r="W107">
        <v>102.475040257649</v>
      </c>
      <c r="X107">
        <v>356.47504025764903</v>
      </c>
      <c r="Y107">
        <v>1</v>
      </c>
      <c r="Z107">
        <v>226</v>
      </c>
      <c r="AA107">
        <v>8</v>
      </c>
      <c r="AB107">
        <v>18.522865479695</v>
      </c>
      <c r="AC107">
        <v>8.0885479133730002E-3</v>
      </c>
      <c r="AD107">
        <v>0.66313195190184004</v>
      </c>
      <c r="AE107">
        <v>0.18625265359878501</v>
      </c>
      <c r="AF107">
        <v>1230.47987117552</v>
      </c>
      <c r="AG107">
        <f>IFERROR(AH107*0.1, "N/A")</f>
        <v>5.8000000000000007</v>
      </c>
      <c r="AH107">
        <v>58</v>
      </c>
      <c r="AI107">
        <v>162.82716961797701</v>
      </c>
      <c r="AJ107">
        <v>18</v>
      </c>
      <c r="AK107">
        <v>69.399355877616699</v>
      </c>
    </row>
    <row r="108" spans="1:37" x14ac:dyDescent="0.3">
      <c r="A108">
        <v>107</v>
      </c>
      <c r="B108">
        <v>10</v>
      </c>
      <c r="C108">
        <v>32.518599999999999</v>
      </c>
      <c r="D108">
        <v>-20.017799</v>
      </c>
      <c r="E108" t="s">
        <v>196</v>
      </c>
      <c r="F108" t="s">
        <v>197</v>
      </c>
      <c r="G108" t="s">
        <v>37</v>
      </c>
      <c r="H108">
        <v>1985</v>
      </c>
      <c r="I108">
        <v>18</v>
      </c>
      <c r="J108">
        <v>10.800000190734901</v>
      </c>
      <c r="K108">
        <v>58</v>
      </c>
      <c r="L108">
        <v>27.139999389648398</v>
      </c>
      <c r="M108">
        <v>26.399999618530298</v>
      </c>
      <c r="N108">
        <v>7.8000001907348597</v>
      </c>
      <c r="O108">
        <v>18.600000381469702</v>
      </c>
      <c r="P108">
        <v>20.5</v>
      </c>
      <c r="Q108">
        <v>15.5</v>
      </c>
      <c r="R108">
        <v>20.5</v>
      </c>
      <c r="S108">
        <v>13.8999996185303</v>
      </c>
      <c r="T108">
        <v>1001</v>
      </c>
      <c r="U108">
        <v>208</v>
      </c>
      <c r="V108">
        <v>16</v>
      </c>
      <c r="W108">
        <v>87</v>
      </c>
      <c r="X108">
        <v>589</v>
      </c>
      <c r="Y108">
        <v>51</v>
      </c>
      <c r="Z108">
        <v>589</v>
      </c>
      <c r="AA108">
        <v>59</v>
      </c>
      <c r="AB108">
        <v>46.639681212005101</v>
      </c>
      <c r="AC108">
        <v>0.126537913845858</v>
      </c>
      <c r="AD108">
        <v>14.939001201433401</v>
      </c>
      <c r="AE108">
        <v>0.26713637945353003</v>
      </c>
      <c r="AF108">
        <v>1182.4983922829599</v>
      </c>
      <c r="AG108">
        <f>IFERROR(AH108*0.1, "N/A")</f>
        <v>5.79903536977492</v>
      </c>
      <c r="AH108">
        <v>57.9903536977492</v>
      </c>
      <c r="AI108">
        <v>271.28542472618602</v>
      </c>
      <c r="AJ108">
        <v>32.069131832797403</v>
      </c>
      <c r="AK108">
        <v>48.432475884244397</v>
      </c>
    </row>
    <row r="109" spans="1:37" x14ac:dyDescent="0.3">
      <c r="A109">
        <v>108</v>
      </c>
      <c r="B109">
        <v>29</v>
      </c>
      <c r="C109">
        <v>32.518599999999999</v>
      </c>
      <c r="D109">
        <v>-20.017799</v>
      </c>
      <c r="E109" t="s">
        <v>196</v>
      </c>
      <c r="F109" t="s">
        <v>198</v>
      </c>
      <c r="G109" t="s">
        <v>39</v>
      </c>
      <c r="H109">
        <v>1985</v>
      </c>
      <c r="I109">
        <v>18</v>
      </c>
      <c r="J109">
        <v>10.800000190734901</v>
      </c>
      <c r="K109">
        <v>58</v>
      </c>
      <c r="L109">
        <v>27.139999389648398</v>
      </c>
      <c r="M109">
        <v>26.399999618530298</v>
      </c>
      <c r="N109">
        <v>7.8000001907348597</v>
      </c>
      <c r="O109">
        <v>18.600000381469702</v>
      </c>
      <c r="P109">
        <v>20.5</v>
      </c>
      <c r="Q109">
        <v>15.5</v>
      </c>
      <c r="R109">
        <v>20.5</v>
      </c>
      <c r="S109">
        <v>13.8999996185303</v>
      </c>
      <c r="T109">
        <v>1001</v>
      </c>
      <c r="U109">
        <v>208</v>
      </c>
      <c r="V109">
        <v>16</v>
      </c>
      <c r="W109">
        <v>87</v>
      </c>
      <c r="X109">
        <v>589</v>
      </c>
      <c r="Y109">
        <v>51</v>
      </c>
      <c r="Z109">
        <v>589</v>
      </c>
      <c r="AA109">
        <v>59</v>
      </c>
      <c r="AB109">
        <v>46.639681212005101</v>
      </c>
      <c r="AC109">
        <v>0.126537913845858</v>
      </c>
      <c r="AD109">
        <v>14.939001201433401</v>
      </c>
      <c r="AE109">
        <v>0.26713637945353003</v>
      </c>
      <c r="AF109">
        <v>1182.4983922829599</v>
      </c>
      <c r="AG109">
        <f>IFERROR(AH109*0.1, "N/A")</f>
        <v>5.79903536977492</v>
      </c>
      <c r="AH109">
        <v>57.9903536977492</v>
      </c>
      <c r="AI109">
        <v>271.28542472618602</v>
      </c>
      <c r="AJ109">
        <v>32.069131832797403</v>
      </c>
      <c r="AK109">
        <v>48.432475884244397</v>
      </c>
    </row>
    <row r="110" spans="1:37" x14ac:dyDescent="0.3">
      <c r="A110">
        <v>109</v>
      </c>
      <c r="B110">
        <v>10</v>
      </c>
      <c r="C110">
        <v>31.389999</v>
      </c>
      <c r="D110">
        <v>-19.965900000000001</v>
      </c>
      <c r="E110" t="s">
        <v>199</v>
      </c>
      <c r="F110" t="s">
        <v>200</v>
      </c>
      <c r="G110" t="s">
        <v>37</v>
      </c>
      <c r="H110">
        <v>1985</v>
      </c>
      <c r="I110">
        <v>18.799999237060501</v>
      </c>
      <c r="J110">
        <v>12.6000003814697</v>
      </c>
      <c r="K110">
        <v>56</v>
      </c>
      <c r="L110">
        <v>30.030000686645501</v>
      </c>
      <c r="M110">
        <v>28.799999237060501</v>
      </c>
      <c r="N110">
        <v>6.5999999046325701</v>
      </c>
      <c r="O110">
        <v>22.200000762939499</v>
      </c>
      <c r="P110">
        <v>21.399999618530298</v>
      </c>
      <c r="Q110">
        <v>16.299999237060501</v>
      </c>
      <c r="R110">
        <v>21.700000762939499</v>
      </c>
      <c r="S110">
        <v>14.3999996185303</v>
      </c>
      <c r="T110">
        <v>721</v>
      </c>
      <c r="U110">
        <v>161</v>
      </c>
      <c r="V110">
        <v>4</v>
      </c>
      <c r="W110">
        <v>98</v>
      </c>
      <c r="X110">
        <v>456</v>
      </c>
      <c r="Y110">
        <v>17</v>
      </c>
      <c r="Z110">
        <v>274</v>
      </c>
      <c r="AA110">
        <v>18</v>
      </c>
      <c r="AB110">
        <v>12.8630038889518</v>
      </c>
      <c r="AC110">
        <v>2.5593929310688001E-2</v>
      </c>
      <c r="AD110">
        <v>4.1497567410246399</v>
      </c>
      <c r="AE110">
        <v>0.27354937791824302</v>
      </c>
      <c r="AF110">
        <v>1144.07407407407</v>
      </c>
      <c r="AG110">
        <f>IFERROR(AH110*0.1, "N/A")</f>
        <v>6</v>
      </c>
      <c r="AH110">
        <v>60</v>
      </c>
      <c r="AI110">
        <v>290.03963515915899</v>
      </c>
      <c r="AJ110">
        <v>23.3574879227053</v>
      </c>
      <c r="AK110">
        <v>61</v>
      </c>
    </row>
    <row r="111" spans="1:37" x14ac:dyDescent="0.3">
      <c r="A111">
        <v>110</v>
      </c>
      <c r="B111">
        <v>43</v>
      </c>
      <c r="C111">
        <v>31.389999</v>
      </c>
      <c r="D111">
        <v>-19.965900000000001</v>
      </c>
      <c r="E111" t="s">
        <v>199</v>
      </c>
      <c r="F111" t="s">
        <v>201</v>
      </c>
      <c r="G111" t="s">
        <v>39</v>
      </c>
      <c r="H111">
        <v>1985</v>
      </c>
      <c r="I111">
        <v>18.799999237060501</v>
      </c>
      <c r="J111">
        <v>12.6000003814697</v>
      </c>
      <c r="K111">
        <v>56</v>
      </c>
      <c r="L111">
        <v>30.030000686645501</v>
      </c>
      <c r="M111">
        <v>28.799999237060501</v>
      </c>
      <c r="N111">
        <v>6.5999999046325701</v>
      </c>
      <c r="O111">
        <v>22.200000762939499</v>
      </c>
      <c r="P111">
        <v>21.399999618530298</v>
      </c>
      <c r="Q111">
        <v>16.299999237060501</v>
      </c>
      <c r="R111">
        <v>21.700000762939499</v>
      </c>
      <c r="S111">
        <v>14.3999996185303</v>
      </c>
      <c r="T111">
        <v>721</v>
      </c>
      <c r="U111">
        <v>161</v>
      </c>
      <c r="V111">
        <v>4</v>
      </c>
      <c r="W111">
        <v>98</v>
      </c>
      <c r="X111">
        <v>456</v>
      </c>
      <c r="Y111">
        <v>17</v>
      </c>
      <c r="Z111">
        <v>274</v>
      </c>
      <c r="AA111">
        <v>18</v>
      </c>
      <c r="AB111">
        <v>12.8630038889518</v>
      </c>
      <c r="AC111">
        <v>2.5593929310688001E-2</v>
      </c>
      <c r="AD111">
        <v>4.1497567410246399</v>
      </c>
      <c r="AE111">
        <v>0.27354937791824302</v>
      </c>
      <c r="AF111">
        <v>1144.07407407407</v>
      </c>
      <c r="AG111">
        <f>IFERROR(AH111*0.1, "N/A")</f>
        <v>6</v>
      </c>
      <c r="AH111">
        <v>60</v>
      </c>
      <c r="AI111">
        <v>290.03963515915899</v>
      </c>
      <c r="AJ111">
        <v>23.3574879227053</v>
      </c>
      <c r="AK111">
        <v>61</v>
      </c>
    </row>
    <row r="112" spans="1:37" x14ac:dyDescent="0.3">
      <c r="A112">
        <v>111</v>
      </c>
      <c r="B112">
        <v>0</v>
      </c>
      <c r="C112">
        <v>30.722099</v>
      </c>
      <c r="D112">
        <v>-19.915299999999998</v>
      </c>
      <c r="E112" t="s">
        <v>202</v>
      </c>
      <c r="F112" t="s">
        <v>203</v>
      </c>
      <c r="G112" t="s">
        <v>37</v>
      </c>
      <c r="H112">
        <v>1985</v>
      </c>
      <c r="I112">
        <v>18.799999237060501</v>
      </c>
      <c r="J112">
        <v>13.300000190734901</v>
      </c>
      <c r="K112">
        <v>57</v>
      </c>
      <c r="L112">
        <v>30.889999389648398</v>
      </c>
      <c r="M112">
        <v>29</v>
      </c>
      <c r="N112">
        <v>5.9000000953674299</v>
      </c>
      <c r="O112">
        <v>23.100000381469702</v>
      </c>
      <c r="P112">
        <v>21.600000381469702</v>
      </c>
      <c r="Q112">
        <v>16.200000762939499</v>
      </c>
      <c r="R112">
        <v>21.700000762939499</v>
      </c>
      <c r="S112">
        <v>14.300000190734901</v>
      </c>
      <c r="T112">
        <v>638</v>
      </c>
      <c r="U112">
        <v>152</v>
      </c>
      <c r="V112">
        <v>2</v>
      </c>
      <c r="W112">
        <v>101</v>
      </c>
      <c r="X112">
        <v>405</v>
      </c>
      <c r="Y112">
        <v>10</v>
      </c>
      <c r="Z112">
        <v>374</v>
      </c>
      <c r="AA112">
        <v>17</v>
      </c>
      <c r="AB112">
        <v>9.5740453747735508</v>
      </c>
      <c r="AC112">
        <v>1.1958937831042999E-2</v>
      </c>
      <c r="AD112">
        <v>1.24750566074622</v>
      </c>
      <c r="AE112">
        <v>0.24440735578537001</v>
      </c>
      <c r="AF112">
        <v>1154.0982286634501</v>
      </c>
      <c r="AG112">
        <f>IFERROR(AH112*0.1, "N/A")</f>
        <v>6.1209339774557208</v>
      </c>
      <c r="AH112">
        <v>61.209339774557201</v>
      </c>
      <c r="AI112">
        <v>241.36844741895001</v>
      </c>
      <c r="AJ112">
        <v>15.5813204508857</v>
      </c>
      <c r="AK112">
        <v>74.628019323671495</v>
      </c>
    </row>
    <row r="113" spans="1:37" x14ac:dyDescent="0.3">
      <c r="A113">
        <v>112</v>
      </c>
      <c r="B113">
        <v>48</v>
      </c>
      <c r="C113">
        <v>30.722099</v>
      </c>
      <c r="D113">
        <v>-19.915299999999998</v>
      </c>
      <c r="E113" t="s">
        <v>202</v>
      </c>
      <c r="F113" t="s">
        <v>204</v>
      </c>
      <c r="G113" t="s">
        <v>39</v>
      </c>
      <c r="H113">
        <v>1985</v>
      </c>
      <c r="I113">
        <v>18.799999237060501</v>
      </c>
      <c r="J113">
        <v>13.300000190734901</v>
      </c>
      <c r="K113">
        <v>57</v>
      </c>
      <c r="L113">
        <v>30.889999389648398</v>
      </c>
      <c r="M113">
        <v>29</v>
      </c>
      <c r="N113">
        <v>5.9000000953674299</v>
      </c>
      <c r="O113">
        <v>23.100000381469702</v>
      </c>
      <c r="P113">
        <v>21.600000381469702</v>
      </c>
      <c r="Q113">
        <v>16.200000762939499</v>
      </c>
      <c r="R113">
        <v>21.700000762939499</v>
      </c>
      <c r="S113">
        <v>14.300000190734901</v>
      </c>
      <c r="T113">
        <v>638</v>
      </c>
      <c r="U113">
        <v>152</v>
      </c>
      <c r="V113">
        <v>2</v>
      </c>
      <c r="W113">
        <v>101</v>
      </c>
      <c r="X113">
        <v>405</v>
      </c>
      <c r="Y113">
        <v>10</v>
      </c>
      <c r="Z113">
        <v>374</v>
      </c>
      <c r="AA113">
        <v>17</v>
      </c>
      <c r="AB113">
        <v>9.5740453747735508</v>
      </c>
      <c r="AC113">
        <v>1.1958937831042999E-2</v>
      </c>
      <c r="AD113">
        <v>1.24750566074622</v>
      </c>
      <c r="AE113">
        <v>0.24440735578537001</v>
      </c>
      <c r="AF113">
        <v>1154.0982286634501</v>
      </c>
      <c r="AG113">
        <f>IFERROR(AH113*0.1, "N/A")</f>
        <v>6.1209339774557208</v>
      </c>
      <c r="AH113">
        <v>61.209339774557201</v>
      </c>
      <c r="AI113">
        <v>241.36844741895001</v>
      </c>
      <c r="AJ113">
        <v>15.5813204508857</v>
      </c>
      <c r="AK113">
        <v>74.628019323671495</v>
      </c>
    </row>
    <row r="114" spans="1:37" x14ac:dyDescent="0.3">
      <c r="A114">
        <v>113</v>
      </c>
      <c r="B114">
        <v>9</v>
      </c>
      <c r="C114">
        <v>29.236999999999998</v>
      </c>
      <c r="D114">
        <v>-19.907499000000001</v>
      </c>
      <c r="E114" t="s">
        <v>205</v>
      </c>
      <c r="F114" t="s">
        <v>206</v>
      </c>
      <c r="G114" t="s">
        <v>37</v>
      </c>
      <c r="H114">
        <v>1985</v>
      </c>
      <c r="I114">
        <v>18.399999618530298</v>
      </c>
      <c r="J114">
        <v>13.800000190734901</v>
      </c>
      <c r="K114">
        <v>56</v>
      </c>
      <c r="L114">
        <v>32.340000152587898</v>
      </c>
      <c r="M114">
        <v>29.399999618530298</v>
      </c>
      <c r="N114">
        <v>5.0999999046325701</v>
      </c>
      <c r="O114">
        <v>24.299999237060501</v>
      </c>
      <c r="P114">
        <v>21.100000381469702</v>
      </c>
      <c r="Q114">
        <v>13.699999809265099</v>
      </c>
      <c r="R114">
        <v>21.5</v>
      </c>
      <c r="S114">
        <v>13.699999809265099</v>
      </c>
      <c r="T114">
        <v>629</v>
      </c>
      <c r="U114">
        <v>142</v>
      </c>
      <c r="V114">
        <v>0</v>
      </c>
      <c r="W114">
        <v>101</v>
      </c>
      <c r="X114">
        <v>391</v>
      </c>
      <c r="Y114">
        <v>4</v>
      </c>
      <c r="Z114">
        <v>263</v>
      </c>
      <c r="AA114">
        <v>4</v>
      </c>
      <c r="AB114">
        <v>2.1230191585522298</v>
      </c>
      <c r="AC114">
        <v>21.7720928129031</v>
      </c>
      <c r="AD114">
        <v>1.52331308926937</v>
      </c>
      <c r="AE114">
        <v>0.20973517000675199</v>
      </c>
      <c r="AF114">
        <v>1306.21900161031</v>
      </c>
      <c r="AG114">
        <f>IFERROR(AH114*0.1, "N/A")</f>
        <v>6.2998389694041901</v>
      </c>
      <c r="AH114">
        <v>62.998389694041897</v>
      </c>
      <c r="AI114">
        <v>180.748330280593</v>
      </c>
      <c r="AJ114">
        <v>27.161030595813202</v>
      </c>
      <c r="AK114">
        <v>52.681159420289902</v>
      </c>
    </row>
    <row r="115" spans="1:37" x14ac:dyDescent="0.3">
      <c r="A115">
        <v>114</v>
      </c>
      <c r="B115">
        <v>19</v>
      </c>
      <c r="C115">
        <v>29.236999999999998</v>
      </c>
      <c r="D115">
        <v>-19.907499000000001</v>
      </c>
      <c r="E115" t="s">
        <v>205</v>
      </c>
      <c r="F115" t="s">
        <v>207</v>
      </c>
      <c r="G115" t="s">
        <v>39</v>
      </c>
      <c r="H115">
        <v>1985</v>
      </c>
      <c r="I115">
        <v>18.399999618530298</v>
      </c>
      <c r="J115">
        <v>13.800000190734901</v>
      </c>
      <c r="K115">
        <v>56</v>
      </c>
      <c r="L115">
        <v>32.340000152587898</v>
      </c>
      <c r="M115">
        <v>29.399999618530298</v>
      </c>
      <c r="N115">
        <v>5.0999999046325701</v>
      </c>
      <c r="O115">
        <v>24.299999237060501</v>
      </c>
      <c r="P115">
        <v>21.100000381469702</v>
      </c>
      <c r="Q115">
        <v>13.699999809265099</v>
      </c>
      <c r="R115">
        <v>21.5</v>
      </c>
      <c r="S115">
        <v>13.699999809265099</v>
      </c>
      <c r="T115">
        <v>629</v>
      </c>
      <c r="U115">
        <v>142</v>
      </c>
      <c r="V115">
        <v>0</v>
      </c>
      <c r="W115">
        <v>101</v>
      </c>
      <c r="X115">
        <v>391</v>
      </c>
      <c r="Y115">
        <v>4</v>
      </c>
      <c r="Z115">
        <v>263</v>
      </c>
      <c r="AA115">
        <v>4</v>
      </c>
      <c r="AB115">
        <v>2.1230191585522298</v>
      </c>
      <c r="AC115">
        <v>21.7720928129031</v>
      </c>
      <c r="AD115">
        <v>1.52331308926937</v>
      </c>
      <c r="AE115">
        <v>0.20973517000675199</v>
      </c>
      <c r="AF115">
        <v>1306.21900161031</v>
      </c>
      <c r="AG115">
        <f>IFERROR(AH115*0.1, "N/A")</f>
        <v>6.2998389694041901</v>
      </c>
      <c r="AH115">
        <v>62.998389694041897</v>
      </c>
      <c r="AI115">
        <v>180.748330280593</v>
      </c>
      <c r="AJ115">
        <v>27.161030595813202</v>
      </c>
      <c r="AK115">
        <v>52.681159420289902</v>
      </c>
    </row>
    <row r="116" spans="1:37" x14ac:dyDescent="0.3">
      <c r="A116">
        <v>115</v>
      </c>
      <c r="B116">
        <v>0</v>
      </c>
      <c r="C116">
        <v>30.853999999999999</v>
      </c>
      <c r="D116">
        <v>-19.8841</v>
      </c>
      <c r="E116" t="s">
        <v>208</v>
      </c>
      <c r="F116" t="s">
        <v>209</v>
      </c>
      <c r="G116" t="s">
        <v>37</v>
      </c>
      <c r="H116">
        <v>1985</v>
      </c>
      <c r="I116">
        <v>18.698712513258702</v>
      </c>
      <c r="J116">
        <v>13.1000003814697</v>
      </c>
      <c r="K116">
        <v>57</v>
      </c>
      <c r="L116">
        <v>30.184380339347602</v>
      </c>
      <c r="M116">
        <v>28.700000762939499</v>
      </c>
      <c r="N116">
        <v>6.0987116610946304</v>
      </c>
      <c r="O116">
        <v>22.601288631150499</v>
      </c>
      <c r="P116">
        <v>21.498711750319199</v>
      </c>
      <c r="Q116">
        <v>16.174235855323701</v>
      </c>
      <c r="R116">
        <v>21.598712131789</v>
      </c>
      <c r="S116">
        <v>14.298711941054099</v>
      </c>
      <c r="T116">
        <v>636.02576489532998</v>
      </c>
      <c r="U116">
        <v>156.01288244766499</v>
      </c>
      <c r="V116">
        <v>2</v>
      </c>
      <c r="W116">
        <v>101</v>
      </c>
      <c r="X116">
        <v>410.02576489532998</v>
      </c>
      <c r="Y116">
        <v>11</v>
      </c>
      <c r="Z116">
        <v>374.595813204509</v>
      </c>
      <c r="AA116">
        <v>15.987117552334899</v>
      </c>
      <c r="AB116">
        <v>18.9568535502214</v>
      </c>
      <c r="AC116">
        <v>1.3244188971062E-2</v>
      </c>
      <c r="AD116">
        <v>2.1890168689107399</v>
      </c>
      <c r="AE116">
        <v>0.25852601938009701</v>
      </c>
      <c r="AF116">
        <v>1188.6086956521699</v>
      </c>
      <c r="AG116">
        <f>IFERROR(AH116*0.1, "N/A")</f>
        <v>5.90708534621578</v>
      </c>
      <c r="AH116">
        <v>59.0708534621578</v>
      </c>
      <c r="AI116">
        <v>131.47764688144801</v>
      </c>
      <c r="AJ116">
        <v>13.2222222222222</v>
      </c>
      <c r="AK116">
        <v>77.7020933977456</v>
      </c>
    </row>
    <row r="117" spans="1:37" x14ac:dyDescent="0.3">
      <c r="A117">
        <v>116</v>
      </c>
      <c r="B117">
        <v>49</v>
      </c>
      <c r="C117">
        <v>30.853999999999999</v>
      </c>
      <c r="D117">
        <v>-19.8841</v>
      </c>
      <c r="E117" t="s">
        <v>208</v>
      </c>
      <c r="F117" t="s">
        <v>210</v>
      </c>
      <c r="G117" t="s">
        <v>39</v>
      </c>
      <c r="H117">
        <v>1985</v>
      </c>
      <c r="I117">
        <v>18.698712513258702</v>
      </c>
      <c r="J117">
        <v>13.1000003814697</v>
      </c>
      <c r="K117">
        <v>57</v>
      </c>
      <c r="L117">
        <v>30.184380339347602</v>
      </c>
      <c r="M117">
        <v>28.700000762939499</v>
      </c>
      <c r="N117">
        <v>6.0987116610946304</v>
      </c>
      <c r="O117">
        <v>22.601288631150499</v>
      </c>
      <c r="P117">
        <v>21.498711750319199</v>
      </c>
      <c r="Q117">
        <v>16.174235855323701</v>
      </c>
      <c r="R117">
        <v>21.598712131789</v>
      </c>
      <c r="S117">
        <v>14.298711941054099</v>
      </c>
      <c r="T117">
        <v>636.02576489532998</v>
      </c>
      <c r="U117">
        <v>156.01288244766499</v>
      </c>
      <c r="V117">
        <v>2</v>
      </c>
      <c r="W117">
        <v>101</v>
      </c>
      <c r="X117">
        <v>410.02576489532998</v>
      </c>
      <c r="Y117">
        <v>11</v>
      </c>
      <c r="Z117">
        <v>374.595813204509</v>
      </c>
      <c r="AA117">
        <v>15.987117552334899</v>
      </c>
      <c r="AB117">
        <v>18.9568535502214</v>
      </c>
      <c r="AC117">
        <v>1.3244188971062E-2</v>
      </c>
      <c r="AD117">
        <v>2.1890168689107399</v>
      </c>
      <c r="AE117">
        <v>0.25852601938009701</v>
      </c>
      <c r="AF117">
        <v>1188.6086956521699</v>
      </c>
      <c r="AG117">
        <f>IFERROR(AH117*0.1, "N/A")</f>
        <v>5.90708534621578</v>
      </c>
      <c r="AH117">
        <v>59.0708534621578</v>
      </c>
      <c r="AI117">
        <v>131.47764688144801</v>
      </c>
      <c r="AJ117">
        <v>13.2222222222222</v>
      </c>
      <c r="AK117">
        <v>77.7020933977456</v>
      </c>
    </row>
    <row r="118" spans="1:37" x14ac:dyDescent="0.3">
      <c r="A118">
        <v>117</v>
      </c>
      <c r="B118">
        <v>0</v>
      </c>
      <c r="C118">
        <v>28.787099999999999</v>
      </c>
      <c r="D118">
        <v>-19.861799000000001</v>
      </c>
      <c r="E118" t="s">
        <v>211</v>
      </c>
      <c r="F118" t="s">
        <v>212</v>
      </c>
      <c r="G118" t="s">
        <v>37</v>
      </c>
      <c r="H118">
        <v>1985</v>
      </c>
      <c r="I118">
        <v>18.799999237060501</v>
      </c>
      <c r="J118">
        <v>13.699999809265099</v>
      </c>
      <c r="K118">
        <v>57</v>
      </c>
      <c r="L118">
        <v>31.280000686645501</v>
      </c>
      <c r="M118">
        <v>29.600000381469702</v>
      </c>
      <c r="N118">
        <v>5.8000001907348597</v>
      </c>
      <c r="O118">
        <v>23.799999237060501</v>
      </c>
      <c r="P118">
        <v>21.299999237060501</v>
      </c>
      <c r="Q118">
        <v>14.199999809265099</v>
      </c>
      <c r="R118">
        <v>21.799999237060501</v>
      </c>
      <c r="S118">
        <v>14.199999809265099</v>
      </c>
      <c r="T118">
        <v>615</v>
      </c>
      <c r="U118">
        <v>136</v>
      </c>
      <c r="V118">
        <v>0</v>
      </c>
      <c r="W118">
        <v>100</v>
      </c>
      <c r="X118">
        <v>387</v>
      </c>
      <c r="Y118">
        <v>4</v>
      </c>
      <c r="Z118">
        <v>255</v>
      </c>
      <c r="AA118">
        <v>4</v>
      </c>
      <c r="AB118">
        <v>5.6698727323621201</v>
      </c>
      <c r="AC118">
        <v>3.8571696349040001E-2</v>
      </c>
      <c r="AD118">
        <v>1.7900412620169699</v>
      </c>
      <c r="AE118">
        <v>0.19487102329730999</v>
      </c>
      <c r="AF118">
        <v>1336.36070853462</v>
      </c>
      <c r="AG118">
        <f>IFERROR(AH118*0.1, "N/A")</f>
        <v>6.1537842190016105</v>
      </c>
      <c r="AH118">
        <v>61.5378421900161</v>
      </c>
      <c r="AI118">
        <v>121.53945159912099</v>
      </c>
      <c r="AJ118">
        <v>23.4621578099839</v>
      </c>
      <c r="AK118">
        <v>65.537842190016093</v>
      </c>
    </row>
    <row r="119" spans="1:37" x14ac:dyDescent="0.3">
      <c r="A119">
        <v>118</v>
      </c>
      <c r="B119">
        <v>1</v>
      </c>
      <c r="C119">
        <v>28.787099999999999</v>
      </c>
      <c r="D119">
        <v>-19.861799000000001</v>
      </c>
      <c r="E119" t="s">
        <v>211</v>
      </c>
      <c r="F119" t="s">
        <v>213</v>
      </c>
      <c r="G119" t="s">
        <v>39</v>
      </c>
      <c r="H119">
        <v>1985</v>
      </c>
      <c r="I119">
        <v>18.799999237060501</v>
      </c>
      <c r="J119">
        <v>13.699999809265099</v>
      </c>
      <c r="K119">
        <v>57</v>
      </c>
      <c r="L119">
        <v>31.280000686645501</v>
      </c>
      <c r="M119">
        <v>29.600000381469702</v>
      </c>
      <c r="N119">
        <v>5.8000001907348597</v>
      </c>
      <c r="O119">
        <v>23.799999237060501</v>
      </c>
      <c r="P119">
        <v>21.299999237060501</v>
      </c>
      <c r="Q119">
        <v>14.199999809265099</v>
      </c>
      <c r="R119">
        <v>21.799999237060501</v>
      </c>
      <c r="S119">
        <v>14.199999809265099</v>
      </c>
      <c r="T119">
        <v>615</v>
      </c>
      <c r="U119">
        <v>136</v>
      </c>
      <c r="V119">
        <v>0</v>
      </c>
      <c r="W119">
        <v>100</v>
      </c>
      <c r="X119">
        <v>387</v>
      </c>
      <c r="Y119">
        <v>4</v>
      </c>
      <c r="Z119">
        <v>255</v>
      </c>
      <c r="AA119">
        <v>4</v>
      </c>
      <c r="AB119">
        <v>5.6698727323621201</v>
      </c>
      <c r="AC119">
        <v>3.8571696349040001E-2</v>
      </c>
      <c r="AD119">
        <v>1.7900412620169699</v>
      </c>
      <c r="AE119">
        <v>0.19487102329730999</v>
      </c>
      <c r="AF119">
        <v>1336.36070853462</v>
      </c>
      <c r="AG119">
        <f>IFERROR(AH119*0.1, "N/A")</f>
        <v>6.1537842190016105</v>
      </c>
      <c r="AH119">
        <v>61.5378421900161</v>
      </c>
      <c r="AI119">
        <v>121.53945159912099</v>
      </c>
      <c r="AJ119">
        <v>23.4621578099839</v>
      </c>
      <c r="AK119">
        <v>65.537842190016093</v>
      </c>
    </row>
    <row r="120" spans="1:37" x14ac:dyDescent="0.3">
      <c r="A120">
        <v>119</v>
      </c>
      <c r="B120">
        <v>1</v>
      </c>
      <c r="C120">
        <v>28.323098999999999</v>
      </c>
      <c r="D120">
        <v>-19.834199999999999</v>
      </c>
      <c r="E120" t="s">
        <v>214</v>
      </c>
      <c r="F120" t="s">
        <v>215</v>
      </c>
      <c r="G120" t="s">
        <v>37</v>
      </c>
      <c r="H120">
        <v>1985</v>
      </c>
      <c r="I120">
        <v>19.399999618530298</v>
      </c>
      <c r="J120">
        <v>14.699999809265099</v>
      </c>
      <c r="K120">
        <v>58</v>
      </c>
      <c r="L120">
        <v>31.639999389648398</v>
      </c>
      <c r="M120">
        <v>30.799999237060501</v>
      </c>
      <c r="N120">
        <v>5.6999998092651403</v>
      </c>
      <c r="O120">
        <v>25.100000381469702</v>
      </c>
      <c r="P120">
        <v>21.899999618530298</v>
      </c>
      <c r="Q120">
        <v>14.800000190734901</v>
      </c>
      <c r="R120">
        <v>22.5</v>
      </c>
      <c r="S120">
        <v>14.800000190734901</v>
      </c>
      <c r="T120">
        <v>588</v>
      </c>
      <c r="U120">
        <v>139</v>
      </c>
      <c r="V120">
        <v>0</v>
      </c>
      <c r="W120">
        <v>103</v>
      </c>
      <c r="X120">
        <v>378</v>
      </c>
      <c r="Y120">
        <v>1</v>
      </c>
      <c r="Z120">
        <v>236</v>
      </c>
      <c r="AA120">
        <v>1</v>
      </c>
      <c r="AB120">
        <v>6.9744557077095104</v>
      </c>
      <c r="AC120">
        <v>1.5737729290818001E-2</v>
      </c>
      <c r="AD120">
        <v>1.64071535910824</v>
      </c>
      <c r="AE120">
        <v>0.17849340843234399</v>
      </c>
      <c r="AF120">
        <v>1237.23151125402</v>
      </c>
      <c r="AG120">
        <f>IFERROR(AH120*0.1, "N/A")</f>
        <v>6.0395498392283002</v>
      </c>
      <c r="AH120">
        <v>60.395498392283002</v>
      </c>
      <c r="AI120">
        <v>200.153254875416</v>
      </c>
      <c r="AJ120">
        <v>20.519292604501601</v>
      </c>
      <c r="AK120">
        <v>67.516077170418001</v>
      </c>
    </row>
    <row r="121" spans="1:37" x14ac:dyDescent="0.3">
      <c r="A121">
        <v>120</v>
      </c>
      <c r="B121">
        <v>3</v>
      </c>
      <c r="C121">
        <v>28.323098999999999</v>
      </c>
      <c r="D121">
        <v>-19.834199999999999</v>
      </c>
      <c r="E121" t="s">
        <v>214</v>
      </c>
      <c r="F121" t="s">
        <v>216</v>
      </c>
      <c r="G121" t="s">
        <v>39</v>
      </c>
      <c r="H121">
        <v>1985</v>
      </c>
      <c r="I121">
        <v>19.399999618530298</v>
      </c>
      <c r="J121">
        <v>14.699999809265099</v>
      </c>
      <c r="K121">
        <v>58</v>
      </c>
      <c r="L121">
        <v>31.639999389648398</v>
      </c>
      <c r="M121">
        <v>30.799999237060501</v>
      </c>
      <c r="N121">
        <v>5.6999998092651403</v>
      </c>
      <c r="O121">
        <v>25.100000381469702</v>
      </c>
      <c r="P121">
        <v>21.899999618530298</v>
      </c>
      <c r="Q121">
        <v>14.800000190734901</v>
      </c>
      <c r="R121">
        <v>22.5</v>
      </c>
      <c r="S121">
        <v>14.800000190734901</v>
      </c>
      <c r="T121">
        <v>588</v>
      </c>
      <c r="U121">
        <v>139</v>
      </c>
      <c r="V121">
        <v>0</v>
      </c>
      <c r="W121">
        <v>103</v>
      </c>
      <c r="X121">
        <v>378</v>
      </c>
      <c r="Y121">
        <v>1</v>
      </c>
      <c r="Z121">
        <v>236</v>
      </c>
      <c r="AA121">
        <v>1</v>
      </c>
      <c r="AB121">
        <v>6.9744557077095104</v>
      </c>
      <c r="AC121">
        <v>1.5737729290818001E-2</v>
      </c>
      <c r="AD121">
        <v>1.64071535910824</v>
      </c>
      <c r="AE121">
        <v>0.17849340843234399</v>
      </c>
      <c r="AF121">
        <v>1237.23151125402</v>
      </c>
      <c r="AG121">
        <f>IFERROR(AH121*0.1, "N/A")</f>
        <v>6.0395498392283002</v>
      </c>
      <c r="AH121">
        <v>60.395498392283002</v>
      </c>
      <c r="AI121">
        <v>200.153254875416</v>
      </c>
      <c r="AJ121">
        <v>20.519292604501601</v>
      </c>
      <c r="AK121">
        <v>67.516077170418001</v>
      </c>
    </row>
    <row r="122" spans="1:37" x14ac:dyDescent="0.3">
      <c r="A122">
        <v>121</v>
      </c>
      <c r="B122">
        <v>1</v>
      </c>
      <c r="C122">
        <v>29.912001</v>
      </c>
      <c r="D122">
        <v>-19.817699000000001</v>
      </c>
      <c r="E122" t="s">
        <v>217</v>
      </c>
      <c r="F122" t="s">
        <v>218</v>
      </c>
      <c r="G122" t="s">
        <v>37</v>
      </c>
      <c r="H122">
        <v>1985</v>
      </c>
      <c r="I122">
        <v>19.299999237060501</v>
      </c>
      <c r="J122">
        <v>13.699999809265099</v>
      </c>
      <c r="K122">
        <v>57</v>
      </c>
      <c r="L122">
        <v>31.030000686645501</v>
      </c>
      <c r="M122">
        <v>30.100000381469702</v>
      </c>
      <c r="N122">
        <v>6.0999999046325701</v>
      </c>
      <c r="O122">
        <v>24</v>
      </c>
      <c r="P122">
        <v>21.899999618530298</v>
      </c>
      <c r="Q122">
        <v>14.699999809265099</v>
      </c>
      <c r="R122">
        <v>22.200000762939499</v>
      </c>
      <c r="S122">
        <v>14.699999809265099</v>
      </c>
      <c r="T122">
        <v>652</v>
      </c>
      <c r="U122">
        <v>146</v>
      </c>
      <c r="V122">
        <v>1</v>
      </c>
      <c r="W122">
        <v>99</v>
      </c>
      <c r="X122">
        <v>408</v>
      </c>
      <c r="Y122">
        <v>7</v>
      </c>
      <c r="Z122">
        <v>264</v>
      </c>
      <c r="AA122">
        <v>7</v>
      </c>
      <c r="AB122">
        <v>13.6417812390274</v>
      </c>
      <c r="AC122">
        <v>1.2341246316821999E-2</v>
      </c>
      <c r="AD122">
        <v>2.3183825959363298</v>
      </c>
      <c r="AE122">
        <v>0.21789887547493</v>
      </c>
      <c r="AF122">
        <v>1156.76725521669</v>
      </c>
      <c r="AG122">
        <f>IFERROR(AH122*0.1, "N/A")</f>
        <v>5.8622792937399701</v>
      </c>
      <c r="AH122">
        <v>58.622792937399701</v>
      </c>
      <c r="AI122">
        <v>48.649288391799097</v>
      </c>
      <c r="AJ122">
        <v>17.069020866773698</v>
      </c>
      <c r="AK122">
        <v>71.738362760834704</v>
      </c>
    </row>
    <row r="123" spans="1:37" x14ac:dyDescent="0.3">
      <c r="A123">
        <v>122</v>
      </c>
      <c r="B123">
        <v>25</v>
      </c>
      <c r="C123">
        <v>29.912001</v>
      </c>
      <c r="D123">
        <v>-19.817699000000001</v>
      </c>
      <c r="E123" t="s">
        <v>217</v>
      </c>
      <c r="F123" t="s">
        <v>219</v>
      </c>
      <c r="G123" t="s">
        <v>39</v>
      </c>
      <c r="H123">
        <v>1985</v>
      </c>
      <c r="I123">
        <v>19.299999237060501</v>
      </c>
      <c r="J123">
        <v>13.699999809265099</v>
      </c>
      <c r="K123">
        <v>57</v>
      </c>
      <c r="L123">
        <v>31.030000686645501</v>
      </c>
      <c r="M123">
        <v>30.100000381469702</v>
      </c>
      <c r="N123">
        <v>6.0999999046325701</v>
      </c>
      <c r="O123">
        <v>24</v>
      </c>
      <c r="P123">
        <v>21.899999618530298</v>
      </c>
      <c r="Q123">
        <v>14.699999809265099</v>
      </c>
      <c r="R123">
        <v>22.200000762939499</v>
      </c>
      <c r="S123">
        <v>14.699999809265099</v>
      </c>
      <c r="T123">
        <v>652</v>
      </c>
      <c r="U123">
        <v>146</v>
      </c>
      <c r="V123">
        <v>1</v>
      </c>
      <c r="W123">
        <v>99</v>
      </c>
      <c r="X123">
        <v>408</v>
      </c>
      <c r="Y123">
        <v>7</v>
      </c>
      <c r="Z123">
        <v>264</v>
      </c>
      <c r="AA123">
        <v>7</v>
      </c>
      <c r="AB123">
        <v>13.6417812390274</v>
      </c>
      <c r="AC123">
        <v>1.2341246316821999E-2</v>
      </c>
      <c r="AD123">
        <v>2.3183825959363298</v>
      </c>
      <c r="AE123">
        <v>0.21789887547493</v>
      </c>
      <c r="AF123">
        <v>1156.76725521669</v>
      </c>
      <c r="AG123">
        <f>IFERROR(AH123*0.1, "N/A")</f>
        <v>5.8622792937399701</v>
      </c>
      <c r="AH123">
        <v>58.622792937399701</v>
      </c>
      <c r="AI123">
        <v>48.649288391799097</v>
      </c>
      <c r="AJ123">
        <v>17.069020866773698</v>
      </c>
      <c r="AK123">
        <v>71.738362760834704</v>
      </c>
    </row>
    <row r="124" spans="1:37" x14ac:dyDescent="0.3">
      <c r="A124">
        <v>123</v>
      </c>
      <c r="B124">
        <v>0</v>
      </c>
      <c r="C124">
        <v>31.146000000000001</v>
      </c>
      <c r="D124">
        <v>-19.764299000000001</v>
      </c>
      <c r="E124" t="s">
        <v>220</v>
      </c>
      <c r="F124" t="s">
        <v>221</v>
      </c>
      <c r="G124" t="s">
        <v>37</v>
      </c>
      <c r="H124">
        <v>1985</v>
      </c>
      <c r="I124">
        <v>18.100000381469702</v>
      </c>
      <c r="J124">
        <v>12.199999809265099</v>
      </c>
      <c r="K124">
        <v>56</v>
      </c>
      <c r="L124">
        <v>29.809999465942401</v>
      </c>
      <c r="M124">
        <v>27.799999237060501</v>
      </c>
      <c r="N124">
        <v>6.3000001907348597</v>
      </c>
      <c r="O124">
        <v>21.5</v>
      </c>
      <c r="P124">
        <v>20.700000762939499</v>
      </c>
      <c r="Q124">
        <v>15.6000003814697</v>
      </c>
      <c r="R124">
        <v>20.899999618530298</v>
      </c>
      <c r="S124">
        <v>13.800000190734901</v>
      </c>
      <c r="T124">
        <v>663</v>
      </c>
      <c r="U124">
        <v>164</v>
      </c>
      <c r="V124">
        <v>2</v>
      </c>
      <c r="W124">
        <v>104</v>
      </c>
      <c r="X124">
        <v>435</v>
      </c>
      <c r="Y124">
        <v>11</v>
      </c>
      <c r="Z124">
        <v>283</v>
      </c>
      <c r="AA124">
        <v>12</v>
      </c>
      <c r="AB124">
        <v>9.1419803742439498</v>
      </c>
      <c r="AC124">
        <v>1.2288197604638999E-2</v>
      </c>
      <c r="AD124">
        <v>2.3014863416071898</v>
      </c>
      <c r="AE124">
        <v>0.31247517466545099</v>
      </c>
      <c r="AF124">
        <v>1296.78548387097</v>
      </c>
      <c r="AG124">
        <f>IFERROR(AH124*0.1, "N/A")</f>
        <v>6.0112903225806402</v>
      </c>
      <c r="AH124">
        <v>60.112903225806399</v>
      </c>
      <c r="AI124">
        <v>224.38506705991699</v>
      </c>
      <c r="AJ124">
        <v>13</v>
      </c>
      <c r="AK124">
        <v>77.338709677419303</v>
      </c>
    </row>
    <row r="125" spans="1:37" x14ac:dyDescent="0.3">
      <c r="A125">
        <v>124</v>
      </c>
      <c r="B125">
        <v>0</v>
      </c>
      <c r="C125">
        <v>31.146000000000001</v>
      </c>
      <c r="D125">
        <v>-19.764299000000001</v>
      </c>
      <c r="E125" t="s">
        <v>220</v>
      </c>
      <c r="F125" t="s">
        <v>222</v>
      </c>
      <c r="G125" t="s">
        <v>39</v>
      </c>
      <c r="H125">
        <v>1985</v>
      </c>
      <c r="I125">
        <v>18.100000381469702</v>
      </c>
      <c r="J125">
        <v>12.199999809265099</v>
      </c>
      <c r="K125">
        <v>56</v>
      </c>
      <c r="L125">
        <v>29.809999465942401</v>
      </c>
      <c r="M125">
        <v>27.799999237060501</v>
      </c>
      <c r="N125">
        <v>6.3000001907348597</v>
      </c>
      <c r="O125">
        <v>21.5</v>
      </c>
      <c r="P125">
        <v>20.700000762939499</v>
      </c>
      <c r="Q125">
        <v>15.6000003814697</v>
      </c>
      <c r="R125">
        <v>20.899999618530298</v>
      </c>
      <c r="S125">
        <v>13.800000190734901</v>
      </c>
      <c r="T125">
        <v>663</v>
      </c>
      <c r="U125">
        <v>164</v>
      </c>
      <c r="V125">
        <v>2</v>
      </c>
      <c r="W125">
        <v>104</v>
      </c>
      <c r="X125">
        <v>435</v>
      </c>
      <c r="Y125">
        <v>11</v>
      </c>
      <c r="Z125">
        <v>283</v>
      </c>
      <c r="AA125">
        <v>12</v>
      </c>
      <c r="AB125">
        <v>9.1419803742439498</v>
      </c>
      <c r="AC125">
        <v>1.2288197604638999E-2</v>
      </c>
      <c r="AD125">
        <v>2.3014863416071898</v>
      </c>
      <c r="AE125">
        <v>0.31247517466545099</v>
      </c>
      <c r="AF125">
        <v>1296.78548387097</v>
      </c>
      <c r="AG125">
        <f>IFERROR(AH125*0.1, "N/A")</f>
        <v>6.0112903225806402</v>
      </c>
      <c r="AH125">
        <v>60.112903225806399</v>
      </c>
      <c r="AI125">
        <v>224.38506705991699</v>
      </c>
      <c r="AJ125">
        <v>13</v>
      </c>
      <c r="AK125">
        <v>77.338709677419303</v>
      </c>
    </row>
    <row r="126" spans="1:37" x14ac:dyDescent="0.3">
      <c r="A126">
        <v>125</v>
      </c>
      <c r="B126">
        <v>0</v>
      </c>
      <c r="C126">
        <v>30.395700000000001</v>
      </c>
      <c r="D126">
        <v>-19.756900999999999</v>
      </c>
      <c r="E126" t="s">
        <v>223</v>
      </c>
      <c r="F126" t="s">
        <v>224</v>
      </c>
      <c r="G126" t="s">
        <v>37</v>
      </c>
      <c r="H126">
        <v>1985</v>
      </c>
      <c r="I126">
        <v>19.200000762939499</v>
      </c>
      <c r="J126">
        <v>13.699999809265099</v>
      </c>
      <c r="K126">
        <v>57</v>
      </c>
      <c r="L126">
        <v>30.25</v>
      </c>
      <c r="M126">
        <v>29.799999237060501</v>
      </c>
      <c r="N126">
        <v>6.0999999046325701</v>
      </c>
      <c r="O126">
        <v>23.700000762939499</v>
      </c>
      <c r="P126">
        <v>21.799999237060501</v>
      </c>
      <c r="Q126">
        <v>14.800000190734901</v>
      </c>
      <c r="R126">
        <v>22</v>
      </c>
      <c r="S126">
        <v>14.800000190734901</v>
      </c>
      <c r="T126">
        <v>652</v>
      </c>
      <c r="U126">
        <v>149</v>
      </c>
      <c r="V126">
        <v>1</v>
      </c>
      <c r="W126">
        <v>100</v>
      </c>
      <c r="X126">
        <v>411</v>
      </c>
      <c r="Y126">
        <v>9</v>
      </c>
      <c r="Z126">
        <v>264</v>
      </c>
      <c r="AA126">
        <v>15</v>
      </c>
      <c r="AB126">
        <v>3.9756743400327599</v>
      </c>
      <c r="AC126">
        <v>2.5422040508278999E-2</v>
      </c>
      <c r="AD126">
        <v>2.31628869079774</v>
      </c>
      <c r="AE126">
        <v>0.22062356258111601</v>
      </c>
      <c r="AF126">
        <v>1105.93709677419</v>
      </c>
      <c r="AG126">
        <f>IFERROR(AH126*0.1, "N/A")</f>
        <v>6.1033870967741901</v>
      </c>
      <c r="AH126">
        <v>61.033870967741898</v>
      </c>
      <c r="AI126">
        <v>69.7245946453464</v>
      </c>
      <c r="AJ126">
        <v>12.7209677419355</v>
      </c>
      <c r="AK126">
        <v>78.851612903225799</v>
      </c>
    </row>
    <row r="127" spans="1:37" x14ac:dyDescent="0.3">
      <c r="A127">
        <v>126</v>
      </c>
      <c r="B127">
        <v>35</v>
      </c>
      <c r="C127">
        <v>30.395700000000001</v>
      </c>
      <c r="D127">
        <v>-19.756900999999999</v>
      </c>
      <c r="E127" t="s">
        <v>223</v>
      </c>
      <c r="F127" t="s">
        <v>225</v>
      </c>
      <c r="G127" t="s">
        <v>39</v>
      </c>
      <c r="H127">
        <v>1985</v>
      </c>
      <c r="I127">
        <v>19.200000762939499</v>
      </c>
      <c r="J127">
        <v>13.699999809265099</v>
      </c>
      <c r="K127">
        <v>57</v>
      </c>
      <c r="L127">
        <v>30.25</v>
      </c>
      <c r="M127">
        <v>29.799999237060501</v>
      </c>
      <c r="N127">
        <v>6.0999999046325701</v>
      </c>
      <c r="O127">
        <v>23.700000762939499</v>
      </c>
      <c r="P127">
        <v>21.799999237060501</v>
      </c>
      <c r="Q127">
        <v>14.800000190734901</v>
      </c>
      <c r="R127">
        <v>22</v>
      </c>
      <c r="S127">
        <v>14.800000190734901</v>
      </c>
      <c r="T127">
        <v>652</v>
      </c>
      <c r="U127">
        <v>149</v>
      </c>
      <c r="V127">
        <v>1</v>
      </c>
      <c r="W127">
        <v>100</v>
      </c>
      <c r="X127">
        <v>411</v>
      </c>
      <c r="Y127">
        <v>9</v>
      </c>
      <c r="Z127">
        <v>264</v>
      </c>
      <c r="AA127">
        <v>15</v>
      </c>
      <c r="AB127">
        <v>3.9756743400327599</v>
      </c>
      <c r="AC127">
        <v>2.5422040508278999E-2</v>
      </c>
      <c r="AD127">
        <v>2.31628869079774</v>
      </c>
      <c r="AE127">
        <v>0.22062356258111601</v>
      </c>
      <c r="AF127">
        <v>1105.93709677419</v>
      </c>
      <c r="AG127">
        <f>IFERROR(AH127*0.1, "N/A")</f>
        <v>6.1033870967741901</v>
      </c>
      <c r="AH127">
        <v>61.033870967741898</v>
      </c>
      <c r="AI127">
        <v>69.7245946453464</v>
      </c>
      <c r="AJ127">
        <v>12.7209677419355</v>
      </c>
      <c r="AK127">
        <v>78.851612903225799</v>
      </c>
    </row>
    <row r="128" spans="1:37" x14ac:dyDescent="0.3">
      <c r="A128">
        <v>127</v>
      </c>
      <c r="B128">
        <v>0</v>
      </c>
      <c r="C128">
        <v>29.3843</v>
      </c>
      <c r="D128">
        <v>-19.672799999999999</v>
      </c>
      <c r="E128" t="s">
        <v>226</v>
      </c>
      <c r="F128" t="s">
        <v>227</v>
      </c>
      <c r="G128" t="s">
        <v>37</v>
      </c>
      <c r="H128">
        <v>1985</v>
      </c>
      <c r="I128">
        <v>18.5</v>
      </c>
      <c r="J128">
        <v>13.800000190734901</v>
      </c>
      <c r="K128">
        <v>56</v>
      </c>
      <c r="L128">
        <v>31.430000305175799</v>
      </c>
      <c r="M128">
        <v>29.5</v>
      </c>
      <c r="N128">
        <v>5.1999998092651403</v>
      </c>
      <c r="O128">
        <v>24.299999237060501</v>
      </c>
      <c r="P128">
        <v>21</v>
      </c>
      <c r="Q128">
        <v>13.8999996185303</v>
      </c>
      <c r="R128">
        <v>21.5</v>
      </c>
      <c r="S128">
        <v>13.8999996185303</v>
      </c>
      <c r="T128">
        <v>623</v>
      </c>
      <c r="U128">
        <v>140</v>
      </c>
      <c r="V128">
        <v>0</v>
      </c>
      <c r="W128">
        <v>105</v>
      </c>
      <c r="X128">
        <v>397</v>
      </c>
      <c r="Y128">
        <v>3</v>
      </c>
      <c r="Z128">
        <v>252</v>
      </c>
      <c r="AA128">
        <v>7</v>
      </c>
      <c r="AB128">
        <v>4.5440744707661302</v>
      </c>
      <c r="AC128">
        <v>0.51494916319065998</v>
      </c>
      <c r="AD128">
        <v>2.0728188811771302</v>
      </c>
      <c r="AE128">
        <v>0.19312785565853099</v>
      </c>
      <c r="AF128">
        <v>1310.42258064516</v>
      </c>
      <c r="AG128">
        <f>IFERROR(AH128*0.1, "N/A")</f>
        <v>6.4</v>
      </c>
      <c r="AH128">
        <v>64</v>
      </c>
      <c r="AI128">
        <v>162.576811365927</v>
      </c>
      <c r="AJ128">
        <v>28</v>
      </c>
      <c r="AK128">
        <v>56</v>
      </c>
    </row>
    <row r="129" spans="1:37" x14ac:dyDescent="0.3">
      <c r="A129">
        <v>128</v>
      </c>
      <c r="B129">
        <v>77</v>
      </c>
      <c r="C129">
        <v>29.3843</v>
      </c>
      <c r="D129">
        <v>-19.672799999999999</v>
      </c>
      <c r="E129" t="s">
        <v>226</v>
      </c>
      <c r="F129" t="s">
        <v>228</v>
      </c>
      <c r="G129" t="s">
        <v>39</v>
      </c>
      <c r="H129">
        <v>1985</v>
      </c>
      <c r="I129">
        <v>18.5</v>
      </c>
      <c r="J129">
        <v>13.800000190734901</v>
      </c>
      <c r="K129">
        <v>56</v>
      </c>
      <c r="L129">
        <v>31.430000305175799</v>
      </c>
      <c r="M129">
        <v>29.5</v>
      </c>
      <c r="N129">
        <v>5.1999998092651403</v>
      </c>
      <c r="O129">
        <v>24.299999237060501</v>
      </c>
      <c r="P129">
        <v>21</v>
      </c>
      <c r="Q129">
        <v>13.8999996185303</v>
      </c>
      <c r="R129">
        <v>21.5</v>
      </c>
      <c r="S129">
        <v>13.8999996185303</v>
      </c>
      <c r="T129">
        <v>623</v>
      </c>
      <c r="U129">
        <v>140</v>
      </c>
      <c r="V129">
        <v>0</v>
      </c>
      <c r="W129">
        <v>105</v>
      </c>
      <c r="X129">
        <v>397</v>
      </c>
      <c r="Y129">
        <v>3</v>
      </c>
      <c r="Z129">
        <v>252</v>
      </c>
      <c r="AA129">
        <v>7</v>
      </c>
      <c r="AB129">
        <v>4.5440744707661302</v>
      </c>
      <c r="AC129">
        <v>0.51494916319065998</v>
      </c>
      <c r="AD129">
        <v>2.0728188811771302</v>
      </c>
      <c r="AE129">
        <v>0.19312785565853099</v>
      </c>
      <c r="AF129">
        <v>1310.42258064516</v>
      </c>
      <c r="AG129">
        <f>IFERROR(AH129*0.1, "N/A")</f>
        <v>6.4</v>
      </c>
      <c r="AH129">
        <v>64</v>
      </c>
      <c r="AI129">
        <v>162.576811365927</v>
      </c>
      <c r="AJ129">
        <v>28</v>
      </c>
      <c r="AK129">
        <v>56</v>
      </c>
    </row>
    <row r="130" spans="1:37" x14ac:dyDescent="0.3">
      <c r="A130">
        <v>129</v>
      </c>
      <c r="B130">
        <v>2</v>
      </c>
      <c r="C130">
        <v>31.653700000000001</v>
      </c>
      <c r="D130">
        <v>-19.639099000000002</v>
      </c>
      <c r="E130" t="s">
        <v>229</v>
      </c>
      <c r="F130" t="s">
        <v>230</v>
      </c>
      <c r="G130" t="s">
        <v>37</v>
      </c>
      <c r="H130">
        <v>1985</v>
      </c>
      <c r="I130">
        <v>19.5</v>
      </c>
      <c r="J130">
        <v>13.3999996185303</v>
      </c>
      <c r="K130">
        <v>57</v>
      </c>
      <c r="L130">
        <v>30.2399997711182</v>
      </c>
      <c r="M130">
        <v>30</v>
      </c>
      <c r="N130">
        <v>6.6999998092651403</v>
      </c>
      <c r="O130">
        <v>23.299999237060501</v>
      </c>
      <c r="P130">
        <v>22.100000381469702</v>
      </c>
      <c r="Q130">
        <v>15.1000003814697</v>
      </c>
      <c r="R130">
        <v>22.299999237060501</v>
      </c>
      <c r="S130">
        <v>15.1000003814697</v>
      </c>
      <c r="T130">
        <v>595</v>
      </c>
      <c r="U130">
        <v>145</v>
      </c>
      <c r="V130">
        <v>0</v>
      </c>
      <c r="W130">
        <v>101</v>
      </c>
      <c r="X130">
        <v>385</v>
      </c>
      <c r="Y130">
        <v>8</v>
      </c>
      <c r="Z130">
        <v>255</v>
      </c>
      <c r="AA130">
        <v>8</v>
      </c>
      <c r="AB130">
        <v>8.3079257157777207</v>
      </c>
      <c r="AC130">
        <v>9.4282012676551993E-2</v>
      </c>
      <c r="AD130">
        <v>1.3628516327198601</v>
      </c>
      <c r="AE130">
        <v>0.24849092500564199</v>
      </c>
      <c r="AF130">
        <v>1011.89983844911</v>
      </c>
      <c r="AG130">
        <f>IFERROR(AH130*0.1, "N/A")</f>
        <v>6.13537964458805</v>
      </c>
      <c r="AH130">
        <v>61.353796445880498</v>
      </c>
      <c r="AI130">
        <v>85.143170210386899</v>
      </c>
      <c r="AJ130">
        <v>12.676898222940199</v>
      </c>
      <c r="AK130">
        <v>78</v>
      </c>
    </row>
    <row r="131" spans="1:37" x14ac:dyDescent="0.3">
      <c r="A131">
        <v>130</v>
      </c>
      <c r="B131">
        <v>76</v>
      </c>
      <c r="C131">
        <v>31.653700000000001</v>
      </c>
      <c r="D131">
        <v>-19.639099000000002</v>
      </c>
      <c r="E131" t="s">
        <v>229</v>
      </c>
      <c r="F131" t="s">
        <v>231</v>
      </c>
      <c r="G131" t="s">
        <v>39</v>
      </c>
      <c r="H131">
        <v>1985</v>
      </c>
      <c r="I131">
        <v>19.5</v>
      </c>
      <c r="J131">
        <v>13.3999996185303</v>
      </c>
      <c r="K131">
        <v>57</v>
      </c>
      <c r="L131">
        <v>30.2399997711182</v>
      </c>
      <c r="M131">
        <v>30</v>
      </c>
      <c r="N131">
        <v>6.6999998092651403</v>
      </c>
      <c r="O131">
        <v>23.299999237060501</v>
      </c>
      <c r="P131">
        <v>22.100000381469702</v>
      </c>
      <c r="Q131">
        <v>15.1000003814697</v>
      </c>
      <c r="R131">
        <v>22.299999237060501</v>
      </c>
      <c r="S131">
        <v>15.1000003814697</v>
      </c>
      <c r="T131">
        <v>595</v>
      </c>
      <c r="U131">
        <v>145</v>
      </c>
      <c r="V131">
        <v>0</v>
      </c>
      <c r="W131">
        <v>101</v>
      </c>
      <c r="X131">
        <v>385</v>
      </c>
      <c r="Y131">
        <v>8</v>
      </c>
      <c r="Z131">
        <v>255</v>
      </c>
      <c r="AA131">
        <v>8</v>
      </c>
      <c r="AB131">
        <v>8.3079257157777207</v>
      </c>
      <c r="AC131">
        <v>9.4282012676551993E-2</v>
      </c>
      <c r="AD131">
        <v>1.3628516327198601</v>
      </c>
      <c r="AE131">
        <v>0.24849092500564199</v>
      </c>
      <c r="AF131">
        <v>1011.89983844911</v>
      </c>
      <c r="AG131">
        <f>IFERROR(AH131*0.1, "N/A")</f>
        <v>6.13537964458805</v>
      </c>
      <c r="AH131">
        <v>61.353796445880498</v>
      </c>
      <c r="AI131">
        <v>85.143170210386899</v>
      </c>
      <c r="AJ131">
        <v>12.676898222940199</v>
      </c>
      <c r="AK131">
        <v>78</v>
      </c>
    </row>
    <row r="132" spans="1:37" x14ac:dyDescent="0.3">
      <c r="A132">
        <v>131</v>
      </c>
      <c r="B132">
        <v>15</v>
      </c>
      <c r="C132">
        <v>32.635201000000002</v>
      </c>
      <c r="D132">
        <v>-19.6066</v>
      </c>
      <c r="E132" t="s">
        <v>232</v>
      </c>
      <c r="F132" t="s">
        <v>233</v>
      </c>
      <c r="G132" t="s">
        <v>37</v>
      </c>
      <c r="H132">
        <v>1985</v>
      </c>
      <c r="I132">
        <v>18.899999618530298</v>
      </c>
      <c r="J132">
        <v>12.5</v>
      </c>
      <c r="K132">
        <v>58</v>
      </c>
      <c r="L132">
        <v>29.4899997711182</v>
      </c>
      <c r="M132">
        <v>28.5</v>
      </c>
      <c r="N132">
        <v>7</v>
      </c>
      <c r="O132">
        <v>21.5</v>
      </c>
      <c r="P132">
        <v>21.5</v>
      </c>
      <c r="Q132">
        <v>14.5</v>
      </c>
      <c r="R132">
        <v>21.600000381469702</v>
      </c>
      <c r="S132">
        <v>14.5</v>
      </c>
      <c r="T132">
        <v>729</v>
      </c>
      <c r="U132">
        <v>165</v>
      </c>
      <c r="V132">
        <v>4</v>
      </c>
      <c r="W132">
        <v>97</v>
      </c>
      <c r="X132">
        <v>456</v>
      </c>
      <c r="Y132">
        <v>21</v>
      </c>
      <c r="Z132">
        <v>276</v>
      </c>
      <c r="AA132">
        <v>21</v>
      </c>
      <c r="AB132">
        <v>11.220432840491601</v>
      </c>
      <c r="AC132">
        <v>0.19176826002331199</v>
      </c>
      <c r="AD132">
        <v>6.3665273287446</v>
      </c>
      <c r="AE132">
        <v>0.23591411113739</v>
      </c>
      <c r="AF132">
        <v>1069.2995169082101</v>
      </c>
      <c r="AG132">
        <f>IFERROR(AH132*0.1, "N/A")</f>
        <v>5.6954911433172306</v>
      </c>
      <c r="AH132">
        <v>56.954911433172299</v>
      </c>
      <c r="AI132">
        <v>294.66999836551599</v>
      </c>
      <c r="AJ132">
        <v>30.618357487922701</v>
      </c>
      <c r="AK132">
        <v>54.838969404186798</v>
      </c>
    </row>
    <row r="133" spans="1:37" x14ac:dyDescent="0.3">
      <c r="A133">
        <v>132</v>
      </c>
      <c r="B133">
        <v>19</v>
      </c>
      <c r="C133">
        <v>32.635201000000002</v>
      </c>
      <c r="D133">
        <v>-19.6066</v>
      </c>
      <c r="E133" t="s">
        <v>232</v>
      </c>
      <c r="F133" t="s">
        <v>234</v>
      </c>
      <c r="G133" t="s">
        <v>39</v>
      </c>
      <c r="H133">
        <v>1985</v>
      </c>
      <c r="I133">
        <v>18.899999618530298</v>
      </c>
      <c r="J133">
        <v>12.5</v>
      </c>
      <c r="K133">
        <v>58</v>
      </c>
      <c r="L133">
        <v>29.4899997711182</v>
      </c>
      <c r="M133">
        <v>28.5</v>
      </c>
      <c r="N133">
        <v>7</v>
      </c>
      <c r="O133">
        <v>21.5</v>
      </c>
      <c r="P133">
        <v>21.5</v>
      </c>
      <c r="Q133">
        <v>14.5</v>
      </c>
      <c r="R133">
        <v>21.600000381469702</v>
      </c>
      <c r="S133">
        <v>14.5</v>
      </c>
      <c r="T133">
        <v>729</v>
      </c>
      <c r="U133">
        <v>165</v>
      </c>
      <c r="V133">
        <v>4</v>
      </c>
      <c r="W133">
        <v>97</v>
      </c>
      <c r="X133">
        <v>456</v>
      </c>
      <c r="Y133">
        <v>21</v>
      </c>
      <c r="Z133">
        <v>276</v>
      </c>
      <c r="AA133">
        <v>21</v>
      </c>
      <c r="AB133">
        <v>11.220432840491601</v>
      </c>
      <c r="AC133">
        <v>0.19176826002331199</v>
      </c>
      <c r="AD133">
        <v>6.3665273287446</v>
      </c>
      <c r="AE133">
        <v>0.23591411113739</v>
      </c>
      <c r="AF133">
        <v>1069.2995169082101</v>
      </c>
      <c r="AG133">
        <f>IFERROR(AH133*0.1, "N/A")</f>
        <v>5.6954911433172306</v>
      </c>
      <c r="AH133">
        <v>56.954911433172299</v>
      </c>
      <c r="AI133">
        <v>294.66999836551599</v>
      </c>
      <c r="AJ133">
        <v>30.618357487922701</v>
      </c>
      <c r="AK133">
        <v>54.838969404186798</v>
      </c>
    </row>
    <row r="134" spans="1:37" x14ac:dyDescent="0.3">
      <c r="A134">
        <v>133</v>
      </c>
      <c r="B134">
        <v>0</v>
      </c>
      <c r="C134">
        <v>29.841999000000001</v>
      </c>
      <c r="D134">
        <v>-19.565300000000001</v>
      </c>
      <c r="E134" t="s">
        <v>235</v>
      </c>
      <c r="F134" t="s">
        <v>236</v>
      </c>
      <c r="G134" t="s">
        <v>37</v>
      </c>
      <c r="H134">
        <v>1985</v>
      </c>
      <c r="I134">
        <v>18.2520193552932</v>
      </c>
      <c r="J134">
        <v>13.3999996185303</v>
      </c>
      <c r="K134">
        <v>56.479806138933803</v>
      </c>
      <c r="L134">
        <v>30.678885347430999</v>
      </c>
      <c r="M134">
        <v>29.052019584544801</v>
      </c>
      <c r="N134">
        <v>5.5</v>
      </c>
      <c r="O134">
        <v>23.552019584544801</v>
      </c>
      <c r="P134">
        <v>20.852018821605402</v>
      </c>
      <c r="Q134">
        <v>13.699999809265099</v>
      </c>
      <c r="R134">
        <v>21.152019966014599</v>
      </c>
      <c r="S134">
        <v>13.699999809265099</v>
      </c>
      <c r="T134">
        <v>725.27786752827103</v>
      </c>
      <c r="U134">
        <v>162.95961227786799</v>
      </c>
      <c r="V134">
        <v>1</v>
      </c>
      <c r="W134">
        <v>100.959612277868</v>
      </c>
      <c r="X134">
        <v>455.87883683360297</v>
      </c>
      <c r="Y134">
        <v>7</v>
      </c>
      <c r="Z134">
        <v>293.91922455573501</v>
      </c>
      <c r="AA134">
        <v>7</v>
      </c>
      <c r="AB134">
        <v>7.7025604001539802</v>
      </c>
      <c r="AC134">
        <v>0.199163266564441</v>
      </c>
      <c r="AD134">
        <v>3.0767684639559398</v>
      </c>
      <c r="AE134">
        <v>0.21130868792533899</v>
      </c>
      <c r="AF134">
        <v>1361.1696284329601</v>
      </c>
      <c r="AG134">
        <f>IFERROR(AH134*0.1, "N/A")</f>
        <v>6.1772213247172907</v>
      </c>
      <c r="AH134">
        <v>61.7722132471729</v>
      </c>
      <c r="AI134">
        <v>256.78500829644298</v>
      </c>
      <c r="AJ134">
        <v>21.788368336025901</v>
      </c>
      <c r="AK134">
        <v>64.736672051696303</v>
      </c>
    </row>
    <row r="135" spans="1:37" x14ac:dyDescent="0.3">
      <c r="A135">
        <v>134</v>
      </c>
      <c r="B135">
        <v>0</v>
      </c>
      <c r="C135">
        <v>29.841999000000001</v>
      </c>
      <c r="D135">
        <v>-19.565300000000001</v>
      </c>
      <c r="E135" t="s">
        <v>235</v>
      </c>
      <c r="F135" t="s">
        <v>237</v>
      </c>
      <c r="G135" t="s">
        <v>39</v>
      </c>
      <c r="H135">
        <v>1985</v>
      </c>
      <c r="I135">
        <v>18.2520193552932</v>
      </c>
      <c r="J135">
        <v>13.3999996185303</v>
      </c>
      <c r="K135">
        <v>56.479806138933803</v>
      </c>
      <c r="L135">
        <v>30.678885347430999</v>
      </c>
      <c r="M135">
        <v>29.052019584544801</v>
      </c>
      <c r="N135">
        <v>5.5</v>
      </c>
      <c r="O135">
        <v>23.552019584544801</v>
      </c>
      <c r="P135">
        <v>20.852018821605402</v>
      </c>
      <c r="Q135">
        <v>13.699999809265099</v>
      </c>
      <c r="R135">
        <v>21.152019966014599</v>
      </c>
      <c r="S135">
        <v>13.699999809265099</v>
      </c>
      <c r="T135">
        <v>725.27786752827103</v>
      </c>
      <c r="U135">
        <v>162.95961227786799</v>
      </c>
      <c r="V135">
        <v>1</v>
      </c>
      <c r="W135">
        <v>100.959612277868</v>
      </c>
      <c r="X135">
        <v>455.87883683360297</v>
      </c>
      <c r="Y135">
        <v>7</v>
      </c>
      <c r="Z135">
        <v>293.91922455573501</v>
      </c>
      <c r="AA135">
        <v>7</v>
      </c>
      <c r="AB135">
        <v>7.7025604001539802</v>
      </c>
      <c r="AC135">
        <v>0.199163266564441</v>
      </c>
      <c r="AD135">
        <v>3.0767684639559398</v>
      </c>
      <c r="AE135">
        <v>0.21130868792533899</v>
      </c>
      <c r="AF135">
        <v>1361.1696284329601</v>
      </c>
      <c r="AG135">
        <f>IFERROR(AH135*0.1, "N/A")</f>
        <v>6.1772213247172907</v>
      </c>
      <c r="AH135">
        <v>61.7722132471729</v>
      </c>
      <c r="AI135">
        <v>256.78500829644298</v>
      </c>
      <c r="AJ135">
        <v>21.788368336025901</v>
      </c>
      <c r="AK135">
        <v>64.736672051696303</v>
      </c>
    </row>
    <row r="136" spans="1:37" x14ac:dyDescent="0.3">
      <c r="A136">
        <v>135</v>
      </c>
      <c r="B136">
        <v>0</v>
      </c>
      <c r="C136">
        <v>29.543699</v>
      </c>
      <c r="D136">
        <v>-19.516898999999999</v>
      </c>
      <c r="E136" t="s">
        <v>238</v>
      </c>
      <c r="F136" t="s">
        <v>239</v>
      </c>
      <c r="G136" t="s">
        <v>37</v>
      </c>
      <c r="H136">
        <v>1985</v>
      </c>
      <c r="I136">
        <v>18.443597839949</v>
      </c>
      <c r="J136">
        <v>13.643598187105001</v>
      </c>
      <c r="K136">
        <v>56</v>
      </c>
      <c r="L136">
        <v>31.054845964502899</v>
      </c>
      <c r="M136">
        <v>29.543598221418701</v>
      </c>
      <c r="N136">
        <v>5.3435982042618697</v>
      </c>
      <c r="O136">
        <v>24.200000762939499</v>
      </c>
      <c r="P136">
        <v>20.899999618530298</v>
      </c>
      <c r="Q136">
        <v>13.8435979963701</v>
      </c>
      <c r="R136">
        <v>21.399999618530298</v>
      </c>
      <c r="S136">
        <v>13.8435979963701</v>
      </c>
      <c r="T136">
        <v>642.12803889789302</v>
      </c>
      <c r="U136">
        <v>147</v>
      </c>
      <c r="V136">
        <v>0</v>
      </c>
      <c r="W136">
        <v>104.56401944894699</v>
      </c>
      <c r="X136">
        <v>417.56401944894702</v>
      </c>
      <c r="Y136">
        <v>4</v>
      </c>
      <c r="Z136">
        <v>262</v>
      </c>
      <c r="AA136">
        <v>6.8200972447325796</v>
      </c>
      <c r="AB136">
        <v>3.1341718924103499</v>
      </c>
      <c r="AC136">
        <v>0.13495764112012501</v>
      </c>
      <c r="AD136">
        <v>1.12647721214851</v>
      </c>
      <c r="AE136">
        <v>0.193815842270851</v>
      </c>
      <c r="AF136">
        <v>1361.6645056726099</v>
      </c>
      <c r="AG136">
        <f>IFERROR(AH136*0.1, "N/A")</f>
        <v>6.3000000000000007</v>
      </c>
      <c r="AH136">
        <v>63</v>
      </c>
      <c r="AI136">
        <v>275.41168615999601</v>
      </c>
      <c r="AJ136">
        <v>22.432739059967599</v>
      </c>
      <c r="AK136">
        <v>66</v>
      </c>
    </row>
    <row r="137" spans="1:37" x14ac:dyDescent="0.3">
      <c r="A137">
        <v>136</v>
      </c>
      <c r="B137">
        <v>56</v>
      </c>
      <c r="C137">
        <v>29.543699</v>
      </c>
      <c r="D137">
        <v>-19.516898999999999</v>
      </c>
      <c r="E137" t="s">
        <v>238</v>
      </c>
      <c r="F137" t="s">
        <v>240</v>
      </c>
      <c r="G137" t="s">
        <v>39</v>
      </c>
      <c r="H137">
        <v>1985</v>
      </c>
      <c r="I137">
        <v>18.443597839949</v>
      </c>
      <c r="J137">
        <v>13.643598187105001</v>
      </c>
      <c r="K137">
        <v>56</v>
      </c>
      <c r="L137">
        <v>31.054845964502899</v>
      </c>
      <c r="M137">
        <v>29.543598221418701</v>
      </c>
      <c r="N137">
        <v>5.3435982042618697</v>
      </c>
      <c r="O137">
        <v>24.200000762939499</v>
      </c>
      <c r="P137">
        <v>20.899999618530298</v>
      </c>
      <c r="Q137">
        <v>13.8435979963701</v>
      </c>
      <c r="R137">
        <v>21.399999618530298</v>
      </c>
      <c r="S137">
        <v>13.8435979963701</v>
      </c>
      <c r="T137">
        <v>642.12803889789302</v>
      </c>
      <c r="U137">
        <v>147</v>
      </c>
      <c r="V137">
        <v>0</v>
      </c>
      <c r="W137">
        <v>104.56401944894699</v>
      </c>
      <c r="X137">
        <v>417.56401944894702</v>
      </c>
      <c r="Y137">
        <v>4</v>
      </c>
      <c r="Z137">
        <v>262</v>
      </c>
      <c r="AA137">
        <v>6.8200972447325796</v>
      </c>
      <c r="AB137">
        <v>3.1341718924103499</v>
      </c>
      <c r="AC137">
        <v>0.13495764112012501</v>
      </c>
      <c r="AD137">
        <v>1.12647721214851</v>
      </c>
      <c r="AE137">
        <v>0.193815842270851</v>
      </c>
      <c r="AF137">
        <v>1361.6645056726099</v>
      </c>
      <c r="AG137">
        <f>IFERROR(AH137*0.1, "N/A")</f>
        <v>6.3000000000000007</v>
      </c>
      <c r="AH137">
        <v>63</v>
      </c>
      <c r="AI137">
        <v>275.41168615999601</v>
      </c>
      <c r="AJ137">
        <v>22.432739059967599</v>
      </c>
      <c r="AK137">
        <v>66</v>
      </c>
    </row>
    <row r="138" spans="1:37" x14ac:dyDescent="0.3">
      <c r="A138">
        <v>137</v>
      </c>
      <c r="B138">
        <v>0</v>
      </c>
      <c r="C138">
        <v>31.744699000000001</v>
      </c>
      <c r="D138">
        <v>-19.453299999999999</v>
      </c>
      <c r="E138" t="s">
        <v>241</v>
      </c>
      <c r="F138" t="s">
        <v>242</v>
      </c>
      <c r="G138" t="s">
        <v>37</v>
      </c>
      <c r="H138">
        <v>1985</v>
      </c>
      <c r="I138">
        <v>19.5</v>
      </c>
      <c r="J138">
        <v>13.6000003814697</v>
      </c>
      <c r="K138">
        <v>57</v>
      </c>
      <c r="L138">
        <v>30.950000762939499</v>
      </c>
      <c r="M138">
        <v>30.100000381469702</v>
      </c>
      <c r="N138">
        <v>6.3000001907348597</v>
      </c>
      <c r="O138">
        <v>23.799999237060501</v>
      </c>
      <c r="P138">
        <v>22.100000381469702</v>
      </c>
      <c r="Q138">
        <v>14.8999996185303</v>
      </c>
      <c r="R138">
        <v>22.299999237060501</v>
      </c>
      <c r="S138">
        <v>14.8999996185303</v>
      </c>
      <c r="T138">
        <v>596</v>
      </c>
      <c r="U138">
        <v>147</v>
      </c>
      <c r="V138">
        <v>0</v>
      </c>
      <c r="W138">
        <v>100</v>
      </c>
      <c r="X138">
        <v>380</v>
      </c>
      <c r="Y138">
        <v>8</v>
      </c>
      <c r="Z138">
        <v>257</v>
      </c>
      <c r="AA138">
        <v>8</v>
      </c>
      <c r="AB138">
        <v>12.147167002442201</v>
      </c>
      <c r="AC138">
        <v>1.0389161059973E-2</v>
      </c>
      <c r="AD138">
        <v>1.55140792842058</v>
      </c>
      <c r="AE138">
        <v>0.27129042148590099</v>
      </c>
      <c r="AF138">
        <v>1014.04038772213</v>
      </c>
      <c r="AG138">
        <f>IFERROR(AH138*0.1, "N/A")</f>
        <v>6.4285945072697901</v>
      </c>
      <c r="AH138">
        <v>64.285945072697899</v>
      </c>
      <c r="AI138">
        <v>263.050196387271</v>
      </c>
      <c r="AJ138">
        <v>11</v>
      </c>
      <c r="AK138">
        <v>81</v>
      </c>
    </row>
    <row r="139" spans="1:37" x14ac:dyDescent="0.3">
      <c r="A139">
        <v>138</v>
      </c>
      <c r="B139">
        <v>42</v>
      </c>
      <c r="C139">
        <v>31.744699000000001</v>
      </c>
      <c r="D139">
        <v>-19.453299999999999</v>
      </c>
      <c r="E139" t="s">
        <v>241</v>
      </c>
      <c r="F139" t="s">
        <v>243</v>
      </c>
      <c r="G139" t="s">
        <v>39</v>
      </c>
      <c r="H139">
        <v>1985</v>
      </c>
      <c r="I139">
        <v>19.5</v>
      </c>
      <c r="J139">
        <v>13.6000003814697</v>
      </c>
      <c r="K139">
        <v>57</v>
      </c>
      <c r="L139">
        <v>30.950000762939499</v>
      </c>
      <c r="M139">
        <v>30.100000381469702</v>
      </c>
      <c r="N139">
        <v>6.3000001907348597</v>
      </c>
      <c r="O139">
        <v>23.799999237060501</v>
      </c>
      <c r="P139">
        <v>22.100000381469702</v>
      </c>
      <c r="Q139">
        <v>14.8999996185303</v>
      </c>
      <c r="R139">
        <v>22.299999237060501</v>
      </c>
      <c r="S139">
        <v>14.8999996185303</v>
      </c>
      <c r="T139">
        <v>596</v>
      </c>
      <c r="U139">
        <v>147</v>
      </c>
      <c r="V139">
        <v>0</v>
      </c>
      <c r="W139">
        <v>100</v>
      </c>
      <c r="X139">
        <v>380</v>
      </c>
      <c r="Y139">
        <v>8</v>
      </c>
      <c r="Z139">
        <v>257</v>
      </c>
      <c r="AA139">
        <v>8</v>
      </c>
      <c r="AB139">
        <v>12.147167002442201</v>
      </c>
      <c r="AC139">
        <v>1.0389161059973E-2</v>
      </c>
      <c r="AD139">
        <v>1.55140792842058</v>
      </c>
      <c r="AE139">
        <v>0.27129042148590099</v>
      </c>
      <c r="AF139">
        <v>1014.04038772213</v>
      </c>
      <c r="AG139">
        <f>IFERROR(AH139*0.1, "N/A")</f>
        <v>6.4285945072697901</v>
      </c>
      <c r="AH139">
        <v>64.285945072697899</v>
      </c>
      <c r="AI139">
        <v>263.050196387271</v>
      </c>
      <c r="AJ139">
        <v>11</v>
      </c>
      <c r="AK139">
        <v>81</v>
      </c>
    </row>
    <row r="140" spans="1:37" x14ac:dyDescent="0.3">
      <c r="A140">
        <v>139</v>
      </c>
      <c r="B140">
        <v>0</v>
      </c>
      <c r="C140">
        <v>32.431300999999998</v>
      </c>
      <c r="D140">
        <v>-19.423200999999999</v>
      </c>
      <c r="E140" t="s">
        <v>244</v>
      </c>
      <c r="F140" t="s">
        <v>245</v>
      </c>
      <c r="G140" t="s">
        <v>37</v>
      </c>
      <c r="H140">
        <v>1985</v>
      </c>
      <c r="I140">
        <v>20.399999618530298</v>
      </c>
      <c r="J140">
        <v>14.300000190734901</v>
      </c>
      <c r="K140">
        <v>59</v>
      </c>
      <c r="L140">
        <v>30.610000610351602</v>
      </c>
      <c r="M140">
        <v>30.799999237060501</v>
      </c>
      <c r="N140">
        <v>6.9000000953674299</v>
      </c>
      <c r="O140">
        <v>23.899999618530298</v>
      </c>
      <c r="P140">
        <v>23.100000381469702</v>
      </c>
      <c r="Q140">
        <v>15.800000190734901</v>
      </c>
      <c r="R140">
        <v>23.100000381469702</v>
      </c>
      <c r="S140">
        <v>15.800000190734901</v>
      </c>
      <c r="T140">
        <v>584</v>
      </c>
      <c r="U140">
        <v>134</v>
      </c>
      <c r="V140">
        <v>2</v>
      </c>
      <c r="W140">
        <v>101</v>
      </c>
      <c r="X140">
        <v>376</v>
      </c>
      <c r="Y140">
        <v>10</v>
      </c>
      <c r="Z140">
        <v>345</v>
      </c>
      <c r="AA140">
        <v>10</v>
      </c>
      <c r="AB140">
        <v>58.597567901857801</v>
      </c>
      <c r="AC140">
        <v>2.7079403680268999E-2</v>
      </c>
      <c r="AD140">
        <v>8.0035828234498396</v>
      </c>
      <c r="AE140">
        <v>0.26067590275373098</v>
      </c>
      <c r="AF140">
        <v>798.82229402261703</v>
      </c>
      <c r="AG140">
        <f>IFERROR(AH140*0.1, "N/A")</f>
        <v>6.3431340872374804</v>
      </c>
      <c r="AH140">
        <v>63.431340872374797</v>
      </c>
      <c r="AI140">
        <v>132.83566819100099</v>
      </c>
      <c r="AJ140">
        <v>12.5395799676898</v>
      </c>
      <c r="AK140">
        <v>78.134087237479804</v>
      </c>
    </row>
    <row r="141" spans="1:37" x14ac:dyDescent="0.3">
      <c r="A141">
        <v>140</v>
      </c>
      <c r="B141">
        <v>24</v>
      </c>
      <c r="C141">
        <v>32.431300999999998</v>
      </c>
      <c r="D141">
        <v>-19.423200999999999</v>
      </c>
      <c r="E141" t="s">
        <v>244</v>
      </c>
      <c r="F141" t="s">
        <v>246</v>
      </c>
      <c r="G141" t="s">
        <v>39</v>
      </c>
      <c r="H141">
        <v>1985</v>
      </c>
      <c r="I141">
        <v>20.399999618530298</v>
      </c>
      <c r="J141">
        <v>14.300000190734901</v>
      </c>
      <c r="K141">
        <v>59</v>
      </c>
      <c r="L141">
        <v>30.610000610351602</v>
      </c>
      <c r="M141">
        <v>30.799999237060501</v>
      </c>
      <c r="N141">
        <v>6.9000000953674299</v>
      </c>
      <c r="O141">
        <v>23.899999618530298</v>
      </c>
      <c r="P141">
        <v>23.100000381469702</v>
      </c>
      <c r="Q141">
        <v>15.800000190734901</v>
      </c>
      <c r="R141">
        <v>23.100000381469702</v>
      </c>
      <c r="S141">
        <v>15.800000190734901</v>
      </c>
      <c r="T141">
        <v>584</v>
      </c>
      <c r="U141">
        <v>134</v>
      </c>
      <c r="V141">
        <v>2</v>
      </c>
      <c r="W141">
        <v>101</v>
      </c>
      <c r="X141">
        <v>376</v>
      </c>
      <c r="Y141">
        <v>10</v>
      </c>
      <c r="Z141">
        <v>345</v>
      </c>
      <c r="AA141">
        <v>10</v>
      </c>
      <c r="AB141">
        <v>58.597567901857801</v>
      </c>
      <c r="AC141">
        <v>2.7079403680268999E-2</v>
      </c>
      <c r="AD141">
        <v>8.0035828234498396</v>
      </c>
      <c r="AE141">
        <v>0.26067590275373098</v>
      </c>
      <c r="AF141">
        <v>798.82229402261703</v>
      </c>
      <c r="AG141">
        <f>IFERROR(AH141*0.1, "N/A")</f>
        <v>6.3431340872374804</v>
      </c>
      <c r="AH141">
        <v>63.431340872374797</v>
      </c>
      <c r="AI141">
        <v>132.83566819100099</v>
      </c>
      <c r="AJ141">
        <v>12.5395799676898</v>
      </c>
      <c r="AK141">
        <v>78.134087237479804</v>
      </c>
    </row>
    <row r="142" spans="1:37" x14ac:dyDescent="0.3">
      <c r="A142">
        <v>141</v>
      </c>
      <c r="B142">
        <v>4</v>
      </c>
      <c r="C142">
        <v>31.320601</v>
      </c>
      <c r="D142">
        <v>-19.408701000000001</v>
      </c>
      <c r="E142" t="s">
        <v>247</v>
      </c>
      <c r="F142" t="s">
        <v>248</v>
      </c>
      <c r="G142" t="s">
        <v>37</v>
      </c>
      <c r="H142">
        <v>1985</v>
      </c>
      <c r="I142">
        <v>18.700000762939499</v>
      </c>
      <c r="J142">
        <v>12.699999809265099</v>
      </c>
      <c r="K142">
        <v>57</v>
      </c>
      <c r="L142">
        <v>29.517828268981599</v>
      </c>
      <c r="M142">
        <v>28.691086628448598</v>
      </c>
      <c r="N142">
        <v>6.5910858126474903</v>
      </c>
      <c r="O142">
        <v>22.100000381469702</v>
      </c>
      <c r="P142">
        <v>21.299999237060501</v>
      </c>
      <c r="Q142">
        <v>16.100000381469702</v>
      </c>
      <c r="R142">
        <v>21.399999618530298</v>
      </c>
      <c r="S142">
        <v>14.391085569050899</v>
      </c>
      <c r="T142">
        <v>678.80226904376002</v>
      </c>
      <c r="U142">
        <v>163.178282009724</v>
      </c>
      <c r="V142">
        <v>1</v>
      </c>
      <c r="W142">
        <v>101</v>
      </c>
      <c r="X142">
        <v>436.53484602917302</v>
      </c>
      <c r="Y142">
        <v>9</v>
      </c>
      <c r="Z142">
        <v>285.267423014587</v>
      </c>
      <c r="AA142">
        <v>10</v>
      </c>
      <c r="AB142">
        <v>32.5299984330683</v>
      </c>
      <c r="AC142">
        <v>1.0085557354991E-2</v>
      </c>
      <c r="AD142">
        <v>1.89065359844381</v>
      </c>
      <c r="AE142">
        <v>0.24224393069744099</v>
      </c>
      <c r="AF142">
        <v>1240.5899513776301</v>
      </c>
      <c r="AG142">
        <f>IFERROR(AH142*0.1, "N/A")</f>
        <v>5.8350081037277199</v>
      </c>
      <c r="AH142">
        <v>58.350081037277199</v>
      </c>
      <c r="AI142">
        <v>143.419067753772</v>
      </c>
      <c r="AJ142">
        <v>13.1912479740681</v>
      </c>
      <c r="AK142">
        <v>77.541329011345198</v>
      </c>
    </row>
    <row r="143" spans="1:37" x14ac:dyDescent="0.3">
      <c r="A143">
        <v>142</v>
      </c>
      <c r="B143">
        <v>56</v>
      </c>
      <c r="C143">
        <v>31.320601</v>
      </c>
      <c r="D143">
        <v>-19.408701000000001</v>
      </c>
      <c r="E143" t="s">
        <v>247</v>
      </c>
      <c r="F143" t="s">
        <v>249</v>
      </c>
      <c r="G143" t="s">
        <v>39</v>
      </c>
      <c r="H143">
        <v>1985</v>
      </c>
      <c r="I143">
        <v>18.700000762939499</v>
      </c>
      <c r="J143">
        <v>12.699999809265099</v>
      </c>
      <c r="K143">
        <v>57</v>
      </c>
      <c r="L143">
        <v>29.517828268981599</v>
      </c>
      <c r="M143">
        <v>28.691086628448598</v>
      </c>
      <c r="N143">
        <v>6.5910858126474903</v>
      </c>
      <c r="O143">
        <v>22.100000381469702</v>
      </c>
      <c r="P143">
        <v>21.299999237060501</v>
      </c>
      <c r="Q143">
        <v>16.100000381469702</v>
      </c>
      <c r="R143">
        <v>21.399999618530298</v>
      </c>
      <c r="S143">
        <v>14.391085569050899</v>
      </c>
      <c r="T143">
        <v>678.80226904376002</v>
      </c>
      <c r="U143">
        <v>163.178282009724</v>
      </c>
      <c r="V143">
        <v>1</v>
      </c>
      <c r="W143">
        <v>101</v>
      </c>
      <c r="X143">
        <v>436.53484602917302</v>
      </c>
      <c r="Y143">
        <v>9</v>
      </c>
      <c r="Z143">
        <v>285.267423014587</v>
      </c>
      <c r="AA143">
        <v>10</v>
      </c>
      <c r="AB143">
        <v>32.5299984330683</v>
      </c>
      <c r="AC143">
        <v>1.0085557354991E-2</v>
      </c>
      <c r="AD143">
        <v>1.89065359844381</v>
      </c>
      <c r="AE143">
        <v>0.24224393069744099</v>
      </c>
      <c r="AF143">
        <v>1240.5899513776301</v>
      </c>
      <c r="AG143">
        <f>IFERROR(AH143*0.1, "N/A")</f>
        <v>5.8350081037277199</v>
      </c>
      <c r="AH143">
        <v>58.350081037277199</v>
      </c>
      <c r="AI143">
        <v>143.419067753772</v>
      </c>
      <c r="AJ143">
        <v>13.1912479740681</v>
      </c>
      <c r="AK143">
        <v>77.541329011345198</v>
      </c>
    </row>
    <row r="144" spans="1:37" x14ac:dyDescent="0.3">
      <c r="A144">
        <v>143</v>
      </c>
      <c r="B144">
        <v>1</v>
      </c>
      <c r="C144">
        <v>28.440999999999999</v>
      </c>
      <c r="D144">
        <v>-19.394898999999999</v>
      </c>
      <c r="E144" t="s">
        <v>250</v>
      </c>
      <c r="F144" t="s">
        <v>251</v>
      </c>
      <c r="G144" t="s">
        <v>37</v>
      </c>
      <c r="H144">
        <v>1985</v>
      </c>
      <c r="I144">
        <v>20.100000381469702</v>
      </c>
      <c r="J144">
        <v>15.3999996185303</v>
      </c>
      <c r="K144">
        <v>57</v>
      </c>
      <c r="L144">
        <v>32.998055060833401</v>
      </c>
      <c r="M144">
        <v>32.099998474121101</v>
      </c>
      <c r="N144">
        <v>5.4000000953674299</v>
      </c>
      <c r="O144">
        <v>26.700000762939499</v>
      </c>
      <c r="P144">
        <v>22.600000381469702</v>
      </c>
      <c r="Q144">
        <v>15.300000190734901</v>
      </c>
      <c r="R144">
        <v>23.299999237060501</v>
      </c>
      <c r="S144">
        <v>15.199999809265099</v>
      </c>
      <c r="T144">
        <v>604.902755267423</v>
      </c>
      <c r="U144">
        <v>139</v>
      </c>
      <c r="V144">
        <v>0</v>
      </c>
      <c r="W144">
        <v>103.902755267423</v>
      </c>
      <c r="X144">
        <v>388</v>
      </c>
      <c r="Y144">
        <v>1</v>
      </c>
      <c r="Z144">
        <v>240</v>
      </c>
      <c r="AA144">
        <v>6</v>
      </c>
      <c r="AB144">
        <v>15.7317689867808</v>
      </c>
      <c r="AC144">
        <v>9.3668708532470002E-3</v>
      </c>
      <c r="AD144">
        <v>1.1881170211966601</v>
      </c>
      <c r="AE144">
        <v>0.44593631458050598</v>
      </c>
      <c r="AF144">
        <v>1122.8816855753601</v>
      </c>
      <c r="AG144">
        <f>IFERROR(AH144*0.1, "N/A")</f>
        <v>6.1705024311183108</v>
      </c>
      <c r="AH144">
        <v>61.705024311183102</v>
      </c>
      <c r="AI144">
        <v>97.150408641252596</v>
      </c>
      <c r="AJ144">
        <v>16.784440842787699</v>
      </c>
      <c r="AK144">
        <v>72.197730956239894</v>
      </c>
    </row>
    <row r="145" spans="1:37" x14ac:dyDescent="0.3">
      <c r="A145">
        <v>144</v>
      </c>
      <c r="B145">
        <v>3</v>
      </c>
      <c r="C145">
        <v>28.440999999999999</v>
      </c>
      <c r="D145">
        <v>-19.394898999999999</v>
      </c>
      <c r="E145" t="s">
        <v>250</v>
      </c>
      <c r="F145" t="s">
        <v>252</v>
      </c>
      <c r="G145" t="s">
        <v>39</v>
      </c>
      <c r="H145">
        <v>1985</v>
      </c>
      <c r="I145">
        <v>20.100000381469702</v>
      </c>
      <c r="J145">
        <v>15.3999996185303</v>
      </c>
      <c r="K145">
        <v>57</v>
      </c>
      <c r="L145">
        <v>32.998055060833401</v>
      </c>
      <c r="M145">
        <v>32.099998474121101</v>
      </c>
      <c r="N145">
        <v>5.4000000953674299</v>
      </c>
      <c r="O145">
        <v>26.700000762939499</v>
      </c>
      <c r="P145">
        <v>22.600000381469702</v>
      </c>
      <c r="Q145">
        <v>15.300000190734901</v>
      </c>
      <c r="R145">
        <v>23.299999237060501</v>
      </c>
      <c r="S145">
        <v>15.199999809265099</v>
      </c>
      <c r="T145">
        <v>604.902755267423</v>
      </c>
      <c r="U145">
        <v>139</v>
      </c>
      <c r="V145">
        <v>0</v>
      </c>
      <c r="W145">
        <v>103.902755267423</v>
      </c>
      <c r="X145">
        <v>388</v>
      </c>
      <c r="Y145">
        <v>1</v>
      </c>
      <c r="Z145">
        <v>240</v>
      </c>
      <c r="AA145">
        <v>6</v>
      </c>
      <c r="AB145">
        <v>15.7317689867808</v>
      </c>
      <c r="AC145">
        <v>9.3668708532470002E-3</v>
      </c>
      <c r="AD145">
        <v>1.1881170211966601</v>
      </c>
      <c r="AE145">
        <v>0.44593631458050598</v>
      </c>
      <c r="AF145">
        <v>1122.8816855753601</v>
      </c>
      <c r="AG145">
        <f>IFERROR(AH145*0.1, "N/A")</f>
        <v>6.1705024311183108</v>
      </c>
      <c r="AH145">
        <v>61.705024311183102</v>
      </c>
      <c r="AI145">
        <v>97.150408641252596</v>
      </c>
      <c r="AJ145">
        <v>16.784440842787699</v>
      </c>
      <c r="AK145">
        <v>72.197730956239894</v>
      </c>
    </row>
    <row r="146" spans="1:37" x14ac:dyDescent="0.3">
      <c r="A146">
        <v>145</v>
      </c>
      <c r="B146">
        <v>2</v>
      </c>
      <c r="C146">
        <v>29.929300000000001</v>
      </c>
      <c r="D146">
        <v>-19.238899</v>
      </c>
      <c r="E146" t="s">
        <v>253</v>
      </c>
      <c r="F146" t="s">
        <v>254</v>
      </c>
      <c r="G146" t="s">
        <v>37</v>
      </c>
      <c r="H146">
        <v>1985</v>
      </c>
      <c r="I146">
        <v>18.700000762939499</v>
      </c>
      <c r="J146">
        <v>14</v>
      </c>
      <c r="K146">
        <v>57</v>
      </c>
      <c r="L146">
        <v>30.25</v>
      </c>
      <c r="M146">
        <v>30</v>
      </c>
      <c r="N146">
        <v>5.5</v>
      </c>
      <c r="O146">
        <v>24.5</v>
      </c>
      <c r="P146">
        <v>21.100000381469702</v>
      </c>
      <c r="Q146">
        <v>14.300000190734901</v>
      </c>
      <c r="R146">
        <v>21.600000381469702</v>
      </c>
      <c r="S146">
        <v>14.300000190734901</v>
      </c>
      <c r="T146">
        <v>652</v>
      </c>
      <c r="U146">
        <v>149</v>
      </c>
      <c r="V146">
        <v>0</v>
      </c>
      <c r="W146">
        <v>104</v>
      </c>
      <c r="X146">
        <v>422</v>
      </c>
      <c r="Y146">
        <v>5</v>
      </c>
      <c r="Z146">
        <v>266</v>
      </c>
      <c r="AA146">
        <v>5</v>
      </c>
      <c r="AB146">
        <v>16.864124843052501</v>
      </c>
      <c r="AC146">
        <v>2.2257429532489E-2</v>
      </c>
      <c r="AD146">
        <v>1.46805393840973</v>
      </c>
      <c r="AE146">
        <v>0.31975328922271701</v>
      </c>
      <c r="AF146">
        <v>1298.7321428571399</v>
      </c>
      <c r="AG146">
        <f>IFERROR(AH146*0.1, "N/A")</f>
        <v>6.5245129870129901</v>
      </c>
      <c r="AH146">
        <v>65.245129870129901</v>
      </c>
      <c r="AI146">
        <v>183.54202114451999</v>
      </c>
      <c r="AJ146">
        <v>23.5146103896104</v>
      </c>
      <c r="AK146">
        <v>64.657467532467507</v>
      </c>
    </row>
    <row r="147" spans="1:37" x14ac:dyDescent="0.3">
      <c r="A147">
        <v>146</v>
      </c>
      <c r="B147">
        <v>37</v>
      </c>
      <c r="C147">
        <v>29.929300000000001</v>
      </c>
      <c r="D147">
        <v>-19.238899</v>
      </c>
      <c r="E147" t="s">
        <v>253</v>
      </c>
      <c r="F147" t="s">
        <v>255</v>
      </c>
      <c r="G147" t="s">
        <v>39</v>
      </c>
      <c r="H147">
        <v>1985</v>
      </c>
      <c r="I147">
        <v>18.700000762939499</v>
      </c>
      <c r="J147">
        <v>14</v>
      </c>
      <c r="K147">
        <v>57</v>
      </c>
      <c r="L147">
        <v>30.25</v>
      </c>
      <c r="M147">
        <v>30</v>
      </c>
      <c r="N147">
        <v>5.5</v>
      </c>
      <c r="O147">
        <v>24.5</v>
      </c>
      <c r="P147">
        <v>21.100000381469702</v>
      </c>
      <c r="Q147">
        <v>14.300000190734901</v>
      </c>
      <c r="R147">
        <v>21.600000381469702</v>
      </c>
      <c r="S147">
        <v>14.300000190734901</v>
      </c>
      <c r="T147">
        <v>652</v>
      </c>
      <c r="U147">
        <v>149</v>
      </c>
      <c r="V147">
        <v>0</v>
      </c>
      <c r="W147">
        <v>104</v>
      </c>
      <c r="X147">
        <v>422</v>
      </c>
      <c r="Y147">
        <v>5</v>
      </c>
      <c r="Z147">
        <v>266</v>
      </c>
      <c r="AA147">
        <v>5</v>
      </c>
      <c r="AB147">
        <v>16.864124843052501</v>
      </c>
      <c r="AC147">
        <v>2.2257429532489E-2</v>
      </c>
      <c r="AD147">
        <v>1.46805393840973</v>
      </c>
      <c r="AE147">
        <v>0.31975328922271701</v>
      </c>
      <c r="AF147">
        <v>1298.7321428571399</v>
      </c>
      <c r="AG147">
        <f>IFERROR(AH147*0.1, "N/A")</f>
        <v>6.5245129870129901</v>
      </c>
      <c r="AH147">
        <v>65.245129870129901</v>
      </c>
      <c r="AI147">
        <v>183.54202114451999</v>
      </c>
      <c r="AJ147">
        <v>23.5146103896104</v>
      </c>
      <c r="AK147">
        <v>64.657467532467507</v>
      </c>
    </row>
    <row r="148" spans="1:37" x14ac:dyDescent="0.3">
      <c r="A148">
        <v>147</v>
      </c>
      <c r="B148">
        <v>2</v>
      </c>
      <c r="C148">
        <v>32.728000999999999</v>
      </c>
      <c r="D148">
        <v>-19.181601000000001</v>
      </c>
      <c r="E148" t="s">
        <v>256</v>
      </c>
      <c r="F148" t="s">
        <v>257</v>
      </c>
      <c r="G148" t="s">
        <v>37</v>
      </c>
      <c r="H148">
        <v>1985</v>
      </c>
      <c r="I148">
        <v>17.5</v>
      </c>
      <c r="J148">
        <v>10.699999809265099</v>
      </c>
      <c r="K148">
        <v>56</v>
      </c>
      <c r="L148">
        <v>28.690000534057599</v>
      </c>
      <c r="M148">
        <v>26.100000381469702</v>
      </c>
      <c r="N148">
        <v>7</v>
      </c>
      <c r="O148">
        <v>19.100000381469702</v>
      </c>
      <c r="P148">
        <v>20.100000381469702</v>
      </c>
      <c r="Q148">
        <v>14.6000003814697</v>
      </c>
      <c r="R148">
        <v>20.100000381469702</v>
      </c>
      <c r="S148">
        <v>13.199999809265099</v>
      </c>
      <c r="T148">
        <v>1067</v>
      </c>
      <c r="U148">
        <v>244</v>
      </c>
      <c r="V148">
        <v>10</v>
      </c>
      <c r="W148">
        <v>94</v>
      </c>
      <c r="X148">
        <v>660</v>
      </c>
      <c r="Y148">
        <v>41</v>
      </c>
      <c r="Z148">
        <v>660</v>
      </c>
      <c r="AA148">
        <v>42</v>
      </c>
      <c r="AB148">
        <v>328.96363084910399</v>
      </c>
      <c r="AC148">
        <v>2.6338688414363001E-2</v>
      </c>
      <c r="AD148">
        <v>15.4911009424327</v>
      </c>
      <c r="AE148">
        <v>0.24678817391395599</v>
      </c>
      <c r="AF148">
        <v>1278.8592233009699</v>
      </c>
      <c r="AG148">
        <f>IFERROR(AH148*0.1, "N/A")</f>
        <v>5.4364077669902899</v>
      </c>
      <c r="AH148">
        <v>54.364077669902898</v>
      </c>
      <c r="AI148">
        <v>130.78405244450701</v>
      </c>
      <c r="AJ148">
        <v>33.525889967637497</v>
      </c>
      <c r="AK148">
        <v>42.503236245954703</v>
      </c>
    </row>
    <row r="149" spans="1:37" x14ac:dyDescent="0.3">
      <c r="A149">
        <v>148</v>
      </c>
      <c r="B149">
        <v>9</v>
      </c>
      <c r="C149">
        <v>32.728000999999999</v>
      </c>
      <c r="D149">
        <v>-19.181601000000001</v>
      </c>
      <c r="E149" t="s">
        <v>256</v>
      </c>
      <c r="F149" t="s">
        <v>258</v>
      </c>
      <c r="G149" t="s">
        <v>39</v>
      </c>
      <c r="H149">
        <v>1985</v>
      </c>
      <c r="I149">
        <v>17.5</v>
      </c>
      <c r="J149">
        <v>10.699999809265099</v>
      </c>
      <c r="K149">
        <v>56</v>
      </c>
      <c r="L149">
        <v>28.690000534057599</v>
      </c>
      <c r="M149">
        <v>26.100000381469702</v>
      </c>
      <c r="N149">
        <v>7</v>
      </c>
      <c r="O149">
        <v>19.100000381469702</v>
      </c>
      <c r="P149">
        <v>20.100000381469702</v>
      </c>
      <c r="Q149">
        <v>14.6000003814697</v>
      </c>
      <c r="R149">
        <v>20.100000381469702</v>
      </c>
      <c r="S149">
        <v>13.199999809265099</v>
      </c>
      <c r="T149">
        <v>1067</v>
      </c>
      <c r="U149">
        <v>244</v>
      </c>
      <c r="V149">
        <v>10</v>
      </c>
      <c r="W149">
        <v>94</v>
      </c>
      <c r="X149">
        <v>660</v>
      </c>
      <c r="Y149">
        <v>41</v>
      </c>
      <c r="Z149">
        <v>660</v>
      </c>
      <c r="AA149">
        <v>42</v>
      </c>
      <c r="AB149">
        <v>328.96363084910399</v>
      </c>
      <c r="AC149">
        <v>2.6338688414363001E-2</v>
      </c>
      <c r="AD149">
        <v>15.4911009424327</v>
      </c>
      <c r="AE149">
        <v>0.24678817391395599</v>
      </c>
      <c r="AF149">
        <v>1278.8592233009699</v>
      </c>
      <c r="AG149">
        <f>IFERROR(AH149*0.1, "N/A")</f>
        <v>5.4364077669902899</v>
      </c>
      <c r="AH149">
        <v>54.364077669902898</v>
      </c>
      <c r="AI149">
        <v>130.78405244450701</v>
      </c>
      <c r="AJ149">
        <v>33.525889967637497</v>
      </c>
      <c r="AK149">
        <v>42.503236245954703</v>
      </c>
    </row>
    <row r="150" spans="1:37" x14ac:dyDescent="0.3">
      <c r="A150">
        <v>149</v>
      </c>
      <c r="B150">
        <v>3</v>
      </c>
      <c r="C150">
        <v>30.725300000000001</v>
      </c>
      <c r="D150">
        <v>-19.167100999999999</v>
      </c>
      <c r="E150" t="s">
        <v>259</v>
      </c>
      <c r="F150" t="s">
        <v>260</v>
      </c>
      <c r="G150" t="s">
        <v>37</v>
      </c>
      <c r="H150">
        <v>1985</v>
      </c>
      <c r="I150">
        <v>18.1306325890836</v>
      </c>
      <c r="J150">
        <v>13.4306318261442</v>
      </c>
      <c r="K150">
        <v>58</v>
      </c>
      <c r="L150">
        <v>29.359044221850201</v>
      </c>
      <c r="M150">
        <v>28.6306325890836</v>
      </c>
      <c r="N150">
        <v>5.5</v>
      </c>
      <c r="O150">
        <v>23.1306325890836</v>
      </c>
      <c r="P150">
        <v>20.600000381469702</v>
      </c>
      <c r="Q150">
        <v>13.793355108659901</v>
      </c>
      <c r="R150">
        <v>20.79335428173</v>
      </c>
      <c r="S150">
        <v>13.793355108659901</v>
      </c>
      <c r="T150">
        <v>685</v>
      </c>
      <c r="U150">
        <v>163.066450567261</v>
      </c>
      <c r="V150">
        <v>0</v>
      </c>
      <c r="W150">
        <v>104</v>
      </c>
      <c r="X150">
        <v>444.06645056726097</v>
      </c>
      <c r="Y150">
        <v>7</v>
      </c>
      <c r="Z150">
        <v>293.06645056726097</v>
      </c>
      <c r="AA150">
        <v>7</v>
      </c>
      <c r="AB150">
        <v>7.7508980180687796</v>
      </c>
      <c r="AC150">
        <v>1.1370882613817E-2</v>
      </c>
      <c r="AD150">
        <v>1.28948365009391</v>
      </c>
      <c r="AE150">
        <v>0.20435042679309801</v>
      </c>
      <c r="AF150">
        <v>1361.1604538087499</v>
      </c>
      <c r="AG150">
        <f>IFERROR(AH150*0.1, "N/A")</f>
        <v>6.4508914100486194</v>
      </c>
      <c r="AH150">
        <v>64.508914100486194</v>
      </c>
      <c r="AI150">
        <v>144.77329470543299</v>
      </c>
      <c r="AJ150">
        <v>20.183144246353301</v>
      </c>
      <c r="AK150">
        <v>69.001620745542994</v>
      </c>
    </row>
    <row r="151" spans="1:37" x14ac:dyDescent="0.3">
      <c r="A151">
        <v>150</v>
      </c>
      <c r="B151">
        <v>50</v>
      </c>
      <c r="C151">
        <v>30.725300000000001</v>
      </c>
      <c r="D151">
        <v>-19.167100999999999</v>
      </c>
      <c r="E151" t="s">
        <v>259</v>
      </c>
      <c r="F151" t="s">
        <v>261</v>
      </c>
      <c r="G151" t="s">
        <v>39</v>
      </c>
      <c r="H151">
        <v>1985</v>
      </c>
      <c r="I151">
        <v>18.1306325890836</v>
      </c>
      <c r="J151">
        <v>13.4306318261442</v>
      </c>
      <c r="K151">
        <v>58</v>
      </c>
      <c r="L151">
        <v>29.359044221850201</v>
      </c>
      <c r="M151">
        <v>28.6306325890836</v>
      </c>
      <c r="N151">
        <v>5.5</v>
      </c>
      <c r="O151">
        <v>23.1306325890836</v>
      </c>
      <c r="P151">
        <v>20.600000381469702</v>
      </c>
      <c r="Q151">
        <v>13.793355108659901</v>
      </c>
      <c r="R151">
        <v>20.79335428173</v>
      </c>
      <c r="S151">
        <v>13.793355108659901</v>
      </c>
      <c r="T151">
        <v>685</v>
      </c>
      <c r="U151">
        <v>163.066450567261</v>
      </c>
      <c r="V151">
        <v>0</v>
      </c>
      <c r="W151">
        <v>104</v>
      </c>
      <c r="X151">
        <v>444.06645056726097</v>
      </c>
      <c r="Y151">
        <v>7</v>
      </c>
      <c r="Z151">
        <v>293.06645056726097</v>
      </c>
      <c r="AA151">
        <v>7</v>
      </c>
      <c r="AB151">
        <v>7.7508980180687796</v>
      </c>
      <c r="AC151">
        <v>1.1370882613817E-2</v>
      </c>
      <c r="AD151">
        <v>1.28948365009391</v>
      </c>
      <c r="AE151">
        <v>0.20435042679309801</v>
      </c>
      <c r="AF151">
        <v>1361.1604538087499</v>
      </c>
      <c r="AG151">
        <f>IFERROR(AH151*0.1, "N/A")</f>
        <v>6.4508914100486194</v>
      </c>
      <c r="AH151">
        <v>64.508914100486194</v>
      </c>
      <c r="AI151">
        <v>144.77329470543299</v>
      </c>
      <c r="AJ151">
        <v>20.183144246353301</v>
      </c>
      <c r="AK151">
        <v>69.001620745542994</v>
      </c>
    </row>
    <row r="152" spans="1:37" x14ac:dyDescent="0.3">
      <c r="A152">
        <v>151</v>
      </c>
      <c r="B152">
        <v>0</v>
      </c>
      <c r="C152">
        <v>29.119699000000001</v>
      </c>
      <c r="D152">
        <v>-19.059200000000001</v>
      </c>
      <c r="E152" t="s">
        <v>262</v>
      </c>
      <c r="F152" t="s">
        <v>263</v>
      </c>
      <c r="G152" t="s">
        <v>37</v>
      </c>
      <c r="H152">
        <v>1985</v>
      </c>
      <c r="I152">
        <v>19.5</v>
      </c>
      <c r="J152">
        <v>14.5</v>
      </c>
      <c r="K152">
        <v>56</v>
      </c>
      <c r="L152">
        <v>31.379580118123801</v>
      </c>
      <c r="M152">
        <v>31</v>
      </c>
      <c r="N152">
        <v>5.5</v>
      </c>
      <c r="O152">
        <v>25.5</v>
      </c>
      <c r="P152">
        <v>21.98802584429</v>
      </c>
      <c r="Q152">
        <v>14.8999996185303</v>
      </c>
      <c r="R152">
        <v>22.51197415571</v>
      </c>
      <c r="S152">
        <v>14.8999996185303</v>
      </c>
      <c r="T152">
        <v>655.11974110032395</v>
      </c>
      <c r="U152">
        <v>156</v>
      </c>
      <c r="V152">
        <v>0</v>
      </c>
      <c r="W152">
        <v>107</v>
      </c>
      <c r="X152">
        <v>436.11974110032401</v>
      </c>
      <c r="Y152">
        <v>4</v>
      </c>
      <c r="Z152">
        <v>274</v>
      </c>
      <c r="AA152">
        <v>10</v>
      </c>
      <c r="AB152">
        <v>3.7326502136427999</v>
      </c>
      <c r="AC152">
        <v>1.6712519242262001E-2</v>
      </c>
      <c r="AD152">
        <v>1.0122136616398201</v>
      </c>
      <c r="AE152">
        <v>0.21298936009406999</v>
      </c>
      <c r="AF152">
        <v>1225.21682847896</v>
      </c>
      <c r="AG152">
        <f>IFERROR(AH152*0.1, "N/A")</f>
        <v>5.8000000000000007</v>
      </c>
      <c r="AH152">
        <v>58</v>
      </c>
      <c r="AI152">
        <v>281.34455476532497</v>
      </c>
      <c r="AJ152">
        <v>13.980582524271799</v>
      </c>
      <c r="AK152">
        <v>77.216828478964402</v>
      </c>
    </row>
    <row r="153" spans="1:37" x14ac:dyDescent="0.3">
      <c r="A153">
        <v>152</v>
      </c>
      <c r="B153">
        <v>4</v>
      </c>
      <c r="C153">
        <v>29.119699000000001</v>
      </c>
      <c r="D153">
        <v>-19.059200000000001</v>
      </c>
      <c r="E153" t="s">
        <v>262</v>
      </c>
      <c r="F153" t="s">
        <v>264</v>
      </c>
      <c r="G153" t="s">
        <v>39</v>
      </c>
      <c r="H153">
        <v>1985</v>
      </c>
      <c r="I153">
        <v>19.5</v>
      </c>
      <c r="J153">
        <v>14.5</v>
      </c>
      <c r="K153">
        <v>56</v>
      </c>
      <c r="L153">
        <v>31.379580118123801</v>
      </c>
      <c r="M153">
        <v>31</v>
      </c>
      <c r="N153">
        <v>5.5</v>
      </c>
      <c r="O153">
        <v>25.5</v>
      </c>
      <c r="P153">
        <v>21.98802584429</v>
      </c>
      <c r="Q153">
        <v>14.8999996185303</v>
      </c>
      <c r="R153">
        <v>22.51197415571</v>
      </c>
      <c r="S153">
        <v>14.8999996185303</v>
      </c>
      <c r="T153">
        <v>655.11974110032395</v>
      </c>
      <c r="U153">
        <v>156</v>
      </c>
      <c r="V153">
        <v>0</v>
      </c>
      <c r="W153">
        <v>107</v>
      </c>
      <c r="X153">
        <v>436.11974110032401</v>
      </c>
      <c r="Y153">
        <v>4</v>
      </c>
      <c r="Z153">
        <v>274</v>
      </c>
      <c r="AA153">
        <v>10</v>
      </c>
      <c r="AB153">
        <v>3.7326502136427999</v>
      </c>
      <c r="AC153">
        <v>1.6712519242262001E-2</v>
      </c>
      <c r="AD153">
        <v>1.0122136616398201</v>
      </c>
      <c r="AE153">
        <v>0.21298936009406999</v>
      </c>
      <c r="AF153">
        <v>1225.21682847896</v>
      </c>
      <c r="AG153">
        <f>IFERROR(AH153*0.1, "N/A")</f>
        <v>5.8000000000000007</v>
      </c>
      <c r="AH153">
        <v>58</v>
      </c>
      <c r="AI153">
        <v>281.34455476532497</v>
      </c>
      <c r="AJ153">
        <v>13.980582524271799</v>
      </c>
      <c r="AK153">
        <v>77.216828478964402</v>
      </c>
    </row>
    <row r="154" spans="1:37" x14ac:dyDescent="0.3">
      <c r="A154">
        <v>153</v>
      </c>
      <c r="B154">
        <v>26</v>
      </c>
      <c r="C154">
        <v>32.601298999999997</v>
      </c>
      <c r="D154">
        <v>-18.9419</v>
      </c>
      <c r="E154" t="s">
        <v>265</v>
      </c>
      <c r="F154" t="s">
        <v>266</v>
      </c>
      <c r="G154" t="s">
        <v>37</v>
      </c>
      <c r="H154">
        <v>1985</v>
      </c>
      <c r="I154">
        <v>17.398862361132601</v>
      </c>
      <c r="J154">
        <v>11.148943184643301</v>
      </c>
      <c r="K154">
        <v>54.998373983739803</v>
      </c>
      <c r="L154">
        <v>29.369284439086901</v>
      </c>
      <c r="M154">
        <v>26.398211000023799</v>
      </c>
      <c r="N154">
        <v>6.4495933052001</v>
      </c>
      <c r="O154">
        <v>19.948617696374399</v>
      </c>
      <c r="P154">
        <v>20.0988612167234</v>
      </c>
      <c r="Q154">
        <v>14.5489428031735</v>
      </c>
      <c r="R154">
        <v>20.0988612167234</v>
      </c>
      <c r="S154">
        <v>13.0489428031735</v>
      </c>
      <c r="T154">
        <v>988.22439024390201</v>
      </c>
      <c r="U154">
        <v>225.048780487805</v>
      </c>
      <c r="V154">
        <v>12.505691056910599</v>
      </c>
      <c r="W154">
        <v>92.996747967479706</v>
      </c>
      <c r="X154">
        <v>595.62439024390198</v>
      </c>
      <c r="Y154">
        <v>41.517073170731699</v>
      </c>
      <c r="Z154">
        <v>567.17073170731703</v>
      </c>
      <c r="AA154">
        <v>44.520325203252</v>
      </c>
      <c r="AB154">
        <v>63.681960985137202</v>
      </c>
      <c r="AC154">
        <v>5.0745047174576001E-2</v>
      </c>
      <c r="AD154">
        <v>9.4487972476618101</v>
      </c>
      <c r="AE154">
        <v>0.38992658257484403</v>
      </c>
      <c r="AF154">
        <v>1203.5609756097599</v>
      </c>
      <c r="AG154">
        <f>IFERROR(AH154*0.1, "N/A")</f>
        <v>5.8000000000000007</v>
      </c>
      <c r="AH154">
        <v>58</v>
      </c>
      <c r="AI154">
        <v>326.83711195534801</v>
      </c>
      <c r="AJ154">
        <v>26</v>
      </c>
      <c r="AK154">
        <v>60.770731707317097</v>
      </c>
    </row>
    <row r="155" spans="1:37" x14ac:dyDescent="0.3">
      <c r="A155">
        <v>154</v>
      </c>
      <c r="B155">
        <v>61</v>
      </c>
      <c r="C155">
        <v>32.601298999999997</v>
      </c>
      <c r="D155">
        <v>-18.9419</v>
      </c>
      <c r="E155" t="s">
        <v>265</v>
      </c>
      <c r="F155" t="s">
        <v>267</v>
      </c>
      <c r="G155" t="s">
        <v>39</v>
      </c>
      <c r="H155">
        <v>1985</v>
      </c>
      <c r="I155">
        <v>17.398862361132601</v>
      </c>
      <c r="J155">
        <v>11.148943184643301</v>
      </c>
      <c r="K155">
        <v>54.998373983739803</v>
      </c>
      <c r="L155">
        <v>29.369284439086901</v>
      </c>
      <c r="M155">
        <v>26.398211000023799</v>
      </c>
      <c r="N155">
        <v>6.4495933052001</v>
      </c>
      <c r="O155">
        <v>19.948617696374399</v>
      </c>
      <c r="P155">
        <v>20.0988612167234</v>
      </c>
      <c r="Q155">
        <v>14.5489428031735</v>
      </c>
      <c r="R155">
        <v>20.0988612167234</v>
      </c>
      <c r="S155">
        <v>13.0489428031735</v>
      </c>
      <c r="T155">
        <v>988.22439024390201</v>
      </c>
      <c r="U155">
        <v>225.048780487805</v>
      </c>
      <c r="V155">
        <v>12.505691056910599</v>
      </c>
      <c r="W155">
        <v>92.996747967479706</v>
      </c>
      <c r="X155">
        <v>595.62439024390198</v>
      </c>
      <c r="Y155">
        <v>41.517073170731699</v>
      </c>
      <c r="Z155">
        <v>567.17073170731703</v>
      </c>
      <c r="AA155">
        <v>44.520325203252</v>
      </c>
      <c r="AB155">
        <v>63.681960985137202</v>
      </c>
      <c r="AC155">
        <v>5.0745047174576001E-2</v>
      </c>
      <c r="AD155">
        <v>9.4487972476618101</v>
      </c>
      <c r="AE155">
        <v>0.38992658257484403</v>
      </c>
      <c r="AF155">
        <v>1203.5609756097599</v>
      </c>
      <c r="AG155">
        <f>IFERROR(AH155*0.1, "N/A")</f>
        <v>5.8000000000000007</v>
      </c>
      <c r="AH155">
        <v>58</v>
      </c>
      <c r="AI155">
        <v>326.83711195534801</v>
      </c>
      <c r="AJ155">
        <v>26</v>
      </c>
      <c r="AK155">
        <v>60.770731707317097</v>
      </c>
    </row>
    <row r="156" spans="1:37" x14ac:dyDescent="0.3">
      <c r="A156">
        <v>155</v>
      </c>
      <c r="B156">
        <v>2</v>
      </c>
      <c r="C156">
        <v>31.431999000000001</v>
      </c>
      <c r="D156">
        <v>-18.924600999999999</v>
      </c>
      <c r="E156" t="s">
        <v>268</v>
      </c>
      <c r="F156" t="s">
        <v>269</v>
      </c>
      <c r="G156" t="s">
        <v>37</v>
      </c>
      <c r="H156">
        <v>1985</v>
      </c>
      <c r="I156">
        <v>18.131656346383</v>
      </c>
      <c r="J156">
        <v>12.8999996185303</v>
      </c>
      <c r="K156">
        <v>56.316558441558399</v>
      </c>
      <c r="L156">
        <v>29.7138801549936</v>
      </c>
      <c r="M156">
        <v>28.5</v>
      </c>
      <c r="N156">
        <v>5.8316560047013404</v>
      </c>
      <c r="O156">
        <v>22.668344798026201</v>
      </c>
      <c r="P156">
        <v>20.631656346383</v>
      </c>
      <c r="Q156">
        <v>13.7316557741784</v>
      </c>
      <c r="R156">
        <v>20.831655201973899</v>
      </c>
      <c r="S156">
        <v>13.7316557741784</v>
      </c>
      <c r="T156">
        <v>778.68344155844204</v>
      </c>
      <c r="U156">
        <v>182</v>
      </c>
      <c r="V156">
        <v>1</v>
      </c>
      <c r="W156">
        <v>98.683441558441601</v>
      </c>
      <c r="X156">
        <v>478.366883116883</v>
      </c>
      <c r="Y156">
        <v>10</v>
      </c>
      <c r="Z156">
        <v>320.68344155844198</v>
      </c>
      <c r="AA156">
        <v>10</v>
      </c>
      <c r="AB156">
        <v>17.727236264711799</v>
      </c>
      <c r="AC156">
        <v>6.9879434307335994E-2</v>
      </c>
      <c r="AD156">
        <v>3.1897355859929899</v>
      </c>
      <c r="AE156">
        <v>0.41610180799450203</v>
      </c>
      <c r="AF156">
        <v>1303.61038961039</v>
      </c>
      <c r="AG156">
        <f>IFERROR(AH156*0.1, "N/A")</f>
        <v>6.1004870129870099</v>
      </c>
      <c r="AH156">
        <v>61.004870129870099</v>
      </c>
      <c r="AI156">
        <v>262.94044727474102</v>
      </c>
      <c r="AJ156">
        <v>10.0470779220779</v>
      </c>
      <c r="AK156">
        <v>81</v>
      </c>
    </row>
    <row r="157" spans="1:37" x14ac:dyDescent="0.3">
      <c r="A157">
        <v>156</v>
      </c>
      <c r="B157">
        <v>37</v>
      </c>
      <c r="C157">
        <v>31.431999000000001</v>
      </c>
      <c r="D157">
        <v>-18.924600999999999</v>
      </c>
      <c r="E157" t="s">
        <v>268</v>
      </c>
      <c r="F157" t="s">
        <v>270</v>
      </c>
      <c r="G157" t="s">
        <v>39</v>
      </c>
      <c r="H157">
        <v>1985</v>
      </c>
      <c r="I157">
        <v>18.131656346383</v>
      </c>
      <c r="J157">
        <v>12.8999996185303</v>
      </c>
      <c r="K157">
        <v>56.316558441558399</v>
      </c>
      <c r="L157">
        <v>29.7138801549936</v>
      </c>
      <c r="M157">
        <v>28.5</v>
      </c>
      <c r="N157">
        <v>5.8316560047013404</v>
      </c>
      <c r="O157">
        <v>22.668344798026201</v>
      </c>
      <c r="P157">
        <v>20.631656346383</v>
      </c>
      <c r="Q157">
        <v>13.7316557741784</v>
      </c>
      <c r="R157">
        <v>20.831655201973899</v>
      </c>
      <c r="S157">
        <v>13.7316557741784</v>
      </c>
      <c r="T157">
        <v>778.68344155844204</v>
      </c>
      <c r="U157">
        <v>182</v>
      </c>
      <c r="V157">
        <v>1</v>
      </c>
      <c r="W157">
        <v>98.683441558441601</v>
      </c>
      <c r="X157">
        <v>478.366883116883</v>
      </c>
      <c r="Y157">
        <v>10</v>
      </c>
      <c r="Z157">
        <v>320.68344155844198</v>
      </c>
      <c r="AA157">
        <v>10</v>
      </c>
      <c r="AB157">
        <v>17.727236264711799</v>
      </c>
      <c r="AC157">
        <v>6.9879434307335994E-2</v>
      </c>
      <c r="AD157">
        <v>3.1897355859929899</v>
      </c>
      <c r="AE157">
        <v>0.41610180799450203</v>
      </c>
      <c r="AF157">
        <v>1303.61038961039</v>
      </c>
      <c r="AG157">
        <f>IFERROR(AH157*0.1, "N/A")</f>
        <v>6.1004870129870099</v>
      </c>
      <c r="AH157">
        <v>61.004870129870099</v>
      </c>
      <c r="AI157">
        <v>262.94044727474102</v>
      </c>
      <c r="AJ157">
        <v>10.0470779220779</v>
      </c>
      <c r="AK157">
        <v>81</v>
      </c>
    </row>
    <row r="158" spans="1:37" x14ac:dyDescent="0.3">
      <c r="A158">
        <v>157</v>
      </c>
      <c r="B158">
        <v>0</v>
      </c>
      <c r="C158">
        <v>29.338899999999999</v>
      </c>
      <c r="D158">
        <v>-18.865998999999999</v>
      </c>
      <c r="E158" t="s">
        <v>271</v>
      </c>
      <c r="F158" t="s">
        <v>272</v>
      </c>
      <c r="G158" t="s">
        <v>37</v>
      </c>
      <c r="H158">
        <v>1985</v>
      </c>
      <c r="I158">
        <v>19.284064520859101</v>
      </c>
      <c r="J158">
        <v>14.300000190734901</v>
      </c>
      <c r="K158">
        <v>56</v>
      </c>
      <c r="L158">
        <v>30.495056189560302</v>
      </c>
      <c r="M158">
        <v>30.784064520859101</v>
      </c>
      <c r="N158">
        <v>5.6840648651123002</v>
      </c>
      <c r="O158">
        <v>25.100000381469702</v>
      </c>
      <c r="P158">
        <v>21.5</v>
      </c>
      <c r="Q158">
        <v>14.8681297302246</v>
      </c>
      <c r="R158">
        <v>22.284064520859101</v>
      </c>
      <c r="S158">
        <v>14.7840651705982</v>
      </c>
      <c r="T158">
        <v>666.15934959349602</v>
      </c>
      <c r="U158">
        <v>153</v>
      </c>
      <c r="V158">
        <v>0</v>
      </c>
      <c r="W158">
        <v>106</v>
      </c>
      <c r="X158">
        <v>444.15934959349602</v>
      </c>
      <c r="Y158">
        <v>3</v>
      </c>
      <c r="Z158">
        <v>263.31869918699198</v>
      </c>
      <c r="AA158">
        <v>8.8845528455284608</v>
      </c>
      <c r="AB158">
        <v>7.1307184482977704</v>
      </c>
      <c r="AC158">
        <v>6.0483444433628998E-2</v>
      </c>
      <c r="AD158">
        <v>2.0851063144885398</v>
      </c>
      <c r="AE158">
        <v>0.23630484938621499</v>
      </c>
      <c r="AF158">
        <v>1239.36422764228</v>
      </c>
      <c r="AG158">
        <f>IFERROR(AH158*0.1, "N/A")</f>
        <v>5.9315447154471501</v>
      </c>
      <c r="AH158">
        <v>59.315447154471499</v>
      </c>
      <c r="AI158">
        <v>63.826955785983998</v>
      </c>
      <c r="AJ158">
        <v>13</v>
      </c>
      <c r="AK158">
        <v>81</v>
      </c>
    </row>
    <row r="159" spans="1:37" x14ac:dyDescent="0.3">
      <c r="A159">
        <v>158</v>
      </c>
      <c r="B159">
        <v>11</v>
      </c>
      <c r="C159">
        <v>29.338899999999999</v>
      </c>
      <c r="D159">
        <v>-18.865998999999999</v>
      </c>
      <c r="E159" t="s">
        <v>271</v>
      </c>
      <c r="F159" t="s">
        <v>273</v>
      </c>
      <c r="G159" t="s">
        <v>39</v>
      </c>
      <c r="H159">
        <v>1985</v>
      </c>
      <c r="I159">
        <v>19.284064520859101</v>
      </c>
      <c r="J159">
        <v>14.300000190734901</v>
      </c>
      <c r="K159">
        <v>56</v>
      </c>
      <c r="L159">
        <v>30.495056189560302</v>
      </c>
      <c r="M159">
        <v>30.784064520859101</v>
      </c>
      <c r="N159">
        <v>5.6840648651123002</v>
      </c>
      <c r="O159">
        <v>25.100000381469702</v>
      </c>
      <c r="P159">
        <v>21.5</v>
      </c>
      <c r="Q159">
        <v>14.8681297302246</v>
      </c>
      <c r="R159">
        <v>22.284064520859101</v>
      </c>
      <c r="S159">
        <v>14.7840651705982</v>
      </c>
      <c r="T159">
        <v>666.15934959349602</v>
      </c>
      <c r="U159">
        <v>153</v>
      </c>
      <c r="V159">
        <v>0</v>
      </c>
      <c r="W159">
        <v>106</v>
      </c>
      <c r="X159">
        <v>444.15934959349602</v>
      </c>
      <c r="Y159">
        <v>3</v>
      </c>
      <c r="Z159">
        <v>263.31869918699198</v>
      </c>
      <c r="AA159">
        <v>8.8845528455284608</v>
      </c>
      <c r="AB159">
        <v>7.1307184482977704</v>
      </c>
      <c r="AC159">
        <v>6.0483444433628998E-2</v>
      </c>
      <c r="AD159">
        <v>2.0851063144885398</v>
      </c>
      <c r="AE159">
        <v>0.23630484938621499</v>
      </c>
      <c r="AF159">
        <v>1239.36422764228</v>
      </c>
      <c r="AG159">
        <f>IFERROR(AH159*0.1, "N/A")</f>
        <v>5.9315447154471501</v>
      </c>
      <c r="AH159">
        <v>59.315447154471499</v>
      </c>
      <c r="AI159">
        <v>63.826955785983998</v>
      </c>
      <c r="AJ159">
        <v>13</v>
      </c>
      <c r="AK159">
        <v>81</v>
      </c>
    </row>
    <row r="160" spans="1:37" x14ac:dyDescent="0.3">
      <c r="A160">
        <v>159</v>
      </c>
      <c r="B160">
        <v>19</v>
      </c>
      <c r="C160">
        <v>32.480400000000003</v>
      </c>
      <c r="D160">
        <v>-18.8353</v>
      </c>
      <c r="E160" t="s">
        <v>274</v>
      </c>
      <c r="F160" t="s">
        <v>275</v>
      </c>
      <c r="G160" t="s">
        <v>37</v>
      </c>
      <c r="H160">
        <v>1985</v>
      </c>
      <c r="I160">
        <v>18.899999618530298</v>
      </c>
      <c r="J160">
        <v>13.1000003814697</v>
      </c>
      <c r="K160">
        <v>58</v>
      </c>
      <c r="L160">
        <v>29.069999694824201</v>
      </c>
      <c r="M160">
        <v>28.799999237060501</v>
      </c>
      <c r="N160">
        <v>6.5</v>
      </c>
      <c r="O160">
        <v>22.299999237060501</v>
      </c>
      <c r="P160">
        <v>21.600000381469702</v>
      </c>
      <c r="Q160">
        <v>14.6000003814697</v>
      </c>
      <c r="R160">
        <v>21.600000381469702</v>
      </c>
      <c r="S160">
        <v>14.6000003814697</v>
      </c>
      <c r="T160">
        <v>745</v>
      </c>
      <c r="U160">
        <v>164</v>
      </c>
      <c r="V160">
        <v>4</v>
      </c>
      <c r="W160">
        <v>97</v>
      </c>
      <c r="X160">
        <v>461</v>
      </c>
      <c r="Y160">
        <v>16</v>
      </c>
      <c r="Z160">
        <v>425</v>
      </c>
      <c r="AA160">
        <v>16</v>
      </c>
      <c r="AB160">
        <v>34.609399869844502</v>
      </c>
      <c r="AC160">
        <v>2.0233365341223001E-2</v>
      </c>
      <c r="AD160">
        <v>3.82553150398391</v>
      </c>
      <c r="AE160">
        <v>0.27783119678497298</v>
      </c>
      <c r="AF160">
        <v>1038.84253246753</v>
      </c>
      <c r="AG160">
        <f>IFERROR(AH160*0.1, "N/A")</f>
        <v>6.4063311688311702</v>
      </c>
      <c r="AH160">
        <v>64.0633116883117</v>
      </c>
      <c r="AI160">
        <v>117.860850160772</v>
      </c>
      <c r="AJ160">
        <v>20</v>
      </c>
      <c r="AK160">
        <v>64.1266233766234</v>
      </c>
    </row>
    <row r="161" spans="1:37" x14ac:dyDescent="0.3">
      <c r="A161">
        <v>160</v>
      </c>
      <c r="B161">
        <v>27</v>
      </c>
      <c r="C161">
        <v>32.480400000000003</v>
      </c>
      <c r="D161">
        <v>-18.8353</v>
      </c>
      <c r="E161" t="s">
        <v>274</v>
      </c>
      <c r="F161" t="s">
        <v>276</v>
      </c>
      <c r="G161" t="s">
        <v>39</v>
      </c>
      <c r="H161">
        <v>1985</v>
      </c>
      <c r="I161">
        <v>18.899999618530298</v>
      </c>
      <c r="J161">
        <v>13.1000003814697</v>
      </c>
      <c r="K161">
        <v>58</v>
      </c>
      <c r="L161">
        <v>29.069999694824201</v>
      </c>
      <c r="M161">
        <v>28.799999237060501</v>
      </c>
      <c r="N161">
        <v>6.5</v>
      </c>
      <c r="O161">
        <v>22.299999237060501</v>
      </c>
      <c r="P161">
        <v>21.600000381469702</v>
      </c>
      <c r="Q161">
        <v>14.6000003814697</v>
      </c>
      <c r="R161">
        <v>21.600000381469702</v>
      </c>
      <c r="S161">
        <v>14.6000003814697</v>
      </c>
      <c r="T161">
        <v>745</v>
      </c>
      <c r="U161">
        <v>164</v>
      </c>
      <c r="V161">
        <v>4</v>
      </c>
      <c r="W161">
        <v>97</v>
      </c>
      <c r="X161">
        <v>461</v>
      </c>
      <c r="Y161">
        <v>16</v>
      </c>
      <c r="Z161">
        <v>425</v>
      </c>
      <c r="AA161">
        <v>16</v>
      </c>
      <c r="AB161">
        <v>34.609399869844502</v>
      </c>
      <c r="AC161">
        <v>2.0233365341223001E-2</v>
      </c>
      <c r="AD161">
        <v>3.82553150398391</v>
      </c>
      <c r="AE161">
        <v>0.27783119678497298</v>
      </c>
      <c r="AF161">
        <v>1038.84253246753</v>
      </c>
      <c r="AG161">
        <f>IFERROR(AH161*0.1, "N/A")</f>
        <v>6.4063311688311702</v>
      </c>
      <c r="AH161">
        <v>64.0633116883117</v>
      </c>
      <c r="AI161">
        <v>117.860850160772</v>
      </c>
      <c r="AJ161">
        <v>20</v>
      </c>
      <c r="AK161">
        <v>64.1266233766234</v>
      </c>
    </row>
    <row r="162" spans="1:37" x14ac:dyDescent="0.3">
      <c r="A162">
        <v>161</v>
      </c>
      <c r="B162">
        <v>4</v>
      </c>
      <c r="C162">
        <v>30.601199999999999</v>
      </c>
      <c r="D162">
        <v>-18.802401</v>
      </c>
      <c r="E162" t="s">
        <v>277</v>
      </c>
      <c r="F162" t="s">
        <v>278</v>
      </c>
      <c r="G162" t="s">
        <v>37</v>
      </c>
      <c r="H162">
        <v>1985</v>
      </c>
      <c r="I162">
        <v>18.299999237060501</v>
      </c>
      <c r="J162">
        <v>13.8999996185303</v>
      </c>
      <c r="K162">
        <v>57</v>
      </c>
      <c r="L162">
        <v>29.870000839233398</v>
      </c>
      <c r="M162">
        <v>29.299999237060501</v>
      </c>
      <c r="N162">
        <v>5.1999998092651403</v>
      </c>
      <c r="O162">
        <v>24.100000381469702</v>
      </c>
      <c r="P162">
        <v>20.799999237060501</v>
      </c>
      <c r="Q162">
        <v>13.8999996185303</v>
      </c>
      <c r="R162">
        <v>21.100000381469702</v>
      </c>
      <c r="S162">
        <v>13.8999996185303</v>
      </c>
      <c r="T162">
        <v>703</v>
      </c>
      <c r="U162">
        <v>170</v>
      </c>
      <c r="V162">
        <v>0</v>
      </c>
      <c r="W162">
        <v>105</v>
      </c>
      <c r="X162">
        <v>457</v>
      </c>
      <c r="Y162">
        <v>6</v>
      </c>
      <c r="Z162">
        <v>300</v>
      </c>
      <c r="AA162">
        <v>6</v>
      </c>
      <c r="AB162">
        <v>22.543325647131201</v>
      </c>
      <c r="AC162">
        <v>9.3664066612043004E-2</v>
      </c>
      <c r="AD162">
        <v>1.3706570875335</v>
      </c>
      <c r="AE162">
        <v>0.211681574389532</v>
      </c>
      <c r="AF162">
        <v>1369.4902597402599</v>
      </c>
      <c r="AG162">
        <f>IFERROR(AH162*0.1, "N/A")</f>
        <v>6</v>
      </c>
      <c r="AH162">
        <v>60</v>
      </c>
      <c r="AI162">
        <v>236.45435561143</v>
      </c>
      <c r="AJ162">
        <v>20.1233766233766</v>
      </c>
      <c r="AK162">
        <v>65.8766233766234</v>
      </c>
    </row>
    <row r="163" spans="1:37" x14ac:dyDescent="0.3">
      <c r="A163">
        <v>162</v>
      </c>
      <c r="B163">
        <v>28</v>
      </c>
      <c r="C163">
        <v>30.601199999999999</v>
      </c>
      <c r="D163">
        <v>-18.802401</v>
      </c>
      <c r="E163" t="s">
        <v>277</v>
      </c>
      <c r="F163" t="s">
        <v>279</v>
      </c>
      <c r="G163" t="s">
        <v>39</v>
      </c>
      <c r="H163">
        <v>1985</v>
      </c>
      <c r="I163">
        <v>18.299999237060501</v>
      </c>
      <c r="J163">
        <v>13.8999996185303</v>
      </c>
      <c r="K163">
        <v>57</v>
      </c>
      <c r="L163">
        <v>29.870000839233398</v>
      </c>
      <c r="M163">
        <v>29.299999237060501</v>
      </c>
      <c r="N163">
        <v>5.1999998092651403</v>
      </c>
      <c r="O163">
        <v>24.100000381469702</v>
      </c>
      <c r="P163">
        <v>20.799999237060501</v>
      </c>
      <c r="Q163">
        <v>13.8999996185303</v>
      </c>
      <c r="R163">
        <v>21.100000381469702</v>
      </c>
      <c r="S163">
        <v>13.8999996185303</v>
      </c>
      <c r="T163">
        <v>703</v>
      </c>
      <c r="U163">
        <v>170</v>
      </c>
      <c r="V163">
        <v>0</v>
      </c>
      <c r="W163">
        <v>105</v>
      </c>
      <c r="X163">
        <v>457</v>
      </c>
      <c r="Y163">
        <v>6</v>
      </c>
      <c r="Z163">
        <v>300</v>
      </c>
      <c r="AA163">
        <v>6</v>
      </c>
      <c r="AB163">
        <v>22.543325647131201</v>
      </c>
      <c r="AC163">
        <v>9.3664066612043004E-2</v>
      </c>
      <c r="AD163">
        <v>1.3706570875335</v>
      </c>
      <c r="AE163">
        <v>0.211681574389532</v>
      </c>
      <c r="AF163">
        <v>1369.4902597402599</v>
      </c>
      <c r="AG163">
        <f>IFERROR(AH163*0.1, "N/A")</f>
        <v>6</v>
      </c>
      <c r="AH163">
        <v>60</v>
      </c>
      <c r="AI163">
        <v>236.45435561143</v>
      </c>
      <c r="AJ163">
        <v>20.1233766233766</v>
      </c>
      <c r="AK163">
        <v>65.8766233766234</v>
      </c>
    </row>
    <row r="164" spans="1:37" x14ac:dyDescent="0.3">
      <c r="A164">
        <v>163</v>
      </c>
      <c r="B164">
        <v>10</v>
      </c>
      <c r="C164">
        <v>31.119399999999999</v>
      </c>
      <c r="D164">
        <v>-18.725598999999999</v>
      </c>
      <c r="E164" t="s">
        <v>280</v>
      </c>
      <c r="F164" t="s">
        <v>281</v>
      </c>
      <c r="G164" t="s">
        <v>37</v>
      </c>
      <c r="H164">
        <v>1985</v>
      </c>
      <c r="I164">
        <v>17.434146090251598</v>
      </c>
      <c r="J164">
        <v>12.8999996185303</v>
      </c>
      <c r="K164">
        <v>57</v>
      </c>
      <c r="L164">
        <v>28.3404873173411</v>
      </c>
      <c r="M164">
        <v>27.8341457087819</v>
      </c>
      <c r="N164">
        <v>5.5</v>
      </c>
      <c r="O164">
        <v>22.3341457087819</v>
      </c>
      <c r="P164">
        <v>19.734146583371</v>
      </c>
      <c r="Q164">
        <v>13.234146280986501</v>
      </c>
      <c r="R164">
        <v>20.0341464717214</v>
      </c>
      <c r="S164">
        <v>13.234146280986501</v>
      </c>
      <c r="T164">
        <v>767.63414634146295</v>
      </c>
      <c r="U164">
        <v>181.65853658536599</v>
      </c>
      <c r="V164">
        <v>1</v>
      </c>
      <c r="W164">
        <v>101.682926829268</v>
      </c>
      <c r="X164">
        <v>490.65853658536599</v>
      </c>
      <c r="Y164">
        <v>8</v>
      </c>
      <c r="Z164">
        <v>320.31707317073199</v>
      </c>
      <c r="AA164">
        <v>8</v>
      </c>
      <c r="AB164">
        <v>13.850073837652401</v>
      </c>
      <c r="AC164">
        <v>1.4652644029659E-2</v>
      </c>
      <c r="AD164">
        <v>1.2008304412772</v>
      </c>
      <c r="AE164">
        <v>0.207411363720894</v>
      </c>
      <c r="AF164">
        <v>1490.60975609756</v>
      </c>
      <c r="AG164">
        <f>IFERROR(AH164*0.1, "N/A")</f>
        <v>6.1341463414634099</v>
      </c>
      <c r="AH164">
        <v>61.341463414634099</v>
      </c>
      <c r="AI164">
        <v>39.295552261476601</v>
      </c>
      <c r="AJ164">
        <v>25.344715447154499</v>
      </c>
      <c r="AK164">
        <v>59.655284552845501</v>
      </c>
    </row>
    <row r="165" spans="1:37" x14ac:dyDescent="0.3">
      <c r="A165">
        <v>164</v>
      </c>
      <c r="B165">
        <v>43</v>
      </c>
      <c r="C165">
        <v>31.119399999999999</v>
      </c>
      <c r="D165">
        <v>-18.725598999999999</v>
      </c>
      <c r="E165" t="s">
        <v>280</v>
      </c>
      <c r="F165" t="s">
        <v>282</v>
      </c>
      <c r="G165" t="s">
        <v>39</v>
      </c>
      <c r="H165">
        <v>1985</v>
      </c>
      <c r="I165">
        <v>17.434146090251598</v>
      </c>
      <c r="J165">
        <v>12.8999996185303</v>
      </c>
      <c r="K165">
        <v>57</v>
      </c>
      <c r="L165">
        <v>28.3404873173411</v>
      </c>
      <c r="M165">
        <v>27.8341457087819</v>
      </c>
      <c r="N165">
        <v>5.5</v>
      </c>
      <c r="O165">
        <v>22.3341457087819</v>
      </c>
      <c r="P165">
        <v>19.734146583371</v>
      </c>
      <c r="Q165">
        <v>13.234146280986501</v>
      </c>
      <c r="R165">
        <v>20.0341464717214</v>
      </c>
      <c r="S165">
        <v>13.234146280986501</v>
      </c>
      <c r="T165">
        <v>767.63414634146295</v>
      </c>
      <c r="U165">
        <v>181.65853658536599</v>
      </c>
      <c r="V165">
        <v>1</v>
      </c>
      <c r="W165">
        <v>101.682926829268</v>
      </c>
      <c r="X165">
        <v>490.65853658536599</v>
      </c>
      <c r="Y165">
        <v>8</v>
      </c>
      <c r="Z165">
        <v>320.31707317073199</v>
      </c>
      <c r="AA165">
        <v>8</v>
      </c>
      <c r="AB165">
        <v>13.850073837652401</v>
      </c>
      <c r="AC165">
        <v>1.4652644029659E-2</v>
      </c>
      <c r="AD165">
        <v>1.2008304412772</v>
      </c>
      <c r="AE165">
        <v>0.207411363720894</v>
      </c>
      <c r="AF165">
        <v>1490.60975609756</v>
      </c>
      <c r="AG165">
        <f>IFERROR(AH165*0.1, "N/A")</f>
        <v>6.1341463414634099</v>
      </c>
      <c r="AH165">
        <v>61.341463414634099</v>
      </c>
      <c r="AI165">
        <v>39.295552261476601</v>
      </c>
      <c r="AJ165">
        <v>25.344715447154499</v>
      </c>
      <c r="AK165">
        <v>59.655284552845501</v>
      </c>
    </row>
    <row r="166" spans="1:37" x14ac:dyDescent="0.3">
      <c r="A166">
        <v>165</v>
      </c>
      <c r="B166">
        <v>1</v>
      </c>
      <c r="C166">
        <v>32.058799999999998</v>
      </c>
      <c r="D166">
        <v>-18.6586</v>
      </c>
      <c r="E166" t="s">
        <v>283</v>
      </c>
      <c r="F166" t="s">
        <v>284</v>
      </c>
      <c r="G166" t="s">
        <v>37</v>
      </c>
      <c r="H166">
        <v>1985</v>
      </c>
      <c r="I166">
        <v>17.890568688245299</v>
      </c>
      <c r="J166">
        <v>13.1000003814697</v>
      </c>
      <c r="K166">
        <v>57</v>
      </c>
      <c r="L166">
        <v>29.528146092484601</v>
      </c>
      <c r="M166">
        <v>28.1905698326545</v>
      </c>
      <c r="N166">
        <v>5.2905692604499102</v>
      </c>
      <c r="O166">
        <v>22.899999618530298</v>
      </c>
      <c r="P166">
        <v>20.481138139430101</v>
      </c>
      <c r="Q166">
        <v>13.4965853528279</v>
      </c>
      <c r="R166">
        <v>20.4965853528279</v>
      </c>
      <c r="S166">
        <v>13.4965853528279</v>
      </c>
      <c r="T166">
        <v>766.29105691056895</v>
      </c>
      <c r="U166">
        <v>162.094308943089</v>
      </c>
      <c r="V166">
        <v>3</v>
      </c>
      <c r="W166">
        <v>97.905691056910598</v>
      </c>
      <c r="X166">
        <v>472.22276422764202</v>
      </c>
      <c r="Y166">
        <v>14</v>
      </c>
      <c r="Z166">
        <v>306.06829268292699</v>
      </c>
      <c r="AA166">
        <v>14</v>
      </c>
      <c r="AB166">
        <v>10.6014404296875</v>
      </c>
      <c r="AC166">
        <v>2.4835036956984999E-2</v>
      </c>
      <c r="AD166">
        <v>2.11312941186796</v>
      </c>
      <c r="AE166">
        <v>0.33079450900961699</v>
      </c>
      <c r="AF166">
        <v>1262.00650406504</v>
      </c>
      <c r="AG166">
        <f>IFERROR(AH166*0.1, "N/A")</f>
        <v>6.1604878048780503</v>
      </c>
      <c r="AH166">
        <v>61.604878048780499</v>
      </c>
      <c r="AI166">
        <v>126.958861907711</v>
      </c>
      <c r="AJ166">
        <v>15.424390243902399</v>
      </c>
      <c r="AK166">
        <v>72.6959349593496</v>
      </c>
    </row>
    <row r="167" spans="1:37" x14ac:dyDescent="0.3">
      <c r="A167">
        <v>166</v>
      </c>
      <c r="B167">
        <v>42</v>
      </c>
      <c r="C167">
        <v>32.058799999999998</v>
      </c>
      <c r="D167">
        <v>-18.6586</v>
      </c>
      <c r="E167" t="s">
        <v>283</v>
      </c>
      <c r="F167" t="s">
        <v>285</v>
      </c>
      <c r="G167" t="s">
        <v>39</v>
      </c>
      <c r="H167">
        <v>1985</v>
      </c>
      <c r="I167">
        <v>17.890568688245299</v>
      </c>
      <c r="J167">
        <v>13.1000003814697</v>
      </c>
      <c r="K167">
        <v>57</v>
      </c>
      <c r="L167">
        <v>29.528146092484601</v>
      </c>
      <c r="M167">
        <v>28.1905698326545</v>
      </c>
      <c r="N167">
        <v>5.2905692604499102</v>
      </c>
      <c r="O167">
        <v>22.899999618530298</v>
      </c>
      <c r="P167">
        <v>20.481138139430101</v>
      </c>
      <c r="Q167">
        <v>13.4965853528279</v>
      </c>
      <c r="R167">
        <v>20.4965853528279</v>
      </c>
      <c r="S167">
        <v>13.4965853528279</v>
      </c>
      <c r="T167">
        <v>766.29105691056895</v>
      </c>
      <c r="U167">
        <v>162.094308943089</v>
      </c>
      <c r="V167">
        <v>3</v>
      </c>
      <c r="W167">
        <v>97.905691056910598</v>
      </c>
      <c r="X167">
        <v>472.22276422764202</v>
      </c>
      <c r="Y167">
        <v>14</v>
      </c>
      <c r="Z167">
        <v>306.06829268292699</v>
      </c>
      <c r="AA167">
        <v>14</v>
      </c>
      <c r="AB167">
        <v>10.6014404296875</v>
      </c>
      <c r="AC167">
        <v>2.4835036956984999E-2</v>
      </c>
      <c r="AD167">
        <v>2.11312941186796</v>
      </c>
      <c r="AE167">
        <v>0.33079450900961699</v>
      </c>
      <c r="AF167">
        <v>1262.00650406504</v>
      </c>
      <c r="AG167">
        <f>IFERROR(AH167*0.1, "N/A")</f>
        <v>6.1604878048780503</v>
      </c>
      <c r="AH167">
        <v>61.604878048780499</v>
      </c>
      <c r="AI167">
        <v>126.958861907711</v>
      </c>
      <c r="AJ167">
        <v>15.424390243902399</v>
      </c>
      <c r="AK167">
        <v>72.6959349593496</v>
      </c>
    </row>
    <row r="168" spans="1:37" x14ac:dyDescent="0.3">
      <c r="A168">
        <v>167</v>
      </c>
      <c r="B168">
        <v>4</v>
      </c>
      <c r="C168">
        <v>32.720001000000003</v>
      </c>
      <c r="D168">
        <v>-18.657301</v>
      </c>
      <c r="E168" t="s">
        <v>286</v>
      </c>
      <c r="F168" t="s">
        <v>287</v>
      </c>
      <c r="G168" t="s">
        <v>37</v>
      </c>
      <c r="H168">
        <v>1985</v>
      </c>
      <c r="I168">
        <v>15.6081172645866</v>
      </c>
      <c r="J168">
        <v>9.4048697514967508</v>
      </c>
      <c r="K168">
        <v>54</v>
      </c>
      <c r="L168">
        <v>26.9812982422965</v>
      </c>
      <c r="M168">
        <v>23.411363267279299</v>
      </c>
      <c r="N168">
        <v>6.00487013296648</v>
      </c>
      <c r="O168">
        <v>17.406493118831101</v>
      </c>
      <c r="P168">
        <v>18.306492768324802</v>
      </c>
      <c r="Q168">
        <v>13.0081168831169</v>
      </c>
      <c r="R168">
        <v>18.306492768324802</v>
      </c>
      <c r="S168">
        <v>11.706493325047701</v>
      </c>
      <c r="T168">
        <v>1426.36038961039</v>
      </c>
      <c r="U168">
        <v>311.72402597402601</v>
      </c>
      <c r="V168">
        <v>20.9512987012987</v>
      </c>
      <c r="W168">
        <v>89.032467532467507</v>
      </c>
      <c r="X168">
        <v>838.20454545454504</v>
      </c>
      <c r="Y168">
        <v>64.853896103896105</v>
      </c>
      <c r="Z168">
        <v>838.20454545454504</v>
      </c>
      <c r="AA168">
        <v>69.821428571428598</v>
      </c>
      <c r="AB168">
        <v>5.3506430093344202</v>
      </c>
      <c r="AC168">
        <v>0.69746259094348995</v>
      </c>
      <c r="AD168">
        <v>7.4705567398628601</v>
      </c>
      <c r="AE168">
        <v>0.26506969206906</v>
      </c>
      <c r="AF168">
        <v>1403.1688311688299</v>
      </c>
      <c r="AG168">
        <f>IFERROR(AH168*0.1, "N/A")</f>
        <v>5.2358766233766199</v>
      </c>
      <c r="AH168">
        <v>52.358766233766197</v>
      </c>
      <c r="AI168">
        <v>289.99445645220902</v>
      </c>
      <c r="AJ168">
        <v>37</v>
      </c>
      <c r="AK168">
        <v>43.923701298701303</v>
      </c>
    </row>
    <row r="169" spans="1:37" x14ac:dyDescent="0.3">
      <c r="A169">
        <v>168</v>
      </c>
      <c r="B169">
        <v>6</v>
      </c>
      <c r="C169">
        <v>32.720001000000003</v>
      </c>
      <c r="D169">
        <v>-18.657301</v>
      </c>
      <c r="E169" t="s">
        <v>286</v>
      </c>
      <c r="F169" t="s">
        <v>288</v>
      </c>
      <c r="G169" t="s">
        <v>39</v>
      </c>
      <c r="H169">
        <v>1985</v>
      </c>
      <c r="I169">
        <v>15.6081172645866</v>
      </c>
      <c r="J169">
        <v>9.4048697514967508</v>
      </c>
      <c r="K169">
        <v>54</v>
      </c>
      <c r="L169">
        <v>26.9812982422965</v>
      </c>
      <c r="M169">
        <v>23.411363267279299</v>
      </c>
      <c r="N169">
        <v>6.00487013296648</v>
      </c>
      <c r="O169">
        <v>17.406493118831101</v>
      </c>
      <c r="P169">
        <v>18.306492768324802</v>
      </c>
      <c r="Q169">
        <v>13.0081168831169</v>
      </c>
      <c r="R169">
        <v>18.306492768324802</v>
      </c>
      <c r="S169">
        <v>11.706493325047701</v>
      </c>
      <c r="T169">
        <v>1426.36038961039</v>
      </c>
      <c r="U169">
        <v>311.72402597402601</v>
      </c>
      <c r="V169">
        <v>20.9512987012987</v>
      </c>
      <c r="W169">
        <v>89.032467532467507</v>
      </c>
      <c r="X169">
        <v>838.20454545454504</v>
      </c>
      <c r="Y169">
        <v>64.853896103896105</v>
      </c>
      <c r="Z169">
        <v>838.20454545454504</v>
      </c>
      <c r="AA169">
        <v>69.821428571428598</v>
      </c>
      <c r="AB169">
        <v>5.3506430093344202</v>
      </c>
      <c r="AC169">
        <v>0.69746259094348995</v>
      </c>
      <c r="AD169">
        <v>7.4705567398628601</v>
      </c>
      <c r="AE169">
        <v>0.26506969206906</v>
      </c>
      <c r="AF169">
        <v>1403.1688311688299</v>
      </c>
      <c r="AG169">
        <f>IFERROR(AH169*0.1, "N/A")</f>
        <v>5.2358766233766199</v>
      </c>
      <c r="AH169">
        <v>52.358766233766197</v>
      </c>
      <c r="AI169">
        <v>289.99445645220902</v>
      </c>
      <c r="AJ169">
        <v>37</v>
      </c>
      <c r="AK169">
        <v>43.923701298701303</v>
      </c>
    </row>
    <row r="170" spans="1:37" x14ac:dyDescent="0.3">
      <c r="A170">
        <v>169</v>
      </c>
      <c r="B170">
        <v>0</v>
      </c>
      <c r="C170">
        <v>26.716498999999999</v>
      </c>
      <c r="D170">
        <v>-18.650400000000001</v>
      </c>
      <c r="E170" t="s">
        <v>289</v>
      </c>
      <c r="F170" t="s">
        <v>290</v>
      </c>
      <c r="G170" t="s">
        <v>37</v>
      </c>
      <c r="H170">
        <v>1985</v>
      </c>
      <c r="I170">
        <v>20.988254441328198</v>
      </c>
      <c r="J170">
        <v>15.199999809265099</v>
      </c>
      <c r="K170">
        <v>54</v>
      </c>
      <c r="L170">
        <v>34.158563467651199</v>
      </c>
      <c r="M170">
        <v>33.515823575839697</v>
      </c>
      <c r="N170">
        <v>5.5882544019677303</v>
      </c>
      <c r="O170">
        <v>27.927569054857202</v>
      </c>
      <c r="P170">
        <v>23.188254986462699</v>
      </c>
      <c r="Q170">
        <v>15.9882544413282</v>
      </c>
      <c r="R170">
        <v>24.4158234961854</v>
      </c>
      <c r="S170">
        <v>15.9882544413282</v>
      </c>
      <c r="T170">
        <v>622.00326264274099</v>
      </c>
      <c r="U170">
        <v>162.885807504078</v>
      </c>
      <c r="V170">
        <v>0</v>
      </c>
      <c r="W170">
        <v>112.885807504078</v>
      </c>
      <c r="X170">
        <v>433.11745513866202</v>
      </c>
      <c r="Y170">
        <v>0</v>
      </c>
      <c r="Z170">
        <v>223.117455138662</v>
      </c>
      <c r="AA170">
        <v>1.5595432300163099</v>
      </c>
      <c r="AB170">
        <v>16.390381655918599</v>
      </c>
      <c r="AC170">
        <v>1.7828101198057E-2</v>
      </c>
      <c r="AD170">
        <v>2.7740726237584901</v>
      </c>
      <c r="AE170">
        <v>5.5935308337211997E-2</v>
      </c>
      <c r="AF170">
        <v>1075.5921696574201</v>
      </c>
      <c r="AG170">
        <f>IFERROR(AH170*0.1, "N/A")</f>
        <v>6.01272430668842</v>
      </c>
      <c r="AH170">
        <v>60.127243066884198</v>
      </c>
      <c r="AI170">
        <v>275.61954207677098</v>
      </c>
      <c r="AJ170">
        <v>15.8433931484502</v>
      </c>
      <c r="AK170">
        <v>75.185970636215302</v>
      </c>
    </row>
    <row r="171" spans="1:37" x14ac:dyDescent="0.3">
      <c r="A171">
        <v>170</v>
      </c>
      <c r="B171">
        <v>0</v>
      </c>
      <c r="C171">
        <v>26.716498999999999</v>
      </c>
      <c r="D171">
        <v>-18.650400000000001</v>
      </c>
      <c r="E171" t="s">
        <v>289</v>
      </c>
      <c r="F171" t="s">
        <v>291</v>
      </c>
      <c r="G171" t="s">
        <v>39</v>
      </c>
      <c r="H171">
        <v>1985</v>
      </c>
      <c r="I171">
        <v>20.988254441328198</v>
      </c>
      <c r="J171">
        <v>15.199999809265099</v>
      </c>
      <c r="K171">
        <v>54</v>
      </c>
      <c r="L171">
        <v>34.158563467651199</v>
      </c>
      <c r="M171">
        <v>33.515823575839697</v>
      </c>
      <c r="N171">
        <v>5.5882544019677303</v>
      </c>
      <c r="O171">
        <v>27.927569054857202</v>
      </c>
      <c r="P171">
        <v>23.188254986462699</v>
      </c>
      <c r="Q171">
        <v>15.9882544413282</v>
      </c>
      <c r="R171">
        <v>24.4158234961854</v>
      </c>
      <c r="S171">
        <v>15.9882544413282</v>
      </c>
      <c r="T171">
        <v>622.00326264274099</v>
      </c>
      <c r="U171">
        <v>162.885807504078</v>
      </c>
      <c r="V171">
        <v>0</v>
      </c>
      <c r="W171">
        <v>112.885807504078</v>
      </c>
      <c r="X171">
        <v>433.11745513866202</v>
      </c>
      <c r="Y171">
        <v>0</v>
      </c>
      <c r="Z171">
        <v>223.117455138662</v>
      </c>
      <c r="AA171">
        <v>1.5595432300163099</v>
      </c>
      <c r="AB171">
        <v>16.390381655918599</v>
      </c>
      <c r="AC171">
        <v>1.7828101198057E-2</v>
      </c>
      <c r="AD171">
        <v>2.7740726237584901</v>
      </c>
      <c r="AE171">
        <v>5.5935308337211997E-2</v>
      </c>
      <c r="AF171">
        <v>1075.5921696574201</v>
      </c>
      <c r="AG171">
        <f>IFERROR(AH171*0.1, "N/A")</f>
        <v>6.01272430668842</v>
      </c>
      <c r="AH171">
        <v>60.127243066884198</v>
      </c>
      <c r="AI171">
        <v>275.61954207677098</v>
      </c>
      <c r="AJ171">
        <v>15.8433931484502</v>
      </c>
      <c r="AK171">
        <v>75.185970636215302</v>
      </c>
    </row>
    <row r="172" spans="1:37" x14ac:dyDescent="0.3">
      <c r="A172">
        <v>171</v>
      </c>
      <c r="B172">
        <v>13</v>
      </c>
      <c r="C172">
        <v>31.501200000000001</v>
      </c>
      <c r="D172">
        <v>-18.588498999999999</v>
      </c>
      <c r="E172" t="s">
        <v>292</v>
      </c>
      <c r="F172" t="s">
        <v>293</v>
      </c>
      <c r="G172" t="s">
        <v>37</v>
      </c>
      <c r="H172">
        <v>1985</v>
      </c>
      <c r="I172">
        <v>17.999836867240699</v>
      </c>
      <c r="J172">
        <v>12.6000003814697</v>
      </c>
      <c r="K172">
        <v>57</v>
      </c>
      <c r="L172">
        <v>28.260114420879901</v>
      </c>
      <c r="M172">
        <v>28.199837630180099</v>
      </c>
      <c r="N172">
        <v>6.1998366772836802</v>
      </c>
      <c r="O172">
        <v>22</v>
      </c>
      <c r="P172">
        <v>20.299999237060501</v>
      </c>
      <c r="Q172">
        <v>13.7998370579755</v>
      </c>
      <c r="R172">
        <v>20.5</v>
      </c>
      <c r="S172">
        <v>13.7998370579755</v>
      </c>
      <c r="T172">
        <v>819</v>
      </c>
      <c r="U172">
        <v>181</v>
      </c>
      <c r="V172">
        <v>2</v>
      </c>
      <c r="W172">
        <v>98</v>
      </c>
      <c r="X172">
        <v>512</v>
      </c>
      <c r="Y172">
        <v>15</v>
      </c>
      <c r="Z172">
        <v>327.99836867863002</v>
      </c>
      <c r="AA172">
        <v>15</v>
      </c>
      <c r="AB172">
        <v>23.356134461345299</v>
      </c>
      <c r="AC172">
        <v>1.1007656372147999E-2</v>
      </c>
      <c r="AD172">
        <v>1.0544783563442801</v>
      </c>
      <c r="AE172">
        <v>0.269546627998352</v>
      </c>
      <c r="AF172">
        <v>1375.2022838499199</v>
      </c>
      <c r="AG172">
        <f>IFERROR(AH172*0.1, "N/A")</f>
        <v>5.9885807504078308</v>
      </c>
      <c r="AH172">
        <v>59.885807504078301</v>
      </c>
      <c r="AI172">
        <v>159.37176592237199</v>
      </c>
      <c r="AJ172">
        <v>17.884176182708</v>
      </c>
      <c r="AK172">
        <v>68.119086460032605</v>
      </c>
    </row>
    <row r="173" spans="1:37" x14ac:dyDescent="0.3">
      <c r="A173">
        <v>172</v>
      </c>
      <c r="B173">
        <v>52</v>
      </c>
      <c r="C173">
        <v>31.501200000000001</v>
      </c>
      <c r="D173">
        <v>-18.588498999999999</v>
      </c>
      <c r="E173" t="s">
        <v>292</v>
      </c>
      <c r="F173" t="s">
        <v>294</v>
      </c>
      <c r="G173" t="s">
        <v>39</v>
      </c>
      <c r="H173">
        <v>1985</v>
      </c>
      <c r="I173">
        <v>17.999836867240699</v>
      </c>
      <c r="J173">
        <v>12.6000003814697</v>
      </c>
      <c r="K173">
        <v>57</v>
      </c>
      <c r="L173">
        <v>28.260114420879901</v>
      </c>
      <c r="M173">
        <v>28.199837630180099</v>
      </c>
      <c r="N173">
        <v>6.1998366772836802</v>
      </c>
      <c r="O173">
        <v>22</v>
      </c>
      <c r="P173">
        <v>20.299999237060501</v>
      </c>
      <c r="Q173">
        <v>13.7998370579755</v>
      </c>
      <c r="R173">
        <v>20.5</v>
      </c>
      <c r="S173">
        <v>13.7998370579755</v>
      </c>
      <c r="T173">
        <v>819</v>
      </c>
      <c r="U173">
        <v>181</v>
      </c>
      <c r="V173">
        <v>2</v>
      </c>
      <c r="W173">
        <v>98</v>
      </c>
      <c r="X173">
        <v>512</v>
      </c>
      <c r="Y173">
        <v>15</v>
      </c>
      <c r="Z173">
        <v>327.99836867863002</v>
      </c>
      <c r="AA173">
        <v>15</v>
      </c>
      <c r="AB173">
        <v>23.356134461345299</v>
      </c>
      <c r="AC173">
        <v>1.1007656372147999E-2</v>
      </c>
      <c r="AD173">
        <v>1.0544783563442801</v>
      </c>
      <c r="AE173">
        <v>0.269546627998352</v>
      </c>
      <c r="AF173">
        <v>1375.2022838499199</v>
      </c>
      <c r="AG173">
        <f>IFERROR(AH173*0.1, "N/A")</f>
        <v>5.9885807504078308</v>
      </c>
      <c r="AH173">
        <v>59.885807504078301</v>
      </c>
      <c r="AI173">
        <v>159.37176592237199</v>
      </c>
      <c r="AJ173">
        <v>17.884176182708</v>
      </c>
      <c r="AK173">
        <v>68.119086460032605</v>
      </c>
    </row>
    <row r="174" spans="1:37" x14ac:dyDescent="0.3">
      <c r="A174">
        <v>173</v>
      </c>
      <c r="B174">
        <v>4</v>
      </c>
      <c r="C174">
        <v>29.7286</v>
      </c>
      <c r="D174">
        <v>-18.568000999999999</v>
      </c>
      <c r="E174" t="s">
        <v>295</v>
      </c>
      <c r="F174" t="s">
        <v>296</v>
      </c>
      <c r="G174" t="s">
        <v>37</v>
      </c>
      <c r="H174">
        <v>1985</v>
      </c>
      <c r="I174">
        <v>19.899999618530298</v>
      </c>
      <c r="J174">
        <v>14.5</v>
      </c>
      <c r="K174">
        <v>57</v>
      </c>
      <c r="L174">
        <v>30.4899997711182</v>
      </c>
      <c r="M174">
        <v>31.5</v>
      </c>
      <c r="N174">
        <v>6.1999998092651403</v>
      </c>
      <c r="O174">
        <v>25.299999237060501</v>
      </c>
      <c r="P174">
        <v>22.200000762939499</v>
      </c>
      <c r="Q174">
        <v>15.3999996185303</v>
      </c>
      <c r="R174">
        <v>22.799999237060501</v>
      </c>
      <c r="S174">
        <v>15.3999996185303</v>
      </c>
      <c r="T174">
        <v>716</v>
      </c>
      <c r="U174">
        <v>167</v>
      </c>
      <c r="V174">
        <v>0</v>
      </c>
      <c r="W174">
        <v>106</v>
      </c>
      <c r="X174">
        <v>473</v>
      </c>
      <c r="Y174">
        <v>2</v>
      </c>
      <c r="Z174">
        <v>267</v>
      </c>
      <c r="AA174">
        <v>2</v>
      </c>
      <c r="AB174">
        <v>0.282683129404105</v>
      </c>
      <c r="AC174">
        <v>2.01038317900194</v>
      </c>
      <c r="AD174">
        <v>1.41162047617965</v>
      </c>
      <c r="AE174">
        <v>0.22153188300386001</v>
      </c>
      <c r="AF174">
        <v>1096.64705882353</v>
      </c>
      <c r="AG174">
        <f>IFERROR(AH174*0.1, "N/A")</f>
        <v>6.2331699346405207</v>
      </c>
      <c r="AH174">
        <v>62.331699346405202</v>
      </c>
      <c r="AI174">
        <v>136.80246946702599</v>
      </c>
      <c r="AJ174">
        <v>15.344771241830101</v>
      </c>
      <c r="AK174">
        <v>73.975490196078397</v>
      </c>
    </row>
    <row r="175" spans="1:37" x14ac:dyDescent="0.3">
      <c r="A175">
        <v>174</v>
      </c>
      <c r="B175">
        <v>38</v>
      </c>
      <c r="C175">
        <v>29.7286</v>
      </c>
      <c r="D175">
        <v>-18.568000999999999</v>
      </c>
      <c r="E175" t="s">
        <v>295</v>
      </c>
      <c r="F175" t="s">
        <v>297</v>
      </c>
      <c r="G175" t="s">
        <v>39</v>
      </c>
      <c r="H175">
        <v>1985</v>
      </c>
      <c r="I175">
        <v>19.899999618530298</v>
      </c>
      <c r="J175">
        <v>14.5</v>
      </c>
      <c r="K175">
        <v>57</v>
      </c>
      <c r="L175">
        <v>30.4899997711182</v>
      </c>
      <c r="M175">
        <v>31.5</v>
      </c>
      <c r="N175">
        <v>6.1999998092651403</v>
      </c>
      <c r="O175">
        <v>25.299999237060501</v>
      </c>
      <c r="P175">
        <v>22.200000762939499</v>
      </c>
      <c r="Q175">
        <v>15.3999996185303</v>
      </c>
      <c r="R175">
        <v>22.799999237060501</v>
      </c>
      <c r="S175">
        <v>15.3999996185303</v>
      </c>
      <c r="T175">
        <v>716</v>
      </c>
      <c r="U175">
        <v>167</v>
      </c>
      <c r="V175">
        <v>0</v>
      </c>
      <c r="W175">
        <v>106</v>
      </c>
      <c r="X175">
        <v>473</v>
      </c>
      <c r="Y175">
        <v>2</v>
      </c>
      <c r="Z175">
        <v>267</v>
      </c>
      <c r="AA175">
        <v>2</v>
      </c>
      <c r="AB175">
        <v>0.282683129404105</v>
      </c>
      <c r="AC175">
        <v>2.01038317900194</v>
      </c>
      <c r="AD175">
        <v>1.41162047617965</v>
      </c>
      <c r="AE175">
        <v>0.22153188300386001</v>
      </c>
      <c r="AF175">
        <v>1096.64705882353</v>
      </c>
      <c r="AG175">
        <f>IFERROR(AH175*0.1, "N/A")</f>
        <v>6.2331699346405207</v>
      </c>
      <c r="AH175">
        <v>62.331699346405202</v>
      </c>
      <c r="AI175">
        <v>136.80246946702599</v>
      </c>
      <c r="AJ175">
        <v>15.344771241830101</v>
      </c>
      <c r="AK175">
        <v>73.975490196078397</v>
      </c>
    </row>
    <row r="176" spans="1:37" x14ac:dyDescent="0.3">
      <c r="A176">
        <v>175</v>
      </c>
      <c r="B176">
        <v>1</v>
      </c>
      <c r="C176">
        <v>32.580897999999998</v>
      </c>
      <c r="D176">
        <v>-18.517299999999999</v>
      </c>
      <c r="E176" t="s">
        <v>298</v>
      </c>
      <c r="F176" t="s">
        <v>299</v>
      </c>
      <c r="G176" t="s">
        <v>37</v>
      </c>
      <c r="H176">
        <v>1985</v>
      </c>
      <c r="I176">
        <v>15.551465748964</v>
      </c>
      <c r="J176">
        <v>10.125733133247699</v>
      </c>
      <c r="K176">
        <v>55</v>
      </c>
      <c r="L176">
        <v>26.330293090025101</v>
      </c>
      <c r="M176">
        <v>23.851465231432599</v>
      </c>
      <c r="N176">
        <v>5.5514657489639898</v>
      </c>
      <c r="O176">
        <v>18.299999237060501</v>
      </c>
      <c r="P176">
        <v>17.9514656129023</v>
      </c>
      <c r="Q176">
        <v>13.025732997185999</v>
      </c>
      <c r="R176">
        <v>17.9514656129023</v>
      </c>
      <c r="S176">
        <v>11.6514661304337</v>
      </c>
      <c r="T176">
        <v>1108.1107491856701</v>
      </c>
      <c r="U176">
        <v>244.228013029316</v>
      </c>
      <c r="V176">
        <v>12.742671009772</v>
      </c>
      <c r="W176">
        <v>92.257328990228004</v>
      </c>
      <c r="X176">
        <v>661.94136807817597</v>
      </c>
      <c r="Y176">
        <v>39.485342019543999</v>
      </c>
      <c r="Z176">
        <v>661.94136807817597</v>
      </c>
      <c r="AA176">
        <v>42.228013029316003</v>
      </c>
      <c r="AB176">
        <v>91.431224512354902</v>
      </c>
      <c r="AC176">
        <v>1.6623440093940001E-2</v>
      </c>
      <c r="AD176">
        <v>7.47895505995238</v>
      </c>
      <c r="AE176">
        <v>0.35561504960060097</v>
      </c>
      <c r="AF176">
        <v>1583.49185667752</v>
      </c>
      <c r="AG176">
        <f>IFERROR(AH176*0.1, "N/A")</f>
        <v>5.91498371335505</v>
      </c>
      <c r="AH176">
        <v>59.149837133550498</v>
      </c>
      <c r="AI176">
        <v>64.257317052213693</v>
      </c>
      <c r="AJ176">
        <v>28.377850162866402</v>
      </c>
      <c r="AK176">
        <v>56.128664495114002</v>
      </c>
    </row>
    <row r="177" spans="1:37" x14ac:dyDescent="0.3">
      <c r="A177">
        <v>176</v>
      </c>
      <c r="B177">
        <v>1</v>
      </c>
      <c r="C177">
        <v>32.580897999999998</v>
      </c>
      <c r="D177">
        <v>-18.517299999999999</v>
      </c>
      <c r="E177" t="s">
        <v>298</v>
      </c>
      <c r="F177" t="s">
        <v>300</v>
      </c>
      <c r="G177" t="s">
        <v>39</v>
      </c>
      <c r="H177">
        <v>1985</v>
      </c>
      <c r="I177">
        <v>15.551465748964</v>
      </c>
      <c r="J177">
        <v>10.125733133247699</v>
      </c>
      <c r="K177">
        <v>55</v>
      </c>
      <c r="L177">
        <v>26.330293090025101</v>
      </c>
      <c r="M177">
        <v>23.851465231432599</v>
      </c>
      <c r="N177">
        <v>5.5514657489639898</v>
      </c>
      <c r="O177">
        <v>18.299999237060501</v>
      </c>
      <c r="P177">
        <v>17.9514656129023</v>
      </c>
      <c r="Q177">
        <v>13.025732997185999</v>
      </c>
      <c r="R177">
        <v>17.9514656129023</v>
      </c>
      <c r="S177">
        <v>11.6514661304337</v>
      </c>
      <c r="T177">
        <v>1108.1107491856701</v>
      </c>
      <c r="U177">
        <v>244.228013029316</v>
      </c>
      <c r="V177">
        <v>12.742671009772</v>
      </c>
      <c r="W177">
        <v>92.257328990228004</v>
      </c>
      <c r="X177">
        <v>661.94136807817597</v>
      </c>
      <c r="Y177">
        <v>39.485342019543999</v>
      </c>
      <c r="Z177">
        <v>661.94136807817597</v>
      </c>
      <c r="AA177">
        <v>42.228013029316003</v>
      </c>
      <c r="AB177">
        <v>91.431224512354902</v>
      </c>
      <c r="AC177">
        <v>1.6623440093940001E-2</v>
      </c>
      <c r="AD177">
        <v>7.47895505995238</v>
      </c>
      <c r="AE177">
        <v>0.35561504960060097</v>
      </c>
      <c r="AF177">
        <v>1583.49185667752</v>
      </c>
      <c r="AG177">
        <f>IFERROR(AH177*0.1, "N/A")</f>
        <v>5.91498371335505</v>
      </c>
      <c r="AH177">
        <v>59.149837133550498</v>
      </c>
      <c r="AI177">
        <v>64.257317052213693</v>
      </c>
      <c r="AJ177">
        <v>28.377850162866402</v>
      </c>
      <c r="AK177">
        <v>56.128664495114002</v>
      </c>
    </row>
    <row r="178" spans="1:37" x14ac:dyDescent="0.3">
      <c r="A178">
        <v>177</v>
      </c>
      <c r="B178">
        <v>12</v>
      </c>
      <c r="C178">
        <v>31.825800000000001</v>
      </c>
      <c r="D178">
        <v>-18.475598999999999</v>
      </c>
      <c r="E178" t="s">
        <v>301</v>
      </c>
      <c r="F178" t="s">
        <v>302</v>
      </c>
      <c r="G178" t="s">
        <v>37</v>
      </c>
      <c r="H178">
        <v>1985</v>
      </c>
      <c r="I178">
        <v>17.600000381469702</v>
      </c>
      <c r="J178">
        <v>12.800000190734901</v>
      </c>
      <c r="K178">
        <v>56</v>
      </c>
      <c r="L178">
        <v>28.600000381469702</v>
      </c>
      <c r="M178">
        <v>27.799999237060501</v>
      </c>
      <c r="N178">
        <v>5.3000001907348597</v>
      </c>
      <c r="O178">
        <v>22.5</v>
      </c>
      <c r="P178">
        <v>20</v>
      </c>
      <c r="Q178">
        <v>13.300000190734901</v>
      </c>
      <c r="R178">
        <v>20.100000381469702</v>
      </c>
      <c r="S178">
        <v>13.300000190734901</v>
      </c>
      <c r="T178">
        <v>812</v>
      </c>
      <c r="U178">
        <v>176</v>
      </c>
      <c r="V178">
        <v>1</v>
      </c>
      <c r="W178">
        <v>99</v>
      </c>
      <c r="X178">
        <v>506</v>
      </c>
      <c r="Y178">
        <v>12</v>
      </c>
      <c r="Z178">
        <v>329</v>
      </c>
      <c r="AA178">
        <v>12</v>
      </c>
      <c r="AB178">
        <v>7.5361077622404302</v>
      </c>
      <c r="AC178">
        <v>1.805488990638E-2</v>
      </c>
      <c r="AD178">
        <v>2.52521081351302</v>
      </c>
      <c r="AE178">
        <v>0.26175189018249501</v>
      </c>
      <c r="AF178">
        <v>1370.3517915309401</v>
      </c>
      <c r="AG178">
        <f>IFERROR(AH178*0.1, "N/A")</f>
        <v>6</v>
      </c>
      <c r="AH178">
        <v>60</v>
      </c>
      <c r="AI178">
        <v>50.888154014313997</v>
      </c>
      <c r="AJ178">
        <v>9.5586319218241105</v>
      </c>
      <c r="AK178">
        <v>79.882736156351797</v>
      </c>
    </row>
    <row r="179" spans="1:37" x14ac:dyDescent="0.3">
      <c r="A179">
        <v>178</v>
      </c>
      <c r="B179">
        <v>30</v>
      </c>
      <c r="C179">
        <v>31.825800000000001</v>
      </c>
      <c r="D179">
        <v>-18.475598999999999</v>
      </c>
      <c r="E179" t="s">
        <v>301</v>
      </c>
      <c r="F179" t="s">
        <v>303</v>
      </c>
      <c r="G179" t="s">
        <v>39</v>
      </c>
      <c r="H179">
        <v>1985</v>
      </c>
      <c r="I179">
        <v>17.600000381469702</v>
      </c>
      <c r="J179">
        <v>12.800000190734901</v>
      </c>
      <c r="K179">
        <v>56</v>
      </c>
      <c r="L179">
        <v>28.600000381469702</v>
      </c>
      <c r="M179">
        <v>27.799999237060501</v>
      </c>
      <c r="N179">
        <v>5.3000001907348597</v>
      </c>
      <c r="O179">
        <v>22.5</v>
      </c>
      <c r="P179">
        <v>20</v>
      </c>
      <c r="Q179">
        <v>13.300000190734901</v>
      </c>
      <c r="R179">
        <v>20.100000381469702</v>
      </c>
      <c r="S179">
        <v>13.300000190734901</v>
      </c>
      <c r="T179">
        <v>812</v>
      </c>
      <c r="U179">
        <v>176</v>
      </c>
      <c r="V179">
        <v>1</v>
      </c>
      <c r="W179">
        <v>99</v>
      </c>
      <c r="X179">
        <v>506</v>
      </c>
      <c r="Y179">
        <v>12</v>
      </c>
      <c r="Z179">
        <v>329</v>
      </c>
      <c r="AA179">
        <v>12</v>
      </c>
      <c r="AB179">
        <v>7.5361077622404302</v>
      </c>
      <c r="AC179">
        <v>1.805488990638E-2</v>
      </c>
      <c r="AD179">
        <v>2.52521081351302</v>
      </c>
      <c r="AE179">
        <v>0.26175189018249501</v>
      </c>
      <c r="AF179">
        <v>1370.3517915309401</v>
      </c>
      <c r="AG179">
        <f>IFERROR(AH179*0.1, "N/A")</f>
        <v>6</v>
      </c>
      <c r="AH179">
        <v>60</v>
      </c>
      <c r="AI179">
        <v>50.888154014313997</v>
      </c>
      <c r="AJ179">
        <v>9.5586319218241105</v>
      </c>
      <c r="AK179">
        <v>79.882736156351797</v>
      </c>
    </row>
    <row r="180" spans="1:37" x14ac:dyDescent="0.3">
      <c r="A180">
        <v>179</v>
      </c>
      <c r="B180">
        <v>2</v>
      </c>
      <c r="C180">
        <v>30.670798999999999</v>
      </c>
      <c r="D180">
        <v>-18.447700999999999</v>
      </c>
      <c r="E180" t="s">
        <v>304</v>
      </c>
      <c r="F180" t="s">
        <v>305</v>
      </c>
      <c r="G180" t="s">
        <v>37</v>
      </c>
      <c r="H180">
        <v>1985</v>
      </c>
      <c r="I180">
        <v>18.899999618530298</v>
      </c>
      <c r="J180">
        <v>14.3999996185303</v>
      </c>
      <c r="K180">
        <v>57</v>
      </c>
      <c r="L180">
        <v>30.420000076293899</v>
      </c>
      <c r="M180">
        <v>30</v>
      </c>
      <c r="N180">
        <v>5.0999999046325701</v>
      </c>
      <c r="O180">
        <v>24.899999618530298</v>
      </c>
      <c r="P180">
        <v>21.299999237060501</v>
      </c>
      <c r="Q180">
        <v>14.300000190734901</v>
      </c>
      <c r="R180">
        <v>21.600000381469702</v>
      </c>
      <c r="S180">
        <v>14.300000190734901</v>
      </c>
      <c r="T180">
        <v>734</v>
      </c>
      <c r="U180">
        <v>173</v>
      </c>
      <c r="V180">
        <v>0</v>
      </c>
      <c r="W180">
        <v>104</v>
      </c>
      <c r="X180">
        <v>477</v>
      </c>
      <c r="Y180">
        <v>6</v>
      </c>
      <c r="Z180">
        <v>298</v>
      </c>
      <c r="AA180">
        <v>6</v>
      </c>
      <c r="AB180">
        <v>7.9963936486796499</v>
      </c>
      <c r="AC180">
        <v>2.7421967247971999E-2</v>
      </c>
      <c r="AD180">
        <v>1.0200607894295399</v>
      </c>
      <c r="AE180">
        <v>0.23965609073638899</v>
      </c>
      <c r="AF180">
        <v>1302.36704730832</v>
      </c>
      <c r="AG180">
        <f>IFERROR(AH180*0.1, "N/A")</f>
        <v>6.7213703099510598</v>
      </c>
      <c r="AH180">
        <v>67.213703099510596</v>
      </c>
      <c r="AI180">
        <v>182.04846354137601</v>
      </c>
      <c r="AJ180">
        <v>9.9885807504078308</v>
      </c>
      <c r="AK180">
        <v>84.011419249592194</v>
      </c>
    </row>
    <row r="181" spans="1:37" x14ac:dyDescent="0.3">
      <c r="A181">
        <v>180</v>
      </c>
      <c r="B181">
        <v>38</v>
      </c>
      <c r="C181">
        <v>30.670798999999999</v>
      </c>
      <c r="D181">
        <v>-18.447700999999999</v>
      </c>
      <c r="E181" t="s">
        <v>304</v>
      </c>
      <c r="F181" t="s">
        <v>306</v>
      </c>
      <c r="G181" t="s">
        <v>39</v>
      </c>
      <c r="H181">
        <v>1985</v>
      </c>
      <c r="I181">
        <v>18.899999618530298</v>
      </c>
      <c r="J181">
        <v>14.3999996185303</v>
      </c>
      <c r="K181">
        <v>57</v>
      </c>
      <c r="L181">
        <v>30.420000076293899</v>
      </c>
      <c r="M181">
        <v>30</v>
      </c>
      <c r="N181">
        <v>5.0999999046325701</v>
      </c>
      <c r="O181">
        <v>24.899999618530298</v>
      </c>
      <c r="P181">
        <v>21.299999237060501</v>
      </c>
      <c r="Q181">
        <v>14.300000190734901</v>
      </c>
      <c r="R181">
        <v>21.600000381469702</v>
      </c>
      <c r="S181">
        <v>14.300000190734901</v>
      </c>
      <c r="T181">
        <v>734</v>
      </c>
      <c r="U181">
        <v>173</v>
      </c>
      <c r="V181">
        <v>0</v>
      </c>
      <c r="W181">
        <v>104</v>
      </c>
      <c r="X181">
        <v>477</v>
      </c>
      <c r="Y181">
        <v>6</v>
      </c>
      <c r="Z181">
        <v>298</v>
      </c>
      <c r="AA181">
        <v>6</v>
      </c>
      <c r="AB181">
        <v>7.9963936486796499</v>
      </c>
      <c r="AC181">
        <v>2.7421967247971999E-2</v>
      </c>
      <c r="AD181">
        <v>1.0200607894295399</v>
      </c>
      <c r="AE181">
        <v>0.23965609073638899</v>
      </c>
      <c r="AF181">
        <v>1302.36704730832</v>
      </c>
      <c r="AG181">
        <f>IFERROR(AH181*0.1, "N/A")</f>
        <v>6.7213703099510598</v>
      </c>
      <c r="AH181">
        <v>67.213703099510596</v>
      </c>
      <c r="AI181">
        <v>182.04846354137601</v>
      </c>
      <c r="AJ181">
        <v>9.9885807504078308</v>
      </c>
      <c r="AK181">
        <v>84.011419249592194</v>
      </c>
    </row>
    <row r="182" spans="1:37" x14ac:dyDescent="0.3">
      <c r="A182">
        <v>181</v>
      </c>
      <c r="B182">
        <v>25</v>
      </c>
      <c r="C182">
        <v>32.175998999999997</v>
      </c>
      <c r="D182">
        <v>-18.4466</v>
      </c>
      <c r="E182" t="s">
        <v>307</v>
      </c>
      <c r="F182" t="s">
        <v>308</v>
      </c>
      <c r="G182" t="s">
        <v>37</v>
      </c>
      <c r="H182">
        <v>1985</v>
      </c>
      <c r="I182">
        <v>16.5</v>
      </c>
      <c r="J182">
        <v>12.300000190734901</v>
      </c>
      <c r="K182">
        <v>57</v>
      </c>
      <c r="L182">
        <v>27.450000762939499</v>
      </c>
      <c r="M182">
        <v>26.200000762939499</v>
      </c>
      <c r="N182">
        <v>4.8000001907348597</v>
      </c>
      <c r="O182">
        <v>21.399999618530298</v>
      </c>
      <c r="P182">
        <v>19</v>
      </c>
      <c r="Q182">
        <v>12.3999996185303</v>
      </c>
      <c r="R182">
        <v>19</v>
      </c>
      <c r="S182">
        <v>12.3999996185303</v>
      </c>
      <c r="T182">
        <v>805</v>
      </c>
      <c r="U182">
        <v>177</v>
      </c>
      <c r="V182">
        <v>3</v>
      </c>
      <c r="W182">
        <v>97</v>
      </c>
      <c r="X182">
        <v>495</v>
      </c>
      <c r="Y182">
        <v>12</v>
      </c>
      <c r="Z182">
        <v>464</v>
      </c>
      <c r="AA182">
        <v>12</v>
      </c>
      <c r="AB182">
        <v>12.1963738943974</v>
      </c>
      <c r="AC182">
        <v>5.6406737960036001E-2</v>
      </c>
      <c r="AD182">
        <v>2.2940293049734501</v>
      </c>
      <c r="AE182">
        <v>0.268765538930893</v>
      </c>
      <c r="AF182">
        <v>1455.56280587276</v>
      </c>
      <c r="AG182">
        <f>IFERROR(AH182*0.1, "N/A")</f>
        <v>6.2755301794453509</v>
      </c>
      <c r="AH182">
        <v>62.755301794453501</v>
      </c>
      <c r="AI182">
        <v>295.67481153279698</v>
      </c>
      <c r="AJ182">
        <v>16.768352365416</v>
      </c>
      <c r="AK182">
        <v>68.4796084828711</v>
      </c>
    </row>
    <row r="183" spans="1:37" x14ac:dyDescent="0.3">
      <c r="A183">
        <v>182</v>
      </c>
      <c r="B183">
        <v>69</v>
      </c>
      <c r="C183">
        <v>32.175998999999997</v>
      </c>
      <c r="D183">
        <v>-18.4466</v>
      </c>
      <c r="E183" t="s">
        <v>307</v>
      </c>
      <c r="F183" t="s">
        <v>309</v>
      </c>
      <c r="G183" t="s">
        <v>39</v>
      </c>
      <c r="H183">
        <v>1985</v>
      </c>
      <c r="I183">
        <v>16.5</v>
      </c>
      <c r="J183">
        <v>12.300000190734901</v>
      </c>
      <c r="K183">
        <v>57</v>
      </c>
      <c r="L183">
        <v>27.450000762939499</v>
      </c>
      <c r="M183">
        <v>26.200000762939499</v>
      </c>
      <c r="N183">
        <v>4.8000001907348597</v>
      </c>
      <c r="O183">
        <v>21.399999618530298</v>
      </c>
      <c r="P183">
        <v>19</v>
      </c>
      <c r="Q183">
        <v>12.3999996185303</v>
      </c>
      <c r="R183">
        <v>19</v>
      </c>
      <c r="S183">
        <v>12.3999996185303</v>
      </c>
      <c r="T183">
        <v>805</v>
      </c>
      <c r="U183">
        <v>177</v>
      </c>
      <c r="V183">
        <v>3</v>
      </c>
      <c r="W183">
        <v>97</v>
      </c>
      <c r="X183">
        <v>495</v>
      </c>
      <c r="Y183">
        <v>12</v>
      </c>
      <c r="Z183">
        <v>464</v>
      </c>
      <c r="AA183">
        <v>12</v>
      </c>
      <c r="AB183">
        <v>12.1963738943974</v>
      </c>
      <c r="AC183">
        <v>5.6406737960036001E-2</v>
      </c>
      <c r="AD183">
        <v>2.2940293049734501</v>
      </c>
      <c r="AE183">
        <v>0.268765538930893</v>
      </c>
      <c r="AF183">
        <v>1455.56280587276</v>
      </c>
      <c r="AG183">
        <f>IFERROR(AH183*0.1, "N/A")</f>
        <v>6.2755301794453509</v>
      </c>
      <c r="AH183">
        <v>62.755301794453501</v>
      </c>
      <c r="AI183">
        <v>295.67481153279698</v>
      </c>
      <c r="AJ183">
        <v>16.768352365416</v>
      </c>
      <c r="AK183">
        <v>68.4796084828711</v>
      </c>
    </row>
    <row r="184" spans="1:37" x14ac:dyDescent="0.3">
      <c r="A184">
        <v>183</v>
      </c>
      <c r="B184">
        <v>0</v>
      </c>
      <c r="C184">
        <v>27.472000000000001</v>
      </c>
      <c r="D184">
        <v>-18.306899999999999</v>
      </c>
      <c r="E184" t="s">
        <v>310</v>
      </c>
      <c r="F184" t="s">
        <v>311</v>
      </c>
      <c r="G184" t="s">
        <v>37</v>
      </c>
      <c r="H184">
        <v>1985</v>
      </c>
      <c r="I184">
        <v>21.299999237060501</v>
      </c>
      <c r="J184">
        <v>14.699999809265099</v>
      </c>
      <c r="K184">
        <v>54</v>
      </c>
      <c r="L184">
        <v>31.969999313354499</v>
      </c>
      <c r="M184">
        <v>33.599998474121101</v>
      </c>
      <c r="N184">
        <v>6.8000001907348597</v>
      </c>
      <c r="O184">
        <v>26.799999237060501</v>
      </c>
      <c r="P184">
        <v>23.299999237060501</v>
      </c>
      <c r="Q184">
        <v>16.700000762939499</v>
      </c>
      <c r="R184">
        <v>24.600000381469702</v>
      </c>
      <c r="S184">
        <v>16.700000762939499</v>
      </c>
      <c r="T184">
        <v>686</v>
      </c>
      <c r="U184">
        <v>180</v>
      </c>
      <c r="V184">
        <v>0</v>
      </c>
      <c r="W184">
        <v>112</v>
      </c>
      <c r="X184">
        <v>481</v>
      </c>
      <c r="Y184">
        <v>2</v>
      </c>
      <c r="Z184">
        <v>244</v>
      </c>
      <c r="AA184">
        <v>7</v>
      </c>
      <c r="AB184">
        <v>5.5889508356813504</v>
      </c>
      <c r="AC184">
        <v>0.19380335333436499</v>
      </c>
      <c r="AD184">
        <v>4.5455363644928202</v>
      </c>
      <c r="AE184">
        <v>0.40347322821617099</v>
      </c>
      <c r="AF184">
        <v>1069.8213114754101</v>
      </c>
      <c r="AG184">
        <f>IFERROR(AH184*0.1, "N/A")</f>
        <v>5.9</v>
      </c>
      <c r="AH184">
        <v>59</v>
      </c>
      <c r="AI184">
        <v>252.21028251022599</v>
      </c>
      <c r="AJ184">
        <v>13.8131147540984</v>
      </c>
      <c r="AK184">
        <v>77.780327868852495</v>
      </c>
    </row>
    <row r="185" spans="1:37" x14ac:dyDescent="0.3">
      <c r="A185">
        <v>184</v>
      </c>
      <c r="B185">
        <v>63</v>
      </c>
      <c r="C185">
        <v>27.472000000000001</v>
      </c>
      <c r="D185">
        <v>-18.306899999999999</v>
      </c>
      <c r="E185" t="s">
        <v>310</v>
      </c>
      <c r="F185" t="s">
        <v>312</v>
      </c>
      <c r="G185" t="s">
        <v>39</v>
      </c>
      <c r="H185">
        <v>1985</v>
      </c>
      <c r="I185">
        <v>21.299999237060501</v>
      </c>
      <c r="J185">
        <v>14.699999809265099</v>
      </c>
      <c r="K185">
        <v>54</v>
      </c>
      <c r="L185">
        <v>31.969999313354499</v>
      </c>
      <c r="M185">
        <v>33.599998474121101</v>
      </c>
      <c r="N185">
        <v>6.8000001907348597</v>
      </c>
      <c r="O185">
        <v>26.799999237060501</v>
      </c>
      <c r="P185">
        <v>23.299999237060501</v>
      </c>
      <c r="Q185">
        <v>16.700000762939499</v>
      </c>
      <c r="R185">
        <v>24.600000381469702</v>
      </c>
      <c r="S185">
        <v>16.700000762939499</v>
      </c>
      <c r="T185">
        <v>686</v>
      </c>
      <c r="U185">
        <v>180</v>
      </c>
      <c r="V185">
        <v>0</v>
      </c>
      <c r="W185">
        <v>112</v>
      </c>
      <c r="X185">
        <v>481</v>
      </c>
      <c r="Y185">
        <v>2</v>
      </c>
      <c r="Z185">
        <v>244</v>
      </c>
      <c r="AA185">
        <v>7</v>
      </c>
      <c r="AB185">
        <v>5.5889508356813504</v>
      </c>
      <c r="AC185">
        <v>0.19380335333436499</v>
      </c>
      <c r="AD185">
        <v>4.5455363644928202</v>
      </c>
      <c r="AE185">
        <v>0.40347322821617099</v>
      </c>
      <c r="AF185">
        <v>1069.8213114754101</v>
      </c>
      <c r="AG185">
        <f>IFERROR(AH185*0.1, "N/A")</f>
        <v>5.9</v>
      </c>
      <c r="AH185">
        <v>59</v>
      </c>
      <c r="AI185">
        <v>252.21028251022599</v>
      </c>
      <c r="AJ185">
        <v>13.8131147540984</v>
      </c>
      <c r="AK185">
        <v>77.780327868852495</v>
      </c>
    </row>
    <row r="186" spans="1:37" x14ac:dyDescent="0.3">
      <c r="A186">
        <v>185</v>
      </c>
      <c r="B186">
        <v>0</v>
      </c>
      <c r="C186">
        <v>25.993200000000002</v>
      </c>
      <c r="D186">
        <v>-18.304099999999998</v>
      </c>
      <c r="E186" t="s">
        <v>313</v>
      </c>
      <c r="F186" t="s">
        <v>314</v>
      </c>
      <c r="G186" t="s">
        <v>37</v>
      </c>
      <c r="H186">
        <v>1985</v>
      </c>
      <c r="I186">
        <v>22.5</v>
      </c>
      <c r="J186">
        <v>15.199999809265099</v>
      </c>
      <c r="K186">
        <v>54</v>
      </c>
      <c r="L186">
        <v>34.130001068115199</v>
      </c>
      <c r="M186">
        <v>35</v>
      </c>
      <c r="N186">
        <v>7.3000001907348597</v>
      </c>
      <c r="O186">
        <v>27.700000762939499</v>
      </c>
      <c r="P186">
        <v>24.399999618530298</v>
      </c>
      <c r="Q186">
        <v>17.5</v>
      </c>
      <c r="R186">
        <v>26</v>
      </c>
      <c r="S186">
        <v>17.5</v>
      </c>
      <c r="T186">
        <v>642</v>
      </c>
      <c r="U186">
        <v>165</v>
      </c>
      <c r="V186">
        <v>0</v>
      </c>
      <c r="W186">
        <v>114</v>
      </c>
      <c r="X186">
        <v>452</v>
      </c>
      <c r="Y186">
        <v>1</v>
      </c>
      <c r="Z186">
        <v>234</v>
      </c>
      <c r="AA186">
        <v>1</v>
      </c>
      <c r="AB186">
        <v>18.3414883083767</v>
      </c>
      <c r="AC186">
        <v>8.6544546374771006E-2</v>
      </c>
      <c r="AD186">
        <v>5.0148746507619704</v>
      </c>
      <c r="AE186">
        <v>0.108531825244427</v>
      </c>
      <c r="AF186">
        <v>925.55555555555497</v>
      </c>
      <c r="AG186">
        <f>IFERROR(AH186*0.1, "N/A")</f>
        <v>6.5</v>
      </c>
      <c r="AH186">
        <v>65</v>
      </c>
      <c r="AI186">
        <v>183.269539178587</v>
      </c>
      <c r="AJ186">
        <v>30</v>
      </c>
      <c r="AK186">
        <v>56</v>
      </c>
    </row>
    <row r="187" spans="1:37" x14ac:dyDescent="0.3">
      <c r="A187">
        <v>186</v>
      </c>
      <c r="B187">
        <v>6</v>
      </c>
      <c r="C187">
        <v>25.993200000000002</v>
      </c>
      <c r="D187">
        <v>-18.304099999999998</v>
      </c>
      <c r="E187" t="s">
        <v>313</v>
      </c>
      <c r="F187" t="s">
        <v>315</v>
      </c>
      <c r="G187" t="s">
        <v>39</v>
      </c>
      <c r="H187">
        <v>1985</v>
      </c>
      <c r="I187">
        <v>22.5</v>
      </c>
      <c r="J187">
        <v>15.199999809265099</v>
      </c>
      <c r="K187">
        <v>54</v>
      </c>
      <c r="L187">
        <v>34.130001068115199</v>
      </c>
      <c r="M187">
        <v>35</v>
      </c>
      <c r="N187">
        <v>7.3000001907348597</v>
      </c>
      <c r="O187">
        <v>27.700000762939499</v>
      </c>
      <c r="P187">
        <v>24.399999618530298</v>
      </c>
      <c r="Q187">
        <v>17.5</v>
      </c>
      <c r="R187">
        <v>26</v>
      </c>
      <c r="S187">
        <v>17.5</v>
      </c>
      <c r="T187">
        <v>642</v>
      </c>
      <c r="U187">
        <v>165</v>
      </c>
      <c r="V187">
        <v>0</v>
      </c>
      <c r="W187">
        <v>114</v>
      </c>
      <c r="X187">
        <v>452</v>
      </c>
      <c r="Y187">
        <v>1</v>
      </c>
      <c r="Z187">
        <v>234</v>
      </c>
      <c r="AA187">
        <v>1</v>
      </c>
      <c r="AB187">
        <v>18.3414883083767</v>
      </c>
      <c r="AC187">
        <v>8.6544546374771006E-2</v>
      </c>
      <c r="AD187">
        <v>5.0148746507619704</v>
      </c>
      <c r="AE187">
        <v>0.108531825244427</v>
      </c>
      <c r="AF187">
        <v>925.55555555555497</v>
      </c>
      <c r="AG187">
        <f>IFERROR(AH187*0.1, "N/A")</f>
        <v>6.5</v>
      </c>
      <c r="AH187">
        <v>65</v>
      </c>
      <c r="AI187">
        <v>183.269539178587</v>
      </c>
      <c r="AJ187">
        <v>30</v>
      </c>
      <c r="AK187">
        <v>56</v>
      </c>
    </row>
    <row r="188" spans="1:37" x14ac:dyDescent="0.3">
      <c r="A188">
        <v>187</v>
      </c>
      <c r="B188">
        <v>0</v>
      </c>
      <c r="C188">
        <v>26.156300000000002</v>
      </c>
      <c r="D188">
        <v>-18.292000000000002</v>
      </c>
      <c r="E188" t="s">
        <v>316</v>
      </c>
      <c r="F188" t="s">
        <v>317</v>
      </c>
      <c r="G188" t="s">
        <v>37</v>
      </c>
      <c r="H188">
        <v>1985</v>
      </c>
      <c r="I188">
        <v>22.442156642091</v>
      </c>
      <c r="J188">
        <v>15.0140523411869</v>
      </c>
      <c r="K188">
        <v>54</v>
      </c>
      <c r="L188">
        <v>33.989346996631497</v>
      </c>
      <c r="M188">
        <v>34.856208601808198</v>
      </c>
      <c r="N188">
        <v>7.4281046437282203</v>
      </c>
      <c r="O188">
        <v>27.428104300904099</v>
      </c>
      <c r="P188">
        <v>24.342156260621302</v>
      </c>
      <c r="Q188">
        <v>17.442156642091</v>
      </c>
      <c r="R188">
        <v>25.942156642091</v>
      </c>
      <c r="S188">
        <v>17.442156642091</v>
      </c>
      <c r="T188">
        <v>644.75163398692803</v>
      </c>
      <c r="U188">
        <v>167.57843137254901</v>
      </c>
      <c r="V188">
        <v>0</v>
      </c>
      <c r="W188">
        <v>116</v>
      </c>
      <c r="X188">
        <v>456.73529411764702</v>
      </c>
      <c r="Y188">
        <v>1</v>
      </c>
      <c r="Z188">
        <v>233.01633986928101</v>
      </c>
      <c r="AA188">
        <v>1.42156862745098</v>
      </c>
      <c r="AB188">
        <v>19.1906865936479</v>
      </c>
      <c r="AC188">
        <v>8.1239707427089997E-3</v>
      </c>
      <c r="AD188">
        <v>4.2019758567311403</v>
      </c>
      <c r="AE188">
        <v>0.18619973957538599</v>
      </c>
      <c r="AF188">
        <v>920.48692810457499</v>
      </c>
      <c r="AG188">
        <f>IFERROR(AH188*0.1, "N/A")</f>
        <v>6.5289215686274504</v>
      </c>
      <c r="AH188">
        <v>65.289215686274503</v>
      </c>
      <c r="AI188">
        <v>180.14303945404299</v>
      </c>
      <c r="AJ188">
        <v>29.266339869281001</v>
      </c>
      <c r="AK188">
        <v>56.5555555555556</v>
      </c>
    </row>
    <row r="189" spans="1:37" x14ac:dyDescent="0.3">
      <c r="A189">
        <v>188</v>
      </c>
      <c r="B189">
        <v>25</v>
      </c>
      <c r="C189">
        <v>26.156300000000002</v>
      </c>
      <c r="D189">
        <v>-18.292000000000002</v>
      </c>
      <c r="E189" t="s">
        <v>316</v>
      </c>
      <c r="F189" t="s">
        <v>318</v>
      </c>
      <c r="G189" t="s">
        <v>39</v>
      </c>
      <c r="H189">
        <v>1985</v>
      </c>
      <c r="I189">
        <v>22.442156642091</v>
      </c>
      <c r="J189">
        <v>15.0140523411869</v>
      </c>
      <c r="K189">
        <v>54</v>
      </c>
      <c r="L189">
        <v>33.989346996631497</v>
      </c>
      <c r="M189">
        <v>34.856208601808198</v>
      </c>
      <c r="N189">
        <v>7.4281046437282203</v>
      </c>
      <c r="O189">
        <v>27.428104300904099</v>
      </c>
      <c r="P189">
        <v>24.342156260621302</v>
      </c>
      <c r="Q189">
        <v>17.442156642091</v>
      </c>
      <c r="R189">
        <v>25.942156642091</v>
      </c>
      <c r="S189">
        <v>17.442156642091</v>
      </c>
      <c r="T189">
        <v>644.75163398692803</v>
      </c>
      <c r="U189">
        <v>167.57843137254901</v>
      </c>
      <c r="V189">
        <v>0</v>
      </c>
      <c r="W189">
        <v>116</v>
      </c>
      <c r="X189">
        <v>456.73529411764702</v>
      </c>
      <c r="Y189">
        <v>1</v>
      </c>
      <c r="Z189">
        <v>233.01633986928101</v>
      </c>
      <c r="AA189">
        <v>1.42156862745098</v>
      </c>
      <c r="AB189">
        <v>19.1906865936479</v>
      </c>
      <c r="AC189">
        <v>8.1239707427089997E-3</v>
      </c>
      <c r="AD189">
        <v>4.2019758567311403</v>
      </c>
      <c r="AE189">
        <v>0.18619973957538599</v>
      </c>
      <c r="AF189">
        <v>920.48692810457499</v>
      </c>
      <c r="AG189">
        <f>IFERROR(AH189*0.1, "N/A")</f>
        <v>6.5289215686274504</v>
      </c>
      <c r="AH189">
        <v>65.289215686274503</v>
      </c>
      <c r="AI189">
        <v>180.14303945404299</v>
      </c>
      <c r="AJ189">
        <v>29.266339869281001</v>
      </c>
      <c r="AK189">
        <v>56.5555555555556</v>
      </c>
    </row>
    <row r="190" spans="1:37" x14ac:dyDescent="0.3">
      <c r="A190">
        <v>189</v>
      </c>
      <c r="B190">
        <v>0</v>
      </c>
      <c r="C190">
        <v>30.243200000000002</v>
      </c>
      <c r="D190">
        <v>-18.288900000000002</v>
      </c>
      <c r="E190" t="s">
        <v>319</v>
      </c>
      <c r="F190" t="s">
        <v>320</v>
      </c>
      <c r="G190" t="s">
        <v>37</v>
      </c>
      <c r="H190">
        <v>1985</v>
      </c>
      <c r="I190">
        <v>19.5</v>
      </c>
      <c r="J190">
        <v>14.6000003814697</v>
      </c>
      <c r="K190">
        <v>57</v>
      </c>
      <c r="L190">
        <v>28.950000762939499</v>
      </c>
      <c r="M190">
        <v>31</v>
      </c>
      <c r="N190">
        <v>5.8000001907348597</v>
      </c>
      <c r="O190">
        <v>25.200000762939499</v>
      </c>
      <c r="P190">
        <v>21.600000381469702</v>
      </c>
      <c r="Q190">
        <v>15.199999809265099</v>
      </c>
      <c r="R190">
        <v>22.299999237060501</v>
      </c>
      <c r="S190">
        <v>15.199999809265099</v>
      </c>
      <c r="T190">
        <v>756</v>
      </c>
      <c r="U190">
        <v>180</v>
      </c>
      <c r="V190">
        <v>0</v>
      </c>
      <c r="W190">
        <v>107</v>
      </c>
      <c r="X190">
        <v>504</v>
      </c>
      <c r="Y190">
        <v>3</v>
      </c>
      <c r="Z190">
        <v>300</v>
      </c>
      <c r="AA190">
        <v>6</v>
      </c>
      <c r="AB190">
        <v>2.18163167847873</v>
      </c>
      <c r="AC190">
        <v>0.113803906096237</v>
      </c>
      <c r="AD190">
        <v>0.87164757267271598</v>
      </c>
      <c r="AE190">
        <v>0.28134713785462001</v>
      </c>
      <c r="AF190">
        <v>1203.8794788273599</v>
      </c>
      <c r="AG190">
        <f>IFERROR(AH190*0.1, "N/A")</f>
        <v>6.1000000000000005</v>
      </c>
      <c r="AH190">
        <v>61</v>
      </c>
      <c r="AI190">
        <v>177.34740676631401</v>
      </c>
      <c r="AJ190">
        <v>23</v>
      </c>
      <c r="AK190">
        <v>61.783387622149803</v>
      </c>
    </row>
    <row r="191" spans="1:37" x14ac:dyDescent="0.3">
      <c r="A191">
        <v>190</v>
      </c>
      <c r="B191">
        <v>15</v>
      </c>
      <c r="C191">
        <v>30.243200000000002</v>
      </c>
      <c r="D191">
        <v>-18.288900000000002</v>
      </c>
      <c r="E191" t="s">
        <v>319</v>
      </c>
      <c r="F191" t="s">
        <v>321</v>
      </c>
      <c r="G191" t="s">
        <v>39</v>
      </c>
      <c r="H191">
        <v>1985</v>
      </c>
      <c r="I191">
        <v>19.5</v>
      </c>
      <c r="J191">
        <v>14.6000003814697</v>
      </c>
      <c r="K191">
        <v>57</v>
      </c>
      <c r="L191">
        <v>28.950000762939499</v>
      </c>
      <c r="M191">
        <v>31</v>
      </c>
      <c r="N191">
        <v>5.8000001907348597</v>
      </c>
      <c r="O191">
        <v>25.200000762939499</v>
      </c>
      <c r="P191">
        <v>21.600000381469702</v>
      </c>
      <c r="Q191">
        <v>15.199999809265099</v>
      </c>
      <c r="R191">
        <v>22.299999237060501</v>
      </c>
      <c r="S191">
        <v>15.199999809265099</v>
      </c>
      <c r="T191">
        <v>756</v>
      </c>
      <c r="U191">
        <v>180</v>
      </c>
      <c r="V191">
        <v>0</v>
      </c>
      <c r="W191">
        <v>107</v>
      </c>
      <c r="X191">
        <v>504</v>
      </c>
      <c r="Y191">
        <v>3</v>
      </c>
      <c r="Z191">
        <v>300</v>
      </c>
      <c r="AA191">
        <v>6</v>
      </c>
      <c r="AB191">
        <v>2.18163167847873</v>
      </c>
      <c r="AC191">
        <v>0.113803906096237</v>
      </c>
      <c r="AD191">
        <v>0.87164757267271598</v>
      </c>
      <c r="AE191">
        <v>0.28134713785462001</v>
      </c>
      <c r="AF191">
        <v>1203.8794788273599</v>
      </c>
      <c r="AG191">
        <f>IFERROR(AH191*0.1, "N/A")</f>
        <v>6.1000000000000005</v>
      </c>
      <c r="AH191">
        <v>61</v>
      </c>
      <c r="AI191">
        <v>177.34740676631401</v>
      </c>
      <c r="AJ191">
        <v>23</v>
      </c>
      <c r="AK191">
        <v>61.783387622149803</v>
      </c>
    </row>
    <row r="192" spans="1:37" x14ac:dyDescent="0.3">
      <c r="A192">
        <v>191</v>
      </c>
      <c r="B192">
        <v>18</v>
      </c>
      <c r="C192">
        <v>26.6248</v>
      </c>
      <c r="D192">
        <v>-18.273800000000001</v>
      </c>
      <c r="E192" t="s">
        <v>322</v>
      </c>
      <c r="F192" t="s">
        <v>323</v>
      </c>
      <c r="G192" t="s">
        <v>37</v>
      </c>
      <c r="H192">
        <v>1985</v>
      </c>
      <c r="I192">
        <v>24.100000381469702</v>
      </c>
      <c r="J192">
        <v>15</v>
      </c>
      <c r="K192">
        <v>55</v>
      </c>
      <c r="L192">
        <v>33.172734218416402</v>
      </c>
      <c r="M192">
        <v>36.577576557665097</v>
      </c>
      <c r="N192">
        <v>9.3999996185302699</v>
      </c>
      <c r="O192">
        <v>27.1775784188128</v>
      </c>
      <c r="P192">
        <v>25.899999618530298</v>
      </c>
      <c r="Q192">
        <v>19.299999237060501</v>
      </c>
      <c r="R192">
        <v>27.600000381469702</v>
      </c>
      <c r="S192">
        <v>19.299999237060501</v>
      </c>
      <c r="T192">
        <v>570</v>
      </c>
      <c r="U192">
        <v>152</v>
      </c>
      <c r="V192">
        <v>0</v>
      </c>
      <c r="W192">
        <v>118</v>
      </c>
      <c r="X192">
        <v>416</v>
      </c>
      <c r="Y192">
        <v>0</v>
      </c>
      <c r="Z192">
        <v>201</v>
      </c>
      <c r="AA192">
        <v>0</v>
      </c>
      <c r="AB192">
        <v>1.8523576552270899</v>
      </c>
      <c r="AC192">
        <v>1.3470355092065E-2</v>
      </c>
      <c r="AD192">
        <v>0.88939422403146695</v>
      </c>
      <c r="AE192">
        <v>0.106194607913494</v>
      </c>
      <c r="AF192">
        <v>643.08346972176798</v>
      </c>
      <c r="AG192">
        <f>IFERROR(AH192*0.1, "N/A")</f>
        <v>6.8410801963993508</v>
      </c>
      <c r="AH192">
        <v>68.410801963993507</v>
      </c>
      <c r="AI192">
        <v>275.65902312882798</v>
      </c>
      <c r="AJ192">
        <v>22.597381342062199</v>
      </c>
      <c r="AK192">
        <v>64.921440261865797</v>
      </c>
    </row>
    <row r="193" spans="1:37" x14ac:dyDescent="0.3">
      <c r="A193">
        <v>192</v>
      </c>
      <c r="B193">
        <v>5</v>
      </c>
      <c r="C193">
        <v>26.6248</v>
      </c>
      <c r="D193">
        <v>-18.273800000000001</v>
      </c>
      <c r="E193" t="s">
        <v>322</v>
      </c>
      <c r="F193" t="s">
        <v>324</v>
      </c>
      <c r="G193" t="s">
        <v>39</v>
      </c>
      <c r="H193">
        <v>1985</v>
      </c>
      <c r="I193">
        <v>24.100000381469702</v>
      </c>
      <c r="J193">
        <v>15</v>
      </c>
      <c r="K193">
        <v>55</v>
      </c>
      <c r="L193">
        <v>33.172734218416402</v>
      </c>
      <c r="M193">
        <v>36.577576557665097</v>
      </c>
      <c r="N193">
        <v>9.3999996185302699</v>
      </c>
      <c r="O193">
        <v>27.1775784188128</v>
      </c>
      <c r="P193">
        <v>25.899999618530298</v>
      </c>
      <c r="Q193">
        <v>19.299999237060501</v>
      </c>
      <c r="R193">
        <v>27.600000381469702</v>
      </c>
      <c r="S193">
        <v>19.299999237060501</v>
      </c>
      <c r="T193">
        <v>570</v>
      </c>
      <c r="U193">
        <v>152</v>
      </c>
      <c r="V193">
        <v>0</v>
      </c>
      <c r="W193">
        <v>118</v>
      </c>
      <c r="X193">
        <v>416</v>
      </c>
      <c r="Y193">
        <v>0</v>
      </c>
      <c r="Z193">
        <v>201</v>
      </c>
      <c r="AA193">
        <v>0</v>
      </c>
      <c r="AB193">
        <v>1.8523576552270899</v>
      </c>
      <c r="AC193">
        <v>1.3470355092065E-2</v>
      </c>
      <c r="AD193">
        <v>0.88939422403146695</v>
      </c>
      <c r="AE193">
        <v>0.106194607913494</v>
      </c>
      <c r="AF193">
        <v>643.08346972176798</v>
      </c>
      <c r="AG193">
        <f>IFERROR(AH193*0.1, "N/A")</f>
        <v>6.8410801963993508</v>
      </c>
      <c r="AH193">
        <v>68.410801963993507</v>
      </c>
      <c r="AI193">
        <v>275.65902312882798</v>
      </c>
      <c r="AJ193">
        <v>22.597381342062199</v>
      </c>
      <c r="AK193">
        <v>64.921440261865797</v>
      </c>
    </row>
    <row r="194" spans="1:37" x14ac:dyDescent="0.3">
      <c r="A194">
        <v>193</v>
      </c>
      <c r="B194">
        <v>0</v>
      </c>
      <c r="C194">
        <v>28.798100000000002</v>
      </c>
      <c r="D194">
        <v>-18.268599999999999</v>
      </c>
      <c r="E194" t="s">
        <v>325</v>
      </c>
      <c r="F194" t="s">
        <v>326</v>
      </c>
      <c r="G194" t="s">
        <v>37</v>
      </c>
      <c r="H194">
        <v>1985</v>
      </c>
      <c r="I194">
        <v>20.700000762939499</v>
      </c>
      <c r="J194">
        <v>13.3999996185303</v>
      </c>
      <c r="K194">
        <v>55</v>
      </c>
      <c r="L194">
        <v>29.120000839233398</v>
      </c>
      <c r="M194">
        <v>32</v>
      </c>
      <c r="N194">
        <v>7.8000001907348597</v>
      </c>
      <c r="O194">
        <v>24.200000762939499</v>
      </c>
      <c r="P194">
        <v>22.5</v>
      </c>
      <c r="Q194">
        <v>16.5</v>
      </c>
      <c r="R194">
        <v>23.700000762939499</v>
      </c>
      <c r="S194">
        <v>16.5</v>
      </c>
      <c r="T194">
        <v>735</v>
      </c>
      <c r="U194">
        <v>186</v>
      </c>
      <c r="V194">
        <v>0</v>
      </c>
      <c r="W194">
        <v>109</v>
      </c>
      <c r="X194">
        <v>502</v>
      </c>
      <c r="Y194">
        <v>2</v>
      </c>
      <c r="Z194">
        <v>270</v>
      </c>
      <c r="AA194">
        <v>8</v>
      </c>
      <c r="AB194">
        <v>11.930033000802901</v>
      </c>
      <c r="AC194">
        <v>2.4852395908479E-2</v>
      </c>
      <c r="AD194">
        <v>2.81015324475909</v>
      </c>
      <c r="AE194">
        <v>0.29584395885467502</v>
      </c>
      <c r="AF194">
        <v>1143.16802610114</v>
      </c>
      <c r="AG194">
        <f>IFERROR(AH194*0.1, "N/A")</f>
        <v>6.1864600326264307</v>
      </c>
      <c r="AH194">
        <v>61.864600326264302</v>
      </c>
      <c r="AI194">
        <v>114.768915409754</v>
      </c>
      <c r="AJ194">
        <v>14</v>
      </c>
      <c r="AK194">
        <v>78.432300163132098</v>
      </c>
    </row>
    <row r="195" spans="1:37" x14ac:dyDescent="0.3">
      <c r="A195">
        <v>194</v>
      </c>
      <c r="B195">
        <v>8</v>
      </c>
      <c r="C195">
        <v>28.798100000000002</v>
      </c>
      <c r="D195">
        <v>-18.268599999999999</v>
      </c>
      <c r="E195" t="s">
        <v>325</v>
      </c>
      <c r="F195" t="s">
        <v>327</v>
      </c>
      <c r="G195" t="s">
        <v>39</v>
      </c>
      <c r="H195">
        <v>1985</v>
      </c>
      <c r="I195">
        <v>20.700000762939499</v>
      </c>
      <c r="J195">
        <v>13.3999996185303</v>
      </c>
      <c r="K195">
        <v>55</v>
      </c>
      <c r="L195">
        <v>29.120000839233398</v>
      </c>
      <c r="M195">
        <v>32</v>
      </c>
      <c r="N195">
        <v>7.8000001907348597</v>
      </c>
      <c r="O195">
        <v>24.200000762939499</v>
      </c>
      <c r="P195">
        <v>22.5</v>
      </c>
      <c r="Q195">
        <v>16.5</v>
      </c>
      <c r="R195">
        <v>23.700000762939499</v>
      </c>
      <c r="S195">
        <v>16.5</v>
      </c>
      <c r="T195">
        <v>735</v>
      </c>
      <c r="U195">
        <v>186</v>
      </c>
      <c r="V195">
        <v>0</v>
      </c>
      <c r="W195">
        <v>109</v>
      </c>
      <c r="X195">
        <v>502</v>
      </c>
      <c r="Y195">
        <v>2</v>
      </c>
      <c r="Z195">
        <v>270</v>
      </c>
      <c r="AA195">
        <v>8</v>
      </c>
      <c r="AB195">
        <v>11.930033000802901</v>
      </c>
      <c r="AC195">
        <v>2.4852395908479E-2</v>
      </c>
      <c r="AD195">
        <v>2.81015324475909</v>
      </c>
      <c r="AE195">
        <v>0.29584395885467502</v>
      </c>
      <c r="AF195">
        <v>1143.16802610114</v>
      </c>
      <c r="AG195">
        <f>IFERROR(AH195*0.1, "N/A")</f>
        <v>6.1864600326264307</v>
      </c>
      <c r="AH195">
        <v>61.864600326264302</v>
      </c>
      <c r="AI195">
        <v>114.768915409754</v>
      </c>
      <c r="AJ195">
        <v>14</v>
      </c>
      <c r="AK195">
        <v>78.432300163132098</v>
      </c>
    </row>
    <row r="196" spans="1:37" x14ac:dyDescent="0.3">
      <c r="A196">
        <v>195</v>
      </c>
      <c r="B196">
        <v>7</v>
      </c>
      <c r="C196">
        <v>29.6616</v>
      </c>
      <c r="D196">
        <v>-18.266199</v>
      </c>
      <c r="E196" t="s">
        <v>328</v>
      </c>
      <c r="F196" t="s">
        <v>329</v>
      </c>
      <c r="G196" t="s">
        <v>37</v>
      </c>
      <c r="H196">
        <v>1985</v>
      </c>
      <c r="I196">
        <v>20.299999237060501</v>
      </c>
      <c r="J196">
        <v>14.199999809265099</v>
      </c>
      <c r="K196">
        <v>57</v>
      </c>
      <c r="L196">
        <v>29.864045679861</v>
      </c>
      <c r="M196">
        <v>31.6367052523191</v>
      </c>
      <c r="N196">
        <v>6.9000000953674299</v>
      </c>
      <c r="O196">
        <v>24.736704933701699</v>
      </c>
      <c r="P196">
        <v>22.5</v>
      </c>
      <c r="Q196">
        <v>15.8999996185303</v>
      </c>
      <c r="R196">
        <v>23.200000762939499</v>
      </c>
      <c r="S196">
        <v>15.8999996185303</v>
      </c>
      <c r="T196">
        <v>720.63295269167998</v>
      </c>
      <c r="U196">
        <v>171.63295269168</v>
      </c>
      <c r="V196">
        <v>0</v>
      </c>
      <c r="W196">
        <v>107.63295269168</v>
      </c>
      <c r="X196">
        <v>485.26590538336097</v>
      </c>
      <c r="Y196">
        <v>2</v>
      </c>
      <c r="Z196">
        <v>273</v>
      </c>
      <c r="AA196">
        <v>7.3670473083197399</v>
      </c>
      <c r="AB196">
        <v>4.5074936834089501</v>
      </c>
      <c r="AC196">
        <v>1.8344568685729999E-2</v>
      </c>
      <c r="AD196">
        <v>1.80328798799686</v>
      </c>
      <c r="AE196">
        <v>0.20880034565925601</v>
      </c>
      <c r="AF196">
        <v>1056.2430668841801</v>
      </c>
      <c r="AG196">
        <f>IFERROR(AH196*0.1, "N/A")</f>
        <v>5.8923327895595401</v>
      </c>
      <c r="AH196">
        <v>58.923327895595399</v>
      </c>
      <c r="AI196">
        <v>195.75403957149101</v>
      </c>
      <c r="AJ196">
        <v>17.0424143556281</v>
      </c>
      <c r="AK196">
        <v>70.929853181076695</v>
      </c>
    </row>
    <row r="197" spans="1:37" x14ac:dyDescent="0.3">
      <c r="A197">
        <v>196</v>
      </c>
      <c r="B197">
        <v>74</v>
      </c>
      <c r="C197">
        <v>29.6616</v>
      </c>
      <c r="D197">
        <v>-18.266199</v>
      </c>
      <c r="E197" t="s">
        <v>328</v>
      </c>
      <c r="F197" t="s">
        <v>330</v>
      </c>
      <c r="G197" t="s">
        <v>39</v>
      </c>
      <c r="H197">
        <v>1985</v>
      </c>
      <c r="I197">
        <v>20.299999237060501</v>
      </c>
      <c r="J197">
        <v>14.199999809265099</v>
      </c>
      <c r="K197">
        <v>57</v>
      </c>
      <c r="L197">
        <v>29.864045679861</v>
      </c>
      <c r="M197">
        <v>31.6367052523191</v>
      </c>
      <c r="N197">
        <v>6.9000000953674299</v>
      </c>
      <c r="O197">
        <v>24.736704933701699</v>
      </c>
      <c r="P197">
        <v>22.5</v>
      </c>
      <c r="Q197">
        <v>15.8999996185303</v>
      </c>
      <c r="R197">
        <v>23.200000762939499</v>
      </c>
      <c r="S197">
        <v>15.8999996185303</v>
      </c>
      <c r="T197">
        <v>720.63295269167998</v>
      </c>
      <c r="U197">
        <v>171.63295269168</v>
      </c>
      <c r="V197">
        <v>0</v>
      </c>
      <c r="W197">
        <v>107.63295269168</v>
      </c>
      <c r="X197">
        <v>485.26590538336097</v>
      </c>
      <c r="Y197">
        <v>2</v>
      </c>
      <c r="Z197">
        <v>273</v>
      </c>
      <c r="AA197">
        <v>7.3670473083197399</v>
      </c>
      <c r="AB197">
        <v>4.5074936834089501</v>
      </c>
      <c r="AC197">
        <v>1.8344568685729999E-2</v>
      </c>
      <c r="AD197">
        <v>1.80328798799686</v>
      </c>
      <c r="AE197">
        <v>0.20880034565925601</v>
      </c>
      <c r="AF197">
        <v>1056.2430668841801</v>
      </c>
      <c r="AG197">
        <f>IFERROR(AH197*0.1, "N/A")</f>
        <v>5.8923327895595401</v>
      </c>
      <c r="AH197">
        <v>58.923327895595399</v>
      </c>
      <c r="AI197">
        <v>195.75403957149101</v>
      </c>
      <c r="AJ197">
        <v>17.0424143556281</v>
      </c>
      <c r="AK197">
        <v>70.929853181076695</v>
      </c>
    </row>
    <row r="198" spans="1:37" x14ac:dyDescent="0.3">
      <c r="A198">
        <v>197</v>
      </c>
      <c r="B198">
        <v>0</v>
      </c>
      <c r="C198">
        <v>28.467600000000001</v>
      </c>
      <c r="D198">
        <v>-18.251301000000002</v>
      </c>
      <c r="E198" t="s">
        <v>331</v>
      </c>
      <c r="F198" t="s">
        <v>332</v>
      </c>
      <c r="G198" t="s">
        <v>37</v>
      </c>
      <c r="H198">
        <v>1985</v>
      </c>
      <c r="I198">
        <v>21.299999237060501</v>
      </c>
      <c r="J198">
        <v>13.8999996185303</v>
      </c>
      <c r="K198">
        <v>55</v>
      </c>
      <c r="L198">
        <v>30.180000305175799</v>
      </c>
      <c r="M198">
        <v>32.900001525878899</v>
      </c>
      <c r="N198">
        <v>7.8000001907348597</v>
      </c>
      <c r="O198">
        <v>25.100000381469702</v>
      </c>
      <c r="P198">
        <v>23.200000762939499</v>
      </c>
      <c r="Q198">
        <v>17</v>
      </c>
      <c r="R198">
        <v>24.399999618530298</v>
      </c>
      <c r="S198">
        <v>16.899999618530298</v>
      </c>
      <c r="T198">
        <v>685</v>
      </c>
      <c r="U198">
        <v>179</v>
      </c>
      <c r="V198">
        <v>0</v>
      </c>
      <c r="W198">
        <v>110</v>
      </c>
      <c r="X198">
        <v>471</v>
      </c>
      <c r="Y198">
        <v>1</v>
      </c>
      <c r="Z198">
        <v>246</v>
      </c>
      <c r="AA198">
        <v>8</v>
      </c>
      <c r="AB198">
        <v>5.5168091019773797</v>
      </c>
      <c r="AC198">
        <v>0.88352178575872797</v>
      </c>
      <c r="AD198">
        <v>4.7923325117117397</v>
      </c>
      <c r="AE198">
        <v>0.23560536472626001</v>
      </c>
      <c r="AF198">
        <v>1022.22549019608</v>
      </c>
      <c r="AG198">
        <f>IFERROR(AH198*0.1, "N/A")</f>
        <v>6.0330065359477105</v>
      </c>
      <c r="AH198">
        <v>60.330065359477103</v>
      </c>
      <c r="AI198">
        <v>122.688630072899</v>
      </c>
      <c r="AJ198">
        <v>19</v>
      </c>
      <c r="AK198">
        <v>71.330065359477103</v>
      </c>
    </row>
    <row r="199" spans="1:37" x14ac:dyDescent="0.3">
      <c r="A199">
        <v>198</v>
      </c>
      <c r="B199">
        <v>19</v>
      </c>
      <c r="C199">
        <v>28.467600000000001</v>
      </c>
      <c r="D199">
        <v>-18.251301000000002</v>
      </c>
      <c r="E199" t="s">
        <v>331</v>
      </c>
      <c r="F199" t="s">
        <v>333</v>
      </c>
      <c r="G199" t="s">
        <v>39</v>
      </c>
      <c r="H199">
        <v>1985</v>
      </c>
      <c r="I199">
        <v>21.299999237060501</v>
      </c>
      <c r="J199">
        <v>13.8999996185303</v>
      </c>
      <c r="K199">
        <v>55</v>
      </c>
      <c r="L199">
        <v>30.180000305175799</v>
      </c>
      <c r="M199">
        <v>32.900001525878899</v>
      </c>
      <c r="N199">
        <v>7.8000001907348597</v>
      </c>
      <c r="O199">
        <v>25.100000381469702</v>
      </c>
      <c r="P199">
        <v>23.200000762939499</v>
      </c>
      <c r="Q199">
        <v>17</v>
      </c>
      <c r="R199">
        <v>24.399999618530298</v>
      </c>
      <c r="S199">
        <v>16.899999618530298</v>
      </c>
      <c r="T199">
        <v>685</v>
      </c>
      <c r="U199">
        <v>179</v>
      </c>
      <c r="V199">
        <v>0</v>
      </c>
      <c r="W199">
        <v>110</v>
      </c>
      <c r="X199">
        <v>471</v>
      </c>
      <c r="Y199">
        <v>1</v>
      </c>
      <c r="Z199">
        <v>246</v>
      </c>
      <c r="AA199">
        <v>8</v>
      </c>
      <c r="AB199">
        <v>5.5168091019773797</v>
      </c>
      <c r="AC199">
        <v>0.88352178575872797</v>
      </c>
      <c r="AD199">
        <v>4.7923325117117397</v>
      </c>
      <c r="AE199">
        <v>0.23560536472626001</v>
      </c>
      <c r="AF199">
        <v>1022.22549019608</v>
      </c>
      <c r="AG199">
        <f>IFERROR(AH199*0.1, "N/A")</f>
        <v>6.0330065359477105</v>
      </c>
      <c r="AH199">
        <v>60.330065359477103</v>
      </c>
      <c r="AI199">
        <v>122.688630072899</v>
      </c>
      <c r="AJ199">
        <v>19</v>
      </c>
      <c r="AK199">
        <v>71.330065359477103</v>
      </c>
    </row>
    <row r="200" spans="1:37" x14ac:dyDescent="0.3">
      <c r="A200">
        <v>199</v>
      </c>
      <c r="B200">
        <v>0</v>
      </c>
      <c r="C200">
        <v>31.684601000000001</v>
      </c>
      <c r="D200">
        <v>-18.242598999999998</v>
      </c>
      <c r="E200" t="s">
        <v>334</v>
      </c>
      <c r="F200" t="s">
        <v>335</v>
      </c>
      <c r="G200" t="s">
        <v>37</v>
      </c>
      <c r="H200">
        <v>1985</v>
      </c>
      <c r="I200">
        <v>17.113725924024401</v>
      </c>
      <c r="J200">
        <v>12.5</v>
      </c>
      <c r="K200">
        <v>56</v>
      </c>
      <c r="L200">
        <v>27.4345102123186</v>
      </c>
      <c r="M200">
        <v>27.299999237060501</v>
      </c>
      <c r="N200">
        <v>5.3000001907348597</v>
      </c>
      <c r="O200">
        <v>22</v>
      </c>
      <c r="P200">
        <v>19.399999618530298</v>
      </c>
      <c r="Q200">
        <v>13.013725542554701</v>
      </c>
      <c r="R200">
        <v>19.700000762939499</v>
      </c>
      <c r="S200">
        <v>13.013725542554701</v>
      </c>
      <c r="T200">
        <v>854.274509803922</v>
      </c>
      <c r="U200">
        <v>186</v>
      </c>
      <c r="V200">
        <v>1</v>
      </c>
      <c r="W200">
        <v>98</v>
      </c>
      <c r="X200">
        <v>531</v>
      </c>
      <c r="Y200">
        <v>11</v>
      </c>
      <c r="Z200">
        <v>341</v>
      </c>
      <c r="AA200">
        <v>11</v>
      </c>
      <c r="AB200">
        <v>10.635207232307</v>
      </c>
      <c r="AC200">
        <v>3.3700095553535002E-2</v>
      </c>
      <c r="AD200">
        <v>2.7837160122550402</v>
      </c>
      <c r="AE200">
        <v>0.32159510863567498</v>
      </c>
      <c r="AF200">
        <v>1529.7173202614399</v>
      </c>
      <c r="AG200">
        <f>IFERROR(AH200*0.1, "N/A")</f>
        <v>6.1000000000000005</v>
      </c>
      <c r="AH200">
        <v>61</v>
      </c>
      <c r="AI200">
        <v>222.719740225599</v>
      </c>
      <c r="AJ200">
        <v>18.856209150326801</v>
      </c>
      <c r="AK200">
        <v>67.866013071895395</v>
      </c>
    </row>
    <row r="201" spans="1:37" x14ac:dyDescent="0.3">
      <c r="A201">
        <v>200</v>
      </c>
      <c r="B201">
        <v>24</v>
      </c>
      <c r="C201">
        <v>31.684601000000001</v>
      </c>
      <c r="D201">
        <v>-18.242598999999998</v>
      </c>
      <c r="E201" t="s">
        <v>334</v>
      </c>
      <c r="F201" t="s">
        <v>336</v>
      </c>
      <c r="G201" t="s">
        <v>39</v>
      </c>
      <c r="H201">
        <v>1985</v>
      </c>
      <c r="I201">
        <v>17.113725924024401</v>
      </c>
      <c r="J201">
        <v>12.5</v>
      </c>
      <c r="K201">
        <v>56</v>
      </c>
      <c r="L201">
        <v>27.4345102123186</v>
      </c>
      <c r="M201">
        <v>27.299999237060501</v>
      </c>
      <c r="N201">
        <v>5.3000001907348597</v>
      </c>
      <c r="O201">
        <v>22</v>
      </c>
      <c r="P201">
        <v>19.399999618530298</v>
      </c>
      <c r="Q201">
        <v>13.013725542554701</v>
      </c>
      <c r="R201">
        <v>19.700000762939499</v>
      </c>
      <c r="S201">
        <v>13.013725542554701</v>
      </c>
      <c r="T201">
        <v>854.274509803922</v>
      </c>
      <c r="U201">
        <v>186</v>
      </c>
      <c r="V201">
        <v>1</v>
      </c>
      <c r="W201">
        <v>98</v>
      </c>
      <c r="X201">
        <v>531</v>
      </c>
      <c r="Y201">
        <v>11</v>
      </c>
      <c r="Z201">
        <v>341</v>
      </c>
      <c r="AA201">
        <v>11</v>
      </c>
      <c r="AB201">
        <v>10.635207232307</v>
      </c>
      <c r="AC201">
        <v>3.3700095553535002E-2</v>
      </c>
      <c r="AD201">
        <v>2.7837160122550402</v>
      </c>
      <c r="AE201">
        <v>0.32159510863567498</v>
      </c>
      <c r="AF201">
        <v>1529.7173202614399</v>
      </c>
      <c r="AG201">
        <f>IFERROR(AH201*0.1, "N/A")</f>
        <v>6.1000000000000005</v>
      </c>
      <c r="AH201">
        <v>61</v>
      </c>
      <c r="AI201">
        <v>222.719740225599</v>
      </c>
      <c r="AJ201">
        <v>18.856209150326801</v>
      </c>
      <c r="AK201">
        <v>67.866013071895395</v>
      </c>
    </row>
    <row r="202" spans="1:37" x14ac:dyDescent="0.3">
      <c r="A202">
        <v>201</v>
      </c>
      <c r="B202">
        <v>5</v>
      </c>
      <c r="C202">
        <v>25.926100000000002</v>
      </c>
      <c r="D202">
        <v>-18.204799999999999</v>
      </c>
      <c r="E202" t="s">
        <v>337</v>
      </c>
      <c r="F202" t="s">
        <v>338</v>
      </c>
      <c r="G202" t="s">
        <v>37</v>
      </c>
      <c r="H202">
        <v>1985</v>
      </c>
      <c r="I202">
        <v>21.597222593095601</v>
      </c>
      <c r="J202">
        <v>15.0972225930956</v>
      </c>
      <c r="K202">
        <v>54</v>
      </c>
      <c r="L202">
        <v>34.094722323947501</v>
      </c>
      <c r="M202">
        <v>33.900001525878899</v>
      </c>
      <c r="N202">
        <v>6.4000000953674299</v>
      </c>
      <c r="O202">
        <v>27.5</v>
      </c>
      <c r="P202">
        <v>23.700000762939499</v>
      </c>
      <c r="Q202">
        <v>16.597222593095601</v>
      </c>
      <c r="R202">
        <v>25.0027777883742</v>
      </c>
      <c r="S202">
        <v>16.597222593095601</v>
      </c>
      <c r="T202">
        <v>673</v>
      </c>
      <c r="U202">
        <v>171</v>
      </c>
      <c r="V202">
        <v>0</v>
      </c>
      <c r="W202">
        <v>113</v>
      </c>
      <c r="X202">
        <v>473</v>
      </c>
      <c r="Y202">
        <v>1</v>
      </c>
      <c r="Z202">
        <v>255.027777777778</v>
      </c>
      <c r="AA202">
        <v>1</v>
      </c>
      <c r="AB202">
        <v>12.4636883704491</v>
      </c>
      <c r="AC202">
        <v>7.0389578220879004E-2</v>
      </c>
      <c r="AD202">
        <v>1.3866402149395201</v>
      </c>
      <c r="AE202">
        <v>0.147568449378014</v>
      </c>
      <c r="AF202">
        <v>1033.93790849673</v>
      </c>
      <c r="AG202">
        <f>IFERROR(AH202*0.1, "N/A")</f>
        <v>5.8972222222222204</v>
      </c>
      <c r="AH202">
        <v>58.9722222222222</v>
      </c>
      <c r="AI202">
        <v>56.680114848941002</v>
      </c>
      <c r="AJ202">
        <v>17.0277777777778</v>
      </c>
      <c r="AK202">
        <v>72.9722222222222</v>
      </c>
    </row>
    <row r="203" spans="1:37" x14ac:dyDescent="0.3">
      <c r="A203">
        <v>202</v>
      </c>
      <c r="B203">
        <v>40</v>
      </c>
      <c r="C203">
        <v>25.926100000000002</v>
      </c>
      <c r="D203">
        <v>-18.204799999999999</v>
      </c>
      <c r="E203" t="s">
        <v>337</v>
      </c>
      <c r="F203" t="s">
        <v>339</v>
      </c>
      <c r="G203" t="s">
        <v>39</v>
      </c>
      <c r="H203">
        <v>1985</v>
      </c>
      <c r="I203">
        <v>21.597222593095601</v>
      </c>
      <c r="J203">
        <v>15.0972225930956</v>
      </c>
      <c r="K203">
        <v>54</v>
      </c>
      <c r="L203">
        <v>34.094722323947501</v>
      </c>
      <c r="M203">
        <v>33.900001525878899</v>
      </c>
      <c r="N203">
        <v>6.4000000953674299</v>
      </c>
      <c r="O203">
        <v>27.5</v>
      </c>
      <c r="P203">
        <v>23.700000762939499</v>
      </c>
      <c r="Q203">
        <v>16.597222593095601</v>
      </c>
      <c r="R203">
        <v>25.0027777883742</v>
      </c>
      <c r="S203">
        <v>16.597222593095601</v>
      </c>
      <c r="T203">
        <v>673</v>
      </c>
      <c r="U203">
        <v>171</v>
      </c>
      <c r="V203">
        <v>0</v>
      </c>
      <c r="W203">
        <v>113</v>
      </c>
      <c r="X203">
        <v>473</v>
      </c>
      <c r="Y203">
        <v>1</v>
      </c>
      <c r="Z203">
        <v>255.027777777778</v>
      </c>
      <c r="AA203">
        <v>1</v>
      </c>
      <c r="AB203">
        <v>12.4636883704491</v>
      </c>
      <c r="AC203">
        <v>7.0389578220879004E-2</v>
      </c>
      <c r="AD203">
        <v>1.3866402149395201</v>
      </c>
      <c r="AE203">
        <v>0.147568449378014</v>
      </c>
      <c r="AF203">
        <v>1033.93790849673</v>
      </c>
      <c r="AG203">
        <f>IFERROR(AH203*0.1, "N/A")</f>
        <v>5.8972222222222204</v>
      </c>
      <c r="AH203">
        <v>58.9722222222222</v>
      </c>
      <c r="AI203">
        <v>56.680114848941002</v>
      </c>
      <c r="AJ203">
        <v>17.0277777777778</v>
      </c>
      <c r="AK203">
        <v>72.9722222222222</v>
      </c>
    </row>
    <row r="204" spans="1:37" x14ac:dyDescent="0.3">
      <c r="A204">
        <v>203</v>
      </c>
      <c r="B204">
        <v>6</v>
      </c>
      <c r="C204">
        <v>31.988500999999999</v>
      </c>
      <c r="D204">
        <v>-18.200899</v>
      </c>
      <c r="E204" t="s">
        <v>340</v>
      </c>
      <c r="F204" t="s">
        <v>341</v>
      </c>
      <c r="G204" t="s">
        <v>37</v>
      </c>
      <c r="H204">
        <v>1985</v>
      </c>
      <c r="I204">
        <v>16.200000762939499</v>
      </c>
      <c r="J204">
        <v>11.8999996185303</v>
      </c>
      <c r="K204">
        <v>56</v>
      </c>
      <c r="L204">
        <v>26.620000839233398</v>
      </c>
      <c r="M204">
        <v>25.799999237060501</v>
      </c>
      <c r="N204">
        <v>4.9000000953674299</v>
      </c>
      <c r="O204">
        <v>20.899999618530298</v>
      </c>
      <c r="P204">
        <v>18.5</v>
      </c>
      <c r="Q204">
        <v>12.199999809265099</v>
      </c>
      <c r="R204">
        <v>18.600000381469702</v>
      </c>
      <c r="S204">
        <v>12.199999809265099</v>
      </c>
      <c r="T204">
        <v>828</v>
      </c>
      <c r="U204">
        <v>188</v>
      </c>
      <c r="V204">
        <v>2</v>
      </c>
      <c r="W204">
        <v>99</v>
      </c>
      <c r="X204">
        <v>520</v>
      </c>
      <c r="Y204">
        <v>9</v>
      </c>
      <c r="Z204">
        <v>334</v>
      </c>
      <c r="AA204">
        <v>9</v>
      </c>
      <c r="AB204">
        <v>9.63439521851984</v>
      </c>
      <c r="AC204">
        <v>1.3941391714149E-2</v>
      </c>
      <c r="AD204">
        <v>1.05602058275632</v>
      </c>
      <c r="AE204">
        <v>0.27362048625946001</v>
      </c>
      <c r="AF204">
        <v>1622.8216039279901</v>
      </c>
      <c r="AG204">
        <f>IFERROR(AH204*0.1, "N/A")</f>
        <v>5.7407528641571197</v>
      </c>
      <c r="AH204">
        <v>57.407528641571197</v>
      </c>
      <c r="AI204">
        <v>125.914804174545</v>
      </c>
      <c r="AJ204">
        <v>18.592471358428799</v>
      </c>
      <c r="AK204">
        <v>70.815057283142394</v>
      </c>
    </row>
    <row r="205" spans="1:37" x14ac:dyDescent="0.3">
      <c r="A205">
        <v>204</v>
      </c>
      <c r="B205">
        <v>41</v>
      </c>
      <c r="C205">
        <v>31.988500999999999</v>
      </c>
      <c r="D205">
        <v>-18.200899</v>
      </c>
      <c r="E205" t="s">
        <v>340</v>
      </c>
      <c r="F205" t="s">
        <v>342</v>
      </c>
      <c r="G205" t="s">
        <v>39</v>
      </c>
      <c r="H205">
        <v>1985</v>
      </c>
      <c r="I205">
        <v>16.200000762939499</v>
      </c>
      <c r="J205">
        <v>11.8999996185303</v>
      </c>
      <c r="K205">
        <v>56</v>
      </c>
      <c r="L205">
        <v>26.620000839233398</v>
      </c>
      <c r="M205">
        <v>25.799999237060501</v>
      </c>
      <c r="N205">
        <v>4.9000000953674299</v>
      </c>
      <c r="O205">
        <v>20.899999618530298</v>
      </c>
      <c r="P205">
        <v>18.5</v>
      </c>
      <c r="Q205">
        <v>12.199999809265099</v>
      </c>
      <c r="R205">
        <v>18.600000381469702</v>
      </c>
      <c r="S205">
        <v>12.199999809265099</v>
      </c>
      <c r="T205">
        <v>828</v>
      </c>
      <c r="U205">
        <v>188</v>
      </c>
      <c r="V205">
        <v>2</v>
      </c>
      <c r="W205">
        <v>99</v>
      </c>
      <c r="X205">
        <v>520</v>
      </c>
      <c r="Y205">
        <v>9</v>
      </c>
      <c r="Z205">
        <v>334</v>
      </c>
      <c r="AA205">
        <v>9</v>
      </c>
      <c r="AB205">
        <v>9.63439521851984</v>
      </c>
      <c r="AC205">
        <v>1.3941391714149E-2</v>
      </c>
      <c r="AD205">
        <v>1.05602058275632</v>
      </c>
      <c r="AE205">
        <v>0.27362048625946001</v>
      </c>
      <c r="AF205">
        <v>1622.8216039279901</v>
      </c>
      <c r="AG205">
        <f>IFERROR(AH205*0.1, "N/A")</f>
        <v>5.7407528641571197</v>
      </c>
      <c r="AH205">
        <v>57.407528641571197</v>
      </c>
      <c r="AI205">
        <v>125.914804174545</v>
      </c>
      <c r="AJ205">
        <v>18.592471358428799</v>
      </c>
      <c r="AK205">
        <v>70.815057283142394</v>
      </c>
    </row>
    <row r="206" spans="1:37" x14ac:dyDescent="0.3">
      <c r="A206">
        <v>205</v>
      </c>
      <c r="B206">
        <v>6</v>
      </c>
      <c r="C206">
        <v>30.116800000000001</v>
      </c>
      <c r="D206">
        <v>-18.176200999999999</v>
      </c>
      <c r="E206" t="s">
        <v>343</v>
      </c>
      <c r="F206" t="s">
        <v>344</v>
      </c>
      <c r="G206" t="s">
        <v>37</v>
      </c>
      <c r="H206">
        <v>1985</v>
      </c>
      <c r="I206">
        <v>19.700000762939499</v>
      </c>
      <c r="J206">
        <v>14.300000190734901</v>
      </c>
      <c r="K206">
        <v>56</v>
      </c>
      <c r="L206">
        <v>29.792626625173</v>
      </c>
      <c r="M206">
        <v>31.200000762939499</v>
      </c>
      <c r="N206">
        <v>6</v>
      </c>
      <c r="O206">
        <v>25.200000762939499</v>
      </c>
      <c r="P206">
        <v>21.8592164286976</v>
      </c>
      <c r="Q206">
        <v>15.259217000902201</v>
      </c>
      <c r="R206">
        <v>22.600000381469702</v>
      </c>
      <c r="S206">
        <v>15.259217000902201</v>
      </c>
      <c r="T206">
        <v>753</v>
      </c>
      <c r="U206">
        <v>184</v>
      </c>
      <c r="V206">
        <v>0</v>
      </c>
      <c r="W206">
        <v>109</v>
      </c>
      <c r="X206">
        <v>504</v>
      </c>
      <c r="Y206">
        <v>2</v>
      </c>
      <c r="Z206">
        <v>291</v>
      </c>
      <c r="AA206">
        <v>2</v>
      </c>
      <c r="AB206">
        <v>1.7913469871533401</v>
      </c>
      <c r="AC206">
        <v>4.0646047782621E-2</v>
      </c>
      <c r="AD206">
        <v>0.72460713170675395</v>
      </c>
      <c r="AE206">
        <v>0.34534428593190603</v>
      </c>
      <c r="AF206">
        <v>1187.0685154975499</v>
      </c>
      <c r="AG206">
        <f>IFERROR(AH206*0.1, "N/A")</f>
        <v>6.3962479608482905</v>
      </c>
      <c r="AH206">
        <v>63.962479608482901</v>
      </c>
      <c r="AI206">
        <v>57.532046612090802</v>
      </c>
      <c r="AJ206">
        <v>30.9755301794454</v>
      </c>
      <c r="AK206">
        <v>54.437194127243103</v>
      </c>
    </row>
    <row r="207" spans="1:37" x14ac:dyDescent="0.3">
      <c r="A207">
        <v>206</v>
      </c>
      <c r="B207">
        <v>32</v>
      </c>
      <c r="C207">
        <v>30.116800000000001</v>
      </c>
      <c r="D207">
        <v>-18.176200999999999</v>
      </c>
      <c r="E207" t="s">
        <v>343</v>
      </c>
      <c r="F207" t="s">
        <v>345</v>
      </c>
      <c r="G207" t="s">
        <v>39</v>
      </c>
      <c r="H207">
        <v>1985</v>
      </c>
      <c r="I207">
        <v>19.700000762939499</v>
      </c>
      <c r="J207">
        <v>14.300000190734901</v>
      </c>
      <c r="K207">
        <v>56</v>
      </c>
      <c r="L207">
        <v>29.792626625173</v>
      </c>
      <c r="M207">
        <v>31.200000762939499</v>
      </c>
      <c r="N207">
        <v>6</v>
      </c>
      <c r="O207">
        <v>25.200000762939499</v>
      </c>
      <c r="P207">
        <v>21.8592164286976</v>
      </c>
      <c r="Q207">
        <v>15.259217000902201</v>
      </c>
      <c r="R207">
        <v>22.600000381469702</v>
      </c>
      <c r="S207">
        <v>15.259217000902201</v>
      </c>
      <c r="T207">
        <v>753</v>
      </c>
      <c r="U207">
        <v>184</v>
      </c>
      <c r="V207">
        <v>0</v>
      </c>
      <c r="W207">
        <v>109</v>
      </c>
      <c r="X207">
        <v>504</v>
      </c>
      <c r="Y207">
        <v>2</v>
      </c>
      <c r="Z207">
        <v>291</v>
      </c>
      <c r="AA207">
        <v>2</v>
      </c>
      <c r="AB207">
        <v>1.7913469871533401</v>
      </c>
      <c r="AC207">
        <v>4.0646047782621E-2</v>
      </c>
      <c r="AD207">
        <v>0.72460713170675395</v>
      </c>
      <c r="AE207">
        <v>0.34534428593190603</v>
      </c>
      <c r="AF207">
        <v>1187.0685154975499</v>
      </c>
      <c r="AG207">
        <f>IFERROR(AH207*0.1, "N/A")</f>
        <v>6.3962479608482905</v>
      </c>
      <c r="AH207">
        <v>63.962479608482901</v>
      </c>
      <c r="AI207">
        <v>57.532046612090802</v>
      </c>
      <c r="AJ207">
        <v>30.9755301794454</v>
      </c>
      <c r="AK207">
        <v>54.437194127243103</v>
      </c>
    </row>
    <row r="208" spans="1:37" x14ac:dyDescent="0.3">
      <c r="A208">
        <v>207</v>
      </c>
      <c r="B208">
        <v>7</v>
      </c>
      <c r="C208">
        <v>31.348499</v>
      </c>
      <c r="D208">
        <v>-18.172799999999999</v>
      </c>
      <c r="E208" t="s">
        <v>346</v>
      </c>
      <c r="F208" t="s">
        <v>347</v>
      </c>
      <c r="G208" t="s">
        <v>37</v>
      </c>
      <c r="H208">
        <v>1985</v>
      </c>
      <c r="I208">
        <v>17.200000762939499</v>
      </c>
      <c r="J208">
        <v>12.699999809265099</v>
      </c>
      <c r="K208">
        <v>57</v>
      </c>
      <c r="L208">
        <v>27.409999847412099</v>
      </c>
      <c r="M208">
        <v>27.5</v>
      </c>
      <c r="N208">
        <v>5.3000001907348597</v>
      </c>
      <c r="O208">
        <v>22.200000762939499</v>
      </c>
      <c r="P208">
        <v>19.399999618530298</v>
      </c>
      <c r="Q208">
        <v>13.199999809265099</v>
      </c>
      <c r="R208">
        <v>19.799999237060501</v>
      </c>
      <c r="S208">
        <v>13.199999809265099</v>
      </c>
      <c r="T208">
        <v>845</v>
      </c>
      <c r="U208">
        <v>188</v>
      </c>
      <c r="V208">
        <v>1</v>
      </c>
      <c r="W208">
        <v>99</v>
      </c>
      <c r="X208">
        <v>534</v>
      </c>
      <c r="Y208">
        <v>11</v>
      </c>
      <c r="Z208">
        <v>332</v>
      </c>
      <c r="AA208">
        <v>11</v>
      </c>
      <c r="AB208">
        <v>20.435837765957402</v>
      </c>
      <c r="AC208">
        <v>1.1189591398679E-2</v>
      </c>
      <c r="AD208">
        <v>1.4221925974965299</v>
      </c>
      <c r="AE208">
        <v>0.36201140284538302</v>
      </c>
      <c r="AF208">
        <v>1586.6202945990201</v>
      </c>
      <c r="AG208">
        <f>IFERROR(AH208*0.1, "N/A")</f>
        <v>6.0001636661211206</v>
      </c>
      <c r="AH208">
        <v>60.001636661211201</v>
      </c>
      <c r="AI208">
        <v>166.789629497622</v>
      </c>
      <c r="AJ208">
        <v>18.996726677577701</v>
      </c>
      <c r="AK208">
        <v>68.031096563011502</v>
      </c>
    </row>
    <row r="209" spans="1:37" x14ac:dyDescent="0.3">
      <c r="A209">
        <v>208</v>
      </c>
      <c r="B209">
        <v>63</v>
      </c>
      <c r="C209">
        <v>31.348499</v>
      </c>
      <c r="D209">
        <v>-18.172799999999999</v>
      </c>
      <c r="E209" t="s">
        <v>346</v>
      </c>
      <c r="F209" t="s">
        <v>348</v>
      </c>
      <c r="G209" t="s">
        <v>39</v>
      </c>
      <c r="H209">
        <v>1985</v>
      </c>
      <c r="I209">
        <v>17.200000762939499</v>
      </c>
      <c r="J209">
        <v>12.699999809265099</v>
      </c>
      <c r="K209">
        <v>57</v>
      </c>
      <c r="L209">
        <v>27.409999847412099</v>
      </c>
      <c r="M209">
        <v>27.5</v>
      </c>
      <c r="N209">
        <v>5.3000001907348597</v>
      </c>
      <c r="O209">
        <v>22.200000762939499</v>
      </c>
      <c r="P209">
        <v>19.399999618530298</v>
      </c>
      <c r="Q209">
        <v>13.199999809265099</v>
      </c>
      <c r="R209">
        <v>19.799999237060501</v>
      </c>
      <c r="S209">
        <v>13.199999809265099</v>
      </c>
      <c r="T209">
        <v>845</v>
      </c>
      <c r="U209">
        <v>188</v>
      </c>
      <c r="V209">
        <v>1</v>
      </c>
      <c r="W209">
        <v>99</v>
      </c>
      <c r="X209">
        <v>534</v>
      </c>
      <c r="Y209">
        <v>11</v>
      </c>
      <c r="Z209">
        <v>332</v>
      </c>
      <c r="AA209">
        <v>11</v>
      </c>
      <c r="AB209">
        <v>20.435837765957402</v>
      </c>
      <c r="AC209">
        <v>1.1189591398679E-2</v>
      </c>
      <c r="AD209">
        <v>1.4221925974965299</v>
      </c>
      <c r="AE209">
        <v>0.36201140284538302</v>
      </c>
      <c r="AF209">
        <v>1586.6202945990201</v>
      </c>
      <c r="AG209">
        <f>IFERROR(AH209*0.1, "N/A")</f>
        <v>6.0001636661211206</v>
      </c>
      <c r="AH209">
        <v>60.001636661211201</v>
      </c>
      <c r="AI209">
        <v>166.789629497622</v>
      </c>
      <c r="AJ209">
        <v>18.996726677577701</v>
      </c>
      <c r="AK209">
        <v>68.031096563011502</v>
      </c>
    </row>
    <row r="210" spans="1:37" x14ac:dyDescent="0.3">
      <c r="A210">
        <v>209</v>
      </c>
      <c r="B210">
        <v>21</v>
      </c>
      <c r="C210">
        <v>31.605899999999998</v>
      </c>
      <c r="D210">
        <v>-18.159400999999999</v>
      </c>
      <c r="E210" t="s">
        <v>349</v>
      </c>
      <c r="F210" t="s">
        <v>350</v>
      </c>
      <c r="G210" t="s">
        <v>37</v>
      </c>
      <c r="H210">
        <v>1985</v>
      </c>
      <c r="I210">
        <v>16.899999618530298</v>
      </c>
      <c r="J210">
        <v>12.5</v>
      </c>
      <c r="K210">
        <v>57</v>
      </c>
      <c r="L210">
        <v>27.4899997711182</v>
      </c>
      <c r="M210">
        <v>27</v>
      </c>
      <c r="N210">
        <v>5.0999999046325701</v>
      </c>
      <c r="O210">
        <v>21.899999618530298</v>
      </c>
      <c r="P210">
        <v>19.100000381469702</v>
      </c>
      <c r="Q210">
        <v>12.800000190734901</v>
      </c>
      <c r="R210">
        <v>19.399999618530298</v>
      </c>
      <c r="S210">
        <v>12.800000190734901</v>
      </c>
      <c r="T210">
        <v>898</v>
      </c>
      <c r="U210">
        <v>198</v>
      </c>
      <c r="V210">
        <v>1</v>
      </c>
      <c r="W210">
        <v>99</v>
      </c>
      <c r="X210">
        <v>562</v>
      </c>
      <c r="Y210">
        <v>11</v>
      </c>
      <c r="Z210">
        <v>352</v>
      </c>
      <c r="AA210">
        <v>11</v>
      </c>
      <c r="AB210">
        <v>36.004156364702297</v>
      </c>
      <c r="AC210">
        <v>1.535826542553E-2</v>
      </c>
      <c r="AD210">
        <v>1.7456624169528601</v>
      </c>
      <c r="AE210">
        <v>0.55989325046539296</v>
      </c>
      <c r="AF210">
        <v>1631.38336052202</v>
      </c>
      <c r="AG210">
        <f>IFERROR(AH210*0.1, "N/A")</f>
        <v>5.6828711256117508</v>
      </c>
      <c r="AH210">
        <v>56.828711256117501</v>
      </c>
      <c r="AI210">
        <v>183.85694407327699</v>
      </c>
      <c r="AJ210">
        <v>19.004893964110899</v>
      </c>
      <c r="AK210">
        <v>68.083197389885797</v>
      </c>
    </row>
    <row r="211" spans="1:37" x14ac:dyDescent="0.3">
      <c r="A211">
        <v>210</v>
      </c>
      <c r="B211">
        <v>13</v>
      </c>
      <c r="C211">
        <v>31.605899999999998</v>
      </c>
      <c r="D211">
        <v>-18.159400999999999</v>
      </c>
      <c r="E211" t="s">
        <v>349</v>
      </c>
      <c r="F211" t="s">
        <v>351</v>
      </c>
      <c r="G211" t="s">
        <v>39</v>
      </c>
      <c r="H211">
        <v>1985</v>
      </c>
      <c r="I211">
        <v>16.899999618530298</v>
      </c>
      <c r="J211">
        <v>12.5</v>
      </c>
      <c r="K211">
        <v>57</v>
      </c>
      <c r="L211">
        <v>27.4899997711182</v>
      </c>
      <c r="M211">
        <v>27</v>
      </c>
      <c r="N211">
        <v>5.0999999046325701</v>
      </c>
      <c r="O211">
        <v>21.899999618530298</v>
      </c>
      <c r="P211">
        <v>19.100000381469702</v>
      </c>
      <c r="Q211">
        <v>12.800000190734901</v>
      </c>
      <c r="R211">
        <v>19.399999618530298</v>
      </c>
      <c r="S211">
        <v>12.800000190734901</v>
      </c>
      <c r="T211">
        <v>898</v>
      </c>
      <c r="U211">
        <v>198</v>
      </c>
      <c r="V211">
        <v>1</v>
      </c>
      <c r="W211">
        <v>99</v>
      </c>
      <c r="X211">
        <v>562</v>
      </c>
      <c r="Y211">
        <v>11</v>
      </c>
      <c r="Z211">
        <v>352</v>
      </c>
      <c r="AA211">
        <v>11</v>
      </c>
      <c r="AB211">
        <v>36.004156364702297</v>
      </c>
      <c r="AC211">
        <v>1.535826542553E-2</v>
      </c>
      <c r="AD211">
        <v>1.7456624169528601</v>
      </c>
      <c r="AE211">
        <v>0.55989325046539296</v>
      </c>
      <c r="AF211">
        <v>1631.38336052202</v>
      </c>
      <c r="AG211">
        <f>IFERROR(AH211*0.1, "N/A")</f>
        <v>5.6828711256117508</v>
      </c>
      <c r="AH211">
        <v>56.828711256117501</v>
      </c>
      <c r="AI211">
        <v>183.85694407327699</v>
      </c>
      <c r="AJ211">
        <v>19.004893964110899</v>
      </c>
      <c r="AK211">
        <v>68.083197389885797</v>
      </c>
    </row>
    <row r="212" spans="1:37" x14ac:dyDescent="0.3">
      <c r="A212">
        <v>211</v>
      </c>
      <c r="B212">
        <v>13</v>
      </c>
      <c r="C212">
        <v>32.354900000000001</v>
      </c>
      <c r="D212">
        <v>-18.097899999999999</v>
      </c>
      <c r="E212" t="s">
        <v>352</v>
      </c>
      <c r="F212" t="s">
        <v>353</v>
      </c>
      <c r="G212" t="s">
        <v>37</v>
      </c>
      <c r="H212">
        <v>1985</v>
      </c>
      <c r="I212">
        <v>17.100000381469702</v>
      </c>
      <c r="J212">
        <v>11.8999996185303</v>
      </c>
      <c r="K212">
        <v>58</v>
      </c>
      <c r="L212">
        <v>25.829999923706101</v>
      </c>
      <c r="M212">
        <v>26.299999237060501</v>
      </c>
      <c r="N212">
        <v>6</v>
      </c>
      <c r="O212">
        <v>20.299999237060501</v>
      </c>
      <c r="P212">
        <v>19.399999618530298</v>
      </c>
      <c r="Q212">
        <v>13.300000190734901</v>
      </c>
      <c r="R212">
        <v>19.399999618530298</v>
      </c>
      <c r="S212">
        <v>13.300000190734901</v>
      </c>
      <c r="T212">
        <v>795</v>
      </c>
      <c r="U212">
        <v>191</v>
      </c>
      <c r="V212">
        <v>1</v>
      </c>
      <c r="W212">
        <v>104</v>
      </c>
      <c r="X212">
        <v>525</v>
      </c>
      <c r="Y212">
        <v>7</v>
      </c>
      <c r="Z212">
        <v>305</v>
      </c>
      <c r="AA212">
        <v>7</v>
      </c>
      <c r="AB212">
        <v>221.65714232801</v>
      </c>
      <c r="AC212">
        <v>1.6597366334222999E-2</v>
      </c>
      <c r="AD212">
        <v>11.7517272200903</v>
      </c>
      <c r="AE212">
        <v>0.25145322084426902</v>
      </c>
      <c r="AF212">
        <v>1426.8009787928199</v>
      </c>
      <c r="AG212">
        <f>IFERROR(AH212*0.1, "N/A")</f>
        <v>5.6871125611745503</v>
      </c>
      <c r="AH212">
        <v>56.871125611745498</v>
      </c>
      <c r="AI212">
        <v>274.29754105983301</v>
      </c>
      <c r="AJ212">
        <v>28.257748776509001</v>
      </c>
      <c r="AK212">
        <v>51.128874388254502</v>
      </c>
    </row>
    <row r="213" spans="1:37" x14ac:dyDescent="0.3">
      <c r="A213">
        <v>212</v>
      </c>
      <c r="B213">
        <v>60</v>
      </c>
      <c r="C213">
        <v>32.354900000000001</v>
      </c>
      <c r="D213">
        <v>-18.097899999999999</v>
      </c>
      <c r="E213" t="s">
        <v>352</v>
      </c>
      <c r="F213" t="s">
        <v>354</v>
      </c>
      <c r="G213" t="s">
        <v>39</v>
      </c>
      <c r="H213">
        <v>1985</v>
      </c>
      <c r="I213">
        <v>17.100000381469702</v>
      </c>
      <c r="J213">
        <v>11.8999996185303</v>
      </c>
      <c r="K213">
        <v>58</v>
      </c>
      <c r="L213">
        <v>25.829999923706101</v>
      </c>
      <c r="M213">
        <v>26.299999237060501</v>
      </c>
      <c r="N213">
        <v>6</v>
      </c>
      <c r="O213">
        <v>20.299999237060501</v>
      </c>
      <c r="P213">
        <v>19.399999618530298</v>
      </c>
      <c r="Q213">
        <v>13.300000190734901</v>
      </c>
      <c r="R213">
        <v>19.399999618530298</v>
      </c>
      <c r="S213">
        <v>13.300000190734901</v>
      </c>
      <c r="T213">
        <v>795</v>
      </c>
      <c r="U213">
        <v>191</v>
      </c>
      <c r="V213">
        <v>1</v>
      </c>
      <c r="W213">
        <v>104</v>
      </c>
      <c r="X213">
        <v>525</v>
      </c>
      <c r="Y213">
        <v>7</v>
      </c>
      <c r="Z213">
        <v>305</v>
      </c>
      <c r="AA213">
        <v>7</v>
      </c>
      <c r="AB213">
        <v>221.65714232801</v>
      </c>
      <c r="AC213">
        <v>1.6597366334222999E-2</v>
      </c>
      <c r="AD213">
        <v>11.7517272200903</v>
      </c>
      <c r="AE213">
        <v>0.25145322084426902</v>
      </c>
      <c r="AF213">
        <v>1426.8009787928199</v>
      </c>
      <c r="AG213">
        <f>IFERROR(AH213*0.1, "N/A")</f>
        <v>5.6871125611745503</v>
      </c>
      <c r="AH213">
        <v>56.871125611745498</v>
      </c>
      <c r="AI213">
        <v>274.29754105983301</v>
      </c>
      <c r="AJ213">
        <v>28.257748776509001</v>
      </c>
      <c r="AK213">
        <v>51.128874388254502</v>
      </c>
    </row>
    <row r="214" spans="1:37" x14ac:dyDescent="0.3">
      <c r="A214">
        <v>213</v>
      </c>
      <c r="B214">
        <v>0</v>
      </c>
      <c r="C214">
        <v>28.721499999999999</v>
      </c>
      <c r="D214">
        <v>-18.096001000000001</v>
      </c>
      <c r="E214" t="s">
        <v>355</v>
      </c>
      <c r="F214" t="s">
        <v>356</v>
      </c>
      <c r="G214" t="s">
        <v>37</v>
      </c>
      <c r="H214">
        <v>1985</v>
      </c>
      <c r="I214">
        <v>21.600000381469702</v>
      </c>
      <c r="J214">
        <v>13.5</v>
      </c>
      <c r="K214">
        <v>55</v>
      </c>
      <c r="L214">
        <v>29.139999389648398</v>
      </c>
      <c r="M214">
        <v>32.900001525878899</v>
      </c>
      <c r="N214">
        <v>8.5</v>
      </c>
      <c r="O214">
        <v>24.399999618530298</v>
      </c>
      <c r="P214">
        <v>23.200000762939499</v>
      </c>
      <c r="Q214">
        <v>17.299999237060501</v>
      </c>
      <c r="R214">
        <v>24.5</v>
      </c>
      <c r="S214">
        <v>17.299999237060501</v>
      </c>
      <c r="T214">
        <v>725</v>
      </c>
      <c r="U214">
        <v>183</v>
      </c>
      <c r="V214">
        <v>0</v>
      </c>
      <c r="W214">
        <v>111</v>
      </c>
      <c r="X214">
        <v>499</v>
      </c>
      <c r="Y214">
        <v>1</v>
      </c>
      <c r="Z214">
        <v>264</v>
      </c>
      <c r="AA214">
        <v>8</v>
      </c>
      <c r="AB214">
        <v>28.197389291002899</v>
      </c>
      <c r="AC214">
        <v>1.0617993024841E-2</v>
      </c>
      <c r="AD214">
        <v>1.9736099397045299</v>
      </c>
      <c r="AE214">
        <v>0.46684019316255698</v>
      </c>
      <c r="AF214">
        <v>992.13071895424798</v>
      </c>
      <c r="AG214">
        <f>IFERROR(AH214*0.1, "N/A")</f>
        <v>6.1169934640522898</v>
      </c>
      <c r="AH214">
        <v>61.169934640522897</v>
      </c>
      <c r="AI214">
        <v>136.75959388882501</v>
      </c>
      <c r="AJ214">
        <v>15.9150326797386</v>
      </c>
      <c r="AK214">
        <v>74.155228758169997</v>
      </c>
    </row>
    <row r="215" spans="1:37" x14ac:dyDescent="0.3">
      <c r="A215">
        <v>214</v>
      </c>
      <c r="B215">
        <v>37</v>
      </c>
      <c r="C215">
        <v>28.721499999999999</v>
      </c>
      <c r="D215">
        <v>-18.096001000000001</v>
      </c>
      <c r="E215" t="s">
        <v>355</v>
      </c>
      <c r="F215" t="s">
        <v>357</v>
      </c>
      <c r="G215" t="s">
        <v>39</v>
      </c>
      <c r="H215">
        <v>1985</v>
      </c>
      <c r="I215">
        <v>21.600000381469702</v>
      </c>
      <c r="J215">
        <v>13.5</v>
      </c>
      <c r="K215">
        <v>55</v>
      </c>
      <c r="L215">
        <v>29.139999389648398</v>
      </c>
      <c r="M215">
        <v>32.900001525878899</v>
      </c>
      <c r="N215">
        <v>8.5</v>
      </c>
      <c r="O215">
        <v>24.399999618530298</v>
      </c>
      <c r="P215">
        <v>23.200000762939499</v>
      </c>
      <c r="Q215">
        <v>17.299999237060501</v>
      </c>
      <c r="R215">
        <v>24.5</v>
      </c>
      <c r="S215">
        <v>17.299999237060501</v>
      </c>
      <c r="T215">
        <v>725</v>
      </c>
      <c r="U215">
        <v>183</v>
      </c>
      <c r="V215">
        <v>0</v>
      </c>
      <c r="W215">
        <v>111</v>
      </c>
      <c r="X215">
        <v>499</v>
      </c>
      <c r="Y215">
        <v>1</v>
      </c>
      <c r="Z215">
        <v>264</v>
      </c>
      <c r="AA215">
        <v>8</v>
      </c>
      <c r="AB215">
        <v>28.197389291002899</v>
      </c>
      <c r="AC215">
        <v>1.0617993024841E-2</v>
      </c>
      <c r="AD215">
        <v>1.9736099397045299</v>
      </c>
      <c r="AE215">
        <v>0.46684019316255698</v>
      </c>
      <c r="AF215">
        <v>992.13071895424798</v>
      </c>
      <c r="AG215">
        <f>IFERROR(AH215*0.1, "N/A")</f>
        <v>6.1169934640522898</v>
      </c>
      <c r="AH215">
        <v>61.169934640522897</v>
      </c>
      <c r="AI215">
        <v>136.75959388882501</v>
      </c>
      <c r="AJ215">
        <v>15.9150326797386</v>
      </c>
      <c r="AK215">
        <v>74.155228758169997</v>
      </c>
    </row>
    <row r="216" spans="1:37" x14ac:dyDescent="0.3">
      <c r="A216">
        <v>215</v>
      </c>
      <c r="B216">
        <v>3</v>
      </c>
      <c r="C216">
        <v>32.9925</v>
      </c>
      <c r="D216">
        <v>-18.065901</v>
      </c>
      <c r="E216" t="s">
        <v>358</v>
      </c>
      <c r="F216" t="s">
        <v>359</v>
      </c>
      <c r="G216" t="s">
        <v>37</v>
      </c>
      <c r="H216">
        <v>1985</v>
      </c>
      <c r="I216">
        <v>17.600000381469702</v>
      </c>
      <c r="J216">
        <v>10.5</v>
      </c>
      <c r="K216">
        <v>57</v>
      </c>
      <c r="L216">
        <v>24.930000305175799</v>
      </c>
      <c r="M216">
        <v>26</v>
      </c>
      <c r="N216">
        <v>7.8000001907348597</v>
      </c>
      <c r="O216">
        <v>18.200000762939499</v>
      </c>
      <c r="P216">
        <v>19.899999618530298</v>
      </c>
      <c r="Q216">
        <v>15.1000003814697</v>
      </c>
      <c r="R216">
        <v>19.899999618530298</v>
      </c>
      <c r="S216">
        <v>13.800000190734901</v>
      </c>
      <c r="T216">
        <v>1596</v>
      </c>
      <c r="U216">
        <v>373</v>
      </c>
      <c r="V216">
        <v>13</v>
      </c>
      <c r="W216">
        <v>95</v>
      </c>
      <c r="X216">
        <v>996</v>
      </c>
      <c r="Y216">
        <v>56</v>
      </c>
      <c r="Z216">
        <v>996</v>
      </c>
      <c r="AA216">
        <v>57</v>
      </c>
      <c r="AB216">
        <v>101.11425062014099</v>
      </c>
      <c r="AC216">
        <v>2.8037218209326E-2</v>
      </c>
      <c r="AD216">
        <v>12.112840112414601</v>
      </c>
      <c r="AE216">
        <v>0.182278022170067</v>
      </c>
      <c r="AF216">
        <v>1268.3404255319199</v>
      </c>
      <c r="AG216">
        <f>IFERROR(AH216*0.1, "N/A")</f>
        <v>5.2</v>
      </c>
      <c r="AH216">
        <v>52</v>
      </c>
      <c r="AI216">
        <v>296.26522102917897</v>
      </c>
      <c r="AJ216">
        <v>33.014729950900197</v>
      </c>
      <c r="AK216">
        <v>44.014729950900197</v>
      </c>
    </row>
    <row r="217" spans="1:37" x14ac:dyDescent="0.3">
      <c r="A217">
        <v>216</v>
      </c>
      <c r="B217">
        <v>9</v>
      </c>
      <c r="C217">
        <v>32.9925</v>
      </c>
      <c r="D217">
        <v>-18.065901</v>
      </c>
      <c r="E217" t="s">
        <v>358</v>
      </c>
      <c r="F217" t="s">
        <v>360</v>
      </c>
      <c r="G217" t="s">
        <v>39</v>
      </c>
      <c r="H217">
        <v>1985</v>
      </c>
      <c r="I217">
        <v>17.600000381469702</v>
      </c>
      <c r="J217">
        <v>10.5</v>
      </c>
      <c r="K217">
        <v>57</v>
      </c>
      <c r="L217">
        <v>24.930000305175799</v>
      </c>
      <c r="M217">
        <v>26</v>
      </c>
      <c r="N217">
        <v>7.8000001907348597</v>
      </c>
      <c r="O217">
        <v>18.200000762939499</v>
      </c>
      <c r="P217">
        <v>19.899999618530298</v>
      </c>
      <c r="Q217">
        <v>15.1000003814697</v>
      </c>
      <c r="R217">
        <v>19.899999618530298</v>
      </c>
      <c r="S217">
        <v>13.800000190734901</v>
      </c>
      <c r="T217">
        <v>1596</v>
      </c>
      <c r="U217">
        <v>373</v>
      </c>
      <c r="V217">
        <v>13</v>
      </c>
      <c r="W217">
        <v>95</v>
      </c>
      <c r="X217">
        <v>996</v>
      </c>
      <c r="Y217">
        <v>56</v>
      </c>
      <c r="Z217">
        <v>996</v>
      </c>
      <c r="AA217">
        <v>57</v>
      </c>
      <c r="AB217">
        <v>101.11425062014099</v>
      </c>
      <c r="AC217">
        <v>2.8037218209326E-2</v>
      </c>
      <c r="AD217">
        <v>12.112840112414601</v>
      </c>
      <c r="AE217">
        <v>0.182278022170067</v>
      </c>
      <c r="AF217">
        <v>1268.3404255319199</v>
      </c>
      <c r="AG217">
        <f>IFERROR(AH217*0.1, "N/A")</f>
        <v>5.2</v>
      </c>
      <c r="AH217">
        <v>52</v>
      </c>
      <c r="AI217">
        <v>296.26522102917897</v>
      </c>
      <c r="AJ217">
        <v>33.014729950900197</v>
      </c>
      <c r="AK217">
        <v>44.014729950900197</v>
      </c>
    </row>
    <row r="218" spans="1:37" x14ac:dyDescent="0.3">
      <c r="A218">
        <v>217</v>
      </c>
      <c r="B218">
        <v>2</v>
      </c>
      <c r="C218">
        <v>29.4163</v>
      </c>
      <c r="D218">
        <v>-18.038499999999999</v>
      </c>
      <c r="E218" t="s">
        <v>361</v>
      </c>
      <c r="F218" t="s">
        <v>362</v>
      </c>
      <c r="G218" t="s">
        <v>37</v>
      </c>
      <c r="H218">
        <v>1985</v>
      </c>
      <c r="I218">
        <v>21.200000762939499</v>
      </c>
      <c r="J218">
        <v>14</v>
      </c>
      <c r="K218">
        <v>56</v>
      </c>
      <c r="L218">
        <v>29.359868588112001</v>
      </c>
      <c r="M218">
        <v>32.400001525878899</v>
      </c>
      <c r="N218">
        <v>7.8000001907348597</v>
      </c>
      <c r="O218">
        <v>24.600000381469702</v>
      </c>
      <c r="P218">
        <v>23.200000762939499</v>
      </c>
      <c r="Q218">
        <v>16.899999618530298</v>
      </c>
      <c r="R218">
        <v>24.100000381469702</v>
      </c>
      <c r="S218">
        <v>16.899999618530298</v>
      </c>
      <c r="T218">
        <v>753.43044189852696</v>
      </c>
      <c r="U218">
        <v>179</v>
      </c>
      <c r="V218">
        <v>0</v>
      </c>
      <c r="W218">
        <v>111</v>
      </c>
      <c r="X218">
        <v>511.43044189852702</v>
      </c>
      <c r="Y218">
        <v>1</v>
      </c>
      <c r="Z218">
        <v>281</v>
      </c>
      <c r="AA218">
        <v>3.8477905073649801</v>
      </c>
      <c r="AB218">
        <v>2.3680719603493201</v>
      </c>
      <c r="AC218">
        <v>0.92714175145993805</v>
      </c>
      <c r="AD218">
        <v>1.80089588056024</v>
      </c>
      <c r="AE218">
        <v>0.21362835168838501</v>
      </c>
      <c r="AF218">
        <v>914.793780687398</v>
      </c>
      <c r="AG218">
        <f>IFERROR(AH218*0.1, "N/A")</f>
        <v>6.2949263502455004</v>
      </c>
      <c r="AH218">
        <v>62.949263502454997</v>
      </c>
      <c r="AI218">
        <v>21.5209820555392</v>
      </c>
      <c r="AJ218">
        <v>18.653027823240599</v>
      </c>
      <c r="AK218">
        <v>68.346972176759394</v>
      </c>
    </row>
    <row r="219" spans="1:37" x14ac:dyDescent="0.3">
      <c r="A219">
        <v>218</v>
      </c>
      <c r="B219">
        <v>16</v>
      </c>
      <c r="C219">
        <v>29.4163</v>
      </c>
      <c r="D219">
        <v>-18.038499999999999</v>
      </c>
      <c r="E219" t="s">
        <v>361</v>
      </c>
      <c r="F219" t="s">
        <v>363</v>
      </c>
      <c r="G219" t="s">
        <v>39</v>
      </c>
      <c r="H219">
        <v>1985</v>
      </c>
      <c r="I219">
        <v>21.200000762939499</v>
      </c>
      <c r="J219">
        <v>14</v>
      </c>
      <c r="K219">
        <v>56</v>
      </c>
      <c r="L219">
        <v>29.359868588112001</v>
      </c>
      <c r="M219">
        <v>32.400001525878899</v>
      </c>
      <c r="N219">
        <v>7.8000001907348597</v>
      </c>
      <c r="O219">
        <v>24.600000381469702</v>
      </c>
      <c r="P219">
        <v>23.200000762939499</v>
      </c>
      <c r="Q219">
        <v>16.899999618530298</v>
      </c>
      <c r="R219">
        <v>24.100000381469702</v>
      </c>
      <c r="S219">
        <v>16.899999618530298</v>
      </c>
      <c r="T219">
        <v>753.43044189852696</v>
      </c>
      <c r="U219">
        <v>179</v>
      </c>
      <c r="V219">
        <v>0</v>
      </c>
      <c r="W219">
        <v>111</v>
      </c>
      <c r="X219">
        <v>511.43044189852702</v>
      </c>
      <c r="Y219">
        <v>1</v>
      </c>
      <c r="Z219">
        <v>281</v>
      </c>
      <c r="AA219">
        <v>3.8477905073649801</v>
      </c>
      <c r="AB219">
        <v>2.3680719603493201</v>
      </c>
      <c r="AC219">
        <v>0.92714175145993805</v>
      </c>
      <c r="AD219">
        <v>1.80089588056024</v>
      </c>
      <c r="AE219">
        <v>0.21362835168838501</v>
      </c>
      <c r="AF219">
        <v>914.793780687398</v>
      </c>
      <c r="AG219">
        <f>IFERROR(AH219*0.1, "N/A")</f>
        <v>6.2949263502455004</v>
      </c>
      <c r="AH219">
        <v>62.949263502454997</v>
      </c>
      <c r="AI219">
        <v>21.5209820555392</v>
      </c>
      <c r="AJ219">
        <v>18.653027823240599</v>
      </c>
      <c r="AK219">
        <v>68.346972176759394</v>
      </c>
    </row>
    <row r="220" spans="1:37" x14ac:dyDescent="0.3">
      <c r="A220">
        <v>219</v>
      </c>
      <c r="B220">
        <v>9</v>
      </c>
      <c r="C220">
        <v>32.054198999999997</v>
      </c>
      <c r="D220">
        <v>-18.013399</v>
      </c>
      <c r="E220" t="s">
        <v>364</v>
      </c>
      <c r="F220" t="s">
        <v>365</v>
      </c>
      <c r="G220" t="s">
        <v>37</v>
      </c>
      <c r="H220">
        <v>1985</v>
      </c>
      <c r="I220">
        <v>18.200000762939499</v>
      </c>
      <c r="J220">
        <v>12.8999996185303</v>
      </c>
      <c r="K220">
        <v>58</v>
      </c>
      <c r="L220">
        <v>26.799999237060501</v>
      </c>
      <c r="M220">
        <v>28.100000381469702</v>
      </c>
      <c r="N220">
        <v>6.0999999046325701</v>
      </c>
      <c r="O220">
        <v>22</v>
      </c>
      <c r="P220">
        <v>20.5</v>
      </c>
      <c r="Q220">
        <v>14.199999809265099</v>
      </c>
      <c r="R220">
        <v>20.700000762939499</v>
      </c>
      <c r="S220">
        <v>14.199999809265099</v>
      </c>
      <c r="T220">
        <v>815</v>
      </c>
      <c r="U220">
        <v>189</v>
      </c>
      <c r="V220">
        <v>0</v>
      </c>
      <c r="W220">
        <v>104</v>
      </c>
      <c r="X220">
        <v>529</v>
      </c>
      <c r="Y220">
        <v>5</v>
      </c>
      <c r="Z220">
        <v>305</v>
      </c>
      <c r="AA220">
        <v>5</v>
      </c>
      <c r="AB220">
        <v>24.787102382428898</v>
      </c>
      <c r="AC220">
        <v>1.4315736461765999E-2</v>
      </c>
      <c r="AD220">
        <v>4.5485176173832897</v>
      </c>
      <c r="AE220">
        <v>0.26617556883543497</v>
      </c>
      <c r="AF220">
        <v>1253.2160392798701</v>
      </c>
      <c r="AG220">
        <f>IFERROR(AH220*0.1, "N/A")</f>
        <v>6.06775777414075</v>
      </c>
      <c r="AH220">
        <v>60.677577741407497</v>
      </c>
      <c r="AI220">
        <v>124.965561899538</v>
      </c>
      <c r="AJ220">
        <v>16.674304418985301</v>
      </c>
      <c r="AK220">
        <v>70.322422258592496</v>
      </c>
    </row>
    <row r="221" spans="1:37" x14ac:dyDescent="0.3">
      <c r="A221">
        <v>220</v>
      </c>
      <c r="B221">
        <v>64</v>
      </c>
      <c r="C221">
        <v>32.054198999999997</v>
      </c>
      <c r="D221">
        <v>-18.013399</v>
      </c>
      <c r="E221" t="s">
        <v>364</v>
      </c>
      <c r="F221" t="s">
        <v>366</v>
      </c>
      <c r="G221" t="s">
        <v>39</v>
      </c>
      <c r="H221">
        <v>1985</v>
      </c>
      <c r="I221">
        <v>18.200000762939499</v>
      </c>
      <c r="J221">
        <v>12.8999996185303</v>
      </c>
      <c r="K221">
        <v>58</v>
      </c>
      <c r="L221">
        <v>26.799999237060501</v>
      </c>
      <c r="M221">
        <v>28.100000381469702</v>
      </c>
      <c r="N221">
        <v>6.0999999046325701</v>
      </c>
      <c r="O221">
        <v>22</v>
      </c>
      <c r="P221">
        <v>20.5</v>
      </c>
      <c r="Q221">
        <v>14.199999809265099</v>
      </c>
      <c r="R221">
        <v>20.700000762939499</v>
      </c>
      <c r="S221">
        <v>14.199999809265099</v>
      </c>
      <c r="T221">
        <v>815</v>
      </c>
      <c r="U221">
        <v>189</v>
      </c>
      <c r="V221">
        <v>0</v>
      </c>
      <c r="W221">
        <v>104</v>
      </c>
      <c r="X221">
        <v>529</v>
      </c>
      <c r="Y221">
        <v>5</v>
      </c>
      <c r="Z221">
        <v>305</v>
      </c>
      <c r="AA221">
        <v>5</v>
      </c>
      <c r="AB221">
        <v>24.787102382428898</v>
      </c>
      <c r="AC221">
        <v>1.4315736461765999E-2</v>
      </c>
      <c r="AD221">
        <v>4.5485176173832897</v>
      </c>
      <c r="AE221">
        <v>0.26617556883543497</v>
      </c>
      <c r="AF221">
        <v>1253.2160392798701</v>
      </c>
      <c r="AG221">
        <f>IFERROR(AH221*0.1, "N/A")</f>
        <v>6.06775777414075</v>
      </c>
      <c r="AH221">
        <v>60.677577741407497</v>
      </c>
      <c r="AI221">
        <v>124.965561899538</v>
      </c>
      <c r="AJ221">
        <v>16.674304418985301</v>
      </c>
      <c r="AK221">
        <v>70.322422258592496</v>
      </c>
    </row>
    <row r="222" spans="1:37" x14ac:dyDescent="0.3">
      <c r="A222">
        <v>221</v>
      </c>
      <c r="B222">
        <v>14</v>
      </c>
      <c r="C222">
        <v>30.683800000000002</v>
      </c>
      <c r="D222">
        <v>-17.961901000000001</v>
      </c>
      <c r="E222" t="s">
        <v>367</v>
      </c>
      <c r="F222" t="s">
        <v>368</v>
      </c>
      <c r="G222" t="s">
        <v>37</v>
      </c>
      <c r="H222">
        <v>1985</v>
      </c>
      <c r="I222">
        <v>18.2546491949632</v>
      </c>
      <c r="J222">
        <v>14.0546494743758</v>
      </c>
      <c r="K222">
        <v>58</v>
      </c>
      <c r="L222">
        <v>28.511516704839401</v>
      </c>
      <c r="M222">
        <v>29.109298948751601</v>
      </c>
      <c r="N222">
        <v>5.0546492137877799</v>
      </c>
      <c r="O222">
        <v>24.0546494743758</v>
      </c>
      <c r="P222">
        <v>20.5</v>
      </c>
      <c r="Q222">
        <v>14.0546494743758</v>
      </c>
      <c r="R222">
        <v>20.954649092906099</v>
      </c>
      <c r="S222">
        <v>14.0546494743758</v>
      </c>
      <c r="T222">
        <v>788.36052202283804</v>
      </c>
      <c r="U222">
        <v>184.453507340946</v>
      </c>
      <c r="V222">
        <v>0</v>
      </c>
      <c r="W222">
        <v>104</v>
      </c>
      <c r="X222">
        <v>512.90701468189195</v>
      </c>
      <c r="Y222">
        <v>4</v>
      </c>
      <c r="Z222">
        <v>303.45350734094598</v>
      </c>
      <c r="AA222">
        <v>4</v>
      </c>
      <c r="AB222">
        <v>10.3028132328201</v>
      </c>
      <c r="AC222">
        <v>1.9544166052443999E-2</v>
      </c>
      <c r="AD222">
        <v>2.1674872323700498</v>
      </c>
      <c r="AE222">
        <v>0.249208033084869</v>
      </c>
      <c r="AF222">
        <v>1403.9331158238199</v>
      </c>
      <c r="AG222">
        <f>IFERROR(AH222*0.1, "N/A")</f>
        <v>6</v>
      </c>
      <c r="AH222">
        <v>60</v>
      </c>
      <c r="AI222">
        <v>207.10989679209001</v>
      </c>
      <c r="AJ222">
        <v>21</v>
      </c>
      <c r="AK222">
        <v>66</v>
      </c>
    </row>
    <row r="223" spans="1:37" x14ac:dyDescent="0.3">
      <c r="A223">
        <v>222</v>
      </c>
      <c r="B223">
        <v>28</v>
      </c>
      <c r="C223">
        <v>30.683800000000002</v>
      </c>
      <c r="D223">
        <v>-17.961901000000001</v>
      </c>
      <c r="E223" t="s">
        <v>367</v>
      </c>
      <c r="F223" t="s">
        <v>369</v>
      </c>
      <c r="G223" t="s">
        <v>39</v>
      </c>
      <c r="H223">
        <v>1985</v>
      </c>
      <c r="I223">
        <v>18.2546491949632</v>
      </c>
      <c r="J223">
        <v>14.0546494743758</v>
      </c>
      <c r="K223">
        <v>58</v>
      </c>
      <c r="L223">
        <v>28.511516704839401</v>
      </c>
      <c r="M223">
        <v>29.109298948751601</v>
      </c>
      <c r="N223">
        <v>5.0546492137877799</v>
      </c>
      <c r="O223">
        <v>24.0546494743758</v>
      </c>
      <c r="P223">
        <v>20.5</v>
      </c>
      <c r="Q223">
        <v>14.0546494743758</v>
      </c>
      <c r="R223">
        <v>20.954649092906099</v>
      </c>
      <c r="S223">
        <v>14.0546494743758</v>
      </c>
      <c r="T223">
        <v>788.36052202283804</v>
      </c>
      <c r="U223">
        <v>184.453507340946</v>
      </c>
      <c r="V223">
        <v>0</v>
      </c>
      <c r="W223">
        <v>104</v>
      </c>
      <c r="X223">
        <v>512.90701468189195</v>
      </c>
      <c r="Y223">
        <v>4</v>
      </c>
      <c r="Z223">
        <v>303.45350734094598</v>
      </c>
      <c r="AA223">
        <v>4</v>
      </c>
      <c r="AB223">
        <v>10.3028132328201</v>
      </c>
      <c r="AC223">
        <v>1.9544166052443999E-2</v>
      </c>
      <c r="AD223">
        <v>2.1674872323700498</v>
      </c>
      <c r="AE223">
        <v>0.249208033084869</v>
      </c>
      <c r="AF223">
        <v>1403.9331158238199</v>
      </c>
      <c r="AG223">
        <f>IFERROR(AH223*0.1, "N/A")</f>
        <v>6</v>
      </c>
      <c r="AH223">
        <v>60</v>
      </c>
      <c r="AI223">
        <v>207.10989679209001</v>
      </c>
      <c r="AJ223">
        <v>21</v>
      </c>
      <c r="AK223">
        <v>66</v>
      </c>
    </row>
    <row r="224" spans="1:37" x14ac:dyDescent="0.3">
      <c r="A224">
        <v>223</v>
      </c>
      <c r="B224">
        <v>0</v>
      </c>
      <c r="C224">
        <v>31.723499</v>
      </c>
      <c r="D224">
        <v>-17.949100000000001</v>
      </c>
      <c r="E224" t="s">
        <v>370</v>
      </c>
      <c r="F224" t="s">
        <v>371</v>
      </c>
      <c r="G224" t="s">
        <v>37</v>
      </c>
      <c r="H224">
        <v>1985</v>
      </c>
      <c r="I224">
        <v>17.899999618530298</v>
      </c>
      <c r="J224">
        <v>12.8999996185303</v>
      </c>
      <c r="K224">
        <v>57</v>
      </c>
      <c r="L224">
        <v>27.680000305175799</v>
      </c>
      <c r="M224">
        <v>28.299999237060501</v>
      </c>
      <c r="N224">
        <v>5.6999998092651403</v>
      </c>
      <c r="O224">
        <v>22.600000381469702</v>
      </c>
      <c r="P224">
        <v>20.100000381469702</v>
      </c>
      <c r="Q224">
        <v>13.8999996185303</v>
      </c>
      <c r="R224">
        <v>20.600000381469702</v>
      </c>
      <c r="S224">
        <v>13.8999996185303</v>
      </c>
      <c r="T224">
        <v>880</v>
      </c>
      <c r="U224">
        <v>208</v>
      </c>
      <c r="V224">
        <v>2</v>
      </c>
      <c r="W224">
        <v>103</v>
      </c>
      <c r="X224">
        <v>573</v>
      </c>
      <c r="Y224">
        <v>7</v>
      </c>
      <c r="Z224">
        <v>327</v>
      </c>
      <c r="AA224">
        <v>7</v>
      </c>
      <c r="AB224">
        <v>17.185983695235901</v>
      </c>
      <c r="AC224">
        <v>2.6200758475883001E-2</v>
      </c>
      <c r="AD224">
        <v>1.0722682637716401</v>
      </c>
      <c r="AE224">
        <v>0.29120364785194403</v>
      </c>
      <c r="AF224">
        <v>1441.22875816993</v>
      </c>
      <c r="AG224">
        <f>IFERROR(AH224*0.1, "N/A")</f>
        <v>5.9777777777777805</v>
      </c>
      <c r="AH224">
        <v>59.7777777777778</v>
      </c>
      <c r="AI224">
        <v>216.06392574933599</v>
      </c>
      <c r="AJ224">
        <v>13.2957516339869</v>
      </c>
      <c r="AK224">
        <v>77.704248366013104</v>
      </c>
    </row>
    <row r="225" spans="1:37" x14ac:dyDescent="0.3">
      <c r="A225">
        <v>224</v>
      </c>
      <c r="B225">
        <v>63</v>
      </c>
      <c r="C225">
        <v>31.723499</v>
      </c>
      <c r="D225">
        <v>-17.949100000000001</v>
      </c>
      <c r="E225" t="s">
        <v>370</v>
      </c>
      <c r="F225" t="s">
        <v>372</v>
      </c>
      <c r="G225" t="s">
        <v>39</v>
      </c>
      <c r="H225">
        <v>1985</v>
      </c>
      <c r="I225">
        <v>17.899999618530298</v>
      </c>
      <c r="J225">
        <v>12.8999996185303</v>
      </c>
      <c r="K225">
        <v>57</v>
      </c>
      <c r="L225">
        <v>27.680000305175799</v>
      </c>
      <c r="M225">
        <v>28.299999237060501</v>
      </c>
      <c r="N225">
        <v>5.6999998092651403</v>
      </c>
      <c r="O225">
        <v>22.600000381469702</v>
      </c>
      <c r="P225">
        <v>20.100000381469702</v>
      </c>
      <c r="Q225">
        <v>13.8999996185303</v>
      </c>
      <c r="R225">
        <v>20.600000381469702</v>
      </c>
      <c r="S225">
        <v>13.8999996185303</v>
      </c>
      <c r="T225">
        <v>880</v>
      </c>
      <c r="U225">
        <v>208</v>
      </c>
      <c r="V225">
        <v>2</v>
      </c>
      <c r="W225">
        <v>103</v>
      </c>
      <c r="X225">
        <v>573</v>
      </c>
      <c r="Y225">
        <v>7</v>
      </c>
      <c r="Z225">
        <v>327</v>
      </c>
      <c r="AA225">
        <v>7</v>
      </c>
      <c r="AB225">
        <v>17.185983695235901</v>
      </c>
      <c r="AC225">
        <v>2.6200758475883001E-2</v>
      </c>
      <c r="AD225">
        <v>1.0722682637716401</v>
      </c>
      <c r="AE225">
        <v>0.29120364785194403</v>
      </c>
      <c r="AF225">
        <v>1441.22875816993</v>
      </c>
      <c r="AG225">
        <f>IFERROR(AH225*0.1, "N/A")</f>
        <v>5.9777777777777805</v>
      </c>
      <c r="AH225">
        <v>59.7777777777778</v>
      </c>
      <c r="AI225">
        <v>216.06392574933599</v>
      </c>
      <c r="AJ225">
        <v>13.2957516339869</v>
      </c>
      <c r="AK225">
        <v>77.704248366013104</v>
      </c>
    </row>
    <row r="226" spans="1:37" x14ac:dyDescent="0.3">
      <c r="A226">
        <v>225</v>
      </c>
      <c r="B226">
        <v>1</v>
      </c>
      <c r="C226">
        <v>30.2393</v>
      </c>
      <c r="D226">
        <v>-17.934000000000001</v>
      </c>
      <c r="E226" t="s">
        <v>373</v>
      </c>
      <c r="F226" t="s">
        <v>374</v>
      </c>
      <c r="G226" t="s">
        <v>37</v>
      </c>
      <c r="H226">
        <v>1985</v>
      </c>
      <c r="I226">
        <v>19.399999618530298</v>
      </c>
      <c r="J226">
        <v>14.300000190734901</v>
      </c>
      <c r="K226">
        <v>57</v>
      </c>
      <c r="L226">
        <v>27.940000534057599</v>
      </c>
      <c r="M226">
        <v>30.700000762939499</v>
      </c>
      <c r="N226">
        <v>6</v>
      </c>
      <c r="O226">
        <v>24.700000762939499</v>
      </c>
      <c r="P226">
        <v>21.299999237060501</v>
      </c>
      <c r="Q226">
        <v>15.300000190734901</v>
      </c>
      <c r="R226">
        <v>22.100000381469702</v>
      </c>
      <c r="S226">
        <v>15.300000190734901</v>
      </c>
      <c r="T226">
        <v>789</v>
      </c>
      <c r="U226">
        <v>185</v>
      </c>
      <c r="V226">
        <v>0</v>
      </c>
      <c r="W226">
        <v>106</v>
      </c>
      <c r="X226">
        <v>520</v>
      </c>
      <c r="Y226">
        <v>6</v>
      </c>
      <c r="Z226">
        <v>310</v>
      </c>
      <c r="AA226">
        <v>10</v>
      </c>
      <c r="AB226">
        <v>1.387698314229</v>
      </c>
      <c r="AC226">
        <v>6.7980109890220604</v>
      </c>
      <c r="AD226">
        <v>2.7045164016426599</v>
      </c>
      <c r="AE226">
        <v>0.237387910485268</v>
      </c>
      <c r="AF226">
        <v>1199.4278688524601</v>
      </c>
      <c r="AG226">
        <f>IFERROR(AH226*0.1, "N/A")</f>
        <v>5.9024590163934398</v>
      </c>
      <c r="AH226">
        <v>59.024590163934398</v>
      </c>
      <c r="AI226">
        <v>82.536387409147693</v>
      </c>
      <c r="AJ226">
        <v>20.044262295082</v>
      </c>
      <c r="AK226">
        <v>67.465573770491801</v>
      </c>
    </row>
    <row r="227" spans="1:37" x14ac:dyDescent="0.3">
      <c r="A227">
        <v>226</v>
      </c>
      <c r="B227">
        <v>34</v>
      </c>
      <c r="C227">
        <v>30.2393</v>
      </c>
      <c r="D227">
        <v>-17.934000000000001</v>
      </c>
      <c r="E227" t="s">
        <v>373</v>
      </c>
      <c r="F227" t="s">
        <v>375</v>
      </c>
      <c r="G227" t="s">
        <v>39</v>
      </c>
      <c r="H227">
        <v>1985</v>
      </c>
      <c r="I227">
        <v>19.399999618530298</v>
      </c>
      <c r="J227">
        <v>14.300000190734901</v>
      </c>
      <c r="K227">
        <v>57</v>
      </c>
      <c r="L227">
        <v>27.940000534057599</v>
      </c>
      <c r="M227">
        <v>30.700000762939499</v>
      </c>
      <c r="N227">
        <v>6</v>
      </c>
      <c r="O227">
        <v>24.700000762939499</v>
      </c>
      <c r="P227">
        <v>21.299999237060501</v>
      </c>
      <c r="Q227">
        <v>15.300000190734901</v>
      </c>
      <c r="R227">
        <v>22.100000381469702</v>
      </c>
      <c r="S227">
        <v>15.300000190734901</v>
      </c>
      <c r="T227">
        <v>789</v>
      </c>
      <c r="U227">
        <v>185</v>
      </c>
      <c r="V227">
        <v>0</v>
      </c>
      <c r="W227">
        <v>106</v>
      </c>
      <c r="X227">
        <v>520</v>
      </c>
      <c r="Y227">
        <v>6</v>
      </c>
      <c r="Z227">
        <v>310</v>
      </c>
      <c r="AA227">
        <v>10</v>
      </c>
      <c r="AB227">
        <v>1.387698314229</v>
      </c>
      <c r="AC227">
        <v>6.7980109890220604</v>
      </c>
      <c r="AD227">
        <v>2.7045164016426599</v>
      </c>
      <c r="AE227">
        <v>0.237387910485268</v>
      </c>
      <c r="AF227">
        <v>1199.4278688524601</v>
      </c>
      <c r="AG227">
        <f>IFERROR(AH227*0.1, "N/A")</f>
        <v>5.9024590163934398</v>
      </c>
      <c r="AH227">
        <v>59.024590163934398</v>
      </c>
      <c r="AI227">
        <v>82.536387409147693</v>
      </c>
      <c r="AJ227">
        <v>20.044262295082</v>
      </c>
      <c r="AK227">
        <v>67.465573770491801</v>
      </c>
    </row>
    <row r="228" spans="1:37" x14ac:dyDescent="0.3">
      <c r="A228">
        <v>227</v>
      </c>
      <c r="B228">
        <v>8</v>
      </c>
      <c r="C228">
        <v>31.472798999999998</v>
      </c>
      <c r="D228">
        <v>-17.924700000000001</v>
      </c>
      <c r="E228" t="s">
        <v>376</v>
      </c>
      <c r="F228" t="s">
        <v>377</v>
      </c>
      <c r="G228" t="s">
        <v>37</v>
      </c>
      <c r="H228">
        <v>1985</v>
      </c>
      <c r="I228">
        <v>18.574056111728801</v>
      </c>
      <c r="J228">
        <v>13.3999996185303</v>
      </c>
      <c r="K228">
        <v>57</v>
      </c>
      <c r="L228">
        <v>27.9947618569059</v>
      </c>
      <c r="M228">
        <v>29.074056111728801</v>
      </c>
      <c r="N228">
        <v>5.8000001907348597</v>
      </c>
      <c r="O228">
        <v>23.2740554621654</v>
      </c>
      <c r="P228">
        <v>20.748111192424499</v>
      </c>
      <c r="Q228">
        <v>14.374055596212299</v>
      </c>
      <c r="R228">
        <v>21.174056493198499</v>
      </c>
      <c r="S228">
        <v>14.374055596212299</v>
      </c>
      <c r="T228">
        <v>897.48111658456503</v>
      </c>
      <c r="U228">
        <v>215.740558292282</v>
      </c>
      <c r="V228">
        <v>1</v>
      </c>
      <c r="W228">
        <v>103.740558292282</v>
      </c>
      <c r="X228">
        <v>583.740558292282</v>
      </c>
      <c r="Y228">
        <v>8</v>
      </c>
      <c r="Z228">
        <v>322.259441707718</v>
      </c>
      <c r="AA228">
        <v>8</v>
      </c>
      <c r="AB228">
        <v>4.7716669793590896</v>
      </c>
      <c r="AC228">
        <v>0.181416185617092</v>
      </c>
      <c r="AD228">
        <v>2.02573741901488</v>
      </c>
      <c r="AE228">
        <v>0.368111222982407</v>
      </c>
      <c r="AF228">
        <v>1334.8505747126401</v>
      </c>
      <c r="AG228">
        <f>IFERROR(AH228*0.1, "N/A")</f>
        <v>5.7229885057471304</v>
      </c>
      <c r="AH228">
        <v>57.2298850574713</v>
      </c>
      <c r="AI228">
        <v>250.485839687153</v>
      </c>
      <c r="AJ228">
        <v>18.379310344827601</v>
      </c>
      <c r="AK228">
        <v>69.770114942528707</v>
      </c>
    </row>
    <row r="229" spans="1:37" x14ac:dyDescent="0.3">
      <c r="A229">
        <v>228</v>
      </c>
      <c r="B229">
        <v>38</v>
      </c>
      <c r="C229">
        <v>31.472798999999998</v>
      </c>
      <c r="D229">
        <v>-17.924700000000001</v>
      </c>
      <c r="E229" t="s">
        <v>376</v>
      </c>
      <c r="F229" t="s">
        <v>378</v>
      </c>
      <c r="G229" t="s">
        <v>39</v>
      </c>
      <c r="H229">
        <v>1985</v>
      </c>
      <c r="I229">
        <v>18.574056111728801</v>
      </c>
      <c r="J229">
        <v>13.3999996185303</v>
      </c>
      <c r="K229">
        <v>57</v>
      </c>
      <c r="L229">
        <v>27.9947618569059</v>
      </c>
      <c r="M229">
        <v>29.074056111728801</v>
      </c>
      <c r="N229">
        <v>5.8000001907348597</v>
      </c>
      <c r="O229">
        <v>23.2740554621654</v>
      </c>
      <c r="P229">
        <v>20.748111192424499</v>
      </c>
      <c r="Q229">
        <v>14.374055596212299</v>
      </c>
      <c r="R229">
        <v>21.174056493198499</v>
      </c>
      <c r="S229">
        <v>14.374055596212299</v>
      </c>
      <c r="T229">
        <v>897.48111658456503</v>
      </c>
      <c r="U229">
        <v>215.740558292282</v>
      </c>
      <c r="V229">
        <v>1</v>
      </c>
      <c r="W229">
        <v>103.740558292282</v>
      </c>
      <c r="X229">
        <v>583.740558292282</v>
      </c>
      <c r="Y229">
        <v>8</v>
      </c>
      <c r="Z229">
        <v>322.259441707718</v>
      </c>
      <c r="AA229">
        <v>8</v>
      </c>
      <c r="AB229">
        <v>4.7716669793590896</v>
      </c>
      <c r="AC229">
        <v>0.181416185617092</v>
      </c>
      <c r="AD229">
        <v>2.02573741901488</v>
      </c>
      <c r="AE229">
        <v>0.368111222982407</v>
      </c>
      <c r="AF229">
        <v>1334.8505747126401</v>
      </c>
      <c r="AG229">
        <f>IFERROR(AH229*0.1, "N/A")</f>
        <v>5.7229885057471304</v>
      </c>
      <c r="AH229">
        <v>57.2298850574713</v>
      </c>
      <c r="AI229">
        <v>250.485839687153</v>
      </c>
      <c r="AJ229">
        <v>18.379310344827601</v>
      </c>
      <c r="AK229">
        <v>69.770114942528707</v>
      </c>
    </row>
    <row r="230" spans="1:37" x14ac:dyDescent="0.3">
      <c r="A230">
        <v>229</v>
      </c>
      <c r="B230">
        <v>4</v>
      </c>
      <c r="C230">
        <v>30.823098999999999</v>
      </c>
      <c r="D230">
        <v>-17.890899999999998</v>
      </c>
      <c r="E230" t="s">
        <v>379</v>
      </c>
      <c r="F230" t="s">
        <v>380</v>
      </c>
      <c r="G230" t="s">
        <v>37</v>
      </c>
      <c r="H230">
        <v>1985</v>
      </c>
      <c r="I230">
        <v>18.200000762939499</v>
      </c>
      <c r="J230">
        <v>13.8999996185303</v>
      </c>
      <c r="K230">
        <v>58</v>
      </c>
      <c r="L230">
        <v>27.690000534057599</v>
      </c>
      <c r="M230">
        <v>28.899999618530298</v>
      </c>
      <c r="N230">
        <v>5.1999998092651403</v>
      </c>
      <c r="O230">
        <v>23.700000762939499</v>
      </c>
      <c r="P230">
        <v>20.299999237060501</v>
      </c>
      <c r="Q230">
        <v>14.1000003814697</v>
      </c>
      <c r="R230">
        <v>20.799999237060501</v>
      </c>
      <c r="S230">
        <v>14.1000003814697</v>
      </c>
      <c r="T230">
        <v>786</v>
      </c>
      <c r="U230">
        <v>180</v>
      </c>
      <c r="V230">
        <v>0</v>
      </c>
      <c r="W230">
        <v>104</v>
      </c>
      <c r="X230">
        <v>515</v>
      </c>
      <c r="Y230">
        <v>5</v>
      </c>
      <c r="Z230">
        <v>301</v>
      </c>
      <c r="AA230">
        <v>5</v>
      </c>
      <c r="AB230">
        <v>1.2170843114993799</v>
      </c>
      <c r="AC230">
        <v>0.370047871855337</v>
      </c>
      <c r="AD230">
        <v>3.5059613676493999</v>
      </c>
      <c r="AE230">
        <v>0.33935886621475198</v>
      </c>
      <c r="AF230">
        <v>1376.94581280788</v>
      </c>
      <c r="AG230">
        <f>IFERROR(AH230*0.1, "N/A")</f>
        <v>5.8594417077175702</v>
      </c>
      <c r="AH230">
        <v>58.594417077175699</v>
      </c>
      <c r="AI230">
        <v>183.037587333391</v>
      </c>
      <c r="AJ230">
        <v>21.594417077175699</v>
      </c>
      <c r="AK230">
        <v>63.110016420361198</v>
      </c>
    </row>
    <row r="231" spans="1:37" x14ac:dyDescent="0.3">
      <c r="A231">
        <v>230</v>
      </c>
      <c r="B231">
        <v>38</v>
      </c>
      <c r="C231">
        <v>30.823098999999999</v>
      </c>
      <c r="D231">
        <v>-17.890899999999998</v>
      </c>
      <c r="E231" t="s">
        <v>379</v>
      </c>
      <c r="F231" t="s">
        <v>381</v>
      </c>
      <c r="G231" t="s">
        <v>39</v>
      </c>
      <c r="H231">
        <v>1985</v>
      </c>
      <c r="I231">
        <v>18.200000762939499</v>
      </c>
      <c r="J231">
        <v>13.8999996185303</v>
      </c>
      <c r="K231">
        <v>58</v>
      </c>
      <c r="L231">
        <v>27.690000534057599</v>
      </c>
      <c r="M231">
        <v>28.899999618530298</v>
      </c>
      <c r="N231">
        <v>5.1999998092651403</v>
      </c>
      <c r="O231">
        <v>23.700000762939499</v>
      </c>
      <c r="P231">
        <v>20.299999237060501</v>
      </c>
      <c r="Q231">
        <v>14.1000003814697</v>
      </c>
      <c r="R231">
        <v>20.799999237060501</v>
      </c>
      <c r="S231">
        <v>14.1000003814697</v>
      </c>
      <c r="T231">
        <v>786</v>
      </c>
      <c r="U231">
        <v>180</v>
      </c>
      <c r="V231">
        <v>0</v>
      </c>
      <c r="W231">
        <v>104</v>
      </c>
      <c r="X231">
        <v>515</v>
      </c>
      <c r="Y231">
        <v>5</v>
      </c>
      <c r="Z231">
        <v>301</v>
      </c>
      <c r="AA231">
        <v>5</v>
      </c>
      <c r="AB231">
        <v>1.2170843114993799</v>
      </c>
      <c r="AC231">
        <v>0.370047871855337</v>
      </c>
      <c r="AD231">
        <v>3.5059613676493999</v>
      </c>
      <c r="AE231">
        <v>0.33935886621475198</v>
      </c>
      <c r="AF231">
        <v>1376.94581280788</v>
      </c>
      <c r="AG231">
        <f>IFERROR(AH231*0.1, "N/A")</f>
        <v>5.8594417077175702</v>
      </c>
      <c r="AH231">
        <v>58.594417077175699</v>
      </c>
      <c r="AI231">
        <v>183.037587333391</v>
      </c>
      <c r="AJ231">
        <v>21.594417077175699</v>
      </c>
      <c r="AK231">
        <v>63.110016420361198</v>
      </c>
    </row>
    <row r="232" spans="1:37" x14ac:dyDescent="0.3">
      <c r="A232">
        <v>231</v>
      </c>
      <c r="B232">
        <v>0</v>
      </c>
      <c r="C232">
        <v>27.390899999999998</v>
      </c>
      <c r="D232">
        <v>-17.851600999999999</v>
      </c>
      <c r="E232" t="s">
        <v>382</v>
      </c>
      <c r="F232" t="s">
        <v>383</v>
      </c>
      <c r="G232" t="s">
        <v>37</v>
      </c>
      <c r="H232">
        <v>1985</v>
      </c>
      <c r="I232">
        <v>23.756651009244901</v>
      </c>
      <c r="J232">
        <v>14.1000003814697</v>
      </c>
      <c r="K232">
        <v>55</v>
      </c>
      <c r="L232">
        <v>28.173792834352401</v>
      </c>
      <c r="M232">
        <v>35.667979029011804</v>
      </c>
      <c r="N232">
        <v>10.3453203445585</v>
      </c>
      <c r="O232">
        <v>25.322659422024099</v>
      </c>
      <c r="P232">
        <v>25.145320535293401</v>
      </c>
      <c r="Q232">
        <v>19.756651009244901</v>
      </c>
      <c r="R232">
        <v>26.856649483365999</v>
      </c>
      <c r="S232">
        <v>19.756651009244901</v>
      </c>
      <c r="T232">
        <v>704.093596059113</v>
      </c>
      <c r="U232">
        <v>178.54679802955701</v>
      </c>
      <c r="V232">
        <v>0</v>
      </c>
      <c r="W232">
        <v>116.77339901477799</v>
      </c>
      <c r="X232">
        <v>500.20689655172401</v>
      </c>
      <c r="Y232">
        <v>1.1133004926108401</v>
      </c>
      <c r="Z232">
        <v>224.54679802955701</v>
      </c>
      <c r="AA232">
        <v>6</v>
      </c>
      <c r="AB232">
        <v>151.763085576701</v>
      </c>
      <c r="AC232">
        <v>1.1620896519735E-2</v>
      </c>
      <c r="AD232">
        <v>13.193251829820699</v>
      </c>
      <c r="AE232">
        <v>0.122457318007946</v>
      </c>
      <c r="AF232">
        <v>708.80295566502502</v>
      </c>
      <c r="AG232">
        <f>IFERROR(AH232*0.1, "N/A")</f>
        <v>6.1660098522167504</v>
      </c>
      <c r="AH232">
        <v>61.660098522167502</v>
      </c>
      <c r="AI232">
        <v>293.562892154324</v>
      </c>
      <c r="AJ232">
        <v>19.773399014778299</v>
      </c>
      <c r="AK232">
        <v>70.113300492610804</v>
      </c>
    </row>
    <row r="233" spans="1:37" x14ac:dyDescent="0.3">
      <c r="A233">
        <v>232</v>
      </c>
      <c r="B233">
        <v>70</v>
      </c>
      <c r="C233">
        <v>27.390899999999998</v>
      </c>
      <c r="D233">
        <v>-17.851600999999999</v>
      </c>
      <c r="E233" t="s">
        <v>382</v>
      </c>
      <c r="F233" t="s">
        <v>384</v>
      </c>
      <c r="G233" t="s">
        <v>39</v>
      </c>
      <c r="H233">
        <v>1985</v>
      </c>
      <c r="I233">
        <v>23.756651009244901</v>
      </c>
      <c r="J233">
        <v>14.1000003814697</v>
      </c>
      <c r="K233">
        <v>55</v>
      </c>
      <c r="L233">
        <v>28.173792834352401</v>
      </c>
      <c r="M233">
        <v>35.667979029011804</v>
      </c>
      <c r="N233">
        <v>10.3453203445585</v>
      </c>
      <c r="O233">
        <v>25.322659422024099</v>
      </c>
      <c r="P233">
        <v>25.145320535293401</v>
      </c>
      <c r="Q233">
        <v>19.756651009244901</v>
      </c>
      <c r="R233">
        <v>26.856649483365999</v>
      </c>
      <c r="S233">
        <v>19.756651009244901</v>
      </c>
      <c r="T233">
        <v>704.093596059113</v>
      </c>
      <c r="U233">
        <v>178.54679802955701</v>
      </c>
      <c r="V233">
        <v>0</v>
      </c>
      <c r="W233">
        <v>116.77339901477799</v>
      </c>
      <c r="X233">
        <v>500.20689655172401</v>
      </c>
      <c r="Y233">
        <v>1.1133004926108401</v>
      </c>
      <c r="Z233">
        <v>224.54679802955701</v>
      </c>
      <c r="AA233">
        <v>6</v>
      </c>
      <c r="AB233">
        <v>151.763085576701</v>
      </c>
      <c r="AC233">
        <v>1.1620896519735E-2</v>
      </c>
      <c r="AD233">
        <v>13.193251829820699</v>
      </c>
      <c r="AE233">
        <v>0.122457318007946</v>
      </c>
      <c r="AF233">
        <v>708.80295566502502</v>
      </c>
      <c r="AG233">
        <f>IFERROR(AH233*0.1, "N/A")</f>
        <v>6.1660098522167504</v>
      </c>
      <c r="AH233">
        <v>61.660098522167502</v>
      </c>
      <c r="AI233">
        <v>293.562892154324</v>
      </c>
      <c r="AJ233">
        <v>19.773399014778299</v>
      </c>
      <c r="AK233">
        <v>70.113300492610804</v>
      </c>
    </row>
    <row r="234" spans="1:37" x14ac:dyDescent="0.3">
      <c r="A234">
        <v>233</v>
      </c>
      <c r="B234">
        <v>8</v>
      </c>
      <c r="C234">
        <v>31.273199000000002</v>
      </c>
      <c r="D234">
        <v>-17.813700000000001</v>
      </c>
      <c r="E234" t="s">
        <v>385</v>
      </c>
      <c r="F234" t="s">
        <v>386</v>
      </c>
      <c r="G234" t="s">
        <v>37</v>
      </c>
      <c r="H234">
        <v>1985</v>
      </c>
      <c r="I234">
        <v>17.799999237060501</v>
      </c>
      <c r="J234">
        <v>13</v>
      </c>
      <c r="K234">
        <v>57</v>
      </c>
      <c r="L234">
        <v>27.379999160766602</v>
      </c>
      <c r="M234">
        <v>28.100000381469702</v>
      </c>
      <c r="N234">
        <v>5.5</v>
      </c>
      <c r="O234">
        <v>22.600000381469702</v>
      </c>
      <c r="P234">
        <v>19.899999618530298</v>
      </c>
      <c r="Q234">
        <v>13.699999809265099</v>
      </c>
      <c r="R234">
        <v>20.399999618530298</v>
      </c>
      <c r="S234">
        <v>13.699999809265099</v>
      </c>
      <c r="T234">
        <v>922</v>
      </c>
      <c r="U234">
        <v>218</v>
      </c>
      <c r="V234">
        <v>1</v>
      </c>
      <c r="W234">
        <v>105</v>
      </c>
      <c r="X234">
        <v>606</v>
      </c>
      <c r="Y234">
        <v>9</v>
      </c>
      <c r="Z234">
        <v>334</v>
      </c>
      <c r="AA234">
        <v>9</v>
      </c>
      <c r="AB234">
        <v>18.6983554671517</v>
      </c>
      <c r="AC234">
        <v>6.2952946307543001E-2</v>
      </c>
      <c r="AD234">
        <v>4.0870632134170704</v>
      </c>
      <c r="AE234">
        <v>0.41781228780746499</v>
      </c>
      <c r="AF234">
        <v>1464.32569558101</v>
      </c>
      <c r="AG234">
        <f>IFERROR(AH234*0.1, "N/A")</f>
        <v>5.7855973813420603</v>
      </c>
      <c r="AH234">
        <v>57.855973813420597</v>
      </c>
      <c r="AI234">
        <v>180.07331351172499</v>
      </c>
      <c r="AJ234">
        <v>21.356792144026201</v>
      </c>
      <c r="AK234">
        <v>64.067103109656301</v>
      </c>
    </row>
    <row r="235" spans="1:37" x14ac:dyDescent="0.3">
      <c r="A235">
        <v>234</v>
      </c>
      <c r="B235">
        <v>22</v>
      </c>
      <c r="C235">
        <v>31.273199000000002</v>
      </c>
      <c r="D235">
        <v>-17.813700000000001</v>
      </c>
      <c r="E235" t="s">
        <v>385</v>
      </c>
      <c r="F235" t="s">
        <v>387</v>
      </c>
      <c r="G235" t="s">
        <v>39</v>
      </c>
      <c r="H235">
        <v>1985</v>
      </c>
      <c r="I235">
        <v>17.799999237060501</v>
      </c>
      <c r="J235">
        <v>13</v>
      </c>
      <c r="K235">
        <v>57</v>
      </c>
      <c r="L235">
        <v>27.379999160766602</v>
      </c>
      <c r="M235">
        <v>28.100000381469702</v>
      </c>
      <c r="N235">
        <v>5.5</v>
      </c>
      <c r="O235">
        <v>22.600000381469702</v>
      </c>
      <c r="P235">
        <v>19.899999618530298</v>
      </c>
      <c r="Q235">
        <v>13.699999809265099</v>
      </c>
      <c r="R235">
        <v>20.399999618530298</v>
      </c>
      <c r="S235">
        <v>13.699999809265099</v>
      </c>
      <c r="T235">
        <v>922</v>
      </c>
      <c r="U235">
        <v>218</v>
      </c>
      <c r="V235">
        <v>1</v>
      </c>
      <c r="W235">
        <v>105</v>
      </c>
      <c r="X235">
        <v>606</v>
      </c>
      <c r="Y235">
        <v>9</v>
      </c>
      <c r="Z235">
        <v>334</v>
      </c>
      <c r="AA235">
        <v>9</v>
      </c>
      <c r="AB235">
        <v>18.6983554671517</v>
      </c>
      <c r="AC235">
        <v>6.2952946307543001E-2</v>
      </c>
      <c r="AD235">
        <v>4.0870632134170704</v>
      </c>
      <c r="AE235">
        <v>0.41781228780746499</v>
      </c>
      <c r="AF235">
        <v>1464.32569558101</v>
      </c>
      <c r="AG235">
        <f>IFERROR(AH235*0.1, "N/A")</f>
        <v>5.7855973813420603</v>
      </c>
      <c r="AH235">
        <v>57.855973813420597</v>
      </c>
      <c r="AI235">
        <v>180.07331351172499</v>
      </c>
      <c r="AJ235">
        <v>21.356792144026201</v>
      </c>
      <c r="AK235">
        <v>64.067103109656301</v>
      </c>
    </row>
    <row r="236" spans="1:37" x14ac:dyDescent="0.3">
      <c r="A236">
        <v>235</v>
      </c>
      <c r="B236">
        <v>0</v>
      </c>
      <c r="C236">
        <v>31.486699999999999</v>
      </c>
      <c r="D236">
        <v>-17.774799000000002</v>
      </c>
      <c r="E236" t="s">
        <v>388</v>
      </c>
      <c r="F236" t="s">
        <v>389</v>
      </c>
      <c r="G236" t="s">
        <v>37</v>
      </c>
      <c r="H236">
        <v>1985</v>
      </c>
      <c r="I236">
        <v>19</v>
      </c>
      <c r="J236">
        <v>13.699999809265099</v>
      </c>
      <c r="K236">
        <v>57</v>
      </c>
      <c r="L236">
        <v>28.369556906188102</v>
      </c>
      <c r="M236">
        <v>29.665025260060901</v>
      </c>
      <c r="N236">
        <v>5.83497552683788</v>
      </c>
      <c r="O236">
        <v>23.8300492798754</v>
      </c>
      <c r="P236">
        <v>21.200000762939499</v>
      </c>
      <c r="Q236">
        <v>14.7349753121437</v>
      </c>
      <c r="R236">
        <v>21.700000762939499</v>
      </c>
      <c r="S236">
        <v>14.7349753121437</v>
      </c>
      <c r="T236">
        <v>943</v>
      </c>
      <c r="U236">
        <v>233</v>
      </c>
      <c r="V236">
        <v>2</v>
      </c>
      <c r="W236">
        <v>106</v>
      </c>
      <c r="X236">
        <v>623</v>
      </c>
      <c r="Y236">
        <v>9</v>
      </c>
      <c r="Z236">
        <v>323</v>
      </c>
      <c r="AA236">
        <v>9</v>
      </c>
      <c r="AB236">
        <v>2.57337247601088</v>
      </c>
      <c r="AC236">
        <v>0.53639941633341004</v>
      </c>
      <c r="AD236">
        <v>2.0395962538194601</v>
      </c>
      <c r="AE236">
        <v>0.52547786192745205</v>
      </c>
      <c r="AF236">
        <v>1244.53201970443</v>
      </c>
      <c r="AG236">
        <f>IFERROR(AH236*0.1, "N/A")</f>
        <v>5.6972085385878506</v>
      </c>
      <c r="AH236">
        <v>56.972085385878501</v>
      </c>
      <c r="AI236">
        <v>104.73384232043399</v>
      </c>
      <c r="AJ236">
        <v>10.027914614121499</v>
      </c>
      <c r="AK236">
        <v>80</v>
      </c>
    </row>
    <row r="237" spans="1:37" x14ac:dyDescent="0.3">
      <c r="A237">
        <v>236</v>
      </c>
      <c r="B237">
        <v>17</v>
      </c>
      <c r="C237">
        <v>31.486699999999999</v>
      </c>
      <c r="D237">
        <v>-17.774799000000002</v>
      </c>
      <c r="E237" t="s">
        <v>388</v>
      </c>
      <c r="F237" t="s">
        <v>390</v>
      </c>
      <c r="G237" t="s">
        <v>39</v>
      </c>
      <c r="H237">
        <v>1985</v>
      </c>
      <c r="I237">
        <v>19</v>
      </c>
      <c r="J237">
        <v>13.699999809265099</v>
      </c>
      <c r="K237">
        <v>57</v>
      </c>
      <c r="L237">
        <v>28.369556906188102</v>
      </c>
      <c r="M237">
        <v>29.665025260060901</v>
      </c>
      <c r="N237">
        <v>5.83497552683788</v>
      </c>
      <c r="O237">
        <v>23.8300492798754</v>
      </c>
      <c r="P237">
        <v>21.200000762939499</v>
      </c>
      <c r="Q237">
        <v>14.7349753121437</v>
      </c>
      <c r="R237">
        <v>21.700000762939499</v>
      </c>
      <c r="S237">
        <v>14.7349753121437</v>
      </c>
      <c r="T237">
        <v>943</v>
      </c>
      <c r="U237">
        <v>233</v>
      </c>
      <c r="V237">
        <v>2</v>
      </c>
      <c r="W237">
        <v>106</v>
      </c>
      <c r="X237">
        <v>623</v>
      </c>
      <c r="Y237">
        <v>9</v>
      </c>
      <c r="Z237">
        <v>323</v>
      </c>
      <c r="AA237">
        <v>9</v>
      </c>
      <c r="AB237">
        <v>2.57337247601088</v>
      </c>
      <c r="AC237">
        <v>0.53639941633341004</v>
      </c>
      <c r="AD237">
        <v>2.0395962538194601</v>
      </c>
      <c r="AE237">
        <v>0.52547786192745205</v>
      </c>
      <c r="AF237">
        <v>1244.53201970443</v>
      </c>
      <c r="AG237">
        <f>IFERROR(AH237*0.1, "N/A")</f>
        <v>5.6972085385878506</v>
      </c>
      <c r="AH237">
        <v>56.972085385878501</v>
      </c>
      <c r="AI237">
        <v>104.73384232043399</v>
      </c>
      <c r="AJ237">
        <v>10.027914614121499</v>
      </c>
      <c r="AK237">
        <v>80</v>
      </c>
    </row>
    <row r="238" spans="1:37" x14ac:dyDescent="0.3">
      <c r="A238">
        <v>237</v>
      </c>
      <c r="B238">
        <v>3</v>
      </c>
      <c r="C238">
        <v>32.929400999999999</v>
      </c>
      <c r="D238">
        <v>-17.772400000000001</v>
      </c>
      <c r="E238" t="s">
        <v>391</v>
      </c>
      <c r="F238" t="s">
        <v>392</v>
      </c>
      <c r="G238" t="s">
        <v>37</v>
      </c>
      <c r="H238">
        <v>1985</v>
      </c>
      <c r="I238">
        <v>18.899999618530298</v>
      </c>
      <c r="J238">
        <v>11.6000003814697</v>
      </c>
      <c r="K238">
        <v>59</v>
      </c>
      <c r="L238">
        <v>25.030000686645501</v>
      </c>
      <c r="M238">
        <v>27.899999618530298</v>
      </c>
      <c r="N238">
        <v>8.5</v>
      </c>
      <c r="O238">
        <v>19.399999618530298</v>
      </c>
      <c r="P238">
        <v>21.100000381469702</v>
      </c>
      <c r="Q238">
        <v>16.399999618530298</v>
      </c>
      <c r="R238">
        <v>21.100000381469702</v>
      </c>
      <c r="S238">
        <v>15.1000003814697</v>
      </c>
      <c r="T238">
        <v>1007</v>
      </c>
      <c r="U238">
        <v>269</v>
      </c>
      <c r="V238">
        <v>3</v>
      </c>
      <c r="W238">
        <v>110</v>
      </c>
      <c r="X238">
        <v>699</v>
      </c>
      <c r="Y238">
        <v>19</v>
      </c>
      <c r="Z238">
        <v>334</v>
      </c>
      <c r="AA238">
        <v>22</v>
      </c>
      <c r="AB238">
        <v>30.8327773244757</v>
      </c>
      <c r="AC238">
        <v>0.144661108996891</v>
      </c>
      <c r="AD238">
        <v>5.76530817425565</v>
      </c>
      <c r="AE238">
        <v>0.217767179012299</v>
      </c>
      <c r="AF238">
        <v>1084.02960526316</v>
      </c>
      <c r="AG238">
        <f>IFERROR(AH238*0.1, "N/A")</f>
        <v>5.3389802631578904</v>
      </c>
      <c r="AH238">
        <v>53.389802631578902</v>
      </c>
      <c r="AI238">
        <v>203.10478737479801</v>
      </c>
      <c r="AJ238">
        <v>37.610197368421098</v>
      </c>
      <c r="AK238">
        <v>49</v>
      </c>
    </row>
    <row r="239" spans="1:37" x14ac:dyDescent="0.3">
      <c r="A239">
        <v>238</v>
      </c>
      <c r="B239">
        <v>65</v>
      </c>
      <c r="C239">
        <v>32.929400999999999</v>
      </c>
      <c r="D239">
        <v>-17.772400000000001</v>
      </c>
      <c r="E239" t="s">
        <v>391</v>
      </c>
      <c r="F239" t="s">
        <v>393</v>
      </c>
      <c r="G239" t="s">
        <v>39</v>
      </c>
      <c r="H239">
        <v>1985</v>
      </c>
      <c r="I239">
        <v>18.899999618530298</v>
      </c>
      <c r="J239">
        <v>11.6000003814697</v>
      </c>
      <c r="K239">
        <v>59</v>
      </c>
      <c r="L239">
        <v>25.030000686645501</v>
      </c>
      <c r="M239">
        <v>27.899999618530298</v>
      </c>
      <c r="N239">
        <v>8.5</v>
      </c>
      <c r="O239">
        <v>19.399999618530298</v>
      </c>
      <c r="P239">
        <v>21.100000381469702</v>
      </c>
      <c r="Q239">
        <v>16.399999618530298</v>
      </c>
      <c r="R239">
        <v>21.100000381469702</v>
      </c>
      <c r="S239">
        <v>15.1000003814697</v>
      </c>
      <c r="T239">
        <v>1007</v>
      </c>
      <c r="U239">
        <v>269</v>
      </c>
      <c r="V239">
        <v>3</v>
      </c>
      <c r="W239">
        <v>110</v>
      </c>
      <c r="X239">
        <v>699</v>
      </c>
      <c r="Y239">
        <v>19</v>
      </c>
      <c r="Z239">
        <v>334</v>
      </c>
      <c r="AA239">
        <v>22</v>
      </c>
      <c r="AB239">
        <v>30.8327773244757</v>
      </c>
      <c r="AC239">
        <v>0.144661108996891</v>
      </c>
      <c r="AD239">
        <v>5.76530817425565</v>
      </c>
      <c r="AE239">
        <v>0.217767179012299</v>
      </c>
      <c r="AF239">
        <v>1084.02960526316</v>
      </c>
      <c r="AG239">
        <f>IFERROR(AH239*0.1, "N/A")</f>
        <v>5.3389802631578904</v>
      </c>
      <c r="AH239">
        <v>53.389802631578902</v>
      </c>
      <c r="AI239">
        <v>203.10478737479801</v>
      </c>
      <c r="AJ239">
        <v>37.610197368421098</v>
      </c>
      <c r="AK239">
        <v>49</v>
      </c>
    </row>
    <row r="240" spans="1:37" x14ac:dyDescent="0.3">
      <c r="A240">
        <v>239</v>
      </c>
      <c r="B240">
        <v>1</v>
      </c>
      <c r="C240">
        <v>29.237400000000001</v>
      </c>
      <c r="D240">
        <v>-17.764600999999999</v>
      </c>
      <c r="E240" t="s">
        <v>394</v>
      </c>
      <c r="F240" t="s">
        <v>395</v>
      </c>
      <c r="G240" t="s">
        <v>37</v>
      </c>
      <c r="H240">
        <v>1985</v>
      </c>
      <c r="I240">
        <v>21.700000762939499</v>
      </c>
      <c r="J240">
        <v>13.6000003814697</v>
      </c>
      <c r="K240">
        <v>56</v>
      </c>
      <c r="L240">
        <v>28.129999160766602</v>
      </c>
      <c r="M240">
        <v>32.799999237060497</v>
      </c>
      <c r="N240">
        <v>8.6999998092651403</v>
      </c>
      <c r="O240">
        <v>24.100000381469702</v>
      </c>
      <c r="P240">
        <v>23.399999618530298</v>
      </c>
      <c r="Q240">
        <v>17.600000381469702</v>
      </c>
      <c r="R240">
        <v>24.5</v>
      </c>
      <c r="S240">
        <v>17.600000381469702</v>
      </c>
      <c r="T240">
        <v>787</v>
      </c>
      <c r="U240">
        <v>190</v>
      </c>
      <c r="V240">
        <v>0</v>
      </c>
      <c r="W240">
        <v>112</v>
      </c>
      <c r="X240">
        <v>541</v>
      </c>
      <c r="Y240">
        <v>1</v>
      </c>
      <c r="Z240">
        <v>293</v>
      </c>
      <c r="AA240">
        <v>7</v>
      </c>
      <c r="AB240">
        <v>27.931744115052201</v>
      </c>
      <c r="AC240">
        <v>1.5482286861662999E-2</v>
      </c>
      <c r="AD240">
        <v>4.2576431896409499</v>
      </c>
      <c r="AE240">
        <v>0.23832999169826499</v>
      </c>
      <c r="AF240">
        <v>885.22585924713599</v>
      </c>
      <c r="AG240">
        <f>IFERROR(AH240*0.1, "N/A")</f>
        <v>6.1188216039279908</v>
      </c>
      <c r="AH240">
        <v>61.188216039279901</v>
      </c>
      <c r="AI240">
        <v>171.605673685402</v>
      </c>
      <c r="AJ240">
        <v>18.5040916530278</v>
      </c>
      <c r="AK240">
        <v>68.656301145662894</v>
      </c>
    </row>
    <row r="241" spans="1:37" x14ac:dyDescent="0.3">
      <c r="A241">
        <v>240</v>
      </c>
      <c r="B241">
        <v>23</v>
      </c>
      <c r="C241">
        <v>29.237400000000001</v>
      </c>
      <c r="D241">
        <v>-17.764600999999999</v>
      </c>
      <c r="E241" t="s">
        <v>394</v>
      </c>
      <c r="F241" t="s">
        <v>396</v>
      </c>
      <c r="G241" t="s">
        <v>39</v>
      </c>
      <c r="H241">
        <v>1985</v>
      </c>
      <c r="I241">
        <v>21.700000762939499</v>
      </c>
      <c r="J241">
        <v>13.6000003814697</v>
      </c>
      <c r="K241">
        <v>56</v>
      </c>
      <c r="L241">
        <v>28.129999160766602</v>
      </c>
      <c r="M241">
        <v>32.799999237060497</v>
      </c>
      <c r="N241">
        <v>8.6999998092651403</v>
      </c>
      <c r="O241">
        <v>24.100000381469702</v>
      </c>
      <c r="P241">
        <v>23.399999618530298</v>
      </c>
      <c r="Q241">
        <v>17.600000381469702</v>
      </c>
      <c r="R241">
        <v>24.5</v>
      </c>
      <c r="S241">
        <v>17.600000381469702</v>
      </c>
      <c r="T241">
        <v>787</v>
      </c>
      <c r="U241">
        <v>190</v>
      </c>
      <c r="V241">
        <v>0</v>
      </c>
      <c r="W241">
        <v>112</v>
      </c>
      <c r="X241">
        <v>541</v>
      </c>
      <c r="Y241">
        <v>1</v>
      </c>
      <c r="Z241">
        <v>293</v>
      </c>
      <c r="AA241">
        <v>7</v>
      </c>
      <c r="AB241">
        <v>27.931744115052201</v>
      </c>
      <c r="AC241">
        <v>1.5482286861662999E-2</v>
      </c>
      <c r="AD241">
        <v>4.2576431896409499</v>
      </c>
      <c r="AE241">
        <v>0.23832999169826499</v>
      </c>
      <c r="AF241">
        <v>885.22585924713599</v>
      </c>
      <c r="AG241">
        <f>IFERROR(AH241*0.1, "N/A")</f>
        <v>6.1188216039279908</v>
      </c>
      <c r="AH241">
        <v>61.188216039279901</v>
      </c>
      <c r="AI241">
        <v>171.605673685402</v>
      </c>
      <c r="AJ241">
        <v>18.5040916530278</v>
      </c>
      <c r="AK241">
        <v>68.656301145662894</v>
      </c>
    </row>
    <row r="242" spans="1:37" x14ac:dyDescent="0.3">
      <c r="A242">
        <v>241</v>
      </c>
      <c r="B242">
        <v>12</v>
      </c>
      <c r="C242">
        <v>32.303001000000002</v>
      </c>
      <c r="D242">
        <v>-17.726101</v>
      </c>
      <c r="E242" t="s">
        <v>397</v>
      </c>
      <c r="F242" t="s">
        <v>398</v>
      </c>
      <c r="G242" t="s">
        <v>37</v>
      </c>
      <c r="H242">
        <v>1985</v>
      </c>
      <c r="I242">
        <v>19.5</v>
      </c>
      <c r="J242">
        <v>13</v>
      </c>
      <c r="K242">
        <v>58</v>
      </c>
      <c r="L242">
        <v>27.7399997711182</v>
      </c>
      <c r="M242">
        <v>29.299999237060501</v>
      </c>
      <c r="N242">
        <v>7.1999998092651403</v>
      </c>
      <c r="O242">
        <v>22.100000381469702</v>
      </c>
      <c r="P242">
        <v>21.899999618530298</v>
      </c>
      <c r="Q242">
        <v>15.3999996185303</v>
      </c>
      <c r="R242">
        <v>22.100000381469702</v>
      </c>
      <c r="S242">
        <v>15.3999996185303</v>
      </c>
      <c r="T242">
        <v>700</v>
      </c>
      <c r="U242">
        <v>177</v>
      </c>
      <c r="V242">
        <v>0</v>
      </c>
      <c r="W242">
        <v>111</v>
      </c>
      <c r="X242">
        <v>490</v>
      </c>
      <c r="Y242">
        <v>4</v>
      </c>
      <c r="Z242">
        <v>255</v>
      </c>
      <c r="AA242">
        <v>4</v>
      </c>
      <c r="AB242">
        <v>5.6029524233454397</v>
      </c>
      <c r="AC242">
        <v>467.20843063277698</v>
      </c>
      <c r="AD242">
        <v>4.9290226660851797</v>
      </c>
      <c r="AE242">
        <v>0.27330830693244901</v>
      </c>
      <c r="AF242">
        <v>969.24222585924701</v>
      </c>
      <c r="AG242">
        <f>IFERROR(AH242*0.1, "N/A")</f>
        <v>6.4754500818330598</v>
      </c>
      <c r="AH242">
        <v>64.754500818330598</v>
      </c>
      <c r="AI242">
        <v>209.72806308078299</v>
      </c>
      <c r="AJ242">
        <v>21</v>
      </c>
      <c r="AK242">
        <v>66</v>
      </c>
    </row>
    <row r="243" spans="1:37" x14ac:dyDescent="0.3">
      <c r="A243">
        <v>242</v>
      </c>
      <c r="B243">
        <v>64</v>
      </c>
      <c r="C243">
        <v>32.303001000000002</v>
      </c>
      <c r="D243">
        <v>-17.726101</v>
      </c>
      <c r="E243" t="s">
        <v>397</v>
      </c>
      <c r="F243" t="s">
        <v>399</v>
      </c>
      <c r="G243" t="s">
        <v>39</v>
      </c>
      <c r="H243">
        <v>1985</v>
      </c>
      <c r="I243">
        <v>19.5</v>
      </c>
      <c r="J243">
        <v>13</v>
      </c>
      <c r="K243">
        <v>58</v>
      </c>
      <c r="L243">
        <v>27.7399997711182</v>
      </c>
      <c r="M243">
        <v>29.299999237060501</v>
      </c>
      <c r="N243">
        <v>7.1999998092651403</v>
      </c>
      <c r="O243">
        <v>22.100000381469702</v>
      </c>
      <c r="P243">
        <v>21.899999618530298</v>
      </c>
      <c r="Q243">
        <v>15.3999996185303</v>
      </c>
      <c r="R243">
        <v>22.100000381469702</v>
      </c>
      <c r="S243">
        <v>15.3999996185303</v>
      </c>
      <c r="T243">
        <v>700</v>
      </c>
      <c r="U243">
        <v>177</v>
      </c>
      <c r="V243">
        <v>0</v>
      </c>
      <c r="W243">
        <v>111</v>
      </c>
      <c r="X243">
        <v>490</v>
      </c>
      <c r="Y243">
        <v>4</v>
      </c>
      <c r="Z243">
        <v>255</v>
      </c>
      <c r="AA243">
        <v>4</v>
      </c>
      <c r="AB243">
        <v>5.6029524233454397</v>
      </c>
      <c r="AC243">
        <v>467.20843063277698</v>
      </c>
      <c r="AD243">
        <v>4.9290226660851797</v>
      </c>
      <c r="AE243">
        <v>0.27330830693244901</v>
      </c>
      <c r="AF243">
        <v>969.24222585924701</v>
      </c>
      <c r="AG243">
        <f>IFERROR(AH243*0.1, "N/A")</f>
        <v>6.4754500818330598</v>
      </c>
      <c r="AH243">
        <v>64.754500818330598</v>
      </c>
      <c r="AI243">
        <v>209.72806308078299</v>
      </c>
      <c r="AJ243">
        <v>21</v>
      </c>
      <c r="AK243">
        <v>66</v>
      </c>
    </row>
    <row r="244" spans="1:37" x14ac:dyDescent="0.3">
      <c r="A244">
        <v>243</v>
      </c>
      <c r="B244">
        <v>0</v>
      </c>
      <c r="C244">
        <v>28.665099999999999</v>
      </c>
      <c r="D244">
        <v>-17.6448</v>
      </c>
      <c r="E244" t="s">
        <v>400</v>
      </c>
      <c r="F244" t="s">
        <v>401</v>
      </c>
      <c r="G244" t="s">
        <v>37</v>
      </c>
      <c r="H244">
        <v>1985</v>
      </c>
      <c r="I244">
        <v>23</v>
      </c>
      <c r="J244">
        <v>13.5</v>
      </c>
      <c r="K244">
        <v>54</v>
      </c>
      <c r="L244">
        <v>28.590000152587901</v>
      </c>
      <c r="M244">
        <v>34.400001525878899</v>
      </c>
      <c r="N244">
        <v>9.8000001907348597</v>
      </c>
      <c r="O244">
        <v>24.600000381469702</v>
      </c>
      <c r="P244">
        <v>24.399999618530298</v>
      </c>
      <c r="Q244">
        <v>18.899999618530298</v>
      </c>
      <c r="R244">
        <v>26</v>
      </c>
      <c r="S244">
        <v>18.799999237060501</v>
      </c>
      <c r="T244">
        <v>724</v>
      </c>
      <c r="U244">
        <v>184</v>
      </c>
      <c r="V244">
        <v>0</v>
      </c>
      <c r="W244">
        <v>114</v>
      </c>
      <c r="X244">
        <v>509</v>
      </c>
      <c r="Y244">
        <v>2</v>
      </c>
      <c r="Z244">
        <v>262</v>
      </c>
      <c r="AA244">
        <v>8</v>
      </c>
      <c r="AB244">
        <v>5.3995284409842998</v>
      </c>
      <c r="AC244">
        <v>1.9402221162267998E-2</v>
      </c>
      <c r="AD244">
        <v>1.40812096380173</v>
      </c>
      <c r="AE244">
        <v>0.56625467538833596</v>
      </c>
      <c r="AF244">
        <v>741.43698854337197</v>
      </c>
      <c r="AG244">
        <f>IFERROR(AH244*0.1, "N/A")</f>
        <v>6.6217675941080207</v>
      </c>
      <c r="AH244">
        <v>66.217675941080202</v>
      </c>
      <c r="AI244">
        <v>247.03136150341399</v>
      </c>
      <c r="AJ244">
        <v>13.991816693944401</v>
      </c>
      <c r="AK244">
        <v>77.996726677577698</v>
      </c>
    </row>
    <row r="245" spans="1:37" x14ac:dyDescent="0.3">
      <c r="A245">
        <v>244</v>
      </c>
      <c r="B245">
        <v>73</v>
      </c>
      <c r="C245">
        <v>28.665099999999999</v>
      </c>
      <c r="D245">
        <v>-17.6448</v>
      </c>
      <c r="E245" t="s">
        <v>400</v>
      </c>
      <c r="F245" t="s">
        <v>402</v>
      </c>
      <c r="G245" t="s">
        <v>39</v>
      </c>
      <c r="H245">
        <v>1985</v>
      </c>
      <c r="I245">
        <v>23</v>
      </c>
      <c r="J245">
        <v>13.5</v>
      </c>
      <c r="K245">
        <v>54</v>
      </c>
      <c r="L245">
        <v>28.590000152587901</v>
      </c>
      <c r="M245">
        <v>34.400001525878899</v>
      </c>
      <c r="N245">
        <v>9.8000001907348597</v>
      </c>
      <c r="O245">
        <v>24.600000381469702</v>
      </c>
      <c r="P245">
        <v>24.399999618530298</v>
      </c>
      <c r="Q245">
        <v>18.899999618530298</v>
      </c>
      <c r="R245">
        <v>26</v>
      </c>
      <c r="S245">
        <v>18.799999237060501</v>
      </c>
      <c r="T245">
        <v>724</v>
      </c>
      <c r="U245">
        <v>184</v>
      </c>
      <c r="V245">
        <v>0</v>
      </c>
      <c r="W245">
        <v>114</v>
      </c>
      <c r="X245">
        <v>509</v>
      </c>
      <c r="Y245">
        <v>2</v>
      </c>
      <c r="Z245">
        <v>262</v>
      </c>
      <c r="AA245">
        <v>8</v>
      </c>
      <c r="AB245">
        <v>5.3995284409842998</v>
      </c>
      <c r="AC245">
        <v>1.9402221162267998E-2</v>
      </c>
      <c r="AD245">
        <v>1.40812096380173</v>
      </c>
      <c r="AE245">
        <v>0.56625467538833596</v>
      </c>
      <c r="AF245">
        <v>741.43698854337197</v>
      </c>
      <c r="AG245">
        <f>IFERROR(AH245*0.1, "N/A")</f>
        <v>6.6217675941080207</v>
      </c>
      <c r="AH245">
        <v>66.217675941080202</v>
      </c>
      <c r="AI245">
        <v>247.03136150341399</v>
      </c>
      <c r="AJ245">
        <v>13.991816693944401</v>
      </c>
      <c r="AK245">
        <v>77.996726677577698</v>
      </c>
    </row>
    <row r="246" spans="1:37" x14ac:dyDescent="0.3">
      <c r="A246">
        <v>245</v>
      </c>
      <c r="B246">
        <v>6</v>
      </c>
      <c r="C246">
        <v>31.105801</v>
      </c>
      <c r="D246">
        <v>-17.643101000000001</v>
      </c>
      <c r="E246" t="s">
        <v>403</v>
      </c>
      <c r="F246" t="s">
        <v>404</v>
      </c>
      <c r="G246" t="s">
        <v>37</v>
      </c>
      <c r="H246">
        <v>1985</v>
      </c>
      <c r="I246">
        <v>17.200000762939499</v>
      </c>
      <c r="J246">
        <v>12.800000190734901</v>
      </c>
      <c r="K246">
        <v>56</v>
      </c>
      <c r="L246">
        <v>28.120000839233398</v>
      </c>
      <c r="M246">
        <v>27.399999618530298</v>
      </c>
      <c r="N246">
        <v>4.9000000953674299</v>
      </c>
      <c r="O246">
        <v>22.5</v>
      </c>
      <c r="P246">
        <v>19.5</v>
      </c>
      <c r="Q246">
        <v>13</v>
      </c>
      <c r="R246">
        <v>19.899999618530298</v>
      </c>
      <c r="S246">
        <v>13</v>
      </c>
      <c r="T246">
        <v>880</v>
      </c>
      <c r="U246">
        <v>214</v>
      </c>
      <c r="V246">
        <v>1</v>
      </c>
      <c r="W246">
        <v>106</v>
      </c>
      <c r="X246">
        <v>580</v>
      </c>
      <c r="Y246">
        <v>7</v>
      </c>
      <c r="Z246">
        <v>313</v>
      </c>
      <c r="AA246">
        <v>7</v>
      </c>
      <c r="AB246">
        <v>51.998993220094803</v>
      </c>
      <c r="AC246">
        <v>3.1717448266315E-2</v>
      </c>
      <c r="AD246">
        <v>2.86539008109296</v>
      </c>
      <c r="AE246">
        <v>0.40734329819679299</v>
      </c>
      <c r="AF246">
        <v>1542.00819672131</v>
      </c>
      <c r="AG246">
        <f>IFERROR(AH246*0.1, "N/A")</f>
        <v>5.5216393442622902</v>
      </c>
      <c r="AH246">
        <v>55.216393442622902</v>
      </c>
      <c r="AI246">
        <v>145.61228761204001</v>
      </c>
      <c r="AJ246">
        <v>21.8573770491803</v>
      </c>
      <c r="AK246">
        <v>65.285245901639399</v>
      </c>
    </row>
    <row r="247" spans="1:37" x14ac:dyDescent="0.3">
      <c r="A247">
        <v>246</v>
      </c>
      <c r="B247">
        <v>22</v>
      </c>
      <c r="C247">
        <v>31.105801</v>
      </c>
      <c r="D247">
        <v>-17.643101000000001</v>
      </c>
      <c r="E247" t="s">
        <v>403</v>
      </c>
      <c r="F247" t="s">
        <v>405</v>
      </c>
      <c r="G247" t="s">
        <v>39</v>
      </c>
      <c r="H247">
        <v>1985</v>
      </c>
      <c r="I247">
        <v>17.200000762939499</v>
      </c>
      <c r="J247">
        <v>12.800000190734901</v>
      </c>
      <c r="K247">
        <v>56</v>
      </c>
      <c r="L247">
        <v>28.120000839233398</v>
      </c>
      <c r="M247">
        <v>27.399999618530298</v>
      </c>
      <c r="N247">
        <v>4.9000000953674299</v>
      </c>
      <c r="O247">
        <v>22.5</v>
      </c>
      <c r="P247">
        <v>19.5</v>
      </c>
      <c r="Q247">
        <v>13</v>
      </c>
      <c r="R247">
        <v>19.899999618530298</v>
      </c>
      <c r="S247">
        <v>13</v>
      </c>
      <c r="T247">
        <v>880</v>
      </c>
      <c r="U247">
        <v>214</v>
      </c>
      <c r="V247">
        <v>1</v>
      </c>
      <c r="W247">
        <v>106</v>
      </c>
      <c r="X247">
        <v>580</v>
      </c>
      <c r="Y247">
        <v>7</v>
      </c>
      <c r="Z247">
        <v>313</v>
      </c>
      <c r="AA247">
        <v>7</v>
      </c>
      <c r="AB247">
        <v>51.998993220094803</v>
      </c>
      <c r="AC247">
        <v>3.1717448266315E-2</v>
      </c>
      <c r="AD247">
        <v>2.86539008109296</v>
      </c>
      <c r="AE247">
        <v>0.40734329819679299</v>
      </c>
      <c r="AF247">
        <v>1542.00819672131</v>
      </c>
      <c r="AG247">
        <f>IFERROR(AH247*0.1, "N/A")</f>
        <v>5.5216393442622902</v>
      </c>
      <c r="AH247">
        <v>55.216393442622902</v>
      </c>
      <c r="AI247">
        <v>145.61228761204001</v>
      </c>
      <c r="AJ247">
        <v>21.8573770491803</v>
      </c>
      <c r="AK247">
        <v>65.285245901639399</v>
      </c>
    </row>
    <row r="248" spans="1:37" x14ac:dyDescent="0.3">
      <c r="A248">
        <v>247</v>
      </c>
      <c r="B248">
        <v>2</v>
      </c>
      <c r="C248">
        <v>28.003900999999999</v>
      </c>
      <c r="D248">
        <v>-17.636998999999999</v>
      </c>
      <c r="E248" t="s">
        <v>406</v>
      </c>
      <c r="F248" t="s">
        <v>407</v>
      </c>
      <c r="G248" t="s">
        <v>37</v>
      </c>
      <c r="H248">
        <v>1985</v>
      </c>
      <c r="I248">
        <v>21.799999237060501</v>
      </c>
      <c r="J248">
        <v>13.300000190734901</v>
      </c>
      <c r="K248">
        <v>54</v>
      </c>
      <c r="L248">
        <v>27.889999389648398</v>
      </c>
      <c r="M248">
        <v>33.299999237060497</v>
      </c>
      <c r="N248">
        <v>9.1000003814697301</v>
      </c>
      <c r="O248">
        <v>24.200000762939499</v>
      </c>
      <c r="P248">
        <v>23.200000762939499</v>
      </c>
      <c r="Q248">
        <v>17.799999237060501</v>
      </c>
      <c r="R248">
        <v>24.700000762939499</v>
      </c>
      <c r="S248">
        <v>17.700000762939499</v>
      </c>
      <c r="T248">
        <v>725</v>
      </c>
      <c r="U248">
        <v>191</v>
      </c>
      <c r="V248">
        <v>0</v>
      </c>
      <c r="W248">
        <v>115</v>
      </c>
      <c r="X248">
        <v>518</v>
      </c>
      <c r="Y248">
        <v>2</v>
      </c>
      <c r="Z248">
        <v>248</v>
      </c>
      <c r="AA248">
        <v>7</v>
      </c>
      <c r="AB248">
        <v>6.9331030673668002</v>
      </c>
      <c r="AC248">
        <v>2.0046418778170798</v>
      </c>
      <c r="AD248">
        <v>5.1165560940250003</v>
      </c>
      <c r="AE248">
        <v>0.120555222034454</v>
      </c>
      <c r="AF248">
        <v>1013.87213114754</v>
      </c>
      <c r="AG248">
        <f>IFERROR(AH248*0.1, "N/A")</f>
        <v>5.9268852459016408</v>
      </c>
      <c r="AH248">
        <v>59.268852459016401</v>
      </c>
      <c r="AI248">
        <v>216.66650775846901</v>
      </c>
      <c r="AJ248">
        <v>26.4950819672131</v>
      </c>
      <c r="AK248">
        <v>60.7770491803279</v>
      </c>
    </row>
    <row r="249" spans="1:37" x14ac:dyDescent="0.3">
      <c r="A249">
        <v>248</v>
      </c>
      <c r="B249">
        <v>78</v>
      </c>
      <c r="C249">
        <v>28.003900999999999</v>
      </c>
      <c r="D249">
        <v>-17.636998999999999</v>
      </c>
      <c r="E249" t="s">
        <v>406</v>
      </c>
      <c r="F249" t="s">
        <v>408</v>
      </c>
      <c r="G249" t="s">
        <v>39</v>
      </c>
      <c r="H249">
        <v>1985</v>
      </c>
      <c r="I249">
        <v>21.799999237060501</v>
      </c>
      <c r="J249">
        <v>13.300000190734901</v>
      </c>
      <c r="K249">
        <v>54</v>
      </c>
      <c r="L249">
        <v>27.889999389648398</v>
      </c>
      <c r="M249">
        <v>33.299999237060497</v>
      </c>
      <c r="N249">
        <v>9.1000003814697301</v>
      </c>
      <c r="O249">
        <v>24.200000762939499</v>
      </c>
      <c r="P249">
        <v>23.200000762939499</v>
      </c>
      <c r="Q249">
        <v>17.799999237060501</v>
      </c>
      <c r="R249">
        <v>24.700000762939499</v>
      </c>
      <c r="S249">
        <v>17.700000762939499</v>
      </c>
      <c r="T249">
        <v>725</v>
      </c>
      <c r="U249">
        <v>191</v>
      </c>
      <c r="V249">
        <v>0</v>
      </c>
      <c r="W249">
        <v>115</v>
      </c>
      <c r="X249">
        <v>518</v>
      </c>
      <c r="Y249">
        <v>2</v>
      </c>
      <c r="Z249">
        <v>248</v>
      </c>
      <c r="AA249">
        <v>7</v>
      </c>
      <c r="AB249">
        <v>6.9331030673668002</v>
      </c>
      <c r="AC249">
        <v>2.0046418778170798</v>
      </c>
      <c r="AD249">
        <v>5.1165560940250003</v>
      </c>
      <c r="AE249">
        <v>0.120555222034454</v>
      </c>
      <c r="AF249">
        <v>1013.87213114754</v>
      </c>
      <c r="AG249">
        <f>IFERROR(AH249*0.1, "N/A")</f>
        <v>5.9268852459016408</v>
      </c>
      <c r="AH249">
        <v>59.268852459016401</v>
      </c>
      <c r="AI249">
        <v>216.66650775846901</v>
      </c>
      <c r="AJ249">
        <v>26.4950819672131</v>
      </c>
      <c r="AK249">
        <v>60.7770491803279</v>
      </c>
    </row>
    <row r="250" spans="1:37" x14ac:dyDescent="0.3">
      <c r="A250">
        <v>249</v>
      </c>
      <c r="B250">
        <v>2</v>
      </c>
      <c r="C250">
        <v>31.888100000000001</v>
      </c>
      <c r="D250">
        <v>-17.575399000000001</v>
      </c>
      <c r="E250" t="s">
        <v>409</v>
      </c>
      <c r="F250" t="s">
        <v>410</v>
      </c>
      <c r="G250" t="s">
        <v>37</v>
      </c>
      <c r="H250">
        <v>1985</v>
      </c>
      <c r="I250">
        <v>19.102128049160601</v>
      </c>
      <c r="J250">
        <v>13.300000190734901</v>
      </c>
      <c r="K250">
        <v>57</v>
      </c>
      <c r="L250">
        <v>28.9182977067663</v>
      </c>
      <c r="M250">
        <v>29.5021276676908</v>
      </c>
      <c r="N250">
        <v>6.3000001907348597</v>
      </c>
      <c r="O250">
        <v>23.202128390048401</v>
      </c>
      <c r="P250">
        <v>21.402127286221099</v>
      </c>
      <c r="Q250">
        <v>14.800000190734901</v>
      </c>
      <c r="R250">
        <v>21.902127286221099</v>
      </c>
      <c r="S250">
        <v>14.800000190734901</v>
      </c>
      <c r="T250">
        <v>826.936170212766</v>
      </c>
      <c r="U250">
        <v>204.97872340425499</v>
      </c>
      <c r="V250">
        <v>1</v>
      </c>
      <c r="W250">
        <v>108</v>
      </c>
      <c r="X250">
        <v>555.936170212766</v>
      </c>
      <c r="Y250">
        <v>7</v>
      </c>
      <c r="Z250">
        <v>300.97872340425499</v>
      </c>
      <c r="AA250">
        <v>7</v>
      </c>
      <c r="AB250">
        <v>10.5554684702972</v>
      </c>
      <c r="AC250">
        <v>7.9640285238476993E-2</v>
      </c>
      <c r="AD250">
        <v>3.4818567678503101</v>
      </c>
      <c r="AE250">
        <v>0.30320927500724798</v>
      </c>
      <c r="AF250">
        <v>1187.4255319148899</v>
      </c>
      <c r="AG250">
        <f>IFERROR(AH250*0.1, "N/A")</f>
        <v>5.6662847790507405</v>
      </c>
      <c r="AH250">
        <v>56.662847790507399</v>
      </c>
      <c r="AI250">
        <v>30.5247830486142</v>
      </c>
      <c r="AJ250">
        <v>19.7561374795417</v>
      </c>
      <c r="AK250">
        <v>68.806873977086795</v>
      </c>
    </row>
    <row r="251" spans="1:37" x14ac:dyDescent="0.3">
      <c r="A251">
        <v>250</v>
      </c>
      <c r="B251">
        <v>58</v>
      </c>
      <c r="C251">
        <v>31.888100000000001</v>
      </c>
      <c r="D251">
        <v>-17.575399000000001</v>
      </c>
      <c r="E251" t="s">
        <v>409</v>
      </c>
      <c r="F251" t="s">
        <v>411</v>
      </c>
      <c r="G251" t="s">
        <v>39</v>
      </c>
      <c r="H251">
        <v>1985</v>
      </c>
      <c r="I251">
        <v>19.102128049160601</v>
      </c>
      <c r="J251">
        <v>13.300000190734901</v>
      </c>
      <c r="K251">
        <v>57</v>
      </c>
      <c r="L251">
        <v>28.9182977067663</v>
      </c>
      <c r="M251">
        <v>29.5021276676908</v>
      </c>
      <c r="N251">
        <v>6.3000001907348597</v>
      </c>
      <c r="O251">
        <v>23.202128390048401</v>
      </c>
      <c r="P251">
        <v>21.402127286221099</v>
      </c>
      <c r="Q251">
        <v>14.800000190734901</v>
      </c>
      <c r="R251">
        <v>21.902127286221099</v>
      </c>
      <c r="S251">
        <v>14.800000190734901</v>
      </c>
      <c r="T251">
        <v>826.936170212766</v>
      </c>
      <c r="U251">
        <v>204.97872340425499</v>
      </c>
      <c r="V251">
        <v>1</v>
      </c>
      <c r="W251">
        <v>108</v>
      </c>
      <c r="X251">
        <v>555.936170212766</v>
      </c>
      <c r="Y251">
        <v>7</v>
      </c>
      <c r="Z251">
        <v>300.97872340425499</v>
      </c>
      <c r="AA251">
        <v>7</v>
      </c>
      <c r="AB251">
        <v>10.5554684702972</v>
      </c>
      <c r="AC251">
        <v>7.9640285238476993E-2</v>
      </c>
      <c r="AD251">
        <v>3.4818567678503101</v>
      </c>
      <c r="AE251">
        <v>0.30320927500724798</v>
      </c>
      <c r="AF251">
        <v>1187.4255319148899</v>
      </c>
      <c r="AG251">
        <f>IFERROR(AH251*0.1, "N/A")</f>
        <v>5.6662847790507405</v>
      </c>
      <c r="AH251">
        <v>56.662847790507399</v>
      </c>
      <c r="AI251">
        <v>30.5247830486142</v>
      </c>
      <c r="AJ251">
        <v>19.7561374795417</v>
      </c>
      <c r="AK251">
        <v>68.806873977086795</v>
      </c>
    </row>
    <row r="252" spans="1:37" x14ac:dyDescent="0.3">
      <c r="A252">
        <v>251</v>
      </c>
      <c r="B252">
        <v>0</v>
      </c>
      <c r="C252">
        <v>31.398899</v>
      </c>
      <c r="D252">
        <v>-17.574100000000001</v>
      </c>
      <c r="E252" t="s">
        <v>412</v>
      </c>
      <c r="F252" t="s">
        <v>413</v>
      </c>
      <c r="G252" t="s">
        <v>37</v>
      </c>
      <c r="H252">
        <v>1985</v>
      </c>
      <c r="I252">
        <v>18.608210593413101</v>
      </c>
      <c r="J252">
        <v>13.708210021208499</v>
      </c>
      <c r="K252">
        <v>57</v>
      </c>
      <c r="L252">
        <v>29.271411673384499</v>
      </c>
      <c r="M252">
        <v>29.3082094490039</v>
      </c>
      <c r="N252">
        <v>5.3082103635289997</v>
      </c>
      <c r="O252">
        <v>24</v>
      </c>
      <c r="P252">
        <v>21.0082102119433</v>
      </c>
      <c r="Q252">
        <v>14.216420154853401</v>
      </c>
      <c r="R252">
        <v>21.399999618530298</v>
      </c>
      <c r="S252">
        <v>14.216420154853401</v>
      </c>
      <c r="T252">
        <v>974.08210180623996</v>
      </c>
      <c r="U252">
        <v>243.08210180623999</v>
      </c>
      <c r="V252">
        <v>1</v>
      </c>
      <c r="W252">
        <v>107</v>
      </c>
      <c r="X252">
        <v>648.08210180623996</v>
      </c>
      <c r="Y252">
        <v>7</v>
      </c>
      <c r="Z252">
        <v>327</v>
      </c>
      <c r="AA252">
        <v>7</v>
      </c>
      <c r="AB252">
        <v>35.505434033123002</v>
      </c>
      <c r="AC252">
        <v>1.1558210910015E-2</v>
      </c>
      <c r="AD252">
        <v>1.3517441544039499</v>
      </c>
      <c r="AE252">
        <v>0.51146960258483898</v>
      </c>
      <c r="AF252">
        <v>1282.2364532019701</v>
      </c>
      <c r="AG252">
        <f>IFERROR(AH252*0.1, "N/A")</f>
        <v>5.6000000000000005</v>
      </c>
      <c r="AH252">
        <v>56</v>
      </c>
      <c r="AI252">
        <v>101.42428567570001</v>
      </c>
      <c r="AJ252">
        <v>16</v>
      </c>
      <c r="AK252">
        <v>75</v>
      </c>
    </row>
    <row r="253" spans="1:37" x14ac:dyDescent="0.3">
      <c r="A253">
        <v>252</v>
      </c>
      <c r="B253">
        <v>17</v>
      </c>
      <c r="C253">
        <v>31.398899</v>
      </c>
      <c r="D253">
        <v>-17.574100000000001</v>
      </c>
      <c r="E253" t="s">
        <v>412</v>
      </c>
      <c r="F253" t="s">
        <v>414</v>
      </c>
      <c r="G253" t="s">
        <v>39</v>
      </c>
      <c r="H253">
        <v>1985</v>
      </c>
      <c r="I253">
        <v>18.608210593413101</v>
      </c>
      <c r="J253">
        <v>13.708210021208499</v>
      </c>
      <c r="K253">
        <v>57</v>
      </c>
      <c r="L253">
        <v>29.271411673384499</v>
      </c>
      <c r="M253">
        <v>29.3082094490039</v>
      </c>
      <c r="N253">
        <v>5.3082103635289997</v>
      </c>
      <c r="O253">
        <v>24</v>
      </c>
      <c r="P253">
        <v>21.0082102119433</v>
      </c>
      <c r="Q253">
        <v>14.216420154853401</v>
      </c>
      <c r="R253">
        <v>21.399999618530298</v>
      </c>
      <c r="S253">
        <v>14.216420154853401</v>
      </c>
      <c r="T253">
        <v>974.08210180623996</v>
      </c>
      <c r="U253">
        <v>243.08210180623999</v>
      </c>
      <c r="V253">
        <v>1</v>
      </c>
      <c r="W253">
        <v>107</v>
      </c>
      <c r="X253">
        <v>648.08210180623996</v>
      </c>
      <c r="Y253">
        <v>7</v>
      </c>
      <c r="Z253">
        <v>327</v>
      </c>
      <c r="AA253">
        <v>7</v>
      </c>
      <c r="AB253">
        <v>35.505434033123002</v>
      </c>
      <c r="AC253">
        <v>1.1558210910015E-2</v>
      </c>
      <c r="AD253">
        <v>1.3517441544039499</v>
      </c>
      <c r="AE253">
        <v>0.51146960258483898</v>
      </c>
      <c r="AF253">
        <v>1282.2364532019701</v>
      </c>
      <c r="AG253">
        <f>IFERROR(AH253*0.1, "N/A")</f>
        <v>5.6000000000000005</v>
      </c>
      <c r="AH253">
        <v>56</v>
      </c>
      <c r="AI253">
        <v>101.42428567570001</v>
      </c>
      <c r="AJ253">
        <v>16</v>
      </c>
      <c r="AK253">
        <v>75</v>
      </c>
    </row>
    <row r="254" spans="1:37" x14ac:dyDescent="0.3">
      <c r="A254">
        <v>253</v>
      </c>
      <c r="B254">
        <v>0</v>
      </c>
      <c r="C254">
        <v>28.263200999999999</v>
      </c>
      <c r="D254">
        <v>-17.548300000000001</v>
      </c>
      <c r="E254" t="s">
        <v>415</v>
      </c>
      <c r="F254" t="s">
        <v>416</v>
      </c>
      <c r="G254" t="s">
        <v>37</v>
      </c>
      <c r="H254">
        <v>1985</v>
      </c>
      <c r="I254">
        <v>23.200000762939499</v>
      </c>
      <c r="J254">
        <v>13.6000003814697</v>
      </c>
      <c r="K254">
        <v>54</v>
      </c>
      <c r="L254">
        <v>28.649999618530298</v>
      </c>
      <c r="M254">
        <v>34.900001525878899</v>
      </c>
      <c r="N254">
        <v>10.1000003814697</v>
      </c>
      <c r="O254">
        <v>24.799999237060501</v>
      </c>
      <c r="P254">
        <v>24.600000381469702</v>
      </c>
      <c r="Q254">
        <v>19.100000381469702</v>
      </c>
      <c r="R254">
        <v>26.299999237060501</v>
      </c>
      <c r="S254">
        <v>19.100000381469702</v>
      </c>
      <c r="T254">
        <v>701</v>
      </c>
      <c r="U254">
        <v>184</v>
      </c>
      <c r="V254">
        <v>0</v>
      </c>
      <c r="W254">
        <v>116</v>
      </c>
      <c r="X254">
        <v>503</v>
      </c>
      <c r="Y254">
        <v>2</v>
      </c>
      <c r="Z254">
        <v>250</v>
      </c>
      <c r="AA254">
        <v>8</v>
      </c>
      <c r="AB254">
        <v>2.9320738942999598</v>
      </c>
      <c r="AC254">
        <v>0.68757069140586902</v>
      </c>
      <c r="AD254">
        <v>1.00066917316106</v>
      </c>
      <c r="AE254">
        <v>0.29727616906166099</v>
      </c>
      <c r="AF254">
        <v>715.95559210526301</v>
      </c>
      <c r="AG254">
        <f>IFERROR(AH254*0.1, "N/A")</f>
        <v>6.5513157894736809</v>
      </c>
      <c r="AH254">
        <v>65.513157894736807</v>
      </c>
      <c r="AI254">
        <v>129.92306912572801</v>
      </c>
      <c r="AJ254">
        <v>19.2319078947368</v>
      </c>
      <c r="AK254">
        <v>71.649671052631604</v>
      </c>
    </row>
    <row r="255" spans="1:37" x14ac:dyDescent="0.3">
      <c r="A255">
        <v>254</v>
      </c>
      <c r="B255">
        <v>54</v>
      </c>
      <c r="C255">
        <v>28.263200999999999</v>
      </c>
      <c r="D255">
        <v>-17.548300000000001</v>
      </c>
      <c r="E255" t="s">
        <v>415</v>
      </c>
      <c r="F255" t="s">
        <v>417</v>
      </c>
      <c r="G255" t="s">
        <v>39</v>
      </c>
      <c r="H255">
        <v>1985</v>
      </c>
      <c r="I255">
        <v>23.200000762939499</v>
      </c>
      <c r="J255">
        <v>13.6000003814697</v>
      </c>
      <c r="K255">
        <v>54</v>
      </c>
      <c r="L255">
        <v>28.649999618530298</v>
      </c>
      <c r="M255">
        <v>34.900001525878899</v>
      </c>
      <c r="N255">
        <v>10.1000003814697</v>
      </c>
      <c r="O255">
        <v>24.799999237060501</v>
      </c>
      <c r="P255">
        <v>24.600000381469702</v>
      </c>
      <c r="Q255">
        <v>19.100000381469702</v>
      </c>
      <c r="R255">
        <v>26.299999237060501</v>
      </c>
      <c r="S255">
        <v>19.100000381469702</v>
      </c>
      <c r="T255">
        <v>701</v>
      </c>
      <c r="U255">
        <v>184</v>
      </c>
      <c r="V255">
        <v>0</v>
      </c>
      <c r="W255">
        <v>116</v>
      </c>
      <c r="X255">
        <v>503</v>
      </c>
      <c r="Y255">
        <v>2</v>
      </c>
      <c r="Z255">
        <v>250</v>
      </c>
      <c r="AA255">
        <v>8</v>
      </c>
      <c r="AB255">
        <v>2.9320738942999598</v>
      </c>
      <c r="AC255">
        <v>0.68757069140586902</v>
      </c>
      <c r="AD255">
        <v>1.00066917316106</v>
      </c>
      <c r="AE255">
        <v>0.29727616906166099</v>
      </c>
      <c r="AF255">
        <v>715.95559210526301</v>
      </c>
      <c r="AG255">
        <f>IFERROR(AH255*0.1, "N/A")</f>
        <v>6.5513157894736809</v>
      </c>
      <c r="AH255">
        <v>65.513157894736807</v>
      </c>
      <c r="AI255">
        <v>129.92306912572801</v>
      </c>
      <c r="AJ255">
        <v>19.2319078947368</v>
      </c>
      <c r="AK255">
        <v>71.649671052631604</v>
      </c>
    </row>
    <row r="256" spans="1:37" x14ac:dyDescent="0.3">
      <c r="A256">
        <v>255</v>
      </c>
      <c r="B256">
        <v>2</v>
      </c>
      <c r="C256">
        <v>29.943398999999999</v>
      </c>
      <c r="D256">
        <v>-17.541401</v>
      </c>
      <c r="E256" t="s">
        <v>418</v>
      </c>
      <c r="F256" t="s">
        <v>419</v>
      </c>
      <c r="G256" t="s">
        <v>37</v>
      </c>
      <c r="H256">
        <v>1985</v>
      </c>
      <c r="I256">
        <v>19.799999237060501</v>
      </c>
      <c r="J256">
        <v>13.8999996185303</v>
      </c>
      <c r="K256">
        <v>57</v>
      </c>
      <c r="L256">
        <v>27.886464204803801</v>
      </c>
      <c r="M256">
        <v>30.600000381469702</v>
      </c>
      <c r="N256">
        <v>6.5</v>
      </c>
      <c r="O256">
        <v>24.100000381469702</v>
      </c>
      <c r="P256">
        <v>21.852208928859</v>
      </c>
      <c r="Q256">
        <v>15.652209575359599</v>
      </c>
      <c r="R256">
        <v>22.447790308201601</v>
      </c>
      <c r="S256">
        <v>15.652209575359599</v>
      </c>
      <c r="T256">
        <v>819</v>
      </c>
      <c r="U256">
        <v>209</v>
      </c>
      <c r="V256">
        <v>0</v>
      </c>
      <c r="W256">
        <v>109</v>
      </c>
      <c r="X256">
        <v>556</v>
      </c>
      <c r="Y256">
        <v>4</v>
      </c>
      <c r="Z256">
        <v>298</v>
      </c>
      <c r="AA256">
        <v>4</v>
      </c>
      <c r="AB256">
        <v>25.6905120000511</v>
      </c>
      <c r="AC256">
        <v>1.7063383250795001E-2</v>
      </c>
      <c r="AD256">
        <v>5.7796743583366998</v>
      </c>
      <c r="AE256">
        <v>0.200270906090736</v>
      </c>
      <c r="AF256">
        <v>1108.3829787233999</v>
      </c>
      <c r="AG256">
        <f>IFERROR(AH256*0.1, "N/A")</f>
        <v>5.9391162029459901</v>
      </c>
      <c r="AH256">
        <v>59.391162029459899</v>
      </c>
      <c r="AI256">
        <v>121.231388010877</v>
      </c>
      <c r="AJ256">
        <v>20.608837970540101</v>
      </c>
      <c r="AK256">
        <v>64.782324058919798</v>
      </c>
    </row>
    <row r="257" spans="1:37" x14ac:dyDescent="0.3">
      <c r="A257">
        <v>256</v>
      </c>
      <c r="B257">
        <v>37</v>
      </c>
      <c r="C257">
        <v>29.943398999999999</v>
      </c>
      <c r="D257">
        <v>-17.541401</v>
      </c>
      <c r="E257" t="s">
        <v>418</v>
      </c>
      <c r="F257" t="s">
        <v>420</v>
      </c>
      <c r="G257" t="s">
        <v>39</v>
      </c>
      <c r="H257">
        <v>1985</v>
      </c>
      <c r="I257">
        <v>19.799999237060501</v>
      </c>
      <c r="J257">
        <v>13.8999996185303</v>
      </c>
      <c r="K257">
        <v>57</v>
      </c>
      <c r="L257">
        <v>27.886464204803801</v>
      </c>
      <c r="M257">
        <v>30.600000381469702</v>
      </c>
      <c r="N257">
        <v>6.5</v>
      </c>
      <c r="O257">
        <v>24.100000381469702</v>
      </c>
      <c r="P257">
        <v>21.852208928859</v>
      </c>
      <c r="Q257">
        <v>15.652209575359599</v>
      </c>
      <c r="R257">
        <v>22.447790308201601</v>
      </c>
      <c r="S257">
        <v>15.652209575359599</v>
      </c>
      <c r="T257">
        <v>819</v>
      </c>
      <c r="U257">
        <v>209</v>
      </c>
      <c r="V257">
        <v>0</v>
      </c>
      <c r="W257">
        <v>109</v>
      </c>
      <c r="X257">
        <v>556</v>
      </c>
      <c r="Y257">
        <v>4</v>
      </c>
      <c r="Z257">
        <v>298</v>
      </c>
      <c r="AA257">
        <v>4</v>
      </c>
      <c r="AB257">
        <v>25.6905120000511</v>
      </c>
      <c r="AC257">
        <v>1.7063383250795001E-2</v>
      </c>
      <c r="AD257">
        <v>5.7796743583366998</v>
      </c>
      <c r="AE257">
        <v>0.200270906090736</v>
      </c>
      <c r="AF257">
        <v>1108.3829787233999</v>
      </c>
      <c r="AG257">
        <f>IFERROR(AH257*0.1, "N/A")</f>
        <v>5.9391162029459901</v>
      </c>
      <c r="AH257">
        <v>59.391162029459899</v>
      </c>
      <c r="AI257">
        <v>121.231388010877</v>
      </c>
      <c r="AJ257">
        <v>20.608837970540101</v>
      </c>
      <c r="AK257">
        <v>64.782324058919798</v>
      </c>
    </row>
    <row r="258" spans="1:37" x14ac:dyDescent="0.3">
      <c r="A258">
        <v>257</v>
      </c>
      <c r="B258">
        <v>0</v>
      </c>
      <c r="C258">
        <v>30.198399999999999</v>
      </c>
      <c r="D258">
        <v>-17.528600999999998</v>
      </c>
      <c r="E258" t="s">
        <v>421</v>
      </c>
      <c r="F258" t="s">
        <v>422</v>
      </c>
      <c r="G258" t="s">
        <v>37</v>
      </c>
      <c r="H258">
        <v>1985</v>
      </c>
      <c r="I258">
        <v>19.200000762939499</v>
      </c>
      <c r="J258">
        <v>13.8999996185303</v>
      </c>
      <c r="K258">
        <v>57</v>
      </c>
      <c r="L258">
        <v>27.159999847412099</v>
      </c>
      <c r="M258">
        <v>30.200000762939499</v>
      </c>
      <c r="N258">
        <v>6.0999999046325701</v>
      </c>
      <c r="O258">
        <v>24.100000381469702</v>
      </c>
      <c r="P258">
        <v>21.200000762939499</v>
      </c>
      <c r="Q258">
        <v>15.300000190734901</v>
      </c>
      <c r="R258">
        <v>21.899999618530298</v>
      </c>
      <c r="S258">
        <v>15.199999809265099</v>
      </c>
      <c r="T258">
        <v>818</v>
      </c>
      <c r="U258">
        <v>208</v>
      </c>
      <c r="V258">
        <v>0</v>
      </c>
      <c r="W258">
        <v>107</v>
      </c>
      <c r="X258">
        <v>551</v>
      </c>
      <c r="Y258">
        <v>5</v>
      </c>
      <c r="Z258">
        <v>302</v>
      </c>
      <c r="AA258">
        <v>10</v>
      </c>
      <c r="AB258">
        <v>1.8223834790681499</v>
      </c>
      <c r="AC258">
        <v>8.8774883402266394</v>
      </c>
      <c r="AD258">
        <v>2.20051031481279</v>
      </c>
      <c r="AE258">
        <v>0.20987675331631001</v>
      </c>
      <c r="AF258">
        <v>1188.66776315789</v>
      </c>
      <c r="AG258">
        <f>IFERROR(AH258*0.1, "N/A")</f>
        <v>6.2054276315789503</v>
      </c>
      <c r="AH258">
        <v>62.054276315789501</v>
      </c>
      <c r="AI258">
        <v>144.98198146569101</v>
      </c>
      <c r="AJ258">
        <v>18.0559210526316</v>
      </c>
      <c r="AK258">
        <v>67.944078947368396</v>
      </c>
    </row>
    <row r="259" spans="1:37" x14ac:dyDescent="0.3">
      <c r="A259">
        <v>258</v>
      </c>
      <c r="B259">
        <v>37</v>
      </c>
      <c r="C259">
        <v>30.198399999999999</v>
      </c>
      <c r="D259">
        <v>-17.528600999999998</v>
      </c>
      <c r="E259" t="s">
        <v>421</v>
      </c>
      <c r="F259" t="s">
        <v>423</v>
      </c>
      <c r="G259" t="s">
        <v>39</v>
      </c>
      <c r="H259">
        <v>1985</v>
      </c>
      <c r="I259">
        <v>19.200000762939499</v>
      </c>
      <c r="J259">
        <v>13.8999996185303</v>
      </c>
      <c r="K259">
        <v>57</v>
      </c>
      <c r="L259">
        <v>27.159999847412099</v>
      </c>
      <c r="M259">
        <v>30.200000762939499</v>
      </c>
      <c r="N259">
        <v>6.0999999046325701</v>
      </c>
      <c r="O259">
        <v>24.100000381469702</v>
      </c>
      <c r="P259">
        <v>21.200000762939499</v>
      </c>
      <c r="Q259">
        <v>15.300000190734901</v>
      </c>
      <c r="R259">
        <v>21.899999618530298</v>
      </c>
      <c r="S259">
        <v>15.199999809265099</v>
      </c>
      <c r="T259">
        <v>818</v>
      </c>
      <c r="U259">
        <v>208</v>
      </c>
      <c r="V259">
        <v>0</v>
      </c>
      <c r="W259">
        <v>107</v>
      </c>
      <c r="X259">
        <v>551</v>
      </c>
      <c r="Y259">
        <v>5</v>
      </c>
      <c r="Z259">
        <v>302</v>
      </c>
      <c r="AA259">
        <v>10</v>
      </c>
      <c r="AB259">
        <v>1.8223834790681499</v>
      </c>
      <c r="AC259">
        <v>8.8774883402266394</v>
      </c>
      <c r="AD259">
        <v>2.20051031481279</v>
      </c>
      <c r="AE259">
        <v>0.20987675331631001</v>
      </c>
      <c r="AF259">
        <v>1188.66776315789</v>
      </c>
      <c r="AG259">
        <f>IFERROR(AH259*0.1, "N/A")</f>
        <v>6.2054276315789503</v>
      </c>
      <c r="AH259">
        <v>62.054276315789501</v>
      </c>
      <c r="AI259">
        <v>144.98198146569101</v>
      </c>
      <c r="AJ259">
        <v>18.0559210526316</v>
      </c>
      <c r="AK259">
        <v>67.944078947368396</v>
      </c>
    </row>
    <row r="260" spans="1:37" x14ac:dyDescent="0.3">
      <c r="A260">
        <v>259</v>
      </c>
      <c r="B260">
        <v>6</v>
      </c>
      <c r="C260">
        <v>30.4939</v>
      </c>
      <c r="D260">
        <v>-17.514199999999999</v>
      </c>
      <c r="E260" t="s">
        <v>424</v>
      </c>
      <c r="F260" t="s">
        <v>425</v>
      </c>
      <c r="G260" t="s">
        <v>37</v>
      </c>
      <c r="H260">
        <v>1985</v>
      </c>
      <c r="I260">
        <v>18.200000762939499</v>
      </c>
      <c r="J260">
        <v>13.6000003814697</v>
      </c>
      <c r="K260">
        <v>58</v>
      </c>
      <c r="L260">
        <v>28.200000762939499</v>
      </c>
      <c r="M260">
        <v>28.700000762939499</v>
      </c>
      <c r="N260">
        <v>5.3000001907348597</v>
      </c>
      <c r="O260">
        <v>23.399999618530298</v>
      </c>
      <c r="P260">
        <v>20.399999618530298</v>
      </c>
      <c r="Q260">
        <v>14</v>
      </c>
      <c r="R260">
        <v>20.799999237060501</v>
      </c>
      <c r="S260">
        <v>14</v>
      </c>
      <c r="T260">
        <v>826</v>
      </c>
      <c r="U260">
        <v>204</v>
      </c>
      <c r="V260">
        <v>0</v>
      </c>
      <c r="W260">
        <v>108</v>
      </c>
      <c r="X260">
        <v>557</v>
      </c>
      <c r="Y260">
        <v>5</v>
      </c>
      <c r="Z260">
        <v>303</v>
      </c>
      <c r="AA260">
        <v>11</v>
      </c>
      <c r="AB260">
        <v>16.147889984631099</v>
      </c>
      <c r="AC260">
        <v>1.0446203507666001E-2</v>
      </c>
      <c r="AD260">
        <v>1.8247793950995499</v>
      </c>
      <c r="AE260">
        <v>0.32991260895963598</v>
      </c>
      <c r="AF260">
        <v>1325.4508196721299</v>
      </c>
      <c r="AG260">
        <f>IFERROR(AH260*0.1, "N/A")</f>
        <v>6.3513114754098403</v>
      </c>
      <c r="AH260">
        <v>63.513114754098403</v>
      </c>
      <c r="AI260">
        <v>209.60597890009601</v>
      </c>
      <c r="AJ260">
        <v>17.073770491803302</v>
      </c>
      <c r="AK260">
        <v>70.8573770491803</v>
      </c>
    </row>
    <row r="261" spans="1:37" x14ac:dyDescent="0.3">
      <c r="A261">
        <v>260</v>
      </c>
      <c r="B261">
        <v>45</v>
      </c>
      <c r="C261">
        <v>30.4939</v>
      </c>
      <c r="D261">
        <v>-17.514199999999999</v>
      </c>
      <c r="E261" t="s">
        <v>424</v>
      </c>
      <c r="F261" t="s">
        <v>426</v>
      </c>
      <c r="G261" t="s">
        <v>39</v>
      </c>
      <c r="H261">
        <v>1985</v>
      </c>
      <c r="I261">
        <v>18.200000762939499</v>
      </c>
      <c r="J261">
        <v>13.6000003814697</v>
      </c>
      <c r="K261">
        <v>58</v>
      </c>
      <c r="L261">
        <v>28.200000762939499</v>
      </c>
      <c r="M261">
        <v>28.700000762939499</v>
      </c>
      <c r="N261">
        <v>5.3000001907348597</v>
      </c>
      <c r="O261">
        <v>23.399999618530298</v>
      </c>
      <c r="P261">
        <v>20.399999618530298</v>
      </c>
      <c r="Q261">
        <v>14</v>
      </c>
      <c r="R261">
        <v>20.799999237060501</v>
      </c>
      <c r="S261">
        <v>14</v>
      </c>
      <c r="T261">
        <v>826</v>
      </c>
      <c r="U261">
        <v>204</v>
      </c>
      <c r="V261">
        <v>0</v>
      </c>
      <c r="W261">
        <v>108</v>
      </c>
      <c r="X261">
        <v>557</v>
      </c>
      <c r="Y261">
        <v>5</v>
      </c>
      <c r="Z261">
        <v>303</v>
      </c>
      <c r="AA261">
        <v>11</v>
      </c>
      <c r="AB261">
        <v>16.147889984631099</v>
      </c>
      <c r="AC261">
        <v>1.0446203507666001E-2</v>
      </c>
      <c r="AD261">
        <v>1.8247793950995499</v>
      </c>
      <c r="AE261">
        <v>0.32991260895963598</v>
      </c>
      <c r="AF261">
        <v>1325.4508196721299</v>
      </c>
      <c r="AG261">
        <f>IFERROR(AH261*0.1, "N/A")</f>
        <v>6.3513114754098403</v>
      </c>
      <c r="AH261">
        <v>63.513114754098403</v>
      </c>
      <c r="AI261">
        <v>209.60597890009601</v>
      </c>
      <c r="AJ261">
        <v>17.073770491803302</v>
      </c>
      <c r="AK261">
        <v>70.8573770491803</v>
      </c>
    </row>
    <row r="262" spans="1:37" x14ac:dyDescent="0.3">
      <c r="A262">
        <v>261</v>
      </c>
      <c r="B262">
        <v>8</v>
      </c>
      <c r="C262">
        <v>31.014900000000001</v>
      </c>
      <c r="D262">
        <v>-17.3918</v>
      </c>
      <c r="E262" t="s">
        <v>427</v>
      </c>
      <c r="F262" t="s">
        <v>428</v>
      </c>
      <c r="G262" t="s">
        <v>37</v>
      </c>
      <c r="H262">
        <v>1985</v>
      </c>
      <c r="I262">
        <v>17.600000381469702</v>
      </c>
      <c r="J262">
        <v>14</v>
      </c>
      <c r="K262">
        <v>59</v>
      </c>
      <c r="L262">
        <v>30.9918389375182</v>
      </c>
      <c r="M262">
        <v>27.580460077044599</v>
      </c>
      <c r="N262">
        <v>4</v>
      </c>
      <c r="O262">
        <v>23.580460077044599</v>
      </c>
      <c r="P262">
        <v>20.839079845910799</v>
      </c>
      <c r="Q262">
        <v>13.199999809265099</v>
      </c>
      <c r="R262">
        <v>20.839079845910799</v>
      </c>
      <c r="S262">
        <v>13.199999809265099</v>
      </c>
      <c r="T262">
        <v>879.82758620689697</v>
      </c>
      <c r="U262">
        <v>222.80459770114899</v>
      </c>
      <c r="V262">
        <v>1</v>
      </c>
      <c r="W262">
        <v>110.19540229885099</v>
      </c>
      <c r="X262">
        <v>599.41379310344803</v>
      </c>
      <c r="Y262">
        <v>6</v>
      </c>
      <c r="Z262">
        <v>599.41379310344803</v>
      </c>
      <c r="AA262">
        <v>6</v>
      </c>
      <c r="AB262">
        <v>9.3169436399964098</v>
      </c>
      <c r="AC262">
        <v>6.0099419674335998E-2</v>
      </c>
      <c r="AD262">
        <v>2.1549714214500302</v>
      </c>
      <c r="AE262">
        <v>0.32436656951904302</v>
      </c>
      <c r="AF262">
        <v>1194.8078817733999</v>
      </c>
      <c r="AG262">
        <f>IFERROR(AH262*0.1, "N/A")</f>
        <v>5.9886699507389203</v>
      </c>
      <c r="AH262">
        <v>59.886699507389203</v>
      </c>
      <c r="AI262">
        <v>249.12391705818399</v>
      </c>
      <c r="AJ262">
        <v>18.689655172413801</v>
      </c>
      <c r="AK262">
        <v>65.477832512315302</v>
      </c>
    </row>
    <row r="263" spans="1:37" x14ac:dyDescent="0.3">
      <c r="A263">
        <v>262</v>
      </c>
      <c r="B263">
        <v>71</v>
      </c>
      <c r="C263">
        <v>31.014900000000001</v>
      </c>
      <c r="D263">
        <v>-17.3918</v>
      </c>
      <c r="E263" t="s">
        <v>427</v>
      </c>
      <c r="F263" t="s">
        <v>429</v>
      </c>
      <c r="G263" t="s">
        <v>39</v>
      </c>
      <c r="H263">
        <v>1985</v>
      </c>
      <c r="I263">
        <v>17.600000381469702</v>
      </c>
      <c r="J263">
        <v>14</v>
      </c>
      <c r="K263">
        <v>59</v>
      </c>
      <c r="L263">
        <v>30.9918389375182</v>
      </c>
      <c r="M263">
        <v>27.580460077044599</v>
      </c>
      <c r="N263">
        <v>4</v>
      </c>
      <c r="O263">
        <v>23.580460077044599</v>
      </c>
      <c r="P263">
        <v>20.839079845910799</v>
      </c>
      <c r="Q263">
        <v>13.199999809265099</v>
      </c>
      <c r="R263">
        <v>20.839079845910799</v>
      </c>
      <c r="S263">
        <v>13.199999809265099</v>
      </c>
      <c r="T263">
        <v>879.82758620689697</v>
      </c>
      <c r="U263">
        <v>222.80459770114899</v>
      </c>
      <c r="V263">
        <v>1</v>
      </c>
      <c r="W263">
        <v>110.19540229885099</v>
      </c>
      <c r="X263">
        <v>599.41379310344803</v>
      </c>
      <c r="Y263">
        <v>6</v>
      </c>
      <c r="Z263">
        <v>599.41379310344803</v>
      </c>
      <c r="AA263">
        <v>6</v>
      </c>
      <c r="AB263">
        <v>9.3169436399964098</v>
      </c>
      <c r="AC263">
        <v>6.0099419674335998E-2</v>
      </c>
      <c r="AD263">
        <v>2.1549714214500302</v>
      </c>
      <c r="AE263">
        <v>0.32436656951904302</v>
      </c>
      <c r="AF263">
        <v>1194.8078817733999</v>
      </c>
      <c r="AG263">
        <f>IFERROR(AH263*0.1, "N/A")</f>
        <v>5.9886699507389203</v>
      </c>
      <c r="AH263">
        <v>59.886699507389203</v>
      </c>
      <c r="AI263">
        <v>249.12391705818399</v>
      </c>
      <c r="AJ263">
        <v>18.689655172413801</v>
      </c>
      <c r="AK263">
        <v>65.477832512315302</v>
      </c>
    </row>
    <row r="264" spans="1:37" x14ac:dyDescent="0.3">
      <c r="A264">
        <v>263</v>
      </c>
      <c r="B264">
        <v>9</v>
      </c>
      <c r="C264">
        <v>31.625298999999998</v>
      </c>
      <c r="D264">
        <v>-17.371500000000001</v>
      </c>
      <c r="E264" t="s">
        <v>430</v>
      </c>
      <c r="F264" t="s">
        <v>431</v>
      </c>
      <c r="G264" t="s">
        <v>37</v>
      </c>
      <c r="H264">
        <v>1985</v>
      </c>
      <c r="I264">
        <v>19.539737425805701</v>
      </c>
      <c r="J264">
        <v>14.039737425805701</v>
      </c>
      <c r="K264">
        <v>56</v>
      </c>
      <c r="L264">
        <v>29.987289983063501</v>
      </c>
      <c r="M264">
        <v>30.439737044335999</v>
      </c>
      <c r="N264">
        <v>5.6999998092651403</v>
      </c>
      <c r="O264">
        <v>24.739737430816799</v>
      </c>
      <c r="P264">
        <v>21.939737044335999</v>
      </c>
      <c r="Q264">
        <v>15.1000003814697</v>
      </c>
      <c r="R264">
        <v>22.439737044335999</v>
      </c>
      <c r="S264">
        <v>15.1000003814697</v>
      </c>
      <c r="T264">
        <v>868.58949096880099</v>
      </c>
      <c r="U264">
        <v>217.39737274219999</v>
      </c>
      <c r="V264">
        <v>1</v>
      </c>
      <c r="W264">
        <v>110</v>
      </c>
      <c r="X264">
        <v>582.79474548440101</v>
      </c>
      <c r="Y264">
        <v>6</v>
      </c>
      <c r="Z264">
        <v>304.79474548440101</v>
      </c>
      <c r="AA264">
        <v>6</v>
      </c>
      <c r="AB264">
        <v>30.4821434584744</v>
      </c>
      <c r="AC264">
        <v>3.5851643299944003E-2</v>
      </c>
      <c r="AD264">
        <v>4.5272894923518603</v>
      </c>
      <c r="AE264">
        <v>0.25861403346061701</v>
      </c>
      <c r="AF264">
        <v>1129.19047619048</v>
      </c>
      <c r="AG264">
        <f>IFERROR(AH264*0.1, "N/A")</f>
        <v>5.5380952380952406</v>
      </c>
      <c r="AH264">
        <v>55.380952380952401</v>
      </c>
      <c r="AI264">
        <v>142.899736797477</v>
      </c>
      <c r="AJ264">
        <v>24.6026272577997</v>
      </c>
      <c r="AK264">
        <v>61.244663382594403</v>
      </c>
    </row>
    <row r="265" spans="1:37" x14ac:dyDescent="0.3">
      <c r="A265">
        <v>264</v>
      </c>
      <c r="B265">
        <v>58</v>
      </c>
      <c r="C265">
        <v>31.625298999999998</v>
      </c>
      <c r="D265">
        <v>-17.371500000000001</v>
      </c>
      <c r="E265" t="s">
        <v>430</v>
      </c>
      <c r="F265" t="s">
        <v>432</v>
      </c>
      <c r="G265" t="s">
        <v>39</v>
      </c>
      <c r="H265">
        <v>1985</v>
      </c>
      <c r="I265">
        <v>19.539737425805701</v>
      </c>
      <c r="J265">
        <v>14.039737425805701</v>
      </c>
      <c r="K265">
        <v>56</v>
      </c>
      <c r="L265">
        <v>29.987289983063501</v>
      </c>
      <c r="M265">
        <v>30.439737044335999</v>
      </c>
      <c r="N265">
        <v>5.6999998092651403</v>
      </c>
      <c r="O265">
        <v>24.739737430816799</v>
      </c>
      <c r="P265">
        <v>21.939737044335999</v>
      </c>
      <c r="Q265">
        <v>15.1000003814697</v>
      </c>
      <c r="R265">
        <v>22.439737044335999</v>
      </c>
      <c r="S265">
        <v>15.1000003814697</v>
      </c>
      <c r="T265">
        <v>868.58949096880099</v>
      </c>
      <c r="U265">
        <v>217.39737274219999</v>
      </c>
      <c r="V265">
        <v>1</v>
      </c>
      <c r="W265">
        <v>110</v>
      </c>
      <c r="X265">
        <v>582.79474548440101</v>
      </c>
      <c r="Y265">
        <v>6</v>
      </c>
      <c r="Z265">
        <v>304.79474548440101</v>
      </c>
      <c r="AA265">
        <v>6</v>
      </c>
      <c r="AB265">
        <v>30.4821434584744</v>
      </c>
      <c r="AC265">
        <v>3.5851643299944003E-2</v>
      </c>
      <c r="AD265">
        <v>4.5272894923518603</v>
      </c>
      <c r="AE265">
        <v>0.25861403346061701</v>
      </c>
      <c r="AF265">
        <v>1129.19047619048</v>
      </c>
      <c r="AG265">
        <f>IFERROR(AH265*0.1, "N/A")</f>
        <v>5.5380952380952406</v>
      </c>
      <c r="AH265">
        <v>55.380952380952401</v>
      </c>
      <c r="AI265">
        <v>142.899736797477</v>
      </c>
      <c r="AJ265">
        <v>24.6026272577997</v>
      </c>
      <c r="AK265">
        <v>61.244663382594403</v>
      </c>
    </row>
    <row r="266" spans="1:37" x14ac:dyDescent="0.3">
      <c r="A266">
        <v>265</v>
      </c>
      <c r="B266">
        <v>16</v>
      </c>
      <c r="C266">
        <v>29.663098999999999</v>
      </c>
      <c r="D266">
        <v>-17.322500000000002</v>
      </c>
      <c r="E266" t="s">
        <v>433</v>
      </c>
      <c r="F266" t="s">
        <v>434</v>
      </c>
      <c r="G266" t="s">
        <v>37</v>
      </c>
      <c r="H266">
        <v>1985</v>
      </c>
      <c r="I266">
        <v>19.899999618530298</v>
      </c>
      <c r="J266">
        <v>13.199999809265099</v>
      </c>
      <c r="K266">
        <v>56</v>
      </c>
      <c r="L266">
        <v>27.719999313354499</v>
      </c>
      <c r="M266">
        <v>30.399999618530298</v>
      </c>
      <c r="N266">
        <v>7.0999999046325701</v>
      </c>
      <c r="O266">
        <v>23.299999237060501</v>
      </c>
      <c r="P266">
        <v>22</v>
      </c>
      <c r="Q266">
        <v>15.800000190734901</v>
      </c>
      <c r="R266">
        <v>22.700000762939499</v>
      </c>
      <c r="S266">
        <v>15.800000190734901</v>
      </c>
      <c r="T266">
        <v>807</v>
      </c>
      <c r="U266">
        <v>210</v>
      </c>
      <c r="V266">
        <v>0</v>
      </c>
      <c r="W266">
        <v>112</v>
      </c>
      <c r="X266">
        <v>557</v>
      </c>
      <c r="Y266">
        <v>2</v>
      </c>
      <c r="Z266">
        <v>289</v>
      </c>
      <c r="AA266">
        <v>2</v>
      </c>
      <c r="AB266">
        <v>35.257746831812099</v>
      </c>
      <c r="AC266">
        <v>1.0674265002764E-2</v>
      </c>
      <c r="AD266">
        <v>5.3357473556751502</v>
      </c>
      <c r="AE266">
        <v>0.19967879354953799</v>
      </c>
      <c r="AF266">
        <v>1080.5165016501601</v>
      </c>
      <c r="AG266">
        <f>IFERROR(AH266*0.1, "N/A")</f>
        <v>5.9024752475247508</v>
      </c>
      <c r="AH266">
        <v>59.024752475247503</v>
      </c>
      <c r="AI266">
        <v>258.94582097522499</v>
      </c>
      <c r="AJ266">
        <v>17.024752475247499</v>
      </c>
      <c r="AK266">
        <v>70.975247524752504</v>
      </c>
    </row>
    <row r="267" spans="1:37" x14ac:dyDescent="0.3">
      <c r="A267">
        <v>266</v>
      </c>
      <c r="B267">
        <v>79</v>
      </c>
      <c r="C267">
        <v>29.663098999999999</v>
      </c>
      <c r="D267">
        <v>-17.322500000000002</v>
      </c>
      <c r="E267" t="s">
        <v>433</v>
      </c>
      <c r="F267" t="s">
        <v>435</v>
      </c>
      <c r="G267" t="s">
        <v>39</v>
      </c>
      <c r="H267">
        <v>1985</v>
      </c>
      <c r="I267">
        <v>19.899999618530298</v>
      </c>
      <c r="J267">
        <v>13.199999809265099</v>
      </c>
      <c r="K267">
        <v>56</v>
      </c>
      <c r="L267">
        <v>27.719999313354499</v>
      </c>
      <c r="M267">
        <v>30.399999618530298</v>
      </c>
      <c r="N267">
        <v>7.0999999046325701</v>
      </c>
      <c r="O267">
        <v>23.299999237060501</v>
      </c>
      <c r="P267">
        <v>22</v>
      </c>
      <c r="Q267">
        <v>15.800000190734901</v>
      </c>
      <c r="R267">
        <v>22.700000762939499</v>
      </c>
      <c r="S267">
        <v>15.800000190734901</v>
      </c>
      <c r="T267">
        <v>807</v>
      </c>
      <c r="U267">
        <v>210</v>
      </c>
      <c r="V267">
        <v>0</v>
      </c>
      <c r="W267">
        <v>112</v>
      </c>
      <c r="X267">
        <v>557</v>
      </c>
      <c r="Y267">
        <v>2</v>
      </c>
      <c r="Z267">
        <v>289</v>
      </c>
      <c r="AA267">
        <v>2</v>
      </c>
      <c r="AB267">
        <v>35.257746831812099</v>
      </c>
      <c r="AC267">
        <v>1.0674265002764E-2</v>
      </c>
      <c r="AD267">
        <v>5.3357473556751502</v>
      </c>
      <c r="AE267">
        <v>0.19967879354953799</v>
      </c>
      <c r="AF267">
        <v>1080.5165016501601</v>
      </c>
      <c r="AG267">
        <f>IFERROR(AH267*0.1, "N/A")</f>
        <v>5.9024752475247508</v>
      </c>
      <c r="AH267">
        <v>59.024752475247503</v>
      </c>
      <c r="AI267">
        <v>258.94582097522499</v>
      </c>
      <c r="AJ267">
        <v>17.024752475247499</v>
      </c>
      <c r="AK267">
        <v>70.975247524752504</v>
      </c>
    </row>
    <row r="268" spans="1:37" x14ac:dyDescent="0.3">
      <c r="A268">
        <v>267</v>
      </c>
      <c r="B268">
        <v>13</v>
      </c>
      <c r="C268">
        <v>30.617201000000001</v>
      </c>
      <c r="D268">
        <v>-17.317499000000002</v>
      </c>
      <c r="E268" t="s">
        <v>436</v>
      </c>
      <c r="F268" t="s">
        <v>437</v>
      </c>
      <c r="G268" t="s">
        <v>37</v>
      </c>
      <c r="H268">
        <v>1985</v>
      </c>
      <c r="I268">
        <v>17.700000762939499</v>
      </c>
      <c r="J268">
        <v>13.3999996185303</v>
      </c>
      <c r="K268">
        <v>57.991789819376002</v>
      </c>
      <c r="L268">
        <v>29.2311489781723</v>
      </c>
      <c r="M268">
        <v>27.800820258254902</v>
      </c>
      <c r="N268">
        <v>4.7991791695405297</v>
      </c>
      <c r="O268">
        <v>23.001642042388699</v>
      </c>
      <c r="P268">
        <v>20.300820258254902</v>
      </c>
      <c r="Q268">
        <v>13.3999996185303</v>
      </c>
      <c r="R268">
        <v>20.5</v>
      </c>
      <c r="S268">
        <v>13.3999996185303</v>
      </c>
      <c r="T268">
        <v>858.99178981937598</v>
      </c>
      <c r="U268">
        <v>212</v>
      </c>
      <c r="V268">
        <v>0</v>
      </c>
      <c r="W268">
        <v>108</v>
      </c>
      <c r="X268">
        <v>578.99178981937598</v>
      </c>
      <c r="Y268">
        <v>6</v>
      </c>
      <c r="Z268">
        <v>495</v>
      </c>
      <c r="AA268">
        <v>12.551724137931</v>
      </c>
      <c r="AB268">
        <v>20.6558573304726</v>
      </c>
      <c r="AC268">
        <v>3.2026847015473002E-2</v>
      </c>
      <c r="AD268">
        <v>0.78989212628460104</v>
      </c>
      <c r="AE268">
        <v>0.29121595621108998</v>
      </c>
      <c r="AF268">
        <v>1292.58456486043</v>
      </c>
      <c r="AG268">
        <f>IFERROR(AH268*0.1, "N/A")</f>
        <v>5.8607553366174105</v>
      </c>
      <c r="AH268">
        <v>58.607553366174102</v>
      </c>
      <c r="AI268">
        <v>271.715438717496</v>
      </c>
      <c r="AJ268">
        <v>26.287356321839098</v>
      </c>
      <c r="AK268">
        <v>59.105090311986899</v>
      </c>
    </row>
    <row r="269" spans="1:37" x14ac:dyDescent="0.3">
      <c r="A269">
        <v>268</v>
      </c>
      <c r="B269">
        <v>80</v>
      </c>
      <c r="C269">
        <v>30.617201000000001</v>
      </c>
      <c r="D269">
        <v>-17.317499000000002</v>
      </c>
      <c r="E269" t="s">
        <v>436</v>
      </c>
      <c r="F269" t="s">
        <v>438</v>
      </c>
      <c r="G269" t="s">
        <v>39</v>
      </c>
      <c r="H269">
        <v>1985</v>
      </c>
      <c r="I269">
        <v>17.700000762939499</v>
      </c>
      <c r="J269">
        <v>13.3999996185303</v>
      </c>
      <c r="K269">
        <v>57.991789819376002</v>
      </c>
      <c r="L269">
        <v>29.2311489781723</v>
      </c>
      <c r="M269">
        <v>27.800820258254902</v>
      </c>
      <c r="N269">
        <v>4.7991791695405297</v>
      </c>
      <c r="O269">
        <v>23.001642042388699</v>
      </c>
      <c r="P269">
        <v>20.300820258254902</v>
      </c>
      <c r="Q269">
        <v>13.3999996185303</v>
      </c>
      <c r="R269">
        <v>20.5</v>
      </c>
      <c r="S269">
        <v>13.3999996185303</v>
      </c>
      <c r="T269">
        <v>858.99178981937598</v>
      </c>
      <c r="U269">
        <v>212</v>
      </c>
      <c r="V269">
        <v>0</v>
      </c>
      <c r="W269">
        <v>108</v>
      </c>
      <c r="X269">
        <v>578.99178981937598</v>
      </c>
      <c r="Y269">
        <v>6</v>
      </c>
      <c r="Z269">
        <v>495</v>
      </c>
      <c r="AA269">
        <v>12.551724137931</v>
      </c>
      <c r="AB269">
        <v>20.6558573304726</v>
      </c>
      <c r="AC269">
        <v>3.2026847015473002E-2</v>
      </c>
      <c r="AD269">
        <v>0.78989212628460104</v>
      </c>
      <c r="AE269">
        <v>0.29121595621108998</v>
      </c>
      <c r="AF269">
        <v>1292.58456486043</v>
      </c>
      <c r="AG269">
        <f>IFERROR(AH269*0.1, "N/A")</f>
        <v>5.8607553366174105</v>
      </c>
      <c r="AH269">
        <v>58.607553366174102</v>
      </c>
      <c r="AI269">
        <v>271.715438717496</v>
      </c>
      <c r="AJ269">
        <v>26.287356321839098</v>
      </c>
      <c r="AK269">
        <v>59.105090311986899</v>
      </c>
    </row>
    <row r="270" spans="1:37" x14ac:dyDescent="0.3">
      <c r="A270">
        <v>269</v>
      </c>
      <c r="B270">
        <v>7</v>
      </c>
      <c r="C270">
        <v>32.693001000000002</v>
      </c>
      <c r="D270">
        <v>-17.306298999999999</v>
      </c>
      <c r="E270" t="s">
        <v>439</v>
      </c>
      <c r="F270" t="s">
        <v>440</v>
      </c>
      <c r="G270" t="s">
        <v>37</v>
      </c>
      <c r="H270">
        <v>1985</v>
      </c>
      <c r="I270">
        <v>21.299999237060501</v>
      </c>
      <c r="J270">
        <v>13.3999996185303</v>
      </c>
      <c r="K270">
        <v>60</v>
      </c>
      <c r="L270">
        <v>26.549999237060501</v>
      </c>
      <c r="M270">
        <v>31.399999618530298</v>
      </c>
      <c r="N270">
        <v>9.3999996185302699</v>
      </c>
      <c r="O270">
        <v>22</v>
      </c>
      <c r="P270">
        <v>23.600000381469702</v>
      </c>
      <c r="Q270">
        <v>18.799999237060501</v>
      </c>
      <c r="R270">
        <v>23.799999237060501</v>
      </c>
      <c r="S270">
        <v>17.299999237060501</v>
      </c>
      <c r="T270">
        <v>621</v>
      </c>
      <c r="U270">
        <v>190</v>
      </c>
      <c r="V270">
        <v>0</v>
      </c>
      <c r="W270">
        <v>124</v>
      </c>
      <c r="X270">
        <v>468</v>
      </c>
      <c r="Y270">
        <v>3</v>
      </c>
      <c r="Z270">
        <v>205</v>
      </c>
      <c r="AA270">
        <v>5</v>
      </c>
      <c r="AB270">
        <v>17.711009678087699</v>
      </c>
      <c r="AC270">
        <v>0.84031625123277898</v>
      </c>
      <c r="AD270">
        <v>17.7874823691029</v>
      </c>
      <c r="AE270">
        <v>0.205148113499347</v>
      </c>
      <c r="AF270">
        <v>704.30263157894694</v>
      </c>
      <c r="AG270">
        <f>IFERROR(AH270*0.1, "N/A")</f>
        <v>5.6671052631579002</v>
      </c>
      <c r="AH270">
        <v>56.671052631579002</v>
      </c>
      <c r="AI270">
        <v>181.13810235575599</v>
      </c>
      <c r="AJ270">
        <v>24.473684210526301</v>
      </c>
      <c r="AK270">
        <v>64.245065789473699</v>
      </c>
    </row>
    <row r="271" spans="1:37" x14ac:dyDescent="0.3">
      <c r="A271">
        <v>270</v>
      </c>
      <c r="B271">
        <v>86</v>
      </c>
      <c r="C271">
        <v>32.693001000000002</v>
      </c>
      <c r="D271">
        <v>-17.306298999999999</v>
      </c>
      <c r="E271" t="s">
        <v>439</v>
      </c>
      <c r="F271" t="s">
        <v>441</v>
      </c>
      <c r="G271" t="s">
        <v>39</v>
      </c>
      <c r="H271">
        <v>1985</v>
      </c>
      <c r="I271">
        <v>21.299999237060501</v>
      </c>
      <c r="J271">
        <v>13.3999996185303</v>
      </c>
      <c r="K271">
        <v>60</v>
      </c>
      <c r="L271">
        <v>26.549999237060501</v>
      </c>
      <c r="M271">
        <v>31.399999618530298</v>
      </c>
      <c r="N271">
        <v>9.3999996185302699</v>
      </c>
      <c r="O271">
        <v>22</v>
      </c>
      <c r="P271">
        <v>23.600000381469702</v>
      </c>
      <c r="Q271">
        <v>18.799999237060501</v>
      </c>
      <c r="R271">
        <v>23.799999237060501</v>
      </c>
      <c r="S271">
        <v>17.299999237060501</v>
      </c>
      <c r="T271">
        <v>621</v>
      </c>
      <c r="U271">
        <v>190</v>
      </c>
      <c r="V271">
        <v>0</v>
      </c>
      <c r="W271">
        <v>124</v>
      </c>
      <c r="X271">
        <v>468</v>
      </c>
      <c r="Y271">
        <v>3</v>
      </c>
      <c r="Z271">
        <v>205</v>
      </c>
      <c r="AA271">
        <v>5</v>
      </c>
      <c r="AB271">
        <v>17.711009678087699</v>
      </c>
      <c r="AC271">
        <v>0.84031625123277898</v>
      </c>
      <c r="AD271">
        <v>17.7874823691029</v>
      </c>
      <c r="AE271">
        <v>0.205148113499347</v>
      </c>
      <c r="AF271">
        <v>704.30263157894694</v>
      </c>
      <c r="AG271">
        <f>IFERROR(AH271*0.1, "N/A")</f>
        <v>5.6671052631579002</v>
      </c>
      <c r="AH271">
        <v>56.671052631579002</v>
      </c>
      <c r="AI271">
        <v>181.13810235575599</v>
      </c>
      <c r="AJ271">
        <v>24.473684210526301</v>
      </c>
      <c r="AK271">
        <v>64.245065789473699</v>
      </c>
    </row>
    <row r="272" spans="1:37" x14ac:dyDescent="0.3">
      <c r="A272">
        <v>271</v>
      </c>
      <c r="B272">
        <v>28</v>
      </c>
      <c r="C272">
        <v>31.674199999999999</v>
      </c>
      <c r="D272">
        <v>-17.295000000000002</v>
      </c>
      <c r="E272" t="s">
        <v>442</v>
      </c>
      <c r="F272" t="s">
        <v>443</v>
      </c>
      <c r="G272" t="s">
        <v>37</v>
      </c>
      <c r="H272">
        <v>1985</v>
      </c>
      <c r="I272">
        <v>20.020264048945599</v>
      </c>
      <c r="J272">
        <v>14.620263476741</v>
      </c>
      <c r="K272">
        <v>57</v>
      </c>
      <c r="L272">
        <v>30.782322105897901</v>
      </c>
      <c r="M272">
        <v>31.000329870761298</v>
      </c>
      <c r="N272">
        <v>5.6199339877636101</v>
      </c>
      <c r="O272">
        <v>25.3803953111073</v>
      </c>
      <c r="P272">
        <v>22.620264050202501</v>
      </c>
      <c r="Q272">
        <v>15.460131833737901</v>
      </c>
      <c r="R272">
        <v>22.940197845660101</v>
      </c>
      <c r="S272">
        <v>15.460131833737901</v>
      </c>
      <c r="T272">
        <v>844.40527182866595</v>
      </c>
      <c r="U272">
        <v>216.202635914333</v>
      </c>
      <c r="V272">
        <v>0</v>
      </c>
      <c r="W272">
        <v>113.800658978583</v>
      </c>
      <c r="X272">
        <v>584.81054365733098</v>
      </c>
      <c r="Y272">
        <v>3</v>
      </c>
      <c r="Z272">
        <v>304.803953871499</v>
      </c>
      <c r="AA272">
        <v>3</v>
      </c>
      <c r="AB272">
        <v>91.960925634846106</v>
      </c>
      <c r="AC272">
        <v>1.4708870932877E-2</v>
      </c>
      <c r="AD272">
        <v>17.8732899221203</v>
      </c>
      <c r="AE272">
        <v>0.26037776470184298</v>
      </c>
      <c r="AF272">
        <v>1012.2421746293199</v>
      </c>
      <c r="AG272">
        <f>IFERROR(AH272*0.1, "N/A")</f>
        <v>5.8000000000000007</v>
      </c>
      <c r="AH272">
        <v>58</v>
      </c>
      <c r="AI272">
        <v>329.07972488528998</v>
      </c>
      <c r="AJ272">
        <v>19.0724876441516</v>
      </c>
      <c r="AK272">
        <v>69.159802306424993</v>
      </c>
    </row>
    <row r="273" spans="1:37" x14ac:dyDescent="0.3">
      <c r="A273">
        <v>272</v>
      </c>
      <c r="B273">
        <v>38</v>
      </c>
      <c r="C273">
        <v>31.674199999999999</v>
      </c>
      <c r="D273">
        <v>-17.295000000000002</v>
      </c>
      <c r="E273" t="s">
        <v>442</v>
      </c>
      <c r="F273" t="s">
        <v>444</v>
      </c>
      <c r="G273" t="s">
        <v>39</v>
      </c>
      <c r="H273">
        <v>1985</v>
      </c>
      <c r="I273">
        <v>20.020264048945599</v>
      </c>
      <c r="J273">
        <v>14.620263476741</v>
      </c>
      <c r="K273">
        <v>57</v>
      </c>
      <c r="L273">
        <v>30.782322105897901</v>
      </c>
      <c r="M273">
        <v>31.000329870761298</v>
      </c>
      <c r="N273">
        <v>5.6199339877636101</v>
      </c>
      <c r="O273">
        <v>25.3803953111073</v>
      </c>
      <c r="P273">
        <v>22.620264050202501</v>
      </c>
      <c r="Q273">
        <v>15.460131833737901</v>
      </c>
      <c r="R273">
        <v>22.940197845660101</v>
      </c>
      <c r="S273">
        <v>15.460131833737901</v>
      </c>
      <c r="T273">
        <v>844.40527182866595</v>
      </c>
      <c r="U273">
        <v>216.202635914333</v>
      </c>
      <c r="V273">
        <v>0</v>
      </c>
      <c r="W273">
        <v>113.800658978583</v>
      </c>
      <c r="X273">
        <v>584.81054365733098</v>
      </c>
      <c r="Y273">
        <v>3</v>
      </c>
      <c r="Z273">
        <v>304.803953871499</v>
      </c>
      <c r="AA273">
        <v>3</v>
      </c>
      <c r="AB273">
        <v>91.960925634846106</v>
      </c>
      <c r="AC273">
        <v>1.4708870932877E-2</v>
      </c>
      <c r="AD273">
        <v>17.8732899221203</v>
      </c>
      <c r="AE273">
        <v>0.26037776470184298</v>
      </c>
      <c r="AF273">
        <v>1012.2421746293199</v>
      </c>
      <c r="AG273">
        <f>IFERROR(AH273*0.1, "N/A")</f>
        <v>5.8000000000000007</v>
      </c>
      <c r="AH273">
        <v>58</v>
      </c>
      <c r="AI273">
        <v>329.07972488528998</v>
      </c>
      <c r="AJ273">
        <v>19.0724876441516</v>
      </c>
      <c r="AK273">
        <v>69.159802306424993</v>
      </c>
    </row>
    <row r="274" spans="1:37" x14ac:dyDescent="0.3">
      <c r="A274">
        <v>273</v>
      </c>
      <c r="B274">
        <v>34</v>
      </c>
      <c r="C274">
        <v>31.264999</v>
      </c>
      <c r="D274">
        <v>-17.270800000000001</v>
      </c>
      <c r="E274" t="s">
        <v>445</v>
      </c>
      <c r="F274" t="s">
        <v>446</v>
      </c>
      <c r="G274" t="s">
        <v>37</v>
      </c>
      <c r="H274">
        <v>1985</v>
      </c>
      <c r="I274">
        <v>18.600000381469702</v>
      </c>
      <c r="J274">
        <v>14.5</v>
      </c>
      <c r="K274">
        <v>58</v>
      </c>
      <c r="L274">
        <v>32.590000152587898</v>
      </c>
      <c r="M274">
        <v>29</v>
      </c>
      <c r="N274">
        <v>4.1999998092651403</v>
      </c>
      <c r="O274">
        <v>24.799999237060501</v>
      </c>
      <c r="P274">
        <v>21.799999237060501</v>
      </c>
      <c r="Q274">
        <v>13.8999996185303</v>
      </c>
      <c r="R274">
        <v>21.899999618530298</v>
      </c>
      <c r="S274">
        <v>13.8999996185303</v>
      </c>
      <c r="T274">
        <v>832</v>
      </c>
      <c r="U274">
        <v>214</v>
      </c>
      <c r="V274">
        <v>1</v>
      </c>
      <c r="W274">
        <v>110</v>
      </c>
      <c r="X274">
        <v>563</v>
      </c>
      <c r="Y274">
        <v>5</v>
      </c>
      <c r="Z274">
        <v>484</v>
      </c>
      <c r="AA274">
        <v>5</v>
      </c>
      <c r="AB274">
        <v>27.560023115186301</v>
      </c>
      <c r="AC274">
        <v>1.8123472075792998E-2</v>
      </c>
      <c r="AD274">
        <v>1.66195127451165</v>
      </c>
      <c r="AE274">
        <v>0.42995159403835398</v>
      </c>
      <c r="AF274">
        <v>1077.8817733990099</v>
      </c>
      <c r="AG274">
        <f>IFERROR(AH274*0.1, "N/A")</f>
        <v>5.8919540229885108</v>
      </c>
      <c r="AH274">
        <v>58.919540229885101</v>
      </c>
      <c r="AI274">
        <v>39.8574928885023</v>
      </c>
      <c r="AJ274">
        <v>18.919540229885101</v>
      </c>
      <c r="AK274">
        <v>65</v>
      </c>
    </row>
    <row r="275" spans="1:37" x14ac:dyDescent="0.3">
      <c r="A275">
        <v>274</v>
      </c>
      <c r="B275">
        <v>81</v>
      </c>
      <c r="C275">
        <v>31.264999</v>
      </c>
      <c r="D275">
        <v>-17.270800000000001</v>
      </c>
      <c r="E275" t="s">
        <v>445</v>
      </c>
      <c r="F275" t="s">
        <v>447</v>
      </c>
      <c r="G275" t="s">
        <v>39</v>
      </c>
      <c r="H275">
        <v>1985</v>
      </c>
      <c r="I275">
        <v>18.600000381469702</v>
      </c>
      <c r="J275">
        <v>14.5</v>
      </c>
      <c r="K275">
        <v>58</v>
      </c>
      <c r="L275">
        <v>32.590000152587898</v>
      </c>
      <c r="M275">
        <v>29</v>
      </c>
      <c r="N275">
        <v>4.1999998092651403</v>
      </c>
      <c r="O275">
        <v>24.799999237060501</v>
      </c>
      <c r="P275">
        <v>21.799999237060501</v>
      </c>
      <c r="Q275">
        <v>13.8999996185303</v>
      </c>
      <c r="R275">
        <v>21.899999618530298</v>
      </c>
      <c r="S275">
        <v>13.8999996185303</v>
      </c>
      <c r="T275">
        <v>832</v>
      </c>
      <c r="U275">
        <v>214</v>
      </c>
      <c r="V275">
        <v>1</v>
      </c>
      <c r="W275">
        <v>110</v>
      </c>
      <c r="X275">
        <v>563</v>
      </c>
      <c r="Y275">
        <v>5</v>
      </c>
      <c r="Z275">
        <v>484</v>
      </c>
      <c r="AA275">
        <v>5</v>
      </c>
      <c r="AB275">
        <v>27.560023115186301</v>
      </c>
      <c r="AC275">
        <v>1.8123472075792998E-2</v>
      </c>
      <c r="AD275">
        <v>1.66195127451165</v>
      </c>
      <c r="AE275">
        <v>0.42995159403835398</v>
      </c>
      <c r="AF275">
        <v>1077.8817733990099</v>
      </c>
      <c r="AG275">
        <f>IFERROR(AH275*0.1, "N/A")</f>
        <v>5.8919540229885108</v>
      </c>
      <c r="AH275">
        <v>58.919540229885101</v>
      </c>
      <c r="AI275">
        <v>39.8574928885023</v>
      </c>
      <c r="AJ275">
        <v>18.919540229885101</v>
      </c>
      <c r="AK275">
        <v>65</v>
      </c>
    </row>
    <row r="276" spans="1:37" x14ac:dyDescent="0.3">
      <c r="A276">
        <v>275</v>
      </c>
      <c r="B276">
        <v>11</v>
      </c>
      <c r="C276">
        <v>28.351998999999999</v>
      </c>
      <c r="D276">
        <v>-17.2502</v>
      </c>
      <c r="E276" t="s">
        <v>448</v>
      </c>
      <c r="F276" t="s">
        <v>449</v>
      </c>
      <c r="G276" t="s">
        <v>37</v>
      </c>
      <c r="H276">
        <v>1985</v>
      </c>
      <c r="I276">
        <v>23.073026594362801</v>
      </c>
      <c r="J276">
        <v>13.436512915711701</v>
      </c>
      <c r="K276">
        <v>54</v>
      </c>
      <c r="L276">
        <v>27.907960659579199</v>
      </c>
      <c r="M276">
        <v>34.7095390620985</v>
      </c>
      <c r="N276">
        <v>10.1365133304345</v>
      </c>
      <c r="O276">
        <v>24.573026594362801</v>
      </c>
      <c r="P276">
        <v>24.273026660869</v>
      </c>
      <c r="Q276">
        <v>19.136513678651099</v>
      </c>
      <c r="R276">
        <v>26.109539195110901</v>
      </c>
      <c r="S276">
        <v>19.073026594362801</v>
      </c>
      <c r="T276">
        <v>735.07894736842104</v>
      </c>
      <c r="U276">
        <v>190.269736842105</v>
      </c>
      <c r="V276">
        <v>0</v>
      </c>
      <c r="W276">
        <v>116.365131578947</v>
      </c>
      <c r="X276">
        <v>527.17434210526301</v>
      </c>
      <c r="Y276">
        <v>2</v>
      </c>
      <c r="Z276">
        <v>92.269736842105303</v>
      </c>
      <c r="AA276">
        <v>8</v>
      </c>
      <c r="AB276">
        <v>83.050316158093906</v>
      </c>
      <c r="AC276">
        <v>1.9499228455395999E-2</v>
      </c>
      <c r="AD276">
        <v>3.34482591599226</v>
      </c>
      <c r="AE276">
        <v>0.104881569792173</v>
      </c>
      <c r="AF276">
        <v>810.25164473684197</v>
      </c>
      <c r="AG276">
        <f>IFERROR(AH276*0.1, "N/A")</f>
        <v>5.4</v>
      </c>
      <c r="AH276">
        <v>54</v>
      </c>
      <c r="AI276">
        <v>167.14452201441699</v>
      </c>
      <c r="AJ276">
        <v>16.730263157894701</v>
      </c>
      <c r="AK276">
        <v>74</v>
      </c>
    </row>
    <row r="277" spans="1:37" x14ac:dyDescent="0.3">
      <c r="A277">
        <v>276</v>
      </c>
      <c r="B277">
        <v>78</v>
      </c>
      <c r="C277">
        <v>28.351998999999999</v>
      </c>
      <c r="D277">
        <v>-17.2502</v>
      </c>
      <c r="E277" t="s">
        <v>448</v>
      </c>
      <c r="F277" t="s">
        <v>450</v>
      </c>
      <c r="G277" t="s">
        <v>39</v>
      </c>
      <c r="H277">
        <v>1985</v>
      </c>
      <c r="I277">
        <v>23.073026594362801</v>
      </c>
      <c r="J277">
        <v>13.436512915711701</v>
      </c>
      <c r="K277">
        <v>54</v>
      </c>
      <c r="L277">
        <v>27.907960659579199</v>
      </c>
      <c r="M277">
        <v>34.7095390620985</v>
      </c>
      <c r="N277">
        <v>10.1365133304345</v>
      </c>
      <c r="O277">
        <v>24.573026594362801</v>
      </c>
      <c r="P277">
        <v>24.273026660869</v>
      </c>
      <c r="Q277">
        <v>19.136513678651099</v>
      </c>
      <c r="R277">
        <v>26.109539195110901</v>
      </c>
      <c r="S277">
        <v>19.073026594362801</v>
      </c>
      <c r="T277">
        <v>735.07894736842104</v>
      </c>
      <c r="U277">
        <v>190.269736842105</v>
      </c>
      <c r="V277">
        <v>0</v>
      </c>
      <c r="W277">
        <v>116.365131578947</v>
      </c>
      <c r="X277">
        <v>527.17434210526301</v>
      </c>
      <c r="Y277">
        <v>2</v>
      </c>
      <c r="Z277">
        <v>92.269736842105303</v>
      </c>
      <c r="AA277">
        <v>8</v>
      </c>
      <c r="AB277">
        <v>83.050316158093906</v>
      </c>
      <c r="AC277">
        <v>1.9499228455395999E-2</v>
      </c>
      <c r="AD277">
        <v>3.34482591599226</v>
      </c>
      <c r="AE277">
        <v>0.104881569792173</v>
      </c>
      <c r="AF277">
        <v>810.25164473684197</v>
      </c>
      <c r="AG277">
        <f>IFERROR(AH277*0.1, "N/A")</f>
        <v>5.4</v>
      </c>
      <c r="AH277">
        <v>54</v>
      </c>
      <c r="AI277">
        <v>167.14452201441699</v>
      </c>
      <c r="AJ277">
        <v>16.730263157894701</v>
      </c>
      <c r="AK277">
        <v>74</v>
      </c>
    </row>
    <row r="278" spans="1:37" x14ac:dyDescent="0.3">
      <c r="A278">
        <v>277</v>
      </c>
      <c r="B278">
        <v>0</v>
      </c>
      <c r="C278">
        <v>28.772400000000001</v>
      </c>
      <c r="D278">
        <v>-17.239000000000001</v>
      </c>
      <c r="E278" t="s">
        <v>451</v>
      </c>
      <c r="F278" t="s">
        <v>452</v>
      </c>
      <c r="G278" t="s">
        <v>37</v>
      </c>
      <c r="H278">
        <v>1985</v>
      </c>
      <c r="I278">
        <v>23.299999237060501</v>
      </c>
      <c r="J278">
        <v>13.3999996185303</v>
      </c>
      <c r="K278">
        <v>54</v>
      </c>
      <c r="L278">
        <v>27.780000686645501</v>
      </c>
      <c r="M278">
        <v>34.799999237060497</v>
      </c>
      <c r="N278">
        <v>10.3999996185303</v>
      </c>
      <c r="O278">
        <v>24.399999618530298</v>
      </c>
      <c r="P278">
        <v>24.600000381469702</v>
      </c>
      <c r="Q278">
        <v>19.399999618530298</v>
      </c>
      <c r="R278">
        <v>26.399999618530298</v>
      </c>
      <c r="S278">
        <v>19.399999618530298</v>
      </c>
      <c r="T278">
        <v>749</v>
      </c>
      <c r="U278">
        <v>191</v>
      </c>
      <c r="V278">
        <v>0</v>
      </c>
      <c r="W278">
        <v>114</v>
      </c>
      <c r="X278">
        <v>529</v>
      </c>
      <c r="Y278">
        <v>2</v>
      </c>
      <c r="Z278">
        <v>273</v>
      </c>
      <c r="AA278">
        <v>8</v>
      </c>
      <c r="AB278">
        <v>7.9569126932244503</v>
      </c>
      <c r="AC278">
        <v>0.14348784609127899</v>
      </c>
      <c r="AD278">
        <v>4.32934900098725</v>
      </c>
      <c r="AE278">
        <v>0.25136205554008501</v>
      </c>
      <c r="AF278">
        <v>707.76315789473699</v>
      </c>
      <c r="AG278">
        <f>IFERROR(AH278*0.1, "N/A")</f>
        <v>5.8789473684210503</v>
      </c>
      <c r="AH278">
        <v>58.789473684210499</v>
      </c>
      <c r="AI278">
        <v>180.419758671208</v>
      </c>
      <c r="AJ278">
        <v>15.3569078947368</v>
      </c>
      <c r="AK278">
        <v>76.34375</v>
      </c>
    </row>
    <row r="279" spans="1:37" x14ac:dyDescent="0.3">
      <c r="A279">
        <v>278</v>
      </c>
      <c r="B279">
        <v>93</v>
      </c>
      <c r="C279">
        <v>28.772400000000001</v>
      </c>
      <c r="D279">
        <v>-17.239000000000001</v>
      </c>
      <c r="E279" t="s">
        <v>451</v>
      </c>
      <c r="F279" t="s">
        <v>453</v>
      </c>
      <c r="G279" t="s">
        <v>39</v>
      </c>
      <c r="H279">
        <v>1985</v>
      </c>
      <c r="I279">
        <v>23.299999237060501</v>
      </c>
      <c r="J279">
        <v>13.3999996185303</v>
      </c>
      <c r="K279">
        <v>54</v>
      </c>
      <c r="L279">
        <v>27.780000686645501</v>
      </c>
      <c r="M279">
        <v>34.799999237060497</v>
      </c>
      <c r="N279">
        <v>10.3999996185303</v>
      </c>
      <c r="O279">
        <v>24.399999618530298</v>
      </c>
      <c r="P279">
        <v>24.600000381469702</v>
      </c>
      <c r="Q279">
        <v>19.399999618530298</v>
      </c>
      <c r="R279">
        <v>26.399999618530298</v>
      </c>
      <c r="S279">
        <v>19.399999618530298</v>
      </c>
      <c r="T279">
        <v>749</v>
      </c>
      <c r="U279">
        <v>191</v>
      </c>
      <c r="V279">
        <v>0</v>
      </c>
      <c r="W279">
        <v>114</v>
      </c>
      <c r="X279">
        <v>529</v>
      </c>
      <c r="Y279">
        <v>2</v>
      </c>
      <c r="Z279">
        <v>273</v>
      </c>
      <c r="AA279">
        <v>8</v>
      </c>
      <c r="AB279">
        <v>7.9569126932244503</v>
      </c>
      <c r="AC279">
        <v>0.14348784609127899</v>
      </c>
      <c r="AD279">
        <v>4.32934900098725</v>
      </c>
      <c r="AE279">
        <v>0.25136205554008501</v>
      </c>
      <c r="AF279">
        <v>707.76315789473699</v>
      </c>
      <c r="AG279">
        <f>IFERROR(AH279*0.1, "N/A")</f>
        <v>5.8789473684210503</v>
      </c>
      <c r="AH279">
        <v>58.789473684210499</v>
      </c>
      <c r="AI279">
        <v>180.419758671208</v>
      </c>
      <c r="AJ279">
        <v>15.3569078947368</v>
      </c>
      <c r="AK279">
        <v>76.34375</v>
      </c>
    </row>
    <row r="280" spans="1:37" x14ac:dyDescent="0.3">
      <c r="A280">
        <v>279</v>
      </c>
      <c r="B280">
        <v>10</v>
      </c>
      <c r="C280">
        <v>31.091298999999999</v>
      </c>
      <c r="D280">
        <v>-17.233801</v>
      </c>
      <c r="E280" t="s">
        <v>454</v>
      </c>
      <c r="F280" t="s">
        <v>455</v>
      </c>
      <c r="G280" t="s">
        <v>37</v>
      </c>
      <c r="H280">
        <v>1985</v>
      </c>
      <c r="I280">
        <v>17.933772399751501</v>
      </c>
      <c r="J280">
        <v>14.024217555314699</v>
      </c>
      <c r="K280">
        <v>58</v>
      </c>
      <c r="L280">
        <v>32.1753699037153</v>
      </c>
      <c r="M280">
        <v>28.009555225906499</v>
      </c>
      <c r="N280">
        <v>4.01911036068761</v>
      </c>
      <c r="O280">
        <v>23.990444774093501</v>
      </c>
      <c r="P280">
        <v>21.224217856342701</v>
      </c>
      <c r="Q280">
        <v>13.333772649875</v>
      </c>
      <c r="R280">
        <v>21.224217856342701</v>
      </c>
      <c r="S280">
        <v>13.333772649875</v>
      </c>
      <c r="T280">
        <v>845.80560131795698</v>
      </c>
      <c r="U280">
        <v>217</v>
      </c>
      <c r="V280">
        <v>1</v>
      </c>
      <c r="W280">
        <v>110</v>
      </c>
      <c r="X280">
        <v>575.51565074135101</v>
      </c>
      <c r="Y280">
        <v>5</v>
      </c>
      <c r="Z280">
        <v>489.51565074135101</v>
      </c>
      <c r="AA280">
        <v>5</v>
      </c>
      <c r="AB280">
        <v>3.22866544770645</v>
      </c>
      <c r="AC280">
        <v>3.9433773216197698</v>
      </c>
      <c r="AD280">
        <v>1.2529512229429201</v>
      </c>
      <c r="AE280">
        <v>0.26976643004370299</v>
      </c>
      <c r="AF280">
        <v>1132.4744645799001</v>
      </c>
      <c r="AG280">
        <f>IFERROR(AH280*0.1, "N/A")</f>
        <v>5.8087314662273499</v>
      </c>
      <c r="AH280">
        <v>58.087314662273499</v>
      </c>
      <c r="AI280">
        <v>59.153343489770997</v>
      </c>
      <c r="AJ280">
        <v>13.892915980230599</v>
      </c>
      <c r="AK280">
        <v>76.579901153212504</v>
      </c>
    </row>
    <row r="281" spans="1:37" x14ac:dyDescent="0.3">
      <c r="A281">
        <v>280</v>
      </c>
      <c r="B281">
        <v>36</v>
      </c>
      <c r="C281">
        <v>31.091298999999999</v>
      </c>
      <c r="D281">
        <v>-17.233801</v>
      </c>
      <c r="E281" t="s">
        <v>454</v>
      </c>
      <c r="F281" t="s">
        <v>456</v>
      </c>
      <c r="G281" t="s">
        <v>39</v>
      </c>
      <c r="H281">
        <v>1985</v>
      </c>
      <c r="I281">
        <v>17.933772399751501</v>
      </c>
      <c r="J281">
        <v>14.024217555314699</v>
      </c>
      <c r="K281">
        <v>58</v>
      </c>
      <c r="L281">
        <v>32.1753699037153</v>
      </c>
      <c r="M281">
        <v>28.009555225906499</v>
      </c>
      <c r="N281">
        <v>4.01911036068761</v>
      </c>
      <c r="O281">
        <v>23.990444774093501</v>
      </c>
      <c r="P281">
        <v>21.224217856342701</v>
      </c>
      <c r="Q281">
        <v>13.333772649875</v>
      </c>
      <c r="R281">
        <v>21.224217856342701</v>
      </c>
      <c r="S281">
        <v>13.333772649875</v>
      </c>
      <c r="T281">
        <v>845.80560131795698</v>
      </c>
      <c r="U281">
        <v>217</v>
      </c>
      <c r="V281">
        <v>1</v>
      </c>
      <c r="W281">
        <v>110</v>
      </c>
      <c r="X281">
        <v>575.51565074135101</v>
      </c>
      <c r="Y281">
        <v>5</v>
      </c>
      <c r="Z281">
        <v>489.51565074135101</v>
      </c>
      <c r="AA281">
        <v>5</v>
      </c>
      <c r="AB281">
        <v>3.22866544770645</v>
      </c>
      <c r="AC281">
        <v>3.9433773216197698</v>
      </c>
      <c r="AD281">
        <v>1.2529512229429201</v>
      </c>
      <c r="AE281">
        <v>0.26976643004370299</v>
      </c>
      <c r="AF281">
        <v>1132.4744645799001</v>
      </c>
      <c r="AG281">
        <f>IFERROR(AH281*0.1, "N/A")</f>
        <v>5.8087314662273499</v>
      </c>
      <c r="AH281">
        <v>58.087314662273499</v>
      </c>
      <c r="AI281">
        <v>59.153343489770997</v>
      </c>
      <c r="AJ281">
        <v>13.892915980230599</v>
      </c>
      <c r="AK281">
        <v>76.579901153212504</v>
      </c>
    </row>
    <row r="282" spans="1:37" x14ac:dyDescent="0.3">
      <c r="A282">
        <v>281</v>
      </c>
      <c r="B282">
        <v>9</v>
      </c>
      <c r="C282">
        <v>32.974800000000002</v>
      </c>
      <c r="D282">
        <v>-17.2318</v>
      </c>
      <c r="E282" t="s">
        <v>457</v>
      </c>
      <c r="F282" t="s">
        <v>458</v>
      </c>
      <c r="G282" t="s">
        <v>37</v>
      </c>
      <c r="H282">
        <v>1985</v>
      </c>
      <c r="I282">
        <v>22.490983572162602</v>
      </c>
      <c r="J282">
        <v>13.5</v>
      </c>
      <c r="K282">
        <v>61</v>
      </c>
      <c r="L282">
        <v>26.095656535664499</v>
      </c>
      <c r="M282">
        <v>32.690984163128</v>
      </c>
      <c r="N282">
        <v>10.699999809265099</v>
      </c>
      <c r="O282">
        <v>21.990983572162602</v>
      </c>
      <c r="P282">
        <v>24.5909839536323</v>
      </c>
      <c r="Q282">
        <v>19.990983572162602</v>
      </c>
      <c r="R282">
        <v>24.890983190692801</v>
      </c>
      <c r="S282">
        <v>18.5</v>
      </c>
      <c r="T282">
        <v>657.54098360655701</v>
      </c>
      <c r="U282">
        <v>195.09016393442599</v>
      </c>
      <c r="V282">
        <v>0</v>
      </c>
      <c r="W282">
        <v>120.909836065574</v>
      </c>
      <c r="X282">
        <v>487.27049180327901</v>
      </c>
      <c r="Y282">
        <v>2.0901639344262302</v>
      </c>
      <c r="Z282">
        <v>214.09016393442599</v>
      </c>
      <c r="AA282">
        <v>6.0901639344262302</v>
      </c>
      <c r="AB282">
        <v>22.943427314132901</v>
      </c>
      <c r="AC282">
        <v>8.6536245909140004E-3</v>
      </c>
      <c r="AD282">
        <v>2.56017005228605</v>
      </c>
      <c r="AE282">
        <v>0.27896180748939498</v>
      </c>
      <c r="AF282">
        <v>574.41967213114799</v>
      </c>
      <c r="AG282">
        <f>IFERROR(AH282*0.1, "N/A")</f>
        <v>5.729836065573771</v>
      </c>
      <c r="AH282">
        <v>57.298360655737703</v>
      </c>
      <c r="AI282">
        <v>255.69917532498701</v>
      </c>
      <c r="AJ282">
        <v>20.9688524590164</v>
      </c>
      <c r="AK282">
        <v>70.031147540983596</v>
      </c>
    </row>
    <row r="283" spans="1:37" x14ac:dyDescent="0.3">
      <c r="A283">
        <v>282</v>
      </c>
      <c r="B283">
        <v>62</v>
      </c>
      <c r="C283">
        <v>32.974800000000002</v>
      </c>
      <c r="D283">
        <v>-17.2318</v>
      </c>
      <c r="E283" t="s">
        <v>457</v>
      </c>
      <c r="F283" t="s">
        <v>459</v>
      </c>
      <c r="G283" t="s">
        <v>39</v>
      </c>
      <c r="H283">
        <v>1985</v>
      </c>
      <c r="I283">
        <v>22.490983572162602</v>
      </c>
      <c r="J283">
        <v>13.5</v>
      </c>
      <c r="K283">
        <v>61</v>
      </c>
      <c r="L283">
        <v>26.095656535664499</v>
      </c>
      <c r="M283">
        <v>32.690984163128</v>
      </c>
      <c r="N283">
        <v>10.699999809265099</v>
      </c>
      <c r="O283">
        <v>21.990983572162602</v>
      </c>
      <c r="P283">
        <v>24.5909839536323</v>
      </c>
      <c r="Q283">
        <v>19.990983572162602</v>
      </c>
      <c r="R283">
        <v>24.890983190692801</v>
      </c>
      <c r="S283">
        <v>18.5</v>
      </c>
      <c r="T283">
        <v>657.54098360655701</v>
      </c>
      <c r="U283">
        <v>195.09016393442599</v>
      </c>
      <c r="V283">
        <v>0</v>
      </c>
      <c r="W283">
        <v>120.909836065574</v>
      </c>
      <c r="X283">
        <v>487.27049180327901</v>
      </c>
      <c r="Y283">
        <v>2.0901639344262302</v>
      </c>
      <c r="Z283">
        <v>214.09016393442599</v>
      </c>
      <c r="AA283">
        <v>6.0901639344262302</v>
      </c>
      <c r="AB283">
        <v>22.943427314132901</v>
      </c>
      <c r="AC283">
        <v>8.6536245909140004E-3</v>
      </c>
      <c r="AD283">
        <v>2.56017005228605</v>
      </c>
      <c r="AE283">
        <v>0.27896180748939498</v>
      </c>
      <c r="AF283">
        <v>574.41967213114799</v>
      </c>
      <c r="AG283">
        <f>IFERROR(AH283*0.1, "N/A")</f>
        <v>5.729836065573771</v>
      </c>
      <c r="AH283">
        <v>57.298360655737703</v>
      </c>
      <c r="AI283">
        <v>255.69917532498701</v>
      </c>
      <c r="AJ283">
        <v>20.9688524590164</v>
      </c>
      <c r="AK283">
        <v>70.031147540983596</v>
      </c>
    </row>
    <row r="284" spans="1:37" x14ac:dyDescent="0.3">
      <c r="A284">
        <v>283</v>
      </c>
      <c r="B284">
        <v>15</v>
      </c>
      <c r="C284">
        <v>31.501801</v>
      </c>
      <c r="D284">
        <v>-17.208500000000001</v>
      </c>
      <c r="E284" t="s">
        <v>460</v>
      </c>
      <c r="F284" t="s">
        <v>461</v>
      </c>
      <c r="G284" t="s">
        <v>37</v>
      </c>
      <c r="H284">
        <v>1985</v>
      </c>
      <c r="I284">
        <v>18.988614242855899</v>
      </c>
      <c r="J284">
        <v>14.1331680836064</v>
      </c>
      <c r="K284">
        <v>56.777227722772302</v>
      </c>
      <c r="L284">
        <v>31.655346492729599</v>
      </c>
      <c r="M284">
        <v>29.721781966709901</v>
      </c>
      <c r="N284">
        <v>4.9331682743412397</v>
      </c>
      <c r="O284">
        <v>24.7886134799164</v>
      </c>
      <c r="P284">
        <v>21.8108907926201</v>
      </c>
      <c r="Q284">
        <v>14.4108911740898</v>
      </c>
      <c r="R284">
        <v>22.088614624325601</v>
      </c>
      <c r="S284">
        <v>14.4108911740898</v>
      </c>
      <c r="T284">
        <v>847.77722772277195</v>
      </c>
      <c r="U284">
        <v>223</v>
      </c>
      <c r="V284">
        <v>0</v>
      </c>
      <c r="W284">
        <v>112</v>
      </c>
      <c r="X284">
        <v>574.55445544554505</v>
      </c>
      <c r="Y284">
        <v>4</v>
      </c>
      <c r="Z284">
        <v>338.668316831683</v>
      </c>
      <c r="AA284">
        <v>4</v>
      </c>
      <c r="AB284">
        <v>198.17185465494799</v>
      </c>
      <c r="AC284">
        <v>8.1723991154440002E-3</v>
      </c>
      <c r="AD284">
        <v>13.931871881579401</v>
      </c>
      <c r="AE284">
        <v>0.25135442614555398</v>
      </c>
      <c r="AF284">
        <v>1301.9603960396</v>
      </c>
      <c r="AG284">
        <f>IFERROR(AH284*0.1, "N/A")</f>
        <v>5.4749174917491708</v>
      </c>
      <c r="AH284">
        <v>54.7491749174917</v>
      </c>
      <c r="AI284">
        <v>221.849573292748</v>
      </c>
      <c r="AJ284">
        <v>22.575907590759101</v>
      </c>
      <c r="AK284">
        <v>64.9158415841584</v>
      </c>
    </row>
    <row r="285" spans="1:37" x14ac:dyDescent="0.3">
      <c r="A285">
        <v>284</v>
      </c>
      <c r="B285">
        <v>79</v>
      </c>
      <c r="C285">
        <v>31.501801</v>
      </c>
      <c r="D285">
        <v>-17.208500000000001</v>
      </c>
      <c r="E285" t="s">
        <v>460</v>
      </c>
      <c r="F285" t="s">
        <v>462</v>
      </c>
      <c r="G285" t="s">
        <v>39</v>
      </c>
      <c r="H285">
        <v>1985</v>
      </c>
      <c r="I285">
        <v>18.988614242855899</v>
      </c>
      <c r="J285">
        <v>14.1331680836064</v>
      </c>
      <c r="K285">
        <v>56.777227722772302</v>
      </c>
      <c r="L285">
        <v>31.655346492729599</v>
      </c>
      <c r="M285">
        <v>29.721781966709901</v>
      </c>
      <c r="N285">
        <v>4.9331682743412397</v>
      </c>
      <c r="O285">
        <v>24.7886134799164</v>
      </c>
      <c r="P285">
        <v>21.8108907926201</v>
      </c>
      <c r="Q285">
        <v>14.4108911740898</v>
      </c>
      <c r="R285">
        <v>22.088614624325601</v>
      </c>
      <c r="S285">
        <v>14.4108911740898</v>
      </c>
      <c r="T285">
        <v>847.77722772277195</v>
      </c>
      <c r="U285">
        <v>223</v>
      </c>
      <c r="V285">
        <v>0</v>
      </c>
      <c r="W285">
        <v>112</v>
      </c>
      <c r="X285">
        <v>574.55445544554505</v>
      </c>
      <c r="Y285">
        <v>4</v>
      </c>
      <c r="Z285">
        <v>338.668316831683</v>
      </c>
      <c r="AA285">
        <v>4</v>
      </c>
      <c r="AB285">
        <v>198.17185465494799</v>
      </c>
      <c r="AC285">
        <v>8.1723991154440002E-3</v>
      </c>
      <c r="AD285">
        <v>13.931871881579401</v>
      </c>
      <c r="AE285">
        <v>0.25135442614555398</v>
      </c>
      <c r="AF285">
        <v>1301.9603960396</v>
      </c>
      <c r="AG285">
        <f>IFERROR(AH285*0.1, "N/A")</f>
        <v>5.4749174917491708</v>
      </c>
      <c r="AH285">
        <v>54.7491749174917</v>
      </c>
      <c r="AI285">
        <v>221.849573292748</v>
      </c>
      <c r="AJ285">
        <v>22.575907590759101</v>
      </c>
      <c r="AK285">
        <v>64.9158415841584</v>
      </c>
    </row>
    <row r="286" spans="1:37" x14ac:dyDescent="0.3">
      <c r="A286">
        <v>285</v>
      </c>
      <c r="B286">
        <v>11</v>
      </c>
      <c r="C286">
        <v>32.241100000000003</v>
      </c>
      <c r="D286">
        <v>-17.205500000000001</v>
      </c>
      <c r="E286" t="s">
        <v>463</v>
      </c>
      <c r="F286" t="s">
        <v>464</v>
      </c>
      <c r="G286" t="s">
        <v>37</v>
      </c>
      <c r="H286">
        <v>1985</v>
      </c>
      <c r="I286">
        <v>20.875452572667001</v>
      </c>
      <c r="J286">
        <v>13.699999809265099</v>
      </c>
      <c r="K286">
        <v>58</v>
      </c>
      <c r="L286">
        <v>29.617265009997901</v>
      </c>
      <c r="M286">
        <v>31.124547427332999</v>
      </c>
      <c r="N286">
        <v>7.7245468551283798</v>
      </c>
      <c r="O286">
        <v>23.399999618530298</v>
      </c>
      <c r="P286">
        <v>23.3509059949997</v>
      </c>
      <c r="Q286">
        <v>16.399999618530298</v>
      </c>
      <c r="R286">
        <v>23.675453717076199</v>
      </c>
      <c r="S286">
        <v>16.399999618530298</v>
      </c>
      <c r="T286">
        <v>653.49093904448102</v>
      </c>
      <c r="U286">
        <v>188</v>
      </c>
      <c r="V286">
        <v>0</v>
      </c>
      <c r="W286">
        <v>117</v>
      </c>
      <c r="X286">
        <v>470.24546952224102</v>
      </c>
      <c r="Y286">
        <v>6</v>
      </c>
      <c r="Z286">
        <v>214</v>
      </c>
      <c r="AA286">
        <v>6</v>
      </c>
      <c r="AB286">
        <v>2.1222793604239598</v>
      </c>
      <c r="AC286">
        <v>6.1980257071140397</v>
      </c>
      <c r="AD286">
        <v>1.5599986579901299</v>
      </c>
      <c r="AE286">
        <v>0.50355643033981301</v>
      </c>
      <c r="AF286">
        <v>819.20757825370697</v>
      </c>
      <c r="AG286">
        <f>IFERROR(AH286*0.1, "N/A")</f>
        <v>6.6754530477759504</v>
      </c>
      <c r="AH286">
        <v>66.754530477759502</v>
      </c>
      <c r="AI286">
        <v>236.39847817334501</v>
      </c>
      <c r="AJ286">
        <v>25</v>
      </c>
      <c r="AK286">
        <v>59.245469522240498</v>
      </c>
    </row>
    <row r="287" spans="1:37" x14ac:dyDescent="0.3">
      <c r="A287">
        <v>286</v>
      </c>
      <c r="B287">
        <v>50</v>
      </c>
      <c r="C287">
        <v>32.241100000000003</v>
      </c>
      <c r="D287">
        <v>-17.205500000000001</v>
      </c>
      <c r="E287" t="s">
        <v>463</v>
      </c>
      <c r="F287" t="s">
        <v>465</v>
      </c>
      <c r="G287" t="s">
        <v>39</v>
      </c>
      <c r="H287">
        <v>1985</v>
      </c>
      <c r="I287">
        <v>20.875452572667001</v>
      </c>
      <c r="J287">
        <v>13.699999809265099</v>
      </c>
      <c r="K287">
        <v>58</v>
      </c>
      <c r="L287">
        <v>29.617265009997901</v>
      </c>
      <c r="M287">
        <v>31.124547427332999</v>
      </c>
      <c r="N287">
        <v>7.7245468551283798</v>
      </c>
      <c r="O287">
        <v>23.399999618530298</v>
      </c>
      <c r="P287">
        <v>23.3509059949997</v>
      </c>
      <c r="Q287">
        <v>16.399999618530298</v>
      </c>
      <c r="R287">
        <v>23.675453717076199</v>
      </c>
      <c r="S287">
        <v>16.399999618530298</v>
      </c>
      <c r="T287">
        <v>653.49093904448102</v>
      </c>
      <c r="U287">
        <v>188</v>
      </c>
      <c r="V287">
        <v>0</v>
      </c>
      <c r="W287">
        <v>117</v>
      </c>
      <c r="X287">
        <v>470.24546952224102</v>
      </c>
      <c r="Y287">
        <v>6</v>
      </c>
      <c r="Z287">
        <v>214</v>
      </c>
      <c r="AA287">
        <v>6</v>
      </c>
      <c r="AB287">
        <v>2.1222793604239598</v>
      </c>
      <c r="AC287">
        <v>6.1980257071140397</v>
      </c>
      <c r="AD287">
        <v>1.5599986579901299</v>
      </c>
      <c r="AE287">
        <v>0.50355643033981301</v>
      </c>
      <c r="AF287">
        <v>819.20757825370697</v>
      </c>
      <c r="AG287">
        <f>IFERROR(AH287*0.1, "N/A")</f>
        <v>6.6754530477759504</v>
      </c>
      <c r="AH287">
        <v>66.754530477759502</v>
      </c>
      <c r="AI287">
        <v>236.39847817334501</v>
      </c>
      <c r="AJ287">
        <v>25</v>
      </c>
      <c r="AK287">
        <v>59.245469522240498</v>
      </c>
    </row>
    <row r="288" spans="1:37" x14ac:dyDescent="0.3">
      <c r="A288">
        <v>287</v>
      </c>
      <c r="B288">
        <v>9</v>
      </c>
      <c r="C288">
        <v>31.217400000000001</v>
      </c>
      <c r="D288">
        <v>-17.165500999999999</v>
      </c>
      <c r="E288" t="s">
        <v>466</v>
      </c>
      <c r="F288" t="s">
        <v>467</v>
      </c>
      <c r="G288" t="s">
        <v>37</v>
      </c>
      <c r="H288">
        <v>1985</v>
      </c>
      <c r="I288">
        <v>17.299999237060501</v>
      </c>
      <c r="J288">
        <v>13.8999996185303</v>
      </c>
      <c r="K288">
        <v>58</v>
      </c>
      <c r="L288">
        <v>33.720001220703097</v>
      </c>
      <c r="M288">
        <v>27.100000381469702</v>
      </c>
      <c r="N288">
        <v>3.2999999523162802</v>
      </c>
      <c r="O288">
        <v>23.799999237060501</v>
      </c>
      <c r="P288">
        <v>20.899999618530298</v>
      </c>
      <c r="Q288">
        <v>12.6000003814697</v>
      </c>
      <c r="R288">
        <v>20.899999618530298</v>
      </c>
      <c r="S288">
        <v>12.6000003814697</v>
      </c>
      <c r="T288">
        <v>837</v>
      </c>
      <c r="U288">
        <v>219</v>
      </c>
      <c r="V288">
        <v>0</v>
      </c>
      <c r="W288">
        <v>112</v>
      </c>
      <c r="X288">
        <v>571</v>
      </c>
      <c r="Y288">
        <v>4</v>
      </c>
      <c r="Z288">
        <v>491</v>
      </c>
      <c r="AA288">
        <v>4</v>
      </c>
      <c r="AB288">
        <v>10.494742919116099</v>
      </c>
      <c r="AC288">
        <v>0.83100426161704799</v>
      </c>
      <c r="AD288">
        <v>5.9264880721718596</v>
      </c>
      <c r="AE288">
        <v>0.25424152612686202</v>
      </c>
      <c r="AF288">
        <v>1152.8828382838301</v>
      </c>
      <c r="AG288">
        <f>IFERROR(AH288*0.1, "N/A")</f>
        <v>5.6146864686468598</v>
      </c>
      <c r="AH288">
        <v>56.146864686468597</v>
      </c>
      <c r="AI288">
        <v>54.239600848836901</v>
      </c>
      <c r="AJ288">
        <v>18.1468646864686</v>
      </c>
      <c r="AK288">
        <v>71</v>
      </c>
    </row>
    <row r="289" spans="1:37" x14ac:dyDescent="0.3">
      <c r="A289">
        <v>288</v>
      </c>
      <c r="B289">
        <v>71</v>
      </c>
      <c r="C289">
        <v>31.217400000000001</v>
      </c>
      <c r="D289">
        <v>-17.165500999999999</v>
      </c>
      <c r="E289" t="s">
        <v>466</v>
      </c>
      <c r="F289" t="s">
        <v>468</v>
      </c>
      <c r="G289" t="s">
        <v>39</v>
      </c>
      <c r="H289">
        <v>1985</v>
      </c>
      <c r="I289">
        <v>17.299999237060501</v>
      </c>
      <c r="J289">
        <v>13.8999996185303</v>
      </c>
      <c r="K289">
        <v>58</v>
      </c>
      <c r="L289">
        <v>33.720001220703097</v>
      </c>
      <c r="M289">
        <v>27.100000381469702</v>
      </c>
      <c r="N289">
        <v>3.2999999523162802</v>
      </c>
      <c r="O289">
        <v>23.799999237060501</v>
      </c>
      <c r="P289">
        <v>20.899999618530298</v>
      </c>
      <c r="Q289">
        <v>12.6000003814697</v>
      </c>
      <c r="R289">
        <v>20.899999618530298</v>
      </c>
      <c r="S289">
        <v>12.6000003814697</v>
      </c>
      <c r="T289">
        <v>837</v>
      </c>
      <c r="U289">
        <v>219</v>
      </c>
      <c r="V289">
        <v>0</v>
      </c>
      <c r="W289">
        <v>112</v>
      </c>
      <c r="X289">
        <v>571</v>
      </c>
      <c r="Y289">
        <v>4</v>
      </c>
      <c r="Z289">
        <v>491</v>
      </c>
      <c r="AA289">
        <v>4</v>
      </c>
      <c r="AB289">
        <v>10.494742919116099</v>
      </c>
      <c r="AC289">
        <v>0.83100426161704799</v>
      </c>
      <c r="AD289">
        <v>5.9264880721718596</v>
      </c>
      <c r="AE289">
        <v>0.25424152612686202</v>
      </c>
      <c r="AF289">
        <v>1152.8828382838301</v>
      </c>
      <c r="AG289">
        <f>IFERROR(AH289*0.1, "N/A")</f>
        <v>5.6146864686468598</v>
      </c>
      <c r="AH289">
        <v>56.146864686468597</v>
      </c>
      <c r="AI289">
        <v>54.239600848836901</v>
      </c>
      <c r="AJ289">
        <v>18.1468646864686</v>
      </c>
      <c r="AK289">
        <v>71</v>
      </c>
    </row>
    <row r="290" spans="1:37" x14ac:dyDescent="0.3">
      <c r="A290">
        <v>289</v>
      </c>
      <c r="B290">
        <v>2</v>
      </c>
      <c r="C290">
        <v>30.311501</v>
      </c>
      <c r="D290">
        <v>-17.149699999999999</v>
      </c>
      <c r="E290" t="s">
        <v>469</v>
      </c>
      <c r="F290" t="s">
        <v>470</v>
      </c>
      <c r="G290" t="s">
        <v>37</v>
      </c>
      <c r="H290">
        <v>1985</v>
      </c>
      <c r="I290">
        <v>18.600000381469702</v>
      </c>
      <c r="J290">
        <v>13.6000003814697</v>
      </c>
      <c r="K290">
        <v>57.548599670510697</v>
      </c>
      <c r="L290">
        <v>29.513887245140499</v>
      </c>
      <c r="M290">
        <v>28.745140107106099</v>
      </c>
      <c r="N290">
        <v>5.3000001907348597</v>
      </c>
      <c r="O290">
        <v>23.445139823674801</v>
      </c>
      <c r="P290">
        <v>21.200000762939499</v>
      </c>
      <c r="Q290">
        <v>14.3451399653905</v>
      </c>
      <c r="R290">
        <v>21.399999618530298</v>
      </c>
      <c r="S290">
        <v>14.300000190734901</v>
      </c>
      <c r="T290">
        <v>837.45140032948996</v>
      </c>
      <c r="U290">
        <v>202</v>
      </c>
      <c r="V290">
        <v>1</v>
      </c>
      <c r="W290">
        <v>108</v>
      </c>
      <c r="X290">
        <v>566</v>
      </c>
      <c r="Y290">
        <v>6</v>
      </c>
      <c r="Z290">
        <v>486</v>
      </c>
      <c r="AA290">
        <v>12</v>
      </c>
      <c r="AB290">
        <v>36.027360240552902</v>
      </c>
      <c r="AC290">
        <v>1.8935658987396999E-2</v>
      </c>
      <c r="AD290">
        <v>3.19116339416441</v>
      </c>
      <c r="AE290">
        <v>0.258141189813614</v>
      </c>
      <c r="AF290">
        <v>1107.8566721581601</v>
      </c>
      <c r="AG290">
        <f>IFERROR(AH290*0.1, "N/A")</f>
        <v>5.7</v>
      </c>
      <c r="AH290">
        <v>57</v>
      </c>
      <c r="AI290">
        <v>183.29356964023299</v>
      </c>
      <c r="AJ290">
        <v>16</v>
      </c>
      <c r="AK290">
        <v>67</v>
      </c>
    </row>
    <row r="291" spans="1:37" x14ac:dyDescent="0.3">
      <c r="A291">
        <v>290</v>
      </c>
      <c r="B291">
        <v>42</v>
      </c>
      <c r="C291">
        <v>30.311501</v>
      </c>
      <c r="D291">
        <v>-17.149699999999999</v>
      </c>
      <c r="E291" t="s">
        <v>469</v>
      </c>
      <c r="F291" t="s">
        <v>471</v>
      </c>
      <c r="G291" t="s">
        <v>39</v>
      </c>
      <c r="H291">
        <v>1985</v>
      </c>
      <c r="I291">
        <v>18.600000381469702</v>
      </c>
      <c r="J291">
        <v>13.6000003814697</v>
      </c>
      <c r="K291">
        <v>57.548599670510697</v>
      </c>
      <c r="L291">
        <v>29.513887245140499</v>
      </c>
      <c r="M291">
        <v>28.745140107106099</v>
      </c>
      <c r="N291">
        <v>5.3000001907348597</v>
      </c>
      <c r="O291">
        <v>23.445139823674801</v>
      </c>
      <c r="P291">
        <v>21.200000762939499</v>
      </c>
      <c r="Q291">
        <v>14.3451399653905</v>
      </c>
      <c r="R291">
        <v>21.399999618530298</v>
      </c>
      <c r="S291">
        <v>14.300000190734901</v>
      </c>
      <c r="T291">
        <v>837.45140032948996</v>
      </c>
      <c r="U291">
        <v>202</v>
      </c>
      <c r="V291">
        <v>1</v>
      </c>
      <c r="W291">
        <v>108</v>
      </c>
      <c r="X291">
        <v>566</v>
      </c>
      <c r="Y291">
        <v>6</v>
      </c>
      <c r="Z291">
        <v>486</v>
      </c>
      <c r="AA291">
        <v>12</v>
      </c>
      <c r="AB291">
        <v>36.027360240552902</v>
      </c>
      <c r="AC291">
        <v>1.8935658987396999E-2</v>
      </c>
      <c r="AD291">
        <v>3.19116339416441</v>
      </c>
      <c r="AE291">
        <v>0.258141189813614</v>
      </c>
      <c r="AF291">
        <v>1107.8566721581601</v>
      </c>
      <c r="AG291">
        <f>IFERROR(AH291*0.1, "N/A")</f>
        <v>5.7</v>
      </c>
      <c r="AH291">
        <v>57</v>
      </c>
      <c r="AI291">
        <v>183.29356964023299</v>
      </c>
      <c r="AJ291">
        <v>16</v>
      </c>
      <c r="AK291">
        <v>67</v>
      </c>
    </row>
    <row r="292" spans="1:37" x14ac:dyDescent="0.3">
      <c r="A292">
        <v>291</v>
      </c>
      <c r="B292">
        <v>9</v>
      </c>
      <c r="C292">
        <v>30.919599999999999</v>
      </c>
      <c r="D292">
        <v>-17.133300999999999</v>
      </c>
      <c r="E292" t="s">
        <v>472</v>
      </c>
      <c r="F292" t="s">
        <v>473</v>
      </c>
      <c r="G292" t="s">
        <v>37</v>
      </c>
      <c r="H292">
        <v>1985</v>
      </c>
      <c r="I292">
        <v>17.5727725548319</v>
      </c>
      <c r="J292">
        <v>12.5</v>
      </c>
      <c r="K292">
        <v>55</v>
      </c>
      <c r="L292">
        <v>28.7445043053958</v>
      </c>
      <c r="M292">
        <v>27.772771929750402</v>
      </c>
      <c r="N292">
        <v>5.3000001907348597</v>
      </c>
      <c r="O292">
        <v>22.472772173362198</v>
      </c>
      <c r="P292">
        <v>19.8727717918925</v>
      </c>
      <c r="Q292">
        <v>13.3455442249185</v>
      </c>
      <c r="R292">
        <v>20.272771929750299</v>
      </c>
      <c r="S292">
        <v>13.3455442249185</v>
      </c>
      <c r="T292">
        <v>915</v>
      </c>
      <c r="U292">
        <v>227</v>
      </c>
      <c r="V292">
        <v>1</v>
      </c>
      <c r="W292">
        <v>109</v>
      </c>
      <c r="X292">
        <v>613</v>
      </c>
      <c r="Y292">
        <v>5</v>
      </c>
      <c r="Z292">
        <v>311.27227722772301</v>
      </c>
      <c r="AA292">
        <v>5</v>
      </c>
      <c r="AB292">
        <v>36.4133764084416</v>
      </c>
      <c r="AC292">
        <v>1.5420393578757E-2</v>
      </c>
      <c r="AD292">
        <v>2.44443144282886</v>
      </c>
      <c r="AE292">
        <v>0.28066689926798999</v>
      </c>
      <c r="AF292">
        <v>1468.09570957096</v>
      </c>
      <c r="AG292">
        <f>IFERROR(AH292*0.1, "N/A")</f>
        <v>5.5877887788778899</v>
      </c>
      <c r="AH292">
        <v>55.877887788778899</v>
      </c>
      <c r="AI292">
        <v>98.433055525172307</v>
      </c>
      <c r="AJ292">
        <v>25</v>
      </c>
      <c r="AK292">
        <v>61.244224422442301</v>
      </c>
    </row>
    <row r="293" spans="1:37" x14ac:dyDescent="0.3">
      <c r="A293">
        <v>292</v>
      </c>
      <c r="B293">
        <v>80</v>
      </c>
      <c r="C293">
        <v>30.919599999999999</v>
      </c>
      <c r="D293">
        <v>-17.133300999999999</v>
      </c>
      <c r="E293" t="s">
        <v>472</v>
      </c>
      <c r="F293" t="s">
        <v>474</v>
      </c>
      <c r="G293" t="s">
        <v>39</v>
      </c>
      <c r="H293">
        <v>1985</v>
      </c>
      <c r="I293">
        <v>17.5727725548319</v>
      </c>
      <c r="J293">
        <v>12.5</v>
      </c>
      <c r="K293">
        <v>55</v>
      </c>
      <c r="L293">
        <v>28.7445043053958</v>
      </c>
      <c r="M293">
        <v>27.772771929750402</v>
      </c>
      <c r="N293">
        <v>5.3000001907348597</v>
      </c>
      <c r="O293">
        <v>22.472772173362198</v>
      </c>
      <c r="P293">
        <v>19.8727717918925</v>
      </c>
      <c r="Q293">
        <v>13.3455442249185</v>
      </c>
      <c r="R293">
        <v>20.272771929750299</v>
      </c>
      <c r="S293">
        <v>13.3455442249185</v>
      </c>
      <c r="T293">
        <v>915</v>
      </c>
      <c r="U293">
        <v>227</v>
      </c>
      <c r="V293">
        <v>1</v>
      </c>
      <c r="W293">
        <v>109</v>
      </c>
      <c r="X293">
        <v>613</v>
      </c>
      <c r="Y293">
        <v>5</v>
      </c>
      <c r="Z293">
        <v>311.27227722772301</v>
      </c>
      <c r="AA293">
        <v>5</v>
      </c>
      <c r="AB293">
        <v>36.4133764084416</v>
      </c>
      <c r="AC293">
        <v>1.5420393578757E-2</v>
      </c>
      <c r="AD293">
        <v>2.44443144282886</v>
      </c>
      <c r="AE293">
        <v>0.28066689926798999</v>
      </c>
      <c r="AF293">
        <v>1468.09570957096</v>
      </c>
      <c r="AG293">
        <f>IFERROR(AH293*0.1, "N/A")</f>
        <v>5.5877887788778899</v>
      </c>
      <c r="AH293">
        <v>55.877887788778899</v>
      </c>
      <c r="AI293">
        <v>98.433055525172307</v>
      </c>
      <c r="AJ293">
        <v>25</v>
      </c>
      <c r="AK293">
        <v>61.244224422442301</v>
      </c>
    </row>
    <row r="294" spans="1:37" x14ac:dyDescent="0.3">
      <c r="A294">
        <v>293</v>
      </c>
      <c r="B294">
        <v>15</v>
      </c>
      <c r="C294">
        <v>31.300501000000001</v>
      </c>
      <c r="D294">
        <v>-17.085501000000001</v>
      </c>
      <c r="E294" t="s">
        <v>475</v>
      </c>
      <c r="F294" t="s">
        <v>476</v>
      </c>
      <c r="G294" t="s">
        <v>37</v>
      </c>
      <c r="H294">
        <v>1985</v>
      </c>
      <c r="I294">
        <v>16.854604924979999</v>
      </c>
      <c r="J294">
        <v>13.4886512724977</v>
      </c>
      <c r="K294">
        <v>58</v>
      </c>
      <c r="L294">
        <v>34.112912686247597</v>
      </c>
      <c r="M294">
        <v>26.331907469975299</v>
      </c>
      <c r="N294">
        <v>3.1659540004636102</v>
      </c>
      <c r="O294">
        <v>23.165954580432501</v>
      </c>
      <c r="P294">
        <v>20.4773025449954</v>
      </c>
      <c r="Q294">
        <v>12.0546055796899</v>
      </c>
      <c r="R294">
        <v>20.4773025449954</v>
      </c>
      <c r="S294">
        <v>12.0546055796899</v>
      </c>
      <c r="T294">
        <v>838.45394736842104</v>
      </c>
      <c r="U294">
        <v>223.886513157895</v>
      </c>
      <c r="V294">
        <v>0</v>
      </c>
      <c r="W294">
        <v>113.773026315789</v>
      </c>
      <c r="X294">
        <v>576.11348684210498</v>
      </c>
      <c r="Y294">
        <v>3</v>
      </c>
      <c r="Z294">
        <v>505.19243421052602</v>
      </c>
      <c r="AA294">
        <v>3</v>
      </c>
      <c r="AB294">
        <v>74.900296462209596</v>
      </c>
      <c r="AC294">
        <v>8.2583933989030002E-3</v>
      </c>
      <c r="AD294">
        <v>7.1563603234918496</v>
      </c>
      <c r="AE294">
        <v>0.25189936161041299</v>
      </c>
      <c r="AF294">
        <v>1283.92598684211</v>
      </c>
      <c r="AG294">
        <f>IFERROR(AH294*0.1, "N/A")</f>
        <v>5.6000000000000005</v>
      </c>
      <c r="AH294">
        <v>56</v>
      </c>
      <c r="AI294">
        <v>284.585691602606</v>
      </c>
      <c r="AJ294">
        <v>21.128289473684202</v>
      </c>
      <c r="AK294">
        <v>67.355263157894697</v>
      </c>
    </row>
    <row r="295" spans="1:37" x14ac:dyDescent="0.3">
      <c r="A295">
        <v>294</v>
      </c>
      <c r="B295">
        <v>83</v>
      </c>
      <c r="C295">
        <v>31.300501000000001</v>
      </c>
      <c r="D295">
        <v>-17.085501000000001</v>
      </c>
      <c r="E295" t="s">
        <v>475</v>
      </c>
      <c r="F295" t="s">
        <v>477</v>
      </c>
      <c r="G295" t="s">
        <v>39</v>
      </c>
      <c r="H295">
        <v>1985</v>
      </c>
      <c r="I295">
        <v>16.854604924979999</v>
      </c>
      <c r="J295">
        <v>13.4886512724977</v>
      </c>
      <c r="K295">
        <v>58</v>
      </c>
      <c r="L295">
        <v>34.112912686247597</v>
      </c>
      <c r="M295">
        <v>26.331907469975299</v>
      </c>
      <c r="N295">
        <v>3.1659540004636102</v>
      </c>
      <c r="O295">
        <v>23.165954580432501</v>
      </c>
      <c r="P295">
        <v>20.4773025449954</v>
      </c>
      <c r="Q295">
        <v>12.0546055796899</v>
      </c>
      <c r="R295">
        <v>20.4773025449954</v>
      </c>
      <c r="S295">
        <v>12.0546055796899</v>
      </c>
      <c r="T295">
        <v>838.45394736842104</v>
      </c>
      <c r="U295">
        <v>223.886513157895</v>
      </c>
      <c r="V295">
        <v>0</v>
      </c>
      <c r="W295">
        <v>113.773026315789</v>
      </c>
      <c r="X295">
        <v>576.11348684210498</v>
      </c>
      <c r="Y295">
        <v>3</v>
      </c>
      <c r="Z295">
        <v>505.19243421052602</v>
      </c>
      <c r="AA295">
        <v>3</v>
      </c>
      <c r="AB295">
        <v>74.900296462209596</v>
      </c>
      <c r="AC295">
        <v>8.2583933989030002E-3</v>
      </c>
      <c r="AD295">
        <v>7.1563603234918496</v>
      </c>
      <c r="AE295">
        <v>0.25189936161041299</v>
      </c>
      <c r="AF295">
        <v>1283.92598684211</v>
      </c>
      <c r="AG295">
        <f>IFERROR(AH295*0.1, "N/A")</f>
        <v>5.6000000000000005</v>
      </c>
      <c r="AH295">
        <v>56</v>
      </c>
      <c r="AI295">
        <v>284.585691602606</v>
      </c>
      <c r="AJ295">
        <v>21.128289473684202</v>
      </c>
      <c r="AK295">
        <v>67.355263157894697</v>
      </c>
    </row>
    <row r="296" spans="1:37" x14ac:dyDescent="0.3">
      <c r="A296">
        <v>295</v>
      </c>
      <c r="B296">
        <v>20</v>
      </c>
      <c r="C296">
        <v>28.331399999999999</v>
      </c>
      <c r="D296">
        <v>-17.066099000000001</v>
      </c>
      <c r="E296" t="s">
        <v>478</v>
      </c>
      <c r="F296" t="s">
        <v>479</v>
      </c>
      <c r="G296" t="s">
        <v>37</v>
      </c>
      <c r="H296">
        <v>1985</v>
      </c>
      <c r="I296">
        <v>23.399999618530298</v>
      </c>
      <c r="J296">
        <v>13.5</v>
      </c>
      <c r="K296">
        <v>54</v>
      </c>
      <c r="L296">
        <v>27.709999084472699</v>
      </c>
      <c r="M296">
        <v>35.200000762939503</v>
      </c>
      <c r="N296">
        <v>10.3999996185303</v>
      </c>
      <c r="O296">
        <v>24.799999237060501</v>
      </c>
      <c r="P296">
        <v>24.399999618530298</v>
      </c>
      <c r="Q296">
        <v>19.600000381469702</v>
      </c>
      <c r="R296">
        <v>26.5</v>
      </c>
      <c r="S296">
        <v>19.5</v>
      </c>
      <c r="T296">
        <v>739</v>
      </c>
      <c r="U296">
        <v>190</v>
      </c>
      <c r="V296">
        <v>0</v>
      </c>
      <c r="W296">
        <v>117</v>
      </c>
      <c r="X296">
        <v>533</v>
      </c>
      <c r="Y296">
        <v>2</v>
      </c>
      <c r="Z296">
        <v>91</v>
      </c>
      <c r="AA296">
        <v>7</v>
      </c>
      <c r="AB296">
        <v>28.569551018553099</v>
      </c>
      <c r="AC296">
        <v>8.1784824492437E-2</v>
      </c>
      <c r="AD296">
        <v>11.233604487712901</v>
      </c>
      <c r="AE296">
        <v>0.20844978094100999</v>
      </c>
      <c r="AF296">
        <v>718.47281713344296</v>
      </c>
      <c r="AG296">
        <f>IFERROR(AH296*0.1, "N/A")</f>
        <v>6.1990115321252102</v>
      </c>
      <c r="AH296">
        <v>61.990115321252098</v>
      </c>
      <c r="AI296">
        <v>140.84130601081699</v>
      </c>
      <c r="AJ296">
        <v>28.555189456342699</v>
      </c>
      <c r="AK296">
        <v>56</v>
      </c>
    </row>
    <row r="297" spans="1:37" x14ac:dyDescent="0.3">
      <c r="A297">
        <v>296</v>
      </c>
      <c r="B297">
        <v>24</v>
      </c>
      <c r="C297">
        <v>28.331399999999999</v>
      </c>
      <c r="D297">
        <v>-17.066099000000001</v>
      </c>
      <c r="E297" t="s">
        <v>478</v>
      </c>
      <c r="F297" t="s">
        <v>480</v>
      </c>
      <c r="G297" t="s">
        <v>39</v>
      </c>
      <c r="H297">
        <v>1985</v>
      </c>
      <c r="I297">
        <v>23.399999618530298</v>
      </c>
      <c r="J297">
        <v>13.5</v>
      </c>
      <c r="K297">
        <v>54</v>
      </c>
      <c r="L297">
        <v>27.709999084472699</v>
      </c>
      <c r="M297">
        <v>35.200000762939503</v>
      </c>
      <c r="N297">
        <v>10.3999996185303</v>
      </c>
      <c r="O297">
        <v>24.799999237060501</v>
      </c>
      <c r="P297">
        <v>24.399999618530298</v>
      </c>
      <c r="Q297">
        <v>19.600000381469702</v>
      </c>
      <c r="R297">
        <v>26.5</v>
      </c>
      <c r="S297">
        <v>19.5</v>
      </c>
      <c r="T297">
        <v>739</v>
      </c>
      <c r="U297">
        <v>190</v>
      </c>
      <c r="V297">
        <v>0</v>
      </c>
      <c r="W297">
        <v>117</v>
      </c>
      <c r="X297">
        <v>533</v>
      </c>
      <c r="Y297">
        <v>2</v>
      </c>
      <c r="Z297">
        <v>91</v>
      </c>
      <c r="AA297">
        <v>7</v>
      </c>
      <c r="AB297">
        <v>28.569551018553099</v>
      </c>
      <c r="AC297">
        <v>8.1784824492437E-2</v>
      </c>
      <c r="AD297">
        <v>11.233604487712901</v>
      </c>
      <c r="AE297">
        <v>0.20844978094100999</v>
      </c>
      <c r="AF297">
        <v>718.47281713344296</v>
      </c>
      <c r="AG297">
        <f>IFERROR(AH297*0.1, "N/A")</f>
        <v>6.1990115321252102</v>
      </c>
      <c r="AH297">
        <v>61.990115321252098</v>
      </c>
      <c r="AI297">
        <v>140.84130601081699</v>
      </c>
      <c r="AJ297">
        <v>28.555189456342699</v>
      </c>
      <c r="AK297">
        <v>56</v>
      </c>
    </row>
    <row r="298" spans="1:37" x14ac:dyDescent="0.3">
      <c r="A298">
        <v>297</v>
      </c>
      <c r="B298">
        <v>18</v>
      </c>
      <c r="C298">
        <v>31.118299</v>
      </c>
      <c r="D298">
        <v>-17.061899</v>
      </c>
      <c r="E298" t="s">
        <v>481</v>
      </c>
      <c r="F298" t="s">
        <v>482</v>
      </c>
      <c r="G298" t="s">
        <v>37</v>
      </c>
      <c r="H298">
        <v>1985</v>
      </c>
      <c r="I298">
        <v>17.799999237060501</v>
      </c>
      <c r="J298">
        <v>13.5</v>
      </c>
      <c r="K298">
        <v>57</v>
      </c>
      <c r="L298">
        <v>31.950000762939499</v>
      </c>
      <c r="M298">
        <v>27.799999237060501</v>
      </c>
      <c r="N298">
        <v>4.1999998092651403</v>
      </c>
      <c r="O298">
        <v>23.600000381469702</v>
      </c>
      <c r="P298">
        <v>20.799999237060501</v>
      </c>
      <c r="Q298">
        <v>13.199999809265099</v>
      </c>
      <c r="R298">
        <v>21</v>
      </c>
      <c r="S298">
        <v>13.199999809265099</v>
      </c>
      <c r="T298">
        <v>844</v>
      </c>
      <c r="U298">
        <v>218</v>
      </c>
      <c r="V298">
        <v>0</v>
      </c>
      <c r="W298">
        <v>113</v>
      </c>
      <c r="X298">
        <v>581</v>
      </c>
      <c r="Y298">
        <v>2</v>
      </c>
      <c r="Z298">
        <v>491</v>
      </c>
      <c r="AA298">
        <v>2</v>
      </c>
      <c r="AB298">
        <v>8.7973618781429597</v>
      </c>
      <c r="AC298">
        <v>4.5110910678243001E-2</v>
      </c>
      <c r="AD298">
        <v>2.6335392766593899</v>
      </c>
      <c r="AE298">
        <v>0.43997904658317599</v>
      </c>
      <c r="AF298">
        <v>1213.08374384236</v>
      </c>
      <c r="AG298">
        <f>IFERROR(AH298*0.1, "N/A")</f>
        <v>5.7686371100164209</v>
      </c>
      <c r="AH298">
        <v>57.686371100164202</v>
      </c>
      <c r="AI298">
        <v>133.52939673362701</v>
      </c>
      <c r="AJ298">
        <v>12</v>
      </c>
      <c r="AK298">
        <v>78.313628899835805</v>
      </c>
    </row>
    <row r="299" spans="1:37" x14ac:dyDescent="0.3">
      <c r="A299">
        <v>298</v>
      </c>
      <c r="B299">
        <v>53</v>
      </c>
      <c r="C299">
        <v>31.118299</v>
      </c>
      <c r="D299">
        <v>-17.061899</v>
      </c>
      <c r="E299" t="s">
        <v>481</v>
      </c>
      <c r="F299" t="s">
        <v>483</v>
      </c>
      <c r="G299" t="s">
        <v>39</v>
      </c>
      <c r="H299">
        <v>1985</v>
      </c>
      <c r="I299">
        <v>17.799999237060501</v>
      </c>
      <c r="J299">
        <v>13.5</v>
      </c>
      <c r="K299">
        <v>57</v>
      </c>
      <c r="L299">
        <v>31.950000762939499</v>
      </c>
      <c r="M299">
        <v>27.799999237060501</v>
      </c>
      <c r="N299">
        <v>4.1999998092651403</v>
      </c>
      <c r="O299">
        <v>23.600000381469702</v>
      </c>
      <c r="P299">
        <v>20.799999237060501</v>
      </c>
      <c r="Q299">
        <v>13.199999809265099</v>
      </c>
      <c r="R299">
        <v>21</v>
      </c>
      <c r="S299">
        <v>13.199999809265099</v>
      </c>
      <c r="T299">
        <v>844</v>
      </c>
      <c r="U299">
        <v>218</v>
      </c>
      <c r="V299">
        <v>0</v>
      </c>
      <c r="W299">
        <v>113</v>
      </c>
      <c r="X299">
        <v>581</v>
      </c>
      <c r="Y299">
        <v>2</v>
      </c>
      <c r="Z299">
        <v>491</v>
      </c>
      <c r="AA299">
        <v>2</v>
      </c>
      <c r="AB299">
        <v>8.7973618781429597</v>
      </c>
      <c r="AC299">
        <v>4.5110910678243001E-2</v>
      </c>
      <c r="AD299">
        <v>2.6335392766593899</v>
      </c>
      <c r="AE299">
        <v>0.43997904658317599</v>
      </c>
      <c r="AF299">
        <v>1213.08374384236</v>
      </c>
      <c r="AG299">
        <f>IFERROR(AH299*0.1, "N/A")</f>
        <v>5.7686371100164209</v>
      </c>
      <c r="AH299">
        <v>57.686371100164202</v>
      </c>
      <c r="AI299">
        <v>133.52939673362701</v>
      </c>
      <c r="AJ299">
        <v>12</v>
      </c>
      <c r="AK299">
        <v>78.313628899835805</v>
      </c>
    </row>
    <row r="300" spans="1:37" x14ac:dyDescent="0.3">
      <c r="A300">
        <v>299</v>
      </c>
      <c r="B300">
        <v>10</v>
      </c>
      <c r="C300">
        <v>31.286799999999999</v>
      </c>
      <c r="D300">
        <v>-16.986000000000001</v>
      </c>
      <c r="E300" t="s">
        <v>484</v>
      </c>
      <c r="F300" t="s">
        <v>485</v>
      </c>
      <c r="G300" t="s">
        <v>37</v>
      </c>
      <c r="H300">
        <v>1985</v>
      </c>
      <c r="I300">
        <v>18</v>
      </c>
      <c r="J300">
        <v>13.6000003814697</v>
      </c>
      <c r="K300">
        <v>57</v>
      </c>
      <c r="L300">
        <v>32.340000152587898</v>
      </c>
      <c r="M300">
        <v>28</v>
      </c>
      <c r="N300">
        <v>4.1999998092651403</v>
      </c>
      <c r="O300">
        <v>23.799999237060501</v>
      </c>
      <c r="P300">
        <v>21.100000381469702</v>
      </c>
      <c r="Q300">
        <v>13.300000190734901</v>
      </c>
      <c r="R300">
        <v>21.200000762939499</v>
      </c>
      <c r="S300">
        <v>13.300000190734901</v>
      </c>
      <c r="T300">
        <v>836</v>
      </c>
      <c r="U300">
        <v>225</v>
      </c>
      <c r="V300">
        <v>0</v>
      </c>
      <c r="W300">
        <v>116</v>
      </c>
      <c r="X300">
        <v>585</v>
      </c>
      <c r="Y300">
        <v>2</v>
      </c>
      <c r="Z300">
        <v>498</v>
      </c>
      <c r="AA300">
        <v>2</v>
      </c>
      <c r="AB300">
        <v>5.3042901691637496</v>
      </c>
      <c r="AC300">
        <v>3.0924431654919E-2</v>
      </c>
      <c r="AD300">
        <v>1.20069142234953</v>
      </c>
      <c r="AE300">
        <v>0.35269415378570601</v>
      </c>
      <c r="AF300">
        <v>1184.4128289473699</v>
      </c>
      <c r="AG300">
        <f>IFERROR(AH300*0.1, "N/A")</f>
        <v>5.7287828947368409</v>
      </c>
      <c r="AH300">
        <v>57.287828947368403</v>
      </c>
      <c r="AI300">
        <v>245.58104331869799</v>
      </c>
      <c r="AJ300">
        <v>18.689144736842099</v>
      </c>
      <c r="AK300">
        <v>70.085526315789494</v>
      </c>
    </row>
    <row r="301" spans="1:37" x14ac:dyDescent="0.3">
      <c r="A301">
        <v>300</v>
      </c>
      <c r="B301">
        <v>73</v>
      </c>
      <c r="C301">
        <v>31.286799999999999</v>
      </c>
      <c r="D301">
        <v>-16.986000000000001</v>
      </c>
      <c r="E301" t="s">
        <v>484</v>
      </c>
      <c r="F301" t="s">
        <v>486</v>
      </c>
      <c r="G301" t="s">
        <v>39</v>
      </c>
      <c r="H301">
        <v>1985</v>
      </c>
      <c r="I301">
        <v>18</v>
      </c>
      <c r="J301">
        <v>13.6000003814697</v>
      </c>
      <c r="K301">
        <v>57</v>
      </c>
      <c r="L301">
        <v>32.340000152587898</v>
      </c>
      <c r="M301">
        <v>28</v>
      </c>
      <c r="N301">
        <v>4.1999998092651403</v>
      </c>
      <c r="O301">
        <v>23.799999237060501</v>
      </c>
      <c r="P301">
        <v>21.100000381469702</v>
      </c>
      <c r="Q301">
        <v>13.300000190734901</v>
      </c>
      <c r="R301">
        <v>21.200000762939499</v>
      </c>
      <c r="S301">
        <v>13.300000190734901</v>
      </c>
      <c r="T301">
        <v>836</v>
      </c>
      <c r="U301">
        <v>225</v>
      </c>
      <c r="V301">
        <v>0</v>
      </c>
      <c r="W301">
        <v>116</v>
      </c>
      <c r="X301">
        <v>585</v>
      </c>
      <c r="Y301">
        <v>2</v>
      </c>
      <c r="Z301">
        <v>498</v>
      </c>
      <c r="AA301">
        <v>2</v>
      </c>
      <c r="AB301">
        <v>5.3042901691637496</v>
      </c>
      <c r="AC301">
        <v>3.0924431654919E-2</v>
      </c>
      <c r="AD301">
        <v>1.20069142234953</v>
      </c>
      <c r="AE301">
        <v>0.35269415378570601</v>
      </c>
      <c r="AF301">
        <v>1184.4128289473699</v>
      </c>
      <c r="AG301">
        <f>IFERROR(AH301*0.1, "N/A")</f>
        <v>5.7287828947368409</v>
      </c>
      <c r="AH301">
        <v>57.287828947368403</v>
      </c>
      <c r="AI301">
        <v>245.58104331869799</v>
      </c>
      <c r="AJ301">
        <v>18.689144736842099</v>
      </c>
      <c r="AK301">
        <v>70.085526315789494</v>
      </c>
    </row>
    <row r="302" spans="1:37" x14ac:dyDescent="0.3">
      <c r="A302">
        <v>301</v>
      </c>
      <c r="B302">
        <v>16</v>
      </c>
      <c r="C302">
        <v>32.767398999999997</v>
      </c>
      <c r="D302">
        <v>-16.9834</v>
      </c>
      <c r="E302" t="s">
        <v>487</v>
      </c>
      <c r="F302" t="s">
        <v>488</v>
      </c>
      <c r="G302" t="s">
        <v>37</v>
      </c>
      <c r="H302">
        <v>1985</v>
      </c>
      <c r="I302">
        <v>21.8436357671564</v>
      </c>
      <c r="J302">
        <v>13.432892305988901</v>
      </c>
      <c r="K302">
        <v>60.328925619834699</v>
      </c>
      <c r="L302">
        <v>27.194595576514899</v>
      </c>
      <c r="M302">
        <v>31.979999296330199</v>
      </c>
      <c r="N302">
        <v>9.8800000466591094</v>
      </c>
      <c r="O302">
        <v>22.100000381469702</v>
      </c>
      <c r="P302">
        <v>24.080000305175801</v>
      </c>
      <c r="Q302">
        <v>19.280000169612201</v>
      </c>
      <c r="R302">
        <v>24.447107236247401</v>
      </c>
      <c r="S302">
        <v>17.7436364607378</v>
      </c>
      <c r="T302">
        <v>628.99834710743801</v>
      </c>
      <c r="U302">
        <v>187.56363636363599</v>
      </c>
      <c r="V302">
        <v>0</v>
      </c>
      <c r="W302">
        <v>120</v>
      </c>
      <c r="X302">
        <v>460.234710743802</v>
      </c>
      <c r="Y302">
        <v>1.5636363636363599</v>
      </c>
      <c r="Z302">
        <v>207.67107438016501</v>
      </c>
      <c r="AA302">
        <v>4.2347107438016502</v>
      </c>
      <c r="AB302">
        <v>9.7515731937629102</v>
      </c>
      <c r="AC302">
        <v>4.5238495889035002E-2</v>
      </c>
      <c r="AD302">
        <v>4.0306637823089098</v>
      </c>
      <c r="AE302">
        <v>0.28565782308578502</v>
      </c>
      <c r="AF302">
        <v>667.73223140495895</v>
      </c>
      <c r="AG302">
        <f>IFERROR(AH302*0.1, "N/A")</f>
        <v>6.6000000000000005</v>
      </c>
      <c r="AH302">
        <v>66</v>
      </c>
      <c r="AI302">
        <v>212.46713748648099</v>
      </c>
      <c r="AJ302">
        <v>16</v>
      </c>
      <c r="AK302">
        <v>74</v>
      </c>
    </row>
    <row r="303" spans="1:37" x14ac:dyDescent="0.3">
      <c r="A303">
        <v>302</v>
      </c>
      <c r="B303">
        <v>81</v>
      </c>
      <c r="C303">
        <v>32.767398999999997</v>
      </c>
      <c r="D303">
        <v>-16.9834</v>
      </c>
      <c r="E303" t="s">
        <v>487</v>
      </c>
      <c r="F303" t="s">
        <v>489</v>
      </c>
      <c r="G303" t="s">
        <v>39</v>
      </c>
      <c r="H303">
        <v>1985</v>
      </c>
      <c r="I303">
        <v>21.8436357671564</v>
      </c>
      <c r="J303">
        <v>13.432892305988901</v>
      </c>
      <c r="K303">
        <v>60.328925619834699</v>
      </c>
      <c r="L303">
        <v>27.194595576514899</v>
      </c>
      <c r="M303">
        <v>31.979999296330199</v>
      </c>
      <c r="N303">
        <v>9.8800000466591094</v>
      </c>
      <c r="O303">
        <v>22.100000381469702</v>
      </c>
      <c r="P303">
        <v>24.080000305175801</v>
      </c>
      <c r="Q303">
        <v>19.280000169612201</v>
      </c>
      <c r="R303">
        <v>24.447107236247401</v>
      </c>
      <c r="S303">
        <v>17.7436364607378</v>
      </c>
      <c r="T303">
        <v>628.99834710743801</v>
      </c>
      <c r="U303">
        <v>187.56363636363599</v>
      </c>
      <c r="V303">
        <v>0</v>
      </c>
      <c r="W303">
        <v>120</v>
      </c>
      <c r="X303">
        <v>460.234710743802</v>
      </c>
      <c r="Y303">
        <v>1.5636363636363599</v>
      </c>
      <c r="Z303">
        <v>207.67107438016501</v>
      </c>
      <c r="AA303">
        <v>4.2347107438016502</v>
      </c>
      <c r="AB303">
        <v>9.7515731937629102</v>
      </c>
      <c r="AC303">
        <v>4.5238495889035002E-2</v>
      </c>
      <c r="AD303">
        <v>4.0306637823089098</v>
      </c>
      <c r="AE303">
        <v>0.28565782308578502</v>
      </c>
      <c r="AF303">
        <v>667.73223140495895</v>
      </c>
      <c r="AG303">
        <f>IFERROR(AH303*0.1, "N/A")</f>
        <v>6.6000000000000005</v>
      </c>
      <c r="AH303">
        <v>66</v>
      </c>
      <c r="AI303">
        <v>212.46713748648099</v>
      </c>
      <c r="AJ303">
        <v>16</v>
      </c>
      <c r="AK303">
        <v>74</v>
      </c>
    </row>
    <row r="304" spans="1:37" x14ac:dyDescent="0.3">
      <c r="A304">
        <v>303</v>
      </c>
      <c r="B304">
        <v>6</v>
      </c>
      <c r="C304">
        <v>31.677199999999999</v>
      </c>
      <c r="D304">
        <v>-16.9697</v>
      </c>
      <c r="E304" t="s">
        <v>490</v>
      </c>
      <c r="F304" t="s">
        <v>491</v>
      </c>
      <c r="G304" t="s">
        <v>37</v>
      </c>
      <c r="H304">
        <v>1985</v>
      </c>
      <c r="I304">
        <v>20.100000381469702</v>
      </c>
      <c r="J304">
        <v>14.3999996185303</v>
      </c>
      <c r="K304">
        <v>56</v>
      </c>
      <c r="L304">
        <v>31.680000305175799</v>
      </c>
      <c r="M304">
        <v>31</v>
      </c>
      <c r="N304">
        <v>5.6999998092651403</v>
      </c>
      <c r="O304">
        <v>25.299999237060501</v>
      </c>
      <c r="P304">
        <v>22.799999237060501</v>
      </c>
      <c r="Q304">
        <v>15.5</v>
      </c>
      <c r="R304">
        <v>23.200000762939499</v>
      </c>
      <c r="S304">
        <v>15.5</v>
      </c>
      <c r="T304">
        <v>771</v>
      </c>
      <c r="U304">
        <v>212</v>
      </c>
      <c r="V304">
        <v>0</v>
      </c>
      <c r="W304">
        <v>116</v>
      </c>
      <c r="X304">
        <v>552</v>
      </c>
      <c r="Y304">
        <v>3</v>
      </c>
      <c r="Z304">
        <v>267</v>
      </c>
      <c r="AA304">
        <v>3</v>
      </c>
      <c r="AB304">
        <v>27.2616463148889</v>
      </c>
      <c r="AC304">
        <v>3.3988684209541001E-2</v>
      </c>
      <c r="AD304">
        <v>7.7043090709969997</v>
      </c>
      <c r="AE304">
        <v>0.26473003625869801</v>
      </c>
      <c r="AF304">
        <v>963.40826446281005</v>
      </c>
      <c r="AG304">
        <f>IFERROR(AH304*0.1, "N/A")</f>
        <v>5.9636363636363701</v>
      </c>
      <c r="AH304">
        <v>59.636363636363697</v>
      </c>
      <c r="AI304">
        <v>166.955482621626</v>
      </c>
      <c r="AJ304">
        <v>19.236363636363599</v>
      </c>
      <c r="AK304">
        <v>72.1388429752066</v>
      </c>
    </row>
    <row r="305" spans="1:37" x14ac:dyDescent="0.3">
      <c r="A305">
        <v>304</v>
      </c>
      <c r="B305">
        <v>73</v>
      </c>
      <c r="C305">
        <v>31.677199999999999</v>
      </c>
      <c r="D305">
        <v>-16.9697</v>
      </c>
      <c r="E305" t="s">
        <v>490</v>
      </c>
      <c r="F305" t="s">
        <v>492</v>
      </c>
      <c r="G305" t="s">
        <v>39</v>
      </c>
      <c r="H305">
        <v>1985</v>
      </c>
      <c r="I305">
        <v>20.100000381469702</v>
      </c>
      <c r="J305">
        <v>14.3999996185303</v>
      </c>
      <c r="K305">
        <v>56</v>
      </c>
      <c r="L305">
        <v>31.680000305175799</v>
      </c>
      <c r="M305">
        <v>31</v>
      </c>
      <c r="N305">
        <v>5.6999998092651403</v>
      </c>
      <c r="O305">
        <v>25.299999237060501</v>
      </c>
      <c r="P305">
        <v>22.799999237060501</v>
      </c>
      <c r="Q305">
        <v>15.5</v>
      </c>
      <c r="R305">
        <v>23.200000762939499</v>
      </c>
      <c r="S305">
        <v>15.5</v>
      </c>
      <c r="T305">
        <v>771</v>
      </c>
      <c r="U305">
        <v>212</v>
      </c>
      <c r="V305">
        <v>0</v>
      </c>
      <c r="W305">
        <v>116</v>
      </c>
      <c r="X305">
        <v>552</v>
      </c>
      <c r="Y305">
        <v>3</v>
      </c>
      <c r="Z305">
        <v>267</v>
      </c>
      <c r="AA305">
        <v>3</v>
      </c>
      <c r="AB305">
        <v>27.2616463148889</v>
      </c>
      <c r="AC305">
        <v>3.3988684209541001E-2</v>
      </c>
      <c r="AD305">
        <v>7.7043090709969997</v>
      </c>
      <c r="AE305">
        <v>0.26473003625869801</v>
      </c>
      <c r="AF305">
        <v>963.40826446281005</v>
      </c>
      <c r="AG305">
        <f>IFERROR(AH305*0.1, "N/A")</f>
        <v>5.9636363636363701</v>
      </c>
      <c r="AH305">
        <v>59.636363636363697</v>
      </c>
      <c r="AI305">
        <v>166.955482621626</v>
      </c>
      <c r="AJ305">
        <v>19.236363636363599</v>
      </c>
      <c r="AK305">
        <v>72.1388429752066</v>
      </c>
    </row>
    <row r="306" spans="1:37" x14ac:dyDescent="0.3">
      <c r="A306">
        <v>305</v>
      </c>
      <c r="B306">
        <v>67</v>
      </c>
      <c r="C306">
        <v>30.5319</v>
      </c>
      <c r="D306">
        <v>-16.959</v>
      </c>
      <c r="E306" t="s">
        <v>493</v>
      </c>
      <c r="F306" t="s">
        <v>494</v>
      </c>
      <c r="G306" t="s">
        <v>37</v>
      </c>
      <c r="H306">
        <v>1985</v>
      </c>
      <c r="I306">
        <v>19.408594692640101</v>
      </c>
      <c r="J306">
        <v>13.6000003814697</v>
      </c>
      <c r="K306">
        <v>57</v>
      </c>
      <c r="L306">
        <v>28.9179672997845</v>
      </c>
      <c r="M306">
        <v>29.8085943111703</v>
      </c>
      <c r="N306">
        <v>6.2085948833749303</v>
      </c>
      <c r="O306">
        <v>23.600000381469702</v>
      </c>
      <c r="P306">
        <v>21.708595673111802</v>
      </c>
      <c r="Q306">
        <v>15.2085948833749</v>
      </c>
      <c r="R306">
        <v>22.208595673111802</v>
      </c>
      <c r="S306">
        <v>15.2085948833749</v>
      </c>
      <c r="T306">
        <v>832.91404958677697</v>
      </c>
      <c r="U306">
        <v>211</v>
      </c>
      <c r="V306">
        <v>0</v>
      </c>
      <c r="W306">
        <v>112</v>
      </c>
      <c r="X306">
        <v>582</v>
      </c>
      <c r="Y306">
        <v>4</v>
      </c>
      <c r="Z306">
        <v>294.91404958677703</v>
      </c>
      <c r="AA306">
        <v>4</v>
      </c>
      <c r="AB306">
        <v>7.5965706312951999</v>
      </c>
      <c r="AC306">
        <v>0.51854212351204898</v>
      </c>
      <c r="AD306">
        <v>2.8564433434778</v>
      </c>
      <c r="AE306">
        <v>0.25020590826007</v>
      </c>
      <c r="AF306">
        <v>1027.1768595041301</v>
      </c>
      <c r="AG306">
        <f>IFERROR(AH306*0.1, "N/A")</f>
        <v>5.9748760330578499</v>
      </c>
      <c r="AH306">
        <v>59.748760330578499</v>
      </c>
      <c r="AI306">
        <v>283.944932939198</v>
      </c>
      <c r="AJ306">
        <v>22</v>
      </c>
      <c r="AK306">
        <v>66.239669421487605</v>
      </c>
    </row>
    <row r="307" spans="1:37" x14ac:dyDescent="0.3">
      <c r="A307">
        <v>306</v>
      </c>
      <c r="B307">
        <v>97</v>
      </c>
      <c r="C307">
        <v>30.5319</v>
      </c>
      <c r="D307">
        <v>-16.959</v>
      </c>
      <c r="E307" t="s">
        <v>493</v>
      </c>
      <c r="F307" t="s">
        <v>495</v>
      </c>
      <c r="G307" t="s">
        <v>39</v>
      </c>
      <c r="H307">
        <v>1985</v>
      </c>
      <c r="I307">
        <v>19.408594692640101</v>
      </c>
      <c r="J307">
        <v>13.6000003814697</v>
      </c>
      <c r="K307">
        <v>57</v>
      </c>
      <c r="L307">
        <v>28.9179672997845</v>
      </c>
      <c r="M307">
        <v>29.8085943111703</v>
      </c>
      <c r="N307">
        <v>6.2085948833749303</v>
      </c>
      <c r="O307">
        <v>23.600000381469702</v>
      </c>
      <c r="P307">
        <v>21.708595673111802</v>
      </c>
      <c r="Q307">
        <v>15.2085948833749</v>
      </c>
      <c r="R307">
        <v>22.208595673111802</v>
      </c>
      <c r="S307">
        <v>15.2085948833749</v>
      </c>
      <c r="T307">
        <v>832.91404958677697</v>
      </c>
      <c r="U307">
        <v>211</v>
      </c>
      <c r="V307">
        <v>0</v>
      </c>
      <c r="W307">
        <v>112</v>
      </c>
      <c r="X307">
        <v>582</v>
      </c>
      <c r="Y307">
        <v>4</v>
      </c>
      <c r="Z307">
        <v>294.91404958677703</v>
      </c>
      <c r="AA307">
        <v>4</v>
      </c>
      <c r="AB307">
        <v>7.5965706312951999</v>
      </c>
      <c r="AC307">
        <v>0.51854212351204898</v>
      </c>
      <c r="AD307">
        <v>2.8564433434778</v>
      </c>
      <c r="AE307">
        <v>0.25020590826007</v>
      </c>
      <c r="AF307">
        <v>1027.1768595041301</v>
      </c>
      <c r="AG307">
        <f>IFERROR(AH307*0.1, "N/A")</f>
        <v>5.9748760330578499</v>
      </c>
      <c r="AH307">
        <v>59.748760330578499</v>
      </c>
      <c r="AI307">
        <v>283.944932939198</v>
      </c>
      <c r="AJ307">
        <v>22</v>
      </c>
      <c r="AK307">
        <v>66.239669421487605</v>
      </c>
    </row>
    <row r="308" spans="1:37" x14ac:dyDescent="0.3">
      <c r="A308">
        <v>307</v>
      </c>
      <c r="B308">
        <v>5</v>
      </c>
      <c r="C308">
        <v>29.908199</v>
      </c>
      <c r="D308">
        <v>-16.900299</v>
      </c>
      <c r="E308" t="s">
        <v>496</v>
      </c>
      <c r="F308" t="s">
        <v>497</v>
      </c>
      <c r="G308" t="s">
        <v>37</v>
      </c>
      <c r="H308">
        <v>1985</v>
      </c>
      <c r="I308">
        <v>19.419039426260401</v>
      </c>
      <c r="J308">
        <v>12.819039816888001</v>
      </c>
      <c r="K308">
        <v>55.1903973509934</v>
      </c>
      <c r="L308">
        <v>28.6960269315353</v>
      </c>
      <c r="M308">
        <v>29.739735255967702</v>
      </c>
      <c r="N308">
        <v>6.7793047475499097</v>
      </c>
      <c r="O308">
        <v>22.9604303126304</v>
      </c>
      <c r="P308">
        <v>21.719040207515501</v>
      </c>
      <c r="Q308">
        <v>15.239735060180299</v>
      </c>
      <c r="R308">
        <v>22.319039044790699</v>
      </c>
      <c r="S308">
        <v>15.239735060180299</v>
      </c>
      <c r="T308">
        <v>791.77317880794703</v>
      </c>
      <c r="U308">
        <v>206.740066225166</v>
      </c>
      <c r="V308">
        <v>0</v>
      </c>
      <c r="W308">
        <v>112.32947019867601</v>
      </c>
      <c r="X308">
        <v>554.75662251655604</v>
      </c>
      <c r="Y308">
        <v>3</v>
      </c>
      <c r="Z308">
        <v>275.41390728476802</v>
      </c>
      <c r="AA308">
        <v>3</v>
      </c>
      <c r="AB308">
        <v>27.709338257644401</v>
      </c>
      <c r="AC308">
        <v>4.9059498182417997E-2</v>
      </c>
      <c r="AD308">
        <v>2.2568877528834799</v>
      </c>
      <c r="AE308">
        <v>0.25643868152274202</v>
      </c>
      <c r="AF308">
        <v>1103.04801324503</v>
      </c>
      <c r="AG308">
        <f>IFERROR(AH308*0.1, "N/A")</f>
        <v>6.1000000000000005</v>
      </c>
      <c r="AH308">
        <v>61</v>
      </c>
      <c r="AI308">
        <v>77.787209832905106</v>
      </c>
      <c r="AJ308">
        <v>16.311258278145701</v>
      </c>
      <c r="AK308">
        <v>72.274834437086099</v>
      </c>
    </row>
    <row r="309" spans="1:37" x14ac:dyDescent="0.3">
      <c r="A309">
        <v>308</v>
      </c>
      <c r="B309">
        <v>88</v>
      </c>
      <c r="C309">
        <v>29.908199</v>
      </c>
      <c r="D309">
        <v>-16.900299</v>
      </c>
      <c r="E309" t="s">
        <v>496</v>
      </c>
      <c r="F309" t="s">
        <v>498</v>
      </c>
      <c r="G309" t="s">
        <v>39</v>
      </c>
      <c r="H309">
        <v>1985</v>
      </c>
      <c r="I309">
        <v>19.419039426260401</v>
      </c>
      <c r="J309">
        <v>12.819039816888001</v>
      </c>
      <c r="K309">
        <v>55.1903973509934</v>
      </c>
      <c r="L309">
        <v>28.6960269315353</v>
      </c>
      <c r="M309">
        <v>29.739735255967702</v>
      </c>
      <c r="N309">
        <v>6.7793047475499097</v>
      </c>
      <c r="O309">
        <v>22.9604303126304</v>
      </c>
      <c r="P309">
        <v>21.719040207515501</v>
      </c>
      <c r="Q309">
        <v>15.239735060180299</v>
      </c>
      <c r="R309">
        <v>22.319039044790699</v>
      </c>
      <c r="S309">
        <v>15.239735060180299</v>
      </c>
      <c r="T309">
        <v>791.77317880794703</v>
      </c>
      <c r="U309">
        <v>206.740066225166</v>
      </c>
      <c r="V309">
        <v>0</v>
      </c>
      <c r="W309">
        <v>112.32947019867601</v>
      </c>
      <c r="X309">
        <v>554.75662251655604</v>
      </c>
      <c r="Y309">
        <v>3</v>
      </c>
      <c r="Z309">
        <v>275.41390728476802</v>
      </c>
      <c r="AA309">
        <v>3</v>
      </c>
      <c r="AB309">
        <v>27.709338257644401</v>
      </c>
      <c r="AC309">
        <v>4.9059498182417997E-2</v>
      </c>
      <c r="AD309">
        <v>2.2568877528834799</v>
      </c>
      <c r="AE309">
        <v>0.25643868152274202</v>
      </c>
      <c r="AF309">
        <v>1103.04801324503</v>
      </c>
      <c r="AG309">
        <f>IFERROR(AH309*0.1, "N/A")</f>
        <v>6.1000000000000005</v>
      </c>
      <c r="AH309">
        <v>61</v>
      </c>
      <c r="AI309">
        <v>77.787209832905106</v>
      </c>
      <c r="AJ309">
        <v>16.311258278145701</v>
      </c>
      <c r="AK309">
        <v>72.274834437086099</v>
      </c>
    </row>
    <row r="310" spans="1:37" x14ac:dyDescent="0.3">
      <c r="A310">
        <v>309</v>
      </c>
      <c r="B310">
        <v>9</v>
      </c>
      <c r="C310">
        <v>29.3887</v>
      </c>
      <c r="D310">
        <v>-16.896899999999999</v>
      </c>
      <c r="E310" t="s">
        <v>499</v>
      </c>
      <c r="F310" t="s">
        <v>500</v>
      </c>
      <c r="G310" t="s">
        <v>37</v>
      </c>
      <c r="H310">
        <v>1985</v>
      </c>
      <c r="I310">
        <v>19.799999237060501</v>
      </c>
      <c r="J310">
        <v>12.300000190734901</v>
      </c>
      <c r="K310">
        <v>53</v>
      </c>
      <c r="L310">
        <v>27.920000076293899</v>
      </c>
      <c r="M310">
        <v>30.5</v>
      </c>
      <c r="N310">
        <v>7.6999998092651403</v>
      </c>
      <c r="O310">
        <v>22.799999237060501</v>
      </c>
      <c r="P310">
        <v>21.5</v>
      </c>
      <c r="Q310">
        <v>15.800000190734901</v>
      </c>
      <c r="R310">
        <v>22.799999237060501</v>
      </c>
      <c r="S310">
        <v>15.800000190734901</v>
      </c>
      <c r="T310">
        <v>804</v>
      </c>
      <c r="U310">
        <v>202</v>
      </c>
      <c r="V310">
        <v>0</v>
      </c>
      <c r="W310">
        <v>111</v>
      </c>
      <c r="X310">
        <v>560</v>
      </c>
      <c r="Y310">
        <v>4</v>
      </c>
      <c r="Z310">
        <v>289</v>
      </c>
      <c r="AA310">
        <v>4</v>
      </c>
      <c r="AB310">
        <v>1.24468792037459</v>
      </c>
      <c r="AC310">
        <v>0.49180690325728799</v>
      </c>
      <c r="AD310">
        <v>1.30516941055952</v>
      </c>
      <c r="AE310">
        <v>0.281093150377274</v>
      </c>
      <c r="AF310">
        <v>1180.0513245033101</v>
      </c>
      <c r="AG310">
        <f>IFERROR(AH310*0.1, "N/A")</f>
        <v>6.20778145695364</v>
      </c>
      <c r="AH310">
        <v>62.0778145695364</v>
      </c>
      <c r="AI310">
        <v>125.992254320359</v>
      </c>
      <c r="AJ310">
        <v>18.301324503311299</v>
      </c>
      <c r="AK310">
        <v>72.771523178807996</v>
      </c>
    </row>
    <row r="311" spans="1:37" x14ac:dyDescent="0.3">
      <c r="A311">
        <v>310</v>
      </c>
      <c r="B311">
        <v>82</v>
      </c>
      <c r="C311">
        <v>29.3887</v>
      </c>
      <c r="D311">
        <v>-16.896899999999999</v>
      </c>
      <c r="E311" t="s">
        <v>499</v>
      </c>
      <c r="F311" t="s">
        <v>501</v>
      </c>
      <c r="G311" t="s">
        <v>39</v>
      </c>
      <c r="H311">
        <v>1985</v>
      </c>
      <c r="I311">
        <v>19.799999237060501</v>
      </c>
      <c r="J311">
        <v>12.300000190734901</v>
      </c>
      <c r="K311">
        <v>53</v>
      </c>
      <c r="L311">
        <v>27.920000076293899</v>
      </c>
      <c r="M311">
        <v>30.5</v>
      </c>
      <c r="N311">
        <v>7.6999998092651403</v>
      </c>
      <c r="O311">
        <v>22.799999237060501</v>
      </c>
      <c r="P311">
        <v>21.5</v>
      </c>
      <c r="Q311">
        <v>15.800000190734901</v>
      </c>
      <c r="R311">
        <v>22.799999237060501</v>
      </c>
      <c r="S311">
        <v>15.800000190734901</v>
      </c>
      <c r="T311">
        <v>804</v>
      </c>
      <c r="U311">
        <v>202</v>
      </c>
      <c r="V311">
        <v>0</v>
      </c>
      <c r="W311">
        <v>111</v>
      </c>
      <c r="X311">
        <v>560</v>
      </c>
      <c r="Y311">
        <v>4</v>
      </c>
      <c r="Z311">
        <v>289</v>
      </c>
      <c r="AA311">
        <v>4</v>
      </c>
      <c r="AB311">
        <v>1.24468792037459</v>
      </c>
      <c r="AC311">
        <v>0.49180690325728799</v>
      </c>
      <c r="AD311">
        <v>1.30516941055952</v>
      </c>
      <c r="AE311">
        <v>0.281093150377274</v>
      </c>
      <c r="AF311">
        <v>1180.0513245033101</v>
      </c>
      <c r="AG311">
        <f>IFERROR(AH311*0.1, "N/A")</f>
        <v>6.20778145695364</v>
      </c>
      <c r="AH311">
        <v>62.0778145695364</v>
      </c>
      <c r="AI311">
        <v>125.992254320359</v>
      </c>
      <c r="AJ311">
        <v>18.301324503311299</v>
      </c>
      <c r="AK311">
        <v>72.771523178807996</v>
      </c>
    </row>
    <row r="312" spans="1:37" x14ac:dyDescent="0.3">
      <c r="A312">
        <v>311</v>
      </c>
      <c r="B312">
        <v>8</v>
      </c>
      <c r="C312">
        <v>31.258101</v>
      </c>
      <c r="D312">
        <v>-16.8339</v>
      </c>
      <c r="E312" t="s">
        <v>502</v>
      </c>
      <c r="F312" t="s">
        <v>503</v>
      </c>
      <c r="G312" t="s">
        <v>37</v>
      </c>
      <c r="H312">
        <v>1985</v>
      </c>
      <c r="I312">
        <v>19.5228098624994</v>
      </c>
      <c r="J312">
        <v>13.6148764003407</v>
      </c>
      <c r="K312">
        <v>55</v>
      </c>
      <c r="L312">
        <v>30.8963971571489</v>
      </c>
      <c r="M312">
        <v>30.3228092414288</v>
      </c>
      <c r="N312">
        <v>5.8079340674660402</v>
      </c>
      <c r="O312">
        <v>24.514876089805401</v>
      </c>
      <c r="P312">
        <v>21.9307433955926</v>
      </c>
      <c r="Q312">
        <v>15.015371888531099</v>
      </c>
      <c r="R312">
        <v>22.622810243969099</v>
      </c>
      <c r="S312">
        <v>15.015371888531099</v>
      </c>
      <c r="T312">
        <v>847.99173553719004</v>
      </c>
      <c r="U312">
        <v>226.22479338842999</v>
      </c>
      <c r="V312">
        <v>0</v>
      </c>
      <c r="W312">
        <v>117.925619834711</v>
      </c>
      <c r="X312">
        <v>607.22479338843004</v>
      </c>
      <c r="Y312">
        <v>2</v>
      </c>
      <c r="Z312">
        <v>287.92066115702499</v>
      </c>
      <c r="AA312">
        <v>2</v>
      </c>
      <c r="AB312">
        <v>18.9892733487216</v>
      </c>
      <c r="AC312">
        <v>6.9663097763296003E-2</v>
      </c>
      <c r="AD312">
        <v>5.0002212961843204</v>
      </c>
      <c r="AE312">
        <v>0.26468187570571899</v>
      </c>
      <c r="AF312">
        <v>1059.2644628099199</v>
      </c>
      <c r="AG312">
        <f>IFERROR(AH312*0.1, "N/A")</f>
        <v>5.5166942148760301</v>
      </c>
      <c r="AH312">
        <v>55.166942148760299</v>
      </c>
      <c r="AI312">
        <v>106.73307674187301</v>
      </c>
      <c r="AJ312">
        <v>16.087603305785098</v>
      </c>
      <c r="AK312">
        <v>74.904132231405001</v>
      </c>
    </row>
    <row r="313" spans="1:37" x14ac:dyDescent="0.3">
      <c r="A313">
        <v>312</v>
      </c>
      <c r="B313">
        <v>87</v>
      </c>
      <c r="C313">
        <v>31.258101</v>
      </c>
      <c r="D313">
        <v>-16.8339</v>
      </c>
      <c r="E313" t="s">
        <v>502</v>
      </c>
      <c r="F313" t="s">
        <v>504</v>
      </c>
      <c r="G313" t="s">
        <v>39</v>
      </c>
      <c r="H313">
        <v>1985</v>
      </c>
      <c r="I313">
        <v>19.5228098624994</v>
      </c>
      <c r="J313">
        <v>13.6148764003407</v>
      </c>
      <c r="K313">
        <v>55</v>
      </c>
      <c r="L313">
        <v>30.8963971571489</v>
      </c>
      <c r="M313">
        <v>30.3228092414288</v>
      </c>
      <c r="N313">
        <v>5.8079340674660402</v>
      </c>
      <c r="O313">
        <v>24.514876089805401</v>
      </c>
      <c r="P313">
        <v>21.9307433955926</v>
      </c>
      <c r="Q313">
        <v>15.015371888531099</v>
      </c>
      <c r="R313">
        <v>22.622810243969099</v>
      </c>
      <c r="S313">
        <v>15.015371888531099</v>
      </c>
      <c r="T313">
        <v>847.99173553719004</v>
      </c>
      <c r="U313">
        <v>226.22479338842999</v>
      </c>
      <c r="V313">
        <v>0</v>
      </c>
      <c r="W313">
        <v>117.925619834711</v>
      </c>
      <c r="X313">
        <v>607.22479338843004</v>
      </c>
      <c r="Y313">
        <v>2</v>
      </c>
      <c r="Z313">
        <v>287.92066115702499</v>
      </c>
      <c r="AA313">
        <v>2</v>
      </c>
      <c r="AB313">
        <v>18.9892733487216</v>
      </c>
      <c r="AC313">
        <v>6.9663097763296003E-2</v>
      </c>
      <c r="AD313">
        <v>5.0002212961843204</v>
      </c>
      <c r="AE313">
        <v>0.26468187570571899</v>
      </c>
      <c r="AF313">
        <v>1059.2644628099199</v>
      </c>
      <c r="AG313">
        <f>IFERROR(AH313*0.1, "N/A")</f>
        <v>5.5166942148760301</v>
      </c>
      <c r="AH313">
        <v>55.166942148760299</v>
      </c>
      <c r="AI313">
        <v>106.73307674187301</v>
      </c>
      <c r="AJ313">
        <v>16.087603305785098</v>
      </c>
      <c r="AK313">
        <v>74.904132231405001</v>
      </c>
    </row>
    <row r="314" spans="1:37" x14ac:dyDescent="0.3">
      <c r="A314">
        <v>313</v>
      </c>
      <c r="B314">
        <v>17</v>
      </c>
      <c r="C314">
        <v>32.420898000000001</v>
      </c>
      <c r="D314">
        <v>-16.816199999999998</v>
      </c>
      <c r="E314" t="s">
        <v>505</v>
      </c>
      <c r="F314" t="s">
        <v>506</v>
      </c>
      <c r="G314" t="s">
        <v>37</v>
      </c>
      <c r="H314">
        <v>1985</v>
      </c>
      <c r="I314">
        <v>22.127603792553099</v>
      </c>
      <c r="J314">
        <v>14.027603411083399</v>
      </c>
      <c r="K314">
        <v>60</v>
      </c>
      <c r="L314">
        <v>28.914793017678999</v>
      </c>
      <c r="M314">
        <v>32.555206822166703</v>
      </c>
      <c r="N314">
        <v>9.2276032203485094</v>
      </c>
      <c r="O314">
        <v>23.327602648143898</v>
      </c>
      <c r="P314">
        <v>24.555206822166799</v>
      </c>
      <c r="Q314">
        <v>19.4276030296136</v>
      </c>
      <c r="R314">
        <v>24.955206440697001</v>
      </c>
      <c r="S314">
        <v>17.855206059227299</v>
      </c>
      <c r="T314">
        <v>639.17190082644595</v>
      </c>
      <c r="U314">
        <v>194.72396694214899</v>
      </c>
      <c r="V314">
        <v>0</v>
      </c>
      <c r="W314">
        <v>121</v>
      </c>
      <c r="X314">
        <v>473.72396694214899</v>
      </c>
      <c r="Y314">
        <v>4</v>
      </c>
      <c r="Z314">
        <v>210.72396694214899</v>
      </c>
      <c r="AA314">
        <v>5</v>
      </c>
      <c r="AB314">
        <v>28.1175346437565</v>
      </c>
      <c r="AC314">
        <v>1.1383707177910001E-2</v>
      </c>
      <c r="AD314">
        <v>3.39561941998064</v>
      </c>
      <c r="AE314">
        <v>0.211830720305443</v>
      </c>
      <c r="AF314">
        <v>632.51735537190098</v>
      </c>
      <c r="AG314">
        <f>IFERROR(AH314*0.1, "N/A")</f>
        <v>6.2894214876033097</v>
      </c>
      <c r="AH314">
        <v>62.894214876033097</v>
      </c>
      <c r="AI314">
        <v>237.633442776262</v>
      </c>
      <c r="AJ314">
        <v>16.433057851239699</v>
      </c>
      <c r="AK314">
        <v>76.566942148760305</v>
      </c>
    </row>
    <row r="315" spans="1:37" x14ac:dyDescent="0.3">
      <c r="A315">
        <v>314</v>
      </c>
      <c r="B315">
        <v>83</v>
      </c>
      <c r="C315">
        <v>32.420898000000001</v>
      </c>
      <c r="D315">
        <v>-16.816199999999998</v>
      </c>
      <c r="E315" t="s">
        <v>505</v>
      </c>
      <c r="F315" t="s">
        <v>507</v>
      </c>
      <c r="G315" t="s">
        <v>39</v>
      </c>
      <c r="H315">
        <v>1985</v>
      </c>
      <c r="I315">
        <v>22.127603792553099</v>
      </c>
      <c r="J315">
        <v>14.027603411083399</v>
      </c>
      <c r="K315">
        <v>60</v>
      </c>
      <c r="L315">
        <v>28.914793017678999</v>
      </c>
      <c r="M315">
        <v>32.555206822166703</v>
      </c>
      <c r="N315">
        <v>9.2276032203485094</v>
      </c>
      <c r="O315">
        <v>23.327602648143898</v>
      </c>
      <c r="P315">
        <v>24.555206822166799</v>
      </c>
      <c r="Q315">
        <v>19.4276030296136</v>
      </c>
      <c r="R315">
        <v>24.955206440697001</v>
      </c>
      <c r="S315">
        <v>17.855206059227299</v>
      </c>
      <c r="T315">
        <v>639.17190082644595</v>
      </c>
      <c r="U315">
        <v>194.72396694214899</v>
      </c>
      <c r="V315">
        <v>0</v>
      </c>
      <c r="W315">
        <v>121</v>
      </c>
      <c r="X315">
        <v>473.72396694214899</v>
      </c>
      <c r="Y315">
        <v>4</v>
      </c>
      <c r="Z315">
        <v>210.72396694214899</v>
      </c>
      <c r="AA315">
        <v>5</v>
      </c>
      <c r="AB315">
        <v>28.1175346437565</v>
      </c>
      <c r="AC315">
        <v>1.1383707177910001E-2</v>
      </c>
      <c r="AD315">
        <v>3.39561941998064</v>
      </c>
      <c r="AE315">
        <v>0.211830720305443</v>
      </c>
      <c r="AF315">
        <v>632.51735537190098</v>
      </c>
      <c r="AG315">
        <f>IFERROR(AH315*0.1, "N/A")</f>
        <v>6.2894214876033097</v>
      </c>
      <c r="AH315">
        <v>62.894214876033097</v>
      </c>
      <c r="AI315">
        <v>237.633442776262</v>
      </c>
      <c r="AJ315">
        <v>16.433057851239699</v>
      </c>
      <c r="AK315">
        <v>76.566942148760305</v>
      </c>
    </row>
    <row r="316" spans="1:37" x14ac:dyDescent="0.3">
      <c r="A316">
        <v>315</v>
      </c>
      <c r="B316">
        <v>7</v>
      </c>
      <c r="C316">
        <v>30.799101</v>
      </c>
      <c r="D316">
        <v>-16.806000000000001</v>
      </c>
      <c r="E316" t="s">
        <v>508</v>
      </c>
      <c r="F316" t="s">
        <v>509</v>
      </c>
      <c r="G316" t="s">
        <v>37</v>
      </c>
      <c r="H316">
        <v>1985</v>
      </c>
      <c r="I316">
        <v>18.689621810661698</v>
      </c>
      <c r="J316">
        <v>12.3999996185303</v>
      </c>
      <c r="K316">
        <v>54</v>
      </c>
      <c r="L316">
        <v>28.489060111257899</v>
      </c>
      <c r="M316">
        <v>29.389620666252501</v>
      </c>
      <c r="N316">
        <v>6.4896210972127601</v>
      </c>
      <c r="O316">
        <v>22.899999618530298</v>
      </c>
      <c r="P316">
        <v>20.489621047722299</v>
      </c>
      <c r="Q316">
        <v>14.589621429192</v>
      </c>
      <c r="R316">
        <v>21.789620482744802</v>
      </c>
      <c r="S316">
        <v>14.5792424769142</v>
      </c>
      <c r="T316">
        <v>818.31136738056</v>
      </c>
      <c r="U316">
        <v>212.103789126853</v>
      </c>
      <c r="V316">
        <v>0</v>
      </c>
      <c r="W316">
        <v>116.103789126853</v>
      </c>
      <c r="X316">
        <v>590.31136738056</v>
      </c>
      <c r="Y316">
        <v>2</v>
      </c>
      <c r="Z316">
        <v>281.10378912685297</v>
      </c>
      <c r="AA316">
        <v>9</v>
      </c>
      <c r="AB316">
        <v>45.713805850687301</v>
      </c>
      <c r="AC316">
        <v>8.5809161607330008E-3</v>
      </c>
      <c r="AD316">
        <v>2.53690218571972</v>
      </c>
      <c r="AE316">
        <v>0.30528989434242199</v>
      </c>
      <c r="AF316">
        <v>1358.2471169687001</v>
      </c>
      <c r="AG316">
        <f>IFERROR(AH316*0.1, "N/A")</f>
        <v>6.1896210873146602</v>
      </c>
      <c r="AH316">
        <v>61.8962108731466</v>
      </c>
      <c r="AI316">
        <v>260.79093887856999</v>
      </c>
      <c r="AJ316">
        <v>21</v>
      </c>
      <c r="AK316">
        <v>67.1037891268534</v>
      </c>
    </row>
    <row r="317" spans="1:37" x14ac:dyDescent="0.3">
      <c r="A317">
        <v>316</v>
      </c>
      <c r="B317">
        <v>97</v>
      </c>
      <c r="C317">
        <v>30.799101</v>
      </c>
      <c r="D317">
        <v>-16.806000000000001</v>
      </c>
      <c r="E317" t="s">
        <v>508</v>
      </c>
      <c r="F317" t="s">
        <v>510</v>
      </c>
      <c r="G317" t="s">
        <v>39</v>
      </c>
      <c r="H317">
        <v>1985</v>
      </c>
      <c r="I317">
        <v>18.689621810661698</v>
      </c>
      <c r="J317">
        <v>12.3999996185303</v>
      </c>
      <c r="K317">
        <v>54</v>
      </c>
      <c r="L317">
        <v>28.489060111257899</v>
      </c>
      <c r="M317">
        <v>29.389620666252501</v>
      </c>
      <c r="N317">
        <v>6.4896210972127601</v>
      </c>
      <c r="O317">
        <v>22.899999618530298</v>
      </c>
      <c r="P317">
        <v>20.489621047722299</v>
      </c>
      <c r="Q317">
        <v>14.589621429192</v>
      </c>
      <c r="R317">
        <v>21.789620482744802</v>
      </c>
      <c r="S317">
        <v>14.5792424769142</v>
      </c>
      <c r="T317">
        <v>818.31136738056</v>
      </c>
      <c r="U317">
        <v>212.103789126853</v>
      </c>
      <c r="V317">
        <v>0</v>
      </c>
      <c r="W317">
        <v>116.103789126853</v>
      </c>
      <c r="X317">
        <v>590.31136738056</v>
      </c>
      <c r="Y317">
        <v>2</v>
      </c>
      <c r="Z317">
        <v>281.10378912685297</v>
      </c>
      <c r="AA317">
        <v>9</v>
      </c>
      <c r="AB317">
        <v>45.713805850687301</v>
      </c>
      <c r="AC317">
        <v>8.5809161607330008E-3</v>
      </c>
      <c r="AD317">
        <v>2.53690218571972</v>
      </c>
      <c r="AE317">
        <v>0.30528989434242199</v>
      </c>
      <c r="AF317">
        <v>1358.2471169687001</v>
      </c>
      <c r="AG317">
        <f>IFERROR(AH317*0.1, "N/A")</f>
        <v>6.1896210873146602</v>
      </c>
      <c r="AH317">
        <v>61.8962108731466</v>
      </c>
      <c r="AI317">
        <v>260.79093887856999</v>
      </c>
      <c r="AJ317">
        <v>21</v>
      </c>
      <c r="AK317">
        <v>67.1037891268534</v>
      </c>
    </row>
    <row r="318" spans="1:37" x14ac:dyDescent="0.3">
      <c r="A318">
        <v>317</v>
      </c>
      <c r="B318">
        <v>13</v>
      </c>
      <c r="C318">
        <v>30.331099999999999</v>
      </c>
      <c r="D318">
        <v>-16.723400000000002</v>
      </c>
      <c r="E318" t="s">
        <v>511</v>
      </c>
      <c r="F318" t="s">
        <v>512</v>
      </c>
      <c r="G318" t="s">
        <v>37</v>
      </c>
      <c r="H318">
        <v>1985</v>
      </c>
      <c r="I318">
        <v>18.200000762939499</v>
      </c>
      <c r="J318">
        <v>12.699999809265099</v>
      </c>
      <c r="K318">
        <v>57</v>
      </c>
      <c r="L318">
        <v>29.680000305175799</v>
      </c>
      <c r="M318">
        <v>27.799999237060501</v>
      </c>
      <c r="N318">
        <v>5.6999998092651403</v>
      </c>
      <c r="O318">
        <v>22.100000381469702</v>
      </c>
      <c r="P318">
        <v>21</v>
      </c>
      <c r="Q318">
        <v>14</v>
      </c>
      <c r="R318">
        <v>21.200000762939499</v>
      </c>
      <c r="S318">
        <v>14</v>
      </c>
      <c r="T318">
        <v>796</v>
      </c>
      <c r="U318">
        <v>204</v>
      </c>
      <c r="V318">
        <v>0</v>
      </c>
      <c r="W318">
        <v>112</v>
      </c>
      <c r="X318">
        <v>559</v>
      </c>
      <c r="Y318">
        <v>3</v>
      </c>
      <c r="Z318">
        <v>461</v>
      </c>
      <c r="AA318">
        <v>3</v>
      </c>
      <c r="AB318">
        <v>59.891583030373297</v>
      </c>
      <c r="AC318">
        <v>8.2336878250339994E-3</v>
      </c>
      <c r="AD318">
        <v>10.336167958703401</v>
      </c>
      <c r="AE318">
        <v>0.18788258731365201</v>
      </c>
      <c r="AF318">
        <v>1164.6534653465301</v>
      </c>
      <c r="AG318">
        <f>IFERROR(AH318*0.1, "N/A")</f>
        <v>5.6915841584158402</v>
      </c>
      <c r="AH318">
        <v>56.9158415841584</v>
      </c>
      <c r="AI318">
        <v>160.30768899949101</v>
      </c>
      <c r="AJ318">
        <v>18.0841584158416</v>
      </c>
      <c r="AK318">
        <v>73.8316831683168</v>
      </c>
    </row>
    <row r="319" spans="1:37" x14ac:dyDescent="0.3">
      <c r="A319">
        <v>318</v>
      </c>
      <c r="B319">
        <v>90</v>
      </c>
      <c r="C319">
        <v>30.331099999999999</v>
      </c>
      <c r="D319">
        <v>-16.723400000000002</v>
      </c>
      <c r="E319" t="s">
        <v>511</v>
      </c>
      <c r="F319" t="s">
        <v>513</v>
      </c>
      <c r="G319" t="s">
        <v>39</v>
      </c>
      <c r="H319">
        <v>1985</v>
      </c>
      <c r="I319">
        <v>18.200000762939499</v>
      </c>
      <c r="J319">
        <v>12.699999809265099</v>
      </c>
      <c r="K319">
        <v>57</v>
      </c>
      <c r="L319">
        <v>29.680000305175799</v>
      </c>
      <c r="M319">
        <v>27.799999237060501</v>
      </c>
      <c r="N319">
        <v>5.6999998092651403</v>
      </c>
      <c r="O319">
        <v>22.100000381469702</v>
      </c>
      <c r="P319">
        <v>21</v>
      </c>
      <c r="Q319">
        <v>14</v>
      </c>
      <c r="R319">
        <v>21.200000762939499</v>
      </c>
      <c r="S319">
        <v>14</v>
      </c>
      <c r="T319">
        <v>796</v>
      </c>
      <c r="U319">
        <v>204</v>
      </c>
      <c r="V319">
        <v>0</v>
      </c>
      <c r="W319">
        <v>112</v>
      </c>
      <c r="X319">
        <v>559</v>
      </c>
      <c r="Y319">
        <v>3</v>
      </c>
      <c r="Z319">
        <v>461</v>
      </c>
      <c r="AA319">
        <v>3</v>
      </c>
      <c r="AB319">
        <v>59.891583030373297</v>
      </c>
      <c r="AC319">
        <v>8.2336878250339994E-3</v>
      </c>
      <c r="AD319">
        <v>10.336167958703401</v>
      </c>
      <c r="AE319">
        <v>0.18788258731365201</v>
      </c>
      <c r="AF319">
        <v>1164.6534653465301</v>
      </c>
      <c r="AG319">
        <f>IFERROR(AH319*0.1, "N/A")</f>
        <v>5.6915841584158402</v>
      </c>
      <c r="AH319">
        <v>56.9158415841584</v>
      </c>
      <c r="AI319">
        <v>160.30768899949101</v>
      </c>
      <c r="AJ319">
        <v>18.0841584158416</v>
      </c>
      <c r="AK319">
        <v>73.8316831683168</v>
      </c>
    </row>
    <row r="320" spans="1:37" x14ac:dyDescent="0.3">
      <c r="A320">
        <v>319</v>
      </c>
      <c r="B320">
        <v>38</v>
      </c>
      <c r="C320">
        <v>31.251498999999999</v>
      </c>
      <c r="D320">
        <v>-16.685600000000001</v>
      </c>
      <c r="E320" t="s">
        <v>514</v>
      </c>
      <c r="F320" t="s">
        <v>515</v>
      </c>
      <c r="G320" t="s">
        <v>37</v>
      </c>
      <c r="H320">
        <v>1985</v>
      </c>
      <c r="I320">
        <v>19.5</v>
      </c>
      <c r="J320">
        <v>13.300000190734901</v>
      </c>
      <c r="K320">
        <v>55</v>
      </c>
      <c r="L320">
        <v>30.049999237060501</v>
      </c>
      <c r="M320">
        <v>30.100000381469702</v>
      </c>
      <c r="N320">
        <v>6.1999998092651403</v>
      </c>
      <c r="O320">
        <v>23.899999618530298</v>
      </c>
      <c r="P320">
        <v>21.899999618530298</v>
      </c>
      <c r="Q320">
        <v>15.1000003814697</v>
      </c>
      <c r="R320">
        <v>22.5</v>
      </c>
      <c r="S320">
        <v>15.1000003814697</v>
      </c>
      <c r="T320">
        <v>869</v>
      </c>
      <c r="U320">
        <v>235</v>
      </c>
      <c r="V320">
        <v>0</v>
      </c>
      <c r="W320">
        <v>118</v>
      </c>
      <c r="X320">
        <v>631</v>
      </c>
      <c r="Y320">
        <v>2</v>
      </c>
      <c r="Z320">
        <v>287</v>
      </c>
      <c r="AA320">
        <v>2</v>
      </c>
      <c r="AB320">
        <v>3.8021361496274801</v>
      </c>
      <c r="AC320">
        <v>50.516159087567502</v>
      </c>
      <c r="AD320">
        <v>3.93036552651829</v>
      </c>
      <c r="AE320">
        <v>0.26454478502273598</v>
      </c>
      <c r="AF320">
        <v>1085.5380794702</v>
      </c>
      <c r="AG320">
        <f>IFERROR(AH320*0.1, "N/A")</f>
        <v>5.6000000000000005</v>
      </c>
      <c r="AH320">
        <v>56</v>
      </c>
      <c r="AI320">
        <v>102.91105523330501</v>
      </c>
      <c r="AJ320">
        <v>25.9006622516556</v>
      </c>
      <c r="AK320">
        <v>63.049668874172198</v>
      </c>
    </row>
    <row r="321" spans="1:37" x14ac:dyDescent="0.3">
      <c r="A321">
        <v>320</v>
      </c>
      <c r="B321">
        <v>87</v>
      </c>
      <c r="C321">
        <v>31.251498999999999</v>
      </c>
      <c r="D321">
        <v>-16.685600000000001</v>
      </c>
      <c r="E321" t="s">
        <v>514</v>
      </c>
      <c r="F321" t="s">
        <v>516</v>
      </c>
      <c r="G321" t="s">
        <v>39</v>
      </c>
      <c r="H321">
        <v>1985</v>
      </c>
      <c r="I321">
        <v>19.5</v>
      </c>
      <c r="J321">
        <v>13.300000190734901</v>
      </c>
      <c r="K321">
        <v>55</v>
      </c>
      <c r="L321">
        <v>30.049999237060501</v>
      </c>
      <c r="M321">
        <v>30.100000381469702</v>
      </c>
      <c r="N321">
        <v>6.1999998092651403</v>
      </c>
      <c r="O321">
        <v>23.899999618530298</v>
      </c>
      <c r="P321">
        <v>21.899999618530298</v>
      </c>
      <c r="Q321">
        <v>15.1000003814697</v>
      </c>
      <c r="R321">
        <v>22.5</v>
      </c>
      <c r="S321">
        <v>15.1000003814697</v>
      </c>
      <c r="T321">
        <v>869</v>
      </c>
      <c r="U321">
        <v>235</v>
      </c>
      <c r="V321">
        <v>0</v>
      </c>
      <c r="W321">
        <v>118</v>
      </c>
      <c r="X321">
        <v>631</v>
      </c>
      <c r="Y321">
        <v>2</v>
      </c>
      <c r="Z321">
        <v>287</v>
      </c>
      <c r="AA321">
        <v>2</v>
      </c>
      <c r="AB321">
        <v>3.8021361496274801</v>
      </c>
      <c r="AC321">
        <v>50.516159087567502</v>
      </c>
      <c r="AD321">
        <v>3.93036552651829</v>
      </c>
      <c r="AE321">
        <v>0.26454478502273598</v>
      </c>
      <c r="AF321">
        <v>1085.5380794702</v>
      </c>
      <c r="AG321">
        <f>IFERROR(AH321*0.1, "N/A")</f>
        <v>5.6000000000000005</v>
      </c>
      <c r="AH321">
        <v>56</v>
      </c>
      <c r="AI321">
        <v>102.91105523330501</v>
      </c>
      <c r="AJ321">
        <v>25.9006622516556</v>
      </c>
      <c r="AK321">
        <v>63.049668874172198</v>
      </c>
    </row>
    <row r="322" spans="1:37" x14ac:dyDescent="0.3">
      <c r="A322">
        <v>321</v>
      </c>
      <c r="B322">
        <v>3</v>
      </c>
      <c r="C322">
        <v>29.444799</v>
      </c>
      <c r="D322">
        <v>-16.642799</v>
      </c>
      <c r="E322" t="s">
        <v>517</v>
      </c>
      <c r="F322" t="s">
        <v>518</v>
      </c>
      <c r="G322" t="s">
        <v>37</v>
      </c>
      <c r="H322">
        <v>1985</v>
      </c>
      <c r="I322">
        <v>20.600000381469702</v>
      </c>
      <c r="J322">
        <v>12.3999996185303</v>
      </c>
      <c r="K322">
        <v>53</v>
      </c>
      <c r="L322">
        <v>28.299999237060501</v>
      </c>
      <c r="M322">
        <v>31.5</v>
      </c>
      <c r="N322">
        <v>8.3000001907348597</v>
      </c>
      <c r="O322">
        <v>23.200000762939499</v>
      </c>
      <c r="P322">
        <v>22.200000762939499</v>
      </c>
      <c r="Q322">
        <v>16.5</v>
      </c>
      <c r="R322">
        <v>23.700000762939499</v>
      </c>
      <c r="S322">
        <v>16.5</v>
      </c>
      <c r="T322">
        <v>808</v>
      </c>
      <c r="U322">
        <v>203</v>
      </c>
      <c r="V322">
        <v>0</v>
      </c>
      <c r="W322">
        <v>112</v>
      </c>
      <c r="X322">
        <v>563</v>
      </c>
      <c r="Y322">
        <v>3</v>
      </c>
      <c r="Z322">
        <v>285</v>
      </c>
      <c r="AA322">
        <v>3</v>
      </c>
      <c r="AB322">
        <v>7.5493928012468903</v>
      </c>
      <c r="AC322">
        <v>6.6454493838504006E-2</v>
      </c>
      <c r="AD322">
        <v>2.3952732103944601</v>
      </c>
      <c r="AE322">
        <v>0.19250059127807601</v>
      </c>
      <c r="AF322">
        <v>1041.35927152318</v>
      </c>
      <c r="AG322">
        <f>IFERROR(AH322*0.1, "N/A")</f>
        <v>6.1615894039735108</v>
      </c>
      <c r="AH322">
        <v>61.615894039735103</v>
      </c>
      <c r="AI322">
        <v>49.234732864708299</v>
      </c>
      <c r="AJ322">
        <v>21.109271523178801</v>
      </c>
      <c r="AK322">
        <v>67.917218543046403</v>
      </c>
    </row>
    <row r="323" spans="1:37" x14ac:dyDescent="0.3">
      <c r="A323">
        <v>322</v>
      </c>
      <c r="B323">
        <v>44</v>
      </c>
      <c r="C323">
        <v>29.444799</v>
      </c>
      <c r="D323">
        <v>-16.642799</v>
      </c>
      <c r="E323" t="s">
        <v>517</v>
      </c>
      <c r="F323" t="s">
        <v>519</v>
      </c>
      <c r="G323" t="s">
        <v>39</v>
      </c>
      <c r="H323">
        <v>1985</v>
      </c>
      <c r="I323">
        <v>20.600000381469702</v>
      </c>
      <c r="J323">
        <v>12.3999996185303</v>
      </c>
      <c r="K323">
        <v>53</v>
      </c>
      <c r="L323">
        <v>28.299999237060501</v>
      </c>
      <c r="M323">
        <v>31.5</v>
      </c>
      <c r="N323">
        <v>8.3000001907348597</v>
      </c>
      <c r="O323">
        <v>23.200000762939499</v>
      </c>
      <c r="P323">
        <v>22.200000762939499</v>
      </c>
      <c r="Q323">
        <v>16.5</v>
      </c>
      <c r="R323">
        <v>23.700000762939499</v>
      </c>
      <c r="S323">
        <v>16.5</v>
      </c>
      <c r="T323">
        <v>808</v>
      </c>
      <c r="U323">
        <v>203</v>
      </c>
      <c r="V323">
        <v>0</v>
      </c>
      <c r="W323">
        <v>112</v>
      </c>
      <c r="X323">
        <v>563</v>
      </c>
      <c r="Y323">
        <v>3</v>
      </c>
      <c r="Z323">
        <v>285</v>
      </c>
      <c r="AA323">
        <v>3</v>
      </c>
      <c r="AB323">
        <v>7.5493928012468903</v>
      </c>
      <c r="AC323">
        <v>6.6454493838504006E-2</v>
      </c>
      <c r="AD323">
        <v>2.3952732103944601</v>
      </c>
      <c r="AE323">
        <v>0.19250059127807601</v>
      </c>
      <c r="AF323">
        <v>1041.35927152318</v>
      </c>
      <c r="AG323">
        <f>IFERROR(AH323*0.1, "N/A")</f>
        <v>6.1615894039735108</v>
      </c>
      <c r="AH323">
        <v>61.615894039735103</v>
      </c>
      <c r="AI323">
        <v>49.234732864708299</v>
      </c>
      <c r="AJ323">
        <v>21.109271523178801</v>
      </c>
      <c r="AK323">
        <v>67.917218543046403</v>
      </c>
    </row>
    <row r="324" spans="1:37" x14ac:dyDescent="0.3">
      <c r="A324">
        <v>323</v>
      </c>
      <c r="B324">
        <v>21</v>
      </c>
      <c r="C324">
        <v>31.8948</v>
      </c>
      <c r="D324">
        <v>-16.609200000000001</v>
      </c>
      <c r="E324" t="s">
        <v>520</v>
      </c>
      <c r="F324" t="s">
        <v>521</v>
      </c>
      <c r="G324" t="s">
        <v>37</v>
      </c>
      <c r="H324">
        <v>1985</v>
      </c>
      <c r="I324">
        <v>20.200000762939499</v>
      </c>
      <c r="J324">
        <v>13.8999996185303</v>
      </c>
      <c r="K324">
        <v>58</v>
      </c>
      <c r="L324">
        <v>30.579999923706101</v>
      </c>
      <c r="M324">
        <v>30.399999618530298</v>
      </c>
      <c r="N324">
        <v>6.8000001907348597</v>
      </c>
      <c r="O324">
        <v>23.600000381469702</v>
      </c>
      <c r="P324">
        <v>23</v>
      </c>
      <c r="Q324">
        <v>15.800000190734901</v>
      </c>
      <c r="R324">
        <v>23.200000762939499</v>
      </c>
      <c r="S324">
        <v>15.800000190734901</v>
      </c>
      <c r="T324">
        <v>699</v>
      </c>
      <c r="U324">
        <v>198</v>
      </c>
      <c r="V324">
        <v>0</v>
      </c>
      <c r="W324">
        <v>120</v>
      </c>
      <c r="X324">
        <v>517</v>
      </c>
      <c r="Y324">
        <v>2</v>
      </c>
      <c r="Z324">
        <v>426</v>
      </c>
      <c r="AA324">
        <v>2</v>
      </c>
      <c r="AB324">
        <v>13.588918723807399</v>
      </c>
      <c r="AC324">
        <v>1.3369183194830001E-2</v>
      </c>
      <c r="AD324">
        <v>3.4584628067269199</v>
      </c>
      <c r="AE324">
        <v>0.268386751413345</v>
      </c>
      <c r="AF324">
        <v>861.02483443708604</v>
      </c>
      <c r="AG324">
        <f>IFERROR(AH324*0.1, "N/A")</f>
        <v>6.0622516556291401</v>
      </c>
      <c r="AH324">
        <v>60.622516556291401</v>
      </c>
      <c r="AI324">
        <v>192.13941046102201</v>
      </c>
      <c r="AJ324">
        <v>18.682119205298001</v>
      </c>
      <c r="AK324">
        <v>71.940397350993393</v>
      </c>
    </row>
    <row r="325" spans="1:37" x14ac:dyDescent="0.3">
      <c r="A325">
        <v>324</v>
      </c>
      <c r="B325">
        <v>85</v>
      </c>
      <c r="C325">
        <v>31.8948</v>
      </c>
      <c r="D325">
        <v>-16.609200000000001</v>
      </c>
      <c r="E325" t="s">
        <v>520</v>
      </c>
      <c r="F325" t="s">
        <v>522</v>
      </c>
      <c r="G325" t="s">
        <v>39</v>
      </c>
      <c r="H325">
        <v>1985</v>
      </c>
      <c r="I325">
        <v>20.200000762939499</v>
      </c>
      <c r="J325">
        <v>13.8999996185303</v>
      </c>
      <c r="K325">
        <v>58</v>
      </c>
      <c r="L325">
        <v>30.579999923706101</v>
      </c>
      <c r="M325">
        <v>30.399999618530298</v>
      </c>
      <c r="N325">
        <v>6.8000001907348597</v>
      </c>
      <c r="O325">
        <v>23.600000381469702</v>
      </c>
      <c r="P325">
        <v>23</v>
      </c>
      <c r="Q325">
        <v>15.800000190734901</v>
      </c>
      <c r="R325">
        <v>23.200000762939499</v>
      </c>
      <c r="S325">
        <v>15.800000190734901</v>
      </c>
      <c r="T325">
        <v>699</v>
      </c>
      <c r="U325">
        <v>198</v>
      </c>
      <c r="V325">
        <v>0</v>
      </c>
      <c r="W325">
        <v>120</v>
      </c>
      <c r="X325">
        <v>517</v>
      </c>
      <c r="Y325">
        <v>2</v>
      </c>
      <c r="Z325">
        <v>426</v>
      </c>
      <c r="AA325">
        <v>2</v>
      </c>
      <c r="AB325">
        <v>13.588918723807399</v>
      </c>
      <c r="AC325">
        <v>1.3369183194830001E-2</v>
      </c>
      <c r="AD325">
        <v>3.4584628067269199</v>
      </c>
      <c r="AE325">
        <v>0.268386751413345</v>
      </c>
      <c r="AF325">
        <v>861.02483443708604</v>
      </c>
      <c r="AG325">
        <f>IFERROR(AH325*0.1, "N/A")</f>
        <v>6.0622516556291401</v>
      </c>
      <c r="AH325">
        <v>60.622516556291401</v>
      </c>
      <c r="AI325">
        <v>192.13941046102201</v>
      </c>
      <c r="AJ325">
        <v>18.682119205298001</v>
      </c>
      <c r="AK325">
        <v>71.940397350993393</v>
      </c>
    </row>
    <row r="326" spans="1:37" x14ac:dyDescent="0.3">
      <c r="A326">
        <v>325</v>
      </c>
      <c r="B326">
        <v>9</v>
      </c>
      <c r="C326">
        <v>29.835899000000001</v>
      </c>
      <c r="D326">
        <v>-16.575199000000001</v>
      </c>
      <c r="E326" t="s">
        <v>523</v>
      </c>
      <c r="F326" t="s">
        <v>524</v>
      </c>
      <c r="G326" t="s">
        <v>37</v>
      </c>
      <c r="H326">
        <v>1985</v>
      </c>
      <c r="I326">
        <v>19.700000762939499</v>
      </c>
      <c r="J326">
        <v>12.199999809265099</v>
      </c>
      <c r="K326">
        <v>53</v>
      </c>
      <c r="L326">
        <v>28.589702003049499</v>
      </c>
      <c r="M326">
        <v>30.021357697366899</v>
      </c>
      <c r="N326">
        <v>7.4000000953674299</v>
      </c>
      <c r="O326">
        <v>22.6213580788366</v>
      </c>
      <c r="P326">
        <v>21.799999237060501</v>
      </c>
      <c r="Q326">
        <v>15.5</v>
      </c>
      <c r="R326">
        <v>22.542715394733801</v>
      </c>
      <c r="S326">
        <v>15.5</v>
      </c>
      <c r="T326">
        <v>827.78642384106001</v>
      </c>
      <c r="U326">
        <v>203</v>
      </c>
      <c r="V326">
        <v>0</v>
      </c>
      <c r="W326">
        <v>112.21357615894</v>
      </c>
      <c r="X326">
        <v>578</v>
      </c>
      <c r="Y326">
        <v>3</v>
      </c>
      <c r="Z326">
        <v>289.78642384106001</v>
      </c>
      <c r="AA326">
        <v>3</v>
      </c>
      <c r="AB326">
        <v>14.6130433745732</v>
      </c>
      <c r="AC326">
        <v>2.8059633470306999E-2</v>
      </c>
      <c r="AD326">
        <v>2.39042482905041</v>
      </c>
      <c r="AE326">
        <v>0.20093351602554299</v>
      </c>
      <c r="AF326">
        <v>1161.1473509933801</v>
      </c>
      <c r="AG326">
        <f>IFERROR(AH326*0.1, "N/A")</f>
        <v>6.1314569536423802</v>
      </c>
      <c r="AH326">
        <v>61.314569536423797</v>
      </c>
      <c r="AI326">
        <v>94.053039677095697</v>
      </c>
      <c r="AJ326">
        <v>18.2152317880795</v>
      </c>
      <c r="AK326">
        <v>72.417218543046303</v>
      </c>
    </row>
    <row r="327" spans="1:37" x14ac:dyDescent="0.3">
      <c r="A327">
        <v>326</v>
      </c>
      <c r="B327">
        <v>78</v>
      </c>
      <c r="C327">
        <v>29.835899000000001</v>
      </c>
      <c r="D327">
        <v>-16.575199000000001</v>
      </c>
      <c r="E327" t="s">
        <v>523</v>
      </c>
      <c r="F327" t="s">
        <v>525</v>
      </c>
      <c r="G327" t="s">
        <v>39</v>
      </c>
      <c r="H327">
        <v>1985</v>
      </c>
      <c r="I327">
        <v>19.700000762939499</v>
      </c>
      <c r="J327">
        <v>12.199999809265099</v>
      </c>
      <c r="K327">
        <v>53</v>
      </c>
      <c r="L327">
        <v>28.589702003049499</v>
      </c>
      <c r="M327">
        <v>30.021357697366899</v>
      </c>
      <c r="N327">
        <v>7.4000000953674299</v>
      </c>
      <c r="O327">
        <v>22.6213580788366</v>
      </c>
      <c r="P327">
        <v>21.799999237060501</v>
      </c>
      <c r="Q327">
        <v>15.5</v>
      </c>
      <c r="R327">
        <v>22.542715394733801</v>
      </c>
      <c r="S327">
        <v>15.5</v>
      </c>
      <c r="T327">
        <v>827.78642384106001</v>
      </c>
      <c r="U327">
        <v>203</v>
      </c>
      <c r="V327">
        <v>0</v>
      </c>
      <c r="W327">
        <v>112.21357615894</v>
      </c>
      <c r="X327">
        <v>578</v>
      </c>
      <c r="Y327">
        <v>3</v>
      </c>
      <c r="Z327">
        <v>289.78642384106001</v>
      </c>
      <c r="AA327">
        <v>3</v>
      </c>
      <c r="AB327">
        <v>14.6130433745732</v>
      </c>
      <c r="AC327">
        <v>2.8059633470306999E-2</v>
      </c>
      <c r="AD327">
        <v>2.39042482905041</v>
      </c>
      <c r="AE327">
        <v>0.20093351602554299</v>
      </c>
      <c r="AF327">
        <v>1161.1473509933801</v>
      </c>
      <c r="AG327">
        <f>IFERROR(AH327*0.1, "N/A")</f>
        <v>6.1314569536423802</v>
      </c>
      <c r="AH327">
        <v>61.314569536423797</v>
      </c>
      <c r="AI327">
        <v>94.053039677095697</v>
      </c>
      <c r="AJ327">
        <v>18.2152317880795</v>
      </c>
      <c r="AK327">
        <v>72.417218543046303</v>
      </c>
    </row>
    <row r="328" spans="1:37" x14ac:dyDescent="0.3">
      <c r="A328">
        <v>327</v>
      </c>
      <c r="B328">
        <v>55</v>
      </c>
      <c r="C328">
        <v>30.8293</v>
      </c>
      <c r="D328">
        <v>-16.4438</v>
      </c>
      <c r="E328" t="s">
        <v>526</v>
      </c>
      <c r="F328" t="s">
        <v>527</v>
      </c>
      <c r="G328" t="s">
        <v>37</v>
      </c>
      <c r="H328">
        <v>1985</v>
      </c>
      <c r="I328">
        <v>20.799999237060501</v>
      </c>
      <c r="J328">
        <v>13.300000190734901</v>
      </c>
      <c r="K328">
        <v>56</v>
      </c>
      <c r="L328">
        <v>28.909999847412099</v>
      </c>
      <c r="M328">
        <v>31.399999618530298</v>
      </c>
      <c r="N328">
        <v>7.8000001907348597</v>
      </c>
      <c r="O328">
        <v>23.600000381469702</v>
      </c>
      <c r="P328">
        <v>22.899999618530298</v>
      </c>
      <c r="Q328">
        <v>16.600000381469702</v>
      </c>
      <c r="R328">
        <v>23.700000762939499</v>
      </c>
      <c r="S328">
        <v>16.600000381469702</v>
      </c>
      <c r="T328">
        <v>840</v>
      </c>
      <c r="U328">
        <v>222</v>
      </c>
      <c r="V328">
        <v>0</v>
      </c>
      <c r="W328">
        <v>120</v>
      </c>
      <c r="X328">
        <v>626</v>
      </c>
      <c r="Y328">
        <v>1</v>
      </c>
      <c r="Z328">
        <v>278</v>
      </c>
      <c r="AA328">
        <v>1</v>
      </c>
      <c r="AB328">
        <v>83.641967168130193</v>
      </c>
      <c r="AC328">
        <v>1.3968521759899001E-2</v>
      </c>
      <c r="AD328">
        <v>21.1888532874998</v>
      </c>
      <c r="AE328">
        <v>0.225949451327324</v>
      </c>
      <c r="AF328">
        <v>931.84628099173597</v>
      </c>
      <c r="AG328">
        <f>IFERROR(AH328*0.1, "N/A")</f>
        <v>6.0525619834710707</v>
      </c>
      <c r="AH328">
        <v>60.525619834710703</v>
      </c>
      <c r="AI328">
        <v>26.300875022194599</v>
      </c>
      <c r="AJ328">
        <v>28</v>
      </c>
      <c r="AK328">
        <v>56.038016528925603</v>
      </c>
    </row>
    <row r="329" spans="1:37" x14ac:dyDescent="0.3">
      <c r="A329">
        <v>328</v>
      </c>
      <c r="B329">
        <v>61</v>
      </c>
      <c r="C329">
        <v>30.8293</v>
      </c>
      <c r="D329">
        <v>-16.4438</v>
      </c>
      <c r="E329" t="s">
        <v>526</v>
      </c>
      <c r="F329" t="s">
        <v>528</v>
      </c>
      <c r="G329" t="s">
        <v>39</v>
      </c>
      <c r="H329">
        <v>1985</v>
      </c>
      <c r="I329">
        <v>20.799999237060501</v>
      </c>
      <c r="J329">
        <v>13.300000190734901</v>
      </c>
      <c r="K329">
        <v>56</v>
      </c>
      <c r="L329">
        <v>28.909999847412099</v>
      </c>
      <c r="M329">
        <v>31.399999618530298</v>
      </c>
      <c r="N329">
        <v>7.8000001907348597</v>
      </c>
      <c r="O329">
        <v>23.600000381469702</v>
      </c>
      <c r="P329">
        <v>22.899999618530298</v>
      </c>
      <c r="Q329">
        <v>16.600000381469702</v>
      </c>
      <c r="R329">
        <v>23.700000762939499</v>
      </c>
      <c r="S329">
        <v>16.600000381469702</v>
      </c>
      <c r="T329">
        <v>840</v>
      </c>
      <c r="U329">
        <v>222</v>
      </c>
      <c r="V329">
        <v>0</v>
      </c>
      <c r="W329">
        <v>120</v>
      </c>
      <c r="X329">
        <v>626</v>
      </c>
      <c r="Y329">
        <v>1</v>
      </c>
      <c r="Z329">
        <v>278</v>
      </c>
      <c r="AA329">
        <v>1</v>
      </c>
      <c r="AB329">
        <v>83.641967168130193</v>
      </c>
      <c r="AC329">
        <v>1.3968521759899001E-2</v>
      </c>
      <c r="AD329">
        <v>21.1888532874998</v>
      </c>
      <c r="AE329">
        <v>0.225949451327324</v>
      </c>
      <c r="AF329">
        <v>931.84628099173597</v>
      </c>
      <c r="AG329">
        <f>IFERROR(AH329*0.1, "N/A")</f>
        <v>6.0525619834710707</v>
      </c>
      <c r="AH329">
        <v>60.525619834710703</v>
      </c>
      <c r="AI329">
        <v>26.300875022194599</v>
      </c>
      <c r="AJ329">
        <v>28</v>
      </c>
      <c r="AK329">
        <v>56.038016528925603</v>
      </c>
    </row>
    <row r="330" spans="1:37" x14ac:dyDescent="0.3">
      <c r="A330">
        <v>329</v>
      </c>
      <c r="B330">
        <v>52</v>
      </c>
      <c r="C330">
        <v>31.155799999999999</v>
      </c>
      <c r="D330">
        <v>-16.358298999999999</v>
      </c>
      <c r="E330" t="s">
        <v>529</v>
      </c>
      <c r="F330" t="s">
        <v>530</v>
      </c>
      <c r="G330" t="s">
        <v>37</v>
      </c>
      <c r="H330">
        <v>1985</v>
      </c>
      <c r="I330">
        <v>22.753807888915201</v>
      </c>
      <c r="J330">
        <v>14.699999809265099</v>
      </c>
      <c r="K330">
        <v>59</v>
      </c>
      <c r="L330">
        <v>31.0162911730886</v>
      </c>
      <c r="M330">
        <v>33.353808415646597</v>
      </c>
      <c r="N330">
        <v>8.60761579140922</v>
      </c>
      <c r="O330">
        <v>24.746192111084799</v>
      </c>
      <c r="P330">
        <v>25.399999618530298</v>
      </c>
      <c r="Q330">
        <v>18.253807888915201</v>
      </c>
      <c r="R330">
        <v>25.700000762939499</v>
      </c>
      <c r="S330">
        <v>18.253807888915201</v>
      </c>
      <c r="T330">
        <v>813.92384105960298</v>
      </c>
      <c r="U330">
        <v>226.46192052980101</v>
      </c>
      <c r="V330">
        <v>0</v>
      </c>
      <c r="W330">
        <v>130</v>
      </c>
      <c r="X330">
        <v>645.92384105960298</v>
      </c>
      <c r="Y330">
        <v>0</v>
      </c>
      <c r="Z330">
        <v>473.92384105960298</v>
      </c>
      <c r="AA330">
        <v>0</v>
      </c>
      <c r="AB330">
        <v>4.1084468917341397</v>
      </c>
      <c r="AC330">
        <v>8.7111942479330007E-3</v>
      </c>
      <c r="AD330">
        <v>1.1255219280719799</v>
      </c>
      <c r="AE330">
        <v>0.47838622331619302</v>
      </c>
      <c r="AF330">
        <v>420.33940397351</v>
      </c>
      <c r="AG330">
        <f>IFERROR(AH330*0.1, "N/A")</f>
        <v>6.2</v>
      </c>
      <c r="AH330">
        <v>62</v>
      </c>
      <c r="AI330">
        <v>202.780064036515</v>
      </c>
      <c r="AJ330">
        <v>20</v>
      </c>
      <c r="AK330">
        <v>68.150662251655604</v>
      </c>
    </row>
    <row r="331" spans="1:37" x14ac:dyDescent="0.3">
      <c r="A331">
        <v>330</v>
      </c>
      <c r="B331">
        <v>24</v>
      </c>
      <c r="C331">
        <v>31.155799999999999</v>
      </c>
      <c r="D331">
        <v>-16.358298999999999</v>
      </c>
      <c r="E331" t="s">
        <v>529</v>
      </c>
      <c r="F331" t="s">
        <v>531</v>
      </c>
      <c r="G331" t="s">
        <v>39</v>
      </c>
      <c r="H331">
        <v>1985</v>
      </c>
      <c r="I331">
        <v>22.753807888915201</v>
      </c>
      <c r="J331">
        <v>14.699999809265099</v>
      </c>
      <c r="K331">
        <v>59</v>
      </c>
      <c r="L331">
        <v>31.0162911730886</v>
      </c>
      <c r="M331">
        <v>33.353808415646597</v>
      </c>
      <c r="N331">
        <v>8.60761579140922</v>
      </c>
      <c r="O331">
        <v>24.746192111084799</v>
      </c>
      <c r="P331">
        <v>25.399999618530298</v>
      </c>
      <c r="Q331">
        <v>18.253807888915201</v>
      </c>
      <c r="R331">
        <v>25.700000762939499</v>
      </c>
      <c r="S331">
        <v>18.253807888915201</v>
      </c>
      <c r="T331">
        <v>813.92384105960298</v>
      </c>
      <c r="U331">
        <v>226.46192052980101</v>
      </c>
      <c r="V331">
        <v>0</v>
      </c>
      <c r="W331">
        <v>130</v>
      </c>
      <c r="X331">
        <v>645.92384105960298</v>
      </c>
      <c r="Y331">
        <v>0</v>
      </c>
      <c r="Z331">
        <v>473.92384105960298</v>
      </c>
      <c r="AA331">
        <v>0</v>
      </c>
      <c r="AB331">
        <v>4.1084468917341397</v>
      </c>
      <c r="AC331">
        <v>8.7111942479330007E-3</v>
      </c>
      <c r="AD331">
        <v>1.1255219280719799</v>
      </c>
      <c r="AE331">
        <v>0.47838622331619302</v>
      </c>
      <c r="AF331">
        <v>420.33940397351</v>
      </c>
      <c r="AG331">
        <f>IFERROR(AH331*0.1, "N/A")</f>
        <v>6.2</v>
      </c>
      <c r="AH331">
        <v>62</v>
      </c>
      <c r="AI331">
        <v>202.780064036515</v>
      </c>
      <c r="AJ331">
        <v>20</v>
      </c>
      <c r="AK331">
        <v>68.150662251655604</v>
      </c>
    </row>
    <row r="332" spans="1:37" x14ac:dyDescent="0.3">
      <c r="A332">
        <v>331</v>
      </c>
      <c r="B332">
        <v>5</v>
      </c>
      <c r="C332">
        <v>30.372601</v>
      </c>
      <c r="D332">
        <v>-16.205601000000001</v>
      </c>
      <c r="E332" t="s">
        <v>532</v>
      </c>
      <c r="F332" t="s">
        <v>533</v>
      </c>
      <c r="G332" t="s">
        <v>37</v>
      </c>
      <c r="H332">
        <v>1985</v>
      </c>
      <c r="I332">
        <v>23.100000381469702</v>
      </c>
      <c r="J332">
        <v>14</v>
      </c>
      <c r="K332">
        <v>58</v>
      </c>
      <c r="L332">
        <v>30.559999465942401</v>
      </c>
      <c r="M332">
        <v>33.700000762939503</v>
      </c>
      <c r="N332">
        <v>9.6000003814697301</v>
      </c>
      <c r="O332">
        <v>24.100000381469702</v>
      </c>
      <c r="P332">
        <v>25.600000381469702</v>
      </c>
      <c r="Q332">
        <v>18.600000381469702</v>
      </c>
      <c r="R332">
        <v>26.100000381469702</v>
      </c>
      <c r="S332">
        <v>18.600000381469702</v>
      </c>
      <c r="T332">
        <v>757</v>
      </c>
      <c r="U332">
        <v>204</v>
      </c>
      <c r="V332">
        <v>0</v>
      </c>
      <c r="W332">
        <v>120</v>
      </c>
      <c r="X332">
        <v>563</v>
      </c>
      <c r="Y332">
        <v>0</v>
      </c>
      <c r="Z332">
        <v>277</v>
      </c>
      <c r="AA332">
        <v>0</v>
      </c>
      <c r="AB332">
        <v>12.6811205125013</v>
      </c>
      <c r="AC332">
        <v>1.7748519304881E-2</v>
      </c>
      <c r="AD332">
        <v>3.0014578419805402</v>
      </c>
      <c r="AE332">
        <v>0.19288446009159099</v>
      </c>
      <c r="AF332">
        <v>460.88079470198699</v>
      </c>
      <c r="AG332">
        <f>IFERROR(AH332*0.1, "N/A")</f>
        <v>6.4</v>
      </c>
      <c r="AH332">
        <v>64</v>
      </c>
      <c r="AI332">
        <v>150.921130098254</v>
      </c>
      <c r="AJ332">
        <v>17</v>
      </c>
      <c r="AK332">
        <v>74.7582781456954</v>
      </c>
    </row>
    <row r="333" spans="1:37" x14ac:dyDescent="0.3">
      <c r="A333">
        <v>332</v>
      </c>
      <c r="B333">
        <v>31</v>
      </c>
      <c r="C333">
        <v>30.372601</v>
      </c>
      <c r="D333">
        <v>-16.205601000000001</v>
      </c>
      <c r="E333" t="s">
        <v>532</v>
      </c>
      <c r="F333" t="s">
        <v>534</v>
      </c>
      <c r="G333" t="s">
        <v>39</v>
      </c>
      <c r="H333">
        <v>1985</v>
      </c>
      <c r="I333">
        <v>23.100000381469702</v>
      </c>
      <c r="J333">
        <v>14</v>
      </c>
      <c r="K333">
        <v>58</v>
      </c>
      <c r="L333">
        <v>30.559999465942401</v>
      </c>
      <c r="M333">
        <v>33.700000762939503</v>
      </c>
      <c r="N333">
        <v>9.6000003814697301</v>
      </c>
      <c r="O333">
        <v>24.100000381469702</v>
      </c>
      <c r="P333">
        <v>25.600000381469702</v>
      </c>
      <c r="Q333">
        <v>18.600000381469702</v>
      </c>
      <c r="R333">
        <v>26.100000381469702</v>
      </c>
      <c r="S333">
        <v>18.600000381469702</v>
      </c>
      <c r="T333">
        <v>757</v>
      </c>
      <c r="U333">
        <v>204</v>
      </c>
      <c r="V333">
        <v>0</v>
      </c>
      <c r="W333">
        <v>120</v>
      </c>
      <c r="X333">
        <v>563</v>
      </c>
      <c r="Y333">
        <v>0</v>
      </c>
      <c r="Z333">
        <v>277</v>
      </c>
      <c r="AA333">
        <v>0</v>
      </c>
      <c r="AB333">
        <v>12.6811205125013</v>
      </c>
      <c r="AC333">
        <v>1.7748519304881E-2</v>
      </c>
      <c r="AD333">
        <v>3.0014578419805402</v>
      </c>
      <c r="AE333">
        <v>0.19288446009159099</v>
      </c>
      <c r="AF333">
        <v>460.88079470198699</v>
      </c>
      <c r="AG333">
        <f>IFERROR(AH333*0.1, "N/A")</f>
        <v>6.4</v>
      </c>
      <c r="AH333">
        <v>64</v>
      </c>
      <c r="AI333">
        <v>150.921130098254</v>
      </c>
      <c r="AJ333">
        <v>17</v>
      </c>
      <c r="AK333">
        <v>74.7582781456954</v>
      </c>
    </row>
    <row r="334" spans="1:37" x14ac:dyDescent="0.3">
      <c r="A334">
        <v>333</v>
      </c>
      <c r="B334">
        <v>1.9</v>
      </c>
      <c r="C334">
        <v>28.8477</v>
      </c>
      <c r="D334">
        <v>-16.520201</v>
      </c>
      <c r="E334" t="s">
        <v>535</v>
      </c>
      <c r="F334" t="s">
        <v>536</v>
      </c>
      <c r="G334" t="s">
        <v>39</v>
      </c>
      <c r="H334">
        <v>2003</v>
      </c>
      <c r="I334">
        <v>24.799999237060501</v>
      </c>
      <c r="J334">
        <v>13.1000003814697</v>
      </c>
      <c r="K334">
        <v>52</v>
      </c>
      <c r="L334">
        <v>31.340000152587901</v>
      </c>
      <c r="M334">
        <v>36.299999237060497</v>
      </c>
      <c r="N334">
        <v>11.300000190734901</v>
      </c>
      <c r="O334">
        <v>25</v>
      </c>
      <c r="P334">
        <v>26.200000762939499</v>
      </c>
      <c r="Q334">
        <v>20.399999618530298</v>
      </c>
      <c r="R334">
        <v>28.200000762939499</v>
      </c>
      <c r="S334">
        <v>20.299999237060501</v>
      </c>
      <c r="T334">
        <v>748</v>
      </c>
      <c r="U334">
        <v>187</v>
      </c>
      <c r="V334">
        <v>0</v>
      </c>
      <c r="W334">
        <v>114</v>
      </c>
      <c r="X334">
        <v>524</v>
      </c>
      <c r="Y334">
        <v>0</v>
      </c>
      <c r="Z334">
        <v>266</v>
      </c>
      <c r="AA334">
        <v>5</v>
      </c>
      <c r="AB334">
        <v>13.947196050984999</v>
      </c>
      <c r="AC334">
        <v>6.5912490106181998E-2</v>
      </c>
      <c r="AD334">
        <v>3.1629660251914302</v>
      </c>
      <c r="AE334">
        <v>0.62058401107788097</v>
      </c>
      <c r="AF334">
        <v>496.91887417218499</v>
      </c>
      <c r="AG334">
        <f>IFERROR(AH334*0.1, "N/A")</f>
        <v>6.3000000000000007</v>
      </c>
      <c r="AH334">
        <v>63</v>
      </c>
      <c r="AI334">
        <v>205.996821043507</v>
      </c>
      <c r="AJ334">
        <v>20.592715231788102</v>
      </c>
      <c r="AK334">
        <v>70.814569536423804</v>
      </c>
    </row>
    <row r="335" spans="1:37" x14ac:dyDescent="0.3">
      <c r="A335">
        <v>334</v>
      </c>
      <c r="B335">
        <v>2.2000000000000002</v>
      </c>
      <c r="C335">
        <v>28.8477</v>
      </c>
      <c r="D335">
        <v>-16.520201</v>
      </c>
      <c r="E335" t="s">
        <v>535</v>
      </c>
      <c r="F335" t="s">
        <v>537</v>
      </c>
      <c r="G335" t="s">
        <v>37</v>
      </c>
      <c r="H335">
        <v>2003</v>
      </c>
      <c r="I335">
        <v>24.799999237060501</v>
      </c>
      <c r="J335">
        <v>13.1000003814697</v>
      </c>
      <c r="K335">
        <v>52</v>
      </c>
      <c r="L335">
        <v>31.340000152587901</v>
      </c>
      <c r="M335">
        <v>36.299999237060497</v>
      </c>
      <c r="N335">
        <v>11.300000190734901</v>
      </c>
      <c r="O335">
        <v>25</v>
      </c>
      <c r="P335">
        <v>26.200000762939499</v>
      </c>
      <c r="Q335">
        <v>20.399999618530298</v>
      </c>
      <c r="R335">
        <v>28.200000762939499</v>
      </c>
      <c r="S335">
        <v>20.299999237060501</v>
      </c>
      <c r="T335">
        <v>748</v>
      </c>
      <c r="U335">
        <v>187</v>
      </c>
      <c r="V335">
        <v>0</v>
      </c>
      <c r="W335">
        <v>114</v>
      </c>
      <c r="X335">
        <v>524</v>
      </c>
      <c r="Y335">
        <v>0</v>
      </c>
      <c r="Z335">
        <v>266</v>
      </c>
      <c r="AA335">
        <v>5</v>
      </c>
      <c r="AB335">
        <v>13.947196050984999</v>
      </c>
      <c r="AC335">
        <v>6.5912490106181998E-2</v>
      </c>
      <c r="AD335">
        <v>3.1629660251914302</v>
      </c>
      <c r="AE335">
        <v>0.62058401107788097</v>
      </c>
      <c r="AF335">
        <v>496.91887417218499</v>
      </c>
      <c r="AG335">
        <f>IFERROR(AH335*0.1, "N/A")</f>
        <v>6.3000000000000007</v>
      </c>
      <c r="AH335">
        <v>63</v>
      </c>
      <c r="AI335">
        <v>205.996821043507</v>
      </c>
      <c r="AJ335">
        <v>20.592715231788102</v>
      </c>
      <c r="AK335">
        <v>70.814569536423804</v>
      </c>
    </row>
    <row r="336" spans="1:37" x14ac:dyDescent="0.3">
      <c r="A336">
        <v>335</v>
      </c>
      <c r="B336">
        <v>73.699996999999996</v>
      </c>
      <c r="C336">
        <v>28.084599999999998</v>
      </c>
      <c r="D336">
        <v>-20.481501000000002</v>
      </c>
      <c r="E336" t="s">
        <v>538</v>
      </c>
      <c r="F336" t="s">
        <v>539</v>
      </c>
      <c r="G336" t="s">
        <v>39</v>
      </c>
      <c r="H336">
        <v>1956</v>
      </c>
      <c r="I336">
        <v>17.899999618530298</v>
      </c>
      <c r="J336">
        <v>13.800000190734901</v>
      </c>
      <c r="K336">
        <v>57</v>
      </c>
      <c r="L336">
        <v>33.150001525878899</v>
      </c>
      <c r="M336">
        <v>28.700000762939499</v>
      </c>
      <c r="N336">
        <v>4.5</v>
      </c>
      <c r="O336">
        <v>24.200000762939499</v>
      </c>
      <c r="P336">
        <v>20.600000381469702</v>
      </c>
      <c r="Q336">
        <v>13</v>
      </c>
      <c r="R336">
        <v>21</v>
      </c>
      <c r="S336">
        <v>13</v>
      </c>
      <c r="T336">
        <v>588</v>
      </c>
      <c r="U336">
        <v>134</v>
      </c>
      <c r="V336">
        <v>0</v>
      </c>
      <c r="W336">
        <v>100</v>
      </c>
      <c r="X336">
        <v>363</v>
      </c>
      <c r="Y336">
        <v>1</v>
      </c>
      <c r="Z336">
        <v>238</v>
      </c>
      <c r="AA336">
        <v>3</v>
      </c>
      <c r="AB336">
        <v>11.2509787143805</v>
      </c>
      <c r="AC336">
        <v>1.4428646617138999E-2</v>
      </c>
      <c r="AD336">
        <v>1.8124502156025299</v>
      </c>
      <c r="AE336">
        <v>0.21049402654171001</v>
      </c>
      <c r="AF336">
        <v>1463.5512820512799</v>
      </c>
      <c r="AG336">
        <f>IFERROR(AH336*0.1, "N/A")</f>
        <v>6.1000000000000005</v>
      </c>
      <c r="AH336">
        <v>61</v>
      </c>
      <c r="AI336">
        <v>193.189704063611</v>
      </c>
      <c r="AJ336">
        <v>18</v>
      </c>
      <c r="AK336">
        <v>70</v>
      </c>
    </row>
    <row r="337" spans="1:37" x14ac:dyDescent="0.3">
      <c r="A337">
        <v>336</v>
      </c>
      <c r="B337">
        <v>75.300003000000004</v>
      </c>
      <c r="C337">
        <v>31.262775000000001</v>
      </c>
      <c r="D337">
        <v>-18.587164000000001</v>
      </c>
      <c r="E337" t="s">
        <v>540</v>
      </c>
      <c r="F337" t="s">
        <v>541</v>
      </c>
      <c r="G337" t="s">
        <v>39</v>
      </c>
      <c r="H337">
        <v>1956</v>
      </c>
      <c r="I337">
        <v>18</v>
      </c>
      <c r="J337">
        <v>13</v>
      </c>
      <c r="K337">
        <v>57</v>
      </c>
      <c r="L337">
        <v>28.5100002288818</v>
      </c>
      <c r="M337">
        <v>28.399999618530298</v>
      </c>
      <c r="N337">
        <v>5.6999998092651403</v>
      </c>
      <c r="O337">
        <v>22.700000762939499</v>
      </c>
      <c r="P337">
        <v>20.299999237060501</v>
      </c>
      <c r="Q337">
        <v>13.699999809265099</v>
      </c>
      <c r="R337">
        <v>20.600000381469702</v>
      </c>
      <c r="S337">
        <v>13.699999809265099</v>
      </c>
      <c r="T337">
        <v>777</v>
      </c>
      <c r="U337">
        <v>177</v>
      </c>
      <c r="V337">
        <v>1</v>
      </c>
      <c r="W337">
        <v>103</v>
      </c>
      <c r="X337">
        <v>498</v>
      </c>
      <c r="Y337">
        <v>9</v>
      </c>
      <c r="Z337">
        <v>317</v>
      </c>
      <c r="AA337">
        <v>9</v>
      </c>
      <c r="AB337">
        <v>19.596933371081001</v>
      </c>
      <c r="AC337">
        <v>4.2440776647969997E-2</v>
      </c>
      <c r="AD337">
        <v>3.6398763792522599</v>
      </c>
      <c r="AE337">
        <v>0.23691746592521701</v>
      </c>
      <c r="AF337">
        <v>1384.04560260586</v>
      </c>
      <c r="AG337">
        <f>IFERROR(AH337*0.1, "N/A")</f>
        <v>6.0990228013029304</v>
      </c>
      <c r="AH337">
        <v>60.990228013029302</v>
      </c>
      <c r="AI337">
        <v>184.70017786678301</v>
      </c>
      <c r="AJ337">
        <v>19.885993485341999</v>
      </c>
      <c r="AK337">
        <v>67.228013029315903</v>
      </c>
    </row>
    <row r="338" spans="1:37" x14ac:dyDescent="0.3">
      <c r="A338">
        <v>337</v>
      </c>
      <c r="B338">
        <v>90.599997999999999</v>
      </c>
      <c r="C338">
        <v>31.079369</v>
      </c>
      <c r="D338">
        <v>-16.764433</v>
      </c>
      <c r="E338" t="s">
        <v>542</v>
      </c>
      <c r="F338" t="s">
        <v>543</v>
      </c>
      <c r="G338" t="s">
        <v>39</v>
      </c>
      <c r="H338">
        <v>1956</v>
      </c>
      <c r="I338">
        <v>18.700000762939499</v>
      </c>
      <c r="J338">
        <v>12.800000190734901</v>
      </c>
      <c r="K338">
        <v>54</v>
      </c>
      <c r="L338">
        <v>29.360000610351602</v>
      </c>
      <c r="M338">
        <v>29.399999618530298</v>
      </c>
      <c r="N338">
        <v>6</v>
      </c>
      <c r="O338">
        <v>23.399999618530298</v>
      </c>
      <c r="P338">
        <v>20.799999237060501</v>
      </c>
      <c r="Q338">
        <v>14.5</v>
      </c>
      <c r="R338">
        <v>21.799999237060501</v>
      </c>
      <c r="S338">
        <v>14.5</v>
      </c>
      <c r="T338">
        <v>849</v>
      </c>
      <c r="U338">
        <v>221</v>
      </c>
      <c r="V338">
        <v>0</v>
      </c>
      <c r="W338">
        <v>116</v>
      </c>
      <c r="X338">
        <v>598</v>
      </c>
      <c r="Y338">
        <v>2</v>
      </c>
      <c r="Z338">
        <v>283</v>
      </c>
      <c r="AA338">
        <v>8</v>
      </c>
      <c r="AB338">
        <v>27.240842103564098</v>
      </c>
      <c r="AC338">
        <v>8.9902162582670003E-3</v>
      </c>
      <c r="AD338">
        <v>3.0421777725219701</v>
      </c>
      <c r="AE338">
        <v>0.26552692055702198</v>
      </c>
      <c r="AF338">
        <v>1259.2082644628099</v>
      </c>
      <c r="AG338">
        <f>IFERROR(AH338*0.1, "N/A")</f>
        <v>5.6000000000000005</v>
      </c>
      <c r="AH338">
        <v>56</v>
      </c>
      <c r="AI338">
        <v>138.38786122976299</v>
      </c>
      <c r="AJ338">
        <v>21.795041322314098</v>
      </c>
      <c r="AK338">
        <v>68.204958677685894</v>
      </c>
    </row>
    <row r="339" spans="1:37" x14ac:dyDescent="0.3">
      <c r="A339">
        <v>338</v>
      </c>
      <c r="B339">
        <v>59.200001</v>
      </c>
      <c r="C339">
        <v>29.973675</v>
      </c>
      <c r="D339">
        <v>-17.287355999999999</v>
      </c>
      <c r="E339" t="s">
        <v>544</v>
      </c>
      <c r="F339" t="s">
        <v>545</v>
      </c>
      <c r="G339" t="s">
        <v>39</v>
      </c>
      <c r="H339">
        <v>1995</v>
      </c>
      <c r="I339">
        <v>19.200000762939499</v>
      </c>
      <c r="J339">
        <v>13.5</v>
      </c>
      <c r="K339">
        <v>57</v>
      </c>
      <c r="L339">
        <v>27.9799995422363</v>
      </c>
      <c r="M339">
        <v>29.700000762939499</v>
      </c>
      <c r="N339">
        <v>6.1999998092651403</v>
      </c>
      <c r="O339">
        <v>23.5</v>
      </c>
      <c r="P339">
        <v>21.399999618530298</v>
      </c>
      <c r="Q339">
        <v>15.1000003814697</v>
      </c>
      <c r="R339">
        <v>21.899999618530298</v>
      </c>
      <c r="S339">
        <v>15.1000003814697</v>
      </c>
      <c r="T339">
        <v>811</v>
      </c>
      <c r="U339">
        <v>216</v>
      </c>
      <c r="V339">
        <v>1</v>
      </c>
      <c r="W339">
        <v>110</v>
      </c>
      <c r="X339">
        <v>552</v>
      </c>
      <c r="Y339">
        <v>5</v>
      </c>
      <c r="Z339">
        <v>283</v>
      </c>
      <c r="AA339">
        <v>5</v>
      </c>
      <c r="AB339">
        <v>3.6882420908106401</v>
      </c>
      <c r="AC339">
        <v>3.5088441691211003E-2</v>
      </c>
      <c r="AD339">
        <v>2.06254897023191</v>
      </c>
      <c r="AE339">
        <v>0.32735185143184398</v>
      </c>
      <c r="AF339">
        <v>1144.3333333333301</v>
      </c>
      <c r="AG339">
        <f>IFERROR(AH339*0.1, "N/A")</f>
        <v>6.2960396039604003</v>
      </c>
      <c r="AH339">
        <v>62.960396039603999</v>
      </c>
      <c r="AI339">
        <v>272.97968773165201</v>
      </c>
      <c r="AJ339">
        <v>23</v>
      </c>
      <c r="AK339">
        <v>63.148514851485103</v>
      </c>
    </row>
    <row r="340" spans="1:37" x14ac:dyDescent="0.3">
      <c r="A340">
        <v>339</v>
      </c>
      <c r="B340">
        <v>59.200001</v>
      </c>
      <c r="C340">
        <v>29.973676000000001</v>
      </c>
      <c r="D340">
        <v>-17.287357</v>
      </c>
      <c r="E340" t="s">
        <v>546</v>
      </c>
      <c r="F340" t="s">
        <v>547</v>
      </c>
      <c r="G340" t="s">
        <v>39</v>
      </c>
      <c r="H340">
        <v>1995</v>
      </c>
      <c r="I340">
        <v>19.200000762939499</v>
      </c>
      <c r="J340">
        <v>13.5</v>
      </c>
      <c r="K340">
        <v>57</v>
      </c>
      <c r="L340">
        <v>27.9799995422363</v>
      </c>
      <c r="M340">
        <v>29.700000762939499</v>
      </c>
      <c r="N340">
        <v>6.1999998092651403</v>
      </c>
      <c r="O340">
        <v>23.5</v>
      </c>
      <c r="P340">
        <v>21.399999618530298</v>
      </c>
      <c r="Q340">
        <v>15.1000003814697</v>
      </c>
      <c r="R340">
        <v>21.899999618530298</v>
      </c>
      <c r="S340">
        <v>15.1000003814697</v>
      </c>
      <c r="T340">
        <v>811</v>
      </c>
      <c r="U340">
        <v>216</v>
      </c>
      <c r="V340">
        <v>1</v>
      </c>
      <c r="W340">
        <v>110</v>
      </c>
      <c r="X340">
        <v>552</v>
      </c>
      <c r="Y340">
        <v>5</v>
      </c>
      <c r="Z340">
        <v>283</v>
      </c>
      <c r="AA340">
        <v>5</v>
      </c>
      <c r="AB340">
        <v>3.6882420908106401</v>
      </c>
      <c r="AC340">
        <v>3.5088441691211003E-2</v>
      </c>
      <c r="AD340">
        <v>2.06254897023191</v>
      </c>
      <c r="AE340">
        <v>0.32735185143184398</v>
      </c>
      <c r="AF340">
        <v>1144.3333333333301</v>
      </c>
      <c r="AG340">
        <f>IFERROR(AH340*0.1, "N/A")</f>
        <v>6.2960396039604003</v>
      </c>
      <c r="AH340">
        <v>62.960396039603999</v>
      </c>
      <c r="AI340">
        <v>272.97968773165201</v>
      </c>
      <c r="AJ340">
        <v>23</v>
      </c>
      <c r="AK340">
        <v>63.148514851485103</v>
      </c>
    </row>
    <row r="341" spans="1:37" x14ac:dyDescent="0.3">
      <c r="A341">
        <v>340</v>
      </c>
      <c r="B341">
        <v>81.699996999999996</v>
      </c>
      <c r="C341">
        <v>29.973676999999999</v>
      </c>
      <c r="D341">
        <v>-17.287358000000001</v>
      </c>
      <c r="E341" t="s">
        <v>548</v>
      </c>
      <c r="F341" t="s">
        <v>549</v>
      </c>
      <c r="G341" t="s">
        <v>39</v>
      </c>
      <c r="H341">
        <v>1995</v>
      </c>
      <c r="I341">
        <v>19.200000762939499</v>
      </c>
      <c r="J341">
        <v>13.5</v>
      </c>
      <c r="K341">
        <v>57</v>
      </c>
      <c r="L341">
        <v>27.9799995422363</v>
      </c>
      <c r="M341">
        <v>29.700000762939499</v>
      </c>
      <c r="N341">
        <v>6.1999998092651403</v>
      </c>
      <c r="O341">
        <v>23.5</v>
      </c>
      <c r="P341">
        <v>21.399999618530298</v>
      </c>
      <c r="Q341">
        <v>15.1000003814697</v>
      </c>
      <c r="R341">
        <v>21.899999618530298</v>
      </c>
      <c r="S341">
        <v>15.1000003814697</v>
      </c>
      <c r="T341">
        <v>811</v>
      </c>
      <c r="U341">
        <v>216</v>
      </c>
      <c r="V341">
        <v>1</v>
      </c>
      <c r="W341">
        <v>110</v>
      </c>
      <c r="X341">
        <v>552</v>
      </c>
      <c r="Y341">
        <v>5</v>
      </c>
      <c r="Z341">
        <v>283</v>
      </c>
      <c r="AA341">
        <v>5</v>
      </c>
      <c r="AB341">
        <v>3.7044064366247902</v>
      </c>
      <c r="AC341">
        <v>3.4734565026664999E-2</v>
      </c>
      <c r="AD341">
        <v>2.0591700022067401</v>
      </c>
      <c r="AE341">
        <v>0.32717213574704901</v>
      </c>
      <c r="AF341">
        <v>1144.3476112026401</v>
      </c>
      <c r="AG341">
        <f>IFERROR(AH341*0.1, "N/A")</f>
        <v>6.295551894563431</v>
      </c>
      <c r="AH341">
        <v>62.955518945634303</v>
      </c>
      <c r="AI341">
        <v>272.46797132413502</v>
      </c>
      <c r="AJ341">
        <v>23</v>
      </c>
      <c r="AK341">
        <v>63.149917627677098</v>
      </c>
    </row>
    <row r="342" spans="1:37" x14ac:dyDescent="0.3">
      <c r="A342">
        <v>341</v>
      </c>
      <c r="B342">
        <v>17.5</v>
      </c>
      <c r="C342">
        <v>29.973678</v>
      </c>
      <c r="D342">
        <v>-17.287358999999999</v>
      </c>
      <c r="E342" t="s">
        <v>550</v>
      </c>
      <c r="F342" t="s">
        <v>551</v>
      </c>
      <c r="G342" t="s">
        <v>39</v>
      </c>
      <c r="H342">
        <v>1995</v>
      </c>
      <c r="I342">
        <v>19.200000762939499</v>
      </c>
      <c r="J342">
        <v>13.5</v>
      </c>
      <c r="K342">
        <v>57</v>
      </c>
      <c r="L342">
        <v>27.9799995422363</v>
      </c>
      <c r="M342">
        <v>29.700000762939499</v>
      </c>
      <c r="N342">
        <v>6.1999998092651403</v>
      </c>
      <c r="O342">
        <v>23.5</v>
      </c>
      <c r="P342">
        <v>21.399999618530298</v>
      </c>
      <c r="Q342">
        <v>15.1000003814697</v>
      </c>
      <c r="R342">
        <v>21.899999618530298</v>
      </c>
      <c r="S342">
        <v>15.1000003814697</v>
      </c>
      <c r="T342">
        <v>811</v>
      </c>
      <c r="U342">
        <v>216</v>
      </c>
      <c r="V342">
        <v>1</v>
      </c>
      <c r="W342">
        <v>110</v>
      </c>
      <c r="X342">
        <v>552</v>
      </c>
      <c r="Y342">
        <v>5</v>
      </c>
      <c r="Z342">
        <v>283</v>
      </c>
      <c r="AA342">
        <v>5</v>
      </c>
      <c r="AB342">
        <v>3.7044064366247902</v>
      </c>
      <c r="AC342">
        <v>3.4734565026664999E-2</v>
      </c>
      <c r="AD342">
        <v>2.0591700022067401</v>
      </c>
      <c r="AE342">
        <v>0.32717213574704901</v>
      </c>
      <c r="AF342">
        <v>1144.3476112026401</v>
      </c>
      <c r="AG342">
        <f>IFERROR(AH342*0.1, "N/A")</f>
        <v>6.295551894563431</v>
      </c>
      <c r="AH342">
        <v>62.955518945634303</v>
      </c>
      <c r="AI342">
        <v>272.46797132413502</v>
      </c>
      <c r="AJ342">
        <v>23</v>
      </c>
      <c r="AK342">
        <v>63.149917627677098</v>
      </c>
    </row>
    <row r="343" spans="1:37" x14ac:dyDescent="0.3">
      <c r="A343">
        <v>342</v>
      </c>
      <c r="B343">
        <v>17.5</v>
      </c>
      <c r="C343">
        <v>29.973679000000001</v>
      </c>
      <c r="D343">
        <v>-17.28736</v>
      </c>
      <c r="E343" t="s">
        <v>552</v>
      </c>
      <c r="F343" t="s">
        <v>553</v>
      </c>
      <c r="G343" t="s">
        <v>39</v>
      </c>
      <c r="H343">
        <v>1995</v>
      </c>
      <c r="I343">
        <v>19.200000762939499</v>
      </c>
      <c r="J343">
        <v>13.5</v>
      </c>
      <c r="K343">
        <v>57</v>
      </c>
      <c r="L343">
        <v>27.9799995422363</v>
      </c>
      <c r="M343">
        <v>29.700000762939499</v>
      </c>
      <c r="N343">
        <v>6.1999998092651403</v>
      </c>
      <c r="O343">
        <v>23.5</v>
      </c>
      <c r="P343">
        <v>21.399999618530298</v>
      </c>
      <c r="Q343">
        <v>15.1000003814697</v>
      </c>
      <c r="R343">
        <v>21.899999618530298</v>
      </c>
      <c r="S343">
        <v>15.1000003814697</v>
      </c>
      <c r="T343">
        <v>811</v>
      </c>
      <c r="U343">
        <v>216</v>
      </c>
      <c r="V343">
        <v>1</v>
      </c>
      <c r="W343">
        <v>110</v>
      </c>
      <c r="X343">
        <v>552</v>
      </c>
      <c r="Y343">
        <v>5</v>
      </c>
      <c r="Z343">
        <v>283</v>
      </c>
      <c r="AA343">
        <v>5</v>
      </c>
      <c r="AB343">
        <v>3.7175570036235599</v>
      </c>
      <c r="AC343">
        <v>3.4475902939448001E-2</v>
      </c>
      <c r="AD343">
        <v>2.05556399022278</v>
      </c>
      <c r="AE343">
        <v>0.32708419599619398</v>
      </c>
      <c r="AF343">
        <v>1144.3486842105301</v>
      </c>
      <c r="AG343">
        <f>IFERROR(AH343*0.1, "N/A")</f>
        <v>6.2955592105263207</v>
      </c>
      <c r="AH343">
        <v>62.9555921052632</v>
      </c>
      <c r="AI343">
        <v>271.92932357286202</v>
      </c>
      <c r="AJ343">
        <v>23</v>
      </c>
      <c r="AK343">
        <v>63.148026315789501</v>
      </c>
    </row>
    <row r="344" spans="1:37" x14ac:dyDescent="0.3">
      <c r="A344">
        <v>343</v>
      </c>
      <c r="B344">
        <v>62.5</v>
      </c>
      <c r="C344">
        <v>29.973680000000002</v>
      </c>
      <c r="D344">
        <v>-17.287361000000001</v>
      </c>
      <c r="E344" t="s">
        <v>554</v>
      </c>
      <c r="F344" t="s">
        <v>555</v>
      </c>
      <c r="G344" t="s">
        <v>39</v>
      </c>
      <c r="H344">
        <v>1995</v>
      </c>
      <c r="I344">
        <v>19.200000762939499</v>
      </c>
      <c r="J344">
        <v>13.5</v>
      </c>
      <c r="K344">
        <v>57</v>
      </c>
      <c r="L344">
        <v>27.9799995422363</v>
      </c>
      <c r="M344">
        <v>29.700000762939499</v>
      </c>
      <c r="N344">
        <v>6.1999998092651403</v>
      </c>
      <c r="O344">
        <v>23.5</v>
      </c>
      <c r="P344">
        <v>21.399999618530298</v>
      </c>
      <c r="Q344">
        <v>15.1000003814697</v>
      </c>
      <c r="R344">
        <v>21.899999618530298</v>
      </c>
      <c r="S344">
        <v>15.1000003814697</v>
      </c>
      <c r="T344">
        <v>811</v>
      </c>
      <c r="U344">
        <v>216</v>
      </c>
      <c r="V344">
        <v>1</v>
      </c>
      <c r="W344">
        <v>110</v>
      </c>
      <c r="X344">
        <v>552</v>
      </c>
      <c r="Y344">
        <v>5</v>
      </c>
      <c r="Z344">
        <v>283</v>
      </c>
      <c r="AA344">
        <v>5</v>
      </c>
      <c r="AB344">
        <v>3.7175570036235599</v>
      </c>
      <c r="AC344">
        <v>3.4475902939448001E-2</v>
      </c>
      <c r="AD344">
        <v>2.05556399022278</v>
      </c>
      <c r="AE344">
        <v>0.32708419599619398</v>
      </c>
      <c r="AF344">
        <v>1144.3486842105301</v>
      </c>
      <c r="AG344">
        <f>IFERROR(AH344*0.1, "N/A")</f>
        <v>6.2955592105263207</v>
      </c>
      <c r="AH344">
        <v>62.9555921052632</v>
      </c>
      <c r="AI344">
        <v>271.92932357286202</v>
      </c>
      <c r="AJ344">
        <v>23</v>
      </c>
      <c r="AK344">
        <v>63.148026315789501</v>
      </c>
    </row>
    <row r="345" spans="1:37" x14ac:dyDescent="0.3">
      <c r="A345">
        <v>344</v>
      </c>
      <c r="B345">
        <v>68.300003000000004</v>
      </c>
      <c r="C345">
        <v>29.973680999999999</v>
      </c>
      <c r="D345">
        <v>-17.287362000000002</v>
      </c>
      <c r="E345" t="s">
        <v>556</v>
      </c>
      <c r="F345" t="s">
        <v>557</v>
      </c>
      <c r="G345" t="s">
        <v>39</v>
      </c>
      <c r="H345">
        <v>1995</v>
      </c>
      <c r="I345">
        <v>19.200000762939499</v>
      </c>
      <c r="J345">
        <v>13.5</v>
      </c>
      <c r="K345">
        <v>57</v>
      </c>
      <c r="L345">
        <v>27.9799995422363</v>
      </c>
      <c r="M345">
        <v>29.700000762939499</v>
      </c>
      <c r="N345">
        <v>6.1999998092651403</v>
      </c>
      <c r="O345">
        <v>23.5</v>
      </c>
      <c r="P345">
        <v>21.399999618530298</v>
      </c>
      <c r="Q345">
        <v>15.1000003814697</v>
      </c>
      <c r="R345">
        <v>21.899999618530298</v>
      </c>
      <c r="S345">
        <v>15.1000003814697</v>
      </c>
      <c r="T345">
        <v>811</v>
      </c>
      <c r="U345">
        <v>216</v>
      </c>
      <c r="V345">
        <v>1</v>
      </c>
      <c r="W345">
        <v>110</v>
      </c>
      <c r="X345">
        <v>552</v>
      </c>
      <c r="Y345">
        <v>5</v>
      </c>
      <c r="Z345">
        <v>283</v>
      </c>
      <c r="AA345">
        <v>5</v>
      </c>
      <c r="AB345">
        <v>3.7292347958213399</v>
      </c>
      <c r="AC345">
        <v>3.4462466923287E-2</v>
      </c>
      <c r="AD345">
        <v>2.0545305186196399</v>
      </c>
      <c r="AE345">
        <v>0.32708419599619398</v>
      </c>
      <c r="AF345">
        <v>1144.35526315789</v>
      </c>
      <c r="AG345">
        <f>IFERROR(AH345*0.1, "N/A")</f>
        <v>6.2955592105263207</v>
      </c>
      <c r="AH345">
        <v>62.9555921052632</v>
      </c>
      <c r="AI345">
        <v>271.41631575634602</v>
      </c>
      <c r="AJ345">
        <v>23</v>
      </c>
      <c r="AK345">
        <v>63.148026315789501</v>
      </c>
    </row>
    <row r="346" spans="1:37" x14ac:dyDescent="0.3">
      <c r="A346">
        <v>345</v>
      </c>
      <c r="B346">
        <v>68.300003000000004</v>
      </c>
      <c r="C346">
        <v>29.973682</v>
      </c>
      <c r="D346">
        <v>-17.287362999999999</v>
      </c>
      <c r="E346" t="s">
        <v>558</v>
      </c>
      <c r="F346" t="s">
        <v>559</v>
      </c>
      <c r="G346" t="s">
        <v>39</v>
      </c>
      <c r="H346">
        <v>1995</v>
      </c>
      <c r="I346">
        <v>19.200000762939499</v>
      </c>
      <c r="J346">
        <v>13.5</v>
      </c>
      <c r="K346">
        <v>57</v>
      </c>
      <c r="L346">
        <v>27.9799995422363</v>
      </c>
      <c r="M346">
        <v>29.700000762939499</v>
      </c>
      <c r="N346">
        <v>6.1999998092651403</v>
      </c>
      <c r="O346">
        <v>23.5</v>
      </c>
      <c r="P346">
        <v>21.399999618530298</v>
      </c>
      <c r="Q346">
        <v>15.1000003814697</v>
      </c>
      <c r="R346">
        <v>21.899999618530298</v>
      </c>
      <c r="S346">
        <v>15.1000003814697</v>
      </c>
      <c r="T346">
        <v>811</v>
      </c>
      <c r="U346">
        <v>216</v>
      </c>
      <c r="V346">
        <v>1</v>
      </c>
      <c r="W346">
        <v>110</v>
      </c>
      <c r="X346">
        <v>552</v>
      </c>
      <c r="Y346">
        <v>5</v>
      </c>
      <c r="Z346">
        <v>283</v>
      </c>
      <c r="AA346">
        <v>5</v>
      </c>
      <c r="AB346">
        <v>3.7292347958213399</v>
      </c>
      <c r="AC346">
        <v>3.4462466923287E-2</v>
      </c>
      <c r="AD346">
        <v>2.0545305186196399</v>
      </c>
      <c r="AE346">
        <v>0.32708419599619398</v>
      </c>
      <c r="AF346">
        <v>1144.35526315789</v>
      </c>
      <c r="AG346">
        <f>IFERROR(AH346*0.1, "N/A")</f>
        <v>6.2955592105263207</v>
      </c>
      <c r="AH346">
        <v>62.9555921052632</v>
      </c>
      <c r="AI346">
        <v>271.41631575634602</v>
      </c>
      <c r="AJ346">
        <v>23</v>
      </c>
      <c r="AK346">
        <v>63.148026315789501</v>
      </c>
    </row>
    <row r="347" spans="1:37" x14ac:dyDescent="0.3">
      <c r="A347">
        <v>346</v>
      </c>
      <c r="B347">
        <v>64.300003000000004</v>
      </c>
      <c r="C347">
        <v>29.973683000000001</v>
      </c>
      <c r="D347">
        <v>-17.287364</v>
      </c>
      <c r="E347" t="s">
        <v>560</v>
      </c>
      <c r="F347" t="s">
        <v>561</v>
      </c>
      <c r="G347" t="s">
        <v>39</v>
      </c>
      <c r="H347">
        <v>1995</v>
      </c>
      <c r="I347">
        <v>19.200000762939499</v>
      </c>
      <c r="J347">
        <v>13.5</v>
      </c>
      <c r="K347">
        <v>57</v>
      </c>
      <c r="L347">
        <v>27.9799995422363</v>
      </c>
      <c r="M347">
        <v>29.700000762939499</v>
      </c>
      <c r="N347">
        <v>6.1999998092651403</v>
      </c>
      <c r="O347">
        <v>23.5</v>
      </c>
      <c r="P347">
        <v>21.399999618530298</v>
      </c>
      <c r="Q347">
        <v>15.1000003814697</v>
      </c>
      <c r="R347">
        <v>21.899999618530298</v>
      </c>
      <c r="S347">
        <v>15.1000003814697</v>
      </c>
      <c r="T347">
        <v>811</v>
      </c>
      <c r="U347">
        <v>216</v>
      </c>
      <c r="V347">
        <v>1</v>
      </c>
      <c r="W347">
        <v>110</v>
      </c>
      <c r="X347">
        <v>552</v>
      </c>
      <c r="Y347">
        <v>5</v>
      </c>
      <c r="Z347">
        <v>283</v>
      </c>
      <c r="AA347">
        <v>5</v>
      </c>
      <c r="AB347">
        <v>3.7446953622918402</v>
      </c>
      <c r="AC347">
        <v>3.4247498222516E-2</v>
      </c>
      <c r="AD347">
        <v>2.04989658884312</v>
      </c>
      <c r="AE347">
        <v>0.327004489979069</v>
      </c>
      <c r="AF347">
        <v>1144.3585526315801</v>
      </c>
      <c r="AG347">
        <f>IFERROR(AH347*0.1, "N/A")</f>
        <v>6.2955592105263207</v>
      </c>
      <c r="AH347">
        <v>62.9555921052632</v>
      </c>
      <c r="AI347">
        <v>270.809891148617</v>
      </c>
      <c r="AJ347">
        <v>23</v>
      </c>
      <c r="AK347">
        <v>63.146381578947398</v>
      </c>
    </row>
    <row r="348" spans="1:37" x14ac:dyDescent="0.3">
      <c r="A348">
        <v>347</v>
      </c>
      <c r="B348">
        <v>21.700001</v>
      </c>
      <c r="C348">
        <v>29.973683999999999</v>
      </c>
      <c r="D348">
        <v>-17.287365000000001</v>
      </c>
      <c r="E348" t="s">
        <v>562</v>
      </c>
      <c r="F348" t="s">
        <v>563</v>
      </c>
      <c r="G348" t="s">
        <v>39</v>
      </c>
      <c r="H348">
        <v>1995</v>
      </c>
      <c r="I348">
        <v>19.200000762939499</v>
      </c>
      <c r="J348">
        <v>13.5</v>
      </c>
      <c r="K348">
        <v>57</v>
      </c>
      <c r="L348">
        <v>27.9799995422363</v>
      </c>
      <c r="M348">
        <v>29.700000762939499</v>
      </c>
      <c r="N348">
        <v>6.1999998092651403</v>
      </c>
      <c r="O348">
        <v>23.5</v>
      </c>
      <c r="P348">
        <v>21.399999618530298</v>
      </c>
      <c r="Q348">
        <v>15.1000003814697</v>
      </c>
      <c r="R348">
        <v>21.899999618530298</v>
      </c>
      <c r="S348">
        <v>15.1000003814697</v>
      </c>
      <c r="T348">
        <v>811</v>
      </c>
      <c r="U348">
        <v>216</v>
      </c>
      <c r="V348">
        <v>1</v>
      </c>
      <c r="W348">
        <v>110</v>
      </c>
      <c r="X348">
        <v>552</v>
      </c>
      <c r="Y348">
        <v>5</v>
      </c>
      <c r="Z348">
        <v>283</v>
      </c>
      <c r="AA348">
        <v>5</v>
      </c>
      <c r="AB348">
        <v>3.7446953622918402</v>
      </c>
      <c r="AC348">
        <v>3.4247498222516E-2</v>
      </c>
      <c r="AD348">
        <v>2.04989658884312</v>
      </c>
      <c r="AE348">
        <v>0.327004489979069</v>
      </c>
      <c r="AF348">
        <v>1144.3585526315801</v>
      </c>
      <c r="AG348">
        <f>IFERROR(AH348*0.1, "N/A")</f>
        <v>6.2955592105263207</v>
      </c>
      <c r="AH348">
        <v>62.9555921052632</v>
      </c>
      <c r="AI348">
        <v>270.809891148617</v>
      </c>
      <c r="AJ348">
        <v>23</v>
      </c>
      <c r="AK348">
        <v>63.146381578947398</v>
      </c>
    </row>
    <row r="349" spans="1:37" x14ac:dyDescent="0.3">
      <c r="A349">
        <v>348</v>
      </c>
      <c r="B349">
        <v>21.700001</v>
      </c>
      <c r="C349">
        <v>29.973685</v>
      </c>
      <c r="D349">
        <v>-17.287365999999999</v>
      </c>
      <c r="E349" t="s">
        <v>564</v>
      </c>
      <c r="F349" t="s">
        <v>565</v>
      </c>
      <c r="G349" t="s">
        <v>39</v>
      </c>
      <c r="H349">
        <v>1995</v>
      </c>
      <c r="I349">
        <v>19.200000762939499</v>
      </c>
      <c r="J349">
        <v>13.5</v>
      </c>
      <c r="K349">
        <v>57</v>
      </c>
      <c r="L349">
        <v>27.9799995422363</v>
      </c>
      <c r="M349">
        <v>29.700000762939499</v>
      </c>
      <c r="N349">
        <v>6.1999998092651403</v>
      </c>
      <c r="O349">
        <v>23.5</v>
      </c>
      <c r="P349">
        <v>21.399999618530298</v>
      </c>
      <c r="Q349">
        <v>15.1000003814697</v>
      </c>
      <c r="R349">
        <v>21.899999618530298</v>
      </c>
      <c r="S349">
        <v>15.1000003814697</v>
      </c>
      <c r="T349">
        <v>811</v>
      </c>
      <c r="U349">
        <v>216</v>
      </c>
      <c r="V349">
        <v>1</v>
      </c>
      <c r="W349">
        <v>110</v>
      </c>
      <c r="X349">
        <v>552</v>
      </c>
      <c r="Y349">
        <v>5</v>
      </c>
      <c r="Z349">
        <v>283</v>
      </c>
      <c r="AA349">
        <v>5</v>
      </c>
      <c r="AB349">
        <v>3.7446953622918402</v>
      </c>
      <c r="AC349">
        <v>3.4247498222516E-2</v>
      </c>
      <c r="AD349">
        <v>2.04989658884312</v>
      </c>
      <c r="AE349">
        <v>0.327004489979069</v>
      </c>
      <c r="AF349">
        <v>1144.3585526315801</v>
      </c>
      <c r="AG349">
        <f>IFERROR(AH349*0.1, "N/A")</f>
        <v>6.2955592105263207</v>
      </c>
      <c r="AH349">
        <v>62.9555921052632</v>
      </c>
      <c r="AI349">
        <v>270.809891148617</v>
      </c>
      <c r="AJ349">
        <v>23</v>
      </c>
      <c r="AK349">
        <v>63.146381578947398</v>
      </c>
    </row>
    <row r="350" spans="1:37" x14ac:dyDescent="0.3">
      <c r="A350">
        <v>349</v>
      </c>
      <c r="B350">
        <v>81.599997999999999</v>
      </c>
      <c r="C350">
        <v>29.973686000000001</v>
      </c>
      <c r="D350">
        <v>-17.287367</v>
      </c>
      <c r="E350" t="s">
        <v>566</v>
      </c>
      <c r="F350" t="s">
        <v>567</v>
      </c>
      <c r="G350" t="s">
        <v>39</v>
      </c>
      <c r="H350">
        <v>1995</v>
      </c>
      <c r="I350">
        <v>19.200000762939499</v>
      </c>
      <c r="J350">
        <v>13.5</v>
      </c>
      <c r="K350">
        <v>57</v>
      </c>
      <c r="L350">
        <v>27.9799995422363</v>
      </c>
      <c r="M350">
        <v>29.700000762939499</v>
      </c>
      <c r="N350">
        <v>6.1999998092651403</v>
      </c>
      <c r="O350">
        <v>23.5</v>
      </c>
      <c r="P350">
        <v>21.399999618530298</v>
      </c>
      <c r="Q350">
        <v>15.1000003814697</v>
      </c>
      <c r="R350">
        <v>21.899999618530298</v>
      </c>
      <c r="S350">
        <v>15.1000003814697</v>
      </c>
      <c r="T350">
        <v>811</v>
      </c>
      <c r="U350">
        <v>216</v>
      </c>
      <c r="V350">
        <v>1</v>
      </c>
      <c r="W350">
        <v>110</v>
      </c>
      <c r="X350">
        <v>552</v>
      </c>
      <c r="Y350">
        <v>5</v>
      </c>
      <c r="Z350">
        <v>283</v>
      </c>
      <c r="AA350">
        <v>5</v>
      </c>
      <c r="AB350">
        <v>3.7536532898450301</v>
      </c>
      <c r="AC350">
        <v>3.4137607519996997E-2</v>
      </c>
      <c r="AD350">
        <v>2.0490523641332601</v>
      </c>
      <c r="AE350">
        <v>0.32690551001058599</v>
      </c>
      <c r="AF350">
        <v>1144.3711001642</v>
      </c>
      <c r="AG350">
        <f>IFERROR(AH350*0.1, "N/A")</f>
        <v>6.2950738916256199</v>
      </c>
      <c r="AH350">
        <v>62.950738916256199</v>
      </c>
      <c r="AI350">
        <v>270.39377915957101</v>
      </c>
      <c r="AJ350">
        <v>23</v>
      </c>
      <c r="AK350">
        <v>63.149425287356301</v>
      </c>
    </row>
    <row r="351" spans="1:37" x14ac:dyDescent="0.3">
      <c r="A351">
        <v>350</v>
      </c>
      <c r="B351">
        <v>60</v>
      </c>
      <c r="C351">
        <v>29.973687000000002</v>
      </c>
      <c r="D351">
        <v>-17.287368000000001</v>
      </c>
      <c r="E351" t="s">
        <v>568</v>
      </c>
      <c r="F351" t="s">
        <v>569</v>
      </c>
      <c r="G351" t="s">
        <v>39</v>
      </c>
      <c r="H351">
        <v>1995</v>
      </c>
      <c r="I351">
        <v>19.200000762939499</v>
      </c>
      <c r="J351">
        <v>13.5</v>
      </c>
      <c r="K351">
        <v>57</v>
      </c>
      <c r="L351">
        <v>27.9799995422363</v>
      </c>
      <c r="M351">
        <v>29.700000762939499</v>
      </c>
      <c r="N351">
        <v>6.1999998092651403</v>
      </c>
      <c r="O351">
        <v>23.5</v>
      </c>
      <c r="P351">
        <v>21.399999618530298</v>
      </c>
      <c r="Q351">
        <v>15.1000003814697</v>
      </c>
      <c r="R351">
        <v>21.899999618530298</v>
      </c>
      <c r="S351">
        <v>15.1000003814697</v>
      </c>
      <c r="T351">
        <v>811</v>
      </c>
      <c r="U351">
        <v>216</v>
      </c>
      <c r="V351">
        <v>1</v>
      </c>
      <c r="W351">
        <v>110</v>
      </c>
      <c r="X351">
        <v>552</v>
      </c>
      <c r="Y351">
        <v>5</v>
      </c>
      <c r="Z351">
        <v>283</v>
      </c>
      <c r="AA351">
        <v>5</v>
      </c>
      <c r="AB351">
        <v>3.7536532898450301</v>
      </c>
      <c r="AC351">
        <v>3.4137607519996997E-2</v>
      </c>
      <c r="AD351">
        <v>2.0490523641332601</v>
      </c>
      <c r="AE351">
        <v>0.32690551001058599</v>
      </c>
      <c r="AF351">
        <v>1144.3711001642</v>
      </c>
      <c r="AG351">
        <f>IFERROR(AH351*0.1, "N/A")</f>
        <v>6.2950738916256199</v>
      </c>
      <c r="AH351">
        <v>62.950738916256199</v>
      </c>
      <c r="AI351">
        <v>270.39377915957101</v>
      </c>
      <c r="AJ351">
        <v>23</v>
      </c>
      <c r="AK351">
        <v>63.149425287356301</v>
      </c>
    </row>
    <row r="352" spans="1:37" x14ac:dyDescent="0.3">
      <c r="A352">
        <v>351</v>
      </c>
      <c r="B352">
        <v>60</v>
      </c>
      <c r="C352">
        <v>29.973687999999999</v>
      </c>
      <c r="D352">
        <v>-17.287369000000002</v>
      </c>
      <c r="E352" t="s">
        <v>570</v>
      </c>
      <c r="F352" t="s">
        <v>571</v>
      </c>
      <c r="G352" t="s">
        <v>39</v>
      </c>
      <c r="H352">
        <v>1995</v>
      </c>
      <c r="I352">
        <v>19.200000762939499</v>
      </c>
      <c r="J352">
        <v>13.5</v>
      </c>
      <c r="K352">
        <v>57</v>
      </c>
      <c r="L352">
        <v>27.9799995422363</v>
      </c>
      <c r="M352">
        <v>29.700000762939499</v>
      </c>
      <c r="N352">
        <v>6.1999998092651403</v>
      </c>
      <c r="O352">
        <v>23.5</v>
      </c>
      <c r="P352">
        <v>21.399999618530298</v>
      </c>
      <c r="Q352">
        <v>15.1000003814697</v>
      </c>
      <c r="R352">
        <v>21.899999618530298</v>
      </c>
      <c r="S352">
        <v>15.1000003814697</v>
      </c>
      <c r="T352">
        <v>811</v>
      </c>
      <c r="U352">
        <v>216</v>
      </c>
      <c r="V352">
        <v>1</v>
      </c>
      <c r="W352">
        <v>110</v>
      </c>
      <c r="X352">
        <v>552</v>
      </c>
      <c r="Y352">
        <v>5</v>
      </c>
      <c r="Z352">
        <v>283</v>
      </c>
      <c r="AA352">
        <v>5</v>
      </c>
      <c r="AB352">
        <v>3.7728650323275899</v>
      </c>
      <c r="AC352">
        <v>3.3587652975799999E-2</v>
      </c>
      <c r="AD352">
        <v>2.04491211314898</v>
      </c>
      <c r="AE352">
        <v>0.326746359736657</v>
      </c>
      <c r="AF352">
        <v>1144.3793103448299</v>
      </c>
      <c r="AG352">
        <f>IFERROR(AH352*0.1, "N/A")</f>
        <v>6.2950738916256199</v>
      </c>
      <c r="AH352">
        <v>62.950738916256199</v>
      </c>
      <c r="AI352">
        <v>269.80159996295799</v>
      </c>
      <c r="AJ352">
        <v>23</v>
      </c>
      <c r="AK352">
        <v>63.146141215106702</v>
      </c>
    </row>
    <row r="353" spans="1:37" x14ac:dyDescent="0.3">
      <c r="A353">
        <v>352</v>
      </c>
      <c r="B353">
        <v>37.5</v>
      </c>
      <c r="C353">
        <v>29.973689</v>
      </c>
      <c r="D353">
        <v>-17.287369999999999</v>
      </c>
      <c r="E353" t="s">
        <v>572</v>
      </c>
      <c r="F353" t="s">
        <v>573</v>
      </c>
      <c r="G353" t="s">
        <v>39</v>
      </c>
      <c r="H353">
        <v>1995</v>
      </c>
      <c r="I353">
        <v>19.200000762939499</v>
      </c>
      <c r="J353">
        <v>13.5</v>
      </c>
      <c r="K353">
        <v>57</v>
      </c>
      <c r="L353">
        <v>27.9799995422363</v>
      </c>
      <c r="M353">
        <v>29.700000762939499</v>
      </c>
      <c r="N353">
        <v>6.1999998092651403</v>
      </c>
      <c r="O353">
        <v>23.5</v>
      </c>
      <c r="P353">
        <v>21.399999618530298</v>
      </c>
      <c r="Q353">
        <v>15.1000003814697</v>
      </c>
      <c r="R353">
        <v>21.899999618530298</v>
      </c>
      <c r="S353">
        <v>15.1000003814697</v>
      </c>
      <c r="T353">
        <v>811</v>
      </c>
      <c r="U353">
        <v>216</v>
      </c>
      <c r="V353">
        <v>1</v>
      </c>
      <c r="W353">
        <v>110</v>
      </c>
      <c r="X353">
        <v>552</v>
      </c>
      <c r="Y353">
        <v>5</v>
      </c>
      <c r="Z353">
        <v>283</v>
      </c>
      <c r="AA353">
        <v>5</v>
      </c>
      <c r="AB353">
        <v>3.7728650323275899</v>
      </c>
      <c r="AC353">
        <v>3.3587652975799999E-2</v>
      </c>
      <c r="AD353">
        <v>2.04491211314898</v>
      </c>
      <c r="AE353">
        <v>0.326746359736657</v>
      </c>
      <c r="AF353">
        <v>1144.3793103448299</v>
      </c>
      <c r="AG353">
        <f>IFERROR(AH353*0.1, "N/A")</f>
        <v>6.2950738916256199</v>
      </c>
      <c r="AH353">
        <v>62.950738916256199</v>
      </c>
      <c r="AI353">
        <v>269.80159996295799</v>
      </c>
      <c r="AJ353">
        <v>23</v>
      </c>
      <c r="AK353">
        <v>63.146141215106702</v>
      </c>
    </row>
    <row r="354" spans="1:37" x14ac:dyDescent="0.3">
      <c r="A354">
        <v>353</v>
      </c>
      <c r="B354">
        <v>8.3000000000000007</v>
      </c>
      <c r="C354">
        <v>29.973690000000001</v>
      </c>
      <c r="D354">
        <v>-17.287371</v>
      </c>
      <c r="E354" t="s">
        <v>574</v>
      </c>
      <c r="F354" t="s">
        <v>575</v>
      </c>
      <c r="G354" t="s">
        <v>39</v>
      </c>
      <c r="H354">
        <v>1995</v>
      </c>
      <c r="I354">
        <v>19.200000762939499</v>
      </c>
      <c r="J354">
        <v>13.5</v>
      </c>
      <c r="K354">
        <v>57</v>
      </c>
      <c r="L354">
        <v>27.9799995422363</v>
      </c>
      <c r="M354">
        <v>29.700000762939499</v>
      </c>
      <c r="N354">
        <v>6.1999998092651403</v>
      </c>
      <c r="O354">
        <v>23.5</v>
      </c>
      <c r="P354">
        <v>21.399999618530298</v>
      </c>
      <c r="Q354">
        <v>15.1000003814697</v>
      </c>
      <c r="R354">
        <v>21.899999618530298</v>
      </c>
      <c r="S354">
        <v>15.1000003814697</v>
      </c>
      <c r="T354">
        <v>811</v>
      </c>
      <c r="U354">
        <v>216</v>
      </c>
      <c r="V354">
        <v>1</v>
      </c>
      <c r="W354">
        <v>110</v>
      </c>
      <c r="X354">
        <v>552</v>
      </c>
      <c r="Y354">
        <v>5</v>
      </c>
      <c r="Z354">
        <v>283</v>
      </c>
      <c r="AA354">
        <v>5</v>
      </c>
      <c r="AB354">
        <v>3.7752876281738299</v>
      </c>
      <c r="AC354">
        <v>3.3629459993741999E-2</v>
      </c>
      <c r="AD354">
        <v>2.043860744881</v>
      </c>
      <c r="AE354">
        <v>0.32675389318089698</v>
      </c>
      <c r="AF354">
        <v>1144.3815789473699</v>
      </c>
      <c r="AG354">
        <f>IFERROR(AH354*0.1, "N/A")</f>
        <v>6.2950657894736901</v>
      </c>
      <c r="AH354">
        <v>62.950657894736899</v>
      </c>
      <c r="AI354">
        <v>269.72943762729</v>
      </c>
      <c r="AJ354">
        <v>23</v>
      </c>
      <c r="AK354">
        <v>63.146381578947398</v>
      </c>
    </row>
    <row r="355" spans="1:37" x14ac:dyDescent="0.3">
      <c r="A355">
        <v>354</v>
      </c>
      <c r="B355">
        <v>8.3000000000000007</v>
      </c>
      <c r="C355">
        <v>29.973690999999999</v>
      </c>
      <c r="D355">
        <v>-17.287372000000001</v>
      </c>
      <c r="E355" t="s">
        <v>576</v>
      </c>
      <c r="F355" t="s">
        <v>577</v>
      </c>
      <c r="G355" t="s">
        <v>39</v>
      </c>
      <c r="H355">
        <v>1995</v>
      </c>
      <c r="I355">
        <v>19.200000762939499</v>
      </c>
      <c r="J355">
        <v>13.5</v>
      </c>
      <c r="K355">
        <v>57</v>
      </c>
      <c r="L355">
        <v>27.9799995422363</v>
      </c>
      <c r="M355">
        <v>29.700000762939499</v>
      </c>
      <c r="N355">
        <v>6.1999998092651403</v>
      </c>
      <c r="O355">
        <v>23.5</v>
      </c>
      <c r="P355">
        <v>21.399999618530298</v>
      </c>
      <c r="Q355">
        <v>15.1000003814697</v>
      </c>
      <c r="R355">
        <v>21.899999618530298</v>
      </c>
      <c r="S355">
        <v>15.1000003814697</v>
      </c>
      <c r="T355">
        <v>811</v>
      </c>
      <c r="U355">
        <v>216</v>
      </c>
      <c r="V355">
        <v>1</v>
      </c>
      <c r="W355">
        <v>110</v>
      </c>
      <c r="X355">
        <v>552</v>
      </c>
      <c r="Y355">
        <v>5</v>
      </c>
      <c r="Z355">
        <v>283</v>
      </c>
      <c r="AA355">
        <v>5</v>
      </c>
      <c r="AB355">
        <v>3.7752876281738299</v>
      </c>
      <c r="AC355">
        <v>3.3629459993741999E-2</v>
      </c>
      <c r="AD355">
        <v>2.043860744881</v>
      </c>
      <c r="AE355">
        <v>0.32675389318089698</v>
      </c>
      <c r="AF355">
        <v>1144.3815789473699</v>
      </c>
      <c r="AG355">
        <f>IFERROR(AH355*0.1, "N/A")</f>
        <v>6.2950657894736901</v>
      </c>
      <c r="AH355">
        <v>62.950657894736899</v>
      </c>
      <c r="AI355">
        <v>269.72943762729</v>
      </c>
      <c r="AJ355">
        <v>23</v>
      </c>
      <c r="AK355">
        <v>63.146381578947398</v>
      </c>
    </row>
    <row r="356" spans="1:37" x14ac:dyDescent="0.3">
      <c r="A356">
        <v>355</v>
      </c>
      <c r="B356">
        <v>25.299999</v>
      </c>
      <c r="C356">
        <v>29.973692</v>
      </c>
      <c r="D356">
        <v>-17.287372999999999</v>
      </c>
      <c r="E356" t="s">
        <v>578</v>
      </c>
      <c r="F356" t="s">
        <v>579</v>
      </c>
      <c r="G356" t="s">
        <v>39</v>
      </c>
      <c r="H356">
        <v>1995</v>
      </c>
      <c r="I356">
        <v>19.200000762939499</v>
      </c>
      <c r="J356">
        <v>13.5</v>
      </c>
      <c r="K356">
        <v>57</v>
      </c>
      <c r="L356">
        <v>27.9799995422363</v>
      </c>
      <c r="M356">
        <v>29.700000762939499</v>
      </c>
      <c r="N356">
        <v>6.1999998092651403</v>
      </c>
      <c r="O356">
        <v>23.5</v>
      </c>
      <c r="P356">
        <v>21.399999618530298</v>
      </c>
      <c r="Q356">
        <v>15.1000003814697</v>
      </c>
      <c r="R356">
        <v>21.899999618530298</v>
      </c>
      <c r="S356">
        <v>15.1000003814697</v>
      </c>
      <c r="T356">
        <v>811</v>
      </c>
      <c r="U356">
        <v>216</v>
      </c>
      <c r="V356">
        <v>1</v>
      </c>
      <c r="W356">
        <v>110</v>
      </c>
      <c r="X356">
        <v>552</v>
      </c>
      <c r="Y356">
        <v>5</v>
      </c>
      <c r="Z356">
        <v>283</v>
      </c>
      <c r="AA356">
        <v>5</v>
      </c>
      <c r="AB356">
        <v>3.7969932493307299</v>
      </c>
      <c r="AC356">
        <v>3.3119638175802997E-2</v>
      </c>
      <c r="AD356">
        <v>2.0386520197992501</v>
      </c>
      <c r="AE356">
        <v>0.32660177678998997</v>
      </c>
      <c r="AF356">
        <v>1144.3920922570001</v>
      </c>
      <c r="AG356">
        <f>IFERROR(AH356*0.1, "N/A")</f>
        <v>6.2950576606260302</v>
      </c>
      <c r="AH356">
        <v>62.950576606260299</v>
      </c>
      <c r="AI356">
        <v>269.06290716080099</v>
      </c>
      <c r="AJ356">
        <v>23</v>
      </c>
      <c r="AK356">
        <v>63.1433278418451</v>
      </c>
    </row>
    <row r="357" spans="1:37" x14ac:dyDescent="0.3">
      <c r="A357">
        <v>356</v>
      </c>
      <c r="B357">
        <v>55</v>
      </c>
      <c r="C357">
        <v>29.973693000000001</v>
      </c>
      <c r="D357">
        <v>-17.287374</v>
      </c>
      <c r="E357" t="s">
        <v>580</v>
      </c>
      <c r="F357" t="s">
        <v>581</v>
      </c>
      <c r="G357" t="s">
        <v>39</v>
      </c>
      <c r="H357">
        <v>1995</v>
      </c>
      <c r="I357">
        <v>19.200000762939499</v>
      </c>
      <c r="J357">
        <v>13.5</v>
      </c>
      <c r="K357">
        <v>57</v>
      </c>
      <c r="L357">
        <v>27.9799995422363</v>
      </c>
      <c r="M357">
        <v>29.700000762939499</v>
      </c>
      <c r="N357">
        <v>6.1999998092651403</v>
      </c>
      <c r="O357">
        <v>23.5</v>
      </c>
      <c r="P357">
        <v>21.399999618530298</v>
      </c>
      <c r="Q357">
        <v>15.1000003814697</v>
      </c>
      <c r="R357">
        <v>21.899999618530298</v>
      </c>
      <c r="S357">
        <v>15.1000003814697</v>
      </c>
      <c r="T357">
        <v>811</v>
      </c>
      <c r="U357">
        <v>216</v>
      </c>
      <c r="V357">
        <v>1</v>
      </c>
      <c r="W357">
        <v>110</v>
      </c>
      <c r="X357">
        <v>552</v>
      </c>
      <c r="Y357">
        <v>5</v>
      </c>
      <c r="Z357">
        <v>283</v>
      </c>
      <c r="AA357">
        <v>5</v>
      </c>
      <c r="AB357">
        <v>3.7969932493307299</v>
      </c>
      <c r="AC357">
        <v>3.3119638175802997E-2</v>
      </c>
      <c r="AD357">
        <v>2.0386520197992501</v>
      </c>
      <c r="AE357">
        <v>0.32660177678998997</v>
      </c>
      <c r="AF357">
        <v>1144.3920922570001</v>
      </c>
      <c r="AG357">
        <f>IFERROR(AH357*0.1, "N/A")</f>
        <v>6.2950576606260302</v>
      </c>
      <c r="AH357">
        <v>62.950576606260299</v>
      </c>
      <c r="AI357">
        <v>269.06290716080099</v>
      </c>
      <c r="AJ357">
        <v>23</v>
      </c>
      <c r="AK357">
        <v>63.1433278418451</v>
      </c>
    </row>
    <row r="358" spans="1:37" x14ac:dyDescent="0.3">
      <c r="A358">
        <v>357</v>
      </c>
      <c r="B358">
        <v>55</v>
      </c>
      <c r="C358">
        <v>29.973693999999998</v>
      </c>
      <c r="D358">
        <v>-17.287375000000001</v>
      </c>
      <c r="E358" t="s">
        <v>582</v>
      </c>
      <c r="F358" t="s">
        <v>583</v>
      </c>
      <c r="G358" t="s">
        <v>39</v>
      </c>
      <c r="H358">
        <v>1995</v>
      </c>
      <c r="I358">
        <v>19.200000762939499</v>
      </c>
      <c r="J358">
        <v>13.5</v>
      </c>
      <c r="K358">
        <v>57</v>
      </c>
      <c r="L358">
        <v>27.9799995422363</v>
      </c>
      <c r="M358">
        <v>29.700000762939499</v>
      </c>
      <c r="N358">
        <v>6.1999998092651403</v>
      </c>
      <c r="O358">
        <v>23.5</v>
      </c>
      <c r="P358">
        <v>21.399999618530298</v>
      </c>
      <c r="Q358">
        <v>15.1000003814697</v>
      </c>
      <c r="R358">
        <v>21.899999618530298</v>
      </c>
      <c r="S358">
        <v>15.1000003814697</v>
      </c>
      <c r="T358">
        <v>811</v>
      </c>
      <c r="U358">
        <v>216</v>
      </c>
      <c r="V358">
        <v>1</v>
      </c>
      <c r="W358">
        <v>110</v>
      </c>
      <c r="X358">
        <v>552</v>
      </c>
      <c r="Y358">
        <v>5</v>
      </c>
      <c r="Z358">
        <v>283</v>
      </c>
      <c r="AA358">
        <v>5</v>
      </c>
      <c r="AB358">
        <v>3.7969932493307299</v>
      </c>
      <c r="AC358">
        <v>3.3119638175802997E-2</v>
      </c>
      <c r="AD358">
        <v>2.0386520197992501</v>
      </c>
      <c r="AE358">
        <v>0.32660177678998997</v>
      </c>
      <c r="AF358">
        <v>1144.3920922570001</v>
      </c>
      <c r="AG358">
        <f>IFERROR(AH358*0.1, "N/A")</f>
        <v>6.2950576606260302</v>
      </c>
      <c r="AH358">
        <v>62.950576606260299</v>
      </c>
      <c r="AI358">
        <v>269.06290716080099</v>
      </c>
      <c r="AJ358">
        <v>23</v>
      </c>
      <c r="AK358">
        <v>63.1433278418451</v>
      </c>
    </row>
    <row r="359" spans="1:37" x14ac:dyDescent="0.3">
      <c r="A359">
        <v>358</v>
      </c>
      <c r="B359">
        <v>42.5</v>
      </c>
      <c r="C359">
        <v>29.973694999999999</v>
      </c>
      <c r="D359">
        <v>-17.287375999999998</v>
      </c>
      <c r="E359" t="s">
        <v>584</v>
      </c>
      <c r="F359" t="s">
        <v>585</v>
      </c>
      <c r="G359" t="s">
        <v>39</v>
      </c>
      <c r="H359">
        <v>1995</v>
      </c>
      <c r="I359">
        <v>19.200000762939499</v>
      </c>
      <c r="J359">
        <v>13.5</v>
      </c>
      <c r="K359">
        <v>57</v>
      </c>
      <c r="L359">
        <v>27.9799995422363</v>
      </c>
      <c r="M359">
        <v>29.700000762939499</v>
      </c>
      <c r="N359">
        <v>6.1999998092651403</v>
      </c>
      <c r="O359">
        <v>23.5</v>
      </c>
      <c r="P359">
        <v>21.399999618530298</v>
      </c>
      <c r="Q359">
        <v>15.1000003814697</v>
      </c>
      <c r="R359">
        <v>21.899999618530298</v>
      </c>
      <c r="S359">
        <v>15.1000003814697</v>
      </c>
      <c r="T359">
        <v>811</v>
      </c>
      <c r="U359">
        <v>216</v>
      </c>
      <c r="V359">
        <v>1</v>
      </c>
      <c r="W359">
        <v>110</v>
      </c>
      <c r="X359">
        <v>552</v>
      </c>
      <c r="Y359">
        <v>5</v>
      </c>
      <c r="Z359">
        <v>283</v>
      </c>
      <c r="AA359">
        <v>5</v>
      </c>
      <c r="AB359">
        <v>3.8037293481045098</v>
      </c>
      <c r="AC359">
        <v>3.3318326990195997E-2</v>
      </c>
      <c r="AD359">
        <v>2.03756455202572</v>
      </c>
      <c r="AE359">
        <v>0.32656852050882901</v>
      </c>
      <c r="AF359">
        <v>1144.39672131148</v>
      </c>
      <c r="AG359">
        <f>IFERROR(AH359*0.1, "N/A")</f>
        <v>6.2945901639344299</v>
      </c>
      <c r="AH359">
        <v>62.945901639344299</v>
      </c>
      <c r="AI359">
        <v>268.68284354288102</v>
      </c>
      <c r="AJ359">
        <v>23</v>
      </c>
      <c r="AK359">
        <v>63.147540983606604</v>
      </c>
    </row>
    <row r="360" spans="1:37" x14ac:dyDescent="0.3">
      <c r="A360">
        <v>359</v>
      </c>
      <c r="B360">
        <v>22.5</v>
      </c>
      <c r="C360">
        <v>29.973696</v>
      </c>
      <c r="D360">
        <v>-17.287376999999999</v>
      </c>
      <c r="E360" t="s">
        <v>586</v>
      </c>
      <c r="F360" t="s">
        <v>587</v>
      </c>
      <c r="G360" t="s">
        <v>39</v>
      </c>
      <c r="H360">
        <v>1995</v>
      </c>
      <c r="I360">
        <v>19.200000762939499</v>
      </c>
      <c r="J360">
        <v>13.5</v>
      </c>
      <c r="K360">
        <v>57</v>
      </c>
      <c r="L360">
        <v>27.9799995422363</v>
      </c>
      <c r="M360">
        <v>29.700000762939499</v>
      </c>
      <c r="N360">
        <v>6.1999998092651403</v>
      </c>
      <c r="O360">
        <v>23.5</v>
      </c>
      <c r="P360">
        <v>21.399999618530298</v>
      </c>
      <c r="Q360">
        <v>15.1000003814697</v>
      </c>
      <c r="R360">
        <v>21.899999618530298</v>
      </c>
      <c r="S360">
        <v>15.1000003814697</v>
      </c>
      <c r="T360">
        <v>811</v>
      </c>
      <c r="U360">
        <v>216</v>
      </c>
      <c r="V360">
        <v>1</v>
      </c>
      <c r="W360">
        <v>110</v>
      </c>
      <c r="X360">
        <v>552</v>
      </c>
      <c r="Y360">
        <v>5</v>
      </c>
      <c r="Z360">
        <v>283</v>
      </c>
      <c r="AA360">
        <v>5</v>
      </c>
      <c r="AB360">
        <v>3.8037293481045098</v>
      </c>
      <c r="AC360">
        <v>3.3318326990195997E-2</v>
      </c>
      <c r="AD360">
        <v>2.03756455202572</v>
      </c>
      <c r="AE360">
        <v>0.32656852050882901</v>
      </c>
      <c r="AF360">
        <v>1144.39672131148</v>
      </c>
      <c r="AG360">
        <f>IFERROR(AH360*0.1, "N/A")</f>
        <v>6.2945901639344299</v>
      </c>
      <c r="AH360">
        <v>62.945901639344299</v>
      </c>
      <c r="AI360">
        <v>268.68284354288102</v>
      </c>
      <c r="AJ360">
        <v>23</v>
      </c>
      <c r="AK360">
        <v>63.147540983606604</v>
      </c>
    </row>
    <row r="361" spans="1:37" x14ac:dyDescent="0.3">
      <c r="A361">
        <v>360</v>
      </c>
      <c r="B361">
        <v>22.5</v>
      </c>
      <c r="C361">
        <v>29.973697000000001</v>
      </c>
      <c r="D361">
        <v>-17.287378</v>
      </c>
      <c r="E361" t="s">
        <v>588</v>
      </c>
      <c r="F361" t="s">
        <v>589</v>
      </c>
      <c r="G361" t="s">
        <v>39</v>
      </c>
      <c r="H361">
        <v>1995</v>
      </c>
      <c r="I361">
        <v>19.200000762939499</v>
      </c>
      <c r="J361">
        <v>13.5</v>
      </c>
      <c r="K361">
        <v>57</v>
      </c>
      <c r="L361">
        <v>27.9799995422363</v>
      </c>
      <c r="M361">
        <v>29.700000762939499</v>
      </c>
      <c r="N361">
        <v>6.1999998092651403</v>
      </c>
      <c r="O361">
        <v>23.5</v>
      </c>
      <c r="P361">
        <v>21.399999618530298</v>
      </c>
      <c r="Q361">
        <v>15.1000003814697</v>
      </c>
      <c r="R361">
        <v>21.899999618530298</v>
      </c>
      <c r="S361">
        <v>15.1000003814697</v>
      </c>
      <c r="T361">
        <v>811</v>
      </c>
      <c r="U361">
        <v>216</v>
      </c>
      <c r="V361">
        <v>1</v>
      </c>
      <c r="W361">
        <v>110</v>
      </c>
      <c r="X361">
        <v>552</v>
      </c>
      <c r="Y361">
        <v>5</v>
      </c>
      <c r="Z361">
        <v>283</v>
      </c>
      <c r="AA361">
        <v>5</v>
      </c>
      <c r="AB361">
        <v>3.8188422442657002</v>
      </c>
      <c r="AC361">
        <v>3.2756013873726002E-2</v>
      </c>
      <c r="AD361">
        <v>2.03425985956427</v>
      </c>
      <c r="AE361">
        <v>0.32641659929051597</v>
      </c>
      <c r="AF361">
        <v>1144.40558292282</v>
      </c>
      <c r="AG361">
        <f>IFERROR(AH361*0.1, "N/A")</f>
        <v>6.2945812807881802</v>
      </c>
      <c r="AH361">
        <v>62.945812807881801</v>
      </c>
      <c r="AI361">
        <v>268.11749174872801</v>
      </c>
      <c r="AJ361">
        <v>23</v>
      </c>
      <c r="AK361">
        <v>63.144499178981903</v>
      </c>
    </row>
    <row r="362" spans="1:37" x14ac:dyDescent="0.3">
      <c r="A362">
        <v>361</v>
      </c>
      <c r="B362">
        <v>43.299999</v>
      </c>
      <c r="C362">
        <v>29.973697999999999</v>
      </c>
      <c r="D362">
        <v>-17.287379000000001</v>
      </c>
      <c r="E362" t="s">
        <v>590</v>
      </c>
      <c r="F362" t="s">
        <v>591</v>
      </c>
      <c r="G362" t="s">
        <v>39</v>
      </c>
      <c r="H362">
        <v>1995</v>
      </c>
      <c r="I362">
        <v>19.200000762939499</v>
      </c>
      <c r="J362">
        <v>13.5</v>
      </c>
      <c r="K362">
        <v>57</v>
      </c>
      <c r="L362">
        <v>27.9799995422363</v>
      </c>
      <c r="M362">
        <v>29.700000762939499</v>
      </c>
      <c r="N362">
        <v>6.1999998092651403</v>
      </c>
      <c r="O362">
        <v>23.5</v>
      </c>
      <c r="P362">
        <v>21.399999618530298</v>
      </c>
      <c r="Q362">
        <v>15.1000003814697</v>
      </c>
      <c r="R362">
        <v>21.899999618530298</v>
      </c>
      <c r="S362">
        <v>15.1000003814697</v>
      </c>
      <c r="T362">
        <v>811</v>
      </c>
      <c r="U362">
        <v>216</v>
      </c>
      <c r="V362">
        <v>1</v>
      </c>
      <c r="W362">
        <v>110</v>
      </c>
      <c r="X362">
        <v>552</v>
      </c>
      <c r="Y362">
        <v>5</v>
      </c>
      <c r="Z362">
        <v>283</v>
      </c>
      <c r="AA362">
        <v>5</v>
      </c>
      <c r="AB362">
        <v>3.8188422442657002</v>
      </c>
      <c r="AC362">
        <v>3.2756013873726002E-2</v>
      </c>
      <c r="AD362">
        <v>2.03425985956427</v>
      </c>
      <c r="AE362">
        <v>0.32641659929051597</v>
      </c>
      <c r="AF362">
        <v>1144.40558292282</v>
      </c>
      <c r="AG362">
        <f>IFERROR(AH362*0.1, "N/A")</f>
        <v>6.2945812807881802</v>
      </c>
      <c r="AH362">
        <v>62.945812807881801</v>
      </c>
      <c r="AI362">
        <v>268.11749174872801</v>
      </c>
      <c r="AJ362">
        <v>23</v>
      </c>
      <c r="AK362">
        <v>63.144499178981903</v>
      </c>
    </row>
    <row r="363" spans="1:37" x14ac:dyDescent="0.3">
      <c r="A363">
        <v>362</v>
      </c>
      <c r="B363">
        <v>52.5</v>
      </c>
      <c r="C363">
        <v>29.973699</v>
      </c>
      <c r="D363">
        <v>-17.287379999999999</v>
      </c>
      <c r="E363" t="s">
        <v>592</v>
      </c>
      <c r="F363" t="s">
        <v>593</v>
      </c>
      <c r="G363" t="s">
        <v>39</v>
      </c>
      <c r="H363">
        <v>1995</v>
      </c>
      <c r="I363">
        <v>19.200000762939499</v>
      </c>
      <c r="J363">
        <v>13.5</v>
      </c>
      <c r="K363">
        <v>57</v>
      </c>
      <c r="L363">
        <v>27.9799995422363</v>
      </c>
      <c r="M363">
        <v>29.700000762939499</v>
      </c>
      <c r="N363">
        <v>6.1999998092651403</v>
      </c>
      <c r="O363">
        <v>23.5</v>
      </c>
      <c r="P363">
        <v>21.399999618530298</v>
      </c>
      <c r="Q363">
        <v>15.1000003814697</v>
      </c>
      <c r="R363">
        <v>21.899999618530298</v>
      </c>
      <c r="S363">
        <v>15.1000003814697</v>
      </c>
      <c r="T363">
        <v>811</v>
      </c>
      <c r="U363">
        <v>216</v>
      </c>
      <c r="V363">
        <v>1</v>
      </c>
      <c r="W363">
        <v>110</v>
      </c>
      <c r="X363">
        <v>552</v>
      </c>
      <c r="Y363">
        <v>5</v>
      </c>
      <c r="Z363">
        <v>283</v>
      </c>
      <c r="AA363">
        <v>5</v>
      </c>
      <c r="AB363">
        <v>3.8213404605263199</v>
      </c>
      <c r="AC363">
        <v>3.2796453064196998E-2</v>
      </c>
      <c r="AD363">
        <v>2.0331909711423699</v>
      </c>
      <c r="AE363">
        <v>0.32642359036560098</v>
      </c>
      <c r="AF363">
        <v>1144.40789473684</v>
      </c>
      <c r="AG363">
        <f>IFERROR(AH363*0.1, "N/A")</f>
        <v>6.2945723684210506</v>
      </c>
      <c r="AH363">
        <v>62.945723684210499</v>
      </c>
      <c r="AI363">
        <v>268.04255949823499</v>
      </c>
      <c r="AJ363">
        <v>23</v>
      </c>
      <c r="AK363">
        <v>63.144736842105303</v>
      </c>
    </row>
    <row r="364" spans="1:37" x14ac:dyDescent="0.3">
      <c r="A364">
        <v>363</v>
      </c>
      <c r="B364">
        <v>52.5</v>
      </c>
      <c r="C364">
        <v>29.973700000000001</v>
      </c>
      <c r="D364">
        <v>-17.287381</v>
      </c>
      <c r="E364" t="s">
        <v>594</v>
      </c>
      <c r="F364" t="s">
        <v>595</v>
      </c>
      <c r="G364" t="s">
        <v>39</v>
      </c>
      <c r="H364">
        <v>1995</v>
      </c>
      <c r="I364">
        <v>19.200000762939499</v>
      </c>
      <c r="J364">
        <v>13.5</v>
      </c>
      <c r="K364">
        <v>57</v>
      </c>
      <c r="L364">
        <v>27.9799995422363</v>
      </c>
      <c r="M364">
        <v>29.700000762939499</v>
      </c>
      <c r="N364">
        <v>6.1999998092651403</v>
      </c>
      <c r="O364">
        <v>23.5</v>
      </c>
      <c r="P364">
        <v>21.399999618530298</v>
      </c>
      <c r="Q364">
        <v>15.1000003814697</v>
      </c>
      <c r="R364">
        <v>21.899999618530298</v>
      </c>
      <c r="S364">
        <v>15.1000003814697</v>
      </c>
      <c r="T364">
        <v>811</v>
      </c>
      <c r="U364">
        <v>216</v>
      </c>
      <c r="V364">
        <v>1</v>
      </c>
      <c r="W364">
        <v>110</v>
      </c>
      <c r="X364">
        <v>552</v>
      </c>
      <c r="Y364">
        <v>5</v>
      </c>
      <c r="Z364">
        <v>283</v>
      </c>
      <c r="AA364">
        <v>5</v>
      </c>
      <c r="AB364">
        <v>3.8213404605263199</v>
      </c>
      <c r="AC364">
        <v>3.2796453064196998E-2</v>
      </c>
      <c r="AD364">
        <v>2.0331909711423699</v>
      </c>
      <c r="AE364">
        <v>0.32642359036560098</v>
      </c>
      <c r="AF364">
        <v>1144.40789473684</v>
      </c>
      <c r="AG364">
        <f>IFERROR(AH364*0.1, "N/A")</f>
        <v>6.2945723684210506</v>
      </c>
      <c r="AH364">
        <v>62.945723684210499</v>
      </c>
      <c r="AI364">
        <v>268.04255949823499</v>
      </c>
      <c r="AJ364">
        <v>23</v>
      </c>
      <c r="AK364">
        <v>63.144736842105303</v>
      </c>
    </row>
    <row r="365" spans="1:37" x14ac:dyDescent="0.3">
      <c r="A365">
        <v>364</v>
      </c>
      <c r="B365">
        <v>32.5</v>
      </c>
      <c r="C365">
        <v>29.973700999999998</v>
      </c>
      <c r="D365">
        <v>-17.287382000000001</v>
      </c>
      <c r="E365" t="s">
        <v>596</v>
      </c>
      <c r="F365" t="s">
        <v>597</v>
      </c>
      <c r="G365" t="s">
        <v>39</v>
      </c>
      <c r="H365">
        <v>1995</v>
      </c>
      <c r="I365">
        <v>19.200000762939499</v>
      </c>
      <c r="J365">
        <v>13.5</v>
      </c>
      <c r="K365">
        <v>57</v>
      </c>
      <c r="L365">
        <v>27.9799995422363</v>
      </c>
      <c r="M365">
        <v>29.700000762939499</v>
      </c>
      <c r="N365">
        <v>6.1999998092651403</v>
      </c>
      <c r="O365">
        <v>23.5</v>
      </c>
      <c r="P365">
        <v>21.399999618530298</v>
      </c>
      <c r="Q365">
        <v>15.1000003814697</v>
      </c>
      <c r="R365">
        <v>21.899999618530298</v>
      </c>
      <c r="S365">
        <v>15.1000003814697</v>
      </c>
      <c r="T365">
        <v>811</v>
      </c>
      <c r="U365">
        <v>216</v>
      </c>
      <c r="V365">
        <v>1</v>
      </c>
      <c r="W365">
        <v>110</v>
      </c>
      <c r="X365">
        <v>552</v>
      </c>
      <c r="Y365">
        <v>5</v>
      </c>
      <c r="Z365">
        <v>283</v>
      </c>
      <c r="AA365">
        <v>5</v>
      </c>
      <c r="AB365">
        <v>3.8464285313398001</v>
      </c>
      <c r="AC365">
        <v>3.2232886561068999E-2</v>
      </c>
      <c r="AD365">
        <v>2.0279961587564501</v>
      </c>
      <c r="AE365">
        <v>0.32625744901658699</v>
      </c>
      <c r="AF365">
        <v>1144.41543513957</v>
      </c>
      <c r="AG365">
        <f>IFERROR(AH365*0.1, "N/A")</f>
        <v>6.2945812807881802</v>
      </c>
      <c r="AH365">
        <v>62.945812807881801</v>
      </c>
      <c r="AI365">
        <v>267.01024473594299</v>
      </c>
      <c r="AJ365">
        <v>23</v>
      </c>
      <c r="AK365">
        <v>63.141215106732403</v>
      </c>
    </row>
    <row r="366" spans="1:37" x14ac:dyDescent="0.3">
      <c r="A366">
        <v>365</v>
      </c>
      <c r="B366">
        <v>27.5</v>
      </c>
      <c r="C366">
        <v>29.973701999999999</v>
      </c>
      <c r="D366">
        <v>-17.287382999999998</v>
      </c>
      <c r="E366" t="s">
        <v>598</v>
      </c>
      <c r="F366" t="s">
        <v>599</v>
      </c>
      <c r="G366" t="s">
        <v>39</v>
      </c>
      <c r="H366">
        <v>1995</v>
      </c>
      <c r="I366">
        <v>19.200000762939499</v>
      </c>
      <c r="J366">
        <v>13.5</v>
      </c>
      <c r="K366">
        <v>57</v>
      </c>
      <c r="L366">
        <v>27.9799995422363</v>
      </c>
      <c r="M366">
        <v>29.700000762939499</v>
      </c>
      <c r="N366">
        <v>6.1999998092651403</v>
      </c>
      <c r="O366">
        <v>23.5</v>
      </c>
      <c r="P366">
        <v>21.399999618530298</v>
      </c>
      <c r="Q366">
        <v>15.1000003814697</v>
      </c>
      <c r="R366">
        <v>21.899999618530298</v>
      </c>
      <c r="S366">
        <v>15.1000003814697</v>
      </c>
      <c r="T366">
        <v>811</v>
      </c>
      <c r="U366">
        <v>216</v>
      </c>
      <c r="V366">
        <v>1</v>
      </c>
      <c r="W366">
        <v>110</v>
      </c>
      <c r="X366">
        <v>552</v>
      </c>
      <c r="Y366">
        <v>5</v>
      </c>
      <c r="Z366">
        <v>283</v>
      </c>
      <c r="AA366">
        <v>5</v>
      </c>
      <c r="AB366">
        <v>3.8464285313398001</v>
      </c>
      <c r="AC366">
        <v>3.2232886561068999E-2</v>
      </c>
      <c r="AD366">
        <v>2.0279961587564501</v>
      </c>
      <c r="AE366">
        <v>0.32625744901658699</v>
      </c>
      <c r="AF366">
        <v>1144.41543513957</v>
      </c>
      <c r="AG366">
        <f>IFERROR(AH366*0.1, "N/A")</f>
        <v>6.2945812807881802</v>
      </c>
      <c r="AH366">
        <v>62.945812807881801</v>
      </c>
      <c r="AI366">
        <v>267.01024473594299</v>
      </c>
      <c r="AJ366">
        <v>23</v>
      </c>
      <c r="AK366">
        <v>63.141215106732403</v>
      </c>
    </row>
    <row r="367" spans="1:37" x14ac:dyDescent="0.3">
      <c r="A367">
        <v>366</v>
      </c>
      <c r="B367">
        <v>27.5</v>
      </c>
      <c r="C367">
        <v>29.973703</v>
      </c>
      <c r="D367">
        <v>-17.287383999999999</v>
      </c>
      <c r="E367" t="s">
        <v>600</v>
      </c>
      <c r="F367" t="s">
        <v>601</v>
      </c>
      <c r="G367" t="s">
        <v>39</v>
      </c>
      <c r="H367">
        <v>1995</v>
      </c>
      <c r="I367">
        <v>19.200000762939499</v>
      </c>
      <c r="J367">
        <v>13.5</v>
      </c>
      <c r="K367">
        <v>57</v>
      </c>
      <c r="L367">
        <v>27.9799995422363</v>
      </c>
      <c r="M367">
        <v>29.700000762939499</v>
      </c>
      <c r="N367">
        <v>6.1999998092651403</v>
      </c>
      <c r="O367">
        <v>23.5</v>
      </c>
      <c r="P367">
        <v>21.399999618530298</v>
      </c>
      <c r="Q367">
        <v>15.1000003814697</v>
      </c>
      <c r="R367">
        <v>21.899999618530298</v>
      </c>
      <c r="S367">
        <v>15.1000003814697</v>
      </c>
      <c r="T367">
        <v>811</v>
      </c>
      <c r="U367">
        <v>216</v>
      </c>
      <c r="V367">
        <v>1</v>
      </c>
      <c r="W367">
        <v>110</v>
      </c>
      <c r="X367">
        <v>552</v>
      </c>
      <c r="Y367">
        <v>5</v>
      </c>
      <c r="Z367">
        <v>283</v>
      </c>
      <c r="AA367">
        <v>5</v>
      </c>
      <c r="AB367">
        <v>3.8464285313398001</v>
      </c>
      <c r="AC367">
        <v>3.2232886561068999E-2</v>
      </c>
      <c r="AD367">
        <v>2.0279961587564501</v>
      </c>
      <c r="AE367">
        <v>0.32625744901658699</v>
      </c>
      <c r="AF367">
        <v>1144.41543513957</v>
      </c>
      <c r="AG367">
        <f>IFERROR(AH367*0.1, "N/A")</f>
        <v>6.2945812807881802</v>
      </c>
      <c r="AH367">
        <v>62.945812807881801</v>
      </c>
      <c r="AI367">
        <v>267.01024473594299</v>
      </c>
      <c r="AJ367">
        <v>23</v>
      </c>
      <c r="AK367">
        <v>63.141215106732403</v>
      </c>
    </row>
    <row r="368" spans="1:37" x14ac:dyDescent="0.3">
      <c r="A368">
        <v>367</v>
      </c>
      <c r="B368">
        <v>20.700001</v>
      </c>
      <c r="C368">
        <v>29.973704000000001</v>
      </c>
      <c r="D368">
        <v>-17.287385</v>
      </c>
      <c r="E368" t="s">
        <v>602</v>
      </c>
      <c r="F368" t="s">
        <v>603</v>
      </c>
      <c r="G368" t="s">
        <v>39</v>
      </c>
      <c r="H368">
        <v>1995</v>
      </c>
      <c r="I368">
        <v>19.200000762939499</v>
      </c>
      <c r="J368">
        <v>13.5</v>
      </c>
      <c r="K368">
        <v>57</v>
      </c>
      <c r="L368">
        <v>27.9799995422363</v>
      </c>
      <c r="M368">
        <v>29.700000762939499</v>
      </c>
      <c r="N368">
        <v>6.1999998092651403</v>
      </c>
      <c r="O368">
        <v>23.5</v>
      </c>
      <c r="P368">
        <v>21.399999618530298</v>
      </c>
      <c r="Q368">
        <v>15.1000003814697</v>
      </c>
      <c r="R368">
        <v>21.899999618530298</v>
      </c>
      <c r="S368">
        <v>15.1000003814697</v>
      </c>
      <c r="T368">
        <v>811</v>
      </c>
      <c r="U368">
        <v>216</v>
      </c>
      <c r="V368">
        <v>1</v>
      </c>
      <c r="W368">
        <v>110</v>
      </c>
      <c r="X368">
        <v>552</v>
      </c>
      <c r="Y368">
        <v>5</v>
      </c>
      <c r="Z368">
        <v>283</v>
      </c>
      <c r="AA368">
        <v>5</v>
      </c>
      <c r="AB368">
        <v>3.8496311875640399</v>
      </c>
      <c r="AC368">
        <v>3.2488051230912002E-2</v>
      </c>
      <c r="AD368">
        <v>2.0269297611517998</v>
      </c>
      <c r="AE368">
        <v>0.32623930065358298</v>
      </c>
      <c r="AF368">
        <v>1144.4229508196699</v>
      </c>
      <c r="AG368">
        <f>IFERROR(AH368*0.1, "N/A")</f>
        <v>6.2940983606557408</v>
      </c>
      <c r="AH368">
        <v>62.940983606557403</v>
      </c>
      <c r="AI368">
        <v>267.00149616178902</v>
      </c>
      <c r="AJ368">
        <v>23</v>
      </c>
      <c r="AK368">
        <v>63.145901639344302</v>
      </c>
    </row>
    <row r="369" spans="1:37" x14ac:dyDescent="0.3">
      <c r="A369">
        <v>368</v>
      </c>
      <c r="B369">
        <v>20</v>
      </c>
      <c r="C369">
        <v>29.973704999999999</v>
      </c>
      <c r="D369">
        <v>-17.287386000000001</v>
      </c>
      <c r="E369" t="s">
        <v>604</v>
      </c>
      <c r="F369" t="s">
        <v>605</v>
      </c>
      <c r="G369" t="s">
        <v>39</v>
      </c>
      <c r="H369">
        <v>1995</v>
      </c>
      <c r="I369">
        <v>19.200000762939499</v>
      </c>
      <c r="J369">
        <v>13.5</v>
      </c>
      <c r="K369">
        <v>57</v>
      </c>
      <c r="L369">
        <v>27.9799995422363</v>
      </c>
      <c r="M369">
        <v>29.700000762939499</v>
      </c>
      <c r="N369">
        <v>6.1999998092651403</v>
      </c>
      <c r="O369">
        <v>23.5</v>
      </c>
      <c r="P369">
        <v>21.399999618530298</v>
      </c>
      <c r="Q369">
        <v>15.1000003814697</v>
      </c>
      <c r="R369">
        <v>21.899999618530298</v>
      </c>
      <c r="S369">
        <v>15.1000003814697</v>
      </c>
      <c r="T369">
        <v>811</v>
      </c>
      <c r="U369">
        <v>216</v>
      </c>
      <c r="V369">
        <v>1</v>
      </c>
      <c r="W369">
        <v>110</v>
      </c>
      <c r="X369">
        <v>552</v>
      </c>
      <c r="Y369">
        <v>5</v>
      </c>
      <c r="Z369">
        <v>283</v>
      </c>
      <c r="AA369">
        <v>5</v>
      </c>
      <c r="AB369">
        <v>3.8624795017773099</v>
      </c>
      <c r="AC369">
        <v>3.2234335952299999E-2</v>
      </c>
      <c r="AD369">
        <v>2.0233942209796298</v>
      </c>
      <c r="AE369">
        <v>0.32615331942047898</v>
      </c>
      <c r="AF369">
        <v>1144.42389525368</v>
      </c>
      <c r="AG369">
        <f>IFERROR(AH369*0.1, "N/A")</f>
        <v>6.2941080196399399</v>
      </c>
      <c r="AH369">
        <v>62.941080196399398</v>
      </c>
      <c r="AI369">
        <v>266.47443993001798</v>
      </c>
      <c r="AJ369">
        <v>23</v>
      </c>
      <c r="AK369">
        <v>63.144026186579403</v>
      </c>
    </row>
    <row r="370" spans="1:37" x14ac:dyDescent="0.3">
      <c r="A370">
        <v>369</v>
      </c>
      <c r="B370">
        <v>20</v>
      </c>
      <c r="C370">
        <v>29.973706</v>
      </c>
      <c r="D370">
        <v>-17.287386999999999</v>
      </c>
      <c r="E370" t="s">
        <v>606</v>
      </c>
      <c r="F370" t="s">
        <v>607</v>
      </c>
      <c r="G370" t="s">
        <v>39</v>
      </c>
      <c r="H370">
        <v>1995</v>
      </c>
      <c r="I370">
        <v>19.200000762939499</v>
      </c>
      <c r="J370">
        <v>13.5</v>
      </c>
      <c r="K370">
        <v>57</v>
      </c>
      <c r="L370">
        <v>27.9799995422363</v>
      </c>
      <c r="M370">
        <v>29.700000762939499</v>
      </c>
      <c r="N370">
        <v>6.1999998092651403</v>
      </c>
      <c r="O370">
        <v>23.5</v>
      </c>
      <c r="P370">
        <v>21.399999618530298</v>
      </c>
      <c r="Q370">
        <v>15.1000003814697</v>
      </c>
      <c r="R370">
        <v>21.899999618530298</v>
      </c>
      <c r="S370">
        <v>15.1000003814697</v>
      </c>
      <c r="T370">
        <v>811</v>
      </c>
      <c r="U370">
        <v>216</v>
      </c>
      <c r="V370">
        <v>1</v>
      </c>
      <c r="W370">
        <v>110</v>
      </c>
      <c r="X370">
        <v>552</v>
      </c>
      <c r="Y370">
        <v>5</v>
      </c>
      <c r="Z370">
        <v>283</v>
      </c>
      <c r="AA370">
        <v>5</v>
      </c>
      <c r="AB370">
        <v>3.8624795017773099</v>
      </c>
      <c r="AC370">
        <v>3.2234335952299999E-2</v>
      </c>
      <c r="AD370">
        <v>2.0233942209796298</v>
      </c>
      <c r="AE370">
        <v>0.32615331942047898</v>
      </c>
      <c r="AF370">
        <v>1144.42389525368</v>
      </c>
      <c r="AG370">
        <f>IFERROR(AH370*0.1, "N/A")</f>
        <v>6.2941080196399399</v>
      </c>
      <c r="AH370">
        <v>62.941080196399398</v>
      </c>
      <c r="AI370">
        <v>266.47443993001798</v>
      </c>
      <c r="AJ370">
        <v>23</v>
      </c>
      <c r="AK370">
        <v>63.144026186579403</v>
      </c>
    </row>
    <row r="371" spans="1:37" x14ac:dyDescent="0.3">
      <c r="A371">
        <v>370</v>
      </c>
      <c r="B371">
        <v>29.200001</v>
      </c>
      <c r="C371">
        <v>29.973707000000001</v>
      </c>
      <c r="D371">
        <v>-17.287388</v>
      </c>
      <c r="E371" t="s">
        <v>608</v>
      </c>
      <c r="F371" t="s">
        <v>609</v>
      </c>
      <c r="G371" t="s">
        <v>39</v>
      </c>
      <c r="H371">
        <v>1995</v>
      </c>
      <c r="I371">
        <v>19.200000762939499</v>
      </c>
      <c r="J371">
        <v>13.5</v>
      </c>
      <c r="K371">
        <v>57</v>
      </c>
      <c r="L371">
        <v>27.9799995422363</v>
      </c>
      <c r="M371">
        <v>29.700000762939499</v>
      </c>
      <c r="N371">
        <v>6.1999998092651403</v>
      </c>
      <c r="O371">
        <v>23.5</v>
      </c>
      <c r="P371">
        <v>21.399999618530298</v>
      </c>
      <c r="Q371">
        <v>15.1000003814697</v>
      </c>
      <c r="R371">
        <v>21.899999618530298</v>
      </c>
      <c r="S371">
        <v>15.1000003814697</v>
      </c>
      <c r="T371">
        <v>811</v>
      </c>
      <c r="U371">
        <v>216</v>
      </c>
      <c r="V371">
        <v>1</v>
      </c>
      <c r="W371">
        <v>110</v>
      </c>
      <c r="X371">
        <v>552</v>
      </c>
      <c r="Y371">
        <v>5</v>
      </c>
      <c r="Z371">
        <v>283</v>
      </c>
      <c r="AA371">
        <v>5</v>
      </c>
      <c r="AB371">
        <v>3.8624795017773099</v>
      </c>
      <c r="AC371">
        <v>3.2234335952299999E-2</v>
      </c>
      <c r="AD371">
        <v>2.0233942209796298</v>
      </c>
      <c r="AE371">
        <v>0.32615331942047898</v>
      </c>
      <c r="AF371">
        <v>1144.42389525368</v>
      </c>
      <c r="AG371">
        <f>IFERROR(AH371*0.1, "N/A")</f>
        <v>6.2941080196399399</v>
      </c>
      <c r="AH371">
        <v>62.941080196399398</v>
      </c>
      <c r="AI371">
        <v>266.47443993001798</v>
      </c>
      <c r="AJ371">
        <v>23</v>
      </c>
      <c r="AK371">
        <v>63.144026186579403</v>
      </c>
    </row>
    <row r="372" spans="1:37" x14ac:dyDescent="0.3">
      <c r="A372">
        <v>371</v>
      </c>
      <c r="B372">
        <v>16.700001</v>
      </c>
      <c r="C372">
        <v>29.973707999999998</v>
      </c>
      <c r="D372">
        <v>-17.287389000000001</v>
      </c>
      <c r="E372" t="s">
        <v>610</v>
      </c>
      <c r="F372" t="s">
        <v>611</v>
      </c>
      <c r="G372" t="s">
        <v>39</v>
      </c>
      <c r="H372">
        <v>1995</v>
      </c>
      <c r="I372">
        <v>19.200000762939499</v>
      </c>
      <c r="J372">
        <v>13.5</v>
      </c>
      <c r="K372">
        <v>57</v>
      </c>
      <c r="L372">
        <v>27.9799995422363</v>
      </c>
      <c r="M372">
        <v>29.700000762939499</v>
      </c>
      <c r="N372">
        <v>6.1999998092651403</v>
      </c>
      <c r="O372">
        <v>23.5</v>
      </c>
      <c r="P372">
        <v>21.399999618530298</v>
      </c>
      <c r="Q372">
        <v>15.1000003814697</v>
      </c>
      <c r="R372">
        <v>21.899999618530298</v>
      </c>
      <c r="S372">
        <v>15.1000003814697</v>
      </c>
      <c r="T372">
        <v>811</v>
      </c>
      <c r="U372">
        <v>216</v>
      </c>
      <c r="V372">
        <v>1</v>
      </c>
      <c r="W372">
        <v>110</v>
      </c>
      <c r="X372">
        <v>552</v>
      </c>
      <c r="Y372">
        <v>5</v>
      </c>
      <c r="Z372">
        <v>283</v>
      </c>
      <c r="AA372">
        <v>5</v>
      </c>
      <c r="AB372">
        <v>3.8713876007030001</v>
      </c>
      <c r="AC372">
        <v>3.1978029470236001E-2</v>
      </c>
      <c r="AD372">
        <v>2.0217103406126302</v>
      </c>
      <c r="AE372">
        <v>0.326086838844375</v>
      </c>
      <c r="AF372">
        <v>1144.43349753695</v>
      </c>
      <c r="AG372">
        <f>IFERROR(AH372*0.1, "N/A")</f>
        <v>6.2940886699507406</v>
      </c>
      <c r="AH372">
        <v>62.940886699507402</v>
      </c>
      <c r="AI372">
        <v>266.33267525107601</v>
      </c>
      <c r="AJ372">
        <v>23</v>
      </c>
      <c r="AK372">
        <v>63.142857142857203</v>
      </c>
    </row>
    <row r="373" spans="1:37" x14ac:dyDescent="0.3">
      <c r="A373">
        <v>372</v>
      </c>
      <c r="B373">
        <v>16.700001</v>
      </c>
      <c r="C373">
        <v>29.973708999999999</v>
      </c>
      <c r="D373">
        <v>-17.287389999999998</v>
      </c>
      <c r="E373" t="s">
        <v>612</v>
      </c>
      <c r="F373" t="s">
        <v>613</v>
      </c>
      <c r="G373" t="s">
        <v>39</v>
      </c>
      <c r="H373">
        <v>1995</v>
      </c>
      <c r="I373">
        <v>19.200000762939499</v>
      </c>
      <c r="J373">
        <v>13.5</v>
      </c>
      <c r="K373">
        <v>57</v>
      </c>
      <c r="L373">
        <v>27.9799995422363</v>
      </c>
      <c r="M373">
        <v>29.700000762939499</v>
      </c>
      <c r="N373">
        <v>6.1999998092651403</v>
      </c>
      <c r="O373">
        <v>23.5</v>
      </c>
      <c r="P373">
        <v>21.399999618530298</v>
      </c>
      <c r="Q373">
        <v>15.1000003814697</v>
      </c>
      <c r="R373">
        <v>21.899999618530298</v>
      </c>
      <c r="S373">
        <v>15.1000003814697</v>
      </c>
      <c r="T373">
        <v>811</v>
      </c>
      <c r="U373">
        <v>216</v>
      </c>
      <c r="V373">
        <v>1</v>
      </c>
      <c r="W373">
        <v>110</v>
      </c>
      <c r="X373">
        <v>552</v>
      </c>
      <c r="Y373">
        <v>5</v>
      </c>
      <c r="Z373">
        <v>283</v>
      </c>
      <c r="AA373">
        <v>5</v>
      </c>
      <c r="AB373">
        <v>3.8713876007030001</v>
      </c>
      <c r="AC373">
        <v>3.1978029470236001E-2</v>
      </c>
      <c r="AD373">
        <v>2.0217103406126302</v>
      </c>
      <c r="AE373">
        <v>0.326086838844375</v>
      </c>
      <c r="AF373">
        <v>1144.43349753695</v>
      </c>
      <c r="AG373">
        <f>IFERROR(AH373*0.1, "N/A")</f>
        <v>6.2940886699507406</v>
      </c>
      <c r="AH373">
        <v>62.940886699507402</v>
      </c>
      <c r="AI373">
        <v>266.33267525107601</v>
      </c>
      <c r="AJ373">
        <v>23</v>
      </c>
      <c r="AK373">
        <v>63.142857142857203</v>
      </c>
    </row>
    <row r="374" spans="1:37" x14ac:dyDescent="0.3">
      <c r="A374">
        <v>373</v>
      </c>
      <c r="B374">
        <v>16.700001</v>
      </c>
      <c r="C374">
        <v>29.973710000000001</v>
      </c>
      <c r="D374">
        <v>-17.287391</v>
      </c>
      <c r="E374" t="s">
        <v>614</v>
      </c>
      <c r="F374" t="s">
        <v>615</v>
      </c>
      <c r="G374" t="s">
        <v>39</v>
      </c>
      <c r="H374">
        <v>1995</v>
      </c>
      <c r="I374">
        <v>19.200000762939499</v>
      </c>
      <c r="J374">
        <v>13.5</v>
      </c>
      <c r="K374">
        <v>57</v>
      </c>
      <c r="L374">
        <v>27.9799995422363</v>
      </c>
      <c r="M374">
        <v>29.700000762939499</v>
      </c>
      <c r="N374">
        <v>6.1999998092651403</v>
      </c>
      <c r="O374">
        <v>23.5</v>
      </c>
      <c r="P374">
        <v>21.399999618530298</v>
      </c>
      <c r="Q374">
        <v>15.1000003814697</v>
      </c>
      <c r="R374">
        <v>21.899999618530298</v>
      </c>
      <c r="S374">
        <v>15.1000003814697</v>
      </c>
      <c r="T374">
        <v>811</v>
      </c>
      <c r="U374">
        <v>216</v>
      </c>
      <c r="V374">
        <v>1</v>
      </c>
      <c r="W374">
        <v>110</v>
      </c>
      <c r="X374">
        <v>552</v>
      </c>
      <c r="Y374">
        <v>5</v>
      </c>
      <c r="Z374">
        <v>283</v>
      </c>
      <c r="AA374">
        <v>5</v>
      </c>
      <c r="AB374">
        <v>3.8828538593493001</v>
      </c>
      <c r="AC374">
        <v>3.1748477433881997E-2</v>
      </c>
      <c r="AD374">
        <v>2.0178872676272102</v>
      </c>
      <c r="AE374">
        <v>0.326013581533181</v>
      </c>
      <c r="AF374">
        <v>1144.4375</v>
      </c>
      <c r="AG374">
        <f>IFERROR(AH374*0.1, "N/A")</f>
        <v>6.29407894736842</v>
      </c>
      <c r="AH374">
        <v>62.940789473684198</v>
      </c>
      <c r="AI374">
        <v>265.74925676145</v>
      </c>
      <c r="AJ374">
        <v>23</v>
      </c>
      <c r="AK374">
        <v>63.141447368421098</v>
      </c>
    </row>
    <row r="375" spans="1:37" x14ac:dyDescent="0.3">
      <c r="A375">
        <v>374</v>
      </c>
      <c r="B375">
        <v>34.200001</v>
      </c>
      <c r="C375">
        <v>29.973711000000002</v>
      </c>
      <c r="D375">
        <v>-17.287392000000001</v>
      </c>
      <c r="E375" t="s">
        <v>616</v>
      </c>
      <c r="F375" t="s">
        <v>617</v>
      </c>
      <c r="G375" t="s">
        <v>39</v>
      </c>
      <c r="H375">
        <v>1995</v>
      </c>
      <c r="I375">
        <v>19.200000762939499</v>
      </c>
      <c r="J375">
        <v>13.5</v>
      </c>
      <c r="K375">
        <v>57</v>
      </c>
      <c r="L375">
        <v>27.9799995422363</v>
      </c>
      <c r="M375">
        <v>29.700000762939499</v>
      </c>
      <c r="N375">
        <v>6.1999998092651403</v>
      </c>
      <c r="O375">
        <v>23.5</v>
      </c>
      <c r="P375">
        <v>21.399999618530298</v>
      </c>
      <c r="Q375">
        <v>15.1000003814697</v>
      </c>
      <c r="R375">
        <v>21.899999618530298</v>
      </c>
      <c r="S375">
        <v>15.1000003814697</v>
      </c>
      <c r="T375">
        <v>811</v>
      </c>
      <c r="U375">
        <v>216</v>
      </c>
      <c r="V375">
        <v>1</v>
      </c>
      <c r="W375">
        <v>110</v>
      </c>
      <c r="X375">
        <v>552</v>
      </c>
      <c r="Y375">
        <v>5</v>
      </c>
      <c r="Z375">
        <v>283</v>
      </c>
      <c r="AA375">
        <v>5</v>
      </c>
      <c r="AB375">
        <v>3.8828538593493001</v>
      </c>
      <c r="AC375">
        <v>3.1748477433881997E-2</v>
      </c>
      <c r="AD375">
        <v>2.0178872676272102</v>
      </c>
      <c r="AE375">
        <v>0.326013581533181</v>
      </c>
      <c r="AF375">
        <v>1144.4375</v>
      </c>
      <c r="AG375">
        <f>IFERROR(AH375*0.1, "N/A")</f>
        <v>6.29407894736842</v>
      </c>
      <c r="AH375">
        <v>62.940789473684198</v>
      </c>
      <c r="AI375">
        <v>265.74925676145</v>
      </c>
      <c r="AJ375">
        <v>23</v>
      </c>
      <c r="AK375">
        <v>63.141447368421098</v>
      </c>
    </row>
    <row r="376" spans="1:37" x14ac:dyDescent="0.3">
      <c r="A376">
        <v>375</v>
      </c>
      <c r="B376">
        <v>34.200001</v>
      </c>
      <c r="C376">
        <v>29.973711999999999</v>
      </c>
      <c r="D376">
        <v>-17.287393000000002</v>
      </c>
      <c r="E376" t="s">
        <v>618</v>
      </c>
      <c r="F376" t="s">
        <v>619</v>
      </c>
      <c r="G376" t="s">
        <v>39</v>
      </c>
      <c r="H376">
        <v>1995</v>
      </c>
      <c r="I376">
        <v>19.200000762939499</v>
      </c>
      <c r="J376">
        <v>13.5</v>
      </c>
      <c r="K376">
        <v>57</v>
      </c>
      <c r="L376">
        <v>27.9799995422363</v>
      </c>
      <c r="M376">
        <v>29.700000762939499</v>
      </c>
      <c r="N376">
        <v>6.1999998092651403</v>
      </c>
      <c r="O376">
        <v>23.5</v>
      </c>
      <c r="P376">
        <v>21.399999618530298</v>
      </c>
      <c r="Q376">
        <v>15.1000003814697</v>
      </c>
      <c r="R376">
        <v>21.899999618530298</v>
      </c>
      <c r="S376">
        <v>15.1000003814697</v>
      </c>
      <c r="T376">
        <v>811</v>
      </c>
      <c r="U376">
        <v>216</v>
      </c>
      <c r="V376">
        <v>1</v>
      </c>
      <c r="W376">
        <v>110</v>
      </c>
      <c r="X376">
        <v>552</v>
      </c>
      <c r="Y376">
        <v>5</v>
      </c>
      <c r="Z376">
        <v>283</v>
      </c>
      <c r="AA376">
        <v>5</v>
      </c>
      <c r="AB376">
        <v>3.8828538593493001</v>
      </c>
      <c r="AC376">
        <v>3.1748477433881997E-2</v>
      </c>
      <c r="AD376">
        <v>2.0178872676272102</v>
      </c>
      <c r="AE376">
        <v>0.326013581533181</v>
      </c>
      <c r="AF376">
        <v>1144.4375</v>
      </c>
      <c r="AG376">
        <f>IFERROR(AH376*0.1, "N/A")</f>
        <v>6.29407894736842</v>
      </c>
      <c r="AH376">
        <v>62.940789473684198</v>
      </c>
      <c r="AI376">
        <v>265.74925676145</v>
      </c>
      <c r="AJ376">
        <v>23</v>
      </c>
      <c r="AK376">
        <v>63.141447368421098</v>
      </c>
    </row>
    <row r="377" spans="1:37" x14ac:dyDescent="0.3">
      <c r="A377">
        <v>376</v>
      </c>
      <c r="B377">
        <v>39.200001</v>
      </c>
      <c r="C377">
        <v>29.973713</v>
      </c>
      <c r="D377">
        <v>-17.287393999999999</v>
      </c>
      <c r="E377" t="s">
        <v>620</v>
      </c>
      <c r="F377" t="s">
        <v>621</v>
      </c>
      <c r="G377" t="s">
        <v>39</v>
      </c>
      <c r="H377">
        <v>1995</v>
      </c>
      <c r="I377">
        <v>19.200000762939499</v>
      </c>
      <c r="J377">
        <v>13.5</v>
      </c>
      <c r="K377">
        <v>57</v>
      </c>
      <c r="L377">
        <v>27.9799995422363</v>
      </c>
      <c r="M377">
        <v>29.700000762939499</v>
      </c>
      <c r="N377">
        <v>6.1999998092651403</v>
      </c>
      <c r="O377">
        <v>23.5</v>
      </c>
      <c r="P377">
        <v>21.399999618530298</v>
      </c>
      <c r="Q377">
        <v>15.1000003814697</v>
      </c>
      <c r="R377">
        <v>21.899999618530298</v>
      </c>
      <c r="S377">
        <v>15.1000003814697</v>
      </c>
      <c r="T377">
        <v>811</v>
      </c>
      <c r="U377">
        <v>216</v>
      </c>
      <c r="V377">
        <v>1</v>
      </c>
      <c r="W377">
        <v>110</v>
      </c>
      <c r="X377">
        <v>552</v>
      </c>
      <c r="Y377">
        <v>5</v>
      </c>
      <c r="Z377">
        <v>283</v>
      </c>
      <c r="AA377">
        <v>5</v>
      </c>
      <c r="AB377">
        <v>3.8864944533174302</v>
      </c>
      <c r="AC377">
        <v>3.1709758866094999E-2</v>
      </c>
      <c r="AD377">
        <v>2.0162301126176301</v>
      </c>
      <c r="AE377">
        <v>0.32591622867216202</v>
      </c>
      <c r="AF377">
        <v>1144.4449917898201</v>
      </c>
      <c r="AG377">
        <f>IFERROR(AH377*0.1, "N/A")</f>
        <v>6.2935960591133</v>
      </c>
      <c r="AH377">
        <v>62.935960591132996</v>
      </c>
      <c r="AI377">
        <v>265.75291167260798</v>
      </c>
      <c r="AJ377">
        <v>23</v>
      </c>
      <c r="AK377">
        <v>63.144499178981903</v>
      </c>
    </row>
    <row r="378" spans="1:37" x14ac:dyDescent="0.3">
      <c r="A378">
        <v>377</v>
      </c>
      <c r="B378">
        <v>55.799999</v>
      </c>
      <c r="C378">
        <v>29.973714000000001</v>
      </c>
      <c r="D378">
        <v>-17.287395</v>
      </c>
      <c r="E378" t="s">
        <v>622</v>
      </c>
      <c r="F378" t="s">
        <v>623</v>
      </c>
      <c r="G378" t="s">
        <v>39</v>
      </c>
      <c r="H378">
        <v>1995</v>
      </c>
      <c r="I378">
        <v>19.200000762939499</v>
      </c>
      <c r="J378">
        <v>13.5</v>
      </c>
      <c r="K378">
        <v>57</v>
      </c>
      <c r="L378">
        <v>27.9799995422363</v>
      </c>
      <c r="M378">
        <v>29.700000762939499</v>
      </c>
      <c r="N378">
        <v>6.1999998092651403</v>
      </c>
      <c r="O378">
        <v>23.5</v>
      </c>
      <c r="P378">
        <v>21.399999618530298</v>
      </c>
      <c r="Q378">
        <v>15.1000003814697</v>
      </c>
      <c r="R378">
        <v>21.899999618530298</v>
      </c>
      <c r="S378">
        <v>15.1000003814697</v>
      </c>
      <c r="T378">
        <v>811</v>
      </c>
      <c r="U378">
        <v>216</v>
      </c>
      <c r="V378">
        <v>1</v>
      </c>
      <c r="W378">
        <v>110</v>
      </c>
      <c r="X378">
        <v>552</v>
      </c>
      <c r="Y378">
        <v>5</v>
      </c>
      <c r="Z378">
        <v>283</v>
      </c>
      <c r="AA378">
        <v>5</v>
      </c>
      <c r="AB378">
        <v>3.90521370522886</v>
      </c>
      <c r="AC378">
        <v>3.1454901966420999E-2</v>
      </c>
      <c r="AD378">
        <v>2.0126954671393098</v>
      </c>
      <c r="AE378">
        <v>0.32583665353519797</v>
      </c>
      <c r="AF378">
        <v>1144.45320197044</v>
      </c>
      <c r="AG378">
        <f>IFERROR(AH378*0.1, "N/A")</f>
        <v>6.2935960591133</v>
      </c>
      <c r="AH378">
        <v>62.935960591132996</v>
      </c>
      <c r="AI378">
        <v>265.15038521301602</v>
      </c>
      <c r="AJ378">
        <v>23</v>
      </c>
      <c r="AK378">
        <v>63.142857142857103</v>
      </c>
    </row>
    <row r="379" spans="1:37" x14ac:dyDescent="0.3">
      <c r="A379">
        <v>378</v>
      </c>
      <c r="B379">
        <v>55.799999</v>
      </c>
      <c r="C379">
        <v>29.973714999999999</v>
      </c>
      <c r="D379">
        <v>-17.287396000000001</v>
      </c>
      <c r="E379" t="s">
        <v>624</v>
      </c>
      <c r="F379" t="s">
        <v>625</v>
      </c>
      <c r="G379" t="s">
        <v>39</v>
      </c>
      <c r="H379">
        <v>1995</v>
      </c>
      <c r="I379">
        <v>19.200000762939499</v>
      </c>
      <c r="J379">
        <v>13.5</v>
      </c>
      <c r="K379">
        <v>57</v>
      </c>
      <c r="L379">
        <v>27.9799995422363</v>
      </c>
      <c r="M379">
        <v>29.700000762939499</v>
      </c>
      <c r="N379">
        <v>6.1999998092651403</v>
      </c>
      <c r="O379">
        <v>23.5</v>
      </c>
      <c r="P379">
        <v>21.399999618530298</v>
      </c>
      <c r="Q379">
        <v>15.1000003814697</v>
      </c>
      <c r="R379">
        <v>21.899999618530298</v>
      </c>
      <c r="S379">
        <v>15.1000003814697</v>
      </c>
      <c r="T379">
        <v>811</v>
      </c>
      <c r="U379">
        <v>216</v>
      </c>
      <c r="V379">
        <v>1</v>
      </c>
      <c r="W379">
        <v>110</v>
      </c>
      <c r="X379">
        <v>552</v>
      </c>
      <c r="Y379">
        <v>5</v>
      </c>
      <c r="Z379">
        <v>283</v>
      </c>
      <c r="AA379">
        <v>5</v>
      </c>
      <c r="AB379">
        <v>3.90521370522886</v>
      </c>
      <c r="AC379">
        <v>3.1454901966420999E-2</v>
      </c>
      <c r="AD379">
        <v>2.0126954671393098</v>
      </c>
      <c r="AE379">
        <v>0.32583665353519797</v>
      </c>
      <c r="AF379">
        <v>1144.45320197044</v>
      </c>
      <c r="AG379">
        <f>IFERROR(AH379*0.1, "N/A")</f>
        <v>6.2935960591133</v>
      </c>
      <c r="AH379">
        <v>62.935960591132996</v>
      </c>
      <c r="AI379">
        <v>265.15038521301602</v>
      </c>
      <c r="AJ379">
        <v>23</v>
      </c>
      <c r="AK379">
        <v>63.142857142857103</v>
      </c>
    </row>
    <row r="380" spans="1:37" x14ac:dyDescent="0.3">
      <c r="A380">
        <v>379</v>
      </c>
      <c r="B380">
        <v>29.200001</v>
      </c>
      <c r="C380">
        <v>29.973716</v>
      </c>
      <c r="D380">
        <v>-17.287396999999999</v>
      </c>
      <c r="E380" t="s">
        <v>626</v>
      </c>
      <c r="F380" t="s">
        <v>627</v>
      </c>
      <c r="G380" t="s">
        <v>39</v>
      </c>
      <c r="H380">
        <v>1995</v>
      </c>
      <c r="I380">
        <v>19.200000762939499</v>
      </c>
      <c r="J380">
        <v>13.5</v>
      </c>
      <c r="K380">
        <v>57</v>
      </c>
      <c r="L380">
        <v>27.9799995422363</v>
      </c>
      <c r="M380">
        <v>29.700000762939499</v>
      </c>
      <c r="N380">
        <v>6.1999998092651403</v>
      </c>
      <c r="O380">
        <v>23.5</v>
      </c>
      <c r="P380">
        <v>21.399999618530298</v>
      </c>
      <c r="Q380">
        <v>15.1000003814697</v>
      </c>
      <c r="R380">
        <v>21.899999618530298</v>
      </c>
      <c r="S380">
        <v>15.1000003814697</v>
      </c>
      <c r="T380">
        <v>811</v>
      </c>
      <c r="U380">
        <v>216</v>
      </c>
      <c r="V380">
        <v>1</v>
      </c>
      <c r="W380">
        <v>110</v>
      </c>
      <c r="X380">
        <v>552</v>
      </c>
      <c r="Y380">
        <v>5</v>
      </c>
      <c r="Z380">
        <v>283</v>
      </c>
      <c r="AA380">
        <v>5</v>
      </c>
      <c r="AB380">
        <v>3.90521370522886</v>
      </c>
      <c r="AC380">
        <v>3.1454901966420999E-2</v>
      </c>
      <c r="AD380">
        <v>2.0126954671393098</v>
      </c>
      <c r="AE380">
        <v>0.32583665353519797</v>
      </c>
      <c r="AF380">
        <v>1144.45320197044</v>
      </c>
      <c r="AG380">
        <f>IFERROR(AH380*0.1, "N/A")</f>
        <v>6.2935960591133</v>
      </c>
      <c r="AH380">
        <v>62.935960591132996</v>
      </c>
      <c r="AI380">
        <v>265.15038521301602</v>
      </c>
      <c r="AJ380">
        <v>23</v>
      </c>
      <c r="AK380">
        <v>63.142857142857103</v>
      </c>
    </row>
    <row r="381" spans="1:37" x14ac:dyDescent="0.3">
      <c r="A381">
        <v>380</v>
      </c>
      <c r="B381">
        <v>55.799999</v>
      </c>
      <c r="C381">
        <v>29.973717000000001</v>
      </c>
      <c r="D381">
        <v>-17.287398</v>
      </c>
      <c r="E381" t="s">
        <v>628</v>
      </c>
      <c r="F381" t="s">
        <v>629</v>
      </c>
      <c r="G381" t="s">
        <v>39</v>
      </c>
      <c r="H381">
        <v>1995</v>
      </c>
      <c r="I381">
        <v>19.200000762939499</v>
      </c>
      <c r="J381">
        <v>13.5</v>
      </c>
      <c r="K381">
        <v>57</v>
      </c>
      <c r="L381">
        <v>27.9799995422363</v>
      </c>
      <c r="M381">
        <v>29.700000762939499</v>
      </c>
      <c r="N381">
        <v>6.1999998092651403</v>
      </c>
      <c r="O381">
        <v>23.5</v>
      </c>
      <c r="P381">
        <v>21.399999618530298</v>
      </c>
      <c r="Q381">
        <v>15.1000003814697</v>
      </c>
      <c r="R381">
        <v>21.899999618530298</v>
      </c>
      <c r="S381">
        <v>15.1000003814697</v>
      </c>
      <c r="T381">
        <v>811</v>
      </c>
      <c r="U381">
        <v>216</v>
      </c>
      <c r="V381">
        <v>1</v>
      </c>
      <c r="W381">
        <v>110</v>
      </c>
      <c r="X381">
        <v>552</v>
      </c>
      <c r="Y381">
        <v>5</v>
      </c>
      <c r="Z381">
        <v>283</v>
      </c>
      <c r="AA381">
        <v>5</v>
      </c>
      <c r="AB381">
        <v>3.9109610321094999</v>
      </c>
      <c r="AC381">
        <v>3.1428074380092E-2</v>
      </c>
      <c r="AD381">
        <v>2.01134019277757</v>
      </c>
      <c r="AE381">
        <v>0.32574561849994998</v>
      </c>
      <c r="AF381">
        <v>1144.45812807882</v>
      </c>
      <c r="AG381">
        <f>IFERROR(AH381*0.1, "N/A")</f>
        <v>6.2931034482758603</v>
      </c>
      <c r="AH381">
        <v>62.931034482758598</v>
      </c>
      <c r="AI381">
        <v>264.64226235074898</v>
      </c>
      <c r="AJ381">
        <v>23</v>
      </c>
      <c r="AK381">
        <v>63.146141215106702</v>
      </c>
    </row>
    <row r="382" spans="1:37" x14ac:dyDescent="0.3">
      <c r="A382">
        <v>381</v>
      </c>
      <c r="B382">
        <v>55.799999</v>
      </c>
      <c r="C382">
        <v>29.973718000000002</v>
      </c>
      <c r="D382">
        <v>-17.287399000000001</v>
      </c>
      <c r="E382" t="s">
        <v>630</v>
      </c>
      <c r="F382" t="s">
        <v>631</v>
      </c>
      <c r="G382" t="s">
        <v>39</v>
      </c>
      <c r="H382">
        <v>1995</v>
      </c>
      <c r="I382">
        <v>19.200000762939499</v>
      </c>
      <c r="J382">
        <v>13.5</v>
      </c>
      <c r="K382">
        <v>57</v>
      </c>
      <c r="L382">
        <v>27.9799995422363</v>
      </c>
      <c r="M382">
        <v>29.700000762939499</v>
      </c>
      <c r="N382">
        <v>6.1999998092651403</v>
      </c>
      <c r="O382">
        <v>23.5</v>
      </c>
      <c r="P382">
        <v>21.399999618530298</v>
      </c>
      <c r="Q382">
        <v>15.1000003814697</v>
      </c>
      <c r="R382">
        <v>21.899999618530298</v>
      </c>
      <c r="S382">
        <v>15.1000003814697</v>
      </c>
      <c r="T382">
        <v>811</v>
      </c>
      <c r="U382">
        <v>216</v>
      </c>
      <c r="V382">
        <v>1</v>
      </c>
      <c r="W382">
        <v>110</v>
      </c>
      <c r="X382">
        <v>552</v>
      </c>
      <c r="Y382">
        <v>5</v>
      </c>
      <c r="Z382">
        <v>283</v>
      </c>
      <c r="AA382">
        <v>5</v>
      </c>
      <c r="AB382">
        <v>3.9109610321094999</v>
      </c>
      <c r="AC382">
        <v>3.1428074380092E-2</v>
      </c>
      <c r="AD382">
        <v>2.01134019277757</v>
      </c>
      <c r="AE382">
        <v>0.32574561849994998</v>
      </c>
      <c r="AF382">
        <v>1144.45812807882</v>
      </c>
      <c r="AG382">
        <f>IFERROR(AH382*0.1, "N/A")</f>
        <v>6.2931034482758603</v>
      </c>
      <c r="AH382">
        <v>62.931034482758598</v>
      </c>
      <c r="AI382">
        <v>264.64226235074898</v>
      </c>
      <c r="AJ382">
        <v>23</v>
      </c>
      <c r="AK382">
        <v>63.146141215106702</v>
      </c>
    </row>
    <row r="383" spans="1:37" x14ac:dyDescent="0.3">
      <c r="A383">
        <v>382</v>
      </c>
      <c r="B383">
        <v>43.700001</v>
      </c>
      <c r="C383">
        <v>29.973718999999999</v>
      </c>
      <c r="D383">
        <v>-17.287400000000002</v>
      </c>
      <c r="E383" t="s">
        <v>632</v>
      </c>
      <c r="F383" t="s">
        <v>633</v>
      </c>
      <c r="G383" t="s">
        <v>39</v>
      </c>
      <c r="H383">
        <v>1995</v>
      </c>
      <c r="I383">
        <v>19.200000762939499</v>
      </c>
      <c r="J383">
        <v>13.5</v>
      </c>
      <c r="K383">
        <v>57</v>
      </c>
      <c r="L383">
        <v>27.9799995422363</v>
      </c>
      <c r="M383">
        <v>29.700000762939499</v>
      </c>
      <c r="N383">
        <v>6.1999998092651403</v>
      </c>
      <c r="O383">
        <v>23.5</v>
      </c>
      <c r="P383">
        <v>21.399999618530298</v>
      </c>
      <c r="Q383">
        <v>15.1000003814697</v>
      </c>
      <c r="R383">
        <v>21.899999618530298</v>
      </c>
      <c r="S383">
        <v>15.1000003814697</v>
      </c>
      <c r="T383">
        <v>811</v>
      </c>
      <c r="U383">
        <v>216</v>
      </c>
      <c r="V383">
        <v>1</v>
      </c>
      <c r="W383">
        <v>110</v>
      </c>
      <c r="X383">
        <v>552</v>
      </c>
      <c r="Y383">
        <v>5</v>
      </c>
      <c r="Z383">
        <v>283</v>
      </c>
      <c r="AA383">
        <v>5</v>
      </c>
      <c r="AB383">
        <v>3.93017277459206</v>
      </c>
      <c r="AC383">
        <v>3.0878119835896001E-2</v>
      </c>
      <c r="AD383">
        <v>2.00719994179329</v>
      </c>
      <c r="AE383">
        <v>0.325586468226021</v>
      </c>
      <c r="AF383">
        <v>1144.4663382594399</v>
      </c>
      <c r="AG383">
        <f>IFERROR(AH383*0.1, "N/A")</f>
        <v>6.2931034482758603</v>
      </c>
      <c r="AH383">
        <v>62.931034482758598</v>
      </c>
      <c r="AI383">
        <v>264.05008315413698</v>
      </c>
      <c r="AJ383">
        <v>23</v>
      </c>
      <c r="AK383">
        <v>63.142857142857103</v>
      </c>
    </row>
    <row r="384" spans="1:37" x14ac:dyDescent="0.3">
      <c r="A384">
        <v>383</v>
      </c>
      <c r="B384">
        <v>50.799999</v>
      </c>
      <c r="C384">
        <v>29.97372</v>
      </c>
      <c r="D384">
        <v>-17.287400999999999</v>
      </c>
      <c r="E384" t="s">
        <v>634</v>
      </c>
      <c r="F384" t="s">
        <v>635</v>
      </c>
      <c r="G384" t="s">
        <v>39</v>
      </c>
      <c r="H384">
        <v>1995</v>
      </c>
      <c r="I384">
        <v>19.200000762939499</v>
      </c>
      <c r="J384">
        <v>13.5</v>
      </c>
      <c r="K384">
        <v>57</v>
      </c>
      <c r="L384">
        <v>27.9799995422363</v>
      </c>
      <c r="M384">
        <v>29.700000762939499</v>
      </c>
      <c r="N384">
        <v>6.1999998092651403</v>
      </c>
      <c r="O384">
        <v>23.5</v>
      </c>
      <c r="P384">
        <v>21.399999618530298</v>
      </c>
      <c r="Q384">
        <v>15.1000003814697</v>
      </c>
      <c r="R384">
        <v>21.899999618530298</v>
      </c>
      <c r="S384">
        <v>15.1000003814697</v>
      </c>
      <c r="T384">
        <v>811</v>
      </c>
      <c r="U384">
        <v>216</v>
      </c>
      <c r="V384">
        <v>1</v>
      </c>
      <c r="W384">
        <v>110</v>
      </c>
      <c r="X384">
        <v>552</v>
      </c>
      <c r="Y384">
        <v>5</v>
      </c>
      <c r="Z384">
        <v>283</v>
      </c>
      <c r="AA384">
        <v>5</v>
      </c>
      <c r="AB384">
        <v>3.93017277459206</v>
      </c>
      <c r="AC384">
        <v>3.0878119835896001E-2</v>
      </c>
      <c r="AD384">
        <v>2.00719994179329</v>
      </c>
      <c r="AE384">
        <v>0.325586468226021</v>
      </c>
      <c r="AF384">
        <v>1144.4663382594399</v>
      </c>
      <c r="AG384">
        <f>IFERROR(AH384*0.1, "N/A")</f>
        <v>6.2931034482758603</v>
      </c>
      <c r="AH384">
        <v>62.931034482758598</v>
      </c>
      <c r="AI384">
        <v>264.05008315413698</v>
      </c>
      <c r="AJ384">
        <v>23</v>
      </c>
      <c r="AK384">
        <v>63.142857142857103</v>
      </c>
    </row>
    <row r="385" spans="1:37" x14ac:dyDescent="0.3">
      <c r="A385">
        <v>384</v>
      </c>
      <c r="B385">
        <v>50.799999</v>
      </c>
      <c r="C385">
        <v>29.973721000000001</v>
      </c>
      <c r="D385">
        <v>-17.287402</v>
      </c>
      <c r="E385" t="s">
        <v>636</v>
      </c>
      <c r="F385" t="s">
        <v>637</v>
      </c>
      <c r="G385" t="s">
        <v>39</v>
      </c>
      <c r="H385">
        <v>1995</v>
      </c>
      <c r="I385">
        <v>19.200000762939499</v>
      </c>
      <c r="J385">
        <v>13.5</v>
      </c>
      <c r="K385">
        <v>57</v>
      </c>
      <c r="L385">
        <v>27.9799995422363</v>
      </c>
      <c r="M385">
        <v>29.700000762939499</v>
      </c>
      <c r="N385">
        <v>6.1999998092651403</v>
      </c>
      <c r="O385">
        <v>23.5</v>
      </c>
      <c r="P385">
        <v>21.399999618530298</v>
      </c>
      <c r="Q385">
        <v>15.1000003814697</v>
      </c>
      <c r="R385">
        <v>21.899999618530298</v>
      </c>
      <c r="S385">
        <v>15.1000003814697</v>
      </c>
      <c r="T385">
        <v>811</v>
      </c>
      <c r="U385">
        <v>216</v>
      </c>
      <c r="V385">
        <v>1</v>
      </c>
      <c r="W385">
        <v>110</v>
      </c>
      <c r="X385">
        <v>552</v>
      </c>
      <c r="Y385">
        <v>5</v>
      </c>
      <c r="Z385">
        <v>283</v>
      </c>
      <c r="AA385">
        <v>5</v>
      </c>
      <c r="AB385">
        <v>3.9325252332185401</v>
      </c>
      <c r="AC385">
        <v>3.0861727246941001E-2</v>
      </c>
      <c r="AD385">
        <v>2.00523123517632</v>
      </c>
      <c r="AE385">
        <v>0.32550090919003699</v>
      </c>
      <c r="AF385">
        <v>1144.47697368421</v>
      </c>
      <c r="AG385">
        <f>IFERROR(AH385*0.1, "N/A")</f>
        <v>6.2925986842105308</v>
      </c>
      <c r="AH385">
        <v>62.925986842105303</v>
      </c>
      <c r="AI385">
        <v>263.99416855761899</v>
      </c>
      <c r="AJ385">
        <v>23</v>
      </c>
      <c r="AK385">
        <v>63.146381578947398</v>
      </c>
    </row>
    <row r="386" spans="1:37" x14ac:dyDescent="0.3">
      <c r="A386">
        <v>385</v>
      </c>
      <c r="B386">
        <v>50.799999</v>
      </c>
      <c r="C386">
        <v>29.973721999999999</v>
      </c>
      <c r="D386">
        <v>-17.287403000000001</v>
      </c>
      <c r="E386" t="s">
        <v>638</v>
      </c>
      <c r="F386" t="s">
        <v>639</v>
      </c>
      <c r="G386" t="s">
        <v>39</v>
      </c>
      <c r="H386">
        <v>1995</v>
      </c>
      <c r="I386">
        <v>19.200000762939499</v>
      </c>
      <c r="J386">
        <v>13.5</v>
      </c>
      <c r="K386">
        <v>57</v>
      </c>
      <c r="L386">
        <v>27.9799995422363</v>
      </c>
      <c r="M386">
        <v>29.700000762939499</v>
      </c>
      <c r="N386">
        <v>6.1999998092651403</v>
      </c>
      <c r="O386">
        <v>23.5</v>
      </c>
      <c r="P386">
        <v>21.399999618530298</v>
      </c>
      <c r="Q386">
        <v>15.1000003814697</v>
      </c>
      <c r="R386">
        <v>21.899999618530298</v>
      </c>
      <c r="S386">
        <v>15.1000003814697</v>
      </c>
      <c r="T386">
        <v>811</v>
      </c>
      <c r="U386">
        <v>216</v>
      </c>
      <c r="V386">
        <v>1</v>
      </c>
      <c r="W386">
        <v>110</v>
      </c>
      <c r="X386">
        <v>552</v>
      </c>
      <c r="Y386">
        <v>5</v>
      </c>
      <c r="Z386">
        <v>283</v>
      </c>
      <c r="AA386">
        <v>5</v>
      </c>
      <c r="AB386">
        <v>3.9325252332185401</v>
      </c>
      <c r="AC386">
        <v>3.0861727246941001E-2</v>
      </c>
      <c r="AD386">
        <v>2.00523123517632</v>
      </c>
      <c r="AE386">
        <v>0.32550090919003699</v>
      </c>
      <c r="AF386">
        <v>1144.47697368421</v>
      </c>
      <c r="AG386">
        <f>IFERROR(AH386*0.1, "N/A")</f>
        <v>6.2925986842105308</v>
      </c>
      <c r="AH386">
        <v>62.925986842105303</v>
      </c>
      <c r="AI386">
        <v>263.99416855761899</v>
      </c>
      <c r="AJ386">
        <v>23</v>
      </c>
      <c r="AK386">
        <v>63.146381578947398</v>
      </c>
    </row>
    <row r="387" spans="1:37" x14ac:dyDescent="0.3">
      <c r="A387">
        <v>386</v>
      </c>
      <c r="B387">
        <v>67.5</v>
      </c>
      <c r="C387">
        <v>29.973723</v>
      </c>
      <c r="D387">
        <v>-17.287403999999999</v>
      </c>
      <c r="E387" t="s">
        <v>640</v>
      </c>
      <c r="F387" t="s">
        <v>641</v>
      </c>
      <c r="G387" t="s">
        <v>39</v>
      </c>
      <c r="H387">
        <v>1995</v>
      </c>
      <c r="I387">
        <v>19.200000762939499</v>
      </c>
      <c r="J387">
        <v>13.5</v>
      </c>
      <c r="K387">
        <v>57</v>
      </c>
      <c r="L387">
        <v>27.9799995422363</v>
      </c>
      <c r="M387">
        <v>29.700000762939499</v>
      </c>
      <c r="N387">
        <v>6.1999998092651403</v>
      </c>
      <c r="O387">
        <v>23.5</v>
      </c>
      <c r="P387">
        <v>21.399999618530298</v>
      </c>
      <c r="Q387">
        <v>15.1000003814697</v>
      </c>
      <c r="R387">
        <v>21.899999618530298</v>
      </c>
      <c r="S387">
        <v>15.1000003814697</v>
      </c>
      <c r="T387">
        <v>811</v>
      </c>
      <c r="U387">
        <v>216</v>
      </c>
      <c r="V387">
        <v>1</v>
      </c>
      <c r="W387">
        <v>110</v>
      </c>
      <c r="X387">
        <v>552</v>
      </c>
      <c r="Y387">
        <v>5</v>
      </c>
      <c r="Z387">
        <v>283</v>
      </c>
      <c r="AA387">
        <v>5</v>
      </c>
      <c r="AB387">
        <v>3.9456831279553901</v>
      </c>
      <c r="AC387">
        <v>3.0646758618163999E-2</v>
      </c>
      <c r="AD387">
        <v>2.0022220560594599</v>
      </c>
      <c r="AE387">
        <v>0.32542120317291301</v>
      </c>
      <c r="AF387">
        <v>1144.4753289473699</v>
      </c>
      <c r="AG387">
        <f>IFERROR(AH387*0.1, "N/A")</f>
        <v>6.2925986842105308</v>
      </c>
      <c r="AH387">
        <v>62.925986842105303</v>
      </c>
      <c r="AI387">
        <v>263.36899285567398</v>
      </c>
      <c r="AJ387">
        <v>23</v>
      </c>
      <c r="AK387">
        <v>63.144736842105303</v>
      </c>
    </row>
    <row r="388" spans="1:37" x14ac:dyDescent="0.3">
      <c r="A388">
        <v>387</v>
      </c>
      <c r="B388">
        <v>67.5</v>
      </c>
      <c r="C388">
        <v>29.973724000000001</v>
      </c>
      <c r="D388">
        <v>-17.287405</v>
      </c>
      <c r="E388" t="s">
        <v>642</v>
      </c>
      <c r="F388" t="s">
        <v>643</v>
      </c>
      <c r="G388" t="s">
        <v>39</v>
      </c>
      <c r="H388">
        <v>1995</v>
      </c>
      <c r="I388">
        <v>19.200000762939499</v>
      </c>
      <c r="J388">
        <v>13.5</v>
      </c>
      <c r="K388">
        <v>57</v>
      </c>
      <c r="L388">
        <v>27.9799995422363</v>
      </c>
      <c r="M388">
        <v>29.700000762939499</v>
      </c>
      <c r="N388">
        <v>6.1999998092651403</v>
      </c>
      <c r="O388">
        <v>23.5</v>
      </c>
      <c r="P388">
        <v>21.399999618530298</v>
      </c>
      <c r="Q388">
        <v>15.1000003814697</v>
      </c>
      <c r="R388">
        <v>21.899999618530298</v>
      </c>
      <c r="S388">
        <v>15.1000003814697</v>
      </c>
      <c r="T388">
        <v>811</v>
      </c>
      <c r="U388">
        <v>216</v>
      </c>
      <c r="V388">
        <v>1</v>
      </c>
      <c r="W388">
        <v>110</v>
      </c>
      <c r="X388">
        <v>552</v>
      </c>
      <c r="Y388">
        <v>5</v>
      </c>
      <c r="Z388">
        <v>283</v>
      </c>
      <c r="AA388">
        <v>5</v>
      </c>
      <c r="AB388">
        <v>3.9456831279553901</v>
      </c>
      <c r="AC388">
        <v>3.0646758618163999E-2</v>
      </c>
      <c r="AD388">
        <v>2.0022220560594599</v>
      </c>
      <c r="AE388">
        <v>0.32542120317291301</v>
      </c>
      <c r="AF388">
        <v>1144.4753289473699</v>
      </c>
      <c r="AG388">
        <f>IFERROR(AH388*0.1, "N/A")</f>
        <v>6.2925986842105308</v>
      </c>
      <c r="AH388">
        <v>62.925986842105303</v>
      </c>
      <c r="AI388">
        <v>263.36899285567398</v>
      </c>
      <c r="AJ388">
        <v>23</v>
      </c>
      <c r="AK388">
        <v>63.144736842105303</v>
      </c>
    </row>
    <row r="389" spans="1:37" x14ac:dyDescent="0.3">
      <c r="A389">
        <v>388</v>
      </c>
      <c r="B389">
        <v>25</v>
      </c>
      <c r="C389">
        <v>29.973725000000002</v>
      </c>
      <c r="D389">
        <v>-17.287406000000001</v>
      </c>
      <c r="E389" t="s">
        <v>644</v>
      </c>
      <c r="F389" t="s">
        <v>645</v>
      </c>
      <c r="G389" t="s">
        <v>39</v>
      </c>
      <c r="H389">
        <v>1995</v>
      </c>
      <c r="I389">
        <v>19.200000762939499</v>
      </c>
      <c r="J389">
        <v>13.5</v>
      </c>
      <c r="K389">
        <v>57</v>
      </c>
      <c r="L389">
        <v>27.9799995422363</v>
      </c>
      <c r="M389">
        <v>29.700000762939499</v>
      </c>
      <c r="N389">
        <v>6.1999998092651403</v>
      </c>
      <c r="O389">
        <v>23.5</v>
      </c>
      <c r="P389">
        <v>21.399999618530298</v>
      </c>
      <c r="Q389">
        <v>15.1000003814697</v>
      </c>
      <c r="R389">
        <v>21.899999618530298</v>
      </c>
      <c r="S389">
        <v>15.1000003814697</v>
      </c>
      <c r="T389">
        <v>811</v>
      </c>
      <c r="U389">
        <v>216</v>
      </c>
      <c r="V389">
        <v>1</v>
      </c>
      <c r="W389">
        <v>110</v>
      </c>
      <c r="X389">
        <v>552</v>
      </c>
      <c r="Y389">
        <v>5</v>
      </c>
      <c r="Z389">
        <v>283</v>
      </c>
      <c r="AA389">
        <v>5</v>
      </c>
      <c r="AB389">
        <v>3.9456831279553901</v>
      </c>
      <c r="AC389">
        <v>3.0646758618163999E-2</v>
      </c>
      <c r="AD389">
        <v>2.0022220560594599</v>
      </c>
      <c r="AE389">
        <v>0.32542120317291301</v>
      </c>
      <c r="AF389">
        <v>1144.4753289473699</v>
      </c>
      <c r="AG389">
        <f>IFERROR(AH389*0.1, "N/A")</f>
        <v>6.2925986842105308</v>
      </c>
      <c r="AH389">
        <v>62.925986842105303</v>
      </c>
      <c r="AI389">
        <v>263.36899285567398</v>
      </c>
      <c r="AJ389">
        <v>23</v>
      </c>
      <c r="AK389">
        <v>63.144736842105303</v>
      </c>
    </row>
    <row r="390" spans="1:37" x14ac:dyDescent="0.3">
      <c r="A390">
        <v>389</v>
      </c>
      <c r="B390">
        <v>65</v>
      </c>
      <c r="C390">
        <v>29.973725999999999</v>
      </c>
      <c r="D390">
        <v>-17.287407000000002</v>
      </c>
      <c r="E390" t="s">
        <v>646</v>
      </c>
      <c r="F390" t="s">
        <v>647</v>
      </c>
      <c r="G390" t="s">
        <v>39</v>
      </c>
      <c r="H390">
        <v>1995</v>
      </c>
      <c r="I390">
        <v>19.200000762939499</v>
      </c>
      <c r="J390">
        <v>13.5</v>
      </c>
      <c r="K390">
        <v>57</v>
      </c>
      <c r="L390">
        <v>27.9799995422363</v>
      </c>
      <c r="M390">
        <v>29.700000762939499</v>
      </c>
      <c r="N390">
        <v>6.1999998092651403</v>
      </c>
      <c r="O390">
        <v>23.5</v>
      </c>
      <c r="P390">
        <v>21.399999618530298</v>
      </c>
      <c r="Q390">
        <v>15.1000003814697</v>
      </c>
      <c r="R390">
        <v>21.899999618530298</v>
      </c>
      <c r="S390">
        <v>15.1000003814697</v>
      </c>
      <c r="T390">
        <v>811</v>
      </c>
      <c r="U390">
        <v>216</v>
      </c>
      <c r="V390">
        <v>1</v>
      </c>
      <c r="W390">
        <v>110</v>
      </c>
      <c r="X390">
        <v>552</v>
      </c>
      <c r="Y390">
        <v>5</v>
      </c>
      <c r="Z390">
        <v>283</v>
      </c>
      <c r="AA390">
        <v>5</v>
      </c>
      <c r="AB390">
        <v>3.9513599075241999</v>
      </c>
      <c r="AC390">
        <v>3.0589584092405999E-2</v>
      </c>
      <c r="AD390">
        <v>2.0013371774745701</v>
      </c>
      <c r="AE390">
        <v>0.32533523091767103</v>
      </c>
      <c r="AF390">
        <v>1144.49093904448</v>
      </c>
      <c r="AG390">
        <f>IFERROR(AH390*0.1, "N/A")</f>
        <v>6.2920922570016504</v>
      </c>
      <c r="AH390">
        <v>62.920922570016501</v>
      </c>
      <c r="AI390">
        <v>263.31477602309798</v>
      </c>
      <c r="AJ390">
        <v>23</v>
      </c>
      <c r="AK390">
        <v>63.148270181219097</v>
      </c>
    </row>
    <row r="391" spans="1:37" x14ac:dyDescent="0.3">
      <c r="A391">
        <v>390</v>
      </c>
      <c r="B391">
        <v>65</v>
      </c>
      <c r="C391">
        <v>29.973727</v>
      </c>
      <c r="D391">
        <v>-17.287407999999999</v>
      </c>
      <c r="E391" t="s">
        <v>648</v>
      </c>
      <c r="F391" t="s">
        <v>649</v>
      </c>
      <c r="G391" t="s">
        <v>39</v>
      </c>
      <c r="H391">
        <v>1995</v>
      </c>
      <c r="I391">
        <v>19.200000762939499</v>
      </c>
      <c r="J391">
        <v>13.5</v>
      </c>
      <c r="K391">
        <v>57</v>
      </c>
      <c r="L391">
        <v>27.9799995422363</v>
      </c>
      <c r="M391">
        <v>29.700000762939499</v>
      </c>
      <c r="N391">
        <v>6.1999998092651403</v>
      </c>
      <c r="O391">
        <v>23.5</v>
      </c>
      <c r="P391">
        <v>21.399999618530298</v>
      </c>
      <c r="Q391">
        <v>15.1000003814697</v>
      </c>
      <c r="R391">
        <v>21.899999618530298</v>
      </c>
      <c r="S391">
        <v>15.1000003814697</v>
      </c>
      <c r="T391">
        <v>811</v>
      </c>
      <c r="U391">
        <v>216</v>
      </c>
      <c r="V391">
        <v>1</v>
      </c>
      <c r="W391">
        <v>110</v>
      </c>
      <c r="X391">
        <v>552</v>
      </c>
      <c r="Y391">
        <v>5</v>
      </c>
      <c r="Z391">
        <v>283</v>
      </c>
      <c r="AA391">
        <v>5</v>
      </c>
      <c r="AB391">
        <v>3.9513599075241999</v>
      </c>
      <c r="AC391">
        <v>3.0589584092405999E-2</v>
      </c>
      <c r="AD391">
        <v>2.0013371774745701</v>
      </c>
      <c r="AE391">
        <v>0.32533523091767103</v>
      </c>
      <c r="AF391">
        <v>1144.49093904448</v>
      </c>
      <c r="AG391">
        <f>IFERROR(AH391*0.1, "N/A")</f>
        <v>6.2920922570016504</v>
      </c>
      <c r="AH391">
        <v>62.920922570016501</v>
      </c>
      <c r="AI391">
        <v>263.31477602309798</v>
      </c>
      <c r="AJ391">
        <v>23</v>
      </c>
      <c r="AK391">
        <v>63.148270181219097</v>
      </c>
    </row>
    <row r="392" spans="1:37" x14ac:dyDescent="0.3">
      <c r="A392">
        <v>391</v>
      </c>
      <c r="B392">
        <v>75.900002000000001</v>
      </c>
      <c r="C392">
        <v>29.973728000000001</v>
      </c>
      <c r="D392">
        <v>-17.287409</v>
      </c>
      <c r="E392" t="s">
        <v>650</v>
      </c>
      <c r="F392" t="s">
        <v>651</v>
      </c>
      <c r="G392" t="s">
        <v>39</v>
      </c>
      <c r="H392">
        <v>1995</v>
      </c>
      <c r="I392">
        <v>19.200000762939499</v>
      </c>
      <c r="J392">
        <v>13.5</v>
      </c>
      <c r="K392">
        <v>57</v>
      </c>
      <c r="L392">
        <v>27.9799995422363</v>
      </c>
      <c r="M392">
        <v>29.700000762939499</v>
      </c>
      <c r="N392">
        <v>6.1999998092651403</v>
      </c>
      <c r="O392">
        <v>23.5</v>
      </c>
      <c r="P392">
        <v>21.399999618530298</v>
      </c>
      <c r="Q392">
        <v>15.1000003814697</v>
      </c>
      <c r="R392">
        <v>21.899999618530298</v>
      </c>
      <c r="S392">
        <v>15.1000003814697</v>
      </c>
      <c r="T392">
        <v>811</v>
      </c>
      <c r="U392">
        <v>216</v>
      </c>
      <c r="V392">
        <v>1</v>
      </c>
      <c r="W392">
        <v>110</v>
      </c>
      <c r="X392">
        <v>552</v>
      </c>
      <c r="Y392">
        <v>5</v>
      </c>
      <c r="Z392">
        <v>283</v>
      </c>
      <c r="AA392">
        <v>5</v>
      </c>
      <c r="AB392">
        <v>3.9641043010510901</v>
      </c>
      <c r="AC392">
        <v>3.0337739408040999E-2</v>
      </c>
      <c r="AD392">
        <v>1.9978262852681301</v>
      </c>
      <c r="AE392">
        <v>0.32525031239186503</v>
      </c>
      <c r="AF392">
        <v>1144.49177631579</v>
      </c>
      <c r="AG392">
        <f>IFERROR(AH392*0.1, "N/A")</f>
        <v>6.2921052631579002</v>
      </c>
      <c r="AH392">
        <v>62.921052631579002</v>
      </c>
      <c r="AI392">
        <v>262.79118286935898</v>
      </c>
      <c r="AJ392">
        <v>23</v>
      </c>
      <c r="AK392">
        <v>63.146381578947398</v>
      </c>
    </row>
    <row r="393" spans="1:37" x14ac:dyDescent="0.3">
      <c r="A393">
        <v>392</v>
      </c>
      <c r="B393">
        <v>56.700001</v>
      </c>
      <c r="C393">
        <v>29.973728999999999</v>
      </c>
      <c r="D393">
        <v>-17.287410000000001</v>
      </c>
      <c r="E393" t="s">
        <v>652</v>
      </c>
      <c r="F393" t="s">
        <v>653</v>
      </c>
      <c r="G393" t="s">
        <v>39</v>
      </c>
      <c r="H393">
        <v>1995</v>
      </c>
      <c r="I393">
        <v>19.200000762939499</v>
      </c>
      <c r="J393">
        <v>13.5</v>
      </c>
      <c r="K393">
        <v>57</v>
      </c>
      <c r="L393">
        <v>27.9799995422363</v>
      </c>
      <c r="M393">
        <v>29.700000762939499</v>
      </c>
      <c r="N393">
        <v>6.1999998092651403</v>
      </c>
      <c r="O393">
        <v>23.5</v>
      </c>
      <c r="P393">
        <v>21.399999618530298</v>
      </c>
      <c r="Q393">
        <v>15.1000003814697</v>
      </c>
      <c r="R393">
        <v>21.899999618530298</v>
      </c>
      <c r="S393">
        <v>15.1000003814697</v>
      </c>
      <c r="T393">
        <v>811</v>
      </c>
      <c r="U393">
        <v>216</v>
      </c>
      <c r="V393">
        <v>1</v>
      </c>
      <c r="W393">
        <v>110</v>
      </c>
      <c r="X393">
        <v>552</v>
      </c>
      <c r="Y393">
        <v>5</v>
      </c>
      <c r="Z393">
        <v>283</v>
      </c>
      <c r="AA393">
        <v>5</v>
      </c>
      <c r="AB393">
        <v>3.9641043010510901</v>
      </c>
      <c r="AC393">
        <v>3.0337739408040999E-2</v>
      </c>
      <c r="AD393">
        <v>1.9978262852681301</v>
      </c>
      <c r="AE393">
        <v>0.32525031239186503</v>
      </c>
      <c r="AF393">
        <v>1144.49177631579</v>
      </c>
      <c r="AG393">
        <f>IFERROR(AH393*0.1, "N/A")</f>
        <v>6.2921052631579002</v>
      </c>
      <c r="AH393">
        <v>62.921052631579002</v>
      </c>
      <c r="AI393">
        <v>262.79118286935898</v>
      </c>
      <c r="AJ393">
        <v>23</v>
      </c>
      <c r="AK393">
        <v>63.146381578947398</v>
      </c>
    </row>
    <row r="394" spans="1:37" x14ac:dyDescent="0.3">
      <c r="A394">
        <v>393</v>
      </c>
      <c r="B394">
        <v>56.700001</v>
      </c>
      <c r="C394">
        <v>29.97373</v>
      </c>
      <c r="D394">
        <v>-17.287410999999999</v>
      </c>
      <c r="E394" t="s">
        <v>654</v>
      </c>
      <c r="F394" t="s">
        <v>655</v>
      </c>
      <c r="G394" t="s">
        <v>39</v>
      </c>
      <c r="H394">
        <v>1995</v>
      </c>
      <c r="I394">
        <v>19.200000762939499</v>
      </c>
      <c r="J394">
        <v>13.5</v>
      </c>
      <c r="K394">
        <v>57</v>
      </c>
      <c r="L394">
        <v>27.9799995422363</v>
      </c>
      <c r="M394">
        <v>29.700000762939499</v>
      </c>
      <c r="N394">
        <v>6.1999998092651403</v>
      </c>
      <c r="O394">
        <v>23.5</v>
      </c>
      <c r="P394">
        <v>21.399999618530298</v>
      </c>
      <c r="Q394">
        <v>15.1000003814697</v>
      </c>
      <c r="R394">
        <v>21.899999618530298</v>
      </c>
      <c r="S394">
        <v>15.1000003814697</v>
      </c>
      <c r="T394">
        <v>811</v>
      </c>
      <c r="U394">
        <v>216</v>
      </c>
      <c r="V394">
        <v>1</v>
      </c>
      <c r="W394">
        <v>110</v>
      </c>
      <c r="X394">
        <v>552</v>
      </c>
      <c r="Y394">
        <v>5</v>
      </c>
      <c r="Z394">
        <v>283</v>
      </c>
      <c r="AA394">
        <v>5</v>
      </c>
      <c r="AB394">
        <v>3.9642100703382401</v>
      </c>
      <c r="AC394">
        <v>3.0320429637464001E-2</v>
      </c>
      <c r="AD394">
        <v>1.9974663200645499</v>
      </c>
      <c r="AE394">
        <v>0.32516405860321101</v>
      </c>
      <c r="AF394">
        <v>1144.4975288303101</v>
      </c>
      <c r="AG394">
        <f>IFERROR(AH394*0.1, "N/A")</f>
        <v>6.2915980230642496</v>
      </c>
      <c r="AH394">
        <v>62.915980230642496</v>
      </c>
      <c r="AI394">
        <v>262.71432020008302</v>
      </c>
      <c r="AJ394">
        <v>23</v>
      </c>
      <c r="AK394">
        <v>63.149917627677098</v>
      </c>
    </row>
    <row r="395" spans="1:37" x14ac:dyDescent="0.3">
      <c r="A395">
        <v>394</v>
      </c>
      <c r="B395">
        <v>90.900002000000001</v>
      </c>
      <c r="C395">
        <v>29.973731000000001</v>
      </c>
      <c r="D395">
        <v>-17.287412</v>
      </c>
      <c r="E395" t="s">
        <v>656</v>
      </c>
      <c r="F395" t="s">
        <v>657</v>
      </c>
      <c r="G395" t="s">
        <v>39</v>
      </c>
      <c r="H395">
        <v>1995</v>
      </c>
      <c r="I395">
        <v>19.200000762939499</v>
      </c>
      <c r="J395">
        <v>13.5</v>
      </c>
      <c r="K395">
        <v>57</v>
      </c>
      <c r="L395">
        <v>27.9799995422363</v>
      </c>
      <c r="M395">
        <v>29.700000762939499</v>
      </c>
      <c r="N395">
        <v>6.1999998092651403</v>
      </c>
      <c r="O395">
        <v>23.5</v>
      </c>
      <c r="P395">
        <v>21.399999618530298</v>
      </c>
      <c r="Q395">
        <v>15.1000003814697</v>
      </c>
      <c r="R395">
        <v>21.899999618530298</v>
      </c>
      <c r="S395">
        <v>15.1000003814697</v>
      </c>
      <c r="T395">
        <v>811</v>
      </c>
      <c r="U395">
        <v>216</v>
      </c>
      <c r="V395">
        <v>1</v>
      </c>
      <c r="W395">
        <v>110</v>
      </c>
      <c r="X395">
        <v>552</v>
      </c>
      <c r="Y395">
        <v>5</v>
      </c>
      <c r="Z395">
        <v>283</v>
      </c>
      <c r="AA395">
        <v>5</v>
      </c>
      <c r="AB395">
        <v>3.9642100703382401</v>
      </c>
      <c r="AC395">
        <v>3.0320429637464001E-2</v>
      </c>
      <c r="AD395">
        <v>1.9974663200645499</v>
      </c>
      <c r="AE395">
        <v>0.32516405860321101</v>
      </c>
      <c r="AF395">
        <v>1144.4975288303101</v>
      </c>
      <c r="AG395">
        <f>IFERROR(AH395*0.1, "N/A")</f>
        <v>6.2915980230642496</v>
      </c>
      <c r="AH395">
        <v>62.915980230642496</v>
      </c>
      <c r="AI395">
        <v>262.71432020008302</v>
      </c>
      <c r="AJ395">
        <v>23</v>
      </c>
      <c r="AK395">
        <v>63.149917627677098</v>
      </c>
    </row>
    <row r="396" spans="1:37" x14ac:dyDescent="0.3">
      <c r="A396">
        <v>395</v>
      </c>
      <c r="B396">
        <v>55.5</v>
      </c>
      <c r="C396">
        <v>29.973731999999998</v>
      </c>
      <c r="D396">
        <v>-17.287413000000001</v>
      </c>
      <c r="E396" t="s">
        <v>658</v>
      </c>
      <c r="F396" t="s">
        <v>659</v>
      </c>
      <c r="G396" t="s">
        <v>39</v>
      </c>
      <c r="H396">
        <v>1995</v>
      </c>
      <c r="I396">
        <v>19.200000762939499</v>
      </c>
      <c r="J396">
        <v>13.5</v>
      </c>
      <c r="K396">
        <v>57</v>
      </c>
      <c r="L396">
        <v>27.9799995422363</v>
      </c>
      <c r="M396">
        <v>29.700000762939499</v>
      </c>
      <c r="N396">
        <v>6.1999998092651403</v>
      </c>
      <c r="O396">
        <v>23.5</v>
      </c>
      <c r="P396">
        <v>21.399999618530298</v>
      </c>
      <c r="Q396">
        <v>15.1000003814697</v>
      </c>
      <c r="R396">
        <v>21.899999618530298</v>
      </c>
      <c r="S396">
        <v>15.1000003814697</v>
      </c>
      <c r="T396">
        <v>811</v>
      </c>
      <c r="U396">
        <v>216</v>
      </c>
      <c r="V396">
        <v>1</v>
      </c>
      <c r="W396">
        <v>110</v>
      </c>
      <c r="X396">
        <v>552</v>
      </c>
      <c r="Y396">
        <v>5</v>
      </c>
      <c r="Z396">
        <v>283</v>
      </c>
      <c r="AA396">
        <v>5</v>
      </c>
      <c r="AB396">
        <v>3.9918872512741999</v>
      </c>
      <c r="AC396">
        <v>2.9795578676329999E-2</v>
      </c>
      <c r="AD396">
        <v>1.99118198103331</v>
      </c>
      <c r="AE396">
        <v>0.32500438394617198</v>
      </c>
      <c r="AF396">
        <v>1144.5074135090599</v>
      </c>
      <c r="AG396">
        <f>IFERROR(AH396*0.1, "N/A")</f>
        <v>6.2915980230642496</v>
      </c>
      <c r="AH396">
        <v>62.915980230642496</v>
      </c>
      <c r="AI396">
        <v>261.60342492695901</v>
      </c>
      <c r="AJ396">
        <v>23</v>
      </c>
      <c r="AK396">
        <v>63.146622734761102</v>
      </c>
    </row>
    <row r="397" spans="1:37" x14ac:dyDescent="0.3">
      <c r="A397">
        <v>396</v>
      </c>
      <c r="B397">
        <v>55.5</v>
      </c>
      <c r="C397">
        <v>29.973732999999999</v>
      </c>
      <c r="D397">
        <v>-17.287413999999998</v>
      </c>
      <c r="E397" t="s">
        <v>660</v>
      </c>
      <c r="F397" t="s">
        <v>661</v>
      </c>
      <c r="G397" t="s">
        <v>39</v>
      </c>
      <c r="H397">
        <v>1995</v>
      </c>
      <c r="I397">
        <v>19.200000762939499</v>
      </c>
      <c r="J397">
        <v>13.5</v>
      </c>
      <c r="K397">
        <v>57</v>
      </c>
      <c r="L397">
        <v>27.9799995422363</v>
      </c>
      <c r="M397">
        <v>29.700000762939499</v>
      </c>
      <c r="N397">
        <v>6.1999998092651403</v>
      </c>
      <c r="O397">
        <v>23.5</v>
      </c>
      <c r="P397">
        <v>21.399999618530298</v>
      </c>
      <c r="Q397">
        <v>15.1000003814697</v>
      </c>
      <c r="R397">
        <v>21.899999618530298</v>
      </c>
      <c r="S397">
        <v>15.1000003814697</v>
      </c>
      <c r="T397">
        <v>811</v>
      </c>
      <c r="U397">
        <v>216</v>
      </c>
      <c r="V397">
        <v>1</v>
      </c>
      <c r="W397">
        <v>110</v>
      </c>
      <c r="X397">
        <v>552</v>
      </c>
      <c r="Y397">
        <v>5</v>
      </c>
      <c r="Z397">
        <v>283</v>
      </c>
      <c r="AA397">
        <v>5</v>
      </c>
      <c r="AB397">
        <v>3.9918872512741999</v>
      </c>
      <c r="AC397">
        <v>2.9795578676329999E-2</v>
      </c>
      <c r="AD397">
        <v>1.99118198103331</v>
      </c>
      <c r="AE397">
        <v>0.32500438394617198</v>
      </c>
      <c r="AF397">
        <v>1144.5074135090599</v>
      </c>
      <c r="AG397">
        <f>IFERROR(AH397*0.1, "N/A")</f>
        <v>6.2915980230642496</v>
      </c>
      <c r="AH397">
        <v>62.915980230642496</v>
      </c>
      <c r="AI397">
        <v>261.60342492695901</v>
      </c>
      <c r="AJ397">
        <v>23</v>
      </c>
      <c r="AK397">
        <v>63.146622734761102</v>
      </c>
    </row>
    <row r="398" spans="1:37" x14ac:dyDescent="0.3">
      <c r="A398">
        <v>397</v>
      </c>
      <c r="B398">
        <v>60</v>
      </c>
      <c r="C398">
        <v>29.973734</v>
      </c>
      <c r="D398">
        <v>-17.287414999999999</v>
      </c>
      <c r="E398" t="s">
        <v>662</v>
      </c>
      <c r="F398" t="s">
        <v>663</v>
      </c>
      <c r="G398" t="s">
        <v>39</v>
      </c>
      <c r="H398">
        <v>1995</v>
      </c>
      <c r="I398">
        <v>19.200000762939499</v>
      </c>
      <c r="J398">
        <v>13.5</v>
      </c>
      <c r="K398">
        <v>57</v>
      </c>
      <c r="L398">
        <v>27.9799995422363</v>
      </c>
      <c r="M398">
        <v>29.700000762939499</v>
      </c>
      <c r="N398">
        <v>6.1999998092651403</v>
      </c>
      <c r="O398">
        <v>23.5</v>
      </c>
      <c r="P398">
        <v>21.399999618530298</v>
      </c>
      <c r="Q398">
        <v>15.1000003814697</v>
      </c>
      <c r="R398">
        <v>21.899999618530298</v>
      </c>
      <c r="S398">
        <v>15.1000003814697</v>
      </c>
      <c r="T398">
        <v>811</v>
      </c>
      <c r="U398">
        <v>216</v>
      </c>
      <c r="V398">
        <v>1</v>
      </c>
      <c r="W398">
        <v>110</v>
      </c>
      <c r="X398">
        <v>552</v>
      </c>
      <c r="Y398">
        <v>5</v>
      </c>
      <c r="Z398">
        <v>283</v>
      </c>
      <c r="AA398">
        <v>5</v>
      </c>
      <c r="AB398">
        <v>3.9918872512741999</v>
      </c>
      <c r="AC398">
        <v>2.9795578676329999E-2</v>
      </c>
      <c r="AD398">
        <v>1.99118198103331</v>
      </c>
      <c r="AE398">
        <v>0.32500438394617198</v>
      </c>
      <c r="AF398">
        <v>1144.5074135090599</v>
      </c>
      <c r="AG398">
        <f>IFERROR(AH398*0.1, "N/A")</f>
        <v>6.2915980230642496</v>
      </c>
      <c r="AH398">
        <v>62.915980230642496</v>
      </c>
      <c r="AI398">
        <v>261.60342492695901</v>
      </c>
      <c r="AJ398">
        <v>23</v>
      </c>
      <c r="AK398">
        <v>63.146622734761102</v>
      </c>
    </row>
    <row r="399" spans="1:37" x14ac:dyDescent="0.3">
      <c r="A399">
        <v>398</v>
      </c>
      <c r="B399">
        <v>60</v>
      </c>
      <c r="C399">
        <v>29.973735000000001</v>
      </c>
      <c r="D399">
        <v>-17.287416</v>
      </c>
      <c r="E399" t="s">
        <v>664</v>
      </c>
      <c r="F399" t="s">
        <v>665</v>
      </c>
      <c r="G399" t="s">
        <v>39</v>
      </c>
      <c r="H399">
        <v>1995</v>
      </c>
      <c r="I399">
        <v>19.200000762939499</v>
      </c>
      <c r="J399">
        <v>13.5</v>
      </c>
      <c r="K399">
        <v>57</v>
      </c>
      <c r="L399">
        <v>27.9799995422363</v>
      </c>
      <c r="M399">
        <v>29.700000762939499</v>
      </c>
      <c r="N399">
        <v>6.1999998092651403</v>
      </c>
      <c r="O399">
        <v>23.5</v>
      </c>
      <c r="P399">
        <v>21.399999618530298</v>
      </c>
      <c r="Q399">
        <v>15.1000003814697</v>
      </c>
      <c r="R399">
        <v>21.899999618530298</v>
      </c>
      <c r="S399">
        <v>15.1000003814697</v>
      </c>
      <c r="T399">
        <v>811</v>
      </c>
      <c r="U399">
        <v>216</v>
      </c>
      <c r="V399">
        <v>1</v>
      </c>
      <c r="W399">
        <v>110</v>
      </c>
      <c r="X399">
        <v>552</v>
      </c>
      <c r="Y399">
        <v>5</v>
      </c>
      <c r="Z399">
        <v>283</v>
      </c>
      <c r="AA399">
        <v>5</v>
      </c>
      <c r="AB399">
        <v>3.9953545018246301</v>
      </c>
      <c r="AC399">
        <v>2.9760008431223998E-2</v>
      </c>
      <c r="AD399">
        <v>1.9895660236085699</v>
      </c>
      <c r="AE399">
        <v>0.32490853082976801</v>
      </c>
      <c r="AF399">
        <v>1144.5148026315801</v>
      </c>
      <c r="AG399">
        <f>IFERROR(AH399*0.1, "N/A")</f>
        <v>6.2911184210526301</v>
      </c>
      <c r="AH399">
        <v>62.911184210526301</v>
      </c>
      <c r="AI399">
        <v>261.61390465184297</v>
      </c>
      <c r="AJ399">
        <v>23</v>
      </c>
      <c r="AK399">
        <v>63.149671052631597</v>
      </c>
    </row>
    <row r="400" spans="1:37" x14ac:dyDescent="0.3">
      <c r="A400">
        <v>399</v>
      </c>
      <c r="B400">
        <v>60</v>
      </c>
      <c r="C400">
        <v>29.973735999999999</v>
      </c>
      <c r="D400">
        <v>-17.287417000000001</v>
      </c>
      <c r="E400" t="s">
        <v>666</v>
      </c>
      <c r="F400" t="s">
        <v>667</v>
      </c>
      <c r="G400" t="s">
        <v>39</v>
      </c>
      <c r="H400">
        <v>1995</v>
      </c>
      <c r="I400">
        <v>19.200000762939499</v>
      </c>
      <c r="J400">
        <v>13.5</v>
      </c>
      <c r="K400">
        <v>57</v>
      </c>
      <c r="L400">
        <v>27.9799995422363</v>
      </c>
      <c r="M400">
        <v>29.700000762939499</v>
      </c>
      <c r="N400">
        <v>6.1999998092651403</v>
      </c>
      <c r="O400">
        <v>23.5</v>
      </c>
      <c r="P400">
        <v>21.399999618530298</v>
      </c>
      <c r="Q400">
        <v>15.1000003814697</v>
      </c>
      <c r="R400">
        <v>21.899999618530298</v>
      </c>
      <c r="S400">
        <v>15.1000003814697</v>
      </c>
      <c r="T400">
        <v>811</v>
      </c>
      <c r="U400">
        <v>216</v>
      </c>
      <c r="V400">
        <v>1</v>
      </c>
      <c r="W400">
        <v>110</v>
      </c>
      <c r="X400">
        <v>552</v>
      </c>
      <c r="Y400">
        <v>5</v>
      </c>
      <c r="Z400">
        <v>283</v>
      </c>
      <c r="AA400">
        <v>5</v>
      </c>
      <c r="AB400">
        <v>3.9953545018246301</v>
      </c>
      <c r="AC400">
        <v>2.9760008431223998E-2</v>
      </c>
      <c r="AD400">
        <v>1.9895660236085699</v>
      </c>
      <c r="AE400">
        <v>0.32490853082976801</v>
      </c>
      <c r="AF400">
        <v>1144.5148026315801</v>
      </c>
      <c r="AG400">
        <f>IFERROR(AH400*0.1, "N/A")</f>
        <v>6.2911184210526301</v>
      </c>
      <c r="AH400">
        <v>62.911184210526301</v>
      </c>
      <c r="AI400">
        <v>261.61390465184297</v>
      </c>
      <c r="AJ400">
        <v>23</v>
      </c>
      <c r="AK400">
        <v>63.149671052631597</v>
      </c>
    </row>
    <row r="401" spans="1:37" x14ac:dyDescent="0.3">
      <c r="A401">
        <v>400</v>
      </c>
      <c r="B401">
        <v>25.799999</v>
      </c>
      <c r="C401">
        <v>29.973737</v>
      </c>
      <c r="D401">
        <v>-17.287417999999999</v>
      </c>
      <c r="E401" t="s">
        <v>668</v>
      </c>
      <c r="F401" t="s">
        <v>669</v>
      </c>
      <c r="G401" t="s">
        <v>39</v>
      </c>
      <c r="H401">
        <v>1995</v>
      </c>
      <c r="I401">
        <v>19.200000762939499</v>
      </c>
      <c r="J401">
        <v>13.5</v>
      </c>
      <c r="K401">
        <v>57</v>
      </c>
      <c r="L401">
        <v>27.9799995422363</v>
      </c>
      <c r="M401">
        <v>29.700000762939499</v>
      </c>
      <c r="N401">
        <v>6.1999998092651403</v>
      </c>
      <c r="O401">
        <v>23.5</v>
      </c>
      <c r="P401">
        <v>21.399999618530298</v>
      </c>
      <c r="Q401">
        <v>15.1000003814697</v>
      </c>
      <c r="R401">
        <v>21.899999618530298</v>
      </c>
      <c r="S401">
        <v>15.1000003814697</v>
      </c>
      <c r="T401">
        <v>811</v>
      </c>
      <c r="U401">
        <v>216</v>
      </c>
      <c r="V401">
        <v>1</v>
      </c>
      <c r="W401">
        <v>110</v>
      </c>
      <c r="X401">
        <v>552</v>
      </c>
      <c r="Y401">
        <v>5</v>
      </c>
      <c r="Z401">
        <v>283</v>
      </c>
      <c r="AA401">
        <v>5</v>
      </c>
      <c r="AB401">
        <v>4.0042361209267101</v>
      </c>
      <c r="AC401">
        <v>2.9491296784009E-2</v>
      </c>
      <c r="AD401">
        <v>1.98683247970123</v>
      </c>
      <c r="AE401">
        <v>0.32482882481264402</v>
      </c>
      <c r="AF401">
        <v>1144.5164473684199</v>
      </c>
      <c r="AG401">
        <f>IFERROR(AH401*0.1, "N/A")</f>
        <v>6.2911184210526301</v>
      </c>
      <c r="AH401">
        <v>62.911184210526301</v>
      </c>
      <c r="AI401">
        <v>261.10835396616102</v>
      </c>
      <c r="AJ401">
        <v>23</v>
      </c>
      <c r="AK401">
        <v>63.148026315789501</v>
      </c>
    </row>
    <row r="402" spans="1:37" x14ac:dyDescent="0.3">
      <c r="A402">
        <v>401</v>
      </c>
      <c r="B402">
        <v>50</v>
      </c>
      <c r="C402">
        <v>29.973738000000001</v>
      </c>
      <c r="D402">
        <v>-17.287419</v>
      </c>
      <c r="E402" t="s">
        <v>670</v>
      </c>
      <c r="F402" t="s">
        <v>671</v>
      </c>
      <c r="G402" t="s">
        <v>39</v>
      </c>
      <c r="H402">
        <v>1995</v>
      </c>
      <c r="I402">
        <v>19.200000762939499</v>
      </c>
      <c r="J402">
        <v>13.5</v>
      </c>
      <c r="K402">
        <v>57</v>
      </c>
      <c r="L402">
        <v>27.9799995422363</v>
      </c>
      <c r="M402">
        <v>29.700000762939499</v>
      </c>
      <c r="N402">
        <v>6.1999998092651403</v>
      </c>
      <c r="O402">
        <v>23.5</v>
      </c>
      <c r="P402">
        <v>21.399999618530298</v>
      </c>
      <c r="Q402">
        <v>15.1000003814697</v>
      </c>
      <c r="R402">
        <v>21.899999618530298</v>
      </c>
      <c r="S402">
        <v>15.1000003814697</v>
      </c>
      <c r="T402">
        <v>811</v>
      </c>
      <c r="U402">
        <v>216</v>
      </c>
      <c r="V402">
        <v>1</v>
      </c>
      <c r="W402">
        <v>110</v>
      </c>
      <c r="X402">
        <v>552</v>
      </c>
      <c r="Y402">
        <v>5</v>
      </c>
      <c r="Z402">
        <v>283</v>
      </c>
      <c r="AA402">
        <v>5</v>
      </c>
      <c r="AB402">
        <v>4.0042361209267101</v>
      </c>
      <c r="AC402">
        <v>2.9491296784009E-2</v>
      </c>
      <c r="AD402">
        <v>1.98683247970123</v>
      </c>
      <c r="AE402">
        <v>0.32482882481264402</v>
      </c>
      <c r="AF402">
        <v>1144.5164473684199</v>
      </c>
      <c r="AG402">
        <f>IFERROR(AH402*0.1, "N/A")</f>
        <v>6.2911184210526301</v>
      </c>
      <c r="AH402">
        <v>62.911184210526301</v>
      </c>
      <c r="AI402">
        <v>261.10835396616102</v>
      </c>
      <c r="AJ402">
        <v>23</v>
      </c>
      <c r="AK402">
        <v>63.148026315789501</v>
      </c>
    </row>
    <row r="403" spans="1:37" x14ac:dyDescent="0.3">
      <c r="A403">
        <v>402</v>
      </c>
      <c r="B403">
        <v>50</v>
      </c>
      <c r="C403">
        <v>29.973738999999998</v>
      </c>
      <c r="D403">
        <v>-17.287420000000001</v>
      </c>
      <c r="E403" t="s">
        <v>672</v>
      </c>
      <c r="F403" t="s">
        <v>673</v>
      </c>
      <c r="G403" t="s">
        <v>39</v>
      </c>
      <c r="H403">
        <v>1995</v>
      </c>
      <c r="I403">
        <v>19.200000762939499</v>
      </c>
      <c r="J403">
        <v>13.5</v>
      </c>
      <c r="K403">
        <v>57</v>
      </c>
      <c r="L403">
        <v>27.9799995422363</v>
      </c>
      <c r="M403">
        <v>29.700000762939499</v>
      </c>
      <c r="N403">
        <v>6.1999998092651403</v>
      </c>
      <c r="O403">
        <v>23.5</v>
      </c>
      <c r="P403">
        <v>21.399999618530298</v>
      </c>
      <c r="Q403">
        <v>15.1000003814697</v>
      </c>
      <c r="R403">
        <v>21.899999618530298</v>
      </c>
      <c r="S403">
        <v>15.1000003814697</v>
      </c>
      <c r="T403">
        <v>811</v>
      </c>
      <c r="U403">
        <v>216</v>
      </c>
      <c r="V403">
        <v>1</v>
      </c>
      <c r="W403">
        <v>110</v>
      </c>
      <c r="X403">
        <v>552</v>
      </c>
      <c r="Y403">
        <v>5</v>
      </c>
      <c r="Z403">
        <v>283</v>
      </c>
      <c r="AA403">
        <v>5</v>
      </c>
      <c r="AB403">
        <v>4.0198613217002501</v>
      </c>
      <c r="AC403">
        <v>2.9477860648368999E-2</v>
      </c>
      <c r="AD403">
        <v>1.9846680611372001</v>
      </c>
      <c r="AE403">
        <v>0.32473764004872002</v>
      </c>
      <c r="AF403">
        <v>1144.5279605263199</v>
      </c>
      <c r="AG403">
        <f>IFERROR(AH403*0.1, "N/A")</f>
        <v>6.2906250000000004</v>
      </c>
      <c r="AH403">
        <v>62.90625</v>
      </c>
      <c r="AI403">
        <v>260.50142860412598</v>
      </c>
      <c r="AJ403">
        <v>23</v>
      </c>
      <c r="AK403">
        <v>63.151315789473699</v>
      </c>
    </row>
    <row r="404" spans="1:37" x14ac:dyDescent="0.3">
      <c r="A404">
        <v>403</v>
      </c>
      <c r="B404">
        <v>56.700001</v>
      </c>
      <c r="C404">
        <v>29.973739999999999</v>
      </c>
      <c r="D404">
        <v>-17.287420999999998</v>
      </c>
      <c r="E404" t="s">
        <v>674</v>
      </c>
      <c r="F404" t="s">
        <v>675</v>
      </c>
      <c r="G404" t="s">
        <v>39</v>
      </c>
      <c r="H404">
        <v>1995</v>
      </c>
      <c r="I404">
        <v>19.200000762939499</v>
      </c>
      <c r="J404">
        <v>13.5</v>
      </c>
      <c r="K404">
        <v>57</v>
      </c>
      <c r="L404">
        <v>27.9799995422363</v>
      </c>
      <c r="M404">
        <v>29.700000762939499</v>
      </c>
      <c r="N404">
        <v>6.1999998092651403</v>
      </c>
      <c r="O404">
        <v>23.5</v>
      </c>
      <c r="P404">
        <v>21.399999618530298</v>
      </c>
      <c r="Q404">
        <v>15.1000003814697</v>
      </c>
      <c r="R404">
        <v>21.899999618530298</v>
      </c>
      <c r="S404">
        <v>15.1000003814697</v>
      </c>
      <c r="T404">
        <v>811</v>
      </c>
      <c r="U404">
        <v>216</v>
      </c>
      <c r="V404">
        <v>1</v>
      </c>
      <c r="W404">
        <v>110</v>
      </c>
      <c r="X404">
        <v>552</v>
      </c>
      <c r="Y404">
        <v>5</v>
      </c>
      <c r="Z404">
        <v>283</v>
      </c>
      <c r="AA404">
        <v>5</v>
      </c>
      <c r="AB404">
        <v>4.0198613217002501</v>
      </c>
      <c r="AC404">
        <v>2.9477860648368999E-2</v>
      </c>
      <c r="AD404">
        <v>1.9846680611372001</v>
      </c>
      <c r="AE404">
        <v>0.32473764004872002</v>
      </c>
      <c r="AF404">
        <v>1144.5279605263199</v>
      </c>
      <c r="AG404">
        <f>IFERROR(AH404*0.1, "N/A")</f>
        <v>6.2906250000000004</v>
      </c>
      <c r="AH404">
        <v>62.90625</v>
      </c>
      <c r="AI404">
        <v>260.50142860412598</v>
      </c>
      <c r="AJ404">
        <v>23</v>
      </c>
      <c r="AK404">
        <v>63.151315789473699</v>
      </c>
    </row>
    <row r="405" spans="1:37" x14ac:dyDescent="0.3">
      <c r="A405">
        <v>404</v>
      </c>
      <c r="B405">
        <v>81.699996999999996</v>
      </c>
      <c r="C405">
        <v>29.973741</v>
      </c>
      <c r="D405">
        <v>-17.287421999999999</v>
      </c>
      <c r="E405" t="s">
        <v>676</v>
      </c>
      <c r="F405" t="s">
        <v>677</v>
      </c>
      <c r="G405" t="s">
        <v>39</v>
      </c>
      <c r="H405">
        <v>1995</v>
      </c>
      <c r="I405">
        <v>19.200000762939499</v>
      </c>
      <c r="J405">
        <v>13.5</v>
      </c>
      <c r="K405">
        <v>57</v>
      </c>
      <c r="L405">
        <v>27.9799995422363</v>
      </c>
      <c r="M405">
        <v>29.700000762939499</v>
      </c>
      <c r="N405">
        <v>6.1999998092651403</v>
      </c>
      <c r="O405">
        <v>23.5</v>
      </c>
      <c r="P405">
        <v>21.399999618530298</v>
      </c>
      <c r="Q405">
        <v>15.1000003814697</v>
      </c>
      <c r="R405">
        <v>21.899999618530298</v>
      </c>
      <c r="S405">
        <v>15.1000003814697</v>
      </c>
      <c r="T405">
        <v>811</v>
      </c>
      <c r="U405">
        <v>216</v>
      </c>
      <c r="V405">
        <v>1</v>
      </c>
      <c r="W405">
        <v>110</v>
      </c>
      <c r="X405">
        <v>552</v>
      </c>
      <c r="Y405">
        <v>5</v>
      </c>
      <c r="Z405">
        <v>283</v>
      </c>
      <c r="AA405">
        <v>5</v>
      </c>
      <c r="AB405">
        <v>4.0324723066759001</v>
      </c>
      <c r="AC405">
        <v>2.9228254992128999E-2</v>
      </c>
      <c r="AD405">
        <v>1.98119030523378</v>
      </c>
      <c r="AE405">
        <v>0.32465384222799498</v>
      </c>
      <c r="AF405">
        <v>1144.5287356321801</v>
      </c>
      <c r="AG405">
        <f>IFERROR(AH405*0.1, "N/A")</f>
        <v>6.2906403940886699</v>
      </c>
      <c r="AH405">
        <v>62.906403940886698</v>
      </c>
      <c r="AI405">
        <v>259.98331482735398</v>
      </c>
      <c r="AJ405">
        <v>23</v>
      </c>
      <c r="AK405">
        <v>63.149425287356301</v>
      </c>
    </row>
    <row r="406" spans="1:37" x14ac:dyDescent="0.3">
      <c r="A406">
        <v>405</v>
      </c>
      <c r="B406">
        <v>81.699996999999996</v>
      </c>
      <c r="C406">
        <v>29.973742000000001</v>
      </c>
      <c r="D406">
        <v>-17.287423</v>
      </c>
      <c r="E406" t="s">
        <v>678</v>
      </c>
      <c r="F406" t="s">
        <v>679</v>
      </c>
      <c r="G406" t="s">
        <v>39</v>
      </c>
      <c r="H406">
        <v>1995</v>
      </c>
      <c r="I406">
        <v>19.200000762939499</v>
      </c>
      <c r="J406">
        <v>13.5</v>
      </c>
      <c r="K406">
        <v>57</v>
      </c>
      <c r="L406">
        <v>27.9799995422363</v>
      </c>
      <c r="M406">
        <v>29.700000762939499</v>
      </c>
      <c r="N406">
        <v>6.1999998092651403</v>
      </c>
      <c r="O406">
        <v>23.5</v>
      </c>
      <c r="P406">
        <v>21.399999618530298</v>
      </c>
      <c r="Q406">
        <v>15.1000003814697</v>
      </c>
      <c r="R406">
        <v>21.899999618530298</v>
      </c>
      <c r="S406">
        <v>15.1000003814697</v>
      </c>
      <c r="T406">
        <v>811</v>
      </c>
      <c r="U406">
        <v>216</v>
      </c>
      <c r="V406">
        <v>1</v>
      </c>
      <c r="W406">
        <v>110</v>
      </c>
      <c r="X406">
        <v>552</v>
      </c>
      <c r="Y406">
        <v>5</v>
      </c>
      <c r="Z406">
        <v>283</v>
      </c>
      <c r="AA406">
        <v>5</v>
      </c>
      <c r="AB406">
        <v>4.0324723066759001</v>
      </c>
      <c r="AC406">
        <v>2.9228254992128999E-2</v>
      </c>
      <c r="AD406">
        <v>1.98119030523378</v>
      </c>
      <c r="AE406">
        <v>0.32465384222799498</v>
      </c>
      <c r="AF406">
        <v>1144.5287356321801</v>
      </c>
      <c r="AG406">
        <f>IFERROR(AH406*0.1, "N/A")</f>
        <v>6.2906403940886699</v>
      </c>
      <c r="AH406">
        <v>62.906403940886698</v>
      </c>
      <c r="AI406">
        <v>259.98331482735398</v>
      </c>
      <c r="AJ406">
        <v>23</v>
      </c>
      <c r="AK406">
        <v>63.149425287356301</v>
      </c>
    </row>
    <row r="407" spans="1:37" x14ac:dyDescent="0.3">
      <c r="A407">
        <v>406</v>
      </c>
      <c r="B407">
        <v>45.799999</v>
      </c>
      <c r="C407">
        <v>29.973742999999999</v>
      </c>
      <c r="D407">
        <v>-17.287424000000001</v>
      </c>
      <c r="E407" t="s">
        <v>680</v>
      </c>
      <c r="F407" t="s">
        <v>681</v>
      </c>
      <c r="G407" t="s">
        <v>39</v>
      </c>
      <c r="H407">
        <v>1995</v>
      </c>
      <c r="I407">
        <v>19.200000762939499</v>
      </c>
      <c r="J407">
        <v>13.5</v>
      </c>
      <c r="K407">
        <v>57</v>
      </c>
      <c r="L407">
        <v>27.9799995422363</v>
      </c>
      <c r="M407">
        <v>29.700000762939499</v>
      </c>
      <c r="N407">
        <v>6.1999998092651403</v>
      </c>
      <c r="O407">
        <v>23.5</v>
      </c>
      <c r="P407">
        <v>21.399999618530298</v>
      </c>
      <c r="Q407">
        <v>15.1000003814697</v>
      </c>
      <c r="R407">
        <v>21.899999618530298</v>
      </c>
      <c r="S407">
        <v>15.1000003814697</v>
      </c>
      <c r="T407">
        <v>811</v>
      </c>
      <c r="U407">
        <v>216</v>
      </c>
      <c r="V407">
        <v>1</v>
      </c>
      <c r="W407">
        <v>110</v>
      </c>
      <c r="X407">
        <v>552</v>
      </c>
      <c r="Y407">
        <v>5</v>
      </c>
      <c r="Z407">
        <v>283</v>
      </c>
      <c r="AA407">
        <v>5</v>
      </c>
      <c r="AB407">
        <v>4.0324723066759001</v>
      </c>
      <c r="AC407">
        <v>2.9228254992128999E-2</v>
      </c>
      <c r="AD407">
        <v>1.98119030523378</v>
      </c>
      <c r="AE407">
        <v>0.32465384222799498</v>
      </c>
      <c r="AF407">
        <v>1144.5287356321801</v>
      </c>
      <c r="AG407">
        <f>IFERROR(AH407*0.1, "N/A")</f>
        <v>6.2906403940886699</v>
      </c>
      <c r="AH407">
        <v>62.906403940886698</v>
      </c>
      <c r="AI407">
        <v>259.98331482735398</v>
      </c>
      <c r="AJ407">
        <v>23</v>
      </c>
      <c r="AK407">
        <v>63.149425287356301</v>
      </c>
    </row>
    <row r="408" spans="1:37" x14ac:dyDescent="0.3">
      <c r="A408">
        <v>407</v>
      </c>
      <c r="B408">
        <v>45</v>
      </c>
      <c r="C408">
        <v>29.973744</v>
      </c>
      <c r="D408">
        <v>-17.287424999999999</v>
      </c>
      <c r="E408" t="s">
        <v>682</v>
      </c>
      <c r="F408" t="s">
        <v>683</v>
      </c>
      <c r="G408" t="s">
        <v>39</v>
      </c>
      <c r="H408">
        <v>1995</v>
      </c>
      <c r="I408">
        <v>19.200000762939499</v>
      </c>
      <c r="J408">
        <v>13.5</v>
      </c>
      <c r="K408">
        <v>57</v>
      </c>
      <c r="L408">
        <v>27.9799995422363</v>
      </c>
      <c r="M408">
        <v>29.700000762939499</v>
      </c>
      <c r="N408">
        <v>6.1999998092651403</v>
      </c>
      <c r="O408">
        <v>23.5</v>
      </c>
      <c r="P408">
        <v>21.399999618530298</v>
      </c>
      <c r="Q408">
        <v>15.1000003814697</v>
      </c>
      <c r="R408">
        <v>21.899999618530298</v>
      </c>
      <c r="S408">
        <v>15.1000003814697</v>
      </c>
      <c r="T408">
        <v>811</v>
      </c>
      <c r="U408">
        <v>216</v>
      </c>
      <c r="V408">
        <v>1</v>
      </c>
      <c r="W408">
        <v>110</v>
      </c>
      <c r="X408">
        <v>552</v>
      </c>
      <c r="Y408">
        <v>5</v>
      </c>
      <c r="Z408">
        <v>283</v>
      </c>
      <c r="AA408">
        <v>5</v>
      </c>
      <c r="AB408">
        <v>4.0326903493780799</v>
      </c>
      <c r="AC408">
        <v>2.9209148881675001E-2</v>
      </c>
      <c r="AD408">
        <v>1.9808035702689699</v>
      </c>
      <c r="AE408">
        <v>0.32456674926767198</v>
      </c>
      <c r="AF408">
        <v>1144.5345394736801</v>
      </c>
      <c r="AG408">
        <f>IFERROR(AH408*0.1, "N/A")</f>
        <v>6.2901315789473706</v>
      </c>
      <c r="AH408">
        <v>62.901315789473699</v>
      </c>
      <c r="AI408">
        <v>259.90196037292498</v>
      </c>
      <c r="AJ408">
        <v>23</v>
      </c>
      <c r="AK408">
        <v>63.152960526315802</v>
      </c>
    </row>
    <row r="409" spans="1:37" x14ac:dyDescent="0.3">
      <c r="A409">
        <v>408</v>
      </c>
      <c r="B409">
        <v>45</v>
      </c>
      <c r="C409">
        <v>29.973745000000001</v>
      </c>
      <c r="D409">
        <v>-17.287426</v>
      </c>
      <c r="E409" t="s">
        <v>684</v>
      </c>
      <c r="F409" t="s">
        <v>685</v>
      </c>
      <c r="G409" t="s">
        <v>39</v>
      </c>
      <c r="H409">
        <v>1995</v>
      </c>
      <c r="I409">
        <v>19.200000762939499</v>
      </c>
      <c r="J409">
        <v>13.5</v>
      </c>
      <c r="K409">
        <v>57</v>
      </c>
      <c r="L409">
        <v>27.9799995422363</v>
      </c>
      <c r="M409">
        <v>29.700000762939499</v>
      </c>
      <c r="N409">
        <v>6.1999998092651403</v>
      </c>
      <c r="O409">
        <v>23.5</v>
      </c>
      <c r="P409">
        <v>21.399999618530298</v>
      </c>
      <c r="Q409">
        <v>15.1000003814697</v>
      </c>
      <c r="R409">
        <v>21.899999618530298</v>
      </c>
      <c r="S409">
        <v>15.1000003814697</v>
      </c>
      <c r="T409">
        <v>811</v>
      </c>
      <c r="U409">
        <v>216</v>
      </c>
      <c r="V409">
        <v>1</v>
      </c>
      <c r="W409">
        <v>110</v>
      </c>
      <c r="X409">
        <v>552</v>
      </c>
      <c r="Y409">
        <v>5</v>
      </c>
      <c r="Z409">
        <v>283</v>
      </c>
      <c r="AA409">
        <v>5</v>
      </c>
      <c r="AB409">
        <v>4.0326903493780799</v>
      </c>
      <c r="AC409">
        <v>2.9209148881675001E-2</v>
      </c>
      <c r="AD409">
        <v>1.9808035702689699</v>
      </c>
      <c r="AE409">
        <v>0.32456674926767198</v>
      </c>
      <c r="AF409">
        <v>1144.5345394736801</v>
      </c>
      <c r="AG409">
        <f>IFERROR(AH409*0.1, "N/A")</f>
        <v>6.2901315789473706</v>
      </c>
      <c r="AH409">
        <v>62.901315789473699</v>
      </c>
      <c r="AI409">
        <v>259.90196037292498</v>
      </c>
      <c r="AJ409">
        <v>23</v>
      </c>
      <c r="AK409">
        <v>63.152960526315802</v>
      </c>
    </row>
    <row r="410" spans="1:37" x14ac:dyDescent="0.3">
      <c r="A410">
        <v>409</v>
      </c>
      <c r="B410">
        <v>45</v>
      </c>
      <c r="C410">
        <v>29.973745999999998</v>
      </c>
      <c r="D410">
        <v>-17.287427000000001</v>
      </c>
      <c r="E410" t="s">
        <v>686</v>
      </c>
      <c r="F410" t="s">
        <v>687</v>
      </c>
      <c r="G410" t="s">
        <v>39</v>
      </c>
      <c r="H410">
        <v>1995</v>
      </c>
      <c r="I410">
        <v>19.200000762939499</v>
      </c>
      <c r="J410">
        <v>13.5</v>
      </c>
      <c r="K410">
        <v>57</v>
      </c>
      <c r="L410">
        <v>27.9799995422363</v>
      </c>
      <c r="M410">
        <v>29.700000762939499</v>
      </c>
      <c r="N410">
        <v>6.1999998092651403</v>
      </c>
      <c r="O410">
        <v>23.5</v>
      </c>
      <c r="P410">
        <v>21.399999618530298</v>
      </c>
      <c r="Q410">
        <v>15.1000003814697</v>
      </c>
      <c r="R410">
        <v>21.899999618530298</v>
      </c>
      <c r="S410">
        <v>15.1000003814697</v>
      </c>
      <c r="T410">
        <v>811</v>
      </c>
      <c r="U410">
        <v>216</v>
      </c>
      <c r="V410">
        <v>1</v>
      </c>
      <c r="W410">
        <v>110</v>
      </c>
      <c r="X410">
        <v>552</v>
      </c>
      <c r="Y410">
        <v>5</v>
      </c>
      <c r="Z410">
        <v>283</v>
      </c>
      <c r="AA410">
        <v>5</v>
      </c>
      <c r="AB410">
        <v>4.0619667454769797</v>
      </c>
      <c r="AC410">
        <v>2.8685161114768001E-2</v>
      </c>
      <c r="AD410">
        <v>1.9750233710204299</v>
      </c>
      <c r="AE410">
        <v>0.32431615246950002</v>
      </c>
      <c r="AF410">
        <v>1144.5444078947401</v>
      </c>
      <c r="AG410">
        <f>IFERROR(AH410*0.1, "N/A")</f>
        <v>6.28963815789474</v>
      </c>
      <c r="AH410">
        <v>62.896381578947398</v>
      </c>
      <c r="AI410">
        <v>258.68022359044897</v>
      </c>
      <c r="AJ410">
        <v>23</v>
      </c>
      <c r="AK410">
        <v>63.152960526315802</v>
      </c>
    </row>
    <row r="411" spans="1:37" x14ac:dyDescent="0.3">
      <c r="A411">
        <v>410</v>
      </c>
      <c r="B411">
        <v>56.700001</v>
      </c>
      <c r="C411">
        <v>29.973746999999999</v>
      </c>
      <c r="D411">
        <v>-17.287427999999998</v>
      </c>
      <c r="E411" t="s">
        <v>688</v>
      </c>
      <c r="F411" t="s">
        <v>689</v>
      </c>
      <c r="G411" t="s">
        <v>39</v>
      </c>
      <c r="H411">
        <v>1995</v>
      </c>
      <c r="I411">
        <v>19.200000762939499</v>
      </c>
      <c r="J411">
        <v>13.5</v>
      </c>
      <c r="K411">
        <v>57</v>
      </c>
      <c r="L411">
        <v>27.9799995422363</v>
      </c>
      <c r="M411">
        <v>29.700000762939499</v>
      </c>
      <c r="N411">
        <v>6.1999998092651403</v>
      </c>
      <c r="O411">
        <v>23.5</v>
      </c>
      <c r="P411">
        <v>21.399999618530298</v>
      </c>
      <c r="Q411">
        <v>15.1000003814697</v>
      </c>
      <c r="R411">
        <v>21.899999618530298</v>
      </c>
      <c r="S411">
        <v>15.1000003814697</v>
      </c>
      <c r="T411">
        <v>811</v>
      </c>
      <c r="U411">
        <v>216</v>
      </c>
      <c r="V411">
        <v>1</v>
      </c>
      <c r="W411">
        <v>110</v>
      </c>
      <c r="X411">
        <v>552</v>
      </c>
      <c r="Y411">
        <v>5</v>
      </c>
      <c r="Z411">
        <v>283</v>
      </c>
      <c r="AA411">
        <v>5</v>
      </c>
      <c r="AB411">
        <v>4.0619667454769797</v>
      </c>
      <c r="AC411">
        <v>2.8685161114768001E-2</v>
      </c>
      <c r="AD411">
        <v>1.9750233710204299</v>
      </c>
      <c r="AE411">
        <v>0.32431615246950002</v>
      </c>
      <c r="AF411">
        <v>1144.5444078947401</v>
      </c>
      <c r="AG411">
        <f>IFERROR(AH411*0.1, "N/A")</f>
        <v>6.28963815789474</v>
      </c>
      <c r="AH411">
        <v>62.896381578947398</v>
      </c>
      <c r="AI411">
        <v>258.68022359044897</v>
      </c>
      <c r="AJ411">
        <v>23</v>
      </c>
      <c r="AK411">
        <v>63.152960526315802</v>
      </c>
    </row>
    <row r="412" spans="1:37" x14ac:dyDescent="0.3">
      <c r="A412">
        <v>411</v>
      </c>
      <c r="B412">
        <v>56.700001</v>
      </c>
      <c r="C412">
        <v>29.973748000000001</v>
      </c>
      <c r="D412">
        <v>-17.287428999999999</v>
      </c>
      <c r="E412" t="s">
        <v>690</v>
      </c>
      <c r="F412" t="s">
        <v>691</v>
      </c>
      <c r="G412" t="s">
        <v>39</v>
      </c>
      <c r="H412">
        <v>1995</v>
      </c>
      <c r="I412">
        <v>19.200000762939499</v>
      </c>
      <c r="J412">
        <v>13.5</v>
      </c>
      <c r="K412">
        <v>57</v>
      </c>
      <c r="L412">
        <v>27.9799995422363</v>
      </c>
      <c r="M412">
        <v>29.700000762939499</v>
      </c>
      <c r="N412">
        <v>6.1999998092651403</v>
      </c>
      <c r="O412">
        <v>23.5</v>
      </c>
      <c r="P412">
        <v>21.399999618530298</v>
      </c>
      <c r="Q412">
        <v>15.1000003814697</v>
      </c>
      <c r="R412">
        <v>21.899999618530298</v>
      </c>
      <c r="S412">
        <v>15.1000003814697</v>
      </c>
      <c r="T412">
        <v>811</v>
      </c>
      <c r="U412">
        <v>216</v>
      </c>
      <c r="V412">
        <v>1</v>
      </c>
      <c r="W412">
        <v>110</v>
      </c>
      <c r="X412">
        <v>552</v>
      </c>
      <c r="Y412">
        <v>5</v>
      </c>
      <c r="Z412">
        <v>283</v>
      </c>
      <c r="AA412">
        <v>5</v>
      </c>
      <c r="AB412">
        <v>4.0616378784179696</v>
      </c>
      <c r="AC412">
        <v>2.8631417976852001E-2</v>
      </c>
      <c r="AD412">
        <v>1.97416805926906</v>
      </c>
      <c r="AE412">
        <v>0.32422496770557602</v>
      </c>
      <c r="AF412">
        <v>1144.55263157895</v>
      </c>
      <c r="AG412">
        <f>IFERROR(AH412*0.1, "N/A")</f>
        <v>6.2891447368421103</v>
      </c>
      <c r="AH412">
        <v>62.891447368421098</v>
      </c>
      <c r="AI412">
        <v>258.70593106119298</v>
      </c>
      <c r="AJ412">
        <v>23</v>
      </c>
      <c r="AK412">
        <v>63.15625</v>
      </c>
    </row>
    <row r="413" spans="1:37" x14ac:dyDescent="0.3">
      <c r="A413">
        <v>412</v>
      </c>
      <c r="B413">
        <v>58</v>
      </c>
      <c r="C413">
        <v>31.5</v>
      </c>
      <c r="D413">
        <v>-17.75</v>
      </c>
      <c r="E413" t="s">
        <v>692</v>
      </c>
      <c r="F413" t="s">
        <v>693</v>
      </c>
      <c r="G413" t="s">
        <v>39</v>
      </c>
      <c r="H413">
        <v>1996</v>
      </c>
      <c r="I413">
        <v>19.100000381469702</v>
      </c>
      <c r="J413">
        <v>13.800000190734901</v>
      </c>
      <c r="K413">
        <v>57</v>
      </c>
      <c r="L413">
        <v>28.663649866506798</v>
      </c>
      <c r="M413">
        <v>29.799999237060501</v>
      </c>
      <c r="N413">
        <v>5.84369900339754</v>
      </c>
      <c r="O413">
        <v>23.956300978964901</v>
      </c>
      <c r="P413">
        <v>21.299999237060501</v>
      </c>
      <c r="Q413">
        <v>14.800000190734901</v>
      </c>
      <c r="R413">
        <v>21.808837241314802</v>
      </c>
      <c r="S413">
        <v>14.800000190734901</v>
      </c>
      <c r="T413">
        <v>944.90343698854304</v>
      </c>
      <c r="U413">
        <v>234.271685761047</v>
      </c>
      <c r="V413">
        <v>1.7283142389525401</v>
      </c>
      <c r="W413">
        <v>106.271685761047</v>
      </c>
      <c r="X413">
        <v>625.90343698854304</v>
      </c>
      <c r="Y413">
        <v>8.7283142389525405</v>
      </c>
      <c r="Z413">
        <v>322.36006546644802</v>
      </c>
      <c r="AA413">
        <v>8.7283142389525405</v>
      </c>
      <c r="AB413">
        <v>26.0897011015497</v>
      </c>
      <c r="AC413">
        <v>8.1485476643579999E-3</v>
      </c>
      <c r="AD413">
        <v>0.95069847208388303</v>
      </c>
      <c r="AE413">
        <v>0.44497790932655301</v>
      </c>
      <c r="AF413">
        <v>1237.7495908347</v>
      </c>
      <c r="AG413">
        <f>IFERROR(AH413*0.1, "N/A")</f>
        <v>5.7729950900163702</v>
      </c>
      <c r="AH413">
        <v>57.729950900163701</v>
      </c>
      <c r="AI413">
        <v>99.391312082543493</v>
      </c>
      <c r="AJ413">
        <v>11.253682487724999</v>
      </c>
      <c r="AK413">
        <v>77.746317512274999</v>
      </c>
    </row>
    <row r="414" spans="1:37" x14ac:dyDescent="0.3">
      <c r="A414">
        <v>413</v>
      </c>
      <c r="B414">
        <v>1.6</v>
      </c>
      <c r="C414">
        <v>26.49</v>
      </c>
      <c r="D414">
        <v>-17.497800999999999</v>
      </c>
      <c r="E414" t="s">
        <v>694</v>
      </c>
      <c r="F414" t="s">
        <v>695</v>
      </c>
      <c r="G414" t="s">
        <v>39</v>
      </c>
      <c r="H414">
        <v>2007</v>
      </c>
      <c r="I414">
        <v>20.5</v>
      </c>
      <c r="J414">
        <v>14.800000190734901</v>
      </c>
      <c r="K414">
        <v>54</v>
      </c>
      <c r="L414">
        <v>32.970001220703097</v>
      </c>
      <c r="M414">
        <v>32.900001525878899</v>
      </c>
      <c r="N414">
        <v>5.8000001907348597</v>
      </c>
      <c r="O414">
        <v>27.100000381469702</v>
      </c>
      <c r="P414">
        <v>22.700000762939499</v>
      </c>
      <c r="Q414">
        <v>15.699999809265099</v>
      </c>
      <c r="R414">
        <v>23.899999618530298</v>
      </c>
      <c r="S414">
        <v>15.699999809265099</v>
      </c>
      <c r="T414">
        <v>785</v>
      </c>
      <c r="U414">
        <v>194</v>
      </c>
      <c r="V414">
        <v>0</v>
      </c>
      <c r="W414">
        <v>114</v>
      </c>
      <c r="X414">
        <v>554</v>
      </c>
      <c r="Y414">
        <v>1</v>
      </c>
      <c r="Z414">
        <v>294</v>
      </c>
      <c r="AA414">
        <v>1</v>
      </c>
      <c r="AB414">
        <v>12.5085525262551</v>
      </c>
      <c r="AC414">
        <v>1.1503918670484E-2</v>
      </c>
      <c r="AD414">
        <v>1.31393470568735</v>
      </c>
      <c r="AE414">
        <v>0.57362431287765503</v>
      </c>
      <c r="AF414">
        <v>1215.2327868852501</v>
      </c>
      <c r="AG414">
        <f>IFERROR(AH414*0.1, "N/A")</f>
        <v>6.3126229508196703</v>
      </c>
      <c r="AH414">
        <v>63.126229508196701</v>
      </c>
      <c r="AI414">
        <v>116.978858491241</v>
      </c>
      <c r="AJ414">
        <v>14.126229508196699</v>
      </c>
      <c r="AK414">
        <v>76.621311475409797</v>
      </c>
    </row>
    <row r="415" spans="1:37" x14ac:dyDescent="0.3">
      <c r="A415">
        <v>414</v>
      </c>
      <c r="B415">
        <v>0</v>
      </c>
      <c r="C415">
        <v>26.49</v>
      </c>
      <c r="D415">
        <v>-17.497800999999999</v>
      </c>
      <c r="E415" t="s">
        <v>694</v>
      </c>
      <c r="F415" t="s">
        <v>696</v>
      </c>
      <c r="G415" t="s">
        <v>37</v>
      </c>
      <c r="H415">
        <v>2007</v>
      </c>
      <c r="I415">
        <v>20.5</v>
      </c>
      <c r="J415">
        <v>14.800000190734901</v>
      </c>
      <c r="K415">
        <v>54</v>
      </c>
      <c r="L415">
        <v>32.970001220703097</v>
      </c>
      <c r="M415">
        <v>32.900001525878899</v>
      </c>
      <c r="N415">
        <v>5.8000001907348597</v>
      </c>
      <c r="O415">
        <v>27.100000381469702</v>
      </c>
      <c r="P415">
        <v>22.700000762939499</v>
      </c>
      <c r="Q415">
        <v>15.699999809265099</v>
      </c>
      <c r="R415">
        <v>23.899999618530298</v>
      </c>
      <c r="S415">
        <v>15.699999809265099</v>
      </c>
      <c r="T415">
        <v>785</v>
      </c>
      <c r="U415">
        <v>194</v>
      </c>
      <c r="V415">
        <v>0</v>
      </c>
      <c r="W415">
        <v>114</v>
      </c>
      <c r="X415">
        <v>554</v>
      </c>
      <c r="Y415">
        <v>1</v>
      </c>
      <c r="Z415">
        <v>294</v>
      </c>
      <c r="AA415">
        <v>1</v>
      </c>
      <c r="AB415">
        <v>12.5085525262551</v>
      </c>
      <c r="AC415">
        <v>1.1503918670484E-2</v>
      </c>
      <c r="AD415">
        <v>1.31393470568735</v>
      </c>
      <c r="AE415">
        <v>0.57362431287765503</v>
      </c>
      <c r="AF415">
        <v>1215.2327868852501</v>
      </c>
      <c r="AG415">
        <f>IFERROR(AH415*0.1, "N/A")</f>
        <v>6.3126229508196703</v>
      </c>
      <c r="AH415">
        <v>63.126229508196701</v>
      </c>
      <c r="AI415">
        <v>116.978858491241</v>
      </c>
      <c r="AJ415">
        <v>14.126229508196699</v>
      </c>
      <c r="AK415">
        <v>76.621311475409797</v>
      </c>
    </row>
    <row r="416" spans="1:37" x14ac:dyDescent="0.3">
      <c r="A416">
        <v>415</v>
      </c>
      <c r="B416">
        <v>4.7</v>
      </c>
      <c r="C416">
        <v>26.001698999999999</v>
      </c>
      <c r="D416">
        <v>-17.490400000000001</v>
      </c>
      <c r="E416" t="s">
        <v>697</v>
      </c>
      <c r="F416" t="s">
        <v>698</v>
      </c>
      <c r="G416" t="s">
        <v>39</v>
      </c>
      <c r="H416">
        <v>2007</v>
      </c>
      <c r="I416">
        <v>20.899999618530298</v>
      </c>
      <c r="J416">
        <v>15.1000003814697</v>
      </c>
      <c r="K416">
        <v>54</v>
      </c>
      <c r="L416">
        <v>33.720001220703097</v>
      </c>
      <c r="M416">
        <v>33.599998474121101</v>
      </c>
      <c r="N416">
        <v>5.9000000953674299</v>
      </c>
      <c r="O416">
        <v>27.700000762939499</v>
      </c>
      <c r="P416">
        <v>23.100000381469702</v>
      </c>
      <c r="Q416">
        <v>16</v>
      </c>
      <c r="R416">
        <v>24.399999618530298</v>
      </c>
      <c r="S416">
        <v>16</v>
      </c>
      <c r="T416">
        <v>807</v>
      </c>
      <c r="U416">
        <v>199</v>
      </c>
      <c r="V416">
        <v>0</v>
      </c>
      <c r="W416">
        <v>114</v>
      </c>
      <c r="X416">
        <v>571</v>
      </c>
      <c r="Y416">
        <v>1</v>
      </c>
      <c r="Z416">
        <v>315</v>
      </c>
      <c r="AA416">
        <v>1</v>
      </c>
      <c r="AB416">
        <v>11.302630315061499</v>
      </c>
      <c r="AC416">
        <v>0.149766149237508</v>
      </c>
      <c r="AD416">
        <v>1.8343629201904701</v>
      </c>
      <c r="AE416">
        <v>0.41969937086105302</v>
      </c>
      <c r="AF416">
        <v>1192.78032786885</v>
      </c>
      <c r="AG416">
        <f>IFERROR(AH416*0.1, "N/A")</f>
        <v>5.9665573770491802</v>
      </c>
      <c r="AH416">
        <v>59.665573770491797</v>
      </c>
      <c r="AI416">
        <v>136.44355840214001</v>
      </c>
      <c r="AJ416">
        <v>14.016393442622901</v>
      </c>
      <c r="AK416">
        <v>78.334426229508196</v>
      </c>
    </row>
    <row r="417" spans="1:37" x14ac:dyDescent="0.3">
      <c r="A417">
        <v>416</v>
      </c>
      <c r="B417">
        <v>0</v>
      </c>
      <c r="C417">
        <v>26.001698999999999</v>
      </c>
      <c r="D417">
        <v>-17.490400000000001</v>
      </c>
      <c r="E417" t="s">
        <v>697</v>
      </c>
      <c r="F417" t="s">
        <v>699</v>
      </c>
      <c r="G417" t="s">
        <v>37</v>
      </c>
      <c r="H417">
        <v>2007</v>
      </c>
      <c r="I417">
        <v>20.899999618530298</v>
      </c>
      <c r="J417">
        <v>15.1000003814697</v>
      </c>
      <c r="K417">
        <v>54</v>
      </c>
      <c r="L417">
        <v>33.720001220703097</v>
      </c>
      <c r="M417">
        <v>33.599998474121101</v>
      </c>
      <c r="N417">
        <v>5.9000000953674299</v>
      </c>
      <c r="O417">
        <v>27.700000762939499</v>
      </c>
      <c r="P417">
        <v>23.100000381469702</v>
      </c>
      <c r="Q417">
        <v>16</v>
      </c>
      <c r="R417">
        <v>24.399999618530298</v>
      </c>
      <c r="S417">
        <v>16</v>
      </c>
      <c r="T417">
        <v>807</v>
      </c>
      <c r="U417">
        <v>199</v>
      </c>
      <c r="V417">
        <v>0</v>
      </c>
      <c r="W417">
        <v>114</v>
      </c>
      <c r="X417">
        <v>571</v>
      </c>
      <c r="Y417">
        <v>1</v>
      </c>
      <c r="Z417">
        <v>315</v>
      </c>
      <c r="AA417">
        <v>1</v>
      </c>
      <c r="AB417">
        <v>11.302630315061499</v>
      </c>
      <c r="AC417">
        <v>0.149766149237508</v>
      </c>
      <c r="AD417">
        <v>1.8343629201904701</v>
      </c>
      <c r="AE417">
        <v>0.41969937086105302</v>
      </c>
      <c r="AF417">
        <v>1192.78032786885</v>
      </c>
      <c r="AG417">
        <f>IFERROR(AH417*0.1, "N/A")</f>
        <v>5.9665573770491802</v>
      </c>
      <c r="AH417">
        <v>59.665573770491797</v>
      </c>
      <c r="AI417">
        <v>136.44355840214001</v>
      </c>
      <c r="AJ417">
        <v>14.016393442622901</v>
      </c>
      <c r="AK417">
        <v>78.334426229508196</v>
      </c>
    </row>
    <row r="418" spans="1:37" x14ac:dyDescent="0.3">
      <c r="A418">
        <v>417</v>
      </c>
      <c r="B418">
        <v>11.6</v>
      </c>
      <c r="C418">
        <v>26.084900000000001</v>
      </c>
      <c r="D418">
        <v>-17.452998999999998</v>
      </c>
      <c r="E418" t="s">
        <v>700</v>
      </c>
      <c r="F418" t="s">
        <v>701</v>
      </c>
      <c r="G418" t="s">
        <v>39</v>
      </c>
      <c r="H418">
        <v>2007</v>
      </c>
      <c r="I418">
        <v>20.899999618530298</v>
      </c>
      <c r="J418">
        <v>15.1000003814697</v>
      </c>
      <c r="K418">
        <v>54</v>
      </c>
      <c r="L418">
        <v>33.700000762939503</v>
      </c>
      <c r="M418">
        <v>33.5</v>
      </c>
      <c r="N418">
        <v>5.8000001907348597</v>
      </c>
      <c r="O418">
        <v>27.700000762939499</v>
      </c>
      <c r="P418">
        <v>23</v>
      </c>
      <c r="Q418">
        <v>15.8999996185303</v>
      </c>
      <c r="R418">
        <v>24.399999618530298</v>
      </c>
      <c r="S418">
        <v>15.8999996185303</v>
      </c>
      <c r="T418">
        <v>812</v>
      </c>
      <c r="U418">
        <v>201</v>
      </c>
      <c r="V418">
        <v>0</v>
      </c>
      <c r="W418">
        <v>115</v>
      </c>
      <c r="X418">
        <v>576</v>
      </c>
      <c r="Y418">
        <v>0</v>
      </c>
      <c r="Z418">
        <v>317</v>
      </c>
      <c r="AA418">
        <v>0</v>
      </c>
      <c r="AB418">
        <v>8.6914469401041696</v>
      </c>
      <c r="AC418">
        <v>9.0194008403349998E-3</v>
      </c>
      <c r="AD418">
        <v>0.92818576440043898</v>
      </c>
      <c r="AE418">
        <v>0.28477698564529402</v>
      </c>
      <c r="AF418">
        <v>1175.85385878489</v>
      </c>
      <c r="AG418">
        <f>IFERROR(AH418*0.1, "N/A")</f>
        <v>6.0505747126436802</v>
      </c>
      <c r="AH418">
        <v>60.505747126436802</v>
      </c>
      <c r="AI418">
        <v>254.15017962025101</v>
      </c>
      <c r="AJ418">
        <v>18.996715927750401</v>
      </c>
      <c r="AK418">
        <v>69.003284072249599</v>
      </c>
    </row>
    <row r="419" spans="1:37" x14ac:dyDescent="0.3">
      <c r="A419">
        <v>418</v>
      </c>
      <c r="B419">
        <v>0</v>
      </c>
      <c r="C419">
        <v>26.084900000000001</v>
      </c>
      <c r="D419">
        <v>-17.452998999999998</v>
      </c>
      <c r="E419" t="s">
        <v>700</v>
      </c>
      <c r="F419" t="s">
        <v>702</v>
      </c>
      <c r="G419" t="s">
        <v>37</v>
      </c>
      <c r="H419">
        <v>2007</v>
      </c>
      <c r="I419">
        <v>20.899999618530298</v>
      </c>
      <c r="J419">
        <v>15.1000003814697</v>
      </c>
      <c r="K419">
        <v>54</v>
      </c>
      <c r="L419">
        <v>33.700000762939503</v>
      </c>
      <c r="M419">
        <v>33.5</v>
      </c>
      <c r="N419">
        <v>5.8000001907348597</v>
      </c>
      <c r="O419">
        <v>27.700000762939499</v>
      </c>
      <c r="P419">
        <v>23</v>
      </c>
      <c r="Q419">
        <v>15.8999996185303</v>
      </c>
      <c r="R419">
        <v>24.399999618530298</v>
      </c>
      <c r="S419">
        <v>15.8999996185303</v>
      </c>
      <c r="T419">
        <v>812</v>
      </c>
      <c r="U419">
        <v>201</v>
      </c>
      <c r="V419">
        <v>0</v>
      </c>
      <c r="W419">
        <v>115</v>
      </c>
      <c r="X419">
        <v>576</v>
      </c>
      <c r="Y419">
        <v>0</v>
      </c>
      <c r="Z419">
        <v>317</v>
      </c>
      <c r="AA419">
        <v>0</v>
      </c>
      <c r="AB419">
        <v>8.6914469401041696</v>
      </c>
      <c r="AC419">
        <v>9.0194008403349998E-3</v>
      </c>
      <c r="AD419">
        <v>0.92818576440043898</v>
      </c>
      <c r="AE419">
        <v>0.28477698564529402</v>
      </c>
      <c r="AF419">
        <v>1175.85385878489</v>
      </c>
      <c r="AG419">
        <f>IFERROR(AH419*0.1, "N/A")</f>
        <v>6.0505747126436802</v>
      </c>
      <c r="AH419">
        <v>60.505747126436802</v>
      </c>
      <c r="AI419">
        <v>254.15017962025101</v>
      </c>
      <c r="AJ419">
        <v>18.996715927750401</v>
      </c>
      <c r="AK419">
        <v>69.003284072249599</v>
      </c>
    </row>
    <row r="420" spans="1:37" x14ac:dyDescent="0.3">
      <c r="A420">
        <v>419</v>
      </c>
      <c r="B420">
        <v>1</v>
      </c>
      <c r="C420">
        <v>26</v>
      </c>
      <c r="D420">
        <v>-17.450001</v>
      </c>
      <c r="E420" t="s">
        <v>703</v>
      </c>
      <c r="F420" t="s">
        <v>704</v>
      </c>
      <c r="G420" t="s">
        <v>37</v>
      </c>
      <c r="H420">
        <v>2007</v>
      </c>
      <c r="I420">
        <v>21.299999237060501</v>
      </c>
      <c r="J420">
        <v>15.1436782924608</v>
      </c>
      <c r="K420">
        <v>54</v>
      </c>
      <c r="L420">
        <v>34.059146668131902</v>
      </c>
      <c r="M420">
        <v>33.943679020322598</v>
      </c>
      <c r="N420">
        <v>6.0999999046325701</v>
      </c>
      <c r="O420">
        <v>27.843677564598998</v>
      </c>
      <c r="P420">
        <v>23.443677946068799</v>
      </c>
      <c r="Q420">
        <v>16.256321742616901</v>
      </c>
      <c r="R420">
        <v>24.799999237060501</v>
      </c>
      <c r="S420">
        <v>16.256321742616901</v>
      </c>
      <c r="T420">
        <v>802.98029556650204</v>
      </c>
      <c r="U420">
        <v>199</v>
      </c>
      <c r="V420">
        <v>0</v>
      </c>
      <c r="W420">
        <v>115.582922824302</v>
      </c>
      <c r="X420">
        <v>570.771756978653</v>
      </c>
      <c r="Y420">
        <v>0</v>
      </c>
      <c r="Z420">
        <v>313.20853858784898</v>
      </c>
      <c r="AA420">
        <v>0</v>
      </c>
      <c r="AB420">
        <v>7.9013357178135202</v>
      </c>
      <c r="AC420">
        <v>1.1726774666795E-2</v>
      </c>
      <c r="AD420">
        <v>2.5282246093640399</v>
      </c>
      <c r="AE420">
        <v>0.15877337638771999</v>
      </c>
      <c r="AF420">
        <v>1118.3333333333301</v>
      </c>
      <c r="AG420">
        <f>IFERROR(AH420*0.1, "N/A")</f>
        <v>5.9422003284072202</v>
      </c>
      <c r="AH420">
        <v>59.422003284072197</v>
      </c>
      <c r="AI420">
        <v>300.60851113706201</v>
      </c>
      <c r="AJ420">
        <v>13.5632183908046</v>
      </c>
      <c r="AK420">
        <v>75.456486042692902</v>
      </c>
    </row>
    <row r="421" spans="1:37" x14ac:dyDescent="0.3">
      <c r="A421">
        <v>420</v>
      </c>
      <c r="B421">
        <v>29.700001</v>
      </c>
      <c r="C421">
        <v>29.633900000000001</v>
      </c>
      <c r="D421">
        <v>-17.055</v>
      </c>
      <c r="E421" t="s">
        <v>705</v>
      </c>
      <c r="F421" t="s">
        <v>706</v>
      </c>
      <c r="G421" t="s">
        <v>39</v>
      </c>
      <c r="H421">
        <v>2008</v>
      </c>
      <c r="I421">
        <v>19.299999237060501</v>
      </c>
      <c r="J421">
        <v>12.6000003814697</v>
      </c>
      <c r="K421">
        <v>55</v>
      </c>
      <c r="L421">
        <v>28.2881522918298</v>
      </c>
      <c r="M421">
        <v>29.799999237060501</v>
      </c>
      <c r="N421">
        <v>6.9000000953674299</v>
      </c>
      <c r="O421">
        <v>22.899999618530298</v>
      </c>
      <c r="P421">
        <v>21.299999237060501</v>
      </c>
      <c r="Q421">
        <v>15.1264028706566</v>
      </c>
      <c r="R421">
        <v>22.200000762939499</v>
      </c>
      <c r="S421">
        <v>15.1264028706566</v>
      </c>
      <c r="T421">
        <v>785.20792079207899</v>
      </c>
      <c r="U421">
        <v>203.73597359735999</v>
      </c>
      <c r="V421">
        <v>0</v>
      </c>
      <c r="W421">
        <v>112</v>
      </c>
      <c r="X421">
        <v>542.73597359736004</v>
      </c>
      <c r="Y421">
        <v>3</v>
      </c>
      <c r="Z421">
        <v>275.47194719471901</v>
      </c>
      <c r="AA421">
        <v>3</v>
      </c>
      <c r="AB421">
        <v>0.29589863893615898</v>
      </c>
      <c r="AC421">
        <v>22.686189207435898</v>
      </c>
      <c r="AD421">
        <v>1.2782374885019301</v>
      </c>
      <c r="AE421">
        <v>0.28232958912849399</v>
      </c>
      <c r="AF421">
        <v>1196.7046204620499</v>
      </c>
      <c r="AG421">
        <f>IFERROR(AH421*0.1, "N/A")</f>
        <v>6.0668316831683207</v>
      </c>
      <c r="AH421">
        <v>60.6683168316832</v>
      </c>
      <c r="AI421">
        <v>136.253712959415</v>
      </c>
      <c r="AJ421">
        <v>18.1237623762376</v>
      </c>
      <c r="AK421">
        <v>69.488448844884502</v>
      </c>
    </row>
    <row r="422" spans="1:37" x14ac:dyDescent="0.3">
      <c r="A422">
        <v>421</v>
      </c>
      <c r="B422">
        <v>87.099997999999999</v>
      </c>
      <c r="C422">
        <v>25.157900000000001</v>
      </c>
      <c r="D422">
        <v>-16.946400000000001</v>
      </c>
      <c r="E422" t="s">
        <v>707</v>
      </c>
      <c r="F422" t="s">
        <v>708</v>
      </c>
      <c r="G422" t="s">
        <v>39</v>
      </c>
      <c r="H422">
        <v>1991</v>
      </c>
      <c r="I422">
        <v>22</v>
      </c>
      <c r="J422">
        <v>15.800000190734901</v>
      </c>
      <c r="K422">
        <v>54</v>
      </c>
      <c r="L422">
        <v>33.9334101103479</v>
      </c>
      <c r="M422">
        <v>35</v>
      </c>
      <c r="N422">
        <v>6.1999998092651403</v>
      </c>
      <c r="O422">
        <v>28.799999237060501</v>
      </c>
      <c r="P422">
        <v>24.299999237060501</v>
      </c>
      <c r="Q422">
        <v>17</v>
      </c>
      <c r="R422">
        <v>25.399999618530298</v>
      </c>
      <c r="S422">
        <v>17</v>
      </c>
      <c r="T422">
        <v>759</v>
      </c>
      <c r="U422">
        <v>192</v>
      </c>
      <c r="V422">
        <v>0</v>
      </c>
      <c r="W422">
        <v>113</v>
      </c>
      <c r="X422">
        <v>529</v>
      </c>
      <c r="Y422">
        <v>1</v>
      </c>
      <c r="Z422">
        <v>288</v>
      </c>
      <c r="AA422">
        <v>1</v>
      </c>
      <c r="AB422">
        <v>4.7309995648102898</v>
      </c>
      <c r="AC422">
        <v>1.2592309251231001E-2</v>
      </c>
      <c r="AD422">
        <v>1.2234137878190099</v>
      </c>
      <c r="AE422">
        <v>0.24599603314376201</v>
      </c>
      <c r="AF422">
        <v>965.63920922570003</v>
      </c>
      <c r="AG422">
        <f>IFERROR(AH422*0.1, "N/A")</f>
        <v>6.997364085667221</v>
      </c>
      <c r="AH422">
        <v>69.973640856672205</v>
      </c>
      <c r="AI422">
        <v>146.947885766257</v>
      </c>
      <c r="AJ422">
        <v>19.0477759472817</v>
      </c>
      <c r="AK422">
        <v>68.128500823723201</v>
      </c>
    </row>
    <row r="423" spans="1:37" x14ac:dyDescent="0.3">
      <c r="A423">
        <v>422</v>
      </c>
      <c r="B423">
        <v>2</v>
      </c>
      <c r="C423">
        <v>25.157900000000001</v>
      </c>
      <c r="D423">
        <v>-16.946400000000001</v>
      </c>
      <c r="E423" t="s">
        <v>707</v>
      </c>
      <c r="F423" t="s">
        <v>709</v>
      </c>
      <c r="G423" t="s">
        <v>37</v>
      </c>
      <c r="H423">
        <v>1991</v>
      </c>
      <c r="I423">
        <v>22</v>
      </c>
      <c r="J423">
        <v>15.800000190734901</v>
      </c>
      <c r="K423">
        <v>54</v>
      </c>
      <c r="L423">
        <v>33.9334101103479</v>
      </c>
      <c r="M423">
        <v>35</v>
      </c>
      <c r="N423">
        <v>6.1999998092651403</v>
      </c>
      <c r="O423">
        <v>28.799999237060501</v>
      </c>
      <c r="P423">
        <v>24.299999237060501</v>
      </c>
      <c r="Q423">
        <v>17</v>
      </c>
      <c r="R423">
        <v>25.399999618530298</v>
      </c>
      <c r="S423">
        <v>17</v>
      </c>
      <c r="T423">
        <v>759</v>
      </c>
      <c r="U423">
        <v>192</v>
      </c>
      <c r="V423">
        <v>0</v>
      </c>
      <c r="W423">
        <v>113</v>
      </c>
      <c r="X423">
        <v>529</v>
      </c>
      <c r="Y423">
        <v>1</v>
      </c>
      <c r="Z423">
        <v>288</v>
      </c>
      <c r="AA423">
        <v>1</v>
      </c>
      <c r="AB423">
        <v>4.7309995648102898</v>
      </c>
      <c r="AC423">
        <v>1.2592309251231001E-2</v>
      </c>
      <c r="AD423">
        <v>1.2234137878190099</v>
      </c>
      <c r="AE423">
        <v>0.24599603314376201</v>
      </c>
      <c r="AF423">
        <v>965.63920922570003</v>
      </c>
      <c r="AG423">
        <f>IFERROR(AH423*0.1, "N/A")</f>
        <v>6.997364085667221</v>
      </c>
      <c r="AH423">
        <v>69.973640856672205</v>
      </c>
      <c r="AI423">
        <v>146.947885766257</v>
      </c>
      <c r="AJ423">
        <v>19.0477759472817</v>
      </c>
      <c r="AK423">
        <v>68.128500823723201</v>
      </c>
    </row>
    <row r="424" spans="1:37" x14ac:dyDescent="0.3">
      <c r="A424">
        <v>423</v>
      </c>
      <c r="B424">
        <v>15.1</v>
      </c>
      <c r="C424">
        <v>26.980498999999998</v>
      </c>
      <c r="D424">
        <v>-16.816500000000001</v>
      </c>
      <c r="E424" t="s">
        <v>710</v>
      </c>
      <c r="F424" t="s">
        <v>711</v>
      </c>
      <c r="G424" t="s">
        <v>39</v>
      </c>
      <c r="H424">
        <v>0</v>
      </c>
      <c r="I424">
        <v>18.700000762939499</v>
      </c>
      <c r="J424">
        <v>15</v>
      </c>
      <c r="K424">
        <v>55</v>
      </c>
      <c r="L424">
        <v>33.717107612042398</v>
      </c>
      <c r="M424">
        <v>30.700000762939499</v>
      </c>
      <c r="N424">
        <v>3.5</v>
      </c>
      <c r="O424">
        <v>27.200000762939499</v>
      </c>
      <c r="P424">
        <v>21.399999618530298</v>
      </c>
      <c r="Q424">
        <v>13.699999809265099</v>
      </c>
      <c r="R424">
        <v>22</v>
      </c>
      <c r="S424">
        <v>13.699999809265099</v>
      </c>
      <c r="T424">
        <v>805.51404958677699</v>
      </c>
      <c r="U424">
        <v>202</v>
      </c>
      <c r="V424">
        <v>0</v>
      </c>
      <c r="W424">
        <v>113</v>
      </c>
      <c r="X424">
        <v>568</v>
      </c>
      <c r="Y424">
        <v>1</v>
      </c>
      <c r="Z424">
        <v>309.51404958677699</v>
      </c>
      <c r="AA424">
        <v>1</v>
      </c>
      <c r="AB424">
        <v>13.5942534139334</v>
      </c>
      <c r="AC424">
        <v>9.0690434102180008E-3</v>
      </c>
      <c r="AD424">
        <v>0.92838749895411099</v>
      </c>
      <c r="AE424">
        <v>0.63725161552429199</v>
      </c>
      <c r="AF424">
        <v>1316.74545454545</v>
      </c>
      <c r="AG424">
        <f>IFERROR(AH424*0.1, "N/A")</f>
        <v>6.4386776859504096</v>
      </c>
      <c r="AH424">
        <v>64.386776859504096</v>
      </c>
      <c r="AI424">
        <v>90.142007427373201</v>
      </c>
      <c r="AJ424">
        <v>23</v>
      </c>
      <c r="AK424">
        <v>61</v>
      </c>
    </row>
    <row r="425" spans="1:37" x14ac:dyDescent="0.3">
      <c r="A425">
        <v>424</v>
      </c>
      <c r="B425">
        <v>2.4</v>
      </c>
      <c r="C425">
        <v>26.980498999999998</v>
      </c>
      <c r="D425">
        <v>-16.816500000000001</v>
      </c>
      <c r="E425" t="s">
        <v>710</v>
      </c>
      <c r="F425" t="s">
        <v>712</v>
      </c>
      <c r="G425" t="s">
        <v>37</v>
      </c>
      <c r="H425">
        <v>0</v>
      </c>
      <c r="I425">
        <v>18.700000762939499</v>
      </c>
      <c r="J425">
        <v>15</v>
      </c>
      <c r="K425">
        <v>55</v>
      </c>
      <c r="L425">
        <v>33.717107612042398</v>
      </c>
      <c r="M425">
        <v>30.700000762939499</v>
      </c>
      <c r="N425">
        <v>3.5</v>
      </c>
      <c r="O425">
        <v>27.200000762939499</v>
      </c>
      <c r="P425">
        <v>21.399999618530298</v>
      </c>
      <c r="Q425">
        <v>13.699999809265099</v>
      </c>
      <c r="R425">
        <v>22</v>
      </c>
      <c r="S425">
        <v>13.699999809265099</v>
      </c>
      <c r="T425">
        <v>805.51404958677699</v>
      </c>
      <c r="U425">
        <v>202</v>
      </c>
      <c r="V425">
        <v>0</v>
      </c>
      <c r="W425">
        <v>113</v>
      </c>
      <c r="X425">
        <v>568</v>
      </c>
      <c r="Y425">
        <v>1</v>
      </c>
      <c r="Z425">
        <v>309.51404958677699</v>
      </c>
      <c r="AA425">
        <v>1</v>
      </c>
      <c r="AB425">
        <v>13.5942534139334</v>
      </c>
      <c r="AC425">
        <v>9.0690434102180008E-3</v>
      </c>
      <c r="AD425">
        <v>0.92838749895411099</v>
      </c>
      <c r="AE425">
        <v>0.63725161552429199</v>
      </c>
      <c r="AF425">
        <v>1316.74545454545</v>
      </c>
      <c r="AG425">
        <f>IFERROR(AH425*0.1, "N/A")</f>
        <v>6.4386776859504096</v>
      </c>
      <c r="AH425">
        <v>64.386776859504096</v>
      </c>
      <c r="AI425">
        <v>90.142007427373201</v>
      </c>
      <c r="AJ425">
        <v>23</v>
      </c>
      <c r="AK425">
        <v>61</v>
      </c>
    </row>
    <row r="426" spans="1:37" x14ac:dyDescent="0.3">
      <c r="A426">
        <v>425</v>
      </c>
      <c r="B426">
        <v>80.699996999999996</v>
      </c>
      <c r="C426">
        <v>25.166699999999999</v>
      </c>
      <c r="D426">
        <v>-16.783300000000001</v>
      </c>
      <c r="E426" t="s">
        <v>713</v>
      </c>
      <c r="F426" t="s">
        <v>714</v>
      </c>
      <c r="G426" t="s">
        <v>39</v>
      </c>
      <c r="H426">
        <v>1991</v>
      </c>
      <c r="I426">
        <v>21.799999237060501</v>
      </c>
      <c r="J426">
        <v>15.717491625165801</v>
      </c>
      <c r="K426">
        <v>54.174917491749198</v>
      </c>
      <c r="L426">
        <v>33.749817662506601</v>
      </c>
      <c r="M426">
        <v>34.700000762939503</v>
      </c>
      <c r="N426">
        <v>6</v>
      </c>
      <c r="O426">
        <v>28.700000762939499</v>
      </c>
      <c r="P426">
        <v>24.062211458439101</v>
      </c>
      <c r="Q426">
        <v>16.799999237060501</v>
      </c>
      <c r="R426">
        <v>25.200000762939499</v>
      </c>
      <c r="S426">
        <v>16.799999237060501</v>
      </c>
      <c r="T426">
        <v>772.86138613861397</v>
      </c>
      <c r="U426">
        <v>196.55280528052799</v>
      </c>
      <c r="V426">
        <v>0</v>
      </c>
      <c r="W426">
        <v>113</v>
      </c>
      <c r="X426">
        <v>538.93069306930704</v>
      </c>
      <c r="Y426">
        <v>1</v>
      </c>
      <c r="Z426">
        <v>293.30858085808597</v>
      </c>
      <c r="AA426">
        <v>1</v>
      </c>
      <c r="AB426">
        <v>6.5593878113397297</v>
      </c>
      <c r="AC426">
        <v>9.2043009042589996E-3</v>
      </c>
      <c r="AD426">
        <v>1.1380547863422099</v>
      </c>
      <c r="AE426">
        <v>0.20574252307415</v>
      </c>
      <c r="AF426">
        <v>979.844884488449</v>
      </c>
      <c r="AG426">
        <f>IFERROR(AH426*0.1, "N/A")</f>
        <v>6.5300330033003311</v>
      </c>
      <c r="AH426">
        <v>65.300330033003306</v>
      </c>
      <c r="AI426">
        <v>204.64306134516701</v>
      </c>
      <c r="AJ426">
        <v>11.1749174917492</v>
      </c>
      <c r="AK426">
        <v>79.825082508250802</v>
      </c>
    </row>
    <row r="427" spans="1:37" x14ac:dyDescent="0.3">
      <c r="A427">
        <v>426</v>
      </c>
      <c r="B427">
        <v>9.5</v>
      </c>
      <c r="C427">
        <v>25.166699999999999</v>
      </c>
      <c r="D427">
        <v>-16.783300000000001</v>
      </c>
      <c r="E427" t="s">
        <v>713</v>
      </c>
      <c r="F427" t="s">
        <v>715</v>
      </c>
      <c r="G427" t="s">
        <v>37</v>
      </c>
      <c r="H427">
        <v>1991</v>
      </c>
      <c r="I427">
        <v>21.799999237060501</v>
      </c>
      <c r="J427">
        <v>15.717491625165801</v>
      </c>
      <c r="K427">
        <v>54.174917491749198</v>
      </c>
      <c r="L427">
        <v>33.749817662506601</v>
      </c>
      <c r="M427">
        <v>34.700000762939503</v>
      </c>
      <c r="N427">
        <v>6</v>
      </c>
      <c r="O427">
        <v>28.700000762939499</v>
      </c>
      <c r="P427">
        <v>24.062211458439101</v>
      </c>
      <c r="Q427">
        <v>16.799999237060501</v>
      </c>
      <c r="R427">
        <v>25.200000762939499</v>
      </c>
      <c r="S427">
        <v>16.799999237060501</v>
      </c>
      <c r="T427">
        <v>772.86138613861397</v>
      </c>
      <c r="U427">
        <v>196.55280528052799</v>
      </c>
      <c r="V427">
        <v>0</v>
      </c>
      <c r="W427">
        <v>113</v>
      </c>
      <c r="X427">
        <v>538.93069306930704</v>
      </c>
      <c r="Y427">
        <v>1</v>
      </c>
      <c r="Z427">
        <v>293.30858085808597</v>
      </c>
      <c r="AA427">
        <v>1</v>
      </c>
      <c r="AB427">
        <v>6.5593878113397297</v>
      </c>
      <c r="AC427">
        <v>9.2043009042589996E-3</v>
      </c>
      <c r="AD427">
        <v>1.1380547863422099</v>
      </c>
      <c r="AE427">
        <v>0.20574252307415</v>
      </c>
      <c r="AF427">
        <v>979.844884488449</v>
      </c>
      <c r="AG427">
        <f>IFERROR(AH427*0.1, "N/A")</f>
        <v>6.5300330033003311</v>
      </c>
      <c r="AH427">
        <v>65.300330033003306</v>
      </c>
      <c r="AI427">
        <v>204.64306134516701</v>
      </c>
      <c r="AJ427">
        <v>11.1749174917492</v>
      </c>
      <c r="AK427">
        <v>79.825082508250802</v>
      </c>
    </row>
    <row r="428" spans="1:37" x14ac:dyDescent="0.3">
      <c r="A428">
        <v>427</v>
      </c>
      <c r="B428">
        <v>13.2</v>
      </c>
      <c r="C428">
        <v>27.251801</v>
      </c>
      <c r="D428">
        <v>-16.767499999999998</v>
      </c>
      <c r="E428" t="s">
        <v>716</v>
      </c>
      <c r="F428" t="s">
        <v>717</v>
      </c>
      <c r="G428" t="s">
        <v>39</v>
      </c>
      <c r="H428">
        <v>0</v>
      </c>
      <c r="I428">
        <v>19.017792489619001</v>
      </c>
      <c r="J428">
        <v>14.699999809265099</v>
      </c>
      <c r="K428">
        <v>55</v>
      </c>
      <c r="L428">
        <v>32.231104924611998</v>
      </c>
      <c r="M428">
        <v>30.817791726679499</v>
      </c>
      <c r="N428">
        <v>4.3177925955129801</v>
      </c>
      <c r="O428">
        <v>26.5</v>
      </c>
      <c r="P428">
        <v>21.517792489619001</v>
      </c>
      <c r="Q428">
        <v>14.300000190734901</v>
      </c>
      <c r="R428">
        <v>22.217792913194899</v>
      </c>
      <c r="S428">
        <v>14.300000190734901</v>
      </c>
      <c r="T428">
        <v>835.82207578253701</v>
      </c>
      <c r="U428">
        <v>210</v>
      </c>
      <c r="V428">
        <v>0</v>
      </c>
      <c r="W428">
        <v>115</v>
      </c>
      <c r="X428">
        <v>594.17792421746299</v>
      </c>
      <c r="Y428">
        <v>1</v>
      </c>
      <c r="Z428">
        <v>317.82207578253701</v>
      </c>
      <c r="AA428">
        <v>1</v>
      </c>
      <c r="AB428">
        <v>17.404330057210199</v>
      </c>
      <c r="AC428">
        <v>8.4611682936280002E-3</v>
      </c>
      <c r="AD428">
        <v>1.4652333870358301</v>
      </c>
      <c r="AE428">
        <v>0.68962798509409196</v>
      </c>
      <c r="AF428">
        <v>1293.2388797364099</v>
      </c>
      <c r="AG428">
        <f>IFERROR(AH428*0.1, "N/A")</f>
        <v>6.0714991762767703</v>
      </c>
      <c r="AH428">
        <v>60.714991762767703</v>
      </c>
      <c r="AI428">
        <v>192.59027589801099</v>
      </c>
      <c r="AJ428">
        <v>17.093904448105398</v>
      </c>
      <c r="AK428">
        <v>73.252059308072504</v>
      </c>
    </row>
    <row r="429" spans="1:37" x14ac:dyDescent="0.3">
      <c r="A429">
        <v>428</v>
      </c>
      <c r="B429">
        <v>9.1</v>
      </c>
      <c r="C429">
        <v>27.251801</v>
      </c>
      <c r="D429">
        <v>-16.767499999999998</v>
      </c>
      <c r="E429" t="s">
        <v>716</v>
      </c>
      <c r="F429" t="s">
        <v>718</v>
      </c>
      <c r="G429" t="s">
        <v>37</v>
      </c>
      <c r="H429">
        <v>0</v>
      </c>
      <c r="I429">
        <v>19.017792489619001</v>
      </c>
      <c r="J429">
        <v>14.699999809265099</v>
      </c>
      <c r="K429">
        <v>55</v>
      </c>
      <c r="L429">
        <v>32.231104924611998</v>
      </c>
      <c r="M429">
        <v>30.817791726679499</v>
      </c>
      <c r="N429">
        <v>4.3177925955129801</v>
      </c>
      <c r="O429">
        <v>26.5</v>
      </c>
      <c r="P429">
        <v>21.517792489619001</v>
      </c>
      <c r="Q429">
        <v>14.300000190734901</v>
      </c>
      <c r="R429">
        <v>22.217792913194899</v>
      </c>
      <c r="S429">
        <v>14.300000190734901</v>
      </c>
      <c r="T429">
        <v>835.82207578253701</v>
      </c>
      <c r="U429">
        <v>210</v>
      </c>
      <c r="V429">
        <v>0</v>
      </c>
      <c r="W429">
        <v>115</v>
      </c>
      <c r="X429">
        <v>594.17792421746299</v>
      </c>
      <c r="Y429">
        <v>1</v>
      </c>
      <c r="Z429">
        <v>317.82207578253701</v>
      </c>
      <c r="AA429">
        <v>1</v>
      </c>
      <c r="AB429">
        <v>17.404330057210199</v>
      </c>
      <c r="AC429">
        <v>8.4611682936280002E-3</v>
      </c>
      <c r="AD429">
        <v>1.4652333870358301</v>
      </c>
      <c r="AE429">
        <v>0.68962798509409196</v>
      </c>
      <c r="AF429">
        <v>1293.2388797364099</v>
      </c>
      <c r="AG429">
        <f>IFERROR(AH429*0.1, "N/A")</f>
        <v>6.0714991762767703</v>
      </c>
      <c r="AH429">
        <v>60.714991762767703</v>
      </c>
      <c r="AI429">
        <v>192.59027589801099</v>
      </c>
      <c r="AJ429">
        <v>17.093904448105398</v>
      </c>
      <c r="AK429">
        <v>73.252059308072504</v>
      </c>
    </row>
    <row r="430" spans="1:37" x14ac:dyDescent="0.3">
      <c r="A430">
        <v>429</v>
      </c>
      <c r="B430">
        <v>0</v>
      </c>
      <c r="C430">
        <v>23.795000000000002</v>
      </c>
      <c r="D430">
        <v>-16.765301000000001</v>
      </c>
      <c r="E430" t="s">
        <v>719</v>
      </c>
      <c r="F430" t="s">
        <v>720</v>
      </c>
      <c r="G430" t="s">
        <v>39</v>
      </c>
      <c r="H430">
        <v>2007</v>
      </c>
      <c r="I430">
        <v>21.899999618530298</v>
      </c>
      <c r="J430">
        <v>15.800000190734901</v>
      </c>
      <c r="K430">
        <v>56</v>
      </c>
      <c r="L430">
        <v>32.759998321533203</v>
      </c>
      <c r="M430">
        <v>34.200000762939503</v>
      </c>
      <c r="N430">
        <v>6.0999999046325701</v>
      </c>
      <c r="O430">
        <v>28.100000381469702</v>
      </c>
      <c r="P430">
        <v>24.100000381469702</v>
      </c>
      <c r="Q430">
        <v>17</v>
      </c>
      <c r="R430">
        <v>24.899999618530298</v>
      </c>
      <c r="S430">
        <v>17</v>
      </c>
      <c r="T430">
        <v>733</v>
      </c>
      <c r="U430">
        <v>176</v>
      </c>
      <c r="V430">
        <v>0</v>
      </c>
      <c r="W430">
        <v>111</v>
      </c>
      <c r="X430">
        <v>503</v>
      </c>
      <c r="Y430">
        <v>1</v>
      </c>
      <c r="Z430">
        <v>264</v>
      </c>
      <c r="AA430">
        <v>1</v>
      </c>
      <c r="AB430">
        <v>2.1477666193770699</v>
      </c>
      <c r="AC430">
        <v>9.3055269880155E-2</v>
      </c>
      <c r="AD430">
        <v>1.32304714113523</v>
      </c>
      <c r="AE430">
        <v>0.12870390713214899</v>
      </c>
      <c r="AF430">
        <v>1017.54726368159</v>
      </c>
      <c r="AG430">
        <f>IFERROR(AH430*0.1, "N/A")</f>
        <v>5.8376451077943603</v>
      </c>
      <c r="AH430">
        <v>58.376451077943599</v>
      </c>
      <c r="AI430">
        <v>192.30183810460201</v>
      </c>
      <c r="AJ430">
        <v>6.9883913764510801</v>
      </c>
      <c r="AK430">
        <v>88.953565505804306</v>
      </c>
    </row>
    <row r="431" spans="1:37" x14ac:dyDescent="0.3">
      <c r="A431">
        <v>430</v>
      </c>
      <c r="B431">
        <v>4</v>
      </c>
      <c r="C431">
        <v>23.795000000000002</v>
      </c>
      <c r="D431">
        <v>-16.765301000000001</v>
      </c>
      <c r="E431" t="s">
        <v>719</v>
      </c>
      <c r="F431" t="s">
        <v>721</v>
      </c>
      <c r="G431" t="s">
        <v>37</v>
      </c>
      <c r="H431">
        <v>2007</v>
      </c>
      <c r="I431">
        <v>21.899999618530298</v>
      </c>
      <c r="J431">
        <v>15.800000190734901</v>
      </c>
      <c r="K431">
        <v>56</v>
      </c>
      <c r="L431">
        <v>32.759998321533203</v>
      </c>
      <c r="M431">
        <v>34.200000762939503</v>
      </c>
      <c r="N431">
        <v>6.0999999046325701</v>
      </c>
      <c r="O431">
        <v>28.100000381469702</v>
      </c>
      <c r="P431">
        <v>24.100000381469702</v>
      </c>
      <c r="Q431">
        <v>17</v>
      </c>
      <c r="R431">
        <v>24.899999618530298</v>
      </c>
      <c r="S431">
        <v>17</v>
      </c>
      <c r="T431">
        <v>733</v>
      </c>
      <c r="U431">
        <v>176</v>
      </c>
      <c r="V431">
        <v>0</v>
      </c>
      <c r="W431">
        <v>111</v>
      </c>
      <c r="X431">
        <v>503</v>
      </c>
      <c r="Y431">
        <v>1</v>
      </c>
      <c r="Z431">
        <v>264</v>
      </c>
      <c r="AA431">
        <v>1</v>
      </c>
      <c r="AB431">
        <v>2.1477666193770699</v>
      </c>
      <c r="AC431">
        <v>9.3055269880155E-2</v>
      </c>
      <c r="AD431">
        <v>1.32304714113523</v>
      </c>
      <c r="AE431">
        <v>0.12870390713214899</v>
      </c>
      <c r="AF431">
        <v>1017.54726368159</v>
      </c>
      <c r="AG431">
        <f>IFERROR(AH431*0.1, "N/A")</f>
        <v>5.8376451077943603</v>
      </c>
      <c r="AH431">
        <v>58.376451077943599</v>
      </c>
      <c r="AI431">
        <v>192.30183810460201</v>
      </c>
      <c r="AJ431">
        <v>6.9883913764510801</v>
      </c>
      <c r="AK431">
        <v>88.953565505804306</v>
      </c>
    </row>
    <row r="432" spans="1:37" x14ac:dyDescent="0.3">
      <c r="A432">
        <v>431</v>
      </c>
      <c r="B432">
        <v>37</v>
      </c>
      <c r="C432">
        <v>25</v>
      </c>
      <c r="D432">
        <v>-16.733298999999999</v>
      </c>
      <c r="E432" t="s">
        <v>722</v>
      </c>
      <c r="F432" t="s">
        <v>723</v>
      </c>
      <c r="G432" t="s">
        <v>39</v>
      </c>
      <c r="H432">
        <v>1991</v>
      </c>
      <c r="I432">
        <v>21.5</v>
      </c>
      <c r="J432">
        <v>15.7473509832723</v>
      </c>
      <c r="K432">
        <v>54.4735099337748</v>
      </c>
      <c r="L432">
        <v>33.376357324865502</v>
      </c>
      <c r="M432">
        <v>34.299999237060497</v>
      </c>
      <c r="N432">
        <v>5.6884104163441398</v>
      </c>
      <c r="O432">
        <v>28.611589829653301</v>
      </c>
      <c r="P432">
        <v>23.742384222169601</v>
      </c>
      <c r="Q432">
        <v>16.530794819459199</v>
      </c>
      <c r="R432">
        <v>24.799999237060501</v>
      </c>
      <c r="S432">
        <v>16.530794819459199</v>
      </c>
      <c r="T432">
        <v>779.60264900662298</v>
      </c>
      <c r="U432">
        <v>198</v>
      </c>
      <c r="V432">
        <v>0</v>
      </c>
      <c r="W432">
        <v>112.307947019868</v>
      </c>
      <c r="X432">
        <v>539.91059602649</v>
      </c>
      <c r="Y432">
        <v>1</v>
      </c>
      <c r="Z432">
        <v>294.69205298013202</v>
      </c>
      <c r="AA432">
        <v>1</v>
      </c>
      <c r="AB432">
        <v>10.3821467721699</v>
      </c>
      <c r="AC432">
        <v>1.5015493779264E-2</v>
      </c>
      <c r="AD432">
        <v>1.1983551260651299</v>
      </c>
      <c r="AE432">
        <v>0.131133433998815</v>
      </c>
      <c r="AF432">
        <v>1048.22682119205</v>
      </c>
      <c r="AG432">
        <f>IFERROR(AH432*0.1, "N/A")</f>
        <v>6</v>
      </c>
      <c r="AH432">
        <v>60</v>
      </c>
      <c r="AI432">
        <v>147.88229255171001</v>
      </c>
      <c r="AJ432">
        <v>16.619205298013199</v>
      </c>
      <c r="AK432">
        <v>73.559602649006607</v>
      </c>
    </row>
    <row r="433" spans="1:37" x14ac:dyDescent="0.3">
      <c r="A433">
        <v>432</v>
      </c>
      <c r="B433">
        <v>20.6</v>
      </c>
      <c r="C433">
        <v>24.952998999999998</v>
      </c>
      <c r="D433">
        <v>-16.706600000000002</v>
      </c>
      <c r="E433" t="s">
        <v>724</v>
      </c>
      <c r="F433" t="s">
        <v>725</v>
      </c>
      <c r="G433" t="s">
        <v>39</v>
      </c>
      <c r="H433">
        <v>1991</v>
      </c>
      <c r="I433">
        <v>21.5</v>
      </c>
      <c r="J433">
        <v>15.800000190734901</v>
      </c>
      <c r="K433">
        <v>55</v>
      </c>
      <c r="L433">
        <v>33.4799995422363</v>
      </c>
      <c r="M433">
        <v>34.299999237060497</v>
      </c>
      <c r="N433">
        <v>5.6999998092651403</v>
      </c>
      <c r="O433">
        <v>28.600000381469702</v>
      </c>
      <c r="P433">
        <v>23.799999237060501</v>
      </c>
      <c r="Q433">
        <v>16.5</v>
      </c>
      <c r="R433">
        <v>24.799999237060501</v>
      </c>
      <c r="S433">
        <v>16.5</v>
      </c>
      <c r="T433">
        <v>779</v>
      </c>
      <c r="U433">
        <v>197</v>
      </c>
      <c r="V433">
        <v>0</v>
      </c>
      <c r="W433">
        <v>113</v>
      </c>
      <c r="X433">
        <v>539</v>
      </c>
      <c r="Y433">
        <v>1</v>
      </c>
      <c r="Z433">
        <v>294</v>
      </c>
      <c r="AA433">
        <v>1</v>
      </c>
      <c r="AB433">
        <v>1.5348808351627099</v>
      </c>
      <c r="AC433">
        <v>2.4218637908231599</v>
      </c>
      <c r="AD433">
        <v>2.3200870046930899</v>
      </c>
      <c r="AE433">
        <v>0.404708921909332</v>
      </c>
      <c r="AF433">
        <v>1051.1157024793399</v>
      </c>
      <c r="AG433">
        <f>IFERROR(AH433*0.1, "N/A")</f>
        <v>6.2454545454545407</v>
      </c>
      <c r="AH433">
        <v>62.454545454545404</v>
      </c>
      <c r="AI433">
        <v>117.724364862363</v>
      </c>
      <c r="AJ433">
        <v>12.818181818181801</v>
      </c>
      <c r="AK433">
        <v>78.181818181818201</v>
      </c>
    </row>
    <row r="434" spans="1:37" x14ac:dyDescent="0.3">
      <c r="A434">
        <v>433</v>
      </c>
      <c r="B434">
        <v>38</v>
      </c>
      <c r="C434">
        <v>24.952998999999998</v>
      </c>
      <c r="D434">
        <v>-16.706600000000002</v>
      </c>
      <c r="E434" t="s">
        <v>724</v>
      </c>
      <c r="F434" t="s">
        <v>726</v>
      </c>
      <c r="G434" t="s">
        <v>37</v>
      </c>
      <c r="H434">
        <v>1991</v>
      </c>
      <c r="I434">
        <v>21.5</v>
      </c>
      <c r="J434">
        <v>15.800000190734901</v>
      </c>
      <c r="K434">
        <v>55</v>
      </c>
      <c r="L434">
        <v>33.4799995422363</v>
      </c>
      <c r="M434">
        <v>34.299999237060497</v>
      </c>
      <c r="N434">
        <v>5.6999998092651403</v>
      </c>
      <c r="O434">
        <v>28.600000381469702</v>
      </c>
      <c r="P434">
        <v>23.799999237060501</v>
      </c>
      <c r="Q434">
        <v>16.5</v>
      </c>
      <c r="R434">
        <v>24.799999237060501</v>
      </c>
      <c r="S434">
        <v>16.5</v>
      </c>
      <c r="T434">
        <v>779</v>
      </c>
      <c r="U434">
        <v>197</v>
      </c>
      <c r="V434">
        <v>0</v>
      </c>
      <c r="W434">
        <v>113</v>
      </c>
      <c r="X434">
        <v>539</v>
      </c>
      <c r="Y434">
        <v>1</v>
      </c>
      <c r="Z434">
        <v>294</v>
      </c>
      <c r="AA434">
        <v>1</v>
      </c>
      <c r="AB434">
        <v>1.5348808351627099</v>
      </c>
      <c r="AC434">
        <v>2.4218637908231599</v>
      </c>
      <c r="AD434">
        <v>2.3200870046930899</v>
      </c>
      <c r="AE434">
        <v>0.404708921909332</v>
      </c>
      <c r="AF434">
        <v>1051.1157024793399</v>
      </c>
      <c r="AG434">
        <f>IFERROR(AH434*0.1, "N/A")</f>
        <v>6.2454545454545407</v>
      </c>
      <c r="AH434">
        <v>62.454545454545404</v>
      </c>
      <c r="AI434">
        <v>117.724364862363</v>
      </c>
      <c r="AJ434">
        <v>12.818181818181801</v>
      </c>
      <c r="AK434">
        <v>78.181818181818201</v>
      </c>
    </row>
    <row r="435" spans="1:37" x14ac:dyDescent="0.3">
      <c r="A435">
        <v>434</v>
      </c>
      <c r="B435">
        <v>57.700001</v>
      </c>
      <c r="C435">
        <v>28.7654</v>
      </c>
      <c r="D435">
        <v>-16.542299</v>
      </c>
      <c r="E435" t="s">
        <v>727</v>
      </c>
      <c r="F435" t="s">
        <v>728</v>
      </c>
      <c r="G435" t="s">
        <v>39</v>
      </c>
      <c r="H435">
        <v>2007</v>
      </c>
      <c r="I435">
        <v>25.299999237060501</v>
      </c>
      <c r="J435">
        <v>13.403482218880001</v>
      </c>
      <c r="K435">
        <v>53.034825870646799</v>
      </c>
      <c r="L435">
        <v>28.518556727698801</v>
      </c>
      <c r="M435">
        <v>37.2034832968641</v>
      </c>
      <c r="N435">
        <v>12.2104475771017</v>
      </c>
      <c r="O435">
        <v>24.993034799300599</v>
      </c>
      <c r="P435">
        <v>26.189552961890399</v>
      </c>
      <c r="Q435">
        <v>21.410447419579299</v>
      </c>
      <c r="R435">
        <v>28.700000762939499</v>
      </c>
      <c r="S435">
        <v>21.4069648192297</v>
      </c>
      <c r="T435">
        <v>722.86069651741298</v>
      </c>
      <c r="U435">
        <v>183.03482587064701</v>
      </c>
      <c r="V435">
        <v>0</v>
      </c>
      <c r="W435">
        <v>116.069651741294</v>
      </c>
      <c r="X435">
        <v>518.03482587064696</v>
      </c>
      <c r="Y435">
        <v>1.0348258706467699</v>
      </c>
      <c r="Z435">
        <v>84</v>
      </c>
      <c r="AA435">
        <v>6</v>
      </c>
      <c r="AB435">
        <v>1.60331197204084</v>
      </c>
      <c r="AC435">
        <v>2.5758294258915002E-2</v>
      </c>
      <c r="AD435">
        <v>2.1701240045316599</v>
      </c>
      <c r="AE435" t="s">
        <v>729</v>
      </c>
      <c r="AF435">
        <v>483.43449419568799</v>
      </c>
      <c r="AG435">
        <f>IFERROR(AH435*0.1, "N/A")</f>
        <v>6.1000000000000005</v>
      </c>
      <c r="AH435">
        <v>61</v>
      </c>
      <c r="AI435">
        <v>87.203404440808697</v>
      </c>
      <c r="AJ435">
        <v>26.2371475953566</v>
      </c>
      <c r="AK435">
        <v>51.529021558872302</v>
      </c>
    </row>
    <row r="436" spans="1:37" x14ac:dyDescent="0.3">
      <c r="A436">
        <v>435</v>
      </c>
      <c r="B436">
        <v>45</v>
      </c>
      <c r="C436">
        <v>28.7654</v>
      </c>
      <c r="D436">
        <v>-16.542299</v>
      </c>
      <c r="E436" t="s">
        <v>727</v>
      </c>
      <c r="F436" t="s">
        <v>730</v>
      </c>
      <c r="G436" t="s">
        <v>37</v>
      </c>
      <c r="H436">
        <v>2007</v>
      </c>
      <c r="I436">
        <v>25.299999237060501</v>
      </c>
      <c r="J436">
        <v>13.403482218880001</v>
      </c>
      <c r="K436">
        <v>53.034825870646799</v>
      </c>
      <c r="L436">
        <v>28.518556727698801</v>
      </c>
      <c r="M436">
        <v>37.2034832968641</v>
      </c>
      <c r="N436">
        <v>12.2104475771017</v>
      </c>
      <c r="O436">
        <v>24.993034799300599</v>
      </c>
      <c r="P436">
        <v>26.189552961890399</v>
      </c>
      <c r="Q436">
        <v>21.410447419579299</v>
      </c>
      <c r="R436">
        <v>28.700000762939499</v>
      </c>
      <c r="S436">
        <v>21.4069648192297</v>
      </c>
      <c r="T436">
        <v>722.86069651741298</v>
      </c>
      <c r="U436">
        <v>183.03482587064701</v>
      </c>
      <c r="V436">
        <v>0</v>
      </c>
      <c r="W436">
        <v>116.069651741294</v>
      </c>
      <c r="X436">
        <v>518.03482587064696</v>
      </c>
      <c r="Y436">
        <v>1.0348258706467699</v>
      </c>
      <c r="Z436">
        <v>84</v>
      </c>
      <c r="AA436">
        <v>6</v>
      </c>
      <c r="AB436">
        <v>1.60331197204084</v>
      </c>
      <c r="AC436">
        <v>2.5758294258915002E-2</v>
      </c>
      <c r="AD436">
        <v>2.1701240045316599</v>
      </c>
      <c r="AE436" t="s">
        <v>729</v>
      </c>
      <c r="AF436">
        <v>483.43449419568799</v>
      </c>
      <c r="AG436">
        <f>IFERROR(AH436*0.1, "N/A")</f>
        <v>6.1000000000000005</v>
      </c>
      <c r="AH436">
        <v>61</v>
      </c>
      <c r="AI436">
        <v>87.203404440808697</v>
      </c>
      <c r="AJ436">
        <v>26.2371475953566</v>
      </c>
      <c r="AK436">
        <v>51.529021558872302</v>
      </c>
    </row>
    <row r="437" spans="1:37" x14ac:dyDescent="0.3">
      <c r="A437">
        <v>436</v>
      </c>
      <c r="B437">
        <v>4.4000000000000004</v>
      </c>
      <c r="C437">
        <v>28.724701</v>
      </c>
      <c r="D437">
        <v>-16.537800000000001</v>
      </c>
      <c r="E437" t="s">
        <v>731</v>
      </c>
      <c r="F437" t="s">
        <v>732</v>
      </c>
      <c r="G437" t="s">
        <v>39</v>
      </c>
      <c r="H437">
        <v>1969</v>
      </c>
      <c r="I437">
        <v>25.499003318457099</v>
      </c>
      <c r="J437">
        <v>13.599003699926801</v>
      </c>
      <c r="K437">
        <v>53.9900332225914</v>
      </c>
      <c r="L437">
        <v>27.6480724930367</v>
      </c>
      <c r="M437">
        <v>37.400001525878899</v>
      </c>
      <c r="N437">
        <v>12.3990029464924</v>
      </c>
      <c r="O437">
        <v>25.000996681542901</v>
      </c>
      <c r="P437">
        <v>26.200000762939499</v>
      </c>
      <c r="Q437">
        <v>21.698007399853701</v>
      </c>
      <c r="R437">
        <v>28.799999237060501</v>
      </c>
      <c r="S437">
        <v>21.698007399853701</v>
      </c>
      <c r="T437">
        <v>713.00996677740898</v>
      </c>
      <c r="U437">
        <v>182</v>
      </c>
      <c r="V437">
        <v>0</v>
      </c>
      <c r="W437">
        <v>117</v>
      </c>
      <c r="X437">
        <v>516</v>
      </c>
      <c r="Y437">
        <v>1</v>
      </c>
      <c r="Z437">
        <v>83</v>
      </c>
      <c r="AA437">
        <v>5</v>
      </c>
      <c r="AB437">
        <v>4.5098154061656501</v>
      </c>
      <c r="AC437">
        <v>9.4542166394530006E-3</v>
      </c>
      <c r="AD437">
        <v>2.5288863674152702</v>
      </c>
      <c r="AE437">
        <v>0.40207007527351402</v>
      </c>
      <c r="AF437">
        <v>487.33720930232602</v>
      </c>
      <c r="AG437" t="str">
        <f>IFERROR(AH437*0.1, "N/A")</f>
        <v>N/A</v>
      </c>
      <c r="AH437" t="s">
        <v>729</v>
      </c>
      <c r="AI437">
        <v>216.42203346835399</v>
      </c>
      <c r="AJ437" t="s">
        <v>729</v>
      </c>
      <c r="AK437" t="s">
        <v>729</v>
      </c>
    </row>
    <row r="438" spans="1:37" x14ac:dyDescent="0.3">
      <c r="A438">
        <v>437</v>
      </c>
      <c r="B438">
        <v>0</v>
      </c>
      <c r="C438">
        <v>28.724701</v>
      </c>
      <c r="D438">
        <v>-16.537800000000001</v>
      </c>
      <c r="E438" t="s">
        <v>731</v>
      </c>
      <c r="F438" t="s">
        <v>733</v>
      </c>
      <c r="G438" t="s">
        <v>37</v>
      </c>
      <c r="H438">
        <v>1969</v>
      </c>
      <c r="I438">
        <v>25.499003318457099</v>
      </c>
      <c r="J438">
        <v>13.599003699926801</v>
      </c>
      <c r="K438">
        <v>53.9900332225914</v>
      </c>
      <c r="L438">
        <v>27.6480724930367</v>
      </c>
      <c r="M438">
        <v>37.400001525878899</v>
      </c>
      <c r="N438">
        <v>12.3990029464924</v>
      </c>
      <c r="O438">
        <v>25.000996681542901</v>
      </c>
      <c r="P438">
        <v>26.200000762939499</v>
      </c>
      <c r="Q438">
        <v>21.698007399853701</v>
      </c>
      <c r="R438">
        <v>28.799999237060501</v>
      </c>
      <c r="S438">
        <v>21.698007399853701</v>
      </c>
      <c r="T438">
        <v>713.00996677740898</v>
      </c>
      <c r="U438">
        <v>182</v>
      </c>
      <c r="V438">
        <v>0</v>
      </c>
      <c r="W438">
        <v>117</v>
      </c>
      <c r="X438">
        <v>516</v>
      </c>
      <c r="Y438">
        <v>1</v>
      </c>
      <c r="Z438">
        <v>83</v>
      </c>
      <c r="AA438">
        <v>5</v>
      </c>
      <c r="AB438">
        <v>4.5098154061656501</v>
      </c>
      <c r="AC438">
        <v>9.4542166394530006E-3</v>
      </c>
      <c r="AD438">
        <v>2.5288863674152702</v>
      </c>
      <c r="AE438">
        <v>0.40207007527351402</v>
      </c>
      <c r="AF438">
        <v>487.33720930232602</v>
      </c>
      <c r="AG438" t="str">
        <f>IFERROR(AH438*0.1, "N/A")</f>
        <v>N/A</v>
      </c>
      <c r="AH438" t="s">
        <v>729</v>
      </c>
      <c r="AI438">
        <v>216.42203346835399</v>
      </c>
      <c r="AJ438" t="s">
        <v>729</v>
      </c>
      <c r="AK438" t="s">
        <v>729</v>
      </c>
    </row>
    <row r="439" spans="1:37" x14ac:dyDescent="0.3">
      <c r="A439">
        <v>438</v>
      </c>
      <c r="B439">
        <v>21.6</v>
      </c>
      <c r="C439">
        <v>28.713899999999999</v>
      </c>
      <c r="D439">
        <v>-16.535601</v>
      </c>
      <c r="E439" t="s">
        <v>734</v>
      </c>
      <c r="F439" t="s">
        <v>735</v>
      </c>
      <c r="G439" t="s">
        <v>39</v>
      </c>
      <c r="H439">
        <v>2003</v>
      </c>
      <c r="I439">
        <v>25.5</v>
      </c>
      <c r="J439">
        <v>13.6000003814697</v>
      </c>
      <c r="K439">
        <v>54</v>
      </c>
      <c r="L439">
        <v>27.579999923706101</v>
      </c>
      <c r="M439">
        <v>37.400001525878899</v>
      </c>
      <c r="N439">
        <v>12.3999996185303</v>
      </c>
      <c r="O439">
        <v>25</v>
      </c>
      <c r="P439">
        <v>26.200000762939499</v>
      </c>
      <c r="Q439">
        <v>21.700000762939499</v>
      </c>
      <c r="R439">
        <v>28.799999237060501</v>
      </c>
      <c r="S439">
        <v>21.700000762939499</v>
      </c>
      <c r="T439">
        <v>712</v>
      </c>
      <c r="U439">
        <v>182</v>
      </c>
      <c r="V439">
        <v>0</v>
      </c>
      <c r="W439">
        <v>117</v>
      </c>
      <c r="X439">
        <v>516</v>
      </c>
      <c r="Y439">
        <v>1</v>
      </c>
      <c r="Z439">
        <v>83</v>
      </c>
      <c r="AA439">
        <v>5</v>
      </c>
      <c r="AB439">
        <v>59.220611572265597</v>
      </c>
      <c r="AC439">
        <v>2.2617031873818999E-2</v>
      </c>
      <c r="AD439">
        <v>6.4266233365657497</v>
      </c>
      <c r="AE439">
        <v>0.40092495083808899</v>
      </c>
      <c r="AF439">
        <v>547.36738056013201</v>
      </c>
      <c r="AG439">
        <f>IFERROR(AH439*0.1, "N/A")</f>
        <v>5.8172981878088903</v>
      </c>
      <c r="AH439">
        <v>58.172981878088898</v>
      </c>
      <c r="AI439">
        <v>193.032965671093</v>
      </c>
      <c r="AJ439">
        <v>24.845140032948901</v>
      </c>
      <c r="AK439">
        <v>60.981878088962098</v>
      </c>
    </row>
    <row r="440" spans="1:37" x14ac:dyDescent="0.3">
      <c r="A440">
        <v>439</v>
      </c>
      <c r="B440">
        <v>23.5</v>
      </c>
      <c r="C440">
        <v>28.713899999999999</v>
      </c>
      <c r="D440">
        <v>-16.535601</v>
      </c>
      <c r="E440" t="s">
        <v>734</v>
      </c>
      <c r="F440" t="s">
        <v>736</v>
      </c>
      <c r="G440" t="s">
        <v>37</v>
      </c>
      <c r="H440">
        <v>2003</v>
      </c>
      <c r="I440">
        <v>25.5</v>
      </c>
      <c r="J440">
        <v>13.6000003814697</v>
      </c>
      <c r="K440">
        <v>54</v>
      </c>
      <c r="L440">
        <v>27.579999923706101</v>
      </c>
      <c r="M440">
        <v>37.400001525878899</v>
      </c>
      <c r="N440">
        <v>12.3999996185303</v>
      </c>
      <c r="O440">
        <v>25</v>
      </c>
      <c r="P440">
        <v>26.200000762939499</v>
      </c>
      <c r="Q440">
        <v>21.700000762939499</v>
      </c>
      <c r="R440">
        <v>28.799999237060501</v>
      </c>
      <c r="S440">
        <v>21.700000762939499</v>
      </c>
      <c r="T440">
        <v>712</v>
      </c>
      <c r="U440">
        <v>182</v>
      </c>
      <c r="V440">
        <v>0</v>
      </c>
      <c r="W440">
        <v>117</v>
      </c>
      <c r="X440">
        <v>516</v>
      </c>
      <c r="Y440">
        <v>1</v>
      </c>
      <c r="Z440">
        <v>83</v>
      </c>
      <c r="AA440">
        <v>5</v>
      </c>
      <c r="AB440">
        <v>59.220611572265597</v>
      </c>
      <c r="AC440">
        <v>2.2617031873818999E-2</v>
      </c>
      <c r="AD440">
        <v>6.4266233365657497</v>
      </c>
      <c r="AE440">
        <v>0.40092495083808899</v>
      </c>
      <c r="AF440">
        <v>547.36738056013201</v>
      </c>
      <c r="AG440">
        <f>IFERROR(AH440*0.1, "N/A")</f>
        <v>5.8172981878088903</v>
      </c>
      <c r="AH440">
        <v>58.172981878088898</v>
      </c>
      <c r="AI440">
        <v>193.032965671093</v>
      </c>
      <c r="AJ440">
        <v>24.845140032948901</v>
      </c>
      <c r="AK440">
        <v>60.981878088962098</v>
      </c>
    </row>
    <row r="441" spans="1:37" x14ac:dyDescent="0.3">
      <c r="A441">
        <v>440</v>
      </c>
      <c r="B441">
        <v>12.5</v>
      </c>
      <c r="C441">
        <v>28.707999999999998</v>
      </c>
      <c r="D441">
        <v>-16.535499999999999</v>
      </c>
      <c r="E441" t="s">
        <v>737</v>
      </c>
      <c r="F441" t="s">
        <v>738</v>
      </c>
      <c r="G441" t="s">
        <v>39</v>
      </c>
      <c r="H441">
        <v>1969</v>
      </c>
      <c r="I441">
        <v>25.5</v>
      </c>
      <c r="J441">
        <v>13.6000003814697</v>
      </c>
      <c r="K441">
        <v>54</v>
      </c>
      <c r="L441">
        <v>27.340711079747201</v>
      </c>
      <c r="M441">
        <v>37.477190430696297</v>
      </c>
      <c r="N441">
        <v>12.477189995631701</v>
      </c>
      <c r="O441">
        <v>25</v>
      </c>
      <c r="P441">
        <v>26.200000762939499</v>
      </c>
      <c r="Q441">
        <v>21.7771896677569</v>
      </c>
      <c r="R441">
        <v>28.799999237060501</v>
      </c>
      <c r="S441">
        <v>21.7771896677569</v>
      </c>
      <c r="T441">
        <v>710.45619834710806</v>
      </c>
      <c r="U441">
        <v>182</v>
      </c>
      <c r="V441">
        <v>0</v>
      </c>
      <c r="W441">
        <v>117</v>
      </c>
      <c r="X441">
        <v>516</v>
      </c>
      <c r="Y441">
        <v>1</v>
      </c>
      <c r="Z441">
        <v>83</v>
      </c>
      <c r="AA441">
        <v>5</v>
      </c>
      <c r="AB441">
        <v>15.282965995851599</v>
      </c>
      <c r="AC441">
        <v>0.112606074251542</v>
      </c>
      <c r="AD441">
        <v>10.5061530724045</v>
      </c>
      <c r="AE441">
        <v>0.417463898658752</v>
      </c>
      <c r="AF441">
        <v>509.557024793388</v>
      </c>
      <c r="AG441">
        <f>IFERROR(AH441*0.1, "N/A")</f>
        <v>5.58132231404959</v>
      </c>
      <c r="AH441">
        <v>55.8132231404959</v>
      </c>
      <c r="AI441">
        <v>150.58593123254701</v>
      </c>
      <c r="AJ441">
        <v>24.565289256198401</v>
      </c>
      <c r="AK441">
        <v>61.391735537190101</v>
      </c>
    </row>
    <row r="442" spans="1:37" x14ac:dyDescent="0.3">
      <c r="A442">
        <v>441</v>
      </c>
      <c r="B442">
        <v>0</v>
      </c>
      <c r="C442">
        <v>28.707999999999998</v>
      </c>
      <c r="D442">
        <v>-16.535499999999999</v>
      </c>
      <c r="E442" t="s">
        <v>737</v>
      </c>
      <c r="F442" t="s">
        <v>739</v>
      </c>
      <c r="G442" t="s">
        <v>37</v>
      </c>
      <c r="H442">
        <v>1969</v>
      </c>
      <c r="I442">
        <v>25.5</v>
      </c>
      <c r="J442">
        <v>13.6000003814697</v>
      </c>
      <c r="K442">
        <v>54</v>
      </c>
      <c r="L442">
        <v>27.340711079747201</v>
      </c>
      <c r="M442">
        <v>37.477190430696297</v>
      </c>
      <c r="N442">
        <v>12.477189995631701</v>
      </c>
      <c r="O442">
        <v>25</v>
      </c>
      <c r="P442">
        <v>26.200000762939499</v>
      </c>
      <c r="Q442">
        <v>21.7771896677569</v>
      </c>
      <c r="R442">
        <v>28.799999237060501</v>
      </c>
      <c r="S442">
        <v>21.7771896677569</v>
      </c>
      <c r="T442">
        <v>710.45619834710806</v>
      </c>
      <c r="U442">
        <v>182</v>
      </c>
      <c r="V442">
        <v>0</v>
      </c>
      <c r="W442">
        <v>117</v>
      </c>
      <c r="X442">
        <v>516</v>
      </c>
      <c r="Y442">
        <v>1</v>
      </c>
      <c r="Z442">
        <v>83</v>
      </c>
      <c r="AA442">
        <v>5</v>
      </c>
      <c r="AB442">
        <v>15.282965995851599</v>
      </c>
      <c r="AC442">
        <v>0.112606074251542</v>
      </c>
      <c r="AD442">
        <v>10.5061530724045</v>
      </c>
      <c r="AE442">
        <v>0.417463898658752</v>
      </c>
      <c r="AF442">
        <v>509.557024793388</v>
      </c>
      <c r="AG442">
        <f>IFERROR(AH442*0.1, "N/A")</f>
        <v>5.58132231404959</v>
      </c>
      <c r="AH442">
        <v>55.8132231404959</v>
      </c>
      <c r="AI442">
        <v>150.58593123254701</v>
      </c>
      <c r="AJ442">
        <v>24.565289256198401</v>
      </c>
      <c r="AK442">
        <v>61.391735537190101</v>
      </c>
    </row>
    <row r="443" spans="1:37" x14ac:dyDescent="0.3">
      <c r="A443">
        <v>442</v>
      </c>
      <c r="B443">
        <v>35.5</v>
      </c>
      <c r="C443">
        <v>28.7134</v>
      </c>
      <c r="D443">
        <v>-16.535298999999998</v>
      </c>
      <c r="E443" t="s">
        <v>740</v>
      </c>
      <c r="F443" t="s">
        <v>741</v>
      </c>
      <c r="G443" t="s">
        <v>39</v>
      </c>
      <c r="H443">
        <v>1998</v>
      </c>
      <c r="I443">
        <v>25.5</v>
      </c>
      <c r="J443">
        <v>13.6000003814697</v>
      </c>
      <c r="K443">
        <v>54</v>
      </c>
      <c r="L443">
        <v>27.579999923706101</v>
      </c>
      <c r="M443">
        <v>37.400001525878899</v>
      </c>
      <c r="N443">
        <v>12.3999996185303</v>
      </c>
      <c r="O443">
        <v>25</v>
      </c>
      <c r="P443">
        <v>26.200000762939499</v>
      </c>
      <c r="Q443">
        <v>21.700000762939499</v>
      </c>
      <c r="R443">
        <v>28.799999237060501</v>
      </c>
      <c r="S443">
        <v>21.700000762939499</v>
      </c>
      <c r="T443">
        <v>712</v>
      </c>
      <c r="U443">
        <v>182</v>
      </c>
      <c r="V443">
        <v>0</v>
      </c>
      <c r="W443">
        <v>117</v>
      </c>
      <c r="X443">
        <v>516</v>
      </c>
      <c r="Y443">
        <v>1</v>
      </c>
      <c r="Z443">
        <v>83</v>
      </c>
      <c r="AA443">
        <v>5</v>
      </c>
      <c r="AB443">
        <v>57.873235226465702</v>
      </c>
      <c r="AC443">
        <v>3.0445555135730999E-2</v>
      </c>
      <c r="AD443">
        <v>6.59724836113039</v>
      </c>
      <c r="AE443">
        <v>0.40092495083808899</v>
      </c>
      <c r="AF443">
        <v>548.94049586776896</v>
      </c>
      <c r="AG443">
        <f>IFERROR(AH443*0.1, "N/A")</f>
        <v>5.8087603305785107</v>
      </c>
      <c r="AH443">
        <v>58.087603305785102</v>
      </c>
      <c r="AI443">
        <v>192.59144178658499</v>
      </c>
      <c r="AJ443">
        <v>25</v>
      </c>
      <c r="AK443">
        <v>61.087603305785102</v>
      </c>
    </row>
    <row r="444" spans="1:37" x14ac:dyDescent="0.3">
      <c r="A444">
        <v>443</v>
      </c>
      <c r="B444">
        <v>60.099997999999999</v>
      </c>
      <c r="C444">
        <v>28.7134</v>
      </c>
      <c r="D444">
        <v>-16.535298999999998</v>
      </c>
      <c r="E444" t="s">
        <v>740</v>
      </c>
      <c r="F444" t="s">
        <v>742</v>
      </c>
      <c r="G444" t="s">
        <v>37</v>
      </c>
      <c r="H444">
        <v>1998</v>
      </c>
      <c r="I444">
        <v>25.5</v>
      </c>
      <c r="J444">
        <v>13.6000003814697</v>
      </c>
      <c r="K444">
        <v>54</v>
      </c>
      <c r="L444">
        <v>27.579999923706101</v>
      </c>
      <c r="M444">
        <v>37.400001525878899</v>
      </c>
      <c r="N444">
        <v>12.3999996185303</v>
      </c>
      <c r="O444">
        <v>25</v>
      </c>
      <c r="P444">
        <v>26.200000762939499</v>
      </c>
      <c r="Q444">
        <v>21.700000762939499</v>
      </c>
      <c r="R444">
        <v>28.799999237060501</v>
      </c>
      <c r="S444">
        <v>21.700000762939499</v>
      </c>
      <c r="T444">
        <v>712</v>
      </c>
      <c r="U444">
        <v>182</v>
      </c>
      <c r="V444">
        <v>0</v>
      </c>
      <c r="W444">
        <v>117</v>
      </c>
      <c r="X444">
        <v>516</v>
      </c>
      <c r="Y444">
        <v>1</v>
      </c>
      <c r="Z444">
        <v>83</v>
      </c>
      <c r="AA444">
        <v>5</v>
      </c>
      <c r="AB444">
        <v>57.873235226465702</v>
      </c>
      <c r="AC444">
        <v>3.0445555135730999E-2</v>
      </c>
      <c r="AD444">
        <v>6.59724836113039</v>
      </c>
      <c r="AE444">
        <v>0.40092495083808899</v>
      </c>
      <c r="AF444">
        <v>548.94049586776896</v>
      </c>
      <c r="AG444">
        <f>IFERROR(AH444*0.1, "N/A")</f>
        <v>5.8087603305785107</v>
      </c>
      <c r="AH444">
        <v>58.087603305785102</v>
      </c>
      <c r="AI444">
        <v>192.59144178658499</v>
      </c>
      <c r="AJ444">
        <v>25</v>
      </c>
      <c r="AK444">
        <v>61.087603305785102</v>
      </c>
    </row>
    <row r="445" spans="1:37" x14ac:dyDescent="0.3">
      <c r="A445">
        <v>444</v>
      </c>
      <c r="B445">
        <v>70.800003000000004</v>
      </c>
      <c r="C445">
        <v>28.713200000000001</v>
      </c>
      <c r="D445">
        <v>-16.535298999999998</v>
      </c>
      <c r="E445" t="s">
        <v>743</v>
      </c>
      <c r="F445" t="s">
        <v>744</v>
      </c>
      <c r="G445" t="s">
        <v>39</v>
      </c>
      <c r="H445">
        <v>1969</v>
      </c>
      <c r="I445">
        <v>25.5</v>
      </c>
      <c r="J445">
        <v>13.6000003814697</v>
      </c>
      <c r="K445">
        <v>54</v>
      </c>
      <c r="L445">
        <v>27.579999923706101</v>
      </c>
      <c r="M445">
        <v>37.400001525878899</v>
      </c>
      <c r="N445">
        <v>12.3999996185303</v>
      </c>
      <c r="O445">
        <v>25</v>
      </c>
      <c r="P445">
        <v>26.200000762939499</v>
      </c>
      <c r="Q445">
        <v>21.700000762939499</v>
      </c>
      <c r="R445">
        <v>28.799999237060501</v>
      </c>
      <c r="S445">
        <v>21.700000762939499</v>
      </c>
      <c r="T445">
        <v>712</v>
      </c>
      <c r="U445">
        <v>182</v>
      </c>
      <c r="V445">
        <v>0</v>
      </c>
      <c r="W445">
        <v>117</v>
      </c>
      <c r="X445">
        <v>516</v>
      </c>
      <c r="Y445">
        <v>1</v>
      </c>
      <c r="Z445">
        <v>83</v>
      </c>
      <c r="AA445">
        <v>5</v>
      </c>
      <c r="AB445">
        <v>56.646711343192401</v>
      </c>
      <c r="AC445">
        <v>3.0814842088916002E-2</v>
      </c>
      <c r="AD445">
        <v>5.8780838579627899</v>
      </c>
      <c r="AE445">
        <v>0.40092495083808899</v>
      </c>
      <c r="AF445">
        <v>548.57425742574299</v>
      </c>
      <c r="AG445">
        <f>IFERROR(AH445*0.1, "N/A")</f>
        <v>5.8207920792079202</v>
      </c>
      <c r="AH445">
        <v>58.2079207920792</v>
      </c>
      <c r="AI445">
        <v>184.93849838055399</v>
      </c>
      <c r="AJ445">
        <v>25</v>
      </c>
      <c r="AK445">
        <v>61.2079207920792</v>
      </c>
    </row>
    <row r="446" spans="1:37" x14ac:dyDescent="0.3">
      <c r="A446">
        <v>445</v>
      </c>
      <c r="B446">
        <v>16.700001</v>
      </c>
      <c r="C446">
        <v>28.713200000000001</v>
      </c>
      <c r="D446">
        <v>-16.535298999999998</v>
      </c>
      <c r="E446" t="s">
        <v>743</v>
      </c>
      <c r="F446" t="s">
        <v>745</v>
      </c>
      <c r="G446" t="s">
        <v>37</v>
      </c>
      <c r="H446">
        <v>1969</v>
      </c>
      <c r="I446">
        <v>25.5</v>
      </c>
      <c r="J446">
        <v>13.6000003814697</v>
      </c>
      <c r="K446">
        <v>54</v>
      </c>
      <c r="L446">
        <v>27.579999923706101</v>
      </c>
      <c r="M446">
        <v>37.400001525878899</v>
      </c>
      <c r="N446">
        <v>12.3999996185303</v>
      </c>
      <c r="O446">
        <v>25</v>
      </c>
      <c r="P446">
        <v>26.200000762939499</v>
      </c>
      <c r="Q446">
        <v>21.700000762939499</v>
      </c>
      <c r="R446">
        <v>28.799999237060501</v>
      </c>
      <c r="S446">
        <v>21.700000762939499</v>
      </c>
      <c r="T446">
        <v>712</v>
      </c>
      <c r="U446">
        <v>182</v>
      </c>
      <c r="V446">
        <v>0</v>
      </c>
      <c r="W446">
        <v>117</v>
      </c>
      <c r="X446">
        <v>516</v>
      </c>
      <c r="Y446">
        <v>1</v>
      </c>
      <c r="Z446">
        <v>83</v>
      </c>
      <c r="AA446">
        <v>5</v>
      </c>
      <c r="AB446">
        <v>56.646711343192401</v>
      </c>
      <c r="AC446">
        <v>3.0814842088916002E-2</v>
      </c>
      <c r="AD446">
        <v>5.8780838579627899</v>
      </c>
      <c r="AE446">
        <v>0.40092495083808899</v>
      </c>
      <c r="AF446">
        <v>548.57425742574299</v>
      </c>
      <c r="AG446">
        <f>IFERROR(AH446*0.1, "N/A")</f>
        <v>5.8207920792079202</v>
      </c>
      <c r="AH446">
        <v>58.2079207920792</v>
      </c>
      <c r="AI446">
        <v>184.93849838055399</v>
      </c>
      <c r="AJ446">
        <v>25</v>
      </c>
      <c r="AK446">
        <v>61.2079207920792</v>
      </c>
    </row>
    <row r="447" spans="1:37" x14ac:dyDescent="0.3">
      <c r="A447">
        <v>446</v>
      </c>
      <c r="B447">
        <v>21.200001</v>
      </c>
      <c r="C447">
        <v>28.729700000000001</v>
      </c>
      <c r="D447">
        <v>-16.533701000000001</v>
      </c>
      <c r="E447" t="s">
        <v>746</v>
      </c>
      <c r="F447" t="s">
        <v>747</v>
      </c>
      <c r="G447" t="s">
        <v>39</v>
      </c>
      <c r="H447">
        <v>1969</v>
      </c>
      <c r="I447">
        <v>25.399999618530298</v>
      </c>
      <c r="J447">
        <v>13.5</v>
      </c>
      <c r="K447">
        <v>53.345454545454601</v>
      </c>
      <c r="L447">
        <v>27.997454833984399</v>
      </c>
      <c r="M447">
        <v>37.400001525878899</v>
      </c>
      <c r="N447">
        <v>12.4036366202615</v>
      </c>
      <c r="O447">
        <v>24.996363622492002</v>
      </c>
      <c r="P447">
        <v>26.130909590287601</v>
      </c>
      <c r="Q447">
        <v>21.603636100075502</v>
      </c>
      <c r="R447">
        <v>28.799999237060501</v>
      </c>
      <c r="S447">
        <v>21.569091172651799</v>
      </c>
      <c r="T447">
        <v>712.96363636363697</v>
      </c>
      <c r="U447">
        <v>182</v>
      </c>
      <c r="V447">
        <v>0</v>
      </c>
      <c r="W447">
        <v>117</v>
      </c>
      <c r="X447">
        <v>516</v>
      </c>
      <c r="Y447">
        <v>1.3454545454545499</v>
      </c>
      <c r="Z447">
        <v>83.345454545454601</v>
      </c>
      <c r="AA447">
        <v>5</v>
      </c>
      <c r="AB447">
        <v>2.63239362732438</v>
      </c>
      <c r="AC447">
        <v>2.2734385359601301</v>
      </c>
      <c r="AD447">
        <v>2.8639519691467301</v>
      </c>
      <c r="AE447">
        <v>0.418062551799885</v>
      </c>
      <c r="AF447">
        <v>497.46611570247899</v>
      </c>
      <c r="AG447">
        <f>IFERROR(AH447*0.1, "N/A")</f>
        <v>5.6155371900826507</v>
      </c>
      <c r="AH447">
        <v>56.155371900826502</v>
      </c>
      <c r="AI447">
        <v>227.40513434291901</v>
      </c>
      <c r="AJ447">
        <v>18.981818181818198</v>
      </c>
      <c r="AK447">
        <v>68.056198347107497</v>
      </c>
    </row>
    <row r="448" spans="1:37" x14ac:dyDescent="0.3">
      <c r="A448">
        <v>447</v>
      </c>
      <c r="B448">
        <v>0.5</v>
      </c>
      <c r="C448">
        <v>28.729700000000001</v>
      </c>
      <c r="D448">
        <v>-16.533701000000001</v>
      </c>
      <c r="E448" t="s">
        <v>746</v>
      </c>
      <c r="F448" t="s">
        <v>748</v>
      </c>
      <c r="G448" t="s">
        <v>37</v>
      </c>
      <c r="H448">
        <v>1969</v>
      </c>
      <c r="I448">
        <v>25.399999618530298</v>
      </c>
      <c r="J448">
        <v>13.5</v>
      </c>
      <c r="K448">
        <v>53.345454545454601</v>
      </c>
      <c r="L448">
        <v>27.997454833984399</v>
      </c>
      <c r="M448">
        <v>37.400001525878899</v>
      </c>
      <c r="N448">
        <v>12.4036366202615</v>
      </c>
      <c r="O448">
        <v>24.996363622492002</v>
      </c>
      <c r="P448">
        <v>26.130909590287601</v>
      </c>
      <c r="Q448">
        <v>21.603636100075502</v>
      </c>
      <c r="R448">
        <v>28.799999237060501</v>
      </c>
      <c r="S448">
        <v>21.569091172651799</v>
      </c>
      <c r="T448">
        <v>712.96363636363697</v>
      </c>
      <c r="U448">
        <v>182</v>
      </c>
      <c r="V448">
        <v>0</v>
      </c>
      <c r="W448">
        <v>117</v>
      </c>
      <c r="X448">
        <v>516</v>
      </c>
      <c r="Y448">
        <v>1.3454545454545499</v>
      </c>
      <c r="Z448">
        <v>83.345454545454601</v>
      </c>
      <c r="AA448">
        <v>5</v>
      </c>
      <c r="AB448">
        <v>2.63239362732438</v>
      </c>
      <c r="AC448">
        <v>2.2734385359601301</v>
      </c>
      <c r="AD448">
        <v>2.8639519691467301</v>
      </c>
      <c r="AE448">
        <v>0.418062551799885</v>
      </c>
      <c r="AF448">
        <v>497.46611570247899</v>
      </c>
      <c r="AG448">
        <f>IFERROR(AH448*0.1, "N/A")</f>
        <v>5.6155371900826507</v>
      </c>
      <c r="AH448">
        <v>56.155371900826502</v>
      </c>
      <c r="AI448">
        <v>227.40513434291901</v>
      </c>
      <c r="AJ448">
        <v>18.981818181818198</v>
      </c>
      <c r="AK448">
        <v>68.056198347107497</v>
      </c>
    </row>
    <row r="449" spans="1:37" x14ac:dyDescent="0.3">
      <c r="A449">
        <v>448</v>
      </c>
      <c r="B449">
        <v>76.199996999999996</v>
      </c>
      <c r="C449">
        <v>28.711053</v>
      </c>
      <c r="D449">
        <v>-16.532339</v>
      </c>
      <c r="E449" t="s">
        <v>749</v>
      </c>
      <c r="F449" t="s">
        <v>750</v>
      </c>
      <c r="G449" t="s">
        <v>39</v>
      </c>
      <c r="H449">
        <v>2002</v>
      </c>
      <c r="I449">
        <v>25.399999618530298</v>
      </c>
      <c r="J449">
        <v>13.6000003814697</v>
      </c>
      <c r="K449">
        <v>55</v>
      </c>
      <c r="L449">
        <v>26.069999694824201</v>
      </c>
      <c r="M449">
        <v>37.5</v>
      </c>
      <c r="N449">
        <v>12.800000190734901</v>
      </c>
      <c r="O449">
        <v>24.700000762939499</v>
      </c>
      <c r="P449">
        <v>25.700000762939499</v>
      </c>
      <c r="Q449">
        <v>22</v>
      </c>
      <c r="R449">
        <v>28.799999237060501</v>
      </c>
      <c r="S449">
        <v>22</v>
      </c>
      <c r="T449">
        <v>706</v>
      </c>
      <c r="U449">
        <v>182</v>
      </c>
      <c r="V449">
        <v>0</v>
      </c>
      <c r="W449">
        <v>119</v>
      </c>
      <c r="X449">
        <v>518</v>
      </c>
      <c r="Y449">
        <v>2</v>
      </c>
      <c r="Z449">
        <v>83</v>
      </c>
      <c r="AA449">
        <v>5</v>
      </c>
      <c r="AB449">
        <v>42.698355783509797</v>
      </c>
      <c r="AC449">
        <v>5.4507221115275999E-2</v>
      </c>
      <c r="AD449">
        <v>18.480468040655499</v>
      </c>
      <c r="AE449">
        <v>0.42235129549483602</v>
      </c>
      <c r="AF449">
        <v>540.13223140495904</v>
      </c>
      <c r="AG449">
        <f>IFERROR(AH449*0.1, "N/A")</f>
        <v>5.5859504132231406</v>
      </c>
      <c r="AH449">
        <v>55.8595041322314</v>
      </c>
      <c r="AI449">
        <v>181.00221502130699</v>
      </c>
      <c r="AJ449">
        <v>22.003305785123999</v>
      </c>
      <c r="AK449">
        <v>65.206611570247901</v>
      </c>
    </row>
    <row r="450" spans="1:37" x14ac:dyDescent="0.3">
      <c r="A450">
        <v>449</v>
      </c>
      <c r="B450">
        <v>2.1</v>
      </c>
      <c r="C450">
        <v>23.494399999999999</v>
      </c>
      <c r="D450">
        <v>-16.532</v>
      </c>
      <c r="E450" t="s">
        <v>751</v>
      </c>
      <c r="F450" t="s">
        <v>752</v>
      </c>
      <c r="G450" t="s">
        <v>39</v>
      </c>
      <c r="H450">
        <v>2007</v>
      </c>
      <c r="I450">
        <v>22.399999618530298</v>
      </c>
      <c r="J450">
        <v>15.5</v>
      </c>
      <c r="K450">
        <v>57</v>
      </c>
      <c r="L450">
        <v>30.5100002288818</v>
      </c>
      <c r="M450">
        <v>34.200000762939503</v>
      </c>
      <c r="N450">
        <v>7.1999998092651403</v>
      </c>
      <c r="O450">
        <v>27</v>
      </c>
      <c r="P450">
        <v>24.399999618530298</v>
      </c>
      <c r="Q450">
        <v>17.899999618530298</v>
      </c>
      <c r="R450">
        <v>25.200000762939499</v>
      </c>
      <c r="S450">
        <v>17.799999237060501</v>
      </c>
      <c r="T450">
        <v>741</v>
      </c>
      <c r="U450">
        <v>176</v>
      </c>
      <c r="V450">
        <v>0</v>
      </c>
      <c r="W450">
        <v>112</v>
      </c>
      <c r="X450">
        <v>507</v>
      </c>
      <c r="Y450">
        <v>1</v>
      </c>
      <c r="Z450">
        <v>265</v>
      </c>
      <c r="AA450">
        <v>3</v>
      </c>
      <c r="AB450">
        <v>1.0379967555526901</v>
      </c>
      <c r="AC450">
        <v>0.123883952038778</v>
      </c>
      <c r="AD450">
        <v>1.2221648688158699</v>
      </c>
      <c r="AE450">
        <v>0.18325080871582</v>
      </c>
      <c r="AF450">
        <v>991.24132231404997</v>
      </c>
      <c r="AG450">
        <f>IFERROR(AH450*0.1, "N/A")</f>
        <v>6.1269421487603308</v>
      </c>
      <c r="AH450">
        <v>61.269421487603303</v>
      </c>
      <c r="AI450">
        <v>204.33588386724799</v>
      </c>
      <c r="AJ450">
        <v>19.305785123966899</v>
      </c>
      <c r="AK450">
        <v>68.6760330578512</v>
      </c>
    </row>
    <row r="451" spans="1:37" x14ac:dyDescent="0.3">
      <c r="A451">
        <v>450</v>
      </c>
      <c r="B451">
        <v>2.1</v>
      </c>
      <c r="C451">
        <v>23.494399999999999</v>
      </c>
      <c r="D451">
        <v>-16.532</v>
      </c>
      <c r="E451" t="s">
        <v>751</v>
      </c>
      <c r="F451" t="s">
        <v>753</v>
      </c>
      <c r="G451" t="s">
        <v>37</v>
      </c>
      <c r="H451">
        <v>2007</v>
      </c>
      <c r="I451">
        <v>22.399999618530298</v>
      </c>
      <c r="J451">
        <v>15.5</v>
      </c>
      <c r="K451">
        <v>57</v>
      </c>
      <c r="L451">
        <v>30.5100002288818</v>
      </c>
      <c r="M451">
        <v>34.200000762939503</v>
      </c>
      <c r="N451">
        <v>7.1999998092651403</v>
      </c>
      <c r="O451">
        <v>27</v>
      </c>
      <c r="P451">
        <v>24.399999618530298</v>
      </c>
      <c r="Q451">
        <v>17.899999618530298</v>
      </c>
      <c r="R451">
        <v>25.200000762939499</v>
      </c>
      <c r="S451">
        <v>17.799999237060501</v>
      </c>
      <c r="T451">
        <v>741</v>
      </c>
      <c r="U451">
        <v>176</v>
      </c>
      <c r="V451">
        <v>0</v>
      </c>
      <c r="W451">
        <v>112</v>
      </c>
      <c r="X451">
        <v>507</v>
      </c>
      <c r="Y451">
        <v>1</v>
      </c>
      <c r="Z451">
        <v>265</v>
      </c>
      <c r="AA451">
        <v>3</v>
      </c>
      <c r="AB451">
        <v>1.0379967555526901</v>
      </c>
      <c r="AC451">
        <v>0.123883952038778</v>
      </c>
      <c r="AD451">
        <v>1.2221648688158699</v>
      </c>
      <c r="AE451">
        <v>0.18325080871582</v>
      </c>
      <c r="AF451">
        <v>991.24132231404997</v>
      </c>
      <c r="AG451">
        <f>IFERROR(AH451*0.1, "N/A")</f>
        <v>6.1269421487603308</v>
      </c>
      <c r="AH451">
        <v>61.269421487603303</v>
      </c>
      <c r="AI451">
        <v>204.33588386724799</v>
      </c>
      <c r="AJ451">
        <v>19.305785123966899</v>
      </c>
      <c r="AK451">
        <v>68.6760330578512</v>
      </c>
    </row>
    <row r="452" spans="1:37" x14ac:dyDescent="0.3">
      <c r="A452">
        <v>451</v>
      </c>
      <c r="B452">
        <v>88</v>
      </c>
      <c r="C452">
        <v>28.703500999999999</v>
      </c>
      <c r="D452">
        <v>-16.521999000000001</v>
      </c>
      <c r="E452" t="s">
        <v>754</v>
      </c>
      <c r="F452" t="s">
        <v>755</v>
      </c>
      <c r="G452" t="s">
        <v>39</v>
      </c>
      <c r="H452">
        <v>1993</v>
      </c>
      <c r="I452">
        <v>25.5</v>
      </c>
      <c r="J452">
        <v>13.6000003814697</v>
      </c>
      <c r="K452">
        <v>54</v>
      </c>
      <c r="L452">
        <v>27.639999389648398</v>
      </c>
      <c r="M452">
        <v>37.5</v>
      </c>
      <c r="N452">
        <v>12.5</v>
      </c>
      <c r="O452">
        <v>25</v>
      </c>
      <c r="P452">
        <v>26.299999237060501</v>
      </c>
      <c r="Q452">
        <v>21.700000762939499</v>
      </c>
      <c r="R452">
        <v>28.799999237060501</v>
      </c>
      <c r="S452">
        <v>21.700000762939499</v>
      </c>
      <c r="T452">
        <v>708</v>
      </c>
      <c r="U452">
        <v>181</v>
      </c>
      <c r="V452">
        <v>0</v>
      </c>
      <c r="W452">
        <v>117</v>
      </c>
      <c r="X452">
        <v>513</v>
      </c>
      <c r="Y452">
        <v>1</v>
      </c>
      <c r="Z452">
        <v>83</v>
      </c>
      <c r="AA452">
        <v>5</v>
      </c>
      <c r="AB452">
        <v>10.4261546355999</v>
      </c>
      <c r="AC452">
        <v>3.7925091465712997E-2</v>
      </c>
      <c r="AD452">
        <v>3.8581078601199299</v>
      </c>
      <c r="AE452">
        <v>0.44652086091752102</v>
      </c>
      <c r="AF452">
        <v>493.94701986755001</v>
      </c>
      <c r="AG452">
        <f>IFERROR(AH452*0.1, "N/A")</f>
        <v>5.8685714285714301</v>
      </c>
      <c r="AH452">
        <v>58.685714285714297</v>
      </c>
      <c r="AI452">
        <v>217.058381641148</v>
      </c>
      <c r="AJ452">
        <v>20.771428571428601</v>
      </c>
      <c r="AK452">
        <v>67</v>
      </c>
    </row>
    <row r="453" spans="1:37" x14ac:dyDescent="0.3">
      <c r="A453">
        <v>452</v>
      </c>
      <c r="B453">
        <v>75</v>
      </c>
      <c r="C453">
        <v>28.703500999999999</v>
      </c>
      <c r="D453">
        <v>-16.521999000000001</v>
      </c>
      <c r="E453" t="s">
        <v>754</v>
      </c>
      <c r="F453" t="s">
        <v>756</v>
      </c>
      <c r="G453" t="s">
        <v>37</v>
      </c>
      <c r="H453">
        <v>1993</v>
      </c>
      <c r="I453">
        <v>25.5</v>
      </c>
      <c r="J453">
        <v>13.6000003814697</v>
      </c>
      <c r="K453">
        <v>54</v>
      </c>
      <c r="L453">
        <v>27.639999389648398</v>
      </c>
      <c r="M453">
        <v>37.5</v>
      </c>
      <c r="N453">
        <v>12.5</v>
      </c>
      <c r="O453">
        <v>25</v>
      </c>
      <c r="P453">
        <v>26.299999237060501</v>
      </c>
      <c r="Q453">
        <v>21.700000762939499</v>
      </c>
      <c r="R453">
        <v>28.799999237060501</v>
      </c>
      <c r="S453">
        <v>21.700000762939499</v>
      </c>
      <c r="T453">
        <v>708</v>
      </c>
      <c r="U453">
        <v>181</v>
      </c>
      <c r="V453">
        <v>0</v>
      </c>
      <c r="W453">
        <v>117</v>
      </c>
      <c r="X453">
        <v>513</v>
      </c>
      <c r="Y453">
        <v>1</v>
      </c>
      <c r="Z453">
        <v>83</v>
      </c>
      <c r="AA453">
        <v>5</v>
      </c>
      <c r="AB453">
        <v>10.4261546355999</v>
      </c>
      <c r="AC453">
        <v>3.7925091465712997E-2</v>
      </c>
      <c r="AD453">
        <v>3.8581078601199299</v>
      </c>
      <c r="AE453">
        <v>0.44652086091752102</v>
      </c>
      <c r="AF453">
        <v>493.94701986755001</v>
      </c>
      <c r="AG453">
        <f>IFERROR(AH453*0.1, "N/A")</f>
        <v>5.8685714285714301</v>
      </c>
      <c r="AH453">
        <v>58.685714285714297</v>
      </c>
      <c r="AI453">
        <v>217.058381641148</v>
      </c>
      <c r="AJ453">
        <v>20.771428571428601</v>
      </c>
      <c r="AK453">
        <v>67</v>
      </c>
    </row>
    <row r="454" spans="1:37" x14ac:dyDescent="0.3">
      <c r="A454">
        <v>453</v>
      </c>
      <c r="B454">
        <v>29.799999</v>
      </c>
      <c r="C454">
        <v>28.747</v>
      </c>
      <c r="D454">
        <v>-16.509501</v>
      </c>
      <c r="E454" t="s">
        <v>757</v>
      </c>
      <c r="F454" t="s">
        <v>758</v>
      </c>
      <c r="G454" t="s">
        <v>39</v>
      </c>
      <c r="H454">
        <v>2007</v>
      </c>
      <c r="I454">
        <v>25.200000762939499</v>
      </c>
      <c r="J454">
        <v>13.5</v>
      </c>
      <c r="K454">
        <v>55</v>
      </c>
      <c r="L454">
        <v>25.7299995422363</v>
      </c>
      <c r="M454">
        <v>37.400001525878899</v>
      </c>
      <c r="N454">
        <v>12.8999996185303</v>
      </c>
      <c r="O454">
        <v>24.5</v>
      </c>
      <c r="P454">
        <v>25.399999618530298</v>
      </c>
      <c r="Q454">
        <v>22</v>
      </c>
      <c r="R454">
        <v>28.700000762939499</v>
      </c>
      <c r="S454">
        <v>22</v>
      </c>
      <c r="T454">
        <v>706</v>
      </c>
      <c r="U454">
        <v>183</v>
      </c>
      <c r="V454">
        <v>0</v>
      </c>
      <c r="W454">
        <v>120</v>
      </c>
      <c r="X454">
        <v>519</v>
      </c>
      <c r="Y454">
        <v>2</v>
      </c>
      <c r="Z454">
        <v>83</v>
      </c>
      <c r="AA454">
        <v>6</v>
      </c>
      <c r="AB454">
        <v>37.477641933011697</v>
      </c>
      <c r="AC454">
        <v>8.202075827188E-3</v>
      </c>
      <c r="AD454">
        <v>2.5041453885716298</v>
      </c>
      <c r="AE454">
        <v>0.48967009782791099</v>
      </c>
      <c r="AF454">
        <v>620</v>
      </c>
      <c r="AG454">
        <f>IFERROR(AH454*0.1, "N/A")</f>
        <v>6.5211920529801306</v>
      </c>
      <c r="AH454">
        <v>65.211920529801304</v>
      </c>
      <c r="AI454">
        <v>102.56406447429499</v>
      </c>
      <c r="AJ454">
        <v>23.302980132450301</v>
      </c>
      <c r="AK454">
        <v>63.394039735099298</v>
      </c>
    </row>
    <row r="455" spans="1:37" x14ac:dyDescent="0.3">
      <c r="A455">
        <v>454</v>
      </c>
      <c r="B455">
        <v>34.900002000000001</v>
      </c>
      <c r="C455">
        <v>28.747</v>
      </c>
      <c r="D455">
        <v>-16.509501</v>
      </c>
      <c r="E455" t="s">
        <v>757</v>
      </c>
      <c r="F455" t="s">
        <v>759</v>
      </c>
      <c r="G455" t="s">
        <v>37</v>
      </c>
      <c r="H455">
        <v>2007</v>
      </c>
      <c r="I455">
        <v>25.200000762939499</v>
      </c>
      <c r="J455">
        <v>13.5</v>
      </c>
      <c r="K455">
        <v>55</v>
      </c>
      <c r="L455">
        <v>25.7299995422363</v>
      </c>
      <c r="M455">
        <v>37.400001525878899</v>
      </c>
      <c r="N455">
        <v>12.8999996185303</v>
      </c>
      <c r="O455">
        <v>24.5</v>
      </c>
      <c r="P455">
        <v>25.399999618530298</v>
      </c>
      <c r="Q455">
        <v>22</v>
      </c>
      <c r="R455">
        <v>28.700000762939499</v>
      </c>
      <c r="S455">
        <v>22</v>
      </c>
      <c r="T455">
        <v>706</v>
      </c>
      <c r="U455">
        <v>183</v>
      </c>
      <c r="V455">
        <v>0</v>
      </c>
      <c r="W455">
        <v>120</v>
      </c>
      <c r="X455">
        <v>519</v>
      </c>
      <c r="Y455">
        <v>2</v>
      </c>
      <c r="Z455">
        <v>83</v>
      </c>
      <c r="AA455">
        <v>6</v>
      </c>
      <c r="AB455">
        <v>37.477641933011697</v>
      </c>
      <c r="AC455">
        <v>8.202075827188E-3</v>
      </c>
      <c r="AD455">
        <v>2.5041453885716298</v>
      </c>
      <c r="AE455">
        <v>0.48967009782791099</v>
      </c>
      <c r="AF455">
        <v>620</v>
      </c>
      <c r="AG455">
        <f>IFERROR(AH455*0.1, "N/A")</f>
        <v>6.5211920529801306</v>
      </c>
      <c r="AH455">
        <v>65.211920529801304</v>
      </c>
      <c r="AI455">
        <v>102.56406447429499</v>
      </c>
      <c r="AJ455">
        <v>23.302980132450301</v>
      </c>
      <c r="AK455">
        <v>63.394039735099298</v>
      </c>
    </row>
    <row r="456" spans="1:37" x14ac:dyDescent="0.3">
      <c r="A456">
        <v>455</v>
      </c>
      <c r="B456">
        <v>64.5</v>
      </c>
      <c r="C456">
        <v>27.606898999999999</v>
      </c>
      <c r="D456">
        <v>-16.497499000000001</v>
      </c>
      <c r="E456" t="s">
        <v>760</v>
      </c>
      <c r="F456" t="s">
        <v>761</v>
      </c>
      <c r="G456" t="s">
        <v>39</v>
      </c>
      <c r="H456">
        <v>1977</v>
      </c>
      <c r="I456">
        <v>20</v>
      </c>
      <c r="J456">
        <v>14.300000190734901</v>
      </c>
      <c r="K456">
        <v>55</v>
      </c>
      <c r="L456">
        <v>30.2600002288818</v>
      </c>
      <c r="M456">
        <v>31.700000762939499</v>
      </c>
      <c r="N456">
        <v>6</v>
      </c>
      <c r="O456">
        <v>25.700000762939499</v>
      </c>
      <c r="P456">
        <v>22</v>
      </c>
      <c r="Q456">
        <v>15.6000003814697</v>
      </c>
      <c r="R456">
        <v>23.100000381469702</v>
      </c>
      <c r="S456">
        <v>15.6000003814697</v>
      </c>
      <c r="T456">
        <v>840</v>
      </c>
      <c r="U456">
        <v>219</v>
      </c>
      <c r="V456">
        <v>0</v>
      </c>
      <c r="W456">
        <v>118</v>
      </c>
      <c r="X456">
        <v>612</v>
      </c>
      <c r="Y456">
        <v>1</v>
      </c>
      <c r="Z456">
        <v>330</v>
      </c>
      <c r="AA456">
        <v>1</v>
      </c>
      <c r="AB456">
        <v>50.162997527771999</v>
      </c>
      <c r="AC456">
        <v>1.1527206117529E-2</v>
      </c>
      <c r="AD456">
        <v>1.4646220070579099</v>
      </c>
      <c r="AE456">
        <v>0.65926730632782005</v>
      </c>
      <c r="AF456">
        <v>1245.2624584717601</v>
      </c>
      <c r="AG456">
        <f>IFERROR(AH456*0.1, "N/A")</f>
        <v>5.7059800664451803</v>
      </c>
      <c r="AH456">
        <v>57.059800664451799</v>
      </c>
      <c r="AI456">
        <v>18.633542849771999</v>
      </c>
      <c r="AJ456">
        <v>16.014950166113</v>
      </c>
      <c r="AK456">
        <v>74.985049833887004</v>
      </c>
    </row>
    <row r="457" spans="1:37" x14ac:dyDescent="0.3">
      <c r="A457">
        <v>456</v>
      </c>
      <c r="B457">
        <v>12.8</v>
      </c>
      <c r="C457">
        <v>28.6782</v>
      </c>
      <c r="D457">
        <v>-16.488399999999999</v>
      </c>
      <c r="E457" t="s">
        <v>762</v>
      </c>
      <c r="F457" t="s">
        <v>763</v>
      </c>
      <c r="G457" t="s">
        <v>39</v>
      </c>
      <c r="H457">
        <v>2007</v>
      </c>
      <c r="I457">
        <v>25.399999618530298</v>
      </c>
      <c r="J457">
        <v>13.699999809265099</v>
      </c>
      <c r="K457">
        <v>54</v>
      </c>
      <c r="L457">
        <v>26.7399997711182</v>
      </c>
      <c r="M457">
        <v>37.599998474121101</v>
      </c>
      <c r="N457">
        <v>12.6000003814697</v>
      </c>
      <c r="O457">
        <v>25</v>
      </c>
      <c r="P457">
        <v>25.899999618530298</v>
      </c>
      <c r="Q457">
        <v>21.899999618530298</v>
      </c>
      <c r="R457">
        <v>28.899999618530298</v>
      </c>
      <c r="S457">
        <v>21.899999618530298</v>
      </c>
      <c r="T457">
        <v>702</v>
      </c>
      <c r="U457">
        <v>181</v>
      </c>
      <c r="V457">
        <v>0</v>
      </c>
      <c r="W457">
        <v>119</v>
      </c>
      <c r="X457">
        <v>514</v>
      </c>
      <c r="Y457">
        <v>2</v>
      </c>
      <c r="Z457">
        <v>82</v>
      </c>
      <c r="AA457">
        <v>5</v>
      </c>
      <c r="AB457">
        <v>22.015583955628799</v>
      </c>
      <c r="AC457">
        <v>1.1767125771895001E-2</v>
      </c>
      <c r="AD457">
        <v>11.179971413430501</v>
      </c>
      <c r="AE457">
        <v>0.30029201507568398</v>
      </c>
      <c r="AF457">
        <v>513.91873963515798</v>
      </c>
      <c r="AG457">
        <f>IFERROR(AH457*0.1, "N/A")</f>
        <v>6.2216624685138502</v>
      </c>
      <c r="AH457">
        <v>62.216624685138498</v>
      </c>
      <c r="AI457">
        <v>242.31352016265501</v>
      </c>
      <c r="AJ457">
        <v>24.458438287153701</v>
      </c>
      <c r="AK457">
        <v>57.541561712846303</v>
      </c>
    </row>
    <row r="458" spans="1:37" x14ac:dyDescent="0.3">
      <c r="A458">
        <v>457</v>
      </c>
      <c r="B458">
        <v>8.5</v>
      </c>
      <c r="C458">
        <v>28.6782</v>
      </c>
      <c r="D458">
        <v>-16.488399999999999</v>
      </c>
      <c r="E458" t="s">
        <v>762</v>
      </c>
      <c r="F458" t="s">
        <v>764</v>
      </c>
      <c r="G458" t="s">
        <v>37</v>
      </c>
      <c r="H458">
        <v>2007</v>
      </c>
      <c r="I458">
        <v>25.399999618530298</v>
      </c>
      <c r="J458">
        <v>13.699999809265099</v>
      </c>
      <c r="K458">
        <v>54</v>
      </c>
      <c r="L458">
        <v>26.7399997711182</v>
      </c>
      <c r="M458">
        <v>37.599998474121101</v>
      </c>
      <c r="N458">
        <v>12.6000003814697</v>
      </c>
      <c r="O458">
        <v>25</v>
      </c>
      <c r="P458">
        <v>25.899999618530298</v>
      </c>
      <c r="Q458">
        <v>21.899999618530298</v>
      </c>
      <c r="R458">
        <v>28.899999618530298</v>
      </c>
      <c r="S458">
        <v>21.899999618530298</v>
      </c>
      <c r="T458">
        <v>702</v>
      </c>
      <c r="U458">
        <v>181</v>
      </c>
      <c r="V458">
        <v>0</v>
      </c>
      <c r="W458">
        <v>119</v>
      </c>
      <c r="X458">
        <v>514</v>
      </c>
      <c r="Y458">
        <v>2</v>
      </c>
      <c r="Z458">
        <v>82</v>
      </c>
      <c r="AA458">
        <v>5</v>
      </c>
      <c r="AB458">
        <v>22.015583955628799</v>
      </c>
      <c r="AC458">
        <v>1.1767125771895001E-2</v>
      </c>
      <c r="AD458">
        <v>11.179971413430501</v>
      </c>
      <c r="AE458">
        <v>0.30029201507568398</v>
      </c>
      <c r="AF458">
        <v>513.91873963515798</v>
      </c>
      <c r="AG458">
        <f>IFERROR(AH458*0.1, "N/A")</f>
        <v>6.2216624685138502</v>
      </c>
      <c r="AH458">
        <v>62.216624685138498</v>
      </c>
      <c r="AI458">
        <v>242.31352016265501</v>
      </c>
      <c r="AJ458">
        <v>24.458438287153701</v>
      </c>
      <c r="AK458">
        <v>57.541561712846303</v>
      </c>
    </row>
    <row r="459" spans="1:37" x14ac:dyDescent="0.3">
      <c r="A459">
        <v>458</v>
      </c>
      <c r="B459">
        <v>33.799999</v>
      </c>
      <c r="C459">
        <v>28.534700000000001</v>
      </c>
      <c r="D459">
        <v>-16.483101000000001</v>
      </c>
      <c r="E459" t="s">
        <v>765</v>
      </c>
      <c r="F459" t="s">
        <v>766</v>
      </c>
      <c r="G459" t="s">
        <v>39</v>
      </c>
      <c r="H459">
        <v>0</v>
      </c>
      <c r="I459">
        <v>25.5</v>
      </c>
      <c r="J459">
        <v>13.8999996185303</v>
      </c>
      <c r="K459">
        <v>55</v>
      </c>
      <c r="L459">
        <v>26.998291834867601</v>
      </c>
      <c r="M459">
        <v>37.599998474121101</v>
      </c>
      <c r="N459">
        <v>12.3999996185303</v>
      </c>
      <c r="O459">
        <v>25.200000762939499</v>
      </c>
      <c r="P459">
        <v>26.1414599094423</v>
      </c>
      <c r="Q459">
        <v>21.799999237060501</v>
      </c>
      <c r="R459">
        <v>28.799999237060501</v>
      </c>
      <c r="S459">
        <v>21.799999237060501</v>
      </c>
      <c r="T459">
        <v>695.41459369817596</v>
      </c>
      <c r="U459">
        <v>179</v>
      </c>
      <c r="V459">
        <v>0</v>
      </c>
      <c r="W459">
        <v>119.170812603648</v>
      </c>
      <c r="X459">
        <v>511.41459369817602</v>
      </c>
      <c r="Y459">
        <v>1</v>
      </c>
      <c r="Z459">
        <v>81</v>
      </c>
      <c r="AA459">
        <v>5</v>
      </c>
      <c r="AB459">
        <v>2.3583719686884601</v>
      </c>
      <c r="AC459">
        <v>5.0280710864522002E-2</v>
      </c>
      <c r="AD459">
        <v>1.1706053882491301</v>
      </c>
      <c r="AE459">
        <v>0.44213634729385398</v>
      </c>
      <c r="AF459">
        <v>490.88888888888903</v>
      </c>
      <c r="AG459">
        <f>IFERROR(AH459*0.1, "N/A")</f>
        <v>6.3000000000000007</v>
      </c>
      <c r="AH459">
        <v>63</v>
      </c>
      <c r="AI459">
        <v>240.619410083069</v>
      </c>
      <c r="AJ459">
        <v>15.4361525704809</v>
      </c>
      <c r="AK459">
        <v>73.140961857379807</v>
      </c>
    </row>
    <row r="460" spans="1:37" x14ac:dyDescent="0.3">
      <c r="A460">
        <v>459</v>
      </c>
      <c r="B460">
        <v>8.8000000000000007</v>
      </c>
      <c r="C460">
        <v>28.534700000000001</v>
      </c>
      <c r="D460">
        <v>-16.483101000000001</v>
      </c>
      <c r="E460" t="s">
        <v>765</v>
      </c>
      <c r="F460" t="s">
        <v>767</v>
      </c>
      <c r="G460" t="s">
        <v>37</v>
      </c>
      <c r="H460">
        <v>0</v>
      </c>
      <c r="I460">
        <v>25.5</v>
      </c>
      <c r="J460">
        <v>13.8999996185303</v>
      </c>
      <c r="K460">
        <v>55</v>
      </c>
      <c r="L460">
        <v>26.998291834867601</v>
      </c>
      <c r="M460">
        <v>37.599998474121101</v>
      </c>
      <c r="N460">
        <v>12.3999996185303</v>
      </c>
      <c r="O460">
        <v>25.200000762939499</v>
      </c>
      <c r="P460">
        <v>26.1414599094423</v>
      </c>
      <c r="Q460">
        <v>21.799999237060501</v>
      </c>
      <c r="R460">
        <v>28.799999237060501</v>
      </c>
      <c r="S460">
        <v>21.799999237060501</v>
      </c>
      <c r="T460">
        <v>695.41459369817596</v>
      </c>
      <c r="U460">
        <v>179</v>
      </c>
      <c r="V460">
        <v>0</v>
      </c>
      <c r="W460">
        <v>119.170812603648</v>
      </c>
      <c r="X460">
        <v>511.41459369817602</v>
      </c>
      <c r="Y460">
        <v>1</v>
      </c>
      <c r="Z460">
        <v>81</v>
      </c>
      <c r="AA460">
        <v>5</v>
      </c>
      <c r="AB460">
        <v>2.3583719686884601</v>
      </c>
      <c r="AC460">
        <v>5.0280710864522002E-2</v>
      </c>
      <c r="AD460">
        <v>1.1706053882491301</v>
      </c>
      <c r="AE460">
        <v>0.44213634729385398</v>
      </c>
      <c r="AF460">
        <v>490.88888888888903</v>
      </c>
      <c r="AG460">
        <f>IFERROR(AH460*0.1, "N/A")</f>
        <v>6.3000000000000007</v>
      </c>
      <c r="AH460">
        <v>63</v>
      </c>
      <c r="AI460">
        <v>240.619410083069</v>
      </c>
      <c r="AJ460">
        <v>15.4361525704809</v>
      </c>
      <c r="AK460">
        <v>73.140961857379807</v>
      </c>
    </row>
    <row r="461" spans="1:37" x14ac:dyDescent="0.3">
      <c r="A461">
        <v>460</v>
      </c>
      <c r="B461">
        <v>1.9</v>
      </c>
      <c r="C461">
        <v>23.462199999999999</v>
      </c>
      <c r="D461">
        <v>-16.471700999999999</v>
      </c>
      <c r="E461" t="s">
        <v>768</v>
      </c>
      <c r="F461" t="s">
        <v>769</v>
      </c>
      <c r="G461" t="s">
        <v>39</v>
      </c>
      <c r="H461">
        <v>2007</v>
      </c>
      <c r="I461">
        <v>22.5</v>
      </c>
      <c r="J461">
        <v>15.3999996185303</v>
      </c>
      <c r="K461">
        <v>57</v>
      </c>
      <c r="L461">
        <v>29.709999084472699</v>
      </c>
      <c r="M461">
        <v>34.099998474121101</v>
      </c>
      <c r="N461">
        <v>7.4000000953674299</v>
      </c>
      <c r="O461">
        <v>26.700000762939499</v>
      </c>
      <c r="P461">
        <v>24.399999618530298</v>
      </c>
      <c r="Q461">
        <v>18</v>
      </c>
      <c r="R461">
        <v>25.200000762939499</v>
      </c>
      <c r="S461">
        <v>18</v>
      </c>
      <c r="T461">
        <v>748</v>
      </c>
      <c r="U461">
        <v>177</v>
      </c>
      <c r="V461">
        <v>0</v>
      </c>
      <c r="W461">
        <v>111</v>
      </c>
      <c r="X461">
        <v>511</v>
      </c>
      <c r="Y461">
        <v>1</v>
      </c>
      <c r="Z461">
        <v>269</v>
      </c>
      <c r="AA461">
        <v>3</v>
      </c>
      <c r="AB461">
        <v>6.2929063001215901</v>
      </c>
      <c r="AC461">
        <v>2.3932034365634999E-2</v>
      </c>
      <c r="AD461">
        <v>1.4038933077395399</v>
      </c>
      <c r="AE461">
        <v>0.412297993898392</v>
      </c>
      <c r="AF461">
        <v>998.00662251655604</v>
      </c>
      <c r="AG461">
        <f>IFERROR(AH461*0.1, "N/A")</f>
        <v>6.7438741721854303</v>
      </c>
      <c r="AH461">
        <v>67.438741721854299</v>
      </c>
      <c r="AI461">
        <v>164.07139534350301</v>
      </c>
      <c r="AJ461">
        <v>15.112582781457</v>
      </c>
      <c r="AK461">
        <v>74.554635761589395</v>
      </c>
    </row>
    <row r="462" spans="1:37" x14ac:dyDescent="0.3">
      <c r="A462">
        <v>461</v>
      </c>
      <c r="B462">
        <v>30.799999</v>
      </c>
      <c r="C462">
        <v>23.462199999999999</v>
      </c>
      <c r="D462">
        <v>-16.471700999999999</v>
      </c>
      <c r="E462" t="s">
        <v>768</v>
      </c>
      <c r="F462" t="s">
        <v>770</v>
      </c>
      <c r="G462" t="s">
        <v>37</v>
      </c>
      <c r="H462">
        <v>2007</v>
      </c>
      <c r="I462">
        <v>22.5</v>
      </c>
      <c r="J462">
        <v>15.3999996185303</v>
      </c>
      <c r="K462">
        <v>57</v>
      </c>
      <c r="L462">
        <v>29.709999084472699</v>
      </c>
      <c r="M462">
        <v>34.099998474121101</v>
      </c>
      <c r="N462">
        <v>7.4000000953674299</v>
      </c>
      <c r="O462">
        <v>26.700000762939499</v>
      </c>
      <c r="P462">
        <v>24.399999618530298</v>
      </c>
      <c r="Q462">
        <v>18</v>
      </c>
      <c r="R462">
        <v>25.200000762939499</v>
      </c>
      <c r="S462">
        <v>18</v>
      </c>
      <c r="T462">
        <v>748</v>
      </c>
      <c r="U462">
        <v>177</v>
      </c>
      <c r="V462">
        <v>0</v>
      </c>
      <c r="W462">
        <v>111</v>
      </c>
      <c r="X462">
        <v>511</v>
      </c>
      <c r="Y462">
        <v>1</v>
      </c>
      <c r="Z462">
        <v>269</v>
      </c>
      <c r="AA462">
        <v>3</v>
      </c>
      <c r="AB462">
        <v>6.2929063001215901</v>
      </c>
      <c r="AC462">
        <v>2.3932034365634999E-2</v>
      </c>
      <c r="AD462">
        <v>1.4038933077395399</v>
      </c>
      <c r="AE462">
        <v>0.412297993898392</v>
      </c>
      <c r="AF462">
        <v>998.00662251655604</v>
      </c>
      <c r="AG462">
        <f>IFERROR(AH462*0.1, "N/A")</f>
        <v>6.7438741721854303</v>
      </c>
      <c r="AH462">
        <v>67.438741721854299</v>
      </c>
      <c r="AI462">
        <v>164.07139534350301</v>
      </c>
      <c r="AJ462">
        <v>15.112582781457</v>
      </c>
      <c r="AK462">
        <v>74.554635761589395</v>
      </c>
    </row>
    <row r="463" spans="1:37" x14ac:dyDescent="0.3">
      <c r="A463">
        <v>462</v>
      </c>
      <c r="B463">
        <v>27.1</v>
      </c>
      <c r="C463">
        <v>28.6539</v>
      </c>
      <c r="D463">
        <v>-16.461500000000001</v>
      </c>
      <c r="E463" t="s">
        <v>771</v>
      </c>
      <c r="F463" t="s">
        <v>772</v>
      </c>
      <c r="G463" t="s">
        <v>39</v>
      </c>
      <c r="H463">
        <v>2007</v>
      </c>
      <c r="I463">
        <v>25.5</v>
      </c>
      <c r="J463">
        <v>13.699999809265099</v>
      </c>
      <c r="K463">
        <v>54</v>
      </c>
      <c r="L463">
        <v>27.299999237060501</v>
      </c>
      <c r="M463">
        <v>37.700000762939503</v>
      </c>
      <c r="N463">
        <v>12.6000003814697</v>
      </c>
      <c r="O463">
        <v>25.100000381469702</v>
      </c>
      <c r="P463">
        <v>26.100000381469702</v>
      </c>
      <c r="Q463">
        <v>21.899999618530298</v>
      </c>
      <c r="R463">
        <v>28.899999618530298</v>
      </c>
      <c r="S463">
        <v>21.799999237060501</v>
      </c>
      <c r="T463">
        <v>699</v>
      </c>
      <c r="U463">
        <v>180</v>
      </c>
      <c r="V463">
        <v>0</v>
      </c>
      <c r="W463">
        <v>118</v>
      </c>
      <c r="X463">
        <v>511</v>
      </c>
      <c r="Y463">
        <v>1</v>
      </c>
      <c r="Z463">
        <v>81</v>
      </c>
      <c r="AA463">
        <v>5</v>
      </c>
      <c r="AB463">
        <v>3.9032947301077798</v>
      </c>
      <c r="AC463">
        <v>8.5561004445790009E-3</v>
      </c>
      <c r="AD463">
        <v>1.68671811590887</v>
      </c>
      <c r="AE463">
        <v>0.225728243589401</v>
      </c>
      <c r="AF463">
        <v>491.356435643564</v>
      </c>
      <c r="AG463">
        <f>IFERROR(AH463*0.1, "N/A")</f>
        <v>6.0597359735973599</v>
      </c>
      <c r="AH463">
        <v>60.597359735973598</v>
      </c>
      <c r="AI463">
        <v>119.665071871414</v>
      </c>
      <c r="AJ463">
        <v>19.717821782178198</v>
      </c>
      <c r="AK463">
        <v>68.191419141914196</v>
      </c>
    </row>
    <row r="464" spans="1:37" x14ac:dyDescent="0.3">
      <c r="A464">
        <v>463</v>
      </c>
      <c r="B464">
        <v>77.099997999999999</v>
      </c>
      <c r="C464">
        <v>28.6539</v>
      </c>
      <c r="D464">
        <v>-16.461500000000001</v>
      </c>
      <c r="E464" t="s">
        <v>771</v>
      </c>
      <c r="F464" t="s">
        <v>773</v>
      </c>
      <c r="G464" t="s">
        <v>37</v>
      </c>
      <c r="H464">
        <v>2007</v>
      </c>
      <c r="I464">
        <v>25.5</v>
      </c>
      <c r="J464">
        <v>13.699999809265099</v>
      </c>
      <c r="K464">
        <v>54</v>
      </c>
      <c r="L464">
        <v>27.299999237060501</v>
      </c>
      <c r="M464">
        <v>37.700000762939503</v>
      </c>
      <c r="N464">
        <v>12.6000003814697</v>
      </c>
      <c r="O464">
        <v>25.100000381469702</v>
      </c>
      <c r="P464">
        <v>26.100000381469702</v>
      </c>
      <c r="Q464">
        <v>21.899999618530298</v>
      </c>
      <c r="R464">
        <v>28.899999618530298</v>
      </c>
      <c r="S464">
        <v>21.799999237060501</v>
      </c>
      <c r="T464">
        <v>699</v>
      </c>
      <c r="U464">
        <v>180</v>
      </c>
      <c r="V464">
        <v>0</v>
      </c>
      <c r="W464">
        <v>118</v>
      </c>
      <c r="X464">
        <v>511</v>
      </c>
      <c r="Y464">
        <v>1</v>
      </c>
      <c r="Z464">
        <v>81</v>
      </c>
      <c r="AA464">
        <v>5</v>
      </c>
      <c r="AB464">
        <v>3.9032947301077798</v>
      </c>
      <c r="AC464">
        <v>8.5561004445790009E-3</v>
      </c>
      <c r="AD464">
        <v>1.68671811590887</v>
      </c>
      <c r="AE464">
        <v>0.225728243589401</v>
      </c>
      <c r="AF464">
        <v>491.356435643564</v>
      </c>
      <c r="AG464">
        <f>IFERROR(AH464*0.1, "N/A")</f>
        <v>6.0597359735973599</v>
      </c>
      <c r="AH464">
        <v>60.597359735973598</v>
      </c>
      <c r="AI464">
        <v>119.665071871414</v>
      </c>
      <c r="AJ464">
        <v>19.717821782178198</v>
      </c>
      <c r="AK464">
        <v>68.191419141914196</v>
      </c>
    </row>
    <row r="465" spans="1:37" x14ac:dyDescent="0.3">
      <c r="A465">
        <v>464</v>
      </c>
      <c r="B465">
        <v>25.799999</v>
      </c>
      <c r="C465">
        <v>26.768000000000001</v>
      </c>
      <c r="D465">
        <v>-16.426901000000001</v>
      </c>
      <c r="E465" t="s">
        <v>774</v>
      </c>
      <c r="F465" t="s">
        <v>775</v>
      </c>
      <c r="G465" t="s">
        <v>39</v>
      </c>
      <c r="H465">
        <v>0</v>
      </c>
      <c r="I465">
        <v>19.899999618530298</v>
      </c>
      <c r="J465">
        <v>15.1000003814697</v>
      </c>
      <c r="K465">
        <v>54.001652892561999</v>
      </c>
      <c r="L465">
        <v>33.929768901225998</v>
      </c>
      <c r="M465">
        <v>31.999834710113301</v>
      </c>
      <c r="N465">
        <v>4.5</v>
      </c>
      <c r="O465">
        <v>27.499834710113301</v>
      </c>
      <c r="P465">
        <v>22.499834710113301</v>
      </c>
      <c r="Q465">
        <v>14.8999996185303</v>
      </c>
      <c r="R465">
        <v>23.299833950326502</v>
      </c>
      <c r="S465">
        <v>14.8999996185303</v>
      </c>
      <c r="T465">
        <v>826</v>
      </c>
      <c r="U465">
        <v>215</v>
      </c>
      <c r="V465">
        <v>0</v>
      </c>
      <c r="W465">
        <v>120</v>
      </c>
      <c r="X465">
        <v>607</v>
      </c>
      <c r="Y465">
        <v>1</v>
      </c>
      <c r="Z465">
        <v>324</v>
      </c>
      <c r="AA465">
        <v>1</v>
      </c>
      <c r="AB465">
        <v>14.111594661996399</v>
      </c>
      <c r="AC465">
        <v>1.0484106327629999E-2</v>
      </c>
      <c r="AD465">
        <v>1.0551491623082401</v>
      </c>
      <c r="AE465">
        <v>0.387019723653793</v>
      </c>
      <c r="AF465">
        <v>1159.5917355371901</v>
      </c>
      <c r="AG465">
        <f>IFERROR(AH465*0.1, "N/A")</f>
        <v>5.8112396694214903</v>
      </c>
      <c r="AH465">
        <v>58.112396694214901</v>
      </c>
      <c r="AI465">
        <v>110.99494346271899</v>
      </c>
      <c r="AJ465">
        <v>23</v>
      </c>
      <c r="AK465">
        <v>57.943801652892603</v>
      </c>
    </row>
    <row r="466" spans="1:37" x14ac:dyDescent="0.3">
      <c r="A466">
        <v>465</v>
      </c>
      <c r="B466">
        <v>7.1</v>
      </c>
      <c r="C466">
        <v>26.768000000000001</v>
      </c>
      <c r="D466">
        <v>-16.426901000000001</v>
      </c>
      <c r="E466" t="s">
        <v>774</v>
      </c>
      <c r="F466" t="s">
        <v>776</v>
      </c>
      <c r="G466" t="s">
        <v>37</v>
      </c>
      <c r="H466">
        <v>0</v>
      </c>
      <c r="I466">
        <v>19.899999618530298</v>
      </c>
      <c r="J466">
        <v>15.1000003814697</v>
      </c>
      <c r="K466">
        <v>54.001652892561999</v>
      </c>
      <c r="L466">
        <v>33.929768901225998</v>
      </c>
      <c r="M466">
        <v>31.999834710113301</v>
      </c>
      <c r="N466">
        <v>4.5</v>
      </c>
      <c r="O466">
        <v>27.499834710113301</v>
      </c>
      <c r="P466">
        <v>22.499834710113301</v>
      </c>
      <c r="Q466">
        <v>14.8999996185303</v>
      </c>
      <c r="R466">
        <v>23.299833950326502</v>
      </c>
      <c r="S466">
        <v>14.8999996185303</v>
      </c>
      <c r="T466">
        <v>826</v>
      </c>
      <c r="U466">
        <v>215</v>
      </c>
      <c r="V466">
        <v>0</v>
      </c>
      <c r="W466">
        <v>120</v>
      </c>
      <c r="X466">
        <v>607</v>
      </c>
      <c r="Y466">
        <v>1</v>
      </c>
      <c r="Z466">
        <v>324</v>
      </c>
      <c r="AA466">
        <v>1</v>
      </c>
      <c r="AB466">
        <v>14.111594661996399</v>
      </c>
      <c r="AC466">
        <v>1.0484106327629999E-2</v>
      </c>
      <c r="AD466">
        <v>1.0551491623082401</v>
      </c>
      <c r="AE466">
        <v>0.387019723653793</v>
      </c>
      <c r="AF466">
        <v>1159.5917355371901</v>
      </c>
      <c r="AG466">
        <f>IFERROR(AH466*0.1, "N/A")</f>
        <v>5.8112396694214903</v>
      </c>
      <c r="AH466">
        <v>58.112396694214901</v>
      </c>
      <c r="AI466">
        <v>110.99494346271899</v>
      </c>
      <c r="AJ466">
        <v>23</v>
      </c>
      <c r="AK466">
        <v>57.943801652892603</v>
      </c>
    </row>
    <row r="467" spans="1:37" x14ac:dyDescent="0.3">
      <c r="A467">
        <v>466</v>
      </c>
      <c r="B467">
        <v>5.6</v>
      </c>
      <c r="C467">
        <v>27.116599999999998</v>
      </c>
      <c r="D467">
        <v>-16.3736</v>
      </c>
      <c r="E467" t="s">
        <v>777</v>
      </c>
      <c r="F467" t="s">
        <v>778</v>
      </c>
      <c r="G467" t="s">
        <v>39</v>
      </c>
      <c r="H467">
        <v>2007</v>
      </c>
      <c r="I467">
        <v>20.5</v>
      </c>
      <c r="J467">
        <v>15.0442976896428</v>
      </c>
      <c r="K467">
        <v>55</v>
      </c>
      <c r="L467">
        <v>32.932281349119101</v>
      </c>
      <c r="M467">
        <v>32.344297771611501</v>
      </c>
      <c r="N467">
        <v>5.3442976691506097</v>
      </c>
      <c r="O467">
        <v>27</v>
      </c>
      <c r="P467">
        <v>22.944297308173098</v>
      </c>
      <c r="Q467">
        <v>15.6442976486584</v>
      </c>
      <c r="R467">
        <v>23.799999237060501</v>
      </c>
      <c r="S467">
        <v>15.6442976486584</v>
      </c>
      <c r="T467">
        <v>829</v>
      </c>
      <c r="U467">
        <v>219</v>
      </c>
      <c r="V467">
        <v>0</v>
      </c>
      <c r="W467">
        <v>118.557024793388</v>
      </c>
      <c r="X467">
        <v>608.55702479338902</v>
      </c>
      <c r="Y467">
        <v>1</v>
      </c>
      <c r="Z467">
        <v>326</v>
      </c>
      <c r="AA467">
        <v>1</v>
      </c>
      <c r="AB467">
        <v>18.269462446733002</v>
      </c>
      <c r="AC467">
        <v>8.2077390383469995E-3</v>
      </c>
      <c r="AD467">
        <v>1.5152391814003301</v>
      </c>
      <c r="AE467">
        <v>0.403693348169327</v>
      </c>
      <c r="AF467">
        <v>1074.4066115702501</v>
      </c>
      <c r="AG467">
        <f>IFERROR(AH467*0.1, "N/A")</f>
        <v>5.8487603305785107</v>
      </c>
      <c r="AH467">
        <v>58.4876033057851</v>
      </c>
      <c r="AI467">
        <v>292.59514977321197</v>
      </c>
      <c r="AJ467">
        <v>19.735537190082599</v>
      </c>
      <c r="AK467">
        <v>67.337190082644597</v>
      </c>
    </row>
    <row r="468" spans="1:37" x14ac:dyDescent="0.3">
      <c r="A468">
        <v>467</v>
      </c>
      <c r="B468">
        <v>0</v>
      </c>
      <c r="C468">
        <v>27.116599999999998</v>
      </c>
      <c r="D468">
        <v>-16.3736</v>
      </c>
      <c r="E468" t="s">
        <v>777</v>
      </c>
      <c r="F468" t="s">
        <v>779</v>
      </c>
      <c r="G468" t="s">
        <v>37</v>
      </c>
      <c r="H468">
        <v>2007</v>
      </c>
      <c r="I468">
        <v>20.5</v>
      </c>
      <c r="J468">
        <v>15.0442976896428</v>
      </c>
      <c r="K468">
        <v>55</v>
      </c>
      <c r="L468">
        <v>32.932281349119101</v>
      </c>
      <c r="M468">
        <v>32.344297771611501</v>
      </c>
      <c r="N468">
        <v>5.3442976691506097</v>
      </c>
      <c r="O468">
        <v>27</v>
      </c>
      <c r="P468">
        <v>22.944297308173098</v>
      </c>
      <c r="Q468">
        <v>15.6442976486584</v>
      </c>
      <c r="R468">
        <v>23.799999237060501</v>
      </c>
      <c r="S468">
        <v>15.6442976486584</v>
      </c>
      <c r="T468">
        <v>829</v>
      </c>
      <c r="U468">
        <v>219</v>
      </c>
      <c r="V468">
        <v>0</v>
      </c>
      <c r="W468">
        <v>118.557024793388</v>
      </c>
      <c r="X468">
        <v>608.55702479338902</v>
      </c>
      <c r="Y468">
        <v>1</v>
      </c>
      <c r="Z468">
        <v>326</v>
      </c>
      <c r="AA468">
        <v>1</v>
      </c>
      <c r="AB468">
        <v>18.269462446733002</v>
      </c>
      <c r="AC468">
        <v>8.2077390383469995E-3</v>
      </c>
      <c r="AD468">
        <v>1.5152391814003301</v>
      </c>
      <c r="AE468">
        <v>0.403693348169327</v>
      </c>
      <c r="AF468">
        <v>1074.4066115702501</v>
      </c>
      <c r="AG468">
        <f>IFERROR(AH468*0.1, "N/A")</f>
        <v>5.8487603305785107</v>
      </c>
      <c r="AH468">
        <v>58.4876033057851</v>
      </c>
      <c r="AI468">
        <v>292.59514977321197</v>
      </c>
      <c r="AJ468">
        <v>19.735537190082599</v>
      </c>
      <c r="AK468">
        <v>67.337190082644597</v>
      </c>
    </row>
    <row r="469" spans="1:37" x14ac:dyDescent="0.3">
      <c r="A469">
        <v>468</v>
      </c>
      <c r="B469">
        <v>0</v>
      </c>
      <c r="C469">
        <v>23.442301</v>
      </c>
      <c r="D469">
        <v>-16.298200999999999</v>
      </c>
      <c r="E469" t="s">
        <v>780</v>
      </c>
      <c r="F469" t="s">
        <v>781</v>
      </c>
      <c r="G469" t="s">
        <v>39</v>
      </c>
      <c r="H469">
        <v>2007</v>
      </c>
      <c r="I469">
        <v>22.498341618881099</v>
      </c>
      <c r="J469">
        <v>15.199999809265099</v>
      </c>
      <c r="K469">
        <v>57.016583747927001</v>
      </c>
      <c r="L469">
        <v>28.987346373980301</v>
      </c>
      <c r="M469">
        <v>33.998341650512103</v>
      </c>
      <c r="N469">
        <v>7.6999998092651403</v>
      </c>
      <c r="O469">
        <v>26.2983408875726</v>
      </c>
      <c r="P469">
        <v>24.299999237060501</v>
      </c>
      <c r="Q469">
        <v>18.100000381469702</v>
      </c>
      <c r="R469">
        <v>25.100000381469702</v>
      </c>
      <c r="S469">
        <v>18.100000381469702</v>
      </c>
      <c r="T469">
        <v>768.03316749585395</v>
      </c>
      <c r="U469">
        <v>182</v>
      </c>
      <c r="V469">
        <v>0</v>
      </c>
      <c r="W469">
        <v>110</v>
      </c>
      <c r="X469">
        <v>524.01658374792703</v>
      </c>
      <c r="Y469">
        <v>1</v>
      </c>
      <c r="Z469">
        <v>278</v>
      </c>
      <c r="AA469">
        <v>3</v>
      </c>
      <c r="AB469">
        <v>0.8074951171875</v>
      </c>
      <c r="AC469">
        <v>5.5406207975561998E-2</v>
      </c>
      <c r="AD469">
        <v>1.8596903397076201</v>
      </c>
      <c r="AE469">
        <v>0.13953532641799901</v>
      </c>
      <c r="AF469">
        <v>1026.91542288557</v>
      </c>
      <c r="AG469">
        <f>IFERROR(AH469*0.1, "N/A")</f>
        <v>5.4</v>
      </c>
      <c r="AH469">
        <v>54</v>
      </c>
      <c r="AI469">
        <v>157.80651602420801</v>
      </c>
      <c r="AJ469">
        <v>14.950248756218899</v>
      </c>
      <c r="AK469">
        <v>80.016583747927001</v>
      </c>
    </row>
    <row r="470" spans="1:37" x14ac:dyDescent="0.3">
      <c r="A470">
        <v>469</v>
      </c>
      <c r="B470">
        <v>2</v>
      </c>
      <c r="C470">
        <v>23.442301</v>
      </c>
      <c r="D470">
        <v>-16.298200999999999</v>
      </c>
      <c r="E470" t="s">
        <v>780</v>
      </c>
      <c r="F470" t="s">
        <v>782</v>
      </c>
      <c r="G470" t="s">
        <v>37</v>
      </c>
      <c r="H470">
        <v>2007</v>
      </c>
      <c r="I470">
        <v>22.498341618881099</v>
      </c>
      <c r="J470">
        <v>15.199999809265099</v>
      </c>
      <c r="K470">
        <v>57.016583747927001</v>
      </c>
      <c r="L470">
        <v>28.987346373980301</v>
      </c>
      <c r="M470">
        <v>33.998341650512103</v>
      </c>
      <c r="N470">
        <v>7.6999998092651403</v>
      </c>
      <c r="O470">
        <v>26.2983408875726</v>
      </c>
      <c r="P470">
        <v>24.299999237060501</v>
      </c>
      <c r="Q470">
        <v>18.100000381469702</v>
      </c>
      <c r="R470">
        <v>25.100000381469702</v>
      </c>
      <c r="S470">
        <v>18.100000381469702</v>
      </c>
      <c r="T470">
        <v>768.03316749585395</v>
      </c>
      <c r="U470">
        <v>182</v>
      </c>
      <c r="V470">
        <v>0</v>
      </c>
      <c r="W470">
        <v>110</v>
      </c>
      <c r="X470">
        <v>524.01658374792703</v>
      </c>
      <c r="Y470">
        <v>1</v>
      </c>
      <c r="Z470">
        <v>278</v>
      </c>
      <c r="AA470">
        <v>3</v>
      </c>
      <c r="AB470">
        <v>0.8074951171875</v>
      </c>
      <c r="AC470">
        <v>5.5406207975561998E-2</v>
      </c>
      <c r="AD470">
        <v>1.8596903397076201</v>
      </c>
      <c r="AE470">
        <v>0.13953532641799901</v>
      </c>
      <c r="AF470">
        <v>1026.91542288557</v>
      </c>
      <c r="AG470">
        <f>IFERROR(AH470*0.1, "N/A")</f>
        <v>5.4</v>
      </c>
      <c r="AH470">
        <v>54</v>
      </c>
      <c r="AI470">
        <v>157.80651602420801</v>
      </c>
      <c r="AJ470">
        <v>14.950248756218899</v>
      </c>
      <c r="AK470">
        <v>80.016583747927001</v>
      </c>
    </row>
    <row r="471" spans="1:37" x14ac:dyDescent="0.3">
      <c r="A471">
        <v>470</v>
      </c>
      <c r="B471">
        <v>6</v>
      </c>
      <c r="C471">
        <v>23.409200999999999</v>
      </c>
      <c r="D471">
        <v>-16.269400000000001</v>
      </c>
      <c r="E471" t="s">
        <v>783</v>
      </c>
      <c r="F471" t="s">
        <v>784</v>
      </c>
      <c r="G471" t="s">
        <v>39</v>
      </c>
      <c r="H471">
        <v>0</v>
      </c>
      <c r="I471">
        <v>22.5</v>
      </c>
      <c r="J471">
        <v>15.199999809265099</v>
      </c>
      <c r="K471">
        <v>58</v>
      </c>
      <c r="L471">
        <v>28.569999694824201</v>
      </c>
      <c r="M471">
        <v>33.900001525878899</v>
      </c>
      <c r="N471">
        <v>7.8000001907348597</v>
      </c>
      <c r="O471">
        <v>26.100000381469702</v>
      </c>
      <c r="P471">
        <v>24.299999237060501</v>
      </c>
      <c r="Q471">
        <v>18.299999237060501</v>
      </c>
      <c r="R471">
        <v>25.100000381469702</v>
      </c>
      <c r="S471">
        <v>18.200000762939499</v>
      </c>
      <c r="T471">
        <v>771</v>
      </c>
      <c r="U471">
        <v>183</v>
      </c>
      <c r="V471">
        <v>0</v>
      </c>
      <c r="W471">
        <v>111</v>
      </c>
      <c r="X471">
        <v>527</v>
      </c>
      <c r="Y471">
        <v>1</v>
      </c>
      <c r="Z471">
        <v>279</v>
      </c>
      <c r="AA471">
        <v>3</v>
      </c>
      <c r="AB471">
        <v>2.9622040805437702</v>
      </c>
      <c r="AC471">
        <v>0.14065326080312099</v>
      </c>
      <c r="AD471">
        <v>1.28974717120264</v>
      </c>
      <c r="AE471">
        <v>0.14046728610992401</v>
      </c>
      <c r="AF471">
        <v>1033.2880794702</v>
      </c>
      <c r="AG471">
        <f>IFERROR(AH471*0.1, "N/A")</f>
        <v>5.4</v>
      </c>
      <c r="AH471">
        <v>54</v>
      </c>
      <c r="AI471">
        <v>184.68018553272799</v>
      </c>
      <c r="AJ471">
        <v>8</v>
      </c>
      <c r="AK471">
        <v>86</v>
      </c>
    </row>
    <row r="472" spans="1:37" x14ac:dyDescent="0.3">
      <c r="A472">
        <v>471</v>
      </c>
      <c r="B472">
        <v>0</v>
      </c>
      <c r="C472">
        <v>23.409200999999999</v>
      </c>
      <c r="D472">
        <v>-16.269400000000001</v>
      </c>
      <c r="E472" t="s">
        <v>783</v>
      </c>
      <c r="F472" t="s">
        <v>785</v>
      </c>
      <c r="G472" t="s">
        <v>37</v>
      </c>
      <c r="H472">
        <v>0</v>
      </c>
      <c r="I472">
        <v>22.5</v>
      </c>
      <c r="J472">
        <v>15.199999809265099</v>
      </c>
      <c r="K472">
        <v>58</v>
      </c>
      <c r="L472">
        <v>28.569999694824201</v>
      </c>
      <c r="M472">
        <v>33.900001525878899</v>
      </c>
      <c r="N472">
        <v>7.8000001907348597</v>
      </c>
      <c r="O472">
        <v>26.100000381469702</v>
      </c>
      <c r="P472">
        <v>24.299999237060501</v>
      </c>
      <c r="Q472">
        <v>18.299999237060501</v>
      </c>
      <c r="R472">
        <v>25.100000381469702</v>
      </c>
      <c r="S472">
        <v>18.200000762939499</v>
      </c>
      <c r="T472">
        <v>771</v>
      </c>
      <c r="U472">
        <v>183</v>
      </c>
      <c r="V472">
        <v>0</v>
      </c>
      <c r="W472">
        <v>111</v>
      </c>
      <c r="X472">
        <v>527</v>
      </c>
      <c r="Y472">
        <v>1</v>
      </c>
      <c r="Z472">
        <v>279</v>
      </c>
      <c r="AA472">
        <v>3</v>
      </c>
      <c r="AB472">
        <v>2.9622040805437702</v>
      </c>
      <c r="AC472">
        <v>0.14065326080312099</v>
      </c>
      <c r="AD472">
        <v>1.28974717120264</v>
      </c>
      <c r="AE472">
        <v>0.14046728610992401</v>
      </c>
      <c r="AF472">
        <v>1033.2880794702</v>
      </c>
      <c r="AG472">
        <f>IFERROR(AH472*0.1, "N/A")</f>
        <v>5.4</v>
      </c>
      <c r="AH472">
        <v>54</v>
      </c>
      <c r="AI472">
        <v>184.68018553272799</v>
      </c>
      <c r="AJ472">
        <v>8</v>
      </c>
      <c r="AK472">
        <v>86</v>
      </c>
    </row>
    <row r="473" spans="1:37" x14ac:dyDescent="0.3">
      <c r="A473">
        <v>472</v>
      </c>
      <c r="B473">
        <v>28.9</v>
      </c>
      <c r="C473">
        <v>26.583300000000001</v>
      </c>
      <c r="D473">
        <v>-16.266701000000001</v>
      </c>
      <c r="E473" t="s">
        <v>786</v>
      </c>
      <c r="F473" t="s">
        <v>787</v>
      </c>
      <c r="G473" t="s">
        <v>39</v>
      </c>
      <c r="H473">
        <v>2007</v>
      </c>
      <c r="I473">
        <v>19.8009928014894</v>
      </c>
      <c r="J473">
        <v>15.1000003814697</v>
      </c>
      <c r="K473">
        <v>54</v>
      </c>
      <c r="L473">
        <v>34.013641925837</v>
      </c>
      <c r="M473">
        <v>31.911589066713901</v>
      </c>
      <c r="N473">
        <v>4.35099351958723</v>
      </c>
      <c r="O473">
        <v>27.560596257645599</v>
      </c>
      <c r="P473">
        <v>22.3009928014894</v>
      </c>
      <c r="Q473">
        <v>14.8009934709562</v>
      </c>
      <c r="R473">
        <v>23.210596627747002</v>
      </c>
      <c r="S473">
        <v>14.8009934709562</v>
      </c>
      <c r="T473">
        <v>849.98013245033098</v>
      </c>
      <c r="U473">
        <v>227</v>
      </c>
      <c r="V473">
        <v>0</v>
      </c>
      <c r="W473">
        <v>121.903973509934</v>
      </c>
      <c r="X473">
        <v>634</v>
      </c>
      <c r="Y473">
        <v>1</v>
      </c>
      <c r="Z473">
        <v>336.98013245033098</v>
      </c>
      <c r="AA473">
        <v>1</v>
      </c>
      <c r="AB473">
        <v>22.3796024954082</v>
      </c>
      <c r="AC473">
        <v>3.9007446589873998E-2</v>
      </c>
      <c r="AD473">
        <v>2.1667876980754701</v>
      </c>
      <c r="AE473">
        <v>0.21571953594684601</v>
      </c>
      <c r="AF473">
        <v>1200.7582781456999</v>
      </c>
      <c r="AG473">
        <f>IFERROR(AH473*0.1, "N/A")</f>
        <v>6.5</v>
      </c>
      <c r="AH473">
        <v>65</v>
      </c>
      <c r="AI473">
        <v>97.034597845267001</v>
      </c>
      <c r="AJ473">
        <v>23</v>
      </c>
      <c r="AK473">
        <v>64</v>
      </c>
    </row>
    <row r="474" spans="1:37" x14ac:dyDescent="0.3">
      <c r="A474">
        <v>473</v>
      </c>
      <c r="B474">
        <v>0</v>
      </c>
      <c r="C474">
        <v>26.583300000000001</v>
      </c>
      <c r="D474">
        <v>-16.266701000000001</v>
      </c>
      <c r="E474" t="s">
        <v>786</v>
      </c>
      <c r="F474" t="s">
        <v>788</v>
      </c>
      <c r="G474" t="s">
        <v>37</v>
      </c>
      <c r="H474">
        <v>2007</v>
      </c>
      <c r="I474">
        <v>19.8009928014894</v>
      </c>
      <c r="J474">
        <v>15.1000003814697</v>
      </c>
      <c r="K474">
        <v>54</v>
      </c>
      <c r="L474">
        <v>34.013641925837</v>
      </c>
      <c r="M474">
        <v>31.911589066713901</v>
      </c>
      <c r="N474">
        <v>4.35099351958723</v>
      </c>
      <c r="O474">
        <v>27.560596257645599</v>
      </c>
      <c r="P474">
        <v>22.3009928014894</v>
      </c>
      <c r="Q474">
        <v>14.8009934709562</v>
      </c>
      <c r="R474">
        <v>23.210596627747002</v>
      </c>
      <c r="S474">
        <v>14.8009934709562</v>
      </c>
      <c r="T474">
        <v>849.98013245033098</v>
      </c>
      <c r="U474">
        <v>227</v>
      </c>
      <c r="V474">
        <v>0</v>
      </c>
      <c r="W474">
        <v>121.903973509934</v>
      </c>
      <c r="X474">
        <v>634</v>
      </c>
      <c r="Y474">
        <v>1</v>
      </c>
      <c r="Z474">
        <v>336.98013245033098</v>
      </c>
      <c r="AA474">
        <v>1</v>
      </c>
      <c r="AB474">
        <v>22.3796024954082</v>
      </c>
      <c r="AC474">
        <v>3.9007446589873998E-2</v>
      </c>
      <c r="AD474">
        <v>2.1667876980754701</v>
      </c>
      <c r="AE474">
        <v>0.21571953594684601</v>
      </c>
      <c r="AF474">
        <v>1200.7582781456999</v>
      </c>
      <c r="AG474">
        <f>IFERROR(AH474*0.1, "N/A")</f>
        <v>6.5</v>
      </c>
      <c r="AH474">
        <v>65</v>
      </c>
      <c r="AI474">
        <v>97.034597845267001</v>
      </c>
      <c r="AJ474">
        <v>23</v>
      </c>
      <c r="AK474">
        <v>64</v>
      </c>
    </row>
    <row r="475" spans="1:37" x14ac:dyDescent="0.3">
      <c r="A475">
        <v>474</v>
      </c>
      <c r="B475">
        <v>9.8000000000000007</v>
      </c>
      <c r="C475">
        <v>28.095099999999999</v>
      </c>
      <c r="D475">
        <v>-16.246901000000001</v>
      </c>
      <c r="E475" t="s">
        <v>789</v>
      </c>
      <c r="F475" t="s">
        <v>790</v>
      </c>
      <c r="G475" t="s">
        <v>39</v>
      </c>
      <c r="H475">
        <v>2007</v>
      </c>
      <c r="I475">
        <v>19.899999618530298</v>
      </c>
      <c r="J475">
        <v>13.300000190734901</v>
      </c>
      <c r="K475">
        <v>54</v>
      </c>
      <c r="L475">
        <v>27.360000610351602</v>
      </c>
      <c r="M475">
        <v>31.5</v>
      </c>
      <c r="N475">
        <v>7.3000001907348597</v>
      </c>
      <c r="O475">
        <v>24.200000762939499</v>
      </c>
      <c r="P475">
        <v>21.299999237060501</v>
      </c>
      <c r="Q475">
        <v>16</v>
      </c>
      <c r="R475">
        <v>22.899999618530298</v>
      </c>
      <c r="S475">
        <v>16</v>
      </c>
      <c r="T475">
        <v>797</v>
      </c>
      <c r="U475">
        <v>206</v>
      </c>
      <c r="V475">
        <v>0</v>
      </c>
      <c r="W475">
        <v>118</v>
      </c>
      <c r="X475">
        <v>582</v>
      </c>
      <c r="Y475">
        <v>0</v>
      </c>
      <c r="Z475">
        <v>312</v>
      </c>
      <c r="AA475">
        <v>4</v>
      </c>
      <c r="AB475">
        <v>11.537228413765</v>
      </c>
      <c r="AC475">
        <v>1.7241676868438999E-2</v>
      </c>
      <c r="AD475">
        <v>3.3289598005496899</v>
      </c>
      <c r="AE475">
        <v>0.49311390519142201</v>
      </c>
      <c r="AF475">
        <v>1338.6837748344401</v>
      </c>
      <c r="AG475">
        <f>IFERROR(AH475*0.1, "N/A")</f>
        <v>6.2</v>
      </c>
      <c r="AH475">
        <v>62</v>
      </c>
      <c r="AI475">
        <v>47.082367657036201</v>
      </c>
      <c r="AJ475">
        <v>16.584437086092699</v>
      </c>
      <c r="AK475">
        <v>73.940397350993393</v>
      </c>
    </row>
    <row r="476" spans="1:37" x14ac:dyDescent="0.3">
      <c r="A476">
        <v>475</v>
      </c>
      <c r="B476">
        <v>0.5</v>
      </c>
      <c r="C476">
        <v>28.095099999999999</v>
      </c>
      <c r="D476">
        <v>-16.246901000000001</v>
      </c>
      <c r="E476" t="s">
        <v>789</v>
      </c>
      <c r="F476" t="s">
        <v>791</v>
      </c>
      <c r="G476" t="s">
        <v>37</v>
      </c>
      <c r="H476">
        <v>2007</v>
      </c>
      <c r="I476">
        <v>19.899999618530298</v>
      </c>
      <c r="J476">
        <v>13.300000190734901</v>
      </c>
      <c r="K476">
        <v>54</v>
      </c>
      <c r="L476">
        <v>27.360000610351602</v>
      </c>
      <c r="M476">
        <v>31.5</v>
      </c>
      <c r="N476">
        <v>7.3000001907348597</v>
      </c>
      <c r="O476">
        <v>24.200000762939499</v>
      </c>
      <c r="P476">
        <v>21.299999237060501</v>
      </c>
      <c r="Q476">
        <v>16</v>
      </c>
      <c r="R476">
        <v>22.899999618530298</v>
      </c>
      <c r="S476">
        <v>16</v>
      </c>
      <c r="T476">
        <v>797</v>
      </c>
      <c r="U476">
        <v>206</v>
      </c>
      <c r="V476">
        <v>0</v>
      </c>
      <c r="W476">
        <v>118</v>
      </c>
      <c r="X476">
        <v>582</v>
      </c>
      <c r="Y476">
        <v>0</v>
      </c>
      <c r="Z476">
        <v>312</v>
      </c>
      <c r="AA476">
        <v>4</v>
      </c>
      <c r="AB476">
        <v>11.537228413765</v>
      </c>
      <c r="AC476">
        <v>1.7241676868438999E-2</v>
      </c>
      <c r="AD476">
        <v>3.3289598005496899</v>
      </c>
      <c r="AE476">
        <v>0.49311390519142201</v>
      </c>
      <c r="AF476">
        <v>1338.6837748344401</v>
      </c>
      <c r="AG476">
        <f>IFERROR(AH476*0.1, "N/A")</f>
        <v>6.2</v>
      </c>
      <c r="AH476">
        <v>62</v>
      </c>
      <c r="AI476">
        <v>47.082367657036201</v>
      </c>
      <c r="AJ476">
        <v>16.584437086092699</v>
      </c>
      <c r="AK476">
        <v>73.940397350993393</v>
      </c>
    </row>
    <row r="477" spans="1:37" x14ac:dyDescent="0.3">
      <c r="A477">
        <v>476</v>
      </c>
      <c r="B477">
        <v>17.899999999999999</v>
      </c>
      <c r="C477">
        <v>28.132899999999999</v>
      </c>
      <c r="D477">
        <v>-16.224001000000001</v>
      </c>
      <c r="E477" t="s">
        <v>792</v>
      </c>
      <c r="F477" t="s">
        <v>793</v>
      </c>
      <c r="G477" t="s">
        <v>39</v>
      </c>
      <c r="H477">
        <v>0</v>
      </c>
      <c r="I477">
        <v>20.310115361885799</v>
      </c>
      <c r="J477">
        <v>13.300000190734901</v>
      </c>
      <c r="K477">
        <v>54</v>
      </c>
      <c r="L477">
        <v>27.254826367000199</v>
      </c>
      <c r="M477">
        <v>31.9101157433556</v>
      </c>
      <c r="N477">
        <v>7.7101159340904299</v>
      </c>
      <c r="O477">
        <v>24.200000762939499</v>
      </c>
      <c r="P477">
        <v>21.799999237060501</v>
      </c>
      <c r="Q477">
        <v>16.510116124825299</v>
      </c>
      <c r="R477">
        <v>23.310115361885799</v>
      </c>
      <c r="S477">
        <v>16.4101157433556</v>
      </c>
      <c r="T477">
        <v>783</v>
      </c>
      <c r="U477">
        <v>203</v>
      </c>
      <c r="V477">
        <v>0</v>
      </c>
      <c r="W477">
        <v>119</v>
      </c>
      <c r="X477">
        <v>574</v>
      </c>
      <c r="Y477">
        <v>0</v>
      </c>
      <c r="Z477">
        <v>306</v>
      </c>
      <c r="AA477">
        <v>4</v>
      </c>
      <c r="AB477">
        <v>28.5212673611111</v>
      </c>
      <c r="AC477">
        <v>1.4057576821600999E-2</v>
      </c>
      <c r="AD477">
        <v>4.0564711882700397</v>
      </c>
      <c r="AE477">
        <v>0.64806962013244596</v>
      </c>
      <c r="AF477">
        <v>1279.8043117744601</v>
      </c>
      <c r="AG477">
        <f>IFERROR(AH477*0.1, "N/A")</f>
        <v>6.2094527363184104</v>
      </c>
      <c r="AH477">
        <v>62.094527363184099</v>
      </c>
      <c r="AI477">
        <v>39.5871503776183</v>
      </c>
      <c r="AJ477">
        <v>14.9436152570481</v>
      </c>
      <c r="AK477">
        <v>75.235489220563906</v>
      </c>
    </row>
    <row r="478" spans="1:37" x14ac:dyDescent="0.3">
      <c r="A478">
        <v>477</v>
      </c>
      <c r="B478">
        <v>4</v>
      </c>
      <c r="C478">
        <v>28.132899999999999</v>
      </c>
      <c r="D478">
        <v>-16.224001000000001</v>
      </c>
      <c r="E478" t="s">
        <v>792</v>
      </c>
      <c r="F478" t="s">
        <v>794</v>
      </c>
      <c r="G478" t="s">
        <v>37</v>
      </c>
      <c r="H478">
        <v>0</v>
      </c>
      <c r="I478">
        <v>20.310115361885799</v>
      </c>
      <c r="J478">
        <v>13.300000190734901</v>
      </c>
      <c r="K478">
        <v>54</v>
      </c>
      <c r="L478">
        <v>27.254826367000199</v>
      </c>
      <c r="M478">
        <v>31.9101157433556</v>
      </c>
      <c r="N478">
        <v>7.7101159340904299</v>
      </c>
      <c r="O478">
        <v>24.200000762939499</v>
      </c>
      <c r="P478">
        <v>21.799999237060501</v>
      </c>
      <c r="Q478">
        <v>16.510116124825299</v>
      </c>
      <c r="R478">
        <v>23.310115361885799</v>
      </c>
      <c r="S478">
        <v>16.4101157433556</v>
      </c>
      <c r="T478">
        <v>783</v>
      </c>
      <c r="U478">
        <v>203</v>
      </c>
      <c r="V478">
        <v>0</v>
      </c>
      <c r="W478">
        <v>119</v>
      </c>
      <c r="X478">
        <v>574</v>
      </c>
      <c r="Y478">
        <v>0</v>
      </c>
      <c r="Z478">
        <v>306</v>
      </c>
      <c r="AA478">
        <v>4</v>
      </c>
      <c r="AB478">
        <v>28.5212673611111</v>
      </c>
      <c r="AC478">
        <v>1.4057576821600999E-2</v>
      </c>
      <c r="AD478">
        <v>4.0564711882700397</v>
      </c>
      <c r="AE478">
        <v>0.64806962013244596</v>
      </c>
      <c r="AF478">
        <v>1279.8043117744601</v>
      </c>
      <c r="AG478">
        <f>IFERROR(AH478*0.1, "N/A")</f>
        <v>6.2094527363184104</v>
      </c>
      <c r="AH478">
        <v>62.094527363184099</v>
      </c>
      <c r="AI478">
        <v>39.5871503776183</v>
      </c>
      <c r="AJ478">
        <v>14.9436152570481</v>
      </c>
      <c r="AK478">
        <v>75.235489220563906</v>
      </c>
    </row>
    <row r="479" spans="1:37" x14ac:dyDescent="0.3">
      <c r="A479">
        <v>478</v>
      </c>
      <c r="B479">
        <v>3</v>
      </c>
      <c r="C479">
        <v>23.331301</v>
      </c>
      <c r="D479">
        <v>-16.173598999999999</v>
      </c>
      <c r="E479" t="s">
        <v>795</v>
      </c>
      <c r="F479" t="s">
        <v>796</v>
      </c>
      <c r="G479" t="s">
        <v>39</v>
      </c>
      <c r="H479">
        <v>0</v>
      </c>
      <c r="I479">
        <v>22.799999237060501</v>
      </c>
      <c r="J479">
        <v>15.1000003814697</v>
      </c>
      <c r="K479">
        <v>58</v>
      </c>
      <c r="L479">
        <v>27.659999847412099</v>
      </c>
      <c r="M479">
        <v>34.099998474121101</v>
      </c>
      <c r="N479">
        <v>8.3999996185302699</v>
      </c>
      <c r="O479">
        <v>25.700000762939499</v>
      </c>
      <c r="P479">
        <v>24.5</v>
      </c>
      <c r="Q479">
        <v>18.700000762939499</v>
      </c>
      <c r="R479">
        <v>25.299999237060501</v>
      </c>
      <c r="S479">
        <v>18.700000762939499</v>
      </c>
      <c r="T479">
        <v>774</v>
      </c>
      <c r="U479">
        <v>182</v>
      </c>
      <c r="V479">
        <v>0</v>
      </c>
      <c r="W479">
        <v>111</v>
      </c>
      <c r="X479">
        <v>527</v>
      </c>
      <c r="Y479">
        <v>1</v>
      </c>
      <c r="Z479">
        <v>279</v>
      </c>
      <c r="AA479">
        <v>3</v>
      </c>
      <c r="AB479">
        <v>35.111767213736002</v>
      </c>
      <c r="AC479">
        <v>8.215970263985E-3</v>
      </c>
      <c r="AD479">
        <v>1.73968473141071</v>
      </c>
      <c r="AE479">
        <v>0.44489967823028598</v>
      </c>
      <c r="AF479">
        <v>1033.25870646766</v>
      </c>
      <c r="AG479">
        <f>IFERROR(AH479*0.1, "N/A")</f>
        <v>5.7800995024875599</v>
      </c>
      <c r="AH479">
        <v>57.800995024875597</v>
      </c>
      <c r="AI479">
        <v>277.04336396022802</v>
      </c>
      <c r="AJ479">
        <v>15.9751243781095</v>
      </c>
      <c r="AK479">
        <v>76.049751243781103</v>
      </c>
    </row>
    <row r="480" spans="1:37" x14ac:dyDescent="0.3">
      <c r="A480">
        <v>479</v>
      </c>
      <c r="B480">
        <v>0</v>
      </c>
      <c r="C480">
        <v>23.331301</v>
      </c>
      <c r="D480">
        <v>-16.173598999999999</v>
      </c>
      <c r="E480" t="s">
        <v>795</v>
      </c>
      <c r="F480" t="s">
        <v>797</v>
      </c>
      <c r="G480" t="s">
        <v>37</v>
      </c>
      <c r="H480">
        <v>0</v>
      </c>
      <c r="I480">
        <v>22.799999237060501</v>
      </c>
      <c r="J480">
        <v>15.1000003814697</v>
      </c>
      <c r="K480">
        <v>58</v>
      </c>
      <c r="L480">
        <v>27.659999847412099</v>
      </c>
      <c r="M480">
        <v>34.099998474121101</v>
      </c>
      <c r="N480">
        <v>8.3999996185302699</v>
      </c>
      <c r="O480">
        <v>25.700000762939499</v>
      </c>
      <c r="P480">
        <v>24.5</v>
      </c>
      <c r="Q480">
        <v>18.700000762939499</v>
      </c>
      <c r="R480">
        <v>25.299999237060501</v>
      </c>
      <c r="S480">
        <v>18.700000762939499</v>
      </c>
      <c r="T480">
        <v>774</v>
      </c>
      <c r="U480">
        <v>182</v>
      </c>
      <c r="V480">
        <v>0</v>
      </c>
      <c r="W480">
        <v>111</v>
      </c>
      <c r="X480">
        <v>527</v>
      </c>
      <c r="Y480">
        <v>1</v>
      </c>
      <c r="Z480">
        <v>279</v>
      </c>
      <c r="AA480">
        <v>3</v>
      </c>
      <c r="AB480">
        <v>35.111767213736002</v>
      </c>
      <c r="AC480">
        <v>8.215970263985E-3</v>
      </c>
      <c r="AD480">
        <v>1.73968473141071</v>
      </c>
      <c r="AE480">
        <v>0.44489967823028598</v>
      </c>
      <c r="AF480">
        <v>1033.25870646766</v>
      </c>
      <c r="AG480">
        <f>IFERROR(AH480*0.1, "N/A")</f>
        <v>5.7800995024875599</v>
      </c>
      <c r="AH480">
        <v>57.800995024875597</v>
      </c>
      <c r="AI480">
        <v>277.04336396022802</v>
      </c>
      <c r="AJ480">
        <v>15.9751243781095</v>
      </c>
      <c r="AK480">
        <v>76.049751243781103</v>
      </c>
    </row>
    <row r="481" spans="1:37" x14ac:dyDescent="0.3">
      <c r="A481">
        <v>480</v>
      </c>
      <c r="B481">
        <v>83.300003000000004</v>
      </c>
      <c r="C481">
        <v>26.813998999999999</v>
      </c>
      <c r="D481">
        <v>-16.125999</v>
      </c>
      <c r="E481" t="s">
        <v>798</v>
      </c>
      <c r="F481" t="s">
        <v>799</v>
      </c>
      <c r="G481" t="s">
        <v>39</v>
      </c>
      <c r="H481">
        <v>2005</v>
      </c>
      <c r="I481">
        <v>20.5</v>
      </c>
      <c r="J481">
        <v>15.1000003814697</v>
      </c>
      <c r="K481">
        <v>55</v>
      </c>
      <c r="L481">
        <v>33.529998779296903</v>
      </c>
      <c r="M481">
        <v>32.400001525878899</v>
      </c>
      <c r="N481">
        <v>5.0999999046325701</v>
      </c>
      <c r="O481">
        <v>27.299999237060501</v>
      </c>
      <c r="P481">
        <v>23</v>
      </c>
      <c r="Q481">
        <v>15.6000003814697</v>
      </c>
      <c r="R481">
        <v>23.899999618530298</v>
      </c>
      <c r="S481">
        <v>15.6000003814697</v>
      </c>
      <c r="T481">
        <v>832</v>
      </c>
      <c r="U481">
        <v>226</v>
      </c>
      <c r="V481">
        <v>0</v>
      </c>
      <c r="W481">
        <v>121</v>
      </c>
      <c r="X481">
        <v>619</v>
      </c>
      <c r="Y481">
        <v>1</v>
      </c>
      <c r="Z481">
        <v>333</v>
      </c>
      <c r="AA481">
        <v>1</v>
      </c>
      <c r="AB481">
        <v>4.4771397066432099</v>
      </c>
      <c r="AC481">
        <v>0.31588381579275299</v>
      </c>
      <c r="AD481">
        <v>1.52841629670156</v>
      </c>
      <c r="AE481">
        <v>0.50809527647416297</v>
      </c>
      <c r="AF481">
        <v>1066.25993377483</v>
      </c>
      <c r="AG481">
        <f>IFERROR(AH481*0.1, "N/A")</f>
        <v>5.8735099337748302</v>
      </c>
      <c r="AH481">
        <v>58.735099337748302</v>
      </c>
      <c r="AI481">
        <v>183.57746237950599</v>
      </c>
      <c r="AJ481">
        <v>15.738410596026499</v>
      </c>
      <c r="AK481">
        <v>75.0165562913907</v>
      </c>
    </row>
    <row r="482" spans="1:37" x14ac:dyDescent="0.3">
      <c r="A482">
        <v>481</v>
      </c>
      <c r="B482">
        <v>40.75</v>
      </c>
      <c r="C482">
        <v>27.678899999999999</v>
      </c>
      <c r="D482">
        <v>-16.1248</v>
      </c>
      <c r="E482" t="s">
        <v>800</v>
      </c>
      <c r="F482" t="s">
        <v>801</v>
      </c>
      <c r="G482" t="s">
        <v>39</v>
      </c>
      <c r="H482">
        <v>2007</v>
      </c>
      <c r="I482">
        <v>20.948172559769802</v>
      </c>
      <c r="J482">
        <v>14.5</v>
      </c>
      <c r="K482">
        <v>55.481727574750799</v>
      </c>
      <c r="L482">
        <v>30.761395470248502</v>
      </c>
      <c r="M482">
        <v>32.5</v>
      </c>
      <c r="N482">
        <v>6.64817261616653</v>
      </c>
      <c r="O482">
        <v>25.851826677290699</v>
      </c>
      <c r="P482">
        <v>22.948172559769802</v>
      </c>
      <c r="Q482">
        <v>16.496345501009401</v>
      </c>
      <c r="R482">
        <v>24.148173322709301</v>
      </c>
      <c r="S482">
        <v>16.496345501009401</v>
      </c>
      <c r="T482">
        <v>800.51827242524905</v>
      </c>
      <c r="U482">
        <v>216.51827242524899</v>
      </c>
      <c r="V482">
        <v>0</v>
      </c>
      <c r="W482">
        <v>120.51827242524899</v>
      </c>
      <c r="X482">
        <v>589.51827242524905</v>
      </c>
      <c r="Y482">
        <v>0</v>
      </c>
      <c r="Z482">
        <v>324.51827242524899</v>
      </c>
      <c r="AA482">
        <v>0</v>
      </c>
      <c r="AB482">
        <v>14.3410723613346</v>
      </c>
      <c r="AC482">
        <v>2.2892731809648001E-2</v>
      </c>
      <c r="AD482">
        <v>1.63834064664239</v>
      </c>
      <c r="AE482">
        <v>0.52225947380065896</v>
      </c>
      <c r="AF482">
        <v>1088.73920265781</v>
      </c>
      <c r="AG482">
        <f>IFERROR(AH482*0.1, "N/A")</f>
        <v>6.0481727574750801</v>
      </c>
      <c r="AH482">
        <v>60.481727574750799</v>
      </c>
      <c r="AI482">
        <v>36.244112154177998</v>
      </c>
      <c r="AJ482">
        <v>13.518272425249201</v>
      </c>
      <c r="AK482">
        <v>76</v>
      </c>
    </row>
    <row r="483" spans="1:37" x14ac:dyDescent="0.3">
      <c r="A483">
        <v>482</v>
      </c>
      <c r="B483">
        <v>35.900002000000001</v>
      </c>
      <c r="C483">
        <v>26.814399999999999</v>
      </c>
      <c r="D483">
        <v>-16.124200999999999</v>
      </c>
      <c r="E483" t="s">
        <v>802</v>
      </c>
      <c r="F483" t="s">
        <v>803</v>
      </c>
      <c r="G483" t="s">
        <v>39</v>
      </c>
      <c r="H483">
        <v>2007</v>
      </c>
      <c r="I483">
        <v>20.5</v>
      </c>
      <c r="J483">
        <v>15.1000003814697</v>
      </c>
      <c r="K483">
        <v>55</v>
      </c>
      <c r="L483">
        <v>33.585714340209996</v>
      </c>
      <c r="M483">
        <v>32.492857251848498</v>
      </c>
      <c r="N483">
        <v>5.0999999046325701</v>
      </c>
      <c r="O483">
        <v>27.392856734139599</v>
      </c>
      <c r="P483">
        <v>22.907142502921001</v>
      </c>
      <c r="Q483">
        <v>15.6000003814697</v>
      </c>
      <c r="R483">
        <v>23.899999618530298</v>
      </c>
      <c r="S483">
        <v>15.6000003814697</v>
      </c>
      <c r="T483">
        <v>832</v>
      </c>
      <c r="U483">
        <v>226</v>
      </c>
      <c r="V483">
        <v>0</v>
      </c>
      <c r="W483">
        <v>121</v>
      </c>
      <c r="X483">
        <v>619</v>
      </c>
      <c r="Y483">
        <v>1</v>
      </c>
      <c r="Z483">
        <v>333</v>
      </c>
      <c r="AA483">
        <v>1</v>
      </c>
      <c r="AB483">
        <v>8.6996895926339306</v>
      </c>
      <c r="AC483">
        <v>7.5832996447803003E-2</v>
      </c>
      <c r="AD483">
        <v>0.99224680360171502</v>
      </c>
      <c r="AE483">
        <v>0.509074747562408</v>
      </c>
      <c r="AF483">
        <v>1068.03820598007</v>
      </c>
      <c r="AG483">
        <f>IFERROR(AH483*0.1, "N/A")</f>
        <v>6.0616279069767502</v>
      </c>
      <c r="AH483">
        <v>60.616279069767501</v>
      </c>
      <c r="AI483">
        <v>101.680752022322</v>
      </c>
      <c r="AJ483">
        <v>14.936877076411999</v>
      </c>
      <c r="AK483">
        <v>75.503322259136198</v>
      </c>
    </row>
    <row r="484" spans="1:37" x14ac:dyDescent="0.3">
      <c r="A484">
        <v>483</v>
      </c>
      <c r="B484">
        <v>0</v>
      </c>
      <c r="C484">
        <v>26.814399999999999</v>
      </c>
      <c r="D484">
        <v>-16.124200999999999</v>
      </c>
      <c r="E484" t="s">
        <v>802</v>
      </c>
      <c r="F484" t="s">
        <v>804</v>
      </c>
      <c r="G484" t="s">
        <v>37</v>
      </c>
      <c r="H484">
        <v>2007</v>
      </c>
      <c r="I484">
        <v>20.5</v>
      </c>
      <c r="J484">
        <v>15.1000003814697</v>
      </c>
      <c r="K484">
        <v>55</v>
      </c>
      <c r="L484">
        <v>33.585714340209996</v>
      </c>
      <c r="M484">
        <v>32.492857251848498</v>
      </c>
      <c r="N484">
        <v>5.0999999046325701</v>
      </c>
      <c r="O484">
        <v>27.392856734139599</v>
      </c>
      <c r="P484">
        <v>22.907142502921001</v>
      </c>
      <c r="Q484">
        <v>15.6000003814697</v>
      </c>
      <c r="R484">
        <v>23.899999618530298</v>
      </c>
      <c r="S484">
        <v>15.6000003814697</v>
      </c>
      <c r="T484">
        <v>832</v>
      </c>
      <c r="U484">
        <v>226</v>
      </c>
      <c r="V484">
        <v>0</v>
      </c>
      <c r="W484">
        <v>121</v>
      </c>
      <c r="X484">
        <v>619</v>
      </c>
      <c r="Y484">
        <v>1</v>
      </c>
      <c r="Z484">
        <v>333</v>
      </c>
      <c r="AA484">
        <v>1</v>
      </c>
      <c r="AB484">
        <v>8.6996895926339306</v>
      </c>
      <c r="AC484">
        <v>7.5832996447803003E-2</v>
      </c>
      <c r="AD484">
        <v>0.99224680360171502</v>
      </c>
      <c r="AE484">
        <v>0.509074747562408</v>
      </c>
      <c r="AF484">
        <v>1068.03820598007</v>
      </c>
      <c r="AG484">
        <f>IFERROR(AH484*0.1, "N/A")</f>
        <v>6.0616279069767502</v>
      </c>
      <c r="AH484">
        <v>60.616279069767501</v>
      </c>
      <c r="AI484">
        <v>101.680752022322</v>
      </c>
      <c r="AJ484">
        <v>14.936877076411999</v>
      </c>
      <c r="AK484">
        <v>75.503322259136198</v>
      </c>
    </row>
    <row r="485" spans="1:37" x14ac:dyDescent="0.3">
      <c r="A485">
        <v>484</v>
      </c>
      <c r="B485">
        <v>41</v>
      </c>
      <c r="C485">
        <v>27.979700000000001</v>
      </c>
      <c r="D485">
        <v>-16.111899999999999</v>
      </c>
      <c r="E485" t="s">
        <v>805</v>
      </c>
      <c r="F485" t="s">
        <v>806</v>
      </c>
      <c r="G485" t="s">
        <v>39</v>
      </c>
      <c r="H485">
        <v>2007</v>
      </c>
      <c r="I485">
        <v>20.5</v>
      </c>
      <c r="J485">
        <v>13.699999809265099</v>
      </c>
      <c r="K485">
        <v>55</v>
      </c>
      <c r="L485">
        <v>28.0100002288818</v>
      </c>
      <c r="M485">
        <v>32.099998474121101</v>
      </c>
      <c r="N485">
        <v>7.4000000953674299</v>
      </c>
      <c r="O485">
        <v>24.700000762939499</v>
      </c>
      <c r="P485">
        <v>22.100000381469702</v>
      </c>
      <c r="Q485">
        <v>16.5</v>
      </c>
      <c r="R485">
        <v>23.5</v>
      </c>
      <c r="S485">
        <v>16.5</v>
      </c>
      <c r="T485">
        <v>788</v>
      </c>
      <c r="U485">
        <v>208</v>
      </c>
      <c r="V485">
        <v>0</v>
      </c>
      <c r="W485">
        <v>120</v>
      </c>
      <c r="X485">
        <v>579</v>
      </c>
      <c r="Y485">
        <v>0</v>
      </c>
      <c r="Z485">
        <v>314</v>
      </c>
      <c r="AA485">
        <v>3</v>
      </c>
      <c r="AB485">
        <v>6.1244853141898901</v>
      </c>
      <c r="AC485">
        <v>1.277211653735E-2</v>
      </c>
      <c r="AD485">
        <v>2.02880148066459</v>
      </c>
      <c r="AE485">
        <v>0.46514919400215099</v>
      </c>
      <c r="AF485">
        <v>1206.12978369384</v>
      </c>
      <c r="AG485">
        <f>IFERROR(AH485*0.1, "N/A")</f>
        <v>6.1920133111480906</v>
      </c>
      <c r="AH485">
        <v>61.920133111480901</v>
      </c>
      <c r="AI485">
        <v>288.63469209845601</v>
      </c>
      <c r="AJ485">
        <v>17.3943427620632</v>
      </c>
      <c r="AK485">
        <v>67.530782029950103</v>
      </c>
    </row>
    <row r="486" spans="1:37" x14ac:dyDescent="0.3">
      <c r="A486">
        <v>485</v>
      </c>
      <c r="B486">
        <v>90.599997999999999</v>
      </c>
      <c r="C486">
        <v>26.856999999999999</v>
      </c>
      <c r="D486">
        <v>-16.100000000000001</v>
      </c>
      <c r="E486" t="s">
        <v>807</v>
      </c>
      <c r="F486" t="s">
        <v>808</v>
      </c>
      <c r="G486" t="s">
        <v>39</v>
      </c>
      <c r="H486">
        <v>2005</v>
      </c>
      <c r="I486">
        <v>20.700000762939499</v>
      </c>
      <c r="J486">
        <v>15.1000003814697</v>
      </c>
      <c r="K486">
        <v>55</v>
      </c>
      <c r="L486">
        <v>33.501281624030703</v>
      </c>
      <c r="M486">
        <v>32.599998474121101</v>
      </c>
      <c r="N486">
        <v>5.2792014425090503</v>
      </c>
      <c r="O486">
        <v>27.320797985286401</v>
      </c>
      <c r="P486">
        <v>23.100000381469702</v>
      </c>
      <c r="Q486">
        <v>15.779201442509001</v>
      </c>
      <c r="R486">
        <v>24.079201633243901</v>
      </c>
      <c r="S486">
        <v>15.779201442509001</v>
      </c>
      <c r="T486">
        <v>829.20798668885197</v>
      </c>
      <c r="U486">
        <v>225.207986688852</v>
      </c>
      <c r="V486">
        <v>0</v>
      </c>
      <c r="W486">
        <v>120.207986688852</v>
      </c>
      <c r="X486">
        <v>617.20798668885197</v>
      </c>
      <c r="Y486">
        <v>1</v>
      </c>
      <c r="Z486">
        <v>331.20798668885197</v>
      </c>
      <c r="AA486">
        <v>1</v>
      </c>
      <c r="AB486">
        <v>1.0372909571287401</v>
      </c>
      <c r="AC486">
        <v>27.0852550126708</v>
      </c>
      <c r="AD486">
        <v>1.7366367405940599</v>
      </c>
      <c r="AE486">
        <v>0.547377169132233</v>
      </c>
      <c r="AF486">
        <v>1034.53244592346</v>
      </c>
      <c r="AG486">
        <f>IFERROR(AH486*0.1, "N/A")</f>
        <v>5.9199667221297805</v>
      </c>
      <c r="AH486">
        <v>59.199667221297801</v>
      </c>
      <c r="AI486">
        <v>172.467459629459</v>
      </c>
      <c r="AJ486">
        <v>16.800332778702199</v>
      </c>
      <c r="AK486">
        <v>73.199667221297801</v>
      </c>
    </row>
    <row r="487" spans="1:37" x14ac:dyDescent="0.3">
      <c r="A487">
        <v>486</v>
      </c>
      <c r="B487">
        <v>13.5</v>
      </c>
      <c r="C487">
        <v>27.668600000000001</v>
      </c>
      <c r="D487">
        <v>-16.097899999999999</v>
      </c>
      <c r="E487" t="s">
        <v>809</v>
      </c>
      <c r="F487" t="s">
        <v>810</v>
      </c>
      <c r="G487" t="s">
        <v>39</v>
      </c>
      <c r="H487">
        <v>2007</v>
      </c>
      <c r="I487">
        <v>21</v>
      </c>
      <c r="J487">
        <v>14.6000003814697</v>
      </c>
      <c r="K487">
        <v>56</v>
      </c>
      <c r="L487">
        <v>30.819999694824201</v>
      </c>
      <c r="M487">
        <v>32.5</v>
      </c>
      <c r="N487">
        <v>6.5999999046325701</v>
      </c>
      <c r="O487">
        <v>25.899999618530298</v>
      </c>
      <c r="P487">
        <v>23.100000381469702</v>
      </c>
      <c r="Q487">
        <v>16.5</v>
      </c>
      <c r="R487">
        <v>24.200000762939499</v>
      </c>
      <c r="S487">
        <v>16.5</v>
      </c>
      <c r="T487">
        <v>798</v>
      </c>
      <c r="U487">
        <v>216</v>
      </c>
      <c r="V487">
        <v>0</v>
      </c>
      <c r="W487">
        <v>120</v>
      </c>
      <c r="X487">
        <v>587</v>
      </c>
      <c r="Y487">
        <v>0</v>
      </c>
      <c r="Z487">
        <v>324</v>
      </c>
      <c r="AA487">
        <v>3</v>
      </c>
      <c r="AB487">
        <v>24.285850486818799</v>
      </c>
      <c r="AC487">
        <v>1.2390063709878E-2</v>
      </c>
      <c r="AD487">
        <v>1.2932809360213799</v>
      </c>
      <c r="AE487">
        <v>0.51372641324996904</v>
      </c>
      <c r="AF487">
        <v>1080.63560732113</v>
      </c>
      <c r="AG487">
        <f>IFERROR(AH487*0.1, "N/A")</f>
        <v>6</v>
      </c>
      <c r="AH487">
        <v>60</v>
      </c>
      <c r="AI487">
        <v>72.394361172261895</v>
      </c>
      <c r="AJ487">
        <v>16</v>
      </c>
      <c r="AK487">
        <v>73</v>
      </c>
    </row>
    <row r="488" spans="1:37" x14ac:dyDescent="0.3">
      <c r="A488">
        <v>487</v>
      </c>
      <c r="B488">
        <v>0.8</v>
      </c>
      <c r="C488">
        <v>28.420300000000001</v>
      </c>
      <c r="D488">
        <v>-16.0959</v>
      </c>
      <c r="E488" t="s">
        <v>811</v>
      </c>
      <c r="F488" t="s">
        <v>812</v>
      </c>
      <c r="G488" t="s">
        <v>39</v>
      </c>
      <c r="H488">
        <v>2007</v>
      </c>
      <c r="I488">
        <v>22.799999237060501</v>
      </c>
      <c r="J488">
        <v>13.3999996185303</v>
      </c>
      <c r="K488">
        <v>54</v>
      </c>
      <c r="L488">
        <v>26.4799995422363</v>
      </c>
      <c r="M488">
        <v>34.700000762939503</v>
      </c>
      <c r="N488">
        <v>10.1000003814697</v>
      </c>
      <c r="O488">
        <v>24.600000381469702</v>
      </c>
      <c r="P488">
        <v>23.700000762939499</v>
      </c>
      <c r="Q488">
        <v>19.100000381469702</v>
      </c>
      <c r="R488">
        <v>25.799999237060501</v>
      </c>
      <c r="S488">
        <v>19.100000381469702</v>
      </c>
      <c r="T488">
        <v>721</v>
      </c>
      <c r="U488">
        <v>187</v>
      </c>
      <c r="V488">
        <v>0</v>
      </c>
      <c r="W488">
        <v>119</v>
      </c>
      <c r="X488">
        <v>532</v>
      </c>
      <c r="Y488">
        <v>0</v>
      </c>
      <c r="Z488">
        <v>89</v>
      </c>
      <c r="AA488">
        <v>4</v>
      </c>
      <c r="AB488">
        <v>14.339021339101199</v>
      </c>
      <c r="AC488">
        <v>3.5932547226547998E-2</v>
      </c>
      <c r="AD488">
        <v>3.1075394669840199</v>
      </c>
      <c r="AE488">
        <v>0.310404062271118</v>
      </c>
      <c r="AF488">
        <v>898.76033057851305</v>
      </c>
      <c r="AG488">
        <f>IFERROR(AH488*0.1, "N/A")</f>
        <v>6.3000000000000007</v>
      </c>
      <c r="AH488">
        <v>63</v>
      </c>
      <c r="AI488">
        <v>94.780560709425302</v>
      </c>
      <c r="AJ488">
        <v>19.816528925619799</v>
      </c>
      <c r="AK488">
        <v>70.122314049586805</v>
      </c>
    </row>
    <row r="489" spans="1:37" x14ac:dyDescent="0.3">
      <c r="A489">
        <v>488</v>
      </c>
      <c r="B489">
        <v>1.6</v>
      </c>
      <c r="C489">
        <v>28.420300000000001</v>
      </c>
      <c r="D489">
        <v>-16.0959</v>
      </c>
      <c r="E489" t="s">
        <v>811</v>
      </c>
      <c r="F489" t="s">
        <v>813</v>
      </c>
      <c r="G489" t="s">
        <v>37</v>
      </c>
      <c r="H489">
        <v>2007</v>
      </c>
      <c r="I489">
        <v>22.799999237060501</v>
      </c>
      <c r="J489">
        <v>13.3999996185303</v>
      </c>
      <c r="K489">
        <v>54</v>
      </c>
      <c r="L489">
        <v>26.4799995422363</v>
      </c>
      <c r="M489">
        <v>34.700000762939503</v>
      </c>
      <c r="N489">
        <v>10.1000003814697</v>
      </c>
      <c r="O489">
        <v>24.600000381469702</v>
      </c>
      <c r="P489">
        <v>23.700000762939499</v>
      </c>
      <c r="Q489">
        <v>19.100000381469702</v>
      </c>
      <c r="R489">
        <v>25.799999237060501</v>
      </c>
      <c r="S489">
        <v>19.100000381469702</v>
      </c>
      <c r="T489">
        <v>721</v>
      </c>
      <c r="U489">
        <v>187</v>
      </c>
      <c r="V489">
        <v>0</v>
      </c>
      <c r="W489">
        <v>119</v>
      </c>
      <c r="X489">
        <v>532</v>
      </c>
      <c r="Y489">
        <v>0</v>
      </c>
      <c r="Z489">
        <v>89</v>
      </c>
      <c r="AA489">
        <v>4</v>
      </c>
      <c r="AB489">
        <v>14.339021339101199</v>
      </c>
      <c r="AC489">
        <v>3.5932547226547998E-2</v>
      </c>
      <c r="AD489">
        <v>3.1075394669840199</v>
      </c>
      <c r="AE489">
        <v>0.310404062271118</v>
      </c>
      <c r="AF489">
        <v>898.76033057851305</v>
      </c>
      <c r="AG489">
        <f>IFERROR(AH489*0.1, "N/A")</f>
        <v>6.3000000000000007</v>
      </c>
      <c r="AH489">
        <v>63</v>
      </c>
      <c r="AI489">
        <v>94.780560709425302</v>
      </c>
      <c r="AJ489">
        <v>19.816528925619799</v>
      </c>
      <c r="AK489">
        <v>70.122314049586805</v>
      </c>
    </row>
    <row r="490" spans="1:37" x14ac:dyDescent="0.3">
      <c r="A490">
        <v>489</v>
      </c>
      <c r="B490">
        <v>25.700001</v>
      </c>
      <c r="C490">
        <v>27.615100999999999</v>
      </c>
      <c r="D490">
        <v>-16.075600000000001</v>
      </c>
      <c r="E490" t="s">
        <v>814</v>
      </c>
      <c r="F490" t="s">
        <v>815</v>
      </c>
      <c r="G490" t="s">
        <v>39</v>
      </c>
      <c r="H490">
        <v>2007</v>
      </c>
      <c r="I490">
        <v>21.200000762939499</v>
      </c>
      <c r="J490">
        <v>14.699999809265099</v>
      </c>
      <c r="K490">
        <v>56</v>
      </c>
      <c r="L490">
        <v>31.5100002288818</v>
      </c>
      <c r="M490">
        <v>32.700000762939503</v>
      </c>
      <c r="N490">
        <v>6.5999999046325701</v>
      </c>
      <c r="O490">
        <v>26.100000381469702</v>
      </c>
      <c r="P490">
        <v>23.299999237060501</v>
      </c>
      <c r="Q490">
        <v>16.600000381469702</v>
      </c>
      <c r="R490">
        <v>24.5</v>
      </c>
      <c r="S490">
        <v>16.600000381469702</v>
      </c>
      <c r="T490">
        <v>799</v>
      </c>
      <c r="U490">
        <v>217</v>
      </c>
      <c r="V490">
        <v>0</v>
      </c>
      <c r="W490">
        <v>120</v>
      </c>
      <c r="X490">
        <v>587</v>
      </c>
      <c r="Y490">
        <v>0</v>
      </c>
      <c r="Z490">
        <v>324</v>
      </c>
      <c r="AA490">
        <v>3</v>
      </c>
      <c r="AB490">
        <v>6.5706487500647803</v>
      </c>
      <c r="AC490">
        <v>2.2001553444226E-2</v>
      </c>
      <c r="AD490">
        <v>1.10783584774232</v>
      </c>
      <c r="AE490">
        <v>0.47714719176292397</v>
      </c>
      <c r="AF490">
        <v>1041.8938640132701</v>
      </c>
      <c r="AG490">
        <f>IFERROR(AH490*0.1, "N/A")</f>
        <v>6.3966832504145898</v>
      </c>
      <c r="AH490">
        <v>63.966832504145898</v>
      </c>
      <c r="AI490">
        <v>154.941902201765</v>
      </c>
      <c r="AJ490">
        <v>20.900497512437799</v>
      </c>
      <c r="AK490">
        <v>64.066334991708104</v>
      </c>
    </row>
    <row r="491" spans="1:37" x14ac:dyDescent="0.3">
      <c r="A491">
        <v>490</v>
      </c>
      <c r="B491">
        <v>0</v>
      </c>
      <c r="C491">
        <v>23.031400999999999</v>
      </c>
      <c r="D491">
        <v>-16.072099999999999</v>
      </c>
      <c r="E491" t="s">
        <v>816</v>
      </c>
      <c r="F491" t="s">
        <v>817</v>
      </c>
      <c r="G491" t="s">
        <v>39</v>
      </c>
      <c r="H491">
        <v>0</v>
      </c>
      <c r="I491">
        <v>22.700000762939499</v>
      </c>
      <c r="J491">
        <v>15.1000003814697</v>
      </c>
      <c r="K491">
        <v>58</v>
      </c>
      <c r="L491">
        <v>27.2700004577637</v>
      </c>
      <c r="M491">
        <v>34.200000762939503</v>
      </c>
      <c r="N491">
        <v>8.5</v>
      </c>
      <c r="O491">
        <v>25.700000762939499</v>
      </c>
      <c r="P491">
        <v>24.299999237060501</v>
      </c>
      <c r="Q491">
        <v>18.700000762939499</v>
      </c>
      <c r="R491">
        <v>25.299999237060501</v>
      </c>
      <c r="S491">
        <v>18.600000381469702</v>
      </c>
      <c r="T491">
        <v>806</v>
      </c>
      <c r="U491">
        <v>183</v>
      </c>
      <c r="V491">
        <v>0</v>
      </c>
      <c r="W491">
        <v>109</v>
      </c>
      <c r="X491">
        <v>536</v>
      </c>
      <c r="Y491">
        <v>1</v>
      </c>
      <c r="Z491">
        <v>111</v>
      </c>
      <c r="AA491">
        <v>3</v>
      </c>
      <c r="AB491">
        <v>10.4650252359621</v>
      </c>
      <c r="AC491">
        <v>6.5666964855260995E-2</v>
      </c>
      <c r="AD491">
        <v>1.5319328252751201</v>
      </c>
      <c r="AE491">
        <v>0.303655845262913</v>
      </c>
      <c r="AF491">
        <v>1011.54063018242</v>
      </c>
      <c r="AG491">
        <f>IFERROR(AH491*0.1, "N/A")</f>
        <v>6.8704809286898794</v>
      </c>
      <c r="AH491">
        <v>68.704809286898794</v>
      </c>
      <c r="AI491">
        <v>128.34875855200701</v>
      </c>
      <c r="AJ491">
        <v>14.805970149253699</v>
      </c>
      <c r="AK491">
        <v>75.860696517412904</v>
      </c>
    </row>
    <row r="492" spans="1:37" x14ac:dyDescent="0.3">
      <c r="A492">
        <v>491</v>
      </c>
      <c r="B492">
        <v>0</v>
      </c>
      <c r="C492">
        <v>23.031400999999999</v>
      </c>
      <c r="D492">
        <v>-16.072099999999999</v>
      </c>
      <c r="E492" t="s">
        <v>816</v>
      </c>
      <c r="F492" t="s">
        <v>818</v>
      </c>
      <c r="G492" t="s">
        <v>37</v>
      </c>
      <c r="H492">
        <v>0</v>
      </c>
      <c r="I492">
        <v>22.700000762939499</v>
      </c>
      <c r="J492">
        <v>15.1000003814697</v>
      </c>
      <c r="K492">
        <v>58</v>
      </c>
      <c r="L492">
        <v>27.2700004577637</v>
      </c>
      <c r="M492">
        <v>34.200000762939503</v>
      </c>
      <c r="N492">
        <v>8.5</v>
      </c>
      <c r="O492">
        <v>25.700000762939499</v>
      </c>
      <c r="P492">
        <v>24.299999237060501</v>
      </c>
      <c r="Q492">
        <v>18.700000762939499</v>
      </c>
      <c r="R492">
        <v>25.299999237060501</v>
      </c>
      <c r="S492">
        <v>18.600000381469702</v>
      </c>
      <c r="T492">
        <v>806</v>
      </c>
      <c r="U492">
        <v>183</v>
      </c>
      <c r="V492">
        <v>0</v>
      </c>
      <c r="W492">
        <v>109</v>
      </c>
      <c r="X492">
        <v>536</v>
      </c>
      <c r="Y492">
        <v>1</v>
      </c>
      <c r="Z492">
        <v>111</v>
      </c>
      <c r="AA492">
        <v>3</v>
      </c>
      <c r="AB492">
        <v>10.4650252359621</v>
      </c>
      <c r="AC492">
        <v>6.5666964855260995E-2</v>
      </c>
      <c r="AD492">
        <v>1.5319328252751201</v>
      </c>
      <c r="AE492">
        <v>0.303655845262913</v>
      </c>
      <c r="AF492">
        <v>1011.54063018242</v>
      </c>
      <c r="AG492">
        <f>IFERROR(AH492*0.1, "N/A")</f>
        <v>6.8704809286898794</v>
      </c>
      <c r="AH492">
        <v>68.704809286898794</v>
      </c>
      <c r="AI492">
        <v>128.34875855200701</v>
      </c>
      <c r="AJ492">
        <v>14.805970149253699</v>
      </c>
      <c r="AK492">
        <v>75.860696517412904</v>
      </c>
    </row>
    <row r="493" spans="1:37" x14ac:dyDescent="0.3">
      <c r="A493">
        <v>492</v>
      </c>
      <c r="B493">
        <v>3.1</v>
      </c>
      <c r="C493">
        <v>28.495398999999999</v>
      </c>
      <c r="D493">
        <v>-16.069299999999998</v>
      </c>
      <c r="E493" t="s">
        <v>819</v>
      </c>
      <c r="F493" t="s">
        <v>820</v>
      </c>
      <c r="G493" t="s">
        <v>39</v>
      </c>
      <c r="H493">
        <v>2008</v>
      </c>
      <c r="I493">
        <v>23.5</v>
      </c>
      <c r="J493">
        <v>13.5</v>
      </c>
      <c r="K493">
        <v>54</v>
      </c>
      <c r="L493">
        <v>26.7399997711182</v>
      </c>
      <c r="M493">
        <v>35.5</v>
      </c>
      <c r="N493">
        <v>10.699999809265099</v>
      </c>
      <c r="O493">
        <v>24.799999237060501</v>
      </c>
      <c r="P493">
        <v>24.399999618530298</v>
      </c>
      <c r="Q493">
        <v>19.799999237060501</v>
      </c>
      <c r="R493">
        <v>26.600000381469702</v>
      </c>
      <c r="S493">
        <v>19.799999237060501</v>
      </c>
      <c r="T493">
        <v>705</v>
      </c>
      <c r="U493">
        <v>184</v>
      </c>
      <c r="V493">
        <v>0</v>
      </c>
      <c r="W493">
        <v>121</v>
      </c>
      <c r="X493">
        <v>522</v>
      </c>
      <c r="Y493">
        <v>0</v>
      </c>
      <c r="Z493">
        <v>85</v>
      </c>
      <c r="AA493">
        <v>3</v>
      </c>
      <c r="AB493">
        <v>40.362558933283303</v>
      </c>
      <c r="AC493">
        <v>1.5324417868666E-2</v>
      </c>
      <c r="AD493">
        <v>5.4091854014538798</v>
      </c>
      <c r="AE493">
        <v>0.193528174169806</v>
      </c>
      <c r="AF493">
        <v>771.64569536423801</v>
      </c>
      <c r="AG493">
        <f>IFERROR(AH493*0.1, "N/A")</f>
        <v>5.8996688741721801</v>
      </c>
      <c r="AH493">
        <v>58.996688741721798</v>
      </c>
      <c r="AI493">
        <v>265.51282107119499</v>
      </c>
      <c r="AJ493">
        <v>25.9437086092715</v>
      </c>
      <c r="AK493">
        <v>58.056291390728497</v>
      </c>
    </row>
    <row r="494" spans="1:37" x14ac:dyDescent="0.3">
      <c r="A494">
        <v>493</v>
      </c>
      <c r="B494">
        <v>2</v>
      </c>
      <c r="C494">
        <v>28.495398999999999</v>
      </c>
      <c r="D494">
        <v>-16.069299999999998</v>
      </c>
      <c r="E494" t="s">
        <v>819</v>
      </c>
      <c r="F494" t="s">
        <v>821</v>
      </c>
      <c r="G494" t="s">
        <v>37</v>
      </c>
      <c r="H494">
        <v>2008</v>
      </c>
      <c r="I494">
        <v>23.5</v>
      </c>
      <c r="J494">
        <v>13.5</v>
      </c>
      <c r="K494">
        <v>54</v>
      </c>
      <c r="L494">
        <v>26.7399997711182</v>
      </c>
      <c r="M494">
        <v>35.5</v>
      </c>
      <c r="N494">
        <v>10.699999809265099</v>
      </c>
      <c r="O494">
        <v>24.799999237060501</v>
      </c>
      <c r="P494">
        <v>24.399999618530298</v>
      </c>
      <c r="Q494">
        <v>19.799999237060501</v>
      </c>
      <c r="R494">
        <v>26.600000381469702</v>
      </c>
      <c r="S494">
        <v>19.799999237060501</v>
      </c>
      <c r="T494">
        <v>705</v>
      </c>
      <c r="U494">
        <v>184</v>
      </c>
      <c r="V494">
        <v>0</v>
      </c>
      <c r="W494">
        <v>121</v>
      </c>
      <c r="X494">
        <v>522</v>
      </c>
      <c r="Y494">
        <v>0</v>
      </c>
      <c r="Z494">
        <v>85</v>
      </c>
      <c r="AA494">
        <v>3</v>
      </c>
      <c r="AB494">
        <v>40.362558933283303</v>
      </c>
      <c r="AC494">
        <v>1.5324417868666E-2</v>
      </c>
      <c r="AD494">
        <v>5.4091854014538798</v>
      </c>
      <c r="AE494">
        <v>0.193528174169806</v>
      </c>
      <c r="AF494">
        <v>771.64569536423801</v>
      </c>
      <c r="AG494">
        <f>IFERROR(AH494*0.1, "N/A")</f>
        <v>5.8996688741721801</v>
      </c>
      <c r="AH494">
        <v>58.996688741721798</v>
      </c>
      <c r="AI494">
        <v>265.51282107119499</v>
      </c>
      <c r="AJ494">
        <v>25.9437086092715</v>
      </c>
      <c r="AK494">
        <v>58.056291390728497</v>
      </c>
    </row>
    <row r="495" spans="1:37" x14ac:dyDescent="0.3">
      <c r="A495">
        <v>494</v>
      </c>
      <c r="B495">
        <v>15</v>
      </c>
      <c r="C495">
        <v>27.698298999999999</v>
      </c>
      <c r="D495">
        <v>-16.055599000000001</v>
      </c>
      <c r="E495" t="s">
        <v>822</v>
      </c>
      <c r="F495" t="s">
        <v>823</v>
      </c>
      <c r="G495" t="s">
        <v>39</v>
      </c>
      <c r="H495">
        <v>2007</v>
      </c>
      <c r="I495">
        <v>21.100000381469702</v>
      </c>
      <c r="J495">
        <v>14.5</v>
      </c>
      <c r="K495">
        <v>55</v>
      </c>
      <c r="L495">
        <v>30.579999923706101</v>
      </c>
      <c r="M495">
        <v>32.700000762939503</v>
      </c>
      <c r="N495">
        <v>6.8000001907348597</v>
      </c>
      <c r="O495">
        <v>25.899999618530298</v>
      </c>
      <c r="P495">
        <v>23.100000381469702</v>
      </c>
      <c r="Q495">
        <v>16.700000762939499</v>
      </c>
      <c r="R495">
        <v>24.299999237060501</v>
      </c>
      <c r="S495">
        <v>16.700000762939499</v>
      </c>
      <c r="T495">
        <v>789</v>
      </c>
      <c r="U495">
        <v>215</v>
      </c>
      <c r="V495">
        <v>0</v>
      </c>
      <c r="W495">
        <v>121</v>
      </c>
      <c r="X495">
        <v>582</v>
      </c>
      <c r="Y495">
        <v>0</v>
      </c>
      <c r="Z495">
        <v>322</v>
      </c>
      <c r="AA495">
        <v>2</v>
      </c>
      <c r="AB495">
        <v>0.738077867070702</v>
      </c>
      <c r="AC495">
        <v>0.48229576056309498</v>
      </c>
      <c r="AD495">
        <v>1.21684869435737</v>
      </c>
      <c r="AE495">
        <v>0.42318016290664701</v>
      </c>
      <c r="AF495">
        <v>1050.2425249169401</v>
      </c>
      <c r="AG495">
        <f>IFERROR(AH495*0.1, "N/A")</f>
        <v>5.9179401993355505</v>
      </c>
      <c r="AH495">
        <v>59.179401993355498</v>
      </c>
      <c r="AI495">
        <v>192.51486178173201</v>
      </c>
      <c r="AJ495">
        <v>19</v>
      </c>
      <c r="AK495">
        <v>68</v>
      </c>
    </row>
    <row r="496" spans="1:37" x14ac:dyDescent="0.3">
      <c r="A496">
        <v>495</v>
      </c>
      <c r="B496">
        <v>1.1000000000000001</v>
      </c>
      <c r="C496">
        <v>28.413401</v>
      </c>
      <c r="D496">
        <v>-15.972799999999999</v>
      </c>
      <c r="E496" t="s">
        <v>824</v>
      </c>
      <c r="F496" t="s">
        <v>825</v>
      </c>
      <c r="G496" t="s">
        <v>39</v>
      </c>
      <c r="H496">
        <v>2008</v>
      </c>
      <c r="I496">
        <v>22.200000762939499</v>
      </c>
      <c r="J496">
        <v>13.300000190734901</v>
      </c>
      <c r="K496">
        <v>54</v>
      </c>
      <c r="L496">
        <v>26.780000686645501</v>
      </c>
      <c r="M496">
        <v>34.099998474121101</v>
      </c>
      <c r="N496">
        <v>9.6000003814697301</v>
      </c>
      <c r="O496">
        <v>24.5</v>
      </c>
      <c r="P496">
        <v>23.399999618530298</v>
      </c>
      <c r="Q496">
        <v>18.5</v>
      </c>
      <c r="R496">
        <v>25.200000762939499</v>
      </c>
      <c r="S496">
        <v>18.399999618530298</v>
      </c>
      <c r="T496">
        <v>731</v>
      </c>
      <c r="U496">
        <v>189</v>
      </c>
      <c r="V496">
        <v>0</v>
      </c>
      <c r="W496">
        <v>120</v>
      </c>
      <c r="X496">
        <v>538</v>
      </c>
      <c r="Y496">
        <v>0</v>
      </c>
      <c r="Z496">
        <v>91</v>
      </c>
      <c r="AA496">
        <v>4</v>
      </c>
      <c r="AB496">
        <v>27.300342952690301</v>
      </c>
      <c r="AC496">
        <v>2.0491809259319999E-2</v>
      </c>
      <c r="AD496">
        <v>2.8179009677563802</v>
      </c>
      <c r="AE496">
        <v>0.44199162533512898</v>
      </c>
      <c r="AF496">
        <v>950.323920265781</v>
      </c>
      <c r="AG496">
        <f>IFERROR(AH496*0.1, "N/A")</f>
        <v>6.2096345514950206</v>
      </c>
      <c r="AH496">
        <v>62.096345514950201</v>
      </c>
      <c r="AI496">
        <v>55.906140020123402</v>
      </c>
      <c r="AJ496">
        <v>16.976744186046499</v>
      </c>
      <c r="AK496">
        <v>74.950166112956794</v>
      </c>
    </row>
    <row r="497" spans="1:37" x14ac:dyDescent="0.3">
      <c r="A497">
        <v>496</v>
      </c>
      <c r="B497">
        <v>0</v>
      </c>
      <c r="C497">
        <v>28.413401</v>
      </c>
      <c r="D497">
        <v>-15.972799999999999</v>
      </c>
      <c r="E497" t="s">
        <v>824</v>
      </c>
      <c r="F497" t="s">
        <v>826</v>
      </c>
      <c r="G497" t="s">
        <v>37</v>
      </c>
      <c r="H497">
        <v>2008</v>
      </c>
      <c r="I497">
        <v>22.200000762939499</v>
      </c>
      <c r="J497">
        <v>13.300000190734901</v>
      </c>
      <c r="K497">
        <v>54</v>
      </c>
      <c r="L497">
        <v>26.780000686645501</v>
      </c>
      <c r="M497">
        <v>34.099998474121101</v>
      </c>
      <c r="N497">
        <v>9.6000003814697301</v>
      </c>
      <c r="O497">
        <v>24.5</v>
      </c>
      <c r="P497">
        <v>23.399999618530298</v>
      </c>
      <c r="Q497">
        <v>18.5</v>
      </c>
      <c r="R497">
        <v>25.200000762939499</v>
      </c>
      <c r="S497">
        <v>18.399999618530298</v>
      </c>
      <c r="T497">
        <v>731</v>
      </c>
      <c r="U497">
        <v>189</v>
      </c>
      <c r="V497">
        <v>0</v>
      </c>
      <c r="W497">
        <v>120</v>
      </c>
      <c r="X497">
        <v>538</v>
      </c>
      <c r="Y497">
        <v>0</v>
      </c>
      <c r="Z497">
        <v>91</v>
      </c>
      <c r="AA497">
        <v>4</v>
      </c>
      <c r="AB497">
        <v>27.300342952690301</v>
      </c>
      <c r="AC497">
        <v>2.0491809259319999E-2</v>
      </c>
      <c r="AD497">
        <v>2.8179009677563802</v>
      </c>
      <c r="AE497">
        <v>0.44199162533512898</v>
      </c>
      <c r="AF497">
        <v>950.323920265781</v>
      </c>
      <c r="AG497">
        <f>IFERROR(AH497*0.1, "N/A")</f>
        <v>6.2096345514950206</v>
      </c>
      <c r="AH497">
        <v>62.096345514950201</v>
      </c>
      <c r="AI497">
        <v>55.906140020123402</v>
      </c>
      <c r="AJ497">
        <v>16.976744186046499</v>
      </c>
      <c r="AK497">
        <v>74.950166112956794</v>
      </c>
    </row>
    <row r="498" spans="1:37" x14ac:dyDescent="0.3">
      <c r="A498">
        <v>497</v>
      </c>
      <c r="B498">
        <v>2.9</v>
      </c>
      <c r="C498">
        <v>28.838799999999999</v>
      </c>
      <c r="D498">
        <v>-15.9422</v>
      </c>
      <c r="E498" t="s">
        <v>827</v>
      </c>
      <c r="F498" t="s">
        <v>828</v>
      </c>
      <c r="G498" t="s">
        <v>39</v>
      </c>
      <c r="H498">
        <v>2008</v>
      </c>
      <c r="I498">
        <v>25</v>
      </c>
      <c r="J498">
        <v>13.8999996185303</v>
      </c>
      <c r="K498">
        <v>53</v>
      </c>
      <c r="L498">
        <v>29.988385579748702</v>
      </c>
      <c r="M498">
        <v>37.099998474121101</v>
      </c>
      <c r="N498">
        <v>11.300000190734901</v>
      </c>
      <c r="O498">
        <v>25.799999237060501</v>
      </c>
      <c r="P498">
        <v>26.399999618530298</v>
      </c>
      <c r="Q498">
        <v>22.799999237060501</v>
      </c>
      <c r="R498">
        <v>28.399999618530298</v>
      </c>
      <c r="S498">
        <v>20.799999237060501</v>
      </c>
      <c r="T498">
        <v>657.95341098169695</v>
      </c>
      <c r="U498">
        <v>174</v>
      </c>
      <c r="V498">
        <v>0</v>
      </c>
      <c r="W498">
        <v>122</v>
      </c>
      <c r="X498">
        <v>487</v>
      </c>
      <c r="Y498">
        <v>0</v>
      </c>
      <c r="Z498">
        <v>235</v>
      </c>
      <c r="AA498">
        <v>1.0465890183028299</v>
      </c>
      <c r="AB498">
        <v>12.0793808415011</v>
      </c>
      <c r="AC498">
        <v>9.2107508201370002E-3</v>
      </c>
      <c r="AD498">
        <v>0.55644852418867796</v>
      </c>
      <c r="AE498">
        <v>0.35619452595710799</v>
      </c>
      <c r="AF498">
        <v>380.574043261231</v>
      </c>
      <c r="AG498">
        <f>IFERROR(AH498*0.1, "N/A")</f>
        <v>6.76589018302829</v>
      </c>
      <c r="AH498">
        <v>67.6589018302829</v>
      </c>
      <c r="AI498">
        <v>95.267726396760594</v>
      </c>
      <c r="AJ498">
        <v>24.678868552412599</v>
      </c>
      <c r="AK498">
        <v>62.680532445923497</v>
      </c>
    </row>
    <row r="499" spans="1:37" x14ac:dyDescent="0.3">
      <c r="A499">
        <v>498</v>
      </c>
      <c r="B499">
        <v>0</v>
      </c>
      <c r="C499">
        <v>28.838799999999999</v>
      </c>
      <c r="D499">
        <v>-15.9422</v>
      </c>
      <c r="E499" t="s">
        <v>827</v>
      </c>
      <c r="F499" t="s">
        <v>829</v>
      </c>
      <c r="G499" t="s">
        <v>37</v>
      </c>
      <c r="H499">
        <v>2008</v>
      </c>
      <c r="I499">
        <v>25</v>
      </c>
      <c r="J499">
        <v>13.8999996185303</v>
      </c>
      <c r="K499">
        <v>53</v>
      </c>
      <c r="L499">
        <v>29.988385579748702</v>
      </c>
      <c r="M499">
        <v>37.099998474121101</v>
      </c>
      <c r="N499">
        <v>11.300000190734901</v>
      </c>
      <c r="O499">
        <v>25.799999237060501</v>
      </c>
      <c r="P499">
        <v>26.399999618530298</v>
      </c>
      <c r="Q499">
        <v>22.799999237060501</v>
      </c>
      <c r="R499">
        <v>28.399999618530298</v>
      </c>
      <c r="S499">
        <v>20.799999237060501</v>
      </c>
      <c r="T499">
        <v>657.95341098169695</v>
      </c>
      <c r="U499">
        <v>174</v>
      </c>
      <c r="V499">
        <v>0</v>
      </c>
      <c r="W499">
        <v>122</v>
      </c>
      <c r="X499">
        <v>487</v>
      </c>
      <c r="Y499">
        <v>0</v>
      </c>
      <c r="Z499">
        <v>235</v>
      </c>
      <c r="AA499">
        <v>1.0465890183028299</v>
      </c>
      <c r="AB499">
        <v>12.0793808415011</v>
      </c>
      <c r="AC499">
        <v>9.2107508201370002E-3</v>
      </c>
      <c r="AD499">
        <v>0.55644852418867796</v>
      </c>
      <c r="AE499">
        <v>0.35619452595710799</v>
      </c>
      <c r="AF499">
        <v>380.574043261231</v>
      </c>
      <c r="AG499">
        <f>IFERROR(AH499*0.1, "N/A")</f>
        <v>6.76589018302829</v>
      </c>
      <c r="AH499">
        <v>67.6589018302829</v>
      </c>
      <c r="AI499">
        <v>95.267726396760594</v>
      </c>
      <c r="AJ499">
        <v>24.678868552412599</v>
      </c>
      <c r="AK499">
        <v>62.680532445923497</v>
      </c>
    </row>
    <row r="500" spans="1:37" x14ac:dyDescent="0.3">
      <c r="A500">
        <v>499</v>
      </c>
      <c r="B500">
        <v>2.2000000000000002</v>
      </c>
      <c r="C500">
        <v>28.913401</v>
      </c>
      <c r="D500">
        <v>-15.9412</v>
      </c>
      <c r="E500" t="s">
        <v>830</v>
      </c>
      <c r="F500" t="s">
        <v>831</v>
      </c>
      <c r="G500" t="s">
        <v>39</v>
      </c>
      <c r="H500">
        <v>2008</v>
      </c>
      <c r="I500">
        <v>24.824458564974101</v>
      </c>
      <c r="J500">
        <v>13.800000190734901</v>
      </c>
      <c r="K500">
        <v>53</v>
      </c>
      <c r="L500">
        <v>31.6502820616356</v>
      </c>
      <c r="M500">
        <v>36.724459624330102</v>
      </c>
      <c r="N500">
        <v>10.800000190734901</v>
      </c>
      <c r="O500">
        <v>25.924458946443799</v>
      </c>
      <c r="P500">
        <v>26.4489182743574</v>
      </c>
      <c r="Q500">
        <v>20.299999237060501</v>
      </c>
      <c r="R500">
        <v>28.348917892887702</v>
      </c>
      <c r="S500">
        <v>20.299999237060501</v>
      </c>
      <c r="T500">
        <v>660.51081530782005</v>
      </c>
      <c r="U500">
        <v>175</v>
      </c>
      <c r="V500">
        <v>0</v>
      </c>
      <c r="W500">
        <v>120.48918469218</v>
      </c>
      <c r="X500">
        <v>489.75540765391003</v>
      </c>
      <c r="Y500">
        <v>0</v>
      </c>
      <c r="Z500">
        <v>235.75540765391</v>
      </c>
      <c r="AA500">
        <v>0.24459234608985</v>
      </c>
      <c r="AB500">
        <v>10.0407487866089</v>
      </c>
      <c r="AC500">
        <v>1.6286577359958001E-2</v>
      </c>
      <c r="AD500">
        <v>1.9077966570259099</v>
      </c>
      <c r="AE500">
        <v>0.27692827582359297</v>
      </c>
      <c r="AF500">
        <v>377.40099833610702</v>
      </c>
      <c r="AG500">
        <f>IFERROR(AH500*0.1, "N/A")</f>
        <v>6.50915141430949</v>
      </c>
      <c r="AH500">
        <v>65.091514143094898</v>
      </c>
      <c r="AI500">
        <v>228.47650326746299</v>
      </c>
      <c r="AJ500">
        <v>25.908485856905202</v>
      </c>
      <c r="AK500">
        <v>58.183028286189703</v>
      </c>
    </row>
    <row r="501" spans="1:37" x14ac:dyDescent="0.3">
      <c r="A501">
        <v>500</v>
      </c>
      <c r="B501">
        <v>1</v>
      </c>
      <c r="C501">
        <v>28.913401</v>
      </c>
      <c r="D501">
        <v>-15.9412</v>
      </c>
      <c r="E501" t="s">
        <v>830</v>
      </c>
      <c r="F501" t="s">
        <v>832</v>
      </c>
      <c r="G501" t="s">
        <v>37</v>
      </c>
      <c r="H501">
        <v>2008</v>
      </c>
      <c r="I501">
        <v>24.824458564974101</v>
      </c>
      <c r="J501">
        <v>13.800000190734901</v>
      </c>
      <c r="K501">
        <v>53</v>
      </c>
      <c r="L501">
        <v>31.6502820616356</v>
      </c>
      <c r="M501">
        <v>36.724459624330102</v>
      </c>
      <c r="N501">
        <v>10.800000190734901</v>
      </c>
      <c r="O501">
        <v>25.924458946443799</v>
      </c>
      <c r="P501">
        <v>26.4489182743574</v>
      </c>
      <c r="Q501">
        <v>20.299999237060501</v>
      </c>
      <c r="R501">
        <v>28.348917892887702</v>
      </c>
      <c r="S501">
        <v>20.299999237060501</v>
      </c>
      <c r="T501">
        <v>660.51081530782005</v>
      </c>
      <c r="U501">
        <v>175</v>
      </c>
      <c r="V501">
        <v>0</v>
      </c>
      <c r="W501">
        <v>120.48918469218</v>
      </c>
      <c r="X501">
        <v>489.75540765391003</v>
      </c>
      <c r="Y501">
        <v>0</v>
      </c>
      <c r="Z501">
        <v>235.75540765391</v>
      </c>
      <c r="AA501">
        <v>0.24459234608985</v>
      </c>
      <c r="AB501">
        <v>10.0407487866089</v>
      </c>
      <c r="AC501">
        <v>1.6286577359958001E-2</v>
      </c>
      <c r="AD501">
        <v>1.9077966570259099</v>
      </c>
      <c r="AE501">
        <v>0.27692827582359297</v>
      </c>
      <c r="AF501">
        <v>377.40099833610702</v>
      </c>
      <c r="AG501">
        <f>IFERROR(AH501*0.1, "N/A")</f>
        <v>6.50915141430949</v>
      </c>
      <c r="AH501">
        <v>65.091514143094898</v>
      </c>
      <c r="AI501">
        <v>228.47650326746299</v>
      </c>
      <c r="AJ501">
        <v>25.908485856905202</v>
      </c>
      <c r="AK501">
        <v>58.183028286189703</v>
      </c>
    </row>
    <row r="502" spans="1:37" x14ac:dyDescent="0.3">
      <c r="A502">
        <v>501</v>
      </c>
      <c r="B502">
        <v>17</v>
      </c>
      <c r="C502">
        <v>28.372900000000001</v>
      </c>
      <c r="D502">
        <v>-15.9298</v>
      </c>
      <c r="E502" t="s">
        <v>833</v>
      </c>
      <c r="F502" t="s">
        <v>834</v>
      </c>
      <c r="G502" t="s">
        <v>39</v>
      </c>
      <c r="H502">
        <v>2008</v>
      </c>
      <c r="I502">
        <v>22.5</v>
      </c>
      <c r="J502">
        <v>13.3999996185303</v>
      </c>
      <c r="K502">
        <v>54</v>
      </c>
      <c r="L502">
        <v>27</v>
      </c>
      <c r="M502">
        <v>34.299999237060497</v>
      </c>
      <c r="N502">
        <v>9.6999998092651403</v>
      </c>
      <c r="O502">
        <v>24.600000381469702</v>
      </c>
      <c r="P502">
        <v>23.700000762939499</v>
      </c>
      <c r="Q502">
        <v>18.700000762939499</v>
      </c>
      <c r="R502">
        <v>25.5</v>
      </c>
      <c r="S502">
        <v>18.700000762939499</v>
      </c>
      <c r="T502">
        <v>731</v>
      </c>
      <c r="U502">
        <v>189</v>
      </c>
      <c r="V502">
        <v>0</v>
      </c>
      <c r="W502">
        <v>121</v>
      </c>
      <c r="X502">
        <v>539</v>
      </c>
      <c r="Y502">
        <v>0</v>
      </c>
      <c r="Z502">
        <v>279</v>
      </c>
      <c r="AA502">
        <v>3</v>
      </c>
      <c r="AB502">
        <v>18.381087522996999</v>
      </c>
      <c r="AC502">
        <v>8.7019017917624994E-2</v>
      </c>
      <c r="AD502">
        <v>1.8532751201100599</v>
      </c>
      <c r="AE502">
        <v>0.49597778916358898</v>
      </c>
      <c r="AF502">
        <v>895.90215588723004</v>
      </c>
      <c r="AG502">
        <f>IFERROR(AH502*0.1, "N/A")</f>
        <v>6.5742951907131006</v>
      </c>
      <c r="AH502">
        <v>65.742951907131001</v>
      </c>
      <c r="AI502">
        <v>50.7875240295878</v>
      </c>
      <c r="AJ502">
        <v>19.742951907131001</v>
      </c>
      <c r="AK502">
        <v>69.694859038142596</v>
      </c>
    </row>
    <row r="503" spans="1:37" x14ac:dyDescent="0.3">
      <c r="A503">
        <v>502</v>
      </c>
      <c r="B503">
        <v>0</v>
      </c>
      <c r="C503">
        <v>28.372900000000001</v>
      </c>
      <c r="D503">
        <v>-15.9298</v>
      </c>
      <c r="E503" t="s">
        <v>833</v>
      </c>
      <c r="F503" t="s">
        <v>835</v>
      </c>
      <c r="G503" t="s">
        <v>37</v>
      </c>
      <c r="H503">
        <v>2008</v>
      </c>
      <c r="I503">
        <v>22.5</v>
      </c>
      <c r="J503">
        <v>13.3999996185303</v>
      </c>
      <c r="K503">
        <v>54</v>
      </c>
      <c r="L503">
        <v>27</v>
      </c>
      <c r="M503">
        <v>34.299999237060497</v>
      </c>
      <c r="N503">
        <v>9.6999998092651403</v>
      </c>
      <c r="O503">
        <v>24.600000381469702</v>
      </c>
      <c r="P503">
        <v>23.700000762939499</v>
      </c>
      <c r="Q503">
        <v>18.700000762939499</v>
      </c>
      <c r="R503">
        <v>25.5</v>
      </c>
      <c r="S503">
        <v>18.700000762939499</v>
      </c>
      <c r="T503">
        <v>731</v>
      </c>
      <c r="U503">
        <v>189</v>
      </c>
      <c r="V503">
        <v>0</v>
      </c>
      <c r="W503">
        <v>121</v>
      </c>
      <c r="X503">
        <v>539</v>
      </c>
      <c r="Y503">
        <v>0</v>
      </c>
      <c r="Z503">
        <v>279</v>
      </c>
      <c r="AA503">
        <v>3</v>
      </c>
      <c r="AB503">
        <v>18.381087522996999</v>
      </c>
      <c r="AC503">
        <v>8.7019017917624994E-2</v>
      </c>
      <c r="AD503">
        <v>1.8532751201100599</v>
      </c>
      <c r="AE503">
        <v>0.49597778916358898</v>
      </c>
      <c r="AF503">
        <v>895.90215588723004</v>
      </c>
      <c r="AG503">
        <f>IFERROR(AH503*0.1, "N/A")</f>
        <v>6.5742951907131006</v>
      </c>
      <c r="AH503">
        <v>65.742951907131001</v>
      </c>
      <c r="AI503">
        <v>50.7875240295878</v>
      </c>
      <c r="AJ503">
        <v>19.742951907131001</v>
      </c>
      <c r="AK503">
        <v>69.694859038142596</v>
      </c>
    </row>
    <row r="504" spans="1:37" x14ac:dyDescent="0.3">
      <c r="A504">
        <v>503</v>
      </c>
      <c r="B504">
        <v>2.4</v>
      </c>
      <c r="C504">
        <v>28.965900000000001</v>
      </c>
      <c r="D504">
        <v>-15.927899999999999</v>
      </c>
      <c r="E504" t="s">
        <v>836</v>
      </c>
      <c r="F504" t="s">
        <v>837</v>
      </c>
      <c r="G504" t="s">
        <v>39</v>
      </c>
      <c r="H504">
        <v>2008</v>
      </c>
      <c r="I504">
        <v>24.700000762939499</v>
      </c>
      <c r="J504">
        <v>13.800000190734901</v>
      </c>
      <c r="K504">
        <v>53</v>
      </c>
      <c r="L504">
        <v>31.639999389648398</v>
      </c>
      <c r="M504">
        <v>36.599998474121101</v>
      </c>
      <c r="N504">
        <v>10.699999809265099</v>
      </c>
      <c r="O504">
        <v>25.899999618530298</v>
      </c>
      <c r="P504">
        <v>26.399999618530298</v>
      </c>
      <c r="Q504">
        <v>20.200000762939499</v>
      </c>
      <c r="R504">
        <v>28.299999237060501</v>
      </c>
      <c r="S504">
        <v>20.200000762939499</v>
      </c>
      <c r="T504">
        <v>663</v>
      </c>
      <c r="U504">
        <v>176</v>
      </c>
      <c r="V504">
        <v>0</v>
      </c>
      <c r="W504">
        <v>121</v>
      </c>
      <c r="X504">
        <v>492</v>
      </c>
      <c r="Y504">
        <v>0</v>
      </c>
      <c r="Z504">
        <v>235</v>
      </c>
      <c r="AA504">
        <v>0</v>
      </c>
      <c r="AB504">
        <v>5.5054805920369603</v>
      </c>
      <c r="AC504">
        <v>12.218856569249599</v>
      </c>
      <c r="AD504">
        <v>1.25619461033431</v>
      </c>
      <c r="AE504">
        <v>0.347923057815957</v>
      </c>
      <c r="AF504">
        <v>379.85548172757501</v>
      </c>
      <c r="AG504">
        <f>IFERROR(AH504*0.1, "N/A")</f>
        <v>6.6378737541528299</v>
      </c>
      <c r="AH504">
        <v>66.378737541528295</v>
      </c>
      <c r="AI504">
        <v>243.86786324637299</v>
      </c>
      <c r="AJ504">
        <v>23.136212624584701</v>
      </c>
      <c r="AK504">
        <v>63.106312292358801</v>
      </c>
    </row>
    <row r="505" spans="1:37" x14ac:dyDescent="0.3">
      <c r="A505">
        <v>504</v>
      </c>
      <c r="B505">
        <v>2.2000000000000002</v>
      </c>
      <c r="C505">
        <v>28.965900000000001</v>
      </c>
      <c r="D505">
        <v>-15.927899999999999</v>
      </c>
      <c r="E505" t="s">
        <v>836</v>
      </c>
      <c r="F505" t="s">
        <v>838</v>
      </c>
      <c r="G505" t="s">
        <v>37</v>
      </c>
      <c r="H505">
        <v>2008</v>
      </c>
      <c r="I505">
        <v>24.700000762939499</v>
      </c>
      <c r="J505">
        <v>13.800000190734901</v>
      </c>
      <c r="K505">
        <v>53</v>
      </c>
      <c r="L505">
        <v>31.639999389648398</v>
      </c>
      <c r="M505">
        <v>36.599998474121101</v>
      </c>
      <c r="N505">
        <v>10.699999809265099</v>
      </c>
      <c r="O505">
        <v>25.899999618530298</v>
      </c>
      <c r="P505">
        <v>26.399999618530298</v>
      </c>
      <c r="Q505">
        <v>20.200000762939499</v>
      </c>
      <c r="R505">
        <v>28.299999237060501</v>
      </c>
      <c r="S505">
        <v>20.200000762939499</v>
      </c>
      <c r="T505">
        <v>663</v>
      </c>
      <c r="U505">
        <v>176</v>
      </c>
      <c r="V505">
        <v>0</v>
      </c>
      <c r="W505">
        <v>121</v>
      </c>
      <c r="X505">
        <v>492</v>
      </c>
      <c r="Y505">
        <v>0</v>
      </c>
      <c r="Z505">
        <v>235</v>
      </c>
      <c r="AA505">
        <v>0</v>
      </c>
      <c r="AB505">
        <v>5.5054805920369603</v>
      </c>
      <c r="AC505">
        <v>12.218856569249599</v>
      </c>
      <c r="AD505">
        <v>1.25619461033431</v>
      </c>
      <c r="AE505">
        <v>0.347923057815957</v>
      </c>
      <c r="AF505">
        <v>379.85548172757501</v>
      </c>
      <c r="AG505">
        <f>IFERROR(AH505*0.1, "N/A")</f>
        <v>6.6378737541528299</v>
      </c>
      <c r="AH505">
        <v>66.378737541528295</v>
      </c>
      <c r="AI505">
        <v>243.86786324637299</v>
      </c>
      <c r="AJ505">
        <v>23.136212624584701</v>
      </c>
      <c r="AK505">
        <v>63.106312292358801</v>
      </c>
    </row>
    <row r="506" spans="1:37" x14ac:dyDescent="0.3">
      <c r="A506">
        <v>505</v>
      </c>
      <c r="B506">
        <v>36.099997999999999</v>
      </c>
      <c r="C506">
        <v>28.289801000000001</v>
      </c>
      <c r="D506">
        <v>-15.8733</v>
      </c>
      <c r="E506" t="s">
        <v>839</v>
      </c>
      <c r="F506" t="s">
        <v>840</v>
      </c>
      <c r="G506" t="s">
        <v>39</v>
      </c>
      <c r="H506">
        <v>2008</v>
      </c>
      <c r="I506">
        <v>21.600000381469702</v>
      </c>
      <c r="J506">
        <v>13.300000190734901</v>
      </c>
      <c r="K506">
        <v>54</v>
      </c>
      <c r="L506">
        <v>27.100000381469702</v>
      </c>
      <c r="M506">
        <v>33.400001525878899</v>
      </c>
      <c r="N506">
        <v>9</v>
      </c>
      <c r="O506">
        <v>24.399999618530298</v>
      </c>
      <c r="P506">
        <v>23</v>
      </c>
      <c r="Q506">
        <v>17.799999237060501</v>
      </c>
      <c r="R506">
        <v>24.600000381469702</v>
      </c>
      <c r="S506">
        <v>17.799999237060501</v>
      </c>
      <c r="T506">
        <v>754</v>
      </c>
      <c r="U506">
        <v>195</v>
      </c>
      <c r="V506">
        <v>0</v>
      </c>
      <c r="W506">
        <v>120</v>
      </c>
      <c r="X506">
        <v>553</v>
      </c>
      <c r="Y506">
        <v>0</v>
      </c>
      <c r="Z506">
        <v>292</v>
      </c>
      <c r="AA506">
        <v>4</v>
      </c>
      <c r="AB506">
        <v>10.510312910286199</v>
      </c>
      <c r="AC506">
        <v>2.164503863196E-2</v>
      </c>
      <c r="AD506">
        <v>1.12519096138077</v>
      </c>
      <c r="AE506">
        <v>0.59247332811355602</v>
      </c>
      <c r="AF506">
        <v>1016.07321131448</v>
      </c>
      <c r="AG506">
        <f>IFERROR(AH506*0.1, "N/A")</f>
        <v>6.4895174708818608</v>
      </c>
      <c r="AH506">
        <v>64.895174708818601</v>
      </c>
      <c r="AI506">
        <v>250.893621105124</v>
      </c>
      <c r="AJ506">
        <v>18.447587354409301</v>
      </c>
      <c r="AK506">
        <v>71.657237936772006</v>
      </c>
    </row>
    <row r="507" spans="1:37" x14ac:dyDescent="0.3">
      <c r="A507">
        <v>506</v>
      </c>
      <c r="B507">
        <v>0</v>
      </c>
      <c r="C507">
        <v>28.289801000000001</v>
      </c>
      <c r="D507">
        <v>-15.8733</v>
      </c>
      <c r="E507" t="s">
        <v>839</v>
      </c>
      <c r="F507" t="s">
        <v>841</v>
      </c>
      <c r="G507" t="s">
        <v>37</v>
      </c>
      <c r="H507">
        <v>2008</v>
      </c>
      <c r="I507">
        <v>21.600000381469702</v>
      </c>
      <c r="J507">
        <v>13.300000190734901</v>
      </c>
      <c r="K507">
        <v>54</v>
      </c>
      <c r="L507">
        <v>27.100000381469702</v>
      </c>
      <c r="M507">
        <v>33.400001525878899</v>
      </c>
      <c r="N507">
        <v>9</v>
      </c>
      <c r="O507">
        <v>24.399999618530298</v>
      </c>
      <c r="P507">
        <v>23</v>
      </c>
      <c r="Q507">
        <v>17.799999237060501</v>
      </c>
      <c r="R507">
        <v>24.600000381469702</v>
      </c>
      <c r="S507">
        <v>17.799999237060501</v>
      </c>
      <c r="T507">
        <v>754</v>
      </c>
      <c r="U507">
        <v>195</v>
      </c>
      <c r="V507">
        <v>0</v>
      </c>
      <c r="W507">
        <v>120</v>
      </c>
      <c r="X507">
        <v>553</v>
      </c>
      <c r="Y507">
        <v>0</v>
      </c>
      <c r="Z507">
        <v>292</v>
      </c>
      <c r="AA507">
        <v>4</v>
      </c>
      <c r="AB507">
        <v>10.510312910286199</v>
      </c>
      <c r="AC507">
        <v>2.164503863196E-2</v>
      </c>
      <c r="AD507">
        <v>1.12519096138077</v>
      </c>
      <c r="AE507">
        <v>0.59247332811355602</v>
      </c>
      <c r="AF507">
        <v>1016.07321131448</v>
      </c>
      <c r="AG507">
        <f>IFERROR(AH507*0.1, "N/A")</f>
        <v>6.4895174708818608</v>
      </c>
      <c r="AH507">
        <v>64.895174708818601</v>
      </c>
      <c r="AI507">
        <v>250.893621105124</v>
      </c>
      <c r="AJ507">
        <v>18.447587354409301</v>
      </c>
      <c r="AK507">
        <v>71.657237936772006</v>
      </c>
    </row>
    <row r="508" spans="1:37" x14ac:dyDescent="0.3">
      <c r="A508">
        <v>507</v>
      </c>
      <c r="B508">
        <v>3.2</v>
      </c>
      <c r="C508">
        <v>26.874001</v>
      </c>
      <c r="D508">
        <v>-15.867000000000001</v>
      </c>
      <c r="E508" t="s">
        <v>842</v>
      </c>
      <c r="F508" t="s">
        <v>843</v>
      </c>
      <c r="G508" t="s">
        <v>39</v>
      </c>
      <c r="H508">
        <v>2005</v>
      </c>
      <c r="I508">
        <v>20.953333155314098</v>
      </c>
      <c r="J508">
        <v>15</v>
      </c>
      <c r="K508">
        <v>55</v>
      </c>
      <c r="L508">
        <v>33.138666280110698</v>
      </c>
      <c r="M508">
        <v>32.799999237060497</v>
      </c>
      <c r="N508">
        <v>5.5999999046325701</v>
      </c>
      <c r="O508">
        <v>27.200000762939499</v>
      </c>
      <c r="P508">
        <v>23.299999237060501</v>
      </c>
      <c r="Q508">
        <v>16.053333536783899</v>
      </c>
      <c r="R508">
        <v>24.299999237060501</v>
      </c>
      <c r="S508">
        <v>16.053333536783899</v>
      </c>
      <c r="T508">
        <v>832.93333333333305</v>
      </c>
      <c r="U508">
        <v>229</v>
      </c>
      <c r="V508">
        <v>0</v>
      </c>
      <c r="W508">
        <v>121</v>
      </c>
      <c r="X508">
        <v>617.46666666666704</v>
      </c>
      <c r="Y508">
        <v>0</v>
      </c>
      <c r="Z508">
        <v>337.46666666666698</v>
      </c>
      <c r="AA508">
        <v>1.6</v>
      </c>
      <c r="AB508">
        <v>9.4081336466471406</v>
      </c>
      <c r="AC508">
        <v>8.2283396894730007E-3</v>
      </c>
      <c r="AD508">
        <v>0.83568454285462701</v>
      </c>
      <c r="AE508">
        <v>0.49646461561322203</v>
      </c>
      <c r="AF508">
        <v>1014.73166666667</v>
      </c>
      <c r="AG508">
        <f>IFERROR(AH508*0.1, "N/A")</f>
        <v>6.2</v>
      </c>
      <c r="AH508">
        <v>62</v>
      </c>
      <c r="AI508">
        <v>133.14543576558401</v>
      </c>
      <c r="AJ508">
        <v>8</v>
      </c>
      <c r="AK508">
        <v>86</v>
      </c>
    </row>
    <row r="509" spans="1:37" x14ac:dyDescent="0.3">
      <c r="A509">
        <v>508</v>
      </c>
      <c r="B509">
        <v>14.3</v>
      </c>
      <c r="C509">
        <v>27.737499</v>
      </c>
      <c r="D509">
        <v>-15.856</v>
      </c>
      <c r="E509" t="s">
        <v>844</v>
      </c>
      <c r="F509" t="s">
        <v>845</v>
      </c>
      <c r="G509" t="s">
        <v>39</v>
      </c>
      <c r="H509">
        <v>0</v>
      </c>
      <c r="I509">
        <v>21.100000381469702</v>
      </c>
      <c r="J509">
        <v>14.300000190734901</v>
      </c>
      <c r="K509">
        <v>55</v>
      </c>
      <c r="L509">
        <v>30.030000686645501</v>
      </c>
      <c r="M509">
        <v>32.700000762939503</v>
      </c>
      <c r="N509">
        <v>7</v>
      </c>
      <c r="O509">
        <v>25.700000762939499</v>
      </c>
      <c r="P509">
        <v>23.100000381469702</v>
      </c>
      <c r="Q509">
        <v>16.799999237060501</v>
      </c>
      <c r="R509">
        <v>24.200000762939499</v>
      </c>
      <c r="S509">
        <v>16.700000762939499</v>
      </c>
      <c r="T509">
        <v>777</v>
      </c>
      <c r="U509">
        <v>215</v>
      </c>
      <c r="V509">
        <v>0</v>
      </c>
      <c r="W509">
        <v>123</v>
      </c>
      <c r="X509">
        <v>582</v>
      </c>
      <c r="Y509">
        <v>0</v>
      </c>
      <c r="Z509">
        <v>326</v>
      </c>
      <c r="AA509">
        <v>1</v>
      </c>
      <c r="AB509">
        <v>3.6703163655598998</v>
      </c>
      <c r="AC509">
        <v>0.69847238479958196</v>
      </c>
      <c r="AD509">
        <v>2.0019574334224099</v>
      </c>
      <c r="AE509">
        <v>0.67934981783231096</v>
      </c>
      <c r="AF509">
        <v>1052.63666666667</v>
      </c>
      <c r="AG509">
        <f>IFERROR(AH509*0.1, "N/A")</f>
        <v>6.0028333333333306</v>
      </c>
      <c r="AH509">
        <v>60.0283333333333</v>
      </c>
      <c r="AI509">
        <v>273.04101895173397</v>
      </c>
      <c r="AJ509">
        <v>15.69</v>
      </c>
      <c r="AK509">
        <v>76</v>
      </c>
    </row>
    <row r="510" spans="1:37" x14ac:dyDescent="0.3">
      <c r="A510">
        <v>509</v>
      </c>
      <c r="B510">
        <v>2.5</v>
      </c>
      <c r="C510">
        <v>27.737499</v>
      </c>
      <c r="D510">
        <v>-15.856</v>
      </c>
      <c r="E510" t="s">
        <v>844</v>
      </c>
      <c r="F510" t="s">
        <v>846</v>
      </c>
      <c r="G510" t="s">
        <v>37</v>
      </c>
      <c r="H510">
        <v>0</v>
      </c>
      <c r="I510">
        <v>21.100000381469702</v>
      </c>
      <c r="J510">
        <v>14.300000190734901</v>
      </c>
      <c r="K510">
        <v>55</v>
      </c>
      <c r="L510">
        <v>30.030000686645501</v>
      </c>
      <c r="M510">
        <v>32.700000762939503</v>
      </c>
      <c r="N510">
        <v>7</v>
      </c>
      <c r="O510">
        <v>25.700000762939499</v>
      </c>
      <c r="P510">
        <v>23.100000381469702</v>
      </c>
      <c r="Q510">
        <v>16.799999237060501</v>
      </c>
      <c r="R510">
        <v>24.200000762939499</v>
      </c>
      <c r="S510">
        <v>16.700000762939499</v>
      </c>
      <c r="T510">
        <v>777</v>
      </c>
      <c r="U510">
        <v>215</v>
      </c>
      <c r="V510">
        <v>0</v>
      </c>
      <c r="W510">
        <v>123</v>
      </c>
      <c r="X510">
        <v>582</v>
      </c>
      <c r="Y510">
        <v>0</v>
      </c>
      <c r="Z510">
        <v>326</v>
      </c>
      <c r="AA510">
        <v>1</v>
      </c>
      <c r="AB510">
        <v>3.6703163655598998</v>
      </c>
      <c r="AC510">
        <v>0.69847238479958196</v>
      </c>
      <c r="AD510">
        <v>2.0019574334224099</v>
      </c>
      <c r="AE510">
        <v>0.67934981783231096</v>
      </c>
      <c r="AF510">
        <v>1052.63666666667</v>
      </c>
      <c r="AG510">
        <f>IFERROR(AH510*0.1, "N/A")</f>
        <v>6.0028333333333306</v>
      </c>
      <c r="AH510">
        <v>60.0283333333333</v>
      </c>
      <c r="AI510">
        <v>273.04101895173397</v>
      </c>
      <c r="AJ510">
        <v>15.69</v>
      </c>
      <c r="AK510">
        <v>76</v>
      </c>
    </row>
    <row r="511" spans="1:37" x14ac:dyDescent="0.3">
      <c r="A511">
        <v>510</v>
      </c>
      <c r="B511">
        <v>78</v>
      </c>
      <c r="C511">
        <v>28.218</v>
      </c>
      <c r="D511">
        <v>-15.8301</v>
      </c>
      <c r="E511" t="s">
        <v>847</v>
      </c>
      <c r="F511" t="s">
        <v>848</v>
      </c>
      <c r="G511" t="s">
        <v>39</v>
      </c>
      <c r="H511">
        <v>0</v>
      </c>
      <c r="I511">
        <v>21.700000762939499</v>
      </c>
      <c r="J511">
        <v>13.3999996185303</v>
      </c>
      <c r="K511">
        <v>54</v>
      </c>
      <c r="L511">
        <v>27.450000762939499</v>
      </c>
      <c r="M511">
        <v>33.5</v>
      </c>
      <c r="N511">
        <v>8.8999996185302699</v>
      </c>
      <c r="O511">
        <v>24.600000381469702</v>
      </c>
      <c r="P511">
        <v>23.100000381469702</v>
      </c>
      <c r="Q511">
        <v>17.899999618530298</v>
      </c>
      <c r="R511">
        <v>24.700000762939499</v>
      </c>
      <c r="S511">
        <v>17.799999237060501</v>
      </c>
      <c r="T511">
        <v>758</v>
      </c>
      <c r="U511">
        <v>197</v>
      </c>
      <c r="V511">
        <v>0</v>
      </c>
      <c r="W511">
        <v>119</v>
      </c>
      <c r="X511">
        <v>556</v>
      </c>
      <c r="Y511">
        <v>0</v>
      </c>
      <c r="Z511">
        <v>295</v>
      </c>
      <c r="AA511">
        <v>4</v>
      </c>
      <c r="AB511">
        <v>8.5277127950741107</v>
      </c>
      <c r="AC511">
        <v>1.0167855642748001E-2</v>
      </c>
      <c r="AD511">
        <v>1.9016689453552</v>
      </c>
      <c r="AE511">
        <v>0.40652415156364402</v>
      </c>
      <c r="AF511">
        <v>985.189054726368</v>
      </c>
      <c r="AG511">
        <f>IFERROR(AH511*0.1, "N/A")</f>
        <v>6.5330016583747907</v>
      </c>
      <c r="AH511">
        <v>65.330016583747906</v>
      </c>
      <c r="AI511">
        <v>196.61558221465901</v>
      </c>
      <c r="AJ511">
        <v>26.791044776119399</v>
      </c>
      <c r="AK511">
        <v>59.276948590381402</v>
      </c>
    </row>
    <row r="512" spans="1:37" x14ac:dyDescent="0.3">
      <c r="A512">
        <v>511</v>
      </c>
      <c r="B512">
        <v>2</v>
      </c>
      <c r="C512">
        <v>28.220800000000001</v>
      </c>
      <c r="D512">
        <v>-15.819699999999999</v>
      </c>
      <c r="E512" t="s">
        <v>849</v>
      </c>
      <c r="F512" t="s">
        <v>850</v>
      </c>
      <c r="G512" t="s">
        <v>39</v>
      </c>
      <c r="H512">
        <v>2008</v>
      </c>
      <c r="I512">
        <v>21.700000762939499</v>
      </c>
      <c r="J512">
        <v>13.3999996185303</v>
      </c>
      <c r="K512">
        <v>54</v>
      </c>
      <c r="L512">
        <v>27.579999923706101</v>
      </c>
      <c r="M512">
        <v>33.5</v>
      </c>
      <c r="N512">
        <v>8.8999996185302699</v>
      </c>
      <c r="O512">
        <v>24.600000381469702</v>
      </c>
      <c r="P512">
        <v>23.100000381469702</v>
      </c>
      <c r="Q512">
        <v>17.799999237060501</v>
      </c>
      <c r="R512">
        <v>24.700000762939499</v>
      </c>
      <c r="S512">
        <v>17.700000762939499</v>
      </c>
      <c r="T512">
        <v>759</v>
      </c>
      <c r="U512">
        <v>197</v>
      </c>
      <c r="V512">
        <v>0</v>
      </c>
      <c r="W512">
        <v>119</v>
      </c>
      <c r="X512">
        <v>556</v>
      </c>
      <c r="Y512">
        <v>0</v>
      </c>
      <c r="Z512">
        <v>296</v>
      </c>
      <c r="AA512">
        <v>4</v>
      </c>
      <c r="AB512">
        <v>2.10516357421875</v>
      </c>
      <c r="AC512">
        <v>0.114265769659642</v>
      </c>
      <c r="AD512">
        <v>0.72708315926661304</v>
      </c>
      <c r="AE512">
        <v>0.63747514871114896</v>
      </c>
      <c r="AF512">
        <v>992.65723793677205</v>
      </c>
      <c r="AG512">
        <f>IFERROR(AH512*0.1, "N/A")</f>
        <v>6.1226289517470907</v>
      </c>
      <c r="AH512">
        <v>61.226289517470903</v>
      </c>
      <c r="AI512">
        <v>220.31769301530301</v>
      </c>
      <c r="AJ512">
        <v>18.3194675540765</v>
      </c>
      <c r="AK512">
        <v>69.096505823627297</v>
      </c>
    </row>
    <row r="513" spans="1:37" x14ac:dyDescent="0.3">
      <c r="A513">
        <v>512</v>
      </c>
      <c r="B513">
        <v>1.1000000000000001</v>
      </c>
      <c r="C513">
        <v>28.220800000000001</v>
      </c>
      <c r="D513">
        <v>-15.819699999999999</v>
      </c>
      <c r="E513" t="s">
        <v>849</v>
      </c>
      <c r="F513" t="s">
        <v>851</v>
      </c>
      <c r="G513" t="s">
        <v>37</v>
      </c>
      <c r="H513">
        <v>2008</v>
      </c>
      <c r="I513">
        <v>21.700000762939499</v>
      </c>
      <c r="J513">
        <v>13.3999996185303</v>
      </c>
      <c r="K513">
        <v>54</v>
      </c>
      <c r="L513">
        <v>27.579999923706101</v>
      </c>
      <c r="M513">
        <v>33.5</v>
      </c>
      <c r="N513">
        <v>8.8999996185302699</v>
      </c>
      <c r="O513">
        <v>24.600000381469702</v>
      </c>
      <c r="P513">
        <v>23.100000381469702</v>
      </c>
      <c r="Q513">
        <v>17.799999237060501</v>
      </c>
      <c r="R513">
        <v>24.700000762939499</v>
      </c>
      <c r="S513">
        <v>17.700000762939499</v>
      </c>
      <c r="T513">
        <v>759</v>
      </c>
      <c r="U513">
        <v>197</v>
      </c>
      <c r="V513">
        <v>0</v>
      </c>
      <c r="W513">
        <v>119</v>
      </c>
      <c r="X513">
        <v>556</v>
      </c>
      <c r="Y513">
        <v>0</v>
      </c>
      <c r="Z513">
        <v>296</v>
      </c>
      <c r="AA513">
        <v>4</v>
      </c>
      <c r="AB513">
        <v>2.10516357421875</v>
      </c>
      <c r="AC513">
        <v>0.114265769659642</v>
      </c>
      <c r="AD513">
        <v>0.72708315926661304</v>
      </c>
      <c r="AE513">
        <v>0.63747514871114896</v>
      </c>
      <c r="AF513">
        <v>992.65723793677205</v>
      </c>
      <c r="AG513">
        <f>IFERROR(AH513*0.1, "N/A")</f>
        <v>6.1226289517470907</v>
      </c>
      <c r="AH513">
        <v>61.226289517470903</v>
      </c>
      <c r="AI513">
        <v>220.31769301530301</v>
      </c>
      <c r="AJ513">
        <v>18.3194675540765</v>
      </c>
      <c r="AK513">
        <v>69.096505823627297</v>
      </c>
    </row>
    <row r="514" spans="1:37" x14ac:dyDescent="0.3">
      <c r="A514">
        <v>513</v>
      </c>
      <c r="B514">
        <v>8.5</v>
      </c>
      <c r="C514">
        <v>28.238600000000002</v>
      </c>
      <c r="D514">
        <v>-15.805300000000001</v>
      </c>
      <c r="E514" t="s">
        <v>852</v>
      </c>
      <c r="F514" t="s">
        <v>853</v>
      </c>
      <c r="G514" t="s">
        <v>39</v>
      </c>
      <c r="H514">
        <v>2008</v>
      </c>
      <c r="I514">
        <v>21.700000762939499</v>
      </c>
      <c r="J514">
        <v>13.300000190734901</v>
      </c>
      <c r="K514">
        <v>54</v>
      </c>
      <c r="L514">
        <v>27.350000381469702</v>
      </c>
      <c r="M514">
        <v>33.400001525878899</v>
      </c>
      <c r="N514">
        <v>8.8000001907348597</v>
      </c>
      <c r="O514">
        <v>24.600000381469702</v>
      </c>
      <c r="P514">
        <v>23</v>
      </c>
      <c r="Q514">
        <v>17.799999237060501</v>
      </c>
      <c r="R514">
        <v>24.600000381469702</v>
      </c>
      <c r="S514">
        <v>17.799999237060501</v>
      </c>
      <c r="T514">
        <v>762</v>
      </c>
      <c r="U514">
        <v>197</v>
      </c>
      <c r="V514">
        <v>0</v>
      </c>
      <c r="W514">
        <v>119</v>
      </c>
      <c r="X514">
        <v>558</v>
      </c>
      <c r="Y514">
        <v>0</v>
      </c>
      <c r="Z514">
        <v>296</v>
      </c>
      <c r="AA514">
        <v>4</v>
      </c>
      <c r="AB514">
        <v>2.2990122409845801</v>
      </c>
      <c r="AC514">
        <v>0.33670567904617499</v>
      </c>
      <c r="AD514">
        <v>0.57315227917290701</v>
      </c>
      <c r="AE514">
        <v>0.67224335670471203</v>
      </c>
      <c r="AF514">
        <v>1002.46026490066</v>
      </c>
      <c r="AG514">
        <f>IFERROR(AH514*0.1, "N/A")</f>
        <v>6.1245033112582803</v>
      </c>
      <c r="AH514">
        <v>61.245033112582803</v>
      </c>
      <c r="AI514">
        <v>195.816460299966</v>
      </c>
      <c r="AJ514">
        <v>17.490066225165599</v>
      </c>
      <c r="AK514">
        <v>71.754966887417197</v>
      </c>
    </row>
    <row r="515" spans="1:37" x14ac:dyDescent="0.3">
      <c r="A515">
        <v>514</v>
      </c>
      <c r="B515">
        <v>0</v>
      </c>
      <c r="C515">
        <v>28.238600000000002</v>
      </c>
      <c r="D515">
        <v>-15.805300000000001</v>
      </c>
      <c r="E515" t="s">
        <v>852</v>
      </c>
      <c r="F515" t="s">
        <v>854</v>
      </c>
      <c r="G515" t="s">
        <v>37</v>
      </c>
      <c r="H515">
        <v>2008</v>
      </c>
      <c r="I515">
        <v>21.700000762939499</v>
      </c>
      <c r="J515">
        <v>13.300000190734901</v>
      </c>
      <c r="K515">
        <v>54</v>
      </c>
      <c r="L515">
        <v>27.350000381469702</v>
      </c>
      <c r="M515">
        <v>33.400001525878899</v>
      </c>
      <c r="N515">
        <v>8.8000001907348597</v>
      </c>
      <c r="O515">
        <v>24.600000381469702</v>
      </c>
      <c r="P515">
        <v>23</v>
      </c>
      <c r="Q515">
        <v>17.799999237060501</v>
      </c>
      <c r="R515">
        <v>24.600000381469702</v>
      </c>
      <c r="S515">
        <v>17.799999237060501</v>
      </c>
      <c r="T515">
        <v>762</v>
      </c>
      <c r="U515">
        <v>197</v>
      </c>
      <c r="V515">
        <v>0</v>
      </c>
      <c r="W515">
        <v>119</v>
      </c>
      <c r="X515">
        <v>558</v>
      </c>
      <c r="Y515">
        <v>0</v>
      </c>
      <c r="Z515">
        <v>296</v>
      </c>
      <c r="AA515">
        <v>4</v>
      </c>
      <c r="AB515">
        <v>2.2990122409845801</v>
      </c>
      <c r="AC515">
        <v>0.33670567904617499</v>
      </c>
      <c r="AD515">
        <v>0.57315227917290701</v>
      </c>
      <c r="AE515">
        <v>0.67224335670471203</v>
      </c>
      <c r="AF515">
        <v>1002.46026490066</v>
      </c>
      <c r="AG515">
        <f>IFERROR(AH515*0.1, "N/A")</f>
        <v>6.1245033112582803</v>
      </c>
      <c r="AH515">
        <v>61.245033112582803</v>
      </c>
      <c r="AI515">
        <v>195.816460299966</v>
      </c>
      <c r="AJ515">
        <v>17.490066225165599</v>
      </c>
      <c r="AK515">
        <v>71.754966887417197</v>
      </c>
    </row>
    <row r="516" spans="1:37" x14ac:dyDescent="0.3">
      <c r="A516">
        <v>515</v>
      </c>
      <c r="B516">
        <v>41.5</v>
      </c>
      <c r="C516">
        <v>28.269600000000001</v>
      </c>
      <c r="D516">
        <v>-15.7677</v>
      </c>
      <c r="E516" t="s">
        <v>855</v>
      </c>
      <c r="F516" t="s">
        <v>856</v>
      </c>
      <c r="G516" t="s">
        <v>39</v>
      </c>
      <c r="H516">
        <v>2007</v>
      </c>
      <c r="I516">
        <v>20.899999618530298</v>
      </c>
      <c r="J516">
        <v>12.800000190734901</v>
      </c>
      <c r="K516">
        <v>54</v>
      </c>
      <c r="L516">
        <v>26.850000381469702</v>
      </c>
      <c r="M516">
        <v>32.400001525878899</v>
      </c>
      <c r="N516">
        <v>8.6999998092651403</v>
      </c>
      <c r="O516">
        <v>23.700000762939499</v>
      </c>
      <c r="P516">
        <v>22.100000381469702</v>
      </c>
      <c r="Q516">
        <v>17.100000381469702</v>
      </c>
      <c r="R516">
        <v>23.799999237060501</v>
      </c>
      <c r="S516">
        <v>17</v>
      </c>
      <c r="T516">
        <v>788</v>
      </c>
      <c r="U516">
        <v>200</v>
      </c>
      <c r="V516">
        <v>0</v>
      </c>
      <c r="W516">
        <v>118</v>
      </c>
      <c r="X516">
        <v>572</v>
      </c>
      <c r="Y516">
        <v>0</v>
      </c>
      <c r="Z516">
        <v>107</v>
      </c>
      <c r="AA516">
        <v>4</v>
      </c>
      <c r="AB516">
        <v>21.3191530348059</v>
      </c>
      <c r="AC516">
        <v>0.212278501690672</v>
      </c>
      <c r="AD516">
        <v>9.5793847930787805</v>
      </c>
      <c r="AE516">
        <v>0.245817014297774</v>
      </c>
      <c r="AF516">
        <v>1178.9734219269101</v>
      </c>
      <c r="AG516">
        <f>IFERROR(AH516*0.1, "N/A")</f>
        <v>5.6835548172757502</v>
      </c>
      <c r="AH516">
        <v>56.835548172757498</v>
      </c>
      <c r="AI516">
        <v>146.008810404527</v>
      </c>
      <c r="AJ516">
        <v>23.3089700996678</v>
      </c>
      <c r="AK516">
        <v>64.991694352159499</v>
      </c>
    </row>
    <row r="517" spans="1:37" x14ac:dyDescent="0.3">
      <c r="A517">
        <v>516</v>
      </c>
      <c r="B517">
        <v>38.099997999999999</v>
      </c>
      <c r="C517">
        <v>28.353300000000001</v>
      </c>
      <c r="D517">
        <v>-15.7677</v>
      </c>
      <c r="E517" t="s">
        <v>857</v>
      </c>
      <c r="F517" t="s">
        <v>858</v>
      </c>
      <c r="G517" t="s">
        <v>39</v>
      </c>
      <c r="H517">
        <v>2007</v>
      </c>
      <c r="I517">
        <v>21.799999237060501</v>
      </c>
      <c r="J517">
        <v>13.199999809265099</v>
      </c>
      <c r="K517">
        <v>54</v>
      </c>
      <c r="L517">
        <v>27.110000610351602</v>
      </c>
      <c r="M517">
        <v>33.5</v>
      </c>
      <c r="N517">
        <v>9.1999998092651403</v>
      </c>
      <c r="O517">
        <v>24.299999237060501</v>
      </c>
      <c r="P517">
        <v>23.200000762939499</v>
      </c>
      <c r="Q517">
        <v>18</v>
      </c>
      <c r="R517">
        <v>24.700000762939499</v>
      </c>
      <c r="S517">
        <v>18</v>
      </c>
      <c r="T517">
        <v>757</v>
      </c>
      <c r="U517">
        <v>195</v>
      </c>
      <c r="V517">
        <v>0</v>
      </c>
      <c r="W517">
        <v>118</v>
      </c>
      <c r="X517">
        <v>554</v>
      </c>
      <c r="Y517">
        <v>0</v>
      </c>
      <c r="Z517">
        <v>97</v>
      </c>
      <c r="AA517">
        <v>4</v>
      </c>
      <c r="AB517">
        <v>3.2727685465765202</v>
      </c>
      <c r="AC517">
        <v>9.3387733190398003E-2</v>
      </c>
      <c r="AD517">
        <v>1.23888970144167</v>
      </c>
      <c r="AE517">
        <v>0.24684610962867701</v>
      </c>
      <c r="AF517">
        <v>983.24418604651203</v>
      </c>
      <c r="AG517">
        <f>IFERROR(AH517*0.1, "N/A")</f>
        <v>5.9</v>
      </c>
      <c r="AH517">
        <v>59</v>
      </c>
      <c r="AI517">
        <v>107.96903378306</v>
      </c>
      <c r="AJ517">
        <v>25.837209302325601</v>
      </c>
      <c r="AK517">
        <v>60.837209302325597</v>
      </c>
    </row>
    <row r="518" spans="1:37" x14ac:dyDescent="0.3">
      <c r="A518">
        <v>517</v>
      </c>
      <c r="B518">
        <v>0.3</v>
      </c>
      <c r="C518">
        <v>28.176600000000001</v>
      </c>
      <c r="D518">
        <v>-15.763999999999999</v>
      </c>
      <c r="E518" t="s">
        <v>859</v>
      </c>
      <c r="F518" t="s">
        <v>860</v>
      </c>
      <c r="G518" t="s">
        <v>37</v>
      </c>
      <c r="H518">
        <v>2010</v>
      </c>
      <c r="I518">
        <v>21.5</v>
      </c>
      <c r="J518">
        <v>13.3999996185303</v>
      </c>
      <c r="K518">
        <v>54</v>
      </c>
      <c r="L518">
        <v>27.819999694824201</v>
      </c>
      <c r="M518">
        <v>33.299999237060497</v>
      </c>
      <c r="N518">
        <v>8.6999998092651403</v>
      </c>
      <c r="O518">
        <v>24.600000381469702</v>
      </c>
      <c r="P518">
        <v>23</v>
      </c>
      <c r="Q518">
        <v>17.600000381469702</v>
      </c>
      <c r="R518">
        <v>24.600000381469702</v>
      </c>
      <c r="S518">
        <v>17.5</v>
      </c>
      <c r="T518">
        <v>766</v>
      </c>
      <c r="U518">
        <v>199</v>
      </c>
      <c r="V518">
        <v>0</v>
      </c>
      <c r="W518">
        <v>120</v>
      </c>
      <c r="X518">
        <v>562</v>
      </c>
      <c r="Y518">
        <v>0</v>
      </c>
      <c r="Z518">
        <v>300</v>
      </c>
      <c r="AA518">
        <v>3</v>
      </c>
      <c r="AB518">
        <v>6.1327656826838099</v>
      </c>
      <c r="AC518">
        <v>0.15148849639818401</v>
      </c>
      <c r="AD518">
        <v>1.1601158873412101</v>
      </c>
      <c r="AE518">
        <v>0.71930503845214799</v>
      </c>
      <c r="AF518">
        <v>993.389351081531</v>
      </c>
      <c r="AG518">
        <f>IFERROR(AH518*0.1, "N/A")</f>
        <v>6.0683860232945106</v>
      </c>
      <c r="AH518">
        <v>60.683860232945101</v>
      </c>
      <c r="AI518">
        <v>192.56184576355099</v>
      </c>
      <c r="AJ518">
        <v>21.772046589018299</v>
      </c>
      <c r="AK518">
        <v>65</v>
      </c>
    </row>
    <row r="519" spans="1:37" x14ac:dyDescent="0.3">
      <c r="A519">
        <v>518</v>
      </c>
      <c r="B519">
        <v>56</v>
      </c>
      <c r="C519">
        <v>28.269400000000001</v>
      </c>
      <c r="D519">
        <v>-15.744999999999999</v>
      </c>
      <c r="E519" t="s">
        <v>861</v>
      </c>
      <c r="F519" t="s">
        <v>862</v>
      </c>
      <c r="G519" t="s">
        <v>39</v>
      </c>
      <c r="H519">
        <v>0</v>
      </c>
      <c r="I519">
        <v>21.299999237060501</v>
      </c>
      <c r="J519">
        <v>13</v>
      </c>
      <c r="K519">
        <v>53</v>
      </c>
      <c r="L519">
        <v>27</v>
      </c>
      <c r="M519">
        <v>33</v>
      </c>
      <c r="N519">
        <v>8.8999996185302699</v>
      </c>
      <c r="O519">
        <v>24.100000381469702</v>
      </c>
      <c r="P519">
        <v>22.600000381469702</v>
      </c>
      <c r="Q519">
        <v>17.5</v>
      </c>
      <c r="R519">
        <v>24.200000762939499</v>
      </c>
      <c r="S519">
        <v>17.5</v>
      </c>
      <c r="T519">
        <v>775</v>
      </c>
      <c r="U519">
        <v>198</v>
      </c>
      <c r="V519">
        <v>0</v>
      </c>
      <c r="W519">
        <v>119</v>
      </c>
      <c r="X519">
        <v>565</v>
      </c>
      <c r="Y519">
        <v>0</v>
      </c>
      <c r="Z519">
        <v>103</v>
      </c>
      <c r="AA519">
        <v>4</v>
      </c>
      <c r="AB519">
        <v>5.4890568628659704</v>
      </c>
      <c r="AC519">
        <v>0.191123117315289</v>
      </c>
      <c r="AD519">
        <v>2.2193007956311601</v>
      </c>
      <c r="AE519">
        <v>0.37194167290415098</v>
      </c>
      <c r="AF519">
        <v>1064.1677740863799</v>
      </c>
      <c r="AG519">
        <f>IFERROR(AH519*0.1, "N/A")</f>
        <v>6.2662790697674406</v>
      </c>
      <c r="AH519">
        <v>62.662790697674403</v>
      </c>
      <c r="AI519">
        <v>309.64206774131799</v>
      </c>
      <c r="AJ519">
        <v>17.7059800664452</v>
      </c>
      <c r="AK519">
        <v>70.116279069767501</v>
      </c>
    </row>
    <row r="520" spans="1:37" x14ac:dyDescent="0.3">
      <c r="A520">
        <v>519</v>
      </c>
      <c r="B520">
        <v>0</v>
      </c>
      <c r="C520">
        <v>28.269400000000001</v>
      </c>
      <c r="D520">
        <v>-15.744999999999999</v>
      </c>
      <c r="E520" t="s">
        <v>861</v>
      </c>
      <c r="F520" t="s">
        <v>863</v>
      </c>
      <c r="G520" t="s">
        <v>37</v>
      </c>
      <c r="H520">
        <v>0</v>
      </c>
      <c r="I520">
        <v>21.299999237060501</v>
      </c>
      <c r="J520">
        <v>13</v>
      </c>
      <c r="K520">
        <v>53</v>
      </c>
      <c r="L520">
        <v>27</v>
      </c>
      <c r="M520">
        <v>33</v>
      </c>
      <c r="N520">
        <v>8.8999996185302699</v>
      </c>
      <c r="O520">
        <v>24.100000381469702</v>
      </c>
      <c r="P520">
        <v>22.600000381469702</v>
      </c>
      <c r="Q520">
        <v>17.5</v>
      </c>
      <c r="R520">
        <v>24.200000762939499</v>
      </c>
      <c r="S520">
        <v>17.5</v>
      </c>
      <c r="T520">
        <v>775</v>
      </c>
      <c r="U520">
        <v>198</v>
      </c>
      <c r="V520">
        <v>0</v>
      </c>
      <c r="W520">
        <v>119</v>
      </c>
      <c r="X520">
        <v>565</v>
      </c>
      <c r="Y520">
        <v>0</v>
      </c>
      <c r="Z520">
        <v>103</v>
      </c>
      <c r="AA520">
        <v>4</v>
      </c>
      <c r="AB520">
        <v>5.4890568628659704</v>
      </c>
      <c r="AC520">
        <v>0.191123117315289</v>
      </c>
      <c r="AD520">
        <v>2.2193007956311601</v>
      </c>
      <c r="AE520">
        <v>0.37194167290415098</v>
      </c>
      <c r="AF520">
        <v>1064.1677740863799</v>
      </c>
      <c r="AG520">
        <f>IFERROR(AH520*0.1, "N/A")</f>
        <v>6.2662790697674406</v>
      </c>
      <c r="AH520">
        <v>62.662790697674403</v>
      </c>
      <c r="AI520">
        <v>309.64206774131799</v>
      </c>
      <c r="AJ520">
        <v>17.7059800664452</v>
      </c>
      <c r="AK520">
        <v>70.116279069767501</v>
      </c>
    </row>
    <row r="521" spans="1:37" x14ac:dyDescent="0.3">
      <c r="A521">
        <v>520</v>
      </c>
      <c r="B521">
        <v>33.299999</v>
      </c>
      <c r="C521">
        <v>28.269600000000001</v>
      </c>
      <c r="D521">
        <v>-15.7437</v>
      </c>
      <c r="E521" t="s">
        <v>864</v>
      </c>
      <c r="F521" t="s">
        <v>865</v>
      </c>
      <c r="G521" t="s">
        <v>39</v>
      </c>
      <c r="H521">
        <v>2008</v>
      </c>
      <c r="I521">
        <v>21.299999237060501</v>
      </c>
      <c r="J521">
        <v>13</v>
      </c>
      <c r="K521">
        <v>53</v>
      </c>
      <c r="L521">
        <v>27</v>
      </c>
      <c r="M521">
        <v>33</v>
      </c>
      <c r="N521">
        <v>8.8999996185302699</v>
      </c>
      <c r="O521">
        <v>24.100000381469702</v>
      </c>
      <c r="P521">
        <v>22.600000381469702</v>
      </c>
      <c r="Q521">
        <v>17.5</v>
      </c>
      <c r="R521">
        <v>24.200000762939499</v>
      </c>
      <c r="S521">
        <v>17.5</v>
      </c>
      <c r="T521">
        <v>775</v>
      </c>
      <c r="U521">
        <v>198</v>
      </c>
      <c r="V521">
        <v>0</v>
      </c>
      <c r="W521">
        <v>119</v>
      </c>
      <c r="X521">
        <v>565</v>
      </c>
      <c r="Y521">
        <v>0</v>
      </c>
      <c r="Z521">
        <v>103</v>
      </c>
      <c r="AA521">
        <v>4</v>
      </c>
      <c r="AB521">
        <v>3.5527447682987301</v>
      </c>
      <c r="AC521">
        <v>0.31079652598858498</v>
      </c>
      <c r="AD521">
        <v>1.86285923478599</v>
      </c>
      <c r="AE521">
        <v>0.37689650675689201</v>
      </c>
      <c r="AF521">
        <v>1062.6677796327201</v>
      </c>
      <c r="AG521">
        <f>IFERROR(AH521*0.1, "N/A")</f>
        <v>6.2689482470784599</v>
      </c>
      <c r="AH521">
        <v>62.689482470784597</v>
      </c>
      <c r="AI521">
        <v>282.82127670772098</v>
      </c>
      <c r="AJ521">
        <v>18.310517529215399</v>
      </c>
      <c r="AK521">
        <v>69.689482470784597</v>
      </c>
    </row>
    <row r="522" spans="1:37" x14ac:dyDescent="0.3">
      <c r="A522">
        <v>521</v>
      </c>
      <c r="B522">
        <v>0</v>
      </c>
      <c r="C522">
        <v>28.269600000000001</v>
      </c>
      <c r="D522">
        <v>-15.7437</v>
      </c>
      <c r="E522" t="s">
        <v>864</v>
      </c>
      <c r="F522" t="s">
        <v>866</v>
      </c>
      <c r="G522" t="s">
        <v>37</v>
      </c>
      <c r="H522">
        <v>2008</v>
      </c>
      <c r="I522">
        <v>21.299999237060501</v>
      </c>
      <c r="J522">
        <v>13</v>
      </c>
      <c r="K522">
        <v>53</v>
      </c>
      <c r="L522">
        <v>27</v>
      </c>
      <c r="M522">
        <v>33</v>
      </c>
      <c r="N522">
        <v>8.8999996185302699</v>
      </c>
      <c r="O522">
        <v>24.100000381469702</v>
      </c>
      <c r="P522">
        <v>22.600000381469702</v>
      </c>
      <c r="Q522">
        <v>17.5</v>
      </c>
      <c r="R522">
        <v>24.200000762939499</v>
      </c>
      <c r="S522">
        <v>17.5</v>
      </c>
      <c r="T522">
        <v>775</v>
      </c>
      <c r="U522">
        <v>198</v>
      </c>
      <c r="V522">
        <v>0</v>
      </c>
      <c r="W522">
        <v>119</v>
      </c>
      <c r="X522">
        <v>565</v>
      </c>
      <c r="Y522">
        <v>0</v>
      </c>
      <c r="Z522">
        <v>103</v>
      </c>
      <c r="AA522">
        <v>4</v>
      </c>
      <c r="AB522">
        <v>3.5527447682987301</v>
      </c>
      <c r="AC522">
        <v>0.31079652598858498</v>
      </c>
      <c r="AD522">
        <v>1.86285923478599</v>
      </c>
      <c r="AE522">
        <v>0.37689650675689201</v>
      </c>
      <c r="AF522">
        <v>1062.6677796327201</v>
      </c>
      <c r="AG522">
        <f>IFERROR(AH522*0.1, "N/A")</f>
        <v>6.2689482470784599</v>
      </c>
      <c r="AH522">
        <v>62.689482470784597</v>
      </c>
      <c r="AI522">
        <v>282.82127670772098</v>
      </c>
      <c r="AJ522">
        <v>18.310517529215399</v>
      </c>
      <c r="AK522">
        <v>69.689482470784597</v>
      </c>
    </row>
    <row r="523" spans="1:37" x14ac:dyDescent="0.3">
      <c r="A523">
        <v>522</v>
      </c>
      <c r="B523">
        <v>2.4</v>
      </c>
      <c r="C523">
        <v>30.408899000000002</v>
      </c>
      <c r="D523">
        <v>-15.6227</v>
      </c>
      <c r="E523" t="s">
        <v>867</v>
      </c>
      <c r="F523" t="s">
        <v>868</v>
      </c>
      <c r="G523" t="s">
        <v>39</v>
      </c>
      <c r="H523">
        <v>2008</v>
      </c>
      <c r="I523">
        <v>25.700000762939499</v>
      </c>
      <c r="J523">
        <v>14</v>
      </c>
      <c r="K523">
        <v>55</v>
      </c>
      <c r="L523">
        <v>31.2299995422363</v>
      </c>
      <c r="M523">
        <v>37.799999237060497</v>
      </c>
      <c r="N523">
        <v>12.6000003814697</v>
      </c>
      <c r="O523">
        <v>25.200000762939499</v>
      </c>
      <c r="P523">
        <v>27.299999237060501</v>
      </c>
      <c r="Q523">
        <v>21.200000762939499</v>
      </c>
      <c r="R523">
        <v>29.299999237060501</v>
      </c>
      <c r="S523">
        <v>21.200000762939499</v>
      </c>
      <c r="T523">
        <v>685</v>
      </c>
      <c r="U523">
        <v>182</v>
      </c>
      <c r="V523">
        <v>0</v>
      </c>
      <c r="W523">
        <v>124</v>
      </c>
      <c r="X523">
        <v>526</v>
      </c>
      <c r="Y523">
        <v>1</v>
      </c>
      <c r="Z523">
        <v>243</v>
      </c>
      <c r="AA523">
        <v>1</v>
      </c>
      <c r="AB523">
        <v>19.952000057182399</v>
      </c>
      <c r="AC523">
        <v>1.2753887136043E-2</v>
      </c>
      <c r="AD523">
        <v>5.07057631768261</v>
      </c>
      <c r="AE523">
        <v>0.345039933919907</v>
      </c>
      <c r="AF523">
        <v>341.51495016611301</v>
      </c>
      <c r="AG523">
        <f>IFERROR(AH523*0.1, "N/A")</f>
        <v>6.5</v>
      </c>
      <c r="AH523">
        <v>65</v>
      </c>
      <c r="AI523">
        <v>160.43884293502401</v>
      </c>
      <c r="AJ523">
        <v>24</v>
      </c>
      <c r="AK523">
        <v>64</v>
      </c>
    </row>
    <row r="524" spans="1:37" x14ac:dyDescent="0.3">
      <c r="A524">
        <v>523</v>
      </c>
      <c r="B524">
        <v>1.1000000000000001</v>
      </c>
      <c r="C524">
        <v>30.408899000000002</v>
      </c>
      <c r="D524">
        <v>-15.6227</v>
      </c>
      <c r="E524" t="s">
        <v>867</v>
      </c>
      <c r="F524" t="s">
        <v>869</v>
      </c>
      <c r="G524" t="s">
        <v>37</v>
      </c>
      <c r="H524">
        <v>2008</v>
      </c>
      <c r="I524">
        <v>25.700000762939499</v>
      </c>
      <c r="J524">
        <v>14</v>
      </c>
      <c r="K524">
        <v>55</v>
      </c>
      <c r="L524">
        <v>31.2299995422363</v>
      </c>
      <c r="M524">
        <v>37.799999237060497</v>
      </c>
      <c r="N524">
        <v>12.6000003814697</v>
      </c>
      <c r="O524">
        <v>25.200000762939499</v>
      </c>
      <c r="P524">
        <v>27.299999237060501</v>
      </c>
      <c r="Q524">
        <v>21.200000762939499</v>
      </c>
      <c r="R524">
        <v>29.299999237060501</v>
      </c>
      <c r="S524">
        <v>21.200000762939499</v>
      </c>
      <c r="T524">
        <v>685</v>
      </c>
      <c r="U524">
        <v>182</v>
      </c>
      <c r="V524">
        <v>0</v>
      </c>
      <c r="W524">
        <v>124</v>
      </c>
      <c r="X524">
        <v>526</v>
      </c>
      <c r="Y524">
        <v>1</v>
      </c>
      <c r="Z524">
        <v>243</v>
      </c>
      <c r="AA524">
        <v>1</v>
      </c>
      <c r="AB524">
        <v>19.952000057182399</v>
      </c>
      <c r="AC524">
        <v>1.2753887136043E-2</v>
      </c>
      <c r="AD524">
        <v>5.07057631768261</v>
      </c>
      <c r="AE524">
        <v>0.345039933919907</v>
      </c>
      <c r="AF524">
        <v>341.51495016611301</v>
      </c>
      <c r="AG524">
        <f>IFERROR(AH524*0.1, "N/A")</f>
        <v>6.5</v>
      </c>
      <c r="AH524">
        <v>65</v>
      </c>
      <c r="AI524">
        <v>160.43884293502401</v>
      </c>
      <c r="AJ524">
        <v>24</v>
      </c>
      <c r="AK524">
        <v>64</v>
      </c>
    </row>
    <row r="525" spans="1:37" x14ac:dyDescent="0.3">
      <c r="A525">
        <v>524</v>
      </c>
      <c r="B525">
        <v>0</v>
      </c>
      <c r="C525">
        <v>30.263000000000002</v>
      </c>
      <c r="D525">
        <v>-15.614699999999999</v>
      </c>
      <c r="E525" t="s">
        <v>870</v>
      </c>
      <c r="F525" t="s">
        <v>871</v>
      </c>
      <c r="G525" t="s">
        <v>39</v>
      </c>
      <c r="H525">
        <v>2008</v>
      </c>
      <c r="I525">
        <v>25.5</v>
      </c>
      <c r="J525">
        <v>13.8999996185303</v>
      </c>
      <c r="K525">
        <v>55</v>
      </c>
      <c r="L525">
        <v>31.319999694824201</v>
      </c>
      <c r="M525">
        <v>37.5</v>
      </c>
      <c r="N525">
        <v>12.300000190734901</v>
      </c>
      <c r="O525">
        <v>25.200000762939499</v>
      </c>
      <c r="P525">
        <v>27.200000762939499</v>
      </c>
      <c r="Q525">
        <v>20.899999618530298</v>
      </c>
      <c r="R525">
        <v>29.100000381469702</v>
      </c>
      <c r="S525">
        <v>20.899999618530298</v>
      </c>
      <c r="T525">
        <v>687</v>
      </c>
      <c r="U525">
        <v>180</v>
      </c>
      <c r="V525">
        <v>0</v>
      </c>
      <c r="W525">
        <v>123</v>
      </c>
      <c r="X525">
        <v>522</v>
      </c>
      <c r="Y525">
        <v>0</v>
      </c>
      <c r="Z525">
        <v>246</v>
      </c>
      <c r="AA525">
        <v>0</v>
      </c>
      <c r="AB525">
        <v>4.4706730143229096</v>
      </c>
      <c r="AC525">
        <v>9.0831905834687005E-2</v>
      </c>
      <c r="AD525">
        <v>1.24308220605056</v>
      </c>
      <c r="AE525">
        <v>0.16542227566242201</v>
      </c>
      <c r="AF525">
        <v>335.64333333333298</v>
      </c>
      <c r="AG525">
        <f>IFERROR(AH525*0.1, "N/A")</f>
        <v>6.5084999999999997</v>
      </c>
      <c r="AH525">
        <v>65.084999999999994</v>
      </c>
      <c r="AI525">
        <v>151.905020751953</v>
      </c>
      <c r="AJ525">
        <v>20.914999999999999</v>
      </c>
      <c r="AK525">
        <v>62.015000000000001</v>
      </c>
    </row>
    <row r="526" spans="1:37" x14ac:dyDescent="0.3">
      <c r="A526">
        <v>525</v>
      </c>
      <c r="B526">
        <v>1</v>
      </c>
      <c r="C526">
        <v>30.263000000000002</v>
      </c>
      <c r="D526">
        <v>-15.614699999999999</v>
      </c>
      <c r="E526" t="s">
        <v>870</v>
      </c>
      <c r="F526" t="s">
        <v>872</v>
      </c>
      <c r="G526" t="s">
        <v>37</v>
      </c>
      <c r="H526">
        <v>2008</v>
      </c>
      <c r="I526">
        <v>25.5</v>
      </c>
      <c r="J526">
        <v>13.8999996185303</v>
      </c>
      <c r="K526">
        <v>55</v>
      </c>
      <c r="L526">
        <v>31.319999694824201</v>
      </c>
      <c r="M526">
        <v>37.5</v>
      </c>
      <c r="N526">
        <v>12.300000190734901</v>
      </c>
      <c r="O526">
        <v>25.200000762939499</v>
      </c>
      <c r="P526">
        <v>27.200000762939499</v>
      </c>
      <c r="Q526">
        <v>20.899999618530298</v>
      </c>
      <c r="R526">
        <v>29.100000381469702</v>
      </c>
      <c r="S526">
        <v>20.899999618530298</v>
      </c>
      <c r="T526">
        <v>687</v>
      </c>
      <c r="U526">
        <v>180</v>
      </c>
      <c r="V526">
        <v>0</v>
      </c>
      <c r="W526">
        <v>123</v>
      </c>
      <c r="X526">
        <v>522</v>
      </c>
      <c r="Y526">
        <v>0</v>
      </c>
      <c r="Z526">
        <v>246</v>
      </c>
      <c r="AA526">
        <v>0</v>
      </c>
      <c r="AB526">
        <v>4.4706730143229096</v>
      </c>
      <c r="AC526">
        <v>9.0831905834687005E-2</v>
      </c>
      <c r="AD526">
        <v>1.24308220605056</v>
      </c>
      <c r="AE526">
        <v>0.16542227566242201</v>
      </c>
      <c r="AF526">
        <v>335.64333333333298</v>
      </c>
      <c r="AG526">
        <f>IFERROR(AH526*0.1, "N/A")</f>
        <v>6.5084999999999997</v>
      </c>
      <c r="AH526">
        <v>65.084999999999994</v>
      </c>
      <c r="AI526">
        <v>151.905020751953</v>
      </c>
      <c r="AJ526">
        <v>20.914999999999999</v>
      </c>
      <c r="AK526">
        <v>62.015000000000001</v>
      </c>
    </row>
    <row r="527" spans="1:37" x14ac:dyDescent="0.3">
      <c r="A527">
        <v>526</v>
      </c>
      <c r="B527">
        <v>2.2000000000000002</v>
      </c>
      <c r="C527">
        <v>30.361000000000001</v>
      </c>
      <c r="D527">
        <v>-15.559100000000001</v>
      </c>
      <c r="E527" t="s">
        <v>873</v>
      </c>
      <c r="F527" t="s">
        <v>874</v>
      </c>
      <c r="G527" t="s">
        <v>39</v>
      </c>
      <c r="H527">
        <v>2008</v>
      </c>
      <c r="I527">
        <v>25.700000762939499</v>
      </c>
      <c r="J527">
        <v>14</v>
      </c>
      <c r="K527">
        <v>55</v>
      </c>
      <c r="L527">
        <v>31.450000762939499</v>
      </c>
      <c r="M527">
        <v>37.900001525878899</v>
      </c>
      <c r="N527">
        <v>12.6000003814697</v>
      </c>
      <c r="O527">
        <v>25.299999237060501</v>
      </c>
      <c r="P527">
        <v>27.299999237060501</v>
      </c>
      <c r="Q527">
        <v>21.100000381469702</v>
      </c>
      <c r="R527">
        <v>29.299999237060501</v>
      </c>
      <c r="S527">
        <v>21.100000381469702</v>
      </c>
      <c r="T527">
        <v>688</v>
      </c>
      <c r="U527">
        <v>182</v>
      </c>
      <c r="V527">
        <v>0</v>
      </c>
      <c r="W527">
        <v>124</v>
      </c>
      <c r="X527">
        <v>525</v>
      </c>
      <c r="Y527">
        <v>1</v>
      </c>
      <c r="Z527">
        <v>244</v>
      </c>
      <c r="AA527">
        <v>1</v>
      </c>
      <c r="AB527">
        <v>7.3904816490352001</v>
      </c>
      <c r="AC527">
        <v>3.4725935036398002E-2</v>
      </c>
      <c r="AD527">
        <v>3.8499105510903</v>
      </c>
      <c r="AE527">
        <v>0.34026778377218803</v>
      </c>
      <c r="AF527">
        <v>332.62541806020101</v>
      </c>
      <c r="AG527">
        <f>IFERROR(AH527*0.1, "N/A")</f>
        <v>6.6721962616822399</v>
      </c>
      <c r="AH527">
        <v>66.721962616822395</v>
      </c>
      <c r="AI527">
        <v>35.800706263768603</v>
      </c>
      <c r="AJ527">
        <v>20.785046728971999</v>
      </c>
      <c r="AK527">
        <v>67.149532710280397</v>
      </c>
    </row>
    <row r="528" spans="1:37" x14ac:dyDescent="0.3">
      <c r="A528">
        <v>527</v>
      </c>
      <c r="B528">
        <v>0</v>
      </c>
      <c r="C528">
        <v>30.361000000000001</v>
      </c>
      <c r="D528">
        <v>-15.559100000000001</v>
      </c>
      <c r="E528" t="s">
        <v>873</v>
      </c>
      <c r="F528" t="s">
        <v>875</v>
      </c>
      <c r="G528" t="s">
        <v>37</v>
      </c>
      <c r="H528">
        <v>2008</v>
      </c>
      <c r="I528">
        <v>25.700000762939499</v>
      </c>
      <c r="J528">
        <v>14</v>
      </c>
      <c r="K528">
        <v>55</v>
      </c>
      <c r="L528">
        <v>31.450000762939499</v>
      </c>
      <c r="M528">
        <v>37.900001525878899</v>
      </c>
      <c r="N528">
        <v>12.6000003814697</v>
      </c>
      <c r="O528">
        <v>25.299999237060501</v>
      </c>
      <c r="P528">
        <v>27.299999237060501</v>
      </c>
      <c r="Q528">
        <v>21.100000381469702</v>
      </c>
      <c r="R528">
        <v>29.299999237060501</v>
      </c>
      <c r="S528">
        <v>21.100000381469702</v>
      </c>
      <c r="T528">
        <v>688</v>
      </c>
      <c r="U528">
        <v>182</v>
      </c>
      <c r="V528">
        <v>0</v>
      </c>
      <c r="W528">
        <v>124</v>
      </c>
      <c r="X528">
        <v>525</v>
      </c>
      <c r="Y528">
        <v>1</v>
      </c>
      <c r="Z528">
        <v>244</v>
      </c>
      <c r="AA528">
        <v>1</v>
      </c>
      <c r="AB528">
        <v>7.3904816490352001</v>
      </c>
      <c r="AC528">
        <v>3.4725935036398002E-2</v>
      </c>
      <c r="AD528">
        <v>3.8499105510903</v>
      </c>
      <c r="AE528">
        <v>0.34026778377218803</v>
      </c>
      <c r="AF528">
        <v>332.62541806020101</v>
      </c>
      <c r="AG528">
        <f>IFERROR(AH528*0.1, "N/A")</f>
        <v>6.6721962616822399</v>
      </c>
      <c r="AH528">
        <v>66.721962616822395</v>
      </c>
      <c r="AI528">
        <v>35.800706263768603</v>
      </c>
      <c r="AJ528">
        <v>20.785046728971999</v>
      </c>
      <c r="AK528">
        <v>67.149532710280397</v>
      </c>
    </row>
    <row r="529" spans="1:37" x14ac:dyDescent="0.3">
      <c r="A529">
        <v>528</v>
      </c>
      <c r="B529">
        <v>7.5</v>
      </c>
      <c r="C529">
        <v>28.284599</v>
      </c>
      <c r="D529">
        <v>-15.4626</v>
      </c>
      <c r="E529" t="s">
        <v>876</v>
      </c>
      <c r="F529" t="s">
        <v>877</v>
      </c>
      <c r="G529" t="s">
        <v>39</v>
      </c>
      <c r="H529">
        <v>1995</v>
      </c>
      <c r="I529">
        <v>20.299999237060501</v>
      </c>
      <c r="J529">
        <v>12.199999809265099</v>
      </c>
      <c r="K529">
        <v>54</v>
      </c>
      <c r="L529">
        <v>25.399999618530298</v>
      </c>
      <c r="M529">
        <v>31.399999618530298</v>
      </c>
      <c r="N529">
        <v>8.8999996185302699</v>
      </c>
      <c r="O529">
        <v>22.5</v>
      </c>
      <c r="P529">
        <v>21.5</v>
      </c>
      <c r="Q529">
        <v>16.799999237060501</v>
      </c>
      <c r="R529">
        <v>23.100000381469702</v>
      </c>
      <c r="S529">
        <v>16.700000762939499</v>
      </c>
      <c r="T529">
        <v>830</v>
      </c>
      <c r="U529">
        <v>214</v>
      </c>
      <c r="V529">
        <v>0</v>
      </c>
      <c r="W529">
        <v>117</v>
      </c>
      <c r="X529">
        <v>600</v>
      </c>
      <c r="Y529">
        <v>0</v>
      </c>
      <c r="Z529">
        <v>111</v>
      </c>
      <c r="AA529">
        <v>4</v>
      </c>
      <c r="AB529">
        <v>0.864667358398438</v>
      </c>
      <c r="AC529">
        <v>0.99092612462428697</v>
      </c>
      <c r="AD529">
        <v>0.71586195677518905</v>
      </c>
      <c r="AE529">
        <v>0.92616373300552401</v>
      </c>
      <c r="AF529">
        <v>1280.95333333333</v>
      </c>
      <c r="AG529">
        <f>IFERROR(AH529*0.1, "N/A")</f>
        <v>7.3965000000000005</v>
      </c>
      <c r="AH529">
        <v>73.965000000000003</v>
      </c>
      <c r="AI529">
        <v>303.94637817382801</v>
      </c>
      <c r="AJ529">
        <v>30.07</v>
      </c>
      <c r="AK529">
        <v>53.965000000000003</v>
      </c>
    </row>
    <row r="530" spans="1:37" x14ac:dyDescent="0.3">
      <c r="A530">
        <v>529</v>
      </c>
      <c r="B530">
        <v>0.5</v>
      </c>
      <c r="C530">
        <v>28.2852</v>
      </c>
      <c r="D530">
        <v>-15.4613</v>
      </c>
      <c r="E530" t="s">
        <v>878</v>
      </c>
      <c r="F530" t="s">
        <v>879</v>
      </c>
      <c r="G530" t="s">
        <v>37</v>
      </c>
      <c r="H530">
        <v>2009</v>
      </c>
      <c r="I530">
        <v>20.299999237060501</v>
      </c>
      <c r="J530">
        <v>12.199999809265099</v>
      </c>
      <c r="K530">
        <v>54</v>
      </c>
      <c r="L530">
        <v>25.399999618530298</v>
      </c>
      <c r="M530">
        <v>31.399999618530298</v>
      </c>
      <c r="N530">
        <v>8.8999996185302699</v>
      </c>
      <c r="O530">
        <v>22.5</v>
      </c>
      <c r="P530">
        <v>21.5</v>
      </c>
      <c r="Q530">
        <v>16.799999237060501</v>
      </c>
      <c r="R530">
        <v>23.100000381469702</v>
      </c>
      <c r="S530">
        <v>16.700000762939499</v>
      </c>
      <c r="T530">
        <v>830</v>
      </c>
      <c r="U530">
        <v>214</v>
      </c>
      <c r="V530">
        <v>0</v>
      </c>
      <c r="W530">
        <v>117</v>
      </c>
      <c r="X530">
        <v>600</v>
      </c>
      <c r="Y530">
        <v>0</v>
      </c>
      <c r="Z530">
        <v>111</v>
      </c>
      <c r="AA530">
        <v>4</v>
      </c>
      <c r="AB530">
        <v>1.86045870629188</v>
      </c>
      <c r="AC530">
        <v>9.9982034408770005E-3</v>
      </c>
      <c r="AD530">
        <v>0.56195607546785598</v>
      </c>
      <c r="AE530">
        <v>0.92616373300552401</v>
      </c>
      <c r="AF530">
        <v>1280.5812395309899</v>
      </c>
      <c r="AG530">
        <f>IFERROR(AH530*0.1, "N/A")</f>
        <v>7.3628140703517602</v>
      </c>
      <c r="AH530">
        <v>73.628140703517602</v>
      </c>
      <c r="AI530">
        <v>155.209698879938</v>
      </c>
      <c r="AJ530">
        <v>31.020100502512602</v>
      </c>
      <c r="AK530">
        <v>53.331658291457302</v>
      </c>
    </row>
    <row r="531" spans="1:37" x14ac:dyDescent="0.3">
      <c r="A531">
        <v>530</v>
      </c>
      <c r="B531">
        <v>1</v>
      </c>
      <c r="C531">
        <v>30.300501000000001</v>
      </c>
      <c r="D531">
        <v>-15.420400000000001</v>
      </c>
      <c r="E531" t="s">
        <v>880</v>
      </c>
      <c r="F531" t="s">
        <v>881</v>
      </c>
      <c r="G531" t="s">
        <v>39</v>
      </c>
      <c r="H531">
        <v>2008</v>
      </c>
      <c r="I531">
        <v>25.577796623981499</v>
      </c>
      <c r="J531">
        <v>13.8777960727927</v>
      </c>
      <c r="K531">
        <v>54</v>
      </c>
      <c r="L531">
        <v>31.575608958783999</v>
      </c>
      <c r="M531">
        <v>37.777795903073702</v>
      </c>
      <c r="N531">
        <v>12.5</v>
      </c>
      <c r="O531">
        <v>25.277795903073699</v>
      </c>
      <c r="P531">
        <v>27.1777970054512</v>
      </c>
      <c r="Q531">
        <v>21</v>
      </c>
      <c r="R531">
        <v>29.277795903073699</v>
      </c>
      <c r="S531">
        <v>21</v>
      </c>
      <c r="T531">
        <v>698</v>
      </c>
      <c r="U531">
        <v>186</v>
      </c>
      <c r="V531">
        <v>0</v>
      </c>
      <c r="W531">
        <v>122</v>
      </c>
      <c r="X531">
        <v>526</v>
      </c>
      <c r="Y531">
        <v>0</v>
      </c>
      <c r="Z531">
        <v>244</v>
      </c>
      <c r="AA531">
        <v>0</v>
      </c>
      <c r="AB531">
        <v>0.348750450376278</v>
      </c>
      <c r="AC531">
        <v>1284.7764008883501</v>
      </c>
      <c r="AD531">
        <v>1.5892989044396399</v>
      </c>
      <c r="AE531">
        <v>0.15697048604488401</v>
      </c>
      <c r="AF531">
        <v>354.42404006677799</v>
      </c>
      <c r="AG531">
        <f>IFERROR(AH531*0.1, "N/A")</f>
        <v>6.4</v>
      </c>
      <c r="AH531">
        <v>64</v>
      </c>
      <c r="AI531">
        <v>211.719222506617</v>
      </c>
      <c r="AJ531">
        <v>19.2220367278798</v>
      </c>
      <c r="AK531">
        <v>70.549248747913197</v>
      </c>
    </row>
    <row r="532" spans="1:37" x14ac:dyDescent="0.3">
      <c r="A532">
        <v>531</v>
      </c>
      <c r="B532">
        <v>1</v>
      </c>
      <c r="C532">
        <v>30.300501000000001</v>
      </c>
      <c r="D532">
        <v>-15.420400000000001</v>
      </c>
      <c r="E532" t="s">
        <v>880</v>
      </c>
      <c r="F532" t="s">
        <v>882</v>
      </c>
      <c r="G532" t="s">
        <v>37</v>
      </c>
      <c r="H532">
        <v>2008</v>
      </c>
      <c r="I532">
        <v>25.577796623981499</v>
      </c>
      <c r="J532">
        <v>13.8777960727927</v>
      </c>
      <c r="K532">
        <v>54</v>
      </c>
      <c r="L532">
        <v>31.575608958783999</v>
      </c>
      <c r="M532">
        <v>37.777795903073702</v>
      </c>
      <c r="N532">
        <v>12.5</v>
      </c>
      <c r="O532">
        <v>25.277795903073699</v>
      </c>
      <c r="P532">
        <v>27.1777970054512</v>
      </c>
      <c r="Q532">
        <v>21</v>
      </c>
      <c r="R532">
        <v>29.277795903073699</v>
      </c>
      <c r="S532">
        <v>21</v>
      </c>
      <c r="T532">
        <v>698</v>
      </c>
      <c r="U532">
        <v>186</v>
      </c>
      <c r="V532">
        <v>0</v>
      </c>
      <c r="W532">
        <v>122</v>
      </c>
      <c r="X532">
        <v>526</v>
      </c>
      <c r="Y532">
        <v>0</v>
      </c>
      <c r="Z532">
        <v>244</v>
      </c>
      <c r="AA532">
        <v>0</v>
      </c>
      <c r="AB532">
        <v>0.348750450376278</v>
      </c>
      <c r="AC532">
        <v>1284.7764008883501</v>
      </c>
      <c r="AD532">
        <v>1.5892989044396399</v>
      </c>
      <c r="AE532">
        <v>0.15697048604488401</v>
      </c>
      <c r="AF532">
        <v>354.42404006677799</v>
      </c>
      <c r="AG532">
        <f>IFERROR(AH532*0.1, "N/A")</f>
        <v>6.4</v>
      </c>
      <c r="AH532">
        <v>64</v>
      </c>
      <c r="AI532">
        <v>211.719222506617</v>
      </c>
      <c r="AJ532">
        <v>19.2220367278798</v>
      </c>
      <c r="AK532">
        <v>70.549248747913197</v>
      </c>
    </row>
    <row r="533" spans="1:37" x14ac:dyDescent="0.3">
      <c r="A533">
        <v>532</v>
      </c>
      <c r="B533">
        <v>0</v>
      </c>
      <c r="C533">
        <v>28.283332999999999</v>
      </c>
      <c r="D533">
        <v>-15.416667</v>
      </c>
      <c r="E533" t="s">
        <v>883</v>
      </c>
      <c r="F533" t="s">
        <v>884</v>
      </c>
      <c r="G533" t="s">
        <v>37</v>
      </c>
      <c r="H533">
        <v>1995</v>
      </c>
      <c r="I533">
        <v>20.299999237060501</v>
      </c>
      <c r="J533">
        <v>12.2408637525235</v>
      </c>
      <c r="K533">
        <v>54</v>
      </c>
      <c r="L533">
        <v>25.2467108311447</v>
      </c>
      <c r="M533">
        <v>31.3310630202689</v>
      </c>
      <c r="N533">
        <v>8.8999996185302699</v>
      </c>
      <c r="O533">
        <v>22.431062859950298</v>
      </c>
      <c r="P533">
        <v>21.487873707894899</v>
      </c>
      <c r="Q533">
        <v>16.799999237060501</v>
      </c>
      <c r="R533">
        <v>23.0715949574974</v>
      </c>
      <c r="S533">
        <v>16.700000762939499</v>
      </c>
      <c r="T533">
        <v>831.28737541528199</v>
      </c>
      <c r="U533">
        <v>215.6926910299</v>
      </c>
      <c r="V533">
        <v>0</v>
      </c>
      <c r="W533">
        <v>117</v>
      </c>
      <c r="X533">
        <v>602.28737541528199</v>
      </c>
      <c r="Y533">
        <v>0</v>
      </c>
      <c r="Z533">
        <v>249.63953488372101</v>
      </c>
      <c r="AA533">
        <v>4</v>
      </c>
      <c r="AB533">
        <v>1.36860327229547</v>
      </c>
      <c r="AC533">
        <v>2.1409750342108999E-2</v>
      </c>
      <c r="AD533">
        <v>2.2465553604487201</v>
      </c>
      <c r="AE533">
        <v>0.92677420377731301</v>
      </c>
      <c r="AF533">
        <v>1278.98172757475</v>
      </c>
      <c r="AG533">
        <f>IFERROR(AH533*0.1, "N/A")</f>
        <v>7.2189368770764109</v>
      </c>
      <c r="AH533">
        <v>72.189368770764105</v>
      </c>
      <c r="AI533">
        <v>139.34275465550201</v>
      </c>
      <c r="AJ533">
        <v>29</v>
      </c>
      <c r="AK533">
        <v>53</v>
      </c>
    </row>
    <row r="534" spans="1:37" x14ac:dyDescent="0.3">
      <c r="A534">
        <v>533</v>
      </c>
      <c r="B534">
        <v>34</v>
      </c>
      <c r="C534">
        <v>28.312598999999999</v>
      </c>
      <c r="D534">
        <v>-15.414899999999999</v>
      </c>
      <c r="E534" t="s">
        <v>885</v>
      </c>
      <c r="F534" t="s">
        <v>886</v>
      </c>
      <c r="G534" t="s">
        <v>39</v>
      </c>
      <c r="H534">
        <v>0</v>
      </c>
      <c r="I534">
        <v>20.299999237060501</v>
      </c>
      <c r="J534">
        <v>12.199999809265099</v>
      </c>
      <c r="K534">
        <v>54</v>
      </c>
      <c r="L534">
        <v>24.840000152587901</v>
      </c>
      <c r="M534">
        <v>31.200000762939499</v>
      </c>
      <c r="N534">
        <v>9</v>
      </c>
      <c r="O534">
        <v>22.200000762939499</v>
      </c>
      <c r="P534">
        <v>21.5</v>
      </c>
      <c r="Q534">
        <v>16.799999237060501</v>
      </c>
      <c r="R534">
        <v>23.100000381469702</v>
      </c>
      <c r="S534">
        <v>16.799999237060501</v>
      </c>
      <c r="T534">
        <v>830</v>
      </c>
      <c r="U534">
        <v>216</v>
      </c>
      <c r="V534">
        <v>0</v>
      </c>
      <c r="W534">
        <v>117</v>
      </c>
      <c r="X534">
        <v>601</v>
      </c>
      <c r="Y534">
        <v>0</v>
      </c>
      <c r="Z534">
        <v>310</v>
      </c>
      <c r="AA534">
        <v>4</v>
      </c>
      <c r="AB534">
        <v>22.5694211217915</v>
      </c>
      <c r="AC534">
        <v>1.5528678429159001E-2</v>
      </c>
      <c r="AD534">
        <v>2.7133959115845099</v>
      </c>
      <c r="AE534">
        <v>0.82871599468046497</v>
      </c>
      <c r="AF534">
        <v>1286.2203672788</v>
      </c>
      <c r="AG534">
        <f>IFERROR(AH534*0.1, "N/A")</f>
        <v>6.1372287145242099</v>
      </c>
      <c r="AH534">
        <v>61.372287145242097</v>
      </c>
      <c r="AI534">
        <v>199.13131223497101</v>
      </c>
      <c r="AJ534">
        <v>23.499165275459099</v>
      </c>
      <c r="AK534">
        <v>63.4207011686144</v>
      </c>
    </row>
    <row r="535" spans="1:37" x14ac:dyDescent="0.3">
      <c r="A535">
        <v>534</v>
      </c>
      <c r="B535">
        <v>3.4</v>
      </c>
      <c r="C535">
        <v>28.312598999999999</v>
      </c>
      <c r="D535">
        <v>-15.414899999999999</v>
      </c>
      <c r="E535" t="s">
        <v>885</v>
      </c>
      <c r="F535" t="s">
        <v>887</v>
      </c>
      <c r="G535" t="s">
        <v>37</v>
      </c>
      <c r="H535">
        <v>0</v>
      </c>
      <c r="I535">
        <v>20.299999237060501</v>
      </c>
      <c r="J535">
        <v>12.199999809265099</v>
      </c>
      <c r="K535">
        <v>54</v>
      </c>
      <c r="L535">
        <v>24.840000152587901</v>
      </c>
      <c r="M535">
        <v>31.200000762939499</v>
      </c>
      <c r="N535">
        <v>9</v>
      </c>
      <c r="O535">
        <v>22.200000762939499</v>
      </c>
      <c r="P535">
        <v>21.5</v>
      </c>
      <c r="Q535">
        <v>16.799999237060501</v>
      </c>
      <c r="R535">
        <v>23.100000381469702</v>
      </c>
      <c r="S535">
        <v>16.799999237060501</v>
      </c>
      <c r="T535">
        <v>830</v>
      </c>
      <c r="U535">
        <v>216</v>
      </c>
      <c r="V535">
        <v>0</v>
      </c>
      <c r="W535">
        <v>117</v>
      </c>
      <c r="X535">
        <v>601</v>
      </c>
      <c r="Y535">
        <v>0</v>
      </c>
      <c r="Z535">
        <v>310</v>
      </c>
      <c r="AA535">
        <v>4</v>
      </c>
      <c r="AB535">
        <v>22.5694211217915</v>
      </c>
      <c r="AC535">
        <v>1.5528678429159001E-2</v>
      </c>
      <c r="AD535">
        <v>2.7133959115845099</v>
      </c>
      <c r="AE535">
        <v>0.82871599468046497</v>
      </c>
      <c r="AF535">
        <v>1286.2203672788</v>
      </c>
      <c r="AG535">
        <f>IFERROR(AH535*0.1, "N/A")</f>
        <v>6.1372287145242099</v>
      </c>
      <c r="AH535">
        <v>61.372287145242097</v>
      </c>
      <c r="AI535">
        <v>199.13131223497101</v>
      </c>
      <c r="AJ535">
        <v>23.499165275459099</v>
      </c>
      <c r="AK535">
        <v>63.4207011686144</v>
      </c>
    </row>
    <row r="536" spans="1:37" x14ac:dyDescent="0.3">
      <c r="A536">
        <v>535</v>
      </c>
      <c r="B536">
        <v>3.9</v>
      </c>
      <c r="C536">
        <v>30.371400999999999</v>
      </c>
      <c r="D536">
        <v>-15.414199999999999</v>
      </c>
      <c r="E536" t="s">
        <v>888</v>
      </c>
      <c r="F536" t="s">
        <v>889</v>
      </c>
      <c r="G536" t="s">
        <v>39</v>
      </c>
      <c r="H536">
        <v>2008</v>
      </c>
      <c r="I536">
        <v>25.600000381469702</v>
      </c>
      <c r="J536">
        <v>13.8999996185303</v>
      </c>
      <c r="K536">
        <v>55</v>
      </c>
      <c r="L536">
        <v>31.309999465942401</v>
      </c>
      <c r="M536">
        <v>37.799999237060497</v>
      </c>
      <c r="N536">
        <v>12.6000003814697</v>
      </c>
      <c r="O536">
        <v>25.200000762939499</v>
      </c>
      <c r="P536">
        <v>27.299999237060501</v>
      </c>
      <c r="Q536">
        <v>21.100000381469702</v>
      </c>
      <c r="R536">
        <v>29.299999237060501</v>
      </c>
      <c r="S536">
        <v>21.100000381469702</v>
      </c>
      <c r="T536">
        <v>698</v>
      </c>
      <c r="U536">
        <v>187</v>
      </c>
      <c r="V536">
        <v>0</v>
      </c>
      <c r="W536">
        <v>123</v>
      </c>
      <c r="X536">
        <v>528</v>
      </c>
      <c r="Y536">
        <v>0</v>
      </c>
      <c r="Z536">
        <v>243</v>
      </c>
      <c r="AA536">
        <v>0</v>
      </c>
      <c r="AB536">
        <v>6.0244211089175401</v>
      </c>
      <c r="AC536">
        <v>0.25340403804239903</v>
      </c>
      <c r="AD536">
        <v>2.0575907264040998</v>
      </c>
      <c r="AE536">
        <v>0.22689052629114401</v>
      </c>
      <c r="AF536">
        <v>342.33554817275802</v>
      </c>
      <c r="AG536">
        <f>IFERROR(AH536*0.1, "N/A")</f>
        <v>6.6000000000000005</v>
      </c>
      <c r="AH536">
        <v>66</v>
      </c>
      <c r="AI536">
        <v>183.836738941281</v>
      </c>
      <c r="AJ536">
        <v>26.725913621262499</v>
      </c>
      <c r="AK536">
        <v>60.370431893687702</v>
      </c>
    </row>
    <row r="537" spans="1:37" x14ac:dyDescent="0.3">
      <c r="A537">
        <v>536</v>
      </c>
      <c r="B537">
        <v>0</v>
      </c>
      <c r="C537">
        <v>30.371400999999999</v>
      </c>
      <c r="D537">
        <v>-15.414199999999999</v>
      </c>
      <c r="E537" t="s">
        <v>888</v>
      </c>
      <c r="F537" t="s">
        <v>890</v>
      </c>
      <c r="G537" t="s">
        <v>37</v>
      </c>
      <c r="H537">
        <v>2008</v>
      </c>
      <c r="I537">
        <v>25.600000381469702</v>
      </c>
      <c r="J537">
        <v>13.8999996185303</v>
      </c>
      <c r="K537">
        <v>55</v>
      </c>
      <c r="L537">
        <v>31.309999465942401</v>
      </c>
      <c r="M537">
        <v>37.799999237060497</v>
      </c>
      <c r="N537">
        <v>12.6000003814697</v>
      </c>
      <c r="O537">
        <v>25.200000762939499</v>
      </c>
      <c r="P537">
        <v>27.299999237060501</v>
      </c>
      <c r="Q537">
        <v>21.100000381469702</v>
      </c>
      <c r="R537">
        <v>29.299999237060501</v>
      </c>
      <c r="S537">
        <v>21.100000381469702</v>
      </c>
      <c r="T537">
        <v>698</v>
      </c>
      <c r="U537">
        <v>187</v>
      </c>
      <c r="V537">
        <v>0</v>
      </c>
      <c r="W537">
        <v>123</v>
      </c>
      <c r="X537">
        <v>528</v>
      </c>
      <c r="Y537">
        <v>0</v>
      </c>
      <c r="Z537">
        <v>243</v>
      </c>
      <c r="AA537">
        <v>0</v>
      </c>
      <c r="AB537">
        <v>6.0244211089175401</v>
      </c>
      <c r="AC537">
        <v>0.25340403804239903</v>
      </c>
      <c r="AD537">
        <v>2.0575907264040998</v>
      </c>
      <c r="AE537">
        <v>0.22689052629114401</v>
      </c>
      <c r="AF537">
        <v>342.33554817275802</v>
      </c>
      <c r="AG537">
        <f>IFERROR(AH537*0.1, "N/A")</f>
        <v>6.6000000000000005</v>
      </c>
      <c r="AH537">
        <v>66</v>
      </c>
      <c r="AI537">
        <v>183.836738941281</v>
      </c>
      <c r="AJ537">
        <v>26.725913621262499</v>
      </c>
      <c r="AK537">
        <v>60.370431893687702</v>
      </c>
    </row>
    <row r="538" spans="1:37" x14ac:dyDescent="0.3">
      <c r="A538">
        <v>537</v>
      </c>
      <c r="B538">
        <v>7.4</v>
      </c>
      <c r="C538">
        <v>28.356000999999999</v>
      </c>
      <c r="D538">
        <v>-15.409000000000001</v>
      </c>
      <c r="E538" t="s">
        <v>891</v>
      </c>
      <c r="F538" t="s">
        <v>892</v>
      </c>
      <c r="G538" t="s">
        <v>37</v>
      </c>
      <c r="H538">
        <v>1974</v>
      </c>
      <c r="I538">
        <v>20.299999237060501</v>
      </c>
      <c r="J538">
        <v>12.300000190734901</v>
      </c>
      <c r="K538">
        <v>54</v>
      </c>
      <c r="L538">
        <v>25.149999618530298</v>
      </c>
      <c r="M538">
        <v>31.299999237060501</v>
      </c>
      <c r="N538">
        <v>8.8000001907348597</v>
      </c>
      <c r="O538">
        <v>22.5</v>
      </c>
      <c r="P538">
        <v>21.5</v>
      </c>
      <c r="Q538">
        <v>16.799999237060501</v>
      </c>
      <c r="R538">
        <v>23</v>
      </c>
      <c r="S538">
        <v>16.700000762939499</v>
      </c>
      <c r="T538">
        <v>833</v>
      </c>
      <c r="U538">
        <v>217</v>
      </c>
      <c r="V538">
        <v>0</v>
      </c>
      <c r="W538">
        <v>117</v>
      </c>
      <c r="X538">
        <v>602</v>
      </c>
      <c r="Y538">
        <v>0</v>
      </c>
      <c r="Z538">
        <v>310</v>
      </c>
      <c r="AA538">
        <v>4</v>
      </c>
      <c r="AB538">
        <v>8.9811088053385397</v>
      </c>
      <c r="AC538">
        <v>1.0005685342475999E-2</v>
      </c>
      <c r="AD538">
        <v>1.3443406606713899</v>
      </c>
      <c r="AE538">
        <v>0.87724524736404397</v>
      </c>
      <c r="AF538">
        <v>1271.9666666666701</v>
      </c>
      <c r="AG538">
        <f>IFERROR(AH538*0.1, "N/A")</f>
        <v>6.4351666666666709</v>
      </c>
      <c r="AH538">
        <v>64.351666666666702</v>
      </c>
      <c r="AI538">
        <v>167.34605855306</v>
      </c>
      <c r="AJ538">
        <v>23.351666666666699</v>
      </c>
      <c r="AK538">
        <v>62.411666666666697</v>
      </c>
    </row>
    <row r="539" spans="1:37" x14ac:dyDescent="0.3">
      <c r="A539">
        <v>538</v>
      </c>
      <c r="B539">
        <v>24.1</v>
      </c>
      <c r="C539">
        <v>28.356000999999999</v>
      </c>
      <c r="D539">
        <v>-15.409000000000001</v>
      </c>
      <c r="E539" t="s">
        <v>891</v>
      </c>
      <c r="F539" t="s">
        <v>893</v>
      </c>
      <c r="G539" t="s">
        <v>39</v>
      </c>
      <c r="H539">
        <v>1974</v>
      </c>
      <c r="I539">
        <v>20.299999237060501</v>
      </c>
      <c r="J539">
        <v>12.300000190734901</v>
      </c>
      <c r="K539">
        <v>54</v>
      </c>
      <c r="L539">
        <v>25.149999618530298</v>
      </c>
      <c r="M539">
        <v>31.299999237060501</v>
      </c>
      <c r="N539">
        <v>8.8000001907348597</v>
      </c>
      <c r="O539">
        <v>22.5</v>
      </c>
      <c r="P539">
        <v>21.5</v>
      </c>
      <c r="Q539">
        <v>16.799999237060501</v>
      </c>
      <c r="R539">
        <v>23</v>
      </c>
      <c r="S539">
        <v>16.700000762939499</v>
      </c>
      <c r="T539">
        <v>833</v>
      </c>
      <c r="U539">
        <v>217</v>
      </c>
      <c r="V539">
        <v>0</v>
      </c>
      <c r="W539">
        <v>117</v>
      </c>
      <c r="X539">
        <v>602</v>
      </c>
      <c r="Y539">
        <v>0</v>
      </c>
      <c r="Z539">
        <v>310</v>
      </c>
      <c r="AA539">
        <v>4</v>
      </c>
      <c r="AB539">
        <v>8.9811088053385397</v>
      </c>
      <c r="AC539">
        <v>1.0005685342475999E-2</v>
      </c>
      <c r="AD539">
        <v>1.3443406606713899</v>
      </c>
      <c r="AE539">
        <v>0.87724524736404397</v>
      </c>
      <c r="AF539">
        <v>1271.9666666666701</v>
      </c>
      <c r="AG539">
        <f>IFERROR(AH539*0.1, "N/A")</f>
        <v>6.4351666666666709</v>
      </c>
      <c r="AH539">
        <v>64.351666666666702</v>
      </c>
      <c r="AI539">
        <v>167.34605855306</v>
      </c>
      <c r="AJ539">
        <v>23.351666666666699</v>
      </c>
      <c r="AK539">
        <v>62.411666666666697</v>
      </c>
    </row>
    <row r="540" spans="1:37" x14ac:dyDescent="0.3">
      <c r="A540">
        <v>539</v>
      </c>
      <c r="B540">
        <v>51</v>
      </c>
      <c r="C540">
        <v>28.287500000000001</v>
      </c>
      <c r="D540">
        <v>-15.4085</v>
      </c>
      <c r="E540" t="s">
        <v>894</v>
      </c>
      <c r="F540" t="s">
        <v>895</v>
      </c>
      <c r="G540" t="s">
        <v>39</v>
      </c>
      <c r="H540">
        <v>2002</v>
      </c>
      <c r="I540">
        <v>20.299999237060501</v>
      </c>
      <c r="J540">
        <v>12.199999809265099</v>
      </c>
      <c r="K540">
        <v>54</v>
      </c>
      <c r="L540">
        <v>25.0067718461429</v>
      </c>
      <c r="M540">
        <v>31.218636263626799</v>
      </c>
      <c r="N540">
        <v>8.8999996185302699</v>
      </c>
      <c r="O540">
        <v>22.318634915470899</v>
      </c>
      <c r="P540">
        <v>21.5</v>
      </c>
      <c r="Q540">
        <v>16.799999237060501</v>
      </c>
      <c r="R540">
        <v>23.009317839205199</v>
      </c>
      <c r="S540">
        <v>16.700000762939499</v>
      </c>
      <c r="T540">
        <v>830.81364392678802</v>
      </c>
      <c r="U540">
        <v>216</v>
      </c>
      <c r="V540">
        <v>0</v>
      </c>
      <c r="W540">
        <v>117</v>
      </c>
      <c r="X540">
        <v>601.90682196339401</v>
      </c>
      <c r="Y540">
        <v>0</v>
      </c>
      <c r="Z540">
        <v>310.90682196339401</v>
      </c>
      <c r="AA540">
        <v>4</v>
      </c>
      <c r="AB540">
        <v>4.3732030681286398</v>
      </c>
      <c r="AC540">
        <v>1.1772801034996E-2</v>
      </c>
      <c r="AD540">
        <v>0.67363160620513296</v>
      </c>
      <c r="AE540">
        <v>0.922418521366976</v>
      </c>
      <c r="AF540">
        <v>1278.1896838602299</v>
      </c>
      <c r="AG540">
        <f>IFERROR(AH540*0.1, "N/A")</f>
        <v>6.60282861896839</v>
      </c>
      <c r="AH540">
        <v>66.028286189683897</v>
      </c>
      <c r="AI540">
        <v>66.252455827202098</v>
      </c>
      <c r="AJ540">
        <v>27.848585690515801</v>
      </c>
      <c r="AK540">
        <v>55.014975041597303</v>
      </c>
    </row>
    <row r="541" spans="1:37" x14ac:dyDescent="0.3">
      <c r="A541">
        <v>540</v>
      </c>
      <c r="B541">
        <v>20.5</v>
      </c>
      <c r="C541">
        <v>28.353901</v>
      </c>
      <c r="D541">
        <v>-15.4048</v>
      </c>
      <c r="E541" t="s">
        <v>896</v>
      </c>
      <c r="F541" t="s">
        <v>897</v>
      </c>
      <c r="G541" t="s">
        <v>39</v>
      </c>
      <c r="H541">
        <v>1995</v>
      </c>
      <c r="I541">
        <v>20.299999237060501</v>
      </c>
      <c r="J541">
        <v>12.300000190734901</v>
      </c>
      <c r="K541">
        <v>54</v>
      </c>
      <c r="L541">
        <v>25.549999237060501</v>
      </c>
      <c r="M541">
        <v>31.200000762939499</v>
      </c>
      <c r="N541">
        <v>8.6999998092651403</v>
      </c>
      <c r="O541">
        <v>22.5</v>
      </c>
      <c r="P541">
        <v>21.600000381469702</v>
      </c>
      <c r="Q541">
        <v>16.700000762939499</v>
      </c>
      <c r="R541">
        <v>23.100000381469702</v>
      </c>
      <c r="S541">
        <v>16.600000381469702</v>
      </c>
      <c r="T541">
        <v>834</v>
      </c>
      <c r="U541">
        <v>218</v>
      </c>
      <c r="V541">
        <v>0</v>
      </c>
      <c r="W541">
        <v>117</v>
      </c>
      <c r="X541">
        <v>603</v>
      </c>
      <c r="Y541">
        <v>0</v>
      </c>
      <c r="Z541">
        <v>310</v>
      </c>
      <c r="AA541">
        <v>4</v>
      </c>
      <c r="AB541">
        <v>17.293175330528801</v>
      </c>
      <c r="AC541">
        <v>8.4534386316170006E-3</v>
      </c>
      <c r="AD541">
        <v>1.2171852972894199</v>
      </c>
      <c r="AE541">
        <v>0.91176383730559796</v>
      </c>
      <c r="AF541">
        <v>1281.64548494983</v>
      </c>
      <c r="AG541">
        <f>IFERROR(AH541*0.1, "N/A")</f>
        <v>6.90919732441471</v>
      </c>
      <c r="AH541">
        <v>69.091973244147098</v>
      </c>
      <c r="AI541">
        <v>167.91016236754999</v>
      </c>
      <c r="AJ541">
        <v>24.2173913043478</v>
      </c>
      <c r="AK541">
        <v>61.583612040133801</v>
      </c>
    </row>
    <row r="542" spans="1:37" x14ac:dyDescent="0.3">
      <c r="A542">
        <v>541</v>
      </c>
      <c r="B542">
        <v>27</v>
      </c>
      <c r="C542">
        <v>28.3062</v>
      </c>
      <c r="D542">
        <v>-15.3866</v>
      </c>
      <c r="E542" t="s">
        <v>898</v>
      </c>
      <c r="F542" t="s">
        <v>899</v>
      </c>
      <c r="G542" t="s">
        <v>39</v>
      </c>
      <c r="H542">
        <v>1995</v>
      </c>
      <c r="I542">
        <v>20.399999618530298</v>
      </c>
      <c r="J542">
        <v>12.300000190734901</v>
      </c>
      <c r="K542">
        <v>54</v>
      </c>
      <c r="L542">
        <v>25.370000839233398</v>
      </c>
      <c r="M542">
        <v>31.399999618530298</v>
      </c>
      <c r="N542">
        <v>8.8000001907348597</v>
      </c>
      <c r="O542">
        <v>22.600000381469702</v>
      </c>
      <c r="P542">
        <v>21.600000381469702</v>
      </c>
      <c r="Q542">
        <v>16.799999237060501</v>
      </c>
      <c r="R542">
        <v>23.100000381469702</v>
      </c>
      <c r="S542">
        <v>16.700000762939499</v>
      </c>
      <c r="T542">
        <v>832</v>
      </c>
      <c r="U542">
        <v>217</v>
      </c>
      <c r="V542">
        <v>0</v>
      </c>
      <c r="W542">
        <v>117</v>
      </c>
      <c r="X542">
        <v>602</v>
      </c>
      <c r="Y542">
        <v>0</v>
      </c>
      <c r="Z542">
        <v>310</v>
      </c>
      <c r="AA542">
        <v>4</v>
      </c>
      <c r="AB542">
        <v>25.568249124517401</v>
      </c>
      <c r="AC542">
        <v>1.8284451328405001E-2</v>
      </c>
      <c r="AD542">
        <v>2.52104958389359</v>
      </c>
      <c r="AE542">
        <v>0.87284344504392997</v>
      </c>
      <c r="AF542">
        <v>1261.2370617696199</v>
      </c>
      <c r="AG542">
        <f>IFERROR(AH542*0.1, "N/A")</f>
        <v>6.37462437395659</v>
      </c>
      <c r="AH542">
        <v>63.746243739565898</v>
      </c>
      <c r="AI542">
        <v>163.20200801970401</v>
      </c>
      <c r="AJ542">
        <v>23.7595993322204</v>
      </c>
      <c r="AK542">
        <v>62.988313856427403</v>
      </c>
    </row>
    <row r="543" spans="1:37" x14ac:dyDescent="0.3">
      <c r="A543">
        <v>542</v>
      </c>
      <c r="B543">
        <v>40</v>
      </c>
      <c r="C543">
        <v>28.3064</v>
      </c>
      <c r="D543">
        <v>-15.385400000000001</v>
      </c>
      <c r="E543" t="s">
        <v>900</v>
      </c>
      <c r="F543" t="s">
        <v>901</v>
      </c>
      <c r="G543" t="s">
        <v>39</v>
      </c>
      <c r="H543">
        <v>0</v>
      </c>
      <c r="I543">
        <v>20.399999618530298</v>
      </c>
      <c r="J543">
        <v>12.300000190734901</v>
      </c>
      <c r="K543">
        <v>54</v>
      </c>
      <c r="L543">
        <v>25.370000839233398</v>
      </c>
      <c r="M543">
        <v>31.399999618530298</v>
      </c>
      <c r="N543">
        <v>8.8000001907348597</v>
      </c>
      <c r="O543">
        <v>22.600000381469702</v>
      </c>
      <c r="P543">
        <v>21.600000381469702</v>
      </c>
      <c r="Q543">
        <v>16.799999237060501</v>
      </c>
      <c r="R543">
        <v>23.100000381469702</v>
      </c>
      <c r="S543">
        <v>16.700000762939499</v>
      </c>
      <c r="T543">
        <v>832</v>
      </c>
      <c r="U543">
        <v>217</v>
      </c>
      <c r="V543">
        <v>0</v>
      </c>
      <c r="W543">
        <v>117</v>
      </c>
      <c r="X543">
        <v>602</v>
      </c>
      <c r="Y543">
        <v>0</v>
      </c>
      <c r="Z543">
        <v>310</v>
      </c>
      <c r="AA543">
        <v>4</v>
      </c>
      <c r="AB543">
        <v>20.748566336146201</v>
      </c>
      <c r="AC543">
        <v>2.3791938503965E-2</v>
      </c>
      <c r="AD543">
        <v>3.4144867571048998</v>
      </c>
      <c r="AE543">
        <v>0.87004001719724799</v>
      </c>
      <c r="AF543">
        <v>1256.8063439065099</v>
      </c>
      <c r="AG543">
        <f>IFERROR(AH543*0.1, "N/A")</f>
        <v>6.31202003338898</v>
      </c>
      <c r="AH543">
        <v>63.120200333889798</v>
      </c>
      <c r="AI543">
        <v>26.671700355007602</v>
      </c>
      <c r="AJ543">
        <v>24.879799666110198</v>
      </c>
      <c r="AK543">
        <v>62</v>
      </c>
    </row>
    <row r="544" spans="1:37" x14ac:dyDescent="0.3">
      <c r="A544">
        <v>543</v>
      </c>
      <c r="B544">
        <v>0</v>
      </c>
      <c r="C544">
        <v>28.238001000000001</v>
      </c>
      <c r="D544">
        <v>-15.385300000000001</v>
      </c>
      <c r="E544" t="s">
        <v>902</v>
      </c>
      <c r="F544" t="s">
        <v>903</v>
      </c>
      <c r="G544" t="s">
        <v>37</v>
      </c>
      <c r="H544">
        <v>1992</v>
      </c>
      <c r="I544">
        <v>20.299999237060501</v>
      </c>
      <c r="J544">
        <v>12.300000190734901</v>
      </c>
      <c r="K544">
        <v>54</v>
      </c>
      <c r="L544">
        <v>25.360000610351602</v>
      </c>
      <c r="M544">
        <v>31.299999237060501</v>
      </c>
      <c r="N544">
        <v>8.6999998092651403</v>
      </c>
      <c r="O544">
        <v>22.600000381469702</v>
      </c>
      <c r="P544">
        <v>21.600000381469702</v>
      </c>
      <c r="Q544">
        <v>16.799999237060501</v>
      </c>
      <c r="R544">
        <v>23</v>
      </c>
      <c r="S544">
        <v>16.600000381469702</v>
      </c>
      <c r="T544">
        <v>836</v>
      </c>
      <c r="U544">
        <v>216</v>
      </c>
      <c r="V544">
        <v>0</v>
      </c>
      <c r="W544">
        <v>118</v>
      </c>
      <c r="X544">
        <v>606</v>
      </c>
      <c r="Y544">
        <v>0</v>
      </c>
      <c r="Z544">
        <v>315</v>
      </c>
      <c r="AA544">
        <v>4</v>
      </c>
      <c r="AB544">
        <v>14.749493551094799</v>
      </c>
      <c r="AC544">
        <v>1.3377800491953E-2</v>
      </c>
      <c r="AD544">
        <v>0.84130965168260796</v>
      </c>
      <c r="AE544">
        <v>0.92840319871902499</v>
      </c>
      <c r="AF544">
        <v>1265.15551839465</v>
      </c>
      <c r="AG544">
        <f>IFERROR(AH544*0.1, "N/A")</f>
        <v>7.0023411371237501</v>
      </c>
      <c r="AH544">
        <v>70.023411371237501</v>
      </c>
      <c r="AI544">
        <v>111.568324385678</v>
      </c>
      <c r="AJ544">
        <v>29.7775919732441</v>
      </c>
      <c r="AK544">
        <v>53.2224080267559</v>
      </c>
    </row>
    <row r="545" spans="1:37" x14ac:dyDescent="0.3">
      <c r="A545">
        <v>544</v>
      </c>
      <c r="B545">
        <v>25.6</v>
      </c>
      <c r="C545">
        <v>28.241399999999999</v>
      </c>
      <c r="D545">
        <v>-15.3812</v>
      </c>
      <c r="E545" t="s">
        <v>904</v>
      </c>
      <c r="F545" t="s">
        <v>905</v>
      </c>
      <c r="G545" t="s">
        <v>39</v>
      </c>
      <c r="H545">
        <v>1995</v>
      </c>
      <c r="I545">
        <v>20.364832817713399</v>
      </c>
      <c r="J545">
        <v>12.3999996185303</v>
      </c>
      <c r="K545">
        <v>54</v>
      </c>
      <c r="L545">
        <v>25.964833199183101</v>
      </c>
      <c r="M545">
        <v>31.464833199183101</v>
      </c>
      <c r="N545">
        <v>8.6648333438237497</v>
      </c>
      <c r="O545">
        <v>22.799999237060501</v>
      </c>
      <c r="P545">
        <v>21.6648339621226</v>
      </c>
      <c r="Q545">
        <v>16.764833106994601</v>
      </c>
      <c r="R545">
        <v>23.1648339621226</v>
      </c>
      <c r="S545">
        <v>16.6648339621226</v>
      </c>
      <c r="T545">
        <v>836.35166666666703</v>
      </c>
      <c r="U545">
        <v>216</v>
      </c>
      <c r="V545">
        <v>0</v>
      </c>
      <c r="W545">
        <v>118</v>
      </c>
      <c r="X545">
        <v>606.35166666666703</v>
      </c>
      <c r="Y545">
        <v>0</v>
      </c>
      <c r="Z545">
        <v>111</v>
      </c>
      <c r="AA545">
        <v>4</v>
      </c>
      <c r="AB545">
        <v>34.971464029947903</v>
      </c>
      <c r="AC545">
        <v>2.1828378373757E-2</v>
      </c>
      <c r="AD545">
        <v>0.923773833115896</v>
      </c>
      <c r="AE545">
        <v>0.92840319871902499</v>
      </c>
      <c r="AF545">
        <v>1259.30666666667</v>
      </c>
      <c r="AG545">
        <f>IFERROR(AH545*0.1, "N/A")</f>
        <v>7.0066666666666713</v>
      </c>
      <c r="AH545">
        <v>70.066666666666706</v>
      </c>
      <c r="AI545">
        <v>210.86591386159299</v>
      </c>
      <c r="AJ545">
        <v>29.7</v>
      </c>
      <c r="AK545">
        <v>52.633333333333297</v>
      </c>
    </row>
    <row r="546" spans="1:37" x14ac:dyDescent="0.3">
      <c r="A546">
        <v>545</v>
      </c>
      <c r="B546">
        <v>37.5</v>
      </c>
      <c r="C546">
        <v>28.350598999999999</v>
      </c>
      <c r="D546">
        <v>-15.3796</v>
      </c>
      <c r="E546" t="s">
        <v>906</v>
      </c>
      <c r="F546" t="s">
        <v>907</v>
      </c>
      <c r="G546" t="s">
        <v>39</v>
      </c>
      <c r="H546">
        <v>1995</v>
      </c>
      <c r="I546">
        <v>20.399999618530298</v>
      </c>
      <c r="J546">
        <v>12.495847160238</v>
      </c>
      <c r="K546">
        <v>54</v>
      </c>
      <c r="L546">
        <v>26.0033557169461</v>
      </c>
      <c r="M546">
        <v>31.399999618530298</v>
      </c>
      <c r="N546">
        <v>8.6000003814697301</v>
      </c>
      <c r="O546">
        <v>22.799999237060501</v>
      </c>
      <c r="P546">
        <v>21.7958464765073</v>
      </c>
      <c r="Q546">
        <v>16.700000762939499</v>
      </c>
      <c r="R546">
        <v>23.2958464765073</v>
      </c>
      <c r="S546">
        <v>16.700000762939499</v>
      </c>
      <c r="T546">
        <v>836</v>
      </c>
      <c r="U546">
        <v>219</v>
      </c>
      <c r="V546">
        <v>0</v>
      </c>
      <c r="W546">
        <v>118</v>
      </c>
      <c r="X546">
        <v>605</v>
      </c>
      <c r="Y546">
        <v>0</v>
      </c>
      <c r="Z546">
        <v>311</v>
      </c>
      <c r="AA546">
        <v>4</v>
      </c>
      <c r="AB546">
        <v>21.898843657534801</v>
      </c>
      <c r="AC546">
        <v>3.2716049591506001E-2</v>
      </c>
      <c r="AD546">
        <v>1.7010846850879999</v>
      </c>
      <c r="AE546">
        <v>0.78949368000030495</v>
      </c>
      <c r="AF546">
        <v>1245.15780730897</v>
      </c>
      <c r="AG546">
        <f>IFERROR(AH546*0.1, "N/A")</f>
        <v>5.9</v>
      </c>
      <c r="AH546">
        <v>59</v>
      </c>
      <c r="AI546">
        <v>71.732173539475397</v>
      </c>
      <c r="AJ546">
        <v>17.828903654485</v>
      </c>
      <c r="AK546">
        <v>71.212624584717602</v>
      </c>
    </row>
    <row r="547" spans="1:37" x14ac:dyDescent="0.3">
      <c r="A547">
        <v>546</v>
      </c>
      <c r="B547">
        <v>36</v>
      </c>
      <c r="C547">
        <v>28.350401000000002</v>
      </c>
      <c r="D547">
        <v>-15.378399999999999</v>
      </c>
      <c r="E547" t="s">
        <v>908</v>
      </c>
      <c r="F547" t="s">
        <v>909</v>
      </c>
      <c r="G547" t="s">
        <v>39</v>
      </c>
      <c r="H547">
        <v>0</v>
      </c>
      <c r="I547">
        <v>20.399999618530298</v>
      </c>
      <c r="J547">
        <v>12.487333285013801</v>
      </c>
      <c r="K547">
        <v>54</v>
      </c>
      <c r="L547">
        <v>25.989733581543</v>
      </c>
      <c r="M547">
        <v>31.399999618530298</v>
      </c>
      <c r="N547">
        <v>8.6000003814697301</v>
      </c>
      <c r="O547">
        <v>22.799999237060501</v>
      </c>
      <c r="P547">
        <v>21.787332763671898</v>
      </c>
      <c r="Q547">
        <v>16.700000762939499</v>
      </c>
      <c r="R547">
        <v>23.287332763671898</v>
      </c>
      <c r="S547">
        <v>16.700000762939499</v>
      </c>
      <c r="T547">
        <v>836</v>
      </c>
      <c r="U547">
        <v>219</v>
      </c>
      <c r="V547">
        <v>0</v>
      </c>
      <c r="W547">
        <v>118</v>
      </c>
      <c r="X547">
        <v>605</v>
      </c>
      <c r="Y547">
        <v>0</v>
      </c>
      <c r="Z547">
        <v>311</v>
      </c>
      <c r="AA547">
        <v>4</v>
      </c>
      <c r="AB547">
        <v>21.508372599283899</v>
      </c>
      <c r="AC547">
        <v>2.1911158734000999E-2</v>
      </c>
      <c r="AD547">
        <v>2.6367699126402502</v>
      </c>
      <c r="AE547">
        <v>0.808524375657241</v>
      </c>
      <c r="AF547">
        <v>1243.73166666667</v>
      </c>
      <c r="AG547">
        <f>IFERROR(AH547*0.1, "N/A")</f>
        <v>5.9355000000000002</v>
      </c>
      <c r="AH547">
        <v>59.354999999999997</v>
      </c>
      <c r="AI547">
        <v>55.167632153828897</v>
      </c>
      <c r="AJ547">
        <v>18.2716666666667</v>
      </c>
      <c r="AK547">
        <v>70.456666666666706</v>
      </c>
    </row>
    <row r="548" spans="1:37" x14ac:dyDescent="0.3">
      <c r="A548">
        <v>547</v>
      </c>
      <c r="B548">
        <v>7.5</v>
      </c>
      <c r="C548">
        <v>28.267401</v>
      </c>
      <c r="D548">
        <v>-15.378299999999999</v>
      </c>
      <c r="E548" t="s">
        <v>910</v>
      </c>
      <c r="F548" t="s">
        <v>911</v>
      </c>
      <c r="G548" t="s">
        <v>39</v>
      </c>
      <c r="H548">
        <v>1995</v>
      </c>
      <c r="I548">
        <v>20.399999618530298</v>
      </c>
      <c r="J548">
        <v>12.300000190734901</v>
      </c>
      <c r="K548">
        <v>54</v>
      </c>
      <c r="L548">
        <v>25.659999847412099</v>
      </c>
      <c r="M548">
        <v>31.299999237060501</v>
      </c>
      <c r="N548">
        <v>8.6999998092651403</v>
      </c>
      <c r="O548">
        <v>22.600000381469702</v>
      </c>
      <c r="P548">
        <v>21.700000762939499</v>
      </c>
      <c r="Q548">
        <v>16.799999237060501</v>
      </c>
      <c r="R548">
        <v>23.100000381469702</v>
      </c>
      <c r="S548">
        <v>16.700000762939499</v>
      </c>
      <c r="T548">
        <v>834</v>
      </c>
      <c r="U548">
        <v>217</v>
      </c>
      <c r="V548">
        <v>0</v>
      </c>
      <c r="W548">
        <v>118</v>
      </c>
      <c r="X548">
        <v>605</v>
      </c>
      <c r="Y548">
        <v>0</v>
      </c>
      <c r="Z548">
        <v>313</v>
      </c>
      <c r="AA548">
        <v>4</v>
      </c>
      <c r="AB548">
        <v>5.4728462959212996</v>
      </c>
      <c r="AC548">
        <v>9.9329990250709002E-2</v>
      </c>
      <c r="AD548">
        <v>1.0608925069853601</v>
      </c>
      <c r="AE548">
        <v>0.92320367683933702</v>
      </c>
      <c r="AF548">
        <v>1264.6856187291</v>
      </c>
      <c r="AG548">
        <f>IFERROR(AH548*0.1, "N/A")</f>
        <v>6.5515050167224107</v>
      </c>
      <c r="AH548">
        <v>65.515050167224103</v>
      </c>
      <c r="AI548">
        <v>42.582056753611496</v>
      </c>
      <c r="AJ548">
        <v>25.9698996655518</v>
      </c>
      <c r="AK548">
        <v>59</v>
      </c>
    </row>
    <row r="549" spans="1:37" x14ac:dyDescent="0.3">
      <c r="A549">
        <v>548</v>
      </c>
      <c r="B549">
        <v>11.4</v>
      </c>
      <c r="C549">
        <v>28.277999999999999</v>
      </c>
      <c r="D549">
        <v>-15.3733</v>
      </c>
      <c r="E549" t="s">
        <v>912</v>
      </c>
      <c r="F549" t="s">
        <v>913</v>
      </c>
      <c r="G549" t="s">
        <v>37</v>
      </c>
      <c r="H549">
        <v>1974</v>
      </c>
      <c r="I549">
        <v>20.299999237060501</v>
      </c>
      <c r="J549">
        <v>12.3999996185303</v>
      </c>
      <c r="K549">
        <v>54</v>
      </c>
      <c r="L549">
        <v>25.7299995422363</v>
      </c>
      <c r="M549">
        <v>31.299999237060501</v>
      </c>
      <c r="N549">
        <v>8.6000003814697301</v>
      </c>
      <c r="O549">
        <v>22.700000762939499</v>
      </c>
      <c r="P549">
        <v>21.600000381469702</v>
      </c>
      <c r="Q549">
        <v>16.700000762939499</v>
      </c>
      <c r="R549">
        <v>23.100000381469702</v>
      </c>
      <c r="S549">
        <v>16.600000381469702</v>
      </c>
      <c r="T549">
        <v>835</v>
      </c>
      <c r="U549">
        <v>217</v>
      </c>
      <c r="V549">
        <v>0</v>
      </c>
      <c r="W549">
        <v>118</v>
      </c>
      <c r="X549">
        <v>605</v>
      </c>
      <c r="Y549">
        <v>0</v>
      </c>
      <c r="Z549">
        <v>313</v>
      </c>
      <c r="AA549">
        <v>4</v>
      </c>
      <c r="AB549">
        <v>15.1384428148477</v>
      </c>
      <c r="AC549">
        <v>8.5645129263580005E-3</v>
      </c>
      <c r="AD549">
        <v>3.2800333273032698</v>
      </c>
      <c r="AE549">
        <v>0.92023992538452104</v>
      </c>
      <c r="AF549">
        <v>1262.0016694490801</v>
      </c>
      <c r="AG549">
        <f>IFERROR(AH549*0.1, "N/A")</f>
        <v>6.9215358931552604</v>
      </c>
      <c r="AH549">
        <v>69.215358931552601</v>
      </c>
      <c r="AI549">
        <v>134.504787578806</v>
      </c>
      <c r="AJ549">
        <v>26.864774624374</v>
      </c>
      <c r="AK549">
        <v>57.130217028380599</v>
      </c>
    </row>
    <row r="550" spans="1:37" x14ac:dyDescent="0.3">
      <c r="A550">
        <v>549</v>
      </c>
      <c r="B550">
        <v>53.200001</v>
      </c>
      <c r="C550">
        <v>28.277999999999999</v>
      </c>
      <c r="D550">
        <v>-15.3733</v>
      </c>
      <c r="E550" t="s">
        <v>912</v>
      </c>
      <c r="F550" t="s">
        <v>914</v>
      </c>
      <c r="G550" t="s">
        <v>39</v>
      </c>
      <c r="H550">
        <v>1974</v>
      </c>
      <c r="I550">
        <v>20.299999237060501</v>
      </c>
      <c r="J550">
        <v>12.3999996185303</v>
      </c>
      <c r="K550">
        <v>54</v>
      </c>
      <c r="L550">
        <v>25.7299995422363</v>
      </c>
      <c r="M550">
        <v>31.299999237060501</v>
      </c>
      <c r="N550">
        <v>8.6000003814697301</v>
      </c>
      <c r="O550">
        <v>22.700000762939499</v>
      </c>
      <c r="P550">
        <v>21.600000381469702</v>
      </c>
      <c r="Q550">
        <v>16.700000762939499</v>
      </c>
      <c r="R550">
        <v>23.100000381469702</v>
      </c>
      <c r="S550">
        <v>16.600000381469702</v>
      </c>
      <c r="T550">
        <v>835</v>
      </c>
      <c r="U550">
        <v>217</v>
      </c>
      <c r="V550">
        <v>0</v>
      </c>
      <c r="W550">
        <v>118</v>
      </c>
      <c r="X550">
        <v>605</v>
      </c>
      <c r="Y550">
        <v>0</v>
      </c>
      <c r="Z550">
        <v>313</v>
      </c>
      <c r="AA550">
        <v>4</v>
      </c>
      <c r="AB550">
        <v>15.1384428148477</v>
      </c>
      <c r="AC550">
        <v>8.5645129263580005E-3</v>
      </c>
      <c r="AD550">
        <v>3.2800333273032698</v>
      </c>
      <c r="AE550">
        <v>0.92023992538452104</v>
      </c>
      <c r="AF550">
        <v>1262.0016694490801</v>
      </c>
      <c r="AG550">
        <f>IFERROR(AH550*0.1, "N/A")</f>
        <v>6.9215358931552604</v>
      </c>
      <c r="AH550">
        <v>69.215358931552601</v>
      </c>
      <c r="AI550">
        <v>134.504787578806</v>
      </c>
      <c r="AJ550">
        <v>26.864774624374</v>
      </c>
      <c r="AK550">
        <v>57.130217028380599</v>
      </c>
    </row>
    <row r="551" spans="1:37" x14ac:dyDescent="0.3">
      <c r="A551">
        <v>550</v>
      </c>
      <c r="B551">
        <v>8.1999999999999993</v>
      </c>
      <c r="C551">
        <v>28.3276</v>
      </c>
      <c r="D551">
        <v>-15.364100000000001</v>
      </c>
      <c r="E551" t="s">
        <v>915</v>
      </c>
      <c r="F551" t="s">
        <v>916</v>
      </c>
      <c r="G551" t="s">
        <v>39</v>
      </c>
      <c r="H551">
        <v>2010</v>
      </c>
      <c r="I551">
        <v>20.399999618530298</v>
      </c>
      <c r="J551">
        <v>12.5</v>
      </c>
      <c r="K551">
        <v>54</v>
      </c>
      <c r="L551">
        <v>26.040000915527301</v>
      </c>
      <c r="M551">
        <v>31.399999618530298</v>
      </c>
      <c r="N551">
        <v>8.5</v>
      </c>
      <c r="O551">
        <v>22.899999618530298</v>
      </c>
      <c r="P551">
        <v>21.799999237060501</v>
      </c>
      <c r="Q551">
        <v>16.700000762939499</v>
      </c>
      <c r="R551">
        <v>23.299999237060501</v>
      </c>
      <c r="S551">
        <v>16.700000762939499</v>
      </c>
      <c r="T551">
        <v>838</v>
      </c>
      <c r="U551">
        <v>219</v>
      </c>
      <c r="V551">
        <v>0</v>
      </c>
      <c r="W551">
        <v>118</v>
      </c>
      <c r="X551">
        <v>607</v>
      </c>
      <c r="Y551">
        <v>0</v>
      </c>
      <c r="Z551">
        <v>312</v>
      </c>
      <c r="AA551">
        <v>0</v>
      </c>
      <c r="AB551">
        <v>15.6567152529607</v>
      </c>
      <c r="AC551">
        <v>1.1305104659712E-2</v>
      </c>
      <c r="AD551">
        <v>1.36775576033457</v>
      </c>
      <c r="AE551">
        <v>0.85848462581634499</v>
      </c>
      <c r="AF551">
        <v>1242.6210350584299</v>
      </c>
      <c r="AG551">
        <f>IFERROR(AH551*0.1, "N/A")</f>
        <v>6.8000000000000007</v>
      </c>
      <c r="AH551">
        <v>68</v>
      </c>
      <c r="AI551">
        <v>125.19142678186</v>
      </c>
      <c r="AJ551">
        <v>22.383973288814701</v>
      </c>
      <c r="AK551">
        <v>64</v>
      </c>
    </row>
    <row r="552" spans="1:37" x14ac:dyDescent="0.3">
      <c r="A552">
        <v>551</v>
      </c>
      <c r="B552">
        <v>8.8000000000000007</v>
      </c>
      <c r="C552">
        <v>30.3202</v>
      </c>
      <c r="D552">
        <v>-15.308</v>
      </c>
      <c r="E552" t="s">
        <v>917</v>
      </c>
      <c r="F552" t="s">
        <v>918</v>
      </c>
      <c r="G552" t="s">
        <v>39</v>
      </c>
      <c r="H552">
        <v>2008</v>
      </c>
      <c r="I552">
        <v>25.6338903271097</v>
      </c>
      <c r="J552">
        <v>13.800000190734901</v>
      </c>
      <c r="K552">
        <v>54</v>
      </c>
      <c r="L552">
        <v>31.290166587383801</v>
      </c>
      <c r="M552">
        <v>37.900834976731197</v>
      </c>
      <c r="N552">
        <v>12.5669451635549</v>
      </c>
      <c r="O552">
        <v>25.333889813176398</v>
      </c>
      <c r="P552">
        <v>27.200834213791801</v>
      </c>
      <c r="Q552">
        <v>21.1338903271097</v>
      </c>
      <c r="R552">
        <v>29.2338894317067</v>
      </c>
      <c r="S552">
        <v>21.1338903271097</v>
      </c>
      <c r="T552">
        <v>706.66110183639398</v>
      </c>
      <c r="U552">
        <v>190.66944908180301</v>
      </c>
      <c r="V552">
        <v>0</v>
      </c>
      <c r="W552">
        <v>122.338898163606</v>
      </c>
      <c r="X552">
        <v>529.33055091819699</v>
      </c>
      <c r="Y552">
        <v>0</v>
      </c>
      <c r="Z552">
        <v>242.66110183639401</v>
      </c>
      <c r="AA552">
        <v>0</v>
      </c>
      <c r="AB552">
        <v>12.516872195847199</v>
      </c>
      <c r="AC552">
        <v>1.6955201165790999E-2</v>
      </c>
      <c r="AD552">
        <v>3.8439777582037999</v>
      </c>
      <c r="AE552">
        <v>0.31011667847633401</v>
      </c>
      <c r="AF552">
        <v>356.17195325542599</v>
      </c>
      <c r="AG552">
        <f>IFERROR(AH552*0.1, "N/A")</f>
        <v>6.4914858096827999</v>
      </c>
      <c r="AH552">
        <v>64.914858096827999</v>
      </c>
      <c r="AI552">
        <v>80.520409184425603</v>
      </c>
      <c r="AJ552">
        <v>20.998330550918201</v>
      </c>
      <c r="AK552">
        <v>68.171953255425706</v>
      </c>
    </row>
    <row r="553" spans="1:37" x14ac:dyDescent="0.3">
      <c r="A553">
        <v>552</v>
      </c>
      <c r="B553">
        <v>0</v>
      </c>
      <c r="C553">
        <v>30.3202</v>
      </c>
      <c r="D553">
        <v>-15.308</v>
      </c>
      <c r="E553" t="s">
        <v>917</v>
      </c>
      <c r="F553" t="s">
        <v>919</v>
      </c>
      <c r="G553" t="s">
        <v>37</v>
      </c>
      <c r="H553">
        <v>2008</v>
      </c>
      <c r="I553">
        <v>25.6338903271097</v>
      </c>
      <c r="J553">
        <v>13.800000190734901</v>
      </c>
      <c r="K553">
        <v>54</v>
      </c>
      <c r="L553">
        <v>31.290166587383801</v>
      </c>
      <c r="M553">
        <v>37.900834976731197</v>
      </c>
      <c r="N553">
        <v>12.5669451635549</v>
      </c>
      <c r="O553">
        <v>25.333889813176398</v>
      </c>
      <c r="P553">
        <v>27.200834213791801</v>
      </c>
      <c r="Q553">
        <v>21.1338903271097</v>
      </c>
      <c r="R553">
        <v>29.2338894317067</v>
      </c>
      <c r="S553">
        <v>21.1338903271097</v>
      </c>
      <c r="T553">
        <v>706.66110183639398</v>
      </c>
      <c r="U553">
        <v>190.66944908180301</v>
      </c>
      <c r="V553">
        <v>0</v>
      </c>
      <c r="W553">
        <v>122.338898163606</v>
      </c>
      <c r="X553">
        <v>529.33055091819699</v>
      </c>
      <c r="Y553">
        <v>0</v>
      </c>
      <c r="Z553">
        <v>242.66110183639401</v>
      </c>
      <c r="AA553">
        <v>0</v>
      </c>
      <c r="AB553">
        <v>12.516872195847199</v>
      </c>
      <c r="AC553">
        <v>1.6955201165790999E-2</v>
      </c>
      <c r="AD553">
        <v>3.8439777582037999</v>
      </c>
      <c r="AE553">
        <v>0.31011667847633401</v>
      </c>
      <c r="AF553">
        <v>356.17195325542599</v>
      </c>
      <c r="AG553">
        <f>IFERROR(AH553*0.1, "N/A")</f>
        <v>6.4914858096827999</v>
      </c>
      <c r="AH553">
        <v>64.914858096827999</v>
      </c>
      <c r="AI553">
        <v>80.520409184425603</v>
      </c>
      <c r="AJ553">
        <v>20.998330550918201</v>
      </c>
      <c r="AK553">
        <v>68.171953255425706</v>
      </c>
    </row>
    <row r="554" spans="1:37" x14ac:dyDescent="0.3">
      <c r="A554">
        <v>553</v>
      </c>
      <c r="B554">
        <v>33.799999</v>
      </c>
      <c r="C554">
        <v>23.150200000000002</v>
      </c>
      <c r="D554">
        <v>-15.273300000000001</v>
      </c>
      <c r="E554" t="s">
        <v>920</v>
      </c>
      <c r="F554" t="s">
        <v>921</v>
      </c>
      <c r="G554" t="s">
        <v>39</v>
      </c>
      <c r="H554">
        <v>1977</v>
      </c>
      <c r="I554">
        <v>22.905685258948299</v>
      </c>
      <c r="J554">
        <v>14.5</v>
      </c>
      <c r="K554">
        <v>56</v>
      </c>
      <c r="L554">
        <v>25.4234114171669</v>
      </c>
      <c r="M554">
        <v>35.205686294912901</v>
      </c>
      <c r="N554">
        <v>9.5</v>
      </c>
      <c r="O554">
        <v>25.705686294912901</v>
      </c>
      <c r="P554">
        <v>23.905685258948299</v>
      </c>
      <c r="Q554">
        <v>19.299999237060501</v>
      </c>
      <c r="R554">
        <v>25.605686021887699</v>
      </c>
      <c r="S554">
        <v>19.105686021887699</v>
      </c>
      <c r="T554">
        <v>941.82943143812702</v>
      </c>
      <c r="U554">
        <v>213.943143812709</v>
      </c>
      <c r="V554">
        <v>0</v>
      </c>
      <c r="W554">
        <v>105</v>
      </c>
      <c r="X554">
        <v>602.88628762541805</v>
      </c>
      <c r="Y554">
        <v>1</v>
      </c>
      <c r="Z554">
        <v>144.943143812709</v>
      </c>
      <c r="AA554">
        <v>5</v>
      </c>
      <c r="AB554">
        <v>17.371276651337801</v>
      </c>
      <c r="AC554">
        <v>5.1386243721351997E-2</v>
      </c>
      <c r="AD554">
        <v>1.65025410763795</v>
      </c>
      <c r="AE554">
        <v>0.80316591262817405</v>
      </c>
      <c r="AF554">
        <v>1050.47826086957</v>
      </c>
      <c r="AG554">
        <f>IFERROR(AH554*0.1, "N/A")</f>
        <v>6.9162207357859602</v>
      </c>
      <c r="AH554">
        <v>69.1622073578596</v>
      </c>
      <c r="AI554">
        <v>239.43463696125801</v>
      </c>
      <c r="AJ554">
        <v>16.9096989966555</v>
      </c>
      <c r="AK554">
        <v>72.212374581939798</v>
      </c>
    </row>
    <row r="555" spans="1:37" x14ac:dyDescent="0.3">
      <c r="A555">
        <v>554</v>
      </c>
      <c r="B555">
        <v>38.700001</v>
      </c>
      <c r="C555">
        <v>30.25</v>
      </c>
      <c r="D555">
        <v>-15.2493</v>
      </c>
      <c r="E555" t="s">
        <v>922</v>
      </c>
      <c r="F555" t="s">
        <v>923</v>
      </c>
      <c r="G555" t="s">
        <v>39</v>
      </c>
      <c r="H555">
        <v>0</v>
      </c>
      <c r="I555">
        <v>25.505527659277199</v>
      </c>
      <c r="J555">
        <v>13.7435510641766</v>
      </c>
      <c r="K555">
        <v>53.386934673366802</v>
      </c>
      <c r="L555">
        <v>31.3068680563564</v>
      </c>
      <c r="M555">
        <v>37.815242281710901</v>
      </c>
      <c r="N555">
        <v>12.405527277807501</v>
      </c>
      <c r="O555">
        <v>25.4097148984721</v>
      </c>
      <c r="P555">
        <v>27.066834425806402</v>
      </c>
      <c r="Q555">
        <v>21.038693614940499</v>
      </c>
      <c r="R555">
        <v>29.177219908441099</v>
      </c>
      <c r="S555">
        <v>21.038693614940499</v>
      </c>
      <c r="T555">
        <v>718.14237855946396</v>
      </c>
      <c r="U555">
        <v>194.89614740368501</v>
      </c>
      <c r="V555">
        <v>0</v>
      </c>
      <c r="W555">
        <v>122</v>
      </c>
      <c r="X555">
        <v>532.46063651591305</v>
      </c>
      <c r="Y555">
        <v>0</v>
      </c>
      <c r="Z555">
        <v>243.840871021776</v>
      </c>
      <c r="AA555">
        <v>0</v>
      </c>
      <c r="AB555">
        <v>15.5107212801475</v>
      </c>
      <c r="AC555">
        <v>3.4890363396924001E-2</v>
      </c>
      <c r="AD555">
        <v>1.9461175065543801</v>
      </c>
      <c r="AE555">
        <v>0.210233613848686</v>
      </c>
      <c r="AF555">
        <v>374.65494137353397</v>
      </c>
      <c r="AG555">
        <f>IFERROR(AH555*0.1, "N/A")</f>
        <v>6.2641541038526007</v>
      </c>
      <c r="AH555">
        <v>62.641541038526</v>
      </c>
      <c r="AI555">
        <v>290.85698162890401</v>
      </c>
      <c r="AJ555">
        <v>21.202680067001701</v>
      </c>
      <c r="AK555">
        <v>68.797319932998306</v>
      </c>
    </row>
    <row r="556" spans="1:37" x14ac:dyDescent="0.3">
      <c r="A556">
        <v>555</v>
      </c>
      <c r="B556">
        <v>42.099997999999999</v>
      </c>
      <c r="C556">
        <v>30.25</v>
      </c>
      <c r="D556">
        <v>-15.2493</v>
      </c>
      <c r="E556" t="s">
        <v>922</v>
      </c>
      <c r="F556" t="s">
        <v>924</v>
      </c>
      <c r="G556" t="s">
        <v>37</v>
      </c>
      <c r="H556">
        <v>0</v>
      </c>
      <c r="I556">
        <v>25.505527659277199</v>
      </c>
      <c r="J556">
        <v>13.7435510641766</v>
      </c>
      <c r="K556">
        <v>53.386934673366802</v>
      </c>
      <c r="L556">
        <v>31.3068680563564</v>
      </c>
      <c r="M556">
        <v>37.815242281710901</v>
      </c>
      <c r="N556">
        <v>12.405527277807501</v>
      </c>
      <c r="O556">
        <v>25.4097148984721</v>
      </c>
      <c r="P556">
        <v>27.066834425806402</v>
      </c>
      <c r="Q556">
        <v>21.038693614940499</v>
      </c>
      <c r="R556">
        <v>29.177219908441099</v>
      </c>
      <c r="S556">
        <v>21.038693614940499</v>
      </c>
      <c r="T556">
        <v>718.14237855946396</v>
      </c>
      <c r="U556">
        <v>194.89614740368501</v>
      </c>
      <c r="V556">
        <v>0</v>
      </c>
      <c r="W556">
        <v>122</v>
      </c>
      <c r="X556">
        <v>532.46063651591305</v>
      </c>
      <c r="Y556">
        <v>0</v>
      </c>
      <c r="Z556">
        <v>243.840871021776</v>
      </c>
      <c r="AA556">
        <v>0</v>
      </c>
      <c r="AB556">
        <v>15.5107212801475</v>
      </c>
      <c r="AC556">
        <v>3.4890363396924001E-2</v>
      </c>
      <c r="AD556">
        <v>1.9461175065543801</v>
      </c>
      <c r="AE556">
        <v>0.210233613848686</v>
      </c>
      <c r="AF556">
        <v>374.65494137353397</v>
      </c>
      <c r="AG556">
        <f>IFERROR(AH556*0.1, "N/A")</f>
        <v>6.2641541038526007</v>
      </c>
      <c r="AH556">
        <v>62.641541038526</v>
      </c>
      <c r="AI556">
        <v>290.85698162890401</v>
      </c>
      <c r="AJ556">
        <v>21.202680067001701</v>
      </c>
      <c r="AK556">
        <v>68.797319932998306</v>
      </c>
    </row>
    <row r="557" spans="1:37" x14ac:dyDescent="0.3">
      <c r="A557">
        <v>556</v>
      </c>
      <c r="B557">
        <v>29.5</v>
      </c>
      <c r="C557">
        <v>30.201499999999999</v>
      </c>
      <c r="D557">
        <v>-15.1877</v>
      </c>
      <c r="E557" t="s">
        <v>925</v>
      </c>
      <c r="F557" t="s">
        <v>926</v>
      </c>
      <c r="G557" t="s">
        <v>39</v>
      </c>
      <c r="H557">
        <v>2008</v>
      </c>
      <c r="I557">
        <v>25.5</v>
      </c>
      <c r="J557">
        <v>13.699999809265099</v>
      </c>
      <c r="K557">
        <v>53</v>
      </c>
      <c r="L557">
        <v>31.409999847412099</v>
      </c>
      <c r="M557">
        <v>37.900001525878899</v>
      </c>
      <c r="N557">
        <v>12.3999996185303</v>
      </c>
      <c r="O557">
        <v>25.5</v>
      </c>
      <c r="P557">
        <v>27</v>
      </c>
      <c r="Q557">
        <v>21</v>
      </c>
      <c r="R557">
        <v>29.200000762939499</v>
      </c>
      <c r="S557">
        <v>21</v>
      </c>
      <c r="T557">
        <v>732</v>
      </c>
      <c r="U557">
        <v>201</v>
      </c>
      <c r="V557">
        <v>0</v>
      </c>
      <c r="W557">
        <v>120</v>
      </c>
      <c r="X557">
        <v>539</v>
      </c>
      <c r="Y557">
        <v>0</v>
      </c>
      <c r="Z557">
        <v>244</v>
      </c>
      <c r="AA557">
        <v>0</v>
      </c>
      <c r="AB557">
        <v>3.4565055338541701</v>
      </c>
      <c r="AC557">
        <v>1.0126135013998E-2</v>
      </c>
      <c r="AD557">
        <v>0.78342571745316203</v>
      </c>
      <c r="AE557">
        <v>0.33521991968154902</v>
      </c>
      <c r="AF557">
        <v>383.19333333333299</v>
      </c>
      <c r="AG557">
        <f>IFERROR(AH557*0.1, "N/A")</f>
        <v>6.499166666666671</v>
      </c>
      <c r="AH557">
        <v>64.991666666666703</v>
      </c>
      <c r="AI557">
        <v>174.53839170455899</v>
      </c>
      <c r="AJ557">
        <v>22.991666666666699</v>
      </c>
      <c r="AK557">
        <v>67.016666666666694</v>
      </c>
    </row>
    <row r="558" spans="1:37" x14ac:dyDescent="0.3">
      <c r="A558">
        <v>557</v>
      </c>
      <c r="B558">
        <v>0</v>
      </c>
      <c r="C558">
        <v>30.201499999999999</v>
      </c>
      <c r="D558">
        <v>-15.1877</v>
      </c>
      <c r="E558" t="s">
        <v>925</v>
      </c>
      <c r="F558" t="s">
        <v>927</v>
      </c>
      <c r="G558" t="s">
        <v>37</v>
      </c>
      <c r="H558">
        <v>2008</v>
      </c>
      <c r="I558">
        <v>25.5</v>
      </c>
      <c r="J558">
        <v>13.699999809265099</v>
      </c>
      <c r="K558">
        <v>53</v>
      </c>
      <c r="L558">
        <v>31.409999847412099</v>
      </c>
      <c r="M558">
        <v>37.900001525878899</v>
      </c>
      <c r="N558">
        <v>12.3999996185303</v>
      </c>
      <c r="O558">
        <v>25.5</v>
      </c>
      <c r="P558">
        <v>27</v>
      </c>
      <c r="Q558">
        <v>21</v>
      </c>
      <c r="R558">
        <v>29.200000762939499</v>
      </c>
      <c r="S558">
        <v>21</v>
      </c>
      <c r="T558">
        <v>732</v>
      </c>
      <c r="U558">
        <v>201</v>
      </c>
      <c r="V558">
        <v>0</v>
      </c>
      <c r="W558">
        <v>120</v>
      </c>
      <c r="X558">
        <v>539</v>
      </c>
      <c r="Y558">
        <v>0</v>
      </c>
      <c r="Z558">
        <v>244</v>
      </c>
      <c r="AA558">
        <v>0</v>
      </c>
      <c r="AB558">
        <v>3.4565055338541701</v>
      </c>
      <c r="AC558">
        <v>1.0126135013998E-2</v>
      </c>
      <c r="AD558">
        <v>0.78342571745316203</v>
      </c>
      <c r="AE558">
        <v>0.33521991968154902</v>
      </c>
      <c r="AF558">
        <v>383.19333333333299</v>
      </c>
      <c r="AG558">
        <f>IFERROR(AH558*0.1, "N/A")</f>
        <v>6.499166666666671</v>
      </c>
      <c r="AH558">
        <v>64.991666666666703</v>
      </c>
      <c r="AI558">
        <v>174.53839170455899</v>
      </c>
      <c r="AJ558">
        <v>22.991666666666699</v>
      </c>
      <c r="AK558">
        <v>67.016666666666694</v>
      </c>
    </row>
    <row r="559" spans="1:37" x14ac:dyDescent="0.3">
      <c r="A559">
        <v>558</v>
      </c>
      <c r="B559">
        <v>6</v>
      </c>
      <c r="C559">
        <v>30.205200000000001</v>
      </c>
      <c r="D559">
        <v>-15.119199999999999</v>
      </c>
      <c r="E559" t="s">
        <v>928</v>
      </c>
      <c r="F559" t="s">
        <v>929</v>
      </c>
      <c r="G559" t="s">
        <v>39</v>
      </c>
      <c r="H559">
        <v>2008</v>
      </c>
      <c r="I559">
        <v>25.600000381469702</v>
      </c>
      <c r="J559">
        <v>13.800000190734901</v>
      </c>
      <c r="K559">
        <v>53</v>
      </c>
      <c r="L559">
        <v>31.5200004577637</v>
      </c>
      <c r="M559">
        <v>38.099998474121101</v>
      </c>
      <c r="N559">
        <v>12.5</v>
      </c>
      <c r="O559">
        <v>25.600000381469702</v>
      </c>
      <c r="P559">
        <v>27.100000381469702</v>
      </c>
      <c r="Q559">
        <v>21.100000381469702</v>
      </c>
      <c r="R559">
        <v>29.299999237060501</v>
      </c>
      <c r="S559">
        <v>21.100000381469702</v>
      </c>
      <c r="T559">
        <v>745</v>
      </c>
      <c r="U559">
        <v>208</v>
      </c>
      <c r="V559">
        <v>0</v>
      </c>
      <c r="W559">
        <v>121</v>
      </c>
      <c r="X559">
        <v>547</v>
      </c>
      <c r="Y559">
        <v>0</v>
      </c>
      <c r="Z559">
        <v>244</v>
      </c>
      <c r="AA559">
        <v>0</v>
      </c>
      <c r="AB559">
        <v>1.7652063784392</v>
      </c>
      <c r="AC559">
        <v>5.5276151617247998E-2</v>
      </c>
      <c r="AD559">
        <v>1.2800261394236001</v>
      </c>
      <c r="AE559">
        <v>0.34397873282432601</v>
      </c>
      <c r="AF559">
        <v>362.27090301003301</v>
      </c>
      <c r="AG559">
        <f>IFERROR(AH559*0.1, "N/A")</f>
        <v>6.4939799331103707</v>
      </c>
      <c r="AH559">
        <v>64.9397993311037</v>
      </c>
      <c r="AI559">
        <v>29.556248572359099</v>
      </c>
      <c r="AJ559">
        <v>21.846153846153801</v>
      </c>
      <c r="AK559">
        <v>67.461538461538495</v>
      </c>
    </row>
    <row r="560" spans="1:37" x14ac:dyDescent="0.3">
      <c r="A560">
        <v>559</v>
      </c>
      <c r="B560">
        <v>0</v>
      </c>
      <c r="C560">
        <v>30.205200000000001</v>
      </c>
      <c r="D560">
        <v>-15.119199999999999</v>
      </c>
      <c r="E560" t="s">
        <v>928</v>
      </c>
      <c r="F560" t="s">
        <v>930</v>
      </c>
      <c r="G560" t="s">
        <v>37</v>
      </c>
      <c r="H560">
        <v>2008</v>
      </c>
      <c r="I560">
        <v>25.600000381469702</v>
      </c>
      <c r="J560">
        <v>13.800000190734901</v>
      </c>
      <c r="K560">
        <v>53</v>
      </c>
      <c r="L560">
        <v>31.5200004577637</v>
      </c>
      <c r="M560">
        <v>38.099998474121101</v>
      </c>
      <c r="N560">
        <v>12.5</v>
      </c>
      <c r="O560">
        <v>25.600000381469702</v>
      </c>
      <c r="P560">
        <v>27.100000381469702</v>
      </c>
      <c r="Q560">
        <v>21.100000381469702</v>
      </c>
      <c r="R560">
        <v>29.299999237060501</v>
      </c>
      <c r="S560">
        <v>21.100000381469702</v>
      </c>
      <c r="T560">
        <v>745</v>
      </c>
      <c r="U560">
        <v>208</v>
      </c>
      <c r="V560">
        <v>0</v>
      </c>
      <c r="W560">
        <v>121</v>
      </c>
      <c r="X560">
        <v>547</v>
      </c>
      <c r="Y560">
        <v>0</v>
      </c>
      <c r="Z560">
        <v>244</v>
      </c>
      <c r="AA560">
        <v>0</v>
      </c>
      <c r="AB560">
        <v>1.7652063784392</v>
      </c>
      <c r="AC560">
        <v>5.5276151617247998E-2</v>
      </c>
      <c r="AD560">
        <v>1.2800261394236001</v>
      </c>
      <c r="AE560">
        <v>0.34397873282432601</v>
      </c>
      <c r="AF560">
        <v>362.27090301003301</v>
      </c>
      <c r="AG560">
        <f>IFERROR(AH560*0.1, "N/A")</f>
        <v>6.4939799331103707</v>
      </c>
      <c r="AH560">
        <v>64.9397993311037</v>
      </c>
      <c r="AI560">
        <v>29.556248572359099</v>
      </c>
      <c r="AJ560">
        <v>21.846153846153801</v>
      </c>
      <c r="AK560">
        <v>67.461538461538495</v>
      </c>
    </row>
    <row r="561" spans="1:37" x14ac:dyDescent="0.3">
      <c r="A561">
        <v>560</v>
      </c>
      <c r="B561">
        <v>13.6</v>
      </c>
      <c r="C561">
        <v>30.1873</v>
      </c>
      <c r="D561">
        <v>-15.087300000000001</v>
      </c>
      <c r="E561" t="s">
        <v>931</v>
      </c>
      <c r="F561" t="s">
        <v>932</v>
      </c>
      <c r="G561" t="s">
        <v>39</v>
      </c>
      <c r="H561">
        <v>2008</v>
      </c>
      <c r="I561">
        <v>25.600000381469702</v>
      </c>
      <c r="J561">
        <v>13.800000190734901</v>
      </c>
      <c r="K561">
        <v>53</v>
      </c>
      <c r="L561">
        <v>31.579999923706101</v>
      </c>
      <c r="M561">
        <v>38.099998474121101</v>
      </c>
      <c r="N561">
        <v>12.3999996185303</v>
      </c>
      <c r="O561">
        <v>25.700000762939499</v>
      </c>
      <c r="P561">
        <v>27.100000381469702</v>
      </c>
      <c r="Q561">
        <v>21.100000381469702</v>
      </c>
      <c r="R561">
        <v>29.299999237060501</v>
      </c>
      <c r="S561">
        <v>21.100000381469702</v>
      </c>
      <c r="T561">
        <v>752</v>
      </c>
      <c r="U561">
        <v>211</v>
      </c>
      <c r="V561">
        <v>0</v>
      </c>
      <c r="W561">
        <v>122</v>
      </c>
      <c r="X561">
        <v>550</v>
      </c>
      <c r="Y561">
        <v>0</v>
      </c>
      <c r="Z561">
        <v>245</v>
      </c>
      <c r="AA561">
        <v>0</v>
      </c>
      <c r="AB561">
        <v>0.39481922774809303</v>
      </c>
      <c r="AC561">
        <v>0.62633889349470295</v>
      </c>
      <c r="AD561">
        <v>1.0548820072990599</v>
      </c>
      <c r="AE561">
        <v>0.20719173550605799</v>
      </c>
      <c r="AF561">
        <v>371.32775919732399</v>
      </c>
      <c r="AG561">
        <f>IFERROR(AH561*0.1, "N/A")</f>
        <v>6.1205685618729104</v>
      </c>
      <c r="AH561">
        <v>61.205685618729099</v>
      </c>
      <c r="AI561">
        <v>192.30365149392699</v>
      </c>
      <c r="AJ561">
        <v>24.931438127090299</v>
      </c>
      <c r="AK561">
        <v>61</v>
      </c>
    </row>
    <row r="562" spans="1:37" x14ac:dyDescent="0.3">
      <c r="A562">
        <v>561</v>
      </c>
      <c r="B562">
        <v>0</v>
      </c>
      <c r="C562">
        <v>30.1873</v>
      </c>
      <c r="D562">
        <v>-15.087300000000001</v>
      </c>
      <c r="E562" t="s">
        <v>931</v>
      </c>
      <c r="F562" t="s">
        <v>933</v>
      </c>
      <c r="G562" t="s">
        <v>37</v>
      </c>
      <c r="H562">
        <v>2008</v>
      </c>
      <c r="I562">
        <v>25.600000381469702</v>
      </c>
      <c r="J562">
        <v>13.800000190734901</v>
      </c>
      <c r="K562">
        <v>53</v>
      </c>
      <c r="L562">
        <v>31.579999923706101</v>
      </c>
      <c r="M562">
        <v>38.099998474121101</v>
      </c>
      <c r="N562">
        <v>12.3999996185303</v>
      </c>
      <c r="O562">
        <v>25.700000762939499</v>
      </c>
      <c r="P562">
        <v>27.100000381469702</v>
      </c>
      <c r="Q562">
        <v>21.100000381469702</v>
      </c>
      <c r="R562">
        <v>29.299999237060501</v>
      </c>
      <c r="S562">
        <v>21.100000381469702</v>
      </c>
      <c r="T562">
        <v>752</v>
      </c>
      <c r="U562">
        <v>211</v>
      </c>
      <c r="V562">
        <v>0</v>
      </c>
      <c r="W562">
        <v>122</v>
      </c>
      <c r="X562">
        <v>550</v>
      </c>
      <c r="Y562">
        <v>0</v>
      </c>
      <c r="Z562">
        <v>245</v>
      </c>
      <c r="AA562">
        <v>0</v>
      </c>
      <c r="AB562">
        <v>0.39481922774809303</v>
      </c>
      <c r="AC562">
        <v>0.62633889349470295</v>
      </c>
      <c r="AD562">
        <v>1.0548820072990599</v>
      </c>
      <c r="AE562">
        <v>0.20719173550605799</v>
      </c>
      <c r="AF562">
        <v>371.32775919732399</v>
      </c>
      <c r="AG562">
        <f>IFERROR(AH562*0.1, "N/A")</f>
        <v>6.1205685618729104</v>
      </c>
      <c r="AH562">
        <v>61.205685618729099</v>
      </c>
      <c r="AI562">
        <v>192.30365149392699</v>
      </c>
      <c r="AJ562">
        <v>24.931438127090299</v>
      </c>
      <c r="AK562">
        <v>61</v>
      </c>
    </row>
    <row r="563" spans="1:37" x14ac:dyDescent="0.3">
      <c r="A563">
        <v>562</v>
      </c>
      <c r="B563">
        <v>30</v>
      </c>
      <c r="C563">
        <v>29.636399999999998</v>
      </c>
      <c r="D563">
        <v>-15.082000000000001</v>
      </c>
      <c r="E563" t="s">
        <v>934</v>
      </c>
      <c r="F563" t="s">
        <v>935</v>
      </c>
      <c r="G563" t="s">
        <v>39</v>
      </c>
      <c r="H563">
        <v>0</v>
      </c>
      <c r="I563">
        <v>22.600000381469702</v>
      </c>
      <c r="J563">
        <v>13.1000003814697</v>
      </c>
      <c r="K563">
        <v>52</v>
      </c>
      <c r="L563">
        <v>31.350000381469702</v>
      </c>
      <c r="M563">
        <v>34.299999237060497</v>
      </c>
      <c r="N563">
        <v>9.5</v>
      </c>
      <c r="O563">
        <v>24.799999237060501</v>
      </c>
      <c r="P563">
        <v>24.399999618530298</v>
      </c>
      <c r="Q563">
        <v>18</v>
      </c>
      <c r="R563">
        <v>26</v>
      </c>
      <c r="S563">
        <v>18</v>
      </c>
      <c r="T563">
        <v>825</v>
      </c>
      <c r="U563">
        <v>212</v>
      </c>
      <c r="V563">
        <v>0</v>
      </c>
      <c r="W563">
        <v>116</v>
      </c>
      <c r="X563">
        <v>586</v>
      </c>
      <c r="Y563">
        <v>0</v>
      </c>
      <c r="Z563">
        <v>287</v>
      </c>
      <c r="AA563">
        <v>0</v>
      </c>
      <c r="AB563">
        <v>6.7644919135063297</v>
      </c>
      <c r="AC563">
        <v>1.2021937395073E-2</v>
      </c>
      <c r="AD563">
        <v>1.7579474605907</v>
      </c>
      <c r="AE563">
        <v>0.51155006885528598</v>
      </c>
      <c r="AF563">
        <v>773.23785594639901</v>
      </c>
      <c r="AG563">
        <f>IFERROR(AH563*0.1, "N/A")</f>
        <v>6.3914572864321606</v>
      </c>
      <c r="AH563">
        <v>63.914572864321599</v>
      </c>
      <c r="AI563">
        <v>115.470590383763</v>
      </c>
      <c r="AJ563">
        <v>19.361809045226099</v>
      </c>
      <c r="AK563">
        <v>70.276381909547794</v>
      </c>
    </row>
    <row r="564" spans="1:37" x14ac:dyDescent="0.3">
      <c r="A564">
        <v>563</v>
      </c>
      <c r="B564">
        <v>2</v>
      </c>
      <c r="C564">
        <v>24.447599</v>
      </c>
      <c r="D564">
        <v>-15.056100000000001</v>
      </c>
      <c r="E564" t="s">
        <v>936</v>
      </c>
      <c r="F564" t="s">
        <v>937</v>
      </c>
      <c r="G564" t="s">
        <v>39</v>
      </c>
      <c r="H564">
        <v>2007</v>
      </c>
      <c r="I564">
        <v>21.700000762939499</v>
      </c>
      <c r="J564">
        <v>15.300000190734901</v>
      </c>
      <c r="K564">
        <v>55</v>
      </c>
      <c r="L564">
        <v>29.120000839233398</v>
      </c>
      <c r="M564">
        <v>34.200000762939503</v>
      </c>
      <c r="N564">
        <v>6.6999998092651403</v>
      </c>
      <c r="O564">
        <v>27.5</v>
      </c>
      <c r="P564">
        <v>23.5</v>
      </c>
      <c r="Q564">
        <v>17.399999618530298</v>
      </c>
      <c r="R564">
        <v>24.399999618530298</v>
      </c>
      <c r="S564">
        <v>17.399999618530298</v>
      </c>
      <c r="T564">
        <v>896</v>
      </c>
      <c r="U564">
        <v>214</v>
      </c>
      <c r="V564">
        <v>0</v>
      </c>
      <c r="W564">
        <v>110</v>
      </c>
      <c r="X564">
        <v>604</v>
      </c>
      <c r="Y564">
        <v>1</v>
      </c>
      <c r="Z564">
        <v>337</v>
      </c>
      <c r="AA564">
        <v>3</v>
      </c>
      <c r="AB564">
        <v>14.3052026367188</v>
      </c>
      <c r="AC564">
        <v>1.8984271519196998E-2</v>
      </c>
      <c r="AD564">
        <v>1.9119725992282199</v>
      </c>
      <c r="AE564">
        <v>0.415769994258881</v>
      </c>
      <c r="AF564">
        <v>1110.1466666666699</v>
      </c>
      <c r="AG564">
        <f>IFERROR(AH564*0.1, "N/A")</f>
        <v>6.5411666666666708</v>
      </c>
      <c r="AH564">
        <v>65.411666666666704</v>
      </c>
      <c r="AI564">
        <v>79.556265767415397</v>
      </c>
      <c r="AJ564">
        <v>18.829999999999998</v>
      </c>
      <c r="AK564">
        <v>59.706666666666699</v>
      </c>
    </row>
    <row r="565" spans="1:37" x14ac:dyDescent="0.3">
      <c r="A565">
        <v>564</v>
      </c>
      <c r="B565">
        <v>35.299999</v>
      </c>
      <c r="C565">
        <v>24.447599</v>
      </c>
      <c r="D565">
        <v>-15.056100000000001</v>
      </c>
      <c r="E565" t="s">
        <v>936</v>
      </c>
      <c r="F565" t="s">
        <v>938</v>
      </c>
      <c r="G565" t="s">
        <v>37</v>
      </c>
      <c r="H565">
        <v>2007</v>
      </c>
      <c r="I565">
        <v>21.700000762939499</v>
      </c>
      <c r="J565">
        <v>15.300000190734901</v>
      </c>
      <c r="K565">
        <v>55</v>
      </c>
      <c r="L565">
        <v>29.120000839233398</v>
      </c>
      <c r="M565">
        <v>34.200000762939503</v>
      </c>
      <c r="N565">
        <v>6.6999998092651403</v>
      </c>
      <c r="O565">
        <v>27.5</v>
      </c>
      <c r="P565">
        <v>23.5</v>
      </c>
      <c r="Q565">
        <v>17.399999618530298</v>
      </c>
      <c r="R565">
        <v>24.399999618530298</v>
      </c>
      <c r="S565">
        <v>17.399999618530298</v>
      </c>
      <c r="T565">
        <v>896</v>
      </c>
      <c r="U565">
        <v>214</v>
      </c>
      <c r="V565">
        <v>0</v>
      </c>
      <c r="W565">
        <v>110</v>
      </c>
      <c r="X565">
        <v>604</v>
      </c>
      <c r="Y565">
        <v>1</v>
      </c>
      <c r="Z565">
        <v>337</v>
      </c>
      <c r="AA565">
        <v>3</v>
      </c>
      <c r="AB565">
        <v>14.3052026367188</v>
      </c>
      <c r="AC565">
        <v>1.8984271519196998E-2</v>
      </c>
      <c r="AD565">
        <v>1.9119725992282199</v>
      </c>
      <c r="AE565">
        <v>0.415769994258881</v>
      </c>
      <c r="AF565">
        <v>1110.1466666666699</v>
      </c>
      <c r="AG565">
        <f>IFERROR(AH565*0.1, "N/A")</f>
        <v>6.5411666666666708</v>
      </c>
      <c r="AH565">
        <v>65.411666666666704</v>
      </c>
      <c r="AI565">
        <v>79.556265767415397</v>
      </c>
      <c r="AJ565">
        <v>18.829999999999998</v>
      </c>
      <c r="AK565">
        <v>59.706666666666699</v>
      </c>
    </row>
    <row r="566" spans="1:37" x14ac:dyDescent="0.3">
      <c r="A566">
        <v>565</v>
      </c>
      <c r="B566">
        <v>44.400002000000001</v>
      </c>
      <c r="C566">
        <v>27.827998999999998</v>
      </c>
      <c r="D566">
        <v>-15.0038</v>
      </c>
      <c r="E566" t="s">
        <v>939</v>
      </c>
      <c r="F566" t="s">
        <v>940</v>
      </c>
      <c r="G566" t="s">
        <v>39</v>
      </c>
      <c r="H566">
        <v>0</v>
      </c>
      <c r="I566">
        <v>21.100000381469702</v>
      </c>
      <c r="J566">
        <v>13.3999996185303</v>
      </c>
      <c r="K566">
        <v>54</v>
      </c>
      <c r="L566">
        <v>27.860000610351602</v>
      </c>
      <c r="M566">
        <v>32.400001525878899</v>
      </c>
      <c r="N566">
        <v>8</v>
      </c>
      <c r="O566">
        <v>24.399999618530298</v>
      </c>
      <c r="P566">
        <v>22.700000762939499</v>
      </c>
      <c r="Q566">
        <v>17.200000762939499</v>
      </c>
      <c r="R566">
        <v>24</v>
      </c>
      <c r="S566">
        <v>17.100000381469702</v>
      </c>
      <c r="T566">
        <v>885</v>
      </c>
      <c r="U566">
        <v>235</v>
      </c>
      <c r="V566">
        <v>0</v>
      </c>
      <c r="W566">
        <v>120</v>
      </c>
      <c r="X566">
        <v>651</v>
      </c>
      <c r="Y566">
        <v>0</v>
      </c>
      <c r="Z566">
        <v>351</v>
      </c>
      <c r="AA566">
        <v>4</v>
      </c>
      <c r="AB566">
        <v>8.2374677881349303</v>
      </c>
      <c r="AC566">
        <v>8.3172718922680001E-3</v>
      </c>
      <c r="AD566">
        <v>1.7172438195317901</v>
      </c>
      <c r="AE566">
        <v>0.35904401540756198</v>
      </c>
      <c r="AF566">
        <v>1079.9247491638801</v>
      </c>
      <c r="AG566">
        <f>IFERROR(AH566*0.1, "N/A")</f>
        <v>6.3000000000000007</v>
      </c>
      <c r="AH566">
        <v>63</v>
      </c>
      <c r="AI566">
        <v>218.923102260832</v>
      </c>
      <c r="AJ566">
        <v>24.986622073578602</v>
      </c>
      <c r="AK566">
        <v>56</v>
      </c>
    </row>
    <row r="567" spans="1:37" x14ac:dyDescent="0.3">
      <c r="A567">
        <v>566</v>
      </c>
      <c r="B567">
        <v>41.5</v>
      </c>
      <c r="C567">
        <v>28.377199000000001</v>
      </c>
      <c r="D567">
        <v>-14.9818</v>
      </c>
      <c r="E567" t="s">
        <v>941</v>
      </c>
      <c r="F567" t="s">
        <v>942</v>
      </c>
      <c r="G567" t="s">
        <v>39</v>
      </c>
      <c r="H567">
        <v>2002</v>
      </c>
      <c r="I567">
        <v>20.799999237060501</v>
      </c>
      <c r="J567">
        <v>13</v>
      </c>
      <c r="K567">
        <v>54</v>
      </c>
      <c r="L567">
        <v>27.7399997711182</v>
      </c>
      <c r="M567">
        <v>31.799999237060501</v>
      </c>
      <c r="N567">
        <v>8</v>
      </c>
      <c r="O567">
        <v>23.799999237060501</v>
      </c>
      <c r="P567">
        <v>22.399999618530298</v>
      </c>
      <c r="Q567">
        <v>16.700000762939499</v>
      </c>
      <c r="R567">
        <v>23.700000762939499</v>
      </c>
      <c r="S567">
        <v>16.700000762939499</v>
      </c>
      <c r="T567">
        <v>867</v>
      </c>
      <c r="U567">
        <v>227</v>
      </c>
      <c r="V567">
        <v>0</v>
      </c>
      <c r="W567">
        <v>119</v>
      </c>
      <c r="X567">
        <v>634</v>
      </c>
      <c r="Y567">
        <v>0</v>
      </c>
      <c r="Z567">
        <v>328</v>
      </c>
      <c r="AA567">
        <v>0</v>
      </c>
      <c r="AB567">
        <v>4.12838515853245</v>
      </c>
      <c r="AC567">
        <v>1.1863202382134E-2</v>
      </c>
      <c r="AD567">
        <v>1.0432746040701699</v>
      </c>
      <c r="AE567">
        <v>0.63667494377031097</v>
      </c>
      <c r="AF567">
        <v>1141.30884808013</v>
      </c>
      <c r="AG567">
        <f>IFERROR(AH567*0.1, "N/A")</f>
        <v>6.3570951585976605</v>
      </c>
      <c r="AH567">
        <v>63.570951585976601</v>
      </c>
      <c r="AI567">
        <v>226.334847585586</v>
      </c>
      <c r="AJ567">
        <v>23.757929883138601</v>
      </c>
      <c r="AK567">
        <v>61.055091819699499</v>
      </c>
    </row>
    <row r="568" spans="1:37" x14ac:dyDescent="0.3">
      <c r="A568">
        <v>567</v>
      </c>
      <c r="B568">
        <v>29.4</v>
      </c>
      <c r="C568">
        <v>27.065799999999999</v>
      </c>
      <c r="D568">
        <v>-14.9796</v>
      </c>
      <c r="E568" t="s">
        <v>943</v>
      </c>
      <c r="F568" t="s">
        <v>944</v>
      </c>
      <c r="G568" t="s">
        <v>39</v>
      </c>
      <c r="H568">
        <v>0</v>
      </c>
      <c r="I568">
        <v>20.8163872594419</v>
      </c>
      <c r="J568">
        <v>14.1000003814697</v>
      </c>
      <c r="K568">
        <v>56</v>
      </c>
      <c r="L568">
        <v>28.438194160078702</v>
      </c>
      <c r="M568">
        <v>31.8163872594419</v>
      </c>
      <c r="N568">
        <v>6.8163881349723097</v>
      </c>
      <c r="O568">
        <v>25</v>
      </c>
      <c r="P568">
        <v>22.416387640911601</v>
      </c>
      <c r="Q568">
        <v>16.799999237060501</v>
      </c>
      <c r="R568">
        <v>23.700000762939499</v>
      </c>
      <c r="S568">
        <v>16.600000381469702</v>
      </c>
      <c r="T568">
        <v>939.67224080267601</v>
      </c>
      <c r="U568">
        <v>239.83612040133801</v>
      </c>
      <c r="V568">
        <v>0</v>
      </c>
      <c r="W568">
        <v>115</v>
      </c>
      <c r="X568">
        <v>664.67224080267601</v>
      </c>
      <c r="Y568">
        <v>0</v>
      </c>
      <c r="Z568">
        <v>377.83612040133801</v>
      </c>
      <c r="AA568">
        <v>4</v>
      </c>
      <c r="AB568">
        <v>11.3876230501411</v>
      </c>
      <c r="AC568">
        <v>0.12717895111050401</v>
      </c>
      <c r="AD568">
        <v>2.9074635296362299</v>
      </c>
      <c r="AE568">
        <v>0.50669115781784102</v>
      </c>
      <c r="AF568">
        <v>1178.50836120401</v>
      </c>
      <c r="AG568">
        <f>IFERROR(AH568*0.1, "N/A")</f>
        <v>5.7016722408026803</v>
      </c>
      <c r="AH568">
        <v>57.016722408026801</v>
      </c>
      <c r="AI568">
        <v>187.050260665026</v>
      </c>
      <c r="AJ568">
        <v>19.180602006689</v>
      </c>
      <c r="AK568">
        <v>68.785953177257497</v>
      </c>
    </row>
    <row r="569" spans="1:37" x14ac:dyDescent="0.3">
      <c r="A569">
        <v>568</v>
      </c>
      <c r="B569">
        <v>0.8</v>
      </c>
      <c r="C569">
        <v>27.065799999999999</v>
      </c>
      <c r="D569">
        <v>-14.9796</v>
      </c>
      <c r="E569" t="s">
        <v>943</v>
      </c>
      <c r="F569" t="s">
        <v>945</v>
      </c>
      <c r="G569" t="s">
        <v>37</v>
      </c>
      <c r="H569">
        <v>0</v>
      </c>
      <c r="I569">
        <v>20.8163872594419</v>
      </c>
      <c r="J569">
        <v>14.1000003814697</v>
      </c>
      <c r="K569">
        <v>56</v>
      </c>
      <c r="L569">
        <v>28.438194160078702</v>
      </c>
      <c r="M569">
        <v>31.8163872594419</v>
      </c>
      <c r="N569">
        <v>6.8163881349723097</v>
      </c>
      <c r="O569">
        <v>25</v>
      </c>
      <c r="P569">
        <v>22.416387640911601</v>
      </c>
      <c r="Q569">
        <v>16.799999237060501</v>
      </c>
      <c r="R569">
        <v>23.700000762939499</v>
      </c>
      <c r="S569">
        <v>16.600000381469702</v>
      </c>
      <c r="T569">
        <v>939.67224080267601</v>
      </c>
      <c r="U569">
        <v>239.83612040133801</v>
      </c>
      <c r="V569">
        <v>0</v>
      </c>
      <c r="W569">
        <v>115</v>
      </c>
      <c r="X569">
        <v>664.67224080267601</v>
      </c>
      <c r="Y569">
        <v>0</v>
      </c>
      <c r="Z569">
        <v>377.83612040133801</v>
      </c>
      <c r="AA569">
        <v>4</v>
      </c>
      <c r="AB569">
        <v>11.3876230501411</v>
      </c>
      <c r="AC569">
        <v>0.12717895111050401</v>
      </c>
      <c r="AD569">
        <v>2.9074635296362299</v>
      </c>
      <c r="AE569">
        <v>0.50669115781784102</v>
      </c>
      <c r="AF569">
        <v>1178.50836120401</v>
      </c>
      <c r="AG569">
        <f>IFERROR(AH569*0.1, "N/A")</f>
        <v>5.7016722408026803</v>
      </c>
      <c r="AH569">
        <v>57.016722408026801</v>
      </c>
      <c r="AI569">
        <v>187.050260665026</v>
      </c>
      <c r="AJ569">
        <v>19.180602006689</v>
      </c>
      <c r="AK569">
        <v>68.785953177257497</v>
      </c>
    </row>
    <row r="570" spans="1:37" x14ac:dyDescent="0.3">
      <c r="A570">
        <v>569</v>
      </c>
      <c r="B570">
        <v>19.399999999999999</v>
      </c>
      <c r="C570">
        <v>27.711200999999999</v>
      </c>
      <c r="D570">
        <v>-14.9251</v>
      </c>
      <c r="E570" t="s">
        <v>946</v>
      </c>
      <c r="F570" t="s">
        <v>947</v>
      </c>
      <c r="G570" t="s">
        <v>39</v>
      </c>
      <c r="H570">
        <v>0</v>
      </c>
      <c r="I570">
        <v>20.8851414650231</v>
      </c>
      <c r="J570">
        <v>13.3999996185303</v>
      </c>
      <c r="K570">
        <v>55</v>
      </c>
      <c r="L570">
        <v>27.121769155206199</v>
      </c>
      <c r="M570">
        <v>31.985141846492802</v>
      </c>
      <c r="N570">
        <v>7.8000001907348597</v>
      </c>
      <c r="O570">
        <v>24.185142609432301</v>
      </c>
      <c r="P570">
        <v>22.3851414650231</v>
      </c>
      <c r="Q570">
        <v>17</v>
      </c>
      <c r="R570">
        <v>23.685142609432301</v>
      </c>
      <c r="S570">
        <v>16.899999618530298</v>
      </c>
      <c r="T570">
        <v>910.297161936561</v>
      </c>
      <c r="U570">
        <v>241</v>
      </c>
      <c r="V570">
        <v>0</v>
      </c>
      <c r="W570">
        <v>118.85141903172</v>
      </c>
      <c r="X570">
        <v>665</v>
      </c>
      <c r="Y570">
        <v>0</v>
      </c>
      <c r="Z570">
        <v>362.14858096827999</v>
      </c>
      <c r="AA570">
        <v>4</v>
      </c>
      <c r="AB570">
        <v>11.796314984609801</v>
      </c>
      <c r="AC570">
        <v>3.1211640735550002E-2</v>
      </c>
      <c r="AD570">
        <v>1.1059200356719101</v>
      </c>
      <c r="AE570">
        <v>0.38005465269088701</v>
      </c>
      <c r="AF570">
        <v>1155.7028380634399</v>
      </c>
      <c r="AG570">
        <f>IFERROR(AH570*0.1, "N/A")</f>
        <v>6.0332220367278806</v>
      </c>
      <c r="AH570">
        <v>60.332220367278801</v>
      </c>
      <c r="AI570">
        <v>165.90850026380599</v>
      </c>
      <c r="AJ570">
        <v>23.001669449081799</v>
      </c>
      <c r="AK570">
        <v>61.166944908180298</v>
      </c>
    </row>
    <row r="571" spans="1:37" x14ac:dyDescent="0.3">
      <c r="A571">
        <v>570</v>
      </c>
      <c r="B571">
        <v>5.9</v>
      </c>
      <c r="C571">
        <v>25.424600999999999</v>
      </c>
      <c r="D571">
        <v>-14.923299999999999</v>
      </c>
      <c r="E571" t="s">
        <v>948</v>
      </c>
      <c r="F571" t="s">
        <v>949</v>
      </c>
      <c r="G571" t="s">
        <v>39</v>
      </c>
      <c r="H571">
        <v>2007</v>
      </c>
      <c r="I571">
        <v>20.399999618530298</v>
      </c>
      <c r="J571">
        <v>15</v>
      </c>
      <c r="K571">
        <v>55</v>
      </c>
      <c r="L571">
        <v>30.044388961153</v>
      </c>
      <c r="M571">
        <v>32.599998474121101</v>
      </c>
      <c r="N571">
        <v>5.4000000953674299</v>
      </c>
      <c r="O571">
        <v>27.200000762939499</v>
      </c>
      <c r="P571">
        <v>22.399999618530298</v>
      </c>
      <c r="Q571">
        <v>15.982579498035401</v>
      </c>
      <c r="R571">
        <v>23.282579067364399</v>
      </c>
      <c r="S571">
        <v>15.982579498035401</v>
      </c>
      <c r="T571">
        <v>927.52261306532705</v>
      </c>
      <c r="U571">
        <v>221.174204355109</v>
      </c>
      <c r="V571">
        <v>0</v>
      </c>
      <c r="W571">
        <v>111.174204355109</v>
      </c>
      <c r="X571">
        <v>635.348408710218</v>
      </c>
      <c r="Y571">
        <v>1</v>
      </c>
      <c r="Z571">
        <v>361.348408710218</v>
      </c>
      <c r="AA571">
        <v>1</v>
      </c>
      <c r="AB571">
        <v>9.1726546551115007</v>
      </c>
      <c r="AC571">
        <v>7.2739291494678004E-2</v>
      </c>
      <c r="AD571">
        <v>0.79134083992272797</v>
      </c>
      <c r="AE571">
        <v>0.44550609588623002</v>
      </c>
      <c r="AF571">
        <v>1209.3048576214401</v>
      </c>
      <c r="AG571">
        <f>IFERROR(AH571*0.1, "N/A")</f>
        <v>6.4021775544388611</v>
      </c>
      <c r="AH571">
        <v>64.021775544388603</v>
      </c>
      <c r="AI571">
        <v>122.614360336483</v>
      </c>
      <c r="AJ571">
        <v>20.951423785594599</v>
      </c>
      <c r="AK571">
        <v>64.048576214405401</v>
      </c>
    </row>
    <row r="572" spans="1:37" x14ac:dyDescent="0.3">
      <c r="A572">
        <v>571</v>
      </c>
      <c r="B572">
        <v>0</v>
      </c>
      <c r="C572">
        <v>25.424600999999999</v>
      </c>
      <c r="D572">
        <v>-14.923299999999999</v>
      </c>
      <c r="E572" t="s">
        <v>948</v>
      </c>
      <c r="F572" t="s">
        <v>950</v>
      </c>
      <c r="G572" t="s">
        <v>37</v>
      </c>
      <c r="H572">
        <v>2007</v>
      </c>
      <c r="I572">
        <v>20.399999618530298</v>
      </c>
      <c r="J572">
        <v>15</v>
      </c>
      <c r="K572">
        <v>55</v>
      </c>
      <c r="L572">
        <v>30.044388961153</v>
      </c>
      <c r="M572">
        <v>32.599998474121101</v>
      </c>
      <c r="N572">
        <v>5.4000000953674299</v>
      </c>
      <c r="O572">
        <v>27.200000762939499</v>
      </c>
      <c r="P572">
        <v>22.399999618530298</v>
      </c>
      <c r="Q572">
        <v>15.982579498035401</v>
      </c>
      <c r="R572">
        <v>23.282579067364399</v>
      </c>
      <c r="S572">
        <v>15.982579498035401</v>
      </c>
      <c r="T572">
        <v>927.52261306532705</v>
      </c>
      <c r="U572">
        <v>221.174204355109</v>
      </c>
      <c r="V572">
        <v>0</v>
      </c>
      <c r="W572">
        <v>111.174204355109</v>
      </c>
      <c r="X572">
        <v>635.348408710218</v>
      </c>
      <c r="Y572">
        <v>1</v>
      </c>
      <c r="Z572">
        <v>361.348408710218</v>
      </c>
      <c r="AA572">
        <v>1</v>
      </c>
      <c r="AB572">
        <v>9.1726546551115007</v>
      </c>
      <c r="AC572">
        <v>7.2739291494678004E-2</v>
      </c>
      <c r="AD572">
        <v>0.79134083992272797</v>
      </c>
      <c r="AE572">
        <v>0.44550609588623002</v>
      </c>
      <c r="AF572">
        <v>1209.3048576214401</v>
      </c>
      <c r="AG572">
        <f>IFERROR(AH572*0.1, "N/A")</f>
        <v>6.4021775544388611</v>
      </c>
      <c r="AH572">
        <v>64.021775544388603</v>
      </c>
      <c r="AI572">
        <v>122.614360336483</v>
      </c>
      <c r="AJ572">
        <v>20.951423785594599</v>
      </c>
      <c r="AK572">
        <v>64.048576214405401</v>
      </c>
    </row>
    <row r="573" spans="1:37" x14ac:dyDescent="0.3">
      <c r="A573">
        <v>572</v>
      </c>
      <c r="B573">
        <v>16</v>
      </c>
      <c r="C573">
        <v>27.883300999999999</v>
      </c>
      <c r="D573">
        <v>-14.916700000000001</v>
      </c>
      <c r="E573" t="s">
        <v>951</v>
      </c>
      <c r="F573" t="s">
        <v>952</v>
      </c>
      <c r="G573" t="s">
        <v>39</v>
      </c>
      <c r="H573">
        <v>1981</v>
      </c>
      <c r="I573">
        <v>20.899999618530298</v>
      </c>
      <c r="J573">
        <v>13.300000190734901</v>
      </c>
      <c r="K573">
        <v>55</v>
      </c>
      <c r="L573">
        <v>27.400671242067499</v>
      </c>
      <c r="M573">
        <v>32.030704229470103</v>
      </c>
      <c r="N573">
        <v>7.9741612448788297</v>
      </c>
      <c r="O573">
        <v>24.056543839857898</v>
      </c>
      <c r="P573">
        <v>22.399999618530298</v>
      </c>
      <c r="Q573">
        <v>17.030704815115701</v>
      </c>
      <c r="R573">
        <v>23.830704052176198</v>
      </c>
      <c r="S573">
        <v>16.899999618530298</v>
      </c>
      <c r="T573">
        <v>902.30704697986596</v>
      </c>
      <c r="U573">
        <v>238.30704697986599</v>
      </c>
      <c r="V573">
        <v>0</v>
      </c>
      <c r="W573">
        <v>118</v>
      </c>
      <c r="X573">
        <v>660.30704697986596</v>
      </c>
      <c r="Y573">
        <v>0</v>
      </c>
      <c r="Z573">
        <v>356.30704697986602</v>
      </c>
      <c r="AA573">
        <v>4</v>
      </c>
      <c r="AB573">
        <v>4.9290259444473596</v>
      </c>
      <c r="AC573">
        <v>5.3418670816897003E-2</v>
      </c>
      <c r="AD573">
        <v>1.6533762180565199</v>
      </c>
      <c r="AE573">
        <v>0.42781426782575999</v>
      </c>
      <c r="AF573">
        <v>1139.0184563758401</v>
      </c>
      <c r="AG573">
        <f>IFERROR(AH573*0.1, "N/A")</f>
        <v>5.9825503355704699</v>
      </c>
      <c r="AH573">
        <v>59.825503355704697</v>
      </c>
      <c r="AI573">
        <v>69.785116336489693</v>
      </c>
      <c r="AJ573">
        <v>20.375838926174499</v>
      </c>
      <c r="AK573">
        <v>64</v>
      </c>
    </row>
    <row r="574" spans="1:37" x14ac:dyDescent="0.3">
      <c r="A574">
        <v>573</v>
      </c>
      <c r="B574">
        <v>0</v>
      </c>
      <c r="C574">
        <v>27.883300999999999</v>
      </c>
      <c r="D574">
        <v>-14.916700000000001</v>
      </c>
      <c r="E574" t="s">
        <v>951</v>
      </c>
      <c r="F574" t="s">
        <v>953</v>
      </c>
      <c r="G574" t="s">
        <v>37</v>
      </c>
      <c r="H574">
        <v>1981</v>
      </c>
      <c r="I574">
        <v>20.899999618530298</v>
      </c>
      <c r="J574">
        <v>13.300000190734901</v>
      </c>
      <c r="K574">
        <v>55</v>
      </c>
      <c r="L574">
        <v>27.400671242067499</v>
      </c>
      <c r="M574">
        <v>32.030704229470103</v>
      </c>
      <c r="N574">
        <v>7.9741612448788297</v>
      </c>
      <c r="O574">
        <v>24.056543839857898</v>
      </c>
      <c r="P574">
        <v>22.399999618530298</v>
      </c>
      <c r="Q574">
        <v>17.030704815115701</v>
      </c>
      <c r="R574">
        <v>23.830704052176198</v>
      </c>
      <c r="S574">
        <v>16.899999618530298</v>
      </c>
      <c r="T574">
        <v>902.30704697986596</v>
      </c>
      <c r="U574">
        <v>238.30704697986599</v>
      </c>
      <c r="V574">
        <v>0</v>
      </c>
      <c r="W574">
        <v>118</v>
      </c>
      <c r="X574">
        <v>660.30704697986596</v>
      </c>
      <c r="Y574">
        <v>0</v>
      </c>
      <c r="Z574">
        <v>356.30704697986602</v>
      </c>
      <c r="AA574">
        <v>4</v>
      </c>
      <c r="AB574">
        <v>4.9290259444473596</v>
      </c>
      <c r="AC574">
        <v>5.3418670816897003E-2</v>
      </c>
      <c r="AD574">
        <v>1.6533762180565199</v>
      </c>
      <c r="AE574">
        <v>0.42781426782575999</v>
      </c>
      <c r="AF574">
        <v>1139.0184563758401</v>
      </c>
      <c r="AG574">
        <f>IFERROR(AH574*0.1, "N/A")</f>
        <v>5.9825503355704699</v>
      </c>
      <c r="AH574">
        <v>59.825503355704697</v>
      </c>
      <c r="AI574">
        <v>69.785116336489693</v>
      </c>
      <c r="AJ574">
        <v>20.375838926174499</v>
      </c>
      <c r="AK574">
        <v>64</v>
      </c>
    </row>
    <row r="575" spans="1:37" x14ac:dyDescent="0.3">
      <c r="A575">
        <v>574</v>
      </c>
      <c r="B575">
        <v>3</v>
      </c>
      <c r="C575">
        <v>27.933299999999999</v>
      </c>
      <c r="D575">
        <v>-14.916700000000001</v>
      </c>
      <c r="E575" t="s">
        <v>954</v>
      </c>
      <c r="F575" t="s">
        <v>955</v>
      </c>
      <c r="G575" t="s">
        <v>39</v>
      </c>
      <c r="H575">
        <v>1981</v>
      </c>
      <c r="I575">
        <v>20.700000762939499</v>
      </c>
      <c r="J575">
        <v>13.199999809265099</v>
      </c>
      <c r="K575">
        <v>55</v>
      </c>
      <c r="L575">
        <v>26.947919733572299</v>
      </c>
      <c r="M575">
        <v>31.833724197925299</v>
      </c>
      <c r="N575">
        <v>8</v>
      </c>
      <c r="O575">
        <v>23.833724197925299</v>
      </c>
      <c r="P575">
        <v>22.1337253423345</v>
      </c>
      <c r="Q575">
        <v>16.860066580292401</v>
      </c>
      <c r="R575">
        <v>23.533724960864799</v>
      </c>
      <c r="S575">
        <v>16.766274919445902</v>
      </c>
      <c r="T575">
        <v>902.66275167785204</v>
      </c>
      <c r="U575">
        <v>237</v>
      </c>
      <c r="V575">
        <v>0</v>
      </c>
      <c r="W575">
        <v>118</v>
      </c>
      <c r="X575">
        <v>659.66275167785204</v>
      </c>
      <c r="Y575">
        <v>0</v>
      </c>
      <c r="Z575">
        <v>355</v>
      </c>
      <c r="AA575">
        <v>4</v>
      </c>
      <c r="AB575">
        <v>4.9976458453491999</v>
      </c>
      <c r="AC575">
        <v>2.4060886747035E-2</v>
      </c>
      <c r="AD575">
        <v>1.6479188857862599</v>
      </c>
      <c r="AE575">
        <v>0.60234647989273105</v>
      </c>
      <c r="AF575">
        <v>1174.7902684563801</v>
      </c>
      <c r="AG575">
        <f>IFERROR(AH575*0.1, "N/A")</f>
        <v>5.9996644295302</v>
      </c>
      <c r="AH575">
        <v>59.996644295301998</v>
      </c>
      <c r="AI575">
        <v>309.68381643615299</v>
      </c>
      <c r="AJ575">
        <v>21.640939597315398</v>
      </c>
      <c r="AK575">
        <v>65.030201342281899</v>
      </c>
    </row>
    <row r="576" spans="1:37" x14ac:dyDescent="0.3">
      <c r="A576">
        <v>575</v>
      </c>
      <c r="B576">
        <v>0</v>
      </c>
      <c r="C576">
        <v>27.933299999999999</v>
      </c>
      <c r="D576">
        <v>-14.916700000000001</v>
      </c>
      <c r="E576" t="s">
        <v>954</v>
      </c>
      <c r="F576" t="s">
        <v>956</v>
      </c>
      <c r="G576" t="s">
        <v>37</v>
      </c>
      <c r="H576">
        <v>1981</v>
      </c>
      <c r="I576">
        <v>20.700000762939499</v>
      </c>
      <c r="J576">
        <v>13.199999809265099</v>
      </c>
      <c r="K576">
        <v>55</v>
      </c>
      <c r="L576">
        <v>26.947919733572299</v>
      </c>
      <c r="M576">
        <v>31.833724197925299</v>
      </c>
      <c r="N576">
        <v>8</v>
      </c>
      <c r="O576">
        <v>23.833724197925299</v>
      </c>
      <c r="P576">
        <v>22.1337253423345</v>
      </c>
      <c r="Q576">
        <v>16.860066580292401</v>
      </c>
      <c r="R576">
        <v>23.533724960864799</v>
      </c>
      <c r="S576">
        <v>16.766274919445902</v>
      </c>
      <c r="T576">
        <v>902.66275167785204</v>
      </c>
      <c r="U576">
        <v>237</v>
      </c>
      <c r="V576">
        <v>0</v>
      </c>
      <c r="W576">
        <v>118</v>
      </c>
      <c r="X576">
        <v>659.66275167785204</v>
      </c>
      <c r="Y576">
        <v>0</v>
      </c>
      <c r="Z576">
        <v>355</v>
      </c>
      <c r="AA576">
        <v>4</v>
      </c>
      <c r="AB576">
        <v>4.9976458453491999</v>
      </c>
      <c r="AC576">
        <v>2.4060886747035E-2</v>
      </c>
      <c r="AD576">
        <v>1.6479188857862599</v>
      </c>
      <c r="AE576">
        <v>0.60234647989273105</v>
      </c>
      <c r="AF576">
        <v>1174.7902684563801</v>
      </c>
      <c r="AG576">
        <f>IFERROR(AH576*0.1, "N/A")</f>
        <v>5.9996644295302</v>
      </c>
      <c r="AH576">
        <v>59.996644295301998</v>
      </c>
      <c r="AI576">
        <v>309.68381643615299</v>
      </c>
      <c r="AJ576">
        <v>21.640939597315398</v>
      </c>
      <c r="AK576">
        <v>65.030201342281899</v>
      </c>
    </row>
    <row r="577" spans="1:37" x14ac:dyDescent="0.3">
      <c r="A577">
        <v>576</v>
      </c>
      <c r="B577">
        <v>18.700001</v>
      </c>
      <c r="C577">
        <v>27.933800000000002</v>
      </c>
      <c r="D577">
        <v>-14.91</v>
      </c>
      <c r="E577" t="s">
        <v>957</v>
      </c>
      <c r="F577" t="s">
        <v>958</v>
      </c>
      <c r="G577" t="s">
        <v>39</v>
      </c>
      <c r="H577">
        <v>0</v>
      </c>
      <c r="I577">
        <v>20.700000762939499</v>
      </c>
      <c r="J577">
        <v>13.199999809265099</v>
      </c>
      <c r="K577">
        <v>55</v>
      </c>
      <c r="L577">
        <v>26.643451387159399</v>
      </c>
      <c r="M577">
        <v>31.803349333592202</v>
      </c>
      <c r="N577">
        <v>8</v>
      </c>
      <c r="O577">
        <v>23.803349333592202</v>
      </c>
      <c r="P577">
        <v>22.103350478001399</v>
      </c>
      <c r="Q577">
        <v>16.899999618530298</v>
      </c>
      <c r="R577">
        <v>23.503350096531701</v>
      </c>
      <c r="S577">
        <v>16.7966492044267</v>
      </c>
      <c r="T577">
        <v>902.96649916247895</v>
      </c>
      <c r="U577">
        <v>237</v>
      </c>
      <c r="V577">
        <v>0</v>
      </c>
      <c r="W577">
        <v>118</v>
      </c>
      <c r="X577">
        <v>659.96649916247895</v>
      </c>
      <c r="Y577">
        <v>0</v>
      </c>
      <c r="Z577">
        <v>355</v>
      </c>
      <c r="AA577">
        <v>4</v>
      </c>
      <c r="AB577">
        <v>3.8726876161405999</v>
      </c>
      <c r="AC577">
        <v>8.6255172592039995E-3</v>
      </c>
      <c r="AD577">
        <v>1.16164367502459</v>
      </c>
      <c r="AE577">
        <v>0.51768123459576398</v>
      </c>
      <c r="AF577">
        <v>1178.2311557788901</v>
      </c>
      <c r="AG577">
        <f>IFERROR(AH577*0.1, "N/A")</f>
        <v>6.0033500837520899</v>
      </c>
      <c r="AH577">
        <v>60.033500837520897</v>
      </c>
      <c r="AI577">
        <v>163.93078217115001</v>
      </c>
      <c r="AJ577">
        <v>24.030150753768801</v>
      </c>
      <c r="AK577">
        <v>60.969849246231199</v>
      </c>
    </row>
    <row r="578" spans="1:37" x14ac:dyDescent="0.3">
      <c r="A578">
        <v>577</v>
      </c>
      <c r="B578">
        <v>23.200001</v>
      </c>
      <c r="C578">
        <v>27.948499999999999</v>
      </c>
      <c r="D578">
        <v>-14.9092</v>
      </c>
      <c r="E578" t="s">
        <v>959</v>
      </c>
      <c r="F578" t="s">
        <v>960</v>
      </c>
      <c r="G578" t="s">
        <v>39</v>
      </c>
      <c r="H578">
        <v>1988</v>
      </c>
      <c r="I578">
        <v>20.600000381469702</v>
      </c>
      <c r="J578">
        <v>13.1000003814697</v>
      </c>
      <c r="K578">
        <v>54.021739130434803</v>
      </c>
      <c r="L578">
        <v>26.788261745286999</v>
      </c>
      <c r="M578">
        <v>31.797825357188302</v>
      </c>
      <c r="N578">
        <v>7.9000000953674299</v>
      </c>
      <c r="O578">
        <v>23.897825697194001</v>
      </c>
      <c r="P578">
        <v>22.100000381469702</v>
      </c>
      <c r="Q578">
        <v>16.899999618530298</v>
      </c>
      <c r="R578">
        <v>23.5</v>
      </c>
      <c r="S578">
        <v>16.700000762939499</v>
      </c>
      <c r="T578">
        <v>903.02173913043498</v>
      </c>
      <c r="U578">
        <v>237</v>
      </c>
      <c r="V578">
        <v>0</v>
      </c>
      <c r="W578">
        <v>118</v>
      </c>
      <c r="X578">
        <v>660</v>
      </c>
      <c r="Y578">
        <v>0</v>
      </c>
      <c r="Z578">
        <v>355</v>
      </c>
      <c r="AA578">
        <v>4</v>
      </c>
      <c r="AB578">
        <v>2.9777240051473699</v>
      </c>
      <c r="AC578">
        <v>3.7361012203275999E-2</v>
      </c>
      <c r="AD578">
        <v>1.4690960500152599</v>
      </c>
      <c r="AE578">
        <v>0.63767951726913497</v>
      </c>
      <c r="AF578">
        <v>1183.66889632107</v>
      </c>
      <c r="AG578">
        <f>IFERROR(AH578*0.1, "N/A")</f>
        <v>6</v>
      </c>
      <c r="AH578">
        <v>60</v>
      </c>
      <c r="AI578">
        <v>205.173978135737</v>
      </c>
      <c r="AJ578">
        <v>34.630434782608702</v>
      </c>
      <c r="AK578">
        <v>47.630434782608702</v>
      </c>
    </row>
    <row r="579" spans="1:37" x14ac:dyDescent="0.3">
      <c r="A579">
        <v>578</v>
      </c>
      <c r="B579">
        <v>39.599997999999999</v>
      </c>
      <c r="C579">
        <v>27.825001</v>
      </c>
      <c r="D579">
        <v>-14.902699999999999</v>
      </c>
      <c r="E579" t="s">
        <v>961</v>
      </c>
      <c r="F579" t="s">
        <v>962</v>
      </c>
      <c r="G579" t="s">
        <v>39</v>
      </c>
      <c r="H579">
        <v>0</v>
      </c>
      <c r="I579">
        <v>20.899999618530298</v>
      </c>
      <c r="J579">
        <v>13.3999996185303</v>
      </c>
      <c r="K579">
        <v>55</v>
      </c>
      <c r="L579">
        <v>27.204581385073499</v>
      </c>
      <c r="M579">
        <v>32.099998474121101</v>
      </c>
      <c r="N579">
        <v>8</v>
      </c>
      <c r="O579">
        <v>24.100000381469702</v>
      </c>
      <c r="P579">
        <v>22.399999618530298</v>
      </c>
      <c r="Q579">
        <v>17.100000381469702</v>
      </c>
      <c r="R579">
        <v>23.799999237060501</v>
      </c>
      <c r="S579">
        <v>16.899999618530298</v>
      </c>
      <c r="T579">
        <v>903.25418060200695</v>
      </c>
      <c r="U579">
        <v>241</v>
      </c>
      <c r="V579">
        <v>0</v>
      </c>
      <c r="W579">
        <v>119</v>
      </c>
      <c r="X579">
        <v>664</v>
      </c>
      <c r="Y579">
        <v>0</v>
      </c>
      <c r="Z579">
        <v>359</v>
      </c>
      <c r="AA579">
        <v>4</v>
      </c>
      <c r="AB579">
        <v>6.5369599511392096</v>
      </c>
      <c r="AC579">
        <v>1.4582686221233E-2</v>
      </c>
      <c r="AD579">
        <v>1.4279561030824801</v>
      </c>
      <c r="AE579">
        <v>0.52068758010864302</v>
      </c>
      <c r="AF579">
        <v>1130.6187290969899</v>
      </c>
      <c r="AG579">
        <f>IFERROR(AH579*0.1, "N/A")</f>
        <v>5.9591973244147205</v>
      </c>
      <c r="AH579">
        <v>59.591973244147198</v>
      </c>
      <c r="AI579">
        <v>304.933103089349</v>
      </c>
      <c r="AJ579">
        <v>19.991638795986599</v>
      </c>
      <c r="AK579">
        <v>63.254180602006699</v>
      </c>
    </row>
    <row r="580" spans="1:37" x14ac:dyDescent="0.3">
      <c r="A580">
        <v>579</v>
      </c>
      <c r="B580">
        <v>24.1</v>
      </c>
      <c r="C580">
        <v>27.900998999999999</v>
      </c>
      <c r="D580">
        <v>-14.9016</v>
      </c>
      <c r="E580" t="s">
        <v>963</v>
      </c>
      <c r="F580" t="s">
        <v>964</v>
      </c>
      <c r="G580" t="s">
        <v>39</v>
      </c>
      <c r="H580">
        <v>0</v>
      </c>
      <c r="I580">
        <v>20.799999237060501</v>
      </c>
      <c r="J580">
        <v>13.199999809265099</v>
      </c>
      <c r="K580">
        <v>55</v>
      </c>
      <c r="L580">
        <v>27.340000152587901</v>
      </c>
      <c r="M580">
        <v>32</v>
      </c>
      <c r="N580">
        <v>8</v>
      </c>
      <c r="O580">
        <v>24</v>
      </c>
      <c r="P580">
        <v>22.299999237060501</v>
      </c>
      <c r="Q580">
        <v>16.899999618530298</v>
      </c>
      <c r="R580">
        <v>23.700000762939499</v>
      </c>
      <c r="S580">
        <v>16.899999618530298</v>
      </c>
      <c r="T580">
        <v>904</v>
      </c>
      <c r="U580">
        <v>238</v>
      </c>
      <c r="V580">
        <v>0</v>
      </c>
      <c r="W580">
        <v>118</v>
      </c>
      <c r="X580">
        <v>661</v>
      </c>
      <c r="Y580">
        <v>0</v>
      </c>
      <c r="Z580">
        <v>356</v>
      </c>
      <c r="AA580">
        <v>4</v>
      </c>
      <c r="AB580">
        <v>2.0467323468802201</v>
      </c>
      <c r="AC580">
        <v>0.118525893466301</v>
      </c>
      <c r="AD580">
        <v>1.4052148104112001</v>
      </c>
      <c r="AE580">
        <v>0.485094817632029</v>
      </c>
      <c r="AF580">
        <v>1153.91151919866</v>
      </c>
      <c r="AG580">
        <f>IFERROR(AH580*0.1, "N/A")</f>
        <v>5.9756260434056703</v>
      </c>
      <c r="AH580">
        <v>59.756260434056699</v>
      </c>
      <c r="AI580">
        <v>222.10639553675099</v>
      </c>
      <c r="AJ580">
        <v>18.030050083472499</v>
      </c>
      <c r="AK580">
        <v>67.183639398998295</v>
      </c>
    </row>
    <row r="581" spans="1:37" x14ac:dyDescent="0.3">
      <c r="A581">
        <v>580</v>
      </c>
      <c r="B581">
        <v>0</v>
      </c>
      <c r="C581">
        <v>27.900998999999999</v>
      </c>
      <c r="D581">
        <v>-14.9016</v>
      </c>
      <c r="E581" t="s">
        <v>963</v>
      </c>
      <c r="F581" t="s">
        <v>965</v>
      </c>
      <c r="G581" t="s">
        <v>37</v>
      </c>
      <c r="H581">
        <v>1981</v>
      </c>
      <c r="I581">
        <v>20.799999237060501</v>
      </c>
      <c r="J581">
        <v>13.199999809265099</v>
      </c>
      <c r="K581">
        <v>55</v>
      </c>
      <c r="L581">
        <v>27.340000152587901</v>
      </c>
      <c r="M581">
        <v>32</v>
      </c>
      <c r="N581">
        <v>8</v>
      </c>
      <c r="O581">
        <v>24</v>
      </c>
      <c r="P581">
        <v>22.299999237060501</v>
      </c>
      <c r="Q581">
        <v>16.899999618530298</v>
      </c>
      <c r="R581">
        <v>23.700000762939499</v>
      </c>
      <c r="S581">
        <v>16.899999618530298</v>
      </c>
      <c r="T581">
        <v>904</v>
      </c>
      <c r="U581">
        <v>238</v>
      </c>
      <c r="V581">
        <v>0</v>
      </c>
      <c r="W581">
        <v>118</v>
      </c>
      <c r="X581">
        <v>661</v>
      </c>
      <c r="Y581">
        <v>0</v>
      </c>
      <c r="Z581">
        <v>356</v>
      </c>
      <c r="AA581">
        <v>4</v>
      </c>
      <c r="AB581">
        <v>2.0467323468802201</v>
      </c>
      <c r="AC581">
        <v>0.118525893466301</v>
      </c>
      <c r="AD581">
        <v>1.4052148104112001</v>
      </c>
      <c r="AE581">
        <v>0.485094817632029</v>
      </c>
      <c r="AF581">
        <v>1153.91151919866</v>
      </c>
      <c r="AG581">
        <f>IFERROR(AH581*0.1, "N/A")</f>
        <v>5.9756260434056703</v>
      </c>
      <c r="AH581">
        <v>59.756260434056699</v>
      </c>
      <c r="AI581">
        <v>222.10639553675099</v>
      </c>
      <c r="AJ581">
        <v>18.030050083472499</v>
      </c>
      <c r="AK581">
        <v>67.183639398998295</v>
      </c>
    </row>
    <row r="582" spans="1:37" x14ac:dyDescent="0.3">
      <c r="A582">
        <v>581</v>
      </c>
      <c r="B582">
        <v>8.8000000000000007</v>
      </c>
      <c r="C582">
        <v>27.799999</v>
      </c>
      <c r="D582">
        <v>-14.9</v>
      </c>
      <c r="E582" t="s">
        <v>966</v>
      </c>
      <c r="F582" t="s">
        <v>967</v>
      </c>
      <c r="G582" t="s">
        <v>39</v>
      </c>
      <c r="H582">
        <v>1981</v>
      </c>
      <c r="I582">
        <v>20.950921085811299</v>
      </c>
      <c r="J582">
        <v>13.3999996185303</v>
      </c>
      <c r="K582">
        <v>55</v>
      </c>
      <c r="L582">
        <v>27.2764153312798</v>
      </c>
      <c r="M582">
        <v>32.099998474121101</v>
      </c>
      <c r="N582">
        <v>7.9862646697154602</v>
      </c>
      <c r="O582">
        <v>24.113735777249499</v>
      </c>
      <c r="P582">
        <v>22.450921085811299</v>
      </c>
      <c r="Q582">
        <v>17.100000381469702</v>
      </c>
      <c r="R582">
        <v>23.813734632840301</v>
      </c>
      <c r="S582">
        <v>16.944388397574599</v>
      </c>
      <c r="T582">
        <v>907.22278056951404</v>
      </c>
      <c r="U582">
        <v>241.93467336683401</v>
      </c>
      <c r="V582">
        <v>0</v>
      </c>
      <c r="W582">
        <v>119.306532663317</v>
      </c>
      <c r="X582">
        <v>665.93467336683398</v>
      </c>
      <c r="Y582">
        <v>0</v>
      </c>
      <c r="Z582">
        <v>360.93467336683398</v>
      </c>
      <c r="AA582">
        <v>4</v>
      </c>
      <c r="AB582">
        <v>7.7165924021147401</v>
      </c>
      <c r="AC582">
        <v>9.6089719190970008E-3</v>
      </c>
      <c r="AD582">
        <v>1.0826885316839201</v>
      </c>
      <c r="AE582">
        <v>0.34302493929862998</v>
      </c>
      <c r="AF582">
        <v>1125.8810720268</v>
      </c>
      <c r="AG582">
        <f>IFERROR(AH582*0.1, "N/A")</f>
        <v>6</v>
      </c>
      <c r="AH582">
        <v>60</v>
      </c>
      <c r="AI582">
        <v>167.98831513818601</v>
      </c>
      <c r="AJ582">
        <v>24.371859296482398</v>
      </c>
      <c r="AK582">
        <v>54.628140703517602</v>
      </c>
    </row>
    <row r="583" spans="1:37" x14ac:dyDescent="0.3">
      <c r="A583">
        <v>582</v>
      </c>
      <c r="B583">
        <v>0</v>
      </c>
      <c r="C583">
        <v>27.799999</v>
      </c>
      <c r="D583">
        <v>-14.9</v>
      </c>
      <c r="E583" t="s">
        <v>966</v>
      </c>
      <c r="F583" t="s">
        <v>968</v>
      </c>
      <c r="G583" t="s">
        <v>37</v>
      </c>
      <c r="H583">
        <v>1981</v>
      </c>
      <c r="I583">
        <v>20.950921085811299</v>
      </c>
      <c r="J583">
        <v>13.3999996185303</v>
      </c>
      <c r="K583">
        <v>55</v>
      </c>
      <c r="L583">
        <v>27.2764153312798</v>
      </c>
      <c r="M583">
        <v>32.099998474121101</v>
      </c>
      <c r="N583">
        <v>7.9862646697154602</v>
      </c>
      <c r="O583">
        <v>24.113735777249499</v>
      </c>
      <c r="P583">
        <v>22.450921085811299</v>
      </c>
      <c r="Q583">
        <v>17.100000381469702</v>
      </c>
      <c r="R583">
        <v>23.813734632840301</v>
      </c>
      <c r="S583">
        <v>16.944388397574599</v>
      </c>
      <c r="T583">
        <v>907.22278056951404</v>
      </c>
      <c r="U583">
        <v>241.93467336683401</v>
      </c>
      <c r="V583">
        <v>0</v>
      </c>
      <c r="W583">
        <v>119.306532663317</v>
      </c>
      <c r="X583">
        <v>665.93467336683398</v>
      </c>
      <c r="Y583">
        <v>0</v>
      </c>
      <c r="Z583">
        <v>360.93467336683398</v>
      </c>
      <c r="AA583">
        <v>4</v>
      </c>
      <c r="AB583">
        <v>7.7165924021147401</v>
      </c>
      <c r="AC583">
        <v>9.6089719190970008E-3</v>
      </c>
      <c r="AD583">
        <v>1.0826885316839201</v>
      </c>
      <c r="AE583">
        <v>0.34302493929862998</v>
      </c>
      <c r="AF583">
        <v>1125.8810720268</v>
      </c>
      <c r="AG583">
        <f>IFERROR(AH583*0.1, "N/A")</f>
        <v>6</v>
      </c>
      <c r="AH583">
        <v>60</v>
      </c>
      <c r="AI583">
        <v>167.98831513818601</v>
      </c>
      <c r="AJ583">
        <v>24.371859296482398</v>
      </c>
      <c r="AK583">
        <v>54.628140703517602</v>
      </c>
    </row>
    <row r="584" spans="1:37" x14ac:dyDescent="0.3">
      <c r="A584">
        <v>583</v>
      </c>
      <c r="B584">
        <v>4.0999999999999996</v>
      </c>
      <c r="C584">
        <v>27.093153000000001</v>
      </c>
      <c r="D584">
        <v>-14.891769</v>
      </c>
      <c r="E584" t="s">
        <v>969</v>
      </c>
      <c r="F584" t="s">
        <v>970</v>
      </c>
      <c r="G584" t="s">
        <v>39</v>
      </c>
      <c r="H584">
        <v>1977</v>
      </c>
      <c r="I584">
        <v>20.399999618530298</v>
      </c>
      <c r="J584">
        <v>13.8999996185303</v>
      </c>
      <c r="K584">
        <v>56</v>
      </c>
      <c r="L584">
        <v>27.911865436329599</v>
      </c>
      <c r="M584">
        <v>31.399999618530298</v>
      </c>
      <c r="N584">
        <v>6.8000001907348597</v>
      </c>
      <c r="O584">
        <v>24.600000381469702</v>
      </c>
      <c r="P584">
        <v>21.979663787970001</v>
      </c>
      <c r="Q584">
        <v>16.5</v>
      </c>
      <c r="R584">
        <v>23.299999237060501</v>
      </c>
      <c r="S584">
        <v>16.299999237060501</v>
      </c>
      <c r="T584">
        <v>954</v>
      </c>
      <c r="U584">
        <v>241</v>
      </c>
      <c r="V584">
        <v>0</v>
      </c>
      <c r="W584">
        <v>115</v>
      </c>
      <c r="X584">
        <v>670</v>
      </c>
      <c r="Y584">
        <v>0</v>
      </c>
      <c r="Z584">
        <v>144</v>
      </c>
      <c r="AA584">
        <v>4</v>
      </c>
      <c r="AB584">
        <v>16.527035394235799</v>
      </c>
      <c r="AC584">
        <v>4.1498096434383999E-2</v>
      </c>
      <c r="AD584">
        <v>1.6485269368195701</v>
      </c>
      <c r="AE584">
        <v>0.333764264914168</v>
      </c>
      <c r="AF584">
        <v>1258.62016806723</v>
      </c>
      <c r="AG584">
        <f>IFERROR(AH584*0.1, "N/A")</f>
        <v>5.6895798319327708</v>
      </c>
      <c r="AH584">
        <v>56.895798319327703</v>
      </c>
      <c r="AI584">
        <v>173.93842147698899</v>
      </c>
      <c r="AJ584">
        <v>26</v>
      </c>
      <c r="AK584">
        <v>57</v>
      </c>
    </row>
    <row r="585" spans="1:37" x14ac:dyDescent="0.3">
      <c r="A585">
        <v>584</v>
      </c>
      <c r="B585">
        <v>11.8</v>
      </c>
      <c r="C585">
        <v>24.577000000000002</v>
      </c>
      <c r="D585">
        <v>-14.8842</v>
      </c>
      <c r="E585" t="s">
        <v>971</v>
      </c>
      <c r="F585" t="s">
        <v>972</v>
      </c>
      <c r="G585" t="s">
        <v>39</v>
      </c>
      <c r="H585">
        <v>2007</v>
      </c>
      <c r="I585">
        <v>21.299999237060501</v>
      </c>
      <c r="J585">
        <v>15.300000190734901</v>
      </c>
      <c r="K585">
        <v>55</v>
      </c>
      <c r="L585">
        <v>29.040000915527301</v>
      </c>
      <c r="M585">
        <v>33.799999237060497</v>
      </c>
      <c r="N585">
        <v>6.3000001907348597</v>
      </c>
      <c r="O585">
        <v>27.5</v>
      </c>
      <c r="P585">
        <v>23</v>
      </c>
      <c r="Q585">
        <v>17</v>
      </c>
      <c r="R585">
        <v>24</v>
      </c>
      <c r="S585">
        <v>17</v>
      </c>
      <c r="T585">
        <v>914</v>
      </c>
      <c r="U585">
        <v>217</v>
      </c>
      <c r="V585">
        <v>0</v>
      </c>
      <c r="W585">
        <v>109</v>
      </c>
      <c r="X585">
        <v>615</v>
      </c>
      <c r="Y585">
        <v>1</v>
      </c>
      <c r="Z585">
        <v>345</v>
      </c>
      <c r="AA585">
        <v>1</v>
      </c>
      <c r="AB585">
        <v>1.85740420425593</v>
      </c>
      <c r="AC585">
        <v>12.415514664247199</v>
      </c>
      <c r="AD585">
        <v>0.91753607155281003</v>
      </c>
      <c r="AE585">
        <v>0.42466272321992998</v>
      </c>
      <c r="AF585">
        <v>1142.2562396006699</v>
      </c>
      <c r="AG585">
        <f>IFERROR(AH585*0.1, "N/A")</f>
        <v>6.4231281198003307</v>
      </c>
      <c r="AH585">
        <v>64.231281198003302</v>
      </c>
      <c r="AI585">
        <v>102.3234185268</v>
      </c>
      <c r="AJ585">
        <v>20.502495840266199</v>
      </c>
      <c r="AK585">
        <v>60.487520798668903</v>
      </c>
    </row>
    <row r="586" spans="1:37" x14ac:dyDescent="0.3">
      <c r="A586">
        <v>585</v>
      </c>
      <c r="B586">
        <v>9.8000000000000007</v>
      </c>
      <c r="C586">
        <v>24.577000000000002</v>
      </c>
      <c r="D586">
        <v>-14.8842</v>
      </c>
      <c r="E586" t="s">
        <v>971</v>
      </c>
      <c r="F586" t="s">
        <v>973</v>
      </c>
      <c r="G586" t="s">
        <v>37</v>
      </c>
      <c r="H586">
        <v>2007</v>
      </c>
      <c r="I586">
        <v>21.299999237060501</v>
      </c>
      <c r="J586">
        <v>15.300000190734901</v>
      </c>
      <c r="K586">
        <v>55</v>
      </c>
      <c r="L586">
        <v>29.040000915527301</v>
      </c>
      <c r="M586">
        <v>33.799999237060497</v>
      </c>
      <c r="N586">
        <v>6.3000001907348597</v>
      </c>
      <c r="O586">
        <v>27.5</v>
      </c>
      <c r="P586">
        <v>23</v>
      </c>
      <c r="Q586">
        <v>17</v>
      </c>
      <c r="R586">
        <v>24</v>
      </c>
      <c r="S586">
        <v>17</v>
      </c>
      <c r="T586">
        <v>914</v>
      </c>
      <c r="U586">
        <v>217</v>
      </c>
      <c r="V586">
        <v>0</v>
      </c>
      <c r="W586">
        <v>109</v>
      </c>
      <c r="X586">
        <v>615</v>
      </c>
      <c r="Y586">
        <v>1</v>
      </c>
      <c r="Z586">
        <v>345</v>
      </c>
      <c r="AA586">
        <v>1</v>
      </c>
      <c r="AB586">
        <v>1.85740420425593</v>
      </c>
      <c r="AC586">
        <v>12.415514664247199</v>
      </c>
      <c r="AD586">
        <v>0.91753607155281003</v>
      </c>
      <c r="AE586">
        <v>0.42466272321992998</v>
      </c>
      <c r="AF586">
        <v>1142.2562396006699</v>
      </c>
      <c r="AG586">
        <f>IFERROR(AH586*0.1, "N/A")</f>
        <v>6.4231281198003307</v>
      </c>
      <c r="AH586">
        <v>64.231281198003302</v>
      </c>
      <c r="AI586">
        <v>102.3234185268</v>
      </c>
      <c r="AJ586">
        <v>20.502495840266199</v>
      </c>
      <c r="AK586">
        <v>60.487520798668903</v>
      </c>
    </row>
    <row r="587" spans="1:37" x14ac:dyDescent="0.3">
      <c r="A587">
        <v>586</v>
      </c>
      <c r="B587">
        <v>14.5</v>
      </c>
      <c r="C587">
        <v>27.704000000000001</v>
      </c>
      <c r="D587">
        <v>-14.862500000000001</v>
      </c>
      <c r="E587" t="s">
        <v>974</v>
      </c>
      <c r="F587" t="s">
        <v>975</v>
      </c>
      <c r="G587" t="s">
        <v>39</v>
      </c>
      <c r="H587">
        <v>1981</v>
      </c>
      <c r="I587">
        <v>20.899999618530298</v>
      </c>
      <c r="J587">
        <v>13.5</v>
      </c>
      <c r="K587">
        <v>56</v>
      </c>
      <c r="L587">
        <v>27.049999237060501</v>
      </c>
      <c r="M587">
        <v>32</v>
      </c>
      <c r="N587">
        <v>7.9000000953674299</v>
      </c>
      <c r="O587">
        <v>24.100000381469702</v>
      </c>
      <c r="P587">
        <v>22.399999618530298</v>
      </c>
      <c r="Q587">
        <v>17</v>
      </c>
      <c r="R587">
        <v>23.700000762939499</v>
      </c>
      <c r="S587">
        <v>16.899999618530298</v>
      </c>
      <c r="T587">
        <v>917</v>
      </c>
      <c r="U587">
        <v>242</v>
      </c>
      <c r="V587">
        <v>0</v>
      </c>
      <c r="W587">
        <v>118</v>
      </c>
      <c r="X587">
        <v>668</v>
      </c>
      <c r="Y587">
        <v>0</v>
      </c>
      <c r="Z587">
        <v>365</v>
      </c>
      <c r="AA587">
        <v>4</v>
      </c>
      <c r="AB587">
        <v>1.9297057286204899</v>
      </c>
      <c r="AC587">
        <v>9.9596365201820008E-3</v>
      </c>
      <c r="AD587">
        <v>1.5868752724772299</v>
      </c>
      <c r="AE587">
        <v>0.30019840358087702</v>
      </c>
      <c r="AF587">
        <v>1147.3104026845599</v>
      </c>
      <c r="AG587">
        <f>IFERROR(AH587*0.1, "N/A")</f>
        <v>6.1000000000000005</v>
      </c>
      <c r="AH587">
        <v>61</v>
      </c>
      <c r="AI587">
        <v>209.92008495970899</v>
      </c>
      <c r="AJ587">
        <v>17.060402684563801</v>
      </c>
      <c r="AK587">
        <v>68.469798657718101</v>
      </c>
    </row>
    <row r="588" spans="1:37" x14ac:dyDescent="0.3">
      <c r="A588">
        <v>587</v>
      </c>
      <c r="B588">
        <v>0</v>
      </c>
      <c r="C588">
        <v>27.704000000000001</v>
      </c>
      <c r="D588">
        <v>-14.862500000000001</v>
      </c>
      <c r="E588" t="s">
        <v>974</v>
      </c>
      <c r="F588" t="s">
        <v>976</v>
      </c>
      <c r="G588" t="s">
        <v>37</v>
      </c>
      <c r="H588">
        <v>1981</v>
      </c>
      <c r="I588">
        <v>20.899999618530298</v>
      </c>
      <c r="J588">
        <v>13.5</v>
      </c>
      <c r="K588">
        <v>56</v>
      </c>
      <c r="L588">
        <v>27.049999237060501</v>
      </c>
      <c r="M588">
        <v>32</v>
      </c>
      <c r="N588">
        <v>7.9000000953674299</v>
      </c>
      <c r="O588">
        <v>24.100000381469702</v>
      </c>
      <c r="P588">
        <v>22.399999618530298</v>
      </c>
      <c r="Q588">
        <v>17</v>
      </c>
      <c r="R588">
        <v>23.700000762939499</v>
      </c>
      <c r="S588">
        <v>16.899999618530298</v>
      </c>
      <c r="T588">
        <v>917</v>
      </c>
      <c r="U588">
        <v>242</v>
      </c>
      <c r="V588">
        <v>0</v>
      </c>
      <c r="W588">
        <v>118</v>
      </c>
      <c r="X588">
        <v>668</v>
      </c>
      <c r="Y588">
        <v>0</v>
      </c>
      <c r="Z588">
        <v>365</v>
      </c>
      <c r="AA588">
        <v>4</v>
      </c>
      <c r="AB588">
        <v>1.9297057286204899</v>
      </c>
      <c r="AC588">
        <v>9.9596365201820008E-3</v>
      </c>
      <c r="AD588">
        <v>1.5868752724772299</v>
      </c>
      <c r="AE588">
        <v>0.30019840358087702</v>
      </c>
      <c r="AF588">
        <v>1147.3104026845599</v>
      </c>
      <c r="AG588">
        <f>IFERROR(AH588*0.1, "N/A")</f>
        <v>6.1000000000000005</v>
      </c>
      <c r="AH588">
        <v>61</v>
      </c>
      <c r="AI588">
        <v>209.92008495970899</v>
      </c>
      <c r="AJ588">
        <v>17.060402684563801</v>
      </c>
      <c r="AK588">
        <v>68.469798657718101</v>
      </c>
    </row>
    <row r="589" spans="1:37" x14ac:dyDescent="0.3">
      <c r="A589">
        <v>588</v>
      </c>
      <c r="B589">
        <v>5.7</v>
      </c>
      <c r="C589">
        <v>30.325299999999999</v>
      </c>
      <c r="D589">
        <v>-14.836499999999999</v>
      </c>
      <c r="E589" t="s">
        <v>977</v>
      </c>
      <c r="F589" t="s">
        <v>978</v>
      </c>
      <c r="G589" t="s">
        <v>39</v>
      </c>
      <c r="H589">
        <v>2007</v>
      </c>
      <c r="I589">
        <v>25.255033544246</v>
      </c>
      <c r="J589">
        <v>13.6516779381157</v>
      </c>
      <c r="K589">
        <v>53</v>
      </c>
      <c r="L589">
        <v>31.308456920137299</v>
      </c>
      <c r="M589">
        <v>37.755033608250997</v>
      </c>
      <c r="N589">
        <v>12.2033559876</v>
      </c>
      <c r="O589">
        <v>25.551678049484401</v>
      </c>
      <c r="P589">
        <v>26.8033558762314</v>
      </c>
      <c r="Q589">
        <v>20.855033925715698</v>
      </c>
      <c r="R589">
        <v>28.955033385513602</v>
      </c>
      <c r="S589">
        <v>20.855033925715698</v>
      </c>
      <c r="T589">
        <v>813.28187919463096</v>
      </c>
      <c r="U589">
        <v>227.96644295301999</v>
      </c>
      <c r="V589">
        <v>0</v>
      </c>
      <c r="W589">
        <v>121</v>
      </c>
      <c r="X589">
        <v>591.34899328859001</v>
      </c>
      <c r="Y589">
        <v>1</v>
      </c>
      <c r="Z589">
        <v>258.93288590603999</v>
      </c>
      <c r="AA589">
        <v>1</v>
      </c>
      <c r="AB589">
        <v>0.95151140865863604</v>
      </c>
      <c r="AC589">
        <v>0.59501054237796702</v>
      </c>
      <c r="AD589">
        <v>1.88393061033031</v>
      </c>
      <c r="AE589">
        <v>0.149927392601967</v>
      </c>
      <c r="AF589">
        <v>385.39597315436203</v>
      </c>
      <c r="AG589">
        <f>IFERROR(AH589*0.1, "N/A")</f>
        <v>6.1496644295302003</v>
      </c>
      <c r="AH589">
        <v>61.496644295301998</v>
      </c>
      <c r="AI589">
        <v>316.13769160021099</v>
      </c>
      <c r="AJ589">
        <v>23.550335570469802</v>
      </c>
      <c r="AK589">
        <v>63.362416107382501</v>
      </c>
    </row>
    <row r="590" spans="1:37" x14ac:dyDescent="0.3">
      <c r="A590">
        <v>589</v>
      </c>
      <c r="B590">
        <v>29.799999</v>
      </c>
      <c r="C590">
        <v>30.325299999999999</v>
      </c>
      <c r="D590">
        <v>-14.836499999999999</v>
      </c>
      <c r="E590" t="s">
        <v>977</v>
      </c>
      <c r="F590" t="s">
        <v>979</v>
      </c>
      <c r="G590" t="s">
        <v>37</v>
      </c>
      <c r="H590">
        <v>2007</v>
      </c>
      <c r="I590">
        <v>25.255033544246</v>
      </c>
      <c r="J590">
        <v>13.6516779381157</v>
      </c>
      <c r="K590">
        <v>53</v>
      </c>
      <c r="L590">
        <v>31.308456920137299</v>
      </c>
      <c r="M590">
        <v>37.755033608250997</v>
      </c>
      <c r="N590">
        <v>12.2033559876</v>
      </c>
      <c r="O590">
        <v>25.551678049484401</v>
      </c>
      <c r="P590">
        <v>26.8033558762314</v>
      </c>
      <c r="Q590">
        <v>20.855033925715698</v>
      </c>
      <c r="R590">
        <v>28.955033385513602</v>
      </c>
      <c r="S590">
        <v>20.855033925715698</v>
      </c>
      <c r="T590">
        <v>813.28187919463096</v>
      </c>
      <c r="U590">
        <v>227.96644295301999</v>
      </c>
      <c r="V590">
        <v>0</v>
      </c>
      <c r="W590">
        <v>121</v>
      </c>
      <c r="X590">
        <v>591.34899328859001</v>
      </c>
      <c r="Y590">
        <v>1</v>
      </c>
      <c r="Z590">
        <v>258.93288590603999</v>
      </c>
      <c r="AA590">
        <v>1</v>
      </c>
      <c r="AB590">
        <v>0.95151140865863604</v>
      </c>
      <c r="AC590">
        <v>0.59501054237796702</v>
      </c>
      <c r="AD590">
        <v>1.88393061033031</v>
      </c>
      <c r="AE590">
        <v>0.149927392601967</v>
      </c>
      <c r="AF590">
        <v>385.39597315436203</v>
      </c>
      <c r="AG590">
        <f>IFERROR(AH590*0.1, "N/A")</f>
        <v>6.1496644295302003</v>
      </c>
      <c r="AH590">
        <v>61.496644295301998</v>
      </c>
      <c r="AI590">
        <v>316.13769160021099</v>
      </c>
      <c r="AJ590">
        <v>23.550335570469802</v>
      </c>
      <c r="AK590">
        <v>63.362416107382501</v>
      </c>
    </row>
    <row r="591" spans="1:37" x14ac:dyDescent="0.3">
      <c r="A591">
        <v>590</v>
      </c>
      <c r="B591">
        <v>50</v>
      </c>
      <c r="C591">
        <v>24.680599000000001</v>
      </c>
      <c r="D591">
        <v>-14.8344</v>
      </c>
      <c r="E591" t="s">
        <v>980</v>
      </c>
      <c r="F591" t="s">
        <v>981</v>
      </c>
      <c r="G591" t="s">
        <v>39</v>
      </c>
      <c r="H591">
        <v>0</v>
      </c>
      <c r="I591">
        <v>21.200000762939499</v>
      </c>
      <c r="J591">
        <v>15.300000190734901</v>
      </c>
      <c r="K591">
        <v>55</v>
      </c>
      <c r="L591">
        <v>28.940000534057599</v>
      </c>
      <c r="M591">
        <v>33.700000762939503</v>
      </c>
      <c r="N591">
        <v>6.0999999046325701</v>
      </c>
      <c r="O591">
        <v>27.600000381469702</v>
      </c>
      <c r="P591">
        <v>23</v>
      </c>
      <c r="Q591">
        <v>16.899999618530298</v>
      </c>
      <c r="R591">
        <v>24</v>
      </c>
      <c r="S591">
        <v>16.899999618530298</v>
      </c>
      <c r="T591">
        <v>912</v>
      </c>
      <c r="U591">
        <v>217</v>
      </c>
      <c r="V591">
        <v>0</v>
      </c>
      <c r="W591">
        <v>109</v>
      </c>
      <c r="X591">
        <v>617</v>
      </c>
      <c r="Y591">
        <v>1</v>
      </c>
      <c r="Z591">
        <v>344</v>
      </c>
      <c r="AA591">
        <v>1</v>
      </c>
      <c r="AB591">
        <v>8.0974323521906406</v>
      </c>
      <c r="AC591">
        <v>4.4499348112736002E-2</v>
      </c>
      <c r="AD591">
        <v>2.3502236772422198</v>
      </c>
      <c r="AE591">
        <v>0.48096409440040599</v>
      </c>
      <c r="AF591">
        <v>1130.4790619765499</v>
      </c>
      <c r="AG591">
        <f>IFERROR(AH591*0.1, "N/A")</f>
        <v>5.92931323283082</v>
      </c>
      <c r="AH591">
        <v>59.293132328308197</v>
      </c>
      <c r="AI591">
        <v>53.377107067523497</v>
      </c>
      <c r="AJ591">
        <v>20.7068676716918</v>
      </c>
      <c r="AK591">
        <v>59.7102177554439</v>
      </c>
    </row>
    <row r="592" spans="1:37" x14ac:dyDescent="0.3">
      <c r="A592">
        <v>591</v>
      </c>
      <c r="B592">
        <v>70</v>
      </c>
      <c r="C592">
        <v>24.680599000000001</v>
      </c>
      <c r="D592">
        <v>-14.8344</v>
      </c>
      <c r="E592" t="s">
        <v>980</v>
      </c>
      <c r="F592" t="s">
        <v>982</v>
      </c>
      <c r="G592" t="s">
        <v>37</v>
      </c>
      <c r="H592">
        <v>0</v>
      </c>
      <c r="I592">
        <v>21.200000762939499</v>
      </c>
      <c r="J592">
        <v>15.300000190734901</v>
      </c>
      <c r="K592">
        <v>55</v>
      </c>
      <c r="L592">
        <v>28.940000534057599</v>
      </c>
      <c r="M592">
        <v>33.700000762939503</v>
      </c>
      <c r="N592">
        <v>6.0999999046325701</v>
      </c>
      <c r="O592">
        <v>27.600000381469702</v>
      </c>
      <c r="P592">
        <v>23</v>
      </c>
      <c r="Q592">
        <v>16.899999618530298</v>
      </c>
      <c r="R592">
        <v>24</v>
      </c>
      <c r="S592">
        <v>16.899999618530298</v>
      </c>
      <c r="T592">
        <v>912</v>
      </c>
      <c r="U592">
        <v>217</v>
      </c>
      <c r="V592">
        <v>0</v>
      </c>
      <c r="W592">
        <v>109</v>
      </c>
      <c r="X592">
        <v>617</v>
      </c>
      <c r="Y592">
        <v>1</v>
      </c>
      <c r="Z592">
        <v>344</v>
      </c>
      <c r="AA592">
        <v>1</v>
      </c>
      <c r="AB592">
        <v>8.0974323521906406</v>
      </c>
      <c r="AC592">
        <v>4.4499348112736002E-2</v>
      </c>
      <c r="AD592">
        <v>2.3502236772422198</v>
      </c>
      <c r="AE592">
        <v>0.48096409440040599</v>
      </c>
      <c r="AF592">
        <v>1130.4790619765499</v>
      </c>
      <c r="AG592">
        <f>IFERROR(AH592*0.1, "N/A")</f>
        <v>5.92931323283082</v>
      </c>
      <c r="AH592">
        <v>59.293132328308197</v>
      </c>
      <c r="AI592">
        <v>53.377107067523497</v>
      </c>
      <c r="AJ592">
        <v>20.7068676716918</v>
      </c>
      <c r="AK592">
        <v>59.7102177554439</v>
      </c>
    </row>
    <row r="593" spans="1:37" x14ac:dyDescent="0.3">
      <c r="A593">
        <v>592</v>
      </c>
      <c r="B593">
        <v>23.299999</v>
      </c>
      <c r="C593">
        <v>24.797501</v>
      </c>
      <c r="D593">
        <v>-14.8117</v>
      </c>
      <c r="E593" t="s">
        <v>983</v>
      </c>
      <c r="F593" t="s">
        <v>984</v>
      </c>
      <c r="G593" t="s">
        <v>39</v>
      </c>
      <c r="H593">
        <v>1977</v>
      </c>
      <c r="I593">
        <v>21</v>
      </c>
      <c r="J593">
        <v>15.300000190734901</v>
      </c>
      <c r="K593">
        <v>55</v>
      </c>
      <c r="L593">
        <v>29.590000152587901</v>
      </c>
      <c r="M593">
        <v>33.5</v>
      </c>
      <c r="N593">
        <v>5.8000001907348597</v>
      </c>
      <c r="O593">
        <v>27.700000762939499</v>
      </c>
      <c r="P593">
        <v>22.899999618530298</v>
      </c>
      <c r="Q593">
        <v>16.600000381469702</v>
      </c>
      <c r="R593">
        <v>23.799999237060501</v>
      </c>
      <c r="S593">
        <v>16.600000381469702</v>
      </c>
      <c r="T593">
        <v>916</v>
      </c>
      <c r="U593">
        <v>218</v>
      </c>
      <c r="V593">
        <v>0</v>
      </c>
      <c r="W593">
        <v>110</v>
      </c>
      <c r="X593">
        <v>621</v>
      </c>
      <c r="Y593">
        <v>1</v>
      </c>
      <c r="Z593">
        <v>346</v>
      </c>
      <c r="AA593">
        <v>1</v>
      </c>
      <c r="AB593">
        <v>4.7258229095663804</v>
      </c>
      <c r="AC593">
        <v>5.7495780071968997E-2</v>
      </c>
      <c r="AD593">
        <v>2.31011621844049</v>
      </c>
      <c r="AE593">
        <v>0.682095587253571</v>
      </c>
      <c r="AF593">
        <v>1163.2382550335601</v>
      </c>
      <c r="AG593">
        <f>IFERROR(AH593*0.1, "N/A")</f>
        <v>5.79228187919463</v>
      </c>
      <c r="AH593">
        <v>57.922818791946298</v>
      </c>
      <c r="AI593">
        <v>107.851660517238</v>
      </c>
      <c r="AJ593">
        <v>19.453020134228201</v>
      </c>
      <c r="AK593">
        <v>67.026845637583904</v>
      </c>
    </row>
    <row r="594" spans="1:37" x14ac:dyDescent="0.3">
      <c r="A594">
        <v>593</v>
      </c>
      <c r="B594">
        <v>0</v>
      </c>
      <c r="C594">
        <v>27.918099999999999</v>
      </c>
      <c r="D594">
        <v>-14.789300000000001</v>
      </c>
      <c r="E594" t="s">
        <v>985</v>
      </c>
      <c r="F594" t="s">
        <v>986</v>
      </c>
      <c r="G594" t="s">
        <v>37</v>
      </c>
      <c r="H594">
        <v>1981</v>
      </c>
      <c r="I594">
        <v>20.899999618530298</v>
      </c>
      <c r="J594">
        <v>13.199999809265099</v>
      </c>
      <c r="K594">
        <v>55</v>
      </c>
      <c r="L594">
        <v>26.7600002288818</v>
      </c>
      <c r="M594">
        <v>32</v>
      </c>
      <c r="N594">
        <v>8</v>
      </c>
      <c r="O594">
        <v>24</v>
      </c>
      <c r="P594">
        <v>22.299999237060501</v>
      </c>
      <c r="Q594">
        <v>17.100000381469702</v>
      </c>
      <c r="R594">
        <v>23.700000762939499</v>
      </c>
      <c r="S594">
        <v>17</v>
      </c>
      <c r="T594">
        <v>915</v>
      </c>
      <c r="U594">
        <v>240</v>
      </c>
      <c r="V594">
        <v>0</v>
      </c>
      <c r="W594">
        <v>118</v>
      </c>
      <c r="X594">
        <v>665</v>
      </c>
      <c r="Y594">
        <v>0</v>
      </c>
      <c r="Z594">
        <v>360</v>
      </c>
      <c r="AA594">
        <v>4</v>
      </c>
      <c r="AB594">
        <v>2.50241932317839</v>
      </c>
      <c r="AC594">
        <v>1.3838912795611001E-2</v>
      </c>
      <c r="AD594">
        <v>1.2838890322888099</v>
      </c>
      <c r="AE594">
        <v>0.59201952151117998</v>
      </c>
      <c r="AF594">
        <v>1146.8994974874399</v>
      </c>
      <c r="AG594">
        <f>IFERROR(AH594*0.1, "N/A")</f>
        <v>5.6174204355108905</v>
      </c>
      <c r="AH594">
        <v>56.174204355108898</v>
      </c>
      <c r="AI594">
        <v>230.89096961348901</v>
      </c>
      <c r="AJ594">
        <v>29.9564489112228</v>
      </c>
      <c r="AK594">
        <v>51.0435510887772</v>
      </c>
    </row>
    <row r="595" spans="1:37" x14ac:dyDescent="0.3">
      <c r="A595">
        <v>594</v>
      </c>
      <c r="B595">
        <v>0</v>
      </c>
      <c r="C595">
        <v>27.918099999999999</v>
      </c>
      <c r="D595">
        <v>-14.789300000000001</v>
      </c>
      <c r="E595" t="s">
        <v>985</v>
      </c>
      <c r="F595" t="s">
        <v>987</v>
      </c>
      <c r="G595" t="s">
        <v>39</v>
      </c>
      <c r="H595">
        <v>1981</v>
      </c>
      <c r="I595">
        <v>20.899999618530298</v>
      </c>
      <c r="J595">
        <v>13.199999809265099</v>
      </c>
      <c r="K595">
        <v>55</v>
      </c>
      <c r="L595">
        <v>26.7600002288818</v>
      </c>
      <c r="M595">
        <v>32</v>
      </c>
      <c r="N595">
        <v>8</v>
      </c>
      <c r="O595">
        <v>24</v>
      </c>
      <c r="P595">
        <v>22.299999237060501</v>
      </c>
      <c r="Q595">
        <v>17.100000381469702</v>
      </c>
      <c r="R595">
        <v>23.700000762939499</v>
      </c>
      <c r="S595">
        <v>17</v>
      </c>
      <c r="T595">
        <v>915</v>
      </c>
      <c r="U595">
        <v>240</v>
      </c>
      <c r="V595">
        <v>0</v>
      </c>
      <c r="W595">
        <v>118</v>
      </c>
      <c r="X595">
        <v>665</v>
      </c>
      <c r="Y595">
        <v>0</v>
      </c>
      <c r="Z595">
        <v>360</v>
      </c>
      <c r="AA595">
        <v>4</v>
      </c>
      <c r="AB595">
        <v>2.50241932317839</v>
      </c>
      <c r="AC595">
        <v>1.3838912795611001E-2</v>
      </c>
      <c r="AD595">
        <v>1.2838890322888099</v>
      </c>
      <c r="AE595">
        <v>0.59201952151117998</v>
      </c>
      <c r="AF595">
        <v>1146.8994974874399</v>
      </c>
      <c r="AG595">
        <f>IFERROR(AH595*0.1, "N/A")</f>
        <v>5.6174204355108905</v>
      </c>
      <c r="AH595">
        <v>56.174204355108898</v>
      </c>
      <c r="AI595">
        <v>230.89096961348901</v>
      </c>
      <c r="AJ595">
        <v>29.9564489112228</v>
      </c>
      <c r="AK595">
        <v>51.0435510887772</v>
      </c>
    </row>
    <row r="596" spans="1:37" x14ac:dyDescent="0.3">
      <c r="A596">
        <v>595</v>
      </c>
      <c r="B596">
        <v>7.8</v>
      </c>
      <c r="C596">
        <v>25.337499999999999</v>
      </c>
      <c r="D596">
        <v>-14.7887</v>
      </c>
      <c r="E596" t="s">
        <v>988</v>
      </c>
      <c r="F596" t="s">
        <v>989</v>
      </c>
      <c r="G596" t="s">
        <v>39</v>
      </c>
      <c r="H596">
        <v>2007</v>
      </c>
      <c r="I596">
        <v>20.600000381469702</v>
      </c>
      <c r="J596">
        <v>15.1000003814697</v>
      </c>
      <c r="K596">
        <v>55</v>
      </c>
      <c r="L596">
        <v>29.569999694824201</v>
      </c>
      <c r="M596">
        <v>32.799999237060497</v>
      </c>
      <c r="N596">
        <v>5.5999999046325701</v>
      </c>
      <c r="O596">
        <v>27.200000762939499</v>
      </c>
      <c r="P596">
        <v>22.5</v>
      </c>
      <c r="Q596">
        <v>16.200000762939499</v>
      </c>
      <c r="R596">
        <v>23.399999618530298</v>
      </c>
      <c r="S596">
        <v>16.200000762939499</v>
      </c>
      <c r="T596">
        <v>935</v>
      </c>
      <c r="U596">
        <v>221</v>
      </c>
      <c r="V596">
        <v>0</v>
      </c>
      <c r="W596">
        <v>112</v>
      </c>
      <c r="X596">
        <v>636</v>
      </c>
      <c r="Y596">
        <v>1</v>
      </c>
      <c r="Z596">
        <v>363</v>
      </c>
      <c r="AA596">
        <v>3</v>
      </c>
      <c r="AB596">
        <v>1.3126165402815699</v>
      </c>
      <c r="AC596">
        <v>0.41535529492879197</v>
      </c>
      <c r="AD596">
        <v>0.99639844174353098</v>
      </c>
      <c r="AE596">
        <v>0.249488711357117</v>
      </c>
      <c r="AF596">
        <v>1176.92617449664</v>
      </c>
      <c r="AG596">
        <f>IFERROR(AH596*0.1, "N/A")</f>
        <v>6.2765100671140903</v>
      </c>
      <c r="AH596">
        <v>62.7651006711409</v>
      </c>
      <c r="AI596">
        <v>147.36768438351999</v>
      </c>
      <c r="AJ596">
        <v>23.9362416107383</v>
      </c>
      <c r="AK596">
        <v>58.785234899328898</v>
      </c>
    </row>
    <row r="597" spans="1:37" x14ac:dyDescent="0.3">
      <c r="A597">
        <v>596</v>
      </c>
      <c r="B597">
        <v>5.9</v>
      </c>
      <c r="C597">
        <v>25.337499999999999</v>
      </c>
      <c r="D597">
        <v>-14.7887</v>
      </c>
      <c r="E597" t="s">
        <v>988</v>
      </c>
      <c r="F597" t="s">
        <v>990</v>
      </c>
      <c r="G597" t="s">
        <v>37</v>
      </c>
      <c r="H597">
        <v>2007</v>
      </c>
      <c r="I597">
        <v>20.600000381469702</v>
      </c>
      <c r="J597">
        <v>15.1000003814697</v>
      </c>
      <c r="K597">
        <v>55</v>
      </c>
      <c r="L597">
        <v>29.569999694824201</v>
      </c>
      <c r="M597">
        <v>32.799999237060497</v>
      </c>
      <c r="N597">
        <v>5.5999999046325701</v>
      </c>
      <c r="O597">
        <v>27.200000762939499</v>
      </c>
      <c r="P597">
        <v>22.5</v>
      </c>
      <c r="Q597">
        <v>16.200000762939499</v>
      </c>
      <c r="R597">
        <v>23.399999618530298</v>
      </c>
      <c r="S597">
        <v>16.200000762939499</v>
      </c>
      <c r="T597">
        <v>935</v>
      </c>
      <c r="U597">
        <v>221</v>
      </c>
      <c r="V597">
        <v>0</v>
      </c>
      <c r="W597">
        <v>112</v>
      </c>
      <c r="X597">
        <v>636</v>
      </c>
      <c r="Y597">
        <v>1</v>
      </c>
      <c r="Z597">
        <v>363</v>
      </c>
      <c r="AA597">
        <v>3</v>
      </c>
      <c r="AB597">
        <v>1.3126165402815699</v>
      </c>
      <c r="AC597">
        <v>0.41535529492879197</v>
      </c>
      <c r="AD597">
        <v>0.99639844174353098</v>
      </c>
      <c r="AE597">
        <v>0.249488711357117</v>
      </c>
      <c r="AF597">
        <v>1176.92617449664</v>
      </c>
      <c r="AG597">
        <f>IFERROR(AH597*0.1, "N/A")</f>
        <v>6.2765100671140903</v>
      </c>
      <c r="AH597">
        <v>62.7651006711409</v>
      </c>
      <c r="AI597">
        <v>147.36768438351999</v>
      </c>
      <c r="AJ597">
        <v>23.9362416107383</v>
      </c>
      <c r="AK597">
        <v>58.785234899328898</v>
      </c>
    </row>
    <row r="598" spans="1:37" x14ac:dyDescent="0.3">
      <c r="A598">
        <v>597</v>
      </c>
      <c r="B598">
        <v>6.6</v>
      </c>
      <c r="C598">
        <v>28.063199999999998</v>
      </c>
      <c r="D598">
        <v>-14.7783</v>
      </c>
      <c r="E598" t="s">
        <v>991</v>
      </c>
      <c r="F598" t="s">
        <v>992</v>
      </c>
      <c r="G598" t="s">
        <v>39</v>
      </c>
      <c r="H598">
        <v>0</v>
      </c>
      <c r="I598">
        <v>20.700000762939499</v>
      </c>
      <c r="J598">
        <v>13.1000003814697</v>
      </c>
      <c r="K598">
        <v>55</v>
      </c>
      <c r="L598">
        <v>26.899999618530298</v>
      </c>
      <c r="M598">
        <v>31.899999618530298</v>
      </c>
      <c r="N598">
        <v>8.1000003814697301</v>
      </c>
      <c r="O598">
        <v>23.799999237060501</v>
      </c>
      <c r="P598">
        <v>22.100000381469702</v>
      </c>
      <c r="Q598">
        <v>16.799999237060501</v>
      </c>
      <c r="R598">
        <v>23.5</v>
      </c>
      <c r="S598">
        <v>16.799999237060501</v>
      </c>
      <c r="T598">
        <v>910</v>
      </c>
      <c r="U598">
        <v>237</v>
      </c>
      <c r="V598">
        <v>0</v>
      </c>
      <c r="W598">
        <v>119</v>
      </c>
      <c r="X598">
        <v>661</v>
      </c>
      <c r="Y598">
        <v>0</v>
      </c>
      <c r="Z598">
        <v>354</v>
      </c>
      <c r="AA598">
        <v>4</v>
      </c>
      <c r="AB598">
        <v>4.6901293007877696</v>
      </c>
      <c r="AC598">
        <v>1.4677030533452999E-2</v>
      </c>
      <c r="AD598">
        <v>0.89269555724522898</v>
      </c>
      <c r="AE598">
        <v>0.69233629192056201</v>
      </c>
      <c r="AF598">
        <v>1180.1252086811401</v>
      </c>
      <c r="AG598">
        <f>IFERROR(AH598*0.1, "N/A")</f>
        <v>5.6579298831385607</v>
      </c>
      <c r="AH598">
        <v>56.5792988313856</v>
      </c>
      <c r="AI598">
        <v>90.475775643859706</v>
      </c>
      <c r="AJ598">
        <v>26.4440734557596</v>
      </c>
      <c r="AK598">
        <v>57.146911519198703</v>
      </c>
    </row>
    <row r="599" spans="1:37" x14ac:dyDescent="0.3">
      <c r="A599">
        <v>598</v>
      </c>
      <c r="B599">
        <v>36.700001</v>
      </c>
      <c r="C599">
        <v>29.124500000000001</v>
      </c>
      <c r="D599">
        <v>-14.759600000000001</v>
      </c>
      <c r="E599" t="s">
        <v>993</v>
      </c>
      <c r="F599" t="s">
        <v>994</v>
      </c>
      <c r="G599" t="s">
        <v>39</v>
      </c>
      <c r="H599">
        <v>1972</v>
      </c>
      <c r="I599">
        <v>24</v>
      </c>
      <c r="J599">
        <v>13.8999996185303</v>
      </c>
      <c r="K599">
        <v>53</v>
      </c>
      <c r="L599">
        <v>31.998238262714199</v>
      </c>
      <c r="M599">
        <v>35.802516073188499</v>
      </c>
      <c r="N599">
        <v>10.002516788124201</v>
      </c>
      <c r="O599">
        <v>25.799999237060501</v>
      </c>
      <c r="P599">
        <v>25.902516406654499</v>
      </c>
      <c r="Q599">
        <v>19.299999237060501</v>
      </c>
      <c r="R599">
        <v>27.399999618530298</v>
      </c>
      <c r="S599">
        <v>19.299999237060501</v>
      </c>
      <c r="T599">
        <v>789.924496644295</v>
      </c>
      <c r="U599">
        <v>208.974832214765</v>
      </c>
      <c r="V599">
        <v>0</v>
      </c>
      <c r="W599">
        <v>122</v>
      </c>
      <c r="X599">
        <v>586.94966442953</v>
      </c>
      <c r="Y599">
        <v>0</v>
      </c>
      <c r="Z599">
        <v>287.94966442953</v>
      </c>
      <c r="AA599">
        <v>0</v>
      </c>
      <c r="AB599">
        <v>11.638934397857501</v>
      </c>
      <c r="AC599">
        <v>1.0672047298289E-2</v>
      </c>
      <c r="AD599">
        <v>1.29005067060458</v>
      </c>
      <c r="AE599">
        <v>9.9874466657638994E-2</v>
      </c>
      <c r="AF599">
        <v>504.34060402684599</v>
      </c>
      <c r="AG599">
        <f>IFERROR(AH599*0.1, "N/A")</f>
        <v>6.3000000000000007</v>
      </c>
      <c r="AH599">
        <v>63</v>
      </c>
      <c r="AI599">
        <v>179.64714293511901</v>
      </c>
      <c r="AJ599">
        <v>23.875838926174499</v>
      </c>
      <c r="AK599">
        <v>57.109060402684598</v>
      </c>
    </row>
    <row r="600" spans="1:37" x14ac:dyDescent="0.3">
      <c r="A600">
        <v>599</v>
      </c>
      <c r="B600">
        <v>0</v>
      </c>
      <c r="C600">
        <v>29.124500000000001</v>
      </c>
      <c r="D600">
        <v>-14.759600000000001</v>
      </c>
      <c r="E600" t="s">
        <v>993</v>
      </c>
      <c r="F600" t="s">
        <v>995</v>
      </c>
      <c r="G600" t="s">
        <v>37</v>
      </c>
      <c r="H600">
        <v>1972</v>
      </c>
      <c r="I600">
        <v>24</v>
      </c>
      <c r="J600">
        <v>13.8999996185303</v>
      </c>
      <c r="K600">
        <v>53</v>
      </c>
      <c r="L600">
        <v>31.998238262714199</v>
      </c>
      <c r="M600">
        <v>35.802516073188499</v>
      </c>
      <c r="N600">
        <v>10.002516788124201</v>
      </c>
      <c r="O600">
        <v>25.799999237060501</v>
      </c>
      <c r="P600">
        <v>25.902516406654499</v>
      </c>
      <c r="Q600">
        <v>19.299999237060501</v>
      </c>
      <c r="R600">
        <v>27.399999618530298</v>
      </c>
      <c r="S600">
        <v>19.299999237060501</v>
      </c>
      <c r="T600">
        <v>789.924496644295</v>
      </c>
      <c r="U600">
        <v>208.974832214765</v>
      </c>
      <c r="V600">
        <v>0</v>
      </c>
      <c r="W600">
        <v>122</v>
      </c>
      <c r="X600">
        <v>586.94966442953</v>
      </c>
      <c r="Y600">
        <v>0</v>
      </c>
      <c r="Z600">
        <v>287.94966442953</v>
      </c>
      <c r="AA600">
        <v>0</v>
      </c>
      <c r="AB600">
        <v>11.638934397857501</v>
      </c>
      <c r="AC600">
        <v>1.0672047298289E-2</v>
      </c>
      <c r="AD600">
        <v>1.29005067060458</v>
      </c>
      <c r="AE600">
        <v>9.9874466657638994E-2</v>
      </c>
      <c r="AF600">
        <v>504.34060402684599</v>
      </c>
      <c r="AG600">
        <f>IFERROR(AH600*0.1, "N/A")</f>
        <v>6.3000000000000007</v>
      </c>
      <c r="AH600">
        <v>63</v>
      </c>
      <c r="AI600">
        <v>179.64714293511901</v>
      </c>
      <c r="AJ600">
        <v>23.875838926174499</v>
      </c>
      <c r="AK600">
        <v>57.109060402684598</v>
      </c>
    </row>
    <row r="601" spans="1:37" x14ac:dyDescent="0.3">
      <c r="A601">
        <v>600</v>
      </c>
      <c r="B601">
        <v>0</v>
      </c>
      <c r="C601">
        <v>28.131599000000001</v>
      </c>
      <c r="D601">
        <v>-14.751899999999999</v>
      </c>
      <c r="E601" t="s">
        <v>996</v>
      </c>
      <c r="F601" t="s">
        <v>997</v>
      </c>
      <c r="G601" t="s">
        <v>37</v>
      </c>
      <c r="H601">
        <v>1981</v>
      </c>
      <c r="I601">
        <v>20.799999237060501</v>
      </c>
      <c r="J601">
        <v>13.1000003814697</v>
      </c>
      <c r="K601">
        <v>55</v>
      </c>
      <c r="L601">
        <v>26.780000686645501</v>
      </c>
      <c r="M601">
        <v>31.899999618530298</v>
      </c>
      <c r="N601">
        <v>8.1999998092651403</v>
      </c>
      <c r="O601">
        <v>23.700000762939499</v>
      </c>
      <c r="P601">
        <v>22.299999237060501</v>
      </c>
      <c r="Q601">
        <v>17</v>
      </c>
      <c r="R601">
        <v>23.600000381469702</v>
      </c>
      <c r="S601">
        <v>16.899999618530298</v>
      </c>
      <c r="T601">
        <v>905</v>
      </c>
      <c r="U601">
        <v>235</v>
      </c>
      <c r="V601">
        <v>0</v>
      </c>
      <c r="W601">
        <v>118</v>
      </c>
      <c r="X601">
        <v>657</v>
      </c>
      <c r="Y601">
        <v>0</v>
      </c>
      <c r="Z601">
        <v>351</v>
      </c>
      <c r="AA601">
        <v>4</v>
      </c>
      <c r="AB601">
        <v>13.515214753631</v>
      </c>
      <c r="AC601">
        <v>2.0567758122909001E-2</v>
      </c>
      <c r="AD601">
        <v>1.6139434351016999</v>
      </c>
      <c r="AE601">
        <v>0.56398677825927701</v>
      </c>
      <c r="AF601">
        <v>1157.53020134228</v>
      </c>
      <c r="AG601">
        <f>IFERROR(AH601*0.1, "N/A")</f>
        <v>5.6434563758389302</v>
      </c>
      <c r="AH601">
        <v>56.434563758389302</v>
      </c>
      <c r="AI601">
        <v>150.50207588656599</v>
      </c>
      <c r="AJ601">
        <v>15.1375838926174</v>
      </c>
      <c r="AK601">
        <v>74.318791946308707</v>
      </c>
    </row>
    <row r="602" spans="1:37" x14ac:dyDescent="0.3">
      <c r="A602">
        <v>601</v>
      </c>
      <c r="B602">
        <v>0</v>
      </c>
      <c r="C602">
        <v>28.066299000000001</v>
      </c>
      <c r="D602">
        <v>-14.7369</v>
      </c>
      <c r="E602" t="s">
        <v>998</v>
      </c>
      <c r="F602" t="s">
        <v>999</v>
      </c>
      <c r="G602" t="s">
        <v>37</v>
      </c>
      <c r="H602">
        <v>1981</v>
      </c>
      <c r="I602">
        <v>20.700000762939499</v>
      </c>
      <c r="J602">
        <v>13.1000003814697</v>
      </c>
      <c r="K602">
        <v>55</v>
      </c>
      <c r="L602">
        <v>26.780000686645501</v>
      </c>
      <c r="M602">
        <v>31.799999237060501</v>
      </c>
      <c r="N602">
        <v>8.1000003814697301</v>
      </c>
      <c r="O602">
        <v>23.700000762939499</v>
      </c>
      <c r="P602">
        <v>22.100000381469702</v>
      </c>
      <c r="Q602">
        <v>16.799999237060501</v>
      </c>
      <c r="R602">
        <v>23.5</v>
      </c>
      <c r="S602">
        <v>16.799999237060501</v>
      </c>
      <c r="T602">
        <v>914.93969849246196</v>
      </c>
      <c r="U602">
        <v>237.96984924623101</v>
      </c>
      <c r="V602">
        <v>0</v>
      </c>
      <c r="W602">
        <v>117</v>
      </c>
      <c r="X602">
        <v>662.96984924623098</v>
      </c>
      <c r="Y602">
        <v>0</v>
      </c>
      <c r="Z602">
        <v>356.93969849246201</v>
      </c>
      <c r="AA602">
        <v>4</v>
      </c>
      <c r="AB602">
        <v>1.2886715478433799</v>
      </c>
      <c r="AC602">
        <v>1.3759009512001E-2</v>
      </c>
      <c r="AD602">
        <v>1.16467216595933</v>
      </c>
      <c r="AE602">
        <v>0.48338645696639998</v>
      </c>
      <c r="AF602">
        <v>1172.7068676716899</v>
      </c>
      <c r="AG602">
        <f>IFERROR(AH602*0.1, "N/A")</f>
        <v>5.7969849246231204</v>
      </c>
      <c r="AH602">
        <v>57.969849246231199</v>
      </c>
      <c r="AI602">
        <v>252.885496781699</v>
      </c>
      <c r="AJ602">
        <v>30.969849246231199</v>
      </c>
      <c r="AK602">
        <v>55.969849246231199</v>
      </c>
    </row>
    <row r="603" spans="1:37" x14ac:dyDescent="0.3">
      <c r="A603">
        <v>602</v>
      </c>
      <c r="B603">
        <v>0</v>
      </c>
      <c r="C603">
        <v>27.947399000000001</v>
      </c>
      <c r="D603">
        <v>-14.7363</v>
      </c>
      <c r="E603" t="s">
        <v>1000</v>
      </c>
      <c r="F603" t="s">
        <v>1001</v>
      </c>
      <c r="G603" t="s">
        <v>37</v>
      </c>
      <c r="H603">
        <v>1981</v>
      </c>
      <c r="I603">
        <v>20.899999618530298</v>
      </c>
      <c r="J603">
        <v>13.199999809265099</v>
      </c>
      <c r="K603">
        <v>55</v>
      </c>
      <c r="L603">
        <v>27.0100002288818</v>
      </c>
      <c r="M603">
        <v>32.099998474121101</v>
      </c>
      <c r="N603">
        <v>8.1000003814697301</v>
      </c>
      <c r="O603">
        <v>24</v>
      </c>
      <c r="P603">
        <v>22.299999237060501</v>
      </c>
      <c r="Q603">
        <v>17.100000381469702</v>
      </c>
      <c r="R603">
        <v>23.700000762939499</v>
      </c>
      <c r="S603">
        <v>16.899999618530298</v>
      </c>
      <c r="T603">
        <v>917</v>
      </c>
      <c r="U603">
        <v>240</v>
      </c>
      <c r="V603">
        <v>0</v>
      </c>
      <c r="W603">
        <v>118</v>
      </c>
      <c r="X603">
        <v>665</v>
      </c>
      <c r="Y603">
        <v>0</v>
      </c>
      <c r="Z603">
        <v>360</v>
      </c>
      <c r="AA603">
        <v>4</v>
      </c>
      <c r="AB603">
        <v>3.7703759439015498</v>
      </c>
      <c r="AC603">
        <v>6.1625633421463002E-2</v>
      </c>
      <c r="AD603">
        <v>0.699153599432081</v>
      </c>
      <c r="AE603">
        <v>0.559817254543304</v>
      </c>
      <c r="AF603">
        <v>1141.1421404682301</v>
      </c>
      <c r="AG603">
        <f>IFERROR(AH603*0.1, "N/A")</f>
        <v>5.6872909698996708</v>
      </c>
      <c r="AH603">
        <v>56.8729096989967</v>
      </c>
      <c r="AI603">
        <v>68.029638488157104</v>
      </c>
      <c r="AJ603">
        <v>21.817725752508402</v>
      </c>
      <c r="AK603">
        <v>61.617056856187297</v>
      </c>
    </row>
    <row r="604" spans="1:37" x14ac:dyDescent="0.3">
      <c r="A604">
        <v>603</v>
      </c>
      <c r="B604">
        <v>18</v>
      </c>
      <c r="C604">
        <v>28.097192</v>
      </c>
      <c r="D604">
        <v>-14.65428</v>
      </c>
      <c r="E604" t="s">
        <v>1002</v>
      </c>
      <c r="F604" t="s">
        <v>1003</v>
      </c>
      <c r="G604" t="s">
        <v>39</v>
      </c>
      <c r="H604">
        <v>1991</v>
      </c>
      <c r="I604">
        <v>20.799999237060501</v>
      </c>
      <c r="J604">
        <v>13.1000003814697</v>
      </c>
      <c r="K604">
        <v>55</v>
      </c>
      <c r="L604">
        <v>26.850000381469702</v>
      </c>
      <c r="M604">
        <v>31.899999618530298</v>
      </c>
      <c r="N604">
        <v>8.1000003814697301</v>
      </c>
      <c r="O604">
        <v>23.799999237060501</v>
      </c>
      <c r="P604">
        <v>22.200000762939499</v>
      </c>
      <c r="Q604">
        <v>16.899999618530298</v>
      </c>
      <c r="R604">
        <v>23.600000381469702</v>
      </c>
      <c r="S604">
        <v>16.899999618530298</v>
      </c>
      <c r="T604">
        <v>918</v>
      </c>
      <c r="U604">
        <v>238</v>
      </c>
      <c r="V604">
        <v>0</v>
      </c>
      <c r="W604">
        <v>117</v>
      </c>
      <c r="X604">
        <v>662</v>
      </c>
      <c r="Y604">
        <v>0</v>
      </c>
      <c r="Z604">
        <v>357</v>
      </c>
      <c r="AA604">
        <v>4</v>
      </c>
      <c r="AB604">
        <v>2.0969244436055701</v>
      </c>
      <c r="AC604">
        <v>0.149561696818897</v>
      </c>
      <c r="AD604">
        <v>0.68471308035009004</v>
      </c>
      <c r="AE604">
        <v>0.45511353015899703</v>
      </c>
      <c r="AF604">
        <v>1155.8537815126101</v>
      </c>
      <c r="AG604">
        <f>IFERROR(AH604*0.1, "N/A")</f>
        <v>5.7</v>
      </c>
      <c r="AH604">
        <v>57</v>
      </c>
      <c r="AI604">
        <v>78.153064856008299</v>
      </c>
      <c r="AJ604">
        <v>21.253781512604998</v>
      </c>
      <c r="AK604">
        <v>65.492436974789896</v>
      </c>
    </row>
    <row r="605" spans="1:37" x14ac:dyDescent="0.3">
      <c r="A605">
        <v>604</v>
      </c>
      <c r="B605">
        <v>44.099997999999999</v>
      </c>
      <c r="C605">
        <v>27.581699</v>
      </c>
      <c r="D605">
        <v>-14.634499999999999</v>
      </c>
      <c r="E605" t="s">
        <v>1004</v>
      </c>
      <c r="F605" t="s">
        <v>1005</v>
      </c>
      <c r="G605" t="s">
        <v>39</v>
      </c>
      <c r="H605">
        <v>0</v>
      </c>
      <c r="I605">
        <v>21</v>
      </c>
      <c r="J605">
        <v>13.6000003814697</v>
      </c>
      <c r="K605">
        <v>55</v>
      </c>
      <c r="L605">
        <v>26.670000076293899</v>
      </c>
      <c r="M605">
        <v>32.200000762939503</v>
      </c>
      <c r="N605">
        <v>7.8000001907348597</v>
      </c>
      <c r="O605">
        <v>24.399999618530298</v>
      </c>
      <c r="P605">
        <v>22.299999237060501</v>
      </c>
      <c r="Q605">
        <v>17.200000762939499</v>
      </c>
      <c r="R605">
        <v>23.799999237060501</v>
      </c>
      <c r="S605">
        <v>17</v>
      </c>
      <c r="T605">
        <v>940</v>
      </c>
      <c r="U605">
        <v>241</v>
      </c>
      <c r="V605">
        <v>0</v>
      </c>
      <c r="W605">
        <v>116</v>
      </c>
      <c r="X605">
        <v>669</v>
      </c>
      <c r="Y605">
        <v>0</v>
      </c>
      <c r="Z605">
        <v>134</v>
      </c>
      <c r="AA605">
        <v>4</v>
      </c>
      <c r="AB605">
        <v>1.26676445969013</v>
      </c>
      <c r="AC605">
        <v>2.10964514439722</v>
      </c>
      <c r="AD605">
        <v>0.95674811371234303</v>
      </c>
      <c r="AE605">
        <v>0.26316425204277</v>
      </c>
      <c r="AF605">
        <v>1128.41008403361</v>
      </c>
      <c r="AG605">
        <f>IFERROR(AH605*0.1, "N/A")</f>
        <v>5.7021848739495802</v>
      </c>
      <c r="AH605">
        <v>57.021848739495802</v>
      </c>
      <c r="AI605">
        <v>148.12836265243399</v>
      </c>
      <c r="AJ605">
        <v>24.561344537815099</v>
      </c>
      <c r="AK605">
        <v>54.0605042016807</v>
      </c>
    </row>
    <row r="606" spans="1:37" x14ac:dyDescent="0.3">
      <c r="A606">
        <v>605</v>
      </c>
      <c r="B606">
        <v>16.700001</v>
      </c>
      <c r="C606">
        <v>24.601500000000001</v>
      </c>
      <c r="D606">
        <v>-14.5703</v>
      </c>
      <c r="E606" t="s">
        <v>1006</v>
      </c>
      <c r="F606" t="s">
        <v>1007</v>
      </c>
      <c r="G606" t="s">
        <v>39</v>
      </c>
      <c r="H606">
        <v>2007</v>
      </c>
      <c r="I606">
        <v>21.200000762939499</v>
      </c>
      <c r="J606">
        <v>15.3999996185303</v>
      </c>
      <c r="K606">
        <v>56</v>
      </c>
      <c r="L606">
        <v>28.299999237060501</v>
      </c>
      <c r="M606">
        <v>33.700000762939503</v>
      </c>
      <c r="N606">
        <v>6.3000001907348597</v>
      </c>
      <c r="O606">
        <v>27.399999618530298</v>
      </c>
      <c r="P606">
        <v>22.899999618530298</v>
      </c>
      <c r="Q606">
        <v>17</v>
      </c>
      <c r="R606">
        <v>23.799999237060501</v>
      </c>
      <c r="S606">
        <v>17</v>
      </c>
      <c r="T606">
        <v>948</v>
      </c>
      <c r="U606">
        <v>223</v>
      </c>
      <c r="V606">
        <v>0</v>
      </c>
      <c r="W606">
        <v>108</v>
      </c>
      <c r="X606">
        <v>630</v>
      </c>
      <c r="Y606">
        <v>1</v>
      </c>
      <c r="Z606">
        <v>360</v>
      </c>
      <c r="AA606">
        <v>3</v>
      </c>
      <c r="AB606">
        <v>29.925342617515799</v>
      </c>
      <c r="AC606">
        <v>2.9676813982865001E-2</v>
      </c>
      <c r="AD606">
        <v>1.6116315744504199</v>
      </c>
      <c r="AE606">
        <v>0.300570368766785</v>
      </c>
      <c r="AF606">
        <v>1154.9546218487401</v>
      </c>
      <c r="AG606">
        <f>IFERROR(AH606*0.1, "N/A")</f>
        <v>5.4936134453781502</v>
      </c>
      <c r="AH606">
        <v>54.936134453781499</v>
      </c>
      <c r="AI606">
        <v>178.786928295488</v>
      </c>
      <c r="AJ606">
        <v>21.6386554621849</v>
      </c>
      <c r="AK606">
        <v>62.265546218487401</v>
      </c>
    </row>
    <row r="607" spans="1:37" x14ac:dyDescent="0.3">
      <c r="A607">
        <v>606</v>
      </c>
      <c r="B607">
        <v>22.200001</v>
      </c>
      <c r="C607">
        <v>24.601500000000001</v>
      </c>
      <c r="D607">
        <v>-14.5703</v>
      </c>
      <c r="E607" t="s">
        <v>1006</v>
      </c>
      <c r="F607" t="s">
        <v>1008</v>
      </c>
      <c r="G607" t="s">
        <v>37</v>
      </c>
      <c r="H607">
        <v>2007</v>
      </c>
      <c r="I607">
        <v>21.200000762939499</v>
      </c>
      <c r="J607">
        <v>15.3999996185303</v>
      </c>
      <c r="K607">
        <v>56</v>
      </c>
      <c r="L607">
        <v>28.299999237060501</v>
      </c>
      <c r="M607">
        <v>33.700000762939503</v>
      </c>
      <c r="N607">
        <v>6.3000001907348597</v>
      </c>
      <c r="O607">
        <v>27.399999618530298</v>
      </c>
      <c r="P607">
        <v>22.899999618530298</v>
      </c>
      <c r="Q607">
        <v>17</v>
      </c>
      <c r="R607">
        <v>23.799999237060501</v>
      </c>
      <c r="S607">
        <v>17</v>
      </c>
      <c r="T607">
        <v>948</v>
      </c>
      <c r="U607">
        <v>223</v>
      </c>
      <c r="V607">
        <v>0</v>
      </c>
      <c r="W607">
        <v>108</v>
      </c>
      <c r="X607">
        <v>630</v>
      </c>
      <c r="Y607">
        <v>1</v>
      </c>
      <c r="Z607">
        <v>360</v>
      </c>
      <c r="AA607">
        <v>3</v>
      </c>
      <c r="AB607">
        <v>29.925342617515799</v>
      </c>
      <c r="AC607">
        <v>2.9676813982865001E-2</v>
      </c>
      <c r="AD607">
        <v>1.6116315744504199</v>
      </c>
      <c r="AE607">
        <v>0.300570368766785</v>
      </c>
      <c r="AF607">
        <v>1154.9546218487401</v>
      </c>
      <c r="AG607">
        <f>IFERROR(AH607*0.1, "N/A")</f>
        <v>5.4936134453781502</v>
      </c>
      <c r="AH607">
        <v>54.936134453781499</v>
      </c>
      <c r="AI607">
        <v>178.786928295488</v>
      </c>
      <c r="AJ607">
        <v>21.6386554621849</v>
      </c>
      <c r="AK607">
        <v>62.265546218487401</v>
      </c>
    </row>
    <row r="608" spans="1:37" x14ac:dyDescent="0.3">
      <c r="A608">
        <v>607</v>
      </c>
      <c r="B608">
        <v>14.2</v>
      </c>
      <c r="C608">
        <v>28.443199</v>
      </c>
      <c r="D608">
        <v>-14.4437</v>
      </c>
      <c r="E608" t="s">
        <v>1009</v>
      </c>
      <c r="F608" t="s">
        <v>1010</v>
      </c>
      <c r="G608" t="s">
        <v>39</v>
      </c>
      <c r="H608">
        <v>0</v>
      </c>
      <c r="I608">
        <v>20.600000381469702</v>
      </c>
      <c r="J608">
        <v>13</v>
      </c>
      <c r="K608">
        <v>54</v>
      </c>
      <c r="L608">
        <v>27.5200004577637</v>
      </c>
      <c r="M608">
        <v>31.899999618530298</v>
      </c>
      <c r="N608">
        <v>8</v>
      </c>
      <c r="O608">
        <v>23.899999618530298</v>
      </c>
      <c r="P608">
        <v>22.100000381469702</v>
      </c>
      <c r="Q608">
        <v>16.600000381469702</v>
      </c>
      <c r="R608">
        <v>23.5</v>
      </c>
      <c r="S608">
        <v>16.600000381469702</v>
      </c>
      <c r="T608">
        <v>941</v>
      </c>
      <c r="U608">
        <v>243</v>
      </c>
      <c r="V608">
        <v>0</v>
      </c>
      <c r="W608">
        <v>117</v>
      </c>
      <c r="X608">
        <v>674</v>
      </c>
      <c r="Y608">
        <v>0</v>
      </c>
      <c r="Z608">
        <v>359</v>
      </c>
      <c r="AA608">
        <v>5</v>
      </c>
      <c r="AB608">
        <v>3.9024962867723998</v>
      </c>
      <c r="AC608">
        <v>3.8792418545327001E-2</v>
      </c>
      <c r="AD608">
        <v>1.09245913611784</v>
      </c>
      <c r="AE608">
        <v>0.76442581415176403</v>
      </c>
      <c r="AF608">
        <v>1184.2026800670001</v>
      </c>
      <c r="AG608">
        <f>IFERROR(AH608*0.1, "N/A")</f>
        <v>6.2623115577889505</v>
      </c>
      <c r="AH608">
        <v>62.6231155778895</v>
      </c>
      <c r="AI608">
        <v>111.24351284212401</v>
      </c>
      <c r="AJ608">
        <v>24</v>
      </c>
      <c r="AK608">
        <v>65</v>
      </c>
    </row>
    <row r="609" spans="1:37" x14ac:dyDescent="0.3">
      <c r="A609">
        <v>608</v>
      </c>
      <c r="B609">
        <v>2.2000000000000002</v>
      </c>
      <c r="C609">
        <v>28.443199</v>
      </c>
      <c r="D609">
        <v>-14.4437</v>
      </c>
      <c r="E609" t="s">
        <v>1009</v>
      </c>
      <c r="F609" t="s">
        <v>1011</v>
      </c>
      <c r="G609" t="s">
        <v>37</v>
      </c>
      <c r="H609">
        <v>0</v>
      </c>
      <c r="I609">
        <v>20.600000381469702</v>
      </c>
      <c r="J609">
        <v>13</v>
      </c>
      <c r="K609">
        <v>54</v>
      </c>
      <c r="L609">
        <v>27.5200004577637</v>
      </c>
      <c r="M609">
        <v>31.899999618530298</v>
      </c>
      <c r="N609">
        <v>8</v>
      </c>
      <c r="O609">
        <v>23.899999618530298</v>
      </c>
      <c r="P609">
        <v>22.100000381469702</v>
      </c>
      <c r="Q609">
        <v>16.600000381469702</v>
      </c>
      <c r="R609">
        <v>23.5</v>
      </c>
      <c r="S609">
        <v>16.600000381469702</v>
      </c>
      <c r="T609">
        <v>941</v>
      </c>
      <c r="U609">
        <v>243</v>
      </c>
      <c r="V609">
        <v>0</v>
      </c>
      <c r="W609">
        <v>117</v>
      </c>
      <c r="X609">
        <v>674</v>
      </c>
      <c r="Y609">
        <v>0</v>
      </c>
      <c r="Z609">
        <v>359</v>
      </c>
      <c r="AA609">
        <v>5</v>
      </c>
      <c r="AB609">
        <v>3.9024962867723998</v>
      </c>
      <c r="AC609">
        <v>3.8792418545327001E-2</v>
      </c>
      <c r="AD609">
        <v>1.09245913611784</v>
      </c>
      <c r="AE609">
        <v>0.76442581415176403</v>
      </c>
      <c r="AF609">
        <v>1184.2026800670001</v>
      </c>
      <c r="AG609">
        <f>IFERROR(AH609*0.1, "N/A")</f>
        <v>6.2623115577889505</v>
      </c>
      <c r="AH609">
        <v>62.6231155778895</v>
      </c>
      <c r="AI609">
        <v>111.24351284212401</v>
      </c>
      <c r="AJ609">
        <v>24</v>
      </c>
      <c r="AK609">
        <v>65</v>
      </c>
    </row>
    <row r="610" spans="1:37" x14ac:dyDescent="0.3">
      <c r="A610">
        <v>609</v>
      </c>
      <c r="B610">
        <v>5.5</v>
      </c>
      <c r="C610">
        <v>30.141199</v>
      </c>
      <c r="D610">
        <v>-14.113200000000001</v>
      </c>
      <c r="E610" t="s">
        <v>1012</v>
      </c>
      <c r="F610" t="s">
        <v>1013</v>
      </c>
      <c r="G610" t="s">
        <v>39</v>
      </c>
      <c r="H610">
        <v>0</v>
      </c>
      <c r="I610">
        <v>23.700000762939499</v>
      </c>
      <c r="J610">
        <v>13.6000003814697</v>
      </c>
      <c r="K610">
        <v>53</v>
      </c>
      <c r="L610">
        <v>32.180000305175803</v>
      </c>
      <c r="M610">
        <v>35.799999237060497</v>
      </c>
      <c r="N610">
        <v>10.199999809265099</v>
      </c>
      <c r="O610">
        <v>25.600000381469702</v>
      </c>
      <c r="P610">
        <v>25.700000762939499</v>
      </c>
      <c r="Q610">
        <v>19</v>
      </c>
      <c r="R610">
        <v>27.200000762939499</v>
      </c>
      <c r="S610">
        <v>19</v>
      </c>
      <c r="T610">
        <v>888</v>
      </c>
      <c r="U610">
        <v>232</v>
      </c>
      <c r="V610">
        <v>0</v>
      </c>
      <c r="W610">
        <v>120</v>
      </c>
      <c r="X610">
        <v>652</v>
      </c>
      <c r="Y610">
        <v>0</v>
      </c>
      <c r="Z610">
        <v>303</v>
      </c>
      <c r="AA610">
        <v>0</v>
      </c>
      <c r="AB610">
        <v>4.3020052301803702</v>
      </c>
      <c r="AC610">
        <v>3.7117947243003997E-2</v>
      </c>
      <c r="AD610">
        <v>2.3303325474262202</v>
      </c>
      <c r="AE610">
        <v>0.103111036121845</v>
      </c>
      <c r="AF610">
        <v>535.23322147651004</v>
      </c>
      <c r="AG610">
        <f>IFERROR(AH610*0.1, "N/A")</f>
        <v>6.3597315436241608</v>
      </c>
      <c r="AH610">
        <v>63.597315436241601</v>
      </c>
      <c r="AI610">
        <v>175.35793263480201</v>
      </c>
      <c r="AJ610">
        <v>25.298657718120801</v>
      </c>
      <c r="AK610">
        <v>60</v>
      </c>
    </row>
    <row r="611" spans="1:37" x14ac:dyDescent="0.3">
      <c r="A611">
        <v>610</v>
      </c>
      <c r="B611">
        <v>16</v>
      </c>
      <c r="C611">
        <v>28.103399</v>
      </c>
      <c r="D611">
        <v>-14.1127</v>
      </c>
      <c r="E611" t="s">
        <v>1014</v>
      </c>
      <c r="F611" t="s">
        <v>1015</v>
      </c>
      <c r="G611" t="s">
        <v>39</v>
      </c>
      <c r="H611">
        <v>0</v>
      </c>
      <c r="I611">
        <v>20.799999237060501</v>
      </c>
      <c r="J611">
        <v>13.3999996185303</v>
      </c>
      <c r="K611">
        <v>54</v>
      </c>
      <c r="L611">
        <v>26.940000534057599</v>
      </c>
      <c r="M611">
        <v>32.200000762939503</v>
      </c>
      <c r="N611">
        <v>7.6999998092651403</v>
      </c>
      <c r="O611">
        <v>24.5</v>
      </c>
      <c r="P611">
        <v>22</v>
      </c>
      <c r="Q611">
        <v>16.899999618530298</v>
      </c>
      <c r="R611">
        <v>23.600000381469702</v>
      </c>
      <c r="S611">
        <v>16.799999237060501</v>
      </c>
      <c r="T611">
        <v>993</v>
      </c>
      <c r="U611">
        <v>247</v>
      </c>
      <c r="V611">
        <v>0</v>
      </c>
      <c r="W611">
        <v>115</v>
      </c>
      <c r="X611">
        <v>696</v>
      </c>
      <c r="Y611">
        <v>1</v>
      </c>
      <c r="Z611">
        <v>137</v>
      </c>
      <c r="AA611">
        <v>4</v>
      </c>
      <c r="AB611">
        <v>10.1695222031647</v>
      </c>
      <c r="AC611">
        <v>1.9326422844150998E-2</v>
      </c>
      <c r="AD611">
        <v>1.1750288842696599</v>
      </c>
      <c r="AE611">
        <v>0.27075716853141801</v>
      </c>
      <c r="AF611">
        <v>1140.44331641286</v>
      </c>
      <c r="AG611">
        <f>IFERROR(AH611*0.1, "N/A")</f>
        <v>5.8988155668358706</v>
      </c>
      <c r="AH611">
        <v>58.988155668358701</v>
      </c>
      <c r="AI611">
        <v>184.55200915651301</v>
      </c>
      <c r="AJ611">
        <v>27</v>
      </c>
      <c r="AK611">
        <v>54.191201353637901</v>
      </c>
    </row>
    <row r="612" spans="1:37" x14ac:dyDescent="0.3">
      <c r="A612">
        <v>611</v>
      </c>
      <c r="B612">
        <v>10.199999999999999</v>
      </c>
      <c r="C612">
        <v>30.111999999999998</v>
      </c>
      <c r="D612">
        <v>-14.102399999999999</v>
      </c>
      <c r="E612" t="s">
        <v>1016</v>
      </c>
      <c r="F612" t="s">
        <v>1017</v>
      </c>
      <c r="G612" t="s">
        <v>39</v>
      </c>
      <c r="H612">
        <v>1972</v>
      </c>
      <c r="I612">
        <v>23.700000762939499</v>
      </c>
      <c r="J612">
        <v>13.6000003814697</v>
      </c>
      <c r="K612">
        <v>52</v>
      </c>
      <c r="L612">
        <v>32.659999847412102</v>
      </c>
      <c r="M612">
        <v>35.799999237060497</v>
      </c>
      <c r="N612">
        <v>10.1000003814697</v>
      </c>
      <c r="O612">
        <v>25.700000762939499</v>
      </c>
      <c r="P612">
        <v>25.700000762939499</v>
      </c>
      <c r="Q612">
        <v>18.799999237060501</v>
      </c>
      <c r="R612">
        <v>27.200000762939499</v>
      </c>
      <c r="S612">
        <v>18.799999237060501</v>
      </c>
      <c r="T612">
        <v>892</v>
      </c>
      <c r="U612">
        <v>232</v>
      </c>
      <c r="V612">
        <v>0</v>
      </c>
      <c r="W612">
        <v>120</v>
      </c>
      <c r="X612">
        <v>654</v>
      </c>
      <c r="Y612">
        <v>1</v>
      </c>
      <c r="Z612">
        <v>306</v>
      </c>
      <c r="AA612">
        <v>1</v>
      </c>
      <c r="AB612">
        <v>6.0939405036695096</v>
      </c>
      <c r="AC612">
        <v>0.18290119444455999</v>
      </c>
      <c r="AD612">
        <v>1.86619258729697</v>
      </c>
      <c r="AE612">
        <v>9.6863374114037004E-2</v>
      </c>
      <c r="AF612">
        <v>551.61447811447795</v>
      </c>
      <c r="AG612">
        <f>IFERROR(AH612*0.1, "N/A")</f>
        <v>6.3346801346801405</v>
      </c>
      <c r="AH612">
        <v>63.346801346801399</v>
      </c>
      <c r="AI612">
        <v>175.84185880282101</v>
      </c>
      <c r="AJ612">
        <v>27.641414141414099</v>
      </c>
      <c r="AK612">
        <v>57.890572390572402</v>
      </c>
    </row>
    <row r="613" spans="1:37" x14ac:dyDescent="0.3">
      <c r="A613">
        <v>612</v>
      </c>
      <c r="B613">
        <v>0</v>
      </c>
      <c r="C613">
        <v>30.111999999999998</v>
      </c>
      <c r="D613">
        <v>-14.102399999999999</v>
      </c>
      <c r="E613" t="s">
        <v>1016</v>
      </c>
      <c r="F613" t="s">
        <v>1018</v>
      </c>
      <c r="G613" t="s">
        <v>37</v>
      </c>
      <c r="H613">
        <v>1972</v>
      </c>
      <c r="I613">
        <v>23.700000762939499</v>
      </c>
      <c r="J613">
        <v>13.6000003814697</v>
      </c>
      <c r="K613">
        <v>52</v>
      </c>
      <c r="L613">
        <v>32.659999847412102</v>
      </c>
      <c r="M613">
        <v>35.799999237060497</v>
      </c>
      <c r="N613">
        <v>10.1000003814697</v>
      </c>
      <c r="O613">
        <v>25.700000762939499</v>
      </c>
      <c r="P613">
        <v>25.700000762939499</v>
      </c>
      <c r="Q613">
        <v>18.799999237060501</v>
      </c>
      <c r="R613">
        <v>27.200000762939499</v>
      </c>
      <c r="S613">
        <v>18.799999237060501</v>
      </c>
      <c r="T613">
        <v>892</v>
      </c>
      <c r="U613">
        <v>232</v>
      </c>
      <c r="V613">
        <v>0</v>
      </c>
      <c r="W613">
        <v>120</v>
      </c>
      <c r="X613">
        <v>654</v>
      </c>
      <c r="Y613">
        <v>1</v>
      </c>
      <c r="Z613">
        <v>306</v>
      </c>
      <c r="AA613">
        <v>1</v>
      </c>
      <c r="AB613">
        <v>6.0939405036695096</v>
      </c>
      <c r="AC613">
        <v>0.18290119444455999</v>
      </c>
      <c r="AD613">
        <v>1.86619258729697</v>
      </c>
      <c r="AE613">
        <v>9.6863374114037004E-2</v>
      </c>
      <c r="AF613">
        <v>551.61447811447795</v>
      </c>
      <c r="AG613">
        <f>IFERROR(AH613*0.1, "N/A")</f>
        <v>6.3346801346801405</v>
      </c>
      <c r="AH613">
        <v>63.346801346801399</v>
      </c>
      <c r="AI613">
        <v>175.84185880282101</v>
      </c>
      <c r="AJ613">
        <v>27.641414141414099</v>
      </c>
      <c r="AK613">
        <v>57.890572390572402</v>
      </c>
    </row>
    <row r="614" spans="1:37" x14ac:dyDescent="0.3">
      <c r="A614">
        <v>613</v>
      </c>
      <c r="B614">
        <v>6.9</v>
      </c>
      <c r="C614">
        <v>33.110464</v>
      </c>
      <c r="D614">
        <v>-13.874632999999999</v>
      </c>
      <c r="E614" t="s">
        <v>1019</v>
      </c>
      <c r="F614" t="s">
        <v>1020</v>
      </c>
      <c r="G614" t="s">
        <v>39</v>
      </c>
      <c r="H614">
        <v>1977</v>
      </c>
      <c r="I614">
        <v>21.5</v>
      </c>
      <c r="J614">
        <v>13.3010102859651</v>
      </c>
      <c r="K614">
        <v>58</v>
      </c>
      <c r="L614">
        <v>24.4240404764811</v>
      </c>
      <c r="M614">
        <v>31.801009341923901</v>
      </c>
      <c r="N614">
        <v>9.1000003814697301</v>
      </c>
      <c r="O614">
        <v>22.701010848536601</v>
      </c>
      <c r="P614">
        <v>23.200000762939499</v>
      </c>
      <c r="Q614">
        <v>17.700000762939499</v>
      </c>
      <c r="R614">
        <v>24.001010104863301</v>
      </c>
      <c r="S614">
        <v>17.700000762939499</v>
      </c>
      <c r="T614">
        <v>959</v>
      </c>
      <c r="U614">
        <v>240</v>
      </c>
      <c r="V614">
        <v>1</v>
      </c>
      <c r="W614">
        <v>112</v>
      </c>
      <c r="X614">
        <v>654</v>
      </c>
      <c r="Y614">
        <v>4</v>
      </c>
      <c r="Z614">
        <v>298.98989898989902</v>
      </c>
      <c r="AA614">
        <v>4</v>
      </c>
      <c r="AB614">
        <v>7.4456887807107499</v>
      </c>
      <c r="AC614">
        <v>3.7183133977768998E-2</v>
      </c>
      <c r="AD614">
        <v>1.2948471374483601</v>
      </c>
      <c r="AE614">
        <v>0.61411774158477805</v>
      </c>
      <c r="AF614">
        <v>1098.2760942760899</v>
      </c>
      <c r="AG614">
        <f>IFERROR(AH614*0.1, "N/A")</f>
        <v>6.0803030303030301</v>
      </c>
      <c r="AH614">
        <v>60.803030303030297</v>
      </c>
      <c r="AI614">
        <v>184.073908102633</v>
      </c>
      <c r="AJ614">
        <v>16.010101010101</v>
      </c>
      <c r="AK614">
        <v>75.782828282828305</v>
      </c>
    </row>
    <row r="615" spans="1:37" x14ac:dyDescent="0.3">
      <c r="A615">
        <v>614</v>
      </c>
      <c r="B615">
        <v>13.7</v>
      </c>
      <c r="C615">
        <v>30.402172</v>
      </c>
      <c r="D615">
        <v>-13.874632999999999</v>
      </c>
      <c r="E615" t="s">
        <v>1021</v>
      </c>
      <c r="F615" t="s">
        <v>1022</v>
      </c>
      <c r="G615" t="s">
        <v>39</v>
      </c>
      <c r="H615">
        <v>1977</v>
      </c>
      <c r="I615">
        <v>23.600000381469702</v>
      </c>
      <c r="J615">
        <v>13.5</v>
      </c>
      <c r="K615">
        <v>53</v>
      </c>
      <c r="L615">
        <v>30.8789890751694</v>
      </c>
      <c r="M615">
        <v>35.599998474121101</v>
      </c>
      <c r="N615">
        <v>10.5</v>
      </c>
      <c r="O615">
        <v>25.100000381469702</v>
      </c>
      <c r="P615">
        <v>25.401009723393599</v>
      </c>
      <c r="Q615">
        <v>19.001010104863301</v>
      </c>
      <c r="R615">
        <v>26.901009723393599</v>
      </c>
      <c r="S615">
        <v>19.001010104863301</v>
      </c>
      <c r="T615">
        <v>890.98989898989896</v>
      </c>
      <c r="U615">
        <v>233</v>
      </c>
      <c r="V615">
        <v>0</v>
      </c>
      <c r="W615">
        <v>119</v>
      </c>
      <c r="X615">
        <v>647.98989898989896</v>
      </c>
      <c r="Y615">
        <v>0</v>
      </c>
      <c r="Z615">
        <v>298.98989898989902</v>
      </c>
      <c r="AA615">
        <v>0</v>
      </c>
      <c r="AB615">
        <v>13.784882516572001</v>
      </c>
      <c r="AC615">
        <v>8.3032487609399994E-3</v>
      </c>
      <c r="AD615">
        <v>1.7125257046937099</v>
      </c>
      <c r="AE615">
        <v>9.9441774189472004E-2</v>
      </c>
      <c r="AF615">
        <v>592.49326599326605</v>
      </c>
      <c r="AG615">
        <f>IFERROR(AH615*0.1, "N/A")</f>
        <v>6</v>
      </c>
      <c r="AH615">
        <v>60</v>
      </c>
      <c r="AI615">
        <v>169.601930992371</v>
      </c>
      <c r="AJ615">
        <v>26</v>
      </c>
      <c r="AK615">
        <v>63</v>
      </c>
    </row>
    <row r="616" spans="1:37" x14ac:dyDescent="0.3">
      <c r="A616">
        <v>615</v>
      </c>
      <c r="B616">
        <v>17.799999</v>
      </c>
      <c r="C616">
        <v>25.168861</v>
      </c>
      <c r="D616">
        <v>-13.874632999999999</v>
      </c>
      <c r="E616" t="s">
        <v>1023</v>
      </c>
      <c r="F616" t="s">
        <v>1024</v>
      </c>
      <c r="G616" t="s">
        <v>39</v>
      </c>
      <c r="H616">
        <v>1977</v>
      </c>
      <c r="I616">
        <v>20.700000762939499</v>
      </c>
      <c r="J616">
        <v>15.199999809265099</v>
      </c>
      <c r="K616">
        <v>57</v>
      </c>
      <c r="L616">
        <v>26.420000076293899</v>
      </c>
      <c r="M616">
        <v>32.799999237060497</v>
      </c>
      <c r="N616">
        <v>6.2989866733550999</v>
      </c>
      <c r="O616">
        <v>26.5010135173798</v>
      </c>
      <c r="P616">
        <v>22.299999237060501</v>
      </c>
      <c r="Q616">
        <v>16.799999237060501</v>
      </c>
      <c r="R616">
        <v>23.100000381469702</v>
      </c>
      <c r="S616">
        <v>16.799999237060501</v>
      </c>
      <c r="T616">
        <v>1044.01013513514</v>
      </c>
      <c r="U616">
        <v>238</v>
      </c>
      <c r="V616">
        <v>0</v>
      </c>
      <c r="W616">
        <v>106</v>
      </c>
      <c r="X616">
        <v>674.01013513513499</v>
      </c>
      <c r="Y616">
        <v>1</v>
      </c>
      <c r="Z616">
        <v>178</v>
      </c>
      <c r="AA616">
        <v>3</v>
      </c>
      <c r="AB616">
        <v>2.93140431996938</v>
      </c>
      <c r="AC616">
        <v>1.8233430093606999E-2</v>
      </c>
      <c r="AD616">
        <v>1.5967860443366499</v>
      </c>
      <c r="AE616">
        <v>0.114937111735344</v>
      </c>
      <c r="AF616">
        <v>1142.91216216216</v>
      </c>
      <c r="AG616">
        <f>IFERROR(AH616*0.1, "N/A")</f>
        <v>5.4175675675675699</v>
      </c>
      <c r="AH616">
        <v>54.175675675675699</v>
      </c>
      <c r="AI616">
        <v>115.407479775919</v>
      </c>
      <c r="AJ616">
        <v>19.402027027027</v>
      </c>
      <c r="AK616">
        <v>61.206081081081102</v>
      </c>
    </row>
    <row r="617" spans="1:37" x14ac:dyDescent="0.3">
      <c r="A617">
        <v>616</v>
      </c>
      <c r="B617">
        <v>31.1</v>
      </c>
      <c r="C617">
        <v>23.104652999999999</v>
      </c>
      <c r="D617">
        <v>-13.874632999999999</v>
      </c>
      <c r="E617" t="s">
        <v>1025</v>
      </c>
      <c r="F617" t="s">
        <v>1026</v>
      </c>
      <c r="G617" t="s">
        <v>39</v>
      </c>
      <c r="H617">
        <v>1977</v>
      </c>
      <c r="I617">
        <v>22.5</v>
      </c>
      <c r="J617">
        <v>18.299999237060501</v>
      </c>
      <c r="K617">
        <v>62</v>
      </c>
      <c r="L617">
        <v>24.870000839233398</v>
      </c>
      <c r="M617">
        <v>36.099998474121101</v>
      </c>
      <c r="N617">
        <v>6.5999999046325701</v>
      </c>
      <c r="O617">
        <v>29.5</v>
      </c>
      <c r="P617">
        <v>23.600000381469702</v>
      </c>
      <c r="Q617">
        <v>18.899999618530298</v>
      </c>
      <c r="R617">
        <v>25.100000381469702</v>
      </c>
      <c r="S617">
        <v>18.799999237060501</v>
      </c>
      <c r="T617">
        <v>1035</v>
      </c>
      <c r="U617">
        <v>231</v>
      </c>
      <c r="V617">
        <v>0</v>
      </c>
      <c r="W617">
        <v>104</v>
      </c>
      <c r="X617">
        <v>652</v>
      </c>
      <c r="Y617">
        <v>0</v>
      </c>
      <c r="Z617">
        <v>183</v>
      </c>
      <c r="AA617">
        <v>4</v>
      </c>
      <c r="AB617">
        <v>0.93939599444970501</v>
      </c>
      <c r="AC617">
        <v>2.3400105962448001E-2</v>
      </c>
      <c r="AD617">
        <v>0.96312426437031096</v>
      </c>
      <c r="AE617">
        <v>0.14562320709228499</v>
      </c>
      <c r="AF617">
        <v>1061.3569023569</v>
      </c>
      <c r="AG617">
        <f>IFERROR(AH617*0.1, "N/A")</f>
        <v>5.9989898989899002</v>
      </c>
      <c r="AH617">
        <v>59.989898989898997</v>
      </c>
      <c r="AI617">
        <v>158.72372716524799</v>
      </c>
      <c r="AJ617">
        <v>19.979797979798001</v>
      </c>
      <c r="AK617">
        <v>69.010101010100996</v>
      </c>
    </row>
    <row r="618" spans="1:37" x14ac:dyDescent="0.3">
      <c r="A618">
        <v>617</v>
      </c>
      <c r="B618">
        <v>68.400002000000001</v>
      </c>
      <c r="C618">
        <v>29.066400999999999</v>
      </c>
      <c r="D618">
        <v>-13.728199999999999</v>
      </c>
      <c r="E618" t="s">
        <v>1027</v>
      </c>
      <c r="F618" t="s">
        <v>1028</v>
      </c>
      <c r="G618" t="s">
        <v>39</v>
      </c>
      <c r="H618">
        <v>1981</v>
      </c>
      <c r="I618">
        <v>20.019898895469499</v>
      </c>
      <c r="J618">
        <v>13.419898513999801</v>
      </c>
      <c r="K618">
        <v>53.198988195615499</v>
      </c>
      <c r="L618">
        <v>30.065969248445199</v>
      </c>
      <c r="M618">
        <v>31.519898895469499</v>
      </c>
      <c r="N618">
        <v>6.6198987052171301</v>
      </c>
      <c r="O618">
        <v>24.899999618530298</v>
      </c>
      <c r="P618">
        <v>22.019898895469499</v>
      </c>
      <c r="Q618">
        <v>15.6198990871693</v>
      </c>
      <c r="R618">
        <v>23.1198992769393</v>
      </c>
      <c r="S618">
        <v>15.6198990871693</v>
      </c>
      <c r="T618">
        <v>1023.2040472175401</v>
      </c>
      <c r="U618">
        <v>252.80101180438399</v>
      </c>
      <c r="V618">
        <v>0</v>
      </c>
      <c r="W618">
        <v>119</v>
      </c>
      <c r="X618">
        <v>742.40303541315302</v>
      </c>
      <c r="Y618">
        <v>1</v>
      </c>
      <c r="Z618">
        <v>380.80101180438402</v>
      </c>
      <c r="AA618">
        <v>1</v>
      </c>
      <c r="AB618">
        <v>14.8787314815425</v>
      </c>
      <c r="AC618">
        <v>3.9481965020852001E-2</v>
      </c>
      <c r="AD618">
        <v>2.00430624842845</v>
      </c>
      <c r="AE618">
        <v>0.31139230728149397</v>
      </c>
      <c r="AF618">
        <v>1174.6205733558199</v>
      </c>
      <c r="AG618">
        <f>IFERROR(AH618*0.1, "N/A")</f>
        <v>5.4829679595278202</v>
      </c>
      <c r="AH618">
        <v>54.829679595278201</v>
      </c>
      <c r="AI618">
        <v>98.049323630373195</v>
      </c>
      <c r="AJ618">
        <v>23.298482293423302</v>
      </c>
      <c r="AK618">
        <v>55.445193929173698</v>
      </c>
    </row>
    <row r="619" spans="1:37" x14ac:dyDescent="0.3">
      <c r="A619">
        <v>618</v>
      </c>
      <c r="B619">
        <v>62</v>
      </c>
      <c r="C619">
        <v>23.182099999999998</v>
      </c>
      <c r="D619">
        <v>-13.6846</v>
      </c>
      <c r="E619" t="s">
        <v>1029</v>
      </c>
      <c r="F619" t="s">
        <v>1030</v>
      </c>
      <c r="G619" t="s">
        <v>39</v>
      </c>
      <c r="H619">
        <v>2007</v>
      </c>
      <c r="I619">
        <v>22.899999618530298</v>
      </c>
      <c r="J619">
        <v>18.700000762939499</v>
      </c>
      <c r="K619">
        <v>62</v>
      </c>
      <c r="L619">
        <v>24.540000915527301</v>
      </c>
      <c r="M619">
        <v>36.599998474121101</v>
      </c>
      <c r="N619">
        <v>6.9000000953674299</v>
      </c>
      <c r="O619">
        <v>29.700000762939499</v>
      </c>
      <c r="P619">
        <v>24.100000381469702</v>
      </c>
      <c r="Q619">
        <v>19.399999618530298</v>
      </c>
      <c r="R619">
        <v>25.5</v>
      </c>
      <c r="S619">
        <v>19.299999237060501</v>
      </c>
      <c r="T619">
        <v>1036</v>
      </c>
      <c r="U619">
        <v>231</v>
      </c>
      <c r="V619">
        <v>0</v>
      </c>
      <c r="W619">
        <v>105</v>
      </c>
      <c r="X619">
        <v>655</v>
      </c>
      <c r="Y619">
        <v>0</v>
      </c>
      <c r="Z619">
        <v>189</v>
      </c>
      <c r="AA619">
        <v>3</v>
      </c>
      <c r="AB619">
        <v>15.0460629759716</v>
      </c>
      <c r="AC619">
        <v>4.8085765191550001E-2</v>
      </c>
      <c r="AD619">
        <v>1.1446250150183701</v>
      </c>
      <c r="AE619">
        <v>0.25798561332606501</v>
      </c>
      <c r="AF619">
        <v>1044.66386554622</v>
      </c>
      <c r="AG619">
        <f>IFERROR(AH619*0.1, "N/A")</f>
        <v>6.3672268907563003</v>
      </c>
      <c r="AH619">
        <v>63.672268907563002</v>
      </c>
      <c r="AI619">
        <v>243.28474359592499</v>
      </c>
      <c r="AJ619">
        <v>20.890756302521002</v>
      </c>
      <c r="AK619">
        <v>59.218487394957997</v>
      </c>
    </row>
    <row r="620" spans="1:37" x14ac:dyDescent="0.3">
      <c r="A620">
        <v>619</v>
      </c>
      <c r="B620">
        <v>10</v>
      </c>
      <c r="C620">
        <v>23.182099999999998</v>
      </c>
      <c r="D620">
        <v>-13.6846</v>
      </c>
      <c r="E620" t="s">
        <v>1029</v>
      </c>
      <c r="F620" t="s">
        <v>1031</v>
      </c>
      <c r="G620" t="s">
        <v>37</v>
      </c>
      <c r="H620">
        <v>2007</v>
      </c>
      <c r="I620">
        <v>22.899999618530298</v>
      </c>
      <c r="J620">
        <v>18.700000762939499</v>
      </c>
      <c r="K620">
        <v>62</v>
      </c>
      <c r="L620">
        <v>24.540000915527301</v>
      </c>
      <c r="M620">
        <v>36.599998474121101</v>
      </c>
      <c r="N620">
        <v>6.9000000953674299</v>
      </c>
      <c r="O620">
        <v>29.700000762939499</v>
      </c>
      <c r="P620">
        <v>24.100000381469702</v>
      </c>
      <c r="Q620">
        <v>19.399999618530298</v>
      </c>
      <c r="R620">
        <v>25.5</v>
      </c>
      <c r="S620">
        <v>19.299999237060501</v>
      </c>
      <c r="T620">
        <v>1036</v>
      </c>
      <c r="U620">
        <v>231</v>
      </c>
      <c r="V620">
        <v>0</v>
      </c>
      <c r="W620">
        <v>105</v>
      </c>
      <c r="X620">
        <v>655</v>
      </c>
      <c r="Y620">
        <v>0</v>
      </c>
      <c r="Z620">
        <v>189</v>
      </c>
      <c r="AA620">
        <v>3</v>
      </c>
      <c r="AB620">
        <v>15.0460629759716</v>
      </c>
      <c r="AC620">
        <v>4.8085765191550001E-2</v>
      </c>
      <c r="AD620">
        <v>1.1446250150183701</v>
      </c>
      <c r="AE620">
        <v>0.25798561332606501</v>
      </c>
      <c r="AF620">
        <v>1044.66386554622</v>
      </c>
      <c r="AG620">
        <f>IFERROR(AH620*0.1, "N/A")</f>
        <v>6.3672268907563003</v>
      </c>
      <c r="AH620">
        <v>63.672268907563002</v>
      </c>
      <c r="AI620">
        <v>243.28474359592499</v>
      </c>
      <c r="AJ620">
        <v>20.890756302521002</v>
      </c>
      <c r="AK620">
        <v>59.218487394957997</v>
      </c>
    </row>
    <row r="621" spans="1:37" x14ac:dyDescent="0.3">
      <c r="A621">
        <v>620</v>
      </c>
      <c r="B621">
        <v>15</v>
      </c>
      <c r="C621">
        <v>29.114799000000001</v>
      </c>
      <c r="D621">
        <v>-13.6562</v>
      </c>
      <c r="E621" t="s">
        <v>1032</v>
      </c>
      <c r="F621" t="s">
        <v>1033</v>
      </c>
      <c r="G621" t="s">
        <v>37</v>
      </c>
      <c r="H621">
        <v>1981</v>
      </c>
      <c r="I621">
        <v>19.899999618530298</v>
      </c>
      <c r="J621">
        <v>13.3999996185303</v>
      </c>
      <c r="K621">
        <v>53</v>
      </c>
      <c r="L621">
        <v>30.180000305175799</v>
      </c>
      <c r="M621">
        <v>31.399999618530298</v>
      </c>
      <c r="N621">
        <v>6.5</v>
      </c>
      <c r="O621">
        <v>24.899999618530298</v>
      </c>
      <c r="P621">
        <v>21.799999237060501</v>
      </c>
      <c r="Q621">
        <v>15.3999996185303</v>
      </c>
      <c r="R621">
        <v>22.899999618530298</v>
      </c>
      <c r="S621">
        <v>15.3999996185303</v>
      </c>
      <c r="T621">
        <v>1033</v>
      </c>
      <c r="U621">
        <v>254</v>
      </c>
      <c r="V621">
        <v>0</v>
      </c>
      <c r="W621">
        <v>119</v>
      </c>
      <c r="X621">
        <v>749</v>
      </c>
      <c r="Y621">
        <v>1</v>
      </c>
      <c r="Z621">
        <v>384</v>
      </c>
      <c r="AA621">
        <v>1</v>
      </c>
      <c r="AB621">
        <v>14.3971455209207</v>
      </c>
      <c r="AC621">
        <v>1.3316868851274E-2</v>
      </c>
      <c r="AD621">
        <v>2.98727270020734</v>
      </c>
      <c r="AE621">
        <v>0.23061291873455</v>
      </c>
      <c r="AF621">
        <v>1196.3557046979899</v>
      </c>
      <c r="AG621">
        <f>IFERROR(AH621*0.1, "N/A")</f>
        <v>5.6166107382550301</v>
      </c>
      <c r="AH621">
        <v>56.166107382550301</v>
      </c>
      <c r="AI621">
        <v>55.862448263488403</v>
      </c>
      <c r="AJ621">
        <v>28.501677852349001</v>
      </c>
      <c r="AK621">
        <v>47.166107382550301</v>
      </c>
    </row>
    <row r="622" spans="1:37" x14ac:dyDescent="0.3">
      <c r="A622">
        <v>621</v>
      </c>
      <c r="B622">
        <v>52</v>
      </c>
      <c r="C622">
        <v>29.114799000000001</v>
      </c>
      <c r="D622">
        <v>-13.6562</v>
      </c>
      <c r="E622" t="s">
        <v>1032</v>
      </c>
      <c r="F622" t="s">
        <v>1034</v>
      </c>
      <c r="G622" t="s">
        <v>39</v>
      </c>
      <c r="H622">
        <v>1981</v>
      </c>
      <c r="I622">
        <v>19.899999618530298</v>
      </c>
      <c r="J622">
        <v>13.3999996185303</v>
      </c>
      <c r="K622">
        <v>53</v>
      </c>
      <c r="L622">
        <v>30.180000305175799</v>
      </c>
      <c r="M622">
        <v>31.399999618530298</v>
      </c>
      <c r="N622">
        <v>6.5</v>
      </c>
      <c r="O622">
        <v>24.899999618530298</v>
      </c>
      <c r="P622">
        <v>21.799999237060501</v>
      </c>
      <c r="Q622">
        <v>15.3999996185303</v>
      </c>
      <c r="R622">
        <v>22.899999618530298</v>
      </c>
      <c r="S622">
        <v>15.3999996185303</v>
      </c>
      <c r="T622">
        <v>1033</v>
      </c>
      <c r="U622">
        <v>254</v>
      </c>
      <c r="V622">
        <v>0</v>
      </c>
      <c r="W622">
        <v>119</v>
      </c>
      <c r="X622">
        <v>749</v>
      </c>
      <c r="Y622">
        <v>1</v>
      </c>
      <c r="Z622">
        <v>384</v>
      </c>
      <c r="AA622">
        <v>1</v>
      </c>
      <c r="AB622">
        <v>14.3971455209207</v>
      </c>
      <c r="AC622">
        <v>1.3316868851274E-2</v>
      </c>
      <c r="AD622">
        <v>2.98727270020734</v>
      </c>
      <c r="AE622">
        <v>0.23061291873455</v>
      </c>
      <c r="AF622">
        <v>1196.3557046979899</v>
      </c>
      <c r="AG622">
        <f>IFERROR(AH622*0.1, "N/A")</f>
        <v>5.6166107382550301</v>
      </c>
      <c r="AH622">
        <v>56.166107382550301</v>
      </c>
      <c r="AI622">
        <v>55.862448263488403</v>
      </c>
      <c r="AJ622">
        <v>28.501677852349001</v>
      </c>
      <c r="AK622">
        <v>47.166107382550301</v>
      </c>
    </row>
    <row r="623" spans="1:37" x14ac:dyDescent="0.3">
      <c r="A623">
        <v>622</v>
      </c>
      <c r="B623">
        <v>34</v>
      </c>
      <c r="C623">
        <v>32.645401</v>
      </c>
      <c r="D623">
        <v>-13.634399999999999</v>
      </c>
      <c r="E623" t="s">
        <v>1035</v>
      </c>
      <c r="F623" t="s">
        <v>1036</v>
      </c>
      <c r="G623" t="s">
        <v>39</v>
      </c>
      <c r="H623">
        <v>0</v>
      </c>
      <c r="I623">
        <v>21.799999237060501</v>
      </c>
      <c r="J623">
        <v>11.800000190734901</v>
      </c>
      <c r="K623">
        <v>57</v>
      </c>
      <c r="L623">
        <v>22.4905405495618</v>
      </c>
      <c r="M623">
        <v>31.899999618530298</v>
      </c>
      <c r="N623">
        <v>11.300000190734901</v>
      </c>
      <c r="O623">
        <v>20.600000381469702</v>
      </c>
      <c r="P623">
        <v>22.799999237060501</v>
      </c>
      <c r="Q623">
        <v>18.605912566185001</v>
      </c>
      <c r="R623">
        <v>24.399999618530298</v>
      </c>
      <c r="S623">
        <v>18.605912566185001</v>
      </c>
      <c r="T623">
        <v>1022.82263513513</v>
      </c>
      <c r="U623">
        <v>257.94087837837799</v>
      </c>
      <c r="V623">
        <v>0</v>
      </c>
      <c r="W623">
        <v>114</v>
      </c>
      <c r="X623">
        <v>709.881756756757</v>
      </c>
      <c r="Y623">
        <v>1</v>
      </c>
      <c r="Z623">
        <v>307.875</v>
      </c>
      <c r="AA623">
        <v>1</v>
      </c>
      <c r="AB623">
        <v>1.0412214124524899</v>
      </c>
      <c r="AC623">
        <v>8.3768935377860601</v>
      </c>
      <c r="AD623">
        <v>3.6186047985747001</v>
      </c>
      <c r="AE623">
        <v>0.628154277801514</v>
      </c>
      <c r="AF623">
        <v>1130.9510135135099</v>
      </c>
      <c r="AG623">
        <f>IFERROR(AH623*0.1, "N/A")</f>
        <v>6.2785472972973002</v>
      </c>
      <c r="AH623">
        <v>62.785472972972997</v>
      </c>
      <c r="AI623">
        <v>193.997581430384</v>
      </c>
      <c r="AJ623">
        <v>27.670608108108102</v>
      </c>
      <c r="AK623">
        <v>56.167229729729698</v>
      </c>
    </row>
    <row r="624" spans="1:37" x14ac:dyDescent="0.3">
      <c r="A624">
        <v>623</v>
      </c>
      <c r="B624">
        <v>17.5</v>
      </c>
      <c r="C624">
        <v>29.393000000000001</v>
      </c>
      <c r="D624">
        <v>-13.6195</v>
      </c>
      <c r="E624" t="s">
        <v>1037</v>
      </c>
      <c r="F624" t="s">
        <v>1038</v>
      </c>
      <c r="G624" t="s">
        <v>39</v>
      </c>
      <c r="H624">
        <v>1981</v>
      </c>
      <c r="I624">
        <v>19.5</v>
      </c>
      <c r="J624">
        <v>13.199999809265099</v>
      </c>
      <c r="K624">
        <v>53</v>
      </c>
      <c r="L624">
        <v>30.860000610351602</v>
      </c>
      <c r="M624">
        <v>31</v>
      </c>
      <c r="N624">
        <v>6.3000001907348597</v>
      </c>
      <c r="O624">
        <v>24.700000762939499</v>
      </c>
      <c r="P624">
        <v>21.700000762939499</v>
      </c>
      <c r="Q624">
        <v>14.8999996185303</v>
      </c>
      <c r="R624">
        <v>22.600000381469702</v>
      </c>
      <c r="S624">
        <v>14.8999996185303</v>
      </c>
      <c r="T624">
        <v>998</v>
      </c>
      <c r="U624">
        <v>248</v>
      </c>
      <c r="V624">
        <v>0</v>
      </c>
      <c r="W624">
        <v>120</v>
      </c>
      <c r="X624">
        <v>733</v>
      </c>
      <c r="Y624">
        <v>1</v>
      </c>
      <c r="Z624">
        <v>363</v>
      </c>
      <c r="AA624">
        <v>1</v>
      </c>
      <c r="AB624">
        <v>11.4497638464376</v>
      </c>
      <c r="AC624">
        <v>4.9942286565748999E-2</v>
      </c>
      <c r="AD624">
        <v>1.9608418097182401</v>
      </c>
      <c r="AE624">
        <v>0.44195336103439298</v>
      </c>
      <c r="AF624">
        <v>1254.5092748735201</v>
      </c>
      <c r="AG624">
        <f>IFERROR(AH624*0.1, "N/A")</f>
        <v>5.6605396290050605</v>
      </c>
      <c r="AH624">
        <v>56.605396290050599</v>
      </c>
      <c r="AI624">
        <v>47.209830732812001</v>
      </c>
      <c r="AJ624">
        <v>20.1939291736931</v>
      </c>
      <c r="AK624">
        <v>65.799325463743699</v>
      </c>
    </row>
    <row r="625" spans="1:37" x14ac:dyDescent="0.3">
      <c r="A625">
        <v>624</v>
      </c>
      <c r="B625">
        <v>43</v>
      </c>
      <c r="C625">
        <v>24.200800000000001</v>
      </c>
      <c r="D625">
        <v>-13.592700000000001</v>
      </c>
      <c r="E625" t="s">
        <v>1039</v>
      </c>
      <c r="F625" t="s">
        <v>1040</v>
      </c>
      <c r="G625" t="s">
        <v>39</v>
      </c>
      <c r="H625">
        <v>1977</v>
      </c>
      <c r="I625">
        <v>21.399999618530298</v>
      </c>
      <c r="J625">
        <v>15.699999809265099</v>
      </c>
      <c r="K625">
        <v>59</v>
      </c>
      <c r="L625">
        <v>24.25</v>
      </c>
      <c r="M625">
        <v>33.599998474121101</v>
      </c>
      <c r="N625">
        <v>7</v>
      </c>
      <c r="O625">
        <v>26.600000381469702</v>
      </c>
      <c r="P625">
        <v>22.600000381469702</v>
      </c>
      <c r="Q625">
        <v>17.899999618530298</v>
      </c>
      <c r="R625">
        <v>23.700000762939499</v>
      </c>
      <c r="S625">
        <v>17.700000762939499</v>
      </c>
      <c r="T625">
        <v>1045</v>
      </c>
      <c r="U625">
        <v>231</v>
      </c>
      <c r="V625">
        <v>0</v>
      </c>
      <c r="W625">
        <v>103</v>
      </c>
      <c r="X625">
        <v>645</v>
      </c>
      <c r="Y625">
        <v>1</v>
      </c>
      <c r="Z625">
        <v>196</v>
      </c>
      <c r="AA625">
        <v>4</v>
      </c>
      <c r="AB625">
        <v>7.2378485303643201</v>
      </c>
      <c r="AC625">
        <v>2.1746109231877999E-2</v>
      </c>
      <c r="AD625">
        <v>1.5376674979673</v>
      </c>
      <c r="AE625">
        <v>0.90500354766845703</v>
      </c>
      <c r="AF625">
        <v>1110.2335025380701</v>
      </c>
      <c r="AG625">
        <f>IFERROR(AH625*0.1, "N/A")</f>
        <v>5.7445008460236906</v>
      </c>
      <c r="AH625">
        <v>57.445008460236899</v>
      </c>
      <c r="AI625">
        <v>56.129338182168603</v>
      </c>
      <c r="AJ625">
        <v>17.7225042301184</v>
      </c>
      <c r="AK625">
        <v>73.277495769881597</v>
      </c>
    </row>
    <row r="626" spans="1:37" x14ac:dyDescent="0.3">
      <c r="A626">
        <v>625</v>
      </c>
      <c r="B626">
        <v>80</v>
      </c>
      <c r="C626">
        <v>23.263598999999999</v>
      </c>
      <c r="D626">
        <v>-13.5778</v>
      </c>
      <c r="E626" t="s">
        <v>1041</v>
      </c>
      <c r="F626" t="s">
        <v>1042</v>
      </c>
      <c r="G626" t="s">
        <v>39</v>
      </c>
      <c r="H626">
        <v>2007</v>
      </c>
      <c r="I626">
        <v>23.100000381469702</v>
      </c>
      <c r="J626">
        <v>18.600000381469702</v>
      </c>
      <c r="K626">
        <v>63</v>
      </c>
      <c r="L626">
        <v>24.559999465942401</v>
      </c>
      <c r="M626">
        <v>36.799999237060497</v>
      </c>
      <c r="N626">
        <v>7.3000001907348597</v>
      </c>
      <c r="O626">
        <v>29.5</v>
      </c>
      <c r="P626">
        <v>24.200000762939499</v>
      </c>
      <c r="Q626">
        <v>19.600000381469702</v>
      </c>
      <c r="R626">
        <v>25.700000762939499</v>
      </c>
      <c r="S626">
        <v>19.5</v>
      </c>
      <c r="T626">
        <v>1047</v>
      </c>
      <c r="U626">
        <v>231</v>
      </c>
      <c r="V626">
        <v>0</v>
      </c>
      <c r="W626">
        <v>104</v>
      </c>
      <c r="X626">
        <v>658</v>
      </c>
      <c r="Y626">
        <v>0</v>
      </c>
      <c r="Z626">
        <v>195</v>
      </c>
      <c r="AA626">
        <v>3</v>
      </c>
      <c r="AB626">
        <v>14.361448545713699</v>
      </c>
      <c r="AC626">
        <v>1.6374339591838E-2</v>
      </c>
      <c r="AD626">
        <v>4.0579468849543003</v>
      </c>
      <c r="AE626">
        <v>0.23514030873775499</v>
      </c>
      <c r="AF626">
        <v>1077.7060810810799</v>
      </c>
      <c r="AG626">
        <f>IFERROR(AH626*0.1, "N/A")</f>
        <v>5.5866554054054101</v>
      </c>
      <c r="AH626">
        <v>55.866554054054099</v>
      </c>
      <c r="AI626">
        <v>68.705295292106896</v>
      </c>
      <c r="AJ626">
        <v>16.298986486486498</v>
      </c>
      <c r="AK626">
        <v>73.994932432432407</v>
      </c>
    </row>
    <row r="627" spans="1:37" x14ac:dyDescent="0.3">
      <c r="A627">
        <v>626</v>
      </c>
      <c r="B627">
        <v>24</v>
      </c>
      <c r="C627">
        <v>23.263598999999999</v>
      </c>
      <c r="D627">
        <v>-13.5778</v>
      </c>
      <c r="E627" t="s">
        <v>1041</v>
      </c>
      <c r="F627" t="s">
        <v>1043</v>
      </c>
      <c r="G627" t="s">
        <v>37</v>
      </c>
      <c r="H627">
        <v>2007</v>
      </c>
      <c r="I627">
        <v>23.100000381469702</v>
      </c>
      <c r="J627">
        <v>18.600000381469702</v>
      </c>
      <c r="K627">
        <v>63</v>
      </c>
      <c r="L627">
        <v>24.559999465942401</v>
      </c>
      <c r="M627">
        <v>36.799999237060497</v>
      </c>
      <c r="N627">
        <v>7.3000001907348597</v>
      </c>
      <c r="O627">
        <v>29.5</v>
      </c>
      <c r="P627">
        <v>24.200000762939499</v>
      </c>
      <c r="Q627">
        <v>19.600000381469702</v>
      </c>
      <c r="R627">
        <v>25.700000762939499</v>
      </c>
      <c r="S627">
        <v>19.5</v>
      </c>
      <c r="T627">
        <v>1047</v>
      </c>
      <c r="U627">
        <v>231</v>
      </c>
      <c r="V627">
        <v>0</v>
      </c>
      <c r="W627">
        <v>104</v>
      </c>
      <c r="X627">
        <v>658</v>
      </c>
      <c r="Y627">
        <v>0</v>
      </c>
      <c r="Z627">
        <v>195</v>
      </c>
      <c r="AA627">
        <v>3</v>
      </c>
      <c r="AB627">
        <v>14.361448545713699</v>
      </c>
      <c r="AC627">
        <v>1.6374339591838E-2</v>
      </c>
      <c r="AD627">
        <v>4.0579468849543003</v>
      </c>
      <c r="AE627">
        <v>0.23514030873775499</v>
      </c>
      <c r="AF627">
        <v>1077.7060810810799</v>
      </c>
      <c r="AG627">
        <f>IFERROR(AH627*0.1, "N/A")</f>
        <v>5.5866554054054101</v>
      </c>
      <c r="AH627">
        <v>55.866554054054099</v>
      </c>
      <c r="AI627">
        <v>68.705295292106896</v>
      </c>
      <c r="AJ627">
        <v>16.298986486486498</v>
      </c>
      <c r="AK627">
        <v>73.994932432432407</v>
      </c>
    </row>
    <row r="628" spans="1:37" x14ac:dyDescent="0.3">
      <c r="A628">
        <v>627</v>
      </c>
      <c r="B628">
        <v>31.1</v>
      </c>
      <c r="C628">
        <v>23.105</v>
      </c>
      <c r="D628">
        <v>-13.5465</v>
      </c>
      <c r="E628" t="s">
        <v>1044</v>
      </c>
      <c r="F628" t="s">
        <v>1045</v>
      </c>
      <c r="G628" t="s">
        <v>39</v>
      </c>
      <c r="H628">
        <v>0</v>
      </c>
      <c r="I628">
        <v>23.100000381469702</v>
      </c>
      <c r="J628">
        <v>19.200000762939499</v>
      </c>
      <c r="K628">
        <v>63</v>
      </c>
      <c r="L628">
        <v>24.559999465942401</v>
      </c>
      <c r="M628">
        <v>37</v>
      </c>
      <c r="N628">
        <v>6.6999998092651403</v>
      </c>
      <c r="O628">
        <v>30.299999237060501</v>
      </c>
      <c r="P628">
        <v>24.100000381469702</v>
      </c>
      <c r="Q628">
        <v>19.5</v>
      </c>
      <c r="R628">
        <v>25.700000762939499</v>
      </c>
      <c r="S628">
        <v>19.5</v>
      </c>
      <c r="T628">
        <v>1049</v>
      </c>
      <c r="U628">
        <v>232</v>
      </c>
      <c r="V628">
        <v>0</v>
      </c>
      <c r="W628">
        <v>104</v>
      </c>
      <c r="X628">
        <v>661</v>
      </c>
      <c r="Y628">
        <v>0</v>
      </c>
      <c r="Z628">
        <v>195</v>
      </c>
      <c r="AA628">
        <v>3</v>
      </c>
      <c r="AB628">
        <v>27.958785651107402</v>
      </c>
      <c r="AC628">
        <v>2.0730688763462998E-2</v>
      </c>
      <c r="AD628">
        <v>3.16073622607222</v>
      </c>
      <c r="AE628">
        <v>0.53343850374221802</v>
      </c>
      <c r="AF628">
        <v>1066.5033670033699</v>
      </c>
      <c r="AG628">
        <f>IFERROR(AH628*0.1, "N/A")</f>
        <v>6.0594276094276101</v>
      </c>
      <c r="AH628">
        <v>60.594276094276097</v>
      </c>
      <c r="AI628">
        <v>162.46553645792201</v>
      </c>
      <c r="AJ628">
        <v>21.217171717171698</v>
      </c>
      <c r="AK628">
        <v>67.782828282828305</v>
      </c>
    </row>
    <row r="629" spans="1:37" x14ac:dyDescent="0.3">
      <c r="A629">
        <v>628</v>
      </c>
      <c r="B629">
        <v>3.2</v>
      </c>
      <c r="C629">
        <v>23.105</v>
      </c>
      <c r="D629">
        <v>-13.5465</v>
      </c>
      <c r="E629" t="s">
        <v>1044</v>
      </c>
      <c r="F629" t="s">
        <v>1046</v>
      </c>
      <c r="G629" t="s">
        <v>37</v>
      </c>
      <c r="H629">
        <v>0</v>
      </c>
      <c r="I629">
        <v>23.100000381469702</v>
      </c>
      <c r="J629">
        <v>19.200000762939499</v>
      </c>
      <c r="K629">
        <v>63</v>
      </c>
      <c r="L629">
        <v>24.559999465942401</v>
      </c>
      <c r="M629">
        <v>37</v>
      </c>
      <c r="N629">
        <v>6.6999998092651403</v>
      </c>
      <c r="O629">
        <v>30.299999237060501</v>
      </c>
      <c r="P629">
        <v>24.100000381469702</v>
      </c>
      <c r="Q629">
        <v>19.5</v>
      </c>
      <c r="R629">
        <v>25.700000762939499</v>
      </c>
      <c r="S629">
        <v>19.5</v>
      </c>
      <c r="T629">
        <v>1049</v>
      </c>
      <c r="U629">
        <v>232</v>
      </c>
      <c r="V629">
        <v>0</v>
      </c>
      <c r="W629">
        <v>104</v>
      </c>
      <c r="X629">
        <v>661</v>
      </c>
      <c r="Y629">
        <v>0</v>
      </c>
      <c r="Z629">
        <v>195</v>
      </c>
      <c r="AA629">
        <v>3</v>
      </c>
      <c r="AB629">
        <v>27.958785651107402</v>
      </c>
      <c r="AC629">
        <v>2.0730688763462998E-2</v>
      </c>
      <c r="AD629">
        <v>3.16073622607222</v>
      </c>
      <c r="AE629">
        <v>0.53343850374221802</v>
      </c>
      <c r="AF629">
        <v>1066.5033670033699</v>
      </c>
      <c r="AG629">
        <f>IFERROR(AH629*0.1, "N/A")</f>
        <v>6.0594276094276101</v>
      </c>
      <c r="AH629">
        <v>60.594276094276097</v>
      </c>
      <c r="AI629">
        <v>162.46553645792201</v>
      </c>
      <c r="AJ629">
        <v>21.217171717171698</v>
      </c>
      <c r="AK629">
        <v>67.782828282828305</v>
      </c>
    </row>
    <row r="630" spans="1:37" x14ac:dyDescent="0.3">
      <c r="A630">
        <v>629</v>
      </c>
      <c r="B630">
        <v>34</v>
      </c>
      <c r="C630">
        <v>23.106999999999999</v>
      </c>
      <c r="D630">
        <v>-13.529400000000001</v>
      </c>
      <c r="E630" t="s">
        <v>1047</v>
      </c>
      <c r="F630" t="s">
        <v>1048</v>
      </c>
      <c r="G630" t="s">
        <v>39</v>
      </c>
      <c r="H630">
        <v>2007</v>
      </c>
      <c r="I630">
        <v>23.299999237060501</v>
      </c>
      <c r="J630">
        <v>19.200000762939499</v>
      </c>
      <c r="K630">
        <v>64</v>
      </c>
      <c r="L630">
        <v>24.129999160766602</v>
      </c>
      <c r="M630">
        <v>37.099998474121101</v>
      </c>
      <c r="N630">
        <v>7.0999999046325701</v>
      </c>
      <c r="O630">
        <v>30</v>
      </c>
      <c r="P630">
        <v>24.399999618530298</v>
      </c>
      <c r="Q630">
        <v>19.799999237060501</v>
      </c>
      <c r="R630">
        <v>25.799999237060501</v>
      </c>
      <c r="S630">
        <v>19.700000762939499</v>
      </c>
      <c r="T630">
        <v>1049</v>
      </c>
      <c r="U630">
        <v>231</v>
      </c>
      <c r="V630">
        <v>0</v>
      </c>
      <c r="W630">
        <v>104</v>
      </c>
      <c r="X630">
        <v>660</v>
      </c>
      <c r="Y630">
        <v>0</v>
      </c>
      <c r="Z630">
        <v>196</v>
      </c>
      <c r="AA630">
        <v>3</v>
      </c>
      <c r="AB630">
        <v>34.6964580670979</v>
      </c>
      <c r="AC630">
        <v>1.3475413745172001E-2</v>
      </c>
      <c r="AD630">
        <v>0.79359254246015398</v>
      </c>
      <c r="AE630">
        <v>0.61924153566360496</v>
      </c>
      <c r="AF630">
        <v>1075.7774030354101</v>
      </c>
      <c r="AG630">
        <f>IFERROR(AH630*0.1, "N/A")</f>
        <v>6.0629005059021903</v>
      </c>
      <c r="AH630">
        <v>60.6290050590219</v>
      </c>
      <c r="AI630">
        <v>195.65382217999101</v>
      </c>
      <c r="AJ630">
        <v>11.185497470489</v>
      </c>
      <c r="AK630">
        <v>78.814502529511003</v>
      </c>
    </row>
    <row r="631" spans="1:37" x14ac:dyDescent="0.3">
      <c r="A631">
        <v>630</v>
      </c>
      <c r="B631">
        <v>8</v>
      </c>
      <c r="C631">
        <v>23.106999999999999</v>
      </c>
      <c r="D631">
        <v>-13.529400000000001</v>
      </c>
      <c r="E631" t="s">
        <v>1047</v>
      </c>
      <c r="F631" t="s">
        <v>1049</v>
      </c>
      <c r="G631" t="s">
        <v>37</v>
      </c>
      <c r="H631">
        <v>2007</v>
      </c>
      <c r="I631">
        <v>23.299999237060501</v>
      </c>
      <c r="J631">
        <v>19.200000762939499</v>
      </c>
      <c r="K631">
        <v>64</v>
      </c>
      <c r="L631">
        <v>24.129999160766602</v>
      </c>
      <c r="M631">
        <v>37.099998474121101</v>
      </c>
      <c r="N631">
        <v>7.0999999046325701</v>
      </c>
      <c r="O631">
        <v>30</v>
      </c>
      <c r="P631">
        <v>24.399999618530298</v>
      </c>
      <c r="Q631">
        <v>19.799999237060501</v>
      </c>
      <c r="R631">
        <v>25.799999237060501</v>
      </c>
      <c r="S631">
        <v>19.700000762939499</v>
      </c>
      <c r="T631">
        <v>1049</v>
      </c>
      <c r="U631">
        <v>231</v>
      </c>
      <c r="V631">
        <v>0</v>
      </c>
      <c r="W631">
        <v>104</v>
      </c>
      <c r="X631">
        <v>660</v>
      </c>
      <c r="Y631">
        <v>0</v>
      </c>
      <c r="Z631">
        <v>196</v>
      </c>
      <c r="AA631">
        <v>3</v>
      </c>
      <c r="AB631">
        <v>34.6964580670979</v>
      </c>
      <c r="AC631">
        <v>1.3475413745172001E-2</v>
      </c>
      <c r="AD631">
        <v>0.79359254246015398</v>
      </c>
      <c r="AE631">
        <v>0.61924153566360496</v>
      </c>
      <c r="AF631">
        <v>1075.7774030354101</v>
      </c>
      <c r="AG631">
        <f>IFERROR(AH631*0.1, "N/A")</f>
        <v>6.0629005059021903</v>
      </c>
      <c r="AH631">
        <v>60.6290050590219</v>
      </c>
      <c r="AI631">
        <v>195.65382217999101</v>
      </c>
      <c r="AJ631">
        <v>11.185497470489</v>
      </c>
      <c r="AK631">
        <v>78.814502529511003</v>
      </c>
    </row>
    <row r="632" spans="1:37" x14ac:dyDescent="0.3">
      <c r="A632">
        <v>631</v>
      </c>
      <c r="B632">
        <v>15</v>
      </c>
      <c r="C632">
        <v>26.65</v>
      </c>
      <c r="D632">
        <v>-13.3667</v>
      </c>
      <c r="E632" t="s">
        <v>1050</v>
      </c>
      <c r="F632" t="s">
        <v>1051</v>
      </c>
      <c r="G632" t="s">
        <v>39</v>
      </c>
      <c r="H632">
        <v>0</v>
      </c>
      <c r="I632">
        <v>20.5</v>
      </c>
      <c r="J632">
        <v>14.5</v>
      </c>
      <c r="K632">
        <v>57</v>
      </c>
      <c r="L632">
        <v>23.603580526403501</v>
      </c>
      <c r="M632">
        <v>31.977533698081999</v>
      </c>
      <c r="N632">
        <v>6.8000001907348597</v>
      </c>
      <c r="O632">
        <v>25.177534461021398</v>
      </c>
      <c r="P632">
        <v>21.600000381469702</v>
      </c>
      <c r="Q632">
        <v>17.092905759811401</v>
      </c>
      <c r="R632">
        <v>22.7775333636516</v>
      </c>
      <c r="S632">
        <v>16.917736172676101</v>
      </c>
      <c r="T632">
        <v>1093.47297297297</v>
      </c>
      <c r="U632">
        <v>244</v>
      </c>
      <c r="V632">
        <v>0</v>
      </c>
      <c r="W632">
        <v>106</v>
      </c>
      <c r="X632">
        <v>698.47297297297303</v>
      </c>
      <c r="Y632">
        <v>1</v>
      </c>
      <c r="Z632">
        <v>185</v>
      </c>
      <c r="AA632">
        <v>3</v>
      </c>
      <c r="AB632">
        <v>0.85404658961940505</v>
      </c>
      <c r="AC632">
        <v>1.09058527692183</v>
      </c>
      <c r="AD632">
        <v>1.5404365778573501</v>
      </c>
      <c r="AE632">
        <v>0.14864745736122101</v>
      </c>
      <c r="AF632">
        <v>1141.1131756756799</v>
      </c>
      <c r="AG632">
        <f>IFERROR(AH632*0.1, "N/A")</f>
        <v>5.3248310810810802</v>
      </c>
      <c r="AH632">
        <v>53.2483108108108</v>
      </c>
      <c r="AI632">
        <v>270.83711165350798</v>
      </c>
      <c r="AJ632">
        <v>32.7516891891892</v>
      </c>
      <c r="AK632">
        <v>45</v>
      </c>
    </row>
    <row r="633" spans="1:37" x14ac:dyDescent="0.3">
      <c r="A633">
        <v>632</v>
      </c>
      <c r="B633">
        <v>0</v>
      </c>
      <c r="C633">
        <v>26.65</v>
      </c>
      <c r="D633">
        <v>-13.3667</v>
      </c>
      <c r="E633" t="s">
        <v>1050</v>
      </c>
      <c r="F633" t="s">
        <v>1052</v>
      </c>
      <c r="G633" t="s">
        <v>37</v>
      </c>
      <c r="H633">
        <v>0</v>
      </c>
      <c r="I633">
        <v>20.5</v>
      </c>
      <c r="J633">
        <v>14.5</v>
      </c>
      <c r="K633">
        <v>57</v>
      </c>
      <c r="L633">
        <v>23.603580526403501</v>
      </c>
      <c r="M633">
        <v>31.977533698081999</v>
      </c>
      <c r="N633">
        <v>6.8000001907348597</v>
      </c>
      <c r="O633">
        <v>25.177534461021398</v>
      </c>
      <c r="P633">
        <v>21.600000381469702</v>
      </c>
      <c r="Q633">
        <v>17.092905759811401</v>
      </c>
      <c r="R633">
        <v>22.7775333636516</v>
      </c>
      <c r="S633">
        <v>16.917736172676101</v>
      </c>
      <c r="T633">
        <v>1093.47297297297</v>
      </c>
      <c r="U633">
        <v>244</v>
      </c>
      <c r="V633">
        <v>0</v>
      </c>
      <c r="W633">
        <v>106</v>
      </c>
      <c r="X633">
        <v>698.47297297297303</v>
      </c>
      <c r="Y633">
        <v>1</v>
      </c>
      <c r="Z633">
        <v>185</v>
      </c>
      <c r="AA633">
        <v>3</v>
      </c>
      <c r="AB633">
        <v>0.85404658961940505</v>
      </c>
      <c r="AC633">
        <v>1.09058527692183</v>
      </c>
      <c r="AD633">
        <v>1.5404365778573501</v>
      </c>
      <c r="AE633">
        <v>0.14864745736122101</v>
      </c>
      <c r="AF633">
        <v>1141.1131756756799</v>
      </c>
      <c r="AG633">
        <f>IFERROR(AH633*0.1, "N/A")</f>
        <v>5.3248310810810802</v>
      </c>
      <c r="AH633">
        <v>53.2483108108108</v>
      </c>
      <c r="AI633">
        <v>270.83711165350798</v>
      </c>
      <c r="AJ633">
        <v>32.7516891891892</v>
      </c>
      <c r="AK633">
        <v>45</v>
      </c>
    </row>
    <row r="634" spans="1:37" x14ac:dyDescent="0.3">
      <c r="A634">
        <v>633</v>
      </c>
      <c r="B634">
        <v>39.599997999999999</v>
      </c>
      <c r="C634">
        <v>26.6</v>
      </c>
      <c r="D634">
        <v>-13.35</v>
      </c>
      <c r="E634" t="s">
        <v>1053</v>
      </c>
      <c r="F634" t="s">
        <v>1054</v>
      </c>
      <c r="G634" t="s">
        <v>39</v>
      </c>
      <c r="H634">
        <v>1972</v>
      </c>
      <c r="I634">
        <v>20.4498314584546</v>
      </c>
      <c r="J634">
        <v>14.6000003814697</v>
      </c>
      <c r="K634">
        <v>57</v>
      </c>
      <c r="L634">
        <v>23.697659999834599</v>
      </c>
      <c r="M634">
        <v>31.9809763584073</v>
      </c>
      <c r="N634">
        <v>6.7286194470595104</v>
      </c>
      <c r="O634">
        <v>25.252356866393399</v>
      </c>
      <c r="P634">
        <v>21.528619637794399</v>
      </c>
      <c r="Q634">
        <v>16.9498314584546</v>
      </c>
      <c r="R634">
        <v>22.780975958313601</v>
      </c>
      <c r="S634">
        <v>16.880975976937499</v>
      </c>
      <c r="T634">
        <v>1101.75925925926</v>
      </c>
      <c r="U634">
        <v>245.71380471380499</v>
      </c>
      <c r="V634">
        <v>0</v>
      </c>
      <c r="W634">
        <v>106.523569023569</v>
      </c>
      <c r="X634">
        <v>702.61784511784504</v>
      </c>
      <c r="Y634">
        <v>1</v>
      </c>
      <c r="Z634">
        <v>186.42760942760901</v>
      </c>
      <c r="AA634">
        <v>3</v>
      </c>
      <c r="AB634">
        <v>14.852335200968</v>
      </c>
      <c r="AC634">
        <v>1.0702858716626001E-2</v>
      </c>
      <c r="AD634">
        <v>1.63621631174376</v>
      </c>
      <c r="AE634">
        <v>0.17617575824260701</v>
      </c>
      <c r="AF634">
        <v>1161.4528619528601</v>
      </c>
      <c r="AG634">
        <f>IFERROR(AH634*0.1, "N/A")</f>
        <v>5.1491582491582504</v>
      </c>
      <c r="AH634">
        <v>51.491582491582498</v>
      </c>
      <c r="AI634">
        <v>241.33614932487299</v>
      </c>
      <c r="AJ634">
        <v>20.494949494949498</v>
      </c>
      <c r="AK634">
        <v>60.511784511784498</v>
      </c>
    </row>
    <row r="635" spans="1:37" x14ac:dyDescent="0.3">
      <c r="A635">
        <v>634</v>
      </c>
      <c r="B635">
        <v>70</v>
      </c>
      <c r="C635">
        <v>23.219999000000001</v>
      </c>
      <c r="D635">
        <v>-13.316599999999999</v>
      </c>
      <c r="E635" t="s">
        <v>1055</v>
      </c>
      <c r="F635" t="s">
        <v>1056</v>
      </c>
      <c r="G635" t="s">
        <v>39</v>
      </c>
      <c r="H635">
        <v>2007</v>
      </c>
      <c r="I635">
        <v>22.746271243337901</v>
      </c>
      <c r="J635">
        <v>18.553729018518499</v>
      </c>
      <c r="K635">
        <v>63</v>
      </c>
      <c r="L635">
        <v>23.7429837727951</v>
      </c>
      <c r="M635">
        <v>36.1462707196252</v>
      </c>
      <c r="N635">
        <v>7.0462711423130298</v>
      </c>
      <c r="O635">
        <v>29.100000381469702</v>
      </c>
      <c r="P635">
        <v>23.846270600011799</v>
      </c>
      <c r="Q635">
        <v>19.346270600011799</v>
      </c>
      <c r="R635">
        <v>25.246271243337901</v>
      </c>
      <c r="S635">
        <v>19.246271243337901</v>
      </c>
      <c r="T635">
        <v>1068.2983050847499</v>
      </c>
      <c r="U635">
        <v>228.537288135593</v>
      </c>
      <c r="V635">
        <v>0</v>
      </c>
      <c r="W635">
        <v>102.462711864407</v>
      </c>
      <c r="X635">
        <v>656.61186440678</v>
      </c>
      <c r="Y635">
        <v>1</v>
      </c>
      <c r="Z635">
        <v>205.61186440678</v>
      </c>
      <c r="AA635">
        <v>4</v>
      </c>
      <c r="AB635">
        <v>28.2906111377781</v>
      </c>
      <c r="AC635">
        <v>5.0908208335354997E-2</v>
      </c>
      <c r="AD635">
        <v>1.3432456355983899</v>
      </c>
      <c r="AE635">
        <v>0.38348707556724498</v>
      </c>
      <c r="AF635">
        <v>1069.73898305085</v>
      </c>
      <c r="AG635">
        <f>IFERROR(AH635*0.1, "N/A")</f>
        <v>6.2081355932203408</v>
      </c>
      <c r="AH635">
        <v>62.081355932203401</v>
      </c>
      <c r="AI635">
        <v>224.24019320213199</v>
      </c>
      <c r="AJ635">
        <v>20.918644067796599</v>
      </c>
      <c r="AK635">
        <v>66</v>
      </c>
    </row>
    <row r="636" spans="1:37" x14ac:dyDescent="0.3">
      <c r="A636">
        <v>635</v>
      </c>
      <c r="B636">
        <v>72</v>
      </c>
      <c r="C636">
        <v>23.219999000000001</v>
      </c>
      <c r="D636">
        <v>-13.316599999999999</v>
      </c>
      <c r="E636" t="s">
        <v>1055</v>
      </c>
      <c r="F636" t="s">
        <v>1057</v>
      </c>
      <c r="G636" t="s">
        <v>37</v>
      </c>
      <c r="H636">
        <v>2007</v>
      </c>
      <c r="I636">
        <v>22.746271243337901</v>
      </c>
      <c r="J636">
        <v>18.553729018518499</v>
      </c>
      <c r="K636">
        <v>63</v>
      </c>
      <c r="L636">
        <v>23.7429837727951</v>
      </c>
      <c r="M636">
        <v>36.1462707196252</v>
      </c>
      <c r="N636">
        <v>7.0462711423130298</v>
      </c>
      <c r="O636">
        <v>29.100000381469702</v>
      </c>
      <c r="P636">
        <v>23.846270600011799</v>
      </c>
      <c r="Q636">
        <v>19.346270600011799</v>
      </c>
      <c r="R636">
        <v>25.246271243337901</v>
      </c>
      <c r="S636">
        <v>19.246271243337901</v>
      </c>
      <c r="T636">
        <v>1068.2983050847499</v>
      </c>
      <c r="U636">
        <v>228.537288135593</v>
      </c>
      <c r="V636">
        <v>0</v>
      </c>
      <c r="W636">
        <v>102.462711864407</v>
      </c>
      <c r="X636">
        <v>656.61186440678</v>
      </c>
      <c r="Y636">
        <v>1</v>
      </c>
      <c r="Z636">
        <v>205.61186440678</v>
      </c>
      <c r="AA636">
        <v>4</v>
      </c>
      <c r="AB636">
        <v>28.2906111377781</v>
      </c>
      <c r="AC636">
        <v>5.0908208335354997E-2</v>
      </c>
      <c r="AD636">
        <v>1.3432456355983899</v>
      </c>
      <c r="AE636">
        <v>0.38348707556724498</v>
      </c>
      <c r="AF636">
        <v>1069.73898305085</v>
      </c>
      <c r="AG636">
        <f>IFERROR(AH636*0.1, "N/A")</f>
        <v>6.2081355932203408</v>
      </c>
      <c r="AH636">
        <v>62.081355932203401</v>
      </c>
      <c r="AI636">
        <v>224.24019320213199</v>
      </c>
      <c r="AJ636">
        <v>20.918644067796599</v>
      </c>
      <c r="AK636">
        <v>66</v>
      </c>
    </row>
    <row r="637" spans="1:37" x14ac:dyDescent="0.3">
      <c r="A637">
        <v>636</v>
      </c>
      <c r="B637">
        <v>16</v>
      </c>
      <c r="C637">
        <v>23.214399</v>
      </c>
      <c r="D637">
        <v>-13.291700000000001</v>
      </c>
      <c r="E637" t="s">
        <v>1058</v>
      </c>
      <c r="F637" t="s">
        <v>1059</v>
      </c>
      <c r="G637" t="s">
        <v>39</v>
      </c>
      <c r="H637">
        <v>2007</v>
      </c>
      <c r="I637">
        <v>22.667285629709902</v>
      </c>
      <c r="J637">
        <v>18.5</v>
      </c>
      <c r="K637">
        <v>64</v>
      </c>
      <c r="L637">
        <v>23.3649416661383</v>
      </c>
      <c r="M637">
        <v>35.900001525878899</v>
      </c>
      <c r="N637">
        <v>7</v>
      </c>
      <c r="O637">
        <v>28.899999618530298</v>
      </c>
      <c r="P637">
        <v>23.834569976060401</v>
      </c>
      <c r="Q637">
        <v>19.200000762939499</v>
      </c>
      <c r="R637">
        <v>25</v>
      </c>
      <c r="S637">
        <v>19.200000762939499</v>
      </c>
      <c r="T637">
        <v>1071.65430016863</v>
      </c>
      <c r="U637">
        <v>228.327150084317</v>
      </c>
      <c r="V637">
        <v>0</v>
      </c>
      <c r="W637">
        <v>102</v>
      </c>
      <c r="X637">
        <v>656.32715008431705</v>
      </c>
      <c r="Y637">
        <v>1</v>
      </c>
      <c r="Z637">
        <v>207</v>
      </c>
      <c r="AA637">
        <v>4</v>
      </c>
      <c r="AB637">
        <v>2.1234318184812402</v>
      </c>
      <c r="AC637">
        <v>1349.3236624221299</v>
      </c>
      <c r="AD637">
        <v>2.5796187957261898</v>
      </c>
      <c r="AE637">
        <v>0.27056702971458402</v>
      </c>
      <c r="AF637">
        <v>1054.3187183811101</v>
      </c>
      <c r="AG637">
        <f>IFERROR(AH637*0.1, "N/A")</f>
        <v>5.9600337268128207</v>
      </c>
      <c r="AH637">
        <v>59.6003372681282</v>
      </c>
      <c r="AI637">
        <v>28.022710002493898</v>
      </c>
      <c r="AJ637">
        <v>20.935919055649201</v>
      </c>
      <c r="AK637">
        <v>62.091062394603703</v>
      </c>
    </row>
    <row r="638" spans="1:37" x14ac:dyDescent="0.3">
      <c r="A638">
        <v>637</v>
      </c>
      <c r="B638">
        <v>58</v>
      </c>
      <c r="C638">
        <v>23.214399</v>
      </c>
      <c r="D638">
        <v>-13.291700000000001</v>
      </c>
      <c r="E638" t="s">
        <v>1058</v>
      </c>
      <c r="F638" t="s">
        <v>1060</v>
      </c>
      <c r="G638" t="s">
        <v>37</v>
      </c>
      <c r="H638">
        <v>2007</v>
      </c>
      <c r="I638">
        <v>22.667285629709902</v>
      </c>
      <c r="J638">
        <v>18.5</v>
      </c>
      <c r="K638">
        <v>64</v>
      </c>
      <c r="L638">
        <v>23.3649416661383</v>
      </c>
      <c r="M638">
        <v>35.900001525878899</v>
      </c>
      <c r="N638">
        <v>7</v>
      </c>
      <c r="O638">
        <v>28.899999618530298</v>
      </c>
      <c r="P638">
        <v>23.834569976060401</v>
      </c>
      <c r="Q638">
        <v>19.200000762939499</v>
      </c>
      <c r="R638">
        <v>25</v>
      </c>
      <c r="S638">
        <v>19.200000762939499</v>
      </c>
      <c r="T638">
        <v>1071.65430016863</v>
      </c>
      <c r="U638">
        <v>228.327150084317</v>
      </c>
      <c r="V638">
        <v>0</v>
      </c>
      <c r="W638">
        <v>102</v>
      </c>
      <c r="X638">
        <v>656.32715008431705</v>
      </c>
      <c r="Y638">
        <v>1</v>
      </c>
      <c r="Z638">
        <v>207</v>
      </c>
      <c r="AA638">
        <v>4</v>
      </c>
      <c r="AB638">
        <v>2.1234318184812402</v>
      </c>
      <c r="AC638">
        <v>1349.3236624221299</v>
      </c>
      <c r="AD638">
        <v>2.5796187957261898</v>
      </c>
      <c r="AE638">
        <v>0.27056702971458402</v>
      </c>
      <c r="AF638">
        <v>1054.3187183811101</v>
      </c>
      <c r="AG638">
        <f>IFERROR(AH638*0.1, "N/A")</f>
        <v>5.9600337268128207</v>
      </c>
      <c r="AH638">
        <v>59.6003372681282</v>
      </c>
      <c r="AI638">
        <v>28.022710002493898</v>
      </c>
      <c r="AJ638">
        <v>20.935919055649201</v>
      </c>
      <c r="AK638">
        <v>62.091062394603703</v>
      </c>
    </row>
    <row r="639" spans="1:37" x14ac:dyDescent="0.3">
      <c r="A639">
        <v>638</v>
      </c>
      <c r="B639">
        <v>12.1</v>
      </c>
      <c r="C639">
        <v>28.416401</v>
      </c>
      <c r="D639">
        <v>-13.143000000000001</v>
      </c>
      <c r="E639" t="s">
        <v>1061</v>
      </c>
      <c r="F639" t="s">
        <v>1062</v>
      </c>
      <c r="G639" t="s">
        <v>39</v>
      </c>
      <c r="H639">
        <v>1985</v>
      </c>
      <c r="I639">
        <v>20.049745520833</v>
      </c>
      <c r="J639">
        <v>14.4497451393633</v>
      </c>
      <c r="K639">
        <v>56</v>
      </c>
      <c r="L639">
        <v>26.535026268562401</v>
      </c>
      <c r="M639">
        <v>31.649745902302701</v>
      </c>
      <c r="N639">
        <v>5.9502547163712398</v>
      </c>
      <c r="O639">
        <v>25.6994904743188</v>
      </c>
      <c r="P639">
        <v>21.549745520833</v>
      </c>
      <c r="Q639">
        <v>16.149745902302701</v>
      </c>
      <c r="R639">
        <v>22.600000381469702</v>
      </c>
      <c r="S639">
        <v>16.100000381469702</v>
      </c>
      <c r="T639">
        <v>1238.0050933786099</v>
      </c>
      <c r="U639">
        <v>292</v>
      </c>
      <c r="V639">
        <v>0</v>
      </c>
      <c r="W639">
        <v>110.502546689304</v>
      </c>
      <c r="X639">
        <v>829.00509337860797</v>
      </c>
      <c r="Y639">
        <v>1</v>
      </c>
      <c r="Z639">
        <v>461.00509337860802</v>
      </c>
      <c r="AA639">
        <v>4</v>
      </c>
      <c r="AB639">
        <v>9.3042197365105093</v>
      </c>
      <c r="AC639">
        <v>5.5158440023661E-2</v>
      </c>
      <c r="AD639">
        <v>1.38697389431032</v>
      </c>
      <c r="AE639">
        <v>0.75647211074829102</v>
      </c>
      <c r="AF639">
        <v>1235.22920203735</v>
      </c>
      <c r="AG639">
        <f>IFERROR(AH639*0.1, "N/A")</f>
        <v>5.6570458404074699</v>
      </c>
      <c r="AH639">
        <v>56.570458404074699</v>
      </c>
      <c r="AI639">
        <v>264.85663017959502</v>
      </c>
      <c r="AJ639">
        <v>31.993208828522899</v>
      </c>
      <c r="AK639">
        <v>51.393887945670599</v>
      </c>
    </row>
    <row r="640" spans="1:37" x14ac:dyDescent="0.3">
      <c r="A640">
        <v>639</v>
      </c>
      <c r="B640">
        <v>38</v>
      </c>
      <c r="C640">
        <v>28.467099999999999</v>
      </c>
      <c r="D640">
        <v>-13.069100000000001</v>
      </c>
      <c r="E640" t="s">
        <v>1063</v>
      </c>
      <c r="F640" t="s">
        <v>1064</v>
      </c>
      <c r="G640" t="s">
        <v>39</v>
      </c>
      <c r="H640">
        <v>0</v>
      </c>
      <c r="I640">
        <v>19.982682446672499</v>
      </c>
      <c r="J640">
        <v>14.3999996185303</v>
      </c>
      <c r="K640">
        <v>55</v>
      </c>
      <c r="L640">
        <v>26.5134638056083</v>
      </c>
      <c r="M640">
        <v>31.682683209611898</v>
      </c>
      <c r="N640">
        <v>5.8826826246161197</v>
      </c>
      <c r="O640">
        <v>25.799999237060501</v>
      </c>
      <c r="P640">
        <v>21.5826828281422</v>
      </c>
      <c r="Q640">
        <v>16.0826828281422</v>
      </c>
      <c r="R640">
        <v>22.5826828281422</v>
      </c>
      <c r="S640">
        <v>16.0826828281422</v>
      </c>
      <c r="T640">
        <v>1240.6926994906601</v>
      </c>
      <c r="U640">
        <v>291.17317487266598</v>
      </c>
      <c r="V640">
        <v>0</v>
      </c>
      <c r="W640">
        <v>111</v>
      </c>
      <c r="X640">
        <v>834.34634974533105</v>
      </c>
      <c r="Y640">
        <v>0</v>
      </c>
      <c r="Z640">
        <v>463.346349745331</v>
      </c>
      <c r="AA640">
        <v>4</v>
      </c>
      <c r="AB640">
        <v>25.139161399750598</v>
      </c>
      <c r="AC640">
        <v>0.15698550336682701</v>
      </c>
      <c r="AD640">
        <v>2.54394647888902</v>
      </c>
      <c r="AE640">
        <v>0.56078660488128695</v>
      </c>
      <c r="AF640">
        <v>1250.2156196943999</v>
      </c>
      <c r="AG640">
        <f>IFERROR(AH640*0.1, "N/A")</f>
        <v>5.70101867572156</v>
      </c>
      <c r="AH640">
        <v>57.0101867572156</v>
      </c>
      <c r="AI640">
        <v>149.95477478856299</v>
      </c>
      <c r="AJ640">
        <v>25.448217317487298</v>
      </c>
      <c r="AK640">
        <v>58.139219015280098</v>
      </c>
    </row>
    <row r="641" spans="1:37" x14ac:dyDescent="0.3">
      <c r="A641">
        <v>640</v>
      </c>
      <c r="B641">
        <v>8</v>
      </c>
      <c r="C641">
        <v>27.549586000000001</v>
      </c>
      <c r="D641">
        <v>-13.057008</v>
      </c>
      <c r="E641" t="s">
        <v>1065</v>
      </c>
      <c r="F641" t="s">
        <v>1066</v>
      </c>
      <c r="G641" t="s">
        <v>39</v>
      </c>
      <c r="H641">
        <v>1985</v>
      </c>
      <c r="I641">
        <v>19.899999618530298</v>
      </c>
      <c r="J641">
        <v>14.800000190734901</v>
      </c>
      <c r="K641">
        <v>57</v>
      </c>
      <c r="L641">
        <v>24.409999847412099</v>
      </c>
      <c r="M641">
        <v>31.5</v>
      </c>
      <c r="N641">
        <v>5.6999998092651403</v>
      </c>
      <c r="O641">
        <v>25.799999237060501</v>
      </c>
      <c r="P641">
        <v>21.100000381469702</v>
      </c>
      <c r="Q641">
        <v>16.299999237060501</v>
      </c>
      <c r="R641">
        <v>22.299999237060501</v>
      </c>
      <c r="S641">
        <v>16.299999237060501</v>
      </c>
      <c r="T641">
        <v>1197</v>
      </c>
      <c r="U641">
        <v>273</v>
      </c>
      <c r="V641">
        <v>0</v>
      </c>
      <c r="W641">
        <v>108</v>
      </c>
      <c r="X641">
        <v>776</v>
      </c>
      <c r="Y641">
        <v>2</v>
      </c>
      <c r="Z641">
        <v>186</v>
      </c>
      <c r="AA641">
        <v>5</v>
      </c>
      <c r="AB641">
        <v>18.6734298990059</v>
      </c>
      <c r="AC641">
        <v>1.9707091968954E-2</v>
      </c>
      <c r="AD641">
        <v>1.3142985564399701</v>
      </c>
      <c r="AE641">
        <v>0.120973643236959</v>
      </c>
      <c r="AF641">
        <v>1269.0321489001699</v>
      </c>
      <c r="AG641">
        <f>IFERROR(AH641*0.1, "N/A")</f>
        <v>5.4</v>
      </c>
      <c r="AH641">
        <v>54</v>
      </c>
      <c r="AI641">
        <v>142.062966877636</v>
      </c>
      <c r="AJ641">
        <v>33.140439932318102</v>
      </c>
      <c r="AK641">
        <v>48.123519458544799</v>
      </c>
    </row>
    <row r="642" spans="1:37" x14ac:dyDescent="0.3">
      <c r="A642">
        <v>641</v>
      </c>
      <c r="B642">
        <v>0.9</v>
      </c>
      <c r="C642">
        <v>27.549586000000001</v>
      </c>
      <c r="D642">
        <v>-13.057008</v>
      </c>
      <c r="E642" t="s">
        <v>1065</v>
      </c>
      <c r="F642" t="s">
        <v>1067</v>
      </c>
      <c r="G642" t="s">
        <v>37</v>
      </c>
      <c r="H642">
        <v>1985</v>
      </c>
      <c r="I642">
        <v>19.899999618530298</v>
      </c>
      <c r="J642">
        <v>14.800000190734901</v>
      </c>
      <c r="K642">
        <v>57</v>
      </c>
      <c r="L642">
        <v>24.409999847412099</v>
      </c>
      <c r="M642">
        <v>31.5</v>
      </c>
      <c r="N642">
        <v>5.6999998092651403</v>
      </c>
      <c r="O642">
        <v>25.799999237060501</v>
      </c>
      <c r="P642">
        <v>21.100000381469702</v>
      </c>
      <c r="Q642">
        <v>16.299999237060501</v>
      </c>
      <c r="R642">
        <v>22.299999237060501</v>
      </c>
      <c r="S642">
        <v>16.299999237060501</v>
      </c>
      <c r="T642">
        <v>1197</v>
      </c>
      <c r="U642">
        <v>273</v>
      </c>
      <c r="V642">
        <v>0</v>
      </c>
      <c r="W642">
        <v>108</v>
      </c>
      <c r="X642">
        <v>776</v>
      </c>
      <c r="Y642">
        <v>2</v>
      </c>
      <c r="Z642">
        <v>186</v>
      </c>
      <c r="AA642">
        <v>5</v>
      </c>
      <c r="AB642">
        <v>18.6734298990059</v>
      </c>
      <c r="AC642">
        <v>1.9707091968954E-2</v>
      </c>
      <c r="AD642">
        <v>1.3142985564399701</v>
      </c>
      <c r="AE642">
        <v>0.120973643236959</v>
      </c>
      <c r="AF642">
        <v>1269.0321489001699</v>
      </c>
      <c r="AG642">
        <f>IFERROR(AH642*0.1, "N/A")</f>
        <v>5.4</v>
      </c>
      <c r="AH642">
        <v>54</v>
      </c>
      <c r="AI642">
        <v>142.062966877636</v>
      </c>
      <c r="AJ642">
        <v>33.140439932318102</v>
      </c>
      <c r="AK642">
        <v>48.123519458544799</v>
      </c>
    </row>
    <row r="643" spans="1:37" x14ac:dyDescent="0.3">
      <c r="A643">
        <v>642</v>
      </c>
      <c r="B643">
        <v>3.1</v>
      </c>
      <c r="C643">
        <v>28.6495</v>
      </c>
      <c r="D643">
        <v>-12.989800000000001</v>
      </c>
      <c r="E643" t="s">
        <v>1068</v>
      </c>
      <c r="F643" t="s">
        <v>1069</v>
      </c>
      <c r="G643" t="s">
        <v>39</v>
      </c>
      <c r="H643">
        <v>1977</v>
      </c>
      <c r="I643">
        <v>20</v>
      </c>
      <c r="J643">
        <v>14.186101583707099</v>
      </c>
      <c r="K643">
        <v>55</v>
      </c>
      <c r="L643">
        <v>26.447729207701599</v>
      </c>
      <c r="M643">
        <v>31.686102404836902</v>
      </c>
      <c r="N643">
        <v>6.2138981673677103</v>
      </c>
      <c r="O643">
        <v>25.472203283794901</v>
      </c>
      <c r="P643">
        <v>21.5</v>
      </c>
      <c r="Q643">
        <v>16.113898739572299</v>
      </c>
      <c r="R643">
        <v>22.5861020233672</v>
      </c>
      <c r="S643">
        <v>16.100000381469702</v>
      </c>
      <c r="T643">
        <v>1228.1389830508499</v>
      </c>
      <c r="U643">
        <v>298.138983050847</v>
      </c>
      <c r="V643">
        <v>0</v>
      </c>
      <c r="W643">
        <v>112</v>
      </c>
      <c r="X643">
        <v>839.27796610169503</v>
      </c>
      <c r="Y643">
        <v>0</v>
      </c>
      <c r="Z643">
        <v>462</v>
      </c>
      <c r="AA643">
        <v>4</v>
      </c>
      <c r="AB643">
        <v>20.3574328406382</v>
      </c>
      <c r="AC643">
        <v>5.2160762300935998E-2</v>
      </c>
      <c r="AD643">
        <v>1.3019591328451201</v>
      </c>
      <c r="AE643">
        <v>0.79833624120486002</v>
      </c>
      <c r="AF643">
        <v>1256.9508474576301</v>
      </c>
      <c r="AG643">
        <f>IFERROR(AH643*0.1, "N/A")</f>
        <v>6.0710169491525399</v>
      </c>
      <c r="AH643">
        <v>60.710169491525399</v>
      </c>
      <c r="AI643">
        <v>191.28405981548801</v>
      </c>
      <c r="AJ643">
        <v>32.988135593220299</v>
      </c>
      <c r="AK643">
        <v>48.011864406779701</v>
      </c>
    </row>
    <row r="644" spans="1:37" x14ac:dyDescent="0.3">
      <c r="A644">
        <v>643</v>
      </c>
      <c r="B644">
        <v>11.1</v>
      </c>
      <c r="C644">
        <v>28.6495</v>
      </c>
      <c r="D644">
        <v>-12.9892</v>
      </c>
      <c r="E644" t="s">
        <v>1070</v>
      </c>
      <c r="F644" t="s">
        <v>1071</v>
      </c>
      <c r="G644" t="s">
        <v>39</v>
      </c>
      <c r="H644">
        <v>1985</v>
      </c>
      <c r="I644">
        <v>20</v>
      </c>
      <c r="J644">
        <v>14.1858346289366</v>
      </c>
      <c r="K644">
        <v>55</v>
      </c>
      <c r="L644">
        <v>26.446341033729698</v>
      </c>
      <c r="M644">
        <v>31.6858354475205</v>
      </c>
      <c r="N644">
        <v>6.2141651246841203</v>
      </c>
      <c r="O644">
        <v>25.471669369162001</v>
      </c>
      <c r="P644">
        <v>21.5</v>
      </c>
      <c r="Q644">
        <v>16.114165696888701</v>
      </c>
      <c r="R644">
        <v>22.585835066050699</v>
      </c>
      <c r="S644">
        <v>16.100000381469702</v>
      </c>
      <c r="T644">
        <v>1228.14165261383</v>
      </c>
      <c r="U644">
        <v>298.141652613828</v>
      </c>
      <c r="V644">
        <v>0</v>
      </c>
      <c r="W644">
        <v>112</v>
      </c>
      <c r="X644">
        <v>839.283305227656</v>
      </c>
      <c r="Y644">
        <v>0</v>
      </c>
      <c r="Z644">
        <v>462</v>
      </c>
      <c r="AA644">
        <v>4</v>
      </c>
      <c r="AB644">
        <v>19.117662606713701</v>
      </c>
      <c r="AC644">
        <v>7.0755695098065993E-2</v>
      </c>
      <c r="AD644">
        <v>2.2441872137191901</v>
      </c>
      <c r="AE644">
        <v>0.79839640574350701</v>
      </c>
      <c r="AF644">
        <v>1255.4907251264799</v>
      </c>
      <c r="AG644">
        <f>IFERROR(AH644*0.1, "N/A")</f>
        <v>6.0406408094435102</v>
      </c>
      <c r="AH644">
        <v>60.406408094435101</v>
      </c>
      <c r="AI644">
        <v>286.44895592829403</v>
      </c>
      <c r="AJ644">
        <v>32.8178752107926</v>
      </c>
      <c r="AK644">
        <v>48.168634064080898</v>
      </c>
    </row>
    <row r="645" spans="1:37" x14ac:dyDescent="0.3">
      <c r="A645">
        <v>644</v>
      </c>
      <c r="B645">
        <v>6</v>
      </c>
      <c r="C645">
        <v>28.633300999999999</v>
      </c>
      <c r="D645">
        <v>-12.966699999999999</v>
      </c>
      <c r="E645" t="s">
        <v>1072</v>
      </c>
      <c r="F645" t="s">
        <v>1073</v>
      </c>
      <c r="G645" t="s">
        <v>37</v>
      </c>
      <c r="H645">
        <v>1983</v>
      </c>
      <c r="I645">
        <v>19.780984247074901</v>
      </c>
      <c r="J645">
        <v>14.199999809265099</v>
      </c>
      <c r="K645">
        <v>55</v>
      </c>
      <c r="L645">
        <v>26.153751920560801</v>
      </c>
      <c r="M645">
        <v>31.380984265856899</v>
      </c>
      <c r="N645">
        <v>5.9809847379985603</v>
      </c>
      <c r="O645">
        <v>25.399999618530298</v>
      </c>
      <c r="P645">
        <v>21.280984247074901</v>
      </c>
      <c r="Q645">
        <v>15.9161287123157</v>
      </c>
      <c r="R645">
        <v>22.280984247074901</v>
      </c>
      <c r="S645">
        <v>15.880984447200801</v>
      </c>
      <c r="T645">
        <v>1239.43972835314</v>
      </c>
      <c r="U645">
        <v>300.19015280135801</v>
      </c>
      <c r="V645">
        <v>0</v>
      </c>
      <c r="W645">
        <v>112</v>
      </c>
      <c r="X645">
        <v>844.73174872665504</v>
      </c>
      <c r="Y645">
        <v>0</v>
      </c>
      <c r="Z645">
        <v>466.54159592529697</v>
      </c>
      <c r="AA645">
        <v>4</v>
      </c>
      <c r="AB645">
        <v>16.157908829849301</v>
      </c>
      <c r="AC645">
        <v>9.2679850712849999E-3</v>
      </c>
      <c r="AD645">
        <v>1.6842173801415601</v>
      </c>
      <c r="AE645">
        <v>0.86836260557174705</v>
      </c>
      <c r="AF645">
        <v>1305.1884550084901</v>
      </c>
      <c r="AG645">
        <f>IFERROR(AH645*0.1, "N/A")</f>
        <v>5.7156196943972803</v>
      </c>
      <c r="AH645">
        <v>57.156196943972802</v>
      </c>
      <c r="AI645">
        <v>165.467181777306</v>
      </c>
      <c r="AJ645">
        <v>30.327674023769099</v>
      </c>
      <c r="AK645">
        <v>55.667232597623098</v>
      </c>
    </row>
    <row r="646" spans="1:37" x14ac:dyDescent="0.3">
      <c r="A646">
        <v>645</v>
      </c>
      <c r="B646">
        <v>10</v>
      </c>
      <c r="C646">
        <v>30.442699000000001</v>
      </c>
      <c r="D646">
        <v>-12.936299999999999</v>
      </c>
      <c r="E646" t="s">
        <v>1074</v>
      </c>
      <c r="F646" t="s">
        <v>1075</v>
      </c>
      <c r="G646" t="s">
        <v>39</v>
      </c>
      <c r="H646">
        <v>0</v>
      </c>
      <c r="I646">
        <v>19.1065882444382</v>
      </c>
      <c r="J646">
        <v>12.3999996185303</v>
      </c>
      <c r="K646">
        <v>57</v>
      </c>
      <c r="L646">
        <v>23.270237326621999</v>
      </c>
      <c r="M646">
        <v>29.706588500254899</v>
      </c>
      <c r="N646">
        <v>8.0131756631103706</v>
      </c>
      <c r="O646">
        <v>21.693412899971001</v>
      </c>
      <c r="P646">
        <v>20.506587862968399</v>
      </c>
      <c r="Q646">
        <v>15.6065881816117</v>
      </c>
      <c r="R646">
        <v>21.5</v>
      </c>
      <c r="S646">
        <v>15.6065881816117</v>
      </c>
      <c r="T646">
        <v>1075.80236486486</v>
      </c>
      <c r="U646">
        <v>264.93412162162201</v>
      </c>
      <c r="V646">
        <v>0</v>
      </c>
      <c r="W646">
        <v>119</v>
      </c>
      <c r="X646">
        <v>777.80236486486501</v>
      </c>
      <c r="Y646">
        <v>1</v>
      </c>
      <c r="Z646">
        <v>370.93412162162201</v>
      </c>
      <c r="AA646">
        <v>1</v>
      </c>
      <c r="AB646">
        <v>25.7603141166068</v>
      </c>
      <c r="AC646">
        <v>2.3709956103483001E-2</v>
      </c>
      <c r="AD646">
        <v>2.7127496653513301</v>
      </c>
      <c r="AE646">
        <v>0.425892306240024</v>
      </c>
      <c r="AF646">
        <v>1432.9307432432399</v>
      </c>
      <c r="AG646">
        <f>IFERROR(AH646*0.1, "N/A")</f>
        <v>5.6787162162162197</v>
      </c>
      <c r="AH646">
        <v>56.787162162162197</v>
      </c>
      <c r="AI646">
        <v>324.11840351207798</v>
      </c>
      <c r="AJ646">
        <v>20.2128378378378</v>
      </c>
      <c r="AK646">
        <v>66.574324324324294</v>
      </c>
    </row>
    <row r="647" spans="1:37" x14ac:dyDescent="0.3">
      <c r="A647">
        <v>646</v>
      </c>
      <c r="B647">
        <v>0</v>
      </c>
      <c r="C647">
        <v>30.442699000000001</v>
      </c>
      <c r="D647">
        <v>-12.936299999999999</v>
      </c>
      <c r="E647" t="s">
        <v>1074</v>
      </c>
      <c r="F647" t="s">
        <v>1076</v>
      </c>
      <c r="G647" t="s">
        <v>37</v>
      </c>
      <c r="H647">
        <v>0</v>
      </c>
      <c r="I647">
        <v>19.1065882444382</v>
      </c>
      <c r="J647">
        <v>12.3999996185303</v>
      </c>
      <c r="K647">
        <v>57</v>
      </c>
      <c r="L647">
        <v>23.270237326621999</v>
      </c>
      <c r="M647">
        <v>29.706588500254899</v>
      </c>
      <c r="N647">
        <v>8.0131756631103706</v>
      </c>
      <c r="O647">
        <v>21.693412899971001</v>
      </c>
      <c r="P647">
        <v>20.506587862968399</v>
      </c>
      <c r="Q647">
        <v>15.6065881816117</v>
      </c>
      <c r="R647">
        <v>21.5</v>
      </c>
      <c r="S647">
        <v>15.6065881816117</v>
      </c>
      <c r="T647">
        <v>1075.80236486486</v>
      </c>
      <c r="U647">
        <v>264.93412162162201</v>
      </c>
      <c r="V647">
        <v>0</v>
      </c>
      <c r="W647">
        <v>119</v>
      </c>
      <c r="X647">
        <v>777.80236486486501</v>
      </c>
      <c r="Y647">
        <v>1</v>
      </c>
      <c r="Z647">
        <v>370.93412162162201</v>
      </c>
      <c r="AA647">
        <v>1</v>
      </c>
      <c r="AB647">
        <v>25.7603141166068</v>
      </c>
      <c r="AC647">
        <v>2.3709956103483001E-2</v>
      </c>
      <c r="AD647">
        <v>2.7127496653513301</v>
      </c>
      <c r="AE647">
        <v>0.425892306240024</v>
      </c>
      <c r="AF647">
        <v>1432.9307432432399</v>
      </c>
      <c r="AG647">
        <f>IFERROR(AH647*0.1, "N/A")</f>
        <v>5.6787162162162197</v>
      </c>
      <c r="AH647">
        <v>56.787162162162197</v>
      </c>
      <c r="AI647">
        <v>324.11840351207798</v>
      </c>
      <c r="AJ647">
        <v>20.2128378378378</v>
      </c>
      <c r="AK647">
        <v>66.574324324324294</v>
      </c>
    </row>
    <row r="648" spans="1:37" x14ac:dyDescent="0.3">
      <c r="A648">
        <v>647</v>
      </c>
      <c r="B648">
        <v>50</v>
      </c>
      <c r="C648">
        <v>28.610900999999998</v>
      </c>
      <c r="D648">
        <v>-12.935</v>
      </c>
      <c r="E648" t="s">
        <v>1077</v>
      </c>
      <c r="F648" t="s">
        <v>1078</v>
      </c>
      <c r="G648" t="s">
        <v>39</v>
      </c>
      <c r="H648">
        <v>0</v>
      </c>
      <c r="I648">
        <v>19.600000381469702</v>
      </c>
      <c r="J648">
        <v>14.199999809265099</v>
      </c>
      <c r="K648">
        <v>55</v>
      </c>
      <c r="L648">
        <v>26.110000610351602</v>
      </c>
      <c r="M648">
        <v>31.299999237060501</v>
      </c>
      <c r="N648">
        <v>5.8000001907348597</v>
      </c>
      <c r="O648">
        <v>25.5</v>
      </c>
      <c r="P648">
        <v>21.200000762939499</v>
      </c>
      <c r="Q648">
        <v>15.800000190734901</v>
      </c>
      <c r="R648">
        <v>22.200000762939499</v>
      </c>
      <c r="S648">
        <v>15.800000190734901</v>
      </c>
      <c r="T648">
        <v>1248</v>
      </c>
      <c r="U648">
        <v>301</v>
      </c>
      <c r="V648">
        <v>0</v>
      </c>
      <c r="W648">
        <v>111</v>
      </c>
      <c r="X648">
        <v>847</v>
      </c>
      <c r="Y648">
        <v>0</v>
      </c>
      <c r="Z648">
        <v>469</v>
      </c>
      <c r="AA648">
        <v>4</v>
      </c>
      <c r="AB648">
        <v>27.862304065749701</v>
      </c>
      <c r="AC648">
        <v>1.6288258361429001E-2</v>
      </c>
      <c r="AD648">
        <v>1.44215886955148</v>
      </c>
      <c r="AE648">
        <v>0.890899658203125</v>
      </c>
      <c r="AF648">
        <v>1318.3123938879501</v>
      </c>
      <c r="AG648">
        <f>IFERROR(AH648*0.1, "N/A")</f>
        <v>5.8000000000000007</v>
      </c>
      <c r="AH648">
        <v>58</v>
      </c>
      <c r="AI648">
        <v>221.13072604841599</v>
      </c>
      <c r="AJ648">
        <v>24.264855687606101</v>
      </c>
      <c r="AK648">
        <v>64.602716468590799</v>
      </c>
    </row>
    <row r="649" spans="1:37" x14ac:dyDescent="0.3">
      <c r="A649">
        <v>648</v>
      </c>
      <c r="B649">
        <v>1.6</v>
      </c>
      <c r="C649">
        <v>30.655701000000001</v>
      </c>
      <c r="D649">
        <v>-12.9178</v>
      </c>
      <c r="E649" t="s">
        <v>1079</v>
      </c>
      <c r="F649" t="s">
        <v>1080</v>
      </c>
      <c r="G649" t="s">
        <v>39</v>
      </c>
      <c r="H649">
        <v>0</v>
      </c>
      <c r="I649">
        <v>18.799999237060501</v>
      </c>
      <c r="J649">
        <v>12.199999809265099</v>
      </c>
      <c r="K649">
        <v>56</v>
      </c>
      <c r="L649">
        <v>23.180000305175799</v>
      </c>
      <c r="M649">
        <v>29.399999618530298</v>
      </c>
      <c r="N649">
        <v>7.9000000953674299</v>
      </c>
      <c r="O649">
        <v>21.5</v>
      </c>
      <c r="P649">
        <v>20.200000762939499</v>
      </c>
      <c r="Q649">
        <v>15.3999996185303</v>
      </c>
      <c r="R649">
        <v>21.200000762939499</v>
      </c>
      <c r="S649">
        <v>15.3999996185303</v>
      </c>
      <c r="T649">
        <v>1052</v>
      </c>
      <c r="U649">
        <v>261</v>
      </c>
      <c r="V649">
        <v>0</v>
      </c>
      <c r="W649">
        <v>120</v>
      </c>
      <c r="X649">
        <v>763</v>
      </c>
      <c r="Y649">
        <v>1</v>
      </c>
      <c r="Z649">
        <v>361</v>
      </c>
      <c r="AA649">
        <v>1</v>
      </c>
      <c r="AB649">
        <v>25.5647692293734</v>
      </c>
      <c r="AC649">
        <v>2.1500986725457E-2</v>
      </c>
      <c r="AD649">
        <v>2.6596653537975801</v>
      </c>
      <c r="AE649">
        <v>0.44675439596176098</v>
      </c>
      <c r="AF649">
        <v>1505.5506756756799</v>
      </c>
      <c r="AG649">
        <f>IFERROR(AH649*0.1, "N/A")</f>
        <v>5.7336148648648706</v>
      </c>
      <c r="AH649">
        <v>57.336148648648702</v>
      </c>
      <c r="AI649">
        <v>16.167711138725299</v>
      </c>
      <c r="AJ649">
        <v>21.667229729729701</v>
      </c>
      <c r="AK649">
        <v>62.5033783783784</v>
      </c>
    </row>
    <row r="650" spans="1:37" x14ac:dyDescent="0.3">
      <c r="A650">
        <v>649</v>
      </c>
      <c r="B650">
        <v>5.2</v>
      </c>
      <c r="C650">
        <v>30.655701000000001</v>
      </c>
      <c r="D650">
        <v>-12.9178</v>
      </c>
      <c r="E650" t="s">
        <v>1079</v>
      </c>
      <c r="F650" t="s">
        <v>1081</v>
      </c>
      <c r="G650" t="s">
        <v>37</v>
      </c>
      <c r="H650">
        <v>0</v>
      </c>
      <c r="I650">
        <v>18.799999237060501</v>
      </c>
      <c r="J650">
        <v>12.199999809265099</v>
      </c>
      <c r="K650">
        <v>56</v>
      </c>
      <c r="L650">
        <v>23.180000305175799</v>
      </c>
      <c r="M650">
        <v>29.399999618530298</v>
      </c>
      <c r="N650">
        <v>7.9000000953674299</v>
      </c>
      <c r="O650">
        <v>21.5</v>
      </c>
      <c r="P650">
        <v>20.200000762939499</v>
      </c>
      <c r="Q650">
        <v>15.3999996185303</v>
      </c>
      <c r="R650">
        <v>21.200000762939499</v>
      </c>
      <c r="S650">
        <v>15.3999996185303</v>
      </c>
      <c r="T650">
        <v>1052</v>
      </c>
      <c r="U650">
        <v>261</v>
      </c>
      <c r="V650">
        <v>0</v>
      </c>
      <c r="W650">
        <v>120</v>
      </c>
      <c r="X650">
        <v>763</v>
      </c>
      <c r="Y650">
        <v>1</v>
      </c>
      <c r="Z650">
        <v>361</v>
      </c>
      <c r="AA650">
        <v>1</v>
      </c>
      <c r="AB650">
        <v>25.5647692293734</v>
      </c>
      <c r="AC650">
        <v>2.1500986725457E-2</v>
      </c>
      <c r="AD650">
        <v>2.6596653537975801</v>
      </c>
      <c r="AE650">
        <v>0.44675439596176098</v>
      </c>
      <c r="AF650">
        <v>1505.5506756756799</v>
      </c>
      <c r="AG650">
        <f>IFERROR(AH650*0.1, "N/A")</f>
        <v>5.7336148648648706</v>
      </c>
      <c r="AH650">
        <v>57.336148648648702</v>
      </c>
      <c r="AI650">
        <v>16.167711138725299</v>
      </c>
      <c r="AJ650">
        <v>21.667229729729701</v>
      </c>
      <c r="AK650">
        <v>62.5033783783784</v>
      </c>
    </row>
    <row r="651" spans="1:37" x14ac:dyDescent="0.3">
      <c r="A651">
        <v>650</v>
      </c>
      <c r="B651">
        <v>15</v>
      </c>
      <c r="C651">
        <v>27.076599000000002</v>
      </c>
      <c r="D651">
        <v>-12.8531</v>
      </c>
      <c r="E651" t="s">
        <v>1082</v>
      </c>
      <c r="F651" t="s">
        <v>1083</v>
      </c>
      <c r="G651" t="s">
        <v>39</v>
      </c>
      <c r="H651">
        <v>1972</v>
      </c>
      <c r="I651">
        <v>20</v>
      </c>
      <c r="J651">
        <v>14.800000190734901</v>
      </c>
      <c r="K651">
        <v>57</v>
      </c>
      <c r="L651">
        <v>23.799999237060501</v>
      </c>
      <c r="M651">
        <v>31.600000381469702</v>
      </c>
      <c r="N651">
        <v>5.9000000953674299</v>
      </c>
      <c r="O651">
        <v>25.700000762939499</v>
      </c>
      <c r="P651">
        <v>21.200000762939499</v>
      </c>
      <c r="Q651">
        <v>16.5</v>
      </c>
      <c r="R651">
        <v>22.299999237060501</v>
      </c>
      <c r="S651">
        <v>16.399999618530298</v>
      </c>
      <c r="T651">
        <v>1195</v>
      </c>
      <c r="U651">
        <v>267</v>
      </c>
      <c r="V651">
        <v>0</v>
      </c>
      <c r="W651">
        <v>106</v>
      </c>
      <c r="X651">
        <v>759</v>
      </c>
      <c r="Y651">
        <v>2</v>
      </c>
      <c r="Z651">
        <v>192</v>
      </c>
      <c r="AA651">
        <v>5</v>
      </c>
      <c r="AB651">
        <v>10.8982830015334</v>
      </c>
      <c r="AC651">
        <v>4.9110333591246003E-2</v>
      </c>
      <c r="AD651">
        <v>1.53124113857444</v>
      </c>
      <c r="AE651">
        <v>0.16878680884838099</v>
      </c>
      <c r="AF651">
        <v>1222.9543147208101</v>
      </c>
      <c r="AG651">
        <f>IFERROR(AH651*0.1, "N/A")</f>
        <v>5.4527918781725901</v>
      </c>
      <c r="AH651">
        <v>54.527918781725901</v>
      </c>
      <c r="AI651">
        <v>190.30348519262299</v>
      </c>
      <c r="AJ651">
        <v>31.7225042301184</v>
      </c>
      <c r="AK651">
        <v>44.626057529610797</v>
      </c>
    </row>
    <row r="652" spans="1:37" x14ac:dyDescent="0.3">
      <c r="A652">
        <v>651</v>
      </c>
      <c r="B652">
        <v>26.799999</v>
      </c>
      <c r="C652">
        <v>28.094899999999999</v>
      </c>
      <c r="D652">
        <v>-12.842599999999999</v>
      </c>
      <c r="E652" t="s">
        <v>1084</v>
      </c>
      <c r="F652" t="s">
        <v>1085</v>
      </c>
      <c r="G652" t="s">
        <v>39</v>
      </c>
      <c r="H652">
        <v>1985</v>
      </c>
      <c r="I652">
        <v>19.600000381469702</v>
      </c>
      <c r="J652">
        <v>15.300000190734901</v>
      </c>
      <c r="K652">
        <v>56</v>
      </c>
      <c r="L652">
        <v>27.219999313354499</v>
      </c>
      <c r="M652">
        <v>31.399999618530298</v>
      </c>
      <c r="N652">
        <v>4.5</v>
      </c>
      <c r="O652">
        <v>26.899999618530298</v>
      </c>
      <c r="P652">
        <v>21.399999618530298</v>
      </c>
      <c r="Q652">
        <v>15.5</v>
      </c>
      <c r="R652">
        <v>22.200000762939499</v>
      </c>
      <c r="S652">
        <v>15.5</v>
      </c>
      <c r="T652">
        <v>1289</v>
      </c>
      <c r="U652">
        <v>299</v>
      </c>
      <c r="V652">
        <v>0</v>
      </c>
      <c r="W652">
        <v>109</v>
      </c>
      <c r="X652">
        <v>841</v>
      </c>
      <c r="Y652">
        <v>0</v>
      </c>
      <c r="Z652">
        <v>484</v>
      </c>
      <c r="AA652">
        <v>0</v>
      </c>
      <c r="AB652">
        <v>14.2985868957624</v>
      </c>
      <c r="AC652">
        <v>1.5880829085051999E-2</v>
      </c>
      <c r="AD652">
        <v>2.34020041119707</v>
      </c>
      <c r="AE652">
        <v>0.820734262466431</v>
      </c>
      <c r="AF652">
        <v>1303.81942078365</v>
      </c>
      <c r="AG652">
        <f>IFERROR(AH652*0.1, "N/A")</f>
        <v>5.4717206132879106</v>
      </c>
      <c r="AH652">
        <v>54.717206132879099</v>
      </c>
      <c r="AI652">
        <v>103.375648219094</v>
      </c>
      <c r="AJ652">
        <v>31</v>
      </c>
      <c r="AK652">
        <v>55.282793867121001</v>
      </c>
    </row>
    <row r="653" spans="1:37" x14ac:dyDescent="0.3">
      <c r="A653">
        <v>652</v>
      </c>
      <c r="B653">
        <v>14.5</v>
      </c>
      <c r="C653">
        <v>28.197500000000002</v>
      </c>
      <c r="D653">
        <v>-12.7956</v>
      </c>
      <c r="E653" t="s">
        <v>1086</v>
      </c>
      <c r="F653" t="s">
        <v>1087</v>
      </c>
      <c r="G653" t="s">
        <v>39</v>
      </c>
      <c r="H653">
        <v>1975</v>
      </c>
      <c r="I653">
        <v>19.899999618530298</v>
      </c>
      <c r="J653">
        <v>15.3999996185303</v>
      </c>
      <c r="K653">
        <v>56</v>
      </c>
      <c r="L653">
        <v>27.540000915527301</v>
      </c>
      <c r="M653">
        <v>31.700000762939499</v>
      </c>
      <c r="N653">
        <v>4.5999999046325701</v>
      </c>
      <c r="O653">
        <v>27.100000381469702</v>
      </c>
      <c r="P653">
        <v>21.700000762939499</v>
      </c>
      <c r="Q653">
        <v>15.800000190734901</v>
      </c>
      <c r="R653">
        <v>22.5</v>
      </c>
      <c r="S653">
        <v>15.800000190734901</v>
      </c>
      <c r="T653">
        <v>1293</v>
      </c>
      <c r="U653">
        <v>301</v>
      </c>
      <c r="V653">
        <v>0</v>
      </c>
      <c r="W653">
        <v>109</v>
      </c>
      <c r="X653">
        <v>845</v>
      </c>
      <c r="Y653">
        <v>0</v>
      </c>
      <c r="Z653">
        <v>483</v>
      </c>
      <c r="AA653">
        <v>0</v>
      </c>
      <c r="AB653">
        <v>8.9214587195444892</v>
      </c>
      <c r="AC653">
        <v>5.5804788494893003E-2</v>
      </c>
      <c r="AD653">
        <v>2.00929082672475</v>
      </c>
      <c r="AE653">
        <v>0.94265107532679004</v>
      </c>
      <c r="AF653">
        <v>1235.98813559322</v>
      </c>
      <c r="AG653">
        <f>IFERROR(AH653*0.1, "N/A")</f>
        <v>6.2</v>
      </c>
      <c r="AH653">
        <v>62</v>
      </c>
      <c r="AI653">
        <v>63.3952581955215</v>
      </c>
      <c r="AJ653">
        <v>34</v>
      </c>
      <c r="AK653">
        <v>45.049152542372902</v>
      </c>
    </row>
    <row r="654" spans="1:37" x14ac:dyDescent="0.3">
      <c r="A654">
        <v>653</v>
      </c>
      <c r="B654">
        <v>4.3</v>
      </c>
      <c r="C654">
        <v>30.746599</v>
      </c>
      <c r="D654">
        <v>-12.785600000000001</v>
      </c>
      <c r="E654" t="s">
        <v>1088</v>
      </c>
      <c r="F654" t="s">
        <v>1089</v>
      </c>
      <c r="G654" t="s">
        <v>39</v>
      </c>
      <c r="H654">
        <v>0</v>
      </c>
      <c r="I654">
        <v>18.899999618530298</v>
      </c>
      <c r="J654">
        <v>12.1000003814697</v>
      </c>
      <c r="K654">
        <v>56</v>
      </c>
      <c r="L654">
        <v>22.579999923706101</v>
      </c>
      <c r="M654">
        <v>29.399999618530298</v>
      </c>
      <c r="N654">
        <v>8.1000003814697301</v>
      </c>
      <c r="O654">
        <v>21.299999237060501</v>
      </c>
      <c r="P654">
        <v>20.200000762939499</v>
      </c>
      <c r="Q654">
        <v>15.5</v>
      </c>
      <c r="R654">
        <v>21.299999237060501</v>
      </c>
      <c r="S654">
        <v>15.5</v>
      </c>
      <c r="T654">
        <v>1058</v>
      </c>
      <c r="U654">
        <v>261</v>
      </c>
      <c r="V654">
        <v>0</v>
      </c>
      <c r="W654">
        <v>118</v>
      </c>
      <c r="X654">
        <v>763</v>
      </c>
      <c r="Y654">
        <v>1</v>
      </c>
      <c r="Z654">
        <v>362</v>
      </c>
      <c r="AA654">
        <v>1</v>
      </c>
      <c r="AB654">
        <v>2.3803250842264401</v>
      </c>
      <c r="AC654">
        <v>1.73479815404578</v>
      </c>
      <c r="AD654">
        <v>2.6277463116346298</v>
      </c>
      <c r="AE654">
        <v>0.360993921756744</v>
      </c>
      <c r="AF654">
        <v>1492.4380305602699</v>
      </c>
      <c r="AG654">
        <f>IFERROR(AH654*0.1, "N/A")</f>
        <v>5.8000000000000007</v>
      </c>
      <c r="AH654">
        <v>58</v>
      </c>
      <c r="AI654">
        <v>131.40677134088</v>
      </c>
      <c r="AJ654">
        <v>22</v>
      </c>
      <c r="AK654">
        <v>63</v>
      </c>
    </row>
    <row r="655" spans="1:37" x14ac:dyDescent="0.3">
      <c r="A655">
        <v>654</v>
      </c>
      <c r="B655">
        <v>0</v>
      </c>
      <c r="C655">
        <v>30.746599</v>
      </c>
      <c r="D655">
        <v>-12.785600000000001</v>
      </c>
      <c r="E655" t="s">
        <v>1088</v>
      </c>
      <c r="F655" t="s">
        <v>1090</v>
      </c>
      <c r="G655" t="s">
        <v>37</v>
      </c>
      <c r="H655">
        <v>0</v>
      </c>
      <c r="I655">
        <v>18.899999618530298</v>
      </c>
      <c r="J655">
        <v>12.1000003814697</v>
      </c>
      <c r="K655">
        <v>56</v>
      </c>
      <c r="L655">
        <v>22.579999923706101</v>
      </c>
      <c r="M655">
        <v>29.399999618530298</v>
      </c>
      <c r="N655">
        <v>8.1000003814697301</v>
      </c>
      <c r="O655">
        <v>21.299999237060501</v>
      </c>
      <c r="P655">
        <v>20.200000762939499</v>
      </c>
      <c r="Q655">
        <v>15.5</v>
      </c>
      <c r="R655">
        <v>21.299999237060501</v>
      </c>
      <c r="S655">
        <v>15.5</v>
      </c>
      <c r="T655">
        <v>1058</v>
      </c>
      <c r="U655">
        <v>261</v>
      </c>
      <c r="V655">
        <v>0</v>
      </c>
      <c r="W655">
        <v>118</v>
      </c>
      <c r="X655">
        <v>763</v>
      </c>
      <c r="Y655">
        <v>1</v>
      </c>
      <c r="Z655">
        <v>362</v>
      </c>
      <c r="AA655">
        <v>1</v>
      </c>
      <c r="AB655">
        <v>2.3803250842264401</v>
      </c>
      <c r="AC655">
        <v>1.73479815404578</v>
      </c>
      <c r="AD655">
        <v>2.6277463116346298</v>
      </c>
      <c r="AE655">
        <v>0.360993921756744</v>
      </c>
      <c r="AF655">
        <v>1492.4380305602699</v>
      </c>
      <c r="AG655">
        <f>IFERROR(AH655*0.1, "N/A")</f>
        <v>5.8000000000000007</v>
      </c>
      <c r="AH655">
        <v>58</v>
      </c>
      <c r="AI655">
        <v>131.40677134088</v>
      </c>
      <c r="AJ655">
        <v>22</v>
      </c>
      <c r="AK655">
        <v>63</v>
      </c>
    </row>
    <row r="656" spans="1:37" x14ac:dyDescent="0.3">
      <c r="A656">
        <v>655</v>
      </c>
      <c r="B656">
        <v>10</v>
      </c>
      <c r="C656">
        <v>28.224501</v>
      </c>
      <c r="D656">
        <v>-12.7784</v>
      </c>
      <c r="E656" t="s">
        <v>1091</v>
      </c>
      <c r="F656" t="s">
        <v>1092</v>
      </c>
      <c r="G656" t="s">
        <v>39</v>
      </c>
      <c r="H656">
        <v>0</v>
      </c>
      <c r="I656">
        <v>20</v>
      </c>
      <c r="J656">
        <v>15.3999996185303</v>
      </c>
      <c r="K656">
        <v>56</v>
      </c>
      <c r="L656">
        <v>27.448098336496699</v>
      </c>
      <c r="M656">
        <v>31.714941254698399</v>
      </c>
      <c r="N656">
        <v>4.6074701861331304</v>
      </c>
      <c r="O656">
        <v>27.107470698591399</v>
      </c>
      <c r="P656">
        <v>21.799999237060501</v>
      </c>
      <c r="Q656">
        <v>15.800000190734901</v>
      </c>
      <c r="R656">
        <v>22.507470317121701</v>
      </c>
      <c r="S656">
        <v>15.800000190734901</v>
      </c>
      <c r="T656">
        <v>1285.62648556876</v>
      </c>
      <c r="U656">
        <v>299.92529711375198</v>
      </c>
      <c r="V656">
        <v>0</v>
      </c>
      <c r="W656">
        <v>109</v>
      </c>
      <c r="X656">
        <v>840.77589134125606</v>
      </c>
      <c r="Y656">
        <v>0</v>
      </c>
      <c r="Z656">
        <v>478.85059422750402</v>
      </c>
      <c r="AA656">
        <v>0</v>
      </c>
      <c r="AB656">
        <v>15.7677756343511</v>
      </c>
      <c r="AC656">
        <v>4.0327461722586999E-2</v>
      </c>
      <c r="AD656">
        <v>2.29778019216146</v>
      </c>
      <c r="AE656">
        <v>0.88746638239340803</v>
      </c>
      <c r="AF656">
        <v>1223.05942275042</v>
      </c>
      <c r="AG656">
        <f>IFERROR(AH656*0.1, "N/A")</f>
        <v>6.0171477079796301</v>
      </c>
      <c r="AH656">
        <v>60.171477079796297</v>
      </c>
      <c r="AI656">
        <v>118.433452896028</v>
      </c>
      <c r="AJ656">
        <v>28.969439728353102</v>
      </c>
      <c r="AK656">
        <v>54.179966044142603</v>
      </c>
    </row>
    <row r="657" spans="1:37" x14ac:dyDescent="0.3">
      <c r="A657">
        <v>656</v>
      </c>
      <c r="B657">
        <v>8</v>
      </c>
      <c r="C657">
        <v>28.200800000000001</v>
      </c>
      <c r="D657">
        <v>-12.7746</v>
      </c>
      <c r="E657" t="s">
        <v>1093</v>
      </c>
      <c r="F657" t="s">
        <v>1094</v>
      </c>
      <c r="G657" t="s">
        <v>39</v>
      </c>
      <c r="H657">
        <v>0</v>
      </c>
      <c r="I657">
        <v>19.899999618530298</v>
      </c>
      <c r="J657">
        <v>15.4787775081771</v>
      </c>
      <c r="K657">
        <v>56</v>
      </c>
      <c r="L657">
        <v>27.649423048735098</v>
      </c>
      <c r="M657">
        <v>31.721222849977</v>
      </c>
      <c r="N657">
        <v>4.5</v>
      </c>
      <c r="O657">
        <v>27.221222849977</v>
      </c>
      <c r="P657">
        <v>21.721222849977</v>
      </c>
      <c r="Q657">
        <v>15.778777698911901</v>
      </c>
      <c r="R657">
        <v>22.5</v>
      </c>
      <c r="S657">
        <v>15.778777698911901</v>
      </c>
      <c r="T657">
        <v>1289</v>
      </c>
      <c r="U657">
        <v>300</v>
      </c>
      <c r="V657">
        <v>0</v>
      </c>
      <c r="W657">
        <v>109</v>
      </c>
      <c r="X657">
        <v>842</v>
      </c>
      <c r="Y657">
        <v>0</v>
      </c>
      <c r="Z657">
        <v>480</v>
      </c>
      <c r="AA657">
        <v>0</v>
      </c>
      <c r="AB657">
        <v>46.5307513562447</v>
      </c>
      <c r="AC657">
        <v>2.6182350144423001E-2</v>
      </c>
      <c r="AD657">
        <v>1.17312179133929</v>
      </c>
      <c r="AE657">
        <v>0.85983490498644799</v>
      </c>
      <c r="AF657">
        <v>1241.3786078098501</v>
      </c>
      <c r="AG657">
        <f>IFERROR(AH657*0.1, "N/A")</f>
        <v>5.8887945670628206</v>
      </c>
      <c r="AH657">
        <v>58.887945670628199</v>
      </c>
      <c r="AI657">
        <v>168.44057901120101</v>
      </c>
      <c r="AJ657">
        <v>34</v>
      </c>
      <c r="AK657">
        <v>49.887945670628199</v>
      </c>
    </row>
    <row r="658" spans="1:37" x14ac:dyDescent="0.3">
      <c r="A658">
        <v>657</v>
      </c>
      <c r="B658">
        <v>10</v>
      </c>
      <c r="C658">
        <v>28.227501</v>
      </c>
      <c r="D658">
        <v>-12.768000000000001</v>
      </c>
      <c r="E658" t="s">
        <v>1095</v>
      </c>
      <c r="F658" t="s">
        <v>1096</v>
      </c>
      <c r="G658" t="s">
        <v>39</v>
      </c>
      <c r="H658">
        <v>0</v>
      </c>
      <c r="I658">
        <v>20</v>
      </c>
      <c r="J658">
        <v>15.3999996185303</v>
      </c>
      <c r="K658">
        <v>56</v>
      </c>
      <c r="L658">
        <v>27.680000305175799</v>
      </c>
      <c r="M658">
        <v>31.799999237060501</v>
      </c>
      <c r="N658">
        <v>4.6999998092651403</v>
      </c>
      <c r="O658">
        <v>27.100000381469702</v>
      </c>
      <c r="P658">
        <v>21.899999618530298</v>
      </c>
      <c r="Q658">
        <v>15.8999996185303</v>
      </c>
      <c r="R658">
        <v>22.600000381469702</v>
      </c>
      <c r="S658">
        <v>15.8999996185303</v>
      </c>
      <c r="T658">
        <v>1280</v>
      </c>
      <c r="U658">
        <v>299</v>
      </c>
      <c r="V658">
        <v>0</v>
      </c>
      <c r="W658">
        <v>109</v>
      </c>
      <c r="X658">
        <v>837</v>
      </c>
      <c r="Y658">
        <v>0</v>
      </c>
      <c r="Z658">
        <v>476</v>
      </c>
      <c r="AA658">
        <v>0</v>
      </c>
      <c r="AB658">
        <v>22.928080344159799</v>
      </c>
      <c r="AC658">
        <v>2.8465131603420998E-2</v>
      </c>
      <c r="AD658">
        <v>3.2001686689212199</v>
      </c>
      <c r="AE658">
        <v>0.85310846567153897</v>
      </c>
      <c r="AF658">
        <v>1206.0338409475501</v>
      </c>
      <c r="AG658">
        <f>IFERROR(AH658*0.1, "N/A")</f>
        <v>6.1925549915397609</v>
      </c>
      <c r="AH658">
        <v>61.925549915397603</v>
      </c>
      <c r="AI658">
        <v>185.17944172634901</v>
      </c>
      <c r="AJ658">
        <v>30.045685279187801</v>
      </c>
      <c r="AK658">
        <v>51.324873096446701</v>
      </c>
    </row>
    <row r="659" spans="1:37" x14ac:dyDescent="0.3">
      <c r="A659">
        <v>658</v>
      </c>
      <c r="B659">
        <v>60</v>
      </c>
      <c r="C659">
        <v>28.171700000000001</v>
      </c>
      <c r="D659">
        <v>-12.7241</v>
      </c>
      <c r="E659" t="s">
        <v>1097</v>
      </c>
      <c r="F659" t="s">
        <v>1098</v>
      </c>
      <c r="G659" t="s">
        <v>39</v>
      </c>
      <c r="H659">
        <v>0</v>
      </c>
      <c r="I659">
        <v>19.991722941398599</v>
      </c>
      <c r="J659">
        <v>15.6000003814697</v>
      </c>
      <c r="K659">
        <v>56</v>
      </c>
      <c r="L659">
        <v>27.870625064179698</v>
      </c>
      <c r="M659">
        <v>31.700000762939499</v>
      </c>
      <c r="N659">
        <v>4.2917231321334803</v>
      </c>
      <c r="O659">
        <v>27.408276677131699</v>
      </c>
      <c r="P659">
        <v>21.791722336330899</v>
      </c>
      <c r="Q659">
        <v>15.783446152468001</v>
      </c>
      <c r="R659">
        <v>22.5</v>
      </c>
      <c r="S659">
        <v>15.783446152468001</v>
      </c>
      <c r="T659">
        <v>1281.3310810810799</v>
      </c>
      <c r="U659">
        <v>300.08277027026998</v>
      </c>
      <c r="V659">
        <v>0</v>
      </c>
      <c r="W659">
        <v>108.91722972973</v>
      </c>
      <c r="X659">
        <v>831.33108108108104</v>
      </c>
      <c r="Y659">
        <v>0</v>
      </c>
      <c r="Z659">
        <v>476.16554054054097</v>
      </c>
      <c r="AA659">
        <v>0</v>
      </c>
      <c r="AB659">
        <v>26.8979275677655</v>
      </c>
      <c r="AC659">
        <v>3.6975201758921002E-2</v>
      </c>
      <c r="AD659">
        <v>1.4560208834103601</v>
      </c>
      <c r="AE659">
        <v>0.68295417635424704</v>
      </c>
      <c r="AF659">
        <v>1231.05743243243</v>
      </c>
      <c r="AG659">
        <f>IFERROR(AH659*0.1, "N/A")</f>
        <v>5.7175675675675706</v>
      </c>
      <c r="AH659">
        <v>57.175675675675699</v>
      </c>
      <c r="AI659">
        <v>323.78642561628999</v>
      </c>
      <c r="AJ659">
        <v>27.552364864864899</v>
      </c>
      <c r="AK659">
        <v>53.577702702702702</v>
      </c>
    </row>
    <row r="660" spans="1:37" x14ac:dyDescent="0.3">
      <c r="A660">
        <v>659</v>
      </c>
      <c r="B660">
        <v>5</v>
      </c>
      <c r="C660">
        <v>30.395399000000001</v>
      </c>
      <c r="D660">
        <v>-12.6013</v>
      </c>
      <c r="E660" t="s">
        <v>1099</v>
      </c>
      <c r="F660" t="s">
        <v>1100</v>
      </c>
      <c r="G660" t="s">
        <v>39</v>
      </c>
      <c r="H660">
        <v>0</v>
      </c>
      <c r="I660">
        <v>20.200000762939499</v>
      </c>
      <c r="J660">
        <v>12.6000003814697</v>
      </c>
      <c r="K660">
        <v>57</v>
      </c>
      <c r="L660">
        <v>23.879999160766602</v>
      </c>
      <c r="M660">
        <v>30.799999237060501</v>
      </c>
      <c r="N660">
        <v>8.8000001907348597</v>
      </c>
      <c r="O660">
        <v>22</v>
      </c>
      <c r="P660">
        <v>21.600000381469702</v>
      </c>
      <c r="Q660">
        <v>16.600000381469702</v>
      </c>
      <c r="R660">
        <v>22.600000381469702</v>
      </c>
      <c r="S660">
        <v>16.600000381469702</v>
      </c>
      <c r="T660">
        <v>1094</v>
      </c>
      <c r="U660">
        <v>264</v>
      </c>
      <c r="V660">
        <v>0</v>
      </c>
      <c r="W660">
        <v>117</v>
      </c>
      <c r="X660">
        <v>777</v>
      </c>
      <c r="Y660">
        <v>0</v>
      </c>
      <c r="Z660">
        <v>376</v>
      </c>
      <c r="AA660">
        <v>0</v>
      </c>
      <c r="AB660">
        <v>7.09284256915657</v>
      </c>
      <c r="AC660">
        <v>1.8891906983466E-2</v>
      </c>
      <c r="AD660">
        <v>2.1638920094285701</v>
      </c>
      <c r="AE660">
        <v>0.236962735652924</v>
      </c>
      <c r="AF660">
        <v>1226.4693877550999</v>
      </c>
      <c r="AG660">
        <f>IFERROR(AH660*0.1, "N/A")</f>
        <v>5.5457482993197305</v>
      </c>
      <c r="AH660">
        <v>55.457482993197303</v>
      </c>
      <c r="AI660">
        <v>326.55809213028499</v>
      </c>
      <c r="AJ660">
        <v>22.957482993197299</v>
      </c>
      <c r="AK660">
        <v>60.022108843537403</v>
      </c>
    </row>
    <row r="661" spans="1:37" x14ac:dyDescent="0.3">
      <c r="A661">
        <v>660</v>
      </c>
      <c r="B661">
        <v>10</v>
      </c>
      <c r="C661">
        <v>30.395399000000001</v>
      </c>
      <c r="D661">
        <v>-12.6013</v>
      </c>
      <c r="E661" t="s">
        <v>1099</v>
      </c>
      <c r="F661" t="s">
        <v>1101</v>
      </c>
      <c r="G661" t="s">
        <v>37</v>
      </c>
      <c r="H661">
        <v>0</v>
      </c>
      <c r="I661">
        <v>20.200000762939499</v>
      </c>
      <c r="J661">
        <v>12.6000003814697</v>
      </c>
      <c r="K661">
        <v>57</v>
      </c>
      <c r="L661">
        <v>23.879999160766602</v>
      </c>
      <c r="M661">
        <v>30.799999237060501</v>
      </c>
      <c r="N661">
        <v>8.8000001907348597</v>
      </c>
      <c r="O661">
        <v>22</v>
      </c>
      <c r="P661">
        <v>21.600000381469702</v>
      </c>
      <c r="Q661">
        <v>16.600000381469702</v>
      </c>
      <c r="R661">
        <v>22.600000381469702</v>
      </c>
      <c r="S661">
        <v>16.600000381469702</v>
      </c>
      <c r="T661">
        <v>1094</v>
      </c>
      <c r="U661">
        <v>264</v>
      </c>
      <c r="V661">
        <v>0</v>
      </c>
      <c r="W661">
        <v>117</v>
      </c>
      <c r="X661">
        <v>777</v>
      </c>
      <c r="Y661">
        <v>0</v>
      </c>
      <c r="Z661">
        <v>376</v>
      </c>
      <c r="AA661">
        <v>0</v>
      </c>
      <c r="AB661">
        <v>7.09284256915657</v>
      </c>
      <c r="AC661">
        <v>1.8891906983466E-2</v>
      </c>
      <c r="AD661">
        <v>2.1638920094285701</v>
      </c>
      <c r="AE661">
        <v>0.236962735652924</v>
      </c>
      <c r="AF661">
        <v>1226.4693877550999</v>
      </c>
      <c r="AG661">
        <f>IFERROR(AH661*0.1, "N/A")</f>
        <v>5.5457482993197305</v>
      </c>
      <c r="AH661">
        <v>55.457482993197303</v>
      </c>
      <c r="AI661">
        <v>326.55809213028499</v>
      </c>
      <c r="AJ661">
        <v>22.957482993197299</v>
      </c>
      <c r="AK661">
        <v>60.022108843537403</v>
      </c>
    </row>
    <row r="662" spans="1:37" x14ac:dyDescent="0.3">
      <c r="A662">
        <v>661</v>
      </c>
      <c r="B662">
        <v>35.900002000000001</v>
      </c>
      <c r="C662">
        <v>27.622699999999998</v>
      </c>
      <c r="D662">
        <v>-12.5572</v>
      </c>
      <c r="E662" t="s">
        <v>1102</v>
      </c>
      <c r="F662" t="s">
        <v>1103</v>
      </c>
      <c r="G662" t="s">
        <v>39</v>
      </c>
      <c r="H662">
        <v>2003</v>
      </c>
      <c r="I662">
        <v>19.700000762939499</v>
      </c>
      <c r="J662">
        <v>15.300000190734901</v>
      </c>
      <c r="K662">
        <v>57</v>
      </c>
      <c r="L662">
        <v>24.909999847412099</v>
      </c>
      <c r="M662">
        <v>31.5</v>
      </c>
      <c r="N662">
        <v>4.9000000953674299</v>
      </c>
      <c r="O662">
        <v>26.600000381469702</v>
      </c>
      <c r="P662">
        <v>21</v>
      </c>
      <c r="Q662">
        <v>15.8999996185303</v>
      </c>
      <c r="R662">
        <v>21.899999618530298</v>
      </c>
      <c r="S662">
        <v>15.8999996185303</v>
      </c>
      <c r="T662">
        <v>1278</v>
      </c>
      <c r="U662">
        <v>294</v>
      </c>
      <c r="V662">
        <v>0</v>
      </c>
      <c r="W662">
        <v>109</v>
      </c>
      <c r="X662">
        <v>832</v>
      </c>
      <c r="Y662">
        <v>1</v>
      </c>
      <c r="Z662">
        <v>473</v>
      </c>
      <c r="AA662">
        <v>1</v>
      </c>
      <c r="AB662">
        <v>9.9065555909864003</v>
      </c>
      <c r="AC662">
        <v>1.0164450443838E-2</v>
      </c>
      <c r="AD662">
        <v>2.2843189590236799</v>
      </c>
      <c r="AE662">
        <v>0.43265175819397</v>
      </c>
      <c r="AF662">
        <v>1305.5612244898</v>
      </c>
      <c r="AG662">
        <f>IFERROR(AH662*0.1, "N/A")</f>
        <v>5.5879251700680301</v>
      </c>
      <c r="AH662">
        <v>55.8792517006803</v>
      </c>
      <c r="AI662">
        <v>55.911919833851499</v>
      </c>
      <c r="AJ662">
        <v>22.117346938775501</v>
      </c>
      <c r="AK662">
        <v>60.309523809523803</v>
      </c>
    </row>
    <row r="663" spans="1:37" x14ac:dyDescent="0.3">
      <c r="A663">
        <v>662</v>
      </c>
      <c r="B663">
        <v>37.400002000000001</v>
      </c>
      <c r="C663">
        <v>28.240967000000001</v>
      </c>
      <c r="D663">
        <v>-12.550269</v>
      </c>
      <c r="E663" t="s">
        <v>1104</v>
      </c>
      <c r="F663" t="s">
        <v>1105</v>
      </c>
      <c r="G663" t="s">
        <v>39</v>
      </c>
      <c r="H663">
        <v>1985</v>
      </c>
      <c r="I663">
        <v>19.7406781083446</v>
      </c>
      <c r="J663">
        <v>15.583051164271501</v>
      </c>
      <c r="K663">
        <v>56</v>
      </c>
      <c r="L663">
        <v>27.789491330162999</v>
      </c>
      <c r="M663">
        <v>31.5661019470732</v>
      </c>
      <c r="N663">
        <v>4.1288134364758502</v>
      </c>
      <c r="O663">
        <v>27.4372882196459</v>
      </c>
      <c r="P663">
        <v>21.628814050706801</v>
      </c>
      <c r="Q663">
        <v>15.5118644520388</v>
      </c>
      <c r="R663">
        <v>22.311864012378798</v>
      </c>
      <c r="S663">
        <v>15.5118644520388</v>
      </c>
      <c r="T663">
        <v>1271.40677966102</v>
      </c>
      <c r="U663">
        <v>301.88135593220301</v>
      </c>
      <c r="V663">
        <v>0</v>
      </c>
      <c r="W663">
        <v>108.406779661017</v>
      </c>
      <c r="X663">
        <v>821.81355932203405</v>
      </c>
      <c r="Y663">
        <v>0</v>
      </c>
      <c r="Z663">
        <v>465.76271186440698</v>
      </c>
      <c r="AA663">
        <v>0</v>
      </c>
      <c r="AB663">
        <v>14.0658933477887</v>
      </c>
      <c r="AC663">
        <v>2.7066040214276998E-2</v>
      </c>
      <c r="AD663">
        <v>1.36358471987611</v>
      </c>
      <c r="AE663">
        <v>0.86111925820172897</v>
      </c>
      <c r="AF663">
        <v>1283.8</v>
      </c>
      <c r="AG663">
        <f>IFERROR(AH663*0.1, "N/A")</f>
        <v>5.9711864406779709</v>
      </c>
      <c r="AH663">
        <v>59.711864406779704</v>
      </c>
      <c r="AI663">
        <v>198.027545010842</v>
      </c>
      <c r="AJ663">
        <v>27.7118644067797</v>
      </c>
      <c r="AK663">
        <v>57</v>
      </c>
    </row>
    <row r="664" spans="1:37" x14ac:dyDescent="0.3">
      <c r="A664">
        <v>663</v>
      </c>
      <c r="B664">
        <v>29</v>
      </c>
      <c r="C664">
        <v>27.854400999999999</v>
      </c>
      <c r="D664">
        <v>-12.5412</v>
      </c>
      <c r="E664" t="s">
        <v>1106</v>
      </c>
      <c r="F664" t="s">
        <v>1107</v>
      </c>
      <c r="G664" t="s">
        <v>39</v>
      </c>
      <c r="H664">
        <v>1985</v>
      </c>
      <c r="I664">
        <v>19.4662137930179</v>
      </c>
      <c r="J664">
        <v>15.4337858255124</v>
      </c>
      <c r="K664">
        <v>57</v>
      </c>
      <c r="L664">
        <v>25.829049163844299</v>
      </c>
      <c r="M664">
        <v>31.366213411548099</v>
      </c>
      <c r="N664">
        <v>4.4000000953674299</v>
      </c>
      <c r="O664">
        <v>26.9662137930179</v>
      </c>
      <c r="P664">
        <v>20.9662137930179</v>
      </c>
      <c r="Q664">
        <v>15.5662141744876</v>
      </c>
      <c r="R664">
        <v>21.866213411548099</v>
      </c>
      <c r="S664">
        <v>15.5662141744876</v>
      </c>
      <c r="T664">
        <v>1286.33786078098</v>
      </c>
      <c r="U664">
        <v>300.33786078098501</v>
      </c>
      <c r="V664">
        <v>0</v>
      </c>
      <c r="W664">
        <v>109</v>
      </c>
      <c r="X664">
        <v>843.33786078098501</v>
      </c>
      <c r="Y664">
        <v>0</v>
      </c>
      <c r="Z664">
        <v>477</v>
      </c>
      <c r="AA664">
        <v>0</v>
      </c>
      <c r="AB664">
        <v>23.571991847609802</v>
      </c>
      <c r="AC664">
        <v>1.1692682246350001E-2</v>
      </c>
      <c r="AD664">
        <v>2.67177190481098</v>
      </c>
      <c r="AE664">
        <v>0.92150023200111197</v>
      </c>
      <c r="AF664">
        <v>1357.5432937181699</v>
      </c>
      <c r="AG664">
        <f>IFERROR(AH664*0.1, "N/A")</f>
        <v>6.0962648556876102</v>
      </c>
      <c r="AH664">
        <v>60.962648556876097</v>
      </c>
      <c r="AI664">
        <v>272.72037256108098</v>
      </c>
      <c r="AJ664">
        <v>29.173174872665498</v>
      </c>
      <c r="AK664">
        <v>57.037351443123903</v>
      </c>
    </row>
    <row r="665" spans="1:37" x14ac:dyDescent="0.3">
      <c r="A665">
        <v>664</v>
      </c>
      <c r="B665">
        <v>0</v>
      </c>
      <c r="C665">
        <v>30.351900000000001</v>
      </c>
      <c r="D665">
        <v>-12.476599999999999</v>
      </c>
      <c r="E665" t="s">
        <v>1108</v>
      </c>
      <c r="F665" t="s">
        <v>1109</v>
      </c>
      <c r="G665" t="s">
        <v>39</v>
      </c>
      <c r="H665">
        <v>0</v>
      </c>
      <c r="I665">
        <v>20.299999237060501</v>
      </c>
      <c r="J665">
        <v>12.6000003814697</v>
      </c>
      <c r="K665">
        <v>57</v>
      </c>
      <c r="L665">
        <v>23.680000305175799</v>
      </c>
      <c r="M665">
        <v>30.899999618530298</v>
      </c>
      <c r="N665">
        <v>8.8999996185302699</v>
      </c>
      <c r="O665">
        <v>22</v>
      </c>
      <c r="P665">
        <v>21.700000762939499</v>
      </c>
      <c r="Q665">
        <v>16.700000762939499</v>
      </c>
      <c r="R665">
        <v>22.700000762939499</v>
      </c>
      <c r="S665">
        <v>16.700000762939499</v>
      </c>
      <c r="T665">
        <v>1119</v>
      </c>
      <c r="U665">
        <v>267</v>
      </c>
      <c r="V665">
        <v>0</v>
      </c>
      <c r="W665">
        <v>117</v>
      </c>
      <c r="X665">
        <v>789</v>
      </c>
      <c r="Y665">
        <v>0</v>
      </c>
      <c r="Z665">
        <v>384</v>
      </c>
      <c r="AA665">
        <v>0</v>
      </c>
      <c r="AB665">
        <v>7.8666713346684602</v>
      </c>
      <c r="AC665">
        <v>2.2605434599034999E-2</v>
      </c>
      <c r="AD665">
        <v>2.53103570829188</v>
      </c>
      <c r="AE665">
        <v>0.31560042031525398</v>
      </c>
      <c r="AF665">
        <v>1215.9373942470399</v>
      </c>
      <c r="AG665">
        <f>IFERROR(AH665*0.1, "N/A")</f>
        <v>5.6380710659898501</v>
      </c>
      <c r="AH665">
        <v>56.380710659898497</v>
      </c>
      <c r="AI665">
        <v>261.50511060995501</v>
      </c>
      <c r="AJ665">
        <v>24.142131979695399</v>
      </c>
      <c r="AK665">
        <v>60.881556683587199</v>
      </c>
    </row>
    <row r="666" spans="1:37" x14ac:dyDescent="0.3">
      <c r="A666">
        <v>665</v>
      </c>
      <c r="B666">
        <v>8.4</v>
      </c>
      <c r="C666">
        <v>30.351900000000001</v>
      </c>
      <c r="D666">
        <v>-12.476599999999999</v>
      </c>
      <c r="E666" t="s">
        <v>1108</v>
      </c>
      <c r="F666" t="s">
        <v>1110</v>
      </c>
      <c r="G666" t="s">
        <v>37</v>
      </c>
      <c r="H666">
        <v>0</v>
      </c>
      <c r="I666">
        <v>20.299999237060501</v>
      </c>
      <c r="J666">
        <v>12.6000003814697</v>
      </c>
      <c r="K666">
        <v>57</v>
      </c>
      <c r="L666">
        <v>23.680000305175799</v>
      </c>
      <c r="M666">
        <v>30.899999618530298</v>
      </c>
      <c r="N666">
        <v>8.8999996185302699</v>
      </c>
      <c r="O666">
        <v>22</v>
      </c>
      <c r="P666">
        <v>21.700000762939499</v>
      </c>
      <c r="Q666">
        <v>16.700000762939499</v>
      </c>
      <c r="R666">
        <v>22.700000762939499</v>
      </c>
      <c r="S666">
        <v>16.700000762939499</v>
      </c>
      <c r="T666">
        <v>1119</v>
      </c>
      <c r="U666">
        <v>267</v>
      </c>
      <c r="V666">
        <v>0</v>
      </c>
      <c r="W666">
        <v>117</v>
      </c>
      <c r="X666">
        <v>789</v>
      </c>
      <c r="Y666">
        <v>0</v>
      </c>
      <c r="Z666">
        <v>384</v>
      </c>
      <c r="AA666">
        <v>0</v>
      </c>
      <c r="AB666">
        <v>7.8666713346684602</v>
      </c>
      <c r="AC666">
        <v>2.2605434599034999E-2</v>
      </c>
      <c r="AD666">
        <v>2.53103570829188</v>
      </c>
      <c r="AE666">
        <v>0.31560042031525398</v>
      </c>
      <c r="AF666">
        <v>1215.9373942470399</v>
      </c>
      <c r="AG666">
        <f>IFERROR(AH666*0.1, "N/A")</f>
        <v>5.6380710659898501</v>
      </c>
      <c r="AH666">
        <v>56.380710659898497</v>
      </c>
      <c r="AI666">
        <v>261.50511060995501</v>
      </c>
      <c r="AJ666">
        <v>24.142131979695399</v>
      </c>
      <c r="AK666">
        <v>60.881556683587199</v>
      </c>
    </row>
    <row r="667" spans="1:37" x14ac:dyDescent="0.3">
      <c r="A667">
        <v>666</v>
      </c>
      <c r="B667">
        <v>5</v>
      </c>
      <c r="C667">
        <v>30.4909</v>
      </c>
      <c r="D667">
        <v>-12.4178</v>
      </c>
      <c r="E667" t="s">
        <v>1111</v>
      </c>
      <c r="F667" t="s">
        <v>1112</v>
      </c>
      <c r="G667" t="s">
        <v>39</v>
      </c>
      <c r="H667">
        <v>0</v>
      </c>
      <c r="I667">
        <v>20.299999237060501</v>
      </c>
      <c r="J667">
        <v>12.3999996185303</v>
      </c>
      <c r="K667">
        <v>56</v>
      </c>
      <c r="L667">
        <v>23.472465356191002</v>
      </c>
      <c r="M667">
        <v>30.799999237060501</v>
      </c>
      <c r="N667">
        <v>9</v>
      </c>
      <c r="O667">
        <v>21.799999237060501</v>
      </c>
      <c r="P667">
        <v>21.695068771336398</v>
      </c>
      <c r="Q667">
        <v>16.700000762939499</v>
      </c>
      <c r="R667">
        <v>22.695068771336398</v>
      </c>
      <c r="S667">
        <v>16.700000762939499</v>
      </c>
      <c r="T667">
        <v>1110.95068027211</v>
      </c>
      <c r="U667">
        <v>266</v>
      </c>
      <c r="V667">
        <v>0</v>
      </c>
      <c r="W667">
        <v>117</v>
      </c>
      <c r="X667">
        <v>782.95068027210903</v>
      </c>
      <c r="Y667">
        <v>0</v>
      </c>
      <c r="Z667">
        <v>380</v>
      </c>
      <c r="AA667">
        <v>0</v>
      </c>
      <c r="AB667">
        <v>11.081147278247199</v>
      </c>
      <c r="AC667">
        <v>2.3436038427017001E-2</v>
      </c>
      <c r="AD667">
        <v>1.09080238310861</v>
      </c>
      <c r="AE667">
        <v>0.14017237722873699</v>
      </c>
      <c r="AF667">
        <v>1235.05102040816</v>
      </c>
      <c r="AG667">
        <f>IFERROR(AH667*0.1, "N/A")</f>
        <v>5.4</v>
      </c>
      <c r="AH667">
        <v>54</v>
      </c>
      <c r="AI667">
        <v>184.400535804074</v>
      </c>
      <c r="AJ667">
        <v>24.802721088435401</v>
      </c>
      <c r="AK667">
        <v>61.775510204081598</v>
      </c>
    </row>
    <row r="668" spans="1:37" x14ac:dyDescent="0.3">
      <c r="A668">
        <v>667</v>
      </c>
      <c r="B668">
        <v>0</v>
      </c>
      <c r="C668">
        <v>30.4909</v>
      </c>
      <c r="D668">
        <v>-12.4178</v>
      </c>
      <c r="E668" t="s">
        <v>1111</v>
      </c>
      <c r="F668" t="s">
        <v>1113</v>
      </c>
      <c r="G668" t="s">
        <v>37</v>
      </c>
      <c r="H668">
        <v>0</v>
      </c>
      <c r="I668">
        <v>20.299999237060501</v>
      </c>
      <c r="J668">
        <v>12.3999996185303</v>
      </c>
      <c r="K668">
        <v>56</v>
      </c>
      <c r="L668">
        <v>23.472465356191002</v>
      </c>
      <c r="M668">
        <v>30.799999237060501</v>
      </c>
      <c r="N668">
        <v>9</v>
      </c>
      <c r="O668">
        <v>21.799999237060501</v>
      </c>
      <c r="P668">
        <v>21.695068771336398</v>
      </c>
      <c r="Q668">
        <v>16.700000762939499</v>
      </c>
      <c r="R668">
        <v>22.695068771336398</v>
      </c>
      <c r="S668">
        <v>16.700000762939499</v>
      </c>
      <c r="T668">
        <v>1110.95068027211</v>
      </c>
      <c r="U668">
        <v>266</v>
      </c>
      <c r="V668">
        <v>0</v>
      </c>
      <c r="W668">
        <v>117</v>
      </c>
      <c r="X668">
        <v>782.95068027210903</v>
      </c>
      <c r="Y668">
        <v>0</v>
      </c>
      <c r="Z668">
        <v>380</v>
      </c>
      <c r="AA668">
        <v>0</v>
      </c>
      <c r="AB668">
        <v>11.081147278247199</v>
      </c>
      <c r="AC668">
        <v>2.3436038427017001E-2</v>
      </c>
      <c r="AD668">
        <v>1.09080238310861</v>
      </c>
      <c r="AE668">
        <v>0.14017237722873699</v>
      </c>
      <c r="AF668">
        <v>1235.05102040816</v>
      </c>
      <c r="AG668">
        <f>IFERROR(AH668*0.1, "N/A")</f>
        <v>5.4</v>
      </c>
      <c r="AH668">
        <v>54</v>
      </c>
      <c r="AI668">
        <v>184.400535804074</v>
      </c>
      <c r="AJ668">
        <v>24.802721088435401</v>
      </c>
      <c r="AK668">
        <v>61.775510204081598</v>
      </c>
    </row>
    <row r="669" spans="1:37" x14ac:dyDescent="0.3">
      <c r="A669">
        <v>668</v>
      </c>
      <c r="B669">
        <v>30</v>
      </c>
      <c r="C669">
        <v>29.390899999999998</v>
      </c>
      <c r="D669">
        <v>-12.4025</v>
      </c>
      <c r="E669" t="s">
        <v>1114</v>
      </c>
      <c r="F669" t="s">
        <v>1115</v>
      </c>
      <c r="G669" t="s">
        <v>39</v>
      </c>
      <c r="H669">
        <v>1946</v>
      </c>
      <c r="I669">
        <v>20.5</v>
      </c>
      <c r="J669">
        <v>13.3999996185303</v>
      </c>
      <c r="K669">
        <v>56</v>
      </c>
      <c r="L669">
        <v>25.950000762939499</v>
      </c>
      <c r="M669">
        <v>31.5</v>
      </c>
      <c r="N669">
        <v>7.5999999046325701</v>
      </c>
      <c r="O669">
        <v>23.899999618530298</v>
      </c>
      <c r="P669">
        <v>22.100000381469702</v>
      </c>
      <c r="Q669">
        <v>16.5</v>
      </c>
      <c r="R669">
        <v>23</v>
      </c>
      <c r="S669">
        <v>16.5</v>
      </c>
      <c r="T669">
        <v>1213</v>
      </c>
      <c r="U669">
        <v>286</v>
      </c>
      <c r="V669">
        <v>0</v>
      </c>
      <c r="W669">
        <v>112</v>
      </c>
      <c r="X669">
        <v>821</v>
      </c>
      <c r="Y669">
        <v>0</v>
      </c>
      <c r="Z669">
        <v>430</v>
      </c>
      <c r="AA669">
        <v>0</v>
      </c>
      <c r="AB669">
        <v>1.0849342475503201</v>
      </c>
      <c r="AC669">
        <v>0.319658388617306</v>
      </c>
      <c r="AD669">
        <v>1.1642272253157699</v>
      </c>
      <c r="AE669">
        <v>0.30395147204399098</v>
      </c>
      <c r="AF669">
        <v>1165.5881355932199</v>
      </c>
      <c r="AG669">
        <f>IFERROR(AH669*0.1, "N/A")</f>
        <v>5.5079661016949109</v>
      </c>
      <c r="AH669">
        <v>55.079661016949103</v>
      </c>
      <c r="AI669">
        <v>227.256303134207</v>
      </c>
      <c r="AJ669">
        <v>21.159322033898299</v>
      </c>
      <c r="AK669">
        <v>57</v>
      </c>
    </row>
    <row r="670" spans="1:37" x14ac:dyDescent="0.3">
      <c r="A670">
        <v>669</v>
      </c>
      <c r="B670">
        <v>8.8000000000000007</v>
      </c>
      <c r="C670">
        <v>29.390899999999998</v>
      </c>
      <c r="D670">
        <v>-12.4025</v>
      </c>
      <c r="E670" t="s">
        <v>1114</v>
      </c>
      <c r="F670" t="s">
        <v>1116</v>
      </c>
      <c r="G670" t="s">
        <v>37</v>
      </c>
      <c r="H670">
        <v>1946</v>
      </c>
      <c r="I670">
        <v>20.5</v>
      </c>
      <c r="J670">
        <v>13.3999996185303</v>
      </c>
      <c r="K670">
        <v>56</v>
      </c>
      <c r="L670">
        <v>25.950000762939499</v>
      </c>
      <c r="M670">
        <v>31.5</v>
      </c>
      <c r="N670">
        <v>7.5999999046325701</v>
      </c>
      <c r="O670">
        <v>23.899999618530298</v>
      </c>
      <c r="P670">
        <v>22.100000381469702</v>
      </c>
      <c r="Q670">
        <v>16.5</v>
      </c>
      <c r="R670">
        <v>23</v>
      </c>
      <c r="S670">
        <v>16.5</v>
      </c>
      <c r="T670">
        <v>1213</v>
      </c>
      <c r="U670">
        <v>286</v>
      </c>
      <c r="V670">
        <v>0</v>
      </c>
      <c r="W670">
        <v>112</v>
      </c>
      <c r="X670">
        <v>821</v>
      </c>
      <c r="Y670">
        <v>0</v>
      </c>
      <c r="Z670">
        <v>430</v>
      </c>
      <c r="AA670">
        <v>0</v>
      </c>
      <c r="AB670">
        <v>1.0849342475503201</v>
      </c>
      <c r="AC670">
        <v>0.319658388617306</v>
      </c>
      <c r="AD670">
        <v>1.1642272253157699</v>
      </c>
      <c r="AE670">
        <v>0.30395147204399098</v>
      </c>
      <c r="AF670">
        <v>1165.5881355932199</v>
      </c>
      <c r="AG670">
        <f>IFERROR(AH670*0.1, "N/A")</f>
        <v>5.5079661016949109</v>
      </c>
      <c r="AH670">
        <v>55.079661016949103</v>
      </c>
      <c r="AI670">
        <v>227.256303134207</v>
      </c>
      <c r="AJ670">
        <v>21.159322033898299</v>
      </c>
      <c r="AK670">
        <v>57</v>
      </c>
    </row>
    <row r="671" spans="1:37" x14ac:dyDescent="0.3">
      <c r="A671">
        <v>670</v>
      </c>
      <c r="B671">
        <v>0</v>
      </c>
      <c r="C671">
        <v>26.122999</v>
      </c>
      <c r="D671">
        <v>-12.389900000000001</v>
      </c>
      <c r="E671" t="s">
        <v>1117</v>
      </c>
      <c r="F671" t="s">
        <v>1118</v>
      </c>
      <c r="G671" t="s">
        <v>39</v>
      </c>
      <c r="H671">
        <v>2007</v>
      </c>
      <c r="I671">
        <v>19.399999618530298</v>
      </c>
      <c r="J671">
        <v>14.8999996185303</v>
      </c>
      <c r="K671">
        <v>58</v>
      </c>
      <c r="L671">
        <v>24.290000915527301</v>
      </c>
      <c r="M671">
        <v>30.600000381469702</v>
      </c>
      <c r="N671">
        <v>5.0999999046325701</v>
      </c>
      <c r="O671">
        <v>25.5</v>
      </c>
      <c r="P671">
        <v>20.899999618530298</v>
      </c>
      <c r="Q671">
        <v>15.800000190734901</v>
      </c>
      <c r="R671">
        <v>21.399999618530298</v>
      </c>
      <c r="S671">
        <v>15.699999809265099</v>
      </c>
      <c r="T671">
        <v>1279</v>
      </c>
      <c r="U671">
        <v>265</v>
      </c>
      <c r="V671">
        <v>0</v>
      </c>
      <c r="W671">
        <v>101</v>
      </c>
      <c r="X671">
        <v>755</v>
      </c>
      <c r="Y671">
        <v>1</v>
      </c>
      <c r="Z671">
        <v>480</v>
      </c>
      <c r="AA671">
        <v>6</v>
      </c>
      <c r="AB671">
        <v>9.7873957229872897</v>
      </c>
      <c r="AC671">
        <v>0.11656787768321999</v>
      </c>
      <c r="AD671">
        <v>1.33253063832299</v>
      </c>
      <c r="AE671">
        <v>0.170748591423035</v>
      </c>
      <c r="AF671">
        <v>1362.4559322033899</v>
      </c>
      <c r="AG671">
        <f>IFERROR(AH671*0.1, "N/A")</f>
        <v>5.1930508474576307</v>
      </c>
      <c r="AH671">
        <v>51.9305084745763</v>
      </c>
      <c r="AI671">
        <v>254.09060194371099</v>
      </c>
      <c r="AJ671">
        <v>34.425423728813598</v>
      </c>
      <c r="AK671">
        <v>44.211864406779704</v>
      </c>
    </row>
    <row r="672" spans="1:37" x14ac:dyDescent="0.3">
      <c r="A672">
        <v>671</v>
      </c>
      <c r="B672">
        <v>2</v>
      </c>
      <c r="C672">
        <v>26.122999</v>
      </c>
      <c r="D672">
        <v>-12.389900000000001</v>
      </c>
      <c r="E672" t="s">
        <v>1117</v>
      </c>
      <c r="F672" t="s">
        <v>1119</v>
      </c>
      <c r="G672" t="s">
        <v>37</v>
      </c>
      <c r="H672">
        <v>2007</v>
      </c>
      <c r="I672">
        <v>19.399999618530298</v>
      </c>
      <c r="J672">
        <v>14.8999996185303</v>
      </c>
      <c r="K672">
        <v>58</v>
      </c>
      <c r="L672">
        <v>24.290000915527301</v>
      </c>
      <c r="M672">
        <v>30.600000381469702</v>
      </c>
      <c r="N672">
        <v>5.0999999046325701</v>
      </c>
      <c r="O672">
        <v>25.5</v>
      </c>
      <c r="P672">
        <v>20.899999618530298</v>
      </c>
      <c r="Q672">
        <v>15.800000190734901</v>
      </c>
      <c r="R672">
        <v>21.399999618530298</v>
      </c>
      <c r="S672">
        <v>15.699999809265099</v>
      </c>
      <c r="T672">
        <v>1279</v>
      </c>
      <c r="U672">
        <v>265</v>
      </c>
      <c r="V672">
        <v>0</v>
      </c>
      <c r="W672">
        <v>101</v>
      </c>
      <c r="X672">
        <v>755</v>
      </c>
      <c r="Y672">
        <v>1</v>
      </c>
      <c r="Z672">
        <v>480</v>
      </c>
      <c r="AA672">
        <v>6</v>
      </c>
      <c r="AB672">
        <v>9.7873957229872897</v>
      </c>
      <c r="AC672">
        <v>0.11656787768321999</v>
      </c>
      <c r="AD672">
        <v>1.33253063832299</v>
      </c>
      <c r="AE672">
        <v>0.170748591423035</v>
      </c>
      <c r="AF672">
        <v>1362.4559322033899</v>
      </c>
      <c r="AG672">
        <f>IFERROR(AH672*0.1, "N/A")</f>
        <v>5.1930508474576307</v>
      </c>
      <c r="AH672">
        <v>51.9305084745763</v>
      </c>
      <c r="AI672">
        <v>254.09060194371099</v>
      </c>
      <c r="AJ672">
        <v>34.425423728813598</v>
      </c>
      <c r="AK672">
        <v>44.211864406779704</v>
      </c>
    </row>
    <row r="673" spans="1:37" x14ac:dyDescent="0.3">
      <c r="A673">
        <v>672</v>
      </c>
      <c r="B673">
        <v>60</v>
      </c>
      <c r="C673">
        <v>27.361699999999999</v>
      </c>
      <c r="D673">
        <v>-12.388400000000001</v>
      </c>
      <c r="E673" t="s">
        <v>1120</v>
      </c>
      <c r="F673" t="s">
        <v>1121</v>
      </c>
      <c r="G673" t="s">
        <v>39</v>
      </c>
      <c r="H673">
        <v>1985</v>
      </c>
      <c r="I673">
        <v>19.5</v>
      </c>
      <c r="J673">
        <v>15</v>
      </c>
      <c r="K673">
        <v>57</v>
      </c>
      <c r="L673">
        <v>24.840000152587901</v>
      </c>
      <c r="M673">
        <v>31.299999237060501</v>
      </c>
      <c r="N673">
        <v>5.0999999046325701</v>
      </c>
      <c r="O673">
        <v>26.200000762939499</v>
      </c>
      <c r="P673">
        <v>20.899999618530298</v>
      </c>
      <c r="Q673">
        <v>15.800000190734901</v>
      </c>
      <c r="R673">
        <v>21.799999237060501</v>
      </c>
      <c r="S673">
        <v>15.800000190734901</v>
      </c>
      <c r="T673">
        <v>1276</v>
      </c>
      <c r="U673">
        <v>285</v>
      </c>
      <c r="V673">
        <v>0</v>
      </c>
      <c r="W673">
        <v>107</v>
      </c>
      <c r="X673">
        <v>815</v>
      </c>
      <c r="Y673">
        <v>1</v>
      </c>
      <c r="Z673">
        <v>473</v>
      </c>
      <c r="AA673">
        <v>1</v>
      </c>
      <c r="AB673">
        <v>3.3847874604051298</v>
      </c>
      <c r="AC673">
        <v>0.19982459560652199</v>
      </c>
      <c r="AD673">
        <v>1.26930832669926</v>
      </c>
      <c r="AE673">
        <v>0.29692096401520002</v>
      </c>
      <c r="AF673">
        <v>1302.43100511073</v>
      </c>
      <c r="AG673">
        <f>IFERROR(AH673*0.1, "N/A")</f>
        <v>6</v>
      </c>
      <c r="AH673">
        <v>60</v>
      </c>
      <c r="AI673">
        <v>221.736574371182</v>
      </c>
      <c r="AJ673">
        <v>30.730834752981298</v>
      </c>
      <c r="AK673">
        <v>47.807495741056201</v>
      </c>
    </row>
    <row r="674" spans="1:37" x14ac:dyDescent="0.3">
      <c r="A674">
        <v>673</v>
      </c>
      <c r="B674">
        <v>52</v>
      </c>
      <c r="C674">
        <v>27.840299999999999</v>
      </c>
      <c r="D674">
        <v>-12.3781</v>
      </c>
      <c r="E674" t="s">
        <v>1122</v>
      </c>
      <c r="F674" t="s">
        <v>1123</v>
      </c>
      <c r="G674" t="s">
        <v>39</v>
      </c>
      <c r="H674">
        <v>0</v>
      </c>
      <c r="I674">
        <v>19.5</v>
      </c>
      <c r="J674">
        <v>15.3999996185303</v>
      </c>
      <c r="K674">
        <v>57</v>
      </c>
      <c r="L674">
        <v>24.950000762939499</v>
      </c>
      <c r="M674">
        <v>31.5</v>
      </c>
      <c r="N674">
        <v>4.6999998092651403</v>
      </c>
      <c r="O674">
        <v>26.799999237060501</v>
      </c>
      <c r="P674">
        <v>20.899999618530298</v>
      </c>
      <c r="Q674">
        <v>15.699999809265099</v>
      </c>
      <c r="R674">
        <v>21.899999618530298</v>
      </c>
      <c r="S674">
        <v>15.699999809265099</v>
      </c>
      <c r="T674">
        <v>1285</v>
      </c>
      <c r="U674">
        <v>304</v>
      </c>
      <c r="V674">
        <v>0</v>
      </c>
      <c r="W674">
        <v>110</v>
      </c>
      <c r="X674">
        <v>840</v>
      </c>
      <c r="Y674">
        <v>0</v>
      </c>
      <c r="Z674">
        <v>466</v>
      </c>
      <c r="AA674">
        <v>0</v>
      </c>
      <c r="AB674">
        <v>40.238202702209797</v>
      </c>
      <c r="AC674">
        <v>5.4046846238393002E-2</v>
      </c>
      <c r="AD674">
        <v>2.2716364564029399</v>
      </c>
      <c r="AE674">
        <v>0.73112885686861395</v>
      </c>
      <c r="AF674">
        <v>1363.8455008489</v>
      </c>
      <c r="AG674">
        <f>IFERROR(AH674*0.1, "N/A")</f>
        <v>5.5280135823429504</v>
      </c>
      <c r="AH674">
        <v>55.280135823429497</v>
      </c>
      <c r="AI674">
        <v>123.021518752611</v>
      </c>
      <c r="AJ674">
        <v>24.718166383701199</v>
      </c>
      <c r="AK674">
        <v>62.662139219015302</v>
      </c>
    </row>
    <row r="675" spans="1:37" x14ac:dyDescent="0.3">
      <c r="A675">
        <v>674</v>
      </c>
      <c r="B675">
        <v>0</v>
      </c>
      <c r="C675">
        <v>27.840299999999999</v>
      </c>
      <c r="D675">
        <v>-12.3781</v>
      </c>
      <c r="E675" t="s">
        <v>1122</v>
      </c>
      <c r="F675" t="s">
        <v>1124</v>
      </c>
      <c r="G675" t="s">
        <v>37</v>
      </c>
      <c r="H675">
        <v>0</v>
      </c>
      <c r="I675">
        <v>19.5</v>
      </c>
      <c r="J675">
        <v>15.3999996185303</v>
      </c>
      <c r="K675">
        <v>57</v>
      </c>
      <c r="L675">
        <v>24.950000762939499</v>
      </c>
      <c r="M675">
        <v>31.5</v>
      </c>
      <c r="N675">
        <v>4.6999998092651403</v>
      </c>
      <c r="O675">
        <v>26.799999237060501</v>
      </c>
      <c r="P675">
        <v>20.899999618530298</v>
      </c>
      <c r="Q675">
        <v>15.699999809265099</v>
      </c>
      <c r="R675">
        <v>21.899999618530298</v>
      </c>
      <c r="S675">
        <v>15.699999809265099</v>
      </c>
      <c r="T675">
        <v>1285</v>
      </c>
      <c r="U675">
        <v>304</v>
      </c>
      <c r="V675">
        <v>0</v>
      </c>
      <c r="W675">
        <v>110</v>
      </c>
      <c r="X675">
        <v>840</v>
      </c>
      <c r="Y675">
        <v>0</v>
      </c>
      <c r="Z675">
        <v>466</v>
      </c>
      <c r="AA675">
        <v>0</v>
      </c>
      <c r="AB675">
        <v>40.238202702209797</v>
      </c>
      <c r="AC675">
        <v>5.4046846238393002E-2</v>
      </c>
      <c r="AD675">
        <v>2.2716364564029399</v>
      </c>
      <c r="AE675">
        <v>0.73112885686861395</v>
      </c>
      <c r="AF675">
        <v>1363.8455008489</v>
      </c>
      <c r="AG675">
        <f>IFERROR(AH675*0.1, "N/A")</f>
        <v>5.5280135823429504</v>
      </c>
      <c r="AH675">
        <v>55.280135823429497</v>
      </c>
      <c r="AI675">
        <v>123.021518752611</v>
      </c>
      <c r="AJ675">
        <v>24.718166383701199</v>
      </c>
      <c r="AK675">
        <v>62.662139219015302</v>
      </c>
    </row>
    <row r="676" spans="1:37" x14ac:dyDescent="0.3">
      <c r="A676">
        <v>675</v>
      </c>
      <c r="B676">
        <v>17</v>
      </c>
      <c r="C676">
        <v>27.837002999999999</v>
      </c>
      <c r="D676">
        <v>-12.372328</v>
      </c>
      <c r="E676" t="s">
        <v>1125</v>
      </c>
      <c r="F676" t="s">
        <v>1126</v>
      </c>
      <c r="G676" t="s">
        <v>39</v>
      </c>
      <c r="H676">
        <v>1985</v>
      </c>
      <c r="I676">
        <v>19.5</v>
      </c>
      <c r="J676">
        <v>15.300000190734901</v>
      </c>
      <c r="K676">
        <v>57</v>
      </c>
      <c r="L676">
        <v>24.799999237060501</v>
      </c>
      <c r="M676">
        <v>31.399999618530298</v>
      </c>
      <c r="N676">
        <v>4.6999998092651403</v>
      </c>
      <c r="O676">
        <v>26.700000762939499</v>
      </c>
      <c r="P676">
        <v>20.799999237060501</v>
      </c>
      <c r="Q676">
        <v>15.699999809265099</v>
      </c>
      <c r="R676">
        <v>21.799999237060501</v>
      </c>
      <c r="S676">
        <v>15.699999809265099</v>
      </c>
      <c r="T676">
        <v>1286</v>
      </c>
      <c r="U676">
        <v>304</v>
      </c>
      <c r="V676">
        <v>0</v>
      </c>
      <c r="W676">
        <v>110</v>
      </c>
      <c r="X676">
        <v>840</v>
      </c>
      <c r="Y676">
        <v>0</v>
      </c>
      <c r="Z676">
        <v>467</v>
      </c>
      <c r="AA676">
        <v>0</v>
      </c>
      <c r="AB676">
        <v>45.063915558121302</v>
      </c>
      <c r="AC676">
        <v>4.6860515785735003E-2</v>
      </c>
      <c r="AD676">
        <v>2.3332946670116299</v>
      </c>
      <c r="AE676">
        <v>0.83535063266754195</v>
      </c>
      <c r="AF676">
        <v>1360.12436115843</v>
      </c>
      <c r="AG676">
        <f>IFERROR(AH676*0.1, "N/A")</f>
        <v>5.6000000000000005</v>
      </c>
      <c r="AH676">
        <v>56</v>
      </c>
      <c r="AI676">
        <v>275.80425489903303</v>
      </c>
      <c r="AJ676">
        <v>27.030664395230001</v>
      </c>
      <c r="AK676">
        <v>59.969335604770002</v>
      </c>
    </row>
    <row r="677" spans="1:37" x14ac:dyDescent="0.3">
      <c r="A677">
        <v>676</v>
      </c>
      <c r="B677">
        <v>14</v>
      </c>
      <c r="C677">
        <v>26.7882</v>
      </c>
      <c r="D677">
        <v>-12.342499999999999</v>
      </c>
      <c r="E677" t="s">
        <v>1127</v>
      </c>
      <c r="F677" t="s">
        <v>1128</v>
      </c>
      <c r="G677" t="s">
        <v>39</v>
      </c>
      <c r="H677">
        <v>2007</v>
      </c>
      <c r="I677">
        <v>19.488265261358102</v>
      </c>
      <c r="J677">
        <v>14.9882652613581</v>
      </c>
      <c r="K677">
        <v>57.882653061224502</v>
      </c>
      <c r="L677">
        <v>24.535917729747499</v>
      </c>
      <c r="M677">
        <v>30.8882648798884</v>
      </c>
      <c r="N677">
        <v>5.0999999046325701</v>
      </c>
      <c r="O677">
        <v>25.7882647222402</v>
      </c>
      <c r="P677">
        <v>20.988265261358102</v>
      </c>
      <c r="Q677">
        <v>15.788265452093</v>
      </c>
      <c r="R677">
        <v>21.600000381469702</v>
      </c>
      <c r="S677">
        <v>15.788265452093</v>
      </c>
      <c r="T677">
        <v>1271.5867346938801</v>
      </c>
      <c r="U677">
        <v>273.117346938776</v>
      </c>
      <c r="V677">
        <v>0</v>
      </c>
      <c r="W677">
        <v>104.882653061225</v>
      </c>
      <c r="X677">
        <v>780.35204081632696</v>
      </c>
      <c r="Y677">
        <v>1</v>
      </c>
      <c r="Z677">
        <v>472.23469387755102</v>
      </c>
      <c r="AA677">
        <v>4.5306122448979602</v>
      </c>
      <c r="AB677">
        <v>10.914430371758099</v>
      </c>
      <c r="AC677">
        <v>9.0532352092998994E-2</v>
      </c>
      <c r="AD677">
        <v>3.2289499559369998</v>
      </c>
      <c r="AE677">
        <v>0.13304697060767501</v>
      </c>
      <c r="AF677">
        <v>1319.6394557823101</v>
      </c>
      <c r="AG677">
        <f>IFERROR(AH677*0.1, "N/A")</f>
        <v>5.1795918367346907</v>
      </c>
      <c r="AH677">
        <v>51.7959183673469</v>
      </c>
      <c r="AI677">
        <v>190.97824818098599</v>
      </c>
      <c r="AJ677">
        <v>31.1938775510204</v>
      </c>
      <c r="AK677">
        <v>46.408163265306101</v>
      </c>
    </row>
    <row r="678" spans="1:37" x14ac:dyDescent="0.3">
      <c r="A678">
        <v>677</v>
      </c>
      <c r="B678">
        <v>2</v>
      </c>
      <c r="C678">
        <v>26.7882</v>
      </c>
      <c r="D678">
        <v>-12.342499999999999</v>
      </c>
      <c r="E678" t="s">
        <v>1127</v>
      </c>
      <c r="F678" t="s">
        <v>1129</v>
      </c>
      <c r="G678" t="s">
        <v>37</v>
      </c>
      <c r="H678">
        <v>2007</v>
      </c>
      <c r="I678">
        <v>19.488265261358102</v>
      </c>
      <c r="J678">
        <v>14.9882652613581</v>
      </c>
      <c r="K678">
        <v>57.882653061224502</v>
      </c>
      <c r="L678">
        <v>24.535917729747499</v>
      </c>
      <c r="M678">
        <v>30.8882648798884</v>
      </c>
      <c r="N678">
        <v>5.0999999046325701</v>
      </c>
      <c r="O678">
        <v>25.7882647222402</v>
      </c>
      <c r="P678">
        <v>20.988265261358102</v>
      </c>
      <c r="Q678">
        <v>15.788265452093</v>
      </c>
      <c r="R678">
        <v>21.600000381469702</v>
      </c>
      <c r="S678">
        <v>15.788265452093</v>
      </c>
      <c r="T678">
        <v>1271.5867346938801</v>
      </c>
      <c r="U678">
        <v>273.117346938776</v>
      </c>
      <c r="V678">
        <v>0</v>
      </c>
      <c r="W678">
        <v>104.882653061225</v>
      </c>
      <c r="X678">
        <v>780.35204081632696</v>
      </c>
      <c r="Y678">
        <v>1</v>
      </c>
      <c r="Z678">
        <v>472.23469387755102</v>
      </c>
      <c r="AA678">
        <v>4.5306122448979602</v>
      </c>
      <c r="AB678">
        <v>10.914430371758099</v>
      </c>
      <c r="AC678">
        <v>9.0532352092998994E-2</v>
      </c>
      <c r="AD678">
        <v>3.2289499559369998</v>
      </c>
      <c r="AE678">
        <v>0.13304697060767501</v>
      </c>
      <c r="AF678">
        <v>1319.6394557823101</v>
      </c>
      <c r="AG678">
        <f>IFERROR(AH678*0.1, "N/A")</f>
        <v>5.1795918367346907</v>
      </c>
      <c r="AH678">
        <v>51.7959183673469</v>
      </c>
      <c r="AI678">
        <v>190.97824818098599</v>
      </c>
      <c r="AJ678">
        <v>31.1938775510204</v>
      </c>
      <c r="AK678">
        <v>46.408163265306101</v>
      </c>
    </row>
    <row r="679" spans="1:37" x14ac:dyDescent="0.3">
      <c r="A679">
        <v>678</v>
      </c>
      <c r="B679">
        <v>42.200001</v>
      </c>
      <c r="C679">
        <v>27.860800000000001</v>
      </c>
      <c r="D679">
        <v>-12.3292</v>
      </c>
      <c r="E679" t="s">
        <v>1130</v>
      </c>
      <c r="F679" t="s">
        <v>1131</v>
      </c>
      <c r="G679" t="s">
        <v>39</v>
      </c>
      <c r="H679">
        <v>2003</v>
      </c>
      <c r="I679">
        <v>19.700000762939499</v>
      </c>
      <c r="J679">
        <v>15.3999996185303</v>
      </c>
      <c r="K679">
        <v>57</v>
      </c>
      <c r="L679">
        <v>24.620000839233398</v>
      </c>
      <c r="M679">
        <v>31.700000762939499</v>
      </c>
      <c r="N679">
        <v>4.9000000953674299</v>
      </c>
      <c r="O679">
        <v>26.799999237060501</v>
      </c>
      <c r="P679">
        <v>21</v>
      </c>
      <c r="Q679">
        <v>16</v>
      </c>
      <c r="R679">
        <v>22</v>
      </c>
      <c r="S679">
        <v>16</v>
      </c>
      <c r="T679">
        <v>1272</v>
      </c>
      <c r="U679">
        <v>304</v>
      </c>
      <c r="V679">
        <v>0</v>
      </c>
      <c r="W679">
        <v>110</v>
      </c>
      <c r="X679">
        <v>831</v>
      </c>
      <c r="Y679">
        <v>0</v>
      </c>
      <c r="Z679">
        <v>457</v>
      </c>
      <c r="AA679">
        <v>0</v>
      </c>
      <c r="AB679">
        <v>3.7601628214171599</v>
      </c>
      <c r="AC679">
        <v>0.482137324524888</v>
      </c>
      <c r="AD679">
        <v>1.4099549711055199</v>
      </c>
      <c r="AE679">
        <v>0.61088889837265004</v>
      </c>
      <c r="AF679">
        <v>1323.2180579216399</v>
      </c>
      <c r="AG679">
        <f>IFERROR(AH679*0.1, "N/A")</f>
        <v>5.6681431005110703</v>
      </c>
      <c r="AH679">
        <v>56.681431005110703</v>
      </c>
      <c r="AI679">
        <v>110.346283628344</v>
      </c>
      <c r="AJ679">
        <v>26.408858603066399</v>
      </c>
      <c r="AK679">
        <v>52.318568994889297</v>
      </c>
    </row>
    <row r="680" spans="1:37" x14ac:dyDescent="0.3">
      <c r="A680">
        <v>679</v>
      </c>
      <c r="B680">
        <v>22</v>
      </c>
      <c r="C680">
        <v>26.817699000000001</v>
      </c>
      <c r="D680">
        <v>-12.263999999999999</v>
      </c>
      <c r="E680" t="s">
        <v>1132</v>
      </c>
      <c r="F680" t="s">
        <v>1133</v>
      </c>
      <c r="G680" t="s">
        <v>39</v>
      </c>
      <c r="H680">
        <v>2007</v>
      </c>
      <c r="I680">
        <v>19.5</v>
      </c>
      <c r="J680">
        <v>14.8999996185303</v>
      </c>
      <c r="K680">
        <v>57</v>
      </c>
      <c r="L680">
        <v>24.899999618530298</v>
      </c>
      <c r="M680">
        <v>30.899999618530298</v>
      </c>
      <c r="N680">
        <v>5.0999999046325701</v>
      </c>
      <c r="O680">
        <v>25.799999237060501</v>
      </c>
      <c r="P680">
        <v>21</v>
      </c>
      <c r="Q680">
        <v>15.699999809265099</v>
      </c>
      <c r="R680">
        <v>21.700000762939499</v>
      </c>
      <c r="S680">
        <v>15.699999809265099</v>
      </c>
      <c r="T680">
        <v>1276</v>
      </c>
      <c r="U680">
        <v>273</v>
      </c>
      <c r="V680">
        <v>0</v>
      </c>
      <c r="W680">
        <v>104</v>
      </c>
      <c r="X680">
        <v>782</v>
      </c>
      <c r="Y680">
        <v>1</v>
      </c>
      <c r="Z680">
        <v>474</v>
      </c>
      <c r="AA680">
        <v>1</v>
      </c>
      <c r="AB680">
        <v>18.392513548554799</v>
      </c>
      <c r="AC680">
        <v>1.7625845679473E-2</v>
      </c>
      <c r="AD680">
        <v>3.41427171311688</v>
      </c>
      <c r="AE680">
        <v>0.27016162872314498</v>
      </c>
      <c r="AF680">
        <v>1316.7508532423201</v>
      </c>
      <c r="AG680">
        <f>IFERROR(AH680*0.1, "N/A")</f>
        <v>5.3000000000000007</v>
      </c>
      <c r="AH680">
        <v>53</v>
      </c>
      <c r="AI680">
        <v>233.09531616106801</v>
      </c>
      <c r="AJ680">
        <v>34</v>
      </c>
      <c r="AK680">
        <v>42.945392491467601</v>
      </c>
    </row>
    <row r="681" spans="1:37" x14ac:dyDescent="0.3">
      <c r="A681">
        <v>680</v>
      </c>
      <c r="B681">
        <v>0</v>
      </c>
      <c r="C681">
        <v>26.817699000000001</v>
      </c>
      <c r="D681">
        <v>-12.263999999999999</v>
      </c>
      <c r="E681" t="s">
        <v>1132</v>
      </c>
      <c r="F681" t="s">
        <v>1134</v>
      </c>
      <c r="G681" t="s">
        <v>37</v>
      </c>
      <c r="H681">
        <v>2007</v>
      </c>
      <c r="I681">
        <v>19.5</v>
      </c>
      <c r="J681">
        <v>14.8999996185303</v>
      </c>
      <c r="K681">
        <v>57</v>
      </c>
      <c r="L681">
        <v>24.899999618530298</v>
      </c>
      <c r="M681">
        <v>30.899999618530298</v>
      </c>
      <c r="N681">
        <v>5.0999999046325701</v>
      </c>
      <c r="O681">
        <v>25.799999237060501</v>
      </c>
      <c r="P681">
        <v>21</v>
      </c>
      <c r="Q681">
        <v>15.699999809265099</v>
      </c>
      <c r="R681">
        <v>21.700000762939499</v>
      </c>
      <c r="S681">
        <v>15.699999809265099</v>
      </c>
      <c r="T681">
        <v>1276</v>
      </c>
      <c r="U681">
        <v>273</v>
      </c>
      <c r="V681">
        <v>0</v>
      </c>
      <c r="W681">
        <v>104</v>
      </c>
      <c r="X681">
        <v>782</v>
      </c>
      <c r="Y681">
        <v>1</v>
      </c>
      <c r="Z681">
        <v>474</v>
      </c>
      <c r="AA681">
        <v>1</v>
      </c>
      <c r="AB681">
        <v>18.392513548554799</v>
      </c>
      <c r="AC681">
        <v>1.7625845679473E-2</v>
      </c>
      <c r="AD681">
        <v>3.41427171311688</v>
      </c>
      <c r="AE681">
        <v>0.27016162872314498</v>
      </c>
      <c r="AF681">
        <v>1316.7508532423201</v>
      </c>
      <c r="AG681">
        <f>IFERROR(AH681*0.1, "N/A")</f>
        <v>5.3000000000000007</v>
      </c>
      <c r="AH681">
        <v>53</v>
      </c>
      <c r="AI681">
        <v>233.09531616106801</v>
      </c>
      <c r="AJ681">
        <v>34</v>
      </c>
      <c r="AK681">
        <v>42.945392491467601</v>
      </c>
    </row>
    <row r="682" spans="1:37" x14ac:dyDescent="0.3">
      <c r="A682">
        <v>681</v>
      </c>
      <c r="B682">
        <v>14</v>
      </c>
      <c r="C682">
        <v>26.7561</v>
      </c>
      <c r="D682">
        <v>-12.2317</v>
      </c>
      <c r="E682" t="s">
        <v>1135</v>
      </c>
      <c r="F682" t="s">
        <v>1136</v>
      </c>
      <c r="G682" t="s">
        <v>39</v>
      </c>
      <c r="H682">
        <v>2007</v>
      </c>
      <c r="I682">
        <v>19.5</v>
      </c>
      <c r="J682">
        <v>14.8999996185303</v>
      </c>
      <c r="K682">
        <v>57</v>
      </c>
      <c r="L682">
        <v>24.829999923706101</v>
      </c>
      <c r="M682">
        <v>30.799999237060501</v>
      </c>
      <c r="N682">
        <v>5</v>
      </c>
      <c r="O682">
        <v>25.799999237060501</v>
      </c>
      <c r="P682">
        <v>21</v>
      </c>
      <c r="Q682">
        <v>15.699999809265099</v>
      </c>
      <c r="R682">
        <v>21.600000381469702</v>
      </c>
      <c r="S682">
        <v>15.699999809265099</v>
      </c>
      <c r="T682">
        <v>1280</v>
      </c>
      <c r="U682">
        <v>273</v>
      </c>
      <c r="V682">
        <v>0</v>
      </c>
      <c r="W682">
        <v>104</v>
      </c>
      <c r="X682">
        <v>779</v>
      </c>
      <c r="Y682">
        <v>1</v>
      </c>
      <c r="Z682">
        <v>475</v>
      </c>
      <c r="AA682">
        <v>5</v>
      </c>
      <c r="AB682">
        <v>26.4414186429251</v>
      </c>
      <c r="AC682">
        <v>1.9020168923863E-2</v>
      </c>
      <c r="AD682">
        <v>1.20316477616628</v>
      </c>
      <c r="AE682">
        <v>0.29684803147001299</v>
      </c>
      <c r="AF682">
        <v>1327.5532994923899</v>
      </c>
      <c r="AG682">
        <f>IFERROR(AH682*0.1, "N/A")</f>
        <v>5.596785109983081</v>
      </c>
      <c r="AH682">
        <v>55.967851099830803</v>
      </c>
      <c r="AI682">
        <v>122.87174725088801</v>
      </c>
      <c r="AJ682">
        <v>33.642978003384101</v>
      </c>
      <c r="AK682">
        <v>44.032148900169197</v>
      </c>
    </row>
    <row r="683" spans="1:37" x14ac:dyDescent="0.3">
      <c r="A683">
        <v>682</v>
      </c>
      <c r="B683">
        <v>0</v>
      </c>
      <c r="C683">
        <v>26.7561</v>
      </c>
      <c r="D683">
        <v>-12.2317</v>
      </c>
      <c r="E683" t="s">
        <v>1135</v>
      </c>
      <c r="F683" t="s">
        <v>1137</v>
      </c>
      <c r="G683" t="s">
        <v>37</v>
      </c>
      <c r="H683">
        <v>2007</v>
      </c>
      <c r="I683">
        <v>19.5</v>
      </c>
      <c r="J683">
        <v>14.8999996185303</v>
      </c>
      <c r="K683">
        <v>57</v>
      </c>
      <c r="L683">
        <v>24.829999923706101</v>
      </c>
      <c r="M683">
        <v>30.799999237060501</v>
      </c>
      <c r="N683">
        <v>5</v>
      </c>
      <c r="O683">
        <v>25.799999237060501</v>
      </c>
      <c r="P683">
        <v>21</v>
      </c>
      <c r="Q683">
        <v>15.699999809265099</v>
      </c>
      <c r="R683">
        <v>21.600000381469702</v>
      </c>
      <c r="S683">
        <v>15.699999809265099</v>
      </c>
      <c r="T683">
        <v>1280</v>
      </c>
      <c r="U683">
        <v>273</v>
      </c>
      <c r="V683">
        <v>0</v>
      </c>
      <c r="W683">
        <v>104</v>
      </c>
      <c r="X683">
        <v>779</v>
      </c>
      <c r="Y683">
        <v>1</v>
      </c>
      <c r="Z683">
        <v>475</v>
      </c>
      <c r="AA683">
        <v>5</v>
      </c>
      <c r="AB683">
        <v>26.4414186429251</v>
      </c>
      <c r="AC683">
        <v>1.9020168923863E-2</v>
      </c>
      <c r="AD683">
        <v>1.20316477616628</v>
      </c>
      <c r="AE683">
        <v>0.29684803147001299</v>
      </c>
      <c r="AF683">
        <v>1327.5532994923899</v>
      </c>
      <c r="AG683">
        <f>IFERROR(AH683*0.1, "N/A")</f>
        <v>5.596785109983081</v>
      </c>
      <c r="AH683">
        <v>55.967851099830803</v>
      </c>
      <c r="AI683">
        <v>122.87174725088801</v>
      </c>
      <c r="AJ683">
        <v>33.642978003384101</v>
      </c>
      <c r="AK683">
        <v>44.032148900169197</v>
      </c>
    </row>
    <row r="684" spans="1:37" x14ac:dyDescent="0.3">
      <c r="A684">
        <v>683</v>
      </c>
      <c r="B684">
        <v>0</v>
      </c>
      <c r="C684">
        <v>26.3431</v>
      </c>
      <c r="D684">
        <v>-12.1889</v>
      </c>
      <c r="E684" t="s">
        <v>1138</v>
      </c>
      <c r="F684" t="s">
        <v>1139</v>
      </c>
      <c r="G684" t="s">
        <v>39</v>
      </c>
      <c r="H684">
        <v>2007</v>
      </c>
      <c r="I684">
        <v>19.200000762939499</v>
      </c>
      <c r="J684">
        <v>15</v>
      </c>
      <c r="K684">
        <v>58</v>
      </c>
      <c r="L684">
        <v>25.110000610351602</v>
      </c>
      <c r="M684">
        <v>30.299999237060501</v>
      </c>
      <c r="N684">
        <v>4.6999998092651403</v>
      </c>
      <c r="O684">
        <v>25.600000381469702</v>
      </c>
      <c r="P684">
        <v>20.799999237060501</v>
      </c>
      <c r="Q684">
        <v>15.5</v>
      </c>
      <c r="R684">
        <v>21.399999618530298</v>
      </c>
      <c r="S684">
        <v>15.300000190734901</v>
      </c>
      <c r="T684">
        <v>1310</v>
      </c>
      <c r="U684">
        <v>270</v>
      </c>
      <c r="V684">
        <v>0</v>
      </c>
      <c r="W684">
        <v>101</v>
      </c>
      <c r="X684">
        <v>768</v>
      </c>
      <c r="Y684">
        <v>1</v>
      </c>
      <c r="Z684">
        <v>482</v>
      </c>
      <c r="AA684">
        <v>6</v>
      </c>
      <c r="AB684">
        <v>17.750459839697601</v>
      </c>
      <c r="AC684">
        <v>2.1337958445557002E-2</v>
      </c>
      <c r="AD684">
        <v>1.13037101741956</v>
      </c>
      <c r="AE684">
        <v>0.51745985762602598</v>
      </c>
      <c r="AF684">
        <v>1389.43197278912</v>
      </c>
      <c r="AG684">
        <f>IFERROR(AH684*0.1, "N/A")</f>
        <v>5.6112244897959203</v>
      </c>
      <c r="AH684">
        <v>56.112244897959201</v>
      </c>
      <c r="AI684">
        <v>134.94917877353001</v>
      </c>
      <c r="AJ684">
        <v>28.112244897959201</v>
      </c>
      <c r="AK684">
        <v>57.775510204081598</v>
      </c>
    </row>
    <row r="685" spans="1:37" x14ac:dyDescent="0.3">
      <c r="A685">
        <v>684</v>
      </c>
      <c r="B685">
        <v>0</v>
      </c>
      <c r="C685">
        <v>26.3431</v>
      </c>
      <c r="D685">
        <v>-12.1889</v>
      </c>
      <c r="E685" t="s">
        <v>1138</v>
      </c>
      <c r="F685" t="s">
        <v>1140</v>
      </c>
      <c r="G685" t="s">
        <v>37</v>
      </c>
      <c r="H685">
        <v>2007</v>
      </c>
      <c r="I685">
        <v>19.200000762939499</v>
      </c>
      <c r="J685">
        <v>15</v>
      </c>
      <c r="K685">
        <v>58</v>
      </c>
      <c r="L685">
        <v>25.110000610351602</v>
      </c>
      <c r="M685">
        <v>30.299999237060501</v>
      </c>
      <c r="N685">
        <v>4.6999998092651403</v>
      </c>
      <c r="O685">
        <v>25.600000381469702</v>
      </c>
      <c r="P685">
        <v>20.799999237060501</v>
      </c>
      <c r="Q685">
        <v>15.5</v>
      </c>
      <c r="R685">
        <v>21.399999618530298</v>
      </c>
      <c r="S685">
        <v>15.300000190734901</v>
      </c>
      <c r="T685">
        <v>1310</v>
      </c>
      <c r="U685">
        <v>270</v>
      </c>
      <c r="V685">
        <v>0</v>
      </c>
      <c r="W685">
        <v>101</v>
      </c>
      <c r="X685">
        <v>768</v>
      </c>
      <c r="Y685">
        <v>1</v>
      </c>
      <c r="Z685">
        <v>482</v>
      </c>
      <c r="AA685">
        <v>6</v>
      </c>
      <c r="AB685">
        <v>17.750459839697601</v>
      </c>
      <c r="AC685">
        <v>2.1337958445557002E-2</v>
      </c>
      <c r="AD685">
        <v>1.13037101741956</v>
      </c>
      <c r="AE685">
        <v>0.51745985762602598</v>
      </c>
      <c r="AF685">
        <v>1389.43197278912</v>
      </c>
      <c r="AG685">
        <f>IFERROR(AH685*0.1, "N/A")</f>
        <v>5.6112244897959203</v>
      </c>
      <c r="AH685">
        <v>56.112244897959201</v>
      </c>
      <c r="AI685">
        <v>134.94917877353001</v>
      </c>
      <c r="AJ685">
        <v>28.112244897959201</v>
      </c>
      <c r="AK685">
        <v>57.775510204081598</v>
      </c>
    </row>
    <row r="686" spans="1:37" x14ac:dyDescent="0.3">
      <c r="A686">
        <v>685</v>
      </c>
      <c r="B686">
        <v>32.799999</v>
      </c>
      <c r="C686">
        <v>33.217799999999997</v>
      </c>
      <c r="D686">
        <v>-12.1302</v>
      </c>
      <c r="E686" t="s">
        <v>1141</v>
      </c>
      <c r="F686" t="s">
        <v>1142</v>
      </c>
      <c r="G686" t="s">
        <v>39</v>
      </c>
      <c r="H686">
        <v>2007</v>
      </c>
      <c r="I686">
        <v>20.200681024668199</v>
      </c>
      <c r="J686">
        <v>12.4006798932341</v>
      </c>
      <c r="K686">
        <v>56.006802721088398</v>
      </c>
      <c r="L686">
        <v>24.5582307569024</v>
      </c>
      <c r="M686">
        <v>30.100000381469702</v>
      </c>
      <c r="N686">
        <v>8.1006806496860193</v>
      </c>
      <c r="O686">
        <v>21.9993197252961</v>
      </c>
      <c r="P686">
        <v>21.8006795117644</v>
      </c>
      <c r="Q686">
        <v>16.5006802747039</v>
      </c>
      <c r="R686">
        <v>22.899999618530298</v>
      </c>
      <c r="S686">
        <v>16.5006802747039</v>
      </c>
      <c r="T686">
        <v>903.993197278911</v>
      </c>
      <c r="U686">
        <v>224</v>
      </c>
      <c r="V686">
        <v>0</v>
      </c>
      <c r="W686">
        <v>113</v>
      </c>
      <c r="X686">
        <v>605.98639455782302</v>
      </c>
      <c r="Y686">
        <v>1</v>
      </c>
      <c r="Z686">
        <v>254</v>
      </c>
      <c r="AA686">
        <v>1</v>
      </c>
      <c r="AB686">
        <v>11.814232651068201</v>
      </c>
      <c r="AC686">
        <v>3.4552047637348003E-2</v>
      </c>
      <c r="AD686">
        <v>0.85458167860297096</v>
      </c>
      <c r="AE686">
        <v>0.44759556651115401</v>
      </c>
      <c r="AF686">
        <v>1179.8843537415</v>
      </c>
      <c r="AG686">
        <f>IFERROR(AH686*0.1, "N/A")</f>
        <v>6.2</v>
      </c>
      <c r="AH686">
        <v>62</v>
      </c>
      <c r="AI686">
        <v>141.69897572523899</v>
      </c>
      <c r="AJ686">
        <v>17.993197278911602</v>
      </c>
      <c r="AK686">
        <v>74.013605442176896</v>
      </c>
    </row>
    <row r="687" spans="1:37" x14ac:dyDescent="0.3">
      <c r="A687">
        <v>686</v>
      </c>
      <c r="B687">
        <v>1.6</v>
      </c>
      <c r="C687">
        <v>31.335599999999999</v>
      </c>
      <c r="D687">
        <v>-12.0291</v>
      </c>
      <c r="E687" t="s">
        <v>1143</v>
      </c>
      <c r="F687" t="s">
        <v>1144</v>
      </c>
      <c r="G687" t="s">
        <v>39</v>
      </c>
      <c r="H687">
        <v>0</v>
      </c>
      <c r="I687">
        <v>19.299999237060501</v>
      </c>
      <c r="J687">
        <v>11.699999809265099</v>
      </c>
      <c r="K687">
        <v>55</v>
      </c>
      <c r="L687">
        <v>22.950000762939499</v>
      </c>
      <c r="M687">
        <v>29.600000381469702</v>
      </c>
      <c r="N687">
        <v>8.6999998092651403</v>
      </c>
      <c r="O687">
        <v>20.899999618530298</v>
      </c>
      <c r="P687">
        <v>20.5</v>
      </c>
      <c r="Q687">
        <v>15.8999996185303</v>
      </c>
      <c r="R687">
        <v>21.700000762939499</v>
      </c>
      <c r="S687">
        <v>15.8999996185303</v>
      </c>
      <c r="T687">
        <v>1061</v>
      </c>
      <c r="U687">
        <v>255</v>
      </c>
      <c r="V687">
        <v>0</v>
      </c>
      <c r="W687">
        <v>117</v>
      </c>
      <c r="X687">
        <v>744</v>
      </c>
      <c r="Y687">
        <v>0</v>
      </c>
      <c r="Z687">
        <v>362</v>
      </c>
      <c r="AA687">
        <v>0</v>
      </c>
      <c r="AB687">
        <v>13.7532275723923</v>
      </c>
      <c r="AC687">
        <v>6.9934647412709994E-2</v>
      </c>
      <c r="AD687">
        <v>1.94032144424451</v>
      </c>
      <c r="AE687">
        <v>0.52113604545593295</v>
      </c>
      <c r="AF687">
        <v>1429.795221843</v>
      </c>
      <c r="AG687">
        <f>IFERROR(AH687*0.1, "N/A")</f>
        <v>5.8000000000000007</v>
      </c>
      <c r="AH687">
        <v>58</v>
      </c>
      <c r="AI687">
        <v>133.31143014016001</v>
      </c>
      <c r="AJ687">
        <v>23.924914675767901</v>
      </c>
      <c r="AK687">
        <v>63.075085324232099</v>
      </c>
    </row>
    <row r="688" spans="1:37" x14ac:dyDescent="0.3">
      <c r="A688">
        <v>687</v>
      </c>
      <c r="B688">
        <v>0.7</v>
      </c>
      <c r="C688">
        <v>31.335599999999999</v>
      </c>
      <c r="D688">
        <v>-12.0291</v>
      </c>
      <c r="E688" t="s">
        <v>1143</v>
      </c>
      <c r="F688" t="s">
        <v>1145</v>
      </c>
      <c r="G688" t="s">
        <v>37</v>
      </c>
      <c r="H688">
        <v>0</v>
      </c>
      <c r="I688">
        <v>19.299999237060501</v>
      </c>
      <c r="J688">
        <v>11.699999809265099</v>
      </c>
      <c r="K688">
        <v>55</v>
      </c>
      <c r="L688">
        <v>22.950000762939499</v>
      </c>
      <c r="M688">
        <v>29.600000381469702</v>
      </c>
      <c r="N688">
        <v>8.6999998092651403</v>
      </c>
      <c r="O688">
        <v>20.899999618530298</v>
      </c>
      <c r="P688">
        <v>20.5</v>
      </c>
      <c r="Q688">
        <v>15.8999996185303</v>
      </c>
      <c r="R688">
        <v>21.700000762939499</v>
      </c>
      <c r="S688">
        <v>15.8999996185303</v>
      </c>
      <c r="T688">
        <v>1061</v>
      </c>
      <c r="U688">
        <v>255</v>
      </c>
      <c r="V688">
        <v>0</v>
      </c>
      <c r="W688">
        <v>117</v>
      </c>
      <c r="X688">
        <v>744</v>
      </c>
      <c r="Y688">
        <v>0</v>
      </c>
      <c r="Z688">
        <v>362</v>
      </c>
      <c r="AA688">
        <v>0</v>
      </c>
      <c r="AB688">
        <v>13.7532275723923</v>
      </c>
      <c r="AC688">
        <v>6.9934647412709994E-2</v>
      </c>
      <c r="AD688">
        <v>1.94032144424451</v>
      </c>
      <c r="AE688">
        <v>0.52113604545593295</v>
      </c>
      <c r="AF688">
        <v>1429.795221843</v>
      </c>
      <c r="AG688">
        <f>IFERROR(AH688*0.1, "N/A")</f>
        <v>5.8000000000000007</v>
      </c>
      <c r="AH688">
        <v>58</v>
      </c>
      <c r="AI688">
        <v>133.31143014016001</v>
      </c>
      <c r="AJ688">
        <v>23.924914675767901</v>
      </c>
      <c r="AK688">
        <v>63.075085324232099</v>
      </c>
    </row>
    <row r="689" spans="1:37" x14ac:dyDescent="0.3">
      <c r="A689">
        <v>688</v>
      </c>
      <c r="B689">
        <v>28.1</v>
      </c>
      <c r="C689">
        <v>30.370799999999999</v>
      </c>
      <c r="D689">
        <v>-11.985099999999999</v>
      </c>
      <c r="E689" t="s">
        <v>1146</v>
      </c>
      <c r="F689" t="s">
        <v>1147</v>
      </c>
      <c r="G689" t="s">
        <v>39</v>
      </c>
      <c r="H689">
        <v>1985</v>
      </c>
      <c r="I689">
        <v>20.700000762939499</v>
      </c>
      <c r="J689">
        <v>12.300000190734901</v>
      </c>
      <c r="K689">
        <v>56</v>
      </c>
      <c r="L689">
        <v>23.25</v>
      </c>
      <c r="M689">
        <v>31</v>
      </c>
      <c r="N689">
        <v>9.3999996185302699</v>
      </c>
      <c r="O689">
        <v>21.600000381469702</v>
      </c>
      <c r="P689">
        <v>21.899999618530298</v>
      </c>
      <c r="Q689">
        <v>17.200000762939499</v>
      </c>
      <c r="R689">
        <v>23.100000381469702</v>
      </c>
      <c r="S689">
        <v>17.200000762939499</v>
      </c>
      <c r="T689">
        <v>1209</v>
      </c>
      <c r="U689">
        <v>281</v>
      </c>
      <c r="V689">
        <v>0</v>
      </c>
      <c r="W689">
        <v>115</v>
      </c>
      <c r="X689">
        <v>826</v>
      </c>
      <c r="Y689">
        <v>0</v>
      </c>
      <c r="Z689">
        <v>412</v>
      </c>
      <c r="AA689">
        <v>0</v>
      </c>
      <c r="AB689">
        <v>1.2337313754392001</v>
      </c>
      <c r="AC689">
        <v>8.3651437520899999E-3</v>
      </c>
      <c r="AD689">
        <v>0.88209410572783098</v>
      </c>
      <c r="AE689">
        <v>0.24489825963973999</v>
      </c>
      <c r="AF689">
        <v>1176.84838160136</v>
      </c>
      <c r="AG689">
        <f>IFERROR(AH689*0.1, "N/A")</f>
        <v>5.6057921635434402</v>
      </c>
      <c r="AH689">
        <v>56.057921635434397</v>
      </c>
      <c r="AI689">
        <v>180.53361862156601</v>
      </c>
      <c r="AJ689">
        <v>24.056218057921601</v>
      </c>
      <c r="AK689">
        <v>61.896081771720603</v>
      </c>
    </row>
    <row r="690" spans="1:37" x14ac:dyDescent="0.3">
      <c r="A690">
        <v>689</v>
      </c>
      <c r="B690">
        <v>41.799999</v>
      </c>
      <c r="C690">
        <v>32.846901000000003</v>
      </c>
      <c r="D690">
        <v>-11.775600000000001</v>
      </c>
      <c r="E690" t="s">
        <v>1148</v>
      </c>
      <c r="F690" t="s">
        <v>1149</v>
      </c>
      <c r="G690" t="s">
        <v>39</v>
      </c>
      <c r="H690">
        <v>2007</v>
      </c>
      <c r="I690">
        <v>23.115450355516799</v>
      </c>
      <c r="J690">
        <v>12.3999996185303</v>
      </c>
      <c r="K690">
        <v>56</v>
      </c>
      <c r="L690">
        <v>24.809915163723399</v>
      </c>
      <c r="M690">
        <v>33.200000762939503</v>
      </c>
      <c r="N690">
        <v>11.115450208175</v>
      </c>
      <c r="O690">
        <v>22.084550407422601</v>
      </c>
      <c r="P690">
        <v>24.515449974047101</v>
      </c>
      <c r="Q690">
        <v>20.915449592577399</v>
      </c>
      <c r="R690">
        <v>25.915449592577399</v>
      </c>
      <c r="S690">
        <v>19.4308995666245</v>
      </c>
      <c r="T690">
        <v>915.46349745331099</v>
      </c>
      <c r="U690">
        <v>221</v>
      </c>
      <c r="V690">
        <v>0</v>
      </c>
      <c r="W690">
        <v>111</v>
      </c>
      <c r="X690">
        <v>605.15449915110401</v>
      </c>
      <c r="Y690">
        <v>1</v>
      </c>
      <c r="Z690">
        <v>270.15449915110401</v>
      </c>
      <c r="AA690">
        <v>3</v>
      </c>
      <c r="AB690">
        <v>9.3911582545230292</v>
      </c>
      <c r="AC690">
        <v>9.9348761078049998E-3</v>
      </c>
      <c r="AD690">
        <v>0.89398023086411804</v>
      </c>
      <c r="AE690">
        <v>0.18986083794834299</v>
      </c>
      <c r="AF690">
        <v>698.73514431239403</v>
      </c>
      <c r="AG690">
        <f>IFERROR(AH690*0.1, "N/A")</f>
        <v>6.3845500848896402</v>
      </c>
      <c r="AH690">
        <v>63.8455008488964</v>
      </c>
      <c r="AI690">
        <v>228.62003506464501</v>
      </c>
      <c r="AJ690">
        <v>18</v>
      </c>
      <c r="AK690">
        <v>70</v>
      </c>
    </row>
    <row r="691" spans="1:37" x14ac:dyDescent="0.3">
      <c r="A691">
        <v>690</v>
      </c>
      <c r="B691">
        <v>19.200001</v>
      </c>
      <c r="C691">
        <v>32.846901000000003</v>
      </c>
      <c r="D691">
        <v>-11.775600000000001</v>
      </c>
      <c r="E691" t="s">
        <v>1148</v>
      </c>
      <c r="F691" t="s">
        <v>1150</v>
      </c>
      <c r="G691" t="s">
        <v>37</v>
      </c>
      <c r="H691">
        <v>2007</v>
      </c>
      <c r="I691">
        <v>23.115450355516799</v>
      </c>
      <c r="J691">
        <v>12.3999996185303</v>
      </c>
      <c r="K691">
        <v>56</v>
      </c>
      <c r="L691">
        <v>24.809915163723399</v>
      </c>
      <c r="M691">
        <v>33.200000762939503</v>
      </c>
      <c r="N691">
        <v>11.115450208175</v>
      </c>
      <c r="O691">
        <v>22.084550407422601</v>
      </c>
      <c r="P691">
        <v>24.515449974047101</v>
      </c>
      <c r="Q691">
        <v>20.915449592577399</v>
      </c>
      <c r="R691">
        <v>25.915449592577399</v>
      </c>
      <c r="S691">
        <v>19.4308995666245</v>
      </c>
      <c r="T691">
        <v>915.46349745331099</v>
      </c>
      <c r="U691">
        <v>221</v>
      </c>
      <c r="V691">
        <v>0</v>
      </c>
      <c r="W691">
        <v>111</v>
      </c>
      <c r="X691">
        <v>605.15449915110401</v>
      </c>
      <c r="Y691">
        <v>1</v>
      </c>
      <c r="Z691">
        <v>270.15449915110401</v>
      </c>
      <c r="AA691">
        <v>3</v>
      </c>
      <c r="AB691">
        <v>9.3911582545230292</v>
      </c>
      <c r="AC691">
        <v>9.9348761078049998E-3</v>
      </c>
      <c r="AD691">
        <v>0.89398023086411804</v>
      </c>
      <c r="AE691">
        <v>0.18986083794834299</v>
      </c>
      <c r="AF691">
        <v>698.73514431239403</v>
      </c>
      <c r="AG691">
        <f>IFERROR(AH691*0.1, "N/A")</f>
        <v>6.3845500848896402</v>
      </c>
      <c r="AH691">
        <v>63.8455008488964</v>
      </c>
      <c r="AI691">
        <v>228.62003506464501</v>
      </c>
      <c r="AJ691">
        <v>18</v>
      </c>
      <c r="AK691">
        <v>70</v>
      </c>
    </row>
    <row r="692" spans="1:37" x14ac:dyDescent="0.3">
      <c r="A692">
        <v>691</v>
      </c>
      <c r="B692">
        <v>62</v>
      </c>
      <c r="C692">
        <v>29.134701</v>
      </c>
      <c r="D692">
        <v>-11.638299999999999</v>
      </c>
      <c r="E692" t="s">
        <v>1151</v>
      </c>
      <c r="F692" t="s">
        <v>1152</v>
      </c>
      <c r="G692" t="s">
        <v>39</v>
      </c>
      <c r="H692">
        <v>1946</v>
      </c>
      <c r="I692">
        <v>20.899999618530298</v>
      </c>
      <c r="J692">
        <v>13.300000190734901</v>
      </c>
      <c r="K692">
        <v>56</v>
      </c>
      <c r="L692">
        <v>25.100000381469702</v>
      </c>
      <c r="M692">
        <v>31.600000381469702</v>
      </c>
      <c r="N692">
        <v>7.9000000953674299</v>
      </c>
      <c r="O692">
        <v>23.700000762939499</v>
      </c>
      <c r="P692">
        <v>22.299999237060501</v>
      </c>
      <c r="Q692">
        <v>17</v>
      </c>
      <c r="R692">
        <v>23.200000762939499</v>
      </c>
      <c r="S692">
        <v>17</v>
      </c>
      <c r="T692">
        <v>1256</v>
      </c>
      <c r="U692">
        <v>277</v>
      </c>
      <c r="V692">
        <v>0</v>
      </c>
      <c r="W692">
        <v>108</v>
      </c>
      <c r="X692">
        <v>791</v>
      </c>
      <c r="Y692">
        <v>0</v>
      </c>
      <c r="Z692">
        <v>434</v>
      </c>
      <c r="AA692">
        <v>0</v>
      </c>
      <c r="AB692">
        <v>2.5861222776648098</v>
      </c>
      <c r="AC692">
        <v>408.59876549246201</v>
      </c>
      <c r="AD692">
        <v>2.9879657197488498</v>
      </c>
      <c r="AE692">
        <v>0.169178723880689</v>
      </c>
      <c r="AF692">
        <v>1082.2654109589</v>
      </c>
      <c r="AG692">
        <f>IFERROR(AH692*0.1, "N/A")</f>
        <v>5.5840753424657503</v>
      </c>
      <c r="AH692">
        <v>55.8407534246575</v>
      </c>
      <c r="AI692">
        <v>245.88226691990701</v>
      </c>
      <c r="AJ692">
        <v>24.8407534246575</v>
      </c>
      <c r="AK692">
        <v>59.107876712328803</v>
      </c>
    </row>
    <row r="693" spans="1:37" x14ac:dyDescent="0.3">
      <c r="A693">
        <v>692</v>
      </c>
      <c r="B693">
        <v>0.5</v>
      </c>
      <c r="C693">
        <v>29.134701</v>
      </c>
      <c r="D693">
        <v>-11.638299999999999</v>
      </c>
      <c r="E693" t="s">
        <v>1151</v>
      </c>
      <c r="F693" t="s">
        <v>1153</v>
      </c>
      <c r="G693" t="s">
        <v>37</v>
      </c>
      <c r="H693">
        <v>1946</v>
      </c>
      <c r="I693">
        <v>20.899999618530298</v>
      </c>
      <c r="J693">
        <v>13.300000190734901</v>
      </c>
      <c r="K693">
        <v>56</v>
      </c>
      <c r="L693">
        <v>25.100000381469702</v>
      </c>
      <c r="M693">
        <v>31.600000381469702</v>
      </c>
      <c r="N693">
        <v>7.9000000953674299</v>
      </c>
      <c r="O693">
        <v>23.700000762939499</v>
      </c>
      <c r="P693">
        <v>22.299999237060501</v>
      </c>
      <c r="Q693">
        <v>17</v>
      </c>
      <c r="R693">
        <v>23.200000762939499</v>
      </c>
      <c r="S693">
        <v>17</v>
      </c>
      <c r="T693">
        <v>1256</v>
      </c>
      <c r="U693">
        <v>277</v>
      </c>
      <c r="V693">
        <v>0</v>
      </c>
      <c r="W693">
        <v>108</v>
      </c>
      <c r="X693">
        <v>791</v>
      </c>
      <c r="Y693">
        <v>0</v>
      </c>
      <c r="Z693">
        <v>434</v>
      </c>
      <c r="AA693">
        <v>0</v>
      </c>
      <c r="AB693">
        <v>2.5861222776648098</v>
      </c>
      <c r="AC693">
        <v>408.59876549246201</v>
      </c>
      <c r="AD693">
        <v>2.9879657197488498</v>
      </c>
      <c r="AE693">
        <v>0.169178723880689</v>
      </c>
      <c r="AF693">
        <v>1082.2654109589</v>
      </c>
      <c r="AG693">
        <f>IFERROR(AH693*0.1, "N/A")</f>
        <v>5.5840753424657503</v>
      </c>
      <c r="AH693">
        <v>55.8407534246575</v>
      </c>
      <c r="AI693">
        <v>245.88226691990701</v>
      </c>
      <c r="AJ693">
        <v>24.8407534246575</v>
      </c>
      <c r="AK693">
        <v>59.107876712328803</v>
      </c>
    </row>
    <row r="694" spans="1:37" x14ac:dyDescent="0.3">
      <c r="A694">
        <v>693</v>
      </c>
      <c r="B694">
        <v>2.4</v>
      </c>
      <c r="C694">
        <v>30.325399000000001</v>
      </c>
      <c r="D694">
        <v>-11.5435</v>
      </c>
      <c r="E694" t="s">
        <v>1154</v>
      </c>
      <c r="F694" t="s">
        <v>1155</v>
      </c>
      <c r="G694" t="s">
        <v>39</v>
      </c>
      <c r="H694">
        <v>1946</v>
      </c>
      <c r="I694">
        <v>20.899999618530298</v>
      </c>
      <c r="J694">
        <v>12.1000003814697</v>
      </c>
      <c r="K694">
        <v>57</v>
      </c>
      <c r="L694">
        <v>22.1615823304572</v>
      </c>
      <c r="M694">
        <v>30.957312762331799</v>
      </c>
      <c r="N694">
        <v>9.8000001907348597</v>
      </c>
      <c r="O694">
        <v>21.157313525271299</v>
      </c>
      <c r="P694">
        <v>21.899999618530298</v>
      </c>
      <c r="Q694">
        <v>17.557313143801501</v>
      </c>
      <c r="R694">
        <v>23.100000381469702</v>
      </c>
      <c r="S694">
        <v>17.557313143801501</v>
      </c>
      <c r="T694">
        <v>1314.7074829932001</v>
      </c>
      <c r="U694">
        <v>299</v>
      </c>
      <c r="V694">
        <v>0</v>
      </c>
      <c r="W694">
        <v>113</v>
      </c>
      <c r="X694">
        <v>871.85374149659901</v>
      </c>
      <c r="Y694">
        <v>0</v>
      </c>
      <c r="Z694">
        <v>441.85374149659901</v>
      </c>
      <c r="AA694">
        <v>0</v>
      </c>
      <c r="AB694">
        <v>3.5807816901174498</v>
      </c>
      <c r="AC694">
        <v>2.5633726185061E-2</v>
      </c>
      <c r="AD694">
        <v>1.7763166930399801</v>
      </c>
      <c r="AE694">
        <v>0.38560557365417503</v>
      </c>
      <c r="AF694">
        <v>1173.9710884353699</v>
      </c>
      <c r="AG694">
        <f>IFERROR(AH694*0.1, "N/A")</f>
        <v>5.9724489795918405</v>
      </c>
      <c r="AH694">
        <v>59.724489795918402</v>
      </c>
      <c r="AI694">
        <v>118.560315450033</v>
      </c>
      <c r="AJ694">
        <v>25.853741496598602</v>
      </c>
      <c r="AK694">
        <v>60.137755102040799</v>
      </c>
    </row>
    <row r="695" spans="1:37" x14ac:dyDescent="0.3">
      <c r="A695">
        <v>694</v>
      </c>
      <c r="B695">
        <v>0</v>
      </c>
      <c r="C695">
        <v>30.325399000000001</v>
      </c>
      <c r="D695">
        <v>-11.5435</v>
      </c>
      <c r="E695" t="s">
        <v>1154</v>
      </c>
      <c r="F695" t="s">
        <v>1156</v>
      </c>
      <c r="G695" t="s">
        <v>37</v>
      </c>
      <c r="H695">
        <v>1946</v>
      </c>
      <c r="I695">
        <v>20.899999618530298</v>
      </c>
      <c r="J695">
        <v>12.1000003814697</v>
      </c>
      <c r="K695">
        <v>57</v>
      </c>
      <c r="L695">
        <v>22.1615823304572</v>
      </c>
      <c r="M695">
        <v>30.957312762331799</v>
      </c>
      <c r="N695">
        <v>9.8000001907348597</v>
      </c>
      <c r="O695">
        <v>21.157313525271299</v>
      </c>
      <c r="P695">
        <v>21.899999618530298</v>
      </c>
      <c r="Q695">
        <v>17.557313143801501</v>
      </c>
      <c r="R695">
        <v>23.100000381469702</v>
      </c>
      <c r="S695">
        <v>17.557313143801501</v>
      </c>
      <c r="T695">
        <v>1314.7074829932001</v>
      </c>
      <c r="U695">
        <v>299</v>
      </c>
      <c r="V695">
        <v>0</v>
      </c>
      <c r="W695">
        <v>113</v>
      </c>
      <c r="X695">
        <v>871.85374149659901</v>
      </c>
      <c r="Y695">
        <v>0</v>
      </c>
      <c r="Z695">
        <v>441.85374149659901</v>
      </c>
      <c r="AA695">
        <v>0</v>
      </c>
      <c r="AB695">
        <v>3.5807816901174498</v>
      </c>
      <c r="AC695">
        <v>2.5633726185061E-2</v>
      </c>
      <c r="AD695">
        <v>1.7763166930399801</v>
      </c>
      <c r="AE695">
        <v>0.38560557365417503</v>
      </c>
      <c r="AF695">
        <v>1173.9710884353699</v>
      </c>
      <c r="AG695">
        <f>IFERROR(AH695*0.1, "N/A")</f>
        <v>5.9724489795918405</v>
      </c>
      <c r="AH695">
        <v>59.724489795918402</v>
      </c>
      <c r="AI695">
        <v>118.560315450033</v>
      </c>
      <c r="AJ695">
        <v>25.853741496598602</v>
      </c>
      <c r="AK695">
        <v>60.137755102040799</v>
      </c>
    </row>
    <row r="696" spans="1:37" x14ac:dyDescent="0.3">
      <c r="A696">
        <v>695</v>
      </c>
      <c r="B696">
        <v>29.6</v>
      </c>
      <c r="C696">
        <v>30.555799</v>
      </c>
      <c r="D696">
        <v>-11.5</v>
      </c>
      <c r="E696" t="s">
        <v>1157</v>
      </c>
      <c r="F696" t="s">
        <v>1158</v>
      </c>
      <c r="G696" t="s">
        <v>39</v>
      </c>
      <c r="H696">
        <v>1985</v>
      </c>
      <c r="I696">
        <v>20.899999618530298</v>
      </c>
      <c r="J696">
        <v>12.1000003814697</v>
      </c>
      <c r="K696">
        <v>57</v>
      </c>
      <c r="L696">
        <v>21.694120286468799</v>
      </c>
      <c r="M696">
        <v>31</v>
      </c>
      <c r="N696">
        <v>9.8999996185302699</v>
      </c>
      <c r="O696">
        <v>21.100000381469702</v>
      </c>
      <c r="P696">
        <v>21.899999618530298</v>
      </c>
      <c r="Q696">
        <v>17.600000381469702</v>
      </c>
      <c r="R696">
        <v>23.100000381469702</v>
      </c>
      <c r="S696">
        <v>17.600000381469702</v>
      </c>
      <c r="T696">
        <v>1274.41196581197</v>
      </c>
      <c r="U696">
        <v>296</v>
      </c>
      <c r="V696">
        <v>0</v>
      </c>
      <c r="W696">
        <v>113</v>
      </c>
      <c r="X696">
        <v>852</v>
      </c>
      <c r="Y696">
        <v>0</v>
      </c>
      <c r="Z696">
        <v>431.70598290598298</v>
      </c>
      <c r="AA696">
        <v>0</v>
      </c>
      <c r="AB696">
        <v>0.40431085570245701</v>
      </c>
      <c r="AC696">
        <v>11.9565403517463</v>
      </c>
      <c r="AD696">
        <v>0.43459191836862499</v>
      </c>
      <c r="AE696">
        <v>8.8494196534156994E-2</v>
      </c>
      <c r="AF696">
        <v>1173.23931623932</v>
      </c>
      <c r="AG696">
        <f>IFERROR(AH696*0.1, "N/A")</f>
        <v>6.2188034188034207</v>
      </c>
      <c r="AH696">
        <v>62.188034188034202</v>
      </c>
      <c r="AI696">
        <v>75.009952382144803</v>
      </c>
      <c r="AJ696">
        <v>31.811965811965798</v>
      </c>
      <c r="AK696">
        <v>49.435897435897402</v>
      </c>
    </row>
    <row r="697" spans="1:37" x14ac:dyDescent="0.3">
      <c r="A697">
        <v>696</v>
      </c>
      <c r="B697">
        <v>34.900002000000001</v>
      </c>
      <c r="C697">
        <v>29.821898999999998</v>
      </c>
      <c r="D697">
        <v>-11.456899999999999</v>
      </c>
      <c r="E697" t="s">
        <v>1159</v>
      </c>
      <c r="F697" t="s">
        <v>1160</v>
      </c>
      <c r="G697" t="s">
        <v>39</v>
      </c>
      <c r="H697">
        <v>1972</v>
      </c>
      <c r="I697">
        <v>20.899999618530298</v>
      </c>
      <c r="J697">
        <v>11.8999996185303</v>
      </c>
      <c r="K697">
        <v>57</v>
      </c>
      <c r="L697">
        <v>22.200000762939499</v>
      </c>
      <c r="M697">
        <v>30.600000381469702</v>
      </c>
      <c r="N697">
        <v>9.8000001907348597</v>
      </c>
      <c r="O697">
        <v>20.799999237060501</v>
      </c>
      <c r="P697">
        <v>22</v>
      </c>
      <c r="Q697">
        <v>17.5</v>
      </c>
      <c r="R697">
        <v>23</v>
      </c>
      <c r="S697">
        <v>17.5</v>
      </c>
      <c r="T697">
        <v>1435</v>
      </c>
      <c r="U697">
        <v>317</v>
      </c>
      <c r="V697">
        <v>0</v>
      </c>
      <c r="W697">
        <v>110</v>
      </c>
      <c r="X697">
        <v>906</v>
      </c>
      <c r="Y697">
        <v>0</v>
      </c>
      <c r="Z697">
        <v>478</v>
      </c>
      <c r="AA697">
        <v>0</v>
      </c>
      <c r="AB697">
        <v>11.5734512432903</v>
      </c>
      <c r="AC697">
        <v>6.1830238138204999E-2</v>
      </c>
      <c r="AD697">
        <v>1.55179553149509</v>
      </c>
      <c r="AE697">
        <v>0.255495935678482</v>
      </c>
      <c r="AF697">
        <v>1174.4727891156499</v>
      </c>
      <c r="AG697">
        <f>IFERROR(AH697*0.1, "N/A")</f>
        <v>5.9564625850340107</v>
      </c>
      <c r="AH697">
        <v>59.5646258503401</v>
      </c>
      <c r="AI697">
        <v>200.15898879693501</v>
      </c>
      <c r="AJ697">
        <v>35.061224489795897</v>
      </c>
      <c r="AK697">
        <v>45.503401360544203</v>
      </c>
    </row>
    <row r="698" spans="1:37" x14ac:dyDescent="0.3">
      <c r="A698">
        <v>697</v>
      </c>
      <c r="B698">
        <v>0</v>
      </c>
      <c r="C698">
        <v>29.821898999999998</v>
      </c>
      <c r="D698">
        <v>-11.456899999999999</v>
      </c>
      <c r="E698" t="s">
        <v>1159</v>
      </c>
      <c r="F698" t="s">
        <v>1161</v>
      </c>
      <c r="G698" t="s">
        <v>37</v>
      </c>
      <c r="H698">
        <v>1972</v>
      </c>
      <c r="I698">
        <v>20.899999618530298</v>
      </c>
      <c r="J698">
        <v>11.8999996185303</v>
      </c>
      <c r="K698">
        <v>57</v>
      </c>
      <c r="L698">
        <v>22.200000762939499</v>
      </c>
      <c r="M698">
        <v>30.600000381469702</v>
      </c>
      <c r="N698">
        <v>9.8000001907348597</v>
      </c>
      <c r="O698">
        <v>20.799999237060501</v>
      </c>
      <c r="P698">
        <v>22</v>
      </c>
      <c r="Q698">
        <v>17.5</v>
      </c>
      <c r="R698">
        <v>23</v>
      </c>
      <c r="S698">
        <v>17.5</v>
      </c>
      <c r="T698">
        <v>1435</v>
      </c>
      <c r="U698">
        <v>317</v>
      </c>
      <c r="V698">
        <v>0</v>
      </c>
      <c r="W698">
        <v>110</v>
      </c>
      <c r="X698">
        <v>906</v>
      </c>
      <c r="Y698">
        <v>0</v>
      </c>
      <c r="Z698">
        <v>478</v>
      </c>
      <c r="AA698">
        <v>0</v>
      </c>
      <c r="AB698">
        <v>11.5734512432903</v>
      </c>
      <c r="AC698">
        <v>6.1830238138204999E-2</v>
      </c>
      <c r="AD698">
        <v>1.55179553149509</v>
      </c>
      <c r="AE698">
        <v>0.255495935678482</v>
      </c>
      <c r="AF698">
        <v>1174.4727891156499</v>
      </c>
      <c r="AG698">
        <f>IFERROR(AH698*0.1, "N/A")</f>
        <v>5.9564625850340107</v>
      </c>
      <c r="AH698">
        <v>59.5646258503401</v>
      </c>
      <c r="AI698">
        <v>200.15898879693501</v>
      </c>
      <c r="AJ698">
        <v>35.061224489795897</v>
      </c>
      <c r="AK698">
        <v>45.503401360544203</v>
      </c>
    </row>
    <row r="699" spans="1:37" x14ac:dyDescent="0.3">
      <c r="A699">
        <v>698</v>
      </c>
      <c r="B699">
        <v>21.200001</v>
      </c>
      <c r="C699">
        <v>30.594100999999998</v>
      </c>
      <c r="D699">
        <v>-11.4</v>
      </c>
      <c r="E699" t="s">
        <v>1162</v>
      </c>
      <c r="F699" t="s">
        <v>1163</v>
      </c>
      <c r="G699" t="s">
        <v>39</v>
      </c>
      <c r="H699">
        <v>1985</v>
      </c>
      <c r="I699">
        <v>20.799999237060501</v>
      </c>
      <c r="J699">
        <v>12.1000003814697</v>
      </c>
      <c r="K699">
        <v>57</v>
      </c>
      <c r="L699">
        <v>21.843880169208202</v>
      </c>
      <c r="M699">
        <v>31</v>
      </c>
      <c r="N699">
        <v>9.8000001907348597</v>
      </c>
      <c r="O699">
        <v>21.200000762939499</v>
      </c>
      <c r="P699">
        <v>21.899999618530298</v>
      </c>
      <c r="Q699">
        <v>17.600000381469702</v>
      </c>
      <c r="R699">
        <v>23.100000381469702</v>
      </c>
      <c r="S699">
        <v>17.600000381469702</v>
      </c>
      <c r="T699">
        <v>1282</v>
      </c>
      <c r="U699">
        <v>299</v>
      </c>
      <c r="V699">
        <v>0</v>
      </c>
      <c r="W699">
        <v>114</v>
      </c>
      <c r="X699">
        <v>855</v>
      </c>
      <c r="Y699">
        <v>0</v>
      </c>
      <c r="Z699">
        <v>435</v>
      </c>
      <c r="AA699">
        <v>0</v>
      </c>
      <c r="AB699">
        <v>0.15078959668803399</v>
      </c>
      <c r="AC699">
        <v>6.7602140473186001</v>
      </c>
      <c r="AD699">
        <v>0.458861342250791</v>
      </c>
      <c r="AE699">
        <v>0.224596664080253</v>
      </c>
      <c r="AF699">
        <v>1174.0632478632499</v>
      </c>
      <c r="AG699">
        <f>IFERROR(AH699*0.1, "N/A")</f>
        <v>6.2360683760683804</v>
      </c>
      <c r="AH699">
        <v>62.360683760683798</v>
      </c>
      <c r="AI699">
        <v>145.01610519539599</v>
      </c>
      <c r="AJ699">
        <v>35.011965811965801</v>
      </c>
      <c r="AK699">
        <v>50.201709401709401</v>
      </c>
    </row>
    <row r="700" spans="1:37" x14ac:dyDescent="0.3">
      <c r="A700">
        <v>699</v>
      </c>
      <c r="B700">
        <v>15.6</v>
      </c>
      <c r="C700">
        <v>30.5977</v>
      </c>
      <c r="D700">
        <v>-11.4</v>
      </c>
      <c r="E700" t="s">
        <v>1164</v>
      </c>
      <c r="F700" t="s">
        <v>1165</v>
      </c>
      <c r="G700" t="s">
        <v>39</v>
      </c>
      <c r="H700">
        <v>1985</v>
      </c>
      <c r="I700">
        <v>20.799999237060501</v>
      </c>
      <c r="J700">
        <v>12.1000003814697</v>
      </c>
      <c r="K700">
        <v>57</v>
      </c>
      <c r="L700">
        <v>21.843692133976901</v>
      </c>
      <c r="M700">
        <v>31</v>
      </c>
      <c r="N700">
        <v>9.8000001907348597</v>
      </c>
      <c r="O700">
        <v>21.200000762939499</v>
      </c>
      <c r="P700">
        <v>21.899999618530298</v>
      </c>
      <c r="Q700">
        <v>17.600000381469702</v>
      </c>
      <c r="R700">
        <v>23.100000381469702</v>
      </c>
      <c r="S700">
        <v>17.600000381469702</v>
      </c>
      <c r="T700">
        <v>1282</v>
      </c>
      <c r="U700">
        <v>299</v>
      </c>
      <c r="V700">
        <v>0</v>
      </c>
      <c r="W700">
        <v>114</v>
      </c>
      <c r="X700">
        <v>855</v>
      </c>
      <c r="Y700">
        <v>0</v>
      </c>
      <c r="Z700">
        <v>435</v>
      </c>
      <c r="AA700">
        <v>0</v>
      </c>
      <c r="AB700">
        <v>0.97930876903044894</v>
      </c>
      <c r="AC700">
        <v>4.4348689030187002E-2</v>
      </c>
      <c r="AD700">
        <v>0.31235493513253998</v>
      </c>
      <c r="AE700">
        <v>0.13031238317489599</v>
      </c>
      <c r="AF700">
        <v>1174.9316239316199</v>
      </c>
      <c r="AG700">
        <f>IFERROR(AH700*0.1, "N/A")</f>
        <v>6.2090598290598304</v>
      </c>
      <c r="AH700">
        <v>62.090598290598301</v>
      </c>
      <c r="AI700">
        <v>118.200848206088</v>
      </c>
      <c r="AJ700">
        <v>34.541880341880301</v>
      </c>
      <c r="AK700">
        <v>47.678632478632501</v>
      </c>
    </row>
    <row r="701" spans="1:37" x14ac:dyDescent="0.3">
      <c r="A701">
        <v>700</v>
      </c>
      <c r="B701">
        <v>2.9</v>
      </c>
      <c r="C701">
        <v>29.565398999999999</v>
      </c>
      <c r="D701">
        <v>-11.382999999999999</v>
      </c>
      <c r="E701" t="s">
        <v>1166</v>
      </c>
      <c r="F701" t="s">
        <v>1167</v>
      </c>
      <c r="G701" t="s">
        <v>39</v>
      </c>
      <c r="H701">
        <v>2002</v>
      </c>
      <c r="I701">
        <v>20.986882403112201</v>
      </c>
      <c r="J701">
        <v>11.713117406153</v>
      </c>
      <c r="K701">
        <v>56.131175468483796</v>
      </c>
      <c r="L701">
        <v>22.139999389648398</v>
      </c>
      <c r="M701">
        <v>30.473764806224299</v>
      </c>
      <c r="N701">
        <v>9.8868821467410992</v>
      </c>
      <c r="O701">
        <v>20.586882784581899</v>
      </c>
      <c r="P701">
        <v>22</v>
      </c>
      <c r="Q701">
        <v>17.586882784581899</v>
      </c>
      <c r="R701">
        <v>23</v>
      </c>
      <c r="S701">
        <v>17.586882784581899</v>
      </c>
      <c r="T701">
        <v>1469.86882453152</v>
      </c>
      <c r="U701">
        <v>328.131175468484</v>
      </c>
      <c r="V701">
        <v>0</v>
      </c>
      <c r="W701">
        <v>108</v>
      </c>
      <c r="X701">
        <v>898.131175468484</v>
      </c>
      <c r="Y701">
        <v>0</v>
      </c>
      <c r="Z701">
        <v>496.131175468484</v>
      </c>
      <c r="AA701">
        <v>0</v>
      </c>
      <c r="AB701">
        <v>12.6408824498243</v>
      </c>
      <c r="AC701">
        <v>0.180109610151201</v>
      </c>
      <c r="AD701">
        <v>1.0303693673679699</v>
      </c>
      <c r="AE701">
        <v>0.45567551255226102</v>
      </c>
      <c r="AF701">
        <v>1177.7802385008499</v>
      </c>
      <c r="AG701">
        <f>IFERROR(AH701*0.1, "N/A")</f>
        <v>6.1000000000000005</v>
      </c>
      <c r="AH701">
        <v>61</v>
      </c>
      <c r="AI701">
        <v>117.98080063191099</v>
      </c>
      <c r="AJ701">
        <v>28</v>
      </c>
      <c r="AK701">
        <v>54</v>
      </c>
    </row>
    <row r="702" spans="1:37" x14ac:dyDescent="0.3">
      <c r="A702">
        <v>701</v>
      </c>
      <c r="B702">
        <v>1.8</v>
      </c>
      <c r="C702">
        <v>29.565398999999999</v>
      </c>
      <c r="D702">
        <v>-11.382999999999999</v>
      </c>
      <c r="E702" t="s">
        <v>1166</v>
      </c>
      <c r="F702" t="s">
        <v>1168</v>
      </c>
      <c r="G702" t="s">
        <v>37</v>
      </c>
      <c r="H702">
        <v>1972</v>
      </c>
      <c r="I702">
        <v>20.986882403112201</v>
      </c>
      <c r="J702">
        <v>11.713117406153</v>
      </c>
      <c r="K702">
        <v>56.131175468483796</v>
      </c>
      <c r="L702">
        <v>22.139999389648398</v>
      </c>
      <c r="M702">
        <v>30.473764806224299</v>
      </c>
      <c r="N702">
        <v>9.8868821467410992</v>
      </c>
      <c r="O702">
        <v>20.586882784581899</v>
      </c>
      <c r="P702">
        <v>22</v>
      </c>
      <c r="Q702">
        <v>17.586882784581899</v>
      </c>
      <c r="R702">
        <v>23</v>
      </c>
      <c r="S702">
        <v>17.586882784581899</v>
      </c>
      <c r="T702">
        <v>1469.86882453152</v>
      </c>
      <c r="U702">
        <v>328.131175468484</v>
      </c>
      <c r="V702">
        <v>0</v>
      </c>
      <c r="W702">
        <v>108</v>
      </c>
      <c r="X702">
        <v>898.131175468484</v>
      </c>
      <c r="Y702">
        <v>0</v>
      </c>
      <c r="Z702">
        <v>496.131175468484</v>
      </c>
      <c r="AA702">
        <v>0</v>
      </c>
      <c r="AB702">
        <v>12.6408824498243</v>
      </c>
      <c r="AC702">
        <v>0.180109610151201</v>
      </c>
      <c r="AD702">
        <v>1.0303693673679699</v>
      </c>
      <c r="AE702">
        <v>0.45567551255226102</v>
      </c>
      <c r="AF702">
        <v>1177.7802385008499</v>
      </c>
      <c r="AG702">
        <f>IFERROR(AH702*0.1, "N/A")</f>
        <v>6.1000000000000005</v>
      </c>
      <c r="AH702">
        <v>61</v>
      </c>
      <c r="AI702">
        <v>117.98080063191099</v>
      </c>
      <c r="AJ702">
        <v>28</v>
      </c>
      <c r="AK702">
        <v>54</v>
      </c>
    </row>
    <row r="703" spans="1:37" x14ac:dyDescent="0.3">
      <c r="A703">
        <v>702</v>
      </c>
      <c r="B703">
        <v>100</v>
      </c>
      <c r="C703">
        <v>28.459299000000001</v>
      </c>
      <c r="D703">
        <v>-11.377800000000001</v>
      </c>
      <c r="E703" t="s">
        <v>1169</v>
      </c>
      <c r="F703" t="s">
        <v>1170</v>
      </c>
      <c r="G703" t="s">
        <v>39</v>
      </c>
      <c r="H703">
        <v>0</v>
      </c>
      <c r="I703">
        <v>21.1037675191278</v>
      </c>
      <c r="J703">
        <v>14.5</v>
      </c>
      <c r="K703">
        <v>55</v>
      </c>
      <c r="L703">
        <v>25.7367803756505</v>
      </c>
      <c r="M703">
        <v>32.703767828745399</v>
      </c>
      <c r="N703">
        <v>6.8037673104299303</v>
      </c>
      <c r="O703">
        <v>25.899999618530298</v>
      </c>
      <c r="P703">
        <v>22.6037675191278</v>
      </c>
      <c r="Q703">
        <v>17.1037675191278</v>
      </c>
      <c r="R703">
        <v>23.5075342753162</v>
      </c>
      <c r="S703">
        <v>17.1037675191278</v>
      </c>
      <c r="T703">
        <v>1124.8493150684899</v>
      </c>
      <c r="U703">
        <v>239.96232876712301</v>
      </c>
      <c r="V703">
        <v>0</v>
      </c>
      <c r="W703">
        <v>105.962328767123</v>
      </c>
      <c r="X703">
        <v>696.88698630137003</v>
      </c>
      <c r="Y703">
        <v>0</v>
      </c>
      <c r="Z703">
        <v>402.92465753424699</v>
      </c>
      <c r="AA703">
        <v>0</v>
      </c>
      <c r="AB703">
        <v>13.518294033938901</v>
      </c>
      <c r="AC703">
        <v>2.3182832229282999E-2</v>
      </c>
      <c r="AD703">
        <v>2.7113593290113398</v>
      </c>
      <c r="AE703">
        <v>0.28689880832417403</v>
      </c>
      <c r="AF703">
        <v>1048.28767123288</v>
      </c>
      <c r="AG703">
        <f>IFERROR(AH703*0.1, "N/A")</f>
        <v>5.7037671232876699</v>
      </c>
      <c r="AH703">
        <v>57.037671232876697</v>
      </c>
      <c r="AI703">
        <v>283.62253993831303</v>
      </c>
      <c r="AJ703">
        <v>23.349315068493201</v>
      </c>
      <c r="AK703">
        <v>54.962328767123303</v>
      </c>
    </row>
    <row r="704" spans="1:37" x14ac:dyDescent="0.3">
      <c r="A704">
        <v>703</v>
      </c>
      <c r="B704">
        <v>2</v>
      </c>
      <c r="C704">
        <v>28.459299000000001</v>
      </c>
      <c r="D704">
        <v>-11.377800000000001</v>
      </c>
      <c r="E704" t="s">
        <v>1169</v>
      </c>
      <c r="F704" t="s">
        <v>1171</v>
      </c>
      <c r="G704" t="s">
        <v>37</v>
      </c>
      <c r="H704">
        <v>0</v>
      </c>
      <c r="I704">
        <v>21.1037675191278</v>
      </c>
      <c r="J704">
        <v>14.5</v>
      </c>
      <c r="K704">
        <v>55</v>
      </c>
      <c r="L704">
        <v>25.7367803756505</v>
      </c>
      <c r="M704">
        <v>32.703767828745399</v>
      </c>
      <c r="N704">
        <v>6.8037673104299303</v>
      </c>
      <c r="O704">
        <v>25.899999618530298</v>
      </c>
      <c r="P704">
        <v>22.6037675191278</v>
      </c>
      <c r="Q704">
        <v>17.1037675191278</v>
      </c>
      <c r="R704">
        <v>23.5075342753162</v>
      </c>
      <c r="S704">
        <v>17.1037675191278</v>
      </c>
      <c r="T704">
        <v>1124.8493150684899</v>
      </c>
      <c r="U704">
        <v>239.96232876712301</v>
      </c>
      <c r="V704">
        <v>0</v>
      </c>
      <c r="W704">
        <v>105.962328767123</v>
      </c>
      <c r="X704">
        <v>696.88698630137003</v>
      </c>
      <c r="Y704">
        <v>0</v>
      </c>
      <c r="Z704">
        <v>402.92465753424699</v>
      </c>
      <c r="AA704">
        <v>0</v>
      </c>
      <c r="AB704">
        <v>13.518294033938901</v>
      </c>
      <c r="AC704">
        <v>2.3182832229282999E-2</v>
      </c>
      <c r="AD704">
        <v>2.7113593290113398</v>
      </c>
      <c r="AE704">
        <v>0.28689880832417403</v>
      </c>
      <c r="AF704">
        <v>1048.28767123288</v>
      </c>
      <c r="AG704">
        <f>IFERROR(AH704*0.1, "N/A")</f>
        <v>5.7037671232876699</v>
      </c>
      <c r="AH704">
        <v>57.037671232876697</v>
      </c>
      <c r="AI704">
        <v>283.62253993831303</v>
      </c>
      <c r="AJ704">
        <v>23.349315068493201</v>
      </c>
      <c r="AK704">
        <v>54.962328767123303</v>
      </c>
    </row>
    <row r="705" spans="1:37" x14ac:dyDescent="0.3">
      <c r="A705">
        <v>704</v>
      </c>
      <c r="B705">
        <v>43.299999</v>
      </c>
      <c r="C705">
        <v>24.333599</v>
      </c>
      <c r="D705">
        <v>-11.3444</v>
      </c>
      <c r="E705" t="s">
        <v>1172</v>
      </c>
      <c r="F705" t="s">
        <v>1173</v>
      </c>
      <c r="G705" t="s">
        <v>39</v>
      </c>
      <c r="H705">
        <v>1977</v>
      </c>
      <c r="I705">
        <v>19.700000762939499</v>
      </c>
      <c r="J705">
        <v>14.199999809265099</v>
      </c>
      <c r="K705">
        <v>61</v>
      </c>
      <c r="L705">
        <v>18.088330608413401</v>
      </c>
      <c r="M705">
        <v>30.100000381469702</v>
      </c>
      <c r="N705">
        <v>7</v>
      </c>
      <c r="O705">
        <v>23.100000381469702</v>
      </c>
      <c r="P705">
        <v>20.654174353032499</v>
      </c>
      <c r="Q705">
        <v>17</v>
      </c>
      <c r="R705">
        <v>21.399999618530298</v>
      </c>
      <c r="S705">
        <v>17</v>
      </c>
      <c r="T705">
        <v>1480.45826235094</v>
      </c>
      <c r="U705">
        <v>276</v>
      </c>
      <c r="V705">
        <v>0</v>
      </c>
      <c r="W705">
        <v>90</v>
      </c>
      <c r="X705">
        <v>746.45826235093705</v>
      </c>
      <c r="Y705">
        <v>4</v>
      </c>
      <c r="Z705">
        <v>341</v>
      </c>
      <c r="AA705">
        <v>11</v>
      </c>
      <c r="AB705">
        <v>2.5415509043600899</v>
      </c>
      <c r="AC705">
        <v>5.2746802003993896</v>
      </c>
      <c r="AD705">
        <v>3.48811993972609</v>
      </c>
      <c r="AE705">
        <v>0.26696390939124398</v>
      </c>
      <c r="AF705">
        <v>1439.81260647359</v>
      </c>
      <c r="AG705">
        <f>IFERROR(AH705*0.1, "N/A")</f>
        <v>5.4473594548552002</v>
      </c>
      <c r="AH705">
        <v>54.473594548552001</v>
      </c>
      <c r="AI705">
        <v>208.698188622522</v>
      </c>
      <c r="AJ705">
        <v>24.120954003407199</v>
      </c>
      <c r="AK705">
        <v>69.325383304940402</v>
      </c>
    </row>
    <row r="706" spans="1:37" x14ac:dyDescent="0.3">
      <c r="A706">
        <v>705</v>
      </c>
      <c r="B706">
        <v>3.2</v>
      </c>
      <c r="C706">
        <v>29.533300000000001</v>
      </c>
      <c r="D706">
        <v>-11.333299999999999</v>
      </c>
      <c r="E706" t="s">
        <v>1174</v>
      </c>
      <c r="F706" t="s">
        <v>1175</v>
      </c>
      <c r="G706" t="s">
        <v>39</v>
      </c>
      <c r="H706">
        <v>1946</v>
      </c>
      <c r="I706">
        <v>20.875426145950701</v>
      </c>
      <c r="J706">
        <v>11.699999809265099</v>
      </c>
      <c r="K706">
        <v>56.5273037542662</v>
      </c>
      <c r="L706">
        <v>22.0265354410373</v>
      </c>
      <c r="M706">
        <v>30.268942273110699</v>
      </c>
      <c r="N706">
        <v>9.7665531236564007</v>
      </c>
      <c r="O706">
        <v>20.502389087611899</v>
      </c>
      <c r="P706">
        <v>21.899999618530298</v>
      </c>
      <c r="Q706">
        <v>17.4832763867167</v>
      </c>
      <c r="R706">
        <v>22.930545810139598</v>
      </c>
      <c r="S706">
        <v>17.4832763867167</v>
      </c>
      <c r="T706">
        <v>1478.1740614334501</v>
      </c>
      <c r="U706">
        <v>328.44880546075098</v>
      </c>
      <c r="V706">
        <v>0</v>
      </c>
      <c r="W706">
        <v>107.167235494881</v>
      </c>
      <c r="X706">
        <v>899.03583617747404</v>
      </c>
      <c r="Y706">
        <v>0</v>
      </c>
      <c r="Z706">
        <v>499.83276450512</v>
      </c>
      <c r="AA706">
        <v>0</v>
      </c>
      <c r="AB706">
        <v>4.5483381772610896</v>
      </c>
      <c r="AC706">
        <v>0.200237126637937</v>
      </c>
      <c r="AD706">
        <v>1.1172298935493099</v>
      </c>
      <c r="AE706">
        <v>0.46155057547442302</v>
      </c>
      <c r="AF706">
        <v>1195.5546075085299</v>
      </c>
      <c r="AG706">
        <f>IFERROR(AH706*0.1, "N/A")</f>
        <v>5.9713310580204801</v>
      </c>
      <c r="AH706">
        <v>59.713310580204798</v>
      </c>
      <c r="AI706">
        <v>188.039230437816</v>
      </c>
      <c r="AJ706">
        <v>22.266211604095599</v>
      </c>
      <c r="AK706">
        <v>65.979522184300393</v>
      </c>
    </row>
    <row r="707" spans="1:37" x14ac:dyDescent="0.3">
      <c r="A707">
        <v>706</v>
      </c>
      <c r="B707">
        <v>0.6</v>
      </c>
      <c r="C707">
        <v>29.533300000000001</v>
      </c>
      <c r="D707">
        <v>-11.333299999999999</v>
      </c>
      <c r="E707" t="s">
        <v>1174</v>
      </c>
      <c r="F707" t="s">
        <v>1176</v>
      </c>
      <c r="G707" t="s">
        <v>37</v>
      </c>
      <c r="H707">
        <v>1946</v>
      </c>
      <c r="I707">
        <v>20.875426145950701</v>
      </c>
      <c r="J707">
        <v>11.699999809265099</v>
      </c>
      <c r="K707">
        <v>56.5273037542662</v>
      </c>
      <c r="L707">
        <v>22.0265354410373</v>
      </c>
      <c r="M707">
        <v>30.268942273110699</v>
      </c>
      <c r="N707">
        <v>9.7665531236564007</v>
      </c>
      <c r="O707">
        <v>20.502389087611899</v>
      </c>
      <c r="P707">
        <v>21.899999618530298</v>
      </c>
      <c r="Q707">
        <v>17.4832763867167</v>
      </c>
      <c r="R707">
        <v>22.930545810139598</v>
      </c>
      <c r="S707">
        <v>17.4832763867167</v>
      </c>
      <c r="T707">
        <v>1478.1740614334501</v>
      </c>
      <c r="U707">
        <v>328.44880546075098</v>
      </c>
      <c r="V707">
        <v>0</v>
      </c>
      <c r="W707">
        <v>107.167235494881</v>
      </c>
      <c r="X707">
        <v>899.03583617747404</v>
      </c>
      <c r="Y707">
        <v>0</v>
      </c>
      <c r="Z707">
        <v>499.83276450512</v>
      </c>
      <c r="AA707">
        <v>0</v>
      </c>
      <c r="AB707">
        <v>4.5483381772610896</v>
      </c>
      <c r="AC707">
        <v>0.200237126637937</v>
      </c>
      <c r="AD707">
        <v>1.1172298935493099</v>
      </c>
      <c r="AE707">
        <v>0.46155057547442302</v>
      </c>
      <c r="AF707">
        <v>1195.5546075085299</v>
      </c>
      <c r="AG707">
        <f>IFERROR(AH707*0.1, "N/A")</f>
        <v>5.9713310580204801</v>
      </c>
      <c r="AH707">
        <v>59.713310580204798</v>
      </c>
      <c r="AI707">
        <v>188.039230437816</v>
      </c>
      <c r="AJ707">
        <v>22.266211604095599</v>
      </c>
      <c r="AK707">
        <v>65.979522184300393</v>
      </c>
    </row>
    <row r="708" spans="1:37" x14ac:dyDescent="0.3">
      <c r="A708">
        <v>707</v>
      </c>
      <c r="B708">
        <v>35.299999</v>
      </c>
      <c r="C708">
        <v>29.548100000000002</v>
      </c>
      <c r="D708">
        <v>-11.3329</v>
      </c>
      <c r="E708" t="s">
        <v>1177</v>
      </c>
      <c r="F708" t="s">
        <v>1178</v>
      </c>
      <c r="G708" t="s">
        <v>39</v>
      </c>
      <c r="H708">
        <v>1972</v>
      </c>
      <c r="I708">
        <v>20.971575234034301</v>
      </c>
      <c r="J708">
        <v>11.699999809265099</v>
      </c>
      <c r="K708">
        <v>57</v>
      </c>
      <c r="L708">
        <v>21.698527584337199</v>
      </c>
      <c r="M708">
        <v>30.371574852564599</v>
      </c>
      <c r="N708">
        <v>9.8715751236432201</v>
      </c>
      <c r="O708">
        <v>20.5</v>
      </c>
      <c r="P708">
        <v>21.971575234034301</v>
      </c>
      <c r="Q708">
        <v>17.671575996973701</v>
      </c>
      <c r="R708">
        <v>22.971575234034301</v>
      </c>
      <c r="S708">
        <v>17.671575996973701</v>
      </c>
      <c r="T708">
        <v>1476.1369863013699</v>
      </c>
      <c r="U708">
        <v>327.56849315068501</v>
      </c>
      <c r="V708">
        <v>0</v>
      </c>
      <c r="W708">
        <v>107.715753424658</v>
      </c>
      <c r="X708">
        <v>898.56849315068496</v>
      </c>
      <c r="Y708">
        <v>0</v>
      </c>
      <c r="Z708">
        <v>497.85273972602698</v>
      </c>
      <c r="AA708">
        <v>0</v>
      </c>
      <c r="AB708">
        <v>7.7128787106030599</v>
      </c>
      <c r="AC708">
        <v>1.7300013168906E-2</v>
      </c>
      <c r="AD708">
        <v>0.88487868909150003</v>
      </c>
      <c r="AE708">
        <v>0.50098861845797105</v>
      </c>
      <c r="AF708">
        <v>1183.4075342465801</v>
      </c>
      <c r="AG708">
        <f>IFERROR(AH708*0.1, "N/A")</f>
        <v>6.1952054794520599</v>
      </c>
      <c r="AH708">
        <v>61.952054794520599</v>
      </c>
      <c r="AI708">
        <v>42.587779979183303</v>
      </c>
      <c r="AJ708">
        <v>32.768835616438402</v>
      </c>
      <c r="AK708">
        <v>50.410958904109599</v>
      </c>
    </row>
    <row r="709" spans="1:37" x14ac:dyDescent="0.3">
      <c r="A709">
        <v>708</v>
      </c>
      <c r="B709">
        <v>1.6</v>
      </c>
      <c r="C709">
        <v>29.548100000000002</v>
      </c>
      <c r="D709">
        <v>-11.3329</v>
      </c>
      <c r="E709" t="s">
        <v>1177</v>
      </c>
      <c r="F709" t="s">
        <v>1179</v>
      </c>
      <c r="G709" t="s">
        <v>37</v>
      </c>
      <c r="H709">
        <v>1972</v>
      </c>
      <c r="I709">
        <v>20.971575234034301</v>
      </c>
      <c r="J709">
        <v>11.699999809265099</v>
      </c>
      <c r="K709">
        <v>57</v>
      </c>
      <c r="L709">
        <v>21.698527584337199</v>
      </c>
      <c r="M709">
        <v>30.371574852564599</v>
      </c>
      <c r="N709">
        <v>9.8715751236432201</v>
      </c>
      <c r="O709">
        <v>20.5</v>
      </c>
      <c r="P709">
        <v>21.971575234034301</v>
      </c>
      <c r="Q709">
        <v>17.671575996973701</v>
      </c>
      <c r="R709">
        <v>22.971575234034301</v>
      </c>
      <c r="S709">
        <v>17.671575996973701</v>
      </c>
      <c r="T709">
        <v>1476.1369863013699</v>
      </c>
      <c r="U709">
        <v>327.56849315068501</v>
      </c>
      <c r="V709">
        <v>0</v>
      </c>
      <c r="W709">
        <v>107.715753424658</v>
      </c>
      <c r="X709">
        <v>898.56849315068496</v>
      </c>
      <c r="Y709">
        <v>0</v>
      </c>
      <c r="Z709">
        <v>497.85273972602698</v>
      </c>
      <c r="AA709">
        <v>0</v>
      </c>
      <c r="AB709">
        <v>7.7128787106030599</v>
      </c>
      <c r="AC709">
        <v>1.7300013168906E-2</v>
      </c>
      <c r="AD709">
        <v>0.88487868909150003</v>
      </c>
      <c r="AE709">
        <v>0.50098861845797105</v>
      </c>
      <c r="AF709">
        <v>1183.4075342465801</v>
      </c>
      <c r="AG709">
        <f>IFERROR(AH709*0.1, "N/A")</f>
        <v>6.1952054794520599</v>
      </c>
      <c r="AH709">
        <v>61.952054794520599</v>
      </c>
      <c r="AI709">
        <v>42.587779979183303</v>
      </c>
      <c r="AJ709">
        <v>32.768835616438402</v>
      </c>
      <c r="AK709">
        <v>50.410958904109599</v>
      </c>
    </row>
    <row r="710" spans="1:37" x14ac:dyDescent="0.3">
      <c r="A710">
        <v>709</v>
      </c>
      <c r="B710">
        <v>48</v>
      </c>
      <c r="C710">
        <v>28.851199999999999</v>
      </c>
      <c r="D710">
        <v>-11.320399999999999</v>
      </c>
      <c r="E710" t="s">
        <v>1180</v>
      </c>
      <c r="F710" t="s">
        <v>1181</v>
      </c>
      <c r="G710" t="s">
        <v>39</v>
      </c>
      <c r="H710">
        <v>2007</v>
      </c>
      <c r="I710">
        <v>20.100000381469702</v>
      </c>
      <c r="J710">
        <v>13.800000190734901</v>
      </c>
      <c r="K710">
        <v>55</v>
      </c>
      <c r="L710">
        <v>25.700000762939499</v>
      </c>
      <c r="M710">
        <v>31.299999237060501</v>
      </c>
      <c r="N710">
        <v>6.4000000953674299</v>
      </c>
      <c r="O710">
        <v>24.899999618530298</v>
      </c>
      <c r="P710">
        <v>21.700000762939499</v>
      </c>
      <c r="Q710">
        <v>16.100000381469702</v>
      </c>
      <c r="R710">
        <v>22.5</v>
      </c>
      <c r="S710">
        <v>16.100000381469702</v>
      </c>
      <c r="T710">
        <v>1166</v>
      </c>
      <c r="U710">
        <v>245</v>
      </c>
      <c r="V710">
        <v>0</v>
      </c>
      <c r="W710">
        <v>105</v>
      </c>
      <c r="X710">
        <v>718</v>
      </c>
      <c r="Y710">
        <v>0</v>
      </c>
      <c r="Z710">
        <v>416</v>
      </c>
      <c r="AA710">
        <v>0</v>
      </c>
      <c r="AB710">
        <v>17.465991419604698</v>
      </c>
      <c r="AC710">
        <v>5.8420670185333999E-2</v>
      </c>
      <c r="AD710">
        <v>1.60088706240695</v>
      </c>
      <c r="AE710">
        <v>0.439491897821426</v>
      </c>
      <c r="AF710">
        <v>1245.7863247863199</v>
      </c>
      <c r="AG710">
        <f>IFERROR(AH710*0.1, "N/A")</f>
        <v>5.8000000000000007</v>
      </c>
      <c r="AH710">
        <v>58</v>
      </c>
      <c r="AI710">
        <v>293.19516841529799</v>
      </c>
      <c r="AJ710">
        <v>19.129914529914501</v>
      </c>
      <c r="AK710">
        <v>67.837606837606899</v>
      </c>
    </row>
    <row r="711" spans="1:37" x14ac:dyDescent="0.3">
      <c r="A711">
        <v>710</v>
      </c>
      <c r="B711">
        <v>2</v>
      </c>
      <c r="C711">
        <v>28.851199999999999</v>
      </c>
      <c r="D711">
        <v>-11.320399999999999</v>
      </c>
      <c r="E711" t="s">
        <v>1180</v>
      </c>
      <c r="F711" t="s">
        <v>1182</v>
      </c>
      <c r="G711" t="s">
        <v>37</v>
      </c>
      <c r="H711">
        <v>2007</v>
      </c>
      <c r="I711">
        <v>20.100000381469702</v>
      </c>
      <c r="J711">
        <v>13.800000190734901</v>
      </c>
      <c r="K711">
        <v>55</v>
      </c>
      <c r="L711">
        <v>25.700000762939499</v>
      </c>
      <c r="M711">
        <v>31.299999237060501</v>
      </c>
      <c r="N711">
        <v>6.4000000953674299</v>
      </c>
      <c r="O711">
        <v>24.899999618530298</v>
      </c>
      <c r="P711">
        <v>21.700000762939499</v>
      </c>
      <c r="Q711">
        <v>16.100000381469702</v>
      </c>
      <c r="R711">
        <v>22.5</v>
      </c>
      <c r="S711">
        <v>16.100000381469702</v>
      </c>
      <c r="T711">
        <v>1166</v>
      </c>
      <c r="U711">
        <v>245</v>
      </c>
      <c r="V711">
        <v>0</v>
      </c>
      <c r="W711">
        <v>105</v>
      </c>
      <c r="X711">
        <v>718</v>
      </c>
      <c r="Y711">
        <v>0</v>
      </c>
      <c r="Z711">
        <v>416</v>
      </c>
      <c r="AA711">
        <v>0</v>
      </c>
      <c r="AB711">
        <v>17.465991419604698</v>
      </c>
      <c r="AC711">
        <v>5.8420670185333999E-2</v>
      </c>
      <c r="AD711">
        <v>1.60088706240695</v>
      </c>
      <c r="AE711">
        <v>0.439491897821426</v>
      </c>
      <c r="AF711">
        <v>1245.7863247863199</v>
      </c>
      <c r="AG711">
        <f>IFERROR(AH711*0.1, "N/A")</f>
        <v>5.8000000000000007</v>
      </c>
      <c r="AH711">
        <v>58</v>
      </c>
      <c r="AI711">
        <v>293.19516841529799</v>
      </c>
      <c r="AJ711">
        <v>19.129914529914501</v>
      </c>
      <c r="AK711">
        <v>67.837606837606899</v>
      </c>
    </row>
    <row r="712" spans="1:37" x14ac:dyDescent="0.3">
      <c r="A712">
        <v>711</v>
      </c>
      <c r="B712">
        <v>78</v>
      </c>
      <c r="C712">
        <v>33.110298</v>
      </c>
      <c r="D712">
        <v>-11.2714</v>
      </c>
      <c r="E712" t="s">
        <v>1183</v>
      </c>
      <c r="F712" t="s">
        <v>1184</v>
      </c>
      <c r="G712" t="s">
        <v>39</v>
      </c>
      <c r="H712">
        <v>0</v>
      </c>
      <c r="I712">
        <v>23.100000381469702</v>
      </c>
      <c r="J712">
        <v>11.800000190734901</v>
      </c>
      <c r="K712">
        <v>55</v>
      </c>
      <c r="L712">
        <v>24.2399997711182</v>
      </c>
      <c r="M712">
        <v>32.900001525878899</v>
      </c>
      <c r="N712">
        <v>11.6000003814697</v>
      </c>
      <c r="O712">
        <v>21.299999237060501</v>
      </c>
      <c r="P712">
        <v>24.299999237060501</v>
      </c>
      <c r="Q712">
        <v>21.100000381469702</v>
      </c>
      <c r="R712">
        <v>26</v>
      </c>
      <c r="S712">
        <v>19.700000762939499</v>
      </c>
      <c r="T712">
        <v>852</v>
      </c>
      <c r="U712">
        <v>217</v>
      </c>
      <c r="V712">
        <v>1</v>
      </c>
      <c r="W712">
        <v>115</v>
      </c>
      <c r="X712">
        <v>604</v>
      </c>
      <c r="Y712">
        <v>3</v>
      </c>
      <c r="Z712">
        <v>285</v>
      </c>
      <c r="AA712">
        <v>4</v>
      </c>
      <c r="AB712">
        <v>9.6541966104099899</v>
      </c>
      <c r="AC712">
        <v>7.2121470545728997E-2</v>
      </c>
      <c r="AD712">
        <v>1.5786671278823099</v>
      </c>
      <c r="AE712">
        <v>0.25380039215087902</v>
      </c>
      <c r="AF712">
        <v>749.758974358974</v>
      </c>
      <c r="AG712">
        <f>IFERROR(AH712*0.1, "N/A")</f>
        <v>6.20410256410256</v>
      </c>
      <c r="AH712">
        <v>62.041025641025598</v>
      </c>
      <c r="AI712">
        <v>184.161212282099</v>
      </c>
      <c r="AJ712">
        <v>19.295726495726498</v>
      </c>
      <c r="AK712">
        <v>70.704273504273502</v>
      </c>
    </row>
    <row r="713" spans="1:37" x14ac:dyDescent="0.3">
      <c r="A713">
        <v>712</v>
      </c>
      <c r="B713">
        <v>2.4</v>
      </c>
      <c r="C713">
        <v>29.0504</v>
      </c>
      <c r="D713">
        <v>-11.266400000000001</v>
      </c>
      <c r="E713" t="s">
        <v>1185</v>
      </c>
      <c r="F713" t="s">
        <v>1186</v>
      </c>
      <c r="G713" t="s">
        <v>39</v>
      </c>
      <c r="H713">
        <v>2001</v>
      </c>
      <c r="I713">
        <v>20.203265317936498</v>
      </c>
      <c r="J713">
        <v>13.3032647768656</v>
      </c>
      <c r="K713">
        <v>55</v>
      </c>
      <c r="L713">
        <v>24.763969329624199</v>
      </c>
      <c r="M713">
        <v>31.003264617264499</v>
      </c>
      <c r="N713">
        <v>7.0298968787045801</v>
      </c>
      <c r="O713">
        <v>23.973367596000301</v>
      </c>
      <c r="P713">
        <v>21.703265317936498</v>
      </c>
      <c r="Q713">
        <v>16.303263854324999</v>
      </c>
      <c r="R713">
        <v>22.503264617264499</v>
      </c>
      <c r="S713">
        <v>16.303263854324999</v>
      </c>
      <c r="T713">
        <v>1232.47250859107</v>
      </c>
      <c r="U713">
        <v>262.16838487972501</v>
      </c>
      <c r="V713">
        <v>0</v>
      </c>
      <c r="W713">
        <v>106</v>
      </c>
      <c r="X713">
        <v>755.33676975945002</v>
      </c>
      <c r="Y713">
        <v>0</v>
      </c>
      <c r="Z713">
        <v>433.40206185567001</v>
      </c>
      <c r="AA713">
        <v>0</v>
      </c>
      <c r="AB713">
        <v>18.040316552231001</v>
      </c>
      <c r="AC713">
        <v>3.5043910968267998E-2</v>
      </c>
      <c r="AD713">
        <v>1.4569175744179601</v>
      </c>
      <c r="AE713">
        <v>0.37257924675941501</v>
      </c>
      <c r="AF713">
        <v>1240.99828178694</v>
      </c>
      <c r="AG713">
        <f>IFERROR(AH713*0.1, "N/A")</f>
        <v>6.0926116838488005</v>
      </c>
      <c r="AH713">
        <v>60.926116838487999</v>
      </c>
      <c r="AI713">
        <v>274.96223559821999</v>
      </c>
      <c r="AJ713">
        <v>20.106529209622</v>
      </c>
      <c r="AK713">
        <v>66</v>
      </c>
    </row>
    <row r="714" spans="1:37" x14ac:dyDescent="0.3">
      <c r="A714">
        <v>713</v>
      </c>
      <c r="B714">
        <v>0</v>
      </c>
      <c r="C714">
        <v>29.0504</v>
      </c>
      <c r="D714">
        <v>-11.266400000000001</v>
      </c>
      <c r="E714" t="s">
        <v>1185</v>
      </c>
      <c r="F714" t="s">
        <v>1187</v>
      </c>
      <c r="G714" t="s">
        <v>37</v>
      </c>
      <c r="H714">
        <v>2001</v>
      </c>
      <c r="I714">
        <v>20.203265317936498</v>
      </c>
      <c r="J714">
        <v>13.3032647768656</v>
      </c>
      <c r="K714">
        <v>55</v>
      </c>
      <c r="L714">
        <v>24.763969329624199</v>
      </c>
      <c r="M714">
        <v>31.003264617264499</v>
      </c>
      <c r="N714">
        <v>7.0298968787045801</v>
      </c>
      <c r="O714">
        <v>23.973367596000301</v>
      </c>
      <c r="P714">
        <v>21.703265317936498</v>
      </c>
      <c r="Q714">
        <v>16.303263854324999</v>
      </c>
      <c r="R714">
        <v>22.503264617264499</v>
      </c>
      <c r="S714">
        <v>16.303263854324999</v>
      </c>
      <c r="T714">
        <v>1232.47250859107</v>
      </c>
      <c r="U714">
        <v>262.16838487972501</v>
      </c>
      <c r="V714">
        <v>0</v>
      </c>
      <c r="W714">
        <v>106</v>
      </c>
      <c r="X714">
        <v>755.33676975945002</v>
      </c>
      <c r="Y714">
        <v>0</v>
      </c>
      <c r="Z714">
        <v>433.40206185567001</v>
      </c>
      <c r="AA714">
        <v>0</v>
      </c>
      <c r="AB714">
        <v>18.040316552231001</v>
      </c>
      <c r="AC714">
        <v>3.5043910968267998E-2</v>
      </c>
      <c r="AD714">
        <v>1.4569175744179601</v>
      </c>
      <c r="AE714">
        <v>0.37257924675941501</v>
      </c>
      <c r="AF714">
        <v>1240.99828178694</v>
      </c>
      <c r="AG714">
        <f>IFERROR(AH714*0.1, "N/A")</f>
        <v>6.0926116838488005</v>
      </c>
      <c r="AH714">
        <v>60.926116838487999</v>
      </c>
      <c r="AI714">
        <v>274.96223559821999</v>
      </c>
      <c r="AJ714">
        <v>20.106529209622</v>
      </c>
      <c r="AK714">
        <v>66</v>
      </c>
    </row>
    <row r="715" spans="1:37" x14ac:dyDescent="0.3">
      <c r="A715">
        <v>714</v>
      </c>
      <c r="B715">
        <v>4</v>
      </c>
      <c r="C715">
        <v>29.526299999999999</v>
      </c>
      <c r="D715">
        <v>-11.265700000000001</v>
      </c>
      <c r="E715" t="s">
        <v>1188</v>
      </c>
      <c r="F715" t="s">
        <v>1189</v>
      </c>
      <c r="G715" t="s">
        <v>39</v>
      </c>
      <c r="H715">
        <v>2002</v>
      </c>
      <c r="I715">
        <v>21</v>
      </c>
      <c r="J715">
        <v>11.8999996185303</v>
      </c>
      <c r="K715">
        <v>57</v>
      </c>
      <c r="L715">
        <v>21.799999237060501</v>
      </c>
      <c r="M715">
        <v>30.5</v>
      </c>
      <c r="N715">
        <v>9.8000001907348597</v>
      </c>
      <c r="O715">
        <v>20.700000762939499</v>
      </c>
      <c r="P715">
        <v>22</v>
      </c>
      <c r="Q715">
        <v>17.700000762939499</v>
      </c>
      <c r="R715">
        <v>23</v>
      </c>
      <c r="S715">
        <v>17.700000762939499</v>
      </c>
      <c r="T715">
        <v>1475</v>
      </c>
      <c r="U715">
        <v>319</v>
      </c>
      <c r="V715">
        <v>0</v>
      </c>
      <c r="W715">
        <v>108</v>
      </c>
      <c r="X715">
        <v>894</v>
      </c>
      <c r="Y715">
        <v>0</v>
      </c>
      <c r="Z715">
        <v>493</v>
      </c>
      <c r="AA715">
        <v>0</v>
      </c>
      <c r="AB715">
        <v>11.144906834937601</v>
      </c>
      <c r="AC715">
        <v>9.8175052140200003E-3</v>
      </c>
      <c r="AD715">
        <v>1.1108147513134099</v>
      </c>
      <c r="AE715">
        <v>0.28972572088241599</v>
      </c>
      <c r="AF715">
        <v>1174.0477815699701</v>
      </c>
      <c r="AG715">
        <f>IFERROR(AH715*0.1, "N/A")</f>
        <v>6.2020477815699699</v>
      </c>
      <c r="AH715">
        <v>62.020477815699699</v>
      </c>
      <c r="AI715">
        <v>105.004080902594</v>
      </c>
      <c r="AJ715">
        <v>30.044368600682599</v>
      </c>
      <c r="AK715">
        <v>54.523890784982903</v>
      </c>
    </row>
    <row r="716" spans="1:37" x14ac:dyDescent="0.3">
      <c r="A716">
        <v>715</v>
      </c>
      <c r="B716">
        <v>1</v>
      </c>
      <c r="C716">
        <v>29.526299999999999</v>
      </c>
      <c r="D716">
        <v>-11.265700000000001</v>
      </c>
      <c r="E716" t="s">
        <v>1188</v>
      </c>
      <c r="F716" t="s">
        <v>1190</v>
      </c>
      <c r="G716" t="s">
        <v>37</v>
      </c>
      <c r="H716">
        <v>1972</v>
      </c>
      <c r="I716">
        <v>21</v>
      </c>
      <c r="J716">
        <v>11.8999996185303</v>
      </c>
      <c r="K716">
        <v>57</v>
      </c>
      <c r="L716">
        <v>21.799999237060501</v>
      </c>
      <c r="M716">
        <v>30.5</v>
      </c>
      <c r="N716">
        <v>9.8000001907348597</v>
      </c>
      <c r="O716">
        <v>20.700000762939499</v>
      </c>
      <c r="P716">
        <v>22</v>
      </c>
      <c r="Q716">
        <v>17.700000762939499</v>
      </c>
      <c r="R716">
        <v>23</v>
      </c>
      <c r="S716">
        <v>17.700000762939499</v>
      </c>
      <c r="T716">
        <v>1475</v>
      </c>
      <c r="U716">
        <v>319</v>
      </c>
      <c r="V716">
        <v>0</v>
      </c>
      <c r="W716">
        <v>108</v>
      </c>
      <c r="X716">
        <v>894</v>
      </c>
      <c r="Y716">
        <v>0</v>
      </c>
      <c r="Z716">
        <v>493</v>
      </c>
      <c r="AA716">
        <v>0</v>
      </c>
      <c r="AB716">
        <v>11.144906834937601</v>
      </c>
      <c r="AC716">
        <v>9.8175052140200003E-3</v>
      </c>
      <c r="AD716">
        <v>1.1108147513134099</v>
      </c>
      <c r="AE716">
        <v>0.28972572088241599</v>
      </c>
      <c r="AF716">
        <v>1174.0477815699701</v>
      </c>
      <c r="AG716">
        <f>IFERROR(AH716*0.1, "N/A")</f>
        <v>6.2020477815699699</v>
      </c>
      <c r="AH716">
        <v>62.020477815699699</v>
      </c>
      <c r="AI716">
        <v>105.004080902594</v>
      </c>
      <c r="AJ716">
        <v>30.044368600682599</v>
      </c>
      <c r="AK716">
        <v>54.523890784982903</v>
      </c>
    </row>
    <row r="717" spans="1:37" x14ac:dyDescent="0.3">
      <c r="A717">
        <v>716</v>
      </c>
      <c r="B717">
        <v>42</v>
      </c>
      <c r="C717">
        <v>28.866399999999999</v>
      </c>
      <c r="D717">
        <v>-11.221399999999999</v>
      </c>
      <c r="E717" t="s">
        <v>1191</v>
      </c>
      <c r="F717" t="s">
        <v>1192</v>
      </c>
      <c r="G717" t="s">
        <v>39</v>
      </c>
      <c r="H717">
        <v>2007</v>
      </c>
      <c r="I717">
        <v>20.145377266896901</v>
      </c>
      <c r="J717">
        <v>13.8999996185303</v>
      </c>
      <c r="K717">
        <v>55</v>
      </c>
      <c r="L717">
        <v>25.708150768933201</v>
      </c>
      <c r="M717">
        <v>31.445376503957501</v>
      </c>
      <c r="N717">
        <v>6.3000001907348597</v>
      </c>
      <c r="O717">
        <v>25.145377266896901</v>
      </c>
      <c r="P717">
        <v>21.799999237060501</v>
      </c>
      <c r="Q717">
        <v>16.100000381469702</v>
      </c>
      <c r="R717">
        <v>22.600000381469702</v>
      </c>
      <c r="S717">
        <v>16.100000381469702</v>
      </c>
      <c r="T717">
        <v>1145</v>
      </c>
      <c r="U717">
        <v>238</v>
      </c>
      <c r="V717">
        <v>0</v>
      </c>
      <c r="W717">
        <v>104</v>
      </c>
      <c r="X717">
        <v>700</v>
      </c>
      <c r="Y717">
        <v>0</v>
      </c>
      <c r="Z717">
        <v>410</v>
      </c>
      <c r="AA717">
        <v>0</v>
      </c>
      <c r="AB717">
        <v>19.247942989819698</v>
      </c>
      <c r="AC717">
        <v>1.6444889686631999E-2</v>
      </c>
      <c r="AD717">
        <v>2.3253174681369599</v>
      </c>
      <c r="AE717">
        <v>0.43844288587570202</v>
      </c>
      <c r="AF717">
        <v>1236.5017123287701</v>
      </c>
      <c r="AG717">
        <f>IFERROR(AH717*0.1, "N/A")</f>
        <v>5.7453767123287705</v>
      </c>
      <c r="AH717">
        <v>57.453767123287697</v>
      </c>
      <c r="AI717">
        <v>37.192242416616999</v>
      </c>
      <c r="AJ717">
        <v>20.880136986301402</v>
      </c>
      <c r="AK717">
        <v>64.693493150684901</v>
      </c>
    </row>
    <row r="718" spans="1:37" x14ac:dyDescent="0.3">
      <c r="A718">
        <v>717</v>
      </c>
      <c r="B718">
        <v>12</v>
      </c>
      <c r="C718">
        <v>28.866399999999999</v>
      </c>
      <c r="D718">
        <v>-11.221399999999999</v>
      </c>
      <c r="E718" t="s">
        <v>1191</v>
      </c>
      <c r="F718" t="s">
        <v>1193</v>
      </c>
      <c r="G718" t="s">
        <v>37</v>
      </c>
      <c r="H718">
        <v>2007</v>
      </c>
      <c r="I718">
        <v>20.145377266896901</v>
      </c>
      <c r="J718">
        <v>13.8999996185303</v>
      </c>
      <c r="K718">
        <v>55</v>
      </c>
      <c r="L718">
        <v>25.708150768933201</v>
      </c>
      <c r="M718">
        <v>31.445376503957501</v>
      </c>
      <c r="N718">
        <v>6.3000001907348597</v>
      </c>
      <c r="O718">
        <v>25.145377266896901</v>
      </c>
      <c r="P718">
        <v>21.799999237060501</v>
      </c>
      <c r="Q718">
        <v>16.100000381469702</v>
      </c>
      <c r="R718">
        <v>22.600000381469702</v>
      </c>
      <c r="S718">
        <v>16.100000381469702</v>
      </c>
      <c r="T718">
        <v>1145</v>
      </c>
      <c r="U718">
        <v>238</v>
      </c>
      <c r="V718">
        <v>0</v>
      </c>
      <c r="W718">
        <v>104</v>
      </c>
      <c r="X718">
        <v>700</v>
      </c>
      <c r="Y718">
        <v>0</v>
      </c>
      <c r="Z718">
        <v>410</v>
      </c>
      <c r="AA718">
        <v>0</v>
      </c>
      <c r="AB718">
        <v>19.247942989819698</v>
      </c>
      <c r="AC718">
        <v>1.6444889686631999E-2</v>
      </c>
      <c r="AD718">
        <v>2.3253174681369599</v>
      </c>
      <c r="AE718">
        <v>0.43844288587570202</v>
      </c>
      <c r="AF718">
        <v>1236.5017123287701</v>
      </c>
      <c r="AG718">
        <f>IFERROR(AH718*0.1, "N/A")</f>
        <v>5.7453767123287705</v>
      </c>
      <c r="AH718">
        <v>57.453767123287697</v>
      </c>
      <c r="AI718">
        <v>37.192242416616999</v>
      </c>
      <c r="AJ718">
        <v>20.880136986301402</v>
      </c>
      <c r="AK718">
        <v>64.693493150684901</v>
      </c>
    </row>
    <row r="719" spans="1:37" x14ac:dyDescent="0.3">
      <c r="A719">
        <v>718</v>
      </c>
      <c r="B719">
        <v>1.3</v>
      </c>
      <c r="C719">
        <v>31.775299</v>
      </c>
      <c r="D719">
        <v>-11.213800000000001</v>
      </c>
      <c r="E719" t="s">
        <v>1194</v>
      </c>
      <c r="F719" t="s">
        <v>1195</v>
      </c>
      <c r="G719" t="s">
        <v>39</v>
      </c>
      <c r="H719">
        <v>0</v>
      </c>
      <c r="I719">
        <v>19.3411256738083</v>
      </c>
      <c r="J719">
        <v>11.8999996185303</v>
      </c>
      <c r="K719">
        <v>56</v>
      </c>
      <c r="L719">
        <v>21.051689034029099</v>
      </c>
      <c r="M719">
        <v>29.8411256738083</v>
      </c>
      <c r="N719">
        <v>8.6999998092651403</v>
      </c>
      <c r="O719">
        <v>21.141126818217501</v>
      </c>
      <c r="P719">
        <v>20.2411264152657</v>
      </c>
      <c r="Q719">
        <v>16.299999237060501</v>
      </c>
      <c r="R719">
        <v>21.7411264152657</v>
      </c>
      <c r="S719">
        <v>16.299999237060501</v>
      </c>
      <c r="T719">
        <v>1145.4112627986301</v>
      </c>
      <c r="U719">
        <v>260.58873720136501</v>
      </c>
      <c r="V719">
        <v>0</v>
      </c>
      <c r="W719">
        <v>113</v>
      </c>
      <c r="X719">
        <v>767.17747440273001</v>
      </c>
      <c r="Y719">
        <v>1</v>
      </c>
      <c r="Z719">
        <v>384.41126279863499</v>
      </c>
      <c r="AA719">
        <v>1</v>
      </c>
      <c r="AB719">
        <v>17.290590045395199</v>
      </c>
      <c r="AC719">
        <v>8.4450991328409997E-3</v>
      </c>
      <c r="AD719">
        <v>1.83549469566996</v>
      </c>
      <c r="AE719">
        <v>0.14396975610290799</v>
      </c>
      <c r="AF719">
        <v>1475.7593856655301</v>
      </c>
      <c r="AG719">
        <f>IFERROR(AH719*0.1, "N/A")</f>
        <v>5.3815699658703107</v>
      </c>
      <c r="AH719">
        <v>53.815699658703103</v>
      </c>
      <c r="AI719">
        <v>210.41526268448001</v>
      </c>
      <c r="AJ719">
        <v>31.404436860068301</v>
      </c>
      <c r="AK719">
        <v>51.155290102389102</v>
      </c>
    </row>
    <row r="720" spans="1:37" x14ac:dyDescent="0.3">
      <c r="A720">
        <v>719</v>
      </c>
      <c r="B720">
        <v>0.7</v>
      </c>
      <c r="C720">
        <v>31.775299</v>
      </c>
      <c r="D720">
        <v>-11.213800000000001</v>
      </c>
      <c r="E720" t="s">
        <v>1194</v>
      </c>
      <c r="F720" t="s">
        <v>1196</v>
      </c>
      <c r="G720" t="s">
        <v>37</v>
      </c>
      <c r="H720">
        <v>0</v>
      </c>
      <c r="I720">
        <v>19.3411256738083</v>
      </c>
      <c r="J720">
        <v>11.8999996185303</v>
      </c>
      <c r="K720">
        <v>56</v>
      </c>
      <c r="L720">
        <v>21.051689034029099</v>
      </c>
      <c r="M720">
        <v>29.8411256738083</v>
      </c>
      <c r="N720">
        <v>8.6999998092651403</v>
      </c>
      <c r="O720">
        <v>21.141126818217501</v>
      </c>
      <c r="P720">
        <v>20.2411264152657</v>
      </c>
      <c r="Q720">
        <v>16.299999237060501</v>
      </c>
      <c r="R720">
        <v>21.7411264152657</v>
      </c>
      <c r="S720">
        <v>16.299999237060501</v>
      </c>
      <c r="T720">
        <v>1145.4112627986301</v>
      </c>
      <c r="U720">
        <v>260.58873720136501</v>
      </c>
      <c r="V720">
        <v>0</v>
      </c>
      <c r="W720">
        <v>113</v>
      </c>
      <c r="X720">
        <v>767.17747440273001</v>
      </c>
      <c r="Y720">
        <v>1</v>
      </c>
      <c r="Z720">
        <v>384.41126279863499</v>
      </c>
      <c r="AA720">
        <v>1</v>
      </c>
      <c r="AB720">
        <v>17.290590045395199</v>
      </c>
      <c r="AC720">
        <v>8.4450991328409997E-3</v>
      </c>
      <c r="AD720">
        <v>1.83549469566996</v>
      </c>
      <c r="AE720">
        <v>0.14396975610290799</v>
      </c>
      <c r="AF720">
        <v>1475.7593856655301</v>
      </c>
      <c r="AG720">
        <f>IFERROR(AH720*0.1, "N/A")</f>
        <v>5.3815699658703107</v>
      </c>
      <c r="AH720">
        <v>53.815699658703103</v>
      </c>
      <c r="AI720">
        <v>210.41526268448001</v>
      </c>
      <c r="AJ720">
        <v>31.404436860068301</v>
      </c>
      <c r="AK720">
        <v>51.155290102389102</v>
      </c>
    </row>
    <row r="721" spans="1:37" x14ac:dyDescent="0.3">
      <c r="A721">
        <v>720</v>
      </c>
      <c r="B721">
        <v>39</v>
      </c>
      <c r="C721">
        <v>33.159199000000001</v>
      </c>
      <c r="D721">
        <v>-11.213800000000001</v>
      </c>
      <c r="E721" t="s">
        <v>1197</v>
      </c>
      <c r="F721" t="s">
        <v>1198</v>
      </c>
      <c r="G721" t="s">
        <v>39</v>
      </c>
      <c r="H721">
        <v>0</v>
      </c>
      <c r="I721">
        <v>23.106462991156501</v>
      </c>
      <c r="J721">
        <v>11.699999809265099</v>
      </c>
      <c r="K721">
        <v>54</v>
      </c>
      <c r="L721">
        <v>24.428707758585599</v>
      </c>
      <c r="M721">
        <v>33</v>
      </c>
      <c r="N721">
        <v>11.699999809265099</v>
      </c>
      <c r="O721">
        <v>21.299999237060501</v>
      </c>
      <c r="P721">
        <v>24.399999618530298</v>
      </c>
      <c r="Q721">
        <v>21.106462991156501</v>
      </c>
      <c r="R721">
        <v>26.0064626096868</v>
      </c>
      <c r="S721">
        <v>19.700000762939499</v>
      </c>
      <c r="T721">
        <v>847</v>
      </c>
      <c r="U721">
        <v>215</v>
      </c>
      <c r="V721">
        <v>1</v>
      </c>
      <c r="W721">
        <v>116</v>
      </c>
      <c r="X721">
        <v>599</v>
      </c>
      <c r="Y721">
        <v>3</v>
      </c>
      <c r="Z721">
        <v>284</v>
      </c>
      <c r="AA721">
        <v>4</v>
      </c>
      <c r="AB721">
        <v>5.2811110100778604</v>
      </c>
      <c r="AC721">
        <v>0.123434286387194</v>
      </c>
      <c r="AD721">
        <v>2.1853835165095199</v>
      </c>
      <c r="AE721">
        <v>0.45838719606399497</v>
      </c>
      <c r="AF721">
        <v>755.28401360544206</v>
      </c>
      <c r="AG721">
        <f>IFERROR(AH721*0.1, "N/A")</f>
        <v>6.5491496598639403</v>
      </c>
      <c r="AH721">
        <v>65.491496598639401</v>
      </c>
      <c r="AI721">
        <v>132.03340114541601</v>
      </c>
      <c r="AJ721">
        <v>19.382653061224499</v>
      </c>
      <c r="AK721">
        <v>69.022108843537396</v>
      </c>
    </row>
    <row r="722" spans="1:37" x14ac:dyDescent="0.3">
      <c r="A722">
        <v>721</v>
      </c>
      <c r="B722">
        <v>76</v>
      </c>
      <c r="C722">
        <v>28.793699</v>
      </c>
      <c r="D722">
        <v>-11.213100000000001</v>
      </c>
      <c r="E722" t="s">
        <v>1199</v>
      </c>
      <c r="F722" t="s">
        <v>1200</v>
      </c>
      <c r="G722" t="s">
        <v>39</v>
      </c>
      <c r="H722">
        <v>2007</v>
      </c>
      <c r="I722">
        <v>20.399999618530298</v>
      </c>
      <c r="J722">
        <v>14</v>
      </c>
      <c r="K722">
        <v>55</v>
      </c>
      <c r="L722">
        <v>25.75</v>
      </c>
      <c r="M722">
        <v>31.799999237060501</v>
      </c>
      <c r="N722">
        <v>6.5</v>
      </c>
      <c r="O722">
        <v>25.299999237060501</v>
      </c>
      <c r="P722">
        <v>22.100000381469702</v>
      </c>
      <c r="Q722">
        <v>16.399999618530298</v>
      </c>
      <c r="R722">
        <v>22.799999237060501</v>
      </c>
      <c r="S722">
        <v>16.399999618530298</v>
      </c>
      <c r="T722">
        <v>1113</v>
      </c>
      <c r="U722">
        <v>233</v>
      </c>
      <c r="V722">
        <v>0</v>
      </c>
      <c r="W722">
        <v>105</v>
      </c>
      <c r="X722">
        <v>680</v>
      </c>
      <c r="Y722">
        <v>0</v>
      </c>
      <c r="Z722">
        <v>396</v>
      </c>
      <c r="AA722">
        <v>0</v>
      </c>
      <c r="AB722">
        <v>12.552767761752101</v>
      </c>
      <c r="AC722">
        <v>4.7330927867920002E-2</v>
      </c>
      <c r="AD722">
        <v>1.9572248035007</v>
      </c>
      <c r="AE722">
        <v>0.36816206574440002</v>
      </c>
      <c r="AF722">
        <v>1183.0735042735</v>
      </c>
      <c r="AG722">
        <f>IFERROR(AH722*0.1, "N/A")</f>
        <v>5.9</v>
      </c>
      <c r="AH722">
        <v>59</v>
      </c>
      <c r="AI722">
        <v>135.045390228532</v>
      </c>
      <c r="AJ722">
        <v>23.540170940170899</v>
      </c>
      <c r="AK722">
        <v>56.461538461538503</v>
      </c>
    </row>
    <row r="723" spans="1:37" x14ac:dyDescent="0.3">
      <c r="A723">
        <v>722</v>
      </c>
      <c r="B723">
        <v>4</v>
      </c>
      <c r="C723">
        <v>28.793699</v>
      </c>
      <c r="D723">
        <v>-11.213100000000001</v>
      </c>
      <c r="E723" t="s">
        <v>1199</v>
      </c>
      <c r="F723" t="s">
        <v>1201</v>
      </c>
      <c r="G723" t="s">
        <v>37</v>
      </c>
      <c r="H723">
        <v>2007</v>
      </c>
      <c r="I723">
        <v>20.399999618530298</v>
      </c>
      <c r="J723">
        <v>14</v>
      </c>
      <c r="K723">
        <v>55</v>
      </c>
      <c r="L723">
        <v>25.75</v>
      </c>
      <c r="M723">
        <v>31.799999237060501</v>
      </c>
      <c r="N723">
        <v>6.5</v>
      </c>
      <c r="O723">
        <v>25.299999237060501</v>
      </c>
      <c r="P723">
        <v>22.100000381469702</v>
      </c>
      <c r="Q723">
        <v>16.399999618530298</v>
      </c>
      <c r="R723">
        <v>22.799999237060501</v>
      </c>
      <c r="S723">
        <v>16.399999618530298</v>
      </c>
      <c r="T723">
        <v>1113</v>
      </c>
      <c r="U723">
        <v>233</v>
      </c>
      <c r="V723">
        <v>0</v>
      </c>
      <c r="W723">
        <v>105</v>
      </c>
      <c r="X723">
        <v>680</v>
      </c>
      <c r="Y723">
        <v>0</v>
      </c>
      <c r="Z723">
        <v>396</v>
      </c>
      <c r="AA723">
        <v>0</v>
      </c>
      <c r="AB723">
        <v>12.552767761752101</v>
      </c>
      <c r="AC723">
        <v>4.7330927867920002E-2</v>
      </c>
      <c r="AD723">
        <v>1.9572248035007</v>
      </c>
      <c r="AE723">
        <v>0.36816206574440002</v>
      </c>
      <c r="AF723">
        <v>1183.0735042735</v>
      </c>
      <c r="AG723">
        <f>IFERROR(AH723*0.1, "N/A")</f>
        <v>5.9</v>
      </c>
      <c r="AH723">
        <v>59</v>
      </c>
      <c r="AI723">
        <v>135.045390228532</v>
      </c>
      <c r="AJ723">
        <v>23.540170940170899</v>
      </c>
      <c r="AK723">
        <v>56.461538461538503</v>
      </c>
    </row>
    <row r="724" spans="1:37" x14ac:dyDescent="0.3">
      <c r="A724">
        <v>723</v>
      </c>
      <c r="B724">
        <v>3</v>
      </c>
      <c r="C724">
        <v>28.8965</v>
      </c>
      <c r="D724">
        <v>-11.200900000000001</v>
      </c>
      <c r="E724" t="s">
        <v>1202</v>
      </c>
      <c r="F724" t="s">
        <v>1203</v>
      </c>
      <c r="G724" t="s">
        <v>39</v>
      </c>
      <c r="H724">
        <v>2001</v>
      </c>
      <c r="I724">
        <v>20.2046160771297</v>
      </c>
      <c r="J724">
        <v>13.800000190734901</v>
      </c>
      <c r="K724">
        <v>54.9538461538462</v>
      </c>
      <c r="L724">
        <v>25.7578461573674</v>
      </c>
      <c r="M724">
        <v>31.4092304229736</v>
      </c>
      <c r="N724">
        <v>6.5</v>
      </c>
      <c r="O724">
        <v>24.9092304229736</v>
      </c>
      <c r="P724">
        <v>21.809230041503898</v>
      </c>
      <c r="Q724">
        <v>16.200000762939499</v>
      </c>
      <c r="R724">
        <v>22.604615783691401</v>
      </c>
      <c r="S724">
        <v>16.200000762939499</v>
      </c>
      <c r="T724">
        <v>1142.2615384615401</v>
      </c>
      <c r="U724">
        <v>237.861538461538</v>
      </c>
      <c r="V724">
        <v>0</v>
      </c>
      <c r="W724">
        <v>104.046153846154</v>
      </c>
      <c r="X724">
        <v>698.49230769230803</v>
      </c>
      <c r="Y724">
        <v>0</v>
      </c>
      <c r="Z724">
        <v>406.63076923076898</v>
      </c>
      <c r="AA724">
        <v>0</v>
      </c>
      <c r="AB724">
        <v>31.869902886284699</v>
      </c>
      <c r="AC724">
        <v>3.4154790313516002E-2</v>
      </c>
      <c r="AD724">
        <v>1.4409065524736999</v>
      </c>
      <c r="AE724">
        <v>0.46807223558425898</v>
      </c>
      <c r="AF724">
        <v>1215.5247863247901</v>
      </c>
      <c r="AG724">
        <f>IFERROR(AH724*0.1, "N/A")</f>
        <v>5.89247863247863</v>
      </c>
      <c r="AH724">
        <v>58.924786324786297</v>
      </c>
      <c r="AI724">
        <v>33.8242786994347</v>
      </c>
      <c r="AJ724">
        <v>21.834188034187999</v>
      </c>
      <c r="AK724">
        <v>64.429059829059796</v>
      </c>
    </row>
    <row r="725" spans="1:37" x14ac:dyDescent="0.3">
      <c r="A725">
        <v>724</v>
      </c>
      <c r="B725">
        <v>0</v>
      </c>
      <c r="C725">
        <v>28.8965</v>
      </c>
      <c r="D725">
        <v>-11.200900000000001</v>
      </c>
      <c r="E725" t="s">
        <v>1202</v>
      </c>
      <c r="F725" t="s">
        <v>1204</v>
      </c>
      <c r="G725" t="s">
        <v>37</v>
      </c>
      <c r="H725">
        <v>2001</v>
      </c>
      <c r="I725">
        <v>20.2046160771297</v>
      </c>
      <c r="J725">
        <v>13.800000190734901</v>
      </c>
      <c r="K725">
        <v>54.9538461538462</v>
      </c>
      <c r="L725">
        <v>25.7578461573674</v>
      </c>
      <c r="M725">
        <v>31.4092304229736</v>
      </c>
      <c r="N725">
        <v>6.5</v>
      </c>
      <c r="O725">
        <v>24.9092304229736</v>
      </c>
      <c r="P725">
        <v>21.809230041503898</v>
      </c>
      <c r="Q725">
        <v>16.200000762939499</v>
      </c>
      <c r="R725">
        <v>22.604615783691401</v>
      </c>
      <c r="S725">
        <v>16.200000762939499</v>
      </c>
      <c r="T725">
        <v>1142.2615384615401</v>
      </c>
      <c r="U725">
        <v>237.861538461538</v>
      </c>
      <c r="V725">
        <v>0</v>
      </c>
      <c r="W725">
        <v>104.046153846154</v>
      </c>
      <c r="X725">
        <v>698.49230769230803</v>
      </c>
      <c r="Y725">
        <v>0</v>
      </c>
      <c r="Z725">
        <v>406.63076923076898</v>
      </c>
      <c r="AA725">
        <v>0</v>
      </c>
      <c r="AB725">
        <v>31.869902886284699</v>
      </c>
      <c r="AC725">
        <v>3.4154790313516002E-2</v>
      </c>
      <c r="AD725">
        <v>1.4409065524736999</v>
      </c>
      <c r="AE725">
        <v>0.46807223558425898</v>
      </c>
      <c r="AF725">
        <v>1215.5247863247901</v>
      </c>
      <c r="AG725">
        <f>IFERROR(AH725*0.1, "N/A")</f>
        <v>5.89247863247863</v>
      </c>
      <c r="AH725">
        <v>58.924786324786297</v>
      </c>
      <c r="AI725">
        <v>33.8242786994347</v>
      </c>
      <c r="AJ725">
        <v>21.834188034187999</v>
      </c>
      <c r="AK725">
        <v>64.429059829059796</v>
      </c>
    </row>
    <row r="726" spans="1:37" x14ac:dyDescent="0.3">
      <c r="A726">
        <v>725</v>
      </c>
      <c r="B726">
        <v>42.5</v>
      </c>
      <c r="C726">
        <v>28.883300999999999</v>
      </c>
      <c r="D726">
        <v>-11.2</v>
      </c>
      <c r="E726" t="s">
        <v>1205</v>
      </c>
      <c r="F726" t="s">
        <v>1206</v>
      </c>
      <c r="G726" t="s">
        <v>39</v>
      </c>
      <c r="H726">
        <v>1946</v>
      </c>
      <c r="I726">
        <v>20.267461403062001</v>
      </c>
      <c r="J726">
        <v>13.8999996185303</v>
      </c>
      <c r="K726">
        <v>55</v>
      </c>
      <c r="L726">
        <v>25.783543429139101</v>
      </c>
      <c r="M726">
        <v>31.589949235802401</v>
      </c>
      <c r="N726">
        <v>6.4216355091465402</v>
      </c>
      <c r="O726">
        <v>25.168314100327201</v>
      </c>
      <c r="P726">
        <v>21.921635135475199</v>
      </c>
      <c r="Q726">
        <v>16.200000762939499</v>
      </c>
      <c r="R726">
        <v>22.700000762939499</v>
      </c>
      <c r="S726">
        <v>16.200000762939499</v>
      </c>
      <c r="T726">
        <v>1125.80408858603</v>
      </c>
      <c r="U726">
        <v>234.42589437819399</v>
      </c>
      <c r="V726">
        <v>0</v>
      </c>
      <c r="W726">
        <v>104.67461669506</v>
      </c>
      <c r="X726">
        <v>687.27768313458296</v>
      </c>
      <c r="Y726">
        <v>0</v>
      </c>
      <c r="Z726">
        <v>399.40204429301502</v>
      </c>
      <c r="AA726">
        <v>0</v>
      </c>
      <c r="AB726">
        <v>5.3758060383837298</v>
      </c>
      <c r="AC726">
        <v>1.1046167150507999E-2</v>
      </c>
      <c r="AD726">
        <v>1.71719875550961</v>
      </c>
      <c r="AE726">
        <v>0.47079568603782102</v>
      </c>
      <c r="AF726">
        <v>1195.31175468484</v>
      </c>
      <c r="AG726">
        <f>IFERROR(AH726*0.1, "N/A")</f>
        <v>6.263373083475301</v>
      </c>
      <c r="AH726">
        <v>62.633730834753003</v>
      </c>
      <c r="AI726">
        <v>147.60409018859301</v>
      </c>
      <c r="AJ726">
        <v>22.366269165247001</v>
      </c>
      <c r="AK726">
        <v>61.633730834753003</v>
      </c>
    </row>
    <row r="727" spans="1:37" x14ac:dyDescent="0.3">
      <c r="A727">
        <v>726</v>
      </c>
      <c r="B727">
        <v>0</v>
      </c>
      <c r="C727">
        <v>28.883300999999999</v>
      </c>
      <c r="D727">
        <v>-11.2</v>
      </c>
      <c r="E727" t="s">
        <v>1205</v>
      </c>
      <c r="F727" t="s">
        <v>1207</v>
      </c>
      <c r="G727" t="s">
        <v>37</v>
      </c>
      <c r="H727">
        <v>1946</v>
      </c>
      <c r="I727">
        <v>20.267461403062001</v>
      </c>
      <c r="J727">
        <v>13.8999996185303</v>
      </c>
      <c r="K727">
        <v>55</v>
      </c>
      <c r="L727">
        <v>25.783543429139101</v>
      </c>
      <c r="M727">
        <v>31.589949235802401</v>
      </c>
      <c r="N727">
        <v>6.4216355091465402</v>
      </c>
      <c r="O727">
        <v>25.168314100327201</v>
      </c>
      <c r="P727">
        <v>21.921635135475199</v>
      </c>
      <c r="Q727">
        <v>16.200000762939499</v>
      </c>
      <c r="R727">
        <v>22.700000762939499</v>
      </c>
      <c r="S727">
        <v>16.200000762939499</v>
      </c>
      <c r="T727">
        <v>1125.80408858603</v>
      </c>
      <c r="U727">
        <v>234.42589437819399</v>
      </c>
      <c r="V727">
        <v>0</v>
      </c>
      <c r="W727">
        <v>104.67461669506</v>
      </c>
      <c r="X727">
        <v>687.27768313458296</v>
      </c>
      <c r="Y727">
        <v>0</v>
      </c>
      <c r="Z727">
        <v>399.40204429301502</v>
      </c>
      <c r="AA727">
        <v>0</v>
      </c>
      <c r="AB727">
        <v>5.3758060383837298</v>
      </c>
      <c r="AC727">
        <v>1.1046167150507999E-2</v>
      </c>
      <c r="AD727">
        <v>1.71719875550961</v>
      </c>
      <c r="AE727">
        <v>0.47079568603782102</v>
      </c>
      <c r="AF727">
        <v>1195.31175468484</v>
      </c>
      <c r="AG727">
        <f>IFERROR(AH727*0.1, "N/A")</f>
        <v>6.263373083475301</v>
      </c>
      <c r="AH727">
        <v>62.633730834753003</v>
      </c>
      <c r="AI727">
        <v>147.60409018859301</v>
      </c>
      <c r="AJ727">
        <v>22.366269165247001</v>
      </c>
      <c r="AK727">
        <v>61.633730834753003</v>
      </c>
    </row>
    <row r="728" spans="1:37" x14ac:dyDescent="0.3">
      <c r="A728">
        <v>727</v>
      </c>
      <c r="B728">
        <v>37.299999</v>
      </c>
      <c r="C728">
        <v>28.886399999999998</v>
      </c>
      <c r="D728">
        <v>-11.1874</v>
      </c>
      <c r="E728" t="s">
        <v>1208</v>
      </c>
      <c r="F728" t="s">
        <v>1209</v>
      </c>
      <c r="G728" t="s">
        <v>39</v>
      </c>
      <c r="H728">
        <v>0</v>
      </c>
      <c r="I728">
        <v>20.299999237060501</v>
      </c>
      <c r="J728">
        <v>13.8999996185303</v>
      </c>
      <c r="K728">
        <v>55</v>
      </c>
      <c r="L728">
        <v>25.950000762939499</v>
      </c>
      <c r="M728">
        <v>31.600000381469702</v>
      </c>
      <c r="N728">
        <v>6.4000000953674299</v>
      </c>
      <c r="O728">
        <v>25.200000762939499</v>
      </c>
      <c r="P728">
        <v>21.899999618530298</v>
      </c>
      <c r="Q728">
        <v>16.200000762939499</v>
      </c>
      <c r="R728">
        <v>22.700000762939499</v>
      </c>
      <c r="S728">
        <v>16.200000762939499</v>
      </c>
      <c r="T728">
        <v>1131</v>
      </c>
      <c r="U728">
        <v>235</v>
      </c>
      <c r="V728">
        <v>0</v>
      </c>
      <c r="W728">
        <v>104</v>
      </c>
      <c r="X728">
        <v>690</v>
      </c>
      <c r="Y728">
        <v>0</v>
      </c>
      <c r="Z728">
        <v>403</v>
      </c>
      <c r="AA728">
        <v>0</v>
      </c>
      <c r="AB728">
        <v>23.5485280791032</v>
      </c>
      <c r="AC728">
        <v>5.5252831678448001E-2</v>
      </c>
      <c r="AD728">
        <v>2.6123547576508401</v>
      </c>
      <c r="AE728">
        <v>0.41523590683937101</v>
      </c>
      <c r="AF728">
        <v>1207.05660377359</v>
      </c>
      <c r="AG728">
        <f>IFERROR(AH728*0.1, "N/A")</f>
        <v>5.8048027444253902</v>
      </c>
      <c r="AH728">
        <v>58.048027444253897</v>
      </c>
      <c r="AI728">
        <v>128.93132978278999</v>
      </c>
      <c r="AJ728">
        <v>21.975986277873101</v>
      </c>
      <c r="AK728">
        <v>66.012006861063497</v>
      </c>
    </row>
    <row r="729" spans="1:37" x14ac:dyDescent="0.3">
      <c r="A729">
        <v>728</v>
      </c>
      <c r="B729">
        <v>3.6</v>
      </c>
      <c r="C729">
        <v>28.886399999999998</v>
      </c>
      <c r="D729">
        <v>-11.1874</v>
      </c>
      <c r="E729" t="s">
        <v>1208</v>
      </c>
      <c r="F729" t="s">
        <v>1210</v>
      </c>
      <c r="G729" t="s">
        <v>37</v>
      </c>
      <c r="H729">
        <v>0</v>
      </c>
      <c r="I729">
        <v>20.299999237060501</v>
      </c>
      <c r="J729">
        <v>13.8999996185303</v>
      </c>
      <c r="K729">
        <v>55</v>
      </c>
      <c r="L729">
        <v>25.950000762939499</v>
      </c>
      <c r="M729">
        <v>31.600000381469702</v>
      </c>
      <c r="N729">
        <v>6.4000000953674299</v>
      </c>
      <c r="O729">
        <v>25.200000762939499</v>
      </c>
      <c r="P729">
        <v>21.899999618530298</v>
      </c>
      <c r="Q729">
        <v>16.200000762939499</v>
      </c>
      <c r="R729">
        <v>22.700000762939499</v>
      </c>
      <c r="S729">
        <v>16.200000762939499</v>
      </c>
      <c r="T729">
        <v>1131</v>
      </c>
      <c r="U729">
        <v>235</v>
      </c>
      <c r="V729">
        <v>0</v>
      </c>
      <c r="W729">
        <v>104</v>
      </c>
      <c r="X729">
        <v>690</v>
      </c>
      <c r="Y729">
        <v>0</v>
      </c>
      <c r="Z729">
        <v>403</v>
      </c>
      <c r="AA729">
        <v>0</v>
      </c>
      <c r="AB729">
        <v>23.5485280791032</v>
      </c>
      <c r="AC729">
        <v>5.5252831678448001E-2</v>
      </c>
      <c r="AD729">
        <v>2.6123547576508401</v>
      </c>
      <c r="AE729">
        <v>0.41523590683937101</v>
      </c>
      <c r="AF729">
        <v>1207.05660377359</v>
      </c>
      <c r="AG729">
        <f>IFERROR(AH729*0.1, "N/A")</f>
        <v>5.8048027444253902</v>
      </c>
      <c r="AH729">
        <v>58.048027444253897</v>
      </c>
      <c r="AI729">
        <v>128.93132978278999</v>
      </c>
      <c r="AJ729">
        <v>21.975986277873101</v>
      </c>
      <c r="AK729">
        <v>66.012006861063497</v>
      </c>
    </row>
    <row r="730" spans="1:37" x14ac:dyDescent="0.3">
      <c r="A730">
        <v>729</v>
      </c>
      <c r="B730">
        <v>52</v>
      </c>
      <c r="C730">
        <v>28.845800000000001</v>
      </c>
      <c r="D730">
        <v>-11.1866</v>
      </c>
      <c r="E730" t="s">
        <v>1211</v>
      </c>
      <c r="F730" t="s">
        <v>1212</v>
      </c>
      <c r="G730" t="s">
        <v>39</v>
      </c>
      <c r="H730">
        <v>2007</v>
      </c>
      <c r="I730">
        <v>20.200000762939499</v>
      </c>
      <c r="J730">
        <v>14</v>
      </c>
      <c r="K730">
        <v>55</v>
      </c>
      <c r="L730">
        <v>26</v>
      </c>
      <c r="M730">
        <v>31.600000381469702</v>
      </c>
      <c r="N730">
        <v>6.3000001907348597</v>
      </c>
      <c r="O730">
        <v>25.299999237060501</v>
      </c>
      <c r="P730">
        <v>21.899999618530298</v>
      </c>
      <c r="Q730">
        <v>16.200000762939499</v>
      </c>
      <c r="R730">
        <v>22.700000762939499</v>
      </c>
      <c r="S730">
        <v>16.200000762939499</v>
      </c>
      <c r="T730">
        <v>1120</v>
      </c>
      <c r="U730">
        <v>233</v>
      </c>
      <c r="V730">
        <v>0</v>
      </c>
      <c r="W730">
        <v>104</v>
      </c>
      <c r="X730">
        <v>682</v>
      </c>
      <c r="Y730">
        <v>0</v>
      </c>
      <c r="Z730">
        <v>399</v>
      </c>
      <c r="AA730">
        <v>0</v>
      </c>
      <c r="AB730">
        <v>24.121600602630899</v>
      </c>
      <c r="AC730">
        <v>3.6279196311265999E-2</v>
      </c>
      <c r="AD730">
        <v>1.6317582849763399</v>
      </c>
      <c r="AE730">
        <v>0.33543562889099099</v>
      </c>
      <c r="AF730">
        <v>1201.4786324786301</v>
      </c>
      <c r="AG730">
        <f>IFERROR(AH730*0.1, "N/A")</f>
        <v>5.9488888888888907</v>
      </c>
      <c r="AH730">
        <v>59.488888888888901</v>
      </c>
      <c r="AI730">
        <v>215.19801638350501</v>
      </c>
      <c r="AJ730">
        <v>26.499145299145301</v>
      </c>
      <c r="AK730">
        <v>56.487179487179503</v>
      </c>
    </row>
    <row r="731" spans="1:37" x14ac:dyDescent="0.3">
      <c r="A731">
        <v>730</v>
      </c>
      <c r="B731">
        <v>0</v>
      </c>
      <c r="C731">
        <v>28.845800000000001</v>
      </c>
      <c r="D731">
        <v>-11.1866</v>
      </c>
      <c r="E731" t="s">
        <v>1211</v>
      </c>
      <c r="F731" t="s">
        <v>1213</v>
      </c>
      <c r="G731" t="s">
        <v>37</v>
      </c>
      <c r="H731">
        <v>2007</v>
      </c>
      <c r="I731">
        <v>20.200000762939499</v>
      </c>
      <c r="J731">
        <v>14</v>
      </c>
      <c r="K731">
        <v>55</v>
      </c>
      <c r="L731">
        <v>26</v>
      </c>
      <c r="M731">
        <v>31.600000381469702</v>
      </c>
      <c r="N731">
        <v>6.3000001907348597</v>
      </c>
      <c r="O731">
        <v>25.299999237060501</v>
      </c>
      <c r="P731">
        <v>21.899999618530298</v>
      </c>
      <c r="Q731">
        <v>16.200000762939499</v>
      </c>
      <c r="R731">
        <v>22.700000762939499</v>
      </c>
      <c r="S731">
        <v>16.200000762939499</v>
      </c>
      <c r="T731">
        <v>1120</v>
      </c>
      <c r="U731">
        <v>233</v>
      </c>
      <c r="V731">
        <v>0</v>
      </c>
      <c r="W731">
        <v>104</v>
      </c>
      <c r="X731">
        <v>682</v>
      </c>
      <c r="Y731">
        <v>0</v>
      </c>
      <c r="Z731">
        <v>399</v>
      </c>
      <c r="AA731">
        <v>0</v>
      </c>
      <c r="AB731">
        <v>24.121600602630899</v>
      </c>
      <c r="AC731">
        <v>3.6279196311265999E-2</v>
      </c>
      <c r="AD731">
        <v>1.6317582849763399</v>
      </c>
      <c r="AE731">
        <v>0.33543562889099099</v>
      </c>
      <c r="AF731">
        <v>1201.4786324786301</v>
      </c>
      <c r="AG731">
        <f>IFERROR(AH731*0.1, "N/A")</f>
        <v>5.9488888888888907</v>
      </c>
      <c r="AH731">
        <v>59.488888888888901</v>
      </c>
      <c r="AI731">
        <v>215.19801638350501</v>
      </c>
      <c r="AJ731">
        <v>26.499145299145301</v>
      </c>
      <c r="AK731">
        <v>56.487179487179503</v>
      </c>
    </row>
    <row r="732" spans="1:37" x14ac:dyDescent="0.3">
      <c r="A732">
        <v>731</v>
      </c>
      <c r="B732">
        <v>9</v>
      </c>
      <c r="C732">
        <v>29.577200000000001</v>
      </c>
      <c r="D732">
        <v>-11.176399999999999</v>
      </c>
      <c r="E732" t="s">
        <v>1214</v>
      </c>
      <c r="F732" t="s">
        <v>1215</v>
      </c>
      <c r="G732" t="s">
        <v>39</v>
      </c>
      <c r="H732">
        <v>1972</v>
      </c>
      <c r="I732">
        <v>21.100000381469702</v>
      </c>
      <c r="J732">
        <v>11.8999996185303</v>
      </c>
      <c r="K732">
        <v>56</v>
      </c>
      <c r="L732">
        <v>21.850000381469702</v>
      </c>
      <c r="M732">
        <v>30.700000762939499</v>
      </c>
      <c r="N732">
        <v>9.8000001907348597</v>
      </c>
      <c r="O732">
        <v>20.899999618530298</v>
      </c>
      <c r="P732">
        <v>22.100000381469702</v>
      </c>
      <c r="Q732">
        <v>17.700000762939499</v>
      </c>
      <c r="R732">
        <v>23.200000762939499</v>
      </c>
      <c r="S732">
        <v>17.700000762939499</v>
      </c>
      <c r="T732">
        <v>1497</v>
      </c>
      <c r="U732">
        <v>312</v>
      </c>
      <c r="V732">
        <v>0</v>
      </c>
      <c r="W732">
        <v>107</v>
      </c>
      <c r="X732">
        <v>905</v>
      </c>
      <c r="Y732">
        <v>0</v>
      </c>
      <c r="Z732">
        <v>492</v>
      </c>
      <c r="AA732">
        <v>0</v>
      </c>
      <c r="AB732">
        <v>8.7959496820339194</v>
      </c>
      <c r="AC732">
        <v>2.5281278948926001E-2</v>
      </c>
      <c r="AD732">
        <v>0.67695835273420402</v>
      </c>
      <c r="AE732">
        <v>0.38158917427062999</v>
      </c>
      <c r="AF732">
        <v>1175.61945392491</v>
      </c>
      <c r="AG732">
        <f>IFERROR(AH732*0.1, "N/A")</f>
        <v>6.0892491467576804</v>
      </c>
      <c r="AH732">
        <v>60.892491467576797</v>
      </c>
      <c r="AI732">
        <v>74.504795107011503</v>
      </c>
      <c r="AJ732">
        <v>28.0068259385666</v>
      </c>
      <c r="AK732">
        <v>54.445392491467601</v>
      </c>
    </row>
    <row r="733" spans="1:37" x14ac:dyDescent="0.3">
      <c r="A733">
        <v>732</v>
      </c>
      <c r="B733">
        <v>0</v>
      </c>
      <c r="C733">
        <v>29.577200000000001</v>
      </c>
      <c r="D733">
        <v>-11.176399999999999</v>
      </c>
      <c r="E733" t="s">
        <v>1214</v>
      </c>
      <c r="F733" t="s">
        <v>1216</v>
      </c>
      <c r="G733" t="s">
        <v>37</v>
      </c>
      <c r="H733">
        <v>1972</v>
      </c>
      <c r="I733">
        <v>21.100000381469702</v>
      </c>
      <c r="J733">
        <v>11.8999996185303</v>
      </c>
      <c r="K733">
        <v>56</v>
      </c>
      <c r="L733">
        <v>21.850000381469702</v>
      </c>
      <c r="M733">
        <v>30.700000762939499</v>
      </c>
      <c r="N733">
        <v>9.8000001907348597</v>
      </c>
      <c r="O733">
        <v>20.899999618530298</v>
      </c>
      <c r="P733">
        <v>22.100000381469702</v>
      </c>
      <c r="Q733">
        <v>17.700000762939499</v>
      </c>
      <c r="R733">
        <v>23.200000762939499</v>
      </c>
      <c r="S733">
        <v>17.700000762939499</v>
      </c>
      <c r="T733">
        <v>1497</v>
      </c>
      <c r="U733">
        <v>312</v>
      </c>
      <c r="V733">
        <v>0</v>
      </c>
      <c r="W733">
        <v>107</v>
      </c>
      <c r="X733">
        <v>905</v>
      </c>
      <c r="Y733">
        <v>0</v>
      </c>
      <c r="Z733">
        <v>492</v>
      </c>
      <c r="AA733">
        <v>0</v>
      </c>
      <c r="AB733">
        <v>8.7959496820339194</v>
      </c>
      <c r="AC733">
        <v>2.5281278948926001E-2</v>
      </c>
      <c r="AD733">
        <v>0.67695835273420402</v>
      </c>
      <c r="AE733">
        <v>0.38158917427062999</v>
      </c>
      <c r="AF733">
        <v>1175.61945392491</v>
      </c>
      <c r="AG733">
        <f>IFERROR(AH733*0.1, "N/A")</f>
        <v>6.0892491467576804</v>
      </c>
      <c r="AH733">
        <v>60.892491467576797</v>
      </c>
      <c r="AI733">
        <v>74.504795107011503</v>
      </c>
      <c r="AJ733">
        <v>28.0068259385666</v>
      </c>
      <c r="AK733">
        <v>54.445392491467601</v>
      </c>
    </row>
    <row r="734" spans="1:37" x14ac:dyDescent="0.3">
      <c r="A734">
        <v>733</v>
      </c>
      <c r="B734">
        <v>76</v>
      </c>
      <c r="C734">
        <v>32.939898999999997</v>
      </c>
      <c r="D734">
        <v>-11.1669</v>
      </c>
      <c r="E734" t="s">
        <v>1217</v>
      </c>
      <c r="F734" t="s">
        <v>1218</v>
      </c>
      <c r="G734" t="s">
        <v>39</v>
      </c>
      <c r="H734">
        <v>0</v>
      </c>
      <c r="I734">
        <v>23.643836165127698</v>
      </c>
      <c r="J734">
        <v>11.699999809265099</v>
      </c>
      <c r="K734">
        <v>54</v>
      </c>
      <c r="L734">
        <v>24.214382746448301</v>
      </c>
      <c r="M734">
        <v>33.599998474121101</v>
      </c>
      <c r="N734">
        <v>12.300000190734901</v>
      </c>
      <c r="O734">
        <v>21.299999237060501</v>
      </c>
      <c r="P734">
        <v>24.799999237060501</v>
      </c>
      <c r="Q734">
        <v>21.700000762939499</v>
      </c>
      <c r="R734">
        <v>26.5</v>
      </c>
      <c r="S734">
        <v>20.200000762939499</v>
      </c>
      <c r="T734">
        <v>870</v>
      </c>
      <c r="U734">
        <v>217</v>
      </c>
      <c r="V734">
        <v>1</v>
      </c>
      <c r="W734">
        <v>115</v>
      </c>
      <c r="X734">
        <v>607</v>
      </c>
      <c r="Y734">
        <v>3</v>
      </c>
      <c r="Z734">
        <v>289</v>
      </c>
      <c r="AA734">
        <v>4</v>
      </c>
      <c r="AB734">
        <v>0.55188061439827696</v>
      </c>
      <c r="AC734">
        <v>2.48593570507603</v>
      </c>
      <c r="AD734">
        <v>0.67202855034233799</v>
      </c>
      <c r="AE734">
        <v>0.25112894177436801</v>
      </c>
      <c r="AF734">
        <v>671.56506849315099</v>
      </c>
      <c r="AG734">
        <f>IFERROR(AH734*0.1, "N/A")</f>
        <v>6.5</v>
      </c>
      <c r="AH734">
        <v>65</v>
      </c>
      <c r="AI734">
        <v>137.91168479396899</v>
      </c>
      <c r="AJ734">
        <v>23</v>
      </c>
      <c r="AK734">
        <v>61.119863013698598</v>
      </c>
    </row>
    <row r="735" spans="1:37" x14ac:dyDescent="0.3">
      <c r="A735">
        <v>734</v>
      </c>
      <c r="B735">
        <v>0</v>
      </c>
      <c r="C735">
        <v>29.910852999999999</v>
      </c>
      <c r="D735">
        <v>-11.145557999999999</v>
      </c>
      <c r="E735" t="s">
        <v>1219</v>
      </c>
      <c r="F735" t="s">
        <v>1220</v>
      </c>
      <c r="G735" t="s">
        <v>39</v>
      </c>
      <c r="H735">
        <v>1977</v>
      </c>
      <c r="I735">
        <v>21</v>
      </c>
      <c r="J735">
        <v>11.8999996185303</v>
      </c>
      <c r="K735">
        <v>57</v>
      </c>
      <c r="L735">
        <v>21.2399997711182</v>
      </c>
      <c r="M735">
        <v>30.700000762939499</v>
      </c>
      <c r="N735">
        <v>10</v>
      </c>
      <c r="O735">
        <v>20.700000762939499</v>
      </c>
      <c r="P735">
        <v>22</v>
      </c>
      <c r="Q735">
        <v>17.799999237060501</v>
      </c>
      <c r="R735">
        <v>23.100000381469702</v>
      </c>
      <c r="S735">
        <v>17.799999237060501</v>
      </c>
      <c r="T735">
        <v>1477</v>
      </c>
      <c r="U735">
        <v>318</v>
      </c>
      <c r="V735">
        <v>0</v>
      </c>
      <c r="W735">
        <v>110</v>
      </c>
      <c r="X735">
        <v>925</v>
      </c>
      <c r="Y735">
        <v>0</v>
      </c>
      <c r="Z735">
        <v>481</v>
      </c>
      <c r="AA735">
        <v>0</v>
      </c>
      <c r="AB735">
        <v>12.8297148454251</v>
      </c>
      <c r="AC735">
        <v>9.5266601051590006E-3</v>
      </c>
      <c r="AD735">
        <v>0.48532902151601798</v>
      </c>
      <c r="AE735">
        <v>0.55079460471204</v>
      </c>
      <c r="AF735">
        <v>1178.4819897084001</v>
      </c>
      <c r="AG735">
        <f>IFERROR(AH735*0.1, "N/A")</f>
        <v>6.5445969125214409</v>
      </c>
      <c r="AH735">
        <v>65.445969125214404</v>
      </c>
      <c r="AI735">
        <v>124.53772250088799</v>
      </c>
      <c r="AJ735">
        <v>32.012006861063497</v>
      </c>
      <c r="AK735">
        <v>48.740994854202398</v>
      </c>
    </row>
    <row r="736" spans="1:37" x14ac:dyDescent="0.3">
      <c r="A736">
        <v>735</v>
      </c>
      <c r="B736">
        <v>5.6</v>
      </c>
      <c r="C736">
        <v>30.433866999999999</v>
      </c>
      <c r="D736">
        <v>-11.145557999999999</v>
      </c>
      <c r="E736" t="s">
        <v>1221</v>
      </c>
      <c r="F736" t="s">
        <v>1222</v>
      </c>
      <c r="G736" t="s">
        <v>39</v>
      </c>
      <c r="H736">
        <v>1977</v>
      </c>
      <c r="I736">
        <v>21</v>
      </c>
      <c r="J736">
        <v>12.1000003814697</v>
      </c>
      <c r="K736">
        <v>57</v>
      </c>
      <c r="L736">
        <v>21.2700004577637</v>
      </c>
      <c r="M736">
        <v>31.100000381469702</v>
      </c>
      <c r="N736">
        <v>10</v>
      </c>
      <c r="O736">
        <v>21.100000381469702</v>
      </c>
      <c r="P736">
        <v>22</v>
      </c>
      <c r="Q736">
        <v>17.899999618530298</v>
      </c>
      <c r="R736">
        <v>23.200000762939499</v>
      </c>
      <c r="S736">
        <v>17.899999618530298</v>
      </c>
      <c r="T736">
        <v>1353.03418803419</v>
      </c>
      <c r="U736">
        <v>308.017094017094</v>
      </c>
      <c r="V736">
        <v>0</v>
      </c>
      <c r="W736">
        <v>112.017094017094</v>
      </c>
      <c r="X736">
        <v>880.03418803418799</v>
      </c>
      <c r="Y736">
        <v>0</v>
      </c>
      <c r="Z736">
        <v>456</v>
      </c>
      <c r="AA736">
        <v>0</v>
      </c>
      <c r="AB736">
        <v>0.63542751736111103</v>
      </c>
      <c r="AC736">
        <v>2.8224255547373001E-2</v>
      </c>
      <c r="AD736">
        <v>0.55685529372631004</v>
      </c>
      <c r="AE736">
        <v>0.121631190180779</v>
      </c>
      <c r="AF736">
        <v>1171.17264957265</v>
      </c>
      <c r="AG736">
        <f>IFERROR(AH736*0.1, "N/A")</f>
        <v>5.5099145299145302</v>
      </c>
      <c r="AH736">
        <v>55.099145299145299</v>
      </c>
      <c r="AI736">
        <v>39.7970858842898</v>
      </c>
      <c r="AJ736">
        <v>37</v>
      </c>
      <c r="AK736">
        <v>38.011965811965801</v>
      </c>
    </row>
    <row r="737" spans="1:37" x14ac:dyDescent="0.3">
      <c r="A737">
        <v>736</v>
      </c>
      <c r="B737">
        <v>0</v>
      </c>
      <c r="C737">
        <v>30.016898999999999</v>
      </c>
      <c r="D737">
        <v>-11.128500000000001</v>
      </c>
      <c r="E737" t="s">
        <v>1223</v>
      </c>
      <c r="F737" t="s">
        <v>1224</v>
      </c>
      <c r="G737" t="s">
        <v>39</v>
      </c>
      <c r="H737">
        <v>1972</v>
      </c>
      <c r="I737">
        <v>21</v>
      </c>
      <c r="J737">
        <v>11.9936425874323</v>
      </c>
      <c r="K737">
        <v>57.936426116838497</v>
      </c>
      <c r="L737">
        <v>20.689536363398499</v>
      </c>
      <c r="M737">
        <v>30.700000762939499</v>
      </c>
      <c r="N737">
        <v>10.1000003814697</v>
      </c>
      <c r="O737">
        <v>20.600000381469702</v>
      </c>
      <c r="P737">
        <v>22</v>
      </c>
      <c r="Q737">
        <v>17.899999618530298</v>
      </c>
      <c r="R737">
        <v>23</v>
      </c>
      <c r="S737">
        <v>17.899999618530298</v>
      </c>
      <c r="T737">
        <v>1455.1271477663199</v>
      </c>
      <c r="U737">
        <v>319</v>
      </c>
      <c r="V737">
        <v>0</v>
      </c>
      <c r="W737">
        <v>111</v>
      </c>
      <c r="X737">
        <v>922.06357388316201</v>
      </c>
      <c r="Y737">
        <v>0</v>
      </c>
      <c r="Z737">
        <v>475</v>
      </c>
      <c r="AA737">
        <v>0</v>
      </c>
      <c r="AB737">
        <v>14.817023313332299</v>
      </c>
      <c r="AC737">
        <v>1.8914107078064998E-2</v>
      </c>
      <c r="AD737">
        <v>1.25732775396088</v>
      </c>
      <c r="AE737">
        <v>0.41740661859512301</v>
      </c>
      <c r="AF737">
        <v>1181.29037800687</v>
      </c>
      <c r="AG737">
        <f>IFERROR(AH737*0.1, "N/A")</f>
        <v>6.1206185567010305</v>
      </c>
      <c r="AH737">
        <v>61.206185567010301</v>
      </c>
      <c r="AI737">
        <v>140.73839776212799</v>
      </c>
      <c r="AJ737">
        <v>32.286941580756</v>
      </c>
      <c r="AK737">
        <v>43.565292096219899</v>
      </c>
    </row>
    <row r="738" spans="1:37" x14ac:dyDescent="0.3">
      <c r="A738">
        <v>737</v>
      </c>
      <c r="B738">
        <v>0</v>
      </c>
      <c r="C738">
        <v>30.016898999999999</v>
      </c>
      <c r="D738">
        <v>-11.128500000000001</v>
      </c>
      <c r="E738" t="s">
        <v>1223</v>
      </c>
      <c r="F738" t="s">
        <v>1225</v>
      </c>
      <c r="G738" t="s">
        <v>37</v>
      </c>
      <c r="H738">
        <v>1972</v>
      </c>
      <c r="I738">
        <v>21</v>
      </c>
      <c r="J738">
        <v>11.9936425874323</v>
      </c>
      <c r="K738">
        <v>57.936426116838497</v>
      </c>
      <c r="L738">
        <v>20.689536363398499</v>
      </c>
      <c r="M738">
        <v>30.700000762939499</v>
      </c>
      <c r="N738">
        <v>10.1000003814697</v>
      </c>
      <c r="O738">
        <v>20.600000381469702</v>
      </c>
      <c r="P738">
        <v>22</v>
      </c>
      <c r="Q738">
        <v>17.899999618530298</v>
      </c>
      <c r="R738">
        <v>23</v>
      </c>
      <c r="S738">
        <v>17.899999618530298</v>
      </c>
      <c r="T738">
        <v>1455.1271477663199</v>
      </c>
      <c r="U738">
        <v>319</v>
      </c>
      <c r="V738">
        <v>0</v>
      </c>
      <c r="W738">
        <v>111</v>
      </c>
      <c r="X738">
        <v>922.06357388316201</v>
      </c>
      <c r="Y738">
        <v>0</v>
      </c>
      <c r="Z738">
        <v>475</v>
      </c>
      <c r="AA738">
        <v>0</v>
      </c>
      <c r="AB738">
        <v>14.817023313332299</v>
      </c>
      <c r="AC738">
        <v>1.8914107078064998E-2</v>
      </c>
      <c r="AD738">
        <v>1.25732775396088</v>
      </c>
      <c r="AE738">
        <v>0.41740661859512301</v>
      </c>
      <c r="AF738">
        <v>1181.29037800687</v>
      </c>
      <c r="AG738">
        <f>IFERROR(AH738*0.1, "N/A")</f>
        <v>6.1206185567010305</v>
      </c>
      <c r="AH738">
        <v>61.206185567010301</v>
      </c>
      <c r="AI738">
        <v>140.73839776212799</v>
      </c>
      <c r="AJ738">
        <v>32.286941580756</v>
      </c>
      <c r="AK738">
        <v>43.565292096219899</v>
      </c>
    </row>
    <row r="739" spans="1:37" x14ac:dyDescent="0.3">
      <c r="A739">
        <v>738</v>
      </c>
      <c r="B739">
        <v>0</v>
      </c>
      <c r="C739">
        <v>30.069799</v>
      </c>
      <c r="D739">
        <v>-11.1235</v>
      </c>
      <c r="E739" t="s">
        <v>1226</v>
      </c>
      <c r="F739" t="s">
        <v>1227</v>
      </c>
      <c r="G739" t="s">
        <v>37</v>
      </c>
      <c r="H739">
        <v>1972</v>
      </c>
      <c r="I739">
        <v>21.100000381469702</v>
      </c>
      <c r="J739">
        <v>12</v>
      </c>
      <c r="K739">
        <v>57</v>
      </c>
      <c r="L739">
        <v>21.200000762939499</v>
      </c>
      <c r="M739">
        <v>30.899999618530298</v>
      </c>
      <c r="N739">
        <v>10.1000003814697</v>
      </c>
      <c r="O739">
        <v>20.799999237060501</v>
      </c>
      <c r="P739">
        <v>22.100000381469702</v>
      </c>
      <c r="Q739">
        <v>17.899999618530298</v>
      </c>
      <c r="R739">
        <v>23.100000381469702</v>
      </c>
      <c r="S739">
        <v>17.899999618530298</v>
      </c>
      <c r="T739">
        <v>1443</v>
      </c>
      <c r="U739">
        <v>318</v>
      </c>
      <c r="V739">
        <v>0</v>
      </c>
      <c r="W739">
        <v>111</v>
      </c>
      <c r="X739">
        <v>917</v>
      </c>
      <c r="Y739">
        <v>0</v>
      </c>
      <c r="Z739">
        <v>472</v>
      </c>
      <c r="AA739">
        <v>0</v>
      </c>
      <c r="AB739">
        <v>0.473953874143836</v>
      </c>
      <c r="AC739">
        <v>2.3127414199415202</v>
      </c>
      <c r="AD739">
        <v>0.35832313335921701</v>
      </c>
      <c r="AE739">
        <v>0.13870224356651301</v>
      </c>
      <c r="AF739">
        <v>1165.6729452054799</v>
      </c>
      <c r="AG739" t="str">
        <f>IFERROR(AH739*0.1, "N/A")</f>
        <v>N/A</v>
      </c>
      <c r="AH739" t="s">
        <v>729</v>
      </c>
      <c r="AI739">
        <v>99.730952354326604</v>
      </c>
      <c r="AJ739" t="s">
        <v>729</v>
      </c>
      <c r="AK739" t="s">
        <v>729</v>
      </c>
    </row>
    <row r="740" spans="1:37" x14ac:dyDescent="0.3">
      <c r="A740">
        <v>739</v>
      </c>
      <c r="B740">
        <v>3</v>
      </c>
      <c r="C740">
        <v>29.643101000000001</v>
      </c>
      <c r="D740">
        <v>-11.116400000000001</v>
      </c>
      <c r="E740" t="s">
        <v>1228</v>
      </c>
      <c r="F740" t="s">
        <v>1229</v>
      </c>
      <c r="G740" t="s">
        <v>39</v>
      </c>
      <c r="H740">
        <v>1972</v>
      </c>
      <c r="I740">
        <v>21</v>
      </c>
      <c r="J740">
        <v>11.8999996185303</v>
      </c>
      <c r="K740">
        <v>56.721649484536101</v>
      </c>
      <c r="L740">
        <v>21.267422862888601</v>
      </c>
      <c r="M740">
        <v>30.627835539198401</v>
      </c>
      <c r="N740">
        <v>9.8721647262573207</v>
      </c>
      <c r="O740">
        <v>20.755670547485401</v>
      </c>
      <c r="P740">
        <v>22</v>
      </c>
      <c r="Q740">
        <v>17.772164610243301</v>
      </c>
      <c r="R740">
        <v>23</v>
      </c>
      <c r="S740">
        <v>17.772164610243301</v>
      </c>
      <c r="T740">
        <v>1515.4432989690699</v>
      </c>
      <c r="U740">
        <v>314.72164948453599</v>
      </c>
      <c r="V740">
        <v>0</v>
      </c>
      <c r="W740">
        <v>107</v>
      </c>
      <c r="X740">
        <v>917.72164948453599</v>
      </c>
      <c r="Y740">
        <v>0</v>
      </c>
      <c r="Z740">
        <v>492.72164948453599</v>
      </c>
      <c r="AA740">
        <v>0</v>
      </c>
      <c r="AB740">
        <v>11.2620828635095</v>
      </c>
      <c r="AC740">
        <v>6.0767297245741002E-2</v>
      </c>
      <c r="AD740">
        <v>1.79459149198434</v>
      </c>
      <c r="AE740">
        <v>0.55085927248001099</v>
      </c>
      <c r="AF740">
        <v>1177.2577319587599</v>
      </c>
      <c r="AG740">
        <f>IFERROR(AH740*0.1, "N/A")</f>
        <v>6.1091065292096198</v>
      </c>
      <c r="AH740">
        <v>61.091065292096197</v>
      </c>
      <c r="AI740">
        <v>269.20000088092002</v>
      </c>
      <c r="AJ740">
        <v>27.340206185566998</v>
      </c>
      <c r="AK740">
        <v>55.766323024054998</v>
      </c>
    </row>
    <row r="741" spans="1:37" x14ac:dyDescent="0.3">
      <c r="A741">
        <v>740</v>
      </c>
      <c r="B741">
        <v>0</v>
      </c>
      <c r="C741">
        <v>29.643101000000001</v>
      </c>
      <c r="D741">
        <v>-11.116400000000001</v>
      </c>
      <c r="E741" t="s">
        <v>1228</v>
      </c>
      <c r="F741" t="s">
        <v>1230</v>
      </c>
      <c r="G741" t="s">
        <v>37</v>
      </c>
      <c r="H741">
        <v>1972</v>
      </c>
      <c r="I741">
        <v>21</v>
      </c>
      <c r="J741">
        <v>11.8999996185303</v>
      </c>
      <c r="K741">
        <v>56.721649484536101</v>
      </c>
      <c r="L741">
        <v>21.267422862888601</v>
      </c>
      <c r="M741">
        <v>30.627835539198401</v>
      </c>
      <c r="N741">
        <v>9.8721647262573207</v>
      </c>
      <c r="O741">
        <v>20.755670547485401</v>
      </c>
      <c r="P741">
        <v>22</v>
      </c>
      <c r="Q741">
        <v>17.772164610243301</v>
      </c>
      <c r="R741">
        <v>23</v>
      </c>
      <c r="S741">
        <v>17.772164610243301</v>
      </c>
      <c r="T741">
        <v>1515.4432989690699</v>
      </c>
      <c r="U741">
        <v>314.72164948453599</v>
      </c>
      <c r="V741">
        <v>0</v>
      </c>
      <c r="W741">
        <v>107</v>
      </c>
      <c r="X741">
        <v>917.72164948453599</v>
      </c>
      <c r="Y741">
        <v>0</v>
      </c>
      <c r="Z741">
        <v>492.72164948453599</v>
      </c>
      <c r="AA741">
        <v>0</v>
      </c>
      <c r="AB741">
        <v>11.2620828635095</v>
      </c>
      <c r="AC741">
        <v>6.0767297245741002E-2</v>
      </c>
      <c r="AD741">
        <v>1.79459149198434</v>
      </c>
      <c r="AE741">
        <v>0.55085927248001099</v>
      </c>
      <c r="AF741">
        <v>1177.2577319587599</v>
      </c>
      <c r="AG741">
        <f>IFERROR(AH741*0.1, "N/A")</f>
        <v>6.1091065292096198</v>
      </c>
      <c r="AH741">
        <v>61.091065292096197</v>
      </c>
      <c r="AI741">
        <v>269.20000088092002</v>
      </c>
      <c r="AJ741">
        <v>27.340206185566998</v>
      </c>
      <c r="AK741">
        <v>55.766323024054998</v>
      </c>
    </row>
    <row r="742" spans="1:37" x14ac:dyDescent="0.3">
      <c r="A742">
        <v>741</v>
      </c>
      <c r="B742">
        <v>18.5</v>
      </c>
      <c r="C742">
        <v>30.355599999999999</v>
      </c>
      <c r="D742">
        <v>-11.1</v>
      </c>
      <c r="E742" t="s">
        <v>1231</v>
      </c>
      <c r="F742" t="s">
        <v>1232</v>
      </c>
      <c r="G742" t="s">
        <v>39</v>
      </c>
      <c r="H742">
        <v>1985</v>
      </c>
      <c r="I742">
        <v>20.980993078179601</v>
      </c>
      <c r="J742">
        <v>12.1000003814697</v>
      </c>
      <c r="K742">
        <v>57</v>
      </c>
      <c r="L742">
        <v>21.108596468624999</v>
      </c>
      <c r="M742">
        <v>30.980993078179502</v>
      </c>
      <c r="N742">
        <v>10</v>
      </c>
      <c r="O742">
        <v>20.980993078179601</v>
      </c>
      <c r="P742">
        <v>21.899999618530298</v>
      </c>
      <c r="Q742">
        <v>17.799999237060501</v>
      </c>
      <c r="R742">
        <v>23.080993459649299</v>
      </c>
      <c r="S742">
        <v>17.799999237060501</v>
      </c>
      <c r="T742">
        <v>1381.19006849315</v>
      </c>
      <c r="U742">
        <v>311.19006849315099</v>
      </c>
      <c r="V742">
        <v>0</v>
      </c>
      <c r="W742">
        <v>111</v>
      </c>
      <c r="X742">
        <v>891.19006849315099</v>
      </c>
      <c r="Y742">
        <v>0</v>
      </c>
      <c r="Z742">
        <v>406.97945205479402</v>
      </c>
      <c r="AA742">
        <v>0</v>
      </c>
      <c r="AB742">
        <v>7.8994387273919102</v>
      </c>
      <c r="AC742">
        <v>7.2588526857506996E-2</v>
      </c>
      <c r="AD742">
        <v>0.64011948861896195</v>
      </c>
      <c r="AE742">
        <v>0.60704684257507302</v>
      </c>
      <c r="AF742">
        <v>1190.54452054795</v>
      </c>
      <c r="AG742">
        <f>IFERROR(AH742*0.1, "N/A")</f>
        <v>5.76335616438356</v>
      </c>
      <c r="AH742">
        <v>57.633561643835598</v>
      </c>
      <c r="AI742">
        <v>56.041158793723703</v>
      </c>
      <c r="AJ742">
        <v>27.2671232876712</v>
      </c>
      <c r="AK742">
        <v>57.111301369863</v>
      </c>
    </row>
    <row r="743" spans="1:37" x14ac:dyDescent="0.3">
      <c r="A743">
        <v>742</v>
      </c>
      <c r="B743">
        <v>0</v>
      </c>
      <c r="C743">
        <v>29.877800000000001</v>
      </c>
      <c r="D743">
        <v>-11.0829</v>
      </c>
      <c r="E743" t="s">
        <v>1233</v>
      </c>
      <c r="F743" t="s">
        <v>1234</v>
      </c>
      <c r="G743" t="s">
        <v>39</v>
      </c>
      <c r="H743">
        <v>1946</v>
      </c>
      <c r="I743">
        <v>21.100000381469702</v>
      </c>
      <c r="J743">
        <v>11.8999996185303</v>
      </c>
      <c r="K743">
        <v>57</v>
      </c>
      <c r="L743">
        <v>20.985982226510298</v>
      </c>
      <c r="M743">
        <v>30.700000762939499</v>
      </c>
      <c r="N743">
        <v>10.1000003814697</v>
      </c>
      <c r="O743">
        <v>20.600000381469702</v>
      </c>
      <c r="P743">
        <v>22</v>
      </c>
      <c r="Q743">
        <v>17.899999618530298</v>
      </c>
      <c r="R743">
        <v>23.100000381469702</v>
      </c>
      <c r="S743">
        <v>17.899999618530298</v>
      </c>
      <c r="T743">
        <v>1484.8119658119699</v>
      </c>
      <c r="U743">
        <v>318</v>
      </c>
      <c r="V743">
        <v>0</v>
      </c>
      <c r="W743">
        <v>109</v>
      </c>
      <c r="X743">
        <v>922</v>
      </c>
      <c r="Y743">
        <v>0</v>
      </c>
      <c r="Z743">
        <v>483.90598290598302</v>
      </c>
      <c r="AA743">
        <v>0</v>
      </c>
      <c r="AB743">
        <v>11.382919337606801</v>
      </c>
      <c r="AC743">
        <v>0.165995719712068</v>
      </c>
      <c r="AD743">
        <v>1.05983288746614</v>
      </c>
      <c r="AE743">
        <v>0.51246130466461204</v>
      </c>
      <c r="AF743">
        <v>1176.3931623931601</v>
      </c>
      <c r="AG743">
        <f>IFERROR(AH743*0.1, "N/A")</f>
        <v>5.8377777777777808</v>
      </c>
      <c r="AH743">
        <v>58.377777777777801</v>
      </c>
      <c r="AI743">
        <v>186.95171967856899</v>
      </c>
      <c r="AJ743">
        <v>26.194871794871801</v>
      </c>
      <c r="AK743">
        <v>55.786324786324798</v>
      </c>
    </row>
    <row r="744" spans="1:37" x14ac:dyDescent="0.3">
      <c r="A744">
        <v>743</v>
      </c>
      <c r="B744">
        <v>0</v>
      </c>
      <c r="C744">
        <v>29.877800000000001</v>
      </c>
      <c r="D744">
        <v>-11.0829</v>
      </c>
      <c r="E744" t="s">
        <v>1233</v>
      </c>
      <c r="F744" t="s">
        <v>1235</v>
      </c>
      <c r="G744" t="s">
        <v>37</v>
      </c>
      <c r="H744">
        <v>1946</v>
      </c>
      <c r="I744">
        <v>21.100000381469702</v>
      </c>
      <c r="J744">
        <v>11.8999996185303</v>
      </c>
      <c r="K744">
        <v>57</v>
      </c>
      <c r="L744">
        <v>20.985982226510298</v>
      </c>
      <c r="M744">
        <v>30.700000762939499</v>
      </c>
      <c r="N744">
        <v>10.1000003814697</v>
      </c>
      <c r="O744">
        <v>20.600000381469702</v>
      </c>
      <c r="P744">
        <v>22</v>
      </c>
      <c r="Q744">
        <v>17.899999618530298</v>
      </c>
      <c r="R744">
        <v>23.100000381469702</v>
      </c>
      <c r="S744">
        <v>17.899999618530298</v>
      </c>
      <c r="T744">
        <v>1484.8119658119699</v>
      </c>
      <c r="U744">
        <v>318</v>
      </c>
      <c r="V744">
        <v>0</v>
      </c>
      <c r="W744">
        <v>109</v>
      </c>
      <c r="X744">
        <v>922</v>
      </c>
      <c r="Y744">
        <v>0</v>
      </c>
      <c r="Z744">
        <v>483.90598290598302</v>
      </c>
      <c r="AA744">
        <v>0</v>
      </c>
      <c r="AB744">
        <v>11.382919337606801</v>
      </c>
      <c r="AC744">
        <v>0.165995719712068</v>
      </c>
      <c r="AD744">
        <v>1.05983288746614</v>
      </c>
      <c r="AE744">
        <v>0.51246130466461204</v>
      </c>
      <c r="AF744">
        <v>1176.3931623931601</v>
      </c>
      <c r="AG744">
        <f>IFERROR(AH744*0.1, "N/A")</f>
        <v>5.8377777777777808</v>
      </c>
      <c r="AH744">
        <v>58.377777777777801</v>
      </c>
      <c r="AI744">
        <v>186.95171967856899</v>
      </c>
      <c r="AJ744">
        <v>26.194871794871801</v>
      </c>
      <c r="AK744">
        <v>55.786324786324798</v>
      </c>
    </row>
    <row r="745" spans="1:37" x14ac:dyDescent="0.3">
      <c r="A745">
        <v>744</v>
      </c>
      <c r="B745">
        <v>57.700001</v>
      </c>
      <c r="C745">
        <v>33.043399999999998</v>
      </c>
      <c r="D745">
        <v>-11.055</v>
      </c>
      <c r="E745" t="s">
        <v>1236</v>
      </c>
      <c r="F745" t="s">
        <v>1237</v>
      </c>
      <c r="G745" t="s">
        <v>39</v>
      </c>
      <c r="H745">
        <v>2007</v>
      </c>
      <c r="I745">
        <v>23.600000381469702</v>
      </c>
      <c r="J745">
        <v>11.5</v>
      </c>
      <c r="K745">
        <v>54</v>
      </c>
      <c r="L745">
        <v>23.780000686645501</v>
      </c>
      <c r="M745">
        <v>33.400001525878899</v>
      </c>
      <c r="N745">
        <v>12.3999996185303</v>
      </c>
      <c r="O745">
        <v>21</v>
      </c>
      <c r="P745">
        <v>24.600000381469702</v>
      </c>
      <c r="Q745">
        <v>21.700000762939499</v>
      </c>
      <c r="R745">
        <v>26.399999618530298</v>
      </c>
      <c r="S745">
        <v>20.200000762939499</v>
      </c>
      <c r="T745">
        <v>856</v>
      </c>
      <c r="U745">
        <v>213</v>
      </c>
      <c r="V745">
        <v>1</v>
      </c>
      <c r="W745">
        <v>114</v>
      </c>
      <c r="X745">
        <v>596</v>
      </c>
      <c r="Y745">
        <v>3</v>
      </c>
      <c r="Z745">
        <v>286</v>
      </c>
      <c r="AA745">
        <v>4</v>
      </c>
      <c r="AB745">
        <v>1.1633027536382401</v>
      </c>
      <c r="AC745">
        <v>0.10984861736200199</v>
      </c>
      <c r="AD745">
        <v>1.41243417737414</v>
      </c>
      <c r="AE745">
        <v>0.194482892751694</v>
      </c>
      <c r="AF745">
        <v>695.42710120068602</v>
      </c>
      <c r="AG745">
        <f>IFERROR(AH745*0.1, "N/A")</f>
        <v>6.5982847341337907</v>
      </c>
      <c r="AH745">
        <v>65.982847341337902</v>
      </c>
      <c r="AI745">
        <v>156.97627022744899</v>
      </c>
      <c r="AJ745">
        <v>22</v>
      </c>
      <c r="AK745">
        <v>63.716981132075503</v>
      </c>
    </row>
    <row r="746" spans="1:37" x14ac:dyDescent="0.3">
      <c r="A746">
        <v>745</v>
      </c>
      <c r="B746">
        <v>1.7</v>
      </c>
      <c r="C746">
        <v>33.043399999999998</v>
      </c>
      <c r="D746">
        <v>-11.055</v>
      </c>
      <c r="E746" t="s">
        <v>1236</v>
      </c>
      <c r="F746" t="s">
        <v>1238</v>
      </c>
      <c r="G746" t="s">
        <v>37</v>
      </c>
      <c r="H746">
        <v>2007</v>
      </c>
      <c r="I746">
        <v>23.600000381469702</v>
      </c>
      <c r="J746">
        <v>11.5</v>
      </c>
      <c r="K746">
        <v>54</v>
      </c>
      <c r="L746">
        <v>23.780000686645501</v>
      </c>
      <c r="M746">
        <v>33.400001525878899</v>
      </c>
      <c r="N746">
        <v>12.3999996185303</v>
      </c>
      <c r="O746">
        <v>21</v>
      </c>
      <c r="P746">
        <v>24.600000381469702</v>
      </c>
      <c r="Q746">
        <v>21.700000762939499</v>
      </c>
      <c r="R746">
        <v>26.399999618530298</v>
      </c>
      <c r="S746">
        <v>20.200000762939499</v>
      </c>
      <c r="T746">
        <v>856</v>
      </c>
      <c r="U746">
        <v>213</v>
      </c>
      <c r="V746">
        <v>1</v>
      </c>
      <c r="W746">
        <v>114</v>
      </c>
      <c r="X746">
        <v>596</v>
      </c>
      <c r="Y746">
        <v>3</v>
      </c>
      <c r="Z746">
        <v>286</v>
      </c>
      <c r="AA746">
        <v>4</v>
      </c>
      <c r="AB746">
        <v>1.1633027536382401</v>
      </c>
      <c r="AC746">
        <v>0.10984861736200199</v>
      </c>
      <c r="AD746">
        <v>1.41243417737414</v>
      </c>
      <c r="AE746">
        <v>0.194482892751694</v>
      </c>
      <c r="AF746">
        <v>695.42710120068602</v>
      </c>
      <c r="AG746">
        <f>IFERROR(AH746*0.1, "N/A")</f>
        <v>6.5982847341337907</v>
      </c>
      <c r="AH746">
        <v>65.982847341337902</v>
      </c>
      <c r="AI746">
        <v>156.97627022744899</v>
      </c>
      <c r="AJ746">
        <v>22</v>
      </c>
      <c r="AK746">
        <v>63.716981132075503</v>
      </c>
    </row>
    <row r="747" spans="1:37" x14ac:dyDescent="0.3">
      <c r="A747">
        <v>746</v>
      </c>
      <c r="B747">
        <v>25</v>
      </c>
      <c r="C747">
        <v>29.6966</v>
      </c>
      <c r="D747">
        <v>-10.9717</v>
      </c>
      <c r="E747" t="s">
        <v>1239</v>
      </c>
      <c r="F747" t="s">
        <v>1240</v>
      </c>
      <c r="G747" t="s">
        <v>39</v>
      </c>
      <c r="H747">
        <v>0</v>
      </c>
      <c r="I747">
        <v>21</v>
      </c>
      <c r="J747">
        <v>12</v>
      </c>
      <c r="K747">
        <v>57</v>
      </c>
      <c r="L747">
        <v>21.0100002288818</v>
      </c>
      <c r="M747">
        <v>30.700000762939499</v>
      </c>
      <c r="N747">
        <v>9.8000001907348597</v>
      </c>
      <c r="O747">
        <v>20.899999618530298</v>
      </c>
      <c r="P747">
        <v>21.899999618530298</v>
      </c>
      <c r="Q747">
        <v>17.799999237060501</v>
      </c>
      <c r="R747">
        <v>23</v>
      </c>
      <c r="S747">
        <v>17.799999237060501</v>
      </c>
      <c r="T747">
        <v>1492</v>
      </c>
      <c r="U747">
        <v>312</v>
      </c>
      <c r="V747">
        <v>0</v>
      </c>
      <c r="W747">
        <v>107</v>
      </c>
      <c r="X747">
        <v>902</v>
      </c>
      <c r="Y747">
        <v>0</v>
      </c>
      <c r="Z747">
        <v>491</v>
      </c>
      <c r="AA747">
        <v>0</v>
      </c>
      <c r="AB747">
        <v>14.9558396012816</v>
      </c>
      <c r="AC747">
        <v>1.1571419004300001E-2</v>
      </c>
      <c r="AD747">
        <v>1.54366179280085</v>
      </c>
      <c r="AE747">
        <v>0.405111193656921</v>
      </c>
      <c r="AF747">
        <v>1185.7174657534199</v>
      </c>
      <c r="AG747">
        <f>IFERROR(AH747*0.1, "N/A")</f>
        <v>5.8445205479452103</v>
      </c>
      <c r="AH747">
        <v>58.445205479452099</v>
      </c>
      <c r="AI747">
        <v>156.86730595157599</v>
      </c>
      <c r="AJ747">
        <v>28</v>
      </c>
      <c r="AK747">
        <v>55</v>
      </c>
    </row>
    <row r="748" spans="1:37" x14ac:dyDescent="0.3">
      <c r="A748">
        <v>747</v>
      </c>
      <c r="B748">
        <v>64</v>
      </c>
      <c r="C748">
        <v>29.966699999999999</v>
      </c>
      <c r="D748">
        <v>-10.8667</v>
      </c>
      <c r="E748" t="s">
        <v>1241</v>
      </c>
      <c r="F748" t="s">
        <v>1242</v>
      </c>
      <c r="G748" t="s">
        <v>39</v>
      </c>
      <c r="H748">
        <v>0</v>
      </c>
      <c r="I748">
        <v>21.200000762939499</v>
      </c>
      <c r="J748">
        <v>12.1000003814697</v>
      </c>
      <c r="K748">
        <v>58</v>
      </c>
      <c r="L748">
        <v>20.2775346873558</v>
      </c>
      <c r="M748">
        <v>30.909931163265298</v>
      </c>
      <c r="N748">
        <v>10.199999809265099</v>
      </c>
      <c r="O748">
        <v>20.709932118246002</v>
      </c>
      <c r="P748">
        <v>22.100000381469702</v>
      </c>
      <c r="Q748">
        <v>18.200000762939499</v>
      </c>
      <c r="R748">
        <v>23.109931926204698</v>
      </c>
      <c r="S748">
        <v>18.200000762939499</v>
      </c>
      <c r="T748">
        <v>1452.81506849315</v>
      </c>
      <c r="U748">
        <v>311.304794520548</v>
      </c>
      <c r="V748">
        <v>0</v>
      </c>
      <c r="W748">
        <v>108</v>
      </c>
      <c r="X748">
        <v>895.609589041096</v>
      </c>
      <c r="Y748">
        <v>0</v>
      </c>
      <c r="Z748">
        <v>275.04794520547898</v>
      </c>
      <c r="AA748">
        <v>0</v>
      </c>
      <c r="AB748">
        <v>0.32187140477846699</v>
      </c>
      <c r="AC748">
        <v>5.2672001053195999E-2</v>
      </c>
      <c r="AD748">
        <v>0.71322292650807395</v>
      </c>
      <c r="AE748">
        <v>0.124679885804653</v>
      </c>
      <c r="AF748">
        <v>1165.65410958904</v>
      </c>
      <c r="AG748">
        <f>IFERROR(AH748*0.1, "N/A")</f>
        <v>6.0349315068493103</v>
      </c>
      <c r="AH748">
        <v>60.349315068493098</v>
      </c>
      <c r="AI748">
        <v>173.490278844964</v>
      </c>
      <c r="AJ748">
        <v>36</v>
      </c>
      <c r="AK748">
        <v>44.662671232876697</v>
      </c>
    </row>
    <row r="749" spans="1:37" x14ac:dyDescent="0.3">
      <c r="A749">
        <v>748</v>
      </c>
      <c r="B749">
        <v>24</v>
      </c>
      <c r="C749">
        <v>29.482400999999999</v>
      </c>
      <c r="D749">
        <v>-10.8233</v>
      </c>
      <c r="E749" t="s">
        <v>1243</v>
      </c>
      <c r="F749" t="s">
        <v>1244</v>
      </c>
      <c r="G749" t="s">
        <v>39</v>
      </c>
      <c r="H749">
        <v>2007</v>
      </c>
      <c r="I749">
        <v>21.100000381469702</v>
      </c>
      <c r="J749">
        <v>12.3999996185303</v>
      </c>
      <c r="K749">
        <v>57</v>
      </c>
      <c r="L749">
        <v>20.950000762939499</v>
      </c>
      <c r="M749">
        <v>30.899999618530298</v>
      </c>
      <c r="N749">
        <v>9.5</v>
      </c>
      <c r="O749">
        <v>21.399999618530298</v>
      </c>
      <c r="P749">
        <v>22</v>
      </c>
      <c r="Q749">
        <v>17.899999618530298</v>
      </c>
      <c r="R749">
        <v>23</v>
      </c>
      <c r="S749">
        <v>17.899999618530298</v>
      </c>
      <c r="T749">
        <v>1409</v>
      </c>
      <c r="U749">
        <v>289</v>
      </c>
      <c r="V749">
        <v>0</v>
      </c>
      <c r="W749">
        <v>105</v>
      </c>
      <c r="X749">
        <v>837</v>
      </c>
      <c r="Y749">
        <v>0</v>
      </c>
      <c r="Z749">
        <v>481</v>
      </c>
      <c r="AA749">
        <v>0</v>
      </c>
      <c r="AB749">
        <v>3.8779215215614302</v>
      </c>
      <c r="AC749">
        <v>3.2687509429240001E-2</v>
      </c>
      <c r="AD749">
        <v>2.28859459965348</v>
      </c>
      <c r="AE749">
        <v>0.256878912448883</v>
      </c>
      <c r="AF749">
        <v>1182.1029159519701</v>
      </c>
      <c r="AG749">
        <f>IFERROR(AH749*0.1, "N/A")</f>
        <v>5.9101200686106408</v>
      </c>
      <c r="AH749">
        <v>59.101200686106402</v>
      </c>
      <c r="AI749">
        <v>277.19032803203402</v>
      </c>
      <c r="AJ749">
        <v>26.797598627787298</v>
      </c>
      <c r="AK749">
        <v>53</v>
      </c>
    </row>
    <row r="750" spans="1:37" x14ac:dyDescent="0.3">
      <c r="A750">
        <v>749</v>
      </c>
      <c r="B750">
        <v>2</v>
      </c>
      <c r="C750">
        <v>29.482400999999999</v>
      </c>
      <c r="D750">
        <v>-10.8233</v>
      </c>
      <c r="E750" t="s">
        <v>1243</v>
      </c>
      <c r="F750" t="s">
        <v>1245</v>
      </c>
      <c r="G750" t="s">
        <v>37</v>
      </c>
      <c r="H750">
        <v>2007</v>
      </c>
      <c r="I750">
        <v>21.100000381469702</v>
      </c>
      <c r="J750">
        <v>12.3999996185303</v>
      </c>
      <c r="K750">
        <v>57</v>
      </c>
      <c r="L750">
        <v>20.950000762939499</v>
      </c>
      <c r="M750">
        <v>30.899999618530298</v>
      </c>
      <c r="N750">
        <v>9.5</v>
      </c>
      <c r="O750">
        <v>21.399999618530298</v>
      </c>
      <c r="P750">
        <v>22</v>
      </c>
      <c r="Q750">
        <v>17.899999618530298</v>
      </c>
      <c r="R750">
        <v>23</v>
      </c>
      <c r="S750">
        <v>17.899999618530298</v>
      </c>
      <c r="T750">
        <v>1409</v>
      </c>
      <c r="U750">
        <v>289</v>
      </c>
      <c r="V750">
        <v>0</v>
      </c>
      <c r="W750">
        <v>105</v>
      </c>
      <c r="X750">
        <v>837</v>
      </c>
      <c r="Y750">
        <v>0</v>
      </c>
      <c r="Z750">
        <v>481</v>
      </c>
      <c r="AA750">
        <v>0</v>
      </c>
      <c r="AB750">
        <v>3.8779215215614302</v>
      </c>
      <c r="AC750">
        <v>3.2687509429240001E-2</v>
      </c>
      <c r="AD750">
        <v>2.28859459965348</v>
      </c>
      <c r="AE750">
        <v>0.256878912448883</v>
      </c>
      <c r="AF750">
        <v>1182.1029159519701</v>
      </c>
      <c r="AG750">
        <f>IFERROR(AH750*0.1, "N/A")</f>
        <v>5.9101200686106408</v>
      </c>
      <c r="AH750">
        <v>59.101200686106402</v>
      </c>
      <c r="AI750">
        <v>277.19032803203402</v>
      </c>
      <c r="AJ750">
        <v>26.797598627787298</v>
      </c>
      <c r="AK750">
        <v>53</v>
      </c>
    </row>
    <row r="751" spans="1:37" x14ac:dyDescent="0.3">
      <c r="A751">
        <v>750</v>
      </c>
      <c r="B751">
        <v>1.6</v>
      </c>
      <c r="C751">
        <v>29.941099000000001</v>
      </c>
      <c r="D751">
        <v>-10.8202</v>
      </c>
      <c r="E751" t="s">
        <v>1246</v>
      </c>
      <c r="F751" t="s">
        <v>1247</v>
      </c>
      <c r="G751" t="s">
        <v>39</v>
      </c>
      <c r="H751">
        <v>1946</v>
      </c>
      <c r="I751">
        <v>21.200000762939499</v>
      </c>
      <c r="J751">
        <v>12.1000003814697</v>
      </c>
      <c r="K751">
        <v>58</v>
      </c>
      <c r="L751">
        <v>20.303526852228899</v>
      </c>
      <c r="M751">
        <v>30.899999618530298</v>
      </c>
      <c r="N751">
        <v>10.199999809265099</v>
      </c>
      <c r="O751">
        <v>20.700000762939499</v>
      </c>
      <c r="P751">
        <v>22.096404477341501</v>
      </c>
      <c r="Q751">
        <v>18.103596285597899</v>
      </c>
      <c r="R751">
        <v>23.100000381469702</v>
      </c>
      <c r="S751">
        <v>18.103596285597899</v>
      </c>
      <c r="T751">
        <v>1453.03595890411</v>
      </c>
      <c r="U751">
        <v>309</v>
      </c>
      <c r="V751">
        <v>0</v>
      </c>
      <c r="W751">
        <v>107.03595890411</v>
      </c>
      <c r="X751">
        <v>890.03595890410998</v>
      </c>
      <c r="Y751">
        <v>0</v>
      </c>
      <c r="Z751">
        <v>488.03595890410998</v>
      </c>
      <c r="AA751">
        <v>0</v>
      </c>
      <c r="AB751">
        <v>11.356362956844</v>
      </c>
      <c r="AC751">
        <v>8.3988487628000007E-3</v>
      </c>
      <c r="AD751">
        <v>1.9151596809699101</v>
      </c>
      <c r="AE751">
        <v>0.41656644392299302</v>
      </c>
      <c r="AF751">
        <v>1176.61643835616</v>
      </c>
      <c r="AG751">
        <f>IFERROR(AH751*0.1, "N/A")</f>
        <v>5.8107876712328803</v>
      </c>
      <c r="AH751">
        <v>58.107876712328803</v>
      </c>
      <c r="AI751">
        <v>210.20387994426599</v>
      </c>
      <c r="AJ751">
        <v>24</v>
      </c>
      <c r="AK751">
        <v>61.035958904109599</v>
      </c>
    </row>
    <row r="752" spans="1:37" x14ac:dyDescent="0.3">
      <c r="A752">
        <v>751</v>
      </c>
      <c r="B752">
        <v>0</v>
      </c>
      <c r="C752">
        <v>29.941099000000001</v>
      </c>
      <c r="D752">
        <v>-10.8202</v>
      </c>
      <c r="E752" t="s">
        <v>1246</v>
      </c>
      <c r="F752" t="s">
        <v>1248</v>
      </c>
      <c r="G752" t="s">
        <v>37</v>
      </c>
      <c r="H752">
        <v>1946</v>
      </c>
      <c r="I752">
        <v>21.200000762939499</v>
      </c>
      <c r="J752">
        <v>12.1000003814697</v>
      </c>
      <c r="K752">
        <v>58</v>
      </c>
      <c r="L752">
        <v>20.303526852228899</v>
      </c>
      <c r="M752">
        <v>30.899999618530298</v>
      </c>
      <c r="N752">
        <v>10.199999809265099</v>
      </c>
      <c r="O752">
        <v>20.700000762939499</v>
      </c>
      <c r="P752">
        <v>22.096404477341501</v>
      </c>
      <c r="Q752">
        <v>18.103596285597899</v>
      </c>
      <c r="R752">
        <v>23.100000381469702</v>
      </c>
      <c r="S752">
        <v>18.103596285597899</v>
      </c>
      <c r="T752">
        <v>1453.03595890411</v>
      </c>
      <c r="U752">
        <v>309</v>
      </c>
      <c r="V752">
        <v>0</v>
      </c>
      <c r="W752">
        <v>107.03595890411</v>
      </c>
      <c r="X752">
        <v>890.03595890410998</v>
      </c>
      <c r="Y752">
        <v>0</v>
      </c>
      <c r="Z752">
        <v>488.03595890410998</v>
      </c>
      <c r="AA752">
        <v>0</v>
      </c>
      <c r="AB752">
        <v>11.356362956844</v>
      </c>
      <c r="AC752">
        <v>8.3988487628000007E-3</v>
      </c>
      <c r="AD752">
        <v>1.9151596809699101</v>
      </c>
      <c r="AE752">
        <v>0.41656644392299302</v>
      </c>
      <c r="AF752">
        <v>1176.61643835616</v>
      </c>
      <c r="AG752">
        <f>IFERROR(AH752*0.1, "N/A")</f>
        <v>5.8107876712328803</v>
      </c>
      <c r="AH752">
        <v>58.107876712328803</v>
      </c>
      <c r="AI752">
        <v>210.20387994426599</v>
      </c>
      <c r="AJ752">
        <v>24</v>
      </c>
      <c r="AK752">
        <v>61.035958904109599</v>
      </c>
    </row>
    <row r="753" spans="1:37" x14ac:dyDescent="0.3">
      <c r="A753">
        <v>752</v>
      </c>
      <c r="B753">
        <v>34</v>
      </c>
      <c r="C753">
        <v>32.842399999999998</v>
      </c>
      <c r="D753">
        <v>-10.788399999999999</v>
      </c>
      <c r="E753" t="s">
        <v>1249</v>
      </c>
      <c r="F753" t="s">
        <v>1250</v>
      </c>
      <c r="G753" t="s">
        <v>39</v>
      </c>
      <c r="H753">
        <v>0</v>
      </c>
      <c r="I753">
        <v>23.899999618530298</v>
      </c>
      <c r="J753">
        <v>11.300000190734901</v>
      </c>
      <c r="K753">
        <v>54</v>
      </c>
      <c r="L753">
        <v>23.579999923706101</v>
      </c>
      <c r="M753">
        <v>33.799999237060497</v>
      </c>
      <c r="N753">
        <v>13.1000003814697</v>
      </c>
      <c r="O753">
        <v>20.700000762939499</v>
      </c>
      <c r="P753">
        <v>24.899999618530298</v>
      </c>
      <c r="Q753">
        <v>22</v>
      </c>
      <c r="R753">
        <v>26.700000762939499</v>
      </c>
      <c r="S753">
        <v>20.600000381469702</v>
      </c>
      <c r="T753">
        <v>901</v>
      </c>
      <c r="U753">
        <v>210</v>
      </c>
      <c r="V753">
        <v>1</v>
      </c>
      <c r="W753">
        <v>110</v>
      </c>
      <c r="X753">
        <v>595</v>
      </c>
      <c r="Y753">
        <v>3</v>
      </c>
      <c r="Z753">
        <v>289</v>
      </c>
      <c r="AA753">
        <v>4</v>
      </c>
      <c r="AB753">
        <v>0.54940338922654897</v>
      </c>
      <c r="AC753">
        <v>1669.8860329621</v>
      </c>
      <c r="AD753">
        <v>1.9491842889744699</v>
      </c>
      <c r="AE753">
        <v>0.12997031211853</v>
      </c>
      <c r="AF753">
        <v>682.323580034423</v>
      </c>
      <c r="AG753">
        <f>IFERROR(AH753*0.1, "N/A")</f>
        <v>6.2812392426850305</v>
      </c>
      <c r="AH753">
        <v>62.812392426850302</v>
      </c>
      <c r="AI753">
        <v>120.479757249868</v>
      </c>
      <c r="AJ753">
        <v>28.437177280550799</v>
      </c>
      <c r="AK753">
        <v>53.562822719449201</v>
      </c>
    </row>
    <row r="754" spans="1:37" x14ac:dyDescent="0.3">
      <c r="A754">
        <v>753</v>
      </c>
      <c r="B754">
        <v>0</v>
      </c>
      <c r="C754">
        <v>29.9193</v>
      </c>
      <c r="D754">
        <v>-10.707100000000001</v>
      </c>
      <c r="E754" t="s">
        <v>1251</v>
      </c>
      <c r="F754" t="s">
        <v>1252</v>
      </c>
      <c r="G754" t="s">
        <v>39</v>
      </c>
      <c r="H754">
        <v>1946</v>
      </c>
      <c r="I754">
        <v>21</v>
      </c>
      <c r="J754">
        <v>12.1000003814697</v>
      </c>
      <c r="K754">
        <v>58</v>
      </c>
      <c r="L754">
        <v>19.670000076293899</v>
      </c>
      <c r="M754">
        <v>30.700000762939499</v>
      </c>
      <c r="N754">
        <v>10</v>
      </c>
      <c r="O754">
        <v>20.700000762939499</v>
      </c>
      <c r="P754">
        <v>21.799999237060501</v>
      </c>
      <c r="Q754">
        <v>18.100000381469702</v>
      </c>
      <c r="R754">
        <v>22.899999618530298</v>
      </c>
      <c r="S754">
        <v>18.100000381469702</v>
      </c>
      <c r="T754">
        <v>1450</v>
      </c>
      <c r="U754">
        <v>305</v>
      </c>
      <c r="V754">
        <v>0</v>
      </c>
      <c r="W754">
        <v>107</v>
      </c>
      <c r="X754">
        <v>877</v>
      </c>
      <c r="Y754">
        <v>0</v>
      </c>
      <c r="Z754">
        <v>194</v>
      </c>
      <c r="AA754">
        <v>0</v>
      </c>
      <c r="AB754">
        <v>24.4875525970197</v>
      </c>
      <c r="AC754">
        <v>2.7554861471172001E-2</v>
      </c>
      <c r="AD754">
        <v>1.1377701409685099</v>
      </c>
      <c r="AE754">
        <v>0.29172782398006297</v>
      </c>
      <c r="AF754">
        <v>1217.0651801029201</v>
      </c>
      <c r="AG754">
        <f>IFERROR(AH754*0.1, "N/A")</f>
        <v>5.7</v>
      </c>
      <c r="AH754">
        <v>57</v>
      </c>
      <c r="AI754">
        <v>111.85324273019501</v>
      </c>
      <c r="AJ754">
        <v>24</v>
      </c>
      <c r="AK754">
        <v>58</v>
      </c>
    </row>
    <row r="755" spans="1:37" x14ac:dyDescent="0.3">
      <c r="A755">
        <v>754</v>
      </c>
      <c r="B755">
        <v>0</v>
      </c>
      <c r="C755">
        <v>29.9193</v>
      </c>
      <c r="D755">
        <v>-10.707100000000001</v>
      </c>
      <c r="E755" t="s">
        <v>1251</v>
      </c>
      <c r="F755" t="s">
        <v>1253</v>
      </c>
      <c r="G755" t="s">
        <v>37</v>
      </c>
      <c r="H755">
        <v>1946</v>
      </c>
      <c r="I755">
        <v>21</v>
      </c>
      <c r="J755">
        <v>12.1000003814697</v>
      </c>
      <c r="K755">
        <v>58</v>
      </c>
      <c r="L755">
        <v>19.670000076293899</v>
      </c>
      <c r="M755">
        <v>30.700000762939499</v>
      </c>
      <c r="N755">
        <v>10</v>
      </c>
      <c r="O755">
        <v>20.700000762939499</v>
      </c>
      <c r="P755">
        <v>21.799999237060501</v>
      </c>
      <c r="Q755">
        <v>18.100000381469702</v>
      </c>
      <c r="R755">
        <v>22.899999618530298</v>
      </c>
      <c r="S755">
        <v>18.100000381469702</v>
      </c>
      <c r="T755">
        <v>1450</v>
      </c>
      <c r="U755">
        <v>305</v>
      </c>
      <c r="V755">
        <v>0</v>
      </c>
      <c r="W755">
        <v>107</v>
      </c>
      <c r="X755">
        <v>877</v>
      </c>
      <c r="Y755">
        <v>0</v>
      </c>
      <c r="Z755">
        <v>194</v>
      </c>
      <c r="AA755">
        <v>0</v>
      </c>
      <c r="AB755">
        <v>24.4875525970197</v>
      </c>
      <c r="AC755">
        <v>2.7554861471172001E-2</v>
      </c>
      <c r="AD755">
        <v>1.1377701409685099</v>
      </c>
      <c r="AE755">
        <v>0.29172782398006297</v>
      </c>
      <c r="AF755">
        <v>1217.0651801029201</v>
      </c>
      <c r="AG755">
        <f>IFERROR(AH755*0.1, "N/A")</f>
        <v>5.7</v>
      </c>
      <c r="AH755">
        <v>57</v>
      </c>
      <c r="AI755">
        <v>111.85324273019501</v>
      </c>
      <c r="AJ755">
        <v>24</v>
      </c>
      <c r="AK755">
        <v>58</v>
      </c>
    </row>
    <row r="756" spans="1:37" x14ac:dyDescent="0.3">
      <c r="A756">
        <v>755</v>
      </c>
      <c r="B756">
        <v>5.7</v>
      </c>
      <c r="C756">
        <v>33.453201</v>
      </c>
      <c r="D756">
        <v>-10.573</v>
      </c>
      <c r="E756" t="s">
        <v>1254</v>
      </c>
      <c r="F756" t="s">
        <v>1255</v>
      </c>
      <c r="G756" t="s">
        <v>39</v>
      </c>
      <c r="H756">
        <v>1972</v>
      </c>
      <c r="I756">
        <v>21</v>
      </c>
      <c r="J756">
        <v>11</v>
      </c>
      <c r="K756">
        <v>55</v>
      </c>
      <c r="L756">
        <v>23.120000839233398</v>
      </c>
      <c r="M756">
        <v>30.399999618530298</v>
      </c>
      <c r="N756">
        <v>10.3999996185303</v>
      </c>
      <c r="O756">
        <v>20</v>
      </c>
      <c r="P756">
        <v>22</v>
      </c>
      <c r="Q756">
        <v>19.100000381469702</v>
      </c>
      <c r="R756">
        <v>23.799999237060501</v>
      </c>
      <c r="S756">
        <v>17.799999237060501</v>
      </c>
      <c r="T756">
        <v>945</v>
      </c>
      <c r="U756">
        <v>209</v>
      </c>
      <c r="V756">
        <v>1</v>
      </c>
      <c r="W756">
        <v>104</v>
      </c>
      <c r="X756">
        <v>581</v>
      </c>
      <c r="Y756">
        <v>6</v>
      </c>
      <c r="Z756">
        <v>276</v>
      </c>
      <c r="AA756">
        <v>7</v>
      </c>
      <c r="AB756">
        <v>20.674701913525599</v>
      </c>
      <c r="AC756">
        <v>1.2637258590522E-2</v>
      </c>
      <c r="AD756">
        <v>1.1141795747468599</v>
      </c>
      <c r="AE756">
        <v>0.178565368056297</v>
      </c>
      <c r="AF756">
        <v>1213.8333333333301</v>
      </c>
      <c r="AG756">
        <f>IFERROR(AH756*0.1, "N/A")</f>
        <v>6.0996563573883202</v>
      </c>
      <c r="AH756">
        <v>60.996563573883201</v>
      </c>
      <c r="AI756">
        <v>78.775923450378201</v>
      </c>
      <c r="AJ756">
        <v>25.010309278350501</v>
      </c>
      <c r="AK756">
        <v>60.989690721649502</v>
      </c>
    </row>
    <row r="757" spans="1:37" x14ac:dyDescent="0.3">
      <c r="A757">
        <v>756</v>
      </c>
      <c r="B757">
        <v>0</v>
      </c>
      <c r="C757">
        <v>33.453201</v>
      </c>
      <c r="D757">
        <v>-10.573</v>
      </c>
      <c r="E757" t="s">
        <v>1254</v>
      </c>
      <c r="F757" t="s">
        <v>1256</v>
      </c>
      <c r="G757" t="s">
        <v>37</v>
      </c>
      <c r="H757">
        <v>1972</v>
      </c>
      <c r="I757">
        <v>21</v>
      </c>
      <c r="J757">
        <v>11</v>
      </c>
      <c r="K757">
        <v>55</v>
      </c>
      <c r="L757">
        <v>23.120000839233398</v>
      </c>
      <c r="M757">
        <v>30.399999618530298</v>
      </c>
      <c r="N757">
        <v>10.3999996185303</v>
      </c>
      <c r="O757">
        <v>20</v>
      </c>
      <c r="P757">
        <v>22</v>
      </c>
      <c r="Q757">
        <v>19.100000381469702</v>
      </c>
      <c r="R757">
        <v>23.799999237060501</v>
      </c>
      <c r="S757">
        <v>17.799999237060501</v>
      </c>
      <c r="T757">
        <v>945</v>
      </c>
      <c r="U757">
        <v>209</v>
      </c>
      <c r="V757">
        <v>1</v>
      </c>
      <c r="W757">
        <v>104</v>
      </c>
      <c r="X757">
        <v>581</v>
      </c>
      <c r="Y757">
        <v>6</v>
      </c>
      <c r="Z757">
        <v>276</v>
      </c>
      <c r="AA757">
        <v>7</v>
      </c>
      <c r="AB757">
        <v>20.674701913525599</v>
      </c>
      <c r="AC757">
        <v>1.2637258590522E-2</v>
      </c>
      <c r="AD757">
        <v>1.1141795747468599</v>
      </c>
      <c r="AE757">
        <v>0.178565368056297</v>
      </c>
      <c r="AF757">
        <v>1213.8333333333301</v>
      </c>
      <c r="AG757">
        <f>IFERROR(AH757*0.1, "N/A")</f>
        <v>6.0996563573883202</v>
      </c>
      <c r="AH757">
        <v>60.996563573883201</v>
      </c>
      <c r="AI757">
        <v>78.775923450378201</v>
      </c>
      <c r="AJ757">
        <v>25.010309278350501</v>
      </c>
      <c r="AK757">
        <v>60.989690721649502</v>
      </c>
    </row>
    <row r="758" spans="1:37" x14ac:dyDescent="0.3">
      <c r="A758">
        <v>757</v>
      </c>
      <c r="B758">
        <v>13.8</v>
      </c>
      <c r="C758">
        <v>33.439799999999998</v>
      </c>
      <c r="D758">
        <v>-10.549799999999999</v>
      </c>
      <c r="E758" t="s">
        <v>1257</v>
      </c>
      <c r="F758" t="s">
        <v>1258</v>
      </c>
      <c r="G758" t="s">
        <v>39</v>
      </c>
      <c r="H758">
        <v>1993</v>
      </c>
      <c r="I758">
        <v>21</v>
      </c>
      <c r="J758">
        <v>10.8999996185303</v>
      </c>
      <c r="K758">
        <v>54.528301886792399</v>
      </c>
      <c r="L758">
        <v>22.631132161842199</v>
      </c>
      <c r="M758">
        <v>30.399999618530298</v>
      </c>
      <c r="N758">
        <v>10.552830390210399</v>
      </c>
      <c r="O758">
        <v>19.847169228319899</v>
      </c>
      <c r="P758">
        <v>22</v>
      </c>
      <c r="Q758">
        <v>19.200000762939499</v>
      </c>
      <c r="R758">
        <v>23.700000762939499</v>
      </c>
      <c r="S758">
        <v>17.899999618530298</v>
      </c>
      <c r="T758">
        <v>950.58490566037699</v>
      </c>
      <c r="U758">
        <v>209.52830188679201</v>
      </c>
      <c r="V758">
        <v>1</v>
      </c>
      <c r="W758">
        <v>103.52830188679199</v>
      </c>
      <c r="X758">
        <v>583.52830188679195</v>
      </c>
      <c r="Y758">
        <v>6</v>
      </c>
      <c r="Z758">
        <v>278</v>
      </c>
      <c r="AA758">
        <v>7</v>
      </c>
      <c r="AB758">
        <v>17.970482854041599</v>
      </c>
      <c r="AC758">
        <v>8.4062017289539999E-3</v>
      </c>
      <c r="AD758">
        <v>0.85369248302273204</v>
      </c>
      <c r="AE758">
        <v>0.18927139718577499</v>
      </c>
      <c r="AF758">
        <v>1218.75814751286</v>
      </c>
      <c r="AG758">
        <f>IFERROR(AH758*0.1, "N/A")</f>
        <v>5.947684391080621</v>
      </c>
      <c r="AH758">
        <v>59.476843910806203</v>
      </c>
      <c r="AI758">
        <v>151.744897754074</v>
      </c>
      <c r="AJ758">
        <v>24.476843910806199</v>
      </c>
      <c r="AK758">
        <v>63.476843910806203</v>
      </c>
    </row>
    <row r="759" spans="1:37" x14ac:dyDescent="0.3">
      <c r="A759">
        <v>758</v>
      </c>
      <c r="B759">
        <v>43.299999</v>
      </c>
      <c r="C759">
        <v>28.652000000000001</v>
      </c>
      <c r="D759">
        <v>-10.5227</v>
      </c>
      <c r="E759" t="s">
        <v>1259</v>
      </c>
      <c r="F759" t="s">
        <v>1260</v>
      </c>
      <c r="G759" t="s">
        <v>39</v>
      </c>
      <c r="H759">
        <v>1946</v>
      </c>
      <c r="I759">
        <v>22.299999237060501</v>
      </c>
      <c r="J759">
        <v>13.5</v>
      </c>
      <c r="K759">
        <v>57</v>
      </c>
      <c r="L759">
        <v>21.069999694824201</v>
      </c>
      <c r="M759">
        <v>32.900001525878899</v>
      </c>
      <c r="N759">
        <v>9.6000003814697301</v>
      </c>
      <c r="O759">
        <v>23.299999237060501</v>
      </c>
      <c r="P759">
        <v>23.399999618530298</v>
      </c>
      <c r="Q759">
        <v>19.100000381469702</v>
      </c>
      <c r="R759">
        <v>24.200000762939499</v>
      </c>
      <c r="S759">
        <v>19.100000381469702</v>
      </c>
      <c r="T759">
        <v>1118</v>
      </c>
      <c r="U759">
        <v>223</v>
      </c>
      <c r="V759">
        <v>0</v>
      </c>
      <c r="W759">
        <v>99</v>
      </c>
      <c r="X759">
        <v>647</v>
      </c>
      <c r="Y759">
        <v>0</v>
      </c>
      <c r="Z759">
        <v>406</v>
      </c>
      <c r="AA759">
        <v>0</v>
      </c>
      <c r="AB759">
        <v>13.7778677310584</v>
      </c>
      <c r="AC759">
        <v>4.0376099860087999E-2</v>
      </c>
      <c r="AD759">
        <v>1.2778402558730799</v>
      </c>
      <c r="AE759">
        <v>0.44959977366298598</v>
      </c>
      <c r="AF759">
        <v>940.42710120068602</v>
      </c>
      <c r="AG759">
        <f>IFERROR(AH759*0.1, "N/A")</f>
        <v>5.8000000000000007</v>
      </c>
      <c r="AH759">
        <v>58</v>
      </c>
      <c r="AI759">
        <v>285.80171410379</v>
      </c>
      <c r="AJ759">
        <v>26.324185248713501</v>
      </c>
      <c r="AK759">
        <v>58.027444253859301</v>
      </c>
    </row>
    <row r="760" spans="1:37" x14ac:dyDescent="0.3">
      <c r="A760">
        <v>759</v>
      </c>
      <c r="B760">
        <v>4.8</v>
      </c>
      <c r="C760">
        <v>28.652000000000001</v>
      </c>
      <c r="D760">
        <v>-10.5227</v>
      </c>
      <c r="E760" t="s">
        <v>1259</v>
      </c>
      <c r="F760" t="s">
        <v>1261</v>
      </c>
      <c r="G760" t="s">
        <v>37</v>
      </c>
      <c r="H760">
        <v>1946</v>
      </c>
      <c r="I760">
        <v>22.299999237060501</v>
      </c>
      <c r="J760">
        <v>13.5</v>
      </c>
      <c r="K760">
        <v>57</v>
      </c>
      <c r="L760">
        <v>21.069999694824201</v>
      </c>
      <c r="M760">
        <v>32.900001525878899</v>
      </c>
      <c r="N760">
        <v>9.6000003814697301</v>
      </c>
      <c r="O760">
        <v>23.299999237060501</v>
      </c>
      <c r="P760">
        <v>23.399999618530298</v>
      </c>
      <c r="Q760">
        <v>19.100000381469702</v>
      </c>
      <c r="R760">
        <v>24.200000762939499</v>
      </c>
      <c r="S760">
        <v>19.100000381469702</v>
      </c>
      <c r="T760">
        <v>1118</v>
      </c>
      <c r="U760">
        <v>223</v>
      </c>
      <c r="V760">
        <v>0</v>
      </c>
      <c r="W760">
        <v>99</v>
      </c>
      <c r="X760">
        <v>647</v>
      </c>
      <c r="Y760">
        <v>0</v>
      </c>
      <c r="Z760">
        <v>406</v>
      </c>
      <c r="AA760">
        <v>0</v>
      </c>
      <c r="AB760">
        <v>13.7778677310584</v>
      </c>
      <c r="AC760">
        <v>4.0376099860087999E-2</v>
      </c>
      <c r="AD760">
        <v>1.2778402558730799</v>
      </c>
      <c r="AE760">
        <v>0.44959977366298598</v>
      </c>
      <c r="AF760">
        <v>940.42710120068602</v>
      </c>
      <c r="AG760">
        <f>IFERROR(AH760*0.1, "N/A")</f>
        <v>5.8000000000000007</v>
      </c>
      <c r="AH760">
        <v>58</v>
      </c>
      <c r="AI760">
        <v>285.80171410379</v>
      </c>
      <c r="AJ760">
        <v>26.324185248713501</v>
      </c>
      <c r="AK760">
        <v>58.027444253859301</v>
      </c>
    </row>
    <row r="761" spans="1:37" x14ac:dyDescent="0.3">
      <c r="A761">
        <v>760</v>
      </c>
      <c r="B761">
        <v>2.5</v>
      </c>
      <c r="C761">
        <v>29.046800999999999</v>
      </c>
      <c r="D761">
        <v>-10.478300000000001</v>
      </c>
      <c r="E761" t="s">
        <v>1262</v>
      </c>
      <c r="F761" t="s">
        <v>1263</v>
      </c>
      <c r="G761" t="s">
        <v>39</v>
      </c>
      <c r="H761">
        <v>2001</v>
      </c>
      <c r="I761">
        <v>21.200000762939499</v>
      </c>
      <c r="J761">
        <v>12.800000190734901</v>
      </c>
      <c r="K761">
        <v>58</v>
      </c>
      <c r="L761">
        <v>19.25</v>
      </c>
      <c r="M761">
        <v>31.200000762939499</v>
      </c>
      <c r="N761">
        <v>9.3000001907348597</v>
      </c>
      <c r="O761">
        <v>21.899999618530298</v>
      </c>
      <c r="P761">
        <v>22.100000381469702</v>
      </c>
      <c r="Q761">
        <v>18.200000762939499</v>
      </c>
      <c r="R761">
        <v>23</v>
      </c>
      <c r="S761">
        <v>18.200000762939499</v>
      </c>
      <c r="T761">
        <v>1240</v>
      </c>
      <c r="U761">
        <v>251</v>
      </c>
      <c r="V761">
        <v>0</v>
      </c>
      <c r="W761">
        <v>100</v>
      </c>
      <c r="X761">
        <v>712</v>
      </c>
      <c r="Y761">
        <v>0</v>
      </c>
      <c r="Z761">
        <v>206</v>
      </c>
      <c r="AA761">
        <v>0</v>
      </c>
      <c r="AB761">
        <v>5.6336901939078601</v>
      </c>
      <c r="AC761">
        <v>1.6341119240777999E-2</v>
      </c>
      <c r="AD761">
        <v>0.79129474957103596</v>
      </c>
      <c r="AE761">
        <v>0.200707197189331</v>
      </c>
      <c r="AF761">
        <v>1192.9212328767101</v>
      </c>
      <c r="AG761">
        <f>IFERROR(AH761*0.1, "N/A")</f>
        <v>5.8188356164383599</v>
      </c>
      <c r="AH761">
        <v>58.188356164383599</v>
      </c>
      <c r="AI761">
        <v>82.069723547321502</v>
      </c>
      <c r="AJ761">
        <v>30.934931506849299</v>
      </c>
      <c r="AK761">
        <v>47.7294520547945</v>
      </c>
    </row>
    <row r="762" spans="1:37" x14ac:dyDescent="0.3">
      <c r="A762">
        <v>761</v>
      </c>
      <c r="B762">
        <v>37.5</v>
      </c>
      <c r="C762">
        <v>29.046800999999999</v>
      </c>
      <c r="D762">
        <v>-10.478300000000001</v>
      </c>
      <c r="E762" t="s">
        <v>1262</v>
      </c>
      <c r="F762" t="s">
        <v>1264</v>
      </c>
      <c r="G762" t="s">
        <v>37</v>
      </c>
      <c r="H762">
        <v>2001</v>
      </c>
      <c r="I762">
        <v>21.200000762939499</v>
      </c>
      <c r="J762">
        <v>12.800000190734901</v>
      </c>
      <c r="K762">
        <v>58</v>
      </c>
      <c r="L762">
        <v>19.25</v>
      </c>
      <c r="M762">
        <v>31.200000762939499</v>
      </c>
      <c r="N762">
        <v>9.3000001907348597</v>
      </c>
      <c r="O762">
        <v>21.899999618530298</v>
      </c>
      <c r="P762">
        <v>22.100000381469702</v>
      </c>
      <c r="Q762">
        <v>18.200000762939499</v>
      </c>
      <c r="R762">
        <v>23</v>
      </c>
      <c r="S762">
        <v>18.200000762939499</v>
      </c>
      <c r="T762">
        <v>1240</v>
      </c>
      <c r="U762">
        <v>251</v>
      </c>
      <c r="V762">
        <v>0</v>
      </c>
      <c r="W762">
        <v>100</v>
      </c>
      <c r="X762">
        <v>712</v>
      </c>
      <c r="Y762">
        <v>0</v>
      </c>
      <c r="Z762">
        <v>206</v>
      </c>
      <c r="AA762">
        <v>0</v>
      </c>
      <c r="AB762">
        <v>5.6336901939078601</v>
      </c>
      <c r="AC762">
        <v>1.6341119240777999E-2</v>
      </c>
      <c r="AD762">
        <v>0.79129474957103596</v>
      </c>
      <c r="AE762">
        <v>0.200707197189331</v>
      </c>
      <c r="AF762">
        <v>1192.9212328767101</v>
      </c>
      <c r="AG762">
        <f>IFERROR(AH762*0.1, "N/A")</f>
        <v>5.8188356164383599</v>
      </c>
      <c r="AH762">
        <v>58.188356164383599</v>
      </c>
      <c r="AI762">
        <v>82.069723547321502</v>
      </c>
      <c r="AJ762">
        <v>30.934931506849299</v>
      </c>
      <c r="AK762">
        <v>47.7294520547945</v>
      </c>
    </row>
    <row r="763" spans="1:37" x14ac:dyDescent="0.3">
      <c r="A763">
        <v>762</v>
      </c>
      <c r="B763">
        <v>8</v>
      </c>
      <c r="C763">
        <v>28.657800999999999</v>
      </c>
      <c r="D763">
        <v>-10.3979</v>
      </c>
      <c r="E763" t="s">
        <v>1265</v>
      </c>
      <c r="F763" t="s">
        <v>1266</v>
      </c>
      <c r="G763" t="s">
        <v>39</v>
      </c>
      <c r="H763">
        <v>2001</v>
      </c>
      <c r="I763">
        <v>22.399999618530298</v>
      </c>
      <c r="J763">
        <v>13.300000190734901</v>
      </c>
      <c r="K763">
        <v>58</v>
      </c>
      <c r="L763">
        <v>20.029432316416301</v>
      </c>
      <c r="M763">
        <v>32.799999237060497</v>
      </c>
      <c r="N763">
        <v>10</v>
      </c>
      <c r="O763">
        <v>22.799999237060501</v>
      </c>
      <c r="P763">
        <v>23.299999237060501</v>
      </c>
      <c r="Q763">
        <v>19.329380792440801</v>
      </c>
      <c r="R763">
        <v>24.299999237060501</v>
      </c>
      <c r="S763">
        <v>19.329380792440801</v>
      </c>
      <c r="T763">
        <v>1098</v>
      </c>
      <c r="U763">
        <v>218</v>
      </c>
      <c r="V763">
        <v>0</v>
      </c>
      <c r="W763">
        <v>99</v>
      </c>
      <c r="X763">
        <v>633</v>
      </c>
      <c r="Y763">
        <v>0</v>
      </c>
      <c r="Z763">
        <v>187</v>
      </c>
      <c r="AA763">
        <v>0</v>
      </c>
      <c r="AB763">
        <v>14.6684040711917</v>
      </c>
      <c r="AC763">
        <v>3.3293933316400001E-2</v>
      </c>
      <c r="AD763">
        <v>1.1119757049886601</v>
      </c>
      <c r="AE763">
        <v>0.45621355292723398</v>
      </c>
      <c r="AF763">
        <v>946.77319587628904</v>
      </c>
      <c r="AG763">
        <f>IFERROR(AH763*0.1, "N/A")</f>
        <v>5.9118556701030904</v>
      </c>
      <c r="AH763">
        <v>59.118556701030897</v>
      </c>
      <c r="AI763">
        <v>276.63842288407301</v>
      </c>
      <c r="AJ763">
        <v>22.706185567010301</v>
      </c>
      <c r="AK763">
        <v>65</v>
      </c>
    </row>
    <row r="764" spans="1:37" x14ac:dyDescent="0.3">
      <c r="A764">
        <v>763</v>
      </c>
      <c r="B764">
        <v>0</v>
      </c>
      <c r="C764">
        <v>28.657800999999999</v>
      </c>
      <c r="D764">
        <v>-10.3979</v>
      </c>
      <c r="E764" t="s">
        <v>1265</v>
      </c>
      <c r="F764" t="s">
        <v>1267</v>
      </c>
      <c r="G764" t="s">
        <v>37</v>
      </c>
      <c r="H764">
        <v>2001</v>
      </c>
      <c r="I764">
        <v>22.399999618530298</v>
      </c>
      <c r="J764">
        <v>13.300000190734901</v>
      </c>
      <c r="K764">
        <v>58</v>
      </c>
      <c r="L764">
        <v>20.029432316416301</v>
      </c>
      <c r="M764">
        <v>32.799999237060497</v>
      </c>
      <c r="N764">
        <v>10</v>
      </c>
      <c r="O764">
        <v>22.799999237060501</v>
      </c>
      <c r="P764">
        <v>23.299999237060501</v>
      </c>
      <c r="Q764">
        <v>19.329380792440801</v>
      </c>
      <c r="R764">
        <v>24.299999237060501</v>
      </c>
      <c r="S764">
        <v>19.329380792440801</v>
      </c>
      <c r="T764">
        <v>1098</v>
      </c>
      <c r="U764">
        <v>218</v>
      </c>
      <c r="V764">
        <v>0</v>
      </c>
      <c r="W764">
        <v>99</v>
      </c>
      <c r="X764">
        <v>633</v>
      </c>
      <c r="Y764">
        <v>0</v>
      </c>
      <c r="Z764">
        <v>187</v>
      </c>
      <c r="AA764">
        <v>0</v>
      </c>
      <c r="AB764">
        <v>14.6684040711917</v>
      </c>
      <c r="AC764">
        <v>3.3293933316400001E-2</v>
      </c>
      <c r="AD764">
        <v>1.1119757049886601</v>
      </c>
      <c r="AE764">
        <v>0.45621355292723398</v>
      </c>
      <c r="AF764">
        <v>946.77319587628904</v>
      </c>
      <c r="AG764">
        <f>IFERROR(AH764*0.1, "N/A")</f>
        <v>5.9118556701030904</v>
      </c>
      <c r="AH764">
        <v>59.118556701030897</v>
      </c>
      <c r="AI764">
        <v>276.63842288407301</v>
      </c>
      <c r="AJ764">
        <v>22.706185567010301</v>
      </c>
      <c r="AK764">
        <v>65</v>
      </c>
    </row>
    <row r="765" spans="1:37" x14ac:dyDescent="0.3">
      <c r="A765">
        <v>764</v>
      </c>
      <c r="B765">
        <v>2.5</v>
      </c>
      <c r="C765">
        <v>28.703600000000002</v>
      </c>
      <c r="D765">
        <v>-10.3901</v>
      </c>
      <c r="E765" t="s">
        <v>1268</v>
      </c>
      <c r="F765" t="s">
        <v>1269</v>
      </c>
      <c r="G765" t="s">
        <v>39</v>
      </c>
      <c r="H765">
        <v>1946</v>
      </c>
      <c r="I765">
        <v>22.200000762939499</v>
      </c>
      <c r="J765">
        <v>13.300000190734901</v>
      </c>
      <c r="K765">
        <v>58</v>
      </c>
      <c r="L765">
        <v>19.809999465942401</v>
      </c>
      <c r="M765">
        <v>32.599998474121101</v>
      </c>
      <c r="N765">
        <v>10</v>
      </c>
      <c r="O765">
        <v>22.600000381469702</v>
      </c>
      <c r="P765">
        <v>23.100000381469702</v>
      </c>
      <c r="Q765">
        <v>19.200000762939499</v>
      </c>
      <c r="R765">
        <v>24.200000762939499</v>
      </c>
      <c r="S765">
        <v>19.200000762939499</v>
      </c>
      <c r="T765">
        <v>1105</v>
      </c>
      <c r="U765">
        <v>219</v>
      </c>
      <c r="V765">
        <v>0</v>
      </c>
      <c r="W765">
        <v>98</v>
      </c>
      <c r="X765">
        <v>639</v>
      </c>
      <c r="Y765">
        <v>1</v>
      </c>
      <c r="Z765">
        <v>187</v>
      </c>
      <c r="AA765">
        <v>1</v>
      </c>
      <c r="AB765">
        <v>41.1359336826809</v>
      </c>
      <c r="AC765">
        <v>1.4002955603473999E-2</v>
      </c>
      <c r="AD765">
        <v>2.8692256398626999</v>
      </c>
      <c r="AE765">
        <v>0.68050203290591904</v>
      </c>
      <c r="AF765">
        <v>1000.06529209622</v>
      </c>
      <c r="AG765">
        <f>IFERROR(AH765*0.1, "N/A")</f>
        <v>5.5881443298969105</v>
      </c>
      <c r="AH765">
        <v>55.881443298969103</v>
      </c>
      <c r="AI765">
        <v>263.59382487818101</v>
      </c>
      <c r="AJ765">
        <v>23.670103092783499</v>
      </c>
      <c r="AK765">
        <v>65.0618556701031</v>
      </c>
    </row>
    <row r="766" spans="1:37" x14ac:dyDescent="0.3">
      <c r="A766">
        <v>765</v>
      </c>
      <c r="B766">
        <v>5</v>
      </c>
      <c r="C766">
        <v>28.703600000000002</v>
      </c>
      <c r="D766">
        <v>-10.3901</v>
      </c>
      <c r="E766" t="s">
        <v>1268</v>
      </c>
      <c r="F766" t="s">
        <v>1270</v>
      </c>
      <c r="G766" t="s">
        <v>37</v>
      </c>
      <c r="H766">
        <v>1946</v>
      </c>
      <c r="I766">
        <v>22.200000762939499</v>
      </c>
      <c r="J766">
        <v>13.300000190734901</v>
      </c>
      <c r="K766">
        <v>58</v>
      </c>
      <c r="L766">
        <v>19.809999465942401</v>
      </c>
      <c r="M766">
        <v>32.599998474121101</v>
      </c>
      <c r="N766">
        <v>10</v>
      </c>
      <c r="O766">
        <v>22.600000381469702</v>
      </c>
      <c r="P766">
        <v>23.100000381469702</v>
      </c>
      <c r="Q766">
        <v>19.200000762939499</v>
      </c>
      <c r="R766">
        <v>24.200000762939499</v>
      </c>
      <c r="S766">
        <v>19.200000762939499</v>
      </c>
      <c r="T766">
        <v>1105</v>
      </c>
      <c r="U766">
        <v>219</v>
      </c>
      <c r="V766">
        <v>0</v>
      </c>
      <c r="W766">
        <v>98</v>
      </c>
      <c r="X766">
        <v>639</v>
      </c>
      <c r="Y766">
        <v>1</v>
      </c>
      <c r="Z766">
        <v>187</v>
      </c>
      <c r="AA766">
        <v>1</v>
      </c>
      <c r="AB766">
        <v>41.1359336826809</v>
      </c>
      <c r="AC766">
        <v>1.4002955603473999E-2</v>
      </c>
      <c r="AD766">
        <v>2.8692256398626999</v>
      </c>
      <c r="AE766">
        <v>0.68050203290591904</v>
      </c>
      <c r="AF766">
        <v>1000.06529209622</v>
      </c>
      <c r="AG766">
        <f>IFERROR(AH766*0.1, "N/A")</f>
        <v>5.5881443298969105</v>
      </c>
      <c r="AH766">
        <v>55.881443298969103</v>
      </c>
      <c r="AI766">
        <v>263.59382487818101</v>
      </c>
      <c r="AJ766">
        <v>23.670103092783499</v>
      </c>
      <c r="AK766">
        <v>65.0618556701031</v>
      </c>
    </row>
    <row r="767" spans="1:37" x14ac:dyDescent="0.3">
      <c r="A767">
        <v>766</v>
      </c>
      <c r="B767">
        <v>2.7</v>
      </c>
      <c r="C767">
        <v>29.866699000000001</v>
      </c>
      <c r="D767">
        <v>-10.3833</v>
      </c>
      <c r="E767" t="s">
        <v>1271</v>
      </c>
      <c r="F767" t="s">
        <v>1272</v>
      </c>
      <c r="G767" t="s">
        <v>39</v>
      </c>
      <c r="H767">
        <v>1946</v>
      </c>
      <c r="I767">
        <v>20.963636224920101</v>
      </c>
      <c r="J767">
        <v>12.1984560788189</v>
      </c>
      <c r="K767">
        <v>59</v>
      </c>
      <c r="L767">
        <v>18.066998898880801</v>
      </c>
      <c r="M767">
        <v>30.5828476573754</v>
      </c>
      <c r="N767">
        <v>10.1636363809759</v>
      </c>
      <c r="O767">
        <v>20.419210669515898</v>
      </c>
      <c r="P767">
        <v>21.584391402543901</v>
      </c>
      <c r="Q767">
        <v>18.263636155562001</v>
      </c>
      <c r="R767">
        <v>22.7843905558512</v>
      </c>
      <c r="S767">
        <v>18.263636155562001</v>
      </c>
      <c r="T767">
        <v>1414.08576329331</v>
      </c>
      <c r="U767">
        <v>299.15608919382498</v>
      </c>
      <c r="V767">
        <v>0</v>
      </c>
      <c r="W767">
        <v>102.85934819897101</v>
      </c>
      <c r="X767">
        <v>818.60205831904</v>
      </c>
      <c r="Y767">
        <v>1</v>
      </c>
      <c r="Z767">
        <v>212.94854202401399</v>
      </c>
      <c r="AA767">
        <v>1</v>
      </c>
      <c r="AB767">
        <v>34.011824697818398</v>
      </c>
      <c r="AC767">
        <v>1.0199487899425E-2</v>
      </c>
      <c r="AD767">
        <v>0.80753861303803898</v>
      </c>
      <c r="AE767">
        <v>0.34087219834327698</v>
      </c>
      <c r="AF767">
        <v>1275.82332761578</v>
      </c>
      <c r="AG767">
        <f>IFERROR(AH767*0.1, "N/A")</f>
        <v>5.6000000000000005</v>
      </c>
      <c r="AH767">
        <v>56</v>
      </c>
      <c r="AI767">
        <v>58.718043279893202</v>
      </c>
      <c r="AJ767">
        <v>25.843910806175</v>
      </c>
      <c r="AK767">
        <v>57.3121783876501</v>
      </c>
    </row>
    <row r="768" spans="1:37" x14ac:dyDescent="0.3">
      <c r="A768">
        <v>767</v>
      </c>
      <c r="B768">
        <v>2.7</v>
      </c>
      <c r="C768">
        <v>29.866699000000001</v>
      </c>
      <c r="D768">
        <v>-10.3833</v>
      </c>
      <c r="E768" t="s">
        <v>1271</v>
      </c>
      <c r="F768" t="s">
        <v>1273</v>
      </c>
      <c r="G768" t="s">
        <v>37</v>
      </c>
      <c r="H768">
        <v>1946</v>
      </c>
      <c r="I768">
        <v>20.963636224920101</v>
      </c>
      <c r="J768">
        <v>12.1984560788189</v>
      </c>
      <c r="K768">
        <v>59</v>
      </c>
      <c r="L768">
        <v>18.066998898880801</v>
      </c>
      <c r="M768">
        <v>30.5828476573754</v>
      </c>
      <c r="N768">
        <v>10.1636363809759</v>
      </c>
      <c r="O768">
        <v>20.419210669515898</v>
      </c>
      <c r="P768">
        <v>21.584391402543901</v>
      </c>
      <c r="Q768">
        <v>18.263636155562001</v>
      </c>
      <c r="R768">
        <v>22.7843905558512</v>
      </c>
      <c r="S768">
        <v>18.263636155562001</v>
      </c>
      <c r="T768">
        <v>1414.08576329331</v>
      </c>
      <c r="U768">
        <v>299.15608919382498</v>
      </c>
      <c r="V768">
        <v>0</v>
      </c>
      <c r="W768">
        <v>102.85934819897101</v>
      </c>
      <c r="X768">
        <v>818.60205831904</v>
      </c>
      <c r="Y768">
        <v>1</v>
      </c>
      <c r="Z768">
        <v>212.94854202401399</v>
      </c>
      <c r="AA768">
        <v>1</v>
      </c>
      <c r="AB768">
        <v>34.011824697818398</v>
      </c>
      <c r="AC768">
        <v>1.0199487899425E-2</v>
      </c>
      <c r="AD768">
        <v>0.80753861303803898</v>
      </c>
      <c r="AE768">
        <v>0.34087219834327698</v>
      </c>
      <c r="AF768">
        <v>1275.82332761578</v>
      </c>
      <c r="AG768">
        <f>IFERROR(AH768*0.1, "N/A")</f>
        <v>5.6000000000000005</v>
      </c>
      <c r="AH768">
        <v>56</v>
      </c>
      <c r="AI768">
        <v>58.718043279893202</v>
      </c>
      <c r="AJ768">
        <v>25.843910806175</v>
      </c>
      <c r="AK768">
        <v>57.3121783876501</v>
      </c>
    </row>
    <row r="769" spans="1:37" x14ac:dyDescent="0.3">
      <c r="A769">
        <v>768</v>
      </c>
      <c r="B769">
        <v>20</v>
      </c>
      <c r="C769">
        <v>33.402199000000003</v>
      </c>
      <c r="D769">
        <v>-10.3805</v>
      </c>
      <c r="E769" t="s">
        <v>1274</v>
      </c>
      <c r="F769" t="s">
        <v>1275</v>
      </c>
      <c r="G769" t="s">
        <v>39</v>
      </c>
      <c r="H769">
        <v>1972</v>
      </c>
      <c r="I769">
        <v>20.299999237060501</v>
      </c>
      <c r="J769">
        <v>10.6000003814697</v>
      </c>
      <c r="K769">
        <v>55</v>
      </c>
      <c r="L769">
        <v>21.620000839233398</v>
      </c>
      <c r="M769">
        <v>29.5</v>
      </c>
      <c r="N769">
        <v>10.3999996185303</v>
      </c>
      <c r="O769">
        <v>19.100000381469702</v>
      </c>
      <c r="P769">
        <v>21</v>
      </c>
      <c r="Q769">
        <v>18.5</v>
      </c>
      <c r="R769">
        <v>22.799999237060501</v>
      </c>
      <c r="S769">
        <v>17.200000762939499</v>
      </c>
      <c r="T769">
        <v>1036</v>
      </c>
      <c r="U769">
        <v>220</v>
      </c>
      <c r="V769">
        <v>2</v>
      </c>
      <c r="W769">
        <v>102</v>
      </c>
      <c r="X769">
        <v>623</v>
      </c>
      <c r="Y769">
        <v>8</v>
      </c>
      <c r="Z769">
        <v>294</v>
      </c>
      <c r="AA769">
        <v>10</v>
      </c>
      <c r="AB769">
        <v>13.7947295724529</v>
      </c>
      <c r="AC769">
        <v>3.5875156679675002E-2</v>
      </c>
      <c r="AD769">
        <v>2.2195784041326299</v>
      </c>
      <c r="AE769">
        <v>0.17459565401077301</v>
      </c>
      <c r="AF769">
        <v>1354.6643835616401</v>
      </c>
      <c r="AG769">
        <f>IFERROR(AH769*0.1, "N/A")</f>
        <v>5.8368150684931503</v>
      </c>
      <c r="AH769">
        <v>58.3681506849315</v>
      </c>
      <c r="AI769">
        <v>231.070436921838</v>
      </c>
      <c r="AJ769">
        <v>25.736301369863</v>
      </c>
      <c r="AK769">
        <v>62.763698630137</v>
      </c>
    </row>
    <row r="770" spans="1:37" x14ac:dyDescent="0.3">
      <c r="A770">
        <v>769</v>
      </c>
      <c r="B770">
        <v>7.4</v>
      </c>
      <c r="C770">
        <v>33.290500999999999</v>
      </c>
      <c r="D770">
        <v>-10.345000000000001</v>
      </c>
      <c r="E770" t="s">
        <v>1276</v>
      </c>
      <c r="F770" t="s">
        <v>1277</v>
      </c>
      <c r="G770" t="s">
        <v>39</v>
      </c>
      <c r="H770">
        <v>1993</v>
      </c>
      <c r="I770">
        <v>19.399999618530298</v>
      </c>
      <c r="J770">
        <v>10.3999996185303</v>
      </c>
      <c r="K770">
        <v>55</v>
      </c>
      <c r="L770">
        <v>21.120000839233398</v>
      </c>
      <c r="M770">
        <v>28.700000762939499</v>
      </c>
      <c r="N770">
        <v>9.8999996185302699</v>
      </c>
      <c r="O770">
        <v>18.799999237060501</v>
      </c>
      <c r="P770">
        <v>20</v>
      </c>
      <c r="Q770">
        <v>16.399999618530298</v>
      </c>
      <c r="R770">
        <v>22</v>
      </c>
      <c r="S770">
        <v>16.399999618530298</v>
      </c>
      <c r="T770">
        <v>1051</v>
      </c>
      <c r="U770">
        <v>227</v>
      </c>
      <c r="V770">
        <v>1</v>
      </c>
      <c r="W770">
        <v>104</v>
      </c>
      <c r="X770">
        <v>641</v>
      </c>
      <c r="Y770">
        <v>7</v>
      </c>
      <c r="Z770">
        <v>305</v>
      </c>
      <c r="AA770">
        <v>7</v>
      </c>
      <c r="AB770">
        <v>30.380114368556701</v>
      </c>
      <c r="AC770">
        <v>1.3990475479321E-2</v>
      </c>
      <c r="AD770">
        <v>3.9007742159145402</v>
      </c>
      <c r="AE770">
        <v>0.209515005350113</v>
      </c>
      <c r="AF770">
        <v>1550.2199312714799</v>
      </c>
      <c r="AG770">
        <f>IFERROR(AH770*0.1, "N/A")</f>
        <v>5.5986254295532607</v>
      </c>
      <c r="AH770">
        <v>55.986254295532603</v>
      </c>
      <c r="AI770">
        <v>128.24659516639301</v>
      </c>
      <c r="AJ770">
        <v>32.017182130584203</v>
      </c>
      <c r="AK770">
        <v>55.996563573883201</v>
      </c>
    </row>
    <row r="771" spans="1:37" x14ac:dyDescent="0.3">
      <c r="A771">
        <v>770</v>
      </c>
      <c r="B771">
        <v>69.099997999999999</v>
      </c>
      <c r="C771">
        <v>33.446499000000003</v>
      </c>
      <c r="D771">
        <v>-10.298999999999999</v>
      </c>
      <c r="E771" t="s">
        <v>1278</v>
      </c>
      <c r="F771" t="s">
        <v>1279</v>
      </c>
      <c r="G771" t="s">
        <v>39</v>
      </c>
      <c r="H771">
        <v>1972</v>
      </c>
      <c r="I771">
        <v>20</v>
      </c>
      <c r="J771">
        <v>10.5</v>
      </c>
      <c r="K771">
        <v>55</v>
      </c>
      <c r="L771">
        <v>21.200000762939499</v>
      </c>
      <c r="M771">
        <v>29.100000381469702</v>
      </c>
      <c r="N771">
        <v>10.300000190734901</v>
      </c>
      <c r="O771">
        <v>18.799999237060501</v>
      </c>
      <c r="P771">
        <v>20.700000762939499</v>
      </c>
      <c r="Q771">
        <v>18.200000762939499</v>
      </c>
      <c r="R771">
        <v>22.5</v>
      </c>
      <c r="S771">
        <v>17</v>
      </c>
      <c r="T771">
        <v>1090</v>
      </c>
      <c r="U771">
        <v>225</v>
      </c>
      <c r="V771">
        <v>2</v>
      </c>
      <c r="W771">
        <v>100</v>
      </c>
      <c r="X771">
        <v>646</v>
      </c>
      <c r="Y771">
        <v>9</v>
      </c>
      <c r="Z771">
        <v>303</v>
      </c>
      <c r="AA771">
        <v>12</v>
      </c>
      <c r="AB771">
        <v>20.613979809904698</v>
      </c>
      <c r="AC771">
        <v>1.8568772371310001E-2</v>
      </c>
      <c r="AD771">
        <v>2.0016960248555198</v>
      </c>
      <c r="AE771">
        <v>0.26590958237647999</v>
      </c>
      <c r="AF771">
        <v>1420.38869863014</v>
      </c>
      <c r="AG771">
        <f>IFERROR(AH771*0.1, "N/A")</f>
        <v>6.0809931506849306</v>
      </c>
      <c r="AH771">
        <v>60.809931506849303</v>
      </c>
      <c r="AI771">
        <v>108.500086314058</v>
      </c>
      <c r="AJ771">
        <v>25.957191780821901</v>
      </c>
      <c r="AK771">
        <v>61.8955479452055</v>
      </c>
    </row>
    <row r="772" spans="1:37" x14ac:dyDescent="0.3">
      <c r="A772">
        <v>771</v>
      </c>
      <c r="B772">
        <v>18</v>
      </c>
      <c r="C772">
        <v>32.535499999999999</v>
      </c>
      <c r="D772">
        <v>-10.271000000000001</v>
      </c>
      <c r="E772" t="s">
        <v>1280</v>
      </c>
      <c r="F772" t="s">
        <v>1281</v>
      </c>
      <c r="G772" t="s">
        <v>39</v>
      </c>
      <c r="H772">
        <v>1993</v>
      </c>
      <c r="I772">
        <v>21</v>
      </c>
      <c r="J772">
        <v>10</v>
      </c>
      <c r="K772">
        <v>52</v>
      </c>
      <c r="L772">
        <v>21.870000839233398</v>
      </c>
      <c r="M772">
        <v>31</v>
      </c>
      <c r="N772">
        <v>12.1000003814697</v>
      </c>
      <c r="O772">
        <v>18.899999618530298</v>
      </c>
      <c r="P772">
        <v>21.5</v>
      </c>
      <c r="Q772">
        <v>18</v>
      </c>
      <c r="R772">
        <v>23.700000762939499</v>
      </c>
      <c r="S772">
        <v>18</v>
      </c>
      <c r="T772">
        <v>1045</v>
      </c>
      <c r="U772">
        <v>228</v>
      </c>
      <c r="V772">
        <v>0</v>
      </c>
      <c r="W772">
        <v>109</v>
      </c>
      <c r="X772">
        <v>661</v>
      </c>
      <c r="Y772">
        <v>0</v>
      </c>
      <c r="Z772">
        <v>320</v>
      </c>
      <c r="AA772">
        <v>0</v>
      </c>
      <c r="AB772">
        <v>7.1619954987360197</v>
      </c>
      <c r="AC772">
        <v>2.7673436192517002E-2</v>
      </c>
      <c r="AD772">
        <v>2.8616889146847502</v>
      </c>
      <c r="AE772">
        <v>0.188716268990824</v>
      </c>
      <c r="AF772">
        <v>1324.94664371773</v>
      </c>
      <c r="AG772">
        <f>IFERROR(AH772*0.1, "N/A")</f>
        <v>5.8786574870912203</v>
      </c>
      <c r="AH772">
        <v>58.786574870912197</v>
      </c>
      <c r="AI772">
        <v>321.51155463266298</v>
      </c>
      <c r="AJ772">
        <v>22.394148020654001</v>
      </c>
      <c r="AK772">
        <v>63.967297762478502</v>
      </c>
    </row>
    <row r="773" spans="1:37" x14ac:dyDescent="0.3">
      <c r="A773">
        <v>772</v>
      </c>
      <c r="B773">
        <v>8</v>
      </c>
      <c r="C773">
        <v>32.657100999999997</v>
      </c>
      <c r="D773">
        <v>-10.2675</v>
      </c>
      <c r="E773" t="s">
        <v>1282</v>
      </c>
      <c r="F773" t="s">
        <v>1283</v>
      </c>
      <c r="G773" t="s">
        <v>39</v>
      </c>
      <c r="H773">
        <v>1993</v>
      </c>
      <c r="I773">
        <v>22.399999618530298</v>
      </c>
      <c r="J773">
        <v>10.199999809265099</v>
      </c>
      <c r="K773">
        <v>53</v>
      </c>
      <c r="L773">
        <v>22.094759007158</v>
      </c>
      <c r="M773">
        <v>32.299999237060497</v>
      </c>
      <c r="N773">
        <v>13.206551558395899</v>
      </c>
      <c r="O773">
        <v>19.093448632339001</v>
      </c>
      <c r="P773">
        <v>22.799999237060501</v>
      </c>
      <c r="Q773">
        <v>19.399999618530298</v>
      </c>
      <c r="R773">
        <v>25.200000762939499</v>
      </c>
      <c r="S773">
        <v>19.399999618530298</v>
      </c>
      <c r="T773">
        <v>1008</v>
      </c>
      <c r="U773">
        <v>213.93448275862099</v>
      </c>
      <c r="V773">
        <v>0</v>
      </c>
      <c r="W773">
        <v>107</v>
      </c>
      <c r="X773">
        <v>623.93448275862102</v>
      </c>
      <c r="Y773">
        <v>2</v>
      </c>
      <c r="Z773">
        <v>306</v>
      </c>
      <c r="AA773">
        <v>2</v>
      </c>
      <c r="AB773">
        <v>10.0402912008351</v>
      </c>
      <c r="AC773">
        <v>0.39867241699890799</v>
      </c>
      <c r="AD773">
        <v>1.5145142111284999</v>
      </c>
      <c r="AE773">
        <v>0.28386586000179398</v>
      </c>
      <c r="AF773">
        <v>1049.7982758620701</v>
      </c>
      <c r="AG773">
        <f>IFERROR(AH773*0.1, "N/A")</f>
        <v>5.7</v>
      </c>
      <c r="AH773">
        <v>57</v>
      </c>
      <c r="AI773">
        <v>25.4760587823802</v>
      </c>
      <c r="AJ773">
        <v>30.870689655172399</v>
      </c>
      <c r="AK773">
        <v>54.741379310344797</v>
      </c>
    </row>
    <row r="774" spans="1:37" x14ac:dyDescent="0.3">
      <c r="A774">
        <v>773</v>
      </c>
      <c r="B774">
        <v>44.700001</v>
      </c>
      <c r="C774">
        <v>33.370499000000002</v>
      </c>
      <c r="D774">
        <v>-10.2597</v>
      </c>
      <c r="E774" t="s">
        <v>1284</v>
      </c>
      <c r="F774" t="s">
        <v>1285</v>
      </c>
      <c r="G774" t="s">
        <v>39</v>
      </c>
      <c r="H774">
        <v>1972</v>
      </c>
      <c r="I774">
        <v>19.5</v>
      </c>
      <c r="J774">
        <v>10.3999996185303</v>
      </c>
      <c r="K774">
        <v>55</v>
      </c>
      <c r="L774">
        <v>20.659999847412099</v>
      </c>
      <c r="M774">
        <v>28.700000762939499</v>
      </c>
      <c r="N774">
        <v>10.1000003814697</v>
      </c>
      <c r="O774">
        <v>18.600000381469702</v>
      </c>
      <c r="P774">
        <v>20.200000762939499</v>
      </c>
      <c r="Q774">
        <v>17.700000762939499</v>
      </c>
      <c r="R774">
        <v>22</v>
      </c>
      <c r="S774">
        <v>16.600000381469702</v>
      </c>
      <c r="T774">
        <v>1095</v>
      </c>
      <c r="U774">
        <v>229</v>
      </c>
      <c r="V774">
        <v>2</v>
      </c>
      <c r="W774">
        <v>101</v>
      </c>
      <c r="X774">
        <v>655</v>
      </c>
      <c r="Y774">
        <v>9</v>
      </c>
      <c r="Z774">
        <v>309</v>
      </c>
      <c r="AA774">
        <v>11</v>
      </c>
      <c r="AB774">
        <v>33.7622001097374</v>
      </c>
      <c r="AC774">
        <v>8.4283166129739996E-3</v>
      </c>
      <c r="AD774">
        <v>2.3018029233844</v>
      </c>
      <c r="AE774">
        <v>0.29737500938558098</v>
      </c>
      <c r="AF774">
        <v>1513.9243986254301</v>
      </c>
      <c r="AG774">
        <f>IFERROR(AH774*0.1, "N/A")</f>
        <v>5.9594501718213104</v>
      </c>
      <c r="AH774">
        <v>59.594501718213102</v>
      </c>
      <c r="AI774">
        <v>269.71544196925203</v>
      </c>
      <c r="AJ774">
        <v>25</v>
      </c>
      <c r="AK774">
        <v>62</v>
      </c>
    </row>
    <row r="775" spans="1:37" x14ac:dyDescent="0.3">
      <c r="A775">
        <v>774</v>
      </c>
      <c r="B775">
        <v>0</v>
      </c>
      <c r="C775">
        <v>33.370499000000002</v>
      </c>
      <c r="D775">
        <v>-10.2597</v>
      </c>
      <c r="E775" t="s">
        <v>1284</v>
      </c>
      <c r="F775" t="s">
        <v>1286</v>
      </c>
      <c r="G775" t="s">
        <v>37</v>
      </c>
      <c r="H775">
        <v>1972</v>
      </c>
      <c r="I775">
        <v>19.5</v>
      </c>
      <c r="J775">
        <v>10.3999996185303</v>
      </c>
      <c r="K775">
        <v>55</v>
      </c>
      <c r="L775">
        <v>20.659999847412099</v>
      </c>
      <c r="M775">
        <v>28.700000762939499</v>
      </c>
      <c r="N775">
        <v>10.1000003814697</v>
      </c>
      <c r="O775">
        <v>18.600000381469702</v>
      </c>
      <c r="P775">
        <v>20.200000762939499</v>
      </c>
      <c r="Q775">
        <v>17.700000762939499</v>
      </c>
      <c r="R775">
        <v>22</v>
      </c>
      <c r="S775">
        <v>16.600000381469702</v>
      </c>
      <c r="T775">
        <v>1095</v>
      </c>
      <c r="U775">
        <v>229</v>
      </c>
      <c r="V775">
        <v>2</v>
      </c>
      <c r="W775">
        <v>101</v>
      </c>
      <c r="X775">
        <v>655</v>
      </c>
      <c r="Y775">
        <v>9</v>
      </c>
      <c r="Z775">
        <v>309</v>
      </c>
      <c r="AA775">
        <v>11</v>
      </c>
      <c r="AB775">
        <v>33.7622001097374</v>
      </c>
      <c r="AC775">
        <v>8.4283166129739996E-3</v>
      </c>
      <c r="AD775">
        <v>2.3018029233844</v>
      </c>
      <c r="AE775">
        <v>0.29737500938558098</v>
      </c>
      <c r="AF775">
        <v>1513.9243986254301</v>
      </c>
      <c r="AG775">
        <f>IFERROR(AH775*0.1, "N/A")</f>
        <v>5.9594501718213104</v>
      </c>
      <c r="AH775">
        <v>59.594501718213102</v>
      </c>
      <c r="AI775">
        <v>269.71544196925203</v>
      </c>
      <c r="AJ775">
        <v>25</v>
      </c>
      <c r="AK775">
        <v>62</v>
      </c>
    </row>
    <row r="776" spans="1:37" x14ac:dyDescent="0.3">
      <c r="A776">
        <v>775</v>
      </c>
      <c r="B776">
        <v>66.099997999999999</v>
      </c>
      <c r="C776">
        <v>32.997199999999999</v>
      </c>
      <c r="D776">
        <v>-10.258800000000001</v>
      </c>
      <c r="E776" t="s">
        <v>1287</v>
      </c>
      <c r="F776" t="s">
        <v>1288</v>
      </c>
      <c r="G776" t="s">
        <v>37</v>
      </c>
      <c r="H776">
        <v>1986</v>
      </c>
      <c r="I776">
        <v>23.700000762939499</v>
      </c>
      <c r="J776">
        <v>10.3999996185303</v>
      </c>
      <c r="K776">
        <v>55</v>
      </c>
      <c r="L776">
        <v>21.417341284645602</v>
      </c>
      <c r="M776">
        <v>33.099998474121101</v>
      </c>
      <c r="N776">
        <v>14.248198963970101</v>
      </c>
      <c r="O776">
        <v>18.851800463825299</v>
      </c>
      <c r="P776">
        <v>24.200000762939499</v>
      </c>
      <c r="Q776">
        <v>22</v>
      </c>
      <c r="R776">
        <v>26.3481983917655</v>
      </c>
      <c r="S776">
        <v>20.700000762939499</v>
      </c>
      <c r="T776">
        <v>1013.4819897084</v>
      </c>
      <c r="U776">
        <v>208</v>
      </c>
      <c r="V776">
        <v>1</v>
      </c>
      <c r="W776">
        <v>99</v>
      </c>
      <c r="X776">
        <v>587</v>
      </c>
      <c r="Y776">
        <v>7</v>
      </c>
      <c r="Z776">
        <v>286.48198970840502</v>
      </c>
      <c r="AA776">
        <v>12</v>
      </c>
      <c r="AB776">
        <v>2.3828522827776601</v>
      </c>
      <c r="AC776">
        <v>3.42038099607533</v>
      </c>
      <c r="AD776">
        <v>1.5883402748745901</v>
      </c>
      <c r="AE776">
        <v>0.17383673787116999</v>
      </c>
      <c r="AF776">
        <v>785.89879931389396</v>
      </c>
      <c r="AG776">
        <f>IFERROR(AH776*0.1, "N/A")</f>
        <v>6.5471698113207601</v>
      </c>
      <c r="AH776">
        <v>65.471698113207594</v>
      </c>
      <c r="AI776">
        <v>60.1510876087954</v>
      </c>
      <c r="AJ776">
        <v>21.478559176672398</v>
      </c>
      <c r="AK776">
        <v>66.029159519725596</v>
      </c>
    </row>
    <row r="777" spans="1:37" x14ac:dyDescent="0.3">
      <c r="A777">
        <v>776</v>
      </c>
      <c r="B777">
        <v>31.700001</v>
      </c>
      <c r="C777">
        <v>31.298200999999999</v>
      </c>
      <c r="D777">
        <v>-10.2288</v>
      </c>
      <c r="E777" t="s">
        <v>1289</v>
      </c>
      <c r="F777" t="s">
        <v>1290</v>
      </c>
      <c r="G777" t="s">
        <v>39</v>
      </c>
      <c r="H777">
        <v>2007</v>
      </c>
      <c r="I777">
        <v>20.299999237060501</v>
      </c>
      <c r="J777">
        <v>12.8999996185303</v>
      </c>
      <c r="K777">
        <v>58</v>
      </c>
      <c r="L777">
        <v>20.7700004577637</v>
      </c>
      <c r="M777">
        <v>30.799999237060501</v>
      </c>
      <c r="N777">
        <v>8.6000003814697301</v>
      </c>
      <c r="O777">
        <v>22.200000762939499</v>
      </c>
      <c r="P777">
        <v>21.299999237060501</v>
      </c>
      <c r="Q777">
        <v>17.200000762939499</v>
      </c>
      <c r="R777">
        <v>22.399999618530298</v>
      </c>
      <c r="S777">
        <v>17.200000762939499</v>
      </c>
      <c r="T777">
        <v>1265</v>
      </c>
      <c r="U777">
        <v>273</v>
      </c>
      <c r="V777">
        <v>0</v>
      </c>
      <c r="W777">
        <v>106</v>
      </c>
      <c r="X777">
        <v>776</v>
      </c>
      <c r="Y777">
        <v>0</v>
      </c>
      <c r="Z777">
        <v>421</v>
      </c>
      <c r="AA777">
        <v>0</v>
      </c>
      <c r="AB777">
        <v>9.0646593672947002</v>
      </c>
      <c r="AC777">
        <v>0.22497498656832299</v>
      </c>
      <c r="AD777">
        <v>7.6090713029864698</v>
      </c>
      <c r="AE777">
        <v>0.25961229205131497</v>
      </c>
      <c r="AF777">
        <v>1327.32933104631</v>
      </c>
      <c r="AG777">
        <f>IFERROR(AH777*0.1, "N/A")</f>
        <v>5.7428816466552304</v>
      </c>
      <c r="AH777">
        <v>57.428816466552298</v>
      </c>
      <c r="AI777">
        <v>272.44126188039399</v>
      </c>
      <c r="AJ777">
        <v>25.012006861063501</v>
      </c>
      <c r="AK777">
        <v>62</v>
      </c>
    </row>
    <row r="778" spans="1:37" x14ac:dyDescent="0.3">
      <c r="A778">
        <v>777</v>
      </c>
      <c r="B778">
        <v>0</v>
      </c>
      <c r="C778">
        <v>31.298200999999999</v>
      </c>
      <c r="D778">
        <v>-10.2288</v>
      </c>
      <c r="E778" t="s">
        <v>1289</v>
      </c>
      <c r="F778" t="s">
        <v>1291</v>
      </c>
      <c r="G778" t="s">
        <v>37</v>
      </c>
      <c r="H778">
        <v>2007</v>
      </c>
      <c r="I778">
        <v>20.299999237060501</v>
      </c>
      <c r="J778">
        <v>12.8999996185303</v>
      </c>
      <c r="K778">
        <v>58</v>
      </c>
      <c r="L778">
        <v>20.7700004577637</v>
      </c>
      <c r="M778">
        <v>30.799999237060501</v>
      </c>
      <c r="N778">
        <v>8.6000003814697301</v>
      </c>
      <c r="O778">
        <v>22.200000762939499</v>
      </c>
      <c r="P778">
        <v>21.299999237060501</v>
      </c>
      <c r="Q778">
        <v>17.200000762939499</v>
      </c>
      <c r="R778">
        <v>22.399999618530298</v>
      </c>
      <c r="S778">
        <v>17.200000762939499</v>
      </c>
      <c r="T778">
        <v>1265</v>
      </c>
      <c r="U778">
        <v>273</v>
      </c>
      <c r="V778">
        <v>0</v>
      </c>
      <c r="W778">
        <v>106</v>
      </c>
      <c r="X778">
        <v>776</v>
      </c>
      <c r="Y778">
        <v>0</v>
      </c>
      <c r="Z778">
        <v>421</v>
      </c>
      <c r="AA778">
        <v>0</v>
      </c>
      <c r="AB778">
        <v>9.0646593672947002</v>
      </c>
      <c r="AC778">
        <v>0.22497498656832299</v>
      </c>
      <c r="AD778">
        <v>7.6090713029864698</v>
      </c>
      <c r="AE778">
        <v>0.25961229205131497</v>
      </c>
      <c r="AF778">
        <v>1327.32933104631</v>
      </c>
      <c r="AG778">
        <f>IFERROR(AH778*0.1, "N/A")</f>
        <v>5.7428816466552304</v>
      </c>
      <c r="AH778">
        <v>57.428816466552298</v>
      </c>
      <c r="AI778">
        <v>272.44126188039399</v>
      </c>
      <c r="AJ778">
        <v>25.012006861063501</v>
      </c>
      <c r="AK778">
        <v>62</v>
      </c>
    </row>
    <row r="779" spans="1:37" x14ac:dyDescent="0.3">
      <c r="A779">
        <v>778</v>
      </c>
      <c r="B779">
        <v>31</v>
      </c>
      <c r="C779">
        <v>33.509799999999998</v>
      </c>
      <c r="D779">
        <v>-10.2271</v>
      </c>
      <c r="E779" t="s">
        <v>1292</v>
      </c>
      <c r="F779" t="s">
        <v>1293</v>
      </c>
      <c r="G779" t="s">
        <v>39</v>
      </c>
      <c r="H779">
        <v>1993</v>
      </c>
      <c r="I779">
        <v>19.600000381469702</v>
      </c>
      <c r="J779">
        <v>10.5</v>
      </c>
      <c r="K779">
        <v>56</v>
      </c>
      <c r="L779">
        <v>20.2299995422363</v>
      </c>
      <c r="M779">
        <v>28.600000381469702</v>
      </c>
      <c r="N779">
        <v>10.1000003814697</v>
      </c>
      <c r="O779">
        <v>18.5</v>
      </c>
      <c r="P779">
        <v>20.299999237060501</v>
      </c>
      <c r="Q779">
        <v>17.799999237060501</v>
      </c>
      <c r="R779">
        <v>22</v>
      </c>
      <c r="S779">
        <v>16.700000762939499</v>
      </c>
      <c r="T779">
        <v>1158</v>
      </c>
      <c r="U779">
        <v>231</v>
      </c>
      <c r="V779">
        <v>3</v>
      </c>
      <c r="W779">
        <v>97</v>
      </c>
      <c r="X779">
        <v>672</v>
      </c>
      <c r="Y779">
        <v>12</v>
      </c>
      <c r="Z779">
        <v>313</v>
      </c>
      <c r="AA779">
        <v>16</v>
      </c>
      <c r="AB779">
        <v>25.938625060405901</v>
      </c>
      <c r="AC779">
        <v>5.1847472479663002E-2</v>
      </c>
      <c r="AD779">
        <v>2.1353797322696</v>
      </c>
      <c r="AE779">
        <v>0.29292407631874101</v>
      </c>
      <c r="AF779">
        <v>1482.5721649484501</v>
      </c>
      <c r="AG779">
        <f>IFERROR(AH779*0.1, "N/A")</f>
        <v>6</v>
      </c>
      <c r="AH779">
        <v>60</v>
      </c>
      <c r="AI779">
        <v>126.683214587444</v>
      </c>
      <c r="AJ779">
        <v>27</v>
      </c>
      <c r="AK779">
        <v>58</v>
      </c>
    </row>
    <row r="780" spans="1:37" x14ac:dyDescent="0.3">
      <c r="A780">
        <v>779</v>
      </c>
      <c r="B780">
        <v>0</v>
      </c>
      <c r="C780">
        <v>31.187401000000001</v>
      </c>
      <c r="D780">
        <v>-10.2081</v>
      </c>
      <c r="E780" t="s">
        <v>1294</v>
      </c>
      <c r="F780" t="s">
        <v>1295</v>
      </c>
      <c r="G780" t="s">
        <v>39</v>
      </c>
      <c r="H780">
        <v>1946</v>
      </c>
      <c r="I780">
        <v>20.1196217988321</v>
      </c>
      <c r="J780">
        <v>12.819621420973499</v>
      </c>
      <c r="K780">
        <v>58</v>
      </c>
      <c r="L780">
        <v>20.075059641248799</v>
      </c>
      <c r="M780">
        <v>30.639242841947102</v>
      </c>
      <c r="N780">
        <v>8.6392430290707996</v>
      </c>
      <c r="O780">
        <v>22</v>
      </c>
      <c r="P780">
        <v>20.939242453255101</v>
      </c>
      <c r="Q780">
        <v>17.139242841947102</v>
      </c>
      <c r="R780">
        <v>22.139242841947102</v>
      </c>
      <c r="S780">
        <v>17.139242841947102</v>
      </c>
      <c r="T780">
        <v>1296.8227194492299</v>
      </c>
      <c r="U780">
        <v>279.80378657487103</v>
      </c>
      <c r="V780">
        <v>0</v>
      </c>
      <c r="W780">
        <v>105</v>
      </c>
      <c r="X780">
        <v>790.41135972461302</v>
      </c>
      <c r="Y780">
        <v>0</v>
      </c>
      <c r="Z780">
        <v>437</v>
      </c>
      <c r="AA780">
        <v>0</v>
      </c>
      <c r="AB780">
        <v>21.757342707885101</v>
      </c>
      <c r="AC780">
        <v>7.8185285417533001E-2</v>
      </c>
      <c r="AD780">
        <v>2.0953950732176998</v>
      </c>
      <c r="AE780">
        <v>0.50747118872332297</v>
      </c>
      <c r="AF780">
        <v>1378.6488812392399</v>
      </c>
      <c r="AG780">
        <f>IFERROR(AH780*0.1, "N/A")</f>
        <v>6</v>
      </c>
      <c r="AH780">
        <v>60</v>
      </c>
      <c r="AI780">
        <v>153.854814066534</v>
      </c>
      <c r="AJ780">
        <v>22</v>
      </c>
      <c r="AK780">
        <v>67.249569707400994</v>
      </c>
    </row>
    <row r="781" spans="1:37" x14ac:dyDescent="0.3">
      <c r="A781">
        <v>780</v>
      </c>
      <c r="B781">
        <v>0</v>
      </c>
      <c r="C781">
        <v>31.187401000000001</v>
      </c>
      <c r="D781">
        <v>-10.2081</v>
      </c>
      <c r="E781" t="s">
        <v>1294</v>
      </c>
      <c r="F781" t="s">
        <v>1296</v>
      </c>
      <c r="G781" t="s">
        <v>37</v>
      </c>
      <c r="H781">
        <v>1946</v>
      </c>
      <c r="I781">
        <v>20.1196217988321</v>
      </c>
      <c r="J781">
        <v>12.819621420973499</v>
      </c>
      <c r="K781">
        <v>58</v>
      </c>
      <c r="L781">
        <v>20.075059641248799</v>
      </c>
      <c r="M781">
        <v>30.639242841947102</v>
      </c>
      <c r="N781">
        <v>8.6392430290707996</v>
      </c>
      <c r="O781">
        <v>22</v>
      </c>
      <c r="P781">
        <v>20.939242453255101</v>
      </c>
      <c r="Q781">
        <v>17.139242841947102</v>
      </c>
      <c r="R781">
        <v>22.139242841947102</v>
      </c>
      <c r="S781">
        <v>17.139242841947102</v>
      </c>
      <c r="T781">
        <v>1296.8227194492299</v>
      </c>
      <c r="U781">
        <v>279.80378657487103</v>
      </c>
      <c r="V781">
        <v>0</v>
      </c>
      <c r="W781">
        <v>105</v>
      </c>
      <c r="X781">
        <v>790.41135972461302</v>
      </c>
      <c r="Y781">
        <v>0</v>
      </c>
      <c r="Z781">
        <v>437</v>
      </c>
      <c r="AA781">
        <v>0</v>
      </c>
      <c r="AB781">
        <v>21.757342707885101</v>
      </c>
      <c r="AC781">
        <v>7.8185285417533001E-2</v>
      </c>
      <c r="AD781">
        <v>2.0953950732176998</v>
      </c>
      <c r="AE781">
        <v>0.50747118872332297</v>
      </c>
      <c r="AF781">
        <v>1378.6488812392399</v>
      </c>
      <c r="AG781">
        <f>IFERROR(AH781*0.1, "N/A")</f>
        <v>6</v>
      </c>
      <c r="AH781">
        <v>60</v>
      </c>
      <c r="AI781">
        <v>153.854814066534</v>
      </c>
      <c r="AJ781">
        <v>22</v>
      </c>
      <c r="AK781">
        <v>67.249569707400994</v>
      </c>
    </row>
    <row r="782" spans="1:37" x14ac:dyDescent="0.3">
      <c r="A782">
        <v>781</v>
      </c>
      <c r="B782">
        <v>91.099997999999999</v>
      </c>
      <c r="C782">
        <v>33.363098000000001</v>
      </c>
      <c r="D782">
        <v>-10.190300000000001</v>
      </c>
      <c r="E782" t="s">
        <v>1297</v>
      </c>
      <c r="F782" t="s">
        <v>1298</v>
      </c>
      <c r="G782" t="s">
        <v>39</v>
      </c>
      <c r="H782">
        <v>1993</v>
      </c>
      <c r="I782">
        <v>19.5</v>
      </c>
      <c r="J782">
        <v>10.300000190734901</v>
      </c>
      <c r="K782">
        <v>56</v>
      </c>
      <c r="L782">
        <v>20.370000839233398</v>
      </c>
      <c r="M782">
        <v>28.600000381469702</v>
      </c>
      <c r="N782">
        <v>10.300000190734901</v>
      </c>
      <c r="O782">
        <v>18.299999237060501</v>
      </c>
      <c r="P782">
        <v>20.200000762939499</v>
      </c>
      <c r="Q782">
        <v>17.799999237060501</v>
      </c>
      <c r="R782">
        <v>22</v>
      </c>
      <c r="S782">
        <v>16.600000381469702</v>
      </c>
      <c r="T782">
        <v>1111</v>
      </c>
      <c r="U782">
        <v>229</v>
      </c>
      <c r="V782">
        <v>2</v>
      </c>
      <c r="W782">
        <v>101</v>
      </c>
      <c r="X782">
        <v>661</v>
      </c>
      <c r="Y782">
        <v>9</v>
      </c>
      <c r="Z782">
        <v>314</v>
      </c>
      <c r="AA782">
        <v>11</v>
      </c>
      <c r="AB782">
        <v>10.622773470943899</v>
      </c>
      <c r="AC782">
        <v>3.5377431437627997E-2</v>
      </c>
      <c r="AD782">
        <v>2.84829001965588</v>
      </c>
      <c r="AE782">
        <v>0.19359915438171901</v>
      </c>
      <c r="AF782">
        <v>1501.35445205479</v>
      </c>
      <c r="AG782">
        <f>IFERROR(AH782*0.1, "N/A")</f>
        <v>5.6933219178082197</v>
      </c>
      <c r="AH782">
        <v>56.933219178082197</v>
      </c>
      <c r="AI782">
        <v>329.421010762045</v>
      </c>
      <c r="AJ782">
        <v>26.678082191780799</v>
      </c>
      <c r="AK782">
        <v>59.321917808219197</v>
      </c>
    </row>
    <row r="783" spans="1:37" x14ac:dyDescent="0.3">
      <c r="A783">
        <v>782</v>
      </c>
      <c r="B783">
        <v>23.1</v>
      </c>
      <c r="C783">
        <v>32.650002000000001</v>
      </c>
      <c r="D783">
        <v>-10.183299999999999</v>
      </c>
      <c r="E783" t="s">
        <v>1299</v>
      </c>
      <c r="F783" t="s">
        <v>1300</v>
      </c>
      <c r="G783" t="s">
        <v>39</v>
      </c>
      <c r="H783">
        <v>1972</v>
      </c>
      <c r="I783">
        <v>20.899999618530298</v>
      </c>
      <c r="J783">
        <v>9.4479379457296808</v>
      </c>
      <c r="K783">
        <v>51.175257731958801</v>
      </c>
      <c r="L783">
        <v>22.4885740444013</v>
      </c>
      <c r="M783">
        <v>30.763573676040501</v>
      </c>
      <c r="N783">
        <v>12.5</v>
      </c>
      <c r="O783">
        <v>18.263573676040501</v>
      </c>
      <c r="P783">
        <v>21.299999237060501</v>
      </c>
      <c r="Q783">
        <v>17.852061291330902</v>
      </c>
      <c r="R783">
        <v>23.752061824208699</v>
      </c>
      <c r="S783">
        <v>17.852061291330902</v>
      </c>
      <c r="T783">
        <v>1038.77835051546</v>
      </c>
      <c r="U783">
        <v>226.18900343642599</v>
      </c>
      <c r="V783">
        <v>0</v>
      </c>
      <c r="W783">
        <v>108</v>
      </c>
      <c r="X783">
        <v>653.63573883161496</v>
      </c>
      <c r="Y783">
        <v>0</v>
      </c>
      <c r="Z783">
        <v>315.81099656357401</v>
      </c>
      <c r="AA783">
        <v>0</v>
      </c>
      <c r="AB783">
        <v>19.069786255302301</v>
      </c>
      <c r="AC783">
        <v>9.8907820707590001E-3</v>
      </c>
      <c r="AD783">
        <v>1.7427168261144601</v>
      </c>
      <c r="AE783">
        <v>0.45849731564521801</v>
      </c>
      <c r="AF783">
        <v>1375.1151202749099</v>
      </c>
      <c r="AG783">
        <f>IFERROR(AH783*0.1, "N/A")</f>
        <v>5.9635738831615104</v>
      </c>
      <c r="AH783">
        <v>59.6357388316151</v>
      </c>
      <c r="AI783">
        <v>196.19850766945501</v>
      </c>
      <c r="AJ783">
        <v>22</v>
      </c>
      <c r="AK783">
        <v>67.728522336769799</v>
      </c>
    </row>
    <row r="784" spans="1:37" x14ac:dyDescent="0.3">
      <c r="A784">
        <v>783</v>
      </c>
      <c r="B784">
        <v>0</v>
      </c>
      <c r="C784">
        <v>32.650002000000001</v>
      </c>
      <c r="D784">
        <v>-10.183299999999999</v>
      </c>
      <c r="E784" t="s">
        <v>1299</v>
      </c>
      <c r="F784" t="s">
        <v>1301</v>
      </c>
      <c r="G784" t="s">
        <v>37</v>
      </c>
      <c r="H784">
        <v>1972</v>
      </c>
      <c r="I784">
        <v>20.899999618530298</v>
      </c>
      <c r="J784">
        <v>9.4479379457296808</v>
      </c>
      <c r="K784">
        <v>51.175257731958801</v>
      </c>
      <c r="L784">
        <v>22.4885740444013</v>
      </c>
      <c r="M784">
        <v>30.763573676040501</v>
      </c>
      <c r="N784">
        <v>12.5</v>
      </c>
      <c r="O784">
        <v>18.263573676040501</v>
      </c>
      <c r="P784">
        <v>21.299999237060501</v>
      </c>
      <c r="Q784">
        <v>17.852061291330902</v>
      </c>
      <c r="R784">
        <v>23.752061824208699</v>
      </c>
      <c r="S784">
        <v>17.852061291330902</v>
      </c>
      <c r="T784">
        <v>1038.77835051546</v>
      </c>
      <c r="U784">
        <v>226.18900343642599</v>
      </c>
      <c r="V784">
        <v>0</v>
      </c>
      <c r="W784">
        <v>108</v>
      </c>
      <c r="X784">
        <v>653.63573883161496</v>
      </c>
      <c r="Y784">
        <v>0</v>
      </c>
      <c r="Z784">
        <v>315.81099656357401</v>
      </c>
      <c r="AA784">
        <v>0</v>
      </c>
      <c r="AB784">
        <v>19.069786255302301</v>
      </c>
      <c r="AC784">
        <v>9.8907820707590001E-3</v>
      </c>
      <c r="AD784">
        <v>1.7427168261144601</v>
      </c>
      <c r="AE784">
        <v>0.45849731564521801</v>
      </c>
      <c r="AF784">
        <v>1375.1151202749099</v>
      </c>
      <c r="AG784">
        <f>IFERROR(AH784*0.1, "N/A")</f>
        <v>5.9635738831615104</v>
      </c>
      <c r="AH784">
        <v>59.6357388316151</v>
      </c>
      <c r="AI784">
        <v>196.19850766945501</v>
      </c>
      <c r="AJ784">
        <v>22</v>
      </c>
      <c r="AK784">
        <v>67.728522336769799</v>
      </c>
    </row>
    <row r="785" spans="1:37" x14ac:dyDescent="0.3">
      <c r="A785">
        <v>784</v>
      </c>
      <c r="B785">
        <v>8.4</v>
      </c>
      <c r="C785">
        <v>32.562801</v>
      </c>
      <c r="D785">
        <v>-10.174300000000001</v>
      </c>
      <c r="E785" t="s">
        <v>1302</v>
      </c>
      <c r="F785" t="s">
        <v>1303</v>
      </c>
      <c r="G785" t="s">
        <v>39</v>
      </c>
      <c r="H785">
        <v>1993</v>
      </c>
      <c r="I785">
        <v>20.5</v>
      </c>
      <c r="J785">
        <v>9.6999998092651403</v>
      </c>
      <c r="K785">
        <v>52</v>
      </c>
      <c r="L785">
        <v>21.360000610351602</v>
      </c>
      <c r="M785">
        <v>30.399999618530298</v>
      </c>
      <c r="N785">
        <v>12</v>
      </c>
      <c r="O785">
        <v>18.399999618530298</v>
      </c>
      <c r="P785">
        <v>20.899999618530298</v>
      </c>
      <c r="Q785">
        <v>17.600000381469702</v>
      </c>
      <c r="R785">
        <v>23.200000762939499</v>
      </c>
      <c r="S785">
        <v>17.600000381469702</v>
      </c>
      <c r="T785">
        <v>1061</v>
      </c>
      <c r="U785">
        <v>229</v>
      </c>
      <c r="V785">
        <v>0</v>
      </c>
      <c r="W785">
        <v>109</v>
      </c>
      <c r="X785">
        <v>670</v>
      </c>
      <c r="Y785">
        <v>0</v>
      </c>
      <c r="Z785">
        <v>319</v>
      </c>
      <c r="AA785">
        <v>0</v>
      </c>
      <c r="AB785">
        <v>46.790360941533997</v>
      </c>
      <c r="AC785">
        <v>1.9685767647103E-2</v>
      </c>
      <c r="AD785">
        <v>2.5004024861601701</v>
      </c>
      <c r="AE785">
        <v>0.43613278865814198</v>
      </c>
      <c r="AF785">
        <v>1482.29604130809</v>
      </c>
      <c r="AG785">
        <f>IFERROR(AH785*0.1, "N/A")</f>
        <v>5.8000000000000007</v>
      </c>
      <c r="AH785">
        <v>58</v>
      </c>
      <c r="AI785">
        <v>68.656565431473396</v>
      </c>
      <c r="AJ785">
        <v>21.036144578313301</v>
      </c>
      <c r="AK785">
        <v>66.036144578313198</v>
      </c>
    </row>
    <row r="786" spans="1:37" x14ac:dyDescent="0.3">
      <c r="A786">
        <v>785</v>
      </c>
      <c r="B786">
        <v>2.2999999999999998</v>
      </c>
      <c r="C786">
        <v>28.633300999999999</v>
      </c>
      <c r="D786">
        <v>-10.166700000000001</v>
      </c>
      <c r="E786" t="s">
        <v>1304</v>
      </c>
      <c r="F786" t="s">
        <v>1305</v>
      </c>
      <c r="G786" t="s">
        <v>39</v>
      </c>
      <c r="H786">
        <v>1946</v>
      </c>
      <c r="I786">
        <v>22.516123560648602</v>
      </c>
      <c r="J786">
        <v>13.1000003814697</v>
      </c>
      <c r="K786">
        <v>59</v>
      </c>
      <c r="L786">
        <v>18.855077324764199</v>
      </c>
      <c r="M786">
        <v>32.616122342301097</v>
      </c>
      <c r="N786">
        <v>10.5161235606486</v>
      </c>
      <c r="O786">
        <v>22.100000381469702</v>
      </c>
      <c r="P786">
        <v>23.2838759839433</v>
      </c>
      <c r="Q786">
        <v>19.7161240160567</v>
      </c>
      <c r="R786">
        <v>24.4161231791789</v>
      </c>
      <c r="S786">
        <v>19.7161240160567</v>
      </c>
      <c r="T786">
        <v>1074.9965694682701</v>
      </c>
      <c r="U786">
        <v>206.675814751286</v>
      </c>
      <c r="V786">
        <v>0</v>
      </c>
      <c r="W786">
        <v>96</v>
      </c>
      <c r="X786">
        <v>605.35162950257302</v>
      </c>
      <c r="Y786">
        <v>1</v>
      </c>
      <c r="Z786">
        <v>192.322469982847</v>
      </c>
      <c r="AA786">
        <v>1</v>
      </c>
      <c r="AB786">
        <v>4.0289989229336403</v>
      </c>
      <c r="AC786">
        <v>0.13365115461739999</v>
      </c>
      <c r="AD786">
        <v>0.63880149358132698</v>
      </c>
      <c r="AE786">
        <v>0.414385795593262</v>
      </c>
      <c r="AF786">
        <v>935.22298456260705</v>
      </c>
      <c r="AG786">
        <f>IFERROR(AH786*0.1, "N/A")</f>
        <v>6.5289879931389398</v>
      </c>
      <c r="AH786">
        <v>65.289879931389393</v>
      </c>
      <c r="AI786">
        <v>154.18244682822399</v>
      </c>
      <c r="AJ786">
        <v>29.1492281303602</v>
      </c>
      <c r="AK786">
        <v>49.838765008576303</v>
      </c>
    </row>
    <row r="787" spans="1:37" x14ac:dyDescent="0.3">
      <c r="A787">
        <v>786</v>
      </c>
      <c r="B787">
        <v>14.8</v>
      </c>
      <c r="C787">
        <v>28.633300999999999</v>
      </c>
      <c r="D787">
        <v>-10.166700000000001</v>
      </c>
      <c r="E787" t="s">
        <v>1304</v>
      </c>
      <c r="F787" t="s">
        <v>1306</v>
      </c>
      <c r="G787" t="s">
        <v>37</v>
      </c>
      <c r="H787">
        <v>1946</v>
      </c>
      <c r="I787">
        <v>22.516123560648602</v>
      </c>
      <c r="J787">
        <v>13.1000003814697</v>
      </c>
      <c r="K787">
        <v>59</v>
      </c>
      <c r="L787">
        <v>18.855077324764199</v>
      </c>
      <c r="M787">
        <v>32.616122342301097</v>
      </c>
      <c r="N787">
        <v>10.5161235606486</v>
      </c>
      <c r="O787">
        <v>22.100000381469702</v>
      </c>
      <c r="P787">
        <v>23.2838759839433</v>
      </c>
      <c r="Q787">
        <v>19.7161240160567</v>
      </c>
      <c r="R787">
        <v>24.4161231791789</v>
      </c>
      <c r="S787">
        <v>19.7161240160567</v>
      </c>
      <c r="T787">
        <v>1074.9965694682701</v>
      </c>
      <c r="U787">
        <v>206.675814751286</v>
      </c>
      <c r="V787">
        <v>0</v>
      </c>
      <c r="W787">
        <v>96</v>
      </c>
      <c r="X787">
        <v>605.35162950257302</v>
      </c>
      <c r="Y787">
        <v>1</v>
      </c>
      <c r="Z787">
        <v>192.322469982847</v>
      </c>
      <c r="AA787">
        <v>1</v>
      </c>
      <c r="AB787">
        <v>4.0289989229336403</v>
      </c>
      <c r="AC787">
        <v>0.13365115461739999</v>
      </c>
      <c r="AD787">
        <v>0.63880149358132698</v>
      </c>
      <c r="AE787">
        <v>0.414385795593262</v>
      </c>
      <c r="AF787">
        <v>935.22298456260705</v>
      </c>
      <c r="AG787">
        <f>IFERROR(AH787*0.1, "N/A")</f>
        <v>6.5289879931389398</v>
      </c>
      <c r="AH787">
        <v>65.289879931389393</v>
      </c>
      <c r="AI787">
        <v>154.18244682822399</v>
      </c>
      <c r="AJ787">
        <v>29.1492281303602</v>
      </c>
      <c r="AK787">
        <v>49.838765008576303</v>
      </c>
    </row>
    <row r="788" spans="1:37" x14ac:dyDescent="0.3">
      <c r="A788">
        <v>787</v>
      </c>
      <c r="B788">
        <v>12.3</v>
      </c>
      <c r="C788">
        <v>32.632598999999999</v>
      </c>
      <c r="D788">
        <v>-10.1571</v>
      </c>
      <c r="E788" t="s">
        <v>1307</v>
      </c>
      <c r="F788" t="s">
        <v>1308</v>
      </c>
      <c r="G788" t="s">
        <v>39</v>
      </c>
      <c r="H788">
        <v>1993</v>
      </c>
      <c r="I788">
        <v>21.211035077325199</v>
      </c>
      <c r="J788">
        <v>9.3999996185302699</v>
      </c>
      <c r="K788">
        <v>51</v>
      </c>
      <c r="L788">
        <v>22.3055166047195</v>
      </c>
      <c r="M788">
        <v>31.011034524851802</v>
      </c>
      <c r="N788">
        <v>12.8999996185303</v>
      </c>
      <c r="O788">
        <v>18.111034906321599</v>
      </c>
      <c r="P788">
        <v>21.611034906321599</v>
      </c>
      <c r="Q788">
        <v>18.211035077325199</v>
      </c>
      <c r="R788">
        <v>24.111034906321599</v>
      </c>
      <c r="S788">
        <v>18.211035077325199</v>
      </c>
      <c r="T788">
        <v>1043.3379310344801</v>
      </c>
      <c r="U788">
        <v>227.889655172414</v>
      </c>
      <c r="V788">
        <v>0</v>
      </c>
      <c r="W788">
        <v>107.110344827586</v>
      </c>
      <c r="X788">
        <v>655.44827586206895</v>
      </c>
      <c r="Y788">
        <v>0</v>
      </c>
      <c r="Z788">
        <v>313.889655172414</v>
      </c>
      <c r="AA788">
        <v>0</v>
      </c>
      <c r="AB788">
        <v>9.3280930091594794</v>
      </c>
      <c r="AC788">
        <v>3.9267411680314002E-2</v>
      </c>
      <c r="AD788">
        <v>1.736779469971</v>
      </c>
      <c r="AE788">
        <v>0.43627166748046903</v>
      </c>
      <c r="AF788">
        <v>1315.6775862069001</v>
      </c>
      <c r="AG788">
        <f>IFERROR(AH788*0.1, "N/A")</f>
        <v>6.2</v>
      </c>
      <c r="AH788">
        <v>62</v>
      </c>
      <c r="AI788">
        <v>78.342794957654206</v>
      </c>
      <c r="AJ788">
        <v>20.3741379310345</v>
      </c>
      <c r="AK788">
        <v>67.563793103448305</v>
      </c>
    </row>
    <row r="789" spans="1:37" x14ac:dyDescent="0.3">
      <c r="A789">
        <v>788</v>
      </c>
      <c r="B789">
        <v>12</v>
      </c>
      <c r="C789">
        <v>32.636001999999998</v>
      </c>
      <c r="D789">
        <v>-10.1532</v>
      </c>
      <c r="E789" t="s">
        <v>1309</v>
      </c>
      <c r="F789" t="s">
        <v>1310</v>
      </c>
      <c r="G789" t="s">
        <v>39</v>
      </c>
      <c r="H789">
        <v>0</v>
      </c>
      <c r="I789">
        <v>21.299999237060501</v>
      </c>
      <c r="J789">
        <v>9.3999996185302699</v>
      </c>
      <c r="K789">
        <v>51</v>
      </c>
      <c r="L789">
        <v>22.350000381469702</v>
      </c>
      <c r="M789">
        <v>31.100000381469702</v>
      </c>
      <c r="N789">
        <v>12.8999996185303</v>
      </c>
      <c r="O789">
        <v>18.200000762939499</v>
      </c>
      <c r="P789">
        <v>21.700000762939499</v>
      </c>
      <c r="Q789">
        <v>18.299999237060501</v>
      </c>
      <c r="R789">
        <v>24.200000762939499</v>
      </c>
      <c r="S789">
        <v>18.299999237060501</v>
      </c>
      <c r="T789">
        <v>1038</v>
      </c>
      <c r="U789">
        <v>227</v>
      </c>
      <c r="V789">
        <v>0</v>
      </c>
      <c r="W789">
        <v>108</v>
      </c>
      <c r="X789">
        <v>651</v>
      </c>
      <c r="Y789">
        <v>0</v>
      </c>
      <c r="Z789">
        <v>313</v>
      </c>
      <c r="AA789">
        <v>0</v>
      </c>
      <c r="AB789">
        <v>19.049516920371602</v>
      </c>
      <c r="AC789">
        <v>7.4259712751250997E-2</v>
      </c>
      <c r="AD789">
        <v>3.14531574646632</v>
      </c>
      <c r="AE789">
        <v>0.43549788284957203</v>
      </c>
      <c r="AF789">
        <v>1305.15635738832</v>
      </c>
      <c r="AG789">
        <f>IFERROR(AH789*0.1, "N/A")</f>
        <v>6.3663230240549806</v>
      </c>
      <c r="AH789">
        <v>63.663230240549801</v>
      </c>
      <c r="AI789">
        <v>163.139902740819</v>
      </c>
      <c r="AJ789">
        <v>22.687285223367699</v>
      </c>
      <c r="AK789">
        <v>64.360824742268093</v>
      </c>
    </row>
    <row r="790" spans="1:37" x14ac:dyDescent="0.3">
      <c r="A790">
        <v>789</v>
      </c>
      <c r="B790">
        <v>0</v>
      </c>
      <c r="C790">
        <v>32.636001999999998</v>
      </c>
      <c r="D790">
        <v>-10.1532</v>
      </c>
      <c r="E790" t="s">
        <v>1309</v>
      </c>
      <c r="F790" t="s">
        <v>1311</v>
      </c>
      <c r="G790" t="s">
        <v>37</v>
      </c>
      <c r="H790">
        <v>0</v>
      </c>
      <c r="I790">
        <v>21.299999237060501</v>
      </c>
      <c r="J790">
        <v>9.3999996185302699</v>
      </c>
      <c r="K790">
        <v>51</v>
      </c>
      <c r="L790">
        <v>22.350000381469702</v>
      </c>
      <c r="M790">
        <v>31.100000381469702</v>
      </c>
      <c r="N790">
        <v>12.8999996185303</v>
      </c>
      <c r="O790">
        <v>18.200000762939499</v>
      </c>
      <c r="P790">
        <v>21.700000762939499</v>
      </c>
      <c r="Q790">
        <v>18.299999237060501</v>
      </c>
      <c r="R790">
        <v>24.200000762939499</v>
      </c>
      <c r="S790">
        <v>18.299999237060501</v>
      </c>
      <c r="T790">
        <v>1038</v>
      </c>
      <c r="U790">
        <v>227</v>
      </c>
      <c r="V790">
        <v>0</v>
      </c>
      <c r="W790">
        <v>108</v>
      </c>
      <c r="X790">
        <v>651</v>
      </c>
      <c r="Y790">
        <v>0</v>
      </c>
      <c r="Z790">
        <v>313</v>
      </c>
      <c r="AA790">
        <v>0</v>
      </c>
      <c r="AB790">
        <v>19.049516920371602</v>
      </c>
      <c r="AC790">
        <v>7.4259712751250997E-2</v>
      </c>
      <c r="AD790">
        <v>3.14531574646632</v>
      </c>
      <c r="AE790">
        <v>0.43549788284957203</v>
      </c>
      <c r="AF790">
        <v>1305.15635738832</v>
      </c>
      <c r="AG790">
        <f>IFERROR(AH790*0.1, "N/A")</f>
        <v>6.3663230240549806</v>
      </c>
      <c r="AH790">
        <v>63.663230240549801</v>
      </c>
      <c r="AI790">
        <v>163.139902740819</v>
      </c>
      <c r="AJ790">
        <v>22.687285223367699</v>
      </c>
      <c r="AK790">
        <v>64.360824742268093</v>
      </c>
    </row>
    <row r="791" spans="1:37" x14ac:dyDescent="0.3">
      <c r="A791">
        <v>790</v>
      </c>
      <c r="B791">
        <v>3.2</v>
      </c>
      <c r="C791">
        <v>32.698898</v>
      </c>
      <c r="D791">
        <v>-10.152900000000001</v>
      </c>
      <c r="E791" t="s">
        <v>1312</v>
      </c>
      <c r="F791" t="s">
        <v>1313</v>
      </c>
      <c r="G791" t="s">
        <v>39</v>
      </c>
      <c r="H791">
        <v>1993</v>
      </c>
      <c r="I791">
        <v>22.002739736478599</v>
      </c>
      <c r="J791">
        <v>9.8000001907348597</v>
      </c>
      <c r="K791">
        <v>53</v>
      </c>
      <c r="L791">
        <v>21.843699024148201</v>
      </c>
      <c r="M791">
        <v>31.799999237060501</v>
      </c>
      <c r="N791">
        <v>13.3999996185303</v>
      </c>
      <c r="O791">
        <v>18.399999618530298</v>
      </c>
      <c r="P791">
        <v>22.5</v>
      </c>
      <c r="Q791">
        <v>19.100000381469702</v>
      </c>
      <c r="R791">
        <v>24.799999237060501</v>
      </c>
      <c r="S791">
        <v>19.100000381469702</v>
      </c>
      <c r="T791">
        <v>1020.94520547945</v>
      </c>
      <c r="U791">
        <v>218</v>
      </c>
      <c r="V791">
        <v>0</v>
      </c>
      <c r="W791">
        <v>106.027397260274</v>
      </c>
      <c r="X791">
        <v>631</v>
      </c>
      <c r="Y791">
        <v>2</v>
      </c>
      <c r="Z791">
        <v>306.945205479452</v>
      </c>
      <c r="AA791">
        <v>2</v>
      </c>
      <c r="AB791">
        <v>2.95684626331068</v>
      </c>
      <c r="AC791">
        <v>3.8379166106220997E-2</v>
      </c>
      <c r="AD791">
        <v>1.61780396139581</v>
      </c>
      <c r="AE791">
        <v>0.27967093387389003</v>
      </c>
      <c r="AF791">
        <v>1141.7893835616401</v>
      </c>
      <c r="AG791">
        <f>IFERROR(AH791*0.1, "N/A")</f>
        <v>6</v>
      </c>
      <c r="AH791">
        <v>60</v>
      </c>
      <c r="AI791">
        <v>120.31015141696101</v>
      </c>
      <c r="AJ791">
        <v>21</v>
      </c>
      <c r="AK791">
        <v>68.208904109589</v>
      </c>
    </row>
    <row r="792" spans="1:37" x14ac:dyDescent="0.3">
      <c r="A792">
        <v>791</v>
      </c>
      <c r="B792">
        <v>12.1</v>
      </c>
      <c r="C792">
        <v>32.636398</v>
      </c>
      <c r="D792">
        <v>-10.125400000000001</v>
      </c>
      <c r="E792" t="s">
        <v>1314</v>
      </c>
      <c r="F792" t="s">
        <v>1315</v>
      </c>
      <c r="G792" t="s">
        <v>39</v>
      </c>
      <c r="H792">
        <v>1993</v>
      </c>
      <c r="I792">
        <v>21.399999618530298</v>
      </c>
      <c r="J792">
        <v>9.5</v>
      </c>
      <c r="K792">
        <v>52</v>
      </c>
      <c r="L792">
        <v>21.930585009125899</v>
      </c>
      <c r="M792">
        <v>31.214777169768301</v>
      </c>
      <c r="N792">
        <v>13.1000003814697</v>
      </c>
      <c r="O792">
        <v>18.114777070140502</v>
      </c>
      <c r="P792">
        <v>21.814775925731301</v>
      </c>
      <c r="Q792">
        <v>18.4852233113292</v>
      </c>
      <c r="R792">
        <v>24.214777169768301</v>
      </c>
      <c r="S792">
        <v>18.4852233113292</v>
      </c>
      <c r="T792">
        <v>1040.1477663230201</v>
      </c>
      <c r="U792">
        <v>226</v>
      </c>
      <c r="V792">
        <v>0</v>
      </c>
      <c r="W792">
        <v>108</v>
      </c>
      <c r="X792">
        <v>652</v>
      </c>
      <c r="Y792">
        <v>0</v>
      </c>
      <c r="Z792">
        <v>311</v>
      </c>
      <c r="AA792">
        <v>0</v>
      </c>
      <c r="AB792">
        <v>5.7876515601508798</v>
      </c>
      <c r="AC792">
        <v>1.7818127621183E-2</v>
      </c>
      <c r="AD792">
        <v>1.4253710352678099</v>
      </c>
      <c r="AE792">
        <v>0.43604404978530897</v>
      </c>
      <c r="AF792">
        <v>1283.6752577319601</v>
      </c>
      <c r="AG792">
        <f>IFERROR(AH792*0.1, "N/A")</f>
        <v>6.0101374570446708</v>
      </c>
      <c r="AH792">
        <v>60.101374570446701</v>
      </c>
      <c r="AI792">
        <v>70.341057498840101</v>
      </c>
      <c r="AJ792">
        <v>20.175257731958801</v>
      </c>
      <c r="AK792">
        <v>68.606529209621996</v>
      </c>
    </row>
    <row r="793" spans="1:37" x14ac:dyDescent="0.3">
      <c r="A793">
        <v>792</v>
      </c>
      <c r="B793">
        <v>7.4</v>
      </c>
      <c r="C793">
        <v>32.671799</v>
      </c>
      <c r="D793">
        <v>-10.117599999999999</v>
      </c>
      <c r="E793" t="s">
        <v>1316</v>
      </c>
      <c r="F793" t="s">
        <v>1317</v>
      </c>
      <c r="G793" t="s">
        <v>39</v>
      </c>
      <c r="H793">
        <v>1993</v>
      </c>
      <c r="I793">
        <v>21.401892913188</v>
      </c>
      <c r="J793">
        <v>9.5</v>
      </c>
      <c r="K793">
        <v>52</v>
      </c>
      <c r="L793">
        <v>22.121479388973999</v>
      </c>
      <c r="M793">
        <v>31.200000762939499</v>
      </c>
      <c r="N793">
        <v>13.101893658071701</v>
      </c>
      <c r="O793">
        <v>18.098107086812</v>
      </c>
      <c r="P793">
        <v>21.899999618530298</v>
      </c>
      <c r="Q793">
        <v>18.403786207845801</v>
      </c>
      <c r="R793">
        <v>24.2018940214856</v>
      </c>
      <c r="S793">
        <v>18.403786207845801</v>
      </c>
      <c r="T793">
        <v>1034</v>
      </c>
      <c r="U793">
        <v>225</v>
      </c>
      <c r="V793">
        <v>0</v>
      </c>
      <c r="W793">
        <v>107</v>
      </c>
      <c r="X793">
        <v>646</v>
      </c>
      <c r="Y793">
        <v>0</v>
      </c>
      <c r="Z793">
        <v>309.98106712564498</v>
      </c>
      <c r="AA793">
        <v>0</v>
      </c>
      <c r="AB793">
        <v>12.9445880620697</v>
      </c>
      <c r="AC793">
        <v>2.8773088976355998E-2</v>
      </c>
      <c r="AD793">
        <v>1.09766470688346</v>
      </c>
      <c r="AE793">
        <v>0.410831911582339</v>
      </c>
      <c r="AF793">
        <v>1270.53012048193</v>
      </c>
      <c r="AG793">
        <f>IFERROR(AH793*0.1, "N/A")</f>
        <v>5.938209982788301</v>
      </c>
      <c r="AH793">
        <v>59.382099827883003</v>
      </c>
      <c r="AI793">
        <v>123.95454990761201</v>
      </c>
      <c r="AJ793">
        <v>22</v>
      </c>
      <c r="AK793">
        <v>65</v>
      </c>
    </row>
    <row r="794" spans="1:37" x14ac:dyDescent="0.3">
      <c r="A794">
        <v>793</v>
      </c>
      <c r="B794">
        <v>0</v>
      </c>
      <c r="C794">
        <v>31.484501000000002</v>
      </c>
      <c r="D794">
        <v>-10.1143</v>
      </c>
      <c r="E794" t="s">
        <v>1318</v>
      </c>
      <c r="F794" t="s">
        <v>1319</v>
      </c>
      <c r="G794" t="s">
        <v>39</v>
      </c>
      <c r="H794">
        <v>2007</v>
      </c>
      <c r="I794">
        <v>20.299999237060501</v>
      </c>
      <c r="J794">
        <v>12.6000003814697</v>
      </c>
      <c r="K794">
        <v>58</v>
      </c>
      <c r="L794">
        <v>20.340000152587901</v>
      </c>
      <c r="M794">
        <v>30.600000381469702</v>
      </c>
      <c r="N794">
        <v>8.8999996185302699</v>
      </c>
      <c r="O794">
        <v>21.700000762939499</v>
      </c>
      <c r="P794">
        <v>21.200000762939499</v>
      </c>
      <c r="Q794">
        <v>17.299999237060501</v>
      </c>
      <c r="R794">
        <v>22.399999618530298</v>
      </c>
      <c r="S794">
        <v>17.299999237060501</v>
      </c>
      <c r="T794">
        <v>1224</v>
      </c>
      <c r="U794">
        <v>260</v>
      </c>
      <c r="V794">
        <v>0</v>
      </c>
      <c r="W794">
        <v>106</v>
      </c>
      <c r="X794">
        <v>752</v>
      </c>
      <c r="Y794">
        <v>1</v>
      </c>
      <c r="Z794">
        <v>397</v>
      </c>
      <c r="AA794">
        <v>1</v>
      </c>
      <c r="AB794">
        <v>15.2462565104167</v>
      </c>
      <c r="AC794">
        <v>5.3398586899710998E-2</v>
      </c>
      <c r="AD794">
        <v>1.6632079394576</v>
      </c>
      <c r="AE794">
        <v>0.29208445549011203</v>
      </c>
      <c r="AF794">
        <v>1311.99136442142</v>
      </c>
      <c r="AG794">
        <f>IFERROR(AH794*0.1, "N/A")</f>
        <v>5.6922279792746107</v>
      </c>
      <c r="AH794">
        <v>56.922279792746103</v>
      </c>
      <c r="AI794">
        <v>111.551987738601</v>
      </c>
      <c r="AJ794">
        <v>20.8203799654577</v>
      </c>
      <c r="AK794">
        <v>66.179620034542296</v>
      </c>
    </row>
    <row r="795" spans="1:37" x14ac:dyDescent="0.3">
      <c r="A795">
        <v>794</v>
      </c>
      <c r="B795">
        <v>0</v>
      </c>
      <c r="C795">
        <v>31.484501000000002</v>
      </c>
      <c r="D795">
        <v>-10.1143</v>
      </c>
      <c r="E795" t="s">
        <v>1318</v>
      </c>
      <c r="F795" t="s">
        <v>1320</v>
      </c>
      <c r="G795" t="s">
        <v>37</v>
      </c>
      <c r="H795">
        <v>2007</v>
      </c>
      <c r="I795">
        <v>20.299999237060501</v>
      </c>
      <c r="J795">
        <v>12.6000003814697</v>
      </c>
      <c r="K795">
        <v>58</v>
      </c>
      <c r="L795">
        <v>20.340000152587901</v>
      </c>
      <c r="M795">
        <v>30.600000381469702</v>
      </c>
      <c r="N795">
        <v>8.8999996185302699</v>
      </c>
      <c r="O795">
        <v>21.700000762939499</v>
      </c>
      <c r="P795">
        <v>21.200000762939499</v>
      </c>
      <c r="Q795">
        <v>17.299999237060501</v>
      </c>
      <c r="R795">
        <v>22.399999618530298</v>
      </c>
      <c r="S795">
        <v>17.299999237060501</v>
      </c>
      <c r="T795">
        <v>1224</v>
      </c>
      <c r="U795">
        <v>260</v>
      </c>
      <c r="V795">
        <v>0</v>
      </c>
      <c r="W795">
        <v>106</v>
      </c>
      <c r="X795">
        <v>752</v>
      </c>
      <c r="Y795">
        <v>1</v>
      </c>
      <c r="Z795">
        <v>397</v>
      </c>
      <c r="AA795">
        <v>1</v>
      </c>
      <c r="AB795">
        <v>15.2462565104167</v>
      </c>
      <c r="AC795">
        <v>5.3398586899710998E-2</v>
      </c>
      <c r="AD795">
        <v>1.6632079394576</v>
      </c>
      <c r="AE795">
        <v>0.29208445549011203</v>
      </c>
      <c r="AF795">
        <v>1311.99136442142</v>
      </c>
      <c r="AG795">
        <f>IFERROR(AH795*0.1, "N/A")</f>
        <v>5.6922279792746107</v>
      </c>
      <c r="AH795">
        <v>56.922279792746103</v>
      </c>
      <c r="AI795">
        <v>111.551987738601</v>
      </c>
      <c r="AJ795">
        <v>20.8203799654577</v>
      </c>
      <c r="AK795">
        <v>66.179620034542296</v>
      </c>
    </row>
    <row r="796" spans="1:37" x14ac:dyDescent="0.3">
      <c r="A796">
        <v>795</v>
      </c>
      <c r="B796">
        <v>3.9</v>
      </c>
      <c r="C796">
        <v>32.573501999999998</v>
      </c>
      <c r="D796">
        <v>-10.078099999999999</v>
      </c>
      <c r="E796" t="s">
        <v>1321</v>
      </c>
      <c r="F796" t="s">
        <v>1322</v>
      </c>
      <c r="G796" t="s">
        <v>39</v>
      </c>
      <c r="H796">
        <v>1993</v>
      </c>
      <c r="I796">
        <v>21.600000381469702</v>
      </c>
      <c r="J796">
        <v>9.6999998092651403</v>
      </c>
      <c r="K796">
        <v>53</v>
      </c>
      <c r="L796">
        <v>21.190000534057599</v>
      </c>
      <c r="M796">
        <v>31.299999237060501</v>
      </c>
      <c r="N796">
        <v>13.199999809265099</v>
      </c>
      <c r="O796">
        <v>18.100000381469702</v>
      </c>
      <c r="P796">
        <v>22</v>
      </c>
      <c r="Q796">
        <v>18.700000762939499</v>
      </c>
      <c r="R796">
        <v>24.200000762939499</v>
      </c>
      <c r="S796">
        <v>18.700000762939499</v>
      </c>
      <c r="T796">
        <v>1056</v>
      </c>
      <c r="U796">
        <v>223</v>
      </c>
      <c r="V796">
        <v>0</v>
      </c>
      <c r="W796">
        <v>107</v>
      </c>
      <c r="X796">
        <v>659</v>
      </c>
      <c r="Y796">
        <v>1</v>
      </c>
      <c r="Z796">
        <v>312</v>
      </c>
      <c r="AA796">
        <v>1</v>
      </c>
      <c r="AB796">
        <v>24.2487037894652</v>
      </c>
      <c r="AC796">
        <v>2.0800451149594001E-2</v>
      </c>
      <c r="AD796">
        <v>2.9787330459483301</v>
      </c>
      <c r="AE796">
        <v>0.34860062599182101</v>
      </c>
      <c r="AF796">
        <v>1267.17010309278</v>
      </c>
      <c r="AG796">
        <f>IFERROR(AH796*0.1, "N/A")</f>
        <v>6.1824742268041204</v>
      </c>
      <c r="AH796">
        <v>61.824742268041199</v>
      </c>
      <c r="AI796">
        <v>283.92031283886598</v>
      </c>
      <c r="AJ796">
        <v>23.247422680412399</v>
      </c>
      <c r="AK796">
        <v>64.103092783505105</v>
      </c>
    </row>
    <row r="797" spans="1:37" x14ac:dyDescent="0.3">
      <c r="A797">
        <v>796</v>
      </c>
      <c r="B797">
        <v>15.4</v>
      </c>
      <c r="C797">
        <v>32.688400000000001</v>
      </c>
      <c r="D797">
        <v>-10.072900000000001</v>
      </c>
      <c r="E797" t="s">
        <v>1323</v>
      </c>
      <c r="F797" t="s">
        <v>1324</v>
      </c>
      <c r="G797" t="s">
        <v>39</v>
      </c>
      <c r="H797">
        <v>1993</v>
      </c>
      <c r="I797">
        <v>21.5</v>
      </c>
      <c r="J797">
        <v>9.5</v>
      </c>
      <c r="K797">
        <v>53</v>
      </c>
      <c r="L797">
        <v>21.290000915527301</v>
      </c>
      <c r="M797">
        <v>31.200000762939499</v>
      </c>
      <c r="N797">
        <v>13.300000190734901</v>
      </c>
      <c r="O797">
        <v>17.899999618530298</v>
      </c>
      <c r="P797">
        <v>21.899999618530298</v>
      </c>
      <c r="Q797">
        <v>18.700000762939499</v>
      </c>
      <c r="R797">
        <v>24.200000762939499</v>
      </c>
      <c r="S797">
        <v>18.700000762939499</v>
      </c>
      <c r="T797">
        <v>1035</v>
      </c>
      <c r="U797">
        <v>223</v>
      </c>
      <c r="V797">
        <v>0</v>
      </c>
      <c r="W797">
        <v>106</v>
      </c>
      <c r="X797">
        <v>644</v>
      </c>
      <c r="Y797">
        <v>1</v>
      </c>
      <c r="Z797">
        <v>308</v>
      </c>
      <c r="AA797">
        <v>1</v>
      </c>
      <c r="AB797">
        <v>1.21774207805765</v>
      </c>
      <c r="AC797">
        <v>2.8485051871887599</v>
      </c>
      <c r="AD797">
        <v>1.1374159683441301</v>
      </c>
      <c r="AE797">
        <v>0.28755244612693798</v>
      </c>
      <c r="AF797">
        <v>1262.0896551724099</v>
      </c>
      <c r="AG797">
        <f>IFERROR(AH797*0.1, "N/A")</f>
        <v>5.8000000000000007</v>
      </c>
      <c r="AH797">
        <v>58</v>
      </c>
      <c r="AI797">
        <v>159.991406276308</v>
      </c>
      <c r="AJ797">
        <v>20.310344827586199</v>
      </c>
      <c r="AK797">
        <v>67.689655172413794</v>
      </c>
    </row>
    <row r="798" spans="1:37" x14ac:dyDescent="0.3">
      <c r="A798">
        <v>797</v>
      </c>
      <c r="B798">
        <v>16.399999999999999</v>
      </c>
      <c r="C798">
        <v>32.630001</v>
      </c>
      <c r="D798">
        <v>-10.068199999999999</v>
      </c>
      <c r="E798" t="s">
        <v>1325</v>
      </c>
      <c r="F798" t="s">
        <v>1326</v>
      </c>
      <c r="G798" t="s">
        <v>39</v>
      </c>
      <c r="H798">
        <v>1993</v>
      </c>
      <c r="I798">
        <v>21.600000381469702</v>
      </c>
      <c r="J798">
        <v>9.6000003814697301</v>
      </c>
      <c r="K798">
        <v>53</v>
      </c>
      <c r="L798">
        <v>21.469999313354499</v>
      </c>
      <c r="M798">
        <v>31.299999237060501</v>
      </c>
      <c r="N798">
        <v>13.199999809265099</v>
      </c>
      <c r="O798">
        <v>18.100000381469702</v>
      </c>
      <c r="P798">
        <v>22</v>
      </c>
      <c r="Q798">
        <v>18.700000762939499</v>
      </c>
      <c r="R798">
        <v>24.299999237060501</v>
      </c>
      <c r="S798">
        <v>18.700000762939499</v>
      </c>
      <c r="T798">
        <v>1046</v>
      </c>
      <c r="U798">
        <v>224</v>
      </c>
      <c r="V798">
        <v>0</v>
      </c>
      <c r="W798">
        <v>107</v>
      </c>
      <c r="X798">
        <v>652</v>
      </c>
      <c r="Y798">
        <v>0</v>
      </c>
      <c r="Z798">
        <v>310</v>
      </c>
      <c r="AA798">
        <v>0</v>
      </c>
      <c r="AB798">
        <v>8.2357059873383598</v>
      </c>
      <c r="AC798">
        <v>2.4791872408241E-2</v>
      </c>
      <c r="AD798">
        <v>1.7027558388381201</v>
      </c>
      <c r="AE798">
        <v>0.25961778685450598</v>
      </c>
      <c r="AF798">
        <v>1260.26724137931</v>
      </c>
      <c r="AG798">
        <f>IFERROR(AH798*0.1, "N/A")</f>
        <v>6.3703448275862105</v>
      </c>
      <c r="AH798">
        <v>63.703448275862101</v>
      </c>
      <c r="AI798">
        <v>173.09742296153101</v>
      </c>
      <c r="AJ798">
        <v>23.244827586206899</v>
      </c>
      <c r="AK798">
        <v>62.527586206896601</v>
      </c>
    </row>
    <row r="799" spans="1:37" x14ac:dyDescent="0.3">
      <c r="A799">
        <v>798</v>
      </c>
      <c r="B799">
        <v>0</v>
      </c>
      <c r="C799">
        <v>29.765899999999998</v>
      </c>
      <c r="D799">
        <v>-10.0486</v>
      </c>
      <c r="E799" t="s">
        <v>1327</v>
      </c>
      <c r="F799" t="s">
        <v>1328</v>
      </c>
      <c r="G799" t="s">
        <v>39</v>
      </c>
      <c r="H799">
        <v>2002</v>
      </c>
      <c r="I799">
        <v>20.299999237060501</v>
      </c>
      <c r="J799">
        <v>12</v>
      </c>
      <c r="K799">
        <v>61</v>
      </c>
      <c r="L799">
        <v>15.867353845707701</v>
      </c>
      <c r="M799">
        <v>29.497594492542</v>
      </c>
      <c r="N799">
        <v>9.9975944925419693</v>
      </c>
      <c r="O799">
        <v>19.5</v>
      </c>
      <c r="P799">
        <v>20.797593775483801</v>
      </c>
      <c r="Q799">
        <v>18</v>
      </c>
      <c r="R799">
        <v>21.997594492542</v>
      </c>
      <c r="S799">
        <v>17.997594492542</v>
      </c>
      <c r="T799">
        <v>1390.12027491409</v>
      </c>
      <c r="U799">
        <v>285.02405498281797</v>
      </c>
      <c r="V799">
        <v>0</v>
      </c>
      <c r="W799">
        <v>97.975945017182099</v>
      </c>
      <c r="X799">
        <v>755.07216494845397</v>
      </c>
      <c r="Y799">
        <v>2</v>
      </c>
      <c r="Z799">
        <v>238.024054982818</v>
      </c>
      <c r="AA799">
        <v>16</v>
      </c>
      <c r="AB799">
        <v>2.5418999006658098</v>
      </c>
      <c r="AC799">
        <v>5.72010204344316</v>
      </c>
      <c r="AD799">
        <v>1.47273870882709</v>
      </c>
      <c r="AE799">
        <v>9.9409410480370997E-2</v>
      </c>
      <c r="AF799">
        <v>1433.57731958763</v>
      </c>
      <c r="AG799">
        <f>IFERROR(AH799*0.1, "N/A")</f>
        <v>5.9604810996563602</v>
      </c>
      <c r="AH799">
        <v>59.6048109965636</v>
      </c>
      <c r="AI799">
        <v>253.477824312715</v>
      </c>
      <c r="AJ799">
        <v>33.525773195876297</v>
      </c>
      <c r="AK799">
        <v>48.525773195876297</v>
      </c>
    </row>
    <row r="800" spans="1:37" x14ac:dyDescent="0.3">
      <c r="A800">
        <v>799</v>
      </c>
      <c r="B800">
        <v>1.3</v>
      </c>
      <c r="C800">
        <v>28.693501000000001</v>
      </c>
      <c r="D800">
        <v>-10.018700000000001</v>
      </c>
      <c r="E800" t="s">
        <v>1329</v>
      </c>
      <c r="F800" t="s">
        <v>1330</v>
      </c>
      <c r="G800" t="s">
        <v>39</v>
      </c>
      <c r="H800">
        <v>1946</v>
      </c>
      <c r="I800">
        <v>22.600000381469702</v>
      </c>
      <c r="J800">
        <v>12.8999996185303</v>
      </c>
      <c r="K800">
        <v>60</v>
      </c>
      <c r="L800">
        <v>17.610000610351602</v>
      </c>
      <c r="M800">
        <v>32.400001525878899</v>
      </c>
      <c r="N800">
        <v>10.8999996185303</v>
      </c>
      <c r="O800">
        <v>21.5</v>
      </c>
      <c r="P800">
        <v>23.200000762939499</v>
      </c>
      <c r="Q800">
        <v>19.899999618530298</v>
      </c>
      <c r="R800">
        <v>24.399999618530298</v>
      </c>
      <c r="S800">
        <v>19.899999618530298</v>
      </c>
      <c r="T800">
        <v>1089</v>
      </c>
      <c r="U800">
        <v>207</v>
      </c>
      <c r="V800">
        <v>0</v>
      </c>
      <c r="W800">
        <v>94</v>
      </c>
      <c r="X800">
        <v>593</v>
      </c>
      <c r="Y800">
        <v>1</v>
      </c>
      <c r="Z800">
        <v>204</v>
      </c>
      <c r="AA800">
        <v>1</v>
      </c>
      <c r="AB800">
        <v>16.102221826507499</v>
      </c>
      <c r="AC800">
        <v>2.0919956580520999E-2</v>
      </c>
      <c r="AD800">
        <v>0.99985932044147197</v>
      </c>
      <c r="AE800">
        <v>0.303765997444231</v>
      </c>
      <c r="AF800">
        <v>952.40206185567001</v>
      </c>
      <c r="AG800">
        <f>IFERROR(AH800*0.1, "N/A")</f>
        <v>5.7</v>
      </c>
      <c r="AH800">
        <v>57</v>
      </c>
      <c r="AI800">
        <v>260.08789544908501</v>
      </c>
      <c r="AJ800">
        <v>25.7594501718213</v>
      </c>
      <c r="AK800">
        <v>60.1202749140894</v>
      </c>
    </row>
    <row r="801" spans="1:37" x14ac:dyDescent="0.3">
      <c r="A801">
        <v>800</v>
      </c>
      <c r="B801">
        <v>44.200001</v>
      </c>
      <c r="C801">
        <v>28.693501000000001</v>
      </c>
      <c r="D801">
        <v>-10.018700000000001</v>
      </c>
      <c r="E801" t="s">
        <v>1329</v>
      </c>
      <c r="F801" t="s">
        <v>1331</v>
      </c>
      <c r="G801" t="s">
        <v>37</v>
      </c>
      <c r="H801">
        <v>1946</v>
      </c>
      <c r="I801">
        <v>22.600000381469702</v>
      </c>
      <c r="J801">
        <v>12.8999996185303</v>
      </c>
      <c r="K801">
        <v>60</v>
      </c>
      <c r="L801">
        <v>17.610000610351602</v>
      </c>
      <c r="M801">
        <v>32.400001525878899</v>
      </c>
      <c r="N801">
        <v>10.8999996185303</v>
      </c>
      <c r="O801">
        <v>21.5</v>
      </c>
      <c r="P801">
        <v>23.200000762939499</v>
      </c>
      <c r="Q801">
        <v>19.899999618530298</v>
      </c>
      <c r="R801">
        <v>24.399999618530298</v>
      </c>
      <c r="S801">
        <v>19.899999618530298</v>
      </c>
      <c r="T801">
        <v>1089</v>
      </c>
      <c r="U801">
        <v>207</v>
      </c>
      <c r="V801">
        <v>0</v>
      </c>
      <c r="W801">
        <v>94</v>
      </c>
      <c r="X801">
        <v>593</v>
      </c>
      <c r="Y801">
        <v>1</v>
      </c>
      <c r="Z801">
        <v>204</v>
      </c>
      <c r="AA801">
        <v>1</v>
      </c>
      <c r="AB801">
        <v>16.102221826507499</v>
      </c>
      <c r="AC801">
        <v>2.0919956580520999E-2</v>
      </c>
      <c r="AD801">
        <v>0.99985932044147197</v>
      </c>
      <c r="AE801">
        <v>0.303765997444231</v>
      </c>
      <c r="AF801">
        <v>952.40206185567001</v>
      </c>
      <c r="AG801">
        <f>IFERROR(AH801*0.1, "N/A")</f>
        <v>5.7</v>
      </c>
      <c r="AH801">
        <v>57</v>
      </c>
      <c r="AI801">
        <v>260.08789544908501</v>
      </c>
      <c r="AJ801">
        <v>25.7594501718213</v>
      </c>
      <c r="AK801">
        <v>60.1202749140894</v>
      </c>
    </row>
    <row r="802" spans="1:37" x14ac:dyDescent="0.3">
      <c r="A802">
        <v>801</v>
      </c>
      <c r="B802">
        <v>0</v>
      </c>
      <c r="C802">
        <v>31.317900000000002</v>
      </c>
      <c r="D802">
        <v>-10.0153</v>
      </c>
      <c r="E802" t="s">
        <v>1332</v>
      </c>
      <c r="F802" t="s">
        <v>1333</v>
      </c>
      <c r="G802" t="s">
        <v>39</v>
      </c>
      <c r="H802">
        <v>2007</v>
      </c>
      <c r="I802">
        <v>20.0996561460774</v>
      </c>
      <c r="J802">
        <v>12.800000190734901</v>
      </c>
      <c r="K802">
        <v>57.0034423407917</v>
      </c>
      <c r="L802">
        <v>20.988932647311099</v>
      </c>
      <c r="M802">
        <v>30.399311154311398</v>
      </c>
      <c r="N802">
        <v>8.2996559553425406</v>
      </c>
      <c r="O802">
        <v>22.0996561460774</v>
      </c>
      <c r="P802">
        <v>21.0996561460774</v>
      </c>
      <c r="Q802">
        <v>16.899999618530298</v>
      </c>
      <c r="R802">
        <v>22.0996561460774</v>
      </c>
      <c r="S802">
        <v>16.899999618530298</v>
      </c>
      <c r="T802">
        <v>1254.01376936317</v>
      </c>
      <c r="U802">
        <v>260.00344234079199</v>
      </c>
      <c r="V802">
        <v>0</v>
      </c>
      <c r="W802">
        <v>105</v>
      </c>
      <c r="X802">
        <v>756.00688468158398</v>
      </c>
      <c r="Y802">
        <v>1</v>
      </c>
      <c r="Z802">
        <v>412.00344234079199</v>
      </c>
      <c r="AA802">
        <v>1</v>
      </c>
      <c r="AB802">
        <v>45.843549560967098</v>
      </c>
      <c r="AC802">
        <v>3.7782058959727E-2</v>
      </c>
      <c r="AD802">
        <v>1.0156741372074001</v>
      </c>
      <c r="AE802">
        <v>0.392249464988708</v>
      </c>
      <c r="AF802">
        <v>1340.63166953528</v>
      </c>
      <c r="AG802">
        <f>IFERROR(AH802*0.1, "N/A")</f>
        <v>5.6469879518072297</v>
      </c>
      <c r="AH802">
        <v>56.469879518072297</v>
      </c>
      <c r="AI802">
        <v>151.70426280404101</v>
      </c>
      <c r="AJ802">
        <v>25.120481927710799</v>
      </c>
      <c r="AK802">
        <v>61.345955249569698</v>
      </c>
    </row>
    <row r="803" spans="1:37" x14ac:dyDescent="0.3">
      <c r="A803">
        <v>802</v>
      </c>
      <c r="B803">
        <v>0</v>
      </c>
      <c r="C803">
        <v>31.317900000000002</v>
      </c>
      <c r="D803">
        <v>-10.0153</v>
      </c>
      <c r="E803" t="s">
        <v>1332</v>
      </c>
      <c r="F803" t="s">
        <v>1334</v>
      </c>
      <c r="G803" t="s">
        <v>37</v>
      </c>
      <c r="H803">
        <v>2007</v>
      </c>
      <c r="I803">
        <v>20.0996561460774</v>
      </c>
      <c r="J803">
        <v>12.800000190734901</v>
      </c>
      <c r="K803">
        <v>57.0034423407917</v>
      </c>
      <c r="L803">
        <v>20.988932647311099</v>
      </c>
      <c r="M803">
        <v>30.399311154311398</v>
      </c>
      <c r="N803">
        <v>8.2996559553425406</v>
      </c>
      <c r="O803">
        <v>22.0996561460774</v>
      </c>
      <c r="P803">
        <v>21.0996561460774</v>
      </c>
      <c r="Q803">
        <v>16.899999618530298</v>
      </c>
      <c r="R803">
        <v>22.0996561460774</v>
      </c>
      <c r="S803">
        <v>16.899999618530298</v>
      </c>
      <c r="T803">
        <v>1254.01376936317</v>
      </c>
      <c r="U803">
        <v>260.00344234079199</v>
      </c>
      <c r="V803">
        <v>0</v>
      </c>
      <c r="W803">
        <v>105</v>
      </c>
      <c r="X803">
        <v>756.00688468158398</v>
      </c>
      <c r="Y803">
        <v>1</v>
      </c>
      <c r="Z803">
        <v>412.00344234079199</v>
      </c>
      <c r="AA803">
        <v>1</v>
      </c>
      <c r="AB803">
        <v>45.843549560967098</v>
      </c>
      <c r="AC803">
        <v>3.7782058959727E-2</v>
      </c>
      <c r="AD803">
        <v>1.0156741372074001</v>
      </c>
      <c r="AE803">
        <v>0.392249464988708</v>
      </c>
      <c r="AF803">
        <v>1340.63166953528</v>
      </c>
      <c r="AG803">
        <f>IFERROR(AH803*0.1, "N/A")</f>
        <v>5.6469879518072297</v>
      </c>
      <c r="AH803">
        <v>56.469879518072297</v>
      </c>
      <c r="AI803">
        <v>151.70426280404101</v>
      </c>
      <c r="AJ803">
        <v>25.120481927710799</v>
      </c>
      <c r="AK803">
        <v>61.345955249569698</v>
      </c>
    </row>
    <row r="804" spans="1:37" x14ac:dyDescent="0.3">
      <c r="A804">
        <v>803</v>
      </c>
      <c r="B804">
        <v>35.200001</v>
      </c>
      <c r="C804">
        <v>32.694000000000003</v>
      </c>
      <c r="D804">
        <v>-9.9839500000000001</v>
      </c>
      <c r="E804" t="s">
        <v>1335</v>
      </c>
      <c r="F804" t="s">
        <v>1336</v>
      </c>
      <c r="G804" t="s">
        <v>39</v>
      </c>
      <c r="H804">
        <v>1993</v>
      </c>
      <c r="I804">
        <v>21.399999618530298</v>
      </c>
      <c r="J804">
        <v>9.6000003814697301</v>
      </c>
      <c r="K804">
        <v>54</v>
      </c>
      <c r="L804">
        <v>20.2600002288818</v>
      </c>
      <c r="M804">
        <v>31</v>
      </c>
      <c r="N804">
        <v>13.300000190734901</v>
      </c>
      <c r="O804">
        <v>17.700000762939499</v>
      </c>
      <c r="P804">
        <v>21.899999618530298</v>
      </c>
      <c r="Q804">
        <v>18.700000762939499</v>
      </c>
      <c r="R804">
        <v>24</v>
      </c>
      <c r="S804">
        <v>18.700000762939499</v>
      </c>
      <c r="T804">
        <v>1039</v>
      </c>
      <c r="U804">
        <v>221</v>
      </c>
      <c r="V804">
        <v>0</v>
      </c>
      <c r="W804">
        <v>106</v>
      </c>
      <c r="X804">
        <v>645</v>
      </c>
      <c r="Y804">
        <v>1</v>
      </c>
      <c r="Z804">
        <v>305</v>
      </c>
      <c r="AA804">
        <v>1</v>
      </c>
      <c r="AB804">
        <v>27.912895044787199</v>
      </c>
      <c r="AC804">
        <v>3.1999759804779003E-2</v>
      </c>
      <c r="AD804">
        <v>2.0977164560350898</v>
      </c>
      <c r="AE804">
        <v>0.434978754767056</v>
      </c>
      <c r="AF804">
        <v>1313.5241379310301</v>
      </c>
      <c r="AG804">
        <f>IFERROR(AH804*0.1, "N/A")</f>
        <v>5.8615517241379305</v>
      </c>
      <c r="AH804">
        <v>58.615517241379301</v>
      </c>
      <c r="AI804">
        <v>135.16203392291899</v>
      </c>
      <c r="AJ804">
        <v>17.131034482758601</v>
      </c>
      <c r="AK804">
        <v>70.8827586206897</v>
      </c>
    </row>
    <row r="805" spans="1:37" x14ac:dyDescent="0.3">
      <c r="A805">
        <v>804</v>
      </c>
      <c r="B805">
        <v>33.299999</v>
      </c>
      <c r="C805">
        <v>32.522098999999997</v>
      </c>
      <c r="D805">
        <v>-9.9800500000000003</v>
      </c>
      <c r="E805" t="s">
        <v>1337</v>
      </c>
      <c r="F805" t="s">
        <v>1338</v>
      </c>
      <c r="G805" t="s">
        <v>39</v>
      </c>
      <c r="H805">
        <v>1993</v>
      </c>
      <c r="I805">
        <v>21.700000762939499</v>
      </c>
      <c r="J805">
        <v>10</v>
      </c>
      <c r="K805">
        <v>55</v>
      </c>
      <c r="L805">
        <v>19.670000076293899</v>
      </c>
      <c r="M805">
        <v>31.399999618530298</v>
      </c>
      <c r="N805">
        <v>13.3999996185303</v>
      </c>
      <c r="O805">
        <v>18</v>
      </c>
      <c r="P805">
        <v>22.100000381469702</v>
      </c>
      <c r="Q805">
        <v>19</v>
      </c>
      <c r="R805">
        <v>24.200000762939499</v>
      </c>
      <c r="S805">
        <v>19</v>
      </c>
      <c r="T805">
        <v>1056</v>
      </c>
      <c r="U805">
        <v>221</v>
      </c>
      <c r="V805">
        <v>0</v>
      </c>
      <c r="W805">
        <v>106</v>
      </c>
      <c r="X805">
        <v>653</v>
      </c>
      <c r="Y805">
        <v>1</v>
      </c>
      <c r="Z805">
        <v>312</v>
      </c>
      <c r="AA805">
        <v>1</v>
      </c>
      <c r="AB805">
        <v>15.239094069908401</v>
      </c>
      <c r="AC805">
        <v>9.7277612409330007E-3</v>
      </c>
      <c r="AD805">
        <v>1.7285005870564201</v>
      </c>
      <c r="AE805">
        <v>0.51885200780013496</v>
      </c>
      <c r="AF805">
        <v>1243.34655172414</v>
      </c>
      <c r="AG805">
        <f>IFERROR(AH805*0.1, "N/A")</f>
        <v>6.0324137931034505</v>
      </c>
      <c r="AH805">
        <v>60.3241379310345</v>
      </c>
      <c r="AI805">
        <v>96.162337388663502</v>
      </c>
      <c r="AJ805">
        <v>21.179310344827599</v>
      </c>
      <c r="AK805">
        <v>66.112068965517196</v>
      </c>
    </row>
    <row r="806" spans="1:37" x14ac:dyDescent="0.3">
      <c r="A806">
        <v>805</v>
      </c>
      <c r="B806">
        <v>40.299999</v>
      </c>
      <c r="C806">
        <v>33.236499999999999</v>
      </c>
      <c r="D806">
        <v>-9.9069299999999991</v>
      </c>
      <c r="E806" t="s">
        <v>1339</v>
      </c>
      <c r="F806" t="s">
        <v>1340</v>
      </c>
      <c r="G806" t="s">
        <v>39</v>
      </c>
      <c r="H806">
        <v>1993</v>
      </c>
      <c r="I806">
        <v>21.600000381469702</v>
      </c>
      <c r="J806">
        <v>10.1000003814697</v>
      </c>
      <c r="K806">
        <v>57</v>
      </c>
      <c r="L806">
        <v>19.579999923706101</v>
      </c>
      <c r="M806">
        <v>30.600000381469702</v>
      </c>
      <c r="N806">
        <v>12.8999996185303</v>
      </c>
      <c r="O806">
        <v>17.700000762939499</v>
      </c>
      <c r="P806">
        <v>22.200000762939499</v>
      </c>
      <c r="Q806">
        <v>20.100000381469702</v>
      </c>
      <c r="R806">
        <v>24</v>
      </c>
      <c r="S806">
        <v>18.899999618530298</v>
      </c>
      <c r="T806">
        <v>1078</v>
      </c>
      <c r="U806">
        <v>218</v>
      </c>
      <c r="V806">
        <v>2</v>
      </c>
      <c r="W806">
        <v>101</v>
      </c>
      <c r="X806">
        <v>633</v>
      </c>
      <c r="Y806">
        <v>11</v>
      </c>
      <c r="Z806">
        <v>305</v>
      </c>
      <c r="AA806">
        <v>13</v>
      </c>
      <c r="AB806">
        <v>7.6506707553205802</v>
      </c>
      <c r="AC806">
        <v>1.0775512280264E-2</v>
      </c>
      <c r="AD806">
        <v>1.61397483965446</v>
      </c>
      <c r="AE806">
        <v>0.232828363776207</v>
      </c>
      <c r="AF806">
        <v>1188.75517241379</v>
      </c>
      <c r="AG806">
        <f>IFERROR(AH806*0.1, "N/A")</f>
        <v>5.7737931034482806</v>
      </c>
      <c r="AH806">
        <v>57.737931034482799</v>
      </c>
      <c r="AI806">
        <v>210.145530299483</v>
      </c>
      <c r="AJ806">
        <v>19.262068965517201</v>
      </c>
      <c r="AK806">
        <v>71</v>
      </c>
    </row>
    <row r="807" spans="1:37" x14ac:dyDescent="0.3">
      <c r="A807">
        <v>806</v>
      </c>
      <c r="B807">
        <v>0</v>
      </c>
      <c r="C807">
        <v>28.759899000000001</v>
      </c>
      <c r="D807">
        <v>-9.8193099999999998</v>
      </c>
      <c r="E807" t="s">
        <v>1341</v>
      </c>
      <c r="F807" t="s">
        <v>1342</v>
      </c>
      <c r="G807" t="s">
        <v>39</v>
      </c>
      <c r="H807">
        <v>1946</v>
      </c>
      <c r="I807">
        <v>22.700000762939499</v>
      </c>
      <c r="J807">
        <v>12.6000003814697</v>
      </c>
      <c r="K807">
        <v>61</v>
      </c>
      <c r="L807">
        <v>16.610000610351602</v>
      </c>
      <c r="M807">
        <v>32.099998474121101</v>
      </c>
      <c r="N807">
        <v>11.5</v>
      </c>
      <c r="O807">
        <v>20.600000381469702</v>
      </c>
      <c r="P807">
        <v>23.100000381469702</v>
      </c>
      <c r="Q807">
        <v>20.299999237060501</v>
      </c>
      <c r="R807">
        <v>24.5</v>
      </c>
      <c r="S807">
        <v>20.299999237060501</v>
      </c>
      <c r="T807">
        <v>1102</v>
      </c>
      <c r="U807">
        <v>207</v>
      </c>
      <c r="V807">
        <v>0</v>
      </c>
      <c r="W807">
        <v>91</v>
      </c>
      <c r="X807">
        <v>574</v>
      </c>
      <c r="Y807">
        <v>0</v>
      </c>
      <c r="Z807">
        <v>218</v>
      </c>
      <c r="AA807">
        <v>0</v>
      </c>
      <c r="AB807">
        <v>14.1058781372701</v>
      </c>
      <c r="AC807">
        <v>3.9906729690782003E-2</v>
      </c>
      <c r="AD807">
        <v>1.84133838868592</v>
      </c>
      <c r="AE807">
        <v>0.66155701803873801</v>
      </c>
      <c r="AF807">
        <v>955.86574870912204</v>
      </c>
      <c r="AG807">
        <f>IFERROR(AH807*0.1, "N/A")</f>
        <v>5.6068846815834803</v>
      </c>
      <c r="AH807">
        <v>56.068846815834803</v>
      </c>
      <c r="AI807">
        <v>237.08990495586599</v>
      </c>
      <c r="AJ807">
        <v>20.0051635111876</v>
      </c>
      <c r="AK807">
        <v>67.339070567986198</v>
      </c>
    </row>
    <row r="808" spans="1:37" x14ac:dyDescent="0.3">
      <c r="A808">
        <v>807</v>
      </c>
      <c r="B808">
        <v>8.9</v>
      </c>
      <c r="C808">
        <v>28.759899000000001</v>
      </c>
      <c r="D808">
        <v>-9.8193099999999998</v>
      </c>
      <c r="E808" t="s">
        <v>1341</v>
      </c>
      <c r="F808" t="s">
        <v>1343</v>
      </c>
      <c r="G808" t="s">
        <v>37</v>
      </c>
      <c r="H808">
        <v>1946</v>
      </c>
      <c r="I808">
        <v>22.700000762939499</v>
      </c>
      <c r="J808">
        <v>12.6000003814697</v>
      </c>
      <c r="K808">
        <v>61</v>
      </c>
      <c r="L808">
        <v>16.610000610351602</v>
      </c>
      <c r="M808">
        <v>32.099998474121101</v>
      </c>
      <c r="N808">
        <v>11.5</v>
      </c>
      <c r="O808">
        <v>20.600000381469702</v>
      </c>
      <c r="P808">
        <v>23.100000381469702</v>
      </c>
      <c r="Q808">
        <v>20.299999237060501</v>
      </c>
      <c r="R808">
        <v>24.5</v>
      </c>
      <c r="S808">
        <v>20.299999237060501</v>
      </c>
      <c r="T808">
        <v>1102</v>
      </c>
      <c r="U808">
        <v>207</v>
      </c>
      <c r="V808">
        <v>0</v>
      </c>
      <c r="W808">
        <v>91</v>
      </c>
      <c r="X808">
        <v>574</v>
      </c>
      <c r="Y808">
        <v>0</v>
      </c>
      <c r="Z808">
        <v>218</v>
      </c>
      <c r="AA808">
        <v>0</v>
      </c>
      <c r="AB808">
        <v>14.1058781372701</v>
      </c>
      <c r="AC808">
        <v>3.9906729690782003E-2</v>
      </c>
      <c r="AD808">
        <v>1.84133838868592</v>
      </c>
      <c r="AE808">
        <v>0.66155701803873801</v>
      </c>
      <c r="AF808">
        <v>955.86574870912204</v>
      </c>
      <c r="AG808">
        <f>IFERROR(AH808*0.1, "N/A")</f>
        <v>5.6068846815834803</v>
      </c>
      <c r="AH808">
        <v>56.068846815834803</v>
      </c>
      <c r="AI808">
        <v>237.08990495586599</v>
      </c>
      <c r="AJ808">
        <v>20.0051635111876</v>
      </c>
      <c r="AK808">
        <v>67.339070567986198</v>
      </c>
    </row>
    <row r="809" spans="1:37" x14ac:dyDescent="0.3">
      <c r="A809">
        <v>808</v>
      </c>
      <c r="B809">
        <v>38</v>
      </c>
      <c r="C809">
        <v>32.757598999999999</v>
      </c>
      <c r="D809">
        <v>-9.8180499999999995</v>
      </c>
      <c r="E809" t="s">
        <v>1344</v>
      </c>
      <c r="F809" t="s">
        <v>1345</v>
      </c>
      <c r="G809" t="s">
        <v>39</v>
      </c>
      <c r="H809">
        <v>1993</v>
      </c>
      <c r="I809">
        <v>21.579074058074699</v>
      </c>
      <c r="J809">
        <v>9.8999996185302699</v>
      </c>
      <c r="K809">
        <v>57</v>
      </c>
      <c r="L809">
        <v>18.143962542761301</v>
      </c>
      <c r="M809">
        <v>30.799999237060501</v>
      </c>
      <c r="N809">
        <v>13.5</v>
      </c>
      <c r="O809">
        <v>17.299999237060501</v>
      </c>
      <c r="P809">
        <v>21.979073676605001</v>
      </c>
      <c r="Q809">
        <v>19.100000381469702</v>
      </c>
      <c r="R809">
        <v>23.799999237060501</v>
      </c>
      <c r="S809">
        <v>19.100000381469702</v>
      </c>
      <c r="T809">
        <v>1033.7907375643199</v>
      </c>
      <c r="U809">
        <v>215</v>
      </c>
      <c r="V809">
        <v>0</v>
      </c>
      <c r="W809">
        <v>103</v>
      </c>
      <c r="X809">
        <v>629</v>
      </c>
      <c r="Y809">
        <v>3</v>
      </c>
      <c r="Z809">
        <v>301</v>
      </c>
      <c r="AA809">
        <v>3</v>
      </c>
      <c r="AB809">
        <v>17.6518167328875</v>
      </c>
      <c r="AC809">
        <v>1.2037952999243999E-2</v>
      </c>
      <c r="AD809">
        <v>1.13206569776322</v>
      </c>
      <c r="AE809">
        <v>0.50296546122631103</v>
      </c>
      <c r="AF809">
        <v>1312.78559176672</v>
      </c>
      <c r="AG809">
        <f>IFERROR(AH809*0.1, "N/A")</f>
        <v>6.07718696397942</v>
      </c>
      <c r="AH809">
        <v>60.771869639794197</v>
      </c>
      <c r="AI809">
        <v>176.302335081542</v>
      </c>
      <c r="AJ809">
        <v>23.975986277873101</v>
      </c>
      <c r="AK809">
        <v>64.360205831903997</v>
      </c>
    </row>
    <row r="810" spans="1:37" x14ac:dyDescent="0.3">
      <c r="A810">
        <v>809</v>
      </c>
      <c r="B810">
        <v>2.5</v>
      </c>
      <c r="C810">
        <v>29.3536</v>
      </c>
      <c r="D810">
        <v>-9.8135600000000007</v>
      </c>
      <c r="E810" t="s">
        <v>1346</v>
      </c>
      <c r="F810" t="s">
        <v>1347</v>
      </c>
      <c r="G810" t="s">
        <v>39</v>
      </c>
      <c r="H810">
        <v>1946</v>
      </c>
      <c r="I810">
        <v>21.5</v>
      </c>
      <c r="J810">
        <v>12</v>
      </c>
      <c r="K810">
        <v>62</v>
      </c>
      <c r="L810">
        <v>14.699999809265099</v>
      </c>
      <c r="M810">
        <v>30.5</v>
      </c>
      <c r="N810">
        <v>11.300000190734901</v>
      </c>
      <c r="O810">
        <v>19.200000762939499</v>
      </c>
      <c r="P810">
        <v>22</v>
      </c>
      <c r="Q810">
        <v>19.399999618530298</v>
      </c>
      <c r="R810">
        <v>23.100000381469702</v>
      </c>
      <c r="S810">
        <v>19.399999618530298</v>
      </c>
      <c r="T810">
        <v>1164</v>
      </c>
      <c r="U810">
        <v>223</v>
      </c>
      <c r="V810">
        <v>0</v>
      </c>
      <c r="W810">
        <v>90</v>
      </c>
      <c r="X810">
        <v>588</v>
      </c>
      <c r="Y810">
        <v>0</v>
      </c>
      <c r="Z810">
        <v>246</v>
      </c>
      <c r="AA810">
        <v>12</v>
      </c>
      <c r="AB810">
        <v>15.9693448038807</v>
      </c>
      <c r="AC810">
        <v>3.5774692338401998E-2</v>
      </c>
      <c r="AD810">
        <v>0.88306653140539204</v>
      </c>
      <c r="AE810">
        <v>0.45003524422645602</v>
      </c>
      <c r="AF810">
        <v>1217.6127366609301</v>
      </c>
      <c r="AG810">
        <f>IFERROR(AH810*0.1, "N/A")</f>
        <v>5.4034423407917407</v>
      </c>
      <c r="AH810">
        <v>54.034423407917402</v>
      </c>
      <c r="AI810">
        <v>218.09075234391801</v>
      </c>
      <c r="AJ810">
        <v>26.523235800344199</v>
      </c>
      <c r="AK810">
        <v>52.931153184165197</v>
      </c>
    </row>
    <row r="811" spans="1:37" x14ac:dyDescent="0.3">
      <c r="A811">
        <v>810</v>
      </c>
      <c r="B811">
        <v>33.799999</v>
      </c>
      <c r="C811">
        <v>29.3536</v>
      </c>
      <c r="D811">
        <v>-9.8135600000000007</v>
      </c>
      <c r="E811" t="s">
        <v>1346</v>
      </c>
      <c r="F811" t="s">
        <v>1348</v>
      </c>
      <c r="G811" t="s">
        <v>37</v>
      </c>
      <c r="H811">
        <v>1946</v>
      </c>
      <c r="I811">
        <v>21.5</v>
      </c>
      <c r="J811">
        <v>12</v>
      </c>
      <c r="K811">
        <v>62</v>
      </c>
      <c r="L811">
        <v>14.699999809265099</v>
      </c>
      <c r="M811">
        <v>30.5</v>
      </c>
      <c r="N811">
        <v>11.300000190734901</v>
      </c>
      <c r="O811">
        <v>19.200000762939499</v>
      </c>
      <c r="P811">
        <v>22</v>
      </c>
      <c r="Q811">
        <v>19.399999618530298</v>
      </c>
      <c r="R811">
        <v>23.100000381469702</v>
      </c>
      <c r="S811">
        <v>19.399999618530298</v>
      </c>
      <c r="T811">
        <v>1164</v>
      </c>
      <c r="U811">
        <v>223</v>
      </c>
      <c r="V811">
        <v>0</v>
      </c>
      <c r="W811">
        <v>90</v>
      </c>
      <c r="X811">
        <v>588</v>
      </c>
      <c r="Y811">
        <v>0</v>
      </c>
      <c r="Z811">
        <v>246</v>
      </c>
      <c r="AA811">
        <v>12</v>
      </c>
      <c r="AB811">
        <v>15.9693448038807</v>
      </c>
      <c r="AC811">
        <v>3.5774692338401998E-2</v>
      </c>
      <c r="AD811">
        <v>0.88306653140539204</v>
      </c>
      <c r="AE811">
        <v>0.45003524422645602</v>
      </c>
      <c r="AF811">
        <v>1217.6127366609301</v>
      </c>
      <c r="AG811">
        <f>IFERROR(AH811*0.1, "N/A")</f>
        <v>5.4034423407917407</v>
      </c>
      <c r="AH811">
        <v>54.034423407917402</v>
      </c>
      <c r="AI811">
        <v>218.09075234391801</v>
      </c>
      <c r="AJ811">
        <v>26.523235800344199</v>
      </c>
      <c r="AK811">
        <v>52.931153184165197</v>
      </c>
    </row>
    <row r="812" spans="1:37" x14ac:dyDescent="0.3">
      <c r="A812">
        <v>811</v>
      </c>
      <c r="B812">
        <v>26.799999</v>
      </c>
      <c r="C812">
        <v>31.922599999999999</v>
      </c>
      <c r="D812">
        <v>-9.7942199999999993</v>
      </c>
      <c r="E812" t="s">
        <v>1349</v>
      </c>
      <c r="F812" t="s">
        <v>1350</v>
      </c>
      <c r="G812" t="s">
        <v>39</v>
      </c>
      <c r="H812">
        <v>2007</v>
      </c>
      <c r="I812">
        <v>21.299999237060501</v>
      </c>
      <c r="J812">
        <v>11.6000003814697</v>
      </c>
      <c r="K812">
        <v>59</v>
      </c>
      <c r="L812">
        <v>16.840000152587901</v>
      </c>
      <c r="M812">
        <v>31.100000381469702</v>
      </c>
      <c r="N812">
        <v>11.699999809265099</v>
      </c>
      <c r="O812">
        <v>19.399999618530298</v>
      </c>
      <c r="P812">
        <v>21.799999237060501</v>
      </c>
      <c r="Q812">
        <v>18.899999618530298</v>
      </c>
      <c r="R812">
        <v>23.299999237060501</v>
      </c>
      <c r="S812">
        <v>18.899999618530298</v>
      </c>
      <c r="T812">
        <v>1104</v>
      </c>
      <c r="U812">
        <v>236</v>
      </c>
      <c r="V812">
        <v>0</v>
      </c>
      <c r="W812">
        <v>106</v>
      </c>
      <c r="X812">
        <v>678</v>
      </c>
      <c r="Y812">
        <v>2</v>
      </c>
      <c r="Z812">
        <v>116</v>
      </c>
      <c r="AA812">
        <v>2</v>
      </c>
      <c r="AB812">
        <v>4.6544010864888099</v>
      </c>
      <c r="AC812">
        <v>0.26302733127085498</v>
      </c>
      <c r="AD812">
        <v>0.72397733550268695</v>
      </c>
      <c r="AE812">
        <v>0.25814184546470598</v>
      </c>
      <c r="AF812">
        <v>1225.1583476764199</v>
      </c>
      <c r="AG812">
        <f>IFERROR(AH812*0.1, "N/A")</f>
        <v>5.8948364888123903</v>
      </c>
      <c r="AH812">
        <v>58.948364888123898</v>
      </c>
      <c r="AI812">
        <v>214.93275178525201</v>
      </c>
      <c r="AJ812">
        <v>25.043029259896699</v>
      </c>
      <c r="AK812">
        <v>57.920826161790004</v>
      </c>
    </row>
    <row r="813" spans="1:37" x14ac:dyDescent="0.3">
      <c r="A813">
        <v>812</v>
      </c>
      <c r="B813">
        <v>0</v>
      </c>
      <c r="C813">
        <v>31.922599999999999</v>
      </c>
      <c r="D813">
        <v>-9.7942199999999993</v>
      </c>
      <c r="E813" t="s">
        <v>1349</v>
      </c>
      <c r="F813" t="s">
        <v>1351</v>
      </c>
      <c r="G813" t="s">
        <v>37</v>
      </c>
      <c r="H813">
        <v>2007</v>
      </c>
      <c r="I813">
        <v>21.299999237060501</v>
      </c>
      <c r="J813">
        <v>11.6000003814697</v>
      </c>
      <c r="K813">
        <v>59</v>
      </c>
      <c r="L813">
        <v>16.840000152587901</v>
      </c>
      <c r="M813">
        <v>31.100000381469702</v>
      </c>
      <c r="N813">
        <v>11.699999809265099</v>
      </c>
      <c r="O813">
        <v>19.399999618530298</v>
      </c>
      <c r="P813">
        <v>21.799999237060501</v>
      </c>
      <c r="Q813">
        <v>18.899999618530298</v>
      </c>
      <c r="R813">
        <v>23.299999237060501</v>
      </c>
      <c r="S813">
        <v>18.899999618530298</v>
      </c>
      <c r="T813">
        <v>1104</v>
      </c>
      <c r="U813">
        <v>236</v>
      </c>
      <c r="V813">
        <v>0</v>
      </c>
      <c r="W813">
        <v>106</v>
      </c>
      <c r="X813">
        <v>678</v>
      </c>
      <c r="Y813">
        <v>2</v>
      </c>
      <c r="Z813">
        <v>116</v>
      </c>
      <c r="AA813">
        <v>2</v>
      </c>
      <c r="AB813">
        <v>4.6544010864888099</v>
      </c>
      <c r="AC813">
        <v>0.26302733127085498</v>
      </c>
      <c r="AD813">
        <v>0.72397733550268695</v>
      </c>
      <c r="AE813">
        <v>0.25814184546470598</v>
      </c>
      <c r="AF813">
        <v>1225.1583476764199</v>
      </c>
      <c r="AG813">
        <f>IFERROR(AH813*0.1, "N/A")</f>
        <v>5.8948364888123903</v>
      </c>
      <c r="AH813">
        <v>58.948364888123898</v>
      </c>
      <c r="AI813">
        <v>214.93275178525201</v>
      </c>
      <c r="AJ813">
        <v>25.043029259896699</v>
      </c>
      <c r="AK813">
        <v>57.920826161790004</v>
      </c>
    </row>
    <row r="814" spans="1:37" x14ac:dyDescent="0.3">
      <c r="A814">
        <v>813</v>
      </c>
      <c r="B814">
        <v>11.8</v>
      </c>
      <c r="C814">
        <v>29.079699999999999</v>
      </c>
      <c r="D814">
        <v>-9.78796</v>
      </c>
      <c r="E814" t="s">
        <v>1352</v>
      </c>
      <c r="F814" t="s">
        <v>1353</v>
      </c>
      <c r="G814" t="s">
        <v>39</v>
      </c>
      <c r="H814">
        <v>0</v>
      </c>
      <c r="I814">
        <v>20.899999618530298</v>
      </c>
      <c r="J814">
        <v>11.8999996185303</v>
      </c>
      <c r="K814">
        <v>61</v>
      </c>
      <c r="L814">
        <v>13.8699998855591</v>
      </c>
      <c r="M814">
        <v>30</v>
      </c>
      <c r="N814">
        <v>10.800000190734901</v>
      </c>
      <c r="O814">
        <v>19.200000762939499</v>
      </c>
      <c r="P814">
        <v>21.200000762939499</v>
      </c>
      <c r="Q814">
        <v>19</v>
      </c>
      <c r="R814">
        <v>22.5</v>
      </c>
      <c r="S814">
        <v>18.899999618530298</v>
      </c>
      <c r="T814">
        <v>1335</v>
      </c>
      <c r="U814">
        <v>254</v>
      </c>
      <c r="V814">
        <v>0</v>
      </c>
      <c r="W814">
        <v>89</v>
      </c>
      <c r="X814">
        <v>656</v>
      </c>
      <c r="Y814">
        <v>2</v>
      </c>
      <c r="Z814">
        <v>284</v>
      </c>
      <c r="AA814">
        <v>18</v>
      </c>
      <c r="AB814">
        <v>22.253418388235598</v>
      </c>
      <c r="AC814">
        <v>4.7037270905839999E-2</v>
      </c>
      <c r="AD814">
        <v>1.8592841639551501</v>
      </c>
      <c r="AE814">
        <v>0.36694717407226601</v>
      </c>
      <c r="AF814">
        <v>1340.09278350515</v>
      </c>
      <c r="AG814">
        <f>IFERROR(AH814*0.1, "N/A")</f>
        <v>5.5836769759450204</v>
      </c>
      <c r="AH814">
        <v>55.836769759450199</v>
      </c>
      <c r="AI814">
        <v>244.15957814639401</v>
      </c>
      <c r="AJ814">
        <v>27.823024054982799</v>
      </c>
      <c r="AK814">
        <v>56.176975945017197</v>
      </c>
    </row>
    <row r="815" spans="1:37" x14ac:dyDescent="0.3">
      <c r="A815">
        <v>814</v>
      </c>
      <c r="B815">
        <v>23.6</v>
      </c>
      <c r="C815">
        <v>29.079699999999999</v>
      </c>
      <c r="D815">
        <v>-9.78796</v>
      </c>
      <c r="E815" t="s">
        <v>1352</v>
      </c>
      <c r="F815" t="s">
        <v>1354</v>
      </c>
      <c r="G815" t="s">
        <v>37</v>
      </c>
      <c r="H815">
        <v>0</v>
      </c>
      <c r="I815">
        <v>20.899999618530298</v>
      </c>
      <c r="J815">
        <v>11.8999996185303</v>
      </c>
      <c r="K815">
        <v>61</v>
      </c>
      <c r="L815">
        <v>13.8699998855591</v>
      </c>
      <c r="M815">
        <v>30</v>
      </c>
      <c r="N815">
        <v>10.800000190734901</v>
      </c>
      <c r="O815">
        <v>19.200000762939499</v>
      </c>
      <c r="P815">
        <v>21.200000762939499</v>
      </c>
      <c r="Q815">
        <v>19</v>
      </c>
      <c r="R815">
        <v>22.5</v>
      </c>
      <c r="S815">
        <v>18.899999618530298</v>
      </c>
      <c r="T815">
        <v>1335</v>
      </c>
      <c r="U815">
        <v>254</v>
      </c>
      <c r="V815">
        <v>0</v>
      </c>
      <c r="W815">
        <v>89</v>
      </c>
      <c r="X815">
        <v>656</v>
      </c>
      <c r="Y815">
        <v>2</v>
      </c>
      <c r="Z815">
        <v>284</v>
      </c>
      <c r="AA815">
        <v>18</v>
      </c>
      <c r="AB815">
        <v>22.253418388235598</v>
      </c>
      <c r="AC815">
        <v>4.7037270905839999E-2</v>
      </c>
      <c r="AD815">
        <v>1.8592841639551501</v>
      </c>
      <c r="AE815">
        <v>0.36694717407226601</v>
      </c>
      <c r="AF815">
        <v>1340.09278350515</v>
      </c>
      <c r="AG815">
        <f>IFERROR(AH815*0.1, "N/A")</f>
        <v>5.5836769759450204</v>
      </c>
      <c r="AH815">
        <v>55.836769759450199</v>
      </c>
      <c r="AI815">
        <v>244.15957814639401</v>
      </c>
      <c r="AJ815">
        <v>27.823024054982799</v>
      </c>
      <c r="AK815">
        <v>56.176975945017197</v>
      </c>
    </row>
    <row r="816" spans="1:37" x14ac:dyDescent="0.3">
      <c r="A816">
        <v>815</v>
      </c>
      <c r="B816">
        <v>45.700001</v>
      </c>
      <c r="C816">
        <v>32.890701</v>
      </c>
      <c r="D816">
        <v>-9.7748500000000007</v>
      </c>
      <c r="E816" t="s">
        <v>1355</v>
      </c>
      <c r="F816" t="s">
        <v>1356</v>
      </c>
      <c r="G816" t="s">
        <v>39</v>
      </c>
      <c r="H816">
        <v>1993</v>
      </c>
      <c r="I816">
        <v>21.299999237060501</v>
      </c>
      <c r="J816">
        <v>10</v>
      </c>
      <c r="K816">
        <v>57.718480138169298</v>
      </c>
      <c r="L816">
        <v>17.733489229271399</v>
      </c>
      <c r="M816">
        <v>30.4281517121047</v>
      </c>
      <c r="N816">
        <v>13.199999809265099</v>
      </c>
      <c r="O816">
        <v>17.228152319557299</v>
      </c>
      <c r="P816">
        <v>21.700000762939499</v>
      </c>
      <c r="Q816">
        <v>18.799999237060501</v>
      </c>
      <c r="R816">
        <v>23.4281517121047</v>
      </c>
      <c r="S816">
        <v>18.799999237060501</v>
      </c>
      <c r="T816">
        <v>1042</v>
      </c>
      <c r="U816">
        <v>213</v>
      </c>
      <c r="V816">
        <v>1</v>
      </c>
      <c r="W816">
        <v>103</v>
      </c>
      <c r="X816">
        <v>628.71848013816896</v>
      </c>
      <c r="Y816">
        <v>5</v>
      </c>
      <c r="Z816">
        <v>304</v>
      </c>
      <c r="AA816">
        <v>5</v>
      </c>
      <c r="AB816">
        <v>21.599330869157502</v>
      </c>
      <c r="AC816">
        <v>3.9016491661109001E-2</v>
      </c>
      <c r="AD816">
        <v>1.8521795178118601</v>
      </c>
      <c r="AE816">
        <v>0.23706043484606301</v>
      </c>
      <c r="AF816">
        <v>1348.5371329879099</v>
      </c>
      <c r="AG816">
        <f>IFERROR(AH816*0.1, "N/A")</f>
        <v>5.8233160621761701</v>
      </c>
      <c r="AH816">
        <v>58.233160621761698</v>
      </c>
      <c r="AI816">
        <v>282.60362424834</v>
      </c>
      <c r="AJ816">
        <v>21.0466321243523</v>
      </c>
      <c r="AK816">
        <v>68.860103626943001</v>
      </c>
    </row>
    <row r="817" spans="1:37" x14ac:dyDescent="0.3">
      <c r="A817">
        <v>816</v>
      </c>
      <c r="B817">
        <v>42</v>
      </c>
      <c r="C817">
        <v>31.401399999999999</v>
      </c>
      <c r="D817">
        <v>-9.7686299999999999</v>
      </c>
      <c r="E817" t="s">
        <v>1357</v>
      </c>
      <c r="F817" t="s">
        <v>1358</v>
      </c>
      <c r="G817" t="s">
        <v>39</v>
      </c>
      <c r="H817">
        <v>2007</v>
      </c>
      <c r="I817">
        <v>20.100000381469702</v>
      </c>
      <c r="J817">
        <v>12.300000190734901</v>
      </c>
      <c r="K817">
        <v>59</v>
      </c>
      <c r="L817">
        <v>18.129999160766602</v>
      </c>
      <c r="M817">
        <v>30</v>
      </c>
      <c r="N817">
        <v>9.3000001907348597</v>
      </c>
      <c r="O817">
        <v>20.700000762939499</v>
      </c>
      <c r="P817">
        <v>20.799999237060501</v>
      </c>
      <c r="Q817">
        <v>17.399999618530298</v>
      </c>
      <c r="R817">
        <v>22</v>
      </c>
      <c r="S817">
        <v>17.399999618530298</v>
      </c>
      <c r="T817">
        <v>1205</v>
      </c>
      <c r="U817">
        <v>253</v>
      </c>
      <c r="V817">
        <v>0</v>
      </c>
      <c r="W817">
        <v>104</v>
      </c>
      <c r="X817">
        <v>713</v>
      </c>
      <c r="Y817">
        <v>1</v>
      </c>
      <c r="Z817">
        <v>148</v>
      </c>
      <c r="AA817">
        <v>1</v>
      </c>
      <c r="AB817">
        <v>22.6304152155497</v>
      </c>
      <c r="AC817">
        <v>2.1624330844788001E-2</v>
      </c>
      <c r="AD817">
        <v>1.27146166511739</v>
      </c>
      <c r="AE817">
        <v>0.248553976416588</v>
      </c>
      <c r="AF817">
        <v>1365.7900172116999</v>
      </c>
      <c r="AG817">
        <f>IFERROR(AH817*0.1, "N/A")</f>
        <v>5.6924268502581805</v>
      </c>
      <c r="AH817">
        <v>56.924268502581803</v>
      </c>
      <c r="AI817">
        <v>152.88940815753301</v>
      </c>
      <c r="AJ817">
        <v>20.1514629948365</v>
      </c>
      <c r="AK817">
        <v>68.697074010327</v>
      </c>
    </row>
    <row r="818" spans="1:37" x14ac:dyDescent="0.3">
      <c r="A818">
        <v>817</v>
      </c>
      <c r="B818">
        <v>0</v>
      </c>
      <c r="C818">
        <v>31.401399999999999</v>
      </c>
      <c r="D818">
        <v>-9.7686299999999999</v>
      </c>
      <c r="E818" t="s">
        <v>1357</v>
      </c>
      <c r="F818" t="s">
        <v>1359</v>
      </c>
      <c r="G818" t="s">
        <v>37</v>
      </c>
      <c r="H818">
        <v>2007</v>
      </c>
      <c r="I818">
        <v>20.100000381469702</v>
      </c>
      <c r="J818">
        <v>12.300000190734901</v>
      </c>
      <c r="K818">
        <v>59</v>
      </c>
      <c r="L818">
        <v>18.129999160766602</v>
      </c>
      <c r="M818">
        <v>30</v>
      </c>
      <c r="N818">
        <v>9.3000001907348597</v>
      </c>
      <c r="O818">
        <v>20.700000762939499</v>
      </c>
      <c r="P818">
        <v>20.799999237060501</v>
      </c>
      <c r="Q818">
        <v>17.399999618530298</v>
      </c>
      <c r="R818">
        <v>22</v>
      </c>
      <c r="S818">
        <v>17.399999618530298</v>
      </c>
      <c r="T818">
        <v>1205</v>
      </c>
      <c r="U818">
        <v>253</v>
      </c>
      <c r="V818">
        <v>0</v>
      </c>
      <c r="W818">
        <v>104</v>
      </c>
      <c r="X818">
        <v>713</v>
      </c>
      <c r="Y818">
        <v>1</v>
      </c>
      <c r="Z818">
        <v>148</v>
      </c>
      <c r="AA818">
        <v>1</v>
      </c>
      <c r="AB818">
        <v>22.6304152155497</v>
      </c>
      <c r="AC818">
        <v>2.1624330844788001E-2</v>
      </c>
      <c r="AD818">
        <v>1.27146166511739</v>
      </c>
      <c r="AE818">
        <v>0.248553976416588</v>
      </c>
      <c r="AF818">
        <v>1365.7900172116999</v>
      </c>
      <c r="AG818">
        <f>IFERROR(AH818*0.1, "N/A")</f>
        <v>5.6924268502581805</v>
      </c>
      <c r="AH818">
        <v>56.924268502581803</v>
      </c>
      <c r="AI818">
        <v>152.88940815753301</v>
      </c>
      <c r="AJ818">
        <v>20.1514629948365</v>
      </c>
      <c r="AK818">
        <v>68.697074010327</v>
      </c>
    </row>
    <row r="819" spans="1:37" x14ac:dyDescent="0.3">
      <c r="A819">
        <v>818</v>
      </c>
      <c r="B819">
        <v>2.8</v>
      </c>
      <c r="C819">
        <v>29.071100000000001</v>
      </c>
      <c r="D819">
        <v>-9.7529400000000006</v>
      </c>
      <c r="E819" t="s">
        <v>1360</v>
      </c>
      <c r="F819" t="s">
        <v>1361</v>
      </c>
      <c r="G819" t="s">
        <v>39</v>
      </c>
      <c r="H819">
        <v>1946</v>
      </c>
      <c r="I819">
        <v>21</v>
      </c>
      <c r="J819">
        <v>11.8999996185303</v>
      </c>
      <c r="K819">
        <v>62</v>
      </c>
      <c r="L819">
        <v>13.8699998855591</v>
      </c>
      <c r="M819">
        <v>30.100000381469702</v>
      </c>
      <c r="N819">
        <v>11</v>
      </c>
      <c r="O819">
        <v>19.100000381469702</v>
      </c>
      <c r="P819">
        <v>21.299999237060501</v>
      </c>
      <c r="Q819">
        <v>19.200000762939499</v>
      </c>
      <c r="R819">
        <v>22.600000381469702</v>
      </c>
      <c r="S819">
        <v>19.100000381469702</v>
      </c>
      <c r="T819">
        <v>1317</v>
      </c>
      <c r="U819">
        <v>250</v>
      </c>
      <c r="V819">
        <v>0</v>
      </c>
      <c r="W819">
        <v>89</v>
      </c>
      <c r="X819">
        <v>645</v>
      </c>
      <c r="Y819">
        <v>1</v>
      </c>
      <c r="Z819">
        <v>281</v>
      </c>
      <c r="AA819">
        <v>17</v>
      </c>
      <c r="AB819">
        <v>17.734252509479902</v>
      </c>
      <c r="AC819">
        <v>0.23403676983334501</v>
      </c>
      <c r="AD819">
        <v>2.8232328399323401</v>
      </c>
      <c r="AE819">
        <v>0.16984035074710799</v>
      </c>
      <c r="AF819">
        <v>1310.8623063683301</v>
      </c>
      <c r="AG819">
        <f>IFERROR(AH819*0.1, "N/A")</f>
        <v>5.3449225473321906</v>
      </c>
      <c r="AH819">
        <v>53.449225473321903</v>
      </c>
      <c r="AI819">
        <v>260.16176073399299</v>
      </c>
      <c r="AJ819">
        <v>30.6936316695353</v>
      </c>
      <c r="AK819">
        <v>57.3063683304647</v>
      </c>
    </row>
    <row r="820" spans="1:37" x14ac:dyDescent="0.3">
      <c r="A820">
        <v>819</v>
      </c>
      <c r="B820">
        <v>2.8</v>
      </c>
      <c r="C820">
        <v>29.071100000000001</v>
      </c>
      <c r="D820">
        <v>-9.7529400000000006</v>
      </c>
      <c r="E820" t="s">
        <v>1360</v>
      </c>
      <c r="F820" t="s">
        <v>1362</v>
      </c>
      <c r="G820" t="s">
        <v>37</v>
      </c>
      <c r="H820">
        <v>1946</v>
      </c>
      <c r="I820">
        <v>21</v>
      </c>
      <c r="J820">
        <v>11.8999996185303</v>
      </c>
      <c r="K820">
        <v>62</v>
      </c>
      <c r="L820">
        <v>13.8699998855591</v>
      </c>
      <c r="M820">
        <v>30.100000381469702</v>
      </c>
      <c r="N820">
        <v>11</v>
      </c>
      <c r="O820">
        <v>19.100000381469702</v>
      </c>
      <c r="P820">
        <v>21.299999237060501</v>
      </c>
      <c r="Q820">
        <v>19.200000762939499</v>
      </c>
      <c r="R820">
        <v>22.600000381469702</v>
      </c>
      <c r="S820">
        <v>19.100000381469702</v>
      </c>
      <c r="T820">
        <v>1317</v>
      </c>
      <c r="U820">
        <v>250</v>
      </c>
      <c r="V820">
        <v>0</v>
      </c>
      <c r="W820">
        <v>89</v>
      </c>
      <c r="X820">
        <v>645</v>
      </c>
      <c r="Y820">
        <v>1</v>
      </c>
      <c r="Z820">
        <v>281</v>
      </c>
      <c r="AA820">
        <v>17</v>
      </c>
      <c r="AB820">
        <v>17.734252509479902</v>
      </c>
      <c r="AC820">
        <v>0.23403676983334501</v>
      </c>
      <c r="AD820">
        <v>2.8232328399323401</v>
      </c>
      <c r="AE820">
        <v>0.16984035074710799</v>
      </c>
      <c r="AF820">
        <v>1310.8623063683301</v>
      </c>
      <c r="AG820">
        <f>IFERROR(AH820*0.1, "N/A")</f>
        <v>5.3449225473321906</v>
      </c>
      <c r="AH820">
        <v>53.449225473321903</v>
      </c>
      <c r="AI820">
        <v>260.16176073399299</v>
      </c>
      <c r="AJ820">
        <v>30.6936316695353</v>
      </c>
      <c r="AK820">
        <v>57.3063683304647</v>
      </c>
    </row>
    <row r="821" spans="1:37" x14ac:dyDescent="0.3">
      <c r="A821">
        <v>820</v>
      </c>
      <c r="B821">
        <v>51.400002000000001</v>
      </c>
      <c r="C821">
        <v>32.958098999999997</v>
      </c>
      <c r="D821">
        <v>-9.7109699999999997</v>
      </c>
      <c r="E821" t="s">
        <v>1363</v>
      </c>
      <c r="F821" t="s">
        <v>1364</v>
      </c>
      <c r="G821" t="s">
        <v>39</v>
      </c>
      <c r="H821">
        <v>1993</v>
      </c>
      <c r="I821">
        <v>21.1656310290664</v>
      </c>
      <c r="J821">
        <v>10.1000003814697</v>
      </c>
      <c r="K821">
        <v>59</v>
      </c>
      <c r="L821">
        <v>16.8912435376788</v>
      </c>
      <c r="M821">
        <v>30.1656310290664</v>
      </c>
      <c r="N821">
        <v>13.0656306475967</v>
      </c>
      <c r="O821">
        <v>17.100000381469702</v>
      </c>
      <c r="P821">
        <v>21.565630647596699</v>
      </c>
      <c r="Q821">
        <v>18.7656301587357</v>
      </c>
      <c r="R821">
        <v>23.1656310290664</v>
      </c>
      <c r="S821">
        <v>18.7656301587357</v>
      </c>
      <c r="T821">
        <v>1060.68739205527</v>
      </c>
      <c r="U821">
        <v>214</v>
      </c>
      <c r="V821">
        <v>1</v>
      </c>
      <c r="W821">
        <v>101.343696027634</v>
      </c>
      <c r="X821">
        <v>632.343696027634</v>
      </c>
      <c r="Y821">
        <v>6</v>
      </c>
      <c r="Z821">
        <v>307.343696027634</v>
      </c>
      <c r="AA821">
        <v>6</v>
      </c>
      <c r="AB821">
        <v>11.7639314061825</v>
      </c>
      <c r="AC821">
        <v>3.0698067675922001E-2</v>
      </c>
      <c r="AD821">
        <v>1.56473685463887</v>
      </c>
      <c r="AE821">
        <v>0.261810021388098</v>
      </c>
      <c r="AF821">
        <v>1363.48013816926</v>
      </c>
      <c r="AG821">
        <f>IFERROR(AH821*0.1, "N/A")</f>
        <v>5.9872193436960304</v>
      </c>
      <c r="AH821">
        <v>59.872193436960302</v>
      </c>
      <c r="AI821">
        <v>219.63975520290401</v>
      </c>
      <c r="AJ821">
        <v>21.082901554404099</v>
      </c>
      <c r="AK821">
        <v>68.837651122625203</v>
      </c>
    </row>
    <row r="822" spans="1:37" x14ac:dyDescent="0.3">
      <c r="A822">
        <v>821</v>
      </c>
      <c r="B822">
        <v>1.8</v>
      </c>
      <c r="C822">
        <v>30.627199000000001</v>
      </c>
      <c r="D822">
        <v>-9.6949299999999994</v>
      </c>
      <c r="E822" t="s">
        <v>1365</v>
      </c>
      <c r="F822" t="s">
        <v>1366</v>
      </c>
      <c r="G822" t="s">
        <v>39</v>
      </c>
      <c r="H822">
        <v>2007</v>
      </c>
      <c r="I822">
        <v>19.600000381469702</v>
      </c>
      <c r="J822">
        <v>12.1000003814697</v>
      </c>
      <c r="K822">
        <v>62</v>
      </c>
      <c r="L822">
        <v>15.4899997711182</v>
      </c>
      <c r="M822">
        <v>28.899999618530298</v>
      </c>
      <c r="N822">
        <v>9.3999996185302699</v>
      </c>
      <c r="O822">
        <v>19.5</v>
      </c>
      <c r="P822">
        <v>20.100000381469702</v>
      </c>
      <c r="Q822">
        <v>17.399999618530298</v>
      </c>
      <c r="R822">
        <v>21.299999237060501</v>
      </c>
      <c r="S822">
        <v>17.299999237060501</v>
      </c>
      <c r="T822">
        <v>1361</v>
      </c>
      <c r="U822">
        <v>280</v>
      </c>
      <c r="V822">
        <v>0</v>
      </c>
      <c r="W822">
        <v>100</v>
      </c>
      <c r="X822">
        <v>777</v>
      </c>
      <c r="Y822">
        <v>3</v>
      </c>
      <c r="Z822">
        <v>199</v>
      </c>
      <c r="AA822">
        <v>16</v>
      </c>
      <c r="AB822">
        <v>22.0435658193005</v>
      </c>
      <c r="AC822">
        <v>5.2650338183567E-2</v>
      </c>
      <c r="AD822">
        <v>2.4971515205857702</v>
      </c>
      <c r="AE822">
        <v>0.26375317573547402</v>
      </c>
      <c r="AF822">
        <v>1557.74611398964</v>
      </c>
      <c r="AG822">
        <f>IFERROR(AH822*0.1, "N/A")</f>
        <v>5.5625215889464599</v>
      </c>
      <c r="AH822">
        <v>55.625215889464599</v>
      </c>
      <c r="AI822">
        <v>309.99186002899302</v>
      </c>
      <c r="AJ822">
        <v>27.461139896373101</v>
      </c>
      <c r="AK822">
        <v>59.012089810017301</v>
      </c>
    </row>
    <row r="823" spans="1:37" x14ac:dyDescent="0.3">
      <c r="A823">
        <v>822</v>
      </c>
      <c r="B823">
        <v>0</v>
      </c>
      <c r="C823">
        <v>30.627199000000001</v>
      </c>
      <c r="D823">
        <v>-9.6949299999999994</v>
      </c>
      <c r="E823" t="s">
        <v>1365</v>
      </c>
      <c r="F823" t="s">
        <v>1367</v>
      </c>
      <c r="G823" t="s">
        <v>37</v>
      </c>
      <c r="H823">
        <v>2007</v>
      </c>
      <c r="I823">
        <v>19.600000381469702</v>
      </c>
      <c r="J823">
        <v>12.1000003814697</v>
      </c>
      <c r="K823">
        <v>62</v>
      </c>
      <c r="L823">
        <v>15.4899997711182</v>
      </c>
      <c r="M823">
        <v>28.899999618530298</v>
      </c>
      <c r="N823">
        <v>9.3999996185302699</v>
      </c>
      <c r="O823">
        <v>19.5</v>
      </c>
      <c r="P823">
        <v>20.100000381469702</v>
      </c>
      <c r="Q823">
        <v>17.399999618530298</v>
      </c>
      <c r="R823">
        <v>21.299999237060501</v>
      </c>
      <c r="S823">
        <v>17.299999237060501</v>
      </c>
      <c r="T823">
        <v>1361</v>
      </c>
      <c r="U823">
        <v>280</v>
      </c>
      <c r="V823">
        <v>0</v>
      </c>
      <c r="W823">
        <v>100</v>
      </c>
      <c r="X823">
        <v>777</v>
      </c>
      <c r="Y823">
        <v>3</v>
      </c>
      <c r="Z823">
        <v>199</v>
      </c>
      <c r="AA823">
        <v>16</v>
      </c>
      <c r="AB823">
        <v>22.0435658193005</v>
      </c>
      <c r="AC823">
        <v>5.2650338183567E-2</v>
      </c>
      <c r="AD823">
        <v>2.4971515205857702</v>
      </c>
      <c r="AE823">
        <v>0.26375317573547402</v>
      </c>
      <c r="AF823">
        <v>1557.74611398964</v>
      </c>
      <c r="AG823">
        <f>IFERROR(AH823*0.1, "N/A")</f>
        <v>5.5625215889464599</v>
      </c>
      <c r="AH823">
        <v>55.625215889464599</v>
      </c>
      <c r="AI823">
        <v>309.99186002899302</v>
      </c>
      <c r="AJ823">
        <v>27.461139896373101</v>
      </c>
      <c r="AK823">
        <v>59.012089810017301</v>
      </c>
    </row>
    <row r="824" spans="1:37" x14ac:dyDescent="0.3">
      <c r="A824">
        <v>823</v>
      </c>
      <c r="B824">
        <v>13.9</v>
      </c>
      <c r="C824">
        <v>31.873199</v>
      </c>
      <c r="D824">
        <v>-9.6708700000000007</v>
      </c>
      <c r="E824" t="s">
        <v>1368</v>
      </c>
      <c r="F824" t="s">
        <v>1369</v>
      </c>
      <c r="G824" t="s">
        <v>39</v>
      </c>
      <c r="H824">
        <v>0</v>
      </c>
      <c r="I824">
        <v>21.100000381469702</v>
      </c>
      <c r="J824">
        <v>11.6000003814697</v>
      </c>
      <c r="K824">
        <v>61</v>
      </c>
      <c r="L824">
        <v>15.699999809265099</v>
      </c>
      <c r="M824">
        <v>30.700000762939499</v>
      </c>
      <c r="N824">
        <v>11.699999809265099</v>
      </c>
      <c r="O824">
        <v>19</v>
      </c>
      <c r="P824">
        <v>21.5</v>
      </c>
      <c r="Q824">
        <v>18.899999618530298</v>
      </c>
      <c r="R824">
        <v>22.899999618530298</v>
      </c>
      <c r="S824">
        <v>18.899999618530298</v>
      </c>
      <c r="T824">
        <v>1084</v>
      </c>
      <c r="U824">
        <v>231</v>
      </c>
      <c r="V824">
        <v>0</v>
      </c>
      <c r="W824">
        <v>106</v>
      </c>
      <c r="X824">
        <v>660</v>
      </c>
      <c r="Y824">
        <v>2</v>
      </c>
      <c r="Z824">
        <v>115</v>
      </c>
      <c r="AA824">
        <v>10</v>
      </c>
      <c r="AB824">
        <v>8.1712019295527991</v>
      </c>
      <c r="AC824">
        <v>7.4143283422393999E-2</v>
      </c>
      <c r="AD824">
        <v>1.7894321285445101</v>
      </c>
      <c r="AE824">
        <v>0.266400367021561</v>
      </c>
      <c r="AF824">
        <v>1264.39310344828</v>
      </c>
      <c r="AG824">
        <f>IFERROR(AH824*0.1, "N/A")</f>
        <v>6.0689655172413808</v>
      </c>
      <c r="AH824">
        <v>60.689655172413801</v>
      </c>
      <c r="AI824">
        <v>58.840280223714899</v>
      </c>
      <c r="AJ824">
        <v>26.467241379310298</v>
      </c>
      <c r="AK824">
        <v>57.306896551724101</v>
      </c>
    </row>
    <row r="825" spans="1:37" x14ac:dyDescent="0.3">
      <c r="A825">
        <v>824</v>
      </c>
      <c r="B825">
        <v>81.599997999999999</v>
      </c>
      <c r="C825">
        <v>32.625999</v>
      </c>
      <c r="D825">
        <v>-9.5713899999999992</v>
      </c>
      <c r="E825" t="s">
        <v>1370</v>
      </c>
      <c r="F825" t="s">
        <v>1371</v>
      </c>
      <c r="G825" t="s">
        <v>39</v>
      </c>
      <c r="H825">
        <v>1993</v>
      </c>
      <c r="I825">
        <v>21.899999618530298</v>
      </c>
      <c r="J825">
        <v>10.3999996185303</v>
      </c>
      <c r="K825">
        <v>61</v>
      </c>
      <c r="L825">
        <v>14.1499996185303</v>
      </c>
      <c r="M825">
        <v>30.899999618530298</v>
      </c>
      <c r="N825">
        <v>14.1000003814697</v>
      </c>
      <c r="O825">
        <v>16.799999237060501</v>
      </c>
      <c r="P825">
        <v>22.200000762939499</v>
      </c>
      <c r="Q825">
        <v>20.799999237060501</v>
      </c>
      <c r="R825">
        <v>23.600000381469702</v>
      </c>
      <c r="S825">
        <v>20</v>
      </c>
      <c r="T825">
        <v>1016</v>
      </c>
      <c r="U825">
        <v>211</v>
      </c>
      <c r="V825">
        <v>0</v>
      </c>
      <c r="W825">
        <v>102</v>
      </c>
      <c r="X825">
        <v>607</v>
      </c>
      <c r="Y825">
        <v>3</v>
      </c>
      <c r="Z825">
        <v>105</v>
      </c>
      <c r="AA825">
        <v>4</v>
      </c>
      <c r="AB825">
        <v>12.828479404482399</v>
      </c>
      <c r="AC825">
        <v>0.11822678979376799</v>
      </c>
      <c r="AD825">
        <v>2.5066568522049799</v>
      </c>
      <c r="AE825">
        <v>0.42144167423248302</v>
      </c>
      <c r="AF825">
        <v>1304.2314335060501</v>
      </c>
      <c r="AG825">
        <f>IFERROR(AH825*0.1, "N/A")</f>
        <v>6.2704663212435205</v>
      </c>
      <c r="AH825">
        <v>62.7046632124352</v>
      </c>
      <c r="AI825">
        <v>68.2111931291887</v>
      </c>
      <c r="AJ825">
        <v>22</v>
      </c>
      <c r="AK825">
        <v>66</v>
      </c>
    </row>
    <row r="826" spans="1:37" x14ac:dyDescent="0.3">
      <c r="A826">
        <v>825</v>
      </c>
      <c r="B826">
        <v>72</v>
      </c>
      <c r="C826">
        <v>28.732099999999999</v>
      </c>
      <c r="D826">
        <v>-9.5342099999999999</v>
      </c>
      <c r="E826" t="s">
        <v>1372</v>
      </c>
      <c r="F826" t="s">
        <v>1373</v>
      </c>
      <c r="G826" t="s">
        <v>39</v>
      </c>
      <c r="H826">
        <v>2007</v>
      </c>
      <c r="I826">
        <v>23</v>
      </c>
      <c r="J826">
        <v>12.3999996185303</v>
      </c>
      <c r="K826">
        <v>61</v>
      </c>
      <c r="L826">
        <v>15.6400003433228</v>
      </c>
      <c r="M826">
        <v>32.200000762939503</v>
      </c>
      <c r="N826">
        <v>12.1000003814697</v>
      </c>
      <c r="O826">
        <v>20.100000381469702</v>
      </c>
      <c r="P826">
        <v>23.399999618530298</v>
      </c>
      <c r="Q826">
        <v>20.700000762939499</v>
      </c>
      <c r="R826">
        <v>24.700000762939499</v>
      </c>
      <c r="S826">
        <v>20.700000762939499</v>
      </c>
      <c r="T826">
        <v>1086</v>
      </c>
      <c r="U826">
        <v>199</v>
      </c>
      <c r="V826">
        <v>0</v>
      </c>
      <c r="W826">
        <v>88</v>
      </c>
      <c r="X826">
        <v>541</v>
      </c>
      <c r="Y826">
        <v>0</v>
      </c>
      <c r="Z826">
        <v>221</v>
      </c>
      <c r="AA826">
        <v>0</v>
      </c>
      <c r="AB826">
        <v>10.873942373536</v>
      </c>
      <c r="AC826">
        <v>5.1131682644159002E-2</v>
      </c>
      <c r="AD826">
        <v>1.02791966922543</v>
      </c>
      <c r="AE826">
        <v>0.41732674837112399</v>
      </c>
      <c r="AF826">
        <v>942.61139896373095</v>
      </c>
      <c r="AG826">
        <f>IFERROR(AH826*0.1, "N/A")</f>
        <v>5.7</v>
      </c>
      <c r="AH826">
        <v>57</v>
      </c>
      <c r="AI826">
        <v>71.206729019244094</v>
      </c>
      <c r="AJ826">
        <v>23.414507772020698</v>
      </c>
      <c r="AK826">
        <v>62.585492227979302</v>
      </c>
    </row>
    <row r="827" spans="1:37" x14ac:dyDescent="0.3">
      <c r="A827">
        <v>826</v>
      </c>
      <c r="B827">
        <v>10</v>
      </c>
      <c r="C827">
        <v>28.732099999999999</v>
      </c>
      <c r="D827">
        <v>-9.5342099999999999</v>
      </c>
      <c r="E827" t="s">
        <v>1372</v>
      </c>
      <c r="F827" t="s">
        <v>1374</v>
      </c>
      <c r="G827" t="s">
        <v>37</v>
      </c>
      <c r="H827">
        <v>2007</v>
      </c>
      <c r="I827">
        <v>23</v>
      </c>
      <c r="J827">
        <v>12.3999996185303</v>
      </c>
      <c r="K827">
        <v>61</v>
      </c>
      <c r="L827">
        <v>15.6400003433228</v>
      </c>
      <c r="M827">
        <v>32.200000762939503</v>
      </c>
      <c r="N827">
        <v>12.1000003814697</v>
      </c>
      <c r="O827">
        <v>20.100000381469702</v>
      </c>
      <c r="P827">
        <v>23.399999618530298</v>
      </c>
      <c r="Q827">
        <v>20.700000762939499</v>
      </c>
      <c r="R827">
        <v>24.700000762939499</v>
      </c>
      <c r="S827">
        <v>20.700000762939499</v>
      </c>
      <c r="T827">
        <v>1086</v>
      </c>
      <c r="U827">
        <v>199</v>
      </c>
      <c r="V827">
        <v>0</v>
      </c>
      <c r="W827">
        <v>88</v>
      </c>
      <c r="X827">
        <v>541</v>
      </c>
      <c r="Y827">
        <v>0</v>
      </c>
      <c r="Z827">
        <v>221</v>
      </c>
      <c r="AA827">
        <v>0</v>
      </c>
      <c r="AB827">
        <v>10.873942373536</v>
      </c>
      <c r="AC827">
        <v>5.1131682644159002E-2</v>
      </c>
      <c r="AD827">
        <v>1.02791966922543</v>
      </c>
      <c r="AE827">
        <v>0.41732674837112399</v>
      </c>
      <c r="AF827">
        <v>942.61139896373095</v>
      </c>
      <c r="AG827">
        <f>IFERROR(AH827*0.1, "N/A")</f>
        <v>5.7</v>
      </c>
      <c r="AH827">
        <v>57</v>
      </c>
      <c r="AI827">
        <v>71.206729019244094</v>
      </c>
      <c r="AJ827">
        <v>23.414507772020698</v>
      </c>
      <c r="AK827">
        <v>62.585492227979302</v>
      </c>
    </row>
    <row r="828" spans="1:37" x14ac:dyDescent="0.3">
      <c r="A828">
        <v>827</v>
      </c>
      <c r="B828">
        <v>50</v>
      </c>
      <c r="C828">
        <v>32.479401000000003</v>
      </c>
      <c r="D828">
        <v>-9.4998000000000005</v>
      </c>
      <c r="E828" t="s">
        <v>1375</v>
      </c>
      <c r="F828" t="s">
        <v>1376</v>
      </c>
      <c r="G828" t="s">
        <v>39</v>
      </c>
      <c r="H828">
        <v>1993</v>
      </c>
      <c r="I828">
        <v>22.200000762939499</v>
      </c>
      <c r="J828">
        <v>10.699999809265099</v>
      </c>
      <c r="K828">
        <v>63</v>
      </c>
      <c r="L828">
        <v>13.4262632845182</v>
      </c>
      <c r="M828">
        <v>31.200000762939499</v>
      </c>
      <c r="N828">
        <v>14.300000190734901</v>
      </c>
      <c r="O828">
        <v>16.899999618530298</v>
      </c>
      <c r="P828">
        <v>22.441868290356702</v>
      </c>
      <c r="Q828">
        <v>21.200000762939499</v>
      </c>
      <c r="R828">
        <v>23.799999237060501</v>
      </c>
      <c r="S828">
        <v>20.399999618530298</v>
      </c>
      <c r="T828">
        <v>1002.58131487889</v>
      </c>
      <c r="U828">
        <v>209</v>
      </c>
      <c r="V828">
        <v>0</v>
      </c>
      <c r="W828">
        <v>103</v>
      </c>
      <c r="X828">
        <v>599</v>
      </c>
      <c r="Y828">
        <v>3</v>
      </c>
      <c r="Z828">
        <v>100.581314878893</v>
      </c>
      <c r="AA828">
        <v>14</v>
      </c>
      <c r="AB828">
        <v>1.06279292651114</v>
      </c>
      <c r="AC828">
        <v>0.51283992619405105</v>
      </c>
      <c r="AD828">
        <v>3.1604266304870801</v>
      </c>
      <c r="AE828">
        <v>0.29214286804199202</v>
      </c>
      <c r="AF828">
        <v>1241.3477508650501</v>
      </c>
      <c r="AG828">
        <f>IFERROR(AH828*0.1, "N/A")</f>
        <v>6</v>
      </c>
      <c r="AH828">
        <v>60</v>
      </c>
      <c r="AI828">
        <v>214.38233262692401</v>
      </c>
      <c r="AJ828">
        <v>26.560553633217999</v>
      </c>
      <c r="AK828">
        <v>57.439446366782001</v>
      </c>
    </row>
    <row r="829" spans="1:37" x14ac:dyDescent="0.3">
      <c r="A829">
        <v>828</v>
      </c>
      <c r="B829">
        <v>2</v>
      </c>
      <c r="C829">
        <v>30.5763</v>
      </c>
      <c r="D829">
        <v>-9.4934899999999995</v>
      </c>
      <c r="E829" t="s">
        <v>1377</v>
      </c>
      <c r="F829" t="s">
        <v>1378</v>
      </c>
      <c r="G829" t="s">
        <v>39</v>
      </c>
      <c r="H829">
        <v>2007</v>
      </c>
      <c r="I829">
        <v>20.399999618530298</v>
      </c>
      <c r="J829">
        <v>12.1000003814697</v>
      </c>
      <c r="K829">
        <v>63</v>
      </c>
      <c r="L829">
        <v>14.579999923706101</v>
      </c>
      <c r="M829">
        <v>29.5</v>
      </c>
      <c r="N829">
        <v>10.300000190734901</v>
      </c>
      <c r="O829">
        <v>19.200000762939499</v>
      </c>
      <c r="P829">
        <v>20.700000762939499</v>
      </c>
      <c r="Q829">
        <v>18.299999237060501</v>
      </c>
      <c r="R829">
        <v>22</v>
      </c>
      <c r="S829">
        <v>18.299999237060501</v>
      </c>
      <c r="T829">
        <v>1315</v>
      </c>
      <c r="U829">
        <v>263</v>
      </c>
      <c r="V829">
        <v>0</v>
      </c>
      <c r="W829">
        <v>98</v>
      </c>
      <c r="X829">
        <v>737</v>
      </c>
      <c r="Y829">
        <v>2</v>
      </c>
      <c r="Z829">
        <v>198</v>
      </c>
      <c r="AA829">
        <v>2</v>
      </c>
      <c r="AB829">
        <v>16.895415520585502</v>
      </c>
      <c r="AC829">
        <v>0.106915382184991</v>
      </c>
      <c r="AD829">
        <v>2.2177917920181902</v>
      </c>
      <c r="AE829">
        <v>0.251275495468126</v>
      </c>
      <c r="AF829">
        <v>1425.6730103806201</v>
      </c>
      <c r="AG829">
        <f>IFERROR(AH829*0.1, "N/A")</f>
        <v>6.0228373702422102</v>
      </c>
      <c r="AH829">
        <v>60.228373702422097</v>
      </c>
      <c r="AI829">
        <v>179.05765472728899</v>
      </c>
      <c r="AJ829">
        <v>29.0761245674741</v>
      </c>
      <c r="AK829">
        <v>50.923875432526003</v>
      </c>
    </row>
    <row r="830" spans="1:37" x14ac:dyDescent="0.3">
      <c r="A830">
        <v>829</v>
      </c>
      <c r="B830">
        <v>0</v>
      </c>
      <c r="C830">
        <v>30.5763</v>
      </c>
      <c r="D830">
        <v>-9.4934899999999995</v>
      </c>
      <c r="E830" t="s">
        <v>1377</v>
      </c>
      <c r="F830" t="s">
        <v>1379</v>
      </c>
      <c r="G830" t="s">
        <v>37</v>
      </c>
      <c r="H830">
        <v>2007</v>
      </c>
      <c r="I830">
        <v>20.399999618530298</v>
      </c>
      <c r="J830">
        <v>12.1000003814697</v>
      </c>
      <c r="K830">
        <v>63</v>
      </c>
      <c r="L830">
        <v>14.579999923706101</v>
      </c>
      <c r="M830">
        <v>29.5</v>
      </c>
      <c r="N830">
        <v>10.300000190734901</v>
      </c>
      <c r="O830">
        <v>19.200000762939499</v>
      </c>
      <c r="P830">
        <v>20.700000762939499</v>
      </c>
      <c r="Q830">
        <v>18.299999237060501</v>
      </c>
      <c r="R830">
        <v>22</v>
      </c>
      <c r="S830">
        <v>18.299999237060501</v>
      </c>
      <c r="T830">
        <v>1315</v>
      </c>
      <c r="U830">
        <v>263</v>
      </c>
      <c r="V830">
        <v>0</v>
      </c>
      <c r="W830">
        <v>98</v>
      </c>
      <c r="X830">
        <v>737</v>
      </c>
      <c r="Y830">
        <v>2</v>
      </c>
      <c r="Z830">
        <v>198</v>
      </c>
      <c r="AA830">
        <v>2</v>
      </c>
      <c r="AB830">
        <v>16.895415520585502</v>
      </c>
      <c r="AC830">
        <v>0.106915382184991</v>
      </c>
      <c r="AD830">
        <v>2.2177917920181902</v>
      </c>
      <c r="AE830">
        <v>0.251275495468126</v>
      </c>
      <c r="AF830">
        <v>1425.6730103806201</v>
      </c>
      <c r="AG830">
        <f>IFERROR(AH830*0.1, "N/A")</f>
        <v>6.0228373702422102</v>
      </c>
      <c r="AH830">
        <v>60.228373702422097</v>
      </c>
      <c r="AI830">
        <v>179.05765472728899</v>
      </c>
      <c r="AJ830">
        <v>29.0761245674741</v>
      </c>
      <c r="AK830">
        <v>50.923875432526003</v>
      </c>
    </row>
    <row r="831" spans="1:37" x14ac:dyDescent="0.3">
      <c r="A831">
        <v>830</v>
      </c>
      <c r="B831">
        <v>0</v>
      </c>
      <c r="C831">
        <v>30.0044</v>
      </c>
      <c r="D831">
        <v>-9.4903200000000005</v>
      </c>
      <c r="E831" t="s">
        <v>1380</v>
      </c>
      <c r="F831" t="s">
        <v>1381</v>
      </c>
      <c r="G831" t="s">
        <v>39</v>
      </c>
      <c r="H831">
        <v>2007</v>
      </c>
      <c r="I831">
        <v>20.899999618530298</v>
      </c>
      <c r="J831">
        <v>11.8999996185303</v>
      </c>
      <c r="K831">
        <v>63</v>
      </c>
      <c r="L831">
        <v>13.960000038146999</v>
      </c>
      <c r="M831">
        <v>29.700000762939499</v>
      </c>
      <c r="N831">
        <v>11</v>
      </c>
      <c r="O831">
        <v>18.700000762939499</v>
      </c>
      <c r="P831">
        <v>21.299999237060501</v>
      </c>
      <c r="Q831">
        <v>18.899999618530298</v>
      </c>
      <c r="R831">
        <v>22.399999618530298</v>
      </c>
      <c r="S831">
        <v>18.899999618530298</v>
      </c>
      <c r="T831">
        <v>1292</v>
      </c>
      <c r="U831">
        <v>246</v>
      </c>
      <c r="V831">
        <v>0</v>
      </c>
      <c r="W831">
        <v>93</v>
      </c>
      <c r="X831">
        <v>682</v>
      </c>
      <c r="Y831">
        <v>2</v>
      </c>
      <c r="Z831">
        <v>233</v>
      </c>
      <c r="AA831">
        <v>20</v>
      </c>
      <c r="AB831">
        <v>16.2352415094722</v>
      </c>
      <c r="AC831">
        <v>3.1387816323209E-2</v>
      </c>
      <c r="AD831">
        <v>1.77678401935492</v>
      </c>
      <c r="AE831">
        <v>0.22780777513980899</v>
      </c>
      <c r="AF831">
        <v>1387.1537132987901</v>
      </c>
      <c r="AG831">
        <f>IFERROR(AH831*0.1, "N/A")</f>
        <v>5.6611398963730606</v>
      </c>
      <c r="AH831">
        <v>56.611398963730601</v>
      </c>
      <c r="AI831">
        <v>176.40399047377201</v>
      </c>
      <c r="AJ831">
        <v>27.6476683937824</v>
      </c>
      <c r="AK831">
        <v>57.212435233160598</v>
      </c>
    </row>
    <row r="832" spans="1:37" x14ac:dyDescent="0.3">
      <c r="A832">
        <v>831</v>
      </c>
      <c r="B832">
        <v>0</v>
      </c>
      <c r="C832">
        <v>30.0044</v>
      </c>
      <c r="D832">
        <v>-9.4903200000000005</v>
      </c>
      <c r="E832" t="s">
        <v>1380</v>
      </c>
      <c r="F832" t="s">
        <v>1382</v>
      </c>
      <c r="G832" t="s">
        <v>37</v>
      </c>
      <c r="H832">
        <v>2007</v>
      </c>
      <c r="I832">
        <v>20.899999618530298</v>
      </c>
      <c r="J832">
        <v>11.8999996185303</v>
      </c>
      <c r="K832">
        <v>63</v>
      </c>
      <c r="L832">
        <v>13.960000038146999</v>
      </c>
      <c r="M832">
        <v>29.700000762939499</v>
      </c>
      <c r="N832">
        <v>11</v>
      </c>
      <c r="O832">
        <v>18.700000762939499</v>
      </c>
      <c r="P832">
        <v>21.299999237060501</v>
      </c>
      <c r="Q832">
        <v>18.899999618530298</v>
      </c>
      <c r="R832">
        <v>22.399999618530298</v>
      </c>
      <c r="S832">
        <v>18.899999618530298</v>
      </c>
      <c r="T832">
        <v>1292</v>
      </c>
      <c r="U832">
        <v>246</v>
      </c>
      <c r="V832">
        <v>0</v>
      </c>
      <c r="W832">
        <v>93</v>
      </c>
      <c r="X832">
        <v>682</v>
      </c>
      <c r="Y832">
        <v>2</v>
      </c>
      <c r="Z832">
        <v>233</v>
      </c>
      <c r="AA832">
        <v>20</v>
      </c>
      <c r="AB832">
        <v>16.2352415094722</v>
      </c>
      <c r="AC832">
        <v>3.1387816323209E-2</v>
      </c>
      <c r="AD832">
        <v>1.77678401935492</v>
      </c>
      <c r="AE832">
        <v>0.22780777513980899</v>
      </c>
      <c r="AF832">
        <v>1387.1537132987901</v>
      </c>
      <c r="AG832">
        <f>IFERROR(AH832*0.1, "N/A")</f>
        <v>5.6611398963730606</v>
      </c>
      <c r="AH832">
        <v>56.611398963730601</v>
      </c>
      <c r="AI832">
        <v>176.40399047377201</v>
      </c>
      <c r="AJ832">
        <v>27.6476683937824</v>
      </c>
      <c r="AK832">
        <v>57.212435233160598</v>
      </c>
    </row>
    <row r="833" spans="1:37" x14ac:dyDescent="0.3">
      <c r="A833">
        <v>832</v>
      </c>
      <c r="B833">
        <v>40.200001</v>
      </c>
      <c r="C833">
        <v>32.637698999999998</v>
      </c>
      <c r="D833">
        <v>-9.4856400000000001</v>
      </c>
      <c r="E833" t="s">
        <v>1383</v>
      </c>
      <c r="F833" t="s">
        <v>1384</v>
      </c>
      <c r="G833" t="s">
        <v>39</v>
      </c>
      <c r="H833">
        <v>1993</v>
      </c>
      <c r="I833">
        <v>21.700000762939499</v>
      </c>
      <c r="J833">
        <v>10.6000003814697</v>
      </c>
      <c r="K833">
        <v>64</v>
      </c>
      <c r="L833">
        <v>13</v>
      </c>
      <c r="M833">
        <v>30.600000381469702</v>
      </c>
      <c r="N833">
        <v>14.1000003814697</v>
      </c>
      <c r="O833">
        <v>16.5</v>
      </c>
      <c r="P833">
        <v>21.899999618530298</v>
      </c>
      <c r="Q833">
        <v>20.799999237060501</v>
      </c>
      <c r="R833">
        <v>23.299999237060501</v>
      </c>
      <c r="S833">
        <v>20</v>
      </c>
      <c r="T833">
        <v>1004</v>
      </c>
      <c r="U833">
        <v>207</v>
      </c>
      <c r="V833">
        <v>0</v>
      </c>
      <c r="W833">
        <v>101</v>
      </c>
      <c r="X833">
        <v>597</v>
      </c>
      <c r="Y833">
        <v>4</v>
      </c>
      <c r="Z833">
        <v>107</v>
      </c>
      <c r="AA833">
        <v>5</v>
      </c>
      <c r="AB833">
        <v>28.0200188987613</v>
      </c>
      <c r="AC833">
        <v>5.1254998911848003E-2</v>
      </c>
      <c r="AD833">
        <v>2.29318646692859</v>
      </c>
      <c r="AE833">
        <v>0.27894832700851302</v>
      </c>
      <c r="AF833">
        <v>1354.5094991364399</v>
      </c>
      <c r="AG833">
        <f>IFERROR(AH833*0.1, "N/A")</f>
        <v>6.1934369602763404</v>
      </c>
      <c r="AH833">
        <v>61.934369602763397</v>
      </c>
      <c r="AI833">
        <v>266.705141742818</v>
      </c>
      <c r="AJ833">
        <v>24.2677029360967</v>
      </c>
      <c r="AK833">
        <v>62.0759930915371</v>
      </c>
    </row>
    <row r="834" spans="1:37" x14ac:dyDescent="0.3">
      <c r="A834">
        <v>833</v>
      </c>
      <c r="B834">
        <v>28</v>
      </c>
      <c r="C834">
        <v>28.741099999999999</v>
      </c>
      <c r="D834">
        <v>-9.4837000000000007</v>
      </c>
      <c r="E834" t="s">
        <v>1385</v>
      </c>
      <c r="F834" t="s">
        <v>1386</v>
      </c>
      <c r="G834" t="s">
        <v>39</v>
      </c>
      <c r="H834">
        <v>2007</v>
      </c>
      <c r="I834">
        <v>22.991206863008699</v>
      </c>
      <c r="J834">
        <v>12.355517114442</v>
      </c>
      <c r="K834">
        <v>62</v>
      </c>
      <c r="L834">
        <v>15.442086389147001</v>
      </c>
      <c r="M834">
        <v>32.088964159735298</v>
      </c>
      <c r="N834">
        <v>12.177931289015101</v>
      </c>
      <c r="O834">
        <v>19.9110341433821</v>
      </c>
      <c r="P834">
        <v>23.388965093678401</v>
      </c>
      <c r="Q834">
        <v>20.7912062677844</v>
      </c>
      <c r="R834">
        <v>24.688966238087598</v>
      </c>
      <c r="S834">
        <v>20.788964922674801</v>
      </c>
      <c r="T834">
        <v>1084.93103448276</v>
      </c>
      <c r="U834">
        <v>198.110344827586</v>
      </c>
      <c r="V834">
        <v>0</v>
      </c>
      <c r="W834">
        <v>88</v>
      </c>
      <c r="X834">
        <v>536.22068965517201</v>
      </c>
      <c r="Y834">
        <v>0</v>
      </c>
      <c r="Z834">
        <v>220.13275862069</v>
      </c>
      <c r="AA834">
        <v>15</v>
      </c>
      <c r="AB834">
        <v>16.639677166116599</v>
      </c>
      <c r="AC834">
        <v>9.8219105296222006E-2</v>
      </c>
      <c r="AD834">
        <v>1.33686504816187</v>
      </c>
      <c r="AE834">
        <v>0.27631893754005399</v>
      </c>
      <c r="AF834">
        <v>947.37586206896594</v>
      </c>
      <c r="AG834">
        <f>IFERROR(AH834*0.1, "N/A")</f>
        <v>5.5</v>
      </c>
      <c r="AH834">
        <v>55</v>
      </c>
      <c r="AI834">
        <v>263.25990005361598</v>
      </c>
      <c r="AJ834">
        <v>23.093103448275901</v>
      </c>
      <c r="AK834">
        <v>65.017241379310306</v>
      </c>
    </row>
    <row r="835" spans="1:37" x14ac:dyDescent="0.3">
      <c r="A835">
        <v>834</v>
      </c>
      <c r="B835">
        <v>10</v>
      </c>
      <c r="C835">
        <v>28.741099999999999</v>
      </c>
      <c r="D835">
        <v>-9.4837000000000007</v>
      </c>
      <c r="E835" t="s">
        <v>1385</v>
      </c>
      <c r="F835" t="s">
        <v>1387</v>
      </c>
      <c r="G835" t="s">
        <v>37</v>
      </c>
      <c r="H835">
        <v>2007</v>
      </c>
      <c r="I835">
        <v>22.991206863008699</v>
      </c>
      <c r="J835">
        <v>12.355517114442</v>
      </c>
      <c r="K835">
        <v>62</v>
      </c>
      <c r="L835">
        <v>15.442086389147001</v>
      </c>
      <c r="M835">
        <v>32.088964159735298</v>
      </c>
      <c r="N835">
        <v>12.177931289015101</v>
      </c>
      <c r="O835">
        <v>19.9110341433821</v>
      </c>
      <c r="P835">
        <v>23.388965093678401</v>
      </c>
      <c r="Q835">
        <v>20.7912062677844</v>
      </c>
      <c r="R835">
        <v>24.688966238087598</v>
      </c>
      <c r="S835">
        <v>20.788964922674801</v>
      </c>
      <c r="T835">
        <v>1084.93103448276</v>
      </c>
      <c r="U835">
        <v>198.110344827586</v>
      </c>
      <c r="V835">
        <v>0</v>
      </c>
      <c r="W835">
        <v>88</v>
      </c>
      <c r="X835">
        <v>536.22068965517201</v>
      </c>
      <c r="Y835">
        <v>0</v>
      </c>
      <c r="Z835">
        <v>220.13275862069</v>
      </c>
      <c r="AA835">
        <v>15</v>
      </c>
      <c r="AB835">
        <v>16.639677166116599</v>
      </c>
      <c r="AC835">
        <v>9.8219105296222006E-2</v>
      </c>
      <c r="AD835">
        <v>1.33686504816187</v>
      </c>
      <c r="AE835">
        <v>0.27631893754005399</v>
      </c>
      <c r="AF835">
        <v>947.37586206896594</v>
      </c>
      <c r="AG835">
        <f>IFERROR(AH835*0.1, "N/A")</f>
        <v>5.5</v>
      </c>
      <c r="AH835">
        <v>55</v>
      </c>
      <c r="AI835">
        <v>263.25990005361598</v>
      </c>
      <c r="AJ835">
        <v>23.093103448275901</v>
      </c>
      <c r="AK835">
        <v>65.017241379310306</v>
      </c>
    </row>
    <row r="836" spans="1:37" x14ac:dyDescent="0.3">
      <c r="A836">
        <v>835</v>
      </c>
      <c r="B836">
        <v>0</v>
      </c>
      <c r="C836">
        <v>29.833099000000001</v>
      </c>
      <c r="D836">
        <v>-9.47255</v>
      </c>
      <c r="E836" t="s">
        <v>1388</v>
      </c>
      <c r="F836" t="s">
        <v>1389</v>
      </c>
      <c r="G836" t="s">
        <v>39</v>
      </c>
      <c r="H836">
        <v>2007</v>
      </c>
      <c r="I836">
        <v>20.9447502195322</v>
      </c>
      <c r="J836">
        <v>11.800000190734901</v>
      </c>
      <c r="K836">
        <v>63</v>
      </c>
      <c r="L836">
        <v>14.0171257107681</v>
      </c>
      <c r="M836">
        <v>29.644750982471699</v>
      </c>
      <c r="N836">
        <v>11</v>
      </c>
      <c r="O836">
        <v>18.644750982471699</v>
      </c>
      <c r="P836">
        <v>21.299999237060501</v>
      </c>
      <c r="Q836">
        <v>19</v>
      </c>
      <c r="R836">
        <v>22.5</v>
      </c>
      <c r="S836">
        <v>18.899999618530298</v>
      </c>
      <c r="T836">
        <v>1281.1049913941499</v>
      </c>
      <c r="U836">
        <v>241.55249569707399</v>
      </c>
      <c r="V836">
        <v>0</v>
      </c>
      <c r="W836">
        <v>91.552495697073994</v>
      </c>
      <c r="X836">
        <v>660.55249569707405</v>
      </c>
      <c r="Y836">
        <v>1</v>
      </c>
      <c r="Z836">
        <v>240</v>
      </c>
      <c r="AA836">
        <v>20</v>
      </c>
      <c r="AB836">
        <v>15.110712941049901</v>
      </c>
      <c r="AC836">
        <v>4.5695749018501999E-2</v>
      </c>
      <c r="AD836">
        <v>0.78647070204944902</v>
      </c>
      <c r="AE836">
        <v>0.18492934107780501</v>
      </c>
      <c r="AF836">
        <v>1396.3442340791701</v>
      </c>
      <c r="AG836">
        <f>IFERROR(AH836*0.1, "N/A")</f>
        <v>5.5951807228915698</v>
      </c>
      <c r="AH836">
        <v>55.951807228915698</v>
      </c>
      <c r="AI836">
        <v>213.74948831843801</v>
      </c>
      <c r="AJ836">
        <v>28</v>
      </c>
      <c r="AK836">
        <v>58.442340791738403</v>
      </c>
    </row>
    <row r="837" spans="1:37" x14ac:dyDescent="0.3">
      <c r="A837">
        <v>836</v>
      </c>
      <c r="B837">
        <v>0</v>
      </c>
      <c r="C837">
        <v>29.833099000000001</v>
      </c>
      <c r="D837">
        <v>-9.47255</v>
      </c>
      <c r="E837" t="s">
        <v>1388</v>
      </c>
      <c r="F837" t="s">
        <v>1390</v>
      </c>
      <c r="G837" t="s">
        <v>37</v>
      </c>
      <c r="H837">
        <v>2007</v>
      </c>
      <c r="I837">
        <v>20.9447502195322</v>
      </c>
      <c r="J837">
        <v>11.800000190734901</v>
      </c>
      <c r="K837">
        <v>63</v>
      </c>
      <c r="L837">
        <v>14.0171257107681</v>
      </c>
      <c r="M837">
        <v>29.644750982471699</v>
      </c>
      <c r="N837">
        <v>11</v>
      </c>
      <c r="O837">
        <v>18.644750982471699</v>
      </c>
      <c r="P837">
        <v>21.299999237060501</v>
      </c>
      <c r="Q837">
        <v>19</v>
      </c>
      <c r="R837">
        <v>22.5</v>
      </c>
      <c r="S837">
        <v>18.899999618530298</v>
      </c>
      <c r="T837">
        <v>1281.1049913941499</v>
      </c>
      <c r="U837">
        <v>241.55249569707399</v>
      </c>
      <c r="V837">
        <v>0</v>
      </c>
      <c r="W837">
        <v>91.552495697073994</v>
      </c>
      <c r="X837">
        <v>660.55249569707405</v>
      </c>
      <c r="Y837">
        <v>1</v>
      </c>
      <c r="Z837">
        <v>240</v>
      </c>
      <c r="AA837">
        <v>20</v>
      </c>
      <c r="AB837">
        <v>15.110712941049901</v>
      </c>
      <c r="AC837">
        <v>4.5695749018501999E-2</v>
      </c>
      <c r="AD837">
        <v>0.78647070204944902</v>
      </c>
      <c r="AE837">
        <v>0.18492934107780501</v>
      </c>
      <c r="AF837">
        <v>1396.3442340791701</v>
      </c>
      <c r="AG837">
        <f>IFERROR(AH837*0.1, "N/A")</f>
        <v>5.5951807228915698</v>
      </c>
      <c r="AH837">
        <v>55.951807228915698</v>
      </c>
      <c r="AI837">
        <v>213.74948831843801</v>
      </c>
      <c r="AJ837">
        <v>28</v>
      </c>
      <c r="AK837">
        <v>58.442340791738403</v>
      </c>
    </row>
    <row r="838" spans="1:37" x14ac:dyDescent="0.3">
      <c r="A838">
        <v>837</v>
      </c>
      <c r="B838">
        <v>53.200001</v>
      </c>
      <c r="C838">
        <v>32.589297999999999</v>
      </c>
      <c r="D838">
        <v>-9.4476999999999993</v>
      </c>
      <c r="E838" t="s">
        <v>1391</v>
      </c>
      <c r="F838" t="s">
        <v>1392</v>
      </c>
      <c r="G838" t="s">
        <v>39</v>
      </c>
      <c r="H838">
        <v>1993</v>
      </c>
      <c r="I838">
        <v>21.799999237060501</v>
      </c>
      <c r="J838">
        <v>10.699999809265099</v>
      </c>
      <c r="K838">
        <v>65</v>
      </c>
      <c r="L838">
        <v>12.2299995422363</v>
      </c>
      <c r="M838">
        <v>30.600000381469702</v>
      </c>
      <c r="N838">
        <v>14.199999809265099</v>
      </c>
      <c r="O838">
        <v>16.399999618530298</v>
      </c>
      <c r="P838">
        <v>22</v>
      </c>
      <c r="Q838">
        <v>20.899999618530298</v>
      </c>
      <c r="R838">
        <v>23.299999237060501</v>
      </c>
      <c r="S838">
        <v>20.200000762939499</v>
      </c>
      <c r="T838">
        <v>989</v>
      </c>
      <c r="U838">
        <v>204</v>
      </c>
      <c r="V838">
        <v>0</v>
      </c>
      <c r="W838">
        <v>101</v>
      </c>
      <c r="X838">
        <v>589</v>
      </c>
      <c r="Y838">
        <v>3</v>
      </c>
      <c r="Z838">
        <v>105</v>
      </c>
      <c r="AA838">
        <v>16</v>
      </c>
      <c r="AB838">
        <v>32.728392504168497</v>
      </c>
      <c r="AC838">
        <v>1.1947220957577E-2</v>
      </c>
      <c r="AD838">
        <v>2.1955955498395001</v>
      </c>
      <c r="AE838">
        <v>0.38560569286346402</v>
      </c>
      <c r="AF838">
        <v>1359.6282271944899</v>
      </c>
      <c r="AG838">
        <f>IFERROR(AH838*0.1, "N/A")</f>
        <v>5.9972461273666102</v>
      </c>
      <c r="AH838">
        <v>59.972461273666099</v>
      </c>
      <c r="AI838">
        <v>330.40308982862302</v>
      </c>
      <c r="AJ838">
        <v>24.9931153184165</v>
      </c>
      <c r="AK838">
        <v>65</v>
      </c>
    </row>
    <row r="839" spans="1:37" x14ac:dyDescent="0.3">
      <c r="A839">
        <v>838</v>
      </c>
      <c r="B839">
        <v>27.5</v>
      </c>
      <c r="C839">
        <v>32.708302000000003</v>
      </c>
      <c r="D839">
        <v>-9.4197000000000006</v>
      </c>
      <c r="E839" t="s">
        <v>1393</v>
      </c>
      <c r="F839" t="s">
        <v>1394</v>
      </c>
      <c r="G839" t="s">
        <v>39</v>
      </c>
      <c r="H839">
        <v>1993</v>
      </c>
      <c r="I839">
        <v>21.0424139548992</v>
      </c>
      <c r="J839">
        <v>10.6000003814697</v>
      </c>
      <c r="K839">
        <v>65</v>
      </c>
      <c r="L839">
        <v>11.3839313835933</v>
      </c>
      <c r="M839">
        <v>29.7712065729602</v>
      </c>
      <c r="N839">
        <v>13.6712068705723</v>
      </c>
      <c r="O839">
        <v>16.100000381469702</v>
      </c>
      <c r="P839">
        <v>21.242413359674899</v>
      </c>
      <c r="Q839">
        <v>20.171207549654198</v>
      </c>
      <c r="R839">
        <v>22.442413573429501</v>
      </c>
      <c r="S839">
        <v>19.5424139548992</v>
      </c>
      <c r="T839">
        <v>983.28793103448299</v>
      </c>
      <c r="U839">
        <v>201.28793103448299</v>
      </c>
      <c r="V839">
        <v>0</v>
      </c>
      <c r="W839">
        <v>98.712068965517204</v>
      </c>
      <c r="X839">
        <v>581</v>
      </c>
      <c r="Y839">
        <v>2</v>
      </c>
      <c r="Z839">
        <v>114.28793103448299</v>
      </c>
      <c r="AA839">
        <v>20.287931034482799</v>
      </c>
      <c r="AB839">
        <v>30.3282712739089</v>
      </c>
      <c r="AC839">
        <v>9.6855516192209997E-3</v>
      </c>
      <c r="AD839">
        <v>3.8349413610737901</v>
      </c>
      <c r="AE839">
        <v>0.36081990599632302</v>
      </c>
      <c r="AF839">
        <v>1532.9017241379299</v>
      </c>
      <c r="AG839">
        <f>IFERROR(AH839*0.1, "N/A")</f>
        <v>5.9</v>
      </c>
      <c r="AH839">
        <v>59</v>
      </c>
      <c r="AI839">
        <v>225.42510190832201</v>
      </c>
      <c r="AJ839">
        <v>30.563793103448301</v>
      </c>
      <c r="AK839">
        <v>56.570689655172401</v>
      </c>
    </row>
    <row r="840" spans="1:37" x14ac:dyDescent="0.3">
      <c r="A840">
        <v>839</v>
      </c>
      <c r="B840">
        <v>70</v>
      </c>
      <c r="C840">
        <v>28.7377</v>
      </c>
      <c r="D840">
        <v>-9.4145599999999998</v>
      </c>
      <c r="E840" t="s">
        <v>1395</v>
      </c>
      <c r="F840" t="s">
        <v>1396</v>
      </c>
      <c r="G840" t="s">
        <v>39</v>
      </c>
      <c r="H840">
        <v>2007</v>
      </c>
      <c r="I840">
        <v>23</v>
      </c>
      <c r="J840">
        <v>12.300000190734901</v>
      </c>
      <c r="K840">
        <v>62</v>
      </c>
      <c r="L840">
        <v>15.1300001144409</v>
      </c>
      <c r="M840">
        <v>32</v>
      </c>
      <c r="N840">
        <v>12.300000190734901</v>
      </c>
      <c r="O840">
        <v>19.700000762939499</v>
      </c>
      <c r="P840">
        <v>23.399999618530298</v>
      </c>
      <c r="Q840">
        <v>20.799999237060501</v>
      </c>
      <c r="R840">
        <v>24.700000762939499</v>
      </c>
      <c r="S840">
        <v>20.799999237060501</v>
      </c>
      <c r="T840">
        <v>1087</v>
      </c>
      <c r="U840">
        <v>198</v>
      </c>
      <c r="V840">
        <v>0</v>
      </c>
      <c r="W840">
        <v>87</v>
      </c>
      <c r="X840">
        <v>532</v>
      </c>
      <c r="Y840">
        <v>0</v>
      </c>
      <c r="Z840">
        <v>221</v>
      </c>
      <c r="AA840">
        <v>0</v>
      </c>
      <c r="AB840">
        <v>34.214016454825099</v>
      </c>
      <c r="AC840">
        <v>3.4191610143617997E-2</v>
      </c>
      <c r="AD840">
        <v>0.97521279873213795</v>
      </c>
      <c r="AE840">
        <v>0.27241327746132699</v>
      </c>
      <c r="AF840">
        <v>959.41278065630399</v>
      </c>
      <c r="AG840">
        <f>IFERROR(AH840*0.1, "N/A")</f>
        <v>5.4036269430051806</v>
      </c>
      <c r="AH840">
        <v>54.036269430051803</v>
      </c>
      <c r="AI840">
        <v>210.54441382847901</v>
      </c>
      <c r="AJ840">
        <v>22.108808290155402</v>
      </c>
      <c r="AK840">
        <v>65.915371329879093</v>
      </c>
    </row>
    <row r="841" spans="1:37" x14ac:dyDescent="0.3">
      <c r="A841">
        <v>840</v>
      </c>
      <c r="B841">
        <v>2</v>
      </c>
      <c r="C841">
        <v>28.7377</v>
      </c>
      <c r="D841">
        <v>-9.4145599999999998</v>
      </c>
      <c r="E841" t="s">
        <v>1395</v>
      </c>
      <c r="F841" t="s">
        <v>1397</v>
      </c>
      <c r="G841" t="s">
        <v>37</v>
      </c>
      <c r="H841">
        <v>2007</v>
      </c>
      <c r="I841">
        <v>23</v>
      </c>
      <c r="J841">
        <v>12.300000190734901</v>
      </c>
      <c r="K841">
        <v>62</v>
      </c>
      <c r="L841">
        <v>15.1300001144409</v>
      </c>
      <c r="M841">
        <v>32</v>
      </c>
      <c r="N841">
        <v>12.300000190734901</v>
      </c>
      <c r="O841">
        <v>19.700000762939499</v>
      </c>
      <c r="P841">
        <v>23.399999618530298</v>
      </c>
      <c r="Q841">
        <v>20.799999237060501</v>
      </c>
      <c r="R841">
        <v>24.700000762939499</v>
      </c>
      <c r="S841">
        <v>20.799999237060501</v>
      </c>
      <c r="T841">
        <v>1087</v>
      </c>
      <c r="U841">
        <v>198</v>
      </c>
      <c r="V841">
        <v>0</v>
      </c>
      <c r="W841">
        <v>87</v>
      </c>
      <c r="X841">
        <v>532</v>
      </c>
      <c r="Y841">
        <v>0</v>
      </c>
      <c r="Z841">
        <v>221</v>
      </c>
      <c r="AA841">
        <v>0</v>
      </c>
      <c r="AB841">
        <v>34.214016454825099</v>
      </c>
      <c r="AC841">
        <v>3.4191610143617997E-2</v>
      </c>
      <c r="AD841">
        <v>0.97521279873213795</v>
      </c>
      <c r="AE841">
        <v>0.27241327746132699</v>
      </c>
      <c r="AF841">
        <v>959.41278065630399</v>
      </c>
      <c r="AG841">
        <f>IFERROR(AH841*0.1, "N/A")</f>
        <v>5.4036269430051806</v>
      </c>
      <c r="AH841">
        <v>54.036269430051803</v>
      </c>
      <c r="AI841">
        <v>210.54441382847901</v>
      </c>
      <c r="AJ841">
        <v>22.108808290155402</v>
      </c>
      <c r="AK841">
        <v>65.915371329879093</v>
      </c>
    </row>
    <row r="842" spans="1:37" x14ac:dyDescent="0.3">
      <c r="A842">
        <v>841</v>
      </c>
      <c r="B842">
        <v>0.8</v>
      </c>
      <c r="C842">
        <v>30.580158000000001</v>
      </c>
      <c r="D842">
        <v>-9.383661</v>
      </c>
      <c r="E842" t="s">
        <v>1398</v>
      </c>
      <c r="F842" t="s">
        <v>1399</v>
      </c>
      <c r="G842" t="s">
        <v>39</v>
      </c>
      <c r="H842">
        <v>1977</v>
      </c>
      <c r="I842">
        <v>19.997582028772801</v>
      </c>
      <c r="J842">
        <v>11.8999996185303</v>
      </c>
      <c r="K842">
        <v>63</v>
      </c>
      <c r="L842">
        <v>14.0246802331664</v>
      </c>
      <c r="M842">
        <v>28.997582028772801</v>
      </c>
      <c r="N842">
        <v>10.197581861097399</v>
      </c>
      <c r="O842">
        <v>18.799999237060501</v>
      </c>
      <c r="P842">
        <v>20.2975813119523</v>
      </c>
      <c r="Q842">
        <v>18</v>
      </c>
      <c r="R842">
        <v>21.5951644390152</v>
      </c>
      <c r="S842">
        <v>17.997582028772801</v>
      </c>
      <c r="T842">
        <v>1313.0241796200301</v>
      </c>
      <c r="U842">
        <v>260</v>
      </c>
      <c r="V842">
        <v>0</v>
      </c>
      <c r="W842">
        <v>97</v>
      </c>
      <c r="X842">
        <v>730</v>
      </c>
      <c r="Y842">
        <v>2</v>
      </c>
      <c r="Z842">
        <v>200</v>
      </c>
      <c r="AA842">
        <v>18</v>
      </c>
      <c r="AB842">
        <v>22.049536723135301</v>
      </c>
      <c r="AC842">
        <v>5.8671631790787999E-2</v>
      </c>
      <c r="AD842">
        <v>0.94265544270398505</v>
      </c>
      <c r="AE842">
        <v>0.21756863594055201</v>
      </c>
      <c r="AF842">
        <v>1543.4300518134701</v>
      </c>
      <c r="AG842">
        <f>IFERROR(AH842*0.1, "N/A")</f>
        <v>5.4687392055267701</v>
      </c>
      <c r="AH842">
        <v>54.687392055267701</v>
      </c>
      <c r="AI842">
        <v>165.79590336564101</v>
      </c>
      <c r="AJ842">
        <v>26.252158894645898</v>
      </c>
      <c r="AK842">
        <v>61.652849740932602</v>
      </c>
    </row>
    <row r="843" spans="1:37" x14ac:dyDescent="0.3">
      <c r="A843">
        <v>842</v>
      </c>
      <c r="B843">
        <v>75</v>
      </c>
      <c r="C843">
        <v>28.741699000000001</v>
      </c>
      <c r="D843">
        <v>-9.3676899999999996</v>
      </c>
      <c r="E843" t="s">
        <v>1400</v>
      </c>
      <c r="F843" t="s">
        <v>1401</v>
      </c>
      <c r="G843" t="s">
        <v>39</v>
      </c>
      <c r="H843">
        <v>2001</v>
      </c>
      <c r="I843">
        <v>23.081034791880601</v>
      </c>
      <c r="J843">
        <v>12.240517205205499</v>
      </c>
      <c r="K843">
        <v>61.405172413793103</v>
      </c>
      <c r="L843">
        <v>15.206810334633101</v>
      </c>
      <c r="M843">
        <v>31.981033637605901</v>
      </c>
      <c r="N843">
        <v>12.2810342147433</v>
      </c>
      <c r="O843">
        <v>19.700000762939499</v>
      </c>
      <c r="P843">
        <v>23.4215514248815</v>
      </c>
      <c r="Q843">
        <v>20.881034028941201</v>
      </c>
      <c r="R843">
        <v>24.6810344005453</v>
      </c>
      <c r="S843">
        <v>20.8215521779554</v>
      </c>
      <c r="T843">
        <v>1085.7068965517201</v>
      </c>
      <c r="U843">
        <v>196.78448275862101</v>
      </c>
      <c r="V843">
        <v>0</v>
      </c>
      <c r="W843">
        <v>87</v>
      </c>
      <c r="X843">
        <v>527.97413793103499</v>
      </c>
      <c r="Y843">
        <v>0</v>
      </c>
      <c r="Z843">
        <v>220.37931034482801</v>
      </c>
      <c r="AA843">
        <v>15.5948275862069</v>
      </c>
      <c r="AB843">
        <v>5.0484731739965003</v>
      </c>
      <c r="AC843">
        <v>0.13155900822181599</v>
      </c>
      <c r="AD843">
        <v>0.93681970300345596</v>
      </c>
      <c r="AE843">
        <v>0.27590221166610701</v>
      </c>
      <c r="AF843">
        <v>964.71724137931005</v>
      </c>
      <c r="AG843">
        <f>IFERROR(AH843*0.1, "N/A")</f>
        <v>5.5225862068965501</v>
      </c>
      <c r="AH843">
        <v>55.225862068965498</v>
      </c>
      <c r="AI843">
        <v>218.813215275468</v>
      </c>
      <c r="AJ843">
        <v>26.965517241379299</v>
      </c>
      <c r="AK843">
        <v>59.403448275862097</v>
      </c>
    </row>
    <row r="844" spans="1:37" x14ac:dyDescent="0.3">
      <c r="A844">
        <v>843</v>
      </c>
      <c r="B844">
        <v>0</v>
      </c>
      <c r="C844">
        <v>28.741699000000001</v>
      </c>
      <c r="D844">
        <v>-9.3676899999999996</v>
      </c>
      <c r="E844" t="s">
        <v>1400</v>
      </c>
      <c r="F844" t="s">
        <v>1402</v>
      </c>
      <c r="G844" t="s">
        <v>37</v>
      </c>
      <c r="H844">
        <v>2001</v>
      </c>
      <c r="I844">
        <v>23.081034791880601</v>
      </c>
      <c r="J844">
        <v>12.240517205205499</v>
      </c>
      <c r="K844">
        <v>61.405172413793103</v>
      </c>
      <c r="L844">
        <v>15.206810334633101</v>
      </c>
      <c r="M844">
        <v>31.981033637605901</v>
      </c>
      <c r="N844">
        <v>12.2810342147433</v>
      </c>
      <c r="O844">
        <v>19.700000762939499</v>
      </c>
      <c r="P844">
        <v>23.4215514248815</v>
      </c>
      <c r="Q844">
        <v>20.881034028941201</v>
      </c>
      <c r="R844">
        <v>24.6810344005453</v>
      </c>
      <c r="S844">
        <v>20.8215521779554</v>
      </c>
      <c r="T844">
        <v>1085.7068965517201</v>
      </c>
      <c r="U844">
        <v>196.78448275862101</v>
      </c>
      <c r="V844">
        <v>0</v>
      </c>
      <c r="W844">
        <v>87</v>
      </c>
      <c r="X844">
        <v>527.97413793103499</v>
      </c>
      <c r="Y844">
        <v>0</v>
      </c>
      <c r="Z844">
        <v>220.37931034482801</v>
      </c>
      <c r="AA844">
        <v>15.5948275862069</v>
      </c>
      <c r="AB844">
        <v>5.0484731739965003</v>
      </c>
      <c r="AC844">
        <v>0.13155900822181599</v>
      </c>
      <c r="AD844">
        <v>0.93681970300345596</v>
      </c>
      <c r="AE844">
        <v>0.27590221166610701</v>
      </c>
      <c r="AF844">
        <v>964.71724137931005</v>
      </c>
      <c r="AG844">
        <f>IFERROR(AH844*0.1, "N/A")</f>
        <v>5.5225862068965501</v>
      </c>
      <c r="AH844">
        <v>55.225862068965498</v>
      </c>
      <c r="AI844">
        <v>218.813215275468</v>
      </c>
      <c r="AJ844">
        <v>26.965517241379299</v>
      </c>
      <c r="AK844">
        <v>59.403448275862097</v>
      </c>
    </row>
    <row r="845" spans="1:37" x14ac:dyDescent="0.3">
      <c r="A845">
        <v>844</v>
      </c>
      <c r="B845">
        <v>0</v>
      </c>
      <c r="C845">
        <v>30.107500000000002</v>
      </c>
      <c r="D845">
        <v>-9.3641699999999997</v>
      </c>
      <c r="E845" t="s">
        <v>1403</v>
      </c>
      <c r="F845" t="s">
        <v>1404</v>
      </c>
      <c r="G845" t="s">
        <v>39</v>
      </c>
      <c r="H845">
        <v>1946</v>
      </c>
      <c r="I845">
        <v>20.884509025875801</v>
      </c>
      <c r="J845">
        <v>11.800000190734901</v>
      </c>
      <c r="K845">
        <v>63</v>
      </c>
      <c r="L845">
        <v>13.6925299738032</v>
      </c>
      <c r="M845">
        <v>29.600000381469702</v>
      </c>
      <c r="N845">
        <v>11</v>
      </c>
      <c r="O845">
        <v>18.600000381469702</v>
      </c>
      <c r="P845">
        <v>21.284508939864502</v>
      </c>
      <c r="Q845">
        <v>18.884509025875801</v>
      </c>
      <c r="R845">
        <v>22.315489829715101</v>
      </c>
      <c r="S845">
        <v>18.884509025875801</v>
      </c>
      <c r="T845">
        <v>1286.4647160068801</v>
      </c>
      <c r="U845">
        <v>245.154905335628</v>
      </c>
      <c r="V845">
        <v>0</v>
      </c>
      <c r="W845">
        <v>92</v>
      </c>
      <c r="X845">
        <v>684.46471600688506</v>
      </c>
      <c r="Y845">
        <v>2</v>
      </c>
      <c r="Z845">
        <v>229</v>
      </c>
      <c r="AA845">
        <v>22</v>
      </c>
      <c r="AB845">
        <v>30.873666891337699</v>
      </c>
      <c r="AC845">
        <v>3.3759498625686002E-2</v>
      </c>
      <c r="AD845">
        <v>1.1457301183842501</v>
      </c>
      <c r="AE845">
        <v>0.32254991212317902</v>
      </c>
      <c r="AF845">
        <v>1432.28227194492</v>
      </c>
      <c r="AG845">
        <f>IFERROR(AH845*0.1, "N/A")</f>
        <v>5.9225473321858901</v>
      </c>
      <c r="AH845">
        <v>59.2254733218589</v>
      </c>
      <c r="AI845">
        <v>201.18709956840499</v>
      </c>
      <c r="AJ845">
        <v>26.6901893287435</v>
      </c>
      <c r="AK845">
        <v>58.3098106712564</v>
      </c>
    </row>
    <row r="846" spans="1:37" x14ac:dyDescent="0.3">
      <c r="A846">
        <v>845</v>
      </c>
      <c r="B846">
        <v>1.3</v>
      </c>
      <c r="C846">
        <v>30.107500000000002</v>
      </c>
      <c r="D846">
        <v>-9.3641699999999997</v>
      </c>
      <c r="E846" t="s">
        <v>1403</v>
      </c>
      <c r="F846" t="s">
        <v>1405</v>
      </c>
      <c r="G846" t="s">
        <v>37</v>
      </c>
      <c r="H846">
        <v>1946</v>
      </c>
      <c r="I846">
        <v>20.884509025875801</v>
      </c>
      <c r="J846">
        <v>11.800000190734901</v>
      </c>
      <c r="K846">
        <v>63</v>
      </c>
      <c r="L846">
        <v>13.6925299738032</v>
      </c>
      <c r="M846">
        <v>29.600000381469702</v>
      </c>
      <c r="N846">
        <v>11</v>
      </c>
      <c r="O846">
        <v>18.600000381469702</v>
      </c>
      <c r="P846">
        <v>21.284508939864502</v>
      </c>
      <c r="Q846">
        <v>18.884509025875801</v>
      </c>
      <c r="R846">
        <v>22.315489829715101</v>
      </c>
      <c r="S846">
        <v>18.884509025875801</v>
      </c>
      <c r="T846">
        <v>1286.4647160068801</v>
      </c>
      <c r="U846">
        <v>245.154905335628</v>
      </c>
      <c r="V846">
        <v>0</v>
      </c>
      <c r="W846">
        <v>92</v>
      </c>
      <c r="X846">
        <v>684.46471600688506</v>
      </c>
      <c r="Y846">
        <v>2</v>
      </c>
      <c r="Z846">
        <v>229</v>
      </c>
      <c r="AA846">
        <v>22</v>
      </c>
      <c r="AB846">
        <v>30.873666891337699</v>
      </c>
      <c r="AC846">
        <v>3.3759498625686002E-2</v>
      </c>
      <c r="AD846">
        <v>1.1457301183842501</v>
      </c>
      <c r="AE846">
        <v>0.32254991212317902</v>
      </c>
      <c r="AF846">
        <v>1432.28227194492</v>
      </c>
      <c r="AG846">
        <f>IFERROR(AH846*0.1, "N/A")</f>
        <v>5.9225473321858901</v>
      </c>
      <c r="AH846">
        <v>59.2254733218589</v>
      </c>
      <c r="AI846">
        <v>201.18709956840499</v>
      </c>
      <c r="AJ846">
        <v>26.6901893287435</v>
      </c>
      <c r="AK846">
        <v>58.3098106712564</v>
      </c>
    </row>
    <row r="847" spans="1:37" x14ac:dyDescent="0.3">
      <c r="A847">
        <v>846</v>
      </c>
      <c r="B847">
        <v>0</v>
      </c>
      <c r="C847">
        <v>30.127300000000002</v>
      </c>
      <c r="D847">
        <v>-9.3543299999999991</v>
      </c>
      <c r="E847" t="s">
        <v>1406</v>
      </c>
      <c r="F847" t="s">
        <v>1407</v>
      </c>
      <c r="G847" t="s">
        <v>39</v>
      </c>
      <c r="H847">
        <v>2007</v>
      </c>
      <c r="I847">
        <v>20.700000762939499</v>
      </c>
      <c r="J847">
        <v>11.800000190734901</v>
      </c>
      <c r="K847">
        <v>63</v>
      </c>
      <c r="L847">
        <v>13.5900001525879</v>
      </c>
      <c r="M847">
        <v>29.399999618530298</v>
      </c>
      <c r="N847">
        <v>10.800000190734901</v>
      </c>
      <c r="O847">
        <v>18.600000381469702</v>
      </c>
      <c r="P847">
        <v>21.100000381469702</v>
      </c>
      <c r="Q847">
        <v>18.799999237060501</v>
      </c>
      <c r="R847">
        <v>22.200000762939499</v>
      </c>
      <c r="S847">
        <v>18.700000762939499</v>
      </c>
      <c r="T847">
        <v>1295</v>
      </c>
      <c r="U847">
        <v>247</v>
      </c>
      <c r="V847">
        <v>0</v>
      </c>
      <c r="W847">
        <v>93</v>
      </c>
      <c r="X847">
        <v>690</v>
      </c>
      <c r="Y847">
        <v>2</v>
      </c>
      <c r="Z847">
        <v>229</v>
      </c>
      <c r="AA847">
        <v>22</v>
      </c>
      <c r="AB847">
        <v>19.347624680091599</v>
      </c>
      <c r="AC847">
        <v>0.12516647912561901</v>
      </c>
      <c r="AD847">
        <v>1.0146453957105499</v>
      </c>
      <c r="AE847">
        <v>0.364492326974869</v>
      </c>
      <c r="AF847">
        <v>1464.8310344827601</v>
      </c>
      <c r="AG847">
        <f>IFERROR(AH847*0.1, "N/A")</f>
        <v>5.7118965517241405</v>
      </c>
      <c r="AH847">
        <v>57.118965517241399</v>
      </c>
      <c r="AI847">
        <v>242.86408117886199</v>
      </c>
      <c r="AJ847">
        <v>32.091379310344799</v>
      </c>
      <c r="AK847">
        <v>53.803448275862102</v>
      </c>
    </row>
    <row r="848" spans="1:37" x14ac:dyDescent="0.3">
      <c r="A848">
        <v>847</v>
      </c>
      <c r="B848">
        <v>0</v>
      </c>
      <c r="C848">
        <v>30.127300000000002</v>
      </c>
      <c r="D848">
        <v>-9.3543299999999991</v>
      </c>
      <c r="E848" t="s">
        <v>1406</v>
      </c>
      <c r="F848" t="s">
        <v>1408</v>
      </c>
      <c r="G848" t="s">
        <v>37</v>
      </c>
      <c r="H848">
        <v>2007</v>
      </c>
      <c r="I848">
        <v>20.700000762939499</v>
      </c>
      <c r="J848">
        <v>11.800000190734901</v>
      </c>
      <c r="K848">
        <v>63</v>
      </c>
      <c r="L848">
        <v>13.5900001525879</v>
      </c>
      <c r="M848">
        <v>29.399999618530298</v>
      </c>
      <c r="N848">
        <v>10.800000190734901</v>
      </c>
      <c r="O848">
        <v>18.600000381469702</v>
      </c>
      <c r="P848">
        <v>21.100000381469702</v>
      </c>
      <c r="Q848">
        <v>18.799999237060501</v>
      </c>
      <c r="R848">
        <v>22.200000762939499</v>
      </c>
      <c r="S848">
        <v>18.700000762939499</v>
      </c>
      <c r="T848">
        <v>1295</v>
      </c>
      <c r="U848">
        <v>247</v>
      </c>
      <c r="V848">
        <v>0</v>
      </c>
      <c r="W848">
        <v>93</v>
      </c>
      <c r="X848">
        <v>690</v>
      </c>
      <c r="Y848">
        <v>2</v>
      </c>
      <c r="Z848">
        <v>229</v>
      </c>
      <c r="AA848">
        <v>22</v>
      </c>
      <c r="AB848">
        <v>19.347624680091599</v>
      </c>
      <c r="AC848">
        <v>0.12516647912561901</v>
      </c>
      <c r="AD848">
        <v>1.0146453957105499</v>
      </c>
      <c r="AE848">
        <v>0.364492326974869</v>
      </c>
      <c r="AF848">
        <v>1464.8310344827601</v>
      </c>
      <c r="AG848">
        <f>IFERROR(AH848*0.1, "N/A")</f>
        <v>5.7118965517241405</v>
      </c>
      <c r="AH848">
        <v>57.118965517241399</v>
      </c>
      <c r="AI848">
        <v>242.86408117886199</v>
      </c>
      <c r="AJ848">
        <v>32.091379310344799</v>
      </c>
      <c r="AK848">
        <v>53.803448275862102</v>
      </c>
    </row>
    <row r="849" spans="1:37" x14ac:dyDescent="0.3">
      <c r="A849">
        <v>848</v>
      </c>
      <c r="B849">
        <v>24.1</v>
      </c>
      <c r="C849">
        <v>32.671298999999998</v>
      </c>
      <c r="D849">
        <v>-9.3446499999999997</v>
      </c>
      <c r="E849" t="s">
        <v>1409</v>
      </c>
      <c r="F849" t="s">
        <v>1410</v>
      </c>
      <c r="G849" t="s">
        <v>39</v>
      </c>
      <c r="H849">
        <v>1993</v>
      </c>
      <c r="I849">
        <v>20.600000381469702</v>
      </c>
      <c r="J849">
        <v>10.699999809265099</v>
      </c>
      <c r="K849">
        <v>68</v>
      </c>
      <c r="L849">
        <v>9.3000001907348597</v>
      </c>
      <c r="M849">
        <v>29.200000762939499</v>
      </c>
      <c r="N849">
        <v>13.6000003814697</v>
      </c>
      <c r="O849">
        <v>15.6000003814697</v>
      </c>
      <c r="P849">
        <v>20.799999237060501</v>
      </c>
      <c r="Q849">
        <v>20</v>
      </c>
      <c r="R849">
        <v>21.799999237060501</v>
      </c>
      <c r="S849">
        <v>19.399999618530298</v>
      </c>
      <c r="T849">
        <v>929</v>
      </c>
      <c r="U849">
        <v>199</v>
      </c>
      <c r="V849">
        <v>0</v>
      </c>
      <c r="W849">
        <v>98</v>
      </c>
      <c r="X849">
        <v>549</v>
      </c>
      <c r="Y849">
        <v>1</v>
      </c>
      <c r="Z849">
        <v>117</v>
      </c>
      <c r="AA849">
        <v>21</v>
      </c>
      <c r="AB849">
        <v>43.399450052195597</v>
      </c>
      <c r="AC849">
        <v>6.9399106796381005E-2</v>
      </c>
      <c r="AD849">
        <v>2.6231342726740401</v>
      </c>
      <c r="AE849">
        <v>0.247511461377144</v>
      </c>
      <c r="AF849">
        <v>1647.90862068966</v>
      </c>
      <c r="AG849">
        <f>IFERROR(AH849*0.1, "N/A")</f>
        <v>5.7668965517241411</v>
      </c>
      <c r="AH849">
        <v>57.668965517241404</v>
      </c>
      <c r="AI849">
        <v>187.92506629680801</v>
      </c>
      <c r="AJ849">
        <v>32.549999999999997</v>
      </c>
      <c r="AK849">
        <v>53.215517241379303</v>
      </c>
    </row>
    <row r="850" spans="1:37" x14ac:dyDescent="0.3">
      <c r="A850">
        <v>849</v>
      </c>
      <c r="B850">
        <v>16.899999999999999</v>
      </c>
      <c r="C850">
        <v>32.714001000000003</v>
      </c>
      <c r="D850">
        <v>-9.3391800000000007</v>
      </c>
      <c r="E850" t="s">
        <v>1411</v>
      </c>
      <c r="F850" t="s">
        <v>1412</v>
      </c>
      <c r="G850" t="s">
        <v>39</v>
      </c>
      <c r="H850">
        <v>1993</v>
      </c>
      <c r="I850">
        <v>20.799999237060501</v>
      </c>
      <c r="J850">
        <v>10.699999809265099</v>
      </c>
      <c r="K850">
        <v>68</v>
      </c>
      <c r="L850">
        <v>9.6599998474121094</v>
      </c>
      <c r="M850">
        <v>29.399999618530298</v>
      </c>
      <c r="N850">
        <v>13.699999809265099</v>
      </c>
      <c r="O850">
        <v>15.699999809265099</v>
      </c>
      <c r="P850">
        <v>20.899999618530298</v>
      </c>
      <c r="Q850">
        <v>20.100000381469702</v>
      </c>
      <c r="R850">
        <v>22</v>
      </c>
      <c r="S850">
        <v>19.5</v>
      </c>
      <c r="T850">
        <v>963</v>
      </c>
      <c r="U850">
        <v>200</v>
      </c>
      <c r="V850">
        <v>0</v>
      </c>
      <c r="W850">
        <v>97</v>
      </c>
      <c r="X850">
        <v>565</v>
      </c>
      <c r="Y850">
        <v>2</v>
      </c>
      <c r="Z850">
        <v>118</v>
      </c>
      <c r="AA850">
        <v>22</v>
      </c>
      <c r="AB850">
        <v>17.831457646247799</v>
      </c>
      <c r="AC850">
        <v>1.2596761297022E-2</v>
      </c>
      <c r="AD850">
        <v>2.6705633826734299</v>
      </c>
      <c r="AE850">
        <v>0.24864530563354501</v>
      </c>
      <c r="AF850">
        <v>1597.64186851211</v>
      </c>
      <c r="AG850">
        <f>IFERROR(AH850*0.1, "N/A")</f>
        <v>6</v>
      </c>
      <c r="AH850">
        <v>60</v>
      </c>
      <c r="AI850">
        <v>152.887370668893</v>
      </c>
      <c r="AJ850">
        <v>32</v>
      </c>
      <c r="AK850">
        <v>53</v>
      </c>
    </row>
    <row r="851" spans="1:37" x14ac:dyDescent="0.3">
      <c r="A851">
        <v>850</v>
      </c>
      <c r="B851">
        <v>20.799999</v>
      </c>
      <c r="C851">
        <v>32.747601000000003</v>
      </c>
      <c r="D851">
        <v>-9.3373600000000003</v>
      </c>
      <c r="E851" t="s">
        <v>1413</v>
      </c>
      <c r="F851" t="s">
        <v>1414</v>
      </c>
      <c r="G851" t="s">
        <v>39</v>
      </c>
      <c r="H851">
        <v>1993</v>
      </c>
      <c r="I851">
        <v>20.700000762939499</v>
      </c>
      <c r="J851">
        <v>10.699999809265099</v>
      </c>
      <c r="K851">
        <v>67</v>
      </c>
      <c r="L851">
        <v>10.4099998474121</v>
      </c>
      <c r="M851">
        <v>29.299999237060501</v>
      </c>
      <c r="N851">
        <v>13.3999996185303</v>
      </c>
      <c r="O851">
        <v>15.8999996185303</v>
      </c>
      <c r="P851">
        <v>20.899999618530298</v>
      </c>
      <c r="Q851">
        <v>19.899999618530298</v>
      </c>
      <c r="R851">
        <v>22</v>
      </c>
      <c r="S851">
        <v>19.299999237060501</v>
      </c>
      <c r="T851">
        <v>987</v>
      </c>
      <c r="U851">
        <v>202</v>
      </c>
      <c r="V851">
        <v>0</v>
      </c>
      <c r="W851">
        <v>97</v>
      </c>
      <c r="X851">
        <v>575</v>
      </c>
      <c r="Y851">
        <v>2</v>
      </c>
      <c r="Z851">
        <v>119</v>
      </c>
      <c r="AA851">
        <v>24</v>
      </c>
      <c r="AB851">
        <v>37.909717217807099</v>
      </c>
      <c r="AC851">
        <v>1.0720590609608E-2</v>
      </c>
      <c r="AD851">
        <v>3.7929085010084602</v>
      </c>
      <c r="AE851">
        <v>0.44746251496775402</v>
      </c>
      <c r="AF851">
        <v>1604.35689655172</v>
      </c>
      <c r="AG851">
        <f>IFERROR(AH851*0.1, "N/A")</f>
        <v>6.2124137931034502</v>
      </c>
      <c r="AH851">
        <v>62.124137931034497</v>
      </c>
      <c r="AI851">
        <v>306.09114663354302</v>
      </c>
      <c r="AJ851">
        <v>31.291379310344801</v>
      </c>
      <c r="AK851">
        <v>52.751724137930999</v>
      </c>
    </row>
    <row r="852" spans="1:37" x14ac:dyDescent="0.3">
      <c r="A852">
        <v>851</v>
      </c>
      <c r="B852">
        <v>17</v>
      </c>
      <c r="C852">
        <v>32.685901999999999</v>
      </c>
      <c r="D852">
        <v>-9.3249999999999993</v>
      </c>
      <c r="E852" t="s">
        <v>1415</v>
      </c>
      <c r="F852" t="s">
        <v>1416</v>
      </c>
      <c r="G852" t="s">
        <v>39</v>
      </c>
      <c r="H852">
        <v>1993</v>
      </c>
      <c r="I852">
        <v>20.700000762939499</v>
      </c>
      <c r="J852">
        <v>10.699999809265099</v>
      </c>
      <c r="K852">
        <v>68</v>
      </c>
      <c r="L852">
        <v>9.4125297270625499</v>
      </c>
      <c r="M852">
        <v>29.299999237060501</v>
      </c>
      <c r="N852">
        <v>13.6000003814697</v>
      </c>
      <c r="O852">
        <v>15.699999809265099</v>
      </c>
      <c r="P852">
        <v>20.815661947411201</v>
      </c>
      <c r="Q852">
        <v>20</v>
      </c>
      <c r="R852">
        <v>21.815661947411201</v>
      </c>
      <c r="S852">
        <v>19.415662328881002</v>
      </c>
      <c r="T852">
        <v>935</v>
      </c>
      <c r="U852">
        <v>199</v>
      </c>
      <c r="V852">
        <v>0</v>
      </c>
      <c r="W852">
        <v>98</v>
      </c>
      <c r="X852">
        <v>552</v>
      </c>
      <c r="Y852">
        <v>1</v>
      </c>
      <c r="Z852">
        <v>116</v>
      </c>
      <c r="AA852">
        <v>21</v>
      </c>
      <c r="AB852">
        <v>29.837028779179199</v>
      </c>
      <c r="AC852">
        <v>4.4683140938181001E-2</v>
      </c>
      <c r="AD852">
        <v>3.5212029497717801</v>
      </c>
      <c r="AE852">
        <v>0.25101656132023398</v>
      </c>
      <c r="AF852">
        <v>1638.3648881239201</v>
      </c>
      <c r="AG852">
        <f>IFERROR(AH852*0.1, "N/A")</f>
        <v>6</v>
      </c>
      <c r="AH852">
        <v>60</v>
      </c>
      <c r="AI852">
        <v>59.1878988886454</v>
      </c>
      <c r="AJ852">
        <v>30.182444061962102</v>
      </c>
      <c r="AK852">
        <v>54.843373493975903</v>
      </c>
    </row>
    <row r="853" spans="1:37" x14ac:dyDescent="0.3">
      <c r="A853">
        <v>852</v>
      </c>
      <c r="B853">
        <v>94.699996999999996</v>
      </c>
      <c r="C853">
        <v>28.742701</v>
      </c>
      <c r="D853">
        <v>-9.3075100000000006</v>
      </c>
      <c r="E853" t="s">
        <v>1417</v>
      </c>
      <c r="F853" t="s">
        <v>1418</v>
      </c>
      <c r="G853" t="s">
        <v>39</v>
      </c>
      <c r="H853">
        <v>2009</v>
      </c>
      <c r="I853">
        <v>23</v>
      </c>
      <c r="J853">
        <v>12.199999809265099</v>
      </c>
      <c r="K853">
        <v>62</v>
      </c>
      <c r="L853">
        <v>14.8699998855591</v>
      </c>
      <c r="M853">
        <v>32</v>
      </c>
      <c r="N853">
        <v>12.3999996185303</v>
      </c>
      <c r="O853">
        <v>19.600000381469702</v>
      </c>
      <c r="P853">
        <v>23.399999618530298</v>
      </c>
      <c r="Q853">
        <v>20.899999618530298</v>
      </c>
      <c r="R853">
        <v>24.700000762939499</v>
      </c>
      <c r="S853">
        <v>20.899999618530298</v>
      </c>
      <c r="T853">
        <v>1086</v>
      </c>
      <c r="U853">
        <v>196</v>
      </c>
      <c r="V853">
        <v>0</v>
      </c>
      <c r="W853">
        <v>87</v>
      </c>
      <c r="X853">
        <v>524</v>
      </c>
      <c r="Y853">
        <v>0</v>
      </c>
      <c r="Z853">
        <v>219</v>
      </c>
      <c r="AA853">
        <v>16</v>
      </c>
      <c r="AB853">
        <v>30.2421455449185</v>
      </c>
      <c r="AC853">
        <v>5.2286354345566999E-2</v>
      </c>
      <c r="AD853">
        <v>1.6507908288061299</v>
      </c>
      <c r="AE853">
        <v>0.41893053054809598</v>
      </c>
      <c r="AF853">
        <v>963.31951640759905</v>
      </c>
      <c r="AG853">
        <f>IFERROR(AH853*0.1, "N/A")</f>
        <v>6.2827288428324701</v>
      </c>
      <c r="AH853">
        <v>62.8272884283247</v>
      </c>
      <c r="AI853">
        <v>269.62613760992701</v>
      </c>
      <c r="AJ853">
        <v>26.9032815198618</v>
      </c>
      <c r="AK853">
        <v>57.134715025906701</v>
      </c>
    </row>
    <row r="854" spans="1:37" x14ac:dyDescent="0.3">
      <c r="A854">
        <v>853</v>
      </c>
      <c r="B854">
        <v>33.799999</v>
      </c>
      <c r="C854">
        <v>32.443801999999998</v>
      </c>
      <c r="D854">
        <v>-9.2844599999999993</v>
      </c>
      <c r="E854" t="s">
        <v>1419</v>
      </c>
      <c r="F854" t="s">
        <v>1420</v>
      </c>
      <c r="G854" t="s">
        <v>39</v>
      </c>
      <c r="H854">
        <v>1993</v>
      </c>
      <c r="I854">
        <v>22</v>
      </c>
      <c r="J854">
        <v>11</v>
      </c>
      <c r="K854">
        <v>66</v>
      </c>
      <c r="L854">
        <v>11.2200002670288</v>
      </c>
      <c r="M854">
        <v>30.799999237060501</v>
      </c>
      <c r="N854">
        <v>14.199999809265099</v>
      </c>
      <c r="O854">
        <v>16.600000381469702</v>
      </c>
      <c r="P854">
        <v>22.100000381469702</v>
      </c>
      <c r="Q854">
        <v>20.600000381469702</v>
      </c>
      <c r="R854">
        <v>23.399999618530298</v>
      </c>
      <c r="S854">
        <v>20.5</v>
      </c>
      <c r="T854">
        <v>963</v>
      </c>
      <c r="U854">
        <v>201</v>
      </c>
      <c r="V854">
        <v>0</v>
      </c>
      <c r="W854">
        <v>103</v>
      </c>
      <c r="X854">
        <v>578</v>
      </c>
      <c r="Y854">
        <v>4</v>
      </c>
      <c r="Z854">
        <v>96</v>
      </c>
      <c r="AA854">
        <v>11</v>
      </c>
      <c r="AB854">
        <v>16.0144335013043</v>
      </c>
      <c r="AC854">
        <v>1.44362322595E-2</v>
      </c>
      <c r="AD854">
        <v>1.7219942551676899</v>
      </c>
      <c r="AE854">
        <v>0.27808803319931003</v>
      </c>
      <c r="AF854">
        <v>1310.36833046472</v>
      </c>
      <c r="AG854">
        <f>IFERROR(AH854*0.1, "N/A")</f>
        <v>6.0253012048192804</v>
      </c>
      <c r="AH854">
        <v>60.253012048192801</v>
      </c>
      <c r="AI854">
        <v>270.45845113153501</v>
      </c>
      <c r="AJ854">
        <v>25.323580034423401</v>
      </c>
      <c r="AK854">
        <v>58.898450946643699</v>
      </c>
    </row>
    <row r="855" spans="1:37" x14ac:dyDescent="0.3">
      <c r="A855">
        <v>854</v>
      </c>
      <c r="B855">
        <v>89.900002000000001</v>
      </c>
      <c r="C855">
        <v>28.761700000000001</v>
      </c>
      <c r="D855">
        <v>-9.2807099999999991</v>
      </c>
      <c r="E855" t="s">
        <v>1421</v>
      </c>
      <c r="F855" t="s">
        <v>1422</v>
      </c>
      <c r="G855" t="s">
        <v>39</v>
      </c>
      <c r="H855">
        <v>2009</v>
      </c>
      <c r="I855">
        <v>23.100000381469702</v>
      </c>
      <c r="J855">
        <v>12.199999809265099</v>
      </c>
      <c r="K855">
        <v>62</v>
      </c>
      <c r="L855">
        <v>14.9099998474121</v>
      </c>
      <c r="M855">
        <v>32</v>
      </c>
      <c r="N855">
        <v>12.5</v>
      </c>
      <c r="O855">
        <v>19.5</v>
      </c>
      <c r="P855">
        <v>23.399999618530298</v>
      </c>
      <c r="Q855">
        <v>21</v>
      </c>
      <c r="R855">
        <v>24.799999237060501</v>
      </c>
      <c r="S855">
        <v>21</v>
      </c>
      <c r="T855">
        <v>1089</v>
      </c>
      <c r="U855">
        <v>196</v>
      </c>
      <c r="V855">
        <v>0</v>
      </c>
      <c r="W855">
        <v>87</v>
      </c>
      <c r="X855">
        <v>523</v>
      </c>
      <c r="Y855">
        <v>0</v>
      </c>
      <c r="Z855">
        <v>219</v>
      </c>
      <c r="AA855">
        <v>17</v>
      </c>
      <c r="AB855">
        <v>23.822656608410199</v>
      </c>
      <c r="AC855">
        <v>4.1768408021753002E-2</v>
      </c>
      <c r="AD855">
        <v>2.3043520911781701</v>
      </c>
      <c r="AE855">
        <v>0.26490476727485701</v>
      </c>
      <c r="AF855">
        <v>953.82728842832501</v>
      </c>
      <c r="AG855">
        <f>IFERROR(AH855*0.1, "N/A")</f>
        <v>5.6925734024179597</v>
      </c>
      <c r="AH855">
        <v>56.925734024179597</v>
      </c>
      <c r="AI855">
        <v>233.164378138198</v>
      </c>
      <c r="AJ855">
        <v>30</v>
      </c>
      <c r="AK855">
        <v>54.445595854922303</v>
      </c>
    </row>
    <row r="856" spans="1:37" x14ac:dyDescent="0.3">
      <c r="A856">
        <v>855</v>
      </c>
      <c r="B856">
        <v>0</v>
      </c>
      <c r="C856">
        <v>28.761700000000001</v>
      </c>
      <c r="D856">
        <v>-9.2807099999999991</v>
      </c>
      <c r="E856" t="s">
        <v>1421</v>
      </c>
      <c r="F856" t="s">
        <v>1423</v>
      </c>
      <c r="G856" t="s">
        <v>37</v>
      </c>
      <c r="H856">
        <v>2001</v>
      </c>
      <c r="I856">
        <v>23.100000381469702</v>
      </c>
      <c r="J856">
        <v>12.199999809265099</v>
      </c>
      <c r="K856">
        <v>62</v>
      </c>
      <c r="L856">
        <v>14.9099998474121</v>
      </c>
      <c r="M856">
        <v>32</v>
      </c>
      <c r="N856">
        <v>12.5</v>
      </c>
      <c r="O856">
        <v>19.5</v>
      </c>
      <c r="P856">
        <v>23.399999618530298</v>
      </c>
      <c r="Q856">
        <v>21</v>
      </c>
      <c r="R856">
        <v>24.799999237060501</v>
      </c>
      <c r="S856">
        <v>21</v>
      </c>
      <c r="T856">
        <v>1089</v>
      </c>
      <c r="U856">
        <v>196</v>
      </c>
      <c r="V856">
        <v>0</v>
      </c>
      <c r="W856">
        <v>87</v>
      </c>
      <c r="X856">
        <v>523</v>
      </c>
      <c r="Y856">
        <v>0</v>
      </c>
      <c r="Z856">
        <v>219</v>
      </c>
      <c r="AA856">
        <v>17</v>
      </c>
      <c r="AB856">
        <v>23.822656608410199</v>
      </c>
      <c r="AC856">
        <v>4.1768408021753002E-2</v>
      </c>
      <c r="AD856">
        <v>2.3043520911781701</v>
      </c>
      <c r="AE856">
        <v>0.26490476727485701</v>
      </c>
      <c r="AF856">
        <v>953.82728842832501</v>
      </c>
      <c r="AG856">
        <f>IFERROR(AH856*0.1, "N/A")</f>
        <v>5.6925734024179597</v>
      </c>
      <c r="AH856">
        <v>56.925734024179597</v>
      </c>
      <c r="AI856">
        <v>233.164378138198</v>
      </c>
      <c r="AJ856">
        <v>30</v>
      </c>
      <c r="AK856">
        <v>54.445595854922303</v>
      </c>
    </row>
    <row r="857" spans="1:37" x14ac:dyDescent="0.3">
      <c r="A857">
        <v>856</v>
      </c>
      <c r="B857">
        <v>84</v>
      </c>
      <c r="C857">
        <v>28.807600000000001</v>
      </c>
      <c r="D857">
        <v>-9.2415599999999998</v>
      </c>
      <c r="E857" t="s">
        <v>1424</v>
      </c>
      <c r="F857" t="s">
        <v>1425</v>
      </c>
      <c r="G857" t="s">
        <v>39</v>
      </c>
      <c r="H857">
        <v>2007</v>
      </c>
      <c r="I857">
        <v>23.100000381469702</v>
      </c>
      <c r="J857">
        <v>12.120689918255</v>
      </c>
      <c r="K857">
        <v>62.2068965517241</v>
      </c>
      <c r="L857">
        <v>14.9654826262902</v>
      </c>
      <c r="M857">
        <v>31.899999618530298</v>
      </c>
      <c r="N857">
        <v>12.523448365310101</v>
      </c>
      <c r="O857">
        <v>19.3765512532201</v>
      </c>
      <c r="P857">
        <v>23.420689352627502</v>
      </c>
      <c r="Q857">
        <v>20.933448021987399</v>
      </c>
      <c r="R857">
        <v>24.690000724792501</v>
      </c>
      <c r="S857">
        <v>20.923447983840401</v>
      </c>
      <c r="T857">
        <v>1093.9068965517199</v>
      </c>
      <c r="U857">
        <v>196.79310344827601</v>
      </c>
      <c r="V857">
        <v>0</v>
      </c>
      <c r="W857">
        <v>86.306896551724194</v>
      </c>
      <c r="X857">
        <v>522.92068965517205</v>
      </c>
      <c r="Y857">
        <v>0</v>
      </c>
      <c r="Z857">
        <v>218.227586206897</v>
      </c>
      <c r="AA857">
        <v>13.482758620689699</v>
      </c>
      <c r="AB857">
        <v>25.5203385977909</v>
      </c>
      <c r="AC857">
        <v>0.16150772479394901</v>
      </c>
      <c r="AD857">
        <v>2.40988017875573</v>
      </c>
      <c r="AE857">
        <v>0.25782409310340898</v>
      </c>
      <c r="AF857">
        <v>959.88620689655204</v>
      </c>
      <c r="AG857">
        <f>IFERROR(AH857*0.1, "N/A")</f>
        <v>5.2255172413793103</v>
      </c>
      <c r="AH857">
        <v>52.255172413793098</v>
      </c>
      <c r="AI857">
        <v>174.39490753699999</v>
      </c>
      <c r="AJ857">
        <v>23</v>
      </c>
      <c r="AK857">
        <v>64.127586206896595</v>
      </c>
    </row>
    <row r="858" spans="1:37" x14ac:dyDescent="0.3">
      <c r="A858">
        <v>857</v>
      </c>
      <c r="B858">
        <v>4</v>
      </c>
      <c r="C858">
        <v>28.807600000000001</v>
      </c>
      <c r="D858">
        <v>-9.2415599999999998</v>
      </c>
      <c r="E858" t="s">
        <v>1424</v>
      </c>
      <c r="F858" t="s">
        <v>1426</v>
      </c>
      <c r="G858" t="s">
        <v>37</v>
      </c>
      <c r="H858">
        <v>2007</v>
      </c>
      <c r="I858">
        <v>23.100000381469702</v>
      </c>
      <c r="J858">
        <v>12.120689918255</v>
      </c>
      <c r="K858">
        <v>62.2068965517241</v>
      </c>
      <c r="L858">
        <v>14.9654826262902</v>
      </c>
      <c r="M858">
        <v>31.899999618530298</v>
      </c>
      <c r="N858">
        <v>12.523448365310101</v>
      </c>
      <c r="O858">
        <v>19.3765512532201</v>
      </c>
      <c r="P858">
        <v>23.420689352627502</v>
      </c>
      <c r="Q858">
        <v>20.933448021987399</v>
      </c>
      <c r="R858">
        <v>24.690000724792501</v>
      </c>
      <c r="S858">
        <v>20.923447983840401</v>
      </c>
      <c r="T858">
        <v>1093.9068965517199</v>
      </c>
      <c r="U858">
        <v>196.79310344827601</v>
      </c>
      <c r="V858">
        <v>0</v>
      </c>
      <c r="W858">
        <v>86.306896551724194</v>
      </c>
      <c r="X858">
        <v>522.92068965517205</v>
      </c>
      <c r="Y858">
        <v>0</v>
      </c>
      <c r="Z858">
        <v>218.227586206897</v>
      </c>
      <c r="AA858">
        <v>13.482758620689699</v>
      </c>
      <c r="AB858">
        <v>25.5203385977909</v>
      </c>
      <c r="AC858">
        <v>0.16150772479394901</v>
      </c>
      <c r="AD858">
        <v>2.40988017875573</v>
      </c>
      <c r="AE858">
        <v>0.25782409310340898</v>
      </c>
      <c r="AF858">
        <v>959.88620689655204</v>
      </c>
      <c r="AG858">
        <f>IFERROR(AH858*0.1, "N/A")</f>
        <v>5.2255172413793103</v>
      </c>
      <c r="AH858">
        <v>52.255172413793098</v>
      </c>
      <c r="AI858">
        <v>174.39490753699999</v>
      </c>
      <c r="AJ858">
        <v>23</v>
      </c>
      <c r="AK858">
        <v>64.127586206896595</v>
      </c>
    </row>
    <row r="859" spans="1:37" x14ac:dyDescent="0.3">
      <c r="A859">
        <v>858</v>
      </c>
      <c r="B859">
        <v>80</v>
      </c>
      <c r="C859">
        <v>28.8277</v>
      </c>
      <c r="D859">
        <v>-9.1982300000000006</v>
      </c>
      <c r="E859" t="s">
        <v>1427</v>
      </c>
      <c r="F859" t="s">
        <v>1428</v>
      </c>
      <c r="G859" t="s">
        <v>39</v>
      </c>
      <c r="H859">
        <v>2007</v>
      </c>
      <c r="I859">
        <v>23.200000762939499</v>
      </c>
      <c r="J859">
        <v>12.1000003814697</v>
      </c>
      <c r="K859">
        <v>62</v>
      </c>
      <c r="L859">
        <v>14.4899997711182</v>
      </c>
      <c r="M859">
        <v>32</v>
      </c>
      <c r="N859">
        <v>12.699999809265099</v>
      </c>
      <c r="O859">
        <v>19.299999237060501</v>
      </c>
      <c r="P859">
        <v>23.5</v>
      </c>
      <c r="Q859">
        <v>21.200000762939499</v>
      </c>
      <c r="R859">
        <v>24.899999618530298</v>
      </c>
      <c r="S859">
        <v>21.200000762939499</v>
      </c>
      <c r="T859">
        <v>1087</v>
      </c>
      <c r="U859">
        <v>195</v>
      </c>
      <c r="V859">
        <v>0</v>
      </c>
      <c r="W859">
        <v>87</v>
      </c>
      <c r="X859">
        <v>519</v>
      </c>
      <c r="Y859">
        <v>0</v>
      </c>
      <c r="Z859">
        <v>216</v>
      </c>
      <c r="AA859">
        <v>17</v>
      </c>
      <c r="AB859">
        <v>13.693982270921</v>
      </c>
      <c r="AC859">
        <v>0.13225516170385501</v>
      </c>
      <c r="AD859">
        <v>0.54008575743755904</v>
      </c>
      <c r="AE859">
        <v>0.24544264334985799</v>
      </c>
      <c r="AF859">
        <v>940.48877374784104</v>
      </c>
      <c r="AG859">
        <f>IFERROR(AH859*0.1, "N/A")</f>
        <v>6.0754749568221103</v>
      </c>
      <c r="AH859">
        <v>60.754749568221101</v>
      </c>
      <c r="AI859">
        <v>58.214343892889701</v>
      </c>
      <c r="AJ859">
        <v>26.240069084628701</v>
      </c>
      <c r="AK859">
        <v>55.861830742659798</v>
      </c>
    </row>
    <row r="860" spans="1:37" x14ac:dyDescent="0.3">
      <c r="A860">
        <v>859</v>
      </c>
      <c r="B860">
        <v>4</v>
      </c>
      <c r="C860">
        <v>28.8277</v>
      </c>
      <c r="D860">
        <v>-9.1982300000000006</v>
      </c>
      <c r="E860" t="s">
        <v>1427</v>
      </c>
      <c r="F860" t="s">
        <v>1429</v>
      </c>
      <c r="G860" t="s">
        <v>37</v>
      </c>
      <c r="H860">
        <v>2007</v>
      </c>
      <c r="I860">
        <v>23.200000762939499</v>
      </c>
      <c r="J860">
        <v>12.1000003814697</v>
      </c>
      <c r="K860">
        <v>62</v>
      </c>
      <c r="L860">
        <v>14.4899997711182</v>
      </c>
      <c r="M860">
        <v>32</v>
      </c>
      <c r="N860">
        <v>12.699999809265099</v>
      </c>
      <c r="O860">
        <v>19.299999237060501</v>
      </c>
      <c r="P860">
        <v>23.5</v>
      </c>
      <c r="Q860">
        <v>21.200000762939499</v>
      </c>
      <c r="R860">
        <v>24.899999618530298</v>
      </c>
      <c r="S860">
        <v>21.200000762939499</v>
      </c>
      <c r="T860">
        <v>1087</v>
      </c>
      <c r="U860">
        <v>195</v>
      </c>
      <c r="V860">
        <v>0</v>
      </c>
      <c r="W860">
        <v>87</v>
      </c>
      <c r="X860">
        <v>519</v>
      </c>
      <c r="Y860">
        <v>0</v>
      </c>
      <c r="Z860">
        <v>216</v>
      </c>
      <c r="AA860">
        <v>17</v>
      </c>
      <c r="AB860">
        <v>13.693982270921</v>
      </c>
      <c r="AC860">
        <v>0.13225516170385501</v>
      </c>
      <c r="AD860">
        <v>0.54008575743755904</v>
      </c>
      <c r="AE860">
        <v>0.24544264334985799</v>
      </c>
      <c r="AF860">
        <v>940.48877374784104</v>
      </c>
      <c r="AG860">
        <f>IFERROR(AH860*0.1, "N/A")</f>
        <v>6.0754749568221103</v>
      </c>
      <c r="AH860">
        <v>60.754749568221101</v>
      </c>
      <c r="AI860">
        <v>58.214343892889701</v>
      </c>
      <c r="AJ860">
        <v>26.240069084628701</v>
      </c>
      <c r="AK860">
        <v>55.861830742659798</v>
      </c>
    </row>
    <row r="861" spans="1:37" x14ac:dyDescent="0.3">
      <c r="A861">
        <v>860</v>
      </c>
      <c r="B861">
        <v>26.1</v>
      </c>
      <c r="C861">
        <v>31.700001</v>
      </c>
      <c r="D861">
        <v>-9.1833299999999998</v>
      </c>
      <c r="E861" t="s">
        <v>1430</v>
      </c>
      <c r="F861" t="s">
        <v>1431</v>
      </c>
      <c r="G861" t="s">
        <v>39</v>
      </c>
      <c r="H861">
        <v>1946</v>
      </c>
      <c r="I861">
        <v>19.727162978228399</v>
      </c>
      <c r="J861">
        <v>11.527162733375</v>
      </c>
      <c r="K861">
        <v>64.271626297577896</v>
      </c>
      <c r="L861">
        <v>11.945726868190601</v>
      </c>
      <c r="M861">
        <v>28.727162978228399</v>
      </c>
      <c r="N861">
        <v>10.945501522209399</v>
      </c>
      <c r="O861">
        <v>17.781660416546998</v>
      </c>
      <c r="P861">
        <v>19.654325330133702</v>
      </c>
      <c r="Q861">
        <v>18.127163114844699</v>
      </c>
      <c r="R861">
        <v>21.227162978228399</v>
      </c>
      <c r="S861">
        <v>18.063495051902098</v>
      </c>
      <c r="T861">
        <v>1049.0069204152201</v>
      </c>
      <c r="U861">
        <v>217</v>
      </c>
      <c r="V861">
        <v>0</v>
      </c>
      <c r="W861">
        <v>102</v>
      </c>
      <c r="X861">
        <v>617.09169550172999</v>
      </c>
      <c r="Y861">
        <v>1</v>
      </c>
      <c r="Z861">
        <v>122.728373702422</v>
      </c>
      <c r="AA861">
        <v>13.1833910034602</v>
      </c>
      <c r="AB861">
        <v>4.9629998124594499</v>
      </c>
      <c r="AC861">
        <v>1.2573067024736999E-2</v>
      </c>
      <c r="AD861">
        <v>2.16754716500692</v>
      </c>
      <c r="AE861">
        <v>0.23379491269588501</v>
      </c>
      <c r="AF861">
        <v>1491.92214532872</v>
      </c>
      <c r="AG861">
        <f>IFERROR(AH861*0.1, "N/A")</f>
        <v>5.9275086505190302</v>
      </c>
      <c r="AH861">
        <v>59.275086505190302</v>
      </c>
      <c r="AI861">
        <v>108.304610414076</v>
      </c>
      <c r="AJ861">
        <v>30.4498269896194</v>
      </c>
      <c r="AK861">
        <v>55.100346020761201</v>
      </c>
    </row>
    <row r="862" spans="1:37" x14ac:dyDescent="0.3">
      <c r="A862">
        <v>861</v>
      </c>
      <c r="B862">
        <v>0</v>
      </c>
      <c r="C862">
        <v>31.700001</v>
      </c>
      <c r="D862">
        <v>-9.1833299999999998</v>
      </c>
      <c r="E862" t="s">
        <v>1430</v>
      </c>
      <c r="F862" t="s">
        <v>1432</v>
      </c>
      <c r="G862" t="s">
        <v>37</v>
      </c>
      <c r="H862">
        <v>1946</v>
      </c>
      <c r="I862">
        <v>19.727162978228399</v>
      </c>
      <c r="J862">
        <v>11.527162733375</v>
      </c>
      <c r="K862">
        <v>64.271626297577896</v>
      </c>
      <c r="L862">
        <v>11.945726868190601</v>
      </c>
      <c r="M862">
        <v>28.727162978228399</v>
      </c>
      <c r="N862">
        <v>10.945501522209399</v>
      </c>
      <c r="O862">
        <v>17.781660416546998</v>
      </c>
      <c r="P862">
        <v>19.654325330133702</v>
      </c>
      <c r="Q862">
        <v>18.127163114844699</v>
      </c>
      <c r="R862">
        <v>21.227162978228399</v>
      </c>
      <c r="S862">
        <v>18.063495051902098</v>
      </c>
      <c r="T862">
        <v>1049.0069204152201</v>
      </c>
      <c r="U862">
        <v>217</v>
      </c>
      <c r="V862">
        <v>0</v>
      </c>
      <c r="W862">
        <v>102</v>
      </c>
      <c r="X862">
        <v>617.09169550172999</v>
      </c>
      <c r="Y862">
        <v>1</v>
      </c>
      <c r="Z862">
        <v>122.728373702422</v>
      </c>
      <c r="AA862">
        <v>13.1833910034602</v>
      </c>
      <c r="AB862">
        <v>4.9629998124594499</v>
      </c>
      <c r="AC862">
        <v>1.2573067024736999E-2</v>
      </c>
      <c r="AD862">
        <v>2.16754716500692</v>
      </c>
      <c r="AE862">
        <v>0.23379491269588501</v>
      </c>
      <c r="AF862">
        <v>1491.92214532872</v>
      </c>
      <c r="AG862">
        <f>IFERROR(AH862*0.1, "N/A")</f>
        <v>5.9275086505190302</v>
      </c>
      <c r="AH862">
        <v>59.275086505190302</v>
      </c>
      <c r="AI862">
        <v>108.304610414076</v>
      </c>
      <c r="AJ862">
        <v>30.4498269896194</v>
      </c>
      <c r="AK862">
        <v>55.100346020761201</v>
      </c>
    </row>
    <row r="863" spans="1:37" x14ac:dyDescent="0.3">
      <c r="A863">
        <v>862</v>
      </c>
      <c r="B863">
        <v>15</v>
      </c>
      <c r="C863">
        <v>31.665899</v>
      </c>
      <c r="D863">
        <v>-9.0102100000000007</v>
      </c>
      <c r="E863" t="s">
        <v>1433</v>
      </c>
      <c r="F863" t="s">
        <v>1434</v>
      </c>
      <c r="G863" t="s">
        <v>39</v>
      </c>
      <c r="H863">
        <v>0</v>
      </c>
      <c r="I863">
        <v>19.3048435461975</v>
      </c>
      <c r="J863">
        <v>11.5</v>
      </c>
      <c r="K863">
        <v>65</v>
      </c>
      <c r="L863">
        <v>11.464844347283901</v>
      </c>
      <c r="M863">
        <v>28.204844979678899</v>
      </c>
      <c r="N863">
        <v>10.699999809265099</v>
      </c>
      <c r="O863">
        <v>17.504844309136899</v>
      </c>
      <c r="P863">
        <v>19.204844979678899</v>
      </c>
      <c r="Q863">
        <v>17.899999618530298</v>
      </c>
      <c r="R863">
        <v>20.8048435461975</v>
      </c>
      <c r="S863">
        <v>17.799999237060501</v>
      </c>
      <c r="T863">
        <v>1055.8546712802799</v>
      </c>
      <c r="U863">
        <v>213</v>
      </c>
      <c r="V863">
        <v>0</v>
      </c>
      <c r="W863">
        <v>100.048442906574</v>
      </c>
      <c r="X863">
        <v>609.951557093426</v>
      </c>
      <c r="Y863">
        <v>1</v>
      </c>
      <c r="Z863">
        <v>128.951557093426</v>
      </c>
      <c r="AA863">
        <v>16</v>
      </c>
      <c r="AB863">
        <v>20.737113767841699</v>
      </c>
      <c r="AC863">
        <v>3.0286152476516E-2</v>
      </c>
      <c r="AD863">
        <v>1.3499723693491299</v>
      </c>
      <c r="AE863">
        <v>0.51075977520134197</v>
      </c>
      <c r="AF863">
        <v>1574.24394463668</v>
      </c>
      <c r="AG863">
        <f>IFERROR(AH863*0.1, "N/A")</f>
        <v>6.1951557093425604</v>
      </c>
      <c r="AH863">
        <v>61.951557093425599</v>
      </c>
      <c r="AI863">
        <v>198.085702123939</v>
      </c>
      <c r="AJ863">
        <v>26.955017301038101</v>
      </c>
      <c r="AK863">
        <v>54.055363321799298</v>
      </c>
    </row>
    <row r="864" spans="1:37" x14ac:dyDescent="0.3">
      <c r="A864">
        <v>863</v>
      </c>
      <c r="B864">
        <v>7</v>
      </c>
      <c r="C864">
        <v>31.396298999999999</v>
      </c>
      <c r="D864">
        <v>-9.0073100000000004</v>
      </c>
      <c r="E864" t="s">
        <v>1435</v>
      </c>
      <c r="F864" t="s">
        <v>1436</v>
      </c>
      <c r="G864" t="s">
        <v>39</v>
      </c>
      <c r="H864">
        <v>1946</v>
      </c>
      <c r="I864">
        <v>18.600000381469702</v>
      </c>
      <c r="J864">
        <v>11.3999996185303</v>
      </c>
      <c r="K864">
        <v>65</v>
      </c>
      <c r="L864">
        <v>11.680000305175801</v>
      </c>
      <c r="M864">
        <v>27.399999618530298</v>
      </c>
      <c r="N864">
        <v>9.8999996185302699</v>
      </c>
      <c r="O864">
        <v>17.5</v>
      </c>
      <c r="P864">
        <v>18.399999618530298</v>
      </c>
      <c r="Q864">
        <v>17.100000381469702</v>
      </c>
      <c r="R864">
        <v>20.100000381469702</v>
      </c>
      <c r="S864">
        <v>17.100000381469702</v>
      </c>
      <c r="T864">
        <v>1177</v>
      </c>
      <c r="U864">
        <v>237</v>
      </c>
      <c r="V864">
        <v>0</v>
      </c>
      <c r="W864">
        <v>98</v>
      </c>
      <c r="X864">
        <v>665</v>
      </c>
      <c r="Y864">
        <v>2</v>
      </c>
      <c r="Z864">
        <v>155</v>
      </c>
      <c r="AA864">
        <v>19</v>
      </c>
      <c r="AB864">
        <v>20.6520589192708</v>
      </c>
      <c r="AC864">
        <v>9.7863248827669991E-3</v>
      </c>
      <c r="AD864">
        <v>4.5317421729494702</v>
      </c>
      <c r="AE864">
        <v>0.28441510500067901</v>
      </c>
      <c r="AF864">
        <v>1734.7357512953399</v>
      </c>
      <c r="AG864">
        <f>IFERROR(AH864*0.1, "N/A")</f>
        <v>6.0134715025906704</v>
      </c>
      <c r="AH864">
        <v>60.134715025906701</v>
      </c>
      <c r="AI864">
        <v>157.38782947256999</v>
      </c>
      <c r="AJ864">
        <v>35.397236614853199</v>
      </c>
      <c r="AK864">
        <v>46.473229706390299</v>
      </c>
    </row>
    <row r="865" spans="1:37" x14ac:dyDescent="0.3">
      <c r="A865">
        <v>864</v>
      </c>
      <c r="B865">
        <v>1.4</v>
      </c>
      <c r="C865">
        <v>31.396298999999999</v>
      </c>
      <c r="D865">
        <v>-9.0073100000000004</v>
      </c>
      <c r="E865" t="s">
        <v>1435</v>
      </c>
      <c r="F865" t="s">
        <v>1437</v>
      </c>
      <c r="G865" t="s">
        <v>37</v>
      </c>
      <c r="H865">
        <v>1946</v>
      </c>
      <c r="I865">
        <v>18.600000381469702</v>
      </c>
      <c r="J865">
        <v>11.3999996185303</v>
      </c>
      <c r="K865">
        <v>65</v>
      </c>
      <c r="L865">
        <v>11.680000305175801</v>
      </c>
      <c r="M865">
        <v>27.399999618530298</v>
      </c>
      <c r="N865">
        <v>9.8999996185302699</v>
      </c>
      <c r="O865">
        <v>17.5</v>
      </c>
      <c r="P865">
        <v>18.399999618530298</v>
      </c>
      <c r="Q865">
        <v>17.100000381469702</v>
      </c>
      <c r="R865">
        <v>20.100000381469702</v>
      </c>
      <c r="S865">
        <v>17.100000381469702</v>
      </c>
      <c r="T865">
        <v>1177</v>
      </c>
      <c r="U865">
        <v>237</v>
      </c>
      <c r="V865">
        <v>0</v>
      </c>
      <c r="W865">
        <v>98</v>
      </c>
      <c r="X865">
        <v>665</v>
      </c>
      <c r="Y865">
        <v>2</v>
      </c>
      <c r="Z865">
        <v>155</v>
      </c>
      <c r="AA865">
        <v>19</v>
      </c>
      <c r="AB865">
        <v>20.6520589192708</v>
      </c>
      <c r="AC865">
        <v>9.7863248827669991E-3</v>
      </c>
      <c r="AD865">
        <v>4.5317421729494702</v>
      </c>
      <c r="AE865">
        <v>0.28441510500067901</v>
      </c>
      <c r="AF865">
        <v>1734.7357512953399</v>
      </c>
      <c r="AG865">
        <f>IFERROR(AH865*0.1, "N/A")</f>
        <v>6.0134715025906704</v>
      </c>
      <c r="AH865">
        <v>60.134715025906701</v>
      </c>
      <c r="AI865">
        <v>157.38782947256999</v>
      </c>
      <c r="AJ865">
        <v>35.397236614853199</v>
      </c>
      <c r="AK865">
        <v>46.473229706390299</v>
      </c>
    </row>
    <row r="866" spans="1:37" x14ac:dyDescent="0.3">
      <c r="A866">
        <v>865</v>
      </c>
      <c r="B866">
        <v>0</v>
      </c>
      <c r="C866">
        <v>29.462700000000002</v>
      </c>
      <c r="D866">
        <v>-8.9944000000000006</v>
      </c>
      <c r="E866" t="s">
        <v>1438</v>
      </c>
      <c r="F866" t="s">
        <v>1439</v>
      </c>
      <c r="G866" t="s">
        <v>39</v>
      </c>
      <c r="H866">
        <v>1946</v>
      </c>
      <c r="I866">
        <v>23.600000381469702</v>
      </c>
      <c r="J866">
        <v>11.8999996185303</v>
      </c>
      <c r="K866">
        <v>64</v>
      </c>
      <c r="L866">
        <v>13.819999694824199</v>
      </c>
      <c r="M866">
        <v>32</v>
      </c>
      <c r="N866">
        <v>13.5</v>
      </c>
      <c r="O866">
        <v>18.5</v>
      </c>
      <c r="P866">
        <v>23.799999237060501</v>
      </c>
      <c r="Q866">
        <v>21.600000381469702</v>
      </c>
      <c r="R866">
        <v>25.100000381469702</v>
      </c>
      <c r="S866">
        <v>21.600000381469702</v>
      </c>
      <c r="T866">
        <v>1113</v>
      </c>
      <c r="U866">
        <v>205</v>
      </c>
      <c r="V866">
        <v>0</v>
      </c>
      <c r="W866">
        <v>89</v>
      </c>
      <c r="X866">
        <v>558</v>
      </c>
      <c r="Y866">
        <v>0</v>
      </c>
      <c r="Z866">
        <v>205</v>
      </c>
      <c r="AA866">
        <v>18</v>
      </c>
      <c r="AB866">
        <v>16.881379913172001</v>
      </c>
      <c r="AC866">
        <v>1.8552339402556999E-2</v>
      </c>
      <c r="AD866">
        <v>2.3102300138259402</v>
      </c>
      <c r="AE866">
        <v>0.261118054389954</v>
      </c>
      <c r="AF866">
        <v>953.03799654576903</v>
      </c>
      <c r="AG866">
        <f>IFERROR(AH866*0.1, "N/A")</f>
        <v>6.0937823834196898</v>
      </c>
      <c r="AH866">
        <v>60.937823834196898</v>
      </c>
      <c r="AI866">
        <v>296.86443902050303</v>
      </c>
      <c r="AJ866">
        <v>25.8583765112263</v>
      </c>
      <c r="AK866">
        <v>57.1813471502591</v>
      </c>
    </row>
    <row r="867" spans="1:37" x14ac:dyDescent="0.3">
      <c r="A867">
        <v>866</v>
      </c>
      <c r="B867">
        <v>5.0999999999999996</v>
      </c>
      <c r="C867">
        <v>29.462700000000002</v>
      </c>
      <c r="D867">
        <v>-8.9944000000000006</v>
      </c>
      <c r="E867" t="s">
        <v>1438</v>
      </c>
      <c r="F867" t="s">
        <v>1440</v>
      </c>
      <c r="G867" t="s">
        <v>37</v>
      </c>
      <c r="H867">
        <v>1946</v>
      </c>
      <c r="I867">
        <v>23.600000381469702</v>
      </c>
      <c r="J867">
        <v>11.8999996185303</v>
      </c>
      <c r="K867">
        <v>64</v>
      </c>
      <c r="L867">
        <v>13.819999694824199</v>
      </c>
      <c r="M867">
        <v>32</v>
      </c>
      <c r="N867">
        <v>13.5</v>
      </c>
      <c r="O867">
        <v>18.5</v>
      </c>
      <c r="P867">
        <v>23.799999237060501</v>
      </c>
      <c r="Q867">
        <v>21.600000381469702</v>
      </c>
      <c r="R867">
        <v>25.100000381469702</v>
      </c>
      <c r="S867">
        <v>21.600000381469702</v>
      </c>
      <c r="T867">
        <v>1113</v>
      </c>
      <c r="U867">
        <v>205</v>
      </c>
      <c r="V867">
        <v>0</v>
      </c>
      <c r="W867">
        <v>89</v>
      </c>
      <c r="X867">
        <v>558</v>
      </c>
      <c r="Y867">
        <v>0</v>
      </c>
      <c r="Z867">
        <v>205</v>
      </c>
      <c r="AA867">
        <v>18</v>
      </c>
      <c r="AB867">
        <v>16.881379913172001</v>
      </c>
      <c r="AC867">
        <v>1.8552339402556999E-2</v>
      </c>
      <c r="AD867">
        <v>2.3102300138259402</v>
      </c>
      <c r="AE867">
        <v>0.261118054389954</v>
      </c>
      <c r="AF867">
        <v>953.03799654576903</v>
      </c>
      <c r="AG867">
        <f>IFERROR(AH867*0.1, "N/A")</f>
        <v>6.0937823834196898</v>
      </c>
      <c r="AH867">
        <v>60.937823834196898</v>
      </c>
      <c r="AI867">
        <v>296.86443902050303</v>
      </c>
      <c r="AJ867">
        <v>25.8583765112263</v>
      </c>
      <c r="AK867">
        <v>57.1813471502591</v>
      </c>
    </row>
    <row r="868" spans="1:37" x14ac:dyDescent="0.3">
      <c r="A868">
        <v>867</v>
      </c>
      <c r="B868">
        <v>0</v>
      </c>
      <c r="C868">
        <v>29.033300000000001</v>
      </c>
      <c r="D868">
        <v>-8.9833300000000005</v>
      </c>
      <c r="E868" t="s">
        <v>1441</v>
      </c>
      <c r="F868" t="s">
        <v>1442</v>
      </c>
      <c r="G868" t="s">
        <v>39</v>
      </c>
      <c r="H868">
        <v>1946</v>
      </c>
      <c r="I868">
        <v>23.225432900821499</v>
      </c>
      <c r="J868">
        <v>11.9702421010159</v>
      </c>
      <c r="K868">
        <v>63.254325259515603</v>
      </c>
      <c r="L868">
        <v>14.058097134824401</v>
      </c>
      <c r="M868">
        <v>31.770241905661202</v>
      </c>
      <c r="N868">
        <v>12.9806227634522</v>
      </c>
      <c r="O868">
        <v>18.789619627295899</v>
      </c>
      <c r="P868">
        <v>23.625433004438701</v>
      </c>
      <c r="Q868">
        <v>21.225432900821499</v>
      </c>
      <c r="R868">
        <v>24.799999237060501</v>
      </c>
      <c r="S868">
        <v>21.225432900821499</v>
      </c>
      <c r="T868">
        <v>1115.4134948096901</v>
      </c>
      <c r="U868">
        <v>198.04325259515599</v>
      </c>
      <c r="V868">
        <v>0</v>
      </c>
      <c r="W868">
        <v>86.551903114186899</v>
      </c>
      <c r="X868">
        <v>525.534602076125</v>
      </c>
      <c r="Y868">
        <v>0</v>
      </c>
      <c r="Z868">
        <v>212.78892733564001</v>
      </c>
      <c r="AA868">
        <v>19.7456747404844</v>
      </c>
      <c r="AB868">
        <v>13.524563376878801</v>
      </c>
      <c r="AC868">
        <v>2.2325371285725999E-2</v>
      </c>
      <c r="AD868">
        <v>2.2540420293808001</v>
      </c>
      <c r="AE868">
        <v>0.45301309227943398</v>
      </c>
      <c r="AF868">
        <v>981.04152249134995</v>
      </c>
      <c r="AG868">
        <f>IFERROR(AH868*0.1, "N/A")</f>
        <v>5.5</v>
      </c>
      <c r="AH868">
        <v>55</v>
      </c>
      <c r="AI868">
        <v>34.699302719538601</v>
      </c>
      <c r="AJ868">
        <v>28.3131487889273</v>
      </c>
      <c r="AK868">
        <v>57.031141868512101</v>
      </c>
    </row>
    <row r="869" spans="1:37" x14ac:dyDescent="0.3">
      <c r="A869">
        <v>868</v>
      </c>
      <c r="B869">
        <v>42</v>
      </c>
      <c r="C869">
        <v>29.033300000000001</v>
      </c>
      <c r="D869">
        <v>-8.9833300000000005</v>
      </c>
      <c r="E869" t="s">
        <v>1441</v>
      </c>
      <c r="F869" t="s">
        <v>1443</v>
      </c>
      <c r="G869" t="s">
        <v>37</v>
      </c>
      <c r="H869">
        <v>1946</v>
      </c>
      <c r="I869">
        <v>23.225432900821499</v>
      </c>
      <c r="J869">
        <v>11.9702421010159</v>
      </c>
      <c r="K869">
        <v>63.254325259515603</v>
      </c>
      <c r="L869">
        <v>14.058097134824401</v>
      </c>
      <c r="M869">
        <v>31.770241905661202</v>
      </c>
      <c r="N869">
        <v>12.9806227634522</v>
      </c>
      <c r="O869">
        <v>18.789619627295899</v>
      </c>
      <c r="P869">
        <v>23.625433004438701</v>
      </c>
      <c r="Q869">
        <v>21.225432900821499</v>
      </c>
      <c r="R869">
        <v>24.799999237060501</v>
      </c>
      <c r="S869">
        <v>21.225432900821499</v>
      </c>
      <c r="T869">
        <v>1115.4134948096901</v>
      </c>
      <c r="U869">
        <v>198.04325259515599</v>
      </c>
      <c r="V869">
        <v>0</v>
      </c>
      <c r="W869">
        <v>86.551903114186899</v>
      </c>
      <c r="X869">
        <v>525.534602076125</v>
      </c>
      <c r="Y869">
        <v>0</v>
      </c>
      <c r="Z869">
        <v>212.78892733564001</v>
      </c>
      <c r="AA869">
        <v>19.7456747404844</v>
      </c>
      <c r="AB869">
        <v>13.524563376878801</v>
      </c>
      <c r="AC869">
        <v>2.2325371285725999E-2</v>
      </c>
      <c r="AD869">
        <v>2.2540420293808001</v>
      </c>
      <c r="AE869">
        <v>0.45301309227943398</v>
      </c>
      <c r="AF869">
        <v>981.04152249134995</v>
      </c>
      <c r="AG869">
        <f>IFERROR(AH869*0.1, "N/A")</f>
        <v>5.5</v>
      </c>
      <c r="AH869">
        <v>55</v>
      </c>
      <c r="AI869">
        <v>34.699302719538601</v>
      </c>
      <c r="AJ869">
        <v>28.3131487889273</v>
      </c>
      <c r="AK869">
        <v>57.031141868512101</v>
      </c>
    </row>
    <row r="870" spans="1:37" x14ac:dyDescent="0.3">
      <c r="A870">
        <v>869</v>
      </c>
      <c r="B870">
        <v>30.9</v>
      </c>
      <c r="C870">
        <v>31.527201000000002</v>
      </c>
      <c r="D870">
        <v>-8.8286999999999995</v>
      </c>
      <c r="E870" t="s">
        <v>1444</v>
      </c>
      <c r="F870" t="s">
        <v>1445</v>
      </c>
      <c r="G870" t="s">
        <v>39</v>
      </c>
      <c r="H870">
        <v>1946</v>
      </c>
      <c r="I870">
        <v>19</v>
      </c>
      <c r="J870">
        <v>11.5</v>
      </c>
      <c r="K870">
        <v>65</v>
      </c>
      <c r="L870">
        <v>11.449999809265099</v>
      </c>
      <c r="M870">
        <v>27.799999237060501</v>
      </c>
      <c r="N870">
        <v>10.199999809265099</v>
      </c>
      <c r="O870">
        <v>17.600000381469702</v>
      </c>
      <c r="P870">
        <v>18.899999618530298</v>
      </c>
      <c r="Q870">
        <v>17.5</v>
      </c>
      <c r="R870">
        <v>20.5</v>
      </c>
      <c r="S870">
        <v>17.5</v>
      </c>
      <c r="T870">
        <v>1093</v>
      </c>
      <c r="U870">
        <v>215</v>
      </c>
      <c r="V870">
        <v>0</v>
      </c>
      <c r="W870">
        <v>97</v>
      </c>
      <c r="X870">
        <v>614</v>
      </c>
      <c r="Y870">
        <v>1</v>
      </c>
      <c r="Z870">
        <v>142</v>
      </c>
      <c r="AA870">
        <v>21</v>
      </c>
      <c r="AB870">
        <v>6.1434787373402298</v>
      </c>
      <c r="AC870">
        <v>1.0996330839354E-2</v>
      </c>
      <c r="AD870">
        <v>2.3293081375300599</v>
      </c>
      <c r="AE870">
        <v>0.47407774495499999</v>
      </c>
      <c r="AF870">
        <v>1693.79029462738</v>
      </c>
      <c r="AG870">
        <f>IFERROR(AH870*0.1, "N/A")</f>
        <v>5.7556325823223604</v>
      </c>
      <c r="AH870">
        <v>57.556325823223602</v>
      </c>
      <c r="AI870">
        <v>251.26804287016299</v>
      </c>
      <c r="AJ870">
        <v>31.112651646447102</v>
      </c>
      <c r="AK870">
        <v>51.3310225303293</v>
      </c>
    </row>
    <row r="871" spans="1:37" x14ac:dyDescent="0.3">
      <c r="A871">
        <v>870</v>
      </c>
      <c r="B871">
        <v>2.9</v>
      </c>
      <c r="C871">
        <v>31.527201000000002</v>
      </c>
      <c r="D871">
        <v>-8.8286999999999995</v>
      </c>
      <c r="E871" t="s">
        <v>1444</v>
      </c>
      <c r="F871" t="s">
        <v>1446</v>
      </c>
      <c r="G871" t="s">
        <v>37</v>
      </c>
      <c r="H871">
        <v>1946</v>
      </c>
      <c r="I871">
        <v>19</v>
      </c>
      <c r="J871">
        <v>11.5</v>
      </c>
      <c r="K871">
        <v>65</v>
      </c>
      <c r="L871">
        <v>11.449999809265099</v>
      </c>
      <c r="M871">
        <v>27.799999237060501</v>
      </c>
      <c r="N871">
        <v>10.199999809265099</v>
      </c>
      <c r="O871">
        <v>17.600000381469702</v>
      </c>
      <c r="P871">
        <v>18.899999618530298</v>
      </c>
      <c r="Q871">
        <v>17.5</v>
      </c>
      <c r="R871">
        <v>20.5</v>
      </c>
      <c r="S871">
        <v>17.5</v>
      </c>
      <c r="T871">
        <v>1093</v>
      </c>
      <c r="U871">
        <v>215</v>
      </c>
      <c r="V871">
        <v>0</v>
      </c>
      <c r="W871">
        <v>97</v>
      </c>
      <c r="X871">
        <v>614</v>
      </c>
      <c r="Y871">
        <v>1</v>
      </c>
      <c r="Z871">
        <v>142</v>
      </c>
      <c r="AA871">
        <v>21</v>
      </c>
      <c r="AB871">
        <v>6.1434787373402298</v>
      </c>
      <c r="AC871">
        <v>1.0996330839354E-2</v>
      </c>
      <c r="AD871">
        <v>2.3293081375300599</v>
      </c>
      <c r="AE871">
        <v>0.47407774495499999</v>
      </c>
      <c r="AF871">
        <v>1693.79029462738</v>
      </c>
      <c r="AG871">
        <f>IFERROR(AH871*0.1, "N/A")</f>
        <v>5.7556325823223604</v>
      </c>
      <c r="AH871">
        <v>57.556325823223602</v>
      </c>
      <c r="AI871">
        <v>251.26804287016299</v>
      </c>
      <c r="AJ871">
        <v>31.112651646447102</v>
      </c>
      <c r="AK871">
        <v>51.3310225303293</v>
      </c>
    </row>
    <row r="872" spans="1:37" x14ac:dyDescent="0.3">
      <c r="A872">
        <v>871</v>
      </c>
      <c r="B872">
        <v>0</v>
      </c>
      <c r="C872">
        <v>31.166900999999999</v>
      </c>
      <c r="D872">
        <v>-8.7665600000000001</v>
      </c>
      <c r="E872" t="s">
        <v>1447</v>
      </c>
      <c r="F872" t="s">
        <v>1448</v>
      </c>
      <c r="G872" t="s">
        <v>39</v>
      </c>
      <c r="H872">
        <v>1946</v>
      </c>
      <c r="I872">
        <v>23.705872840420199</v>
      </c>
      <c r="J872">
        <v>12.022452589967299</v>
      </c>
      <c r="K872">
        <v>66.376511226252205</v>
      </c>
      <c r="L872">
        <v>12.3912781746688</v>
      </c>
      <c r="M872">
        <v>32.353023232573697</v>
      </c>
      <c r="N872">
        <v>14.421070517241899</v>
      </c>
      <c r="O872">
        <v>17.931951671066699</v>
      </c>
      <c r="P872">
        <v>23.890673309616101</v>
      </c>
      <c r="Q872">
        <v>21.983419487513402</v>
      </c>
      <c r="R872">
        <v>25.153022897881801</v>
      </c>
      <c r="S872">
        <v>21.983419487513402</v>
      </c>
      <c r="T872">
        <v>1131.6839378238301</v>
      </c>
      <c r="U872">
        <v>231.927461139896</v>
      </c>
      <c r="V872">
        <v>0</v>
      </c>
      <c r="W872">
        <v>102.59585492228</v>
      </c>
      <c r="X872">
        <v>671.67012089809998</v>
      </c>
      <c r="Y872">
        <v>1</v>
      </c>
      <c r="Z872">
        <v>134.78238341968901</v>
      </c>
      <c r="AA872">
        <v>3.1278065630397198</v>
      </c>
      <c r="AB872">
        <v>139.270137595801</v>
      </c>
      <c r="AC872">
        <v>1.9045207409802999E-2</v>
      </c>
      <c r="AD872">
        <v>4.7713884862593403</v>
      </c>
      <c r="AE872">
        <v>0.33668876878132298</v>
      </c>
      <c r="AF872">
        <v>952.43350604490502</v>
      </c>
      <c r="AG872">
        <f>IFERROR(AH872*0.1, "N/A")</f>
        <v>5.9153713298791004</v>
      </c>
      <c r="AH872">
        <v>59.153713298790997</v>
      </c>
      <c r="AI872">
        <v>296.54974887037503</v>
      </c>
      <c r="AJ872">
        <v>30.623488773747798</v>
      </c>
      <c r="AK872">
        <v>50.611398963730601</v>
      </c>
    </row>
    <row r="873" spans="1:37" x14ac:dyDescent="0.3">
      <c r="A873">
        <v>872</v>
      </c>
      <c r="B873">
        <v>61.299999</v>
      </c>
      <c r="C873">
        <v>31.166900999999999</v>
      </c>
      <c r="D873">
        <v>-8.7665600000000001</v>
      </c>
      <c r="E873" t="s">
        <v>1447</v>
      </c>
      <c r="F873" t="s">
        <v>1449</v>
      </c>
      <c r="G873" t="s">
        <v>37</v>
      </c>
      <c r="H873">
        <v>1946</v>
      </c>
      <c r="I873">
        <v>23.705872840420199</v>
      </c>
      <c r="J873">
        <v>12.022452589967299</v>
      </c>
      <c r="K873">
        <v>66.376511226252205</v>
      </c>
      <c r="L873">
        <v>12.3912781746688</v>
      </c>
      <c r="M873">
        <v>32.353023232573697</v>
      </c>
      <c r="N873">
        <v>14.421070517241899</v>
      </c>
      <c r="O873">
        <v>17.931951671066699</v>
      </c>
      <c r="P873">
        <v>23.890673309616101</v>
      </c>
      <c r="Q873">
        <v>21.983419487513402</v>
      </c>
      <c r="R873">
        <v>25.153022897881801</v>
      </c>
      <c r="S873">
        <v>21.983419487513402</v>
      </c>
      <c r="T873">
        <v>1131.6839378238301</v>
      </c>
      <c r="U873">
        <v>231.927461139896</v>
      </c>
      <c r="V873">
        <v>0</v>
      </c>
      <c r="W873">
        <v>102.59585492228</v>
      </c>
      <c r="X873">
        <v>671.67012089809998</v>
      </c>
      <c r="Y873">
        <v>1</v>
      </c>
      <c r="Z873">
        <v>134.78238341968901</v>
      </c>
      <c r="AA873">
        <v>3.1278065630397198</v>
      </c>
      <c r="AB873">
        <v>139.270137595801</v>
      </c>
      <c r="AC873">
        <v>1.9045207409802999E-2</v>
      </c>
      <c r="AD873">
        <v>4.7713884862593403</v>
      </c>
      <c r="AE873">
        <v>0.33668876878132298</v>
      </c>
      <c r="AF873">
        <v>952.43350604490502</v>
      </c>
      <c r="AG873">
        <f>IFERROR(AH873*0.1, "N/A")</f>
        <v>5.9153713298791004</v>
      </c>
      <c r="AH873">
        <v>59.153713298790997</v>
      </c>
      <c r="AI873">
        <v>296.54974887037503</v>
      </c>
      <c r="AJ873">
        <v>30.623488773747798</v>
      </c>
      <c r="AK873">
        <v>50.611398963730601</v>
      </c>
    </row>
    <row r="874" spans="1:37" x14ac:dyDescent="0.3">
      <c r="A874">
        <v>873</v>
      </c>
      <c r="B874">
        <v>6.7</v>
      </c>
      <c r="C874">
        <v>31.117100000000001</v>
      </c>
      <c r="D874">
        <v>-8.7645300000000006</v>
      </c>
      <c r="E874" t="s">
        <v>1450</v>
      </c>
      <c r="F874" t="s">
        <v>1451</v>
      </c>
      <c r="G874" t="s">
        <v>39</v>
      </c>
      <c r="H874">
        <v>1946</v>
      </c>
      <c r="I874">
        <v>24.299999237060501</v>
      </c>
      <c r="J874">
        <v>12.019031214466599</v>
      </c>
      <c r="K874">
        <v>66.190311418685098</v>
      </c>
      <c r="L874">
        <v>12.4066437783951</v>
      </c>
      <c r="M874">
        <v>32.980969148523698</v>
      </c>
      <c r="N874">
        <v>15</v>
      </c>
      <c r="O874">
        <v>17.980968785533399</v>
      </c>
      <c r="P874">
        <v>24.5</v>
      </c>
      <c r="Q874">
        <v>22.5</v>
      </c>
      <c r="R874">
        <v>25.700000762939499</v>
      </c>
      <c r="S874">
        <v>22.5</v>
      </c>
      <c r="T874">
        <v>1131.19031141869</v>
      </c>
      <c r="U874">
        <v>232.19031141868501</v>
      </c>
      <c r="V874">
        <v>0</v>
      </c>
      <c r="W874">
        <v>103</v>
      </c>
      <c r="X874">
        <v>674.19031141868504</v>
      </c>
      <c r="Y874">
        <v>1</v>
      </c>
      <c r="Z874">
        <v>133</v>
      </c>
      <c r="AA874">
        <v>3.4740484429065801</v>
      </c>
      <c r="AB874">
        <v>24.094820755163301</v>
      </c>
      <c r="AC874">
        <v>1.0248205352214001E-2</v>
      </c>
      <c r="AD874">
        <v>1.7716195618405099</v>
      </c>
      <c r="AE874">
        <v>0.62924018388800995</v>
      </c>
      <c r="AF874">
        <v>795.82352941176498</v>
      </c>
      <c r="AG874">
        <f>IFERROR(AH874*0.1, "N/A")</f>
        <v>5.63806228373703</v>
      </c>
      <c r="AH874">
        <v>56.380622837370296</v>
      </c>
      <c r="AI874">
        <v>251.43366418330299</v>
      </c>
      <c r="AJ874">
        <v>27.570934256055398</v>
      </c>
      <c r="AK874">
        <v>52.238754325259499</v>
      </c>
    </row>
    <row r="875" spans="1:37" x14ac:dyDescent="0.3">
      <c r="A875">
        <v>874</v>
      </c>
      <c r="B875">
        <v>6.7</v>
      </c>
      <c r="C875">
        <v>31.117100000000001</v>
      </c>
      <c r="D875">
        <v>-8.7645300000000006</v>
      </c>
      <c r="E875" t="s">
        <v>1450</v>
      </c>
      <c r="F875" t="s">
        <v>1452</v>
      </c>
      <c r="G875" t="s">
        <v>37</v>
      </c>
      <c r="H875">
        <v>1946</v>
      </c>
      <c r="I875">
        <v>24.299999237060501</v>
      </c>
      <c r="J875">
        <v>12.019031214466599</v>
      </c>
      <c r="K875">
        <v>66.190311418685098</v>
      </c>
      <c r="L875">
        <v>12.4066437783951</v>
      </c>
      <c r="M875">
        <v>32.980969148523698</v>
      </c>
      <c r="N875">
        <v>15</v>
      </c>
      <c r="O875">
        <v>17.980968785533399</v>
      </c>
      <c r="P875">
        <v>24.5</v>
      </c>
      <c r="Q875">
        <v>22.5</v>
      </c>
      <c r="R875">
        <v>25.700000762939499</v>
      </c>
      <c r="S875">
        <v>22.5</v>
      </c>
      <c r="T875">
        <v>1131.19031141869</v>
      </c>
      <c r="U875">
        <v>232.19031141868501</v>
      </c>
      <c r="V875">
        <v>0</v>
      </c>
      <c r="W875">
        <v>103</v>
      </c>
      <c r="X875">
        <v>674.19031141868504</v>
      </c>
      <c r="Y875">
        <v>1</v>
      </c>
      <c r="Z875">
        <v>133</v>
      </c>
      <c r="AA875">
        <v>3.4740484429065801</v>
      </c>
      <c r="AB875">
        <v>24.094820755163301</v>
      </c>
      <c r="AC875">
        <v>1.0248205352214001E-2</v>
      </c>
      <c r="AD875">
        <v>1.7716195618405099</v>
      </c>
      <c r="AE875">
        <v>0.62924018388800995</v>
      </c>
      <c r="AF875">
        <v>795.82352941176498</v>
      </c>
      <c r="AG875">
        <f>IFERROR(AH875*0.1, "N/A")</f>
        <v>5.63806228373703</v>
      </c>
      <c r="AH875">
        <v>56.380622837370296</v>
      </c>
      <c r="AI875">
        <v>251.43366418330299</v>
      </c>
      <c r="AJ875">
        <v>27.570934256055398</v>
      </c>
      <c r="AK875">
        <v>52.238754325259499</v>
      </c>
    </row>
    <row r="876" spans="1:37" x14ac:dyDescent="0.3">
      <c r="A876">
        <v>875</v>
      </c>
      <c r="B876">
        <v>1.3</v>
      </c>
      <c r="C876">
        <v>30.728611000000001</v>
      </c>
      <c r="D876">
        <v>-8.6472440000000006</v>
      </c>
      <c r="E876" t="s">
        <v>1453</v>
      </c>
      <c r="F876" t="s">
        <v>1454</v>
      </c>
      <c r="G876" t="s">
        <v>39</v>
      </c>
      <c r="H876">
        <v>1977</v>
      </c>
      <c r="I876">
        <v>25</v>
      </c>
      <c r="J876">
        <v>12</v>
      </c>
      <c r="K876">
        <v>67</v>
      </c>
      <c r="L876">
        <v>12.1000003814697</v>
      </c>
      <c r="M876">
        <v>33.400001525878899</v>
      </c>
      <c r="N876">
        <v>15.6000003814697</v>
      </c>
      <c r="O876">
        <v>17.799999237060501</v>
      </c>
      <c r="P876">
        <v>25.299999237060501</v>
      </c>
      <c r="Q876">
        <v>23.200000762939499</v>
      </c>
      <c r="R876">
        <v>26.299999237060501</v>
      </c>
      <c r="S876">
        <v>23.200000762939499</v>
      </c>
      <c r="T876">
        <v>1147</v>
      </c>
      <c r="U876">
        <v>235</v>
      </c>
      <c r="V876">
        <v>0</v>
      </c>
      <c r="W876">
        <v>102</v>
      </c>
      <c r="X876">
        <v>683</v>
      </c>
      <c r="Y876">
        <v>0</v>
      </c>
      <c r="Z876">
        <v>148</v>
      </c>
      <c r="AA876">
        <v>0</v>
      </c>
      <c r="AB876">
        <v>21.197051525942399</v>
      </c>
      <c r="AC876">
        <v>8.5653254171540003E-2</v>
      </c>
      <c r="AD876">
        <v>1.7325539097215701</v>
      </c>
      <c r="AE876">
        <v>0.43055132031440702</v>
      </c>
      <c r="AF876">
        <v>806.85441941074498</v>
      </c>
      <c r="AG876">
        <f>IFERROR(AH876*0.1, "N/A")</f>
        <v>5.8000000000000007</v>
      </c>
      <c r="AH876">
        <v>58</v>
      </c>
      <c r="AI876">
        <v>85.509942859669493</v>
      </c>
      <c r="AJ876">
        <v>29</v>
      </c>
      <c r="AK876">
        <v>58</v>
      </c>
    </row>
    <row r="877" spans="1:37" x14ac:dyDescent="0.3">
      <c r="A877">
        <v>876</v>
      </c>
      <c r="B877">
        <v>3</v>
      </c>
      <c r="C877">
        <v>0</v>
      </c>
      <c r="D877">
        <v>0</v>
      </c>
      <c r="E877" t="s">
        <v>1455</v>
      </c>
      <c r="F877" t="s">
        <v>1456</v>
      </c>
      <c r="G877" t="s">
        <v>39</v>
      </c>
      <c r="H877">
        <v>1985</v>
      </c>
      <c r="I877" t="s">
        <v>729</v>
      </c>
      <c r="J877" t="s">
        <v>729</v>
      </c>
      <c r="K877" t="s">
        <v>729</v>
      </c>
      <c r="L877" t="s">
        <v>729</v>
      </c>
      <c r="M877" t="s">
        <v>729</v>
      </c>
      <c r="N877" t="s">
        <v>729</v>
      </c>
      <c r="O877" t="s">
        <v>729</v>
      </c>
      <c r="P877" t="s">
        <v>729</v>
      </c>
      <c r="Q877" t="s">
        <v>729</v>
      </c>
      <c r="R877" t="s">
        <v>729</v>
      </c>
      <c r="S877" t="s">
        <v>729</v>
      </c>
      <c r="T877" t="s">
        <v>729</v>
      </c>
      <c r="U877" t="s">
        <v>729</v>
      </c>
      <c r="V877" t="s">
        <v>729</v>
      </c>
      <c r="W877" t="s">
        <v>729</v>
      </c>
      <c r="X877" t="s">
        <v>729</v>
      </c>
      <c r="Y877" t="s">
        <v>729</v>
      </c>
      <c r="Z877" t="s">
        <v>729</v>
      </c>
      <c r="AA877" t="s">
        <v>729</v>
      </c>
      <c r="AB877" t="s">
        <v>729</v>
      </c>
      <c r="AC877" t="s">
        <v>729</v>
      </c>
      <c r="AD877" t="s">
        <v>729</v>
      </c>
      <c r="AE877" t="s">
        <v>729</v>
      </c>
      <c r="AF877" t="s">
        <v>729</v>
      </c>
      <c r="AG877" t="str">
        <f>IFERROR(AH877*0.1, "N/A")</f>
        <v>N/A</v>
      </c>
      <c r="AH877" t="s">
        <v>729</v>
      </c>
      <c r="AI877" t="s">
        <v>729</v>
      </c>
      <c r="AJ877" t="s">
        <v>729</v>
      </c>
      <c r="AK877" t="s">
        <v>729</v>
      </c>
    </row>
    <row r="878" spans="1:37" x14ac:dyDescent="0.3">
      <c r="A878">
        <v>877</v>
      </c>
      <c r="B878">
        <v>20.200001</v>
      </c>
      <c r="C878">
        <v>30.895824999999999</v>
      </c>
      <c r="D878">
        <v>-9.7670189999999995</v>
      </c>
      <c r="E878" t="s">
        <v>1457</v>
      </c>
      <c r="F878" t="s">
        <v>1458</v>
      </c>
      <c r="G878" t="s">
        <v>39</v>
      </c>
      <c r="H878">
        <v>1993</v>
      </c>
      <c r="I878">
        <v>20.175173082022798</v>
      </c>
      <c r="J878">
        <v>12.3999996185303</v>
      </c>
      <c r="K878">
        <v>60</v>
      </c>
      <c r="L878">
        <v>16.963999886348301</v>
      </c>
      <c r="M878">
        <v>29.975172319083399</v>
      </c>
      <c r="N878">
        <v>9.4875861595416904</v>
      </c>
      <c r="O878">
        <v>20.487586159541699</v>
      </c>
      <c r="P878">
        <v>20.687586922481099</v>
      </c>
      <c r="Q878">
        <v>17.687586922481099</v>
      </c>
      <c r="R878">
        <v>21.975172319083399</v>
      </c>
      <c r="S878">
        <v>17.687586922481099</v>
      </c>
      <c r="T878">
        <v>1309.4965517241401</v>
      </c>
      <c r="U878">
        <v>273</v>
      </c>
      <c r="V878">
        <v>0</v>
      </c>
      <c r="W878">
        <v>102</v>
      </c>
      <c r="X878">
        <v>764</v>
      </c>
      <c r="Y878">
        <v>2</v>
      </c>
      <c r="Z878">
        <v>179.24827586206899</v>
      </c>
      <c r="AA878">
        <v>2</v>
      </c>
      <c r="AB878">
        <v>7.2541518638873903</v>
      </c>
      <c r="AC878">
        <v>0.86693841544108396</v>
      </c>
      <c r="AD878">
        <v>4.2756754258583296</v>
      </c>
      <c r="AE878">
        <v>0.14121194183826399</v>
      </c>
      <c r="AF878">
        <v>1398.3551724137899</v>
      </c>
      <c r="AG878">
        <f>IFERROR(AH878*0.1, "N/A")</f>
        <v>5.5</v>
      </c>
      <c r="AH878">
        <v>55</v>
      </c>
      <c r="AI878">
        <v>241.94114971818601</v>
      </c>
      <c r="AJ878">
        <v>27.8241379310345</v>
      </c>
      <c r="AK878">
        <v>55.4551724137931</v>
      </c>
    </row>
    <row r="879" spans="1:37" x14ac:dyDescent="0.3">
      <c r="A879">
        <v>878</v>
      </c>
      <c r="B879">
        <v>11.3</v>
      </c>
      <c r="C879">
        <v>31.451331</v>
      </c>
      <c r="D879">
        <v>-11.828022000000001</v>
      </c>
      <c r="E879" t="s">
        <v>1459</v>
      </c>
      <c r="F879" t="s">
        <v>1460</v>
      </c>
      <c r="G879" t="s">
        <v>39</v>
      </c>
      <c r="H879">
        <v>1985</v>
      </c>
      <c r="I879">
        <v>19.399999618530298</v>
      </c>
      <c r="J879">
        <v>11.6000003814697</v>
      </c>
      <c r="K879">
        <v>56</v>
      </c>
      <c r="L879">
        <v>22.299999237060501</v>
      </c>
      <c r="M879">
        <v>29.600000381469702</v>
      </c>
      <c r="N879">
        <v>8.8999996185302699</v>
      </c>
      <c r="O879">
        <v>20.700000762939499</v>
      </c>
      <c r="P879">
        <v>20.5</v>
      </c>
      <c r="Q879">
        <v>16.100000381469702</v>
      </c>
      <c r="R879">
        <v>21.799999237060501</v>
      </c>
      <c r="S879">
        <v>16.100000381469702</v>
      </c>
      <c r="T879">
        <v>1060</v>
      </c>
      <c r="U879">
        <v>255</v>
      </c>
      <c r="V879">
        <v>0</v>
      </c>
      <c r="W879">
        <v>117</v>
      </c>
      <c r="X879">
        <v>742</v>
      </c>
      <c r="Y879">
        <v>0</v>
      </c>
      <c r="Z879">
        <v>359</v>
      </c>
      <c r="AA879">
        <v>0</v>
      </c>
      <c r="AB879">
        <v>1.7879524684316599</v>
      </c>
      <c r="AC879">
        <v>0.29647647603675897</v>
      </c>
      <c r="AD879">
        <v>2.1225073363866001</v>
      </c>
      <c r="AE879">
        <v>0.53056383132934604</v>
      </c>
      <c r="AF879">
        <v>1408.4770797962699</v>
      </c>
      <c r="AG879">
        <f>IFERROR(AH879*0.1, "N/A")</f>
        <v>5.6872665534804803</v>
      </c>
      <c r="AH879">
        <v>56.872665534804803</v>
      </c>
      <c r="AI879">
        <v>309.17629833901498</v>
      </c>
      <c r="AJ879">
        <v>25.157894736842099</v>
      </c>
      <c r="AK879">
        <v>60.376910016977902</v>
      </c>
    </row>
    <row r="880" spans="1:37" x14ac:dyDescent="0.3">
      <c r="A880">
        <v>879</v>
      </c>
      <c r="B880">
        <v>61</v>
      </c>
      <c r="C880">
        <v>32.433332999999998</v>
      </c>
      <c r="D880">
        <v>-13.316667000000001</v>
      </c>
      <c r="E880" t="s">
        <v>1461</v>
      </c>
      <c r="F880" t="s">
        <v>1462</v>
      </c>
      <c r="G880" t="s">
        <v>39</v>
      </c>
      <c r="H880">
        <v>0</v>
      </c>
      <c r="I880">
        <v>22.913874702001799</v>
      </c>
      <c r="J880">
        <v>12.974619313545</v>
      </c>
      <c r="K880">
        <v>55.873096446700501</v>
      </c>
      <c r="L880">
        <v>26.555127400432099</v>
      </c>
      <c r="M880">
        <v>33.813874827222001</v>
      </c>
      <c r="N880">
        <v>10.787309786995101</v>
      </c>
      <c r="O880">
        <v>23.026565245162001</v>
      </c>
      <c r="P880">
        <v>24.251268532070402</v>
      </c>
      <c r="Q880">
        <v>19.126565626631699</v>
      </c>
      <c r="R880">
        <v>26.051269231108801</v>
      </c>
      <c r="S880">
        <v>19.126565626631699</v>
      </c>
      <c r="T880">
        <v>921.62098138747899</v>
      </c>
      <c r="U880">
        <v>230.75296108290999</v>
      </c>
      <c r="V880">
        <v>0</v>
      </c>
      <c r="W880">
        <v>113.49915397631101</v>
      </c>
      <c r="X880">
        <v>623.49407783417905</v>
      </c>
      <c r="Y880">
        <v>0</v>
      </c>
      <c r="Z880">
        <v>285.48730964467001</v>
      </c>
      <c r="AA880">
        <v>0</v>
      </c>
      <c r="AB880">
        <v>4.4067895053405204</v>
      </c>
      <c r="AC880">
        <v>0.235003084187</v>
      </c>
      <c r="AD880">
        <v>1.7790516794433899</v>
      </c>
      <c r="AE880">
        <v>0.19148191968499101</v>
      </c>
      <c r="AF880">
        <v>819.08798646362095</v>
      </c>
      <c r="AG880">
        <f>IFERROR(AH880*0.1, "N/A")</f>
        <v>5.8766497461928902</v>
      </c>
      <c r="AH880">
        <v>58.7664974619289</v>
      </c>
      <c r="AI880">
        <v>205.27226747877501</v>
      </c>
      <c r="AJ880">
        <v>20.467005076142101</v>
      </c>
      <c r="AK880">
        <v>69</v>
      </c>
    </row>
    <row r="881" spans="1:37" x14ac:dyDescent="0.3">
      <c r="A881">
        <v>880</v>
      </c>
      <c r="B881">
        <v>20.9</v>
      </c>
      <c r="C881">
        <v>31.816663999999999</v>
      </c>
      <c r="D881">
        <v>-13.633319</v>
      </c>
      <c r="E881" t="s">
        <v>1463</v>
      </c>
      <c r="F881" t="s">
        <v>1464</v>
      </c>
      <c r="G881" t="s">
        <v>39</v>
      </c>
      <c r="H881">
        <v>1985</v>
      </c>
      <c r="I881">
        <v>23.503716359267401</v>
      </c>
      <c r="J881">
        <v>13.7552365708996</v>
      </c>
      <c r="K881">
        <v>54.0675675675676</v>
      </c>
      <c r="L881">
        <v>29.722381662678099</v>
      </c>
      <c r="M881">
        <v>35.849831407134602</v>
      </c>
      <c r="N881">
        <v>10.6619932699848</v>
      </c>
      <c r="O881">
        <v>25.187837674811099</v>
      </c>
      <c r="P881">
        <v>25.003716359267401</v>
      </c>
      <c r="Q881">
        <v>19.4081078864433</v>
      </c>
      <c r="R881">
        <v>27.0498314000465</v>
      </c>
      <c r="S881">
        <v>19.4081078864433</v>
      </c>
      <c r="T881">
        <v>922.375</v>
      </c>
      <c r="U881">
        <v>242.60641891891899</v>
      </c>
      <c r="V881">
        <v>0</v>
      </c>
      <c r="W881">
        <v>114.091216216216</v>
      </c>
      <c r="X881">
        <v>634.09459459459504</v>
      </c>
      <c r="Y881">
        <v>0.61993243243243201</v>
      </c>
      <c r="Z881">
        <v>284.50168918918899</v>
      </c>
      <c r="AA881">
        <v>1.0253378378378399</v>
      </c>
      <c r="AB881">
        <v>6.0270443478146101</v>
      </c>
      <c r="AC881">
        <v>0.28027813544345898</v>
      </c>
      <c r="AD881">
        <v>4.2577442149254097</v>
      </c>
      <c r="AE881">
        <v>0.186507567763329</v>
      </c>
      <c r="AF881">
        <v>720.93412162162201</v>
      </c>
      <c r="AG881">
        <f>IFERROR(AH881*0.1, "N/A")</f>
        <v>5.8000000000000007</v>
      </c>
      <c r="AH881">
        <v>58</v>
      </c>
      <c r="AI881">
        <v>306.27177585782198</v>
      </c>
      <c r="AJ881">
        <v>21.773648648648699</v>
      </c>
      <c r="AK881">
        <v>69.908783783783804</v>
      </c>
    </row>
    <row r="882" spans="1:37" x14ac:dyDescent="0.3">
      <c r="A882">
        <v>881</v>
      </c>
      <c r="B882">
        <v>18.799999</v>
      </c>
      <c r="C882">
        <v>27.491596999999999</v>
      </c>
      <c r="D882">
        <v>-17.227391999999998</v>
      </c>
      <c r="E882" t="s">
        <v>1465</v>
      </c>
      <c r="F882" t="s">
        <v>1466</v>
      </c>
      <c r="G882" t="s">
        <v>37</v>
      </c>
      <c r="H882">
        <v>2007</v>
      </c>
      <c r="I882">
        <v>24.700000762939499</v>
      </c>
      <c r="J882">
        <v>14.3999996185303</v>
      </c>
      <c r="K882">
        <v>55</v>
      </c>
      <c r="L882">
        <v>28.5833339691162</v>
      </c>
      <c r="M882">
        <v>36.700000762939503</v>
      </c>
      <c r="N882">
        <v>10.800000190734901</v>
      </c>
      <c r="O882">
        <v>25.899999618530298</v>
      </c>
      <c r="P882">
        <v>26</v>
      </c>
      <c r="Q882">
        <v>20.600000381469702</v>
      </c>
      <c r="R882">
        <v>27.799999237060501</v>
      </c>
      <c r="S882">
        <v>20.600000381469702</v>
      </c>
      <c r="T882">
        <v>794.83333333333303</v>
      </c>
      <c r="U882">
        <v>195</v>
      </c>
      <c r="V882">
        <v>0</v>
      </c>
      <c r="W882">
        <v>115</v>
      </c>
      <c r="X882">
        <v>561</v>
      </c>
      <c r="Y882">
        <v>1</v>
      </c>
      <c r="Z882">
        <v>249</v>
      </c>
      <c r="AA882">
        <v>7</v>
      </c>
      <c r="AB882">
        <v>1.81732696432485</v>
      </c>
      <c r="AC882">
        <v>8.4912843445912004E-2</v>
      </c>
      <c r="AD882">
        <v>0.94827920444334302</v>
      </c>
      <c r="AE882">
        <v>0.64503514766693104</v>
      </c>
      <c r="AF882">
        <v>490.849834983498</v>
      </c>
      <c r="AG882">
        <f>IFERROR(AH882*0.1, "N/A")</f>
        <v>6.0226072607260699</v>
      </c>
      <c r="AH882">
        <v>60.226072607260697</v>
      </c>
      <c r="AI882">
        <v>104.121237222904</v>
      </c>
      <c r="AJ882">
        <v>22.1023102310231</v>
      </c>
      <c r="AK882">
        <v>65.899339933993403</v>
      </c>
    </row>
    <row r="883" spans="1:37" x14ac:dyDescent="0.3">
      <c r="A883">
        <v>882</v>
      </c>
      <c r="B883">
        <v>22.6</v>
      </c>
      <c r="C883">
        <v>32.718136000000001</v>
      </c>
      <c r="D883">
        <v>2.8780030000000001</v>
      </c>
      <c r="E883" t="s">
        <v>1467</v>
      </c>
      <c r="F883" t="s">
        <v>1468</v>
      </c>
      <c r="G883" t="s">
        <v>37</v>
      </c>
      <c r="H883">
        <v>1956</v>
      </c>
      <c r="I883">
        <v>23.600000381469702</v>
      </c>
      <c r="J883">
        <v>13.3999996185303</v>
      </c>
      <c r="K883">
        <v>77</v>
      </c>
      <c r="L883">
        <v>10.449999809265099</v>
      </c>
      <c r="M883">
        <v>33.5</v>
      </c>
      <c r="N883">
        <v>16.100000381469702</v>
      </c>
      <c r="O883">
        <v>17.399999618530298</v>
      </c>
      <c r="P883">
        <v>22.399999618530298</v>
      </c>
      <c r="Q883">
        <v>24.600000381469702</v>
      </c>
      <c r="R883">
        <v>25.100000381469702</v>
      </c>
      <c r="S883">
        <v>22.399999618530298</v>
      </c>
      <c r="T883">
        <v>1372</v>
      </c>
      <c r="U883">
        <v>214</v>
      </c>
      <c r="V883">
        <v>12</v>
      </c>
      <c r="W883">
        <v>54</v>
      </c>
      <c r="X883">
        <v>531</v>
      </c>
      <c r="Y883">
        <v>79</v>
      </c>
      <c r="Z883">
        <v>115</v>
      </c>
      <c r="AA883">
        <v>515</v>
      </c>
      <c r="AB883">
        <v>17.9198978047975</v>
      </c>
      <c r="AC883">
        <v>1.1528350517783E-2</v>
      </c>
      <c r="AD883">
        <v>1.2400725957163601</v>
      </c>
      <c r="AE883">
        <v>0.29858937859535201</v>
      </c>
      <c r="AF883">
        <v>1040.0088028169</v>
      </c>
      <c r="AG883">
        <f>IFERROR(AH883*0.1, "N/A")</f>
        <v>5.7</v>
      </c>
      <c r="AH883">
        <v>57</v>
      </c>
      <c r="AI883">
        <v>145.19962029725701</v>
      </c>
      <c r="AJ883">
        <v>42.980633802816897</v>
      </c>
      <c r="AK883">
        <v>39.4841549295775</v>
      </c>
    </row>
    <row r="884" spans="1:37" x14ac:dyDescent="0.3">
      <c r="A884">
        <v>883</v>
      </c>
      <c r="B884">
        <v>22.1</v>
      </c>
      <c r="C884">
        <v>32.627746999999999</v>
      </c>
      <c r="D884">
        <v>1.8730439999999999</v>
      </c>
      <c r="E884" t="s">
        <v>1469</v>
      </c>
      <c r="F884" t="s">
        <v>1470</v>
      </c>
      <c r="G884" t="s">
        <v>39</v>
      </c>
      <c r="H884">
        <v>1956</v>
      </c>
      <c r="I884">
        <v>23.5</v>
      </c>
      <c r="J884">
        <v>12.699999809265099</v>
      </c>
      <c r="K884">
        <v>79</v>
      </c>
      <c r="L884">
        <v>9.3699998855590803</v>
      </c>
      <c r="M884">
        <v>32.599998474121101</v>
      </c>
      <c r="N884">
        <v>16.600000381469702</v>
      </c>
      <c r="O884">
        <v>16</v>
      </c>
      <c r="P884">
        <v>22.700000762939499</v>
      </c>
      <c r="Q884">
        <v>24.399999618530298</v>
      </c>
      <c r="R884">
        <v>24.799999237060501</v>
      </c>
      <c r="S884">
        <v>22.299999237060501</v>
      </c>
      <c r="T884">
        <v>1309</v>
      </c>
      <c r="U884">
        <v>164</v>
      </c>
      <c r="V884">
        <v>26</v>
      </c>
      <c r="W884">
        <v>43</v>
      </c>
      <c r="X884">
        <v>462</v>
      </c>
      <c r="Y884">
        <v>129</v>
      </c>
      <c r="Z884">
        <v>173</v>
      </c>
      <c r="AA884">
        <v>356</v>
      </c>
      <c r="AB884">
        <v>0.74996123732181996</v>
      </c>
      <c r="AC884">
        <v>2.9077458832609E-2</v>
      </c>
      <c r="AD884">
        <v>0.79510730714128697</v>
      </c>
      <c r="AE884">
        <v>0.45514029264450101</v>
      </c>
      <c r="AF884">
        <v>1042.7210526315801</v>
      </c>
      <c r="AG884">
        <f>IFERROR(AH884*0.1, "N/A")</f>
        <v>6</v>
      </c>
      <c r="AH884">
        <v>60</v>
      </c>
      <c r="AI884">
        <v>244.36904602050799</v>
      </c>
      <c r="AJ884">
        <v>41</v>
      </c>
      <c r="AK884">
        <v>38</v>
      </c>
    </row>
    <row r="885" spans="1:37" x14ac:dyDescent="0.3">
      <c r="A885">
        <v>884</v>
      </c>
      <c r="B885">
        <v>63.5</v>
      </c>
      <c r="C885">
        <v>32.878950000000003</v>
      </c>
      <c r="D885">
        <v>3.2884859999999998</v>
      </c>
      <c r="E885" t="s">
        <v>1471</v>
      </c>
      <c r="F885" t="s">
        <v>1472</v>
      </c>
      <c r="G885" t="s">
        <v>37</v>
      </c>
      <c r="H885">
        <v>1987</v>
      </c>
      <c r="I885">
        <v>24.299999237060501</v>
      </c>
      <c r="J885">
        <v>14</v>
      </c>
      <c r="K885">
        <v>75</v>
      </c>
      <c r="L885">
        <v>11.5</v>
      </c>
      <c r="M885">
        <v>34.599998474121101</v>
      </c>
      <c r="N885">
        <v>16.100000381469702</v>
      </c>
      <c r="O885">
        <v>18.5</v>
      </c>
      <c r="P885">
        <v>22.899999618530298</v>
      </c>
      <c r="Q885">
        <v>25.200000762939499</v>
      </c>
      <c r="R885">
        <v>25.899999618530298</v>
      </c>
      <c r="S885">
        <v>22.899999618530298</v>
      </c>
      <c r="T885">
        <v>1230</v>
      </c>
      <c r="U885">
        <v>185</v>
      </c>
      <c r="V885">
        <v>13</v>
      </c>
      <c r="W885">
        <v>57</v>
      </c>
      <c r="X885">
        <v>482</v>
      </c>
      <c r="Y885">
        <v>61</v>
      </c>
      <c r="Z885">
        <v>105</v>
      </c>
      <c r="AA885">
        <v>482</v>
      </c>
      <c r="AB885">
        <v>43.522308510510499</v>
      </c>
      <c r="AC885">
        <v>1.2463625988584E-2</v>
      </c>
      <c r="AD885">
        <v>2.7417475624118</v>
      </c>
      <c r="AE885">
        <v>0.62603249836889796</v>
      </c>
      <c r="AF885">
        <v>962.80140597539605</v>
      </c>
      <c r="AG885">
        <f>IFERROR(AH885*0.1, "N/A")</f>
        <v>6.2123022847100202</v>
      </c>
      <c r="AH885">
        <v>62.123022847100202</v>
      </c>
      <c r="AI885">
        <v>179.07948477532199</v>
      </c>
      <c r="AJ885">
        <v>41.307557117750399</v>
      </c>
      <c r="AK885">
        <v>41.659050966608099</v>
      </c>
    </row>
    <row r="886" spans="1:37" x14ac:dyDescent="0.3">
      <c r="A886">
        <v>885</v>
      </c>
      <c r="B886">
        <v>0</v>
      </c>
      <c r="C886">
        <v>30.216939</v>
      </c>
      <c r="D886">
        <v>1.223703</v>
      </c>
      <c r="E886" t="s">
        <v>1473</v>
      </c>
      <c r="F886" t="s">
        <v>1474</v>
      </c>
      <c r="G886" t="s">
        <v>37</v>
      </c>
      <c r="H886">
        <v>2005</v>
      </c>
      <c r="I886">
        <v>21.255087213348901</v>
      </c>
      <c r="J886">
        <v>12</v>
      </c>
      <c r="K886">
        <v>85</v>
      </c>
      <c r="L886">
        <v>4.2957194395232596</v>
      </c>
      <c r="M886">
        <v>28.655088310910902</v>
      </c>
      <c r="N886">
        <v>14.6550875713951</v>
      </c>
      <c r="O886">
        <v>14</v>
      </c>
      <c r="P886">
        <v>20.855087594818599</v>
      </c>
      <c r="Q886">
        <v>21.355087594818698</v>
      </c>
      <c r="R886">
        <v>21.755087213348901</v>
      </c>
      <c r="S886">
        <v>20.655088310910902</v>
      </c>
      <c r="T886">
        <v>1298.14385964912</v>
      </c>
      <c r="U886">
        <v>158.67368421052601</v>
      </c>
      <c r="V886">
        <v>53.224561403508801</v>
      </c>
      <c r="W886">
        <v>30.775438596491199</v>
      </c>
      <c r="X886">
        <v>424.57192982456098</v>
      </c>
      <c r="Y886">
        <v>189.67368421052601</v>
      </c>
      <c r="Z886">
        <v>309.67368421052601</v>
      </c>
      <c r="AA886">
        <v>355.89824561403498</v>
      </c>
      <c r="AB886">
        <v>148.591173673931</v>
      </c>
      <c r="AC886">
        <v>5.5773499019835998E-2</v>
      </c>
      <c r="AD886">
        <v>17.943992828904499</v>
      </c>
      <c r="AE886">
        <v>0.201061087114769</v>
      </c>
      <c r="AF886">
        <v>1335.71052631579</v>
      </c>
      <c r="AG886">
        <f>IFERROR(AH886*0.1, "N/A")</f>
        <v>5.8959649122807001</v>
      </c>
      <c r="AH886">
        <v>58.959649122807001</v>
      </c>
      <c r="AI886">
        <v>114.000128267522</v>
      </c>
      <c r="AJ886">
        <v>35.775438596491199</v>
      </c>
      <c r="AK886">
        <v>42.456140350877199</v>
      </c>
    </row>
    <row r="887" spans="1:37" x14ac:dyDescent="0.3">
      <c r="A887">
        <v>886</v>
      </c>
      <c r="B887">
        <v>8</v>
      </c>
      <c r="C887">
        <v>33.504157999999997</v>
      </c>
      <c r="D887">
        <v>0.339528</v>
      </c>
      <c r="E887" t="s">
        <v>1475</v>
      </c>
      <c r="F887" t="s">
        <v>1476</v>
      </c>
      <c r="G887" t="s">
        <v>37</v>
      </c>
      <c r="H887">
        <v>2005</v>
      </c>
      <c r="I887">
        <v>22</v>
      </c>
      <c r="J887">
        <v>11.699999809265099</v>
      </c>
      <c r="K887">
        <v>84</v>
      </c>
      <c r="L887">
        <v>5.5999999046325701</v>
      </c>
      <c r="M887">
        <v>29.299999237060501</v>
      </c>
      <c r="N887">
        <v>15.5</v>
      </c>
      <c r="O887">
        <v>13.800000190734901</v>
      </c>
      <c r="P887">
        <v>22.299999237060501</v>
      </c>
      <c r="Q887">
        <v>21.200000762939499</v>
      </c>
      <c r="R887">
        <v>22.700000762939499</v>
      </c>
      <c r="S887">
        <v>21.200000762939499</v>
      </c>
      <c r="T887">
        <v>1365</v>
      </c>
      <c r="U887">
        <v>206</v>
      </c>
      <c r="V887">
        <v>56</v>
      </c>
      <c r="W887">
        <v>39</v>
      </c>
      <c r="X887">
        <v>491</v>
      </c>
      <c r="Y887">
        <v>201</v>
      </c>
      <c r="Z887">
        <v>314</v>
      </c>
      <c r="AA887">
        <v>201</v>
      </c>
      <c r="AB887">
        <v>19.2674843732837</v>
      </c>
      <c r="AC887">
        <v>1.2002847902149E-2</v>
      </c>
      <c r="AD887">
        <v>2.76205883482847</v>
      </c>
      <c r="AE887">
        <v>0.74371045178395001</v>
      </c>
      <c r="AF887">
        <v>1158.1546572934999</v>
      </c>
      <c r="AG887">
        <f>IFERROR(AH887*0.1, "N/A")</f>
        <v>6.1000000000000005</v>
      </c>
      <c r="AH887">
        <v>61</v>
      </c>
      <c r="AI887">
        <v>262.85749425368499</v>
      </c>
      <c r="AJ887">
        <v>43.242530755711797</v>
      </c>
      <c r="AK887">
        <v>39</v>
      </c>
    </row>
    <row r="888" spans="1:37" x14ac:dyDescent="0.3">
      <c r="A888">
        <v>887</v>
      </c>
      <c r="B888">
        <v>45.599997999999999</v>
      </c>
      <c r="C888">
        <v>33.550474999999999</v>
      </c>
      <c r="D888">
        <v>0.25275599999999998</v>
      </c>
      <c r="E888" t="s">
        <v>1477</v>
      </c>
      <c r="F888" t="s">
        <v>1478</v>
      </c>
      <c r="G888" t="s">
        <v>37</v>
      </c>
      <c r="H888">
        <v>2006</v>
      </c>
      <c r="I888">
        <v>21.831513441784299</v>
      </c>
      <c r="J888">
        <v>11.699999809265099</v>
      </c>
      <c r="K888">
        <v>84.684859154929597</v>
      </c>
      <c r="L888">
        <v>5.5322359598858304</v>
      </c>
      <c r="M888">
        <v>29.031514204723699</v>
      </c>
      <c r="N888">
        <v>15.300000190734901</v>
      </c>
      <c r="O888">
        <v>13.7315140139889</v>
      </c>
      <c r="P888">
        <v>22.063028409447501</v>
      </c>
      <c r="Q888">
        <v>21</v>
      </c>
      <c r="R888">
        <v>22.4630280279777</v>
      </c>
      <c r="S888">
        <v>21</v>
      </c>
      <c r="T888">
        <v>1387.7940140845101</v>
      </c>
      <c r="U888">
        <v>214.369718309859</v>
      </c>
      <c r="V888">
        <v>54.684859154929597</v>
      </c>
      <c r="W888">
        <v>40</v>
      </c>
      <c r="X888">
        <v>521.05457746478896</v>
      </c>
      <c r="Y888">
        <v>197.05457746478899</v>
      </c>
      <c r="Z888">
        <v>329</v>
      </c>
      <c r="AA888">
        <v>197.05457746478899</v>
      </c>
      <c r="AB888">
        <v>22.000191272144601</v>
      </c>
      <c r="AC888">
        <v>0.17246041491522801</v>
      </c>
      <c r="AD888">
        <v>4.1566224173760702</v>
      </c>
      <c r="AE888">
        <v>0.665837059978028</v>
      </c>
      <c r="AF888">
        <v>1204.9066901408501</v>
      </c>
      <c r="AG888">
        <f>IFERROR(AH888*0.1, "N/A")</f>
        <v>5.8000000000000007</v>
      </c>
      <c r="AH888">
        <v>58</v>
      </c>
      <c r="AI888">
        <v>260.42468704975801</v>
      </c>
      <c r="AJ888">
        <v>40.068661971830998</v>
      </c>
      <c r="AK888">
        <v>42.308098591549303</v>
      </c>
    </row>
    <row r="889" spans="1:37" x14ac:dyDescent="0.3">
      <c r="A889">
        <v>888</v>
      </c>
      <c r="B889">
        <v>45.599997999999999</v>
      </c>
      <c r="C889">
        <v>33.751944000000002</v>
      </c>
      <c r="D889">
        <v>0.56333299999999997</v>
      </c>
      <c r="E889" t="s">
        <v>1479</v>
      </c>
      <c r="F889" t="s">
        <v>1480</v>
      </c>
      <c r="G889" t="s">
        <v>37</v>
      </c>
      <c r="H889">
        <v>2006</v>
      </c>
      <c r="I889">
        <v>22.600000381469702</v>
      </c>
      <c r="J889">
        <v>11.8999996185303</v>
      </c>
      <c r="K889">
        <v>83</v>
      </c>
      <c r="L889">
        <v>6.1599998474121103</v>
      </c>
      <c r="M889">
        <v>30.299999237060501</v>
      </c>
      <c r="N889">
        <v>16.100000381469702</v>
      </c>
      <c r="O889">
        <v>14.199999809265099</v>
      </c>
      <c r="P889">
        <v>22.899999618530298</v>
      </c>
      <c r="Q889">
        <v>23.100000381469702</v>
      </c>
      <c r="R889">
        <v>23.399999618530298</v>
      </c>
      <c r="S889">
        <v>21.700000762939499</v>
      </c>
      <c r="T889">
        <v>1383</v>
      </c>
      <c r="U889">
        <v>217</v>
      </c>
      <c r="V889">
        <v>58</v>
      </c>
      <c r="W889">
        <v>38</v>
      </c>
      <c r="X889">
        <v>505</v>
      </c>
      <c r="Y889">
        <v>210</v>
      </c>
      <c r="Z889">
        <v>256</v>
      </c>
      <c r="AA889">
        <v>269</v>
      </c>
      <c r="AB889">
        <v>24.8718139218612</v>
      </c>
      <c r="AC889">
        <v>1.6703650407808E-2</v>
      </c>
      <c r="AD889">
        <v>1.90146781776992</v>
      </c>
      <c r="AE889">
        <v>0.82790756225585904</v>
      </c>
      <c r="AF889">
        <v>1136.4154929577501</v>
      </c>
      <c r="AG889">
        <f>IFERROR(AH889*0.1, "N/A")</f>
        <v>6.1859154929577507</v>
      </c>
      <c r="AH889">
        <v>61.8591549295775</v>
      </c>
      <c r="AI889">
        <v>28.409944870102599</v>
      </c>
      <c r="AJ889">
        <v>31.130281690140901</v>
      </c>
      <c r="AK889">
        <v>51.869718309859202</v>
      </c>
    </row>
    <row r="890" spans="1:37" x14ac:dyDescent="0.3">
      <c r="A890">
        <v>889</v>
      </c>
      <c r="B890">
        <v>7.4</v>
      </c>
      <c r="C890">
        <v>33.751944999999999</v>
      </c>
      <c r="D890">
        <v>0.563334</v>
      </c>
      <c r="E890" t="s">
        <v>1481</v>
      </c>
      <c r="F890" t="s">
        <v>1482</v>
      </c>
      <c r="G890" t="s">
        <v>37</v>
      </c>
      <c r="H890">
        <v>2006</v>
      </c>
      <c r="I890">
        <v>22.600000381469702</v>
      </c>
      <c r="J890">
        <v>11.8999996185303</v>
      </c>
      <c r="K890">
        <v>83</v>
      </c>
      <c r="L890">
        <v>6.1599998474121103</v>
      </c>
      <c r="M890">
        <v>30.299999237060501</v>
      </c>
      <c r="N890">
        <v>16.100000381469702</v>
      </c>
      <c r="O890">
        <v>14.199999809265099</v>
      </c>
      <c r="P890">
        <v>22.899999618530298</v>
      </c>
      <c r="Q890">
        <v>23.100000381469702</v>
      </c>
      <c r="R890">
        <v>23.399999618530298</v>
      </c>
      <c r="S890">
        <v>21.700000762939499</v>
      </c>
      <c r="T890">
        <v>1383</v>
      </c>
      <c r="U890">
        <v>217</v>
      </c>
      <c r="V890">
        <v>58</v>
      </c>
      <c r="W890">
        <v>38</v>
      </c>
      <c r="X890">
        <v>505</v>
      </c>
      <c r="Y890">
        <v>210</v>
      </c>
      <c r="Z890">
        <v>256</v>
      </c>
      <c r="AA890">
        <v>269</v>
      </c>
      <c r="AB890">
        <v>24.828328092333301</v>
      </c>
      <c r="AC890">
        <v>1.6718698739283999E-2</v>
      </c>
      <c r="AD890">
        <v>1.89306245324477</v>
      </c>
      <c r="AE890">
        <v>0.82790756225585904</v>
      </c>
      <c r="AF890">
        <v>1136.39436619718</v>
      </c>
      <c r="AG890">
        <f>IFERROR(AH890*0.1, "N/A")</f>
        <v>6.1857394366197198</v>
      </c>
      <c r="AH890">
        <v>61.857394366197198</v>
      </c>
      <c r="AI890">
        <v>28.653545053911898</v>
      </c>
      <c r="AJ890">
        <v>31.132042253521099</v>
      </c>
      <c r="AK890">
        <v>51.867957746478901</v>
      </c>
    </row>
    <row r="891" spans="1:37" x14ac:dyDescent="0.3">
      <c r="A891">
        <v>890</v>
      </c>
      <c r="B891">
        <v>2.1</v>
      </c>
      <c r="C891">
        <v>31.09</v>
      </c>
      <c r="D891">
        <v>2.4791669999999999</v>
      </c>
      <c r="E891" t="s">
        <v>1483</v>
      </c>
      <c r="F891" t="s">
        <v>1484</v>
      </c>
      <c r="G891" t="s">
        <v>37</v>
      </c>
      <c r="H891">
        <v>1958</v>
      </c>
      <c r="I891">
        <v>23.200000762939499</v>
      </c>
      <c r="J891">
        <v>11.800000190734901</v>
      </c>
      <c r="K891">
        <v>71</v>
      </c>
      <c r="L891">
        <v>10.920000076293899</v>
      </c>
      <c r="M891">
        <v>31.5</v>
      </c>
      <c r="N891">
        <v>15</v>
      </c>
      <c r="O891">
        <v>16.5</v>
      </c>
      <c r="P891">
        <v>21.799999237060501</v>
      </c>
      <c r="Q891">
        <v>23.899999618530298</v>
      </c>
      <c r="R891">
        <v>24.299999237060501</v>
      </c>
      <c r="S891">
        <v>21.799999237060501</v>
      </c>
      <c r="T891">
        <v>1098</v>
      </c>
      <c r="U891">
        <v>155</v>
      </c>
      <c r="V891">
        <v>17</v>
      </c>
      <c r="W891">
        <v>49</v>
      </c>
      <c r="X891">
        <v>438</v>
      </c>
      <c r="Y891">
        <v>75</v>
      </c>
      <c r="Z891">
        <v>209</v>
      </c>
      <c r="AA891">
        <v>438</v>
      </c>
      <c r="AB891">
        <v>7.5689081550691997</v>
      </c>
      <c r="AC891">
        <v>1.3072681225352E-2</v>
      </c>
      <c r="AD891">
        <v>1.74790071487846</v>
      </c>
      <c r="AE891">
        <v>0.55985238723888997</v>
      </c>
      <c r="AF891">
        <v>1012.40773286467</v>
      </c>
      <c r="AG891">
        <f>IFERROR(AH891*0.1, "N/A")</f>
        <v>5.7021089630931403</v>
      </c>
      <c r="AH891">
        <v>57.021089630931399</v>
      </c>
      <c r="AI891">
        <v>59.145026258927899</v>
      </c>
      <c r="AJ891">
        <v>32.952548330404198</v>
      </c>
      <c r="AK891">
        <v>44.031634446397199</v>
      </c>
    </row>
    <row r="892" spans="1:37" x14ac:dyDescent="0.3">
      <c r="A892">
        <v>891</v>
      </c>
      <c r="B892">
        <v>13</v>
      </c>
      <c r="C892">
        <v>31.080794000000001</v>
      </c>
      <c r="D892">
        <v>2.4458280000000001</v>
      </c>
      <c r="E892" t="s">
        <v>1485</v>
      </c>
      <c r="F892" t="s">
        <v>1486</v>
      </c>
      <c r="G892" t="s">
        <v>37</v>
      </c>
      <c r="H892">
        <v>1958</v>
      </c>
      <c r="I892">
        <v>22.899999618530298</v>
      </c>
      <c r="J892">
        <v>11.699999809265099</v>
      </c>
      <c r="K892">
        <v>71</v>
      </c>
      <c r="L892">
        <v>10.9099998474121</v>
      </c>
      <c r="M892">
        <v>31.100000381469702</v>
      </c>
      <c r="N892">
        <v>14.699999809265099</v>
      </c>
      <c r="O892">
        <v>16.399999618530298</v>
      </c>
      <c r="P892">
        <v>21.5</v>
      </c>
      <c r="Q892">
        <v>23.600000381469702</v>
      </c>
      <c r="R892">
        <v>24.100000381469702</v>
      </c>
      <c r="S892">
        <v>21.5</v>
      </c>
      <c r="T892">
        <v>1109</v>
      </c>
      <c r="U892">
        <v>156</v>
      </c>
      <c r="V892">
        <v>18</v>
      </c>
      <c r="W892">
        <v>48</v>
      </c>
      <c r="X892">
        <v>442</v>
      </c>
      <c r="Y892">
        <v>77</v>
      </c>
      <c r="Z892">
        <v>113</v>
      </c>
      <c r="AA892">
        <v>442</v>
      </c>
      <c r="AB892">
        <v>31.714058002672701</v>
      </c>
      <c r="AC892">
        <v>3.9030302296344001E-2</v>
      </c>
      <c r="AD892">
        <v>9.9095991803888701</v>
      </c>
      <c r="AE892">
        <v>0.59834077128192797</v>
      </c>
      <c r="AF892">
        <v>1053.0333333333299</v>
      </c>
      <c r="AG892">
        <f>IFERROR(AH892*0.1, "N/A")</f>
        <v>6.0036842105263197</v>
      </c>
      <c r="AH892">
        <v>60.036842105263197</v>
      </c>
      <c r="AI892">
        <v>138.60369851631</v>
      </c>
      <c r="AJ892">
        <v>34.047368421052603</v>
      </c>
      <c r="AK892">
        <v>40.547368421052603</v>
      </c>
    </row>
    <row r="893" spans="1:37" x14ac:dyDescent="0.3">
      <c r="A893">
        <v>892</v>
      </c>
      <c r="B893">
        <v>13</v>
      </c>
      <c r="C893">
        <v>31.080794999999998</v>
      </c>
      <c r="D893">
        <v>2.4458289999999998</v>
      </c>
      <c r="E893" t="s">
        <v>1487</v>
      </c>
      <c r="F893" t="s">
        <v>1488</v>
      </c>
      <c r="G893" t="s">
        <v>37</v>
      </c>
      <c r="H893">
        <v>1958</v>
      </c>
      <c r="I893">
        <v>22.899999618530298</v>
      </c>
      <c r="J893">
        <v>11.699999809265099</v>
      </c>
      <c r="K893">
        <v>71</v>
      </c>
      <c r="L893">
        <v>10.9099998474121</v>
      </c>
      <c r="M893">
        <v>31.100000381469702</v>
      </c>
      <c r="N893">
        <v>14.699999809265099</v>
      </c>
      <c r="O893">
        <v>16.399999618530298</v>
      </c>
      <c r="P893">
        <v>21.5</v>
      </c>
      <c r="Q893">
        <v>23.600000381469702</v>
      </c>
      <c r="R893">
        <v>24.100000381469702</v>
      </c>
      <c r="S893">
        <v>21.5</v>
      </c>
      <c r="T893">
        <v>1109</v>
      </c>
      <c r="U893">
        <v>156</v>
      </c>
      <c r="V893">
        <v>18</v>
      </c>
      <c r="W893">
        <v>48</v>
      </c>
      <c r="X893">
        <v>442</v>
      </c>
      <c r="Y893">
        <v>77</v>
      </c>
      <c r="Z893">
        <v>113</v>
      </c>
      <c r="AA893">
        <v>442</v>
      </c>
      <c r="AB893">
        <v>31.6936960873998</v>
      </c>
      <c r="AC893">
        <v>3.8738676692197001E-2</v>
      </c>
      <c r="AD893">
        <v>9.9265118223502107</v>
      </c>
      <c r="AE893">
        <v>0.59848854349032399</v>
      </c>
      <c r="AF893">
        <v>1053.0439367311101</v>
      </c>
      <c r="AG893">
        <f>IFERROR(AH893*0.1, "N/A")</f>
        <v>6.0038664323374302</v>
      </c>
      <c r="AH893">
        <v>60.038664323374299</v>
      </c>
      <c r="AI893">
        <v>138.58340775903801</v>
      </c>
      <c r="AJ893">
        <v>34.045694200351498</v>
      </c>
      <c r="AK893">
        <v>40.5518453427065</v>
      </c>
    </row>
    <row r="894" spans="1:37" x14ac:dyDescent="0.3">
      <c r="A894">
        <v>893</v>
      </c>
      <c r="B894">
        <v>16.600000000000001</v>
      </c>
      <c r="C894">
        <v>31.72</v>
      </c>
      <c r="D894">
        <v>3.6549999999999998</v>
      </c>
      <c r="E894" t="s">
        <v>1489</v>
      </c>
      <c r="F894" t="s">
        <v>1490</v>
      </c>
      <c r="G894" t="s">
        <v>37</v>
      </c>
      <c r="H894">
        <v>1958</v>
      </c>
      <c r="I894">
        <v>24.600000381469702</v>
      </c>
      <c r="J894">
        <v>13</v>
      </c>
      <c r="K894">
        <v>69</v>
      </c>
      <c r="L894">
        <v>17.040000915527301</v>
      </c>
      <c r="M894">
        <v>35.200000762939503</v>
      </c>
      <c r="N894">
        <v>16.600000381469702</v>
      </c>
      <c r="O894">
        <v>18.600000381469702</v>
      </c>
      <c r="P894">
        <v>23.299999237060501</v>
      </c>
      <c r="Q894">
        <v>26.600000381469702</v>
      </c>
      <c r="R894">
        <v>27.200000762939499</v>
      </c>
      <c r="S894">
        <v>22.899999618530298</v>
      </c>
      <c r="T894">
        <v>1247</v>
      </c>
      <c r="U894">
        <v>189</v>
      </c>
      <c r="V894">
        <v>10</v>
      </c>
      <c r="W894">
        <v>57</v>
      </c>
      <c r="X894">
        <v>507</v>
      </c>
      <c r="Y894">
        <v>59</v>
      </c>
      <c r="Z894">
        <v>94</v>
      </c>
      <c r="AA894">
        <v>500</v>
      </c>
      <c r="AB894">
        <v>30.371907766241801</v>
      </c>
      <c r="AC894">
        <v>9.1444379895140003E-3</v>
      </c>
      <c r="AD894">
        <v>2.39822638390357</v>
      </c>
      <c r="AE894">
        <v>0.48999183240689698</v>
      </c>
      <c r="AF894">
        <v>981.25614035087699</v>
      </c>
      <c r="AG894">
        <f>IFERROR(AH894*0.1, "N/A")</f>
        <v>6.0235087719298201</v>
      </c>
      <c r="AH894">
        <v>60.2350877192982</v>
      </c>
      <c r="AI894">
        <v>242.46257321541799</v>
      </c>
      <c r="AJ894">
        <v>24.487719298245601</v>
      </c>
      <c r="AK894">
        <v>55.112280701754401</v>
      </c>
    </row>
    <row r="895" spans="1:37" x14ac:dyDescent="0.3">
      <c r="A895">
        <v>894</v>
      </c>
      <c r="B895">
        <v>21.9</v>
      </c>
      <c r="C895">
        <v>31.719546999999999</v>
      </c>
      <c r="D895">
        <v>3.2548530000000002</v>
      </c>
      <c r="E895" t="s">
        <v>1491</v>
      </c>
      <c r="F895" t="s">
        <v>1492</v>
      </c>
      <c r="G895" t="s">
        <v>37</v>
      </c>
      <c r="H895">
        <v>1958</v>
      </c>
      <c r="I895">
        <v>25.299999237060501</v>
      </c>
      <c r="J895">
        <v>13.199999809265099</v>
      </c>
      <c r="K895">
        <v>72</v>
      </c>
      <c r="L895">
        <v>13.2299995422363</v>
      </c>
      <c r="M895">
        <v>35.400001525878899</v>
      </c>
      <c r="N895">
        <v>17.200000762939499</v>
      </c>
      <c r="O895">
        <v>18.200000762939499</v>
      </c>
      <c r="P895">
        <v>23.899999618530298</v>
      </c>
      <c r="Q895">
        <v>26.700000762939499</v>
      </c>
      <c r="R895">
        <v>27.299999237060501</v>
      </c>
      <c r="S895">
        <v>23.899999618530298</v>
      </c>
      <c r="T895">
        <v>1232</v>
      </c>
      <c r="U895">
        <v>174</v>
      </c>
      <c r="V895">
        <v>11</v>
      </c>
      <c r="W895">
        <v>53</v>
      </c>
      <c r="X895">
        <v>473</v>
      </c>
      <c r="Y895">
        <v>64</v>
      </c>
      <c r="Z895">
        <v>102</v>
      </c>
      <c r="AA895">
        <v>473</v>
      </c>
      <c r="AB895">
        <v>1.72444829806476</v>
      </c>
      <c r="AC895">
        <v>1.22112632488248</v>
      </c>
      <c r="AD895">
        <v>2.1919861175644599</v>
      </c>
      <c r="AE895">
        <v>0.457157492637634</v>
      </c>
      <c r="AF895">
        <v>784.98239436619701</v>
      </c>
      <c r="AG895">
        <f>IFERROR(AH895*0.1, "N/A")</f>
        <v>6</v>
      </c>
      <c r="AH895">
        <v>60</v>
      </c>
      <c r="AI895">
        <v>169.25125607638299</v>
      </c>
      <c r="AJ895">
        <v>33.7887323943662</v>
      </c>
      <c r="AK895">
        <v>44.2816901408451</v>
      </c>
    </row>
    <row r="896" spans="1:37" x14ac:dyDescent="0.3">
      <c r="A896">
        <v>895</v>
      </c>
      <c r="B896">
        <v>18.600000000000001</v>
      </c>
      <c r="C896">
        <v>33.865492000000003</v>
      </c>
      <c r="D896">
        <v>0.49607200000000001</v>
      </c>
      <c r="E896" t="s">
        <v>1493</v>
      </c>
      <c r="F896" t="s">
        <v>1494</v>
      </c>
      <c r="G896" t="s">
        <v>37</v>
      </c>
      <c r="H896">
        <v>1994</v>
      </c>
      <c r="I896">
        <v>22.600000381469702</v>
      </c>
      <c r="J896">
        <v>12</v>
      </c>
      <c r="K896">
        <v>84</v>
      </c>
      <c r="L896">
        <v>6.1799998283386204</v>
      </c>
      <c r="M896">
        <v>30.299999237060501</v>
      </c>
      <c r="N896">
        <v>16.100000381469702</v>
      </c>
      <c r="O896">
        <v>14.199999809265099</v>
      </c>
      <c r="P896">
        <v>22.899999618530298</v>
      </c>
      <c r="Q896">
        <v>23.100000381469702</v>
      </c>
      <c r="R896">
        <v>23.399999618530298</v>
      </c>
      <c r="S896">
        <v>21.700000762939499</v>
      </c>
      <c r="T896">
        <v>1398</v>
      </c>
      <c r="U896">
        <v>221</v>
      </c>
      <c r="V896">
        <v>61</v>
      </c>
      <c r="W896">
        <v>38</v>
      </c>
      <c r="X896">
        <v>518</v>
      </c>
      <c r="Y896">
        <v>219</v>
      </c>
      <c r="Z896">
        <v>264</v>
      </c>
      <c r="AA896">
        <v>261</v>
      </c>
      <c r="AB896">
        <v>29.388216690278401</v>
      </c>
      <c r="AC896">
        <v>8.8003560369441E-2</v>
      </c>
      <c r="AD896">
        <v>2.5298454711135001</v>
      </c>
      <c r="AE896">
        <v>0.71640632039224605</v>
      </c>
      <c r="AF896">
        <v>1111.1883802816899</v>
      </c>
      <c r="AG896">
        <f>IFERROR(AH896*0.1, "N/A")</f>
        <v>5.8003521126760607</v>
      </c>
      <c r="AH896">
        <v>58.003521126760603</v>
      </c>
      <c r="AI896">
        <v>98.122783996689506</v>
      </c>
      <c r="AJ896">
        <v>34.1091549295775</v>
      </c>
      <c r="AK896">
        <v>47.8908450704225</v>
      </c>
    </row>
    <row r="897" spans="1:37" x14ac:dyDescent="0.3">
      <c r="A897">
        <v>896</v>
      </c>
      <c r="B897">
        <v>21.1</v>
      </c>
      <c r="C897">
        <v>33.865492000000003</v>
      </c>
      <c r="D897">
        <v>0.49607299999999999</v>
      </c>
      <c r="E897" t="s">
        <v>1495</v>
      </c>
      <c r="F897" t="s">
        <v>1496</v>
      </c>
      <c r="G897" t="s">
        <v>37</v>
      </c>
      <c r="H897">
        <v>1994</v>
      </c>
      <c r="I897">
        <v>22.600000381469702</v>
      </c>
      <c r="J897">
        <v>12</v>
      </c>
      <c r="K897">
        <v>84</v>
      </c>
      <c r="L897">
        <v>6.1799998283386204</v>
      </c>
      <c r="M897">
        <v>30.299999237060501</v>
      </c>
      <c r="N897">
        <v>16.100000381469702</v>
      </c>
      <c r="O897">
        <v>14.199999809265099</v>
      </c>
      <c r="P897">
        <v>22.899999618530298</v>
      </c>
      <c r="Q897">
        <v>23.100000381469702</v>
      </c>
      <c r="R897">
        <v>23.399999618530298</v>
      </c>
      <c r="S897">
        <v>21.700000762939499</v>
      </c>
      <c r="T897">
        <v>1398</v>
      </c>
      <c r="U897">
        <v>221</v>
      </c>
      <c r="V897">
        <v>61</v>
      </c>
      <c r="W897">
        <v>38</v>
      </c>
      <c r="X897">
        <v>518</v>
      </c>
      <c r="Y897">
        <v>219</v>
      </c>
      <c r="Z897">
        <v>264</v>
      </c>
      <c r="AA897">
        <v>261</v>
      </c>
      <c r="AB897">
        <v>29.429237688091401</v>
      </c>
      <c r="AC897">
        <v>8.7281232926023994E-2</v>
      </c>
      <c r="AD897">
        <v>2.5328673229251102</v>
      </c>
      <c r="AE897">
        <v>0.71646838981500804</v>
      </c>
      <c r="AF897">
        <v>1111.1883802816899</v>
      </c>
      <c r="AG897">
        <f>IFERROR(AH897*0.1, "N/A")</f>
        <v>5.8003521126760607</v>
      </c>
      <c r="AH897">
        <v>58.003521126760603</v>
      </c>
      <c r="AI897">
        <v>98.104641954663805</v>
      </c>
      <c r="AJ897">
        <v>34.112676056338003</v>
      </c>
      <c r="AK897">
        <v>47.887323943661997</v>
      </c>
    </row>
    <row r="898" spans="1:37" x14ac:dyDescent="0.3">
      <c r="A898">
        <v>897</v>
      </c>
      <c r="B898">
        <v>20.299999</v>
      </c>
      <c r="C898">
        <v>33.865493000000001</v>
      </c>
      <c r="D898">
        <v>0.49607400000000001</v>
      </c>
      <c r="E898" t="s">
        <v>1497</v>
      </c>
      <c r="F898" t="s">
        <v>1498</v>
      </c>
      <c r="G898" t="s">
        <v>37</v>
      </c>
      <c r="H898">
        <v>1994</v>
      </c>
      <c r="I898">
        <v>22.600000381469702</v>
      </c>
      <c r="J898">
        <v>12</v>
      </c>
      <c r="K898">
        <v>84</v>
      </c>
      <c r="L898">
        <v>6.1799998283386204</v>
      </c>
      <c r="M898">
        <v>30.299999237060501</v>
      </c>
      <c r="N898">
        <v>16.100000381469702</v>
      </c>
      <c r="O898">
        <v>14.199999809265099</v>
      </c>
      <c r="P898">
        <v>22.899999618530298</v>
      </c>
      <c r="Q898">
        <v>23.100000381469702</v>
      </c>
      <c r="R898">
        <v>23.399999618530298</v>
      </c>
      <c r="S898">
        <v>21.700000762939499</v>
      </c>
      <c r="T898">
        <v>1398</v>
      </c>
      <c r="U898">
        <v>221</v>
      </c>
      <c r="V898">
        <v>61</v>
      </c>
      <c r="W898">
        <v>38</v>
      </c>
      <c r="X898">
        <v>518</v>
      </c>
      <c r="Y898">
        <v>219</v>
      </c>
      <c r="Z898">
        <v>264</v>
      </c>
      <c r="AA898">
        <v>261</v>
      </c>
      <c r="AB898">
        <v>29.4530987344301</v>
      </c>
      <c r="AC898">
        <v>8.6711566694855996E-2</v>
      </c>
      <c r="AD898">
        <v>2.5339963810363999</v>
      </c>
      <c r="AE898">
        <v>0.71648961452790305</v>
      </c>
      <c r="AF898">
        <v>1111.1763668430301</v>
      </c>
      <c r="AG898">
        <f>IFERROR(AH898*0.1, "N/A")</f>
        <v>5.8003527336860703</v>
      </c>
      <c r="AH898">
        <v>58.003527336860699</v>
      </c>
      <c r="AI898">
        <v>98.102248069050006</v>
      </c>
      <c r="AJ898">
        <v>34.1128747795414</v>
      </c>
      <c r="AK898">
        <v>47.8871252204586</v>
      </c>
    </row>
    <row r="899" spans="1:37" x14ac:dyDescent="0.3">
      <c r="A899">
        <v>898</v>
      </c>
      <c r="B899">
        <v>7.3</v>
      </c>
      <c r="C899">
        <v>32.581111</v>
      </c>
      <c r="D899">
        <v>0.31361099999999997</v>
      </c>
      <c r="E899" t="s">
        <v>1499</v>
      </c>
      <c r="F899" t="s">
        <v>1500</v>
      </c>
      <c r="G899" t="s">
        <v>37</v>
      </c>
      <c r="H899">
        <v>1970</v>
      </c>
      <c r="I899">
        <v>21.700000762939499</v>
      </c>
      <c r="J899">
        <v>10.5</v>
      </c>
      <c r="K899">
        <v>81</v>
      </c>
      <c r="L899">
        <v>6.6700000762939498</v>
      </c>
      <c r="M899">
        <v>28.600000381469702</v>
      </c>
      <c r="N899">
        <v>15.699999809265099</v>
      </c>
      <c r="O899">
        <v>12.8999996185303</v>
      </c>
      <c r="P899">
        <v>21.899999618530298</v>
      </c>
      <c r="Q899">
        <v>20.799999237060501</v>
      </c>
      <c r="R899">
        <v>22.600000381469702</v>
      </c>
      <c r="S899">
        <v>20.799999237060501</v>
      </c>
      <c r="T899">
        <v>1291</v>
      </c>
      <c r="U899">
        <v>184</v>
      </c>
      <c r="V899">
        <v>62</v>
      </c>
      <c r="W899">
        <v>35</v>
      </c>
      <c r="X899">
        <v>453</v>
      </c>
      <c r="Y899">
        <v>219</v>
      </c>
      <c r="Z899">
        <v>271</v>
      </c>
      <c r="AA899">
        <v>219</v>
      </c>
      <c r="AB899">
        <v>42.621613838303297</v>
      </c>
      <c r="AC899">
        <v>2.7780125475108001E-2</v>
      </c>
      <c r="AD899">
        <v>4.1613791253365298</v>
      </c>
      <c r="AE899">
        <v>0.93617081642150901</v>
      </c>
      <c r="AF899">
        <v>1191.5897887323899</v>
      </c>
      <c r="AG899">
        <f>IFERROR(AH899*0.1, "N/A")</f>
        <v>6.5338028169014102</v>
      </c>
      <c r="AH899">
        <v>65.338028169014095</v>
      </c>
      <c r="AI899">
        <v>177.76974267019401</v>
      </c>
      <c r="AJ899">
        <v>38.301056338028197</v>
      </c>
      <c r="AK899">
        <v>42.767605633802802</v>
      </c>
    </row>
    <row r="900" spans="1:37" x14ac:dyDescent="0.3">
      <c r="A900">
        <v>899</v>
      </c>
      <c r="B900">
        <v>7.3</v>
      </c>
      <c r="C900">
        <v>32.581111999999997</v>
      </c>
      <c r="D900">
        <v>0.313612</v>
      </c>
      <c r="E900" t="s">
        <v>1501</v>
      </c>
      <c r="F900" t="s">
        <v>1502</v>
      </c>
      <c r="G900" t="s">
        <v>37</v>
      </c>
      <c r="H900">
        <v>1970</v>
      </c>
      <c r="I900">
        <v>21.700000762939499</v>
      </c>
      <c r="J900">
        <v>10.5</v>
      </c>
      <c r="K900">
        <v>81</v>
      </c>
      <c r="L900">
        <v>6.6700000762939498</v>
      </c>
      <c r="M900">
        <v>28.600000381469702</v>
      </c>
      <c r="N900">
        <v>15.699999809265099</v>
      </c>
      <c r="O900">
        <v>12.8999996185303</v>
      </c>
      <c r="P900">
        <v>21.899999618530298</v>
      </c>
      <c r="Q900">
        <v>20.799999237060501</v>
      </c>
      <c r="R900">
        <v>22.600000381469702</v>
      </c>
      <c r="S900">
        <v>20.799999237060501</v>
      </c>
      <c r="T900">
        <v>1291</v>
      </c>
      <c r="U900">
        <v>184</v>
      </c>
      <c r="V900">
        <v>62</v>
      </c>
      <c r="W900">
        <v>35</v>
      </c>
      <c r="X900">
        <v>453</v>
      </c>
      <c r="Y900">
        <v>219</v>
      </c>
      <c r="Z900">
        <v>271</v>
      </c>
      <c r="AA900">
        <v>219</v>
      </c>
      <c r="AB900">
        <v>42.621613838303297</v>
      </c>
      <c r="AC900">
        <v>2.7780125475108001E-2</v>
      </c>
      <c r="AD900">
        <v>4.1613791253365298</v>
      </c>
      <c r="AE900">
        <v>0.93617081642150901</v>
      </c>
      <c r="AF900">
        <v>1191.5897887323899</v>
      </c>
      <c r="AG900">
        <f>IFERROR(AH900*0.1, "N/A")</f>
        <v>6.5338028169014102</v>
      </c>
      <c r="AH900">
        <v>65.338028169014095</v>
      </c>
      <c r="AI900">
        <v>177.76974267019401</v>
      </c>
      <c r="AJ900">
        <v>38.301056338028197</v>
      </c>
      <c r="AK900">
        <v>42.767605633802802</v>
      </c>
    </row>
    <row r="901" spans="1:37" x14ac:dyDescent="0.3">
      <c r="A901">
        <v>900</v>
      </c>
      <c r="B901">
        <v>21.700001</v>
      </c>
      <c r="C901">
        <v>32.581113000000002</v>
      </c>
      <c r="D901">
        <v>0.31361299999999998</v>
      </c>
      <c r="E901" t="s">
        <v>1503</v>
      </c>
      <c r="F901" t="s">
        <v>1504</v>
      </c>
      <c r="G901" t="s">
        <v>37</v>
      </c>
      <c r="H901">
        <v>1970</v>
      </c>
      <c r="I901">
        <v>21.700000762939499</v>
      </c>
      <c r="J901">
        <v>10.5</v>
      </c>
      <c r="K901">
        <v>81</v>
      </c>
      <c r="L901">
        <v>6.6700000762939498</v>
      </c>
      <c r="M901">
        <v>28.600000381469702</v>
      </c>
      <c r="N901">
        <v>15.699999809265099</v>
      </c>
      <c r="O901">
        <v>12.8999996185303</v>
      </c>
      <c r="P901">
        <v>21.899999618530298</v>
      </c>
      <c r="Q901">
        <v>20.799999237060501</v>
      </c>
      <c r="R901">
        <v>22.600000381469702</v>
      </c>
      <c r="S901">
        <v>20.799999237060501</v>
      </c>
      <c r="T901">
        <v>1291</v>
      </c>
      <c r="U901">
        <v>184</v>
      </c>
      <c r="V901">
        <v>62</v>
      </c>
      <c r="W901">
        <v>35</v>
      </c>
      <c r="X901">
        <v>453</v>
      </c>
      <c r="Y901">
        <v>219</v>
      </c>
      <c r="Z901">
        <v>271</v>
      </c>
      <c r="AA901">
        <v>219</v>
      </c>
      <c r="AB901">
        <v>42.621613838303297</v>
      </c>
      <c r="AC901">
        <v>2.7780125475108001E-2</v>
      </c>
      <c r="AD901">
        <v>4.1613791253365298</v>
      </c>
      <c r="AE901">
        <v>0.93617081642150901</v>
      </c>
      <c r="AF901">
        <v>1191.5897887323899</v>
      </c>
      <c r="AG901">
        <f>IFERROR(AH901*0.1, "N/A")</f>
        <v>6.5338028169014102</v>
      </c>
      <c r="AH901">
        <v>65.338028169014095</v>
      </c>
      <c r="AI901">
        <v>177.76974267019401</v>
      </c>
      <c r="AJ901">
        <v>38.301056338028197</v>
      </c>
      <c r="AK901">
        <v>42.767605633802802</v>
      </c>
    </row>
    <row r="902" spans="1:37" x14ac:dyDescent="0.3">
      <c r="A902">
        <v>901</v>
      </c>
      <c r="B902">
        <v>25</v>
      </c>
      <c r="C902">
        <v>32.581113999999999</v>
      </c>
      <c r="D902">
        <v>0.313614</v>
      </c>
      <c r="E902" t="s">
        <v>1505</v>
      </c>
      <c r="F902" t="s">
        <v>1506</v>
      </c>
      <c r="G902" t="s">
        <v>37</v>
      </c>
      <c r="H902">
        <v>1970</v>
      </c>
      <c r="I902">
        <v>21.700000762939499</v>
      </c>
      <c r="J902">
        <v>10.5</v>
      </c>
      <c r="K902">
        <v>81</v>
      </c>
      <c r="L902">
        <v>6.6700000762939498</v>
      </c>
      <c r="M902">
        <v>28.600000381469702</v>
      </c>
      <c r="N902">
        <v>15.699999809265099</v>
      </c>
      <c r="O902">
        <v>12.8999996185303</v>
      </c>
      <c r="P902">
        <v>21.899999618530298</v>
      </c>
      <c r="Q902">
        <v>20.799999237060501</v>
      </c>
      <c r="R902">
        <v>22.600000381469702</v>
      </c>
      <c r="S902">
        <v>20.799999237060501</v>
      </c>
      <c r="T902">
        <v>1291</v>
      </c>
      <c r="U902">
        <v>184</v>
      </c>
      <c r="V902">
        <v>62</v>
      </c>
      <c r="W902">
        <v>35</v>
      </c>
      <c r="X902">
        <v>453</v>
      </c>
      <c r="Y902">
        <v>219</v>
      </c>
      <c r="Z902">
        <v>271</v>
      </c>
      <c r="AA902">
        <v>219</v>
      </c>
      <c r="AB902">
        <v>42.621613838303297</v>
      </c>
      <c r="AC902">
        <v>2.7780125475108001E-2</v>
      </c>
      <c r="AD902">
        <v>4.1613791253365298</v>
      </c>
      <c r="AE902">
        <v>0.93617081642150901</v>
      </c>
      <c r="AF902">
        <v>1191.5897887323899</v>
      </c>
      <c r="AG902">
        <f>IFERROR(AH902*0.1, "N/A")</f>
        <v>6.5338028169014102</v>
      </c>
      <c r="AH902">
        <v>65.338028169014095</v>
      </c>
      <c r="AI902">
        <v>177.76974267019401</v>
      </c>
      <c r="AJ902">
        <v>38.301056338028197</v>
      </c>
      <c r="AK902">
        <v>42.767605633802802</v>
      </c>
    </row>
    <row r="903" spans="1:37" x14ac:dyDescent="0.3">
      <c r="A903">
        <v>902</v>
      </c>
      <c r="B903">
        <v>57.099997999999999</v>
      </c>
      <c r="C903">
        <v>32.581114999999997</v>
      </c>
      <c r="D903">
        <v>0.31361499999999998</v>
      </c>
      <c r="E903" t="s">
        <v>1507</v>
      </c>
      <c r="F903" t="s">
        <v>1508</v>
      </c>
      <c r="G903" t="s">
        <v>37</v>
      </c>
      <c r="H903">
        <v>1970</v>
      </c>
      <c r="I903">
        <v>21.700000762939499</v>
      </c>
      <c r="J903">
        <v>10.5</v>
      </c>
      <c r="K903">
        <v>81</v>
      </c>
      <c r="L903">
        <v>6.6700000762939498</v>
      </c>
      <c r="M903">
        <v>28.600000381469702</v>
      </c>
      <c r="N903">
        <v>15.699999809265099</v>
      </c>
      <c r="O903">
        <v>12.8999996185303</v>
      </c>
      <c r="P903">
        <v>21.899999618530298</v>
      </c>
      <c r="Q903">
        <v>20.799999237060501</v>
      </c>
      <c r="R903">
        <v>22.600000381469702</v>
      </c>
      <c r="S903">
        <v>20.799999237060501</v>
      </c>
      <c r="T903">
        <v>1291</v>
      </c>
      <c r="U903">
        <v>184</v>
      </c>
      <c r="V903">
        <v>62</v>
      </c>
      <c r="W903">
        <v>35</v>
      </c>
      <c r="X903">
        <v>453</v>
      </c>
      <c r="Y903">
        <v>219</v>
      </c>
      <c r="Z903">
        <v>271</v>
      </c>
      <c r="AA903">
        <v>219</v>
      </c>
      <c r="AB903">
        <v>42.621613838303297</v>
      </c>
      <c r="AC903">
        <v>2.7780125475108001E-2</v>
      </c>
      <c r="AD903">
        <v>4.1613791253365298</v>
      </c>
      <c r="AE903">
        <v>0.93617081642150901</v>
      </c>
      <c r="AF903">
        <v>1191.5897887323899</v>
      </c>
      <c r="AG903">
        <f>IFERROR(AH903*0.1, "N/A")</f>
        <v>6.5338028169014102</v>
      </c>
      <c r="AH903">
        <v>65.338028169014095</v>
      </c>
      <c r="AI903">
        <v>177.76974267019401</v>
      </c>
      <c r="AJ903">
        <v>38.301056338028197</v>
      </c>
      <c r="AK903">
        <v>42.767605633802802</v>
      </c>
    </row>
    <row r="904" spans="1:37" x14ac:dyDescent="0.3">
      <c r="A904">
        <v>903</v>
      </c>
      <c r="B904">
        <v>11.8</v>
      </c>
      <c r="C904">
        <v>32.581116000000002</v>
      </c>
      <c r="D904">
        <v>0.31361600000000001</v>
      </c>
      <c r="E904" t="s">
        <v>1509</v>
      </c>
      <c r="F904" t="s">
        <v>1510</v>
      </c>
      <c r="G904" t="s">
        <v>37</v>
      </c>
      <c r="H904">
        <v>1970</v>
      </c>
      <c r="I904">
        <v>21.700000762939499</v>
      </c>
      <c r="J904">
        <v>10.5</v>
      </c>
      <c r="K904">
        <v>81</v>
      </c>
      <c r="L904">
        <v>6.6700000762939498</v>
      </c>
      <c r="M904">
        <v>28.600000381469702</v>
      </c>
      <c r="N904">
        <v>15.699999809265099</v>
      </c>
      <c r="O904">
        <v>12.8999996185303</v>
      </c>
      <c r="P904">
        <v>21.899999618530298</v>
      </c>
      <c r="Q904">
        <v>20.799999237060501</v>
      </c>
      <c r="R904">
        <v>22.600000381469702</v>
      </c>
      <c r="S904">
        <v>20.799999237060501</v>
      </c>
      <c r="T904">
        <v>1291</v>
      </c>
      <c r="U904">
        <v>184</v>
      </c>
      <c r="V904">
        <v>62</v>
      </c>
      <c r="W904">
        <v>35</v>
      </c>
      <c r="X904">
        <v>453</v>
      </c>
      <c r="Y904">
        <v>219</v>
      </c>
      <c r="Z904">
        <v>271</v>
      </c>
      <c r="AA904">
        <v>219</v>
      </c>
      <c r="AB904">
        <v>42.680768509985697</v>
      </c>
      <c r="AC904">
        <v>2.7569441972497E-2</v>
      </c>
      <c r="AD904">
        <v>4.1579164052513304</v>
      </c>
      <c r="AE904">
        <v>0.93617081642150901</v>
      </c>
      <c r="AF904">
        <v>1191.62323943662</v>
      </c>
      <c r="AG904">
        <f>IFERROR(AH904*0.1, "N/A")</f>
        <v>6.5330985915493009</v>
      </c>
      <c r="AH904">
        <v>65.330985915493002</v>
      </c>
      <c r="AI904">
        <v>177.756630131896</v>
      </c>
      <c r="AJ904">
        <v>38.327464788732399</v>
      </c>
      <c r="AK904">
        <v>42.751760563380302</v>
      </c>
    </row>
    <row r="905" spans="1:37" x14ac:dyDescent="0.3">
      <c r="A905">
        <v>904</v>
      </c>
      <c r="B905">
        <v>13.3</v>
      </c>
      <c r="C905">
        <v>32.581116999999999</v>
      </c>
      <c r="D905">
        <v>0.31361699999999998</v>
      </c>
      <c r="E905" t="s">
        <v>1511</v>
      </c>
      <c r="F905" t="s">
        <v>1512</v>
      </c>
      <c r="G905" t="s">
        <v>37</v>
      </c>
      <c r="H905">
        <v>1970</v>
      </c>
      <c r="I905">
        <v>21.700000762939499</v>
      </c>
      <c r="J905">
        <v>10.5</v>
      </c>
      <c r="K905">
        <v>81</v>
      </c>
      <c r="L905">
        <v>6.6700000762939498</v>
      </c>
      <c r="M905">
        <v>28.600000381469702</v>
      </c>
      <c r="N905">
        <v>15.699999809265099</v>
      </c>
      <c r="O905">
        <v>12.8999996185303</v>
      </c>
      <c r="P905">
        <v>21.899999618530298</v>
      </c>
      <c r="Q905">
        <v>20.799999237060501</v>
      </c>
      <c r="R905">
        <v>22.600000381469702</v>
      </c>
      <c r="S905">
        <v>20.799999237060501</v>
      </c>
      <c r="T905">
        <v>1291</v>
      </c>
      <c r="U905">
        <v>184</v>
      </c>
      <c r="V905">
        <v>62</v>
      </c>
      <c r="W905">
        <v>35</v>
      </c>
      <c r="X905">
        <v>453</v>
      </c>
      <c r="Y905">
        <v>219</v>
      </c>
      <c r="Z905">
        <v>271</v>
      </c>
      <c r="AA905">
        <v>219</v>
      </c>
      <c r="AB905">
        <v>42.680768509985697</v>
      </c>
      <c r="AC905">
        <v>2.7569441972497E-2</v>
      </c>
      <c r="AD905">
        <v>4.1579164052513304</v>
      </c>
      <c r="AE905">
        <v>0.93617081642150901</v>
      </c>
      <c r="AF905">
        <v>1191.62323943662</v>
      </c>
      <c r="AG905">
        <f>IFERROR(AH905*0.1, "N/A")</f>
        <v>6.5330985915493009</v>
      </c>
      <c r="AH905">
        <v>65.330985915493002</v>
      </c>
      <c r="AI905">
        <v>177.756630131896</v>
      </c>
      <c r="AJ905">
        <v>38.327464788732399</v>
      </c>
      <c r="AK905">
        <v>42.751760563380302</v>
      </c>
    </row>
    <row r="906" spans="1:37" x14ac:dyDescent="0.3">
      <c r="A906">
        <v>905</v>
      </c>
      <c r="B906">
        <v>13.3</v>
      </c>
      <c r="C906">
        <v>32.581117999999996</v>
      </c>
      <c r="D906">
        <v>0.31361800000000001</v>
      </c>
      <c r="E906" t="s">
        <v>1513</v>
      </c>
      <c r="F906" t="s">
        <v>1514</v>
      </c>
      <c r="G906" t="s">
        <v>37</v>
      </c>
      <c r="H906">
        <v>1970</v>
      </c>
      <c r="I906">
        <v>21.700000762939499</v>
      </c>
      <c r="J906">
        <v>10.5</v>
      </c>
      <c r="K906">
        <v>81</v>
      </c>
      <c r="L906">
        <v>6.6700000762939498</v>
      </c>
      <c r="M906">
        <v>28.600000381469702</v>
      </c>
      <c r="N906">
        <v>15.699999809265099</v>
      </c>
      <c r="O906">
        <v>12.8999996185303</v>
      </c>
      <c r="P906">
        <v>21.899999618530298</v>
      </c>
      <c r="Q906">
        <v>20.799999237060501</v>
      </c>
      <c r="R906">
        <v>22.600000381469702</v>
      </c>
      <c r="S906">
        <v>20.799999237060501</v>
      </c>
      <c r="T906">
        <v>1291</v>
      </c>
      <c r="U906">
        <v>184</v>
      </c>
      <c r="V906">
        <v>62</v>
      </c>
      <c r="W906">
        <v>35</v>
      </c>
      <c r="X906">
        <v>453</v>
      </c>
      <c r="Y906">
        <v>219</v>
      </c>
      <c r="Z906">
        <v>271</v>
      </c>
      <c r="AA906">
        <v>219</v>
      </c>
      <c r="AB906">
        <v>42.680768509985697</v>
      </c>
      <c r="AC906">
        <v>2.7569441972497E-2</v>
      </c>
      <c r="AD906">
        <v>4.1579164052513304</v>
      </c>
      <c r="AE906">
        <v>0.93617081642150901</v>
      </c>
      <c r="AF906">
        <v>1191.62323943662</v>
      </c>
      <c r="AG906">
        <f>IFERROR(AH906*0.1, "N/A")</f>
        <v>6.5330985915493009</v>
      </c>
      <c r="AH906">
        <v>65.330985915493002</v>
      </c>
      <c r="AI906">
        <v>177.756630131896</v>
      </c>
      <c r="AJ906">
        <v>38.327464788732399</v>
      </c>
      <c r="AK906">
        <v>42.751760563380302</v>
      </c>
    </row>
    <row r="907" spans="1:37" x14ac:dyDescent="0.3">
      <c r="A907">
        <v>906</v>
      </c>
      <c r="B907">
        <v>5.0999999999999996</v>
      </c>
      <c r="C907">
        <v>32.581119000000001</v>
      </c>
      <c r="D907">
        <v>0.31361899999999998</v>
      </c>
      <c r="E907" t="s">
        <v>1515</v>
      </c>
      <c r="F907" t="s">
        <v>1516</v>
      </c>
      <c r="G907" t="s">
        <v>37</v>
      </c>
      <c r="H907">
        <v>1970</v>
      </c>
      <c r="I907">
        <v>21.700000762939499</v>
      </c>
      <c r="J907">
        <v>10.5</v>
      </c>
      <c r="K907">
        <v>81</v>
      </c>
      <c r="L907">
        <v>6.6700000762939498</v>
      </c>
      <c r="M907">
        <v>28.600000381469702</v>
      </c>
      <c r="N907">
        <v>15.699999809265099</v>
      </c>
      <c r="O907">
        <v>12.8999996185303</v>
      </c>
      <c r="P907">
        <v>21.899999618530298</v>
      </c>
      <c r="Q907">
        <v>20.799999237060501</v>
      </c>
      <c r="R907">
        <v>22.600000381469702</v>
      </c>
      <c r="S907">
        <v>20.799999237060501</v>
      </c>
      <c r="T907">
        <v>1291</v>
      </c>
      <c r="U907">
        <v>184</v>
      </c>
      <c r="V907">
        <v>62</v>
      </c>
      <c r="W907">
        <v>35</v>
      </c>
      <c r="X907">
        <v>453</v>
      </c>
      <c r="Y907">
        <v>219</v>
      </c>
      <c r="Z907">
        <v>271</v>
      </c>
      <c r="AA907">
        <v>219</v>
      </c>
      <c r="AB907">
        <v>42.680768509985697</v>
      </c>
      <c r="AC907">
        <v>2.7569441972497E-2</v>
      </c>
      <c r="AD907">
        <v>4.1579164052513304</v>
      </c>
      <c r="AE907">
        <v>0.93617081642150901</v>
      </c>
      <c r="AF907">
        <v>1191.62323943662</v>
      </c>
      <c r="AG907">
        <f>IFERROR(AH907*0.1, "N/A")</f>
        <v>6.5330985915493009</v>
      </c>
      <c r="AH907">
        <v>65.330985915493002</v>
      </c>
      <c r="AI907">
        <v>177.756630131896</v>
      </c>
      <c r="AJ907">
        <v>38.327464788732399</v>
      </c>
      <c r="AK907">
        <v>42.751760563380302</v>
      </c>
    </row>
    <row r="908" spans="1:37" x14ac:dyDescent="0.3">
      <c r="A908">
        <v>907</v>
      </c>
      <c r="B908">
        <v>10.8</v>
      </c>
      <c r="C908">
        <v>32.581119999999999</v>
      </c>
      <c r="D908">
        <v>0.31362000000000001</v>
      </c>
      <c r="E908" t="s">
        <v>1517</v>
      </c>
      <c r="F908" t="s">
        <v>1518</v>
      </c>
      <c r="G908" t="s">
        <v>37</v>
      </c>
      <c r="H908">
        <v>1970</v>
      </c>
      <c r="I908">
        <v>21.700000762939499</v>
      </c>
      <c r="J908">
        <v>10.5</v>
      </c>
      <c r="K908">
        <v>81</v>
      </c>
      <c r="L908">
        <v>6.6700000762939498</v>
      </c>
      <c r="M908">
        <v>28.600000381469702</v>
      </c>
      <c r="N908">
        <v>15.699999809265099</v>
      </c>
      <c r="O908">
        <v>12.8999996185303</v>
      </c>
      <c r="P908">
        <v>21.899999618530298</v>
      </c>
      <c r="Q908">
        <v>20.799999237060501</v>
      </c>
      <c r="R908">
        <v>22.600000381469702</v>
      </c>
      <c r="S908">
        <v>20.799999237060501</v>
      </c>
      <c r="T908">
        <v>1291</v>
      </c>
      <c r="U908">
        <v>184</v>
      </c>
      <c r="V908">
        <v>62</v>
      </c>
      <c r="W908">
        <v>35</v>
      </c>
      <c r="X908">
        <v>453</v>
      </c>
      <c r="Y908">
        <v>219</v>
      </c>
      <c r="Z908">
        <v>271</v>
      </c>
      <c r="AA908">
        <v>219</v>
      </c>
      <c r="AB908">
        <v>42.7274232246506</v>
      </c>
      <c r="AC908">
        <v>2.7358758469885999E-2</v>
      </c>
      <c r="AD908">
        <v>4.15544457166967</v>
      </c>
      <c r="AE908">
        <v>0.93617081642150901</v>
      </c>
      <c r="AF908">
        <v>1191.6514084507</v>
      </c>
      <c r="AG908">
        <f>IFERROR(AH908*0.1, "N/A")</f>
        <v>6.5327464788732401</v>
      </c>
      <c r="AH908">
        <v>65.327464788732399</v>
      </c>
      <c r="AI908">
        <v>177.76557567757601</v>
      </c>
      <c r="AJ908">
        <v>38.345070422535201</v>
      </c>
      <c r="AK908">
        <v>42.744718309859202</v>
      </c>
    </row>
    <row r="909" spans="1:37" x14ac:dyDescent="0.3">
      <c r="A909">
        <v>908</v>
      </c>
      <c r="B909">
        <v>16.399999999999999</v>
      </c>
      <c r="C909">
        <v>32.581121000000003</v>
      </c>
      <c r="D909">
        <v>0.31362099999999998</v>
      </c>
      <c r="E909" t="s">
        <v>1519</v>
      </c>
      <c r="F909" t="s">
        <v>1520</v>
      </c>
      <c r="G909" t="s">
        <v>37</v>
      </c>
      <c r="H909">
        <v>1970</v>
      </c>
      <c r="I909">
        <v>21.700000762939499</v>
      </c>
      <c r="J909">
        <v>10.5</v>
      </c>
      <c r="K909">
        <v>81</v>
      </c>
      <c r="L909">
        <v>6.6700000762939498</v>
      </c>
      <c r="M909">
        <v>28.600000381469702</v>
      </c>
      <c r="N909">
        <v>15.699999809265099</v>
      </c>
      <c r="O909">
        <v>12.8999996185303</v>
      </c>
      <c r="P909">
        <v>21.899999618530298</v>
      </c>
      <c r="Q909">
        <v>20.799999237060501</v>
      </c>
      <c r="R909">
        <v>22.600000381469702</v>
      </c>
      <c r="S909">
        <v>20.799999237060501</v>
      </c>
      <c r="T909">
        <v>1291</v>
      </c>
      <c r="U909">
        <v>184</v>
      </c>
      <c r="V909">
        <v>62</v>
      </c>
      <c r="W909">
        <v>35</v>
      </c>
      <c r="X909">
        <v>453</v>
      </c>
      <c r="Y909">
        <v>219</v>
      </c>
      <c r="Z909">
        <v>271</v>
      </c>
      <c r="AA909">
        <v>219</v>
      </c>
      <c r="AB909">
        <v>42.7274232246506</v>
      </c>
      <c r="AC909">
        <v>2.7358758469885999E-2</v>
      </c>
      <c r="AD909">
        <v>4.15544457166967</v>
      </c>
      <c r="AE909">
        <v>0.93617081642150901</v>
      </c>
      <c r="AF909">
        <v>1191.6514084507</v>
      </c>
      <c r="AG909">
        <f>IFERROR(AH909*0.1, "N/A")</f>
        <v>6.5327464788732401</v>
      </c>
      <c r="AH909">
        <v>65.327464788732399</v>
      </c>
      <c r="AI909">
        <v>177.76557567757601</v>
      </c>
      <c r="AJ909">
        <v>38.345070422535201</v>
      </c>
      <c r="AK909">
        <v>42.744718309859202</v>
      </c>
    </row>
    <row r="910" spans="1:37" x14ac:dyDescent="0.3">
      <c r="A910">
        <v>909</v>
      </c>
      <c r="B910">
        <v>27.799999</v>
      </c>
      <c r="C910">
        <v>30.809189</v>
      </c>
      <c r="D910">
        <v>0.99215799999999998</v>
      </c>
      <c r="E910" t="s">
        <v>1521</v>
      </c>
      <c r="F910" t="s">
        <v>1522</v>
      </c>
      <c r="G910" t="s">
        <v>37</v>
      </c>
      <c r="H910">
        <v>2008</v>
      </c>
      <c r="I910">
        <v>22.078383427303201</v>
      </c>
      <c r="J910">
        <v>11.699999809265099</v>
      </c>
      <c r="K910">
        <v>82</v>
      </c>
      <c r="L910">
        <v>5.8836026845372196</v>
      </c>
      <c r="M910">
        <v>29.778382695203099</v>
      </c>
      <c r="N910">
        <v>15.678383061253101</v>
      </c>
      <c r="O910">
        <v>14.1000003814697</v>
      </c>
      <c r="P910">
        <v>21.678383808772899</v>
      </c>
      <c r="Q910">
        <v>22.563444881740899</v>
      </c>
      <c r="R910">
        <v>22.878382664363698</v>
      </c>
      <c r="S910">
        <v>21.278382695203099</v>
      </c>
      <c r="T910">
        <v>1242.6924428822499</v>
      </c>
      <c r="U910">
        <v>175.14938488576499</v>
      </c>
      <c r="V910">
        <v>33</v>
      </c>
      <c r="W910">
        <v>43</v>
      </c>
      <c r="X910">
        <v>438.947275922671</v>
      </c>
      <c r="Y910">
        <v>137.58172231985901</v>
      </c>
      <c r="Z910">
        <v>189.58172231985901</v>
      </c>
      <c r="AA910">
        <v>323.58172231985901</v>
      </c>
      <c r="AB910">
        <v>16.0049312973693</v>
      </c>
      <c r="AC910">
        <v>3.1332535407324003E-2</v>
      </c>
      <c r="AD910">
        <v>7.3186843072592902</v>
      </c>
      <c r="AE910">
        <v>0.71185189485549905</v>
      </c>
      <c r="AF910">
        <v>1172.0035149384901</v>
      </c>
      <c r="AG910">
        <f>IFERROR(AH910*0.1, "N/A")</f>
        <v>5.4847100175746908</v>
      </c>
      <c r="AH910">
        <v>54.847100175746903</v>
      </c>
      <c r="AI910">
        <v>317.61402150239599</v>
      </c>
      <c r="AJ910">
        <v>39.219683655536002</v>
      </c>
      <c r="AK910">
        <v>43.493848857644998</v>
      </c>
    </row>
    <row r="911" spans="1:37" x14ac:dyDescent="0.3">
      <c r="A911">
        <v>910</v>
      </c>
      <c r="B911">
        <v>12.5</v>
      </c>
      <c r="C911">
        <v>31.506219000000002</v>
      </c>
      <c r="D911">
        <v>2.2055750000000001</v>
      </c>
      <c r="E911" t="s">
        <v>1523</v>
      </c>
      <c r="F911" t="s">
        <v>1524</v>
      </c>
      <c r="G911" t="s">
        <v>37</v>
      </c>
      <c r="H911">
        <v>2004</v>
      </c>
      <c r="I911">
        <v>25</v>
      </c>
      <c r="J911">
        <v>11.8999996185303</v>
      </c>
      <c r="K911">
        <v>74</v>
      </c>
      <c r="L911">
        <v>9.7299995422363299</v>
      </c>
      <c r="M911">
        <v>33.200000762939503</v>
      </c>
      <c r="N911">
        <v>17.200000762939499</v>
      </c>
      <c r="O911">
        <v>16</v>
      </c>
      <c r="P911">
        <v>23.799999237060501</v>
      </c>
      <c r="Q911">
        <v>25.799999237060501</v>
      </c>
      <c r="R911">
        <v>26.200000762939499</v>
      </c>
      <c r="S911">
        <v>23.799999237060501</v>
      </c>
      <c r="T911">
        <v>1086</v>
      </c>
      <c r="U911">
        <v>142</v>
      </c>
      <c r="V911">
        <v>22</v>
      </c>
      <c r="W911">
        <v>42</v>
      </c>
      <c r="X911">
        <v>382</v>
      </c>
      <c r="Y911">
        <v>97</v>
      </c>
      <c r="Z911">
        <v>146</v>
      </c>
      <c r="AA911">
        <v>382</v>
      </c>
      <c r="AB911">
        <v>33.463973167700999</v>
      </c>
      <c r="AC911">
        <v>8.5716726919649999E-3</v>
      </c>
      <c r="AD911">
        <v>2.2238933901795201</v>
      </c>
      <c r="AE911">
        <v>0.65237867832183805</v>
      </c>
      <c r="AF911">
        <v>699.288224956063</v>
      </c>
      <c r="AG911">
        <f>IFERROR(AH911*0.1, "N/A")</f>
        <v>5.8943760984182809</v>
      </c>
      <c r="AH911">
        <v>58.943760984182802</v>
      </c>
      <c r="AI911">
        <v>73.8434604115143</v>
      </c>
      <c r="AJ911">
        <v>27.066783831283001</v>
      </c>
      <c r="AK911">
        <v>54.423550087873501</v>
      </c>
    </row>
    <row r="912" spans="1:37" x14ac:dyDescent="0.3">
      <c r="A912">
        <v>911</v>
      </c>
      <c r="B912">
        <v>12</v>
      </c>
      <c r="C912">
        <v>33.622297000000003</v>
      </c>
      <c r="D912">
        <v>0.38829999999999998</v>
      </c>
      <c r="E912" t="s">
        <v>1525</v>
      </c>
      <c r="F912" t="s">
        <v>1526</v>
      </c>
      <c r="G912" t="s">
        <v>37</v>
      </c>
      <c r="H912">
        <v>2005</v>
      </c>
      <c r="I912">
        <v>22.100000381469702</v>
      </c>
      <c r="J912">
        <v>11.800000190734901</v>
      </c>
      <c r="K912">
        <v>84</v>
      </c>
      <c r="L912">
        <v>5.7800002098083496</v>
      </c>
      <c r="M912">
        <v>29.5</v>
      </c>
      <c r="N912">
        <v>15.5</v>
      </c>
      <c r="O912">
        <v>14</v>
      </c>
      <c r="P912">
        <v>22.399999618530298</v>
      </c>
      <c r="Q912">
        <v>21.200000762939499</v>
      </c>
      <c r="R912">
        <v>22.700000762939499</v>
      </c>
      <c r="S912">
        <v>21.200000762939499</v>
      </c>
      <c r="T912">
        <v>1359</v>
      </c>
      <c r="U912">
        <v>208</v>
      </c>
      <c r="V912">
        <v>62</v>
      </c>
      <c r="W912">
        <v>38</v>
      </c>
      <c r="X912">
        <v>490</v>
      </c>
      <c r="Y912">
        <v>219</v>
      </c>
      <c r="Z912">
        <v>292</v>
      </c>
      <c r="AA912">
        <v>219</v>
      </c>
      <c r="AB912">
        <v>23.982932761863399</v>
      </c>
      <c r="AC912">
        <v>9.0602231630809993E-3</v>
      </c>
      <c r="AD912">
        <v>2.31935562196022</v>
      </c>
      <c r="AE912">
        <v>0.66386228799819902</v>
      </c>
      <c r="AF912">
        <v>1183.45679012346</v>
      </c>
      <c r="AG912">
        <f>IFERROR(AH912*0.1, "N/A")</f>
        <v>5.9068783068783102</v>
      </c>
      <c r="AH912">
        <v>59.068783068783098</v>
      </c>
      <c r="AI912">
        <v>61.802074886503704</v>
      </c>
      <c r="AJ912">
        <v>33</v>
      </c>
      <c r="AK912">
        <v>49</v>
      </c>
    </row>
    <row r="913" spans="1:37" x14ac:dyDescent="0.3">
      <c r="A913">
        <v>912</v>
      </c>
      <c r="B913">
        <v>12</v>
      </c>
      <c r="C913">
        <v>33.498424999999997</v>
      </c>
      <c r="D913">
        <v>0.33110800000000001</v>
      </c>
      <c r="E913" t="s">
        <v>1527</v>
      </c>
      <c r="F913" t="s">
        <v>1528</v>
      </c>
      <c r="G913" t="s">
        <v>37</v>
      </c>
      <c r="H913">
        <v>2005</v>
      </c>
      <c r="I913">
        <v>22.100000381469702</v>
      </c>
      <c r="J913">
        <v>11.699999809265099</v>
      </c>
      <c r="K913">
        <v>84</v>
      </c>
      <c r="L913">
        <v>5.7199997901916504</v>
      </c>
      <c r="M913">
        <v>29.299999237060501</v>
      </c>
      <c r="N913">
        <v>15.5</v>
      </c>
      <c r="O913">
        <v>13.800000190734901</v>
      </c>
      <c r="P913">
        <v>22.5</v>
      </c>
      <c r="Q913">
        <v>21.299999237060501</v>
      </c>
      <c r="R913">
        <v>22.799999237060501</v>
      </c>
      <c r="S913">
        <v>21.299999237060501</v>
      </c>
      <c r="T913">
        <v>1362</v>
      </c>
      <c r="U913">
        <v>206</v>
      </c>
      <c r="V913">
        <v>55</v>
      </c>
      <c r="W913">
        <v>39</v>
      </c>
      <c r="X913">
        <v>492</v>
      </c>
      <c r="Y913">
        <v>198</v>
      </c>
      <c r="Z913">
        <v>315</v>
      </c>
      <c r="AA913">
        <v>198</v>
      </c>
      <c r="AB913">
        <v>16.891529566805101</v>
      </c>
      <c r="AC913">
        <v>2.5673247199886E-2</v>
      </c>
      <c r="AD913">
        <v>2.4702387074349601</v>
      </c>
      <c r="AE913">
        <v>0.71459585428237904</v>
      </c>
      <c r="AF913">
        <v>1160.6954225352099</v>
      </c>
      <c r="AG913">
        <f>IFERROR(AH913*0.1, "N/A")</f>
        <v>5.9</v>
      </c>
      <c r="AH913">
        <v>59</v>
      </c>
      <c r="AI913">
        <v>249.25224809243699</v>
      </c>
      <c r="AJ913">
        <v>41.352112676056301</v>
      </c>
      <c r="AK913">
        <v>40.919014084506998</v>
      </c>
    </row>
    <row r="914" spans="1:37" x14ac:dyDescent="0.3">
      <c r="A914">
        <v>913</v>
      </c>
      <c r="B914">
        <v>0</v>
      </c>
      <c r="C914">
        <v>29.871700000000001</v>
      </c>
      <c r="D914">
        <v>-1.22542</v>
      </c>
      <c r="E914" t="s">
        <v>1529</v>
      </c>
      <c r="F914" t="s">
        <v>1530</v>
      </c>
      <c r="G914" t="s">
        <v>37</v>
      </c>
      <c r="H914">
        <v>2008</v>
      </c>
      <c r="I914">
        <v>16.228295399979299</v>
      </c>
      <c r="J914">
        <v>11.9347980361831</v>
      </c>
      <c r="K914">
        <v>87</v>
      </c>
      <c r="L914">
        <v>2.9267486532878402</v>
      </c>
      <c r="M914">
        <v>22.745694805741898</v>
      </c>
      <c r="N914">
        <v>9.0521968697412198</v>
      </c>
      <c r="O914">
        <v>13.693496982326399</v>
      </c>
      <c r="P914">
        <v>16.269596084768999</v>
      </c>
      <c r="Q914">
        <v>15.769596084769001</v>
      </c>
      <c r="R914">
        <v>16.3869943585253</v>
      </c>
      <c r="S914">
        <v>15.769596084769001</v>
      </c>
      <c r="T914">
        <v>1126.5869947275901</v>
      </c>
      <c r="U914">
        <v>162.76098418277701</v>
      </c>
      <c r="V914">
        <v>19</v>
      </c>
      <c r="W914">
        <v>42.586994727592298</v>
      </c>
      <c r="X914">
        <v>381</v>
      </c>
      <c r="Y914">
        <v>111.413005272408</v>
      </c>
      <c r="Z914">
        <v>326.409490333919</v>
      </c>
      <c r="AA914">
        <v>155.41300527240799</v>
      </c>
      <c r="AB914">
        <v>30.800914047053499</v>
      </c>
      <c r="AC914">
        <v>3.7322799951780998E-2</v>
      </c>
      <c r="AD914">
        <v>17.4948823079074</v>
      </c>
      <c r="AE914">
        <v>0.42387882184060499</v>
      </c>
      <c r="AF914">
        <v>1988.93497363796</v>
      </c>
      <c r="AG914">
        <f>IFERROR(AH914*0.1, "N/A")</f>
        <v>5.4</v>
      </c>
      <c r="AH914">
        <v>54</v>
      </c>
      <c r="AI914">
        <v>247.958757155809</v>
      </c>
      <c r="AJ914">
        <v>41</v>
      </c>
      <c r="AK914">
        <v>36</v>
      </c>
    </row>
    <row r="915" spans="1:37" x14ac:dyDescent="0.3">
      <c r="A915">
        <v>914</v>
      </c>
      <c r="B915">
        <v>0</v>
      </c>
      <c r="C915">
        <v>30.205601000000001</v>
      </c>
      <c r="D915">
        <v>-1.20645</v>
      </c>
      <c r="E915" t="s">
        <v>1531</v>
      </c>
      <c r="F915" t="s">
        <v>1532</v>
      </c>
      <c r="G915" t="s">
        <v>37</v>
      </c>
      <c r="H915">
        <v>2005</v>
      </c>
      <c r="I915">
        <v>19</v>
      </c>
      <c r="J915">
        <v>12.300000190734901</v>
      </c>
      <c r="K915">
        <v>89</v>
      </c>
      <c r="L915">
        <v>2.0199999809265101</v>
      </c>
      <c r="M915">
        <v>25.799999237060501</v>
      </c>
      <c r="N915">
        <v>12</v>
      </c>
      <c r="O915">
        <v>13.800000190734901</v>
      </c>
      <c r="P915">
        <v>19</v>
      </c>
      <c r="Q915">
        <v>18.799999237060501</v>
      </c>
      <c r="R915">
        <v>19.200000762939499</v>
      </c>
      <c r="S915">
        <v>18.700000762939499</v>
      </c>
      <c r="T915">
        <v>948</v>
      </c>
      <c r="U915">
        <v>154</v>
      </c>
      <c r="V915">
        <v>15</v>
      </c>
      <c r="W915">
        <v>49</v>
      </c>
      <c r="X915">
        <v>345</v>
      </c>
      <c r="Y915">
        <v>69</v>
      </c>
      <c r="Z915">
        <v>215</v>
      </c>
      <c r="AA915">
        <v>131</v>
      </c>
      <c r="AB915">
        <v>58.713559330033497</v>
      </c>
      <c r="AC915">
        <v>1.7572616441387998E-2</v>
      </c>
      <c r="AD915">
        <v>22.511626329070001</v>
      </c>
      <c r="AE915">
        <v>0.60419666767120395</v>
      </c>
      <c r="AF915">
        <v>1601.52196836555</v>
      </c>
      <c r="AG915">
        <f>IFERROR(AH915*0.1, "N/A")</f>
        <v>5.6710017574692406</v>
      </c>
      <c r="AH915">
        <v>56.710017574692401</v>
      </c>
      <c r="AI915">
        <v>275.24684501071403</v>
      </c>
      <c r="AJ915">
        <v>37.420035149384901</v>
      </c>
      <c r="AK915">
        <v>41.579964850615099</v>
      </c>
    </row>
    <row r="916" spans="1:37" x14ac:dyDescent="0.3">
      <c r="A916">
        <v>915</v>
      </c>
      <c r="B916">
        <v>0</v>
      </c>
      <c r="C916">
        <v>30.233601</v>
      </c>
      <c r="D916">
        <v>-1.15005</v>
      </c>
      <c r="E916" t="s">
        <v>1533</v>
      </c>
      <c r="F916" t="s">
        <v>1534</v>
      </c>
      <c r="G916" t="s">
        <v>37</v>
      </c>
      <c r="H916">
        <v>2005</v>
      </c>
      <c r="I916">
        <v>19.658626260891801</v>
      </c>
      <c r="J916">
        <v>12.3999996185303</v>
      </c>
      <c r="K916">
        <v>88.848591549295804</v>
      </c>
      <c r="L916">
        <v>2.2657218520910001</v>
      </c>
      <c r="M916">
        <v>26.4007041353575</v>
      </c>
      <c r="N916">
        <v>12.5704223958539</v>
      </c>
      <c r="O916">
        <v>13.8302818519968</v>
      </c>
      <c r="P916">
        <v>19.685562983365099</v>
      </c>
      <c r="Q916">
        <v>19.419366178378301</v>
      </c>
      <c r="R916">
        <v>19.800704267663001</v>
      </c>
      <c r="S916">
        <v>19.304225407855601</v>
      </c>
      <c r="T916">
        <v>899.52288732394402</v>
      </c>
      <c r="U916">
        <v>136.48943661971799</v>
      </c>
      <c r="V916">
        <v>16.420774647887299</v>
      </c>
      <c r="W916">
        <v>47.269366197183103</v>
      </c>
      <c r="X916">
        <v>314.74471830985902</v>
      </c>
      <c r="Y916">
        <v>70.420774647887299</v>
      </c>
      <c r="Z916">
        <v>213.30281690140799</v>
      </c>
      <c r="AA916">
        <v>124.683098591549</v>
      </c>
      <c r="AB916">
        <v>30.529355761030999</v>
      </c>
      <c r="AC916">
        <v>1.1901445509735001E-2</v>
      </c>
      <c r="AD916">
        <v>8.0867051331090298</v>
      </c>
      <c r="AE916">
        <v>0.49401476979255698</v>
      </c>
      <c r="AF916">
        <v>1466.4471830985899</v>
      </c>
      <c r="AG916">
        <f>IFERROR(AH916*0.1, "N/A")</f>
        <v>5.6045774647887301</v>
      </c>
      <c r="AH916">
        <v>56.045774647887299</v>
      </c>
      <c r="AI916">
        <v>265.06388908708601</v>
      </c>
      <c r="AJ916">
        <v>37.864436619718298</v>
      </c>
      <c r="AK916">
        <v>45.135563380281702</v>
      </c>
    </row>
    <row r="917" spans="1:37" x14ac:dyDescent="0.3">
      <c r="A917">
        <v>916</v>
      </c>
      <c r="B917">
        <v>5.6</v>
      </c>
      <c r="C917">
        <v>31.767299999999999</v>
      </c>
      <c r="D917">
        <v>-0.91535</v>
      </c>
      <c r="E917" t="s">
        <v>1535</v>
      </c>
      <c r="F917" t="s">
        <v>1536</v>
      </c>
      <c r="G917" t="s">
        <v>37</v>
      </c>
      <c r="H917">
        <v>2009</v>
      </c>
      <c r="I917">
        <v>21.100000381469702</v>
      </c>
      <c r="J917">
        <v>11.1000003814697</v>
      </c>
      <c r="K917">
        <v>84</v>
      </c>
      <c r="L917">
        <v>4.0199999809265101</v>
      </c>
      <c r="M917">
        <v>27.399999618530298</v>
      </c>
      <c r="N917">
        <v>14.199999809265099</v>
      </c>
      <c r="O917">
        <v>13.199999809265099</v>
      </c>
      <c r="P917">
        <v>21.299999237060501</v>
      </c>
      <c r="Q917">
        <v>20.5</v>
      </c>
      <c r="R917">
        <v>21.5</v>
      </c>
      <c r="S917">
        <v>20.5</v>
      </c>
      <c r="T917">
        <v>1519</v>
      </c>
      <c r="U917">
        <v>274</v>
      </c>
      <c r="V917">
        <v>36</v>
      </c>
      <c r="W917">
        <v>57</v>
      </c>
      <c r="X917">
        <v>703</v>
      </c>
      <c r="Y917">
        <v>144</v>
      </c>
      <c r="Z917">
        <v>385</v>
      </c>
      <c r="AA917">
        <v>144</v>
      </c>
      <c r="AB917">
        <v>0</v>
      </c>
      <c r="AC917">
        <v>5.7811188754218999E-2</v>
      </c>
      <c r="AD917">
        <v>0</v>
      </c>
      <c r="AE917">
        <v>0.24283200502395599</v>
      </c>
      <c r="AF917">
        <v>1131</v>
      </c>
      <c r="AG917" t="str">
        <f>IFERROR(AH917*0.1, "N/A")</f>
        <v>N/A</v>
      </c>
      <c r="AH917" t="s">
        <v>729</v>
      </c>
      <c r="AI917">
        <v>0</v>
      </c>
      <c r="AJ917" t="s">
        <v>729</v>
      </c>
      <c r="AK917" t="s">
        <v>729</v>
      </c>
    </row>
    <row r="918" spans="1:37" x14ac:dyDescent="0.3">
      <c r="A918">
        <v>917</v>
      </c>
      <c r="B918">
        <v>0</v>
      </c>
      <c r="C918">
        <v>30.27</v>
      </c>
      <c r="D918">
        <v>-0.88</v>
      </c>
      <c r="E918" t="s">
        <v>1537</v>
      </c>
      <c r="F918" t="s">
        <v>1538</v>
      </c>
      <c r="G918" t="s">
        <v>37</v>
      </c>
      <c r="H918">
        <v>2004</v>
      </c>
      <c r="I918">
        <v>20.100000381469702</v>
      </c>
      <c r="J918">
        <v>12.3999996185303</v>
      </c>
      <c r="K918">
        <v>89</v>
      </c>
      <c r="L918">
        <v>2.7200000286102299</v>
      </c>
      <c r="M918">
        <v>26.899999618530298</v>
      </c>
      <c r="N918">
        <v>13</v>
      </c>
      <c r="O918">
        <v>13.8999996185303</v>
      </c>
      <c r="P918">
        <v>20.100000381469702</v>
      </c>
      <c r="Q918">
        <v>19.899999618530298</v>
      </c>
      <c r="R918">
        <v>20.399999618530298</v>
      </c>
      <c r="S918">
        <v>19.799999237060501</v>
      </c>
      <c r="T918">
        <v>962</v>
      </c>
      <c r="U918">
        <v>136</v>
      </c>
      <c r="V918">
        <v>25</v>
      </c>
      <c r="W918">
        <v>41</v>
      </c>
      <c r="X918">
        <v>340</v>
      </c>
      <c r="Y918">
        <v>108</v>
      </c>
      <c r="Z918">
        <v>221</v>
      </c>
      <c r="AA918">
        <v>140</v>
      </c>
      <c r="AB918">
        <v>9.7105363198868595</v>
      </c>
      <c r="AC918">
        <v>8.8938504748818994E-2</v>
      </c>
      <c r="AD918">
        <v>6.2909485996293304</v>
      </c>
      <c r="AE918">
        <v>0.71976315755207199</v>
      </c>
      <c r="AF918">
        <v>1414.5079086116</v>
      </c>
      <c r="AG918">
        <f>IFERROR(AH918*0.1, "N/A")</f>
        <v>5.5725834797890998</v>
      </c>
      <c r="AH918">
        <v>55.725834797890997</v>
      </c>
      <c r="AI918">
        <v>295.247530999209</v>
      </c>
      <c r="AJ918">
        <v>37.650263620386603</v>
      </c>
      <c r="AK918">
        <v>43.833040421792603</v>
      </c>
    </row>
    <row r="919" spans="1:37" x14ac:dyDescent="0.3">
      <c r="A919">
        <v>918</v>
      </c>
      <c r="B919">
        <v>0</v>
      </c>
      <c r="C919">
        <v>29.950001</v>
      </c>
      <c r="D919">
        <v>-0.75</v>
      </c>
      <c r="E919" t="s">
        <v>1539</v>
      </c>
      <c r="F919" t="s">
        <v>1540</v>
      </c>
      <c r="G919" t="s">
        <v>37</v>
      </c>
      <c r="H919">
        <v>2004</v>
      </c>
      <c r="I919">
        <v>18.105272809315199</v>
      </c>
      <c r="J919">
        <v>12.1000003814697</v>
      </c>
      <c r="K919">
        <v>88.339191564147598</v>
      </c>
      <c r="L919">
        <v>2.5549384843695599</v>
      </c>
      <c r="M919">
        <v>24.8915639954418</v>
      </c>
      <c r="N919">
        <v>11.3254832182283</v>
      </c>
      <c r="O919">
        <v>13.5660810956636</v>
      </c>
      <c r="P919">
        <v>18.039191713651601</v>
      </c>
      <c r="Q919">
        <v>17.839190950712101</v>
      </c>
      <c r="R919">
        <v>18.325482899778098</v>
      </c>
      <c r="S919">
        <v>17.805272311862598</v>
      </c>
      <c r="T919">
        <v>1197.88400702988</v>
      </c>
      <c r="U919">
        <v>155.731107205624</v>
      </c>
      <c r="V919">
        <v>35</v>
      </c>
      <c r="W919">
        <v>36</v>
      </c>
      <c r="X919">
        <v>412.91915641476299</v>
      </c>
      <c r="Y919">
        <v>159.07029876977199</v>
      </c>
      <c r="Z919">
        <v>275.084358523726</v>
      </c>
      <c r="AA919">
        <v>173.54130052724099</v>
      </c>
      <c r="AB919">
        <v>44.692802442607601</v>
      </c>
      <c r="AC919">
        <v>2.0023436017125001E-2</v>
      </c>
      <c r="AD919">
        <v>11.980581508160499</v>
      </c>
      <c r="AE919">
        <v>0.64154630899429299</v>
      </c>
      <c r="AF919">
        <v>1776.81195079086</v>
      </c>
      <c r="AG919">
        <f>IFERROR(AH919*0.1, "N/A")</f>
        <v>5.5</v>
      </c>
      <c r="AH919">
        <v>55</v>
      </c>
      <c r="AI919">
        <v>68.108427527080707</v>
      </c>
      <c r="AJ919">
        <v>37</v>
      </c>
      <c r="AK919">
        <v>42</v>
      </c>
    </row>
    <row r="920" spans="1:37" x14ac:dyDescent="0.3">
      <c r="A920">
        <v>919</v>
      </c>
      <c r="B920">
        <v>12.5</v>
      </c>
      <c r="C920">
        <v>32.268002000000003</v>
      </c>
      <c r="D920">
        <v>-0.73168</v>
      </c>
      <c r="E920" t="s">
        <v>1541</v>
      </c>
      <c r="F920" t="s">
        <v>1542</v>
      </c>
      <c r="G920" t="s">
        <v>37</v>
      </c>
      <c r="H920">
        <v>2010</v>
      </c>
      <c r="I920">
        <v>21.600000381469702</v>
      </c>
      <c r="J920">
        <v>10.300000190734901</v>
      </c>
      <c r="K920">
        <v>83</v>
      </c>
      <c r="L920">
        <v>4.6199998855590803</v>
      </c>
      <c r="M920">
        <v>27.5</v>
      </c>
      <c r="N920">
        <v>15.199999809265099</v>
      </c>
      <c r="O920">
        <v>12.300000190734901</v>
      </c>
      <c r="P920">
        <v>21.799999237060501</v>
      </c>
      <c r="Q920">
        <v>20.899999618530298</v>
      </c>
      <c r="R920">
        <v>22</v>
      </c>
      <c r="S920">
        <v>20.899999618530298</v>
      </c>
      <c r="T920">
        <v>1979</v>
      </c>
      <c r="U920">
        <v>329</v>
      </c>
      <c r="V920">
        <v>68</v>
      </c>
      <c r="W920">
        <v>51</v>
      </c>
      <c r="X920">
        <v>879</v>
      </c>
      <c r="Y920">
        <v>232</v>
      </c>
      <c r="Z920">
        <v>496</v>
      </c>
      <c r="AA920">
        <v>258</v>
      </c>
      <c r="AB920">
        <v>1.03163444639719</v>
      </c>
      <c r="AC920">
        <v>1.3338998930696001E-2</v>
      </c>
      <c r="AD920">
        <v>3.0682929416951499</v>
      </c>
      <c r="AE920" t="s">
        <v>729</v>
      </c>
      <c r="AF920">
        <v>1134.5465729349701</v>
      </c>
      <c r="AG920" t="str">
        <f>IFERROR(AH920*0.1, "N/A")</f>
        <v>N/A</v>
      </c>
      <c r="AH920" t="s">
        <v>729</v>
      </c>
      <c r="AI920">
        <v>129.913309804585</v>
      </c>
      <c r="AJ920" t="s">
        <v>729</v>
      </c>
      <c r="AK920" t="s">
        <v>729</v>
      </c>
    </row>
    <row r="921" spans="1:37" x14ac:dyDescent="0.3">
      <c r="A921">
        <v>920</v>
      </c>
      <c r="B921">
        <v>0</v>
      </c>
      <c r="C921">
        <v>32.308498</v>
      </c>
      <c r="D921">
        <v>-0.71889999999999998</v>
      </c>
      <c r="E921" t="s">
        <v>1543</v>
      </c>
      <c r="F921" t="s">
        <v>1544</v>
      </c>
      <c r="G921" t="s">
        <v>37</v>
      </c>
      <c r="H921">
        <v>2010</v>
      </c>
      <c r="I921">
        <v>21.600000381469702</v>
      </c>
      <c r="J921">
        <v>10.205996304803</v>
      </c>
      <c r="K921">
        <v>83.059964726631407</v>
      </c>
      <c r="L921">
        <v>4.6094004725232498</v>
      </c>
      <c r="M921">
        <v>27.5</v>
      </c>
      <c r="N921">
        <v>15.300000190734901</v>
      </c>
      <c r="O921">
        <v>12.199999809265099</v>
      </c>
      <c r="P921">
        <v>21.805995732598401</v>
      </c>
      <c r="Q921">
        <v>21</v>
      </c>
      <c r="R921">
        <v>22.100000381469702</v>
      </c>
      <c r="S921">
        <v>20.899999618530298</v>
      </c>
      <c r="T921">
        <v>1996.7601410934701</v>
      </c>
      <c r="U921">
        <v>330</v>
      </c>
      <c r="V921">
        <v>69.940035273368593</v>
      </c>
      <c r="W921">
        <v>51</v>
      </c>
      <c r="X921">
        <v>883.94003527336895</v>
      </c>
      <c r="Y921">
        <v>234.94003527336901</v>
      </c>
      <c r="Z921">
        <v>502.88007054673699</v>
      </c>
      <c r="AA921">
        <v>262.94003527336901</v>
      </c>
      <c r="AB921">
        <v>1.76879818225033</v>
      </c>
      <c r="AC921">
        <v>3.8062910368663001E-2</v>
      </c>
      <c r="AD921">
        <v>3.0913181380620101</v>
      </c>
      <c r="AE921" t="s">
        <v>729</v>
      </c>
      <c r="AF921">
        <v>1131.9964726631399</v>
      </c>
      <c r="AG921" t="str">
        <f>IFERROR(AH921*0.1, "N/A")</f>
        <v>N/A</v>
      </c>
      <c r="AH921" t="s">
        <v>729</v>
      </c>
      <c r="AI921">
        <v>88.677107264335405</v>
      </c>
      <c r="AJ921" t="s">
        <v>729</v>
      </c>
      <c r="AK921" t="s">
        <v>729</v>
      </c>
    </row>
    <row r="922" spans="1:37" x14ac:dyDescent="0.3">
      <c r="A922">
        <v>921</v>
      </c>
      <c r="B922">
        <v>0</v>
      </c>
      <c r="C922">
        <v>30.67</v>
      </c>
      <c r="D922">
        <v>-0.7</v>
      </c>
      <c r="E922" t="s">
        <v>1545</v>
      </c>
      <c r="F922" t="s">
        <v>1546</v>
      </c>
      <c r="G922" t="s">
        <v>37</v>
      </c>
      <c r="H922">
        <v>2004</v>
      </c>
      <c r="I922">
        <v>19.933509446536</v>
      </c>
      <c r="J922">
        <v>12.133509889902101</v>
      </c>
      <c r="K922">
        <v>85.3350970017637</v>
      </c>
      <c r="L922">
        <v>4.2361728526927802</v>
      </c>
      <c r="M922">
        <v>26.899999618530298</v>
      </c>
      <c r="N922">
        <v>12.733509637270901</v>
      </c>
      <c r="O922">
        <v>14.1664903008328</v>
      </c>
      <c r="P922">
        <v>20.100000381469702</v>
      </c>
      <c r="Q922">
        <v>19.7335099517984</v>
      </c>
      <c r="R922">
        <v>20.433509446536</v>
      </c>
      <c r="S922">
        <v>19.533509828005698</v>
      </c>
      <c r="T922">
        <v>984.659611992946</v>
      </c>
      <c r="U922">
        <v>143</v>
      </c>
      <c r="V922">
        <v>30.3298059964727</v>
      </c>
      <c r="W922">
        <v>41.6701940035273</v>
      </c>
      <c r="X922">
        <v>338.65961199294497</v>
      </c>
      <c r="Y922">
        <v>117.329805996473</v>
      </c>
      <c r="Z922">
        <v>227.329805996473</v>
      </c>
      <c r="AA922">
        <v>149.319223985891</v>
      </c>
      <c r="AB922">
        <v>30.146068216421401</v>
      </c>
      <c r="AC922">
        <v>8.7627926411031995E-2</v>
      </c>
      <c r="AD922">
        <v>8.2475514353057502</v>
      </c>
      <c r="AE922">
        <v>0.54484254121780396</v>
      </c>
      <c r="AF922">
        <v>1471.0846560846601</v>
      </c>
      <c r="AG922">
        <f>IFERROR(AH922*0.1, "N/A")</f>
        <v>5.5022927689594399</v>
      </c>
      <c r="AH922">
        <v>55.022927689594397</v>
      </c>
      <c r="AI922">
        <v>131.96497615430701</v>
      </c>
      <c r="AJ922">
        <v>41</v>
      </c>
      <c r="AK922">
        <v>38</v>
      </c>
    </row>
    <row r="923" spans="1:37" x14ac:dyDescent="0.3">
      <c r="A923">
        <v>922</v>
      </c>
      <c r="B923">
        <v>0</v>
      </c>
      <c r="C923">
        <v>32.181702000000001</v>
      </c>
      <c r="D923">
        <v>-0.68591999999999997</v>
      </c>
      <c r="E923" t="s">
        <v>1547</v>
      </c>
      <c r="F923" t="s">
        <v>1548</v>
      </c>
      <c r="G923" t="s">
        <v>37</v>
      </c>
      <c r="H923">
        <v>2010</v>
      </c>
      <c r="I923">
        <v>21.600000381469702</v>
      </c>
      <c r="J923">
        <v>10.3999996185303</v>
      </c>
      <c r="K923">
        <v>83</v>
      </c>
      <c r="L923">
        <v>4.4099998474121103</v>
      </c>
      <c r="M923">
        <v>27.600000381469702</v>
      </c>
      <c r="N923">
        <v>15.199999809265099</v>
      </c>
      <c r="O923">
        <v>12.3999996185303</v>
      </c>
      <c r="P923">
        <v>21.799999237060501</v>
      </c>
      <c r="Q923">
        <v>21</v>
      </c>
      <c r="R923">
        <v>22.100000381469702</v>
      </c>
      <c r="S923">
        <v>20.899999618530298</v>
      </c>
      <c r="T923">
        <v>1920</v>
      </c>
      <c r="U923">
        <v>323</v>
      </c>
      <c r="V923">
        <v>64</v>
      </c>
      <c r="W923">
        <v>52</v>
      </c>
      <c r="X923">
        <v>859</v>
      </c>
      <c r="Y923">
        <v>225</v>
      </c>
      <c r="Z923">
        <v>473</v>
      </c>
      <c r="AA923">
        <v>249</v>
      </c>
      <c r="AB923">
        <v>0</v>
      </c>
      <c r="AC923">
        <v>1.9549413951155999E-2</v>
      </c>
      <c r="AD923">
        <v>6.8913838074209999E-3</v>
      </c>
      <c r="AE923">
        <v>0.32192611694335899</v>
      </c>
      <c r="AF923">
        <v>1131</v>
      </c>
      <c r="AG923" t="str">
        <f>IFERROR(AH923*0.1, "N/A")</f>
        <v>N/A</v>
      </c>
      <c r="AH923" t="s">
        <v>729</v>
      </c>
      <c r="AI923">
        <v>3.3099610016350201</v>
      </c>
      <c r="AJ923" t="s">
        <v>729</v>
      </c>
      <c r="AK923" t="s">
        <v>729</v>
      </c>
    </row>
    <row r="924" spans="1:37" x14ac:dyDescent="0.3">
      <c r="A924">
        <v>923</v>
      </c>
      <c r="B924">
        <v>10</v>
      </c>
      <c r="C924">
        <v>32.326301999999998</v>
      </c>
      <c r="D924">
        <v>-0.67166999999999999</v>
      </c>
      <c r="E924" t="s">
        <v>1549</v>
      </c>
      <c r="F924" t="s">
        <v>1550</v>
      </c>
      <c r="G924" t="s">
        <v>37</v>
      </c>
      <c r="H924">
        <v>2010</v>
      </c>
      <c r="I924">
        <v>21.600000381469702</v>
      </c>
      <c r="J924">
        <v>10.300000190734901</v>
      </c>
      <c r="K924">
        <v>84</v>
      </c>
      <c r="L924">
        <v>4.5500001907348597</v>
      </c>
      <c r="M924">
        <v>27.5</v>
      </c>
      <c r="N924">
        <v>15.300000190734901</v>
      </c>
      <c r="O924">
        <v>12.199999809265099</v>
      </c>
      <c r="P924">
        <v>21.799999237060501</v>
      </c>
      <c r="Q924">
        <v>21</v>
      </c>
      <c r="R924">
        <v>22.100000381469702</v>
      </c>
      <c r="S924">
        <v>20.899999618530298</v>
      </c>
      <c r="T924">
        <v>2016</v>
      </c>
      <c r="U924">
        <v>330</v>
      </c>
      <c r="V924">
        <v>72</v>
      </c>
      <c r="W924">
        <v>50</v>
      </c>
      <c r="X924">
        <v>889</v>
      </c>
      <c r="Y924">
        <v>240</v>
      </c>
      <c r="Z924">
        <v>505</v>
      </c>
      <c r="AA924">
        <v>272</v>
      </c>
      <c r="AB924">
        <v>8.4890970579335399</v>
      </c>
      <c r="AC924">
        <v>5.3826798683255003E-2</v>
      </c>
      <c r="AD924">
        <v>5.2671154989323101</v>
      </c>
      <c r="AE924">
        <v>0.29913631081581099</v>
      </c>
      <c r="AF924">
        <v>1139.8433098591499</v>
      </c>
      <c r="AG924">
        <f>IFERROR(AH924*0.1, "N/A")</f>
        <v>5.9611940298507502</v>
      </c>
      <c r="AH924">
        <v>59.611940298507498</v>
      </c>
      <c r="AI924">
        <v>288.11795554362601</v>
      </c>
      <c r="AJ924">
        <v>36.522388059701498</v>
      </c>
      <c r="AK924">
        <v>38.8507462686567</v>
      </c>
    </row>
    <row r="925" spans="1:37" x14ac:dyDescent="0.3">
      <c r="A925">
        <v>924</v>
      </c>
      <c r="B925">
        <v>0</v>
      </c>
      <c r="C925">
        <v>30.52</v>
      </c>
      <c r="D925">
        <v>-0.65</v>
      </c>
      <c r="E925" t="s">
        <v>1551</v>
      </c>
      <c r="F925" t="s">
        <v>1552</v>
      </c>
      <c r="G925" t="s">
        <v>37</v>
      </c>
      <c r="H925">
        <v>2004</v>
      </c>
      <c r="I925">
        <v>20.299999237060501</v>
      </c>
      <c r="J925">
        <v>12.199999809265099</v>
      </c>
      <c r="K925">
        <v>85.174295774647902</v>
      </c>
      <c r="L925">
        <v>4.0003698732651403</v>
      </c>
      <c r="M925">
        <v>27.382569974576899</v>
      </c>
      <c r="N925">
        <v>13.199999809265099</v>
      </c>
      <c r="O925">
        <v>14.182570331533199</v>
      </c>
      <c r="P925">
        <v>20.200000762939499</v>
      </c>
      <c r="Q925">
        <v>20.100000381469702</v>
      </c>
      <c r="R925">
        <v>20.799999237060501</v>
      </c>
      <c r="S925">
        <v>19.899999618530298</v>
      </c>
      <c r="T925">
        <v>1057.52288732394</v>
      </c>
      <c r="U925">
        <v>139.17429577464799</v>
      </c>
      <c r="V925">
        <v>43</v>
      </c>
      <c r="W925">
        <v>37</v>
      </c>
      <c r="X925">
        <v>365.82570422535201</v>
      </c>
      <c r="Y925">
        <v>150.17429577464799</v>
      </c>
      <c r="Z925">
        <v>231.17429577464799</v>
      </c>
      <c r="AA925">
        <v>174.348591549296</v>
      </c>
      <c r="AB925">
        <v>9.0573171696192798</v>
      </c>
      <c r="AC925">
        <v>0.103907133531298</v>
      </c>
      <c r="AD925">
        <v>7.3602707004043397</v>
      </c>
      <c r="AE925">
        <v>0.50105071067810103</v>
      </c>
      <c r="AF925">
        <v>1452.62323943662</v>
      </c>
      <c r="AG925">
        <f>IFERROR(AH925*0.1, "N/A")</f>
        <v>5.3174295774647904</v>
      </c>
      <c r="AH925">
        <v>53.174295774647902</v>
      </c>
      <c r="AI925">
        <v>109.387090750144</v>
      </c>
      <c r="AJ925">
        <v>40.825704225352098</v>
      </c>
      <c r="AK925">
        <v>39</v>
      </c>
    </row>
    <row r="926" spans="1:37" x14ac:dyDescent="0.3">
      <c r="A926">
        <v>925</v>
      </c>
      <c r="B926">
        <v>20</v>
      </c>
      <c r="C926">
        <v>32.352299000000002</v>
      </c>
      <c r="D926">
        <v>-0.64666000000000001</v>
      </c>
      <c r="E926" t="s">
        <v>1553</v>
      </c>
      <c r="F926" t="s">
        <v>1554</v>
      </c>
      <c r="G926" t="s">
        <v>37</v>
      </c>
      <c r="H926">
        <v>2010</v>
      </c>
      <c r="I926">
        <v>21.600000381469702</v>
      </c>
      <c r="J926">
        <v>10.199999809265099</v>
      </c>
      <c r="K926">
        <v>82</v>
      </c>
      <c r="L926">
        <v>4.8299999237060502</v>
      </c>
      <c r="M926">
        <v>27.600000381469702</v>
      </c>
      <c r="N926">
        <v>15.300000190734901</v>
      </c>
      <c r="O926">
        <v>12.300000190734901</v>
      </c>
      <c r="P926">
        <v>21.899999618530298</v>
      </c>
      <c r="Q926">
        <v>21</v>
      </c>
      <c r="R926">
        <v>22.100000381469702</v>
      </c>
      <c r="S926">
        <v>20.899999618530298</v>
      </c>
      <c r="T926">
        <v>2031</v>
      </c>
      <c r="U926">
        <v>330</v>
      </c>
      <c r="V926">
        <v>74</v>
      </c>
      <c r="W926">
        <v>49</v>
      </c>
      <c r="X926">
        <v>892</v>
      </c>
      <c r="Y926">
        <v>245</v>
      </c>
      <c r="Z926">
        <v>508</v>
      </c>
      <c r="AA926">
        <v>279</v>
      </c>
      <c r="AB926">
        <v>4.8471847319267196</v>
      </c>
      <c r="AC926">
        <v>4.4587532545334999E-2</v>
      </c>
      <c r="AD926">
        <v>6.1870983725702304</v>
      </c>
      <c r="AE926">
        <v>0.37273365259170499</v>
      </c>
      <c r="AF926">
        <v>1140.01408450704</v>
      </c>
      <c r="AG926" t="str">
        <f>IFERROR(AH926*0.1, "N/A")</f>
        <v>N/A</v>
      </c>
      <c r="AH926" t="s">
        <v>729</v>
      </c>
      <c r="AI926">
        <v>273.19329143577897</v>
      </c>
      <c r="AJ926" t="s">
        <v>729</v>
      </c>
      <c r="AK926" t="s">
        <v>729</v>
      </c>
    </row>
    <row r="927" spans="1:37" x14ac:dyDescent="0.3">
      <c r="A927">
        <v>926</v>
      </c>
      <c r="B927">
        <v>14.3</v>
      </c>
      <c r="C927">
        <v>32.312801</v>
      </c>
      <c r="D927">
        <v>-0.63200000000000001</v>
      </c>
      <c r="E927" t="s">
        <v>1555</v>
      </c>
      <c r="F927" t="s">
        <v>1556</v>
      </c>
      <c r="G927" t="s">
        <v>37</v>
      </c>
      <c r="H927">
        <v>2010</v>
      </c>
      <c r="I927">
        <v>21.700000762939499</v>
      </c>
      <c r="J927">
        <v>10.199999809265099</v>
      </c>
      <c r="K927">
        <v>82</v>
      </c>
      <c r="L927">
        <v>4.9400000572204599</v>
      </c>
      <c r="M927">
        <v>27.700000762939499</v>
      </c>
      <c r="N927">
        <v>15.300000190734901</v>
      </c>
      <c r="O927">
        <v>12.3999996185303</v>
      </c>
      <c r="P927">
        <v>21.899999618530298</v>
      </c>
      <c r="Q927">
        <v>21</v>
      </c>
      <c r="R927">
        <v>22.100000381469702</v>
      </c>
      <c r="S927">
        <v>20.899999618530298</v>
      </c>
      <c r="T927">
        <v>2019</v>
      </c>
      <c r="U927">
        <v>329</v>
      </c>
      <c r="V927">
        <v>74</v>
      </c>
      <c r="W927">
        <v>50</v>
      </c>
      <c r="X927">
        <v>889</v>
      </c>
      <c r="Y927">
        <v>244</v>
      </c>
      <c r="Z927">
        <v>502</v>
      </c>
      <c r="AA927">
        <v>278</v>
      </c>
      <c r="AB927">
        <v>1.7200507246128101</v>
      </c>
      <c r="AC927">
        <v>2.5717146323113001E-2</v>
      </c>
      <c r="AD927">
        <v>4.1190453065929198</v>
      </c>
      <c r="AE927">
        <v>0.27170512080192599</v>
      </c>
      <c r="AF927">
        <v>1133.65377855888</v>
      </c>
      <c r="AG927" t="str">
        <f>IFERROR(AH927*0.1, "N/A")</f>
        <v>N/A</v>
      </c>
      <c r="AH927" t="s">
        <v>729</v>
      </c>
      <c r="AI927">
        <v>235.580073592952</v>
      </c>
      <c r="AJ927" t="s">
        <v>729</v>
      </c>
      <c r="AK927" t="s">
        <v>729</v>
      </c>
    </row>
    <row r="928" spans="1:37" x14ac:dyDescent="0.3">
      <c r="A928">
        <v>927</v>
      </c>
      <c r="B928">
        <v>0</v>
      </c>
      <c r="C928">
        <v>31.5</v>
      </c>
      <c r="D928">
        <v>-0.63</v>
      </c>
      <c r="E928" t="s">
        <v>1557</v>
      </c>
      <c r="F928" t="s">
        <v>1558</v>
      </c>
      <c r="G928" t="s">
        <v>37</v>
      </c>
      <c r="H928">
        <v>2004</v>
      </c>
      <c r="I928">
        <v>20.600000381469702</v>
      </c>
      <c r="J928">
        <v>11.800000190734901</v>
      </c>
      <c r="K928">
        <v>82.235500878734697</v>
      </c>
      <c r="L928">
        <v>4.3729702441679796</v>
      </c>
      <c r="M928">
        <v>27.4764498222901</v>
      </c>
      <c r="N928">
        <v>13.199999809265099</v>
      </c>
      <c r="O928">
        <v>14.276450013024901</v>
      </c>
      <c r="P928">
        <v>20.723550491467101</v>
      </c>
      <c r="Q928">
        <v>19.9764498222901</v>
      </c>
      <c r="R928">
        <v>21.0235501777099</v>
      </c>
      <c r="S928">
        <v>19.9764498222901</v>
      </c>
      <c r="T928">
        <v>1020.6485061511401</v>
      </c>
      <c r="U928">
        <v>165.235500878735</v>
      </c>
      <c r="V928">
        <v>20</v>
      </c>
      <c r="W928">
        <v>52</v>
      </c>
      <c r="X928">
        <v>439.94200351493902</v>
      </c>
      <c r="Y928">
        <v>88</v>
      </c>
      <c r="Z928">
        <v>271.90509666080902</v>
      </c>
      <c r="AA928">
        <v>172.094903339192</v>
      </c>
      <c r="AB928">
        <v>26.4714072282788</v>
      </c>
      <c r="AC928">
        <v>8.9379152977059999E-3</v>
      </c>
      <c r="AD928">
        <v>1.25228661937747</v>
      </c>
      <c r="AE928">
        <v>0.69262398462513397</v>
      </c>
      <c r="AF928">
        <v>1209.6379613356801</v>
      </c>
      <c r="AG928">
        <f>IFERROR(AH928*0.1, "N/A")</f>
        <v>5.3235500878734605</v>
      </c>
      <c r="AH928">
        <v>53.235500878734598</v>
      </c>
      <c r="AI928">
        <v>258.56814017404798</v>
      </c>
      <c r="AJ928">
        <v>33.8242530755712</v>
      </c>
      <c r="AK928">
        <v>48.115992970123003</v>
      </c>
    </row>
    <row r="929" spans="1:37" x14ac:dyDescent="0.3">
      <c r="A929">
        <v>928</v>
      </c>
      <c r="B929">
        <v>0</v>
      </c>
      <c r="C929">
        <v>30.030000999999999</v>
      </c>
      <c r="D929">
        <v>-0.6</v>
      </c>
      <c r="E929" t="s">
        <v>1559</v>
      </c>
      <c r="F929" t="s">
        <v>1560</v>
      </c>
      <c r="G929" t="s">
        <v>37</v>
      </c>
      <c r="H929">
        <v>2004</v>
      </c>
      <c r="I929">
        <v>19.600000381469702</v>
      </c>
      <c r="J929">
        <v>12.199999809265099</v>
      </c>
      <c r="K929">
        <v>89</v>
      </c>
      <c r="L929">
        <v>2.7996825932195</v>
      </c>
      <c r="M929">
        <v>26.3423274408573</v>
      </c>
      <c r="N929">
        <v>12.742328013061799</v>
      </c>
      <c r="O929">
        <v>13.6000003814697</v>
      </c>
      <c r="P929">
        <v>19.4576717962033</v>
      </c>
      <c r="Q929">
        <v>19.299999237060501</v>
      </c>
      <c r="R929">
        <v>19.8423274408573</v>
      </c>
      <c r="S929">
        <v>19.200000762939499</v>
      </c>
      <c r="T929">
        <v>1224.30687830688</v>
      </c>
      <c r="U929">
        <v>156</v>
      </c>
      <c r="V929">
        <v>34</v>
      </c>
      <c r="W929">
        <v>37</v>
      </c>
      <c r="X929">
        <v>438.15343915343902</v>
      </c>
      <c r="Y929">
        <v>167.57671957672</v>
      </c>
      <c r="Z929">
        <v>268</v>
      </c>
      <c r="AA929">
        <v>280.31746031746002</v>
      </c>
      <c r="AB929">
        <v>5.1120435388420402</v>
      </c>
      <c r="AC929">
        <v>1.28279974903892</v>
      </c>
      <c r="AD929">
        <v>7.19527235989848</v>
      </c>
      <c r="AE929">
        <v>0.67867887020111095</v>
      </c>
      <c r="AF929">
        <v>1518.04585537919</v>
      </c>
      <c r="AG929">
        <f>IFERROR(AH929*0.1, "N/A")</f>
        <v>5.3000000000000007</v>
      </c>
      <c r="AH929">
        <v>53</v>
      </c>
      <c r="AI929">
        <v>268.26147006134102</v>
      </c>
      <c r="AJ929">
        <v>38.994708994709001</v>
      </c>
      <c r="AK929">
        <v>40</v>
      </c>
    </row>
    <row r="930" spans="1:37" x14ac:dyDescent="0.3">
      <c r="A930">
        <v>929</v>
      </c>
      <c r="B930">
        <v>0</v>
      </c>
      <c r="C930">
        <v>30.42</v>
      </c>
      <c r="D930">
        <v>-0.57999999999999996</v>
      </c>
      <c r="E930" t="s">
        <v>1561</v>
      </c>
      <c r="F930" t="s">
        <v>1562</v>
      </c>
      <c r="G930" t="s">
        <v>37</v>
      </c>
      <c r="H930">
        <v>2004</v>
      </c>
      <c r="I930">
        <v>20.299999237060501</v>
      </c>
      <c r="J930">
        <v>12.199999809265099</v>
      </c>
      <c r="K930">
        <v>86</v>
      </c>
      <c r="L930">
        <v>3.7699999809265101</v>
      </c>
      <c r="M930">
        <v>27.299999237060501</v>
      </c>
      <c r="N930">
        <v>13.199999809265099</v>
      </c>
      <c r="O930">
        <v>14.1000003814697</v>
      </c>
      <c r="P930">
        <v>20.100000381469702</v>
      </c>
      <c r="Q930">
        <v>20.100000381469702</v>
      </c>
      <c r="R930">
        <v>20.700000762939499</v>
      </c>
      <c r="S930">
        <v>19.899999618530298</v>
      </c>
      <c r="T930">
        <v>1094</v>
      </c>
      <c r="U930">
        <v>142</v>
      </c>
      <c r="V930">
        <v>39</v>
      </c>
      <c r="W930">
        <v>37</v>
      </c>
      <c r="X930">
        <v>384</v>
      </c>
      <c r="Y930">
        <v>153</v>
      </c>
      <c r="Z930">
        <v>239</v>
      </c>
      <c r="AA930">
        <v>176</v>
      </c>
      <c r="AB930">
        <v>0.41702050609622099</v>
      </c>
      <c r="AC930">
        <v>1.2138706610680501</v>
      </c>
      <c r="AD930">
        <v>0.86145019793133304</v>
      </c>
      <c r="AE930">
        <v>0.57751452922821001</v>
      </c>
      <c r="AF930">
        <v>1438.4692442882199</v>
      </c>
      <c r="AG930">
        <f>IFERROR(AH930*0.1, "N/A")</f>
        <v>5.4</v>
      </c>
      <c r="AH930">
        <v>54</v>
      </c>
      <c r="AI930">
        <v>138.88312309278501</v>
      </c>
      <c r="AJ930">
        <v>36.028119507908599</v>
      </c>
      <c r="AK930">
        <v>47.755711775043899</v>
      </c>
    </row>
    <row r="931" spans="1:37" x14ac:dyDescent="0.3">
      <c r="A931">
        <v>930</v>
      </c>
      <c r="B931">
        <v>13.3</v>
      </c>
      <c r="C931">
        <v>32.222499999999997</v>
      </c>
      <c r="D931">
        <v>-0.56908999999999998</v>
      </c>
      <c r="E931" t="s">
        <v>1563</v>
      </c>
      <c r="F931" t="s">
        <v>1564</v>
      </c>
      <c r="G931" t="s">
        <v>37</v>
      </c>
      <c r="H931">
        <v>2010</v>
      </c>
      <c r="I931">
        <v>21.600000381469702</v>
      </c>
      <c r="J931">
        <v>10.3999996185303</v>
      </c>
      <c r="K931">
        <v>83</v>
      </c>
      <c r="L931">
        <v>4.75</v>
      </c>
      <c r="M931">
        <v>27.700000762939499</v>
      </c>
      <c r="N931">
        <v>15.199999809265099</v>
      </c>
      <c r="O931">
        <v>12.5</v>
      </c>
      <c r="P931">
        <v>21.799999237060501</v>
      </c>
      <c r="Q931">
        <v>20.899999618530298</v>
      </c>
      <c r="R931">
        <v>22.100000381469702</v>
      </c>
      <c r="S931">
        <v>20.799999237060501</v>
      </c>
      <c r="T931">
        <v>1970</v>
      </c>
      <c r="U931">
        <v>324</v>
      </c>
      <c r="V931">
        <v>71</v>
      </c>
      <c r="W931">
        <v>50</v>
      </c>
      <c r="X931">
        <v>871</v>
      </c>
      <c r="Y931">
        <v>241</v>
      </c>
      <c r="Z931">
        <v>479</v>
      </c>
      <c r="AA931">
        <v>273</v>
      </c>
      <c r="AB931">
        <v>7.19617558868838</v>
      </c>
      <c r="AC931">
        <v>1.0654208112613001E-2</v>
      </c>
      <c r="AD931">
        <v>5.5615585402283898</v>
      </c>
      <c r="AE931">
        <v>0.26988747715950001</v>
      </c>
      <c r="AF931">
        <v>1139.3204225352099</v>
      </c>
      <c r="AG931">
        <f>IFERROR(AH931*0.1, "N/A")</f>
        <v>5.7450199203187307</v>
      </c>
      <c r="AH931">
        <v>57.450199203187303</v>
      </c>
      <c r="AI931">
        <v>263.73921853723698</v>
      </c>
      <c r="AJ931">
        <v>37.091633466135498</v>
      </c>
      <c r="AK931">
        <v>41.816733067729103</v>
      </c>
    </row>
    <row r="932" spans="1:37" x14ac:dyDescent="0.3">
      <c r="A932">
        <v>931</v>
      </c>
      <c r="B932">
        <v>0</v>
      </c>
      <c r="C932">
        <v>31.25</v>
      </c>
      <c r="D932">
        <v>-0.53300000000000003</v>
      </c>
      <c r="E932" t="s">
        <v>1565</v>
      </c>
      <c r="F932" t="s">
        <v>1566</v>
      </c>
      <c r="G932" t="s">
        <v>37</v>
      </c>
      <c r="H932">
        <v>2004</v>
      </c>
      <c r="I932">
        <v>19.8785207573797</v>
      </c>
      <c r="J932">
        <v>11.844366343928099</v>
      </c>
      <c r="K932">
        <v>83</v>
      </c>
      <c r="L932">
        <v>4.0361443967886403</v>
      </c>
      <c r="M932">
        <v>26.800528888971002</v>
      </c>
      <c r="N932">
        <v>12.556162023208501</v>
      </c>
      <c r="O932">
        <v>14.2443659658163</v>
      </c>
      <c r="P932">
        <v>20.078521006543902</v>
      </c>
      <c r="Q932">
        <v>19.351231920886999</v>
      </c>
      <c r="R932">
        <v>20.3785207573797</v>
      </c>
      <c r="S932">
        <v>19.351231920886999</v>
      </c>
      <c r="T932">
        <v>861.30457746478896</v>
      </c>
      <c r="U932">
        <v>129.04929577464799</v>
      </c>
      <c r="V932">
        <v>15</v>
      </c>
      <c r="W932">
        <v>48</v>
      </c>
      <c r="X932">
        <v>324.70774647887299</v>
      </c>
      <c r="Y932">
        <v>78.503521126760603</v>
      </c>
      <c r="Z932">
        <v>226.70774647887299</v>
      </c>
      <c r="AA932">
        <v>122.825704225352</v>
      </c>
      <c r="AB932">
        <v>77.0295650858275</v>
      </c>
      <c r="AC932">
        <v>8.998946594993E-3</v>
      </c>
      <c r="AD932">
        <v>12.8146706718794</v>
      </c>
      <c r="AE932">
        <v>0.68106013536453203</v>
      </c>
      <c r="AF932">
        <v>1369.64788732394</v>
      </c>
      <c r="AG932">
        <f>IFERROR(AH932*0.1, "N/A")</f>
        <v>5.5447183098591504</v>
      </c>
      <c r="AH932">
        <v>55.447183098591502</v>
      </c>
      <c r="AI932">
        <v>290.67023712480602</v>
      </c>
      <c r="AJ932">
        <v>35.776408450704203</v>
      </c>
      <c r="AK932">
        <v>42.776408450704203</v>
      </c>
    </row>
    <row r="933" spans="1:37" x14ac:dyDescent="0.3">
      <c r="A933">
        <v>932</v>
      </c>
      <c r="B933">
        <v>7.7</v>
      </c>
      <c r="C933">
        <v>32.297297999999998</v>
      </c>
      <c r="D933">
        <v>-0.52895000000000003</v>
      </c>
      <c r="E933" t="s">
        <v>1567</v>
      </c>
      <c r="F933" t="s">
        <v>1568</v>
      </c>
      <c r="G933" t="s">
        <v>37</v>
      </c>
      <c r="H933">
        <v>2010</v>
      </c>
      <c r="I933">
        <v>21.700000762939499</v>
      </c>
      <c r="J933">
        <v>10.300000190734901</v>
      </c>
      <c r="K933">
        <v>83</v>
      </c>
      <c r="L933">
        <v>5.1100001335143999</v>
      </c>
      <c r="M933">
        <v>27.700000762939499</v>
      </c>
      <c r="N933">
        <v>15.300000190734901</v>
      </c>
      <c r="O933">
        <v>12.3999996185303</v>
      </c>
      <c r="P933">
        <v>21.899999618530298</v>
      </c>
      <c r="Q933">
        <v>20.899999618530298</v>
      </c>
      <c r="R933">
        <v>22.200000762939499</v>
      </c>
      <c r="S933">
        <v>20.899999618530298</v>
      </c>
      <c r="T933">
        <v>2040</v>
      </c>
      <c r="U933">
        <v>329</v>
      </c>
      <c r="V933">
        <v>78</v>
      </c>
      <c r="W933">
        <v>49</v>
      </c>
      <c r="X933">
        <v>892</v>
      </c>
      <c r="Y933">
        <v>256</v>
      </c>
      <c r="Z933">
        <v>498</v>
      </c>
      <c r="AA933">
        <v>295</v>
      </c>
      <c r="AB933">
        <v>1.13357581488906</v>
      </c>
      <c r="AC933">
        <v>7.4884537993709005E-2</v>
      </c>
      <c r="AD933">
        <v>3.0374221365984</v>
      </c>
      <c r="AE933">
        <v>0.24170504510402699</v>
      </c>
      <c r="AF933">
        <v>1132.21265377856</v>
      </c>
      <c r="AG933">
        <f>IFERROR(AH933*0.1, "N/A")</f>
        <v>5.2</v>
      </c>
      <c r="AH933">
        <v>52</v>
      </c>
      <c r="AI933">
        <v>218.034620985624</v>
      </c>
      <c r="AJ933">
        <v>42</v>
      </c>
      <c r="AK933">
        <v>38</v>
      </c>
    </row>
    <row r="934" spans="1:37" x14ac:dyDescent="0.3">
      <c r="A934">
        <v>933</v>
      </c>
      <c r="B934">
        <v>26.700001</v>
      </c>
      <c r="C934">
        <v>32.446201000000002</v>
      </c>
      <c r="D934">
        <v>-0.48870000000000002</v>
      </c>
      <c r="E934" t="s">
        <v>1569</v>
      </c>
      <c r="F934" t="s">
        <v>1570</v>
      </c>
      <c r="G934" t="s">
        <v>37</v>
      </c>
      <c r="H934">
        <v>2010</v>
      </c>
      <c r="I934">
        <v>21.700000762939499</v>
      </c>
      <c r="J934">
        <v>10.1000003814697</v>
      </c>
      <c r="K934">
        <v>84</v>
      </c>
      <c r="L934">
        <v>4.6500000953674299</v>
      </c>
      <c r="M934">
        <v>27.5</v>
      </c>
      <c r="N934">
        <v>15.5</v>
      </c>
      <c r="O934">
        <v>12</v>
      </c>
      <c r="P934">
        <v>21.899999618530298</v>
      </c>
      <c r="Q934">
        <v>21</v>
      </c>
      <c r="R934">
        <v>22.100000381469702</v>
      </c>
      <c r="S934">
        <v>20.899999618530298</v>
      </c>
      <c r="T934">
        <v>2090</v>
      </c>
      <c r="U934">
        <v>329</v>
      </c>
      <c r="V934">
        <v>85</v>
      </c>
      <c r="W934">
        <v>47</v>
      </c>
      <c r="X934">
        <v>901</v>
      </c>
      <c r="Y934">
        <v>268</v>
      </c>
      <c r="Z934">
        <v>518</v>
      </c>
      <c r="AA934">
        <v>311</v>
      </c>
      <c r="AB934">
        <v>0</v>
      </c>
      <c r="AC934">
        <v>4.9584835885801003E-2</v>
      </c>
      <c r="AD934">
        <v>1.2771299730619099</v>
      </c>
      <c r="AE934" t="s">
        <v>729</v>
      </c>
      <c r="AF934">
        <v>1131</v>
      </c>
      <c r="AG934" t="str">
        <f>IFERROR(AH934*0.1, "N/A")</f>
        <v>N/A</v>
      </c>
      <c r="AH934" t="s">
        <v>729</v>
      </c>
      <c r="AI934">
        <v>161.93686450367201</v>
      </c>
      <c r="AJ934" t="s">
        <v>729</v>
      </c>
      <c r="AK934" t="s">
        <v>729</v>
      </c>
    </row>
    <row r="935" spans="1:37" x14ac:dyDescent="0.3">
      <c r="A935">
        <v>934</v>
      </c>
      <c r="B935">
        <v>25</v>
      </c>
      <c r="C935">
        <v>32.328201</v>
      </c>
      <c r="D935">
        <v>-0.45701999999999998</v>
      </c>
      <c r="E935" t="s">
        <v>1571</v>
      </c>
      <c r="F935" t="s">
        <v>1572</v>
      </c>
      <c r="G935" t="s">
        <v>37</v>
      </c>
      <c r="H935">
        <v>2010</v>
      </c>
      <c r="I935">
        <v>21.399999618530298</v>
      </c>
      <c r="J935">
        <v>10.199999809265099</v>
      </c>
      <c r="K935">
        <v>82</v>
      </c>
      <c r="L935">
        <v>4.8800001144409197</v>
      </c>
      <c r="M935">
        <v>27.399999618530298</v>
      </c>
      <c r="N935">
        <v>15.1000003814697</v>
      </c>
      <c r="O935">
        <v>12.300000190734901</v>
      </c>
      <c r="P935">
        <v>21.700000762939499</v>
      </c>
      <c r="Q935">
        <v>20.700000762939499</v>
      </c>
      <c r="R935">
        <v>21.899999618530298</v>
      </c>
      <c r="S935">
        <v>20.600000381469702</v>
      </c>
      <c r="T935">
        <v>2105</v>
      </c>
      <c r="U935">
        <v>331</v>
      </c>
      <c r="V935">
        <v>84</v>
      </c>
      <c r="W935">
        <v>47</v>
      </c>
      <c r="X935">
        <v>905</v>
      </c>
      <c r="Y935">
        <v>275</v>
      </c>
      <c r="Z935">
        <v>511</v>
      </c>
      <c r="AA935">
        <v>318</v>
      </c>
      <c r="AB935">
        <v>3.9797479538690501</v>
      </c>
      <c r="AC935">
        <v>9.3797408653722006E-2</v>
      </c>
      <c r="AD935">
        <v>4.3799798333035103</v>
      </c>
      <c r="AE935">
        <v>0.19484065473079701</v>
      </c>
      <c r="AF935">
        <v>1142.7777777777801</v>
      </c>
      <c r="AG935">
        <f>IFERROR(AH935*0.1, "N/A")</f>
        <v>5.2</v>
      </c>
      <c r="AH935">
        <v>52</v>
      </c>
      <c r="AI935">
        <v>177.062577155112</v>
      </c>
      <c r="AJ935">
        <v>35.820105820105802</v>
      </c>
      <c r="AK935">
        <v>42.089947089947103</v>
      </c>
    </row>
    <row r="936" spans="1:37" x14ac:dyDescent="0.3">
      <c r="A936">
        <v>935</v>
      </c>
      <c r="B936">
        <v>52.900002000000001</v>
      </c>
      <c r="C936">
        <v>32.227901000000003</v>
      </c>
      <c r="D936">
        <v>-0.43864999999999998</v>
      </c>
      <c r="E936" t="s">
        <v>1573</v>
      </c>
      <c r="F936" t="s">
        <v>1574</v>
      </c>
      <c r="G936" t="s">
        <v>37</v>
      </c>
      <c r="H936">
        <v>2009</v>
      </c>
      <c r="I936">
        <v>21.299999237060501</v>
      </c>
      <c r="J936">
        <v>10.3999996185303</v>
      </c>
      <c r="K936">
        <v>82</v>
      </c>
      <c r="L936">
        <v>4.9499998092651403</v>
      </c>
      <c r="M936">
        <v>27.5</v>
      </c>
      <c r="N936">
        <v>14.8999996185303</v>
      </c>
      <c r="O936">
        <v>12.6000003814697</v>
      </c>
      <c r="P936">
        <v>21.5</v>
      </c>
      <c r="Q936">
        <v>20.600000381469702</v>
      </c>
      <c r="R936">
        <v>21.799999237060501</v>
      </c>
      <c r="S936">
        <v>20.5</v>
      </c>
      <c r="T936">
        <v>2008</v>
      </c>
      <c r="U936">
        <v>322</v>
      </c>
      <c r="V936">
        <v>77</v>
      </c>
      <c r="W936">
        <v>48</v>
      </c>
      <c r="X936">
        <v>869</v>
      </c>
      <c r="Y936">
        <v>261</v>
      </c>
      <c r="Z936">
        <v>476</v>
      </c>
      <c r="AA936">
        <v>299</v>
      </c>
      <c r="AB936">
        <v>69.050990421449399</v>
      </c>
      <c r="AC936">
        <v>4.2798143435067E-2</v>
      </c>
      <c r="AD936">
        <v>2.9681850688528701</v>
      </c>
      <c r="AE936">
        <v>0.206389039754868</v>
      </c>
      <c r="AF936">
        <v>1210.7029876977199</v>
      </c>
      <c r="AG936">
        <f>IFERROR(AH936*0.1, "N/A")</f>
        <v>5.1708260105448201</v>
      </c>
      <c r="AH936">
        <v>51.708260105448197</v>
      </c>
      <c r="AI936">
        <v>158.08204146722099</v>
      </c>
      <c r="AJ936">
        <v>38.864674868189802</v>
      </c>
      <c r="AK936">
        <v>42.854130052724102</v>
      </c>
    </row>
    <row r="937" spans="1:37" x14ac:dyDescent="0.3">
      <c r="A937">
        <v>936</v>
      </c>
      <c r="B937">
        <v>18.200001</v>
      </c>
      <c r="C937">
        <v>32.351101</v>
      </c>
      <c r="D937">
        <v>-0.43714999999999998</v>
      </c>
      <c r="E937" t="s">
        <v>1575</v>
      </c>
      <c r="F937" t="s">
        <v>1576</v>
      </c>
      <c r="G937" t="s">
        <v>37</v>
      </c>
      <c r="H937">
        <v>2010</v>
      </c>
      <c r="I937">
        <v>21.600000381469702</v>
      </c>
      <c r="J937">
        <v>10.199999809265099</v>
      </c>
      <c r="K937">
        <v>82</v>
      </c>
      <c r="L937">
        <v>4.78999996185303</v>
      </c>
      <c r="M937">
        <v>27.600000381469702</v>
      </c>
      <c r="N937">
        <v>15.300000190734901</v>
      </c>
      <c r="O937">
        <v>12.300000190734901</v>
      </c>
      <c r="P937">
        <v>21.799999237060501</v>
      </c>
      <c r="Q937">
        <v>20.899999618530298</v>
      </c>
      <c r="R937">
        <v>22.100000381469702</v>
      </c>
      <c r="S937">
        <v>20.899999618530298</v>
      </c>
      <c r="T937">
        <v>2121</v>
      </c>
      <c r="U937">
        <v>334</v>
      </c>
      <c r="V937">
        <v>87</v>
      </c>
      <c r="W937">
        <v>47</v>
      </c>
      <c r="X937">
        <v>911</v>
      </c>
      <c r="Y937">
        <v>279</v>
      </c>
      <c r="Z937">
        <v>517</v>
      </c>
      <c r="AA937">
        <v>324</v>
      </c>
      <c r="AB937">
        <v>5.2366900301063701</v>
      </c>
      <c r="AC937">
        <v>8.4481123437353006E-2</v>
      </c>
      <c r="AD937">
        <v>3.30370702440776</v>
      </c>
      <c r="AE937">
        <v>0.20351470158003401</v>
      </c>
      <c r="AF937">
        <v>1139.0035273368601</v>
      </c>
      <c r="AG937" t="str">
        <f>IFERROR(AH937*0.1, "N/A")</f>
        <v>N/A</v>
      </c>
      <c r="AH937" t="s">
        <v>729</v>
      </c>
      <c r="AI937">
        <v>59.1885595742147</v>
      </c>
      <c r="AJ937" t="s">
        <v>729</v>
      </c>
      <c r="AK937" t="s">
        <v>729</v>
      </c>
    </row>
    <row r="938" spans="1:37" x14ac:dyDescent="0.3">
      <c r="A938">
        <v>937</v>
      </c>
      <c r="B938">
        <v>20</v>
      </c>
      <c r="C938">
        <v>32.366698999999997</v>
      </c>
      <c r="D938">
        <v>-0.42410999999999999</v>
      </c>
      <c r="E938" t="s">
        <v>1577</v>
      </c>
      <c r="F938" t="s">
        <v>1578</v>
      </c>
      <c r="G938" t="s">
        <v>37</v>
      </c>
      <c r="H938">
        <v>2010</v>
      </c>
      <c r="I938">
        <v>21.552464988869701</v>
      </c>
      <c r="J938">
        <v>10.199999809265099</v>
      </c>
      <c r="K938">
        <v>82</v>
      </c>
      <c r="L938">
        <v>5.0267957868710402</v>
      </c>
      <c r="M938">
        <v>27.552817102888898</v>
      </c>
      <c r="N938">
        <v>15.2528170599064</v>
      </c>
      <c r="O938">
        <v>12.300000190734901</v>
      </c>
      <c r="P938">
        <v>21.836619397284299</v>
      </c>
      <c r="Q938">
        <v>20.8528166421702</v>
      </c>
      <c r="R938">
        <v>22.052817102888898</v>
      </c>
      <c r="S938">
        <v>20.752816260700499</v>
      </c>
      <c r="T938">
        <v>2126.77816901408</v>
      </c>
      <c r="U938">
        <v>334.52464788732402</v>
      </c>
      <c r="V938">
        <v>88</v>
      </c>
      <c r="W938">
        <v>46.003521126760603</v>
      </c>
      <c r="X938">
        <v>911.52112676056299</v>
      </c>
      <c r="Y938">
        <v>281.47183098591501</v>
      </c>
      <c r="Z938">
        <v>518.83450704225299</v>
      </c>
      <c r="AA938">
        <v>327.154929577465</v>
      </c>
      <c r="AB938">
        <v>11.2692411180953</v>
      </c>
      <c r="AC938">
        <v>2.0330712505826E-2</v>
      </c>
      <c r="AD938">
        <v>8.1718630694167693</v>
      </c>
      <c r="AE938">
        <v>0.237154096364975</v>
      </c>
      <c r="AF938">
        <v>1144.10563380282</v>
      </c>
      <c r="AG938">
        <f>IFERROR(AH938*0.1, "N/A")</f>
        <v>5.2388888888888907</v>
      </c>
      <c r="AH938">
        <v>52.3888888888889</v>
      </c>
      <c r="AI938">
        <v>73.230190659912495</v>
      </c>
      <c r="AJ938">
        <v>34.7777777777778</v>
      </c>
      <c r="AK938">
        <v>41.6111111111111</v>
      </c>
    </row>
    <row r="939" spans="1:37" x14ac:dyDescent="0.3">
      <c r="A939">
        <v>938</v>
      </c>
      <c r="B939">
        <v>27.799999</v>
      </c>
      <c r="C939">
        <v>32.228298000000002</v>
      </c>
      <c r="D939">
        <v>-0.4173</v>
      </c>
      <c r="E939" t="s">
        <v>1579</v>
      </c>
      <c r="F939" t="s">
        <v>1580</v>
      </c>
      <c r="G939" t="s">
        <v>37</v>
      </c>
      <c r="H939">
        <v>2009</v>
      </c>
      <c r="I939">
        <v>21.585035535651201</v>
      </c>
      <c r="J939">
        <v>10.3999996185303</v>
      </c>
      <c r="K939">
        <v>82.850352112676106</v>
      </c>
      <c r="L939">
        <v>4.7382923003653401</v>
      </c>
      <c r="M939">
        <v>27.700000762939499</v>
      </c>
      <c r="N939">
        <v>15.185035106161999</v>
      </c>
      <c r="O939">
        <v>12.514964845818501</v>
      </c>
      <c r="P939">
        <v>21.799999237060501</v>
      </c>
      <c r="Q939">
        <v>20.885034772711698</v>
      </c>
      <c r="R939">
        <v>22.085035535651201</v>
      </c>
      <c r="S939">
        <v>20.785034676672701</v>
      </c>
      <c r="T939">
        <v>2009.5985915493</v>
      </c>
      <c r="U939">
        <v>323</v>
      </c>
      <c r="V939">
        <v>78</v>
      </c>
      <c r="W939">
        <v>48</v>
      </c>
      <c r="X939">
        <v>871</v>
      </c>
      <c r="Y939">
        <v>262.14964788732402</v>
      </c>
      <c r="Z939">
        <v>475</v>
      </c>
      <c r="AA939">
        <v>302.29929577464799</v>
      </c>
      <c r="AB939">
        <v>14.5993342869718</v>
      </c>
      <c r="AC939">
        <v>3.9683306614317002E-2</v>
      </c>
      <c r="AD939">
        <v>2.5052976222105401</v>
      </c>
      <c r="AE939">
        <v>0.199471935629845</v>
      </c>
      <c r="AF939">
        <v>1148.63908450704</v>
      </c>
      <c r="AG939">
        <f>IFERROR(AH939*0.1, "N/A")</f>
        <v>5.4929577464788704</v>
      </c>
      <c r="AH939">
        <v>54.9295774647887</v>
      </c>
      <c r="AI939">
        <v>65.822099971099604</v>
      </c>
      <c r="AJ939">
        <v>40.778169014084497</v>
      </c>
      <c r="AK939">
        <v>41.373239436619698</v>
      </c>
    </row>
    <row r="940" spans="1:37" x14ac:dyDescent="0.3">
      <c r="A940">
        <v>939</v>
      </c>
      <c r="B940">
        <v>42</v>
      </c>
      <c r="C940">
        <v>29.783300000000001</v>
      </c>
      <c r="D940">
        <v>-0.41670000000000001</v>
      </c>
      <c r="E940" t="s">
        <v>1581</v>
      </c>
      <c r="F940" t="s">
        <v>1582</v>
      </c>
      <c r="G940" t="s">
        <v>37</v>
      </c>
      <c r="H940">
        <v>1987</v>
      </c>
      <c r="I940">
        <v>23.248767624438699</v>
      </c>
      <c r="J940">
        <v>12.4575702606792</v>
      </c>
      <c r="K940">
        <v>91</v>
      </c>
      <c r="L940">
        <v>2.7258098763479301</v>
      </c>
      <c r="M940">
        <v>30.148768173137199</v>
      </c>
      <c r="N940">
        <v>16.5</v>
      </c>
      <c r="O940">
        <v>13.6487677080531</v>
      </c>
      <c r="P940">
        <v>23.100000381469702</v>
      </c>
      <c r="Q940">
        <v>23</v>
      </c>
      <c r="R940">
        <v>23.539964941186</v>
      </c>
      <c r="S940">
        <v>22.899999618530298</v>
      </c>
      <c r="T940">
        <v>942.625</v>
      </c>
      <c r="U940">
        <v>122.214788732394</v>
      </c>
      <c r="V940">
        <v>30.7852112676056</v>
      </c>
      <c r="W940">
        <v>37</v>
      </c>
      <c r="X940">
        <v>326.60035211267598</v>
      </c>
      <c r="Y940">
        <v>155.785211267606</v>
      </c>
      <c r="Z940">
        <v>177.12676056338</v>
      </c>
      <c r="AA940">
        <v>290.60035211267598</v>
      </c>
      <c r="AB940">
        <v>1.6601942895163999</v>
      </c>
      <c r="AC940">
        <v>1.3844761439979E-2</v>
      </c>
      <c r="AD940">
        <v>1.1162576072547601</v>
      </c>
      <c r="AE940">
        <v>0.180267142997661</v>
      </c>
      <c r="AF940">
        <v>921.91901408450701</v>
      </c>
      <c r="AG940">
        <f>IFERROR(AH940*0.1, "N/A")</f>
        <v>5.8000000000000007</v>
      </c>
      <c r="AH940">
        <v>58</v>
      </c>
      <c r="AI940">
        <v>191.328751201361</v>
      </c>
      <c r="AJ940">
        <v>37.214788732394403</v>
      </c>
      <c r="AK940">
        <v>45.5704225352113</v>
      </c>
    </row>
    <row r="941" spans="1:37" x14ac:dyDescent="0.3">
      <c r="A941">
        <v>940</v>
      </c>
      <c r="B941">
        <v>77.800003000000004</v>
      </c>
      <c r="C941">
        <v>32.309199999999997</v>
      </c>
      <c r="D941">
        <v>-0.41438999999999998</v>
      </c>
      <c r="E941" t="s">
        <v>1583</v>
      </c>
      <c r="F941" t="s">
        <v>1584</v>
      </c>
      <c r="G941" t="s">
        <v>37</v>
      </c>
      <c r="H941">
        <v>2010</v>
      </c>
      <c r="I941">
        <v>21.399999618530298</v>
      </c>
      <c r="J941">
        <v>10.199999809265099</v>
      </c>
      <c r="K941">
        <v>82</v>
      </c>
      <c r="L941">
        <v>4.9499998092651403</v>
      </c>
      <c r="M941">
        <v>27.399999618530298</v>
      </c>
      <c r="N941">
        <v>15.1000003814697</v>
      </c>
      <c r="O941">
        <v>12.300000190734901</v>
      </c>
      <c r="P941">
        <v>21.600000381469702</v>
      </c>
      <c r="Q941">
        <v>20.700000762939499</v>
      </c>
      <c r="R941">
        <v>21.899999618530298</v>
      </c>
      <c r="S941">
        <v>20.600000381469702</v>
      </c>
      <c r="T941">
        <v>2111</v>
      </c>
      <c r="U941">
        <v>331</v>
      </c>
      <c r="V941">
        <v>86</v>
      </c>
      <c r="W941">
        <v>46</v>
      </c>
      <c r="X941">
        <v>904</v>
      </c>
      <c r="Y941">
        <v>281</v>
      </c>
      <c r="Z941">
        <v>508</v>
      </c>
      <c r="AA941">
        <v>325</v>
      </c>
      <c r="AB941">
        <v>10.740265268014101</v>
      </c>
      <c r="AC941">
        <v>1.6569499211199001E-2</v>
      </c>
      <c r="AD941">
        <v>6.5686130104668301</v>
      </c>
      <c r="AE941">
        <v>0.19963898264879901</v>
      </c>
      <c r="AF941">
        <v>1138.98066783831</v>
      </c>
      <c r="AG941">
        <f>IFERROR(AH941*0.1, "N/A")</f>
        <v>5.7080843585237302</v>
      </c>
      <c r="AH941">
        <v>57.080843585237297</v>
      </c>
      <c r="AI941">
        <v>270.04238317720899</v>
      </c>
      <c r="AJ941">
        <v>37</v>
      </c>
      <c r="AK941">
        <v>39.080843585237297</v>
      </c>
    </row>
    <row r="942" spans="1:37" x14ac:dyDescent="0.3">
      <c r="A942">
        <v>941</v>
      </c>
      <c r="B942">
        <v>86.699996999999996</v>
      </c>
      <c r="C942">
        <v>32.404300999999997</v>
      </c>
      <c r="D942">
        <v>-0.40281</v>
      </c>
      <c r="E942" t="s">
        <v>1585</v>
      </c>
      <c r="F942" t="s">
        <v>1586</v>
      </c>
      <c r="G942" t="s">
        <v>37</v>
      </c>
      <c r="H942">
        <v>2010</v>
      </c>
      <c r="I942">
        <v>21.5</v>
      </c>
      <c r="J942">
        <v>10.199999809265099</v>
      </c>
      <c r="K942">
        <v>83</v>
      </c>
      <c r="L942">
        <v>4.8899998664856001</v>
      </c>
      <c r="M942">
        <v>27.600000381469702</v>
      </c>
      <c r="N942">
        <v>15.3999996185303</v>
      </c>
      <c r="O942">
        <v>12.199999809265099</v>
      </c>
      <c r="P942">
        <v>21.799999237060501</v>
      </c>
      <c r="Q942">
        <v>20.899999618530298</v>
      </c>
      <c r="R942">
        <v>22.100000381469702</v>
      </c>
      <c r="S942">
        <v>20.799999237060501</v>
      </c>
      <c r="T942">
        <v>2138</v>
      </c>
      <c r="U942">
        <v>336</v>
      </c>
      <c r="V942">
        <v>90</v>
      </c>
      <c r="W942">
        <v>46</v>
      </c>
      <c r="X942">
        <v>913</v>
      </c>
      <c r="Y942">
        <v>285</v>
      </c>
      <c r="Z942">
        <v>522</v>
      </c>
      <c r="AA942">
        <v>331</v>
      </c>
      <c r="AB942">
        <v>5.9380284698916102</v>
      </c>
      <c r="AC942">
        <v>1.2264673398073E-2</v>
      </c>
      <c r="AD942">
        <v>4.5044552398399604</v>
      </c>
      <c r="AE942" t="s">
        <v>729</v>
      </c>
      <c r="AF942">
        <v>1139.9683098591499</v>
      </c>
      <c r="AG942">
        <f>IFERROR(AH942*0.1, "N/A")</f>
        <v>5.8446808510638304</v>
      </c>
      <c r="AH942">
        <v>58.446808510638299</v>
      </c>
      <c r="AI942">
        <v>329.01614460475002</v>
      </c>
      <c r="AJ942">
        <v>39.446808510638299</v>
      </c>
      <c r="AK942">
        <v>39.851063829787201</v>
      </c>
    </row>
    <row r="943" spans="1:37" x14ac:dyDescent="0.3">
      <c r="A943">
        <v>942</v>
      </c>
      <c r="B943">
        <v>28.6</v>
      </c>
      <c r="C943">
        <v>32.327801000000001</v>
      </c>
      <c r="D943">
        <v>-0.39600000000000002</v>
      </c>
      <c r="E943" t="s">
        <v>1587</v>
      </c>
      <c r="F943" t="s">
        <v>1588</v>
      </c>
      <c r="G943" t="s">
        <v>37</v>
      </c>
      <c r="H943">
        <v>2010</v>
      </c>
      <c r="I943">
        <v>21.600000381469702</v>
      </c>
      <c r="J943">
        <v>10.199999809265099</v>
      </c>
      <c r="K943">
        <v>82</v>
      </c>
      <c r="L943">
        <v>4.8699998855590803</v>
      </c>
      <c r="M943">
        <v>27.600000381469702</v>
      </c>
      <c r="N943">
        <v>15.300000190734901</v>
      </c>
      <c r="O943">
        <v>12.300000190734901</v>
      </c>
      <c r="P943">
        <v>21.799999237060501</v>
      </c>
      <c r="Q943">
        <v>20.899999618530298</v>
      </c>
      <c r="R943">
        <v>22.100000381469702</v>
      </c>
      <c r="S943">
        <v>20.799999237060501</v>
      </c>
      <c r="T943">
        <v>2128</v>
      </c>
      <c r="U943">
        <v>334</v>
      </c>
      <c r="V943">
        <v>89</v>
      </c>
      <c r="W943">
        <v>46</v>
      </c>
      <c r="X943">
        <v>910</v>
      </c>
      <c r="Y943">
        <v>286</v>
      </c>
      <c r="Z943">
        <v>513</v>
      </c>
      <c r="AA943">
        <v>332</v>
      </c>
      <c r="AB943">
        <v>14.7246280395293</v>
      </c>
      <c r="AC943">
        <v>1.0846060284975E-2</v>
      </c>
      <c r="AD943">
        <v>3.6901530662194699</v>
      </c>
      <c r="AE943">
        <v>0.22311595082283001</v>
      </c>
      <c r="AF943">
        <v>1149.85764499121</v>
      </c>
      <c r="AG943">
        <f>IFERROR(AH943*0.1, "N/A")</f>
        <v>6.1000000000000005</v>
      </c>
      <c r="AH943">
        <v>61</v>
      </c>
      <c r="AI943">
        <v>158.94107201815899</v>
      </c>
      <c r="AJ943">
        <v>37</v>
      </c>
      <c r="AK943">
        <v>40</v>
      </c>
    </row>
    <row r="944" spans="1:37" x14ac:dyDescent="0.3">
      <c r="A944">
        <v>943</v>
      </c>
      <c r="B944">
        <v>0</v>
      </c>
      <c r="C944">
        <v>30.565999999999999</v>
      </c>
      <c r="D944">
        <v>-0.38300000000000001</v>
      </c>
      <c r="E944" t="s">
        <v>1589</v>
      </c>
      <c r="F944" t="s">
        <v>1590</v>
      </c>
      <c r="G944" t="s">
        <v>37</v>
      </c>
      <c r="H944">
        <v>2004</v>
      </c>
      <c r="I944">
        <v>20.399999618530298</v>
      </c>
      <c r="J944">
        <v>12.1000003814697</v>
      </c>
      <c r="K944">
        <v>85.938380281690101</v>
      </c>
      <c r="L944">
        <v>4.0023239561369701</v>
      </c>
      <c r="M944">
        <v>27.406161613867301</v>
      </c>
      <c r="N944">
        <v>13.3999996185303</v>
      </c>
      <c r="O944">
        <v>14.006161995336999</v>
      </c>
      <c r="P944">
        <v>20.193838767602401</v>
      </c>
      <c r="Q944">
        <v>20.100000381469702</v>
      </c>
      <c r="R944">
        <v>20.899999618530298</v>
      </c>
      <c r="S944">
        <v>20</v>
      </c>
      <c r="T944">
        <v>967.93838028169</v>
      </c>
      <c r="U944">
        <v>131</v>
      </c>
      <c r="V944">
        <v>32</v>
      </c>
      <c r="W944">
        <v>41</v>
      </c>
      <c r="X944">
        <v>353</v>
      </c>
      <c r="Y944">
        <v>135</v>
      </c>
      <c r="Z944">
        <v>196</v>
      </c>
      <c r="AA944">
        <v>148.93838028169</v>
      </c>
      <c r="AB944">
        <v>1.5124859877035699</v>
      </c>
      <c r="AC944">
        <v>4.2780420083034496</v>
      </c>
      <c r="AD944">
        <v>1.34351509011967</v>
      </c>
      <c r="AE944">
        <v>0.63600182533264205</v>
      </c>
      <c r="AF944">
        <v>1432.51408450704</v>
      </c>
      <c r="AG944">
        <f>IFERROR(AH944*0.1, "N/A")</f>
        <v>5.4</v>
      </c>
      <c r="AH944">
        <v>54</v>
      </c>
      <c r="AI944">
        <v>202.58737373352099</v>
      </c>
      <c r="AJ944">
        <v>36</v>
      </c>
      <c r="AK944">
        <v>47</v>
      </c>
    </row>
    <row r="945" spans="1:37" x14ac:dyDescent="0.3">
      <c r="A945">
        <v>944</v>
      </c>
      <c r="B945">
        <v>0</v>
      </c>
      <c r="C945">
        <v>31.469999000000001</v>
      </c>
      <c r="D945">
        <v>-0.38</v>
      </c>
      <c r="E945" t="s">
        <v>1591</v>
      </c>
      <c r="F945" t="s">
        <v>1592</v>
      </c>
      <c r="G945" t="s">
        <v>37</v>
      </c>
      <c r="H945">
        <v>2004</v>
      </c>
      <c r="I945">
        <v>21.200000762939499</v>
      </c>
      <c r="J945">
        <v>11.6000003814697</v>
      </c>
      <c r="K945">
        <v>82</v>
      </c>
      <c r="L945">
        <v>4.9299998283386204</v>
      </c>
      <c r="M945">
        <v>28.100000381469702</v>
      </c>
      <c r="N945">
        <v>14</v>
      </c>
      <c r="O945">
        <v>14.1000003814697</v>
      </c>
      <c r="P945">
        <v>21.299999237060501</v>
      </c>
      <c r="Q945">
        <v>20.5</v>
      </c>
      <c r="R945">
        <v>21.799999237060501</v>
      </c>
      <c r="S945">
        <v>20.5</v>
      </c>
      <c r="T945">
        <v>909</v>
      </c>
      <c r="U945">
        <v>139</v>
      </c>
      <c r="V945">
        <v>20</v>
      </c>
      <c r="W945">
        <v>46</v>
      </c>
      <c r="X945">
        <v>356</v>
      </c>
      <c r="Y945">
        <v>94</v>
      </c>
      <c r="Z945">
        <v>209</v>
      </c>
      <c r="AA945">
        <v>94</v>
      </c>
      <c r="AB945">
        <v>1.75673424799539</v>
      </c>
      <c r="AC945">
        <v>0.528466881023677</v>
      </c>
      <c r="AD945">
        <v>1.71741424964476</v>
      </c>
      <c r="AE945">
        <v>0.62251311540603604</v>
      </c>
      <c r="AF945">
        <v>1217.17750439367</v>
      </c>
      <c r="AG945">
        <f>IFERROR(AH945*0.1, "N/A")</f>
        <v>5.7455184534270707</v>
      </c>
      <c r="AH945">
        <v>57.4551845342707</v>
      </c>
      <c r="AI945">
        <v>185.64361103976299</v>
      </c>
      <c r="AJ945">
        <v>31.518453427065001</v>
      </c>
      <c r="AK945">
        <v>52.434094903339201</v>
      </c>
    </row>
    <row r="946" spans="1:37" x14ac:dyDescent="0.3">
      <c r="A946">
        <v>945</v>
      </c>
      <c r="B946">
        <v>10</v>
      </c>
      <c r="C946">
        <v>32.516800000000003</v>
      </c>
      <c r="D946">
        <v>-0.37463000000000002</v>
      </c>
      <c r="E946" t="s">
        <v>1593</v>
      </c>
      <c r="F946" t="s">
        <v>1594</v>
      </c>
      <c r="G946" t="s">
        <v>37</v>
      </c>
      <c r="H946">
        <v>2010</v>
      </c>
      <c r="I946">
        <v>21.548415677648201</v>
      </c>
      <c r="J946">
        <v>10.1000003814697</v>
      </c>
      <c r="K946">
        <v>83.426056338028204</v>
      </c>
      <c r="L946">
        <v>4.9706690680812802</v>
      </c>
      <c r="M946">
        <v>27.448415296178499</v>
      </c>
      <c r="N946">
        <v>15.3910212029873</v>
      </c>
      <c r="O946">
        <v>12.057394585139299</v>
      </c>
      <c r="P946">
        <v>21.8542247960265</v>
      </c>
      <c r="Q946">
        <v>20.848414914708702</v>
      </c>
      <c r="R946">
        <v>22.048415677648201</v>
      </c>
      <c r="S946">
        <v>20.791021313465802</v>
      </c>
      <c r="T946">
        <v>2063.2764084506998</v>
      </c>
      <c r="U946">
        <v>322.68309859154903</v>
      </c>
      <c r="V946">
        <v>87.1091549295775</v>
      </c>
      <c r="W946">
        <v>46</v>
      </c>
      <c r="X946">
        <v>879.93309859154897</v>
      </c>
      <c r="Y946">
        <v>272.843309859155</v>
      </c>
      <c r="Z946">
        <v>506.25</v>
      </c>
      <c r="AA946">
        <v>316.32746478873202</v>
      </c>
      <c r="AB946">
        <v>8.8424536476672504</v>
      </c>
      <c r="AC946">
        <v>3.8299009264578E-2</v>
      </c>
      <c r="AD946">
        <v>4.1335391301504298</v>
      </c>
      <c r="AE946">
        <v>0.208170160651207</v>
      </c>
      <c r="AF946">
        <v>1137.61971830986</v>
      </c>
      <c r="AG946" t="str">
        <f>IFERROR(AH946*0.1, "N/A")</f>
        <v>N/A</v>
      </c>
      <c r="AH946" t="s">
        <v>729</v>
      </c>
      <c r="AI946">
        <v>62.949179105355697</v>
      </c>
      <c r="AJ946" t="s">
        <v>729</v>
      </c>
      <c r="AK946" t="s">
        <v>729</v>
      </c>
    </row>
    <row r="947" spans="1:37" x14ac:dyDescent="0.3">
      <c r="A947">
        <v>946</v>
      </c>
      <c r="B947">
        <v>46.700001</v>
      </c>
      <c r="C947">
        <v>32.478198999999996</v>
      </c>
      <c r="D947">
        <v>-0.37258000000000002</v>
      </c>
      <c r="E947" t="s">
        <v>1595</v>
      </c>
      <c r="F947" t="s">
        <v>1596</v>
      </c>
      <c r="G947" t="s">
        <v>37</v>
      </c>
      <c r="H947">
        <v>2010</v>
      </c>
      <c r="I947">
        <v>21.600000381469702</v>
      </c>
      <c r="J947">
        <v>10.1000003814697</v>
      </c>
      <c r="K947">
        <v>83</v>
      </c>
      <c r="L947">
        <v>5.1900000572204599</v>
      </c>
      <c r="M947">
        <v>27.5</v>
      </c>
      <c r="N947">
        <v>15.3999996185303</v>
      </c>
      <c r="O947">
        <v>12.1000003814697</v>
      </c>
      <c r="P947">
        <v>22</v>
      </c>
      <c r="Q947">
        <v>20.899999618530298</v>
      </c>
      <c r="R947">
        <v>22.100000381469702</v>
      </c>
      <c r="S947">
        <v>20.799999237060501</v>
      </c>
      <c r="T947">
        <v>2093</v>
      </c>
      <c r="U947">
        <v>328</v>
      </c>
      <c r="V947">
        <v>89</v>
      </c>
      <c r="W947">
        <v>46</v>
      </c>
      <c r="X947">
        <v>892</v>
      </c>
      <c r="Y947">
        <v>279</v>
      </c>
      <c r="Z947">
        <v>512</v>
      </c>
      <c r="AA947">
        <v>324</v>
      </c>
      <c r="AB947">
        <v>18.478742787535801</v>
      </c>
      <c r="AC947">
        <v>2.5462452778067999E-2</v>
      </c>
      <c r="AD947">
        <v>7.1804362506094099</v>
      </c>
      <c r="AE947">
        <v>0.24793159812164101</v>
      </c>
      <c r="AF947">
        <v>1157.22887323944</v>
      </c>
      <c r="AG947">
        <f>IFERROR(AH947*0.1, "N/A")</f>
        <v>6.3000000000000007</v>
      </c>
      <c r="AH947">
        <v>63</v>
      </c>
      <c r="AI947">
        <v>279.64052434706298</v>
      </c>
      <c r="AJ947">
        <v>40</v>
      </c>
      <c r="AK947">
        <v>38</v>
      </c>
    </row>
    <row r="948" spans="1:37" x14ac:dyDescent="0.3">
      <c r="A948">
        <v>947</v>
      </c>
      <c r="B948">
        <v>55.599997999999999</v>
      </c>
      <c r="C948">
        <v>32.414299</v>
      </c>
      <c r="D948">
        <v>-0.36560999999999999</v>
      </c>
      <c r="E948" t="s">
        <v>1597</v>
      </c>
      <c r="F948" t="s">
        <v>1598</v>
      </c>
      <c r="G948" t="s">
        <v>37</v>
      </c>
      <c r="H948">
        <v>2010</v>
      </c>
      <c r="I948">
        <v>21.5</v>
      </c>
      <c r="J948">
        <v>10.199999809265099</v>
      </c>
      <c r="K948">
        <v>84</v>
      </c>
      <c r="L948">
        <v>5</v>
      </c>
      <c r="M948">
        <v>27.5</v>
      </c>
      <c r="N948">
        <v>15.3999996185303</v>
      </c>
      <c r="O948">
        <v>12.1000003814697</v>
      </c>
      <c r="P948">
        <v>21.799999237060501</v>
      </c>
      <c r="Q948">
        <v>20.799999237060501</v>
      </c>
      <c r="R948">
        <v>22</v>
      </c>
      <c r="S948">
        <v>20.700000762939499</v>
      </c>
      <c r="T948">
        <v>2144</v>
      </c>
      <c r="U948">
        <v>336</v>
      </c>
      <c r="V948">
        <v>92</v>
      </c>
      <c r="W948">
        <v>45</v>
      </c>
      <c r="X948">
        <v>910</v>
      </c>
      <c r="Y948">
        <v>291</v>
      </c>
      <c r="Z948">
        <v>522</v>
      </c>
      <c r="AA948">
        <v>339</v>
      </c>
      <c r="AB948">
        <v>15.423630702642701</v>
      </c>
      <c r="AC948">
        <v>8.547686521667E-3</v>
      </c>
      <c r="AD948">
        <v>3.7994694470097801</v>
      </c>
      <c r="AE948">
        <v>0.26218980125018498</v>
      </c>
      <c r="AF948">
        <v>1150.40388007055</v>
      </c>
      <c r="AG948">
        <f>IFERROR(AH948*0.1, "N/A")</f>
        <v>5.4931216931216902</v>
      </c>
      <c r="AH948">
        <v>54.931216931216902</v>
      </c>
      <c r="AI948">
        <v>248.45928729022</v>
      </c>
      <c r="AJ948">
        <v>38.483245149911802</v>
      </c>
      <c r="AK948">
        <v>41.236331569664898</v>
      </c>
    </row>
    <row r="949" spans="1:37" x14ac:dyDescent="0.3">
      <c r="A949">
        <v>948</v>
      </c>
      <c r="B949">
        <v>0</v>
      </c>
      <c r="C949">
        <v>32.238799999999998</v>
      </c>
      <c r="D949">
        <v>-0.36485000000000001</v>
      </c>
      <c r="E949" t="s">
        <v>1599</v>
      </c>
      <c r="F949" t="s">
        <v>1600</v>
      </c>
      <c r="G949" t="s">
        <v>37</v>
      </c>
      <c r="H949">
        <v>2010</v>
      </c>
      <c r="I949">
        <v>21.700000762939499</v>
      </c>
      <c r="J949">
        <v>10.3999996185303</v>
      </c>
      <c r="K949">
        <v>83</v>
      </c>
      <c r="L949">
        <v>5.03999996185303</v>
      </c>
      <c r="M949">
        <v>27.799999237060501</v>
      </c>
      <c r="N949">
        <v>15.300000190734901</v>
      </c>
      <c r="O949">
        <v>12.5</v>
      </c>
      <c r="P949">
        <v>22</v>
      </c>
      <c r="Q949">
        <v>21</v>
      </c>
      <c r="R949">
        <v>22.200000762939499</v>
      </c>
      <c r="S949">
        <v>20.899999618530298</v>
      </c>
      <c r="T949">
        <v>2015</v>
      </c>
      <c r="U949">
        <v>321</v>
      </c>
      <c r="V949">
        <v>81</v>
      </c>
      <c r="W949">
        <v>47</v>
      </c>
      <c r="X949">
        <v>865</v>
      </c>
      <c r="Y949">
        <v>270</v>
      </c>
      <c r="Z949">
        <v>471</v>
      </c>
      <c r="AA949">
        <v>313</v>
      </c>
      <c r="AB949">
        <v>18.112308334591901</v>
      </c>
      <c r="AC949">
        <v>7.0679938016370999E-2</v>
      </c>
      <c r="AD949">
        <v>5.3050610411565202</v>
      </c>
      <c r="AE949">
        <v>0.12684611976146701</v>
      </c>
      <c r="AF949">
        <v>1153.1845342706499</v>
      </c>
      <c r="AG949" t="str">
        <f>IFERROR(AH949*0.1, "N/A")</f>
        <v>N/A</v>
      </c>
      <c r="AH949" t="s">
        <v>729</v>
      </c>
      <c r="AI949">
        <v>271.59748939554402</v>
      </c>
      <c r="AJ949" t="s">
        <v>729</v>
      </c>
      <c r="AK949" t="s">
        <v>729</v>
      </c>
    </row>
    <row r="950" spans="1:37" x14ac:dyDescent="0.3">
      <c r="A950">
        <v>949</v>
      </c>
      <c r="B950">
        <v>25</v>
      </c>
      <c r="C950">
        <v>32.295399000000003</v>
      </c>
      <c r="D950">
        <v>-0.36381000000000002</v>
      </c>
      <c r="E950" t="s">
        <v>1601</v>
      </c>
      <c r="F950" t="s">
        <v>1602</v>
      </c>
      <c r="G950" t="s">
        <v>37</v>
      </c>
      <c r="H950">
        <v>2010</v>
      </c>
      <c r="I950">
        <v>21.700000762939499</v>
      </c>
      <c r="J950">
        <v>10.300000190734901</v>
      </c>
      <c r="K950">
        <v>83</v>
      </c>
      <c r="L950">
        <v>5.03999996185303</v>
      </c>
      <c r="M950">
        <v>27.700000762939499</v>
      </c>
      <c r="N950">
        <v>15.3999996185303</v>
      </c>
      <c r="O950">
        <v>12.300000190734901</v>
      </c>
      <c r="P950">
        <v>22</v>
      </c>
      <c r="Q950">
        <v>21</v>
      </c>
      <c r="R950">
        <v>22.200000762939499</v>
      </c>
      <c r="S950">
        <v>20.899999618530298</v>
      </c>
      <c r="T950">
        <v>2103</v>
      </c>
      <c r="U950">
        <v>330</v>
      </c>
      <c r="V950">
        <v>88</v>
      </c>
      <c r="W950">
        <v>46</v>
      </c>
      <c r="X950">
        <v>897</v>
      </c>
      <c r="Y950">
        <v>285</v>
      </c>
      <c r="Z950">
        <v>500</v>
      </c>
      <c r="AA950">
        <v>331</v>
      </c>
      <c r="AB950">
        <v>8.7056575291593301</v>
      </c>
      <c r="AC950">
        <v>6.7177586388630001E-2</v>
      </c>
      <c r="AD950">
        <v>6.0940650080291299</v>
      </c>
      <c r="AE950">
        <v>0.23307710886001601</v>
      </c>
      <c r="AF950">
        <v>1140.02112676056</v>
      </c>
      <c r="AG950" t="str">
        <f>IFERROR(AH950*0.1, "N/A")</f>
        <v>N/A</v>
      </c>
      <c r="AH950" t="s">
        <v>729</v>
      </c>
      <c r="AI950">
        <v>305.10242408430099</v>
      </c>
      <c r="AJ950" t="s">
        <v>729</v>
      </c>
      <c r="AK950" t="s">
        <v>729</v>
      </c>
    </row>
    <row r="951" spans="1:37" x14ac:dyDescent="0.3">
      <c r="A951">
        <v>950</v>
      </c>
      <c r="B951">
        <v>30.799999</v>
      </c>
      <c r="C951">
        <v>32.294899000000001</v>
      </c>
      <c r="D951">
        <v>-0.363533</v>
      </c>
      <c r="E951" t="s">
        <v>1603</v>
      </c>
      <c r="F951" t="s">
        <v>1604</v>
      </c>
      <c r="G951" t="s">
        <v>37</v>
      </c>
      <c r="H951">
        <v>2009</v>
      </c>
      <c r="I951">
        <v>21.700000762939499</v>
      </c>
      <c r="J951">
        <v>10.300000190734901</v>
      </c>
      <c r="K951">
        <v>83</v>
      </c>
      <c r="L951">
        <v>5.03999996185303</v>
      </c>
      <c r="M951">
        <v>27.700000762939499</v>
      </c>
      <c r="N951">
        <v>15.3999996185303</v>
      </c>
      <c r="O951">
        <v>12.300000190734901</v>
      </c>
      <c r="P951">
        <v>22</v>
      </c>
      <c r="Q951">
        <v>21</v>
      </c>
      <c r="R951">
        <v>22.200000762939499</v>
      </c>
      <c r="S951">
        <v>20.899999618530298</v>
      </c>
      <c r="T951">
        <v>2103</v>
      </c>
      <c r="U951">
        <v>330</v>
      </c>
      <c r="V951">
        <v>88</v>
      </c>
      <c r="W951">
        <v>46</v>
      </c>
      <c r="X951">
        <v>897</v>
      </c>
      <c r="Y951">
        <v>285</v>
      </c>
      <c r="Z951">
        <v>500</v>
      </c>
      <c r="AA951">
        <v>331</v>
      </c>
      <c r="AB951">
        <v>4.0366400060519396</v>
      </c>
      <c r="AC951">
        <v>8.6876390193601993E-2</v>
      </c>
      <c r="AD951">
        <v>4.9271840708146604</v>
      </c>
      <c r="AE951">
        <v>0.23307710886001601</v>
      </c>
      <c r="AF951">
        <v>1136.4295774647901</v>
      </c>
      <c r="AG951" t="str">
        <f>IFERROR(AH951*0.1, "N/A")</f>
        <v>N/A</v>
      </c>
      <c r="AH951" t="s">
        <v>729</v>
      </c>
      <c r="AI951">
        <v>280.15618611725301</v>
      </c>
      <c r="AJ951" t="s">
        <v>729</v>
      </c>
      <c r="AK951" t="s">
        <v>729</v>
      </c>
    </row>
    <row r="952" spans="1:37" x14ac:dyDescent="0.3">
      <c r="A952">
        <v>951</v>
      </c>
      <c r="B952">
        <v>0</v>
      </c>
      <c r="C952">
        <v>32.571499000000003</v>
      </c>
      <c r="D952">
        <v>-0.35158299999999998</v>
      </c>
      <c r="E952" t="s">
        <v>1605</v>
      </c>
      <c r="F952" t="s">
        <v>1606</v>
      </c>
      <c r="G952" t="s">
        <v>37</v>
      </c>
      <c r="H952">
        <v>2009</v>
      </c>
      <c r="I952">
        <v>21.600000381469702</v>
      </c>
      <c r="J952">
        <v>10.1000003814697</v>
      </c>
      <c r="K952">
        <v>84</v>
      </c>
      <c r="L952">
        <v>4.78999996185303</v>
      </c>
      <c r="M952">
        <v>27.5</v>
      </c>
      <c r="N952">
        <v>15.5</v>
      </c>
      <c r="O952">
        <v>12</v>
      </c>
      <c r="P952">
        <v>21.899999618530298</v>
      </c>
      <c r="Q952">
        <v>20.899999618530298</v>
      </c>
      <c r="R952">
        <v>22.100000381469702</v>
      </c>
      <c r="S952">
        <v>20.899999618530298</v>
      </c>
      <c r="T952">
        <v>2014</v>
      </c>
      <c r="U952">
        <v>314</v>
      </c>
      <c r="V952">
        <v>85</v>
      </c>
      <c r="W952">
        <v>46</v>
      </c>
      <c r="X952">
        <v>858</v>
      </c>
      <c r="Y952">
        <v>266</v>
      </c>
      <c r="Z952">
        <v>494</v>
      </c>
      <c r="AA952">
        <v>307</v>
      </c>
      <c r="AB952">
        <v>7.2608857869681396</v>
      </c>
      <c r="AC952">
        <v>1.9793877072592999E-2</v>
      </c>
      <c r="AD952">
        <v>2.6152715718725199</v>
      </c>
      <c r="AE952">
        <v>0.27622555156864198</v>
      </c>
      <c r="AF952">
        <v>1136.16754850088</v>
      </c>
      <c r="AG952" t="str">
        <f>IFERROR(AH952*0.1, "N/A")</f>
        <v>N/A</v>
      </c>
      <c r="AH952" t="s">
        <v>729</v>
      </c>
      <c r="AI952">
        <v>306.64155904241801</v>
      </c>
      <c r="AJ952" t="s">
        <v>729</v>
      </c>
      <c r="AK952" t="s">
        <v>729</v>
      </c>
    </row>
    <row r="953" spans="1:37" x14ac:dyDescent="0.3">
      <c r="A953">
        <v>952</v>
      </c>
      <c r="B953">
        <v>0</v>
      </c>
      <c r="C953">
        <v>32.571300999999998</v>
      </c>
      <c r="D953">
        <v>-0.35153000000000001</v>
      </c>
      <c r="E953" t="s">
        <v>1607</v>
      </c>
      <c r="F953" t="s">
        <v>1608</v>
      </c>
      <c r="G953" t="s">
        <v>37</v>
      </c>
      <c r="H953">
        <v>2010</v>
      </c>
      <c r="I953">
        <v>21.600000381469702</v>
      </c>
      <c r="J953">
        <v>10.1000003814697</v>
      </c>
      <c r="K953">
        <v>84</v>
      </c>
      <c r="L953">
        <v>4.78999996185303</v>
      </c>
      <c r="M953">
        <v>27.5</v>
      </c>
      <c r="N953">
        <v>15.5</v>
      </c>
      <c r="O953">
        <v>12</v>
      </c>
      <c r="P953">
        <v>21.899999618530298</v>
      </c>
      <c r="Q953">
        <v>20.899999618530298</v>
      </c>
      <c r="R953">
        <v>22.100000381469702</v>
      </c>
      <c r="S953">
        <v>20.899999618530298</v>
      </c>
      <c r="T953">
        <v>2014</v>
      </c>
      <c r="U953">
        <v>314</v>
      </c>
      <c r="V953">
        <v>85</v>
      </c>
      <c r="W953">
        <v>46</v>
      </c>
      <c r="X953">
        <v>858</v>
      </c>
      <c r="Y953">
        <v>266</v>
      </c>
      <c r="Z953">
        <v>494</v>
      </c>
      <c r="AA953">
        <v>307</v>
      </c>
      <c r="AB953">
        <v>6.2905449356052303</v>
      </c>
      <c r="AC953">
        <v>2.1857471918926001E-2</v>
      </c>
      <c r="AD953">
        <v>2.42232185319354</v>
      </c>
      <c r="AE953">
        <v>0.27643208742560699</v>
      </c>
      <c r="AF953">
        <v>1134.9982425307601</v>
      </c>
      <c r="AG953" t="str">
        <f>IFERROR(AH953*0.1, "N/A")</f>
        <v>N/A</v>
      </c>
      <c r="AH953" t="s">
        <v>729</v>
      </c>
      <c r="AI953">
        <v>303.32799853172401</v>
      </c>
      <c r="AJ953" t="s">
        <v>729</v>
      </c>
      <c r="AK953" t="s">
        <v>729</v>
      </c>
    </row>
    <row r="954" spans="1:37" x14ac:dyDescent="0.3">
      <c r="A954">
        <v>953</v>
      </c>
      <c r="B954">
        <v>37.5</v>
      </c>
      <c r="C954">
        <v>32.489798999999998</v>
      </c>
      <c r="D954">
        <v>-0.34038000000000002</v>
      </c>
      <c r="E954" t="s">
        <v>1609</v>
      </c>
      <c r="F954" t="s">
        <v>1610</v>
      </c>
      <c r="G954" t="s">
        <v>37</v>
      </c>
      <c r="H954">
        <v>2010</v>
      </c>
      <c r="I954">
        <v>21.600000381469702</v>
      </c>
      <c r="J954">
        <v>10.1000003814697</v>
      </c>
      <c r="K954">
        <v>84</v>
      </c>
      <c r="L954">
        <v>4.9699997901916504</v>
      </c>
      <c r="M954">
        <v>27.5</v>
      </c>
      <c r="N954">
        <v>15.5</v>
      </c>
      <c r="O954">
        <v>12</v>
      </c>
      <c r="P954">
        <v>21.899999618530298</v>
      </c>
      <c r="Q954">
        <v>20.899999618530298</v>
      </c>
      <c r="R954">
        <v>22.100000381469702</v>
      </c>
      <c r="S954">
        <v>20.899999618530298</v>
      </c>
      <c r="T954">
        <v>2073</v>
      </c>
      <c r="U954">
        <v>326</v>
      </c>
      <c r="V954">
        <v>89</v>
      </c>
      <c r="W954">
        <v>46</v>
      </c>
      <c r="X954">
        <v>883</v>
      </c>
      <c r="Y954">
        <v>279</v>
      </c>
      <c r="Z954">
        <v>505</v>
      </c>
      <c r="AA954">
        <v>324</v>
      </c>
      <c r="AB954">
        <v>13.7718542394504</v>
      </c>
      <c r="AC954">
        <v>9.7365632823759995E-3</v>
      </c>
      <c r="AD954">
        <v>6.6349030099284496</v>
      </c>
      <c r="AE954">
        <v>0.238877817988396</v>
      </c>
      <c r="AF954">
        <v>1147.1725352112701</v>
      </c>
      <c r="AG954" t="str">
        <f>IFERROR(AH954*0.1, "N/A")</f>
        <v>N/A</v>
      </c>
      <c r="AH954" t="s">
        <v>729</v>
      </c>
      <c r="AI954">
        <v>174.412651802033</v>
      </c>
      <c r="AJ954" t="s">
        <v>729</v>
      </c>
      <c r="AK954" t="s">
        <v>729</v>
      </c>
    </row>
    <row r="955" spans="1:37" x14ac:dyDescent="0.3">
      <c r="A955">
        <v>954</v>
      </c>
      <c r="B955">
        <v>59.400002000000001</v>
      </c>
      <c r="C955">
        <v>32.375999</v>
      </c>
      <c r="D955">
        <v>-0.33806999999999998</v>
      </c>
      <c r="E955" t="s">
        <v>1611</v>
      </c>
      <c r="F955" t="s">
        <v>1612</v>
      </c>
      <c r="G955" t="s">
        <v>37</v>
      </c>
      <c r="H955">
        <v>2010</v>
      </c>
      <c r="I955">
        <v>21.501940042674001</v>
      </c>
      <c r="J955">
        <v>10.198059785092701</v>
      </c>
      <c r="K955">
        <v>82.980599647266303</v>
      </c>
      <c r="L955">
        <v>5.0613579708011898</v>
      </c>
      <c r="M955">
        <v>27.501940042674001</v>
      </c>
      <c r="N955">
        <v>15.301940214907299</v>
      </c>
      <c r="O955">
        <v>12.199999809265099</v>
      </c>
      <c r="P955">
        <v>21.803879322408601</v>
      </c>
      <c r="Q955">
        <v>20.801939279734601</v>
      </c>
      <c r="R955">
        <v>22.001940042674001</v>
      </c>
      <c r="S955">
        <v>20.7019407686102</v>
      </c>
      <c r="T955">
        <v>2165.9417989417998</v>
      </c>
      <c r="U955">
        <v>339</v>
      </c>
      <c r="V955">
        <v>94</v>
      </c>
      <c r="W955">
        <v>45</v>
      </c>
      <c r="X955">
        <v>916.98059964726599</v>
      </c>
      <c r="Y955">
        <v>299</v>
      </c>
      <c r="Z955">
        <v>524.94179894179899</v>
      </c>
      <c r="AA955">
        <v>347</v>
      </c>
      <c r="AB955">
        <v>10.3074735880319</v>
      </c>
      <c r="AC955">
        <v>1.0809009756755E-2</v>
      </c>
      <c r="AD955">
        <v>3.1348663995295398</v>
      </c>
      <c r="AE955">
        <v>0.139205202460289</v>
      </c>
      <c r="AF955">
        <v>1139.8589065255701</v>
      </c>
      <c r="AG955">
        <f>IFERROR(AH955*0.1, "N/A")</f>
        <v>5.8000000000000007</v>
      </c>
      <c r="AH955">
        <v>58</v>
      </c>
      <c r="AI955">
        <v>309.69118937066798</v>
      </c>
      <c r="AJ955">
        <v>40</v>
      </c>
      <c r="AK955">
        <v>37</v>
      </c>
    </row>
    <row r="956" spans="1:37" x14ac:dyDescent="0.3">
      <c r="A956">
        <v>955</v>
      </c>
      <c r="B956">
        <v>23.1</v>
      </c>
      <c r="C956">
        <v>32.568600000000004</v>
      </c>
      <c r="D956">
        <v>-0.33334999999999998</v>
      </c>
      <c r="E956" t="s">
        <v>1613</v>
      </c>
      <c r="F956" t="s">
        <v>1614</v>
      </c>
      <c r="G956" t="s">
        <v>37</v>
      </c>
      <c r="H956">
        <v>2010</v>
      </c>
      <c r="I956">
        <v>21.554833249593202</v>
      </c>
      <c r="J956">
        <v>10.0548332495932</v>
      </c>
      <c r="K956">
        <v>83.548330404217893</v>
      </c>
      <c r="L956">
        <v>4.9515993431708099</v>
      </c>
      <c r="M956">
        <v>27.4548328681235</v>
      </c>
      <c r="N956">
        <v>15.4548328681235</v>
      </c>
      <c r="O956">
        <v>12</v>
      </c>
      <c r="P956">
        <v>21.854832486653802</v>
      </c>
      <c r="Q956">
        <v>20.854832486653802</v>
      </c>
      <c r="R956">
        <v>22.054833249593202</v>
      </c>
      <c r="S956">
        <v>20.754832966675401</v>
      </c>
      <c r="T956">
        <v>2006.35500878735</v>
      </c>
      <c r="U956">
        <v>312.54833040421801</v>
      </c>
      <c r="V956">
        <v>85.451669595782107</v>
      </c>
      <c r="W956">
        <v>45.5483304042179</v>
      </c>
      <c r="X956">
        <v>853.09666080843601</v>
      </c>
      <c r="Y956">
        <v>266.90333919156399</v>
      </c>
      <c r="Z956">
        <v>490</v>
      </c>
      <c r="AA956">
        <v>307.90333919156399</v>
      </c>
      <c r="AB956">
        <v>6.5859681784792397</v>
      </c>
      <c r="AC956">
        <v>5.3810059245158998E-2</v>
      </c>
      <c r="AD956">
        <v>2.2193352602068699</v>
      </c>
      <c r="AE956">
        <v>0.25880265235900901</v>
      </c>
      <c r="AF956">
        <v>1133.2970123022801</v>
      </c>
      <c r="AG956">
        <f>IFERROR(AH956*0.1, "N/A")</f>
        <v>5.9</v>
      </c>
      <c r="AH956">
        <v>59</v>
      </c>
      <c r="AI956">
        <v>175.88926712867499</v>
      </c>
      <c r="AJ956">
        <v>36</v>
      </c>
      <c r="AK956">
        <v>41</v>
      </c>
    </row>
    <row r="957" spans="1:37" x14ac:dyDescent="0.3">
      <c r="A957">
        <v>956</v>
      </c>
      <c r="B957">
        <v>6.7</v>
      </c>
      <c r="C957">
        <v>32.188499</v>
      </c>
      <c r="D957">
        <v>-0.33256000000000002</v>
      </c>
      <c r="E957" t="s">
        <v>1615</v>
      </c>
      <c r="F957" t="s">
        <v>1616</v>
      </c>
      <c r="G957" t="s">
        <v>37</v>
      </c>
      <c r="H957">
        <v>2010</v>
      </c>
      <c r="I957">
        <v>21.501581728353699</v>
      </c>
      <c r="J957">
        <v>10.3999996185303</v>
      </c>
      <c r="K957">
        <v>82</v>
      </c>
      <c r="L957">
        <v>5.1206325738836496</v>
      </c>
      <c r="M957">
        <v>27.701582461124101</v>
      </c>
      <c r="N957">
        <v>15.1015820947389</v>
      </c>
      <c r="O957">
        <v>12.6000003814697</v>
      </c>
      <c r="P957">
        <v>21.8015809654142</v>
      </c>
      <c r="Q957">
        <v>20.8015809654142</v>
      </c>
      <c r="R957">
        <v>22.003163456707298</v>
      </c>
      <c r="S957">
        <v>20.701582461124101</v>
      </c>
      <c r="T957">
        <v>1915</v>
      </c>
      <c r="U957">
        <v>308.01581722319901</v>
      </c>
      <c r="V957">
        <v>74</v>
      </c>
      <c r="W957">
        <v>47</v>
      </c>
      <c r="X957">
        <v>821.04745166959594</v>
      </c>
      <c r="Y957">
        <v>256.98418277680099</v>
      </c>
      <c r="Z957">
        <v>439.03163444639699</v>
      </c>
      <c r="AA957">
        <v>294.98418277680099</v>
      </c>
      <c r="AB957">
        <v>18.944679622281399</v>
      </c>
      <c r="AC957">
        <v>1.1507118327022999E-2</v>
      </c>
      <c r="AD957">
        <v>4.0620007263545599</v>
      </c>
      <c r="AE957">
        <v>0.26718494296073902</v>
      </c>
      <c r="AF957">
        <v>1152.4499121265401</v>
      </c>
      <c r="AG957">
        <f>IFERROR(AH957*0.1, "N/A")</f>
        <v>5.3000000000000007</v>
      </c>
      <c r="AH957">
        <v>53</v>
      </c>
      <c r="AI957">
        <v>139.810814252428</v>
      </c>
      <c r="AJ957">
        <v>32.070298769771497</v>
      </c>
      <c r="AK957">
        <v>48.572934973637999</v>
      </c>
    </row>
    <row r="958" spans="1:37" x14ac:dyDescent="0.3">
      <c r="A958">
        <v>957</v>
      </c>
      <c r="B958">
        <v>21.4</v>
      </c>
      <c r="C958">
        <v>32.310101000000003</v>
      </c>
      <c r="D958">
        <v>-0.32837</v>
      </c>
      <c r="E958" t="s">
        <v>1617</v>
      </c>
      <c r="F958" t="s">
        <v>1618</v>
      </c>
      <c r="G958" t="s">
        <v>37</v>
      </c>
      <c r="H958">
        <v>2010</v>
      </c>
      <c r="I958">
        <v>21.600000381469702</v>
      </c>
      <c r="J958">
        <v>10.199999809265099</v>
      </c>
      <c r="K958">
        <v>82</v>
      </c>
      <c r="L958">
        <v>5.1700000762939498</v>
      </c>
      <c r="M958">
        <v>27.600000381469702</v>
      </c>
      <c r="N958">
        <v>15.300000190734901</v>
      </c>
      <c r="O958">
        <v>12.300000190734901</v>
      </c>
      <c r="P958">
        <v>21.899999618530298</v>
      </c>
      <c r="Q958">
        <v>20.899999618530298</v>
      </c>
      <c r="R958">
        <v>22.100000381469702</v>
      </c>
      <c r="S958">
        <v>20.799999237060501</v>
      </c>
      <c r="T958">
        <v>2135</v>
      </c>
      <c r="U958">
        <v>332</v>
      </c>
      <c r="V958">
        <v>92</v>
      </c>
      <c r="W958">
        <v>45</v>
      </c>
      <c r="X958">
        <v>904</v>
      </c>
      <c r="Y958">
        <v>296</v>
      </c>
      <c r="Z958">
        <v>506</v>
      </c>
      <c r="AA958">
        <v>343</v>
      </c>
      <c r="AB958">
        <v>8.6234167394503807</v>
      </c>
      <c r="AC958">
        <v>9.9322094965699995E-3</v>
      </c>
      <c r="AD958">
        <v>2.0215640231757099</v>
      </c>
      <c r="AE958">
        <v>0.27638030052185097</v>
      </c>
      <c r="AF958">
        <v>1138.12147887324</v>
      </c>
      <c r="AG958" t="str">
        <f>IFERROR(AH958*0.1, "N/A")</f>
        <v>N/A</v>
      </c>
      <c r="AH958" t="s">
        <v>729</v>
      </c>
      <c r="AI958">
        <v>218.68306946082899</v>
      </c>
      <c r="AJ958" t="s">
        <v>729</v>
      </c>
      <c r="AK958" t="s">
        <v>729</v>
      </c>
    </row>
    <row r="959" spans="1:37" x14ac:dyDescent="0.3">
      <c r="A959">
        <v>958</v>
      </c>
      <c r="B959">
        <v>31.299999</v>
      </c>
      <c r="C959">
        <v>32.284199000000001</v>
      </c>
      <c r="D959">
        <v>-0.32395000000000002</v>
      </c>
      <c r="E959" t="s">
        <v>1619</v>
      </c>
      <c r="F959" t="s">
        <v>1620</v>
      </c>
      <c r="G959" t="s">
        <v>37</v>
      </c>
      <c r="H959">
        <v>2009</v>
      </c>
      <c r="I959">
        <v>20.946478521320198</v>
      </c>
      <c r="J959">
        <v>10.300000190734901</v>
      </c>
      <c r="K959">
        <v>83</v>
      </c>
      <c r="L959">
        <v>5.0676762117466501</v>
      </c>
      <c r="M959">
        <v>27.0464789027899</v>
      </c>
      <c r="N959">
        <v>14.6464792103835</v>
      </c>
      <c r="O959">
        <v>12.3999996185303</v>
      </c>
      <c r="P959">
        <v>21.154225644931</v>
      </c>
      <c r="Q959">
        <v>20.246479517977001</v>
      </c>
      <c r="R959">
        <v>21.446478521320198</v>
      </c>
      <c r="S959">
        <v>20.146479284259598</v>
      </c>
      <c r="T959">
        <v>2018.7323943662</v>
      </c>
      <c r="U959">
        <v>313.08450704225402</v>
      </c>
      <c r="V959">
        <v>82.464788732394396</v>
      </c>
      <c r="W959">
        <v>45</v>
      </c>
      <c r="X959">
        <v>850.86619718309896</v>
      </c>
      <c r="Y959">
        <v>278.77464788732402</v>
      </c>
      <c r="Z959">
        <v>472.31690140845097</v>
      </c>
      <c r="AA959">
        <v>315.54929577464799</v>
      </c>
      <c r="AB959">
        <v>132.09386175451101</v>
      </c>
      <c r="AC959">
        <v>9.2098699738340003E-3</v>
      </c>
      <c r="AD959">
        <v>4.796685616735</v>
      </c>
      <c r="AE959">
        <v>0.30131314128217601</v>
      </c>
      <c r="AF959">
        <v>1266.02112676056</v>
      </c>
      <c r="AG959">
        <f>IFERROR(AH959*0.1, "N/A")</f>
        <v>5.3732394366197198</v>
      </c>
      <c r="AH959">
        <v>53.732394366197198</v>
      </c>
      <c r="AI959">
        <v>149.34622330229001</v>
      </c>
      <c r="AJ959">
        <v>40.887323943661997</v>
      </c>
      <c r="AK959">
        <v>42</v>
      </c>
    </row>
    <row r="960" spans="1:37" x14ac:dyDescent="0.3">
      <c r="A960">
        <v>959</v>
      </c>
      <c r="B960">
        <v>10</v>
      </c>
      <c r="C960">
        <v>32.149501999999998</v>
      </c>
      <c r="D960">
        <v>-0.32340999999999998</v>
      </c>
      <c r="E960" t="s">
        <v>1621</v>
      </c>
      <c r="F960" t="s">
        <v>1622</v>
      </c>
      <c r="G960" t="s">
        <v>37</v>
      </c>
      <c r="H960">
        <v>2010</v>
      </c>
      <c r="I960">
        <v>21.575352400121599</v>
      </c>
      <c r="J960">
        <v>10.5</v>
      </c>
      <c r="K960">
        <v>82.492957746478893</v>
      </c>
      <c r="L960">
        <v>5.2282396370256503</v>
      </c>
      <c r="M960">
        <v>27.850704125955101</v>
      </c>
      <c r="N960">
        <v>15.1246481277573</v>
      </c>
      <c r="O960">
        <v>12.7260564817509</v>
      </c>
      <c r="P960">
        <v>21.799999237060501</v>
      </c>
      <c r="Q960">
        <v>20.899999618530298</v>
      </c>
      <c r="R960">
        <v>22.1753527815913</v>
      </c>
      <c r="S960">
        <v>20.799999237060501</v>
      </c>
      <c r="T960">
        <v>1829.6971830985899</v>
      </c>
      <c r="U960">
        <v>298.24647887323903</v>
      </c>
      <c r="V960">
        <v>67.246478873239397</v>
      </c>
      <c r="W960">
        <v>48</v>
      </c>
      <c r="X960">
        <v>790.23239436619701</v>
      </c>
      <c r="Y960">
        <v>242.49295774647899</v>
      </c>
      <c r="Z960">
        <v>415.23239436619701</v>
      </c>
      <c r="AA960">
        <v>274.98591549295799</v>
      </c>
      <c r="AB960">
        <v>6.4817208303532103</v>
      </c>
      <c r="AC960">
        <v>5.8600076277491003E-2</v>
      </c>
      <c r="AD960">
        <v>3.4187608495564499</v>
      </c>
      <c r="AE960">
        <v>0.26307427883148199</v>
      </c>
      <c r="AF960">
        <v>1139.47183098592</v>
      </c>
      <c r="AG960">
        <f>IFERROR(AH960*0.1, "N/A")</f>
        <v>5.4</v>
      </c>
      <c r="AH960">
        <v>54</v>
      </c>
      <c r="AI960">
        <v>205.053192353584</v>
      </c>
      <c r="AJ960">
        <v>37.414285714285697</v>
      </c>
      <c r="AK960">
        <v>44.0571428571429</v>
      </c>
    </row>
    <row r="961" spans="1:37" x14ac:dyDescent="0.3">
      <c r="A961">
        <v>960</v>
      </c>
      <c r="B961">
        <v>10.5</v>
      </c>
      <c r="C961">
        <v>32.193600000000004</v>
      </c>
      <c r="D961">
        <v>-0.322849</v>
      </c>
      <c r="E961" t="s">
        <v>1623</v>
      </c>
      <c r="F961" t="s">
        <v>1624</v>
      </c>
      <c r="G961" t="s">
        <v>37</v>
      </c>
      <c r="H961">
        <v>2009</v>
      </c>
      <c r="I961">
        <v>21.5</v>
      </c>
      <c r="J961">
        <v>10.3999996185303</v>
      </c>
      <c r="K961">
        <v>83</v>
      </c>
      <c r="L961">
        <v>4.8200001716613796</v>
      </c>
      <c r="M961">
        <v>27.700000762939499</v>
      </c>
      <c r="N961">
        <v>15.199999809265099</v>
      </c>
      <c r="O961">
        <v>12.5</v>
      </c>
      <c r="P961">
        <v>21.799999237060501</v>
      </c>
      <c r="Q961">
        <v>20.899999618530298</v>
      </c>
      <c r="R961">
        <v>22.100000381469702</v>
      </c>
      <c r="S961">
        <v>20.799999237060501</v>
      </c>
      <c r="T961">
        <v>1923</v>
      </c>
      <c r="U961">
        <v>309</v>
      </c>
      <c r="V961">
        <v>75</v>
      </c>
      <c r="W961">
        <v>47</v>
      </c>
      <c r="X961">
        <v>823</v>
      </c>
      <c r="Y961">
        <v>260</v>
      </c>
      <c r="Z961">
        <v>441</v>
      </c>
      <c r="AA961">
        <v>299</v>
      </c>
      <c r="AB961">
        <v>14.6390325080322</v>
      </c>
      <c r="AC961">
        <v>6.9313194010217002E-2</v>
      </c>
      <c r="AD961">
        <v>5.8324431861850599</v>
      </c>
      <c r="AE961">
        <v>0.28653544187545799</v>
      </c>
      <c r="AF961">
        <v>1158.9086115993</v>
      </c>
      <c r="AG961">
        <f>IFERROR(AH961*0.1, "N/A")</f>
        <v>5.31045918367347</v>
      </c>
      <c r="AH961">
        <v>53.104591836734699</v>
      </c>
      <c r="AI961">
        <v>115.465629363102</v>
      </c>
      <c r="AJ961">
        <v>37.267857142857103</v>
      </c>
      <c r="AK961">
        <v>43.5229591836735</v>
      </c>
    </row>
    <row r="962" spans="1:37" x14ac:dyDescent="0.3">
      <c r="A962">
        <v>961</v>
      </c>
      <c r="B962">
        <v>16.700001</v>
      </c>
      <c r="C962">
        <v>32.575499999999998</v>
      </c>
      <c r="D962">
        <v>-0.32024999999999998</v>
      </c>
      <c r="E962" t="s">
        <v>1625</v>
      </c>
      <c r="F962" t="s">
        <v>1626</v>
      </c>
      <c r="G962" t="s">
        <v>37</v>
      </c>
      <c r="H962">
        <v>2009</v>
      </c>
      <c r="I962">
        <v>21.3015865447029</v>
      </c>
      <c r="J962">
        <v>10.1000003814697</v>
      </c>
      <c r="K962">
        <v>84</v>
      </c>
      <c r="L962">
        <v>4.9404762485039901</v>
      </c>
      <c r="M962">
        <v>27.102116781567801</v>
      </c>
      <c r="N962">
        <v>15.201587111861601</v>
      </c>
      <c r="O962">
        <v>11.9005287210777</v>
      </c>
      <c r="P962">
        <v>21.601587679020302</v>
      </c>
      <c r="Q962">
        <v>20.601587679020302</v>
      </c>
      <c r="R962">
        <v>21.8015865447029</v>
      </c>
      <c r="S962">
        <v>20.5015872975506</v>
      </c>
      <c r="T962">
        <v>2000.9841269841299</v>
      </c>
      <c r="U962">
        <v>308.01587301587301</v>
      </c>
      <c r="V962">
        <v>85</v>
      </c>
      <c r="W962">
        <v>45.005291005290999</v>
      </c>
      <c r="X962">
        <v>845.02645502645498</v>
      </c>
      <c r="Y962">
        <v>268.98412698412699</v>
      </c>
      <c r="Z962">
        <v>487</v>
      </c>
      <c r="AA962">
        <v>307.99470899470901</v>
      </c>
      <c r="AB962">
        <v>3.1827207427386499</v>
      </c>
      <c r="AC962">
        <v>0.23368307217508799</v>
      </c>
      <c r="AD962">
        <v>9.9583615836222599</v>
      </c>
      <c r="AE962">
        <v>0.25902545452117898</v>
      </c>
      <c r="AF962">
        <v>1143.42151675485</v>
      </c>
      <c r="AG962">
        <f>IFERROR(AH962*0.1, "N/A")</f>
        <v>5.3000000000000007</v>
      </c>
      <c r="AH962">
        <v>53</v>
      </c>
      <c r="AI962">
        <v>265.77206738453498</v>
      </c>
      <c r="AJ962">
        <v>39.171985815602802</v>
      </c>
      <c r="AK962">
        <v>39.343971631205697</v>
      </c>
    </row>
    <row r="963" spans="1:37" x14ac:dyDescent="0.3">
      <c r="A963">
        <v>962</v>
      </c>
      <c r="B963">
        <v>14.3</v>
      </c>
      <c r="C963">
        <v>32.199599999999997</v>
      </c>
      <c r="D963">
        <v>-0.31496000000000002</v>
      </c>
      <c r="E963" t="s">
        <v>1627</v>
      </c>
      <c r="F963" t="s">
        <v>1628</v>
      </c>
      <c r="G963" t="s">
        <v>37</v>
      </c>
      <c r="H963">
        <v>2010</v>
      </c>
      <c r="I963">
        <v>21.419047310238799</v>
      </c>
      <c r="J963">
        <v>10.3999996185303</v>
      </c>
      <c r="K963">
        <v>82</v>
      </c>
      <c r="L963">
        <v>5.0599999427795401</v>
      </c>
      <c r="M963">
        <v>27.619047891526002</v>
      </c>
      <c r="N963">
        <v>15.0190476008824</v>
      </c>
      <c r="O963">
        <v>12.6000003814697</v>
      </c>
      <c r="P963">
        <v>21.709524427141499</v>
      </c>
      <c r="Q963">
        <v>20.7190482729957</v>
      </c>
      <c r="R963">
        <v>22.019047691708501</v>
      </c>
      <c r="S963">
        <v>20.619047891526002</v>
      </c>
      <c r="T963">
        <v>1918.3333333333301</v>
      </c>
      <c r="U963">
        <v>307.28571428571399</v>
      </c>
      <c r="V963">
        <v>75.190476190476204</v>
      </c>
      <c r="W963">
        <v>47</v>
      </c>
      <c r="X963">
        <v>818.66666666666697</v>
      </c>
      <c r="Y963">
        <v>261.19047619047598</v>
      </c>
      <c r="Z963">
        <v>438.47619047619003</v>
      </c>
      <c r="AA963">
        <v>298.47619047619003</v>
      </c>
      <c r="AB963">
        <v>8.2671794050374796</v>
      </c>
      <c r="AC963">
        <v>0.11196469709382301</v>
      </c>
      <c r="AD963">
        <v>9.4636856403720895</v>
      </c>
      <c r="AE963">
        <v>0.229264199523488</v>
      </c>
      <c r="AF963">
        <v>1155.4426807760101</v>
      </c>
      <c r="AG963">
        <f>IFERROR(AH963*0.1, "N/A")</f>
        <v>5.2989417989418008</v>
      </c>
      <c r="AH963">
        <v>52.989417989418001</v>
      </c>
      <c r="AI963">
        <v>76.794084996353007</v>
      </c>
      <c r="AJ963">
        <v>35.5573192239859</v>
      </c>
      <c r="AK963">
        <v>43.389770723104</v>
      </c>
    </row>
    <row r="964" spans="1:37" x14ac:dyDescent="0.3">
      <c r="A964">
        <v>963</v>
      </c>
      <c r="B964">
        <v>16.700001</v>
      </c>
      <c r="C964">
        <v>32.237597999999998</v>
      </c>
      <c r="D964">
        <v>-0.30532999999999999</v>
      </c>
      <c r="E964" t="s">
        <v>1629</v>
      </c>
      <c r="F964" t="s">
        <v>1630</v>
      </c>
      <c r="G964" t="s">
        <v>37</v>
      </c>
      <c r="H964">
        <v>2010</v>
      </c>
      <c r="I964">
        <v>21.600000381469702</v>
      </c>
      <c r="J964">
        <v>10.3999996185303</v>
      </c>
      <c r="K964">
        <v>82</v>
      </c>
      <c r="L964">
        <v>5.2300000190734899</v>
      </c>
      <c r="M964">
        <v>27.799999237060501</v>
      </c>
      <c r="N964">
        <v>15.199999809265099</v>
      </c>
      <c r="O964">
        <v>12.6000003814697</v>
      </c>
      <c r="P964">
        <v>21.899999618530298</v>
      </c>
      <c r="Q964">
        <v>20.899999618530298</v>
      </c>
      <c r="R964">
        <v>22.200000762939499</v>
      </c>
      <c r="S964">
        <v>20.799999237060501</v>
      </c>
      <c r="T964">
        <v>1988</v>
      </c>
      <c r="U964">
        <v>315</v>
      </c>
      <c r="V964">
        <v>82</v>
      </c>
      <c r="W964">
        <v>46</v>
      </c>
      <c r="X964">
        <v>845</v>
      </c>
      <c r="Y964">
        <v>275</v>
      </c>
      <c r="Z964">
        <v>458</v>
      </c>
      <c r="AA964">
        <v>317</v>
      </c>
      <c r="AB964">
        <v>13.147828437912599</v>
      </c>
      <c r="AC964">
        <v>3.0112713339253E-2</v>
      </c>
      <c r="AD964">
        <v>7.9427432090463803</v>
      </c>
      <c r="AE964">
        <v>0.214017108082771</v>
      </c>
      <c r="AF964">
        <v>1155.61443661972</v>
      </c>
      <c r="AG964">
        <f>IFERROR(AH964*0.1, "N/A")</f>
        <v>5.6298245614035105</v>
      </c>
      <c r="AH964">
        <v>56.298245614035103</v>
      </c>
      <c r="AI964">
        <v>339.427790786179</v>
      </c>
      <c r="AJ964">
        <v>37.298245614035103</v>
      </c>
      <c r="AK964">
        <v>43.701754385964897</v>
      </c>
    </row>
    <row r="965" spans="1:37" x14ac:dyDescent="0.3">
      <c r="A965">
        <v>964</v>
      </c>
      <c r="B965">
        <v>22.200001</v>
      </c>
      <c r="C965">
        <v>32.141201000000002</v>
      </c>
      <c r="D965">
        <v>-0.30066599999999999</v>
      </c>
      <c r="E965" t="s">
        <v>1631</v>
      </c>
      <c r="F965" t="s">
        <v>1632</v>
      </c>
      <c r="G965" t="s">
        <v>37</v>
      </c>
      <c r="H965">
        <v>2009</v>
      </c>
      <c r="I965">
        <v>21.068070110521798</v>
      </c>
      <c r="J965">
        <v>10.5</v>
      </c>
      <c r="K965">
        <v>82</v>
      </c>
      <c r="L965">
        <v>5.19199986123202</v>
      </c>
      <c r="M965">
        <v>27.451052444859599</v>
      </c>
      <c r="N965">
        <v>14.6587722109075</v>
      </c>
      <c r="O965">
        <v>12.7922808630425</v>
      </c>
      <c r="P965">
        <v>21.3587713910822</v>
      </c>
      <c r="Q965">
        <v>20.458771625318001</v>
      </c>
      <c r="R965">
        <v>21.6680704919915</v>
      </c>
      <c r="S965">
        <v>20.3587713910822</v>
      </c>
      <c r="T965">
        <v>1781.5</v>
      </c>
      <c r="U965">
        <v>287.78947368421098</v>
      </c>
      <c r="V965">
        <v>63.433333333333302</v>
      </c>
      <c r="W965">
        <v>47.170175438596502</v>
      </c>
      <c r="X965">
        <v>762.95087719298203</v>
      </c>
      <c r="Y965">
        <v>236.69649122806999</v>
      </c>
      <c r="Z965">
        <v>401.82105263157899</v>
      </c>
      <c r="AA965">
        <v>263.39298245613998</v>
      </c>
      <c r="AB965">
        <v>68.218582099780704</v>
      </c>
      <c r="AC965">
        <v>1.2446710633996E-2</v>
      </c>
      <c r="AD965">
        <v>10.308132359856099</v>
      </c>
      <c r="AE965">
        <v>0.22356741130352001</v>
      </c>
      <c r="AF965">
        <v>1229.1842105263199</v>
      </c>
      <c r="AG965">
        <f>IFERROR(AH965*0.1, "N/A")</f>
        <v>5.3000000000000007</v>
      </c>
      <c r="AH965">
        <v>53</v>
      </c>
      <c r="AI965">
        <v>91.272048438222797</v>
      </c>
      <c r="AJ965">
        <v>38.407017543859602</v>
      </c>
      <c r="AK965">
        <v>43.659649122806997</v>
      </c>
    </row>
    <row r="966" spans="1:37" x14ac:dyDescent="0.3">
      <c r="A966">
        <v>965</v>
      </c>
      <c r="B966">
        <v>28.6</v>
      </c>
      <c r="C966">
        <v>32.079399000000002</v>
      </c>
      <c r="D966">
        <v>-0.26678000000000002</v>
      </c>
      <c r="E966" t="s">
        <v>1633</v>
      </c>
      <c r="F966" t="s">
        <v>1634</v>
      </c>
      <c r="G966" t="s">
        <v>37</v>
      </c>
      <c r="H966">
        <v>2010</v>
      </c>
      <c r="I966">
        <v>21.600000381469702</v>
      </c>
      <c r="J966">
        <v>10.6000003814697</v>
      </c>
      <c r="K966">
        <v>81.467372134038797</v>
      </c>
      <c r="L966">
        <v>5.0850089912481797</v>
      </c>
      <c r="M966">
        <v>28</v>
      </c>
      <c r="N966">
        <v>15.093474337663601</v>
      </c>
      <c r="O966">
        <v>12.906525662336399</v>
      </c>
      <c r="P966">
        <v>21.799999237060501</v>
      </c>
      <c r="Q966">
        <v>20.946737010222499</v>
      </c>
      <c r="R966">
        <v>22.200000762939499</v>
      </c>
      <c r="S966">
        <v>20.846736628752701</v>
      </c>
      <c r="T966">
        <v>1643.6737213403901</v>
      </c>
      <c r="U966">
        <v>270.93474426807802</v>
      </c>
      <c r="V966">
        <v>55.467372134038797</v>
      </c>
      <c r="W966">
        <v>49</v>
      </c>
      <c r="X966">
        <v>710.80423280423304</v>
      </c>
      <c r="Y966">
        <v>216.46737213403901</v>
      </c>
      <c r="Z966">
        <v>362.40211640211601</v>
      </c>
      <c r="AA966">
        <v>237.46737213403901</v>
      </c>
      <c r="AB966">
        <v>18.5353258997465</v>
      </c>
      <c r="AC966">
        <v>1.2346773283519999E-2</v>
      </c>
      <c r="AD966">
        <v>2.9026496954906098</v>
      </c>
      <c r="AE966">
        <v>0.39907637238502502</v>
      </c>
      <c r="AF966">
        <v>1154.3315696648999</v>
      </c>
      <c r="AG966">
        <f>IFERROR(AH966*0.1, "N/A")</f>
        <v>5.3000000000000007</v>
      </c>
      <c r="AH966">
        <v>53</v>
      </c>
      <c r="AI966">
        <v>165.84689030992101</v>
      </c>
      <c r="AJ966">
        <v>36.072310405643698</v>
      </c>
      <c r="AK966">
        <v>44.855379188712497</v>
      </c>
    </row>
    <row r="967" spans="1:37" x14ac:dyDescent="0.3">
      <c r="A967">
        <v>966</v>
      </c>
      <c r="B967">
        <v>69.199996999999996</v>
      </c>
      <c r="C967">
        <v>32.428500999999997</v>
      </c>
      <c r="D967">
        <v>-0.26246000000000003</v>
      </c>
      <c r="E967" t="s">
        <v>1635</v>
      </c>
      <c r="F967" t="s">
        <v>1636</v>
      </c>
      <c r="G967" t="s">
        <v>37</v>
      </c>
      <c r="H967">
        <v>2010</v>
      </c>
      <c r="I967">
        <v>21.600000381469702</v>
      </c>
      <c r="J967">
        <v>10.1000003814697</v>
      </c>
      <c r="K967">
        <v>83</v>
      </c>
      <c r="L967">
        <v>5</v>
      </c>
      <c r="M967">
        <v>27.600000381469702</v>
      </c>
      <c r="N967">
        <v>15.5</v>
      </c>
      <c r="O967">
        <v>12.1000003814697</v>
      </c>
      <c r="P967">
        <v>21.899999618530298</v>
      </c>
      <c r="Q967">
        <v>20.899999618530298</v>
      </c>
      <c r="R967">
        <v>22.200000762939499</v>
      </c>
      <c r="S967">
        <v>20.799999237060501</v>
      </c>
      <c r="T967">
        <v>2059</v>
      </c>
      <c r="U967">
        <v>324</v>
      </c>
      <c r="V967">
        <v>90</v>
      </c>
      <c r="W967">
        <v>45</v>
      </c>
      <c r="X967">
        <v>872</v>
      </c>
      <c r="Y967">
        <v>286</v>
      </c>
      <c r="Z967">
        <v>489</v>
      </c>
      <c r="AA967">
        <v>331</v>
      </c>
      <c r="AB967">
        <v>3.7712719298245601</v>
      </c>
      <c r="AC967">
        <v>1.6045812479824999E-2</v>
      </c>
      <c r="AD967">
        <v>1.8863018262804601</v>
      </c>
      <c r="AE967" t="s">
        <v>729</v>
      </c>
      <c r="AF967">
        <v>1133.58421052632</v>
      </c>
      <c r="AG967" t="str">
        <f>IFERROR(AH967*0.1, "N/A")</f>
        <v>N/A</v>
      </c>
      <c r="AH967" t="s">
        <v>729</v>
      </c>
      <c r="AI967">
        <v>266.82777153148999</v>
      </c>
      <c r="AJ967" t="s">
        <v>729</v>
      </c>
      <c r="AK967" t="s">
        <v>729</v>
      </c>
    </row>
    <row r="968" spans="1:37" x14ac:dyDescent="0.3">
      <c r="A968">
        <v>967</v>
      </c>
      <c r="B968">
        <v>73.300003000000004</v>
      </c>
      <c r="C968">
        <v>32.394100000000002</v>
      </c>
      <c r="D968">
        <v>-0.25940999999999997</v>
      </c>
      <c r="E968" t="s">
        <v>1637</v>
      </c>
      <c r="F968" t="s">
        <v>1638</v>
      </c>
      <c r="G968" t="s">
        <v>37</v>
      </c>
      <c r="H968">
        <v>2010</v>
      </c>
      <c r="I968">
        <v>21.600000381469702</v>
      </c>
      <c r="J968">
        <v>10.1000003814697</v>
      </c>
      <c r="K968">
        <v>82.049382716049394</v>
      </c>
      <c r="L968">
        <v>5.0886418789993098</v>
      </c>
      <c r="M968">
        <v>27.600000381469702</v>
      </c>
      <c r="N968">
        <v>15.404937908973199</v>
      </c>
      <c r="O968">
        <v>12.1950615659172</v>
      </c>
      <c r="P968">
        <v>21.899999618530298</v>
      </c>
      <c r="Q968">
        <v>20.899999618530298</v>
      </c>
      <c r="R968">
        <v>22.100000381469702</v>
      </c>
      <c r="S968">
        <v>20.804937527503501</v>
      </c>
      <c r="T968">
        <v>2075.4074074074101</v>
      </c>
      <c r="U968">
        <v>325.90123456790099</v>
      </c>
      <c r="V968">
        <v>91</v>
      </c>
      <c r="W968">
        <v>44.950617283950599</v>
      </c>
      <c r="X968">
        <v>876.70370370370404</v>
      </c>
      <c r="Y968">
        <v>291</v>
      </c>
      <c r="Z968">
        <v>491.753086419753</v>
      </c>
      <c r="AA968">
        <v>335.95061728395098</v>
      </c>
      <c r="AB968">
        <v>4.6213398282490097</v>
      </c>
      <c r="AC968">
        <v>1.8964895466096001E-2</v>
      </c>
      <c r="AD968">
        <v>3.6771012054759602</v>
      </c>
      <c r="AE968">
        <v>0.241228178143501</v>
      </c>
      <c r="AF968">
        <v>1133.87830687831</v>
      </c>
      <c r="AG968">
        <f>IFERROR(AH968*0.1, "N/A")</f>
        <v>6.4</v>
      </c>
      <c r="AH968">
        <v>64</v>
      </c>
      <c r="AI968">
        <v>229.77336831067601</v>
      </c>
      <c r="AJ968">
        <v>43</v>
      </c>
      <c r="AK968">
        <v>33</v>
      </c>
    </row>
    <row r="969" spans="1:37" x14ac:dyDescent="0.3">
      <c r="A969">
        <v>968</v>
      </c>
      <c r="B969">
        <v>56.299999</v>
      </c>
      <c r="C969">
        <v>32.066398999999997</v>
      </c>
      <c r="D969">
        <v>-0.25718299999999999</v>
      </c>
      <c r="E969" t="s">
        <v>1639</v>
      </c>
      <c r="F969" t="s">
        <v>1640</v>
      </c>
      <c r="G969" t="s">
        <v>37</v>
      </c>
      <c r="H969">
        <v>2009</v>
      </c>
      <c r="I969">
        <v>21.600000381469702</v>
      </c>
      <c r="J969">
        <v>10.6000003814697</v>
      </c>
      <c r="K969">
        <v>82</v>
      </c>
      <c r="L969">
        <v>4.8193310700671796</v>
      </c>
      <c r="M969">
        <v>28</v>
      </c>
      <c r="N969">
        <v>15.199999809265099</v>
      </c>
      <c r="O969">
        <v>12.800000190734901</v>
      </c>
      <c r="P969">
        <v>21.799999237060501</v>
      </c>
      <c r="Q969">
        <v>21</v>
      </c>
      <c r="R969">
        <v>22.200000762939499</v>
      </c>
      <c r="S969">
        <v>20.899999618530298</v>
      </c>
      <c r="T969">
        <v>1608.8239436619699</v>
      </c>
      <c r="U969">
        <v>265.26056338028201</v>
      </c>
      <c r="V969">
        <v>53.630281690140798</v>
      </c>
      <c r="W969">
        <v>49</v>
      </c>
      <c r="X969">
        <v>695.15140845070403</v>
      </c>
      <c r="Y969">
        <v>212.89084507042301</v>
      </c>
      <c r="Z969">
        <v>352.89084507042298</v>
      </c>
      <c r="AA969">
        <v>230.89084507042301</v>
      </c>
      <c r="AB969">
        <v>18.8454826247524</v>
      </c>
      <c r="AC969">
        <v>2.9510885936169001E-2</v>
      </c>
      <c r="AD969">
        <v>2.7291658449340899</v>
      </c>
      <c r="AE969">
        <v>0.37841060757637002</v>
      </c>
      <c r="AF969">
        <v>1151.3362676056299</v>
      </c>
      <c r="AG969">
        <f>IFERROR(AH969*0.1, "N/A")</f>
        <v>5.2878521126760605</v>
      </c>
      <c r="AH969">
        <v>52.878521126760603</v>
      </c>
      <c r="AI969">
        <v>169.723875260689</v>
      </c>
      <c r="AJ969">
        <v>38.297535211267601</v>
      </c>
      <c r="AK969">
        <v>42.713028169014102</v>
      </c>
    </row>
    <row r="970" spans="1:37" x14ac:dyDescent="0.3">
      <c r="A970">
        <v>969</v>
      </c>
      <c r="B970">
        <v>47.099997999999999</v>
      </c>
      <c r="C970">
        <v>32.067000999999998</v>
      </c>
      <c r="D970">
        <v>-0.24923000000000001</v>
      </c>
      <c r="E970" t="s">
        <v>1641</v>
      </c>
      <c r="F970" t="s">
        <v>1642</v>
      </c>
      <c r="G970" t="s">
        <v>37</v>
      </c>
      <c r="H970">
        <v>2010</v>
      </c>
      <c r="I970">
        <v>21.601582109823401</v>
      </c>
      <c r="J970">
        <v>10.6000003814697</v>
      </c>
      <c r="K970">
        <v>81.984182776801404</v>
      </c>
      <c r="L970">
        <v>5.2576451754109099</v>
      </c>
      <c r="M970">
        <v>28.003163456707298</v>
      </c>
      <c r="N970">
        <v>15.111423866191499</v>
      </c>
      <c r="O970">
        <v>12.8917395754313</v>
      </c>
      <c r="P970">
        <v>21.891739481572301</v>
      </c>
      <c r="Q970">
        <v>21</v>
      </c>
      <c r="R970">
        <v>22.2031641894778</v>
      </c>
      <c r="S970">
        <v>20.8114228307258</v>
      </c>
      <c r="T970">
        <v>1602.9121265377901</v>
      </c>
      <c r="U970">
        <v>264.165202108963</v>
      </c>
      <c r="V970">
        <v>53.984182776801397</v>
      </c>
      <c r="W970">
        <v>49</v>
      </c>
      <c r="X970">
        <v>691.49560632688895</v>
      </c>
      <c r="Y970">
        <v>214.854130052724</v>
      </c>
      <c r="Z970">
        <v>351.21616871704703</v>
      </c>
      <c r="AA970">
        <v>231.93673110720599</v>
      </c>
      <c r="AB970">
        <v>8.3648550774384898</v>
      </c>
      <c r="AC970">
        <v>2.1782560624274E-2</v>
      </c>
      <c r="AD970">
        <v>4.3180096358951197</v>
      </c>
      <c r="AE970">
        <v>0.28024867177009599</v>
      </c>
      <c r="AF970">
        <v>1138.17223198594</v>
      </c>
      <c r="AG970" t="str">
        <f>IFERROR(AH970*0.1, "N/A")</f>
        <v>N/A</v>
      </c>
      <c r="AH970" t="s">
        <v>729</v>
      </c>
      <c r="AI970">
        <v>152.72079013898201</v>
      </c>
      <c r="AJ970" t="s">
        <v>729</v>
      </c>
      <c r="AK970" t="s">
        <v>729</v>
      </c>
    </row>
    <row r="971" spans="1:37" x14ac:dyDescent="0.3">
      <c r="A971">
        <v>970</v>
      </c>
      <c r="B971">
        <v>52.900002000000001</v>
      </c>
      <c r="C971">
        <v>32.356400000000001</v>
      </c>
      <c r="D971">
        <v>-0.24035999999999999</v>
      </c>
      <c r="E971" t="s">
        <v>1643</v>
      </c>
      <c r="F971" t="s">
        <v>1644</v>
      </c>
      <c r="G971" t="s">
        <v>37</v>
      </c>
      <c r="H971">
        <v>2010</v>
      </c>
      <c r="I971">
        <v>21.5</v>
      </c>
      <c r="J971">
        <v>10.1000003814697</v>
      </c>
      <c r="K971">
        <v>82</v>
      </c>
      <c r="L971">
        <v>5.3099999427795401</v>
      </c>
      <c r="M971">
        <v>27.5</v>
      </c>
      <c r="N971">
        <v>15.300000190734901</v>
      </c>
      <c r="O971">
        <v>12.199999809265099</v>
      </c>
      <c r="P971">
        <v>21.899999618530298</v>
      </c>
      <c r="Q971">
        <v>20.799999237060501</v>
      </c>
      <c r="R971">
        <v>22.100000381469702</v>
      </c>
      <c r="S971">
        <v>20.700000762939499</v>
      </c>
      <c r="T971">
        <v>2035</v>
      </c>
      <c r="U971">
        <v>318</v>
      </c>
      <c r="V971">
        <v>89</v>
      </c>
      <c r="W971">
        <v>45</v>
      </c>
      <c r="X971">
        <v>857</v>
      </c>
      <c r="Y971">
        <v>289</v>
      </c>
      <c r="Z971">
        <v>473</v>
      </c>
      <c r="AA971">
        <v>331</v>
      </c>
      <c r="AB971">
        <v>8.9933208874533204</v>
      </c>
      <c r="AC971">
        <v>2.9849638599372001E-2</v>
      </c>
      <c r="AD971">
        <v>5.0629309334109696</v>
      </c>
      <c r="AE971">
        <v>0.26780506968498202</v>
      </c>
      <c r="AF971">
        <v>1139.4850615114201</v>
      </c>
      <c r="AG971">
        <f>IFERROR(AH971*0.1, "N/A")</f>
        <v>5.3408304498269903</v>
      </c>
      <c r="AH971">
        <v>53.408304498269899</v>
      </c>
      <c r="AI971">
        <v>71.618852652229606</v>
      </c>
      <c r="AJ971">
        <v>38.408304498269899</v>
      </c>
      <c r="AK971">
        <v>40.591695501730101</v>
      </c>
    </row>
    <row r="972" spans="1:37" x14ac:dyDescent="0.3">
      <c r="A972">
        <v>971</v>
      </c>
      <c r="B972">
        <v>50</v>
      </c>
      <c r="C972">
        <v>32.184699999999999</v>
      </c>
      <c r="D972">
        <v>-0.23807</v>
      </c>
      <c r="E972" t="s">
        <v>1645</v>
      </c>
      <c r="F972" t="s">
        <v>1646</v>
      </c>
      <c r="G972" t="s">
        <v>37</v>
      </c>
      <c r="H972">
        <v>2010</v>
      </c>
      <c r="I972">
        <v>21.600000381469702</v>
      </c>
      <c r="J972">
        <v>10.3999996185303</v>
      </c>
      <c r="K972">
        <v>82</v>
      </c>
      <c r="L972">
        <v>5.2699999809265101</v>
      </c>
      <c r="M972">
        <v>27.799999237060501</v>
      </c>
      <c r="N972">
        <v>15.199999809265099</v>
      </c>
      <c r="O972">
        <v>12.6000003814697</v>
      </c>
      <c r="P972">
        <v>21.899999618530298</v>
      </c>
      <c r="Q972">
        <v>20.899999618530298</v>
      </c>
      <c r="R972">
        <v>22.200000762939499</v>
      </c>
      <c r="S972">
        <v>20.799999237060501</v>
      </c>
      <c r="T972">
        <v>1802</v>
      </c>
      <c r="U972">
        <v>288</v>
      </c>
      <c r="V972">
        <v>70</v>
      </c>
      <c r="W972">
        <v>46</v>
      </c>
      <c r="X972">
        <v>763</v>
      </c>
      <c r="Y972">
        <v>252</v>
      </c>
      <c r="Z972">
        <v>403</v>
      </c>
      <c r="AA972">
        <v>282</v>
      </c>
      <c r="AB972">
        <v>17.900380953936502</v>
      </c>
      <c r="AC972">
        <v>1.0158018394321001E-2</v>
      </c>
      <c r="AD972">
        <v>5.6023915506584503</v>
      </c>
      <c r="AE972">
        <v>0.30536389350891102</v>
      </c>
      <c r="AF972">
        <v>1145.8204225352099</v>
      </c>
      <c r="AG972">
        <f>IFERROR(AH972*0.1, "N/A")</f>
        <v>5.2996478873239399</v>
      </c>
      <c r="AH972">
        <v>52.996478873239397</v>
      </c>
      <c r="AI972">
        <v>81.700454587667807</v>
      </c>
      <c r="AJ972">
        <v>37.003521126760603</v>
      </c>
      <c r="AK972">
        <v>44</v>
      </c>
    </row>
    <row r="973" spans="1:37" x14ac:dyDescent="0.3">
      <c r="A973">
        <v>972</v>
      </c>
      <c r="B973">
        <v>37.5</v>
      </c>
      <c r="C973">
        <v>32.575099999999999</v>
      </c>
      <c r="D973">
        <v>-0.23380000000000001</v>
      </c>
      <c r="E973" t="s">
        <v>1647</v>
      </c>
      <c r="F973" t="s">
        <v>1648</v>
      </c>
      <c r="G973" t="s">
        <v>37</v>
      </c>
      <c r="H973">
        <v>2009</v>
      </c>
      <c r="I973">
        <v>21.523901672899601</v>
      </c>
      <c r="J973">
        <v>10</v>
      </c>
      <c r="K973">
        <v>84</v>
      </c>
      <c r="L973">
        <v>5.0253075254403399</v>
      </c>
      <c r="M973">
        <v>27.4239012914299</v>
      </c>
      <c r="N973">
        <v>15.5239016728996</v>
      </c>
      <c r="O973">
        <v>11.8999996185303</v>
      </c>
      <c r="P973">
        <v>21.868540799052099</v>
      </c>
      <c r="Q973">
        <v>20.768541017609401</v>
      </c>
      <c r="R973">
        <v>22.052197035670499</v>
      </c>
      <c r="S973">
        <v>20.740245654838599</v>
      </c>
      <c r="T973">
        <v>1928.8664323374301</v>
      </c>
      <c r="U973">
        <v>299.98066783831302</v>
      </c>
      <c r="V973">
        <v>84</v>
      </c>
      <c r="W973">
        <v>45</v>
      </c>
      <c r="X973">
        <v>815.96133567662605</v>
      </c>
      <c r="Y973">
        <v>263.06326889279399</v>
      </c>
      <c r="Z973">
        <v>459.39543057996502</v>
      </c>
      <c r="AA973">
        <v>301.16344463971899</v>
      </c>
      <c r="AB973">
        <v>1.06538206076999</v>
      </c>
      <c r="AC973">
        <v>0.106674598984957</v>
      </c>
      <c r="AD973">
        <v>4.0467903102847904</v>
      </c>
      <c r="AE973">
        <v>0.27856761217117298</v>
      </c>
      <c r="AF973">
        <v>1136.5237258348</v>
      </c>
      <c r="AG973" t="str">
        <f>IFERROR(AH973*0.1, "N/A")</f>
        <v>N/A</v>
      </c>
      <c r="AH973" t="s">
        <v>729</v>
      </c>
      <c r="AI973">
        <v>200.77954069382301</v>
      </c>
      <c r="AJ973" t="s">
        <v>729</v>
      </c>
      <c r="AK973" t="s">
        <v>729</v>
      </c>
    </row>
    <row r="974" spans="1:37" x14ac:dyDescent="0.3">
      <c r="A974">
        <v>973</v>
      </c>
      <c r="B974">
        <v>0</v>
      </c>
      <c r="C974">
        <v>32.143101000000001</v>
      </c>
      <c r="D974">
        <v>-0.22986000000000001</v>
      </c>
      <c r="E974" t="s">
        <v>1649</v>
      </c>
      <c r="F974" t="s">
        <v>1650</v>
      </c>
      <c r="G974" t="s">
        <v>37</v>
      </c>
      <c r="H974">
        <v>2010</v>
      </c>
      <c r="I974">
        <v>21.600000381469702</v>
      </c>
      <c r="J974">
        <v>10.5</v>
      </c>
      <c r="K974">
        <v>82</v>
      </c>
      <c r="L974">
        <v>5.21000003814697</v>
      </c>
      <c r="M974">
        <v>28</v>
      </c>
      <c r="N974">
        <v>15.199999809265099</v>
      </c>
      <c r="O974">
        <v>12.800000190734901</v>
      </c>
      <c r="P974">
        <v>21.899999618530298</v>
      </c>
      <c r="Q974">
        <v>20.899999618530298</v>
      </c>
      <c r="R974">
        <v>22.200000762939499</v>
      </c>
      <c r="S974">
        <v>20.799999237060501</v>
      </c>
      <c r="T974">
        <v>1713</v>
      </c>
      <c r="U974">
        <v>276</v>
      </c>
      <c r="V974">
        <v>64</v>
      </c>
      <c r="W974">
        <v>47</v>
      </c>
      <c r="X974">
        <v>727</v>
      </c>
      <c r="Y974">
        <v>239</v>
      </c>
      <c r="Z974">
        <v>378</v>
      </c>
      <c r="AA974">
        <v>263</v>
      </c>
      <c r="AB974">
        <v>4.7406080946561904</v>
      </c>
      <c r="AC974">
        <v>7.4406315678949994E-2</v>
      </c>
      <c r="AD974">
        <v>4.67758487492328</v>
      </c>
      <c r="AE974">
        <v>0.229899287223816</v>
      </c>
      <c r="AF974">
        <v>1141.1862917398901</v>
      </c>
      <c r="AG974">
        <f>IFERROR(AH974*0.1, "N/A")</f>
        <v>5.1000000000000005</v>
      </c>
      <c r="AH974">
        <v>51</v>
      </c>
      <c r="AI974">
        <v>80.162444934275101</v>
      </c>
      <c r="AJ974">
        <v>36</v>
      </c>
      <c r="AK974">
        <v>45.161087866108801</v>
      </c>
    </row>
    <row r="975" spans="1:37" x14ac:dyDescent="0.3">
      <c r="A975">
        <v>974</v>
      </c>
      <c r="B975">
        <v>46.200001</v>
      </c>
      <c r="C975">
        <v>32.108001999999999</v>
      </c>
      <c r="D975">
        <v>-0.22819999999999999</v>
      </c>
      <c r="E975" t="s">
        <v>1651</v>
      </c>
      <c r="F975" t="s">
        <v>1652</v>
      </c>
      <c r="G975" t="s">
        <v>37</v>
      </c>
      <c r="H975">
        <v>2010</v>
      </c>
      <c r="I975">
        <v>21.600000381469702</v>
      </c>
      <c r="J975">
        <v>10.6000003814697</v>
      </c>
      <c r="K975">
        <v>82</v>
      </c>
      <c r="L975">
        <v>4.9071352025117498</v>
      </c>
      <c r="M975">
        <v>28</v>
      </c>
      <c r="N975">
        <v>15.199999809265099</v>
      </c>
      <c r="O975">
        <v>12.800000190734901</v>
      </c>
      <c r="P975">
        <v>21.888576024864999</v>
      </c>
      <c r="Q975">
        <v>21</v>
      </c>
      <c r="R975">
        <v>22.200000762939499</v>
      </c>
      <c r="S975">
        <v>20.888576024864999</v>
      </c>
      <c r="T975">
        <v>1639.5992970123</v>
      </c>
      <c r="U975">
        <v>266.22847100175699</v>
      </c>
      <c r="V975">
        <v>58.114235500878699</v>
      </c>
      <c r="W975">
        <v>47</v>
      </c>
      <c r="X975">
        <v>698.79964850615102</v>
      </c>
      <c r="Y975">
        <v>225.22847100175699</v>
      </c>
      <c r="Z975">
        <v>358.456942003515</v>
      </c>
      <c r="AA975">
        <v>244.34270650263599</v>
      </c>
      <c r="AB975">
        <v>10.8620466021117</v>
      </c>
      <c r="AC975">
        <v>1.0170218042100001E-2</v>
      </c>
      <c r="AD975">
        <v>1.0724767764968099</v>
      </c>
      <c r="AE975">
        <v>0.26921281338995101</v>
      </c>
      <c r="AF975">
        <v>1143.7680140597499</v>
      </c>
      <c r="AG975">
        <f>IFERROR(AH975*0.1, "N/A")</f>
        <v>5.2</v>
      </c>
      <c r="AH975">
        <v>52</v>
      </c>
      <c r="AI975">
        <v>94.241845189582307</v>
      </c>
      <c r="AJ975">
        <v>35.851724137931001</v>
      </c>
      <c r="AK975">
        <v>43.444827586206898</v>
      </c>
    </row>
    <row r="976" spans="1:37" x14ac:dyDescent="0.3">
      <c r="A976">
        <v>975</v>
      </c>
      <c r="B976">
        <v>5</v>
      </c>
      <c r="C976">
        <v>32.557301000000002</v>
      </c>
      <c r="D976">
        <v>-0.22756999999999999</v>
      </c>
      <c r="E976" t="s">
        <v>1653</v>
      </c>
      <c r="F976" t="s">
        <v>1654</v>
      </c>
      <c r="G976" t="s">
        <v>37</v>
      </c>
      <c r="H976">
        <v>2010</v>
      </c>
      <c r="I976">
        <v>21.600000381469702</v>
      </c>
      <c r="J976">
        <v>10</v>
      </c>
      <c r="K976">
        <v>84</v>
      </c>
      <c r="L976">
        <v>4.8000001907348597</v>
      </c>
      <c r="M976">
        <v>27.5</v>
      </c>
      <c r="N976">
        <v>15.6000003814697</v>
      </c>
      <c r="O976">
        <v>11.8999996185303</v>
      </c>
      <c r="P976">
        <v>21.899999618530298</v>
      </c>
      <c r="Q976">
        <v>20.899999618530298</v>
      </c>
      <c r="R976">
        <v>22.100000381469702</v>
      </c>
      <c r="S976">
        <v>20.799999237060501</v>
      </c>
      <c r="T976">
        <v>1938</v>
      </c>
      <c r="U976">
        <v>303</v>
      </c>
      <c r="V976">
        <v>84</v>
      </c>
      <c r="W976">
        <v>45</v>
      </c>
      <c r="X976">
        <v>822</v>
      </c>
      <c r="Y976">
        <v>264</v>
      </c>
      <c r="Z976">
        <v>460</v>
      </c>
      <c r="AA976">
        <v>303</v>
      </c>
      <c r="AB976">
        <v>6.8210190868882297</v>
      </c>
      <c r="AC976">
        <v>2.2763956868708999E-2</v>
      </c>
      <c r="AD976">
        <v>2.0878530982520398</v>
      </c>
      <c r="AE976" t="s">
        <v>729</v>
      </c>
      <c r="AF976">
        <v>1134.7442680776001</v>
      </c>
      <c r="AG976" t="str">
        <f>IFERROR(AH976*0.1, "N/A")</f>
        <v>N/A</v>
      </c>
      <c r="AH976" t="s">
        <v>729</v>
      </c>
      <c r="AI976">
        <v>298.69444708176599</v>
      </c>
      <c r="AJ976" t="s">
        <v>729</v>
      </c>
      <c r="AK976" t="s">
        <v>729</v>
      </c>
    </row>
    <row r="977" spans="1:37" x14ac:dyDescent="0.3">
      <c r="A977">
        <v>976</v>
      </c>
      <c r="B977">
        <v>57.099997999999999</v>
      </c>
      <c r="C977">
        <v>32.307597999999999</v>
      </c>
      <c r="D977">
        <v>-0.22574</v>
      </c>
      <c r="E977" t="s">
        <v>1655</v>
      </c>
      <c r="F977" t="s">
        <v>1656</v>
      </c>
      <c r="G977" t="s">
        <v>37</v>
      </c>
      <c r="H977">
        <v>2010</v>
      </c>
      <c r="I977">
        <v>21.600000381469702</v>
      </c>
      <c r="J977">
        <v>10.199999809265099</v>
      </c>
      <c r="K977">
        <v>82.240773286467501</v>
      </c>
      <c r="L977">
        <v>4.94388400314143</v>
      </c>
      <c r="M977">
        <v>27.600000381469702</v>
      </c>
      <c r="N977">
        <v>15.32407738161</v>
      </c>
      <c r="O977">
        <v>12.275922770240401</v>
      </c>
      <c r="P977">
        <v>21.899999618530298</v>
      </c>
      <c r="Q977">
        <v>20.899999618530298</v>
      </c>
      <c r="R977">
        <v>22.100000381469702</v>
      </c>
      <c r="S977">
        <v>20.824076657555</v>
      </c>
      <c r="T977">
        <v>1977.6485061511401</v>
      </c>
      <c r="U977">
        <v>308.48154657293497</v>
      </c>
      <c r="V977">
        <v>84.240773286467501</v>
      </c>
      <c r="W977">
        <v>45</v>
      </c>
      <c r="X977">
        <v>832.96309314586995</v>
      </c>
      <c r="Y977">
        <v>280.722319859403</v>
      </c>
      <c r="Z977">
        <v>453.72231985940198</v>
      </c>
      <c r="AA977">
        <v>320.48154657293497</v>
      </c>
      <c r="AB977">
        <v>6.1764669032842701</v>
      </c>
      <c r="AC977">
        <v>1.6044009056249999E-2</v>
      </c>
      <c r="AD977">
        <v>3.5595249702306102</v>
      </c>
      <c r="AE977">
        <v>0.242063328623772</v>
      </c>
      <c r="AF977">
        <v>1135.51845342707</v>
      </c>
      <c r="AG977">
        <f>IFERROR(AH977*0.1, "N/A")</f>
        <v>5.3000000000000007</v>
      </c>
      <c r="AH977">
        <v>53</v>
      </c>
      <c r="AI977">
        <v>35.870037336969602</v>
      </c>
      <c r="AJ977">
        <v>37</v>
      </c>
      <c r="AK977">
        <v>42</v>
      </c>
    </row>
    <row r="978" spans="1:37" x14ac:dyDescent="0.3">
      <c r="A978">
        <v>977</v>
      </c>
      <c r="B978">
        <v>68.800003000000004</v>
      </c>
      <c r="C978">
        <v>32.077499000000003</v>
      </c>
      <c r="D978">
        <v>-0.22048000000000001</v>
      </c>
      <c r="E978" t="s">
        <v>1657</v>
      </c>
      <c r="F978" t="s">
        <v>1658</v>
      </c>
      <c r="G978" t="s">
        <v>37</v>
      </c>
      <c r="H978">
        <v>2010</v>
      </c>
      <c r="I978">
        <v>21.600000381469702</v>
      </c>
      <c r="J978">
        <v>10.6000003814697</v>
      </c>
      <c r="K978">
        <v>82</v>
      </c>
      <c r="L978">
        <v>4.9400000572204599</v>
      </c>
      <c r="M978">
        <v>28</v>
      </c>
      <c r="N978">
        <v>15.199999809265099</v>
      </c>
      <c r="O978">
        <v>12.800000190734901</v>
      </c>
      <c r="P978">
        <v>21.899999618530298</v>
      </c>
      <c r="Q978">
        <v>21</v>
      </c>
      <c r="R978">
        <v>22.200000762939499</v>
      </c>
      <c r="S978">
        <v>20.899999618530298</v>
      </c>
      <c r="T978">
        <v>1584</v>
      </c>
      <c r="U978">
        <v>259</v>
      </c>
      <c r="V978">
        <v>54</v>
      </c>
      <c r="W978">
        <v>48</v>
      </c>
      <c r="X978">
        <v>677</v>
      </c>
      <c r="Y978">
        <v>216</v>
      </c>
      <c r="Z978">
        <v>345</v>
      </c>
      <c r="AA978">
        <v>231</v>
      </c>
      <c r="AB978">
        <v>14.005821683114</v>
      </c>
      <c r="AC978">
        <v>1.5221071903380999E-2</v>
      </c>
      <c r="AD978">
        <v>4.95371920769675</v>
      </c>
      <c r="AE978">
        <v>0.33961266279220598</v>
      </c>
      <c r="AF978">
        <v>1145.56666666667</v>
      </c>
      <c r="AG978">
        <f>IFERROR(AH978*0.1, "N/A")</f>
        <v>6.4747368421052602</v>
      </c>
      <c r="AH978">
        <v>64.747368421052599</v>
      </c>
      <c r="AI978">
        <v>86.552351566783202</v>
      </c>
      <c r="AJ978">
        <v>43.126315789473701</v>
      </c>
      <c r="AK978">
        <v>37.747368421052599</v>
      </c>
    </row>
    <row r="979" spans="1:37" x14ac:dyDescent="0.3">
      <c r="A979">
        <v>978</v>
      </c>
      <c r="B979">
        <v>46.900002000000001</v>
      </c>
      <c r="C979">
        <v>32.331099999999999</v>
      </c>
      <c r="D979">
        <v>-0.19813</v>
      </c>
      <c r="E979" t="s">
        <v>1659</v>
      </c>
      <c r="F979" t="s">
        <v>1660</v>
      </c>
      <c r="G979" t="s">
        <v>37</v>
      </c>
      <c r="H979">
        <v>2010</v>
      </c>
      <c r="I979">
        <v>21.5</v>
      </c>
      <c r="J979">
        <v>10.199999809265099</v>
      </c>
      <c r="K979">
        <v>83</v>
      </c>
      <c r="L979">
        <v>5.1500000953674299</v>
      </c>
      <c r="M979">
        <v>27.600000381469702</v>
      </c>
      <c r="N979">
        <v>15.3999996185303</v>
      </c>
      <c r="O979">
        <v>12.199999809265099</v>
      </c>
      <c r="P979">
        <v>21.899999618530298</v>
      </c>
      <c r="Q979">
        <v>20.799999237060501</v>
      </c>
      <c r="R979">
        <v>22.100000381469702</v>
      </c>
      <c r="S979">
        <v>20.700000762939499</v>
      </c>
      <c r="T979">
        <v>1930</v>
      </c>
      <c r="U979">
        <v>302</v>
      </c>
      <c r="V979">
        <v>83</v>
      </c>
      <c r="W979">
        <v>45</v>
      </c>
      <c r="X979">
        <v>812</v>
      </c>
      <c r="Y979">
        <v>277</v>
      </c>
      <c r="Z979">
        <v>629</v>
      </c>
      <c r="AA979">
        <v>313</v>
      </c>
      <c r="AB979">
        <v>6.5269239053575303</v>
      </c>
      <c r="AC979">
        <v>1.5458160274790999E-2</v>
      </c>
      <c r="AD979">
        <v>1.8474687528526399</v>
      </c>
      <c r="AE979">
        <v>0.27018090867828598</v>
      </c>
      <c r="AF979">
        <v>1135.6889279437601</v>
      </c>
      <c r="AG979">
        <f>IFERROR(AH979*0.1, "N/A")</f>
        <v>5.3000000000000007</v>
      </c>
      <c r="AH979">
        <v>53</v>
      </c>
      <c r="AI979">
        <v>93.272846959387294</v>
      </c>
      <c r="AJ979">
        <v>38.804407713498598</v>
      </c>
      <c r="AK979">
        <v>42.195592286501402</v>
      </c>
    </row>
    <row r="980" spans="1:37" x14ac:dyDescent="0.3">
      <c r="A980">
        <v>979</v>
      </c>
      <c r="B980">
        <v>30.799999</v>
      </c>
      <c r="C980">
        <v>32.259602000000001</v>
      </c>
      <c r="D980">
        <v>-0.19225</v>
      </c>
      <c r="E980" t="s">
        <v>1661</v>
      </c>
      <c r="F980" t="s">
        <v>1662</v>
      </c>
      <c r="G980" t="s">
        <v>37</v>
      </c>
      <c r="H980">
        <v>2010</v>
      </c>
      <c r="I980">
        <v>21.600000381469702</v>
      </c>
      <c r="J980">
        <v>10.300000190734901</v>
      </c>
      <c r="K980">
        <v>83</v>
      </c>
      <c r="L980">
        <v>5.0100002288818404</v>
      </c>
      <c r="M980">
        <v>27.700000762939499</v>
      </c>
      <c r="N980">
        <v>15.300000190734901</v>
      </c>
      <c r="O980">
        <v>12.3999996185303</v>
      </c>
      <c r="P980">
        <v>21.899999618530298</v>
      </c>
      <c r="Q980">
        <v>20.899999618530298</v>
      </c>
      <c r="R980">
        <v>22.100000381469702</v>
      </c>
      <c r="S980">
        <v>20.799999237060501</v>
      </c>
      <c r="T980">
        <v>1854</v>
      </c>
      <c r="U980">
        <v>290</v>
      </c>
      <c r="V980">
        <v>77</v>
      </c>
      <c r="W980">
        <v>45</v>
      </c>
      <c r="X980">
        <v>778</v>
      </c>
      <c r="Y980">
        <v>267</v>
      </c>
      <c r="Z980">
        <v>415</v>
      </c>
      <c r="AA980">
        <v>299</v>
      </c>
      <c r="AB980">
        <v>8.1533456721776005</v>
      </c>
      <c r="AC980">
        <v>1.2626078365121E-2</v>
      </c>
      <c r="AD980">
        <v>3.17097596467381</v>
      </c>
      <c r="AE980" t="s">
        <v>729</v>
      </c>
      <c r="AF980">
        <v>1136.2112676056299</v>
      </c>
      <c r="AG980">
        <f>IFERROR(AH980*0.1, "N/A")</f>
        <v>5.7</v>
      </c>
      <c r="AH980">
        <v>57</v>
      </c>
      <c r="AI980">
        <v>187.055695386</v>
      </c>
      <c r="AJ980">
        <v>42</v>
      </c>
      <c r="AK980">
        <v>39</v>
      </c>
    </row>
    <row r="981" spans="1:37" x14ac:dyDescent="0.3">
      <c r="A981">
        <v>980</v>
      </c>
      <c r="B981">
        <v>66.699996999999996</v>
      </c>
      <c r="C981">
        <v>32.302199999999999</v>
      </c>
      <c r="D981">
        <v>-0.18953999999999999</v>
      </c>
      <c r="E981" t="s">
        <v>1663</v>
      </c>
      <c r="F981" t="s">
        <v>1664</v>
      </c>
      <c r="G981" t="s">
        <v>37</v>
      </c>
      <c r="H981">
        <v>2010</v>
      </c>
      <c r="I981">
        <v>21.600000381469702</v>
      </c>
      <c r="J981">
        <v>10.199999809265099</v>
      </c>
      <c r="K981">
        <v>82</v>
      </c>
      <c r="L981">
        <v>4.9699997901916504</v>
      </c>
      <c r="M981">
        <v>27.700000762939499</v>
      </c>
      <c r="N981">
        <v>15.3999996185303</v>
      </c>
      <c r="O981">
        <v>12.300000190734901</v>
      </c>
      <c r="P981">
        <v>21.899999618530298</v>
      </c>
      <c r="Q981">
        <v>20.899999618530298</v>
      </c>
      <c r="R981">
        <v>22.100000381469702</v>
      </c>
      <c r="S981">
        <v>20.799999237060501</v>
      </c>
      <c r="T981">
        <v>1887</v>
      </c>
      <c r="U981">
        <v>295</v>
      </c>
      <c r="V981">
        <v>80</v>
      </c>
      <c r="W981">
        <v>45</v>
      </c>
      <c r="X981">
        <v>794</v>
      </c>
      <c r="Y981">
        <v>271</v>
      </c>
      <c r="Z981">
        <v>426</v>
      </c>
      <c r="AA981">
        <v>306</v>
      </c>
      <c r="AB981">
        <v>5.3954086034120996</v>
      </c>
      <c r="AC981">
        <v>3.8691678943355998E-2</v>
      </c>
      <c r="AD981">
        <v>1.4483813142186801</v>
      </c>
      <c r="AE981">
        <v>0.30253233284074099</v>
      </c>
      <c r="AF981">
        <v>1133.9681978798601</v>
      </c>
      <c r="AG981" t="str">
        <f>IFERROR(AH981*0.1, "N/A")</f>
        <v>N/A</v>
      </c>
      <c r="AH981" t="s">
        <v>729</v>
      </c>
      <c r="AI981">
        <v>91.0042628888107</v>
      </c>
      <c r="AJ981" t="s">
        <v>729</v>
      </c>
      <c r="AK981" t="s">
        <v>729</v>
      </c>
    </row>
    <row r="982" spans="1:37" x14ac:dyDescent="0.3">
      <c r="A982">
        <v>981</v>
      </c>
      <c r="B982">
        <v>75</v>
      </c>
      <c r="C982">
        <v>32.293799999999997</v>
      </c>
      <c r="D982">
        <v>-0.17993000000000001</v>
      </c>
      <c r="E982" t="s">
        <v>1665</v>
      </c>
      <c r="F982" t="s">
        <v>1666</v>
      </c>
      <c r="G982" t="s">
        <v>37</v>
      </c>
      <c r="H982">
        <v>2010</v>
      </c>
      <c r="I982">
        <v>21.600000381469702</v>
      </c>
      <c r="J982">
        <v>10.199999809265099</v>
      </c>
      <c r="K982">
        <v>82</v>
      </c>
      <c r="L982">
        <v>5.0799999237060502</v>
      </c>
      <c r="M982">
        <v>27.700000762939499</v>
      </c>
      <c r="N982">
        <v>15.3999996185303</v>
      </c>
      <c r="O982">
        <v>12.300000190734901</v>
      </c>
      <c r="P982">
        <v>21.899999618530298</v>
      </c>
      <c r="Q982">
        <v>20.899999618530298</v>
      </c>
      <c r="R982">
        <v>22.200000762939499</v>
      </c>
      <c r="S982">
        <v>20.799999237060501</v>
      </c>
      <c r="T982">
        <v>1862</v>
      </c>
      <c r="U982">
        <v>291</v>
      </c>
      <c r="V982">
        <v>78</v>
      </c>
      <c r="W982">
        <v>45</v>
      </c>
      <c r="X982">
        <v>782</v>
      </c>
      <c r="Y982">
        <v>268</v>
      </c>
      <c r="Z982">
        <v>418</v>
      </c>
      <c r="AA982">
        <v>300</v>
      </c>
      <c r="AB982">
        <v>7.4516047088193202</v>
      </c>
      <c r="AC982">
        <v>8.5478157664220008E-3</v>
      </c>
      <c r="AD982">
        <v>1.1212543987892001</v>
      </c>
      <c r="AE982">
        <v>0.142502412199974</v>
      </c>
      <c r="AF982">
        <v>1137.23943661972</v>
      </c>
      <c r="AG982">
        <f>IFERROR(AH982*0.1, "N/A")</f>
        <v>5.6000000000000005</v>
      </c>
      <c r="AH982">
        <v>56</v>
      </c>
      <c r="AI982">
        <v>170.70943340113499</v>
      </c>
      <c r="AJ982">
        <v>40</v>
      </c>
      <c r="AK982">
        <v>39</v>
      </c>
    </row>
    <row r="983" spans="1:37" x14ac:dyDescent="0.3">
      <c r="A983">
        <v>982</v>
      </c>
      <c r="B983">
        <v>73.300003000000004</v>
      </c>
      <c r="C983">
        <v>32.271197999999998</v>
      </c>
      <c r="D983">
        <v>-0.16808000000000001</v>
      </c>
      <c r="E983" t="s">
        <v>1667</v>
      </c>
      <c r="F983" t="s">
        <v>1668</v>
      </c>
      <c r="G983" t="s">
        <v>37</v>
      </c>
      <c r="H983">
        <v>2010</v>
      </c>
      <c r="I983">
        <v>21.600000381469702</v>
      </c>
      <c r="J983">
        <v>10.300000190734901</v>
      </c>
      <c r="K983">
        <v>83</v>
      </c>
      <c r="L983">
        <v>5.0999999046325701</v>
      </c>
      <c r="M983">
        <v>27.700000762939499</v>
      </c>
      <c r="N983">
        <v>15.300000190734901</v>
      </c>
      <c r="O983">
        <v>12.3999996185303</v>
      </c>
      <c r="P983">
        <v>21.899999618530298</v>
      </c>
      <c r="Q983">
        <v>20.899999618530298</v>
      </c>
      <c r="R983">
        <v>22.100000381469702</v>
      </c>
      <c r="S983">
        <v>20.799999237060501</v>
      </c>
      <c r="T983">
        <v>1816</v>
      </c>
      <c r="U983">
        <v>284</v>
      </c>
      <c r="V983">
        <v>75</v>
      </c>
      <c r="W983">
        <v>45</v>
      </c>
      <c r="X983">
        <v>760</v>
      </c>
      <c r="Y983">
        <v>263</v>
      </c>
      <c r="Z983">
        <v>404</v>
      </c>
      <c r="AA983">
        <v>292</v>
      </c>
      <c r="AB983">
        <v>5.3705318390377004</v>
      </c>
      <c r="AC983">
        <v>6.0452836790702E-2</v>
      </c>
      <c r="AD983">
        <v>3.2680837352229601</v>
      </c>
      <c r="AE983">
        <v>0.29658856987953203</v>
      </c>
      <c r="AF983">
        <v>1135.09347442681</v>
      </c>
      <c r="AG983" t="str">
        <f>IFERROR(AH983*0.1, "N/A")</f>
        <v>N/A</v>
      </c>
      <c r="AH983" t="s">
        <v>729</v>
      </c>
      <c r="AI983">
        <v>262.555462011374</v>
      </c>
      <c r="AJ983" t="s">
        <v>729</v>
      </c>
      <c r="AK983" t="s">
        <v>729</v>
      </c>
    </row>
    <row r="984" spans="1:37" x14ac:dyDescent="0.3">
      <c r="A984">
        <v>983</v>
      </c>
      <c r="B984">
        <v>60</v>
      </c>
      <c r="C984">
        <v>33.681801</v>
      </c>
      <c r="D984">
        <v>-0.119425</v>
      </c>
      <c r="E984" t="s">
        <v>1669</v>
      </c>
      <c r="F984" t="s">
        <v>1670</v>
      </c>
      <c r="G984" t="s">
        <v>37</v>
      </c>
      <c r="H984">
        <v>1968</v>
      </c>
      <c r="I984">
        <v>22.299999237060501</v>
      </c>
      <c r="J984">
        <v>11.800000190734901</v>
      </c>
      <c r="K984">
        <v>85</v>
      </c>
      <c r="L984">
        <v>5.9099998474121103</v>
      </c>
      <c r="M984">
        <v>29.399999618530298</v>
      </c>
      <c r="N984">
        <v>15.6000003814697</v>
      </c>
      <c r="O984">
        <v>13.800000190734901</v>
      </c>
      <c r="P984">
        <v>22.600000381469702</v>
      </c>
      <c r="Q984">
        <v>21.399999618530298</v>
      </c>
      <c r="R984">
        <v>23</v>
      </c>
      <c r="S984">
        <v>21.399999618530298</v>
      </c>
      <c r="T984">
        <v>1173</v>
      </c>
      <c r="U984">
        <v>193</v>
      </c>
      <c r="V984">
        <v>40</v>
      </c>
      <c r="W984">
        <v>50</v>
      </c>
      <c r="X984">
        <v>500</v>
      </c>
      <c r="Y984">
        <v>139</v>
      </c>
      <c r="Z984">
        <v>301</v>
      </c>
      <c r="AA984">
        <v>139</v>
      </c>
      <c r="AB984">
        <v>14.2449608518366</v>
      </c>
      <c r="AC984">
        <v>8.5478387773039993E-3</v>
      </c>
      <c r="AD984">
        <v>1.5093975107920801</v>
      </c>
      <c r="AE984">
        <v>0.379217028617859</v>
      </c>
      <c r="AF984">
        <v>1153.78947368421</v>
      </c>
      <c r="AG984">
        <f>IFERROR(AH984*0.1, "N/A")</f>
        <v>5.6931578947368404</v>
      </c>
      <c r="AH984">
        <v>56.931578947368401</v>
      </c>
      <c r="AI984">
        <v>119.061605681035</v>
      </c>
      <c r="AJ984">
        <v>35.557894736842101</v>
      </c>
      <c r="AK984">
        <v>47.8052631578947</v>
      </c>
    </row>
    <row r="985" spans="1:37" x14ac:dyDescent="0.3">
      <c r="A985">
        <v>984</v>
      </c>
      <c r="B985">
        <v>0</v>
      </c>
      <c r="C985">
        <v>33.681801</v>
      </c>
      <c r="D985">
        <v>-0.119425</v>
      </c>
      <c r="E985" t="s">
        <v>1669</v>
      </c>
      <c r="F985" t="s">
        <v>1671</v>
      </c>
      <c r="G985" t="s">
        <v>39</v>
      </c>
      <c r="H985">
        <v>1968</v>
      </c>
      <c r="I985">
        <v>22.299999237060501</v>
      </c>
      <c r="J985">
        <v>11.800000190734901</v>
      </c>
      <c r="K985">
        <v>85</v>
      </c>
      <c r="L985">
        <v>5.9099998474121103</v>
      </c>
      <c r="M985">
        <v>29.399999618530298</v>
      </c>
      <c r="N985">
        <v>15.6000003814697</v>
      </c>
      <c r="O985">
        <v>13.800000190734901</v>
      </c>
      <c r="P985">
        <v>22.600000381469702</v>
      </c>
      <c r="Q985">
        <v>21.399999618530298</v>
      </c>
      <c r="R985">
        <v>23</v>
      </c>
      <c r="S985">
        <v>21.399999618530298</v>
      </c>
      <c r="T985">
        <v>1173</v>
      </c>
      <c r="U985">
        <v>193</v>
      </c>
      <c r="V985">
        <v>40</v>
      </c>
      <c r="W985">
        <v>50</v>
      </c>
      <c r="X985">
        <v>500</v>
      </c>
      <c r="Y985">
        <v>139</v>
      </c>
      <c r="Z985">
        <v>301</v>
      </c>
      <c r="AA985">
        <v>139</v>
      </c>
      <c r="AB985">
        <v>14.2449608518366</v>
      </c>
      <c r="AC985">
        <v>8.5478387773039993E-3</v>
      </c>
      <c r="AD985">
        <v>1.5093975107920801</v>
      </c>
      <c r="AE985">
        <v>0.379217028617859</v>
      </c>
      <c r="AF985">
        <v>1153.78947368421</v>
      </c>
      <c r="AG985">
        <f>IFERROR(AH985*0.1, "N/A")</f>
        <v>5.6931578947368404</v>
      </c>
      <c r="AH985">
        <v>56.931578947368401</v>
      </c>
      <c r="AI985">
        <v>119.061605681035</v>
      </c>
      <c r="AJ985">
        <v>35.557894736842101</v>
      </c>
      <c r="AK985">
        <v>47.8052631578947</v>
      </c>
    </row>
    <row r="986" spans="1:37" x14ac:dyDescent="0.3">
      <c r="A986">
        <v>985</v>
      </c>
      <c r="B986">
        <v>44.400002000000001</v>
      </c>
      <c r="C986">
        <v>32.652199000000003</v>
      </c>
      <c r="D986">
        <v>-8.6830000000000004E-2</v>
      </c>
      <c r="E986" t="s">
        <v>1672</v>
      </c>
      <c r="F986" t="s">
        <v>1673</v>
      </c>
      <c r="G986" t="s">
        <v>37</v>
      </c>
      <c r="H986">
        <v>2009</v>
      </c>
      <c r="I986">
        <v>21.5</v>
      </c>
      <c r="J986">
        <v>10</v>
      </c>
      <c r="K986">
        <v>83</v>
      </c>
      <c r="L986">
        <v>5.4200000762939498</v>
      </c>
      <c r="M986">
        <v>27.5</v>
      </c>
      <c r="N986">
        <v>15.5</v>
      </c>
      <c r="O986">
        <v>12</v>
      </c>
      <c r="P986">
        <v>21.899999618530298</v>
      </c>
      <c r="Q986">
        <v>20.799999237060501</v>
      </c>
      <c r="R986">
        <v>22.100000381469702</v>
      </c>
      <c r="S986">
        <v>20.700000762939499</v>
      </c>
      <c r="T986">
        <v>1739</v>
      </c>
      <c r="U986">
        <v>267</v>
      </c>
      <c r="V986">
        <v>77</v>
      </c>
      <c r="W986">
        <v>44</v>
      </c>
      <c r="X986">
        <v>721</v>
      </c>
      <c r="Y986">
        <v>247</v>
      </c>
      <c r="Z986">
        <v>402</v>
      </c>
      <c r="AA986">
        <v>272</v>
      </c>
      <c r="AB986">
        <v>5.1292630047865302</v>
      </c>
      <c r="AC986">
        <v>1.2234858781571999E-2</v>
      </c>
      <c r="AD986">
        <v>0.88102220607475501</v>
      </c>
      <c r="AE986" t="s">
        <v>729</v>
      </c>
      <c r="AF986">
        <v>1132.49295774648</v>
      </c>
      <c r="AG986" t="str">
        <f>IFERROR(AH986*0.1, "N/A")</f>
        <v>N/A</v>
      </c>
      <c r="AH986" t="s">
        <v>729</v>
      </c>
      <c r="AI986">
        <v>69.149089638616005</v>
      </c>
      <c r="AJ986" t="s">
        <v>729</v>
      </c>
      <c r="AK986" t="s">
        <v>729</v>
      </c>
    </row>
    <row r="987" spans="1:37" x14ac:dyDescent="0.3">
      <c r="A987">
        <v>986</v>
      </c>
      <c r="B987">
        <v>63.200001</v>
      </c>
      <c r="C987">
        <v>32.662300000000002</v>
      </c>
      <c r="D987">
        <v>-2.5221E-2</v>
      </c>
      <c r="E987" t="s">
        <v>1674</v>
      </c>
      <c r="F987" t="s">
        <v>1675</v>
      </c>
      <c r="G987" t="s">
        <v>37</v>
      </c>
      <c r="H987">
        <v>1970</v>
      </c>
      <c r="I987">
        <v>21.5</v>
      </c>
      <c r="J987">
        <v>10.1000003814697</v>
      </c>
      <c r="K987">
        <v>84</v>
      </c>
      <c r="L987">
        <v>5.3389613124686202</v>
      </c>
      <c r="M987">
        <v>27.5</v>
      </c>
      <c r="N987">
        <v>15.5455987654941</v>
      </c>
      <c r="O987">
        <v>11.9544012345059</v>
      </c>
      <c r="P987">
        <v>21.799999237060501</v>
      </c>
      <c r="Q987">
        <v>20.700000762939499</v>
      </c>
      <c r="R987">
        <v>22</v>
      </c>
      <c r="S987">
        <v>20.700000762939499</v>
      </c>
      <c r="T987">
        <v>1669.89612676056</v>
      </c>
      <c r="U987">
        <v>255.088028169014</v>
      </c>
      <c r="V987">
        <v>75</v>
      </c>
      <c r="W987">
        <v>43</v>
      </c>
      <c r="X987">
        <v>682.72007042253495</v>
      </c>
      <c r="Y987">
        <v>244</v>
      </c>
      <c r="Z987">
        <v>381.63204225352098</v>
      </c>
      <c r="AA987">
        <v>262.54401408450701</v>
      </c>
      <c r="AB987">
        <v>13.7915402264662</v>
      </c>
      <c r="AC987">
        <v>8.5478564724330002E-3</v>
      </c>
      <c r="AD987">
        <v>1.42123453382035</v>
      </c>
      <c r="AE987">
        <v>0.21327118575573001</v>
      </c>
      <c r="AF987">
        <v>1139.5528169014101</v>
      </c>
      <c r="AG987" t="str">
        <f>IFERROR(AH987*0.1, "N/A")</f>
        <v>N/A</v>
      </c>
      <c r="AH987" t="s">
        <v>729</v>
      </c>
      <c r="AI987">
        <v>214.32324782895401</v>
      </c>
      <c r="AJ987" t="s">
        <v>729</v>
      </c>
      <c r="AK987" t="s">
        <v>729</v>
      </c>
    </row>
    <row r="988" spans="1:37" x14ac:dyDescent="0.3">
      <c r="A988">
        <v>987</v>
      </c>
      <c r="B988">
        <v>40</v>
      </c>
      <c r="C988">
        <v>33.618400999999999</v>
      </c>
      <c r="D988">
        <v>-2.112E-2</v>
      </c>
      <c r="E988" t="s">
        <v>1676</v>
      </c>
      <c r="F988" t="s">
        <v>1677</v>
      </c>
      <c r="G988" t="s">
        <v>37</v>
      </c>
      <c r="H988">
        <v>2005</v>
      </c>
      <c r="I988">
        <v>22.299999237060501</v>
      </c>
      <c r="J988">
        <v>11.699999809265099</v>
      </c>
      <c r="K988">
        <v>85</v>
      </c>
      <c r="L988">
        <v>5.21000003814697</v>
      </c>
      <c r="M988">
        <v>29.399999618530298</v>
      </c>
      <c r="N988">
        <v>15.699999809265099</v>
      </c>
      <c r="O988">
        <v>13.699999809265099</v>
      </c>
      <c r="P988">
        <v>22.600000381469702</v>
      </c>
      <c r="Q988">
        <v>21.5</v>
      </c>
      <c r="R988">
        <v>22.899999618530298</v>
      </c>
      <c r="S988">
        <v>21.5</v>
      </c>
      <c r="T988">
        <v>1242</v>
      </c>
      <c r="U988">
        <v>203</v>
      </c>
      <c r="V988">
        <v>43</v>
      </c>
      <c r="W988">
        <v>48</v>
      </c>
      <c r="X988">
        <v>519</v>
      </c>
      <c r="Y988">
        <v>152</v>
      </c>
      <c r="Z988">
        <v>317</v>
      </c>
      <c r="AA988">
        <v>152</v>
      </c>
      <c r="AB988">
        <v>0</v>
      </c>
      <c r="AC988">
        <v>2.3657095608708E-2</v>
      </c>
      <c r="AD988">
        <v>0</v>
      </c>
      <c r="AE988" t="s">
        <v>729</v>
      </c>
      <c r="AF988">
        <v>1131</v>
      </c>
      <c r="AG988" t="str">
        <f>IFERROR(AH988*0.1, "N/A")</f>
        <v>N/A</v>
      </c>
      <c r="AH988" t="s">
        <v>729</v>
      </c>
      <c r="AI988">
        <v>0</v>
      </c>
      <c r="AJ988" t="s">
        <v>729</v>
      </c>
      <c r="AK988" t="s">
        <v>729</v>
      </c>
    </row>
    <row r="989" spans="1:37" x14ac:dyDescent="0.3">
      <c r="A989">
        <v>988</v>
      </c>
      <c r="B989">
        <v>100</v>
      </c>
      <c r="C989">
        <v>33.654099000000002</v>
      </c>
      <c r="D989">
        <v>-1.055E-2</v>
      </c>
      <c r="E989" t="s">
        <v>1678</v>
      </c>
      <c r="F989" t="s">
        <v>1679</v>
      </c>
      <c r="G989" t="s">
        <v>37</v>
      </c>
      <c r="H989">
        <v>2005</v>
      </c>
      <c r="I989">
        <v>22.200000762939499</v>
      </c>
      <c r="J989">
        <v>11.699999809265099</v>
      </c>
      <c r="K989">
        <v>84</v>
      </c>
      <c r="L989">
        <v>5.5599999427795401</v>
      </c>
      <c r="M989">
        <v>29.399999618530298</v>
      </c>
      <c r="N989">
        <v>15.6000003814697</v>
      </c>
      <c r="O989">
        <v>13.800000190734901</v>
      </c>
      <c r="P989">
        <v>22.5</v>
      </c>
      <c r="Q989">
        <v>21.399999618530298</v>
      </c>
      <c r="R989">
        <v>22.899999618530298</v>
      </c>
      <c r="S989">
        <v>21.399999618530298</v>
      </c>
      <c r="T989">
        <v>1225</v>
      </c>
      <c r="U989">
        <v>201</v>
      </c>
      <c r="V989">
        <v>43</v>
      </c>
      <c r="W989">
        <v>48</v>
      </c>
      <c r="X989">
        <v>512</v>
      </c>
      <c r="Y989">
        <v>150</v>
      </c>
      <c r="Z989">
        <v>311</v>
      </c>
      <c r="AA989">
        <v>150</v>
      </c>
      <c r="AB989">
        <v>17.247553211461099</v>
      </c>
      <c r="AC989">
        <v>2.9472771010359999E-2</v>
      </c>
      <c r="AD989">
        <v>1.6007718719292401</v>
      </c>
      <c r="AE989">
        <v>0.42518788576126099</v>
      </c>
      <c r="AF989">
        <v>1152.13227513228</v>
      </c>
      <c r="AG989">
        <f>IFERROR(AH989*0.1, "N/A")</f>
        <v>5.8000000000000007</v>
      </c>
      <c r="AH989">
        <v>58</v>
      </c>
      <c r="AI989">
        <v>255.506289554441</v>
      </c>
      <c r="AJ989">
        <v>34.636684303350997</v>
      </c>
      <c r="AK989">
        <v>48.181657848324498</v>
      </c>
    </row>
    <row r="990" spans="1:37" x14ac:dyDescent="0.3">
      <c r="A990">
        <v>989</v>
      </c>
      <c r="B990">
        <v>44.299999</v>
      </c>
      <c r="C990">
        <v>0</v>
      </c>
      <c r="D990">
        <v>0</v>
      </c>
      <c r="E990" t="s">
        <v>1455</v>
      </c>
      <c r="F990" t="s">
        <v>1680</v>
      </c>
      <c r="G990" t="s">
        <v>37</v>
      </c>
      <c r="H990">
        <v>2006</v>
      </c>
      <c r="I990" t="s">
        <v>729</v>
      </c>
      <c r="J990" t="s">
        <v>729</v>
      </c>
      <c r="K990" t="s">
        <v>729</v>
      </c>
      <c r="L990" t="s">
        <v>729</v>
      </c>
      <c r="M990" t="s">
        <v>729</v>
      </c>
      <c r="N990" t="s">
        <v>729</v>
      </c>
      <c r="O990" t="s">
        <v>729</v>
      </c>
      <c r="P990" t="s">
        <v>729</v>
      </c>
      <c r="Q990" t="s">
        <v>729</v>
      </c>
      <c r="R990" t="s">
        <v>729</v>
      </c>
      <c r="S990" t="s">
        <v>729</v>
      </c>
      <c r="T990" t="s">
        <v>729</v>
      </c>
      <c r="U990" t="s">
        <v>729</v>
      </c>
      <c r="V990" t="s">
        <v>729</v>
      </c>
      <c r="W990" t="s">
        <v>729</v>
      </c>
      <c r="X990" t="s">
        <v>729</v>
      </c>
      <c r="Y990" t="s">
        <v>729</v>
      </c>
      <c r="Z990" t="s">
        <v>729</v>
      </c>
      <c r="AA990" t="s">
        <v>729</v>
      </c>
      <c r="AB990" t="s">
        <v>729</v>
      </c>
      <c r="AC990" t="s">
        <v>729</v>
      </c>
      <c r="AD990" t="s">
        <v>729</v>
      </c>
      <c r="AE990" t="s">
        <v>729</v>
      </c>
      <c r="AF990" t="s">
        <v>729</v>
      </c>
      <c r="AG990" t="str">
        <f>IFERROR(AH990*0.1, "N/A")</f>
        <v>N/A</v>
      </c>
      <c r="AH990" t="s">
        <v>729</v>
      </c>
      <c r="AI990" t="s">
        <v>729</v>
      </c>
      <c r="AJ990" t="s">
        <v>729</v>
      </c>
      <c r="AK990" t="s">
        <v>729</v>
      </c>
    </row>
    <row r="991" spans="1:37" x14ac:dyDescent="0.3">
      <c r="A991">
        <v>990</v>
      </c>
      <c r="B991">
        <v>82.400002000000001</v>
      </c>
      <c r="C991">
        <v>33.6586</v>
      </c>
      <c r="D991">
        <v>3.0330000000000001E-3</v>
      </c>
      <c r="E991" t="s">
        <v>1681</v>
      </c>
      <c r="F991" t="s">
        <v>1682</v>
      </c>
      <c r="G991" t="s">
        <v>37</v>
      </c>
      <c r="H991">
        <v>2009</v>
      </c>
      <c r="I991">
        <v>22.299999237060501</v>
      </c>
      <c r="J991">
        <v>11.708818185056099</v>
      </c>
      <c r="K991">
        <v>84.088183421516803</v>
      </c>
      <c r="L991">
        <v>5.6820635358282301</v>
      </c>
      <c r="M991">
        <v>29.5</v>
      </c>
      <c r="N991">
        <v>15.699999809265099</v>
      </c>
      <c r="O991">
        <v>13.800000190734901</v>
      </c>
      <c r="P991">
        <v>22.600000381469702</v>
      </c>
      <c r="Q991">
        <v>21.5</v>
      </c>
      <c r="R991">
        <v>23</v>
      </c>
      <c r="S991">
        <v>21.5</v>
      </c>
      <c r="T991">
        <v>1211.70546737213</v>
      </c>
      <c r="U991">
        <v>199.08818342151699</v>
      </c>
      <c r="V991">
        <v>42</v>
      </c>
      <c r="W991">
        <v>48</v>
      </c>
      <c r="X991">
        <v>505.26455026455</v>
      </c>
      <c r="Y991">
        <v>148.176366843034</v>
      </c>
      <c r="Z991">
        <v>307.17636684303301</v>
      </c>
      <c r="AA991">
        <v>148.176366843034</v>
      </c>
      <c r="AB991">
        <v>1.763668430335E-3</v>
      </c>
      <c r="AC991">
        <v>4.4096088017184003E-2</v>
      </c>
      <c r="AD991">
        <v>0.71154450403109204</v>
      </c>
      <c r="AE991" t="s">
        <v>729</v>
      </c>
      <c r="AF991">
        <v>1131.36331569665</v>
      </c>
      <c r="AG991" t="str">
        <f>IFERROR(AH991*0.1, "N/A")</f>
        <v>N/A</v>
      </c>
      <c r="AH991" t="s">
        <v>729</v>
      </c>
      <c r="AI991">
        <v>4.1869867213819401</v>
      </c>
      <c r="AJ991" t="s">
        <v>729</v>
      </c>
      <c r="AK991" t="s">
        <v>729</v>
      </c>
    </row>
    <row r="992" spans="1:37" x14ac:dyDescent="0.3">
      <c r="A992">
        <v>991</v>
      </c>
      <c r="B992">
        <v>87.5</v>
      </c>
      <c r="C992">
        <v>32.767200000000003</v>
      </c>
      <c r="D992">
        <v>1.4767000000000001E-2</v>
      </c>
      <c r="E992" t="s">
        <v>1683</v>
      </c>
      <c r="F992" t="s">
        <v>1684</v>
      </c>
      <c r="G992" t="s">
        <v>37</v>
      </c>
      <c r="H992">
        <v>2009</v>
      </c>
      <c r="I992">
        <v>21.5</v>
      </c>
      <c r="J992">
        <v>10.300000190734901</v>
      </c>
      <c r="K992">
        <v>84</v>
      </c>
      <c r="L992">
        <v>5.1004737628133698</v>
      </c>
      <c r="M992">
        <v>27.700000762939499</v>
      </c>
      <c r="N992">
        <v>15.5</v>
      </c>
      <c r="O992">
        <v>12.199999809265099</v>
      </c>
      <c r="P992">
        <v>21.799999237060501</v>
      </c>
      <c r="Q992">
        <v>20.799999237060501</v>
      </c>
      <c r="R992">
        <v>22</v>
      </c>
      <c r="S992">
        <v>20.700000762939499</v>
      </c>
      <c r="T992">
        <v>1607.2684210526299</v>
      </c>
      <c r="U992">
        <v>237</v>
      </c>
      <c r="V992">
        <v>72</v>
      </c>
      <c r="W992">
        <v>39.731578947368398</v>
      </c>
      <c r="X992">
        <v>630.26842105263199</v>
      </c>
      <c r="Y992">
        <v>243</v>
      </c>
      <c r="Z992">
        <v>374</v>
      </c>
      <c r="AA992">
        <v>251</v>
      </c>
      <c r="AB992">
        <v>0</v>
      </c>
      <c r="AC992">
        <v>4.1659554061397999E-2</v>
      </c>
      <c r="AD992">
        <v>0.61620380041892098</v>
      </c>
      <c r="AE992">
        <v>0.212253794074059</v>
      </c>
      <c r="AF992">
        <v>1131</v>
      </c>
      <c r="AG992" t="str">
        <f>IFERROR(AH992*0.1, "N/A")</f>
        <v>N/A</v>
      </c>
      <c r="AH992" t="s">
        <v>729</v>
      </c>
      <c r="AI992">
        <v>39.839250638192198</v>
      </c>
      <c r="AJ992" t="s">
        <v>729</v>
      </c>
      <c r="AK992" t="s">
        <v>729</v>
      </c>
    </row>
    <row r="993" spans="1:37" x14ac:dyDescent="0.3">
      <c r="A993">
        <v>992</v>
      </c>
      <c r="B993">
        <v>65</v>
      </c>
      <c r="C993">
        <v>33.636600000000001</v>
      </c>
      <c r="D993">
        <v>2.2020000000000001E-2</v>
      </c>
      <c r="E993" t="s">
        <v>1685</v>
      </c>
      <c r="F993" t="s">
        <v>1686</v>
      </c>
      <c r="G993" t="s">
        <v>37</v>
      </c>
      <c r="H993">
        <v>2005</v>
      </c>
      <c r="I993">
        <v>22.200000762939499</v>
      </c>
      <c r="J993">
        <v>11.699999809265099</v>
      </c>
      <c r="K993">
        <v>85</v>
      </c>
      <c r="L993">
        <v>5.4099998474121103</v>
      </c>
      <c r="M993">
        <v>29.399999618530298</v>
      </c>
      <c r="N993">
        <v>15.699999809265099</v>
      </c>
      <c r="O993">
        <v>13.699999809265099</v>
      </c>
      <c r="P993">
        <v>22.5</v>
      </c>
      <c r="Q993">
        <v>21.399999618530298</v>
      </c>
      <c r="R993">
        <v>22.899999618530298</v>
      </c>
      <c r="S993">
        <v>21.399999618530298</v>
      </c>
      <c r="T993">
        <v>1243</v>
      </c>
      <c r="U993">
        <v>203</v>
      </c>
      <c r="V993">
        <v>44</v>
      </c>
      <c r="W993">
        <v>47</v>
      </c>
      <c r="X993">
        <v>515</v>
      </c>
      <c r="Y993">
        <v>155</v>
      </c>
      <c r="Z993">
        <v>314</v>
      </c>
      <c r="AA993">
        <v>155</v>
      </c>
      <c r="AB993">
        <v>7.4485985124614897</v>
      </c>
      <c r="AC993">
        <v>8.5478563084669997E-3</v>
      </c>
      <c r="AD993">
        <v>0.94695438969303203</v>
      </c>
      <c r="AE993">
        <v>0.49016138911247298</v>
      </c>
      <c r="AF993">
        <v>1141.1971830985899</v>
      </c>
      <c r="AG993">
        <f>IFERROR(AH993*0.1, "N/A")</f>
        <v>5.5647887323943701</v>
      </c>
      <c r="AH993">
        <v>55.647887323943699</v>
      </c>
      <c r="AI993">
        <v>76.757055954194399</v>
      </c>
      <c r="AJ993">
        <v>37</v>
      </c>
      <c r="AK993">
        <v>42.823943661971803</v>
      </c>
    </row>
    <row r="994" spans="1:37" x14ac:dyDescent="0.3">
      <c r="A994">
        <v>993</v>
      </c>
      <c r="B994">
        <v>72.199996999999996</v>
      </c>
      <c r="C994">
        <v>33.644599999999997</v>
      </c>
      <c r="D994">
        <v>3.1083E-2</v>
      </c>
      <c r="E994" t="s">
        <v>1687</v>
      </c>
      <c r="F994" t="s">
        <v>1688</v>
      </c>
      <c r="G994" t="s">
        <v>37</v>
      </c>
      <c r="H994">
        <v>2009</v>
      </c>
      <c r="I994">
        <v>22.200000762939499</v>
      </c>
      <c r="J994">
        <v>11.699999809265099</v>
      </c>
      <c r="K994">
        <v>85</v>
      </c>
      <c r="L994">
        <v>5.4499998092651403</v>
      </c>
      <c r="M994">
        <v>29.399999618530298</v>
      </c>
      <c r="N994">
        <v>15.699999809265099</v>
      </c>
      <c r="O994">
        <v>13.699999809265099</v>
      </c>
      <c r="P994">
        <v>22.5</v>
      </c>
      <c r="Q994">
        <v>21.399999618530298</v>
      </c>
      <c r="R994">
        <v>22.899999618530298</v>
      </c>
      <c r="S994">
        <v>21.399999618530298</v>
      </c>
      <c r="T994">
        <v>1237</v>
      </c>
      <c r="U994">
        <v>202</v>
      </c>
      <c r="V994">
        <v>44</v>
      </c>
      <c r="W994">
        <v>47</v>
      </c>
      <c r="X994">
        <v>511</v>
      </c>
      <c r="Y994">
        <v>154</v>
      </c>
      <c r="Z994">
        <v>312</v>
      </c>
      <c r="AA994">
        <v>154</v>
      </c>
      <c r="AB994">
        <v>0</v>
      </c>
      <c r="AC994">
        <v>9.5561419115209999E-3</v>
      </c>
      <c r="AD994">
        <v>0.105187630989182</v>
      </c>
      <c r="AE994">
        <v>0.31490021944045998</v>
      </c>
      <c r="AF994">
        <v>1131</v>
      </c>
      <c r="AG994">
        <f>IFERROR(AH994*0.1, "N/A")</f>
        <v>6.2</v>
      </c>
      <c r="AH994">
        <v>62</v>
      </c>
      <c r="AI994">
        <v>7.8725034686880999</v>
      </c>
      <c r="AJ994">
        <v>35</v>
      </c>
      <c r="AK994">
        <v>44</v>
      </c>
    </row>
    <row r="995" spans="1:37" x14ac:dyDescent="0.3">
      <c r="A995">
        <v>994</v>
      </c>
      <c r="B995">
        <v>52</v>
      </c>
      <c r="C995">
        <v>32.434199999999997</v>
      </c>
      <c r="D995">
        <v>3.1940000000000003E-2</v>
      </c>
      <c r="E995" t="s">
        <v>1689</v>
      </c>
      <c r="F995" t="s">
        <v>1690</v>
      </c>
      <c r="G995" t="s">
        <v>37</v>
      </c>
      <c r="H995">
        <v>1995</v>
      </c>
      <c r="I995">
        <v>21.408786998272799</v>
      </c>
      <c r="J995">
        <v>9.8000001907348597</v>
      </c>
      <c r="K995">
        <v>83.912126537785596</v>
      </c>
      <c r="L995">
        <v>5.1753952633098503</v>
      </c>
      <c r="M995">
        <v>27.308786616803101</v>
      </c>
      <c r="N995">
        <v>15.699999809265099</v>
      </c>
      <c r="O995">
        <v>11.6087876774096</v>
      </c>
      <c r="P995">
        <v>21.799999237060501</v>
      </c>
      <c r="Q995">
        <v>20.700000762939499</v>
      </c>
      <c r="R995">
        <v>22</v>
      </c>
      <c r="S995">
        <v>20.700000762939499</v>
      </c>
      <c r="T995">
        <v>1601.6485061511401</v>
      </c>
      <c r="U995">
        <v>255.82425307557099</v>
      </c>
      <c r="V995">
        <v>70</v>
      </c>
      <c r="W995">
        <v>46.912126537785603</v>
      </c>
      <c r="X995">
        <v>678.64850615114199</v>
      </c>
      <c r="Y995">
        <v>234.08787346221399</v>
      </c>
      <c r="Z995">
        <v>510.82425307557099</v>
      </c>
      <c r="AA995">
        <v>256.08787346221402</v>
      </c>
      <c r="AB995">
        <v>15.779616531881601</v>
      </c>
      <c r="AC995">
        <v>4.9424329482883E-2</v>
      </c>
      <c r="AD995">
        <v>1.6762901127652701</v>
      </c>
      <c r="AE995">
        <v>0.78020548820495605</v>
      </c>
      <c r="AF995">
        <v>1145.0140597539501</v>
      </c>
      <c r="AG995">
        <f>IFERROR(AH995*0.1, "N/A")</f>
        <v>5.6288224956063306</v>
      </c>
      <c r="AH995">
        <v>56.288224956063303</v>
      </c>
      <c r="AI995">
        <v>184.31940665354</v>
      </c>
      <c r="AJ995">
        <v>37.087873462214397</v>
      </c>
      <c r="AK995">
        <v>45.711775043936697</v>
      </c>
    </row>
    <row r="996" spans="1:37" x14ac:dyDescent="0.3">
      <c r="A996">
        <v>995</v>
      </c>
      <c r="B996">
        <v>8.6</v>
      </c>
      <c r="C996">
        <v>32.448298999999999</v>
      </c>
      <c r="D996">
        <v>3.3889000000000002E-2</v>
      </c>
      <c r="E996" t="s">
        <v>1691</v>
      </c>
      <c r="F996" t="s">
        <v>1692</v>
      </c>
      <c r="G996" t="s">
        <v>37</v>
      </c>
      <c r="H996">
        <v>1974</v>
      </c>
      <c r="I996">
        <v>21.3070291408545</v>
      </c>
      <c r="J996">
        <v>9.8964847001543408</v>
      </c>
      <c r="K996">
        <v>84</v>
      </c>
      <c r="L996">
        <v>4.9786292027505299</v>
      </c>
      <c r="M996">
        <v>27.203515647794301</v>
      </c>
      <c r="N996">
        <v>15.5070298702729</v>
      </c>
      <c r="O996">
        <v>11.696484890889201</v>
      </c>
      <c r="P996">
        <v>21.707030599691301</v>
      </c>
      <c r="Q996">
        <v>20.603515333366701</v>
      </c>
      <c r="R996">
        <v>21.810544092751599</v>
      </c>
      <c r="S996">
        <v>20.507029903793999</v>
      </c>
      <c r="T996">
        <v>1590.52724077329</v>
      </c>
      <c r="U996">
        <v>253.14059753954299</v>
      </c>
      <c r="V996">
        <v>70</v>
      </c>
      <c r="W996">
        <v>46.035149384885798</v>
      </c>
      <c r="X996">
        <v>671.38664323374303</v>
      </c>
      <c r="Y996">
        <v>234.96485061511399</v>
      </c>
      <c r="Z996">
        <v>508.17574692442901</v>
      </c>
      <c r="AA996">
        <v>254.10544815465701</v>
      </c>
      <c r="AB996">
        <v>21.796835096523498</v>
      </c>
      <c r="AC996">
        <v>2.3119768708852999E-2</v>
      </c>
      <c r="AD996">
        <v>5.04755191497099</v>
      </c>
      <c r="AE996">
        <v>0.75276839733123802</v>
      </c>
      <c r="AF996">
        <v>1154.2214411247801</v>
      </c>
      <c r="AG996">
        <f>IFERROR(AH996*0.1, "N/A")</f>
        <v>5.4</v>
      </c>
      <c r="AH996">
        <v>54</v>
      </c>
      <c r="AI996">
        <v>129.16720371883201</v>
      </c>
      <c r="AJ996">
        <v>35.267135325131797</v>
      </c>
      <c r="AK996">
        <v>49</v>
      </c>
    </row>
    <row r="997" spans="1:37" x14ac:dyDescent="0.3">
      <c r="A997">
        <v>996</v>
      </c>
      <c r="B997">
        <v>0</v>
      </c>
      <c r="C997">
        <v>32.466498999999999</v>
      </c>
      <c r="D997">
        <v>3.9710000000000002E-2</v>
      </c>
      <c r="E997" t="s">
        <v>1693</v>
      </c>
      <c r="F997" t="s">
        <v>1694</v>
      </c>
      <c r="G997" t="s">
        <v>37</v>
      </c>
      <c r="H997">
        <v>1991</v>
      </c>
      <c r="I997">
        <v>21.5</v>
      </c>
      <c r="J997">
        <v>9.7167252251799692</v>
      </c>
      <c r="K997">
        <v>83</v>
      </c>
      <c r="L997">
        <v>5.30853871644383</v>
      </c>
      <c r="M997">
        <v>27.316724652975399</v>
      </c>
      <c r="N997">
        <v>15.699999809265099</v>
      </c>
      <c r="O997">
        <v>11.616725637879201</v>
      </c>
      <c r="P997">
        <v>21.983274584085201</v>
      </c>
      <c r="Q997">
        <v>20.700000762939499</v>
      </c>
      <c r="R997">
        <v>22.016725415914799</v>
      </c>
      <c r="S997">
        <v>20.700000762939499</v>
      </c>
      <c r="T997">
        <v>1602.50176056338</v>
      </c>
      <c r="U997">
        <v>256</v>
      </c>
      <c r="V997">
        <v>71</v>
      </c>
      <c r="W997">
        <v>47</v>
      </c>
      <c r="X997">
        <v>681.16725352112701</v>
      </c>
      <c r="Y997">
        <v>233.33450704225399</v>
      </c>
      <c r="Z997">
        <v>513.16725352112701</v>
      </c>
      <c r="AA997">
        <v>237.18133802816899</v>
      </c>
      <c r="AB997">
        <v>16.2174624590807</v>
      </c>
      <c r="AC997">
        <v>3.5079311653249998E-2</v>
      </c>
      <c r="AD997">
        <v>2.3720621477130401</v>
      </c>
      <c r="AE997">
        <v>0.72866243124008201</v>
      </c>
      <c r="AF997">
        <v>1145.74471830986</v>
      </c>
      <c r="AG997">
        <f>IFERROR(AH997*0.1, "N/A")</f>
        <v>5.6959507042253499</v>
      </c>
      <c r="AH997">
        <v>56.959507042253499</v>
      </c>
      <c r="AI997">
        <v>167.98113081488799</v>
      </c>
      <c r="AJ997">
        <v>36.873239436619698</v>
      </c>
      <c r="AK997">
        <v>46.285211267605597</v>
      </c>
    </row>
    <row r="998" spans="1:37" x14ac:dyDescent="0.3">
      <c r="A998">
        <v>997</v>
      </c>
      <c r="B998">
        <v>3.1</v>
      </c>
      <c r="C998">
        <v>32.465899999999998</v>
      </c>
      <c r="D998">
        <v>4.4546000000000002E-2</v>
      </c>
      <c r="E998" t="s">
        <v>1695</v>
      </c>
      <c r="F998" t="s">
        <v>1696</v>
      </c>
      <c r="G998" t="s">
        <v>37</v>
      </c>
      <c r="H998">
        <v>1970</v>
      </c>
      <c r="I998">
        <v>21.200000762939499</v>
      </c>
      <c r="J998">
        <v>9.8999996185302699</v>
      </c>
      <c r="K998">
        <v>83</v>
      </c>
      <c r="L998">
        <v>5.4099998474121103</v>
      </c>
      <c r="M998">
        <v>27.200000762939499</v>
      </c>
      <c r="N998">
        <v>15.300000190734901</v>
      </c>
      <c r="O998">
        <v>11.8999996185303</v>
      </c>
      <c r="P998">
        <v>21.600000381469702</v>
      </c>
      <c r="Q998">
        <v>20.399999618530298</v>
      </c>
      <c r="R998">
        <v>21.700000762939499</v>
      </c>
      <c r="S998">
        <v>20.399999618530298</v>
      </c>
      <c r="T998">
        <v>1583</v>
      </c>
      <c r="U998">
        <v>251</v>
      </c>
      <c r="V998">
        <v>70</v>
      </c>
      <c r="W998">
        <v>46</v>
      </c>
      <c r="X998">
        <v>665</v>
      </c>
      <c r="Y998">
        <v>236</v>
      </c>
      <c r="Z998">
        <v>507</v>
      </c>
      <c r="AA998">
        <v>253</v>
      </c>
      <c r="AB998">
        <v>34.989112786961797</v>
      </c>
      <c r="AC998">
        <v>2.3405197831051001E-2</v>
      </c>
      <c r="AD998">
        <v>4.9264833948105196</v>
      </c>
      <c r="AE998">
        <v>0.73957489988715897</v>
      </c>
      <c r="AF998">
        <v>1172.3620386643199</v>
      </c>
      <c r="AG998">
        <f>IFERROR(AH998*0.1, "N/A")</f>
        <v>5.8219683655536008</v>
      </c>
      <c r="AH998">
        <v>58.219683655536002</v>
      </c>
      <c r="AI998">
        <v>129.39578677480799</v>
      </c>
      <c r="AJ998">
        <v>39.560632688928003</v>
      </c>
      <c r="AK998">
        <v>44.219683655536002</v>
      </c>
    </row>
    <row r="999" spans="1:37" x14ac:dyDescent="0.3">
      <c r="A999">
        <v>998</v>
      </c>
      <c r="B999">
        <v>11.2</v>
      </c>
      <c r="C999">
        <v>32.465899999999998</v>
      </c>
      <c r="D999">
        <v>4.4975000000000001E-2</v>
      </c>
      <c r="E999" t="s">
        <v>1697</v>
      </c>
      <c r="F999" t="s">
        <v>1698</v>
      </c>
      <c r="G999" t="s">
        <v>37</v>
      </c>
      <c r="H999">
        <v>1987</v>
      </c>
      <c r="I999">
        <v>21.200000762939499</v>
      </c>
      <c r="J999">
        <v>9.8999996185302699</v>
      </c>
      <c r="K999">
        <v>83</v>
      </c>
      <c r="L999">
        <v>5.4099998474121103</v>
      </c>
      <c r="M999">
        <v>27.200000762939499</v>
      </c>
      <c r="N999">
        <v>15.300000190734901</v>
      </c>
      <c r="O999">
        <v>11.8999996185303</v>
      </c>
      <c r="P999">
        <v>21.600000381469702</v>
      </c>
      <c r="Q999">
        <v>20.399999618530298</v>
      </c>
      <c r="R999">
        <v>21.700000762939499</v>
      </c>
      <c r="S999">
        <v>20.399999618530298</v>
      </c>
      <c r="T999">
        <v>1583</v>
      </c>
      <c r="U999">
        <v>251</v>
      </c>
      <c r="V999">
        <v>70</v>
      </c>
      <c r="W999">
        <v>46</v>
      </c>
      <c r="X999">
        <v>665</v>
      </c>
      <c r="Y999">
        <v>236</v>
      </c>
      <c r="Z999">
        <v>507</v>
      </c>
      <c r="AA999">
        <v>253</v>
      </c>
      <c r="AB999">
        <v>38.564579501143598</v>
      </c>
      <c r="AC999">
        <v>2.0909831602934002E-2</v>
      </c>
      <c r="AD999">
        <v>5.0417472235529903</v>
      </c>
      <c r="AE999">
        <v>0.75660928269122196</v>
      </c>
      <c r="AF999">
        <v>1173.03527336861</v>
      </c>
      <c r="AG999">
        <f>IFERROR(AH999*0.1, "N/A")</f>
        <v>5.8562610229276899</v>
      </c>
      <c r="AH999">
        <v>58.562610229276899</v>
      </c>
      <c r="AI999">
        <v>112.67345719110401</v>
      </c>
      <c r="AJ999">
        <v>38.874779541446202</v>
      </c>
      <c r="AK999">
        <v>44.562610229276899</v>
      </c>
    </row>
    <row r="1000" spans="1:37" x14ac:dyDescent="0.3">
      <c r="A1000">
        <v>999</v>
      </c>
      <c r="B1000">
        <v>80</v>
      </c>
      <c r="C1000">
        <v>33.605998999999997</v>
      </c>
      <c r="D1000">
        <v>5.2350000000000001E-2</v>
      </c>
      <c r="E1000" t="s">
        <v>1699</v>
      </c>
      <c r="F1000" t="s">
        <v>1700</v>
      </c>
      <c r="G1000" t="s">
        <v>37</v>
      </c>
      <c r="H1000">
        <v>2005</v>
      </c>
      <c r="I1000">
        <v>22.200000762939499</v>
      </c>
      <c r="J1000">
        <v>11.699999809265099</v>
      </c>
      <c r="K1000">
        <v>86</v>
      </c>
      <c r="L1000">
        <v>5.3000001907348597</v>
      </c>
      <c r="M1000">
        <v>29.299999237060501</v>
      </c>
      <c r="N1000">
        <v>15.699999809265099</v>
      </c>
      <c r="O1000">
        <v>13.6000003814697</v>
      </c>
      <c r="P1000">
        <v>22.5</v>
      </c>
      <c r="Q1000">
        <v>21.399999618530298</v>
      </c>
      <c r="R1000">
        <v>22.799999237060501</v>
      </c>
      <c r="S1000">
        <v>21.399999618530298</v>
      </c>
      <c r="T1000">
        <v>1278</v>
      </c>
      <c r="U1000">
        <v>207</v>
      </c>
      <c r="V1000">
        <v>46</v>
      </c>
      <c r="W1000">
        <v>46</v>
      </c>
      <c r="X1000">
        <v>524</v>
      </c>
      <c r="Y1000">
        <v>161</v>
      </c>
      <c r="Z1000">
        <v>322</v>
      </c>
      <c r="AA1000">
        <v>161</v>
      </c>
      <c r="AB1000">
        <v>20.8532992569858</v>
      </c>
      <c r="AC1000">
        <v>1.1668498411026001E-2</v>
      </c>
      <c r="AD1000">
        <v>3.37004581214679</v>
      </c>
      <c r="AE1000">
        <v>0.31561261415481601</v>
      </c>
      <c r="AF1000">
        <v>1148.26102292769</v>
      </c>
      <c r="AG1000">
        <f>IFERROR(AH1000*0.1, "N/A")</f>
        <v>6.4531190926275999</v>
      </c>
      <c r="AH1000">
        <v>64.531190926275997</v>
      </c>
      <c r="AI1000">
        <v>178.94327470739</v>
      </c>
      <c r="AJ1000">
        <v>36</v>
      </c>
      <c r="AK1000">
        <v>40</v>
      </c>
    </row>
    <row r="1001" spans="1:37" x14ac:dyDescent="0.3">
      <c r="A1001">
        <v>1000</v>
      </c>
      <c r="B1001">
        <v>70.599997999999999</v>
      </c>
      <c r="C1001">
        <v>33.605801</v>
      </c>
      <c r="D1001">
        <v>5.2350000000000001E-2</v>
      </c>
      <c r="E1001" t="s">
        <v>1701</v>
      </c>
      <c r="F1001" t="s">
        <v>1702</v>
      </c>
      <c r="G1001" t="s">
        <v>37</v>
      </c>
      <c r="H1001">
        <v>2009</v>
      </c>
      <c r="I1001">
        <v>22.200000762939499</v>
      </c>
      <c r="J1001">
        <v>11.699999809265099</v>
      </c>
      <c r="K1001">
        <v>86</v>
      </c>
      <c r="L1001">
        <v>5.3000001907348597</v>
      </c>
      <c r="M1001">
        <v>29.299999237060501</v>
      </c>
      <c r="N1001">
        <v>15.699999809265099</v>
      </c>
      <c r="O1001">
        <v>13.6000003814697</v>
      </c>
      <c r="P1001">
        <v>22.5</v>
      </c>
      <c r="Q1001">
        <v>21.399999618530298</v>
      </c>
      <c r="R1001">
        <v>22.799999237060501</v>
      </c>
      <c r="S1001">
        <v>21.399999618530298</v>
      </c>
      <c r="T1001">
        <v>1278</v>
      </c>
      <c r="U1001">
        <v>207</v>
      </c>
      <c r="V1001">
        <v>46</v>
      </c>
      <c r="W1001">
        <v>46</v>
      </c>
      <c r="X1001">
        <v>524</v>
      </c>
      <c r="Y1001">
        <v>161</v>
      </c>
      <c r="Z1001">
        <v>322</v>
      </c>
      <c r="AA1001">
        <v>161</v>
      </c>
      <c r="AB1001">
        <v>20.856829607928201</v>
      </c>
      <c r="AC1001">
        <v>1.1698649570385E-2</v>
      </c>
      <c r="AD1001">
        <v>3.4839737469977599</v>
      </c>
      <c r="AE1001">
        <v>0.31561261415481601</v>
      </c>
      <c r="AF1001">
        <v>1148.0793650793701</v>
      </c>
      <c r="AG1001">
        <f>IFERROR(AH1001*0.1, "N/A")</f>
        <v>6.4049149338374312</v>
      </c>
      <c r="AH1001">
        <v>64.049149338374306</v>
      </c>
      <c r="AI1001">
        <v>224.490784171607</v>
      </c>
      <c r="AJ1001">
        <v>36</v>
      </c>
      <c r="AK1001">
        <v>40</v>
      </c>
    </row>
    <row r="1002" spans="1:37" x14ac:dyDescent="0.3">
      <c r="A1002">
        <v>1001</v>
      </c>
      <c r="B1002">
        <v>39.099997999999999</v>
      </c>
      <c r="C1002">
        <v>32.520598999999997</v>
      </c>
      <c r="D1002">
        <v>6.6483E-2</v>
      </c>
      <c r="E1002" t="s">
        <v>1703</v>
      </c>
      <c r="F1002" t="s">
        <v>1704</v>
      </c>
      <c r="G1002" t="s">
        <v>37</v>
      </c>
      <c r="H1002">
        <v>2004</v>
      </c>
      <c r="I1002">
        <v>21.404577100780699</v>
      </c>
      <c r="J1002">
        <v>9.8999996185302699</v>
      </c>
      <c r="K1002">
        <v>83</v>
      </c>
      <c r="L1002">
        <v>5.2699999809265101</v>
      </c>
      <c r="M1002">
        <v>27.404577100780699</v>
      </c>
      <c r="N1002">
        <v>15.604577365055899</v>
      </c>
      <c r="O1002">
        <v>11.800000190734901</v>
      </c>
      <c r="P1002">
        <v>21.752288697471101</v>
      </c>
      <c r="Q1002">
        <v>20.652289313329799</v>
      </c>
      <c r="R1002">
        <v>21.9522885503903</v>
      </c>
      <c r="S1002">
        <v>20.604577863720099</v>
      </c>
      <c r="T1002">
        <v>1579.3397887323899</v>
      </c>
      <c r="U1002">
        <v>251</v>
      </c>
      <c r="V1002">
        <v>72</v>
      </c>
      <c r="W1002">
        <v>45</v>
      </c>
      <c r="X1002">
        <v>662</v>
      </c>
      <c r="Y1002">
        <v>236.47711267605601</v>
      </c>
      <c r="Z1002">
        <v>338.43133802816902</v>
      </c>
      <c r="AA1002">
        <v>252.47711267605601</v>
      </c>
      <c r="AB1002">
        <v>24.6592705954968</v>
      </c>
      <c r="AC1002">
        <v>1.5575750803076001E-2</v>
      </c>
      <c r="AD1002">
        <v>2.7495782094102501</v>
      </c>
      <c r="AE1002">
        <v>0.65511107444763195</v>
      </c>
      <c r="AF1002">
        <v>1167.48767605634</v>
      </c>
      <c r="AG1002">
        <f>IFERROR(AH1002*0.1, "N/A")</f>
        <v>5.6000000000000005</v>
      </c>
      <c r="AH1002">
        <v>56</v>
      </c>
      <c r="AI1002">
        <v>45.810414361282099</v>
      </c>
      <c r="AJ1002">
        <v>41.3591549295775</v>
      </c>
      <c r="AK1002">
        <v>41.9612676056338</v>
      </c>
    </row>
    <row r="1003" spans="1:37" x14ac:dyDescent="0.3">
      <c r="A1003">
        <v>1002</v>
      </c>
      <c r="B1003">
        <v>1.4</v>
      </c>
      <c r="C1003">
        <v>32.466701999999998</v>
      </c>
      <c r="D1003">
        <v>7.0493E-2</v>
      </c>
      <c r="E1003" t="s">
        <v>1705</v>
      </c>
      <c r="F1003" t="s">
        <v>1706</v>
      </c>
      <c r="G1003" t="s">
        <v>37</v>
      </c>
      <c r="H1003">
        <v>1970</v>
      </c>
      <c r="I1003">
        <v>21.296825913525101</v>
      </c>
      <c r="J1003">
        <v>9.9354497970096602</v>
      </c>
      <c r="K1003">
        <v>83.677248677248699</v>
      </c>
      <c r="L1003">
        <v>5.06682524857698</v>
      </c>
      <c r="M1003">
        <v>27.196825532055399</v>
      </c>
      <c r="N1003">
        <v>15.4291005967155</v>
      </c>
      <c r="O1003">
        <v>11.767724935339899</v>
      </c>
      <c r="P1003">
        <v>21.696825532055399</v>
      </c>
      <c r="Q1003">
        <v>20.564550510789999</v>
      </c>
      <c r="R1003">
        <v>21.796825913525101</v>
      </c>
      <c r="S1003">
        <v>20.496825384715201</v>
      </c>
      <c r="T1003">
        <v>1545.4232804232799</v>
      </c>
      <c r="U1003">
        <v>243.613756613757</v>
      </c>
      <c r="V1003">
        <v>68.645502645502603</v>
      </c>
      <c r="W1003">
        <v>44.645502645502603</v>
      </c>
      <c r="X1003">
        <v>642.100529100529</v>
      </c>
      <c r="Y1003">
        <v>234.354497354497</v>
      </c>
      <c r="Z1003">
        <v>493.58201058201001</v>
      </c>
      <c r="AA1003">
        <v>247.613756613757</v>
      </c>
      <c r="AB1003">
        <v>42.008460097001802</v>
      </c>
      <c r="AC1003">
        <v>3.7839693682534002E-2</v>
      </c>
      <c r="AD1003">
        <v>4.9750716925928797</v>
      </c>
      <c r="AE1003">
        <v>0.81093275547027599</v>
      </c>
      <c r="AF1003">
        <v>1182.5220458553799</v>
      </c>
      <c r="AG1003">
        <f>IFERROR(AH1003*0.1, "N/A")</f>
        <v>5.6587301587301608</v>
      </c>
      <c r="AH1003">
        <v>56.587301587301603</v>
      </c>
      <c r="AI1003">
        <v>55.936493491790102</v>
      </c>
      <c r="AJ1003">
        <v>35.735449735449698</v>
      </c>
      <c r="AK1003">
        <v>47.264550264550302</v>
      </c>
    </row>
    <row r="1004" spans="1:37" x14ac:dyDescent="0.3">
      <c r="A1004">
        <v>1003</v>
      </c>
      <c r="B1004">
        <v>1.5</v>
      </c>
      <c r="C1004">
        <v>32.7761</v>
      </c>
      <c r="D1004">
        <v>7.3016999999999999E-2</v>
      </c>
      <c r="E1004" t="s">
        <v>1707</v>
      </c>
      <c r="F1004" t="s">
        <v>1708</v>
      </c>
      <c r="G1004" t="s">
        <v>37</v>
      </c>
      <c r="H1004">
        <v>2004</v>
      </c>
      <c r="I1004">
        <v>21.5</v>
      </c>
      <c r="J1004">
        <v>10.3999996185303</v>
      </c>
      <c r="K1004">
        <v>83</v>
      </c>
      <c r="L1004">
        <v>5.5500001907348597</v>
      </c>
      <c r="M1004">
        <v>27.799999237060501</v>
      </c>
      <c r="N1004">
        <v>15.3999996185303</v>
      </c>
      <c r="O1004">
        <v>12.3999996185303</v>
      </c>
      <c r="P1004">
        <v>21.799999237060501</v>
      </c>
      <c r="Q1004">
        <v>20.600000381469702</v>
      </c>
      <c r="R1004">
        <v>22.100000381469702</v>
      </c>
      <c r="S1004">
        <v>20.600000381469702</v>
      </c>
      <c r="T1004">
        <v>1556</v>
      </c>
      <c r="U1004">
        <v>225</v>
      </c>
      <c r="V1004">
        <v>71</v>
      </c>
      <c r="W1004">
        <v>38</v>
      </c>
      <c r="X1004">
        <v>592</v>
      </c>
      <c r="Y1004">
        <v>246</v>
      </c>
      <c r="Z1004">
        <v>359</v>
      </c>
      <c r="AA1004">
        <v>246</v>
      </c>
      <c r="AB1004">
        <v>0</v>
      </c>
      <c r="AC1004">
        <v>0.19551315263914101</v>
      </c>
      <c r="AD1004">
        <v>0</v>
      </c>
      <c r="AE1004" t="s">
        <v>729</v>
      </c>
      <c r="AF1004">
        <v>1131</v>
      </c>
      <c r="AG1004" t="str">
        <f>IFERROR(AH1004*0.1, "N/A")</f>
        <v>N/A</v>
      </c>
      <c r="AH1004" t="s">
        <v>729</v>
      </c>
      <c r="AI1004">
        <v>0</v>
      </c>
      <c r="AJ1004" t="s">
        <v>729</v>
      </c>
      <c r="AK1004" t="s">
        <v>729</v>
      </c>
    </row>
    <row r="1005" spans="1:37" x14ac:dyDescent="0.3">
      <c r="A1005">
        <v>1004</v>
      </c>
      <c r="B1005">
        <v>54.700001</v>
      </c>
      <c r="C1005">
        <v>32.450400999999999</v>
      </c>
      <c r="D1005">
        <v>7.9964999999999994E-2</v>
      </c>
      <c r="E1005" t="s">
        <v>1709</v>
      </c>
      <c r="F1005" t="s">
        <v>1710</v>
      </c>
      <c r="G1005" t="s">
        <v>37</v>
      </c>
      <c r="H1005">
        <v>1996</v>
      </c>
      <c r="I1005">
        <v>21.414487306304999</v>
      </c>
      <c r="J1005">
        <v>9.8999996185302699</v>
      </c>
      <c r="K1005">
        <v>83</v>
      </c>
      <c r="L1005">
        <v>5.2394169884941197</v>
      </c>
      <c r="M1005">
        <v>27.414487306304999</v>
      </c>
      <c r="N1005">
        <v>15.614488000162099</v>
      </c>
      <c r="O1005">
        <v>11.800000190734901</v>
      </c>
      <c r="P1005">
        <v>21.8144869248353</v>
      </c>
      <c r="Q1005">
        <v>20.707244468662001</v>
      </c>
      <c r="R1005">
        <v>22.0144876877748</v>
      </c>
      <c r="S1005">
        <v>20.707244468662001</v>
      </c>
      <c r="T1005">
        <v>1537.7826855123701</v>
      </c>
      <c r="U1005">
        <v>241.92756183745601</v>
      </c>
      <c r="V1005">
        <v>68.927561837455798</v>
      </c>
      <c r="W1005">
        <v>45</v>
      </c>
      <c r="X1005">
        <v>640.92756183745598</v>
      </c>
      <c r="Y1005">
        <v>232.92756183745601</v>
      </c>
      <c r="Z1005">
        <v>324.92756183745598</v>
      </c>
      <c r="AA1005">
        <v>247</v>
      </c>
      <c r="AB1005">
        <v>6.4655729367960504</v>
      </c>
      <c r="AC1005">
        <v>1.9572460480929001E-2</v>
      </c>
      <c r="AD1005">
        <v>3.4634918195619999</v>
      </c>
      <c r="AE1005">
        <v>0.73560363054275502</v>
      </c>
      <c r="AF1005">
        <v>1137.8551236749099</v>
      </c>
      <c r="AG1005">
        <f>IFERROR(AH1005*0.1, "N/A")</f>
        <v>5.8000000000000007</v>
      </c>
      <c r="AH1005">
        <v>58</v>
      </c>
      <c r="AI1005">
        <v>271.25036410813601</v>
      </c>
      <c r="AJ1005">
        <v>35</v>
      </c>
      <c r="AK1005">
        <v>44</v>
      </c>
    </row>
    <row r="1006" spans="1:37" x14ac:dyDescent="0.3">
      <c r="A1006">
        <v>1005</v>
      </c>
      <c r="B1006">
        <v>6.5</v>
      </c>
      <c r="C1006">
        <v>32.471001000000001</v>
      </c>
      <c r="D1006">
        <v>8.2937999999999998E-2</v>
      </c>
      <c r="E1006" t="s">
        <v>1711</v>
      </c>
      <c r="F1006" t="s">
        <v>1712</v>
      </c>
      <c r="G1006" t="s">
        <v>37</v>
      </c>
      <c r="H1006">
        <v>1970</v>
      </c>
      <c r="I1006">
        <v>21.482363248418</v>
      </c>
      <c r="J1006">
        <v>9.8999996185302699</v>
      </c>
      <c r="K1006">
        <v>83</v>
      </c>
      <c r="L1006">
        <v>5.2805819814167299</v>
      </c>
      <c r="M1006">
        <v>27.482363248418</v>
      </c>
      <c r="N1006">
        <v>15.6823631417814</v>
      </c>
      <c r="O1006">
        <v>11.800000190734901</v>
      </c>
      <c r="P1006">
        <v>21.882363035144799</v>
      </c>
      <c r="Q1006">
        <v>20.691182387148501</v>
      </c>
      <c r="R1006">
        <v>21.991181624208998</v>
      </c>
      <c r="S1006">
        <v>20.6823640113575</v>
      </c>
      <c r="T1006">
        <v>1545.4126984126999</v>
      </c>
      <c r="U1006">
        <v>244.73544973545</v>
      </c>
      <c r="V1006">
        <v>69.911816578483197</v>
      </c>
      <c r="W1006">
        <v>45.911816578483197</v>
      </c>
      <c r="X1006">
        <v>648.76543209876502</v>
      </c>
      <c r="Y1006">
        <v>233</v>
      </c>
      <c r="Z1006">
        <v>340.37389770723098</v>
      </c>
      <c r="AA1006">
        <v>248.64726631393299</v>
      </c>
      <c r="AB1006">
        <v>28.883642664241599</v>
      </c>
      <c r="AC1006">
        <v>2.7181252213013998E-2</v>
      </c>
      <c r="AD1006">
        <v>4.6350324216973799</v>
      </c>
      <c r="AE1006">
        <v>0.73948645591735795</v>
      </c>
      <c r="AF1006">
        <v>1158.2151675484999</v>
      </c>
      <c r="AG1006">
        <f>IFERROR(AH1006*0.1, "N/A")</f>
        <v>5.6204585537918907</v>
      </c>
      <c r="AH1006">
        <v>56.204585537918902</v>
      </c>
      <c r="AI1006">
        <v>244.84133485932</v>
      </c>
      <c r="AJ1006">
        <v>40.703703703703702</v>
      </c>
      <c r="AK1006">
        <v>42.539682539682502</v>
      </c>
    </row>
    <row r="1007" spans="1:37" x14ac:dyDescent="0.3">
      <c r="A1007">
        <v>1006</v>
      </c>
      <c r="B1007">
        <v>20</v>
      </c>
      <c r="C1007">
        <v>32.476799</v>
      </c>
      <c r="D1007">
        <v>8.6400000000000005E-2</v>
      </c>
      <c r="E1007" t="s">
        <v>1713</v>
      </c>
      <c r="F1007" t="s">
        <v>1714</v>
      </c>
      <c r="G1007" t="s">
        <v>37</v>
      </c>
      <c r="H1007">
        <v>1991</v>
      </c>
      <c r="I1007">
        <v>21.5</v>
      </c>
      <c r="J1007">
        <v>9.8999996185302699</v>
      </c>
      <c r="K1007">
        <v>83</v>
      </c>
      <c r="L1007">
        <v>5.3699998855590803</v>
      </c>
      <c r="M1007">
        <v>27.5</v>
      </c>
      <c r="N1007">
        <v>15.699999809265099</v>
      </c>
      <c r="O1007">
        <v>11.800000190734901</v>
      </c>
      <c r="P1007">
        <v>21.899999618530298</v>
      </c>
      <c r="Q1007">
        <v>20.700000762939499</v>
      </c>
      <c r="R1007">
        <v>22.100000381469702</v>
      </c>
      <c r="S1007">
        <v>20.700000762939499</v>
      </c>
      <c r="T1007">
        <v>1542</v>
      </c>
      <c r="U1007">
        <v>245</v>
      </c>
      <c r="V1007">
        <v>70</v>
      </c>
      <c r="W1007">
        <v>45</v>
      </c>
      <c r="X1007">
        <v>646</v>
      </c>
      <c r="Y1007">
        <v>233</v>
      </c>
      <c r="Z1007">
        <v>494</v>
      </c>
      <c r="AA1007">
        <v>248</v>
      </c>
      <c r="AB1007">
        <v>42.048874464521099</v>
      </c>
      <c r="AC1007">
        <v>1.1852814426387E-2</v>
      </c>
      <c r="AD1007">
        <v>4.3965234391928103</v>
      </c>
      <c r="AE1007">
        <v>0.73948645591735795</v>
      </c>
      <c r="AF1007">
        <v>1180.6309314586999</v>
      </c>
      <c r="AG1007">
        <f>IFERROR(AH1007*0.1, "N/A")</f>
        <v>5.7374340949033407</v>
      </c>
      <c r="AH1007">
        <v>57.374340949033403</v>
      </c>
      <c r="AI1007">
        <v>180.63845340648299</v>
      </c>
      <c r="AJ1007">
        <v>39.1933216168717</v>
      </c>
      <c r="AK1007">
        <v>44.789103690685401</v>
      </c>
    </row>
    <row r="1008" spans="1:37" x14ac:dyDescent="0.3">
      <c r="A1008">
        <v>1007</v>
      </c>
      <c r="B1008">
        <v>75</v>
      </c>
      <c r="C1008">
        <v>33.599899000000001</v>
      </c>
      <c r="D1008">
        <v>0.11125</v>
      </c>
      <c r="E1008" t="s">
        <v>1715</v>
      </c>
      <c r="F1008" t="s">
        <v>1716</v>
      </c>
      <c r="G1008" t="s">
        <v>37</v>
      </c>
      <c r="H1008">
        <v>2005</v>
      </c>
      <c r="I1008">
        <v>22.269541955329998</v>
      </c>
      <c r="J1008">
        <v>11.699999809265099</v>
      </c>
      <c r="K1008">
        <v>85</v>
      </c>
      <c r="L1008">
        <v>5.3508627456678504</v>
      </c>
      <c r="M1008">
        <v>29.399999618530298</v>
      </c>
      <c r="N1008">
        <v>15.699999809265099</v>
      </c>
      <c r="O1008">
        <v>13.699999809265099</v>
      </c>
      <c r="P1008">
        <v>22.5</v>
      </c>
      <c r="Q1008">
        <v>21.399999618530298</v>
      </c>
      <c r="R1008">
        <v>22.899999618530298</v>
      </c>
      <c r="S1008">
        <v>21.399999618530298</v>
      </c>
      <c r="T1008">
        <v>1292.4366197183101</v>
      </c>
      <c r="U1008">
        <v>208.30457746478899</v>
      </c>
      <c r="V1008">
        <v>47</v>
      </c>
      <c r="W1008">
        <v>45</v>
      </c>
      <c r="X1008">
        <v>519.91373239436598</v>
      </c>
      <c r="Y1008">
        <v>167</v>
      </c>
      <c r="Z1008">
        <v>321.91373239436598</v>
      </c>
      <c r="AA1008">
        <v>167</v>
      </c>
      <c r="AB1008">
        <v>10.839305179219901</v>
      </c>
      <c r="AC1008">
        <v>1.2535830698973001E-2</v>
      </c>
      <c r="AD1008">
        <v>2.2087344193542502</v>
      </c>
      <c r="AE1008">
        <v>0.38310638070106501</v>
      </c>
      <c r="AF1008">
        <v>1136.4507042253499</v>
      </c>
      <c r="AG1008">
        <f>IFERROR(AH1008*0.1, "N/A")</f>
        <v>6.5</v>
      </c>
      <c r="AH1008">
        <v>65</v>
      </c>
      <c r="AI1008">
        <v>119.5529096731</v>
      </c>
      <c r="AJ1008">
        <v>41</v>
      </c>
      <c r="AK1008">
        <v>35</v>
      </c>
    </row>
    <row r="1009" spans="1:37" x14ac:dyDescent="0.3">
      <c r="A1009">
        <v>1008</v>
      </c>
      <c r="B1009">
        <v>58.799999</v>
      </c>
      <c r="C1009">
        <v>33.6021</v>
      </c>
      <c r="D1009">
        <v>0.11176700000000001</v>
      </c>
      <c r="E1009" t="s">
        <v>1717</v>
      </c>
      <c r="F1009" t="s">
        <v>1718</v>
      </c>
      <c r="G1009" t="s">
        <v>37</v>
      </c>
      <c r="H1009">
        <v>2009</v>
      </c>
      <c r="I1009">
        <v>22.299999237060501</v>
      </c>
      <c r="J1009">
        <v>11.699999809265099</v>
      </c>
      <c r="K1009">
        <v>85</v>
      </c>
      <c r="L1009">
        <v>5.3600001335143999</v>
      </c>
      <c r="M1009">
        <v>29.399999618530298</v>
      </c>
      <c r="N1009">
        <v>15.699999809265099</v>
      </c>
      <c r="O1009">
        <v>13.699999809265099</v>
      </c>
      <c r="P1009">
        <v>22.5</v>
      </c>
      <c r="Q1009">
        <v>21.399999618530298</v>
      </c>
      <c r="R1009">
        <v>22.899999618530298</v>
      </c>
      <c r="S1009">
        <v>21.399999618530298</v>
      </c>
      <c r="T1009">
        <v>1290</v>
      </c>
      <c r="U1009">
        <v>208</v>
      </c>
      <c r="V1009">
        <v>47</v>
      </c>
      <c r="W1009">
        <v>45</v>
      </c>
      <c r="X1009">
        <v>519</v>
      </c>
      <c r="Y1009">
        <v>167</v>
      </c>
      <c r="Z1009">
        <v>321</v>
      </c>
      <c r="AA1009">
        <v>167</v>
      </c>
      <c r="AB1009">
        <v>6.1509141519036099</v>
      </c>
      <c r="AC1009">
        <v>4.1761021815162003E-2</v>
      </c>
      <c r="AD1009">
        <v>1.93510427693246</v>
      </c>
      <c r="AE1009">
        <v>0.38310638070106501</v>
      </c>
      <c r="AF1009">
        <v>1132.77816901408</v>
      </c>
      <c r="AG1009" t="str">
        <f>IFERROR(AH1009*0.1, "N/A")</f>
        <v>N/A</v>
      </c>
      <c r="AH1009" t="s">
        <v>729</v>
      </c>
      <c r="AI1009">
        <v>61.044455299914702</v>
      </c>
      <c r="AJ1009" t="s">
        <v>729</v>
      </c>
      <c r="AK1009" t="s">
        <v>729</v>
      </c>
    </row>
    <row r="1010" spans="1:37" x14ac:dyDescent="0.3">
      <c r="A1010">
        <v>1009</v>
      </c>
      <c r="B1010">
        <v>60</v>
      </c>
      <c r="C1010">
        <v>33.574798999999999</v>
      </c>
      <c r="D1010">
        <v>0.12363</v>
      </c>
      <c r="E1010" t="s">
        <v>1719</v>
      </c>
      <c r="F1010" t="s">
        <v>1720</v>
      </c>
      <c r="G1010" t="s">
        <v>37</v>
      </c>
      <c r="H1010">
        <v>2005</v>
      </c>
      <c r="I1010">
        <v>22.296302110376502</v>
      </c>
      <c r="J1010">
        <v>11.699999809265099</v>
      </c>
      <c r="K1010">
        <v>85.036971830985905</v>
      </c>
      <c r="L1010">
        <v>5.3855458926147097</v>
      </c>
      <c r="M1010">
        <v>29.396302421327999</v>
      </c>
      <c r="N1010">
        <v>15.699999809265099</v>
      </c>
      <c r="O1010">
        <v>13.696302647322</v>
      </c>
      <c r="P1010">
        <v>22.5</v>
      </c>
      <c r="Q1010">
        <v>21.4963028027978</v>
      </c>
      <c r="R1010">
        <v>22.899999618530298</v>
      </c>
      <c r="S1010">
        <v>21.4963028027978</v>
      </c>
      <c r="T1010">
        <v>1319.9630281690099</v>
      </c>
      <c r="U1010">
        <v>212</v>
      </c>
      <c r="V1010">
        <v>48</v>
      </c>
      <c r="W1010">
        <v>44.036971830985898</v>
      </c>
      <c r="X1010">
        <v>529.96302816901402</v>
      </c>
      <c r="Y1010">
        <v>171</v>
      </c>
      <c r="Z1010">
        <v>328.96302816901402</v>
      </c>
      <c r="AA1010">
        <v>171</v>
      </c>
      <c r="AB1010">
        <v>1.5038690701336901</v>
      </c>
      <c r="AC1010">
        <v>3.1377184585157002E-2</v>
      </c>
      <c r="AD1010">
        <v>2.7412407163163302</v>
      </c>
      <c r="AE1010" t="s">
        <v>729</v>
      </c>
      <c r="AF1010">
        <v>1132.4683098591499</v>
      </c>
      <c r="AG1010">
        <f>IFERROR(AH1010*0.1, "N/A")</f>
        <v>5.6731818181818205</v>
      </c>
      <c r="AH1010">
        <v>56.731818181818198</v>
      </c>
      <c r="AI1010">
        <v>157.16581578321899</v>
      </c>
      <c r="AJ1010">
        <v>36.884090909090901</v>
      </c>
      <c r="AK1010">
        <v>43.493181818181803</v>
      </c>
    </row>
    <row r="1011" spans="1:37" x14ac:dyDescent="0.3">
      <c r="A1011">
        <v>1010</v>
      </c>
      <c r="B1011">
        <v>15.9</v>
      </c>
      <c r="C1011">
        <v>32.555199000000002</v>
      </c>
      <c r="D1011">
        <v>0.12925</v>
      </c>
      <c r="E1011" t="s">
        <v>1721</v>
      </c>
      <c r="F1011" t="s">
        <v>1722</v>
      </c>
      <c r="G1011" t="s">
        <v>37</v>
      </c>
      <c r="H1011">
        <v>2004</v>
      </c>
      <c r="I1011">
        <v>21.399999618530298</v>
      </c>
      <c r="J1011">
        <v>10.1000003814697</v>
      </c>
      <c r="K1011">
        <v>83</v>
      </c>
      <c r="L1011">
        <v>5.5700001716613796</v>
      </c>
      <c r="M1011">
        <v>27.600000381469702</v>
      </c>
      <c r="N1011">
        <v>15.5</v>
      </c>
      <c r="O1011">
        <v>12.1000003814697</v>
      </c>
      <c r="P1011">
        <v>21.700000762939499</v>
      </c>
      <c r="Q1011">
        <v>20.600000381469702</v>
      </c>
      <c r="R1011">
        <v>22</v>
      </c>
      <c r="S1011">
        <v>20.600000381469702</v>
      </c>
      <c r="T1011">
        <v>1487</v>
      </c>
      <c r="U1011">
        <v>233</v>
      </c>
      <c r="V1011">
        <v>69</v>
      </c>
      <c r="W1011">
        <v>42</v>
      </c>
      <c r="X1011">
        <v>598</v>
      </c>
      <c r="Y1011">
        <v>237</v>
      </c>
      <c r="Z1011">
        <v>324</v>
      </c>
      <c r="AA1011">
        <v>237</v>
      </c>
      <c r="AB1011">
        <v>34.997230489418001</v>
      </c>
      <c r="AC1011">
        <v>8.5478359833359996E-3</v>
      </c>
      <c r="AD1011">
        <v>3.18024935945212</v>
      </c>
      <c r="AE1011">
        <v>0.69162613153457597</v>
      </c>
      <c r="AF1011">
        <v>1165.9858906525601</v>
      </c>
      <c r="AG1011">
        <f>IFERROR(AH1011*0.1, "N/A")</f>
        <v>5.79435626102293</v>
      </c>
      <c r="AH1011">
        <v>57.9435626102293</v>
      </c>
      <c r="AI1011">
        <v>220.686072536246</v>
      </c>
      <c r="AJ1011">
        <v>34.074074074074097</v>
      </c>
      <c r="AK1011">
        <v>48.957671957671998</v>
      </c>
    </row>
    <row r="1012" spans="1:37" x14ac:dyDescent="0.3">
      <c r="A1012">
        <v>1011</v>
      </c>
      <c r="B1012">
        <v>100</v>
      </c>
      <c r="C1012">
        <v>33.550499000000002</v>
      </c>
      <c r="D1012">
        <v>0.13733000000000001</v>
      </c>
      <c r="E1012" t="s">
        <v>1723</v>
      </c>
      <c r="F1012" t="s">
        <v>1724</v>
      </c>
      <c r="G1012" t="s">
        <v>37</v>
      </c>
      <c r="H1012">
        <v>2005</v>
      </c>
      <c r="I1012">
        <v>22.170423185321599</v>
      </c>
      <c r="J1012">
        <v>11.67042251372</v>
      </c>
      <c r="K1012">
        <v>85.704225352112701</v>
      </c>
      <c r="L1012">
        <v>5.3388732251986601</v>
      </c>
      <c r="M1012">
        <v>29.270422223588099</v>
      </c>
      <c r="N1012">
        <v>15.67042251372</v>
      </c>
      <c r="O1012">
        <v>13.6000003814697</v>
      </c>
      <c r="P1012">
        <v>22.4704224223822</v>
      </c>
      <c r="Q1012">
        <v>21.370422040912501</v>
      </c>
      <c r="R1012">
        <v>22.770422223588099</v>
      </c>
      <c r="S1012">
        <v>21.370422040912501</v>
      </c>
      <c r="T1012">
        <v>1343.3661971831</v>
      </c>
      <c r="U1012">
        <v>214.29577464788699</v>
      </c>
      <c r="V1012">
        <v>50</v>
      </c>
      <c r="W1012">
        <v>44</v>
      </c>
      <c r="X1012">
        <v>534.88732394366195</v>
      </c>
      <c r="Y1012">
        <v>176</v>
      </c>
      <c r="Z1012">
        <v>332.88732394366201</v>
      </c>
      <c r="AA1012">
        <v>176</v>
      </c>
      <c r="AB1012">
        <v>16.416560643155801</v>
      </c>
      <c r="AC1012">
        <v>2.2799238854441999E-2</v>
      </c>
      <c r="AD1012">
        <v>1.5433264798681501</v>
      </c>
      <c r="AE1012">
        <v>0.39209076762199402</v>
      </c>
      <c r="AF1012">
        <v>1142.99647887324</v>
      </c>
      <c r="AG1012">
        <f>IFERROR(AH1012*0.1, "N/A")</f>
        <v>5.8996478873239404</v>
      </c>
      <c r="AH1012">
        <v>58.996478873239397</v>
      </c>
      <c r="AI1012">
        <v>148.01843919552499</v>
      </c>
      <c r="AJ1012">
        <v>38.299295774647902</v>
      </c>
      <c r="AK1012">
        <v>41.697183098591601</v>
      </c>
    </row>
    <row r="1013" spans="1:37" x14ac:dyDescent="0.3">
      <c r="A1013">
        <v>1012</v>
      </c>
      <c r="B1013">
        <v>67.300003000000004</v>
      </c>
      <c r="C1013">
        <v>32.799801000000002</v>
      </c>
      <c r="D1013">
        <v>0.15135000000000001</v>
      </c>
      <c r="E1013" t="s">
        <v>1725</v>
      </c>
      <c r="F1013" t="s">
        <v>1726</v>
      </c>
      <c r="G1013" t="s">
        <v>37</v>
      </c>
      <c r="H1013">
        <v>2004</v>
      </c>
      <c r="I1013">
        <v>21.1553605218763</v>
      </c>
      <c r="J1013">
        <v>10.6000003814697</v>
      </c>
      <c r="K1013">
        <v>84</v>
      </c>
      <c r="L1013">
        <v>5.1379790172007</v>
      </c>
      <c r="M1013">
        <v>27.6553605218763</v>
      </c>
      <c r="N1013">
        <v>15.0553603163922</v>
      </c>
      <c r="O1013">
        <v>12.6000003814697</v>
      </c>
      <c r="P1013">
        <v>21.455360110908099</v>
      </c>
      <c r="Q1013">
        <v>20.355359729438302</v>
      </c>
      <c r="R1013">
        <v>21.6553605218763</v>
      </c>
      <c r="S1013">
        <v>20.355359729438302</v>
      </c>
      <c r="T1013">
        <v>1497.8927943761</v>
      </c>
      <c r="U1013">
        <v>205.73813708260101</v>
      </c>
      <c r="V1013">
        <v>69.815465729349697</v>
      </c>
      <c r="W1013">
        <v>34.184534270650303</v>
      </c>
      <c r="X1013">
        <v>532.92267135325096</v>
      </c>
      <c r="Y1013">
        <v>243.44639718804899</v>
      </c>
      <c r="Z1013">
        <v>341.81546572935002</v>
      </c>
      <c r="AA1013">
        <v>243.44639718804899</v>
      </c>
      <c r="AB1013">
        <v>9.5000375435934696</v>
      </c>
      <c r="AC1013">
        <v>0.106584952460023</v>
      </c>
      <c r="AD1013">
        <v>1.2856729384151599</v>
      </c>
      <c r="AE1013">
        <v>0.52993971109390303</v>
      </c>
      <c r="AF1013">
        <v>1143.1353251318101</v>
      </c>
      <c r="AG1013">
        <f>IFERROR(AH1013*0.1, "N/A")</f>
        <v>5.5956063268892802</v>
      </c>
      <c r="AH1013">
        <v>55.956063268892798</v>
      </c>
      <c r="AI1013">
        <v>82.016558172832703</v>
      </c>
      <c r="AJ1013">
        <v>35.938488576449899</v>
      </c>
      <c r="AK1013">
        <v>47.219683655536002</v>
      </c>
    </row>
    <row r="1014" spans="1:37" x14ac:dyDescent="0.3">
      <c r="A1014">
        <v>1013</v>
      </c>
      <c r="B1014">
        <v>9.1999999999999993</v>
      </c>
      <c r="C1014">
        <v>32.806399999999996</v>
      </c>
      <c r="D1014">
        <v>0.15575</v>
      </c>
      <c r="E1014" t="s">
        <v>1727</v>
      </c>
      <c r="F1014" t="s">
        <v>1728</v>
      </c>
      <c r="G1014" t="s">
        <v>37</v>
      </c>
      <c r="H1014">
        <v>2004</v>
      </c>
      <c r="I1014">
        <v>21.399999618530298</v>
      </c>
      <c r="J1014">
        <v>10.6000003814697</v>
      </c>
      <c r="K1014">
        <v>84</v>
      </c>
      <c r="L1014">
        <v>5.3499999046325701</v>
      </c>
      <c r="M1014">
        <v>27.899999618530298</v>
      </c>
      <c r="N1014">
        <v>15.300000190734901</v>
      </c>
      <c r="O1014">
        <v>12.6000003814697</v>
      </c>
      <c r="P1014">
        <v>21.700000762939499</v>
      </c>
      <c r="Q1014">
        <v>20.600000381469702</v>
      </c>
      <c r="R1014">
        <v>21.899999618530298</v>
      </c>
      <c r="S1014">
        <v>20.600000381469702</v>
      </c>
      <c r="T1014">
        <v>1493</v>
      </c>
      <c r="U1014">
        <v>209</v>
      </c>
      <c r="V1014">
        <v>69</v>
      </c>
      <c r="W1014">
        <v>35</v>
      </c>
      <c r="X1014">
        <v>537</v>
      </c>
      <c r="Y1014">
        <v>241</v>
      </c>
      <c r="Z1014">
        <v>341</v>
      </c>
      <c r="AA1014">
        <v>241</v>
      </c>
      <c r="AB1014">
        <v>8.5457606785733908</v>
      </c>
      <c r="AC1014">
        <v>8.0497035107404996E-2</v>
      </c>
      <c r="AD1014">
        <v>2.4508564047200601</v>
      </c>
      <c r="AE1014">
        <v>0.54256832599639904</v>
      </c>
      <c r="AF1014">
        <v>1139.5352112676101</v>
      </c>
      <c r="AG1014">
        <f>IFERROR(AH1014*0.1, "N/A")</f>
        <v>5.4202464788732403</v>
      </c>
      <c r="AH1014">
        <v>54.202464788732399</v>
      </c>
      <c r="AI1014">
        <v>192.83380118893899</v>
      </c>
      <c r="AJ1014">
        <v>36.272887323943699</v>
      </c>
      <c r="AK1014">
        <v>46.1954225352113</v>
      </c>
    </row>
    <row r="1015" spans="1:37" x14ac:dyDescent="0.3">
      <c r="A1015">
        <v>1014</v>
      </c>
      <c r="B1015">
        <v>22.200001</v>
      </c>
      <c r="C1015">
        <v>33.566001999999997</v>
      </c>
      <c r="D1015">
        <v>0.15618299999999999</v>
      </c>
      <c r="E1015" t="s">
        <v>1729</v>
      </c>
      <c r="F1015" t="s">
        <v>1730</v>
      </c>
      <c r="G1015" t="s">
        <v>37</v>
      </c>
      <c r="H1015">
        <v>2009</v>
      </c>
      <c r="I1015">
        <v>22.200000762939499</v>
      </c>
      <c r="J1015">
        <v>11.699999809265099</v>
      </c>
      <c r="K1015">
        <v>85</v>
      </c>
      <c r="L1015">
        <v>5.4200000762939498</v>
      </c>
      <c r="M1015">
        <v>29.399999618530298</v>
      </c>
      <c r="N1015">
        <v>15.699999809265099</v>
      </c>
      <c r="O1015">
        <v>13.699999809265099</v>
      </c>
      <c r="P1015">
        <v>22.5</v>
      </c>
      <c r="Q1015">
        <v>21.399999618530298</v>
      </c>
      <c r="R1015">
        <v>22.899999618530298</v>
      </c>
      <c r="S1015">
        <v>21.399999618530298</v>
      </c>
      <c r="T1015">
        <v>1330.5820105820101</v>
      </c>
      <c r="U1015">
        <v>212</v>
      </c>
      <c r="V1015">
        <v>49</v>
      </c>
      <c r="W1015">
        <v>44</v>
      </c>
      <c r="X1015">
        <v>526.72134038800698</v>
      </c>
      <c r="Y1015">
        <v>174.86067019400301</v>
      </c>
      <c r="Z1015">
        <v>328.86067019400298</v>
      </c>
      <c r="AA1015">
        <v>174.86067019400301</v>
      </c>
      <c r="AB1015">
        <v>3.3666942670441999</v>
      </c>
      <c r="AC1015">
        <v>3.5352123093116E-2</v>
      </c>
      <c r="AD1015">
        <v>2.3284786878649699</v>
      </c>
      <c r="AE1015" t="s">
        <v>729</v>
      </c>
      <c r="AF1015">
        <v>1131.5520282186901</v>
      </c>
      <c r="AG1015" t="str">
        <f>IFERROR(AH1015*0.1, "N/A")</f>
        <v>N/A</v>
      </c>
      <c r="AH1015" t="s">
        <v>729</v>
      </c>
      <c r="AI1015">
        <v>67.9033297045941</v>
      </c>
      <c r="AJ1015" t="s">
        <v>729</v>
      </c>
      <c r="AK1015" t="s">
        <v>729</v>
      </c>
    </row>
    <row r="1016" spans="1:37" x14ac:dyDescent="0.3">
      <c r="A1016">
        <v>1015</v>
      </c>
      <c r="B1016">
        <v>32.5</v>
      </c>
      <c r="C1016">
        <v>33.821499000000003</v>
      </c>
      <c r="D1016">
        <v>0.15845999999999999</v>
      </c>
      <c r="E1016" t="s">
        <v>1731</v>
      </c>
      <c r="F1016" t="s">
        <v>1732</v>
      </c>
      <c r="G1016" t="s">
        <v>37</v>
      </c>
      <c r="H1016">
        <v>1994</v>
      </c>
      <c r="I1016">
        <v>22.319399663800699</v>
      </c>
      <c r="J1016">
        <v>12</v>
      </c>
      <c r="K1016">
        <v>85.805996472663196</v>
      </c>
      <c r="L1016">
        <v>5.4632804582989403</v>
      </c>
      <c r="M1016">
        <v>29.638800864917702</v>
      </c>
      <c r="N1016">
        <v>15.719400236005299</v>
      </c>
      <c r="O1016">
        <v>13.9194000452704</v>
      </c>
      <c r="P1016">
        <v>22.5388008534803</v>
      </c>
      <c r="Q1016">
        <v>21.519400426740201</v>
      </c>
      <c r="R1016">
        <v>22.938800472010598</v>
      </c>
      <c r="S1016">
        <v>21.519400426740201</v>
      </c>
      <c r="T1016">
        <v>1189.9559082892399</v>
      </c>
      <c r="U1016">
        <v>198.22398589065301</v>
      </c>
      <c r="V1016">
        <v>43.805996472663097</v>
      </c>
      <c r="W1016">
        <v>45</v>
      </c>
      <c r="X1016">
        <v>482.05996472663202</v>
      </c>
      <c r="Y1016">
        <v>162.22398589065301</v>
      </c>
      <c r="Z1016">
        <v>280.02998236331598</v>
      </c>
      <c r="AA1016">
        <v>162.22398589065301</v>
      </c>
      <c r="AB1016">
        <v>1.5610241763806201</v>
      </c>
      <c r="AC1016">
        <v>0.22518314522357599</v>
      </c>
      <c r="AD1016">
        <v>1.17681407686684</v>
      </c>
      <c r="AE1016">
        <v>0.55267828702926602</v>
      </c>
      <c r="AF1016">
        <v>1138.49206349206</v>
      </c>
      <c r="AG1016">
        <f>IFERROR(AH1016*0.1, "N/A")</f>
        <v>5.7</v>
      </c>
      <c r="AH1016">
        <v>57</v>
      </c>
      <c r="AI1016">
        <v>211.33042738172699</v>
      </c>
      <c r="AJ1016">
        <v>34.996472663139301</v>
      </c>
      <c r="AK1016">
        <v>49.003527336860699</v>
      </c>
    </row>
    <row r="1017" spans="1:37" x14ac:dyDescent="0.3">
      <c r="A1017">
        <v>1016</v>
      </c>
      <c r="B1017">
        <v>79.800003000000004</v>
      </c>
      <c r="C1017">
        <v>33.875</v>
      </c>
      <c r="D1017">
        <v>0.16641700000000001</v>
      </c>
      <c r="E1017" t="s">
        <v>1733</v>
      </c>
      <c r="F1017" t="s">
        <v>1734</v>
      </c>
      <c r="G1017" t="s">
        <v>37</v>
      </c>
      <c r="H1017">
        <v>2007</v>
      </c>
      <c r="I1017">
        <v>22.4940035044621</v>
      </c>
      <c r="J1017">
        <v>12.1000003814697</v>
      </c>
      <c r="K1017">
        <v>85</v>
      </c>
      <c r="L1017">
        <v>5.8030687799739704</v>
      </c>
      <c r="M1017">
        <v>29.894003122992402</v>
      </c>
      <c r="N1017">
        <v>15.794003695197</v>
      </c>
      <c r="O1017">
        <v>14.1000003814697</v>
      </c>
      <c r="P1017">
        <v>22.794002855896299</v>
      </c>
      <c r="Q1017">
        <v>21.594003885931901</v>
      </c>
      <c r="R1017">
        <v>23.194004267401599</v>
      </c>
      <c r="S1017">
        <v>21.594003885931901</v>
      </c>
      <c r="T1017">
        <v>1143.53791887125</v>
      </c>
      <c r="U1017">
        <v>192.239858906526</v>
      </c>
      <c r="V1017">
        <v>42.059964726631399</v>
      </c>
      <c r="W1017">
        <v>45</v>
      </c>
      <c r="X1017">
        <v>466.41975308641997</v>
      </c>
      <c r="Y1017">
        <v>158.239858906526</v>
      </c>
      <c r="Z1017">
        <v>266.31922398589103</v>
      </c>
      <c r="AA1017">
        <v>158.239858906526</v>
      </c>
      <c r="AB1017">
        <v>18.0192595520558</v>
      </c>
      <c r="AC1017">
        <v>2.2161020034993002E-2</v>
      </c>
      <c r="AD1017">
        <v>3.9037628997991098</v>
      </c>
      <c r="AE1017">
        <v>0.47252604365348799</v>
      </c>
      <c r="AF1017">
        <v>1146.46208112875</v>
      </c>
      <c r="AG1017">
        <f>IFERROR(AH1017*0.1, "N/A")</f>
        <v>5.7837837837837807</v>
      </c>
      <c r="AH1017">
        <v>57.837837837837803</v>
      </c>
      <c r="AI1017">
        <v>238.55942057722299</v>
      </c>
      <c r="AJ1017">
        <v>34.200000000000003</v>
      </c>
      <c r="AK1017">
        <v>50.558558558558602</v>
      </c>
    </row>
    <row r="1018" spans="1:37" x14ac:dyDescent="0.3">
      <c r="A1018">
        <v>1017</v>
      </c>
      <c r="B1018">
        <v>95.199996999999996</v>
      </c>
      <c r="C1018">
        <v>33.874901000000001</v>
      </c>
      <c r="D1018">
        <v>0.16655</v>
      </c>
      <c r="E1018" t="s">
        <v>1735</v>
      </c>
      <c r="F1018" t="s">
        <v>1736</v>
      </c>
      <c r="G1018" t="s">
        <v>37</v>
      </c>
      <c r="H1018">
        <v>2004</v>
      </c>
      <c r="I1018">
        <v>22.487676009325899</v>
      </c>
      <c r="J1018">
        <v>12.1000003814697</v>
      </c>
      <c r="K1018">
        <v>85.001760563380302</v>
      </c>
      <c r="L1018">
        <v>5.8218133894490496</v>
      </c>
      <c r="M1018">
        <v>29.8874995742046</v>
      </c>
      <c r="N1018">
        <v>15.787676200060799</v>
      </c>
      <c r="O1018">
        <v>14.0998243244601</v>
      </c>
      <c r="P1018">
        <v>22.787675481447</v>
      </c>
      <c r="Q1018">
        <v>21.5878524478053</v>
      </c>
      <c r="R1018">
        <v>23.187500715255698</v>
      </c>
      <c r="S1018">
        <v>21.5878524478053</v>
      </c>
      <c r="T1018">
        <v>1145.01232394366</v>
      </c>
      <c r="U1018">
        <v>192.494718309859</v>
      </c>
      <c r="V1018">
        <v>42.123239436619698</v>
      </c>
      <c r="W1018">
        <v>45</v>
      </c>
      <c r="X1018">
        <v>466.86795774647902</v>
      </c>
      <c r="Y1018">
        <v>158.49295774647899</v>
      </c>
      <c r="Z1018">
        <v>266.57922535211299</v>
      </c>
      <c r="AA1018">
        <v>158.49295774647899</v>
      </c>
      <c r="AB1018">
        <v>17.779612796407299</v>
      </c>
      <c r="AC1018">
        <v>1.9653971024958999E-2</v>
      </c>
      <c r="AD1018">
        <v>3.87522022573041</v>
      </c>
      <c r="AE1018">
        <v>0.47252604365348799</v>
      </c>
      <c r="AF1018">
        <v>1146.0757042253499</v>
      </c>
      <c r="AG1018">
        <f>IFERROR(AH1018*0.1, "N/A")</f>
        <v>5.7502702702702706</v>
      </c>
      <c r="AH1018">
        <v>57.502702702702699</v>
      </c>
      <c r="AI1018">
        <v>240.97289566255</v>
      </c>
      <c r="AJ1018">
        <v>34.286486486486503</v>
      </c>
      <c r="AK1018">
        <v>50.335135135135097</v>
      </c>
    </row>
    <row r="1019" spans="1:37" x14ac:dyDescent="0.3">
      <c r="A1019">
        <v>1018</v>
      </c>
      <c r="B1019">
        <v>70.599997999999999</v>
      </c>
      <c r="C1019">
        <v>33.183998000000003</v>
      </c>
      <c r="D1019">
        <v>0.17319999999999999</v>
      </c>
      <c r="E1019" t="s">
        <v>1737</v>
      </c>
      <c r="F1019" t="s">
        <v>1738</v>
      </c>
      <c r="G1019" t="s">
        <v>37</v>
      </c>
      <c r="H1019">
        <v>2009</v>
      </c>
      <c r="I1019">
        <v>22</v>
      </c>
      <c r="J1019">
        <v>11.2711775851794</v>
      </c>
      <c r="K1019">
        <v>84</v>
      </c>
      <c r="L1019">
        <v>5.45982422267197</v>
      </c>
      <c r="M1019">
        <v>28.700000762939499</v>
      </c>
      <c r="N1019">
        <v>15.3999996185303</v>
      </c>
      <c r="O1019">
        <v>13.300000190734901</v>
      </c>
      <c r="P1019">
        <v>22.299999237060501</v>
      </c>
      <c r="Q1019">
        <v>21.200000762939499</v>
      </c>
      <c r="R1019">
        <v>22.5</v>
      </c>
      <c r="S1019">
        <v>21.100000381469702</v>
      </c>
      <c r="T1019">
        <v>1509.9824253075601</v>
      </c>
      <c r="U1019">
        <v>234.423550087873</v>
      </c>
      <c r="V1019">
        <v>67</v>
      </c>
      <c r="W1019">
        <v>41</v>
      </c>
      <c r="X1019">
        <v>596.84710017574696</v>
      </c>
      <c r="Y1019">
        <v>219</v>
      </c>
      <c r="Z1019">
        <v>357.42355008787302</v>
      </c>
      <c r="AA1019">
        <v>223.711775043937</v>
      </c>
      <c r="AB1019">
        <v>5.1669853223858003E-2</v>
      </c>
      <c r="AC1019">
        <v>0.166479708253683</v>
      </c>
      <c r="AD1019">
        <v>1.4193224571711001E-2</v>
      </c>
      <c r="AE1019" t="s">
        <v>729</v>
      </c>
      <c r="AF1019">
        <v>1131</v>
      </c>
      <c r="AG1019">
        <f>IFERROR(AH1019*0.1, "N/A")</f>
        <v>5.6000000000000005</v>
      </c>
      <c r="AH1019">
        <v>56</v>
      </c>
      <c r="AI1019">
        <v>3.5160089100601399</v>
      </c>
      <c r="AJ1019">
        <v>42</v>
      </c>
      <c r="AK1019">
        <v>41</v>
      </c>
    </row>
    <row r="1020" spans="1:37" x14ac:dyDescent="0.3">
      <c r="A1020">
        <v>1019</v>
      </c>
      <c r="B1020">
        <v>25</v>
      </c>
      <c r="C1020">
        <v>33.564200999999997</v>
      </c>
      <c r="D1020">
        <v>0.173318</v>
      </c>
      <c r="E1020" t="s">
        <v>1739</v>
      </c>
      <c r="F1020" t="s">
        <v>1740</v>
      </c>
      <c r="G1020" t="s">
        <v>37</v>
      </c>
      <c r="H1020">
        <v>2006</v>
      </c>
      <c r="I1020">
        <v>22.299999237060501</v>
      </c>
      <c r="J1020">
        <v>11.699999809265099</v>
      </c>
      <c r="K1020">
        <v>85</v>
      </c>
      <c r="L1020">
        <v>5.4099998474121103</v>
      </c>
      <c r="M1020">
        <v>29.399999618530298</v>
      </c>
      <c r="N1020">
        <v>15.699999809265099</v>
      </c>
      <c r="O1020">
        <v>13.699999809265099</v>
      </c>
      <c r="P1020">
        <v>22.600000381469702</v>
      </c>
      <c r="Q1020">
        <v>21.399999618530298</v>
      </c>
      <c r="R1020">
        <v>22.899999618530298</v>
      </c>
      <c r="S1020">
        <v>21.399999618530298</v>
      </c>
      <c r="T1020">
        <v>1335</v>
      </c>
      <c r="U1020">
        <v>212</v>
      </c>
      <c r="V1020">
        <v>50</v>
      </c>
      <c r="W1020">
        <v>43</v>
      </c>
      <c r="X1020">
        <v>524</v>
      </c>
      <c r="Y1020">
        <v>178</v>
      </c>
      <c r="Z1020">
        <v>328</v>
      </c>
      <c r="AA1020">
        <v>178</v>
      </c>
      <c r="AB1020">
        <v>19.3757573079141</v>
      </c>
      <c r="AC1020">
        <v>1.3790680534208E-2</v>
      </c>
      <c r="AD1020">
        <v>0.88017758501854004</v>
      </c>
      <c r="AE1020">
        <v>0.68873637914657604</v>
      </c>
      <c r="AF1020">
        <v>1147.3743409490301</v>
      </c>
      <c r="AG1020">
        <f>IFERROR(AH1020*0.1, "N/A")</f>
        <v>6.0277680140597498</v>
      </c>
      <c r="AH1020">
        <v>60.277680140597496</v>
      </c>
      <c r="AI1020">
        <v>125.45379475089101</v>
      </c>
      <c r="AJ1020">
        <v>37.583479789103698</v>
      </c>
      <c r="AK1020">
        <v>44.138840070298798</v>
      </c>
    </row>
    <row r="1021" spans="1:37" x14ac:dyDescent="0.3">
      <c r="A1021">
        <v>1020</v>
      </c>
      <c r="B1021">
        <v>60</v>
      </c>
      <c r="C1021">
        <v>33.521701999999998</v>
      </c>
      <c r="D1021">
        <v>0.17760000000000001</v>
      </c>
      <c r="E1021" t="s">
        <v>1741</v>
      </c>
      <c r="F1021" t="s">
        <v>1742</v>
      </c>
      <c r="G1021" t="s">
        <v>37</v>
      </c>
      <c r="H1021">
        <v>2005</v>
      </c>
      <c r="I1021">
        <v>22.200000762939499</v>
      </c>
      <c r="J1021">
        <v>11.699999809265099</v>
      </c>
      <c r="K1021">
        <v>86</v>
      </c>
      <c r="L1021">
        <v>5.3000001907348597</v>
      </c>
      <c r="M1021">
        <v>29.299999237060501</v>
      </c>
      <c r="N1021">
        <v>15.699999809265099</v>
      </c>
      <c r="O1021">
        <v>13.6000003814697</v>
      </c>
      <c r="P1021">
        <v>22.600000381469702</v>
      </c>
      <c r="Q1021">
        <v>21.399999618530298</v>
      </c>
      <c r="R1021">
        <v>22.799999237060501</v>
      </c>
      <c r="S1021">
        <v>21.399999618530298</v>
      </c>
      <c r="T1021">
        <v>1365</v>
      </c>
      <c r="U1021">
        <v>216</v>
      </c>
      <c r="V1021">
        <v>51</v>
      </c>
      <c r="W1021">
        <v>43</v>
      </c>
      <c r="X1021">
        <v>536</v>
      </c>
      <c r="Y1021">
        <v>182</v>
      </c>
      <c r="Z1021">
        <v>336</v>
      </c>
      <c r="AA1021">
        <v>182</v>
      </c>
      <c r="AB1021">
        <v>6.7487076422451997E-2</v>
      </c>
      <c r="AC1021">
        <v>5.3465166651302E-2</v>
      </c>
      <c r="AD1021">
        <v>0.528525713667509</v>
      </c>
      <c r="AE1021">
        <v>0.36221977261751098</v>
      </c>
      <c r="AF1021">
        <v>1131.1511423550101</v>
      </c>
      <c r="AG1021" t="str">
        <f>IFERROR(AH1021*0.1, "N/A")</f>
        <v>N/A</v>
      </c>
      <c r="AH1021" t="s">
        <v>729</v>
      </c>
      <c r="AI1021">
        <v>75.421515868711595</v>
      </c>
      <c r="AJ1021" t="s">
        <v>729</v>
      </c>
      <c r="AK1021" t="s">
        <v>729</v>
      </c>
    </row>
    <row r="1022" spans="1:37" x14ac:dyDescent="0.3">
      <c r="A1022">
        <v>1021</v>
      </c>
      <c r="B1022">
        <v>86.699996999999996</v>
      </c>
      <c r="C1022">
        <v>33.521701999999998</v>
      </c>
      <c r="D1022">
        <v>0.17763000000000001</v>
      </c>
      <c r="E1022" t="s">
        <v>1743</v>
      </c>
      <c r="F1022" t="s">
        <v>1744</v>
      </c>
      <c r="G1022" t="s">
        <v>37</v>
      </c>
      <c r="H1022">
        <v>2005</v>
      </c>
      <c r="I1022">
        <v>22.200000762939499</v>
      </c>
      <c r="J1022">
        <v>11.699999809265099</v>
      </c>
      <c r="K1022">
        <v>86</v>
      </c>
      <c r="L1022">
        <v>5.3000001907348597</v>
      </c>
      <c r="M1022">
        <v>29.299999237060501</v>
      </c>
      <c r="N1022">
        <v>15.699999809265099</v>
      </c>
      <c r="O1022">
        <v>13.6000003814697</v>
      </c>
      <c r="P1022">
        <v>22.600000381469702</v>
      </c>
      <c r="Q1022">
        <v>21.399999618530298</v>
      </c>
      <c r="R1022">
        <v>22.799999237060501</v>
      </c>
      <c r="S1022">
        <v>21.399999618530298</v>
      </c>
      <c r="T1022">
        <v>1365</v>
      </c>
      <c r="U1022">
        <v>216</v>
      </c>
      <c r="V1022">
        <v>51</v>
      </c>
      <c r="W1022">
        <v>43</v>
      </c>
      <c r="X1022">
        <v>536</v>
      </c>
      <c r="Y1022">
        <v>182</v>
      </c>
      <c r="Z1022">
        <v>336</v>
      </c>
      <c r="AA1022">
        <v>182</v>
      </c>
      <c r="AB1022">
        <v>5.6437605062280002E-2</v>
      </c>
      <c r="AC1022">
        <v>5.4784419754194999E-2</v>
      </c>
      <c r="AD1022">
        <v>0.50207252182868001</v>
      </c>
      <c r="AE1022">
        <v>0.36227907879012</v>
      </c>
      <c r="AF1022">
        <v>1131.1234567901199</v>
      </c>
      <c r="AG1022" t="str">
        <f>IFERROR(AH1022*0.1, "N/A")</f>
        <v>N/A</v>
      </c>
      <c r="AH1022" t="s">
        <v>729</v>
      </c>
      <c r="AI1022">
        <v>75.665142940676006</v>
      </c>
      <c r="AJ1022" t="s">
        <v>729</v>
      </c>
      <c r="AK1022" t="s">
        <v>729</v>
      </c>
    </row>
    <row r="1023" spans="1:37" x14ac:dyDescent="0.3">
      <c r="A1023">
        <v>1022</v>
      </c>
      <c r="B1023">
        <v>90.900002000000001</v>
      </c>
      <c r="C1023">
        <v>33.561100000000003</v>
      </c>
      <c r="D1023">
        <v>0.177817</v>
      </c>
      <c r="E1023" t="s">
        <v>1745</v>
      </c>
      <c r="F1023" t="s">
        <v>1746</v>
      </c>
      <c r="G1023" t="s">
        <v>37</v>
      </c>
      <c r="H1023">
        <v>2004</v>
      </c>
      <c r="I1023">
        <v>22.100000381469702</v>
      </c>
      <c r="J1023">
        <v>11.699999809265099</v>
      </c>
      <c r="K1023">
        <v>85</v>
      </c>
      <c r="L1023">
        <v>5.3800001144409197</v>
      </c>
      <c r="M1023">
        <v>29.299999237060501</v>
      </c>
      <c r="N1023">
        <v>15.6000003814697</v>
      </c>
      <c r="O1023">
        <v>13.699999809265099</v>
      </c>
      <c r="P1023">
        <v>22.399999618530298</v>
      </c>
      <c r="Q1023">
        <v>21.299999237060501</v>
      </c>
      <c r="R1023">
        <v>22.799999237060501</v>
      </c>
      <c r="S1023">
        <v>21.299999237060501</v>
      </c>
      <c r="T1023">
        <v>1348</v>
      </c>
      <c r="U1023">
        <v>213</v>
      </c>
      <c r="V1023">
        <v>51</v>
      </c>
      <c r="W1023">
        <v>43</v>
      </c>
      <c r="X1023">
        <v>526</v>
      </c>
      <c r="Y1023">
        <v>181</v>
      </c>
      <c r="Z1023">
        <v>330</v>
      </c>
      <c r="AA1023">
        <v>181</v>
      </c>
      <c r="AB1023">
        <v>23.514226662044202</v>
      </c>
      <c r="AC1023">
        <v>1.5998987791983998E-2</v>
      </c>
      <c r="AD1023">
        <v>1.10681302790483</v>
      </c>
      <c r="AE1023">
        <v>0.68873637914657604</v>
      </c>
      <c r="AF1023">
        <v>1155</v>
      </c>
      <c r="AG1023">
        <f>IFERROR(AH1023*0.1, "N/A")</f>
        <v>5.7</v>
      </c>
      <c r="AH1023">
        <v>57</v>
      </c>
      <c r="AI1023">
        <v>191.57133449024801</v>
      </c>
      <c r="AJ1023">
        <v>33</v>
      </c>
      <c r="AK1023">
        <v>48</v>
      </c>
    </row>
    <row r="1024" spans="1:37" x14ac:dyDescent="0.3">
      <c r="A1024">
        <v>1023</v>
      </c>
      <c r="B1024">
        <v>100</v>
      </c>
      <c r="C1024">
        <v>33.215198999999998</v>
      </c>
      <c r="D1024">
        <v>0.185583</v>
      </c>
      <c r="E1024" t="s">
        <v>1747</v>
      </c>
      <c r="F1024" t="s">
        <v>1748</v>
      </c>
      <c r="G1024" t="s">
        <v>37</v>
      </c>
      <c r="H1024">
        <v>2009</v>
      </c>
      <c r="I1024">
        <v>22</v>
      </c>
      <c r="J1024">
        <v>11.300000190734901</v>
      </c>
      <c r="K1024">
        <v>84</v>
      </c>
      <c r="L1024">
        <v>5.46000003814697</v>
      </c>
      <c r="M1024">
        <v>28.899999618530298</v>
      </c>
      <c r="N1024">
        <v>15.5</v>
      </c>
      <c r="O1024">
        <v>13.3999996185303</v>
      </c>
      <c r="P1024">
        <v>22.299999237060501</v>
      </c>
      <c r="Q1024">
        <v>21.299999237060501</v>
      </c>
      <c r="R1024">
        <v>22.600000381469702</v>
      </c>
      <c r="S1024">
        <v>21.200000762939499</v>
      </c>
      <c r="T1024">
        <v>1512</v>
      </c>
      <c r="U1024">
        <v>237</v>
      </c>
      <c r="V1024">
        <v>67</v>
      </c>
      <c r="W1024">
        <v>41</v>
      </c>
      <c r="X1024">
        <v>602</v>
      </c>
      <c r="Y1024">
        <v>216</v>
      </c>
      <c r="Z1024">
        <v>357</v>
      </c>
      <c r="AA1024">
        <v>222</v>
      </c>
      <c r="AB1024">
        <v>1.3721340388007099</v>
      </c>
      <c r="AC1024">
        <v>2.4346944463736999E-2</v>
      </c>
      <c r="AD1024">
        <v>0.941624559422649</v>
      </c>
      <c r="AE1024">
        <v>0.30316096544265703</v>
      </c>
      <c r="AF1024">
        <v>1131.51499118166</v>
      </c>
      <c r="AG1024" t="str">
        <f>IFERROR(AH1024*0.1, "N/A")</f>
        <v>N/A</v>
      </c>
      <c r="AH1024" t="s">
        <v>729</v>
      </c>
      <c r="AI1024">
        <v>120.680454906753</v>
      </c>
      <c r="AJ1024" t="s">
        <v>729</v>
      </c>
      <c r="AK1024" t="s">
        <v>729</v>
      </c>
    </row>
    <row r="1025" spans="1:37" x14ac:dyDescent="0.3">
      <c r="A1025">
        <v>1024</v>
      </c>
      <c r="B1025">
        <v>54.200001</v>
      </c>
      <c r="C1025">
        <v>33.865001999999997</v>
      </c>
      <c r="D1025">
        <v>0.193133</v>
      </c>
      <c r="E1025" t="s">
        <v>1749</v>
      </c>
      <c r="F1025" t="s">
        <v>1750</v>
      </c>
      <c r="G1025" t="s">
        <v>37</v>
      </c>
      <c r="H1025">
        <v>2007</v>
      </c>
      <c r="I1025">
        <v>22.299999237060501</v>
      </c>
      <c r="J1025">
        <v>12.1000003814697</v>
      </c>
      <c r="K1025">
        <v>86</v>
      </c>
      <c r="L1025">
        <v>5.6399998664856001</v>
      </c>
      <c r="M1025">
        <v>29.700000762939499</v>
      </c>
      <c r="N1025">
        <v>15.699999809265099</v>
      </c>
      <c r="O1025">
        <v>14</v>
      </c>
      <c r="P1025">
        <v>22.600000381469702</v>
      </c>
      <c r="Q1025">
        <v>21.5</v>
      </c>
      <c r="R1025">
        <v>23</v>
      </c>
      <c r="S1025">
        <v>21.5</v>
      </c>
      <c r="T1025">
        <v>1203</v>
      </c>
      <c r="U1025">
        <v>201</v>
      </c>
      <c r="V1025">
        <v>46</v>
      </c>
      <c r="W1025">
        <v>44</v>
      </c>
      <c r="X1025">
        <v>483</v>
      </c>
      <c r="Y1025">
        <v>171</v>
      </c>
      <c r="Z1025">
        <v>275</v>
      </c>
      <c r="AA1025">
        <v>171</v>
      </c>
      <c r="AB1025">
        <v>12.071416945684501</v>
      </c>
      <c r="AC1025">
        <v>4.1005367492005E-2</v>
      </c>
      <c r="AD1025">
        <v>2.0171444542193502</v>
      </c>
      <c r="AE1025">
        <v>0.56588552080134202</v>
      </c>
      <c r="AF1025">
        <v>1159.34744268078</v>
      </c>
      <c r="AG1025">
        <f>IFERROR(AH1025*0.1, "N/A")</f>
        <v>5.9971781305114602</v>
      </c>
      <c r="AH1025">
        <v>59.971781305114597</v>
      </c>
      <c r="AI1025">
        <v>68.733572705923095</v>
      </c>
      <c r="AJ1025">
        <v>33.283950617283899</v>
      </c>
      <c r="AK1025">
        <v>50.432098765432102</v>
      </c>
    </row>
    <row r="1026" spans="1:37" x14ac:dyDescent="0.3">
      <c r="A1026">
        <v>1025</v>
      </c>
      <c r="B1026">
        <v>59.700001</v>
      </c>
      <c r="C1026">
        <v>33.864601</v>
      </c>
      <c r="D1026">
        <v>0.193717</v>
      </c>
      <c r="E1026" t="s">
        <v>1751</v>
      </c>
      <c r="F1026" t="s">
        <v>1752</v>
      </c>
      <c r="G1026" t="s">
        <v>37</v>
      </c>
      <c r="H1026">
        <v>2004</v>
      </c>
      <c r="I1026">
        <v>22.299999237060501</v>
      </c>
      <c r="J1026">
        <v>12.1000003814697</v>
      </c>
      <c r="K1026">
        <v>86</v>
      </c>
      <c r="L1026">
        <v>5.6399998664856001</v>
      </c>
      <c r="M1026">
        <v>29.700000762939499</v>
      </c>
      <c r="N1026">
        <v>15.699999809265099</v>
      </c>
      <c r="O1026">
        <v>14</v>
      </c>
      <c r="P1026">
        <v>22.600000381469702</v>
      </c>
      <c r="Q1026">
        <v>21.5</v>
      </c>
      <c r="R1026">
        <v>23</v>
      </c>
      <c r="S1026">
        <v>21.5</v>
      </c>
      <c r="T1026">
        <v>1203</v>
      </c>
      <c r="U1026">
        <v>201</v>
      </c>
      <c r="V1026">
        <v>46</v>
      </c>
      <c r="W1026">
        <v>44</v>
      </c>
      <c r="X1026">
        <v>483</v>
      </c>
      <c r="Y1026">
        <v>171</v>
      </c>
      <c r="Z1026">
        <v>275</v>
      </c>
      <c r="AA1026">
        <v>171</v>
      </c>
      <c r="AB1026">
        <v>10.6736931371941</v>
      </c>
      <c r="AC1026">
        <v>4.3975240992780003E-2</v>
      </c>
      <c r="AD1026">
        <v>2.4724504336898701</v>
      </c>
      <c r="AE1026">
        <v>0.58722375236070601</v>
      </c>
      <c r="AF1026">
        <v>1157.25925925926</v>
      </c>
      <c r="AG1026">
        <f>IFERROR(AH1026*0.1, "N/A")</f>
        <v>5.9749559082892398</v>
      </c>
      <c r="AH1026">
        <v>59.749559082892397</v>
      </c>
      <c r="AI1026">
        <v>156.782104919407</v>
      </c>
      <c r="AJ1026">
        <v>32.902998236331598</v>
      </c>
      <c r="AK1026">
        <v>51.194003527336903</v>
      </c>
    </row>
    <row r="1027" spans="1:37" x14ac:dyDescent="0.3">
      <c r="A1027">
        <v>1026</v>
      </c>
      <c r="B1027">
        <v>46.700001</v>
      </c>
      <c r="C1027">
        <v>33.501598000000001</v>
      </c>
      <c r="D1027">
        <v>0.1963</v>
      </c>
      <c r="E1027" t="s">
        <v>1753</v>
      </c>
      <c r="F1027" t="s">
        <v>1754</v>
      </c>
      <c r="G1027" t="s">
        <v>37</v>
      </c>
      <c r="H1027">
        <v>2010</v>
      </c>
      <c r="I1027">
        <v>22</v>
      </c>
      <c r="J1027">
        <v>11.6000003814697</v>
      </c>
      <c r="K1027">
        <v>84</v>
      </c>
      <c r="L1027">
        <v>5.6999998092651403</v>
      </c>
      <c r="M1027">
        <v>29.200000762939499</v>
      </c>
      <c r="N1027">
        <v>15.5</v>
      </c>
      <c r="O1027">
        <v>13.699999809265099</v>
      </c>
      <c r="P1027">
        <v>22.299999237060501</v>
      </c>
      <c r="Q1027">
        <v>21.200000762939499</v>
      </c>
      <c r="R1027">
        <v>22.700000762939499</v>
      </c>
      <c r="S1027">
        <v>21.200000762939499</v>
      </c>
      <c r="T1027">
        <v>1392</v>
      </c>
      <c r="U1027">
        <v>219</v>
      </c>
      <c r="V1027">
        <v>53</v>
      </c>
      <c r="W1027">
        <v>42</v>
      </c>
      <c r="X1027">
        <v>541</v>
      </c>
      <c r="Y1027">
        <v>188</v>
      </c>
      <c r="Z1027">
        <v>340</v>
      </c>
      <c r="AA1027">
        <v>188</v>
      </c>
      <c r="AB1027">
        <v>22.7105704294124</v>
      </c>
      <c r="AC1027">
        <v>1.8645657277272999E-2</v>
      </c>
      <c r="AD1027">
        <v>1.5199028746762799</v>
      </c>
      <c r="AE1027">
        <v>0.46440738439559898</v>
      </c>
      <c r="AF1027">
        <v>1160.5792253521099</v>
      </c>
      <c r="AG1027">
        <f>IFERROR(AH1027*0.1, "N/A")</f>
        <v>5.2852112676056304</v>
      </c>
      <c r="AH1027">
        <v>52.852112676056301</v>
      </c>
      <c r="AI1027">
        <v>249.05257864401401</v>
      </c>
      <c r="AJ1027">
        <v>38.248239436619698</v>
      </c>
      <c r="AK1027">
        <v>43.459507042253499</v>
      </c>
    </row>
    <row r="1028" spans="1:37" x14ac:dyDescent="0.3">
      <c r="A1028">
        <v>1027</v>
      </c>
      <c r="B1028">
        <v>89.099997999999999</v>
      </c>
      <c r="C1028">
        <v>33.893101000000001</v>
      </c>
      <c r="D1028">
        <v>0.20765</v>
      </c>
      <c r="E1028" t="s">
        <v>1755</v>
      </c>
      <c r="F1028" t="s">
        <v>1756</v>
      </c>
      <c r="G1028" t="s">
        <v>37</v>
      </c>
      <c r="H1028">
        <v>2004</v>
      </c>
      <c r="I1028">
        <v>22.494708974525398</v>
      </c>
      <c r="J1028">
        <v>12.1000003814697</v>
      </c>
      <c r="K1028">
        <v>86.947089947090006</v>
      </c>
      <c r="L1028">
        <v>5.2056085268656398</v>
      </c>
      <c r="M1028">
        <v>29.799999237060501</v>
      </c>
      <c r="N1028">
        <v>15.8947086182852</v>
      </c>
      <c r="O1028">
        <v>13.9052906440049</v>
      </c>
      <c r="P1028">
        <v>22.6973552502022</v>
      </c>
      <c r="Q1028">
        <v>21.694709737464901</v>
      </c>
      <c r="R1028">
        <v>23.097354868732399</v>
      </c>
      <c r="S1028">
        <v>21.694709737464901</v>
      </c>
      <c r="T1028">
        <v>1184.7671957672001</v>
      </c>
      <c r="U1028">
        <v>198.132275132275</v>
      </c>
      <c r="V1028">
        <v>45.0529100529101</v>
      </c>
      <c r="W1028">
        <v>44</v>
      </c>
      <c r="X1028">
        <v>476.23809523809501</v>
      </c>
      <c r="Y1028">
        <v>171.15873015873001</v>
      </c>
      <c r="Z1028">
        <v>266.13227513227503</v>
      </c>
      <c r="AA1028">
        <v>171.15873015873001</v>
      </c>
      <c r="AB1028">
        <v>9.5776393022486808</v>
      </c>
      <c r="AC1028">
        <v>1.7201131462683001E-2</v>
      </c>
      <c r="AD1028">
        <v>2.4400808449565199</v>
      </c>
      <c r="AE1028">
        <v>0.67049666077581904</v>
      </c>
      <c r="AF1028">
        <v>1146.7248677248699</v>
      </c>
      <c r="AG1028">
        <f>IFERROR(AH1028*0.1, "N/A")</f>
        <v>5.9864197530864205</v>
      </c>
      <c r="AH1028">
        <v>59.864197530864203</v>
      </c>
      <c r="AI1028">
        <v>225.394935379163</v>
      </c>
      <c r="AJ1028">
        <v>32.820105820105802</v>
      </c>
      <c r="AK1028">
        <v>51.735449735449698</v>
      </c>
    </row>
    <row r="1029" spans="1:37" x14ac:dyDescent="0.3">
      <c r="A1029">
        <v>1028</v>
      </c>
      <c r="B1029">
        <v>0</v>
      </c>
      <c r="C1029">
        <v>32.072299999999998</v>
      </c>
      <c r="D1029">
        <v>0.209617</v>
      </c>
      <c r="E1029" t="s">
        <v>1757</v>
      </c>
      <c r="F1029" t="s">
        <v>1758</v>
      </c>
      <c r="G1029" t="s">
        <v>37</v>
      </c>
      <c r="H1029">
        <v>2004</v>
      </c>
      <c r="I1029">
        <v>21.200000762939499</v>
      </c>
      <c r="J1029">
        <v>11.1000003814697</v>
      </c>
      <c r="K1029">
        <v>83</v>
      </c>
      <c r="L1029">
        <v>4.9800000190734899</v>
      </c>
      <c r="M1029">
        <v>27.899999618530298</v>
      </c>
      <c r="N1029">
        <v>14.6000003814697</v>
      </c>
      <c r="O1029">
        <v>13.300000190734901</v>
      </c>
      <c r="P1029">
        <v>21.5</v>
      </c>
      <c r="Q1029">
        <v>20.399999618530298</v>
      </c>
      <c r="R1029">
        <v>21.700000762939499</v>
      </c>
      <c r="S1029">
        <v>20.399999618530298</v>
      </c>
      <c r="T1029">
        <v>1215</v>
      </c>
      <c r="U1029">
        <v>166</v>
      </c>
      <c r="V1029">
        <v>47</v>
      </c>
      <c r="W1029">
        <v>36</v>
      </c>
      <c r="X1029">
        <v>401</v>
      </c>
      <c r="Y1029">
        <v>188</v>
      </c>
      <c r="Z1029">
        <v>259</v>
      </c>
      <c r="AA1029">
        <v>188</v>
      </c>
      <c r="AB1029">
        <v>31.575367457430101</v>
      </c>
      <c r="AC1029">
        <v>2.2046703760001E-2</v>
      </c>
      <c r="AD1029">
        <v>5.30232459138817</v>
      </c>
      <c r="AE1029">
        <v>0.68049935597768996</v>
      </c>
      <c r="AF1029">
        <v>1226.5545774647901</v>
      </c>
      <c r="AG1029">
        <f>IFERROR(AH1029*0.1, "N/A")</f>
        <v>5.8704225352112704</v>
      </c>
      <c r="AH1029">
        <v>58.704225352112701</v>
      </c>
      <c r="AI1029">
        <v>112.42290097894799</v>
      </c>
      <c r="AJ1029">
        <v>34.535211267605597</v>
      </c>
      <c r="AK1029">
        <v>47.2341549295775</v>
      </c>
    </row>
    <row r="1030" spans="1:37" x14ac:dyDescent="0.3">
      <c r="A1030">
        <v>1029</v>
      </c>
      <c r="B1030">
        <v>72.599997999999999</v>
      </c>
      <c r="C1030">
        <v>33.909401000000003</v>
      </c>
      <c r="D1030">
        <v>0.23191700000000001</v>
      </c>
      <c r="E1030" t="s">
        <v>1759</v>
      </c>
      <c r="F1030" t="s">
        <v>1760</v>
      </c>
      <c r="G1030" t="s">
        <v>37</v>
      </c>
      <c r="H1030">
        <v>2004</v>
      </c>
      <c r="I1030">
        <v>22.299999237060501</v>
      </c>
      <c r="J1030">
        <v>12.1000003814697</v>
      </c>
      <c r="K1030">
        <v>85.973591549295804</v>
      </c>
      <c r="L1030">
        <v>5.4213204912736401</v>
      </c>
      <c r="M1030">
        <v>29.799999237060501</v>
      </c>
      <c r="N1030">
        <v>15.7973593355904</v>
      </c>
      <c r="O1030">
        <v>14.002640855144399</v>
      </c>
      <c r="P1030">
        <v>22.600000381469702</v>
      </c>
      <c r="Q1030">
        <v>21.597359526325299</v>
      </c>
      <c r="R1030">
        <v>23</v>
      </c>
      <c r="S1030">
        <v>21.597359526325299</v>
      </c>
      <c r="T1030">
        <v>1226.36971830986</v>
      </c>
      <c r="U1030">
        <v>204.05281690140799</v>
      </c>
      <c r="V1030">
        <v>48.026408450704203</v>
      </c>
      <c r="W1030">
        <v>43</v>
      </c>
      <c r="X1030">
        <v>487.13204225352098</v>
      </c>
      <c r="Y1030">
        <v>183.05281690140799</v>
      </c>
      <c r="Z1030">
        <v>269.10563380281701</v>
      </c>
      <c r="AA1030">
        <v>183.05281690140799</v>
      </c>
      <c r="AB1030">
        <v>29.797947413484799</v>
      </c>
      <c r="AC1030">
        <v>9.7667512624900008E-3</v>
      </c>
      <c r="AD1030">
        <v>2.4331188974246198</v>
      </c>
      <c r="AE1030">
        <v>0.67348010082479903</v>
      </c>
      <c r="AF1030">
        <v>1170.1338028169</v>
      </c>
      <c r="AG1030">
        <f>IFERROR(AH1030*0.1, "N/A")</f>
        <v>5.8082746478873197</v>
      </c>
      <c r="AH1030">
        <v>58.082746478873197</v>
      </c>
      <c r="AI1030">
        <v>175.39126785036501</v>
      </c>
      <c r="AJ1030">
        <v>32.029929577464799</v>
      </c>
      <c r="AK1030">
        <v>53.026408450704203</v>
      </c>
    </row>
    <row r="1031" spans="1:37" x14ac:dyDescent="0.3">
      <c r="A1031">
        <v>1030</v>
      </c>
      <c r="B1031">
        <v>31.4</v>
      </c>
      <c r="C1031">
        <v>33.255299000000001</v>
      </c>
      <c r="D1031">
        <v>0.23778299999999999</v>
      </c>
      <c r="E1031" t="s">
        <v>1761</v>
      </c>
      <c r="F1031" t="s">
        <v>1762</v>
      </c>
      <c r="G1031" t="s">
        <v>37</v>
      </c>
      <c r="H1031">
        <v>2004</v>
      </c>
      <c r="I1031">
        <v>21.799999237060501</v>
      </c>
      <c r="J1031">
        <v>11.3999996185303</v>
      </c>
      <c r="K1031">
        <v>85</v>
      </c>
      <c r="L1031">
        <v>5.1900000572204599</v>
      </c>
      <c r="M1031">
        <v>28.700000762939499</v>
      </c>
      <c r="N1031">
        <v>15.300000190734901</v>
      </c>
      <c r="O1031">
        <v>13.3999996185303</v>
      </c>
      <c r="P1031">
        <v>22.200000762939499</v>
      </c>
      <c r="Q1031">
        <v>21</v>
      </c>
      <c r="R1031">
        <v>22.399999618530298</v>
      </c>
      <c r="S1031">
        <v>21</v>
      </c>
      <c r="T1031">
        <v>1503</v>
      </c>
      <c r="U1031">
        <v>236</v>
      </c>
      <c r="V1031">
        <v>67</v>
      </c>
      <c r="W1031">
        <v>41</v>
      </c>
      <c r="X1031">
        <v>589</v>
      </c>
      <c r="Y1031">
        <v>222</v>
      </c>
      <c r="Z1031">
        <v>350</v>
      </c>
      <c r="AA1031">
        <v>222</v>
      </c>
      <c r="AB1031">
        <v>4.7395455036934298</v>
      </c>
      <c r="AC1031">
        <v>1.7719442487296599</v>
      </c>
      <c r="AD1031">
        <v>8.8545520058415708</v>
      </c>
      <c r="AE1031">
        <v>0.63959950208663896</v>
      </c>
      <c r="AF1031">
        <v>1177.0632688927899</v>
      </c>
      <c r="AG1031">
        <f>IFERROR(AH1031*0.1, "N/A")</f>
        <v>5.1000000000000005</v>
      </c>
      <c r="AH1031">
        <v>51</v>
      </c>
      <c r="AI1031">
        <v>259.623760967556</v>
      </c>
      <c r="AJ1031">
        <v>39</v>
      </c>
      <c r="AK1031">
        <v>43</v>
      </c>
    </row>
    <row r="1032" spans="1:37" x14ac:dyDescent="0.3">
      <c r="A1032">
        <v>1031</v>
      </c>
      <c r="B1032">
        <v>81</v>
      </c>
      <c r="C1032">
        <v>33.945301000000001</v>
      </c>
      <c r="D1032">
        <v>0.23826700000000001</v>
      </c>
      <c r="E1032" t="s">
        <v>1763</v>
      </c>
      <c r="F1032" t="s">
        <v>1764</v>
      </c>
      <c r="G1032" t="s">
        <v>37</v>
      </c>
      <c r="H1032">
        <v>2007</v>
      </c>
      <c r="I1032">
        <v>22.299999237060501</v>
      </c>
      <c r="J1032">
        <v>12.199999809265099</v>
      </c>
      <c r="K1032">
        <v>85</v>
      </c>
      <c r="L1032">
        <v>5.9699997901916504</v>
      </c>
      <c r="M1032">
        <v>29.799999237060501</v>
      </c>
      <c r="N1032">
        <v>15.6000003814697</v>
      </c>
      <c r="O1032">
        <v>14.199999809265099</v>
      </c>
      <c r="P1032">
        <v>22.600000381469702</v>
      </c>
      <c r="Q1032">
        <v>21.399999618530298</v>
      </c>
      <c r="R1032">
        <v>23</v>
      </c>
      <c r="S1032">
        <v>21.399999618530298</v>
      </c>
      <c r="T1032">
        <v>1250</v>
      </c>
      <c r="U1032">
        <v>208</v>
      </c>
      <c r="V1032">
        <v>50</v>
      </c>
      <c r="W1032">
        <v>43</v>
      </c>
      <c r="X1032">
        <v>495</v>
      </c>
      <c r="Y1032">
        <v>191</v>
      </c>
      <c r="Z1032">
        <v>269</v>
      </c>
      <c r="AA1032">
        <v>191</v>
      </c>
      <c r="AB1032">
        <v>37.439604853240503</v>
      </c>
      <c r="AC1032">
        <v>9.300230553006E-3</v>
      </c>
      <c r="AD1032">
        <v>1.56343763122256</v>
      </c>
      <c r="AE1032">
        <v>0.68585380135287699</v>
      </c>
      <c r="AF1032">
        <v>1169.4665492957699</v>
      </c>
      <c r="AG1032">
        <f>IFERROR(AH1032*0.1, "N/A")</f>
        <v>5.6325704225352098</v>
      </c>
      <c r="AH1032">
        <v>56.325704225352098</v>
      </c>
      <c r="AI1032">
        <v>138.33112118277799</v>
      </c>
      <c r="AJ1032">
        <v>34.431338028169002</v>
      </c>
      <c r="AK1032">
        <v>46.853873239436602</v>
      </c>
    </row>
    <row r="1033" spans="1:37" x14ac:dyDescent="0.3">
      <c r="A1033">
        <v>1032</v>
      </c>
      <c r="B1033">
        <v>52.900002000000001</v>
      </c>
      <c r="C1033">
        <v>33.137099999999997</v>
      </c>
      <c r="D1033">
        <v>0.24030000000000001</v>
      </c>
      <c r="E1033" t="s">
        <v>1765</v>
      </c>
      <c r="F1033" t="s">
        <v>1766</v>
      </c>
      <c r="G1033" t="s">
        <v>37</v>
      </c>
      <c r="H1033">
        <v>2009</v>
      </c>
      <c r="I1033">
        <v>22</v>
      </c>
      <c r="J1033">
        <v>11.300000190734901</v>
      </c>
      <c r="K1033">
        <v>84</v>
      </c>
      <c r="L1033">
        <v>5.3800001144409197</v>
      </c>
      <c r="M1033">
        <v>28.799999237060501</v>
      </c>
      <c r="N1033">
        <v>15.5</v>
      </c>
      <c r="O1033">
        <v>13.300000190734901</v>
      </c>
      <c r="P1033">
        <v>22.399999618530298</v>
      </c>
      <c r="Q1033">
        <v>21.200000762939499</v>
      </c>
      <c r="R1033">
        <v>22.600000381469702</v>
      </c>
      <c r="S1033">
        <v>21.200000762939499</v>
      </c>
      <c r="T1033">
        <v>1416</v>
      </c>
      <c r="U1033">
        <v>215</v>
      </c>
      <c r="V1033">
        <v>66</v>
      </c>
      <c r="W1033">
        <v>37</v>
      </c>
      <c r="X1033">
        <v>534</v>
      </c>
      <c r="Y1033">
        <v>221</v>
      </c>
      <c r="Z1033">
        <v>322</v>
      </c>
      <c r="AA1033">
        <v>221</v>
      </c>
      <c r="AB1033">
        <v>4.34773082464514</v>
      </c>
      <c r="AC1033">
        <v>7.4537291834261998E-2</v>
      </c>
      <c r="AD1033">
        <v>3.2545851892988402</v>
      </c>
      <c r="AE1033">
        <v>0.45857045054435702</v>
      </c>
      <c r="AF1033">
        <v>1133.8661971831</v>
      </c>
      <c r="AG1033" t="str">
        <f>IFERROR(AH1033*0.1, "N/A")</f>
        <v>N/A</v>
      </c>
      <c r="AH1033" t="s">
        <v>729</v>
      </c>
      <c r="AI1033">
        <v>88.887085041529701</v>
      </c>
      <c r="AJ1033" t="s">
        <v>729</v>
      </c>
      <c r="AK1033" t="s">
        <v>729</v>
      </c>
    </row>
    <row r="1034" spans="1:37" x14ac:dyDescent="0.3">
      <c r="A1034">
        <v>1033</v>
      </c>
      <c r="B1034">
        <v>78.699996999999996</v>
      </c>
      <c r="C1034">
        <v>33.943401000000001</v>
      </c>
      <c r="D1034">
        <v>0.24531700000000001</v>
      </c>
      <c r="E1034" t="s">
        <v>1767</v>
      </c>
      <c r="F1034" t="s">
        <v>1768</v>
      </c>
      <c r="G1034" t="s">
        <v>37</v>
      </c>
      <c r="H1034">
        <v>2004</v>
      </c>
      <c r="I1034">
        <v>22.200000762939499</v>
      </c>
      <c r="J1034">
        <v>12.199999809265099</v>
      </c>
      <c r="K1034">
        <v>86</v>
      </c>
      <c r="L1034">
        <v>5.4400000572204599</v>
      </c>
      <c r="M1034">
        <v>29.799999237060501</v>
      </c>
      <c r="N1034">
        <v>15.699999809265099</v>
      </c>
      <c r="O1034">
        <v>14.1000003814697</v>
      </c>
      <c r="P1034">
        <v>22.600000381469702</v>
      </c>
      <c r="Q1034">
        <v>21.5</v>
      </c>
      <c r="R1034">
        <v>22.899999618530298</v>
      </c>
      <c r="S1034">
        <v>21.5</v>
      </c>
      <c r="T1034">
        <v>1267</v>
      </c>
      <c r="U1034">
        <v>210</v>
      </c>
      <c r="V1034">
        <v>51</v>
      </c>
      <c r="W1034">
        <v>43</v>
      </c>
      <c r="X1034">
        <v>500</v>
      </c>
      <c r="Y1034">
        <v>196</v>
      </c>
      <c r="Z1034">
        <v>270</v>
      </c>
      <c r="AA1034">
        <v>196</v>
      </c>
      <c r="AB1034">
        <v>35.460485839843699</v>
      </c>
      <c r="AC1034">
        <v>1.0002401528324E-2</v>
      </c>
      <c r="AD1034">
        <v>2.0360829987023998</v>
      </c>
      <c r="AE1034">
        <v>0.71757119894027699</v>
      </c>
      <c r="AF1034">
        <v>1178.3649122807001</v>
      </c>
      <c r="AG1034">
        <f>IFERROR(AH1034*0.1, "N/A")</f>
        <v>5.8000000000000007</v>
      </c>
      <c r="AH1034">
        <v>58</v>
      </c>
      <c r="AI1034">
        <v>167.37051801179601</v>
      </c>
      <c r="AJ1034">
        <v>40.650877192982399</v>
      </c>
      <c r="AK1034">
        <v>39.987719298245601</v>
      </c>
    </row>
    <row r="1035" spans="1:37" x14ac:dyDescent="0.3">
      <c r="A1035">
        <v>1034</v>
      </c>
      <c r="B1035">
        <v>76.199996999999996</v>
      </c>
      <c r="C1035">
        <v>33.943297999999999</v>
      </c>
      <c r="D1035">
        <v>0.24548300000000001</v>
      </c>
      <c r="E1035" t="s">
        <v>1769</v>
      </c>
      <c r="F1035" t="s">
        <v>1770</v>
      </c>
      <c r="G1035" t="s">
        <v>37</v>
      </c>
      <c r="H1035">
        <v>2007</v>
      </c>
      <c r="I1035">
        <v>22.200000762939499</v>
      </c>
      <c r="J1035">
        <v>12.199999809265099</v>
      </c>
      <c r="K1035">
        <v>86</v>
      </c>
      <c r="L1035">
        <v>5.4400000572204599</v>
      </c>
      <c r="M1035">
        <v>29.799999237060501</v>
      </c>
      <c r="N1035">
        <v>15.699999809265099</v>
      </c>
      <c r="O1035">
        <v>14.1000003814697</v>
      </c>
      <c r="P1035">
        <v>22.600000381469702</v>
      </c>
      <c r="Q1035">
        <v>21.5</v>
      </c>
      <c r="R1035">
        <v>22.899999618530298</v>
      </c>
      <c r="S1035">
        <v>21.5</v>
      </c>
      <c r="T1035">
        <v>1267</v>
      </c>
      <c r="U1035">
        <v>210</v>
      </c>
      <c r="V1035">
        <v>51</v>
      </c>
      <c r="W1035">
        <v>43</v>
      </c>
      <c r="X1035">
        <v>500</v>
      </c>
      <c r="Y1035">
        <v>196</v>
      </c>
      <c r="Z1035">
        <v>270</v>
      </c>
      <c r="AA1035">
        <v>196</v>
      </c>
      <c r="AB1035">
        <v>35.687411574508602</v>
      </c>
      <c r="AC1035">
        <v>9.9522731375520004E-3</v>
      </c>
      <c r="AD1035">
        <v>1.97706164382793</v>
      </c>
      <c r="AE1035">
        <v>0.71757119894027699</v>
      </c>
      <c r="AF1035">
        <v>1178.71378091873</v>
      </c>
      <c r="AG1035">
        <f>IFERROR(AH1035*0.1, "N/A")</f>
        <v>5.8000000000000007</v>
      </c>
      <c r="AH1035">
        <v>58</v>
      </c>
      <c r="AI1035">
        <v>167.72328841138599</v>
      </c>
      <c r="AJ1035">
        <v>40.694346289752602</v>
      </c>
      <c r="AK1035">
        <v>39.727915194346302</v>
      </c>
    </row>
    <row r="1036" spans="1:37" x14ac:dyDescent="0.3">
      <c r="A1036">
        <v>1035</v>
      </c>
      <c r="B1036">
        <v>41.700001</v>
      </c>
      <c r="C1036">
        <v>33.993400999999999</v>
      </c>
      <c r="D1036">
        <v>0.247283</v>
      </c>
      <c r="E1036" t="s">
        <v>1771</v>
      </c>
      <c r="F1036" t="s">
        <v>1772</v>
      </c>
      <c r="G1036" t="s">
        <v>37</v>
      </c>
      <c r="H1036">
        <v>2007</v>
      </c>
      <c r="I1036">
        <v>22.5</v>
      </c>
      <c r="J1036">
        <v>12.199999809265099</v>
      </c>
      <c r="K1036">
        <v>85</v>
      </c>
      <c r="L1036">
        <v>5.78999996185303</v>
      </c>
      <c r="M1036">
        <v>30.100000381469702</v>
      </c>
      <c r="N1036">
        <v>15.800000190734901</v>
      </c>
      <c r="O1036">
        <v>14.300000190734901</v>
      </c>
      <c r="P1036">
        <v>22.799999237060501</v>
      </c>
      <c r="Q1036">
        <v>21.700000762939499</v>
      </c>
      <c r="R1036">
        <v>23.200000762939499</v>
      </c>
      <c r="S1036">
        <v>21.700000762939499</v>
      </c>
      <c r="T1036">
        <v>1242</v>
      </c>
      <c r="U1036">
        <v>205</v>
      </c>
      <c r="V1036">
        <v>51</v>
      </c>
      <c r="W1036">
        <v>43</v>
      </c>
      <c r="X1036">
        <v>488</v>
      </c>
      <c r="Y1036">
        <v>198</v>
      </c>
      <c r="Z1036">
        <v>259</v>
      </c>
      <c r="AA1036">
        <v>198</v>
      </c>
      <c r="AB1036">
        <v>20.0641190491801</v>
      </c>
      <c r="AC1036">
        <v>1.8198010366896999E-2</v>
      </c>
      <c r="AD1036">
        <v>3.7205613687265902</v>
      </c>
      <c r="AE1036">
        <v>0.32241755723953203</v>
      </c>
      <c r="AF1036">
        <v>1149.63074204947</v>
      </c>
      <c r="AG1036">
        <f>IFERROR(AH1036*0.1, "N/A")</f>
        <v>5.5330388692579504</v>
      </c>
      <c r="AH1036">
        <v>55.330388692579497</v>
      </c>
      <c r="AI1036">
        <v>119.258376037274</v>
      </c>
      <c r="AJ1036">
        <v>35.259717314487602</v>
      </c>
      <c r="AK1036">
        <v>46.461130742049498</v>
      </c>
    </row>
    <row r="1037" spans="1:37" x14ac:dyDescent="0.3">
      <c r="A1037">
        <v>1036</v>
      </c>
      <c r="B1037">
        <v>49.200001</v>
      </c>
      <c r="C1037">
        <v>33.993198</v>
      </c>
      <c r="D1037">
        <v>0.24768299999999999</v>
      </c>
      <c r="E1037" t="s">
        <v>1773</v>
      </c>
      <c r="F1037" t="s">
        <v>1774</v>
      </c>
      <c r="G1037" t="s">
        <v>37</v>
      </c>
      <c r="H1037">
        <v>2004</v>
      </c>
      <c r="I1037">
        <v>22.5</v>
      </c>
      <c r="J1037">
        <v>12.199999809265099</v>
      </c>
      <c r="K1037">
        <v>85</v>
      </c>
      <c r="L1037">
        <v>5.78999996185303</v>
      </c>
      <c r="M1037">
        <v>30.100000381469702</v>
      </c>
      <c r="N1037">
        <v>15.800000190734901</v>
      </c>
      <c r="O1037">
        <v>14.300000190734901</v>
      </c>
      <c r="P1037">
        <v>22.799999237060501</v>
      </c>
      <c r="Q1037">
        <v>21.700000762939499</v>
      </c>
      <c r="R1037">
        <v>23.200000762939499</v>
      </c>
      <c r="S1037">
        <v>21.700000762939499</v>
      </c>
      <c r="T1037">
        <v>1242</v>
      </c>
      <c r="U1037">
        <v>205</v>
      </c>
      <c r="V1037">
        <v>51</v>
      </c>
      <c r="W1037">
        <v>43</v>
      </c>
      <c r="X1037">
        <v>488</v>
      </c>
      <c r="Y1037">
        <v>198</v>
      </c>
      <c r="Z1037">
        <v>259</v>
      </c>
      <c r="AA1037">
        <v>198</v>
      </c>
      <c r="AB1037">
        <v>21.695768114546699</v>
      </c>
      <c r="AC1037">
        <v>1.4567341686646E-2</v>
      </c>
      <c r="AD1037">
        <v>3.56960205293037</v>
      </c>
      <c r="AE1037">
        <v>0.32241755723953203</v>
      </c>
      <c r="AF1037">
        <v>1151.7975352112701</v>
      </c>
      <c r="AG1037">
        <f>IFERROR(AH1037*0.1, "N/A")</f>
        <v>5.5035211267605604</v>
      </c>
      <c r="AH1037">
        <v>55.035211267605597</v>
      </c>
      <c r="AI1037">
        <v>119.535650857737</v>
      </c>
      <c r="AJ1037">
        <v>35.035211267605597</v>
      </c>
      <c r="AK1037">
        <v>46.9295774647887</v>
      </c>
    </row>
    <row r="1038" spans="1:37" x14ac:dyDescent="0.3">
      <c r="A1038">
        <v>1037</v>
      </c>
      <c r="B1038">
        <v>0</v>
      </c>
      <c r="C1038">
        <v>32.082999999999998</v>
      </c>
      <c r="D1038">
        <v>0.25</v>
      </c>
      <c r="E1038" t="s">
        <v>1775</v>
      </c>
      <c r="F1038" t="s">
        <v>1776</v>
      </c>
      <c r="G1038" t="s">
        <v>37</v>
      </c>
      <c r="H1038">
        <v>2004</v>
      </c>
      <c r="I1038">
        <v>21.2827155501754</v>
      </c>
      <c r="J1038">
        <v>11.199999809265099</v>
      </c>
      <c r="K1038">
        <v>84</v>
      </c>
      <c r="L1038">
        <v>4.7794533389796197</v>
      </c>
      <c r="M1038">
        <v>28.038977220996099</v>
      </c>
      <c r="N1038">
        <v>14.7389771950939</v>
      </c>
      <c r="O1038">
        <v>13.300000190734901</v>
      </c>
      <c r="P1038">
        <v>21.6389776024659</v>
      </c>
      <c r="Q1038">
        <v>20.5599649553787</v>
      </c>
      <c r="R1038">
        <v>21.838976787721901</v>
      </c>
      <c r="S1038">
        <v>20.5599649553787</v>
      </c>
      <c r="T1038">
        <v>1222.7477954144599</v>
      </c>
      <c r="U1038">
        <v>167.79012345679001</v>
      </c>
      <c r="V1038">
        <v>49</v>
      </c>
      <c r="W1038">
        <v>36</v>
      </c>
      <c r="X1038">
        <v>401.84479717813002</v>
      </c>
      <c r="Y1038">
        <v>190.437389770723</v>
      </c>
      <c r="Z1038">
        <v>324.691358024691</v>
      </c>
      <c r="AA1038">
        <v>190.437389770723</v>
      </c>
      <c r="AB1038">
        <v>1.7483282610642601</v>
      </c>
      <c r="AC1038">
        <v>3.1325434121439599</v>
      </c>
      <c r="AD1038">
        <v>2.6460890467204701</v>
      </c>
      <c r="AE1038">
        <v>0.63323563337326005</v>
      </c>
      <c r="AF1038">
        <v>1218.2292768959401</v>
      </c>
      <c r="AG1038">
        <f>IFERROR(AH1038*0.1, "N/A")</f>
        <v>5.6000000000000005</v>
      </c>
      <c r="AH1038">
        <v>56</v>
      </c>
      <c r="AI1038">
        <v>218.30509445150099</v>
      </c>
      <c r="AJ1038">
        <v>37.772486772486801</v>
      </c>
      <c r="AK1038">
        <v>47.227513227513199</v>
      </c>
    </row>
    <row r="1039" spans="1:37" x14ac:dyDescent="0.3">
      <c r="A1039">
        <v>1038</v>
      </c>
      <c r="B1039">
        <v>11.1</v>
      </c>
      <c r="C1039">
        <v>33.988899000000004</v>
      </c>
      <c r="D1039">
        <v>0.25306699999999999</v>
      </c>
      <c r="E1039" t="s">
        <v>1777</v>
      </c>
      <c r="F1039" t="s">
        <v>1778</v>
      </c>
      <c r="G1039" t="s">
        <v>37</v>
      </c>
      <c r="H1039">
        <v>2009</v>
      </c>
      <c r="I1039">
        <v>22.5</v>
      </c>
      <c r="J1039">
        <v>12.199999809265099</v>
      </c>
      <c r="K1039">
        <v>86</v>
      </c>
      <c r="L1039">
        <v>5.46000003814697</v>
      </c>
      <c r="M1039">
        <v>30</v>
      </c>
      <c r="N1039">
        <v>15.8999996185303</v>
      </c>
      <c r="O1039">
        <v>14.1000003814697</v>
      </c>
      <c r="P1039">
        <v>22.799999237060501</v>
      </c>
      <c r="Q1039">
        <v>21.799999237060501</v>
      </c>
      <c r="R1039">
        <v>23.200000762939499</v>
      </c>
      <c r="S1039">
        <v>21.799999237060501</v>
      </c>
      <c r="T1039">
        <v>1241</v>
      </c>
      <c r="U1039">
        <v>205</v>
      </c>
      <c r="V1039">
        <v>51</v>
      </c>
      <c r="W1039">
        <v>43</v>
      </c>
      <c r="X1039">
        <v>488</v>
      </c>
      <c r="Y1039">
        <v>198</v>
      </c>
      <c r="Z1039">
        <v>259</v>
      </c>
      <c r="AA1039">
        <v>198</v>
      </c>
      <c r="AB1039">
        <v>10.1641366448201</v>
      </c>
      <c r="AC1039">
        <v>2.5598180457346E-2</v>
      </c>
      <c r="AD1039">
        <v>3.58060013450367</v>
      </c>
      <c r="AE1039">
        <v>0.34248398286356102</v>
      </c>
      <c r="AF1039">
        <v>1139.6549295774601</v>
      </c>
      <c r="AG1039">
        <f>IFERROR(AH1039*0.1, "N/A")</f>
        <v>6</v>
      </c>
      <c r="AH1039">
        <v>60</v>
      </c>
      <c r="AI1039">
        <v>296.73690398310299</v>
      </c>
      <c r="AJ1039">
        <v>38</v>
      </c>
      <c r="AK1039">
        <v>41</v>
      </c>
    </row>
    <row r="1040" spans="1:37" x14ac:dyDescent="0.3">
      <c r="A1040">
        <v>1039</v>
      </c>
      <c r="B1040">
        <v>94</v>
      </c>
      <c r="C1040">
        <v>33.9664</v>
      </c>
      <c r="D1040">
        <v>0.25925900000000002</v>
      </c>
      <c r="E1040" t="s">
        <v>1779</v>
      </c>
      <c r="F1040" t="s">
        <v>1780</v>
      </c>
      <c r="G1040" t="s">
        <v>37</v>
      </c>
      <c r="H1040">
        <v>2004</v>
      </c>
      <c r="I1040">
        <v>22.4093306400407</v>
      </c>
      <c r="J1040">
        <v>12.101584879445401</v>
      </c>
      <c r="K1040">
        <v>85</v>
      </c>
      <c r="L1040">
        <v>5.7002111211628996</v>
      </c>
      <c r="M1040">
        <v>29.9093306400407</v>
      </c>
      <c r="N1040">
        <v>15.800000190734901</v>
      </c>
      <c r="O1040">
        <v>14.1093313139929</v>
      </c>
      <c r="P1040">
        <v>22.709331606475399</v>
      </c>
      <c r="Q1040">
        <v>21.600000381469702</v>
      </c>
      <c r="R1040">
        <v>23.1093314029801</v>
      </c>
      <c r="S1040">
        <v>21.600000381469702</v>
      </c>
      <c r="T1040">
        <v>1272.2975352112701</v>
      </c>
      <c r="U1040">
        <v>209.64260563380299</v>
      </c>
      <c r="V1040">
        <v>52.829225352112701</v>
      </c>
      <c r="W1040">
        <v>42.077464788732399</v>
      </c>
      <c r="X1040">
        <v>497.28521126760597</v>
      </c>
      <c r="Y1040">
        <v>201.410211267606</v>
      </c>
      <c r="Z1040">
        <v>266.62676056338</v>
      </c>
      <c r="AA1040">
        <v>201.410211267606</v>
      </c>
      <c r="AB1040">
        <v>26.7706238652619</v>
      </c>
      <c r="AC1040">
        <v>8.7584553771769998E-3</v>
      </c>
      <c r="AD1040">
        <v>0.78954601760061704</v>
      </c>
      <c r="AE1040">
        <v>0.45152753591537498</v>
      </c>
      <c r="AF1040">
        <v>1157.77288732394</v>
      </c>
      <c r="AG1040">
        <f>IFERROR(AH1040*0.1, "N/A")</f>
        <v>5.8000000000000007</v>
      </c>
      <c r="AH1040">
        <v>58</v>
      </c>
      <c r="AI1040">
        <v>200.88273169289201</v>
      </c>
      <c r="AJ1040">
        <v>39.957746478873197</v>
      </c>
      <c r="AK1040">
        <v>43.121478873239397</v>
      </c>
    </row>
    <row r="1041" spans="1:37" x14ac:dyDescent="0.3">
      <c r="A1041">
        <v>1040</v>
      </c>
      <c r="B1041">
        <v>7</v>
      </c>
      <c r="C1041">
        <v>33.514000000000003</v>
      </c>
      <c r="D1041">
        <v>0.26128299999999999</v>
      </c>
      <c r="E1041" t="s">
        <v>1781</v>
      </c>
      <c r="F1041" t="s">
        <v>1782</v>
      </c>
      <c r="G1041" t="s">
        <v>37</v>
      </c>
      <c r="H1041">
        <v>2004</v>
      </c>
      <c r="I1041">
        <v>22</v>
      </c>
      <c r="J1041">
        <v>11.699999809265099</v>
      </c>
      <c r="K1041">
        <v>84</v>
      </c>
      <c r="L1041">
        <v>5.6100001335143999</v>
      </c>
      <c r="M1041">
        <v>29.299999237060501</v>
      </c>
      <c r="N1041">
        <v>15.5</v>
      </c>
      <c r="O1041">
        <v>13.800000190734901</v>
      </c>
      <c r="P1041">
        <v>22.299999237060501</v>
      </c>
      <c r="Q1041">
        <v>21.200000762939499</v>
      </c>
      <c r="R1041">
        <v>22.700000762939499</v>
      </c>
      <c r="S1041">
        <v>21.200000762939499</v>
      </c>
      <c r="T1041">
        <v>1376</v>
      </c>
      <c r="U1041">
        <v>212</v>
      </c>
      <c r="V1041">
        <v>53</v>
      </c>
      <c r="W1041">
        <v>41</v>
      </c>
      <c r="X1041">
        <v>515</v>
      </c>
      <c r="Y1041">
        <v>192</v>
      </c>
      <c r="Z1041">
        <v>329</v>
      </c>
      <c r="AA1041">
        <v>192</v>
      </c>
      <c r="AB1041">
        <v>23.888949697591698</v>
      </c>
      <c r="AC1041">
        <v>8.6078601913859992E-3</v>
      </c>
      <c r="AD1041">
        <v>0.91173952828392202</v>
      </c>
      <c r="AE1041">
        <v>0.71097405786463996</v>
      </c>
      <c r="AF1041">
        <v>1161.3989455184501</v>
      </c>
      <c r="AG1041">
        <f>IFERROR(AH1041*0.1, "N/A")</f>
        <v>6.1191564147627409</v>
      </c>
      <c r="AH1041">
        <v>61.191564147627403</v>
      </c>
      <c r="AI1041">
        <v>172.89529697840601</v>
      </c>
      <c r="AJ1041">
        <v>41.131810193321598</v>
      </c>
      <c r="AK1041">
        <v>41.409490333919202</v>
      </c>
    </row>
    <row r="1042" spans="1:37" x14ac:dyDescent="0.3">
      <c r="A1042">
        <v>1041</v>
      </c>
      <c r="B1042">
        <v>13.3</v>
      </c>
      <c r="C1042">
        <v>33.515202000000002</v>
      </c>
      <c r="D1042">
        <v>0.26162999999999997</v>
      </c>
      <c r="E1042" t="s">
        <v>1783</v>
      </c>
      <c r="F1042" t="s">
        <v>1784</v>
      </c>
      <c r="G1042" t="s">
        <v>37</v>
      </c>
      <c r="H1042">
        <v>2005</v>
      </c>
      <c r="I1042">
        <v>22</v>
      </c>
      <c r="J1042">
        <v>11.699999809265099</v>
      </c>
      <c r="K1042">
        <v>84</v>
      </c>
      <c r="L1042">
        <v>5.6100001335143999</v>
      </c>
      <c r="M1042">
        <v>29.299999237060501</v>
      </c>
      <c r="N1042">
        <v>15.5</v>
      </c>
      <c r="O1042">
        <v>13.800000190734901</v>
      </c>
      <c r="P1042">
        <v>22.299999237060501</v>
      </c>
      <c r="Q1042">
        <v>21.200000762939499</v>
      </c>
      <c r="R1042">
        <v>22.700000762939499</v>
      </c>
      <c r="S1042">
        <v>21.200000762939499</v>
      </c>
      <c r="T1042">
        <v>1376</v>
      </c>
      <c r="U1042">
        <v>212</v>
      </c>
      <c r="V1042">
        <v>53</v>
      </c>
      <c r="W1042">
        <v>41</v>
      </c>
      <c r="X1042">
        <v>515</v>
      </c>
      <c r="Y1042">
        <v>192</v>
      </c>
      <c r="Z1042">
        <v>329</v>
      </c>
      <c r="AA1042">
        <v>192</v>
      </c>
      <c r="AB1042">
        <v>20.382933280837399</v>
      </c>
      <c r="AC1042">
        <v>8.8487479337289992E-3</v>
      </c>
      <c r="AD1042">
        <v>1.1167696628352299</v>
      </c>
      <c r="AE1042">
        <v>0.70443164546724801</v>
      </c>
      <c r="AF1042">
        <v>1160.5264084507</v>
      </c>
      <c r="AG1042">
        <f>IFERROR(AH1042*0.1, "N/A")</f>
        <v>6.0605633802816898</v>
      </c>
      <c r="AH1042">
        <v>60.605633802816897</v>
      </c>
      <c r="AI1042">
        <v>83.565954450150599</v>
      </c>
      <c r="AJ1042">
        <v>41</v>
      </c>
      <c r="AK1042">
        <v>42</v>
      </c>
    </row>
    <row r="1043" spans="1:37" x14ac:dyDescent="0.3">
      <c r="A1043">
        <v>1042</v>
      </c>
      <c r="B1043">
        <v>50</v>
      </c>
      <c r="C1043">
        <v>32.630198999999998</v>
      </c>
      <c r="D1043">
        <v>0.262268</v>
      </c>
      <c r="E1043" t="s">
        <v>1785</v>
      </c>
      <c r="F1043" t="s">
        <v>1786</v>
      </c>
      <c r="G1043" t="s">
        <v>37</v>
      </c>
      <c r="H1043">
        <v>1970</v>
      </c>
      <c r="I1043">
        <v>21.5</v>
      </c>
      <c r="J1043">
        <v>10.3999996185303</v>
      </c>
      <c r="K1043">
        <v>82</v>
      </c>
      <c r="L1043">
        <v>5.96000003814697</v>
      </c>
      <c r="M1043">
        <v>28.200000762939499</v>
      </c>
      <c r="N1043">
        <v>15.6000003814697</v>
      </c>
      <c r="O1043">
        <v>12.6000003814697</v>
      </c>
      <c r="P1043">
        <v>21.600000381469702</v>
      </c>
      <c r="Q1043">
        <v>20.600000381469702</v>
      </c>
      <c r="R1043">
        <v>22.200000762939499</v>
      </c>
      <c r="S1043">
        <v>20.600000381469702</v>
      </c>
      <c r="T1043">
        <v>1361</v>
      </c>
      <c r="U1043">
        <v>196</v>
      </c>
      <c r="V1043">
        <v>64</v>
      </c>
      <c r="W1043">
        <v>35</v>
      </c>
      <c r="X1043">
        <v>488</v>
      </c>
      <c r="Y1043">
        <v>225</v>
      </c>
      <c r="Z1043">
        <v>293</v>
      </c>
      <c r="AA1043">
        <v>225</v>
      </c>
      <c r="AB1043">
        <v>48.485608575214201</v>
      </c>
      <c r="AC1043">
        <v>1.2844187539784E-2</v>
      </c>
      <c r="AD1043">
        <v>4.4781393975490804</v>
      </c>
      <c r="AE1043">
        <v>0.84478688742867203</v>
      </c>
      <c r="AF1043">
        <v>1180.12653778559</v>
      </c>
      <c r="AG1043">
        <f>IFERROR(AH1043*0.1, "N/A")</f>
        <v>5.9973637961335697</v>
      </c>
      <c r="AH1043">
        <v>59.973637961335697</v>
      </c>
      <c r="AI1043">
        <v>98.288090979068301</v>
      </c>
      <c r="AJ1043">
        <v>40.947275922671402</v>
      </c>
      <c r="AK1043">
        <v>44.026362038664303</v>
      </c>
    </row>
    <row r="1044" spans="1:37" x14ac:dyDescent="0.3">
      <c r="A1044">
        <v>1043</v>
      </c>
      <c r="B1044">
        <v>0</v>
      </c>
      <c r="C1044">
        <v>33.984698999999999</v>
      </c>
      <c r="D1044">
        <v>0.26316699999999998</v>
      </c>
      <c r="E1044" t="s">
        <v>1787</v>
      </c>
      <c r="F1044" t="s">
        <v>1788</v>
      </c>
      <c r="G1044" t="s">
        <v>37</v>
      </c>
      <c r="H1044">
        <v>2009</v>
      </c>
      <c r="I1044">
        <v>22.399999618530298</v>
      </c>
      <c r="J1044">
        <v>12.199999809265099</v>
      </c>
      <c r="K1044">
        <v>85</v>
      </c>
      <c r="L1044">
        <v>5.8499999046325701</v>
      </c>
      <c r="M1044">
        <v>30</v>
      </c>
      <c r="N1044">
        <v>15.699999809265099</v>
      </c>
      <c r="O1044">
        <v>14.300000190734901</v>
      </c>
      <c r="P1044">
        <v>22.700000762939499</v>
      </c>
      <c r="Q1044">
        <v>21.600000381469702</v>
      </c>
      <c r="R1044">
        <v>23.100000381469702</v>
      </c>
      <c r="S1044">
        <v>21.600000381469702</v>
      </c>
      <c r="T1044">
        <v>1281</v>
      </c>
      <c r="U1044">
        <v>211</v>
      </c>
      <c r="V1044">
        <v>54</v>
      </c>
      <c r="W1044">
        <v>42</v>
      </c>
      <c r="X1044">
        <v>501</v>
      </c>
      <c r="Y1044">
        <v>206</v>
      </c>
      <c r="Z1044">
        <v>265</v>
      </c>
      <c r="AA1044">
        <v>206</v>
      </c>
      <c r="AB1044">
        <v>1.86432968166465</v>
      </c>
      <c r="AC1044">
        <v>2.6199134642843999E-2</v>
      </c>
      <c r="AD1044">
        <v>2.48772208761876</v>
      </c>
      <c r="AE1044">
        <v>0.41878652572631803</v>
      </c>
      <c r="AF1044">
        <v>1134.30052724077</v>
      </c>
      <c r="AG1044">
        <f>IFERROR(AH1044*0.1, "N/A")</f>
        <v>6.3000000000000007</v>
      </c>
      <c r="AH1044">
        <v>63</v>
      </c>
      <c r="AI1044">
        <v>215.86654185745999</v>
      </c>
      <c r="AJ1044">
        <v>38</v>
      </c>
      <c r="AK1044">
        <v>45</v>
      </c>
    </row>
    <row r="1045" spans="1:37" x14ac:dyDescent="0.3">
      <c r="A1045">
        <v>1044</v>
      </c>
      <c r="B1045">
        <v>39.299999</v>
      </c>
      <c r="C1045">
        <v>33.987800999999997</v>
      </c>
      <c r="D1045">
        <v>0.26411699999999999</v>
      </c>
      <c r="E1045" t="s">
        <v>1789</v>
      </c>
      <c r="F1045" t="s">
        <v>1790</v>
      </c>
      <c r="G1045" t="s">
        <v>37</v>
      </c>
      <c r="H1045">
        <v>2004</v>
      </c>
      <c r="I1045">
        <v>22.399999618530298</v>
      </c>
      <c r="J1045">
        <v>12.199999809265099</v>
      </c>
      <c r="K1045">
        <v>85</v>
      </c>
      <c r="L1045">
        <v>5.8499999046325701</v>
      </c>
      <c r="M1045">
        <v>30</v>
      </c>
      <c r="N1045">
        <v>15.699999809265099</v>
      </c>
      <c r="O1045">
        <v>14.300000190734901</v>
      </c>
      <c r="P1045">
        <v>22.700000762939499</v>
      </c>
      <c r="Q1045">
        <v>21.600000381469702</v>
      </c>
      <c r="R1045">
        <v>23.100000381469702</v>
      </c>
      <c r="S1045">
        <v>21.600000381469702</v>
      </c>
      <c r="T1045">
        <v>1281</v>
      </c>
      <c r="U1045">
        <v>211</v>
      </c>
      <c r="V1045">
        <v>54</v>
      </c>
      <c r="W1045">
        <v>42</v>
      </c>
      <c r="X1045">
        <v>501</v>
      </c>
      <c r="Y1045">
        <v>206</v>
      </c>
      <c r="Z1045">
        <v>265</v>
      </c>
      <c r="AA1045">
        <v>206</v>
      </c>
      <c r="AB1045">
        <v>25.422245509187899</v>
      </c>
      <c r="AC1045">
        <v>1.2445430048335E-2</v>
      </c>
      <c r="AD1045">
        <v>1.5777159855819101</v>
      </c>
      <c r="AE1045">
        <v>0.41878652572631803</v>
      </c>
      <c r="AF1045">
        <v>1155.4225352112701</v>
      </c>
      <c r="AG1045">
        <f>IFERROR(AH1045*0.1, "N/A")</f>
        <v>5.8621478873239399</v>
      </c>
      <c r="AH1045">
        <v>58.621478873239397</v>
      </c>
      <c r="AI1045">
        <v>234.07094439654301</v>
      </c>
      <c r="AJ1045">
        <v>36.892605633802802</v>
      </c>
      <c r="AK1045">
        <v>44.007042253521099</v>
      </c>
    </row>
    <row r="1046" spans="1:37" x14ac:dyDescent="0.3">
      <c r="A1046">
        <v>1045</v>
      </c>
      <c r="B1046">
        <v>29.799999</v>
      </c>
      <c r="C1046">
        <v>33.987800999999997</v>
      </c>
      <c r="D1046">
        <v>0.26431700000000002</v>
      </c>
      <c r="E1046" t="s">
        <v>1791</v>
      </c>
      <c r="F1046" t="s">
        <v>1792</v>
      </c>
      <c r="G1046" t="s">
        <v>37</v>
      </c>
      <c r="H1046">
        <v>2007</v>
      </c>
      <c r="I1046">
        <v>22.399999618530298</v>
      </c>
      <c r="J1046">
        <v>12.199999809265099</v>
      </c>
      <c r="K1046">
        <v>85</v>
      </c>
      <c r="L1046">
        <v>5.8499999046325701</v>
      </c>
      <c r="M1046">
        <v>30</v>
      </c>
      <c r="N1046">
        <v>15.699999809265099</v>
      </c>
      <c r="O1046">
        <v>14.300000190734901</v>
      </c>
      <c r="P1046">
        <v>22.700000762939499</v>
      </c>
      <c r="Q1046">
        <v>21.600000381469702</v>
      </c>
      <c r="R1046">
        <v>23.100000381469702</v>
      </c>
      <c r="S1046">
        <v>21.600000381469702</v>
      </c>
      <c r="T1046">
        <v>1281</v>
      </c>
      <c r="U1046">
        <v>211</v>
      </c>
      <c r="V1046">
        <v>54</v>
      </c>
      <c r="W1046">
        <v>42</v>
      </c>
      <c r="X1046">
        <v>501</v>
      </c>
      <c r="Y1046">
        <v>206</v>
      </c>
      <c r="Z1046">
        <v>265</v>
      </c>
      <c r="AA1046">
        <v>206</v>
      </c>
      <c r="AB1046">
        <v>25.957357771995799</v>
      </c>
      <c r="AC1046">
        <v>1.2363467699405E-2</v>
      </c>
      <c r="AD1046">
        <v>1.5038770826923</v>
      </c>
      <c r="AE1046">
        <v>0.41878652572631803</v>
      </c>
      <c r="AF1046">
        <v>1155.7627416520199</v>
      </c>
      <c r="AG1046">
        <f>IFERROR(AH1046*0.1, "N/A")</f>
        <v>5.8244288224956104</v>
      </c>
      <c r="AH1046">
        <v>58.244288224956101</v>
      </c>
      <c r="AI1046">
        <v>235.47890519341601</v>
      </c>
      <c r="AJ1046">
        <v>37.056239015817198</v>
      </c>
      <c r="AK1046">
        <v>43.687170474516698</v>
      </c>
    </row>
    <row r="1047" spans="1:37" x14ac:dyDescent="0.3">
      <c r="A1047">
        <v>1046</v>
      </c>
      <c r="B1047">
        <v>31.299999</v>
      </c>
      <c r="C1047">
        <v>33.205897999999998</v>
      </c>
      <c r="D1047">
        <v>0.27021699999999998</v>
      </c>
      <c r="E1047" t="s">
        <v>1793</v>
      </c>
      <c r="F1047" t="s">
        <v>1794</v>
      </c>
      <c r="G1047" t="s">
        <v>37</v>
      </c>
      <c r="H1047">
        <v>2009</v>
      </c>
      <c r="I1047">
        <v>22.100000381469702</v>
      </c>
      <c r="J1047">
        <v>11.3999996185303</v>
      </c>
      <c r="K1047">
        <v>85</v>
      </c>
      <c r="L1047">
        <v>5.4499998092651403</v>
      </c>
      <c r="M1047">
        <v>28.899999618530298</v>
      </c>
      <c r="N1047">
        <v>15.5</v>
      </c>
      <c r="O1047">
        <v>13.3999996185303</v>
      </c>
      <c r="P1047">
        <v>22.399999618530298</v>
      </c>
      <c r="Q1047">
        <v>21.200000762939499</v>
      </c>
      <c r="R1047">
        <v>22.600000381469702</v>
      </c>
      <c r="S1047">
        <v>21.200000762939499</v>
      </c>
      <c r="T1047">
        <v>1424</v>
      </c>
      <c r="U1047">
        <v>219</v>
      </c>
      <c r="V1047">
        <v>65</v>
      </c>
      <c r="W1047">
        <v>39</v>
      </c>
      <c r="X1047">
        <v>541</v>
      </c>
      <c r="Y1047">
        <v>218</v>
      </c>
      <c r="Z1047">
        <v>323</v>
      </c>
      <c r="AA1047">
        <v>218</v>
      </c>
      <c r="AB1047">
        <v>4.2964922407983002</v>
      </c>
      <c r="AC1047">
        <v>2.2784004922509999E-2</v>
      </c>
      <c r="AD1047">
        <v>2.8530644761844401</v>
      </c>
      <c r="AE1047" t="s">
        <v>729</v>
      </c>
      <c r="AF1047">
        <v>1133.64084507042</v>
      </c>
      <c r="AG1047" t="str">
        <f>IFERROR(AH1047*0.1, "N/A")</f>
        <v>N/A</v>
      </c>
      <c r="AH1047" t="s">
        <v>729</v>
      </c>
      <c r="AI1047">
        <v>217.85534872135599</v>
      </c>
      <c r="AJ1047" t="s">
        <v>729</v>
      </c>
      <c r="AK1047" t="s">
        <v>729</v>
      </c>
    </row>
    <row r="1048" spans="1:37" x14ac:dyDescent="0.3">
      <c r="A1048">
        <v>1047</v>
      </c>
      <c r="B1048">
        <v>5.9</v>
      </c>
      <c r="C1048">
        <v>32.616599999999998</v>
      </c>
      <c r="D1048">
        <v>0.27578000000000003</v>
      </c>
      <c r="E1048" t="s">
        <v>1795</v>
      </c>
      <c r="F1048" t="s">
        <v>1796</v>
      </c>
      <c r="G1048" t="s">
        <v>37</v>
      </c>
      <c r="H1048">
        <v>1996</v>
      </c>
      <c r="I1048">
        <v>21.777464369653</v>
      </c>
      <c r="J1048">
        <v>10.300000190734901</v>
      </c>
      <c r="K1048">
        <v>80</v>
      </c>
      <c r="L1048">
        <v>6.6399998664856001</v>
      </c>
      <c r="M1048">
        <v>28.577465084237101</v>
      </c>
      <c r="N1048">
        <v>15.7774648935023</v>
      </c>
      <c r="O1048">
        <v>12.800000190734901</v>
      </c>
      <c r="P1048">
        <v>21.877464321297701</v>
      </c>
      <c r="Q1048">
        <v>20.799999237060501</v>
      </c>
      <c r="R1048">
        <v>22.577465084237101</v>
      </c>
      <c r="S1048">
        <v>20.799999237060501</v>
      </c>
      <c r="T1048">
        <v>1332.5774647887299</v>
      </c>
      <c r="U1048">
        <v>193</v>
      </c>
      <c r="V1048">
        <v>63</v>
      </c>
      <c r="W1048">
        <v>35.774647887324001</v>
      </c>
      <c r="X1048">
        <v>477.22535211267598</v>
      </c>
      <c r="Y1048">
        <v>222.22535211267601</v>
      </c>
      <c r="Z1048">
        <v>282.67605633802799</v>
      </c>
      <c r="AA1048">
        <v>222.22535211267601</v>
      </c>
      <c r="AB1048">
        <v>19.466904116348498</v>
      </c>
      <c r="AC1048">
        <v>1.3137666798773999E-2</v>
      </c>
      <c r="AD1048">
        <v>3.9376685963550102</v>
      </c>
      <c r="AE1048">
        <v>0.88381302356720004</v>
      </c>
      <c r="AF1048">
        <v>1153.3239436619699</v>
      </c>
      <c r="AG1048">
        <f>IFERROR(AH1048*0.1, "N/A")</f>
        <v>5.9549295774647906</v>
      </c>
      <c r="AH1048">
        <v>59.549295774647902</v>
      </c>
      <c r="AI1048">
        <v>287.92955570489602</v>
      </c>
      <c r="AJ1048">
        <v>41.323943661971803</v>
      </c>
      <c r="AK1048">
        <v>42.676056338028197</v>
      </c>
    </row>
    <row r="1049" spans="1:37" x14ac:dyDescent="0.3">
      <c r="A1049">
        <v>1048</v>
      </c>
      <c r="B1049">
        <v>0</v>
      </c>
      <c r="C1049">
        <v>32.792800999999997</v>
      </c>
      <c r="D1049">
        <v>0.2767</v>
      </c>
      <c r="E1049" t="s">
        <v>1797</v>
      </c>
      <c r="F1049" t="s">
        <v>1798</v>
      </c>
      <c r="G1049" t="s">
        <v>37</v>
      </c>
      <c r="H1049">
        <v>2004</v>
      </c>
      <c r="I1049">
        <v>21.0977116403445</v>
      </c>
      <c r="J1049">
        <v>10.8977108992321</v>
      </c>
      <c r="K1049">
        <v>83.977112676056294</v>
      </c>
      <c r="L1049">
        <v>5.1611442179746998</v>
      </c>
      <c r="M1049">
        <v>27.797710539589499</v>
      </c>
      <c r="N1049">
        <v>14.8977108992321</v>
      </c>
      <c r="O1049">
        <v>12.8999996185303</v>
      </c>
      <c r="P1049">
        <v>21.399999618530298</v>
      </c>
      <c r="Q1049">
        <v>20.297710539589499</v>
      </c>
      <c r="R1049">
        <v>21.5977116403445</v>
      </c>
      <c r="S1049">
        <v>20.297710539589499</v>
      </c>
      <c r="T1049">
        <v>1460.97711267606</v>
      </c>
      <c r="U1049">
        <v>201.95422535211301</v>
      </c>
      <c r="V1049">
        <v>70</v>
      </c>
      <c r="W1049">
        <v>32</v>
      </c>
      <c r="X1049">
        <v>498.93133802816902</v>
      </c>
      <c r="Y1049">
        <v>246</v>
      </c>
      <c r="Z1049">
        <v>323.02288732394402</v>
      </c>
      <c r="AA1049">
        <v>246</v>
      </c>
      <c r="AB1049">
        <v>48.516492386938801</v>
      </c>
      <c r="AC1049">
        <v>1.0233232672785E-2</v>
      </c>
      <c r="AD1049">
        <v>2.4735728464496001</v>
      </c>
      <c r="AE1049">
        <v>0.62537871553024804</v>
      </c>
      <c r="AF1049">
        <v>1206.2764084507</v>
      </c>
      <c r="AG1049">
        <f>IFERROR(AH1049*0.1, "N/A")</f>
        <v>5.5936619718309899</v>
      </c>
      <c r="AH1049">
        <v>55.936619718309899</v>
      </c>
      <c r="AI1049">
        <v>227.487949572818</v>
      </c>
      <c r="AJ1049">
        <v>39.5316901408451</v>
      </c>
      <c r="AK1049">
        <v>43.4683098591549</v>
      </c>
    </row>
    <row r="1050" spans="1:37" x14ac:dyDescent="0.3">
      <c r="A1050">
        <v>1049</v>
      </c>
      <c r="B1050">
        <v>40</v>
      </c>
      <c r="C1050">
        <v>32.026501000000003</v>
      </c>
      <c r="D1050">
        <v>0.27926699999999999</v>
      </c>
      <c r="E1050" t="s">
        <v>1799</v>
      </c>
      <c r="F1050" t="s">
        <v>1800</v>
      </c>
      <c r="G1050" t="s">
        <v>37</v>
      </c>
      <c r="H1050">
        <v>2009</v>
      </c>
      <c r="I1050">
        <v>21.5</v>
      </c>
      <c r="J1050">
        <v>11.199999809265099</v>
      </c>
      <c r="K1050">
        <v>84</v>
      </c>
      <c r="L1050">
        <v>5.0599999427795401</v>
      </c>
      <c r="M1050">
        <v>28.200000762939499</v>
      </c>
      <c r="N1050">
        <v>14.8999996185303</v>
      </c>
      <c r="O1050">
        <v>13.300000190734901</v>
      </c>
      <c r="P1050">
        <v>21.799999237060501</v>
      </c>
      <c r="Q1050">
        <v>20.700000762939499</v>
      </c>
      <c r="R1050">
        <v>22</v>
      </c>
      <c r="S1050">
        <v>20.700000762939499</v>
      </c>
      <c r="T1050">
        <v>1197</v>
      </c>
      <c r="U1050">
        <v>166</v>
      </c>
      <c r="V1050">
        <v>48</v>
      </c>
      <c r="W1050">
        <v>37</v>
      </c>
      <c r="X1050">
        <v>395</v>
      </c>
      <c r="Y1050">
        <v>184</v>
      </c>
      <c r="Z1050">
        <v>257</v>
      </c>
      <c r="AA1050">
        <v>184</v>
      </c>
      <c r="AB1050">
        <v>21.049718355585899</v>
      </c>
      <c r="AC1050">
        <v>2.1874418748276999E-2</v>
      </c>
      <c r="AD1050">
        <v>4.2928196614381502</v>
      </c>
      <c r="AE1050">
        <v>0.62944678234255103</v>
      </c>
      <c r="AF1050">
        <v>1212.71604938272</v>
      </c>
      <c r="AG1050">
        <f>IFERROR(AH1050*0.1, "N/A")</f>
        <v>5.8292768959435604</v>
      </c>
      <c r="AH1050">
        <v>58.292768959435598</v>
      </c>
      <c r="AI1050">
        <v>91.736505875091297</v>
      </c>
      <c r="AJ1050">
        <v>33.703703703703702</v>
      </c>
      <c r="AK1050">
        <v>49.592592592592602</v>
      </c>
    </row>
    <row r="1051" spans="1:37" x14ac:dyDescent="0.3">
      <c r="A1051">
        <v>1050</v>
      </c>
      <c r="B1051">
        <v>64.300003000000004</v>
      </c>
      <c r="C1051">
        <v>33.146301000000001</v>
      </c>
      <c r="D1051">
        <v>0.28050000000000003</v>
      </c>
      <c r="E1051" t="s">
        <v>1801</v>
      </c>
      <c r="F1051" t="s">
        <v>1802</v>
      </c>
      <c r="G1051" t="s">
        <v>37</v>
      </c>
      <c r="H1051">
        <v>2004</v>
      </c>
      <c r="I1051">
        <v>22</v>
      </c>
      <c r="J1051">
        <v>11.3999996185303</v>
      </c>
      <c r="K1051">
        <v>85</v>
      </c>
      <c r="L1051">
        <v>5.3800001144409197</v>
      </c>
      <c r="M1051">
        <v>28.899999618530298</v>
      </c>
      <c r="N1051">
        <v>15.5</v>
      </c>
      <c r="O1051">
        <v>13.3999996185303</v>
      </c>
      <c r="P1051">
        <v>22.399999618530298</v>
      </c>
      <c r="Q1051">
        <v>21.200000762939499</v>
      </c>
      <c r="R1051">
        <v>22.600000381469702</v>
      </c>
      <c r="S1051">
        <v>21.200000762939499</v>
      </c>
      <c r="T1051">
        <v>1380</v>
      </c>
      <c r="U1051">
        <v>208</v>
      </c>
      <c r="V1051">
        <v>64</v>
      </c>
      <c r="W1051">
        <v>37</v>
      </c>
      <c r="X1051">
        <v>512</v>
      </c>
      <c r="Y1051">
        <v>218</v>
      </c>
      <c r="Z1051">
        <v>443</v>
      </c>
      <c r="AA1051">
        <v>218</v>
      </c>
      <c r="AB1051">
        <v>13.9107833943039</v>
      </c>
      <c r="AC1051">
        <v>0.18777933072896699</v>
      </c>
      <c r="AD1051">
        <v>4.45855744091081</v>
      </c>
      <c r="AE1051">
        <v>0.19251006841659499</v>
      </c>
      <c r="AF1051">
        <v>1144.39858906526</v>
      </c>
      <c r="AG1051">
        <f>IFERROR(AH1051*0.1, "N/A")</f>
        <v>5.8130511463844803</v>
      </c>
      <c r="AH1051">
        <v>58.130511463844798</v>
      </c>
      <c r="AI1051">
        <v>86.922165535955401</v>
      </c>
      <c r="AJ1051">
        <v>39.2768959435626</v>
      </c>
      <c r="AK1051">
        <v>42.659611992945301</v>
      </c>
    </row>
    <row r="1052" spans="1:37" x14ac:dyDescent="0.3">
      <c r="A1052">
        <v>1051</v>
      </c>
      <c r="B1052">
        <v>10</v>
      </c>
      <c r="C1052">
        <v>32.650002000000001</v>
      </c>
      <c r="D1052">
        <v>0.2833</v>
      </c>
      <c r="E1052" t="s">
        <v>1803</v>
      </c>
      <c r="F1052" t="s">
        <v>1804</v>
      </c>
      <c r="G1052" t="s">
        <v>37</v>
      </c>
      <c r="H1052">
        <v>1987</v>
      </c>
      <c r="I1052">
        <v>21.700000762939499</v>
      </c>
      <c r="J1052">
        <v>10.3358024550073</v>
      </c>
      <c r="K1052">
        <v>81</v>
      </c>
      <c r="L1052">
        <v>6.4415696848847501</v>
      </c>
      <c r="M1052">
        <v>28.493650769430499</v>
      </c>
      <c r="N1052">
        <v>15.764197585023499</v>
      </c>
      <c r="O1052">
        <v>12.729453184406999</v>
      </c>
      <c r="P1052">
        <v>21.8705462433884</v>
      </c>
      <c r="Q1052">
        <v>20.770546423695102</v>
      </c>
      <c r="R1052">
        <v>22.5</v>
      </c>
      <c r="S1052">
        <v>20.770546423695102</v>
      </c>
      <c r="T1052">
        <v>1351.70017636684</v>
      </c>
      <c r="U1052">
        <v>195.27689594356301</v>
      </c>
      <c r="V1052">
        <v>64</v>
      </c>
      <c r="W1052">
        <v>35</v>
      </c>
      <c r="X1052">
        <v>482.061728395062</v>
      </c>
      <c r="Y1052">
        <v>226.06349206349199</v>
      </c>
      <c r="Z1052">
        <v>287.65079365079401</v>
      </c>
      <c r="AA1052">
        <v>226.06349206349199</v>
      </c>
      <c r="AB1052">
        <v>0</v>
      </c>
      <c r="AC1052">
        <v>7.2135782935302997E-2</v>
      </c>
      <c r="AD1052">
        <v>0</v>
      </c>
      <c r="AE1052" t="s">
        <v>729</v>
      </c>
      <c r="AF1052">
        <v>1131</v>
      </c>
      <c r="AG1052" t="str">
        <f>IFERROR(AH1052*0.1, "N/A")</f>
        <v>N/A</v>
      </c>
      <c r="AH1052" t="s">
        <v>729</v>
      </c>
      <c r="AI1052">
        <v>0</v>
      </c>
      <c r="AJ1052" t="s">
        <v>729</v>
      </c>
      <c r="AK1052" t="s">
        <v>729</v>
      </c>
    </row>
    <row r="1053" spans="1:37" x14ac:dyDescent="0.3">
      <c r="A1053">
        <v>1052</v>
      </c>
      <c r="B1053">
        <v>1.7</v>
      </c>
      <c r="C1053">
        <v>34.033501000000001</v>
      </c>
      <c r="D1053">
        <v>0.28686699999999998</v>
      </c>
      <c r="E1053" t="s">
        <v>1805</v>
      </c>
      <c r="F1053" t="s">
        <v>1806</v>
      </c>
      <c r="G1053" t="s">
        <v>37</v>
      </c>
      <c r="H1053">
        <v>2007</v>
      </c>
      <c r="I1053">
        <v>22.344013489468001</v>
      </c>
      <c r="J1053">
        <v>12.300000190734901</v>
      </c>
      <c r="K1053">
        <v>86</v>
      </c>
      <c r="L1053">
        <v>5.7023941731788801</v>
      </c>
      <c r="M1053">
        <v>29.944013870937699</v>
      </c>
      <c r="N1053">
        <v>15.6880284665336</v>
      </c>
      <c r="O1053">
        <v>14.255985938327401</v>
      </c>
      <c r="P1053">
        <v>22.688028046782598</v>
      </c>
      <c r="Q1053">
        <v>22.844013489468001</v>
      </c>
      <c r="R1053">
        <v>23.044014252407401</v>
      </c>
      <c r="S1053">
        <v>21.5440142524075</v>
      </c>
      <c r="T1053">
        <v>1345.1971830985899</v>
      </c>
      <c r="U1053">
        <v>218.23943661971799</v>
      </c>
      <c r="V1053">
        <v>55.559859154929597</v>
      </c>
      <c r="W1053">
        <v>41.559859154929597</v>
      </c>
      <c r="X1053">
        <v>516.91901408450701</v>
      </c>
      <c r="Y1053">
        <v>212.67957746478899</v>
      </c>
      <c r="Z1053">
        <v>264.23943661971799</v>
      </c>
      <c r="AA1053">
        <v>229.119718309859</v>
      </c>
      <c r="AB1053">
        <v>27.2767641309281</v>
      </c>
      <c r="AC1053">
        <v>1.3965341162501E-2</v>
      </c>
      <c r="AD1053">
        <v>0.92120492962044698</v>
      </c>
      <c r="AE1053">
        <v>0.54268401861190796</v>
      </c>
      <c r="AF1053">
        <v>1167.75</v>
      </c>
      <c r="AG1053">
        <f>IFERROR(AH1053*0.1, "N/A")</f>
        <v>5.7559859154929605</v>
      </c>
      <c r="AH1053">
        <v>57.559859154929597</v>
      </c>
      <c r="AI1053">
        <v>110.523904001209</v>
      </c>
      <c r="AJ1053">
        <v>37.9683098591549</v>
      </c>
      <c r="AK1053">
        <v>43.427816901408399</v>
      </c>
    </row>
    <row r="1054" spans="1:37" x14ac:dyDescent="0.3">
      <c r="A1054">
        <v>1053</v>
      </c>
      <c r="B1054">
        <v>8.3000000000000007</v>
      </c>
      <c r="C1054">
        <v>34.033400999999998</v>
      </c>
      <c r="D1054">
        <v>0.28689999999999999</v>
      </c>
      <c r="E1054" t="s">
        <v>1807</v>
      </c>
      <c r="F1054" t="s">
        <v>1808</v>
      </c>
      <c r="G1054" t="s">
        <v>37</v>
      </c>
      <c r="H1054">
        <v>2004</v>
      </c>
      <c r="I1054">
        <v>22.3353866959961</v>
      </c>
      <c r="J1054">
        <v>12.300000190734901</v>
      </c>
      <c r="K1054">
        <v>86</v>
      </c>
      <c r="L1054">
        <v>5.7058448741133798</v>
      </c>
      <c r="M1054">
        <v>29.935387077465901</v>
      </c>
      <c r="N1054">
        <v>15.670774961861101</v>
      </c>
      <c r="O1054">
        <v>14.2646127317993</v>
      </c>
      <c r="P1054">
        <v>22.670774624381298</v>
      </c>
      <c r="Q1054">
        <v>22.8353866959961</v>
      </c>
      <c r="R1054">
        <v>23.035387458935599</v>
      </c>
      <c r="S1054">
        <v>21.535387458935599</v>
      </c>
      <c r="T1054">
        <v>1346.9225352112701</v>
      </c>
      <c r="U1054">
        <v>218.58450704225399</v>
      </c>
      <c r="V1054">
        <v>55.646126760563398</v>
      </c>
      <c r="W1054">
        <v>41.646126760563398</v>
      </c>
      <c r="X1054">
        <v>517.52288732394402</v>
      </c>
      <c r="Y1054">
        <v>212.93838028169</v>
      </c>
      <c r="Z1054">
        <v>264.58450704225299</v>
      </c>
      <c r="AA1054">
        <v>229.29225352112701</v>
      </c>
      <c r="AB1054">
        <v>27.442080860406602</v>
      </c>
      <c r="AC1054">
        <v>1.3423582227428E-2</v>
      </c>
      <c r="AD1054">
        <v>0.96458692240043398</v>
      </c>
      <c r="AE1054">
        <v>0.54268401861190796</v>
      </c>
      <c r="AF1054">
        <v>1167.9154929577501</v>
      </c>
      <c r="AG1054">
        <f>IFERROR(AH1054*0.1, "N/A")</f>
        <v>5.7646126760563403</v>
      </c>
      <c r="AH1054">
        <v>57.646126760563398</v>
      </c>
      <c r="AI1054">
        <v>110.13449134961</v>
      </c>
      <c r="AJ1054">
        <v>37.931338028169002</v>
      </c>
      <c r="AK1054">
        <v>43.448943661971803</v>
      </c>
    </row>
    <row r="1055" spans="1:37" x14ac:dyDescent="0.3">
      <c r="A1055">
        <v>1054</v>
      </c>
      <c r="B1055">
        <v>2.6</v>
      </c>
      <c r="C1055">
        <v>32.548698000000002</v>
      </c>
      <c r="D1055">
        <v>0.29199999999999998</v>
      </c>
      <c r="E1055" t="s">
        <v>1809</v>
      </c>
      <c r="F1055" t="s">
        <v>1810</v>
      </c>
      <c r="G1055" t="s">
        <v>37</v>
      </c>
      <c r="H1055">
        <v>1996</v>
      </c>
      <c r="I1055">
        <v>21.700000762939499</v>
      </c>
      <c r="J1055">
        <v>10.5</v>
      </c>
      <c r="K1055">
        <v>81.445614035087701</v>
      </c>
      <c r="L1055">
        <v>6.5255439674645102</v>
      </c>
      <c r="M1055">
        <v>28.455438426503001</v>
      </c>
      <c r="N1055">
        <v>15.6000003814697</v>
      </c>
      <c r="O1055">
        <v>12.8554384700039</v>
      </c>
      <c r="P1055">
        <v>21.844560810557599</v>
      </c>
      <c r="Q1055">
        <v>20.755438513504799</v>
      </c>
      <c r="R1055">
        <v>22.5</v>
      </c>
      <c r="S1055">
        <v>20.755438513504799</v>
      </c>
      <c r="T1055">
        <v>1289.78245614035</v>
      </c>
      <c r="U1055">
        <v>185.445614035088</v>
      </c>
      <c r="V1055">
        <v>61.445614035087701</v>
      </c>
      <c r="W1055">
        <v>35</v>
      </c>
      <c r="X1055">
        <v>458.33684210526297</v>
      </c>
      <c r="Y1055">
        <v>217</v>
      </c>
      <c r="Z1055">
        <v>272.89122807017498</v>
      </c>
      <c r="AA1055">
        <v>217</v>
      </c>
      <c r="AB1055">
        <v>2.9144090083607499</v>
      </c>
      <c r="AC1055">
        <v>1.4756112316983001E-2</v>
      </c>
      <c r="AD1055">
        <v>3.0049613354498899</v>
      </c>
      <c r="AE1055">
        <v>0.94249719381332397</v>
      </c>
      <c r="AF1055">
        <v>1162.7614035087699</v>
      </c>
      <c r="AG1055">
        <f>IFERROR(AH1055*0.1, "N/A")</f>
        <v>6.4</v>
      </c>
      <c r="AH1055">
        <v>64</v>
      </c>
      <c r="AI1055">
        <v>188.06968073259301</v>
      </c>
      <c r="AJ1055">
        <v>38</v>
      </c>
      <c r="AK1055">
        <v>45</v>
      </c>
    </row>
    <row r="1056" spans="1:37" x14ac:dyDescent="0.3">
      <c r="A1056">
        <v>1055</v>
      </c>
      <c r="B1056">
        <v>2</v>
      </c>
      <c r="C1056">
        <v>33.632098999999997</v>
      </c>
      <c r="D1056">
        <v>0.29426000000000002</v>
      </c>
      <c r="E1056" t="s">
        <v>1811</v>
      </c>
      <c r="F1056" t="s">
        <v>1812</v>
      </c>
      <c r="G1056" t="s">
        <v>37</v>
      </c>
      <c r="H1056">
        <v>2005</v>
      </c>
      <c r="I1056">
        <v>22.299999237060501</v>
      </c>
      <c r="J1056">
        <v>11.800000190734901</v>
      </c>
      <c r="K1056">
        <v>85</v>
      </c>
      <c r="L1056">
        <v>5.4000000953674299</v>
      </c>
      <c r="M1056">
        <v>29.600000381469702</v>
      </c>
      <c r="N1056">
        <v>15.800000190734901</v>
      </c>
      <c r="O1056">
        <v>13.800000190734901</v>
      </c>
      <c r="P1056">
        <v>22.600000381469702</v>
      </c>
      <c r="Q1056">
        <v>21.5</v>
      </c>
      <c r="R1056">
        <v>22.899999618530298</v>
      </c>
      <c r="S1056">
        <v>21.5</v>
      </c>
      <c r="T1056">
        <v>1315</v>
      </c>
      <c r="U1056">
        <v>204</v>
      </c>
      <c r="V1056">
        <v>53</v>
      </c>
      <c r="W1056">
        <v>40</v>
      </c>
      <c r="X1056">
        <v>490</v>
      </c>
      <c r="Y1056">
        <v>192</v>
      </c>
      <c r="Z1056">
        <v>304</v>
      </c>
      <c r="AA1056">
        <v>192</v>
      </c>
      <c r="AB1056">
        <v>0</v>
      </c>
      <c r="AC1056">
        <v>9.7074784901523006E-2</v>
      </c>
      <c r="AD1056">
        <v>0</v>
      </c>
      <c r="AE1056" t="s">
        <v>729</v>
      </c>
      <c r="AF1056">
        <v>1131</v>
      </c>
      <c r="AG1056" t="str">
        <f>IFERROR(AH1056*0.1, "N/A")</f>
        <v>N/A</v>
      </c>
      <c r="AH1056" t="s">
        <v>729</v>
      </c>
      <c r="AI1056">
        <v>0</v>
      </c>
      <c r="AJ1056" t="s">
        <v>729</v>
      </c>
      <c r="AK1056" t="s">
        <v>729</v>
      </c>
    </row>
    <row r="1057" spans="1:37" x14ac:dyDescent="0.3">
      <c r="A1057">
        <v>1056</v>
      </c>
      <c r="B1057">
        <v>7.8</v>
      </c>
      <c r="C1057">
        <v>34.030399000000003</v>
      </c>
      <c r="D1057">
        <v>0.29986699999999999</v>
      </c>
      <c r="E1057" t="s">
        <v>1813</v>
      </c>
      <c r="F1057" t="s">
        <v>1814</v>
      </c>
      <c r="G1057" t="s">
        <v>37</v>
      </c>
      <c r="H1057">
        <v>2004</v>
      </c>
      <c r="I1057">
        <v>22.299999237060501</v>
      </c>
      <c r="J1057">
        <v>12.199999809265099</v>
      </c>
      <c r="K1057">
        <v>85</v>
      </c>
      <c r="L1057">
        <v>5.6211776272483798</v>
      </c>
      <c r="M1057">
        <v>29.899999618530298</v>
      </c>
      <c r="N1057">
        <v>15.6000003814697</v>
      </c>
      <c r="O1057">
        <v>14.300000190734901</v>
      </c>
      <c r="P1057">
        <v>22.600000381469702</v>
      </c>
      <c r="Q1057">
        <v>22.736555565430098</v>
      </c>
      <c r="R1057">
        <v>23</v>
      </c>
      <c r="S1057">
        <v>21.5</v>
      </c>
      <c r="T1057">
        <v>1373.28998242531</v>
      </c>
      <c r="U1057">
        <v>222</v>
      </c>
      <c r="V1057">
        <v>56.365553602812</v>
      </c>
      <c r="W1057">
        <v>41</v>
      </c>
      <c r="X1057">
        <v>525.36555360281204</v>
      </c>
      <c r="Y1057">
        <v>214.731107205624</v>
      </c>
      <c r="Z1057">
        <v>267</v>
      </c>
      <c r="AA1057">
        <v>235.09666080843601</v>
      </c>
      <c r="AB1057">
        <v>21.235460331653702</v>
      </c>
      <c r="AC1057">
        <v>9.5692644524269996E-3</v>
      </c>
      <c r="AD1057">
        <v>1.1334073745722499</v>
      </c>
      <c r="AE1057">
        <v>0.682353556156158</v>
      </c>
      <c r="AF1057">
        <v>1171.93497363796</v>
      </c>
      <c r="AG1057">
        <f>IFERROR(AH1057*0.1, "N/A")</f>
        <v>5.8880492091388401</v>
      </c>
      <c r="AH1057">
        <v>58.880492091388398</v>
      </c>
      <c r="AI1057">
        <v>180.073025641416</v>
      </c>
      <c r="AJ1057">
        <v>35.866432337434098</v>
      </c>
      <c r="AK1057">
        <v>46.147627416520201</v>
      </c>
    </row>
    <row r="1058" spans="1:37" x14ac:dyDescent="0.3">
      <c r="A1058">
        <v>1057</v>
      </c>
      <c r="B1058">
        <v>84</v>
      </c>
      <c r="C1058">
        <v>33.492401000000001</v>
      </c>
      <c r="D1058">
        <v>0.31106099999999998</v>
      </c>
      <c r="E1058" t="s">
        <v>1815</v>
      </c>
      <c r="F1058" t="s">
        <v>1816</v>
      </c>
      <c r="G1058" t="s">
        <v>37</v>
      </c>
      <c r="H1058">
        <v>2005</v>
      </c>
      <c r="I1058">
        <v>22.200000762939499</v>
      </c>
      <c r="J1058">
        <v>11.699999809265099</v>
      </c>
      <c r="K1058">
        <v>84</v>
      </c>
      <c r="L1058">
        <v>5.6346820664490096</v>
      </c>
      <c r="M1058">
        <v>29.399999618530298</v>
      </c>
      <c r="N1058">
        <v>15.6000003814697</v>
      </c>
      <c r="O1058">
        <v>13.800000190734901</v>
      </c>
      <c r="P1058">
        <v>22.509363993317798</v>
      </c>
      <c r="Q1058">
        <v>21.309363230378398</v>
      </c>
      <c r="R1058">
        <v>22.799999237060501</v>
      </c>
      <c r="S1058">
        <v>21.309363230378398</v>
      </c>
      <c r="T1058">
        <v>1359.5618374558301</v>
      </c>
      <c r="U1058">
        <v>207</v>
      </c>
      <c r="V1058">
        <v>54.0936395759717</v>
      </c>
      <c r="W1058">
        <v>39</v>
      </c>
      <c r="X1058">
        <v>496.18727915194398</v>
      </c>
      <c r="Y1058">
        <v>195.18727915194299</v>
      </c>
      <c r="Z1058">
        <v>318.09363957597202</v>
      </c>
      <c r="AA1058">
        <v>195.18727915194299</v>
      </c>
      <c r="AB1058">
        <v>9.3401717870058505</v>
      </c>
      <c r="AC1058">
        <v>1.0782830018958E-2</v>
      </c>
      <c r="AD1058">
        <v>2.0600881661838</v>
      </c>
      <c r="AE1058">
        <v>0.39168423414230302</v>
      </c>
      <c r="AF1058">
        <v>1139.2667844523</v>
      </c>
      <c r="AG1058">
        <f>IFERROR(AH1058*0.1, "N/A")</f>
        <v>5.9200378071833697</v>
      </c>
      <c r="AH1058">
        <v>59.200378071833697</v>
      </c>
      <c r="AI1058">
        <v>161.599603464241</v>
      </c>
      <c r="AJ1058">
        <v>36.100189035916799</v>
      </c>
      <c r="AK1058">
        <v>46.4990548204159</v>
      </c>
    </row>
    <row r="1059" spans="1:37" x14ac:dyDescent="0.3">
      <c r="A1059">
        <v>1058</v>
      </c>
      <c r="B1059">
        <v>75</v>
      </c>
      <c r="C1059">
        <v>33.665401000000003</v>
      </c>
      <c r="D1059">
        <v>0.31108000000000002</v>
      </c>
      <c r="E1059" t="s">
        <v>1817</v>
      </c>
      <c r="F1059" t="s">
        <v>1818</v>
      </c>
      <c r="G1059" t="s">
        <v>37</v>
      </c>
      <c r="H1059">
        <v>2005</v>
      </c>
      <c r="I1059">
        <v>22.299999237060501</v>
      </c>
      <c r="J1059">
        <v>11.800000190734901</v>
      </c>
      <c r="K1059">
        <v>84</v>
      </c>
      <c r="L1059">
        <v>5.9000000953674299</v>
      </c>
      <c r="M1059">
        <v>29.700000762939499</v>
      </c>
      <c r="N1059">
        <v>15.800000190734901</v>
      </c>
      <c r="O1059">
        <v>13.8999996185303</v>
      </c>
      <c r="P1059">
        <v>22.600000381469702</v>
      </c>
      <c r="Q1059">
        <v>21.399999618530298</v>
      </c>
      <c r="R1059">
        <v>23</v>
      </c>
      <c r="S1059">
        <v>21.399999618530298</v>
      </c>
      <c r="T1059">
        <v>1317</v>
      </c>
      <c r="U1059">
        <v>206</v>
      </c>
      <c r="V1059">
        <v>54</v>
      </c>
      <c r="W1059">
        <v>40</v>
      </c>
      <c r="X1059">
        <v>492</v>
      </c>
      <c r="Y1059">
        <v>196</v>
      </c>
      <c r="Z1059">
        <v>298</v>
      </c>
      <c r="AA1059">
        <v>196</v>
      </c>
      <c r="AB1059">
        <v>18.3578177438655</v>
      </c>
      <c r="AC1059">
        <v>1.491338720801E-2</v>
      </c>
      <c r="AD1059">
        <v>1.78495280570547</v>
      </c>
      <c r="AE1059">
        <v>0.50587302446365401</v>
      </c>
      <c r="AF1059">
        <v>1153.7799295774701</v>
      </c>
      <c r="AG1059">
        <f>IFERROR(AH1059*0.1, "N/A")</f>
        <v>5.79278169014085</v>
      </c>
      <c r="AH1059">
        <v>57.927816901408498</v>
      </c>
      <c r="AI1059">
        <v>67.118794587296506</v>
      </c>
      <c r="AJ1059">
        <v>36.072183098591601</v>
      </c>
      <c r="AK1059">
        <v>45.072183098591601</v>
      </c>
    </row>
    <row r="1060" spans="1:37" x14ac:dyDescent="0.3">
      <c r="A1060">
        <v>1059</v>
      </c>
      <c r="B1060">
        <v>58.799999</v>
      </c>
      <c r="C1060">
        <v>33.626998999999998</v>
      </c>
      <c r="D1060">
        <v>0.31811699999999998</v>
      </c>
      <c r="E1060" t="s">
        <v>1819</v>
      </c>
      <c r="F1060" t="s">
        <v>1820</v>
      </c>
      <c r="G1060" t="s">
        <v>37</v>
      </c>
      <c r="H1060">
        <v>2009</v>
      </c>
      <c r="I1060">
        <v>22.299999237060501</v>
      </c>
      <c r="J1060">
        <v>11.800000190734901</v>
      </c>
      <c r="K1060">
        <v>85</v>
      </c>
      <c r="L1060">
        <v>5.53999996185303</v>
      </c>
      <c r="M1060">
        <v>29.600000381469702</v>
      </c>
      <c r="N1060">
        <v>15.800000190734901</v>
      </c>
      <c r="O1060">
        <v>13.800000190734901</v>
      </c>
      <c r="P1060">
        <v>22.600000381469702</v>
      </c>
      <c r="Q1060">
        <v>21.5</v>
      </c>
      <c r="R1060">
        <v>23</v>
      </c>
      <c r="S1060">
        <v>21.5</v>
      </c>
      <c r="T1060">
        <v>1318</v>
      </c>
      <c r="U1060">
        <v>204</v>
      </c>
      <c r="V1060">
        <v>54</v>
      </c>
      <c r="W1060">
        <v>40</v>
      </c>
      <c r="X1060">
        <v>487</v>
      </c>
      <c r="Y1060">
        <v>196</v>
      </c>
      <c r="Z1060">
        <v>301</v>
      </c>
      <c r="AA1060">
        <v>196</v>
      </c>
      <c r="AB1060">
        <v>2.3724735535852099</v>
      </c>
      <c r="AC1060">
        <v>1.5768823473397E-2</v>
      </c>
      <c r="AD1060">
        <v>3.8927496423586798</v>
      </c>
      <c r="AE1060">
        <v>0.49650791287422202</v>
      </c>
      <c r="AF1060">
        <v>1135.27865961199</v>
      </c>
      <c r="AG1060" t="str">
        <f>IFERROR(AH1060*0.1, "N/A")</f>
        <v>N/A</v>
      </c>
      <c r="AH1060" t="s">
        <v>729</v>
      </c>
      <c r="AI1060">
        <v>151.95324688193199</v>
      </c>
      <c r="AJ1060" t="s">
        <v>729</v>
      </c>
      <c r="AK1060" t="s">
        <v>729</v>
      </c>
    </row>
    <row r="1061" spans="1:37" x14ac:dyDescent="0.3">
      <c r="A1061">
        <v>1060</v>
      </c>
      <c r="B1061">
        <v>71.400002000000001</v>
      </c>
      <c r="C1061">
        <v>33.627701000000002</v>
      </c>
      <c r="D1061">
        <v>0.32214700000000002</v>
      </c>
      <c r="E1061" t="s">
        <v>1821</v>
      </c>
      <c r="F1061" t="s">
        <v>1822</v>
      </c>
      <c r="G1061" t="s">
        <v>37</v>
      </c>
      <c r="H1061">
        <v>2006</v>
      </c>
      <c r="I1061">
        <v>22.299999237060501</v>
      </c>
      <c r="J1061">
        <v>11.800000190734901</v>
      </c>
      <c r="K1061">
        <v>85</v>
      </c>
      <c r="L1061">
        <v>5.53999996185303</v>
      </c>
      <c r="M1061">
        <v>29.600000381469702</v>
      </c>
      <c r="N1061">
        <v>15.800000190734901</v>
      </c>
      <c r="O1061">
        <v>13.800000190734901</v>
      </c>
      <c r="P1061">
        <v>22.600000381469702</v>
      </c>
      <c r="Q1061">
        <v>21.5</v>
      </c>
      <c r="R1061">
        <v>23</v>
      </c>
      <c r="S1061">
        <v>21.5</v>
      </c>
      <c r="T1061">
        <v>1318</v>
      </c>
      <c r="U1061">
        <v>204</v>
      </c>
      <c r="V1061">
        <v>54</v>
      </c>
      <c r="W1061">
        <v>40</v>
      </c>
      <c r="X1061">
        <v>487</v>
      </c>
      <c r="Y1061">
        <v>196</v>
      </c>
      <c r="Z1061">
        <v>301</v>
      </c>
      <c r="AA1061">
        <v>196</v>
      </c>
      <c r="AB1061">
        <v>9.4133815328069907</v>
      </c>
      <c r="AC1061">
        <v>8.6080261310679997E-3</v>
      </c>
      <c r="AD1061">
        <v>1.9062244747050801</v>
      </c>
      <c r="AE1061">
        <v>0.49650791287422202</v>
      </c>
      <c r="AF1061">
        <v>1140.32980599647</v>
      </c>
      <c r="AG1061">
        <f>IFERROR(AH1061*0.1, "N/A")</f>
        <v>6.1000000000000005</v>
      </c>
      <c r="AH1061">
        <v>61</v>
      </c>
      <c r="AI1061">
        <v>244.56340758846801</v>
      </c>
      <c r="AJ1061">
        <v>31</v>
      </c>
      <c r="AK1061">
        <v>50</v>
      </c>
    </row>
    <row r="1062" spans="1:37" x14ac:dyDescent="0.3">
      <c r="A1062">
        <v>1061</v>
      </c>
      <c r="B1062">
        <v>27.799999</v>
      </c>
      <c r="C1062">
        <v>32.284500000000001</v>
      </c>
      <c r="D1062">
        <v>0.32222000000000001</v>
      </c>
      <c r="E1062" t="s">
        <v>1823</v>
      </c>
      <c r="F1062" t="s">
        <v>1824</v>
      </c>
      <c r="G1062" t="s">
        <v>37</v>
      </c>
      <c r="H1062">
        <v>2009</v>
      </c>
      <c r="I1062">
        <v>21.399471450859402</v>
      </c>
      <c r="J1062">
        <v>11.300176246065501</v>
      </c>
      <c r="K1062">
        <v>84</v>
      </c>
      <c r="L1062">
        <v>5.1000351158665902</v>
      </c>
      <c r="M1062">
        <v>28.199472591910599</v>
      </c>
      <c r="N1062">
        <v>14.7992959643753</v>
      </c>
      <c r="O1062">
        <v>13.4001756755399</v>
      </c>
      <c r="P1062">
        <v>21.7994710693897</v>
      </c>
      <c r="Q1062">
        <v>20.699296534900899</v>
      </c>
      <c r="R1062">
        <v>21.999295775319499</v>
      </c>
      <c r="S1062">
        <v>20.699296534900899</v>
      </c>
      <c r="T1062">
        <v>1233.9612676056299</v>
      </c>
      <c r="U1062">
        <v>161</v>
      </c>
      <c r="V1062">
        <v>54.994718309859202</v>
      </c>
      <c r="W1062">
        <v>33.001760563380302</v>
      </c>
      <c r="X1062">
        <v>401.99295774647902</v>
      </c>
      <c r="Y1062">
        <v>212.98943661971799</v>
      </c>
      <c r="Z1062">
        <v>260.14964788732402</v>
      </c>
      <c r="AA1062">
        <v>212.98943661971799</v>
      </c>
      <c r="AB1062">
        <v>56.1176521408726</v>
      </c>
      <c r="AC1062">
        <v>2.4695100912062999E-2</v>
      </c>
      <c r="AD1062">
        <v>12.594184360033999</v>
      </c>
      <c r="AE1062">
        <v>0.63837057352065996</v>
      </c>
      <c r="AF1062">
        <v>1238.72711267606</v>
      </c>
      <c r="AG1062">
        <f>IFERROR(AH1062*0.1, "N/A")</f>
        <v>5.6713028169014104</v>
      </c>
      <c r="AH1062">
        <v>56.713028169014102</v>
      </c>
      <c r="AI1062">
        <v>63.5306093121918</v>
      </c>
      <c r="AJ1062">
        <v>36.001760563380302</v>
      </c>
      <c r="AK1062">
        <v>45.996478873239397</v>
      </c>
    </row>
    <row r="1063" spans="1:37" x14ac:dyDescent="0.3">
      <c r="A1063">
        <v>1062</v>
      </c>
      <c r="B1063">
        <v>87.900002000000001</v>
      </c>
      <c r="C1063">
        <v>33.712398999999998</v>
      </c>
      <c r="D1063">
        <v>0.32340000000000002</v>
      </c>
      <c r="E1063" t="s">
        <v>1825</v>
      </c>
      <c r="F1063" t="s">
        <v>1826</v>
      </c>
      <c r="G1063" t="s">
        <v>37</v>
      </c>
      <c r="H1063">
        <v>2004</v>
      </c>
      <c r="I1063">
        <v>22.299999237060501</v>
      </c>
      <c r="J1063">
        <v>11.8999996185303</v>
      </c>
      <c r="K1063">
        <v>85</v>
      </c>
      <c r="L1063">
        <v>5.75</v>
      </c>
      <c r="M1063">
        <v>29.700000762939499</v>
      </c>
      <c r="N1063">
        <v>15.800000190734901</v>
      </c>
      <c r="O1063">
        <v>13.8999996185303</v>
      </c>
      <c r="P1063">
        <v>22.600000381469702</v>
      </c>
      <c r="Q1063">
        <v>21.5</v>
      </c>
      <c r="R1063">
        <v>23</v>
      </c>
      <c r="S1063">
        <v>21.5</v>
      </c>
      <c r="T1063">
        <v>1315</v>
      </c>
      <c r="U1063">
        <v>208</v>
      </c>
      <c r="V1063">
        <v>56</v>
      </c>
      <c r="W1063">
        <v>40</v>
      </c>
      <c r="X1063">
        <v>494</v>
      </c>
      <c r="Y1063">
        <v>201</v>
      </c>
      <c r="Z1063">
        <v>291</v>
      </c>
      <c r="AA1063">
        <v>201</v>
      </c>
      <c r="AB1063">
        <v>9.4535109828895205</v>
      </c>
      <c r="AC1063">
        <v>3.9533222349964002E-2</v>
      </c>
      <c r="AD1063">
        <v>4.2424544844199197</v>
      </c>
      <c r="AE1063">
        <v>0.40947489781488799</v>
      </c>
      <c r="AF1063">
        <v>1140.6883802816899</v>
      </c>
      <c r="AG1063">
        <f>IFERROR(AH1063*0.1, "N/A")</f>
        <v>5.8764084507042202</v>
      </c>
      <c r="AH1063">
        <v>58.764084507042199</v>
      </c>
      <c r="AI1063">
        <v>273.49179219528003</v>
      </c>
      <c r="AJ1063">
        <v>40.528169014084497</v>
      </c>
      <c r="AK1063">
        <v>42.707746478873197</v>
      </c>
    </row>
    <row r="1064" spans="1:37" x14ac:dyDescent="0.3">
      <c r="A1064">
        <v>1063</v>
      </c>
      <c r="B1064">
        <v>83.900002000000001</v>
      </c>
      <c r="C1064">
        <v>33.627800000000001</v>
      </c>
      <c r="D1064">
        <v>0.32343300000000003</v>
      </c>
      <c r="E1064" t="s">
        <v>1827</v>
      </c>
      <c r="F1064" t="s">
        <v>1828</v>
      </c>
      <c r="G1064" t="s">
        <v>37</v>
      </c>
      <c r="H1064">
        <v>2004</v>
      </c>
      <c r="I1064">
        <v>22.299999237060501</v>
      </c>
      <c r="J1064">
        <v>11.800000190734901</v>
      </c>
      <c r="K1064">
        <v>85</v>
      </c>
      <c r="L1064">
        <v>5.53999996185303</v>
      </c>
      <c r="M1064">
        <v>29.600000381469702</v>
      </c>
      <c r="N1064">
        <v>15.800000190734901</v>
      </c>
      <c r="O1064">
        <v>13.800000190734901</v>
      </c>
      <c r="P1064">
        <v>22.600000381469702</v>
      </c>
      <c r="Q1064">
        <v>21.5</v>
      </c>
      <c r="R1064">
        <v>23</v>
      </c>
      <c r="S1064">
        <v>21.5</v>
      </c>
      <c r="T1064">
        <v>1318</v>
      </c>
      <c r="U1064">
        <v>204</v>
      </c>
      <c r="V1064">
        <v>54</v>
      </c>
      <c r="W1064">
        <v>40</v>
      </c>
      <c r="X1064">
        <v>487</v>
      </c>
      <c r="Y1064">
        <v>196</v>
      </c>
      <c r="Z1064">
        <v>301</v>
      </c>
      <c r="AA1064">
        <v>196</v>
      </c>
      <c r="AB1064">
        <v>11.4925903963917</v>
      </c>
      <c r="AC1064">
        <v>8.8631923544519996E-3</v>
      </c>
      <c r="AD1064">
        <v>2.46762395910722</v>
      </c>
      <c r="AE1064">
        <v>0.49650791287422202</v>
      </c>
      <c r="AF1064">
        <v>1140.53251318102</v>
      </c>
      <c r="AG1064">
        <f>IFERROR(AH1064*0.1, "N/A")</f>
        <v>6.1000000000000005</v>
      </c>
      <c r="AH1064">
        <v>61</v>
      </c>
      <c r="AI1064">
        <v>246.662477650835</v>
      </c>
      <c r="AJ1064">
        <v>31</v>
      </c>
      <c r="AK1064">
        <v>50</v>
      </c>
    </row>
    <row r="1065" spans="1:37" x14ac:dyDescent="0.3">
      <c r="A1065">
        <v>1064</v>
      </c>
      <c r="B1065">
        <v>90</v>
      </c>
      <c r="C1065">
        <v>33.628300000000003</v>
      </c>
      <c r="D1065">
        <v>0.32364999999999999</v>
      </c>
      <c r="E1065" t="s">
        <v>1829</v>
      </c>
      <c r="F1065" t="s">
        <v>1830</v>
      </c>
      <c r="G1065" t="s">
        <v>37</v>
      </c>
      <c r="H1065">
        <v>2005</v>
      </c>
      <c r="I1065">
        <v>22.299999237060501</v>
      </c>
      <c r="J1065">
        <v>11.800000190734901</v>
      </c>
      <c r="K1065">
        <v>85</v>
      </c>
      <c r="L1065">
        <v>5.53999996185303</v>
      </c>
      <c r="M1065">
        <v>29.600000381469702</v>
      </c>
      <c r="N1065">
        <v>15.800000190734901</v>
      </c>
      <c r="O1065">
        <v>13.800000190734901</v>
      </c>
      <c r="P1065">
        <v>22.600000381469702</v>
      </c>
      <c r="Q1065">
        <v>21.5</v>
      </c>
      <c r="R1065">
        <v>23</v>
      </c>
      <c r="S1065">
        <v>21.5</v>
      </c>
      <c r="T1065">
        <v>1318</v>
      </c>
      <c r="U1065">
        <v>204</v>
      </c>
      <c r="V1065">
        <v>54</v>
      </c>
      <c r="W1065">
        <v>40</v>
      </c>
      <c r="X1065">
        <v>487</v>
      </c>
      <c r="Y1065">
        <v>196</v>
      </c>
      <c r="Z1065">
        <v>301</v>
      </c>
      <c r="AA1065">
        <v>196</v>
      </c>
      <c r="AB1065">
        <v>12.0153005556244</v>
      </c>
      <c r="AC1065">
        <v>1.1909525332286E-2</v>
      </c>
      <c r="AD1065">
        <v>2.8715487697557598</v>
      </c>
      <c r="AE1065">
        <v>0.50539953194597997</v>
      </c>
      <c r="AF1065">
        <v>1141.2239858906501</v>
      </c>
      <c r="AG1065">
        <f>IFERROR(AH1065*0.1, "N/A")</f>
        <v>6.07883597883598</v>
      </c>
      <c r="AH1065">
        <v>60.788359788359799</v>
      </c>
      <c r="AI1065">
        <v>197.28890911822199</v>
      </c>
      <c r="AJ1065">
        <v>31.211640211640201</v>
      </c>
      <c r="AK1065">
        <v>50.070546737213398</v>
      </c>
    </row>
    <row r="1066" spans="1:37" x14ac:dyDescent="0.3">
      <c r="A1066">
        <v>1065</v>
      </c>
      <c r="B1066">
        <v>76.699996999999996</v>
      </c>
      <c r="C1066">
        <v>33.713501000000001</v>
      </c>
      <c r="D1066">
        <v>0.32576699999999997</v>
      </c>
      <c r="E1066" t="s">
        <v>1831</v>
      </c>
      <c r="F1066" t="s">
        <v>1832</v>
      </c>
      <c r="G1066" t="s">
        <v>37</v>
      </c>
      <c r="H1066">
        <v>2007</v>
      </c>
      <c r="I1066">
        <v>22.299999237060501</v>
      </c>
      <c r="J1066">
        <v>11.8999996185303</v>
      </c>
      <c r="K1066">
        <v>85</v>
      </c>
      <c r="L1066">
        <v>5.6373944735862898</v>
      </c>
      <c r="M1066">
        <v>29.700000762939499</v>
      </c>
      <c r="N1066">
        <v>15.800000190734901</v>
      </c>
      <c r="O1066">
        <v>13.8999996185303</v>
      </c>
      <c r="P1066">
        <v>22.600000381469702</v>
      </c>
      <c r="Q1066">
        <v>21.5</v>
      </c>
      <c r="R1066">
        <v>23</v>
      </c>
      <c r="S1066">
        <v>21.5</v>
      </c>
      <c r="T1066">
        <v>1315</v>
      </c>
      <c r="U1066">
        <v>208</v>
      </c>
      <c r="V1066">
        <v>56</v>
      </c>
      <c r="W1066">
        <v>40</v>
      </c>
      <c r="X1066">
        <v>493.06161971831</v>
      </c>
      <c r="Y1066">
        <v>201.93838028169</v>
      </c>
      <c r="Z1066">
        <v>290.06161971831</v>
      </c>
      <c r="AA1066">
        <v>201.93838028169</v>
      </c>
      <c r="AB1066">
        <v>1.89807666187555</v>
      </c>
      <c r="AC1066">
        <v>6.7328344656704994E-2</v>
      </c>
      <c r="AD1066">
        <v>0.97418830050549099</v>
      </c>
      <c r="AE1066">
        <v>0.55133581161499001</v>
      </c>
      <c r="AF1066">
        <v>1140.8327464788699</v>
      </c>
      <c r="AG1066">
        <f>IFERROR(AH1066*0.1, "N/A")</f>
        <v>5.7528169014084503</v>
      </c>
      <c r="AH1066">
        <v>57.528169014084497</v>
      </c>
      <c r="AI1066">
        <v>123.204516988405</v>
      </c>
      <c r="AJ1066">
        <v>38.700704225352098</v>
      </c>
      <c r="AK1066">
        <v>44.908450704225402</v>
      </c>
    </row>
    <row r="1067" spans="1:37" x14ac:dyDescent="0.3">
      <c r="A1067">
        <v>1066</v>
      </c>
      <c r="B1067">
        <v>3.1</v>
      </c>
      <c r="C1067">
        <v>32.576801000000003</v>
      </c>
      <c r="D1067">
        <v>0.32704</v>
      </c>
      <c r="E1067" t="s">
        <v>1833</v>
      </c>
      <c r="F1067" t="s">
        <v>1834</v>
      </c>
      <c r="G1067" t="s">
        <v>37</v>
      </c>
      <c r="H1067">
        <v>1996</v>
      </c>
      <c r="I1067">
        <v>21.5</v>
      </c>
      <c r="J1067">
        <v>10.699999809265099</v>
      </c>
      <c r="K1067">
        <v>82</v>
      </c>
      <c r="L1067">
        <v>6.3600001335143999</v>
      </c>
      <c r="M1067">
        <v>28.399999618530298</v>
      </c>
      <c r="N1067">
        <v>15.3999996185303</v>
      </c>
      <c r="O1067">
        <v>13</v>
      </c>
      <c r="P1067">
        <v>21.700000762939499</v>
      </c>
      <c r="Q1067">
        <v>20.5</v>
      </c>
      <c r="R1067">
        <v>22.299999237060501</v>
      </c>
      <c r="S1067">
        <v>20.5</v>
      </c>
      <c r="T1067">
        <v>1286</v>
      </c>
      <c r="U1067">
        <v>179</v>
      </c>
      <c r="V1067">
        <v>62</v>
      </c>
      <c r="W1067">
        <v>34</v>
      </c>
      <c r="X1067">
        <v>445</v>
      </c>
      <c r="Y1067">
        <v>220</v>
      </c>
      <c r="Z1067">
        <v>269</v>
      </c>
      <c r="AA1067">
        <v>220</v>
      </c>
      <c r="AB1067">
        <v>54.950708308689997</v>
      </c>
      <c r="AC1067">
        <v>9.3603564006550007E-3</v>
      </c>
      <c r="AD1067">
        <v>7.2250623652632804</v>
      </c>
      <c r="AE1067">
        <v>0.88160497705701402</v>
      </c>
      <c r="AF1067">
        <v>1222.39964788732</v>
      </c>
      <c r="AG1067">
        <f>IFERROR(AH1067*0.1, "N/A")</f>
        <v>6.2950704225352103</v>
      </c>
      <c r="AH1067">
        <v>62.950704225352098</v>
      </c>
      <c r="AI1067">
        <v>272.01631422445797</v>
      </c>
      <c r="AJ1067">
        <v>46.098591549295797</v>
      </c>
      <c r="AK1067">
        <v>37.901408450704203</v>
      </c>
    </row>
    <row r="1068" spans="1:37" x14ac:dyDescent="0.3">
      <c r="A1068">
        <v>1067</v>
      </c>
      <c r="B1068">
        <v>66.699996999999996</v>
      </c>
      <c r="C1068">
        <v>33.616000999999997</v>
      </c>
      <c r="D1068">
        <v>0.33300000000000002</v>
      </c>
      <c r="E1068" t="s">
        <v>1835</v>
      </c>
      <c r="F1068" t="s">
        <v>1836</v>
      </c>
      <c r="G1068" t="s">
        <v>37</v>
      </c>
      <c r="H1068">
        <v>2005</v>
      </c>
      <c r="I1068">
        <v>22.171429225376698</v>
      </c>
      <c r="J1068">
        <v>11.800000190734901</v>
      </c>
      <c r="K1068">
        <v>84</v>
      </c>
      <c r="L1068">
        <v>5.6384657148330897</v>
      </c>
      <c r="M1068">
        <v>29.571428843906901</v>
      </c>
      <c r="N1068">
        <v>15.671428544180699</v>
      </c>
      <c r="O1068">
        <v>13.8999996185303</v>
      </c>
      <c r="P1068">
        <v>22.5005291025475</v>
      </c>
      <c r="Q1068">
        <v>21.371428080967501</v>
      </c>
      <c r="R1068">
        <v>22.871428080967501</v>
      </c>
      <c r="S1068">
        <v>21.371428080967501</v>
      </c>
      <c r="T1068">
        <v>1330.0264550264501</v>
      </c>
      <c r="U1068">
        <v>204.57671957672</v>
      </c>
      <c r="V1068">
        <v>55.285714285714299</v>
      </c>
      <c r="W1068">
        <v>39</v>
      </c>
      <c r="X1068">
        <v>487.58201058201098</v>
      </c>
      <c r="Y1068">
        <v>199.433862433862</v>
      </c>
      <c r="Z1068">
        <v>302</v>
      </c>
      <c r="AA1068">
        <v>199.433862433862</v>
      </c>
      <c r="AB1068">
        <v>14.950735694306699</v>
      </c>
      <c r="AC1068">
        <v>2.9140625462738001E-2</v>
      </c>
      <c r="AD1068">
        <v>2.6748704933405301</v>
      </c>
      <c r="AE1068">
        <v>0.652744489056723</v>
      </c>
      <c r="AF1068">
        <v>1157.8007054673701</v>
      </c>
      <c r="AG1068">
        <f>IFERROR(AH1068*0.1, "N/A")</f>
        <v>5.8005291005291006</v>
      </c>
      <c r="AH1068">
        <v>58.005291005290999</v>
      </c>
      <c r="AI1068">
        <v>285.39247903706098</v>
      </c>
      <c r="AJ1068">
        <v>40.088183421516803</v>
      </c>
      <c r="AK1068">
        <v>42.857142857142897</v>
      </c>
    </row>
    <row r="1069" spans="1:37" x14ac:dyDescent="0.3">
      <c r="A1069">
        <v>1068</v>
      </c>
      <c r="B1069">
        <v>50</v>
      </c>
      <c r="C1069">
        <v>33.670699999999997</v>
      </c>
      <c r="D1069">
        <v>0.33402999999999999</v>
      </c>
      <c r="E1069" t="s">
        <v>1837</v>
      </c>
      <c r="F1069" t="s">
        <v>1838</v>
      </c>
      <c r="G1069" t="s">
        <v>37</v>
      </c>
      <c r="H1069">
        <v>2005</v>
      </c>
      <c r="I1069">
        <v>22.102636578631898</v>
      </c>
      <c r="J1069">
        <v>11.8991208889363</v>
      </c>
      <c r="K1069">
        <v>84.991212653778504</v>
      </c>
      <c r="L1069">
        <v>5.2052722203501096</v>
      </c>
      <c r="M1069">
        <v>29.501757475948502</v>
      </c>
      <c r="N1069">
        <v>15.601757849038</v>
      </c>
      <c r="O1069">
        <v>13.8999996185303</v>
      </c>
      <c r="P1069">
        <v>22.402635832453001</v>
      </c>
      <c r="Q1069">
        <v>21.301756713008999</v>
      </c>
      <c r="R1069">
        <v>22.7026369601017</v>
      </c>
      <c r="S1069">
        <v>21.301756713008999</v>
      </c>
      <c r="T1069">
        <v>1345.74516695958</v>
      </c>
      <c r="U1069">
        <v>209.96485061511399</v>
      </c>
      <c r="V1069">
        <v>57.982425307557101</v>
      </c>
      <c r="W1069">
        <v>39.008787346221403</v>
      </c>
      <c r="X1069">
        <v>496.93848857645003</v>
      </c>
      <c r="Y1069">
        <v>207.92970123022801</v>
      </c>
      <c r="Z1069">
        <v>297.96485061511402</v>
      </c>
      <c r="AA1069">
        <v>207.92970123022801</v>
      </c>
      <c r="AB1069">
        <v>12.2699757661467</v>
      </c>
      <c r="AC1069">
        <v>8.6964329542601998E-2</v>
      </c>
      <c r="AD1069">
        <v>3.4779492648079402</v>
      </c>
      <c r="AE1069">
        <v>0.48941929583390298</v>
      </c>
      <c r="AF1069">
        <v>1158.33391915641</v>
      </c>
      <c r="AG1069">
        <f>IFERROR(AH1069*0.1, "N/A")</f>
        <v>5.5648506151142305</v>
      </c>
      <c r="AH1069">
        <v>55.6485061511423</v>
      </c>
      <c r="AI1069">
        <v>263.842936966666</v>
      </c>
      <c r="AJ1069">
        <v>37.072056239015801</v>
      </c>
      <c r="AK1069">
        <v>46.787346221441098</v>
      </c>
    </row>
    <row r="1070" spans="1:37" x14ac:dyDescent="0.3">
      <c r="A1070">
        <v>1069</v>
      </c>
      <c r="B1070">
        <v>10.5</v>
      </c>
      <c r="C1070">
        <v>33.509200999999997</v>
      </c>
      <c r="D1070">
        <v>0.34176699999999999</v>
      </c>
      <c r="E1070" t="s">
        <v>1839</v>
      </c>
      <c r="F1070" t="s">
        <v>1840</v>
      </c>
      <c r="G1070" t="s">
        <v>37</v>
      </c>
      <c r="H1070">
        <v>2004</v>
      </c>
      <c r="I1070">
        <v>22.084303672561798</v>
      </c>
      <c r="J1070">
        <v>11.699999809265099</v>
      </c>
      <c r="K1070">
        <v>84</v>
      </c>
      <c r="L1070">
        <v>5.81488546324365</v>
      </c>
      <c r="M1070">
        <v>29.384302909622299</v>
      </c>
      <c r="N1070">
        <v>15.5843036725618</v>
      </c>
      <c r="O1070">
        <v>13.800000190734901</v>
      </c>
      <c r="P1070">
        <v>22.468606582184101</v>
      </c>
      <c r="Q1070">
        <v>21.284302827542401</v>
      </c>
      <c r="R1070">
        <v>22.784302827542401</v>
      </c>
      <c r="S1070">
        <v>21.284302827542401</v>
      </c>
      <c r="T1070">
        <v>1349.5114638447999</v>
      </c>
      <c r="U1070">
        <v>203.31393298059999</v>
      </c>
      <c r="V1070">
        <v>55</v>
      </c>
      <c r="W1070">
        <v>39</v>
      </c>
      <c r="X1070">
        <v>483.09876543209901</v>
      </c>
      <c r="Y1070">
        <v>199.15696649029999</v>
      </c>
      <c r="Z1070">
        <v>308.94179894179899</v>
      </c>
      <c r="AA1070">
        <v>199.15696649029999</v>
      </c>
      <c r="AB1070">
        <v>28.3038603498402</v>
      </c>
      <c r="AC1070">
        <v>1.7095417712324E-2</v>
      </c>
      <c r="AD1070">
        <v>1.6831319714769899</v>
      </c>
      <c r="AE1070">
        <v>0.75430191320086304</v>
      </c>
      <c r="AF1070">
        <v>1164.65784832452</v>
      </c>
      <c r="AG1070">
        <f>IFERROR(AH1070*0.1, "N/A")</f>
        <v>6</v>
      </c>
      <c r="AH1070">
        <v>60</v>
      </c>
      <c r="AI1070">
        <v>105.250808308785</v>
      </c>
      <c r="AJ1070">
        <v>43</v>
      </c>
      <c r="AK1070">
        <v>39</v>
      </c>
    </row>
    <row r="1071" spans="1:37" x14ac:dyDescent="0.3">
      <c r="A1071">
        <v>1070</v>
      </c>
      <c r="B1071">
        <v>45</v>
      </c>
      <c r="C1071">
        <v>33.609200000000001</v>
      </c>
      <c r="D1071">
        <v>0.34203</v>
      </c>
      <c r="E1071" t="s">
        <v>1841</v>
      </c>
      <c r="F1071" t="s">
        <v>1842</v>
      </c>
      <c r="G1071" t="s">
        <v>37</v>
      </c>
      <c r="H1071">
        <v>2005</v>
      </c>
      <c r="I1071">
        <v>22.100000381469702</v>
      </c>
      <c r="J1071">
        <v>11.800000190734901</v>
      </c>
      <c r="K1071">
        <v>84</v>
      </c>
      <c r="L1071">
        <v>5.6570672466561103</v>
      </c>
      <c r="M1071">
        <v>29.4113070821594</v>
      </c>
      <c r="N1071">
        <v>15.5113074636291</v>
      </c>
      <c r="O1071">
        <v>13.8999996185303</v>
      </c>
      <c r="P1071">
        <v>22.402826484437501</v>
      </c>
      <c r="Q1071">
        <v>21.211308010896602</v>
      </c>
      <c r="R1071">
        <v>22.711308010896602</v>
      </c>
      <c r="S1071">
        <v>21.211308010896602</v>
      </c>
      <c r="T1071">
        <v>1352.41696113074</v>
      </c>
      <c r="U1071">
        <v>206.80212014134301</v>
      </c>
      <c r="V1071">
        <v>57.773851590105998</v>
      </c>
      <c r="W1071">
        <v>39</v>
      </c>
      <c r="X1071">
        <v>491.49116607773902</v>
      </c>
      <c r="Y1071">
        <v>207.43462897526501</v>
      </c>
      <c r="Z1071">
        <v>302.886925795053</v>
      </c>
      <c r="AA1071">
        <v>207.43462897526501</v>
      </c>
      <c r="AB1071">
        <v>21.4075873816392</v>
      </c>
      <c r="AC1071">
        <v>2.8588001262528001E-2</v>
      </c>
      <c r="AD1071">
        <v>1.03138692903434</v>
      </c>
      <c r="AE1071">
        <v>0.69353535739777405</v>
      </c>
      <c r="AF1071">
        <v>1169.15017667845</v>
      </c>
      <c r="AG1071">
        <f>IFERROR(AH1071*0.1, "N/A")</f>
        <v>6</v>
      </c>
      <c r="AH1071">
        <v>60</v>
      </c>
      <c r="AI1071">
        <v>101.91032583553501</v>
      </c>
      <c r="AJ1071">
        <v>41.084805653710198</v>
      </c>
      <c r="AK1071">
        <v>40.915194346289802</v>
      </c>
    </row>
    <row r="1072" spans="1:37" x14ac:dyDescent="0.3">
      <c r="A1072">
        <v>1071</v>
      </c>
      <c r="B1072">
        <v>33.799999</v>
      </c>
      <c r="C1072">
        <v>32.998699000000002</v>
      </c>
      <c r="D1072">
        <v>0.34536699999999998</v>
      </c>
      <c r="E1072" t="s">
        <v>1843</v>
      </c>
      <c r="F1072" t="s">
        <v>1844</v>
      </c>
      <c r="G1072" t="s">
        <v>37</v>
      </c>
      <c r="H1072">
        <v>2004</v>
      </c>
      <c r="I1072">
        <v>21.299999237060501</v>
      </c>
      <c r="J1072">
        <v>11.300000190734901</v>
      </c>
      <c r="K1072">
        <v>83</v>
      </c>
      <c r="L1072">
        <v>5.7199997901916504</v>
      </c>
      <c r="M1072">
        <v>28.299999237060501</v>
      </c>
      <c r="N1072">
        <v>14.800000190734901</v>
      </c>
      <c r="O1072">
        <v>13.5</v>
      </c>
      <c r="P1072">
        <v>21.700000762939499</v>
      </c>
      <c r="Q1072">
        <v>20.399999618530298</v>
      </c>
      <c r="R1072">
        <v>21.899999618530298</v>
      </c>
      <c r="S1072">
        <v>20.399999618530298</v>
      </c>
      <c r="T1072">
        <v>1381</v>
      </c>
      <c r="U1072">
        <v>192</v>
      </c>
      <c r="V1072">
        <v>70</v>
      </c>
      <c r="W1072">
        <v>30</v>
      </c>
      <c r="X1072">
        <v>474</v>
      </c>
      <c r="Y1072">
        <v>252</v>
      </c>
      <c r="Z1072">
        <v>295</v>
      </c>
      <c r="AA1072">
        <v>252</v>
      </c>
      <c r="AB1072">
        <v>20.261416153169002</v>
      </c>
      <c r="AC1072">
        <v>5.3272673440441003E-2</v>
      </c>
      <c r="AD1072">
        <v>7.2463754759707903</v>
      </c>
      <c r="AE1072">
        <v>0.64695549011230502</v>
      </c>
      <c r="AF1072">
        <v>1225.47183098592</v>
      </c>
      <c r="AG1072">
        <f>IFERROR(AH1072*0.1, "N/A")</f>
        <v>6.1387323943662002</v>
      </c>
      <c r="AH1072">
        <v>61.387323943661997</v>
      </c>
      <c r="AI1072">
        <v>72.760632635841901</v>
      </c>
      <c r="AJ1072">
        <v>36.846830985915503</v>
      </c>
      <c r="AK1072">
        <v>46</v>
      </c>
    </row>
    <row r="1073" spans="1:37" x14ac:dyDescent="0.3">
      <c r="A1073">
        <v>1072</v>
      </c>
      <c r="B1073">
        <v>55</v>
      </c>
      <c r="C1073">
        <v>33.630001</v>
      </c>
      <c r="D1073">
        <v>0.34594999999999998</v>
      </c>
      <c r="E1073" t="s">
        <v>1845</v>
      </c>
      <c r="F1073" t="s">
        <v>1846</v>
      </c>
      <c r="G1073" t="s">
        <v>37</v>
      </c>
      <c r="H1073">
        <v>2005</v>
      </c>
      <c r="I1073">
        <v>22.100000381469702</v>
      </c>
      <c r="J1073">
        <v>11.800000190734901</v>
      </c>
      <c r="K1073">
        <v>84</v>
      </c>
      <c r="L1073">
        <v>5.6199998855590803</v>
      </c>
      <c r="M1073">
        <v>29.5</v>
      </c>
      <c r="N1073">
        <v>15.6000003814697</v>
      </c>
      <c r="O1073">
        <v>13.8999996185303</v>
      </c>
      <c r="P1073">
        <v>22.399999618530298</v>
      </c>
      <c r="Q1073">
        <v>21.299999237060501</v>
      </c>
      <c r="R1073">
        <v>22.799999237060501</v>
      </c>
      <c r="S1073">
        <v>21.299999237060501</v>
      </c>
      <c r="T1073">
        <v>1347</v>
      </c>
      <c r="U1073">
        <v>207</v>
      </c>
      <c r="V1073">
        <v>58</v>
      </c>
      <c r="W1073">
        <v>39</v>
      </c>
      <c r="X1073">
        <v>492</v>
      </c>
      <c r="Y1073">
        <v>207</v>
      </c>
      <c r="Z1073">
        <v>300</v>
      </c>
      <c r="AA1073">
        <v>207</v>
      </c>
      <c r="AB1073">
        <v>28.994028423289201</v>
      </c>
      <c r="AC1073">
        <v>1.6885096688472E-2</v>
      </c>
      <c r="AD1073">
        <v>1.7562854745685501</v>
      </c>
      <c r="AE1073">
        <v>0.655104779191512</v>
      </c>
      <c r="AF1073">
        <v>1178.1950790861199</v>
      </c>
      <c r="AG1073">
        <f>IFERROR(AH1073*0.1, "N/A")</f>
        <v>6</v>
      </c>
      <c r="AH1073">
        <v>60</v>
      </c>
      <c r="AI1073">
        <v>157.626161907176</v>
      </c>
      <c r="AJ1073">
        <v>39.094903339191603</v>
      </c>
      <c r="AK1073">
        <v>44.841827768014099</v>
      </c>
    </row>
    <row r="1074" spans="1:37" x14ac:dyDescent="0.3">
      <c r="A1074">
        <v>1073</v>
      </c>
      <c r="B1074">
        <v>18</v>
      </c>
      <c r="C1074">
        <v>33.705502000000003</v>
      </c>
      <c r="D1074">
        <v>0.35065000000000002</v>
      </c>
      <c r="E1074" t="s">
        <v>1847</v>
      </c>
      <c r="F1074" t="s">
        <v>1848</v>
      </c>
      <c r="G1074" t="s">
        <v>37</v>
      </c>
      <c r="H1074">
        <v>2007</v>
      </c>
      <c r="I1074">
        <v>22</v>
      </c>
      <c r="J1074">
        <v>11.8999996185303</v>
      </c>
      <c r="K1074">
        <v>85</v>
      </c>
      <c r="L1074">
        <v>5.5424781180852696</v>
      </c>
      <c r="M1074">
        <v>29.399999618530298</v>
      </c>
      <c r="N1074">
        <v>15.5</v>
      </c>
      <c r="O1074">
        <v>13.8999996185303</v>
      </c>
      <c r="P1074">
        <v>22.299999237060501</v>
      </c>
      <c r="Q1074">
        <v>21.200000762939499</v>
      </c>
      <c r="R1074">
        <v>22.676626332824402</v>
      </c>
      <c r="S1074">
        <v>21.200000762939499</v>
      </c>
      <c r="T1074">
        <v>1366.8963093145901</v>
      </c>
      <c r="U1074">
        <v>213.76625659051001</v>
      </c>
      <c r="V1074">
        <v>60.766256590509698</v>
      </c>
      <c r="W1074">
        <v>38.233743409490302</v>
      </c>
      <c r="X1074">
        <v>504.532513181019</v>
      </c>
      <c r="Y1074">
        <v>217.06502636203899</v>
      </c>
      <c r="Z1074">
        <v>295</v>
      </c>
      <c r="AA1074">
        <v>217.06502636203899</v>
      </c>
      <c r="AB1074">
        <v>57.281727554508997</v>
      </c>
      <c r="AC1074">
        <v>9.1335706785979996E-3</v>
      </c>
      <c r="AD1074">
        <v>5.1066268604962399</v>
      </c>
      <c r="AE1074">
        <v>0.64939665616291897</v>
      </c>
      <c r="AF1074">
        <v>1224.32513181019</v>
      </c>
      <c r="AG1074">
        <f>IFERROR(AH1074*0.1, "N/A")</f>
        <v>5.9</v>
      </c>
      <c r="AH1074">
        <v>59</v>
      </c>
      <c r="AI1074">
        <v>80.3214604221874</v>
      </c>
      <c r="AJ1074">
        <v>36</v>
      </c>
      <c r="AK1074">
        <v>48.905096660808397</v>
      </c>
    </row>
    <row r="1075" spans="1:37" x14ac:dyDescent="0.3">
      <c r="A1075">
        <v>1074</v>
      </c>
      <c r="B1075">
        <v>31.6</v>
      </c>
      <c r="C1075">
        <v>33.705502000000003</v>
      </c>
      <c r="D1075">
        <v>0.35068300000000002</v>
      </c>
      <c r="E1075" t="s">
        <v>1849</v>
      </c>
      <c r="F1075" t="s">
        <v>1850</v>
      </c>
      <c r="G1075" t="s">
        <v>37</v>
      </c>
      <c r="H1075">
        <v>2004</v>
      </c>
      <c r="I1075">
        <v>22</v>
      </c>
      <c r="J1075">
        <v>11.8999996185303</v>
      </c>
      <c r="K1075">
        <v>85</v>
      </c>
      <c r="L1075">
        <v>5.5542681650299697</v>
      </c>
      <c r="M1075">
        <v>29.399999618530298</v>
      </c>
      <c r="N1075">
        <v>15.5</v>
      </c>
      <c r="O1075">
        <v>13.8999996185303</v>
      </c>
      <c r="P1075">
        <v>22.299999237060501</v>
      </c>
      <c r="Q1075">
        <v>21.200000762939499</v>
      </c>
      <c r="R1075">
        <v>22.679189396072701</v>
      </c>
      <c r="S1075">
        <v>21.200000762939499</v>
      </c>
      <c r="T1075">
        <v>1367.12698412698</v>
      </c>
      <c r="U1075">
        <v>213.79188712522</v>
      </c>
      <c r="V1075">
        <v>60.791887125220399</v>
      </c>
      <c r="W1075">
        <v>38.208112874779502</v>
      </c>
      <c r="X1075">
        <v>504.58377425044102</v>
      </c>
      <c r="Y1075">
        <v>217.16754850088199</v>
      </c>
      <c r="Z1075">
        <v>295</v>
      </c>
      <c r="AA1075">
        <v>217.16754850088199</v>
      </c>
      <c r="AB1075">
        <v>57.323461569595999</v>
      </c>
      <c r="AC1075">
        <v>9.0451853422080005E-3</v>
      </c>
      <c r="AD1075">
        <v>5.0668575549251802</v>
      </c>
      <c r="AE1075">
        <v>0.64886069013958902</v>
      </c>
      <c r="AF1075">
        <v>1224.3774250440899</v>
      </c>
      <c r="AG1075">
        <f>IFERROR(AH1075*0.1, "N/A")</f>
        <v>5.9</v>
      </c>
      <c r="AH1075">
        <v>59</v>
      </c>
      <c r="AI1075">
        <v>78.474406974025499</v>
      </c>
      <c r="AJ1075">
        <v>36</v>
      </c>
      <c r="AK1075">
        <v>48.8906525573192</v>
      </c>
    </row>
    <row r="1076" spans="1:37" x14ac:dyDescent="0.3">
      <c r="A1076">
        <v>1075</v>
      </c>
      <c r="B1076">
        <v>72.400002000000001</v>
      </c>
      <c r="C1076">
        <v>33.6661</v>
      </c>
      <c r="D1076">
        <v>0.35155999999999998</v>
      </c>
      <c r="E1076" t="s">
        <v>1851</v>
      </c>
      <c r="F1076" t="s">
        <v>1852</v>
      </c>
      <c r="G1076" t="s">
        <v>37</v>
      </c>
      <c r="H1076">
        <v>2005</v>
      </c>
      <c r="I1076">
        <v>22.299999237060501</v>
      </c>
      <c r="J1076">
        <v>11.800000190734901</v>
      </c>
      <c r="K1076">
        <v>84</v>
      </c>
      <c r="L1076">
        <v>5.8000001907348597</v>
      </c>
      <c r="M1076">
        <v>29.600000381469702</v>
      </c>
      <c r="N1076">
        <v>15.699999809265099</v>
      </c>
      <c r="O1076">
        <v>13.8999996185303</v>
      </c>
      <c r="P1076">
        <v>22.600000381469702</v>
      </c>
      <c r="Q1076">
        <v>21.399999618530298</v>
      </c>
      <c r="R1076">
        <v>22.899999618530298</v>
      </c>
      <c r="S1076">
        <v>21.399999618530298</v>
      </c>
      <c r="T1076">
        <v>1333</v>
      </c>
      <c r="U1076">
        <v>207</v>
      </c>
      <c r="V1076">
        <v>58</v>
      </c>
      <c r="W1076">
        <v>39</v>
      </c>
      <c r="X1076">
        <v>490</v>
      </c>
      <c r="Y1076">
        <v>208</v>
      </c>
      <c r="Z1076">
        <v>292</v>
      </c>
      <c r="AA1076">
        <v>208</v>
      </c>
      <c r="AB1076">
        <v>23.8056402072101</v>
      </c>
      <c r="AC1076">
        <v>9.3302349412389997E-3</v>
      </c>
      <c r="AD1076">
        <v>1.50967774755308</v>
      </c>
      <c r="AE1076">
        <v>0.621345630623925</v>
      </c>
      <c r="AF1076">
        <v>1175.5933098591499</v>
      </c>
      <c r="AG1076">
        <f>IFERROR(AH1076*0.1, "N/A")</f>
        <v>5.8552816901408402</v>
      </c>
      <c r="AH1076">
        <v>58.552816901408399</v>
      </c>
      <c r="AI1076">
        <v>206.74616574569501</v>
      </c>
      <c r="AJ1076">
        <v>35.447183098591601</v>
      </c>
      <c r="AK1076">
        <v>46.552816901408399</v>
      </c>
    </row>
    <row r="1077" spans="1:37" x14ac:dyDescent="0.3">
      <c r="A1077">
        <v>1076</v>
      </c>
      <c r="B1077">
        <v>45</v>
      </c>
      <c r="C1077">
        <v>33.696499000000003</v>
      </c>
      <c r="D1077">
        <v>0.35399999999999998</v>
      </c>
      <c r="E1077" t="s">
        <v>1853</v>
      </c>
      <c r="F1077" t="s">
        <v>1854</v>
      </c>
      <c r="G1077" t="s">
        <v>37</v>
      </c>
      <c r="H1077">
        <v>2005</v>
      </c>
      <c r="I1077">
        <v>21.899999618530298</v>
      </c>
      <c r="J1077">
        <v>11.8999996185303</v>
      </c>
      <c r="K1077">
        <v>85</v>
      </c>
      <c r="L1077">
        <v>5.5999999046325701</v>
      </c>
      <c r="M1077">
        <v>29.399999618530298</v>
      </c>
      <c r="N1077">
        <v>15.3999996185303</v>
      </c>
      <c r="O1077">
        <v>14</v>
      </c>
      <c r="P1077">
        <v>22.200000762939499</v>
      </c>
      <c r="Q1077">
        <v>21.100000381469702</v>
      </c>
      <c r="R1077">
        <v>22.600000381469702</v>
      </c>
      <c r="S1077">
        <v>21.100000381469702</v>
      </c>
      <c r="T1077">
        <v>1374</v>
      </c>
      <c r="U1077">
        <v>215</v>
      </c>
      <c r="V1077">
        <v>62</v>
      </c>
      <c r="W1077">
        <v>39</v>
      </c>
      <c r="X1077">
        <v>507</v>
      </c>
      <c r="Y1077">
        <v>219</v>
      </c>
      <c r="Z1077">
        <v>296</v>
      </c>
      <c r="AA1077">
        <v>219</v>
      </c>
      <c r="AB1077">
        <v>27.015457153320298</v>
      </c>
      <c r="AC1077">
        <v>3.6342758673873002E-2</v>
      </c>
      <c r="AD1077">
        <v>2.39561290755658</v>
      </c>
      <c r="AE1077">
        <v>0.55808627605438199</v>
      </c>
      <c r="AF1077">
        <v>1222.7112676056299</v>
      </c>
      <c r="AG1077">
        <f>IFERROR(AH1077*0.1, "N/A")</f>
        <v>5.9</v>
      </c>
      <c r="AH1077">
        <v>59</v>
      </c>
      <c r="AI1077">
        <v>147.45767598756601</v>
      </c>
      <c r="AJ1077">
        <v>38.026408450704203</v>
      </c>
      <c r="AK1077">
        <v>46</v>
      </c>
    </row>
    <row r="1078" spans="1:37" x14ac:dyDescent="0.3">
      <c r="A1078">
        <v>1077</v>
      </c>
      <c r="B1078">
        <v>80.199996999999996</v>
      </c>
      <c r="C1078">
        <v>33.442402000000001</v>
      </c>
      <c r="D1078">
        <v>0.35563299999999998</v>
      </c>
      <c r="E1078" t="s">
        <v>1855</v>
      </c>
      <c r="F1078" t="s">
        <v>1856</v>
      </c>
      <c r="G1078" t="s">
        <v>37</v>
      </c>
      <c r="H1078">
        <v>2004</v>
      </c>
      <c r="I1078">
        <v>22.199649267749798</v>
      </c>
      <c r="J1078">
        <v>11.699999809265099</v>
      </c>
      <c r="K1078">
        <v>84.996485061511393</v>
      </c>
      <c r="L1078">
        <v>5.5000702987027301</v>
      </c>
      <c r="M1078">
        <v>29.299999237060501</v>
      </c>
      <c r="N1078">
        <v>15.599648886280001</v>
      </c>
      <c r="O1078">
        <v>13.7003513044548</v>
      </c>
      <c r="P1078">
        <v>22.5</v>
      </c>
      <c r="Q1078">
        <v>21.299999237060501</v>
      </c>
      <c r="R1078">
        <v>22.799647748575101</v>
      </c>
      <c r="S1078">
        <v>21.299999237060501</v>
      </c>
      <c r="T1078">
        <v>1364.02460456942</v>
      </c>
      <c r="U1078">
        <v>208.00351493848899</v>
      </c>
      <c r="V1078">
        <v>59.0035149384886</v>
      </c>
      <c r="W1078">
        <v>38</v>
      </c>
      <c r="X1078">
        <v>492.00702987697701</v>
      </c>
      <c r="Y1078">
        <v>206.01054481546601</v>
      </c>
      <c r="Z1078">
        <v>435.532513181019</v>
      </c>
      <c r="AA1078">
        <v>206.01054481546601</v>
      </c>
      <c r="AB1078">
        <v>14.9841866384282</v>
      </c>
      <c r="AC1078">
        <v>1.4766932694284E-2</v>
      </c>
      <c r="AD1078">
        <v>2.2587673538389001</v>
      </c>
      <c r="AE1078">
        <v>0.38984888425401298</v>
      </c>
      <c r="AF1078">
        <v>1148.1089630931499</v>
      </c>
      <c r="AG1078">
        <f>IFERROR(AH1078*0.1, "N/A")</f>
        <v>5.8289982425307603</v>
      </c>
      <c r="AH1078">
        <v>58.289982425307599</v>
      </c>
      <c r="AI1078">
        <v>83.697534517579896</v>
      </c>
      <c r="AJ1078">
        <v>37.857644991212702</v>
      </c>
      <c r="AK1078">
        <v>43.001757469244303</v>
      </c>
    </row>
    <row r="1079" spans="1:37" x14ac:dyDescent="0.3">
      <c r="A1079">
        <v>1078</v>
      </c>
      <c r="B1079">
        <v>5.2</v>
      </c>
      <c r="C1079">
        <v>32.635502000000002</v>
      </c>
      <c r="D1079">
        <v>0.35577999999999999</v>
      </c>
      <c r="E1079" t="s">
        <v>1857</v>
      </c>
      <c r="F1079" t="s">
        <v>1858</v>
      </c>
      <c r="G1079" t="s">
        <v>37</v>
      </c>
      <c r="H1079">
        <v>1996</v>
      </c>
      <c r="I1079">
        <v>21.5</v>
      </c>
      <c r="J1079">
        <v>10.699999809265099</v>
      </c>
      <c r="K1079">
        <v>82</v>
      </c>
      <c r="L1079">
        <v>6.0700001716613796</v>
      </c>
      <c r="M1079">
        <v>28.399999618530298</v>
      </c>
      <c r="N1079">
        <v>15.3999996185303</v>
      </c>
      <c r="O1079">
        <v>13</v>
      </c>
      <c r="P1079">
        <v>21.700000762939499</v>
      </c>
      <c r="Q1079">
        <v>20.600000381469702</v>
      </c>
      <c r="R1079">
        <v>22.200000762939499</v>
      </c>
      <c r="S1079">
        <v>20.600000381469702</v>
      </c>
      <c r="T1079">
        <v>1317</v>
      </c>
      <c r="U1079">
        <v>184</v>
      </c>
      <c r="V1079">
        <v>63</v>
      </c>
      <c r="W1079">
        <v>34</v>
      </c>
      <c r="X1079">
        <v>456</v>
      </c>
      <c r="Y1079">
        <v>225</v>
      </c>
      <c r="Z1079">
        <v>277</v>
      </c>
      <c r="AA1079">
        <v>225</v>
      </c>
      <c r="AB1079">
        <v>34.8281980702575</v>
      </c>
      <c r="AC1079">
        <v>2.2317313020195999E-2</v>
      </c>
      <c r="AD1079">
        <v>5.4491282777047498</v>
      </c>
      <c r="AE1079">
        <v>0.80495399236679099</v>
      </c>
      <c r="AF1079">
        <v>1201.1813380281701</v>
      </c>
      <c r="AG1079">
        <f>IFERROR(AH1079*0.1, "N/A")</f>
        <v>5.7741197183098603</v>
      </c>
      <c r="AH1079">
        <v>57.741197183098599</v>
      </c>
      <c r="AI1079">
        <v>75.403558865399404</v>
      </c>
      <c r="AJ1079">
        <v>37.709507042253499</v>
      </c>
      <c r="AK1079">
        <v>44.875</v>
      </c>
    </row>
    <row r="1080" spans="1:37" x14ac:dyDescent="0.3">
      <c r="A1080">
        <v>1079</v>
      </c>
      <c r="B1080">
        <v>73.300003000000004</v>
      </c>
      <c r="C1080">
        <v>33.443297999999999</v>
      </c>
      <c r="D1080">
        <v>0.35604999999999998</v>
      </c>
      <c r="E1080" t="s">
        <v>1859</v>
      </c>
      <c r="F1080" t="s">
        <v>1860</v>
      </c>
      <c r="G1080" t="s">
        <v>37</v>
      </c>
      <c r="H1080">
        <v>2005</v>
      </c>
      <c r="I1080">
        <v>22.200000762939499</v>
      </c>
      <c r="J1080">
        <v>11.699999809265099</v>
      </c>
      <c r="K1080">
        <v>85</v>
      </c>
      <c r="L1080">
        <v>5.5</v>
      </c>
      <c r="M1080">
        <v>29.299999237060501</v>
      </c>
      <c r="N1080">
        <v>15.6000003814697</v>
      </c>
      <c r="O1080">
        <v>13.699999809265099</v>
      </c>
      <c r="P1080">
        <v>22.5</v>
      </c>
      <c r="Q1080">
        <v>21.299999237060501</v>
      </c>
      <c r="R1080">
        <v>22.799999237060501</v>
      </c>
      <c r="S1080">
        <v>21.299999237060501</v>
      </c>
      <c r="T1080">
        <v>1364</v>
      </c>
      <c r="U1080">
        <v>208</v>
      </c>
      <c r="V1080">
        <v>59</v>
      </c>
      <c r="W1080">
        <v>38</v>
      </c>
      <c r="X1080">
        <v>492</v>
      </c>
      <c r="Y1080">
        <v>206</v>
      </c>
      <c r="Z1080">
        <v>436</v>
      </c>
      <c r="AA1080">
        <v>206</v>
      </c>
      <c r="AB1080">
        <v>11.246968408460599</v>
      </c>
      <c r="AC1080">
        <v>1.9604117702856E-2</v>
      </c>
      <c r="AD1080">
        <v>2.5413901242304799</v>
      </c>
      <c r="AE1080">
        <v>0.38929414749145502</v>
      </c>
      <c r="AF1080">
        <v>1143.1335676625699</v>
      </c>
      <c r="AG1080">
        <f>IFERROR(AH1080*0.1, "N/A")</f>
        <v>5.6987654320987708</v>
      </c>
      <c r="AH1080">
        <v>56.987654320987701</v>
      </c>
      <c r="AI1080">
        <v>83.175108227453194</v>
      </c>
      <c r="AJ1080">
        <v>38.506172839506199</v>
      </c>
      <c r="AK1080">
        <v>43</v>
      </c>
    </row>
    <row r="1081" spans="1:37" x14ac:dyDescent="0.3">
      <c r="A1081">
        <v>1080</v>
      </c>
      <c r="B1081">
        <v>49.299999</v>
      </c>
      <c r="C1081">
        <v>33.026797999999999</v>
      </c>
      <c r="D1081">
        <v>0.35738300000000001</v>
      </c>
      <c r="E1081" t="s">
        <v>1861</v>
      </c>
      <c r="F1081" t="s">
        <v>1862</v>
      </c>
      <c r="G1081" t="s">
        <v>37</v>
      </c>
      <c r="H1081">
        <v>2004</v>
      </c>
      <c r="I1081">
        <v>21.299999237060501</v>
      </c>
      <c r="J1081">
        <v>11.3999996185303</v>
      </c>
      <c r="K1081">
        <v>85</v>
      </c>
      <c r="L1081">
        <v>5.5</v>
      </c>
      <c r="M1081">
        <v>28.200000762939499</v>
      </c>
      <c r="N1081">
        <v>14.800000190734901</v>
      </c>
      <c r="O1081">
        <v>13.3999996185303</v>
      </c>
      <c r="P1081">
        <v>21.700000762939499</v>
      </c>
      <c r="Q1081">
        <v>20.5</v>
      </c>
      <c r="R1081">
        <v>21.899999618530298</v>
      </c>
      <c r="S1081">
        <v>20.5</v>
      </c>
      <c r="T1081">
        <v>1379</v>
      </c>
      <c r="U1081">
        <v>193</v>
      </c>
      <c r="V1081">
        <v>69</v>
      </c>
      <c r="W1081">
        <v>31</v>
      </c>
      <c r="X1081">
        <v>477</v>
      </c>
      <c r="Y1081">
        <v>249</v>
      </c>
      <c r="Z1081">
        <v>294</v>
      </c>
      <c r="AA1081">
        <v>249</v>
      </c>
      <c r="AB1081">
        <v>9.9724395698319395</v>
      </c>
      <c r="AC1081">
        <v>0.125571520125038</v>
      </c>
      <c r="AD1081">
        <v>4.4392709401035102</v>
      </c>
      <c r="AE1081">
        <v>0.63217332440646101</v>
      </c>
      <c r="AF1081">
        <v>1234.7381370825999</v>
      </c>
      <c r="AG1081">
        <f>IFERROR(AH1081*0.1, "N/A")</f>
        <v>5.6583479789103706</v>
      </c>
      <c r="AH1081">
        <v>56.583479789103698</v>
      </c>
      <c r="AI1081">
        <v>321.14300070496103</v>
      </c>
      <c r="AJ1081">
        <v>40.195079086116003</v>
      </c>
      <c r="AK1081">
        <v>41.776801405975398</v>
      </c>
    </row>
    <row r="1082" spans="1:37" x14ac:dyDescent="0.3">
      <c r="A1082">
        <v>1081</v>
      </c>
      <c r="B1082">
        <v>10</v>
      </c>
      <c r="C1082">
        <v>33.620398999999999</v>
      </c>
      <c r="D1082">
        <v>0.36054999999999998</v>
      </c>
      <c r="E1082" t="s">
        <v>1863</v>
      </c>
      <c r="F1082" t="s">
        <v>1864</v>
      </c>
      <c r="G1082" t="s">
        <v>37</v>
      </c>
      <c r="H1082">
        <v>2005</v>
      </c>
      <c r="I1082">
        <v>21.899999618530298</v>
      </c>
      <c r="J1082">
        <v>11.800000190734901</v>
      </c>
      <c r="K1082">
        <v>84</v>
      </c>
      <c r="L1082">
        <v>5.5700001716613796</v>
      </c>
      <c r="M1082">
        <v>29.299999237060501</v>
      </c>
      <c r="N1082">
        <v>15.3999996185303</v>
      </c>
      <c r="O1082">
        <v>13.8999996185303</v>
      </c>
      <c r="P1082">
        <v>22.200000762939499</v>
      </c>
      <c r="Q1082">
        <v>21.100000381469702</v>
      </c>
      <c r="R1082">
        <v>22.5</v>
      </c>
      <c r="S1082">
        <v>21.100000381469702</v>
      </c>
      <c r="T1082">
        <v>1377</v>
      </c>
      <c r="U1082">
        <v>211</v>
      </c>
      <c r="V1082">
        <v>61</v>
      </c>
      <c r="W1082">
        <v>38</v>
      </c>
      <c r="X1082">
        <v>499</v>
      </c>
      <c r="Y1082">
        <v>217</v>
      </c>
      <c r="Z1082">
        <v>301</v>
      </c>
      <c r="AA1082">
        <v>217</v>
      </c>
      <c r="AB1082">
        <v>44.858777328276297</v>
      </c>
      <c r="AC1082">
        <v>1.8795890594228998E-2</v>
      </c>
      <c r="AD1082">
        <v>3.1810157030401101</v>
      </c>
      <c r="AE1082">
        <v>0.73578044058571401</v>
      </c>
      <c r="AF1082">
        <v>1221.0792253521099</v>
      </c>
      <c r="AG1082">
        <f>IFERROR(AH1082*0.1, "N/A")</f>
        <v>6</v>
      </c>
      <c r="AH1082">
        <v>60</v>
      </c>
      <c r="AI1082">
        <v>175.39624234320399</v>
      </c>
      <c r="AJ1082">
        <v>41</v>
      </c>
      <c r="AK1082">
        <v>41</v>
      </c>
    </row>
    <row r="1083" spans="1:37" x14ac:dyDescent="0.3">
      <c r="A1083">
        <v>1082</v>
      </c>
      <c r="B1083">
        <v>33.299999</v>
      </c>
      <c r="C1083">
        <v>33.368899999999996</v>
      </c>
      <c r="D1083">
        <v>0.36209999999999998</v>
      </c>
      <c r="E1083" t="s">
        <v>1865</v>
      </c>
      <c r="F1083" t="s">
        <v>1866</v>
      </c>
      <c r="G1083" t="s">
        <v>37</v>
      </c>
      <c r="H1083">
        <v>2010</v>
      </c>
      <c r="I1083">
        <v>22.100000381469702</v>
      </c>
      <c r="J1083">
        <v>11.699999809265099</v>
      </c>
      <c r="K1083">
        <v>85</v>
      </c>
      <c r="L1083">
        <v>5.5999999046325701</v>
      </c>
      <c r="M1083">
        <v>29.200000762939499</v>
      </c>
      <c r="N1083">
        <v>15.5</v>
      </c>
      <c r="O1083">
        <v>13.699999809265099</v>
      </c>
      <c r="P1083">
        <v>22.5</v>
      </c>
      <c r="Q1083">
        <v>21.299999237060501</v>
      </c>
      <c r="R1083">
        <v>22.700000762939499</v>
      </c>
      <c r="S1083">
        <v>21.299999237060501</v>
      </c>
      <c r="T1083">
        <v>1379</v>
      </c>
      <c r="U1083">
        <v>211</v>
      </c>
      <c r="V1083">
        <v>63</v>
      </c>
      <c r="W1083">
        <v>38</v>
      </c>
      <c r="X1083">
        <v>502</v>
      </c>
      <c r="Y1083">
        <v>215</v>
      </c>
      <c r="Z1083">
        <v>299</v>
      </c>
      <c r="AA1083">
        <v>215</v>
      </c>
      <c r="AB1083">
        <v>23.264098261443699</v>
      </c>
      <c r="AC1083">
        <v>1.0082661682529999E-2</v>
      </c>
      <c r="AD1083">
        <v>3.2677707923969801</v>
      </c>
      <c r="AE1083">
        <v>0.55098313093185403</v>
      </c>
      <c r="AF1083">
        <v>1152.89084507042</v>
      </c>
      <c r="AG1083">
        <f>IFERROR(AH1083*0.1, "N/A")</f>
        <v>5.9919014084507003</v>
      </c>
      <c r="AH1083">
        <v>59.919014084506998</v>
      </c>
      <c r="AI1083">
        <v>224.06942985427199</v>
      </c>
      <c r="AJ1083">
        <v>36.852112676056301</v>
      </c>
      <c r="AK1083">
        <v>44.633802816901401</v>
      </c>
    </row>
    <row r="1084" spans="1:37" x14ac:dyDescent="0.3">
      <c r="A1084">
        <v>1083</v>
      </c>
      <c r="B1084">
        <v>26.700001</v>
      </c>
      <c r="C1084">
        <v>33.445</v>
      </c>
      <c r="D1084">
        <v>0.36959999999999998</v>
      </c>
      <c r="E1084" t="s">
        <v>1867</v>
      </c>
      <c r="F1084" t="s">
        <v>1868</v>
      </c>
      <c r="G1084" t="s">
        <v>37</v>
      </c>
      <c r="H1084">
        <v>2010</v>
      </c>
      <c r="I1084">
        <v>22.200000762939499</v>
      </c>
      <c r="J1084">
        <v>11.699999809265099</v>
      </c>
      <c r="K1084">
        <v>84</v>
      </c>
      <c r="L1084">
        <v>5.6300001144409197</v>
      </c>
      <c r="M1084">
        <v>29.399999618530298</v>
      </c>
      <c r="N1084">
        <v>15.6000003814697</v>
      </c>
      <c r="O1084">
        <v>13.800000190734901</v>
      </c>
      <c r="P1084">
        <v>22.5</v>
      </c>
      <c r="Q1084">
        <v>21.299999237060501</v>
      </c>
      <c r="R1084">
        <v>22.799999237060501</v>
      </c>
      <c r="S1084">
        <v>21.299999237060501</v>
      </c>
      <c r="T1084">
        <v>1357</v>
      </c>
      <c r="U1084">
        <v>206</v>
      </c>
      <c r="V1084">
        <v>60</v>
      </c>
      <c r="W1084">
        <v>37</v>
      </c>
      <c r="X1084">
        <v>484</v>
      </c>
      <c r="Y1084">
        <v>209</v>
      </c>
      <c r="Z1084">
        <v>428</v>
      </c>
      <c r="AA1084">
        <v>209</v>
      </c>
      <c r="AB1084">
        <v>5.9984373283721402</v>
      </c>
      <c r="AC1084">
        <v>1.3970728361282001E-2</v>
      </c>
      <c r="AD1084">
        <v>1.55548600959862</v>
      </c>
      <c r="AE1084">
        <v>0.50611810404512703</v>
      </c>
      <c r="AF1084">
        <v>1138.2759226713499</v>
      </c>
      <c r="AG1084">
        <f>IFERROR(AH1084*0.1, "N/A")</f>
        <v>5.7</v>
      </c>
      <c r="AH1084">
        <v>57</v>
      </c>
      <c r="AI1084">
        <v>254.37408836110001</v>
      </c>
      <c r="AJ1084">
        <v>41.862917398945498</v>
      </c>
      <c r="AK1084">
        <v>41</v>
      </c>
    </row>
    <row r="1085" spans="1:37" x14ac:dyDescent="0.3">
      <c r="A1085">
        <v>1084</v>
      </c>
      <c r="B1085">
        <v>3.2</v>
      </c>
      <c r="C1085">
        <v>32.569302</v>
      </c>
      <c r="D1085">
        <v>0.37946999999999997</v>
      </c>
      <c r="E1085" t="s">
        <v>1869</v>
      </c>
      <c r="F1085" t="s">
        <v>1870</v>
      </c>
      <c r="G1085" t="s">
        <v>37</v>
      </c>
      <c r="H1085">
        <v>1996</v>
      </c>
      <c r="I1085">
        <v>21.5</v>
      </c>
      <c r="J1085">
        <v>10.8999996185303</v>
      </c>
      <c r="K1085">
        <v>82</v>
      </c>
      <c r="L1085">
        <v>5.9400000572204599</v>
      </c>
      <c r="M1085">
        <v>28.399999618530298</v>
      </c>
      <c r="N1085">
        <v>15.199999809265099</v>
      </c>
      <c r="O1085">
        <v>13.199999809265099</v>
      </c>
      <c r="P1085">
        <v>21.799999237060501</v>
      </c>
      <c r="Q1085">
        <v>20.600000381469702</v>
      </c>
      <c r="R1085">
        <v>22.200000762939499</v>
      </c>
      <c r="S1085">
        <v>20.600000381469702</v>
      </c>
      <c r="T1085">
        <v>1264</v>
      </c>
      <c r="U1085">
        <v>172</v>
      </c>
      <c r="V1085">
        <v>61</v>
      </c>
      <c r="W1085">
        <v>33</v>
      </c>
      <c r="X1085">
        <v>429</v>
      </c>
      <c r="Y1085">
        <v>221</v>
      </c>
      <c r="Z1085">
        <v>260</v>
      </c>
      <c r="AA1085">
        <v>221</v>
      </c>
      <c r="AB1085">
        <v>17.413146436319199</v>
      </c>
      <c r="AC1085">
        <v>1.8101838322419E-2</v>
      </c>
      <c r="AD1085">
        <v>6.5156934705476104</v>
      </c>
      <c r="AE1085">
        <v>0.90668427944183305</v>
      </c>
      <c r="AF1085">
        <v>1197.7486818980699</v>
      </c>
      <c r="AG1085">
        <f>IFERROR(AH1085*0.1, "N/A")</f>
        <v>6</v>
      </c>
      <c r="AH1085">
        <v>60</v>
      </c>
      <c r="AI1085">
        <v>233.452177453334</v>
      </c>
      <c r="AJ1085">
        <v>46.131810193321598</v>
      </c>
      <c r="AK1085">
        <v>38</v>
      </c>
    </row>
    <row r="1086" spans="1:37" x14ac:dyDescent="0.3">
      <c r="A1086">
        <v>1085</v>
      </c>
      <c r="B1086">
        <v>10.4</v>
      </c>
      <c r="C1086">
        <v>33.597999999999999</v>
      </c>
      <c r="D1086">
        <v>0.38</v>
      </c>
      <c r="E1086" t="s">
        <v>1871</v>
      </c>
      <c r="F1086" t="s">
        <v>1872</v>
      </c>
      <c r="G1086" t="s">
        <v>37</v>
      </c>
      <c r="H1086">
        <v>2005</v>
      </c>
      <c r="I1086">
        <v>22</v>
      </c>
      <c r="J1086">
        <v>11.800000190734901</v>
      </c>
      <c r="K1086">
        <v>85</v>
      </c>
      <c r="L1086">
        <v>5.6100001335143999</v>
      </c>
      <c r="M1086">
        <v>29.399999618530298</v>
      </c>
      <c r="N1086">
        <v>15.6000003814697</v>
      </c>
      <c r="O1086">
        <v>13.800000190734901</v>
      </c>
      <c r="P1086">
        <v>22.399999618530298</v>
      </c>
      <c r="Q1086">
        <v>21.200000762939499</v>
      </c>
      <c r="R1086">
        <v>22.700000762939499</v>
      </c>
      <c r="S1086">
        <v>21.200000762939499</v>
      </c>
      <c r="T1086">
        <v>1362</v>
      </c>
      <c r="U1086">
        <v>207</v>
      </c>
      <c r="V1086">
        <v>61</v>
      </c>
      <c r="W1086">
        <v>38</v>
      </c>
      <c r="X1086">
        <v>489</v>
      </c>
      <c r="Y1086">
        <v>216</v>
      </c>
      <c r="Z1086">
        <v>297</v>
      </c>
      <c r="AA1086">
        <v>216</v>
      </c>
      <c r="AB1086">
        <v>32.515611913375999</v>
      </c>
      <c r="AC1086">
        <v>2.1061227226430002E-2</v>
      </c>
      <c r="AD1086">
        <v>3.28868480055529</v>
      </c>
      <c r="AE1086">
        <v>0.74194961786270097</v>
      </c>
      <c r="AF1086">
        <v>1199.2864674868199</v>
      </c>
      <c r="AG1086">
        <f>IFERROR(AH1086*0.1, "N/A")</f>
        <v>5.98101933216169</v>
      </c>
      <c r="AH1086">
        <v>59.8101933216169</v>
      </c>
      <c r="AI1086">
        <v>290.79768776516499</v>
      </c>
      <c r="AJ1086">
        <v>40.493848857644998</v>
      </c>
      <c r="AK1086">
        <v>42.370826010544803</v>
      </c>
    </row>
    <row r="1087" spans="1:37" x14ac:dyDescent="0.3">
      <c r="A1087">
        <v>1086</v>
      </c>
      <c r="B1087">
        <v>10</v>
      </c>
      <c r="C1087">
        <v>33.368000000000002</v>
      </c>
      <c r="D1087">
        <v>0.38369999999999999</v>
      </c>
      <c r="E1087" t="s">
        <v>1873</v>
      </c>
      <c r="F1087" t="s">
        <v>1874</v>
      </c>
      <c r="G1087" t="s">
        <v>37</v>
      </c>
      <c r="H1087">
        <v>2010</v>
      </c>
      <c r="I1087">
        <v>22.038448118448699</v>
      </c>
      <c r="J1087">
        <v>11.699999809265099</v>
      </c>
      <c r="K1087">
        <v>84.384479717813093</v>
      </c>
      <c r="L1087">
        <v>5.6338448162852597</v>
      </c>
      <c r="M1087">
        <v>29.200000762939499</v>
      </c>
      <c r="N1087">
        <v>15.438447736979001</v>
      </c>
      <c r="O1087">
        <v>13.7615520722862</v>
      </c>
      <c r="P1087">
        <v>22.438447736979001</v>
      </c>
      <c r="Q1087">
        <v>21.238448148051301</v>
      </c>
      <c r="R1087">
        <v>22.6384484999184</v>
      </c>
      <c r="S1087">
        <v>21.238448148051301</v>
      </c>
      <c r="T1087">
        <v>1369.1534391534401</v>
      </c>
      <c r="U1087">
        <v>208.38447971781301</v>
      </c>
      <c r="V1087">
        <v>64.615520282186907</v>
      </c>
      <c r="W1087">
        <v>37</v>
      </c>
      <c r="X1087">
        <v>493.15343915343902</v>
      </c>
      <c r="Y1087">
        <v>218.23104056437401</v>
      </c>
      <c r="Z1087">
        <v>291.15343915343902</v>
      </c>
      <c r="AA1087">
        <v>218.23104056437401</v>
      </c>
      <c r="AB1087">
        <v>4.1587536255098101</v>
      </c>
      <c r="AC1087">
        <v>0.86878608454945205</v>
      </c>
      <c r="AD1087">
        <v>2.8889221829712102</v>
      </c>
      <c r="AE1087">
        <v>0.51304841041564897</v>
      </c>
      <c r="AF1087">
        <v>1139.6631393298101</v>
      </c>
      <c r="AG1087">
        <f>IFERROR(AH1087*0.1, "N/A")</f>
        <v>5.4961199294532603</v>
      </c>
      <c r="AH1087">
        <v>54.961199294532598</v>
      </c>
      <c r="AI1087">
        <v>260.16080715710899</v>
      </c>
      <c r="AJ1087">
        <v>38.038800705467402</v>
      </c>
      <c r="AK1087">
        <v>44.941798941798901</v>
      </c>
    </row>
    <row r="1088" spans="1:37" x14ac:dyDescent="0.3">
      <c r="A1088">
        <v>1087</v>
      </c>
      <c r="B1088">
        <v>15</v>
      </c>
      <c r="C1088">
        <v>33.622298999999998</v>
      </c>
      <c r="D1088">
        <v>0.38812999999999998</v>
      </c>
      <c r="E1088" t="s">
        <v>1875</v>
      </c>
      <c r="F1088" t="s">
        <v>1876</v>
      </c>
      <c r="G1088" t="s">
        <v>37</v>
      </c>
      <c r="H1088">
        <v>2005</v>
      </c>
      <c r="I1088">
        <v>22.100000381469702</v>
      </c>
      <c r="J1088">
        <v>11.800000190734901</v>
      </c>
      <c r="K1088">
        <v>84</v>
      </c>
      <c r="L1088">
        <v>5.7800002098083496</v>
      </c>
      <c r="M1088">
        <v>29.5</v>
      </c>
      <c r="N1088">
        <v>15.5</v>
      </c>
      <c r="O1088">
        <v>14</v>
      </c>
      <c r="P1088">
        <v>22.399999618530298</v>
      </c>
      <c r="Q1088">
        <v>21.200000762939499</v>
      </c>
      <c r="R1088">
        <v>22.700000762939499</v>
      </c>
      <c r="S1088">
        <v>21.200000762939499</v>
      </c>
      <c r="T1088">
        <v>1359</v>
      </c>
      <c r="U1088">
        <v>208</v>
      </c>
      <c r="V1088">
        <v>62</v>
      </c>
      <c r="W1088">
        <v>38</v>
      </c>
      <c r="X1088">
        <v>490</v>
      </c>
      <c r="Y1088">
        <v>219</v>
      </c>
      <c r="Z1088">
        <v>292</v>
      </c>
      <c r="AA1088">
        <v>219</v>
      </c>
      <c r="AB1088">
        <v>23.077008346262598</v>
      </c>
      <c r="AC1088">
        <v>8.5476650275380008E-3</v>
      </c>
      <c r="AD1088">
        <v>2.3060777964617101</v>
      </c>
      <c r="AE1088">
        <v>0.66386228799819902</v>
      </c>
      <c r="AF1088">
        <v>1183.8488576449899</v>
      </c>
      <c r="AG1088">
        <f>IFERROR(AH1088*0.1, "N/A")</f>
        <v>5.9017574692442905</v>
      </c>
      <c r="AH1088">
        <v>59.017574692442899</v>
      </c>
      <c r="AI1088">
        <v>72.562457605908307</v>
      </c>
      <c r="AJ1088">
        <v>33</v>
      </c>
      <c r="AK1088">
        <v>49</v>
      </c>
    </row>
    <row r="1089" spans="1:37" x14ac:dyDescent="0.3">
      <c r="A1089">
        <v>1088</v>
      </c>
      <c r="B1089">
        <v>10</v>
      </c>
      <c r="C1089">
        <v>33.565398999999999</v>
      </c>
      <c r="D1089">
        <v>0.39982000000000001</v>
      </c>
      <c r="E1089" t="s">
        <v>1877</v>
      </c>
      <c r="F1089" t="s">
        <v>1878</v>
      </c>
      <c r="G1089" t="s">
        <v>37</v>
      </c>
      <c r="H1089">
        <v>2005</v>
      </c>
      <c r="I1089">
        <v>22</v>
      </c>
      <c r="J1089">
        <v>11.800000190734901</v>
      </c>
      <c r="K1089">
        <v>84</v>
      </c>
      <c r="L1089">
        <v>5.8227066717164604</v>
      </c>
      <c r="M1089">
        <v>29.357292952981702</v>
      </c>
      <c r="N1089">
        <v>15.4572933344514</v>
      </c>
      <c r="O1089">
        <v>13.8999996185303</v>
      </c>
      <c r="P1089">
        <v>22.357292952981702</v>
      </c>
      <c r="Q1089">
        <v>21.157294097390899</v>
      </c>
      <c r="R1089">
        <v>22.700000762939499</v>
      </c>
      <c r="S1089">
        <v>21.157294097390899</v>
      </c>
      <c r="T1089">
        <v>1361.56239015817</v>
      </c>
      <c r="U1089">
        <v>205.42706502636199</v>
      </c>
      <c r="V1089">
        <v>62.572934973637999</v>
      </c>
      <c r="W1089">
        <v>37</v>
      </c>
      <c r="X1089">
        <v>483.28119507908599</v>
      </c>
      <c r="Y1089">
        <v>220.145869947276</v>
      </c>
      <c r="Z1089">
        <v>291.70826010544801</v>
      </c>
      <c r="AA1089">
        <v>220.145869947276</v>
      </c>
      <c r="AB1089">
        <v>7.9972917124340999</v>
      </c>
      <c r="AC1089">
        <v>4.3264034719768002E-2</v>
      </c>
      <c r="AD1089">
        <v>3.8602291423113799</v>
      </c>
      <c r="AE1089">
        <v>0.71904510259628296</v>
      </c>
      <c r="AF1089">
        <v>1196.56414762742</v>
      </c>
      <c r="AG1089">
        <f>IFERROR(AH1089*0.1, "N/A")</f>
        <v>6</v>
      </c>
      <c r="AH1089">
        <v>60</v>
      </c>
      <c r="AI1089">
        <v>216.32255873319801</v>
      </c>
      <c r="AJ1089">
        <v>41.014059753954299</v>
      </c>
      <c r="AK1089">
        <v>42.014059753954299</v>
      </c>
    </row>
    <row r="1090" spans="1:37" x14ac:dyDescent="0.3">
      <c r="A1090">
        <v>1089</v>
      </c>
      <c r="B1090">
        <v>2</v>
      </c>
      <c r="C1090">
        <v>32.560001</v>
      </c>
      <c r="D1090">
        <v>0.4</v>
      </c>
      <c r="E1090" t="s">
        <v>1879</v>
      </c>
      <c r="F1090" t="s">
        <v>1880</v>
      </c>
      <c r="G1090" t="s">
        <v>37</v>
      </c>
      <c r="H1090">
        <v>1987</v>
      </c>
      <c r="I1090">
        <v>21.700000762939499</v>
      </c>
      <c r="J1090">
        <v>10.972133932500499</v>
      </c>
      <c r="K1090">
        <v>82</v>
      </c>
      <c r="L1090">
        <v>5.8672133585342898</v>
      </c>
      <c r="M1090">
        <v>28.67213469544</v>
      </c>
      <c r="N1090">
        <v>15.3999996185303</v>
      </c>
      <c r="O1090">
        <v>13.2721341232354</v>
      </c>
      <c r="P1090">
        <v>21.899999618530298</v>
      </c>
      <c r="Q1090">
        <v>22.127866448969201</v>
      </c>
      <c r="R1090">
        <v>22.399999618530298</v>
      </c>
      <c r="S1090">
        <v>20.799999237060501</v>
      </c>
      <c r="T1090">
        <v>1253.11463844797</v>
      </c>
      <c r="U1090">
        <v>172.27865961199299</v>
      </c>
      <c r="V1090">
        <v>60</v>
      </c>
      <c r="W1090">
        <v>33.2786596119929</v>
      </c>
      <c r="X1090">
        <v>425.55731922398598</v>
      </c>
      <c r="Y1090">
        <v>217.27865961199299</v>
      </c>
      <c r="Z1090">
        <v>254.27865961199299</v>
      </c>
      <c r="AA1090">
        <v>222</v>
      </c>
      <c r="AB1090">
        <v>14.7232704768105</v>
      </c>
      <c r="AC1090">
        <v>1.0462207088947E-2</v>
      </c>
      <c r="AD1090">
        <v>3.6095965030542301</v>
      </c>
      <c r="AE1090">
        <v>0.81120848655700695</v>
      </c>
      <c r="AF1090">
        <v>1171.4938271604899</v>
      </c>
      <c r="AG1090">
        <f>IFERROR(AH1090*0.1, "N/A")</f>
        <v>5.7440917107583802</v>
      </c>
      <c r="AH1090">
        <v>57.4409171075838</v>
      </c>
      <c r="AI1090">
        <v>18.695115582232301</v>
      </c>
      <c r="AJ1090">
        <v>41.4409171075838</v>
      </c>
      <c r="AK1090">
        <v>43.3386243386243</v>
      </c>
    </row>
    <row r="1091" spans="1:37" x14ac:dyDescent="0.3">
      <c r="A1091">
        <v>1090</v>
      </c>
      <c r="B1091">
        <v>30</v>
      </c>
      <c r="C1091">
        <v>32.049999</v>
      </c>
      <c r="D1091">
        <v>0.4</v>
      </c>
      <c r="E1091" t="s">
        <v>1881</v>
      </c>
      <c r="F1091" t="s">
        <v>1882</v>
      </c>
      <c r="G1091" t="s">
        <v>37</v>
      </c>
      <c r="H1091">
        <v>1987</v>
      </c>
      <c r="I1091">
        <v>21.2536155727595</v>
      </c>
      <c r="J1091">
        <v>11.2479717735681</v>
      </c>
      <c r="K1091">
        <v>82.479717813051096</v>
      </c>
      <c r="L1091">
        <v>5.1363844240783996</v>
      </c>
      <c r="M1091">
        <v>28.153615786705501</v>
      </c>
      <c r="N1091">
        <v>14.653615648784299</v>
      </c>
      <c r="O1091">
        <v>13.5</v>
      </c>
      <c r="P1091">
        <v>21.397531465668301</v>
      </c>
      <c r="Q1091">
        <v>20.453615343339401</v>
      </c>
      <c r="R1091">
        <v>21.7536155727595</v>
      </c>
      <c r="S1091">
        <v>20.453615343339401</v>
      </c>
      <c r="T1091">
        <v>1210.66490299824</v>
      </c>
      <c r="U1091">
        <v>168.01587301587301</v>
      </c>
      <c r="V1091">
        <v>51.8888888888889</v>
      </c>
      <c r="W1091">
        <v>38.520282186948798</v>
      </c>
      <c r="X1091">
        <v>406.32804232804199</v>
      </c>
      <c r="Y1091">
        <v>192.049382716049</v>
      </c>
      <c r="Z1091">
        <v>253.774250440917</v>
      </c>
      <c r="AA1091">
        <v>192.049382716049</v>
      </c>
      <c r="AB1091">
        <v>58.636548023795697</v>
      </c>
      <c r="AC1091">
        <v>9.497392518574E-3</v>
      </c>
      <c r="AD1091">
        <v>2.9979008314260498</v>
      </c>
      <c r="AE1091">
        <v>0.74329632520675704</v>
      </c>
      <c r="AF1091">
        <v>1266.3086419753099</v>
      </c>
      <c r="AG1091">
        <f>IFERROR(AH1091*0.1, "N/A")</f>
        <v>5.7</v>
      </c>
      <c r="AH1091">
        <v>57</v>
      </c>
      <c r="AI1091">
        <v>205.31924039850799</v>
      </c>
      <c r="AJ1091">
        <v>38.423280423280403</v>
      </c>
      <c r="AK1091">
        <v>45</v>
      </c>
    </row>
    <row r="1092" spans="1:37" x14ac:dyDescent="0.3">
      <c r="A1092">
        <v>1091</v>
      </c>
      <c r="B1092">
        <v>15</v>
      </c>
      <c r="C1092">
        <v>33.640799999999999</v>
      </c>
      <c r="D1092">
        <v>0.40161999999999998</v>
      </c>
      <c r="E1092" t="s">
        <v>1883</v>
      </c>
      <c r="F1092" t="s">
        <v>1884</v>
      </c>
      <c r="G1092" t="s">
        <v>37</v>
      </c>
      <c r="H1092">
        <v>2005</v>
      </c>
      <c r="I1092">
        <v>22.100000381469702</v>
      </c>
      <c r="J1092">
        <v>11.800000190734901</v>
      </c>
      <c r="K1092">
        <v>84</v>
      </c>
      <c r="L1092">
        <v>6.0199999809265101</v>
      </c>
      <c r="M1092">
        <v>29.5</v>
      </c>
      <c r="N1092">
        <v>15.5</v>
      </c>
      <c r="O1092">
        <v>14</v>
      </c>
      <c r="P1092">
        <v>22.399999618530298</v>
      </c>
      <c r="Q1092">
        <v>21.200000762939499</v>
      </c>
      <c r="R1092">
        <v>22.799999237060501</v>
      </c>
      <c r="S1092">
        <v>21.200000762939499</v>
      </c>
      <c r="T1092">
        <v>1367</v>
      </c>
      <c r="U1092">
        <v>210</v>
      </c>
      <c r="V1092">
        <v>64</v>
      </c>
      <c r="W1092">
        <v>38</v>
      </c>
      <c r="X1092">
        <v>493</v>
      </c>
      <c r="Y1092">
        <v>225</v>
      </c>
      <c r="Z1092">
        <v>289</v>
      </c>
      <c r="AA1092">
        <v>225</v>
      </c>
      <c r="AB1092">
        <v>30.576954927092501</v>
      </c>
      <c r="AC1092">
        <v>1.4691743726379001E-2</v>
      </c>
      <c r="AD1092">
        <v>2.0415178019887299</v>
      </c>
      <c r="AE1092">
        <v>0.62279492616653398</v>
      </c>
      <c r="AF1092">
        <v>1194.2601054481499</v>
      </c>
      <c r="AG1092">
        <f>IFERROR(AH1092*0.1, "N/A")</f>
        <v>6.0572934973638004</v>
      </c>
      <c r="AH1092">
        <v>60.572934973637999</v>
      </c>
      <c r="AI1092">
        <v>264.10645880137702</v>
      </c>
      <c r="AJ1092">
        <v>41.427065026362001</v>
      </c>
      <c r="AK1092">
        <v>42.145869947275898</v>
      </c>
    </row>
    <row r="1093" spans="1:37" x14ac:dyDescent="0.3">
      <c r="A1093">
        <v>1092</v>
      </c>
      <c r="B1093">
        <v>10</v>
      </c>
      <c r="C1093">
        <v>33.619498999999998</v>
      </c>
      <c r="D1093">
        <v>0.40322000000000002</v>
      </c>
      <c r="E1093" t="s">
        <v>1885</v>
      </c>
      <c r="F1093" t="s">
        <v>1886</v>
      </c>
      <c r="G1093" t="s">
        <v>37</v>
      </c>
      <c r="H1093">
        <v>2005</v>
      </c>
      <c r="I1093">
        <v>22</v>
      </c>
      <c r="J1093">
        <v>11.800000190734901</v>
      </c>
      <c r="K1093">
        <v>84</v>
      </c>
      <c r="L1093">
        <v>5.7300000190734899</v>
      </c>
      <c r="M1093">
        <v>29.399999618530298</v>
      </c>
      <c r="N1093">
        <v>15.5</v>
      </c>
      <c r="O1093">
        <v>13.8999996185303</v>
      </c>
      <c r="P1093">
        <v>22.299999237060501</v>
      </c>
      <c r="Q1093">
        <v>21.200000762939499</v>
      </c>
      <c r="R1093">
        <v>22.700000762939499</v>
      </c>
      <c r="S1093">
        <v>21.200000762939499</v>
      </c>
      <c r="T1093">
        <v>1372</v>
      </c>
      <c r="U1093">
        <v>210</v>
      </c>
      <c r="V1093">
        <v>64</v>
      </c>
      <c r="W1093">
        <v>37</v>
      </c>
      <c r="X1093">
        <v>493</v>
      </c>
      <c r="Y1093">
        <v>225</v>
      </c>
      <c r="Z1093">
        <v>291</v>
      </c>
      <c r="AA1093">
        <v>225</v>
      </c>
      <c r="AB1093">
        <v>24.101612701147801</v>
      </c>
      <c r="AC1093">
        <v>1.0936183653614999E-2</v>
      </c>
      <c r="AD1093">
        <v>2.0715830575393199</v>
      </c>
      <c r="AE1093">
        <v>0.62203264236450195</v>
      </c>
      <c r="AF1093">
        <v>1203.5869947275901</v>
      </c>
      <c r="AG1093">
        <f>IFERROR(AH1093*0.1, "N/A")</f>
        <v>6.0594024604569405</v>
      </c>
      <c r="AH1093">
        <v>60.594024604569398</v>
      </c>
      <c r="AI1093">
        <v>174.47682396431199</v>
      </c>
      <c r="AJ1093">
        <v>39.405975395430602</v>
      </c>
      <c r="AK1093">
        <v>42.405975395430602</v>
      </c>
    </row>
    <row r="1094" spans="1:37" x14ac:dyDescent="0.3">
      <c r="A1094">
        <v>1093</v>
      </c>
      <c r="B1094">
        <v>6.3</v>
      </c>
      <c r="C1094">
        <v>33.418399999999998</v>
      </c>
      <c r="D1094">
        <v>0.40568300000000002</v>
      </c>
      <c r="E1094" t="s">
        <v>1887</v>
      </c>
      <c r="F1094" t="s">
        <v>1888</v>
      </c>
      <c r="G1094" t="s">
        <v>37</v>
      </c>
      <c r="H1094">
        <v>2004</v>
      </c>
      <c r="I1094">
        <v>21.899999618530298</v>
      </c>
      <c r="J1094">
        <v>11.699999809265099</v>
      </c>
      <c r="K1094">
        <v>84</v>
      </c>
      <c r="L1094">
        <v>5.4899997711181596</v>
      </c>
      <c r="M1094">
        <v>29.100000381469702</v>
      </c>
      <c r="N1094">
        <v>15.300000190734901</v>
      </c>
      <c r="O1094">
        <v>13.800000190734901</v>
      </c>
      <c r="P1094">
        <v>22.200000762939499</v>
      </c>
      <c r="Q1094">
        <v>21.100000381469702</v>
      </c>
      <c r="R1094">
        <v>22.5</v>
      </c>
      <c r="S1094">
        <v>21.100000381469702</v>
      </c>
      <c r="T1094">
        <v>1371</v>
      </c>
      <c r="U1094">
        <v>207</v>
      </c>
      <c r="V1094">
        <v>66</v>
      </c>
      <c r="W1094">
        <v>37</v>
      </c>
      <c r="X1094">
        <v>484</v>
      </c>
      <c r="Y1094">
        <v>223</v>
      </c>
      <c r="Z1094">
        <v>286</v>
      </c>
      <c r="AA1094">
        <v>223</v>
      </c>
      <c r="AB1094">
        <v>21.2593388087313</v>
      </c>
      <c r="AC1094">
        <v>2.2828839417599001E-2</v>
      </c>
      <c r="AD1094">
        <v>2.3698320688915899</v>
      </c>
      <c r="AE1094">
        <v>0.58532052854417105</v>
      </c>
      <c r="AF1094">
        <v>1183.5088028169</v>
      </c>
      <c r="AG1094">
        <f>IFERROR(AH1094*0.1, "N/A")</f>
        <v>5.8000000000000007</v>
      </c>
      <c r="AH1094">
        <v>58</v>
      </c>
      <c r="AI1094">
        <v>36.5964019264973</v>
      </c>
      <c r="AJ1094">
        <v>38.767605633802802</v>
      </c>
      <c r="AK1094">
        <v>41.172535211267601</v>
      </c>
    </row>
    <row r="1095" spans="1:37" x14ac:dyDescent="0.3">
      <c r="A1095">
        <v>1094</v>
      </c>
      <c r="B1095">
        <v>5</v>
      </c>
      <c r="C1095">
        <v>33.595298999999997</v>
      </c>
      <c r="D1095">
        <v>0.40622000000000003</v>
      </c>
      <c r="E1095" t="s">
        <v>1889</v>
      </c>
      <c r="F1095" t="s">
        <v>1890</v>
      </c>
      <c r="G1095" t="s">
        <v>37</v>
      </c>
      <c r="H1095">
        <v>2005</v>
      </c>
      <c r="I1095">
        <v>21.799999237060501</v>
      </c>
      <c r="J1095">
        <v>11.800000190734901</v>
      </c>
      <c r="K1095">
        <v>84</v>
      </c>
      <c r="L1095">
        <v>5.7199997901916504</v>
      </c>
      <c r="M1095">
        <v>29.200000762939499</v>
      </c>
      <c r="N1095">
        <v>15.300000190734901</v>
      </c>
      <c r="O1095">
        <v>13.8999996185303</v>
      </c>
      <c r="P1095">
        <v>22.200000762939499</v>
      </c>
      <c r="Q1095">
        <v>21</v>
      </c>
      <c r="R1095">
        <v>22.5</v>
      </c>
      <c r="S1095">
        <v>21</v>
      </c>
      <c r="T1095">
        <v>1387</v>
      </c>
      <c r="U1095">
        <v>211</v>
      </c>
      <c r="V1095">
        <v>65</v>
      </c>
      <c r="W1095">
        <v>37</v>
      </c>
      <c r="X1095">
        <v>496</v>
      </c>
      <c r="Y1095">
        <v>229</v>
      </c>
      <c r="Z1095">
        <v>293</v>
      </c>
      <c r="AA1095">
        <v>229</v>
      </c>
      <c r="AB1095">
        <v>21.026960346060701</v>
      </c>
      <c r="AC1095">
        <v>1.2640885759511999E-2</v>
      </c>
      <c r="AD1095">
        <v>1.9201849997043601</v>
      </c>
      <c r="AE1095">
        <v>0.634590864181519</v>
      </c>
      <c r="AF1095">
        <v>1222.26056338028</v>
      </c>
      <c r="AG1095">
        <f>IFERROR(AH1095*0.1, "N/A")</f>
        <v>5.9</v>
      </c>
      <c r="AH1095">
        <v>59</v>
      </c>
      <c r="AI1095">
        <v>152.74231672958601</v>
      </c>
      <c r="AJ1095">
        <v>42</v>
      </c>
      <c r="AK1095">
        <v>42</v>
      </c>
    </row>
    <row r="1096" spans="1:37" x14ac:dyDescent="0.3">
      <c r="A1096">
        <v>1095</v>
      </c>
      <c r="B1096">
        <v>2</v>
      </c>
      <c r="C1096">
        <v>33.611499999999999</v>
      </c>
      <c r="D1096">
        <v>0.40693000000000001</v>
      </c>
      <c r="E1096" t="s">
        <v>1891</v>
      </c>
      <c r="F1096" t="s">
        <v>1892</v>
      </c>
      <c r="G1096" t="s">
        <v>37</v>
      </c>
      <c r="H1096">
        <v>2005</v>
      </c>
      <c r="I1096">
        <v>22</v>
      </c>
      <c r="J1096">
        <v>11.800000190734901</v>
      </c>
      <c r="K1096">
        <v>84</v>
      </c>
      <c r="L1096">
        <v>5.6799998283386204</v>
      </c>
      <c r="M1096">
        <v>29.399999618530298</v>
      </c>
      <c r="N1096">
        <v>15.5</v>
      </c>
      <c r="O1096">
        <v>13.8999996185303</v>
      </c>
      <c r="P1096">
        <v>22.399999618530298</v>
      </c>
      <c r="Q1096">
        <v>21.200000762939499</v>
      </c>
      <c r="R1096">
        <v>22.700000762939499</v>
      </c>
      <c r="S1096">
        <v>21.200000762939499</v>
      </c>
      <c r="T1096">
        <v>1365</v>
      </c>
      <c r="U1096">
        <v>208</v>
      </c>
      <c r="V1096">
        <v>64</v>
      </c>
      <c r="W1096">
        <v>37</v>
      </c>
      <c r="X1096">
        <v>489</v>
      </c>
      <c r="Y1096">
        <v>224</v>
      </c>
      <c r="Z1096">
        <v>290</v>
      </c>
      <c r="AA1096">
        <v>224</v>
      </c>
      <c r="AB1096">
        <v>2.3187178762335501</v>
      </c>
      <c r="AC1096">
        <v>0.69987204229426503</v>
      </c>
      <c r="AD1096">
        <v>2.6680157126041899</v>
      </c>
      <c r="AE1096">
        <v>0.63112449813307403</v>
      </c>
      <c r="AF1096">
        <v>1192.7614035087699</v>
      </c>
      <c r="AG1096">
        <f>IFERROR(AH1096*0.1, "N/A")</f>
        <v>6</v>
      </c>
      <c r="AH1096">
        <v>60</v>
      </c>
      <c r="AI1096">
        <v>189.770930293568</v>
      </c>
      <c r="AJ1096">
        <v>41.003508771929802</v>
      </c>
      <c r="AK1096">
        <v>41.996491228070198</v>
      </c>
    </row>
    <row r="1097" spans="1:37" x14ac:dyDescent="0.3">
      <c r="A1097">
        <v>1096</v>
      </c>
      <c r="B1097">
        <v>0</v>
      </c>
      <c r="C1097">
        <v>33.592700999999998</v>
      </c>
      <c r="D1097">
        <v>0.41027999999999998</v>
      </c>
      <c r="E1097" t="s">
        <v>1893</v>
      </c>
      <c r="F1097" t="s">
        <v>1894</v>
      </c>
      <c r="G1097" t="s">
        <v>37</v>
      </c>
      <c r="H1097">
        <v>2005</v>
      </c>
      <c r="I1097">
        <v>21.899999618530298</v>
      </c>
      <c r="J1097">
        <v>11.800000190734901</v>
      </c>
      <c r="K1097">
        <v>84</v>
      </c>
      <c r="L1097">
        <v>5.8699998855590803</v>
      </c>
      <c r="M1097">
        <v>29.299999237060501</v>
      </c>
      <c r="N1097">
        <v>15.300000190734901</v>
      </c>
      <c r="O1097">
        <v>14</v>
      </c>
      <c r="P1097">
        <v>22.200000762939499</v>
      </c>
      <c r="Q1097">
        <v>21</v>
      </c>
      <c r="R1097">
        <v>22.600000381469702</v>
      </c>
      <c r="S1097">
        <v>21</v>
      </c>
      <c r="T1097">
        <v>1385</v>
      </c>
      <c r="U1097">
        <v>210</v>
      </c>
      <c r="V1097">
        <v>66</v>
      </c>
      <c r="W1097">
        <v>37</v>
      </c>
      <c r="X1097">
        <v>494</v>
      </c>
      <c r="Y1097">
        <v>231</v>
      </c>
      <c r="Z1097">
        <v>291</v>
      </c>
      <c r="AA1097">
        <v>231</v>
      </c>
      <c r="AB1097">
        <v>15.501622526842599</v>
      </c>
      <c r="AC1097">
        <v>2.3599903087781E-2</v>
      </c>
      <c r="AD1097">
        <v>1.74048588585979</v>
      </c>
      <c r="AE1097">
        <v>0.68931621313095104</v>
      </c>
      <c r="AF1097">
        <v>1219.06151142355</v>
      </c>
      <c r="AG1097">
        <f>IFERROR(AH1097*0.1, "N/A")</f>
        <v>5.9982425307557108</v>
      </c>
      <c r="AH1097">
        <v>59.982425307557101</v>
      </c>
      <c r="AI1097">
        <v>234.980668321016</v>
      </c>
      <c r="AJ1097">
        <v>43.912126537785603</v>
      </c>
      <c r="AK1097">
        <v>39.105448154657303</v>
      </c>
    </row>
    <row r="1098" spans="1:37" x14ac:dyDescent="0.3">
      <c r="A1098">
        <v>1097</v>
      </c>
      <c r="B1098">
        <v>4.3</v>
      </c>
      <c r="C1098">
        <v>33.215499999999999</v>
      </c>
      <c r="D1098">
        <v>0.41925000000000001</v>
      </c>
      <c r="E1098" t="s">
        <v>1895</v>
      </c>
      <c r="F1098" t="s">
        <v>1896</v>
      </c>
      <c r="G1098" t="s">
        <v>37</v>
      </c>
      <c r="H1098">
        <v>2004</v>
      </c>
      <c r="I1098">
        <v>22.200000762939499</v>
      </c>
      <c r="J1098">
        <v>11.699999809265099</v>
      </c>
      <c r="K1098">
        <v>85</v>
      </c>
      <c r="L1098">
        <v>5.5599999427795401</v>
      </c>
      <c r="M1098">
        <v>29.200000762939499</v>
      </c>
      <c r="N1098">
        <v>15.5</v>
      </c>
      <c r="O1098">
        <v>13.699999809265099</v>
      </c>
      <c r="P1098">
        <v>22.600000381469702</v>
      </c>
      <c r="Q1098">
        <v>21.299999237060501</v>
      </c>
      <c r="R1098">
        <v>22.799999237060501</v>
      </c>
      <c r="S1098">
        <v>21.299999237060501</v>
      </c>
      <c r="T1098">
        <v>1318</v>
      </c>
      <c r="U1098">
        <v>196</v>
      </c>
      <c r="V1098">
        <v>60</v>
      </c>
      <c r="W1098">
        <v>37</v>
      </c>
      <c r="X1098">
        <v>471</v>
      </c>
      <c r="Y1098">
        <v>217</v>
      </c>
      <c r="Z1098">
        <v>409</v>
      </c>
      <c r="AA1098">
        <v>217</v>
      </c>
      <c r="AB1098">
        <v>5.1720215703400099</v>
      </c>
      <c r="AC1098">
        <v>1.7155459799974002E-2</v>
      </c>
      <c r="AD1098">
        <v>1.5093186109418599</v>
      </c>
      <c r="AE1098">
        <v>0.81529114773155897</v>
      </c>
      <c r="AF1098">
        <v>1142.5</v>
      </c>
      <c r="AG1098">
        <f>IFERROR(AH1098*0.1, "N/A")</f>
        <v>5.9</v>
      </c>
      <c r="AH1098">
        <v>59</v>
      </c>
      <c r="AI1098">
        <v>55.318196870911301</v>
      </c>
      <c r="AJ1098">
        <v>41</v>
      </c>
      <c r="AK1098">
        <v>42</v>
      </c>
    </row>
    <row r="1099" spans="1:37" x14ac:dyDescent="0.3">
      <c r="A1099">
        <v>1098</v>
      </c>
      <c r="B1099">
        <v>0</v>
      </c>
      <c r="C1099">
        <v>33.602600000000002</v>
      </c>
      <c r="D1099">
        <v>0.42016999999999999</v>
      </c>
      <c r="E1099" t="s">
        <v>1897</v>
      </c>
      <c r="F1099" t="s">
        <v>1898</v>
      </c>
      <c r="G1099" t="s">
        <v>37</v>
      </c>
      <c r="H1099">
        <v>2005</v>
      </c>
      <c r="I1099">
        <v>21.899999618530298</v>
      </c>
      <c r="J1099">
        <v>11.800000190734901</v>
      </c>
      <c r="K1099">
        <v>84</v>
      </c>
      <c r="L1099">
        <v>5.8699998855590803</v>
      </c>
      <c r="M1099">
        <v>29.299999237060501</v>
      </c>
      <c r="N1099">
        <v>15.300000190734901</v>
      </c>
      <c r="O1099">
        <v>14</v>
      </c>
      <c r="P1099">
        <v>22.200000762939499</v>
      </c>
      <c r="Q1099">
        <v>21</v>
      </c>
      <c r="R1099">
        <v>22.600000381469702</v>
      </c>
      <c r="S1099">
        <v>21</v>
      </c>
      <c r="T1099">
        <v>1388</v>
      </c>
      <c r="U1099">
        <v>211</v>
      </c>
      <c r="V1099">
        <v>67</v>
      </c>
      <c r="W1099">
        <v>37</v>
      </c>
      <c r="X1099">
        <v>496</v>
      </c>
      <c r="Y1099">
        <v>233</v>
      </c>
      <c r="Z1099">
        <v>290</v>
      </c>
      <c r="AA1099">
        <v>233</v>
      </c>
      <c r="AB1099">
        <v>23.090529535857701</v>
      </c>
      <c r="AC1099">
        <v>8.5476317613480002E-3</v>
      </c>
      <c r="AD1099">
        <v>1.86510028595656</v>
      </c>
      <c r="AE1099">
        <v>0.64977837364438595</v>
      </c>
      <c r="AF1099">
        <v>1229.85211267606</v>
      </c>
      <c r="AG1099">
        <f>IFERROR(AH1099*0.1, "N/A")</f>
        <v>5.9771126760563398</v>
      </c>
      <c r="AH1099">
        <v>59.771126760563398</v>
      </c>
      <c r="AI1099">
        <v>131.649187974527</v>
      </c>
      <c r="AJ1099">
        <v>44.0316901408451</v>
      </c>
      <c r="AK1099">
        <v>39.510563380281702</v>
      </c>
    </row>
    <row r="1100" spans="1:37" x14ac:dyDescent="0.3">
      <c r="A1100">
        <v>1099</v>
      </c>
      <c r="B1100">
        <v>0</v>
      </c>
      <c r="C1100">
        <v>33.555900999999999</v>
      </c>
      <c r="D1100">
        <v>0.42118</v>
      </c>
      <c r="E1100" t="s">
        <v>1899</v>
      </c>
      <c r="F1100" t="s">
        <v>1900</v>
      </c>
      <c r="G1100" t="s">
        <v>37</v>
      </c>
      <c r="H1100">
        <v>2005</v>
      </c>
      <c r="I1100">
        <v>22</v>
      </c>
      <c r="J1100">
        <v>11.800000190734901</v>
      </c>
      <c r="K1100">
        <v>84</v>
      </c>
      <c r="L1100">
        <v>5.8400001525878897</v>
      </c>
      <c r="M1100">
        <v>29.399999618530298</v>
      </c>
      <c r="N1100">
        <v>15.5</v>
      </c>
      <c r="O1100">
        <v>13.8999996185303</v>
      </c>
      <c r="P1100">
        <v>22.399999618530298</v>
      </c>
      <c r="Q1100">
        <v>21.200000762939499</v>
      </c>
      <c r="R1100">
        <v>22.700000762939499</v>
      </c>
      <c r="S1100">
        <v>21.200000762939499</v>
      </c>
      <c r="T1100">
        <v>1362</v>
      </c>
      <c r="U1100">
        <v>205</v>
      </c>
      <c r="V1100">
        <v>65</v>
      </c>
      <c r="W1100">
        <v>37</v>
      </c>
      <c r="X1100">
        <v>481</v>
      </c>
      <c r="Y1100">
        <v>226</v>
      </c>
      <c r="Z1100">
        <v>286</v>
      </c>
      <c r="AA1100">
        <v>226</v>
      </c>
      <c r="AB1100">
        <v>9.2112778759507297</v>
      </c>
      <c r="AC1100">
        <v>3.3421694039903999E-2</v>
      </c>
      <c r="AD1100">
        <v>3.10958747804901</v>
      </c>
      <c r="AE1100">
        <v>0.68764954805374101</v>
      </c>
      <c r="AF1100">
        <v>1189.7372134038801</v>
      </c>
      <c r="AG1100">
        <f>IFERROR(AH1100*0.1, "N/A")</f>
        <v>6.1950617283950606</v>
      </c>
      <c r="AH1100">
        <v>61.950617283950599</v>
      </c>
      <c r="AI1100">
        <v>287.33377123635898</v>
      </c>
      <c r="AJ1100">
        <v>45.049382716049401</v>
      </c>
      <c r="AK1100">
        <v>37.918871252204603</v>
      </c>
    </row>
    <row r="1101" spans="1:37" x14ac:dyDescent="0.3">
      <c r="A1101">
        <v>1100</v>
      </c>
      <c r="B1101">
        <v>0</v>
      </c>
      <c r="C1101">
        <v>33.572102000000001</v>
      </c>
      <c r="D1101">
        <v>0.42194999999999999</v>
      </c>
      <c r="E1101" t="s">
        <v>1901</v>
      </c>
      <c r="F1101" t="s">
        <v>1902</v>
      </c>
      <c r="G1101" t="s">
        <v>37</v>
      </c>
      <c r="H1101">
        <v>2005</v>
      </c>
      <c r="I1101">
        <v>21.899999618530298</v>
      </c>
      <c r="J1101">
        <v>11.800000190734901</v>
      </c>
      <c r="K1101">
        <v>84</v>
      </c>
      <c r="L1101">
        <v>5.8499999046325701</v>
      </c>
      <c r="M1101">
        <v>29.200000762939499</v>
      </c>
      <c r="N1101">
        <v>15.300000190734901</v>
      </c>
      <c r="O1101">
        <v>13.8999996185303</v>
      </c>
      <c r="P1101">
        <v>22.200000762939499</v>
      </c>
      <c r="Q1101">
        <v>21</v>
      </c>
      <c r="R1101">
        <v>22.5</v>
      </c>
      <c r="S1101">
        <v>21</v>
      </c>
      <c r="T1101">
        <v>1381</v>
      </c>
      <c r="U1101">
        <v>208</v>
      </c>
      <c r="V1101">
        <v>66</v>
      </c>
      <c r="W1101">
        <v>37</v>
      </c>
      <c r="X1101">
        <v>490</v>
      </c>
      <c r="Y1101">
        <v>231</v>
      </c>
      <c r="Z1101">
        <v>289</v>
      </c>
      <c r="AA1101">
        <v>231</v>
      </c>
      <c r="AB1101">
        <v>7.7061018023574501</v>
      </c>
      <c r="AC1101">
        <v>7.4634295283701996E-2</v>
      </c>
      <c r="AD1101">
        <v>3.57883744135238</v>
      </c>
      <c r="AE1101">
        <v>0.70549654960632302</v>
      </c>
      <c r="AF1101">
        <v>1213.40175438596</v>
      </c>
      <c r="AG1101">
        <f>IFERROR(AH1101*0.1, "N/A")</f>
        <v>5.9336842105263203</v>
      </c>
      <c r="AH1101">
        <v>59.336842105263202</v>
      </c>
      <c r="AI1101">
        <v>105.756268109773</v>
      </c>
      <c r="AJ1101">
        <v>43.1105263157895</v>
      </c>
      <c r="AK1101">
        <v>40.226315789473702</v>
      </c>
    </row>
    <row r="1102" spans="1:37" x14ac:dyDescent="0.3">
      <c r="A1102">
        <v>1101</v>
      </c>
      <c r="B1102">
        <v>8</v>
      </c>
      <c r="C1102">
        <v>33.204200999999998</v>
      </c>
      <c r="D1102">
        <v>0.42444399999999999</v>
      </c>
      <c r="E1102" t="s">
        <v>1903</v>
      </c>
      <c r="F1102" t="s">
        <v>1904</v>
      </c>
      <c r="G1102" t="s">
        <v>39</v>
      </c>
      <c r="H1102">
        <v>1987</v>
      </c>
      <c r="I1102">
        <v>22.016402178971202</v>
      </c>
      <c r="J1102">
        <v>11.699999809265099</v>
      </c>
      <c r="K1102">
        <v>85</v>
      </c>
      <c r="L1102">
        <v>5.5703175534647</v>
      </c>
      <c r="M1102">
        <v>29.016402178971202</v>
      </c>
      <c r="N1102">
        <v>15.3164022132833</v>
      </c>
      <c r="O1102">
        <v>13.699999809265099</v>
      </c>
      <c r="P1102">
        <v>22.4164017975015</v>
      </c>
      <c r="Q1102">
        <v>21.1164025604409</v>
      </c>
      <c r="R1102">
        <v>22.6164025604409</v>
      </c>
      <c r="S1102">
        <v>21.1164025604409</v>
      </c>
      <c r="T1102">
        <v>1321.17989417989</v>
      </c>
      <c r="U1102">
        <v>195.83597883597901</v>
      </c>
      <c r="V1102">
        <v>59.8359788359788</v>
      </c>
      <c r="W1102">
        <v>36.1640211640212</v>
      </c>
      <c r="X1102">
        <v>469.83597883597901</v>
      </c>
      <c r="Y1102">
        <v>220.83597883597901</v>
      </c>
      <c r="Z1102">
        <v>407.67195767195801</v>
      </c>
      <c r="AA1102">
        <v>220.83597883597901</v>
      </c>
      <c r="AB1102">
        <v>31.0902706731564</v>
      </c>
      <c r="AC1102">
        <v>8.9998836045989995E-3</v>
      </c>
      <c r="AD1102">
        <v>1.6346689240852601</v>
      </c>
      <c r="AE1102">
        <v>0.81336987018585205</v>
      </c>
      <c r="AF1102">
        <v>1184.0405643739</v>
      </c>
      <c r="AG1102">
        <f>IFERROR(AH1102*0.1, "N/A")</f>
        <v>6.0786596119929399</v>
      </c>
      <c r="AH1102">
        <v>60.786596119929399</v>
      </c>
      <c r="AI1102">
        <v>182.98040841454099</v>
      </c>
      <c r="AJ1102">
        <v>40.072310405643698</v>
      </c>
      <c r="AK1102">
        <v>42.927689594356302</v>
      </c>
    </row>
    <row r="1103" spans="1:37" x14ac:dyDescent="0.3">
      <c r="A1103">
        <v>1102</v>
      </c>
      <c r="B1103">
        <v>14</v>
      </c>
      <c r="C1103">
        <v>33.201999999999998</v>
      </c>
      <c r="D1103">
        <v>0.436556</v>
      </c>
      <c r="E1103" t="s">
        <v>1905</v>
      </c>
      <c r="F1103" t="s">
        <v>1906</v>
      </c>
      <c r="G1103" t="s">
        <v>37</v>
      </c>
      <c r="H1103">
        <v>1970</v>
      </c>
      <c r="I1103">
        <v>22</v>
      </c>
      <c r="J1103">
        <v>11.699999809265099</v>
      </c>
      <c r="K1103">
        <v>84</v>
      </c>
      <c r="L1103">
        <v>5.6599998474121103</v>
      </c>
      <c r="M1103">
        <v>29.100000381469702</v>
      </c>
      <c r="N1103">
        <v>15.300000190734901</v>
      </c>
      <c r="O1103">
        <v>13.800000190734901</v>
      </c>
      <c r="P1103">
        <v>22.399999618530298</v>
      </c>
      <c r="Q1103">
        <v>21.100000381469702</v>
      </c>
      <c r="R1103">
        <v>22.600000381469702</v>
      </c>
      <c r="S1103">
        <v>21.100000381469702</v>
      </c>
      <c r="T1103">
        <v>1317</v>
      </c>
      <c r="U1103">
        <v>195</v>
      </c>
      <c r="V1103">
        <v>59</v>
      </c>
      <c r="W1103">
        <v>36</v>
      </c>
      <c r="X1103">
        <v>467</v>
      </c>
      <c r="Y1103">
        <v>223</v>
      </c>
      <c r="Z1103">
        <v>404</v>
      </c>
      <c r="AA1103">
        <v>223</v>
      </c>
      <c r="AB1103">
        <v>33.4332511794399</v>
      </c>
      <c r="AC1103">
        <v>1.2279670395311E-2</v>
      </c>
      <c r="AD1103">
        <v>1.58057669560674</v>
      </c>
      <c r="AE1103">
        <v>0.83642512559890703</v>
      </c>
      <c r="AF1103">
        <v>1183.4119718309901</v>
      </c>
      <c r="AG1103">
        <f>IFERROR(AH1103*0.1, "N/A")</f>
        <v>5.8000000000000007</v>
      </c>
      <c r="AH1103">
        <v>58</v>
      </c>
      <c r="AI1103">
        <v>242.473059963173</v>
      </c>
      <c r="AJ1103">
        <v>42.739436619718298</v>
      </c>
      <c r="AK1103">
        <v>39.762323943661997</v>
      </c>
    </row>
    <row r="1104" spans="1:37" x14ac:dyDescent="0.3">
      <c r="A1104">
        <v>1103</v>
      </c>
      <c r="B1104">
        <v>76.300003000000004</v>
      </c>
      <c r="C1104">
        <v>33.228400999999998</v>
      </c>
      <c r="D1104">
        <v>0.43987700000000002</v>
      </c>
      <c r="E1104" t="s">
        <v>1907</v>
      </c>
      <c r="F1104" t="s">
        <v>1908</v>
      </c>
      <c r="G1104" t="s">
        <v>37</v>
      </c>
      <c r="H1104">
        <v>2009</v>
      </c>
      <c r="I1104">
        <v>22.100000381469702</v>
      </c>
      <c r="J1104">
        <v>11.699999809265099</v>
      </c>
      <c r="K1104">
        <v>84</v>
      </c>
      <c r="L1104">
        <v>5.5999999046325701</v>
      </c>
      <c r="M1104">
        <v>29.200000762939499</v>
      </c>
      <c r="N1104">
        <v>15.3999996185303</v>
      </c>
      <c r="O1104">
        <v>13.800000190734901</v>
      </c>
      <c r="P1104">
        <v>22.5</v>
      </c>
      <c r="Q1104">
        <v>21.299999237060501</v>
      </c>
      <c r="R1104">
        <v>22.700000762939499</v>
      </c>
      <c r="S1104">
        <v>21.299999237060501</v>
      </c>
      <c r="T1104">
        <v>1318</v>
      </c>
      <c r="U1104">
        <v>197</v>
      </c>
      <c r="V1104">
        <v>59</v>
      </c>
      <c r="W1104">
        <v>37</v>
      </c>
      <c r="X1104">
        <v>470</v>
      </c>
      <c r="Y1104">
        <v>222</v>
      </c>
      <c r="Z1104">
        <v>406</v>
      </c>
      <c r="AA1104">
        <v>222</v>
      </c>
      <c r="AB1104">
        <v>13.183421390157299</v>
      </c>
      <c r="AC1104">
        <v>4.5175913235986E-2</v>
      </c>
      <c r="AD1104">
        <v>3.2016155216055799</v>
      </c>
      <c r="AE1104">
        <v>0.82971364259719804</v>
      </c>
      <c r="AF1104">
        <v>1155.77288732394</v>
      </c>
      <c r="AG1104">
        <f>IFERROR(AH1104*0.1, "N/A")</f>
        <v>6.1000000000000005</v>
      </c>
      <c r="AH1104">
        <v>61</v>
      </c>
      <c r="AI1104">
        <v>231.23174801678701</v>
      </c>
      <c r="AJ1104">
        <v>43</v>
      </c>
      <c r="AK1104">
        <v>41</v>
      </c>
    </row>
    <row r="1105" spans="1:37" x14ac:dyDescent="0.3">
      <c r="A1105">
        <v>1104</v>
      </c>
      <c r="B1105">
        <v>3.1</v>
      </c>
      <c r="C1105">
        <v>33.481997999999997</v>
      </c>
      <c r="D1105">
        <v>0.44341700000000001</v>
      </c>
      <c r="E1105" t="s">
        <v>1909</v>
      </c>
      <c r="F1105" t="s">
        <v>1910</v>
      </c>
      <c r="G1105" t="s">
        <v>37</v>
      </c>
      <c r="H1105">
        <v>2004</v>
      </c>
      <c r="I1105">
        <v>22.100000381469702</v>
      </c>
      <c r="J1105">
        <v>11.800000190734901</v>
      </c>
      <c r="K1105">
        <v>84</v>
      </c>
      <c r="L1105">
        <v>6.1300001144409197</v>
      </c>
      <c r="M1105">
        <v>29.399999618530298</v>
      </c>
      <c r="N1105">
        <v>15.3999996185303</v>
      </c>
      <c r="O1105">
        <v>14</v>
      </c>
      <c r="P1105">
        <v>22.399999618530298</v>
      </c>
      <c r="Q1105">
        <v>21.100000381469702</v>
      </c>
      <c r="R1105">
        <v>22.799999237060501</v>
      </c>
      <c r="S1105">
        <v>21.100000381469702</v>
      </c>
      <c r="T1105">
        <v>1346</v>
      </c>
      <c r="U1105">
        <v>202</v>
      </c>
      <c r="V1105">
        <v>66</v>
      </c>
      <c r="W1105">
        <v>36</v>
      </c>
      <c r="X1105">
        <v>469</v>
      </c>
      <c r="Y1105">
        <v>230</v>
      </c>
      <c r="Z1105">
        <v>271</v>
      </c>
      <c r="AA1105">
        <v>230</v>
      </c>
      <c r="AB1105">
        <v>23.178763069461201</v>
      </c>
      <c r="AC1105">
        <v>2.8076408530776999E-2</v>
      </c>
      <c r="AD1105">
        <v>2.2682517905226902</v>
      </c>
      <c r="AE1105">
        <v>0.67265951633453402</v>
      </c>
      <c r="AF1105">
        <v>1189.57820738137</v>
      </c>
      <c r="AG1105">
        <f>IFERROR(AH1105*0.1, "N/A")</f>
        <v>6</v>
      </c>
      <c r="AH1105">
        <v>60</v>
      </c>
      <c r="AI1105">
        <v>40.650310992356602</v>
      </c>
      <c r="AJ1105">
        <v>40.077328646748697</v>
      </c>
      <c r="AK1105">
        <v>43.768014059754002</v>
      </c>
    </row>
    <row r="1106" spans="1:37" x14ac:dyDescent="0.3">
      <c r="A1106">
        <v>1105</v>
      </c>
      <c r="B1106">
        <v>10</v>
      </c>
      <c r="C1106">
        <v>33.482300000000002</v>
      </c>
      <c r="D1106">
        <v>0.44362000000000001</v>
      </c>
      <c r="E1106" t="s">
        <v>1911</v>
      </c>
      <c r="F1106" t="s">
        <v>1912</v>
      </c>
      <c r="G1106" t="s">
        <v>37</v>
      </c>
      <c r="H1106">
        <v>2005</v>
      </c>
      <c r="I1106">
        <v>22.090510011347799</v>
      </c>
      <c r="J1106">
        <v>11.800000190734901</v>
      </c>
      <c r="K1106">
        <v>84</v>
      </c>
      <c r="L1106">
        <v>6.1029526546256996</v>
      </c>
      <c r="M1106">
        <v>29.390509338915201</v>
      </c>
      <c r="N1106">
        <v>15.3952544787228</v>
      </c>
      <c r="O1106">
        <v>13.995254814939001</v>
      </c>
      <c r="P1106">
        <v>22.395254433469301</v>
      </c>
      <c r="Q1106">
        <v>21.100000381469702</v>
      </c>
      <c r="R1106">
        <v>22.785763772384598</v>
      </c>
      <c r="S1106">
        <v>21.100000381469702</v>
      </c>
      <c r="T1106">
        <v>1346.66432337434</v>
      </c>
      <c r="U1106">
        <v>202.094903339192</v>
      </c>
      <c r="V1106">
        <v>66</v>
      </c>
      <c r="W1106">
        <v>36</v>
      </c>
      <c r="X1106">
        <v>469.33216168717001</v>
      </c>
      <c r="Y1106">
        <v>230.18980667838301</v>
      </c>
      <c r="Z1106">
        <v>271.14235500878698</v>
      </c>
      <c r="AA1106">
        <v>230.18980667838301</v>
      </c>
      <c r="AB1106">
        <v>22.000213247610901</v>
      </c>
      <c r="AC1106">
        <v>3.5106776966360997E-2</v>
      </c>
      <c r="AD1106">
        <v>2.4707863856702801</v>
      </c>
      <c r="AE1106">
        <v>0.67265951633453402</v>
      </c>
      <c r="AF1106">
        <v>1188.0316344463999</v>
      </c>
      <c r="AG1106">
        <f>IFERROR(AH1106*0.1, "N/A")</f>
        <v>6</v>
      </c>
      <c r="AH1106">
        <v>60</v>
      </c>
      <c r="AI1106">
        <v>44.841867966475903</v>
      </c>
      <c r="AJ1106">
        <v>40.0105448154657</v>
      </c>
      <c r="AK1106">
        <v>43.968365553602801</v>
      </c>
    </row>
    <row r="1107" spans="1:37" x14ac:dyDescent="0.3">
      <c r="A1107">
        <v>1106</v>
      </c>
      <c r="B1107">
        <v>10.5</v>
      </c>
      <c r="C1107">
        <v>33.225600999999997</v>
      </c>
      <c r="D1107">
        <v>0.45126699999999997</v>
      </c>
      <c r="E1107" t="s">
        <v>1913</v>
      </c>
      <c r="F1107" t="s">
        <v>1914</v>
      </c>
      <c r="G1107" t="s">
        <v>37</v>
      </c>
      <c r="H1107">
        <v>2004</v>
      </c>
      <c r="I1107">
        <v>22.090493302949699</v>
      </c>
      <c r="J1107">
        <v>11.699999809265099</v>
      </c>
      <c r="K1107">
        <v>84</v>
      </c>
      <c r="L1107">
        <v>5.6642958563818002</v>
      </c>
      <c r="M1107">
        <v>29.190493684419501</v>
      </c>
      <c r="N1107">
        <v>15.3904926306765</v>
      </c>
      <c r="O1107">
        <v>13.800000190734901</v>
      </c>
      <c r="P1107">
        <v>22.490492921480001</v>
      </c>
      <c r="Q1107">
        <v>21.395069659595801</v>
      </c>
      <c r="R1107">
        <v>22.690493684419401</v>
      </c>
      <c r="S1107">
        <v>21.290492339873001</v>
      </c>
      <c r="T1107">
        <v>1314.9049295774601</v>
      </c>
      <c r="U1107">
        <v>196.904929577465</v>
      </c>
      <c r="V1107">
        <v>58</v>
      </c>
      <c r="W1107">
        <v>37</v>
      </c>
      <c r="X1107">
        <v>467.80985915493</v>
      </c>
      <c r="Y1107">
        <v>225</v>
      </c>
      <c r="Z1107">
        <v>402.71478873239403</v>
      </c>
      <c r="AA1107">
        <v>225.095070422535</v>
      </c>
      <c r="AB1107">
        <v>67.8276923810932</v>
      </c>
      <c r="AC1107">
        <v>8.6228396959969998E-3</v>
      </c>
      <c r="AD1107">
        <v>4.6162459531300497</v>
      </c>
      <c r="AE1107">
        <v>0.81771933297875898</v>
      </c>
      <c r="AF1107">
        <v>1209.9630281690099</v>
      </c>
      <c r="AG1107">
        <f>IFERROR(AH1107*0.1, "N/A")</f>
        <v>6.1769366197183109</v>
      </c>
      <c r="AH1107">
        <v>61.769366197183103</v>
      </c>
      <c r="AI1107">
        <v>81.188240078133603</v>
      </c>
      <c r="AJ1107">
        <v>41.779929577464799</v>
      </c>
      <c r="AK1107">
        <v>39.674295774647902</v>
      </c>
    </row>
    <row r="1108" spans="1:37" x14ac:dyDescent="0.3">
      <c r="A1108">
        <v>1107</v>
      </c>
      <c r="B1108">
        <v>1.7</v>
      </c>
      <c r="C1108">
        <v>34.095298999999997</v>
      </c>
      <c r="D1108">
        <v>0.46279999999999999</v>
      </c>
      <c r="E1108" t="s">
        <v>1915</v>
      </c>
      <c r="F1108" t="s">
        <v>1916</v>
      </c>
      <c r="G1108" t="s">
        <v>37</v>
      </c>
      <c r="H1108">
        <v>2004</v>
      </c>
      <c r="I1108">
        <v>22</v>
      </c>
      <c r="J1108">
        <v>12.199999809265099</v>
      </c>
      <c r="K1108">
        <v>86</v>
      </c>
      <c r="L1108">
        <v>5.4000000953674299</v>
      </c>
      <c r="M1108">
        <v>29.5</v>
      </c>
      <c r="N1108">
        <v>15.3999996185303</v>
      </c>
      <c r="O1108">
        <v>14.1000003814697</v>
      </c>
      <c r="P1108">
        <v>22.399999618530298</v>
      </c>
      <c r="Q1108">
        <v>22.299999237060501</v>
      </c>
      <c r="R1108">
        <v>22.600000381469702</v>
      </c>
      <c r="S1108">
        <v>21.200000762939499</v>
      </c>
      <c r="T1108">
        <v>1685</v>
      </c>
      <c r="U1108">
        <v>261</v>
      </c>
      <c r="V1108">
        <v>64</v>
      </c>
      <c r="W1108">
        <v>41</v>
      </c>
      <c r="X1108">
        <v>635</v>
      </c>
      <c r="Y1108">
        <v>245</v>
      </c>
      <c r="Z1108">
        <v>291</v>
      </c>
      <c r="AA1108">
        <v>320</v>
      </c>
      <c r="AB1108">
        <v>14.5920676647777</v>
      </c>
      <c r="AC1108">
        <v>3.0398090422468001E-2</v>
      </c>
      <c r="AD1108">
        <v>2.2158334829227999</v>
      </c>
      <c r="AE1108">
        <v>0.79151654243469205</v>
      </c>
      <c r="AF1108">
        <v>1212.25704225352</v>
      </c>
      <c r="AG1108">
        <f>IFERROR(AH1108*0.1, "N/A")</f>
        <v>6.3302816901408399</v>
      </c>
      <c r="AH1108">
        <v>63.302816901408399</v>
      </c>
      <c r="AI1108">
        <v>193.91575936868199</v>
      </c>
      <c r="AJ1108">
        <v>42.267605633802802</v>
      </c>
      <c r="AK1108">
        <v>38.658450704225402</v>
      </c>
    </row>
    <row r="1109" spans="1:37" x14ac:dyDescent="0.3">
      <c r="A1109">
        <v>1108</v>
      </c>
      <c r="B1109">
        <v>0</v>
      </c>
      <c r="C1109">
        <v>34.087798999999997</v>
      </c>
      <c r="D1109">
        <v>0.46491700000000002</v>
      </c>
      <c r="E1109" t="s">
        <v>1917</v>
      </c>
      <c r="F1109" t="s">
        <v>1918</v>
      </c>
      <c r="G1109" t="s">
        <v>37</v>
      </c>
      <c r="H1109">
        <v>2004</v>
      </c>
      <c r="I1109">
        <v>22</v>
      </c>
      <c r="J1109">
        <v>12.199999809265099</v>
      </c>
      <c r="K1109">
        <v>86</v>
      </c>
      <c r="L1109">
        <v>5.5100002288818404</v>
      </c>
      <c r="M1109">
        <v>29.5</v>
      </c>
      <c r="N1109">
        <v>15.3999996185303</v>
      </c>
      <c r="O1109">
        <v>14.1000003814697</v>
      </c>
      <c r="P1109">
        <v>22.299999237060501</v>
      </c>
      <c r="Q1109">
        <v>22.399999618530298</v>
      </c>
      <c r="R1109">
        <v>22.600000381469702</v>
      </c>
      <c r="S1109">
        <v>21.200000762939499</v>
      </c>
      <c r="T1109">
        <v>1673</v>
      </c>
      <c r="U1109">
        <v>258</v>
      </c>
      <c r="V1109">
        <v>64</v>
      </c>
      <c r="W1109">
        <v>40</v>
      </c>
      <c r="X1109">
        <v>628</v>
      </c>
      <c r="Y1109">
        <v>244</v>
      </c>
      <c r="Z1109">
        <v>289</v>
      </c>
      <c r="AA1109">
        <v>318</v>
      </c>
      <c r="AB1109">
        <v>19.116067375935302</v>
      </c>
      <c r="AC1109">
        <v>1.9352445533027E-2</v>
      </c>
      <c r="AD1109">
        <v>1.48896691014229</v>
      </c>
      <c r="AE1109">
        <v>0.76579642295837402</v>
      </c>
      <c r="AF1109">
        <v>1219.2799295774701</v>
      </c>
      <c r="AG1109">
        <f>IFERROR(AH1109*0.1, "N/A")</f>
        <v>6.4</v>
      </c>
      <c r="AH1109">
        <v>64</v>
      </c>
      <c r="AI1109">
        <v>116.85199702625501</v>
      </c>
      <c r="AJ1109">
        <v>38.419014084506998</v>
      </c>
      <c r="AK1109">
        <v>42.790492957746501</v>
      </c>
    </row>
    <row r="1110" spans="1:37" x14ac:dyDescent="0.3">
      <c r="A1110">
        <v>1109</v>
      </c>
      <c r="B1110">
        <v>8</v>
      </c>
      <c r="C1110">
        <v>33.584000000000003</v>
      </c>
      <c r="D1110">
        <v>0.46700000000000003</v>
      </c>
      <c r="E1110" t="s">
        <v>1919</v>
      </c>
      <c r="F1110" t="s">
        <v>1920</v>
      </c>
      <c r="G1110" t="s">
        <v>37</v>
      </c>
      <c r="H1110">
        <v>2005</v>
      </c>
      <c r="I1110">
        <v>21.899999618530298</v>
      </c>
      <c r="J1110">
        <v>11.800000190734901</v>
      </c>
      <c r="K1110">
        <v>83.994718309859195</v>
      </c>
      <c r="L1110">
        <v>5.6810561678778901</v>
      </c>
      <c r="M1110">
        <v>29.399999618530298</v>
      </c>
      <c r="N1110">
        <v>15.498943662979199</v>
      </c>
      <c r="O1110">
        <v>13.901055960588099</v>
      </c>
      <c r="P1110">
        <v>22.2994710761057</v>
      </c>
      <c r="Q1110">
        <v>22.399471447501401</v>
      </c>
      <c r="R1110">
        <v>22.600000381469702</v>
      </c>
      <c r="S1110">
        <v>21.100000381469702</v>
      </c>
      <c r="T1110">
        <v>1377.8080985915501</v>
      </c>
      <c r="U1110">
        <v>208.005281690141</v>
      </c>
      <c r="V1110">
        <v>64.005281690140805</v>
      </c>
      <c r="W1110">
        <v>36</v>
      </c>
      <c r="X1110">
        <v>488.90140845070403</v>
      </c>
      <c r="Y1110">
        <v>226.01056338028201</v>
      </c>
      <c r="Z1110">
        <v>275.90140845070403</v>
      </c>
      <c r="AA1110">
        <v>245.880281690141</v>
      </c>
      <c r="AB1110">
        <v>23.597150990660801</v>
      </c>
      <c r="AC1110">
        <v>9.6310743107789996E-3</v>
      </c>
      <c r="AD1110">
        <v>3.5722174291879401</v>
      </c>
      <c r="AE1110">
        <v>0.71988546848297097</v>
      </c>
      <c r="AF1110">
        <v>1214.26408450704</v>
      </c>
      <c r="AG1110">
        <f>IFERROR(AH1110*0.1, "N/A")</f>
        <v>6.0890845070422506</v>
      </c>
      <c r="AH1110">
        <v>60.8908450704225</v>
      </c>
      <c r="AI1110">
        <v>261.089408632735</v>
      </c>
      <c r="AJ1110">
        <v>42.994718309859202</v>
      </c>
      <c r="AK1110">
        <v>40.8908450704225</v>
      </c>
    </row>
    <row r="1111" spans="1:37" x14ac:dyDescent="0.3">
      <c r="A1111">
        <v>1110</v>
      </c>
      <c r="B1111">
        <v>2.2999999999999998</v>
      </c>
      <c r="C1111">
        <v>33.481997999999997</v>
      </c>
      <c r="D1111">
        <v>0.48</v>
      </c>
      <c r="E1111" t="s">
        <v>1921</v>
      </c>
      <c r="F1111" t="s">
        <v>1922</v>
      </c>
      <c r="G1111" t="s">
        <v>37</v>
      </c>
      <c r="H1111">
        <v>2004</v>
      </c>
      <c r="I1111">
        <v>22.100000381469702</v>
      </c>
      <c r="J1111">
        <v>11.800000190734901</v>
      </c>
      <c r="K1111">
        <v>84</v>
      </c>
      <c r="L1111">
        <v>5.96000003814697</v>
      </c>
      <c r="M1111">
        <v>29.399999618530298</v>
      </c>
      <c r="N1111">
        <v>15.3999996185303</v>
      </c>
      <c r="O1111">
        <v>14</v>
      </c>
      <c r="P1111">
        <v>22.399999618530298</v>
      </c>
      <c r="Q1111">
        <v>22.5</v>
      </c>
      <c r="R1111">
        <v>22.799999237060501</v>
      </c>
      <c r="S1111">
        <v>21.200000762939499</v>
      </c>
      <c r="T1111">
        <v>1343</v>
      </c>
      <c r="U1111">
        <v>200</v>
      </c>
      <c r="V1111">
        <v>61</v>
      </c>
      <c r="W1111">
        <v>36</v>
      </c>
      <c r="X1111">
        <v>470</v>
      </c>
      <c r="Y1111">
        <v>223</v>
      </c>
      <c r="Z1111">
        <v>262</v>
      </c>
      <c r="AA1111">
        <v>242</v>
      </c>
      <c r="AB1111">
        <v>16.716175153091999</v>
      </c>
      <c r="AC1111">
        <v>3.1230910620628001E-2</v>
      </c>
      <c r="AD1111">
        <v>3.2029887603330698</v>
      </c>
      <c r="AE1111">
        <v>0.63687169551849399</v>
      </c>
      <c r="AF1111">
        <v>1173.0685413005299</v>
      </c>
      <c r="AG1111">
        <f>IFERROR(AH1111*0.1, "N/A")</f>
        <v>6.1000000000000005</v>
      </c>
      <c r="AH1111">
        <v>61</v>
      </c>
      <c r="AI1111">
        <v>45.787083060963496</v>
      </c>
      <c r="AJ1111">
        <v>47.8207381370826</v>
      </c>
      <c r="AK1111">
        <v>36.1792618629174</v>
      </c>
    </row>
    <row r="1112" spans="1:37" x14ac:dyDescent="0.3">
      <c r="A1112">
        <v>1111</v>
      </c>
      <c r="B1112">
        <v>10.1</v>
      </c>
      <c r="C1112">
        <v>33.876801</v>
      </c>
      <c r="D1112">
        <v>0.48516100000000001</v>
      </c>
      <c r="E1112" t="s">
        <v>1923</v>
      </c>
      <c r="F1112" t="s">
        <v>1924</v>
      </c>
      <c r="G1112" t="s">
        <v>37</v>
      </c>
      <c r="H1112">
        <v>1994</v>
      </c>
      <c r="I1112">
        <v>22.799999237060501</v>
      </c>
      <c r="J1112">
        <v>12</v>
      </c>
      <c r="K1112">
        <v>84</v>
      </c>
      <c r="L1112">
        <v>5.8000001907348597</v>
      </c>
      <c r="M1112">
        <v>30.5</v>
      </c>
      <c r="N1112">
        <v>16.299999237060501</v>
      </c>
      <c r="O1112">
        <v>14.199999809265099</v>
      </c>
      <c r="P1112">
        <v>23.100000381469702</v>
      </c>
      <c r="Q1112">
        <v>23.299999237060501</v>
      </c>
      <c r="R1112">
        <v>23.600000381469702</v>
      </c>
      <c r="S1112">
        <v>22.100000381469702</v>
      </c>
      <c r="T1112">
        <v>1365</v>
      </c>
      <c r="U1112">
        <v>216</v>
      </c>
      <c r="V1112">
        <v>59</v>
      </c>
      <c r="W1112">
        <v>39</v>
      </c>
      <c r="X1112">
        <v>511</v>
      </c>
      <c r="Y1112">
        <v>215</v>
      </c>
      <c r="Z1112">
        <v>259</v>
      </c>
      <c r="AA1112">
        <v>254</v>
      </c>
      <c r="AB1112">
        <v>9.1700041118421005</v>
      </c>
      <c r="AC1112">
        <v>1.4245928312536999E-2</v>
      </c>
      <c r="AD1112">
        <v>1.18617913822333</v>
      </c>
      <c r="AE1112">
        <v>0.66174632310867298</v>
      </c>
      <c r="AF1112">
        <v>1086.95438596491</v>
      </c>
      <c r="AG1112">
        <f>IFERROR(AH1112*0.1, "N/A")</f>
        <v>6.6871929824561409</v>
      </c>
      <c r="AH1112">
        <v>66.871929824561406</v>
      </c>
      <c r="AI1112">
        <v>143.86284436677599</v>
      </c>
      <c r="AJ1112">
        <v>44.615789473684202</v>
      </c>
      <c r="AK1112">
        <v>35.128070175438602</v>
      </c>
    </row>
    <row r="1113" spans="1:37" x14ac:dyDescent="0.3">
      <c r="A1113">
        <v>1112</v>
      </c>
      <c r="B1113">
        <v>0</v>
      </c>
      <c r="C1113">
        <v>33.220199999999998</v>
      </c>
      <c r="D1113">
        <v>0.488533</v>
      </c>
      <c r="E1113" t="s">
        <v>1925</v>
      </c>
      <c r="F1113" t="s">
        <v>1926</v>
      </c>
      <c r="G1113" t="s">
        <v>37</v>
      </c>
      <c r="H1113">
        <v>2004</v>
      </c>
      <c r="I1113">
        <v>21.899999618530298</v>
      </c>
      <c r="J1113">
        <v>11.699999809265099</v>
      </c>
      <c r="K1113">
        <v>84</v>
      </c>
      <c r="L1113">
        <v>5.53999996185303</v>
      </c>
      <c r="M1113">
        <v>29</v>
      </c>
      <c r="N1113">
        <v>15.199999809265099</v>
      </c>
      <c r="O1113">
        <v>13.800000190734901</v>
      </c>
      <c r="P1113">
        <v>22.299999237060501</v>
      </c>
      <c r="Q1113">
        <v>22.100000381469702</v>
      </c>
      <c r="R1113">
        <v>22.5</v>
      </c>
      <c r="S1113">
        <v>21.100000381469702</v>
      </c>
      <c r="T1113">
        <v>1318</v>
      </c>
      <c r="U1113">
        <v>196</v>
      </c>
      <c r="V1113">
        <v>57</v>
      </c>
      <c r="W1113">
        <v>36</v>
      </c>
      <c r="X1113">
        <v>463</v>
      </c>
      <c r="Y1113">
        <v>218</v>
      </c>
      <c r="Z1113">
        <v>395</v>
      </c>
      <c r="AA1113">
        <v>235</v>
      </c>
      <c r="AB1113">
        <v>42.748341002238</v>
      </c>
      <c r="AC1113">
        <v>8.8029281450649997E-3</v>
      </c>
      <c r="AD1113">
        <v>2.95860935765955</v>
      </c>
      <c r="AE1113">
        <v>0.63326597213745095</v>
      </c>
      <c r="AF1113">
        <v>1205.5922671353301</v>
      </c>
      <c r="AG1113">
        <f>IFERROR(AH1113*0.1, "N/A")</f>
        <v>6.1824253075571205</v>
      </c>
      <c r="AH1113">
        <v>61.8242530755712</v>
      </c>
      <c r="AI1113">
        <v>147.70847045097301</v>
      </c>
      <c r="AJ1113">
        <v>43.8242530755712</v>
      </c>
      <c r="AK1113">
        <v>39.054481546572902</v>
      </c>
    </row>
    <row r="1114" spans="1:37" x14ac:dyDescent="0.3">
      <c r="A1114">
        <v>1113</v>
      </c>
      <c r="B1114">
        <v>3.8</v>
      </c>
      <c r="C1114">
        <v>34.082999999999998</v>
      </c>
      <c r="D1114">
        <v>0.5</v>
      </c>
      <c r="E1114" t="s">
        <v>1927</v>
      </c>
      <c r="F1114" t="s">
        <v>1928</v>
      </c>
      <c r="G1114" t="s">
        <v>37</v>
      </c>
      <c r="H1114">
        <v>2004</v>
      </c>
      <c r="I1114">
        <v>22.161336292072399</v>
      </c>
      <c r="J1114">
        <v>12.199999809265099</v>
      </c>
      <c r="K1114">
        <v>85.472759226713507</v>
      </c>
      <c r="L1114">
        <v>5.6960280247438497</v>
      </c>
      <c r="M1114">
        <v>29.799999237060501</v>
      </c>
      <c r="N1114">
        <v>15.608611562759</v>
      </c>
      <c r="O1114">
        <v>14.191388627975799</v>
      </c>
      <c r="P1114">
        <v>22.522495692140801</v>
      </c>
      <c r="Q1114">
        <v>22.5613359106027</v>
      </c>
      <c r="R1114">
        <v>22.861335147663201</v>
      </c>
      <c r="S1114">
        <v>21.361335147663201</v>
      </c>
      <c r="T1114">
        <v>1636.3567662565899</v>
      </c>
      <c r="U1114">
        <v>249.68717047451699</v>
      </c>
      <c r="V1114">
        <v>60.859402460456899</v>
      </c>
      <c r="W1114">
        <v>40.915641476274203</v>
      </c>
      <c r="X1114">
        <v>615.71001757469196</v>
      </c>
      <c r="Y1114">
        <v>235.688927943761</v>
      </c>
      <c r="Z1114">
        <v>280.30052724077302</v>
      </c>
      <c r="AA1114">
        <v>317.19332161687203</v>
      </c>
      <c r="AB1114">
        <v>15.835334657156199</v>
      </c>
      <c r="AC1114">
        <v>2.6108298442525001E-2</v>
      </c>
      <c r="AD1114">
        <v>1.31975308935336</v>
      </c>
      <c r="AE1114">
        <v>0.732854783535004</v>
      </c>
      <c r="AF1114">
        <v>1191.2214411247801</v>
      </c>
      <c r="AG1114">
        <f>IFERROR(AH1114*0.1, "N/A")</f>
        <v>5.9532513181019304</v>
      </c>
      <c r="AH1114">
        <v>59.532513181019297</v>
      </c>
      <c r="AI1114">
        <v>166.47870377203699</v>
      </c>
      <c r="AJ1114">
        <v>43.367311072056197</v>
      </c>
      <c r="AK1114">
        <v>36.135325131810198</v>
      </c>
    </row>
    <row r="1115" spans="1:37" x14ac:dyDescent="0.3">
      <c r="A1115">
        <v>1114</v>
      </c>
      <c r="B1115">
        <v>1.6</v>
      </c>
      <c r="C1115">
        <v>33.404598</v>
      </c>
      <c r="D1115">
        <v>0.52186699999999997</v>
      </c>
      <c r="E1115" t="s">
        <v>1929</v>
      </c>
      <c r="F1115" t="s">
        <v>1930</v>
      </c>
      <c r="G1115" t="s">
        <v>37</v>
      </c>
      <c r="H1115">
        <v>2004</v>
      </c>
      <c r="I1115">
        <v>22</v>
      </c>
      <c r="J1115">
        <v>11.800000190734901</v>
      </c>
      <c r="K1115">
        <v>84</v>
      </c>
      <c r="L1115">
        <v>5.9200000762939498</v>
      </c>
      <c r="M1115">
        <v>29.299999237060501</v>
      </c>
      <c r="N1115">
        <v>15.300000190734901</v>
      </c>
      <c r="O1115">
        <v>14</v>
      </c>
      <c r="P1115">
        <v>22.399999618530298</v>
      </c>
      <c r="Q1115">
        <v>22.299999237060501</v>
      </c>
      <c r="R1115">
        <v>22.600000381469702</v>
      </c>
      <c r="S1115">
        <v>21.100000381469702</v>
      </c>
      <c r="T1115">
        <v>1332</v>
      </c>
      <c r="U1115">
        <v>196</v>
      </c>
      <c r="V1115">
        <v>56</v>
      </c>
      <c r="W1115">
        <v>35</v>
      </c>
      <c r="X1115">
        <v>469</v>
      </c>
      <c r="Y1115">
        <v>208</v>
      </c>
      <c r="Z1115">
        <v>392</v>
      </c>
      <c r="AA1115">
        <v>252</v>
      </c>
      <c r="AB1115">
        <v>45.338219721413701</v>
      </c>
      <c r="AC1115">
        <v>1.4315950497658001E-2</v>
      </c>
      <c r="AD1115">
        <v>2.2662559200883501</v>
      </c>
      <c r="AE1115">
        <v>0.61432313919067405</v>
      </c>
      <c r="AF1115">
        <v>1195.6520210896299</v>
      </c>
      <c r="AG1115">
        <f>IFERROR(AH1115*0.1, "N/A")</f>
        <v>5.8528998242530799</v>
      </c>
      <c r="AH1115">
        <v>58.528998242530797</v>
      </c>
      <c r="AI1115">
        <v>128.65770663779301</v>
      </c>
      <c r="AJ1115">
        <v>34.0896309314587</v>
      </c>
      <c r="AK1115">
        <v>47.456942003514897</v>
      </c>
    </row>
    <row r="1116" spans="1:37" x14ac:dyDescent="0.3">
      <c r="A1116">
        <v>1115</v>
      </c>
      <c r="B1116">
        <v>26.700001</v>
      </c>
      <c r="C1116">
        <v>33.861899999999999</v>
      </c>
      <c r="D1116">
        <v>0.52625</v>
      </c>
      <c r="E1116" t="s">
        <v>1931</v>
      </c>
      <c r="F1116" t="s">
        <v>1932</v>
      </c>
      <c r="G1116" t="s">
        <v>37</v>
      </c>
      <c r="H1116">
        <v>2007</v>
      </c>
      <c r="I1116">
        <v>22.899999618530298</v>
      </c>
      <c r="J1116">
        <v>12</v>
      </c>
      <c r="K1116">
        <v>85</v>
      </c>
      <c r="L1116">
        <v>6.0199999809265101</v>
      </c>
      <c r="M1116">
        <v>30.600000381469702</v>
      </c>
      <c r="N1116">
        <v>16.5</v>
      </c>
      <c r="O1116">
        <v>14.1000003814697</v>
      </c>
      <c r="P1116">
        <v>23.200000762939499</v>
      </c>
      <c r="Q1116">
        <v>23.399999618530298</v>
      </c>
      <c r="R1116">
        <v>23.700000762939499</v>
      </c>
      <c r="S1116">
        <v>22</v>
      </c>
      <c r="T1116">
        <v>1366</v>
      </c>
      <c r="U1116">
        <v>216</v>
      </c>
      <c r="V1116">
        <v>58</v>
      </c>
      <c r="W1116">
        <v>38</v>
      </c>
      <c r="X1116">
        <v>510</v>
      </c>
      <c r="Y1116">
        <v>212</v>
      </c>
      <c r="Z1116">
        <v>255</v>
      </c>
      <c r="AA1116">
        <v>262</v>
      </c>
      <c r="AB1116">
        <v>13.3400793092322</v>
      </c>
      <c r="AC1116">
        <v>2.0474955518133001E-2</v>
      </c>
      <c r="AD1116">
        <v>1.5795502516004001</v>
      </c>
      <c r="AE1116">
        <v>0.62680149078369096</v>
      </c>
      <c r="AF1116">
        <v>1097.84182776801</v>
      </c>
      <c r="AG1116">
        <f>IFERROR(AH1116*0.1, "N/A")</f>
        <v>5.9745166959578206</v>
      </c>
      <c r="AH1116">
        <v>59.745166959578199</v>
      </c>
      <c r="AI1116">
        <v>18.887784622675099</v>
      </c>
      <c r="AJ1116">
        <v>34.745166959578199</v>
      </c>
      <c r="AK1116">
        <v>46.6274165202109</v>
      </c>
    </row>
    <row r="1117" spans="1:37" x14ac:dyDescent="0.3">
      <c r="A1117">
        <v>1116</v>
      </c>
      <c r="B1117">
        <v>44.099997999999999</v>
      </c>
      <c r="C1117">
        <v>33.874099999999999</v>
      </c>
      <c r="D1117">
        <v>0.5343</v>
      </c>
      <c r="E1117" t="s">
        <v>1933</v>
      </c>
      <c r="F1117" t="s">
        <v>1934</v>
      </c>
      <c r="G1117" t="s">
        <v>37</v>
      </c>
      <c r="H1117">
        <v>2004</v>
      </c>
      <c r="I1117">
        <v>22.899999618530298</v>
      </c>
      <c r="J1117">
        <v>12</v>
      </c>
      <c r="K1117">
        <v>84.019366197183103</v>
      </c>
      <c r="L1117">
        <v>5.9281690825878703</v>
      </c>
      <c r="M1117">
        <v>30.5980637543638</v>
      </c>
      <c r="N1117">
        <v>16.399999618530298</v>
      </c>
      <c r="O1117">
        <v>14.198063200628299</v>
      </c>
      <c r="P1117">
        <v>23.200000762939499</v>
      </c>
      <c r="Q1117">
        <v>23.3980629914243</v>
      </c>
      <c r="R1117">
        <v>23.600000381469702</v>
      </c>
      <c r="S1117">
        <v>22</v>
      </c>
      <c r="T1117">
        <v>1367.6936619718299</v>
      </c>
      <c r="U1117">
        <v>216.01936619718299</v>
      </c>
      <c r="V1117">
        <v>57.019366197183103</v>
      </c>
      <c r="W1117">
        <v>38.121478873239397</v>
      </c>
      <c r="X1117">
        <v>511.01936619718299</v>
      </c>
      <c r="Y1117">
        <v>210.89788732394399</v>
      </c>
      <c r="Z1117">
        <v>253.03873239436601</v>
      </c>
      <c r="AA1117">
        <v>264.83978873239403</v>
      </c>
      <c r="AB1117">
        <v>8.8857449813627891</v>
      </c>
      <c r="AC1117">
        <v>7.5527950137539004E-2</v>
      </c>
      <c r="AD1117">
        <v>1.9075409721740499</v>
      </c>
      <c r="AE1117">
        <v>0.64986123606352697</v>
      </c>
      <c r="AF1117">
        <v>1078.7077464788699</v>
      </c>
      <c r="AG1117">
        <f>IFERROR(AH1117*0.1, "N/A")</f>
        <v>6.1466549295774602</v>
      </c>
      <c r="AH1117">
        <v>61.466549295774598</v>
      </c>
      <c r="AI1117">
        <v>86.889807385458099</v>
      </c>
      <c r="AJ1117">
        <v>36.985915492957702</v>
      </c>
      <c r="AK1117">
        <v>43.480633802816897</v>
      </c>
    </row>
    <row r="1118" spans="1:37" x14ac:dyDescent="0.3">
      <c r="A1118">
        <v>1117</v>
      </c>
      <c r="B1118">
        <v>11.8</v>
      </c>
      <c r="C1118">
        <v>33.904300999999997</v>
      </c>
      <c r="D1118">
        <v>0.53881699999999999</v>
      </c>
      <c r="E1118" t="s">
        <v>1935</v>
      </c>
      <c r="F1118" t="s">
        <v>1936</v>
      </c>
      <c r="G1118" t="s">
        <v>37</v>
      </c>
      <c r="H1118">
        <v>2004</v>
      </c>
      <c r="I1118">
        <v>22.799999237060501</v>
      </c>
      <c r="J1118">
        <v>12</v>
      </c>
      <c r="K1118">
        <v>84</v>
      </c>
      <c r="L1118">
        <v>5.78999996185303</v>
      </c>
      <c r="M1118">
        <v>30.5</v>
      </c>
      <c r="N1118">
        <v>16.299999237060501</v>
      </c>
      <c r="O1118">
        <v>14.199999809265099</v>
      </c>
      <c r="P1118">
        <v>23.100000381469702</v>
      </c>
      <c r="Q1118">
        <v>23.299999237060501</v>
      </c>
      <c r="R1118">
        <v>23.5</v>
      </c>
      <c r="S1118">
        <v>22</v>
      </c>
      <c r="T1118">
        <v>1389</v>
      </c>
      <c r="U1118">
        <v>219</v>
      </c>
      <c r="V1118">
        <v>58</v>
      </c>
      <c r="W1118">
        <v>38</v>
      </c>
      <c r="X1118">
        <v>519</v>
      </c>
      <c r="Y1118">
        <v>213</v>
      </c>
      <c r="Z1118">
        <v>256</v>
      </c>
      <c r="AA1118">
        <v>271</v>
      </c>
      <c r="AB1118">
        <v>13.0841909720315</v>
      </c>
      <c r="AC1118">
        <v>8.7277503857660001E-3</v>
      </c>
      <c r="AD1118">
        <v>1.2065390986382201</v>
      </c>
      <c r="AE1118">
        <v>0.68981909751892101</v>
      </c>
      <c r="AF1118">
        <v>1088.0773286467499</v>
      </c>
      <c r="AG1118">
        <f>IFERROR(AH1118*0.1, "N/A")</f>
        <v>5.8495606326889309</v>
      </c>
      <c r="AH1118">
        <v>58.495606326889302</v>
      </c>
      <c r="AI1118">
        <v>271.770536640616</v>
      </c>
      <c r="AJ1118">
        <v>37.776801405975398</v>
      </c>
      <c r="AK1118">
        <v>42.768014059754002</v>
      </c>
    </row>
    <row r="1119" spans="1:37" x14ac:dyDescent="0.3">
      <c r="A1119">
        <v>1118</v>
      </c>
      <c r="B1119">
        <v>0</v>
      </c>
      <c r="C1119">
        <v>33.327098999999997</v>
      </c>
      <c r="D1119">
        <v>0.559033</v>
      </c>
      <c r="E1119" t="s">
        <v>1937</v>
      </c>
      <c r="F1119" t="s">
        <v>1938</v>
      </c>
      <c r="G1119" t="s">
        <v>37</v>
      </c>
      <c r="H1119">
        <v>2004</v>
      </c>
      <c r="I1119">
        <v>22.125483782722998</v>
      </c>
      <c r="J1119">
        <v>11.800000190734901</v>
      </c>
      <c r="K1119">
        <v>84</v>
      </c>
      <c r="L1119">
        <v>5.6850964842865102</v>
      </c>
      <c r="M1119">
        <v>29.425483019783499</v>
      </c>
      <c r="N1119">
        <v>15.425483019783499</v>
      </c>
      <c r="O1119">
        <v>14</v>
      </c>
      <c r="P1119">
        <v>22.5</v>
      </c>
      <c r="Q1119">
        <v>22.425483019783599</v>
      </c>
      <c r="R1119">
        <v>22.725483678137302</v>
      </c>
      <c r="S1119">
        <v>21.225483678137302</v>
      </c>
      <c r="T1119">
        <v>1305.98066783831</v>
      </c>
      <c r="U1119">
        <v>194</v>
      </c>
      <c r="V1119">
        <v>52.254833040421801</v>
      </c>
      <c r="W1119">
        <v>36</v>
      </c>
      <c r="X1119">
        <v>461.745166959578</v>
      </c>
      <c r="Y1119">
        <v>198.764499121265</v>
      </c>
      <c r="Z1119">
        <v>241.254833040422</v>
      </c>
      <c r="AA1119">
        <v>251.235500878735</v>
      </c>
      <c r="AB1119">
        <v>13.651160161398799</v>
      </c>
      <c r="AC1119">
        <v>8.7802900201093007E-2</v>
      </c>
      <c r="AD1119">
        <v>3.7332136631011998</v>
      </c>
      <c r="AE1119">
        <v>0.54472459933879303</v>
      </c>
      <c r="AF1119">
        <v>1143.25483304042</v>
      </c>
      <c r="AG1119">
        <f>IFERROR(AH1119*0.1, "N/A")</f>
        <v>6.0750439367311104</v>
      </c>
      <c r="AH1119">
        <v>60.750439367311103</v>
      </c>
      <c r="AI1119">
        <v>192.78149081533499</v>
      </c>
      <c r="AJ1119">
        <v>39.924428822495599</v>
      </c>
      <c r="AK1119">
        <v>42.082601054481501</v>
      </c>
    </row>
    <row r="1120" spans="1:37" x14ac:dyDescent="0.3">
      <c r="A1120">
        <v>1119</v>
      </c>
      <c r="B1120">
        <v>0</v>
      </c>
      <c r="C1120">
        <v>33.669998</v>
      </c>
      <c r="D1120">
        <v>0.57999999999999996</v>
      </c>
      <c r="E1120" t="s">
        <v>1939</v>
      </c>
      <c r="F1120" t="s">
        <v>1940</v>
      </c>
      <c r="G1120" t="s">
        <v>37</v>
      </c>
      <c r="H1120">
        <v>2004</v>
      </c>
      <c r="I1120">
        <v>22.799999237060501</v>
      </c>
      <c r="J1120">
        <v>11.8999996185303</v>
      </c>
      <c r="K1120">
        <v>83</v>
      </c>
      <c r="L1120">
        <v>6.2600002288818404</v>
      </c>
      <c r="M1120">
        <v>30.5</v>
      </c>
      <c r="N1120">
        <v>16.299999237060501</v>
      </c>
      <c r="O1120">
        <v>14.199999809265099</v>
      </c>
      <c r="P1120">
        <v>23.100000381469702</v>
      </c>
      <c r="Q1120">
        <v>23.299999237060501</v>
      </c>
      <c r="R1120">
        <v>23.600000381469702</v>
      </c>
      <c r="S1120">
        <v>21.899999618530298</v>
      </c>
      <c r="T1120">
        <v>1329</v>
      </c>
      <c r="U1120">
        <v>206</v>
      </c>
      <c r="V1120">
        <v>55</v>
      </c>
      <c r="W1120">
        <v>37</v>
      </c>
      <c r="X1120">
        <v>488</v>
      </c>
      <c r="Y1120">
        <v>203</v>
      </c>
      <c r="Z1120">
        <v>247</v>
      </c>
      <c r="AA1120">
        <v>259</v>
      </c>
      <c r="AB1120">
        <v>1.0490877393265801</v>
      </c>
      <c r="AC1120">
        <v>6.3052333537227001E-2</v>
      </c>
      <c r="AD1120">
        <v>1.4736031273930801</v>
      </c>
      <c r="AE1120">
        <v>0.64564782381057695</v>
      </c>
      <c r="AF1120">
        <v>1079.4489436619699</v>
      </c>
      <c r="AG1120">
        <f>IFERROR(AH1120*0.1, "N/A")</f>
        <v>6.0492957746478906</v>
      </c>
      <c r="AH1120">
        <v>60.492957746478901</v>
      </c>
      <c r="AI1120">
        <v>239.66973511601799</v>
      </c>
      <c r="AJ1120">
        <v>44.2887323943662</v>
      </c>
      <c r="AK1120">
        <v>37.450704225352098</v>
      </c>
    </row>
    <row r="1121" spans="1:37" x14ac:dyDescent="0.3">
      <c r="A1121">
        <v>1120</v>
      </c>
      <c r="B1121">
        <v>0</v>
      </c>
      <c r="C1121">
        <v>31.85</v>
      </c>
      <c r="D1121">
        <v>0.58799999999999997</v>
      </c>
      <c r="E1121" t="s">
        <v>1941</v>
      </c>
      <c r="F1121" t="s">
        <v>1942</v>
      </c>
      <c r="G1121" t="s">
        <v>37</v>
      </c>
      <c r="H1121">
        <v>2004</v>
      </c>
      <c r="I1121">
        <v>21.700000762939499</v>
      </c>
      <c r="J1121">
        <v>11.1000003814697</v>
      </c>
      <c r="K1121">
        <v>82</v>
      </c>
      <c r="L1121">
        <v>5.5745262447156403</v>
      </c>
      <c r="M1121">
        <v>28.799999237060501</v>
      </c>
      <c r="N1121">
        <v>15.3999996185303</v>
      </c>
      <c r="O1121">
        <v>13.3999996185303</v>
      </c>
      <c r="P1121">
        <v>21.600000381469702</v>
      </c>
      <c r="Q1121">
        <v>22.200000762939499</v>
      </c>
      <c r="R1121">
        <v>22.399999618530298</v>
      </c>
      <c r="S1121">
        <v>20.971227960419199</v>
      </c>
      <c r="T1121">
        <v>1065.2736842105301</v>
      </c>
      <c r="U1121">
        <v>143.712280701754</v>
      </c>
      <c r="V1121">
        <v>39</v>
      </c>
      <c r="W1121">
        <v>40.712280701754402</v>
      </c>
      <c r="X1121">
        <v>370.71228070175403</v>
      </c>
      <c r="Y1121">
        <v>152.712280701754</v>
      </c>
      <c r="Z1121">
        <v>190.712280701754</v>
      </c>
      <c r="AA1121">
        <v>189.712280701754</v>
      </c>
      <c r="AB1121">
        <v>36.733489454838299</v>
      </c>
      <c r="AC1121">
        <v>8.9822843654509994E-3</v>
      </c>
      <c r="AD1121">
        <v>2.2232282297130199</v>
      </c>
      <c r="AE1121">
        <v>0.65968513488769498</v>
      </c>
      <c r="AF1121">
        <v>1232.33157894737</v>
      </c>
      <c r="AG1121">
        <f>IFERROR(AH1121*0.1, "N/A")</f>
        <v>5.5</v>
      </c>
      <c r="AH1121">
        <v>55</v>
      </c>
      <c r="AI1121">
        <v>156.23235299629101</v>
      </c>
      <c r="AJ1121">
        <v>40.740350877193002</v>
      </c>
      <c r="AK1121">
        <v>40.405263157894701</v>
      </c>
    </row>
    <row r="1122" spans="1:37" x14ac:dyDescent="0.3">
      <c r="A1122">
        <v>1121</v>
      </c>
      <c r="B1122">
        <v>1.7</v>
      </c>
      <c r="C1122">
        <v>33.110000999999997</v>
      </c>
      <c r="D1122">
        <v>0.59438299999999999</v>
      </c>
      <c r="E1122" t="s">
        <v>1943</v>
      </c>
      <c r="F1122" t="s">
        <v>1944</v>
      </c>
      <c r="G1122" t="s">
        <v>37</v>
      </c>
      <c r="H1122">
        <v>2004</v>
      </c>
      <c r="I1122">
        <v>22</v>
      </c>
      <c r="J1122">
        <v>11.699999809265099</v>
      </c>
      <c r="K1122">
        <v>84</v>
      </c>
      <c r="L1122">
        <v>5.3800001144409197</v>
      </c>
      <c r="M1122">
        <v>29.200000762939499</v>
      </c>
      <c r="N1122">
        <v>15.3999996185303</v>
      </c>
      <c r="O1122">
        <v>13.800000190734901</v>
      </c>
      <c r="P1122">
        <v>22.299999237060501</v>
      </c>
      <c r="Q1122">
        <v>22.200000762939499</v>
      </c>
      <c r="R1122">
        <v>22.600000381469702</v>
      </c>
      <c r="S1122">
        <v>21.100000381469702</v>
      </c>
      <c r="T1122">
        <v>1310</v>
      </c>
      <c r="U1122">
        <v>195</v>
      </c>
      <c r="V1122">
        <v>55</v>
      </c>
      <c r="W1122">
        <v>35</v>
      </c>
      <c r="X1122">
        <v>456</v>
      </c>
      <c r="Y1122">
        <v>210</v>
      </c>
      <c r="Z1122">
        <v>386</v>
      </c>
      <c r="AA1122">
        <v>250</v>
      </c>
      <c r="AB1122">
        <v>59.949893473737902</v>
      </c>
      <c r="AC1122">
        <v>1.5135088669402001E-2</v>
      </c>
      <c r="AD1122">
        <v>5.6072918792670796</v>
      </c>
      <c r="AE1122">
        <v>0.63047567425161</v>
      </c>
      <c r="AF1122">
        <v>1161.32451499118</v>
      </c>
      <c r="AG1122">
        <f>IFERROR(AH1122*0.1, "N/A")</f>
        <v>5.7</v>
      </c>
      <c r="AH1122">
        <v>57</v>
      </c>
      <c r="AI1122">
        <v>244.70951404605199</v>
      </c>
      <c r="AJ1122">
        <v>40.268077601410901</v>
      </c>
      <c r="AK1122">
        <v>42.876543209876502</v>
      </c>
    </row>
    <row r="1123" spans="1:37" x14ac:dyDescent="0.3">
      <c r="A1123">
        <v>1122</v>
      </c>
      <c r="B1123">
        <v>0.8</v>
      </c>
      <c r="C1123">
        <v>33.076301999999998</v>
      </c>
      <c r="D1123">
        <v>0.59755000000000003</v>
      </c>
      <c r="E1123" t="s">
        <v>1945</v>
      </c>
      <c r="F1123" t="s">
        <v>1946</v>
      </c>
      <c r="G1123" t="s">
        <v>37</v>
      </c>
      <c r="H1123">
        <v>2004</v>
      </c>
      <c r="I1123">
        <v>22.200000762939499</v>
      </c>
      <c r="J1123">
        <v>11.699999809265099</v>
      </c>
      <c r="K1123">
        <v>84</v>
      </c>
      <c r="L1123">
        <v>5.3400001525878897</v>
      </c>
      <c r="M1123">
        <v>29.399999618530298</v>
      </c>
      <c r="N1123">
        <v>15.5</v>
      </c>
      <c r="O1123">
        <v>13.8999996185303</v>
      </c>
      <c r="P1123">
        <v>22.5</v>
      </c>
      <c r="Q1123">
        <v>22.399999618530298</v>
      </c>
      <c r="R1123">
        <v>22.700000762939499</v>
      </c>
      <c r="S1123">
        <v>21.399999618530298</v>
      </c>
      <c r="T1123">
        <v>1288</v>
      </c>
      <c r="U1123">
        <v>191</v>
      </c>
      <c r="V1123">
        <v>55</v>
      </c>
      <c r="W1123">
        <v>35</v>
      </c>
      <c r="X1123">
        <v>449</v>
      </c>
      <c r="Y1123">
        <v>212</v>
      </c>
      <c r="Z1123">
        <v>244</v>
      </c>
      <c r="AA1123">
        <v>244</v>
      </c>
      <c r="AB1123">
        <v>25.845702910465199</v>
      </c>
      <c r="AC1123">
        <v>1.2017437517118999E-2</v>
      </c>
      <c r="AD1123">
        <v>3.2009670740690699</v>
      </c>
      <c r="AE1123">
        <v>0.52951985597610496</v>
      </c>
      <c r="AF1123">
        <v>1111.0755711775</v>
      </c>
      <c r="AG1123">
        <f>IFERROR(AH1123*0.1, "N/A")</f>
        <v>5.8070298769771505</v>
      </c>
      <c r="AH1123">
        <v>58.070298769771497</v>
      </c>
      <c r="AI1123">
        <v>226.44476237908799</v>
      </c>
      <c r="AJ1123">
        <v>41.664323374340903</v>
      </c>
      <c r="AK1123">
        <v>40.992970123022801</v>
      </c>
    </row>
    <row r="1124" spans="1:37" x14ac:dyDescent="0.3">
      <c r="A1124">
        <v>1123</v>
      </c>
      <c r="B1124">
        <v>0</v>
      </c>
      <c r="C1124">
        <v>33.300400000000003</v>
      </c>
      <c r="D1124">
        <v>0.61491700000000005</v>
      </c>
      <c r="E1124" t="s">
        <v>1947</v>
      </c>
      <c r="F1124" t="s">
        <v>1948</v>
      </c>
      <c r="G1124" t="s">
        <v>37</v>
      </c>
      <c r="H1124">
        <v>2004</v>
      </c>
      <c r="I1124">
        <v>22.198766190328701</v>
      </c>
      <c r="J1124">
        <v>11.800000190734901</v>
      </c>
      <c r="K1124">
        <v>84</v>
      </c>
      <c r="L1124">
        <v>5.2203701631522499</v>
      </c>
      <c r="M1124">
        <v>29.598765808859</v>
      </c>
      <c r="N1124">
        <v>15.6000003814697</v>
      </c>
      <c r="O1124">
        <v>13.9987654273893</v>
      </c>
      <c r="P1124">
        <v>22.5</v>
      </c>
      <c r="Q1124">
        <v>22.498765427389301</v>
      </c>
      <c r="R1124">
        <v>22.798764687997298</v>
      </c>
      <c r="S1124">
        <v>21.3987650459195</v>
      </c>
      <c r="T1124">
        <v>1284.0987654321</v>
      </c>
      <c r="U1124">
        <v>192.01234567901199</v>
      </c>
      <c r="V1124">
        <v>49.012345679012398</v>
      </c>
      <c r="W1124">
        <v>36.987654320987701</v>
      </c>
      <c r="X1124">
        <v>455.01234567901201</v>
      </c>
      <c r="Y1124">
        <v>189.024691358025</v>
      </c>
      <c r="Z1124">
        <v>230.03703703703701</v>
      </c>
      <c r="AA1124">
        <v>255.024691358025</v>
      </c>
      <c r="AB1124">
        <v>23.388395010058399</v>
      </c>
      <c r="AC1124">
        <v>1.9687603226152001E-2</v>
      </c>
      <c r="AD1124">
        <v>2.2437114808084302</v>
      </c>
      <c r="AE1124">
        <v>0.63804173469543501</v>
      </c>
      <c r="AF1124">
        <v>1152.4938271604899</v>
      </c>
      <c r="AG1124">
        <f>IFERROR(AH1124*0.1, "N/A")</f>
        <v>5.9975308641975307</v>
      </c>
      <c r="AH1124">
        <v>59.975308641975303</v>
      </c>
      <c r="AI1124">
        <v>91.758418915763698</v>
      </c>
      <c r="AJ1124">
        <v>38</v>
      </c>
      <c r="AK1124">
        <v>44</v>
      </c>
    </row>
    <row r="1125" spans="1:37" x14ac:dyDescent="0.3">
      <c r="A1125">
        <v>1124</v>
      </c>
      <c r="B1125">
        <v>0</v>
      </c>
      <c r="C1125">
        <v>29.975300000000001</v>
      </c>
      <c r="D1125">
        <v>0.61560000000000004</v>
      </c>
      <c r="E1125" t="s">
        <v>1949</v>
      </c>
      <c r="F1125" t="s">
        <v>1950</v>
      </c>
      <c r="G1125" t="s">
        <v>37</v>
      </c>
      <c r="H1125">
        <v>2004</v>
      </c>
      <c r="I1125">
        <v>22.3922394478342</v>
      </c>
      <c r="J1125">
        <v>11.9781304280384</v>
      </c>
      <c r="K1125">
        <v>88</v>
      </c>
      <c r="L1125">
        <v>3.3420987297407998</v>
      </c>
      <c r="M1125">
        <v>29.492239829303902</v>
      </c>
      <c r="N1125">
        <v>15.9851851286711</v>
      </c>
      <c r="O1125">
        <v>13.5070547006328</v>
      </c>
      <c r="P1125">
        <v>22.1922404576862</v>
      </c>
      <c r="Q1125">
        <v>22.5141094012656</v>
      </c>
      <c r="R1125">
        <v>22.8922394478342</v>
      </c>
      <c r="S1125">
        <v>22.085185510140899</v>
      </c>
      <c r="T1125">
        <v>1314.0035273368601</v>
      </c>
      <c r="U1125">
        <v>156.225749559083</v>
      </c>
      <c r="V1125">
        <v>58.077601410934697</v>
      </c>
      <c r="W1125">
        <v>26</v>
      </c>
      <c r="X1125">
        <v>399.88183421516698</v>
      </c>
      <c r="Y1125">
        <v>207.37389770723101</v>
      </c>
      <c r="Z1125">
        <v>341.52204585537902</v>
      </c>
      <c r="AA1125">
        <v>330.57848324514998</v>
      </c>
      <c r="AB1125">
        <v>40.462602887834798</v>
      </c>
      <c r="AC1125">
        <v>1.3522034785275E-2</v>
      </c>
      <c r="AD1125">
        <v>7.3019572654098397</v>
      </c>
      <c r="AE1125">
        <v>0.50375980138778698</v>
      </c>
      <c r="AF1125">
        <v>1061.34038800705</v>
      </c>
      <c r="AG1125">
        <f>IFERROR(AH1125*0.1, "N/A")</f>
        <v>5.8913580246913604</v>
      </c>
      <c r="AH1125">
        <v>58.913580246913597</v>
      </c>
      <c r="AI1125">
        <v>111.45361848861501</v>
      </c>
      <c r="AJ1125">
        <v>37.507936507936499</v>
      </c>
      <c r="AK1125">
        <v>37.710758377425002</v>
      </c>
    </row>
    <row r="1126" spans="1:37" x14ac:dyDescent="0.3">
      <c r="A1126">
        <v>1125</v>
      </c>
      <c r="B1126">
        <v>1.5</v>
      </c>
      <c r="C1126">
        <v>33.599997999999999</v>
      </c>
      <c r="D1126">
        <v>0.63300000000000001</v>
      </c>
      <c r="E1126" t="s">
        <v>1951</v>
      </c>
      <c r="F1126" t="s">
        <v>1952</v>
      </c>
      <c r="G1126" t="s">
        <v>37</v>
      </c>
      <c r="H1126">
        <v>2004</v>
      </c>
      <c r="I1126">
        <v>22.6229281585263</v>
      </c>
      <c r="J1126">
        <v>11.8999996185303</v>
      </c>
      <c r="K1126">
        <v>83.5520282186949</v>
      </c>
      <c r="L1126">
        <v>6.0661022465485503</v>
      </c>
      <c r="M1126">
        <v>30.322927014117099</v>
      </c>
      <c r="N1126">
        <v>16.178131190977801</v>
      </c>
      <c r="O1126">
        <v>14.1447973032687</v>
      </c>
      <c r="P1126">
        <v>22.9259256433558</v>
      </c>
      <c r="Q1126">
        <v>23.1229281585263</v>
      </c>
      <c r="R1126">
        <v>23.404056071394098</v>
      </c>
      <c r="S1126">
        <v>21.722928102685</v>
      </c>
      <c r="T1126">
        <v>1333.2010582010601</v>
      </c>
      <c r="U1126">
        <v>202.552028218695</v>
      </c>
      <c r="V1126">
        <v>50.740740740740698</v>
      </c>
      <c r="W1126">
        <v>37</v>
      </c>
      <c r="X1126">
        <v>486.33333333333297</v>
      </c>
      <c r="Y1126">
        <v>192.74074074074099</v>
      </c>
      <c r="Z1126">
        <v>239.48148148148101</v>
      </c>
      <c r="AA1126">
        <v>273</v>
      </c>
      <c r="AB1126">
        <v>34.015859667796498</v>
      </c>
      <c r="AC1126">
        <v>1.4426472279813E-2</v>
      </c>
      <c r="AD1126">
        <v>1.5564772363693</v>
      </c>
      <c r="AE1126">
        <v>0.71029567718505904</v>
      </c>
      <c r="AF1126">
        <v>1124.9805996472701</v>
      </c>
      <c r="AG1126">
        <f>IFERROR(AH1126*0.1, "N/A")</f>
        <v>5.99470899470899</v>
      </c>
      <c r="AH1126">
        <v>59.9470899470899</v>
      </c>
      <c r="AI1126">
        <v>91.504566266633404</v>
      </c>
      <c r="AJ1126">
        <v>35.668430335097</v>
      </c>
      <c r="AK1126">
        <v>47.3350970017637</v>
      </c>
    </row>
    <row r="1127" spans="1:37" x14ac:dyDescent="0.3">
      <c r="A1127">
        <v>1126</v>
      </c>
      <c r="B1127">
        <v>0</v>
      </c>
      <c r="C1127">
        <v>33.283901</v>
      </c>
      <c r="D1127">
        <v>0.64790000000000003</v>
      </c>
      <c r="E1127" t="s">
        <v>1953</v>
      </c>
      <c r="F1127" t="s">
        <v>1954</v>
      </c>
      <c r="G1127" t="s">
        <v>37</v>
      </c>
      <c r="H1127">
        <v>2004</v>
      </c>
      <c r="I1127">
        <v>22.0142355551829</v>
      </c>
      <c r="J1127">
        <v>11.8142356101574</v>
      </c>
      <c r="K1127">
        <v>84</v>
      </c>
      <c r="L1127">
        <v>5.2540947288955699</v>
      </c>
      <c r="M1127">
        <v>29.414235173713099</v>
      </c>
      <c r="N1127">
        <v>15.4857644448171</v>
      </c>
      <c r="O1127">
        <v>13.928470728896</v>
      </c>
      <c r="P1127">
        <v>22.399999618530298</v>
      </c>
      <c r="Q1127">
        <v>22.314234792243401</v>
      </c>
      <c r="R1127">
        <v>22.614235936652602</v>
      </c>
      <c r="S1127">
        <v>21.200000762939499</v>
      </c>
      <c r="T1127">
        <v>1297.2917398945499</v>
      </c>
      <c r="U1127">
        <v>192.85764499121299</v>
      </c>
      <c r="V1127">
        <v>48.857644991212702</v>
      </c>
      <c r="W1127">
        <v>37</v>
      </c>
      <c r="X1127">
        <v>457.43057996485101</v>
      </c>
      <c r="Y1127">
        <v>185.85764499121299</v>
      </c>
      <c r="Z1127">
        <v>230.57293497363801</v>
      </c>
      <c r="AA1127">
        <v>263.57293497363798</v>
      </c>
      <c r="AB1127">
        <v>13.0108970816399</v>
      </c>
      <c r="AC1127">
        <v>9.7099877798991999E-2</v>
      </c>
      <c r="AD1127">
        <v>2.1965843870685902</v>
      </c>
      <c r="AE1127">
        <v>0.68353717178368201</v>
      </c>
      <c r="AF1127">
        <v>1180.13708260105</v>
      </c>
      <c r="AG1127">
        <f>IFERROR(AH1127*0.1, "N/A")</f>
        <v>6.0284710017574703</v>
      </c>
      <c r="AH1127">
        <v>60.284710017574703</v>
      </c>
      <c r="AI1127">
        <v>234.847348312083</v>
      </c>
      <c r="AJ1127">
        <v>40.142355008787398</v>
      </c>
      <c r="AK1127">
        <v>41</v>
      </c>
    </row>
    <row r="1128" spans="1:37" x14ac:dyDescent="0.3">
      <c r="A1128">
        <v>1127</v>
      </c>
      <c r="B1128">
        <v>1.5</v>
      </c>
      <c r="C1128">
        <v>30.0121</v>
      </c>
      <c r="D1128">
        <v>0.67061700000000002</v>
      </c>
      <c r="E1128" t="s">
        <v>1955</v>
      </c>
      <c r="F1128" t="s">
        <v>1956</v>
      </c>
      <c r="G1128" t="s">
        <v>37</v>
      </c>
      <c r="H1128">
        <v>2004</v>
      </c>
      <c r="I1128">
        <v>23.200000762939499</v>
      </c>
      <c r="J1128">
        <v>12.199999809265099</v>
      </c>
      <c r="K1128">
        <v>87</v>
      </c>
      <c r="L1128">
        <v>3.4000000953674299</v>
      </c>
      <c r="M1128">
        <v>30.5</v>
      </c>
      <c r="N1128">
        <v>16.600000381469702</v>
      </c>
      <c r="O1128">
        <v>13.8999996185303</v>
      </c>
      <c r="P1128">
        <v>23</v>
      </c>
      <c r="Q1128">
        <v>23.299999237060501</v>
      </c>
      <c r="R1128">
        <v>23.700000762939499</v>
      </c>
      <c r="S1128">
        <v>22.899999618530298</v>
      </c>
      <c r="T1128">
        <v>1253</v>
      </c>
      <c r="U1128">
        <v>145</v>
      </c>
      <c r="V1128">
        <v>52</v>
      </c>
      <c r="W1128">
        <v>27</v>
      </c>
      <c r="X1128">
        <v>385</v>
      </c>
      <c r="Y1128">
        <v>192</v>
      </c>
      <c r="Z1128">
        <v>323</v>
      </c>
      <c r="AA1128">
        <v>335</v>
      </c>
      <c r="AB1128">
        <v>36.493459765452798</v>
      </c>
      <c r="AC1128">
        <v>8.6829539559239999E-3</v>
      </c>
      <c r="AD1128">
        <v>3.84859526283527</v>
      </c>
      <c r="AE1128">
        <v>0.66893351078033403</v>
      </c>
      <c r="AF1128">
        <v>904.59611992945304</v>
      </c>
      <c r="AG1128">
        <f>IFERROR(AH1128*0.1, "N/A")</f>
        <v>6.02257495590829</v>
      </c>
      <c r="AH1128">
        <v>60.2257495590829</v>
      </c>
      <c r="AI1128">
        <v>213.201613868565</v>
      </c>
      <c r="AJ1128">
        <v>40.045855379188701</v>
      </c>
      <c r="AK1128">
        <v>37.841269841269799</v>
      </c>
    </row>
    <row r="1129" spans="1:37" x14ac:dyDescent="0.3">
      <c r="A1129">
        <v>1128</v>
      </c>
      <c r="B1129">
        <v>0</v>
      </c>
      <c r="C1129">
        <v>30.271999000000001</v>
      </c>
      <c r="D1129">
        <v>0.67500000000000004</v>
      </c>
      <c r="E1129" t="s">
        <v>1957</v>
      </c>
      <c r="F1129" t="s">
        <v>1958</v>
      </c>
      <c r="G1129" t="s">
        <v>37</v>
      </c>
      <c r="H1129">
        <v>2004</v>
      </c>
      <c r="I1129">
        <v>19.037258490108201</v>
      </c>
      <c r="J1129">
        <v>12.1000003814697</v>
      </c>
      <c r="K1129">
        <v>84</v>
      </c>
      <c r="L1129">
        <v>4.0765731447819897</v>
      </c>
      <c r="M1129">
        <v>26.5186292450541</v>
      </c>
      <c r="N1129">
        <v>12.118629448862199</v>
      </c>
      <c r="O1129">
        <v>14.3999996185303</v>
      </c>
      <c r="P1129">
        <v>18.818628482114701</v>
      </c>
      <c r="Q1129">
        <v>19.118629626523798</v>
      </c>
      <c r="R1129">
        <v>19.618629626523798</v>
      </c>
      <c r="S1129">
        <v>18.537258490108201</v>
      </c>
      <c r="T1129">
        <v>1465.5096660808399</v>
      </c>
      <c r="U1129">
        <v>213.81370826010499</v>
      </c>
      <c r="V1129">
        <v>48</v>
      </c>
      <c r="W1129">
        <v>42</v>
      </c>
      <c r="X1129">
        <v>550.44112478031604</v>
      </c>
      <c r="Y1129">
        <v>200.18629173989501</v>
      </c>
      <c r="Z1129">
        <v>391.254833040422</v>
      </c>
      <c r="AA1129">
        <v>260.81370826010499</v>
      </c>
      <c r="AB1129">
        <v>1.7961172630162601</v>
      </c>
      <c r="AC1129">
        <v>1.41147013062935</v>
      </c>
      <c r="AD1129">
        <v>2.2892807003483799</v>
      </c>
      <c r="AE1129">
        <v>0.66849542041235499</v>
      </c>
      <c r="AF1129">
        <v>1515.8242530755699</v>
      </c>
      <c r="AG1129">
        <f>IFERROR(AH1129*0.1, "N/A")</f>
        <v>5.5</v>
      </c>
      <c r="AH1129">
        <v>55</v>
      </c>
      <c r="AI1129">
        <v>201.58475999882401</v>
      </c>
      <c r="AJ1129">
        <v>41</v>
      </c>
      <c r="AK1129">
        <v>36</v>
      </c>
    </row>
    <row r="1130" spans="1:37" x14ac:dyDescent="0.3">
      <c r="A1130">
        <v>1129</v>
      </c>
      <c r="B1130">
        <v>0</v>
      </c>
      <c r="C1130">
        <v>30.0688</v>
      </c>
      <c r="D1130">
        <v>0.67663300000000004</v>
      </c>
      <c r="E1130" t="s">
        <v>1959</v>
      </c>
      <c r="F1130" t="s">
        <v>1960</v>
      </c>
      <c r="G1130" t="s">
        <v>37</v>
      </c>
      <c r="H1130">
        <v>2004</v>
      </c>
      <c r="I1130">
        <v>21.600000381469702</v>
      </c>
      <c r="J1130">
        <v>12</v>
      </c>
      <c r="K1130">
        <v>87</v>
      </c>
      <c r="L1130">
        <v>3.8199999332428001</v>
      </c>
      <c r="M1130">
        <v>28.799999237060501</v>
      </c>
      <c r="N1130">
        <v>15.1000003814697</v>
      </c>
      <c r="O1130">
        <v>13.699999809265099</v>
      </c>
      <c r="P1130">
        <v>21.299999237060501</v>
      </c>
      <c r="Q1130">
        <v>21.700000762939499</v>
      </c>
      <c r="R1130">
        <v>22.100000381469702</v>
      </c>
      <c r="S1130">
        <v>21.200000762939499</v>
      </c>
      <c r="T1130">
        <v>1354</v>
      </c>
      <c r="U1130">
        <v>166</v>
      </c>
      <c r="V1130">
        <v>61</v>
      </c>
      <c r="W1130">
        <v>28</v>
      </c>
      <c r="X1130">
        <v>414</v>
      </c>
      <c r="Y1130">
        <v>210</v>
      </c>
      <c r="Z1130">
        <v>356</v>
      </c>
      <c r="AA1130">
        <v>325</v>
      </c>
      <c r="AB1130">
        <v>44.599988779828898</v>
      </c>
      <c r="AC1130">
        <v>0.257875749347028</v>
      </c>
      <c r="AD1130">
        <v>5.5320223936506698</v>
      </c>
      <c r="AE1130">
        <v>0.52368468046188399</v>
      </c>
      <c r="AF1130">
        <v>1155.1405975395401</v>
      </c>
      <c r="AG1130">
        <f>IFERROR(AH1130*0.1, "N/A")</f>
        <v>5.4578207381370802</v>
      </c>
      <c r="AH1130">
        <v>54.578207381370802</v>
      </c>
      <c r="AI1130">
        <v>160.64837439743201</v>
      </c>
      <c r="AJ1130">
        <v>31.896309314587</v>
      </c>
      <c r="AK1130">
        <v>42.421792618629198</v>
      </c>
    </row>
    <row r="1131" spans="1:37" x14ac:dyDescent="0.3">
      <c r="A1131">
        <v>1130</v>
      </c>
      <c r="B1131">
        <v>0</v>
      </c>
      <c r="C1131">
        <v>33.366599999999998</v>
      </c>
      <c r="D1131">
        <v>0.68330000000000002</v>
      </c>
      <c r="E1131" t="s">
        <v>1961</v>
      </c>
      <c r="F1131" t="s">
        <v>1962</v>
      </c>
      <c r="G1131" t="s">
        <v>37</v>
      </c>
      <c r="H1131">
        <v>2004</v>
      </c>
      <c r="I1131">
        <v>22.254321221111098</v>
      </c>
      <c r="J1131">
        <v>11.8999996185303</v>
      </c>
      <c r="K1131">
        <v>84</v>
      </c>
      <c r="L1131">
        <v>5.7069839901394301</v>
      </c>
      <c r="M1131">
        <v>29.8156959459685</v>
      </c>
      <c r="N1131">
        <v>15.7156965181731</v>
      </c>
      <c r="O1131">
        <v>14.1000003814697</v>
      </c>
      <c r="P1131">
        <v>22.554321194872401</v>
      </c>
      <c r="Q1131">
        <v>22.654321276952299</v>
      </c>
      <c r="R1131">
        <v>22.9410932497162</v>
      </c>
      <c r="S1131">
        <v>21.415696327438202</v>
      </c>
      <c r="T1131">
        <v>1283.56084656085</v>
      </c>
      <c r="U1131">
        <v>189.613756613757</v>
      </c>
      <c r="V1131">
        <v>45</v>
      </c>
      <c r="W1131">
        <v>37</v>
      </c>
      <c r="X1131">
        <v>459.45679012345698</v>
      </c>
      <c r="Y1131">
        <v>176.72134038800701</v>
      </c>
      <c r="Z1131">
        <v>222.43209876543199</v>
      </c>
      <c r="AA1131">
        <v>269.80776014109301</v>
      </c>
      <c r="AB1131">
        <v>16.1384079275518</v>
      </c>
      <c r="AC1131">
        <v>8.8562891031803995E-2</v>
      </c>
      <c r="AD1131">
        <v>4.43113334258818</v>
      </c>
      <c r="AE1131">
        <v>0.57096707820892301</v>
      </c>
      <c r="AF1131">
        <v>1135.15520282187</v>
      </c>
      <c r="AG1131">
        <f>IFERROR(AH1131*0.1, "N/A")</f>
        <v>5.8373897707231004</v>
      </c>
      <c r="AH1131">
        <v>58.373897707231002</v>
      </c>
      <c r="AI1131">
        <v>99.713362826661907</v>
      </c>
      <c r="AJ1131">
        <v>37.2768959435626</v>
      </c>
      <c r="AK1131">
        <v>46.7231040564374</v>
      </c>
    </row>
    <row r="1132" spans="1:37" x14ac:dyDescent="0.3">
      <c r="A1132">
        <v>1131</v>
      </c>
      <c r="B1132">
        <v>0</v>
      </c>
      <c r="C1132">
        <v>32.922198999999999</v>
      </c>
      <c r="D1132">
        <v>0.68363300000000005</v>
      </c>
      <c r="E1132" t="s">
        <v>1963</v>
      </c>
      <c r="F1132" t="s">
        <v>1964</v>
      </c>
      <c r="G1132" t="s">
        <v>37</v>
      </c>
      <c r="H1132">
        <v>2004</v>
      </c>
      <c r="I1132">
        <v>22.247183141574101</v>
      </c>
      <c r="J1132">
        <v>11.699999809265099</v>
      </c>
      <c r="K1132">
        <v>83.528169014084497</v>
      </c>
      <c r="L1132">
        <v>5.4185210785395697</v>
      </c>
      <c r="M1132">
        <v>29.647183660050501</v>
      </c>
      <c r="N1132">
        <v>15.699999809265099</v>
      </c>
      <c r="O1132">
        <v>13.9471828971111</v>
      </c>
      <c r="P1132">
        <v>22.5471832785808</v>
      </c>
      <c r="Q1132">
        <v>22.647183660050501</v>
      </c>
      <c r="R1132">
        <v>22.8471825156413</v>
      </c>
      <c r="S1132">
        <v>21.447182897111102</v>
      </c>
      <c r="T1132">
        <v>1300.1690140845101</v>
      </c>
      <c r="U1132">
        <v>193</v>
      </c>
      <c r="V1132">
        <v>56.528169014084497</v>
      </c>
      <c r="W1132">
        <v>35</v>
      </c>
      <c r="X1132">
        <v>454.52816901408499</v>
      </c>
      <c r="Y1132">
        <v>211.52816901408499</v>
      </c>
      <c r="Z1132">
        <v>245.05633802816899</v>
      </c>
      <c r="AA1132">
        <v>249.05633802816899</v>
      </c>
      <c r="AB1132">
        <v>15.5142669677734</v>
      </c>
      <c r="AC1132">
        <v>1.3633481394106001E-2</v>
      </c>
      <c r="AD1132">
        <v>2.0095235499697699</v>
      </c>
      <c r="AE1132">
        <v>0.62315171957016002</v>
      </c>
      <c r="AF1132">
        <v>1079.8327464788699</v>
      </c>
      <c r="AG1132">
        <f>IFERROR(AH1132*0.1, "N/A")</f>
        <v>6</v>
      </c>
      <c r="AH1132">
        <v>60</v>
      </c>
      <c r="AI1132">
        <v>251.03590621411001</v>
      </c>
      <c r="AJ1132">
        <v>40</v>
      </c>
      <c r="AK1132">
        <v>42</v>
      </c>
    </row>
    <row r="1133" spans="1:37" x14ac:dyDescent="0.3">
      <c r="A1133">
        <v>1132</v>
      </c>
      <c r="B1133">
        <v>3</v>
      </c>
      <c r="C1133">
        <v>33.770000000000003</v>
      </c>
      <c r="D1133">
        <v>0.69</v>
      </c>
      <c r="E1133" t="s">
        <v>1965</v>
      </c>
      <c r="F1133" t="s">
        <v>1966</v>
      </c>
      <c r="G1133" t="s">
        <v>37</v>
      </c>
      <c r="H1133">
        <v>1987</v>
      </c>
      <c r="I1133">
        <v>22.899999618530298</v>
      </c>
      <c r="J1133">
        <v>12</v>
      </c>
      <c r="K1133">
        <v>83</v>
      </c>
      <c r="L1133">
        <v>5.9800000190734899</v>
      </c>
      <c r="M1133">
        <v>30.799999237060501</v>
      </c>
      <c r="N1133">
        <v>16.5</v>
      </c>
      <c r="O1133">
        <v>14.300000190734901</v>
      </c>
      <c r="P1133">
        <v>23.200000762939499</v>
      </c>
      <c r="Q1133">
        <v>23.399999618530298</v>
      </c>
      <c r="R1133">
        <v>23.700000762939499</v>
      </c>
      <c r="S1133">
        <v>22.100000381469702</v>
      </c>
      <c r="T1133">
        <v>1354</v>
      </c>
      <c r="U1133">
        <v>213</v>
      </c>
      <c r="V1133">
        <v>50</v>
      </c>
      <c r="W1133">
        <v>39</v>
      </c>
      <c r="X1133">
        <v>507</v>
      </c>
      <c r="Y1133">
        <v>195</v>
      </c>
      <c r="Z1133">
        <v>237</v>
      </c>
      <c r="AA1133">
        <v>288</v>
      </c>
      <c r="AB1133">
        <v>4.6087411816578499</v>
      </c>
      <c r="AC1133">
        <v>1.9672239701898998E-2</v>
      </c>
      <c r="AD1133">
        <v>2.4252667768712199</v>
      </c>
      <c r="AE1133">
        <v>0.71630793809890703</v>
      </c>
      <c r="AF1133">
        <v>1082.8589065255701</v>
      </c>
      <c r="AG1133">
        <f>IFERROR(AH1133*0.1, "N/A")</f>
        <v>6.0814814814814806</v>
      </c>
      <c r="AH1133">
        <v>60.814814814814802</v>
      </c>
      <c r="AI1133">
        <v>227.17757032283399</v>
      </c>
      <c r="AJ1133">
        <v>36.160493827160501</v>
      </c>
      <c r="AK1133">
        <v>45.419753086419803</v>
      </c>
    </row>
    <row r="1134" spans="1:37" x14ac:dyDescent="0.3">
      <c r="A1134">
        <v>1133</v>
      </c>
      <c r="B1134">
        <v>0</v>
      </c>
      <c r="C1134">
        <v>34.010601000000001</v>
      </c>
      <c r="D1134">
        <v>0.69260699999999997</v>
      </c>
      <c r="E1134" t="s">
        <v>1967</v>
      </c>
      <c r="F1134" t="s">
        <v>1968</v>
      </c>
      <c r="G1134" t="s">
        <v>37</v>
      </c>
      <c r="H1134">
        <v>2010</v>
      </c>
      <c r="I1134">
        <v>22.700000762939499</v>
      </c>
      <c r="J1134">
        <v>12.199999809265099</v>
      </c>
      <c r="K1134">
        <v>82</v>
      </c>
      <c r="L1134">
        <v>6.7800002098083496</v>
      </c>
      <c r="M1134">
        <v>30.799999237060501</v>
      </c>
      <c r="N1134">
        <v>16.100000381469702</v>
      </c>
      <c r="O1134">
        <v>14.699999809265099</v>
      </c>
      <c r="P1134">
        <v>23</v>
      </c>
      <c r="Q1134">
        <v>23.299999237060501</v>
      </c>
      <c r="R1134">
        <v>23.600000381469702</v>
      </c>
      <c r="S1134">
        <v>21.799999237060501</v>
      </c>
      <c r="T1134">
        <v>1392</v>
      </c>
      <c r="U1134">
        <v>218</v>
      </c>
      <c r="V1134">
        <v>54</v>
      </c>
      <c r="W1134">
        <v>37</v>
      </c>
      <c r="X1134">
        <v>512</v>
      </c>
      <c r="Y1134">
        <v>203</v>
      </c>
      <c r="Z1134">
        <v>244</v>
      </c>
      <c r="AA1134">
        <v>315</v>
      </c>
      <c r="AB1134">
        <v>31.660108837804799</v>
      </c>
      <c r="AC1134">
        <v>2.0444289609292E-2</v>
      </c>
      <c r="AD1134">
        <v>1.7032933255071601</v>
      </c>
      <c r="AE1134">
        <v>0.72395032644271895</v>
      </c>
      <c r="AF1134">
        <v>1157.9912126537799</v>
      </c>
      <c r="AG1134">
        <f>IFERROR(AH1134*0.1, "N/A")</f>
        <v>5.7833040421792603</v>
      </c>
      <c r="AH1134">
        <v>57.833040421792603</v>
      </c>
      <c r="AI1134">
        <v>274.38976986420801</v>
      </c>
      <c r="AJ1134">
        <v>31.574692442882199</v>
      </c>
      <c r="AK1134">
        <v>51.332161687170498</v>
      </c>
    </row>
    <row r="1135" spans="1:37" x14ac:dyDescent="0.3">
      <c r="A1135">
        <v>1134</v>
      </c>
      <c r="B1135">
        <v>0</v>
      </c>
      <c r="C1135">
        <v>32.901001000000001</v>
      </c>
      <c r="D1135">
        <v>0.70043299999999997</v>
      </c>
      <c r="E1135" t="s">
        <v>1969</v>
      </c>
      <c r="F1135" t="s">
        <v>1970</v>
      </c>
      <c r="G1135" t="s">
        <v>37</v>
      </c>
      <c r="H1135">
        <v>2004</v>
      </c>
      <c r="I1135">
        <v>22.203697889623498</v>
      </c>
      <c r="J1135">
        <v>11.796302993532599</v>
      </c>
      <c r="K1135">
        <v>83</v>
      </c>
      <c r="L1135">
        <v>5.34961281947687</v>
      </c>
      <c r="M1135">
        <v>29.607394705356</v>
      </c>
      <c r="N1135">
        <v>15.5110915563476</v>
      </c>
      <c r="O1135">
        <v>14.0963031842675</v>
      </c>
      <c r="P1135">
        <v>22.5036971972022</v>
      </c>
      <c r="Q1135">
        <v>22.511091521088499</v>
      </c>
      <c r="R1135">
        <v>22.711092284027998</v>
      </c>
      <c r="S1135">
        <v>21.403696815732498</v>
      </c>
      <c r="T1135">
        <v>1309.37147887324</v>
      </c>
      <c r="U1135">
        <v>193.963028169014</v>
      </c>
      <c r="V1135">
        <v>56.926056338028197</v>
      </c>
      <c r="W1135">
        <v>35</v>
      </c>
      <c r="X1135">
        <v>457.85211267605598</v>
      </c>
      <c r="Y1135">
        <v>210.88908450704201</v>
      </c>
      <c r="Z1135">
        <v>245.85211267605601</v>
      </c>
      <c r="AA1135">
        <v>251.85211267605601</v>
      </c>
      <c r="AB1135">
        <v>7.0545168594575296</v>
      </c>
      <c r="AC1135">
        <v>5.2502246908056001E-2</v>
      </c>
      <c r="AD1135">
        <v>2.62932436902758</v>
      </c>
      <c r="AE1135">
        <v>0.63199726660066902</v>
      </c>
      <c r="AF1135">
        <v>1070.51584507042</v>
      </c>
      <c r="AG1135">
        <f>IFERROR(AH1135*0.1, "N/A")</f>
        <v>5.9982394366197198</v>
      </c>
      <c r="AH1135">
        <v>59.982394366197198</v>
      </c>
      <c r="AI1135">
        <v>227.96184327568801</v>
      </c>
      <c r="AJ1135">
        <v>42.964788732394403</v>
      </c>
      <c r="AK1135">
        <v>39.0704225352113</v>
      </c>
    </row>
    <row r="1136" spans="1:37" x14ac:dyDescent="0.3">
      <c r="A1136">
        <v>1135</v>
      </c>
      <c r="B1136">
        <v>1.9</v>
      </c>
      <c r="C1136">
        <v>30.076799000000001</v>
      </c>
      <c r="D1136">
        <v>0.70894999999999997</v>
      </c>
      <c r="E1136" t="s">
        <v>1971</v>
      </c>
      <c r="F1136" t="s">
        <v>1972</v>
      </c>
      <c r="G1136" t="s">
        <v>37</v>
      </c>
      <c r="H1136">
        <v>2004</v>
      </c>
      <c r="I1136">
        <v>22.766140104594999</v>
      </c>
      <c r="J1136">
        <v>12.199999809265099</v>
      </c>
      <c r="K1136">
        <v>86</v>
      </c>
      <c r="L1136">
        <v>3.8099999427795401</v>
      </c>
      <c r="M1136">
        <v>30.0661406031826</v>
      </c>
      <c r="N1136">
        <v>15.9661402217129</v>
      </c>
      <c r="O1136">
        <v>14.1000003814697</v>
      </c>
      <c r="P1136">
        <v>22.5661406031826</v>
      </c>
      <c r="Q1136">
        <v>22.8661398402432</v>
      </c>
      <c r="R1136">
        <v>23.266140104594999</v>
      </c>
      <c r="S1136">
        <v>22.3661398402432</v>
      </c>
      <c r="T1136">
        <v>1266.7087719298199</v>
      </c>
      <c r="U1136">
        <v>148.67719298245601</v>
      </c>
      <c r="V1136">
        <v>54.338596491228103</v>
      </c>
      <c r="W1136">
        <v>27</v>
      </c>
      <c r="X1136">
        <v>387.33859649122797</v>
      </c>
      <c r="Y1136">
        <v>193.67719298245601</v>
      </c>
      <c r="Z1136">
        <v>328.01578947368398</v>
      </c>
      <c r="AA1136">
        <v>332.66140350877203</v>
      </c>
      <c r="AB1136">
        <v>33.871754750034299</v>
      </c>
      <c r="AC1136">
        <v>8.5472162812949993E-3</v>
      </c>
      <c r="AD1136">
        <v>1.76223251464074</v>
      </c>
      <c r="AE1136">
        <v>0.68106412887573198</v>
      </c>
      <c r="AF1136">
        <v>967.07894736842104</v>
      </c>
      <c r="AG1136">
        <f>IFERROR(AH1136*0.1, "N/A")</f>
        <v>5.4052631578947405</v>
      </c>
      <c r="AH1136">
        <v>54.052631578947398</v>
      </c>
      <c r="AI1136">
        <v>190.64187001010799</v>
      </c>
      <c r="AJ1136">
        <v>33.947368421052602</v>
      </c>
      <c r="AK1136">
        <v>43.052631578947398</v>
      </c>
    </row>
    <row r="1137" spans="1:37" x14ac:dyDescent="0.3">
      <c r="A1137">
        <v>1136</v>
      </c>
      <c r="B1137">
        <v>0</v>
      </c>
      <c r="C1137">
        <v>33.166598999999998</v>
      </c>
      <c r="D1137">
        <v>0.71660000000000001</v>
      </c>
      <c r="E1137" t="s">
        <v>1973</v>
      </c>
      <c r="F1137" t="s">
        <v>1974</v>
      </c>
      <c r="G1137" t="s">
        <v>37</v>
      </c>
      <c r="H1137">
        <v>2004</v>
      </c>
      <c r="I1137">
        <v>22.4132505524706</v>
      </c>
      <c r="J1137">
        <v>11.8999996185303</v>
      </c>
      <c r="K1137">
        <v>84</v>
      </c>
      <c r="L1137">
        <v>5.4987456158277404</v>
      </c>
      <c r="M1137">
        <v>29.9132505524706</v>
      </c>
      <c r="N1137">
        <v>15.8132509983049</v>
      </c>
      <c r="O1137">
        <v>14.1000003814697</v>
      </c>
      <c r="P1137">
        <v>22.7132514441392</v>
      </c>
      <c r="Q1137">
        <v>22.813250171000899</v>
      </c>
      <c r="R1137">
        <v>23.071378364158601</v>
      </c>
      <c r="S1137">
        <v>21.6132513154101</v>
      </c>
      <c r="T1137">
        <v>1194.9858657243799</v>
      </c>
      <c r="U1137">
        <v>175.45406360423999</v>
      </c>
      <c r="V1137">
        <v>43.418727915194303</v>
      </c>
      <c r="W1137">
        <v>37</v>
      </c>
      <c r="X1137">
        <v>418.90282685512398</v>
      </c>
      <c r="Y1137">
        <v>174.53710247349801</v>
      </c>
      <c r="Z1137">
        <v>205.70494699646599</v>
      </c>
      <c r="AA1137">
        <v>247.616607773852</v>
      </c>
      <c r="AB1137">
        <v>18.8614441564985</v>
      </c>
      <c r="AC1137">
        <v>1.3288935555915E-2</v>
      </c>
      <c r="AD1137">
        <v>1.38367958245766</v>
      </c>
      <c r="AE1137">
        <v>0.64997041225433305</v>
      </c>
      <c r="AF1137">
        <v>1085.85159010601</v>
      </c>
      <c r="AG1137">
        <f>IFERROR(AH1137*0.1, "N/A")</f>
        <v>6.05865724381625</v>
      </c>
      <c r="AH1137">
        <v>60.586572438162499</v>
      </c>
      <c r="AI1137">
        <v>233.13828150880599</v>
      </c>
      <c r="AJ1137">
        <v>45.512367491166103</v>
      </c>
      <c r="AK1137">
        <v>37.487632508833897</v>
      </c>
    </row>
    <row r="1138" spans="1:37" x14ac:dyDescent="0.3">
      <c r="A1138">
        <v>1137</v>
      </c>
      <c r="B1138">
        <v>7</v>
      </c>
      <c r="C1138">
        <v>30.054099999999998</v>
      </c>
      <c r="D1138">
        <v>0.76621700000000004</v>
      </c>
      <c r="E1138" t="s">
        <v>1975</v>
      </c>
      <c r="F1138" t="s">
        <v>1976</v>
      </c>
      <c r="G1138" t="s">
        <v>37</v>
      </c>
      <c r="H1138">
        <v>2004</v>
      </c>
      <c r="I1138">
        <v>23.9474514691398</v>
      </c>
      <c r="J1138">
        <v>12.247451659874701</v>
      </c>
      <c r="K1138">
        <v>86.474516695957803</v>
      </c>
      <c r="L1138">
        <v>3.8839192792694699</v>
      </c>
      <c r="M1138">
        <v>31.299999237060501</v>
      </c>
      <c r="N1138">
        <v>17.200000762939499</v>
      </c>
      <c r="O1138">
        <v>14.1000003814697</v>
      </c>
      <c r="P1138">
        <v>23.647452232079299</v>
      </c>
      <c r="Q1138">
        <v>24.100000381469702</v>
      </c>
      <c r="R1138">
        <v>24.5</v>
      </c>
      <c r="S1138">
        <v>23.547451850609502</v>
      </c>
      <c r="T1138">
        <v>1176.6274165202101</v>
      </c>
      <c r="U1138">
        <v>137</v>
      </c>
      <c r="V1138">
        <v>45</v>
      </c>
      <c r="W1138">
        <v>28</v>
      </c>
      <c r="X1138">
        <v>362.52548330404198</v>
      </c>
      <c r="Y1138">
        <v>172.050966608084</v>
      </c>
      <c r="Z1138">
        <v>302.05096660808402</v>
      </c>
      <c r="AA1138">
        <v>322</v>
      </c>
      <c r="AB1138">
        <v>31.099667835738401</v>
      </c>
      <c r="AC1138">
        <v>1.66586001055E-2</v>
      </c>
      <c r="AD1138">
        <v>2.0871711003549902</v>
      </c>
      <c r="AE1138">
        <v>0.692614507591368</v>
      </c>
      <c r="AF1138">
        <v>777.38488576449902</v>
      </c>
      <c r="AG1138">
        <f>IFERROR(AH1138*0.1, "N/A")</f>
        <v>6.1000000000000005</v>
      </c>
      <c r="AH1138">
        <v>61</v>
      </c>
      <c r="AI1138">
        <v>291.97762809444998</v>
      </c>
      <c r="AJ1138">
        <v>39.673110720562399</v>
      </c>
      <c r="AK1138">
        <v>38.237258347978901</v>
      </c>
    </row>
    <row r="1139" spans="1:37" x14ac:dyDescent="0.3">
      <c r="A1139">
        <v>1138</v>
      </c>
      <c r="B1139">
        <v>3.7</v>
      </c>
      <c r="C1139">
        <v>32.992198999999999</v>
      </c>
      <c r="D1139">
        <v>0.77963300000000002</v>
      </c>
      <c r="E1139" t="s">
        <v>1977</v>
      </c>
      <c r="F1139" t="s">
        <v>1978</v>
      </c>
      <c r="G1139" t="s">
        <v>37</v>
      </c>
      <c r="H1139">
        <v>2004</v>
      </c>
      <c r="I1139">
        <v>22.496825384715201</v>
      </c>
      <c r="J1139">
        <v>11.800000190734901</v>
      </c>
      <c r="K1139">
        <v>83</v>
      </c>
      <c r="L1139">
        <v>5.7109524106222498</v>
      </c>
      <c r="M1139">
        <v>29.996825384715301</v>
      </c>
      <c r="N1139">
        <v>15.7968255754501</v>
      </c>
      <c r="O1139">
        <v>14.199999809265099</v>
      </c>
      <c r="P1139">
        <v>22.796824682326498</v>
      </c>
      <c r="Q1139">
        <v>22.796824682326498</v>
      </c>
      <c r="R1139">
        <v>23.096825766184999</v>
      </c>
      <c r="S1139">
        <v>21.596825766184999</v>
      </c>
      <c r="T1139">
        <v>1259.3492063492099</v>
      </c>
      <c r="U1139">
        <v>189.031746031746</v>
      </c>
      <c r="V1139">
        <v>48.031746031746003</v>
      </c>
      <c r="W1139">
        <v>37</v>
      </c>
      <c r="X1139">
        <v>443.12698412698398</v>
      </c>
      <c r="Y1139">
        <v>184.09523809523799</v>
      </c>
      <c r="Z1139">
        <v>221.12698412698401</v>
      </c>
      <c r="AA1139">
        <v>257</v>
      </c>
      <c r="AB1139">
        <v>23.3529795490245</v>
      </c>
      <c r="AC1139">
        <v>1.0702695341114E-2</v>
      </c>
      <c r="AD1139">
        <v>1.94699055976128</v>
      </c>
      <c r="AE1139">
        <v>0.61294823884964</v>
      </c>
      <c r="AF1139">
        <v>1083.5238095238101</v>
      </c>
      <c r="AG1139">
        <f>IFERROR(AH1139*0.1, "N/A")</f>
        <v>6.2</v>
      </c>
      <c r="AH1139">
        <v>62</v>
      </c>
      <c r="AI1139">
        <v>147.45523654931</v>
      </c>
      <c r="AJ1139">
        <v>44.063492063492099</v>
      </c>
      <c r="AK1139">
        <v>37.968253968253997</v>
      </c>
    </row>
    <row r="1140" spans="1:37" x14ac:dyDescent="0.3">
      <c r="A1140">
        <v>1139</v>
      </c>
      <c r="B1140">
        <v>4.4000000000000004</v>
      </c>
      <c r="C1140">
        <v>30.110800000000001</v>
      </c>
      <c r="D1140">
        <v>0.80130000000000001</v>
      </c>
      <c r="E1140" t="s">
        <v>1979</v>
      </c>
      <c r="F1140" t="s">
        <v>1980</v>
      </c>
      <c r="G1140" t="s">
        <v>37</v>
      </c>
      <c r="H1140">
        <v>2004</v>
      </c>
      <c r="I1140">
        <v>24.299999237060501</v>
      </c>
      <c r="J1140">
        <v>12.300000190734901</v>
      </c>
      <c r="K1140">
        <v>86</v>
      </c>
      <c r="L1140">
        <v>4.0300002098083496</v>
      </c>
      <c r="M1140">
        <v>31.700000762939499</v>
      </c>
      <c r="N1140">
        <v>17.5</v>
      </c>
      <c r="O1140">
        <v>14.199999809265099</v>
      </c>
      <c r="P1140">
        <v>24</v>
      </c>
      <c r="Q1140">
        <v>24.399999618530298</v>
      </c>
      <c r="R1140">
        <v>24.799999237060501</v>
      </c>
      <c r="S1140">
        <v>23.799999237060501</v>
      </c>
      <c r="T1140">
        <v>1129</v>
      </c>
      <c r="U1140">
        <v>136</v>
      </c>
      <c r="V1140">
        <v>41</v>
      </c>
      <c r="W1140">
        <v>29</v>
      </c>
      <c r="X1140">
        <v>346</v>
      </c>
      <c r="Y1140">
        <v>159</v>
      </c>
      <c r="Z1140">
        <v>290</v>
      </c>
      <c r="AA1140">
        <v>309</v>
      </c>
      <c r="AB1140">
        <v>6.4071819681516802</v>
      </c>
      <c r="AC1140">
        <v>3.9575334995801001E-2</v>
      </c>
      <c r="AD1140">
        <v>3.54118785409021</v>
      </c>
      <c r="AE1140">
        <v>0.67793577909469604</v>
      </c>
      <c r="AF1140">
        <v>715.38380281690104</v>
      </c>
      <c r="AG1140">
        <f>IFERROR(AH1140*0.1, "N/A")</f>
        <v>6.0859154929577501</v>
      </c>
      <c r="AH1140">
        <v>60.8591549295775</v>
      </c>
      <c r="AI1140">
        <v>110.50460733158501</v>
      </c>
      <c r="AJ1140">
        <v>39.690140845070403</v>
      </c>
      <c r="AK1140">
        <v>36.447183098591601</v>
      </c>
    </row>
    <row r="1141" spans="1:37" x14ac:dyDescent="0.3">
      <c r="A1141">
        <v>1140</v>
      </c>
      <c r="B1141">
        <v>1.6</v>
      </c>
      <c r="C1141">
        <v>33.018700000000003</v>
      </c>
      <c r="D1141">
        <v>0.80345</v>
      </c>
      <c r="E1141" t="s">
        <v>1981</v>
      </c>
      <c r="F1141" t="s">
        <v>1982</v>
      </c>
      <c r="G1141" t="s">
        <v>37</v>
      </c>
      <c r="H1141">
        <v>2004</v>
      </c>
      <c r="I1141">
        <v>22.399999618530298</v>
      </c>
      <c r="J1141">
        <v>11.8999996185303</v>
      </c>
      <c r="K1141">
        <v>83</v>
      </c>
      <c r="L1141">
        <v>5.8200001716613796</v>
      </c>
      <c r="M1141">
        <v>30</v>
      </c>
      <c r="N1141">
        <v>15.800000190734901</v>
      </c>
      <c r="O1141">
        <v>14.199999809265099</v>
      </c>
      <c r="P1141">
        <v>22.700000762939499</v>
      </c>
      <c r="Q1141">
        <v>22.799999237060501</v>
      </c>
      <c r="R1141">
        <v>23.100000381469702</v>
      </c>
      <c r="S1141">
        <v>21.600000381469702</v>
      </c>
      <c r="T1141">
        <v>1250</v>
      </c>
      <c r="U1141">
        <v>188</v>
      </c>
      <c r="V1141">
        <v>45</v>
      </c>
      <c r="W1141">
        <v>37</v>
      </c>
      <c r="X1141">
        <v>441</v>
      </c>
      <c r="Y1141">
        <v>176</v>
      </c>
      <c r="Z1141">
        <v>214</v>
      </c>
      <c r="AA1141">
        <v>260</v>
      </c>
      <c r="AB1141">
        <v>20.6155523606289</v>
      </c>
      <c r="AC1141">
        <v>1.4757576229368999E-2</v>
      </c>
      <c r="AD1141">
        <v>2.3858439054018201</v>
      </c>
      <c r="AE1141">
        <v>0.64794647693634</v>
      </c>
      <c r="AF1141">
        <v>1071.97707231041</v>
      </c>
      <c r="AG1141">
        <f>IFERROR(AH1141*0.1, "N/A")</f>
        <v>6.0705467372134008</v>
      </c>
      <c r="AH1141">
        <v>60.705467372134002</v>
      </c>
      <c r="AI1141">
        <v>130.46175149719099</v>
      </c>
      <c r="AJ1141">
        <v>45.0017636684303</v>
      </c>
      <c r="AK1141">
        <v>38.703703703703702</v>
      </c>
    </row>
    <row r="1142" spans="1:37" x14ac:dyDescent="0.3">
      <c r="A1142">
        <v>1141</v>
      </c>
      <c r="B1142">
        <v>1.4</v>
      </c>
      <c r="C1142">
        <v>32.632998999999998</v>
      </c>
      <c r="D1142">
        <v>0.83299999999999996</v>
      </c>
      <c r="E1142" t="s">
        <v>1983</v>
      </c>
      <c r="F1142" t="s">
        <v>1984</v>
      </c>
      <c r="G1142" t="s">
        <v>37</v>
      </c>
      <c r="H1142">
        <v>2004</v>
      </c>
      <c r="I1142">
        <v>22.200000762939499</v>
      </c>
      <c r="J1142">
        <v>11.8072311899229</v>
      </c>
      <c r="K1142">
        <v>83</v>
      </c>
      <c r="L1142">
        <v>5.5139683567026898</v>
      </c>
      <c r="M1142">
        <v>29.799999237060501</v>
      </c>
      <c r="N1142">
        <v>15.592769313321099</v>
      </c>
      <c r="O1142">
        <v>14.2072308774137</v>
      </c>
      <c r="P1142">
        <v>22.441445984747901</v>
      </c>
      <c r="Q1142">
        <v>22.600000381469702</v>
      </c>
      <c r="R1142">
        <v>22.799999237060501</v>
      </c>
      <c r="S1142">
        <v>21.299999237060501</v>
      </c>
      <c r="T1142">
        <v>1250.0758377425</v>
      </c>
      <c r="U1142">
        <v>175.83421516754899</v>
      </c>
      <c r="V1142">
        <v>42.966490299823597</v>
      </c>
      <c r="W1142">
        <v>36</v>
      </c>
      <c r="X1142">
        <v>424.21516754850097</v>
      </c>
      <c r="Y1142">
        <v>186.27513227513199</v>
      </c>
      <c r="Z1142">
        <v>215.347442680776</v>
      </c>
      <c r="AA1142">
        <v>249.038800705467</v>
      </c>
      <c r="AB1142">
        <v>17.284113592992199</v>
      </c>
      <c r="AC1142">
        <v>5.1025571694148002E-2</v>
      </c>
      <c r="AD1142">
        <v>1.16199512855927</v>
      </c>
      <c r="AE1142">
        <v>0.63185453414917003</v>
      </c>
      <c r="AF1142">
        <v>1104.98765432099</v>
      </c>
      <c r="AG1142">
        <f>IFERROR(AH1142*0.1, "N/A")</f>
        <v>5.9</v>
      </c>
      <c r="AH1142">
        <v>59</v>
      </c>
      <c r="AI1142">
        <v>138.99107716070901</v>
      </c>
      <c r="AJ1142">
        <v>43</v>
      </c>
      <c r="AK1142">
        <v>39</v>
      </c>
    </row>
    <row r="1143" spans="1:37" x14ac:dyDescent="0.3">
      <c r="A1143">
        <v>1142</v>
      </c>
      <c r="B1143">
        <v>0</v>
      </c>
      <c r="C1143">
        <v>32.957199000000003</v>
      </c>
      <c r="D1143">
        <v>0.84089999999999998</v>
      </c>
      <c r="E1143" t="s">
        <v>1985</v>
      </c>
      <c r="F1143" t="s">
        <v>1986</v>
      </c>
      <c r="G1143" t="s">
        <v>37</v>
      </c>
      <c r="H1143">
        <v>2004</v>
      </c>
      <c r="I1143">
        <v>22.299999237060501</v>
      </c>
      <c r="J1143">
        <v>11.8999996185303</v>
      </c>
      <c r="K1143">
        <v>83</v>
      </c>
      <c r="L1143">
        <v>5.5313405948551404</v>
      </c>
      <c r="M1143">
        <v>29.999294529936702</v>
      </c>
      <c r="N1143">
        <v>15.7992947206716</v>
      </c>
      <c r="O1143">
        <v>14.199999809265099</v>
      </c>
      <c r="P1143">
        <v>22.600705851533</v>
      </c>
      <c r="Q1143">
        <v>22.799293780452999</v>
      </c>
      <c r="R1143">
        <v>23</v>
      </c>
      <c r="S1143">
        <v>21.5</v>
      </c>
      <c r="T1143">
        <v>1281.02821869489</v>
      </c>
      <c r="U1143">
        <v>194.007054673721</v>
      </c>
      <c r="V1143">
        <v>45.992945326278701</v>
      </c>
      <c r="W1143">
        <v>38</v>
      </c>
      <c r="X1143">
        <v>456.021164021164</v>
      </c>
      <c r="Y1143">
        <v>179.992945326279</v>
      </c>
      <c r="Z1143">
        <v>223</v>
      </c>
      <c r="AA1143">
        <v>261.00705467372097</v>
      </c>
      <c r="AB1143">
        <v>19.386578379905199</v>
      </c>
      <c r="AC1143">
        <v>2.8550140827408001E-2</v>
      </c>
      <c r="AD1143">
        <v>1.49837329925894</v>
      </c>
      <c r="AE1143">
        <v>0.56505453586578402</v>
      </c>
      <c r="AF1143">
        <v>1079.86243386243</v>
      </c>
      <c r="AG1143">
        <f>IFERROR(AH1143*0.1, "N/A")</f>
        <v>6</v>
      </c>
      <c r="AH1143">
        <v>60</v>
      </c>
      <c r="AI1143">
        <v>102.838486188724</v>
      </c>
      <c r="AJ1143">
        <v>44.580246913580297</v>
      </c>
      <c r="AK1143">
        <v>39.398589065255699</v>
      </c>
    </row>
    <row r="1144" spans="1:37" x14ac:dyDescent="0.3">
      <c r="A1144">
        <v>1143</v>
      </c>
      <c r="B1144">
        <v>12.9</v>
      </c>
      <c r="C1144">
        <v>34.150002000000001</v>
      </c>
      <c r="D1144">
        <v>0.85</v>
      </c>
      <c r="E1144" t="s">
        <v>1987</v>
      </c>
      <c r="F1144" t="s">
        <v>1988</v>
      </c>
      <c r="G1144" t="s">
        <v>37</v>
      </c>
      <c r="H1144">
        <v>2004</v>
      </c>
      <c r="I1144">
        <v>22.885764063347398</v>
      </c>
      <c r="J1144">
        <v>12.5</v>
      </c>
      <c r="K1144">
        <v>82</v>
      </c>
      <c r="L1144">
        <v>7.12599303810374</v>
      </c>
      <c r="M1144">
        <v>31.285763953398298</v>
      </c>
      <c r="N1144">
        <v>16.185765207756599</v>
      </c>
      <c r="O1144">
        <v>15.1000003814697</v>
      </c>
      <c r="P1144">
        <v>22.6115997227298</v>
      </c>
      <c r="Q1144">
        <v>23.585764826286901</v>
      </c>
      <c r="R1144">
        <v>23.885764063347398</v>
      </c>
      <c r="S1144">
        <v>21.9857644448171</v>
      </c>
      <c r="T1144">
        <v>1179.3989455184501</v>
      </c>
      <c r="U1144">
        <v>164.537785588752</v>
      </c>
      <c r="V1144">
        <v>39.142355008787298</v>
      </c>
      <c r="W1144">
        <v>34</v>
      </c>
      <c r="X1144">
        <v>416.10193321616902</v>
      </c>
      <c r="Y1144">
        <v>164.353251318102</v>
      </c>
      <c r="Z1144">
        <v>199.23725834797901</v>
      </c>
      <c r="AA1144">
        <v>306.495606326889</v>
      </c>
      <c r="AB1144">
        <v>22.192646261258801</v>
      </c>
      <c r="AC1144">
        <v>1.8040193156429001E-2</v>
      </c>
      <c r="AD1144">
        <v>1.6953742929418401</v>
      </c>
      <c r="AE1144">
        <v>0.73620200157165505</v>
      </c>
      <c r="AF1144">
        <v>1144.79789103691</v>
      </c>
      <c r="AG1144">
        <f>IFERROR(AH1144*0.1, "N/A")</f>
        <v>5.8578207381370806</v>
      </c>
      <c r="AH1144">
        <v>58.578207381370802</v>
      </c>
      <c r="AI1144">
        <v>212.53912289155201</v>
      </c>
      <c r="AJ1144">
        <v>31</v>
      </c>
      <c r="AK1144">
        <v>52.210896309314599</v>
      </c>
    </row>
    <row r="1145" spans="1:37" x14ac:dyDescent="0.3">
      <c r="A1145">
        <v>1144</v>
      </c>
      <c r="B1145">
        <v>0</v>
      </c>
      <c r="C1145">
        <v>32.865299</v>
      </c>
      <c r="D1145">
        <v>0.89003299999999996</v>
      </c>
      <c r="E1145" t="s">
        <v>1989</v>
      </c>
      <c r="F1145" t="s">
        <v>1990</v>
      </c>
      <c r="G1145" t="s">
        <v>37</v>
      </c>
      <c r="H1145">
        <v>2004</v>
      </c>
      <c r="I1145">
        <v>22.399999618530298</v>
      </c>
      <c r="J1145">
        <v>11.8999996185303</v>
      </c>
      <c r="K1145">
        <v>83</v>
      </c>
      <c r="L1145">
        <v>5.71000003814697</v>
      </c>
      <c r="M1145">
        <v>30.200000762939499</v>
      </c>
      <c r="N1145">
        <v>15.8999996185303</v>
      </c>
      <c r="O1145">
        <v>14.300000190734901</v>
      </c>
      <c r="P1145">
        <v>22.700000762939499</v>
      </c>
      <c r="Q1145">
        <v>22.899999618530298</v>
      </c>
      <c r="R1145">
        <v>23.100000381469702</v>
      </c>
      <c r="S1145">
        <v>21.600000381469702</v>
      </c>
      <c r="T1145">
        <v>1281</v>
      </c>
      <c r="U1145">
        <v>195</v>
      </c>
      <c r="V1145">
        <v>43</v>
      </c>
      <c r="W1145">
        <v>39</v>
      </c>
      <c r="X1145">
        <v>460</v>
      </c>
      <c r="Y1145">
        <v>175</v>
      </c>
      <c r="Z1145">
        <v>221</v>
      </c>
      <c r="AA1145">
        <v>259</v>
      </c>
      <c r="AB1145">
        <v>19.782210229148301</v>
      </c>
      <c r="AC1145">
        <v>1.6160759099260999E-2</v>
      </c>
      <c r="AD1145">
        <v>1.7065206680079601</v>
      </c>
      <c r="AE1145">
        <v>0.65075609717570504</v>
      </c>
      <c r="AF1145">
        <v>1069.64084507042</v>
      </c>
      <c r="AG1145">
        <f>IFERROR(AH1145*0.1, "N/A")</f>
        <v>6.1862676056338008</v>
      </c>
      <c r="AH1145">
        <v>61.862676056338003</v>
      </c>
      <c r="AI1145">
        <v>237.917646649858</v>
      </c>
      <c r="AJ1145">
        <v>45</v>
      </c>
      <c r="AK1145">
        <v>37.862676056338003</v>
      </c>
    </row>
    <row r="1146" spans="1:37" x14ac:dyDescent="0.3">
      <c r="A1146">
        <v>1145</v>
      </c>
      <c r="B1146">
        <v>0</v>
      </c>
      <c r="C1146">
        <v>30.616599999999998</v>
      </c>
      <c r="D1146">
        <v>0.91659999999999997</v>
      </c>
      <c r="E1146" t="s">
        <v>1991</v>
      </c>
      <c r="F1146" t="s">
        <v>1992</v>
      </c>
      <c r="G1146" t="s">
        <v>37</v>
      </c>
      <c r="H1146">
        <v>2004</v>
      </c>
      <c r="I1146">
        <v>21.477464390472601</v>
      </c>
      <c r="J1146">
        <v>11.8999996185303</v>
      </c>
      <c r="K1146">
        <v>84</v>
      </c>
      <c r="L1146">
        <v>5.1937850973975497</v>
      </c>
      <c r="M1146">
        <v>29.101408525252001</v>
      </c>
      <c r="N1146">
        <v>15.0014082999297</v>
      </c>
      <c r="O1146">
        <v>14.1000003814697</v>
      </c>
      <c r="P1146">
        <v>21.201408792549501</v>
      </c>
      <c r="Q1146">
        <v>21.855105081074701</v>
      </c>
      <c r="R1146">
        <v>22.171479215084702</v>
      </c>
      <c r="S1146">
        <v>20.8073946556575</v>
      </c>
      <c r="T1146">
        <v>1271.0440140845101</v>
      </c>
      <c r="U1146">
        <v>168.38908450704201</v>
      </c>
      <c r="V1146">
        <v>36.075704225352098</v>
      </c>
      <c r="W1146">
        <v>40.776408450704203</v>
      </c>
      <c r="X1146">
        <v>445.14084507042202</v>
      </c>
      <c r="Y1146">
        <v>147.98767605633799</v>
      </c>
      <c r="Z1146">
        <v>229.591549295775</v>
      </c>
      <c r="AA1146">
        <v>305.89084507042298</v>
      </c>
      <c r="AB1146">
        <v>94.790006610709199</v>
      </c>
      <c r="AC1146">
        <v>1.2383808660595999E-2</v>
      </c>
      <c r="AD1146">
        <v>10.8784463615485</v>
      </c>
      <c r="AE1146">
        <v>0.44308614730835</v>
      </c>
      <c r="AF1146">
        <v>1253.3661971831</v>
      </c>
      <c r="AG1146">
        <f>IFERROR(AH1146*0.1, "N/A")</f>
        <v>5.6580985915493009</v>
      </c>
      <c r="AH1146">
        <v>56.580985915493002</v>
      </c>
      <c r="AI1146">
        <v>151.85808666659099</v>
      </c>
      <c r="AJ1146">
        <v>39.880281690140798</v>
      </c>
      <c r="AK1146">
        <v>36.059859154929597</v>
      </c>
    </row>
    <row r="1147" spans="1:37" x14ac:dyDescent="0.3">
      <c r="A1147">
        <v>1146</v>
      </c>
      <c r="B1147">
        <v>10.8</v>
      </c>
      <c r="C1147">
        <v>30.566500000000001</v>
      </c>
      <c r="D1147">
        <v>0.95108300000000001</v>
      </c>
      <c r="E1147" t="s">
        <v>1993</v>
      </c>
      <c r="F1147" t="s">
        <v>1994</v>
      </c>
      <c r="G1147" t="s">
        <v>37</v>
      </c>
      <c r="H1147">
        <v>2004</v>
      </c>
      <c r="I1147">
        <v>21.9031630752376</v>
      </c>
      <c r="J1147">
        <v>11.915113911687399</v>
      </c>
      <c r="K1147">
        <v>83.270650263620396</v>
      </c>
      <c r="L1147">
        <v>5.1275569961024896</v>
      </c>
      <c r="M1147">
        <v>29.603163838177</v>
      </c>
      <c r="N1147">
        <v>15.415113911687399</v>
      </c>
      <c r="O1147">
        <v>14.188049086787</v>
      </c>
      <c r="P1147">
        <v>21.615114674626799</v>
      </c>
      <c r="Q1147">
        <v>22.303162693767899</v>
      </c>
      <c r="R1147">
        <v>22.603163838177</v>
      </c>
      <c r="S1147">
        <v>21.303162693767799</v>
      </c>
      <c r="T1147">
        <v>1226.4446397188101</v>
      </c>
      <c r="U1147">
        <v>161.96836555360301</v>
      </c>
      <c r="V1147">
        <v>36</v>
      </c>
      <c r="W1147">
        <v>39</v>
      </c>
      <c r="X1147">
        <v>418.72231985940198</v>
      </c>
      <c r="Y1147">
        <v>145</v>
      </c>
      <c r="Z1147">
        <v>209.02636203866399</v>
      </c>
      <c r="AA1147">
        <v>278.97891036906901</v>
      </c>
      <c r="AB1147">
        <v>9.4889415881755301</v>
      </c>
      <c r="AC1147">
        <v>0.14358173189635601</v>
      </c>
      <c r="AD1147">
        <v>2.3404314124102301</v>
      </c>
      <c r="AE1147">
        <v>0.35409083962440502</v>
      </c>
      <c r="AF1147">
        <v>1124.48681898067</v>
      </c>
      <c r="AG1147">
        <f>IFERROR(AH1147*0.1, "N/A")</f>
        <v>5.5803163444639701</v>
      </c>
      <c r="AH1147">
        <v>55.803163444639701</v>
      </c>
      <c r="AI1147">
        <v>286.75031287221799</v>
      </c>
      <c r="AJ1147">
        <v>38.038664323374299</v>
      </c>
      <c r="AK1147">
        <v>38.061511423550101</v>
      </c>
    </row>
    <row r="1148" spans="1:37" x14ac:dyDescent="0.3">
      <c r="A1148">
        <v>1147</v>
      </c>
      <c r="B1148">
        <v>7.4</v>
      </c>
      <c r="C1148">
        <v>34.056598999999999</v>
      </c>
      <c r="D1148">
        <v>0.96371300000000004</v>
      </c>
      <c r="E1148" t="s">
        <v>1995</v>
      </c>
      <c r="F1148" t="s">
        <v>1996</v>
      </c>
      <c r="G1148" t="s">
        <v>37</v>
      </c>
      <c r="H1148">
        <v>1994</v>
      </c>
      <c r="I1148">
        <v>23.100000381469702</v>
      </c>
      <c r="J1148">
        <v>12.5</v>
      </c>
      <c r="K1148">
        <v>81</v>
      </c>
      <c r="L1148">
        <v>7.1700000762939498</v>
      </c>
      <c r="M1148">
        <v>31.700000762939499</v>
      </c>
      <c r="N1148">
        <v>16.399999618530298</v>
      </c>
      <c r="O1148">
        <v>15.300000190734901</v>
      </c>
      <c r="P1148">
        <v>22.899999618530298</v>
      </c>
      <c r="Q1148">
        <v>23.899999618530298</v>
      </c>
      <c r="R1148">
        <v>24.100000381469702</v>
      </c>
      <c r="S1148">
        <v>22.200000762939499</v>
      </c>
      <c r="T1148">
        <v>1143</v>
      </c>
      <c r="U1148">
        <v>158</v>
      </c>
      <c r="V1148">
        <v>35</v>
      </c>
      <c r="W1148">
        <v>36</v>
      </c>
      <c r="X1148">
        <v>409</v>
      </c>
      <c r="Y1148">
        <v>144</v>
      </c>
      <c r="Z1148">
        <v>187</v>
      </c>
      <c r="AA1148">
        <v>316</v>
      </c>
      <c r="AB1148">
        <v>9.9796663897737297</v>
      </c>
      <c r="AC1148">
        <v>6.9545023958402993E-2</v>
      </c>
      <c r="AD1148">
        <v>1.42462061557703</v>
      </c>
      <c r="AE1148">
        <v>0.69119396025350899</v>
      </c>
      <c r="AF1148">
        <v>1108.15817223199</v>
      </c>
      <c r="AG1148">
        <f>IFERROR(AH1148*0.1, "N/A")</f>
        <v>5.9398945518453408</v>
      </c>
      <c r="AH1148">
        <v>59.398945518453402</v>
      </c>
      <c r="AI1148">
        <v>132.505661446516</v>
      </c>
      <c r="AJ1148">
        <v>31.968365553602801</v>
      </c>
      <c r="AK1148">
        <v>50.687170474516698</v>
      </c>
    </row>
    <row r="1149" spans="1:37" x14ac:dyDescent="0.3">
      <c r="A1149">
        <v>1148</v>
      </c>
      <c r="B1149">
        <v>15.3</v>
      </c>
      <c r="C1149">
        <v>30.6007</v>
      </c>
      <c r="D1149">
        <v>0.96594999999999998</v>
      </c>
      <c r="E1149" t="s">
        <v>1997</v>
      </c>
      <c r="F1149" t="s">
        <v>1998</v>
      </c>
      <c r="G1149" t="s">
        <v>37</v>
      </c>
      <c r="H1149">
        <v>2004</v>
      </c>
      <c r="I1149">
        <v>21.446126555053301</v>
      </c>
      <c r="J1149">
        <v>11.8999996185303</v>
      </c>
      <c r="K1149">
        <v>84</v>
      </c>
      <c r="L1149">
        <v>5.14656680402621</v>
      </c>
      <c r="M1149">
        <v>29.128345358539601</v>
      </c>
      <c r="N1149">
        <v>15.028345077810201</v>
      </c>
      <c r="O1149">
        <v>14.1000003814697</v>
      </c>
      <c r="P1149">
        <v>21.128345358539601</v>
      </c>
      <c r="Q1149">
        <v>21.8283444156109</v>
      </c>
      <c r="R1149">
        <v>22.128345358539601</v>
      </c>
      <c r="S1149">
        <v>20.8283444156109</v>
      </c>
      <c r="T1149">
        <v>1274.3045774647901</v>
      </c>
      <c r="U1149">
        <v>168.53873239436601</v>
      </c>
      <c r="V1149">
        <v>37</v>
      </c>
      <c r="W1149">
        <v>40.822183098591601</v>
      </c>
      <c r="X1149">
        <v>445.68838028169</v>
      </c>
      <c r="Y1149">
        <v>148.89436619718299</v>
      </c>
      <c r="Z1149">
        <v>200.716549295775</v>
      </c>
      <c r="AA1149">
        <v>334.36091549295799</v>
      </c>
      <c r="AB1149">
        <v>7.1619765590614</v>
      </c>
      <c r="AC1149">
        <v>3.4818640829745999E-2</v>
      </c>
      <c r="AD1149">
        <v>3.4699953882627099</v>
      </c>
      <c r="AE1149">
        <v>0.71303033828735396</v>
      </c>
      <c r="AF1149">
        <v>1208.1672535211301</v>
      </c>
      <c r="AG1149">
        <f>IFERROR(AH1149*0.1, "N/A")</f>
        <v>5.5535211267605602</v>
      </c>
      <c r="AH1149">
        <v>55.535211267605597</v>
      </c>
      <c r="AI1149">
        <v>151.933145146974</v>
      </c>
      <c r="AJ1149">
        <v>35.744718309859202</v>
      </c>
      <c r="AK1149">
        <v>41.632042253521099</v>
      </c>
    </row>
    <row r="1150" spans="1:37" x14ac:dyDescent="0.3">
      <c r="A1150">
        <v>1149</v>
      </c>
      <c r="B1150">
        <v>0</v>
      </c>
      <c r="C1150">
        <v>34.200001</v>
      </c>
      <c r="D1150">
        <v>0.98299999999999998</v>
      </c>
      <c r="E1150" t="s">
        <v>1999</v>
      </c>
      <c r="F1150" t="s">
        <v>2000</v>
      </c>
      <c r="G1150" t="s">
        <v>37</v>
      </c>
      <c r="H1150">
        <v>2004</v>
      </c>
      <c r="I1150">
        <v>22.4276405690422</v>
      </c>
      <c r="J1150">
        <v>12.6000003814697</v>
      </c>
      <c r="K1150">
        <v>80.658450704225302</v>
      </c>
      <c r="L1150">
        <v>7.4973414607451003</v>
      </c>
      <c r="M1150">
        <v>31.134155441337899</v>
      </c>
      <c r="N1150">
        <v>15.6000003814697</v>
      </c>
      <c r="O1150">
        <v>15.534155059868199</v>
      </c>
      <c r="P1150">
        <v>22.727641186244099</v>
      </c>
      <c r="Q1150">
        <v>23.2341551713541</v>
      </c>
      <c r="R1150">
        <v>23.4341546783985</v>
      </c>
      <c r="S1150">
        <v>21.5</v>
      </c>
      <c r="T1150">
        <v>1258.8204225352099</v>
      </c>
      <c r="U1150">
        <v>172.10563380281701</v>
      </c>
      <c r="V1150">
        <v>38.934859154929597</v>
      </c>
      <c r="W1150">
        <v>35</v>
      </c>
      <c r="X1150">
        <v>435.14612676056299</v>
      </c>
      <c r="Y1150">
        <v>159.18661971831</v>
      </c>
      <c r="Z1150">
        <v>209.97535211267601</v>
      </c>
      <c r="AA1150">
        <v>345.95070422535201</v>
      </c>
      <c r="AB1150">
        <v>28.5811099200182</v>
      </c>
      <c r="AC1150">
        <v>3.7000274059401997E-2</v>
      </c>
      <c r="AD1150">
        <v>3.8400729970193299</v>
      </c>
      <c r="AE1150">
        <v>0.73302012681961104</v>
      </c>
      <c r="AF1150">
        <v>1236.01408450704</v>
      </c>
      <c r="AG1150">
        <f>IFERROR(AH1150*0.1, "N/A")</f>
        <v>5.6216549295774705</v>
      </c>
      <c r="AH1150">
        <v>56.216549295774698</v>
      </c>
      <c r="AI1150">
        <v>339.35156464912501</v>
      </c>
      <c r="AJ1150">
        <v>36.714788732394403</v>
      </c>
      <c r="AK1150">
        <v>44.654929577464799</v>
      </c>
    </row>
    <row r="1151" spans="1:37" x14ac:dyDescent="0.3">
      <c r="A1151">
        <v>1150</v>
      </c>
      <c r="B1151">
        <v>75</v>
      </c>
      <c r="C1151">
        <v>30.581800000000001</v>
      </c>
      <c r="D1151">
        <v>1.0177499999999999</v>
      </c>
      <c r="E1151" t="s">
        <v>2001</v>
      </c>
      <c r="F1151" t="s">
        <v>2002</v>
      </c>
      <c r="G1151" t="s">
        <v>37</v>
      </c>
      <c r="H1151">
        <v>1996</v>
      </c>
      <c r="I1151">
        <v>25</v>
      </c>
      <c r="J1151">
        <v>12</v>
      </c>
      <c r="K1151">
        <v>83</v>
      </c>
      <c r="L1151">
        <v>5.78999996185303</v>
      </c>
      <c r="M1151">
        <v>32.700000762939503</v>
      </c>
      <c r="N1151">
        <v>18.399999618530298</v>
      </c>
      <c r="O1151">
        <v>14.300000190734901</v>
      </c>
      <c r="P1151">
        <v>25.399999618530298</v>
      </c>
      <c r="Q1151">
        <v>25.399999618530298</v>
      </c>
      <c r="R1151">
        <v>25.799999237060501</v>
      </c>
      <c r="S1151">
        <v>24.299999237060501</v>
      </c>
      <c r="T1151">
        <v>972</v>
      </c>
      <c r="U1151">
        <v>139</v>
      </c>
      <c r="V1151">
        <v>23</v>
      </c>
      <c r="W1151">
        <v>39</v>
      </c>
      <c r="X1151">
        <v>333</v>
      </c>
      <c r="Y1151">
        <v>108</v>
      </c>
      <c r="Z1151">
        <v>141</v>
      </c>
      <c r="AA1151">
        <v>275</v>
      </c>
      <c r="AB1151">
        <v>6.4112066971628296</v>
      </c>
      <c r="AC1151">
        <v>5.0199686077406998E-2</v>
      </c>
      <c r="AD1151">
        <v>1.56238030969051</v>
      </c>
      <c r="AE1151">
        <v>0.50679775711737196</v>
      </c>
      <c r="AF1151">
        <v>627.53157894736898</v>
      </c>
      <c r="AG1151">
        <f>IFERROR(AH1151*0.1, "N/A")</f>
        <v>6.1433333333333309</v>
      </c>
      <c r="AH1151">
        <v>61.433333333333302</v>
      </c>
      <c r="AI1151">
        <v>94.3032272640028</v>
      </c>
      <c r="AJ1151">
        <v>35.0421052631579</v>
      </c>
      <c r="AK1151">
        <v>39.414035087719299</v>
      </c>
    </row>
    <row r="1152" spans="1:37" x14ac:dyDescent="0.3">
      <c r="A1152">
        <v>1151</v>
      </c>
      <c r="B1152">
        <v>15</v>
      </c>
      <c r="C1152">
        <v>30.690200999999998</v>
      </c>
      <c r="D1152">
        <v>1.02597</v>
      </c>
      <c r="E1152" t="s">
        <v>2003</v>
      </c>
      <c r="F1152" t="s">
        <v>2004</v>
      </c>
      <c r="G1152" t="s">
        <v>37</v>
      </c>
      <c r="H1152">
        <v>2004</v>
      </c>
      <c r="I1152">
        <v>21.899999618530298</v>
      </c>
      <c r="J1152">
        <v>11.800000190734901</v>
      </c>
      <c r="K1152">
        <v>83</v>
      </c>
      <c r="L1152">
        <v>5.8800001144409197</v>
      </c>
      <c r="M1152">
        <v>29.600000381469702</v>
      </c>
      <c r="N1152">
        <v>15.3999996185303</v>
      </c>
      <c r="O1152">
        <v>14.199999809265099</v>
      </c>
      <c r="P1152">
        <v>21.5</v>
      </c>
      <c r="Q1152">
        <v>22.299999237060501</v>
      </c>
      <c r="R1152">
        <v>22.600000381469702</v>
      </c>
      <c r="S1152">
        <v>21.100000381469702</v>
      </c>
      <c r="T1152">
        <v>1241</v>
      </c>
      <c r="U1152">
        <v>168</v>
      </c>
      <c r="V1152">
        <v>34</v>
      </c>
      <c r="W1152">
        <v>41</v>
      </c>
      <c r="X1152">
        <v>436</v>
      </c>
      <c r="Y1152">
        <v>141</v>
      </c>
      <c r="Z1152">
        <v>191</v>
      </c>
      <c r="AA1152">
        <v>325</v>
      </c>
      <c r="AB1152">
        <v>50.595793015089498</v>
      </c>
      <c r="AC1152">
        <v>1.1881005775138001E-2</v>
      </c>
      <c r="AD1152">
        <v>2.2801559453270399</v>
      </c>
      <c r="AE1152">
        <v>0.71907056760704202</v>
      </c>
      <c r="AF1152">
        <v>1188.43057996485</v>
      </c>
      <c r="AG1152">
        <f>IFERROR(AH1152*0.1, "N/A")</f>
        <v>5.6590509666080804</v>
      </c>
      <c r="AH1152">
        <v>56.590509666080798</v>
      </c>
      <c r="AI1152">
        <v>75.654428284281394</v>
      </c>
      <c r="AJ1152">
        <v>36.409490333919202</v>
      </c>
      <c r="AK1152">
        <v>41.590509666080798</v>
      </c>
    </row>
    <row r="1153" spans="1:37" x14ac:dyDescent="0.3">
      <c r="A1153">
        <v>1152</v>
      </c>
      <c r="B1153">
        <v>58.799999</v>
      </c>
      <c r="C1153">
        <v>30.591200000000001</v>
      </c>
      <c r="D1153">
        <v>1.03217</v>
      </c>
      <c r="E1153" t="s">
        <v>2005</v>
      </c>
      <c r="F1153" t="s">
        <v>2006</v>
      </c>
      <c r="G1153" t="s">
        <v>37</v>
      </c>
      <c r="H1153">
        <v>1996</v>
      </c>
      <c r="I1153">
        <v>25.052112874850401</v>
      </c>
      <c r="J1153">
        <v>12</v>
      </c>
      <c r="K1153">
        <v>84</v>
      </c>
      <c r="L1153">
        <v>5.5504224871245897</v>
      </c>
      <c r="M1153">
        <v>32.700000762939503</v>
      </c>
      <c r="N1153">
        <v>18.5</v>
      </c>
      <c r="O1153">
        <v>14.199999809265099</v>
      </c>
      <c r="P1153">
        <v>25.452112493380699</v>
      </c>
      <c r="Q1153">
        <v>25.5</v>
      </c>
      <c r="R1153">
        <v>25.799999237060501</v>
      </c>
      <c r="S1153">
        <v>24.399999618530298</v>
      </c>
      <c r="T1153">
        <v>967.47887323943701</v>
      </c>
      <c r="U1153">
        <v>139</v>
      </c>
      <c r="V1153">
        <v>23</v>
      </c>
      <c r="W1153">
        <v>40</v>
      </c>
      <c r="X1153">
        <v>332.47887323943701</v>
      </c>
      <c r="Y1153">
        <v>107</v>
      </c>
      <c r="Z1153">
        <v>140.47887323943701</v>
      </c>
      <c r="AA1153">
        <v>272.52112676056299</v>
      </c>
      <c r="AB1153">
        <v>8.8336269754758998</v>
      </c>
      <c r="AC1153">
        <v>8.546497636724E-3</v>
      </c>
      <c r="AD1153">
        <v>0.93787736687022205</v>
      </c>
      <c r="AE1153">
        <v>0.46688175201415999</v>
      </c>
      <c r="AF1153">
        <v>622.26408450704196</v>
      </c>
      <c r="AG1153">
        <f>IFERROR(AH1153*0.1, "N/A")</f>
        <v>6</v>
      </c>
      <c r="AH1153">
        <v>60</v>
      </c>
      <c r="AI1153">
        <v>228.404329971528</v>
      </c>
      <c r="AJ1153">
        <v>29.937728937728899</v>
      </c>
      <c r="AK1153">
        <v>43.531135531135497</v>
      </c>
    </row>
    <row r="1154" spans="1:37" x14ac:dyDescent="0.3">
      <c r="A1154">
        <v>1153</v>
      </c>
      <c r="B1154">
        <v>58.799999</v>
      </c>
      <c r="C1154">
        <v>30.574300999999998</v>
      </c>
      <c r="D1154">
        <v>1.0326900000000001</v>
      </c>
      <c r="E1154" t="s">
        <v>2007</v>
      </c>
      <c r="F1154" t="s">
        <v>2008</v>
      </c>
      <c r="G1154" t="s">
        <v>37</v>
      </c>
      <c r="H1154">
        <v>1996</v>
      </c>
      <c r="I1154">
        <v>25.000352735031601</v>
      </c>
      <c r="J1154">
        <v>12</v>
      </c>
      <c r="K1154">
        <v>84</v>
      </c>
      <c r="L1154">
        <v>5.4622575324258698</v>
      </c>
      <c r="M1154">
        <v>32.6003512158806</v>
      </c>
      <c r="N1154">
        <v>18.4003523535619</v>
      </c>
      <c r="O1154">
        <v>14.199999809265099</v>
      </c>
      <c r="P1154">
        <v>25.4003523535619</v>
      </c>
      <c r="Q1154">
        <v>25.4003523535619</v>
      </c>
      <c r="R1154">
        <v>25.700353491243199</v>
      </c>
      <c r="S1154">
        <v>24.300351972092201</v>
      </c>
      <c r="T1154">
        <v>974.20811287477898</v>
      </c>
      <c r="U1154">
        <v>139</v>
      </c>
      <c r="V1154">
        <v>23.7777777777778</v>
      </c>
      <c r="W1154">
        <v>39.003527336860699</v>
      </c>
      <c r="X1154">
        <v>333</v>
      </c>
      <c r="Y1154">
        <v>108.777777777778</v>
      </c>
      <c r="Z1154">
        <v>141.777777777778</v>
      </c>
      <c r="AA1154">
        <v>275.43386243386198</v>
      </c>
      <c r="AB1154">
        <v>8.8908218841283606</v>
      </c>
      <c r="AC1154">
        <v>9.6166927722239996E-3</v>
      </c>
      <c r="AD1154">
        <v>1.5728374618701799</v>
      </c>
      <c r="AE1154">
        <v>0.34345805644989003</v>
      </c>
      <c r="AF1154">
        <v>624.88712522045898</v>
      </c>
      <c r="AG1154" t="str">
        <f>IFERROR(AH1154*0.1, "N/A")</f>
        <v>N/A</v>
      </c>
      <c r="AH1154" t="s">
        <v>729</v>
      </c>
      <c r="AI1154">
        <v>126.139613297881</v>
      </c>
      <c r="AJ1154" t="s">
        <v>729</v>
      </c>
      <c r="AK1154" t="s">
        <v>729</v>
      </c>
    </row>
    <row r="1155" spans="1:37" x14ac:dyDescent="0.3">
      <c r="A1155">
        <v>1154</v>
      </c>
      <c r="B1155">
        <v>0</v>
      </c>
      <c r="C1155">
        <v>30.263200999999999</v>
      </c>
      <c r="D1155">
        <v>1.0468</v>
      </c>
      <c r="E1155" t="s">
        <v>2009</v>
      </c>
      <c r="F1155" t="s">
        <v>2010</v>
      </c>
      <c r="G1155" t="s">
        <v>37</v>
      </c>
      <c r="H1155">
        <v>2004</v>
      </c>
      <c r="I1155">
        <v>24.799999237060501</v>
      </c>
      <c r="J1155">
        <v>12.199999809265099</v>
      </c>
      <c r="K1155">
        <v>85</v>
      </c>
      <c r="L1155">
        <v>5.0999999046325701</v>
      </c>
      <c r="M1155">
        <v>32.400001525878899</v>
      </c>
      <c r="N1155">
        <v>18.200000762939499</v>
      </c>
      <c r="O1155">
        <v>14.199999809265099</v>
      </c>
      <c r="P1155">
        <v>25.200000762939499</v>
      </c>
      <c r="Q1155">
        <v>25.100000381469702</v>
      </c>
      <c r="R1155">
        <v>25.399999618530298</v>
      </c>
      <c r="S1155">
        <v>24.100000381469702</v>
      </c>
      <c r="T1155">
        <v>1047</v>
      </c>
      <c r="U1155">
        <v>136</v>
      </c>
      <c r="V1155">
        <v>31</v>
      </c>
      <c r="W1155">
        <v>34</v>
      </c>
      <c r="X1155">
        <v>338</v>
      </c>
      <c r="Y1155">
        <v>130</v>
      </c>
      <c r="Z1155">
        <v>162</v>
      </c>
      <c r="AA1155">
        <v>314</v>
      </c>
      <c r="AB1155">
        <v>1.0303267221602199</v>
      </c>
      <c r="AC1155">
        <v>9.752309276694E-3</v>
      </c>
      <c r="AD1155">
        <v>1.6725005554774499</v>
      </c>
      <c r="AE1155">
        <v>0.37499877810478199</v>
      </c>
      <c r="AF1155">
        <v>635.52204585537902</v>
      </c>
      <c r="AG1155">
        <f>IFERROR(AH1155*0.1, "N/A")</f>
        <v>6.2989417989418008</v>
      </c>
      <c r="AH1155">
        <v>62.989417989418001</v>
      </c>
      <c r="AI1155">
        <v>185.43961580468201</v>
      </c>
      <c r="AJ1155">
        <v>25.925925925925899</v>
      </c>
      <c r="AK1155">
        <v>55.074074074074097</v>
      </c>
    </row>
    <row r="1156" spans="1:37" x14ac:dyDescent="0.3">
      <c r="A1156">
        <v>1155</v>
      </c>
      <c r="B1156">
        <v>0</v>
      </c>
      <c r="C1156">
        <v>32.450001</v>
      </c>
      <c r="D1156">
        <v>1.05</v>
      </c>
      <c r="E1156" t="s">
        <v>2011</v>
      </c>
      <c r="F1156" t="s">
        <v>2012</v>
      </c>
      <c r="G1156" t="s">
        <v>37</v>
      </c>
      <c r="H1156">
        <v>2004</v>
      </c>
      <c r="I1156">
        <v>22.457394203669601</v>
      </c>
      <c r="J1156">
        <v>11.9374997615814</v>
      </c>
      <c r="K1156">
        <v>82.876760563380302</v>
      </c>
      <c r="L1156">
        <v>5.7780810250362897</v>
      </c>
      <c r="M1156">
        <v>30.234859385960501</v>
      </c>
      <c r="N1156">
        <v>15.922534915762901</v>
      </c>
      <c r="O1156">
        <v>14.3123240638787</v>
      </c>
      <c r="P1156">
        <v>22.772358813756</v>
      </c>
      <c r="Q1156">
        <v>22.922534915762899</v>
      </c>
      <c r="R1156">
        <v>23.122535678702299</v>
      </c>
      <c r="S1156">
        <v>21.622535678702299</v>
      </c>
      <c r="T1156">
        <v>1196.2323943662</v>
      </c>
      <c r="U1156">
        <v>168.57394366197201</v>
      </c>
      <c r="V1156">
        <v>32.600352112676099</v>
      </c>
      <c r="W1156">
        <v>40</v>
      </c>
      <c r="X1156">
        <v>410.45070422535201</v>
      </c>
      <c r="Y1156">
        <v>148.97535211267601</v>
      </c>
      <c r="Z1156">
        <v>185.47711267605601</v>
      </c>
      <c r="AA1156">
        <v>259.25176056338</v>
      </c>
      <c r="AB1156">
        <v>12.675379148671301</v>
      </c>
      <c r="AC1156">
        <v>2.0583705830676001E-2</v>
      </c>
      <c r="AD1156">
        <v>1.6160312341132601</v>
      </c>
      <c r="AE1156">
        <v>0.37997492728099003</v>
      </c>
      <c r="AF1156">
        <v>1069.3345070422499</v>
      </c>
      <c r="AG1156">
        <f>IFERROR(AH1156*0.1, "N/A")</f>
        <v>5.9005281690140805</v>
      </c>
      <c r="AH1156">
        <v>59.005281690140798</v>
      </c>
      <c r="AI1156">
        <v>286.58061814643997</v>
      </c>
      <c r="AJ1156">
        <v>39.008802816901401</v>
      </c>
      <c r="AK1156">
        <v>41.991197183098599</v>
      </c>
    </row>
    <row r="1157" spans="1:37" x14ac:dyDescent="0.3">
      <c r="A1157">
        <v>1156</v>
      </c>
      <c r="B1157">
        <v>67.599997999999999</v>
      </c>
      <c r="C1157">
        <v>30.5</v>
      </c>
      <c r="D1157">
        <v>1.06667</v>
      </c>
      <c r="E1157" t="s">
        <v>2013</v>
      </c>
      <c r="F1157" t="s">
        <v>2014</v>
      </c>
      <c r="G1157" t="s">
        <v>37</v>
      </c>
      <c r="H1157">
        <v>1974</v>
      </c>
      <c r="I1157">
        <v>24.9828923509655</v>
      </c>
      <c r="J1157">
        <v>12.1000003814697</v>
      </c>
      <c r="K1157">
        <v>85</v>
      </c>
      <c r="L1157">
        <v>5.1140210960697701</v>
      </c>
      <c r="M1157">
        <v>32.599998474121101</v>
      </c>
      <c r="N1157">
        <v>18.399999618530298</v>
      </c>
      <c r="O1157">
        <v>14.199999809265099</v>
      </c>
      <c r="P1157">
        <v>25.299999237060501</v>
      </c>
      <c r="Q1157">
        <v>25.381833764400898</v>
      </c>
      <c r="R1157">
        <v>25.600000381469702</v>
      </c>
      <c r="S1157">
        <v>24.299999237060501</v>
      </c>
      <c r="T1157">
        <v>979.45502645502597</v>
      </c>
      <c r="U1157">
        <v>137</v>
      </c>
      <c r="V1157">
        <v>24</v>
      </c>
      <c r="W1157">
        <v>39</v>
      </c>
      <c r="X1157">
        <v>332.81834215167498</v>
      </c>
      <c r="Y1157">
        <v>109.329805996473</v>
      </c>
      <c r="Z1157">
        <v>142</v>
      </c>
      <c r="AA1157">
        <v>282.30687830687799</v>
      </c>
      <c r="AB1157">
        <v>2.6638412879257598</v>
      </c>
      <c r="AC1157">
        <v>0.108676505125599</v>
      </c>
      <c r="AD1157">
        <v>0.62446867273808404</v>
      </c>
      <c r="AE1157">
        <v>0.23279324173927299</v>
      </c>
      <c r="AF1157">
        <v>621.79188712522</v>
      </c>
      <c r="AG1157" t="str">
        <f>IFERROR(AH1157*0.1, "N/A")</f>
        <v>N/A</v>
      </c>
      <c r="AH1157" t="s">
        <v>729</v>
      </c>
      <c r="AI1157">
        <v>102.215350371399</v>
      </c>
      <c r="AJ1157" t="s">
        <v>729</v>
      </c>
      <c r="AK1157" t="s">
        <v>729</v>
      </c>
    </row>
    <row r="1158" spans="1:37" x14ac:dyDescent="0.3">
      <c r="A1158">
        <v>1157</v>
      </c>
      <c r="B1158">
        <v>92.300003000000004</v>
      </c>
      <c r="C1158">
        <v>30.633300999999999</v>
      </c>
      <c r="D1158">
        <v>1.0667</v>
      </c>
      <c r="E1158" t="s">
        <v>2015</v>
      </c>
      <c r="F1158" t="s">
        <v>2016</v>
      </c>
      <c r="G1158" t="s">
        <v>37</v>
      </c>
      <c r="H1158">
        <v>2004</v>
      </c>
      <c r="I1158">
        <v>24.192794058989101</v>
      </c>
      <c r="J1158">
        <v>11.911950454980101</v>
      </c>
      <c r="K1158">
        <v>83.279437609841807</v>
      </c>
      <c r="L1158">
        <v>5.4266959192044704</v>
      </c>
      <c r="M1158">
        <v>31.8927948219286</v>
      </c>
      <c r="N1158">
        <v>17.708787090120499</v>
      </c>
      <c r="O1158">
        <v>14.184006930654601</v>
      </c>
      <c r="P1158">
        <v>24.614938668919802</v>
      </c>
      <c r="Q1158">
        <v>24.592794317771801</v>
      </c>
      <c r="R1158">
        <v>24.947275614277501</v>
      </c>
      <c r="S1158">
        <v>23.559226527155399</v>
      </c>
      <c r="T1158">
        <v>1028.4481546572899</v>
      </c>
      <c r="U1158">
        <v>145.17750439367299</v>
      </c>
      <c r="V1158">
        <v>25.391915641476299</v>
      </c>
      <c r="W1158">
        <v>39.880492091388398</v>
      </c>
      <c r="X1158">
        <v>347.18980667838298</v>
      </c>
      <c r="Y1158">
        <v>113.144112478032</v>
      </c>
      <c r="Z1158">
        <v>150.33743409490299</v>
      </c>
      <c r="AA1158">
        <v>264.73110720562403</v>
      </c>
      <c r="AB1158">
        <v>258.17188207964898</v>
      </c>
      <c r="AC1158">
        <v>3.9637919770707998E-2</v>
      </c>
      <c r="AD1158">
        <v>35.437141850878803</v>
      </c>
      <c r="AE1158">
        <v>0.29830759763717701</v>
      </c>
      <c r="AF1158">
        <v>855.33216168717001</v>
      </c>
      <c r="AG1158">
        <f>IFERROR(AH1158*0.1, "N/A")</f>
        <v>5.7247803163444608</v>
      </c>
      <c r="AH1158">
        <v>57.247803163444601</v>
      </c>
      <c r="AI1158">
        <v>307.78835727041297</v>
      </c>
      <c r="AJ1158">
        <v>31.752196836555399</v>
      </c>
      <c r="AK1158">
        <v>40.623901581722301</v>
      </c>
    </row>
    <row r="1159" spans="1:37" x14ac:dyDescent="0.3">
      <c r="A1159">
        <v>1158</v>
      </c>
      <c r="B1159">
        <v>0</v>
      </c>
      <c r="C1159">
        <v>30.292601000000001</v>
      </c>
      <c r="D1159">
        <v>1.08253</v>
      </c>
      <c r="E1159" t="s">
        <v>2017</v>
      </c>
      <c r="F1159" t="s">
        <v>2018</v>
      </c>
      <c r="G1159" t="s">
        <v>37</v>
      </c>
      <c r="H1159">
        <v>2004</v>
      </c>
      <c r="I1159">
        <v>24.799999237060501</v>
      </c>
      <c r="J1159">
        <v>12.199999809265099</v>
      </c>
      <c r="K1159">
        <v>85</v>
      </c>
      <c r="L1159">
        <v>5.5098417779089699</v>
      </c>
      <c r="M1159">
        <v>32.5</v>
      </c>
      <c r="N1159">
        <v>18.200000762939499</v>
      </c>
      <c r="O1159">
        <v>14.300000190734901</v>
      </c>
      <c r="P1159">
        <v>25.299999237060501</v>
      </c>
      <c r="Q1159">
        <v>25.100000381469702</v>
      </c>
      <c r="R1159">
        <v>25.600000381469702</v>
      </c>
      <c r="S1159">
        <v>24.100176438479401</v>
      </c>
      <c r="T1159">
        <v>1033.1883802816899</v>
      </c>
      <c r="U1159">
        <v>136</v>
      </c>
      <c r="V1159">
        <v>29</v>
      </c>
      <c r="W1159">
        <v>35</v>
      </c>
      <c r="X1159">
        <v>337</v>
      </c>
      <c r="Y1159">
        <v>124.095070422535</v>
      </c>
      <c r="Z1159">
        <v>263.095070422535</v>
      </c>
      <c r="AA1159">
        <v>310.095070422535</v>
      </c>
      <c r="AB1159">
        <v>1.22326402261224</v>
      </c>
      <c r="AC1159">
        <v>1.9319595810039E-2</v>
      </c>
      <c r="AD1159">
        <v>0.94701069950217998</v>
      </c>
      <c r="AE1159">
        <v>0.34238326549530002</v>
      </c>
      <c r="AF1159">
        <v>630.66373239436598</v>
      </c>
      <c r="AG1159">
        <f>IFERROR(AH1159*0.1, "N/A")</f>
        <v>6.2565140845070406</v>
      </c>
      <c r="AH1159">
        <v>62.565140845070403</v>
      </c>
      <c r="AI1159">
        <v>193.57963442466601</v>
      </c>
      <c r="AJ1159">
        <v>23.3045774647887</v>
      </c>
      <c r="AK1159">
        <v>57.565140845070403</v>
      </c>
    </row>
    <row r="1160" spans="1:37" x14ac:dyDescent="0.3">
      <c r="A1160">
        <v>1159</v>
      </c>
      <c r="B1160">
        <v>0</v>
      </c>
      <c r="C1160">
        <v>32.465598999999997</v>
      </c>
      <c r="D1160">
        <v>1.16262</v>
      </c>
      <c r="E1160" t="s">
        <v>2019</v>
      </c>
      <c r="F1160" t="s">
        <v>2020</v>
      </c>
      <c r="G1160" t="s">
        <v>37</v>
      </c>
      <c r="H1160">
        <v>2004</v>
      </c>
      <c r="I1160">
        <v>22.5</v>
      </c>
      <c r="J1160">
        <v>12</v>
      </c>
      <c r="K1160">
        <v>82</v>
      </c>
      <c r="L1160">
        <v>6.21000003814697</v>
      </c>
      <c r="M1160">
        <v>30.399999618530298</v>
      </c>
      <c r="N1160">
        <v>15.800000190734901</v>
      </c>
      <c r="O1160">
        <v>14.6000003814697</v>
      </c>
      <c r="P1160">
        <v>22.799999237060501</v>
      </c>
      <c r="Q1160">
        <v>23</v>
      </c>
      <c r="R1160">
        <v>23.200000762939499</v>
      </c>
      <c r="S1160">
        <v>21.600000381469702</v>
      </c>
      <c r="T1160">
        <v>1187</v>
      </c>
      <c r="U1160">
        <v>171</v>
      </c>
      <c r="V1160">
        <v>31</v>
      </c>
      <c r="W1160">
        <v>42</v>
      </c>
      <c r="X1160">
        <v>412</v>
      </c>
      <c r="Y1160">
        <v>137</v>
      </c>
      <c r="Z1160">
        <v>176</v>
      </c>
      <c r="AA1160">
        <v>263</v>
      </c>
      <c r="AB1160">
        <v>18.295272182410901</v>
      </c>
      <c r="AC1160">
        <v>1.4113158077775001E-2</v>
      </c>
      <c r="AD1160">
        <v>2.4376679478396799</v>
      </c>
      <c r="AE1160">
        <v>0.50697022965046701</v>
      </c>
      <c r="AF1160">
        <v>1091.5422535211301</v>
      </c>
      <c r="AG1160">
        <f>IFERROR(AH1160*0.1, "N/A")</f>
        <v>5.9952464788732405</v>
      </c>
      <c r="AH1160">
        <v>59.952464788732399</v>
      </c>
      <c r="AI1160">
        <v>114.674807709707</v>
      </c>
      <c r="AJ1160">
        <v>44.952464788732399</v>
      </c>
      <c r="AK1160">
        <v>39.047535211267601</v>
      </c>
    </row>
    <row r="1161" spans="1:37" x14ac:dyDescent="0.3">
      <c r="A1161">
        <v>1160</v>
      </c>
      <c r="B1161">
        <v>3</v>
      </c>
      <c r="C1161">
        <v>34.233001999999999</v>
      </c>
      <c r="D1161">
        <v>1.2330000000000001</v>
      </c>
      <c r="E1161" t="s">
        <v>2021</v>
      </c>
      <c r="F1161" t="s">
        <v>2022</v>
      </c>
      <c r="G1161" t="s">
        <v>37</v>
      </c>
      <c r="H1161">
        <v>2004</v>
      </c>
      <c r="I1161">
        <v>22.820737453252899</v>
      </c>
      <c r="J1161">
        <v>12.6000003814697</v>
      </c>
      <c r="K1161">
        <v>81</v>
      </c>
      <c r="L1161">
        <v>6.9148154300629399</v>
      </c>
      <c r="M1161">
        <v>31.467135199763</v>
      </c>
      <c r="N1161">
        <v>16.020738216192299</v>
      </c>
      <c r="O1161">
        <v>15.4463969835707</v>
      </c>
      <c r="P1161">
        <v>22.674341372739701</v>
      </c>
      <c r="Q1161">
        <v>23.567135581232801</v>
      </c>
      <c r="R1161">
        <v>23.820737453252899</v>
      </c>
      <c r="S1161">
        <v>22.020738216192299</v>
      </c>
      <c r="T1161">
        <v>1214.39191564148</v>
      </c>
      <c r="U1161">
        <v>174</v>
      </c>
      <c r="V1161">
        <v>29</v>
      </c>
      <c r="W1161">
        <v>43</v>
      </c>
      <c r="X1161">
        <v>444.02636203866399</v>
      </c>
      <c r="Y1161">
        <v>123</v>
      </c>
      <c r="Z1161">
        <v>173.87346221441101</v>
      </c>
      <c r="AA1161">
        <v>378.39718804920898</v>
      </c>
      <c r="AB1161">
        <v>5.8098262525400903</v>
      </c>
      <c r="AC1161">
        <v>9.2623415705871001E-2</v>
      </c>
      <c r="AD1161">
        <v>1.54786461602196</v>
      </c>
      <c r="AE1161">
        <v>0.617170870304108</v>
      </c>
      <c r="AF1161">
        <v>1129.6924428822499</v>
      </c>
      <c r="AG1161">
        <f>IFERROR(AH1161*0.1, "N/A")</f>
        <v>6.0137082601054503</v>
      </c>
      <c r="AH1161">
        <v>60.137082601054502</v>
      </c>
      <c r="AI1161">
        <v>169.33448847148901</v>
      </c>
      <c r="AJ1161">
        <v>39.333919156414801</v>
      </c>
      <c r="AK1161">
        <v>42.523725834797901</v>
      </c>
    </row>
    <row r="1162" spans="1:37" x14ac:dyDescent="0.3">
      <c r="A1162">
        <v>1161</v>
      </c>
      <c r="B1162">
        <v>0</v>
      </c>
      <c r="C1162">
        <v>34.083302000000003</v>
      </c>
      <c r="D1162">
        <v>1.2332000000000001</v>
      </c>
      <c r="E1162" t="s">
        <v>2023</v>
      </c>
      <c r="F1162" t="s">
        <v>2024</v>
      </c>
      <c r="G1162" t="s">
        <v>37</v>
      </c>
      <c r="H1162">
        <v>2004</v>
      </c>
      <c r="I1162">
        <v>22.805652968875101</v>
      </c>
      <c r="J1162">
        <v>12.5</v>
      </c>
      <c r="K1162">
        <v>80</v>
      </c>
      <c r="L1162">
        <v>7.30106017277856</v>
      </c>
      <c r="M1162">
        <v>31.600000381469702</v>
      </c>
      <c r="N1162">
        <v>16.100000381469702</v>
      </c>
      <c r="O1162">
        <v>15.5</v>
      </c>
      <c r="P1162">
        <v>22.650883967800599</v>
      </c>
      <c r="Q1162">
        <v>23.654770908423099</v>
      </c>
      <c r="R1162">
        <v>23.899999618530298</v>
      </c>
      <c r="S1162">
        <v>22</v>
      </c>
      <c r="T1162">
        <v>1200.7243816254399</v>
      </c>
      <c r="U1162">
        <v>173</v>
      </c>
      <c r="V1162">
        <v>27</v>
      </c>
      <c r="W1162">
        <v>44.491166077738498</v>
      </c>
      <c r="X1162">
        <v>458.56537102473499</v>
      </c>
      <c r="Y1162">
        <v>122.508833922262</v>
      </c>
      <c r="Z1162">
        <v>174.56537102473499</v>
      </c>
      <c r="AA1162">
        <v>360.59363957597202</v>
      </c>
      <c r="AB1162">
        <v>15.7901725634248</v>
      </c>
      <c r="AC1162">
        <v>2.5713250302634001E-2</v>
      </c>
      <c r="AD1162">
        <v>0.77931302891181997</v>
      </c>
      <c r="AE1162">
        <v>0.67216265201568604</v>
      </c>
      <c r="AF1162">
        <v>1144.58480565371</v>
      </c>
      <c r="AG1162">
        <f>IFERROR(AH1162*0.1, "N/A")</f>
        <v>5.7015901060070711</v>
      </c>
      <c r="AH1162">
        <v>57.015901060070703</v>
      </c>
      <c r="AI1162">
        <v>168.87714615137801</v>
      </c>
      <c r="AJ1162">
        <v>35.560070671378099</v>
      </c>
      <c r="AK1162">
        <v>43.455830388692597</v>
      </c>
    </row>
    <row r="1163" spans="1:37" x14ac:dyDescent="0.3">
      <c r="A1163">
        <v>1162</v>
      </c>
      <c r="B1163">
        <v>0</v>
      </c>
      <c r="C1163">
        <v>32.546700000000001</v>
      </c>
      <c r="D1163">
        <v>1.3041199999999999</v>
      </c>
      <c r="E1163" t="s">
        <v>2025</v>
      </c>
      <c r="F1163" t="s">
        <v>2026</v>
      </c>
      <c r="G1163" t="s">
        <v>37</v>
      </c>
      <c r="H1163">
        <v>2004</v>
      </c>
      <c r="I1163">
        <v>22.799999237060501</v>
      </c>
      <c r="J1163">
        <v>12.199999809265099</v>
      </c>
      <c r="K1163">
        <v>82</v>
      </c>
      <c r="L1163">
        <v>6.9299998283386204</v>
      </c>
      <c r="M1163">
        <v>31</v>
      </c>
      <c r="N1163">
        <v>16.200000762939499</v>
      </c>
      <c r="O1163">
        <v>14.800000190734901</v>
      </c>
      <c r="P1163">
        <v>23.200000762939499</v>
      </c>
      <c r="Q1163">
        <v>23.399999618530298</v>
      </c>
      <c r="R1163">
        <v>23.700000762939499</v>
      </c>
      <c r="S1163">
        <v>21.799999237060501</v>
      </c>
      <c r="T1163">
        <v>1210</v>
      </c>
      <c r="U1163">
        <v>184</v>
      </c>
      <c r="V1163">
        <v>30</v>
      </c>
      <c r="W1163">
        <v>44</v>
      </c>
      <c r="X1163">
        <v>433</v>
      </c>
      <c r="Y1163">
        <v>134</v>
      </c>
      <c r="Z1163">
        <v>172</v>
      </c>
      <c r="AA1163">
        <v>274</v>
      </c>
      <c r="AB1163">
        <v>9.4482359550368606</v>
      </c>
      <c r="AC1163">
        <v>2.1695202313245E-2</v>
      </c>
      <c r="AD1163">
        <v>0.69838346331052403</v>
      </c>
      <c r="AE1163">
        <v>0.36117309331893899</v>
      </c>
      <c r="AF1163">
        <v>1053.86795774648</v>
      </c>
      <c r="AG1163">
        <f>IFERROR(AH1163*0.1, "N/A")</f>
        <v>5.8940140845070408</v>
      </c>
      <c r="AH1163">
        <v>58.940140845070403</v>
      </c>
      <c r="AI1163">
        <v>67.244453242127307</v>
      </c>
      <c r="AJ1163">
        <v>38.970070422535201</v>
      </c>
      <c r="AK1163">
        <v>42.971830985915503</v>
      </c>
    </row>
    <row r="1164" spans="1:37" x14ac:dyDescent="0.3">
      <c r="A1164">
        <v>1163</v>
      </c>
      <c r="B1164">
        <v>3.3</v>
      </c>
      <c r="C1164">
        <v>32.471901000000003</v>
      </c>
      <c r="D1164">
        <v>1.3156000000000001</v>
      </c>
      <c r="E1164" t="s">
        <v>2027</v>
      </c>
      <c r="F1164" t="s">
        <v>2028</v>
      </c>
      <c r="G1164" t="s">
        <v>37</v>
      </c>
      <c r="H1164">
        <v>2004</v>
      </c>
      <c r="I1164">
        <v>22.799999237060501</v>
      </c>
      <c r="J1164">
        <v>12.199999809265099</v>
      </c>
      <c r="K1164">
        <v>82</v>
      </c>
      <c r="L1164">
        <v>7.0100002288818404</v>
      </c>
      <c r="M1164">
        <v>30.899999618530298</v>
      </c>
      <c r="N1164">
        <v>16.100000381469702</v>
      </c>
      <c r="O1164">
        <v>14.800000190734901</v>
      </c>
      <c r="P1164">
        <v>23.100000381469702</v>
      </c>
      <c r="Q1164">
        <v>23.299999237060501</v>
      </c>
      <c r="R1164">
        <v>23.600000381469702</v>
      </c>
      <c r="S1164">
        <v>21.799999237060501</v>
      </c>
      <c r="T1164">
        <v>1221</v>
      </c>
      <c r="U1164">
        <v>186</v>
      </c>
      <c r="V1164">
        <v>31</v>
      </c>
      <c r="W1164">
        <v>44</v>
      </c>
      <c r="X1164">
        <v>437</v>
      </c>
      <c r="Y1164">
        <v>137</v>
      </c>
      <c r="Z1164">
        <v>173</v>
      </c>
      <c r="AA1164">
        <v>276</v>
      </c>
      <c r="AB1164">
        <v>10.64968248824</v>
      </c>
      <c r="AC1164">
        <v>1.0967918071555E-2</v>
      </c>
      <c r="AD1164">
        <v>1.9715244545483299</v>
      </c>
      <c r="AE1164">
        <v>0.40996650412259</v>
      </c>
      <c r="AF1164">
        <v>1093.51056338028</v>
      </c>
      <c r="AG1164">
        <f>IFERROR(AH1164*0.1, "N/A")</f>
        <v>5.9</v>
      </c>
      <c r="AH1164">
        <v>59</v>
      </c>
      <c r="AI1164">
        <v>266.68893411125902</v>
      </c>
      <c r="AJ1164">
        <v>31.181338028169002</v>
      </c>
      <c r="AK1164">
        <v>52</v>
      </c>
    </row>
    <row r="1165" spans="1:37" x14ac:dyDescent="0.3">
      <c r="A1165">
        <v>1164</v>
      </c>
      <c r="B1165">
        <v>6</v>
      </c>
      <c r="C1165">
        <v>32.501700999999997</v>
      </c>
      <c r="D1165">
        <v>1.3334999999999999</v>
      </c>
      <c r="E1165" t="s">
        <v>2029</v>
      </c>
      <c r="F1165" t="s">
        <v>2030</v>
      </c>
      <c r="G1165" t="s">
        <v>37</v>
      </c>
      <c r="H1165">
        <v>2004</v>
      </c>
      <c r="I1165">
        <v>22.899999618530298</v>
      </c>
      <c r="J1165">
        <v>12.199999809265099</v>
      </c>
      <c r="K1165">
        <v>81.836555360281196</v>
      </c>
      <c r="L1165">
        <v>6.7270122026936203</v>
      </c>
      <c r="M1165">
        <v>31.016344526321099</v>
      </c>
      <c r="N1165">
        <v>16.200000762939499</v>
      </c>
      <c r="O1165">
        <v>14.816344561183</v>
      </c>
      <c r="P1165">
        <v>23.200000762939499</v>
      </c>
      <c r="Q1165">
        <v>23.399999618530298</v>
      </c>
      <c r="R1165">
        <v>23.700000762939499</v>
      </c>
      <c r="S1165">
        <v>21.899999618530298</v>
      </c>
      <c r="T1165">
        <v>1221.5096660808399</v>
      </c>
      <c r="U1165">
        <v>187</v>
      </c>
      <c r="V1165">
        <v>30</v>
      </c>
      <c r="W1165">
        <v>44.836555360281203</v>
      </c>
      <c r="X1165">
        <v>439</v>
      </c>
      <c r="Y1165">
        <v>135</v>
      </c>
      <c r="Z1165">
        <v>172</v>
      </c>
      <c r="AA1165">
        <v>277.67311072056202</v>
      </c>
      <c r="AB1165">
        <v>11.8008258732425</v>
      </c>
      <c r="AC1165">
        <v>2.0575486629324E-2</v>
      </c>
      <c r="AD1165">
        <v>5.7318770483214703</v>
      </c>
      <c r="AE1165">
        <v>0.38060106701088298</v>
      </c>
      <c r="AF1165">
        <v>1067.76098418278</v>
      </c>
      <c r="AG1165">
        <f>IFERROR(AH1165*0.1, "N/A")</f>
        <v>6.0298769771529006</v>
      </c>
      <c r="AH1165">
        <v>60.298769771529003</v>
      </c>
      <c r="AI1165">
        <v>118.709060387368</v>
      </c>
      <c r="AJ1165">
        <v>33.402460456942002</v>
      </c>
      <c r="AK1165">
        <v>46.597539543057998</v>
      </c>
    </row>
    <row r="1166" spans="1:37" x14ac:dyDescent="0.3">
      <c r="A1166">
        <v>1165</v>
      </c>
      <c r="B1166">
        <v>95</v>
      </c>
      <c r="C1166">
        <v>30.872800999999999</v>
      </c>
      <c r="D1166">
        <v>1.4102699999999999</v>
      </c>
      <c r="E1166" t="s">
        <v>2031</v>
      </c>
      <c r="F1166" t="s">
        <v>2032</v>
      </c>
      <c r="G1166" t="s">
        <v>37</v>
      </c>
      <c r="H1166">
        <v>2004</v>
      </c>
      <c r="I1166">
        <v>25.399999618530298</v>
      </c>
      <c r="J1166">
        <v>11.6000003814697</v>
      </c>
      <c r="K1166">
        <v>82</v>
      </c>
      <c r="L1166">
        <v>6.6300001144409197</v>
      </c>
      <c r="M1166">
        <v>33.099998474121101</v>
      </c>
      <c r="N1166">
        <v>19</v>
      </c>
      <c r="O1166">
        <v>14.1000003814697</v>
      </c>
      <c r="P1166">
        <v>25.799999237060501</v>
      </c>
      <c r="Q1166">
        <v>26</v>
      </c>
      <c r="R1166">
        <v>26.299999237060501</v>
      </c>
      <c r="S1166">
        <v>24.600000381469702</v>
      </c>
      <c r="T1166">
        <v>943</v>
      </c>
      <c r="U1166">
        <v>143</v>
      </c>
      <c r="V1166">
        <v>19</v>
      </c>
      <c r="W1166">
        <v>44</v>
      </c>
      <c r="X1166">
        <v>334</v>
      </c>
      <c r="Y1166">
        <v>89</v>
      </c>
      <c r="Z1166">
        <v>124</v>
      </c>
      <c r="AA1166">
        <v>262</v>
      </c>
      <c r="AB1166">
        <v>7.54057621493331</v>
      </c>
      <c r="AC1166">
        <v>3.29169989998142</v>
      </c>
      <c r="AD1166">
        <v>1.8278647007345099</v>
      </c>
      <c r="AE1166">
        <v>0.222445994615555</v>
      </c>
      <c r="AF1166">
        <v>627.17107583774202</v>
      </c>
      <c r="AG1166">
        <f>IFERROR(AH1166*0.1, "N/A")</f>
        <v>6.3208112874779605</v>
      </c>
      <c r="AH1166">
        <v>63.208112874779601</v>
      </c>
      <c r="AI1166">
        <v>88.480469389146805</v>
      </c>
      <c r="AJ1166">
        <v>27</v>
      </c>
      <c r="AK1166">
        <v>48.791887125220498</v>
      </c>
    </row>
    <row r="1167" spans="1:37" x14ac:dyDescent="0.3">
      <c r="A1167">
        <v>1166</v>
      </c>
      <c r="B1167">
        <v>81.699996999999996</v>
      </c>
      <c r="C1167">
        <v>30.906300000000002</v>
      </c>
      <c r="D1167">
        <v>1.43615</v>
      </c>
      <c r="E1167" t="s">
        <v>2033</v>
      </c>
      <c r="F1167" t="s">
        <v>2034</v>
      </c>
      <c r="G1167" t="s">
        <v>37</v>
      </c>
      <c r="H1167">
        <v>2004</v>
      </c>
      <c r="I1167">
        <v>25.399999618530298</v>
      </c>
      <c r="J1167">
        <v>11.5</v>
      </c>
      <c r="K1167">
        <v>82</v>
      </c>
      <c r="L1167">
        <v>7.0500001907348597</v>
      </c>
      <c r="M1167">
        <v>33</v>
      </c>
      <c r="N1167">
        <v>19</v>
      </c>
      <c r="O1167">
        <v>14</v>
      </c>
      <c r="P1167">
        <v>25.899999618530298</v>
      </c>
      <c r="Q1167">
        <v>26</v>
      </c>
      <c r="R1167">
        <v>26.299999237060501</v>
      </c>
      <c r="S1167">
        <v>24.5</v>
      </c>
      <c r="T1167">
        <v>940</v>
      </c>
      <c r="U1167">
        <v>143</v>
      </c>
      <c r="V1167">
        <v>18</v>
      </c>
      <c r="W1167">
        <v>44</v>
      </c>
      <c r="X1167">
        <v>333</v>
      </c>
      <c r="Y1167">
        <v>88</v>
      </c>
      <c r="Z1167">
        <v>123</v>
      </c>
      <c r="AA1167">
        <v>261</v>
      </c>
      <c r="AB1167">
        <v>19.068719793497401</v>
      </c>
      <c r="AC1167">
        <v>1.9132901591973998E-2</v>
      </c>
      <c r="AD1167">
        <v>4.8538051175316896</v>
      </c>
      <c r="AE1167">
        <v>0.26907941699027998</v>
      </c>
      <c r="AF1167">
        <v>634.57996485061506</v>
      </c>
      <c r="AG1167">
        <f>IFERROR(AH1167*0.1, "N/A")</f>
        <v>6.3425389755011103</v>
      </c>
      <c r="AH1167">
        <v>63.425389755011103</v>
      </c>
      <c r="AI1167">
        <v>306.05992654756801</v>
      </c>
      <c r="AJ1167">
        <v>31.503340757238298</v>
      </c>
      <c r="AK1167">
        <v>44.886414253897499</v>
      </c>
    </row>
    <row r="1168" spans="1:37" x14ac:dyDescent="0.3">
      <c r="A1168">
        <v>1167</v>
      </c>
      <c r="B1168">
        <v>0</v>
      </c>
      <c r="C1168">
        <v>32.260300000000001</v>
      </c>
      <c r="D1168">
        <v>1.4700500000000001</v>
      </c>
      <c r="E1168" t="s">
        <v>2035</v>
      </c>
      <c r="F1168" t="s">
        <v>2036</v>
      </c>
      <c r="G1168" t="s">
        <v>37</v>
      </c>
      <c r="H1168">
        <v>2004</v>
      </c>
      <c r="I1168">
        <v>22.899999618530298</v>
      </c>
      <c r="J1168">
        <v>12.199999809265099</v>
      </c>
      <c r="K1168">
        <v>81</v>
      </c>
      <c r="L1168">
        <v>7.4200000762939498</v>
      </c>
      <c r="M1168">
        <v>31.299999237060501</v>
      </c>
      <c r="N1168">
        <v>16.299999237060501</v>
      </c>
      <c r="O1168">
        <v>15</v>
      </c>
      <c r="P1168">
        <v>23.299999237060501</v>
      </c>
      <c r="Q1168">
        <v>23.700000762939499</v>
      </c>
      <c r="R1168">
        <v>24</v>
      </c>
      <c r="S1168">
        <v>22</v>
      </c>
      <c r="T1168">
        <v>1364</v>
      </c>
      <c r="U1168">
        <v>217</v>
      </c>
      <c r="V1168">
        <v>40</v>
      </c>
      <c r="W1168">
        <v>46</v>
      </c>
      <c r="X1168">
        <v>499</v>
      </c>
      <c r="Y1168">
        <v>168</v>
      </c>
      <c r="Z1168">
        <v>197</v>
      </c>
      <c r="AA1168">
        <v>308</v>
      </c>
      <c r="AB1168">
        <v>12.414411119082301</v>
      </c>
      <c r="AC1168">
        <v>9.3410407816609999E-3</v>
      </c>
      <c r="AD1168">
        <v>0.70346961053896895</v>
      </c>
      <c r="AE1168">
        <v>0.315173029899597</v>
      </c>
      <c r="AF1168">
        <v>1073.3585237258301</v>
      </c>
      <c r="AG1168">
        <f>IFERROR(AH1168*0.1, "N/A")</f>
        <v>6.0492091388400704</v>
      </c>
      <c r="AH1168">
        <v>60.492091388400702</v>
      </c>
      <c r="AI1168">
        <v>125.284742620163</v>
      </c>
      <c r="AJ1168">
        <v>37</v>
      </c>
      <c r="AK1168">
        <v>44.158172231985901</v>
      </c>
    </row>
    <row r="1169" spans="1:37" x14ac:dyDescent="0.3">
      <c r="A1169">
        <v>1168</v>
      </c>
      <c r="B1169">
        <v>10</v>
      </c>
      <c r="C1169">
        <v>31.283999999999999</v>
      </c>
      <c r="D1169">
        <v>1.49342</v>
      </c>
      <c r="E1169" t="s">
        <v>2037</v>
      </c>
      <c r="F1169" t="s">
        <v>2038</v>
      </c>
      <c r="G1169" t="s">
        <v>37</v>
      </c>
      <c r="H1169">
        <v>2007</v>
      </c>
      <c r="I1169">
        <v>22.899999618530298</v>
      </c>
      <c r="J1169">
        <v>11.800000190734901</v>
      </c>
      <c r="K1169">
        <v>79</v>
      </c>
      <c r="L1169">
        <v>8.0900001525878906</v>
      </c>
      <c r="M1169">
        <v>31.299999237060501</v>
      </c>
      <c r="N1169">
        <v>16.399999618530298</v>
      </c>
      <c r="O1169">
        <v>14.8999996185303</v>
      </c>
      <c r="P1169">
        <v>22.100000381469702</v>
      </c>
      <c r="Q1169">
        <v>23.700000762939499</v>
      </c>
      <c r="R1169">
        <v>24.100000381469702</v>
      </c>
      <c r="S1169">
        <v>22</v>
      </c>
      <c r="T1169">
        <v>1342</v>
      </c>
      <c r="U1169">
        <v>179</v>
      </c>
      <c r="V1169">
        <v>33</v>
      </c>
      <c r="W1169">
        <v>42</v>
      </c>
      <c r="X1169">
        <v>467</v>
      </c>
      <c r="Y1169">
        <v>136</v>
      </c>
      <c r="Z1169">
        <v>188</v>
      </c>
      <c r="AA1169">
        <v>381</v>
      </c>
      <c r="AB1169">
        <v>28.8140008855997</v>
      </c>
      <c r="AC1169">
        <v>8.9805210942179997E-3</v>
      </c>
      <c r="AD1169">
        <v>1.19283018422253</v>
      </c>
      <c r="AE1169">
        <v>0.49657309055328402</v>
      </c>
      <c r="AF1169">
        <v>1105.01054481547</v>
      </c>
      <c r="AG1169">
        <f>IFERROR(AH1169*0.1, "N/A")</f>
        <v>5.6000000000000005</v>
      </c>
      <c r="AH1169">
        <v>56</v>
      </c>
      <c r="AI1169">
        <v>108.27299602756599</v>
      </c>
      <c r="AJ1169">
        <v>40.850615114235502</v>
      </c>
      <c r="AK1169">
        <v>41</v>
      </c>
    </row>
    <row r="1170" spans="1:37" x14ac:dyDescent="0.3">
      <c r="A1170">
        <v>1169</v>
      </c>
      <c r="B1170">
        <v>3.3</v>
      </c>
      <c r="C1170">
        <v>31.284099999999999</v>
      </c>
      <c r="D1170">
        <v>1.4938800000000001</v>
      </c>
      <c r="E1170" t="s">
        <v>2039</v>
      </c>
      <c r="F1170" t="s">
        <v>2040</v>
      </c>
      <c r="G1170" t="s">
        <v>37</v>
      </c>
      <c r="H1170">
        <v>2005</v>
      </c>
      <c r="I1170">
        <v>22.899999618530298</v>
      </c>
      <c r="J1170">
        <v>11.800000190734901</v>
      </c>
      <c r="K1170">
        <v>79</v>
      </c>
      <c r="L1170">
        <v>8.0900001525878906</v>
      </c>
      <c r="M1170">
        <v>31.299999237060501</v>
      </c>
      <c r="N1170">
        <v>16.399999618530298</v>
      </c>
      <c r="O1170">
        <v>14.8999996185303</v>
      </c>
      <c r="P1170">
        <v>22.100000381469702</v>
      </c>
      <c r="Q1170">
        <v>23.700000762939499</v>
      </c>
      <c r="R1170">
        <v>24.100000381469702</v>
      </c>
      <c r="S1170">
        <v>22</v>
      </c>
      <c r="T1170">
        <v>1342</v>
      </c>
      <c r="U1170">
        <v>179</v>
      </c>
      <c r="V1170">
        <v>33</v>
      </c>
      <c r="W1170">
        <v>42</v>
      </c>
      <c r="X1170">
        <v>467</v>
      </c>
      <c r="Y1170">
        <v>136</v>
      </c>
      <c r="Z1170">
        <v>188</v>
      </c>
      <c r="AA1170">
        <v>381</v>
      </c>
      <c r="AB1170">
        <v>26.220503101014302</v>
      </c>
      <c r="AC1170">
        <v>8.5450094225900004E-3</v>
      </c>
      <c r="AD1170">
        <v>1.26792241000293</v>
      </c>
      <c r="AE1170">
        <v>0.49657309055328402</v>
      </c>
      <c r="AF1170">
        <v>1104.64035087719</v>
      </c>
      <c r="AG1170">
        <f>IFERROR(AH1170*0.1, "N/A")</f>
        <v>5.6000000000000005</v>
      </c>
      <c r="AH1170">
        <v>56</v>
      </c>
      <c r="AI1170">
        <v>59.403249914604302</v>
      </c>
      <c r="AJ1170">
        <v>41</v>
      </c>
      <c r="AK1170">
        <v>41</v>
      </c>
    </row>
    <row r="1171" spans="1:37" x14ac:dyDescent="0.3">
      <c r="A1171">
        <v>1170</v>
      </c>
      <c r="B1171">
        <v>10.3</v>
      </c>
      <c r="C1171">
        <v>32.504398000000002</v>
      </c>
      <c r="D1171">
        <v>1.50563</v>
      </c>
      <c r="E1171" t="s">
        <v>2041</v>
      </c>
      <c r="F1171" t="s">
        <v>2042</v>
      </c>
      <c r="G1171" t="s">
        <v>37</v>
      </c>
      <c r="H1171">
        <v>2004</v>
      </c>
      <c r="I1171">
        <v>23.200000762939499</v>
      </c>
      <c r="J1171">
        <v>12.300000190734901</v>
      </c>
      <c r="K1171">
        <v>80</v>
      </c>
      <c r="L1171">
        <v>7.6900000572204599</v>
      </c>
      <c r="M1171">
        <v>31.700000762939499</v>
      </c>
      <c r="N1171">
        <v>16.5</v>
      </c>
      <c r="O1171">
        <v>15.199999809265099</v>
      </c>
      <c r="P1171">
        <v>23.5</v>
      </c>
      <c r="Q1171">
        <v>23.899999618530298</v>
      </c>
      <c r="R1171">
        <v>24.200000762939499</v>
      </c>
      <c r="S1171">
        <v>22.100000381469702</v>
      </c>
      <c r="T1171">
        <v>1268</v>
      </c>
      <c r="U1171">
        <v>193</v>
      </c>
      <c r="V1171">
        <v>31</v>
      </c>
      <c r="W1171">
        <v>45</v>
      </c>
      <c r="X1171">
        <v>452</v>
      </c>
      <c r="Y1171">
        <v>140</v>
      </c>
      <c r="Z1171">
        <v>175</v>
      </c>
      <c r="AA1171">
        <v>301</v>
      </c>
      <c r="AB1171">
        <v>4.4441319148863103</v>
      </c>
      <c r="AC1171">
        <v>1.0482228801361E-2</v>
      </c>
      <c r="AD1171">
        <v>1.0526319090637</v>
      </c>
      <c r="AE1171">
        <v>0.48922711825538401</v>
      </c>
      <c r="AF1171">
        <v>1038.4288224956099</v>
      </c>
      <c r="AG1171">
        <f>IFERROR(AH1171*0.1, "N/A")</f>
        <v>6.1000000000000005</v>
      </c>
      <c r="AH1171">
        <v>61</v>
      </c>
      <c r="AI1171">
        <v>63.634195022717101</v>
      </c>
      <c r="AJ1171">
        <v>32.565905096660799</v>
      </c>
      <c r="AK1171">
        <v>48.497363796133598</v>
      </c>
    </row>
    <row r="1172" spans="1:37" x14ac:dyDescent="0.3">
      <c r="A1172">
        <v>1171</v>
      </c>
      <c r="B1172">
        <v>95.099997999999999</v>
      </c>
      <c r="C1172">
        <v>30.935801000000001</v>
      </c>
      <c r="D1172">
        <v>1.50728</v>
      </c>
      <c r="E1172" t="s">
        <v>2043</v>
      </c>
      <c r="F1172" t="s">
        <v>2044</v>
      </c>
      <c r="G1172" t="s">
        <v>37</v>
      </c>
      <c r="H1172">
        <v>2004</v>
      </c>
      <c r="I1172">
        <v>25.299999237060501</v>
      </c>
      <c r="J1172">
        <v>11.3999996185303</v>
      </c>
      <c r="K1172">
        <v>82</v>
      </c>
      <c r="L1172">
        <v>7.03999996185303</v>
      </c>
      <c r="M1172">
        <v>32.900001525878899</v>
      </c>
      <c r="N1172">
        <v>19</v>
      </c>
      <c r="O1172">
        <v>13.8999996185303</v>
      </c>
      <c r="P1172">
        <v>25.799999237060501</v>
      </c>
      <c r="Q1172">
        <v>25.799999237060501</v>
      </c>
      <c r="R1172">
        <v>26.200000762939499</v>
      </c>
      <c r="S1172">
        <v>24.399999618530298</v>
      </c>
      <c r="T1172">
        <v>949</v>
      </c>
      <c r="U1172">
        <v>143</v>
      </c>
      <c r="V1172">
        <v>19</v>
      </c>
      <c r="W1172">
        <v>44</v>
      </c>
      <c r="X1172">
        <v>333</v>
      </c>
      <c r="Y1172">
        <v>87</v>
      </c>
      <c r="Z1172">
        <v>123</v>
      </c>
      <c r="AA1172">
        <v>265</v>
      </c>
      <c r="AB1172">
        <v>30.602799751389199</v>
      </c>
      <c r="AC1172">
        <v>9.8989153310369993E-3</v>
      </c>
      <c r="AD1172">
        <v>7.7817170007128098</v>
      </c>
      <c r="AE1172">
        <v>0.10312619805336</v>
      </c>
      <c r="AF1172">
        <v>640.93661971831</v>
      </c>
      <c r="AG1172">
        <f>IFERROR(AH1172*0.1, "N/A")</f>
        <v>6.3434108527131805</v>
      </c>
      <c r="AH1172">
        <v>63.434108527131798</v>
      </c>
      <c r="AI1172">
        <v>148.58211011282199</v>
      </c>
      <c r="AJ1172">
        <v>31.697674418604699</v>
      </c>
      <c r="AK1172">
        <v>45</v>
      </c>
    </row>
    <row r="1173" spans="1:37" x14ac:dyDescent="0.3">
      <c r="A1173">
        <v>1172</v>
      </c>
      <c r="B1173">
        <v>0</v>
      </c>
      <c r="C1173">
        <v>32.406300000000002</v>
      </c>
      <c r="D1173">
        <v>1.51023</v>
      </c>
      <c r="E1173" t="s">
        <v>2045</v>
      </c>
      <c r="F1173" t="s">
        <v>2046</v>
      </c>
      <c r="G1173" t="s">
        <v>37</v>
      </c>
      <c r="H1173">
        <v>2004</v>
      </c>
      <c r="I1173">
        <v>23.100000381469702</v>
      </c>
      <c r="J1173">
        <v>12.300000190734901</v>
      </c>
      <c r="K1173">
        <v>81</v>
      </c>
      <c r="L1173">
        <v>7.8800001144409197</v>
      </c>
      <c r="M1173">
        <v>31.5</v>
      </c>
      <c r="N1173">
        <v>16.399999618530298</v>
      </c>
      <c r="O1173">
        <v>15.1000003814697</v>
      </c>
      <c r="P1173">
        <v>23.5</v>
      </c>
      <c r="Q1173">
        <v>23.799999237060501</v>
      </c>
      <c r="R1173">
        <v>24.200000762939499</v>
      </c>
      <c r="S1173">
        <v>22.100000381469702</v>
      </c>
      <c r="T1173">
        <v>1297</v>
      </c>
      <c r="U1173">
        <v>200</v>
      </c>
      <c r="V1173">
        <v>34</v>
      </c>
      <c r="W1173">
        <v>45</v>
      </c>
      <c r="X1173">
        <v>466</v>
      </c>
      <c r="Y1173">
        <v>148</v>
      </c>
      <c r="Z1173">
        <v>181</v>
      </c>
      <c r="AA1173">
        <v>304</v>
      </c>
      <c r="AB1173">
        <v>18.323948865196598</v>
      </c>
      <c r="AC1173">
        <v>1.0872656734813999E-2</v>
      </c>
      <c r="AD1173">
        <v>1.5762747809002799</v>
      </c>
      <c r="AE1173">
        <v>0.45335729119019302</v>
      </c>
      <c r="AF1173">
        <v>1064.3268892794399</v>
      </c>
      <c r="AG1173">
        <f>IFERROR(AH1173*0.1, "N/A")</f>
        <v>6</v>
      </c>
      <c r="AH1173">
        <v>60</v>
      </c>
      <c r="AI1173">
        <v>90.990664825707597</v>
      </c>
      <c r="AJ1173">
        <v>28.771528998242498</v>
      </c>
      <c r="AK1173">
        <v>52.228471001757498</v>
      </c>
    </row>
    <row r="1174" spans="1:37" x14ac:dyDescent="0.3">
      <c r="A1174">
        <v>1173</v>
      </c>
      <c r="B1174">
        <v>0</v>
      </c>
      <c r="C1174">
        <v>32.040000999999997</v>
      </c>
      <c r="D1174">
        <v>1.5391300000000001</v>
      </c>
      <c r="E1174" t="s">
        <v>2047</v>
      </c>
      <c r="F1174" t="s">
        <v>2048</v>
      </c>
      <c r="G1174" t="s">
        <v>37</v>
      </c>
      <c r="H1174">
        <v>2004</v>
      </c>
      <c r="I1174">
        <v>23.100000381469702</v>
      </c>
      <c r="J1174">
        <v>12.1000003814697</v>
      </c>
      <c r="K1174">
        <v>81</v>
      </c>
      <c r="L1174">
        <v>7.71000003814697</v>
      </c>
      <c r="M1174">
        <v>31.399999618530298</v>
      </c>
      <c r="N1174">
        <v>16.600000381469702</v>
      </c>
      <c r="O1174">
        <v>14.800000190734901</v>
      </c>
      <c r="P1174">
        <v>22.399999618530298</v>
      </c>
      <c r="Q1174">
        <v>23.799999237060501</v>
      </c>
      <c r="R1174">
        <v>24.200000762939499</v>
      </c>
      <c r="S1174">
        <v>22.100000381469702</v>
      </c>
      <c r="T1174">
        <v>1191</v>
      </c>
      <c r="U1174">
        <v>165</v>
      </c>
      <c r="V1174">
        <v>35</v>
      </c>
      <c r="W1174">
        <v>41</v>
      </c>
      <c r="X1174">
        <v>407</v>
      </c>
      <c r="Y1174">
        <v>136</v>
      </c>
      <c r="Z1174">
        <v>179</v>
      </c>
      <c r="AA1174">
        <v>343</v>
      </c>
      <c r="AB1174">
        <v>1.44462191241487</v>
      </c>
      <c r="AC1174">
        <v>2.0859016177550999E-2</v>
      </c>
      <c r="AD1174">
        <v>0.93520627174729398</v>
      </c>
      <c r="AE1174">
        <v>0.31347179412841802</v>
      </c>
      <c r="AF1174">
        <v>1041.22319859402</v>
      </c>
      <c r="AG1174">
        <f>IFERROR(AH1174*0.1, "N/A")</f>
        <v>6</v>
      </c>
      <c r="AH1174">
        <v>60</v>
      </c>
      <c r="AI1174">
        <v>130.13751783857001</v>
      </c>
      <c r="AJ1174">
        <v>38.799648506151101</v>
      </c>
      <c r="AK1174">
        <v>43.173989455184497</v>
      </c>
    </row>
    <row r="1175" spans="1:37" x14ac:dyDescent="0.3">
      <c r="A1175">
        <v>1174</v>
      </c>
      <c r="B1175">
        <v>73.800003000000004</v>
      </c>
      <c r="C1175">
        <v>32.892200000000003</v>
      </c>
      <c r="D1175">
        <v>1.5488900000000001</v>
      </c>
      <c r="E1175" t="s">
        <v>2049</v>
      </c>
      <c r="F1175" t="s">
        <v>2050</v>
      </c>
      <c r="G1175" t="s">
        <v>37</v>
      </c>
      <c r="H1175">
        <v>2004</v>
      </c>
      <c r="I1175">
        <v>23.600000381469702</v>
      </c>
      <c r="J1175">
        <v>12.5</v>
      </c>
      <c r="K1175">
        <v>79</v>
      </c>
      <c r="L1175">
        <v>8.8325396324171201</v>
      </c>
      <c r="M1175">
        <v>32.583420243843499</v>
      </c>
      <c r="N1175">
        <v>16.8045847924719</v>
      </c>
      <c r="O1175">
        <v>15.778836088836499</v>
      </c>
      <c r="P1175">
        <v>23.299999237060501</v>
      </c>
      <c r="Q1175">
        <v>24.583421834982701</v>
      </c>
      <c r="R1175">
        <v>24.799999237060501</v>
      </c>
      <c r="S1175">
        <v>22.421163720428599</v>
      </c>
      <c r="T1175">
        <v>1292.6402116402101</v>
      </c>
      <c r="U1175">
        <v>192</v>
      </c>
      <c r="V1175">
        <v>25</v>
      </c>
      <c r="W1175">
        <v>45</v>
      </c>
      <c r="X1175">
        <v>451.83421516754902</v>
      </c>
      <c r="Y1175">
        <v>132</v>
      </c>
      <c r="Z1175">
        <v>165</v>
      </c>
      <c r="AA1175">
        <v>322.71428571428601</v>
      </c>
      <c r="AB1175">
        <v>0</v>
      </c>
      <c r="AC1175">
        <v>0.112182218758833</v>
      </c>
      <c r="AD1175">
        <v>0</v>
      </c>
      <c r="AE1175" t="s">
        <v>729</v>
      </c>
      <c r="AF1175">
        <v>1031</v>
      </c>
      <c r="AG1175" t="str">
        <f>IFERROR(AH1175*0.1, "N/A")</f>
        <v>N/A</v>
      </c>
      <c r="AH1175" t="s">
        <v>729</v>
      </c>
      <c r="AI1175">
        <v>0</v>
      </c>
      <c r="AJ1175" t="s">
        <v>729</v>
      </c>
      <c r="AK1175" t="s">
        <v>729</v>
      </c>
    </row>
    <row r="1176" spans="1:37" x14ac:dyDescent="0.3">
      <c r="A1176">
        <v>1175</v>
      </c>
      <c r="B1176">
        <v>0</v>
      </c>
      <c r="C1176">
        <v>32.896599000000002</v>
      </c>
      <c r="D1176">
        <v>1.5803400000000001</v>
      </c>
      <c r="E1176" t="s">
        <v>2051</v>
      </c>
      <c r="F1176" t="s">
        <v>2052</v>
      </c>
      <c r="G1176" t="s">
        <v>37</v>
      </c>
      <c r="H1176">
        <v>1967</v>
      </c>
      <c r="I1176">
        <v>23.5</v>
      </c>
      <c r="J1176">
        <v>12.5</v>
      </c>
      <c r="K1176">
        <v>79</v>
      </c>
      <c r="L1176">
        <v>8.7600002288818395</v>
      </c>
      <c r="M1176">
        <v>32.5</v>
      </c>
      <c r="N1176">
        <v>16.799999237060501</v>
      </c>
      <c r="O1176">
        <v>15.699999809265099</v>
      </c>
      <c r="P1176">
        <v>23.200000762939499</v>
      </c>
      <c r="Q1176">
        <v>24.399999618530298</v>
      </c>
      <c r="R1176">
        <v>24.700000762939499</v>
      </c>
      <c r="S1176">
        <v>22.399999618530298</v>
      </c>
      <c r="T1176">
        <v>1309</v>
      </c>
      <c r="U1176">
        <v>191</v>
      </c>
      <c r="V1176">
        <v>25</v>
      </c>
      <c r="W1176">
        <v>45</v>
      </c>
      <c r="X1176">
        <v>455</v>
      </c>
      <c r="Y1176">
        <v>132</v>
      </c>
      <c r="Z1176">
        <v>165</v>
      </c>
      <c r="AA1176">
        <v>333</v>
      </c>
      <c r="AB1176">
        <v>11.9381253689999</v>
      </c>
      <c r="AC1176">
        <v>1.5557608216909E-2</v>
      </c>
      <c r="AD1176">
        <v>0.94324862569413404</v>
      </c>
      <c r="AE1176">
        <v>0.61098253726959195</v>
      </c>
      <c r="AF1176">
        <v>1056.4393673110701</v>
      </c>
      <c r="AG1176">
        <f>IFERROR(AH1176*0.1, "N/A")</f>
        <v>5.6629173989455204</v>
      </c>
      <c r="AH1176">
        <v>56.629173989455197</v>
      </c>
      <c r="AI1176">
        <v>166.67158759038401</v>
      </c>
      <c r="AJ1176">
        <v>37</v>
      </c>
      <c r="AK1176">
        <v>43</v>
      </c>
    </row>
    <row r="1177" spans="1:37" x14ac:dyDescent="0.3">
      <c r="A1177">
        <v>1176</v>
      </c>
      <c r="B1177">
        <v>0</v>
      </c>
      <c r="C1177">
        <v>32.896599000000002</v>
      </c>
      <c r="D1177">
        <v>1.5803400000000001</v>
      </c>
      <c r="E1177" t="s">
        <v>2051</v>
      </c>
      <c r="F1177" t="s">
        <v>2053</v>
      </c>
      <c r="G1177" t="s">
        <v>39</v>
      </c>
      <c r="H1177">
        <v>1967</v>
      </c>
      <c r="I1177">
        <v>23.5</v>
      </c>
      <c r="J1177">
        <v>12.5</v>
      </c>
      <c r="K1177">
        <v>79</v>
      </c>
      <c r="L1177">
        <v>8.7600002288818395</v>
      </c>
      <c r="M1177">
        <v>32.5</v>
      </c>
      <c r="N1177">
        <v>16.799999237060501</v>
      </c>
      <c r="O1177">
        <v>15.699999809265099</v>
      </c>
      <c r="P1177">
        <v>23.200000762939499</v>
      </c>
      <c r="Q1177">
        <v>24.399999618530298</v>
      </c>
      <c r="R1177">
        <v>24.700000762939499</v>
      </c>
      <c r="S1177">
        <v>22.399999618530298</v>
      </c>
      <c r="T1177">
        <v>1309</v>
      </c>
      <c r="U1177">
        <v>191</v>
      </c>
      <c r="V1177">
        <v>25</v>
      </c>
      <c r="W1177">
        <v>45</v>
      </c>
      <c r="X1177">
        <v>455</v>
      </c>
      <c r="Y1177">
        <v>132</v>
      </c>
      <c r="Z1177">
        <v>165</v>
      </c>
      <c r="AA1177">
        <v>333</v>
      </c>
      <c r="AB1177">
        <v>11.9381253689999</v>
      </c>
      <c r="AC1177">
        <v>1.5557608216909E-2</v>
      </c>
      <c r="AD1177">
        <v>0.94324862569413404</v>
      </c>
      <c r="AE1177">
        <v>0.61098253726959195</v>
      </c>
      <c r="AF1177">
        <v>1056.4393673110701</v>
      </c>
      <c r="AG1177">
        <f>IFERROR(AH1177*0.1, "N/A")</f>
        <v>5.6629173989455204</v>
      </c>
      <c r="AH1177">
        <v>56.629173989455197</v>
      </c>
      <c r="AI1177">
        <v>166.67158759038401</v>
      </c>
      <c r="AJ1177">
        <v>37</v>
      </c>
      <c r="AK1177">
        <v>43</v>
      </c>
    </row>
    <row r="1178" spans="1:37" x14ac:dyDescent="0.3">
      <c r="A1178">
        <v>1177</v>
      </c>
      <c r="B1178">
        <v>61.799999</v>
      </c>
      <c r="C1178">
        <v>31.186399000000002</v>
      </c>
      <c r="D1178">
        <v>1.581</v>
      </c>
      <c r="E1178" t="s">
        <v>2054</v>
      </c>
      <c r="F1178" t="s">
        <v>2055</v>
      </c>
      <c r="G1178" t="s">
        <v>37</v>
      </c>
      <c r="H1178">
        <v>2005</v>
      </c>
      <c r="I1178">
        <v>23.100000381469702</v>
      </c>
      <c r="J1178">
        <v>11.699999809265099</v>
      </c>
      <c r="K1178">
        <v>80</v>
      </c>
      <c r="L1178">
        <v>8.0900001525878906</v>
      </c>
      <c r="M1178">
        <v>31.200000762939499</v>
      </c>
      <c r="N1178">
        <v>16.700000762939499</v>
      </c>
      <c r="O1178">
        <v>14.5</v>
      </c>
      <c r="P1178">
        <v>22.200000762939499</v>
      </c>
      <c r="Q1178">
        <v>23.899999618530298</v>
      </c>
      <c r="R1178">
        <v>24.299999237060501</v>
      </c>
      <c r="S1178">
        <v>22.100000381469702</v>
      </c>
      <c r="T1178">
        <v>1254</v>
      </c>
      <c r="U1178">
        <v>170</v>
      </c>
      <c r="V1178">
        <v>30</v>
      </c>
      <c r="W1178">
        <v>44</v>
      </c>
      <c r="X1178">
        <v>437</v>
      </c>
      <c r="Y1178">
        <v>118</v>
      </c>
      <c r="Z1178">
        <v>164</v>
      </c>
      <c r="AA1178">
        <v>352</v>
      </c>
      <c r="AB1178">
        <v>27.8445787931743</v>
      </c>
      <c r="AC1178">
        <v>9.9537877529340003E-3</v>
      </c>
      <c r="AD1178">
        <v>1.5600603300228499</v>
      </c>
      <c r="AE1178">
        <v>0.51386100053787198</v>
      </c>
      <c r="AF1178">
        <v>1049.1596491228099</v>
      </c>
      <c r="AG1178">
        <f>IFERROR(AH1178*0.1, "N/A")</f>
        <v>6.3000000000000007</v>
      </c>
      <c r="AH1178">
        <v>63</v>
      </c>
      <c r="AI1178">
        <v>151.591093859756</v>
      </c>
      <c r="AJ1178">
        <v>37</v>
      </c>
      <c r="AK1178">
        <v>39</v>
      </c>
    </row>
    <row r="1179" spans="1:37" x14ac:dyDescent="0.3">
      <c r="A1179">
        <v>1178</v>
      </c>
      <c r="B1179">
        <v>64.199996999999996</v>
      </c>
      <c r="C1179">
        <v>31.186599999999999</v>
      </c>
      <c r="D1179">
        <v>1.5811200000000001</v>
      </c>
      <c r="E1179" t="s">
        <v>2056</v>
      </c>
      <c r="F1179" t="s">
        <v>2057</v>
      </c>
      <c r="G1179" t="s">
        <v>37</v>
      </c>
      <c r="H1179">
        <v>2007</v>
      </c>
      <c r="I1179">
        <v>23.100000381469702</v>
      </c>
      <c r="J1179">
        <v>11.699999809265099</v>
      </c>
      <c r="K1179">
        <v>80</v>
      </c>
      <c r="L1179">
        <v>8.0900001525878906</v>
      </c>
      <c r="M1179">
        <v>31.200000762939499</v>
      </c>
      <c r="N1179">
        <v>16.700000762939499</v>
      </c>
      <c r="O1179">
        <v>14.5</v>
      </c>
      <c r="P1179">
        <v>22.200000762939499</v>
      </c>
      <c r="Q1179">
        <v>23.899999618530298</v>
      </c>
      <c r="R1179">
        <v>24.299999237060501</v>
      </c>
      <c r="S1179">
        <v>22.100000381469702</v>
      </c>
      <c r="T1179">
        <v>1254</v>
      </c>
      <c r="U1179">
        <v>170</v>
      </c>
      <c r="V1179">
        <v>30</v>
      </c>
      <c r="W1179">
        <v>44</v>
      </c>
      <c r="X1179">
        <v>437</v>
      </c>
      <c r="Y1179">
        <v>118</v>
      </c>
      <c r="Z1179">
        <v>164</v>
      </c>
      <c r="AA1179">
        <v>352</v>
      </c>
      <c r="AB1179">
        <v>26.536929916623201</v>
      </c>
      <c r="AC1179">
        <v>1.1307792325614E-2</v>
      </c>
      <c r="AD1179">
        <v>1.6244653486409399</v>
      </c>
      <c r="AE1179">
        <v>0.51386100053787198</v>
      </c>
      <c r="AF1179">
        <v>1049.0913884007</v>
      </c>
      <c r="AG1179">
        <f>IFERROR(AH1179*0.1, "N/A")</f>
        <v>6.3000000000000007</v>
      </c>
      <c r="AH1179">
        <v>63</v>
      </c>
      <c r="AI1179">
        <v>158.934760953504</v>
      </c>
      <c r="AJ1179">
        <v>37</v>
      </c>
      <c r="AK1179">
        <v>39</v>
      </c>
    </row>
    <row r="1180" spans="1:37" x14ac:dyDescent="0.3">
      <c r="A1180">
        <v>1179</v>
      </c>
      <c r="B1180">
        <v>97.199996999999996</v>
      </c>
      <c r="C1180">
        <v>31.090599000000001</v>
      </c>
      <c r="D1180">
        <v>1.58602</v>
      </c>
      <c r="E1180" t="s">
        <v>2058</v>
      </c>
      <c r="F1180" t="s">
        <v>2059</v>
      </c>
      <c r="G1180" t="s">
        <v>37</v>
      </c>
      <c r="H1180">
        <v>2007</v>
      </c>
      <c r="I1180">
        <v>25.5</v>
      </c>
      <c r="J1180">
        <v>11.199999809265099</v>
      </c>
      <c r="K1180">
        <v>81</v>
      </c>
      <c r="L1180">
        <v>7.2600002288818404</v>
      </c>
      <c r="M1180">
        <v>33</v>
      </c>
      <c r="N1180">
        <v>19.299999237060501</v>
      </c>
      <c r="O1180">
        <v>13.699999809265099</v>
      </c>
      <c r="P1180">
        <v>26</v>
      </c>
      <c r="Q1180">
        <v>26.200000762939499</v>
      </c>
      <c r="R1180">
        <v>26.5</v>
      </c>
      <c r="S1180">
        <v>24.600000381469702</v>
      </c>
      <c r="T1180">
        <v>914</v>
      </c>
      <c r="U1180">
        <v>140</v>
      </c>
      <c r="V1180">
        <v>18</v>
      </c>
      <c r="W1180">
        <v>45</v>
      </c>
      <c r="X1180">
        <v>325</v>
      </c>
      <c r="Y1180">
        <v>81</v>
      </c>
      <c r="Z1180">
        <v>119</v>
      </c>
      <c r="AA1180">
        <v>251</v>
      </c>
      <c r="AB1180">
        <v>7.5477885965303697</v>
      </c>
      <c r="AC1180">
        <v>1.2208789032155999E-2</v>
      </c>
      <c r="AD1180">
        <v>1.1147070671636301</v>
      </c>
      <c r="AE1180">
        <v>0.213415508189604</v>
      </c>
      <c r="AF1180">
        <v>620.65729349736398</v>
      </c>
      <c r="AG1180">
        <f>IFERROR(AH1180*0.1, "N/A")</f>
        <v>6.40065789473684</v>
      </c>
      <c r="AH1180">
        <v>64.006578947368396</v>
      </c>
      <c r="AI1180">
        <v>197.36824795902299</v>
      </c>
      <c r="AJ1180">
        <v>34</v>
      </c>
      <c r="AK1180">
        <v>40</v>
      </c>
    </row>
    <row r="1181" spans="1:37" x14ac:dyDescent="0.3">
      <c r="A1181">
        <v>1180</v>
      </c>
      <c r="B1181">
        <v>60.900002000000001</v>
      </c>
      <c r="C1181">
        <v>31.09</v>
      </c>
      <c r="D1181">
        <v>1.5862799999999999</v>
      </c>
      <c r="E1181" t="s">
        <v>2060</v>
      </c>
      <c r="F1181" t="s">
        <v>2061</v>
      </c>
      <c r="G1181" t="s">
        <v>37</v>
      </c>
      <c r="H1181">
        <v>2010</v>
      </c>
      <c r="I1181">
        <v>25.5</v>
      </c>
      <c r="J1181">
        <v>11.199999809265099</v>
      </c>
      <c r="K1181">
        <v>81</v>
      </c>
      <c r="L1181">
        <v>7.2600002288818404</v>
      </c>
      <c r="M1181">
        <v>33</v>
      </c>
      <c r="N1181">
        <v>19.299999237060501</v>
      </c>
      <c r="O1181">
        <v>13.699999809265099</v>
      </c>
      <c r="P1181">
        <v>26</v>
      </c>
      <c r="Q1181">
        <v>26.200000762939499</v>
      </c>
      <c r="R1181">
        <v>26.5</v>
      </c>
      <c r="S1181">
        <v>24.600000381469702</v>
      </c>
      <c r="T1181">
        <v>914</v>
      </c>
      <c r="U1181">
        <v>140</v>
      </c>
      <c r="V1181">
        <v>18</v>
      </c>
      <c r="W1181">
        <v>45</v>
      </c>
      <c r="X1181">
        <v>325</v>
      </c>
      <c r="Y1181">
        <v>81</v>
      </c>
      <c r="Z1181">
        <v>119</v>
      </c>
      <c r="AA1181">
        <v>251</v>
      </c>
      <c r="AB1181">
        <v>7.5899526031924003</v>
      </c>
      <c r="AC1181">
        <v>1.1147156826706001E-2</v>
      </c>
      <c r="AD1181">
        <v>1.1813872030503301</v>
      </c>
      <c r="AE1181">
        <v>0.21348794754332201</v>
      </c>
      <c r="AF1181">
        <v>619.74295774647896</v>
      </c>
      <c r="AG1181">
        <f>IFERROR(AH1181*0.1, "N/A")</f>
        <v>6.3413793103448306</v>
      </c>
      <c r="AH1181">
        <v>63.413793103448299</v>
      </c>
      <c r="AI1181">
        <v>175.85785382734201</v>
      </c>
      <c r="AJ1181">
        <v>33.709359605911303</v>
      </c>
      <c r="AK1181">
        <v>40.726600985221701</v>
      </c>
    </row>
    <row r="1182" spans="1:37" x14ac:dyDescent="0.3">
      <c r="A1182">
        <v>1181</v>
      </c>
      <c r="B1182">
        <v>55.400002000000001</v>
      </c>
      <c r="C1182">
        <v>32.877200999999999</v>
      </c>
      <c r="D1182">
        <v>1.6395</v>
      </c>
      <c r="E1182" t="s">
        <v>2062</v>
      </c>
      <c r="F1182" t="s">
        <v>2063</v>
      </c>
      <c r="G1182" t="s">
        <v>37</v>
      </c>
      <c r="H1182">
        <v>2004</v>
      </c>
      <c r="I1182">
        <v>23.600000381469702</v>
      </c>
      <c r="J1182">
        <v>12.6000003814697</v>
      </c>
      <c r="K1182">
        <v>79</v>
      </c>
      <c r="L1182">
        <v>9.2799997329711896</v>
      </c>
      <c r="M1182">
        <v>32.599998474121101</v>
      </c>
      <c r="N1182">
        <v>16.700000762939499</v>
      </c>
      <c r="O1182">
        <v>15.8999996185303</v>
      </c>
      <c r="P1182">
        <v>23.299999237060501</v>
      </c>
      <c r="Q1182">
        <v>24.600000381469702</v>
      </c>
      <c r="R1182">
        <v>24.899999618530298</v>
      </c>
      <c r="S1182">
        <v>22.399999618530298</v>
      </c>
      <c r="T1182">
        <v>1324</v>
      </c>
      <c r="U1182">
        <v>189</v>
      </c>
      <c r="V1182">
        <v>25</v>
      </c>
      <c r="W1182">
        <v>45</v>
      </c>
      <c r="X1182">
        <v>459</v>
      </c>
      <c r="Y1182">
        <v>133</v>
      </c>
      <c r="Z1182">
        <v>165</v>
      </c>
      <c r="AA1182">
        <v>346</v>
      </c>
      <c r="AB1182">
        <v>7.3117205949994499</v>
      </c>
      <c r="AC1182">
        <v>2.4552088933022999E-2</v>
      </c>
      <c r="AD1182">
        <v>1.7166809580028599</v>
      </c>
      <c r="AE1182">
        <v>0.66433235704375104</v>
      </c>
      <c r="AF1182">
        <v>1050.3673110720599</v>
      </c>
      <c r="AG1182">
        <f>IFERROR(AH1182*0.1, "N/A")</f>
        <v>6</v>
      </c>
      <c r="AH1182">
        <v>60</v>
      </c>
      <c r="AI1182">
        <v>153.64542851506701</v>
      </c>
      <c r="AJ1182">
        <v>31.395430579964799</v>
      </c>
      <c r="AK1182">
        <v>46.9068541300527</v>
      </c>
    </row>
    <row r="1183" spans="1:37" x14ac:dyDescent="0.3">
      <c r="A1183">
        <v>1182</v>
      </c>
      <c r="B1183">
        <v>0</v>
      </c>
      <c r="C1183">
        <v>32.333302000000003</v>
      </c>
      <c r="D1183">
        <v>1.6666700000000001</v>
      </c>
      <c r="E1183" t="s">
        <v>2064</v>
      </c>
      <c r="F1183" t="s">
        <v>2065</v>
      </c>
      <c r="G1183" t="s">
        <v>39</v>
      </c>
      <c r="H1183">
        <v>0</v>
      </c>
      <c r="I1183">
        <v>23.218629652670302</v>
      </c>
      <c r="J1183">
        <v>12.353602695967901</v>
      </c>
      <c r="K1183">
        <v>80.536028119507904</v>
      </c>
      <c r="L1183">
        <v>8.1091739205358699</v>
      </c>
      <c r="M1183">
        <v>31.7966604517717</v>
      </c>
      <c r="N1183">
        <v>16.5780319321135</v>
      </c>
      <c r="O1183">
        <v>15.218629054319299</v>
      </c>
      <c r="P1183">
        <v>23.678032313583198</v>
      </c>
      <c r="Q1183">
        <v>24.0186292450541</v>
      </c>
      <c r="R1183">
        <v>24.324428152744701</v>
      </c>
      <c r="S1183">
        <v>22.178032313583198</v>
      </c>
      <c r="T1183">
        <v>1269.6731107205601</v>
      </c>
      <c r="U1183">
        <v>182.24428822495599</v>
      </c>
      <c r="V1183">
        <v>33</v>
      </c>
      <c r="W1183">
        <v>43</v>
      </c>
      <c r="X1183">
        <v>436.02460456941998</v>
      </c>
      <c r="Y1183">
        <v>142</v>
      </c>
      <c r="Z1183">
        <v>179</v>
      </c>
      <c r="AA1183">
        <v>342.93497363796098</v>
      </c>
      <c r="AB1183">
        <v>7.2225019994645203</v>
      </c>
      <c r="AC1183">
        <v>8.5893300866056996E-2</v>
      </c>
      <c r="AD1183">
        <v>0.94487936561681696</v>
      </c>
      <c r="AE1183">
        <v>0.31563012789024802</v>
      </c>
      <c r="AF1183">
        <v>1043.55360281195</v>
      </c>
      <c r="AG1183">
        <f>IFERROR(AH1183*0.1, "N/A")</f>
        <v>5.9</v>
      </c>
      <c r="AH1183">
        <v>59</v>
      </c>
      <c r="AI1183">
        <v>154.54025528678201</v>
      </c>
      <c r="AJ1183">
        <v>34</v>
      </c>
      <c r="AK1183">
        <v>45.277680140597603</v>
      </c>
    </row>
    <row r="1184" spans="1:37" x14ac:dyDescent="0.3">
      <c r="A1184">
        <v>1183</v>
      </c>
      <c r="B1184">
        <v>93.800003000000004</v>
      </c>
      <c r="C1184">
        <v>31.251301000000002</v>
      </c>
      <c r="D1184">
        <v>1.6717500000000001</v>
      </c>
      <c r="E1184" t="s">
        <v>2066</v>
      </c>
      <c r="F1184" t="s">
        <v>2067</v>
      </c>
      <c r="G1184" t="s">
        <v>37</v>
      </c>
      <c r="H1184">
        <v>2005</v>
      </c>
      <c r="I1184">
        <v>24.799999237060501</v>
      </c>
      <c r="J1184">
        <v>11.1000003814697</v>
      </c>
      <c r="K1184">
        <v>82</v>
      </c>
      <c r="L1184">
        <v>6.71000003814697</v>
      </c>
      <c r="M1184">
        <v>32.099998474121101</v>
      </c>
      <c r="N1184">
        <v>18.700000762939499</v>
      </c>
      <c r="O1184">
        <v>13.3999996185303</v>
      </c>
      <c r="P1184">
        <v>25.200000762939499</v>
      </c>
      <c r="Q1184">
        <v>25.299999237060501</v>
      </c>
      <c r="R1184">
        <v>25.700000762939499</v>
      </c>
      <c r="S1184">
        <v>23.899999618530298</v>
      </c>
      <c r="T1184">
        <v>991</v>
      </c>
      <c r="U1184">
        <v>139</v>
      </c>
      <c r="V1184">
        <v>24</v>
      </c>
      <c r="W1184">
        <v>44</v>
      </c>
      <c r="X1184">
        <v>335</v>
      </c>
      <c r="Y1184">
        <v>90</v>
      </c>
      <c r="Z1184">
        <v>133</v>
      </c>
      <c r="AA1184">
        <v>273</v>
      </c>
      <c r="AB1184">
        <v>14.6381449774824</v>
      </c>
      <c r="AC1184">
        <v>0.163498290799728</v>
      </c>
      <c r="AD1184">
        <v>8.4191975995819703</v>
      </c>
      <c r="AE1184">
        <v>0.34296053647995001</v>
      </c>
      <c r="AF1184">
        <v>639.89806678383104</v>
      </c>
      <c r="AG1184">
        <f>IFERROR(AH1184*0.1, "N/A")</f>
        <v>6.2</v>
      </c>
      <c r="AH1184">
        <v>62</v>
      </c>
      <c r="AI1184">
        <v>312.74115124318598</v>
      </c>
      <c r="AJ1184">
        <v>26.9982425307557</v>
      </c>
      <c r="AK1184">
        <v>44.500878734622098</v>
      </c>
    </row>
    <row r="1185" spans="1:37" x14ac:dyDescent="0.3">
      <c r="A1185">
        <v>1184</v>
      </c>
      <c r="B1185">
        <v>95.699996999999996</v>
      </c>
      <c r="C1185">
        <v>31.250999</v>
      </c>
      <c r="D1185">
        <v>1.67482</v>
      </c>
      <c r="E1185" t="s">
        <v>2068</v>
      </c>
      <c r="F1185" t="s">
        <v>2069</v>
      </c>
      <c r="G1185" t="s">
        <v>37</v>
      </c>
      <c r="H1185">
        <v>2007</v>
      </c>
      <c r="I1185">
        <v>24.907935927994899</v>
      </c>
      <c r="J1185">
        <v>11.0760143993183</v>
      </c>
      <c r="K1185">
        <v>82.119929453262799</v>
      </c>
      <c r="L1185">
        <v>6.7016049558313204</v>
      </c>
      <c r="M1185">
        <v>32.183949182904001</v>
      </c>
      <c r="N1185">
        <v>18.819930216202199</v>
      </c>
      <c r="O1185">
        <v>13.3640208740504</v>
      </c>
      <c r="P1185">
        <v>25.307937225126501</v>
      </c>
      <c r="Q1185">
        <v>25.419928690323299</v>
      </c>
      <c r="R1185">
        <v>25.807937225126501</v>
      </c>
      <c r="S1185">
        <v>24.0079360807173</v>
      </c>
      <c r="T1185">
        <v>976.24867724867704</v>
      </c>
      <c r="U1185">
        <v>137.56084656084701</v>
      </c>
      <c r="V1185">
        <v>23.520282186948901</v>
      </c>
      <c r="W1185">
        <v>44</v>
      </c>
      <c r="X1185">
        <v>330.68253968253998</v>
      </c>
      <c r="Y1185">
        <v>88.560846560846599</v>
      </c>
      <c r="Z1185">
        <v>131.08112874779499</v>
      </c>
      <c r="AA1185">
        <v>268.80246913580203</v>
      </c>
      <c r="AB1185">
        <v>3.84743772907022</v>
      </c>
      <c r="AC1185">
        <v>8.7206077737309998E-2</v>
      </c>
      <c r="AD1185">
        <v>3.62183648526563</v>
      </c>
      <c r="AE1185">
        <v>0.34296053647995001</v>
      </c>
      <c r="AF1185">
        <v>624.96825396825398</v>
      </c>
      <c r="AG1185">
        <f>IFERROR(AH1185*0.1, "N/A")</f>
        <v>6.2</v>
      </c>
      <c r="AH1185">
        <v>62</v>
      </c>
      <c r="AI1185">
        <v>317.98319966957001</v>
      </c>
      <c r="AJ1185">
        <v>28</v>
      </c>
      <c r="AK1185">
        <v>44</v>
      </c>
    </row>
    <row r="1186" spans="1:37" x14ac:dyDescent="0.3">
      <c r="A1186">
        <v>1185</v>
      </c>
      <c r="B1186">
        <v>3</v>
      </c>
      <c r="C1186">
        <v>31.497499000000001</v>
      </c>
      <c r="D1186">
        <v>1.68222</v>
      </c>
      <c r="E1186" t="s">
        <v>2070</v>
      </c>
      <c r="F1186" t="s">
        <v>2071</v>
      </c>
      <c r="G1186" t="s">
        <v>37</v>
      </c>
      <c r="H1186">
        <v>2004</v>
      </c>
      <c r="I1186">
        <v>23</v>
      </c>
      <c r="J1186">
        <v>11.800000190734901</v>
      </c>
      <c r="K1186">
        <v>80</v>
      </c>
      <c r="L1186">
        <v>8.0399999618530291</v>
      </c>
      <c r="M1186">
        <v>31.100000381469702</v>
      </c>
      <c r="N1186">
        <v>16.5</v>
      </c>
      <c r="O1186">
        <v>14.6000003814697</v>
      </c>
      <c r="P1186">
        <v>22.200000762939499</v>
      </c>
      <c r="Q1186">
        <v>23.700000762939499</v>
      </c>
      <c r="R1186">
        <v>24.100000381469702</v>
      </c>
      <c r="S1186">
        <v>21.899999618530298</v>
      </c>
      <c r="T1186">
        <v>1359</v>
      </c>
      <c r="U1186">
        <v>182</v>
      </c>
      <c r="V1186">
        <v>33</v>
      </c>
      <c r="W1186">
        <v>42</v>
      </c>
      <c r="X1186">
        <v>457</v>
      </c>
      <c r="Y1186">
        <v>127</v>
      </c>
      <c r="Z1186">
        <v>184</v>
      </c>
      <c r="AA1186">
        <v>389</v>
      </c>
      <c r="AB1186">
        <v>22.7067335017774</v>
      </c>
      <c r="AC1186">
        <v>9.88540808938E-3</v>
      </c>
      <c r="AD1186">
        <v>1.89230908414044</v>
      </c>
      <c r="AE1186">
        <v>0.32894825935363797</v>
      </c>
      <c r="AF1186">
        <v>1083.02821869489</v>
      </c>
      <c r="AG1186">
        <f>IFERROR(AH1186*0.1, "N/A")</f>
        <v>5.4</v>
      </c>
      <c r="AH1186">
        <v>54</v>
      </c>
      <c r="AI1186">
        <v>253.62723171227401</v>
      </c>
      <c r="AJ1186">
        <v>39.3915343915344</v>
      </c>
      <c r="AK1186">
        <v>40.430335097001802</v>
      </c>
    </row>
    <row r="1187" spans="1:37" x14ac:dyDescent="0.3">
      <c r="A1187">
        <v>1186</v>
      </c>
      <c r="B1187">
        <v>0</v>
      </c>
      <c r="C1187">
        <v>32.506000999999998</v>
      </c>
      <c r="D1187">
        <v>1.6835199999999999</v>
      </c>
      <c r="E1187" t="s">
        <v>2072</v>
      </c>
      <c r="F1187" t="s">
        <v>2073</v>
      </c>
      <c r="G1187" t="s">
        <v>39</v>
      </c>
      <c r="H1187">
        <v>0</v>
      </c>
      <c r="I1187">
        <v>23.299999237060501</v>
      </c>
      <c r="J1187">
        <v>12.5</v>
      </c>
      <c r="K1187">
        <v>80.420035149384901</v>
      </c>
      <c r="L1187">
        <v>8.4883829009553899</v>
      </c>
      <c r="M1187">
        <v>32.0579956001054</v>
      </c>
      <c r="N1187">
        <v>16.600000381469702</v>
      </c>
      <c r="O1187">
        <v>15.4579963248308</v>
      </c>
      <c r="P1187">
        <v>23.7579963630448</v>
      </c>
      <c r="Q1187">
        <v>24.157997087770301</v>
      </c>
      <c r="R1187">
        <v>24.457996324830798</v>
      </c>
      <c r="S1187">
        <v>22.200000762939499</v>
      </c>
      <c r="T1187">
        <v>1283.4200351493901</v>
      </c>
      <c r="U1187">
        <v>181.420035149385</v>
      </c>
      <c r="V1187">
        <v>29.420035149384901</v>
      </c>
      <c r="W1187">
        <v>43.579964850615099</v>
      </c>
      <c r="X1187">
        <v>438.420035149385</v>
      </c>
      <c r="Y1187">
        <v>136.420035149385</v>
      </c>
      <c r="Z1187">
        <v>174.420035149385</v>
      </c>
      <c r="AA1187">
        <v>323.579964850615</v>
      </c>
      <c r="AB1187">
        <v>6.5141200382386897</v>
      </c>
      <c r="AC1187">
        <v>1.3559668038453E-2</v>
      </c>
      <c r="AD1187">
        <v>1.46047996552841</v>
      </c>
      <c r="AE1187">
        <v>0.48042686872825902</v>
      </c>
      <c r="AF1187">
        <v>1042.33919156415</v>
      </c>
      <c r="AG1187">
        <f>IFERROR(AH1187*0.1, "N/A")</f>
        <v>5.9007029876977199</v>
      </c>
      <c r="AH1187">
        <v>59.007029876977199</v>
      </c>
      <c r="AI1187">
        <v>41.124884003704601</v>
      </c>
      <c r="AJ1187">
        <v>35.145869947275898</v>
      </c>
      <c r="AK1187">
        <v>46.007029876977199</v>
      </c>
    </row>
    <row r="1188" spans="1:37" x14ac:dyDescent="0.3">
      <c r="A1188">
        <v>1187</v>
      </c>
      <c r="B1188">
        <v>58.599997999999999</v>
      </c>
      <c r="C1188">
        <v>32.506000999999998</v>
      </c>
      <c r="D1188">
        <v>1.6835199999999999</v>
      </c>
      <c r="E1188" t="s">
        <v>2072</v>
      </c>
      <c r="F1188" t="s">
        <v>2074</v>
      </c>
      <c r="G1188" t="s">
        <v>37</v>
      </c>
      <c r="H1188">
        <v>0</v>
      </c>
      <c r="I1188">
        <v>23.299999237060501</v>
      </c>
      <c r="J1188">
        <v>12.5</v>
      </c>
      <c r="K1188">
        <v>80.420035149384901</v>
      </c>
      <c r="L1188">
        <v>8.4883829009553899</v>
      </c>
      <c r="M1188">
        <v>32.0579956001054</v>
      </c>
      <c r="N1188">
        <v>16.600000381469702</v>
      </c>
      <c r="O1188">
        <v>15.4579963248308</v>
      </c>
      <c r="P1188">
        <v>23.7579963630448</v>
      </c>
      <c r="Q1188">
        <v>24.157997087770301</v>
      </c>
      <c r="R1188">
        <v>24.457996324830798</v>
      </c>
      <c r="S1188">
        <v>22.200000762939499</v>
      </c>
      <c r="T1188">
        <v>1283.4200351493901</v>
      </c>
      <c r="U1188">
        <v>181.420035149385</v>
      </c>
      <c r="V1188">
        <v>29.420035149384901</v>
      </c>
      <c r="W1188">
        <v>43.579964850615099</v>
      </c>
      <c r="X1188">
        <v>438.420035149385</v>
      </c>
      <c r="Y1188">
        <v>136.420035149385</v>
      </c>
      <c r="Z1188">
        <v>174.420035149385</v>
      </c>
      <c r="AA1188">
        <v>323.579964850615</v>
      </c>
      <c r="AB1188">
        <v>6.5141200382386897</v>
      </c>
      <c r="AC1188">
        <v>1.3559668038453E-2</v>
      </c>
      <c r="AD1188">
        <v>1.46047996552841</v>
      </c>
      <c r="AE1188">
        <v>0.48042686872825902</v>
      </c>
      <c r="AF1188">
        <v>1042.33919156415</v>
      </c>
      <c r="AG1188">
        <f>IFERROR(AH1188*0.1, "N/A")</f>
        <v>5.9007029876977199</v>
      </c>
      <c r="AH1188">
        <v>59.007029876977199</v>
      </c>
      <c r="AI1188">
        <v>41.124884003704601</v>
      </c>
      <c r="AJ1188">
        <v>35.145869947275898</v>
      </c>
      <c r="AK1188">
        <v>46.007029876977199</v>
      </c>
    </row>
    <row r="1189" spans="1:37" x14ac:dyDescent="0.3">
      <c r="A1189">
        <v>1188</v>
      </c>
      <c r="B1189">
        <v>45.700001</v>
      </c>
      <c r="C1189">
        <v>31.308599000000001</v>
      </c>
      <c r="D1189">
        <v>1.68503</v>
      </c>
      <c r="E1189" t="s">
        <v>2075</v>
      </c>
      <c r="F1189" t="s">
        <v>2076</v>
      </c>
      <c r="G1189" t="s">
        <v>37</v>
      </c>
      <c r="H1189">
        <v>2010</v>
      </c>
      <c r="I1189">
        <v>23.4093306400407</v>
      </c>
      <c r="J1189">
        <v>11.5906693599593</v>
      </c>
      <c r="K1189">
        <v>80.9066901408451</v>
      </c>
      <c r="L1189">
        <v>7.2267957967771599</v>
      </c>
      <c r="M1189">
        <v>31.309330258570899</v>
      </c>
      <c r="N1189">
        <v>17.1093314029801</v>
      </c>
      <c r="O1189">
        <v>14.199999809265099</v>
      </c>
      <c r="P1189">
        <v>23.4093306400407</v>
      </c>
      <c r="Q1189">
        <v>24.0186620430208</v>
      </c>
      <c r="R1189">
        <v>24.4093306400407</v>
      </c>
      <c r="S1189">
        <v>22.509331021510398</v>
      </c>
      <c r="T1189">
        <v>1210.9471830985899</v>
      </c>
      <c r="U1189">
        <v>161.81338028169</v>
      </c>
      <c r="V1189">
        <v>28.9066901408451</v>
      </c>
      <c r="W1189">
        <v>44</v>
      </c>
      <c r="X1189">
        <v>407.34683098591501</v>
      </c>
      <c r="Y1189">
        <v>105.720070422535</v>
      </c>
      <c r="Z1189">
        <v>153.720070422535</v>
      </c>
      <c r="AA1189">
        <v>332.44014084507</v>
      </c>
      <c r="AB1189">
        <v>12.458643846108901</v>
      </c>
      <c r="AC1189">
        <v>0.34325928418752799</v>
      </c>
      <c r="AD1189">
        <v>3.1832051004322501</v>
      </c>
      <c r="AE1189">
        <v>0.353803688738967</v>
      </c>
      <c r="AF1189">
        <v>984.26232394366195</v>
      </c>
      <c r="AG1189">
        <f>IFERROR(AH1189*0.1, "N/A")</f>
        <v>5.8000000000000007</v>
      </c>
      <c r="AH1189">
        <v>58</v>
      </c>
      <c r="AI1189">
        <v>290.30044673866001</v>
      </c>
      <c r="AJ1189">
        <v>38.813380281690101</v>
      </c>
      <c r="AK1189">
        <v>38.977112676056301</v>
      </c>
    </row>
    <row r="1190" spans="1:37" x14ac:dyDescent="0.3">
      <c r="A1190">
        <v>1189</v>
      </c>
      <c r="B1190">
        <v>0</v>
      </c>
      <c r="C1190">
        <v>32.394500999999998</v>
      </c>
      <c r="D1190">
        <v>1.7035400000000001</v>
      </c>
      <c r="E1190" t="s">
        <v>2077</v>
      </c>
      <c r="F1190" t="s">
        <v>2078</v>
      </c>
      <c r="G1190" t="s">
        <v>39</v>
      </c>
      <c r="H1190">
        <v>0</v>
      </c>
      <c r="I1190">
        <v>23.299999237060501</v>
      </c>
      <c r="J1190">
        <v>12.3999996185303</v>
      </c>
      <c r="K1190">
        <v>80</v>
      </c>
      <c r="L1190">
        <v>8.4300003051757795</v>
      </c>
      <c r="M1190">
        <v>32</v>
      </c>
      <c r="N1190">
        <v>16.600000381469702</v>
      </c>
      <c r="O1190">
        <v>15.3999996185303</v>
      </c>
      <c r="P1190">
        <v>22.600000381469702</v>
      </c>
      <c r="Q1190">
        <v>24.100000381469702</v>
      </c>
      <c r="R1190">
        <v>24.5</v>
      </c>
      <c r="S1190">
        <v>22.200000762939499</v>
      </c>
      <c r="T1190">
        <v>1273</v>
      </c>
      <c r="U1190">
        <v>179</v>
      </c>
      <c r="V1190">
        <v>31</v>
      </c>
      <c r="W1190">
        <v>43</v>
      </c>
      <c r="X1190">
        <v>437</v>
      </c>
      <c r="Y1190">
        <v>138</v>
      </c>
      <c r="Z1190">
        <v>177</v>
      </c>
      <c r="AA1190">
        <v>319</v>
      </c>
      <c r="AB1190">
        <v>6.0914976197365496</v>
      </c>
      <c r="AC1190">
        <v>8.3422298163726996E-2</v>
      </c>
      <c r="AD1190">
        <v>1.2753131631400401</v>
      </c>
      <c r="AE1190">
        <v>0.370323926210403</v>
      </c>
      <c r="AF1190">
        <v>1038.2275132275099</v>
      </c>
      <c r="AG1190">
        <f>IFERROR(AH1190*0.1, "N/A")</f>
        <v>6.0432098765432105</v>
      </c>
      <c r="AH1190">
        <v>60.432098765432102</v>
      </c>
      <c r="AI1190">
        <v>180.30570301681601</v>
      </c>
      <c r="AJ1190">
        <v>33.190476190476197</v>
      </c>
      <c r="AK1190">
        <v>48.097001763668402</v>
      </c>
    </row>
    <row r="1191" spans="1:37" x14ac:dyDescent="0.3">
      <c r="A1191">
        <v>1190</v>
      </c>
      <c r="B1191">
        <v>2.5</v>
      </c>
      <c r="C1191">
        <v>33.852200000000003</v>
      </c>
      <c r="D1191">
        <v>1.71783</v>
      </c>
      <c r="E1191" t="s">
        <v>2079</v>
      </c>
      <c r="F1191" t="s">
        <v>2080</v>
      </c>
      <c r="G1191" t="s">
        <v>37</v>
      </c>
      <c r="H1191">
        <v>2004</v>
      </c>
      <c r="I1191">
        <v>24</v>
      </c>
      <c r="J1191">
        <v>12.5</v>
      </c>
      <c r="K1191">
        <v>79</v>
      </c>
      <c r="L1191">
        <v>9.6700000762939506</v>
      </c>
      <c r="M1191">
        <v>32.799999237060497</v>
      </c>
      <c r="N1191">
        <v>17.100000381469702</v>
      </c>
      <c r="O1191">
        <v>15.699999809265099</v>
      </c>
      <c r="P1191">
        <v>23.5</v>
      </c>
      <c r="Q1191">
        <v>25</v>
      </c>
      <c r="R1191">
        <v>25.299999237060501</v>
      </c>
      <c r="S1191">
        <v>22.700000762939499</v>
      </c>
      <c r="T1191">
        <v>1190</v>
      </c>
      <c r="U1191">
        <v>169</v>
      </c>
      <c r="V1191">
        <v>22</v>
      </c>
      <c r="W1191">
        <v>47</v>
      </c>
      <c r="X1191">
        <v>437</v>
      </c>
      <c r="Y1191">
        <v>101</v>
      </c>
      <c r="Z1191">
        <v>142</v>
      </c>
      <c r="AA1191">
        <v>385</v>
      </c>
      <c r="AB1191">
        <v>14.6213958040537</v>
      </c>
      <c r="AC1191">
        <v>5.7322211468319999E-2</v>
      </c>
      <c r="AD1191">
        <v>1.89990965167892</v>
      </c>
      <c r="AE1191">
        <v>0.69054877758026101</v>
      </c>
      <c r="AF1191">
        <v>1063.5855379188699</v>
      </c>
      <c r="AG1191">
        <f>IFERROR(AH1191*0.1, "N/A")</f>
        <v>5.97389770723104</v>
      </c>
      <c r="AH1191">
        <v>59.738977072310398</v>
      </c>
      <c r="AI1191">
        <v>275.39532793640501</v>
      </c>
      <c r="AJ1191">
        <v>27</v>
      </c>
      <c r="AK1191">
        <v>55.885361552028201</v>
      </c>
    </row>
    <row r="1192" spans="1:37" x14ac:dyDescent="0.3">
      <c r="A1192">
        <v>1191</v>
      </c>
      <c r="B1192">
        <v>91.099997999999999</v>
      </c>
      <c r="C1192">
        <v>31.310699</v>
      </c>
      <c r="D1192">
        <v>1.7317</v>
      </c>
      <c r="E1192" t="s">
        <v>2081</v>
      </c>
      <c r="F1192" t="s">
        <v>2082</v>
      </c>
      <c r="G1192" t="s">
        <v>37</v>
      </c>
      <c r="H1192">
        <v>2007</v>
      </c>
      <c r="I1192">
        <v>25.399999618530298</v>
      </c>
      <c r="J1192">
        <v>10.800000190734901</v>
      </c>
      <c r="K1192">
        <v>83</v>
      </c>
      <c r="L1192">
        <v>6.3000001907348597</v>
      </c>
      <c r="M1192">
        <v>32.400001525878899</v>
      </c>
      <c r="N1192">
        <v>19.399999618530298</v>
      </c>
      <c r="O1192">
        <v>13</v>
      </c>
      <c r="P1192">
        <v>25.799999237060501</v>
      </c>
      <c r="Q1192">
        <v>25.899999618530298</v>
      </c>
      <c r="R1192">
        <v>26.200000762939499</v>
      </c>
      <c r="S1192">
        <v>24.5</v>
      </c>
      <c r="T1192">
        <v>881</v>
      </c>
      <c r="U1192">
        <v>124</v>
      </c>
      <c r="V1192">
        <v>22</v>
      </c>
      <c r="W1192">
        <v>43</v>
      </c>
      <c r="X1192">
        <v>296</v>
      </c>
      <c r="Y1192">
        <v>80</v>
      </c>
      <c r="Z1192">
        <v>121</v>
      </c>
      <c r="AA1192">
        <v>242</v>
      </c>
      <c r="AB1192">
        <v>14.3632829662786</v>
      </c>
      <c r="AC1192">
        <v>0.257808672627581</v>
      </c>
      <c r="AD1192">
        <v>2.1087229285382598</v>
      </c>
      <c r="AE1192">
        <v>0.28737956285476701</v>
      </c>
      <c r="AF1192">
        <v>636.82601054481495</v>
      </c>
      <c r="AG1192">
        <f>IFERROR(AH1192*0.1, "N/A")</f>
        <v>6.5138840070298798</v>
      </c>
      <c r="AH1192">
        <v>65.138840070298798</v>
      </c>
      <c r="AI1192">
        <v>295.15538590737901</v>
      </c>
      <c r="AJ1192">
        <v>26.861159929701198</v>
      </c>
      <c r="AK1192">
        <v>45.416520210896302</v>
      </c>
    </row>
    <row r="1193" spans="1:37" x14ac:dyDescent="0.3">
      <c r="A1193">
        <v>1192</v>
      </c>
      <c r="B1193">
        <v>95</v>
      </c>
      <c r="C1193">
        <v>31.310499</v>
      </c>
      <c r="D1193">
        <v>1.73187</v>
      </c>
      <c r="E1193" t="s">
        <v>2083</v>
      </c>
      <c r="F1193" t="s">
        <v>2084</v>
      </c>
      <c r="G1193" t="s">
        <v>37</v>
      </c>
      <c r="H1193">
        <v>2004</v>
      </c>
      <c r="I1193">
        <v>25.399999618530298</v>
      </c>
      <c r="J1193">
        <v>10.800000190734901</v>
      </c>
      <c r="K1193">
        <v>83</v>
      </c>
      <c r="L1193">
        <v>6.3000001907348597</v>
      </c>
      <c r="M1193">
        <v>32.400001525878899</v>
      </c>
      <c r="N1193">
        <v>19.399999618530298</v>
      </c>
      <c r="O1193">
        <v>13</v>
      </c>
      <c r="P1193">
        <v>25.799999237060501</v>
      </c>
      <c r="Q1193">
        <v>25.899999618530298</v>
      </c>
      <c r="R1193">
        <v>26.200000762939499</v>
      </c>
      <c r="S1193">
        <v>24.5</v>
      </c>
      <c r="T1193">
        <v>881</v>
      </c>
      <c r="U1193">
        <v>124</v>
      </c>
      <c r="V1193">
        <v>22</v>
      </c>
      <c r="W1193">
        <v>43</v>
      </c>
      <c r="X1193">
        <v>296</v>
      </c>
      <c r="Y1193">
        <v>80</v>
      </c>
      <c r="Z1193">
        <v>121</v>
      </c>
      <c r="AA1193">
        <v>242</v>
      </c>
      <c r="AB1193">
        <v>13.42730702145</v>
      </c>
      <c r="AC1193">
        <v>0.25916509886114802</v>
      </c>
      <c r="AD1193">
        <v>2.0599657154419</v>
      </c>
      <c r="AE1193">
        <v>0.28737956285476701</v>
      </c>
      <c r="AF1193">
        <v>635.77112676056299</v>
      </c>
      <c r="AG1193">
        <f>IFERROR(AH1193*0.1, "N/A")</f>
        <v>6.5464788732394403</v>
      </c>
      <c r="AH1193">
        <v>65.464788732394396</v>
      </c>
      <c r="AI1193">
        <v>295.158115333235</v>
      </c>
      <c r="AJ1193">
        <v>26.5352112676056</v>
      </c>
      <c r="AK1193">
        <v>46.394366197183103</v>
      </c>
    </row>
    <row r="1194" spans="1:37" x14ac:dyDescent="0.3">
      <c r="A1194">
        <v>1193</v>
      </c>
      <c r="B1194">
        <v>90</v>
      </c>
      <c r="C1194">
        <v>31.307500999999998</v>
      </c>
      <c r="D1194">
        <v>1.73315</v>
      </c>
      <c r="E1194" t="s">
        <v>2085</v>
      </c>
      <c r="F1194" t="s">
        <v>2086</v>
      </c>
      <c r="G1194" t="s">
        <v>37</v>
      </c>
      <c r="H1194">
        <v>2005</v>
      </c>
      <c r="I1194">
        <v>25.503514951896999</v>
      </c>
      <c r="J1194">
        <v>10.790861315802699</v>
      </c>
      <c r="K1194">
        <v>83</v>
      </c>
      <c r="L1194">
        <v>6.4677328736585098</v>
      </c>
      <c r="M1194">
        <v>32.588750842585497</v>
      </c>
      <c r="N1194">
        <v>19.607030110954199</v>
      </c>
      <c r="O1194">
        <v>12.9817223372904</v>
      </c>
      <c r="P1194">
        <v>25.9887521539296</v>
      </c>
      <c r="Q1194">
        <v>26.088752535399301</v>
      </c>
      <c r="R1194">
        <v>26.388751879727302</v>
      </c>
      <c r="S1194">
        <v>24.612654033989401</v>
      </c>
      <c r="T1194">
        <v>854.87873462214395</v>
      </c>
      <c r="U1194">
        <v>121.077328646749</v>
      </c>
      <c r="V1194">
        <v>21.056239015817201</v>
      </c>
      <c r="W1194">
        <v>43.943760984182802</v>
      </c>
      <c r="X1194">
        <v>288.26713532513202</v>
      </c>
      <c r="Y1194">
        <v>77.077328646748697</v>
      </c>
      <c r="Z1194">
        <v>117.224956063269</v>
      </c>
      <c r="AA1194">
        <v>235.21089630931499</v>
      </c>
      <c r="AB1194">
        <v>0.88154492101686099</v>
      </c>
      <c r="AC1194">
        <v>0.25686262283467698</v>
      </c>
      <c r="AD1194">
        <v>4.1053872749549898</v>
      </c>
      <c r="AE1194">
        <v>0.28737956285476701</v>
      </c>
      <c r="AF1194">
        <v>622.15641476274197</v>
      </c>
      <c r="AG1194">
        <f>IFERROR(AH1194*0.1, "N/A")</f>
        <v>6.4437500000000005</v>
      </c>
      <c r="AH1194">
        <v>64.4375</v>
      </c>
      <c r="AI1194">
        <v>292.85202605611198</v>
      </c>
      <c r="AJ1194">
        <v>26.78125</v>
      </c>
      <c r="AK1194">
        <v>48</v>
      </c>
    </row>
    <row r="1195" spans="1:37" x14ac:dyDescent="0.3">
      <c r="A1195">
        <v>1194</v>
      </c>
      <c r="B1195">
        <v>2.4</v>
      </c>
      <c r="C1195">
        <v>34.100700000000003</v>
      </c>
      <c r="D1195">
        <v>1.73383</v>
      </c>
      <c r="E1195" t="s">
        <v>2087</v>
      </c>
      <c r="F1195" t="s">
        <v>2088</v>
      </c>
      <c r="G1195" t="s">
        <v>37</v>
      </c>
      <c r="H1195">
        <v>2004</v>
      </c>
      <c r="I1195">
        <v>23.603339585771899</v>
      </c>
      <c r="J1195">
        <v>12.6000003814697</v>
      </c>
      <c r="K1195">
        <v>81</v>
      </c>
      <c r="L1195">
        <v>8.3374164695270494</v>
      </c>
      <c r="M1195">
        <v>32.258523595773099</v>
      </c>
      <c r="N1195">
        <v>16.758523595773099</v>
      </c>
      <c r="O1195">
        <v>15.5</v>
      </c>
      <c r="P1195">
        <v>23.303338441362701</v>
      </c>
      <c r="Q1195">
        <v>24.5</v>
      </c>
      <c r="R1195">
        <v>24.799999237060501</v>
      </c>
      <c r="S1195">
        <v>22.5481548409889</v>
      </c>
      <c r="T1195">
        <v>1120.76625659051</v>
      </c>
      <c r="U1195">
        <v>157.966608084359</v>
      </c>
      <c r="V1195">
        <v>23</v>
      </c>
      <c r="W1195">
        <v>48</v>
      </c>
      <c r="X1195">
        <v>403.38840070298801</v>
      </c>
      <c r="Y1195">
        <v>94</v>
      </c>
      <c r="Z1195">
        <v>138</v>
      </c>
      <c r="AA1195">
        <v>387.79613356766299</v>
      </c>
      <c r="AB1195">
        <v>11.264159083575899</v>
      </c>
      <c r="AC1195">
        <v>1.9550661238888999E-2</v>
      </c>
      <c r="AD1195">
        <v>0.89855635260446198</v>
      </c>
      <c r="AE1195">
        <v>0.67088502645492598</v>
      </c>
      <c r="AF1195">
        <v>1062.7891036906899</v>
      </c>
      <c r="AG1195">
        <f>IFERROR(AH1195*0.1, "N/A")</f>
        <v>6.1912126537785603</v>
      </c>
      <c r="AH1195">
        <v>61.912126537785603</v>
      </c>
      <c r="AI1195">
        <v>242.81443818801301</v>
      </c>
      <c r="AJ1195">
        <v>30.057996485061501</v>
      </c>
      <c r="AK1195">
        <v>52.898066783831297</v>
      </c>
    </row>
    <row r="1196" spans="1:37" x14ac:dyDescent="0.3">
      <c r="A1196">
        <v>1195</v>
      </c>
      <c r="B1196">
        <v>0</v>
      </c>
      <c r="C1196">
        <v>34.034301999999997</v>
      </c>
      <c r="D1196">
        <v>1.7576700000000001</v>
      </c>
      <c r="E1196" t="s">
        <v>2089</v>
      </c>
      <c r="F1196" t="s">
        <v>2090</v>
      </c>
      <c r="G1196" t="s">
        <v>37</v>
      </c>
      <c r="H1196">
        <v>2004</v>
      </c>
      <c r="I1196">
        <v>23.700000762939499</v>
      </c>
      <c r="J1196">
        <v>12.6000003814697</v>
      </c>
      <c r="K1196">
        <v>80</v>
      </c>
      <c r="L1196">
        <v>8.9227381712977607</v>
      </c>
      <c r="M1196">
        <v>32.400001525878899</v>
      </c>
      <c r="N1196">
        <v>16.799999237060501</v>
      </c>
      <c r="O1196">
        <v>15.6000003814697</v>
      </c>
      <c r="P1196">
        <v>23.401589730603099</v>
      </c>
      <c r="Q1196">
        <v>24.700000762939499</v>
      </c>
      <c r="R1196">
        <v>25</v>
      </c>
      <c r="S1196">
        <v>22.600000381469702</v>
      </c>
      <c r="T1196">
        <v>1110.9840989399299</v>
      </c>
      <c r="U1196">
        <v>155.754416961131</v>
      </c>
      <c r="V1196">
        <v>21.9840989399293</v>
      </c>
      <c r="W1196">
        <v>48</v>
      </c>
      <c r="X1196">
        <v>397.50883392226098</v>
      </c>
      <c r="Y1196">
        <v>92.984098939929297</v>
      </c>
      <c r="Z1196">
        <v>133.96819787985899</v>
      </c>
      <c r="AA1196">
        <v>383.24558303886897</v>
      </c>
      <c r="AB1196">
        <v>1.4054541705775201</v>
      </c>
      <c r="AC1196">
        <v>0.25482315969959501</v>
      </c>
      <c r="AD1196">
        <v>1.6873529073206399</v>
      </c>
      <c r="AE1196">
        <v>0.45465721195241199</v>
      </c>
      <c r="AF1196">
        <v>1060.73144876325</v>
      </c>
      <c r="AG1196">
        <f>IFERROR(AH1196*0.1, "N/A")</f>
        <v>6.1067137809187306</v>
      </c>
      <c r="AH1196">
        <v>61.067137809187301</v>
      </c>
      <c r="AI1196">
        <v>143.802311658017</v>
      </c>
      <c r="AJ1196">
        <v>41.150176678445199</v>
      </c>
      <c r="AK1196">
        <v>41.083038869257898</v>
      </c>
    </row>
    <row r="1197" spans="1:37" x14ac:dyDescent="0.3">
      <c r="A1197">
        <v>1196</v>
      </c>
      <c r="B1197">
        <v>19.700001</v>
      </c>
      <c r="C1197">
        <v>31.420798999999999</v>
      </c>
      <c r="D1197">
        <v>1.7585999999999999</v>
      </c>
      <c r="E1197" t="s">
        <v>2091</v>
      </c>
      <c r="F1197" t="s">
        <v>2092</v>
      </c>
      <c r="G1197" t="s">
        <v>37</v>
      </c>
      <c r="H1197">
        <v>2007</v>
      </c>
      <c r="I1197">
        <v>23.399999618530298</v>
      </c>
      <c r="J1197">
        <v>11.6000003814697</v>
      </c>
      <c r="K1197">
        <v>81</v>
      </c>
      <c r="L1197">
        <v>7.6701758940454896</v>
      </c>
      <c r="M1197">
        <v>31.299999237060501</v>
      </c>
      <c r="N1197">
        <v>17.005457767298498</v>
      </c>
      <c r="O1197">
        <v>14.294542423436299</v>
      </c>
      <c r="P1197">
        <v>22.505457767298498</v>
      </c>
      <c r="Q1197">
        <v>24.100000381469702</v>
      </c>
      <c r="R1197">
        <v>24.399999618530298</v>
      </c>
      <c r="S1197">
        <v>22.4054573858288</v>
      </c>
      <c r="T1197">
        <v>1234</v>
      </c>
      <c r="U1197">
        <v>161.05457746478899</v>
      </c>
      <c r="V1197">
        <v>29</v>
      </c>
      <c r="W1197">
        <v>43</v>
      </c>
      <c r="X1197">
        <v>413.94542253521098</v>
      </c>
      <c r="Y1197">
        <v>108</v>
      </c>
      <c r="Z1197">
        <v>159</v>
      </c>
      <c r="AA1197">
        <v>350.94542253521098</v>
      </c>
      <c r="AB1197">
        <v>26.875187941000501</v>
      </c>
      <c r="AC1197">
        <v>1.6125135476254999E-2</v>
      </c>
      <c r="AD1197">
        <v>2.4517837072342199</v>
      </c>
      <c r="AE1197">
        <v>0.52796268463134799</v>
      </c>
      <c r="AF1197">
        <v>1004.34683098592</v>
      </c>
      <c r="AG1197">
        <f>IFERROR(AH1197*0.1, "N/A")</f>
        <v>5.9144366197183107</v>
      </c>
      <c r="AH1197">
        <v>59.144366197183103</v>
      </c>
      <c r="AI1197">
        <v>194.82506711718099</v>
      </c>
      <c r="AJ1197">
        <v>37.144366197183103</v>
      </c>
      <c r="AK1197">
        <v>40.855633802816897</v>
      </c>
    </row>
    <row r="1198" spans="1:37" x14ac:dyDescent="0.3">
      <c r="A1198">
        <v>1197</v>
      </c>
      <c r="B1198">
        <v>36.099997999999999</v>
      </c>
      <c r="C1198">
        <v>31.420099</v>
      </c>
      <c r="D1198">
        <v>1.7646999999999999</v>
      </c>
      <c r="E1198" t="s">
        <v>2093</v>
      </c>
      <c r="F1198" t="s">
        <v>2094</v>
      </c>
      <c r="G1198" t="s">
        <v>37</v>
      </c>
      <c r="H1198">
        <v>2004</v>
      </c>
      <c r="I1198">
        <v>23.399999618530298</v>
      </c>
      <c r="J1198">
        <v>11.6000003814697</v>
      </c>
      <c r="K1198">
        <v>81</v>
      </c>
      <c r="L1198">
        <v>7.6799998283386204</v>
      </c>
      <c r="M1198">
        <v>31.299999237060501</v>
      </c>
      <c r="N1198">
        <v>17</v>
      </c>
      <c r="O1198">
        <v>14.300000190734901</v>
      </c>
      <c r="P1198">
        <v>22.5</v>
      </c>
      <c r="Q1198">
        <v>24.100000381469702</v>
      </c>
      <c r="R1198">
        <v>24.399999618530298</v>
      </c>
      <c r="S1198">
        <v>22.399999618530298</v>
      </c>
      <c r="T1198">
        <v>1234</v>
      </c>
      <c r="U1198">
        <v>161</v>
      </c>
      <c r="V1198">
        <v>29</v>
      </c>
      <c r="W1198">
        <v>43</v>
      </c>
      <c r="X1198">
        <v>414</v>
      </c>
      <c r="Y1198">
        <v>108</v>
      </c>
      <c r="Z1198">
        <v>159</v>
      </c>
      <c r="AA1198">
        <v>351</v>
      </c>
      <c r="AB1198">
        <v>29.1346359387014</v>
      </c>
      <c r="AC1198">
        <v>8.9342888176230009E-3</v>
      </c>
      <c r="AD1198">
        <v>1.4017715135651401</v>
      </c>
      <c r="AE1198">
        <v>0.52796268463134799</v>
      </c>
      <c r="AF1198">
        <v>1002.84007029877</v>
      </c>
      <c r="AG1198">
        <f>IFERROR(AH1198*0.1, "N/A")</f>
        <v>6.1729349736379611</v>
      </c>
      <c r="AH1198">
        <v>61.729349736379604</v>
      </c>
      <c r="AI1198">
        <v>84.802838377458102</v>
      </c>
      <c r="AJ1198">
        <v>37.270650263620396</v>
      </c>
      <c r="AK1198">
        <v>40.729349736379604</v>
      </c>
    </row>
    <row r="1199" spans="1:37" x14ac:dyDescent="0.3">
      <c r="A1199">
        <v>1198</v>
      </c>
      <c r="B1199">
        <v>0</v>
      </c>
      <c r="C1199">
        <v>32.373001000000002</v>
      </c>
      <c r="D1199">
        <v>1.77077</v>
      </c>
      <c r="E1199" t="s">
        <v>2095</v>
      </c>
      <c r="F1199" t="s">
        <v>2096</v>
      </c>
      <c r="G1199" t="s">
        <v>39</v>
      </c>
      <c r="H1199">
        <v>0</v>
      </c>
      <c r="I1199">
        <v>23.200000762939499</v>
      </c>
      <c r="J1199">
        <v>12.5</v>
      </c>
      <c r="K1199">
        <v>80</v>
      </c>
      <c r="L1199">
        <v>8.6499996185302699</v>
      </c>
      <c r="M1199">
        <v>32</v>
      </c>
      <c r="N1199">
        <v>16.5</v>
      </c>
      <c r="O1199">
        <v>15.5</v>
      </c>
      <c r="P1199">
        <v>22.399999618530298</v>
      </c>
      <c r="Q1199">
        <v>24.100000381469702</v>
      </c>
      <c r="R1199">
        <v>24.399999618530298</v>
      </c>
      <c r="S1199">
        <v>22.100000381469702</v>
      </c>
      <c r="T1199">
        <v>1267</v>
      </c>
      <c r="U1199">
        <v>172</v>
      </c>
      <c r="V1199">
        <v>31</v>
      </c>
      <c r="W1199">
        <v>42</v>
      </c>
      <c r="X1199">
        <v>440</v>
      </c>
      <c r="Y1199">
        <v>135</v>
      </c>
      <c r="Z1199">
        <v>177</v>
      </c>
      <c r="AA1199">
        <v>377</v>
      </c>
      <c r="AB1199">
        <v>3.3869723135964902</v>
      </c>
      <c r="AC1199">
        <v>0.50933832242888799</v>
      </c>
      <c r="AD1199">
        <v>1.63592590658288</v>
      </c>
      <c r="AE1199">
        <v>0.65137201547622703</v>
      </c>
      <c r="AF1199">
        <v>1053.2456140350901</v>
      </c>
      <c r="AG1199">
        <f>IFERROR(AH1199*0.1, "N/A")</f>
        <v>6.2</v>
      </c>
      <c r="AH1199">
        <v>62</v>
      </c>
      <c r="AI1199">
        <v>188.30245821768801</v>
      </c>
      <c r="AJ1199">
        <v>39.850877192982502</v>
      </c>
      <c r="AK1199">
        <v>40.149122807017498</v>
      </c>
    </row>
    <row r="1200" spans="1:37" x14ac:dyDescent="0.3">
      <c r="A1200">
        <v>1199</v>
      </c>
      <c r="B1200">
        <v>0</v>
      </c>
      <c r="C1200">
        <v>32.373001000000002</v>
      </c>
      <c r="D1200">
        <v>1.77077</v>
      </c>
      <c r="E1200" t="s">
        <v>2095</v>
      </c>
      <c r="F1200" t="s">
        <v>2097</v>
      </c>
      <c r="G1200" t="s">
        <v>37</v>
      </c>
      <c r="H1200">
        <v>0</v>
      </c>
      <c r="I1200">
        <v>23.200000762939499</v>
      </c>
      <c r="J1200">
        <v>12.5</v>
      </c>
      <c r="K1200">
        <v>80</v>
      </c>
      <c r="L1200">
        <v>8.6499996185302699</v>
      </c>
      <c r="M1200">
        <v>32</v>
      </c>
      <c r="N1200">
        <v>16.5</v>
      </c>
      <c r="O1200">
        <v>15.5</v>
      </c>
      <c r="P1200">
        <v>22.399999618530298</v>
      </c>
      <c r="Q1200">
        <v>24.100000381469702</v>
      </c>
      <c r="R1200">
        <v>24.399999618530298</v>
      </c>
      <c r="S1200">
        <v>22.100000381469702</v>
      </c>
      <c r="T1200">
        <v>1267</v>
      </c>
      <c r="U1200">
        <v>172</v>
      </c>
      <c r="V1200">
        <v>31</v>
      </c>
      <c r="W1200">
        <v>42</v>
      </c>
      <c r="X1200">
        <v>440</v>
      </c>
      <c r="Y1200">
        <v>135</v>
      </c>
      <c r="Z1200">
        <v>177</v>
      </c>
      <c r="AA1200">
        <v>377</v>
      </c>
      <c r="AB1200">
        <v>3.3869723135964902</v>
      </c>
      <c r="AC1200">
        <v>0.50933832242888799</v>
      </c>
      <c r="AD1200">
        <v>1.63592590658288</v>
      </c>
      <c r="AE1200">
        <v>0.65137201547622703</v>
      </c>
      <c r="AF1200">
        <v>1053.2456140350901</v>
      </c>
      <c r="AG1200">
        <f>IFERROR(AH1200*0.1, "N/A")</f>
        <v>6.2</v>
      </c>
      <c r="AH1200">
        <v>62</v>
      </c>
      <c r="AI1200">
        <v>188.30245821768801</v>
      </c>
      <c r="AJ1200">
        <v>39.850877192982502</v>
      </c>
      <c r="AK1200">
        <v>40.149122807017498</v>
      </c>
    </row>
    <row r="1201" spans="1:37" x14ac:dyDescent="0.3">
      <c r="A1201">
        <v>1200</v>
      </c>
      <c r="B1201">
        <v>2.4</v>
      </c>
      <c r="C1201">
        <v>34.124298000000003</v>
      </c>
      <c r="D1201">
        <v>1.7856700000000001</v>
      </c>
      <c r="E1201" t="s">
        <v>2098</v>
      </c>
      <c r="F1201" t="s">
        <v>2099</v>
      </c>
      <c r="G1201" t="s">
        <v>37</v>
      </c>
      <c r="H1201">
        <v>2004</v>
      </c>
      <c r="I1201">
        <v>23.600000381469702</v>
      </c>
      <c r="J1201">
        <v>12.6000003814697</v>
      </c>
      <c r="K1201">
        <v>80</v>
      </c>
      <c r="L1201">
        <v>8.3100004196166992</v>
      </c>
      <c r="M1201">
        <v>32.200000762939503</v>
      </c>
      <c r="N1201">
        <v>16.600000381469702</v>
      </c>
      <c r="O1201">
        <v>15.6000003814697</v>
      </c>
      <c r="P1201">
        <v>23.299999237060501</v>
      </c>
      <c r="Q1201">
        <v>24.399999618530298</v>
      </c>
      <c r="R1201">
        <v>24.799999237060501</v>
      </c>
      <c r="S1201">
        <v>22.600000381469702</v>
      </c>
      <c r="T1201">
        <v>1108</v>
      </c>
      <c r="U1201">
        <v>159</v>
      </c>
      <c r="V1201">
        <v>23</v>
      </c>
      <c r="W1201">
        <v>49</v>
      </c>
      <c r="X1201">
        <v>391</v>
      </c>
      <c r="Y1201">
        <v>91</v>
      </c>
      <c r="Z1201">
        <v>137</v>
      </c>
      <c r="AA1201">
        <v>389</v>
      </c>
      <c r="AB1201">
        <v>3.7609469991334699</v>
      </c>
      <c r="AC1201">
        <v>0.16403120310327801</v>
      </c>
      <c r="AD1201">
        <v>1.02546025455838</v>
      </c>
      <c r="AE1201">
        <v>0.45048320293426503</v>
      </c>
      <c r="AF1201">
        <v>1061.1971830985899</v>
      </c>
      <c r="AG1201">
        <f>IFERROR(AH1201*0.1, "N/A")</f>
        <v>5.9</v>
      </c>
      <c r="AH1201">
        <v>59</v>
      </c>
      <c r="AI1201">
        <v>148.80953791443699</v>
      </c>
      <c r="AJ1201">
        <v>32.0316901408451</v>
      </c>
      <c r="AK1201">
        <v>52.936619718309899</v>
      </c>
    </row>
    <row r="1202" spans="1:37" x14ac:dyDescent="0.3">
      <c r="A1202">
        <v>1201</v>
      </c>
      <c r="B1202">
        <v>0</v>
      </c>
      <c r="C1202">
        <v>33.030898999999998</v>
      </c>
      <c r="D1202">
        <v>1.7975300000000001</v>
      </c>
      <c r="E1202" t="s">
        <v>2100</v>
      </c>
      <c r="F1202" t="s">
        <v>2101</v>
      </c>
      <c r="G1202" t="s">
        <v>39</v>
      </c>
      <c r="H1202">
        <v>0</v>
      </c>
      <c r="I1202">
        <v>23.799999237060501</v>
      </c>
      <c r="J1202">
        <v>12.800000190734901</v>
      </c>
      <c r="K1202">
        <v>79</v>
      </c>
      <c r="L1202">
        <v>9.4600000381469709</v>
      </c>
      <c r="M1202">
        <v>33</v>
      </c>
      <c r="N1202">
        <v>16.899999618530298</v>
      </c>
      <c r="O1202">
        <v>16.100000381469702</v>
      </c>
      <c r="P1202">
        <v>23</v>
      </c>
      <c r="Q1202">
        <v>24.799999237060501</v>
      </c>
      <c r="R1202">
        <v>25.100000381469702</v>
      </c>
      <c r="S1202">
        <v>22.600000381469702</v>
      </c>
      <c r="T1202">
        <v>1343</v>
      </c>
      <c r="U1202">
        <v>181</v>
      </c>
      <c r="V1202">
        <v>22</v>
      </c>
      <c r="W1202">
        <v>46</v>
      </c>
      <c r="X1202">
        <v>470</v>
      </c>
      <c r="Y1202">
        <v>127</v>
      </c>
      <c r="Z1202">
        <v>157</v>
      </c>
      <c r="AA1202">
        <v>377</v>
      </c>
      <c r="AB1202">
        <v>9.1536107926460897</v>
      </c>
      <c r="AC1202">
        <v>3.2298017129537997E-2</v>
      </c>
      <c r="AD1202">
        <v>2.2374909414348401</v>
      </c>
      <c r="AE1202">
        <v>0.59783899784088101</v>
      </c>
      <c r="AF1202">
        <v>1052.1810193321601</v>
      </c>
      <c r="AG1202">
        <f>IFERROR(AH1202*0.1, "N/A")</f>
        <v>6</v>
      </c>
      <c r="AH1202">
        <v>60</v>
      </c>
      <c r="AI1202">
        <v>291.09758749158999</v>
      </c>
      <c r="AJ1202">
        <v>44.506151142355002</v>
      </c>
      <c r="AK1202">
        <v>39.0105448154657</v>
      </c>
    </row>
    <row r="1203" spans="1:37" x14ac:dyDescent="0.3">
      <c r="A1203">
        <v>1202</v>
      </c>
      <c r="B1203">
        <v>3.4</v>
      </c>
      <c r="C1203">
        <v>33.030898999999998</v>
      </c>
      <c r="D1203">
        <v>1.7975300000000001</v>
      </c>
      <c r="E1203" t="s">
        <v>2100</v>
      </c>
      <c r="F1203" t="s">
        <v>2102</v>
      </c>
      <c r="G1203" t="s">
        <v>37</v>
      </c>
      <c r="H1203">
        <v>0</v>
      </c>
      <c r="I1203">
        <v>23.799999237060501</v>
      </c>
      <c r="J1203">
        <v>12.800000190734901</v>
      </c>
      <c r="K1203">
        <v>79</v>
      </c>
      <c r="L1203">
        <v>9.4600000381469709</v>
      </c>
      <c r="M1203">
        <v>33</v>
      </c>
      <c r="N1203">
        <v>16.899999618530298</v>
      </c>
      <c r="O1203">
        <v>16.100000381469702</v>
      </c>
      <c r="P1203">
        <v>23</v>
      </c>
      <c r="Q1203">
        <v>24.799999237060501</v>
      </c>
      <c r="R1203">
        <v>25.100000381469702</v>
      </c>
      <c r="S1203">
        <v>22.600000381469702</v>
      </c>
      <c r="T1203">
        <v>1343</v>
      </c>
      <c r="U1203">
        <v>181</v>
      </c>
      <c r="V1203">
        <v>22</v>
      </c>
      <c r="W1203">
        <v>46</v>
      </c>
      <c r="X1203">
        <v>470</v>
      </c>
      <c r="Y1203">
        <v>127</v>
      </c>
      <c r="Z1203">
        <v>157</v>
      </c>
      <c r="AA1203">
        <v>377</v>
      </c>
      <c r="AB1203">
        <v>9.1536107926460897</v>
      </c>
      <c r="AC1203">
        <v>3.2298017129537997E-2</v>
      </c>
      <c r="AD1203">
        <v>2.2374909414348401</v>
      </c>
      <c r="AE1203">
        <v>0.59783899784088101</v>
      </c>
      <c r="AF1203">
        <v>1052.1810193321601</v>
      </c>
      <c r="AG1203">
        <f>IFERROR(AH1203*0.1, "N/A")</f>
        <v>6</v>
      </c>
      <c r="AH1203">
        <v>60</v>
      </c>
      <c r="AI1203">
        <v>291.09758749158999</v>
      </c>
      <c r="AJ1203">
        <v>44.506151142355002</v>
      </c>
      <c r="AK1203">
        <v>39.0105448154657</v>
      </c>
    </row>
    <row r="1204" spans="1:37" x14ac:dyDescent="0.3">
      <c r="A1204">
        <v>1203</v>
      </c>
      <c r="B1204">
        <v>65.599997999999999</v>
      </c>
      <c r="C1204">
        <v>31.3703</v>
      </c>
      <c r="D1204">
        <v>1.8107</v>
      </c>
      <c r="E1204" t="s">
        <v>2103</v>
      </c>
      <c r="F1204" t="s">
        <v>2104</v>
      </c>
      <c r="G1204" t="s">
        <v>37</v>
      </c>
      <c r="H1204">
        <v>2007</v>
      </c>
      <c r="I1204">
        <v>25.5</v>
      </c>
      <c r="J1204">
        <v>10.699999809265099</v>
      </c>
      <c r="K1204">
        <v>84</v>
      </c>
      <c r="L1204">
        <v>6.2300000190734899</v>
      </c>
      <c r="M1204">
        <v>32.400001525878899</v>
      </c>
      <c r="N1204">
        <v>19.700000762939499</v>
      </c>
      <c r="O1204">
        <v>12.699999809265099</v>
      </c>
      <c r="P1204">
        <v>25.200000762939499</v>
      </c>
      <c r="Q1204">
        <v>26</v>
      </c>
      <c r="R1204">
        <v>26.299999237060501</v>
      </c>
      <c r="S1204">
        <v>24.600000381469702</v>
      </c>
      <c r="T1204">
        <v>872</v>
      </c>
      <c r="U1204">
        <v>120</v>
      </c>
      <c r="V1204">
        <v>22</v>
      </c>
      <c r="W1204">
        <v>43</v>
      </c>
      <c r="X1204">
        <v>296</v>
      </c>
      <c r="Y1204">
        <v>79</v>
      </c>
      <c r="Z1204">
        <v>121</v>
      </c>
      <c r="AA1204">
        <v>243</v>
      </c>
      <c r="AB1204">
        <v>7.4722028920348302</v>
      </c>
      <c r="AC1204">
        <v>0.21025355121540601</v>
      </c>
      <c r="AD1204">
        <v>1.2427405926963</v>
      </c>
      <c r="AE1204">
        <v>0.30459272913949598</v>
      </c>
      <c r="AF1204">
        <v>633.70246478873196</v>
      </c>
      <c r="AG1204">
        <f>IFERROR(AH1204*0.1, "N/A")</f>
        <v>6.1947183098591605</v>
      </c>
      <c r="AH1204">
        <v>61.947183098591601</v>
      </c>
      <c r="AI1204">
        <v>105.69758889372901</v>
      </c>
      <c r="AJ1204">
        <v>37.973591549295797</v>
      </c>
      <c r="AK1204">
        <v>38.026408450704203</v>
      </c>
    </row>
    <row r="1205" spans="1:37" x14ac:dyDescent="0.3">
      <c r="A1205">
        <v>1204</v>
      </c>
      <c r="B1205">
        <v>25</v>
      </c>
      <c r="C1205">
        <v>31.316700000000001</v>
      </c>
      <c r="D1205">
        <v>1.8167</v>
      </c>
      <c r="E1205" t="s">
        <v>2105</v>
      </c>
      <c r="F1205" t="s">
        <v>2106</v>
      </c>
      <c r="G1205" t="s">
        <v>37</v>
      </c>
      <c r="H1205">
        <v>1987</v>
      </c>
      <c r="I1205">
        <v>25.5196837306232</v>
      </c>
      <c r="J1205">
        <v>10.5233744301151</v>
      </c>
      <c r="K1205">
        <v>84</v>
      </c>
      <c r="L1205">
        <v>6.0329875686256704</v>
      </c>
      <c r="M1205">
        <v>32.323374113005798</v>
      </c>
      <c r="N1205">
        <v>19.799999237060501</v>
      </c>
      <c r="O1205">
        <v>12.5233744301151</v>
      </c>
      <c r="P1205">
        <v>25.299999237060501</v>
      </c>
      <c r="Q1205">
        <v>26.0196837306232</v>
      </c>
      <c r="R1205">
        <v>26.3196829676838</v>
      </c>
      <c r="S1205">
        <v>24.700000762939499</v>
      </c>
      <c r="T1205">
        <v>827.60281195079097</v>
      </c>
      <c r="U1205">
        <v>113.19683655535999</v>
      </c>
      <c r="V1205">
        <v>21</v>
      </c>
      <c r="W1205">
        <v>43.963093145869898</v>
      </c>
      <c r="X1205">
        <v>284.08611599297001</v>
      </c>
      <c r="Y1205">
        <v>73.196836555360306</v>
      </c>
      <c r="Z1205">
        <v>113.393673110721</v>
      </c>
      <c r="AA1205">
        <v>231.92618629174001</v>
      </c>
      <c r="AB1205">
        <v>0</v>
      </c>
      <c r="AC1205">
        <v>7.6982901822807995E-2</v>
      </c>
      <c r="AD1205">
        <v>0</v>
      </c>
      <c r="AE1205">
        <v>0.412941694259644</v>
      </c>
      <c r="AF1205">
        <v>614</v>
      </c>
      <c r="AG1205" t="str">
        <f>IFERROR(AH1205*0.1, "N/A")</f>
        <v>N/A</v>
      </c>
      <c r="AH1205" t="s">
        <v>729</v>
      </c>
      <c r="AI1205">
        <v>0</v>
      </c>
      <c r="AJ1205" t="s">
        <v>729</v>
      </c>
      <c r="AK1205" t="s">
        <v>729</v>
      </c>
    </row>
    <row r="1206" spans="1:37" x14ac:dyDescent="0.3">
      <c r="A1206">
        <v>1205</v>
      </c>
      <c r="B1206">
        <v>72</v>
      </c>
      <c r="C1206">
        <v>31.3293</v>
      </c>
      <c r="D1206">
        <v>1.8174399999999999</v>
      </c>
      <c r="E1206" t="s">
        <v>2107</v>
      </c>
      <c r="F1206" t="s">
        <v>2108</v>
      </c>
      <c r="G1206" t="s">
        <v>37</v>
      </c>
      <c r="H1206">
        <v>2004</v>
      </c>
      <c r="I1206">
        <v>25.5</v>
      </c>
      <c r="J1206">
        <v>10.5</v>
      </c>
      <c r="K1206">
        <v>84</v>
      </c>
      <c r="L1206">
        <v>5.9499998092651403</v>
      </c>
      <c r="M1206">
        <v>32.299999237060497</v>
      </c>
      <c r="N1206">
        <v>19.799999237060501</v>
      </c>
      <c r="O1206">
        <v>12.5</v>
      </c>
      <c r="P1206">
        <v>25.299999237060501</v>
      </c>
      <c r="Q1206">
        <v>26</v>
      </c>
      <c r="R1206">
        <v>26.299999237060501</v>
      </c>
      <c r="S1206">
        <v>24.700000762939499</v>
      </c>
      <c r="T1206">
        <v>838</v>
      </c>
      <c r="U1206">
        <v>115</v>
      </c>
      <c r="V1206">
        <v>21</v>
      </c>
      <c r="W1206">
        <v>44</v>
      </c>
      <c r="X1206">
        <v>287</v>
      </c>
      <c r="Y1206">
        <v>74</v>
      </c>
      <c r="Z1206">
        <v>115</v>
      </c>
      <c r="AA1206">
        <v>235</v>
      </c>
      <c r="AB1206">
        <v>7.34427239228636</v>
      </c>
      <c r="AC1206">
        <v>8.8739781959639996E-3</v>
      </c>
      <c r="AD1206">
        <v>1.1921793695912399</v>
      </c>
      <c r="AE1206">
        <v>0.342701286077499</v>
      </c>
      <c r="AF1206">
        <v>622.34797891036897</v>
      </c>
      <c r="AG1206">
        <f>IFERROR(AH1206*0.1, "N/A")</f>
        <v>6.3811950790861198</v>
      </c>
      <c r="AH1206">
        <v>63.811950790861196</v>
      </c>
      <c r="AI1206">
        <v>215.56233285055799</v>
      </c>
      <c r="AJ1206">
        <v>30.112478031634399</v>
      </c>
      <c r="AK1206">
        <v>47.764499121265402</v>
      </c>
    </row>
    <row r="1207" spans="1:37" x14ac:dyDescent="0.3">
      <c r="A1207">
        <v>1206</v>
      </c>
      <c r="B1207">
        <v>90.599997999999999</v>
      </c>
      <c r="C1207">
        <v>31.324498999999999</v>
      </c>
      <c r="D1207">
        <v>1.8183</v>
      </c>
      <c r="E1207" t="s">
        <v>2109</v>
      </c>
      <c r="F1207" t="s">
        <v>2110</v>
      </c>
      <c r="G1207" t="s">
        <v>37</v>
      </c>
      <c r="H1207">
        <v>1999</v>
      </c>
      <c r="I1207">
        <v>25.5</v>
      </c>
      <c r="J1207">
        <v>10.5</v>
      </c>
      <c r="K1207">
        <v>84</v>
      </c>
      <c r="L1207">
        <v>6.1346477521976999</v>
      </c>
      <c r="M1207">
        <v>32.299999237060497</v>
      </c>
      <c r="N1207">
        <v>19.799999237060501</v>
      </c>
      <c r="O1207">
        <v>12.5</v>
      </c>
      <c r="P1207">
        <v>25.299999237060501</v>
      </c>
      <c r="Q1207">
        <v>26</v>
      </c>
      <c r="R1207">
        <v>26.299999237060501</v>
      </c>
      <c r="S1207">
        <v>24.700000762939499</v>
      </c>
      <c r="T1207">
        <v>835.08450704225402</v>
      </c>
      <c r="U1207">
        <v>114.02816901408499</v>
      </c>
      <c r="V1207">
        <v>21</v>
      </c>
      <c r="W1207">
        <v>44</v>
      </c>
      <c r="X1207">
        <v>287</v>
      </c>
      <c r="Y1207">
        <v>74</v>
      </c>
      <c r="Z1207">
        <v>115</v>
      </c>
      <c r="AA1207">
        <v>234.028169014084</v>
      </c>
      <c r="AB1207">
        <v>6.8445359350929804</v>
      </c>
      <c r="AC1207">
        <v>1.3161414619338001E-2</v>
      </c>
      <c r="AD1207">
        <v>0.506326720748149</v>
      </c>
      <c r="AE1207">
        <v>0.36199266578949701</v>
      </c>
      <c r="AF1207">
        <v>621.90845070422495</v>
      </c>
      <c r="AG1207">
        <f>IFERROR(AH1207*0.1, "N/A")</f>
        <v>6.4387323943662</v>
      </c>
      <c r="AH1207">
        <v>64.387323943661997</v>
      </c>
      <c r="AI1207">
        <v>101.503759800548</v>
      </c>
      <c r="AJ1207">
        <v>29.985915492957702</v>
      </c>
      <c r="AK1207">
        <v>45.385563380281702</v>
      </c>
    </row>
    <row r="1208" spans="1:37" x14ac:dyDescent="0.3">
      <c r="A1208">
        <v>1207</v>
      </c>
      <c r="B1208">
        <v>87.5</v>
      </c>
      <c r="C1208">
        <v>31.371798999999999</v>
      </c>
      <c r="D1208">
        <v>1.8202</v>
      </c>
      <c r="E1208" t="s">
        <v>2111</v>
      </c>
      <c r="F1208" t="s">
        <v>2112</v>
      </c>
      <c r="G1208" t="s">
        <v>37</v>
      </c>
      <c r="H1208">
        <v>2004</v>
      </c>
      <c r="I1208">
        <v>25.5</v>
      </c>
      <c r="J1208">
        <v>10.699999809265099</v>
      </c>
      <c r="K1208">
        <v>83</v>
      </c>
      <c r="L1208">
        <v>6.5</v>
      </c>
      <c r="M1208">
        <v>32.5</v>
      </c>
      <c r="N1208">
        <v>19.700000762939499</v>
      </c>
      <c r="O1208">
        <v>12.800000190734901</v>
      </c>
      <c r="P1208">
        <v>25.200000762939499</v>
      </c>
      <c r="Q1208">
        <v>26</v>
      </c>
      <c r="R1208">
        <v>26.299999237060501</v>
      </c>
      <c r="S1208">
        <v>24.600000381469702</v>
      </c>
      <c r="T1208">
        <v>869</v>
      </c>
      <c r="U1208">
        <v>119</v>
      </c>
      <c r="V1208">
        <v>22</v>
      </c>
      <c r="W1208">
        <v>43</v>
      </c>
      <c r="X1208">
        <v>296</v>
      </c>
      <c r="Y1208">
        <v>78</v>
      </c>
      <c r="Z1208">
        <v>120</v>
      </c>
      <c r="AA1208">
        <v>243</v>
      </c>
      <c r="AB1208">
        <v>7.2305660415408104</v>
      </c>
      <c r="AC1208">
        <v>1.7447627066047001E-2</v>
      </c>
      <c r="AD1208">
        <v>1.0942956130093999</v>
      </c>
      <c r="AE1208">
        <v>0.29854543787314303</v>
      </c>
      <c r="AF1208">
        <v>624.50263620386602</v>
      </c>
      <c r="AG1208">
        <f>IFERROR(AH1208*0.1, "N/A")</f>
        <v>6.4685413005272396</v>
      </c>
      <c r="AH1208">
        <v>64.685413005272395</v>
      </c>
      <c r="AI1208">
        <v>288.32250542129498</v>
      </c>
      <c r="AJ1208">
        <v>31.615114235500901</v>
      </c>
      <c r="AK1208">
        <v>44.381370826010503</v>
      </c>
    </row>
    <row r="1209" spans="1:37" x14ac:dyDescent="0.3">
      <c r="A1209">
        <v>1208</v>
      </c>
      <c r="B1209">
        <v>0</v>
      </c>
      <c r="C1209">
        <v>33.786098000000003</v>
      </c>
      <c r="D1209">
        <v>1.8232699999999999</v>
      </c>
      <c r="E1209" t="s">
        <v>2113</v>
      </c>
      <c r="F1209" t="s">
        <v>2114</v>
      </c>
      <c r="G1209" t="s">
        <v>37</v>
      </c>
      <c r="H1209">
        <v>2004</v>
      </c>
      <c r="I1209">
        <v>24.100000381469702</v>
      </c>
      <c r="J1209">
        <v>12.6000003814697</v>
      </c>
      <c r="K1209">
        <v>79</v>
      </c>
      <c r="L1209">
        <v>10.1000003814697</v>
      </c>
      <c r="M1209">
        <v>33.099998474121101</v>
      </c>
      <c r="N1209">
        <v>17.200000762939499</v>
      </c>
      <c r="O1209">
        <v>15.8999996185303</v>
      </c>
      <c r="P1209">
        <v>23.600000381469702</v>
      </c>
      <c r="Q1209">
        <v>25.200000762939499</v>
      </c>
      <c r="R1209">
        <v>25.5</v>
      </c>
      <c r="S1209">
        <v>22.799999237060501</v>
      </c>
      <c r="T1209">
        <v>1223</v>
      </c>
      <c r="U1209">
        <v>170</v>
      </c>
      <c r="V1209">
        <v>23</v>
      </c>
      <c r="W1209">
        <v>47</v>
      </c>
      <c r="X1209">
        <v>439</v>
      </c>
      <c r="Y1209">
        <v>104</v>
      </c>
      <c r="Z1209">
        <v>152</v>
      </c>
      <c r="AA1209">
        <v>387</v>
      </c>
      <c r="AB1209">
        <v>14.7112125880282</v>
      </c>
      <c r="AC1209">
        <v>1.1070594965466999E-2</v>
      </c>
      <c r="AD1209">
        <v>1.88402170394088</v>
      </c>
      <c r="AE1209">
        <v>0.68243545293807995</v>
      </c>
      <c r="AF1209">
        <v>1063.0721830985899</v>
      </c>
      <c r="AG1209">
        <f>IFERROR(AH1209*0.1, "N/A")</f>
        <v>6</v>
      </c>
      <c r="AH1209">
        <v>60</v>
      </c>
      <c r="AI1209">
        <v>196.597352249522</v>
      </c>
      <c r="AJ1209">
        <v>35.492957746478901</v>
      </c>
      <c r="AK1209">
        <v>48.260563380281702</v>
      </c>
    </row>
    <row r="1210" spans="1:37" x14ac:dyDescent="0.3">
      <c r="A1210">
        <v>1209</v>
      </c>
      <c r="B1210">
        <v>0.85699999999999998</v>
      </c>
      <c r="C1210">
        <v>31.375699999999998</v>
      </c>
      <c r="D1210">
        <v>1.8262</v>
      </c>
      <c r="E1210" t="s">
        <v>2115</v>
      </c>
      <c r="F1210" t="s">
        <v>2116</v>
      </c>
      <c r="G1210" t="s">
        <v>37</v>
      </c>
      <c r="H1210">
        <v>2004</v>
      </c>
      <c r="I1210">
        <v>25.600000381469702</v>
      </c>
      <c r="J1210">
        <v>10.699999809265099</v>
      </c>
      <c r="K1210">
        <v>83</v>
      </c>
      <c r="L1210">
        <v>6.1799998283386204</v>
      </c>
      <c r="M1210">
        <v>32.5</v>
      </c>
      <c r="N1210">
        <v>19.700000762939499</v>
      </c>
      <c r="O1210">
        <v>12.800000190734901</v>
      </c>
      <c r="P1210">
        <v>25.200000762939499</v>
      </c>
      <c r="Q1210">
        <v>26.100000381469702</v>
      </c>
      <c r="R1210">
        <v>26.299999237060501</v>
      </c>
      <c r="S1210">
        <v>24.700000762939499</v>
      </c>
      <c r="T1210">
        <v>879</v>
      </c>
      <c r="U1210">
        <v>120</v>
      </c>
      <c r="V1210">
        <v>22</v>
      </c>
      <c r="W1210">
        <v>43</v>
      </c>
      <c r="X1210">
        <v>298</v>
      </c>
      <c r="Y1210">
        <v>80</v>
      </c>
      <c r="Z1210">
        <v>122</v>
      </c>
      <c r="AA1210">
        <v>246</v>
      </c>
      <c r="AB1210">
        <v>2.4346021709207499</v>
      </c>
      <c r="AC1210">
        <v>0.20655011913865201</v>
      </c>
      <c r="AD1210">
        <v>1.2037084435746199</v>
      </c>
      <c r="AE1210">
        <v>0.29492971301078802</v>
      </c>
      <c r="AF1210">
        <v>623.20386643233701</v>
      </c>
      <c r="AG1210">
        <f>IFERROR(AH1210*0.1, "N/A")</f>
        <v>6.3448154657293507</v>
      </c>
      <c r="AH1210">
        <v>63.4481546572935</v>
      </c>
      <c r="AI1210">
        <v>272.77519448654101</v>
      </c>
      <c r="AJ1210">
        <v>31.5518453427065</v>
      </c>
      <c r="AK1210">
        <v>44</v>
      </c>
    </row>
    <row r="1211" spans="1:37" x14ac:dyDescent="0.3">
      <c r="A1211">
        <v>1210</v>
      </c>
      <c r="B1211">
        <v>89.400002000000001</v>
      </c>
      <c r="C1211">
        <v>31.3827</v>
      </c>
      <c r="D1211">
        <v>1.84222</v>
      </c>
      <c r="E1211" t="s">
        <v>2117</v>
      </c>
      <c r="F1211" t="s">
        <v>2118</v>
      </c>
      <c r="G1211" t="s">
        <v>37</v>
      </c>
      <c r="H1211">
        <v>2007</v>
      </c>
      <c r="I1211">
        <v>25.502816912154099</v>
      </c>
      <c r="J1211">
        <v>10.699999809265099</v>
      </c>
      <c r="K1211">
        <v>84</v>
      </c>
      <c r="L1211">
        <v>6.3833803929073696</v>
      </c>
      <c r="M1211">
        <v>32.5</v>
      </c>
      <c r="N1211">
        <v>19.799999237060501</v>
      </c>
      <c r="O1211">
        <v>12.699999809265099</v>
      </c>
      <c r="P1211">
        <v>25.200000762939499</v>
      </c>
      <c r="Q1211">
        <v>26.100000381469702</v>
      </c>
      <c r="R1211">
        <v>26.399999618530298</v>
      </c>
      <c r="S1211">
        <v>24.700000762939499</v>
      </c>
      <c r="T1211">
        <v>878.02816901408403</v>
      </c>
      <c r="U1211">
        <v>120</v>
      </c>
      <c r="V1211">
        <v>22</v>
      </c>
      <c r="W1211">
        <v>43</v>
      </c>
      <c r="X1211">
        <v>298</v>
      </c>
      <c r="Y1211">
        <v>80</v>
      </c>
      <c r="Z1211">
        <v>122</v>
      </c>
      <c r="AA1211">
        <v>246</v>
      </c>
      <c r="AB1211">
        <v>1.4631961231500299</v>
      </c>
      <c r="AC1211">
        <v>2.7676236910849999E-2</v>
      </c>
      <c r="AD1211">
        <v>0.84988045603246798</v>
      </c>
      <c r="AE1211">
        <v>0.25494220852851901</v>
      </c>
      <c r="AF1211">
        <v>624.54225352112701</v>
      </c>
      <c r="AG1211">
        <f>IFERROR(AH1211*0.1, "N/A")</f>
        <v>6.5</v>
      </c>
      <c r="AH1211">
        <v>65</v>
      </c>
      <c r="AI1211">
        <v>208.57649204092999</v>
      </c>
      <c r="AJ1211">
        <v>27</v>
      </c>
      <c r="AK1211">
        <v>49</v>
      </c>
    </row>
    <row r="1212" spans="1:37" x14ac:dyDescent="0.3">
      <c r="A1212">
        <v>1211</v>
      </c>
      <c r="B1212">
        <v>94.400002000000001</v>
      </c>
      <c r="C1212">
        <v>31.382798999999999</v>
      </c>
      <c r="D1212">
        <v>1.84232</v>
      </c>
      <c r="E1212" t="s">
        <v>2119</v>
      </c>
      <c r="F1212" t="s">
        <v>2120</v>
      </c>
      <c r="G1212" t="s">
        <v>37</v>
      </c>
      <c r="H1212">
        <v>2007</v>
      </c>
      <c r="I1212">
        <v>25.5005291025475</v>
      </c>
      <c r="J1212">
        <v>10.699999809265099</v>
      </c>
      <c r="K1212">
        <v>83.994708994709001</v>
      </c>
      <c r="L1212">
        <v>6.3800530231818904</v>
      </c>
      <c r="M1212">
        <v>32.5</v>
      </c>
      <c r="N1212">
        <v>19.7994701446049</v>
      </c>
      <c r="O1212">
        <v>12.700528911812601</v>
      </c>
      <c r="P1212">
        <v>25.199471660392</v>
      </c>
      <c r="Q1212">
        <v>26.100000381469702</v>
      </c>
      <c r="R1212">
        <v>26.399470515982799</v>
      </c>
      <c r="S1212">
        <v>24.700000762939499</v>
      </c>
      <c r="T1212">
        <v>878.04761904761904</v>
      </c>
      <c r="U1212">
        <v>120.005291005291</v>
      </c>
      <c r="V1212">
        <v>22</v>
      </c>
      <c r="W1212">
        <v>43</v>
      </c>
      <c r="X1212">
        <v>298.01587301587301</v>
      </c>
      <c r="Y1212">
        <v>80</v>
      </c>
      <c r="Z1212">
        <v>122</v>
      </c>
      <c r="AA1212">
        <v>246.01587301587301</v>
      </c>
      <c r="AB1212">
        <v>1.2874681583787999</v>
      </c>
      <c r="AC1212">
        <v>2.8222291005982E-2</v>
      </c>
      <c r="AD1212">
        <v>0.90237828143059295</v>
      </c>
      <c r="AE1212">
        <v>0.25494220852851901</v>
      </c>
      <c r="AF1212">
        <v>624.82186948853598</v>
      </c>
      <c r="AG1212">
        <f>IFERROR(AH1212*0.1, "N/A")</f>
        <v>6.4989417989418001</v>
      </c>
      <c r="AH1212">
        <v>64.989417989418001</v>
      </c>
      <c r="AI1212">
        <v>198.739679299545</v>
      </c>
      <c r="AJ1212">
        <v>27</v>
      </c>
      <c r="AK1212">
        <v>48.994708994709001</v>
      </c>
    </row>
    <row r="1213" spans="1:37" x14ac:dyDescent="0.3">
      <c r="A1213">
        <v>1212</v>
      </c>
      <c r="B1213">
        <v>0</v>
      </c>
      <c r="C1213">
        <v>32.353698999999999</v>
      </c>
      <c r="D1213">
        <v>1.84927</v>
      </c>
      <c r="E1213" t="s">
        <v>2121</v>
      </c>
      <c r="F1213" t="s">
        <v>2122</v>
      </c>
      <c r="G1213" t="s">
        <v>39</v>
      </c>
      <c r="H1213">
        <v>0</v>
      </c>
      <c r="I1213">
        <v>23.377464321297701</v>
      </c>
      <c r="J1213">
        <v>12.5</v>
      </c>
      <c r="K1213">
        <v>80.225352112676106</v>
      </c>
      <c r="L1213">
        <v>8.49154941129013</v>
      </c>
      <c r="M1213">
        <v>32.077463606713501</v>
      </c>
      <c r="N1213">
        <v>16.600000381469702</v>
      </c>
      <c r="O1213">
        <v>15.477464702767399</v>
      </c>
      <c r="P1213">
        <v>22.5549297870045</v>
      </c>
      <c r="Q1213">
        <v>24.177465465706799</v>
      </c>
      <c r="R1213">
        <v>24.5</v>
      </c>
      <c r="S1213">
        <v>22.277464369653</v>
      </c>
      <c r="T1213">
        <v>1256.9014084507</v>
      </c>
      <c r="U1213">
        <v>164</v>
      </c>
      <c r="V1213">
        <v>30</v>
      </c>
      <c r="W1213">
        <v>42</v>
      </c>
      <c r="X1213">
        <v>442.45070422535201</v>
      </c>
      <c r="Y1213">
        <v>131</v>
      </c>
      <c r="Z1213">
        <v>176</v>
      </c>
      <c r="AA1213">
        <v>379.67605633802799</v>
      </c>
      <c r="AB1213">
        <v>16.040299751389199</v>
      </c>
      <c r="AC1213">
        <v>2.2998232886352998E-2</v>
      </c>
      <c r="AD1213">
        <v>1.17745550207689</v>
      </c>
      <c r="AE1213">
        <v>0.52754950523376498</v>
      </c>
      <c r="AF1213">
        <v>1051.3186619718299</v>
      </c>
      <c r="AG1213">
        <f>IFERROR(AH1213*0.1, "N/A")</f>
        <v>5.8480633802816904</v>
      </c>
      <c r="AH1213">
        <v>58.480633802816897</v>
      </c>
      <c r="AI1213">
        <v>227.388983739933</v>
      </c>
      <c r="AJ1213">
        <v>39</v>
      </c>
      <c r="AK1213">
        <v>43.061619718309899</v>
      </c>
    </row>
    <row r="1214" spans="1:37" x14ac:dyDescent="0.3">
      <c r="A1214">
        <v>1213</v>
      </c>
      <c r="B1214">
        <v>0</v>
      </c>
      <c r="C1214">
        <v>32.353698999999999</v>
      </c>
      <c r="D1214">
        <v>1.84927</v>
      </c>
      <c r="E1214" t="s">
        <v>2121</v>
      </c>
      <c r="F1214" t="s">
        <v>2123</v>
      </c>
      <c r="G1214" t="s">
        <v>37</v>
      </c>
      <c r="H1214">
        <v>0</v>
      </c>
      <c r="I1214">
        <v>23.377464321297701</v>
      </c>
      <c r="J1214">
        <v>12.5</v>
      </c>
      <c r="K1214">
        <v>80.225352112676106</v>
      </c>
      <c r="L1214">
        <v>8.49154941129013</v>
      </c>
      <c r="M1214">
        <v>32.077463606713501</v>
      </c>
      <c r="N1214">
        <v>16.600000381469702</v>
      </c>
      <c r="O1214">
        <v>15.477464702767399</v>
      </c>
      <c r="P1214">
        <v>22.5549297870045</v>
      </c>
      <c r="Q1214">
        <v>24.177465465706799</v>
      </c>
      <c r="R1214">
        <v>24.5</v>
      </c>
      <c r="S1214">
        <v>22.277464369653</v>
      </c>
      <c r="T1214">
        <v>1256.9014084507</v>
      </c>
      <c r="U1214">
        <v>164</v>
      </c>
      <c r="V1214">
        <v>30</v>
      </c>
      <c r="W1214">
        <v>42</v>
      </c>
      <c r="X1214">
        <v>442.45070422535201</v>
      </c>
      <c r="Y1214">
        <v>131</v>
      </c>
      <c r="Z1214">
        <v>176</v>
      </c>
      <c r="AA1214">
        <v>379.67605633802799</v>
      </c>
      <c r="AB1214">
        <v>16.040299751389199</v>
      </c>
      <c r="AC1214">
        <v>2.2998232886352998E-2</v>
      </c>
      <c r="AD1214">
        <v>1.17745550207689</v>
      </c>
      <c r="AE1214">
        <v>0.52754950523376498</v>
      </c>
      <c r="AF1214">
        <v>1051.3186619718299</v>
      </c>
      <c r="AG1214">
        <f>IFERROR(AH1214*0.1, "N/A")</f>
        <v>5.8480633802816904</v>
      </c>
      <c r="AH1214">
        <v>58.480633802816897</v>
      </c>
      <c r="AI1214">
        <v>227.388983739933</v>
      </c>
      <c r="AJ1214">
        <v>39</v>
      </c>
      <c r="AK1214">
        <v>43.061619718309899</v>
      </c>
    </row>
    <row r="1215" spans="1:37" x14ac:dyDescent="0.3">
      <c r="A1215">
        <v>1214</v>
      </c>
      <c r="B1215">
        <v>85.199996999999996</v>
      </c>
      <c r="C1215">
        <v>31.4</v>
      </c>
      <c r="D1215">
        <v>1.9</v>
      </c>
      <c r="E1215" t="s">
        <v>2124</v>
      </c>
      <c r="F1215" t="s">
        <v>2125</v>
      </c>
      <c r="G1215" t="s">
        <v>37</v>
      </c>
      <c r="H1215">
        <v>2008</v>
      </c>
      <c r="I1215">
        <v>25.524035179405899</v>
      </c>
      <c r="J1215">
        <v>10.8999996185303</v>
      </c>
      <c r="K1215">
        <v>83.096491228070207</v>
      </c>
      <c r="L1215">
        <v>6.7425964522779998</v>
      </c>
      <c r="M1215">
        <v>32.6566664377848</v>
      </c>
      <c r="N1215">
        <v>19.624035560875601</v>
      </c>
      <c r="O1215">
        <v>13.032631703427001</v>
      </c>
      <c r="P1215">
        <v>25.090351221854199</v>
      </c>
      <c r="Q1215">
        <v>26.0663160424483</v>
      </c>
      <c r="R1215">
        <v>26.3663152795089</v>
      </c>
      <c r="S1215">
        <v>24.666316423918101</v>
      </c>
      <c r="T1215">
        <v>906.83684210526303</v>
      </c>
      <c r="U1215">
        <v>121.75964912280701</v>
      </c>
      <c r="V1215">
        <v>22</v>
      </c>
      <c r="W1215">
        <v>43</v>
      </c>
      <c r="X1215">
        <v>309.27894736842097</v>
      </c>
      <c r="Y1215">
        <v>81.759649122807005</v>
      </c>
      <c r="Z1215">
        <v>124.75964912280701</v>
      </c>
      <c r="AA1215">
        <v>257.27894736842097</v>
      </c>
      <c r="AB1215">
        <v>1.82297930801124</v>
      </c>
      <c r="AC1215">
        <v>0.54886844367148302</v>
      </c>
      <c r="AD1215">
        <v>1.13627597762827</v>
      </c>
      <c r="AE1215">
        <v>0.26495619327352798</v>
      </c>
      <c r="AF1215">
        <v>620.66491228070197</v>
      </c>
      <c r="AG1215">
        <f>IFERROR(AH1215*0.1, "N/A")</f>
        <v>5.7002309468822201</v>
      </c>
      <c r="AH1215">
        <v>57.002309468822197</v>
      </c>
      <c r="AI1215">
        <v>181.57347578082201</v>
      </c>
      <c r="AJ1215">
        <v>30.004618937644299</v>
      </c>
      <c r="AK1215">
        <v>48.997690531177803</v>
      </c>
    </row>
    <row r="1216" spans="1:37" x14ac:dyDescent="0.3">
      <c r="A1216">
        <v>1215</v>
      </c>
      <c r="B1216">
        <v>55.599997999999999</v>
      </c>
      <c r="C1216">
        <v>31.409901000000001</v>
      </c>
      <c r="D1216">
        <v>1.9081999999999999</v>
      </c>
      <c r="E1216" t="s">
        <v>2126</v>
      </c>
      <c r="F1216" t="s">
        <v>2127</v>
      </c>
      <c r="G1216" t="s">
        <v>37</v>
      </c>
      <c r="H1216">
        <v>2010</v>
      </c>
      <c r="I1216">
        <v>25.5</v>
      </c>
      <c r="J1216">
        <v>10.8999996185303</v>
      </c>
      <c r="K1216">
        <v>83</v>
      </c>
      <c r="L1216">
        <v>6.8935788907502804</v>
      </c>
      <c r="M1216">
        <v>32.700000762939503</v>
      </c>
      <c r="N1216">
        <v>19.600000381469702</v>
      </c>
      <c r="O1216">
        <v>13.1000003814697</v>
      </c>
      <c r="P1216">
        <v>25.0663160424483</v>
      </c>
      <c r="Q1216">
        <v>26.100000381469702</v>
      </c>
      <c r="R1216">
        <v>26.399999618530298</v>
      </c>
      <c r="S1216">
        <v>24.600000381469702</v>
      </c>
      <c r="T1216">
        <v>918.01052631578898</v>
      </c>
      <c r="U1216">
        <v>123</v>
      </c>
      <c r="V1216">
        <v>22</v>
      </c>
      <c r="W1216">
        <v>43</v>
      </c>
      <c r="X1216">
        <v>312.67368421052601</v>
      </c>
      <c r="Y1216">
        <v>83</v>
      </c>
      <c r="Z1216">
        <v>126</v>
      </c>
      <c r="AA1216">
        <v>260.67368421052601</v>
      </c>
      <c r="AB1216">
        <v>7.3127735874109101</v>
      </c>
      <c r="AC1216">
        <v>5.4002212099076997E-2</v>
      </c>
      <c r="AD1216">
        <v>3.4409278790156099</v>
      </c>
      <c r="AE1216">
        <v>0.284344643354416</v>
      </c>
      <c r="AF1216">
        <v>622.33157894736803</v>
      </c>
      <c r="AG1216">
        <f>IFERROR(AH1216*0.1, "N/A")</f>
        <v>6.3000000000000007</v>
      </c>
      <c r="AH1216">
        <v>63</v>
      </c>
      <c r="AI1216">
        <v>308.20244140624999</v>
      </c>
      <c r="AJ1216">
        <v>30</v>
      </c>
      <c r="AK1216">
        <v>43</v>
      </c>
    </row>
    <row r="1217" spans="1:37" x14ac:dyDescent="0.3">
      <c r="A1217">
        <v>1216</v>
      </c>
      <c r="B1217">
        <v>2.5</v>
      </c>
      <c r="C1217">
        <v>33.954799999999999</v>
      </c>
      <c r="D1217">
        <v>1.91733</v>
      </c>
      <c r="E1217" t="s">
        <v>2128</v>
      </c>
      <c r="F1217" t="s">
        <v>2129</v>
      </c>
      <c r="G1217" t="s">
        <v>37</v>
      </c>
      <c r="H1217">
        <v>2004</v>
      </c>
      <c r="I1217">
        <v>23.700000762939499</v>
      </c>
      <c r="J1217">
        <v>12.6000003814697</v>
      </c>
      <c r="K1217">
        <v>80</v>
      </c>
      <c r="L1217">
        <v>9.1927464512032504</v>
      </c>
      <c r="M1217">
        <v>32.421832178679999</v>
      </c>
      <c r="N1217">
        <v>16.7218314157405</v>
      </c>
      <c r="O1217">
        <v>15.699999809265099</v>
      </c>
      <c r="P1217">
        <v>22.5</v>
      </c>
      <c r="Q1217">
        <v>24.621831450663802</v>
      </c>
      <c r="R1217">
        <v>24.921830687724398</v>
      </c>
      <c r="S1217">
        <v>22.5</v>
      </c>
      <c r="T1217">
        <v>1116.7816901408401</v>
      </c>
      <c r="U1217">
        <v>156.781690140845</v>
      </c>
      <c r="V1217">
        <v>22</v>
      </c>
      <c r="W1217">
        <v>45.7816901408451</v>
      </c>
      <c r="X1217">
        <v>388.56338028169</v>
      </c>
      <c r="Y1217">
        <v>93.2183098591549</v>
      </c>
      <c r="Z1217">
        <v>141.218309859155</v>
      </c>
      <c r="AA1217">
        <v>378.781690140845</v>
      </c>
      <c r="AB1217">
        <v>33.6065059178312</v>
      </c>
      <c r="AC1217">
        <v>3.8053189202632003E-2</v>
      </c>
      <c r="AD1217">
        <v>1.2662662687435999</v>
      </c>
      <c r="AE1217">
        <v>0.57726492103136795</v>
      </c>
      <c r="AF1217">
        <v>1098.0774647887299</v>
      </c>
      <c r="AG1217">
        <f>IFERROR(AH1217*0.1, "N/A")</f>
        <v>5.9755281690140798</v>
      </c>
      <c r="AH1217">
        <v>59.755281690140798</v>
      </c>
      <c r="AI1217">
        <v>165.69626105671199</v>
      </c>
      <c r="AJ1217">
        <v>27.998239436619698</v>
      </c>
      <c r="AK1217">
        <v>53.899647887323901</v>
      </c>
    </row>
    <row r="1218" spans="1:37" x14ac:dyDescent="0.3">
      <c r="A1218">
        <v>1217</v>
      </c>
      <c r="B1218">
        <v>0.9</v>
      </c>
      <c r="C1218">
        <v>32.582199000000003</v>
      </c>
      <c r="D1218">
        <v>1.9575</v>
      </c>
      <c r="E1218" t="s">
        <v>2130</v>
      </c>
      <c r="F1218" t="s">
        <v>2131</v>
      </c>
      <c r="G1218" t="s">
        <v>39</v>
      </c>
      <c r="H1218">
        <v>0</v>
      </c>
      <c r="I1218">
        <v>23.400526861314798</v>
      </c>
      <c r="J1218">
        <v>12.800000190734901</v>
      </c>
      <c r="K1218">
        <v>80</v>
      </c>
      <c r="L1218">
        <v>9.4701584378529091</v>
      </c>
      <c r="M1218">
        <v>32.599998474121101</v>
      </c>
      <c r="N1218">
        <v>16.600000381469702</v>
      </c>
      <c r="O1218">
        <v>16</v>
      </c>
      <c r="P1218">
        <v>22.600000381469702</v>
      </c>
      <c r="Q1218">
        <v>24.399999618530298</v>
      </c>
      <c r="R1218">
        <v>24.799999237060501</v>
      </c>
      <c r="S1218">
        <v>22.299999237060501</v>
      </c>
      <c r="T1218">
        <v>1318.99472759227</v>
      </c>
      <c r="U1218">
        <v>163.005272407733</v>
      </c>
      <c r="V1218">
        <v>27</v>
      </c>
      <c r="W1218">
        <v>42.005272407732903</v>
      </c>
      <c r="X1218">
        <v>471.005272407733</v>
      </c>
      <c r="Y1218">
        <v>128.994727592267</v>
      </c>
      <c r="Z1218">
        <v>181</v>
      </c>
      <c r="AA1218">
        <v>401.78910369068501</v>
      </c>
      <c r="AB1218">
        <v>7.80829147043882</v>
      </c>
      <c r="AC1218">
        <v>3.0118113172507E-2</v>
      </c>
      <c r="AD1218">
        <v>2.2648484876579098</v>
      </c>
      <c r="AE1218">
        <v>0.603157699108124</v>
      </c>
      <c r="AF1218">
        <v>1055.15817223199</v>
      </c>
      <c r="AG1218">
        <f>IFERROR(AH1218*0.1, "N/A")</f>
        <v>5.9850615114235506</v>
      </c>
      <c r="AH1218">
        <v>59.850615114235502</v>
      </c>
      <c r="AI1218">
        <v>80.297295905584207</v>
      </c>
      <c r="AJ1218">
        <v>41</v>
      </c>
      <c r="AK1218">
        <v>40.425307557117698</v>
      </c>
    </row>
    <row r="1219" spans="1:37" x14ac:dyDescent="0.3">
      <c r="A1219">
        <v>1218</v>
      </c>
      <c r="B1219">
        <v>0</v>
      </c>
      <c r="C1219">
        <v>32.582199000000003</v>
      </c>
      <c r="D1219">
        <v>1.9575</v>
      </c>
      <c r="E1219" t="s">
        <v>2130</v>
      </c>
      <c r="F1219" t="s">
        <v>2132</v>
      </c>
      <c r="G1219" t="s">
        <v>37</v>
      </c>
      <c r="H1219">
        <v>0</v>
      </c>
      <c r="I1219">
        <v>23.400526861314798</v>
      </c>
      <c r="J1219">
        <v>12.800000190734901</v>
      </c>
      <c r="K1219">
        <v>80</v>
      </c>
      <c r="L1219">
        <v>9.4701584378529091</v>
      </c>
      <c r="M1219">
        <v>32.599998474121101</v>
      </c>
      <c r="N1219">
        <v>16.600000381469702</v>
      </c>
      <c r="O1219">
        <v>16</v>
      </c>
      <c r="P1219">
        <v>22.600000381469702</v>
      </c>
      <c r="Q1219">
        <v>24.399999618530298</v>
      </c>
      <c r="R1219">
        <v>24.799999237060501</v>
      </c>
      <c r="S1219">
        <v>22.299999237060501</v>
      </c>
      <c r="T1219">
        <v>1318.99472759227</v>
      </c>
      <c r="U1219">
        <v>163.005272407733</v>
      </c>
      <c r="V1219">
        <v>27</v>
      </c>
      <c r="W1219">
        <v>42.005272407732903</v>
      </c>
      <c r="X1219">
        <v>471.005272407733</v>
      </c>
      <c r="Y1219">
        <v>128.994727592267</v>
      </c>
      <c r="Z1219">
        <v>181</v>
      </c>
      <c r="AA1219">
        <v>401.78910369068501</v>
      </c>
      <c r="AB1219">
        <v>7.80829147043882</v>
      </c>
      <c r="AC1219">
        <v>3.0118113172507E-2</v>
      </c>
      <c r="AD1219">
        <v>2.2648484876579098</v>
      </c>
      <c r="AE1219">
        <v>0.603157699108124</v>
      </c>
      <c r="AF1219">
        <v>1055.15817223199</v>
      </c>
      <c r="AG1219">
        <f>IFERROR(AH1219*0.1, "N/A")</f>
        <v>5.9850615114235506</v>
      </c>
      <c r="AH1219">
        <v>59.850615114235502</v>
      </c>
      <c r="AI1219">
        <v>80.297295905584207</v>
      </c>
      <c r="AJ1219">
        <v>41</v>
      </c>
      <c r="AK1219">
        <v>40.425307557117698</v>
      </c>
    </row>
    <row r="1220" spans="1:37" x14ac:dyDescent="0.3">
      <c r="A1220">
        <v>1219</v>
      </c>
      <c r="B1220">
        <v>0</v>
      </c>
      <c r="C1220">
        <v>33.063599000000004</v>
      </c>
      <c r="D1220">
        <v>1.9715100000000001</v>
      </c>
      <c r="E1220" t="s">
        <v>2133</v>
      </c>
      <c r="F1220" t="s">
        <v>2134</v>
      </c>
      <c r="G1220" t="s">
        <v>39</v>
      </c>
      <c r="H1220">
        <v>0</v>
      </c>
      <c r="I1220">
        <v>23.700000762939499</v>
      </c>
      <c r="J1220">
        <v>13</v>
      </c>
      <c r="K1220">
        <v>79</v>
      </c>
      <c r="L1220">
        <v>10.289999961853001</v>
      </c>
      <c r="M1220">
        <v>33.200000762939503</v>
      </c>
      <c r="N1220">
        <v>16.799999237060501</v>
      </c>
      <c r="O1220">
        <v>16.399999618530298</v>
      </c>
      <c r="P1220">
        <v>22.899999618530298</v>
      </c>
      <c r="Q1220">
        <v>24.799999237060501</v>
      </c>
      <c r="R1220">
        <v>25.200000762939499</v>
      </c>
      <c r="S1220">
        <v>22.5</v>
      </c>
      <c r="T1220">
        <v>1316</v>
      </c>
      <c r="U1220">
        <v>180</v>
      </c>
      <c r="V1220">
        <v>18</v>
      </c>
      <c r="W1220">
        <v>49</v>
      </c>
      <c r="X1220">
        <v>479</v>
      </c>
      <c r="Y1220">
        <v>108</v>
      </c>
      <c r="Z1220">
        <v>141</v>
      </c>
      <c r="AA1220">
        <v>403</v>
      </c>
      <c r="AB1220">
        <v>11.2465858928768</v>
      </c>
      <c r="AC1220">
        <v>2.0403868490944999E-2</v>
      </c>
      <c r="AD1220">
        <v>1.4451230357946101</v>
      </c>
      <c r="AE1220">
        <v>0.60145447417596098</v>
      </c>
      <c r="AF1220">
        <v>1049.8312829525501</v>
      </c>
      <c r="AG1220">
        <f>IFERROR(AH1220*0.1, "N/A")</f>
        <v>6.0978910369068604</v>
      </c>
      <c r="AH1220">
        <v>60.978910369068601</v>
      </c>
      <c r="AI1220">
        <v>83.768843551930701</v>
      </c>
      <c r="AJ1220">
        <v>43.704745166959597</v>
      </c>
      <c r="AK1220">
        <v>38.316344463971902</v>
      </c>
    </row>
    <row r="1221" spans="1:37" x14ac:dyDescent="0.3">
      <c r="A1221">
        <v>1220</v>
      </c>
      <c r="B1221">
        <v>0</v>
      </c>
      <c r="C1221">
        <v>33.063599000000004</v>
      </c>
      <c r="D1221">
        <v>1.9715100000000001</v>
      </c>
      <c r="E1221" t="s">
        <v>2133</v>
      </c>
      <c r="F1221" t="s">
        <v>2135</v>
      </c>
      <c r="G1221" t="s">
        <v>37</v>
      </c>
      <c r="H1221">
        <v>0</v>
      </c>
      <c r="I1221">
        <v>23.700000762939499</v>
      </c>
      <c r="J1221">
        <v>13</v>
      </c>
      <c r="K1221">
        <v>79</v>
      </c>
      <c r="L1221">
        <v>10.289999961853001</v>
      </c>
      <c r="M1221">
        <v>33.200000762939503</v>
      </c>
      <c r="N1221">
        <v>16.799999237060501</v>
      </c>
      <c r="O1221">
        <v>16.399999618530298</v>
      </c>
      <c r="P1221">
        <v>22.899999618530298</v>
      </c>
      <c r="Q1221">
        <v>24.799999237060501</v>
      </c>
      <c r="R1221">
        <v>25.200000762939499</v>
      </c>
      <c r="S1221">
        <v>22.5</v>
      </c>
      <c r="T1221">
        <v>1316</v>
      </c>
      <c r="U1221">
        <v>180</v>
      </c>
      <c r="V1221">
        <v>18</v>
      </c>
      <c r="W1221">
        <v>49</v>
      </c>
      <c r="X1221">
        <v>479</v>
      </c>
      <c r="Y1221">
        <v>108</v>
      </c>
      <c r="Z1221">
        <v>141</v>
      </c>
      <c r="AA1221">
        <v>403</v>
      </c>
      <c r="AB1221">
        <v>11.2465858928768</v>
      </c>
      <c r="AC1221">
        <v>2.0403868490944999E-2</v>
      </c>
      <c r="AD1221">
        <v>1.4451230357946101</v>
      </c>
      <c r="AE1221">
        <v>0.60145447417596098</v>
      </c>
      <c r="AF1221">
        <v>1049.8312829525501</v>
      </c>
      <c r="AG1221">
        <f>IFERROR(AH1221*0.1, "N/A")</f>
        <v>6.0978910369068604</v>
      </c>
      <c r="AH1221">
        <v>60.978910369068601</v>
      </c>
      <c r="AI1221">
        <v>83.768843551930701</v>
      </c>
      <c r="AJ1221">
        <v>43.704745166959597</v>
      </c>
      <c r="AK1221">
        <v>38.316344463971902</v>
      </c>
    </row>
    <row r="1222" spans="1:37" x14ac:dyDescent="0.3">
      <c r="A1222">
        <v>1221</v>
      </c>
      <c r="B1222">
        <v>0</v>
      </c>
      <c r="C1222">
        <v>33.001499000000003</v>
      </c>
      <c r="D1222">
        <v>1.9830099999999999</v>
      </c>
      <c r="E1222" t="s">
        <v>2136</v>
      </c>
      <c r="F1222" t="s">
        <v>2137</v>
      </c>
      <c r="G1222" t="s">
        <v>39</v>
      </c>
      <c r="H1222">
        <v>0</v>
      </c>
      <c r="I1222">
        <v>23.700000762939499</v>
      </c>
      <c r="J1222">
        <v>13</v>
      </c>
      <c r="K1222">
        <v>78</v>
      </c>
      <c r="L1222">
        <v>10.0549645356729</v>
      </c>
      <c r="M1222">
        <v>33.184155329851997</v>
      </c>
      <c r="N1222">
        <v>16.684155632072802</v>
      </c>
      <c r="O1222">
        <v>16.5</v>
      </c>
      <c r="P1222">
        <v>22.884154487663601</v>
      </c>
      <c r="Q1222">
        <v>24.784154408414601</v>
      </c>
      <c r="R1222">
        <v>25.100000381469702</v>
      </c>
      <c r="S1222">
        <v>22.468309738266601</v>
      </c>
      <c r="T1222">
        <v>1316.8415492957699</v>
      </c>
      <c r="U1222">
        <v>180</v>
      </c>
      <c r="V1222">
        <v>17</v>
      </c>
      <c r="W1222">
        <v>49</v>
      </c>
      <c r="X1222">
        <v>480.158450704225</v>
      </c>
      <c r="Y1222">
        <v>107</v>
      </c>
      <c r="Z1222">
        <v>139</v>
      </c>
      <c r="AA1222">
        <v>400</v>
      </c>
      <c r="AB1222">
        <v>9.4158329493562896</v>
      </c>
      <c r="AC1222">
        <v>2.2304622610558999E-2</v>
      </c>
      <c r="AD1222">
        <v>1.78814831669901</v>
      </c>
      <c r="AE1222">
        <v>0.50355321168899503</v>
      </c>
      <c r="AF1222">
        <v>1054.35563380282</v>
      </c>
      <c r="AG1222">
        <f>IFERROR(AH1222*0.1, "N/A")</f>
        <v>5.9142605633802807</v>
      </c>
      <c r="AH1222">
        <v>59.142605633802802</v>
      </c>
      <c r="AI1222">
        <v>85.274688304310104</v>
      </c>
      <c r="AJ1222">
        <v>39</v>
      </c>
      <c r="AK1222">
        <v>42.714788732394403</v>
      </c>
    </row>
    <row r="1223" spans="1:37" x14ac:dyDescent="0.3">
      <c r="A1223">
        <v>1222</v>
      </c>
      <c r="B1223">
        <v>0</v>
      </c>
      <c r="C1223">
        <v>33.001499000000003</v>
      </c>
      <c r="D1223">
        <v>1.9830099999999999</v>
      </c>
      <c r="E1223" t="s">
        <v>2136</v>
      </c>
      <c r="F1223" t="s">
        <v>2138</v>
      </c>
      <c r="G1223" t="s">
        <v>37</v>
      </c>
      <c r="H1223">
        <v>0</v>
      </c>
      <c r="I1223">
        <v>23.700000762939499</v>
      </c>
      <c r="J1223">
        <v>13</v>
      </c>
      <c r="K1223">
        <v>78</v>
      </c>
      <c r="L1223">
        <v>10.0549645356729</v>
      </c>
      <c r="M1223">
        <v>33.184155329851997</v>
      </c>
      <c r="N1223">
        <v>16.684155632072802</v>
      </c>
      <c r="O1223">
        <v>16.5</v>
      </c>
      <c r="P1223">
        <v>22.884154487663601</v>
      </c>
      <c r="Q1223">
        <v>24.784154408414601</v>
      </c>
      <c r="R1223">
        <v>25.100000381469702</v>
      </c>
      <c r="S1223">
        <v>22.468309738266601</v>
      </c>
      <c r="T1223">
        <v>1316.8415492957699</v>
      </c>
      <c r="U1223">
        <v>180</v>
      </c>
      <c r="V1223">
        <v>17</v>
      </c>
      <c r="W1223">
        <v>49</v>
      </c>
      <c r="X1223">
        <v>480.158450704225</v>
      </c>
      <c r="Y1223">
        <v>107</v>
      </c>
      <c r="Z1223">
        <v>139</v>
      </c>
      <c r="AA1223">
        <v>400</v>
      </c>
      <c r="AB1223">
        <v>9.4158329493562896</v>
      </c>
      <c r="AC1223">
        <v>2.2304622610558999E-2</v>
      </c>
      <c r="AD1223">
        <v>1.78814831669901</v>
      </c>
      <c r="AE1223">
        <v>0.50355321168899503</v>
      </c>
      <c r="AF1223">
        <v>1054.35563380282</v>
      </c>
      <c r="AG1223">
        <f>IFERROR(AH1223*0.1, "N/A")</f>
        <v>5.9142605633802807</v>
      </c>
      <c r="AH1223">
        <v>59.142605633802802</v>
      </c>
      <c r="AI1223">
        <v>85.274688304310104</v>
      </c>
      <c r="AJ1223">
        <v>39</v>
      </c>
      <c r="AK1223">
        <v>42.714788732394403</v>
      </c>
    </row>
    <row r="1224" spans="1:37" x14ac:dyDescent="0.3">
      <c r="A1224">
        <v>1223</v>
      </c>
      <c r="B1224">
        <v>0</v>
      </c>
      <c r="C1224">
        <v>32.540599999999998</v>
      </c>
      <c r="D1224">
        <v>1.98438</v>
      </c>
      <c r="E1224" t="s">
        <v>2139</v>
      </c>
      <c r="F1224" t="s">
        <v>2140</v>
      </c>
      <c r="G1224" t="s">
        <v>37</v>
      </c>
      <c r="H1224">
        <v>2004</v>
      </c>
      <c r="I1224">
        <v>23.5</v>
      </c>
      <c r="J1224">
        <v>12.800000190734901</v>
      </c>
      <c r="K1224">
        <v>79</v>
      </c>
      <c r="L1224">
        <v>9.5299997329711896</v>
      </c>
      <c r="M1224">
        <v>32.700000762939503</v>
      </c>
      <c r="N1224">
        <v>16.5</v>
      </c>
      <c r="O1224">
        <v>16.200000762939499</v>
      </c>
      <c r="P1224">
        <v>22.600000381469702</v>
      </c>
      <c r="Q1224">
        <v>24.399999618530298</v>
      </c>
      <c r="R1224">
        <v>24.799999237060501</v>
      </c>
      <c r="S1224">
        <v>22.299999237060501</v>
      </c>
      <c r="T1224">
        <v>1305</v>
      </c>
      <c r="U1224">
        <v>164</v>
      </c>
      <c r="V1224">
        <v>27</v>
      </c>
      <c r="W1224">
        <v>43</v>
      </c>
      <c r="X1224">
        <v>470</v>
      </c>
      <c r="Y1224">
        <v>127</v>
      </c>
      <c r="Z1224">
        <v>182</v>
      </c>
      <c r="AA1224">
        <v>399</v>
      </c>
      <c r="AB1224">
        <v>5.6492593828948801</v>
      </c>
      <c r="AC1224">
        <v>5.4935345606247001E-2</v>
      </c>
      <c r="AD1224">
        <v>1.98557940560192</v>
      </c>
      <c r="AE1224">
        <v>0.61805470400409701</v>
      </c>
      <c r="AF1224">
        <v>1044.04042179262</v>
      </c>
      <c r="AG1224">
        <f>IFERROR(AH1224*0.1, "N/A")</f>
        <v>6.2</v>
      </c>
      <c r="AH1224">
        <v>62</v>
      </c>
      <c r="AI1224">
        <v>252.950123067899</v>
      </c>
      <c r="AJ1224">
        <v>41.516695957820701</v>
      </c>
      <c r="AK1224">
        <v>40.516695957820701</v>
      </c>
    </row>
    <row r="1225" spans="1:37" x14ac:dyDescent="0.3">
      <c r="A1225">
        <v>1224</v>
      </c>
      <c r="B1225">
        <v>0</v>
      </c>
      <c r="C1225">
        <v>32.527999999999999</v>
      </c>
      <c r="D1225">
        <v>1.98498</v>
      </c>
      <c r="E1225" t="s">
        <v>2141</v>
      </c>
      <c r="F1225" t="s">
        <v>2142</v>
      </c>
      <c r="G1225" t="s">
        <v>37</v>
      </c>
      <c r="H1225">
        <v>2004</v>
      </c>
      <c r="I1225">
        <v>23.5</v>
      </c>
      <c r="J1225">
        <v>12.699999809265099</v>
      </c>
      <c r="K1225">
        <v>79</v>
      </c>
      <c r="L1225">
        <v>9.4399995803833008</v>
      </c>
      <c r="M1225">
        <v>32.599998474121101</v>
      </c>
      <c r="N1225">
        <v>16.600000381469702</v>
      </c>
      <c r="O1225">
        <v>16</v>
      </c>
      <c r="P1225">
        <v>22.600000381469702</v>
      </c>
      <c r="Q1225">
        <v>24.399999618530298</v>
      </c>
      <c r="R1225">
        <v>24.799999237060501</v>
      </c>
      <c r="S1225">
        <v>22.299999237060501</v>
      </c>
      <c r="T1225">
        <v>1305</v>
      </c>
      <c r="U1225">
        <v>164</v>
      </c>
      <c r="V1225">
        <v>27</v>
      </c>
      <c r="W1225">
        <v>43</v>
      </c>
      <c r="X1225">
        <v>470</v>
      </c>
      <c r="Y1225">
        <v>127</v>
      </c>
      <c r="Z1225">
        <v>182</v>
      </c>
      <c r="AA1225">
        <v>359</v>
      </c>
      <c r="AB1225">
        <v>10.5328894750934</v>
      </c>
      <c r="AC1225">
        <v>2.9156740240897001E-2</v>
      </c>
      <c r="AD1225">
        <v>2.3542729498841402</v>
      </c>
      <c r="AE1225">
        <v>0.46046045422553999</v>
      </c>
      <c r="AF1225">
        <v>1047.27943760984</v>
      </c>
      <c r="AG1225">
        <f>IFERROR(AH1225*0.1, "N/A")</f>
        <v>6.1050966608084405</v>
      </c>
      <c r="AH1225">
        <v>61.050966608084401</v>
      </c>
      <c r="AI1225">
        <v>176.284294141826</v>
      </c>
      <c r="AJ1225">
        <v>40.050966608084401</v>
      </c>
      <c r="AK1225">
        <v>41</v>
      </c>
    </row>
    <row r="1226" spans="1:37" x14ac:dyDescent="0.3">
      <c r="A1226">
        <v>1225</v>
      </c>
      <c r="B1226">
        <v>0</v>
      </c>
      <c r="C1226">
        <v>32.714500000000001</v>
      </c>
      <c r="D1226">
        <v>1.9921199999999999</v>
      </c>
      <c r="E1226" t="s">
        <v>2143</v>
      </c>
      <c r="F1226" t="s">
        <v>2144</v>
      </c>
      <c r="G1226" t="s">
        <v>39</v>
      </c>
      <c r="H1226">
        <v>0</v>
      </c>
      <c r="I1226">
        <v>23.5</v>
      </c>
      <c r="J1226">
        <v>12.8999996185303</v>
      </c>
      <c r="K1226">
        <v>79</v>
      </c>
      <c r="L1226">
        <v>10.0933682964803</v>
      </c>
      <c r="M1226">
        <v>32.892770319809202</v>
      </c>
      <c r="N1226">
        <v>16.600000381469702</v>
      </c>
      <c r="O1226">
        <v>16.2927683068331</v>
      </c>
      <c r="P1226">
        <v>22.700000762939499</v>
      </c>
      <c r="Q1226">
        <v>24.592769313321099</v>
      </c>
      <c r="R1226">
        <v>24.899999618530298</v>
      </c>
      <c r="S1226">
        <v>22.299999237060501</v>
      </c>
      <c r="T1226">
        <v>1323.7830687830699</v>
      </c>
      <c r="U1226">
        <v>165</v>
      </c>
      <c r="V1226">
        <v>24</v>
      </c>
      <c r="W1226">
        <v>43</v>
      </c>
      <c r="X1226">
        <v>477.85537918871302</v>
      </c>
      <c r="Y1226">
        <v>122</v>
      </c>
      <c r="Z1226">
        <v>168.927689594356</v>
      </c>
      <c r="AA1226">
        <v>376.92768959435602</v>
      </c>
      <c r="AB1226">
        <v>13.9361126612103</v>
      </c>
      <c r="AC1226">
        <v>9.8987967777849992E-3</v>
      </c>
      <c r="AD1226">
        <v>1.2746287902827</v>
      </c>
      <c r="AE1226">
        <v>0.48742550611495999</v>
      </c>
      <c r="AF1226">
        <v>1056.27160493827</v>
      </c>
      <c r="AG1226">
        <f>IFERROR(AH1226*0.1, "N/A")</f>
        <v>6.1000000000000005</v>
      </c>
      <c r="AH1226">
        <v>61</v>
      </c>
      <c r="AI1226">
        <v>68.846916266009103</v>
      </c>
      <c r="AJ1226">
        <v>38.213403880070501</v>
      </c>
      <c r="AK1226">
        <v>41</v>
      </c>
    </row>
    <row r="1227" spans="1:37" x14ac:dyDescent="0.3">
      <c r="A1227">
        <v>1226</v>
      </c>
      <c r="B1227">
        <v>0</v>
      </c>
      <c r="C1227">
        <v>32.681702000000001</v>
      </c>
      <c r="D1227">
        <v>2.0013899999999998</v>
      </c>
      <c r="E1227" t="s">
        <v>2145</v>
      </c>
      <c r="F1227" t="s">
        <v>2146</v>
      </c>
      <c r="G1227" t="s">
        <v>39</v>
      </c>
      <c r="H1227">
        <v>0</v>
      </c>
      <c r="I1227">
        <v>23.399999618530298</v>
      </c>
      <c r="J1227">
        <v>12.8999996185303</v>
      </c>
      <c r="K1227">
        <v>79</v>
      </c>
      <c r="L1227">
        <v>9.8699998855590803</v>
      </c>
      <c r="M1227">
        <v>32.799999237060497</v>
      </c>
      <c r="N1227">
        <v>16.5</v>
      </c>
      <c r="O1227">
        <v>16.299999237060501</v>
      </c>
      <c r="P1227">
        <v>22.5</v>
      </c>
      <c r="Q1227">
        <v>24.5</v>
      </c>
      <c r="R1227">
        <v>24.799999237060501</v>
      </c>
      <c r="S1227">
        <v>22.200000762939499</v>
      </c>
      <c r="T1227">
        <v>1340</v>
      </c>
      <c r="U1227">
        <v>166</v>
      </c>
      <c r="V1227">
        <v>25</v>
      </c>
      <c r="W1227">
        <v>43</v>
      </c>
      <c r="X1227">
        <v>482</v>
      </c>
      <c r="Y1227">
        <v>125</v>
      </c>
      <c r="Z1227">
        <v>178</v>
      </c>
      <c r="AA1227">
        <v>414</v>
      </c>
      <c r="AB1227">
        <v>14.628793816817399</v>
      </c>
      <c r="AC1227">
        <v>2.2570809509540001E-2</v>
      </c>
      <c r="AD1227">
        <v>1.5586374661378699</v>
      </c>
      <c r="AE1227">
        <v>0.66587245464324996</v>
      </c>
      <c r="AF1227">
        <v>1062.3350877193</v>
      </c>
      <c r="AG1227">
        <f>IFERROR(AH1227*0.1, "N/A")</f>
        <v>6.1489473684210507</v>
      </c>
      <c r="AH1227">
        <v>61.489473684210502</v>
      </c>
      <c r="AI1227">
        <v>241.373058466326</v>
      </c>
      <c r="AJ1227">
        <v>41.350877192982502</v>
      </c>
      <c r="AK1227">
        <v>38.649122807017498</v>
      </c>
    </row>
    <row r="1228" spans="1:37" x14ac:dyDescent="0.3">
      <c r="A1228">
        <v>1227</v>
      </c>
      <c r="B1228">
        <v>0</v>
      </c>
      <c r="C1228">
        <v>32.681702000000001</v>
      </c>
      <c r="D1228">
        <v>2.0013899999999998</v>
      </c>
      <c r="E1228" t="s">
        <v>2145</v>
      </c>
      <c r="F1228" t="s">
        <v>2147</v>
      </c>
      <c r="G1228" t="s">
        <v>37</v>
      </c>
      <c r="H1228">
        <v>0</v>
      </c>
      <c r="I1228">
        <v>23.399999618530298</v>
      </c>
      <c r="J1228">
        <v>12.8999996185303</v>
      </c>
      <c r="K1228">
        <v>79</v>
      </c>
      <c r="L1228">
        <v>9.8699998855590803</v>
      </c>
      <c r="M1228">
        <v>32.799999237060497</v>
      </c>
      <c r="N1228">
        <v>16.5</v>
      </c>
      <c r="O1228">
        <v>16.299999237060501</v>
      </c>
      <c r="P1228">
        <v>22.5</v>
      </c>
      <c r="Q1228">
        <v>24.5</v>
      </c>
      <c r="R1228">
        <v>24.799999237060501</v>
      </c>
      <c r="S1228">
        <v>22.200000762939499</v>
      </c>
      <c r="T1228">
        <v>1340</v>
      </c>
      <c r="U1228">
        <v>166</v>
      </c>
      <c r="V1228">
        <v>25</v>
      </c>
      <c r="W1228">
        <v>43</v>
      </c>
      <c r="X1228">
        <v>482</v>
      </c>
      <c r="Y1228">
        <v>125</v>
      </c>
      <c r="Z1228">
        <v>178</v>
      </c>
      <c r="AA1228">
        <v>414</v>
      </c>
      <c r="AB1228">
        <v>14.628793816817399</v>
      </c>
      <c r="AC1228">
        <v>2.2570809509540001E-2</v>
      </c>
      <c r="AD1228">
        <v>1.5586374661378699</v>
      </c>
      <c r="AE1228">
        <v>0.66587245464324996</v>
      </c>
      <c r="AF1228">
        <v>1062.3350877193</v>
      </c>
      <c r="AG1228">
        <f>IFERROR(AH1228*0.1, "N/A")</f>
        <v>6.1489473684210507</v>
      </c>
      <c r="AH1228">
        <v>61.489473684210502</v>
      </c>
      <c r="AI1228">
        <v>241.373058466326</v>
      </c>
      <c r="AJ1228">
        <v>41.350877192982502</v>
      </c>
      <c r="AK1228">
        <v>38.649122807017498</v>
      </c>
    </row>
    <row r="1229" spans="1:37" x14ac:dyDescent="0.3">
      <c r="A1229">
        <v>1228</v>
      </c>
      <c r="B1229">
        <v>0</v>
      </c>
      <c r="C1229">
        <v>32.550300999999997</v>
      </c>
      <c r="D1229">
        <v>2.0015299999999998</v>
      </c>
      <c r="E1229" t="s">
        <v>2148</v>
      </c>
      <c r="F1229" t="s">
        <v>2149</v>
      </c>
      <c r="G1229" t="s">
        <v>39</v>
      </c>
      <c r="H1229">
        <v>0</v>
      </c>
      <c r="I1229">
        <v>23.5</v>
      </c>
      <c r="J1229">
        <v>12.7985917346578</v>
      </c>
      <c r="K1229">
        <v>79</v>
      </c>
      <c r="L1229">
        <v>9.5715489991953699</v>
      </c>
      <c r="M1229">
        <v>32.698592279998401</v>
      </c>
      <c r="N1229">
        <v>16.501408456077002</v>
      </c>
      <c r="O1229">
        <v>16.1971838507854</v>
      </c>
      <c r="P1229">
        <v>22.5985919253927</v>
      </c>
      <c r="Q1229">
        <v>24.399999618530298</v>
      </c>
      <c r="R1229">
        <v>24.799999237060501</v>
      </c>
      <c r="S1229">
        <v>22.299999237060501</v>
      </c>
      <c r="T1229">
        <v>1315.97183098592</v>
      </c>
      <c r="U1229">
        <v>166</v>
      </c>
      <c r="V1229">
        <v>27</v>
      </c>
      <c r="W1229">
        <v>42.985915492957702</v>
      </c>
      <c r="X1229">
        <v>474</v>
      </c>
      <c r="Y1229">
        <v>127</v>
      </c>
      <c r="Z1229">
        <v>183</v>
      </c>
      <c r="AA1229">
        <v>363.98591549295799</v>
      </c>
      <c r="AB1229">
        <v>5.5422754422040104</v>
      </c>
      <c r="AC1229">
        <v>8.5427472843379992E-3</v>
      </c>
      <c r="AD1229">
        <v>0.98093480228538199</v>
      </c>
      <c r="AE1229">
        <v>0.56932987461627405</v>
      </c>
      <c r="AF1229">
        <v>1042.01584507042</v>
      </c>
      <c r="AG1229">
        <f>IFERROR(AH1229*0.1, "N/A")</f>
        <v>6.00140845070423</v>
      </c>
      <c r="AH1229">
        <v>60.014084507042298</v>
      </c>
      <c r="AI1229">
        <v>81.980266597908994</v>
      </c>
      <c r="AJ1229">
        <v>41.985915492957702</v>
      </c>
      <c r="AK1229">
        <v>38.584507042253499</v>
      </c>
    </row>
    <row r="1230" spans="1:37" x14ac:dyDescent="0.3">
      <c r="A1230">
        <v>1229</v>
      </c>
      <c r="B1230">
        <v>0</v>
      </c>
      <c r="C1230">
        <v>32.550300999999997</v>
      </c>
      <c r="D1230">
        <v>2.0015299999999998</v>
      </c>
      <c r="E1230" t="s">
        <v>2148</v>
      </c>
      <c r="F1230" t="s">
        <v>2150</v>
      </c>
      <c r="G1230" t="s">
        <v>37</v>
      </c>
      <c r="H1230">
        <v>0</v>
      </c>
      <c r="I1230">
        <v>23.5</v>
      </c>
      <c r="J1230">
        <v>12.7985917346578</v>
      </c>
      <c r="K1230">
        <v>79</v>
      </c>
      <c r="L1230">
        <v>9.5715489991953699</v>
      </c>
      <c r="M1230">
        <v>32.698592279998401</v>
      </c>
      <c r="N1230">
        <v>16.501408456077002</v>
      </c>
      <c r="O1230">
        <v>16.1971838507854</v>
      </c>
      <c r="P1230">
        <v>22.5985919253927</v>
      </c>
      <c r="Q1230">
        <v>24.399999618530298</v>
      </c>
      <c r="R1230">
        <v>24.799999237060501</v>
      </c>
      <c r="S1230">
        <v>22.299999237060501</v>
      </c>
      <c r="T1230">
        <v>1315.97183098592</v>
      </c>
      <c r="U1230">
        <v>166</v>
      </c>
      <c r="V1230">
        <v>27</v>
      </c>
      <c r="W1230">
        <v>42.985915492957702</v>
      </c>
      <c r="X1230">
        <v>474</v>
      </c>
      <c r="Y1230">
        <v>127</v>
      </c>
      <c r="Z1230">
        <v>183</v>
      </c>
      <c r="AA1230">
        <v>363.98591549295799</v>
      </c>
      <c r="AB1230">
        <v>5.5422754422040104</v>
      </c>
      <c r="AC1230">
        <v>8.5427472843379992E-3</v>
      </c>
      <c r="AD1230">
        <v>0.98093480228538199</v>
      </c>
      <c r="AE1230">
        <v>0.56932987461627405</v>
      </c>
      <c r="AF1230">
        <v>1042.01584507042</v>
      </c>
      <c r="AG1230">
        <f>IFERROR(AH1230*0.1, "N/A")</f>
        <v>6.00140845070423</v>
      </c>
      <c r="AH1230">
        <v>60.014084507042298</v>
      </c>
      <c r="AI1230">
        <v>81.980266597908994</v>
      </c>
      <c r="AJ1230">
        <v>41.985915492957702</v>
      </c>
      <c r="AK1230">
        <v>38.584507042253499</v>
      </c>
    </row>
    <row r="1231" spans="1:37" x14ac:dyDescent="0.3">
      <c r="A1231">
        <v>1230</v>
      </c>
      <c r="B1231">
        <v>0</v>
      </c>
      <c r="C1231">
        <v>32.637501</v>
      </c>
      <c r="D1231">
        <v>2.0024999999999999</v>
      </c>
      <c r="E1231" t="s">
        <v>2151</v>
      </c>
      <c r="F1231" t="s">
        <v>2152</v>
      </c>
      <c r="G1231" t="s">
        <v>39</v>
      </c>
      <c r="H1231">
        <v>0</v>
      </c>
      <c r="I1231">
        <v>23.5</v>
      </c>
      <c r="J1231">
        <v>12.800000190734901</v>
      </c>
      <c r="K1231">
        <v>78</v>
      </c>
      <c r="L1231">
        <v>10</v>
      </c>
      <c r="M1231">
        <v>32.799999237060497</v>
      </c>
      <c r="N1231">
        <v>16.5</v>
      </c>
      <c r="O1231">
        <v>16.299999237060501</v>
      </c>
      <c r="P1231">
        <v>22.600000381469702</v>
      </c>
      <c r="Q1231">
        <v>24.5</v>
      </c>
      <c r="R1231">
        <v>24.899999618530298</v>
      </c>
      <c r="S1231">
        <v>22.299999237060501</v>
      </c>
      <c r="T1231">
        <v>1336</v>
      </c>
      <c r="U1231">
        <v>167</v>
      </c>
      <c r="V1231">
        <v>26</v>
      </c>
      <c r="W1231">
        <v>43</v>
      </c>
      <c r="X1231">
        <v>480</v>
      </c>
      <c r="Y1231">
        <v>126</v>
      </c>
      <c r="Z1231">
        <v>182</v>
      </c>
      <c r="AA1231">
        <v>409</v>
      </c>
      <c r="AB1231">
        <v>10.699333097059</v>
      </c>
      <c r="AC1231">
        <v>1.6950366907279999E-2</v>
      </c>
      <c r="AD1231">
        <v>2.5053545169545401</v>
      </c>
      <c r="AE1231">
        <v>0.60768181085586503</v>
      </c>
      <c r="AF1231">
        <v>1056.02636203866</v>
      </c>
      <c r="AG1231">
        <f>IFERROR(AH1231*0.1, "N/A")</f>
        <v>6.1608084358523705</v>
      </c>
      <c r="AH1231">
        <v>61.608084358523698</v>
      </c>
      <c r="AI1231">
        <v>37.759312524108402</v>
      </c>
      <c r="AJ1231">
        <v>42.430579964850601</v>
      </c>
      <c r="AK1231">
        <v>37.588752196836602</v>
      </c>
    </row>
    <row r="1232" spans="1:37" x14ac:dyDescent="0.3">
      <c r="A1232">
        <v>1231</v>
      </c>
      <c r="B1232">
        <v>0</v>
      </c>
      <c r="C1232">
        <v>32.637501</v>
      </c>
      <c r="D1232">
        <v>2.0024999999999999</v>
      </c>
      <c r="E1232" t="s">
        <v>2151</v>
      </c>
      <c r="F1232" t="s">
        <v>2153</v>
      </c>
      <c r="G1232" t="s">
        <v>37</v>
      </c>
      <c r="H1232">
        <v>0</v>
      </c>
      <c r="I1232">
        <v>23.5</v>
      </c>
      <c r="J1232">
        <v>12.800000190734901</v>
      </c>
      <c r="K1232">
        <v>78</v>
      </c>
      <c r="L1232">
        <v>10</v>
      </c>
      <c r="M1232">
        <v>32.799999237060497</v>
      </c>
      <c r="N1232">
        <v>16.5</v>
      </c>
      <c r="O1232">
        <v>16.299999237060501</v>
      </c>
      <c r="P1232">
        <v>22.600000381469702</v>
      </c>
      <c r="Q1232">
        <v>24.5</v>
      </c>
      <c r="R1232">
        <v>24.899999618530298</v>
      </c>
      <c r="S1232">
        <v>22.299999237060501</v>
      </c>
      <c r="T1232">
        <v>1336</v>
      </c>
      <c r="U1232">
        <v>167</v>
      </c>
      <c r="V1232">
        <v>26</v>
      </c>
      <c r="W1232">
        <v>43</v>
      </c>
      <c r="X1232">
        <v>480</v>
      </c>
      <c r="Y1232">
        <v>126</v>
      </c>
      <c r="Z1232">
        <v>182</v>
      </c>
      <c r="AA1232">
        <v>409</v>
      </c>
      <c r="AB1232">
        <v>10.699333097059</v>
      </c>
      <c r="AC1232">
        <v>1.6950366907279999E-2</v>
      </c>
      <c r="AD1232">
        <v>2.5053545169545401</v>
      </c>
      <c r="AE1232">
        <v>0.60768181085586503</v>
      </c>
      <c r="AF1232">
        <v>1056.02636203866</v>
      </c>
      <c r="AG1232">
        <f>IFERROR(AH1232*0.1, "N/A")</f>
        <v>6.1608084358523705</v>
      </c>
      <c r="AH1232">
        <v>61.608084358523698</v>
      </c>
      <c r="AI1232">
        <v>37.759312524108402</v>
      </c>
      <c r="AJ1232">
        <v>42.430579964850601</v>
      </c>
      <c r="AK1232">
        <v>37.588752196836602</v>
      </c>
    </row>
    <row r="1233" spans="1:37" x14ac:dyDescent="0.3">
      <c r="A1233">
        <v>1232</v>
      </c>
      <c r="B1233">
        <v>0</v>
      </c>
      <c r="C1233">
        <v>32.719700000000003</v>
      </c>
      <c r="D1233">
        <v>2.0123700000000002</v>
      </c>
      <c r="E1233" t="s">
        <v>2154</v>
      </c>
      <c r="F1233" t="s">
        <v>2155</v>
      </c>
      <c r="G1233" t="s">
        <v>37</v>
      </c>
      <c r="H1233">
        <v>1967</v>
      </c>
      <c r="I1233">
        <v>23.5</v>
      </c>
      <c r="J1233">
        <v>12.8999996185303</v>
      </c>
      <c r="K1233">
        <v>78</v>
      </c>
      <c r="L1233">
        <v>9.7399997711181605</v>
      </c>
      <c r="M1233">
        <v>32.900001525878899</v>
      </c>
      <c r="N1233">
        <v>16.399999618530298</v>
      </c>
      <c r="O1233">
        <v>16.5</v>
      </c>
      <c r="P1233">
        <v>22.700000762939499</v>
      </c>
      <c r="Q1233">
        <v>24.399999618530298</v>
      </c>
      <c r="R1233">
        <v>24.899999618530298</v>
      </c>
      <c r="S1233">
        <v>22.299999237060501</v>
      </c>
      <c r="T1233">
        <v>1329</v>
      </c>
      <c r="U1233">
        <v>166</v>
      </c>
      <c r="V1233">
        <v>24</v>
      </c>
      <c r="W1233">
        <v>44</v>
      </c>
      <c r="X1233">
        <v>481</v>
      </c>
      <c r="Y1233">
        <v>121</v>
      </c>
      <c r="Z1233">
        <v>169</v>
      </c>
      <c r="AA1233">
        <v>380</v>
      </c>
      <c r="AB1233">
        <v>8.4087759329690304</v>
      </c>
      <c r="AC1233">
        <v>1.7821041394110001E-2</v>
      </c>
      <c r="AD1233">
        <v>1.7354022286478801</v>
      </c>
      <c r="AE1233">
        <v>0.44614252448081998</v>
      </c>
      <c r="AF1233">
        <v>1052.26362038664</v>
      </c>
      <c r="AG1233">
        <f>IFERROR(AH1233*0.1, "N/A")</f>
        <v>6.1000000000000005</v>
      </c>
      <c r="AH1233">
        <v>61</v>
      </c>
      <c r="AI1233">
        <v>135.44574051037401</v>
      </c>
      <c r="AJ1233">
        <v>39</v>
      </c>
      <c r="AK1233">
        <v>41</v>
      </c>
    </row>
    <row r="1234" spans="1:37" x14ac:dyDescent="0.3">
      <c r="A1234">
        <v>1233</v>
      </c>
      <c r="B1234">
        <v>0</v>
      </c>
      <c r="C1234">
        <v>32.719700000000003</v>
      </c>
      <c r="D1234">
        <v>2.0123700000000002</v>
      </c>
      <c r="E1234" t="s">
        <v>2154</v>
      </c>
      <c r="F1234" t="s">
        <v>2156</v>
      </c>
      <c r="G1234" t="s">
        <v>39</v>
      </c>
      <c r="H1234">
        <v>1967</v>
      </c>
      <c r="I1234">
        <v>23.5</v>
      </c>
      <c r="J1234">
        <v>12.8999996185303</v>
      </c>
      <c r="K1234">
        <v>78</v>
      </c>
      <c r="L1234">
        <v>9.7399997711181605</v>
      </c>
      <c r="M1234">
        <v>32.900001525878899</v>
      </c>
      <c r="N1234">
        <v>16.399999618530298</v>
      </c>
      <c r="O1234">
        <v>16.5</v>
      </c>
      <c r="P1234">
        <v>22.700000762939499</v>
      </c>
      <c r="Q1234">
        <v>24.399999618530298</v>
      </c>
      <c r="R1234">
        <v>24.899999618530298</v>
      </c>
      <c r="S1234">
        <v>22.299999237060501</v>
      </c>
      <c r="T1234">
        <v>1329</v>
      </c>
      <c r="U1234">
        <v>166</v>
      </c>
      <c r="V1234">
        <v>24</v>
      </c>
      <c r="W1234">
        <v>44</v>
      </c>
      <c r="X1234">
        <v>481</v>
      </c>
      <c r="Y1234">
        <v>121</v>
      </c>
      <c r="Z1234">
        <v>169</v>
      </c>
      <c r="AA1234">
        <v>380</v>
      </c>
      <c r="AB1234">
        <v>8.4087759329690304</v>
      </c>
      <c r="AC1234">
        <v>1.7821041394110001E-2</v>
      </c>
      <c r="AD1234">
        <v>1.7354022286478801</v>
      </c>
      <c r="AE1234">
        <v>0.44614252448081998</v>
      </c>
      <c r="AF1234">
        <v>1052.26362038664</v>
      </c>
      <c r="AG1234">
        <f>IFERROR(AH1234*0.1, "N/A")</f>
        <v>6.1000000000000005</v>
      </c>
      <c r="AH1234">
        <v>61</v>
      </c>
      <c r="AI1234">
        <v>135.44574051037401</v>
      </c>
      <c r="AJ1234">
        <v>39</v>
      </c>
      <c r="AK1234">
        <v>41</v>
      </c>
    </row>
    <row r="1235" spans="1:37" x14ac:dyDescent="0.3">
      <c r="A1235">
        <v>1234</v>
      </c>
      <c r="B1235">
        <v>70.400002000000001</v>
      </c>
      <c r="C1235">
        <v>31.422701</v>
      </c>
      <c r="D1235">
        <v>2.0197500000000002</v>
      </c>
      <c r="E1235" t="s">
        <v>2157</v>
      </c>
      <c r="F1235" t="s">
        <v>2158</v>
      </c>
      <c r="G1235" t="s">
        <v>37</v>
      </c>
      <c r="H1235">
        <v>2007</v>
      </c>
      <c r="I1235">
        <v>25.5</v>
      </c>
      <c r="J1235">
        <v>11.199999809265099</v>
      </c>
      <c r="K1235">
        <v>79</v>
      </c>
      <c r="L1235">
        <v>7.6500000953674299</v>
      </c>
      <c r="M1235">
        <v>33</v>
      </c>
      <c r="N1235">
        <v>18.899999618530298</v>
      </c>
      <c r="O1235">
        <v>14.1000003814697</v>
      </c>
      <c r="P1235">
        <v>24.899999618530298</v>
      </c>
      <c r="Q1235">
        <v>26.100000381469702</v>
      </c>
      <c r="R1235">
        <v>26.5</v>
      </c>
      <c r="S1235">
        <v>24.600000381469702</v>
      </c>
      <c r="T1235">
        <v>958</v>
      </c>
      <c r="U1235">
        <v>126</v>
      </c>
      <c r="V1235">
        <v>22</v>
      </c>
      <c r="W1235">
        <v>43</v>
      </c>
      <c r="X1235">
        <v>329</v>
      </c>
      <c r="Y1235">
        <v>85</v>
      </c>
      <c r="Z1235">
        <v>129</v>
      </c>
      <c r="AA1235">
        <v>324</v>
      </c>
      <c r="AB1235">
        <v>1.27819867201254</v>
      </c>
      <c r="AC1235">
        <v>4.4698552815505999E-2</v>
      </c>
      <c r="AD1235">
        <v>1.7316680300823399</v>
      </c>
      <c r="AE1235">
        <v>0.29418855018808798</v>
      </c>
      <c r="AF1235">
        <v>623.83450704225299</v>
      </c>
      <c r="AG1235">
        <f>IFERROR(AH1235*0.1, "N/A")</f>
        <v>5.9478873239436609</v>
      </c>
      <c r="AH1235">
        <v>59.478873239436602</v>
      </c>
      <c r="AI1235">
        <v>155.53171096049601</v>
      </c>
      <c r="AJ1235">
        <v>30.1989436619718</v>
      </c>
      <c r="AK1235">
        <v>52.478873239436602</v>
      </c>
    </row>
    <row r="1236" spans="1:37" x14ac:dyDescent="0.3">
      <c r="A1236">
        <v>1235</v>
      </c>
      <c r="B1236">
        <v>0</v>
      </c>
      <c r="C1236">
        <v>32.594002000000003</v>
      </c>
      <c r="D1236">
        <v>2.04067</v>
      </c>
      <c r="E1236" t="s">
        <v>2159</v>
      </c>
      <c r="F1236" t="s">
        <v>2160</v>
      </c>
      <c r="G1236" t="s">
        <v>37</v>
      </c>
      <c r="H1236">
        <v>2004</v>
      </c>
      <c r="I1236">
        <v>23.299999237060501</v>
      </c>
      <c r="J1236">
        <v>12.800000190734901</v>
      </c>
      <c r="K1236">
        <v>79</v>
      </c>
      <c r="L1236">
        <v>9.6199998855590803</v>
      </c>
      <c r="M1236">
        <v>32.599998474121101</v>
      </c>
      <c r="N1236">
        <v>16.399999618530298</v>
      </c>
      <c r="O1236">
        <v>16.200000762939499</v>
      </c>
      <c r="P1236">
        <v>22.399999618530298</v>
      </c>
      <c r="Q1236">
        <v>24.299999237060501</v>
      </c>
      <c r="R1236">
        <v>24.700000762939499</v>
      </c>
      <c r="S1236">
        <v>22.200000762939499</v>
      </c>
      <c r="T1236">
        <v>1350</v>
      </c>
      <c r="U1236">
        <v>173</v>
      </c>
      <c r="V1236">
        <v>27</v>
      </c>
      <c r="W1236">
        <v>43</v>
      </c>
      <c r="X1236">
        <v>487</v>
      </c>
      <c r="Y1236">
        <v>128</v>
      </c>
      <c r="Z1236">
        <v>189</v>
      </c>
      <c r="AA1236">
        <v>376</v>
      </c>
      <c r="AB1236">
        <v>15.168507320780099</v>
      </c>
      <c r="AC1236">
        <v>5.3135171637568999E-2</v>
      </c>
      <c r="AD1236">
        <v>1.50350297546722</v>
      </c>
      <c r="AE1236">
        <v>0.65171047247631397</v>
      </c>
      <c r="AF1236">
        <v>1076.9190140845101</v>
      </c>
      <c r="AG1236">
        <f>IFERROR(AH1236*0.1, "N/A")</f>
        <v>6.1000000000000005</v>
      </c>
      <c r="AH1236">
        <v>61</v>
      </c>
      <c r="AI1236">
        <v>237.397439311927</v>
      </c>
      <c r="AJ1236">
        <v>39.8045774647887</v>
      </c>
      <c r="AK1236">
        <v>42.705985915493002</v>
      </c>
    </row>
    <row r="1237" spans="1:37" x14ac:dyDescent="0.3">
      <c r="A1237">
        <v>1236</v>
      </c>
      <c r="B1237">
        <v>9.5</v>
      </c>
      <c r="C1237">
        <v>33.374599000000003</v>
      </c>
      <c r="D1237">
        <v>2.0635300000000001</v>
      </c>
      <c r="E1237" t="s">
        <v>2161</v>
      </c>
      <c r="F1237" t="s">
        <v>2162</v>
      </c>
      <c r="G1237" t="s">
        <v>37</v>
      </c>
      <c r="H1237">
        <v>2004</v>
      </c>
      <c r="I1237">
        <v>23.609842246781302</v>
      </c>
      <c r="J1237">
        <v>12.8999996185303</v>
      </c>
      <c r="K1237">
        <v>79</v>
      </c>
      <c r="L1237">
        <v>10.378857545567699</v>
      </c>
      <c r="M1237">
        <v>32.909843203472597</v>
      </c>
      <c r="N1237">
        <v>16.700000762939499</v>
      </c>
      <c r="O1237">
        <v>16.209842440533102</v>
      </c>
      <c r="P1237">
        <v>22.399999618530298</v>
      </c>
      <c r="Q1237">
        <v>24.709842440533102</v>
      </c>
      <c r="R1237">
        <v>25.100000381469702</v>
      </c>
      <c r="S1237">
        <v>22.3098411023722</v>
      </c>
      <c r="T1237">
        <v>1300.9015817223201</v>
      </c>
      <c r="U1237">
        <v>192</v>
      </c>
      <c r="V1237">
        <v>18</v>
      </c>
      <c r="W1237">
        <v>51</v>
      </c>
      <c r="X1237">
        <v>479.90158172231997</v>
      </c>
      <c r="Y1237">
        <v>95</v>
      </c>
      <c r="Z1237">
        <v>136</v>
      </c>
      <c r="AA1237">
        <v>446</v>
      </c>
      <c r="AB1237">
        <v>8.0885159939998896</v>
      </c>
      <c r="AC1237">
        <v>1.5028060340242001E-2</v>
      </c>
      <c r="AD1237">
        <v>1.9148956711137199</v>
      </c>
      <c r="AE1237">
        <v>0.69491871630998803</v>
      </c>
      <c r="AF1237">
        <v>1109.97891036907</v>
      </c>
      <c r="AG1237">
        <f>IFERROR(AH1237*0.1, "N/A")</f>
        <v>5.7</v>
      </c>
      <c r="AH1237">
        <v>57</v>
      </c>
      <c r="AI1237">
        <v>55.897342179068801</v>
      </c>
      <c r="AJ1237">
        <v>35.599297012302301</v>
      </c>
      <c r="AK1237">
        <v>46.952548330404198</v>
      </c>
    </row>
    <row r="1238" spans="1:37" x14ac:dyDescent="0.3">
      <c r="A1238">
        <v>1237</v>
      </c>
      <c r="B1238">
        <v>0</v>
      </c>
      <c r="C1238">
        <v>33.801498000000002</v>
      </c>
      <c r="D1238">
        <v>2.0718299999999998</v>
      </c>
      <c r="E1238" t="s">
        <v>2163</v>
      </c>
      <c r="F1238" t="s">
        <v>2164</v>
      </c>
      <c r="G1238" t="s">
        <v>37</v>
      </c>
      <c r="H1238">
        <v>2004</v>
      </c>
      <c r="I1238">
        <v>23.799999237060501</v>
      </c>
      <c r="J1238">
        <v>12.699999809265099</v>
      </c>
      <c r="K1238">
        <v>80</v>
      </c>
      <c r="L1238">
        <v>9.4600000381469709</v>
      </c>
      <c r="M1238">
        <v>32.599998474121101</v>
      </c>
      <c r="N1238">
        <v>16.799999237060501</v>
      </c>
      <c r="O1238">
        <v>15.800000190734901</v>
      </c>
      <c r="P1238">
        <v>22.600000381469702</v>
      </c>
      <c r="Q1238">
        <v>24.700000762939499</v>
      </c>
      <c r="R1238">
        <v>25</v>
      </c>
      <c r="S1238">
        <v>22.5</v>
      </c>
      <c r="T1238">
        <v>1201</v>
      </c>
      <c r="U1238">
        <v>166</v>
      </c>
      <c r="V1238">
        <v>20</v>
      </c>
      <c r="W1238">
        <v>47</v>
      </c>
      <c r="X1238">
        <v>420</v>
      </c>
      <c r="Y1238">
        <v>95</v>
      </c>
      <c r="Z1238">
        <v>144</v>
      </c>
      <c r="AA1238">
        <v>397</v>
      </c>
      <c r="AB1238">
        <v>15.8680753036284</v>
      </c>
      <c r="AC1238">
        <v>6.2849605257597002E-2</v>
      </c>
      <c r="AD1238">
        <v>2.0115255574945001</v>
      </c>
      <c r="AE1238">
        <v>0.67331515924191798</v>
      </c>
      <c r="AF1238">
        <v>1115.4207746478901</v>
      </c>
      <c r="AG1238">
        <f>IFERROR(AH1238*0.1, "N/A")</f>
        <v>5.9079225352112701</v>
      </c>
      <c r="AH1238">
        <v>59.079225352112701</v>
      </c>
      <c r="AI1238">
        <v>101.078744592801</v>
      </c>
      <c r="AJ1238">
        <v>27.063380281690101</v>
      </c>
      <c r="AK1238">
        <v>57</v>
      </c>
    </row>
    <row r="1239" spans="1:37" x14ac:dyDescent="0.3">
      <c r="A1239">
        <v>1238</v>
      </c>
      <c r="B1239">
        <v>0</v>
      </c>
      <c r="C1239">
        <v>32.600101000000002</v>
      </c>
      <c r="D1239">
        <v>2.0829399999999998</v>
      </c>
      <c r="E1239" t="s">
        <v>2165</v>
      </c>
      <c r="F1239" t="s">
        <v>2166</v>
      </c>
      <c r="G1239" t="s">
        <v>39</v>
      </c>
      <c r="H1239">
        <v>0</v>
      </c>
      <c r="I1239">
        <v>23.399999618530298</v>
      </c>
      <c r="J1239">
        <v>12.8999996185303</v>
      </c>
      <c r="K1239">
        <v>78.219683655536002</v>
      </c>
      <c r="L1239">
        <v>10.044657459158501</v>
      </c>
      <c r="M1239">
        <v>32.7780312067176</v>
      </c>
      <c r="N1239">
        <v>16.399999618530298</v>
      </c>
      <c r="O1239">
        <v>16.378031169174001</v>
      </c>
      <c r="P1239">
        <v>22.452196654200801</v>
      </c>
      <c r="Q1239">
        <v>24.399999618530298</v>
      </c>
      <c r="R1239">
        <v>24.824252405149899</v>
      </c>
      <c r="S1239">
        <v>22.200000762939499</v>
      </c>
      <c r="T1239">
        <v>1348.5096660808399</v>
      </c>
      <c r="U1239">
        <v>174.47803163444601</v>
      </c>
      <c r="V1239">
        <v>27</v>
      </c>
      <c r="W1239">
        <v>43</v>
      </c>
      <c r="X1239">
        <v>489.41827768014099</v>
      </c>
      <c r="Y1239">
        <v>126.940246045694</v>
      </c>
      <c r="Z1239">
        <v>190.41827768014099</v>
      </c>
      <c r="AA1239">
        <v>404.47100175746903</v>
      </c>
      <c r="AB1239">
        <v>11.5200555730997</v>
      </c>
      <c r="AC1239">
        <v>3.6120992792223999E-2</v>
      </c>
      <c r="AD1239">
        <v>1.04688577822725</v>
      </c>
      <c r="AE1239">
        <v>0.65683317184448198</v>
      </c>
      <c r="AF1239">
        <v>1060.9683655536001</v>
      </c>
      <c r="AG1239">
        <f>IFERROR(AH1239*0.1, "N/A")</f>
        <v>6.2690685413005305</v>
      </c>
      <c r="AH1239">
        <v>62.690685413005298</v>
      </c>
      <c r="AI1239">
        <v>136.78593744167301</v>
      </c>
      <c r="AJ1239">
        <v>42.7275922671353</v>
      </c>
      <c r="AK1239">
        <v>40.036906854130002</v>
      </c>
    </row>
    <row r="1240" spans="1:37" x14ac:dyDescent="0.3">
      <c r="A1240">
        <v>1239</v>
      </c>
      <c r="B1240">
        <v>0</v>
      </c>
      <c r="C1240">
        <v>32.600101000000002</v>
      </c>
      <c r="D1240">
        <v>2.0829399999999998</v>
      </c>
      <c r="E1240" t="s">
        <v>2165</v>
      </c>
      <c r="F1240" t="s">
        <v>2167</v>
      </c>
      <c r="G1240" t="s">
        <v>37</v>
      </c>
      <c r="H1240">
        <v>0</v>
      </c>
      <c r="I1240">
        <v>23.399999618530298</v>
      </c>
      <c r="J1240">
        <v>12.8999996185303</v>
      </c>
      <c r="K1240">
        <v>78.219683655536002</v>
      </c>
      <c r="L1240">
        <v>10.044657459158501</v>
      </c>
      <c r="M1240">
        <v>32.7780312067176</v>
      </c>
      <c r="N1240">
        <v>16.399999618530298</v>
      </c>
      <c r="O1240">
        <v>16.378031169174001</v>
      </c>
      <c r="P1240">
        <v>22.452196654200801</v>
      </c>
      <c r="Q1240">
        <v>24.399999618530298</v>
      </c>
      <c r="R1240">
        <v>24.824252405149899</v>
      </c>
      <c r="S1240">
        <v>22.200000762939499</v>
      </c>
      <c r="T1240">
        <v>1348.5096660808399</v>
      </c>
      <c r="U1240">
        <v>174.47803163444601</v>
      </c>
      <c r="V1240">
        <v>27</v>
      </c>
      <c r="W1240">
        <v>43</v>
      </c>
      <c r="X1240">
        <v>489.41827768014099</v>
      </c>
      <c r="Y1240">
        <v>126.940246045694</v>
      </c>
      <c r="Z1240">
        <v>190.41827768014099</v>
      </c>
      <c r="AA1240">
        <v>404.47100175746903</v>
      </c>
      <c r="AB1240">
        <v>11.5200555730997</v>
      </c>
      <c r="AC1240">
        <v>3.6120992792223999E-2</v>
      </c>
      <c r="AD1240">
        <v>1.04688577822725</v>
      </c>
      <c r="AE1240">
        <v>0.65683317184448198</v>
      </c>
      <c r="AF1240">
        <v>1060.9683655536001</v>
      </c>
      <c r="AG1240">
        <f>IFERROR(AH1240*0.1, "N/A")</f>
        <v>6.2690685413005305</v>
      </c>
      <c r="AH1240">
        <v>62.690685413005298</v>
      </c>
      <c r="AI1240">
        <v>136.78593744167301</v>
      </c>
      <c r="AJ1240">
        <v>42.7275922671353</v>
      </c>
      <c r="AK1240">
        <v>40.036906854130002</v>
      </c>
    </row>
    <row r="1241" spans="1:37" x14ac:dyDescent="0.3">
      <c r="A1241">
        <v>1240</v>
      </c>
      <c r="B1241">
        <v>1.7</v>
      </c>
      <c r="C1241">
        <v>32.559299000000003</v>
      </c>
      <c r="D1241">
        <v>2.0830500000000001</v>
      </c>
      <c r="E1241" t="s">
        <v>2168</v>
      </c>
      <c r="F1241" t="s">
        <v>2169</v>
      </c>
      <c r="G1241" t="s">
        <v>39</v>
      </c>
      <c r="H1241">
        <v>0</v>
      </c>
      <c r="I1241">
        <v>23.460808286348399</v>
      </c>
      <c r="J1241">
        <v>12.839015784707801</v>
      </c>
      <c r="K1241">
        <v>78.391915641476302</v>
      </c>
      <c r="L1241">
        <v>9.9265557173475898</v>
      </c>
      <c r="M1241">
        <v>32.760808270928699</v>
      </c>
      <c r="N1241">
        <v>16.5</v>
      </c>
      <c r="O1241">
        <v>16.260808270928699</v>
      </c>
      <c r="P1241">
        <v>22.500175747594898</v>
      </c>
      <c r="Q1241">
        <v>24.460808286348399</v>
      </c>
      <c r="R1241">
        <v>24.860807904878701</v>
      </c>
      <c r="S1241">
        <v>22.260984015171498</v>
      </c>
      <c r="T1241">
        <v>1318.54305799649</v>
      </c>
      <c r="U1241">
        <v>170.391915641476</v>
      </c>
      <c r="V1241">
        <v>27</v>
      </c>
      <c r="W1241">
        <v>43</v>
      </c>
      <c r="X1241">
        <v>482.17398945518499</v>
      </c>
      <c r="Y1241">
        <v>124.991212653779</v>
      </c>
      <c r="Z1241">
        <v>185.782073813708</v>
      </c>
      <c r="AA1241">
        <v>385.81722319859398</v>
      </c>
      <c r="AB1241">
        <v>8.3047621581173097</v>
      </c>
      <c r="AC1241">
        <v>8.6324009520569994E-3</v>
      </c>
      <c r="AD1241">
        <v>2.09832480963588</v>
      </c>
      <c r="AE1241">
        <v>0.60876599891743</v>
      </c>
      <c r="AF1241">
        <v>1048.60456942003</v>
      </c>
      <c r="AG1241">
        <f>IFERROR(AH1241*0.1, "N/A")</f>
        <v>6.2989455184534302</v>
      </c>
      <c r="AH1241">
        <v>62.9894551845343</v>
      </c>
      <c r="AI1241">
        <v>202.310436094582</v>
      </c>
      <c r="AJ1241">
        <v>43.017574692442899</v>
      </c>
      <c r="AK1241">
        <v>37.991212653778597</v>
      </c>
    </row>
    <row r="1242" spans="1:37" x14ac:dyDescent="0.3">
      <c r="A1242">
        <v>1241</v>
      </c>
      <c r="B1242">
        <v>0</v>
      </c>
      <c r="C1242">
        <v>32.559299000000003</v>
      </c>
      <c r="D1242">
        <v>2.0830500000000001</v>
      </c>
      <c r="E1242" t="s">
        <v>2168</v>
      </c>
      <c r="F1242" t="s">
        <v>2170</v>
      </c>
      <c r="G1242" t="s">
        <v>37</v>
      </c>
      <c r="H1242">
        <v>0</v>
      </c>
      <c r="I1242">
        <v>23.460808286348399</v>
      </c>
      <c r="J1242">
        <v>12.839015784707801</v>
      </c>
      <c r="K1242">
        <v>78.391915641476302</v>
      </c>
      <c r="L1242">
        <v>9.9265557173475898</v>
      </c>
      <c r="M1242">
        <v>32.760808270928699</v>
      </c>
      <c r="N1242">
        <v>16.5</v>
      </c>
      <c r="O1242">
        <v>16.260808270928699</v>
      </c>
      <c r="P1242">
        <v>22.500175747594898</v>
      </c>
      <c r="Q1242">
        <v>24.460808286348399</v>
      </c>
      <c r="R1242">
        <v>24.860807904878701</v>
      </c>
      <c r="S1242">
        <v>22.260984015171498</v>
      </c>
      <c r="T1242">
        <v>1318.54305799649</v>
      </c>
      <c r="U1242">
        <v>170.391915641476</v>
      </c>
      <c r="V1242">
        <v>27</v>
      </c>
      <c r="W1242">
        <v>43</v>
      </c>
      <c r="X1242">
        <v>482.17398945518499</v>
      </c>
      <c r="Y1242">
        <v>124.991212653779</v>
      </c>
      <c r="Z1242">
        <v>185.782073813708</v>
      </c>
      <c r="AA1242">
        <v>385.81722319859398</v>
      </c>
      <c r="AB1242">
        <v>8.3047621581173097</v>
      </c>
      <c r="AC1242">
        <v>8.6324009520569994E-3</v>
      </c>
      <c r="AD1242">
        <v>2.09832480963588</v>
      </c>
      <c r="AE1242">
        <v>0.60876599891743</v>
      </c>
      <c r="AF1242">
        <v>1048.60456942003</v>
      </c>
      <c r="AG1242">
        <f>IFERROR(AH1242*0.1, "N/A")</f>
        <v>6.2989455184534302</v>
      </c>
      <c r="AH1242">
        <v>62.9894551845343</v>
      </c>
      <c r="AI1242">
        <v>202.310436094582</v>
      </c>
      <c r="AJ1242">
        <v>43.017574692442899</v>
      </c>
      <c r="AK1242">
        <v>37.991212653778597</v>
      </c>
    </row>
    <row r="1243" spans="1:37" x14ac:dyDescent="0.3">
      <c r="A1243">
        <v>1242</v>
      </c>
      <c r="B1243">
        <v>0</v>
      </c>
      <c r="C1243">
        <v>32.558898999999997</v>
      </c>
      <c r="D1243">
        <v>2.0834199999999998</v>
      </c>
      <c r="E1243" t="s">
        <v>2171</v>
      </c>
      <c r="F1243" t="s">
        <v>2172</v>
      </c>
      <c r="G1243" t="s">
        <v>37</v>
      </c>
      <c r="H1243">
        <v>2004</v>
      </c>
      <c r="I1243">
        <v>23.429577196148099</v>
      </c>
      <c r="J1243">
        <v>12.855457619881999</v>
      </c>
      <c r="K1243">
        <v>78.704225352112701</v>
      </c>
      <c r="L1243">
        <v>9.8112150296358998</v>
      </c>
      <c r="M1243">
        <v>32.729577776411901</v>
      </c>
      <c r="N1243">
        <v>16.5</v>
      </c>
      <c r="O1243">
        <v>16.229577776411901</v>
      </c>
      <c r="P1243">
        <v>22.514964845818501</v>
      </c>
      <c r="Q1243">
        <v>24.429577196148099</v>
      </c>
      <c r="R1243">
        <v>24.829576814678401</v>
      </c>
      <c r="S1243">
        <v>22.2445423367997</v>
      </c>
      <c r="T1243">
        <v>1319.14436619718</v>
      </c>
      <c r="U1243">
        <v>170.70422535211301</v>
      </c>
      <c r="V1243">
        <v>27</v>
      </c>
      <c r="W1243">
        <v>43</v>
      </c>
      <c r="X1243">
        <v>482.96302816901402</v>
      </c>
      <c r="Y1243">
        <v>124.963028169014</v>
      </c>
      <c r="Z1243">
        <v>186.25880281690101</v>
      </c>
      <c r="AA1243">
        <v>392.03697183098598</v>
      </c>
      <c r="AB1243">
        <v>8.6704570071798006</v>
      </c>
      <c r="AC1243">
        <v>1.0136486193440999E-2</v>
      </c>
      <c r="AD1243">
        <v>1.87081752654532</v>
      </c>
      <c r="AE1243">
        <v>0.59929173366284705</v>
      </c>
      <c r="AF1243">
        <v>1048.6566901408501</v>
      </c>
      <c r="AG1243">
        <f>IFERROR(AH1243*0.1, "N/A")</f>
        <v>6.2813380281690101</v>
      </c>
      <c r="AH1243">
        <v>62.813380281690101</v>
      </c>
      <c r="AI1243">
        <v>195.601158948012</v>
      </c>
      <c r="AJ1243">
        <v>43</v>
      </c>
      <c r="AK1243">
        <v>38</v>
      </c>
    </row>
    <row r="1244" spans="1:37" x14ac:dyDescent="0.3">
      <c r="A1244">
        <v>1243</v>
      </c>
      <c r="B1244">
        <v>0</v>
      </c>
      <c r="C1244">
        <v>32.510100999999999</v>
      </c>
      <c r="D1244">
        <v>2.09111</v>
      </c>
      <c r="E1244" t="s">
        <v>2173</v>
      </c>
      <c r="F1244" t="s">
        <v>2174</v>
      </c>
      <c r="G1244" t="s">
        <v>39</v>
      </c>
      <c r="H1244">
        <v>0</v>
      </c>
      <c r="I1244">
        <v>23.5</v>
      </c>
      <c r="J1244">
        <v>12.800000190734901</v>
      </c>
      <c r="K1244">
        <v>78.630931458699493</v>
      </c>
      <c r="L1244">
        <v>9.6064324119179005</v>
      </c>
      <c r="M1244">
        <v>32.736907053915601</v>
      </c>
      <c r="N1244">
        <v>16.5</v>
      </c>
      <c r="O1244">
        <v>16.236907053915601</v>
      </c>
      <c r="P1244">
        <v>22.600000381469702</v>
      </c>
      <c r="Q1244">
        <v>24.436906613448802</v>
      </c>
      <c r="R1244">
        <v>24.8369062319791</v>
      </c>
      <c r="S1244">
        <v>22.3369062319791</v>
      </c>
      <c r="T1244">
        <v>1291.8927943761</v>
      </c>
      <c r="U1244">
        <v>169</v>
      </c>
      <c r="V1244">
        <v>27</v>
      </c>
      <c r="W1244">
        <v>44</v>
      </c>
      <c r="X1244">
        <v>476</v>
      </c>
      <c r="Y1244">
        <v>123</v>
      </c>
      <c r="Z1244">
        <v>181.630931458699</v>
      </c>
      <c r="AA1244">
        <v>404</v>
      </c>
      <c r="AB1244">
        <v>7.14126517190246</v>
      </c>
      <c r="AC1244">
        <v>2.3825307175360001E-2</v>
      </c>
      <c r="AD1244">
        <v>2.0818737482354202</v>
      </c>
      <c r="AE1244">
        <v>0.51189635288107804</v>
      </c>
      <c r="AF1244">
        <v>1042.4797891036901</v>
      </c>
      <c r="AG1244">
        <f>IFERROR(AH1244*0.1, "N/A")</f>
        <v>6</v>
      </c>
      <c r="AH1244">
        <v>60</v>
      </c>
      <c r="AI1244">
        <v>122.38427203401299</v>
      </c>
      <c r="AJ1244">
        <v>40</v>
      </c>
      <c r="AK1244">
        <v>40.945518453427098</v>
      </c>
    </row>
    <row r="1245" spans="1:37" x14ac:dyDescent="0.3">
      <c r="A1245">
        <v>1244</v>
      </c>
      <c r="B1245">
        <v>0</v>
      </c>
      <c r="C1245">
        <v>32.648701000000003</v>
      </c>
      <c r="D1245">
        <v>2.1093500000000001</v>
      </c>
      <c r="E1245" t="s">
        <v>2175</v>
      </c>
      <c r="F1245" t="s">
        <v>2176</v>
      </c>
      <c r="G1245" t="s">
        <v>39</v>
      </c>
      <c r="H1245">
        <v>0</v>
      </c>
      <c r="I1245">
        <v>23.5</v>
      </c>
      <c r="J1245">
        <v>13</v>
      </c>
      <c r="K1245">
        <v>78</v>
      </c>
      <c r="L1245">
        <v>9.9200000762939506</v>
      </c>
      <c r="M1245">
        <v>32.900001525878899</v>
      </c>
      <c r="N1245">
        <v>16.399999618530298</v>
      </c>
      <c r="O1245">
        <v>16.5</v>
      </c>
      <c r="P1245">
        <v>22.600000381469702</v>
      </c>
      <c r="Q1245">
        <v>24.5</v>
      </c>
      <c r="R1245">
        <v>24.899999618530298</v>
      </c>
      <c r="S1245">
        <v>22.299999237060501</v>
      </c>
      <c r="T1245">
        <v>1349</v>
      </c>
      <c r="U1245">
        <v>173</v>
      </c>
      <c r="V1245">
        <v>26</v>
      </c>
      <c r="W1245">
        <v>43</v>
      </c>
      <c r="X1245">
        <v>491</v>
      </c>
      <c r="Y1245">
        <v>123</v>
      </c>
      <c r="Z1245">
        <v>187</v>
      </c>
      <c r="AA1245">
        <v>385</v>
      </c>
      <c r="AB1245">
        <v>11.1655867698951</v>
      </c>
      <c r="AC1245">
        <v>2.1077714654205999E-2</v>
      </c>
      <c r="AD1245">
        <v>1.0958521408020701</v>
      </c>
      <c r="AE1245">
        <v>0.64884088621826697</v>
      </c>
      <c r="AF1245">
        <v>1057.0738137082601</v>
      </c>
      <c r="AG1245">
        <f>IFERROR(AH1245*0.1, "N/A")</f>
        <v>6.1397188049209106</v>
      </c>
      <c r="AH1245">
        <v>61.397188049209099</v>
      </c>
      <c r="AI1245">
        <v>247.71314262296301</v>
      </c>
      <c r="AJ1245">
        <v>41</v>
      </c>
      <c r="AK1245">
        <v>38.794376098418297</v>
      </c>
    </row>
    <row r="1246" spans="1:37" x14ac:dyDescent="0.3">
      <c r="A1246">
        <v>1245</v>
      </c>
      <c r="B1246">
        <v>0</v>
      </c>
      <c r="C1246">
        <v>32.648701000000003</v>
      </c>
      <c r="D1246">
        <v>2.1093500000000001</v>
      </c>
      <c r="E1246" t="s">
        <v>2175</v>
      </c>
      <c r="F1246" t="s">
        <v>2177</v>
      </c>
      <c r="G1246" t="s">
        <v>37</v>
      </c>
      <c r="H1246">
        <v>0</v>
      </c>
      <c r="I1246">
        <v>23.5</v>
      </c>
      <c r="J1246">
        <v>13</v>
      </c>
      <c r="K1246">
        <v>78</v>
      </c>
      <c r="L1246">
        <v>9.9200000762939506</v>
      </c>
      <c r="M1246">
        <v>32.900001525878899</v>
      </c>
      <c r="N1246">
        <v>16.399999618530298</v>
      </c>
      <c r="O1246">
        <v>16.5</v>
      </c>
      <c r="P1246">
        <v>22.600000381469702</v>
      </c>
      <c r="Q1246">
        <v>24.5</v>
      </c>
      <c r="R1246">
        <v>24.899999618530298</v>
      </c>
      <c r="S1246">
        <v>22.299999237060501</v>
      </c>
      <c r="T1246">
        <v>1349</v>
      </c>
      <c r="U1246">
        <v>173</v>
      </c>
      <c r="V1246">
        <v>26</v>
      </c>
      <c r="W1246">
        <v>43</v>
      </c>
      <c r="X1246">
        <v>491</v>
      </c>
      <c r="Y1246">
        <v>123</v>
      </c>
      <c r="Z1246">
        <v>187</v>
      </c>
      <c r="AA1246">
        <v>385</v>
      </c>
      <c r="AB1246">
        <v>11.1655867698951</v>
      </c>
      <c r="AC1246">
        <v>2.1077714654205999E-2</v>
      </c>
      <c r="AD1246">
        <v>1.0958521408020701</v>
      </c>
      <c r="AE1246">
        <v>0.64884088621826697</v>
      </c>
      <c r="AF1246">
        <v>1057.0738137082601</v>
      </c>
      <c r="AG1246">
        <f>IFERROR(AH1246*0.1, "N/A")</f>
        <v>6.1397188049209106</v>
      </c>
      <c r="AH1246">
        <v>61.397188049209099</v>
      </c>
      <c r="AI1246">
        <v>247.71314262296301</v>
      </c>
      <c r="AJ1246">
        <v>41</v>
      </c>
      <c r="AK1246">
        <v>38.794376098418297</v>
      </c>
    </row>
    <row r="1247" spans="1:37" x14ac:dyDescent="0.3">
      <c r="A1247">
        <v>1246</v>
      </c>
      <c r="B1247">
        <v>0</v>
      </c>
      <c r="C1247">
        <v>32.602001000000001</v>
      </c>
      <c r="D1247">
        <v>2.1255600000000001</v>
      </c>
      <c r="E1247" t="s">
        <v>2178</v>
      </c>
      <c r="F1247" t="s">
        <v>2179</v>
      </c>
      <c r="G1247" t="s">
        <v>39</v>
      </c>
      <c r="H1247">
        <v>0</v>
      </c>
      <c r="I1247">
        <v>23.5</v>
      </c>
      <c r="J1247">
        <v>12.8999996185303</v>
      </c>
      <c r="K1247">
        <v>78</v>
      </c>
      <c r="L1247">
        <v>9.9049295606747503</v>
      </c>
      <c r="M1247">
        <v>32.900001525878899</v>
      </c>
      <c r="N1247">
        <v>16.436267362513998</v>
      </c>
      <c r="O1247">
        <v>16.4637322560163</v>
      </c>
      <c r="P1247">
        <v>22.5362677439837</v>
      </c>
      <c r="Q1247">
        <v>24.5</v>
      </c>
      <c r="R1247">
        <v>24.899999618530298</v>
      </c>
      <c r="S1247">
        <v>22.3362669810443</v>
      </c>
      <c r="T1247">
        <v>1328.63732394366</v>
      </c>
      <c r="U1247">
        <v>172</v>
      </c>
      <c r="V1247">
        <v>26</v>
      </c>
      <c r="W1247">
        <v>44</v>
      </c>
      <c r="X1247">
        <v>487.63732394366201</v>
      </c>
      <c r="Y1247">
        <v>122</v>
      </c>
      <c r="Z1247">
        <v>186</v>
      </c>
      <c r="AA1247">
        <v>414.27464788732402</v>
      </c>
      <c r="AB1247">
        <v>9.5224044155067098</v>
      </c>
      <c r="AC1247">
        <v>1.0241487799671E-2</v>
      </c>
      <c r="AD1247">
        <v>1.26569526201822</v>
      </c>
      <c r="AE1247">
        <v>0.52499114123868296</v>
      </c>
      <c r="AF1247">
        <v>1049.5897887323899</v>
      </c>
      <c r="AG1247">
        <f>IFERROR(AH1247*0.1, "N/A")</f>
        <v>6.1971830985915508</v>
      </c>
      <c r="AH1247">
        <v>61.971830985915503</v>
      </c>
      <c r="AI1247">
        <v>193.64922872731401</v>
      </c>
      <c r="AJ1247">
        <v>42.227112676056301</v>
      </c>
      <c r="AK1247">
        <v>38.772887323943699</v>
      </c>
    </row>
    <row r="1248" spans="1:37" x14ac:dyDescent="0.3">
      <c r="A1248">
        <v>1247</v>
      </c>
      <c r="B1248">
        <v>0</v>
      </c>
      <c r="C1248">
        <v>32.333199</v>
      </c>
      <c r="D1248">
        <v>2.1353399999999998</v>
      </c>
      <c r="E1248" t="s">
        <v>2180</v>
      </c>
      <c r="F1248" t="s">
        <v>2181</v>
      </c>
      <c r="G1248" t="s">
        <v>37</v>
      </c>
      <c r="H1248">
        <v>1967</v>
      </c>
      <c r="I1248">
        <v>23.336730484384201</v>
      </c>
      <c r="J1248">
        <v>12.6000003814697</v>
      </c>
      <c r="K1248">
        <v>78</v>
      </c>
      <c r="L1248">
        <v>9.6298063794422593</v>
      </c>
      <c r="M1248">
        <v>32.436732072612301</v>
      </c>
      <c r="N1248">
        <v>16.336730484384201</v>
      </c>
      <c r="O1248">
        <v>16.100000381469702</v>
      </c>
      <c r="P1248">
        <v>22.336730484384201</v>
      </c>
      <c r="Q1248">
        <v>24.236731309672901</v>
      </c>
      <c r="R1248">
        <v>24.700000762939499</v>
      </c>
      <c r="S1248">
        <v>22.236731309672901</v>
      </c>
      <c r="T1248">
        <v>1266.2653778558899</v>
      </c>
      <c r="U1248">
        <v>171.632688927944</v>
      </c>
      <c r="V1248">
        <v>27</v>
      </c>
      <c r="W1248">
        <v>44</v>
      </c>
      <c r="X1248">
        <v>473.632688927944</v>
      </c>
      <c r="Y1248">
        <v>117</v>
      </c>
      <c r="Z1248">
        <v>173</v>
      </c>
      <c r="AA1248">
        <v>392.00175746924401</v>
      </c>
      <c r="AB1248">
        <v>16.697835000411899</v>
      </c>
      <c r="AC1248">
        <v>8.54203924504E-3</v>
      </c>
      <c r="AD1248">
        <v>2.2327122543733902</v>
      </c>
      <c r="AE1248">
        <v>0.45908791622922801</v>
      </c>
      <c r="AF1248">
        <v>1051.7539543058001</v>
      </c>
      <c r="AG1248">
        <f>IFERROR(AH1248*0.1, "N/A")</f>
        <v>5.9632688927943809</v>
      </c>
      <c r="AH1248">
        <v>59.632688927943803</v>
      </c>
      <c r="AI1248">
        <v>267.62306430595402</v>
      </c>
      <c r="AJ1248">
        <v>40.7346221441125</v>
      </c>
      <c r="AK1248">
        <v>42.898066783831297</v>
      </c>
    </row>
    <row r="1249" spans="1:37" x14ac:dyDescent="0.3">
      <c r="A1249">
        <v>1248</v>
      </c>
      <c r="B1249">
        <v>0</v>
      </c>
      <c r="C1249">
        <v>32.333199</v>
      </c>
      <c r="D1249">
        <v>2.1353399999999998</v>
      </c>
      <c r="E1249" t="s">
        <v>2180</v>
      </c>
      <c r="F1249" t="s">
        <v>2182</v>
      </c>
      <c r="G1249" t="s">
        <v>39</v>
      </c>
      <c r="H1249">
        <v>1967</v>
      </c>
      <c r="I1249">
        <v>23.336730484384201</v>
      </c>
      <c r="J1249">
        <v>12.6000003814697</v>
      </c>
      <c r="K1249">
        <v>78</v>
      </c>
      <c r="L1249">
        <v>9.6298063794422593</v>
      </c>
      <c r="M1249">
        <v>32.436732072612301</v>
      </c>
      <c r="N1249">
        <v>16.336730484384201</v>
      </c>
      <c r="O1249">
        <v>16.100000381469702</v>
      </c>
      <c r="P1249">
        <v>22.336730484384201</v>
      </c>
      <c r="Q1249">
        <v>24.236731309672901</v>
      </c>
      <c r="R1249">
        <v>24.700000762939499</v>
      </c>
      <c r="S1249">
        <v>22.236731309672901</v>
      </c>
      <c r="T1249">
        <v>1266.2653778558899</v>
      </c>
      <c r="U1249">
        <v>171.632688927944</v>
      </c>
      <c r="V1249">
        <v>27</v>
      </c>
      <c r="W1249">
        <v>44</v>
      </c>
      <c r="X1249">
        <v>473.632688927944</v>
      </c>
      <c r="Y1249">
        <v>117</v>
      </c>
      <c r="Z1249">
        <v>173</v>
      </c>
      <c r="AA1249">
        <v>392.00175746924401</v>
      </c>
      <c r="AB1249">
        <v>16.697835000411899</v>
      </c>
      <c r="AC1249">
        <v>8.54203924504E-3</v>
      </c>
      <c r="AD1249">
        <v>2.2327122543733902</v>
      </c>
      <c r="AE1249">
        <v>0.45908791622922801</v>
      </c>
      <c r="AF1249">
        <v>1051.7539543058001</v>
      </c>
      <c r="AG1249">
        <f>IFERROR(AH1249*0.1, "N/A")</f>
        <v>5.9632688927943809</v>
      </c>
      <c r="AH1249">
        <v>59.632688927943803</v>
      </c>
      <c r="AI1249">
        <v>267.62306430595402</v>
      </c>
      <c r="AJ1249">
        <v>40.7346221441125</v>
      </c>
      <c r="AK1249">
        <v>42.898066783831297</v>
      </c>
    </row>
    <row r="1250" spans="1:37" x14ac:dyDescent="0.3">
      <c r="A1250">
        <v>1249</v>
      </c>
      <c r="B1250">
        <v>0</v>
      </c>
      <c r="C1250">
        <v>32.674999</v>
      </c>
      <c r="D1250">
        <v>2.14452</v>
      </c>
      <c r="E1250" t="s">
        <v>2183</v>
      </c>
      <c r="F1250" t="s">
        <v>2184</v>
      </c>
      <c r="G1250" t="s">
        <v>39</v>
      </c>
      <c r="H1250">
        <v>0</v>
      </c>
      <c r="I1250">
        <v>23.476719487911801</v>
      </c>
      <c r="J1250">
        <v>13</v>
      </c>
      <c r="K1250">
        <v>77.767195767195801</v>
      </c>
      <c r="L1250">
        <v>10.0551851161573</v>
      </c>
      <c r="M1250">
        <v>32.900001525878899</v>
      </c>
      <c r="N1250">
        <v>16.3534390383927</v>
      </c>
      <c r="O1250">
        <v>16.546561024176398</v>
      </c>
      <c r="P1250">
        <v>22.5534393572933</v>
      </c>
      <c r="Q1250">
        <v>24.476719487911801</v>
      </c>
      <c r="R1250">
        <v>24.876719106442099</v>
      </c>
      <c r="S1250">
        <v>22.253438656922999</v>
      </c>
      <c r="T1250">
        <v>1351.62962962963</v>
      </c>
      <c r="U1250">
        <v>173.232804232804</v>
      </c>
      <c r="V1250">
        <v>25</v>
      </c>
      <c r="W1250">
        <v>44</v>
      </c>
      <c r="X1250">
        <v>495.46560846560902</v>
      </c>
      <c r="Y1250">
        <v>120</v>
      </c>
      <c r="Z1250">
        <v>182</v>
      </c>
      <c r="AA1250">
        <v>399.84656084656098</v>
      </c>
      <c r="AB1250">
        <v>14.2292626867008</v>
      </c>
      <c r="AC1250">
        <v>1.6616957947099002E-2</v>
      </c>
      <c r="AD1250">
        <v>2.1118866556325702</v>
      </c>
      <c r="AE1250">
        <v>0.62167164289131405</v>
      </c>
      <c r="AF1250">
        <v>1071.5873015873001</v>
      </c>
      <c r="AG1250">
        <f>IFERROR(AH1250*0.1, "N/A")</f>
        <v>6.1934744268077608</v>
      </c>
      <c r="AH1250">
        <v>61.934744268077601</v>
      </c>
      <c r="AI1250">
        <v>231.23104851670601</v>
      </c>
      <c r="AJ1250">
        <v>40.410934744268097</v>
      </c>
      <c r="AK1250">
        <v>39.8871252204586</v>
      </c>
    </row>
    <row r="1251" spans="1:37" x14ac:dyDescent="0.3">
      <c r="A1251">
        <v>1250</v>
      </c>
      <c r="B1251">
        <v>0</v>
      </c>
      <c r="C1251">
        <v>33.356098000000003</v>
      </c>
      <c r="D1251">
        <v>2.1448800000000001</v>
      </c>
      <c r="E1251" t="s">
        <v>2185</v>
      </c>
      <c r="F1251" t="s">
        <v>2186</v>
      </c>
      <c r="G1251" t="s">
        <v>39</v>
      </c>
      <c r="H1251">
        <v>0</v>
      </c>
      <c r="I1251">
        <v>23.299999237060501</v>
      </c>
      <c r="J1251">
        <v>12.8999996185303</v>
      </c>
      <c r="K1251">
        <v>79</v>
      </c>
      <c r="L1251">
        <v>9.9799995422363299</v>
      </c>
      <c r="M1251">
        <v>32.700000762939503</v>
      </c>
      <c r="N1251">
        <v>16.399999618530298</v>
      </c>
      <c r="O1251">
        <v>16.299999237060501</v>
      </c>
      <c r="P1251">
        <v>22.100000381469702</v>
      </c>
      <c r="Q1251">
        <v>24.399999618530298</v>
      </c>
      <c r="R1251">
        <v>24.700000762939499</v>
      </c>
      <c r="S1251">
        <v>22.100000381469702</v>
      </c>
      <c r="T1251">
        <v>1304</v>
      </c>
      <c r="U1251">
        <v>195</v>
      </c>
      <c r="V1251">
        <v>16</v>
      </c>
      <c r="W1251">
        <v>52</v>
      </c>
      <c r="X1251">
        <v>495</v>
      </c>
      <c r="Y1251">
        <v>92</v>
      </c>
      <c r="Z1251">
        <v>132</v>
      </c>
      <c r="AA1251">
        <v>460</v>
      </c>
      <c r="AB1251">
        <v>1.3566029955926</v>
      </c>
      <c r="AC1251">
        <v>0.92806358941829104</v>
      </c>
      <c r="AD1251">
        <v>2.0392332366145598</v>
      </c>
      <c r="AE1251">
        <v>0.71265242797419104</v>
      </c>
      <c r="AF1251">
        <v>1139.0632688927899</v>
      </c>
      <c r="AG1251">
        <f>IFERROR(AH1251*0.1, "N/A")</f>
        <v>5.9</v>
      </c>
      <c r="AH1251">
        <v>59</v>
      </c>
      <c r="AI1251">
        <v>136.40288530963201</v>
      </c>
      <c r="AJ1251">
        <v>35.156414762741697</v>
      </c>
      <c r="AK1251">
        <v>47.270650263620396</v>
      </c>
    </row>
    <row r="1252" spans="1:37" x14ac:dyDescent="0.3">
      <c r="A1252">
        <v>1251</v>
      </c>
      <c r="B1252">
        <v>3.7</v>
      </c>
      <c r="C1252">
        <v>33.356098000000003</v>
      </c>
      <c r="D1252">
        <v>2.1448800000000001</v>
      </c>
      <c r="E1252" t="s">
        <v>2185</v>
      </c>
      <c r="F1252" t="s">
        <v>2187</v>
      </c>
      <c r="G1252" t="s">
        <v>37</v>
      </c>
      <c r="H1252">
        <v>0</v>
      </c>
      <c r="I1252">
        <v>23.299999237060501</v>
      </c>
      <c r="J1252">
        <v>12.8999996185303</v>
      </c>
      <c r="K1252">
        <v>79</v>
      </c>
      <c r="L1252">
        <v>9.9799995422363299</v>
      </c>
      <c r="M1252">
        <v>32.700000762939503</v>
      </c>
      <c r="N1252">
        <v>16.399999618530298</v>
      </c>
      <c r="O1252">
        <v>16.299999237060501</v>
      </c>
      <c r="P1252">
        <v>22.100000381469702</v>
      </c>
      <c r="Q1252">
        <v>24.399999618530298</v>
      </c>
      <c r="R1252">
        <v>24.700000762939499</v>
      </c>
      <c r="S1252">
        <v>22.100000381469702</v>
      </c>
      <c r="T1252">
        <v>1304</v>
      </c>
      <c r="U1252">
        <v>195</v>
      </c>
      <c r="V1252">
        <v>16</v>
      </c>
      <c r="W1252">
        <v>52</v>
      </c>
      <c r="X1252">
        <v>495</v>
      </c>
      <c r="Y1252">
        <v>92</v>
      </c>
      <c r="Z1252">
        <v>132</v>
      </c>
      <c r="AA1252">
        <v>460</v>
      </c>
      <c r="AB1252">
        <v>1.3566029955926</v>
      </c>
      <c r="AC1252">
        <v>0.92806358941829104</v>
      </c>
      <c r="AD1252">
        <v>2.0392332366145598</v>
      </c>
      <c r="AE1252">
        <v>0.71265242797419104</v>
      </c>
      <c r="AF1252">
        <v>1139.0632688927899</v>
      </c>
      <c r="AG1252">
        <f>IFERROR(AH1252*0.1, "N/A")</f>
        <v>5.9</v>
      </c>
      <c r="AH1252">
        <v>59</v>
      </c>
      <c r="AI1252">
        <v>136.40288530963201</v>
      </c>
      <c r="AJ1252">
        <v>35.156414762741697</v>
      </c>
      <c r="AK1252">
        <v>47.270650263620396</v>
      </c>
    </row>
    <row r="1253" spans="1:37" x14ac:dyDescent="0.3">
      <c r="A1253">
        <v>1252</v>
      </c>
      <c r="B1253">
        <v>0</v>
      </c>
      <c r="C1253">
        <v>32.561999999999998</v>
      </c>
      <c r="D1253">
        <v>2.1511999999999998</v>
      </c>
      <c r="E1253" t="s">
        <v>2188</v>
      </c>
      <c r="F1253" t="s">
        <v>2189</v>
      </c>
      <c r="G1253" t="s">
        <v>39</v>
      </c>
      <c r="H1253">
        <v>0</v>
      </c>
      <c r="I1253">
        <v>23.5</v>
      </c>
      <c r="J1253">
        <v>12.8999996185303</v>
      </c>
      <c r="K1253">
        <v>78</v>
      </c>
      <c r="L1253">
        <v>10.0200004577637</v>
      </c>
      <c r="M1253">
        <v>32.900001525878899</v>
      </c>
      <c r="N1253">
        <v>16.399999618530298</v>
      </c>
      <c r="O1253">
        <v>16.5</v>
      </c>
      <c r="P1253">
        <v>22.5</v>
      </c>
      <c r="Q1253">
        <v>24.399999618530298</v>
      </c>
      <c r="R1253">
        <v>24.899999618530298</v>
      </c>
      <c r="S1253">
        <v>22.299999237060501</v>
      </c>
      <c r="T1253">
        <v>1297</v>
      </c>
      <c r="U1253">
        <v>174</v>
      </c>
      <c r="V1253">
        <v>26</v>
      </c>
      <c r="W1253">
        <v>44</v>
      </c>
      <c r="X1253">
        <v>484</v>
      </c>
      <c r="Y1253">
        <v>119</v>
      </c>
      <c r="Z1253">
        <v>181</v>
      </c>
      <c r="AA1253">
        <v>413</v>
      </c>
      <c r="AB1253">
        <v>14.8710084297288</v>
      </c>
      <c r="AC1253">
        <v>8.8878422827969993E-3</v>
      </c>
      <c r="AD1253">
        <v>0.57297121686205099</v>
      </c>
      <c r="AE1253">
        <v>0.60127222537994396</v>
      </c>
      <c r="AF1253">
        <v>1050.6866197183101</v>
      </c>
      <c r="AG1253">
        <f>IFERROR(AH1253*0.1, "N/A")</f>
        <v>6.0463028169014104</v>
      </c>
      <c r="AH1253">
        <v>60.463028169014102</v>
      </c>
      <c r="AI1253">
        <v>61.317003377726401</v>
      </c>
      <c r="AJ1253">
        <v>43.489436619718298</v>
      </c>
      <c r="AK1253">
        <v>38.242957746478901</v>
      </c>
    </row>
    <row r="1254" spans="1:37" x14ac:dyDescent="0.3">
      <c r="A1254">
        <v>1253</v>
      </c>
      <c r="B1254">
        <v>0</v>
      </c>
      <c r="C1254">
        <v>32.561999999999998</v>
      </c>
      <c r="D1254">
        <v>2.1511999999999998</v>
      </c>
      <c r="E1254" t="s">
        <v>2188</v>
      </c>
      <c r="F1254" t="s">
        <v>2190</v>
      </c>
      <c r="G1254" t="s">
        <v>37</v>
      </c>
      <c r="H1254">
        <v>0</v>
      </c>
      <c r="I1254">
        <v>23.5</v>
      </c>
      <c r="J1254">
        <v>12.8999996185303</v>
      </c>
      <c r="K1254">
        <v>78</v>
      </c>
      <c r="L1254">
        <v>10.0200004577637</v>
      </c>
      <c r="M1254">
        <v>32.900001525878899</v>
      </c>
      <c r="N1254">
        <v>16.399999618530298</v>
      </c>
      <c r="O1254">
        <v>16.5</v>
      </c>
      <c r="P1254">
        <v>22.5</v>
      </c>
      <c r="Q1254">
        <v>24.399999618530298</v>
      </c>
      <c r="R1254">
        <v>24.899999618530298</v>
      </c>
      <c r="S1254">
        <v>22.299999237060501</v>
      </c>
      <c r="T1254">
        <v>1297</v>
      </c>
      <c r="U1254">
        <v>174</v>
      </c>
      <c r="V1254">
        <v>26</v>
      </c>
      <c r="W1254">
        <v>44</v>
      </c>
      <c r="X1254">
        <v>484</v>
      </c>
      <c r="Y1254">
        <v>119</v>
      </c>
      <c r="Z1254">
        <v>181</v>
      </c>
      <c r="AA1254">
        <v>413</v>
      </c>
      <c r="AB1254">
        <v>14.8710084297288</v>
      </c>
      <c r="AC1254">
        <v>8.8878422827969993E-3</v>
      </c>
      <c r="AD1254">
        <v>0.57297121686205099</v>
      </c>
      <c r="AE1254">
        <v>0.60127222537994396</v>
      </c>
      <c r="AF1254">
        <v>1050.6866197183101</v>
      </c>
      <c r="AG1254">
        <f>IFERROR(AH1254*0.1, "N/A")</f>
        <v>6.0463028169014104</v>
      </c>
      <c r="AH1254">
        <v>60.463028169014102</v>
      </c>
      <c r="AI1254">
        <v>61.317003377726401</v>
      </c>
      <c r="AJ1254">
        <v>43.489436619718298</v>
      </c>
      <c r="AK1254">
        <v>38.242957746478901</v>
      </c>
    </row>
    <row r="1255" spans="1:37" x14ac:dyDescent="0.3">
      <c r="A1255">
        <v>1254</v>
      </c>
      <c r="B1255">
        <v>28.1</v>
      </c>
      <c r="C1255">
        <v>31.393000000000001</v>
      </c>
      <c r="D1255">
        <v>2.1747999999999998</v>
      </c>
      <c r="E1255" t="s">
        <v>2191</v>
      </c>
      <c r="F1255" t="s">
        <v>2192</v>
      </c>
      <c r="G1255" t="s">
        <v>37</v>
      </c>
      <c r="H1255">
        <v>2004</v>
      </c>
      <c r="I1255">
        <v>25.350263049187699</v>
      </c>
      <c r="J1255">
        <v>11.699999809265099</v>
      </c>
      <c r="K1255">
        <v>74</v>
      </c>
      <c r="L1255">
        <v>9.7596306825983099</v>
      </c>
      <c r="M1255">
        <v>33.299999237060497</v>
      </c>
      <c r="N1255">
        <v>17.550263812127099</v>
      </c>
      <c r="O1255">
        <v>15.7497363786077</v>
      </c>
      <c r="P1255">
        <v>24.100000381469702</v>
      </c>
      <c r="Q1255">
        <v>26</v>
      </c>
      <c r="R1255">
        <v>26.399999618530298</v>
      </c>
      <c r="S1255">
        <v>24.100000381469702</v>
      </c>
      <c r="T1255">
        <v>987.99472759226705</v>
      </c>
      <c r="U1255">
        <v>129.49736379613401</v>
      </c>
      <c r="V1255">
        <v>20</v>
      </c>
      <c r="W1255">
        <v>43</v>
      </c>
      <c r="X1255">
        <v>346.994727592267</v>
      </c>
      <c r="Y1255">
        <v>83</v>
      </c>
      <c r="Z1255">
        <v>128</v>
      </c>
      <c r="AA1255">
        <v>346.994727592267</v>
      </c>
      <c r="AB1255">
        <v>6.3361955853882899</v>
      </c>
      <c r="AC1255">
        <v>5.3322558996705002E-2</v>
      </c>
      <c r="AD1255">
        <v>1.0060956864658701</v>
      </c>
      <c r="AE1255">
        <v>0.22316980361938499</v>
      </c>
      <c r="AF1255">
        <v>631.23550087873502</v>
      </c>
      <c r="AG1255">
        <f>IFERROR(AH1255*0.1, "N/A")</f>
        <v>5.8154657293497403</v>
      </c>
      <c r="AH1255">
        <v>58.154657293497401</v>
      </c>
      <c r="AI1255">
        <v>180.90281602158899</v>
      </c>
      <c r="AJ1255">
        <v>24.4639718804921</v>
      </c>
      <c r="AK1255">
        <v>53.845342706502599</v>
      </c>
    </row>
    <row r="1256" spans="1:37" x14ac:dyDescent="0.3">
      <c r="A1256">
        <v>1255</v>
      </c>
      <c r="B1256">
        <v>37.5</v>
      </c>
      <c r="C1256">
        <v>31.382899999999999</v>
      </c>
      <c r="D1256">
        <v>2.1777799999999998</v>
      </c>
      <c r="E1256" t="s">
        <v>2193</v>
      </c>
      <c r="F1256" t="s">
        <v>2194</v>
      </c>
      <c r="G1256" t="s">
        <v>37</v>
      </c>
      <c r="H1256">
        <v>2007</v>
      </c>
      <c r="I1256">
        <v>25.399999618530298</v>
      </c>
      <c r="J1256">
        <v>11.696836382726801</v>
      </c>
      <c r="K1256">
        <v>73.968365553602794</v>
      </c>
      <c r="L1256">
        <v>9.53347954138302</v>
      </c>
      <c r="M1256">
        <v>33.299999237060497</v>
      </c>
      <c r="N1256">
        <v>17.600000381469702</v>
      </c>
      <c r="O1256">
        <v>15.699999809265099</v>
      </c>
      <c r="P1256">
        <v>24.200000762939499</v>
      </c>
      <c r="Q1256">
        <v>26</v>
      </c>
      <c r="R1256">
        <v>26.4031630752376</v>
      </c>
      <c r="S1256">
        <v>24.200000762939499</v>
      </c>
      <c r="T1256">
        <v>974.25307557117799</v>
      </c>
      <c r="U1256">
        <v>128.03163444639699</v>
      </c>
      <c r="V1256">
        <v>19.031634446397199</v>
      </c>
      <c r="W1256">
        <v>44</v>
      </c>
      <c r="X1256">
        <v>343.094903339192</v>
      </c>
      <c r="Y1256">
        <v>80.063268892794397</v>
      </c>
      <c r="Z1256">
        <v>124.063268892794</v>
      </c>
      <c r="AA1256">
        <v>343.094903339192</v>
      </c>
      <c r="AB1256">
        <v>6.3023127068115699</v>
      </c>
      <c r="AC1256">
        <v>1.6918481653311002E-2</v>
      </c>
      <c r="AD1256">
        <v>0.91344837637484</v>
      </c>
      <c r="AE1256">
        <v>0.24205526709556599</v>
      </c>
      <c r="AF1256">
        <v>626.10544815465698</v>
      </c>
      <c r="AG1256">
        <f>IFERROR(AH1256*0.1, "N/A")</f>
        <v>5.7073813708260097</v>
      </c>
      <c r="AH1256">
        <v>57.073813708260097</v>
      </c>
      <c r="AI1256">
        <v>155.833757450794</v>
      </c>
      <c r="AJ1256">
        <v>24.968365553602801</v>
      </c>
      <c r="AK1256">
        <v>54.926186291739903</v>
      </c>
    </row>
    <row r="1257" spans="1:37" x14ac:dyDescent="0.3">
      <c r="A1257">
        <v>1256</v>
      </c>
      <c r="B1257">
        <v>39.200001</v>
      </c>
      <c r="C1257">
        <v>31.382899999999999</v>
      </c>
      <c r="D1257">
        <v>2.17787</v>
      </c>
      <c r="E1257" t="s">
        <v>2195</v>
      </c>
      <c r="F1257" t="s">
        <v>2196</v>
      </c>
      <c r="G1257" t="s">
        <v>37</v>
      </c>
      <c r="H1257">
        <v>2007</v>
      </c>
      <c r="I1257">
        <v>25.399999618530298</v>
      </c>
      <c r="J1257">
        <v>11.6968308133139</v>
      </c>
      <c r="K1257">
        <v>73.9683098591549</v>
      </c>
      <c r="L1257">
        <v>9.5334856678062803</v>
      </c>
      <c r="M1257">
        <v>33.299999237060497</v>
      </c>
      <c r="N1257">
        <v>17.600000381469702</v>
      </c>
      <c r="O1257">
        <v>15.699999809265099</v>
      </c>
      <c r="P1257">
        <v>24.200000762939499</v>
      </c>
      <c r="Q1257">
        <v>26</v>
      </c>
      <c r="R1257">
        <v>26.403168644703602</v>
      </c>
      <c r="S1257">
        <v>24.200000762939499</v>
      </c>
      <c r="T1257">
        <v>974.25352112676001</v>
      </c>
      <c r="U1257">
        <v>128.031690140845</v>
      </c>
      <c r="V1257">
        <v>19.0316901408451</v>
      </c>
      <c r="W1257">
        <v>44</v>
      </c>
      <c r="X1257">
        <v>343.095070422535</v>
      </c>
      <c r="Y1257">
        <v>80.063380281690101</v>
      </c>
      <c r="Z1257">
        <v>124.06338028169</v>
      </c>
      <c r="AA1257">
        <v>343.095070422535</v>
      </c>
      <c r="AB1257">
        <v>6.3567151351713802</v>
      </c>
      <c r="AC1257">
        <v>1.5399312006939E-2</v>
      </c>
      <c r="AD1257">
        <v>0.87489833005926998</v>
      </c>
      <c r="AE1257">
        <v>0.24205526709556599</v>
      </c>
      <c r="AF1257">
        <v>626.14964788732402</v>
      </c>
      <c r="AG1257">
        <f>IFERROR(AH1257*0.1, "N/A")</f>
        <v>5.7117957746478902</v>
      </c>
      <c r="AH1257">
        <v>57.117957746478901</v>
      </c>
      <c r="AI1257">
        <v>148.665231650984</v>
      </c>
      <c r="AJ1257">
        <v>24.9683098591549</v>
      </c>
      <c r="AK1257">
        <v>54.882042253521099</v>
      </c>
    </row>
    <row r="1258" spans="1:37" x14ac:dyDescent="0.3">
      <c r="A1258">
        <v>1257</v>
      </c>
      <c r="B1258">
        <v>0</v>
      </c>
      <c r="C1258">
        <v>33.204399000000002</v>
      </c>
      <c r="D1258">
        <v>2.1889500000000002</v>
      </c>
      <c r="E1258" t="s">
        <v>2197</v>
      </c>
      <c r="F1258" t="s">
        <v>2198</v>
      </c>
      <c r="G1258" t="s">
        <v>39</v>
      </c>
      <c r="H1258">
        <v>0</v>
      </c>
      <c r="I1258">
        <v>23.299999237060501</v>
      </c>
      <c r="J1258">
        <v>13.1000003814697</v>
      </c>
      <c r="K1258">
        <v>78</v>
      </c>
      <c r="L1258">
        <v>10.3599996566772</v>
      </c>
      <c r="M1258">
        <v>32.900001525878899</v>
      </c>
      <c r="N1258">
        <v>16.200000762939499</v>
      </c>
      <c r="O1258">
        <v>16.700000762939499</v>
      </c>
      <c r="P1258">
        <v>22.100000381469702</v>
      </c>
      <c r="Q1258">
        <v>24.399999618530298</v>
      </c>
      <c r="R1258">
        <v>24.799999237060501</v>
      </c>
      <c r="S1258">
        <v>22</v>
      </c>
      <c r="T1258">
        <v>1329</v>
      </c>
      <c r="U1258">
        <v>196</v>
      </c>
      <c r="V1258">
        <v>15</v>
      </c>
      <c r="W1258">
        <v>53</v>
      </c>
      <c r="X1258">
        <v>509</v>
      </c>
      <c r="Y1258">
        <v>92</v>
      </c>
      <c r="Z1258">
        <v>132</v>
      </c>
      <c r="AA1258">
        <v>464</v>
      </c>
      <c r="AB1258">
        <v>2.0094617341694101</v>
      </c>
      <c r="AC1258">
        <v>7.7449713107623301</v>
      </c>
      <c r="AD1258">
        <v>2.6747180625012099</v>
      </c>
      <c r="AE1258">
        <v>0.65302369782799197</v>
      </c>
      <c r="AF1258">
        <v>1118.34912280702</v>
      </c>
      <c r="AG1258">
        <f>IFERROR(AH1258*0.1, "N/A")</f>
        <v>5.8536842105263203</v>
      </c>
      <c r="AH1258">
        <v>58.536842105263197</v>
      </c>
      <c r="AI1258">
        <v>154.31349400972101</v>
      </c>
      <c r="AJ1258">
        <v>42.105263157894697</v>
      </c>
      <c r="AK1258">
        <v>39.894736842105303</v>
      </c>
    </row>
    <row r="1259" spans="1:37" x14ac:dyDescent="0.3">
      <c r="A1259">
        <v>1258</v>
      </c>
      <c r="B1259">
        <v>14.8</v>
      </c>
      <c r="C1259">
        <v>33.204399000000002</v>
      </c>
      <c r="D1259">
        <v>2.1889500000000002</v>
      </c>
      <c r="E1259" t="s">
        <v>2197</v>
      </c>
      <c r="F1259" t="s">
        <v>2199</v>
      </c>
      <c r="G1259" t="s">
        <v>37</v>
      </c>
      <c r="H1259">
        <v>0</v>
      </c>
      <c r="I1259">
        <v>23.299999237060501</v>
      </c>
      <c r="J1259">
        <v>13.1000003814697</v>
      </c>
      <c r="K1259">
        <v>78</v>
      </c>
      <c r="L1259">
        <v>10.3599996566772</v>
      </c>
      <c r="M1259">
        <v>32.900001525878899</v>
      </c>
      <c r="N1259">
        <v>16.200000762939499</v>
      </c>
      <c r="O1259">
        <v>16.700000762939499</v>
      </c>
      <c r="P1259">
        <v>22.100000381469702</v>
      </c>
      <c r="Q1259">
        <v>24.399999618530298</v>
      </c>
      <c r="R1259">
        <v>24.799999237060501</v>
      </c>
      <c r="S1259">
        <v>22</v>
      </c>
      <c r="T1259">
        <v>1329</v>
      </c>
      <c r="U1259">
        <v>196</v>
      </c>
      <c r="V1259">
        <v>15</v>
      </c>
      <c r="W1259">
        <v>53</v>
      </c>
      <c r="X1259">
        <v>509</v>
      </c>
      <c r="Y1259">
        <v>92</v>
      </c>
      <c r="Z1259">
        <v>132</v>
      </c>
      <c r="AA1259">
        <v>464</v>
      </c>
      <c r="AB1259">
        <v>2.0094617341694101</v>
      </c>
      <c r="AC1259">
        <v>7.7449713107623301</v>
      </c>
      <c r="AD1259">
        <v>2.6747180625012099</v>
      </c>
      <c r="AE1259">
        <v>0.65302369782799197</v>
      </c>
      <c r="AF1259">
        <v>1118.34912280702</v>
      </c>
      <c r="AG1259">
        <f>IFERROR(AH1259*0.1, "N/A")</f>
        <v>5.8536842105263203</v>
      </c>
      <c r="AH1259">
        <v>58.536842105263197</v>
      </c>
      <c r="AI1259">
        <v>154.31349400972101</v>
      </c>
      <c r="AJ1259">
        <v>42.105263157894697</v>
      </c>
      <c r="AK1259">
        <v>39.894736842105303</v>
      </c>
    </row>
    <row r="1260" spans="1:37" x14ac:dyDescent="0.3">
      <c r="A1260">
        <v>1259</v>
      </c>
      <c r="B1260">
        <v>0</v>
      </c>
      <c r="C1260">
        <v>32.588298999999999</v>
      </c>
      <c r="D1260">
        <v>2.1977799999999998</v>
      </c>
      <c r="E1260" t="s">
        <v>2200</v>
      </c>
      <c r="F1260" t="s">
        <v>2201</v>
      </c>
      <c r="G1260" t="s">
        <v>37</v>
      </c>
      <c r="H1260">
        <v>1967</v>
      </c>
      <c r="I1260">
        <v>23.5</v>
      </c>
      <c r="J1260">
        <v>12.8999996185303</v>
      </c>
      <c r="K1260">
        <v>77</v>
      </c>
      <c r="L1260">
        <v>10.2399997711182</v>
      </c>
      <c r="M1260">
        <v>32.900001525878899</v>
      </c>
      <c r="N1260">
        <v>16.299999237060501</v>
      </c>
      <c r="O1260">
        <v>16.600000381469702</v>
      </c>
      <c r="P1260">
        <v>22.5</v>
      </c>
      <c r="Q1260">
        <v>24.5</v>
      </c>
      <c r="R1260">
        <v>24.899999618530298</v>
      </c>
      <c r="S1260">
        <v>22.200000762939499</v>
      </c>
      <c r="T1260">
        <v>1298</v>
      </c>
      <c r="U1260">
        <v>178</v>
      </c>
      <c r="V1260">
        <v>25</v>
      </c>
      <c r="W1260">
        <v>45</v>
      </c>
      <c r="X1260">
        <v>489</v>
      </c>
      <c r="Y1260">
        <v>115</v>
      </c>
      <c r="Z1260">
        <v>178</v>
      </c>
      <c r="AA1260">
        <v>421</v>
      </c>
      <c r="AB1260">
        <v>18.4293195727839</v>
      </c>
      <c r="AC1260">
        <v>8.9320029330120006E-3</v>
      </c>
      <c r="AD1260">
        <v>1.59625955499538</v>
      </c>
      <c r="AE1260">
        <v>0.59918553464651503</v>
      </c>
      <c r="AF1260">
        <v>1058.8752196836599</v>
      </c>
      <c r="AG1260">
        <f>IFERROR(AH1260*0.1, "N/A")</f>
        <v>6</v>
      </c>
      <c r="AH1260">
        <v>60</v>
      </c>
      <c r="AI1260">
        <v>217.101576525214</v>
      </c>
      <c r="AJ1260">
        <v>40.2003514938488</v>
      </c>
      <c r="AK1260">
        <v>40.799648506151101</v>
      </c>
    </row>
    <row r="1261" spans="1:37" x14ac:dyDescent="0.3">
      <c r="A1261">
        <v>1260</v>
      </c>
      <c r="B1261">
        <v>56.299999</v>
      </c>
      <c r="C1261">
        <v>32.588298999999999</v>
      </c>
      <c r="D1261">
        <v>2.1977799999999998</v>
      </c>
      <c r="E1261" t="s">
        <v>2200</v>
      </c>
      <c r="F1261" t="s">
        <v>2202</v>
      </c>
      <c r="G1261" t="s">
        <v>39</v>
      </c>
      <c r="H1261">
        <v>1967</v>
      </c>
      <c r="I1261">
        <v>23.5</v>
      </c>
      <c r="J1261">
        <v>12.8999996185303</v>
      </c>
      <c r="K1261">
        <v>77</v>
      </c>
      <c r="L1261">
        <v>10.2399997711182</v>
      </c>
      <c r="M1261">
        <v>32.900001525878899</v>
      </c>
      <c r="N1261">
        <v>16.299999237060501</v>
      </c>
      <c r="O1261">
        <v>16.600000381469702</v>
      </c>
      <c r="P1261">
        <v>22.5</v>
      </c>
      <c r="Q1261">
        <v>24.5</v>
      </c>
      <c r="R1261">
        <v>24.899999618530298</v>
      </c>
      <c r="S1261">
        <v>22.200000762939499</v>
      </c>
      <c r="T1261">
        <v>1298</v>
      </c>
      <c r="U1261">
        <v>178</v>
      </c>
      <c r="V1261">
        <v>25</v>
      </c>
      <c r="W1261">
        <v>45</v>
      </c>
      <c r="X1261">
        <v>489</v>
      </c>
      <c r="Y1261">
        <v>115</v>
      </c>
      <c r="Z1261">
        <v>178</v>
      </c>
      <c r="AA1261">
        <v>421</v>
      </c>
      <c r="AB1261">
        <v>18.4293195727839</v>
      </c>
      <c r="AC1261">
        <v>8.9320029330120006E-3</v>
      </c>
      <c r="AD1261">
        <v>1.59625955499538</v>
      </c>
      <c r="AE1261">
        <v>0.59918553464651503</v>
      </c>
      <c r="AF1261">
        <v>1058.8752196836599</v>
      </c>
      <c r="AG1261">
        <f>IFERROR(AH1261*0.1, "N/A")</f>
        <v>6</v>
      </c>
      <c r="AH1261">
        <v>60</v>
      </c>
      <c r="AI1261">
        <v>217.101576525214</v>
      </c>
      <c r="AJ1261">
        <v>40.2003514938488</v>
      </c>
      <c r="AK1261">
        <v>40.799648506151101</v>
      </c>
    </row>
    <row r="1262" spans="1:37" x14ac:dyDescent="0.3">
      <c r="A1262">
        <v>1261</v>
      </c>
      <c r="B1262">
        <v>0</v>
      </c>
      <c r="C1262">
        <v>32.630001</v>
      </c>
      <c r="D1262">
        <v>2.2223999999999999</v>
      </c>
      <c r="E1262" t="s">
        <v>2203</v>
      </c>
      <c r="F1262" t="s">
        <v>2204</v>
      </c>
      <c r="G1262" t="s">
        <v>39</v>
      </c>
      <c r="H1262">
        <v>0</v>
      </c>
      <c r="I1262">
        <v>23.5</v>
      </c>
      <c r="J1262">
        <v>13</v>
      </c>
      <c r="K1262">
        <v>77</v>
      </c>
      <c r="L1262">
        <v>10.3699998855591</v>
      </c>
      <c r="M1262">
        <v>33.099998474121101</v>
      </c>
      <c r="N1262">
        <v>16.299999237060501</v>
      </c>
      <c r="O1262">
        <v>16.799999237060501</v>
      </c>
      <c r="P1262">
        <v>22.600000381469702</v>
      </c>
      <c r="Q1262">
        <v>24.5</v>
      </c>
      <c r="R1262">
        <v>25</v>
      </c>
      <c r="S1262">
        <v>22.299999237060501</v>
      </c>
      <c r="T1262">
        <v>1310</v>
      </c>
      <c r="U1262">
        <v>180</v>
      </c>
      <c r="V1262">
        <v>24</v>
      </c>
      <c r="W1262">
        <v>45</v>
      </c>
      <c r="X1262">
        <v>491</v>
      </c>
      <c r="Y1262">
        <v>112</v>
      </c>
      <c r="Z1262">
        <v>176</v>
      </c>
      <c r="AA1262">
        <v>390</v>
      </c>
      <c r="AB1262">
        <v>6.1939538509858298</v>
      </c>
      <c r="AC1262">
        <v>2.6930708222104E-2</v>
      </c>
      <c r="AD1262">
        <v>1.4359714209719201</v>
      </c>
      <c r="AE1262">
        <v>0.64328804722150701</v>
      </c>
      <c r="AF1262">
        <v>1047.8611599297001</v>
      </c>
      <c r="AG1262">
        <f>IFERROR(AH1262*0.1, "N/A")</f>
        <v>6.0537785588752202</v>
      </c>
      <c r="AH1262">
        <v>60.5377855887522</v>
      </c>
      <c r="AI1262">
        <v>235.823663124929</v>
      </c>
      <c r="AJ1262">
        <v>40.966608084358498</v>
      </c>
      <c r="AK1262">
        <v>39.945518453427098</v>
      </c>
    </row>
    <row r="1263" spans="1:37" x14ac:dyDescent="0.3">
      <c r="A1263">
        <v>1262</v>
      </c>
      <c r="B1263">
        <v>0</v>
      </c>
      <c r="C1263">
        <v>32.630001</v>
      </c>
      <c r="D1263">
        <v>2.2223999999999999</v>
      </c>
      <c r="E1263" t="s">
        <v>2203</v>
      </c>
      <c r="F1263" t="s">
        <v>2205</v>
      </c>
      <c r="G1263" t="s">
        <v>37</v>
      </c>
      <c r="H1263">
        <v>0</v>
      </c>
      <c r="I1263">
        <v>23.5</v>
      </c>
      <c r="J1263">
        <v>13</v>
      </c>
      <c r="K1263">
        <v>77</v>
      </c>
      <c r="L1263">
        <v>10.3699998855591</v>
      </c>
      <c r="M1263">
        <v>33.099998474121101</v>
      </c>
      <c r="N1263">
        <v>16.299999237060501</v>
      </c>
      <c r="O1263">
        <v>16.799999237060501</v>
      </c>
      <c r="P1263">
        <v>22.600000381469702</v>
      </c>
      <c r="Q1263">
        <v>24.5</v>
      </c>
      <c r="R1263">
        <v>25</v>
      </c>
      <c r="S1263">
        <v>22.299999237060501</v>
      </c>
      <c r="T1263">
        <v>1310</v>
      </c>
      <c r="U1263">
        <v>180</v>
      </c>
      <c r="V1263">
        <v>24</v>
      </c>
      <c r="W1263">
        <v>45</v>
      </c>
      <c r="X1263">
        <v>491</v>
      </c>
      <c r="Y1263">
        <v>112</v>
      </c>
      <c r="Z1263">
        <v>176</v>
      </c>
      <c r="AA1263">
        <v>390</v>
      </c>
      <c r="AB1263">
        <v>6.1939538509858298</v>
      </c>
      <c r="AC1263">
        <v>2.6930708222104E-2</v>
      </c>
      <c r="AD1263">
        <v>1.4359714209719201</v>
      </c>
      <c r="AE1263">
        <v>0.64328804722150701</v>
      </c>
      <c r="AF1263">
        <v>1047.8611599297001</v>
      </c>
      <c r="AG1263">
        <f>IFERROR(AH1263*0.1, "N/A")</f>
        <v>6.0537785588752202</v>
      </c>
      <c r="AH1263">
        <v>60.5377855887522</v>
      </c>
      <c r="AI1263">
        <v>235.823663124929</v>
      </c>
      <c r="AJ1263">
        <v>40.966608084358498</v>
      </c>
      <c r="AK1263">
        <v>39.945518453427098</v>
      </c>
    </row>
    <row r="1264" spans="1:37" x14ac:dyDescent="0.3">
      <c r="A1264">
        <v>1263</v>
      </c>
      <c r="B1264">
        <v>51.599997999999999</v>
      </c>
      <c r="C1264">
        <v>32.648899</v>
      </c>
      <c r="D1264">
        <v>2.2284899999999999</v>
      </c>
      <c r="E1264" t="s">
        <v>2206</v>
      </c>
      <c r="F1264" t="s">
        <v>2207</v>
      </c>
      <c r="G1264" t="s">
        <v>39</v>
      </c>
      <c r="H1264">
        <v>1967</v>
      </c>
      <c r="I1264">
        <v>23.399999618530298</v>
      </c>
      <c r="J1264">
        <v>13</v>
      </c>
      <c r="K1264">
        <v>77</v>
      </c>
      <c r="L1264">
        <v>10.170000076293899</v>
      </c>
      <c r="M1264">
        <v>33</v>
      </c>
      <c r="N1264">
        <v>16.299999237060501</v>
      </c>
      <c r="O1264">
        <v>16.700000762939499</v>
      </c>
      <c r="P1264">
        <v>22.5</v>
      </c>
      <c r="Q1264">
        <v>24.399999618530298</v>
      </c>
      <c r="R1264">
        <v>24.899999618530298</v>
      </c>
      <c r="S1264">
        <v>22.200000762939499</v>
      </c>
      <c r="T1264">
        <v>1320</v>
      </c>
      <c r="U1264">
        <v>181</v>
      </c>
      <c r="V1264">
        <v>24</v>
      </c>
      <c r="W1264">
        <v>45</v>
      </c>
      <c r="X1264">
        <v>494</v>
      </c>
      <c r="Y1264">
        <v>112</v>
      </c>
      <c r="Z1264">
        <v>176</v>
      </c>
      <c r="AA1264">
        <v>395</v>
      </c>
      <c r="AB1264">
        <v>11.646908081269199</v>
      </c>
      <c r="AC1264">
        <v>1.3375213413919999E-2</v>
      </c>
      <c r="AD1264">
        <v>2.4226567397427701</v>
      </c>
      <c r="AE1264">
        <v>0.65769998784224504</v>
      </c>
      <c r="AF1264">
        <v>1058.6151142355</v>
      </c>
      <c r="AG1264">
        <f>IFERROR(AH1264*0.1, "N/A")</f>
        <v>6.1363796133567705</v>
      </c>
      <c r="AH1264">
        <v>61.363796133567703</v>
      </c>
      <c r="AI1264">
        <v>92.724859871218996</v>
      </c>
      <c r="AJ1264">
        <v>45</v>
      </c>
      <c r="AK1264">
        <v>38.318101933216198</v>
      </c>
    </row>
    <row r="1265" spans="1:37" x14ac:dyDescent="0.3">
      <c r="A1265">
        <v>1264</v>
      </c>
      <c r="B1265">
        <v>0</v>
      </c>
      <c r="C1265">
        <v>32.648899</v>
      </c>
      <c r="D1265">
        <v>2.2284899999999999</v>
      </c>
      <c r="E1265" t="s">
        <v>2206</v>
      </c>
      <c r="F1265" t="s">
        <v>2208</v>
      </c>
      <c r="G1265" t="s">
        <v>37</v>
      </c>
      <c r="H1265">
        <v>0</v>
      </c>
      <c r="I1265">
        <v>23.399999618530298</v>
      </c>
      <c r="J1265">
        <v>13</v>
      </c>
      <c r="K1265">
        <v>77</v>
      </c>
      <c r="L1265">
        <v>10.170000076293899</v>
      </c>
      <c r="M1265">
        <v>33</v>
      </c>
      <c r="N1265">
        <v>16.299999237060501</v>
      </c>
      <c r="O1265">
        <v>16.700000762939499</v>
      </c>
      <c r="P1265">
        <v>22.5</v>
      </c>
      <c r="Q1265">
        <v>24.399999618530298</v>
      </c>
      <c r="R1265">
        <v>24.899999618530298</v>
      </c>
      <c r="S1265">
        <v>22.200000762939499</v>
      </c>
      <c r="T1265">
        <v>1320</v>
      </c>
      <c r="U1265">
        <v>181</v>
      </c>
      <c r="V1265">
        <v>24</v>
      </c>
      <c r="W1265">
        <v>45</v>
      </c>
      <c r="X1265">
        <v>494</v>
      </c>
      <c r="Y1265">
        <v>112</v>
      </c>
      <c r="Z1265">
        <v>176</v>
      </c>
      <c r="AA1265">
        <v>395</v>
      </c>
      <c r="AB1265">
        <v>11.646908081269199</v>
      </c>
      <c r="AC1265">
        <v>1.3375213413919999E-2</v>
      </c>
      <c r="AD1265">
        <v>2.4226567397427701</v>
      </c>
      <c r="AE1265">
        <v>0.65769998784224504</v>
      </c>
      <c r="AF1265">
        <v>1058.6151142355</v>
      </c>
      <c r="AG1265">
        <f>IFERROR(AH1265*0.1, "N/A")</f>
        <v>6.1363796133567705</v>
      </c>
      <c r="AH1265">
        <v>61.363796133567703</v>
      </c>
      <c r="AI1265">
        <v>92.724859871218996</v>
      </c>
      <c r="AJ1265">
        <v>45</v>
      </c>
      <c r="AK1265">
        <v>38.318101933216198</v>
      </c>
    </row>
    <row r="1266" spans="1:37" x14ac:dyDescent="0.3">
      <c r="A1266">
        <v>1265</v>
      </c>
      <c r="B1266">
        <v>43</v>
      </c>
      <c r="C1266">
        <v>32.533298000000002</v>
      </c>
      <c r="D1266">
        <v>2.23333</v>
      </c>
      <c r="E1266" t="s">
        <v>2209</v>
      </c>
      <c r="F1266" t="s">
        <v>2210</v>
      </c>
      <c r="G1266" t="s">
        <v>39</v>
      </c>
      <c r="H1266">
        <v>1951</v>
      </c>
      <c r="I1266">
        <v>23.5</v>
      </c>
      <c r="J1266">
        <v>12.8999996185303</v>
      </c>
      <c r="K1266">
        <v>77.838028169014095</v>
      </c>
      <c r="L1266">
        <v>10.028872983556401</v>
      </c>
      <c r="M1266">
        <v>32.900001525878899</v>
      </c>
      <c r="N1266">
        <v>16.383802373644301</v>
      </c>
      <c r="O1266">
        <v>16.516197244885898</v>
      </c>
      <c r="P1266">
        <v>22.548943848677101</v>
      </c>
      <c r="Q1266">
        <v>24.442781471870301</v>
      </c>
      <c r="R1266">
        <v>24.899999618530298</v>
      </c>
      <c r="S1266">
        <v>22.299999237060501</v>
      </c>
      <c r="T1266">
        <v>1258.98063380282</v>
      </c>
      <c r="U1266">
        <v>182.61443661971799</v>
      </c>
      <c r="V1266">
        <v>25</v>
      </c>
      <c r="W1266">
        <v>46.572183098591502</v>
      </c>
      <c r="X1266">
        <v>484.61443661971799</v>
      </c>
      <c r="Y1266">
        <v>111.734154929577</v>
      </c>
      <c r="Z1266">
        <v>172.776408450704</v>
      </c>
      <c r="AA1266">
        <v>382.16901408450701</v>
      </c>
      <c r="AB1266">
        <v>4.9128864986795797</v>
      </c>
      <c r="AC1266">
        <v>2.3789859058755001E-2</v>
      </c>
      <c r="AD1266">
        <v>1.0718847477519999</v>
      </c>
      <c r="AE1266">
        <v>0.55913286446265797</v>
      </c>
      <c r="AF1266">
        <v>1047.9595070422499</v>
      </c>
      <c r="AG1266">
        <f>IFERROR(AH1266*0.1, "N/A")</f>
        <v>5.9427816901408406</v>
      </c>
      <c r="AH1266">
        <v>59.427816901408399</v>
      </c>
      <c r="AI1266">
        <v>257.87362055711299</v>
      </c>
      <c r="AJ1266">
        <v>39.144366197183103</v>
      </c>
      <c r="AK1266">
        <v>41.283450704225402</v>
      </c>
    </row>
    <row r="1267" spans="1:37" x14ac:dyDescent="0.3">
      <c r="A1267">
        <v>1266</v>
      </c>
      <c r="B1267">
        <v>0</v>
      </c>
      <c r="C1267">
        <v>32.386501000000003</v>
      </c>
      <c r="D1267">
        <v>2.2343199999999999</v>
      </c>
      <c r="E1267" t="s">
        <v>2211</v>
      </c>
      <c r="F1267" t="s">
        <v>2212</v>
      </c>
      <c r="G1267" t="s">
        <v>37</v>
      </c>
      <c r="H1267">
        <v>2004</v>
      </c>
      <c r="I1267">
        <v>23.399999618530298</v>
      </c>
      <c r="J1267">
        <v>12.699999809265099</v>
      </c>
      <c r="K1267">
        <v>78</v>
      </c>
      <c r="L1267">
        <v>9.7299995422363299</v>
      </c>
      <c r="M1267">
        <v>32.599998474121101</v>
      </c>
      <c r="N1267">
        <v>16.399999618530298</v>
      </c>
      <c r="O1267">
        <v>16.200000762939499</v>
      </c>
      <c r="P1267">
        <v>22.399999618530298</v>
      </c>
      <c r="Q1267">
        <v>24.299999237060501</v>
      </c>
      <c r="R1267">
        <v>24.799999237060501</v>
      </c>
      <c r="S1267">
        <v>22.200000762939499</v>
      </c>
      <c r="T1267">
        <v>1268</v>
      </c>
      <c r="U1267">
        <v>180</v>
      </c>
      <c r="V1267">
        <v>25</v>
      </c>
      <c r="W1267">
        <v>46</v>
      </c>
      <c r="X1267">
        <v>486</v>
      </c>
      <c r="Y1267">
        <v>110</v>
      </c>
      <c r="Z1267">
        <v>171</v>
      </c>
      <c r="AA1267">
        <v>422</v>
      </c>
      <c r="AB1267">
        <v>15.8293403491639</v>
      </c>
      <c r="AC1267">
        <v>8.736296805243E-3</v>
      </c>
      <c r="AD1267">
        <v>2.2299962335511299</v>
      </c>
      <c r="AE1267">
        <v>0.58080866190425096</v>
      </c>
      <c r="AF1267">
        <v>1054.8543859649101</v>
      </c>
      <c r="AG1267">
        <f>IFERROR(AH1267*0.1, "N/A")</f>
        <v>6.0947368421052603</v>
      </c>
      <c r="AH1267">
        <v>60.947368421052602</v>
      </c>
      <c r="AI1267">
        <v>220.641132876748</v>
      </c>
      <c r="AJ1267">
        <v>40.052631578947398</v>
      </c>
      <c r="AK1267">
        <v>40</v>
      </c>
    </row>
    <row r="1268" spans="1:37" x14ac:dyDescent="0.3">
      <c r="A1268">
        <v>1267</v>
      </c>
      <c r="B1268">
        <v>0</v>
      </c>
      <c r="C1268">
        <v>32.535099000000002</v>
      </c>
      <c r="D1268">
        <v>2.2348300000000001</v>
      </c>
      <c r="E1268" t="s">
        <v>2213</v>
      </c>
      <c r="F1268" t="s">
        <v>2214</v>
      </c>
      <c r="G1268" t="s">
        <v>39</v>
      </c>
      <c r="H1268">
        <v>0</v>
      </c>
      <c r="I1268">
        <v>23.5</v>
      </c>
      <c r="J1268">
        <v>12.8999996185303</v>
      </c>
      <c r="K1268">
        <v>78</v>
      </c>
      <c r="L1268">
        <v>10.1199998855591</v>
      </c>
      <c r="M1268">
        <v>32.900001525878899</v>
      </c>
      <c r="N1268">
        <v>16.399999618530298</v>
      </c>
      <c r="O1268">
        <v>16.5</v>
      </c>
      <c r="P1268">
        <v>22.600000381469702</v>
      </c>
      <c r="Q1268">
        <v>24.5</v>
      </c>
      <c r="R1268">
        <v>24.899999618530298</v>
      </c>
      <c r="S1268">
        <v>22.299999237060501</v>
      </c>
      <c r="T1268">
        <v>1260</v>
      </c>
      <c r="U1268">
        <v>183</v>
      </c>
      <c r="V1268">
        <v>25</v>
      </c>
      <c r="W1268">
        <v>46</v>
      </c>
      <c r="X1268">
        <v>485</v>
      </c>
      <c r="Y1268">
        <v>111</v>
      </c>
      <c r="Z1268">
        <v>173</v>
      </c>
      <c r="AA1268">
        <v>376</v>
      </c>
      <c r="AB1268">
        <v>8.6544037400630494</v>
      </c>
      <c r="AC1268">
        <v>1.6558488834192E-2</v>
      </c>
      <c r="AD1268">
        <v>1.82189985576429</v>
      </c>
      <c r="AE1268">
        <v>0.53966985219403296</v>
      </c>
      <c r="AF1268">
        <v>1051.88421052632</v>
      </c>
      <c r="AG1268">
        <f>IFERROR(AH1268*0.1, "N/A")</f>
        <v>5.9666666666666703</v>
      </c>
      <c r="AH1268">
        <v>59.6666666666667</v>
      </c>
      <c r="AI1268">
        <v>171.703748413554</v>
      </c>
      <c r="AJ1268">
        <v>38.435087719298203</v>
      </c>
      <c r="AK1268">
        <v>42.296491228070202</v>
      </c>
    </row>
    <row r="1269" spans="1:37" x14ac:dyDescent="0.3">
      <c r="A1269">
        <v>1268</v>
      </c>
      <c r="B1269">
        <v>5</v>
      </c>
      <c r="C1269">
        <v>32.535099000000002</v>
      </c>
      <c r="D1269">
        <v>2.2348300000000001</v>
      </c>
      <c r="E1269" t="s">
        <v>2213</v>
      </c>
      <c r="F1269" t="s">
        <v>2215</v>
      </c>
      <c r="G1269" t="s">
        <v>37</v>
      </c>
      <c r="H1269">
        <v>0</v>
      </c>
      <c r="I1269">
        <v>23.5</v>
      </c>
      <c r="J1269">
        <v>12.8999996185303</v>
      </c>
      <c r="K1269">
        <v>78</v>
      </c>
      <c r="L1269">
        <v>10.1199998855591</v>
      </c>
      <c r="M1269">
        <v>32.900001525878899</v>
      </c>
      <c r="N1269">
        <v>16.399999618530298</v>
      </c>
      <c r="O1269">
        <v>16.5</v>
      </c>
      <c r="P1269">
        <v>22.600000381469702</v>
      </c>
      <c r="Q1269">
        <v>24.5</v>
      </c>
      <c r="R1269">
        <v>24.899999618530298</v>
      </c>
      <c r="S1269">
        <v>22.299999237060501</v>
      </c>
      <c r="T1269">
        <v>1260</v>
      </c>
      <c r="U1269">
        <v>183</v>
      </c>
      <c r="V1269">
        <v>25</v>
      </c>
      <c r="W1269">
        <v>46</v>
      </c>
      <c r="X1269">
        <v>485</v>
      </c>
      <c r="Y1269">
        <v>111</v>
      </c>
      <c r="Z1269">
        <v>173</v>
      </c>
      <c r="AA1269">
        <v>376</v>
      </c>
      <c r="AB1269">
        <v>8.6544037400630494</v>
      </c>
      <c r="AC1269">
        <v>1.6558488834192E-2</v>
      </c>
      <c r="AD1269">
        <v>1.82189985576429</v>
      </c>
      <c r="AE1269">
        <v>0.53966985219403296</v>
      </c>
      <c r="AF1269">
        <v>1051.88421052632</v>
      </c>
      <c r="AG1269">
        <f>IFERROR(AH1269*0.1, "N/A")</f>
        <v>5.9666666666666703</v>
      </c>
      <c r="AH1269">
        <v>59.6666666666667</v>
      </c>
      <c r="AI1269">
        <v>171.703748413554</v>
      </c>
      <c r="AJ1269">
        <v>38.435087719298203</v>
      </c>
      <c r="AK1269">
        <v>42.296491228070202</v>
      </c>
    </row>
    <row r="1270" spans="1:37" x14ac:dyDescent="0.3">
      <c r="A1270">
        <v>1269</v>
      </c>
      <c r="B1270">
        <v>6.2</v>
      </c>
      <c r="C1270">
        <v>32.909697999999999</v>
      </c>
      <c r="D1270">
        <v>2.2349999999999999</v>
      </c>
      <c r="E1270" t="s">
        <v>2216</v>
      </c>
      <c r="F1270" t="s">
        <v>2217</v>
      </c>
      <c r="G1270" t="s">
        <v>37</v>
      </c>
      <c r="H1270">
        <v>1987</v>
      </c>
      <c r="I1270">
        <v>23.299999237060501</v>
      </c>
      <c r="J1270">
        <v>13.3999996185303</v>
      </c>
      <c r="K1270">
        <v>77</v>
      </c>
      <c r="L1270">
        <v>10.6300001144409</v>
      </c>
      <c r="M1270">
        <v>33.099998474121101</v>
      </c>
      <c r="N1270">
        <v>15.8999996185303</v>
      </c>
      <c r="O1270">
        <v>17.200000762939499</v>
      </c>
      <c r="P1270">
        <v>22.399999618530298</v>
      </c>
      <c r="Q1270">
        <v>24.299999237060501</v>
      </c>
      <c r="R1270">
        <v>24.799999237060501</v>
      </c>
      <c r="S1270">
        <v>22</v>
      </c>
      <c r="T1270">
        <v>1369</v>
      </c>
      <c r="U1270">
        <v>185</v>
      </c>
      <c r="V1270">
        <v>21</v>
      </c>
      <c r="W1270">
        <v>48</v>
      </c>
      <c r="X1270">
        <v>500</v>
      </c>
      <c r="Y1270">
        <v>105</v>
      </c>
      <c r="Z1270">
        <v>155</v>
      </c>
      <c r="AA1270">
        <v>431</v>
      </c>
      <c r="AB1270">
        <v>20.545380713234501</v>
      </c>
      <c r="AC1270">
        <v>6.9023650628186994E-2</v>
      </c>
      <c r="AD1270">
        <v>1.3534227867781301</v>
      </c>
      <c r="AE1270">
        <v>0.62409136559761702</v>
      </c>
      <c r="AF1270">
        <v>1096.7764084507</v>
      </c>
      <c r="AG1270">
        <f>IFERROR(AH1270*0.1, "N/A")</f>
        <v>5.8505281690140798</v>
      </c>
      <c r="AH1270">
        <v>58.505281690140798</v>
      </c>
      <c r="AI1270">
        <v>74.163532169771898</v>
      </c>
      <c r="AJ1270">
        <v>37.989436619718298</v>
      </c>
      <c r="AK1270">
        <v>45.505281690140798</v>
      </c>
    </row>
    <row r="1271" spans="1:37" x14ac:dyDescent="0.3">
      <c r="A1271">
        <v>1270</v>
      </c>
      <c r="B1271">
        <v>87.5</v>
      </c>
      <c r="C1271">
        <v>31.317800999999999</v>
      </c>
      <c r="D1271">
        <v>2.2484799999999998</v>
      </c>
      <c r="E1271" t="s">
        <v>2218</v>
      </c>
      <c r="F1271" t="s">
        <v>2219</v>
      </c>
      <c r="G1271" t="s">
        <v>37</v>
      </c>
      <c r="H1271">
        <v>2007</v>
      </c>
      <c r="I1271">
        <v>25.398591162453201</v>
      </c>
      <c r="J1271">
        <v>11.800000190734901</v>
      </c>
      <c r="K1271">
        <v>71</v>
      </c>
      <c r="L1271">
        <v>10.8680280497376</v>
      </c>
      <c r="M1271">
        <v>33.398593042937797</v>
      </c>
      <c r="N1271">
        <v>16.998591543922998</v>
      </c>
      <c r="O1271">
        <v>16.399999618530298</v>
      </c>
      <c r="P1271">
        <v>23.998591543922998</v>
      </c>
      <c r="Q1271">
        <v>25.998591543922998</v>
      </c>
      <c r="R1271">
        <v>26.398591162453201</v>
      </c>
      <c r="S1271">
        <v>23.998591543922998</v>
      </c>
      <c r="T1271">
        <v>951.04225352112701</v>
      </c>
      <c r="U1271">
        <v>127.014084507042</v>
      </c>
      <c r="V1271">
        <v>18</v>
      </c>
      <c r="W1271">
        <v>45</v>
      </c>
      <c r="X1271">
        <v>343.04225352112701</v>
      </c>
      <c r="Y1271">
        <v>73.985915492957801</v>
      </c>
      <c r="Z1271">
        <v>115.971830985916</v>
      </c>
      <c r="AA1271">
        <v>343.04225352112701</v>
      </c>
      <c r="AB1271">
        <v>8.1561495283959609</v>
      </c>
      <c r="AC1271">
        <v>1.9233202256760999E-2</v>
      </c>
      <c r="AD1271">
        <v>1.4066472660068099</v>
      </c>
      <c r="AE1271">
        <v>0.29046979546546903</v>
      </c>
      <c r="AF1271">
        <v>630.85035211267598</v>
      </c>
      <c r="AG1271">
        <f>IFERROR(AH1271*0.1, "N/A")</f>
        <v>6.4028169014084497</v>
      </c>
      <c r="AH1271">
        <v>64.028169014084497</v>
      </c>
      <c r="AI1271">
        <v>93.176946250485699</v>
      </c>
      <c r="AJ1271">
        <v>32.957746478873197</v>
      </c>
      <c r="AK1271">
        <v>40.042253521126803</v>
      </c>
    </row>
    <row r="1272" spans="1:37" x14ac:dyDescent="0.3">
      <c r="A1272">
        <v>1271</v>
      </c>
      <c r="B1272">
        <v>10.3</v>
      </c>
      <c r="C1272">
        <v>32.966701999999998</v>
      </c>
      <c r="D1272">
        <v>2.25</v>
      </c>
      <c r="E1272" t="s">
        <v>2220</v>
      </c>
      <c r="F1272" t="s">
        <v>2221</v>
      </c>
      <c r="G1272" t="s">
        <v>37</v>
      </c>
      <c r="H1272">
        <v>1967</v>
      </c>
      <c r="I1272">
        <v>23.1245618117483</v>
      </c>
      <c r="J1272">
        <v>13.300000190734901</v>
      </c>
      <c r="K1272">
        <v>77.964912280701796</v>
      </c>
      <c r="L1272">
        <v>10.4184910975004</v>
      </c>
      <c r="M1272">
        <v>32.852807195563102</v>
      </c>
      <c r="N1272">
        <v>15.903508403845001</v>
      </c>
      <c r="O1272">
        <v>16.949298052202199</v>
      </c>
      <c r="P1272">
        <v>22.303508022375301</v>
      </c>
      <c r="Q1272">
        <v>24.2035094813297</v>
      </c>
      <c r="R1272">
        <v>24.6245618117483</v>
      </c>
      <c r="S1272">
        <v>21.903508403844999</v>
      </c>
      <c r="T1272">
        <v>1361.2280701754401</v>
      </c>
      <c r="U1272">
        <v>188.789473684211</v>
      </c>
      <c r="V1272">
        <v>19.9649122807018</v>
      </c>
      <c r="W1272">
        <v>49.824561403508802</v>
      </c>
      <c r="X1272">
        <v>501.29649122807001</v>
      </c>
      <c r="Y1272">
        <v>99.964912280701796</v>
      </c>
      <c r="Z1272">
        <v>145.96491228070201</v>
      </c>
      <c r="AA1272">
        <v>441.615789473684</v>
      </c>
      <c r="AB1272">
        <v>7.4892948619106399</v>
      </c>
      <c r="AC1272">
        <v>4.1373293755346999E-2</v>
      </c>
      <c r="AD1272">
        <v>1.9782868701115</v>
      </c>
      <c r="AE1272">
        <v>0.69673794507980302</v>
      </c>
      <c r="AF1272">
        <v>1107.9526315789501</v>
      </c>
      <c r="AG1272">
        <f>IFERROR(AH1272*0.1, "N/A")</f>
        <v>5.9</v>
      </c>
      <c r="AH1272">
        <v>59</v>
      </c>
      <c r="AI1272">
        <v>241.548704127262</v>
      </c>
      <c r="AJ1272">
        <v>40.254385964912302</v>
      </c>
      <c r="AK1272">
        <v>42.743859649122797</v>
      </c>
    </row>
    <row r="1273" spans="1:37" x14ac:dyDescent="0.3">
      <c r="A1273">
        <v>1272</v>
      </c>
      <c r="B1273">
        <v>0</v>
      </c>
      <c r="C1273">
        <v>32.966701999999998</v>
      </c>
      <c r="D1273">
        <v>2.25</v>
      </c>
      <c r="E1273" t="s">
        <v>2220</v>
      </c>
      <c r="F1273" t="s">
        <v>2222</v>
      </c>
      <c r="G1273" t="s">
        <v>39</v>
      </c>
      <c r="H1273">
        <v>1967</v>
      </c>
      <c r="I1273">
        <v>23.1245618117483</v>
      </c>
      <c r="J1273">
        <v>13.300000190734901</v>
      </c>
      <c r="K1273">
        <v>77.964912280701796</v>
      </c>
      <c r="L1273">
        <v>10.4184910975004</v>
      </c>
      <c r="M1273">
        <v>32.852807195563102</v>
      </c>
      <c r="N1273">
        <v>15.903508403845001</v>
      </c>
      <c r="O1273">
        <v>16.949298052202199</v>
      </c>
      <c r="P1273">
        <v>22.303508022375301</v>
      </c>
      <c r="Q1273">
        <v>24.2035094813297</v>
      </c>
      <c r="R1273">
        <v>24.6245618117483</v>
      </c>
      <c r="S1273">
        <v>21.903508403844999</v>
      </c>
      <c r="T1273">
        <v>1361.2280701754401</v>
      </c>
      <c r="U1273">
        <v>188.789473684211</v>
      </c>
      <c r="V1273">
        <v>19.9649122807018</v>
      </c>
      <c r="W1273">
        <v>49.824561403508802</v>
      </c>
      <c r="X1273">
        <v>501.29649122807001</v>
      </c>
      <c r="Y1273">
        <v>99.964912280701796</v>
      </c>
      <c r="Z1273">
        <v>145.96491228070201</v>
      </c>
      <c r="AA1273">
        <v>441.615789473684</v>
      </c>
      <c r="AB1273">
        <v>7.4892948619106399</v>
      </c>
      <c r="AC1273">
        <v>4.1373293755346999E-2</v>
      </c>
      <c r="AD1273">
        <v>1.9782868701115</v>
      </c>
      <c r="AE1273">
        <v>0.69673794507980302</v>
      </c>
      <c r="AF1273">
        <v>1107.9526315789501</v>
      </c>
      <c r="AG1273">
        <f>IFERROR(AH1273*0.1, "N/A")</f>
        <v>5.9</v>
      </c>
      <c r="AH1273">
        <v>59</v>
      </c>
      <c r="AI1273">
        <v>241.548704127262</v>
      </c>
      <c r="AJ1273">
        <v>40.254385964912302</v>
      </c>
      <c r="AK1273">
        <v>42.743859649122797</v>
      </c>
    </row>
    <row r="1274" spans="1:37" x14ac:dyDescent="0.3">
      <c r="A1274">
        <v>1273</v>
      </c>
      <c r="B1274">
        <v>16.899999999999999</v>
      </c>
      <c r="C1274">
        <v>32.899399000000003</v>
      </c>
      <c r="D1274">
        <v>2.2545600000000001</v>
      </c>
      <c r="E1274" t="s">
        <v>2223</v>
      </c>
      <c r="F1274" t="s">
        <v>2224</v>
      </c>
      <c r="G1274" t="s">
        <v>37</v>
      </c>
      <c r="H1274">
        <v>1956</v>
      </c>
      <c r="I1274">
        <v>23.200000762939499</v>
      </c>
      <c r="J1274">
        <v>13.3103874552418</v>
      </c>
      <c r="K1274">
        <v>77</v>
      </c>
      <c r="L1274">
        <v>10.5314264784397</v>
      </c>
      <c r="M1274">
        <v>33.0103871654457</v>
      </c>
      <c r="N1274">
        <v>15.8103874552418</v>
      </c>
      <c r="O1274">
        <v>17.200000762939499</v>
      </c>
      <c r="P1274">
        <v>22.299999237060501</v>
      </c>
      <c r="Q1274">
        <v>24.210387928385099</v>
      </c>
      <c r="R1274">
        <v>24.700000762939499</v>
      </c>
      <c r="S1274">
        <v>21.899999618530298</v>
      </c>
      <c r="T1274">
        <v>1376.7922535211301</v>
      </c>
      <c r="U1274">
        <v>186</v>
      </c>
      <c r="V1274">
        <v>21</v>
      </c>
      <c r="W1274">
        <v>48</v>
      </c>
      <c r="X1274">
        <v>502.89612676056299</v>
      </c>
      <c r="Y1274">
        <v>104</v>
      </c>
      <c r="Z1274">
        <v>155</v>
      </c>
      <c r="AA1274">
        <v>434</v>
      </c>
      <c r="AB1274">
        <v>23.478382809061401</v>
      </c>
      <c r="AC1274">
        <v>8.6767110386600007E-3</v>
      </c>
      <c r="AD1274">
        <v>1.57553227119882</v>
      </c>
      <c r="AE1274">
        <v>0.65113031864166304</v>
      </c>
      <c r="AF1274">
        <v>1096.6584507042301</v>
      </c>
      <c r="AG1274">
        <f>IFERROR(AH1274*0.1, "N/A")</f>
        <v>6.0896126760563405</v>
      </c>
      <c r="AH1274">
        <v>60.896126760563398</v>
      </c>
      <c r="AI1274">
        <v>145.923104207281</v>
      </c>
      <c r="AJ1274">
        <v>41.103873239436602</v>
      </c>
      <c r="AK1274">
        <v>42</v>
      </c>
    </row>
    <row r="1275" spans="1:37" x14ac:dyDescent="0.3">
      <c r="A1275">
        <v>1274</v>
      </c>
      <c r="B1275">
        <v>44.099997999999999</v>
      </c>
      <c r="C1275">
        <v>33.142699999999998</v>
      </c>
      <c r="D1275">
        <v>2.26566</v>
      </c>
      <c r="E1275" t="s">
        <v>2225</v>
      </c>
      <c r="F1275" t="s">
        <v>2226</v>
      </c>
      <c r="G1275" t="s">
        <v>37</v>
      </c>
      <c r="H1275">
        <v>2004</v>
      </c>
      <c r="I1275">
        <v>23.398417890176599</v>
      </c>
      <c r="J1275">
        <v>13.199999809265099</v>
      </c>
      <c r="K1275">
        <v>78</v>
      </c>
      <c r="L1275">
        <v>10.3428472575907</v>
      </c>
      <c r="M1275">
        <v>33</v>
      </c>
      <c r="N1275">
        <v>16.100000381469702</v>
      </c>
      <c r="O1275">
        <v>16.899999618530298</v>
      </c>
      <c r="P1275">
        <v>22.100000381469702</v>
      </c>
      <c r="Q1275">
        <v>24.399999618530298</v>
      </c>
      <c r="R1275">
        <v>24.898417890176599</v>
      </c>
      <c r="S1275">
        <v>22.100000381469702</v>
      </c>
      <c r="T1275">
        <v>1329.9050966608099</v>
      </c>
      <c r="U1275">
        <v>193.98418277680099</v>
      </c>
      <c r="V1275">
        <v>14.984182776801401</v>
      </c>
      <c r="W1275">
        <v>52</v>
      </c>
      <c r="X1275">
        <v>511.98418277680099</v>
      </c>
      <c r="Y1275">
        <v>90.968365553602794</v>
      </c>
      <c r="Z1275">
        <v>132.96836555360301</v>
      </c>
      <c r="AA1275">
        <v>511.240773286467</v>
      </c>
      <c r="AB1275">
        <v>17.8050350464082</v>
      </c>
      <c r="AC1275">
        <v>1.2504236594248E-2</v>
      </c>
      <c r="AD1275">
        <v>2.2470544712824201</v>
      </c>
      <c r="AE1275">
        <v>0.52897560596466098</v>
      </c>
      <c r="AF1275">
        <v>1114.0896309314601</v>
      </c>
      <c r="AG1275">
        <f>IFERROR(AH1275*0.1, "N/A")</f>
        <v>5.8606326889279501</v>
      </c>
      <c r="AH1275">
        <v>58.606326889279501</v>
      </c>
      <c r="AI1275">
        <v>115.743230796237</v>
      </c>
      <c r="AJ1275">
        <v>40.553602811950803</v>
      </c>
      <c r="AK1275">
        <v>42.783831282952598</v>
      </c>
    </row>
    <row r="1276" spans="1:37" x14ac:dyDescent="0.3">
      <c r="A1276">
        <v>1275</v>
      </c>
      <c r="B1276">
        <v>0</v>
      </c>
      <c r="C1276">
        <v>33.176498000000002</v>
      </c>
      <c r="D1276">
        <v>2.2734299999999998</v>
      </c>
      <c r="E1276" t="s">
        <v>2227</v>
      </c>
      <c r="F1276" t="s">
        <v>2228</v>
      </c>
      <c r="G1276" t="s">
        <v>37</v>
      </c>
      <c r="H1276">
        <v>1967</v>
      </c>
      <c r="I1276">
        <v>23.299999237060501</v>
      </c>
      <c r="J1276">
        <v>13.199999809265099</v>
      </c>
      <c r="K1276">
        <v>78</v>
      </c>
      <c r="L1276">
        <v>10.4700002670288</v>
      </c>
      <c r="M1276">
        <v>32.900001525878899</v>
      </c>
      <c r="N1276">
        <v>16.100000381469702</v>
      </c>
      <c r="O1276">
        <v>16.799999237060501</v>
      </c>
      <c r="P1276">
        <v>22</v>
      </c>
      <c r="Q1276">
        <v>24.299999237060501</v>
      </c>
      <c r="R1276">
        <v>24.799999237060501</v>
      </c>
      <c r="S1276">
        <v>22</v>
      </c>
      <c r="T1276">
        <v>1330</v>
      </c>
      <c r="U1276">
        <v>195</v>
      </c>
      <c r="V1276">
        <v>14</v>
      </c>
      <c r="W1276">
        <v>53</v>
      </c>
      <c r="X1276">
        <v>517</v>
      </c>
      <c r="Y1276">
        <v>89</v>
      </c>
      <c r="Z1276">
        <v>131</v>
      </c>
      <c r="AA1276">
        <v>517</v>
      </c>
      <c r="AB1276">
        <v>17.2248423401739</v>
      </c>
      <c r="AC1276">
        <v>1.4029929050389E-2</v>
      </c>
      <c r="AD1276">
        <v>2.11064757175849</v>
      </c>
      <c r="AE1276">
        <v>0.58832603693008401</v>
      </c>
      <c r="AF1276">
        <v>1113.7042253521099</v>
      </c>
      <c r="AG1276">
        <f>IFERROR(AH1276*0.1, "N/A")</f>
        <v>6.1000000000000005</v>
      </c>
      <c r="AH1276">
        <v>61</v>
      </c>
      <c r="AI1276">
        <v>262.75610518119697</v>
      </c>
      <c r="AJ1276">
        <v>34</v>
      </c>
      <c r="AK1276">
        <v>49</v>
      </c>
    </row>
    <row r="1277" spans="1:37" x14ac:dyDescent="0.3">
      <c r="A1277">
        <v>1276</v>
      </c>
      <c r="B1277">
        <v>0</v>
      </c>
      <c r="C1277">
        <v>33.176498000000002</v>
      </c>
      <c r="D1277">
        <v>2.2734299999999998</v>
      </c>
      <c r="E1277" t="s">
        <v>2227</v>
      </c>
      <c r="F1277" t="s">
        <v>2229</v>
      </c>
      <c r="G1277" t="s">
        <v>39</v>
      </c>
      <c r="H1277">
        <v>1967</v>
      </c>
      <c r="I1277">
        <v>23.299999237060501</v>
      </c>
      <c r="J1277">
        <v>13.199999809265099</v>
      </c>
      <c r="K1277">
        <v>78</v>
      </c>
      <c r="L1277">
        <v>10.4700002670288</v>
      </c>
      <c r="M1277">
        <v>32.900001525878899</v>
      </c>
      <c r="N1277">
        <v>16.100000381469702</v>
      </c>
      <c r="O1277">
        <v>16.799999237060501</v>
      </c>
      <c r="P1277">
        <v>22</v>
      </c>
      <c r="Q1277">
        <v>24.299999237060501</v>
      </c>
      <c r="R1277">
        <v>24.799999237060501</v>
      </c>
      <c r="S1277">
        <v>22</v>
      </c>
      <c r="T1277">
        <v>1330</v>
      </c>
      <c r="U1277">
        <v>195</v>
      </c>
      <c r="V1277">
        <v>14</v>
      </c>
      <c r="W1277">
        <v>53</v>
      </c>
      <c r="X1277">
        <v>517</v>
      </c>
      <c r="Y1277">
        <v>89</v>
      </c>
      <c r="Z1277">
        <v>131</v>
      </c>
      <c r="AA1277">
        <v>517</v>
      </c>
      <c r="AB1277">
        <v>17.2248423401739</v>
      </c>
      <c r="AC1277">
        <v>1.4029929050389E-2</v>
      </c>
      <c r="AD1277">
        <v>2.11064757175849</v>
      </c>
      <c r="AE1277">
        <v>0.58832603693008401</v>
      </c>
      <c r="AF1277">
        <v>1113.7042253521099</v>
      </c>
      <c r="AG1277">
        <f>IFERROR(AH1277*0.1, "N/A")</f>
        <v>6.1000000000000005</v>
      </c>
      <c r="AH1277">
        <v>61</v>
      </c>
      <c r="AI1277">
        <v>262.75610518119697</v>
      </c>
      <c r="AJ1277">
        <v>34</v>
      </c>
      <c r="AK1277">
        <v>49</v>
      </c>
    </row>
    <row r="1278" spans="1:37" x14ac:dyDescent="0.3">
      <c r="A1278">
        <v>1277</v>
      </c>
      <c r="B1278">
        <v>0</v>
      </c>
      <c r="C1278">
        <v>33.176102</v>
      </c>
      <c r="D1278">
        <v>2.2738</v>
      </c>
      <c r="E1278" t="s">
        <v>2230</v>
      </c>
      <c r="F1278" t="s">
        <v>2231</v>
      </c>
      <c r="G1278" t="s">
        <v>39</v>
      </c>
      <c r="H1278">
        <v>0</v>
      </c>
      <c r="I1278">
        <v>23.299999237060501</v>
      </c>
      <c r="J1278">
        <v>13.199999809265099</v>
      </c>
      <c r="K1278">
        <v>78</v>
      </c>
      <c r="L1278">
        <v>10.4700002670288</v>
      </c>
      <c r="M1278">
        <v>32.900001525878899</v>
      </c>
      <c r="N1278">
        <v>16.100000381469702</v>
      </c>
      <c r="O1278">
        <v>16.799999237060501</v>
      </c>
      <c r="P1278">
        <v>22</v>
      </c>
      <c r="Q1278">
        <v>24.299999237060501</v>
      </c>
      <c r="R1278">
        <v>24.799999237060501</v>
      </c>
      <c r="S1278">
        <v>22</v>
      </c>
      <c r="T1278">
        <v>1330</v>
      </c>
      <c r="U1278">
        <v>195</v>
      </c>
      <c r="V1278">
        <v>14</v>
      </c>
      <c r="W1278">
        <v>53</v>
      </c>
      <c r="X1278">
        <v>517</v>
      </c>
      <c r="Y1278">
        <v>89</v>
      </c>
      <c r="Z1278">
        <v>131</v>
      </c>
      <c r="AA1278">
        <v>517</v>
      </c>
      <c r="AB1278">
        <v>15.538670115814501</v>
      </c>
      <c r="AC1278">
        <v>2.1555806593625999E-2</v>
      </c>
      <c r="AD1278">
        <v>2.35923996342507</v>
      </c>
      <c r="AE1278">
        <v>0.58832603693008401</v>
      </c>
      <c r="AF1278">
        <v>1112.2003514938499</v>
      </c>
      <c r="AG1278">
        <f>IFERROR(AH1278*0.1, "N/A")</f>
        <v>6.1000000000000005</v>
      </c>
      <c r="AH1278">
        <v>61</v>
      </c>
      <c r="AI1278">
        <v>251.21382891985201</v>
      </c>
      <c r="AJ1278">
        <v>34</v>
      </c>
      <c r="AK1278">
        <v>48.966608084358498</v>
      </c>
    </row>
    <row r="1279" spans="1:37" x14ac:dyDescent="0.3">
      <c r="A1279">
        <v>1278</v>
      </c>
      <c r="B1279">
        <v>33.299999</v>
      </c>
      <c r="C1279">
        <v>33.176102</v>
      </c>
      <c r="D1279">
        <v>2.2738</v>
      </c>
      <c r="E1279" t="s">
        <v>2230</v>
      </c>
      <c r="F1279" t="s">
        <v>2232</v>
      </c>
      <c r="G1279" t="s">
        <v>37</v>
      </c>
      <c r="H1279">
        <v>0</v>
      </c>
      <c r="I1279">
        <v>23.299999237060501</v>
      </c>
      <c r="J1279">
        <v>13.199999809265099</v>
      </c>
      <c r="K1279">
        <v>78</v>
      </c>
      <c r="L1279">
        <v>10.4700002670288</v>
      </c>
      <c r="M1279">
        <v>32.900001525878899</v>
      </c>
      <c r="N1279">
        <v>16.100000381469702</v>
      </c>
      <c r="O1279">
        <v>16.799999237060501</v>
      </c>
      <c r="P1279">
        <v>22</v>
      </c>
      <c r="Q1279">
        <v>24.299999237060501</v>
      </c>
      <c r="R1279">
        <v>24.799999237060501</v>
      </c>
      <c r="S1279">
        <v>22</v>
      </c>
      <c r="T1279">
        <v>1330</v>
      </c>
      <c r="U1279">
        <v>195</v>
      </c>
      <c r="V1279">
        <v>14</v>
      </c>
      <c r="W1279">
        <v>53</v>
      </c>
      <c r="X1279">
        <v>517</v>
      </c>
      <c r="Y1279">
        <v>89</v>
      </c>
      <c r="Z1279">
        <v>131</v>
      </c>
      <c r="AA1279">
        <v>517</v>
      </c>
      <c r="AB1279">
        <v>15.538670115814501</v>
      </c>
      <c r="AC1279">
        <v>2.1555806593625999E-2</v>
      </c>
      <c r="AD1279">
        <v>2.35923996342507</v>
      </c>
      <c r="AE1279">
        <v>0.58832603693008401</v>
      </c>
      <c r="AF1279">
        <v>1112.2003514938499</v>
      </c>
      <c r="AG1279">
        <f>IFERROR(AH1279*0.1, "N/A")</f>
        <v>6.1000000000000005</v>
      </c>
      <c r="AH1279">
        <v>61</v>
      </c>
      <c r="AI1279">
        <v>251.21382891985201</v>
      </c>
      <c r="AJ1279">
        <v>34</v>
      </c>
      <c r="AK1279">
        <v>48.966608084358498</v>
      </c>
    </row>
    <row r="1280" spans="1:37" x14ac:dyDescent="0.3">
      <c r="A1280">
        <v>1279</v>
      </c>
      <c r="B1280">
        <v>0</v>
      </c>
      <c r="C1280">
        <v>33.772499000000003</v>
      </c>
      <c r="D1280">
        <v>2.2763300000000002</v>
      </c>
      <c r="E1280" t="s">
        <v>2233</v>
      </c>
      <c r="F1280" t="s">
        <v>2234</v>
      </c>
      <c r="G1280" t="s">
        <v>37</v>
      </c>
      <c r="H1280">
        <v>2004</v>
      </c>
      <c r="I1280">
        <v>23.700000762939499</v>
      </c>
      <c r="J1280">
        <v>12.800000190734901</v>
      </c>
      <c r="K1280">
        <v>79</v>
      </c>
      <c r="L1280">
        <v>9.2899999618530291</v>
      </c>
      <c r="M1280">
        <v>32.799999237060497</v>
      </c>
      <c r="N1280">
        <v>16.700000762939499</v>
      </c>
      <c r="O1280">
        <v>16.100000381469702</v>
      </c>
      <c r="P1280">
        <v>22.600000381469702</v>
      </c>
      <c r="Q1280">
        <v>24.700000762939499</v>
      </c>
      <c r="R1280">
        <v>25</v>
      </c>
      <c r="S1280">
        <v>22.600000381469702</v>
      </c>
      <c r="T1280">
        <v>1137</v>
      </c>
      <c r="U1280">
        <v>166</v>
      </c>
      <c r="V1280">
        <v>16</v>
      </c>
      <c r="W1280">
        <v>50</v>
      </c>
      <c r="X1280">
        <v>420</v>
      </c>
      <c r="Y1280">
        <v>83</v>
      </c>
      <c r="Z1280">
        <v>124</v>
      </c>
      <c r="AA1280">
        <v>403</v>
      </c>
      <c r="AB1280">
        <v>7.8845036779849504</v>
      </c>
      <c r="AC1280">
        <v>1.3044541547818001E-2</v>
      </c>
      <c r="AD1280">
        <v>1.5901802535216301</v>
      </c>
      <c r="AE1280">
        <v>0.61032432317733798</v>
      </c>
      <c r="AF1280">
        <v>1094.6221441124801</v>
      </c>
      <c r="AG1280">
        <f>IFERROR(AH1280*0.1, "N/A")</f>
        <v>5.9</v>
      </c>
      <c r="AH1280">
        <v>59</v>
      </c>
      <c r="AI1280">
        <v>75.589512468012899</v>
      </c>
      <c r="AJ1280">
        <v>37.142355008787298</v>
      </c>
      <c r="AK1280">
        <v>45.274165202109003</v>
      </c>
    </row>
    <row r="1281" spans="1:37" x14ac:dyDescent="0.3">
      <c r="A1281">
        <v>1280</v>
      </c>
      <c r="B1281">
        <v>0</v>
      </c>
      <c r="C1281">
        <v>32.681702000000001</v>
      </c>
      <c r="D1281">
        <v>2.2766899999999999</v>
      </c>
      <c r="E1281" t="s">
        <v>2235</v>
      </c>
      <c r="F1281" t="s">
        <v>2236</v>
      </c>
      <c r="G1281" t="s">
        <v>39</v>
      </c>
      <c r="H1281">
        <v>0</v>
      </c>
      <c r="I1281">
        <v>23.5</v>
      </c>
      <c r="J1281">
        <v>13.1000003814697</v>
      </c>
      <c r="K1281">
        <v>77</v>
      </c>
      <c r="L1281">
        <v>10.800000190734901</v>
      </c>
      <c r="M1281">
        <v>33.099998474121101</v>
      </c>
      <c r="N1281">
        <v>16.299999237060501</v>
      </c>
      <c r="O1281">
        <v>16.799999237060501</v>
      </c>
      <c r="P1281">
        <v>22.5</v>
      </c>
      <c r="Q1281">
        <v>24.5</v>
      </c>
      <c r="R1281">
        <v>25</v>
      </c>
      <c r="S1281">
        <v>22.200000762939499</v>
      </c>
      <c r="T1281">
        <v>1322</v>
      </c>
      <c r="U1281">
        <v>185</v>
      </c>
      <c r="V1281">
        <v>22</v>
      </c>
      <c r="W1281">
        <v>46</v>
      </c>
      <c r="X1281">
        <v>496</v>
      </c>
      <c r="Y1281">
        <v>105</v>
      </c>
      <c r="Z1281">
        <v>167</v>
      </c>
      <c r="AA1281">
        <v>407</v>
      </c>
      <c r="AB1281">
        <v>10.1961334067047</v>
      </c>
      <c r="AC1281">
        <v>1.1855304702734999E-2</v>
      </c>
      <c r="AD1281">
        <v>2.4297130046908402</v>
      </c>
      <c r="AE1281">
        <v>0.67612469196319602</v>
      </c>
      <c r="AF1281">
        <v>1058.2980599647301</v>
      </c>
      <c r="AG1281">
        <f>IFERROR(AH1281*0.1, "N/A")</f>
        <v>5.9407407407407398</v>
      </c>
      <c r="AH1281">
        <v>59.407407407407398</v>
      </c>
      <c r="AI1281">
        <v>89.296650119559501</v>
      </c>
      <c r="AJ1281">
        <v>41.107583774250401</v>
      </c>
      <c r="AK1281">
        <v>41.701940035273402</v>
      </c>
    </row>
    <row r="1282" spans="1:37" x14ac:dyDescent="0.3">
      <c r="A1282">
        <v>1281</v>
      </c>
      <c r="B1282">
        <v>4.8</v>
      </c>
      <c r="C1282">
        <v>32.681702000000001</v>
      </c>
      <c r="D1282">
        <v>2.2766899999999999</v>
      </c>
      <c r="E1282" t="s">
        <v>2235</v>
      </c>
      <c r="F1282" t="s">
        <v>2237</v>
      </c>
      <c r="G1282" t="s">
        <v>37</v>
      </c>
      <c r="H1282">
        <v>0</v>
      </c>
      <c r="I1282">
        <v>23.5</v>
      </c>
      <c r="J1282">
        <v>13.1000003814697</v>
      </c>
      <c r="K1282">
        <v>77</v>
      </c>
      <c r="L1282">
        <v>10.800000190734901</v>
      </c>
      <c r="M1282">
        <v>33.099998474121101</v>
      </c>
      <c r="N1282">
        <v>16.299999237060501</v>
      </c>
      <c r="O1282">
        <v>16.799999237060501</v>
      </c>
      <c r="P1282">
        <v>22.5</v>
      </c>
      <c r="Q1282">
        <v>24.5</v>
      </c>
      <c r="R1282">
        <v>25</v>
      </c>
      <c r="S1282">
        <v>22.200000762939499</v>
      </c>
      <c r="T1282">
        <v>1322</v>
      </c>
      <c r="U1282">
        <v>185</v>
      </c>
      <c r="V1282">
        <v>22</v>
      </c>
      <c r="W1282">
        <v>46</v>
      </c>
      <c r="X1282">
        <v>496</v>
      </c>
      <c r="Y1282">
        <v>105</v>
      </c>
      <c r="Z1282">
        <v>167</v>
      </c>
      <c r="AA1282">
        <v>407</v>
      </c>
      <c r="AB1282">
        <v>10.1961334067047</v>
      </c>
      <c r="AC1282">
        <v>1.1855304702734999E-2</v>
      </c>
      <c r="AD1282">
        <v>2.4297130046908402</v>
      </c>
      <c r="AE1282">
        <v>0.67612469196319602</v>
      </c>
      <c r="AF1282">
        <v>1058.2980599647301</v>
      </c>
      <c r="AG1282">
        <f>IFERROR(AH1282*0.1, "N/A")</f>
        <v>5.9407407407407398</v>
      </c>
      <c r="AH1282">
        <v>59.407407407407398</v>
      </c>
      <c r="AI1282">
        <v>89.296650119559501</v>
      </c>
      <c r="AJ1282">
        <v>41.107583774250401</v>
      </c>
      <c r="AK1282">
        <v>41.701940035273402</v>
      </c>
    </row>
    <row r="1283" spans="1:37" x14ac:dyDescent="0.3">
      <c r="A1283">
        <v>1282</v>
      </c>
      <c r="B1283">
        <v>88</v>
      </c>
      <c r="C1283">
        <v>31.33</v>
      </c>
      <c r="D1283">
        <v>2.3199999999999998</v>
      </c>
      <c r="E1283" t="s">
        <v>2238</v>
      </c>
      <c r="F1283" t="s">
        <v>2239</v>
      </c>
      <c r="G1283" t="s">
        <v>37</v>
      </c>
      <c r="H1283">
        <v>1987</v>
      </c>
      <c r="I1283">
        <v>24.899999618530298</v>
      </c>
      <c r="J1283">
        <v>12</v>
      </c>
      <c r="K1283">
        <v>69</v>
      </c>
      <c r="L1283">
        <v>12.2399997711182</v>
      </c>
      <c r="M1283">
        <v>33.200000762939503</v>
      </c>
      <c r="N1283">
        <v>15.8999996185303</v>
      </c>
      <c r="O1283">
        <v>17.299999237060501</v>
      </c>
      <c r="P1283">
        <v>23.399999618530298</v>
      </c>
      <c r="Q1283">
        <v>25.600000381469702</v>
      </c>
      <c r="R1283">
        <v>26.100000381469702</v>
      </c>
      <c r="S1283">
        <v>23.399999618530298</v>
      </c>
      <c r="T1283">
        <v>978</v>
      </c>
      <c r="U1283">
        <v>134</v>
      </c>
      <c r="V1283">
        <v>17</v>
      </c>
      <c r="W1283">
        <v>46</v>
      </c>
      <c r="X1283">
        <v>365</v>
      </c>
      <c r="Y1283">
        <v>70</v>
      </c>
      <c r="Z1283">
        <v>208</v>
      </c>
      <c r="AA1283">
        <v>365</v>
      </c>
      <c r="AB1283">
        <v>28.474567285500701</v>
      </c>
      <c r="AC1283">
        <v>2.1375059690556E-2</v>
      </c>
      <c r="AD1283">
        <v>3.6119959644539601</v>
      </c>
      <c r="AE1283">
        <v>0.27329617738723799</v>
      </c>
      <c r="AF1283">
        <v>698.68253968253998</v>
      </c>
      <c r="AG1283">
        <f>IFERROR(AH1283*0.1, "N/A")</f>
        <v>6.8234567901234602</v>
      </c>
      <c r="AH1283">
        <v>68.234567901234598</v>
      </c>
      <c r="AI1283">
        <v>222.83668460879599</v>
      </c>
      <c r="AJ1283">
        <v>26</v>
      </c>
      <c r="AK1283">
        <v>48.765432098765402</v>
      </c>
    </row>
    <row r="1284" spans="1:37" x14ac:dyDescent="0.3">
      <c r="A1284">
        <v>1283</v>
      </c>
      <c r="B1284">
        <v>4.8</v>
      </c>
      <c r="C1284">
        <v>33.682999000000002</v>
      </c>
      <c r="D1284">
        <v>2.32558</v>
      </c>
      <c r="E1284" t="s">
        <v>2240</v>
      </c>
      <c r="F1284" t="s">
        <v>2241</v>
      </c>
      <c r="G1284" t="s">
        <v>37</v>
      </c>
      <c r="H1284">
        <v>2004</v>
      </c>
      <c r="I1284">
        <v>23.832048396095502</v>
      </c>
      <c r="J1284">
        <v>12.8999996185303</v>
      </c>
      <c r="K1284">
        <v>79.320490367775804</v>
      </c>
      <c r="L1284">
        <v>9.4873556080298709</v>
      </c>
      <c r="M1284">
        <v>33</v>
      </c>
      <c r="N1284">
        <v>16.832048396095502</v>
      </c>
      <c r="O1284">
        <v>16.167951603904498</v>
      </c>
      <c r="P1284">
        <v>22.700000762939499</v>
      </c>
      <c r="Q1284">
        <v>24.832048396095502</v>
      </c>
      <c r="R1284">
        <v>25.132049540504699</v>
      </c>
      <c r="S1284">
        <v>22.600000381469702</v>
      </c>
      <c r="T1284">
        <v>1145.1628721541199</v>
      </c>
      <c r="U1284">
        <v>169.69176882662001</v>
      </c>
      <c r="V1284">
        <v>15</v>
      </c>
      <c r="W1284">
        <v>51</v>
      </c>
      <c r="X1284">
        <v>431.07530647985999</v>
      </c>
      <c r="Y1284">
        <v>82</v>
      </c>
      <c r="Z1284">
        <v>121</v>
      </c>
      <c r="AA1284">
        <v>413.06304728546399</v>
      </c>
      <c r="AB1284">
        <v>10.0259338485798</v>
      </c>
      <c r="AC1284">
        <v>1.0724811509721001E-2</v>
      </c>
      <c r="AD1284">
        <v>1.3164713148895399</v>
      </c>
      <c r="AE1284">
        <v>0.54744231700897195</v>
      </c>
      <c r="AF1284">
        <v>1068.5761821366</v>
      </c>
      <c r="AG1284">
        <f>IFERROR(AH1284*0.1, "N/A")</f>
        <v>5.9</v>
      </c>
      <c r="AH1284">
        <v>59</v>
      </c>
      <c r="AI1284">
        <v>46.644534106012401</v>
      </c>
      <c r="AJ1284">
        <v>37.232924693520097</v>
      </c>
      <c r="AK1284">
        <v>47.383537653239898</v>
      </c>
    </row>
    <row r="1285" spans="1:37" x14ac:dyDescent="0.3">
      <c r="A1285">
        <v>1284</v>
      </c>
      <c r="B1285">
        <v>0</v>
      </c>
      <c r="C1285">
        <v>32.459800999999999</v>
      </c>
      <c r="D1285">
        <v>2.3657900000000001</v>
      </c>
      <c r="E1285" t="s">
        <v>2242</v>
      </c>
      <c r="F1285" t="s">
        <v>2243</v>
      </c>
      <c r="G1285" t="s">
        <v>39</v>
      </c>
      <c r="H1285">
        <v>0</v>
      </c>
      <c r="I1285">
        <v>23.399999618530298</v>
      </c>
      <c r="J1285">
        <v>12.800000190734901</v>
      </c>
      <c r="K1285">
        <v>77</v>
      </c>
      <c r="L1285">
        <v>9.8900003433227504</v>
      </c>
      <c r="M1285">
        <v>32.799999237060497</v>
      </c>
      <c r="N1285">
        <v>16.299999237060501</v>
      </c>
      <c r="O1285">
        <v>16.5</v>
      </c>
      <c r="P1285">
        <v>22.399999618530298</v>
      </c>
      <c r="Q1285">
        <v>24.399999618530298</v>
      </c>
      <c r="R1285">
        <v>24.799999237060501</v>
      </c>
      <c r="S1285">
        <v>22.200000762939499</v>
      </c>
      <c r="T1285">
        <v>1306</v>
      </c>
      <c r="U1285">
        <v>192</v>
      </c>
      <c r="V1285">
        <v>23</v>
      </c>
      <c r="W1285">
        <v>48</v>
      </c>
      <c r="X1285">
        <v>506</v>
      </c>
      <c r="Y1285">
        <v>102</v>
      </c>
      <c r="Z1285">
        <v>178</v>
      </c>
      <c r="AA1285">
        <v>400</v>
      </c>
      <c r="AB1285">
        <v>11.2355871367873</v>
      </c>
      <c r="AC1285">
        <v>3.0971371264833999E-2</v>
      </c>
      <c r="AD1285">
        <v>0.85280519995773096</v>
      </c>
      <c r="AE1285">
        <v>0.63682654604577205</v>
      </c>
      <c r="AF1285">
        <v>1053.6105263157899</v>
      </c>
      <c r="AG1285">
        <f>IFERROR(AH1285*0.1, "N/A")</f>
        <v>6</v>
      </c>
      <c r="AH1285">
        <v>60</v>
      </c>
      <c r="AI1285">
        <v>200.08335302252499</v>
      </c>
      <c r="AJ1285">
        <v>41.782456140350902</v>
      </c>
      <c r="AK1285">
        <v>39</v>
      </c>
    </row>
    <row r="1286" spans="1:37" x14ac:dyDescent="0.3">
      <c r="A1286">
        <v>1285</v>
      </c>
      <c r="B1286">
        <v>6.8</v>
      </c>
      <c r="C1286">
        <v>32.516399</v>
      </c>
      <c r="D1286">
        <v>2.3686099999999999</v>
      </c>
      <c r="E1286" t="s">
        <v>2244</v>
      </c>
      <c r="F1286" t="s">
        <v>2245</v>
      </c>
      <c r="G1286" t="s">
        <v>39</v>
      </c>
      <c r="H1286">
        <v>1987</v>
      </c>
      <c r="I1286">
        <v>23.4420032936995</v>
      </c>
      <c r="J1286">
        <v>12.8999996185303</v>
      </c>
      <c r="K1286">
        <v>77</v>
      </c>
      <c r="L1286">
        <v>10.260790650580599</v>
      </c>
      <c r="M1286">
        <v>32.900001525878899</v>
      </c>
      <c r="N1286">
        <v>16.299999237060501</v>
      </c>
      <c r="O1286">
        <v>16.600000381469702</v>
      </c>
      <c r="P1286">
        <v>22.5</v>
      </c>
      <c r="Q1286">
        <v>24.399999618530298</v>
      </c>
      <c r="R1286">
        <v>24.899999618530298</v>
      </c>
      <c r="S1286">
        <v>22.200000762939499</v>
      </c>
      <c r="T1286">
        <v>1313.1599297012301</v>
      </c>
      <c r="U1286">
        <v>194.579964850615</v>
      </c>
      <c r="V1286">
        <v>22</v>
      </c>
      <c r="W1286">
        <v>48</v>
      </c>
      <c r="X1286">
        <v>508</v>
      </c>
      <c r="Y1286">
        <v>100</v>
      </c>
      <c r="Z1286">
        <v>186.15992970123</v>
      </c>
      <c r="AA1286">
        <v>422.48154657293497</v>
      </c>
      <c r="AB1286">
        <v>3.8177076182172698</v>
      </c>
      <c r="AC1286">
        <v>1.6450986385619999E-2</v>
      </c>
      <c r="AD1286">
        <v>2.3874293965907798</v>
      </c>
      <c r="AE1286">
        <v>0.57667189836502097</v>
      </c>
      <c r="AF1286">
        <v>1058.5307557117801</v>
      </c>
      <c r="AG1286">
        <f>IFERROR(AH1286*0.1, "N/A")</f>
        <v>5.9430579964850603</v>
      </c>
      <c r="AH1286">
        <v>59.430579964850601</v>
      </c>
      <c r="AI1286">
        <v>116.781500305149</v>
      </c>
      <c r="AJ1286">
        <v>41</v>
      </c>
      <c r="AK1286">
        <v>39.182776801406</v>
      </c>
    </row>
    <row r="1287" spans="1:37" x14ac:dyDescent="0.3">
      <c r="A1287">
        <v>1286</v>
      </c>
      <c r="B1287">
        <v>0</v>
      </c>
      <c r="C1287">
        <v>34.507401000000002</v>
      </c>
      <c r="D1287">
        <v>2.3857699999999999</v>
      </c>
      <c r="E1287" t="s">
        <v>2246</v>
      </c>
      <c r="F1287" t="s">
        <v>2247</v>
      </c>
      <c r="G1287" t="s">
        <v>37</v>
      </c>
      <c r="H1287">
        <v>2004</v>
      </c>
      <c r="I1287">
        <v>23</v>
      </c>
      <c r="J1287">
        <v>12.800000190734901</v>
      </c>
      <c r="K1287">
        <v>82</v>
      </c>
      <c r="L1287">
        <v>7.6999998092651403</v>
      </c>
      <c r="M1287">
        <v>31.399999618530298</v>
      </c>
      <c r="N1287">
        <v>15.800000190734901</v>
      </c>
      <c r="O1287">
        <v>15.6000003814697</v>
      </c>
      <c r="P1287">
        <v>22.600000381469702</v>
      </c>
      <c r="Q1287">
        <v>23.700000762939499</v>
      </c>
      <c r="R1287">
        <v>23.899999618530298</v>
      </c>
      <c r="S1287">
        <v>21.899999618530298</v>
      </c>
      <c r="T1287">
        <v>758</v>
      </c>
      <c r="U1287">
        <v>114</v>
      </c>
      <c r="V1287">
        <v>16</v>
      </c>
      <c r="W1287">
        <v>53</v>
      </c>
      <c r="X1287">
        <v>284</v>
      </c>
      <c r="Y1287">
        <v>61</v>
      </c>
      <c r="Z1287">
        <v>94</v>
      </c>
      <c r="AA1287">
        <v>266</v>
      </c>
      <c r="AB1287">
        <v>1.84980322609485</v>
      </c>
      <c r="AC1287">
        <v>2.2825045755435001E-2</v>
      </c>
      <c r="AD1287">
        <v>0.822193095486769</v>
      </c>
      <c r="AE1287">
        <v>0.30916970968246499</v>
      </c>
      <c r="AF1287">
        <v>1220.14964788732</v>
      </c>
      <c r="AG1287">
        <f>IFERROR(AH1287*0.1, "N/A")</f>
        <v>7.3760563380281701</v>
      </c>
      <c r="AH1287">
        <v>73.760563380281695</v>
      </c>
      <c r="AI1287">
        <v>162.78915372868701</v>
      </c>
      <c r="AJ1287">
        <v>37.896126760563398</v>
      </c>
      <c r="AK1287">
        <v>40.010563380281702</v>
      </c>
    </row>
    <row r="1288" spans="1:37" x14ac:dyDescent="0.3">
      <c r="A1288">
        <v>1287</v>
      </c>
      <c r="B1288">
        <v>0</v>
      </c>
      <c r="C1288">
        <v>32.443600000000004</v>
      </c>
      <c r="D1288">
        <v>2.3889499999999999</v>
      </c>
      <c r="E1288" t="s">
        <v>2248</v>
      </c>
      <c r="F1288" t="s">
        <v>2249</v>
      </c>
      <c r="G1288" t="s">
        <v>39</v>
      </c>
      <c r="H1288">
        <v>0</v>
      </c>
      <c r="I1288">
        <v>23.399999618530298</v>
      </c>
      <c r="J1288">
        <v>12.800000190734901</v>
      </c>
      <c r="K1288">
        <v>77</v>
      </c>
      <c r="L1288">
        <v>9.4899997711181605</v>
      </c>
      <c r="M1288">
        <v>32.799999237060497</v>
      </c>
      <c r="N1288">
        <v>16.299999237060501</v>
      </c>
      <c r="O1288">
        <v>16.5</v>
      </c>
      <c r="P1288">
        <v>22.5</v>
      </c>
      <c r="Q1288">
        <v>24.399999618530298</v>
      </c>
      <c r="R1288">
        <v>24.799999237060501</v>
      </c>
      <c r="S1288">
        <v>22.299999237060501</v>
      </c>
      <c r="T1288">
        <v>1317</v>
      </c>
      <c r="U1288">
        <v>193</v>
      </c>
      <c r="V1288">
        <v>22</v>
      </c>
      <c r="W1288">
        <v>48</v>
      </c>
      <c r="X1288">
        <v>509</v>
      </c>
      <c r="Y1288">
        <v>100</v>
      </c>
      <c r="Z1288">
        <v>175</v>
      </c>
      <c r="AA1288">
        <v>452</v>
      </c>
      <c r="AB1288">
        <v>6.4726543225740096</v>
      </c>
      <c r="AC1288">
        <v>0.133547786927145</v>
      </c>
      <c r="AD1288">
        <v>1.8326994114800499</v>
      </c>
      <c r="AE1288">
        <v>0.61149919033050504</v>
      </c>
      <c r="AF1288">
        <v>1049.5263157894699</v>
      </c>
      <c r="AG1288">
        <f>IFERROR(AH1288*0.1, "N/A")</f>
        <v>6.0347368421052607</v>
      </c>
      <c r="AH1288">
        <v>60.3473684210526</v>
      </c>
      <c r="AI1288">
        <v>215.47491452568499</v>
      </c>
      <c r="AJ1288">
        <v>42.215789473684197</v>
      </c>
      <c r="AK1288">
        <v>37.784210526315803</v>
      </c>
    </row>
    <row r="1289" spans="1:37" x14ac:dyDescent="0.3">
      <c r="A1289">
        <v>1288</v>
      </c>
      <c r="B1289">
        <v>0</v>
      </c>
      <c r="C1289">
        <v>32.481200999999999</v>
      </c>
      <c r="D1289">
        <v>2.4031799999999999</v>
      </c>
      <c r="E1289" t="s">
        <v>2250</v>
      </c>
      <c r="F1289" t="s">
        <v>2251</v>
      </c>
      <c r="G1289" t="s">
        <v>39</v>
      </c>
      <c r="H1289">
        <v>0</v>
      </c>
      <c r="I1289">
        <v>23.399999618530298</v>
      </c>
      <c r="J1289">
        <v>12.8999996185303</v>
      </c>
      <c r="K1289">
        <v>77</v>
      </c>
      <c r="L1289">
        <v>9.9700002670288104</v>
      </c>
      <c r="M1289">
        <v>32.900001525878899</v>
      </c>
      <c r="N1289">
        <v>16.299999237060501</v>
      </c>
      <c r="O1289">
        <v>16.600000381469702</v>
      </c>
      <c r="P1289">
        <v>22.5</v>
      </c>
      <c r="Q1289">
        <v>24.399999618530298</v>
      </c>
      <c r="R1289">
        <v>24.899999618530298</v>
      </c>
      <c r="S1289">
        <v>22.200000762939499</v>
      </c>
      <c r="T1289">
        <v>1326</v>
      </c>
      <c r="U1289">
        <v>195</v>
      </c>
      <c r="V1289">
        <v>22</v>
      </c>
      <c r="W1289">
        <v>48</v>
      </c>
      <c r="X1289">
        <v>512</v>
      </c>
      <c r="Y1289">
        <v>99</v>
      </c>
      <c r="Z1289">
        <v>179</v>
      </c>
      <c r="AA1289">
        <v>456</v>
      </c>
      <c r="AB1289">
        <v>6.5245288514254396</v>
      </c>
      <c r="AC1289">
        <v>2.0407286000421999E-2</v>
      </c>
      <c r="AD1289">
        <v>1.3686766629679199</v>
      </c>
      <c r="AE1289">
        <v>0.63442784547805797</v>
      </c>
      <c r="AF1289">
        <v>1055.2701754386001</v>
      </c>
      <c r="AG1289">
        <f>IFERROR(AH1289*0.1, "N/A")</f>
        <v>6.0859649122807005</v>
      </c>
      <c r="AH1289">
        <v>60.859649122806999</v>
      </c>
      <c r="AI1289">
        <v>242.02681531404201</v>
      </c>
      <c r="AJ1289">
        <v>43.2228070175439</v>
      </c>
      <c r="AK1289">
        <v>36.440350877192998</v>
      </c>
    </row>
    <row r="1290" spans="1:37" x14ac:dyDescent="0.3">
      <c r="A1290">
        <v>1289</v>
      </c>
      <c r="B1290">
        <v>0</v>
      </c>
      <c r="C1290">
        <v>32.481200999999999</v>
      </c>
      <c r="D1290">
        <v>2.4031799999999999</v>
      </c>
      <c r="E1290" t="s">
        <v>2250</v>
      </c>
      <c r="F1290" t="s">
        <v>2252</v>
      </c>
      <c r="G1290" t="s">
        <v>37</v>
      </c>
      <c r="H1290">
        <v>0</v>
      </c>
      <c r="I1290">
        <v>23.399999618530298</v>
      </c>
      <c r="J1290">
        <v>12.8999996185303</v>
      </c>
      <c r="K1290">
        <v>77</v>
      </c>
      <c r="L1290">
        <v>9.9700002670288104</v>
      </c>
      <c r="M1290">
        <v>32.900001525878899</v>
      </c>
      <c r="N1290">
        <v>16.299999237060501</v>
      </c>
      <c r="O1290">
        <v>16.600000381469702</v>
      </c>
      <c r="P1290">
        <v>22.5</v>
      </c>
      <c r="Q1290">
        <v>24.399999618530298</v>
      </c>
      <c r="R1290">
        <v>24.899999618530298</v>
      </c>
      <c r="S1290">
        <v>22.200000762939499</v>
      </c>
      <c r="T1290">
        <v>1326</v>
      </c>
      <c r="U1290">
        <v>195</v>
      </c>
      <c r="V1290">
        <v>22</v>
      </c>
      <c r="W1290">
        <v>48</v>
      </c>
      <c r="X1290">
        <v>512</v>
      </c>
      <c r="Y1290">
        <v>99</v>
      </c>
      <c r="Z1290">
        <v>179</v>
      </c>
      <c r="AA1290">
        <v>456</v>
      </c>
      <c r="AB1290">
        <v>6.5245288514254396</v>
      </c>
      <c r="AC1290">
        <v>2.0407286000421999E-2</v>
      </c>
      <c r="AD1290">
        <v>1.3686766629679199</v>
      </c>
      <c r="AE1290">
        <v>0.63442784547805797</v>
      </c>
      <c r="AF1290">
        <v>1055.2701754386001</v>
      </c>
      <c r="AG1290">
        <f>IFERROR(AH1290*0.1, "N/A")</f>
        <v>6.0859649122807005</v>
      </c>
      <c r="AH1290">
        <v>60.859649122806999</v>
      </c>
      <c r="AI1290">
        <v>242.02681531404201</v>
      </c>
      <c r="AJ1290">
        <v>43.2228070175439</v>
      </c>
      <c r="AK1290">
        <v>36.440350877192998</v>
      </c>
    </row>
    <row r="1291" spans="1:37" x14ac:dyDescent="0.3">
      <c r="A1291">
        <v>1290</v>
      </c>
      <c r="B1291">
        <v>0</v>
      </c>
      <c r="C1291">
        <v>32.421799</v>
      </c>
      <c r="D1291">
        <v>2.4123700000000001</v>
      </c>
      <c r="E1291" t="s">
        <v>2253</v>
      </c>
      <c r="F1291" t="s">
        <v>2254</v>
      </c>
      <c r="G1291" t="s">
        <v>39</v>
      </c>
      <c r="H1291">
        <v>0</v>
      </c>
      <c r="I1291">
        <v>23.399999618530298</v>
      </c>
      <c r="J1291">
        <v>12.800000190734901</v>
      </c>
      <c r="K1291">
        <v>77</v>
      </c>
      <c r="L1291">
        <v>9.8199996948242205</v>
      </c>
      <c r="M1291">
        <v>32.799999237060497</v>
      </c>
      <c r="N1291">
        <v>16.299999237060501</v>
      </c>
      <c r="O1291">
        <v>16.5</v>
      </c>
      <c r="P1291">
        <v>22.5</v>
      </c>
      <c r="Q1291">
        <v>24.399999618530298</v>
      </c>
      <c r="R1291">
        <v>24.799999237060501</v>
      </c>
      <c r="S1291">
        <v>22.299999237060501</v>
      </c>
      <c r="T1291">
        <v>1329</v>
      </c>
      <c r="U1291">
        <v>193</v>
      </c>
      <c r="V1291">
        <v>22</v>
      </c>
      <c r="W1291">
        <v>48</v>
      </c>
      <c r="X1291">
        <v>512</v>
      </c>
      <c r="Y1291">
        <v>99</v>
      </c>
      <c r="Z1291">
        <v>171</v>
      </c>
      <c r="AA1291">
        <v>458</v>
      </c>
      <c r="AB1291">
        <v>1.62723352200956</v>
      </c>
      <c r="AC1291">
        <v>0.78091238279661601</v>
      </c>
      <c r="AD1291">
        <v>1.82575955793183</v>
      </c>
      <c r="AE1291">
        <v>0.556032955646515</v>
      </c>
      <c r="AF1291">
        <v>1045.54833040422</v>
      </c>
      <c r="AG1291">
        <f>IFERROR(AH1291*0.1, "N/A")</f>
        <v>5.9</v>
      </c>
      <c r="AH1291">
        <v>59</v>
      </c>
      <c r="AI1291">
        <v>228.828007300834</v>
      </c>
      <c r="AJ1291">
        <v>44</v>
      </c>
      <c r="AK1291">
        <v>35.3585237258348</v>
      </c>
    </row>
    <row r="1292" spans="1:37" x14ac:dyDescent="0.3">
      <c r="A1292">
        <v>1291</v>
      </c>
      <c r="B1292">
        <v>0</v>
      </c>
      <c r="C1292">
        <v>32.421799</v>
      </c>
      <c r="D1292">
        <v>2.4123700000000001</v>
      </c>
      <c r="E1292" t="s">
        <v>2253</v>
      </c>
      <c r="F1292" t="s">
        <v>2255</v>
      </c>
      <c r="G1292" t="s">
        <v>37</v>
      </c>
      <c r="H1292">
        <v>0</v>
      </c>
      <c r="I1292">
        <v>23.399999618530298</v>
      </c>
      <c r="J1292">
        <v>12.800000190734901</v>
      </c>
      <c r="K1292">
        <v>77</v>
      </c>
      <c r="L1292">
        <v>9.8199996948242205</v>
      </c>
      <c r="M1292">
        <v>32.799999237060497</v>
      </c>
      <c r="N1292">
        <v>16.299999237060501</v>
      </c>
      <c r="O1292">
        <v>16.5</v>
      </c>
      <c r="P1292">
        <v>22.5</v>
      </c>
      <c r="Q1292">
        <v>24.399999618530298</v>
      </c>
      <c r="R1292">
        <v>24.799999237060501</v>
      </c>
      <c r="S1292">
        <v>22.299999237060501</v>
      </c>
      <c r="T1292">
        <v>1329</v>
      </c>
      <c r="U1292">
        <v>193</v>
      </c>
      <c r="V1292">
        <v>22</v>
      </c>
      <c r="W1292">
        <v>48</v>
      </c>
      <c r="X1292">
        <v>512</v>
      </c>
      <c r="Y1292">
        <v>99</v>
      </c>
      <c r="Z1292">
        <v>171</v>
      </c>
      <c r="AA1292">
        <v>458</v>
      </c>
      <c r="AB1292">
        <v>1.62723352200956</v>
      </c>
      <c r="AC1292">
        <v>0.78091238279661601</v>
      </c>
      <c r="AD1292">
        <v>1.82575955793183</v>
      </c>
      <c r="AE1292">
        <v>0.556032955646515</v>
      </c>
      <c r="AF1292">
        <v>1045.54833040422</v>
      </c>
      <c r="AG1292">
        <f>IFERROR(AH1292*0.1, "N/A")</f>
        <v>5.9</v>
      </c>
      <c r="AH1292">
        <v>59</v>
      </c>
      <c r="AI1292">
        <v>228.828007300834</v>
      </c>
      <c r="AJ1292">
        <v>44</v>
      </c>
      <c r="AK1292">
        <v>35.3585237258348</v>
      </c>
    </row>
    <row r="1293" spans="1:37" x14ac:dyDescent="0.3">
      <c r="A1293">
        <v>1292</v>
      </c>
      <c r="B1293">
        <v>38.099997999999999</v>
      </c>
      <c r="C1293">
        <v>31.308800000000002</v>
      </c>
      <c r="D1293">
        <v>2.4144700000000001</v>
      </c>
      <c r="E1293" t="s">
        <v>2256</v>
      </c>
      <c r="F1293" t="s">
        <v>2257</v>
      </c>
      <c r="G1293" t="s">
        <v>37</v>
      </c>
      <c r="H1293">
        <v>2005</v>
      </c>
      <c r="I1293">
        <v>24.098060338795701</v>
      </c>
      <c r="J1293">
        <v>12.1000003814697</v>
      </c>
      <c r="K1293">
        <v>68.019400352733697</v>
      </c>
      <c r="L1293">
        <v>12.775343652755501</v>
      </c>
      <c r="M1293">
        <v>32.598058468450297</v>
      </c>
      <c r="N1293">
        <v>15</v>
      </c>
      <c r="O1293">
        <v>17.598060338795701</v>
      </c>
      <c r="P1293">
        <v>22.598060338795701</v>
      </c>
      <c r="Q1293">
        <v>24.7980592313898</v>
      </c>
      <c r="R1293">
        <v>25.398059575856301</v>
      </c>
      <c r="S1293">
        <v>22.598060338795701</v>
      </c>
      <c r="T1293">
        <v>1022.15520282187</v>
      </c>
      <c r="U1293">
        <v>145.038800705467</v>
      </c>
      <c r="V1293">
        <v>16</v>
      </c>
      <c r="W1293">
        <v>48.019400352733697</v>
      </c>
      <c r="X1293">
        <v>399.097001763668</v>
      </c>
      <c r="Y1293">
        <v>68.019400352733697</v>
      </c>
      <c r="Z1293">
        <v>206</v>
      </c>
      <c r="AA1293">
        <v>399.097001763668</v>
      </c>
      <c r="AB1293">
        <v>16.533157052606899</v>
      </c>
      <c r="AC1293">
        <v>2.0771154741275E-2</v>
      </c>
      <c r="AD1293">
        <v>3.31661059070096</v>
      </c>
      <c r="AE1293">
        <v>0.53997421043890503</v>
      </c>
      <c r="AF1293">
        <v>836.590828924162</v>
      </c>
      <c r="AG1293">
        <f>IFERROR(AH1293*0.1, "N/A")</f>
        <v>6.1980599647266308</v>
      </c>
      <c r="AH1293">
        <v>61.980599647266303</v>
      </c>
      <c r="AI1293">
        <v>62.260646391167199</v>
      </c>
      <c r="AJ1293">
        <v>26.980599647266299</v>
      </c>
      <c r="AK1293">
        <v>50</v>
      </c>
    </row>
    <row r="1294" spans="1:37" x14ac:dyDescent="0.3">
      <c r="A1294">
        <v>1293</v>
      </c>
      <c r="B1294">
        <v>66.099997999999999</v>
      </c>
      <c r="C1294">
        <v>33.072701000000002</v>
      </c>
      <c r="D1294">
        <v>2.4193799999999999</v>
      </c>
      <c r="E1294" t="s">
        <v>2258</v>
      </c>
      <c r="F1294" t="s">
        <v>2259</v>
      </c>
      <c r="G1294" t="s">
        <v>37</v>
      </c>
      <c r="H1294">
        <v>2004</v>
      </c>
      <c r="I1294">
        <v>23.700000762939499</v>
      </c>
      <c r="J1294">
        <v>13.3999996185303</v>
      </c>
      <c r="K1294">
        <v>77</v>
      </c>
      <c r="L1294">
        <v>10.8699998855591</v>
      </c>
      <c r="M1294">
        <v>33.5</v>
      </c>
      <c r="N1294">
        <v>16.299999237060501</v>
      </c>
      <c r="O1294">
        <v>17.200000762939499</v>
      </c>
      <c r="P1294">
        <v>22.399999618530298</v>
      </c>
      <c r="Q1294">
        <v>24.700000762939499</v>
      </c>
      <c r="R1294">
        <v>25.200000762939499</v>
      </c>
      <c r="S1294">
        <v>22.399999618530298</v>
      </c>
      <c r="T1294">
        <v>1266</v>
      </c>
      <c r="U1294">
        <v>190</v>
      </c>
      <c r="V1294">
        <v>14</v>
      </c>
      <c r="W1294">
        <v>53</v>
      </c>
      <c r="X1294">
        <v>492</v>
      </c>
      <c r="Y1294">
        <v>80</v>
      </c>
      <c r="Z1294">
        <v>119</v>
      </c>
      <c r="AA1294">
        <v>455</v>
      </c>
      <c r="AB1294">
        <v>6.0013550019222297</v>
      </c>
      <c r="AC1294">
        <v>3.1910150526303999E-2</v>
      </c>
      <c r="AD1294">
        <v>1.8163737549932699</v>
      </c>
      <c r="AE1294">
        <v>0.65806939228976302</v>
      </c>
      <c r="AF1294">
        <v>1032.27416520211</v>
      </c>
      <c r="AG1294">
        <f>IFERROR(AH1294*0.1, "N/A")</f>
        <v>5.8936731107205604</v>
      </c>
      <c r="AH1294">
        <v>58.936731107205603</v>
      </c>
      <c r="AI1294">
        <v>213.37232064781799</v>
      </c>
      <c r="AJ1294">
        <v>43.882249560632701</v>
      </c>
      <c r="AK1294">
        <v>39.054481546572902</v>
      </c>
    </row>
    <row r="1295" spans="1:37" x14ac:dyDescent="0.3">
      <c r="A1295">
        <v>1294</v>
      </c>
      <c r="B1295">
        <v>0</v>
      </c>
      <c r="C1295">
        <v>33.083599</v>
      </c>
      <c r="D1295">
        <v>2.4237899999999999</v>
      </c>
      <c r="E1295" t="s">
        <v>2260</v>
      </c>
      <c r="F1295" t="s">
        <v>2261</v>
      </c>
      <c r="G1295" t="s">
        <v>39</v>
      </c>
      <c r="H1295">
        <v>0</v>
      </c>
      <c r="I1295">
        <v>23.771478297005199</v>
      </c>
      <c r="J1295">
        <v>13.3845067494352</v>
      </c>
      <c r="K1295">
        <v>77</v>
      </c>
      <c r="L1295">
        <v>10.668731958093799</v>
      </c>
      <c r="M1295">
        <v>33.571477782558397</v>
      </c>
      <c r="N1295">
        <v>16.3869713998177</v>
      </c>
      <c r="O1295">
        <v>17.184507746091999</v>
      </c>
      <c r="P1295">
        <v>22.486971781287401</v>
      </c>
      <c r="Q1295">
        <v>24.8714786314628</v>
      </c>
      <c r="R1295">
        <v>25.271478297005199</v>
      </c>
      <c r="S1295">
        <v>22.486971781287401</v>
      </c>
      <c r="T1295">
        <v>1262.75704225352</v>
      </c>
      <c r="U1295">
        <v>190.130281690141</v>
      </c>
      <c r="V1295">
        <v>13.1302816901408</v>
      </c>
      <c r="W1295">
        <v>53</v>
      </c>
      <c r="X1295">
        <v>492.26056338028201</v>
      </c>
      <c r="Y1295">
        <v>79.130281690140805</v>
      </c>
      <c r="Z1295">
        <v>118.130281690141</v>
      </c>
      <c r="AA1295">
        <v>456.26056338028201</v>
      </c>
      <c r="AB1295">
        <v>6.5477327158753296</v>
      </c>
      <c r="AC1295">
        <v>5.2505221991786998E-2</v>
      </c>
      <c r="AD1295">
        <v>1.78025967995046</v>
      </c>
      <c r="AE1295">
        <v>0.55916468568251199</v>
      </c>
      <c r="AF1295">
        <v>1021.77464788732</v>
      </c>
      <c r="AG1295">
        <f>IFERROR(AH1295*0.1, "N/A")</f>
        <v>5.9130281690140905</v>
      </c>
      <c r="AH1295">
        <v>59.130281690140897</v>
      </c>
      <c r="AI1295">
        <v>121.27594565002001</v>
      </c>
      <c r="AJ1295">
        <v>43.845070422535201</v>
      </c>
      <c r="AK1295">
        <v>38.285211267605597</v>
      </c>
    </row>
    <row r="1296" spans="1:37" x14ac:dyDescent="0.3">
      <c r="A1296">
        <v>1295</v>
      </c>
      <c r="B1296">
        <v>10.3</v>
      </c>
      <c r="C1296">
        <v>33.083599</v>
      </c>
      <c r="D1296">
        <v>2.4237899999999999</v>
      </c>
      <c r="E1296" t="s">
        <v>2260</v>
      </c>
      <c r="F1296" t="s">
        <v>2262</v>
      </c>
      <c r="G1296" t="s">
        <v>37</v>
      </c>
      <c r="H1296">
        <v>0</v>
      </c>
      <c r="I1296">
        <v>23.771478297005199</v>
      </c>
      <c r="J1296">
        <v>13.3845067494352</v>
      </c>
      <c r="K1296">
        <v>77</v>
      </c>
      <c r="L1296">
        <v>10.668731958093799</v>
      </c>
      <c r="M1296">
        <v>33.571477782558397</v>
      </c>
      <c r="N1296">
        <v>16.3869713998177</v>
      </c>
      <c r="O1296">
        <v>17.184507746091999</v>
      </c>
      <c r="P1296">
        <v>22.486971781287401</v>
      </c>
      <c r="Q1296">
        <v>24.8714786314628</v>
      </c>
      <c r="R1296">
        <v>25.271478297005199</v>
      </c>
      <c r="S1296">
        <v>22.486971781287401</v>
      </c>
      <c r="T1296">
        <v>1262.75704225352</v>
      </c>
      <c r="U1296">
        <v>190.130281690141</v>
      </c>
      <c r="V1296">
        <v>13.1302816901408</v>
      </c>
      <c r="W1296">
        <v>53</v>
      </c>
      <c r="X1296">
        <v>492.26056338028201</v>
      </c>
      <c r="Y1296">
        <v>79.130281690140805</v>
      </c>
      <c r="Z1296">
        <v>118.130281690141</v>
      </c>
      <c r="AA1296">
        <v>456.26056338028201</v>
      </c>
      <c r="AB1296">
        <v>6.5477327158753296</v>
      </c>
      <c r="AC1296">
        <v>5.2505221991786998E-2</v>
      </c>
      <c r="AD1296">
        <v>1.78025967995046</v>
      </c>
      <c r="AE1296">
        <v>0.55916468568251199</v>
      </c>
      <c r="AF1296">
        <v>1021.77464788732</v>
      </c>
      <c r="AG1296">
        <f>IFERROR(AH1296*0.1, "N/A")</f>
        <v>5.9130281690140905</v>
      </c>
      <c r="AH1296">
        <v>59.130281690140897</v>
      </c>
      <c r="AI1296">
        <v>121.27594565002001</v>
      </c>
      <c r="AJ1296">
        <v>43.845070422535201</v>
      </c>
      <c r="AK1296">
        <v>38.285211267605597</v>
      </c>
    </row>
    <row r="1297" spans="1:37" x14ac:dyDescent="0.3">
      <c r="A1297">
        <v>1296</v>
      </c>
      <c r="B1297">
        <v>0</v>
      </c>
      <c r="C1297">
        <v>32.837699999999998</v>
      </c>
      <c r="D1297">
        <v>2.4403199999999998</v>
      </c>
      <c r="E1297" t="s">
        <v>2263</v>
      </c>
      <c r="F1297" t="s">
        <v>2264</v>
      </c>
      <c r="G1297" t="s">
        <v>37</v>
      </c>
      <c r="H1297">
        <v>2004</v>
      </c>
      <c r="I1297">
        <v>23.399999618530298</v>
      </c>
      <c r="J1297">
        <v>13.300000190734901</v>
      </c>
      <c r="K1297">
        <v>77</v>
      </c>
      <c r="L1297">
        <v>10.810000419616699</v>
      </c>
      <c r="M1297">
        <v>33.200000762939503</v>
      </c>
      <c r="N1297">
        <v>16.100000381469702</v>
      </c>
      <c r="O1297">
        <v>17.100000381469702</v>
      </c>
      <c r="P1297">
        <v>22.399999618530298</v>
      </c>
      <c r="Q1297">
        <v>24.399999618530298</v>
      </c>
      <c r="R1297">
        <v>24.899999618530298</v>
      </c>
      <c r="S1297">
        <v>22.100000381469702</v>
      </c>
      <c r="T1297">
        <v>1293</v>
      </c>
      <c r="U1297">
        <v>194</v>
      </c>
      <c r="V1297">
        <v>16</v>
      </c>
      <c r="W1297">
        <v>53</v>
      </c>
      <c r="X1297">
        <v>487</v>
      </c>
      <c r="Y1297">
        <v>83</v>
      </c>
      <c r="Z1297">
        <v>119</v>
      </c>
      <c r="AA1297">
        <v>450</v>
      </c>
      <c r="AB1297">
        <v>15.035793157209399</v>
      </c>
      <c r="AC1297">
        <v>9.4242546707390008E-3</v>
      </c>
      <c r="AD1297">
        <v>2.1274992622827198</v>
      </c>
      <c r="AE1297">
        <v>0.69512216762492496</v>
      </c>
      <c r="AF1297">
        <v>1080.3929824561401</v>
      </c>
      <c r="AG1297">
        <f>IFERROR(AH1297*0.1, "N/A")</f>
        <v>5.8970175438596506</v>
      </c>
      <c r="AH1297">
        <v>58.970175438596499</v>
      </c>
      <c r="AI1297">
        <v>115.013306534081</v>
      </c>
      <c r="AJ1297">
        <v>34.226315789473702</v>
      </c>
      <c r="AK1297">
        <v>47.743859649122797</v>
      </c>
    </row>
    <row r="1298" spans="1:37" x14ac:dyDescent="0.3">
      <c r="A1298">
        <v>1297</v>
      </c>
      <c r="B1298">
        <v>23.299999</v>
      </c>
      <c r="C1298">
        <v>31.097000000000001</v>
      </c>
      <c r="D1298">
        <v>2.44523</v>
      </c>
      <c r="E1298" t="s">
        <v>2265</v>
      </c>
      <c r="F1298" t="s">
        <v>2266</v>
      </c>
      <c r="G1298" t="s">
        <v>37</v>
      </c>
      <c r="H1298">
        <v>2004</v>
      </c>
      <c r="I1298">
        <v>23.200000762939499</v>
      </c>
      <c r="J1298">
        <v>11.800000190734901</v>
      </c>
      <c r="K1298">
        <v>71</v>
      </c>
      <c r="L1298">
        <v>10.9799995422363</v>
      </c>
      <c r="M1298">
        <v>31.399999618530298</v>
      </c>
      <c r="N1298">
        <v>15</v>
      </c>
      <c r="O1298">
        <v>16.399999618530298</v>
      </c>
      <c r="P1298">
        <v>21.799999237060501</v>
      </c>
      <c r="Q1298">
        <v>23.899999618530298</v>
      </c>
      <c r="R1298">
        <v>24.299999237060501</v>
      </c>
      <c r="S1298">
        <v>21.799999237060501</v>
      </c>
      <c r="T1298">
        <v>1087</v>
      </c>
      <c r="U1298">
        <v>154</v>
      </c>
      <c r="V1298">
        <v>17</v>
      </c>
      <c r="W1298">
        <v>49</v>
      </c>
      <c r="X1298">
        <v>433</v>
      </c>
      <c r="Y1298">
        <v>74</v>
      </c>
      <c r="Z1298">
        <v>112</v>
      </c>
      <c r="AA1298">
        <v>433</v>
      </c>
      <c r="AB1298">
        <v>1.1822803162691899</v>
      </c>
      <c r="AC1298">
        <v>109.365499430444</v>
      </c>
      <c r="AD1298">
        <v>2.65511736995296</v>
      </c>
      <c r="AE1298">
        <v>0.67157369852065996</v>
      </c>
      <c r="AF1298">
        <v>1013.9701754386</v>
      </c>
      <c r="AG1298">
        <f>IFERROR(AH1298*0.1, "N/A")</f>
        <v>5.6000000000000005</v>
      </c>
      <c r="AH1298">
        <v>56</v>
      </c>
      <c r="AI1298">
        <v>128.38304250616801</v>
      </c>
      <c r="AJ1298">
        <v>35.526315789473699</v>
      </c>
      <c r="AK1298">
        <v>42.947368421052602</v>
      </c>
    </row>
    <row r="1299" spans="1:37" x14ac:dyDescent="0.3">
      <c r="A1299">
        <v>1298</v>
      </c>
      <c r="B1299">
        <v>3.6</v>
      </c>
      <c r="C1299">
        <v>33.116698999999997</v>
      </c>
      <c r="D1299">
        <v>2.4500000000000002</v>
      </c>
      <c r="E1299" t="s">
        <v>2267</v>
      </c>
      <c r="F1299" t="s">
        <v>2268</v>
      </c>
      <c r="G1299" t="s">
        <v>37</v>
      </c>
      <c r="H1299">
        <v>1967</v>
      </c>
      <c r="I1299">
        <v>23.700000762939499</v>
      </c>
      <c r="J1299">
        <v>13.300000190734901</v>
      </c>
      <c r="K1299">
        <v>77.038732394366207</v>
      </c>
      <c r="L1299">
        <v>10.409859203956501</v>
      </c>
      <c r="M1299">
        <v>33.418663212950797</v>
      </c>
      <c r="N1299">
        <v>16.322534534293201</v>
      </c>
      <c r="O1299">
        <v>17.096127127257901</v>
      </c>
      <c r="P1299">
        <v>22.402112302645801</v>
      </c>
      <c r="Q1299">
        <v>24.718662450011301</v>
      </c>
      <c r="R1299">
        <v>25.142958291819401</v>
      </c>
      <c r="S1299">
        <v>22.402112302645801</v>
      </c>
      <c r="T1299">
        <v>1256.35211267606</v>
      </c>
      <c r="U1299">
        <v>190.20422535211301</v>
      </c>
      <c r="V1299">
        <v>13</v>
      </c>
      <c r="W1299">
        <v>54</v>
      </c>
      <c r="X1299">
        <v>493.80985915492897</v>
      </c>
      <c r="Y1299">
        <v>78.242957746478893</v>
      </c>
      <c r="Z1299">
        <v>117.05633802816899</v>
      </c>
      <c r="AA1299">
        <v>460.79225352112701</v>
      </c>
      <c r="AB1299">
        <v>6.1935214190415904</v>
      </c>
      <c r="AC1299">
        <v>2.2974365133412E-2</v>
      </c>
      <c r="AD1299">
        <v>1.90963071847046</v>
      </c>
      <c r="AE1299">
        <v>0.58492647678079701</v>
      </c>
      <c r="AF1299">
        <v>1027.7095070422499</v>
      </c>
      <c r="AG1299">
        <f>IFERROR(AH1299*0.1, "N/A")</f>
        <v>6.0225352112676003</v>
      </c>
      <c r="AH1299">
        <v>60.225352112675999</v>
      </c>
      <c r="AI1299">
        <v>272.45099548554799</v>
      </c>
      <c r="AJ1299">
        <v>46.549295774647902</v>
      </c>
      <c r="AK1299">
        <v>37.450704225352098</v>
      </c>
    </row>
    <row r="1300" spans="1:37" x14ac:dyDescent="0.3">
      <c r="A1300">
        <v>1299</v>
      </c>
      <c r="B1300">
        <v>0</v>
      </c>
      <c r="C1300">
        <v>33.116698999999997</v>
      </c>
      <c r="D1300">
        <v>2.4500000000000002</v>
      </c>
      <c r="E1300" t="s">
        <v>2267</v>
      </c>
      <c r="F1300" t="s">
        <v>2269</v>
      </c>
      <c r="G1300" t="s">
        <v>39</v>
      </c>
      <c r="H1300">
        <v>1967</v>
      </c>
      <c r="I1300">
        <v>23.700000762939499</v>
      </c>
      <c r="J1300">
        <v>13.300000190734901</v>
      </c>
      <c r="K1300">
        <v>77.038732394366207</v>
      </c>
      <c r="L1300">
        <v>10.409859203956501</v>
      </c>
      <c r="M1300">
        <v>33.418663212950797</v>
      </c>
      <c r="N1300">
        <v>16.322534534293201</v>
      </c>
      <c r="O1300">
        <v>17.096127127257901</v>
      </c>
      <c r="P1300">
        <v>22.402112302645801</v>
      </c>
      <c r="Q1300">
        <v>24.718662450011301</v>
      </c>
      <c r="R1300">
        <v>25.142958291819401</v>
      </c>
      <c r="S1300">
        <v>22.402112302645801</v>
      </c>
      <c r="T1300">
        <v>1256.35211267606</v>
      </c>
      <c r="U1300">
        <v>190.20422535211301</v>
      </c>
      <c r="V1300">
        <v>13</v>
      </c>
      <c r="W1300">
        <v>54</v>
      </c>
      <c r="X1300">
        <v>493.80985915492897</v>
      </c>
      <c r="Y1300">
        <v>78.242957746478893</v>
      </c>
      <c r="Z1300">
        <v>117.05633802816899</v>
      </c>
      <c r="AA1300">
        <v>460.79225352112701</v>
      </c>
      <c r="AB1300">
        <v>6.1935214190415904</v>
      </c>
      <c r="AC1300">
        <v>2.2974365133412E-2</v>
      </c>
      <c r="AD1300">
        <v>1.90963071847046</v>
      </c>
      <c r="AE1300">
        <v>0.58492647678079701</v>
      </c>
      <c r="AF1300">
        <v>1027.7095070422499</v>
      </c>
      <c r="AG1300">
        <f>IFERROR(AH1300*0.1, "N/A")</f>
        <v>6.0225352112676003</v>
      </c>
      <c r="AH1300">
        <v>60.225352112675999</v>
      </c>
      <c r="AI1300">
        <v>272.45099548554799</v>
      </c>
      <c r="AJ1300">
        <v>46.549295774647902</v>
      </c>
      <c r="AK1300">
        <v>37.450704225352098</v>
      </c>
    </row>
    <row r="1301" spans="1:37" x14ac:dyDescent="0.3">
      <c r="A1301">
        <v>1300</v>
      </c>
      <c r="B1301">
        <v>0</v>
      </c>
      <c r="C1301">
        <v>34.472301000000002</v>
      </c>
      <c r="D1301">
        <v>2.4525199999999998</v>
      </c>
      <c r="E1301" t="s">
        <v>2270</v>
      </c>
      <c r="F1301" t="s">
        <v>2271</v>
      </c>
      <c r="G1301" t="s">
        <v>37</v>
      </c>
      <c r="H1301">
        <v>2004</v>
      </c>
      <c r="I1301">
        <v>23.399999618530298</v>
      </c>
      <c r="J1301">
        <v>12.800000190734901</v>
      </c>
      <c r="K1301">
        <v>82</v>
      </c>
      <c r="L1301">
        <v>8.1599998474121094</v>
      </c>
      <c r="M1301">
        <v>31.899999618530298</v>
      </c>
      <c r="N1301">
        <v>16.299999237060501</v>
      </c>
      <c r="O1301">
        <v>15.6000003814697</v>
      </c>
      <c r="P1301">
        <v>23</v>
      </c>
      <c r="Q1301">
        <v>24.200000762939499</v>
      </c>
      <c r="R1301">
        <v>24.5</v>
      </c>
      <c r="S1301">
        <v>22.299999237060501</v>
      </c>
      <c r="T1301">
        <v>736</v>
      </c>
      <c r="U1301">
        <v>109</v>
      </c>
      <c r="V1301">
        <v>16</v>
      </c>
      <c r="W1301">
        <v>52</v>
      </c>
      <c r="X1301">
        <v>276</v>
      </c>
      <c r="Y1301">
        <v>61</v>
      </c>
      <c r="Z1301">
        <v>91</v>
      </c>
      <c r="AA1301">
        <v>258</v>
      </c>
      <c r="AB1301">
        <v>1.1736165936676199</v>
      </c>
      <c r="AC1301">
        <v>6.3383728632398995E-2</v>
      </c>
      <c r="AD1301">
        <v>1.0484019708549599</v>
      </c>
      <c r="AE1301">
        <v>0.299744963645935</v>
      </c>
      <c r="AF1301">
        <v>1194.9718804920899</v>
      </c>
      <c r="AG1301">
        <f>IFERROR(AH1301*0.1, "N/A")</f>
        <v>7.4</v>
      </c>
      <c r="AH1301">
        <v>74</v>
      </c>
      <c r="AI1301">
        <v>71.800714663755301</v>
      </c>
      <c r="AJ1301">
        <v>43.8066783831283</v>
      </c>
      <c r="AK1301">
        <v>35.289982425307599</v>
      </c>
    </row>
    <row r="1302" spans="1:37" x14ac:dyDescent="0.3">
      <c r="A1302">
        <v>1301</v>
      </c>
      <c r="B1302">
        <v>54</v>
      </c>
      <c r="C1302">
        <v>31.502500999999999</v>
      </c>
      <c r="D1302">
        <v>2.4536099999999998</v>
      </c>
      <c r="E1302" t="s">
        <v>2272</v>
      </c>
      <c r="F1302" t="s">
        <v>2273</v>
      </c>
      <c r="G1302" t="s">
        <v>37</v>
      </c>
      <c r="H1302">
        <v>1987</v>
      </c>
      <c r="I1302">
        <v>25.299999237060501</v>
      </c>
      <c r="J1302">
        <v>12.5</v>
      </c>
      <c r="K1302">
        <v>66</v>
      </c>
      <c r="L1302">
        <v>14.7600002288818</v>
      </c>
      <c r="M1302">
        <v>34.099998474121101</v>
      </c>
      <c r="N1302">
        <v>15.199999809265099</v>
      </c>
      <c r="O1302">
        <v>18.899999618530298</v>
      </c>
      <c r="P1302">
        <v>23.5</v>
      </c>
      <c r="Q1302">
        <v>26.100000381469702</v>
      </c>
      <c r="R1302">
        <v>26.600000381469702</v>
      </c>
      <c r="S1302">
        <v>23.5</v>
      </c>
      <c r="T1302">
        <v>1000</v>
      </c>
      <c r="U1302">
        <v>135</v>
      </c>
      <c r="V1302">
        <v>16</v>
      </c>
      <c r="W1302">
        <v>47</v>
      </c>
      <c r="X1302">
        <v>375</v>
      </c>
      <c r="Y1302">
        <v>68</v>
      </c>
      <c r="Z1302">
        <v>110</v>
      </c>
      <c r="AA1302">
        <v>375</v>
      </c>
      <c r="AB1302">
        <v>6.1611683180126899</v>
      </c>
      <c r="AC1302">
        <v>9.8159529713939993E-3</v>
      </c>
      <c r="AD1302">
        <v>0.62060951128575803</v>
      </c>
      <c r="AE1302">
        <v>0.32059895992279103</v>
      </c>
      <c r="AF1302">
        <v>621.48681898066798</v>
      </c>
      <c r="AG1302">
        <f>IFERROR(AH1302*0.1, "N/A")</f>
        <v>5.8000000000000007</v>
      </c>
      <c r="AH1302">
        <v>58</v>
      </c>
      <c r="AI1302">
        <v>166.32604672074899</v>
      </c>
      <c r="AJ1302">
        <v>37.992970123022801</v>
      </c>
      <c r="AK1302">
        <v>39.142355008787298</v>
      </c>
    </row>
    <row r="1303" spans="1:37" x14ac:dyDescent="0.3">
      <c r="A1303">
        <v>1302</v>
      </c>
      <c r="B1303">
        <v>64</v>
      </c>
      <c r="C1303">
        <v>31.478000999999999</v>
      </c>
      <c r="D1303">
        <v>2.4577100000000001</v>
      </c>
      <c r="E1303" t="s">
        <v>2274</v>
      </c>
      <c r="F1303" t="s">
        <v>2275</v>
      </c>
      <c r="G1303" t="s">
        <v>37</v>
      </c>
      <c r="H1303">
        <v>2005</v>
      </c>
      <c r="I1303">
        <v>25</v>
      </c>
      <c r="J1303">
        <v>12.5</v>
      </c>
      <c r="K1303">
        <v>65</v>
      </c>
      <c r="L1303">
        <v>15.0100002288818</v>
      </c>
      <c r="M1303">
        <v>33.799999237060497</v>
      </c>
      <c r="N1303">
        <v>14.800000190734901</v>
      </c>
      <c r="O1303">
        <v>19</v>
      </c>
      <c r="P1303">
        <v>23.200000762939499</v>
      </c>
      <c r="Q1303">
        <v>25.799999237060501</v>
      </c>
      <c r="R1303">
        <v>26.299999237060501</v>
      </c>
      <c r="S1303">
        <v>23.200000762939499</v>
      </c>
      <c r="T1303">
        <v>1001</v>
      </c>
      <c r="U1303">
        <v>137</v>
      </c>
      <c r="V1303">
        <v>16</v>
      </c>
      <c r="W1303">
        <v>48</v>
      </c>
      <c r="X1303">
        <v>381</v>
      </c>
      <c r="Y1303">
        <v>67</v>
      </c>
      <c r="Z1303">
        <v>109</v>
      </c>
      <c r="AA1303">
        <v>381</v>
      </c>
      <c r="AB1303">
        <v>38.742548133032201</v>
      </c>
      <c r="AC1303">
        <v>8.5401513297859999E-3</v>
      </c>
      <c r="AD1303">
        <v>1.75611805706326</v>
      </c>
      <c r="AE1303">
        <v>0.56092729635523597</v>
      </c>
      <c r="AF1303">
        <v>663.829525483304</v>
      </c>
      <c r="AG1303">
        <f>IFERROR(AH1303*0.1, "N/A")</f>
        <v>6.2</v>
      </c>
      <c r="AH1303">
        <v>62</v>
      </c>
      <c r="AI1303">
        <v>200.09719599236101</v>
      </c>
      <c r="AJ1303">
        <v>25.894551845342701</v>
      </c>
      <c r="AK1303">
        <v>53.994727592267097</v>
      </c>
    </row>
    <row r="1304" spans="1:37" x14ac:dyDescent="0.3">
      <c r="A1304">
        <v>1303</v>
      </c>
      <c r="B1304">
        <v>14</v>
      </c>
      <c r="C1304">
        <v>31.3673</v>
      </c>
      <c r="D1304">
        <v>2.4594499999999999</v>
      </c>
      <c r="E1304" t="s">
        <v>2276</v>
      </c>
      <c r="F1304" t="s">
        <v>2277</v>
      </c>
      <c r="G1304" t="s">
        <v>37</v>
      </c>
      <c r="H1304">
        <v>2005</v>
      </c>
      <c r="I1304">
        <v>24.5989477458753</v>
      </c>
      <c r="J1304">
        <v>12.300000190734901</v>
      </c>
      <c r="K1304">
        <v>66</v>
      </c>
      <c r="L1304">
        <v>14.3399475214774</v>
      </c>
      <c r="M1304">
        <v>33.198948107267697</v>
      </c>
      <c r="N1304">
        <v>14.6989471837094</v>
      </c>
      <c r="O1304">
        <v>18.5</v>
      </c>
      <c r="P1304">
        <v>22.799999237060501</v>
      </c>
      <c r="Q1304">
        <v>25.299823801140999</v>
      </c>
      <c r="R1304">
        <v>25.7989466215435</v>
      </c>
      <c r="S1304">
        <v>22.799999237060501</v>
      </c>
      <c r="T1304">
        <v>1000.02280701754</v>
      </c>
      <c r="U1304">
        <v>143.001754385965</v>
      </c>
      <c r="V1304">
        <v>15</v>
      </c>
      <c r="W1304">
        <v>49</v>
      </c>
      <c r="X1304">
        <v>391.00350877193</v>
      </c>
      <c r="Y1304">
        <v>64</v>
      </c>
      <c r="Z1304">
        <v>204.14912280701799</v>
      </c>
      <c r="AA1304">
        <v>391.00350877193</v>
      </c>
      <c r="AB1304">
        <v>43.305790737218999</v>
      </c>
      <c r="AC1304">
        <v>8.6300375397529994E-3</v>
      </c>
      <c r="AD1304">
        <v>1.24042411446571</v>
      </c>
      <c r="AE1304">
        <v>0.301777376156104</v>
      </c>
      <c r="AF1304">
        <v>758.60350877193002</v>
      </c>
      <c r="AG1304">
        <f>IFERROR(AH1304*0.1, "N/A")</f>
        <v>6.3000000000000007</v>
      </c>
      <c r="AH1304">
        <v>63</v>
      </c>
      <c r="AI1304">
        <v>262.06349696109203</v>
      </c>
      <c r="AJ1304">
        <v>23.4017543859649</v>
      </c>
      <c r="AK1304">
        <v>55.601754385964902</v>
      </c>
    </row>
    <row r="1305" spans="1:37" x14ac:dyDescent="0.3">
      <c r="A1305">
        <v>1304</v>
      </c>
      <c r="B1305">
        <v>25.799999</v>
      </c>
      <c r="C1305">
        <v>31.367100000000001</v>
      </c>
      <c r="D1305">
        <v>2.4602200000000001</v>
      </c>
      <c r="E1305" t="s">
        <v>2278</v>
      </c>
      <c r="F1305" t="s">
        <v>2279</v>
      </c>
      <c r="G1305" t="s">
        <v>37</v>
      </c>
      <c r="H1305">
        <v>2004</v>
      </c>
      <c r="I1305">
        <v>24.5952635212948</v>
      </c>
      <c r="J1305">
        <v>12.300000190734901</v>
      </c>
      <c r="K1305">
        <v>66</v>
      </c>
      <c r="L1305">
        <v>14.338579112605</v>
      </c>
      <c r="M1305">
        <v>33.195263812416499</v>
      </c>
      <c r="N1305">
        <v>14.695262994264301</v>
      </c>
      <c r="O1305">
        <v>18.5</v>
      </c>
      <c r="P1305">
        <v>22.799999237060501</v>
      </c>
      <c r="Q1305">
        <v>25.295262467233801</v>
      </c>
      <c r="R1305">
        <v>25.795262467233801</v>
      </c>
      <c r="S1305">
        <v>22.799999237060501</v>
      </c>
      <c r="T1305">
        <v>1000.14210526316</v>
      </c>
      <c r="U1305">
        <v>143.04736842105299</v>
      </c>
      <c r="V1305">
        <v>15</v>
      </c>
      <c r="W1305">
        <v>49</v>
      </c>
      <c r="X1305">
        <v>391.09473684210502</v>
      </c>
      <c r="Y1305">
        <v>64</v>
      </c>
      <c r="Z1305">
        <v>205</v>
      </c>
      <c r="AA1305">
        <v>391.09473684210502</v>
      </c>
      <c r="AB1305">
        <v>42.1806847287897</v>
      </c>
      <c r="AC1305">
        <v>8.5401359684109997E-3</v>
      </c>
      <c r="AD1305">
        <v>1.11052162772731</v>
      </c>
      <c r="AE1305">
        <v>0.32019027408800599</v>
      </c>
      <c r="AF1305">
        <v>758.17543859649095</v>
      </c>
      <c r="AG1305">
        <f>IFERROR(AH1305*0.1, "N/A")</f>
        <v>6.3000000000000007</v>
      </c>
      <c r="AH1305">
        <v>63</v>
      </c>
      <c r="AI1305">
        <v>152.60246129621501</v>
      </c>
      <c r="AJ1305">
        <v>24.052631578947398</v>
      </c>
      <c r="AK1305">
        <v>54.994736842105297</v>
      </c>
    </row>
    <row r="1306" spans="1:37" x14ac:dyDescent="0.3">
      <c r="A1306">
        <v>1305</v>
      </c>
      <c r="B1306">
        <v>66.699996999999996</v>
      </c>
      <c r="C1306">
        <v>31.493200000000002</v>
      </c>
      <c r="D1306">
        <v>2.4613499999999999</v>
      </c>
      <c r="E1306" t="s">
        <v>2280</v>
      </c>
      <c r="F1306" t="s">
        <v>2281</v>
      </c>
      <c r="G1306" t="s">
        <v>37</v>
      </c>
      <c r="H1306">
        <v>2005</v>
      </c>
      <c r="I1306">
        <v>25.200000762939499</v>
      </c>
      <c r="J1306">
        <v>12.5</v>
      </c>
      <c r="K1306">
        <v>65</v>
      </c>
      <c r="L1306">
        <v>15.2200002670288</v>
      </c>
      <c r="M1306">
        <v>34</v>
      </c>
      <c r="N1306">
        <v>14.8999996185303</v>
      </c>
      <c r="O1306">
        <v>19.100000381469702</v>
      </c>
      <c r="P1306">
        <v>23.399999618530298</v>
      </c>
      <c r="Q1306">
        <v>25.899999618530298</v>
      </c>
      <c r="R1306">
        <v>26.5</v>
      </c>
      <c r="S1306">
        <v>23.399999618530298</v>
      </c>
      <c r="T1306">
        <v>1000</v>
      </c>
      <c r="U1306">
        <v>136</v>
      </c>
      <c r="V1306">
        <v>16</v>
      </c>
      <c r="W1306">
        <v>48</v>
      </c>
      <c r="X1306">
        <v>378</v>
      </c>
      <c r="Y1306">
        <v>68</v>
      </c>
      <c r="Z1306">
        <v>210</v>
      </c>
      <c r="AA1306">
        <v>378</v>
      </c>
      <c r="AB1306">
        <v>40.963323974609402</v>
      </c>
      <c r="AC1306">
        <v>8.5401307677099997E-3</v>
      </c>
      <c r="AD1306">
        <v>1.1761152813309099</v>
      </c>
      <c r="AE1306">
        <v>0.53334438800811801</v>
      </c>
      <c r="AF1306">
        <v>656.35964912280701</v>
      </c>
      <c r="AG1306">
        <f>IFERROR(AH1306*0.1, "N/A")</f>
        <v>6.2482456140350902</v>
      </c>
      <c r="AH1306">
        <v>62.482456140350898</v>
      </c>
      <c r="AI1306">
        <v>123.956846163566</v>
      </c>
      <c r="AJ1306">
        <v>29.0350877192982</v>
      </c>
      <c r="AK1306">
        <v>51.482456140350898</v>
      </c>
    </row>
    <row r="1307" spans="1:37" x14ac:dyDescent="0.3">
      <c r="A1307">
        <v>1306</v>
      </c>
      <c r="B1307">
        <v>60.700001</v>
      </c>
      <c r="C1307">
        <v>31.4984</v>
      </c>
      <c r="D1307">
        <v>2.4613499999999999</v>
      </c>
      <c r="E1307" t="s">
        <v>2282</v>
      </c>
      <c r="F1307" t="s">
        <v>2283</v>
      </c>
      <c r="G1307" t="s">
        <v>37</v>
      </c>
      <c r="H1307">
        <v>1992</v>
      </c>
      <c r="I1307">
        <v>25.200000762939499</v>
      </c>
      <c r="J1307">
        <v>12.5</v>
      </c>
      <c r="K1307">
        <v>65</v>
      </c>
      <c r="L1307">
        <v>15.2200002670288</v>
      </c>
      <c r="M1307">
        <v>34</v>
      </c>
      <c r="N1307">
        <v>14.8999996185303</v>
      </c>
      <c r="O1307">
        <v>19.100000381469702</v>
      </c>
      <c r="P1307">
        <v>23.399999618530298</v>
      </c>
      <c r="Q1307">
        <v>25.899999618530298</v>
      </c>
      <c r="R1307">
        <v>26.5</v>
      </c>
      <c r="S1307">
        <v>23.399999618530298</v>
      </c>
      <c r="T1307">
        <v>1000</v>
      </c>
      <c r="U1307">
        <v>136</v>
      </c>
      <c r="V1307">
        <v>16</v>
      </c>
      <c r="W1307">
        <v>48</v>
      </c>
      <c r="X1307">
        <v>378</v>
      </c>
      <c r="Y1307">
        <v>68</v>
      </c>
      <c r="Z1307">
        <v>210</v>
      </c>
      <c r="AA1307">
        <v>378</v>
      </c>
      <c r="AB1307">
        <v>21.566194990990901</v>
      </c>
      <c r="AC1307">
        <v>1.1036014984506E-2</v>
      </c>
      <c r="AD1307">
        <v>1.1895361360109999</v>
      </c>
      <c r="AE1307">
        <v>0.49922385811805697</v>
      </c>
      <c r="AF1307">
        <v>641.71126760563402</v>
      </c>
      <c r="AG1307">
        <f>IFERROR(AH1307*0.1, "N/A")</f>
        <v>6.2468309859154907</v>
      </c>
      <c r="AH1307">
        <v>62.4683098591549</v>
      </c>
      <c r="AI1307">
        <v>53.544657230377197</v>
      </c>
      <c r="AJ1307">
        <v>33.014084507042298</v>
      </c>
      <c r="AK1307">
        <v>44.9683098591549</v>
      </c>
    </row>
    <row r="1308" spans="1:37" x14ac:dyDescent="0.3">
      <c r="A1308">
        <v>1307</v>
      </c>
      <c r="B1308">
        <v>40.799999</v>
      </c>
      <c r="C1308">
        <v>31.490601000000002</v>
      </c>
      <c r="D1308">
        <v>2.4613900000000002</v>
      </c>
      <c r="E1308" t="s">
        <v>2284</v>
      </c>
      <c r="F1308" t="s">
        <v>2285</v>
      </c>
      <c r="G1308" t="s">
        <v>37</v>
      </c>
      <c r="H1308">
        <v>2005</v>
      </c>
      <c r="I1308">
        <v>25.1007033718491</v>
      </c>
      <c r="J1308">
        <v>12.5</v>
      </c>
      <c r="K1308">
        <v>65</v>
      </c>
      <c r="L1308">
        <v>15.269648962573999</v>
      </c>
      <c r="M1308">
        <v>34</v>
      </c>
      <c r="N1308">
        <v>14.80070317441</v>
      </c>
      <c r="O1308">
        <v>19.199297772560101</v>
      </c>
      <c r="P1308">
        <v>23.300702227439899</v>
      </c>
      <c r="Q1308">
        <v>25.899999618530298</v>
      </c>
      <c r="R1308">
        <v>26.4007026089097</v>
      </c>
      <c r="S1308">
        <v>23.300702227439899</v>
      </c>
      <c r="T1308">
        <v>998.01405975395403</v>
      </c>
      <c r="U1308">
        <v>136</v>
      </c>
      <c r="V1308">
        <v>16</v>
      </c>
      <c r="W1308">
        <v>48</v>
      </c>
      <c r="X1308">
        <v>378</v>
      </c>
      <c r="Y1308">
        <v>67.0070298769771</v>
      </c>
      <c r="Z1308">
        <v>109.710017574692</v>
      </c>
      <c r="AA1308">
        <v>378</v>
      </c>
      <c r="AB1308">
        <v>30.737067948326299</v>
      </c>
      <c r="AC1308">
        <v>1.1106672091164E-2</v>
      </c>
      <c r="AD1308">
        <v>4.0307592796734601</v>
      </c>
      <c r="AE1308">
        <v>0.53334438800811801</v>
      </c>
      <c r="AF1308">
        <v>655.38488576449902</v>
      </c>
      <c r="AG1308">
        <f>IFERROR(AH1308*0.1, "N/A")</f>
        <v>6.1525483304042199</v>
      </c>
      <c r="AH1308">
        <v>61.525483304042197</v>
      </c>
      <c r="AI1308">
        <v>246.42717301782699</v>
      </c>
      <c r="AJ1308">
        <v>28.057996485061501</v>
      </c>
      <c r="AK1308">
        <v>49.963093145869898</v>
      </c>
    </row>
    <row r="1309" spans="1:37" x14ac:dyDescent="0.3">
      <c r="A1309">
        <v>1308</v>
      </c>
      <c r="B1309">
        <v>40.400002000000001</v>
      </c>
      <c r="C1309">
        <v>31.502700999999998</v>
      </c>
      <c r="D1309">
        <v>2.4623699999999999</v>
      </c>
      <c r="E1309" t="s">
        <v>2286</v>
      </c>
      <c r="F1309" t="s">
        <v>2287</v>
      </c>
      <c r="G1309" t="s">
        <v>37</v>
      </c>
      <c r="H1309">
        <v>2005</v>
      </c>
      <c r="I1309">
        <v>25.200000762939499</v>
      </c>
      <c r="J1309">
        <v>12.5</v>
      </c>
      <c r="K1309">
        <v>65</v>
      </c>
      <c r="L1309">
        <v>14.8699998855591</v>
      </c>
      <c r="M1309">
        <v>34.099998474121101</v>
      </c>
      <c r="N1309">
        <v>15.1000003814697</v>
      </c>
      <c r="O1309">
        <v>19</v>
      </c>
      <c r="P1309">
        <v>23.5</v>
      </c>
      <c r="Q1309">
        <v>26</v>
      </c>
      <c r="R1309">
        <v>26.5</v>
      </c>
      <c r="S1309">
        <v>23.5</v>
      </c>
      <c r="T1309">
        <v>1001</v>
      </c>
      <c r="U1309">
        <v>135</v>
      </c>
      <c r="V1309">
        <v>16</v>
      </c>
      <c r="W1309">
        <v>47</v>
      </c>
      <c r="X1309">
        <v>376</v>
      </c>
      <c r="Y1309">
        <v>68</v>
      </c>
      <c r="Z1309">
        <v>110</v>
      </c>
      <c r="AA1309">
        <v>376</v>
      </c>
      <c r="AB1309">
        <v>12.920005221777499</v>
      </c>
      <c r="AC1309">
        <v>1.6299784628704E-2</v>
      </c>
      <c r="AD1309">
        <v>2.0852478311015799</v>
      </c>
      <c r="AE1309">
        <v>0.49922385811805697</v>
      </c>
      <c r="AF1309">
        <v>635.05799648506195</v>
      </c>
      <c r="AG1309">
        <f>IFERROR(AH1309*0.1, "N/A")</f>
        <v>6.2</v>
      </c>
      <c r="AH1309">
        <v>62</v>
      </c>
      <c r="AI1309">
        <v>74.542534337102495</v>
      </c>
      <c r="AJ1309">
        <v>33.063268892794397</v>
      </c>
      <c r="AK1309">
        <v>47.873462214411298</v>
      </c>
    </row>
    <row r="1310" spans="1:37" x14ac:dyDescent="0.3">
      <c r="A1310">
        <v>1309</v>
      </c>
      <c r="B1310">
        <v>14.8</v>
      </c>
      <c r="C1310">
        <v>31.355699999999999</v>
      </c>
      <c r="D1310">
        <v>2.4647100000000002</v>
      </c>
      <c r="E1310" t="s">
        <v>2288</v>
      </c>
      <c r="F1310" t="s">
        <v>2289</v>
      </c>
      <c r="G1310" t="s">
        <v>37</v>
      </c>
      <c r="H1310">
        <v>2005</v>
      </c>
      <c r="I1310">
        <v>24.600000381469702</v>
      </c>
      <c r="J1310">
        <v>12.300000190734901</v>
      </c>
      <c r="K1310">
        <v>66</v>
      </c>
      <c r="L1310">
        <v>14.3800001144409</v>
      </c>
      <c r="M1310">
        <v>33.200000762939503</v>
      </c>
      <c r="N1310">
        <v>14.699999809265099</v>
      </c>
      <c r="O1310">
        <v>18.5</v>
      </c>
      <c r="P1310">
        <v>22.899999618530298</v>
      </c>
      <c r="Q1310">
        <v>25.200000762939499</v>
      </c>
      <c r="R1310">
        <v>25.899999618530298</v>
      </c>
      <c r="S1310">
        <v>22.899999618530298</v>
      </c>
      <c r="T1310">
        <v>994</v>
      </c>
      <c r="U1310">
        <v>143</v>
      </c>
      <c r="V1310">
        <v>15</v>
      </c>
      <c r="W1310">
        <v>49</v>
      </c>
      <c r="X1310">
        <v>390</v>
      </c>
      <c r="Y1310">
        <v>63</v>
      </c>
      <c r="Z1310">
        <v>204</v>
      </c>
      <c r="AA1310">
        <v>390</v>
      </c>
      <c r="AB1310">
        <v>34.906823730468801</v>
      </c>
      <c r="AC1310">
        <v>1.2720264221558E-2</v>
      </c>
      <c r="AD1310">
        <v>3.28546986663551</v>
      </c>
      <c r="AE1310">
        <v>0.34644496440887501</v>
      </c>
      <c r="AF1310">
        <v>756.80701754385996</v>
      </c>
      <c r="AG1310">
        <f>IFERROR(AH1310*0.1, "N/A")</f>
        <v>6.5957894736842109</v>
      </c>
      <c r="AH1310">
        <v>65.957894736842107</v>
      </c>
      <c r="AI1310">
        <v>191.609977186772</v>
      </c>
      <c r="AJ1310">
        <v>24.0421052631579</v>
      </c>
      <c r="AK1310">
        <v>56.9157894736842</v>
      </c>
    </row>
    <row r="1311" spans="1:37" x14ac:dyDescent="0.3">
      <c r="A1311">
        <v>1310</v>
      </c>
      <c r="B1311">
        <v>25.5</v>
      </c>
      <c r="C1311">
        <v>31.318999999999999</v>
      </c>
      <c r="D1311">
        <v>2.4666800000000002</v>
      </c>
      <c r="E1311" t="s">
        <v>2290</v>
      </c>
      <c r="F1311" t="s">
        <v>2291</v>
      </c>
      <c r="G1311" t="s">
        <v>37</v>
      </c>
      <c r="H1311">
        <v>2005</v>
      </c>
      <c r="I1311">
        <v>24.543585403522801</v>
      </c>
      <c r="J1311">
        <v>12.300000190734901</v>
      </c>
      <c r="K1311">
        <v>67</v>
      </c>
      <c r="L1311">
        <v>13.9258875620596</v>
      </c>
      <c r="M1311">
        <v>33.099998474121101</v>
      </c>
      <c r="N1311">
        <v>14.8564146306687</v>
      </c>
      <c r="O1311">
        <v>18.243585335139901</v>
      </c>
      <c r="P1311">
        <v>22.899999618530298</v>
      </c>
      <c r="Q1311">
        <v>25.200000762939499</v>
      </c>
      <c r="R1311">
        <v>25.799999237060501</v>
      </c>
      <c r="S1311">
        <v>22.899999618530298</v>
      </c>
      <c r="T1311">
        <v>994.82073813708303</v>
      </c>
      <c r="U1311">
        <v>143.56414762741699</v>
      </c>
      <c r="V1311">
        <v>15</v>
      </c>
      <c r="W1311">
        <v>49.435852372583497</v>
      </c>
      <c r="X1311">
        <v>391.12829525483301</v>
      </c>
      <c r="Y1311">
        <v>62.564147627416503</v>
      </c>
      <c r="Z1311">
        <v>203.12829525483301</v>
      </c>
      <c r="AA1311">
        <v>391.12829525483301</v>
      </c>
      <c r="AB1311">
        <v>24.226009107432201</v>
      </c>
      <c r="AC1311">
        <v>9.8158540515149995E-3</v>
      </c>
      <c r="AD1311">
        <v>1.80158860612209</v>
      </c>
      <c r="AE1311">
        <v>0.57445913553237904</v>
      </c>
      <c r="AF1311">
        <v>760.67311072056202</v>
      </c>
      <c r="AG1311">
        <f>IFERROR(AH1311*0.1, "N/A")</f>
        <v>6.3367311072056198</v>
      </c>
      <c r="AH1311">
        <v>63.367311072056197</v>
      </c>
      <c r="AI1311">
        <v>152.328109908816</v>
      </c>
      <c r="AJ1311">
        <v>25.736379613356799</v>
      </c>
      <c r="AK1311">
        <v>52.629173989455197</v>
      </c>
    </row>
    <row r="1312" spans="1:37" x14ac:dyDescent="0.3">
      <c r="A1312">
        <v>1311</v>
      </c>
      <c r="B1312">
        <v>0</v>
      </c>
      <c r="C1312">
        <v>32.631698999999998</v>
      </c>
      <c r="D1312">
        <v>2.4748800000000002</v>
      </c>
      <c r="E1312" t="s">
        <v>2292</v>
      </c>
      <c r="F1312" t="s">
        <v>2293</v>
      </c>
      <c r="G1312" t="s">
        <v>37</v>
      </c>
      <c r="H1312">
        <v>2004</v>
      </c>
      <c r="I1312">
        <v>23.299999237060501</v>
      </c>
      <c r="J1312">
        <v>13</v>
      </c>
      <c r="K1312">
        <v>76.466549295774598</v>
      </c>
      <c r="L1312">
        <v>10.4473412339117</v>
      </c>
      <c r="M1312">
        <v>32.953345782320298</v>
      </c>
      <c r="N1312">
        <v>16.100000381469702</v>
      </c>
      <c r="O1312">
        <v>16.853344510978399</v>
      </c>
      <c r="P1312">
        <v>22.299999237060501</v>
      </c>
      <c r="Q1312">
        <v>24.353344510978399</v>
      </c>
      <c r="R1312">
        <v>24.799999237060501</v>
      </c>
      <c r="S1312">
        <v>22.053345273917799</v>
      </c>
      <c r="T1312">
        <v>1351.4665492957699</v>
      </c>
      <c r="U1312">
        <v>202</v>
      </c>
      <c r="V1312">
        <v>19</v>
      </c>
      <c r="W1312">
        <v>49</v>
      </c>
      <c r="X1312">
        <v>514</v>
      </c>
      <c r="Y1312">
        <v>92.466549295774598</v>
      </c>
      <c r="Z1312">
        <v>155.933098591549</v>
      </c>
      <c r="AA1312">
        <v>447.533450704225</v>
      </c>
      <c r="AB1312">
        <v>14.4179902412522</v>
      </c>
      <c r="AC1312">
        <v>1.0705127643133E-2</v>
      </c>
      <c r="AD1312">
        <v>1.7952162564640299</v>
      </c>
      <c r="AE1312">
        <v>0.67289638519287098</v>
      </c>
      <c r="AF1312">
        <v>1089.25</v>
      </c>
      <c r="AG1312">
        <f>IFERROR(AH1312*0.1, "N/A")</f>
        <v>6.1000000000000005</v>
      </c>
      <c r="AH1312">
        <v>61</v>
      </c>
      <c r="AI1312">
        <v>210.63830675205699</v>
      </c>
      <c r="AJ1312">
        <v>42.838028169014102</v>
      </c>
      <c r="AK1312">
        <v>38</v>
      </c>
    </row>
    <row r="1313" spans="1:37" x14ac:dyDescent="0.3">
      <c r="A1313">
        <v>1312</v>
      </c>
      <c r="B1313">
        <v>20</v>
      </c>
      <c r="C1313">
        <v>31.507601000000001</v>
      </c>
      <c r="D1313">
        <v>2.4750000000000001</v>
      </c>
      <c r="E1313" t="s">
        <v>2294</v>
      </c>
      <c r="F1313" t="s">
        <v>2295</v>
      </c>
      <c r="G1313" t="s">
        <v>37</v>
      </c>
      <c r="H1313">
        <v>2005</v>
      </c>
      <c r="I1313">
        <v>25.200000762939499</v>
      </c>
      <c r="J1313">
        <v>12.5635565804764</v>
      </c>
      <c r="K1313">
        <v>65</v>
      </c>
      <c r="L1313">
        <v>15.130176344388</v>
      </c>
      <c r="M1313">
        <v>34.099998474121101</v>
      </c>
      <c r="N1313">
        <v>14.9635561990066</v>
      </c>
      <c r="O1313">
        <v>19.136444182463102</v>
      </c>
      <c r="P1313">
        <v>23.4635561990066</v>
      </c>
      <c r="Q1313">
        <v>26</v>
      </c>
      <c r="R1313">
        <v>26.5</v>
      </c>
      <c r="S1313">
        <v>23.4635561990066</v>
      </c>
      <c r="T1313">
        <v>999.36443661971896</v>
      </c>
      <c r="U1313">
        <v>136</v>
      </c>
      <c r="V1313">
        <v>16</v>
      </c>
      <c r="W1313">
        <v>48</v>
      </c>
      <c r="X1313">
        <v>378</v>
      </c>
      <c r="Y1313">
        <v>67</v>
      </c>
      <c r="Z1313">
        <v>174.191901408451</v>
      </c>
      <c r="AA1313">
        <v>378</v>
      </c>
      <c r="AB1313">
        <v>7.5625040833379202</v>
      </c>
      <c r="AC1313">
        <v>7.0395318932280002E-2</v>
      </c>
      <c r="AD1313">
        <v>0.81641933300965297</v>
      </c>
      <c r="AE1313">
        <v>0.497748583555222</v>
      </c>
      <c r="AF1313">
        <v>627.73239436619701</v>
      </c>
      <c r="AG1313">
        <f>IFERROR(AH1313*0.1, "N/A")</f>
        <v>6.2</v>
      </c>
      <c r="AH1313">
        <v>62</v>
      </c>
      <c r="AI1313">
        <v>137.57155718937699</v>
      </c>
      <c r="AJ1313">
        <v>32</v>
      </c>
      <c r="AK1313">
        <v>49</v>
      </c>
    </row>
    <row r="1314" spans="1:37" x14ac:dyDescent="0.3">
      <c r="A1314">
        <v>1313</v>
      </c>
      <c r="B1314">
        <v>76.599997999999999</v>
      </c>
      <c r="C1314">
        <v>31.507601000000001</v>
      </c>
      <c r="D1314">
        <v>2.4750800000000002</v>
      </c>
      <c r="E1314" t="s">
        <v>2296</v>
      </c>
      <c r="F1314" t="s">
        <v>2297</v>
      </c>
      <c r="G1314" t="s">
        <v>37</v>
      </c>
      <c r="H1314">
        <v>2004</v>
      </c>
      <c r="I1314">
        <v>25.200000762939499</v>
      </c>
      <c r="J1314">
        <v>12.570070689832701</v>
      </c>
      <c r="K1314">
        <v>65</v>
      </c>
      <c r="L1314">
        <v>15.115845341078</v>
      </c>
      <c r="M1314">
        <v>34.099998474121101</v>
      </c>
      <c r="N1314">
        <v>14.970070308362899</v>
      </c>
      <c r="O1314">
        <v>19.129930073106799</v>
      </c>
      <c r="P1314">
        <v>23.470070308362899</v>
      </c>
      <c r="Q1314">
        <v>26</v>
      </c>
      <c r="R1314">
        <v>26.5</v>
      </c>
      <c r="S1314">
        <v>23.470070308362899</v>
      </c>
      <c r="T1314">
        <v>999.29929577464804</v>
      </c>
      <c r="U1314">
        <v>136</v>
      </c>
      <c r="V1314">
        <v>16</v>
      </c>
      <c r="W1314">
        <v>48</v>
      </c>
      <c r="X1314">
        <v>378</v>
      </c>
      <c r="Y1314">
        <v>67</v>
      </c>
      <c r="Z1314">
        <v>180.77112676056299</v>
      </c>
      <c r="AA1314">
        <v>378</v>
      </c>
      <c r="AB1314">
        <v>7.4815176305636601</v>
      </c>
      <c r="AC1314">
        <v>7.6725184012362002E-2</v>
      </c>
      <c r="AD1314">
        <v>0.85111967484716</v>
      </c>
      <c r="AE1314">
        <v>0.497748583555222</v>
      </c>
      <c r="AF1314">
        <v>627.73239436619701</v>
      </c>
      <c r="AG1314">
        <f>IFERROR(AH1314*0.1, "N/A")</f>
        <v>6.2</v>
      </c>
      <c r="AH1314">
        <v>62</v>
      </c>
      <c r="AI1314">
        <v>132.66162301117299</v>
      </c>
      <c r="AJ1314">
        <v>32</v>
      </c>
      <c r="AK1314">
        <v>49</v>
      </c>
    </row>
    <row r="1315" spans="1:37" x14ac:dyDescent="0.3">
      <c r="A1315">
        <v>1314</v>
      </c>
      <c r="B1315">
        <v>40.5</v>
      </c>
      <c r="C1315">
        <v>31.401399999999999</v>
      </c>
      <c r="D1315">
        <v>2.4752700000000001</v>
      </c>
      <c r="E1315" t="s">
        <v>2298</v>
      </c>
      <c r="F1315" t="s">
        <v>2299</v>
      </c>
      <c r="G1315" t="s">
        <v>37</v>
      </c>
      <c r="H1315">
        <v>1958</v>
      </c>
      <c r="I1315">
        <v>24.7312835364853</v>
      </c>
      <c r="J1315">
        <v>12.5</v>
      </c>
      <c r="K1315">
        <v>64.843585237258395</v>
      </c>
      <c r="L1315">
        <v>15.447030002077801</v>
      </c>
      <c r="M1315">
        <v>33.431284001087299</v>
      </c>
      <c r="N1315">
        <v>14.300000190734901</v>
      </c>
      <c r="O1315">
        <v>19.131283155015598</v>
      </c>
      <c r="P1315">
        <v>22.815640773002201</v>
      </c>
      <c r="Q1315">
        <v>25.4312826904136</v>
      </c>
      <c r="R1315">
        <v>25.9469242263553</v>
      </c>
      <c r="S1315">
        <v>22.815640773002201</v>
      </c>
      <c r="T1315">
        <v>989.34094903339201</v>
      </c>
      <c r="U1315">
        <v>141.53075571177499</v>
      </c>
      <c r="V1315">
        <v>14.843585237258401</v>
      </c>
      <c r="W1315">
        <v>49</v>
      </c>
      <c r="X1315">
        <v>386.74868189806699</v>
      </c>
      <c r="Y1315">
        <v>61.687170474516698</v>
      </c>
      <c r="Z1315">
        <v>202.68717047451699</v>
      </c>
      <c r="AA1315">
        <v>386.74868189806699</v>
      </c>
      <c r="AB1315">
        <v>10.865906727125401</v>
      </c>
      <c r="AC1315">
        <v>6.6128903505619993E-2</v>
      </c>
      <c r="AD1315">
        <v>1.80244414835697</v>
      </c>
      <c r="AE1315">
        <v>0.28792461752891502</v>
      </c>
      <c r="AF1315">
        <v>691.55536028119502</v>
      </c>
      <c r="AG1315">
        <f>IFERROR(AH1315*0.1, "N/A")</f>
        <v>6.3000000000000007</v>
      </c>
      <c r="AH1315">
        <v>63</v>
      </c>
      <c r="AI1315">
        <v>178.079178124614</v>
      </c>
      <c r="AJ1315">
        <v>29</v>
      </c>
      <c r="AK1315">
        <v>51</v>
      </c>
    </row>
    <row r="1316" spans="1:37" x14ac:dyDescent="0.3">
      <c r="A1316">
        <v>1315</v>
      </c>
      <c r="B1316">
        <v>21.6</v>
      </c>
      <c r="C1316">
        <v>31.477900000000002</v>
      </c>
      <c r="D1316">
        <v>2.4757199999999999</v>
      </c>
      <c r="E1316" t="s">
        <v>2300</v>
      </c>
      <c r="F1316" t="s">
        <v>2301</v>
      </c>
      <c r="G1316" t="s">
        <v>37</v>
      </c>
      <c r="H1316">
        <v>2005</v>
      </c>
      <c r="I1316">
        <v>25.100000381469702</v>
      </c>
      <c r="J1316">
        <v>12.5</v>
      </c>
      <c r="K1316">
        <v>64</v>
      </c>
      <c r="L1316">
        <v>15.9700002670288</v>
      </c>
      <c r="M1316">
        <v>34</v>
      </c>
      <c r="N1316">
        <v>14.5</v>
      </c>
      <c r="O1316">
        <v>19.5</v>
      </c>
      <c r="P1316">
        <v>23.200000762939499</v>
      </c>
      <c r="Q1316">
        <v>25.799999237060501</v>
      </c>
      <c r="R1316">
        <v>26.399999618530298</v>
      </c>
      <c r="S1316">
        <v>23.200000762939499</v>
      </c>
      <c r="T1316">
        <v>991</v>
      </c>
      <c r="U1316">
        <v>137</v>
      </c>
      <c r="V1316">
        <v>15</v>
      </c>
      <c r="W1316">
        <v>49</v>
      </c>
      <c r="X1316">
        <v>379</v>
      </c>
      <c r="Y1316">
        <v>64</v>
      </c>
      <c r="Z1316">
        <v>207</v>
      </c>
      <c r="AA1316">
        <v>379</v>
      </c>
      <c r="AB1316">
        <v>36.036814371744804</v>
      </c>
      <c r="AC1316">
        <v>1.295988418554E-2</v>
      </c>
      <c r="AD1316">
        <v>2.1121667098580699</v>
      </c>
      <c r="AE1316">
        <v>0.62574636298313502</v>
      </c>
      <c r="AF1316">
        <v>665.13859649122799</v>
      </c>
      <c r="AG1316">
        <f>IFERROR(AH1316*0.1, "N/A")</f>
        <v>6.4</v>
      </c>
      <c r="AH1316">
        <v>64</v>
      </c>
      <c r="AI1316">
        <v>162.172187644557</v>
      </c>
      <c r="AJ1316">
        <v>23</v>
      </c>
      <c r="AK1316">
        <v>57</v>
      </c>
    </row>
    <row r="1317" spans="1:37" x14ac:dyDescent="0.3">
      <c r="A1317">
        <v>1316</v>
      </c>
      <c r="B1317">
        <v>13.8</v>
      </c>
      <c r="C1317">
        <v>31.0868</v>
      </c>
      <c r="D1317">
        <v>2.4773700000000001</v>
      </c>
      <c r="E1317" t="s">
        <v>2302</v>
      </c>
      <c r="F1317" t="s">
        <v>2303</v>
      </c>
      <c r="G1317" t="s">
        <v>37</v>
      </c>
      <c r="H1317">
        <v>2004</v>
      </c>
      <c r="I1317">
        <v>23.200000762939499</v>
      </c>
      <c r="J1317">
        <v>11.800000190734901</v>
      </c>
      <c r="K1317">
        <v>71</v>
      </c>
      <c r="L1317">
        <v>10.920000076293899</v>
      </c>
      <c r="M1317">
        <v>31.5</v>
      </c>
      <c r="N1317">
        <v>15</v>
      </c>
      <c r="O1317">
        <v>16.5</v>
      </c>
      <c r="P1317">
        <v>21.799999237060501</v>
      </c>
      <c r="Q1317">
        <v>23.899999618530298</v>
      </c>
      <c r="R1317">
        <v>24.299999237060501</v>
      </c>
      <c r="S1317">
        <v>21.799999237060501</v>
      </c>
      <c r="T1317">
        <v>1098</v>
      </c>
      <c r="U1317">
        <v>155</v>
      </c>
      <c r="V1317">
        <v>17</v>
      </c>
      <c r="W1317">
        <v>49</v>
      </c>
      <c r="X1317">
        <v>438</v>
      </c>
      <c r="Y1317">
        <v>75</v>
      </c>
      <c r="Z1317">
        <v>209</v>
      </c>
      <c r="AA1317">
        <v>438</v>
      </c>
      <c r="AB1317">
        <v>8.4164798134251608</v>
      </c>
      <c r="AC1317">
        <v>0.29450535559209801</v>
      </c>
      <c r="AD1317">
        <v>1.82028255849554</v>
      </c>
      <c r="AE1317">
        <v>0.55018278130313802</v>
      </c>
      <c r="AF1317">
        <v>1018.64561403509</v>
      </c>
      <c r="AG1317">
        <f>IFERROR(AH1317*0.1, "N/A")</f>
        <v>5.7714035087719306</v>
      </c>
      <c r="AH1317">
        <v>57.714035087719303</v>
      </c>
      <c r="AI1317">
        <v>218.11448705572801</v>
      </c>
      <c r="AJ1317">
        <v>31.238596491228101</v>
      </c>
      <c r="AK1317">
        <v>46.966666666666697</v>
      </c>
    </row>
    <row r="1318" spans="1:37" x14ac:dyDescent="0.3">
      <c r="A1318">
        <v>1317</v>
      </c>
      <c r="B1318">
        <v>0</v>
      </c>
      <c r="C1318">
        <v>34.611401000000001</v>
      </c>
      <c r="D1318">
        <v>2.48088</v>
      </c>
      <c r="E1318" t="s">
        <v>2304</v>
      </c>
      <c r="F1318" t="s">
        <v>2305</v>
      </c>
      <c r="G1318" t="s">
        <v>37</v>
      </c>
      <c r="H1318">
        <v>2004</v>
      </c>
      <c r="I1318">
        <v>22.399999618530298</v>
      </c>
      <c r="J1318">
        <v>13</v>
      </c>
      <c r="K1318">
        <v>81</v>
      </c>
      <c r="L1318">
        <v>8.8900003433227504</v>
      </c>
      <c r="M1318">
        <v>31.100000381469702</v>
      </c>
      <c r="N1318">
        <v>15.1000003814697</v>
      </c>
      <c r="O1318">
        <v>16</v>
      </c>
      <c r="P1318">
        <v>21.899999618530298</v>
      </c>
      <c r="Q1318">
        <v>23.200000762939499</v>
      </c>
      <c r="R1318">
        <v>23.600000381469702</v>
      </c>
      <c r="S1318">
        <v>21.200000762939499</v>
      </c>
      <c r="T1318">
        <v>764</v>
      </c>
      <c r="U1318">
        <v>116</v>
      </c>
      <c r="V1318">
        <v>13</v>
      </c>
      <c r="W1318">
        <v>55</v>
      </c>
      <c r="X1318">
        <v>292</v>
      </c>
      <c r="Y1318">
        <v>61</v>
      </c>
      <c r="Z1318">
        <v>99</v>
      </c>
      <c r="AA1318">
        <v>269</v>
      </c>
      <c r="AB1318">
        <v>7.81395821646508</v>
      </c>
      <c r="AC1318">
        <v>2.7639094358490001E-2</v>
      </c>
      <c r="AD1318">
        <v>1.3852312675499501</v>
      </c>
      <c r="AE1318">
        <v>0.36450967192649802</v>
      </c>
      <c r="AF1318">
        <v>1285.9089316987699</v>
      </c>
      <c r="AG1318">
        <f>IFERROR(AH1318*0.1, "N/A")</f>
        <v>7.0915936952714507</v>
      </c>
      <c r="AH1318">
        <v>70.915936952714503</v>
      </c>
      <c r="AI1318">
        <v>248.738127860422</v>
      </c>
      <c r="AJ1318">
        <v>33.021015761821403</v>
      </c>
      <c r="AK1318">
        <v>46.957968476357301</v>
      </c>
    </row>
    <row r="1319" spans="1:37" x14ac:dyDescent="0.3">
      <c r="A1319">
        <v>1318</v>
      </c>
      <c r="B1319">
        <v>29</v>
      </c>
      <c r="C1319">
        <v>31.5215</v>
      </c>
      <c r="D1319">
        <v>2.4815800000000001</v>
      </c>
      <c r="E1319" t="s">
        <v>2306</v>
      </c>
      <c r="F1319" t="s">
        <v>2307</v>
      </c>
      <c r="G1319" t="s">
        <v>37</v>
      </c>
      <c r="H1319">
        <v>1973</v>
      </c>
      <c r="I1319">
        <v>25.299999237060501</v>
      </c>
      <c r="J1319">
        <v>12.6000003814697</v>
      </c>
      <c r="K1319">
        <v>66</v>
      </c>
      <c r="L1319">
        <v>14.949999809265099</v>
      </c>
      <c r="M1319">
        <v>34.099998474121101</v>
      </c>
      <c r="N1319">
        <v>15.1000003814697</v>
      </c>
      <c r="O1319">
        <v>19</v>
      </c>
      <c r="P1319">
        <v>23.5</v>
      </c>
      <c r="Q1319">
        <v>26</v>
      </c>
      <c r="R1319">
        <v>26.600000381469702</v>
      </c>
      <c r="S1319">
        <v>23.5</v>
      </c>
      <c r="T1319">
        <v>1009</v>
      </c>
      <c r="U1319">
        <v>137</v>
      </c>
      <c r="V1319">
        <v>16</v>
      </c>
      <c r="W1319">
        <v>47</v>
      </c>
      <c r="X1319">
        <v>380</v>
      </c>
      <c r="Y1319">
        <v>69</v>
      </c>
      <c r="Z1319">
        <v>112</v>
      </c>
      <c r="AA1319">
        <v>380</v>
      </c>
      <c r="AB1319">
        <v>9.9524566114994499</v>
      </c>
      <c r="AC1319">
        <v>8.5400007991939999E-3</v>
      </c>
      <c r="AD1319">
        <v>1.6650033302474401</v>
      </c>
      <c r="AE1319">
        <v>0.48876509070396401</v>
      </c>
      <c r="AF1319">
        <v>627.60701754386002</v>
      </c>
      <c r="AG1319">
        <f>IFERROR(AH1319*0.1, "N/A")</f>
        <v>6.3092982456140305</v>
      </c>
      <c r="AH1319">
        <v>63.092982456140298</v>
      </c>
      <c r="AI1319">
        <v>248.30951907509299</v>
      </c>
      <c r="AJ1319">
        <v>33.907017543859602</v>
      </c>
      <c r="AK1319">
        <v>41.2789473684211</v>
      </c>
    </row>
    <row r="1320" spans="1:37" x14ac:dyDescent="0.3">
      <c r="A1320">
        <v>1319</v>
      </c>
      <c r="B1320">
        <v>10.4</v>
      </c>
      <c r="C1320">
        <v>31.463200000000001</v>
      </c>
      <c r="D1320">
        <v>2.4828800000000002</v>
      </c>
      <c r="E1320" t="s">
        <v>2308</v>
      </c>
      <c r="F1320" t="s">
        <v>2309</v>
      </c>
      <c r="G1320" t="s">
        <v>37</v>
      </c>
      <c r="H1320">
        <v>2005</v>
      </c>
      <c r="I1320">
        <v>24.908069824754101</v>
      </c>
      <c r="J1320">
        <v>12.5</v>
      </c>
      <c r="K1320">
        <v>64</v>
      </c>
      <c r="L1320">
        <v>15.836140545627501</v>
      </c>
      <c r="M1320">
        <v>33.808071350633</v>
      </c>
      <c r="N1320">
        <v>14.3999996185303</v>
      </c>
      <c r="O1320">
        <v>19.4080698247542</v>
      </c>
      <c r="P1320">
        <v>23.054035293846798</v>
      </c>
      <c r="Q1320">
        <v>25.708069938525799</v>
      </c>
      <c r="R1320">
        <v>26.254035026148699</v>
      </c>
      <c r="S1320">
        <v>23.054035293846798</v>
      </c>
      <c r="T1320">
        <v>997.35438596491201</v>
      </c>
      <c r="U1320">
        <v>139.838596491228</v>
      </c>
      <c r="V1320">
        <v>15</v>
      </c>
      <c r="W1320">
        <v>49</v>
      </c>
      <c r="X1320">
        <v>384.59649122807002</v>
      </c>
      <c r="Y1320">
        <v>63.459649122807001</v>
      </c>
      <c r="Z1320">
        <v>153.42456140350899</v>
      </c>
      <c r="AA1320">
        <v>384.59649122807002</v>
      </c>
      <c r="AB1320">
        <v>15.5184457879317</v>
      </c>
      <c r="AC1320">
        <v>4.007799815746E-2</v>
      </c>
      <c r="AD1320">
        <v>2.8768864435062098</v>
      </c>
      <c r="AE1320">
        <v>0.62065154314041104</v>
      </c>
      <c r="AF1320">
        <v>678.73684210526301</v>
      </c>
      <c r="AG1320">
        <f>IFERROR(AH1320*0.1, "N/A")</f>
        <v>6.2917543859649108</v>
      </c>
      <c r="AH1320">
        <v>62.917543859649101</v>
      </c>
      <c r="AI1320">
        <v>210.027708515368</v>
      </c>
      <c r="AJ1320">
        <v>25.349122807017501</v>
      </c>
      <c r="AK1320">
        <v>54.001754385964901</v>
      </c>
    </row>
    <row r="1321" spans="1:37" x14ac:dyDescent="0.3">
      <c r="A1321">
        <v>1320</v>
      </c>
      <c r="B1321">
        <v>10.4</v>
      </c>
      <c r="C1321">
        <v>31.516999999999999</v>
      </c>
      <c r="D1321">
        <v>2.4841000000000002</v>
      </c>
      <c r="E1321" t="s">
        <v>2310</v>
      </c>
      <c r="F1321" t="s">
        <v>2311</v>
      </c>
      <c r="G1321" t="s">
        <v>37</v>
      </c>
      <c r="H1321">
        <v>2005</v>
      </c>
      <c r="I1321">
        <v>25.299999237060501</v>
      </c>
      <c r="J1321">
        <v>12.6000003814697</v>
      </c>
      <c r="K1321">
        <v>65</v>
      </c>
      <c r="L1321">
        <v>15.2367539907757</v>
      </c>
      <c r="M1321">
        <v>34.109647817778999</v>
      </c>
      <c r="N1321">
        <v>15</v>
      </c>
      <c r="O1321">
        <v>19.109649541085201</v>
      </c>
      <c r="P1321">
        <v>23.5</v>
      </c>
      <c r="Q1321">
        <v>26.009649159615499</v>
      </c>
      <c r="R1321">
        <v>26.600000381469702</v>
      </c>
      <c r="S1321">
        <v>23.5</v>
      </c>
      <c r="T1321">
        <v>1009.13157894737</v>
      </c>
      <c r="U1321">
        <v>137.90350877193001</v>
      </c>
      <c r="V1321">
        <v>16</v>
      </c>
      <c r="W1321">
        <v>48</v>
      </c>
      <c r="X1321">
        <v>381.80701754386001</v>
      </c>
      <c r="Y1321">
        <v>67.903508771929793</v>
      </c>
      <c r="Z1321">
        <v>121.649122807018</v>
      </c>
      <c r="AA1321">
        <v>381.80701754386001</v>
      </c>
      <c r="AB1321">
        <v>1.5273644162897499</v>
      </c>
      <c r="AC1321">
        <v>0.131516035283475</v>
      </c>
      <c r="AD1321">
        <v>1.6046005401695</v>
      </c>
      <c r="AE1321">
        <v>0.48876509070396401</v>
      </c>
      <c r="AF1321">
        <v>622.76491228070199</v>
      </c>
      <c r="AG1321">
        <f>IFERROR(AH1321*0.1, "N/A")</f>
        <v>6.2928070175438604</v>
      </c>
      <c r="AH1321">
        <v>62.928070175438599</v>
      </c>
      <c r="AI1321">
        <v>259.45023623014799</v>
      </c>
      <c r="AJ1321">
        <v>33.856140350877197</v>
      </c>
      <c r="AK1321">
        <v>45</v>
      </c>
    </row>
    <row r="1322" spans="1:37" x14ac:dyDescent="0.3">
      <c r="A1322">
        <v>1321</v>
      </c>
      <c r="B1322">
        <v>39.200001</v>
      </c>
      <c r="C1322">
        <v>31.476299000000001</v>
      </c>
      <c r="D1322">
        <v>2.4847800000000002</v>
      </c>
      <c r="E1322" t="s">
        <v>2312</v>
      </c>
      <c r="F1322" t="s">
        <v>2313</v>
      </c>
      <c r="G1322" t="s">
        <v>37</v>
      </c>
      <c r="H1322">
        <v>2005</v>
      </c>
      <c r="I1322">
        <v>25.200000762939499</v>
      </c>
      <c r="J1322">
        <v>12.6000003814697</v>
      </c>
      <c r="K1322">
        <v>64</v>
      </c>
      <c r="L1322">
        <v>16.2299995422363</v>
      </c>
      <c r="M1322">
        <v>34</v>
      </c>
      <c r="N1322">
        <v>14.5</v>
      </c>
      <c r="O1322">
        <v>19.5</v>
      </c>
      <c r="P1322">
        <v>23.299999237060501</v>
      </c>
      <c r="Q1322">
        <v>25.899999618530298</v>
      </c>
      <c r="R1322">
        <v>26.5</v>
      </c>
      <c r="S1322">
        <v>23.299999237060501</v>
      </c>
      <c r="T1322">
        <v>987</v>
      </c>
      <c r="U1322">
        <v>137</v>
      </c>
      <c r="V1322">
        <v>15</v>
      </c>
      <c r="W1322">
        <v>49</v>
      </c>
      <c r="X1322">
        <v>378</v>
      </c>
      <c r="Y1322">
        <v>63</v>
      </c>
      <c r="Z1322">
        <v>205</v>
      </c>
      <c r="AA1322">
        <v>378</v>
      </c>
      <c r="AB1322">
        <v>20.862560413005301</v>
      </c>
      <c r="AC1322">
        <v>4.7923029713031001E-2</v>
      </c>
      <c r="AD1322">
        <v>2.1412396952640802</v>
      </c>
      <c r="AE1322">
        <v>0.66321444511413596</v>
      </c>
      <c r="AF1322">
        <v>656.52372583479803</v>
      </c>
      <c r="AG1322">
        <f>IFERROR(AH1322*0.1, "N/A")</f>
        <v>6.2569420035149399</v>
      </c>
      <c r="AH1322">
        <v>62.569420035149399</v>
      </c>
      <c r="AI1322">
        <v>63.287659227743298</v>
      </c>
      <c r="AJ1322">
        <v>22.572934973637999</v>
      </c>
      <c r="AK1322">
        <v>57.998242530755697</v>
      </c>
    </row>
    <row r="1323" spans="1:37" x14ac:dyDescent="0.3">
      <c r="A1323">
        <v>1322</v>
      </c>
      <c r="B1323">
        <v>28.299999</v>
      </c>
      <c r="C1323">
        <v>31.459900000000001</v>
      </c>
      <c r="D1323">
        <v>2.4898600000000002</v>
      </c>
      <c r="E1323" t="s">
        <v>2314</v>
      </c>
      <c r="F1323" t="s">
        <v>2315</v>
      </c>
      <c r="G1323" t="s">
        <v>37</v>
      </c>
      <c r="H1323">
        <v>2005</v>
      </c>
      <c r="I1323">
        <v>24.799999237060501</v>
      </c>
      <c r="J1323">
        <v>12.5</v>
      </c>
      <c r="K1323">
        <v>64</v>
      </c>
      <c r="L1323">
        <v>15.6199998855591</v>
      </c>
      <c r="M1323">
        <v>33.700000762939503</v>
      </c>
      <c r="N1323">
        <v>14.3999996185303</v>
      </c>
      <c r="O1323">
        <v>19.299999237060501</v>
      </c>
      <c r="P1323">
        <v>23</v>
      </c>
      <c r="Q1323">
        <v>25.600000381469702</v>
      </c>
      <c r="R1323">
        <v>26.200000762939499</v>
      </c>
      <c r="S1323">
        <v>23</v>
      </c>
      <c r="T1323">
        <v>1006</v>
      </c>
      <c r="U1323">
        <v>142</v>
      </c>
      <c r="V1323">
        <v>15</v>
      </c>
      <c r="W1323">
        <v>49</v>
      </c>
      <c r="X1323">
        <v>390</v>
      </c>
      <c r="Y1323">
        <v>64</v>
      </c>
      <c r="Z1323">
        <v>208</v>
      </c>
      <c r="AA1323">
        <v>390</v>
      </c>
      <c r="AB1323">
        <v>22.726475658751401</v>
      </c>
      <c r="AC1323">
        <v>1.1761152762266001E-2</v>
      </c>
      <c r="AD1323">
        <v>2.9078757700167199</v>
      </c>
      <c r="AE1323">
        <v>0.56297826453259103</v>
      </c>
      <c r="AF1323">
        <v>703.498245614035</v>
      </c>
      <c r="AG1323">
        <f>IFERROR(AH1323*0.1, "N/A")</f>
        <v>6</v>
      </c>
      <c r="AH1323">
        <v>60</v>
      </c>
      <c r="AI1323">
        <v>186.33488541987899</v>
      </c>
      <c r="AJ1323">
        <v>20</v>
      </c>
      <c r="AK1323">
        <v>59</v>
      </c>
    </row>
    <row r="1324" spans="1:37" x14ac:dyDescent="0.3">
      <c r="A1324">
        <v>1323</v>
      </c>
      <c r="B1324">
        <v>13.6</v>
      </c>
      <c r="C1324">
        <v>32.936698999999997</v>
      </c>
      <c r="D1324">
        <v>2.4928599999999999</v>
      </c>
      <c r="E1324" t="s">
        <v>2316</v>
      </c>
      <c r="F1324" t="s">
        <v>2317</v>
      </c>
      <c r="G1324" t="s">
        <v>37</v>
      </c>
      <c r="H1324">
        <v>2004</v>
      </c>
      <c r="I1324">
        <v>23.299999237060501</v>
      </c>
      <c r="J1324">
        <v>13.300000190734901</v>
      </c>
      <c r="K1324">
        <v>77</v>
      </c>
      <c r="L1324">
        <v>10.7299995422363</v>
      </c>
      <c r="M1324">
        <v>33.099998474121101</v>
      </c>
      <c r="N1324">
        <v>16</v>
      </c>
      <c r="O1324">
        <v>17.100000381469702</v>
      </c>
      <c r="P1324">
        <v>22.100000381469702</v>
      </c>
      <c r="Q1324">
        <v>24.399999618530298</v>
      </c>
      <c r="R1324">
        <v>24.899999618530298</v>
      </c>
      <c r="S1324">
        <v>22.100000381469702</v>
      </c>
      <c r="T1324">
        <v>1270</v>
      </c>
      <c r="U1324">
        <v>197</v>
      </c>
      <c r="V1324">
        <v>14</v>
      </c>
      <c r="W1324">
        <v>54</v>
      </c>
      <c r="X1324">
        <v>495</v>
      </c>
      <c r="Y1324">
        <v>77</v>
      </c>
      <c r="Z1324">
        <v>111</v>
      </c>
      <c r="AA1324">
        <v>463</v>
      </c>
      <c r="AB1324">
        <v>17.207537981244499</v>
      </c>
      <c r="AC1324">
        <v>1.0926307892666E-2</v>
      </c>
      <c r="AD1324">
        <v>2.42500895335092</v>
      </c>
      <c r="AE1324">
        <v>0.65069546902745401</v>
      </c>
      <c r="AF1324">
        <v>1082.3181019332201</v>
      </c>
      <c r="AG1324">
        <f>IFERROR(AH1324*0.1, "N/A")</f>
        <v>6</v>
      </c>
      <c r="AH1324">
        <v>60</v>
      </c>
      <c r="AI1324">
        <v>255.65012502418901</v>
      </c>
      <c r="AJ1324">
        <v>34.4551845342706</v>
      </c>
      <c r="AK1324">
        <v>46</v>
      </c>
    </row>
    <row r="1325" spans="1:37" x14ac:dyDescent="0.3">
      <c r="A1325">
        <v>1324</v>
      </c>
      <c r="B1325">
        <v>8.1999999999999993</v>
      </c>
      <c r="C1325">
        <v>31.374200999999999</v>
      </c>
      <c r="D1325">
        <v>2.4952800000000002</v>
      </c>
      <c r="E1325" t="s">
        <v>2318</v>
      </c>
      <c r="F1325" t="s">
        <v>2319</v>
      </c>
      <c r="G1325" t="s">
        <v>37</v>
      </c>
      <c r="H1325">
        <v>2005</v>
      </c>
      <c r="I1325">
        <v>24.679578149822401</v>
      </c>
      <c r="J1325">
        <v>12.5</v>
      </c>
      <c r="K1325">
        <v>65</v>
      </c>
      <c r="L1325">
        <v>15.253662250411301</v>
      </c>
      <c r="M1325">
        <v>33.400001525878899</v>
      </c>
      <c r="N1325">
        <v>14.3999996185303</v>
      </c>
      <c r="O1325">
        <v>19</v>
      </c>
      <c r="P1325">
        <v>22.799999237060501</v>
      </c>
      <c r="Q1325">
        <v>25.399999618530298</v>
      </c>
      <c r="R1325">
        <v>25.899999618530298</v>
      </c>
      <c r="S1325">
        <v>22.799999237060501</v>
      </c>
      <c r="T1325">
        <v>986</v>
      </c>
      <c r="U1325">
        <v>143</v>
      </c>
      <c r="V1325">
        <v>14</v>
      </c>
      <c r="W1325">
        <v>50</v>
      </c>
      <c r="X1325">
        <v>389</v>
      </c>
      <c r="Y1325">
        <v>59</v>
      </c>
      <c r="Z1325">
        <v>203</v>
      </c>
      <c r="AA1325">
        <v>389</v>
      </c>
      <c r="AB1325">
        <v>12.005269010301999</v>
      </c>
      <c r="AC1325">
        <v>2.4552245880148999E-2</v>
      </c>
      <c r="AD1325">
        <v>1.41416737668111</v>
      </c>
      <c r="AE1325">
        <v>0.28796774857270901</v>
      </c>
      <c r="AF1325">
        <v>717.81514084507103</v>
      </c>
      <c r="AG1325">
        <f>IFERROR(AH1325*0.1, "N/A")</f>
        <v>6.2591549295774698</v>
      </c>
      <c r="AH1325">
        <v>62.591549295774698</v>
      </c>
      <c r="AI1325">
        <v>135.81086623500801</v>
      </c>
      <c r="AJ1325">
        <v>25.440140845070399</v>
      </c>
      <c r="AK1325">
        <v>55.591549295774698</v>
      </c>
    </row>
    <row r="1326" spans="1:37" x14ac:dyDescent="0.3">
      <c r="A1326">
        <v>1325</v>
      </c>
      <c r="B1326">
        <v>60</v>
      </c>
      <c r="C1326">
        <v>31.468201000000001</v>
      </c>
      <c r="D1326">
        <v>2.4998499999999999</v>
      </c>
      <c r="E1326" t="s">
        <v>2320</v>
      </c>
      <c r="F1326" t="s">
        <v>2321</v>
      </c>
      <c r="G1326" t="s">
        <v>37</v>
      </c>
      <c r="H1326">
        <v>2007</v>
      </c>
      <c r="I1326">
        <v>25</v>
      </c>
      <c r="J1326">
        <v>12.6000003814697</v>
      </c>
      <c r="K1326">
        <v>64</v>
      </c>
      <c r="L1326">
        <v>16.3658868457814</v>
      </c>
      <c r="M1326">
        <v>33.900001525878899</v>
      </c>
      <c r="N1326">
        <v>14.300000190734901</v>
      </c>
      <c r="O1326">
        <v>19.600000381469702</v>
      </c>
      <c r="P1326">
        <v>23.100000381469702</v>
      </c>
      <c r="Q1326">
        <v>25.799999237060501</v>
      </c>
      <c r="R1326">
        <v>26.399999618530298</v>
      </c>
      <c r="S1326">
        <v>23.100000381469702</v>
      </c>
      <c r="T1326">
        <v>991</v>
      </c>
      <c r="U1326">
        <v>139.372583479789</v>
      </c>
      <c r="V1326">
        <v>15</v>
      </c>
      <c r="W1326">
        <v>49</v>
      </c>
      <c r="X1326">
        <v>383.372583479789</v>
      </c>
      <c r="Y1326">
        <v>62</v>
      </c>
      <c r="Z1326">
        <v>206</v>
      </c>
      <c r="AA1326">
        <v>383.372583479789</v>
      </c>
      <c r="AB1326">
        <v>66.291204093839198</v>
      </c>
      <c r="AC1326">
        <v>9.3353396324159996E-3</v>
      </c>
      <c r="AD1326">
        <v>3.69138116367253</v>
      </c>
      <c r="AE1326">
        <v>0.543243247406763</v>
      </c>
      <c r="AF1326">
        <v>702.39718804920903</v>
      </c>
      <c r="AG1326">
        <f>IFERROR(AH1326*0.1, "N/A")</f>
        <v>6.3000000000000007</v>
      </c>
      <c r="AH1326">
        <v>63</v>
      </c>
      <c r="AI1326">
        <v>130.92353387038199</v>
      </c>
      <c r="AJ1326">
        <v>22.0931458699473</v>
      </c>
      <c r="AK1326">
        <v>58.977152899824198</v>
      </c>
    </row>
    <row r="1327" spans="1:37" x14ac:dyDescent="0.3">
      <c r="A1327">
        <v>1326</v>
      </c>
      <c r="B1327">
        <v>66.699996999999996</v>
      </c>
      <c r="C1327">
        <v>31.468201000000001</v>
      </c>
      <c r="D1327">
        <v>2.4998999999999998</v>
      </c>
      <c r="E1327" t="s">
        <v>2322</v>
      </c>
      <c r="F1327" t="s">
        <v>2323</v>
      </c>
      <c r="G1327" t="s">
        <v>37</v>
      </c>
      <c r="H1327">
        <v>2004</v>
      </c>
      <c r="I1327">
        <v>25</v>
      </c>
      <c r="J1327">
        <v>12.6000003814697</v>
      </c>
      <c r="K1327">
        <v>64</v>
      </c>
      <c r="L1327">
        <v>16.373004578119399</v>
      </c>
      <c r="M1327">
        <v>33.900001525878899</v>
      </c>
      <c r="N1327">
        <v>14.300000190734901</v>
      </c>
      <c r="O1327">
        <v>19.600000381469702</v>
      </c>
      <c r="P1327">
        <v>23.100000381469702</v>
      </c>
      <c r="Q1327">
        <v>25.799999237060501</v>
      </c>
      <c r="R1327">
        <v>26.399999618530298</v>
      </c>
      <c r="S1327">
        <v>23.100000381469702</v>
      </c>
      <c r="T1327">
        <v>991</v>
      </c>
      <c r="U1327">
        <v>139.420035149385</v>
      </c>
      <c r="V1327">
        <v>15</v>
      </c>
      <c r="W1327">
        <v>49</v>
      </c>
      <c r="X1327">
        <v>383.420035149385</v>
      </c>
      <c r="Y1327">
        <v>62</v>
      </c>
      <c r="Z1327">
        <v>206</v>
      </c>
      <c r="AA1327">
        <v>383.420035149385</v>
      </c>
      <c r="AB1327">
        <v>67.240412117098202</v>
      </c>
      <c r="AC1327">
        <v>9.5004335664509998E-3</v>
      </c>
      <c r="AD1327">
        <v>3.7770760599883899</v>
      </c>
      <c r="AE1327">
        <v>0.54342354548626903</v>
      </c>
      <c r="AF1327">
        <v>702.43585237258401</v>
      </c>
      <c r="AG1327">
        <f>IFERROR(AH1327*0.1, "N/A")</f>
        <v>6.3000000000000007</v>
      </c>
      <c r="AH1327">
        <v>63</v>
      </c>
      <c r="AI1327">
        <v>130.69109070280101</v>
      </c>
      <c r="AJ1327">
        <v>22.070298769771501</v>
      </c>
      <c r="AK1327">
        <v>58.978910369068501</v>
      </c>
    </row>
    <row r="1328" spans="1:37" x14ac:dyDescent="0.3">
      <c r="A1328">
        <v>1327</v>
      </c>
      <c r="B1328">
        <v>1.6</v>
      </c>
      <c r="C1328">
        <v>32.464900999999998</v>
      </c>
      <c r="D1328">
        <v>2.50895</v>
      </c>
      <c r="E1328" t="s">
        <v>2324</v>
      </c>
      <c r="F1328" t="s">
        <v>2325</v>
      </c>
      <c r="G1328" t="s">
        <v>37</v>
      </c>
      <c r="H1328">
        <v>2004</v>
      </c>
      <c r="I1328">
        <v>23.299999237060501</v>
      </c>
      <c r="J1328">
        <v>12.800000190734901</v>
      </c>
      <c r="K1328">
        <v>77</v>
      </c>
      <c r="L1328">
        <v>9.9200000762939506</v>
      </c>
      <c r="M1328">
        <v>32.700000762939503</v>
      </c>
      <c r="N1328">
        <v>16.200000762939499</v>
      </c>
      <c r="O1328">
        <v>16.5</v>
      </c>
      <c r="P1328">
        <v>22.299999237060501</v>
      </c>
      <c r="Q1328">
        <v>24.200000762939499</v>
      </c>
      <c r="R1328">
        <v>24.700000762939499</v>
      </c>
      <c r="S1328">
        <v>22.100000381469702</v>
      </c>
      <c r="T1328">
        <v>1386</v>
      </c>
      <c r="U1328">
        <v>200</v>
      </c>
      <c r="V1328">
        <v>20</v>
      </c>
      <c r="W1328">
        <v>49</v>
      </c>
      <c r="X1328">
        <v>529</v>
      </c>
      <c r="Y1328">
        <v>95</v>
      </c>
      <c r="Z1328">
        <v>160</v>
      </c>
      <c r="AA1328">
        <v>449</v>
      </c>
      <c r="AB1328">
        <v>29.217154519599799</v>
      </c>
      <c r="AC1328">
        <v>8.6297210796100008E-3</v>
      </c>
      <c r="AD1328">
        <v>2.2205198396716201</v>
      </c>
      <c r="AE1328">
        <v>0.65912175178527799</v>
      </c>
      <c r="AF1328">
        <v>1082.2561403508801</v>
      </c>
      <c r="AG1328">
        <f>IFERROR(AH1328*0.1, "N/A")</f>
        <v>5.9</v>
      </c>
      <c r="AH1328">
        <v>59</v>
      </c>
      <c r="AI1328">
        <v>205.487143212034</v>
      </c>
      <c r="AJ1328">
        <v>33</v>
      </c>
      <c r="AK1328">
        <v>49.9719298245614</v>
      </c>
    </row>
    <row r="1329" spans="1:37" x14ac:dyDescent="0.3">
      <c r="A1329">
        <v>1328</v>
      </c>
      <c r="B1329">
        <v>28</v>
      </c>
      <c r="C1329">
        <v>31.450001</v>
      </c>
      <c r="D1329">
        <v>2.51667</v>
      </c>
      <c r="E1329" t="s">
        <v>2326</v>
      </c>
      <c r="F1329" t="s">
        <v>2327</v>
      </c>
      <c r="G1329" t="s">
        <v>37</v>
      </c>
      <c r="H1329">
        <v>1973</v>
      </c>
      <c r="I1329">
        <v>24.817574814459601</v>
      </c>
      <c r="J1329">
        <v>12.6000003814697</v>
      </c>
      <c r="K1329">
        <v>63.509666080843601</v>
      </c>
      <c r="L1329">
        <v>16.330544791866899</v>
      </c>
      <c r="M1329">
        <v>33.698065632047502</v>
      </c>
      <c r="N1329">
        <v>14.1314587919909</v>
      </c>
      <c r="O1329">
        <v>19.566608120561298</v>
      </c>
      <c r="P1329">
        <v>22.949033197493499</v>
      </c>
      <c r="Q1329">
        <v>25.555184744782899</v>
      </c>
      <c r="R1329">
        <v>26.198066604158399</v>
      </c>
      <c r="S1329">
        <v>22.949033197493499</v>
      </c>
      <c r="T1329">
        <v>997.87521968365604</v>
      </c>
      <c r="U1329">
        <v>143.33391915641499</v>
      </c>
      <c r="V1329">
        <v>14</v>
      </c>
      <c r="W1329">
        <v>49.571177504393702</v>
      </c>
      <c r="X1329">
        <v>391.49209138840098</v>
      </c>
      <c r="Y1329">
        <v>60.743409490333903</v>
      </c>
      <c r="Z1329">
        <v>206.448154657293</v>
      </c>
      <c r="AA1329">
        <v>391.49209138840098</v>
      </c>
      <c r="AB1329">
        <v>18.43990868969</v>
      </c>
      <c r="AC1329">
        <v>4.5700671840361001E-2</v>
      </c>
      <c r="AD1329">
        <v>3.70076564996649</v>
      </c>
      <c r="AE1329">
        <v>0.61700670203760299</v>
      </c>
      <c r="AF1329">
        <v>691.41300527240799</v>
      </c>
      <c r="AG1329">
        <f>IFERROR(AH1329*0.1, "N/A")</f>
        <v>6.2386643233743406</v>
      </c>
      <c r="AH1329">
        <v>62.386643233743399</v>
      </c>
      <c r="AI1329">
        <v>79.589410289100698</v>
      </c>
      <c r="AJ1329">
        <v>21.0878734622144</v>
      </c>
      <c r="AK1329">
        <v>57.558875219683699</v>
      </c>
    </row>
    <row r="1330" spans="1:37" x14ac:dyDescent="0.3">
      <c r="A1330">
        <v>1329</v>
      </c>
      <c r="B1330">
        <v>0</v>
      </c>
      <c r="C1330">
        <v>32.666198999999999</v>
      </c>
      <c r="D1330">
        <v>2.5186000000000002</v>
      </c>
      <c r="E1330" t="s">
        <v>2328</v>
      </c>
      <c r="F1330" t="s">
        <v>2329</v>
      </c>
      <c r="G1330" t="s">
        <v>39</v>
      </c>
      <c r="H1330">
        <v>0</v>
      </c>
      <c r="I1330">
        <v>23.238488752100299</v>
      </c>
      <c r="J1330">
        <v>13.1000003814697</v>
      </c>
      <c r="K1330">
        <v>77</v>
      </c>
      <c r="L1330">
        <v>10.5516164374058</v>
      </c>
      <c r="M1330">
        <v>32.938489515039699</v>
      </c>
      <c r="N1330">
        <v>16</v>
      </c>
      <c r="O1330">
        <v>16.938488341802501</v>
      </c>
      <c r="P1330">
        <v>22.299999237060501</v>
      </c>
      <c r="Q1330">
        <v>24.299999237060501</v>
      </c>
      <c r="R1330">
        <v>24.738488752100299</v>
      </c>
      <c r="S1330">
        <v>22</v>
      </c>
      <c r="T1330">
        <v>1357.0755711775</v>
      </c>
      <c r="U1330">
        <v>205</v>
      </c>
      <c r="V1330">
        <v>17</v>
      </c>
      <c r="W1330">
        <v>50</v>
      </c>
      <c r="X1330">
        <v>511.845342706503</v>
      </c>
      <c r="Y1330">
        <v>90</v>
      </c>
      <c r="Z1330">
        <v>142.61511423550101</v>
      </c>
      <c r="AA1330">
        <v>463</v>
      </c>
      <c r="AB1330">
        <v>33.586854207285299</v>
      </c>
      <c r="AC1330">
        <v>8.7498829754070005E-3</v>
      </c>
      <c r="AD1330">
        <v>4.0446706136626398</v>
      </c>
      <c r="AE1330">
        <v>0.69615911557511001</v>
      </c>
      <c r="AF1330">
        <v>1110.39191564148</v>
      </c>
      <c r="AG1330">
        <f>IFERROR(AH1330*0.1, "N/A")</f>
        <v>5.9428822495606299</v>
      </c>
      <c r="AH1330">
        <v>59.428822495606298</v>
      </c>
      <c r="AI1330">
        <v>145.67049483716599</v>
      </c>
      <c r="AJ1330">
        <v>37.659050966608099</v>
      </c>
      <c r="AK1330">
        <v>43.495606326889302</v>
      </c>
    </row>
    <row r="1331" spans="1:37" x14ac:dyDescent="0.3">
      <c r="A1331">
        <v>1330</v>
      </c>
      <c r="B1331">
        <v>0</v>
      </c>
      <c r="C1331">
        <v>34.652698999999998</v>
      </c>
      <c r="D1331">
        <v>2.5238800000000001</v>
      </c>
      <c r="E1331" t="s">
        <v>2330</v>
      </c>
      <c r="F1331" t="s">
        <v>2331</v>
      </c>
      <c r="G1331" t="s">
        <v>37</v>
      </c>
      <c r="H1331">
        <v>2004</v>
      </c>
      <c r="I1331">
        <v>22</v>
      </c>
      <c r="J1331">
        <v>13</v>
      </c>
      <c r="K1331">
        <v>80</v>
      </c>
      <c r="L1331">
        <v>8.6700000762939506</v>
      </c>
      <c r="M1331">
        <v>30.799999237060501</v>
      </c>
      <c r="N1331">
        <v>14.699999809265099</v>
      </c>
      <c r="O1331">
        <v>16.100000381469702</v>
      </c>
      <c r="P1331">
        <v>21</v>
      </c>
      <c r="Q1331">
        <v>22.899999618530298</v>
      </c>
      <c r="R1331">
        <v>23.200000762939499</v>
      </c>
      <c r="S1331">
        <v>20.899999618530298</v>
      </c>
      <c r="T1331">
        <v>795</v>
      </c>
      <c r="U1331">
        <v>121</v>
      </c>
      <c r="V1331">
        <v>12</v>
      </c>
      <c r="W1331">
        <v>55</v>
      </c>
      <c r="X1331">
        <v>310</v>
      </c>
      <c r="Y1331">
        <v>64</v>
      </c>
      <c r="Z1331">
        <v>104</v>
      </c>
      <c r="AA1331">
        <v>284</v>
      </c>
      <c r="AB1331">
        <v>18.427802049067999</v>
      </c>
      <c r="AC1331">
        <v>2.6967553944703002E-2</v>
      </c>
      <c r="AD1331">
        <v>3.19436440739715</v>
      </c>
      <c r="AE1331">
        <v>0.40173852443695102</v>
      </c>
      <c r="AF1331">
        <v>1349.93333333333</v>
      </c>
      <c r="AG1331">
        <f>IFERROR(AH1331*0.1, "N/A")</f>
        <v>7.7</v>
      </c>
      <c r="AH1331">
        <v>77</v>
      </c>
      <c r="AI1331">
        <v>278.03172634191702</v>
      </c>
      <c r="AJ1331">
        <v>31.414035087719299</v>
      </c>
      <c r="AK1331">
        <v>44.585964912280701</v>
      </c>
    </row>
    <row r="1332" spans="1:37" x14ac:dyDescent="0.3">
      <c r="A1332">
        <v>1331</v>
      </c>
      <c r="B1332">
        <v>36.700001</v>
      </c>
      <c r="C1332">
        <v>31.463301000000001</v>
      </c>
      <c r="D1332">
        <v>2.5239699999999998</v>
      </c>
      <c r="E1332" t="s">
        <v>2332</v>
      </c>
      <c r="F1332" t="s">
        <v>2333</v>
      </c>
      <c r="G1332" t="s">
        <v>37</v>
      </c>
      <c r="H1332">
        <v>2007</v>
      </c>
      <c r="I1332">
        <v>25</v>
      </c>
      <c r="J1332">
        <v>12.6000003814697</v>
      </c>
      <c r="K1332">
        <v>63</v>
      </c>
      <c r="L1332">
        <v>16.920000076293899</v>
      </c>
      <c r="M1332">
        <v>33.900001525878899</v>
      </c>
      <c r="N1332">
        <v>14.1000003814697</v>
      </c>
      <c r="O1332">
        <v>19.799999237060501</v>
      </c>
      <c r="P1332">
        <v>23.100000381469702</v>
      </c>
      <c r="Q1332">
        <v>25.700000762939499</v>
      </c>
      <c r="R1332">
        <v>26.399999618530298</v>
      </c>
      <c r="S1332">
        <v>23.100000381469702</v>
      </c>
      <c r="T1332">
        <v>982</v>
      </c>
      <c r="U1332">
        <v>140</v>
      </c>
      <c r="V1332">
        <v>14</v>
      </c>
      <c r="W1332">
        <v>50</v>
      </c>
      <c r="X1332">
        <v>383</v>
      </c>
      <c r="Y1332">
        <v>59</v>
      </c>
      <c r="Z1332">
        <v>205</v>
      </c>
      <c r="AA1332">
        <v>383</v>
      </c>
      <c r="AB1332">
        <v>37.809487356266501</v>
      </c>
      <c r="AC1332">
        <v>1.0855077106742E-2</v>
      </c>
      <c r="AD1332">
        <v>3.9416880338964302</v>
      </c>
      <c r="AE1332">
        <v>0.46229621767997697</v>
      </c>
      <c r="AF1332">
        <v>651.77816901408505</v>
      </c>
      <c r="AG1332">
        <f>IFERROR(AH1332*0.1, "N/A")</f>
        <v>6.5552816901408413</v>
      </c>
      <c r="AH1332">
        <v>65.552816901408406</v>
      </c>
      <c r="AI1332">
        <v>124.196805472945</v>
      </c>
      <c r="AJ1332">
        <v>30.003521126760599</v>
      </c>
      <c r="AK1332">
        <v>48.561619718309899</v>
      </c>
    </row>
    <row r="1333" spans="1:37" x14ac:dyDescent="0.3">
      <c r="A1333">
        <v>1332</v>
      </c>
      <c r="B1333">
        <v>34.099997999999999</v>
      </c>
      <c r="C1333">
        <v>31.463200000000001</v>
      </c>
      <c r="D1333">
        <v>2.52413</v>
      </c>
      <c r="E1333" t="s">
        <v>2334</v>
      </c>
      <c r="F1333" t="s">
        <v>2335</v>
      </c>
      <c r="G1333" t="s">
        <v>37</v>
      </c>
      <c r="H1333">
        <v>2005</v>
      </c>
      <c r="I1333">
        <v>25</v>
      </c>
      <c r="J1333">
        <v>12.6000003814697</v>
      </c>
      <c r="K1333">
        <v>63</v>
      </c>
      <c r="L1333">
        <v>16.920000076293899</v>
      </c>
      <c r="M1333">
        <v>33.900001525878899</v>
      </c>
      <c r="N1333">
        <v>14.1000003814697</v>
      </c>
      <c r="O1333">
        <v>19.799999237060501</v>
      </c>
      <c r="P1333">
        <v>23.100000381469702</v>
      </c>
      <c r="Q1333">
        <v>25.700000762939499</v>
      </c>
      <c r="R1333">
        <v>26.399999618530298</v>
      </c>
      <c r="S1333">
        <v>23.100000381469702</v>
      </c>
      <c r="T1333">
        <v>982</v>
      </c>
      <c r="U1333">
        <v>140</v>
      </c>
      <c r="V1333">
        <v>14</v>
      </c>
      <c r="W1333">
        <v>50</v>
      </c>
      <c r="X1333">
        <v>383</v>
      </c>
      <c r="Y1333">
        <v>59</v>
      </c>
      <c r="Z1333">
        <v>205</v>
      </c>
      <c r="AA1333">
        <v>383</v>
      </c>
      <c r="AB1333">
        <v>38.605424341292299</v>
      </c>
      <c r="AC1333">
        <v>1.1946613915094001E-2</v>
      </c>
      <c r="AD1333">
        <v>3.91770387785296</v>
      </c>
      <c r="AE1333">
        <v>0.46229621767997697</v>
      </c>
      <c r="AF1333">
        <v>651.88752196836504</v>
      </c>
      <c r="AG1333">
        <f>IFERROR(AH1333*0.1, "N/A")</f>
        <v>6.4892794376098397</v>
      </c>
      <c r="AH1333">
        <v>64.892794376098394</v>
      </c>
      <c r="AI1333">
        <v>115.170034903843</v>
      </c>
      <c r="AJ1333">
        <v>29.525483304042201</v>
      </c>
      <c r="AK1333">
        <v>49.291739894551803</v>
      </c>
    </row>
    <row r="1334" spans="1:37" x14ac:dyDescent="0.3">
      <c r="A1334">
        <v>1333</v>
      </c>
      <c r="B1334">
        <v>10.9</v>
      </c>
      <c r="C1334">
        <v>31.463200000000001</v>
      </c>
      <c r="D1334">
        <v>2.5241600000000002</v>
      </c>
      <c r="E1334" t="s">
        <v>2336</v>
      </c>
      <c r="F1334" t="s">
        <v>2337</v>
      </c>
      <c r="G1334" t="s">
        <v>37</v>
      </c>
      <c r="H1334">
        <v>2005</v>
      </c>
      <c r="I1334">
        <v>25</v>
      </c>
      <c r="J1334">
        <v>12.6000003814697</v>
      </c>
      <c r="K1334">
        <v>63</v>
      </c>
      <c r="L1334">
        <v>16.920000076293899</v>
      </c>
      <c r="M1334">
        <v>33.900001525878899</v>
      </c>
      <c r="N1334">
        <v>14.1000003814697</v>
      </c>
      <c r="O1334">
        <v>19.799999237060501</v>
      </c>
      <c r="P1334">
        <v>23.100000381469702</v>
      </c>
      <c r="Q1334">
        <v>25.700000762939499</v>
      </c>
      <c r="R1334">
        <v>26.399999618530298</v>
      </c>
      <c r="S1334">
        <v>23.100000381469702</v>
      </c>
      <c r="T1334">
        <v>982</v>
      </c>
      <c r="U1334">
        <v>140</v>
      </c>
      <c r="V1334">
        <v>14</v>
      </c>
      <c r="W1334">
        <v>50</v>
      </c>
      <c r="X1334">
        <v>383</v>
      </c>
      <c r="Y1334">
        <v>59</v>
      </c>
      <c r="Z1334">
        <v>205</v>
      </c>
      <c r="AA1334">
        <v>383</v>
      </c>
      <c r="AB1334">
        <v>38.553051457463802</v>
      </c>
      <c r="AC1334">
        <v>1.2141721850173001E-2</v>
      </c>
      <c r="AD1334">
        <v>3.9497936635109601</v>
      </c>
      <c r="AE1334">
        <v>0.46229621767997697</v>
      </c>
      <c r="AF1334">
        <v>651.84534270650295</v>
      </c>
      <c r="AG1334">
        <f>IFERROR(AH1334*0.1, "N/A")</f>
        <v>6.4799648506151204</v>
      </c>
      <c r="AH1334">
        <v>64.7996485061512</v>
      </c>
      <c r="AI1334">
        <v>113.046513451843</v>
      </c>
      <c r="AJ1334">
        <v>29.488576449912099</v>
      </c>
      <c r="AK1334">
        <v>49.367311072056197</v>
      </c>
    </row>
    <row r="1335" spans="1:37" x14ac:dyDescent="0.3">
      <c r="A1335">
        <v>1334</v>
      </c>
      <c r="B1335">
        <v>3.4</v>
      </c>
      <c r="C1335">
        <v>34.637199000000003</v>
      </c>
      <c r="D1335">
        <v>2.5248300000000001</v>
      </c>
      <c r="E1335" t="s">
        <v>2338</v>
      </c>
      <c r="F1335" t="s">
        <v>2339</v>
      </c>
      <c r="G1335" t="s">
        <v>37</v>
      </c>
      <c r="H1335">
        <v>2004</v>
      </c>
      <c r="I1335">
        <v>22.200000762939499</v>
      </c>
      <c r="J1335">
        <v>13</v>
      </c>
      <c r="K1335">
        <v>80.246045694200305</v>
      </c>
      <c r="L1335">
        <v>8.7580139934492909</v>
      </c>
      <c r="M1335">
        <v>31</v>
      </c>
      <c r="N1335">
        <v>14.9246042818093</v>
      </c>
      <c r="O1335">
        <v>16.075395718190698</v>
      </c>
      <c r="P1335">
        <v>21.799999237060501</v>
      </c>
      <c r="Q1335">
        <v>23.100000381469702</v>
      </c>
      <c r="R1335">
        <v>23.399999618530298</v>
      </c>
      <c r="S1335">
        <v>21.100000381469702</v>
      </c>
      <c r="T1335">
        <v>771</v>
      </c>
      <c r="U1335">
        <v>117</v>
      </c>
      <c r="V1335">
        <v>12</v>
      </c>
      <c r="W1335">
        <v>55</v>
      </c>
      <c r="X1335">
        <v>299</v>
      </c>
      <c r="Y1335">
        <v>62</v>
      </c>
      <c r="Z1335">
        <v>101</v>
      </c>
      <c r="AA1335">
        <v>273</v>
      </c>
      <c r="AB1335">
        <v>15.329339696150001</v>
      </c>
      <c r="AC1335">
        <v>1.2096689126875001E-2</v>
      </c>
      <c r="AD1335">
        <v>2.0362507316475398</v>
      </c>
      <c r="AE1335">
        <v>0.29302459955215499</v>
      </c>
      <c r="AF1335">
        <v>1313.5852372583499</v>
      </c>
      <c r="AG1335">
        <f>IFERROR(AH1335*0.1, "N/A")</f>
        <v>7.67750439367311</v>
      </c>
      <c r="AH1335">
        <v>76.775043936731095</v>
      </c>
      <c r="AI1335">
        <v>242.98194480319401</v>
      </c>
      <c r="AJ1335">
        <v>37.583479789103698</v>
      </c>
      <c r="AK1335">
        <v>38.483304042179299</v>
      </c>
    </row>
    <row r="1336" spans="1:37" x14ac:dyDescent="0.3">
      <c r="A1336">
        <v>1335</v>
      </c>
      <c r="B1336">
        <v>22</v>
      </c>
      <c r="C1336">
        <v>31.440799999999999</v>
      </c>
      <c r="D1336">
        <v>2.5274999999999999</v>
      </c>
      <c r="E1336" t="s">
        <v>2340</v>
      </c>
      <c r="F1336" t="s">
        <v>2341</v>
      </c>
      <c r="G1336" t="s">
        <v>37</v>
      </c>
      <c r="H1336">
        <v>2005</v>
      </c>
      <c r="I1336">
        <v>24.799999237060501</v>
      </c>
      <c r="J1336">
        <v>12.6000003814697</v>
      </c>
      <c r="K1336">
        <v>64</v>
      </c>
      <c r="L1336">
        <v>16.290000915527301</v>
      </c>
      <c r="M1336">
        <v>33.599998474121101</v>
      </c>
      <c r="N1336">
        <v>14.1000003814697</v>
      </c>
      <c r="O1336">
        <v>19.5</v>
      </c>
      <c r="P1336">
        <v>22.899999618530298</v>
      </c>
      <c r="Q1336">
        <v>25.5</v>
      </c>
      <c r="R1336">
        <v>26.100000381469702</v>
      </c>
      <c r="S1336">
        <v>22.899999618530298</v>
      </c>
      <c r="T1336">
        <v>995</v>
      </c>
      <c r="U1336">
        <v>144</v>
      </c>
      <c r="V1336">
        <v>14</v>
      </c>
      <c r="W1336">
        <v>50</v>
      </c>
      <c r="X1336">
        <v>393</v>
      </c>
      <c r="Y1336">
        <v>59</v>
      </c>
      <c r="Z1336">
        <v>205</v>
      </c>
      <c r="AA1336">
        <v>393</v>
      </c>
      <c r="AB1336">
        <v>26.731105274810499</v>
      </c>
      <c r="AC1336">
        <v>4.8026551456503003E-2</v>
      </c>
      <c r="AD1336">
        <v>1.3599391280033499</v>
      </c>
      <c r="AE1336">
        <v>0.59863808232577298</v>
      </c>
      <c r="AF1336">
        <v>698.40421792618599</v>
      </c>
      <c r="AG1336">
        <f>IFERROR(AH1336*0.1, "N/A")</f>
        <v>6.1000000000000005</v>
      </c>
      <c r="AH1336">
        <v>61</v>
      </c>
      <c r="AI1336">
        <v>39.960791090041802</v>
      </c>
      <c r="AJ1336">
        <v>23</v>
      </c>
      <c r="AK1336">
        <v>58</v>
      </c>
    </row>
    <row r="1337" spans="1:37" x14ac:dyDescent="0.3">
      <c r="A1337">
        <v>1336</v>
      </c>
      <c r="B1337">
        <v>35.200001</v>
      </c>
      <c r="C1337">
        <v>33.622199999999999</v>
      </c>
      <c r="D1337">
        <v>2.53498</v>
      </c>
      <c r="E1337" t="s">
        <v>2342</v>
      </c>
      <c r="F1337" t="s">
        <v>2343</v>
      </c>
      <c r="G1337" t="s">
        <v>37</v>
      </c>
      <c r="H1337">
        <v>2004</v>
      </c>
      <c r="I1337">
        <v>23.5</v>
      </c>
      <c r="J1337">
        <v>12.8999996185303</v>
      </c>
      <c r="K1337">
        <v>79</v>
      </c>
      <c r="L1337">
        <v>9.75</v>
      </c>
      <c r="M1337">
        <v>32.700000762939503</v>
      </c>
      <c r="N1337">
        <v>16.5</v>
      </c>
      <c r="O1337">
        <v>16.200000762939499</v>
      </c>
      <c r="P1337">
        <v>22.299999237060501</v>
      </c>
      <c r="Q1337">
        <v>24.5</v>
      </c>
      <c r="R1337">
        <v>24.799999237060501</v>
      </c>
      <c r="S1337">
        <v>22.200000762939499</v>
      </c>
      <c r="T1337">
        <v>1112</v>
      </c>
      <c r="U1337">
        <v>169</v>
      </c>
      <c r="V1337">
        <v>13</v>
      </c>
      <c r="W1337">
        <v>54</v>
      </c>
      <c r="X1337">
        <v>438</v>
      </c>
      <c r="Y1337">
        <v>75</v>
      </c>
      <c r="Z1337">
        <v>110</v>
      </c>
      <c r="AA1337">
        <v>429</v>
      </c>
      <c r="AB1337">
        <v>23.052270765254299</v>
      </c>
      <c r="AC1337">
        <v>8.9913952292019997E-2</v>
      </c>
      <c r="AD1337">
        <v>1.3582893582764799</v>
      </c>
      <c r="AE1337">
        <v>0.191653192043304</v>
      </c>
      <c r="AF1337">
        <v>1118.4235500878699</v>
      </c>
      <c r="AG1337">
        <f>IFERROR(AH1337*0.1, "N/A")</f>
        <v>5.9917398945518405</v>
      </c>
      <c r="AH1337">
        <v>59.9173989455184</v>
      </c>
      <c r="AI1337">
        <v>120.995866919653</v>
      </c>
      <c r="AJ1337">
        <v>41.0826010544816</v>
      </c>
      <c r="AK1337">
        <v>39.917398945518499</v>
      </c>
    </row>
    <row r="1338" spans="1:37" x14ac:dyDescent="0.3">
      <c r="A1338">
        <v>1337</v>
      </c>
      <c r="B1338">
        <v>0</v>
      </c>
      <c r="C1338">
        <v>34.657699999999998</v>
      </c>
      <c r="D1338">
        <v>2.5364</v>
      </c>
      <c r="E1338" t="s">
        <v>2344</v>
      </c>
      <c r="F1338" t="s">
        <v>2345</v>
      </c>
      <c r="G1338" t="s">
        <v>37</v>
      </c>
      <c r="H1338">
        <v>2004</v>
      </c>
      <c r="I1338">
        <v>22.0673113288276</v>
      </c>
      <c r="J1338">
        <v>13</v>
      </c>
      <c r="K1338">
        <v>80.326889279437594</v>
      </c>
      <c r="L1338">
        <v>8.7934622555080697</v>
      </c>
      <c r="M1338">
        <v>30.834622136737799</v>
      </c>
      <c r="N1338">
        <v>14.767311138092699</v>
      </c>
      <c r="O1338">
        <v>16.0673113288276</v>
      </c>
      <c r="P1338">
        <v>21.0673113288276</v>
      </c>
      <c r="Q1338">
        <v>22.967310947357898</v>
      </c>
      <c r="R1338">
        <v>23.267310807910199</v>
      </c>
      <c r="S1338">
        <v>20.867310565888101</v>
      </c>
      <c r="T1338">
        <v>793.92267135325096</v>
      </c>
      <c r="U1338">
        <v>120.653778558875</v>
      </c>
      <c r="V1338">
        <v>12</v>
      </c>
      <c r="W1338">
        <v>56</v>
      </c>
      <c r="X1338">
        <v>309.96133567662599</v>
      </c>
      <c r="Y1338">
        <v>63.326889279437601</v>
      </c>
      <c r="Z1338">
        <v>104.32688927943801</v>
      </c>
      <c r="AA1338">
        <v>282.96133567662599</v>
      </c>
      <c r="AB1338">
        <v>4.9381356666712399</v>
      </c>
      <c r="AC1338">
        <v>0.36902063927876699</v>
      </c>
      <c r="AD1338">
        <v>2.4288376305769499</v>
      </c>
      <c r="AE1338">
        <v>0.37256540763985702</v>
      </c>
      <c r="AF1338">
        <v>1357.3514938488599</v>
      </c>
      <c r="AG1338">
        <f>IFERROR(AH1338*0.1, "N/A")</f>
        <v>7.3233743409490302</v>
      </c>
      <c r="AH1338">
        <v>73.233743409490302</v>
      </c>
      <c r="AI1338">
        <v>281.37019490273798</v>
      </c>
      <c r="AJ1338">
        <v>35.597539543057998</v>
      </c>
      <c r="AK1338">
        <v>37.634446397188</v>
      </c>
    </row>
    <row r="1339" spans="1:37" x14ac:dyDescent="0.3">
      <c r="A1339">
        <v>1338</v>
      </c>
      <c r="B1339">
        <v>0</v>
      </c>
      <c r="C1339">
        <v>34.620700999999997</v>
      </c>
      <c r="D1339">
        <v>2.5505200000000001</v>
      </c>
      <c r="E1339" t="s">
        <v>2346</v>
      </c>
      <c r="F1339" t="s">
        <v>2347</v>
      </c>
      <c r="G1339" t="s">
        <v>37</v>
      </c>
      <c r="H1339">
        <v>2004</v>
      </c>
      <c r="I1339">
        <v>22.5</v>
      </c>
      <c r="J1339">
        <v>13</v>
      </c>
      <c r="K1339">
        <v>80</v>
      </c>
      <c r="L1339">
        <v>9.0178559459156595</v>
      </c>
      <c r="M1339">
        <v>31.299999237060501</v>
      </c>
      <c r="N1339">
        <v>15.199999809265099</v>
      </c>
      <c r="O1339">
        <v>16.100000381469702</v>
      </c>
      <c r="P1339">
        <v>22.068365814396699</v>
      </c>
      <c r="Q1339">
        <v>23.299999237060501</v>
      </c>
      <c r="R1339">
        <v>23.700000762939499</v>
      </c>
      <c r="S1339">
        <v>21.3683650514572</v>
      </c>
      <c r="T1339">
        <v>750</v>
      </c>
      <c r="U1339">
        <v>114</v>
      </c>
      <c r="V1339">
        <v>12</v>
      </c>
      <c r="W1339">
        <v>55</v>
      </c>
      <c r="X1339">
        <v>291</v>
      </c>
      <c r="Y1339">
        <v>60</v>
      </c>
      <c r="Z1339">
        <v>98</v>
      </c>
      <c r="AA1339">
        <v>265</v>
      </c>
      <c r="AB1339">
        <v>5.3106944749560601</v>
      </c>
      <c r="AC1339">
        <v>2.6954392238024E-2</v>
      </c>
      <c r="AD1339">
        <v>1.33485680080047</v>
      </c>
      <c r="AE1339">
        <v>0.27693080902099598</v>
      </c>
      <c r="AF1339">
        <v>1278.0632688927899</v>
      </c>
      <c r="AG1339">
        <f>IFERROR(AH1339*0.1, "N/A")</f>
        <v>7.6857644991212695</v>
      </c>
      <c r="AH1339">
        <v>76.857644991212695</v>
      </c>
      <c r="AI1339">
        <v>107.71631507002</v>
      </c>
      <c r="AJ1339">
        <v>41.196836555360299</v>
      </c>
      <c r="AK1339">
        <v>36.666080843585199</v>
      </c>
    </row>
    <row r="1340" spans="1:37" x14ac:dyDescent="0.3">
      <c r="A1340">
        <v>1339</v>
      </c>
      <c r="B1340">
        <v>17.799999</v>
      </c>
      <c r="C1340">
        <v>31.324498999999999</v>
      </c>
      <c r="D1340">
        <v>2.5518700000000001</v>
      </c>
      <c r="E1340" t="s">
        <v>2348</v>
      </c>
      <c r="F1340" t="s">
        <v>2349</v>
      </c>
      <c r="G1340" t="s">
        <v>37</v>
      </c>
      <c r="H1340">
        <v>2005</v>
      </c>
      <c r="I1340">
        <v>24.502992969163699</v>
      </c>
      <c r="J1340">
        <v>12.5</v>
      </c>
      <c r="K1340">
        <v>67.970070422535201</v>
      </c>
      <c r="L1340">
        <v>13.1173595341159</v>
      </c>
      <c r="M1340">
        <v>33.202993675016998</v>
      </c>
      <c r="N1340">
        <v>14.997007030836301</v>
      </c>
      <c r="O1340">
        <v>18.205986644180701</v>
      </c>
      <c r="P1340">
        <v>23</v>
      </c>
      <c r="Q1340">
        <v>25.102993350633401</v>
      </c>
      <c r="R1340">
        <v>25.705986644180701</v>
      </c>
      <c r="S1340">
        <v>23</v>
      </c>
      <c r="T1340">
        <v>1008.70070422535</v>
      </c>
      <c r="U1340">
        <v>147.970070422535</v>
      </c>
      <c r="V1340">
        <v>14</v>
      </c>
      <c r="W1340">
        <v>50.029929577464799</v>
      </c>
      <c r="X1340">
        <v>403.88028169014098</v>
      </c>
      <c r="Y1340">
        <v>59.970070422535201</v>
      </c>
      <c r="Z1340">
        <v>206.94014084507</v>
      </c>
      <c r="AA1340">
        <v>403.88028169014098</v>
      </c>
      <c r="AB1340">
        <v>26.348086719781602</v>
      </c>
      <c r="AC1340">
        <v>1.0674437717863E-2</v>
      </c>
      <c r="AD1340">
        <v>1.75206470447527</v>
      </c>
      <c r="AE1340">
        <v>0.49007286656070798</v>
      </c>
      <c r="AF1340">
        <v>764.35211267605598</v>
      </c>
      <c r="AG1340">
        <f>IFERROR(AH1340*0.1, "N/A")</f>
        <v>6.3880281690140901</v>
      </c>
      <c r="AH1340">
        <v>63.880281690140897</v>
      </c>
      <c r="AI1340">
        <v>61.087041451897399</v>
      </c>
      <c r="AJ1340">
        <v>23.938380281690101</v>
      </c>
      <c r="AK1340">
        <v>56.061619718309899</v>
      </c>
    </row>
    <row r="1341" spans="1:37" x14ac:dyDescent="0.3">
      <c r="A1341">
        <v>1340</v>
      </c>
      <c r="B1341">
        <v>0</v>
      </c>
      <c r="C1341">
        <v>32.756400999999997</v>
      </c>
      <c r="D1341">
        <v>2.56107</v>
      </c>
      <c r="E1341" t="s">
        <v>2350</v>
      </c>
      <c r="F1341" t="s">
        <v>2351</v>
      </c>
      <c r="G1341" t="s">
        <v>39</v>
      </c>
      <c r="H1341">
        <v>0</v>
      </c>
      <c r="I1341">
        <v>23.299999237060501</v>
      </c>
      <c r="J1341">
        <v>13.199999809265099</v>
      </c>
      <c r="K1341">
        <v>77</v>
      </c>
      <c r="L1341">
        <v>10.1499996185303</v>
      </c>
      <c r="M1341">
        <v>33</v>
      </c>
      <c r="N1341">
        <v>16</v>
      </c>
      <c r="O1341">
        <v>17</v>
      </c>
      <c r="P1341">
        <v>22.399999618530298</v>
      </c>
      <c r="Q1341">
        <v>24.299999237060501</v>
      </c>
      <c r="R1341">
        <v>24.700000762939499</v>
      </c>
      <c r="S1341">
        <v>22.100000381469702</v>
      </c>
      <c r="T1341">
        <v>1328</v>
      </c>
      <c r="U1341">
        <v>208</v>
      </c>
      <c r="V1341">
        <v>15</v>
      </c>
      <c r="W1341">
        <v>52</v>
      </c>
      <c r="X1341">
        <v>497</v>
      </c>
      <c r="Y1341">
        <v>85</v>
      </c>
      <c r="Z1341">
        <v>125</v>
      </c>
      <c r="AA1341">
        <v>473</v>
      </c>
      <c r="AB1341">
        <v>15.6138337900941</v>
      </c>
      <c r="AC1341">
        <v>2.4069940987778E-2</v>
      </c>
      <c r="AD1341">
        <v>1.5919881174471999</v>
      </c>
      <c r="AE1341">
        <v>0.71217892245507597</v>
      </c>
      <c r="AF1341">
        <v>1082.9260563380301</v>
      </c>
      <c r="AG1341">
        <f>IFERROR(AH1341*0.1, "N/A")</f>
        <v>5.9285211267605602</v>
      </c>
      <c r="AH1341">
        <v>59.285211267605597</v>
      </c>
      <c r="AI1341">
        <v>82.921553235658493</v>
      </c>
      <c r="AJ1341">
        <v>32.855633802816897</v>
      </c>
      <c r="AK1341">
        <v>46.4295774647887</v>
      </c>
    </row>
    <row r="1342" spans="1:37" x14ac:dyDescent="0.3">
      <c r="A1342">
        <v>1341</v>
      </c>
      <c r="B1342">
        <v>46.700001</v>
      </c>
      <c r="C1342">
        <v>32.756400999999997</v>
      </c>
      <c r="D1342">
        <v>2.56107</v>
      </c>
      <c r="E1342" t="s">
        <v>2350</v>
      </c>
      <c r="F1342" t="s">
        <v>2352</v>
      </c>
      <c r="G1342" t="s">
        <v>37</v>
      </c>
      <c r="H1342">
        <v>0</v>
      </c>
      <c r="I1342">
        <v>23.299999237060501</v>
      </c>
      <c r="J1342">
        <v>13.199999809265099</v>
      </c>
      <c r="K1342">
        <v>77</v>
      </c>
      <c r="L1342">
        <v>10.1499996185303</v>
      </c>
      <c r="M1342">
        <v>33</v>
      </c>
      <c r="N1342">
        <v>16</v>
      </c>
      <c r="O1342">
        <v>17</v>
      </c>
      <c r="P1342">
        <v>22.399999618530298</v>
      </c>
      <c r="Q1342">
        <v>24.299999237060501</v>
      </c>
      <c r="R1342">
        <v>24.700000762939499</v>
      </c>
      <c r="S1342">
        <v>22.100000381469702</v>
      </c>
      <c r="T1342">
        <v>1328</v>
      </c>
      <c r="U1342">
        <v>208</v>
      </c>
      <c r="V1342">
        <v>15</v>
      </c>
      <c r="W1342">
        <v>52</v>
      </c>
      <c r="X1342">
        <v>497</v>
      </c>
      <c r="Y1342">
        <v>85</v>
      </c>
      <c r="Z1342">
        <v>125</v>
      </c>
      <c r="AA1342">
        <v>473</v>
      </c>
      <c r="AB1342">
        <v>15.6138337900941</v>
      </c>
      <c r="AC1342">
        <v>2.4069940987778E-2</v>
      </c>
      <c r="AD1342">
        <v>1.5919881174471999</v>
      </c>
      <c r="AE1342">
        <v>0.71217892245507597</v>
      </c>
      <c r="AF1342">
        <v>1082.9260563380301</v>
      </c>
      <c r="AG1342">
        <f>IFERROR(AH1342*0.1, "N/A")</f>
        <v>5.9285211267605602</v>
      </c>
      <c r="AH1342">
        <v>59.285211267605597</v>
      </c>
      <c r="AI1342">
        <v>82.921553235658493</v>
      </c>
      <c r="AJ1342">
        <v>32.855633802816897</v>
      </c>
      <c r="AK1342">
        <v>46.4295774647887</v>
      </c>
    </row>
    <row r="1343" spans="1:37" x14ac:dyDescent="0.3">
      <c r="A1343">
        <v>1342</v>
      </c>
      <c r="B1343">
        <v>12</v>
      </c>
      <c r="C1343">
        <v>31.415700999999999</v>
      </c>
      <c r="D1343">
        <v>2.56121</v>
      </c>
      <c r="E1343" t="s">
        <v>2353</v>
      </c>
      <c r="F1343" t="s">
        <v>2354</v>
      </c>
      <c r="G1343" t="s">
        <v>37</v>
      </c>
      <c r="H1343">
        <v>2005</v>
      </c>
      <c r="I1343">
        <v>25</v>
      </c>
      <c r="J1343">
        <v>12.699999809265099</v>
      </c>
      <c r="K1343">
        <v>63</v>
      </c>
      <c r="L1343">
        <v>16.969999313354499</v>
      </c>
      <c r="M1343">
        <v>33.900001525878899</v>
      </c>
      <c r="N1343">
        <v>14</v>
      </c>
      <c r="O1343">
        <v>19.899999618530298</v>
      </c>
      <c r="P1343">
        <v>23</v>
      </c>
      <c r="Q1343">
        <v>25.700000762939499</v>
      </c>
      <c r="R1343">
        <v>26.299999237060501</v>
      </c>
      <c r="S1343">
        <v>23</v>
      </c>
      <c r="T1343">
        <v>971</v>
      </c>
      <c r="U1343">
        <v>144</v>
      </c>
      <c r="V1343">
        <v>13</v>
      </c>
      <c r="W1343">
        <v>52</v>
      </c>
      <c r="X1343">
        <v>387</v>
      </c>
      <c r="Y1343">
        <v>54</v>
      </c>
      <c r="Z1343">
        <v>203</v>
      </c>
      <c r="AA1343">
        <v>387</v>
      </c>
      <c r="AB1343">
        <v>11.869432928692101</v>
      </c>
      <c r="AC1343">
        <v>5.0486633915827001E-2</v>
      </c>
      <c r="AD1343">
        <v>1.1864783098701801</v>
      </c>
      <c r="AE1343">
        <v>0.65350598096847501</v>
      </c>
      <c r="AF1343">
        <v>659.82073813708303</v>
      </c>
      <c r="AG1343">
        <f>IFERROR(AH1343*0.1, "N/A")</f>
        <v>6.1963093145870003</v>
      </c>
      <c r="AH1343">
        <v>61.963093145869998</v>
      </c>
      <c r="AI1343">
        <v>41.737080822091499</v>
      </c>
      <c r="AJ1343">
        <v>27.017574692442899</v>
      </c>
      <c r="AK1343">
        <v>53.001757469244303</v>
      </c>
    </row>
    <row r="1344" spans="1:37" x14ac:dyDescent="0.3">
      <c r="A1344">
        <v>1343</v>
      </c>
      <c r="B1344">
        <v>16.700001</v>
      </c>
      <c r="C1344">
        <v>31.439501</v>
      </c>
      <c r="D1344">
        <v>2.5635500000000002</v>
      </c>
      <c r="E1344" t="s">
        <v>2355</v>
      </c>
      <c r="F1344" t="s">
        <v>2356</v>
      </c>
      <c r="G1344" t="s">
        <v>37</v>
      </c>
      <c r="H1344">
        <v>2005</v>
      </c>
      <c r="I1344">
        <v>25</v>
      </c>
      <c r="J1344">
        <v>12.699999809265099</v>
      </c>
      <c r="K1344">
        <v>63</v>
      </c>
      <c r="L1344">
        <v>16.850000381469702</v>
      </c>
      <c r="M1344">
        <v>34</v>
      </c>
      <c r="N1344">
        <v>14.1000003814697</v>
      </c>
      <c r="O1344">
        <v>19.899999618530298</v>
      </c>
      <c r="P1344">
        <v>23.100000381469702</v>
      </c>
      <c r="Q1344">
        <v>25.799999237060501</v>
      </c>
      <c r="R1344">
        <v>26.399999618530298</v>
      </c>
      <c r="S1344">
        <v>23.100000381469702</v>
      </c>
      <c r="T1344">
        <v>977</v>
      </c>
      <c r="U1344">
        <v>143</v>
      </c>
      <c r="V1344">
        <v>13</v>
      </c>
      <c r="W1344">
        <v>51</v>
      </c>
      <c r="X1344">
        <v>386</v>
      </c>
      <c r="Y1344">
        <v>56</v>
      </c>
      <c r="Z1344">
        <v>206</v>
      </c>
      <c r="AA1344">
        <v>386</v>
      </c>
      <c r="AB1344">
        <v>18.071317323496601</v>
      </c>
      <c r="AC1344">
        <v>1.4688492539457001E-2</v>
      </c>
      <c r="AD1344">
        <v>1.78828083839215</v>
      </c>
      <c r="AE1344">
        <v>0.57863503694534302</v>
      </c>
      <c r="AF1344">
        <v>645.84859154929597</v>
      </c>
      <c r="AG1344">
        <f>IFERROR(AH1344*0.1, "N/A")</f>
        <v>6.2431338028169003</v>
      </c>
      <c r="AH1344">
        <v>62.431338028169002</v>
      </c>
      <c r="AI1344">
        <v>153.97127805629199</v>
      </c>
      <c r="AJ1344">
        <v>29.255281690140801</v>
      </c>
      <c r="AK1344">
        <v>51.713028169014102</v>
      </c>
    </row>
    <row r="1345" spans="1:37" x14ac:dyDescent="0.3">
      <c r="A1345">
        <v>1344</v>
      </c>
      <c r="B1345">
        <v>58.299999</v>
      </c>
      <c r="C1345">
        <v>31.438400000000001</v>
      </c>
      <c r="D1345">
        <v>2.5636800000000002</v>
      </c>
      <c r="E1345" t="s">
        <v>2357</v>
      </c>
      <c r="F1345" t="s">
        <v>2358</v>
      </c>
      <c r="G1345" t="s">
        <v>37</v>
      </c>
      <c r="H1345">
        <v>2007</v>
      </c>
      <c r="I1345">
        <v>25</v>
      </c>
      <c r="J1345">
        <v>12.699999809265099</v>
      </c>
      <c r="K1345">
        <v>63</v>
      </c>
      <c r="L1345">
        <v>16.850000381469702</v>
      </c>
      <c r="M1345">
        <v>34</v>
      </c>
      <c r="N1345">
        <v>14.1000003814697</v>
      </c>
      <c r="O1345">
        <v>19.899999618530298</v>
      </c>
      <c r="P1345">
        <v>23.100000381469702</v>
      </c>
      <c r="Q1345">
        <v>25.799999237060501</v>
      </c>
      <c r="R1345">
        <v>26.399999618530298</v>
      </c>
      <c r="S1345">
        <v>23.100000381469702</v>
      </c>
      <c r="T1345">
        <v>977</v>
      </c>
      <c r="U1345">
        <v>143</v>
      </c>
      <c r="V1345">
        <v>13</v>
      </c>
      <c r="W1345">
        <v>51</v>
      </c>
      <c r="X1345">
        <v>386</v>
      </c>
      <c r="Y1345">
        <v>56</v>
      </c>
      <c r="Z1345">
        <v>206</v>
      </c>
      <c r="AA1345">
        <v>386</v>
      </c>
      <c r="AB1345">
        <v>19.287878009635001</v>
      </c>
      <c r="AC1345">
        <v>1.3470715292217999E-2</v>
      </c>
      <c r="AD1345">
        <v>1.2161571269618801</v>
      </c>
      <c r="AE1345">
        <v>0.57863503694534302</v>
      </c>
      <c r="AF1345">
        <v>646.84859154929597</v>
      </c>
      <c r="AG1345">
        <f>IFERROR(AH1345*0.1, "N/A")</f>
        <v>6.1580985915493009</v>
      </c>
      <c r="AH1345">
        <v>61.580985915493002</v>
      </c>
      <c r="AI1345">
        <v>142.76372726870301</v>
      </c>
      <c r="AJ1345">
        <v>29</v>
      </c>
      <c r="AK1345">
        <v>52.580985915493002</v>
      </c>
    </row>
    <row r="1346" spans="1:37" x14ac:dyDescent="0.3">
      <c r="A1346">
        <v>1345</v>
      </c>
      <c r="B1346">
        <v>3.3</v>
      </c>
      <c r="C1346">
        <v>32.785400000000003</v>
      </c>
      <c r="D1346">
        <v>2.57822</v>
      </c>
      <c r="E1346" t="s">
        <v>2359</v>
      </c>
      <c r="F1346" t="s">
        <v>2360</v>
      </c>
      <c r="G1346" t="s">
        <v>39</v>
      </c>
      <c r="H1346">
        <v>0</v>
      </c>
      <c r="I1346">
        <v>23.399999618530298</v>
      </c>
      <c r="J1346">
        <v>13.199999809265099</v>
      </c>
      <c r="K1346">
        <v>76</v>
      </c>
      <c r="L1346">
        <v>10.039999961853001</v>
      </c>
      <c r="M1346">
        <v>33.200000762939503</v>
      </c>
      <c r="N1346">
        <v>16</v>
      </c>
      <c r="O1346">
        <v>17.200000762939499</v>
      </c>
      <c r="P1346">
        <v>22.200000762939499</v>
      </c>
      <c r="Q1346">
        <v>24.399999618530298</v>
      </c>
      <c r="R1346">
        <v>24.899999618530298</v>
      </c>
      <c r="S1346">
        <v>22.200000762939499</v>
      </c>
      <c r="T1346">
        <v>1314</v>
      </c>
      <c r="U1346">
        <v>209</v>
      </c>
      <c r="V1346">
        <v>14</v>
      </c>
      <c r="W1346">
        <v>53</v>
      </c>
      <c r="X1346">
        <v>494</v>
      </c>
      <c r="Y1346">
        <v>83</v>
      </c>
      <c r="Z1346">
        <v>120</v>
      </c>
      <c r="AA1346">
        <v>475</v>
      </c>
      <c r="AB1346">
        <v>21.188567579838299</v>
      </c>
      <c r="AC1346">
        <v>8.5393790024939995E-3</v>
      </c>
      <c r="AD1346">
        <v>2.9116458528920202</v>
      </c>
      <c r="AE1346">
        <v>0.69946938753128096</v>
      </c>
      <c r="AF1346">
        <v>1064.2789473684199</v>
      </c>
      <c r="AG1346">
        <f>IFERROR(AH1346*0.1, "N/A")</f>
        <v>5.8754385964912306</v>
      </c>
      <c r="AH1346">
        <v>58.754385964912302</v>
      </c>
      <c r="AI1346">
        <v>129.51626067579801</v>
      </c>
      <c r="AJ1346">
        <v>39.724561403508801</v>
      </c>
      <c r="AK1346">
        <v>40.724561403508801</v>
      </c>
    </row>
    <row r="1347" spans="1:37" x14ac:dyDescent="0.3">
      <c r="A1347">
        <v>1346</v>
      </c>
      <c r="B1347">
        <v>20</v>
      </c>
      <c r="C1347">
        <v>32.785400000000003</v>
      </c>
      <c r="D1347">
        <v>2.57822</v>
      </c>
      <c r="E1347" t="s">
        <v>2359</v>
      </c>
      <c r="F1347" t="s">
        <v>2361</v>
      </c>
      <c r="G1347" t="s">
        <v>37</v>
      </c>
      <c r="H1347">
        <v>0</v>
      </c>
      <c r="I1347">
        <v>23.399999618530298</v>
      </c>
      <c r="J1347">
        <v>13.199999809265099</v>
      </c>
      <c r="K1347">
        <v>76</v>
      </c>
      <c r="L1347">
        <v>10.039999961853001</v>
      </c>
      <c r="M1347">
        <v>33.200000762939503</v>
      </c>
      <c r="N1347">
        <v>16</v>
      </c>
      <c r="O1347">
        <v>17.200000762939499</v>
      </c>
      <c r="P1347">
        <v>22.200000762939499</v>
      </c>
      <c r="Q1347">
        <v>24.399999618530298</v>
      </c>
      <c r="R1347">
        <v>24.899999618530298</v>
      </c>
      <c r="S1347">
        <v>22.200000762939499</v>
      </c>
      <c r="T1347">
        <v>1314</v>
      </c>
      <c r="U1347">
        <v>209</v>
      </c>
      <c r="V1347">
        <v>14</v>
      </c>
      <c r="W1347">
        <v>53</v>
      </c>
      <c r="X1347">
        <v>494</v>
      </c>
      <c r="Y1347">
        <v>83</v>
      </c>
      <c r="Z1347">
        <v>120</v>
      </c>
      <c r="AA1347">
        <v>475</v>
      </c>
      <c r="AB1347">
        <v>21.188567579838299</v>
      </c>
      <c r="AC1347">
        <v>8.5393790024939995E-3</v>
      </c>
      <c r="AD1347">
        <v>2.9116458528920202</v>
      </c>
      <c r="AE1347">
        <v>0.69946938753128096</v>
      </c>
      <c r="AF1347">
        <v>1064.2789473684199</v>
      </c>
      <c r="AG1347">
        <f>IFERROR(AH1347*0.1, "N/A")</f>
        <v>5.8754385964912306</v>
      </c>
      <c r="AH1347">
        <v>58.754385964912302</v>
      </c>
      <c r="AI1347">
        <v>129.51626067579801</v>
      </c>
      <c r="AJ1347">
        <v>39.724561403508801</v>
      </c>
      <c r="AK1347">
        <v>40.724561403508801</v>
      </c>
    </row>
    <row r="1348" spans="1:37" x14ac:dyDescent="0.3">
      <c r="A1348">
        <v>1347</v>
      </c>
      <c r="B1348">
        <v>0</v>
      </c>
      <c r="C1348">
        <v>32.464801999999999</v>
      </c>
      <c r="D1348">
        <v>2.5865999999999998</v>
      </c>
      <c r="E1348" t="s">
        <v>2362</v>
      </c>
      <c r="F1348" t="s">
        <v>2363</v>
      </c>
      <c r="G1348" t="s">
        <v>39</v>
      </c>
      <c r="H1348">
        <v>0</v>
      </c>
      <c r="I1348">
        <v>23.200000762939499</v>
      </c>
      <c r="J1348">
        <v>12.800000190734901</v>
      </c>
      <c r="K1348">
        <v>77</v>
      </c>
      <c r="L1348">
        <v>10.079999923706101</v>
      </c>
      <c r="M1348">
        <v>32.599998474121101</v>
      </c>
      <c r="N1348">
        <v>16.100000381469702</v>
      </c>
      <c r="O1348">
        <v>16.5</v>
      </c>
      <c r="P1348">
        <v>22.200000762939499</v>
      </c>
      <c r="Q1348">
        <v>24.200000762939499</v>
      </c>
      <c r="R1348">
        <v>24.600000381469702</v>
      </c>
      <c r="S1348">
        <v>21.899999618530298</v>
      </c>
      <c r="T1348">
        <v>1430</v>
      </c>
      <c r="U1348">
        <v>203</v>
      </c>
      <c r="V1348">
        <v>19</v>
      </c>
      <c r="W1348">
        <v>49</v>
      </c>
      <c r="X1348">
        <v>539</v>
      </c>
      <c r="Y1348">
        <v>94</v>
      </c>
      <c r="Z1348">
        <v>148</v>
      </c>
      <c r="AA1348">
        <v>515</v>
      </c>
      <c r="AB1348">
        <v>12.5138900569118</v>
      </c>
      <c r="AC1348">
        <v>3.7368861873272E-2</v>
      </c>
      <c r="AD1348">
        <v>3.0704596652297398</v>
      </c>
      <c r="AE1348">
        <v>0.57568323612213101</v>
      </c>
      <c r="AF1348">
        <v>1085.61862917399</v>
      </c>
      <c r="AG1348">
        <f>IFERROR(AH1348*0.1, "N/A")</f>
        <v>5.9137082601054507</v>
      </c>
      <c r="AH1348">
        <v>59.137082601054502</v>
      </c>
      <c r="AI1348">
        <v>257.94115071221302</v>
      </c>
      <c r="AJ1348">
        <v>38.137082601054502</v>
      </c>
      <c r="AK1348">
        <v>43.664323374340903</v>
      </c>
    </row>
    <row r="1349" spans="1:37" x14ac:dyDescent="0.3">
      <c r="A1349">
        <v>1348</v>
      </c>
      <c r="B1349">
        <v>1.7</v>
      </c>
      <c r="C1349">
        <v>34.742401000000001</v>
      </c>
      <c r="D1349">
        <v>2.5866799999999999</v>
      </c>
      <c r="E1349" t="s">
        <v>2364</v>
      </c>
      <c r="F1349" t="s">
        <v>2365</v>
      </c>
      <c r="G1349" t="s">
        <v>37</v>
      </c>
      <c r="H1349">
        <v>2004</v>
      </c>
      <c r="I1349">
        <v>20.299999237060501</v>
      </c>
      <c r="J1349">
        <v>12.6000003814697</v>
      </c>
      <c r="K1349">
        <v>80</v>
      </c>
      <c r="L1349">
        <v>8.2700004577636701</v>
      </c>
      <c r="M1349">
        <v>28.799999237060501</v>
      </c>
      <c r="N1349">
        <v>13.199999809265099</v>
      </c>
      <c r="O1349">
        <v>15.6000003814697</v>
      </c>
      <c r="P1349">
        <v>19.399999618530298</v>
      </c>
      <c r="Q1349">
        <v>21.100000381469702</v>
      </c>
      <c r="R1349">
        <v>21.399999618530298</v>
      </c>
      <c r="S1349">
        <v>19.200000762939499</v>
      </c>
      <c r="T1349">
        <v>838</v>
      </c>
      <c r="U1349">
        <v>131</v>
      </c>
      <c r="V1349">
        <v>12</v>
      </c>
      <c r="W1349">
        <v>54</v>
      </c>
      <c r="X1349">
        <v>328</v>
      </c>
      <c r="Y1349">
        <v>67</v>
      </c>
      <c r="Z1349">
        <v>108</v>
      </c>
      <c r="AA1349">
        <v>311</v>
      </c>
      <c r="AB1349">
        <v>19.826170161732499</v>
      </c>
      <c r="AC1349">
        <v>4.9078701317245003E-2</v>
      </c>
      <c r="AD1349">
        <v>4.4788495134888997</v>
      </c>
      <c r="AE1349">
        <v>0.282440274953842</v>
      </c>
      <c r="AF1349">
        <v>1694.48596491228</v>
      </c>
      <c r="AG1349">
        <f>IFERROR(AH1349*0.1, "N/A")</f>
        <v>6.2857894736842104</v>
      </c>
      <c r="AH1349">
        <v>62.857894736842098</v>
      </c>
      <c r="AI1349">
        <v>103.348755217435</v>
      </c>
      <c r="AJ1349">
        <v>39.142105263157902</v>
      </c>
      <c r="AK1349">
        <v>36</v>
      </c>
    </row>
    <row r="1350" spans="1:37" x14ac:dyDescent="0.3">
      <c r="A1350">
        <v>1349</v>
      </c>
      <c r="B1350">
        <v>13.6</v>
      </c>
      <c r="C1350">
        <v>31.953399999999998</v>
      </c>
      <c r="D1350">
        <v>2.5931799999999998</v>
      </c>
      <c r="E1350" t="s">
        <v>2366</v>
      </c>
      <c r="F1350" t="s">
        <v>2367</v>
      </c>
      <c r="G1350" t="s">
        <v>37</v>
      </c>
      <c r="H1350">
        <v>2004</v>
      </c>
      <c r="I1350">
        <v>23.600000381469702</v>
      </c>
      <c r="J1350">
        <v>12.5</v>
      </c>
      <c r="K1350">
        <v>75</v>
      </c>
      <c r="L1350">
        <v>9.8900003433227504</v>
      </c>
      <c r="M1350">
        <v>32.700000762939503</v>
      </c>
      <c r="N1350">
        <v>16.100000381469702</v>
      </c>
      <c r="O1350">
        <v>16.600000381469702</v>
      </c>
      <c r="P1350">
        <v>22.5</v>
      </c>
      <c r="Q1350">
        <v>24.5</v>
      </c>
      <c r="R1350">
        <v>24.899999618530298</v>
      </c>
      <c r="S1350">
        <v>22.5</v>
      </c>
      <c r="T1350">
        <v>1314</v>
      </c>
      <c r="U1350">
        <v>181</v>
      </c>
      <c r="V1350">
        <v>19</v>
      </c>
      <c r="W1350">
        <v>49</v>
      </c>
      <c r="X1350">
        <v>513</v>
      </c>
      <c r="Y1350">
        <v>89</v>
      </c>
      <c r="Z1350">
        <v>134</v>
      </c>
      <c r="AA1350">
        <v>513</v>
      </c>
      <c r="AB1350">
        <v>26.908921947813901</v>
      </c>
      <c r="AC1350">
        <v>1.7632850419664999E-2</v>
      </c>
      <c r="AD1350">
        <v>2.12725457141274</v>
      </c>
      <c r="AE1350">
        <v>0.37244603037834201</v>
      </c>
      <c r="AF1350">
        <v>994.37719298245599</v>
      </c>
      <c r="AG1350">
        <f>IFERROR(AH1350*0.1, "N/A")</f>
        <v>5.8100000000000005</v>
      </c>
      <c r="AH1350">
        <v>58.1</v>
      </c>
      <c r="AI1350">
        <v>263.10822970741702</v>
      </c>
      <c r="AJ1350">
        <v>32.863157894736801</v>
      </c>
      <c r="AK1350">
        <v>48.189473684210498</v>
      </c>
    </row>
    <row r="1351" spans="1:37" x14ac:dyDescent="0.3">
      <c r="A1351">
        <v>1350</v>
      </c>
      <c r="B1351">
        <v>18.200001</v>
      </c>
      <c r="C1351">
        <v>31.388300000000001</v>
      </c>
      <c r="D1351">
        <v>2.5995400000000002</v>
      </c>
      <c r="E1351" t="s">
        <v>2368</v>
      </c>
      <c r="F1351" t="s">
        <v>2369</v>
      </c>
      <c r="G1351" t="s">
        <v>37</v>
      </c>
      <c r="H1351">
        <v>2005</v>
      </c>
      <c r="I1351">
        <v>25.100000381469702</v>
      </c>
      <c r="J1351">
        <v>12.835500866331801</v>
      </c>
      <c r="K1351">
        <v>67.355008787346193</v>
      </c>
      <c r="L1351">
        <v>14.1837960965604</v>
      </c>
      <c r="M1351">
        <v>33.9355018629131</v>
      </c>
      <c r="N1351">
        <v>15.071001689756701</v>
      </c>
      <c r="O1351">
        <v>18.8644986043705</v>
      </c>
      <c r="P1351">
        <v>23.435500632690001</v>
      </c>
      <c r="Q1351">
        <v>25.6355013956295</v>
      </c>
      <c r="R1351">
        <v>26.335500251220299</v>
      </c>
      <c r="S1351">
        <v>23.435500632690001</v>
      </c>
      <c r="T1351">
        <v>975.42003514938494</v>
      </c>
      <c r="U1351">
        <v>144</v>
      </c>
      <c r="V1351">
        <v>13</v>
      </c>
      <c r="W1351">
        <v>51</v>
      </c>
      <c r="X1351">
        <v>389.35500878734598</v>
      </c>
      <c r="Y1351">
        <v>55.3550087873462</v>
      </c>
      <c r="Z1351">
        <v>207.71001757469199</v>
      </c>
      <c r="AA1351">
        <v>389.35500878734598</v>
      </c>
      <c r="AB1351">
        <v>17.399473917714701</v>
      </c>
      <c r="AC1351">
        <v>8.5392391377889995E-3</v>
      </c>
      <c r="AD1351">
        <v>1.8240635789970101</v>
      </c>
      <c r="AE1351">
        <v>0.56142789125442505</v>
      </c>
      <c r="AF1351">
        <v>647.00351493848802</v>
      </c>
      <c r="AG1351">
        <f>IFERROR(AH1351*0.1, "N/A")</f>
        <v>6.2</v>
      </c>
      <c r="AH1351">
        <v>62</v>
      </c>
      <c r="AI1351">
        <v>239.73805419171001</v>
      </c>
      <c r="AJ1351">
        <v>32</v>
      </c>
      <c r="AK1351">
        <v>48.984182776801397</v>
      </c>
    </row>
    <row r="1352" spans="1:37" x14ac:dyDescent="0.3">
      <c r="A1352">
        <v>1351</v>
      </c>
      <c r="B1352">
        <v>16.399999999999999</v>
      </c>
      <c r="C1352">
        <v>32.752200999999999</v>
      </c>
      <c r="D1352">
        <v>2.6012499999999998</v>
      </c>
      <c r="E1352" t="s">
        <v>2370</v>
      </c>
      <c r="F1352" t="s">
        <v>2371</v>
      </c>
      <c r="G1352" t="s">
        <v>39</v>
      </c>
      <c r="H1352">
        <v>1960</v>
      </c>
      <c r="I1352">
        <v>23.399999618530298</v>
      </c>
      <c r="J1352">
        <v>13.199999809265099</v>
      </c>
      <c r="K1352">
        <v>77</v>
      </c>
      <c r="L1352">
        <v>10.069999694824199</v>
      </c>
      <c r="M1352">
        <v>33.099998474121101</v>
      </c>
      <c r="N1352">
        <v>16.100000381469702</v>
      </c>
      <c r="O1352">
        <v>17</v>
      </c>
      <c r="P1352">
        <v>22.200000762939499</v>
      </c>
      <c r="Q1352">
        <v>24.399999618530298</v>
      </c>
      <c r="R1352">
        <v>24.799999237060501</v>
      </c>
      <c r="S1352">
        <v>22.200000762939499</v>
      </c>
      <c r="T1352">
        <v>1331</v>
      </c>
      <c r="U1352">
        <v>211</v>
      </c>
      <c r="V1352">
        <v>14</v>
      </c>
      <c r="W1352">
        <v>52</v>
      </c>
      <c r="X1352">
        <v>498</v>
      </c>
      <c r="Y1352">
        <v>85</v>
      </c>
      <c r="Z1352">
        <v>123</v>
      </c>
      <c r="AA1352">
        <v>479</v>
      </c>
      <c r="AB1352">
        <v>21.396899714411202</v>
      </c>
      <c r="AC1352">
        <v>8.7793454681709994E-3</v>
      </c>
      <c r="AD1352">
        <v>2.22958375510935</v>
      </c>
      <c r="AE1352">
        <v>0.67744803428649902</v>
      </c>
      <c r="AF1352">
        <v>1069.11775043937</v>
      </c>
      <c r="AG1352">
        <f>IFERROR(AH1352*0.1, "N/A")</f>
        <v>5.8000000000000007</v>
      </c>
      <c r="AH1352">
        <v>58</v>
      </c>
      <c r="AI1352">
        <v>230.853396692259</v>
      </c>
      <c r="AJ1352">
        <v>40.360281195079097</v>
      </c>
      <c r="AK1352">
        <v>41.713532513181001</v>
      </c>
    </row>
    <row r="1353" spans="1:37" x14ac:dyDescent="0.3">
      <c r="A1353">
        <v>1352</v>
      </c>
      <c r="B1353">
        <v>0</v>
      </c>
      <c r="C1353">
        <v>32.752200999999999</v>
      </c>
      <c r="D1353">
        <v>2.6012499999999998</v>
      </c>
      <c r="E1353" t="s">
        <v>2370</v>
      </c>
      <c r="F1353" t="s">
        <v>2372</v>
      </c>
      <c r="G1353" t="s">
        <v>37</v>
      </c>
      <c r="H1353">
        <v>1960</v>
      </c>
      <c r="I1353">
        <v>23.399999618530298</v>
      </c>
      <c r="J1353">
        <v>13.199999809265099</v>
      </c>
      <c r="K1353">
        <v>77</v>
      </c>
      <c r="L1353">
        <v>10.069999694824199</v>
      </c>
      <c r="M1353">
        <v>33.099998474121101</v>
      </c>
      <c r="N1353">
        <v>16.100000381469702</v>
      </c>
      <c r="O1353">
        <v>17</v>
      </c>
      <c r="P1353">
        <v>22.200000762939499</v>
      </c>
      <c r="Q1353">
        <v>24.399999618530298</v>
      </c>
      <c r="R1353">
        <v>24.799999237060501</v>
      </c>
      <c r="S1353">
        <v>22.200000762939499</v>
      </c>
      <c r="T1353">
        <v>1331</v>
      </c>
      <c r="U1353">
        <v>211</v>
      </c>
      <c r="V1353">
        <v>14</v>
      </c>
      <c r="W1353">
        <v>52</v>
      </c>
      <c r="X1353">
        <v>498</v>
      </c>
      <c r="Y1353">
        <v>85</v>
      </c>
      <c r="Z1353">
        <v>123</v>
      </c>
      <c r="AA1353">
        <v>479</v>
      </c>
      <c r="AB1353">
        <v>21.396899714411202</v>
      </c>
      <c r="AC1353">
        <v>8.7793454681709994E-3</v>
      </c>
      <c r="AD1353">
        <v>2.22958375510935</v>
      </c>
      <c r="AE1353">
        <v>0.67744803428649902</v>
      </c>
      <c r="AF1353">
        <v>1069.11775043937</v>
      </c>
      <c r="AG1353">
        <f>IFERROR(AH1353*0.1, "N/A")</f>
        <v>5.8000000000000007</v>
      </c>
      <c r="AH1353">
        <v>58</v>
      </c>
      <c r="AI1353">
        <v>230.853396692259</v>
      </c>
      <c r="AJ1353">
        <v>40.360281195079097</v>
      </c>
      <c r="AK1353">
        <v>41.713532513181001</v>
      </c>
    </row>
    <row r="1354" spans="1:37" x14ac:dyDescent="0.3">
      <c r="A1354">
        <v>1353</v>
      </c>
      <c r="B1354">
        <v>0</v>
      </c>
      <c r="C1354">
        <v>32.174500000000002</v>
      </c>
      <c r="D1354">
        <v>2.6045699999999998</v>
      </c>
      <c r="E1354" t="s">
        <v>2373</v>
      </c>
      <c r="F1354" t="s">
        <v>2374</v>
      </c>
      <c r="G1354" t="s">
        <v>37</v>
      </c>
      <c r="H1354">
        <v>2004</v>
      </c>
      <c r="I1354">
        <v>22.9130049405492</v>
      </c>
      <c r="J1354">
        <v>12.5</v>
      </c>
      <c r="K1354">
        <v>77.869947275922698</v>
      </c>
      <c r="L1354">
        <v>9.8591040324662007</v>
      </c>
      <c r="M1354">
        <v>32.113004044195897</v>
      </c>
      <c r="N1354">
        <v>16.100000381469702</v>
      </c>
      <c r="O1354">
        <v>16.013005322018898</v>
      </c>
      <c r="P1354">
        <v>22</v>
      </c>
      <c r="Q1354">
        <v>23.9130049405492</v>
      </c>
      <c r="R1354">
        <v>24.313004559079499</v>
      </c>
      <c r="S1354">
        <v>21.799999237060501</v>
      </c>
      <c r="T1354">
        <v>1409.8699472759199</v>
      </c>
      <c r="U1354">
        <v>202.86994727592301</v>
      </c>
      <c r="V1354">
        <v>20</v>
      </c>
      <c r="W1354">
        <v>50</v>
      </c>
      <c r="X1354">
        <v>553.86994727592298</v>
      </c>
      <c r="Y1354">
        <v>93</v>
      </c>
      <c r="Z1354">
        <v>139</v>
      </c>
      <c r="AA1354">
        <v>466.59226713532502</v>
      </c>
      <c r="AB1354">
        <v>15.6349439034353</v>
      </c>
      <c r="AC1354">
        <v>1.0895361878330999E-2</v>
      </c>
      <c r="AD1354">
        <v>1.02558411445685</v>
      </c>
      <c r="AE1354">
        <v>0.51718801259994496</v>
      </c>
      <c r="AF1354">
        <v>1124.7697715290001</v>
      </c>
      <c r="AG1354">
        <f>IFERROR(AH1354*0.1, "N/A")</f>
        <v>5.8885764499121303</v>
      </c>
      <c r="AH1354">
        <v>58.885764499121301</v>
      </c>
      <c r="AI1354">
        <v>271.07253572433802</v>
      </c>
      <c r="AJ1354">
        <v>32.226713532513202</v>
      </c>
      <c r="AK1354">
        <v>48.646748681898103</v>
      </c>
    </row>
    <row r="1355" spans="1:37" x14ac:dyDescent="0.3">
      <c r="A1355">
        <v>1354</v>
      </c>
      <c r="B1355">
        <v>9.6999999999999993</v>
      </c>
      <c r="C1355">
        <v>32.164000999999999</v>
      </c>
      <c r="D1355">
        <v>2.6110000000000002</v>
      </c>
      <c r="E1355" t="s">
        <v>2375</v>
      </c>
      <c r="F1355" t="s">
        <v>2376</v>
      </c>
      <c r="G1355" t="s">
        <v>37</v>
      </c>
      <c r="H1355">
        <v>2004</v>
      </c>
      <c r="I1355">
        <v>22.899999618530298</v>
      </c>
      <c r="J1355">
        <v>12.5</v>
      </c>
      <c r="K1355">
        <v>78</v>
      </c>
      <c r="L1355">
        <v>9.8699998855590803</v>
      </c>
      <c r="M1355">
        <v>32.099998474121101</v>
      </c>
      <c r="N1355">
        <v>16.100000381469702</v>
      </c>
      <c r="O1355">
        <v>16</v>
      </c>
      <c r="P1355">
        <v>22</v>
      </c>
      <c r="Q1355">
        <v>23.899999618530298</v>
      </c>
      <c r="R1355">
        <v>24.299999237060501</v>
      </c>
      <c r="S1355">
        <v>21.799999237060501</v>
      </c>
      <c r="T1355">
        <v>1410</v>
      </c>
      <c r="U1355">
        <v>203</v>
      </c>
      <c r="V1355">
        <v>20</v>
      </c>
      <c r="W1355">
        <v>50</v>
      </c>
      <c r="X1355">
        <v>556</v>
      </c>
      <c r="Y1355">
        <v>93</v>
      </c>
      <c r="Z1355">
        <v>138</v>
      </c>
      <c r="AA1355">
        <v>506</v>
      </c>
      <c r="AB1355">
        <v>8.7128298047562698</v>
      </c>
      <c r="AC1355">
        <v>2.3723229405167998E-2</v>
      </c>
      <c r="AD1355">
        <v>2.19511260910773</v>
      </c>
      <c r="AE1355">
        <v>0.52318757772445701</v>
      </c>
      <c r="AF1355">
        <v>1118.86267605634</v>
      </c>
      <c r="AG1355">
        <f>IFERROR(AH1355*0.1, "N/A")</f>
        <v>5.6903169014084503</v>
      </c>
      <c r="AH1355">
        <v>56.903169014084497</v>
      </c>
      <c r="AI1355">
        <v>80.666647467814698</v>
      </c>
      <c r="AJ1355">
        <v>33.121478873239397</v>
      </c>
      <c r="AK1355">
        <v>47.549295774647902</v>
      </c>
    </row>
    <row r="1356" spans="1:37" x14ac:dyDescent="0.3">
      <c r="A1356">
        <v>1355</v>
      </c>
      <c r="B1356">
        <v>3.2</v>
      </c>
      <c r="C1356">
        <v>32.474899000000001</v>
      </c>
      <c r="D1356">
        <v>2.6135000000000002</v>
      </c>
      <c r="E1356" t="s">
        <v>2377</v>
      </c>
      <c r="F1356" t="s">
        <v>2378</v>
      </c>
      <c r="G1356" t="s">
        <v>37</v>
      </c>
      <c r="H1356">
        <v>2004</v>
      </c>
      <c r="I1356">
        <v>23.0416814199471</v>
      </c>
      <c r="J1356">
        <v>12.699999809265099</v>
      </c>
      <c r="K1356">
        <v>76.583187390542903</v>
      </c>
      <c r="L1356">
        <v>10.0649739464194</v>
      </c>
      <c r="M1356">
        <v>32.441682150818998</v>
      </c>
      <c r="N1356">
        <v>16</v>
      </c>
      <c r="O1356">
        <v>16.441681038477402</v>
      </c>
      <c r="P1356">
        <v>22.100000381469702</v>
      </c>
      <c r="Q1356">
        <v>24.0416814199471</v>
      </c>
      <c r="R1356">
        <v>24.441681038477402</v>
      </c>
      <c r="S1356">
        <v>21.783362807826698</v>
      </c>
      <c r="T1356">
        <v>1450.74956217163</v>
      </c>
      <c r="U1356">
        <v>207</v>
      </c>
      <c r="V1356">
        <v>19</v>
      </c>
      <c r="W1356">
        <v>50</v>
      </c>
      <c r="X1356">
        <v>546.16637478108601</v>
      </c>
      <c r="Y1356">
        <v>94.583187390542903</v>
      </c>
      <c r="Z1356">
        <v>144.583187390543</v>
      </c>
      <c r="AA1356">
        <v>527.583187390543</v>
      </c>
      <c r="AB1356">
        <v>26.31782940599</v>
      </c>
      <c r="AC1356">
        <v>1.5807140784929001E-2</v>
      </c>
      <c r="AD1356">
        <v>3.0360249412456399</v>
      </c>
      <c r="AE1356">
        <v>0.55898296833038297</v>
      </c>
      <c r="AF1356">
        <v>1132.5709281961499</v>
      </c>
      <c r="AG1356">
        <f>IFERROR(AH1356*0.1, "N/A")</f>
        <v>5.8000000000000007</v>
      </c>
      <c r="AH1356">
        <v>58</v>
      </c>
      <c r="AI1356">
        <v>91.787906132312202</v>
      </c>
      <c r="AJ1356">
        <v>37.1138353765324</v>
      </c>
      <c r="AK1356">
        <v>44.795096322241697</v>
      </c>
    </row>
    <row r="1357" spans="1:37" x14ac:dyDescent="0.3">
      <c r="A1357">
        <v>1356</v>
      </c>
      <c r="B1357">
        <v>53.299999</v>
      </c>
      <c r="C1357">
        <v>32.940398999999999</v>
      </c>
      <c r="D1357">
        <v>2.61815</v>
      </c>
      <c r="E1357" t="s">
        <v>2379</v>
      </c>
      <c r="F1357" t="s">
        <v>2380</v>
      </c>
      <c r="G1357" t="s">
        <v>37</v>
      </c>
      <c r="H1357">
        <v>1967</v>
      </c>
      <c r="I1357">
        <v>23.799999237060501</v>
      </c>
      <c r="J1357">
        <v>13.3999996185303</v>
      </c>
      <c r="K1357">
        <v>77</v>
      </c>
      <c r="L1357">
        <v>10.8599996566772</v>
      </c>
      <c r="M1357">
        <v>33.599998474121101</v>
      </c>
      <c r="N1357">
        <v>16.299999237060501</v>
      </c>
      <c r="O1357">
        <v>17.299999237060501</v>
      </c>
      <c r="P1357">
        <v>22.399999618530298</v>
      </c>
      <c r="Q1357">
        <v>24.799999237060501</v>
      </c>
      <c r="R1357">
        <v>25.299999237060501</v>
      </c>
      <c r="S1357">
        <v>22.399999618530298</v>
      </c>
      <c r="T1357">
        <v>1265</v>
      </c>
      <c r="U1357">
        <v>201</v>
      </c>
      <c r="V1357">
        <v>11</v>
      </c>
      <c r="W1357">
        <v>54</v>
      </c>
      <c r="X1357">
        <v>487</v>
      </c>
      <c r="Y1357">
        <v>75</v>
      </c>
      <c r="Z1357">
        <v>111</v>
      </c>
      <c r="AA1357">
        <v>487</v>
      </c>
      <c r="AB1357">
        <v>29.1560543442443</v>
      </c>
      <c r="AC1357">
        <v>9.6046248997559997E-3</v>
      </c>
      <c r="AD1357">
        <v>2.6755866315117598</v>
      </c>
      <c r="AE1357">
        <v>0.54442644119262695</v>
      </c>
      <c r="AF1357">
        <v>1019.26362038664</v>
      </c>
      <c r="AG1357">
        <f>IFERROR(AH1357*0.1, "N/A")</f>
        <v>6.0875219683655502</v>
      </c>
      <c r="AH1357">
        <v>60.875219683655502</v>
      </c>
      <c r="AI1357">
        <v>218.73032861183299</v>
      </c>
      <c r="AJ1357">
        <v>44.875219683655502</v>
      </c>
      <c r="AK1357">
        <v>38.124780316344498</v>
      </c>
    </row>
    <row r="1358" spans="1:37" x14ac:dyDescent="0.3">
      <c r="A1358">
        <v>1357</v>
      </c>
      <c r="B1358">
        <v>0</v>
      </c>
      <c r="C1358">
        <v>32.940398999999999</v>
      </c>
      <c r="D1358">
        <v>2.61815</v>
      </c>
      <c r="E1358" t="s">
        <v>2379</v>
      </c>
      <c r="F1358" t="s">
        <v>2381</v>
      </c>
      <c r="G1358" t="s">
        <v>39</v>
      </c>
      <c r="H1358">
        <v>1967</v>
      </c>
      <c r="I1358">
        <v>23.799999237060501</v>
      </c>
      <c r="J1358">
        <v>13.3999996185303</v>
      </c>
      <c r="K1358">
        <v>77</v>
      </c>
      <c r="L1358">
        <v>10.8599996566772</v>
      </c>
      <c r="M1358">
        <v>33.599998474121101</v>
      </c>
      <c r="N1358">
        <v>16.299999237060501</v>
      </c>
      <c r="O1358">
        <v>17.299999237060501</v>
      </c>
      <c r="P1358">
        <v>22.399999618530298</v>
      </c>
      <c r="Q1358">
        <v>24.799999237060501</v>
      </c>
      <c r="R1358">
        <v>25.299999237060501</v>
      </c>
      <c r="S1358">
        <v>22.399999618530298</v>
      </c>
      <c r="T1358">
        <v>1265</v>
      </c>
      <c r="U1358">
        <v>201</v>
      </c>
      <c r="V1358">
        <v>11</v>
      </c>
      <c r="W1358">
        <v>54</v>
      </c>
      <c r="X1358">
        <v>487</v>
      </c>
      <c r="Y1358">
        <v>75</v>
      </c>
      <c r="Z1358">
        <v>111</v>
      </c>
      <c r="AA1358">
        <v>487</v>
      </c>
      <c r="AB1358">
        <v>29.1560543442443</v>
      </c>
      <c r="AC1358">
        <v>9.6046248997559997E-3</v>
      </c>
      <c r="AD1358">
        <v>2.6755866315117598</v>
      </c>
      <c r="AE1358">
        <v>0.54442644119262695</v>
      </c>
      <c r="AF1358">
        <v>1019.26362038664</v>
      </c>
      <c r="AG1358">
        <f>IFERROR(AH1358*0.1, "N/A")</f>
        <v>6.0875219683655502</v>
      </c>
      <c r="AH1358">
        <v>60.875219683655502</v>
      </c>
      <c r="AI1358">
        <v>218.73032861183299</v>
      </c>
      <c r="AJ1358">
        <v>44.875219683655502</v>
      </c>
      <c r="AK1358">
        <v>38.124780316344498</v>
      </c>
    </row>
    <row r="1359" spans="1:37" x14ac:dyDescent="0.3">
      <c r="A1359">
        <v>1358</v>
      </c>
      <c r="B1359">
        <v>0</v>
      </c>
      <c r="C1359">
        <v>33.662399000000001</v>
      </c>
      <c r="D1359">
        <v>2.67686</v>
      </c>
      <c r="E1359" t="s">
        <v>2382</v>
      </c>
      <c r="F1359" t="s">
        <v>2383</v>
      </c>
      <c r="G1359" t="s">
        <v>37</v>
      </c>
      <c r="H1359">
        <v>2004</v>
      </c>
      <c r="I1359">
        <v>21.899999618530298</v>
      </c>
      <c r="J1359">
        <v>12.6000003814697</v>
      </c>
      <c r="K1359">
        <v>79</v>
      </c>
      <c r="L1359">
        <v>9.8800001144409197</v>
      </c>
      <c r="M1359">
        <v>30.899999618530298</v>
      </c>
      <c r="N1359">
        <v>15</v>
      </c>
      <c r="O1359">
        <v>15.8999996185303</v>
      </c>
      <c r="P1359">
        <v>20.600000381469702</v>
      </c>
      <c r="Q1359">
        <v>22.899999618530298</v>
      </c>
      <c r="R1359">
        <v>23.299999237060501</v>
      </c>
      <c r="S1359">
        <v>20.600000381469702</v>
      </c>
      <c r="T1359">
        <v>1166</v>
      </c>
      <c r="U1359">
        <v>174</v>
      </c>
      <c r="V1359">
        <v>13</v>
      </c>
      <c r="W1359">
        <v>53</v>
      </c>
      <c r="X1359">
        <v>455</v>
      </c>
      <c r="Y1359">
        <v>82</v>
      </c>
      <c r="Z1359">
        <v>119</v>
      </c>
      <c r="AA1359">
        <v>455</v>
      </c>
      <c r="AB1359">
        <v>246.75696916362301</v>
      </c>
      <c r="AC1359">
        <v>9.4721244039219998E-2</v>
      </c>
      <c r="AD1359">
        <v>26.097095700684701</v>
      </c>
      <c r="AE1359">
        <v>0.17124152471604401</v>
      </c>
      <c r="AF1359">
        <v>1389.12126537786</v>
      </c>
      <c r="AG1359">
        <f>IFERROR(AH1359*0.1, "N/A")</f>
        <v>5.4994727592267099</v>
      </c>
      <c r="AH1359">
        <v>54.994727592267097</v>
      </c>
      <c r="AI1359">
        <v>268.67117328342101</v>
      </c>
      <c r="AJ1359">
        <v>39.2759226713533</v>
      </c>
      <c r="AK1359">
        <v>37.729349736379604</v>
      </c>
    </row>
    <row r="1360" spans="1:37" x14ac:dyDescent="0.3">
      <c r="A1360">
        <v>1359</v>
      </c>
      <c r="B1360">
        <v>17.200001</v>
      </c>
      <c r="C1360">
        <v>32.725101000000002</v>
      </c>
      <c r="D1360">
        <v>2.6814300000000002</v>
      </c>
      <c r="E1360" t="s">
        <v>2384</v>
      </c>
      <c r="F1360" t="s">
        <v>2385</v>
      </c>
      <c r="G1360" t="s">
        <v>39</v>
      </c>
      <c r="H1360">
        <v>1960</v>
      </c>
      <c r="I1360">
        <v>23.799999237060501</v>
      </c>
      <c r="J1360">
        <v>13.300000190734901</v>
      </c>
      <c r="K1360">
        <v>76</v>
      </c>
      <c r="L1360">
        <v>10.318772215592199</v>
      </c>
      <c r="M1360">
        <v>33.599998474121101</v>
      </c>
      <c r="N1360">
        <v>16.299999237060501</v>
      </c>
      <c r="O1360">
        <v>17.299999237060501</v>
      </c>
      <c r="P1360">
        <v>22.5</v>
      </c>
      <c r="Q1360">
        <v>24.799999237060501</v>
      </c>
      <c r="R1360">
        <v>25.299999237060501</v>
      </c>
      <c r="S1360">
        <v>22.5</v>
      </c>
      <c r="T1360">
        <v>1331.5263157894699</v>
      </c>
      <c r="U1360">
        <v>211</v>
      </c>
      <c r="V1360">
        <v>12.175438596491199</v>
      </c>
      <c r="W1360">
        <v>52.824561403508802</v>
      </c>
      <c r="X1360">
        <v>498.17543859649101</v>
      </c>
      <c r="Y1360">
        <v>82.175438596491205</v>
      </c>
      <c r="Z1360">
        <v>121.17543859649101</v>
      </c>
      <c r="AA1360">
        <v>498.17543859649101</v>
      </c>
      <c r="AB1360">
        <v>8.9980826394599802</v>
      </c>
      <c r="AC1360">
        <v>6.1223814406088997E-2</v>
      </c>
      <c r="AD1360">
        <v>2.8836193006289599</v>
      </c>
      <c r="AE1360">
        <v>0.37256774306297302</v>
      </c>
      <c r="AF1360">
        <v>1007.61754385965</v>
      </c>
      <c r="AG1360">
        <f>IFERROR(AH1360*0.1, "N/A")</f>
        <v>6</v>
      </c>
      <c r="AH1360">
        <v>60</v>
      </c>
      <c r="AI1360">
        <v>114.805191160503</v>
      </c>
      <c r="AJ1360">
        <v>43.824561403508802</v>
      </c>
      <c r="AK1360">
        <v>39.175438596491198</v>
      </c>
    </row>
    <row r="1361" spans="1:37" x14ac:dyDescent="0.3">
      <c r="A1361">
        <v>1360</v>
      </c>
      <c r="B1361">
        <v>0</v>
      </c>
      <c r="C1361">
        <v>32.785099000000002</v>
      </c>
      <c r="D1361">
        <v>2.6859099999999998</v>
      </c>
      <c r="E1361" t="s">
        <v>2386</v>
      </c>
      <c r="F1361" t="s">
        <v>2387</v>
      </c>
      <c r="G1361" t="s">
        <v>39</v>
      </c>
      <c r="H1361">
        <v>1960</v>
      </c>
      <c r="I1361">
        <v>23.899999618530298</v>
      </c>
      <c r="J1361">
        <v>13.3999996185303</v>
      </c>
      <c r="K1361">
        <v>77</v>
      </c>
      <c r="L1361">
        <v>10.3900003433228</v>
      </c>
      <c r="M1361">
        <v>33.700000762939503</v>
      </c>
      <c r="N1361">
        <v>16.299999237060501</v>
      </c>
      <c r="O1361">
        <v>17.399999618530298</v>
      </c>
      <c r="P1361">
        <v>22.600000381469702</v>
      </c>
      <c r="Q1361">
        <v>24.799999237060501</v>
      </c>
      <c r="R1361">
        <v>25.299999237060501</v>
      </c>
      <c r="S1361">
        <v>22.600000381469702</v>
      </c>
      <c r="T1361">
        <v>1307</v>
      </c>
      <c r="U1361">
        <v>210</v>
      </c>
      <c r="V1361">
        <v>12</v>
      </c>
      <c r="W1361">
        <v>53</v>
      </c>
      <c r="X1361">
        <v>492</v>
      </c>
      <c r="Y1361">
        <v>81</v>
      </c>
      <c r="Z1361">
        <v>117</v>
      </c>
      <c r="AA1361">
        <v>481</v>
      </c>
      <c r="AB1361">
        <v>8.9822331916259408</v>
      </c>
      <c r="AC1361">
        <v>3.0282975868476999E-2</v>
      </c>
      <c r="AD1361">
        <v>1.43305952069211</v>
      </c>
      <c r="AE1361">
        <v>0.47965520620346103</v>
      </c>
      <c r="AF1361">
        <v>986.44991212653804</v>
      </c>
      <c r="AG1361">
        <f>IFERROR(AH1361*0.1, "N/A")</f>
        <v>5.9</v>
      </c>
      <c r="AH1361">
        <v>59</v>
      </c>
      <c r="AI1361">
        <v>55.0859632709953</v>
      </c>
      <c r="AJ1361">
        <v>45.985940246045701</v>
      </c>
      <c r="AK1361">
        <v>37.028119507908599</v>
      </c>
    </row>
    <row r="1362" spans="1:37" x14ac:dyDescent="0.3">
      <c r="A1362">
        <v>1361</v>
      </c>
      <c r="B1362">
        <v>20.299999</v>
      </c>
      <c r="C1362">
        <v>32.660300999999997</v>
      </c>
      <c r="D1362">
        <v>2.6869999999999998</v>
      </c>
      <c r="E1362" t="s">
        <v>2388</v>
      </c>
      <c r="F1362" t="s">
        <v>2389</v>
      </c>
      <c r="G1362" t="s">
        <v>37</v>
      </c>
      <c r="H1362">
        <v>2004</v>
      </c>
      <c r="I1362">
        <v>23.399999618530298</v>
      </c>
      <c r="J1362">
        <v>13.1000003814697</v>
      </c>
      <c r="K1362">
        <v>77</v>
      </c>
      <c r="L1362">
        <v>10.2600002288818</v>
      </c>
      <c r="M1362">
        <v>33.099998474121101</v>
      </c>
      <c r="N1362">
        <v>16.100000381469702</v>
      </c>
      <c r="O1362">
        <v>17</v>
      </c>
      <c r="P1362">
        <v>22.200000762939499</v>
      </c>
      <c r="Q1362">
        <v>24.399999618530298</v>
      </c>
      <c r="R1362">
        <v>24.899999618530298</v>
      </c>
      <c r="S1362">
        <v>22.200000762939499</v>
      </c>
      <c r="T1362">
        <v>1384</v>
      </c>
      <c r="U1362">
        <v>214</v>
      </c>
      <c r="V1362">
        <v>14</v>
      </c>
      <c r="W1362">
        <v>52</v>
      </c>
      <c r="X1362">
        <v>518</v>
      </c>
      <c r="Y1362">
        <v>86</v>
      </c>
      <c r="Z1362">
        <v>127</v>
      </c>
      <c r="AA1362">
        <v>518</v>
      </c>
      <c r="AB1362">
        <v>20.358145485461598</v>
      </c>
      <c r="AC1362">
        <v>8.7190406137920007E-3</v>
      </c>
      <c r="AD1362">
        <v>1.89027959716992</v>
      </c>
      <c r="AE1362">
        <v>0.54755097627639804</v>
      </c>
      <c r="AF1362">
        <v>1070.6338028169</v>
      </c>
      <c r="AG1362">
        <f>IFERROR(AH1362*0.1, "N/A")</f>
        <v>5.8089788732394405</v>
      </c>
      <c r="AH1362">
        <v>58.089788732394403</v>
      </c>
      <c r="AI1362">
        <v>146.13560993570701</v>
      </c>
      <c r="AJ1362">
        <v>39.367957746478901</v>
      </c>
      <c r="AK1362">
        <v>42.455985915493002</v>
      </c>
    </row>
    <row r="1363" spans="1:37" x14ac:dyDescent="0.3">
      <c r="A1363">
        <v>1362</v>
      </c>
      <c r="B1363">
        <v>24.6</v>
      </c>
      <c r="C1363">
        <v>32.7943</v>
      </c>
      <c r="D1363">
        <v>2.69015</v>
      </c>
      <c r="E1363" t="s">
        <v>2390</v>
      </c>
      <c r="F1363" t="s">
        <v>2391</v>
      </c>
      <c r="G1363" t="s">
        <v>37</v>
      </c>
      <c r="H1363">
        <v>2004</v>
      </c>
      <c r="I1363">
        <v>23.799999237060501</v>
      </c>
      <c r="J1363">
        <v>13.300000190734901</v>
      </c>
      <c r="K1363">
        <v>76</v>
      </c>
      <c r="L1363">
        <v>10.6300001144409</v>
      </c>
      <c r="M1363">
        <v>33.599998474121101</v>
      </c>
      <c r="N1363">
        <v>16.299999237060501</v>
      </c>
      <c r="O1363">
        <v>17.299999237060501</v>
      </c>
      <c r="P1363">
        <v>22.600000381469702</v>
      </c>
      <c r="Q1363">
        <v>24.799999237060501</v>
      </c>
      <c r="R1363">
        <v>25.299999237060501</v>
      </c>
      <c r="S1363">
        <v>22.600000381469702</v>
      </c>
      <c r="T1363">
        <v>1309</v>
      </c>
      <c r="U1363">
        <v>212</v>
      </c>
      <c r="V1363">
        <v>11</v>
      </c>
      <c r="W1363">
        <v>53</v>
      </c>
      <c r="X1363">
        <v>495</v>
      </c>
      <c r="Y1363">
        <v>80</v>
      </c>
      <c r="Z1363">
        <v>116</v>
      </c>
      <c r="AA1363">
        <v>484</v>
      </c>
      <c r="AB1363">
        <v>26.292816269565598</v>
      </c>
      <c r="AC1363">
        <v>1.5694229827512E-2</v>
      </c>
      <c r="AD1363">
        <v>1.5839937614723001</v>
      </c>
      <c r="AE1363">
        <v>0.58098739385604903</v>
      </c>
      <c r="AF1363">
        <v>1004.69014084507</v>
      </c>
      <c r="AG1363">
        <f>IFERROR(AH1363*0.1, "N/A")</f>
        <v>5.91760563380282</v>
      </c>
      <c r="AH1363">
        <v>59.176056338028197</v>
      </c>
      <c r="AI1363">
        <v>150.12469916276501</v>
      </c>
      <c r="AJ1363">
        <v>43.507042253521099</v>
      </c>
      <c r="AK1363">
        <v>39.158450704225402</v>
      </c>
    </row>
    <row r="1364" spans="1:37" x14ac:dyDescent="0.3">
      <c r="A1364">
        <v>1363</v>
      </c>
      <c r="B1364">
        <v>1.7</v>
      </c>
      <c r="C1364">
        <v>33.051102</v>
      </c>
      <c r="D1364">
        <v>2.7294700000000001</v>
      </c>
      <c r="E1364" t="s">
        <v>2392</v>
      </c>
      <c r="F1364" t="s">
        <v>2393</v>
      </c>
      <c r="G1364" t="s">
        <v>37</v>
      </c>
      <c r="H1364">
        <v>2004</v>
      </c>
      <c r="I1364">
        <v>23.5</v>
      </c>
      <c r="J1364">
        <v>13.3999996185303</v>
      </c>
      <c r="K1364">
        <v>77</v>
      </c>
      <c r="L1364">
        <v>10.829999923706101</v>
      </c>
      <c r="M1364">
        <v>33.400001525878899</v>
      </c>
      <c r="N1364">
        <v>16.100000381469702</v>
      </c>
      <c r="O1364">
        <v>17.299999237060501</v>
      </c>
      <c r="P1364">
        <v>22.299999237060501</v>
      </c>
      <c r="Q1364">
        <v>24.600000381469702</v>
      </c>
      <c r="R1364">
        <v>25.100000381469702</v>
      </c>
      <c r="S1364">
        <v>22.299999237060501</v>
      </c>
      <c r="T1364">
        <v>1268</v>
      </c>
      <c r="U1364">
        <v>197</v>
      </c>
      <c r="V1364">
        <v>10</v>
      </c>
      <c r="W1364">
        <v>55</v>
      </c>
      <c r="X1364">
        <v>496</v>
      </c>
      <c r="Y1364">
        <v>68</v>
      </c>
      <c r="Z1364">
        <v>113</v>
      </c>
      <c r="AA1364">
        <v>494</v>
      </c>
      <c r="AB1364">
        <v>23.0446650768206</v>
      </c>
      <c r="AC1364">
        <v>3.3538218995192999E-2</v>
      </c>
      <c r="AD1364">
        <v>1.5200171215044</v>
      </c>
      <c r="AE1364">
        <v>0.52400452034754197</v>
      </c>
      <c r="AF1364">
        <v>1067.7434094903299</v>
      </c>
      <c r="AG1364">
        <f>IFERROR(AH1364*0.1, "N/A")</f>
        <v>6.2</v>
      </c>
      <c r="AH1364">
        <v>62</v>
      </c>
      <c r="AI1364">
        <v>98.704013576406993</v>
      </c>
      <c r="AJ1364">
        <v>45.045694200351498</v>
      </c>
      <c r="AK1364">
        <v>41.954305799648502</v>
      </c>
    </row>
    <row r="1365" spans="1:37" x14ac:dyDescent="0.3">
      <c r="A1365">
        <v>1364</v>
      </c>
      <c r="B1365">
        <v>8.1999999999999993</v>
      </c>
      <c r="C1365">
        <v>32.235000999999997</v>
      </c>
      <c r="D1365">
        <v>2.7683300000000002</v>
      </c>
      <c r="E1365" t="s">
        <v>2394</v>
      </c>
      <c r="F1365" t="s">
        <v>2395</v>
      </c>
      <c r="G1365" t="s">
        <v>37</v>
      </c>
      <c r="H1365">
        <v>2004</v>
      </c>
      <c r="I1365">
        <v>23.100000381469702</v>
      </c>
      <c r="J1365">
        <v>12.5</v>
      </c>
      <c r="K1365">
        <v>77</v>
      </c>
      <c r="L1365">
        <v>10.0299997329712</v>
      </c>
      <c r="M1365">
        <v>32.400001525878899</v>
      </c>
      <c r="N1365">
        <v>16.200000762939499</v>
      </c>
      <c r="O1365">
        <v>16.200000762939499</v>
      </c>
      <c r="P1365">
        <v>22.100000381469702</v>
      </c>
      <c r="Q1365">
        <v>24.100000381469702</v>
      </c>
      <c r="R1365">
        <v>24.5</v>
      </c>
      <c r="S1365">
        <v>21.899999618530298</v>
      </c>
      <c r="T1365">
        <v>1476</v>
      </c>
      <c r="U1365">
        <v>216</v>
      </c>
      <c r="V1365">
        <v>17</v>
      </c>
      <c r="W1365">
        <v>52</v>
      </c>
      <c r="X1365">
        <v>580</v>
      </c>
      <c r="Y1365">
        <v>85</v>
      </c>
      <c r="Z1365">
        <v>130</v>
      </c>
      <c r="AA1365">
        <v>506</v>
      </c>
      <c r="AB1365">
        <v>37.802800978275798</v>
      </c>
      <c r="AC1365">
        <v>1.0874818981086E-2</v>
      </c>
      <c r="AD1365">
        <v>1.3447773899948401</v>
      </c>
      <c r="AE1365">
        <v>0.54090349297774498</v>
      </c>
      <c r="AF1365">
        <v>1107.3508771929801</v>
      </c>
      <c r="AG1365">
        <f>IFERROR(AH1365*0.1, "N/A")</f>
        <v>5.84263157894737</v>
      </c>
      <c r="AH1365">
        <v>58.426315789473698</v>
      </c>
      <c r="AI1365">
        <v>44.4479549675657</v>
      </c>
      <c r="AJ1365">
        <v>34.808771929824601</v>
      </c>
      <c r="AK1365">
        <v>45.147368421052597</v>
      </c>
    </row>
    <row r="1366" spans="1:37" x14ac:dyDescent="0.3">
      <c r="A1366">
        <v>1365</v>
      </c>
      <c r="B1366">
        <v>3.1</v>
      </c>
      <c r="C1366">
        <v>33.724800000000002</v>
      </c>
      <c r="D1366">
        <v>2.7993000000000001</v>
      </c>
      <c r="E1366" t="s">
        <v>2396</v>
      </c>
      <c r="F1366" t="s">
        <v>2397</v>
      </c>
      <c r="G1366" t="s">
        <v>37</v>
      </c>
      <c r="H1366">
        <v>2004</v>
      </c>
      <c r="I1366">
        <v>23.327240114262299</v>
      </c>
      <c r="J1366">
        <v>12.800000190734901</v>
      </c>
      <c r="K1366">
        <v>79.699472759226694</v>
      </c>
      <c r="L1366">
        <v>9.6347979359551292</v>
      </c>
      <c r="M1366">
        <v>32.3572930066154</v>
      </c>
      <c r="N1366">
        <v>16.397187657012701</v>
      </c>
      <c r="O1366">
        <v>15.960105295969001</v>
      </c>
      <c r="P1366">
        <v>22.030052838719399</v>
      </c>
      <c r="Q1366">
        <v>24.230053028448602</v>
      </c>
      <c r="R1366">
        <v>24.630053220189101</v>
      </c>
      <c r="S1366">
        <v>22.030052838719399</v>
      </c>
      <c r="T1366">
        <v>1029.6432337434101</v>
      </c>
      <c r="U1366">
        <v>159.971880492091</v>
      </c>
      <c r="V1366">
        <v>11</v>
      </c>
      <c r="W1366">
        <v>57</v>
      </c>
      <c r="X1366">
        <v>419.97188049209097</v>
      </c>
      <c r="Y1366">
        <v>67</v>
      </c>
      <c r="Z1366">
        <v>98</v>
      </c>
      <c r="AA1366">
        <v>419.97188049209097</v>
      </c>
      <c r="AB1366">
        <v>17.633407619590301</v>
      </c>
      <c r="AC1366">
        <v>0.103234837240882</v>
      </c>
      <c r="AD1366">
        <v>1.1435302020376299</v>
      </c>
      <c r="AE1366">
        <v>0.11030903458595299</v>
      </c>
      <c r="AF1366">
        <v>1150.86818980668</v>
      </c>
      <c r="AG1366">
        <f>IFERROR(AH1366*0.1, "N/A")</f>
        <v>5.93620386643234</v>
      </c>
      <c r="AH1366">
        <v>59.3620386643234</v>
      </c>
      <c r="AI1366">
        <v>260.068211104623</v>
      </c>
      <c r="AJ1366">
        <v>40.7275922671353</v>
      </c>
      <c r="AK1366">
        <v>40.5448154657294</v>
      </c>
    </row>
    <row r="1367" spans="1:37" x14ac:dyDescent="0.3">
      <c r="A1367">
        <v>1366</v>
      </c>
      <c r="B1367">
        <v>13.2</v>
      </c>
      <c r="C1367">
        <v>33.113498999999997</v>
      </c>
      <c r="D1367">
        <v>2.8091699999999999</v>
      </c>
      <c r="E1367" t="s">
        <v>2398</v>
      </c>
      <c r="F1367" t="s">
        <v>2399</v>
      </c>
      <c r="G1367" t="s">
        <v>37</v>
      </c>
      <c r="H1367">
        <v>2004</v>
      </c>
      <c r="I1367">
        <v>23.700000762939499</v>
      </c>
      <c r="J1367">
        <v>13.3999996185303</v>
      </c>
      <c r="K1367">
        <v>77</v>
      </c>
      <c r="L1367">
        <v>10.7600002288818</v>
      </c>
      <c r="M1367">
        <v>33.599998474121101</v>
      </c>
      <c r="N1367">
        <v>16.200000762939499</v>
      </c>
      <c r="O1367">
        <v>17.399999618530298</v>
      </c>
      <c r="P1367">
        <v>22.399999618530298</v>
      </c>
      <c r="Q1367">
        <v>24.799999237060501</v>
      </c>
      <c r="R1367">
        <v>25.299999237060501</v>
      </c>
      <c r="S1367">
        <v>22.399999618530298</v>
      </c>
      <c r="T1367">
        <v>1238</v>
      </c>
      <c r="U1367">
        <v>193</v>
      </c>
      <c r="V1367">
        <v>9</v>
      </c>
      <c r="W1367">
        <v>55</v>
      </c>
      <c r="X1367">
        <v>492</v>
      </c>
      <c r="Y1367">
        <v>66</v>
      </c>
      <c r="Z1367">
        <v>110</v>
      </c>
      <c r="AA1367">
        <v>492</v>
      </c>
      <c r="AB1367">
        <v>19.1880869672671</v>
      </c>
      <c r="AC1367">
        <v>8.9579312677490006E-3</v>
      </c>
      <c r="AD1367">
        <v>1.0648594254559101</v>
      </c>
      <c r="AE1367">
        <v>0.499722629785538</v>
      </c>
      <c r="AF1367">
        <v>1037.5114235500901</v>
      </c>
      <c r="AG1367">
        <f>IFERROR(AH1367*0.1, "N/A")</f>
        <v>6.0049209138840105</v>
      </c>
      <c r="AH1367">
        <v>60.049209138840098</v>
      </c>
      <c r="AI1367">
        <v>169.81763979839701</v>
      </c>
      <c r="AJ1367">
        <v>43</v>
      </c>
      <c r="AK1367">
        <v>41.024604569419999</v>
      </c>
    </row>
    <row r="1368" spans="1:37" x14ac:dyDescent="0.3">
      <c r="A1368">
        <v>1367</v>
      </c>
      <c r="B1368">
        <v>6.7</v>
      </c>
      <c r="C1368">
        <v>32.326500000000003</v>
      </c>
      <c r="D1368">
        <v>2.8151299999999999</v>
      </c>
      <c r="E1368" t="s">
        <v>2400</v>
      </c>
      <c r="F1368" t="s">
        <v>2401</v>
      </c>
      <c r="G1368" t="s">
        <v>37</v>
      </c>
      <c r="H1368">
        <v>2004</v>
      </c>
      <c r="I1368">
        <v>23.200000762939499</v>
      </c>
      <c r="J1368">
        <v>12.699999809265099</v>
      </c>
      <c r="K1368">
        <v>76</v>
      </c>
      <c r="L1368">
        <v>10.4899997711182</v>
      </c>
      <c r="M1368">
        <v>32.700000762939503</v>
      </c>
      <c r="N1368">
        <v>16.200000762939499</v>
      </c>
      <c r="O1368">
        <v>16.5</v>
      </c>
      <c r="P1368">
        <v>22.299999237060501</v>
      </c>
      <c r="Q1368">
        <v>24.299999237060501</v>
      </c>
      <c r="R1368">
        <v>24.700000762939499</v>
      </c>
      <c r="S1368">
        <v>21.899999618530298</v>
      </c>
      <c r="T1368">
        <v>1498</v>
      </c>
      <c r="U1368">
        <v>219</v>
      </c>
      <c r="V1368">
        <v>16</v>
      </c>
      <c r="W1368">
        <v>53</v>
      </c>
      <c r="X1368">
        <v>578</v>
      </c>
      <c r="Y1368">
        <v>81</v>
      </c>
      <c r="Z1368">
        <v>134</v>
      </c>
      <c r="AA1368">
        <v>524</v>
      </c>
      <c r="AB1368">
        <v>25.375745508499001</v>
      </c>
      <c r="AC1368">
        <v>1.8155854244459001E-2</v>
      </c>
      <c r="AD1368">
        <v>1.32392419096875</v>
      </c>
      <c r="AE1368">
        <v>0.61022007465362504</v>
      </c>
      <c r="AF1368">
        <v>1081.9929701230201</v>
      </c>
      <c r="AG1368">
        <f>IFERROR(AH1368*0.1, "N/A")</f>
        <v>5.9270650263620404</v>
      </c>
      <c r="AH1368">
        <v>59.270650263620396</v>
      </c>
      <c r="AI1368">
        <v>54.916555635958403</v>
      </c>
      <c r="AJ1368">
        <v>35.5413005272408</v>
      </c>
      <c r="AK1368">
        <v>46.729349736379604</v>
      </c>
    </row>
    <row r="1369" spans="1:37" x14ac:dyDescent="0.3">
      <c r="A1369">
        <v>1368</v>
      </c>
      <c r="B1369">
        <v>8.8000000000000007</v>
      </c>
      <c r="C1369">
        <v>31.219899999999999</v>
      </c>
      <c r="D1369">
        <v>2.8250899999999999</v>
      </c>
      <c r="E1369" t="s">
        <v>2402</v>
      </c>
      <c r="F1369" t="s">
        <v>2403</v>
      </c>
      <c r="G1369" t="s">
        <v>37</v>
      </c>
      <c r="H1369">
        <v>1958</v>
      </c>
      <c r="I1369">
        <v>25.041901568291902</v>
      </c>
      <c r="J1369">
        <v>12.841901359423799</v>
      </c>
      <c r="K1369">
        <v>73</v>
      </c>
      <c r="L1369">
        <v>10.6738028895687</v>
      </c>
      <c r="M1369">
        <v>33.941902294964898</v>
      </c>
      <c r="N1369">
        <v>16.458098431708098</v>
      </c>
      <c r="O1369">
        <v>17.483802755114102</v>
      </c>
      <c r="P1369">
        <v>23.700000762939499</v>
      </c>
      <c r="Q1369">
        <v>25.600000381469702</v>
      </c>
      <c r="R1369">
        <v>26.200000762939499</v>
      </c>
      <c r="S1369">
        <v>23.700000762939499</v>
      </c>
      <c r="T1369">
        <v>1071.8380281690099</v>
      </c>
      <c r="U1369">
        <v>153</v>
      </c>
      <c r="V1369">
        <v>13</v>
      </c>
      <c r="W1369">
        <v>51</v>
      </c>
      <c r="X1369">
        <v>432</v>
      </c>
      <c r="Y1369">
        <v>63</v>
      </c>
      <c r="Z1369">
        <v>225</v>
      </c>
      <c r="AA1369">
        <v>432</v>
      </c>
      <c r="AB1369">
        <v>16.357194282639199</v>
      </c>
      <c r="AC1369">
        <v>1.6985168249320001E-2</v>
      </c>
      <c r="AD1369">
        <v>2.5238985150632698</v>
      </c>
      <c r="AE1369">
        <v>0.33740568161010698</v>
      </c>
      <c r="AF1369">
        <v>706.49471830985897</v>
      </c>
      <c r="AG1369">
        <f>IFERROR(AH1369*0.1, "N/A")</f>
        <v>6.2</v>
      </c>
      <c r="AH1369">
        <v>62</v>
      </c>
      <c r="AI1369">
        <v>120.782227858691</v>
      </c>
      <c r="AJ1369">
        <v>30.0352112676056</v>
      </c>
      <c r="AK1369">
        <v>46.987676056338003</v>
      </c>
    </row>
    <row r="1370" spans="1:37" x14ac:dyDescent="0.3">
      <c r="A1370">
        <v>1369</v>
      </c>
      <c r="B1370">
        <v>0.7</v>
      </c>
      <c r="C1370">
        <v>30.942800999999999</v>
      </c>
      <c r="D1370">
        <v>2.83195</v>
      </c>
      <c r="E1370" t="s">
        <v>2404</v>
      </c>
      <c r="F1370" t="s">
        <v>2405</v>
      </c>
      <c r="G1370" t="s">
        <v>37</v>
      </c>
      <c r="H1370">
        <v>1958</v>
      </c>
      <c r="I1370">
        <v>23.200000762939499</v>
      </c>
      <c r="J1370">
        <v>11.6000003814697</v>
      </c>
      <c r="K1370">
        <v>74</v>
      </c>
      <c r="L1370">
        <v>10.2799997329712</v>
      </c>
      <c r="M1370">
        <v>31.700000762939499</v>
      </c>
      <c r="N1370">
        <v>16.200000762939499</v>
      </c>
      <c r="O1370">
        <v>15.5</v>
      </c>
      <c r="P1370">
        <v>22</v>
      </c>
      <c r="Q1370">
        <v>24.200000762939499</v>
      </c>
      <c r="R1370">
        <v>24.600000381469702</v>
      </c>
      <c r="S1370">
        <v>22</v>
      </c>
      <c r="T1370">
        <v>1293</v>
      </c>
      <c r="U1370">
        <v>187</v>
      </c>
      <c r="V1370">
        <v>18</v>
      </c>
      <c r="W1370">
        <v>50</v>
      </c>
      <c r="X1370">
        <v>532</v>
      </c>
      <c r="Y1370">
        <v>87</v>
      </c>
      <c r="Z1370">
        <v>132</v>
      </c>
      <c r="AA1370">
        <v>532</v>
      </c>
      <c r="AB1370">
        <v>24.314552669156399</v>
      </c>
      <c r="AC1370">
        <v>2.4397527137755001E-2</v>
      </c>
      <c r="AD1370">
        <v>5.4568806256057902</v>
      </c>
      <c r="AE1370">
        <v>0.39689627289772</v>
      </c>
      <c r="AF1370">
        <v>1114.65377855888</v>
      </c>
      <c r="AG1370">
        <f>IFERROR(AH1370*0.1, "N/A")</f>
        <v>5.3934973637961301</v>
      </c>
      <c r="AH1370">
        <v>53.934973637961299</v>
      </c>
      <c r="AI1370">
        <v>18.453615510400901</v>
      </c>
      <c r="AJ1370">
        <v>37.065026362038701</v>
      </c>
      <c r="AK1370">
        <v>38.759226713532499</v>
      </c>
    </row>
    <row r="1371" spans="1:37" x14ac:dyDescent="0.3">
      <c r="A1371">
        <v>1370</v>
      </c>
      <c r="B1371">
        <v>16.399999999999999</v>
      </c>
      <c r="C1371">
        <v>32.156199999999998</v>
      </c>
      <c r="D1371">
        <v>2.8348800000000001</v>
      </c>
      <c r="E1371" t="s">
        <v>2406</v>
      </c>
      <c r="F1371" t="s">
        <v>2407</v>
      </c>
      <c r="G1371" t="s">
        <v>37</v>
      </c>
      <c r="H1371">
        <v>2004</v>
      </c>
      <c r="I1371">
        <v>23.299999237060501</v>
      </c>
      <c r="J1371">
        <v>12.6000003814697</v>
      </c>
      <c r="K1371">
        <v>77</v>
      </c>
      <c r="L1371">
        <v>10.2299995422363</v>
      </c>
      <c r="M1371">
        <v>32.599998474121101</v>
      </c>
      <c r="N1371">
        <v>16.299999237060501</v>
      </c>
      <c r="O1371">
        <v>16.299999237060501</v>
      </c>
      <c r="P1371">
        <v>22.299999237060501</v>
      </c>
      <c r="Q1371">
        <v>24.299999237060501</v>
      </c>
      <c r="R1371">
        <v>24.700000762939499</v>
      </c>
      <c r="S1371">
        <v>22</v>
      </c>
      <c r="T1371">
        <v>1442</v>
      </c>
      <c r="U1371">
        <v>215</v>
      </c>
      <c r="V1371">
        <v>16</v>
      </c>
      <c r="W1371">
        <v>54</v>
      </c>
      <c r="X1371">
        <v>575</v>
      </c>
      <c r="Y1371">
        <v>79</v>
      </c>
      <c r="Z1371">
        <v>122</v>
      </c>
      <c r="AA1371">
        <v>496</v>
      </c>
      <c r="AB1371">
        <v>23.760234993948099</v>
      </c>
      <c r="AC1371">
        <v>8.7179765597139997E-3</v>
      </c>
      <c r="AD1371">
        <v>4.0854651772640098</v>
      </c>
      <c r="AE1371">
        <v>0.45660144090652499</v>
      </c>
      <c r="AF1371">
        <v>1100.6338028169</v>
      </c>
      <c r="AG1371">
        <f>IFERROR(AH1371*0.1, "N/A")</f>
        <v>5.9964788732394405</v>
      </c>
      <c r="AH1371">
        <v>59.964788732394403</v>
      </c>
      <c r="AI1371">
        <v>138.613999279452</v>
      </c>
      <c r="AJ1371">
        <v>37.746478873239397</v>
      </c>
      <c r="AK1371">
        <v>44.239436619718298</v>
      </c>
    </row>
    <row r="1372" spans="1:37" x14ac:dyDescent="0.3">
      <c r="A1372">
        <v>1371</v>
      </c>
      <c r="B1372">
        <v>36.200001</v>
      </c>
      <c r="C1372">
        <v>32.965099000000002</v>
      </c>
      <c r="D1372">
        <v>2.83623</v>
      </c>
      <c r="E1372" t="s">
        <v>2408</v>
      </c>
      <c r="F1372" t="s">
        <v>2409</v>
      </c>
      <c r="G1372" t="s">
        <v>37</v>
      </c>
      <c r="H1372">
        <v>2004</v>
      </c>
      <c r="I1372">
        <v>23.899999618530298</v>
      </c>
      <c r="J1372">
        <v>13.5</v>
      </c>
      <c r="K1372">
        <v>76</v>
      </c>
      <c r="L1372">
        <v>10.6499996185303</v>
      </c>
      <c r="M1372">
        <v>33.900001525878899</v>
      </c>
      <c r="N1372">
        <v>16.299999237060501</v>
      </c>
      <c r="O1372">
        <v>17.600000381469702</v>
      </c>
      <c r="P1372">
        <v>22.700000762939499</v>
      </c>
      <c r="Q1372">
        <v>24.899999618530298</v>
      </c>
      <c r="R1372">
        <v>25.399999618530298</v>
      </c>
      <c r="S1372">
        <v>22.700000762939499</v>
      </c>
      <c r="T1372">
        <v>1277</v>
      </c>
      <c r="U1372">
        <v>199</v>
      </c>
      <c r="V1372">
        <v>10</v>
      </c>
      <c r="W1372">
        <v>55</v>
      </c>
      <c r="X1372">
        <v>496</v>
      </c>
      <c r="Y1372">
        <v>71</v>
      </c>
      <c r="Z1372">
        <v>110</v>
      </c>
      <c r="AA1372">
        <v>496</v>
      </c>
      <c r="AB1372">
        <v>11.9197140545912</v>
      </c>
      <c r="AC1372">
        <v>9.6709449255746996E-2</v>
      </c>
      <c r="AD1372">
        <v>1.5039154531460399</v>
      </c>
      <c r="AE1372">
        <v>0.39440551400184598</v>
      </c>
      <c r="AF1372">
        <v>1006.96302816901</v>
      </c>
      <c r="AG1372">
        <f>IFERROR(AH1372*0.1, "N/A")</f>
        <v>6.2910211267605707</v>
      </c>
      <c r="AH1372">
        <v>62.910211267605703</v>
      </c>
      <c r="AI1372">
        <v>270.88564848563999</v>
      </c>
      <c r="AJ1372">
        <v>41.977112676056301</v>
      </c>
      <c r="AK1372">
        <v>40.022887323943699</v>
      </c>
    </row>
    <row r="1373" spans="1:37" x14ac:dyDescent="0.3">
      <c r="A1373">
        <v>1372</v>
      </c>
      <c r="B1373">
        <v>0</v>
      </c>
      <c r="C1373">
        <v>33.342799999999997</v>
      </c>
      <c r="D1373">
        <v>2.85602</v>
      </c>
      <c r="E1373" t="s">
        <v>2410</v>
      </c>
      <c r="F1373" t="s">
        <v>2411</v>
      </c>
      <c r="G1373" t="s">
        <v>37</v>
      </c>
      <c r="H1373">
        <v>2004</v>
      </c>
      <c r="I1373">
        <v>23.799999237060501</v>
      </c>
      <c r="J1373">
        <v>13.300000190734901</v>
      </c>
      <c r="K1373">
        <v>78</v>
      </c>
      <c r="L1373">
        <v>10.560000419616699</v>
      </c>
      <c r="M1373">
        <v>33.5</v>
      </c>
      <c r="N1373">
        <v>16.600000381469702</v>
      </c>
      <c r="O1373">
        <v>16.899999618530298</v>
      </c>
      <c r="P1373">
        <v>22.5</v>
      </c>
      <c r="Q1373">
        <v>24.899999618530298</v>
      </c>
      <c r="R1373">
        <v>25.299999237060501</v>
      </c>
      <c r="S1373">
        <v>22.5</v>
      </c>
      <c r="T1373">
        <v>1138</v>
      </c>
      <c r="U1373">
        <v>182</v>
      </c>
      <c r="V1373">
        <v>10</v>
      </c>
      <c r="W1373">
        <v>58</v>
      </c>
      <c r="X1373">
        <v>467</v>
      </c>
      <c r="Y1373">
        <v>67</v>
      </c>
      <c r="Z1373">
        <v>103</v>
      </c>
      <c r="AA1373">
        <v>467</v>
      </c>
      <c r="AB1373">
        <v>13.4567934381522</v>
      </c>
      <c r="AC1373">
        <v>1.6354697479855001E-2</v>
      </c>
      <c r="AD1373">
        <v>0.90856490612868102</v>
      </c>
      <c r="AE1373">
        <v>0.35753714980685197</v>
      </c>
      <c r="AF1373">
        <v>1034.47100175747</v>
      </c>
      <c r="AG1373">
        <f>IFERROR(AH1373*0.1, "N/A")</f>
        <v>6.3000000000000007</v>
      </c>
      <c r="AH1373">
        <v>63</v>
      </c>
      <c r="AI1373">
        <v>151.986383863828</v>
      </c>
      <c r="AJ1373">
        <v>43</v>
      </c>
      <c r="AK1373">
        <v>39.739894551845303</v>
      </c>
    </row>
    <row r="1374" spans="1:37" x14ac:dyDescent="0.3">
      <c r="A1374">
        <v>1373</v>
      </c>
      <c r="B1374">
        <v>30.200001</v>
      </c>
      <c r="C1374">
        <v>32.446800000000003</v>
      </c>
      <c r="D1374">
        <v>2.89045</v>
      </c>
      <c r="E1374" t="s">
        <v>2412</v>
      </c>
      <c r="F1374" t="s">
        <v>2413</v>
      </c>
      <c r="G1374" t="s">
        <v>37</v>
      </c>
      <c r="H1374">
        <v>2004</v>
      </c>
      <c r="I1374">
        <v>23.5</v>
      </c>
      <c r="J1374">
        <v>12.8999996185303</v>
      </c>
      <c r="K1374">
        <v>76</v>
      </c>
      <c r="L1374">
        <v>9.9499998092651403</v>
      </c>
      <c r="M1374">
        <v>33.099998474121101</v>
      </c>
      <c r="N1374">
        <v>16.299999237060501</v>
      </c>
      <c r="O1374">
        <v>16.799999237060501</v>
      </c>
      <c r="P1374">
        <v>22.299999237060501</v>
      </c>
      <c r="Q1374">
        <v>24.5</v>
      </c>
      <c r="R1374">
        <v>24.899999618530298</v>
      </c>
      <c r="S1374">
        <v>22.299999237060501</v>
      </c>
      <c r="T1374">
        <v>1460</v>
      </c>
      <c r="U1374">
        <v>222</v>
      </c>
      <c r="V1374">
        <v>14</v>
      </c>
      <c r="W1374">
        <v>55</v>
      </c>
      <c r="X1374">
        <v>561</v>
      </c>
      <c r="Y1374">
        <v>75</v>
      </c>
      <c r="Z1374">
        <v>123</v>
      </c>
      <c r="AA1374">
        <v>561</v>
      </c>
      <c r="AB1374">
        <v>12.5284063409628</v>
      </c>
      <c r="AC1374">
        <v>1.0172623926561E-2</v>
      </c>
      <c r="AD1374">
        <v>1.6187914231749501</v>
      </c>
      <c r="AE1374">
        <v>0.54702520370483398</v>
      </c>
      <c r="AF1374">
        <v>1043.3128295254801</v>
      </c>
      <c r="AG1374">
        <f>IFERROR(AH1374*0.1, "N/A")</f>
        <v>5.6249560632688897</v>
      </c>
      <c r="AH1374">
        <v>56.249560632688897</v>
      </c>
      <c r="AI1374">
        <v>96.2918770359354</v>
      </c>
      <c r="AJ1374">
        <v>35.499121265377902</v>
      </c>
      <c r="AK1374">
        <v>43</v>
      </c>
    </row>
    <row r="1375" spans="1:37" x14ac:dyDescent="0.3">
      <c r="A1375">
        <v>1374</v>
      </c>
      <c r="B1375">
        <v>3.4</v>
      </c>
      <c r="C1375">
        <v>33.082698999999998</v>
      </c>
      <c r="D1375">
        <v>2.8955799999999998</v>
      </c>
      <c r="E1375" t="s">
        <v>2414</v>
      </c>
      <c r="F1375" t="s">
        <v>2415</v>
      </c>
      <c r="G1375" t="s">
        <v>37</v>
      </c>
      <c r="H1375">
        <v>2004</v>
      </c>
      <c r="I1375">
        <v>23.613357198678301</v>
      </c>
      <c r="J1375">
        <v>13.413356435738899</v>
      </c>
      <c r="K1375">
        <v>77</v>
      </c>
      <c r="L1375">
        <v>10.7613003417352</v>
      </c>
      <c r="M1375">
        <v>33.5133565624485</v>
      </c>
      <c r="N1375">
        <v>16.113357198678301</v>
      </c>
      <c r="O1375">
        <v>17.399999618530298</v>
      </c>
      <c r="P1375">
        <v>22.3133560542692</v>
      </c>
      <c r="Q1375">
        <v>24.700000762939499</v>
      </c>
      <c r="R1375">
        <v>25.200000762939499</v>
      </c>
      <c r="S1375">
        <v>22.3133560542692</v>
      </c>
      <c r="T1375">
        <v>1244.4657293497401</v>
      </c>
      <c r="U1375">
        <v>194.86643233743399</v>
      </c>
      <c r="V1375">
        <v>9</v>
      </c>
      <c r="W1375">
        <v>56</v>
      </c>
      <c r="X1375">
        <v>498.73286467486798</v>
      </c>
      <c r="Y1375">
        <v>66</v>
      </c>
      <c r="Z1375">
        <v>107</v>
      </c>
      <c r="AA1375">
        <v>498.06502636203902</v>
      </c>
      <c r="AB1375">
        <v>11.2234073364043</v>
      </c>
      <c r="AC1375">
        <v>1.5138838901749E-2</v>
      </c>
      <c r="AD1375">
        <v>1.8257706821069599</v>
      </c>
      <c r="AE1375">
        <v>0.60235548019409202</v>
      </c>
      <c r="AF1375">
        <v>1050.8594024604599</v>
      </c>
      <c r="AG1375">
        <f>IFERROR(AH1375*0.1, "N/A")</f>
        <v>6.1973637961335699</v>
      </c>
      <c r="AH1375">
        <v>61.973637961335697</v>
      </c>
      <c r="AI1375">
        <v>98.892800195355406</v>
      </c>
      <c r="AJ1375">
        <v>46.947275922671402</v>
      </c>
      <c r="AK1375">
        <v>36.079086115993</v>
      </c>
    </row>
    <row r="1376" spans="1:37" x14ac:dyDescent="0.3">
      <c r="A1376">
        <v>1375</v>
      </c>
      <c r="B1376">
        <v>1.7</v>
      </c>
      <c r="C1376">
        <v>33.004500999999998</v>
      </c>
      <c r="D1376">
        <v>2.9251499999999999</v>
      </c>
      <c r="E1376" t="s">
        <v>2416</v>
      </c>
      <c r="F1376" t="s">
        <v>2417</v>
      </c>
      <c r="G1376" t="s">
        <v>37</v>
      </c>
      <c r="H1376">
        <v>2004</v>
      </c>
      <c r="I1376">
        <v>23.600000381469702</v>
      </c>
      <c r="J1376">
        <v>13.5</v>
      </c>
      <c r="K1376">
        <v>77</v>
      </c>
      <c r="L1376">
        <v>10.899542419003801</v>
      </c>
      <c r="M1376">
        <v>33.5</v>
      </c>
      <c r="N1376">
        <v>16.0292254635985</v>
      </c>
      <c r="O1376">
        <v>17.4707745364015</v>
      </c>
      <c r="P1376">
        <v>22.299999237060501</v>
      </c>
      <c r="Q1376">
        <v>24.600000381469702</v>
      </c>
      <c r="R1376">
        <v>25.1707752993409</v>
      </c>
      <c r="S1376">
        <v>22.299999237060501</v>
      </c>
      <c r="T1376">
        <v>1273.1690140845101</v>
      </c>
      <c r="U1376">
        <v>198.29225352112701</v>
      </c>
      <c r="V1376">
        <v>10</v>
      </c>
      <c r="W1376">
        <v>55</v>
      </c>
      <c r="X1376">
        <v>506.29225352112701</v>
      </c>
      <c r="Y1376">
        <v>70</v>
      </c>
      <c r="Z1376">
        <v>107.29225352112699</v>
      </c>
      <c r="AA1376">
        <v>505.70774647887299</v>
      </c>
      <c r="AB1376">
        <v>18.831496332732701</v>
      </c>
      <c r="AC1376">
        <v>2.0575846128926999E-2</v>
      </c>
      <c r="AD1376">
        <v>1.6306586985436999</v>
      </c>
      <c r="AE1376">
        <v>0.53911453485488903</v>
      </c>
      <c r="AF1376">
        <v>1059.5316901408501</v>
      </c>
      <c r="AG1376">
        <f>IFERROR(AH1376*0.1, "N/A")</f>
        <v>6.2</v>
      </c>
      <c r="AH1376">
        <v>62</v>
      </c>
      <c r="AI1376">
        <v>101.824392620946</v>
      </c>
      <c r="AJ1376">
        <v>46</v>
      </c>
      <c r="AK1376">
        <v>38</v>
      </c>
    </row>
    <row r="1377" spans="1:37" x14ac:dyDescent="0.3">
      <c r="A1377">
        <v>1376</v>
      </c>
      <c r="B1377">
        <v>0.9</v>
      </c>
      <c r="C1377">
        <v>31.3965</v>
      </c>
      <c r="D1377">
        <v>2.9718900000000001</v>
      </c>
      <c r="E1377" t="s">
        <v>2418</v>
      </c>
      <c r="F1377" t="s">
        <v>2419</v>
      </c>
      <c r="G1377" t="s">
        <v>2420</v>
      </c>
      <c r="H1377">
        <v>1994</v>
      </c>
      <c r="I1377">
        <v>25.399999618530298</v>
      </c>
      <c r="J1377">
        <v>13.199999809265099</v>
      </c>
      <c r="K1377">
        <v>64</v>
      </c>
      <c r="L1377">
        <v>16.559999465942401</v>
      </c>
      <c r="M1377">
        <v>34.799999237060497</v>
      </c>
      <c r="N1377">
        <v>14.3999996185303</v>
      </c>
      <c r="O1377">
        <v>20.399999618530298</v>
      </c>
      <c r="P1377">
        <v>23.5</v>
      </c>
      <c r="Q1377">
        <v>26.299999237060501</v>
      </c>
      <c r="R1377">
        <v>26.799999237060501</v>
      </c>
      <c r="S1377">
        <v>23.5</v>
      </c>
      <c r="T1377">
        <v>1098</v>
      </c>
      <c r="U1377">
        <v>154</v>
      </c>
      <c r="V1377">
        <v>11</v>
      </c>
      <c r="W1377">
        <v>51</v>
      </c>
      <c r="X1377">
        <v>430</v>
      </c>
      <c r="Y1377">
        <v>61</v>
      </c>
      <c r="Z1377">
        <v>106</v>
      </c>
      <c r="AA1377">
        <v>430</v>
      </c>
      <c r="AB1377">
        <v>13.7518114247515</v>
      </c>
      <c r="AC1377">
        <v>9.4967717173880008E-3</v>
      </c>
      <c r="AD1377">
        <v>1.57369349166253</v>
      </c>
      <c r="AE1377">
        <v>0.33766856454378302</v>
      </c>
      <c r="AF1377">
        <v>631.71880492091395</v>
      </c>
      <c r="AG1377">
        <f>IFERROR(AH1377*0.1, "N/A")</f>
        <v>6.2829525483304005</v>
      </c>
      <c r="AH1377">
        <v>62.829525483304003</v>
      </c>
      <c r="AI1377">
        <v>136.38485598438399</v>
      </c>
      <c r="AJ1377">
        <v>34.732864674868203</v>
      </c>
      <c r="AK1377">
        <v>47.511423550087898</v>
      </c>
    </row>
    <row r="1378" spans="1:37" x14ac:dyDescent="0.3">
      <c r="A1378">
        <v>1377</v>
      </c>
      <c r="B1378">
        <v>77.800003000000004</v>
      </c>
      <c r="C1378">
        <v>31.3965</v>
      </c>
      <c r="D1378">
        <v>2.9718900000000001</v>
      </c>
      <c r="E1378" t="s">
        <v>2418</v>
      </c>
      <c r="F1378" t="s">
        <v>2421</v>
      </c>
      <c r="G1378" t="s">
        <v>37</v>
      </c>
      <c r="H1378">
        <v>1994</v>
      </c>
      <c r="I1378">
        <v>25.399999618530298</v>
      </c>
      <c r="J1378">
        <v>13.199999809265099</v>
      </c>
      <c r="K1378">
        <v>64</v>
      </c>
      <c r="L1378">
        <v>16.559999465942401</v>
      </c>
      <c r="M1378">
        <v>34.799999237060497</v>
      </c>
      <c r="N1378">
        <v>14.3999996185303</v>
      </c>
      <c r="O1378">
        <v>20.399999618530298</v>
      </c>
      <c r="P1378">
        <v>23.5</v>
      </c>
      <c r="Q1378">
        <v>26.299999237060501</v>
      </c>
      <c r="R1378">
        <v>26.799999237060501</v>
      </c>
      <c r="S1378">
        <v>23.5</v>
      </c>
      <c r="T1378">
        <v>1098</v>
      </c>
      <c r="U1378">
        <v>154</v>
      </c>
      <c r="V1378">
        <v>11</v>
      </c>
      <c r="W1378">
        <v>51</v>
      </c>
      <c r="X1378">
        <v>430</v>
      </c>
      <c r="Y1378">
        <v>61</v>
      </c>
      <c r="Z1378">
        <v>106</v>
      </c>
      <c r="AA1378">
        <v>430</v>
      </c>
      <c r="AB1378">
        <v>13.7518114247515</v>
      </c>
      <c r="AC1378">
        <v>9.4967717173880008E-3</v>
      </c>
      <c r="AD1378">
        <v>1.57369349166253</v>
      </c>
      <c r="AE1378">
        <v>0.33766856454378302</v>
      </c>
      <c r="AF1378">
        <v>631.71880492091395</v>
      </c>
      <c r="AG1378">
        <f>IFERROR(AH1378*0.1, "N/A")</f>
        <v>6.2829525483304005</v>
      </c>
      <c r="AH1378">
        <v>62.829525483304003</v>
      </c>
      <c r="AI1378">
        <v>136.38485598438399</v>
      </c>
      <c r="AJ1378">
        <v>34.732864674868203</v>
      </c>
      <c r="AK1378">
        <v>47.511423550087898</v>
      </c>
    </row>
    <row r="1379" spans="1:37" x14ac:dyDescent="0.3">
      <c r="A1379">
        <v>1378</v>
      </c>
      <c r="B1379">
        <v>32.400002000000001</v>
      </c>
      <c r="C1379">
        <v>31.382999000000002</v>
      </c>
      <c r="D1379">
        <v>2.9769999999999999</v>
      </c>
      <c r="E1379" t="s">
        <v>2422</v>
      </c>
      <c r="F1379" t="s">
        <v>2423</v>
      </c>
      <c r="G1379" t="s">
        <v>37</v>
      </c>
      <c r="H1379">
        <v>1986</v>
      </c>
      <c r="I1379">
        <v>25.407543506956898</v>
      </c>
      <c r="J1379">
        <v>13.1075441979525</v>
      </c>
      <c r="K1379">
        <v>64.924561403508804</v>
      </c>
      <c r="L1379">
        <v>15.897894631770599</v>
      </c>
      <c r="M1379">
        <v>34.807543269374897</v>
      </c>
      <c r="N1379">
        <v>14.6849121043557</v>
      </c>
      <c r="O1379">
        <v>20.122631902862</v>
      </c>
      <c r="P1379">
        <v>23.5</v>
      </c>
      <c r="Q1379">
        <v>26.215088395905099</v>
      </c>
      <c r="R1379">
        <v>26.8075431254872</v>
      </c>
      <c r="S1379">
        <v>23.5</v>
      </c>
      <c r="T1379">
        <v>1107.32105263158</v>
      </c>
      <c r="U1379">
        <v>155.84912280701801</v>
      </c>
      <c r="V1379">
        <v>11</v>
      </c>
      <c r="W1379">
        <v>51</v>
      </c>
      <c r="X1379">
        <v>436.47192982456102</v>
      </c>
      <c r="Y1379">
        <v>61.924561403508797</v>
      </c>
      <c r="Z1379">
        <v>106.924561403509</v>
      </c>
      <c r="AA1379">
        <v>436.47192982456102</v>
      </c>
      <c r="AB1379">
        <v>30.8517521373013</v>
      </c>
      <c r="AC1379">
        <v>1.6638793065947999E-2</v>
      </c>
      <c r="AD1379">
        <v>2.0630772475610701</v>
      </c>
      <c r="AE1379">
        <v>0.554274141788483</v>
      </c>
      <c r="AF1379">
        <v>650.81052631578996</v>
      </c>
      <c r="AG1379">
        <f>IFERROR(AH1379*0.1, "N/A")</f>
        <v>6.1849122807017505</v>
      </c>
      <c r="AH1379">
        <v>61.849122807017501</v>
      </c>
      <c r="AI1379">
        <v>74.465858660246198</v>
      </c>
      <c r="AJ1379">
        <v>31.773684210526302</v>
      </c>
      <c r="AK1379">
        <v>50.075438596491203</v>
      </c>
    </row>
    <row r="1380" spans="1:37" x14ac:dyDescent="0.3">
      <c r="A1380">
        <v>1379</v>
      </c>
      <c r="B1380">
        <v>0</v>
      </c>
      <c r="C1380">
        <v>34.088298999999999</v>
      </c>
      <c r="D1380">
        <v>2.9997799999999999</v>
      </c>
      <c r="E1380" t="s">
        <v>2424</v>
      </c>
      <c r="F1380" t="s">
        <v>2425</v>
      </c>
      <c r="G1380" t="s">
        <v>37</v>
      </c>
      <c r="H1380">
        <v>2004</v>
      </c>
      <c r="I1380">
        <v>23.009331021510398</v>
      </c>
      <c r="J1380">
        <v>12.3999996185303</v>
      </c>
      <c r="K1380">
        <v>80</v>
      </c>
      <c r="L1380">
        <v>9.1882749006781808</v>
      </c>
      <c r="M1380">
        <v>31.700000762939499</v>
      </c>
      <c r="N1380">
        <v>16.200000762939499</v>
      </c>
      <c r="O1380">
        <v>15.5</v>
      </c>
      <c r="P1380">
        <v>21.809330258570899</v>
      </c>
      <c r="Q1380">
        <v>23.899999618530298</v>
      </c>
      <c r="R1380">
        <v>24.299999237060501</v>
      </c>
      <c r="S1380">
        <v>21.809330258570899</v>
      </c>
      <c r="T1380">
        <v>714</v>
      </c>
      <c r="U1380">
        <v>118</v>
      </c>
      <c r="V1380">
        <v>10</v>
      </c>
      <c r="W1380">
        <v>60</v>
      </c>
      <c r="X1380">
        <v>305.093309859155</v>
      </c>
      <c r="Y1380">
        <v>48</v>
      </c>
      <c r="Z1380">
        <v>71</v>
      </c>
      <c r="AA1380">
        <v>305.093309859155</v>
      </c>
      <c r="AB1380">
        <v>9.5820594035403808</v>
      </c>
      <c r="AC1380">
        <v>2.7547866038807999E-2</v>
      </c>
      <c r="AD1380">
        <v>2.1170470603335101</v>
      </c>
      <c r="AE1380">
        <v>0.25469727016670601</v>
      </c>
      <c r="AF1380">
        <v>1235.3080985915501</v>
      </c>
      <c r="AG1380">
        <f>IFERROR(AH1380*0.1, "N/A")</f>
        <v>7.0521126760563408</v>
      </c>
      <c r="AH1380">
        <v>70.521126760563405</v>
      </c>
      <c r="AI1380">
        <v>69.376373747704704</v>
      </c>
      <c r="AJ1380">
        <v>30.526408450704199</v>
      </c>
      <c r="AK1380">
        <v>53.235915492957702</v>
      </c>
    </row>
    <row r="1381" spans="1:37" x14ac:dyDescent="0.3">
      <c r="A1381">
        <v>1380</v>
      </c>
      <c r="B1381">
        <v>43.299999</v>
      </c>
      <c r="C1381">
        <v>30.909800000000001</v>
      </c>
      <c r="D1381">
        <v>3.0050300000000001</v>
      </c>
      <c r="E1381" t="s">
        <v>2426</v>
      </c>
      <c r="F1381" t="s">
        <v>2427</v>
      </c>
      <c r="G1381" t="s">
        <v>37</v>
      </c>
      <c r="H1381">
        <v>2004</v>
      </c>
      <c r="I1381">
        <v>22.899999618530298</v>
      </c>
      <c r="J1381">
        <v>11.3999996185303</v>
      </c>
      <c r="K1381">
        <v>75</v>
      </c>
      <c r="L1381">
        <v>10.6499996185303</v>
      </c>
      <c r="M1381">
        <v>31.399999618530298</v>
      </c>
      <c r="N1381">
        <v>16.299999237060501</v>
      </c>
      <c r="O1381">
        <v>15.1000003814697</v>
      </c>
      <c r="P1381">
        <v>21.799999237060501</v>
      </c>
      <c r="Q1381">
        <v>24</v>
      </c>
      <c r="R1381">
        <v>24.299999237060501</v>
      </c>
      <c r="S1381">
        <v>21.5</v>
      </c>
      <c r="T1381">
        <v>1402</v>
      </c>
      <c r="U1381">
        <v>208</v>
      </c>
      <c r="V1381">
        <v>16</v>
      </c>
      <c r="W1381">
        <v>51</v>
      </c>
      <c r="X1381">
        <v>580</v>
      </c>
      <c r="Y1381">
        <v>94</v>
      </c>
      <c r="Z1381">
        <v>139</v>
      </c>
      <c r="AA1381">
        <v>526</v>
      </c>
      <c r="AB1381">
        <v>10.818400279262599</v>
      </c>
      <c r="AC1381">
        <v>1.9648561066245001E-2</v>
      </c>
      <c r="AD1381">
        <v>3.0776202936967199</v>
      </c>
      <c r="AE1381">
        <v>0.647291201666782</v>
      </c>
      <c r="AF1381">
        <v>1211.0403508771899</v>
      </c>
      <c r="AG1381">
        <f>IFERROR(AH1381*0.1, "N/A")</f>
        <v>5.6485964912280702</v>
      </c>
      <c r="AH1381">
        <v>56.4859649122807</v>
      </c>
      <c r="AI1381">
        <v>239.072070473119</v>
      </c>
      <c r="AJ1381">
        <v>32.315789473684198</v>
      </c>
      <c r="AK1381">
        <v>49.468421052631598</v>
      </c>
    </row>
    <row r="1382" spans="1:37" x14ac:dyDescent="0.3">
      <c r="A1382">
        <v>1381</v>
      </c>
      <c r="B1382">
        <v>0</v>
      </c>
      <c r="C1382">
        <v>34.197899</v>
      </c>
      <c r="D1382">
        <v>3.0085000000000002</v>
      </c>
      <c r="E1382" t="s">
        <v>2428</v>
      </c>
      <c r="F1382" t="s">
        <v>2429</v>
      </c>
      <c r="G1382" t="s">
        <v>37</v>
      </c>
      <c r="H1382">
        <v>2004</v>
      </c>
      <c r="I1382">
        <v>23</v>
      </c>
      <c r="J1382">
        <v>12.3999996185303</v>
      </c>
      <c r="K1382">
        <v>80</v>
      </c>
      <c r="L1382">
        <v>8.9934972149626002</v>
      </c>
      <c r="M1382">
        <v>31.600000381469702</v>
      </c>
      <c r="N1382">
        <v>16.200000762939499</v>
      </c>
      <c r="O1382">
        <v>15.3999996185303</v>
      </c>
      <c r="P1382">
        <v>21.799999237060501</v>
      </c>
      <c r="Q1382">
        <v>23.799999237060501</v>
      </c>
      <c r="R1382">
        <v>24.200000762939499</v>
      </c>
      <c r="S1382">
        <v>21.799999237060501</v>
      </c>
      <c r="T1382">
        <v>677.79964850615102</v>
      </c>
      <c r="U1382">
        <v>112</v>
      </c>
      <c r="V1382">
        <v>9.4499121265377894</v>
      </c>
      <c r="W1382">
        <v>59</v>
      </c>
      <c r="X1382">
        <v>285.44991212653798</v>
      </c>
      <c r="Y1382">
        <v>46.8998242530756</v>
      </c>
      <c r="Z1382">
        <v>70.449912126537797</v>
      </c>
      <c r="AA1382">
        <v>285.44991212653798</v>
      </c>
      <c r="AB1382">
        <v>9.4782671936785992</v>
      </c>
      <c r="AC1382">
        <v>1.7492689071173999E-2</v>
      </c>
      <c r="AD1382">
        <v>1.9244961740681501</v>
      </c>
      <c r="AE1382">
        <v>0.23888339662698499</v>
      </c>
      <c r="AF1382">
        <v>1263.74516695958</v>
      </c>
      <c r="AG1382">
        <f>IFERROR(AH1382*0.1, "N/A")</f>
        <v>6.9650263620386603</v>
      </c>
      <c r="AH1382">
        <v>69.650263620386596</v>
      </c>
      <c r="AI1382">
        <v>300.33953401535399</v>
      </c>
      <c r="AJ1382">
        <v>31</v>
      </c>
      <c r="AK1382">
        <v>48</v>
      </c>
    </row>
    <row r="1383" spans="1:37" x14ac:dyDescent="0.3">
      <c r="A1383">
        <v>1382</v>
      </c>
      <c r="B1383">
        <v>0</v>
      </c>
      <c r="C1383">
        <v>34.120499000000002</v>
      </c>
      <c r="D1383">
        <v>3.0093700000000001</v>
      </c>
      <c r="E1383" t="s">
        <v>2430</v>
      </c>
      <c r="F1383" t="s">
        <v>2431</v>
      </c>
      <c r="G1383" t="s">
        <v>37</v>
      </c>
      <c r="H1383">
        <v>2004</v>
      </c>
      <c r="I1383">
        <v>22.899999618530298</v>
      </c>
      <c r="J1383">
        <v>12.3999996185303</v>
      </c>
      <c r="K1383">
        <v>80</v>
      </c>
      <c r="L1383">
        <v>8.9099998474121094</v>
      </c>
      <c r="M1383">
        <v>31.600000381469702</v>
      </c>
      <c r="N1383">
        <v>16.100000381469702</v>
      </c>
      <c r="O1383">
        <v>15.5</v>
      </c>
      <c r="P1383">
        <v>21.799999237060501</v>
      </c>
      <c r="Q1383">
        <v>23.799999237060501</v>
      </c>
      <c r="R1383">
        <v>24.200000762939499</v>
      </c>
      <c r="S1383">
        <v>21.799999237060501</v>
      </c>
      <c r="T1383">
        <v>697</v>
      </c>
      <c r="U1383">
        <v>116</v>
      </c>
      <c r="V1383">
        <v>10</v>
      </c>
      <c r="W1383">
        <v>59</v>
      </c>
      <c r="X1383">
        <v>299</v>
      </c>
      <c r="Y1383">
        <v>48</v>
      </c>
      <c r="Z1383">
        <v>70</v>
      </c>
      <c r="AA1383">
        <v>299</v>
      </c>
      <c r="AB1383">
        <v>13.7366816783831</v>
      </c>
      <c r="AC1383">
        <v>1.2241866852046999E-2</v>
      </c>
      <c r="AD1383">
        <v>2.53266819897771</v>
      </c>
      <c r="AE1383">
        <v>0.366191043690345</v>
      </c>
      <c r="AF1383">
        <v>1254.27416520211</v>
      </c>
      <c r="AG1383">
        <f>IFERROR(AH1383*0.1, "N/A")</f>
        <v>7.0346221441124799</v>
      </c>
      <c r="AH1383">
        <v>70.346221441124797</v>
      </c>
      <c r="AI1383">
        <v>186.17028587354699</v>
      </c>
      <c r="AJ1383">
        <v>29</v>
      </c>
      <c r="AK1383">
        <v>51.669595782073799</v>
      </c>
    </row>
    <row r="1384" spans="1:37" x14ac:dyDescent="0.3">
      <c r="A1384">
        <v>1383</v>
      </c>
      <c r="B1384">
        <v>35.799999</v>
      </c>
      <c r="C1384">
        <v>30.909500000000001</v>
      </c>
      <c r="D1384">
        <v>3.0217800000000001</v>
      </c>
      <c r="E1384" t="s">
        <v>2432</v>
      </c>
      <c r="F1384" t="s">
        <v>2433</v>
      </c>
      <c r="G1384" t="s">
        <v>37</v>
      </c>
      <c r="H1384">
        <v>2007</v>
      </c>
      <c r="I1384">
        <v>22.899999618530298</v>
      </c>
      <c r="J1384">
        <v>11.3999996185303</v>
      </c>
      <c r="K1384">
        <v>75</v>
      </c>
      <c r="L1384">
        <v>10.6000003814697</v>
      </c>
      <c r="M1384">
        <v>31.5</v>
      </c>
      <c r="N1384">
        <v>16.399999618530298</v>
      </c>
      <c r="O1384">
        <v>15.1000003814697</v>
      </c>
      <c r="P1384">
        <v>21.799999237060501</v>
      </c>
      <c r="Q1384">
        <v>24</v>
      </c>
      <c r="R1384">
        <v>24.299999237060501</v>
      </c>
      <c r="S1384">
        <v>21.5</v>
      </c>
      <c r="T1384">
        <v>1404</v>
      </c>
      <c r="U1384">
        <v>209</v>
      </c>
      <c r="V1384">
        <v>16</v>
      </c>
      <c r="W1384">
        <v>51</v>
      </c>
      <c r="X1384">
        <v>581</v>
      </c>
      <c r="Y1384">
        <v>95</v>
      </c>
      <c r="Z1384">
        <v>140</v>
      </c>
      <c r="AA1384">
        <v>526</v>
      </c>
      <c r="AB1384">
        <v>31.280721671121199</v>
      </c>
      <c r="AC1384">
        <v>1.0018811528489E-2</v>
      </c>
      <c r="AD1384">
        <v>2.8232878678723399</v>
      </c>
      <c r="AE1384">
        <v>0.78260745960369404</v>
      </c>
      <c r="AF1384">
        <v>1213.2578947368399</v>
      </c>
      <c r="AG1384">
        <f>IFERROR(AH1384*0.1, "N/A")</f>
        <v>5.7382456140350904</v>
      </c>
      <c r="AH1384">
        <v>57.382456140350897</v>
      </c>
      <c r="AI1384">
        <v>240.887177638004</v>
      </c>
      <c r="AJ1384">
        <v>32.038596491228098</v>
      </c>
      <c r="AK1384">
        <v>48.922807017543903</v>
      </c>
    </row>
    <row r="1385" spans="1:37" x14ac:dyDescent="0.3">
      <c r="A1385">
        <v>1384</v>
      </c>
      <c r="B1385">
        <v>30.1</v>
      </c>
      <c r="C1385">
        <v>30.910499999999999</v>
      </c>
      <c r="D1385">
        <v>3.0256099999999999</v>
      </c>
      <c r="E1385" t="s">
        <v>2434</v>
      </c>
      <c r="F1385" t="s">
        <v>2435</v>
      </c>
      <c r="G1385" t="s">
        <v>37</v>
      </c>
      <c r="H1385">
        <v>1958</v>
      </c>
      <c r="I1385">
        <v>22.899999618530298</v>
      </c>
      <c r="J1385">
        <v>11.3999996185303</v>
      </c>
      <c r="K1385">
        <v>75</v>
      </c>
      <c r="L1385">
        <v>10.949999809265099</v>
      </c>
      <c r="M1385">
        <v>31.5</v>
      </c>
      <c r="N1385">
        <v>16.299999237060501</v>
      </c>
      <c r="O1385">
        <v>15.199999809265099</v>
      </c>
      <c r="P1385">
        <v>21.799999237060501</v>
      </c>
      <c r="Q1385">
        <v>24</v>
      </c>
      <c r="R1385">
        <v>24.399999618530298</v>
      </c>
      <c r="S1385">
        <v>21.5</v>
      </c>
      <c r="T1385">
        <v>1400</v>
      </c>
      <c r="U1385">
        <v>210</v>
      </c>
      <c r="V1385">
        <v>16</v>
      </c>
      <c r="W1385">
        <v>51</v>
      </c>
      <c r="X1385">
        <v>581</v>
      </c>
      <c r="Y1385">
        <v>94</v>
      </c>
      <c r="Z1385">
        <v>140</v>
      </c>
      <c r="AA1385">
        <v>525</v>
      </c>
      <c r="AB1385">
        <v>16.8692234354405</v>
      </c>
      <c r="AC1385">
        <v>2.4318381800252E-2</v>
      </c>
      <c r="AD1385">
        <v>1.56194569796376</v>
      </c>
      <c r="AE1385">
        <v>0.80121144070985595</v>
      </c>
      <c r="AF1385">
        <v>1208.3725834797899</v>
      </c>
      <c r="AG1385">
        <f>IFERROR(AH1385*0.1, "N/A")</f>
        <v>5.6367311072056197</v>
      </c>
      <c r="AH1385">
        <v>56.367311072056197</v>
      </c>
      <c r="AI1385">
        <v>35.164120783076797</v>
      </c>
      <c r="AJ1385">
        <v>31.196836555360299</v>
      </c>
      <c r="AK1385">
        <v>50.615114235500897</v>
      </c>
    </row>
    <row r="1386" spans="1:37" x14ac:dyDescent="0.3">
      <c r="A1386">
        <v>1385</v>
      </c>
      <c r="B1386">
        <v>38</v>
      </c>
      <c r="C1386">
        <v>30.910399999999999</v>
      </c>
      <c r="D1386">
        <v>3.0257800000000001</v>
      </c>
      <c r="E1386" t="s">
        <v>2436</v>
      </c>
      <c r="F1386" t="s">
        <v>2437</v>
      </c>
      <c r="G1386" t="s">
        <v>37</v>
      </c>
      <c r="H1386">
        <v>1994</v>
      </c>
      <c r="I1386">
        <v>22.899999618530298</v>
      </c>
      <c r="J1386">
        <v>11.3999996185303</v>
      </c>
      <c r="K1386">
        <v>75</v>
      </c>
      <c r="L1386">
        <v>10.949999809265099</v>
      </c>
      <c r="M1386">
        <v>31.5</v>
      </c>
      <c r="N1386">
        <v>16.299999237060501</v>
      </c>
      <c r="O1386">
        <v>15.199999809265099</v>
      </c>
      <c r="P1386">
        <v>21.799999237060501</v>
      </c>
      <c r="Q1386">
        <v>24</v>
      </c>
      <c r="R1386">
        <v>24.399999618530298</v>
      </c>
      <c r="S1386">
        <v>21.5</v>
      </c>
      <c r="T1386">
        <v>1400</v>
      </c>
      <c r="U1386">
        <v>210</v>
      </c>
      <c r="V1386">
        <v>16</v>
      </c>
      <c r="W1386">
        <v>51</v>
      </c>
      <c r="X1386">
        <v>581</v>
      </c>
      <c r="Y1386">
        <v>94</v>
      </c>
      <c r="Z1386">
        <v>140</v>
      </c>
      <c r="AA1386">
        <v>525</v>
      </c>
      <c r="AB1386">
        <v>16.614212760187801</v>
      </c>
      <c r="AC1386">
        <v>2.3583276266059001E-2</v>
      </c>
      <c r="AD1386">
        <v>1.59027111236995</v>
      </c>
      <c r="AE1386">
        <v>0.79937210548112603</v>
      </c>
      <c r="AF1386">
        <v>1207.88752196837</v>
      </c>
      <c r="AG1386">
        <f>IFERROR(AH1386*0.1, "N/A")</f>
        <v>5.6583479789103706</v>
      </c>
      <c r="AH1386">
        <v>56.583479789103698</v>
      </c>
      <c r="AI1386">
        <v>37.130932554838303</v>
      </c>
      <c r="AJ1386">
        <v>31.397188049209099</v>
      </c>
      <c r="AK1386">
        <v>50.2759226713533</v>
      </c>
    </row>
    <row r="1387" spans="1:37" x14ac:dyDescent="0.3">
      <c r="A1387">
        <v>1386</v>
      </c>
      <c r="B1387">
        <v>16.899999999999999</v>
      </c>
      <c r="C1387">
        <v>31.385099</v>
      </c>
      <c r="D1387">
        <v>3.0270999999999999</v>
      </c>
      <c r="E1387" t="s">
        <v>2438</v>
      </c>
      <c r="F1387" t="s">
        <v>2439</v>
      </c>
      <c r="G1387" t="s">
        <v>37</v>
      </c>
      <c r="H1387">
        <v>2004</v>
      </c>
      <c r="I1387">
        <v>25.299999237060501</v>
      </c>
      <c r="J1387">
        <v>13.1000003814697</v>
      </c>
      <c r="K1387">
        <v>66</v>
      </c>
      <c r="L1387">
        <v>15.180000305175801</v>
      </c>
      <c r="M1387">
        <v>34.799999237060497</v>
      </c>
      <c r="N1387">
        <v>15</v>
      </c>
      <c r="O1387">
        <v>19.799999237060501</v>
      </c>
      <c r="P1387">
        <v>23.5</v>
      </c>
      <c r="Q1387">
        <v>26.299999237060501</v>
      </c>
      <c r="R1387">
        <v>26.799999237060501</v>
      </c>
      <c r="S1387">
        <v>23.5</v>
      </c>
      <c r="T1387">
        <v>1139</v>
      </c>
      <c r="U1387">
        <v>160</v>
      </c>
      <c r="V1387">
        <v>11</v>
      </c>
      <c r="W1387">
        <v>51</v>
      </c>
      <c r="X1387">
        <v>449</v>
      </c>
      <c r="Y1387">
        <v>64</v>
      </c>
      <c r="Z1387">
        <v>109</v>
      </c>
      <c r="AA1387">
        <v>449</v>
      </c>
      <c r="AB1387">
        <v>19.9094738341214</v>
      </c>
      <c r="AC1387">
        <v>1.0542919571723999E-2</v>
      </c>
      <c r="AD1387">
        <v>1.6241744739967501</v>
      </c>
      <c r="AE1387">
        <v>0.53573817317945904</v>
      </c>
      <c r="AF1387">
        <v>671.30877192982496</v>
      </c>
      <c r="AG1387">
        <f>IFERROR(AH1387*0.1, "N/A")</f>
        <v>6.1026315789473706</v>
      </c>
      <c r="AH1387">
        <v>61.026315789473699</v>
      </c>
      <c r="AI1387">
        <v>191.78960986221</v>
      </c>
      <c r="AJ1387">
        <v>30.6947368421053</v>
      </c>
      <c r="AK1387">
        <v>52.626315789473701</v>
      </c>
    </row>
    <row r="1388" spans="1:37" x14ac:dyDescent="0.3">
      <c r="A1388">
        <v>1387</v>
      </c>
      <c r="B1388">
        <v>4.2</v>
      </c>
      <c r="C1388">
        <v>30.941500000000001</v>
      </c>
      <c r="D1388">
        <v>3.0383599999999999</v>
      </c>
      <c r="E1388" t="s">
        <v>2440</v>
      </c>
      <c r="F1388" t="s">
        <v>2441</v>
      </c>
      <c r="G1388" t="s">
        <v>37</v>
      </c>
      <c r="H1388">
        <v>1958</v>
      </c>
      <c r="I1388">
        <v>23.2445423367997</v>
      </c>
      <c r="J1388">
        <v>11.644542380118001</v>
      </c>
      <c r="K1388">
        <v>76</v>
      </c>
      <c r="L1388">
        <v>10.7510915742794</v>
      </c>
      <c r="M1388">
        <v>31.844541660496901</v>
      </c>
      <c r="N1388">
        <v>16.644542804906099</v>
      </c>
      <c r="O1388">
        <v>15.199999809265099</v>
      </c>
      <c r="P1388">
        <v>22.100000381469702</v>
      </c>
      <c r="Q1388">
        <v>24.299999237060501</v>
      </c>
      <c r="R1388">
        <v>24.644542804906099</v>
      </c>
      <c r="S1388">
        <v>21.844541660496901</v>
      </c>
      <c r="T1388">
        <v>1372.10035211268</v>
      </c>
      <c r="U1388">
        <v>206.10915492957699</v>
      </c>
      <c r="V1388">
        <v>16</v>
      </c>
      <c r="W1388">
        <v>51</v>
      </c>
      <c r="X1388">
        <v>571.21830985915506</v>
      </c>
      <c r="Y1388">
        <v>92.554577464788693</v>
      </c>
      <c r="Z1388">
        <v>141</v>
      </c>
      <c r="AA1388">
        <v>509.77288732394402</v>
      </c>
      <c r="AB1388">
        <v>12.291526257152301</v>
      </c>
      <c r="AC1388">
        <v>6.8183576789829003E-2</v>
      </c>
      <c r="AD1388">
        <v>3.27099306986366</v>
      </c>
      <c r="AE1388">
        <v>0.68776059150695801</v>
      </c>
      <c r="AF1388">
        <v>1120.0616197183101</v>
      </c>
      <c r="AG1388">
        <f>IFERROR(AH1388*0.1, "N/A")</f>
        <v>5.8000000000000007</v>
      </c>
      <c r="AH1388">
        <v>58</v>
      </c>
      <c r="AI1388">
        <v>21.997746628774699</v>
      </c>
      <c r="AJ1388">
        <v>31.5545774647887</v>
      </c>
      <c r="AK1388">
        <v>50.396126760563398</v>
      </c>
    </row>
    <row r="1389" spans="1:37" x14ac:dyDescent="0.3">
      <c r="A1389">
        <v>1388</v>
      </c>
      <c r="B1389">
        <v>1.7</v>
      </c>
      <c r="C1389">
        <v>33.373100000000001</v>
      </c>
      <c r="D1389">
        <v>3.0417200000000002</v>
      </c>
      <c r="E1389" t="s">
        <v>2442</v>
      </c>
      <c r="F1389" t="s">
        <v>2443</v>
      </c>
      <c r="G1389" t="s">
        <v>37</v>
      </c>
      <c r="H1389">
        <v>2004</v>
      </c>
      <c r="I1389">
        <v>23.2465729872665</v>
      </c>
      <c r="J1389">
        <v>13.046573112635301</v>
      </c>
      <c r="K1389">
        <v>78</v>
      </c>
      <c r="L1389">
        <v>10.6506854913775</v>
      </c>
      <c r="M1389">
        <v>32.746572987266497</v>
      </c>
      <c r="N1389">
        <v>16.146573494104999</v>
      </c>
      <c r="O1389">
        <v>16.600000381469702</v>
      </c>
      <c r="P1389">
        <v>21.946572731165599</v>
      </c>
      <c r="Q1389">
        <v>24.293146099901801</v>
      </c>
      <c r="R1389">
        <v>24.7465729872665</v>
      </c>
      <c r="S1389">
        <v>21.946572731165599</v>
      </c>
      <c r="T1389">
        <v>1128.5342706502599</v>
      </c>
      <c r="U1389">
        <v>186</v>
      </c>
      <c r="V1389">
        <v>10</v>
      </c>
      <c r="W1389">
        <v>59.534270650263601</v>
      </c>
      <c r="X1389">
        <v>482.53427065026398</v>
      </c>
      <c r="Y1389">
        <v>64</v>
      </c>
      <c r="Z1389">
        <v>98</v>
      </c>
      <c r="AA1389">
        <v>482.53427065026398</v>
      </c>
      <c r="AB1389">
        <v>34.028840773973002</v>
      </c>
      <c r="AC1389">
        <v>1.8032223537812999E-2</v>
      </c>
      <c r="AD1389">
        <v>2.4183349976011601</v>
      </c>
      <c r="AE1389">
        <v>0.54023993015289296</v>
      </c>
      <c r="AF1389">
        <v>1121.9420035149401</v>
      </c>
      <c r="AG1389">
        <f>IFERROR(AH1389*0.1, "N/A")</f>
        <v>5.8639718804920911</v>
      </c>
      <c r="AH1389">
        <v>58.639718804920903</v>
      </c>
      <c r="AI1389">
        <v>132.48642235942</v>
      </c>
      <c r="AJ1389">
        <v>33</v>
      </c>
      <c r="AK1389">
        <v>44</v>
      </c>
    </row>
    <row r="1390" spans="1:37" x14ac:dyDescent="0.3">
      <c r="A1390">
        <v>1389</v>
      </c>
      <c r="B1390">
        <v>0</v>
      </c>
      <c r="C1390">
        <v>31.450001</v>
      </c>
      <c r="D1390">
        <v>3.0666699999999998</v>
      </c>
      <c r="E1390" t="s">
        <v>2444</v>
      </c>
      <c r="F1390" t="s">
        <v>2445</v>
      </c>
      <c r="G1390" t="s">
        <v>2420</v>
      </c>
      <c r="H1390">
        <v>1994</v>
      </c>
      <c r="I1390">
        <v>25.598245988812401</v>
      </c>
      <c r="J1390">
        <v>13.199999809265099</v>
      </c>
      <c r="K1390">
        <v>66</v>
      </c>
      <c r="L1390">
        <v>14.988859650126701</v>
      </c>
      <c r="M1390">
        <v>35.217367707637301</v>
      </c>
      <c r="N1390">
        <v>15.3491227166695</v>
      </c>
      <c r="O1390">
        <v>19.868245111432</v>
      </c>
      <c r="P1390">
        <v>23.798245814808599</v>
      </c>
      <c r="Q1390">
        <v>26.587368389598101</v>
      </c>
      <c r="R1390">
        <v>27.117368504039</v>
      </c>
      <c r="S1390">
        <v>23.798245814808599</v>
      </c>
      <c r="T1390">
        <v>1153.1526315789499</v>
      </c>
      <c r="U1390">
        <v>161.18771929824601</v>
      </c>
      <c r="V1390">
        <v>11</v>
      </c>
      <c r="W1390">
        <v>51</v>
      </c>
      <c r="X1390">
        <v>446.90175438596498</v>
      </c>
      <c r="Y1390">
        <v>64.340350877193003</v>
      </c>
      <c r="Z1390">
        <v>107.67894736842101</v>
      </c>
      <c r="AA1390">
        <v>446.90175438596498</v>
      </c>
      <c r="AB1390">
        <v>19.597360175952598</v>
      </c>
      <c r="AC1390">
        <v>0.147206116569016</v>
      </c>
      <c r="AD1390">
        <v>2.95869575885304</v>
      </c>
      <c r="AE1390">
        <v>0.52720108262279597</v>
      </c>
      <c r="AF1390">
        <v>638.67719298245595</v>
      </c>
      <c r="AG1390">
        <f>IFERROR(AH1390*0.1, "N/A")</f>
        <v>5.9033333333333307</v>
      </c>
      <c r="AH1390">
        <v>59.033333333333303</v>
      </c>
      <c r="AI1390">
        <v>71.142451811673396</v>
      </c>
      <c r="AJ1390">
        <v>26.491228070175399</v>
      </c>
      <c r="AK1390">
        <v>52.508771929824597</v>
      </c>
    </row>
    <row r="1391" spans="1:37" x14ac:dyDescent="0.3">
      <c r="A1391">
        <v>1390</v>
      </c>
      <c r="B1391">
        <v>19.600000000000001</v>
      </c>
      <c r="C1391">
        <v>31.281600999999998</v>
      </c>
      <c r="D1391">
        <v>3.07422</v>
      </c>
      <c r="E1391" t="s">
        <v>2446</v>
      </c>
      <c r="F1391" t="s">
        <v>2447</v>
      </c>
      <c r="G1391" t="s">
        <v>37</v>
      </c>
      <c r="H1391">
        <v>2004</v>
      </c>
      <c r="I1391">
        <v>25.399999618530298</v>
      </c>
      <c r="J1391">
        <v>13</v>
      </c>
      <c r="K1391">
        <v>67.957820738137102</v>
      </c>
      <c r="L1391">
        <v>13.807170668469601</v>
      </c>
      <c r="M1391">
        <v>34.708436647492299</v>
      </c>
      <c r="N1391">
        <v>15.699999809265099</v>
      </c>
      <c r="O1391">
        <v>19.008435884552799</v>
      </c>
      <c r="P1391">
        <v>23.600000381469702</v>
      </c>
      <c r="Q1391">
        <v>26.304217179336899</v>
      </c>
      <c r="R1391">
        <v>26.799999237060501</v>
      </c>
      <c r="S1391">
        <v>23.600000381469702</v>
      </c>
      <c r="T1391">
        <v>1137.12653778559</v>
      </c>
      <c r="U1391">
        <v>161</v>
      </c>
      <c r="V1391">
        <v>11</v>
      </c>
      <c r="W1391">
        <v>51.957820738137102</v>
      </c>
      <c r="X1391">
        <v>455.042179261863</v>
      </c>
      <c r="Y1391">
        <v>64</v>
      </c>
      <c r="Z1391">
        <v>110</v>
      </c>
      <c r="AA1391">
        <v>455.042179261863</v>
      </c>
      <c r="AB1391">
        <v>7.1168884384611202</v>
      </c>
      <c r="AC1391">
        <v>1.0906028507281E-2</v>
      </c>
      <c r="AD1391">
        <v>0.96241283469124705</v>
      </c>
      <c r="AE1391">
        <v>0.45968225598335299</v>
      </c>
      <c r="AF1391">
        <v>668.43233743409496</v>
      </c>
      <c r="AG1391">
        <f>IFERROR(AH1391*0.1, "N/A")</f>
        <v>6.1880492091388399</v>
      </c>
      <c r="AH1391">
        <v>61.880492091388398</v>
      </c>
      <c r="AI1391">
        <v>260.36845623210797</v>
      </c>
      <c r="AJ1391">
        <v>27.783831282952502</v>
      </c>
      <c r="AK1391">
        <v>52.841827768014099</v>
      </c>
    </row>
    <row r="1392" spans="1:37" x14ac:dyDescent="0.3">
      <c r="A1392">
        <v>1391</v>
      </c>
      <c r="B1392">
        <v>12.5</v>
      </c>
      <c r="C1392">
        <v>31.3993</v>
      </c>
      <c r="D1392">
        <v>3.1032799999999998</v>
      </c>
      <c r="E1392" t="s">
        <v>2448</v>
      </c>
      <c r="F1392" t="s">
        <v>2449</v>
      </c>
      <c r="G1392" t="s">
        <v>37</v>
      </c>
      <c r="H1392">
        <v>2004</v>
      </c>
      <c r="I1392">
        <v>25.600000381469702</v>
      </c>
      <c r="J1392">
        <v>13.199999809265099</v>
      </c>
      <c r="K1392">
        <v>67</v>
      </c>
      <c r="L1392">
        <v>14.512882076793099</v>
      </c>
      <c r="M1392">
        <v>35.283655022485398</v>
      </c>
      <c r="N1392">
        <v>15.667310912495999</v>
      </c>
      <c r="O1392">
        <v>19.616344907790801</v>
      </c>
      <c r="P1392">
        <v>23.883655092209199</v>
      </c>
      <c r="Q1392">
        <v>26.6836562366184</v>
      </c>
      <c r="R1392">
        <v>27.1836562366184</v>
      </c>
      <c r="S1392">
        <v>23.883655092209199</v>
      </c>
      <c r="T1392">
        <v>1156.98066783831</v>
      </c>
      <c r="U1392">
        <v>162.16344463971899</v>
      </c>
      <c r="V1392">
        <v>11</v>
      </c>
      <c r="W1392">
        <v>51.163444639718797</v>
      </c>
      <c r="X1392">
        <v>451.490333919156</v>
      </c>
      <c r="Y1392">
        <v>65</v>
      </c>
      <c r="Z1392">
        <v>109</v>
      </c>
      <c r="AA1392">
        <v>451.490333919156</v>
      </c>
      <c r="AB1392">
        <v>11.6588931762481</v>
      </c>
      <c r="AC1392">
        <v>1.0320690665099001E-2</v>
      </c>
      <c r="AD1392">
        <v>2.0669976870917299</v>
      </c>
      <c r="AE1392">
        <v>0.40942645072937001</v>
      </c>
      <c r="AF1392">
        <v>651.212653778559</v>
      </c>
      <c r="AG1392">
        <f>IFERROR(AH1392*0.1, "N/A")</f>
        <v>6.1144112478031607</v>
      </c>
      <c r="AH1392">
        <v>61.144112478031602</v>
      </c>
      <c r="AI1392">
        <v>222.487744054811</v>
      </c>
      <c r="AJ1392">
        <v>25.3708260105448</v>
      </c>
      <c r="AK1392">
        <v>57.6485061511423</v>
      </c>
    </row>
    <row r="1393" spans="1:37" x14ac:dyDescent="0.3">
      <c r="A1393">
        <v>1392</v>
      </c>
      <c r="B1393">
        <v>14.3</v>
      </c>
      <c r="C1393">
        <v>31.011299000000001</v>
      </c>
      <c r="D1393">
        <v>3.15686</v>
      </c>
      <c r="E1393" t="s">
        <v>2450</v>
      </c>
      <c r="F1393" t="s">
        <v>2451</v>
      </c>
      <c r="G1393" t="s">
        <v>37</v>
      </c>
      <c r="H1393">
        <v>1958</v>
      </c>
      <c r="I1393">
        <v>23.5</v>
      </c>
      <c r="J1393">
        <v>11.8999996185303</v>
      </c>
      <c r="K1393">
        <v>75</v>
      </c>
      <c r="L1393">
        <v>10.539999961853001</v>
      </c>
      <c r="M1393">
        <v>32.299999237060497</v>
      </c>
      <c r="N1393">
        <v>16.5</v>
      </c>
      <c r="O1393">
        <v>15.800000190734901</v>
      </c>
      <c r="P1393">
        <v>22.299999237060501</v>
      </c>
      <c r="Q1393">
        <v>24.600000381469702</v>
      </c>
      <c r="R1393">
        <v>25</v>
      </c>
      <c r="S1393">
        <v>22.299999237060501</v>
      </c>
      <c r="T1393">
        <v>1366</v>
      </c>
      <c r="U1393">
        <v>202</v>
      </c>
      <c r="V1393">
        <v>16</v>
      </c>
      <c r="W1393">
        <v>51</v>
      </c>
      <c r="X1393">
        <v>573</v>
      </c>
      <c r="Y1393">
        <v>92</v>
      </c>
      <c r="Z1393">
        <v>144</v>
      </c>
      <c r="AA1393">
        <v>500</v>
      </c>
      <c r="AB1393">
        <v>27.254159401087399</v>
      </c>
      <c r="AC1393">
        <v>2.7360442276186E-2</v>
      </c>
      <c r="AD1393">
        <v>1.9914020574365201</v>
      </c>
      <c r="AE1393">
        <v>0.73037570714950595</v>
      </c>
      <c r="AF1393">
        <v>1090.43057996485</v>
      </c>
      <c r="AG1393">
        <f>IFERROR(AH1393*0.1, "N/A")</f>
        <v>5.7</v>
      </c>
      <c r="AH1393">
        <v>57</v>
      </c>
      <c r="AI1393">
        <v>275.40540143433702</v>
      </c>
      <c r="AJ1393">
        <v>24.035149384885798</v>
      </c>
      <c r="AK1393">
        <v>55.891036906854097</v>
      </c>
    </row>
    <row r="1394" spans="1:37" x14ac:dyDescent="0.3">
      <c r="A1394">
        <v>1393</v>
      </c>
      <c r="B1394">
        <v>53.599997999999999</v>
      </c>
      <c r="C1394">
        <v>31.821501000000001</v>
      </c>
      <c r="D1394">
        <v>3.15787</v>
      </c>
      <c r="E1394" t="s">
        <v>2452</v>
      </c>
      <c r="F1394" t="s">
        <v>2453</v>
      </c>
      <c r="G1394" t="s">
        <v>37</v>
      </c>
      <c r="H1394">
        <v>2004</v>
      </c>
      <c r="I1394">
        <v>24.299999237060501</v>
      </c>
      <c r="J1394">
        <v>12.8999996185303</v>
      </c>
      <c r="K1394">
        <v>73</v>
      </c>
      <c r="L1394">
        <v>12.096105607350699</v>
      </c>
      <c r="M1394">
        <v>34.099998474121101</v>
      </c>
      <c r="N1394">
        <v>16.5</v>
      </c>
      <c r="O1394">
        <v>17.600000381469702</v>
      </c>
      <c r="P1394">
        <v>23</v>
      </c>
      <c r="Q1394">
        <v>25.600000381469702</v>
      </c>
      <c r="R1394">
        <v>26.108596905490799</v>
      </c>
      <c r="S1394">
        <v>23</v>
      </c>
      <c r="T1394">
        <v>1300.9140350877201</v>
      </c>
      <c r="U1394">
        <v>190</v>
      </c>
      <c r="V1394">
        <v>13</v>
      </c>
      <c r="W1394">
        <v>53</v>
      </c>
      <c r="X1394">
        <v>514</v>
      </c>
      <c r="Y1394">
        <v>68</v>
      </c>
      <c r="Z1394">
        <v>108</v>
      </c>
      <c r="AA1394">
        <v>514</v>
      </c>
      <c r="AB1394">
        <v>17.648585483484101</v>
      </c>
      <c r="AC1394">
        <v>1.3955688687336E-2</v>
      </c>
      <c r="AD1394">
        <v>1.3252698498859701</v>
      </c>
      <c r="AE1394">
        <v>0.60546445846557595</v>
      </c>
      <c r="AF1394">
        <v>957.86842105263202</v>
      </c>
      <c r="AG1394">
        <f>IFERROR(AH1394*0.1, "N/A")</f>
        <v>5.5887719298245599</v>
      </c>
      <c r="AH1394">
        <v>55.887719298245599</v>
      </c>
      <c r="AI1394">
        <v>260.04012635883498</v>
      </c>
      <c r="AJ1394">
        <v>35.247368421052599</v>
      </c>
      <c r="AK1394">
        <v>46.105263157894697</v>
      </c>
    </row>
    <row r="1395" spans="1:37" x14ac:dyDescent="0.3">
      <c r="A1395">
        <v>1394</v>
      </c>
      <c r="B1395">
        <v>25.6</v>
      </c>
      <c r="C1395">
        <v>31.5261</v>
      </c>
      <c r="D1395">
        <v>3.1976499999999999</v>
      </c>
      <c r="E1395" t="s">
        <v>2454</v>
      </c>
      <c r="F1395" t="s">
        <v>2455</v>
      </c>
      <c r="G1395" t="s">
        <v>37</v>
      </c>
      <c r="H1395">
        <v>2007</v>
      </c>
      <c r="I1395">
        <v>26</v>
      </c>
      <c r="J1395">
        <v>13.300000190734901</v>
      </c>
      <c r="K1395">
        <v>70</v>
      </c>
      <c r="L1395">
        <v>13.25</v>
      </c>
      <c r="M1395">
        <v>36</v>
      </c>
      <c r="N1395">
        <v>17</v>
      </c>
      <c r="O1395">
        <v>19</v>
      </c>
      <c r="P1395">
        <v>24.399999618530298</v>
      </c>
      <c r="Q1395">
        <v>27.200000762939499</v>
      </c>
      <c r="R1395">
        <v>27.700000762939499</v>
      </c>
      <c r="S1395">
        <v>24.399999618530298</v>
      </c>
      <c r="T1395">
        <v>1216</v>
      </c>
      <c r="U1395">
        <v>166</v>
      </c>
      <c r="V1395">
        <v>11</v>
      </c>
      <c r="W1395">
        <v>51</v>
      </c>
      <c r="X1395">
        <v>457</v>
      </c>
      <c r="Y1395">
        <v>68</v>
      </c>
      <c r="Z1395">
        <v>108</v>
      </c>
      <c r="AA1395">
        <v>457</v>
      </c>
      <c r="AB1395">
        <v>19.6286825974503</v>
      </c>
      <c r="AC1395">
        <v>1.6589643186538001E-2</v>
      </c>
      <c r="AD1395">
        <v>1.60657741818151</v>
      </c>
      <c r="AE1395">
        <v>0.70414871417365699</v>
      </c>
      <c r="AF1395">
        <v>641.14586994727597</v>
      </c>
      <c r="AG1395">
        <f>IFERROR(AH1395*0.1, "N/A")</f>
        <v>6.0922671353251303</v>
      </c>
      <c r="AH1395">
        <v>60.922671353251303</v>
      </c>
      <c r="AI1395">
        <v>39.354741094820497</v>
      </c>
      <c r="AJ1395">
        <v>29.845342706502599</v>
      </c>
      <c r="AK1395">
        <v>51.231985940245998</v>
      </c>
    </row>
    <row r="1396" spans="1:37" x14ac:dyDescent="0.3">
      <c r="A1396">
        <v>1395</v>
      </c>
      <c r="B1396">
        <v>25</v>
      </c>
      <c r="C1396">
        <v>31.278199999999998</v>
      </c>
      <c r="D1396">
        <v>3.2084000000000001</v>
      </c>
      <c r="E1396" t="s">
        <v>2456</v>
      </c>
      <c r="F1396" t="s">
        <v>2457</v>
      </c>
      <c r="G1396" t="s">
        <v>37</v>
      </c>
      <c r="H1396">
        <v>2004</v>
      </c>
      <c r="I1396">
        <v>25.600000381469702</v>
      </c>
      <c r="J1396">
        <v>13.1000003814697</v>
      </c>
      <c r="K1396">
        <v>70</v>
      </c>
      <c r="L1396">
        <v>13.094217974188499</v>
      </c>
      <c r="M1396">
        <v>35.121088587755899</v>
      </c>
      <c r="N1396">
        <v>16.421089329912299</v>
      </c>
      <c r="O1396">
        <v>18.700000762939499</v>
      </c>
      <c r="P1396">
        <v>24</v>
      </c>
      <c r="Q1396">
        <v>26.621090092851698</v>
      </c>
      <c r="R1396">
        <v>27.121090092851698</v>
      </c>
      <c r="S1396">
        <v>24</v>
      </c>
      <c r="T1396">
        <v>1160.6326889279401</v>
      </c>
      <c r="U1396">
        <v>166.21089630931499</v>
      </c>
      <c r="V1396">
        <v>10</v>
      </c>
      <c r="W1396">
        <v>52.210896309314599</v>
      </c>
      <c r="X1396">
        <v>466.632688927944</v>
      </c>
      <c r="Y1396">
        <v>63</v>
      </c>
      <c r="Z1396">
        <v>108</v>
      </c>
      <c r="AA1396">
        <v>466.632688927944</v>
      </c>
      <c r="AB1396">
        <v>6.0708396120523904</v>
      </c>
      <c r="AC1396">
        <v>1.2464598796751001E-2</v>
      </c>
      <c r="AD1396">
        <v>1.3029272738575699</v>
      </c>
      <c r="AE1396">
        <v>0.310781240463257</v>
      </c>
      <c r="AF1396">
        <v>664.43233743409496</v>
      </c>
      <c r="AG1396">
        <f>IFERROR(AH1396*0.1, "N/A")</f>
        <v>6.0091388400703005</v>
      </c>
      <c r="AH1396">
        <v>60.091388400703003</v>
      </c>
      <c r="AI1396">
        <v>228.73590586684099</v>
      </c>
      <c r="AJ1396">
        <v>32</v>
      </c>
      <c r="AK1396">
        <v>49.908611599296997</v>
      </c>
    </row>
    <row r="1397" spans="1:37" x14ac:dyDescent="0.3">
      <c r="A1397">
        <v>1396</v>
      </c>
      <c r="B1397">
        <v>95.199996999999996</v>
      </c>
      <c r="C1397">
        <v>31.910101000000001</v>
      </c>
      <c r="D1397">
        <v>3.2174299999999998</v>
      </c>
      <c r="E1397" t="s">
        <v>2458</v>
      </c>
      <c r="F1397" t="s">
        <v>2459</v>
      </c>
      <c r="G1397" t="s">
        <v>37</v>
      </c>
      <c r="H1397">
        <v>2004</v>
      </c>
      <c r="I1397">
        <v>25.1929708591455</v>
      </c>
      <c r="J1397">
        <v>13.2070297130591</v>
      </c>
      <c r="K1397">
        <v>73</v>
      </c>
      <c r="L1397">
        <v>12.722109211350199</v>
      </c>
      <c r="M1397">
        <v>35.292969467350801</v>
      </c>
      <c r="N1397">
        <v>17.292969467350801</v>
      </c>
      <c r="O1397">
        <v>18</v>
      </c>
      <c r="P1397">
        <v>23.799999237060501</v>
      </c>
      <c r="Q1397">
        <v>26.5</v>
      </c>
      <c r="R1397">
        <v>27.092970477675699</v>
      </c>
      <c r="S1397">
        <v>23.799999237060501</v>
      </c>
      <c r="T1397">
        <v>1256.42179261863</v>
      </c>
      <c r="U1397">
        <v>178.07029876977199</v>
      </c>
      <c r="V1397">
        <v>11</v>
      </c>
      <c r="W1397">
        <v>54</v>
      </c>
      <c r="X1397">
        <v>478.21089630931499</v>
      </c>
      <c r="Y1397">
        <v>62</v>
      </c>
      <c r="Z1397">
        <v>100.07029876977199</v>
      </c>
      <c r="AA1397">
        <v>478.21089630931499</v>
      </c>
      <c r="AB1397">
        <v>3.1611474008677498</v>
      </c>
      <c r="AC1397">
        <v>0.13499492731580401</v>
      </c>
      <c r="AD1397">
        <v>1.1524944429028801</v>
      </c>
      <c r="AE1397">
        <v>0.34331120925125602</v>
      </c>
      <c r="AF1397">
        <v>806.89806678383104</v>
      </c>
      <c r="AG1397">
        <f>IFERROR(AH1397*0.1, "N/A")</f>
        <v>5.7</v>
      </c>
      <c r="AH1397">
        <v>57</v>
      </c>
      <c r="AI1397">
        <v>55.321507794157299</v>
      </c>
      <c r="AJ1397">
        <v>33.184534270650303</v>
      </c>
      <c r="AK1397">
        <v>42.7205623901582</v>
      </c>
    </row>
    <row r="1398" spans="1:37" x14ac:dyDescent="0.3">
      <c r="A1398">
        <v>1397</v>
      </c>
      <c r="B1398">
        <v>74.599997999999999</v>
      </c>
      <c r="C1398">
        <v>31.783701000000001</v>
      </c>
      <c r="D1398">
        <v>3.22953</v>
      </c>
      <c r="E1398" t="s">
        <v>2460</v>
      </c>
      <c r="F1398" t="s">
        <v>2461</v>
      </c>
      <c r="G1398" t="s">
        <v>37</v>
      </c>
      <c r="H1398">
        <v>2004</v>
      </c>
      <c r="I1398">
        <v>25</v>
      </c>
      <c r="J1398">
        <v>13.1000003814697</v>
      </c>
      <c r="K1398">
        <v>72</v>
      </c>
      <c r="L1398">
        <v>13.2940067130359</v>
      </c>
      <c r="M1398">
        <v>35</v>
      </c>
      <c r="N1398">
        <v>17</v>
      </c>
      <c r="O1398">
        <v>18</v>
      </c>
      <c r="P1398">
        <v>23.600000381469702</v>
      </c>
      <c r="Q1398">
        <v>26.399999618530298</v>
      </c>
      <c r="R1398">
        <v>26.899999618530298</v>
      </c>
      <c r="S1398">
        <v>23.600000381469702</v>
      </c>
      <c r="T1398">
        <v>1259.0826010544799</v>
      </c>
      <c r="U1398">
        <v>179.84710017574699</v>
      </c>
      <c r="V1398">
        <v>12</v>
      </c>
      <c r="W1398">
        <v>53</v>
      </c>
      <c r="X1398">
        <v>486.54130052724099</v>
      </c>
      <c r="Y1398">
        <v>65</v>
      </c>
      <c r="Z1398">
        <v>103</v>
      </c>
      <c r="AA1398">
        <v>486.54130052724099</v>
      </c>
      <c r="AB1398">
        <v>28.605291007901702</v>
      </c>
      <c r="AC1398">
        <v>1.3949274776179001E-2</v>
      </c>
      <c r="AD1398">
        <v>1.5944617615852299</v>
      </c>
      <c r="AE1398">
        <v>0.56898436646888895</v>
      </c>
      <c r="AF1398">
        <v>854.31810193321598</v>
      </c>
      <c r="AG1398">
        <f>IFERROR(AH1398*0.1, "N/A")</f>
        <v>5.9838312829525506</v>
      </c>
      <c r="AH1398">
        <v>59.838312829525499</v>
      </c>
      <c r="AI1398">
        <v>274.33425584199802</v>
      </c>
      <c r="AJ1398">
        <v>31.305799648506198</v>
      </c>
      <c r="AK1398">
        <v>45.323374340949002</v>
      </c>
    </row>
    <row r="1399" spans="1:37" x14ac:dyDescent="0.3">
      <c r="A1399">
        <v>1398</v>
      </c>
      <c r="B1399">
        <v>35</v>
      </c>
      <c r="C1399">
        <v>31.549800999999999</v>
      </c>
      <c r="D1399">
        <v>3.2295699999999998</v>
      </c>
      <c r="E1399" t="s">
        <v>2462</v>
      </c>
      <c r="F1399" t="s">
        <v>2463</v>
      </c>
      <c r="G1399" t="s">
        <v>37</v>
      </c>
      <c r="H1399">
        <v>2007</v>
      </c>
      <c r="I1399">
        <v>26.157469844985702</v>
      </c>
      <c r="J1399">
        <v>13.3574691061814</v>
      </c>
      <c r="K1399">
        <v>70.574692442882295</v>
      </c>
      <c r="L1399">
        <v>13.135975504172899</v>
      </c>
      <c r="M1399">
        <v>36.200000762939503</v>
      </c>
      <c r="N1399">
        <v>17.357468700576501</v>
      </c>
      <c r="O1399">
        <v>18.842530155014298</v>
      </c>
      <c r="P1399">
        <v>24.600000381469702</v>
      </c>
      <c r="Q1399">
        <v>27.399999618530298</v>
      </c>
      <c r="R1399">
        <v>27.899999618530298</v>
      </c>
      <c r="S1399">
        <v>24.600000381469702</v>
      </c>
      <c r="T1399">
        <v>1210.70123022847</v>
      </c>
      <c r="U1399">
        <v>165.425307557118</v>
      </c>
      <c r="V1399">
        <v>10</v>
      </c>
      <c r="W1399">
        <v>52</v>
      </c>
      <c r="X1399">
        <v>454.70123022847099</v>
      </c>
      <c r="Y1399">
        <v>66</v>
      </c>
      <c r="Z1399">
        <v>105</v>
      </c>
      <c r="AA1399">
        <v>454.70123022847099</v>
      </c>
      <c r="AB1399">
        <v>5.7221146568472596</v>
      </c>
      <c r="AC1399">
        <v>4.3227766159273998E-2</v>
      </c>
      <c r="AD1399">
        <v>1.14067059912455</v>
      </c>
      <c r="AE1399">
        <v>0.58155754454735098</v>
      </c>
      <c r="AF1399">
        <v>627.23198594024598</v>
      </c>
      <c r="AG1399">
        <f>IFERROR(AH1399*0.1, "N/A")</f>
        <v>6.1021089630931504</v>
      </c>
      <c r="AH1399">
        <v>61.021089630931499</v>
      </c>
      <c r="AI1399">
        <v>155.22984107475099</v>
      </c>
      <c r="AJ1399">
        <v>33.553602811950803</v>
      </c>
      <c r="AK1399">
        <v>47.425307557117698</v>
      </c>
    </row>
    <row r="1400" spans="1:37" x14ac:dyDescent="0.3">
      <c r="A1400">
        <v>1399</v>
      </c>
      <c r="B1400">
        <v>62.099997999999999</v>
      </c>
      <c r="C1400">
        <v>31.549999</v>
      </c>
      <c r="D1400">
        <v>3.2296499999999999</v>
      </c>
      <c r="E1400" t="s">
        <v>2464</v>
      </c>
      <c r="F1400" t="s">
        <v>2465</v>
      </c>
      <c r="G1400" t="s">
        <v>37</v>
      </c>
      <c r="H1400">
        <v>2004</v>
      </c>
      <c r="I1400">
        <v>26.174517361686199</v>
      </c>
      <c r="J1400">
        <v>13.374516460304701</v>
      </c>
      <c r="K1400">
        <v>70.745166959578199</v>
      </c>
      <c r="L1400">
        <v>13.1496134525024</v>
      </c>
      <c r="M1400">
        <v>36.200000762939503</v>
      </c>
      <c r="N1400">
        <v>17.374516217277002</v>
      </c>
      <c r="O1400">
        <v>18.825482638313801</v>
      </c>
      <c r="P1400">
        <v>24.600000381469702</v>
      </c>
      <c r="Q1400">
        <v>27.399999618530298</v>
      </c>
      <c r="R1400">
        <v>27.899999618530298</v>
      </c>
      <c r="S1400">
        <v>24.600000381469702</v>
      </c>
      <c r="T1400">
        <v>1210.01933216169</v>
      </c>
      <c r="U1400">
        <v>165.254833040422</v>
      </c>
      <c r="V1400">
        <v>10</v>
      </c>
      <c r="W1400">
        <v>52</v>
      </c>
      <c r="X1400">
        <v>454.01933216168698</v>
      </c>
      <c r="Y1400">
        <v>66</v>
      </c>
      <c r="Z1400">
        <v>105</v>
      </c>
      <c r="AA1400">
        <v>454.01933216168698</v>
      </c>
      <c r="AB1400">
        <v>5.5483031582958002</v>
      </c>
      <c r="AC1400">
        <v>3.9027980608974E-2</v>
      </c>
      <c r="AD1400">
        <v>1.16548982529732</v>
      </c>
      <c r="AE1400">
        <v>0.56444332040257095</v>
      </c>
      <c r="AF1400">
        <v>626.79261862917394</v>
      </c>
      <c r="AG1400">
        <f>IFERROR(AH1400*0.1, "N/A")</f>
        <v>6.1050966608084405</v>
      </c>
      <c r="AH1400">
        <v>61.050966608084401</v>
      </c>
      <c r="AI1400">
        <v>152.209492715256</v>
      </c>
      <c r="AJ1400">
        <v>33.694200351493798</v>
      </c>
      <c r="AK1400">
        <v>47.254833040421801</v>
      </c>
    </row>
    <row r="1401" spans="1:37" x14ac:dyDescent="0.3">
      <c r="A1401">
        <v>1400</v>
      </c>
      <c r="B1401">
        <v>3.3</v>
      </c>
      <c r="C1401">
        <v>32.915100000000002</v>
      </c>
      <c r="D1401">
        <v>3.2401200000000001</v>
      </c>
      <c r="E1401" t="s">
        <v>2466</v>
      </c>
      <c r="F1401" t="s">
        <v>2467</v>
      </c>
      <c r="G1401" t="s">
        <v>37</v>
      </c>
      <c r="H1401">
        <v>2004</v>
      </c>
      <c r="I1401">
        <v>24.200000762939499</v>
      </c>
      <c r="J1401">
        <v>13.8999996185303</v>
      </c>
      <c r="K1401">
        <v>75</v>
      </c>
      <c r="L1401">
        <v>11.25</v>
      </c>
      <c r="M1401">
        <v>34.400001525878899</v>
      </c>
      <c r="N1401">
        <v>16.100000381469702</v>
      </c>
      <c r="O1401">
        <v>18.299999237060501</v>
      </c>
      <c r="P1401">
        <v>22.899999618530298</v>
      </c>
      <c r="Q1401">
        <v>25.100000381469702</v>
      </c>
      <c r="R1401">
        <v>25.799999237060501</v>
      </c>
      <c r="S1401">
        <v>22.799999237060501</v>
      </c>
      <c r="T1401">
        <v>1230</v>
      </c>
      <c r="U1401">
        <v>186</v>
      </c>
      <c r="V1401">
        <v>12</v>
      </c>
      <c r="W1401">
        <v>56</v>
      </c>
      <c r="X1401">
        <v>486</v>
      </c>
      <c r="Y1401">
        <v>63</v>
      </c>
      <c r="Z1401">
        <v>103</v>
      </c>
      <c r="AA1401">
        <v>477</v>
      </c>
      <c r="AB1401">
        <v>8.7285668643904302</v>
      </c>
      <c r="AC1401">
        <v>1.232756434971E-2</v>
      </c>
      <c r="AD1401">
        <v>1.5478849381576301</v>
      </c>
      <c r="AE1401">
        <v>0.557914018630981</v>
      </c>
      <c r="AF1401">
        <v>963.81128747795401</v>
      </c>
      <c r="AG1401">
        <f>IFERROR(AH1401*0.1, "N/A")</f>
        <v>6.2</v>
      </c>
      <c r="AH1401">
        <v>62</v>
      </c>
      <c r="AI1401">
        <v>74.439477875119195</v>
      </c>
      <c r="AJ1401">
        <v>43</v>
      </c>
      <c r="AK1401">
        <v>40</v>
      </c>
    </row>
    <row r="1402" spans="1:37" x14ac:dyDescent="0.3">
      <c r="A1402">
        <v>1401</v>
      </c>
      <c r="B1402">
        <v>0</v>
      </c>
      <c r="C1402">
        <v>31.551500000000001</v>
      </c>
      <c r="D1402">
        <v>3.24255</v>
      </c>
      <c r="E1402" t="s">
        <v>2468</v>
      </c>
      <c r="F1402" t="s">
        <v>2469</v>
      </c>
      <c r="G1402" t="s">
        <v>2420</v>
      </c>
      <c r="H1402">
        <v>1994</v>
      </c>
      <c r="I1402">
        <v>26.108421466225099</v>
      </c>
      <c r="J1402">
        <v>13.3084211951808</v>
      </c>
      <c r="K1402">
        <v>71</v>
      </c>
      <c r="L1402">
        <v>12.828526677583399</v>
      </c>
      <c r="M1402">
        <v>36.200000762939503</v>
      </c>
      <c r="N1402">
        <v>17.491578915244698</v>
      </c>
      <c r="O1402">
        <v>18.708421687076001</v>
      </c>
      <c r="P1402">
        <v>24.600000381469702</v>
      </c>
      <c r="Q1402">
        <v>27.399999618530298</v>
      </c>
      <c r="R1402">
        <v>27.899999618530298</v>
      </c>
      <c r="S1402">
        <v>24.600000381469702</v>
      </c>
      <c r="T1402">
        <v>1208</v>
      </c>
      <c r="U1402">
        <v>165.91578947368399</v>
      </c>
      <c r="V1402">
        <v>10</v>
      </c>
      <c r="W1402">
        <v>52</v>
      </c>
      <c r="X1402">
        <v>455.74736842105301</v>
      </c>
      <c r="Y1402">
        <v>65</v>
      </c>
      <c r="Z1402">
        <v>104.084210526316</v>
      </c>
      <c r="AA1402">
        <v>455.74736842105301</v>
      </c>
      <c r="AB1402">
        <v>1.8154612758703399</v>
      </c>
      <c r="AC1402">
        <v>0.25453530891161202</v>
      </c>
      <c r="AD1402">
        <v>1.2021749780889099</v>
      </c>
      <c r="AE1402">
        <v>0.54045181901831396</v>
      </c>
      <c r="AF1402">
        <v>624.42631578947396</v>
      </c>
      <c r="AG1402">
        <f>IFERROR(AH1402*0.1, "N/A")</f>
        <v>6.1778947368421102</v>
      </c>
      <c r="AH1402">
        <v>61.7789473684211</v>
      </c>
      <c r="AI1402">
        <v>17.3752900575337</v>
      </c>
      <c r="AJ1402">
        <v>30.2210526315789</v>
      </c>
      <c r="AK1402">
        <v>51.336842105263202</v>
      </c>
    </row>
    <row r="1403" spans="1:37" x14ac:dyDescent="0.3">
      <c r="A1403">
        <v>1402</v>
      </c>
      <c r="B1403">
        <v>88.900002000000001</v>
      </c>
      <c r="C1403">
        <v>31.551500000000001</v>
      </c>
      <c r="D1403">
        <v>3.24255</v>
      </c>
      <c r="E1403" t="s">
        <v>2468</v>
      </c>
      <c r="F1403" t="s">
        <v>2470</v>
      </c>
      <c r="G1403" t="s">
        <v>37</v>
      </c>
      <c r="H1403">
        <v>1994</v>
      </c>
      <c r="I1403">
        <v>26.108421466225099</v>
      </c>
      <c r="J1403">
        <v>13.3084211951808</v>
      </c>
      <c r="K1403">
        <v>71</v>
      </c>
      <c r="L1403">
        <v>12.828526677583399</v>
      </c>
      <c r="M1403">
        <v>36.200000762939503</v>
      </c>
      <c r="N1403">
        <v>17.491578915244698</v>
      </c>
      <c r="O1403">
        <v>18.708421687076001</v>
      </c>
      <c r="P1403">
        <v>24.600000381469702</v>
      </c>
      <c r="Q1403">
        <v>27.399999618530298</v>
      </c>
      <c r="R1403">
        <v>27.899999618530298</v>
      </c>
      <c r="S1403">
        <v>24.600000381469702</v>
      </c>
      <c r="T1403">
        <v>1208</v>
      </c>
      <c r="U1403">
        <v>165.91578947368399</v>
      </c>
      <c r="V1403">
        <v>10</v>
      </c>
      <c r="W1403">
        <v>52</v>
      </c>
      <c r="X1403">
        <v>455.74736842105301</v>
      </c>
      <c r="Y1403">
        <v>65</v>
      </c>
      <c r="Z1403">
        <v>104.084210526316</v>
      </c>
      <c r="AA1403">
        <v>455.74736842105301</v>
      </c>
      <c r="AB1403">
        <v>1.8154612758703399</v>
      </c>
      <c r="AC1403">
        <v>0.25453530891161202</v>
      </c>
      <c r="AD1403">
        <v>1.2021749780889099</v>
      </c>
      <c r="AE1403">
        <v>0.54045181901831396</v>
      </c>
      <c r="AF1403">
        <v>624.42631578947396</v>
      </c>
      <c r="AG1403">
        <f>IFERROR(AH1403*0.1, "N/A")</f>
        <v>6.1778947368421102</v>
      </c>
      <c r="AH1403">
        <v>61.7789473684211</v>
      </c>
      <c r="AI1403">
        <v>17.3752900575337</v>
      </c>
      <c r="AJ1403">
        <v>30.2210526315789</v>
      </c>
      <c r="AK1403">
        <v>51.336842105263202</v>
      </c>
    </row>
    <row r="1404" spans="1:37" x14ac:dyDescent="0.3">
      <c r="A1404">
        <v>1403</v>
      </c>
      <c r="B1404">
        <v>3</v>
      </c>
      <c r="C1404">
        <v>31.0488</v>
      </c>
      <c r="D1404">
        <v>3.2515499999999999</v>
      </c>
      <c r="E1404" t="s">
        <v>2471</v>
      </c>
      <c r="F1404" t="s">
        <v>2472</v>
      </c>
      <c r="G1404" t="s">
        <v>37</v>
      </c>
      <c r="H1404">
        <v>2004</v>
      </c>
      <c r="I1404">
        <v>24</v>
      </c>
      <c r="J1404">
        <v>12.300000190734901</v>
      </c>
      <c r="K1404">
        <v>74</v>
      </c>
      <c r="L1404">
        <v>11.1199998855591</v>
      </c>
      <c r="M1404">
        <v>33</v>
      </c>
      <c r="N1404">
        <v>16.399999618530298</v>
      </c>
      <c r="O1404">
        <v>16.600000381469702</v>
      </c>
      <c r="P1404">
        <v>22.600000381469702</v>
      </c>
      <c r="Q1404">
        <v>25</v>
      </c>
      <c r="R1404">
        <v>25.399999618530298</v>
      </c>
      <c r="S1404">
        <v>22.600000381469702</v>
      </c>
      <c r="T1404">
        <v>1314</v>
      </c>
      <c r="U1404">
        <v>191</v>
      </c>
      <c r="V1404">
        <v>15</v>
      </c>
      <c r="W1404">
        <v>52</v>
      </c>
      <c r="X1404">
        <v>557</v>
      </c>
      <c r="Y1404">
        <v>82</v>
      </c>
      <c r="Z1404">
        <v>137</v>
      </c>
      <c r="AA1404">
        <v>557</v>
      </c>
      <c r="AB1404">
        <v>22.364223225911498</v>
      </c>
      <c r="AC1404">
        <v>1.0525720819766E-2</v>
      </c>
      <c r="AD1404">
        <v>2.3837574613721699</v>
      </c>
      <c r="AE1404">
        <v>0.68840501308441204</v>
      </c>
      <c r="AF1404">
        <v>996.29649122806995</v>
      </c>
      <c r="AG1404">
        <f>IFERROR(AH1404*0.1, "N/A")</f>
        <v>5.7</v>
      </c>
      <c r="AH1404">
        <v>57</v>
      </c>
      <c r="AI1404">
        <v>51.648003387451197</v>
      </c>
      <c r="AJ1404">
        <v>25.154385964912301</v>
      </c>
      <c r="AK1404">
        <v>53.768421052631602</v>
      </c>
    </row>
    <row r="1405" spans="1:37" x14ac:dyDescent="0.3">
      <c r="A1405">
        <v>1404</v>
      </c>
      <c r="B1405">
        <v>8.3000000000000007</v>
      </c>
      <c r="C1405">
        <v>31.543301</v>
      </c>
      <c r="D1405">
        <v>3.2564000000000002</v>
      </c>
      <c r="E1405" t="s">
        <v>2473</v>
      </c>
      <c r="F1405" t="s">
        <v>2474</v>
      </c>
      <c r="G1405" t="s">
        <v>37</v>
      </c>
      <c r="H1405">
        <v>2007</v>
      </c>
      <c r="I1405">
        <v>26.100000381469702</v>
      </c>
      <c r="J1405">
        <v>13.300000190734901</v>
      </c>
      <c r="K1405">
        <v>70</v>
      </c>
      <c r="L1405">
        <v>13.25</v>
      </c>
      <c r="M1405">
        <v>36.200000762939503</v>
      </c>
      <c r="N1405">
        <v>17.399999618530298</v>
      </c>
      <c r="O1405">
        <v>18.799999237060501</v>
      </c>
      <c r="P1405">
        <v>24.5</v>
      </c>
      <c r="Q1405">
        <v>27.399999618530298</v>
      </c>
      <c r="R1405">
        <v>27.899999618530298</v>
      </c>
      <c r="S1405">
        <v>24.5</v>
      </c>
      <c r="T1405">
        <v>1206</v>
      </c>
      <c r="U1405">
        <v>166</v>
      </c>
      <c r="V1405">
        <v>10</v>
      </c>
      <c r="W1405">
        <v>52</v>
      </c>
      <c r="X1405">
        <v>456</v>
      </c>
      <c r="Y1405">
        <v>65</v>
      </c>
      <c r="Z1405">
        <v>104</v>
      </c>
      <c r="AA1405">
        <v>456</v>
      </c>
      <c r="AB1405">
        <v>15.965382232397801</v>
      </c>
      <c r="AC1405">
        <v>1.1744079093313001E-2</v>
      </c>
      <c r="AD1405">
        <v>2.0814053540908599</v>
      </c>
      <c r="AE1405">
        <v>0.55320912599563599</v>
      </c>
      <c r="AF1405">
        <v>642.55887521968396</v>
      </c>
      <c r="AG1405">
        <f>IFERROR(AH1405*0.1, "N/A")</f>
        <v>6.2</v>
      </c>
      <c r="AH1405">
        <v>62</v>
      </c>
      <c r="AI1405">
        <v>62.149131097776802</v>
      </c>
      <c r="AJ1405">
        <v>32.381370826010503</v>
      </c>
      <c r="AK1405">
        <v>49.618629173989497</v>
      </c>
    </row>
    <row r="1406" spans="1:37" x14ac:dyDescent="0.3">
      <c r="A1406">
        <v>1405</v>
      </c>
      <c r="B1406">
        <v>41.299999</v>
      </c>
      <c r="C1406">
        <v>31.298300000000001</v>
      </c>
      <c r="D1406">
        <v>3.25658</v>
      </c>
      <c r="E1406" t="s">
        <v>2475</v>
      </c>
      <c r="F1406" t="s">
        <v>2476</v>
      </c>
      <c r="G1406" t="s">
        <v>37</v>
      </c>
      <c r="H1406">
        <v>2004</v>
      </c>
      <c r="I1406">
        <v>25.399999618530298</v>
      </c>
      <c r="J1406">
        <v>13</v>
      </c>
      <c r="K1406">
        <v>70</v>
      </c>
      <c r="L1406">
        <v>13</v>
      </c>
      <c r="M1406">
        <v>35</v>
      </c>
      <c r="N1406">
        <v>16.5</v>
      </c>
      <c r="O1406">
        <v>18.5</v>
      </c>
      <c r="P1406">
        <v>23.799999237060501</v>
      </c>
      <c r="Q1406">
        <v>26.5</v>
      </c>
      <c r="R1406">
        <v>27</v>
      </c>
      <c r="S1406">
        <v>23.799999237060501</v>
      </c>
      <c r="T1406">
        <v>1180</v>
      </c>
      <c r="U1406">
        <v>172</v>
      </c>
      <c r="V1406">
        <v>10</v>
      </c>
      <c r="W1406">
        <v>53</v>
      </c>
      <c r="X1406">
        <v>482</v>
      </c>
      <c r="Y1406">
        <v>64</v>
      </c>
      <c r="Z1406">
        <v>109</v>
      </c>
      <c r="AA1406">
        <v>482</v>
      </c>
      <c r="AB1406">
        <v>44.213877895422101</v>
      </c>
      <c r="AC1406">
        <v>2.4030860618017999E-2</v>
      </c>
      <c r="AD1406">
        <v>2.2389162529978801</v>
      </c>
      <c r="AE1406">
        <v>0.44658145308494601</v>
      </c>
      <c r="AF1406">
        <v>728.86491228070201</v>
      </c>
      <c r="AG1406">
        <f>IFERROR(AH1406*0.1, "N/A")</f>
        <v>6.0036842105263197</v>
      </c>
      <c r="AH1406">
        <v>60.036842105263197</v>
      </c>
      <c r="AI1406">
        <v>150.39510581033301</v>
      </c>
      <c r="AJ1406">
        <v>27.996491228070202</v>
      </c>
      <c r="AK1406">
        <v>52.196491228070201</v>
      </c>
    </row>
    <row r="1407" spans="1:37" x14ac:dyDescent="0.3">
      <c r="A1407">
        <v>1406</v>
      </c>
      <c r="B1407">
        <v>0</v>
      </c>
      <c r="C1407">
        <v>32.924301</v>
      </c>
      <c r="D1407">
        <v>3.2608299999999999</v>
      </c>
      <c r="E1407" t="s">
        <v>2477</v>
      </c>
      <c r="F1407" t="s">
        <v>2478</v>
      </c>
      <c r="G1407" t="s">
        <v>37</v>
      </c>
      <c r="H1407">
        <v>2004</v>
      </c>
      <c r="I1407">
        <v>24.100000381469702</v>
      </c>
      <c r="J1407">
        <v>13.8999996185303</v>
      </c>
      <c r="K1407">
        <v>75.006993006993</v>
      </c>
      <c r="L1407">
        <v>11.568531163088901</v>
      </c>
      <c r="M1407">
        <v>34.399302209173896</v>
      </c>
      <c r="N1407">
        <v>16.100000381469702</v>
      </c>
      <c r="O1407">
        <v>18.299299947031699</v>
      </c>
      <c r="P1407">
        <v>22.800698540427501</v>
      </c>
      <c r="Q1407">
        <v>25.100000381469702</v>
      </c>
      <c r="R1407">
        <v>25.799999237060501</v>
      </c>
      <c r="S1407">
        <v>22.700700052968301</v>
      </c>
      <c r="T1407">
        <v>1217.9650349650301</v>
      </c>
      <c r="U1407">
        <v>183.99300699300699</v>
      </c>
      <c r="V1407">
        <v>12</v>
      </c>
      <c r="W1407">
        <v>56</v>
      </c>
      <c r="X1407">
        <v>481.99300699300699</v>
      </c>
      <c r="Y1407">
        <v>62.006993006993</v>
      </c>
      <c r="Z1407">
        <v>102.993006993007</v>
      </c>
      <c r="AA1407">
        <v>472.98601398601397</v>
      </c>
      <c r="AB1407">
        <v>23.505249343551998</v>
      </c>
      <c r="AC1407">
        <v>1.697906495847E-2</v>
      </c>
      <c r="AD1407">
        <v>1.9404832222661801</v>
      </c>
      <c r="AE1407">
        <v>0.64675220565779201</v>
      </c>
      <c r="AF1407">
        <v>981.05244755244701</v>
      </c>
      <c r="AG1407">
        <f>IFERROR(AH1407*0.1, "N/A")</f>
        <v>5.9006993006993005</v>
      </c>
      <c r="AH1407">
        <v>59.006993006993</v>
      </c>
      <c r="AI1407">
        <v>168.89860033155301</v>
      </c>
      <c r="AJ1407">
        <v>41.006993006993</v>
      </c>
      <c r="AK1407">
        <v>42</v>
      </c>
    </row>
    <row r="1408" spans="1:37" x14ac:dyDescent="0.3">
      <c r="A1408">
        <v>1407</v>
      </c>
      <c r="B1408">
        <v>46</v>
      </c>
      <c r="C1408">
        <v>32.123299000000003</v>
      </c>
      <c r="D1408">
        <v>3.2624499999999999</v>
      </c>
      <c r="E1408" t="s">
        <v>2479</v>
      </c>
      <c r="F1408" t="s">
        <v>2480</v>
      </c>
      <c r="G1408" t="s">
        <v>37</v>
      </c>
      <c r="H1408">
        <v>2004</v>
      </c>
      <c r="I1408">
        <v>25.100000381469702</v>
      </c>
      <c r="J1408">
        <v>13.3999996185303</v>
      </c>
      <c r="K1408">
        <v>75</v>
      </c>
      <c r="L1408">
        <v>12.170000076293899</v>
      </c>
      <c r="M1408">
        <v>35.200000762939503</v>
      </c>
      <c r="N1408">
        <v>17.5</v>
      </c>
      <c r="O1408">
        <v>17.700000762939499</v>
      </c>
      <c r="P1408">
        <v>23.799999237060501</v>
      </c>
      <c r="Q1408">
        <v>26.399999618530298</v>
      </c>
      <c r="R1408">
        <v>27</v>
      </c>
      <c r="S1408">
        <v>23.799999237060501</v>
      </c>
      <c r="T1408">
        <v>1271</v>
      </c>
      <c r="U1408">
        <v>185</v>
      </c>
      <c r="V1408">
        <v>11</v>
      </c>
      <c r="W1408">
        <v>56</v>
      </c>
      <c r="X1408">
        <v>484</v>
      </c>
      <c r="Y1408">
        <v>59</v>
      </c>
      <c r="Z1408">
        <v>99</v>
      </c>
      <c r="AA1408">
        <v>484</v>
      </c>
      <c r="AB1408">
        <v>24.575616776315801</v>
      </c>
      <c r="AC1408">
        <v>8.7438957438919999E-3</v>
      </c>
      <c r="AD1408">
        <v>2.73072323339027</v>
      </c>
      <c r="AE1408">
        <v>0.30180066823959401</v>
      </c>
      <c r="AF1408">
        <v>814.03333333333296</v>
      </c>
      <c r="AG1408">
        <f>IFERROR(AH1408*0.1, "N/A")</f>
        <v>6.2131578947368409</v>
      </c>
      <c r="AH1408">
        <v>62.131578947368403</v>
      </c>
      <c r="AI1408">
        <v>182.96055738884101</v>
      </c>
      <c r="AJ1408">
        <v>34.063157894736797</v>
      </c>
      <c r="AK1408">
        <v>48.968421052631598</v>
      </c>
    </row>
    <row r="1409" spans="1:37" x14ac:dyDescent="0.3">
      <c r="A1409">
        <v>1408</v>
      </c>
      <c r="B1409">
        <v>90</v>
      </c>
      <c r="C1409">
        <v>31.644300000000001</v>
      </c>
      <c r="D1409">
        <v>3.28573</v>
      </c>
      <c r="E1409" t="s">
        <v>2481</v>
      </c>
      <c r="F1409" t="s">
        <v>2482</v>
      </c>
      <c r="G1409" t="s">
        <v>37</v>
      </c>
      <c r="H1409">
        <v>2004</v>
      </c>
      <c r="I1409">
        <v>26</v>
      </c>
      <c r="J1409">
        <v>13.300000190734901</v>
      </c>
      <c r="K1409">
        <v>71</v>
      </c>
      <c r="L1409">
        <v>13.1400003433228</v>
      </c>
      <c r="M1409">
        <v>36.200000762939503</v>
      </c>
      <c r="N1409">
        <v>17.700000762939499</v>
      </c>
      <c r="O1409">
        <v>18.5</v>
      </c>
      <c r="P1409">
        <v>24.5</v>
      </c>
      <c r="Q1409">
        <v>27.399999618530298</v>
      </c>
      <c r="R1409">
        <v>27.899999618530298</v>
      </c>
      <c r="S1409">
        <v>24.5</v>
      </c>
      <c r="T1409">
        <v>1195</v>
      </c>
      <c r="U1409">
        <v>166</v>
      </c>
      <c r="V1409">
        <v>10</v>
      </c>
      <c r="W1409">
        <v>53</v>
      </c>
      <c r="X1409">
        <v>453</v>
      </c>
      <c r="Y1409">
        <v>63</v>
      </c>
      <c r="Z1409">
        <v>100</v>
      </c>
      <c r="AA1409">
        <v>453</v>
      </c>
      <c r="AB1409">
        <v>21.103345951563899</v>
      </c>
      <c r="AC1409">
        <v>2.4385241124267001E-2</v>
      </c>
      <c r="AD1409">
        <v>1.7502806092232099</v>
      </c>
      <c r="AE1409">
        <v>0.58089679479598999</v>
      </c>
      <c r="AF1409">
        <v>669.59683098591597</v>
      </c>
      <c r="AG1409">
        <f>IFERROR(AH1409*0.1, "N/A")</f>
        <v>6.5272887323943607</v>
      </c>
      <c r="AH1409">
        <v>65.272887323943607</v>
      </c>
      <c r="AI1409">
        <v>186.49699987492099</v>
      </c>
      <c r="AJ1409">
        <v>29</v>
      </c>
      <c r="AK1409">
        <v>48</v>
      </c>
    </row>
    <row r="1410" spans="1:37" x14ac:dyDescent="0.3">
      <c r="A1410">
        <v>1409</v>
      </c>
      <c r="B1410">
        <v>5.3</v>
      </c>
      <c r="C1410">
        <v>30.940300000000001</v>
      </c>
      <c r="D1410">
        <v>3.2873100000000002</v>
      </c>
      <c r="E1410" t="s">
        <v>2483</v>
      </c>
      <c r="F1410" t="s">
        <v>2484</v>
      </c>
      <c r="G1410" t="s">
        <v>37</v>
      </c>
      <c r="H1410">
        <v>1958</v>
      </c>
      <c r="I1410">
        <v>23.100000381469702</v>
      </c>
      <c r="J1410">
        <v>11.8999996185303</v>
      </c>
      <c r="K1410">
        <v>76</v>
      </c>
      <c r="L1410">
        <v>10.75</v>
      </c>
      <c r="M1410">
        <v>31.799999237060501</v>
      </c>
      <c r="N1410">
        <v>16.299999237060501</v>
      </c>
      <c r="O1410">
        <v>15.5</v>
      </c>
      <c r="P1410">
        <v>21.899999618530298</v>
      </c>
      <c r="Q1410">
        <v>24.200000762939499</v>
      </c>
      <c r="R1410">
        <v>24.600000381469702</v>
      </c>
      <c r="S1410">
        <v>21.799999237060501</v>
      </c>
      <c r="T1410">
        <v>1456</v>
      </c>
      <c r="U1410">
        <v>204</v>
      </c>
      <c r="V1410">
        <v>19</v>
      </c>
      <c r="W1410">
        <v>51</v>
      </c>
      <c r="X1410">
        <v>605</v>
      </c>
      <c r="Y1410">
        <v>94</v>
      </c>
      <c r="Z1410">
        <v>152</v>
      </c>
      <c r="AA1410">
        <v>545</v>
      </c>
      <c r="AB1410">
        <v>29.781230083264798</v>
      </c>
      <c r="AC1410">
        <v>1.0989490422633001E-2</v>
      </c>
      <c r="AD1410">
        <v>1.72932794695361</v>
      </c>
      <c r="AE1410">
        <v>0.72583639621734597</v>
      </c>
      <c r="AF1410">
        <v>1198.8543859649101</v>
      </c>
      <c r="AG1410">
        <f>IFERROR(AH1410*0.1, "N/A")</f>
        <v>5.4178947368421007</v>
      </c>
      <c r="AH1410">
        <v>54.178947368420999</v>
      </c>
      <c r="AI1410">
        <v>64.683718510677906</v>
      </c>
      <c r="AJ1410">
        <v>23.621052631578898</v>
      </c>
      <c r="AK1410">
        <v>56.733333333333299</v>
      </c>
    </row>
    <row r="1411" spans="1:37" x14ac:dyDescent="0.3">
      <c r="A1411">
        <v>1410</v>
      </c>
      <c r="B1411">
        <v>3.5</v>
      </c>
      <c r="C1411">
        <v>32.918900000000001</v>
      </c>
      <c r="D1411">
        <v>3.2896999999999998</v>
      </c>
      <c r="E1411" t="s">
        <v>2485</v>
      </c>
      <c r="F1411" t="s">
        <v>2486</v>
      </c>
      <c r="G1411" t="s">
        <v>37</v>
      </c>
      <c r="H1411">
        <v>2004</v>
      </c>
      <c r="I1411">
        <v>24.200000762939499</v>
      </c>
      <c r="J1411">
        <v>13.8999996185303</v>
      </c>
      <c r="K1411">
        <v>75</v>
      </c>
      <c r="L1411">
        <v>11.460000038146999</v>
      </c>
      <c r="M1411">
        <v>34.5</v>
      </c>
      <c r="N1411">
        <v>16.200000762939499</v>
      </c>
      <c r="O1411">
        <v>18.299999237060501</v>
      </c>
      <c r="P1411">
        <v>22.899999618530298</v>
      </c>
      <c r="Q1411">
        <v>25.200000762939499</v>
      </c>
      <c r="R1411">
        <v>25.899999618530298</v>
      </c>
      <c r="S1411">
        <v>22.799999237060501</v>
      </c>
      <c r="T1411">
        <v>1203</v>
      </c>
      <c r="U1411">
        <v>182</v>
      </c>
      <c r="V1411">
        <v>12</v>
      </c>
      <c r="W1411">
        <v>56</v>
      </c>
      <c r="X1411">
        <v>477</v>
      </c>
      <c r="Y1411">
        <v>61</v>
      </c>
      <c r="Z1411">
        <v>102</v>
      </c>
      <c r="AA1411">
        <v>467</v>
      </c>
      <c r="AB1411">
        <v>18.899129374043898</v>
      </c>
      <c r="AC1411">
        <v>8.5340543760810007E-3</v>
      </c>
      <c r="AD1411">
        <v>0.92749843418181399</v>
      </c>
      <c r="AE1411">
        <v>0.66417736190182297</v>
      </c>
      <c r="AF1411">
        <v>956.57517482517505</v>
      </c>
      <c r="AG1411">
        <f>IFERROR(AH1411*0.1, "N/A")</f>
        <v>5.9375874125874102</v>
      </c>
      <c r="AH1411">
        <v>59.375874125874098</v>
      </c>
      <c r="AI1411">
        <v>118.72178630562099</v>
      </c>
      <c r="AJ1411">
        <v>43.2534965034965</v>
      </c>
      <c r="AK1411">
        <v>40.375874125874098</v>
      </c>
    </row>
    <row r="1412" spans="1:37" x14ac:dyDescent="0.3">
      <c r="A1412">
        <v>1411</v>
      </c>
      <c r="B1412">
        <v>1.6</v>
      </c>
      <c r="C1412">
        <v>32.891899000000002</v>
      </c>
      <c r="D1412">
        <v>3.3038699999999999</v>
      </c>
      <c r="E1412" t="s">
        <v>2487</v>
      </c>
      <c r="F1412" t="s">
        <v>2488</v>
      </c>
      <c r="G1412" t="s">
        <v>37</v>
      </c>
      <c r="H1412">
        <v>2004</v>
      </c>
      <c r="I1412">
        <v>24.299999237060501</v>
      </c>
      <c r="J1412">
        <v>14</v>
      </c>
      <c r="K1412">
        <v>75.5842105263158</v>
      </c>
      <c r="L1412">
        <v>11.6098951088755</v>
      </c>
      <c r="M1412">
        <v>34.641578373156101</v>
      </c>
      <c r="N1412">
        <v>16.200000762939499</v>
      </c>
      <c r="O1412">
        <v>18.4415787245098</v>
      </c>
      <c r="P1412">
        <v>23</v>
      </c>
      <c r="Q1412">
        <v>25.241579075863498</v>
      </c>
      <c r="R1412">
        <v>25.9415787245098</v>
      </c>
      <c r="S1412">
        <v>22.899999618530298</v>
      </c>
      <c r="T1412">
        <v>1208.6631578947399</v>
      </c>
      <c r="U1412">
        <v>182</v>
      </c>
      <c r="V1412">
        <v>12</v>
      </c>
      <c r="W1412">
        <v>57</v>
      </c>
      <c r="X1412">
        <v>476</v>
      </c>
      <c r="Y1412">
        <v>60</v>
      </c>
      <c r="Z1412">
        <v>103</v>
      </c>
      <c r="AA1412">
        <v>468</v>
      </c>
      <c r="AB1412">
        <v>28.373011110539998</v>
      </c>
      <c r="AC1412">
        <v>1.1154001232302001E-2</v>
      </c>
      <c r="AD1412">
        <v>1.9125953887638301</v>
      </c>
      <c r="AE1412">
        <v>0.61577361320194401</v>
      </c>
      <c r="AF1412">
        <v>942.885964912281</v>
      </c>
      <c r="AG1412">
        <f>IFERROR(AH1412*0.1, "N/A")</f>
        <v>6.4</v>
      </c>
      <c r="AH1412">
        <v>64</v>
      </c>
      <c r="AI1412">
        <v>226.52964980811399</v>
      </c>
      <c r="AJ1412">
        <v>42.407017543859602</v>
      </c>
      <c r="AK1412">
        <v>41.168421052631601</v>
      </c>
    </row>
    <row r="1413" spans="1:37" x14ac:dyDescent="0.3">
      <c r="A1413">
        <v>1412</v>
      </c>
      <c r="B1413">
        <v>16.700001</v>
      </c>
      <c r="C1413">
        <v>31.215900000000001</v>
      </c>
      <c r="D1413">
        <v>3.3062999999999998</v>
      </c>
      <c r="E1413" t="s">
        <v>2489</v>
      </c>
      <c r="F1413" t="s">
        <v>2490</v>
      </c>
      <c r="G1413" t="s">
        <v>37</v>
      </c>
      <c r="H1413">
        <v>2004</v>
      </c>
      <c r="I1413">
        <v>24.5</v>
      </c>
      <c r="J1413">
        <v>12.699999809265099</v>
      </c>
      <c r="K1413">
        <v>72</v>
      </c>
      <c r="L1413">
        <v>11.8288417916549</v>
      </c>
      <c r="M1413">
        <v>33.799999237060497</v>
      </c>
      <c r="N1413">
        <v>16.399999618530298</v>
      </c>
      <c r="O1413">
        <v>17.399999618530298</v>
      </c>
      <c r="P1413">
        <v>23.100000381469702</v>
      </c>
      <c r="Q1413">
        <v>25.600000381469702</v>
      </c>
      <c r="R1413">
        <v>26.100000381469702</v>
      </c>
      <c r="S1413">
        <v>23.100000381469702</v>
      </c>
      <c r="T1413">
        <v>1216.14736842105</v>
      </c>
      <c r="U1413">
        <v>185</v>
      </c>
      <c r="V1413">
        <v>12</v>
      </c>
      <c r="W1413">
        <v>55</v>
      </c>
      <c r="X1413">
        <v>525</v>
      </c>
      <c r="Y1413">
        <v>69.073684210526295</v>
      </c>
      <c r="Z1413">
        <v>119</v>
      </c>
      <c r="AA1413">
        <v>525</v>
      </c>
      <c r="AB1413">
        <v>23.029288094503801</v>
      </c>
      <c r="AC1413">
        <v>9.3873073346909999E-3</v>
      </c>
      <c r="AD1413">
        <v>2.5074877212967799</v>
      </c>
      <c r="AE1413">
        <v>0.65014538074794603</v>
      </c>
      <c r="AF1413">
        <v>912.617543859649</v>
      </c>
      <c r="AG1413">
        <f>IFERROR(AH1413*0.1, "N/A")</f>
        <v>5.79</v>
      </c>
      <c r="AH1413">
        <v>57.9</v>
      </c>
      <c r="AI1413">
        <v>171.34458518111899</v>
      </c>
      <c r="AJ1413">
        <v>27.2</v>
      </c>
      <c r="AK1413">
        <v>54.673684210526297</v>
      </c>
    </row>
    <row r="1414" spans="1:37" x14ac:dyDescent="0.3">
      <c r="A1414">
        <v>1413</v>
      </c>
      <c r="B1414">
        <v>95.099997999999999</v>
      </c>
      <c r="C1414">
        <v>31.8932</v>
      </c>
      <c r="D1414">
        <v>3.3253499999999998</v>
      </c>
      <c r="E1414" t="s">
        <v>2491</v>
      </c>
      <c r="F1414" t="s">
        <v>2492</v>
      </c>
      <c r="G1414" t="s">
        <v>37</v>
      </c>
      <c r="H1414">
        <v>2004</v>
      </c>
      <c r="I1414">
        <v>25.799999237060501</v>
      </c>
      <c r="J1414">
        <v>13.3999996185303</v>
      </c>
      <c r="K1414">
        <v>74</v>
      </c>
      <c r="L1414">
        <v>13.643344701176</v>
      </c>
      <c r="M1414">
        <v>36.1975359177925</v>
      </c>
      <c r="N1414">
        <v>18.097535583334899</v>
      </c>
      <c r="O1414">
        <v>18.100000381469702</v>
      </c>
      <c r="P1414">
        <v>24.497535201865201</v>
      </c>
      <c r="Q1414">
        <v>27.297534485937799</v>
      </c>
      <c r="R1414">
        <v>27.799999237060501</v>
      </c>
      <c r="S1414">
        <v>24.302464035195399</v>
      </c>
      <c r="T1414">
        <v>1196.0739436619699</v>
      </c>
      <c r="U1414">
        <v>166.02464788732399</v>
      </c>
      <c r="V1414">
        <v>10</v>
      </c>
      <c r="W1414">
        <v>54.024647887323901</v>
      </c>
      <c r="X1414">
        <v>447.04929577464799</v>
      </c>
      <c r="Y1414">
        <v>57</v>
      </c>
      <c r="Z1414">
        <v>93</v>
      </c>
      <c r="AA1414">
        <v>445.02464788732402</v>
      </c>
      <c r="AB1414">
        <v>7.8480426627145699</v>
      </c>
      <c r="AC1414">
        <v>1.0381731903179999E-2</v>
      </c>
      <c r="AD1414">
        <v>1.10635786514047</v>
      </c>
      <c r="AE1414">
        <v>0.43562053364347397</v>
      </c>
      <c r="AF1414">
        <v>723.22007042253495</v>
      </c>
      <c r="AG1414">
        <f>IFERROR(AH1414*0.1, "N/A")</f>
        <v>6.4056338028169</v>
      </c>
      <c r="AH1414">
        <v>64.056338028168994</v>
      </c>
      <c r="AI1414">
        <v>68.431702046327203</v>
      </c>
      <c r="AJ1414">
        <v>35</v>
      </c>
      <c r="AK1414">
        <v>48</v>
      </c>
    </row>
    <row r="1415" spans="1:37" x14ac:dyDescent="0.3">
      <c r="A1415">
        <v>1414</v>
      </c>
      <c r="B1415">
        <v>0</v>
      </c>
      <c r="C1415">
        <v>33.200001</v>
      </c>
      <c r="D1415">
        <v>3.35</v>
      </c>
      <c r="E1415" t="s">
        <v>2493</v>
      </c>
      <c r="F1415" t="s">
        <v>2494</v>
      </c>
      <c r="G1415" t="s">
        <v>37</v>
      </c>
      <c r="H1415">
        <v>2004</v>
      </c>
      <c r="I1415">
        <v>23.387741098888299</v>
      </c>
      <c r="J1415">
        <v>13.067950806559301</v>
      </c>
      <c r="K1415">
        <v>76.288966725043807</v>
      </c>
      <c r="L1415">
        <v>11.349719466762201</v>
      </c>
      <c r="M1415">
        <v>33.064622528290002</v>
      </c>
      <c r="N1415">
        <v>16.0486870613699</v>
      </c>
      <c r="O1415">
        <v>17.015936732918501</v>
      </c>
      <c r="P1415">
        <v>22.054465946925699</v>
      </c>
      <c r="Q1415">
        <v>24.425569614470501</v>
      </c>
      <c r="R1415">
        <v>25.025569715349601</v>
      </c>
      <c r="S1415">
        <v>22.039755138123301</v>
      </c>
      <c r="T1415">
        <v>1042.4991243432601</v>
      </c>
      <c r="U1415">
        <v>165.13485113835401</v>
      </c>
      <c r="V1415">
        <v>11.378283712784601</v>
      </c>
      <c r="W1415">
        <v>58.378283712784601</v>
      </c>
      <c r="X1415">
        <v>443.34676007005203</v>
      </c>
      <c r="Y1415">
        <v>60.378283712784601</v>
      </c>
      <c r="Z1415">
        <v>93</v>
      </c>
      <c r="AA1415">
        <v>436.36077057793301</v>
      </c>
      <c r="AB1415">
        <v>2.03223190708461</v>
      </c>
      <c r="AC1415">
        <v>0.32237518589858799</v>
      </c>
      <c r="AD1415">
        <v>2.78401786182891</v>
      </c>
      <c r="AE1415">
        <v>0.44320338964462302</v>
      </c>
      <c r="AF1415">
        <v>1067.9649737303</v>
      </c>
      <c r="AG1415">
        <f>IFERROR(AH1415*0.1, "N/A")</f>
        <v>5.7127845884413304</v>
      </c>
      <c r="AH1415">
        <v>57.127845884413297</v>
      </c>
      <c r="AI1415">
        <v>215.92436047235</v>
      </c>
      <c r="AJ1415">
        <v>36.436077057793298</v>
      </c>
      <c r="AK1415">
        <v>42.127845884413297</v>
      </c>
    </row>
    <row r="1416" spans="1:37" x14ac:dyDescent="0.3">
      <c r="A1416">
        <v>1415</v>
      </c>
      <c r="B1416">
        <v>9.4</v>
      </c>
      <c r="C1416">
        <v>31.242000999999998</v>
      </c>
      <c r="D1416">
        <v>3.3594300000000001</v>
      </c>
      <c r="E1416" t="s">
        <v>2495</v>
      </c>
      <c r="F1416" t="s">
        <v>2496</v>
      </c>
      <c r="G1416" t="s">
        <v>37</v>
      </c>
      <c r="H1416">
        <v>2004</v>
      </c>
      <c r="I1416">
        <v>24.5835667523471</v>
      </c>
      <c r="J1416">
        <v>12.783566561612201</v>
      </c>
      <c r="K1416">
        <v>72.835664335664305</v>
      </c>
      <c r="L1416">
        <v>12.171363273700599</v>
      </c>
      <c r="M1416">
        <v>34.083565158443797</v>
      </c>
      <c r="N1416">
        <v>16.600000381469702</v>
      </c>
      <c r="O1416">
        <v>17.483566370877401</v>
      </c>
      <c r="P1416">
        <v>23.183567133816801</v>
      </c>
      <c r="Q1416">
        <v>25.7835659213833</v>
      </c>
      <c r="R1416">
        <v>26.2835659213833</v>
      </c>
      <c r="S1416">
        <v>23.183567133816801</v>
      </c>
      <c r="T1416">
        <v>1196.4930069930101</v>
      </c>
      <c r="U1416">
        <v>185.32867132867099</v>
      </c>
      <c r="V1416">
        <v>11</v>
      </c>
      <c r="W1416">
        <v>57.164335664335702</v>
      </c>
      <c r="X1416">
        <v>519.98601398601397</v>
      </c>
      <c r="Y1416">
        <v>65</v>
      </c>
      <c r="Z1416">
        <v>112.16433566433599</v>
      </c>
      <c r="AA1416">
        <v>519.98601398601397</v>
      </c>
      <c r="AB1416">
        <v>2.0914559531045098</v>
      </c>
      <c r="AC1416">
        <v>7.6871706793179202</v>
      </c>
      <c r="AD1416">
        <v>2.3651355571680099</v>
      </c>
      <c r="AE1416">
        <v>0.68794083595275901</v>
      </c>
      <c r="AF1416">
        <v>893.29895104895104</v>
      </c>
      <c r="AG1416">
        <f>IFERROR(AH1416*0.1, "N/A")</f>
        <v>5.9</v>
      </c>
      <c r="AH1416">
        <v>59</v>
      </c>
      <c r="AI1416">
        <v>250.66374531992699</v>
      </c>
      <c r="AJ1416">
        <v>35.667832167832202</v>
      </c>
      <c r="AK1416">
        <v>43.900349650349597</v>
      </c>
    </row>
    <row r="1417" spans="1:37" x14ac:dyDescent="0.3">
      <c r="A1417">
        <v>1416</v>
      </c>
      <c r="B1417">
        <v>8.3000000000000007</v>
      </c>
      <c r="C1417">
        <v>32.647300999999999</v>
      </c>
      <c r="D1417">
        <v>3.3795500000000001</v>
      </c>
      <c r="E1417" t="s">
        <v>2497</v>
      </c>
      <c r="F1417" t="s">
        <v>2498</v>
      </c>
      <c r="G1417" t="s">
        <v>37</v>
      </c>
      <c r="H1417">
        <v>2004</v>
      </c>
      <c r="I1417">
        <v>24</v>
      </c>
      <c r="J1417">
        <v>13.5</v>
      </c>
      <c r="K1417">
        <v>76</v>
      </c>
      <c r="L1417">
        <v>11.4700002670288</v>
      </c>
      <c r="M1417">
        <v>34</v>
      </c>
      <c r="N1417">
        <v>16.299999237060501</v>
      </c>
      <c r="O1417">
        <v>17.700000762939499</v>
      </c>
      <c r="P1417">
        <v>22.600000381469702</v>
      </c>
      <c r="Q1417">
        <v>25</v>
      </c>
      <c r="R1417">
        <v>25.600000381469702</v>
      </c>
      <c r="S1417">
        <v>22.600000381469702</v>
      </c>
      <c r="T1417">
        <v>1268</v>
      </c>
      <c r="U1417">
        <v>187</v>
      </c>
      <c r="V1417">
        <v>13</v>
      </c>
      <c r="W1417">
        <v>55</v>
      </c>
      <c r="X1417">
        <v>492</v>
      </c>
      <c r="Y1417">
        <v>64</v>
      </c>
      <c r="Z1417">
        <v>109</v>
      </c>
      <c r="AA1417">
        <v>492</v>
      </c>
      <c r="AB1417">
        <v>19.645861151348299</v>
      </c>
      <c r="AC1417">
        <v>1.8086389479717E-2</v>
      </c>
      <c r="AD1417">
        <v>0.88743896874057404</v>
      </c>
      <c r="AE1417">
        <v>0.27388375997543302</v>
      </c>
      <c r="AF1417">
        <v>1010.17223198594</v>
      </c>
      <c r="AG1417">
        <f>IFERROR(AH1417*0.1, "N/A")</f>
        <v>6.0636203866432297</v>
      </c>
      <c r="AH1417">
        <v>60.636203866432297</v>
      </c>
      <c r="AI1417">
        <v>105.807782781564</v>
      </c>
      <c r="AJ1417">
        <v>38.017574692442899</v>
      </c>
      <c r="AK1417">
        <v>43.337434094903301</v>
      </c>
    </row>
    <row r="1418" spans="1:37" x14ac:dyDescent="0.3">
      <c r="A1418">
        <v>1417</v>
      </c>
      <c r="B1418">
        <v>74.599997999999999</v>
      </c>
      <c r="C1418">
        <v>31.953800000000001</v>
      </c>
      <c r="D1418">
        <v>3.3901699999999999</v>
      </c>
      <c r="E1418" t="s">
        <v>2499</v>
      </c>
      <c r="F1418" t="s">
        <v>2500</v>
      </c>
      <c r="G1418" t="s">
        <v>37</v>
      </c>
      <c r="H1418">
        <v>2004</v>
      </c>
      <c r="I1418">
        <v>25.799999237060501</v>
      </c>
      <c r="J1418">
        <v>13.3999996185303</v>
      </c>
      <c r="K1418">
        <v>74</v>
      </c>
      <c r="L1418">
        <v>14.0200004577637</v>
      </c>
      <c r="M1418">
        <v>36.299999237060497</v>
      </c>
      <c r="N1418">
        <v>18.200000762939499</v>
      </c>
      <c r="O1418">
        <v>18.100000381469702</v>
      </c>
      <c r="P1418">
        <v>24.299999237060501</v>
      </c>
      <c r="Q1418">
        <v>27.399999618530298</v>
      </c>
      <c r="R1418">
        <v>27.899999618530298</v>
      </c>
      <c r="S1418">
        <v>24.299999237060501</v>
      </c>
      <c r="T1418">
        <v>1182</v>
      </c>
      <c r="U1418">
        <v>166</v>
      </c>
      <c r="V1418">
        <v>9</v>
      </c>
      <c r="W1418">
        <v>55</v>
      </c>
      <c r="X1418">
        <v>447</v>
      </c>
      <c r="Y1418">
        <v>55</v>
      </c>
      <c r="Z1418">
        <v>91</v>
      </c>
      <c r="AA1418">
        <v>447</v>
      </c>
      <c r="AB1418">
        <v>26.116331076999099</v>
      </c>
      <c r="AC1418">
        <v>1.0077867496543E-2</v>
      </c>
      <c r="AD1418">
        <v>0.81992717294156703</v>
      </c>
      <c r="AE1418">
        <v>0.470352053642273</v>
      </c>
      <c r="AF1418">
        <v>719.51669595782096</v>
      </c>
      <c r="AG1418">
        <f>IFERROR(AH1418*0.1, "N/A")</f>
        <v>5.9</v>
      </c>
      <c r="AH1418">
        <v>59</v>
      </c>
      <c r="AI1418">
        <v>218.59836217682499</v>
      </c>
      <c r="AJ1418">
        <v>32</v>
      </c>
      <c r="AK1418">
        <v>50.2829525483304</v>
      </c>
    </row>
    <row r="1419" spans="1:37" x14ac:dyDescent="0.3">
      <c r="A1419">
        <v>1418</v>
      </c>
      <c r="B1419">
        <v>18.600000000000001</v>
      </c>
      <c r="C1419">
        <v>32.608798999999998</v>
      </c>
      <c r="D1419">
        <v>3.4036</v>
      </c>
      <c r="E1419" t="s">
        <v>2501</v>
      </c>
      <c r="F1419" t="s">
        <v>2502</v>
      </c>
      <c r="G1419" t="s">
        <v>37</v>
      </c>
      <c r="H1419">
        <v>2004</v>
      </c>
      <c r="I1419">
        <v>24</v>
      </c>
      <c r="J1419">
        <v>13.3999996185303</v>
      </c>
      <c r="K1419">
        <v>77</v>
      </c>
      <c r="L1419">
        <v>11.25</v>
      </c>
      <c r="M1419">
        <v>33.900001525878899</v>
      </c>
      <c r="N1419">
        <v>16.5</v>
      </c>
      <c r="O1419">
        <v>17.399999618530298</v>
      </c>
      <c r="P1419">
        <v>22.600000381469702</v>
      </c>
      <c r="Q1419">
        <v>25</v>
      </c>
      <c r="R1419">
        <v>25.600000381469702</v>
      </c>
      <c r="S1419">
        <v>22.600000381469702</v>
      </c>
      <c r="T1419">
        <v>1273</v>
      </c>
      <c r="U1419">
        <v>188</v>
      </c>
      <c r="V1419">
        <v>13</v>
      </c>
      <c r="W1419">
        <v>54</v>
      </c>
      <c r="X1419">
        <v>495</v>
      </c>
      <c r="Y1419">
        <v>65</v>
      </c>
      <c r="Z1419">
        <v>109</v>
      </c>
      <c r="AA1419">
        <v>495</v>
      </c>
      <c r="AB1419">
        <v>13.718579101562501</v>
      </c>
      <c r="AC1419">
        <v>2.1886586727934001E-2</v>
      </c>
      <c r="AD1419">
        <v>1.4213786984744801</v>
      </c>
      <c r="AE1419">
        <v>0.171501293778419</v>
      </c>
      <c r="AF1419">
        <v>1011.93157894737</v>
      </c>
      <c r="AG1419">
        <f>IFERROR(AH1419*0.1, "N/A")</f>
        <v>6.0415789473684205</v>
      </c>
      <c r="AH1419">
        <v>60.4157894736842</v>
      </c>
      <c r="AI1419">
        <v>156.06385423091399</v>
      </c>
      <c r="AJ1419">
        <v>34.5842105263158</v>
      </c>
      <c r="AK1419">
        <v>44</v>
      </c>
    </row>
    <row r="1420" spans="1:37" x14ac:dyDescent="0.3">
      <c r="A1420">
        <v>1419</v>
      </c>
      <c r="B1420">
        <v>2</v>
      </c>
      <c r="C1420">
        <v>30.986699999999999</v>
      </c>
      <c r="D1420">
        <v>3.4113899999999999</v>
      </c>
      <c r="E1420" t="s">
        <v>2503</v>
      </c>
      <c r="F1420" t="s">
        <v>2504</v>
      </c>
      <c r="G1420" t="s">
        <v>37</v>
      </c>
      <c r="H1420">
        <v>1987</v>
      </c>
      <c r="I1420">
        <v>23.399999618530298</v>
      </c>
      <c r="J1420">
        <v>12.1000003814697</v>
      </c>
      <c r="K1420">
        <v>75</v>
      </c>
      <c r="L1420">
        <v>11.0200004577637</v>
      </c>
      <c r="M1420">
        <v>32.400001525878899</v>
      </c>
      <c r="N1420">
        <v>16.399999618530298</v>
      </c>
      <c r="O1420">
        <v>16</v>
      </c>
      <c r="P1420">
        <v>22.200000762939499</v>
      </c>
      <c r="Q1420">
        <v>24.5</v>
      </c>
      <c r="R1420">
        <v>24.899999618530298</v>
      </c>
      <c r="S1420">
        <v>22.200000762939499</v>
      </c>
      <c r="T1420">
        <v>1386</v>
      </c>
      <c r="U1420">
        <v>206</v>
      </c>
      <c r="V1420">
        <v>17</v>
      </c>
      <c r="W1420">
        <v>54</v>
      </c>
      <c r="X1420">
        <v>588</v>
      </c>
      <c r="Y1420">
        <v>77</v>
      </c>
      <c r="Z1420">
        <v>133</v>
      </c>
      <c r="AA1420">
        <v>517</v>
      </c>
      <c r="AB1420">
        <v>4.5882386324698503</v>
      </c>
      <c r="AC1420">
        <v>0.45593055032455099</v>
      </c>
      <c r="AD1420">
        <v>2.21175885378269</v>
      </c>
      <c r="AE1420">
        <v>0.67229360342025801</v>
      </c>
      <c r="AF1420">
        <v>1157.2842105263201</v>
      </c>
      <c r="AG1420">
        <f>IFERROR(AH1420*0.1, "N/A")</f>
        <v>5.9807017543859704</v>
      </c>
      <c r="AH1420">
        <v>59.8070175438597</v>
      </c>
      <c r="AI1420">
        <v>57.567598563746401</v>
      </c>
      <c r="AJ1420">
        <v>32.828070175438597</v>
      </c>
      <c r="AK1420">
        <v>49.364912280701802</v>
      </c>
    </row>
    <row r="1421" spans="1:37" x14ac:dyDescent="0.3">
      <c r="A1421">
        <v>1420</v>
      </c>
      <c r="B1421">
        <v>14.3</v>
      </c>
      <c r="C1421">
        <v>31.117000999999998</v>
      </c>
      <c r="D1421">
        <v>3.4180999999999999</v>
      </c>
      <c r="E1421" t="s">
        <v>2505</v>
      </c>
      <c r="F1421" t="s">
        <v>2506</v>
      </c>
      <c r="G1421" t="s">
        <v>37</v>
      </c>
      <c r="H1421">
        <v>2004</v>
      </c>
      <c r="I1421">
        <v>24.026186391632699</v>
      </c>
      <c r="J1421">
        <v>12.5</v>
      </c>
      <c r="K1421">
        <v>74</v>
      </c>
      <c r="L1421">
        <v>11.710720662282901</v>
      </c>
      <c r="M1421">
        <v>33.299999237060497</v>
      </c>
      <c r="N1421">
        <v>16.600000381469702</v>
      </c>
      <c r="O1421">
        <v>16.700000762939499</v>
      </c>
      <c r="P1421">
        <v>22.799999237060501</v>
      </c>
      <c r="Q1421">
        <v>25.200000762939499</v>
      </c>
      <c r="R1421">
        <v>25.700000762939499</v>
      </c>
      <c r="S1421">
        <v>22.799999237060501</v>
      </c>
      <c r="T1421">
        <v>1241.83304042179</v>
      </c>
      <c r="U1421">
        <v>197</v>
      </c>
      <c r="V1421">
        <v>12</v>
      </c>
      <c r="W1421">
        <v>59</v>
      </c>
      <c r="X1421">
        <v>553.52372583479803</v>
      </c>
      <c r="Y1421">
        <v>66</v>
      </c>
      <c r="Z1421">
        <v>117.261862917399</v>
      </c>
      <c r="AA1421">
        <v>465.68541300527198</v>
      </c>
      <c r="AB1421">
        <v>27.784048928527302</v>
      </c>
      <c r="AC1421">
        <v>8.7878959145399997E-3</v>
      </c>
      <c r="AD1421">
        <v>2.5570682938781899</v>
      </c>
      <c r="AE1421">
        <v>0.61206571152842904</v>
      </c>
      <c r="AF1421">
        <v>1045.28998242531</v>
      </c>
      <c r="AG1421">
        <f>IFERROR(AH1421*0.1, "N/A")</f>
        <v>5.7261862917398902</v>
      </c>
      <c r="AH1421">
        <v>57.261862917398901</v>
      </c>
      <c r="AI1421">
        <v>91.762159484970596</v>
      </c>
      <c r="AJ1421">
        <v>30.752196836555399</v>
      </c>
      <c r="AK1421">
        <v>50.739894551845303</v>
      </c>
    </row>
    <row r="1422" spans="1:37" x14ac:dyDescent="0.3">
      <c r="A1422">
        <v>1421</v>
      </c>
      <c r="B1422">
        <v>22</v>
      </c>
      <c r="C1422">
        <v>31.605101000000001</v>
      </c>
      <c r="D1422">
        <v>3.431</v>
      </c>
      <c r="E1422" t="s">
        <v>2507</v>
      </c>
      <c r="F1422" t="s">
        <v>2508</v>
      </c>
      <c r="G1422" t="s">
        <v>37</v>
      </c>
      <c r="H1422">
        <v>2004</v>
      </c>
      <c r="I1422">
        <v>26.299999237060501</v>
      </c>
      <c r="J1422">
        <v>13.5</v>
      </c>
      <c r="K1422">
        <v>72</v>
      </c>
      <c r="L1422">
        <v>14.0100002288818</v>
      </c>
      <c r="M1422">
        <v>36.799999237060497</v>
      </c>
      <c r="N1422">
        <v>18.299999237060501</v>
      </c>
      <c r="O1422">
        <v>18.5</v>
      </c>
      <c r="P1422">
        <v>24.899999618530298</v>
      </c>
      <c r="Q1422">
        <v>27.899999618530298</v>
      </c>
      <c r="R1422">
        <v>28.5</v>
      </c>
      <c r="S1422">
        <v>24.899999618530298</v>
      </c>
      <c r="T1422">
        <v>1134</v>
      </c>
      <c r="U1422">
        <v>160</v>
      </c>
      <c r="V1422">
        <v>8</v>
      </c>
      <c r="W1422">
        <v>54</v>
      </c>
      <c r="X1422">
        <v>442</v>
      </c>
      <c r="Y1422">
        <v>55</v>
      </c>
      <c r="Z1422">
        <v>90</v>
      </c>
      <c r="AA1422">
        <v>442</v>
      </c>
      <c r="AB1422">
        <v>11.3817623520568</v>
      </c>
      <c r="AC1422">
        <v>3.4776273903703997E-2</v>
      </c>
      <c r="AD1422">
        <v>1.6640242589588501</v>
      </c>
      <c r="AE1422">
        <v>0.43925097584724399</v>
      </c>
      <c r="AF1422">
        <v>634.92618629174001</v>
      </c>
      <c r="AG1422">
        <f>IFERROR(AH1422*0.1, "N/A")</f>
        <v>6.3789103690685405</v>
      </c>
      <c r="AH1422">
        <v>63.789103690685401</v>
      </c>
      <c r="AI1422">
        <v>192.59672021446801</v>
      </c>
      <c r="AJ1422">
        <v>33.933216168717003</v>
      </c>
      <c r="AK1422">
        <v>48.066783831282898</v>
      </c>
    </row>
    <row r="1423" spans="1:37" x14ac:dyDescent="0.3">
      <c r="A1423">
        <v>1422</v>
      </c>
      <c r="B1423">
        <v>69.800003000000004</v>
      </c>
      <c r="C1423">
        <v>31.217300000000002</v>
      </c>
      <c r="D1423">
        <v>3.4357799999999998</v>
      </c>
      <c r="E1423" t="s">
        <v>2509</v>
      </c>
      <c r="F1423" t="s">
        <v>2510</v>
      </c>
      <c r="G1423" t="s">
        <v>37</v>
      </c>
      <c r="H1423">
        <v>2004</v>
      </c>
      <c r="I1423">
        <v>24.399824179264499</v>
      </c>
      <c r="J1423">
        <v>12.6998243716725</v>
      </c>
      <c r="K1423">
        <v>73.998245614035099</v>
      </c>
      <c r="L1423">
        <v>11.9100173916733</v>
      </c>
      <c r="M1423">
        <v>33.799823801141002</v>
      </c>
      <c r="N1423">
        <v>16.6998253236737</v>
      </c>
      <c r="O1423">
        <v>17.100000381469702</v>
      </c>
      <c r="P1423">
        <v>23.099824942203998</v>
      </c>
      <c r="Q1423">
        <v>25.599824942203998</v>
      </c>
      <c r="R1423">
        <v>26.099824942203998</v>
      </c>
      <c r="S1423">
        <v>23.099824942203998</v>
      </c>
      <c r="T1423">
        <v>1191.0017543859601</v>
      </c>
      <c r="U1423">
        <v>192.001754385965</v>
      </c>
      <c r="V1423">
        <v>10</v>
      </c>
      <c r="W1423">
        <v>60.001754385964901</v>
      </c>
      <c r="X1423">
        <v>533.005263157895</v>
      </c>
      <c r="Y1423">
        <v>61.001754385964901</v>
      </c>
      <c r="Z1423">
        <v>107.001754385965</v>
      </c>
      <c r="AA1423">
        <v>533.005263157895</v>
      </c>
      <c r="AB1423">
        <v>19.0076927854304</v>
      </c>
      <c r="AC1423">
        <v>2.9580334026628002E-2</v>
      </c>
      <c r="AD1423">
        <v>2.43331335239243</v>
      </c>
      <c r="AE1423">
        <v>0.72231671914719697</v>
      </c>
      <c r="AF1423">
        <v>967.40175438596498</v>
      </c>
      <c r="AG1423">
        <f>IFERROR(AH1423*0.1, "N/A")</f>
        <v>5.9</v>
      </c>
      <c r="AH1423">
        <v>59</v>
      </c>
      <c r="AI1423">
        <v>126.32454651949701</v>
      </c>
      <c r="AJ1423">
        <v>33.998245614035099</v>
      </c>
      <c r="AK1423">
        <v>47</v>
      </c>
    </row>
    <row r="1424" spans="1:37" x14ac:dyDescent="0.3">
      <c r="A1424">
        <v>1423</v>
      </c>
      <c r="B1424">
        <v>40.299999</v>
      </c>
      <c r="C1424">
        <v>31.795099</v>
      </c>
      <c r="D1424">
        <v>3.4371800000000001</v>
      </c>
      <c r="E1424" t="s">
        <v>2511</v>
      </c>
      <c r="F1424" t="s">
        <v>2512</v>
      </c>
      <c r="G1424" t="s">
        <v>37</v>
      </c>
      <c r="H1424">
        <v>2004</v>
      </c>
      <c r="I1424">
        <v>25.799999237060501</v>
      </c>
      <c r="J1424">
        <v>13.3999996185303</v>
      </c>
      <c r="K1424">
        <v>74</v>
      </c>
      <c r="L1424">
        <v>15.25</v>
      </c>
      <c r="M1424">
        <v>36.400001525878899</v>
      </c>
      <c r="N1424">
        <v>18.299999237060501</v>
      </c>
      <c r="O1424">
        <v>18.100000381469702</v>
      </c>
      <c r="P1424">
        <v>24.399999618530298</v>
      </c>
      <c r="Q1424">
        <v>27.600000381469702</v>
      </c>
      <c r="R1424">
        <v>28.100000381469702</v>
      </c>
      <c r="S1424">
        <v>24.200000762939499</v>
      </c>
      <c r="T1424">
        <v>1160</v>
      </c>
      <c r="U1424">
        <v>163</v>
      </c>
      <c r="V1424">
        <v>9</v>
      </c>
      <c r="W1424">
        <v>54</v>
      </c>
      <c r="X1424">
        <v>445</v>
      </c>
      <c r="Y1424">
        <v>56</v>
      </c>
      <c r="Z1424">
        <v>90</v>
      </c>
      <c r="AA1424">
        <v>439</v>
      </c>
      <c r="AB1424">
        <v>17.6922402541122</v>
      </c>
      <c r="AC1424">
        <v>1.0482282644573E-2</v>
      </c>
      <c r="AD1424">
        <v>2.7968908387034999</v>
      </c>
      <c r="AE1424">
        <v>0.48207253217697099</v>
      </c>
      <c r="AF1424">
        <v>744.23374340948999</v>
      </c>
      <c r="AG1424">
        <f>IFERROR(AH1424*0.1, "N/A")</f>
        <v>6.5992970123022907</v>
      </c>
      <c r="AH1424">
        <v>65.9929701230229</v>
      </c>
      <c r="AI1424">
        <v>154.552234267518</v>
      </c>
      <c r="AJ1424">
        <v>24.889279437609801</v>
      </c>
      <c r="AK1424">
        <v>53.108963093145903</v>
      </c>
    </row>
    <row r="1425" spans="1:37" x14ac:dyDescent="0.3">
      <c r="A1425">
        <v>1424</v>
      </c>
      <c r="B1425">
        <v>9.1999999999999993</v>
      </c>
      <c r="C1425">
        <v>31.197500000000002</v>
      </c>
      <c r="D1425">
        <v>3.4448599999999998</v>
      </c>
      <c r="E1425" t="s">
        <v>2513</v>
      </c>
      <c r="F1425" t="s">
        <v>2514</v>
      </c>
      <c r="G1425" t="s">
        <v>37</v>
      </c>
      <c r="H1425">
        <v>1958</v>
      </c>
      <c r="I1425">
        <v>24.200000762939499</v>
      </c>
      <c r="J1425">
        <v>12.6000003814697</v>
      </c>
      <c r="K1425">
        <v>74</v>
      </c>
      <c r="L1425">
        <v>12.039999961853001</v>
      </c>
      <c r="M1425">
        <v>33.599998474121101</v>
      </c>
      <c r="N1425">
        <v>16.600000381469702</v>
      </c>
      <c r="O1425">
        <v>17</v>
      </c>
      <c r="P1425">
        <v>22.899999618530298</v>
      </c>
      <c r="Q1425">
        <v>25.399999618530298</v>
      </c>
      <c r="R1425">
        <v>25.899999618530298</v>
      </c>
      <c r="S1425">
        <v>22.899999618530298</v>
      </c>
      <c r="T1425">
        <v>1197</v>
      </c>
      <c r="U1425">
        <v>196</v>
      </c>
      <c r="V1425">
        <v>10</v>
      </c>
      <c r="W1425">
        <v>62</v>
      </c>
      <c r="X1425">
        <v>542</v>
      </c>
      <c r="Y1425">
        <v>61</v>
      </c>
      <c r="Z1425">
        <v>108</v>
      </c>
      <c r="AA1425">
        <v>542</v>
      </c>
      <c r="AB1425">
        <v>24.9250269153281</v>
      </c>
      <c r="AC1425">
        <v>1.6183774575799999E-2</v>
      </c>
      <c r="AD1425">
        <v>1.13441020735717</v>
      </c>
      <c r="AE1425">
        <v>0.69589704275131203</v>
      </c>
      <c r="AF1425">
        <v>1007.72679509632</v>
      </c>
      <c r="AG1425">
        <f>IFERROR(AH1425*0.1, "N/A")</f>
        <v>5.7572679509632207</v>
      </c>
      <c r="AH1425">
        <v>57.572679509632202</v>
      </c>
      <c r="AI1425">
        <v>166.94955799750801</v>
      </c>
      <c r="AJ1425">
        <v>31.558669001751301</v>
      </c>
      <c r="AK1425">
        <v>48.176882661996501</v>
      </c>
    </row>
    <row r="1426" spans="1:37" x14ac:dyDescent="0.3">
      <c r="A1426">
        <v>1425</v>
      </c>
      <c r="B1426">
        <v>81.400002000000001</v>
      </c>
      <c r="C1426">
        <v>31.744399999999999</v>
      </c>
      <c r="D1426">
        <v>3.44807</v>
      </c>
      <c r="E1426" t="s">
        <v>2515</v>
      </c>
      <c r="F1426" t="s">
        <v>2516</v>
      </c>
      <c r="G1426" t="s">
        <v>37</v>
      </c>
      <c r="H1426">
        <v>2004</v>
      </c>
      <c r="I1426">
        <v>25.899999618530298</v>
      </c>
      <c r="J1426">
        <v>13.3999996185303</v>
      </c>
      <c r="K1426">
        <v>73</v>
      </c>
      <c r="L1426">
        <v>14.949999809265099</v>
      </c>
      <c r="M1426">
        <v>36.5</v>
      </c>
      <c r="N1426">
        <v>18.299999237060501</v>
      </c>
      <c r="O1426">
        <v>18.200000762939499</v>
      </c>
      <c r="P1426">
        <v>24.5</v>
      </c>
      <c r="Q1426">
        <v>27.600000381469702</v>
      </c>
      <c r="R1426">
        <v>28.200000762939499</v>
      </c>
      <c r="S1426">
        <v>24.299999237060501</v>
      </c>
      <c r="T1426">
        <v>1149</v>
      </c>
      <c r="U1426">
        <v>162</v>
      </c>
      <c r="V1426">
        <v>9</v>
      </c>
      <c r="W1426">
        <v>54</v>
      </c>
      <c r="X1426">
        <v>445</v>
      </c>
      <c r="Y1426">
        <v>56</v>
      </c>
      <c r="Z1426">
        <v>90</v>
      </c>
      <c r="AA1426">
        <v>434</v>
      </c>
      <c r="AB1426">
        <v>41.3200837256203</v>
      </c>
      <c r="AC1426">
        <v>3.9629011100131999E-2</v>
      </c>
      <c r="AD1426">
        <v>2.68652420144686</v>
      </c>
      <c r="AE1426">
        <v>0.59324306249618497</v>
      </c>
      <c r="AF1426">
        <v>718.29049295774701</v>
      </c>
      <c r="AG1426">
        <f>IFERROR(AH1426*0.1, "N/A")</f>
        <v>6.3000000000000007</v>
      </c>
      <c r="AH1426">
        <v>63</v>
      </c>
      <c r="AI1426">
        <v>307.456924868302</v>
      </c>
      <c r="AJ1426">
        <v>22.044014084507001</v>
      </c>
      <c r="AK1426">
        <v>55.867957746478901</v>
      </c>
    </row>
    <row r="1427" spans="1:37" x14ac:dyDescent="0.3">
      <c r="A1427">
        <v>1426</v>
      </c>
      <c r="B1427">
        <v>24.1</v>
      </c>
      <c r="C1427">
        <v>31.9011</v>
      </c>
      <c r="D1427">
        <v>3.47593</v>
      </c>
      <c r="E1427" t="s">
        <v>2517</v>
      </c>
      <c r="F1427" t="s">
        <v>2518</v>
      </c>
      <c r="G1427" t="s">
        <v>37</v>
      </c>
      <c r="H1427">
        <v>2004</v>
      </c>
      <c r="I1427">
        <v>26.399999618530298</v>
      </c>
      <c r="J1427">
        <v>13.6000003814697</v>
      </c>
      <c r="K1427">
        <v>74</v>
      </c>
      <c r="L1427">
        <v>15.0100002288818</v>
      </c>
      <c r="M1427">
        <v>37.099998474121101</v>
      </c>
      <c r="N1427">
        <v>18.799999237060501</v>
      </c>
      <c r="O1427">
        <v>18.299999237060501</v>
      </c>
      <c r="P1427">
        <v>24.799999237060501</v>
      </c>
      <c r="Q1427">
        <v>28.100000381469702</v>
      </c>
      <c r="R1427">
        <v>28.600000381469702</v>
      </c>
      <c r="S1427">
        <v>24.799999237060501</v>
      </c>
      <c r="T1427">
        <v>1113</v>
      </c>
      <c r="U1427">
        <v>156</v>
      </c>
      <c r="V1427">
        <v>8</v>
      </c>
      <c r="W1427">
        <v>55</v>
      </c>
      <c r="X1427">
        <v>428</v>
      </c>
      <c r="Y1427">
        <v>51</v>
      </c>
      <c r="Z1427">
        <v>85</v>
      </c>
      <c r="AA1427">
        <v>428</v>
      </c>
      <c r="AB1427">
        <v>16.794534639650202</v>
      </c>
      <c r="AC1427">
        <v>1.1906434862051E-2</v>
      </c>
      <c r="AD1427">
        <v>1.58092369052773</v>
      </c>
      <c r="AE1427">
        <v>0.61648724127318599</v>
      </c>
      <c r="AF1427">
        <v>658.24604569420001</v>
      </c>
      <c r="AG1427">
        <f>IFERROR(AH1427*0.1, "N/A")</f>
        <v>5.9235500878734602</v>
      </c>
      <c r="AH1427">
        <v>59.235500878734598</v>
      </c>
      <c r="AI1427">
        <v>106.183676506807</v>
      </c>
      <c r="AJ1427">
        <v>22.123022847100199</v>
      </c>
      <c r="AK1427">
        <v>58.876977152899798</v>
      </c>
    </row>
    <row r="1428" spans="1:37" x14ac:dyDescent="0.3">
      <c r="A1428">
        <v>1427</v>
      </c>
      <c r="B1428">
        <v>51.400002000000001</v>
      </c>
      <c r="C1428">
        <v>31.611699999999999</v>
      </c>
      <c r="D1428">
        <v>3.4778500000000001</v>
      </c>
      <c r="E1428" t="s">
        <v>2519</v>
      </c>
      <c r="F1428" t="s">
        <v>2520</v>
      </c>
      <c r="G1428" t="s">
        <v>37</v>
      </c>
      <c r="H1428">
        <v>2004</v>
      </c>
      <c r="I1428">
        <v>26.299999237060501</v>
      </c>
      <c r="J1428">
        <v>13.5</v>
      </c>
      <c r="K1428">
        <v>73</v>
      </c>
      <c r="L1428">
        <v>14</v>
      </c>
      <c r="M1428">
        <v>36.799999237060497</v>
      </c>
      <c r="N1428">
        <v>18.5</v>
      </c>
      <c r="O1428">
        <v>18.299999237060501</v>
      </c>
      <c r="P1428">
        <v>24.899999618530298</v>
      </c>
      <c r="Q1428">
        <v>27.899999618530298</v>
      </c>
      <c r="R1428">
        <v>28.399999618530298</v>
      </c>
      <c r="S1428">
        <v>24.899999618530298</v>
      </c>
      <c r="T1428">
        <v>1120</v>
      </c>
      <c r="U1428">
        <v>159</v>
      </c>
      <c r="V1428">
        <v>8</v>
      </c>
      <c r="W1428">
        <v>54</v>
      </c>
      <c r="X1428">
        <v>441</v>
      </c>
      <c r="Y1428">
        <v>54</v>
      </c>
      <c r="Z1428">
        <v>88</v>
      </c>
      <c r="AA1428">
        <v>420</v>
      </c>
      <c r="AB1428">
        <v>5.3977102179276297</v>
      </c>
      <c r="AC1428">
        <v>1.5747570091237999E-2</v>
      </c>
      <c r="AD1428">
        <v>2.9595193218766598</v>
      </c>
      <c r="AE1428">
        <v>0.52895562209581104</v>
      </c>
      <c r="AF1428">
        <v>641.77894736842097</v>
      </c>
      <c r="AG1428">
        <f>IFERROR(AH1428*0.1, "N/A")</f>
        <v>6.1000000000000005</v>
      </c>
      <c r="AH1428">
        <v>61</v>
      </c>
      <c r="AI1428">
        <v>228.156776562072</v>
      </c>
      <c r="AJ1428">
        <v>27</v>
      </c>
      <c r="AK1428">
        <v>52.631578947368403</v>
      </c>
    </row>
    <row r="1429" spans="1:37" x14ac:dyDescent="0.3">
      <c r="A1429">
        <v>1428</v>
      </c>
      <c r="B1429">
        <v>47.5</v>
      </c>
      <c r="C1429">
        <v>31.546600000000002</v>
      </c>
      <c r="D1429">
        <v>3.4872000000000001</v>
      </c>
      <c r="E1429" t="s">
        <v>2521</v>
      </c>
      <c r="F1429" t="s">
        <v>2522</v>
      </c>
      <c r="G1429" t="s">
        <v>37</v>
      </c>
      <c r="H1429">
        <v>2004</v>
      </c>
      <c r="I1429">
        <v>26</v>
      </c>
      <c r="J1429">
        <v>13.3999996185303</v>
      </c>
      <c r="K1429">
        <v>73</v>
      </c>
      <c r="L1429">
        <v>14.0200004577637</v>
      </c>
      <c r="M1429">
        <v>36.400001525878899</v>
      </c>
      <c r="N1429">
        <v>18.100000381469702</v>
      </c>
      <c r="O1429">
        <v>18.299999237060501</v>
      </c>
      <c r="P1429">
        <v>24.600000381469702</v>
      </c>
      <c r="Q1429">
        <v>27.600000381469702</v>
      </c>
      <c r="R1429">
        <v>28.100000381469702</v>
      </c>
      <c r="S1429">
        <v>24.600000381469702</v>
      </c>
      <c r="T1429">
        <v>1136</v>
      </c>
      <c r="U1429">
        <v>164</v>
      </c>
      <c r="V1429">
        <v>8</v>
      </c>
      <c r="W1429">
        <v>55</v>
      </c>
      <c r="X1429">
        <v>455</v>
      </c>
      <c r="Y1429">
        <v>54</v>
      </c>
      <c r="Z1429">
        <v>89</v>
      </c>
      <c r="AA1429">
        <v>422</v>
      </c>
      <c r="AB1429">
        <v>3.7980631510416698</v>
      </c>
      <c r="AC1429">
        <v>0.225132924566666</v>
      </c>
      <c r="AD1429">
        <v>2.85291509921091</v>
      </c>
      <c r="AE1429">
        <v>0.34334027767181402</v>
      </c>
      <c r="AF1429">
        <v>683.12456140350901</v>
      </c>
      <c r="AG1429">
        <f>IFERROR(AH1429*0.1, "N/A")</f>
        <v>6.3878947368421004</v>
      </c>
      <c r="AH1429">
        <v>63.878947368421002</v>
      </c>
      <c r="AI1429">
        <v>37.298727564226098</v>
      </c>
      <c r="AJ1429">
        <v>28</v>
      </c>
      <c r="AK1429">
        <v>51</v>
      </c>
    </row>
    <row r="1430" spans="1:37" x14ac:dyDescent="0.3">
      <c r="A1430">
        <v>1429</v>
      </c>
      <c r="B1430">
        <v>0</v>
      </c>
      <c r="C1430">
        <v>34.139999000000003</v>
      </c>
      <c r="D1430">
        <v>3.5024299999999999</v>
      </c>
      <c r="E1430" t="s">
        <v>2523</v>
      </c>
      <c r="F1430" t="s">
        <v>2524</v>
      </c>
      <c r="G1430" t="s">
        <v>37</v>
      </c>
      <c r="H1430">
        <v>2004</v>
      </c>
      <c r="I1430">
        <v>21.5</v>
      </c>
      <c r="J1430">
        <v>11.3999996185303</v>
      </c>
      <c r="K1430">
        <v>77</v>
      </c>
      <c r="L1430">
        <v>10.3699998855591</v>
      </c>
      <c r="M1430">
        <v>29.799999237060501</v>
      </c>
      <c r="N1430">
        <v>15</v>
      </c>
      <c r="O1430">
        <v>14.800000190734901</v>
      </c>
      <c r="P1430">
        <v>20.100000381469702</v>
      </c>
      <c r="Q1430">
        <v>22.399999618530298</v>
      </c>
      <c r="R1430">
        <v>22.899999618530298</v>
      </c>
      <c r="S1430">
        <v>20.100000381469702</v>
      </c>
      <c r="T1430">
        <v>737</v>
      </c>
      <c r="U1430">
        <v>123</v>
      </c>
      <c r="V1430">
        <v>6</v>
      </c>
      <c r="W1430">
        <v>64</v>
      </c>
      <c r="X1430">
        <v>343</v>
      </c>
      <c r="Y1430">
        <v>43</v>
      </c>
      <c r="Z1430">
        <v>71</v>
      </c>
      <c r="AA1430">
        <v>343</v>
      </c>
      <c r="AB1430">
        <v>16.413218753438599</v>
      </c>
      <c r="AC1430">
        <v>1.2002168364272E-2</v>
      </c>
      <c r="AD1430">
        <v>1.69187319404642</v>
      </c>
      <c r="AE1430">
        <v>0.58633941411972001</v>
      </c>
      <c r="AF1430">
        <v>1526.2130281690099</v>
      </c>
      <c r="AG1430">
        <f>IFERROR(AH1430*0.1, "N/A")</f>
        <v>6.4859154929577505</v>
      </c>
      <c r="AH1430">
        <v>64.8591549295775</v>
      </c>
      <c r="AI1430">
        <v>177.39440098614801</v>
      </c>
      <c r="AJ1430">
        <v>31.286971830985902</v>
      </c>
      <c r="AK1430">
        <v>50</v>
      </c>
    </row>
    <row r="1431" spans="1:37" x14ac:dyDescent="0.3">
      <c r="A1431">
        <v>1430</v>
      </c>
      <c r="B1431">
        <v>0.5</v>
      </c>
      <c r="C1431">
        <v>31.034800000000001</v>
      </c>
      <c r="D1431">
        <v>3.5243899999999999</v>
      </c>
      <c r="E1431" t="s">
        <v>2525</v>
      </c>
      <c r="F1431" t="s">
        <v>2526</v>
      </c>
      <c r="G1431" t="s">
        <v>37</v>
      </c>
      <c r="H1431">
        <v>1958</v>
      </c>
      <c r="I1431">
        <v>23.591037254132399</v>
      </c>
      <c r="J1431">
        <v>12.300000190734901</v>
      </c>
      <c r="K1431">
        <v>75</v>
      </c>
      <c r="L1431">
        <v>11.677029772257301</v>
      </c>
      <c r="M1431">
        <v>32.700000762939503</v>
      </c>
      <c r="N1431">
        <v>16.491036872662601</v>
      </c>
      <c r="O1431">
        <v>16.208963719319399</v>
      </c>
      <c r="P1431">
        <v>22.391036491192899</v>
      </c>
      <c r="Q1431">
        <v>24.700000762939499</v>
      </c>
      <c r="R1431">
        <v>25.200000762939499</v>
      </c>
      <c r="S1431">
        <v>22.200000762939499</v>
      </c>
      <c r="T1431">
        <v>1341.34446397188</v>
      </c>
      <c r="U1431">
        <v>208.179261862917</v>
      </c>
      <c r="V1431">
        <v>14</v>
      </c>
      <c r="W1431">
        <v>56.9103690685413</v>
      </c>
      <c r="X1431">
        <v>578.26889279437603</v>
      </c>
      <c r="Y1431">
        <v>67.0896309314587</v>
      </c>
      <c r="Z1431">
        <v>119.179261862917</v>
      </c>
      <c r="AA1431">
        <v>498.71704745167</v>
      </c>
      <c r="AB1431">
        <v>21.252530223665399</v>
      </c>
      <c r="AC1431">
        <v>2.4816308407888999E-2</v>
      </c>
      <c r="AD1431">
        <v>3.5074239816313701</v>
      </c>
      <c r="AE1431">
        <v>0.58410477638244596</v>
      </c>
      <c r="AF1431">
        <v>1177.94903339192</v>
      </c>
      <c r="AG1431">
        <f>IFERROR(AH1431*0.1, "N/A")</f>
        <v>5.5899824253075607</v>
      </c>
      <c r="AH1431">
        <v>55.8998242530756</v>
      </c>
      <c r="AI1431">
        <v>231.61954124195901</v>
      </c>
      <c r="AJ1431">
        <v>36.228471001757498</v>
      </c>
      <c r="AK1431">
        <v>46.530755711775001</v>
      </c>
    </row>
    <row r="1432" spans="1:37" x14ac:dyDescent="0.3">
      <c r="A1432">
        <v>1431</v>
      </c>
      <c r="B1432">
        <v>59.299999</v>
      </c>
      <c r="C1432">
        <v>31.9252</v>
      </c>
      <c r="D1432">
        <v>3.556</v>
      </c>
      <c r="E1432" t="s">
        <v>2527</v>
      </c>
      <c r="F1432" t="s">
        <v>2528</v>
      </c>
      <c r="G1432" t="s">
        <v>37</v>
      </c>
      <c r="H1432">
        <v>2004</v>
      </c>
      <c r="I1432">
        <v>26.600000381469702</v>
      </c>
      <c r="J1432">
        <v>13.6483305091389</v>
      </c>
      <c r="K1432">
        <v>73.483304042179299</v>
      </c>
      <c r="L1432">
        <v>15.3251667726647</v>
      </c>
      <c r="M1432">
        <v>37.5</v>
      </c>
      <c r="N1432">
        <v>19</v>
      </c>
      <c r="O1432">
        <v>18.5</v>
      </c>
      <c r="P1432">
        <v>25</v>
      </c>
      <c r="Q1432">
        <v>28.399999618530298</v>
      </c>
      <c r="R1432">
        <v>28.899999618530298</v>
      </c>
      <c r="S1432">
        <v>25</v>
      </c>
      <c r="T1432">
        <v>1078.93321616872</v>
      </c>
      <c r="U1432">
        <v>152</v>
      </c>
      <c r="V1432">
        <v>7</v>
      </c>
      <c r="W1432">
        <v>55.516695957820701</v>
      </c>
      <c r="X1432">
        <v>421.48330404217899</v>
      </c>
      <c r="Y1432">
        <v>48</v>
      </c>
      <c r="Z1432">
        <v>81.483304042179299</v>
      </c>
      <c r="AA1432">
        <v>421.48330404217899</v>
      </c>
      <c r="AB1432">
        <v>5.4716941686003402</v>
      </c>
      <c r="AC1432">
        <v>8.8765958867480007E-3</v>
      </c>
      <c r="AD1432">
        <v>0.81620283872674804</v>
      </c>
      <c r="AE1432">
        <v>0.66122651100158703</v>
      </c>
      <c r="AF1432">
        <v>625.13005272407702</v>
      </c>
      <c r="AG1432">
        <f>IFERROR(AH1432*0.1, "N/A")</f>
        <v>6.1483304042179299</v>
      </c>
      <c r="AH1432">
        <v>61.483304042179299</v>
      </c>
      <c r="AI1432">
        <v>98.472019778823196</v>
      </c>
      <c r="AJ1432">
        <v>27.405975395430598</v>
      </c>
      <c r="AK1432">
        <v>52.117750439367299</v>
      </c>
    </row>
    <row r="1433" spans="1:37" x14ac:dyDescent="0.3">
      <c r="A1433">
        <v>1432</v>
      </c>
      <c r="B1433">
        <v>36.200001</v>
      </c>
      <c r="C1433">
        <v>31.820601</v>
      </c>
      <c r="D1433">
        <v>3.5605799999999999</v>
      </c>
      <c r="E1433" t="s">
        <v>2529</v>
      </c>
      <c r="F1433" t="s">
        <v>2530</v>
      </c>
      <c r="G1433" t="s">
        <v>37</v>
      </c>
      <c r="H1433">
        <v>2004</v>
      </c>
      <c r="I1433">
        <v>26.600000381469702</v>
      </c>
      <c r="J1433">
        <v>13.6000003814697</v>
      </c>
      <c r="K1433">
        <v>72</v>
      </c>
      <c r="L1433">
        <v>16.059999465942401</v>
      </c>
      <c r="M1433">
        <v>37.599998474121101</v>
      </c>
      <c r="N1433">
        <v>18.799999237060501</v>
      </c>
      <c r="O1433">
        <v>18.799999237060501</v>
      </c>
      <c r="P1433">
        <v>25.299999237060501</v>
      </c>
      <c r="Q1433">
        <v>28.5</v>
      </c>
      <c r="R1433">
        <v>29.100000381469702</v>
      </c>
      <c r="S1433">
        <v>25</v>
      </c>
      <c r="T1433">
        <v>1055</v>
      </c>
      <c r="U1433">
        <v>149</v>
      </c>
      <c r="V1433">
        <v>7</v>
      </c>
      <c r="W1433">
        <v>56</v>
      </c>
      <c r="X1433">
        <v>414</v>
      </c>
      <c r="Y1433">
        <v>49</v>
      </c>
      <c r="Z1433">
        <v>81</v>
      </c>
      <c r="AA1433">
        <v>413</v>
      </c>
      <c r="AB1433">
        <v>8.8249584660588791</v>
      </c>
      <c r="AC1433">
        <v>9.3863513566200003E-3</v>
      </c>
      <c r="AD1433">
        <v>2.29186385503343</v>
      </c>
      <c r="AE1433">
        <v>0.73319263083234998</v>
      </c>
      <c r="AF1433">
        <v>629.43233743409496</v>
      </c>
      <c r="AG1433">
        <f>IFERROR(AH1433*0.1, "N/A")</f>
        <v>5.8625659050966599</v>
      </c>
      <c r="AH1433">
        <v>58.625659050966597</v>
      </c>
      <c r="AI1433">
        <v>111.91403426855901</v>
      </c>
      <c r="AJ1433">
        <v>22.072056239015801</v>
      </c>
      <c r="AK1433">
        <v>55.697715289982398</v>
      </c>
    </row>
    <row r="1434" spans="1:37" x14ac:dyDescent="0.3">
      <c r="A1434">
        <v>1433</v>
      </c>
      <c r="B1434">
        <v>10.8</v>
      </c>
      <c r="C1434">
        <v>31.820800999999999</v>
      </c>
      <c r="D1434">
        <v>3.56128</v>
      </c>
      <c r="E1434" t="s">
        <v>2531</v>
      </c>
      <c r="F1434" t="s">
        <v>2532</v>
      </c>
      <c r="G1434" t="s">
        <v>37</v>
      </c>
      <c r="H1434">
        <v>2007</v>
      </c>
      <c r="I1434">
        <v>26.600000381469702</v>
      </c>
      <c r="J1434">
        <v>13.6000003814697</v>
      </c>
      <c r="K1434">
        <v>72</v>
      </c>
      <c r="L1434">
        <v>16.059999465942401</v>
      </c>
      <c r="M1434">
        <v>37.599998474121101</v>
      </c>
      <c r="N1434">
        <v>18.799999237060501</v>
      </c>
      <c r="O1434">
        <v>18.799999237060501</v>
      </c>
      <c r="P1434">
        <v>25.299999237060501</v>
      </c>
      <c r="Q1434">
        <v>28.5</v>
      </c>
      <c r="R1434">
        <v>29.100000381469702</v>
      </c>
      <c r="S1434">
        <v>25</v>
      </c>
      <c r="T1434">
        <v>1055</v>
      </c>
      <c r="U1434">
        <v>149</v>
      </c>
      <c r="V1434">
        <v>7</v>
      </c>
      <c r="W1434">
        <v>56</v>
      </c>
      <c r="X1434">
        <v>414</v>
      </c>
      <c r="Y1434">
        <v>49</v>
      </c>
      <c r="Z1434">
        <v>81</v>
      </c>
      <c r="AA1434">
        <v>413</v>
      </c>
      <c r="AB1434">
        <v>6.9037058655644801</v>
      </c>
      <c r="AC1434">
        <v>1.3383305461054E-2</v>
      </c>
      <c r="AD1434">
        <v>1.92682244974962</v>
      </c>
      <c r="AE1434">
        <v>0.73622174172753996</v>
      </c>
      <c r="AF1434">
        <v>627.74295774647896</v>
      </c>
      <c r="AG1434">
        <f>IFERROR(AH1434*0.1, "N/A")</f>
        <v>5.8725352112675999</v>
      </c>
      <c r="AH1434">
        <v>58.725352112675999</v>
      </c>
      <c r="AI1434">
        <v>74.820376725263998</v>
      </c>
      <c r="AJ1434">
        <v>21.919014084507001</v>
      </c>
      <c r="AK1434">
        <v>55.880281690140798</v>
      </c>
    </row>
    <row r="1435" spans="1:37" x14ac:dyDescent="0.3">
      <c r="A1435">
        <v>1434</v>
      </c>
      <c r="B1435">
        <v>32.5</v>
      </c>
      <c r="C1435">
        <v>31.924600999999999</v>
      </c>
      <c r="D1435">
        <v>3.5706000000000002</v>
      </c>
      <c r="E1435" t="s">
        <v>2533</v>
      </c>
      <c r="F1435" t="s">
        <v>2534</v>
      </c>
      <c r="G1435" t="s">
        <v>37</v>
      </c>
      <c r="H1435">
        <v>2007</v>
      </c>
      <c r="I1435">
        <v>26.595965278357799</v>
      </c>
      <c r="J1435">
        <v>13.6000003814697</v>
      </c>
      <c r="K1435">
        <v>73</v>
      </c>
      <c r="L1435">
        <v>15.628702070001999</v>
      </c>
      <c r="M1435">
        <v>37.400001525878899</v>
      </c>
      <c r="N1435">
        <v>18.899999618530298</v>
      </c>
      <c r="O1435">
        <v>18.5</v>
      </c>
      <c r="P1435">
        <v>24.899999618530298</v>
      </c>
      <c r="Q1435">
        <v>28.395964515418299</v>
      </c>
      <c r="R1435">
        <v>28.899999618530298</v>
      </c>
      <c r="S1435">
        <v>24.899999618530298</v>
      </c>
      <c r="T1435">
        <v>1078.0403508771899</v>
      </c>
      <c r="U1435">
        <v>152</v>
      </c>
      <c r="V1435">
        <v>7</v>
      </c>
      <c r="W1435">
        <v>56</v>
      </c>
      <c r="X1435">
        <v>423</v>
      </c>
      <c r="Y1435">
        <v>48</v>
      </c>
      <c r="Z1435">
        <v>81</v>
      </c>
      <c r="AA1435">
        <v>423</v>
      </c>
      <c r="AB1435">
        <v>20.031049440618101</v>
      </c>
      <c r="AC1435">
        <v>1.0716881392229999E-2</v>
      </c>
      <c r="AD1435">
        <v>2.0645453425875901</v>
      </c>
      <c r="AE1435">
        <v>0.62529724836349498</v>
      </c>
      <c r="AF1435">
        <v>648.00350877193</v>
      </c>
      <c r="AG1435">
        <f>IFERROR(AH1435*0.1, "N/A")</f>
        <v>6.0063157894736801</v>
      </c>
      <c r="AH1435">
        <v>60.063157894736797</v>
      </c>
      <c r="AI1435">
        <v>213.94335044727001</v>
      </c>
      <c r="AJ1435">
        <v>23.959649122807001</v>
      </c>
      <c r="AK1435">
        <v>54.080701754385998</v>
      </c>
    </row>
    <row r="1436" spans="1:37" x14ac:dyDescent="0.3">
      <c r="A1436">
        <v>1435</v>
      </c>
      <c r="B1436">
        <v>9.8000000000000007</v>
      </c>
      <c r="C1436">
        <v>31.584999</v>
      </c>
      <c r="D1436">
        <v>3.5857800000000002</v>
      </c>
      <c r="E1436" t="s">
        <v>2535</v>
      </c>
      <c r="F1436" t="s">
        <v>2536</v>
      </c>
      <c r="G1436" t="s">
        <v>37</v>
      </c>
      <c r="H1436">
        <v>2004</v>
      </c>
      <c r="I1436">
        <v>25.799999237060501</v>
      </c>
      <c r="J1436">
        <v>13.300000190734901</v>
      </c>
      <c r="K1436">
        <v>73</v>
      </c>
      <c r="L1436">
        <v>14.819999694824199</v>
      </c>
      <c r="M1436">
        <v>36.400001525878899</v>
      </c>
      <c r="N1436">
        <v>18.299999237060501</v>
      </c>
      <c r="O1436">
        <v>18.100000381469702</v>
      </c>
      <c r="P1436">
        <v>24.5</v>
      </c>
      <c r="Q1436">
        <v>27.5</v>
      </c>
      <c r="R1436">
        <v>28.100000381469702</v>
      </c>
      <c r="S1436">
        <v>24.299999237060501</v>
      </c>
      <c r="T1436">
        <v>1132</v>
      </c>
      <c r="U1436">
        <v>166</v>
      </c>
      <c r="V1436">
        <v>7</v>
      </c>
      <c r="W1436">
        <v>56</v>
      </c>
      <c r="X1436">
        <v>460</v>
      </c>
      <c r="Y1436">
        <v>51</v>
      </c>
      <c r="Z1436">
        <v>85</v>
      </c>
      <c r="AA1436">
        <v>433</v>
      </c>
      <c r="AB1436">
        <v>32.801388175027398</v>
      </c>
      <c r="AC1436">
        <v>8.9505427713060005E-3</v>
      </c>
      <c r="AD1436">
        <v>1.48253057191246</v>
      </c>
      <c r="AE1436">
        <v>0.566866561299876</v>
      </c>
      <c r="AF1436">
        <v>762.617543859649</v>
      </c>
      <c r="AG1436">
        <f>IFERROR(AH1436*0.1, "N/A")</f>
        <v>6.0026315789473701</v>
      </c>
      <c r="AH1436">
        <v>60.026315789473699</v>
      </c>
      <c r="AI1436">
        <v>122.243231830262</v>
      </c>
      <c r="AJ1436">
        <v>25.973684210526301</v>
      </c>
      <c r="AK1436">
        <v>54</v>
      </c>
    </row>
    <row r="1437" spans="1:37" x14ac:dyDescent="0.3">
      <c r="A1437">
        <v>1436</v>
      </c>
      <c r="B1437">
        <v>0</v>
      </c>
      <c r="C1437">
        <v>33.039000999999999</v>
      </c>
      <c r="D1437">
        <v>3.6120800000000002</v>
      </c>
      <c r="E1437" t="s">
        <v>2537</v>
      </c>
      <c r="F1437" t="s">
        <v>2538</v>
      </c>
      <c r="G1437" t="s">
        <v>37</v>
      </c>
      <c r="H1437">
        <v>2004</v>
      </c>
      <c r="I1437">
        <v>23.899999618530298</v>
      </c>
      <c r="J1437">
        <v>13</v>
      </c>
      <c r="K1437">
        <v>76</v>
      </c>
      <c r="L1437">
        <v>11.670000076293899</v>
      </c>
      <c r="M1437">
        <v>33.5</v>
      </c>
      <c r="N1437">
        <v>16.600000381469702</v>
      </c>
      <c r="O1437">
        <v>16.899999618530298</v>
      </c>
      <c r="P1437">
        <v>22.5</v>
      </c>
      <c r="Q1437">
        <v>25</v>
      </c>
      <c r="R1437">
        <v>25.5</v>
      </c>
      <c r="S1437">
        <v>22.5</v>
      </c>
      <c r="T1437">
        <v>992</v>
      </c>
      <c r="U1437">
        <v>150</v>
      </c>
      <c r="V1437">
        <v>14</v>
      </c>
      <c r="W1437">
        <v>56</v>
      </c>
      <c r="X1437">
        <v>413</v>
      </c>
      <c r="Y1437">
        <v>57</v>
      </c>
      <c r="Z1437">
        <v>100</v>
      </c>
      <c r="AA1437">
        <v>409</v>
      </c>
      <c r="AB1437">
        <v>7.0700022914953404</v>
      </c>
      <c r="AC1437">
        <v>0.38376735445732901</v>
      </c>
      <c r="AD1437">
        <v>0.92546019726677897</v>
      </c>
      <c r="AE1437">
        <v>0.25921332836151101</v>
      </c>
      <c r="AF1437">
        <v>1018.45964912281</v>
      </c>
      <c r="AG1437">
        <f>IFERROR(AH1437*0.1, "N/A")</f>
        <v>6.2091228070175397</v>
      </c>
      <c r="AH1437">
        <v>62.091228070175397</v>
      </c>
      <c r="AI1437">
        <v>194.00038448133</v>
      </c>
      <c r="AJ1437">
        <v>42.522807017543897</v>
      </c>
      <c r="AK1437">
        <v>36.6947368421053</v>
      </c>
    </row>
    <row r="1438" spans="1:37" x14ac:dyDescent="0.3">
      <c r="A1438">
        <v>1437</v>
      </c>
      <c r="B1438">
        <v>15</v>
      </c>
      <c r="C1438">
        <v>31.736699999999999</v>
      </c>
      <c r="D1438">
        <v>3.62798</v>
      </c>
      <c r="E1438" t="s">
        <v>2539</v>
      </c>
      <c r="F1438" t="s">
        <v>2540</v>
      </c>
      <c r="G1438" t="s">
        <v>37</v>
      </c>
      <c r="H1438">
        <v>2007</v>
      </c>
      <c r="I1438">
        <v>24.700000762939499</v>
      </c>
      <c r="J1438">
        <v>13.1000003814697</v>
      </c>
      <c r="K1438">
        <v>70</v>
      </c>
      <c r="L1438">
        <v>16.649999618530298</v>
      </c>
      <c r="M1438">
        <v>35.299999237060497</v>
      </c>
      <c r="N1438">
        <v>16.799999237060501</v>
      </c>
      <c r="O1438">
        <v>18.5</v>
      </c>
      <c r="P1438">
        <v>23.399999618530298</v>
      </c>
      <c r="Q1438">
        <v>26.600000381469702</v>
      </c>
      <c r="R1438">
        <v>27.200000762939499</v>
      </c>
      <c r="S1438">
        <v>23</v>
      </c>
      <c r="T1438">
        <v>1234</v>
      </c>
      <c r="U1438">
        <v>185</v>
      </c>
      <c r="V1438">
        <v>10</v>
      </c>
      <c r="W1438">
        <v>56</v>
      </c>
      <c r="X1438">
        <v>499</v>
      </c>
      <c r="Y1438">
        <v>59</v>
      </c>
      <c r="Z1438">
        <v>94</v>
      </c>
      <c r="AA1438">
        <v>491</v>
      </c>
      <c r="AB1438">
        <v>28.941873039997802</v>
      </c>
      <c r="AC1438">
        <v>8.5310711768050006E-3</v>
      </c>
      <c r="AD1438">
        <v>1.9822047682295401</v>
      </c>
      <c r="AE1438">
        <v>0.60814261436462402</v>
      </c>
      <c r="AF1438">
        <v>959.53169014084494</v>
      </c>
      <c r="AG1438">
        <f>IFERROR(AH1438*0.1, "N/A")</f>
        <v>5.8517605633802807</v>
      </c>
      <c r="AH1438">
        <v>58.517605633802802</v>
      </c>
      <c r="AI1438">
        <v>113.055036806724</v>
      </c>
      <c r="AJ1438">
        <v>25.2658450704225</v>
      </c>
      <c r="AK1438">
        <v>51</v>
      </c>
    </row>
    <row r="1439" spans="1:37" x14ac:dyDescent="0.3">
      <c r="A1439">
        <v>1438</v>
      </c>
      <c r="B1439">
        <v>10.5</v>
      </c>
      <c r="C1439">
        <v>31.6553</v>
      </c>
      <c r="D1439">
        <v>3.6286</v>
      </c>
      <c r="E1439" t="s">
        <v>2541</v>
      </c>
      <c r="F1439" t="s">
        <v>2542</v>
      </c>
      <c r="G1439" t="s">
        <v>37</v>
      </c>
      <c r="H1439">
        <v>2004</v>
      </c>
      <c r="I1439">
        <v>25.200000762939499</v>
      </c>
      <c r="J1439">
        <v>13.199999809265099</v>
      </c>
      <c r="K1439">
        <v>72</v>
      </c>
      <c r="L1439">
        <v>15.6400003433228</v>
      </c>
      <c r="M1439">
        <v>35.700000762939503</v>
      </c>
      <c r="N1439">
        <v>17.5</v>
      </c>
      <c r="O1439">
        <v>18.200000762939499</v>
      </c>
      <c r="P1439">
        <v>23.799999237060501</v>
      </c>
      <c r="Q1439">
        <v>27</v>
      </c>
      <c r="R1439">
        <v>27.5</v>
      </c>
      <c r="S1439">
        <v>23.5</v>
      </c>
      <c r="T1439">
        <v>1188</v>
      </c>
      <c r="U1439">
        <v>177</v>
      </c>
      <c r="V1439">
        <v>9</v>
      </c>
      <c r="W1439">
        <v>56</v>
      </c>
      <c r="X1439">
        <v>485</v>
      </c>
      <c r="Y1439">
        <v>55</v>
      </c>
      <c r="Z1439">
        <v>89</v>
      </c>
      <c r="AA1439">
        <v>465</v>
      </c>
      <c r="AB1439">
        <v>19.371697987320101</v>
      </c>
      <c r="AC1439">
        <v>3.7122831910664997E-2</v>
      </c>
      <c r="AD1439">
        <v>2.3222862852897701</v>
      </c>
      <c r="AE1439">
        <v>0.60670006275177002</v>
      </c>
      <c r="AF1439">
        <v>877.75219683655496</v>
      </c>
      <c r="AG1439">
        <f>IFERROR(AH1439*0.1, "N/A")</f>
        <v>6</v>
      </c>
      <c r="AH1439">
        <v>60</v>
      </c>
      <c r="AI1439">
        <v>188.39576380617399</v>
      </c>
      <c r="AJ1439">
        <v>31</v>
      </c>
      <c r="AK1439">
        <v>48.474516695957803</v>
      </c>
    </row>
    <row r="1440" spans="1:37" x14ac:dyDescent="0.3">
      <c r="A1440">
        <v>1439</v>
      </c>
      <c r="B1440">
        <v>3</v>
      </c>
      <c r="C1440">
        <v>31.479199999999999</v>
      </c>
      <c r="D1440">
        <v>3.6457000000000002</v>
      </c>
      <c r="E1440" t="s">
        <v>2543</v>
      </c>
      <c r="F1440" t="s">
        <v>2544</v>
      </c>
      <c r="G1440" t="s">
        <v>37</v>
      </c>
      <c r="H1440">
        <v>2004</v>
      </c>
      <c r="I1440">
        <v>25.399999618530298</v>
      </c>
      <c r="J1440">
        <v>13.199999809265099</v>
      </c>
      <c r="K1440">
        <v>74</v>
      </c>
      <c r="L1440">
        <v>14.1300001144409</v>
      </c>
      <c r="M1440">
        <v>35.799999237060497</v>
      </c>
      <c r="N1440">
        <v>18</v>
      </c>
      <c r="O1440">
        <v>17.799999237060501</v>
      </c>
      <c r="P1440">
        <v>24.100000381469702</v>
      </c>
      <c r="Q1440">
        <v>27</v>
      </c>
      <c r="R1440">
        <v>27.600000381469702</v>
      </c>
      <c r="S1440">
        <v>23.899999618530298</v>
      </c>
      <c r="T1440">
        <v>1158</v>
      </c>
      <c r="U1440">
        <v>175</v>
      </c>
      <c r="V1440">
        <v>7</v>
      </c>
      <c r="W1440">
        <v>58</v>
      </c>
      <c r="X1440">
        <v>483</v>
      </c>
      <c r="Y1440">
        <v>50</v>
      </c>
      <c r="Z1440">
        <v>85</v>
      </c>
      <c r="AA1440">
        <v>441</v>
      </c>
      <c r="AB1440">
        <v>11.378741379990901</v>
      </c>
      <c r="AC1440">
        <v>1.8770962320136999E-2</v>
      </c>
      <c r="AD1440">
        <v>1.0592745814884901</v>
      </c>
      <c r="AE1440">
        <v>0.42028298974037198</v>
      </c>
      <c r="AF1440">
        <v>815.43057996485095</v>
      </c>
      <c r="AG1440">
        <f>IFERROR(AH1440*0.1, "N/A")</f>
        <v>5.9256590509666101</v>
      </c>
      <c r="AH1440">
        <v>59.256590509666097</v>
      </c>
      <c r="AI1440">
        <v>33.432440370583201</v>
      </c>
      <c r="AJ1440">
        <v>34.080843585237297</v>
      </c>
      <c r="AK1440">
        <v>45.790861159929698</v>
      </c>
    </row>
    <row r="1441" spans="1:37" x14ac:dyDescent="0.3">
      <c r="A1441">
        <v>1440</v>
      </c>
      <c r="B1441">
        <v>0</v>
      </c>
      <c r="C1441">
        <v>34.077702000000002</v>
      </c>
      <c r="D1441">
        <v>3.6461000000000001</v>
      </c>
      <c r="E1441" t="s">
        <v>2545</v>
      </c>
      <c r="F1441" t="s">
        <v>2546</v>
      </c>
      <c r="G1441" t="s">
        <v>37</v>
      </c>
      <c r="H1441">
        <v>2004</v>
      </c>
      <c r="I1441">
        <v>21.299999237060501</v>
      </c>
      <c r="J1441">
        <v>11.199999809265099</v>
      </c>
      <c r="K1441">
        <v>77</v>
      </c>
      <c r="L1441">
        <v>10.3999996185303</v>
      </c>
      <c r="M1441">
        <v>29.5</v>
      </c>
      <c r="N1441">
        <v>15</v>
      </c>
      <c r="O1441">
        <v>14.5</v>
      </c>
      <c r="P1441">
        <v>20</v>
      </c>
      <c r="Q1441">
        <v>22.299999237060501</v>
      </c>
      <c r="R1441">
        <v>22.799999237060501</v>
      </c>
      <c r="S1441">
        <v>20</v>
      </c>
      <c r="T1441">
        <v>738</v>
      </c>
      <c r="U1441">
        <v>120</v>
      </c>
      <c r="V1441">
        <v>7</v>
      </c>
      <c r="W1441">
        <v>63</v>
      </c>
      <c r="X1441">
        <v>339</v>
      </c>
      <c r="Y1441">
        <v>42</v>
      </c>
      <c r="Z1441">
        <v>75</v>
      </c>
      <c r="AA1441">
        <v>339</v>
      </c>
      <c r="AB1441">
        <v>28.0584966923435</v>
      </c>
      <c r="AC1441">
        <v>1.9243070942182E-2</v>
      </c>
      <c r="AD1441">
        <v>1.84736920634836</v>
      </c>
      <c r="AE1441">
        <v>0.358632802963257</v>
      </c>
      <c r="AF1441">
        <v>1524</v>
      </c>
      <c r="AG1441">
        <f>IFERROR(AH1441*0.1, "N/A")</f>
        <v>6.6000000000000005</v>
      </c>
      <c r="AH1441">
        <v>66</v>
      </c>
      <c r="AI1441">
        <v>181.470051219292</v>
      </c>
      <c r="AJ1441">
        <v>31.012259194395799</v>
      </c>
      <c r="AK1441">
        <v>45.987740805604197</v>
      </c>
    </row>
    <row r="1442" spans="1:37" x14ac:dyDescent="0.3">
      <c r="A1442">
        <v>1441</v>
      </c>
      <c r="B1442">
        <v>9.6</v>
      </c>
      <c r="C1442">
        <v>31.725300000000001</v>
      </c>
      <c r="D1442">
        <v>3.6587299999999998</v>
      </c>
      <c r="E1442" t="s">
        <v>2547</v>
      </c>
      <c r="F1442" t="s">
        <v>2548</v>
      </c>
      <c r="G1442" t="s">
        <v>37</v>
      </c>
      <c r="H1442">
        <v>2005</v>
      </c>
      <c r="I1442">
        <v>24.600000381469702</v>
      </c>
      <c r="J1442">
        <v>13.0996495029383</v>
      </c>
      <c r="K1442">
        <v>69.996491228070198</v>
      </c>
      <c r="L1442">
        <v>16.8451224009196</v>
      </c>
      <c r="M1442">
        <v>35.215965431614897</v>
      </c>
      <c r="N1442">
        <v>16.6156144761203</v>
      </c>
      <c r="O1442">
        <v>18.600351260001201</v>
      </c>
      <c r="P1442">
        <v>23.315964210242601</v>
      </c>
      <c r="Q1442">
        <v>26.600000381469702</v>
      </c>
      <c r="R1442">
        <v>27.100000381469702</v>
      </c>
      <c r="S1442">
        <v>22.899999618530298</v>
      </c>
      <c r="T1442">
        <v>1246.3824561403501</v>
      </c>
      <c r="U1442">
        <v>188.00701754386</v>
      </c>
      <c r="V1442">
        <v>10</v>
      </c>
      <c r="W1442">
        <v>56.996491228070198</v>
      </c>
      <c r="X1442">
        <v>505.01403508771898</v>
      </c>
      <c r="Y1442">
        <v>58.840350877193003</v>
      </c>
      <c r="Z1442">
        <v>94.003508771929802</v>
      </c>
      <c r="AA1442">
        <v>499.69122807017499</v>
      </c>
      <c r="AB1442">
        <v>33.4947533323054</v>
      </c>
      <c r="AC1442">
        <v>1.2047866424709E-2</v>
      </c>
      <c r="AD1442">
        <v>2.3644595192189799</v>
      </c>
      <c r="AE1442">
        <v>0.55902161368152603</v>
      </c>
      <c r="AF1442">
        <v>987.41578947368396</v>
      </c>
      <c r="AG1442">
        <f>IFERROR(AH1442*0.1, "N/A")</f>
        <v>5.8163157894736806</v>
      </c>
      <c r="AH1442">
        <v>58.163157894736798</v>
      </c>
      <c r="AI1442">
        <v>198.840164800276</v>
      </c>
      <c r="AJ1442">
        <v>20.163157894736798</v>
      </c>
      <c r="AK1442">
        <v>61.670175438596502</v>
      </c>
    </row>
    <row r="1443" spans="1:37" x14ac:dyDescent="0.3">
      <c r="A1443">
        <v>1442</v>
      </c>
      <c r="B1443">
        <v>3.4</v>
      </c>
      <c r="C1443">
        <v>31.7836</v>
      </c>
      <c r="D1443">
        <v>3.7122999999999999</v>
      </c>
      <c r="E1443" t="s">
        <v>2549</v>
      </c>
      <c r="F1443" t="s">
        <v>2550</v>
      </c>
      <c r="G1443" t="s">
        <v>37</v>
      </c>
      <c r="H1443">
        <v>2004</v>
      </c>
      <c r="I1443">
        <v>24.667487028822499</v>
      </c>
      <c r="J1443">
        <v>13.1224958590757</v>
      </c>
      <c r="K1443">
        <v>70</v>
      </c>
      <c r="L1443">
        <v>16.644252991634399</v>
      </c>
      <c r="M1443">
        <v>35.367485884413398</v>
      </c>
      <c r="N1443">
        <v>16.667487028822499</v>
      </c>
      <c r="O1443">
        <v>18.700000762939499</v>
      </c>
      <c r="P1443">
        <v>22.967486694952701</v>
      </c>
      <c r="Q1443">
        <v>26.667487028822499</v>
      </c>
      <c r="R1443">
        <v>27.167487028822499</v>
      </c>
      <c r="S1443">
        <v>22.967486694952701</v>
      </c>
      <c r="T1443">
        <v>1241.2513181019301</v>
      </c>
      <c r="U1443">
        <v>185.65026362038699</v>
      </c>
      <c r="V1443">
        <v>9</v>
      </c>
      <c r="W1443">
        <v>57</v>
      </c>
      <c r="X1443">
        <v>502.85061511423498</v>
      </c>
      <c r="Y1443">
        <v>55.550087873462203</v>
      </c>
      <c r="Z1443">
        <v>90.325131810193298</v>
      </c>
      <c r="AA1443">
        <v>502.85061511423498</v>
      </c>
      <c r="AB1443">
        <v>36.273457880807896</v>
      </c>
      <c r="AC1443">
        <v>2.0748535593437999E-2</v>
      </c>
      <c r="AD1443">
        <v>3.6382525411347699</v>
      </c>
      <c r="AE1443">
        <v>0.40838010365598398</v>
      </c>
      <c r="AF1443">
        <v>945.20562390158204</v>
      </c>
      <c r="AG1443">
        <f>IFERROR(AH1443*0.1, "N/A")</f>
        <v>5.8107205623901601</v>
      </c>
      <c r="AH1443">
        <v>58.107205623901599</v>
      </c>
      <c r="AI1443">
        <v>202.23153209518699</v>
      </c>
      <c r="AJ1443">
        <v>33.332161687170498</v>
      </c>
      <c r="AK1443">
        <v>44.801405975395397</v>
      </c>
    </row>
    <row r="1444" spans="1:37" x14ac:dyDescent="0.3">
      <c r="A1444">
        <v>1443</v>
      </c>
      <c r="B1444">
        <v>39.299999</v>
      </c>
      <c r="C1444">
        <v>31.810300999999999</v>
      </c>
      <c r="D1444">
        <v>3.7850700000000002</v>
      </c>
      <c r="E1444" t="s">
        <v>2551</v>
      </c>
      <c r="F1444" t="s">
        <v>2552</v>
      </c>
      <c r="G1444" t="s">
        <v>37</v>
      </c>
      <c r="H1444">
        <v>2004</v>
      </c>
      <c r="I1444">
        <v>26.299999237060501</v>
      </c>
      <c r="J1444">
        <v>13.6000003814697</v>
      </c>
      <c r="K1444">
        <v>73</v>
      </c>
      <c r="L1444">
        <v>15.8900003433228</v>
      </c>
      <c r="M1444">
        <v>37.099998474121101</v>
      </c>
      <c r="N1444">
        <v>18.600000381469702</v>
      </c>
      <c r="O1444">
        <v>18.5</v>
      </c>
      <c r="P1444">
        <v>24.5</v>
      </c>
      <c r="Q1444">
        <v>28.100000381469702</v>
      </c>
      <c r="R1444">
        <v>28.700000762939499</v>
      </c>
      <c r="S1444">
        <v>24.5</v>
      </c>
      <c r="T1444">
        <v>1082</v>
      </c>
      <c r="U1444">
        <v>155</v>
      </c>
      <c r="V1444">
        <v>6</v>
      </c>
      <c r="W1444">
        <v>58</v>
      </c>
      <c r="X1444">
        <v>436</v>
      </c>
      <c r="Y1444">
        <v>44</v>
      </c>
      <c r="Z1444">
        <v>74</v>
      </c>
      <c r="AA1444">
        <v>436</v>
      </c>
      <c r="AB1444">
        <v>13.6052875719572</v>
      </c>
      <c r="AC1444">
        <v>9.607007893685E-3</v>
      </c>
      <c r="AD1444">
        <v>7.0147914121025501</v>
      </c>
      <c r="AE1444">
        <v>0.32193773984909102</v>
      </c>
      <c r="AF1444">
        <v>700.112280701754</v>
      </c>
      <c r="AG1444">
        <f>IFERROR(AH1444*0.1, "N/A")</f>
        <v>5.9936842105263208</v>
      </c>
      <c r="AH1444">
        <v>59.936842105263203</v>
      </c>
      <c r="AI1444">
        <v>153.33023215846001</v>
      </c>
      <c r="AJ1444">
        <v>24.314035087719301</v>
      </c>
      <c r="AK1444">
        <v>53.0701754385965</v>
      </c>
    </row>
    <row r="1445" spans="1:37" x14ac:dyDescent="0.3">
      <c r="A1445">
        <v>1444</v>
      </c>
      <c r="B1445">
        <v>0.6</v>
      </c>
      <c r="C1445">
        <v>1.2201200000000001</v>
      </c>
      <c r="D1445">
        <v>6.1673900000000001</v>
      </c>
      <c r="E1445" t="s">
        <v>2553</v>
      </c>
      <c r="F1445" t="s">
        <v>2554</v>
      </c>
      <c r="G1445" t="s">
        <v>39</v>
      </c>
      <c r="H1445">
        <v>1999</v>
      </c>
      <c r="I1445">
        <v>26.700000762939499</v>
      </c>
      <c r="J1445">
        <v>7.6874343762223001</v>
      </c>
      <c r="K1445">
        <v>74</v>
      </c>
      <c r="L1445">
        <v>10.1312044503177</v>
      </c>
      <c r="M1445">
        <v>32.187435030313097</v>
      </c>
      <c r="N1445">
        <v>21.8125647300201</v>
      </c>
      <c r="O1445">
        <v>10.3748687524446</v>
      </c>
      <c r="P1445">
        <v>27.100000381469702</v>
      </c>
      <c r="Q1445">
        <v>26.987434507040501</v>
      </c>
      <c r="R1445">
        <v>27.899999618530298</v>
      </c>
      <c r="S1445">
        <v>25.200000762939499</v>
      </c>
      <c r="T1445">
        <v>857.874345549738</v>
      </c>
      <c r="U1445">
        <v>210.37696335078499</v>
      </c>
      <c r="V1445">
        <v>9</v>
      </c>
      <c r="W1445">
        <v>79.125654450261806</v>
      </c>
      <c r="X1445">
        <v>460.37696335078499</v>
      </c>
      <c r="Y1445">
        <v>49.874345549738202</v>
      </c>
      <c r="Z1445">
        <v>194.62303664921501</v>
      </c>
      <c r="AA1445">
        <v>171.874345549738</v>
      </c>
      <c r="AB1445">
        <v>3.57033185975506</v>
      </c>
      <c r="AC1445">
        <v>3.4991224072093E-2</v>
      </c>
      <c r="AD1445">
        <v>3.7921629582400098</v>
      </c>
      <c r="AE1445">
        <v>0.89222753047943104</v>
      </c>
      <c r="AF1445">
        <v>9.9441535776614298</v>
      </c>
      <c r="AG1445">
        <f>IFERROR(AH1445*0.1, "N/A")</f>
        <v>6.8080279232111707</v>
      </c>
      <c r="AH1445">
        <v>68.080279232111707</v>
      </c>
      <c r="AI1445">
        <v>130.659757018297</v>
      </c>
      <c r="AJ1445">
        <v>28.4293193717278</v>
      </c>
      <c r="AK1445">
        <v>49.0802792321117</v>
      </c>
    </row>
    <row r="1446" spans="1:37" x14ac:dyDescent="0.3">
      <c r="A1446">
        <v>1445</v>
      </c>
      <c r="B1446">
        <v>0.6</v>
      </c>
      <c r="C1446">
        <v>1.2201200000000001</v>
      </c>
      <c r="D1446">
        <v>6.1673900000000001</v>
      </c>
      <c r="E1446" t="s">
        <v>2553</v>
      </c>
      <c r="F1446" t="s">
        <v>2555</v>
      </c>
      <c r="G1446" t="s">
        <v>37</v>
      </c>
      <c r="H1446">
        <v>1999</v>
      </c>
      <c r="I1446">
        <v>26.700000762939499</v>
      </c>
      <c r="J1446">
        <v>7.6874343762223001</v>
      </c>
      <c r="K1446">
        <v>74</v>
      </c>
      <c r="L1446">
        <v>10.1312044503177</v>
      </c>
      <c r="M1446">
        <v>32.187435030313097</v>
      </c>
      <c r="N1446">
        <v>21.8125647300201</v>
      </c>
      <c r="O1446">
        <v>10.3748687524446</v>
      </c>
      <c r="P1446">
        <v>27.100000381469702</v>
      </c>
      <c r="Q1446">
        <v>26.987434507040501</v>
      </c>
      <c r="R1446">
        <v>27.899999618530298</v>
      </c>
      <c r="S1446">
        <v>25.200000762939499</v>
      </c>
      <c r="T1446">
        <v>857.874345549738</v>
      </c>
      <c r="U1446">
        <v>210.37696335078499</v>
      </c>
      <c r="V1446">
        <v>9</v>
      </c>
      <c r="W1446">
        <v>79.125654450261806</v>
      </c>
      <c r="X1446">
        <v>460.37696335078499</v>
      </c>
      <c r="Y1446">
        <v>49.874345549738202</v>
      </c>
      <c r="Z1446">
        <v>194.62303664921501</v>
      </c>
      <c r="AA1446">
        <v>171.874345549738</v>
      </c>
      <c r="AB1446">
        <v>3.57033185975506</v>
      </c>
      <c r="AC1446">
        <v>3.4991224072093E-2</v>
      </c>
      <c r="AD1446">
        <v>3.7921629582400098</v>
      </c>
      <c r="AE1446">
        <v>0.89222753047943104</v>
      </c>
      <c r="AF1446">
        <v>9.9441535776614298</v>
      </c>
      <c r="AG1446">
        <f>IFERROR(AH1446*0.1, "N/A")</f>
        <v>6.8080279232111707</v>
      </c>
      <c r="AH1446">
        <v>68.080279232111707</v>
      </c>
      <c r="AI1446">
        <v>130.659757018297</v>
      </c>
      <c r="AJ1446">
        <v>28.4293193717278</v>
      </c>
      <c r="AK1446">
        <v>49.0802792321117</v>
      </c>
    </row>
    <row r="1447" spans="1:37" x14ac:dyDescent="0.3">
      <c r="A1447">
        <v>1446</v>
      </c>
      <c r="B1447">
        <v>0.6</v>
      </c>
      <c r="C1447">
        <v>1.4815499999999999</v>
      </c>
      <c r="D1447">
        <v>6.3644400000000001</v>
      </c>
      <c r="E1447" t="s">
        <v>2556</v>
      </c>
      <c r="F1447" t="s">
        <v>2557</v>
      </c>
      <c r="G1447" t="s">
        <v>39</v>
      </c>
      <c r="H1447">
        <v>1999</v>
      </c>
      <c r="I1447">
        <v>26.799999237060501</v>
      </c>
      <c r="J1447">
        <v>8.6000003814697301</v>
      </c>
      <c r="K1447">
        <v>74</v>
      </c>
      <c r="L1447">
        <v>10.939999580383301</v>
      </c>
      <c r="M1447">
        <v>33.200000762939503</v>
      </c>
      <c r="N1447">
        <v>21.600000381469702</v>
      </c>
      <c r="O1447">
        <v>11.6000003814697</v>
      </c>
      <c r="P1447">
        <v>27</v>
      </c>
      <c r="Q1447">
        <v>27.5</v>
      </c>
      <c r="R1447">
        <v>28.100000381469702</v>
      </c>
      <c r="S1447">
        <v>25.200000762939499</v>
      </c>
      <c r="T1447">
        <v>923</v>
      </c>
      <c r="U1447">
        <v>205</v>
      </c>
      <c r="V1447">
        <v>10</v>
      </c>
      <c r="W1447">
        <v>74</v>
      </c>
      <c r="X1447">
        <v>480</v>
      </c>
      <c r="Y1447">
        <v>56</v>
      </c>
      <c r="Z1447">
        <v>222</v>
      </c>
      <c r="AA1447">
        <v>178</v>
      </c>
      <c r="AB1447">
        <v>3.9169277703782899</v>
      </c>
      <c r="AC1447">
        <v>0.59241581261060505</v>
      </c>
      <c r="AD1447">
        <v>2.8382605880134801</v>
      </c>
      <c r="AE1447">
        <v>0.677567958831787</v>
      </c>
      <c r="AF1447">
        <v>40.399650959860402</v>
      </c>
      <c r="AG1447">
        <f>IFERROR(AH1447*0.1, "N/A")</f>
        <v>5.9710296684118704</v>
      </c>
      <c r="AH1447">
        <v>59.710296684118703</v>
      </c>
      <c r="AI1447">
        <v>76.036733743824101</v>
      </c>
      <c r="AJ1447">
        <v>16.2949389179756</v>
      </c>
      <c r="AK1447">
        <v>70</v>
      </c>
    </row>
    <row r="1448" spans="1:37" x14ac:dyDescent="0.3">
      <c r="A1448">
        <v>1447</v>
      </c>
      <c r="B1448">
        <v>0.6</v>
      </c>
      <c r="C1448">
        <v>1.4815499999999999</v>
      </c>
      <c r="D1448">
        <v>6.3644400000000001</v>
      </c>
      <c r="E1448" t="s">
        <v>2556</v>
      </c>
      <c r="F1448" t="s">
        <v>2558</v>
      </c>
      <c r="G1448" t="s">
        <v>37</v>
      </c>
      <c r="H1448">
        <v>1999</v>
      </c>
      <c r="I1448">
        <v>26.799999237060501</v>
      </c>
      <c r="J1448">
        <v>8.6000003814697301</v>
      </c>
      <c r="K1448">
        <v>74</v>
      </c>
      <c r="L1448">
        <v>10.939999580383301</v>
      </c>
      <c r="M1448">
        <v>33.200000762939503</v>
      </c>
      <c r="N1448">
        <v>21.600000381469702</v>
      </c>
      <c r="O1448">
        <v>11.6000003814697</v>
      </c>
      <c r="P1448">
        <v>27</v>
      </c>
      <c r="Q1448">
        <v>27.5</v>
      </c>
      <c r="R1448">
        <v>28.100000381469702</v>
      </c>
      <c r="S1448">
        <v>25.200000762939499</v>
      </c>
      <c r="T1448">
        <v>923</v>
      </c>
      <c r="U1448">
        <v>205</v>
      </c>
      <c r="V1448">
        <v>10</v>
      </c>
      <c r="W1448">
        <v>74</v>
      </c>
      <c r="X1448">
        <v>480</v>
      </c>
      <c r="Y1448">
        <v>56</v>
      </c>
      <c r="Z1448">
        <v>222</v>
      </c>
      <c r="AA1448">
        <v>178</v>
      </c>
      <c r="AB1448">
        <v>3.9169277703782899</v>
      </c>
      <c r="AC1448">
        <v>0.59241581261060505</v>
      </c>
      <c r="AD1448">
        <v>2.8382605880134801</v>
      </c>
      <c r="AE1448">
        <v>0.677567958831787</v>
      </c>
      <c r="AF1448">
        <v>40.399650959860402</v>
      </c>
      <c r="AG1448">
        <f>IFERROR(AH1448*0.1, "N/A")</f>
        <v>5.9710296684118704</v>
      </c>
      <c r="AH1448">
        <v>59.710296684118703</v>
      </c>
      <c r="AI1448">
        <v>76.036733743824101</v>
      </c>
      <c r="AJ1448">
        <v>16.2949389179756</v>
      </c>
      <c r="AK1448">
        <v>70</v>
      </c>
    </row>
    <row r="1449" spans="1:37" x14ac:dyDescent="0.3">
      <c r="A1449">
        <v>1448</v>
      </c>
      <c r="B1449">
        <v>1.3</v>
      </c>
      <c r="C1449">
        <v>0.86906399999999995</v>
      </c>
      <c r="D1449">
        <v>6.4517800000000003</v>
      </c>
      <c r="E1449" t="s">
        <v>2559</v>
      </c>
      <c r="F1449" t="s">
        <v>2560</v>
      </c>
      <c r="G1449" t="s">
        <v>39</v>
      </c>
      <c r="H1449">
        <v>1999</v>
      </c>
      <c r="I1449">
        <v>26.899999618530298</v>
      </c>
      <c r="J1449">
        <v>9</v>
      </c>
      <c r="K1449">
        <v>74</v>
      </c>
      <c r="L1449">
        <v>10.689999580383301</v>
      </c>
      <c r="M1449">
        <v>33.599998474121101</v>
      </c>
      <c r="N1449">
        <v>21.5</v>
      </c>
      <c r="O1449">
        <v>12.1000003814697</v>
      </c>
      <c r="P1449">
        <v>27.200000762939499</v>
      </c>
      <c r="Q1449">
        <v>27.100000381469702</v>
      </c>
      <c r="R1449">
        <v>28.200000762939499</v>
      </c>
      <c r="S1449">
        <v>25.399999618530298</v>
      </c>
      <c r="T1449">
        <v>1129</v>
      </c>
      <c r="U1449">
        <v>181</v>
      </c>
      <c r="V1449">
        <v>24</v>
      </c>
      <c r="W1449">
        <v>54</v>
      </c>
      <c r="X1449">
        <v>477</v>
      </c>
      <c r="Y1449">
        <v>104</v>
      </c>
      <c r="Z1449">
        <v>300</v>
      </c>
      <c r="AA1449">
        <v>245</v>
      </c>
      <c r="AB1449">
        <v>10.31461098049</v>
      </c>
      <c r="AC1449">
        <v>6.2876129932702002E-2</v>
      </c>
      <c r="AD1449">
        <v>2.83154395144919</v>
      </c>
      <c r="AE1449">
        <v>0.61239457130432096</v>
      </c>
      <c r="AF1449">
        <v>95.370434782608697</v>
      </c>
      <c r="AG1449">
        <f>IFERROR(AH1449*0.1, "N/A")</f>
        <v>6.1055652173913009</v>
      </c>
      <c r="AH1449">
        <v>61.055652173913003</v>
      </c>
      <c r="AI1449">
        <v>79.522211874256996</v>
      </c>
      <c r="AJ1449">
        <v>13.1617391304348</v>
      </c>
      <c r="AK1449">
        <v>68.053913043478303</v>
      </c>
    </row>
    <row r="1450" spans="1:37" x14ac:dyDescent="0.3">
      <c r="A1450">
        <v>1449</v>
      </c>
      <c r="B1450">
        <v>0</v>
      </c>
      <c r="C1450">
        <v>0.86906399999999995</v>
      </c>
      <c r="D1450">
        <v>6.4517800000000003</v>
      </c>
      <c r="E1450" t="s">
        <v>2559</v>
      </c>
      <c r="F1450" t="s">
        <v>2561</v>
      </c>
      <c r="G1450" t="s">
        <v>37</v>
      </c>
      <c r="H1450">
        <v>1999</v>
      </c>
      <c r="I1450">
        <v>26.899999618530298</v>
      </c>
      <c r="J1450">
        <v>9</v>
      </c>
      <c r="K1450">
        <v>74</v>
      </c>
      <c r="L1450">
        <v>10.689999580383301</v>
      </c>
      <c r="M1450">
        <v>33.599998474121101</v>
      </c>
      <c r="N1450">
        <v>21.5</v>
      </c>
      <c r="O1450">
        <v>12.1000003814697</v>
      </c>
      <c r="P1450">
        <v>27.200000762939499</v>
      </c>
      <c r="Q1450">
        <v>27.100000381469702</v>
      </c>
      <c r="R1450">
        <v>28.200000762939499</v>
      </c>
      <c r="S1450">
        <v>25.399999618530298</v>
      </c>
      <c r="T1450">
        <v>1129</v>
      </c>
      <c r="U1450">
        <v>181</v>
      </c>
      <c r="V1450">
        <v>24</v>
      </c>
      <c r="W1450">
        <v>54</v>
      </c>
      <c r="X1450">
        <v>477</v>
      </c>
      <c r="Y1450">
        <v>104</v>
      </c>
      <c r="Z1450">
        <v>300</v>
      </c>
      <c r="AA1450">
        <v>245</v>
      </c>
      <c r="AB1450">
        <v>10.31461098049</v>
      </c>
      <c r="AC1450">
        <v>6.2876129932702002E-2</v>
      </c>
      <c r="AD1450">
        <v>2.83154395144919</v>
      </c>
      <c r="AE1450">
        <v>0.61239457130432096</v>
      </c>
      <c r="AF1450">
        <v>95.370434782608697</v>
      </c>
      <c r="AG1450">
        <f>IFERROR(AH1450*0.1, "N/A")</f>
        <v>6.1055652173913009</v>
      </c>
      <c r="AH1450">
        <v>61.055652173913003</v>
      </c>
      <c r="AI1450">
        <v>79.522211874256996</v>
      </c>
      <c r="AJ1450">
        <v>13.1617391304348</v>
      </c>
      <c r="AK1450">
        <v>68.053913043478303</v>
      </c>
    </row>
    <row r="1451" spans="1:37" x14ac:dyDescent="0.3">
      <c r="A1451">
        <v>1450</v>
      </c>
      <c r="B1451">
        <v>1.5</v>
      </c>
      <c r="C1451">
        <v>1.13388</v>
      </c>
      <c r="D1451">
        <v>6.4954400000000003</v>
      </c>
      <c r="E1451" t="s">
        <v>2562</v>
      </c>
      <c r="F1451" t="s">
        <v>2563</v>
      </c>
      <c r="G1451" t="s">
        <v>39</v>
      </c>
      <c r="H1451">
        <v>1999</v>
      </c>
      <c r="I1451">
        <v>26.700000762939499</v>
      </c>
      <c r="J1451">
        <v>9.1000003814697301</v>
      </c>
      <c r="K1451">
        <v>75</v>
      </c>
      <c r="L1451">
        <v>10.6658288862485</v>
      </c>
      <c r="M1451">
        <v>33.5</v>
      </c>
      <c r="N1451">
        <v>21.399999618530298</v>
      </c>
      <c r="O1451">
        <v>12.1000003814697</v>
      </c>
      <c r="P1451">
        <v>26.931064309458002</v>
      </c>
      <c r="Q1451">
        <v>27</v>
      </c>
      <c r="R1451">
        <v>28</v>
      </c>
      <c r="S1451">
        <v>25.200000762939499</v>
      </c>
      <c r="T1451">
        <v>1062.2425828970299</v>
      </c>
      <c r="U1451">
        <v>174.31064572425799</v>
      </c>
      <c r="V1451">
        <v>16</v>
      </c>
      <c r="W1451">
        <v>58</v>
      </c>
      <c r="X1451">
        <v>471.31064572425799</v>
      </c>
      <c r="Y1451">
        <v>80</v>
      </c>
      <c r="Z1451">
        <v>274.62129144851701</v>
      </c>
      <c r="AA1451">
        <v>245.31064572425799</v>
      </c>
      <c r="AB1451">
        <v>9.7235608458727008</v>
      </c>
      <c r="AC1451">
        <v>9.1759809609800007E-3</v>
      </c>
      <c r="AD1451">
        <v>2.0740340033750901</v>
      </c>
      <c r="AE1451">
        <v>0.65957547638428804</v>
      </c>
      <c r="AF1451">
        <v>81.624781849912793</v>
      </c>
      <c r="AG1451">
        <f>IFERROR(AH1451*0.1, "N/A")</f>
        <v>6.3378708551483403</v>
      </c>
      <c r="AH1451">
        <v>63.378708551483399</v>
      </c>
      <c r="AI1451">
        <v>152.73125187472701</v>
      </c>
      <c r="AJ1451">
        <v>14.108202443281</v>
      </c>
      <c r="AK1451">
        <v>67.205933682373498</v>
      </c>
    </row>
    <row r="1452" spans="1:37" x14ac:dyDescent="0.3">
      <c r="A1452">
        <v>1451</v>
      </c>
      <c r="B1452">
        <v>1.5</v>
      </c>
      <c r="C1452">
        <v>1.13388</v>
      </c>
      <c r="D1452">
        <v>6.4954400000000003</v>
      </c>
      <c r="E1452" t="s">
        <v>2562</v>
      </c>
      <c r="F1452" t="s">
        <v>2564</v>
      </c>
      <c r="G1452" t="s">
        <v>37</v>
      </c>
      <c r="H1452">
        <v>1999</v>
      </c>
      <c r="I1452">
        <v>26.700000762939499</v>
      </c>
      <c r="J1452">
        <v>9.1000003814697301</v>
      </c>
      <c r="K1452">
        <v>75</v>
      </c>
      <c r="L1452">
        <v>10.6658288862485</v>
      </c>
      <c r="M1452">
        <v>33.5</v>
      </c>
      <c r="N1452">
        <v>21.399999618530298</v>
      </c>
      <c r="O1452">
        <v>12.1000003814697</v>
      </c>
      <c r="P1452">
        <v>26.931064309458002</v>
      </c>
      <c r="Q1452">
        <v>27</v>
      </c>
      <c r="R1452">
        <v>28</v>
      </c>
      <c r="S1452">
        <v>25.200000762939499</v>
      </c>
      <c r="T1452">
        <v>1062.2425828970299</v>
      </c>
      <c r="U1452">
        <v>174.31064572425799</v>
      </c>
      <c r="V1452">
        <v>16</v>
      </c>
      <c r="W1452">
        <v>58</v>
      </c>
      <c r="X1452">
        <v>471.31064572425799</v>
      </c>
      <c r="Y1452">
        <v>80</v>
      </c>
      <c r="Z1452">
        <v>274.62129144851701</v>
      </c>
      <c r="AA1452">
        <v>245.31064572425799</v>
      </c>
      <c r="AB1452">
        <v>9.7235608458727008</v>
      </c>
      <c r="AC1452">
        <v>9.1759809609800007E-3</v>
      </c>
      <c r="AD1452">
        <v>2.0740340033750901</v>
      </c>
      <c r="AE1452">
        <v>0.65957547638428804</v>
      </c>
      <c r="AF1452">
        <v>81.624781849912793</v>
      </c>
      <c r="AG1452">
        <f>IFERROR(AH1452*0.1, "N/A")</f>
        <v>6.3378708551483403</v>
      </c>
      <c r="AH1452">
        <v>63.378708551483399</v>
      </c>
      <c r="AI1452">
        <v>152.73125187472701</v>
      </c>
      <c r="AJ1452">
        <v>14.108202443281</v>
      </c>
      <c r="AK1452">
        <v>67.205933682373498</v>
      </c>
    </row>
    <row r="1453" spans="1:37" x14ac:dyDescent="0.3">
      <c r="A1453">
        <v>1452</v>
      </c>
      <c r="B1453">
        <v>31.6</v>
      </c>
      <c r="C1453">
        <v>1.40465</v>
      </c>
      <c r="D1453">
        <v>6.7027999999999999</v>
      </c>
      <c r="E1453" t="s">
        <v>2565</v>
      </c>
      <c r="F1453" t="s">
        <v>2566</v>
      </c>
      <c r="G1453" t="s">
        <v>39</v>
      </c>
      <c r="H1453">
        <v>1999</v>
      </c>
      <c r="I1453">
        <v>26.600000381469702</v>
      </c>
      <c r="J1453">
        <v>9.8000001907348597</v>
      </c>
      <c r="K1453">
        <v>73</v>
      </c>
      <c r="L1453">
        <v>11.4700002670288</v>
      </c>
      <c r="M1453">
        <v>34.200000762939503</v>
      </c>
      <c r="N1453">
        <v>20.899999618530298</v>
      </c>
      <c r="O1453">
        <v>13.300000190734901</v>
      </c>
      <c r="P1453">
        <v>26.799999237060501</v>
      </c>
      <c r="Q1453">
        <v>26.899999618530298</v>
      </c>
      <c r="R1453">
        <v>28</v>
      </c>
      <c r="S1453">
        <v>25.100000381469702</v>
      </c>
      <c r="T1453">
        <v>1005</v>
      </c>
      <c r="U1453">
        <v>149</v>
      </c>
      <c r="V1453">
        <v>12</v>
      </c>
      <c r="W1453">
        <v>56</v>
      </c>
      <c r="X1453">
        <v>413</v>
      </c>
      <c r="Y1453">
        <v>61</v>
      </c>
      <c r="Z1453">
        <v>254</v>
      </c>
      <c r="AA1453">
        <v>291</v>
      </c>
      <c r="AB1453">
        <v>33.350697043892403</v>
      </c>
      <c r="AC1453">
        <v>3.3368721106121997E-2</v>
      </c>
      <c r="AD1453">
        <v>3.0799775633153401</v>
      </c>
      <c r="AE1453">
        <v>0.67860534484986701</v>
      </c>
      <c r="AF1453">
        <v>143.96503496503499</v>
      </c>
      <c r="AG1453">
        <f>IFERROR(AH1453*0.1, "N/A")</f>
        <v>6.1183566433566403</v>
      </c>
      <c r="AH1453">
        <v>61.183566433566398</v>
      </c>
      <c r="AI1453">
        <v>306.43898186316898</v>
      </c>
      <c r="AJ1453">
        <v>16.687062937062901</v>
      </c>
      <c r="AK1453">
        <v>69.183566433566398</v>
      </c>
    </row>
    <row r="1454" spans="1:37" x14ac:dyDescent="0.3">
      <c r="A1454">
        <v>1453</v>
      </c>
      <c r="B1454">
        <v>2.6</v>
      </c>
      <c r="C1454">
        <v>1.40465</v>
      </c>
      <c r="D1454">
        <v>6.7027999999999999</v>
      </c>
      <c r="E1454" t="s">
        <v>2565</v>
      </c>
      <c r="F1454" t="s">
        <v>2567</v>
      </c>
      <c r="G1454" t="s">
        <v>37</v>
      </c>
      <c r="H1454">
        <v>1999</v>
      </c>
      <c r="I1454">
        <v>26.600000381469702</v>
      </c>
      <c r="J1454">
        <v>9.8000001907348597</v>
      </c>
      <c r="K1454">
        <v>73</v>
      </c>
      <c r="L1454">
        <v>11.4700002670288</v>
      </c>
      <c r="M1454">
        <v>34.200000762939503</v>
      </c>
      <c r="N1454">
        <v>20.899999618530298</v>
      </c>
      <c r="O1454">
        <v>13.300000190734901</v>
      </c>
      <c r="P1454">
        <v>26.799999237060501</v>
      </c>
      <c r="Q1454">
        <v>26.899999618530298</v>
      </c>
      <c r="R1454">
        <v>28</v>
      </c>
      <c r="S1454">
        <v>25.100000381469702</v>
      </c>
      <c r="T1454">
        <v>1005</v>
      </c>
      <c r="U1454">
        <v>149</v>
      </c>
      <c r="V1454">
        <v>12</v>
      </c>
      <c r="W1454">
        <v>56</v>
      </c>
      <c r="X1454">
        <v>413</v>
      </c>
      <c r="Y1454">
        <v>61</v>
      </c>
      <c r="Z1454">
        <v>254</v>
      </c>
      <c r="AA1454">
        <v>291</v>
      </c>
      <c r="AB1454">
        <v>33.350697043892403</v>
      </c>
      <c r="AC1454">
        <v>3.3368721106121997E-2</v>
      </c>
      <c r="AD1454">
        <v>3.0799775633153401</v>
      </c>
      <c r="AE1454">
        <v>0.67860534484986701</v>
      </c>
      <c r="AF1454">
        <v>143.96503496503499</v>
      </c>
      <c r="AG1454">
        <f>IFERROR(AH1454*0.1, "N/A")</f>
        <v>6.1183566433566403</v>
      </c>
      <c r="AH1454">
        <v>61.183566433566398</v>
      </c>
      <c r="AI1454">
        <v>306.43898186316898</v>
      </c>
      <c r="AJ1454">
        <v>16.687062937062901</v>
      </c>
      <c r="AK1454">
        <v>69.183566433566398</v>
      </c>
    </row>
    <row r="1455" spans="1:37" x14ac:dyDescent="0.3">
      <c r="A1455">
        <v>1454</v>
      </c>
      <c r="B1455">
        <v>8.1999999999999993</v>
      </c>
      <c r="C1455">
        <v>0.715256</v>
      </c>
      <c r="D1455">
        <v>6.9686899999999996</v>
      </c>
      <c r="E1455" t="s">
        <v>2568</v>
      </c>
      <c r="F1455" t="s">
        <v>2569</v>
      </c>
      <c r="G1455" t="s">
        <v>39</v>
      </c>
      <c r="H1455">
        <v>1999</v>
      </c>
      <c r="I1455">
        <v>26.200000762939499</v>
      </c>
      <c r="J1455">
        <v>10.199999809265099</v>
      </c>
      <c r="K1455">
        <v>74</v>
      </c>
      <c r="L1455">
        <v>9.8000001907348597</v>
      </c>
      <c r="M1455">
        <v>33.799999237060497</v>
      </c>
      <c r="N1455">
        <v>20.100000381469702</v>
      </c>
      <c r="O1455">
        <v>13.699999809265099</v>
      </c>
      <c r="P1455">
        <v>26.600000381469702</v>
      </c>
      <c r="Q1455">
        <v>26.600000381469702</v>
      </c>
      <c r="R1455">
        <v>27.399999618530298</v>
      </c>
      <c r="S1455">
        <v>24.799999237060501</v>
      </c>
      <c r="T1455">
        <v>1399</v>
      </c>
      <c r="U1455">
        <v>197</v>
      </c>
      <c r="V1455">
        <v>25</v>
      </c>
      <c r="W1455">
        <v>52</v>
      </c>
      <c r="X1455">
        <v>518</v>
      </c>
      <c r="Y1455">
        <v>100</v>
      </c>
      <c r="Z1455">
        <v>316</v>
      </c>
      <c r="AA1455">
        <v>456</v>
      </c>
      <c r="AB1455">
        <v>1.34965026004805</v>
      </c>
      <c r="AC1455">
        <v>2.3379402293333702</v>
      </c>
      <c r="AD1455">
        <v>2.2834478502489599</v>
      </c>
      <c r="AE1455">
        <v>0.42699742317199701</v>
      </c>
      <c r="AF1455">
        <v>216.468641114983</v>
      </c>
      <c r="AG1455">
        <f>IFERROR(AH1455*0.1, "N/A")</f>
        <v>5.7</v>
      </c>
      <c r="AH1455">
        <v>57</v>
      </c>
      <c r="AI1455">
        <v>114.57887115212699</v>
      </c>
      <c r="AJ1455">
        <v>21.121951219512201</v>
      </c>
      <c r="AK1455">
        <v>58.878048780487802</v>
      </c>
    </row>
    <row r="1456" spans="1:37" x14ac:dyDescent="0.3">
      <c r="A1456">
        <v>1455</v>
      </c>
      <c r="B1456">
        <v>0</v>
      </c>
      <c r="C1456">
        <v>0.715256</v>
      </c>
      <c r="D1456">
        <v>6.9686899999999996</v>
      </c>
      <c r="E1456" t="s">
        <v>2568</v>
      </c>
      <c r="F1456" t="s">
        <v>2570</v>
      </c>
      <c r="G1456" t="s">
        <v>37</v>
      </c>
      <c r="H1456">
        <v>1999</v>
      </c>
      <c r="I1456">
        <v>26.200000762939499</v>
      </c>
      <c r="J1456">
        <v>10.199999809265099</v>
      </c>
      <c r="K1456">
        <v>74</v>
      </c>
      <c r="L1456">
        <v>9.8000001907348597</v>
      </c>
      <c r="M1456">
        <v>33.799999237060497</v>
      </c>
      <c r="N1456">
        <v>20.100000381469702</v>
      </c>
      <c r="O1456">
        <v>13.699999809265099</v>
      </c>
      <c r="P1456">
        <v>26.600000381469702</v>
      </c>
      <c r="Q1456">
        <v>26.600000381469702</v>
      </c>
      <c r="R1456">
        <v>27.399999618530298</v>
      </c>
      <c r="S1456">
        <v>24.799999237060501</v>
      </c>
      <c r="T1456">
        <v>1399</v>
      </c>
      <c r="U1456">
        <v>197</v>
      </c>
      <c r="V1456">
        <v>25</v>
      </c>
      <c r="W1456">
        <v>52</v>
      </c>
      <c r="X1456">
        <v>518</v>
      </c>
      <c r="Y1456">
        <v>100</v>
      </c>
      <c r="Z1456">
        <v>316</v>
      </c>
      <c r="AA1456">
        <v>456</v>
      </c>
      <c r="AB1456">
        <v>1.34965026004805</v>
      </c>
      <c r="AC1456">
        <v>2.3379402293333702</v>
      </c>
      <c r="AD1456">
        <v>2.2834478502489599</v>
      </c>
      <c r="AE1456">
        <v>0.42699742317199701</v>
      </c>
      <c r="AF1456">
        <v>216.468641114983</v>
      </c>
      <c r="AG1456">
        <f>IFERROR(AH1456*0.1, "N/A")</f>
        <v>5.7</v>
      </c>
      <c r="AH1456">
        <v>57</v>
      </c>
      <c r="AI1456">
        <v>114.57887115212699</v>
      </c>
      <c r="AJ1456">
        <v>21.121951219512201</v>
      </c>
      <c r="AK1456">
        <v>58.878048780487802</v>
      </c>
    </row>
    <row r="1457" spans="1:37" x14ac:dyDescent="0.3">
      <c r="A1457">
        <v>1456</v>
      </c>
      <c r="B1457">
        <v>16</v>
      </c>
      <c r="C1457">
        <v>1.29067</v>
      </c>
      <c r="D1457">
        <v>7.00549</v>
      </c>
      <c r="E1457" t="s">
        <v>2571</v>
      </c>
      <c r="F1457" t="s">
        <v>2572</v>
      </c>
      <c r="G1457" t="s">
        <v>39</v>
      </c>
      <c r="H1457">
        <v>1999</v>
      </c>
      <c r="I1457">
        <v>26.799999237060501</v>
      </c>
      <c r="J1457">
        <v>10.1000003814697</v>
      </c>
      <c r="K1457">
        <v>73</v>
      </c>
      <c r="L1457">
        <v>11.449999809265099</v>
      </c>
      <c r="M1457">
        <v>34.700000762939503</v>
      </c>
      <c r="N1457">
        <v>21</v>
      </c>
      <c r="O1457">
        <v>13.699999809265099</v>
      </c>
      <c r="P1457">
        <v>27</v>
      </c>
      <c r="Q1457">
        <v>27</v>
      </c>
      <c r="R1457">
        <v>28.299999237060501</v>
      </c>
      <c r="S1457">
        <v>25.299999237060501</v>
      </c>
      <c r="T1457">
        <v>1127</v>
      </c>
      <c r="U1457">
        <v>159</v>
      </c>
      <c r="V1457">
        <v>14</v>
      </c>
      <c r="W1457">
        <v>55</v>
      </c>
      <c r="X1457">
        <v>428</v>
      </c>
      <c r="Y1457">
        <v>64</v>
      </c>
      <c r="Z1457">
        <v>259</v>
      </c>
      <c r="AA1457">
        <v>376</v>
      </c>
      <c r="AB1457">
        <v>7.2612179432744597</v>
      </c>
      <c r="AC1457">
        <v>2.0040062879739001E-2</v>
      </c>
      <c r="AD1457">
        <v>2.20209826842598</v>
      </c>
      <c r="AE1457">
        <v>0.67000055313110396</v>
      </c>
      <c r="AF1457">
        <v>159.434782608696</v>
      </c>
      <c r="AG1457">
        <f>IFERROR(AH1457*0.1, "N/A")</f>
        <v>6.5</v>
      </c>
      <c r="AH1457">
        <v>65</v>
      </c>
      <c r="AI1457">
        <v>228.377816719387</v>
      </c>
      <c r="AJ1457">
        <v>11.229565217391301</v>
      </c>
      <c r="AK1457">
        <v>73.798260869565198</v>
      </c>
    </row>
    <row r="1458" spans="1:37" x14ac:dyDescent="0.3">
      <c r="A1458">
        <v>1457</v>
      </c>
      <c r="B1458">
        <v>0</v>
      </c>
      <c r="C1458">
        <v>1.29067</v>
      </c>
      <c r="D1458">
        <v>7.00549</v>
      </c>
      <c r="E1458" t="s">
        <v>2571</v>
      </c>
      <c r="F1458" t="s">
        <v>2573</v>
      </c>
      <c r="G1458" t="s">
        <v>37</v>
      </c>
      <c r="H1458">
        <v>1999</v>
      </c>
      <c r="I1458">
        <v>26.799999237060501</v>
      </c>
      <c r="J1458">
        <v>10.1000003814697</v>
      </c>
      <c r="K1458">
        <v>73</v>
      </c>
      <c r="L1458">
        <v>11.449999809265099</v>
      </c>
      <c r="M1458">
        <v>34.700000762939503</v>
      </c>
      <c r="N1458">
        <v>21</v>
      </c>
      <c r="O1458">
        <v>13.699999809265099</v>
      </c>
      <c r="P1458">
        <v>27</v>
      </c>
      <c r="Q1458">
        <v>27</v>
      </c>
      <c r="R1458">
        <v>28.299999237060501</v>
      </c>
      <c r="S1458">
        <v>25.299999237060501</v>
      </c>
      <c r="T1458">
        <v>1127</v>
      </c>
      <c r="U1458">
        <v>159</v>
      </c>
      <c r="V1458">
        <v>14</v>
      </c>
      <c r="W1458">
        <v>55</v>
      </c>
      <c r="X1458">
        <v>428</v>
      </c>
      <c r="Y1458">
        <v>64</v>
      </c>
      <c r="Z1458">
        <v>259</v>
      </c>
      <c r="AA1458">
        <v>376</v>
      </c>
      <c r="AB1458">
        <v>7.2612179432744597</v>
      </c>
      <c r="AC1458">
        <v>2.0040062879739001E-2</v>
      </c>
      <c r="AD1458">
        <v>2.20209826842598</v>
      </c>
      <c r="AE1458">
        <v>0.67000055313110396</v>
      </c>
      <c r="AF1458">
        <v>159.434782608696</v>
      </c>
      <c r="AG1458">
        <f>IFERROR(AH1458*0.1, "N/A")</f>
        <v>6.5</v>
      </c>
      <c r="AH1458">
        <v>65</v>
      </c>
      <c r="AI1458">
        <v>228.377816719387</v>
      </c>
      <c r="AJ1458">
        <v>11.229565217391301</v>
      </c>
      <c r="AK1458">
        <v>73.798260869565198</v>
      </c>
    </row>
    <row r="1459" spans="1:37" x14ac:dyDescent="0.3">
      <c r="A1459">
        <v>1458</v>
      </c>
      <c r="B1459">
        <v>23.799999</v>
      </c>
      <c r="C1459">
        <v>1.5611999999999999</v>
      </c>
      <c r="D1459">
        <v>7.1349600000000004</v>
      </c>
      <c r="E1459" t="s">
        <v>2574</v>
      </c>
      <c r="F1459" t="s">
        <v>2575</v>
      </c>
      <c r="G1459" t="s">
        <v>39</v>
      </c>
      <c r="H1459">
        <v>1999</v>
      </c>
      <c r="I1459">
        <v>27.100000381469702</v>
      </c>
      <c r="J1459">
        <v>10.199999809265099</v>
      </c>
      <c r="K1459">
        <v>73</v>
      </c>
      <c r="L1459">
        <v>12.0100002288818</v>
      </c>
      <c r="M1459">
        <v>35.200000762939503</v>
      </c>
      <c r="N1459">
        <v>21.299999237060501</v>
      </c>
      <c r="O1459">
        <v>13.8999996185303</v>
      </c>
      <c r="P1459">
        <v>27.299999237060501</v>
      </c>
      <c r="Q1459">
        <v>27.399999618530298</v>
      </c>
      <c r="R1459">
        <v>28.700000762939499</v>
      </c>
      <c r="S1459">
        <v>25.5</v>
      </c>
      <c r="T1459">
        <v>1059</v>
      </c>
      <c r="U1459">
        <v>149</v>
      </c>
      <c r="V1459">
        <v>7</v>
      </c>
      <c r="W1459">
        <v>58</v>
      </c>
      <c r="X1459">
        <v>399</v>
      </c>
      <c r="Y1459">
        <v>46</v>
      </c>
      <c r="Z1459">
        <v>257</v>
      </c>
      <c r="AA1459">
        <v>389</v>
      </c>
      <c r="AB1459">
        <v>1.2116715966201399</v>
      </c>
      <c r="AC1459">
        <v>0.59396276707705797</v>
      </c>
      <c r="AD1459">
        <v>1.4596609016328701</v>
      </c>
      <c r="AE1459">
        <v>0.47054322759656497</v>
      </c>
      <c r="AF1459">
        <v>112.668989547038</v>
      </c>
      <c r="AG1459">
        <f>IFERROR(AH1459*0.1, "N/A")</f>
        <v>6.3001742160278704</v>
      </c>
      <c r="AH1459">
        <v>63.001742160278702</v>
      </c>
      <c r="AI1459">
        <v>175.553643974278</v>
      </c>
      <c r="AJ1459">
        <v>11.078397212543599</v>
      </c>
      <c r="AK1459">
        <v>71.839721254355396</v>
      </c>
    </row>
    <row r="1460" spans="1:37" x14ac:dyDescent="0.3">
      <c r="A1460">
        <v>1459</v>
      </c>
      <c r="B1460">
        <v>1</v>
      </c>
      <c r="C1460">
        <v>1.5611999999999999</v>
      </c>
      <c r="D1460">
        <v>7.1349600000000004</v>
      </c>
      <c r="E1460" t="s">
        <v>2574</v>
      </c>
      <c r="F1460" t="s">
        <v>2576</v>
      </c>
      <c r="G1460" t="s">
        <v>37</v>
      </c>
      <c r="H1460">
        <v>1999</v>
      </c>
      <c r="I1460">
        <v>27.100000381469702</v>
      </c>
      <c r="J1460">
        <v>10.199999809265099</v>
      </c>
      <c r="K1460">
        <v>73</v>
      </c>
      <c r="L1460">
        <v>12.0100002288818</v>
      </c>
      <c r="M1460">
        <v>35.200000762939503</v>
      </c>
      <c r="N1460">
        <v>21.299999237060501</v>
      </c>
      <c r="O1460">
        <v>13.8999996185303</v>
      </c>
      <c r="P1460">
        <v>27.299999237060501</v>
      </c>
      <c r="Q1460">
        <v>27.399999618530298</v>
      </c>
      <c r="R1460">
        <v>28.700000762939499</v>
      </c>
      <c r="S1460">
        <v>25.5</v>
      </c>
      <c r="T1460">
        <v>1059</v>
      </c>
      <c r="U1460">
        <v>149</v>
      </c>
      <c r="V1460">
        <v>7</v>
      </c>
      <c r="W1460">
        <v>58</v>
      </c>
      <c r="X1460">
        <v>399</v>
      </c>
      <c r="Y1460">
        <v>46</v>
      </c>
      <c r="Z1460">
        <v>257</v>
      </c>
      <c r="AA1460">
        <v>389</v>
      </c>
      <c r="AB1460">
        <v>1.2116715966201399</v>
      </c>
      <c r="AC1460">
        <v>0.59396276707705797</v>
      </c>
      <c r="AD1460">
        <v>1.4596609016328701</v>
      </c>
      <c r="AE1460">
        <v>0.47054322759656497</v>
      </c>
      <c r="AF1460">
        <v>112.668989547038</v>
      </c>
      <c r="AG1460">
        <f>IFERROR(AH1460*0.1, "N/A")</f>
        <v>6.3001742160278704</v>
      </c>
      <c r="AH1460">
        <v>63.001742160278702</v>
      </c>
      <c r="AI1460">
        <v>175.553643974278</v>
      </c>
      <c r="AJ1460">
        <v>11.078397212543599</v>
      </c>
      <c r="AK1460">
        <v>71.839721254355396</v>
      </c>
    </row>
    <row r="1461" spans="1:37" x14ac:dyDescent="0.3">
      <c r="A1461">
        <v>1460</v>
      </c>
      <c r="B1461">
        <v>29</v>
      </c>
      <c r="C1461">
        <v>1.0212699999999999</v>
      </c>
      <c r="D1461">
        <v>7.4823000000000004</v>
      </c>
      <c r="E1461" t="s">
        <v>2577</v>
      </c>
      <c r="F1461" t="s">
        <v>2578</v>
      </c>
      <c r="G1461" t="s">
        <v>39</v>
      </c>
      <c r="H1461">
        <v>1999</v>
      </c>
      <c r="I1461">
        <v>26.606087361211401</v>
      </c>
      <c r="J1461">
        <v>10.3999996185303</v>
      </c>
      <c r="K1461">
        <v>72.939130434782598</v>
      </c>
      <c r="L1461">
        <v>11.992348057290799</v>
      </c>
      <c r="M1461">
        <v>34.906088389521102</v>
      </c>
      <c r="N1461">
        <v>20.793912373418401</v>
      </c>
      <c r="O1461">
        <v>14.1121742829033</v>
      </c>
      <c r="P1461">
        <v>24.912173578013501</v>
      </c>
      <c r="Q1461">
        <v>27</v>
      </c>
      <c r="R1461">
        <v>28.106087361211401</v>
      </c>
      <c r="S1461">
        <v>24.912173578013501</v>
      </c>
      <c r="T1461">
        <v>1400.3913043478301</v>
      </c>
      <c r="U1461">
        <v>206.93913043478301</v>
      </c>
      <c r="V1461">
        <v>15</v>
      </c>
      <c r="W1461">
        <v>59</v>
      </c>
      <c r="X1461">
        <v>561.75652173912999</v>
      </c>
      <c r="Y1461">
        <v>65.060869565217402</v>
      </c>
      <c r="Z1461">
        <v>279.75652173912999</v>
      </c>
      <c r="AA1461">
        <v>561.75652173912999</v>
      </c>
      <c r="AB1461">
        <v>17.399480829653498</v>
      </c>
      <c r="AC1461">
        <v>9.4347307507110009E-3</v>
      </c>
      <c r="AD1461">
        <v>0.89370765385420403</v>
      </c>
      <c r="AE1461">
        <v>0.52881294488906905</v>
      </c>
      <c r="AF1461">
        <v>234.94956521739101</v>
      </c>
      <c r="AG1461">
        <f>IFERROR(AH1461*0.1, "N/A")</f>
        <v>5.7</v>
      </c>
      <c r="AH1461">
        <v>57</v>
      </c>
      <c r="AI1461">
        <v>117.75315643974</v>
      </c>
      <c r="AJ1461">
        <v>21.706086956521698</v>
      </c>
      <c r="AK1461">
        <v>57.587826086956497</v>
      </c>
    </row>
    <row r="1462" spans="1:37" x14ac:dyDescent="0.3">
      <c r="A1462">
        <v>1461</v>
      </c>
      <c r="B1462">
        <v>0</v>
      </c>
      <c r="C1462">
        <v>1.0212699999999999</v>
      </c>
      <c r="D1462">
        <v>7.4823000000000004</v>
      </c>
      <c r="E1462" t="s">
        <v>2577</v>
      </c>
      <c r="F1462" t="s">
        <v>2579</v>
      </c>
      <c r="G1462" t="s">
        <v>37</v>
      </c>
      <c r="H1462">
        <v>1999</v>
      </c>
      <c r="I1462">
        <v>26.606087361211401</v>
      </c>
      <c r="J1462">
        <v>10.3999996185303</v>
      </c>
      <c r="K1462">
        <v>72.939130434782598</v>
      </c>
      <c r="L1462">
        <v>11.992348057290799</v>
      </c>
      <c r="M1462">
        <v>34.906088389521102</v>
      </c>
      <c r="N1462">
        <v>20.793912373418401</v>
      </c>
      <c r="O1462">
        <v>14.1121742829033</v>
      </c>
      <c r="P1462">
        <v>24.912173578013501</v>
      </c>
      <c r="Q1462">
        <v>27</v>
      </c>
      <c r="R1462">
        <v>28.106087361211401</v>
      </c>
      <c r="S1462">
        <v>24.912173578013501</v>
      </c>
      <c r="T1462">
        <v>1400.3913043478301</v>
      </c>
      <c r="U1462">
        <v>206.93913043478301</v>
      </c>
      <c r="V1462">
        <v>15</v>
      </c>
      <c r="W1462">
        <v>59</v>
      </c>
      <c r="X1462">
        <v>561.75652173912999</v>
      </c>
      <c r="Y1462">
        <v>65.060869565217402</v>
      </c>
      <c r="Z1462">
        <v>279.75652173912999</v>
      </c>
      <c r="AA1462">
        <v>561.75652173912999</v>
      </c>
      <c r="AB1462">
        <v>17.399480829653498</v>
      </c>
      <c r="AC1462">
        <v>9.4347307507110009E-3</v>
      </c>
      <c r="AD1462">
        <v>0.89370765385420403</v>
      </c>
      <c r="AE1462">
        <v>0.52881294488906905</v>
      </c>
      <c r="AF1462">
        <v>234.94956521739101</v>
      </c>
      <c r="AG1462">
        <f>IFERROR(AH1462*0.1, "N/A")</f>
        <v>5.7</v>
      </c>
      <c r="AH1462">
        <v>57</v>
      </c>
      <c r="AI1462">
        <v>117.75315643974</v>
      </c>
      <c r="AJ1462">
        <v>21.706086956521698</v>
      </c>
      <c r="AK1462">
        <v>57.587826086956497</v>
      </c>
    </row>
    <row r="1463" spans="1:37" x14ac:dyDescent="0.3">
      <c r="A1463">
        <v>1462</v>
      </c>
      <c r="B1463">
        <v>59</v>
      </c>
      <c r="C1463">
        <v>1.44424</v>
      </c>
      <c r="D1463">
        <v>7.53132</v>
      </c>
      <c r="E1463" t="s">
        <v>2580</v>
      </c>
      <c r="F1463" t="s">
        <v>2581</v>
      </c>
      <c r="G1463" t="s">
        <v>39</v>
      </c>
      <c r="H1463">
        <v>1999</v>
      </c>
      <c r="I1463">
        <v>27</v>
      </c>
      <c r="J1463">
        <v>10.6000003814697</v>
      </c>
      <c r="K1463">
        <v>73</v>
      </c>
      <c r="L1463">
        <v>11.8500003814697</v>
      </c>
      <c r="M1463">
        <v>35.299999237060497</v>
      </c>
      <c r="N1463">
        <v>20.799999237060501</v>
      </c>
      <c r="O1463">
        <v>14.5</v>
      </c>
      <c r="P1463">
        <v>25.399999618530298</v>
      </c>
      <c r="Q1463">
        <v>27.600000381469702</v>
      </c>
      <c r="R1463">
        <v>28.600000381469702</v>
      </c>
      <c r="S1463">
        <v>25.399999618530298</v>
      </c>
      <c r="T1463">
        <v>1044</v>
      </c>
      <c r="U1463">
        <v>154</v>
      </c>
      <c r="V1463">
        <v>8</v>
      </c>
      <c r="W1463">
        <v>63</v>
      </c>
      <c r="X1463">
        <v>433</v>
      </c>
      <c r="Y1463">
        <v>40</v>
      </c>
      <c r="Z1463">
        <v>196</v>
      </c>
      <c r="AA1463">
        <v>433</v>
      </c>
      <c r="AB1463">
        <v>2.7539001147503299</v>
      </c>
      <c r="AC1463">
        <v>1.0901541625209299</v>
      </c>
      <c r="AD1463">
        <v>2.28349512020058</v>
      </c>
      <c r="AE1463">
        <v>0.58406106665394697</v>
      </c>
      <c r="AF1463">
        <v>140.053726169844</v>
      </c>
      <c r="AG1463">
        <f>IFERROR(AH1463*0.1, "N/A")</f>
        <v>5.5119584055459301</v>
      </c>
      <c r="AH1463">
        <v>55.119584055459299</v>
      </c>
      <c r="AI1463">
        <v>59.776845148572498</v>
      </c>
      <c r="AJ1463">
        <v>23.757365684575401</v>
      </c>
      <c r="AK1463">
        <v>51.2027729636049</v>
      </c>
    </row>
    <row r="1464" spans="1:37" x14ac:dyDescent="0.3">
      <c r="A1464">
        <v>1463</v>
      </c>
      <c r="B1464">
        <v>1</v>
      </c>
      <c r="C1464">
        <v>1.44424</v>
      </c>
      <c r="D1464">
        <v>7.53132</v>
      </c>
      <c r="E1464" t="s">
        <v>2580</v>
      </c>
      <c r="F1464" t="s">
        <v>2582</v>
      </c>
      <c r="G1464" t="s">
        <v>37</v>
      </c>
      <c r="H1464">
        <v>1999</v>
      </c>
      <c r="I1464">
        <v>27</v>
      </c>
      <c r="J1464">
        <v>10.6000003814697</v>
      </c>
      <c r="K1464">
        <v>73</v>
      </c>
      <c r="L1464">
        <v>11.8500003814697</v>
      </c>
      <c r="M1464">
        <v>35.299999237060497</v>
      </c>
      <c r="N1464">
        <v>20.799999237060501</v>
      </c>
      <c r="O1464">
        <v>14.5</v>
      </c>
      <c r="P1464">
        <v>25.399999618530298</v>
      </c>
      <c r="Q1464">
        <v>27.600000381469702</v>
      </c>
      <c r="R1464">
        <v>28.600000381469702</v>
      </c>
      <c r="S1464">
        <v>25.399999618530298</v>
      </c>
      <c r="T1464">
        <v>1044</v>
      </c>
      <c r="U1464">
        <v>154</v>
      </c>
      <c r="V1464">
        <v>8</v>
      </c>
      <c r="W1464">
        <v>63</v>
      </c>
      <c r="X1464">
        <v>433</v>
      </c>
      <c r="Y1464">
        <v>40</v>
      </c>
      <c r="Z1464">
        <v>196</v>
      </c>
      <c r="AA1464">
        <v>433</v>
      </c>
      <c r="AB1464">
        <v>2.7539001147503299</v>
      </c>
      <c r="AC1464">
        <v>1.0901541625209299</v>
      </c>
      <c r="AD1464">
        <v>2.28349512020058</v>
      </c>
      <c r="AE1464">
        <v>0.58406106665394697</v>
      </c>
      <c r="AF1464">
        <v>140.053726169844</v>
      </c>
      <c r="AG1464">
        <f>IFERROR(AH1464*0.1, "N/A")</f>
        <v>5.5119584055459301</v>
      </c>
      <c r="AH1464">
        <v>55.119584055459299</v>
      </c>
      <c r="AI1464">
        <v>59.776845148572498</v>
      </c>
      <c r="AJ1464">
        <v>23.757365684575401</v>
      </c>
      <c r="AK1464">
        <v>51.2027729636049</v>
      </c>
    </row>
    <row r="1465" spans="1:37" x14ac:dyDescent="0.3">
      <c r="A1465">
        <v>1464</v>
      </c>
      <c r="B1465">
        <v>52</v>
      </c>
      <c r="C1465">
        <v>0.82901000000000002</v>
      </c>
      <c r="D1465">
        <v>7.7028299999999996</v>
      </c>
      <c r="E1465" t="s">
        <v>2583</v>
      </c>
      <c r="F1465" t="s">
        <v>2584</v>
      </c>
      <c r="G1465" t="s">
        <v>39</v>
      </c>
      <c r="H1465">
        <v>1999</v>
      </c>
      <c r="I1465">
        <v>23.799999237060501</v>
      </c>
      <c r="J1465">
        <v>10.6000003814697</v>
      </c>
      <c r="K1465">
        <v>74</v>
      </c>
      <c r="L1465">
        <v>12.310000419616699</v>
      </c>
      <c r="M1465">
        <v>32.099998474121101</v>
      </c>
      <c r="N1465">
        <v>17.899999618530298</v>
      </c>
      <c r="O1465">
        <v>14.199999809265099</v>
      </c>
      <c r="P1465">
        <v>22</v>
      </c>
      <c r="Q1465">
        <v>24.399999618530298</v>
      </c>
      <c r="R1465">
        <v>25.200000762939499</v>
      </c>
      <c r="S1465">
        <v>22</v>
      </c>
      <c r="T1465">
        <v>1463</v>
      </c>
      <c r="U1465">
        <v>257</v>
      </c>
      <c r="V1465">
        <v>11</v>
      </c>
      <c r="W1465">
        <v>68</v>
      </c>
      <c r="X1465">
        <v>652</v>
      </c>
      <c r="Y1465">
        <v>45</v>
      </c>
      <c r="Z1465">
        <v>271</v>
      </c>
      <c r="AA1465">
        <v>652</v>
      </c>
      <c r="AB1465">
        <v>10.920840369330501</v>
      </c>
      <c r="AC1465">
        <v>2.7152309606511001E-2</v>
      </c>
      <c r="AD1465">
        <v>3.6923959644304398</v>
      </c>
      <c r="AE1465">
        <v>0.22584210186161899</v>
      </c>
      <c r="AF1465">
        <v>635.116319444444</v>
      </c>
      <c r="AG1465">
        <f>IFERROR(AH1465*0.1, "N/A")</f>
        <v>5.40625</v>
      </c>
      <c r="AH1465">
        <v>54.0625</v>
      </c>
      <c r="AI1465">
        <v>199.00616349114301</v>
      </c>
      <c r="AJ1465">
        <v>23.9079861111111</v>
      </c>
      <c r="AK1465">
        <v>57.9895833333333</v>
      </c>
    </row>
    <row r="1466" spans="1:37" x14ac:dyDescent="0.3">
      <c r="A1466">
        <v>1465</v>
      </c>
      <c r="B1466">
        <v>8</v>
      </c>
      <c r="C1466">
        <v>0.82901000000000002</v>
      </c>
      <c r="D1466">
        <v>7.7028299999999996</v>
      </c>
      <c r="E1466" t="s">
        <v>2583</v>
      </c>
      <c r="F1466" t="s">
        <v>2585</v>
      </c>
      <c r="G1466" t="s">
        <v>37</v>
      </c>
      <c r="H1466">
        <v>1999</v>
      </c>
      <c r="I1466">
        <v>23.799999237060501</v>
      </c>
      <c r="J1466">
        <v>10.6000003814697</v>
      </c>
      <c r="K1466">
        <v>74</v>
      </c>
      <c r="L1466">
        <v>12.310000419616699</v>
      </c>
      <c r="M1466">
        <v>32.099998474121101</v>
      </c>
      <c r="N1466">
        <v>17.899999618530298</v>
      </c>
      <c r="O1466">
        <v>14.199999809265099</v>
      </c>
      <c r="P1466">
        <v>22</v>
      </c>
      <c r="Q1466">
        <v>24.399999618530298</v>
      </c>
      <c r="R1466">
        <v>25.200000762939499</v>
      </c>
      <c r="S1466">
        <v>22</v>
      </c>
      <c r="T1466">
        <v>1463</v>
      </c>
      <c r="U1466">
        <v>257</v>
      </c>
      <c r="V1466">
        <v>11</v>
      </c>
      <c r="W1466">
        <v>68</v>
      </c>
      <c r="X1466">
        <v>652</v>
      </c>
      <c r="Y1466">
        <v>45</v>
      </c>
      <c r="Z1466">
        <v>271</v>
      </c>
      <c r="AA1466">
        <v>652</v>
      </c>
      <c r="AB1466">
        <v>10.920840369330501</v>
      </c>
      <c r="AC1466">
        <v>2.7152309606511001E-2</v>
      </c>
      <c r="AD1466">
        <v>3.6923959644304398</v>
      </c>
      <c r="AE1466">
        <v>0.22584210186161899</v>
      </c>
      <c r="AF1466">
        <v>635.116319444444</v>
      </c>
      <c r="AG1466">
        <f>IFERROR(AH1466*0.1, "N/A")</f>
        <v>5.40625</v>
      </c>
      <c r="AH1466">
        <v>54.0625</v>
      </c>
      <c r="AI1466">
        <v>199.00616349114301</v>
      </c>
      <c r="AJ1466">
        <v>23.9079861111111</v>
      </c>
      <c r="AK1466">
        <v>57.9895833333333</v>
      </c>
    </row>
    <row r="1467" spans="1:37" x14ac:dyDescent="0.3">
      <c r="A1467">
        <v>1466</v>
      </c>
      <c r="B1467">
        <v>31</v>
      </c>
      <c r="C1467">
        <v>0.983348</v>
      </c>
      <c r="D1467">
        <v>8.3168199999999999</v>
      </c>
      <c r="E1467" t="s">
        <v>2586</v>
      </c>
      <c r="F1467" t="s">
        <v>2587</v>
      </c>
      <c r="G1467" t="s">
        <v>39</v>
      </c>
      <c r="H1467">
        <v>1999</v>
      </c>
      <c r="I1467">
        <v>26.5232236587815</v>
      </c>
      <c r="J1467">
        <v>11.4694972839884</v>
      </c>
      <c r="K1467">
        <v>70</v>
      </c>
      <c r="L1467">
        <v>13.027417551500101</v>
      </c>
      <c r="M1467">
        <v>35.523223215827102</v>
      </c>
      <c r="N1467">
        <v>19.253726555941601</v>
      </c>
      <c r="O1467">
        <v>16.2694971028399</v>
      </c>
      <c r="P1467">
        <v>24.792720318667001</v>
      </c>
      <c r="Q1467">
        <v>26.746447637548101</v>
      </c>
      <c r="R1467">
        <v>28.292720318667001</v>
      </c>
      <c r="S1467">
        <v>24.792720318667001</v>
      </c>
      <c r="T1467">
        <v>1185.72097053726</v>
      </c>
      <c r="U1467">
        <v>201.694974003466</v>
      </c>
      <c r="V1467">
        <v>6</v>
      </c>
      <c r="W1467">
        <v>74.767764298093596</v>
      </c>
      <c r="X1467">
        <v>594.51819757365695</v>
      </c>
      <c r="Y1467">
        <v>23</v>
      </c>
      <c r="Z1467">
        <v>176.305025996534</v>
      </c>
      <c r="AA1467">
        <v>594.51819757365695</v>
      </c>
      <c r="AB1467">
        <v>2.9280836082207302</v>
      </c>
      <c r="AC1467">
        <v>2.2706850936678298</v>
      </c>
      <c r="AD1467">
        <v>1.6630603827058299</v>
      </c>
      <c r="AE1467">
        <v>0.64968103170394897</v>
      </c>
      <c r="AF1467">
        <v>288.452339688042</v>
      </c>
      <c r="AG1467">
        <f>IFERROR(AH1467*0.1, "N/A")</f>
        <v>6.0282495667244405</v>
      </c>
      <c r="AH1467">
        <v>60.282495667244397</v>
      </c>
      <c r="AI1467">
        <v>169.10858662041699</v>
      </c>
      <c r="AJ1467">
        <v>19.256499133448902</v>
      </c>
      <c r="AK1467">
        <v>57.899480069324099</v>
      </c>
    </row>
    <row r="1468" spans="1:37" x14ac:dyDescent="0.3">
      <c r="A1468">
        <v>1467</v>
      </c>
      <c r="B1468">
        <v>10</v>
      </c>
      <c r="C1468">
        <v>0.983348</v>
      </c>
      <c r="D1468">
        <v>8.3168199999999999</v>
      </c>
      <c r="E1468" t="s">
        <v>2586</v>
      </c>
      <c r="F1468" t="s">
        <v>2588</v>
      </c>
      <c r="G1468" t="s">
        <v>37</v>
      </c>
      <c r="H1468">
        <v>1999</v>
      </c>
      <c r="I1468">
        <v>26.5232236587815</v>
      </c>
      <c r="J1468">
        <v>11.4694972839884</v>
      </c>
      <c r="K1468">
        <v>70</v>
      </c>
      <c r="L1468">
        <v>13.027417551500101</v>
      </c>
      <c r="M1468">
        <v>35.523223215827102</v>
      </c>
      <c r="N1468">
        <v>19.253726555941601</v>
      </c>
      <c r="O1468">
        <v>16.2694971028399</v>
      </c>
      <c r="P1468">
        <v>24.792720318667001</v>
      </c>
      <c r="Q1468">
        <v>26.746447637548101</v>
      </c>
      <c r="R1468">
        <v>28.292720318667001</v>
      </c>
      <c r="S1468">
        <v>24.792720318667001</v>
      </c>
      <c r="T1468">
        <v>1185.72097053726</v>
      </c>
      <c r="U1468">
        <v>201.694974003466</v>
      </c>
      <c r="V1468">
        <v>6</v>
      </c>
      <c r="W1468">
        <v>74.767764298093596</v>
      </c>
      <c r="X1468">
        <v>594.51819757365695</v>
      </c>
      <c r="Y1468">
        <v>23</v>
      </c>
      <c r="Z1468">
        <v>176.305025996534</v>
      </c>
      <c r="AA1468">
        <v>594.51819757365695</v>
      </c>
      <c r="AB1468">
        <v>2.9280836082207302</v>
      </c>
      <c r="AC1468">
        <v>2.2706850936678298</v>
      </c>
      <c r="AD1468">
        <v>1.6630603827058299</v>
      </c>
      <c r="AE1468">
        <v>0.64968103170394897</v>
      </c>
      <c r="AF1468">
        <v>288.452339688042</v>
      </c>
      <c r="AG1468">
        <f>IFERROR(AH1468*0.1, "N/A")</f>
        <v>6.0282495667244405</v>
      </c>
      <c r="AH1468">
        <v>60.282495667244397</v>
      </c>
      <c r="AI1468">
        <v>169.10858662041699</v>
      </c>
      <c r="AJ1468">
        <v>19.256499133448902</v>
      </c>
      <c r="AK1468">
        <v>57.899480069324099</v>
      </c>
    </row>
    <row r="1469" spans="1:37" x14ac:dyDescent="0.3">
      <c r="A1469">
        <v>1468</v>
      </c>
      <c r="B1469">
        <v>64.599997999999999</v>
      </c>
      <c r="C1469">
        <v>0.98341900000000004</v>
      </c>
      <c r="D1469">
        <v>8.5669299999999993</v>
      </c>
      <c r="E1469" t="s">
        <v>2589</v>
      </c>
      <c r="F1469" t="s">
        <v>2590</v>
      </c>
      <c r="G1469" t="s">
        <v>39</v>
      </c>
      <c r="H1469">
        <v>1999</v>
      </c>
      <c r="I1469">
        <v>26.164125409448602</v>
      </c>
      <c r="J1469">
        <v>11.800000190734901</v>
      </c>
      <c r="K1469">
        <v>69.053726169843998</v>
      </c>
      <c r="L1469">
        <v>13.4984228656445</v>
      </c>
      <c r="M1469">
        <v>35.358752953117801</v>
      </c>
      <c r="N1469">
        <v>18.464124646509099</v>
      </c>
      <c r="O1469">
        <v>16.894626981051001</v>
      </c>
      <c r="P1469">
        <v>24.364124265039401</v>
      </c>
      <c r="Q1469">
        <v>26.294626702055801</v>
      </c>
      <c r="R1469">
        <v>27.994627362520699</v>
      </c>
      <c r="S1469">
        <v>24.364124265039401</v>
      </c>
      <c r="T1469">
        <v>1236.1299826689799</v>
      </c>
      <c r="U1469">
        <v>232.358752166378</v>
      </c>
      <c r="V1469">
        <v>7</v>
      </c>
      <c r="W1469">
        <v>80.6949740034662</v>
      </c>
      <c r="X1469">
        <v>669.41247833622197</v>
      </c>
      <c r="Y1469">
        <v>24.358752166377801</v>
      </c>
      <c r="Z1469">
        <v>160.358752166378</v>
      </c>
      <c r="AA1469">
        <v>669.41247833622197</v>
      </c>
      <c r="AB1469">
        <v>6.7129868320617199</v>
      </c>
      <c r="AC1469">
        <v>1.2644937754232999E-2</v>
      </c>
      <c r="AD1469">
        <v>2.7516616700633598</v>
      </c>
      <c r="AE1469">
        <v>0.59120117275099204</v>
      </c>
      <c r="AF1469">
        <v>373.34662045060702</v>
      </c>
      <c r="AG1469">
        <f>IFERROR(AH1469*0.1, "N/A")</f>
        <v>5.86100519930676</v>
      </c>
      <c r="AH1469">
        <v>58.6100519930676</v>
      </c>
      <c r="AI1469">
        <v>66.461444206832795</v>
      </c>
      <c r="AJ1469">
        <v>21</v>
      </c>
      <c r="AK1469">
        <v>62.3899480069324</v>
      </c>
    </row>
    <row r="1470" spans="1:37" x14ac:dyDescent="0.3">
      <c r="A1470">
        <v>1469</v>
      </c>
      <c r="B1470">
        <v>0</v>
      </c>
      <c r="C1470">
        <v>0.98341900000000004</v>
      </c>
      <c r="D1470">
        <v>8.5669299999999993</v>
      </c>
      <c r="E1470" t="s">
        <v>2589</v>
      </c>
      <c r="F1470" t="s">
        <v>2591</v>
      </c>
      <c r="G1470" t="s">
        <v>37</v>
      </c>
      <c r="H1470">
        <v>1999</v>
      </c>
      <c r="I1470">
        <v>26.164125409448602</v>
      </c>
      <c r="J1470">
        <v>11.800000190734901</v>
      </c>
      <c r="K1470">
        <v>69.053726169843998</v>
      </c>
      <c r="L1470">
        <v>13.4984228656445</v>
      </c>
      <c r="M1470">
        <v>35.358752953117801</v>
      </c>
      <c r="N1470">
        <v>18.464124646509099</v>
      </c>
      <c r="O1470">
        <v>16.894626981051001</v>
      </c>
      <c r="P1470">
        <v>24.364124265039401</v>
      </c>
      <c r="Q1470">
        <v>26.294626702055801</v>
      </c>
      <c r="R1470">
        <v>27.994627362520699</v>
      </c>
      <c r="S1470">
        <v>24.364124265039401</v>
      </c>
      <c r="T1470">
        <v>1236.1299826689799</v>
      </c>
      <c r="U1470">
        <v>232.358752166378</v>
      </c>
      <c r="V1470">
        <v>7</v>
      </c>
      <c r="W1470">
        <v>80.6949740034662</v>
      </c>
      <c r="X1470">
        <v>669.41247833622197</v>
      </c>
      <c r="Y1470">
        <v>24.358752166377801</v>
      </c>
      <c r="Z1470">
        <v>160.358752166378</v>
      </c>
      <c r="AA1470">
        <v>669.41247833622197</v>
      </c>
      <c r="AB1470">
        <v>6.7129868320617199</v>
      </c>
      <c r="AC1470">
        <v>1.2644937754232999E-2</v>
      </c>
      <c r="AD1470">
        <v>2.7516616700633598</v>
      </c>
      <c r="AE1470">
        <v>0.59120117275099204</v>
      </c>
      <c r="AF1470">
        <v>373.34662045060702</v>
      </c>
      <c r="AG1470">
        <f>IFERROR(AH1470*0.1, "N/A")</f>
        <v>5.86100519930676</v>
      </c>
      <c r="AH1470">
        <v>58.6100519930676</v>
      </c>
      <c r="AI1470">
        <v>66.461444206832795</v>
      </c>
      <c r="AJ1470">
        <v>21</v>
      </c>
      <c r="AK1470">
        <v>62.3899480069324</v>
      </c>
    </row>
    <row r="1471" spans="1:37" x14ac:dyDescent="0.3">
      <c r="A1471">
        <v>1470</v>
      </c>
      <c r="B1471">
        <v>36</v>
      </c>
      <c r="C1471">
        <v>1.13548</v>
      </c>
      <c r="D1471">
        <v>8.9244199999999996</v>
      </c>
      <c r="E1471" t="s">
        <v>2592</v>
      </c>
      <c r="F1471" t="s">
        <v>2593</v>
      </c>
      <c r="G1471" t="s">
        <v>39</v>
      </c>
      <c r="H1471">
        <v>1999</v>
      </c>
      <c r="I1471">
        <v>26.224007305086001</v>
      </c>
      <c r="J1471">
        <v>12.375992847436001</v>
      </c>
      <c r="K1471">
        <v>66.759930915371299</v>
      </c>
      <c r="L1471">
        <v>12.220017118569301</v>
      </c>
      <c r="M1471">
        <v>35.548014000083903</v>
      </c>
      <c r="N1471">
        <v>17.048014000083899</v>
      </c>
      <c r="O1471">
        <v>18.5</v>
      </c>
      <c r="P1471">
        <v>24.799999237060501</v>
      </c>
      <c r="Q1471">
        <v>25.824006237102498</v>
      </c>
      <c r="R1471">
        <v>28.024007000041902</v>
      </c>
      <c r="S1471">
        <v>24.799999237060501</v>
      </c>
      <c r="T1471">
        <v>1314.75993091537</v>
      </c>
      <c r="U1471">
        <v>243.759930915371</v>
      </c>
      <c r="V1471">
        <v>5</v>
      </c>
      <c r="W1471">
        <v>80</v>
      </c>
      <c r="X1471">
        <v>700.759930915371</v>
      </c>
      <c r="Y1471">
        <v>24</v>
      </c>
      <c r="Z1471">
        <v>169</v>
      </c>
      <c r="AA1471">
        <v>700.759930915371</v>
      </c>
      <c r="AB1471">
        <v>5.6003630906600801</v>
      </c>
      <c r="AC1471">
        <v>3.3289788937476E-2</v>
      </c>
      <c r="AD1471">
        <v>2.49466848352824</v>
      </c>
      <c r="AE1471">
        <v>0.24771437005160801</v>
      </c>
      <c r="AF1471">
        <v>356.46113989637303</v>
      </c>
      <c r="AG1471">
        <f>IFERROR(AH1471*0.1, "N/A")</f>
        <v>5.7516407599309103</v>
      </c>
      <c r="AH1471">
        <v>57.516407599309098</v>
      </c>
      <c r="AI1471">
        <v>320.77800397592898</v>
      </c>
      <c r="AJ1471">
        <v>13.9671848013817</v>
      </c>
      <c r="AK1471">
        <v>68.082901554404103</v>
      </c>
    </row>
    <row r="1472" spans="1:37" x14ac:dyDescent="0.3">
      <c r="A1472">
        <v>1471</v>
      </c>
      <c r="B1472">
        <v>39</v>
      </c>
      <c r="C1472">
        <v>1.4165399999999999</v>
      </c>
      <c r="D1472">
        <v>9.0335300000000007</v>
      </c>
      <c r="E1472" t="s">
        <v>2594</v>
      </c>
      <c r="F1472" t="s">
        <v>2595</v>
      </c>
      <c r="G1472" t="s">
        <v>39</v>
      </c>
      <c r="H1472">
        <v>1999</v>
      </c>
      <c r="I1472">
        <v>26.557143075125602</v>
      </c>
      <c r="J1472">
        <v>12.3999996185303</v>
      </c>
      <c r="K1472">
        <v>69</v>
      </c>
      <c r="L1472">
        <v>14.6954218902194</v>
      </c>
      <c r="M1472">
        <v>36.257142748151502</v>
      </c>
      <c r="N1472">
        <v>18.424096095992901</v>
      </c>
      <c r="O1472">
        <v>17.833045834723499</v>
      </c>
      <c r="P1472">
        <v>24.5</v>
      </c>
      <c r="Q1472">
        <v>26.857142312186099</v>
      </c>
      <c r="R1472">
        <v>28.457142693655801</v>
      </c>
      <c r="S1472">
        <v>24.5</v>
      </c>
      <c r="T1472">
        <v>1217.47504302926</v>
      </c>
      <c r="U1472">
        <v>232.759036144578</v>
      </c>
      <c r="V1472">
        <v>1</v>
      </c>
      <c r="W1472">
        <v>83</v>
      </c>
      <c r="X1472">
        <v>666.27710843373495</v>
      </c>
      <c r="Y1472">
        <v>13</v>
      </c>
      <c r="Z1472">
        <v>145.18760757314999</v>
      </c>
      <c r="AA1472">
        <v>666.27710843373495</v>
      </c>
      <c r="AB1472">
        <v>7.4025763349155502</v>
      </c>
      <c r="AC1472">
        <v>9.1808137984020002E-2</v>
      </c>
      <c r="AD1472">
        <v>1.58535365147353</v>
      </c>
      <c r="AE1472">
        <v>0.67598074674606301</v>
      </c>
      <c r="AF1472">
        <v>355.068846815835</v>
      </c>
      <c r="AG1472">
        <f>IFERROR(AH1472*0.1, "N/A")</f>
        <v>5.7421686746988003</v>
      </c>
      <c r="AH1472">
        <v>57.421686746988001</v>
      </c>
      <c r="AI1472">
        <v>45.681607953857799</v>
      </c>
      <c r="AJ1472">
        <v>14.4182444061962</v>
      </c>
      <c r="AK1472">
        <v>67.163511187607597</v>
      </c>
    </row>
    <row r="1473" spans="1:37" x14ac:dyDescent="0.3">
      <c r="A1473">
        <v>1472</v>
      </c>
      <c r="B1473">
        <v>0</v>
      </c>
      <c r="C1473">
        <v>1.4165399999999999</v>
      </c>
      <c r="D1473">
        <v>9.0335300000000007</v>
      </c>
      <c r="E1473" t="s">
        <v>2594</v>
      </c>
      <c r="F1473" t="s">
        <v>2596</v>
      </c>
      <c r="G1473" t="s">
        <v>37</v>
      </c>
      <c r="H1473">
        <v>1999</v>
      </c>
      <c r="I1473">
        <v>26.557143075125602</v>
      </c>
      <c r="J1473">
        <v>12.3999996185303</v>
      </c>
      <c r="K1473">
        <v>69</v>
      </c>
      <c r="L1473">
        <v>14.6954218902194</v>
      </c>
      <c r="M1473">
        <v>36.257142748151502</v>
      </c>
      <c r="N1473">
        <v>18.424096095992901</v>
      </c>
      <c r="O1473">
        <v>17.833045834723499</v>
      </c>
      <c r="P1473">
        <v>24.5</v>
      </c>
      <c r="Q1473">
        <v>26.857142312186099</v>
      </c>
      <c r="R1473">
        <v>28.457142693655801</v>
      </c>
      <c r="S1473">
        <v>24.5</v>
      </c>
      <c r="T1473">
        <v>1217.47504302926</v>
      </c>
      <c r="U1473">
        <v>232.759036144578</v>
      </c>
      <c r="V1473">
        <v>1</v>
      </c>
      <c r="W1473">
        <v>83</v>
      </c>
      <c r="X1473">
        <v>666.27710843373495</v>
      </c>
      <c r="Y1473">
        <v>13</v>
      </c>
      <c r="Z1473">
        <v>145.18760757314999</v>
      </c>
      <c r="AA1473">
        <v>666.27710843373495</v>
      </c>
      <c r="AB1473">
        <v>7.4025763349155502</v>
      </c>
      <c r="AC1473">
        <v>9.1808137984020002E-2</v>
      </c>
      <c r="AD1473">
        <v>1.58535365147353</v>
      </c>
      <c r="AE1473">
        <v>0.67598074674606301</v>
      </c>
      <c r="AF1473">
        <v>355.068846815835</v>
      </c>
      <c r="AG1473">
        <f>IFERROR(AH1473*0.1, "N/A")</f>
        <v>5.7421686746988003</v>
      </c>
      <c r="AH1473">
        <v>57.421686746988001</v>
      </c>
      <c r="AI1473">
        <v>45.681607953857799</v>
      </c>
      <c r="AJ1473">
        <v>14.4182444061962</v>
      </c>
      <c r="AK1473">
        <v>67.163511187607597</v>
      </c>
    </row>
    <row r="1474" spans="1:37" x14ac:dyDescent="0.3">
      <c r="A1474">
        <v>1473</v>
      </c>
      <c r="B1474">
        <v>5.6</v>
      </c>
      <c r="C1474">
        <v>0.77708200000000005</v>
      </c>
      <c r="D1474">
        <v>9.2613900000000005</v>
      </c>
      <c r="E1474" t="s">
        <v>2597</v>
      </c>
      <c r="F1474" t="s">
        <v>2598</v>
      </c>
      <c r="G1474" t="s">
        <v>39</v>
      </c>
      <c r="H1474">
        <v>1999</v>
      </c>
      <c r="I1474">
        <v>26.799999237060501</v>
      </c>
      <c r="J1474">
        <v>12.300000190734901</v>
      </c>
      <c r="K1474">
        <v>69</v>
      </c>
      <c r="L1474">
        <v>14.819999694824199</v>
      </c>
      <c r="M1474">
        <v>36.5</v>
      </c>
      <c r="N1474">
        <v>18.700000762939499</v>
      </c>
      <c r="O1474">
        <v>17.799999237060501</v>
      </c>
      <c r="P1474">
        <v>24.899999618530298</v>
      </c>
      <c r="Q1474">
        <v>27.5</v>
      </c>
      <c r="R1474">
        <v>28.799999237060501</v>
      </c>
      <c r="S1474">
        <v>24.899999618530298</v>
      </c>
      <c r="T1474">
        <v>1356</v>
      </c>
      <c r="U1474">
        <v>280</v>
      </c>
      <c r="V1474">
        <v>5</v>
      </c>
      <c r="W1474">
        <v>79</v>
      </c>
      <c r="X1474">
        <v>684</v>
      </c>
      <c r="Y1474">
        <v>27</v>
      </c>
      <c r="Z1474">
        <v>146</v>
      </c>
      <c r="AA1474">
        <v>684</v>
      </c>
      <c r="AB1474">
        <v>17.518793461240602</v>
      </c>
      <c r="AC1474">
        <v>2.0718332803969002E-2</v>
      </c>
      <c r="AD1474">
        <v>2.3509635577941799</v>
      </c>
      <c r="AE1474">
        <v>0.54970974541943696</v>
      </c>
      <c r="AF1474">
        <v>317.19310344827602</v>
      </c>
      <c r="AG1474">
        <f>IFERROR(AH1474*0.1, "N/A")</f>
        <v>6.0532758620689702</v>
      </c>
      <c r="AH1474">
        <v>60.532758620689698</v>
      </c>
      <c r="AI1474">
        <v>310.17092185184902</v>
      </c>
      <c r="AJ1474">
        <v>16.939655172413801</v>
      </c>
      <c r="AK1474">
        <v>63.139655172413804</v>
      </c>
    </row>
    <row r="1475" spans="1:37" x14ac:dyDescent="0.3">
      <c r="A1475">
        <v>1474</v>
      </c>
      <c r="B1475">
        <v>7.9</v>
      </c>
      <c r="C1475">
        <v>0.77708200000000005</v>
      </c>
      <c r="D1475">
        <v>9.2613900000000005</v>
      </c>
      <c r="E1475" t="s">
        <v>2597</v>
      </c>
      <c r="F1475" t="s">
        <v>2599</v>
      </c>
      <c r="G1475" t="s">
        <v>37</v>
      </c>
      <c r="H1475">
        <v>1999</v>
      </c>
      <c r="I1475">
        <v>26.799999237060501</v>
      </c>
      <c r="J1475">
        <v>12.300000190734901</v>
      </c>
      <c r="K1475">
        <v>69</v>
      </c>
      <c r="L1475">
        <v>14.819999694824199</v>
      </c>
      <c r="M1475">
        <v>36.5</v>
      </c>
      <c r="N1475">
        <v>18.700000762939499</v>
      </c>
      <c r="O1475">
        <v>17.799999237060501</v>
      </c>
      <c r="P1475">
        <v>24.899999618530298</v>
      </c>
      <c r="Q1475">
        <v>27.5</v>
      </c>
      <c r="R1475">
        <v>28.799999237060501</v>
      </c>
      <c r="S1475">
        <v>24.899999618530298</v>
      </c>
      <c r="T1475">
        <v>1356</v>
      </c>
      <c r="U1475">
        <v>280</v>
      </c>
      <c r="V1475">
        <v>5</v>
      </c>
      <c r="W1475">
        <v>79</v>
      </c>
      <c r="X1475">
        <v>684</v>
      </c>
      <c r="Y1475">
        <v>27</v>
      </c>
      <c r="Z1475">
        <v>146</v>
      </c>
      <c r="AA1475">
        <v>684</v>
      </c>
      <c r="AB1475">
        <v>17.518793461240602</v>
      </c>
      <c r="AC1475">
        <v>2.0718332803969002E-2</v>
      </c>
      <c r="AD1475">
        <v>2.3509635577941799</v>
      </c>
      <c r="AE1475">
        <v>0.54970974541943696</v>
      </c>
      <c r="AF1475">
        <v>317.19310344827602</v>
      </c>
      <c r="AG1475">
        <f>IFERROR(AH1475*0.1, "N/A")</f>
        <v>6.0532758620689702</v>
      </c>
      <c r="AH1475">
        <v>60.532758620689698</v>
      </c>
      <c r="AI1475">
        <v>310.17092185184902</v>
      </c>
      <c r="AJ1475">
        <v>16.939655172413801</v>
      </c>
      <c r="AK1475">
        <v>63.139655172413804</v>
      </c>
    </row>
    <row r="1476" spans="1:37" x14ac:dyDescent="0.3">
      <c r="A1476">
        <v>1475</v>
      </c>
      <c r="B1476">
        <v>19</v>
      </c>
      <c r="C1476">
        <v>1.1726799999999999</v>
      </c>
      <c r="D1476">
        <v>9.3216999999999999</v>
      </c>
      <c r="E1476" t="s">
        <v>2600</v>
      </c>
      <c r="F1476" t="s">
        <v>2601</v>
      </c>
      <c r="G1476" t="s">
        <v>39</v>
      </c>
      <c r="H1476">
        <v>1999</v>
      </c>
      <c r="I1476">
        <v>25.700000762939499</v>
      </c>
      <c r="J1476">
        <v>12.5</v>
      </c>
      <c r="K1476">
        <v>69</v>
      </c>
      <c r="L1476">
        <v>15.079999923706101</v>
      </c>
      <c r="M1476">
        <v>35.599998474121101</v>
      </c>
      <c r="N1476">
        <v>17.5</v>
      </c>
      <c r="O1476">
        <v>18.100000381469702</v>
      </c>
      <c r="P1476">
        <v>23.600000381469702</v>
      </c>
      <c r="Q1476">
        <v>26.399999618530298</v>
      </c>
      <c r="R1476">
        <v>27.700000762939499</v>
      </c>
      <c r="S1476">
        <v>23.600000381469702</v>
      </c>
      <c r="T1476">
        <v>1386</v>
      </c>
      <c r="U1476">
        <v>260</v>
      </c>
      <c r="V1476">
        <v>3</v>
      </c>
      <c r="W1476">
        <v>83</v>
      </c>
      <c r="X1476">
        <v>756</v>
      </c>
      <c r="Y1476">
        <v>21</v>
      </c>
      <c r="Z1476">
        <v>160</v>
      </c>
      <c r="AA1476">
        <v>756</v>
      </c>
      <c r="AB1476">
        <v>12.7722402638402</v>
      </c>
      <c r="AC1476">
        <v>5.3940054424236002E-2</v>
      </c>
      <c r="AD1476">
        <v>3.1167654308779502</v>
      </c>
      <c r="AE1476">
        <v>0.34613227844238298</v>
      </c>
      <c r="AF1476">
        <v>484.41551724137901</v>
      </c>
      <c r="AG1476">
        <f>IFERROR(AH1476*0.1, "N/A")</f>
        <v>5.3936206896551706</v>
      </c>
      <c r="AH1476">
        <v>53.936206896551703</v>
      </c>
      <c r="AI1476">
        <v>305.82200643605199</v>
      </c>
      <c r="AJ1476">
        <v>21.244827586206899</v>
      </c>
      <c r="AK1476">
        <v>58.268965517241398</v>
      </c>
    </row>
    <row r="1477" spans="1:37" x14ac:dyDescent="0.3">
      <c r="A1477">
        <v>1476</v>
      </c>
      <c r="B1477">
        <v>3</v>
      </c>
      <c r="C1477">
        <v>1.1726799999999999</v>
      </c>
      <c r="D1477">
        <v>9.3216999999999999</v>
      </c>
      <c r="E1477" t="s">
        <v>2600</v>
      </c>
      <c r="F1477" t="s">
        <v>2602</v>
      </c>
      <c r="G1477" t="s">
        <v>37</v>
      </c>
      <c r="H1477">
        <v>1999</v>
      </c>
      <c r="I1477">
        <v>25.700000762939499</v>
      </c>
      <c r="J1477">
        <v>12.5</v>
      </c>
      <c r="K1477">
        <v>69</v>
      </c>
      <c r="L1477">
        <v>15.079999923706101</v>
      </c>
      <c r="M1477">
        <v>35.599998474121101</v>
      </c>
      <c r="N1477">
        <v>17.5</v>
      </c>
      <c r="O1477">
        <v>18.100000381469702</v>
      </c>
      <c r="P1477">
        <v>23.600000381469702</v>
      </c>
      <c r="Q1477">
        <v>26.399999618530298</v>
      </c>
      <c r="R1477">
        <v>27.700000762939499</v>
      </c>
      <c r="S1477">
        <v>23.600000381469702</v>
      </c>
      <c r="T1477">
        <v>1386</v>
      </c>
      <c r="U1477">
        <v>260</v>
      </c>
      <c r="V1477">
        <v>3</v>
      </c>
      <c r="W1477">
        <v>83</v>
      </c>
      <c r="X1477">
        <v>756</v>
      </c>
      <c r="Y1477">
        <v>21</v>
      </c>
      <c r="Z1477">
        <v>160</v>
      </c>
      <c r="AA1477">
        <v>756</v>
      </c>
      <c r="AB1477">
        <v>12.7722402638402</v>
      </c>
      <c r="AC1477">
        <v>5.3940054424236002E-2</v>
      </c>
      <c r="AD1477">
        <v>3.1167654308779502</v>
      </c>
      <c r="AE1477">
        <v>0.34613227844238298</v>
      </c>
      <c r="AF1477">
        <v>484.41551724137901</v>
      </c>
      <c r="AG1477">
        <f>IFERROR(AH1477*0.1, "N/A")</f>
        <v>5.3936206896551706</v>
      </c>
      <c r="AH1477">
        <v>53.936206896551703</v>
      </c>
      <c r="AI1477">
        <v>305.82200643605199</v>
      </c>
      <c r="AJ1477">
        <v>21.244827586206899</v>
      </c>
      <c r="AK1477">
        <v>58.268965517241398</v>
      </c>
    </row>
    <row r="1478" spans="1:37" x14ac:dyDescent="0.3">
      <c r="A1478">
        <v>1477</v>
      </c>
      <c r="B1478">
        <v>46</v>
      </c>
      <c r="C1478">
        <v>1.17394</v>
      </c>
      <c r="D1478">
        <v>9.5885599999999993</v>
      </c>
      <c r="E1478" t="s">
        <v>2603</v>
      </c>
      <c r="F1478" t="s">
        <v>2604</v>
      </c>
      <c r="G1478" t="s">
        <v>39</v>
      </c>
      <c r="H1478">
        <v>1999</v>
      </c>
      <c r="I1478">
        <v>27</v>
      </c>
      <c r="J1478">
        <v>12.699999809265099</v>
      </c>
      <c r="K1478">
        <v>69</v>
      </c>
      <c r="L1478">
        <v>15.7200002670288</v>
      </c>
      <c r="M1478">
        <v>37</v>
      </c>
      <c r="N1478">
        <v>18.600000381469702</v>
      </c>
      <c r="O1478">
        <v>18.399999618530298</v>
      </c>
      <c r="P1478">
        <v>24.899999618530298</v>
      </c>
      <c r="Q1478">
        <v>27.600000381469702</v>
      </c>
      <c r="R1478">
        <v>29.200000762939499</v>
      </c>
      <c r="S1478">
        <v>24.899999618530298</v>
      </c>
      <c r="T1478">
        <v>1306</v>
      </c>
      <c r="U1478">
        <v>253</v>
      </c>
      <c r="V1478">
        <v>1</v>
      </c>
      <c r="W1478">
        <v>86</v>
      </c>
      <c r="X1478">
        <v>729</v>
      </c>
      <c r="Y1478">
        <v>14</v>
      </c>
      <c r="Z1478">
        <v>132</v>
      </c>
      <c r="AA1478">
        <v>729</v>
      </c>
      <c r="AB1478">
        <v>1.3103591839884201</v>
      </c>
      <c r="AC1478">
        <v>14.8163435435733</v>
      </c>
      <c r="AD1478">
        <v>1.2789482697715799</v>
      </c>
      <c r="AE1478">
        <v>0.638633131980896</v>
      </c>
      <c r="AF1478">
        <v>292.22279792746099</v>
      </c>
      <c r="AG1478">
        <f>IFERROR(AH1478*0.1, "N/A")</f>
        <v>6.1005181347150303</v>
      </c>
      <c r="AH1478">
        <v>61.005181347150298</v>
      </c>
      <c r="AI1478">
        <v>283.07434609105098</v>
      </c>
      <c r="AJ1478">
        <v>18.454231433505999</v>
      </c>
      <c r="AK1478">
        <v>62.540587219343699</v>
      </c>
    </row>
    <row r="1479" spans="1:37" x14ac:dyDescent="0.3">
      <c r="A1479">
        <v>1478</v>
      </c>
      <c r="B1479">
        <v>8</v>
      </c>
      <c r="C1479">
        <v>1.17394</v>
      </c>
      <c r="D1479">
        <v>9.5885599999999993</v>
      </c>
      <c r="E1479" t="s">
        <v>2603</v>
      </c>
      <c r="F1479" t="s">
        <v>2605</v>
      </c>
      <c r="G1479" t="s">
        <v>37</v>
      </c>
      <c r="H1479">
        <v>1999</v>
      </c>
      <c r="I1479">
        <v>27</v>
      </c>
      <c r="J1479">
        <v>12.699999809265099</v>
      </c>
      <c r="K1479">
        <v>69</v>
      </c>
      <c r="L1479">
        <v>15.7200002670288</v>
      </c>
      <c r="M1479">
        <v>37</v>
      </c>
      <c r="N1479">
        <v>18.600000381469702</v>
      </c>
      <c r="O1479">
        <v>18.399999618530298</v>
      </c>
      <c r="P1479">
        <v>24.899999618530298</v>
      </c>
      <c r="Q1479">
        <v>27.600000381469702</v>
      </c>
      <c r="R1479">
        <v>29.200000762939499</v>
      </c>
      <c r="S1479">
        <v>24.899999618530298</v>
      </c>
      <c r="T1479">
        <v>1306</v>
      </c>
      <c r="U1479">
        <v>253</v>
      </c>
      <c r="V1479">
        <v>1</v>
      </c>
      <c r="W1479">
        <v>86</v>
      </c>
      <c r="X1479">
        <v>729</v>
      </c>
      <c r="Y1479">
        <v>14</v>
      </c>
      <c r="Z1479">
        <v>132</v>
      </c>
      <c r="AA1479">
        <v>729</v>
      </c>
      <c r="AB1479">
        <v>1.3103591839884201</v>
      </c>
      <c r="AC1479">
        <v>14.8163435435733</v>
      </c>
      <c r="AD1479">
        <v>1.2789482697715799</v>
      </c>
      <c r="AE1479">
        <v>0.638633131980896</v>
      </c>
      <c r="AF1479">
        <v>292.22279792746099</v>
      </c>
      <c r="AG1479">
        <f>IFERROR(AH1479*0.1, "N/A")</f>
        <v>6.1005181347150303</v>
      </c>
      <c r="AH1479">
        <v>61.005181347150298</v>
      </c>
      <c r="AI1479">
        <v>283.07434609105098</v>
      </c>
      <c r="AJ1479">
        <v>18.454231433505999</v>
      </c>
      <c r="AK1479">
        <v>62.540587219343699</v>
      </c>
    </row>
    <row r="1480" spans="1:37" x14ac:dyDescent="0.3">
      <c r="A1480">
        <v>1479</v>
      </c>
      <c r="B1480">
        <v>72</v>
      </c>
      <c r="C1480">
        <v>1.3141799999999999</v>
      </c>
      <c r="D1480">
        <v>9.6620600000000003</v>
      </c>
      <c r="E1480" t="s">
        <v>2606</v>
      </c>
      <c r="F1480" t="s">
        <v>2607</v>
      </c>
      <c r="G1480" t="s">
        <v>39</v>
      </c>
      <c r="H1480">
        <v>1999</v>
      </c>
      <c r="I1480">
        <v>26.399999618530298</v>
      </c>
      <c r="J1480">
        <v>12.699999809265099</v>
      </c>
      <c r="K1480">
        <v>69</v>
      </c>
      <c r="L1480">
        <v>15.960000038146999</v>
      </c>
      <c r="M1480">
        <v>36.400001525878899</v>
      </c>
      <c r="N1480">
        <v>18.100000381469702</v>
      </c>
      <c r="O1480">
        <v>18.299999237060501</v>
      </c>
      <c r="P1480">
        <v>24.200000762939499</v>
      </c>
      <c r="Q1480">
        <v>27</v>
      </c>
      <c r="R1480">
        <v>28.5</v>
      </c>
      <c r="S1480">
        <v>24.200000762939499</v>
      </c>
      <c r="T1480">
        <v>1235</v>
      </c>
      <c r="U1480">
        <v>245</v>
      </c>
      <c r="V1480">
        <v>1</v>
      </c>
      <c r="W1480">
        <v>91</v>
      </c>
      <c r="X1480">
        <v>726</v>
      </c>
      <c r="Y1480">
        <v>10</v>
      </c>
      <c r="Z1480">
        <v>126</v>
      </c>
      <c r="AA1480">
        <v>726</v>
      </c>
      <c r="AB1480">
        <v>1.64224227379108</v>
      </c>
      <c r="AC1480">
        <v>0.213047918510334</v>
      </c>
      <c r="AD1480">
        <v>2.30299147079731</v>
      </c>
      <c r="AE1480">
        <v>0.50741231441497803</v>
      </c>
      <c r="AF1480">
        <v>376.29482758620702</v>
      </c>
      <c r="AG1480">
        <f>IFERROR(AH1480*0.1, "N/A")</f>
        <v>5.9515517241379303</v>
      </c>
      <c r="AH1480">
        <v>59.5155172413793</v>
      </c>
      <c r="AI1480">
        <v>184.629766714162</v>
      </c>
      <c r="AJ1480">
        <v>17.5879310344828</v>
      </c>
      <c r="AK1480">
        <v>62.356896551724098</v>
      </c>
    </row>
    <row r="1481" spans="1:37" x14ac:dyDescent="0.3">
      <c r="A1481">
        <v>1480</v>
      </c>
      <c r="B1481">
        <v>4</v>
      </c>
      <c r="C1481">
        <v>1.3141799999999999</v>
      </c>
      <c r="D1481">
        <v>9.6620600000000003</v>
      </c>
      <c r="E1481" t="s">
        <v>2606</v>
      </c>
      <c r="F1481" t="s">
        <v>2608</v>
      </c>
      <c r="G1481" t="s">
        <v>37</v>
      </c>
      <c r="H1481">
        <v>1999</v>
      </c>
      <c r="I1481">
        <v>26.399999618530298</v>
      </c>
      <c r="J1481">
        <v>12.699999809265099</v>
      </c>
      <c r="K1481">
        <v>69</v>
      </c>
      <c r="L1481">
        <v>15.960000038146999</v>
      </c>
      <c r="M1481">
        <v>36.400001525878899</v>
      </c>
      <c r="N1481">
        <v>18.100000381469702</v>
      </c>
      <c r="O1481">
        <v>18.299999237060501</v>
      </c>
      <c r="P1481">
        <v>24.200000762939499</v>
      </c>
      <c r="Q1481">
        <v>27</v>
      </c>
      <c r="R1481">
        <v>28.5</v>
      </c>
      <c r="S1481">
        <v>24.200000762939499</v>
      </c>
      <c r="T1481">
        <v>1235</v>
      </c>
      <c r="U1481">
        <v>245</v>
      </c>
      <c r="V1481">
        <v>1</v>
      </c>
      <c r="W1481">
        <v>91</v>
      </c>
      <c r="X1481">
        <v>726</v>
      </c>
      <c r="Y1481">
        <v>10</v>
      </c>
      <c r="Z1481">
        <v>126</v>
      </c>
      <c r="AA1481">
        <v>726</v>
      </c>
      <c r="AB1481">
        <v>1.64224227379108</v>
      </c>
      <c r="AC1481">
        <v>0.213047918510334</v>
      </c>
      <c r="AD1481">
        <v>2.30299147079731</v>
      </c>
      <c r="AE1481">
        <v>0.50741231441497803</v>
      </c>
      <c r="AF1481">
        <v>376.29482758620702</v>
      </c>
      <c r="AG1481">
        <f>IFERROR(AH1481*0.1, "N/A")</f>
        <v>5.9515517241379303</v>
      </c>
      <c r="AH1481">
        <v>59.5155172413793</v>
      </c>
      <c r="AI1481">
        <v>184.629766714162</v>
      </c>
      <c r="AJ1481">
        <v>17.5879310344828</v>
      </c>
      <c r="AK1481">
        <v>62.356896551724098</v>
      </c>
    </row>
    <row r="1482" spans="1:37" x14ac:dyDescent="0.3">
      <c r="A1482">
        <v>1481</v>
      </c>
      <c r="B1482">
        <v>4</v>
      </c>
      <c r="C1482">
        <v>1.0954299999999999</v>
      </c>
      <c r="D1482">
        <v>9.7713199999999993</v>
      </c>
      <c r="E1482" t="s">
        <v>2609</v>
      </c>
      <c r="F1482" t="s">
        <v>2610</v>
      </c>
      <c r="G1482" t="s">
        <v>39</v>
      </c>
      <c r="H1482">
        <v>1999</v>
      </c>
      <c r="I1482">
        <v>25.700000762939499</v>
      </c>
      <c r="J1482">
        <v>12.699999809265099</v>
      </c>
      <c r="K1482">
        <v>68</v>
      </c>
      <c r="L1482">
        <v>16.7399997711182</v>
      </c>
      <c r="M1482">
        <v>35.700000762939503</v>
      </c>
      <c r="N1482">
        <v>17.100000381469702</v>
      </c>
      <c r="O1482">
        <v>18.600000381469702</v>
      </c>
      <c r="P1482">
        <v>23.600000381469702</v>
      </c>
      <c r="Q1482">
        <v>26.100000381469702</v>
      </c>
      <c r="R1482">
        <v>28.100000381469702</v>
      </c>
      <c r="S1482">
        <v>23.600000381469702</v>
      </c>
      <c r="T1482">
        <v>1304</v>
      </c>
      <c r="U1482">
        <v>265</v>
      </c>
      <c r="V1482">
        <v>2</v>
      </c>
      <c r="W1482">
        <v>87</v>
      </c>
      <c r="X1482">
        <v>738</v>
      </c>
      <c r="Y1482">
        <v>12</v>
      </c>
      <c r="Z1482">
        <v>130</v>
      </c>
      <c r="AA1482">
        <v>738</v>
      </c>
      <c r="AB1482">
        <v>0.758207910830905</v>
      </c>
      <c r="AC1482">
        <v>1.60948028346598</v>
      </c>
      <c r="AD1482">
        <v>1.20616859125556</v>
      </c>
      <c r="AE1482">
        <v>0.37861567735672003</v>
      </c>
      <c r="AF1482">
        <v>452.38514680483598</v>
      </c>
      <c r="AG1482">
        <f>IFERROR(AH1482*0.1, "N/A")</f>
        <v>5.8214162348877405</v>
      </c>
      <c r="AH1482">
        <v>58.214162348877402</v>
      </c>
      <c r="AI1482">
        <v>221.003494499879</v>
      </c>
      <c r="AJ1482">
        <v>16.7996545768566</v>
      </c>
      <c r="AK1482">
        <v>65.872193436960302</v>
      </c>
    </row>
    <row r="1483" spans="1:37" x14ac:dyDescent="0.3">
      <c r="A1483">
        <v>1482</v>
      </c>
      <c r="B1483">
        <v>0</v>
      </c>
      <c r="C1483">
        <v>1.0954299999999999</v>
      </c>
      <c r="D1483">
        <v>9.7713199999999993</v>
      </c>
      <c r="E1483" t="s">
        <v>2609</v>
      </c>
      <c r="F1483" t="s">
        <v>2611</v>
      </c>
      <c r="G1483" t="s">
        <v>37</v>
      </c>
      <c r="H1483">
        <v>1999</v>
      </c>
      <c r="I1483">
        <v>25.700000762939499</v>
      </c>
      <c r="J1483">
        <v>12.699999809265099</v>
      </c>
      <c r="K1483">
        <v>68</v>
      </c>
      <c r="L1483">
        <v>16.7399997711182</v>
      </c>
      <c r="M1483">
        <v>35.700000762939503</v>
      </c>
      <c r="N1483">
        <v>17.100000381469702</v>
      </c>
      <c r="O1483">
        <v>18.600000381469702</v>
      </c>
      <c r="P1483">
        <v>23.600000381469702</v>
      </c>
      <c r="Q1483">
        <v>26.100000381469702</v>
      </c>
      <c r="R1483">
        <v>28.100000381469702</v>
      </c>
      <c r="S1483">
        <v>23.600000381469702</v>
      </c>
      <c r="T1483">
        <v>1304</v>
      </c>
      <c r="U1483">
        <v>265</v>
      </c>
      <c r="V1483">
        <v>2</v>
      </c>
      <c r="W1483">
        <v>87</v>
      </c>
      <c r="X1483">
        <v>738</v>
      </c>
      <c r="Y1483">
        <v>12</v>
      </c>
      <c r="Z1483">
        <v>130</v>
      </c>
      <c r="AA1483">
        <v>738</v>
      </c>
      <c r="AB1483">
        <v>0.758207910830905</v>
      </c>
      <c r="AC1483">
        <v>1.60948028346598</v>
      </c>
      <c r="AD1483">
        <v>1.20616859125556</v>
      </c>
      <c r="AE1483">
        <v>0.37861567735672003</v>
      </c>
      <c r="AF1483">
        <v>452.38514680483598</v>
      </c>
      <c r="AG1483">
        <f>IFERROR(AH1483*0.1, "N/A")</f>
        <v>5.8214162348877405</v>
      </c>
      <c r="AH1483">
        <v>58.214162348877402</v>
      </c>
      <c r="AI1483">
        <v>221.003494499879</v>
      </c>
      <c r="AJ1483">
        <v>16.7996545768566</v>
      </c>
      <c r="AK1483">
        <v>65.872193436960302</v>
      </c>
    </row>
    <row r="1484" spans="1:37" x14ac:dyDescent="0.3">
      <c r="A1484">
        <v>1483</v>
      </c>
      <c r="B1484">
        <v>47.5</v>
      </c>
      <c r="C1484">
        <v>0.82923899999999995</v>
      </c>
      <c r="D1484">
        <v>10.170299999999999</v>
      </c>
      <c r="E1484" t="s">
        <v>2612</v>
      </c>
      <c r="F1484" t="s">
        <v>2613</v>
      </c>
      <c r="G1484" t="s">
        <v>39</v>
      </c>
      <c r="H1484">
        <v>1999</v>
      </c>
      <c r="I1484">
        <v>28.299999237060501</v>
      </c>
      <c r="J1484">
        <v>12.8999996185303</v>
      </c>
      <c r="K1484">
        <v>66</v>
      </c>
      <c r="L1484">
        <v>17.569999694824201</v>
      </c>
      <c r="M1484">
        <v>38.599998474121101</v>
      </c>
      <c r="N1484">
        <v>19.100000381469702</v>
      </c>
      <c r="O1484">
        <v>19.5</v>
      </c>
      <c r="P1484">
        <v>26.100000381469702</v>
      </c>
      <c r="Q1484">
        <v>28.399999618530298</v>
      </c>
      <c r="R1484">
        <v>30.799999237060501</v>
      </c>
      <c r="S1484">
        <v>26.100000381469702</v>
      </c>
      <c r="T1484">
        <v>1093</v>
      </c>
      <c r="U1484">
        <v>239</v>
      </c>
      <c r="V1484">
        <v>1</v>
      </c>
      <c r="W1484">
        <v>93</v>
      </c>
      <c r="X1484">
        <v>657</v>
      </c>
      <c r="Y1484">
        <v>7</v>
      </c>
      <c r="Z1484">
        <v>89</v>
      </c>
      <c r="AA1484">
        <v>657</v>
      </c>
      <c r="AB1484">
        <v>2.00223844597138</v>
      </c>
      <c r="AC1484">
        <v>3747.8123752798201</v>
      </c>
      <c r="AD1484">
        <v>1.84841708113117</v>
      </c>
      <c r="AE1484">
        <v>0.17818108513925701</v>
      </c>
      <c r="AF1484">
        <v>144.44234079173799</v>
      </c>
      <c r="AG1484">
        <f>IFERROR(AH1484*0.1, "N/A")</f>
        <v>6.2944922547332203</v>
      </c>
      <c r="AH1484">
        <v>62.944922547332197</v>
      </c>
      <c r="AI1484">
        <v>193.429058317884</v>
      </c>
      <c r="AJ1484">
        <v>19.218588640275399</v>
      </c>
      <c r="AK1484">
        <v>57.836488812392403</v>
      </c>
    </row>
    <row r="1485" spans="1:37" x14ac:dyDescent="0.3">
      <c r="A1485">
        <v>1484</v>
      </c>
      <c r="B1485">
        <v>0</v>
      </c>
      <c r="C1485">
        <v>0.82923899999999995</v>
      </c>
      <c r="D1485">
        <v>10.170299999999999</v>
      </c>
      <c r="E1485" t="s">
        <v>2612</v>
      </c>
      <c r="F1485" t="s">
        <v>2614</v>
      </c>
      <c r="G1485" t="s">
        <v>37</v>
      </c>
      <c r="H1485">
        <v>1999</v>
      </c>
      <c r="I1485">
        <v>28.299999237060501</v>
      </c>
      <c r="J1485">
        <v>12.8999996185303</v>
      </c>
      <c r="K1485">
        <v>66</v>
      </c>
      <c r="L1485">
        <v>17.569999694824201</v>
      </c>
      <c r="M1485">
        <v>38.599998474121101</v>
      </c>
      <c r="N1485">
        <v>19.100000381469702</v>
      </c>
      <c r="O1485">
        <v>19.5</v>
      </c>
      <c r="P1485">
        <v>26.100000381469702</v>
      </c>
      <c r="Q1485">
        <v>28.399999618530298</v>
      </c>
      <c r="R1485">
        <v>30.799999237060501</v>
      </c>
      <c r="S1485">
        <v>26.100000381469702</v>
      </c>
      <c r="T1485">
        <v>1093</v>
      </c>
      <c r="U1485">
        <v>239</v>
      </c>
      <c r="V1485">
        <v>1</v>
      </c>
      <c r="W1485">
        <v>93</v>
      </c>
      <c r="X1485">
        <v>657</v>
      </c>
      <c r="Y1485">
        <v>7</v>
      </c>
      <c r="Z1485">
        <v>89</v>
      </c>
      <c r="AA1485">
        <v>657</v>
      </c>
      <c r="AB1485">
        <v>2.00223844597138</v>
      </c>
      <c r="AC1485">
        <v>3747.8123752798201</v>
      </c>
      <c r="AD1485">
        <v>1.84841708113117</v>
      </c>
      <c r="AE1485">
        <v>0.17818108513925701</v>
      </c>
      <c r="AF1485">
        <v>144.44234079173799</v>
      </c>
      <c r="AG1485">
        <f>IFERROR(AH1485*0.1, "N/A")</f>
        <v>6.2944922547332203</v>
      </c>
      <c r="AH1485">
        <v>62.944922547332197</v>
      </c>
      <c r="AI1485">
        <v>193.429058317884</v>
      </c>
      <c r="AJ1485">
        <v>19.218588640275399</v>
      </c>
      <c r="AK1485">
        <v>57.836488812392403</v>
      </c>
    </row>
    <row r="1486" spans="1:37" x14ac:dyDescent="0.3">
      <c r="A1486">
        <v>1485</v>
      </c>
      <c r="B1486">
        <v>23.200001</v>
      </c>
      <c r="C1486">
        <v>0.19497900000000001</v>
      </c>
      <c r="D1486">
        <v>10.6562</v>
      </c>
      <c r="E1486" t="s">
        <v>2615</v>
      </c>
      <c r="F1486" t="s">
        <v>2616</v>
      </c>
      <c r="G1486" t="s">
        <v>39</v>
      </c>
      <c r="H1486">
        <v>1999</v>
      </c>
      <c r="I1486">
        <v>27.299999237060501</v>
      </c>
      <c r="J1486">
        <v>12.800000190734901</v>
      </c>
      <c r="K1486">
        <v>64</v>
      </c>
      <c r="L1486">
        <v>18.790000915527301</v>
      </c>
      <c r="M1486">
        <v>37.900001525878899</v>
      </c>
      <c r="N1486">
        <v>18</v>
      </c>
      <c r="O1486">
        <v>19.899999618530298</v>
      </c>
      <c r="P1486">
        <v>25.100000381469702</v>
      </c>
      <c r="Q1486">
        <v>27.100000381469702</v>
      </c>
      <c r="R1486">
        <v>29.899999618530298</v>
      </c>
      <c r="S1486">
        <v>25.100000381469702</v>
      </c>
      <c r="T1486">
        <v>1056</v>
      </c>
      <c r="U1486">
        <v>257</v>
      </c>
      <c r="V1486">
        <v>0</v>
      </c>
      <c r="W1486">
        <v>100</v>
      </c>
      <c r="X1486">
        <v>666</v>
      </c>
      <c r="Y1486">
        <v>4</v>
      </c>
      <c r="Z1486">
        <v>182</v>
      </c>
      <c r="AA1486">
        <v>666</v>
      </c>
      <c r="AB1486">
        <v>58.230237770735997</v>
      </c>
      <c r="AC1486">
        <v>1.3023719191551E-2</v>
      </c>
      <c r="AD1486">
        <v>3.13138897599223</v>
      </c>
      <c r="AE1486">
        <v>0.71320557594299305</v>
      </c>
      <c r="AF1486">
        <v>298.061855670103</v>
      </c>
      <c r="AG1486">
        <f>IFERROR(AH1486*0.1, "N/A")</f>
        <v>5.9176975945017203</v>
      </c>
      <c r="AH1486">
        <v>59.176975945017197</v>
      </c>
      <c r="AI1486">
        <v>292.38592272361899</v>
      </c>
      <c r="AJ1486">
        <v>15.823024054982801</v>
      </c>
      <c r="AK1486">
        <v>66</v>
      </c>
    </row>
    <row r="1487" spans="1:37" x14ac:dyDescent="0.3">
      <c r="A1487">
        <v>1486</v>
      </c>
      <c r="B1487">
        <v>0</v>
      </c>
      <c r="C1487">
        <v>0.19497900000000001</v>
      </c>
      <c r="D1487">
        <v>10.6562</v>
      </c>
      <c r="E1487" t="s">
        <v>2615</v>
      </c>
      <c r="F1487" t="s">
        <v>2617</v>
      </c>
      <c r="G1487" t="s">
        <v>37</v>
      </c>
      <c r="H1487">
        <v>1999</v>
      </c>
      <c r="I1487">
        <v>27.299999237060501</v>
      </c>
      <c r="J1487">
        <v>12.800000190734901</v>
      </c>
      <c r="K1487">
        <v>64</v>
      </c>
      <c r="L1487">
        <v>18.790000915527301</v>
      </c>
      <c r="M1487">
        <v>37.900001525878899</v>
      </c>
      <c r="N1487">
        <v>18</v>
      </c>
      <c r="O1487">
        <v>19.899999618530298</v>
      </c>
      <c r="P1487">
        <v>25.100000381469702</v>
      </c>
      <c r="Q1487">
        <v>27.100000381469702</v>
      </c>
      <c r="R1487">
        <v>29.899999618530298</v>
      </c>
      <c r="S1487">
        <v>25.100000381469702</v>
      </c>
      <c r="T1487">
        <v>1056</v>
      </c>
      <c r="U1487">
        <v>257</v>
      </c>
      <c r="V1487">
        <v>0</v>
      </c>
      <c r="W1487">
        <v>100</v>
      </c>
      <c r="X1487">
        <v>666</v>
      </c>
      <c r="Y1487">
        <v>4</v>
      </c>
      <c r="Z1487">
        <v>182</v>
      </c>
      <c r="AA1487">
        <v>666</v>
      </c>
      <c r="AB1487">
        <v>58.230237770735997</v>
      </c>
      <c r="AC1487">
        <v>1.3023719191551E-2</v>
      </c>
      <c r="AD1487">
        <v>3.13138897599223</v>
      </c>
      <c r="AE1487">
        <v>0.71320557594299305</v>
      </c>
      <c r="AF1487">
        <v>298.061855670103</v>
      </c>
      <c r="AG1487">
        <f>IFERROR(AH1487*0.1, "N/A")</f>
        <v>5.9176975945017203</v>
      </c>
      <c r="AH1487">
        <v>59.176975945017197</v>
      </c>
      <c r="AI1487">
        <v>292.38592272361899</v>
      </c>
      <c r="AJ1487">
        <v>15.823024054982801</v>
      </c>
      <c r="AK1487">
        <v>66</v>
      </c>
    </row>
    <row r="1488" spans="1:37" x14ac:dyDescent="0.3">
      <c r="A1488">
        <v>1487</v>
      </c>
      <c r="B1488">
        <v>13.6</v>
      </c>
      <c r="C1488">
        <v>1.18611</v>
      </c>
      <c r="D1488">
        <v>9.5511099999999995</v>
      </c>
      <c r="E1488" t="s">
        <v>2618</v>
      </c>
      <c r="F1488" t="s">
        <v>2619</v>
      </c>
      <c r="G1488" t="s">
        <v>37</v>
      </c>
      <c r="H1488">
        <v>1995</v>
      </c>
      <c r="I1488">
        <v>27.100000381469702</v>
      </c>
      <c r="J1488">
        <v>12.6000003814697</v>
      </c>
      <c r="K1488">
        <v>68</v>
      </c>
      <c r="L1488">
        <v>15.7700004577637</v>
      </c>
      <c r="M1488">
        <v>37.099998474121101</v>
      </c>
      <c r="N1488">
        <v>18.799999237060501</v>
      </c>
      <c r="O1488">
        <v>18.299999237060501</v>
      </c>
      <c r="P1488">
        <v>24.899999618530298</v>
      </c>
      <c r="Q1488">
        <v>27.799999237060501</v>
      </c>
      <c r="R1488">
        <v>29.200000762939499</v>
      </c>
      <c r="S1488">
        <v>24.899999618530298</v>
      </c>
      <c r="T1488">
        <v>1306</v>
      </c>
      <c r="U1488">
        <v>253</v>
      </c>
      <c r="V1488">
        <v>1</v>
      </c>
      <c r="W1488">
        <v>86</v>
      </c>
      <c r="X1488">
        <v>729</v>
      </c>
      <c r="Y1488">
        <v>14</v>
      </c>
      <c r="Z1488">
        <v>134</v>
      </c>
      <c r="AA1488">
        <v>729</v>
      </c>
      <c r="AB1488">
        <v>0.486057984028749</v>
      </c>
      <c r="AC1488">
        <v>4.9600090811481099</v>
      </c>
      <c r="AD1488">
        <v>1.1293240080807201</v>
      </c>
      <c r="AE1488">
        <v>0.61762917041778598</v>
      </c>
      <c r="AF1488">
        <v>292.788296041308</v>
      </c>
      <c r="AG1488">
        <f>IFERROR(AH1488*0.1, "N/A")</f>
        <v>6.1790017211704003</v>
      </c>
      <c r="AH1488">
        <v>61.790017211703997</v>
      </c>
      <c r="AI1488">
        <v>120.468198011336</v>
      </c>
      <c r="AJ1488">
        <v>23.726333907056802</v>
      </c>
      <c r="AK1488">
        <v>57.413080895008598</v>
      </c>
    </row>
    <row r="1489" spans="1:37" x14ac:dyDescent="0.3">
      <c r="A1489">
        <v>1488</v>
      </c>
      <c r="B1489">
        <v>3</v>
      </c>
      <c r="C1489">
        <v>1.18611</v>
      </c>
      <c r="D1489">
        <v>9.5511099999999995</v>
      </c>
      <c r="E1489" t="s">
        <v>2618</v>
      </c>
      <c r="F1489" t="s">
        <v>2620</v>
      </c>
      <c r="G1489" t="s">
        <v>39</v>
      </c>
      <c r="H1489">
        <v>1995</v>
      </c>
      <c r="I1489">
        <v>27.100000381469702</v>
      </c>
      <c r="J1489">
        <v>12.6000003814697</v>
      </c>
      <c r="K1489">
        <v>68</v>
      </c>
      <c r="L1489">
        <v>15.7700004577637</v>
      </c>
      <c r="M1489">
        <v>37.099998474121101</v>
      </c>
      <c r="N1489">
        <v>18.799999237060501</v>
      </c>
      <c r="O1489">
        <v>18.299999237060501</v>
      </c>
      <c r="P1489">
        <v>24.899999618530298</v>
      </c>
      <c r="Q1489">
        <v>27.799999237060501</v>
      </c>
      <c r="R1489">
        <v>29.200000762939499</v>
      </c>
      <c r="S1489">
        <v>24.899999618530298</v>
      </c>
      <c r="T1489">
        <v>1306</v>
      </c>
      <c r="U1489">
        <v>253</v>
      </c>
      <c r="V1489">
        <v>1</v>
      </c>
      <c r="W1489">
        <v>86</v>
      </c>
      <c r="X1489">
        <v>729</v>
      </c>
      <c r="Y1489">
        <v>14</v>
      </c>
      <c r="Z1489">
        <v>134</v>
      </c>
      <c r="AA1489">
        <v>729</v>
      </c>
      <c r="AB1489">
        <v>0.486057984028749</v>
      </c>
      <c r="AC1489">
        <v>4.9600090811481099</v>
      </c>
      <c r="AD1489">
        <v>1.1293240080807201</v>
      </c>
      <c r="AE1489">
        <v>0.61762917041778598</v>
      </c>
      <c r="AF1489">
        <v>292.788296041308</v>
      </c>
      <c r="AG1489">
        <f>IFERROR(AH1489*0.1, "N/A")</f>
        <v>6.1790017211704003</v>
      </c>
      <c r="AH1489">
        <v>61.790017211703997</v>
      </c>
      <c r="AI1489">
        <v>120.468198011336</v>
      </c>
      <c r="AJ1489">
        <v>23.726333907056802</v>
      </c>
      <c r="AK1489">
        <v>57.413080895008598</v>
      </c>
    </row>
    <row r="1490" spans="1:37" x14ac:dyDescent="0.3">
      <c r="A1490">
        <v>1489</v>
      </c>
      <c r="B1490">
        <v>0</v>
      </c>
      <c r="C1490">
        <v>1.4011100000000001</v>
      </c>
      <c r="D1490">
        <v>6.2077799999999996</v>
      </c>
      <c r="E1490" t="s">
        <v>2621</v>
      </c>
      <c r="F1490" t="s">
        <v>2622</v>
      </c>
      <c r="G1490" t="s">
        <v>37</v>
      </c>
      <c r="H1490">
        <v>1988</v>
      </c>
      <c r="I1490">
        <v>26.799999237060501</v>
      </c>
      <c r="J1490">
        <v>7.8155054024287596</v>
      </c>
      <c r="K1490">
        <v>73.844947735191596</v>
      </c>
      <c r="L1490">
        <v>10.7456619880756</v>
      </c>
      <c r="M1490">
        <v>32.431011505658603</v>
      </c>
      <c r="N1490">
        <v>21.899999618530298</v>
      </c>
      <c r="O1490">
        <v>10.5310104233878</v>
      </c>
      <c r="P1490">
        <v>27.115505667098301</v>
      </c>
      <c r="Q1490">
        <v>27.415504904158901</v>
      </c>
      <c r="R1490">
        <v>28.100000381469702</v>
      </c>
      <c r="S1490">
        <v>25.299999237060501</v>
      </c>
      <c r="T1490">
        <v>860</v>
      </c>
      <c r="U1490">
        <v>240.68989547038299</v>
      </c>
      <c r="V1490">
        <v>5.1550522648083597</v>
      </c>
      <c r="W1490">
        <v>91.844947735191596</v>
      </c>
      <c r="X1490">
        <v>507.68989547038302</v>
      </c>
      <c r="Y1490">
        <v>40.155052264808397</v>
      </c>
      <c r="Z1490">
        <v>193</v>
      </c>
      <c r="AA1490">
        <v>151</v>
      </c>
      <c r="AB1490">
        <v>2.5114981563249099</v>
      </c>
      <c r="AC1490">
        <v>9.0761804200369996E-3</v>
      </c>
      <c r="AD1490">
        <v>1.8967313153818499</v>
      </c>
      <c r="AE1490">
        <v>0.78844599036389496</v>
      </c>
      <c r="AF1490">
        <v>11.250871080139399</v>
      </c>
      <c r="AG1490">
        <f>IFERROR(AH1490*0.1, "N/A")</f>
        <v>5.6148083623693408</v>
      </c>
      <c r="AH1490">
        <v>56.148083623693402</v>
      </c>
      <c r="AI1490">
        <v>118.110179902784</v>
      </c>
      <c r="AJ1490">
        <v>22</v>
      </c>
      <c r="AK1490">
        <v>54</v>
      </c>
    </row>
    <row r="1491" spans="1:37" x14ac:dyDescent="0.3">
      <c r="A1491">
        <v>1490</v>
      </c>
      <c r="B1491">
        <v>0</v>
      </c>
      <c r="C1491">
        <v>1.3725000000000001</v>
      </c>
      <c r="D1491">
        <v>6.2783300000000004</v>
      </c>
      <c r="E1491" t="s">
        <v>2623</v>
      </c>
      <c r="F1491" t="s">
        <v>2624</v>
      </c>
      <c r="G1491" t="s">
        <v>37</v>
      </c>
      <c r="H1491">
        <v>1988</v>
      </c>
      <c r="I1491">
        <v>26.799999237060501</v>
      </c>
      <c r="J1491">
        <v>8.1999998092651403</v>
      </c>
      <c r="K1491">
        <v>74</v>
      </c>
      <c r="L1491">
        <v>10.8400001525879</v>
      </c>
      <c r="M1491">
        <v>32.799999237060497</v>
      </c>
      <c r="N1491">
        <v>21.799999237060501</v>
      </c>
      <c r="O1491">
        <v>11</v>
      </c>
      <c r="P1491">
        <v>27.100000381469702</v>
      </c>
      <c r="Q1491">
        <v>27.5</v>
      </c>
      <c r="R1491">
        <v>28.100000381469702</v>
      </c>
      <c r="S1491">
        <v>25.299999237060501</v>
      </c>
      <c r="T1491">
        <v>874</v>
      </c>
      <c r="U1491">
        <v>215</v>
      </c>
      <c r="V1491">
        <v>8</v>
      </c>
      <c r="W1491">
        <v>81</v>
      </c>
      <c r="X1491">
        <v>479</v>
      </c>
      <c r="Y1491">
        <v>47</v>
      </c>
      <c r="Z1491">
        <v>203</v>
      </c>
      <c r="AA1491">
        <v>166</v>
      </c>
      <c r="AB1491">
        <v>3.1611891959930598</v>
      </c>
      <c r="AC1491">
        <v>0.25495774596701598</v>
      </c>
      <c r="AD1491">
        <v>1.6550279841139599</v>
      </c>
      <c r="AE1491">
        <v>0.70084667205810502</v>
      </c>
      <c r="AF1491">
        <v>15.991258741258701</v>
      </c>
      <c r="AG1491">
        <f>IFERROR(AH1491*0.1, "N/A")</f>
        <v>6.1596153846153907</v>
      </c>
      <c r="AH1491">
        <v>61.596153846153904</v>
      </c>
      <c r="AI1491">
        <v>171.854496222276</v>
      </c>
      <c r="AJ1491">
        <v>13.708041958041999</v>
      </c>
      <c r="AK1491">
        <v>71.604895104895107</v>
      </c>
    </row>
    <row r="1492" spans="1:37" x14ac:dyDescent="0.3">
      <c r="A1492">
        <v>1491</v>
      </c>
      <c r="B1492">
        <v>24.799999</v>
      </c>
      <c r="C1492">
        <v>1.18411</v>
      </c>
      <c r="D1492">
        <v>9.5465199999999992</v>
      </c>
      <c r="E1492" t="s">
        <v>2625</v>
      </c>
      <c r="F1492" t="s">
        <v>2626</v>
      </c>
      <c r="G1492" t="s">
        <v>37</v>
      </c>
      <c r="H1492">
        <v>1988</v>
      </c>
      <c r="I1492">
        <v>27.200000762939499</v>
      </c>
      <c r="J1492">
        <v>12.699999809265099</v>
      </c>
      <c r="K1492">
        <v>69</v>
      </c>
      <c r="L1492">
        <v>15.3800001144409</v>
      </c>
      <c r="M1492">
        <v>37.200000762939503</v>
      </c>
      <c r="N1492">
        <v>19</v>
      </c>
      <c r="O1492">
        <v>18.200000762939499</v>
      </c>
      <c r="P1492">
        <v>25</v>
      </c>
      <c r="Q1492">
        <v>28</v>
      </c>
      <c r="R1492">
        <v>29.200000762939499</v>
      </c>
      <c r="S1492">
        <v>25</v>
      </c>
      <c r="T1492">
        <v>1300</v>
      </c>
      <c r="U1492">
        <v>252</v>
      </c>
      <c r="V1492">
        <v>1</v>
      </c>
      <c r="W1492">
        <v>86</v>
      </c>
      <c r="X1492">
        <v>726</v>
      </c>
      <c r="Y1492">
        <v>14</v>
      </c>
      <c r="Z1492">
        <v>132</v>
      </c>
      <c r="AA1492">
        <v>726</v>
      </c>
      <c r="AB1492">
        <v>8.4551758864830298</v>
      </c>
      <c r="AC1492">
        <v>0.141435833442314</v>
      </c>
      <c r="AD1492">
        <v>1.9175049852708299</v>
      </c>
      <c r="AE1492">
        <v>0.58894240856170699</v>
      </c>
      <c r="AF1492">
        <v>294.22931034482798</v>
      </c>
      <c r="AG1492">
        <f>IFERROR(AH1492*0.1, "N/A")</f>
        <v>6.0979310344827606</v>
      </c>
      <c r="AH1492">
        <v>60.979310344827603</v>
      </c>
      <c r="AI1492">
        <v>102.731332561888</v>
      </c>
      <c r="AJ1492">
        <v>23.020689655172401</v>
      </c>
      <c r="AK1492">
        <v>57.020689655172397</v>
      </c>
    </row>
    <row r="1493" spans="1:37" x14ac:dyDescent="0.3">
      <c r="A1493">
        <v>1492</v>
      </c>
      <c r="B1493">
        <v>16.899999999999999</v>
      </c>
      <c r="C1493">
        <v>1.18411</v>
      </c>
      <c r="D1493">
        <v>9.5465199999999992</v>
      </c>
      <c r="E1493" t="s">
        <v>2625</v>
      </c>
      <c r="F1493" t="s">
        <v>2627</v>
      </c>
      <c r="G1493" t="s">
        <v>39</v>
      </c>
      <c r="H1493">
        <v>1988</v>
      </c>
      <c r="I1493">
        <v>27.200000762939499</v>
      </c>
      <c r="J1493">
        <v>12.699999809265099</v>
      </c>
      <c r="K1493">
        <v>69</v>
      </c>
      <c r="L1493">
        <v>15.3800001144409</v>
      </c>
      <c r="M1493">
        <v>37.200000762939503</v>
      </c>
      <c r="N1493">
        <v>19</v>
      </c>
      <c r="O1493">
        <v>18.200000762939499</v>
      </c>
      <c r="P1493">
        <v>25</v>
      </c>
      <c r="Q1493">
        <v>28</v>
      </c>
      <c r="R1493">
        <v>29.200000762939499</v>
      </c>
      <c r="S1493">
        <v>25</v>
      </c>
      <c r="T1493">
        <v>1300</v>
      </c>
      <c r="U1493">
        <v>252</v>
      </c>
      <c r="V1493">
        <v>1</v>
      </c>
      <c r="W1493">
        <v>86</v>
      </c>
      <c r="X1493">
        <v>726</v>
      </c>
      <c r="Y1493">
        <v>14</v>
      </c>
      <c r="Z1493">
        <v>132</v>
      </c>
      <c r="AA1493">
        <v>726</v>
      </c>
      <c r="AB1493">
        <v>8.4551758864830298</v>
      </c>
      <c r="AC1493">
        <v>0.141435833442314</v>
      </c>
      <c r="AD1493">
        <v>1.9175049852708299</v>
      </c>
      <c r="AE1493">
        <v>0.58894240856170699</v>
      </c>
      <c r="AF1493">
        <v>294.22931034482798</v>
      </c>
      <c r="AG1493">
        <f>IFERROR(AH1493*0.1, "N/A")</f>
        <v>6.0979310344827606</v>
      </c>
      <c r="AH1493">
        <v>60.979310344827603</v>
      </c>
      <c r="AI1493">
        <v>102.731332561888</v>
      </c>
      <c r="AJ1493">
        <v>23.020689655172401</v>
      </c>
      <c r="AK1493">
        <v>57.020689655172397</v>
      </c>
    </row>
    <row r="1494" spans="1:37" x14ac:dyDescent="0.3">
      <c r="A1494">
        <v>1493</v>
      </c>
      <c r="B1494">
        <v>0</v>
      </c>
      <c r="C1494">
        <v>1.1992100000000001</v>
      </c>
      <c r="D1494">
        <v>9.5432199999999998</v>
      </c>
      <c r="E1494" t="s">
        <v>2628</v>
      </c>
      <c r="F1494" t="s">
        <v>2629</v>
      </c>
      <c r="G1494" t="s">
        <v>37</v>
      </c>
      <c r="H1494">
        <v>1988</v>
      </c>
      <c r="I1494">
        <v>27.200000762939499</v>
      </c>
      <c r="J1494">
        <v>12.699999809265099</v>
      </c>
      <c r="K1494">
        <v>69</v>
      </c>
      <c r="L1494">
        <v>15.430000305175801</v>
      </c>
      <c r="M1494">
        <v>37.200000762939503</v>
      </c>
      <c r="N1494">
        <v>19</v>
      </c>
      <c r="O1494">
        <v>18.200000762939499</v>
      </c>
      <c r="P1494">
        <v>25</v>
      </c>
      <c r="Q1494">
        <v>28</v>
      </c>
      <c r="R1494">
        <v>29.200000762939499</v>
      </c>
      <c r="S1494">
        <v>25</v>
      </c>
      <c r="T1494">
        <v>1298</v>
      </c>
      <c r="U1494">
        <v>252</v>
      </c>
      <c r="V1494">
        <v>1</v>
      </c>
      <c r="W1494">
        <v>86</v>
      </c>
      <c r="X1494">
        <v>726</v>
      </c>
      <c r="Y1494">
        <v>14</v>
      </c>
      <c r="Z1494">
        <v>132</v>
      </c>
      <c r="AA1494">
        <v>726</v>
      </c>
      <c r="AB1494">
        <v>9.1192033352205701</v>
      </c>
      <c r="AC1494">
        <v>1.2553808458252E-2</v>
      </c>
      <c r="AD1494">
        <v>2.4478980476615</v>
      </c>
      <c r="AE1494">
        <v>0.68010260934077205</v>
      </c>
      <c r="AF1494">
        <v>287.322469982847</v>
      </c>
      <c r="AG1494">
        <f>IFERROR(AH1494*0.1, "N/A")</f>
        <v>6.2</v>
      </c>
      <c r="AH1494">
        <v>62</v>
      </c>
      <c r="AI1494">
        <v>197.58380938312399</v>
      </c>
      <c r="AJ1494">
        <v>23.152658662092598</v>
      </c>
      <c r="AK1494">
        <v>56.694682675814697</v>
      </c>
    </row>
    <row r="1495" spans="1:37" x14ac:dyDescent="0.3">
      <c r="A1495">
        <v>1494</v>
      </c>
      <c r="B1495">
        <v>27.9</v>
      </c>
      <c r="C1495">
        <v>0.66666700000000001</v>
      </c>
      <c r="D1495">
        <v>6.8166700000000002</v>
      </c>
      <c r="E1495" t="s">
        <v>2630</v>
      </c>
      <c r="F1495" t="s">
        <v>2631</v>
      </c>
      <c r="G1495" t="s">
        <v>37</v>
      </c>
      <c r="H1495">
        <v>1984</v>
      </c>
      <c r="I1495">
        <v>26.416928129878499</v>
      </c>
      <c r="J1495">
        <v>10.028097838423401</v>
      </c>
      <c r="K1495">
        <v>74.280977312390903</v>
      </c>
      <c r="L1495">
        <v>9.3138919500780304</v>
      </c>
      <c r="M1495">
        <v>33.844502227676699</v>
      </c>
      <c r="N1495">
        <v>20.416928129878499</v>
      </c>
      <c r="O1495">
        <v>13.4275738947471</v>
      </c>
      <c r="P1495">
        <v>26.8062821865914</v>
      </c>
      <c r="Q1495">
        <v>26.833856259757098</v>
      </c>
      <c r="R1495">
        <v>27.606283127949499</v>
      </c>
      <c r="S1495">
        <v>25.106283127949499</v>
      </c>
      <c r="T1495">
        <v>1343.2792321116899</v>
      </c>
      <c r="U1495">
        <v>198.66143106457201</v>
      </c>
      <c r="V1495">
        <v>25.106457242582898</v>
      </c>
      <c r="W1495">
        <v>50.893542757417102</v>
      </c>
      <c r="X1495">
        <v>509.99127399651002</v>
      </c>
      <c r="Y1495">
        <v>100.70680628272299</v>
      </c>
      <c r="Z1495">
        <v>308.54275741710302</v>
      </c>
      <c r="AA1495">
        <v>410.93193717277501</v>
      </c>
      <c r="AB1495">
        <v>2.0694596854804099</v>
      </c>
      <c r="AC1495">
        <v>103.973970157304</v>
      </c>
      <c r="AD1495">
        <v>2.1423036082668898</v>
      </c>
      <c r="AE1495">
        <v>0.70149803224034302</v>
      </c>
      <c r="AF1495">
        <v>154.680628272251</v>
      </c>
      <c r="AG1495">
        <f>IFERROR(AH1495*0.1, "N/A")</f>
        <v>5.6387434554973801</v>
      </c>
      <c r="AH1495">
        <v>56.387434554973801</v>
      </c>
      <c r="AI1495">
        <v>262.52304902667601</v>
      </c>
      <c r="AJ1495">
        <v>18</v>
      </c>
      <c r="AK1495">
        <v>66.387434554973794</v>
      </c>
    </row>
    <row r="1496" spans="1:37" x14ac:dyDescent="0.3">
      <c r="A1496">
        <v>1495</v>
      </c>
      <c r="B1496">
        <v>13.1</v>
      </c>
      <c r="C1496">
        <v>0.66666700000000001</v>
      </c>
      <c r="D1496">
        <v>6.8166700000000002</v>
      </c>
      <c r="E1496" t="s">
        <v>2630</v>
      </c>
      <c r="F1496" t="s">
        <v>2632</v>
      </c>
      <c r="G1496" t="s">
        <v>39</v>
      </c>
      <c r="H1496">
        <v>1984</v>
      </c>
      <c r="I1496">
        <v>26.416928129878499</v>
      </c>
      <c r="J1496">
        <v>10.028097838423401</v>
      </c>
      <c r="K1496">
        <v>74.280977312390903</v>
      </c>
      <c r="L1496">
        <v>9.3138919500780304</v>
      </c>
      <c r="M1496">
        <v>33.844502227676699</v>
      </c>
      <c r="N1496">
        <v>20.416928129878499</v>
      </c>
      <c r="O1496">
        <v>13.4275738947471</v>
      </c>
      <c r="P1496">
        <v>26.8062821865914</v>
      </c>
      <c r="Q1496">
        <v>26.833856259757098</v>
      </c>
      <c r="R1496">
        <v>27.606283127949499</v>
      </c>
      <c r="S1496">
        <v>25.106283127949499</v>
      </c>
      <c r="T1496">
        <v>1343.2792321116899</v>
      </c>
      <c r="U1496">
        <v>198.66143106457201</v>
      </c>
      <c r="V1496">
        <v>25.106457242582898</v>
      </c>
      <c r="W1496">
        <v>50.893542757417102</v>
      </c>
      <c r="X1496">
        <v>509.99127399651002</v>
      </c>
      <c r="Y1496">
        <v>100.70680628272299</v>
      </c>
      <c r="Z1496">
        <v>308.54275741710302</v>
      </c>
      <c r="AA1496">
        <v>410.93193717277501</v>
      </c>
      <c r="AB1496">
        <v>2.0694596854804099</v>
      </c>
      <c r="AC1496">
        <v>103.973970157304</v>
      </c>
      <c r="AD1496">
        <v>2.1423036082668898</v>
      </c>
      <c r="AE1496">
        <v>0.70149803224034302</v>
      </c>
      <c r="AF1496">
        <v>154.680628272251</v>
      </c>
      <c r="AG1496">
        <f>IFERROR(AH1496*0.1, "N/A")</f>
        <v>5.6387434554973801</v>
      </c>
      <c r="AH1496">
        <v>56.387434554973801</v>
      </c>
      <c r="AI1496">
        <v>262.52304902667601</v>
      </c>
      <c r="AJ1496">
        <v>18</v>
      </c>
      <c r="AK1496">
        <v>66.387434554973794</v>
      </c>
    </row>
    <row r="1497" spans="1:37" x14ac:dyDescent="0.3">
      <c r="A1497">
        <v>1496</v>
      </c>
      <c r="B1497">
        <v>35.799999</v>
      </c>
      <c r="C1497">
        <v>0.68333299999999997</v>
      </c>
      <c r="D1497">
        <v>6.8333300000000001</v>
      </c>
      <c r="E1497" t="s">
        <v>2633</v>
      </c>
      <c r="F1497" t="s">
        <v>2634</v>
      </c>
      <c r="G1497" t="s">
        <v>37</v>
      </c>
      <c r="H1497">
        <v>1984</v>
      </c>
      <c r="I1497">
        <v>26.290086344843299</v>
      </c>
      <c r="J1497">
        <v>10.1000003814697</v>
      </c>
      <c r="K1497">
        <v>74</v>
      </c>
      <c r="L1497">
        <v>9.3873393647567092</v>
      </c>
      <c r="M1497">
        <v>33.780173074473502</v>
      </c>
      <c r="N1497">
        <v>20.280173263549798</v>
      </c>
      <c r="O1497">
        <v>13.5</v>
      </c>
      <c r="P1497">
        <v>26.7347826518183</v>
      </c>
      <c r="Q1497">
        <v>26.7347826518183</v>
      </c>
      <c r="R1497">
        <v>27.490086918706499</v>
      </c>
      <c r="S1497">
        <v>24.990086918706499</v>
      </c>
      <c r="T1497">
        <v>1348.9043478260901</v>
      </c>
      <c r="U1497">
        <v>198.92869565217401</v>
      </c>
      <c r="V1497">
        <v>25</v>
      </c>
      <c r="W1497">
        <v>51</v>
      </c>
      <c r="X1497">
        <v>511.51652173912998</v>
      </c>
      <c r="Y1497">
        <v>100.532173913043</v>
      </c>
      <c r="Z1497">
        <v>308.90782608695702</v>
      </c>
      <c r="AA1497">
        <v>416.93391304347801</v>
      </c>
      <c r="AB1497">
        <v>6.3796461022418498</v>
      </c>
      <c r="AC1497">
        <v>5.1535055177366999E-2</v>
      </c>
      <c r="AD1497">
        <v>2.8908287469200502</v>
      </c>
      <c r="AE1497">
        <v>0.66883569955825795</v>
      </c>
      <c r="AF1497">
        <v>171.49043478260899</v>
      </c>
      <c r="AG1497">
        <f>IFERROR(AH1497*0.1, "N/A")</f>
        <v>5.8719999999999999</v>
      </c>
      <c r="AH1497">
        <v>58.72</v>
      </c>
      <c r="AI1497">
        <v>202.00459313434101</v>
      </c>
      <c r="AJ1497">
        <v>15.020869565217399</v>
      </c>
      <c r="AK1497">
        <v>69.259130434782605</v>
      </c>
    </row>
    <row r="1498" spans="1:37" x14ac:dyDescent="0.3">
      <c r="A1498">
        <v>1497</v>
      </c>
      <c r="B1498">
        <v>7.8</v>
      </c>
      <c r="C1498">
        <v>0.68333299999999997</v>
      </c>
      <c r="D1498">
        <v>6.8333300000000001</v>
      </c>
      <c r="E1498" t="s">
        <v>2633</v>
      </c>
      <c r="F1498" t="s">
        <v>2635</v>
      </c>
      <c r="G1498" t="s">
        <v>39</v>
      </c>
      <c r="H1498">
        <v>1984</v>
      </c>
      <c r="I1498">
        <v>26.290086344843299</v>
      </c>
      <c r="J1498">
        <v>10.1000003814697</v>
      </c>
      <c r="K1498">
        <v>74</v>
      </c>
      <c r="L1498">
        <v>9.3873393647567092</v>
      </c>
      <c r="M1498">
        <v>33.780173074473502</v>
      </c>
      <c r="N1498">
        <v>20.280173263549798</v>
      </c>
      <c r="O1498">
        <v>13.5</v>
      </c>
      <c r="P1498">
        <v>26.7347826518183</v>
      </c>
      <c r="Q1498">
        <v>26.7347826518183</v>
      </c>
      <c r="R1498">
        <v>27.490086918706499</v>
      </c>
      <c r="S1498">
        <v>24.990086918706499</v>
      </c>
      <c r="T1498">
        <v>1348.9043478260901</v>
      </c>
      <c r="U1498">
        <v>198.92869565217401</v>
      </c>
      <c r="V1498">
        <v>25</v>
      </c>
      <c r="W1498">
        <v>51</v>
      </c>
      <c r="X1498">
        <v>511.51652173912998</v>
      </c>
      <c r="Y1498">
        <v>100.532173913043</v>
      </c>
      <c r="Z1498">
        <v>308.90782608695702</v>
      </c>
      <c r="AA1498">
        <v>416.93391304347801</v>
      </c>
      <c r="AB1498">
        <v>6.3796461022418498</v>
      </c>
      <c r="AC1498">
        <v>5.1535055177366999E-2</v>
      </c>
      <c r="AD1498">
        <v>2.8908287469200502</v>
      </c>
      <c r="AE1498">
        <v>0.66883569955825795</v>
      </c>
      <c r="AF1498">
        <v>171.49043478260899</v>
      </c>
      <c r="AG1498">
        <f>IFERROR(AH1498*0.1, "N/A")</f>
        <v>5.8719999999999999</v>
      </c>
      <c r="AH1498">
        <v>58.72</v>
      </c>
      <c r="AI1498">
        <v>202.00459313434101</v>
      </c>
      <c r="AJ1498">
        <v>15.020869565217399</v>
      </c>
      <c r="AK1498">
        <v>69.259130434782605</v>
      </c>
    </row>
    <row r="1499" spans="1:37" x14ac:dyDescent="0.3">
      <c r="A1499">
        <v>1498</v>
      </c>
      <c r="B1499">
        <v>25.1</v>
      </c>
      <c r="C1499">
        <v>0.66666700000000001</v>
      </c>
      <c r="D1499">
        <v>6.8833299999999999</v>
      </c>
      <c r="E1499" t="s">
        <v>2636</v>
      </c>
      <c r="F1499" t="s">
        <v>2637</v>
      </c>
      <c r="G1499" t="s">
        <v>37</v>
      </c>
      <c r="H1499">
        <v>1984</v>
      </c>
      <c r="I1499">
        <v>26.0982612444007</v>
      </c>
      <c r="J1499">
        <v>10.132869758606001</v>
      </c>
      <c r="K1499">
        <v>74</v>
      </c>
      <c r="L1499">
        <v>9.3235480797809096</v>
      </c>
      <c r="M1499">
        <v>33.531129959769899</v>
      </c>
      <c r="N1499">
        <v>19.9653911723261</v>
      </c>
      <c r="O1499">
        <v>13.5657390677411</v>
      </c>
      <c r="P1499">
        <v>26.504173928965699</v>
      </c>
      <c r="Q1499">
        <v>26.431130172066101</v>
      </c>
      <c r="R1499">
        <v>27.290608042841399</v>
      </c>
      <c r="S1499">
        <v>24.744695845894199</v>
      </c>
      <c r="T1499">
        <v>1392.28173913043</v>
      </c>
      <c r="U1499">
        <v>201.40521739130401</v>
      </c>
      <c r="V1499">
        <v>24.0173913043478</v>
      </c>
      <c r="W1499">
        <v>52.252173913043499</v>
      </c>
      <c r="X1499">
        <v>523.95826086956504</v>
      </c>
      <c r="Y1499">
        <v>97.006956521739099</v>
      </c>
      <c r="Z1499">
        <v>313.87130434782603</v>
      </c>
      <c r="AA1499">
        <v>445.74608695652199</v>
      </c>
      <c r="AB1499">
        <v>2.5488682224439501</v>
      </c>
      <c r="AC1499">
        <v>0.35882013244959299</v>
      </c>
      <c r="AD1499">
        <v>2.1730840120108201</v>
      </c>
      <c r="AE1499">
        <v>0.710171118197234</v>
      </c>
      <c r="AF1499">
        <v>188.92521739130399</v>
      </c>
      <c r="AG1499">
        <f>IFERROR(AH1499*0.1, "N/A")</f>
        <v>5.6846956521739109</v>
      </c>
      <c r="AH1499">
        <v>56.846956521739102</v>
      </c>
      <c r="AI1499">
        <v>251.76435446034299</v>
      </c>
      <c r="AJ1499">
        <v>24.309565217391299</v>
      </c>
      <c r="AK1499">
        <v>59.883478260869602</v>
      </c>
    </row>
    <row r="1500" spans="1:37" x14ac:dyDescent="0.3">
      <c r="A1500">
        <v>1499</v>
      </c>
      <c r="B1500">
        <v>59.099997999999999</v>
      </c>
      <c r="C1500">
        <v>0.66666700000000001</v>
      </c>
      <c r="D1500">
        <v>6.8833299999999999</v>
      </c>
      <c r="E1500" t="s">
        <v>2636</v>
      </c>
      <c r="F1500" t="s">
        <v>2638</v>
      </c>
      <c r="G1500" t="s">
        <v>39</v>
      </c>
      <c r="H1500">
        <v>1984</v>
      </c>
      <c r="I1500">
        <v>26.0982612444007</v>
      </c>
      <c r="J1500">
        <v>10.132869758606001</v>
      </c>
      <c r="K1500">
        <v>74</v>
      </c>
      <c r="L1500">
        <v>9.3235480797809096</v>
      </c>
      <c r="M1500">
        <v>33.531129959769899</v>
      </c>
      <c r="N1500">
        <v>19.9653911723261</v>
      </c>
      <c r="O1500">
        <v>13.5657390677411</v>
      </c>
      <c r="P1500">
        <v>26.504173928965699</v>
      </c>
      <c r="Q1500">
        <v>26.431130172066101</v>
      </c>
      <c r="R1500">
        <v>27.290608042841399</v>
      </c>
      <c r="S1500">
        <v>24.744695845894199</v>
      </c>
      <c r="T1500">
        <v>1392.28173913043</v>
      </c>
      <c r="U1500">
        <v>201.40521739130401</v>
      </c>
      <c r="V1500">
        <v>24.0173913043478</v>
      </c>
      <c r="W1500">
        <v>52.252173913043499</v>
      </c>
      <c r="X1500">
        <v>523.95826086956504</v>
      </c>
      <c r="Y1500">
        <v>97.006956521739099</v>
      </c>
      <c r="Z1500">
        <v>313.87130434782603</v>
      </c>
      <c r="AA1500">
        <v>445.74608695652199</v>
      </c>
      <c r="AB1500">
        <v>2.5488682224439501</v>
      </c>
      <c r="AC1500">
        <v>0.35882013244959299</v>
      </c>
      <c r="AD1500">
        <v>2.1730840120108201</v>
      </c>
      <c r="AE1500">
        <v>0.710171118197234</v>
      </c>
      <c r="AF1500">
        <v>188.92521739130399</v>
      </c>
      <c r="AG1500">
        <f>IFERROR(AH1500*0.1, "N/A")</f>
        <v>5.6846956521739109</v>
      </c>
      <c r="AH1500">
        <v>56.846956521739102</v>
      </c>
      <c r="AI1500">
        <v>251.76435446034299</v>
      </c>
      <c r="AJ1500">
        <v>24.309565217391299</v>
      </c>
      <c r="AK1500">
        <v>59.883478260869602</v>
      </c>
    </row>
    <row r="1501" spans="1:37" x14ac:dyDescent="0.3">
      <c r="A1501">
        <v>1500</v>
      </c>
      <c r="B1501">
        <v>4.3</v>
      </c>
      <c r="C1501">
        <v>0.66666700000000001</v>
      </c>
      <c r="D1501">
        <v>6.95</v>
      </c>
      <c r="E1501" t="s">
        <v>2639</v>
      </c>
      <c r="F1501" t="s">
        <v>2640</v>
      </c>
      <c r="G1501" t="s">
        <v>37</v>
      </c>
      <c r="H1501">
        <v>1984</v>
      </c>
      <c r="I1501">
        <v>25.961217243360402</v>
      </c>
      <c r="J1501">
        <v>10.199999809265099</v>
      </c>
      <c r="K1501">
        <v>74.504347826086999</v>
      </c>
      <c r="L1501">
        <v>9.7426084999416194</v>
      </c>
      <c r="M1501">
        <v>33.540695031207498</v>
      </c>
      <c r="N1501">
        <v>19.891130019478201</v>
      </c>
      <c r="O1501">
        <v>13.649565315246599</v>
      </c>
      <c r="P1501">
        <v>26.370086460942801</v>
      </c>
      <c r="Q1501">
        <v>26.391130019478201</v>
      </c>
      <c r="R1501">
        <v>27.200000762939499</v>
      </c>
      <c r="S1501">
        <v>24.561217624830199</v>
      </c>
      <c r="T1501">
        <v>1437.0730434782599</v>
      </c>
      <c r="U1501">
        <v>202.47652173912999</v>
      </c>
      <c r="V1501">
        <v>25.593043478260899</v>
      </c>
      <c r="W1501">
        <v>50.911304347826103</v>
      </c>
      <c r="X1501">
        <v>527.06956521739096</v>
      </c>
      <c r="Y1501">
        <v>104.662608695652</v>
      </c>
      <c r="Z1501">
        <v>322.36347826087001</v>
      </c>
      <c r="AA1501">
        <v>466.61391304347802</v>
      </c>
      <c r="AB1501">
        <v>9.4083471148947009</v>
      </c>
      <c r="AC1501">
        <v>0.20247426072216601</v>
      </c>
      <c r="AD1501">
        <v>2.6764691119608699</v>
      </c>
      <c r="AE1501">
        <v>0.67332046104514098</v>
      </c>
      <c r="AF1501">
        <v>247.68</v>
      </c>
      <c r="AG1501">
        <f>IFERROR(AH1501*0.1, "N/A")</f>
        <v>5.5363478260869599</v>
      </c>
      <c r="AH1501">
        <v>55.363478260869599</v>
      </c>
      <c r="AI1501">
        <v>173.12842285156299</v>
      </c>
      <c r="AJ1501">
        <v>22.935652173912999</v>
      </c>
      <c r="AK1501">
        <v>56.064347826087001</v>
      </c>
    </row>
    <row r="1502" spans="1:37" x14ac:dyDescent="0.3">
      <c r="A1502">
        <v>1501</v>
      </c>
      <c r="B1502">
        <v>35.900002000000001</v>
      </c>
      <c r="C1502">
        <v>0.66666700000000001</v>
      </c>
      <c r="D1502">
        <v>6.95</v>
      </c>
      <c r="E1502" t="s">
        <v>2639</v>
      </c>
      <c r="F1502" t="s">
        <v>2641</v>
      </c>
      <c r="G1502" t="s">
        <v>39</v>
      </c>
      <c r="H1502">
        <v>1984</v>
      </c>
      <c r="I1502">
        <v>25.961217243360402</v>
      </c>
      <c r="J1502">
        <v>10.199999809265099</v>
      </c>
      <c r="K1502">
        <v>74.504347826086999</v>
      </c>
      <c r="L1502">
        <v>9.7426084999416194</v>
      </c>
      <c r="M1502">
        <v>33.540695031207498</v>
      </c>
      <c r="N1502">
        <v>19.891130019478201</v>
      </c>
      <c r="O1502">
        <v>13.649565315246599</v>
      </c>
      <c r="P1502">
        <v>26.370086460942801</v>
      </c>
      <c r="Q1502">
        <v>26.391130019478201</v>
      </c>
      <c r="R1502">
        <v>27.200000762939499</v>
      </c>
      <c r="S1502">
        <v>24.561217624830199</v>
      </c>
      <c r="T1502">
        <v>1437.0730434782599</v>
      </c>
      <c r="U1502">
        <v>202.47652173912999</v>
      </c>
      <c r="V1502">
        <v>25.593043478260899</v>
      </c>
      <c r="W1502">
        <v>50.911304347826103</v>
      </c>
      <c r="X1502">
        <v>527.06956521739096</v>
      </c>
      <c r="Y1502">
        <v>104.662608695652</v>
      </c>
      <c r="Z1502">
        <v>322.36347826087001</v>
      </c>
      <c r="AA1502">
        <v>466.61391304347802</v>
      </c>
      <c r="AB1502">
        <v>9.4083471148947009</v>
      </c>
      <c r="AC1502">
        <v>0.20247426072216601</v>
      </c>
      <c r="AD1502">
        <v>2.6764691119608699</v>
      </c>
      <c r="AE1502">
        <v>0.67332046104514098</v>
      </c>
      <c r="AF1502">
        <v>247.68</v>
      </c>
      <c r="AG1502">
        <f>IFERROR(AH1502*0.1, "N/A")</f>
        <v>5.5363478260869599</v>
      </c>
      <c r="AH1502">
        <v>55.363478260869599</v>
      </c>
      <c r="AI1502">
        <v>173.12842285156299</v>
      </c>
      <c r="AJ1502">
        <v>22.935652173912999</v>
      </c>
      <c r="AK1502">
        <v>56.064347826087001</v>
      </c>
    </row>
    <row r="1503" spans="1:37" x14ac:dyDescent="0.3">
      <c r="A1503">
        <v>1502</v>
      </c>
      <c r="B1503">
        <v>11.2</v>
      </c>
      <c r="C1503">
        <v>1.6166700000000001</v>
      </c>
      <c r="D1503">
        <v>6.5</v>
      </c>
      <c r="E1503" t="s">
        <v>2642</v>
      </c>
      <c r="F1503" t="s">
        <v>2643</v>
      </c>
      <c r="G1503" t="s">
        <v>39</v>
      </c>
      <c r="H1503">
        <v>1980</v>
      </c>
      <c r="I1503">
        <v>26.725305786931699</v>
      </c>
      <c r="J1503">
        <v>9.0336825019610103</v>
      </c>
      <c r="K1503">
        <v>73</v>
      </c>
      <c r="L1503">
        <v>11.391605720054001</v>
      </c>
      <c r="M1503">
        <v>33.625304463438098</v>
      </c>
      <c r="N1503">
        <v>21.325304743715201</v>
      </c>
      <c r="O1503">
        <v>12.300000190734901</v>
      </c>
      <c r="P1503">
        <v>26.851133812576499</v>
      </c>
      <c r="Q1503">
        <v>27.507853433099701</v>
      </c>
      <c r="R1503">
        <v>28.107853814569399</v>
      </c>
      <c r="S1503">
        <v>25.1511349569857</v>
      </c>
      <c r="T1503">
        <v>1030.66143106457</v>
      </c>
      <c r="U1503">
        <v>189.07329842931901</v>
      </c>
      <c r="V1503">
        <v>12</v>
      </c>
      <c r="W1503">
        <v>64.741710296684104</v>
      </c>
      <c r="X1503">
        <v>492.15706806282702</v>
      </c>
      <c r="Y1503">
        <v>66.668411867364796</v>
      </c>
      <c r="Z1503">
        <v>246.9092495637</v>
      </c>
      <c r="AA1503">
        <v>315.820244328098</v>
      </c>
      <c r="AB1503">
        <v>8.8708511672094907</v>
      </c>
      <c r="AC1503">
        <v>0.12537922924888301</v>
      </c>
      <c r="AD1503">
        <v>2.0937329062616601</v>
      </c>
      <c r="AE1503">
        <v>0.836153924465179</v>
      </c>
      <c r="AF1503">
        <v>78.024432809773103</v>
      </c>
      <c r="AG1503">
        <f>IFERROR(AH1503*0.1, "N/A")</f>
        <v>6.3678883071553205</v>
      </c>
      <c r="AH1503">
        <v>63.678883071553201</v>
      </c>
      <c r="AI1503">
        <v>136.25122773335201</v>
      </c>
      <c r="AJ1503">
        <v>16.2757417102967</v>
      </c>
      <c r="AK1503">
        <v>69</v>
      </c>
    </row>
    <row r="1504" spans="1:37" x14ac:dyDescent="0.3">
      <c r="A1504">
        <v>1503</v>
      </c>
      <c r="B1504">
        <v>56</v>
      </c>
      <c r="C1504">
        <v>1.25</v>
      </c>
      <c r="D1504">
        <v>6.9333299999999998</v>
      </c>
      <c r="E1504" t="s">
        <v>2644</v>
      </c>
      <c r="F1504" t="s">
        <v>2645</v>
      </c>
      <c r="G1504" t="s">
        <v>39</v>
      </c>
      <c r="H1504">
        <v>1982</v>
      </c>
      <c r="I1504">
        <v>27.047469640069401</v>
      </c>
      <c r="J1504">
        <v>10.1000003814697</v>
      </c>
      <c r="K1504">
        <v>74</v>
      </c>
      <c r="L1504">
        <v>11.494938700611099</v>
      </c>
      <c r="M1504">
        <v>34.910123535475797</v>
      </c>
      <c r="N1504">
        <v>21.313437333697799</v>
      </c>
      <c r="O1504">
        <v>13.596684487494301</v>
      </c>
      <c r="P1504">
        <v>27.2474694976008</v>
      </c>
      <c r="Q1504">
        <v>27.257591700262601</v>
      </c>
      <c r="R1504">
        <v>28.537347437407501</v>
      </c>
      <c r="S1504">
        <v>25.547469640069401</v>
      </c>
      <c r="T1504">
        <v>1106.2146596858599</v>
      </c>
      <c r="U1504">
        <v>159.101221640489</v>
      </c>
      <c r="V1504">
        <v>13.525305410122201</v>
      </c>
      <c r="W1504">
        <v>54.441535776614302</v>
      </c>
      <c r="X1504">
        <v>427.65968586387402</v>
      </c>
      <c r="Y1504">
        <v>67.21815008726</v>
      </c>
      <c r="Z1504">
        <v>261.116928446771</v>
      </c>
      <c r="AA1504">
        <v>349.68935427574201</v>
      </c>
      <c r="AB1504">
        <v>6.6174521587698099</v>
      </c>
      <c r="AC1504">
        <v>2.0038999872279001E-2</v>
      </c>
      <c r="AD1504">
        <v>2.2617891090702602</v>
      </c>
      <c r="AE1504">
        <v>0.634973764419556</v>
      </c>
      <c r="AF1504">
        <v>104.614310645724</v>
      </c>
      <c r="AG1504">
        <f>IFERROR(AH1504*0.1, "N/A")</f>
        <v>6.2</v>
      </c>
      <c r="AH1504">
        <v>62</v>
      </c>
      <c r="AI1504">
        <v>278.67416858506698</v>
      </c>
      <c r="AJ1504">
        <v>15</v>
      </c>
      <c r="AK1504">
        <v>65.268760907504401</v>
      </c>
    </row>
    <row r="1505" spans="1:37" x14ac:dyDescent="0.3">
      <c r="A1505">
        <v>1504</v>
      </c>
      <c r="B1505">
        <v>0</v>
      </c>
      <c r="C1505">
        <v>1.25</v>
      </c>
      <c r="D1505">
        <v>6.9333299999999998</v>
      </c>
      <c r="E1505" t="s">
        <v>2644</v>
      </c>
      <c r="F1505" t="s">
        <v>2646</v>
      </c>
      <c r="G1505" t="s">
        <v>37</v>
      </c>
      <c r="H1505">
        <v>1982</v>
      </c>
      <c r="I1505">
        <v>27.047469640069401</v>
      </c>
      <c r="J1505">
        <v>10.1000003814697</v>
      </c>
      <c r="K1505">
        <v>74</v>
      </c>
      <c r="L1505">
        <v>11.494938700611099</v>
      </c>
      <c r="M1505">
        <v>34.910123535475797</v>
      </c>
      <c r="N1505">
        <v>21.313437333697799</v>
      </c>
      <c r="O1505">
        <v>13.596684487494301</v>
      </c>
      <c r="P1505">
        <v>27.2474694976008</v>
      </c>
      <c r="Q1505">
        <v>27.257591700262601</v>
      </c>
      <c r="R1505">
        <v>28.537347437407501</v>
      </c>
      <c r="S1505">
        <v>25.547469640069401</v>
      </c>
      <c r="T1505">
        <v>1106.2146596858599</v>
      </c>
      <c r="U1505">
        <v>159.101221640489</v>
      </c>
      <c r="V1505">
        <v>13.525305410122201</v>
      </c>
      <c r="W1505">
        <v>54.441535776614302</v>
      </c>
      <c r="X1505">
        <v>427.65968586387402</v>
      </c>
      <c r="Y1505">
        <v>67.21815008726</v>
      </c>
      <c r="Z1505">
        <v>261.116928446771</v>
      </c>
      <c r="AA1505">
        <v>349.68935427574201</v>
      </c>
      <c r="AB1505">
        <v>6.6174521587698099</v>
      </c>
      <c r="AC1505">
        <v>2.0038999872279001E-2</v>
      </c>
      <c r="AD1505">
        <v>2.2617891090702602</v>
      </c>
      <c r="AE1505">
        <v>0.634973764419556</v>
      </c>
      <c r="AF1505">
        <v>104.614310645724</v>
      </c>
      <c r="AG1505">
        <f>IFERROR(AH1505*0.1, "N/A")</f>
        <v>6.2</v>
      </c>
      <c r="AH1505">
        <v>62</v>
      </c>
      <c r="AI1505">
        <v>278.67416858506698</v>
      </c>
      <c r="AJ1505">
        <v>15</v>
      </c>
      <c r="AK1505">
        <v>65.268760907504401</v>
      </c>
    </row>
    <row r="1506" spans="1:37" x14ac:dyDescent="0.3">
      <c r="A1506">
        <v>1505</v>
      </c>
      <c r="B1506">
        <v>34.599997999999999</v>
      </c>
      <c r="C1506">
        <v>1.1666700000000001</v>
      </c>
      <c r="D1506">
        <v>6.95</v>
      </c>
      <c r="E1506" t="s">
        <v>2647</v>
      </c>
      <c r="F1506" t="s">
        <v>2648</v>
      </c>
      <c r="G1506" t="s">
        <v>39</v>
      </c>
      <c r="H1506">
        <v>1982</v>
      </c>
      <c r="I1506">
        <v>26.809027049276601</v>
      </c>
      <c r="J1506">
        <v>10.1000003814697</v>
      </c>
      <c r="K1506">
        <v>74.2135416666667</v>
      </c>
      <c r="L1506">
        <v>11.013940935333601</v>
      </c>
      <c r="M1506">
        <v>34.609026458528298</v>
      </c>
      <c r="N1506">
        <v>21.121354629596102</v>
      </c>
      <c r="O1506">
        <v>13.4876735640897</v>
      </c>
      <c r="P1506">
        <v>27.009027812216001</v>
      </c>
      <c r="Q1506">
        <v>27.030382060342401</v>
      </c>
      <c r="R1506">
        <v>28.2090284029643</v>
      </c>
      <c r="S1506">
        <v>25.378645370403898</v>
      </c>
      <c r="T1506">
        <v>1164.8298611111099</v>
      </c>
      <c r="U1506">
        <v>166.696180555556</v>
      </c>
      <c r="V1506">
        <v>16</v>
      </c>
      <c r="W1506">
        <v>53</v>
      </c>
      <c r="X1506">
        <v>444.00868055555497</v>
      </c>
      <c r="Y1506">
        <v>78</v>
      </c>
      <c r="Z1506">
        <v>273.222222222222</v>
      </c>
      <c r="AA1506">
        <v>374.10243055555497</v>
      </c>
      <c r="AB1506">
        <v>1.54947861035665</v>
      </c>
      <c r="AC1506">
        <v>0.68136858795413802</v>
      </c>
      <c r="AD1506">
        <v>2.04009082499477</v>
      </c>
      <c r="AE1506">
        <v>0.78722375631332397</v>
      </c>
      <c r="AF1506">
        <v>142.758680555556</v>
      </c>
      <c r="AG1506">
        <f>IFERROR(AH1506*0.1, "N/A")</f>
        <v>6.5</v>
      </c>
      <c r="AH1506">
        <v>65</v>
      </c>
      <c r="AI1506">
        <v>135.54233611292301</v>
      </c>
      <c r="AJ1506">
        <v>15.3506944444444</v>
      </c>
      <c r="AK1506">
        <v>68.2621527777778</v>
      </c>
    </row>
    <row r="1507" spans="1:37" x14ac:dyDescent="0.3">
      <c r="A1507">
        <v>1506</v>
      </c>
      <c r="B1507">
        <v>0</v>
      </c>
      <c r="C1507">
        <v>1.1666700000000001</v>
      </c>
      <c r="D1507">
        <v>6.95</v>
      </c>
      <c r="E1507" t="s">
        <v>2647</v>
      </c>
      <c r="F1507" t="s">
        <v>2649</v>
      </c>
      <c r="G1507" t="s">
        <v>37</v>
      </c>
      <c r="H1507">
        <v>1982</v>
      </c>
      <c r="I1507">
        <v>26.809027049276601</v>
      </c>
      <c r="J1507">
        <v>10.1000003814697</v>
      </c>
      <c r="K1507">
        <v>74.2135416666667</v>
      </c>
      <c r="L1507">
        <v>11.013940935333601</v>
      </c>
      <c r="M1507">
        <v>34.609026458528298</v>
      </c>
      <c r="N1507">
        <v>21.121354629596102</v>
      </c>
      <c r="O1507">
        <v>13.4876735640897</v>
      </c>
      <c r="P1507">
        <v>27.009027812216001</v>
      </c>
      <c r="Q1507">
        <v>27.030382060342401</v>
      </c>
      <c r="R1507">
        <v>28.2090284029643</v>
      </c>
      <c r="S1507">
        <v>25.378645370403898</v>
      </c>
      <c r="T1507">
        <v>1164.8298611111099</v>
      </c>
      <c r="U1507">
        <v>166.696180555556</v>
      </c>
      <c r="V1507">
        <v>16</v>
      </c>
      <c r="W1507">
        <v>53</v>
      </c>
      <c r="X1507">
        <v>444.00868055555497</v>
      </c>
      <c r="Y1507">
        <v>78</v>
      </c>
      <c r="Z1507">
        <v>273.222222222222</v>
      </c>
      <c r="AA1507">
        <v>374.10243055555497</v>
      </c>
      <c r="AB1507">
        <v>1.54947861035665</v>
      </c>
      <c r="AC1507">
        <v>0.68136858795413802</v>
      </c>
      <c r="AD1507">
        <v>2.04009082499477</v>
      </c>
      <c r="AE1507">
        <v>0.78722375631332397</v>
      </c>
      <c r="AF1507">
        <v>142.758680555556</v>
      </c>
      <c r="AG1507">
        <f>IFERROR(AH1507*0.1, "N/A")</f>
        <v>6.5</v>
      </c>
      <c r="AH1507">
        <v>65</v>
      </c>
      <c r="AI1507">
        <v>135.54233611292301</v>
      </c>
      <c r="AJ1507">
        <v>15.3506944444444</v>
      </c>
      <c r="AK1507">
        <v>68.2621527777778</v>
      </c>
    </row>
    <row r="1508" spans="1:37" x14ac:dyDescent="0.3">
      <c r="A1508">
        <v>1507</v>
      </c>
      <c r="B1508">
        <v>36</v>
      </c>
      <c r="C1508">
        <v>1.1717500000000001</v>
      </c>
      <c r="D1508">
        <v>6.97262</v>
      </c>
      <c r="E1508" t="s">
        <v>2650</v>
      </c>
      <c r="F1508" t="s">
        <v>2651</v>
      </c>
      <c r="G1508" t="s">
        <v>39</v>
      </c>
      <c r="H1508">
        <v>1982</v>
      </c>
      <c r="I1508">
        <v>26.899999618530298</v>
      </c>
      <c r="J1508">
        <v>10.1000003814697</v>
      </c>
      <c r="K1508">
        <v>74</v>
      </c>
      <c r="L1508">
        <v>11.2799997329712</v>
      </c>
      <c r="M1508">
        <v>34.799999237060497</v>
      </c>
      <c r="N1508">
        <v>21.200000762939499</v>
      </c>
      <c r="O1508">
        <v>13.6000003814697</v>
      </c>
      <c r="P1508">
        <v>27.200000762939499</v>
      </c>
      <c r="Q1508">
        <v>27.100000381469702</v>
      </c>
      <c r="R1508">
        <v>28.399999618530298</v>
      </c>
      <c r="S1508">
        <v>25.5</v>
      </c>
      <c r="T1508">
        <v>1164</v>
      </c>
      <c r="U1508">
        <v>167</v>
      </c>
      <c r="V1508">
        <v>16</v>
      </c>
      <c r="W1508">
        <v>53</v>
      </c>
      <c r="X1508">
        <v>442</v>
      </c>
      <c r="Y1508">
        <v>77</v>
      </c>
      <c r="Z1508">
        <v>269</v>
      </c>
      <c r="AA1508">
        <v>379</v>
      </c>
      <c r="AB1508">
        <v>18.046773421202701</v>
      </c>
      <c r="AC1508">
        <v>1.0440756825251999E-2</v>
      </c>
      <c r="AD1508">
        <v>1.7768282603218899</v>
      </c>
      <c r="AE1508">
        <v>0.472199589794219</v>
      </c>
      <c r="AF1508">
        <v>140.35253054101199</v>
      </c>
      <c r="AG1508">
        <f>IFERROR(AH1508*0.1, "N/A")</f>
        <v>6.4991273996509609</v>
      </c>
      <c r="AH1508">
        <v>64.991273996509605</v>
      </c>
      <c r="AI1508">
        <v>157.33543469893399</v>
      </c>
      <c r="AJ1508">
        <v>15</v>
      </c>
      <c r="AK1508">
        <v>67</v>
      </c>
    </row>
    <row r="1509" spans="1:37" x14ac:dyDescent="0.3">
      <c r="A1509">
        <v>1508</v>
      </c>
      <c r="B1509">
        <v>0</v>
      </c>
      <c r="C1509">
        <v>1.1717500000000001</v>
      </c>
      <c r="D1509">
        <v>6.97262</v>
      </c>
      <c r="E1509" t="s">
        <v>2650</v>
      </c>
      <c r="F1509" t="s">
        <v>2652</v>
      </c>
      <c r="G1509" t="s">
        <v>37</v>
      </c>
      <c r="H1509">
        <v>1982</v>
      </c>
      <c r="I1509">
        <v>26.899999618530298</v>
      </c>
      <c r="J1509">
        <v>10.1000003814697</v>
      </c>
      <c r="K1509">
        <v>74</v>
      </c>
      <c r="L1509">
        <v>11.2799997329712</v>
      </c>
      <c r="M1509">
        <v>34.799999237060497</v>
      </c>
      <c r="N1509">
        <v>21.200000762939499</v>
      </c>
      <c r="O1509">
        <v>13.6000003814697</v>
      </c>
      <c r="P1509">
        <v>27.200000762939499</v>
      </c>
      <c r="Q1509">
        <v>27.100000381469702</v>
      </c>
      <c r="R1509">
        <v>28.399999618530298</v>
      </c>
      <c r="S1509">
        <v>25.5</v>
      </c>
      <c r="T1509">
        <v>1164</v>
      </c>
      <c r="U1509">
        <v>167</v>
      </c>
      <c r="V1509">
        <v>16</v>
      </c>
      <c r="W1509">
        <v>53</v>
      </c>
      <c r="X1509">
        <v>442</v>
      </c>
      <c r="Y1509">
        <v>77</v>
      </c>
      <c r="Z1509">
        <v>269</v>
      </c>
      <c r="AA1509">
        <v>379</v>
      </c>
      <c r="AB1509">
        <v>18.046773421202701</v>
      </c>
      <c r="AC1509">
        <v>1.0440756825251999E-2</v>
      </c>
      <c r="AD1509">
        <v>1.7768282603218899</v>
      </c>
      <c r="AE1509">
        <v>0.472199589794219</v>
      </c>
      <c r="AF1509">
        <v>140.35253054101199</v>
      </c>
      <c r="AG1509">
        <f>IFERROR(AH1509*0.1, "N/A")</f>
        <v>6.4991273996509609</v>
      </c>
      <c r="AH1509">
        <v>64.991273996509605</v>
      </c>
      <c r="AI1509">
        <v>157.33543469893399</v>
      </c>
      <c r="AJ1509">
        <v>15</v>
      </c>
      <c r="AK1509">
        <v>67</v>
      </c>
    </row>
    <row r="1510" spans="1:37" x14ac:dyDescent="0.3">
      <c r="A1510">
        <v>1509</v>
      </c>
      <c r="B1510">
        <v>62</v>
      </c>
      <c r="C1510">
        <v>1.6148899999999999</v>
      </c>
      <c r="D1510">
        <v>7.0229799999999996</v>
      </c>
      <c r="E1510" t="s">
        <v>2653</v>
      </c>
      <c r="F1510" t="s">
        <v>2654</v>
      </c>
      <c r="G1510" t="s">
        <v>39</v>
      </c>
      <c r="H1510">
        <v>1982</v>
      </c>
      <c r="I1510">
        <v>26.899999618530298</v>
      </c>
      <c r="J1510">
        <v>10.1000003814697</v>
      </c>
      <c r="K1510">
        <v>73</v>
      </c>
      <c r="L1510">
        <v>12.3400001525879</v>
      </c>
      <c r="M1510">
        <v>34.799999237060497</v>
      </c>
      <c r="N1510">
        <v>21.100000381469702</v>
      </c>
      <c r="O1510">
        <v>13.699999809265099</v>
      </c>
      <c r="P1510">
        <v>27.100000381469702</v>
      </c>
      <c r="Q1510">
        <v>27.200000762939499</v>
      </c>
      <c r="R1510">
        <v>28.5</v>
      </c>
      <c r="S1510">
        <v>25.200000762939499</v>
      </c>
      <c r="T1510">
        <v>1078</v>
      </c>
      <c r="U1510">
        <v>153</v>
      </c>
      <c r="V1510">
        <v>6</v>
      </c>
      <c r="W1510">
        <v>58</v>
      </c>
      <c r="X1510">
        <v>410</v>
      </c>
      <c r="Y1510">
        <v>47</v>
      </c>
      <c r="Z1510">
        <v>268</v>
      </c>
      <c r="AA1510">
        <v>386</v>
      </c>
      <c r="AB1510">
        <v>26.183395200947199</v>
      </c>
      <c r="AC1510">
        <v>9.5419555444879994E-3</v>
      </c>
      <c r="AD1510">
        <v>1.0345523808035499</v>
      </c>
      <c r="AE1510">
        <v>0.71396058797836304</v>
      </c>
      <c r="AF1510">
        <v>150.43944636678199</v>
      </c>
      <c r="AG1510">
        <f>IFERROR(AH1510*0.1, "N/A")</f>
        <v>6.0051903114186906</v>
      </c>
      <c r="AH1510">
        <v>60.051903114186899</v>
      </c>
      <c r="AI1510">
        <v>175.48711899490101</v>
      </c>
      <c r="AJ1510">
        <v>13.9480968858132</v>
      </c>
      <c r="AK1510">
        <v>74.103806228373699</v>
      </c>
    </row>
    <row r="1511" spans="1:37" x14ac:dyDescent="0.3">
      <c r="A1511">
        <v>1510</v>
      </c>
      <c r="B1511">
        <v>0</v>
      </c>
      <c r="C1511">
        <v>1.6148899999999999</v>
      </c>
      <c r="D1511">
        <v>7.0229799999999996</v>
      </c>
      <c r="E1511" t="s">
        <v>2653</v>
      </c>
      <c r="F1511" t="s">
        <v>2655</v>
      </c>
      <c r="G1511" t="s">
        <v>37</v>
      </c>
      <c r="H1511">
        <v>1982</v>
      </c>
      <c r="I1511">
        <v>26.899999618530298</v>
      </c>
      <c r="J1511">
        <v>10.1000003814697</v>
      </c>
      <c r="K1511">
        <v>73</v>
      </c>
      <c r="L1511">
        <v>12.3400001525879</v>
      </c>
      <c r="M1511">
        <v>34.799999237060497</v>
      </c>
      <c r="N1511">
        <v>21.100000381469702</v>
      </c>
      <c r="O1511">
        <v>13.699999809265099</v>
      </c>
      <c r="P1511">
        <v>27.100000381469702</v>
      </c>
      <c r="Q1511">
        <v>27.200000762939499</v>
      </c>
      <c r="R1511">
        <v>28.5</v>
      </c>
      <c r="S1511">
        <v>25.200000762939499</v>
      </c>
      <c r="T1511">
        <v>1078</v>
      </c>
      <c r="U1511">
        <v>153</v>
      </c>
      <c r="V1511">
        <v>6</v>
      </c>
      <c r="W1511">
        <v>58</v>
      </c>
      <c r="X1511">
        <v>410</v>
      </c>
      <c r="Y1511">
        <v>47</v>
      </c>
      <c r="Z1511">
        <v>268</v>
      </c>
      <c r="AA1511">
        <v>386</v>
      </c>
      <c r="AB1511">
        <v>26.183395200947199</v>
      </c>
      <c r="AC1511">
        <v>9.5419555444879994E-3</v>
      </c>
      <c r="AD1511">
        <v>1.0345523808035499</v>
      </c>
      <c r="AE1511">
        <v>0.71396058797836304</v>
      </c>
      <c r="AF1511">
        <v>150.43944636678199</v>
      </c>
      <c r="AG1511">
        <f>IFERROR(AH1511*0.1, "N/A")</f>
        <v>6.0051903114186906</v>
      </c>
      <c r="AH1511">
        <v>60.051903114186899</v>
      </c>
      <c r="AI1511">
        <v>175.48711899490101</v>
      </c>
      <c r="AJ1511">
        <v>13.9480968858132</v>
      </c>
      <c r="AK1511">
        <v>74.103806228373699</v>
      </c>
    </row>
    <row r="1512" spans="1:37" x14ac:dyDescent="0.3">
      <c r="A1512">
        <v>1511</v>
      </c>
      <c r="B1512">
        <v>28.6</v>
      </c>
      <c r="C1512">
        <v>1.6069100000000001</v>
      </c>
      <c r="D1512">
        <v>7.02332</v>
      </c>
      <c r="E1512" t="s">
        <v>2656</v>
      </c>
      <c r="F1512" t="s">
        <v>2657</v>
      </c>
      <c r="G1512" t="s">
        <v>39</v>
      </c>
      <c r="H1512">
        <v>1982</v>
      </c>
      <c r="I1512">
        <v>27</v>
      </c>
      <c r="J1512">
        <v>10.1000003814697</v>
      </c>
      <c r="K1512">
        <v>73</v>
      </c>
      <c r="L1512">
        <v>12.439999580383301</v>
      </c>
      <c r="M1512">
        <v>34.900001525878899</v>
      </c>
      <c r="N1512">
        <v>21.100000381469702</v>
      </c>
      <c r="O1512">
        <v>13.800000190734901</v>
      </c>
      <c r="P1512">
        <v>27.100000381469702</v>
      </c>
      <c r="Q1512">
        <v>27.200000762939499</v>
      </c>
      <c r="R1512">
        <v>28.600000381469702</v>
      </c>
      <c r="S1512">
        <v>25.299999237060501</v>
      </c>
      <c r="T1512">
        <v>1073</v>
      </c>
      <c r="U1512">
        <v>152</v>
      </c>
      <c r="V1512">
        <v>6</v>
      </c>
      <c r="W1512">
        <v>58</v>
      </c>
      <c r="X1512">
        <v>409</v>
      </c>
      <c r="Y1512">
        <v>46</v>
      </c>
      <c r="Z1512">
        <v>265</v>
      </c>
      <c r="AA1512">
        <v>383</v>
      </c>
      <c r="AB1512">
        <v>10.0839996868631</v>
      </c>
      <c r="AC1512">
        <v>1.9744234985631E-2</v>
      </c>
      <c r="AD1512">
        <v>2.0941435119380101</v>
      </c>
      <c r="AE1512">
        <v>0.58928292989730802</v>
      </c>
      <c r="AF1512">
        <v>135.36521739130399</v>
      </c>
      <c r="AG1512">
        <f>IFERROR(AH1512*0.1, "N/A")</f>
        <v>6.3086956521739097</v>
      </c>
      <c r="AH1512">
        <v>63.086956521739097</v>
      </c>
      <c r="AI1512">
        <v>47.235627091449302</v>
      </c>
      <c r="AJ1512">
        <v>12.128695652173899</v>
      </c>
      <c r="AK1512">
        <v>73.045217391304305</v>
      </c>
    </row>
    <row r="1513" spans="1:37" x14ac:dyDescent="0.3">
      <c r="A1513">
        <v>1512</v>
      </c>
      <c r="B1513">
        <v>0</v>
      </c>
      <c r="C1513">
        <v>1.6069100000000001</v>
      </c>
      <c r="D1513">
        <v>7.02332</v>
      </c>
      <c r="E1513" t="s">
        <v>2656</v>
      </c>
      <c r="F1513" t="s">
        <v>2658</v>
      </c>
      <c r="G1513" t="s">
        <v>37</v>
      </c>
      <c r="H1513">
        <v>1982</v>
      </c>
      <c r="I1513">
        <v>27</v>
      </c>
      <c r="J1513">
        <v>10.1000003814697</v>
      </c>
      <c r="K1513">
        <v>73</v>
      </c>
      <c r="L1513">
        <v>12.439999580383301</v>
      </c>
      <c r="M1513">
        <v>34.900001525878899</v>
      </c>
      <c r="N1513">
        <v>21.100000381469702</v>
      </c>
      <c r="O1513">
        <v>13.800000190734901</v>
      </c>
      <c r="P1513">
        <v>27.100000381469702</v>
      </c>
      <c r="Q1513">
        <v>27.200000762939499</v>
      </c>
      <c r="R1513">
        <v>28.600000381469702</v>
      </c>
      <c r="S1513">
        <v>25.299999237060501</v>
      </c>
      <c r="T1513">
        <v>1073</v>
      </c>
      <c r="U1513">
        <v>152</v>
      </c>
      <c r="V1513">
        <v>6</v>
      </c>
      <c r="W1513">
        <v>58</v>
      </c>
      <c r="X1513">
        <v>409</v>
      </c>
      <c r="Y1513">
        <v>46</v>
      </c>
      <c r="Z1513">
        <v>265</v>
      </c>
      <c r="AA1513">
        <v>383</v>
      </c>
      <c r="AB1513">
        <v>10.0839996868631</v>
      </c>
      <c r="AC1513">
        <v>1.9744234985631E-2</v>
      </c>
      <c r="AD1513">
        <v>2.0941435119380101</v>
      </c>
      <c r="AE1513">
        <v>0.58928292989730802</v>
      </c>
      <c r="AF1513">
        <v>135.36521739130399</v>
      </c>
      <c r="AG1513">
        <f>IFERROR(AH1513*0.1, "N/A")</f>
        <v>6.3086956521739097</v>
      </c>
      <c r="AH1513">
        <v>63.086956521739097</v>
      </c>
      <c r="AI1513">
        <v>47.235627091449302</v>
      </c>
      <c r="AJ1513">
        <v>12.128695652173899</v>
      </c>
      <c r="AK1513">
        <v>73.045217391304305</v>
      </c>
    </row>
    <row r="1514" spans="1:37" x14ac:dyDescent="0.3">
      <c r="A1514">
        <v>1513</v>
      </c>
      <c r="B1514">
        <v>26.9</v>
      </c>
      <c r="C1514">
        <v>1.6166700000000001</v>
      </c>
      <c r="D1514">
        <v>7.3333300000000001</v>
      </c>
      <c r="E1514" t="s">
        <v>2659</v>
      </c>
      <c r="F1514" t="s">
        <v>2660</v>
      </c>
      <c r="G1514" t="s">
        <v>39</v>
      </c>
      <c r="H1514">
        <v>1982</v>
      </c>
      <c r="I1514">
        <v>26.856968148660201</v>
      </c>
      <c r="J1514">
        <v>10.3999996185303</v>
      </c>
      <c r="K1514">
        <v>73.109756097561004</v>
      </c>
      <c r="L1514">
        <v>12.351742357327099</v>
      </c>
      <c r="M1514">
        <v>35.071601694884599</v>
      </c>
      <c r="N1514">
        <v>20.967944128588101</v>
      </c>
      <c r="O1514">
        <v>14.103658792449201</v>
      </c>
      <c r="P1514">
        <v>26.1569692399028</v>
      </c>
      <c r="Q1514">
        <v>27.574390527678698</v>
      </c>
      <c r="R1514">
        <v>28.397212151451001</v>
      </c>
      <c r="S1514">
        <v>25.179791626614598</v>
      </c>
      <c r="T1514">
        <v>974.65853658536605</v>
      </c>
      <c r="U1514">
        <v>133.202090592334</v>
      </c>
      <c r="V1514">
        <v>7</v>
      </c>
      <c r="W1514">
        <v>60.228222996515697</v>
      </c>
      <c r="X1514">
        <v>381.80662020905902</v>
      </c>
      <c r="Y1514">
        <v>37.1742160278746</v>
      </c>
      <c r="Z1514">
        <v>210.355400696864</v>
      </c>
      <c r="AA1514">
        <v>373.75261324041799</v>
      </c>
      <c r="AB1514">
        <v>8.3529660959276999</v>
      </c>
      <c r="AC1514">
        <v>6.6372466909631E-2</v>
      </c>
      <c r="AD1514">
        <v>1.60225365116206</v>
      </c>
      <c r="AE1514">
        <v>0.64675444842215601</v>
      </c>
      <c r="AF1514">
        <v>177.66724738676001</v>
      </c>
      <c r="AG1514">
        <f>IFERROR(AH1514*0.1, "N/A")</f>
        <v>6.3318815331010505</v>
      </c>
      <c r="AH1514">
        <v>63.318815331010498</v>
      </c>
      <c r="AI1514">
        <v>283.21476334894197</v>
      </c>
      <c r="AJ1514">
        <v>11.9146341463415</v>
      </c>
      <c r="AK1514">
        <v>72.031358885017397</v>
      </c>
    </row>
    <row r="1515" spans="1:37" x14ac:dyDescent="0.3">
      <c r="A1515">
        <v>1514</v>
      </c>
      <c r="B1515">
        <v>0</v>
      </c>
      <c r="C1515">
        <v>1.6166700000000001</v>
      </c>
      <c r="D1515">
        <v>7.3333300000000001</v>
      </c>
      <c r="E1515" t="s">
        <v>2659</v>
      </c>
      <c r="F1515" t="s">
        <v>2661</v>
      </c>
      <c r="G1515" t="s">
        <v>37</v>
      </c>
      <c r="H1515">
        <v>1982</v>
      </c>
      <c r="I1515">
        <v>26.856968148660201</v>
      </c>
      <c r="J1515">
        <v>10.3999996185303</v>
      </c>
      <c r="K1515">
        <v>73.109756097561004</v>
      </c>
      <c r="L1515">
        <v>12.351742357327099</v>
      </c>
      <c r="M1515">
        <v>35.071601694884599</v>
      </c>
      <c r="N1515">
        <v>20.967944128588101</v>
      </c>
      <c r="O1515">
        <v>14.103658792449201</v>
      </c>
      <c r="P1515">
        <v>26.1569692399028</v>
      </c>
      <c r="Q1515">
        <v>27.574390527678698</v>
      </c>
      <c r="R1515">
        <v>28.397212151451001</v>
      </c>
      <c r="S1515">
        <v>25.179791626614598</v>
      </c>
      <c r="T1515">
        <v>974.65853658536605</v>
      </c>
      <c r="U1515">
        <v>133.202090592334</v>
      </c>
      <c r="V1515">
        <v>7</v>
      </c>
      <c r="W1515">
        <v>60.228222996515697</v>
      </c>
      <c r="X1515">
        <v>381.80662020905902</v>
      </c>
      <c r="Y1515">
        <v>37.1742160278746</v>
      </c>
      <c r="Z1515">
        <v>210.355400696864</v>
      </c>
      <c r="AA1515">
        <v>373.75261324041799</v>
      </c>
      <c r="AB1515">
        <v>8.3529660959276999</v>
      </c>
      <c r="AC1515">
        <v>6.6372466909631E-2</v>
      </c>
      <c r="AD1515">
        <v>1.60225365116206</v>
      </c>
      <c r="AE1515">
        <v>0.64675444842215601</v>
      </c>
      <c r="AF1515">
        <v>177.66724738676001</v>
      </c>
      <c r="AG1515">
        <f>IFERROR(AH1515*0.1, "N/A")</f>
        <v>6.3318815331010505</v>
      </c>
      <c r="AH1515">
        <v>63.318815331010498</v>
      </c>
      <c r="AI1515">
        <v>283.21476334894197</v>
      </c>
      <c r="AJ1515">
        <v>11.9146341463415</v>
      </c>
      <c r="AK1515">
        <v>72.031358885017397</v>
      </c>
    </row>
    <row r="1516" spans="1:37" x14ac:dyDescent="0.3">
      <c r="A1516">
        <v>1515</v>
      </c>
      <c r="B1516">
        <v>9.1</v>
      </c>
      <c r="C1516">
        <v>1.47889</v>
      </c>
      <c r="D1516">
        <v>6.20139</v>
      </c>
      <c r="E1516" t="s">
        <v>2662</v>
      </c>
      <c r="F1516" t="s">
        <v>2663</v>
      </c>
      <c r="G1516" t="s">
        <v>39</v>
      </c>
      <c r="H1516">
        <v>1982</v>
      </c>
      <c r="I1516" t="s">
        <v>729</v>
      </c>
      <c r="J1516" t="s">
        <v>729</v>
      </c>
      <c r="K1516" t="s">
        <v>729</v>
      </c>
      <c r="L1516" t="s">
        <v>729</v>
      </c>
      <c r="M1516" t="s">
        <v>729</v>
      </c>
      <c r="N1516" t="s">
        <v>729</v>
      </c>
      <c r="O1516" t="s">
        <v>729</v>
      </c>
      <c r="P1516" t="s">
        <v>729</v>
      </c>
      <c r="Q1516" t="s">
        <v>729</v>
      </c>
      <c r="R1516" t="s">
        <v>729</v>
      </c>
      <c r="S1516" t="s">
        <v>729</v>
      </c>
      <c r="T1516" t="s">
        <v>729</v>
      </c>
      <c r="U1516" t="s">
        <v>729</v>
      </c>
      <c r="V1516" t="s">
        <v>729</v>
      </c>
      <c r="W1516" t="s">
        <v>729</v>
      </c>
      <c r="X1516" t="s">
        <v>729</v>
      </c>
      <c r="Y1516" t="s">
        <v>729</v>
      </c>
      <c r="Z1516" t="s">
        <v>729</v>
      </c>
      <c r="AA1516" t="s">
        <v>729</v>
      </c>
      <c r="AB1516" t="s">
        <v>729</v>
      </c>
      <c r="AC1516" t="s">
        <v>729</v>
      </c>
      <c r="AD1516" t="s">
        <v>729</v>
      </c>
      <c r="AE1516" t="s">
        <v>729</v>
      </c>
      <c r="AF1516" t="s">
        <v>729</v>
      </c>
      <c r="AG1516" t="str">
        <f>IFERROR(AH1516*0.1, "N/A")</f>
        <v>N/A</v>
      </c>
      <c r="AH1516" t="s">
        <v>729</v>
      </c>
      <c r="AI1516" t="s">
        <v>729</v>
      </c>
      <c r="AJ1516" t="s">
        <v>729</v>
      </c>
      <c r="AK1516" t="s">
        <v>729</v>
      </c>
    </row>
    <row r="1517" spans="1:37" x14ac:dyDescent="0.3">
      <c r="A1517">
        <v>1516</v>
      </c>
      <c r="B1517">
        <v>0</v>
      </c>
      <c r="C1517">
        <v>1.47889</v>
      </c>
      <c r="D1517">
        <v>6.20139</v>
      </c>
      <c r="E1517" t="s">
        <v>2662</v>
      </c>
      <c r="F1517" t="s">
        <v>2664</v>
      </c>
      <c r="G1517" t="s">
        <v>37</v>
      </c>
      <c r="H1517">
        <v>1982</v>
      </c>
      <c r="I1517" t="s">
        <v>729</v>
      </c>
      <c r="J1517" t="s">
        <v>729</v>
      </c>
      <c r="K1517" t="s">
        <v>729</v>
      </c>
      <c r="L1517" t="s">
        <v>729</v>
      </c>
      <c r="M1517" t="s">
        <v>729</v>
      </c>
      <c r="N1517" t="s">
        <v>729</v>
      </c>
      <c r="O1517" t="s">
        <v>729</v>
      </c>
      <c r="P1517" t="s">
        <v>729</v>
      </c>
      <c r="Q1517" t="s">
        <v>729</v>
      </c>
      <c r="R1517" t="s">
        <v>729</v>
      </c>
      <c r="S1517" t="s">
        <v>729</v>
      </c>
      <c r="T1517" t="s">
        <v>729</v>
      </c>
      <c r="U1517" t="s">
        <v>729</v>
      </c>
      <c r="V1517" t="s">
        <v>729</v>
      </c>
      <c r="W1517" t="s">
        <v>729</v>
      </c>
      <c r="X1517" t="s">
        <v>729</v>
      </c>
      <c r="Y1517" t="s">
        <v>729</v>
      </c>
      <c r="Z1517" t="s">
        <v>729</v>
      </c>
      <c r="AA1517" t="s">
        <v>729</v>
      </c>
      <c r="AB1517" t="s">
        <v>729</v>
      </c>
      <c r="AC1517" t="s">
        <v>729</v>
      </c>
      <c r="AD1517" t="s">
        <v>729</v>
      </c>
      <c r="AE1517" t="s">
        <v>729</v>
      </c>
      <c r="AF1517" t="s">
        <v>729</v>
      </c>
      <c r="AG1517" t="str">
        <f>IFERROR(AH1517*0.1, "N/A")</f>
        <v>N/A</v>
      </c>
      <c r="AH1517" t="s">
        <v>729</v>
      </c>
      <c r="AI1517" t="s">
        <v>729</v>
      </c>
      <c r="AJ1517" t="s">
        <v>729</v>
      </c>
      <c r="AK1517" t="s">
        <v>729</v>
      </c>
    </row>
    <row r="1518" spans="1:37" x14ac:dyDescent="0.3">
      <c r="A1518">
        <v>1517</v>
      </c>
      <c r="B1518">
        <v>8.1999999999999993</v>
      </c>
      <c r="C1518">
        <v>1.4781599999999999</v>
      </c>
      <c r="D1518">
        <v>6.2337600000000002</v>
      </c>
      <c r="E1518" t="s">
        <v>2665</v>
      </c>
      <c r="F1518" t="s">
        <v>2666</v>
      </c>
      <c r="G1518" t="s">
        <v>39</v>
      </c>
      <c r="H1518">
        <v>1982</v>
      </c>
      <c r="I1518">
        <v>26.899999618530298</v>
      </c>
      <c r="J1518">
        <v>7.9801047310155102</v>
      </c>
      <c r="K1518">
        <v>74</v>
      </c>
      <c r="L1518">
        <v>10.775968991025</v>
      </c>
      <c r="M1518">
        <v>32.700000762939503</v>
      </c>
      <c r="N1518">
        <v>22.019895363852601</v>
      </c>
      <c r="O1518">
        <v>10.680104635148799</v>
      </c>
      <c r="P1518">
        <v>27.219895747319601</v>
      </c>
      <c r="Q1518">
        <v>27.219895747319601</v>
      </c>
      <c r="R1518">
        <v>28.200000762939499</v>
      </c>
      <c r="S1518">
        <v>25.399999618530298</v>
      </c>
      <c r="T1518">
        <v>888.80628272251295</v>
      </c>
      <c r="U1518">
        <v>238.59685863874299</v>
      </c>
      <c r="V1518">
        <v>5.8010471204188496</v>
      </c>
      <c r="W1518">
        <v>86.596858638743399</v>
      </c>
      <c r="X1518">
        <v>509.19895287958099</v>
      </c>
      <c r="Y1518">
        <v>46.403141361256502</v>
      </c>
      <c r="Z1518">
        <v>204.602094240838</v>
      </c>
      <c r="AA1518">
        <v>158.602094240838</v>
      </c>
      <c r="AB1518">
        <v>13.6898783339256</v>
      </c>
      <c r="AC1518">
        <v>3.5150024453162003E-2</v>
      </c>
      <c r="AD1518">
        <v>0.91809084278126696</v>
      </c>
      <c r="AE1518">
        <v>0.608915802695988</v>
      </c>
      <c r="AF1518">
        <v>22.272251308900501</v>
      </c>
      <c r="AG1518">
        <f>IFERROR(AH1518*0.1, "N/A")</f>
        <v>4.92338568935428</v>
      </c>
      <c r="AH1518">
        <v>49.2338568935428</v>
      </c>
      <c r="AI1518">
        <v>242.68508153519301</v>
      </c>
      <c r="AJ1518">
        <v>22</v>
      </c>
      <c r="AK1518">
        <v>55.116928446771396</v>
      </c>
    </row>
    <row r="1519" spans="1:37" x14ac:dyDescent="0.3">
      <c r="A1519">
        <v>1518</v>
      </c>
      <c r="B1519">
        <v>0</v>
      </c>
      <c r="C1519">
        <v>1.4781599999999999</v>
      </c>
      <c r="D1519">
        <v>6.2337600000000002</v>
      </c>
      <c r="E1519" t="s">
        <v>2665</v>
      </c>
      <c r="F1519" t="s">
        <v>2667</v>
      </c>
      <c r="G1519" t="s">
        <v>37</v>
      </c>
      <c r="H1519">
        <v>1982</v>
      </c>
      <c r="I1519">
        <v>26.899999618530298</v>
      </c>
      <c r="J1519">
        <v>7.9801047310155102</v>
      </c>
      <c r="K1519">
        <v>74</v>
      </c>
      <c r="L1519">
        <v>10.775968991025</v>
      </c>
      <c r="M1519">
        <v>32.700000762939503</v>
      </c>
      <c r="N1519">
        <v>22.019895363852601</v>
      </c>
      <c r="O1519">
        <v>10.680104635148799</v>
      </c>
      <c r="P1519">
        <v>27.219895747319601</v>
      </c>
      <c r="Q1519">
        <v>27.219895747319601</v>
      </c>
      <c r="R1519">
        <v>28.200000762939499</v>
      </c>
      <c r="S1519">
        <v>25.399999618530298</v>
      </c>
      <c r="T1519">
        <v>888.80628272251295</v>
      </c>
      <c r="U1519">
        <v>238.59685863874299</v>
      </c>
      <c r="V1519">
        <v>5.8010471204188496</v>
      </c>
      <c r="W1519">
        <v>86.596858638743399</v>
      </c>
      <c r="X1519">
        <v>509.19895287958099</v>
      </c>
      <c r="Y1519">
        <v>46.403141361256502</v>
      </c>
      <c r="Z1519">
        <v>204.602094240838</v>
      </c>
      <c r="AA1519">
        <v>158.602094240838</v>
      </c>
      <c r="AB1519">
        <v>13.6898783339256</v>
      </c>
      <c r="AC1519">
        <v>3.5150024453162003E-2</v>
      </c>
      <c r="AD1519">
        <v>0.91809084278126696</v>
      </c>
      <c r="AE1519">
        <v>0.608915802695988</v>
      </c>
      <c r="AF1519">
        <v>22.272251308900501</v>
      </c>
      <c r="AG1519">
        <f>IFERROR(AH1519*0.1, "N/A")</f>
        <v>4.92338568935428</v>
      </c>
      <c r="AH1519">
        <v>49.2338568935428</v>
      </c>
      <c r="AI1519">
        <v>242.68508153519301</v>
      </c>
      <c r="AJ1519">
        <v>22</v>
      </c>
      <c r="AK1519">
        <v>55.116928446771396</v>
      </c>
    </row>
    <row r="1520" spans="1:37" x14ac:dyDescent="0.3">
      <c r="A1520">
        <v>1519</v>
      </c>
      <c r="B1520">
        <v>2</v>
      </c>
      <c r="C1520">
        <v>1.3761099999999999</v>
      </c>
      <c r="D1520">
        <v>6.23583</v>
      </c>
      <c r="E1520" t="s">
        <v>2668</v>
      </c>
      <c r="F1520" t="s">
        <v>2669</v>
      </c>
      <c r="G1520" t="s">
        <v>39</v>
      </c>
      <c r="H1520">
        <v>1982</v>
      </c>
      <c r="I1520">
        <v>26.7993023835824</v>
      </c>
      <c r="J1520">
        <v>8</v>
      </c>
      <c r="K1520">
        <v>74</v>
      </c>
      <c r="L1520">
        <v>10.8986755796426</v>
      </c>
      <c r="M1520">
        <v>32.599301620642898</v>
      </c>
      <c r="N1520">
        <v>21.899302751760501</v>
      </c>
      <c r="O1520">
        <v>10.699999809265099</v>
      </c>
      <c r="P1520">
        <v>27.198607029399799</v>
      </c>
      <c r="Q1520">
        <v>27.498606266460399</v>
      </c>
      <c r="R1520">
        <v>28.198607029399799</v>
      </c>
      <c r="S1520">
        <v>25.299302383582301</v>
      </c>
      <c r="T1520">
        <v>862.04878048780495</v>
      </c>
      <c r="U1520">
        <v>227.98606271777001</v>
      </c>
      <c r="V1520">
        <v>7</v>
      </c>
      <c r="W1520">
        <v>86.986062717769997</v>
      </c>
      <c r="X1520">
        <v>491.99303135888499</v>
      </c>
      <c r="Y1520">
        <v>43.006968641115002</v>
      </c>
      <c r="Z1520">
        <v>195.02787456446001</v>
      </c>
      <c r="AA1520">
        <v>157.02787456446001</v>
      </c>
      <c r="AB1520">
        <v>20.734844167888799</v>
      </c>
      <c r="AC1520">
        <v>1.0704276898311001E-2</v>
      </c>
      <c r="AD1520">
        <v>2.4508386729901699</v>
      </c>
      <c r="AE1520">
        <v>0.74626868963241599</v>
      </c>
      <c r="AF1520">
        <v>23.3031358885017</v>
      </c>
      <c r="AG1520">
        <f>IFERROR(AH1520*0.1, "N/A")</f>
        <v>5.4</v>
      </c>
      <c r="AH1520">
        <v>54</v>
      </c>
      <c r="AI1520">
        <v>176.531373665308</v>
      </c>
      <c r="AJ1520">
        <v>18</v>
      </c>
      <c r="AK1520">
        <v>62.013937282230003</v>
      </c>
    </row>
    <row r="1521" spans="1:37" x14ac:dyDescent="0.3">
      <c r="A1521">
        <v>1520</v>
      </c>
      <c r="B1521">
        <v>0</v>
      </c>
      <c r="C1521">
        <v>1.3761099999999999</v>
      </c>
      <c r="D1521">
        <v>6.23583</v>
      </c>
      <c r="E1521" t="s">
        <v>2668</v>
      </c>
      <c r="F1521" t="s">
        <v>2670</v>
      </c>
      <c r="G1521" t="s">
        <v>37</v>
      </c>
      <c r="H1521">
        <v>1982</v>
      </c>
      <c r="I1521">
        <v>26.7993023835824</v>
      </c>
      <c r="J1521">
        <v>8</v>
      </c>
      <c r="K1521">
        <v>74</v>
      </c>
      <c r="L1521">
        <v>10.8986755796426</v>
      </c>
      <c r="M1521">
        <v>32.599301620642898</v>
      </c>
      <c r="N1521">
        <v>21.899302751760501</v>
      </c>
      <c r="O1521">
        <v>10.699999809265099</v>
      </c>
      <c r="P1521">
        <v>27.198607029399799</v>
      </c>
      <c r="Q1521">
        <v>27.498606266460399</v>
      </c>
      <c r="R1521">
        <v>28.198607029399799</v>
      </c>
      <c r="S1521">
        <v>25.299302383582301</v>
      </c>
      <c r="T1521">
        <v>862.04878048780495</v>
      </c>
      <c r="U1521">
        <v>227.98606271777001</v>
      </c>
      <c r="V1521">
        <v>7</v>
      </c>
      <c r="W1521">
        <v>86.986062717769997</v>
      </c>
      <c r="X1521">
        <v>491.99303135888499</v>
      </c>
      <c r="Y1521">
        <v>43.006968641115002</v>
      </c>
      <c r="Z1521">
        <v>195.02787456446001</v>
      </c>
      <c r="AA1521">
        <v>157.02787456446001</v>
      </c>
      <c r="AB1521">
        <v>20.734844167888799</v>
      </c>
      <c r="AC1521">
        <v>1.0704276898311001E-2</v>
      </c>
      <c r="AD1521">
        <v>2.4508386729901699</v>
      </c>
      <c r="AE1521">
        <v>0.74626868963241599</v>
      </c>
      <c r="AF1521">
        <v>23.3031358885017</v>
      </c>
      <c r="AG1521">
        <f>IFERROR(AH1521*0.1, "N/A")</f>
        <v>5.4</v>
      </c>
      <c r="AH1521">
        <v>54</v>
      </c>
      <c r="AI1521">
        <v>176.531373665308</v>
      </c>
      <c r="AJ1521">
        <v>18</v>
      </c>
      <c r="AK1521">
        <v>62.013937282230003</v>
      </c>
    </row>
    <row r="1522" spans="1:37" x14ac:dyDescent="0.3">
      <c r="A1522">
        <v>1521</v>
      </c>
      <c r="B1522">
        <v>2.1</v>
      </c>
      <c r="C1522">
        <v>1.28139</v>
      </c>
      <c r="D1522">
        <v>6.24472</v>
      </c>
      <c r="E1522" t="s">
        <v>2671</v>
      </c>
      <c r="F1522" t="s">
        <v>2672</v>
      </c>
      <c r="G1522" t="s">
        <v>39</v>
      </c>
      <c r="H1522">
        <v>1982</v>
      </c>
      <c r="I1522">
        <v>26.799999237060501</v>
      </c>
      <c r="J1522">
        <v>8</v>
      </c>
      <c r="K1522">
        <v>75</v>
      </c>
      <c r="L1522">
        <v>10.2600002288818</v>
      </c>
      <c r="M1522">
        <v>32.5</v>
      </c>
      <c r="N1522">
        <v>21.899999618530298</v>
      </c>
      <c r="O1522">
        <v>10.6000003814697</v>
      </c>
      <c r="P1522">
        <v>27.100000381469702</v>
      </c>
      <c r="Q1522">
        <v>27.399999618530298</v>
      </c>
      <c r="R1522">
        <v>28.100000381469702</v>
      </c>
      <c r="S1522">
        <v>25.399999618530298</v>
      </c>
      <c r="T1522">
        <v>865</v>
      </c>
      <c r="U1522">
        <v>207</v>
      </c>
      <c r="V1522">
        <v>9</v>
      </c>
      <c r="W1522">
        <v>77</v>
      </c>
      <c r="X1522">
        <v>462</v>
      </c>
      <c r="Y1522">
        <v>50</v>
      </c>
      <c r="Z1522">
        <v>199</v>
      </c>
      <c r="AA1522">
        <v>172</v>
      </c>
      <c r="AB1522">
        <v>9.5876095340722092</v>
      </c>
      <c r="AC1522">
        <v>3.7907846975765998E-2</v>
      </c>
      <c r="AD1522">
        <v>2.8933390476732801</v>
      </c>
      <c r="AE1522">
        <v>0.73641884326934803</v>
      </c>
      <c r="AF1522">
        <v>13.610820244328099</v>
      </c>
      <c r="AG1522">
        <f>IFERROR(AH1522*0.1, "N/A")</f>
        <v>6.0699825479930203</v>
      </c>
      <c r="AH1522">
        <v>60.699825479930198</v>
      </c>
      <c r="AI1522">
        <v>235.26123164045501</v>
      </c>
      <c r="AJ1522">
        <v>16.307155322862101</v>
      </c>
      <c r="AK1522">
        <v>65.528795811518293</v>
      </c>
    </row>
    <row r="1523" spans="1:37" x14ac:dyDescent="0.3">
      <c r="A1523">
        <v>1522</v>
      </c>
      <c r="B1523">
        <v>0</v>
      </c>
      <c r="C1523">
        <v>1.28139</v>
      </c>
      <c r="D1523">
        <v>6.24472</v>
      </c>
      <c r="E1523" t="s">
        <v>2671</v>
      </c>
      <c r="F1523" t="s">
        <v>2673</v>
      </c>
      <c r="G1523" t="s">
        <v>37</v>
      </c>
      <c r="H1523">
        <v>1982</v>
      </c>
      <c r="I1523">
        <v>26.799999237060501</v>
      </c>
      <c r="J1523">
        <v>8</v>
      </c>
      <c r="K1523">
        <v>75</v>
      </c>
      <c r="L1523">
        <v>10.2600002288818</v>
      </c>
      <c r="M1523">
        <v>32.5</v>
      </c>
      <c r="N1523">
        <v>21.899999618530298</v>
      </c>
      <c r="O1523">
        <v>10.6000003814697</v>
      </c>
      <c r="P1523">
        <v>27.100000381469702</v>
      </c>
      <c r="Q1523">
        <v>27.399999618530298</v>
      </c>
      <c r="R1523">
        <v>28.100000381469702</v>
      </c>
      <c r="S1523">
        <v>25.399999618530298</v>
      </c>
      <c r="T1523">
        <v>865</v>
      </c>
      <c r="U1523">
        <v>207</v>
      </c>
      <c r="V1523">
        <v>9</v>
      </c>
      <c r="W1523">
        <v>77</v>
      </c>
      <c r="X1523">
        <v>462</v>
      </c>
      <c r="Y1523">
        <v>50</v>
      </c>
      <c r="Z1523">
        <v>199</v>
      </c>
      <c r="AA1523">
        <v>172</v>
      </c>
      <c r="AB1523">
        <v>9.5876095340722092</v>
      </c>
      <c r="AC1523">
        <v>3.7907846975765998E-2</v>
      </c>
      <c r="AD1523">
        <v>2.8933390476732801</v>
      </c>
      <c r="AE1523">
        <v>0.73641884326934803</v>
      </c>
      <c r="AF1523">
        <v>13.610820244328099</v>
      </c>
      <c r="AG1523">
        <f>IFERROR(AH1523*0.1, "N/A")</f>
        <v>6.0699825479930203</v>
      </c>
      <c r="AH1523">
        <v>60.699825479930198</v>
      </c>
      <c r="AI1523">
        <v>235.26123164045501</v>
      </c>
      <c r="AJ1523">
        <v>16.307155322862101</v>
      </c>
      <c r="AK1523">
        <v>65.528795811518293</v>
      </c>
    </row>
    <row r="1524" spans="1:37" x14ac:dyDescent="0.3">
      <c r="A1524">
        <v>1523</v>
      </c>
      <c r="B1524">
        <v>30</v>
      </c>
      <c r="C1524">
        <v>1.75</v>
      </c>
      <c r="D1524">
        <v>6.2666700000000004</v>
      </c>
      <c r="E1524" t="s">
        <v>2674</v>
      </c>
      <c r="F1524" t="s">
        <v>2675</v>
      </c>
      <c r="G1524" t="s">
        <v>39</v>
      </c>
      <c r="H1524">
        <v>1982</v>
      </c>
      <c r="I1524">
        <v>27.299999237060501</v>
      </c>
      <c r="J1524">
        <v>7.7218149012087904</v>
      </c>
      <c r="K1524">
        <v>72.198952879581199</v>
      </c>
      <c r="L1524">
        <v>11.122984298652799</v>
      </c>
      <c r="M1524">
        <v>33.001919691475301</v>
      </c>
      <c r="N1524">
        <v>22.399999618530298</v>
      </c>
      <c r="O1524">
        <v>10.601919901516601</v>
      </c>
      <c r="P1524">
        <v>27.5684121283353</v>
      </c>
      <c r="Q1524">
        <v>27.840314415737001</v>
      </c>
      <c r="R1524">
        <v>28.6485171459524</v>
      </c>
      <c r="S1524">
        <v>25.773298073813599</v>
      </c>
      <c r="T1524">
        <v>970.76265270506099</v>
      </c>
      <c r="U1524">
        <v>258.04886561954601</v>
      </c>
      <c r="V1524">
        <v>8.31588132635253</v>
      </c>
      <c r="W1524">
        <v>84.8010471204189</v>
      </c>
      <c r="X1524">
        <v>532.24781849912699</v>
      </c>
      <c r="Y1524">
        <v>58.78184991274</v>
      </c>
      <c r="Z1524">
        <v>208.08202443280999</v>
      </c>
      <c r="AA1524">
        <v>180</v>
      </c>
      <c r="AB1524">
        <v>2.5335079903794</v>
      </c>
      <c r="AC1524">
        <v>1.1182087151752999E-2</v>
      </c>
      <c r="AD1524">
        <v>1.5922057876204101</v>
      </c>
      <c r="AE1524">
        <v>0.69544327259063698</v>
      </c>
      <c r="AF1524">
        <v>5.9703315881326402</v>
      </c>
      <c r="AG1524">
        <f>IFERROR(AH1524*0.1, "N/A")</f>
        <v>5.5417102966841201</v>
      </c>
      <c r="AH1524">
        <v>55.417102966841199</v>
      </c>
      <c r="AI1524">
        <v>199.13481355836899</v>
      </c>
      <c r="AJ1524">
        <v>26.417102966841199</v>
      </c>
      <c r="AK1524">
        <v>52</v>
      </c>
    </row>
    <row r="1525" spans="1:37" x14ac:dyDescent="0.3">
      <c r="A1525">
        <v>1524</v>
      </c>
      <c r="B1525">
        <v>0</v>
      </c>
      <c r="C1525">
        <v>1.75</v>
      </c>
      <c r="D1525">
        <v>6.2666700000000004</v>
      </c>
      <c r="E1525" t="s">
        <v>2674</v>
      </c>
      <c r="F1525" t="s">
        <v>2676</v>
      </c>
      <c r="G1525" t="s">
        <v>37</v>
      </c>
      <c r="H1525">
        <v>1982</v>
      </c>
      <c r="I1525">
        <v>27.299999237060501</v>
      </c>
      <c r="J1525">
        <v>7.7218149012087904</v>
      </c>
      <c r="K1525">
        <v>72.198952879581199</v>
      </c>
      <c r="L1525">
        <v>11.122984298652799</v>
      </c>
      <c r="M1525">
        <v>33.001919691475301</v>
      </c>
      <c r="N1525">
        <v>22.399999618530298</v>
      </c>
      <c r="O1525">
        <v>10.601919901516601</v>
      </c>
      <c r="P1525">
        <v>27.5684121283353</v>
      </c>
      <c r="Q1525">
        <v>27.840314415737001</v>
      </c>
      <c r="R1525">
        <v>28.6485171459524</v>
      </c>
      <c r="S1525">
        <v>25.773298073813599</v>
      </c>
      <c r="T1525">
        <v>970.76265270506099</v>
      </c>
      <c r="U1525">
        <v>258.04886561954601</v>
      </c>
      <c r="V1525">
        <v>8.31588132635253</v>
      </c>
      <c r="W1525">
        <v>84.8010471204189</v>
      </c>
      <c r="X1525">
        <v>532.24781849912699</v>
      </c>
      <c r="Y1525">
        <v>58.78184991274</v>
      </c>
      <c r="Z1525">
        <v>208.08202443280999</v>
      </c>
      <c r="AA1525">
        <v>180</v>
      </c>
      <c r="AB1525">
        <v>2.5335079903794</v>
      </c>
      <c r="AC1525">
        <v>1.1182087151752999E-2</v>
      </c>
      <c r="AD1525">
        <v>1.5922057876204101</v>
      </c>
      <c r="AE1525">
        <v>0.69544327259063698</v>
      </c>
      <c r="AF1525">
        <v>5.9703315881326402</v>
      </c>
      <c r="AG1525">
        <f>IFERROR(AH1525*0.1, "N/A")</f>
        <v>5.5417102966841201</v>
      </c>
      <c r="AH1525">
        <v>55.417102966841199</v>
      </c>
      <c r="AI1525">
        <v>199.13481355836899</v>
      </c>
      <c r="AJ1525">
        <v>26.417102966841199</v>
      </c>
      <c r="AK1525">
        <v>52</v>
      </c>
    </row>
    <row r="1526" spans="1:37" x14ac:dyDescent="0.3">
      <c r="A1526">
        <v>1525</v>
      </c>
      <c r="B1526">
        <v>50</v>
      </c>
      <c r="C1526">
        <v>1.42222</v>
      </c>
      <c r="D1526">
        <v>6.2838900000000004</v>
      </c>
      <c r="E1526" t="s">
        <v>2677</v>
      </c>
      <c r="F1526" t="s">
        <v>2678</v>
      </c>
      <c r="G1526" t="s">
        <v>39</v>
      </c>
      <c r="H1526">
        <v>1982</v>
      </c>
      <c r="I1526">
        <v>26.934146090251598</v>
      </c>
      <c r="J1526">
        <v>8.1999998092651403</v>
      </c>
      <c r="K1526">
        <v>75</v>
      </c>
      <c r="L1526">
        <v>10.648292541503899</v>
      </c>
      <c r="M1526">
        <v>32.900001525878899</v>
      </c>
      <c r="N1526">
        <v>22</v>
      </c>
      <c r="O1526">
        <v>10.8999996185303</v>
      </c>
      <c r="P1526">
        <v>27.2341465833711</v>
      </c>
      <c r="Q1526">
        <v>27.5341464717214</v>
      </c>
      <c r="R1526">
        <v>28.234146583371</v>
      </c>
      <c r="S1526">
        <v>25.434146090251598</v>
      </c>
      <c r="T1526">
        <v>873.31707317073199</v>
      </c>
      <c r="U1526">
        <v>220.02439024390199</v>
      </c>
      <c r="V1526">
        <v>7</v>
      </c>
      <c r="W1526">
        <v>82.341463414634106</v>
      </c>
      <c r="X1526">
        <v>485.68292682926801</v>
      </c>
      <c r="Y1526">
        <v>46</v>
      </c>
      <c r="Z1526">
        <v>202.31707317073199</v>
      </c>
      <c r="AA1526">
        <v>162.65853658536599</v>
      </c>
      <c r="AB1526">
        <v>1.53519154488002</v>
      </c>
      <c r="AC1526">
        <v>0.14395344124957701</v>
      </c>
      <c r="AD1526">
        <v>1.8857668455469501</v>
      </c>
      <c r="AE1526">
        <v>0.59075713157653797</v>
      </c>
      <c r="AF1526">
        <v>1.4738675958188101</v>
      </c>
      <c r="AG1526">
        <f>IFERROR(AH1526*0.1, "N/A")</f>
        <v>5.6062717770034807</v>
      </c>
      <c r="AH1526">
        <v>56.062717770034801</v>
      </c>
      <c r="AI1526">
        <v>226.67299355945499</v>
      </c>
      <c r="AJ1526">
        <v>23.968641114982599</v>
      </c>
      <c r="AK1526">
        <v>57.069686411149803</v>
      </c>
    </row>
    <row r="1527" spans="1:37" x14ac:dyDescent="0.3">
      <c r="A1527">
        <v>1526</v>
      </c>
      <c r="B1527">
        <v>0</v>
      </c>
      <c r="C1527">
        <v>1.42222</v>
      </c>
      <c r="D1527">
        <v>6.2838900000000004</v>
      </c>
      <c r="E1527" t="s">
        <v>2677</v>
      </c>
      <c r="F1527" t="s">
        <v>2679</v>
      </c>
      <c r="G1527" t="s">
        <v>37</v>
      </c>
      <c r="H1527">
        <v>1982</v>
      </c>
      <c r="I1527">
        <v>26.934146090251598</v>
      </c>
      <c r="J1527">
        <v>8.1999998092651403</v>
      </c>
      <c r="K1527">
        <v>75</v>
      </c>
      <c r="L1527">
        <v>10.648292541503899</v>
      </c>
      <c r="M1527">
        <v>32.900001525878899</v>
      </c>
      <c r="N1527">
        <v>22</v>
      </c>
      <c r="O1527">
        <v>10.8999996185303</v>
      </c>
      <c r="P1527">
        <v>27.2341465833711</v>
      </c>
      <c r="Q1527">
        <v>27.5341464717214</v>
      </c>
      <c r="R1527">
        <v>28.234146583371</v>
      </c>
      <c r="S1527">
        <v>25.434146090251598</v>
      </c>
      <c r="T1527">
        <v>873.31707317073199</v>
      </c>
      <c r="U1527">
        <v>220.02439024390199</v>
      </c>
      <c r="V1527">
        <v>7</v>
      </c>
      <c r="W1527">
        <v>82.341463414634106</v>
      </c>
      <c r="X1527">
        <v>485.68292682926801</v>
      </c>
      <c r="Y1527">
        <v>46</v>
      </c>
      <c r="Z1527">
        <v>202.31707317073199</v>
      </c>
      <c r="AA1527">
        <v>162.65853658536599</v>
      </c>
      <c r="AB1527">
        <v>1.53519154488002</v>
      </c>
      <c r="AC1527">
        <v>0.14395344124957701</v>
      </c>
      <c r="AD1527">
        <v>1.8857668455469501</v>
      </c>
      <c r="AE1527">
        <v>0.59075713157653797</v>
      </c>
      <c r="AF1527">
        <v>1.4738675958188101</v>
      </c>
      <c r="AG1527">
        <f>IFERROR(AH1527*0.1, "N/A")</f>
        <v>5.6062717770034807</v>
      </c>
      <c r="AH1527">
        <v>56.062717770034801</v>
      </c>
      <c r="AI1527">
        <v>226.67299355945499</v>
      </c>
      <c r="AJ1527">
        <v>23.968641114982599</v>
      </c>
      <c r="AK1527">
        <v>57.069686411149803</v>
      </c>
    </row>
    <row r="1528" spans="1:37" x14ac:dyDescent="0.3">
      <c r="A1528">
        <v>1527</v>
      </c>
      <c r="B1528">
        <v>20.5</v>
      </c>
      <c r="C1528">
        <v>1.3588899999999999</v>
      </c>
      <c r="D1528">
        <v>6.3083299999999998</v>
      </c>
      <c r="E1528" t="s">
        <v>2680</v>
      </c>
      <c r="F1528" t="s">
        <v>2681</v>
      </c>
      <c r="G1528" t="s">
        <v>39</v>
      </c>
      <c r="H1528">
        <v>1982</v>
      </c>
      <c r="I1528">
        <v>26.795628674380399</v>
      </c>
      <c r="J1528">
        <v>8.3809437835133096</v>
      </c>
      <c r="K1528">
        <v>74.809440559440503</v>
      </c>
      <c r="L1528">
        <v>10.892237464864801</v>
      </c>
      <c r="M1528">
        <v>32.876574416260603</v>
      </c>
      <c r="N1528">
        <v>21.695630116896201</v>
      </c>
      <c r="O1528">
        <v>11.1809439742482</v>
      </c>
      <c r="P1528">
        <v>27.0912590893832</v>
      </c>
      <c r="Q1528">
        <v>27.419055635278902</v>
      </c>
      <c r="R1528">
        <v>28.095629735426499</v>
      </c>
      <c r="S1528">
        <v>25.2146857701815</v>
      </c>
      <c r="T1528">
        <v>885.84090909090901</v>
      </c>
      <c r="U1528">
        <v>204.527972027972</v>
      </c>
      <c r="V1528">
        <v>9.80944055944056</v>
      </c>
      <c r="W1528">
        <v>76.146853146853104</v>
      </c>
      <c r="X1528">
        <v>471.19055944055901</v>
      </c>
      <c r="Y1528">
        <v>50.662587412587399</v>
      </c>
      <c r="Z1528">
        <v>209.51573426573401</v>
      </c>
      <c r="AA1528">
        <v>172.70629370629399</v>
      </c>
      <c r="AB1528">
        <v>14.9419574470787</v>
      </c>
      <c r="AC1528">
        <v>8.4674450850531005E-2</v>
      </c>
      <c r="AD1528">
        <v>3.8812530801429599</v>
      </c>
      <c r="AE1528">
        <v>0.77510100603103604</v>
      </c>
      <c r="AF1528">
        <v>21.888111888111901</v>
      </c>
      <c r="AG1528">
        <f>IFERROR(AH1528*0.1, "N/A")</f>
        <v>6.2</v>
      </c>
      <c r="AH1528">
        <v>62</v>
      </c>
      <c r="AI1528">
        <v>74.914667576343007</v>
      </c>
      <c r="AJ1528">
        <v>16</v>
      </c>
      <c r="AK1528">
        <v>68.087412587412601</v>
      </c>
    </row>
    <row r="1529" spans="1:37" x14ac:dyDescent="0.3">
      <c r="A1529">
        <v>1528</v>
      </c>
      <c r="B1529">
        <v>0</v>
      </c>
      <c r="C1529">
        <v>1.3588899999999999</v>
      </c>
      <c r="D1529">
        <v>6.3083299999999998</v>
      </c>
      <c r="E1529" t="s">
        <v>2680</v>
      </c>
      <c r="F1529" t="s">
        <v>2682</v>
      </c>
      <c r="G1529" t="s">
        <v>37</v>
      </c>
      <c r="H1529">
        <v>1982</v>
      </c>
      <c r="I1529">
        <v>26.795628674380399</v>
      </c>
      <c r="J1529">
        <v>8.3809437835133096</v>
      </c>
      <c r="K1529">
        <v>74.809440559440503</v>
      </c>
      <c r="L1529">
        <v>10.892237464864801</v>
      </c>
      <c r="M1529">
        <v>32.876574416260603</v>
      </c>
      <c r="N1529">
        <v>21.695630116896201</v>
      </c>
      <c r="O1529">
        <v>11.1809439742482</v>
      </c>
      <c r="P1529">
        <v>27.0912590893832</v>
      </c>
      <c r="Q1529">
        <v>27.419055635278902</v>
      </c>
      <c r="R1529">
        <v>28.095629735426499</v>
      </c>
      <c r="S1529">
        <v>25.2146857701815</v>
      </c>
      <c r="T1529">
        <v>885.84090909090901</v>
      </c>
      <c r="U1529">
        <v>204.527972027972</v>
      </c>
      <c r="V1529">
        <v>9.80944055944056</v>
      </c>
      <c r="W1529">
        <v>76.146853146853104</v>
      </c>
      <c r="X1529">
        <v>471.19055944055901</v>
      </c>
      <c r="Y1529">
        <v>50.662587412587399</v>
      </c>
      <c r="Z1529">
        <v>209.51573426573401</v>
      </c>
      <c r="AA1529">
        <v>172.70629370629399</v>
      </c>
      <c r="AB1529">
        <v>14.9419574470787</v>
      </c>
      <c r="AC1529">
        <v>8.4674450850531005E-2</v>
      </c>
      <c r="AD1529">
        <v>3.8812530801429599</v>
      </c>
      <c r="AE1529">
        <v>0.77510100603103604</v>
      </c>
      <c r="AF1529">
        <v>21.888111888111901</v>
      </c>
      <c r="AG1529">
        <f>IFERROR(AH1529*0.1, "N/A")</f>
        <v>6.2</v>
      </c>
      <c r="AH1529">
        <v>62</v>
      </c>
      <c r="AI1529">
        <v>74.914667576343007</v>
      </c>
      <c r="AJ1529">
        <v>16</v>
      </c>
      <c r="AK1529">
        <v>68.087412587412601</v>
      </c>
    </row>
    <row r="1530" spans="1:37" x14ac:dyDescent="0.3">
      <c r="A1530">
        <v>1529</v>
      </c>
      <c r="B1530">
        <v>14</v>
      </c>
      <c r="C1530">
        <v>1.7117100000000001</v>
      </c>
      <c r="D1530">
        <v>6.34049</v>
      </c>
      <c r="E1530" t="s">
        <v>2683</v>
      </c>
      <c r="F1530" t="s">
        <v>2684</v>
      </c>
      <c r="G1530" t="s">
        <v>39</v>
      </c>
      <c r="H1530">
        <v>1982</v>
      </c>
      <c r="I1530">
        <v>27.100000381469702</v>
      </c>
      <c r="J1530">
        <v>8.1000003814697301</v>
      </c>
      <c r="K1530">
        <v>72</v>
      </c>
      <c r="L1530">
        <v>11.0100002288818</v>
      </c>
      <c r="M1530">
        <v>33.200000762939503</v>
      </c>
      <c r="N1530">
        <v>22.100000381469702</v>
      </c>
      <c r="O1530">
        <v>11.1000003814697</v>
      </c>
      <c r="P1530">
        <v>27.399999618530298</v>
      </c>
      <c r="Q1530">
        <v>27.799999237060501</v>
      </c>
      <c r="R1530">
        <v>28.5</v>
      </c>
      <c r="S1530">
        <v>25.600000381469702</v>
      </c>
      <c r="T1530">
        <v>967</v>
      </c>
      <c r="U1530">
        <v>235</v>
      </c>
      <c r="V1530">
        <v>10</v>
      </c>
      <c r="W1530">
        <v>78</v>
      </c>
      <c r="X1530">
        <v>508</v>
      </c>
      <c r="Y1530">
        <v>59</v>
      </c>
      <c r="Z1530">
        <v>209</v>
      </c>
      <c r="AA1530">
        <v>186</v>
      </c>
      <c r="AB1530">
        <v>1.2158260627414901</v>
      </c>
      <c r="AC1530">
        <v>2.6112459351770201</v>
      </c>
      <c r="AD1530">
        <v>2.02139579793681</v>
      </c>
      <c r="AE1530">
        <v>0.75489485056504002</v>
      </c>
      <c r="AF1530">
        <v>16.6939130434783</v>
      </c>
      <c r="AG1530">
        <f>IFERROR(AH1530*0.1, "N/A")</f>
        <v>5.5970434782608702</v>
      </c>
      <c r="AH1530">
        <v>55.970434782608699</v>
      </c>
      <c r="AI1530">
        <v>150.01294332753099</v>
      </c>
      <c r="AJ1530">
        <v>22.96</v>
      </c>
      <c r="AK1530">
        <v>59.201739130434802</v>
      </c>
    </row>
    <row r="1531" spans="1:37" x14ac:dyDescent="0.3">
      <c r="A1531">
        <v>1530</v>
      </c>
      <c r="B1531">
        <v>0</v>
      </c>
      <c r="C1531">
        <v>1.7117100000000001</v>
      </c>
      <c r="D1531">
        <v>6.34049</v>
      </c>
      <c r="E1531" t="s">
        <v>2683</v>
      </c>
      <c r="F1531" t="s">
        <v>2685</v>
      </c>
      <c r="G1531" t="s">
        <v>37</v>
      </c>
      <c r="H1531">
        <v>1982</v>
      </c>
      <c r="I1531">
        <v>27.100000381469702</v>
      </c>
      <c r="J1531">
        <v>8.1000003814697301</v>
      </c>
      <c r="K1531">
        <v>72</v>
      </c>
      <c r="L1531">
        <v>11.0100002288818</v>
      </c>
      <c r="M1531">
        <v>33.200000762939503</v>
      </c>
      <c r="N1531">
        <v>22.100000381469702</v>
      </c>
      <c r="O1531">
        <v>11.1000003814697</v>
      </c>
      <c r="P1531">
        <v>27.399999618530298</v>
      </c>
      <c r="Q1531">
        <v>27.799999237060501</v>
      </c>
      <c r="R1531">
        <v>28.5</v>
      </c>
      <c r="S1531">
        <v>25.600000381469702</v>
      </c>
      <c r="T1531">
        <v>967</v>
      </c>
      <c r="U1531">
        <v>235</v>
      </c>
      <c r="V1531">
        <v>10</v>
      </c>
      <c r="W1531">
        <v>78</v>
      </c>
      <c r="X1531">
        <v>508</v>
      </c>
      <c r="Y1531">
        <v>59</v>
      </c>
      <c r="Z1531">
        <v>209</v>
      </c>
      <c r="AA1531">
        <v>186</v>
      </c>
      <c r="AB1531">
        <v>1.2158260627414901</v>
      </c>
      <c r="AC1531">
        <v>2.6112459351770201</v>
      </c>
      <c r="AD1531">
        <v>2.02139579793681</v>
      </c>
      <c r="AE1531">
        <v>0.75489485056504002</v>
      </c>
      <c r="AF1531">
        <v>16.6939130434783</v>
      </c>
      <c r="AG1531">
        <f>IFERROR(AH1531*0.1, "N/A")</f>
        <v>5.5970434782608702</v>
      </c>
      <c r="AH1531">
        <v>55.970434782608699</v>
      </c>
      <c r="AI1531">
        <v>150.01294332753099</v>
      </c>
      <c r="AJ1531">
        <v>22.96</v>
      </c>
      <c r="AK1531">
        <v>59.201739130434802</v>
      </c>
    </row>
    <row r="1532" spans="1:37" x14ac:dyDescent="0.3">
      <c r="A1532">
        <v>1531</v>
      </c>
      <c r="B1532">
        <v>22.4</v>
      </c>
      <c r="C1532">
        <v>1.1116699999999999</v>
      </c>
      <c r="D1532">
        <v>6.3422200000000002</v>
      </c>
      <c r="E1532" t="s">
        <v>2686</v>
      </c>
      <c r="F1532" t="s">
        <v>2687</v>
      </c>
      <c r="G1532" t="s">
        <v>39</v>
      </c>
      <c r="H1532">
        <v>1982</v>
      </c>
      <c r="I1532">
        <v>26.661082638911999</v>
      </c>
      <c r="J1532">
        <v>8.5</v>
      </c>
      <c r="K1532">
        <v>75</v>
      </c>
      <c r="L1532">
        <v>10.412216303028201</v>
      </c>
      <c r="M1532">
        <v>32.761081855334503</v>
      </c>
      <c r="N1532">
        <v>21.561082257442202</v>
      </c>
      <c r="O1532">
        <v>11.199999809265099</v>
      </c>
      <c r="P1532">
        <v>26.9610818759725</v>
      </c>
      <c r="Q1532">
        <v>26.9610818759725</v>
      </c>
      <c r="R1532">
        <v>27.9610818759725</v>
      </c>
      <c r="S1532">
        <v>25.161082638911999</v>
      </c>
      <c r="T1532">
        <v>977.77835951134398</v>
      </c>
      <c r="U1532">
        <v>176.61082024432801</v>
      </c>
      <c r="V1532">
        <v>15</v>
      </c>
      <c r="W1532">
        <v>60.610820244328103</v>
      </c>
      <c r="X1532">
        <v>448.61082024432801</v>
      </c>
      <c r="Y1532">
        <v>73.389179755671904</v>
      </c>
      <c r="Z1532">
        <v>247.77835951134401</v>
      </c>
      <c r="AA1532">
        <v>216</v>
      </c>
      <c r="AB1532">
        <v>26.0924957601604</v>
      </c>
      <c r="AC1532">
        <v>2.8870663251304999E-2</v>
      </c>
      <c r="AD1532">
        <v>3.2580124716068002</v>
      </c>
      <c r="AE1532">
        <v>0.60693051480081905</v>
      </c>
      <c r="AF1532">
        <v>50.476439790575903</v>
      </c>
      <c r="AG1532">
        <f>IFERROR(AH1532*0.1, "N/A")</f>
        <v>5.9872600349040201</v>
      </c>
      <c r="AH1532">
        <v>59.872600349040198</v>
      </c>
      <c r="AI1532">
        <v>32.0838089305485</v>
      </c>
      <c r="AJ1532">
        <v>14.034904013961601</v>
      </c>
      <c r="AK1532">
        <v>70.092495636998294</v>
      </c>
    </row>
    <row r="1533" spans="1:37" x14ac:dyDescent="0.3">
      <c r="A1533">
        <v>1532</v>
      </c>
      <c r="B1533">
        <v>0</v>
      </c>
      <c r="C1533">
        <v>1.1116699999999999</v>
      </c>
      <c r="D1533">
        <v>6.3422200000000002</v>
      </c>
      <c r="E1533" t="s">
        <v>2686</v>
      </c>
      <c r="F1533" t="s">
        <v>2688</v>
      </c>
      <c r="G1533" t="s">
        <v>37</v>
      </c>
      <c r="H1533">
        <v>1982</v>
      </c>
      <c r="I1533">
        <v>26.661082638911999</v>
      </c>
      <c r="J1533">
        <v>8.5</v>
      </c>
      <c r="K1533">
        <v>75</v>
      </c>
      <c r="L1533">
        <v>10.412216303028201</v>
      </c>
      <c r="M1533">
        <v>32.761081855334503</v>
      </c>
      <c r="N1533">
        <v>21.561082257442202</v>
      </c>
      <c r="O1533">
        <v>11.199999809265099</v>
      </c>
      <c r="P1533">
        <v>26.9610818759725</v>
      </c>
      <c r="Q1533">
        <v>26.9610818759725</v>
      </c>
      <c r="R1533">
        <v>27.9610818759725</v>
      </c>
      <c r="S1533">
        <v>25.161082638911999</v>
      </c>
      <c r="T1533">
        <v>977.77835951134398</v>
      </c>
      <c r="U1533">
        <v>176.61082024432801</v>
      </c>
      <c r="V1533">
        <v>15</v>
      </c>
      <c r="W1533">
        <v>60.610820244328103</v>
      </c>
      <c r="X1533">
        <v>448.61082024432801</v>
      </c>
      <c r="Y1533">
        <v>73.389179755671904</v>
      </c>
      <c r="Z1533">
        <v>247.77835951134401</v>
      </c>
      <c r="AA1533">
        <v>216</v>
      </c>
      <c r="AB1533">
        <v>26.0924957601604</v>
      </c>
      <c r="AC1533">
        <v>2.8870663251304999E-2</v>
      </c>
      <c r="AD1533">
        <v>3.2580124716068002</v>
      </c>
      <c r="AE1533">
        <v>0.60693051480081905</v>
      </c>
      <c r="AF1533">
        <v>50.476439790575903</v>
      </c>
      <c r="AG1533">
        <f>IFERROR(AH1533*0.1, "N/A")</f>
        <v>5.9872600349040201</v>
      </c>
      <c r="AH1533">
        <v>59.872600349040198</v>
      </c>
      <c r="AI1533">
        <v>32.0838089305485</v>
      </c>
      <c r="AJ1533">
        <v>14.034904013961601</v>
      </c>
      <c r="AK1533">
        <v>70.092495636998294</v>
      </c>
    </row>
    <row r="1534" spans="1:37" x14ac:dyDescent="0.3">
      <c r="A1534">
        <v>1533</v>
      </c>
      <c r="B1534">
        <v>16</v>
      </c>
      <c r="C1534">
        <v>1.3680600000000001</v>
      </c>
      <c r="D1534">
        <v>6.4044400000000001</v>
      </c>
      <c r="E1534" t="s">
        <v>2689</v>
      </c>
      <c r="F1534" t="s">
        <v>2690</v>
      </c>
      <c r="G1534" t="s">
        <v>39</v>
      </c>
      <c r="H1534">
        <v>1982</v>
      </c>
      <c r="I1534">
        <v>27</v>
      </c>
      <c r="J1534">
        <v>8.8000001907348597</v>
      </c>
      <c r="K1534">
        <v>74</v>
      </c>
      <c r="L1534">
        <v>11.180000305175801</v>
      </c>
      <c r="M1534">
        <v>33.5</v>
      </c>
      <c r="N1534">
        <v>21.700000762939499</v>
      </c>
      <c r="O1534">
        <v>11.800000190734901</v>
      </c>
      <c r="P1534">
        <v>27.200000762939499</v>
      </c>
      <c r="Q1534">
        <v>27.700000762939499</v>
      </c>
      <c r="R1534">
        <v>28.399999618530298</v>
      </c>
      <c r="S1534">
        <v>25.399999618530298</v>
      </c>
      <c r="T1534">
        <v>916</v>
      </c>
      <c r="U1534">
        <v>186</v>
      </c>
      <c r="V1534">
        <v>12</v>
      </c>
      <c r="W1534">
        <v>68</v>
      </c>
      <c r="X1534">
        <v>457</v>
      </c>
      <c r="Y1534">
        <v>57</v>
      </c>
      <c r="Z1534">
        <v>224</v>
      </c>
      <c r="AA1534">
        <v>188</v>
      </c>
      <c r="AB1534">
        <v>4.8183246482729301</v>
      </c>
      <c r="AC1534">
        <v>1.3165904126125E-2</v>
      </c>
      <c r="AD1534">
        <v>0.95138454801333106</v>
      </c>
      <c r="AE1534">
        <v>0.71276109256045395</v>
      </c>
      <c r="AF1534">
        <v>16.2949389179756</v>
      </c>
      <c r="AG1534">
        <f>IFERROR(AH1534*0.1, "N/A")</f>
        <v>6.21169284467714</v>
      </c>
      <c r="AH1534">
        <v>62.116928446771396</v>
      </c>
      <c r="AI1534">
        <v>123.326525596632</v>
      </c>
      <c r="AJ1534">
        <v>20.8830715532286</v>
      </c>
      <c r="AK1534">
        <v>59.2338568935428</v>
      </c>
    </row>
    <row r="1535" spans="1:37" x14ac:dyDescent="0.3">
      <c r="A1535">
        <v>1534</v>
      </c>
      <c r="B1535">
        <v>0</v>
      </c>
      <c r="C1535">
        <v>1.3680600000000001</v>
      </c>
      <c r="D1535">
        <v>6.4044400000000001</v>
      </c>
      <c r="E1535" t="s">
        <v>2689</v>
      </c>
      <c r="F1535" t="s">
        <v>2691</v>
      </c>
      <c r="G1535" t="s">
        <v>37</v>
      </c>
      <c r="H1535">
        <v>1982</v>
      </c>
      <c r="I1535">
        <v>27</v>
      </c>
      <c r="J1535">
        <v>8.8000001907348597</v>
      </c>
      <c r="K1535">
        <v>74</v>
      </c>
      <c r="L1535">
        <v>11.180000305175801</v>
      </c>
      <c r="M1535">
        <v>33.5</v>
      </c>
      <c r="N1535">
        <v>21.700000762939499</v>
      </c>
      <c r="O1535">
        <v>11.800000190734901</v>
      </c>
      <c r="P1535">
        <v>27.200000762939499</v>
      </c>
      <c r="Q1535">
        <v>27.700000762939499</v>
      </c>
      <c r="R1535">
        <v>28.399999618530298</v>
      </c>
      <c r="S1535">
        <v>25.399999618530298</v>
      </c>
      <c r="T1535">
        <v>916</v>
      </c>
      <c r="U1535">
        <v>186</v>
      </c>
      <c r="V1535">
        <v>12</v>
      </c>
      <c r="W1535">
        <v>68</v>
      </c>
      <c r="X1535">
        <v>457</v>
      </c>
      <c r="Y1535">
        <v>57</v>
      </c>
      <c r="Z1535">
        <v>224</v>
      </c>
      <c r="AA1535">
        <v>188</v>
      </c>
      <c r="AB1535">
        <v>4.8183246482729301</v>
      </c>
      <c r="AC1535">
        <v>1.3165904126125E-2</v>
      </c>
      <c r="AD1535">
        <v>0.95138454801333106</v>
      </c>
      <c r="AE1535">
        <v>0.71276109256045395</v>
      </c>
      <c r="AF1535">
        <v>16.2949389179756</v>
      </c>
      <c r="AG1535">
        <f>IFERROR(AH1535*0.1, "N/A")</f>
        <v>6.21169284467714</v>
      </c>
      <c r="AH1535">
        <v>62.116928446771396</v>
      </c>
      <c r="AI1535">
        <v>123.326525596632</v>
      </c>
      <c r="AJ1535">
        <v>20.8830715532286</v>
      </c>
      <c r="AK1535">
        <v>59.2338568935428</v>
      </c>
    </row>
    <row r="1536" spans="1:37" x14ac:dyDescent="0.3">
      <c r="A1536">
        <v>1535</v>
      </c>
      <c r="B1536">
        <v>10</v>
      </c>
      <c r="C1536">
        <v>1.08222</v>
      </c>
      <c r="D1536">
        <v>6.4352799999999997</v>
      </c>
      <c r="E1536" t="s">
        <v>2692</v>
      </c>
      <c r="F1536" t="s">
        <v>2693</v>
      </c>
      <c r="G1536" t="s">
        <v>39</v>
      </c>
      <c r="H1536">
        <v>1982</v>
      </c>
      <c r="I1536">
        <v>26.899999618530298</v>
      </c>
      <c r="J1536">
        <v>8.8999996185302699</v>
      </c>
      <c r="K1536">
        <v>75</v>
      </c>
      <c r="L1536">
        <v>10.75</v>
      </c>
      <c r="M1536">
        <v>33.400001525878899</v>
      </c>
      <c r="N1536">
        <v>21.600000381469702</v>
      </c>
      <c r="O1536">
        <v>11.800000190734901</v>
      </c>
      <c r="P1536">
        <v>27.100000381469702</v>
      </c>
      <c r="Q1536">
        <v>27.100000381469702</v>
      </c>
      <c r="R1536">
        <v>28.200000762939499</v>
      </c>
      <c r="S1536">
        <v>25.399999618530298</v>
      </c>
      <c r="T1536">
        <v>1038</v>
      </c>
      <c r="U1536">
        <v>178</v>
      </c>
      <c r="V1536">
        <v>14</v>
      </c>
      <c r="W1536">
        <v>59</v>
      </c>
      <c r="X1536">
        <v>469</v>
      </c>
      <c r="Y1536">
        <v>78</v>
      </c>
      <c r="Z1536">
        <v>268</v>
      </c>
      <c r="AA1536">
        <v>231</v>
      </c>
      <c r="AB1536">
        <v>7.0286461048655999</v>
      </c>
      <c r="AC1536">
        <v>9.1439973006749997E-3</v>
      </c>
      <c r="AD1536">
        <v>1.1474478589888299</v>
      </c>
      <c r="AE1536">
        <v>0.712219297885895</v>
      </c>
      <c r="AF1536">
        <v>45.0989583333333</v>
      </c>
      <c r="AG1536">
        <f>IFERROR(AH1536*0.1, "N/A")</f>
        <v>5.9039930555555502</v>
      </c>
      <c r="AH1536">
        <v>59.0399305555555</v>
      </c>
      <c r="AI1536">
        <v>176.281403415733</v>
      </c>
      <c r="AJ1536">
        <v>17.9270833333333</v>
      </c>
      <c r="AK1536">
        <v>62.0729166666667</v>
      </c>
    </row>
    <row r="1537" spans="1:37" x14ac:dyDescent="0.3">
      <c r="A1537">
        <v>1536</v>
      </c>
      <c r="B1537">
        <v>0</v>
      </c>
      <c r="C1537">
        <v>1.08222</v>
      </c>
      <c r="D1537">
        <v>6.4352799999999997</v>
      </c>
      <c r="E1537" t="s">
        <v>2692</v>
      </c>
      <c r="F1537" t="s">
        <v>2694</v>
      </c>
      <c r="G1537" t="s">
        <v>37</v>
      </c>
      <c r="H1537">
        <v>1982</v>
      </c>
      <c r="I1537">
        <v>26.899999618530298</v>
      </c>
      <c r="J1537">
        <v>8.8999996185302699</v>
      </c>
      <c r="K1537">
        <v>75</v>
      </c>
      <c r="L1537">
        <v>10.75</v>
      </c>
      <c r="M1537">
        <v>33.400001525878899</v>
      </c>
      <c r="N1537">
        <v>21.600000381469702</v>
      </c>
      <c r="O1537">
        <v>11.800000190734901</v>
      </c>
      <c r="P1537">
        <v>27.100000381469702</v>
      </c>
      <c r="Q1537">
        <v>27.100000381469702</v>
      </c>
      <c r="R1537">
        <v>28.200000762939499</v>
      </c>
      <c r="S1537">
        <v>25.399999618530298</v>
      </c>
      <c r="T1537">
        <v>1038</v>
      </c>
      <c r="U1537">
        <v>178</v>
      </c>
      <c r="V1537">
        <v>14</v>
      </c>
      <c r="W1537">
        <v>59</v>
      </c>
      <c r="X1537">
        <v>469</v>
      </c>
      <c r="Y1537">
        <v>78</v>
      </c>
      <c r="Z1537">
        <v>268</v>
      </c>
      <c r="AA1537">
        <v>231</v>
      </c>
      <c r="AB1537">
        <v>7.0286461048655999</v>
      </c>
      <c r="AC1537">
        <v>9.1439973006749997E-3</v>
      </c>
      <c r="AD1537">
        <v>1.1474478589888299</v>
      </c>
      <c r="AE1537">
        <v>0.712219297885895</v>
      </c>
      <c r="AF1537">
        <v>45.0989583333333</v>
      </c>
      <c r="AG1537">
        <f>IFERROR(AH1537*0.1, "N/A")</f>
        <v>5.9039930555555502</v>
      </c>
      <c r="AH1537">
        <v>59.0399305555555</v>
      </c>
      <c r="AI1537">
        <v>176.281403415733</v>
      </c>
      <c r="AJ1537">
        <v>17.9270833333333</v>
      </c>
      <c r="AK1537">
        <v>62.0729166666667</v>
      </c>
    </row>
    <row r="1538" spans="1:37" x14ac:dyDescent="0.3">
      <c r="A1538">
        <v>1537</v>
      </c>
      <c r="B1538">
        <v>0</v>
      </c>
      <c r="C1538">
        <v>1.2596400000000001</v>
      </c>
      <c r="D1538">
        <v>6.4466799999999997</v>
      </c>
      <c r="E1538" t="s">
        <v>2695</v>
      </c>
      <c r="F1538" t="s">
        <v>2696</v>
      </c>
      <c r="G1538" t="s">
        <v>39</v>
      </c>
      <c r="H1538">
        <v>1982</v>
      </c>
      <c r="I1538">
        <v>26.799999237060501</v>
      </c>
      <c r="J1538">
        <v>9</v>
      </c>
      <c r="K1538">
        <v>76</v>
      </c>
      <c r="L1538">
        <v>10.829999923706101</v>
      </c>
      <c r="M1538">
        <v>33.400001525878899</v>
      </c>
      <c r="N1538">
        <v>21.600000381469702</v>
      </c>
      <c r="O1538">
        <v>11.800000190734901</v>
      </c>
      <c r="P1538">
        <v>27</v>
      </c>
      <c r="Q1538">
        <v>27.399999618530298</v>
      </c>
      <c r="R1538">
        <v>28.100000381469702</v>
      </c>
      <c r="S1538">
        <v>25.299999237060501</v>
      </c>
      <c r="T1538">
        <v>984</v>
      </c>
      <c r="U1538">
        <v>177</v>
      </c>
      <c r="V1538">
        <v>14</v>
      </c>
      <c r="W1538">
        <v>62</v>
      </c>
      <c r="X1538">
        <v>459</v>
      </c>
      <c r="Y1538">
        <v>66</v>
      </c>
      <c r="Z1538">
        <v>246</v>
      </c>
      <c r="AA1538">
        <v>219</v>
      </c>
      <c r="AB1538">
        <v>15.287761668225301</v>
      </c>
      <c r="AC1538">
        <v>0.18321664419539699</v>
      </c>
      <c r="AD1538">
        <v>1.9197209940090001</v>
      </c>
      <c r="AE1538">
        <v>0.75163286924362205</v>
      </c>
      <c r="AF1538">
        <v>39.477272727272698</v>
      </c>
      <c r="AG1538">
        <f>IFERROR(AH1538*0.1, "N/A")</f>
        <v>5.8858391608391605</v>
      </c>
      <c r="AH1538">
        <v>58.858391608391599</v>
      </c>
      <c r="AI1538">
        <v>238.060805607509</v>
      </c>
      <c r="AJ1538">
        <v>13.236013986013999</v>
      </c>
      <c r="AK1538">
        <v>65.298951048951096</v>
      </c>
    </row>
    <row r="1539" spans="1:37" x14ac:dyDescent="0.3">
      <c r="A1539">
        <v>1538</v>
      </c>
      <c r="B1539">
        <v>0</v>
      </c>
      <c r="C1539">
        <v>1.2596400000000001</v>
      </c>
      <c r="D1539">
        <v>6.4466799999999997</v>
      </c>
      <c r="E1539" t="s">
        <v>2695</v>
      </c>
      <c r="F1539" t="s">
        <v>2697</v>
      </c>
      <c r="G1539" t="s">
        <v>37</v>
      </c>
      <c r="H1539">
        <v>1982</v>
      </c>
      <c r="I1539">
        <v>26.799999237060501</v>
      </c>
      <c r="J1539">
        <v>9</v>
      </c>
      <c r="K1539">
        <v>76</v>
      </c>
      <c r="L1539">
        <v>10.829999923706101</v>
      </c>
      <c r="M1539">
        <v>33.400001525878899</v>
      </c>
      <c r="N1539">
        <v>21.600000381469702</v>
      </c>
      <c r="O1539">
        <v>11.800000190734901</v>
      </c>
      <c r="P1539">
        <v>27</v>
      </c>
      <c r="Q1539">
        <v>27.399999618530298</v>
      </c>
      <c r="R1539">
        <v>28.100000381469702</v>
      </c>
      <c r="S1539">
        <v>25.299999237060501</v>
      </c>
      <c r="T1539">
        <v>984</v>
      </c>
      <c r="U1539">
        <v>177</v>
      </c>
      <c r="V1539">
        <v>14</v>
      </c>
      <c r="W1539">
        <v>62</v>
      </c>
      <c r="X1539">
        <v>459</v>
      </c>
      <c r="Y1539">
        <v>66</v>
      </c>
      <c r="Z1539">
        <v>246</v>
      </c>
      <c r="AA1539">
        <v>219</v>
      </c>
      <c r="AB1539">
        <v>15.287761668225301</v>
      </c>
      <c r="AC1539">
        <v>0.18321664419539699</v>
      </c>
      <c r="AD1539">
        <v>1.9197209940090001</v>
      </c>
      <c r="AE1539">
        <v>0.75163286924362205</v>
      </c>
      <c r="AF1539">
        <v>39.477272727272698</v>
      </c>
      <c r="AG1539">
        <f>IFERROR(AH1539*0.1, "N/A")</f>
        <v>5.8858391608391605</v>
      </c>
      <c r="AH1539">
        <v>58.858391608391599</v>
      </c>
      <c r="AI1539">
        <v>238.060805607509</v>
      </c>
      <c r="AJ1539">
        <v>13.236013986013999</v>
      </c>
      <c r="AK1539">
        <v>65.298951048951096</v>
      </c>
    </row>
    <row r="1540" spans="1:37" x14ac:dyDescent="0.3">
      <c r="A1540">
        <v>1539</v>
      </c>
      <c r="B1540">
        <v>69.400002000000001</v>
      </c>
      <c r="C1540">
        <v>1.3441700000000001</v>
      </c>
      <c r="D1540">
        <v>6.4752799999999997</v>
      </c>
      <c r="E1540" t="s">
        <v>2698</v>
      </c>
      <c r="F1540" t="s">
        <v>2699</v>
      </c>
      <c r="G1540" t="s">
        <v>39</v>
      </c>
      <c r="H1540">
        <v>1982</v>
      </c>
      <c r="I1540">
        <v>27</v>
      </c>
      <c r="J1540">
        <v>9.1000003814697301</v>
      </c>
      <c r="K1540">
        <v>74</v>
      </c>
      <c r="L1540">
        <v>10.864930370543499</v>
      </c>
      <c r="M1540">
        <v>33.900001525878899</v>
      </c>
      <c r="N1540">
        <v>21.700000762939499</v>
      </c>
      <c r="O1540">
        <v>12.199999809265099</v>
      </c>
      <c r="P1540">
        <v>27.1301398692646</v>
      </c>
      <c r="Q1540">
        <v>27.700000762939499</v>
      </c>
      <c r="R1540">
        <v>28.3698601307354</v>
      </c>
      <c r="S1540">
        <v>25.5</v>
      </c>
      <c r="T1540">
        <v>972.39721254355402</v>
      </c>
      <c r="U1540">
        <v>175.30139372822299</v>
      </c>
      <c r="V1540">
        <v>14</v>
      </c>
      <c r="W1540">
        <v>62.301393728222997</v>
      </c>
      <c r="X1540">
        <v>453.30139372822299</v>
      </c>
      <c r="Y1540">
        <v>63</v>
      </c>
      <c r="Z1540">
        <v>242</v>
      </c>
      <c r="AA1540">
        <v>298.69860627177701</v>
      </c>
      <c r="AB1540">
        <v>13.876655625133999</v>
      </c>
      <c r="AC1540">
        <v>1.8587080200401E-2</v>
      </c>
      <c r="AD1540">
        <v>2.6586351544184099</v>
      </c>
      <c r="AE1540">
        <v>0.70903939008712802</v>
      </c>
      <c r="AF1540">
        <v>31.790940766550499</v>
      </c>
      <c r="AG1540">
        <f>IFERROR(AH1540*0.1, "N/A")</f>
        <v>6.251916376306621</v>
      </c>
      <c r="AH1540">
        <v>62.519163763066203</v>
      </c>
      <c r="AI1540">
        <v>36.892412059398502</v>
      </c>
      <c r="AJ1540">
        <v>15.634146341463399</v>
      </c>
      <c r="AK1540">
        <v>70.423344947735202</v>
      </c>
    </row>
    <row r="1541" spans="1:37" x14ac:dyDescent="0.3">
      <c r="A1541">
        <v>1540</v>
      </c>
      <c r="B1541">
        <v>0</v>
      </c>
      <c r="C1541">
        <v>1.3441700000000001</v>
      </c>
      <c r="D1541">
        <v>6.4752799999999997</v>
      </c>
      <c r="E1541" t="s">
        <v>2698</v>
      </c>
      <c r="F1541" t="s">
        <v>2700</v>
      </c>
      <c r="G1541" t="s">
        <v>37</v>
      </c>
      <c r="H1541">
        <v>1982</v>
      </c>
      <c r="I1541">
        <v>27</v>
      </c>
      <c r="J1541">
        <v>9.1000003814697301</v>
      </c>
      <c r="K1541">
        <v>74</v>
      </c>
      <c r="L1541">
        <v>10.864930370543499</v>
      </c>
      <c r="M1541">
        <v>33.900001525878899</v>
      </c>
      <c r="N1541">
        <v>21.700000762939499</v>
      </c>
      <c r="O1541">
        <v>12.199999809265099</v>
      </c>
      <c r="P1541">
        <v>27.1301398692646</v>
      </c>
      <c r="Q1541">
        <v>27.700000762939499</v>
      </c>
      <c r="R1541">
        <v>28.3698601307354</v>
      </c>
      <c r="S1541">
        <v>25.5</v>
      </c>
      <c r="T1541">
        <v>972.39721254355402</v>
      </c>
      <c r="U1541">
        <v>175.30139372822299</v>
      </c>
      <c r="V1541">
        <v>14</v>
      </c>
      <c r="W1541">
        <v>62.301393728222997</v>
      </c>
      <c r="X1541">
        <v>453.30139372822299</v>
      </c>
      <c r="Y1541">
        <v>63</v>
      </c>
      <c r="Z1541">
        <v>242</v>
      </c>
      <c r="AA1541">
        <v>298.69860627177701</v>
      </c>
      <c r="AB1541">
        <v>13.876655625133999</v>
      </c>
      <c r="AC1541">
        <v>1.8587080200401E-2</v>
      </c>
      <c r="AD1541">
        <v>2.6586351544184099</v>
      </c>
      <c r="AE1541">
        <v>0.70903939008712802</v>
      </c>
      <c r="AF1541">
        <v>31.790940766550499</v>
      </c>
      <c r="AG1541">
        <f>IFERROR(AH1541*0.1, "N/A")</f>
        <v>6.251916376306621</v>
      </c>
      <c r="AH1541">
        <v>62.519163763066203</v>
      </c>
      <c r="AI1541">
        <v>36.892412059398502</v>
      </c>
      <c r="AJ1541">
        <v>15.634146341463399</v>
      </c>
      <c r="AK1541">
        <v>70.423344947735202</v>
      </c>
    </row>
    <row r="1542" spans="1:37" x14ac:dyDescent="0.3">
      <c r="A1542">
        <v>1541</v>
      </c>
      <c r="B1542">
        <v>7.4</v>
      </c>
      <c r="C1542">
        <v>1.0641700000000001</v>
      </c>
      <c r="D1542">
        <v>6.47722</v>
      </c>
      <c r="E1542" t="s">
        <v>2701</v>
      </c>
      <c r="F1542" t="s">
        <v>2702</v>
      </c>
      <c r="G1542" t="s">
        <v>39</v>
      </c>
      <c r="H1542">
        <v>1982</v>
      </c>
      <c r="I1542">
        <v>26.899999618530298</v>
      </c>
      <c r="J1542">
        <v>9</v>
      </c>
      <c r="K1542">
        <v>75</v>
      </c>
      <c r="L1542">
        <v>10.6300001144409</v>
      </c>
      <c r="M1542">
        <v>33.599998474121101</v>
      </c>
      <c r="N1542">
        <v>21.700000762939499</v>
      </c>
      <c r="O1542">
        <v>11.8999996185303</v>
      </c>
      <c r="P1542">
        <v>27.200000762939499</v>
      </c>
      <c r="Q1542">
        <v>27.100000381469702</v>
      </c>
      <c r="R1542">
        <v>28.299999237060501</v>
      </c>
      <c r="S1542">
        <v>25.5</v>
      </c>
      <c r="T1542">
        <v>1063</v>
      </c>
      <c r="U1542">
        <v>175</v>
      </c>
      <c r="V1542">
        <v>14</v>
      </c>
      <c r="W1542">
        <v>58</v>
      </c>
      <c r="X1542">
        <v>472</v>
      </c>
      <c r="Y1542">
        <v>80</v>
      </c>
      <c r="Z1542">
        <v>282</v>
      </c>
      <c r="AA1542">
        <v>239</v>
      </c>
      <c r="AB1542">
        <v>5.5741720415950899</v>
      </c>
      <c r="AC1542">
        <v>1.0703203565787E-2</v>
      </c>
      <c r="AD1542">
        <v>2.55904935916681</v>
      </c>
      <c r="AE1542">
        <v>0.65255318636669501</v>
      </c>
      <c r="AF1542">
        <v>50.4101221640489</v>
      </c>
      <c r="AG1542">
        <f>IFERROR(AH1542*0.1, "N/A")</f>
        <v>6.1000000000000005</v>
      </c>
      <c r="AH1542">
        <v>61</v>
      </c>
      <c r="AI1542">
        <v>229.34194110118099</v>
      </c>
      <c r="AJ1542">
        <v>16.774869109947598</v>
      </c>
      <c r="AK1542">
        <v>64.450261780104697</v>
      </c>
    </row>
    <row r="1543" spans="1:37" x14ac:dyDescent="0.3">
      <c r="A1543">
        <v>1542</v>
      </c>
      <c r="B1543">
        <v>0</v>
      </c>
      <c r="C1543">
        <v>1.0641700000000001</v>
      </c>
      <c r="D1543">
        <v>6.47722</v>
      </c>
      <c r="E1543" t="s">
        <v>2701</v>
      </c>
      <c r="F1543" t="s">
        <v>2703</v>
      </c>
      <c r="G1543" t="s">
        <v>37</v>
      </c>
      <c r="H1543">
        <v>1982</v>
      </c>
      <c r="I1543">
        <v>26.899999618530298</v>
      </c>
      <c r="J1543">
        <v>9</v>
      </c>
      <c r="K1543">
        <v>75</v>
      </c>
      <c r="L1543">
        <v>10.6300001144409</v>
      </c>
      <c r="M1543">
        <v>33.599998474121101</v>
      </c>
      <c r="N1543">
        <v>21.700000762939499</v>
      </c>
      <c r="O1543">
        <v>11.8999996185303</v>
      </c>
      <c r="P1543">
        <v>27.200000762939499</v>
      </c>
      <c r="Q1543">
        <v>27.100000381469702</v>
      </c>
      <c r="R1543">
        <v>28.299999237060501</v>
      </c>
      <c r="S1543">
        <v>25.5</v>
      </c>
      <c r="T1543">
        <v>1063</v>
      </c>
      <c r="U1543">
        <v>175</v>
      </c>
      <c r="V1543">
        <v>14</v>
      </c>
      <c r="W1543">
        <v>58</v>
      </c>
      <c r="X1543">
        <v>472</v>
      </c>
      <c r="Y1543">
        <v>80</v>
      </c>
      <c r="Z1543">
        <v>282</v>
      </c>
      <c r="AA1543">
        <v>239</v>
      </c>
      <c r="AB1543">
        <v>5.5741720415950899</v>
      </c>
      <c r="AC1543">
        <v>1.0703203565787E-2</v>
      </c>
      <c r="AD1543">
        <v>2.55904935916681</v>
      </c>
      <c r="AE1543">
        <v>0.65255318636669501</v>
      </c>
      <c r="AF1543">
        <v>50.4101221640489</v>
      </c>
      <c r="AG1543">
        <f>IFERROR(AH1543*0.1, "N/A")</f>
        <v>6.1000000000000005</v>
      </c>
      <c r="AH1543">
        <v>61</v>
      </c>
      <c r="AI1543">
        <v>229.34194110118099</v>
      </c>
      <c r="AJ1543">
        <v>16.774869109947598</v>
      </c>
      <c r="AK1543">
        <v>64.450261780104697</v>
      </c>
    </row>
    <row r="1544" spans="1:37" x14ac:dyDescent="0.3">
      <c r="A1544">
        <v>1543</v>
      </c>
      <c r="B1544">
        <v>28.299999</v>
      </c>
      <c r="C1544">
        <v>1.32152</v>
      </c>
      <c r="D1544">
        <v>6.4991300000000001</v>
      </c>
      <c r="E1544" t="s">
        <v>2704</v>
      </c>
      <c r="F1544" t="s">
        <v>2705</v>
      </c>
      <c r="G1544" t="s">
        <v>39</v>
      </c>
      <c r="H1544">
        <v>1982</v>
      </c>
      <c r="I1544">
        <v>26.700000762939499</v>
      </c>
      <c r="J1544">
        <v>9.1999998092651403</v>
      </c>
      <c r="K1544">
        <v>74</v>
      </c>
      <c r="L1544">
        <v>10.960000038146999</v>
      </c>
      <c r="M1544">
        <v>33.599998474121101</v>
      </c>
      <c r="N1544">
        <v>21.299999237060501</v>
      </c>
      <c r="O1544">
        <v>12.300000190734901</v>
      </c>
      <c r="P1544">
        <v>26.899999618530298</v>
      </c>
      <c r="Q1544">
        <v>27.5</v>
      </c>
      <c r="R1544">
        <v>28</v>
      </c>
      <c r="S1544">
        <v>25.200000762939499</v>
      </c>
      <c r="T1544">
        <v>1012</v>
      </c>
      <c r="U1544">
        <v>173</v>
      </c>
      <c r="V1544">
        <v>15</v>
      </c>
      <c r="W1544">
        <v>60</v>
      </c>
      <c r="X1544">
        <v>458</v>
      </c>
      <c r="Y1544">
        <v>67</v>
      </c>
      <c r="Z1544">
        <v>253</v>
      </c>
      <c r="AA1544">
        <v>233</v>
      </c>
      <c r="AB1544">
        <v>9.3200710656131101</v>
      </c>
      <c r="AC1544">
        <v>4.5331418241194001E-2</v>
      </c>
      <c r="AD1544">
        <v>1.6075977948323601</v>
      </c>
      <c r="AE1544">
        <v>0.60441559553146396</v>
      </c>
      <c r="AF1544">
        <v>50.162303664921502</v>
      </c>
      <c r="AG1544">
        <f>IFERROR(AH1544*0.1, "N/A")</f>
        <v>6.1561954624781903</v>
      </c>
      <c r="AH1544">
        <v>61.561954624781897</v>
      </c>
      <c r="AI1544">
        <v>116.871056614954</v>
      </c>
      <c r="AJ1544">
        <v>12.719022687609099</v>
      </c>
      <c r="AK1544">
        <v>70</v>
      </c>
    </row>
    <row r="1545" spans="1:37" x14ac:dyDescent="0.3">
      <c r="A1545">
        <v>1544</v>
      </c>
      <c r="B1545">
        <v>0</v>
      </c>
      <c r="C1545">
        <v>1.32152</v>
      </c>
      <c r="D1545">
        <v>6.4991300000000001</v>
      </c>
      <c r="E1545" t="s">
        <v>2704</v>
      </c>
      <c r="F1545" t="s">
        <v>2706</v>
      </c>
      <c r="G1545" t="s">
        <v>37</v>
      </c>
      <c r="H1545">
        <v>1982</v>
      </c>
      <c r="I1545">
        <v>26.700000762939499</v>
      </c>
      <c r="J1545">
        <v>9.1999998092651403</v>
      </c>
      <c r="K1545">
        <v>74</v>
      </c>
      <c r="L1545">
        <v>10.960000038146999</v>
      </c>
      <c r="M1545">
        <v>33.599998474121101</v>
      </c>
      <c r="N1545">
        <v>21.299999237060501</v>
      </c>
      <c r="O1545">
        <v>12.300000190734901</v>
      </c>
      <c r="P1545">
        <v>26.899999618530298</v>
      </c>
      <c r="Q1545">
        <v>27.5</v>
      </c>
      <c r="R1545">
        <v>28</v>
      </c>
      <c r="S1545">
        <v>25.200000762939499</v>
      </c>
      <c r="T1545">
        <v>1012</v>
      </c>
      <c r="U1545">
        <v>173</v>
      </c>
      <c r="V1545">
        <v>15</v>
      </c>
      <c r="W1545">
        <v>60</v>
      </c>
      <c r="X1545">
        <v>458</v>
      </c>
      <c r="Y1545">
        <v>67</v>
      </c>
      <c r="Z1545">
        <v>253</v>
      </c>
      <c r="AA1545">
        <v>233</v>
      </c>
      <c r="AB1545">
        <v>9.3200710656131101</v>
      </c>
      <c r="AC1545">
        <v>4.5331418241194001E-2</v>
      </c>
      <c r="AD1545">
        <v>1.6075977948323601</v>
      </c>
      <c r="AE1545">
        <v>0.60441559553146396</v>
      </c>
      <c r="AF1545">
        <v>50.162303664921502</v>
      </c>
      <c r="AG1545">
        <f>IFERROR(AH1545*0.1, "N/A")</f>
        <v>6.1561954624781903</v>
      </c>
      <c r="AH1545">
        <v>61.561954624781897</v>
      </c>
      <c r="AI1545">
        <v>116.871056614954</v>
      </c>
      <c r="AJ1545">
        <v>12.719022687609099</v>
      </c>
      <c r="AK1545">
        <v>70</v>
      </c>
    </row>
    <row r="1546" spans="1:37" x14ac:dyDescent="0.3">
      <c r="A1546">
        <v>1545</v>
      </c>
      <c r="B1546">
        <v>98</v>
      </c>
      <c r="C1546">
        <v>1.6666700000000001</v>
      </c>
      <c r="D1546">
        <v>6.5333300000000003</v>
      </c>
      <c r="E1546" t="s">
        <v>2707</v>
      </c>
      <c r="F1546" t="s">
        <v>2708</v>
      </c>
      <c r="G1546" t="s">
        <v>39</v>
      </c>
      <c r="H1546">
        <v>1982</v>
      </c>
      <c r="I1546">
        <v>27.299999237060501</v>
      </c>
      <c r="J1546">
        <v>9.0415359350607307</v>
      </c>
      <c r="K1546">
        <v>73.328097731239097</v>
      </c>
      <c r="L1546">
        <v>11.232513256306</v>
      </c>
      <c r="M1546">
        <v>34.2087266332816</v>
      </c>
      <c r="N1546">
        <v>22</v>
      </c>
      <c r="O1546">
        <v>12.208725846042601</v>
      </c>
      <c r="P1546">
        <v>27.5</v>
      </c>
      <c r="Q1546">
        <v>28.143630565357</v>
      </c>
      <c r="R1546">
        <v>28.700000762939499</v>
      </c>
      <c r="S1546">
        <v>25.799999237060501</v>
      </c>
      <c r="T1546">
        <v>969.49214659685799</v>
      </c>
      <c r="U1546">
        <v>173.49738219895301</v>
      </c>
      <c r="V1546">
        <v>10</v>
      </c>
      <c r="W1546">
        <v>64.584642233856897</v>
      </c>
      <c r="X1546">
        <v>453.59511343804502</v>
      </c>
      <c r="Y1546">
        <v>58.328097731239097</v>
      </c>
      <c r="Z1546">
        <v>224.630017452007</v>
      </c>
      <c r="AA1546">
        <v>257.47818499127402</v>
      </c>
      <c r="AB1546">
        <v>1.23315871406808</v>
      </c>
      <c r="AC1546">
        <v>1.5726944418659999E-2</v>
      </c>
      <c r="AD1546">
        <v>1.2106457698511599</v>
      </c>
      <c r="AE1546">
        <v>0.71964258891749799</v>
      </c>
      <c r="AF1546">
        <v>11.937172774869101</v>
      </c>
      <c r="AG1546">
        <f>IFERROR(AH1546*0.1, "N/A")</f>
        <v>6.0989528795811507</v>
      </c>
      <c r="AH1546">
        <v>60.989528795811502</v>
      </c>
      <c r="AI1546">
        <v>209.75795287819599</v>
      </c>
      <c r="AJ1546">
        <v>25.2931937172775</v>
      </c>
      <c r="AK1546">
        <v>56.701570680628301</v>
      </c>
    </row>
    <row r="1547" spans="1:37" x14ac:dyDescent="0.3">
      <c r="A1547">
        <v>1546</v>
      </c>
      <c r="B1547">
        <v>0</v>
      </c>
      <c r="C1547">
        <v>1.6666700000000001</v>
      </c>
      <c r="D1547">
        <v>6.5333300000000003</v>
      </c>
      <c r="E1547" t="s">
        <v>2707</v>
      </c>
      <c r="F1547" t="s">
        <v>2709</v>
      </c>
      <c r="G1547" t="s">
        <v>37</v>
      </c>
      <c r="H1547">
        <v>1982</v>
      </c>
      <c r="I1547">
        <v>27.299999237060501</v>
      </c>
      <c r="J1547">
        <v>9.0415359350607307</v>
      </c>
      <c r="K1547">
        <v>73.328097731239097</v>
      </c>
      <c r="L1547">
        <v>11.232513256306</v>
      </c>
      <c r="M1547">
        <v>34.2087266332816</v>
      </c>
      <c r="N1547">
        <v>22</v>
      </c>
      <c r="O1547">
        <v>12.208725846042601</v>
      </c>
      <c r="P1547">
        <v>27.5</v>
      </c>
      <c r="Q1547">
        <v>28.143630565357</v>
      </c>
      <c r="R1547">
        <v>28.700000762939499</v>
      </c>
      <c r="S1547">
        <v>25.799999237060501</v>
      </c>
      <c r="T1547">
        <v>969.49214659685799</v>
      </c>
      <c r="U1547">
        <v>173.49738219895301</v>
      </c>
      <c r="V1547">
        <v>10</v>
      </c>
      <c r="W1547">
        <v>64.584642233856897</v>
      </c>
      <c r="X1547">
        <v>453.59511343804502</v>
      </c>
      <c r="Y1547">
        <v>58.328097731239097</v>
      </c>
      <c r="Z1547">
        <v>224.630017452007</v>
      </c>
      <c r="AA1547">
        <v>257.47818499127402</v>
      </c>
      <c r="AB1547">
        <v>1.23315871406808</v>
      </c>
      <c r="AC1547">
        <v>1.5726944418659999E-2</v>
      </c>
      <c r="AD1547">
        <v>1.2106457698511599</v>
      </c>
      <c r="AE1547">
        <v>0.71964258891749799</v>
      </c>
      <c r="AF1547">
        <v>11.937172774869101</v>
      </c>
      <c r="AG1547">
        <f>IFERROR(AH1547*0.1, "N/A")</f>
        <v>6.0989528795811507</v>
      </c>
      <c r="AH1547">
        <v>60.989528795811502</v>
      </c>
      <c r="AI1547">
        <v>209.75795287819599</v>
      </c>
      <c r="AJ1547">
        <v>25.2931937172775</v>
      </c>
      <c r="AK1547">
        <v>56.701570680628301</v>
      </c>
    </row>
    <row r="1548" spans="1:37" x14ac:dyDescent="0.3">
      <c r="A1548">
        <v>1547</v>
      </c>
      <c r="B1548">
        <v>2.1</v>
      </c>
      <c r="C1548">
        <v>1.3620300000000001</v>
      </c>
      <c r="D1548">
        <v>6.5352100000000002</v>
      </c>
      <c r="E1548" t="s">
        <v>2710</v>
      </c>
      <c r="F1548" t="s">
        <v>2711</v>
      </c>
      <c r="G1548" t="s">
        <v>39</v>
      </c>
      <c r="H1548">
        <v>1982</v>
      </c>
      <c r="I1548">
        <v>26.600000381469702</v>
      </c>
      <c r="J1548">
        <v>9.3999996185302699</v>
      </c>
      <c r="K1548">
        <v>74</v>
      </c>
      <c r="L1548">
        <v>11.569999694824199</v>
      </c>
      <c r="M1548">
        <v>33.799999237060497</v>
      </c>
      <c r="N1548">
        <v>21.100000381469702</v>
      </c>
      <c r="O1548">
        <v>12.699999809265099</v>
      </c>
      <c r="P1548">
        <v>26.700000762939499</v>
      </c>
      <c r="Q1548">
        <v>27.399999618530298</v>
      </c>
      <c r="R1548">
        <v>28</v>
      </c>
      <c r="S1548">
        <v>25</v>
      </c>
      <c r="T1548">
        <v>1039</v>
      </c>
      <c r="U1548">
        <v>167</v>
      </c>
      <c r="V1548">
        <v>15</v>
      </c>
      <c r="W1548">
        <v>57</v>
      </c>
      <c r="X1548">
        <v>457</v>
      </c>
      <c r="Y1548">
        <v>72</v>
      </c>
      <c r="Z1548">
        <v>263</v>
      </c>
      <c r="AA1548">
        <v>248</v>
      </c>
      <c r="AB1548">
        <v>2.2166955831776498</v>
      </c>
      <c r="AC1548">
        <v>0.120590138474236</v>
      </c>
      <c r="AD1548">
        <v>1.2920927959939701</v>
      </c>
      <c r="AE1548">
        <v>0.68281871080398604</v>
      </c>
      <c r="AF1548">
        <v>89.391304347826093</v>
      </c>
      <c r="AG1548">
        <f>IFERROR(AH1548*0.1, "N/A")</f>
        <v>6.1000000000000005</v>
      </c>
      <c r="AH1548">
        <v>61</v>
      </c>
      <c r="AI1548">
        <v>195.37495488705801</v>
      </c>
      <c r="AJ1548">
        <v>11.0695652173913</v>
      </c>
      <c r="AK1548">
        <v>71.972173913043505</v>
      </c>
    </row>
    <row r="1549" spans="1:37" x14ac:dyDescent="0.3">
      <c r="A1549">
        <v>1548</v>
      </c>
      <c r="B1549">
        <v>0</v>
      </c>
      <c r="C1549">
        <v>1.3620300000000001</v>
      </c>
      <c r="D1549">
        <v>6.5352100000000002</v>
      </c>
      <c r="E1549" t="s">
        <v>2710</v>
      </c>
      <c r="F1549" t="s">
        <v>2712</v>
      </c>
      <c r="G1549" t="s">
        <v>37</v>
      </c>
      <c r="H1549">
        <v>1982</v>
      </c>
      <c r="I1549">
        <v>26.600000381469702</v>
      </c>
      <c r="J1549">
        <v>9.3999996185302699</v>
      </c>
      <c r="K1549">
        <v>74</v>
      </c>
      <c r="L1549">
        <v>11.569999694824199</v>
      </c>
      <c r="M1549">
        <v>33.799999237060497</v>
      </c>
      <c r="N1549">
        <v>21.100000381469702</v>
      </c>
      <c r="O1549">
        <v>12.699999809265099</v>
      </c>
      <c r="P1549">
        <v>26.700000762939499</v>
      </c>
      <c r="Q1549">
        <v>27.399999618530298</v>
      </c>
      <c r="R1549">
        <v>28</v>
      </c>
      <c r="S1549">
        <v>25</v>
      </c>
      <c r="T1549">
        <v>1039</v>
      </c>
      <c r="U1549">
        <v>167</v>
      </c>
      <c r="V1549">
        <v>15</v>
      </c>
      <c r="W1549">
        <v>57</v>
      </c>
      <c r="X1549">
        <v>457</v>
      </c>
      <c r="Y1549">
        <v>72</v>
      </c>
      <c r="Z1549">
        <v>263</v>
      </c>
      <c r="AA1549">
        <v>248</v>
      </c>
      <c r="AB1549">
        <v>2.2166955831776498</v>
      </c>
      <c r="AC1549">
        <v>0.120590138474236</v>
      </c>
      <c r="AD1549">
        <v>1.2920927959939701</v>
      </c>
      <c r="AE1549">
        <v>0.68281871080398604</v>
      </c>
      <c r="AF1549">
        <v>89.391304347826093</v>
      </c>
      <c r="AG1549">
        <f>IFERROR(AH1549*0.1, "N/A")</f>
        <v>6.1000000000000005</v>
      </c>
      <c r="AH1549">
        <v>61</v>
      </c>
      <c r="AI1549">
        <v>195.37495488705801</v>
      </c>
      <c r="AJ1549">
        <v>11.0695652173913</v>
      </c>
      <c r="AK1549">
        <v>71.972173913043505</v>
      </c>
    </row>
    <row r="1550" spans="1:37" x14ac:dyDescent="0.3">
      <c r="A1550">
        <v>1549</v>
      </c>
      <c r="B1550">
        <v>4</v>
      </c>
      <c r="C1550">
        <v>1.6166700000000001</v>
      </c>
      <c r="D1550">
        <v>6.6</v>
      </c>
      <c r="E1550" t="s">
        <v>2713</v>
      </c>
      <c r="F1550" t="s">
        <v>2714</v>
      </c>
      <c r="G1550" t="s">
        <v>39</v>
      </c>
      <c r="H1550">
        <v>1982</v>
      </c>
      <c r="I1550">
        <v>27.399999618530298</v>
      </c>
      <c r="J1550">
        <v>9.3999996185302699</v>
      </c>
      <c r="K1550">
        <v>73</v>
      </c>
      <c r="L1550">
        <v>11.7709408039</v>
      </c>
      <c r="M1550">
        <v>34.700000762939503</v>
      </c>
      <c r="N1550">
        <v>21.899999618530298</v>
      </c>
      <c r="O1550">
        <v>12.800000190734901</v>
      </c>
      <c r="P1550">
        <v>27.543554173114</v>
      </c>
      <c r="Q1550">
        <v>28.200000762939499</v>
      </c>
      <c r="R1550">
        <v>28.811149105377702</v>
      </c>
      <c r="S1550">
        <v>25.799999237060501</v>
      </c>
      <c r="T1550">
        <v>975.168989547038</v>
      </c>
      <c r="U1550">
        <v>163.22125435540099</v>
      </c>
      <c r="V1550">
        <v>8</v>
      </c>
      <c r="W1550">
        <v>61.256097560975597</v>
      </c>
      <c r="X1550">
        <v>438.87979094076701</v>
      </c>
      <c r="Y1550">
        <v>55.256097560975597</v>
      </c>
      <c r="Z1550">
        <v>236.691637630662</v>
      </c>
      <c r="AA1550">
        <v>270.90243902438999</v>
      </c>
      <c r="AB1550">
        <v>1.7888495282429</v>
      </c>
      <c r="AC1550">
        <v>9.9718328127279994E-3</v>
      </c>
      <c r="AD1550">
        <v>2.3678114612551102</v>
      </c>
      <c r="AE1550">
        <v>0.71105575561523404</v>
      </c>
      <c r="AF1550">
        <v>18.287456445993001</v>
      </c>
      <c r="AG1550">
        <f>IFERROR(AH1550*0.1, "N/A")</f>
        <v>6.251916376306621</v>
      </c>
      <c r="AH1550">
        <v>62.519163763066203</v>
      </c>
      <c r="AI1550">
        <v>89.301744168643694</v>
      </c>
      <c r="AJ1550">
        <v>25.01393728223</v>
      </c>
      <c r="AK1550">
        <v>52.736933797909401</v>
      </c>
    </row>
    <row r="1551" spans="1:37" x14ac:dyDescent="0.3">
      <c r="A1551">
        <v>1550</v>
      </c>
      <c r="B1551">
        <v>0</v>
      </c>
      <c r="C1551">
        <v>1.6166700000000001</v>
      </c>
      <c r="D1551">
        <v>6.6</v>
      </c>
      <c r="E1551" t="s">
        <v>2713</v>
      </c>
      <c r="F1551" t="s">
        <v>2715</v>
      </c>
      <c r="G1551" t="s">
        <v>37</v>
      </c>
      <c r="H1551">
        <v>1982</v>
      </c>
      <c r="I1551">
        <v>27.399999618530298</v>
      </c>
      <c r="J1551">
        <v>9.3999996185302699</v>
      </c>
      <c r="K1551">
        <v>73</v>
      </c>
      <c r="L1551">
        <v>11.7709408039</v>
      </c>
      <c r="M1551">
        <v>34.700000762939503</v>
      </c>
      <c r="N1551">
        <v>21.899999618530298</v>
      </c>
      <c r="O1551">
        <v>12.800000190734901</v>
      </c>
      <c r="P1551">
        <v>27.543554173114</v>
      </c>
      <c r="Q1551">
        <v>28.200000762939499</v>
      </c>
      <c r="R1551">
        <v>28.811149105377702</v>
      </c>
      <c r="S1551">
        <v>25.799999237060501</v>
      </c>
      <c r="T1551">
        <v>975.168989547038</v>
      </c>
      <c r="U1551">
        <v>163.22125435540099</v>
      </c>
      <c r="V1551">
        <v>8</v>
      </c>
      <c r="W1551">
        <v>61.256097560975597</v>
      </c>
      <c r="X1551">
        <v>438.87979094076701</v>
      </c>
      <c r="Y1551">
        <v>55.256097560975597</v>
      </c>
      <c r="Z1551">
        <v>236.691637630662</v>
      </c>
      <c r="AA1551">
        <v>270.90243902438999</v>
      </c>
      <c r="AB1551">
        <v>1.7888495282429</v>
      </c>
      <c r="AC1551">
        <v>9.9718328127279994E-3</v>
      </c>
      <c r="AD1551">
        <v>2.3678114612551102</v>
      </c>
      <c r="AE1551">
        <v>0.71105575561523404</v>
      </c>
      <c r="AF1551">
        <v>18.287456445993001</v>
      </c>
      <c r="AG1551">
        <f>IFERROR(AH1551*0.1, "N/A")</f>
        <v>6.251916376306621</v>
      </c>
      <c r="AH1551">
        <v>62.519163763066203</v>
      </c>
      <c r="AI1551">
        <v>89.301744168643694</v>
      </c>
      <c r="AJ1551">
        <v>25.01393728223</v>
      </c>
      <c r="AK1551">
        <v>52.736933797909401</v>
      </c>
    </row>
    <row r="1552" spans="1:37" x14ac:dyDescent="0.3">
      <c r="A1552">
        <v>1551</v>
      </c>
      <c r="B1552">
        <v>4</v>
      </c>
      <c r="C1552">
        <v>1.5833299999999999</v>
      </c>
      <c r="D1552">
        <v>6.6333299999999999</v>
      </c>
      <c r="E1552" t="s">
        <v>2716</v>
      </c>
      <c r="F1552" t="s">
        <v>2717</v>
      </c>
      <c r="G1552" t="s">
        <v>39</v>
      </c>
      <c r="H1552">
        <v>1982</v>
      </c>
      <c r="I1552">
        <v>27.4608694159466</v>
      </c>
      <c r="J1552">
        <v>9.6000003814697301</v>
      </c>
      <c r="K1552">
        <v>73.344347826086903</v>
      </c>
      <c r="L1552">
        <v>11.548052087866701</v>
      </c>
      <c r="M1552">
        <v>34.919999907120399</v>
      </c>
      <c r="N1552">
        <v>21.899999618530298</v>
      </c>
      <c r="O1552">
        <v>13.020000076293901</v>
      </c>
      <c r="P1552">
        <v>27.6544353717306</v>
      </c>
      <c r="Q1552">
        <v>28.200000762939499</v>
      </c>
      <c r="R1552">
        <v>28.9544346087912</v>
      </c>
      <c r="S1552">
        <v>25.899999618530298</v>
      </c>
      <c r="T1552">
        <v>980.59130434782605</v>
      </c>
      <c r="U1552">
        <v>158.45565217391299</v>
      </c>
      <c r="V1552">
        <v>8</v>
      </c>
      <c r="W1552">
        <v>61</v>
      </c>
      <c r="X1552">
        <v>434.06434782608699</v>
      </c>
      <c r="Y1552">
        <v>54.935652173912999</v>
      </c>
      <c r="Z1552">
        <v>242.64869565217401</v>
      </c>
      <c r="AA1552">
        <v>248.591304347826</v>
      </c>
      <c r="AB1552">
        <v>5.9217391370690402</v>
      </c>
      <c r="AC1552">
        <v>9.9686099588870009E-3</v>
      </c>
      <c r="AD1552">
        <v>1.06669938066731</v>
      </c>
      <c r="AE1552">
        <v>0.68175303936004605</v>
      </c>
      <c r="AF1552">
        <v>20.227826086956501</v>
      </c>
      <c r="AG1552">
        <f>IFERROR(AH1552*0.1, "N/A")</f>
        <v>6.2351304347826106</v>
      </c>
      <c r="AH1552">
        <v>62.351304347826101</v>
      </c>
      <c r="AI1552">
        <v>225.82511471955701</v>
      </c>
      <c r="AJ1552">
        <v>21.824347826086999</v>
      </c>
      <c r="AK1552">
        <v>56.351304347826101</v>
      </c>
    </row>
    <row r="1553" spans="1:37" x14ac:dyDescent="0.3">
      <c r="A1553">
        <v>1552</v>
      </c>
      <c r="B1553">
        <v>0</v>
      </c>
      <c r="C1553">
        <v>1.5833299999999999</v>
      </c>
      <c r="D1553">
        <v>6.6333299999999999</v>
      </c>
      <c r="E1553" t="s">
        <v>2716</v>
      </c>
      <c r="F1553" t="s">
        <v>2718</v>
      </c>
      <c r="G1553" t="s">
        <v>37</v>
      </c>
      <c r="H1553">
        <v>1982</v>
      </c>
      <c r="I1553">
        <v>27.4608694159466</v>
      </c>
      <c r="J1553">
        <v>9.6000003814697301</v>
      </c>
      <c r="K1553">
        <v>73.344347826086903</v>
      </c>
      <c r="L1553">
        <v>11.548052087866701</v>
      </c>
      <c r="M1553">
        <v>34.919999907120399</v>
      </c>
      <c r="N1553">
        <v>21.899999618530298</v>
      </c>
      <c r="O1553">
        <v>13.020000076293901</v>
      </c>
      <c r="P1553">
        <v>27.6544353717306</v>
      </c>
      <c r="Q1553">
        <v>28.200000762939499</v>
      </c>
      <c r="R1553">
        <v>28.9544346087912</v>
      </c>
      <c r="S1553">
        <v>25.899999618530298</v>
      </c>
      <c r="T1553">
        <v>980.59130434782605</v>
      </c>
      <c r="U1553">
        <v>158.45565217391299</v>
      </c>
      <c r="V1553">
        <v>8</v>
      </c>
      <c r="W1553">
        <v>61</v>
      </c>
      <c r="X1553">
        <v>434.06434782608699</v>
      </c>
      <c r="Y1553">
        <v>54.935652173912999</v>
      </c>
      <c r="Z1553">
        <v>242.64869565217401</v>
      </c>
      <c r="AA1553">
        <v>248.591304347826</v>
      </c>
      <c r="AB1553">
        <v>5.9217391370690402</v>
      </c>
      <c r="AC1553">
        <v>9.9686099588870009E-3</v>
      </c>
      <c r="AD1553">
        <v>1.06669938066731</v>
      </c>
      <c r="AE1553">
        <v>0.68175303936004605</v>
      </c>
      <c r="AF1553">
        <v>20.227826086956501</v>
      </c>
      <c r="AG1553">
        <f>IFERROR(AH1553*0.1, "N/A")</f>
        <v>6.2351304347826106</v>
      </c>
      <c r="AH1553">
        <v>62.351304347826101</v>
      </c>
      <c r="AI1553">
        <v>225.82511471955701</v>
      </c>
      <c r="AJ1553">
        <v>21.824347826086999</v>
      </c>
      <c r="AK1553">
        <v>56.351304347826101</v>
      </c>
    </row>
    <row r="1554" spans="1:37" x14ac:dyDescent="0.3">
      <c r="A1554">
        <v>1553</v>
      </c>
      <c r="B1554">
        <v>0</v>
      </c>
      <c r="C1554">
        <v>1.1333299999999999</v>
      </c>
      <c r="D1554">
        <v>6.65</v>
      </c>
      <c r="E1554" t="s">
        <v>2719</v>
      </c>
      <c r="F1554" t="s">
        <v>2720</v>
      </c>
      <c r="G1554" t="s">
        <v>39</v>
      </c>
      <c r="H1554">
        <v>1982</v>
      </c>
      <c r="I1554">
        <v>26.7780483524974</v>
      </c>
      <c r="J1554">
        <v>9.6000003814697301</v>
      </c>
      <c r="K1554">
        <v>75.581881533100997</v>
      </c>
      <c r="L1554">
        <v>10.8480835359686</v>
      </c>
      <c r="M1554">
        <v>33.978049115436797</v>
      </c>
      <c r="N1554">
        <v>21.2944251003996</v>
      </c>
      <c r="O1554">
        <v>12.683623995099801</v>
      </c>
      <c r="P1554">
        <v>27.045644773423501</v>
      </c>
      <c r="Q1554">
        <v>27.019860702940001</v>
      </c>
      <c r="R1554">
        <v>28.129965652572199</v>
      </c>
      <c r="S1554">
        <v>25.2944251003996</v>
      </c>
      <c r="T1554">
        <v>1130.4529616724701</v>
      </c>
      <c r="U1554">
        <v>170</v>
      </c>
      <c r="V1554">
        <v>20.480836236933801</v>
      </c>
      <c r="W1554">
        <v>54.519163763066203</v>
      </c>
      <c r="X1554">
        <v>468.857142857143</v>
      </c>
      <c r="Y1554">
        <v>86.700348432055804</v>
      </c>
      <c r="Z1554">
        <v>294.11846689895498</v>
      </c>
      <c r="AA1554">
        <v>285.88153310104502</v>
      </c>
      <c r="AB1554">
        <v>9.4703856411711307</v>
      </c>
      <c r="AC1554">
        <v>3.7264938787509E-2</v>
      </c>
      <c r="AD1554">
        <v>3.7563631609341801</v>
      </c>
      <c r="AE1554">
        <v>0.71327227354049705</v>
      </c>
      <c r="AF1554">
        <v>107.524390243902</v>
      </c>
      <c r="AG1554">
        <f>IFERROR(AH1554*0.1, "N/A")</f>
        <v>5.8494773519163807</v>
      </c>
      <c r="AH1554">
        <v>58.4947735191638</v>
      </c>
      <c r="AI1554">
        <v>299.44339143440698</v>
      </c>
      <c r="AJ1554">
        <v>16.0278745644599</v>
      </c>
      <c r="AK1554">
        <v>67.411149825783994</v>
      </c>
    </row>
    <row r="1555" spans="1:37" x14ac:dyDescent="0.3">
      <c r="A1555">
        <v>1554</v>
      </c>
      <c r="B1555">
        <v>0</v>
      </c>
      <c r="C1555">
        <v>1.1333299999999999</v>
      </c>
      <c r="D1555">
        <v>6.65</v>
      </c>
      <c r="E1555" t="s">
        <v>2719</v>
      </c>
      <c r="F1555" t="s">
        <v>2721</v>
      </c>
      <c r="G1555" t="s">
        <v>37</v>
      </c>
      <c r="H1555">
        <v>1982</v>
      </c>
      <c r="I1555">
        <v>26.7780483524974</v>
      </c>
      <c r="J1555">
        <v>9.6000003814697301</v>
      </c>
      <c r="K1555">
        <v>75.581881533100997</v>
      </c>
      <c r="L1555">
        <v>10.8480835359686</v>
      </c>
      <c r="M1555">
        <v>33.978049115436797</v>
      </c>
      <c r="N1555">
        <v>21.2944251003996</v>
      </c>
      <c r="O1555">
        <v>12.683623995099801</v>
      </c>
      <c r="P1555">
        <v>27.045644773423501</v>
      </c>
      <c r="Q1555">
        <v>27.019860702940001</v>
      </c>
      <c r="R1555">
        <v>28.129965652572199</v>
      </c>
      <c r="S1555">
        <v>25.2944251003996</v>
      </c>
      <c r="T1555">
        <v>1130.4529616724701</v>
      </c>
      <c r="U1555">
        <v>170</v>
      </c>
      <c r="V1555">
        <v>20.480836236933801</v>
      </c>
      <c r="W1555">
        <v>54.519163763066203</v>
      </c>
      <c r="X1555">
        <v>468.857142857143</v>
      </c>
      <c r="Y1555">
        <v>86.700348432055804</v>
      </c>
      <c r="Z1555">
        <v>294.11846689895498</v>
      </c>
      <c r="AA1555">
        <v>285.88153310104502</v>
      </c>
      <c r="AB1555">
        <v>9.4703856411711307</v>
      </c>
      <c r="AC1555">
        <v>3.7264938787509E-2</v>
      </c>
      <c r="AD1555">
        <v>3.7563631609341801</v>
      </c>
      <c r="AE1555">
        <v>0.71327227354049705</v>
      </c>
      <c r="AF1555">
        <v>107.524390243902</v>
      </c>
      <c r="AG1555">
        <f>IFERROR(AH1555*0.1, "N/A")</f>
        <v>5.8494773519163807</v>
      </c>
      <c r="AH1555">
        <v>58.4947735191638</v>
      </c>
      <c r="AI1555">
        <v>299.44339143440698</v>
      </c>
      <c r="AJ1555">
        <v>16.0278745644599</v>
      </c>
      <c r="AK1555">
        <v>67.411149825783994</v>
      </c>
    </row>
    <row r="1556" spans="1:37" x14ac:dyDescent="0.3">
      <c r="A1556">
        <v>1555</v>
      </c>
      <c r="B1556">
        <v>0</v>
      </c>
      <c r="C1556">
        <v>1.59798</v>
      </c>
      <c r="D1556">
        <v>6.6638700000000002</v>
      </c>
      <c r="E1556" t="s">
        <v>2722</v>
      </c>
      <c r="F1556" t="s">
        <v>2723</v>
      </c>
      <c r="G1556" t="s">
        <v>39</v>
      </c>
      <c r="H1556">
        <v>1982</v>
      </c>
      <c r="I1556">
        <v>27.399999618530298</v>
      </c>
      <c r="J1556">
        <v>9.6000003814697301</v>
      </c>
      <c r="K1556">
        <v>73</v>
      </c>
      <c r="L1556">
        <v>11.699999809265099</v>
      </c>
      <c r="M1556">
        <v>34.900001525878899</v>
      </c>
      <c r="N1556">
        <v>21.799999237060501</v>
      </c>
      <c r="O1556">
        <v>13.1000003814697</v>
      </c>
      <c r="P1556">
        <v>27.600000381469702</v>
      </c>
      <c r="Q1556">
        <v>28.200000762939499</v>
      </c>
      <c r="R1556">
        <v>28.899999618530298</v>
      </c>
      <c r="S1556">
        <v>25.799999237060501</v>
      </c>
      <c r="T1556">
        <v>992</v>
      </c>
      <c r="U1556">
        <v>164</v>
      </c>
      <c r="V1556">
        <v>7</v>
      </c>
      <c r="W1556">
        <v>61</v>
      </c>
      <c r="X1556">
        <v>438</v>
      </c>
      <c r="Y1556">
        <v>56</v>
      </c>
      <c r="Z1556">
        <v>245</v>
      </c>
      <c r="AA1556">
        <v>257</v>
      </c>
      <c r="AB1556">
        <v>14.156869530055801</v>
      </c>
      <c r="AC1556">
        <v>8.7866070866580003E-3</v>
      </c>
      <c r="AD1556">
        <v>2.10057838875314</v>
      </c>
      <c r="AE1556">
        <v>0.72375959157943703</v>
      </c>
      <c r="AF1556">
        <v>27.897391304347799</v>
      </c>
      <c r="AG1556">
        <f>IFERROR(AH1556*0.1, "N/A")</f>
        <v>6.1349565217391309</v>
      </c>
      <c r="AH1556">
        <v>61.349565217391302</v>
      </c>
      <c r="AI1556">
        <v>79.377508471945106</v>
      </c>
      <c r="AJ1556">
        <v>22.1773913043478</v>
      </c>
      <c r="AK1556">
        <v>56.316521739130401</v>
      </c>
    </row>
    <row r="1557" spans="1:37" x14ac:dyDescent="0.3">
      <c r="A1557">
        <v>1556</v>
      </c>
      <c r="B1557">
        <v>0</v>
      </c>
      <c r="C1557">
        <v>1.59798</v>
      </c>
      <c r="D1557">
        <v>6.6638700000000002</v>
      </c>
      <c r="E1557" t="s">
        <v>2722</v>
      </c>
      <c r="F1557" t="s">
        <v>2724</v>
      </c>
      <c r="G1557" t="s">
        <v>37</v>
      </c>
      <c r="H1557">
        <v>1982</v>
      </c>
      <c r="I1557">
        <v>27.399999618530298</v>
      </c>
      <c r="J1557">
        <v>9.6000003814697301</v>
      </c>
      <c r="K1557">
        <v>73</v>
      </c>
      <c r="L1557">
        <v>11.699999809265099</v>
      </c>
      <c r="M1557">
        <v>34.900001525878899</v>
      </c>
      <c r="N1557">
        <v>21.799999237060501</v>
      </c>
      <c r="O1557">
        <v>13.1000003814697</v>
      </c>
      <c r="P1557">
        <v>27.600000381469702</v>
      </c>
      <c r="Q1557">
        <v>28.200000762939499</v>
      </c>
      <c r="R1557">
        <v>28.899999618530298</v>
      </c>
      <c r="S1557">
        <v>25.799999237060501</v>
      </c>
      <c r="T1557">
        <v>992</v>
      </c>
      <c r="U1557">
        <v>164</v>
      </c>
      <c r="V1557">
        <v>7</v>
      </c>
      <c r="W1557">
        <v>61</v>
      </c>
      <c r="X1557">
        <v>438</v>
      </c>
      <c r="Y1557">
        <v>56</v>
      </c>
      <c r="Z1557">
        <v>245</v>
      </c>
      <c r="AA1557">
        <v>257</v>
      </c>
      <c r="AB1557">
        <v>14.156869530055801</v>
      </c>
      <c r="AC1557">
        <v>8.7866070866580003E-3</v>
      </c>
      <c r="AD1557">
        <v>2.10057838875314</v>
      </c>
      <c r="AE1557">
        <v>0.72375959157943703</v>
      </c>
      <c r="AF1557">
        <v>27.897391304347799</v>
      </c>
      <c r="AG1557">
        <f>IFERROR(AH1557*0.1, "N/A")</f>
        <v>6.1349565217391309</v>
      </c>
      <c r="AH1557">
        <v>61.349565217391302</v>
      </c>
      <c r="AI1557">
        <v>79.377508471945106</v>
      </c>
      <c r="AJ1557">
        <v>22.1773913043478</v>
      </c>
      <c r="AK1557">
        <v>56.316521739130401</v>
      </c>
    </row>
    <row r="1558" spans="1:37" x14ac:dyDescent="0.3">
      <c r="A1558">
        <v>1557</v>
      </c>
      <c r="B1558">
        <v>50</v>
      </c>
      <c r="C1558">
        <v>1.1666700000000001</v>
      </c>
      <c r="D1558">
        <v>6.6666699999999999</v>
      </c>
      <c r="E1558" t="s">
        <v>2725</v>
      </c>
      <c r="F1558" t="s">
        <v>2726</v>
      </c>
      <c r="G1558" t="s">
        <v>39</v>
      </c>
      <c r="H1558">
        <v>1982</v>
      </c>
      <c r="I1558">
        <v>26.6493037054348</v>
      </c>
      <c r="J1558">
        <v>9.6000003814697301</v>
      </c>
      <c r="K1558">
        <v>74</v>
      </c>
      <c r="L1558">
        <v>10.984007292092899</v>
      </c>
      <c r="M1558">
        <v>34.042159635430799</v>
      </c>
      <c r="N1558">
        <v>21.142160821044101</v>
      </c>
      <c r="O1558">
        <v>12.8999996185303</v>
      </c>
      <c r="P1558">
        <v>26.899999618530298</v>
      </c>
      <c r="Q1558">
        <v>26.899999618530298</v>
      </c>
      <c r="R1558">
        <v>28.0421604395743</v>
      </c>
      <c r="S1558">
        <v>25.142160821044101</v>
      </c>
      <c r="T1558">
        <v>1126.9181184669001</v>
      </c>
      <c r="U1558">
        <v>167.69860627177701</v>
      </c>
      <c r="V1558">
        <v>19.698606271776999</v>
      </c>
      <c r="W1558">
        <v>54.493031358884998</v>
      </c>
      <c r="X1558">
        <v>466.39721254355402</v>
      </c>
      <c r="Y1558">
        <v>83.588850174216006</v>
      </c>
      <c r="Z1558">
        <v>293.94250871080101</v>
      </c>
      <c r="AA1558">
        <v>291.02787456445998</v>
      </c>
      <c r="AB1558">
        <v>18.572994537885201</v>
      </c>
      <c r="AC1558">
        <v>5.3092107880950999E-2</v>
      </c>
      <c r="AD1558">
        <v>2.32959276001628</v>
      </c>
      <c r="AE1558">
        <v>0.80181485570266298</v>
      </c>
      <c r="AF1558">
        <v>126.484320557491</v>
      </c>
      <c r="AG1558">
        <f>IFERROR(AH1558*0.1, "N/A")</f>
        <v>6.2698606271777004</v>
      </c>
      <c r="AH1558">
        <v>62.698606271777003</v>
      </c>
      <c r="AI1558">
        <v>173.02434862781499</v>
      </c>
      <c r="AJ1558">
        <v>13</v>
      </c>
      <c r="AK1558">
        <v>71</v>
      </c>
    </row>
    <row r="1559" spans="1:37" x14ac:dyDescent="0.3">
      <c r="A1559">
        <v>1558</v>
      </c>
      <c r="B1559">
        <v>0</v>
      </c>
      <c r="C1559">
        <v>1.1666700000000001</v>
      </c>
      <c r="D1559">
        <v>6.6666699999999999</v>
      </c>
      <c r="E1559" t="s">
        <v>2725</v>
      </c>
      <c r="F1559" t="s">
        <v>2727</v>
      </c>
      <c r="G1559" t="s">
        <v>37</v>
      </c>
      <c r="H1559">
        <v>1982</v>
      </c>
      <c r="I1559">
        <v>26.6493037054348</v>
      </c>
      <c r="J1559">
        <v>9.6000003814697301</v>
      </c>
      <c r="K1559">
        <v>74</v>
      </c>
      <c r="L1559">
        <v>10.984007292092899</v>
      </c>
      <c r="M1559">
        <v>34.042159635430799</v>
      </c>
      <c r="N1559">
        <v>21.142160821044101</v>
      </c>
      <c r="O1559">
        <v>12.8999996185303</v>
      </c>
      <c r="P1559">
        <v>26.899999618530298</v>
      </c>
      <c r="Q1559">
        <v>26.899999618530298</v>
      </c>
      <c r="R1559">
        <v>28.0421604395743</v>
      </c>
      <c r="S1559">
        <v>25.142160821044101</v>
      </c>
      <c r="T1559">
        <v>1126.9181184669001</v>
      </c>
      <c r="U1559">
        <v>167.69860627177701</v>
      </c>
      <c r="V1559">
        <v>19.698606271776999</v>
      </c>
      <c r="W1559">
        <v>54.493031358884998</v>
      </c>
      <c r="X1559">
        <v>466.39721254355402</v>
      </c>
      <c r="Y1559">
        <v>83.588850174216006</v>
      </c>
      <c r="Z1559">
        <v>293.94250871080101</v>
      </c>
      <c r="AA1559">
        <v>291.02787456445998</v>
      </c>
      <c r="AB1559">
        <v>18.572994537885201</v>
      </c>
      <c r="AC1559">
        <v>5.3092107880950999E-2</v>
      </c>
      <c r="AD1559">
        <v>2.32959276001628</v>
      </c>
      <c r="AE1559">
        <v>0.80181485570266298</v>
      </c>
      <c r="AF1559">
        <v>126.484320557491</v>
      </c>
      <c r="AG1559">
        <f>IFERROR(AH1559*0.1, "N/A")</f>
        <v>6.2698606271777004</v>
      </c>
      <c r="AH1559">
        <v>62.698606271777003</v>
      </c>
      <c r="AI1559">
        <v>173.02434862781499</v>
      </c>
      <c r="AJ1559">
        <v>13</v>
      </c>
      <c r="AK1559">
        <v>71</v>
      </c>
    </row>
    <row r="1560" spans="1:37" x14ac:dyDescent="0.3">
      <c r="A1560">
        <v>1559</v>
      </c>
      <c r="B1560">
        <v>11.8</v>
      </c>
      <c r="C1560">
        <v>1.23333</v>
      </c>
      <c r="D1560">
        <v>6.6666699999999999</v>
      </c>
      <c r="E1560" t="s">
        <v>2728</v>
      </c>
      <c r="F1560" t="s">
        <v>2729</v>
      </c>
      <c r="G1560" t="s">
        <v>39</v>
      </c>
      <c r="H1560">
        <v>1982</v>
      </c>
      <c r="I1560">
        <v>26.780661838810602</v>
      </c>
      <c r="J1560">
        <v>9.6736933395837692</v>
      </c>
      <c r="K1560">
        <v>74.736933797909401</v>
      </c>
      <c r="L1560">
        <v>11.195679456930099</v>
      </c>
      <c r="M1560">
        <v>34.126305696440902</v>
      </c>
      <c r="N1560">
        <v>21.226306981741299</v>
      </c>
      <c r="O1560">
        <v>12.8999996185303</v>
      </c>
      <c r="P1560">
        <v>26.941288974642301</v>
      </c>
      <c r="Q1560">
        <v>27.065679693055898</v>
      </c>
      <c r="R1560">
        <v>28.141289451811801</v>
      </c>
      <c r="S1560">
        <v>25.226306981741299</v>
      </c>
      <c r="T1560">
        <v>1077.62195121951</v>
      </c>
      <c r="U1560">
        <v>160.80662020905899</v>
      </c>
      <c r="V1560">
        <v>17</v>
      </c>
      <c r="W1560">
        <v>55.606271777003499</v>
      </c>
      <c r="X1560">
        <v>452.54355400696898</v>
      </c>
      <c r="Y1560">
        <v>75</v>
      </c>
      <c r="Z1560">
        <v>281.13066202090602</v>
      </c>
      <c r="AA1560">
        <v>280.947735191638</v>
      </c>
      <c r="AB1560">
        <v>2.1498242554348899</v>
      </c>
      <c r="AC1560">
        <v>0.23208665034574699</v>
      </c>
      <c r="AD1560">
        <v>2.9147480335800502</v>
      </c>
      <c r="AE1560">
        <v>0.62758558220148897</v>
      </c>
      <c r="AF1560">
        <v>99.463414634146304</v>
      </c>
      <c r="AG1560">
        <f>IFERROR(AH1560*0.1, "N/A")</f>
        <v>6.25435540069686</v>
      </c>
      <c r="AH1560">
        <v>62.543554006968598</v>
      </c>
      <c r="AI1560">
        <v>181.09933494275501</v>
      </c>
      <c r="AJ1560">
        <v>14.4564459930314</v>
      </c>
      <c r="AK1560">
        <v>68.543554006968606</v>
      </c>
    </row>
    <row r="1561" spans="1:37" x14ac:dyDescent="0.3">
      <c r="A1561">
        <v>1560</v>
      </c>
      <c r="B1561">
        <v>0</v>
      </c>
      <c r="C1561">
        <v>1.23333</v>
      </c>
      <c r="D1561">
        <v>6.6666699999999999</v>
      </c>
      <c r="E1561" t="s">
        <v>2728</v>
      </c>
      <c r="F1561" t="s">
        <v>2730</v>
      </c>
      <c r="G1561" t="s">
        <v>37</v>
      </c>
      <c r="H1561">
        <v>1982</v>
      </c>
      <c r="I1561">
        <v>26.780661838810602</v>
      </c>
      <c r="J1561">
        <v>9.6736933395837692</v>
      </c>
      <c r="K1561">
        <v>74.736933797909401</v>
      </c>
      <c r="L1561">
        <v>11.195679456930099</v>
      </c>
      <c r="M1561">
        <v>34.126305696440902</v>
      </c>
      <c r="N1561">
        <v>21.226306981741299</v>
      </c>
      <c r="O1561">
        <v>12.8999996185303</v>
      </c>
      <c r="P1561">
        <v>26.941288974642301</v>
      </c>
      <c r="Q1561">
        <v>27.065679693055898</v>
      </c>
      <c r="R1561">
        <v>28.141289451811801</v>
      </c>
      <c r="S1561">
        <v>25.226306981741299</v>
      </c>
      <c r="T1561">
        <v>1077.62195121951</v>
      </c>
      <c r="U1561">
        <v>160.80662020905899</v>
      </c>
      <c r="V1561">
        <v>17</v>
      </c>
      <c r="W1561">
        <v>55.606271777003499</v>
      </c>
      <c r="X1561">
        <v>452.54355400696898</v>
      </c>
      <c r="Y1561">
        <v>75</v>
      </c>
      <c r="Z1561">
        <v>281.13066202090602</v>
      </c>
      <c r="AA1561">
        <v>280.947735191638</v>
      </c>
      <c r="AB1561">
        <v>2.1498242554348899</v>
      </c>
      <c r="AC1561">
        <v>0.23208665034574699</v>
      </c>
      <c r="AD1561">
        <v>2.9147480335800502</v>
      </c>
      <c r="AE1561">
        <v>0.62758558220148897</v>
      </c>
      <c r="AF1561">
        <v>99.463414634146304</v>
      </c>
      <c r="AG1561">
        <f>IFERROR(AH1561*0.1, "N/A")</f>
        <v>6.25435540069686</v>
      </c>
      <c r="AH1561">
        <v>62.543554006968598</v>
      </c>
      <c r="AI1561">
        <v>181.09933494275501</v>
      </c>
      <c r="AJ1561">
        <v>14.4564459930314</v>
      </c>
      <c r="AK1561">
        <v>68.543554006968606</v>
      </c>
    </row>
    <row r="1562" spans="1:37" x14ac:dyDescent="0.3">
      <c r="A1562">
        <v>1561</v>
      </c>
      <c r="B1562">
        <v>38</v>
      </c>
      <c r="C1562">
        <v>1.31667</v>
      </c>
      <c r="D1562">
        <v>6.7</v>
      </c>
      <c r="E1562" t="s">
        <v>2731</v>
      </c>
      <c r="F1562" t="s">
        <v>2732</v>
      </c>
      <c r="G1562" t="s">
        <v>39</v>
      </c>
      <c r="H1562">
        <v>1982</v>
      </c>
      <c r="I1562">
        <v>27.162369957368998</v>
      </c>
      <c r="J1562">
        <v>9.8000001907348597</v>
      </c>
      <c r="K1562">
        <v>74</v>
      </c>
      <c r="L1562">
        <v>11.3232404064218</v>
      </c>
      <c r="M1562">
        <v>34.681185001280198</v>
      </c>
      <c r="N1562">
        <v>21.562369575899201</v>
      </c>
      <c r="O1562">
        <v>13.118815604818</v>
      </c>
      <c r="P1562">
        <v>27.3057487467856</v>
      </c>
      <c r="Q1562">
        <v>27.381184215745002</v>
      </c>
      <c r="R1562">
        <v>28.581184978684501</v>
      </c>
      <c r="S1562">
        <v>25.637805403732699</v>
      </c>
      <c r="T1562">
        <v>1022.29790940767</v>
      </c>
      <c r="U1562">
        <v>152.56620209059199</v>
      </c>
      <c r="V1562">
        <v>13.4337979094077</v>
      </c>
      <c r="W1562">
        <v>56.716027874564503</v>
      </c>
      <c r="X1562">
        <v>429.09233449477301</v>
      </c>
      <c r="Y1562">
        <v>65.433797909407602</v>
      </c>
      <c r="Z1562">
        <v>260.77177700348398</v>
      </c>
      <c r="AA1562">
        <v>289.34320557491299</v>
      </c>
      <c r="AB1562">
        <v>8.41446081686518</v>
      </c>
      <c r="AC1562">
        <v>0.108899678196109</v>
      </c>
      <c r="AD1562">
        <v>2.1642311462541901</v>
      </c>
      <c r="AE1562">
        <v>0.638086378574371</v>
      </c>
      <c r="AF1562">
        <v>63.409407665505199</v>
      </c>
      <c r="AG1562">
        <f>IFERROR(AH1562*0.1, "N/A")</f>
        <v>6.3716027874564407</v>
      </c>
      <c r="AH1562">
        <v>63.716027874564404</v>
      </c>
      <c r="AI1562">
        <v>65.0603316237287</v>
      </c>
      <c r="AJ1562">
        <v>17.283972125435501</v>
      </c>
      <c r="AK1562">
        <v>62</v>
      </c>
    </row>
    <row r="1563" spans="1:37" x14ac:dyDescent="0.3">
      <c r="A1563">
        <v>1562</v>
      </c>
      <c r="B1563">
        <v>0</v>
      </c>
      <c r="C1563">
        <v>1.31667</v>
      </c>
      <c r="D1563">
        <v>6.7</v>
      </c>
      <c r="E1563" t="s">
        <v>2731</v>
      </c>
      <c r="F1563" t="s">
        <v>2733</v>
      </c>
      <c r="G1563" t="s">
        <v>37</v>
      </c>
      <c r="H1563">
        <v>1982</v>
      </c>
      <c r="I1563">
        <v>27.162369957368998</v>
      </c>
      <c r="J1563">
        <v>9.8000001907348597</v>
      </c>
      <c r="K1563">
        <v>74</v>
      </c>
      <c r="L1563">
        <v>11.3232404064218</v>
      </c>
      <c r="M1563">
        <v>34.681185001280198</v>
      </c>
      <c r="N1563">
        <v>21.562369575899201</v>
      </c>
      <c r="O1563">
        <v>13.118815604818</v>
      </c>
      <c r="P1563">
        <v>27.3057487467856</v>
      </c>
      <c r="Q1563">
        <v>27.381184215745002</v>
      </c>
      <c r="R1563">
        <v>28.581184978684501</v>
      </c>
      <c r="S1563">
        <v>25.637805403732699</v>
      </c>
      <c r="T1563">
        <v>1022.29790940767</v>
      </c>
      <c r="U1563">
        <v>152.56620209059199</v>
      </c>
      <c r="V1563">
        <v>13.4337979094077</v>
      </c>
      <c r="W1563">
        <v>56.716027874564503</v>
      </c>
      <c r="X1563">
        <v>429.09233449477301</v>
      </c>
      <c r="Y1563">
        <v>65.433797909407602</v>
      </c>
      <c r="Z1563">
        <v>260.77177700348398</v>
      </c>
      <c r="AA1563">
        <v>289.34320557491299</v>
      </c>
      <c r="AB1563">
        <v>8.41446081686518</v>
      </c>
      <c r="AC1563">
        <v>0.108899678196109</v>
      </c>
      <c r="AD1563">
        <v>2.1642311462541901</v>
      </c>
      <c r="AE1563">
        <v>0.638086378574371</v>
      </c>
      <c r="AF1563">
        <v>63.409407665505199</v>
      </c>
      <c r="AG1563">
        <f>IFERROR(AH1563*0.1, "N/A")</f>
        <v>6.3716027874564407</v>
      </c>
      <c r="AH1563">
        <v>63.716027874564404</v>
      </c>
      <c r="AI1563">
        <v>65.0603316237287</v>
      </c>
      <c r="AJ1563">
        <v>17.283972125435501</v>
      </c>
      <c r="AK1563">
        <v>62</v>
      </c>
    </row>
    <row r="1564" spans="1:37" x14ac:dyDescent="0.3">
      <c r="A1564">
        <v>1563</v>
      </c>
      <c r="B1564">
        <v>22.4</v>
      </c>
      <c r="C1564">
        <v>1.1499999999999999</v>
      </c>
      <c r="D1564">
        <v>6.7166699999999997</v>
      </c>
      <c r="E1564" t="s">
        <v>2734</v>
      </c>
      <c r="F1564" t="s">
        <v>2735</v>
      </c>
      <c r="G1564" t="s">
        <v>39</v>
      </c>
      <c r="H1564">
        <v>1982</v>
      </c>
      <c r="I1564">
        <v>26.667248024757701</v>
      </c>
      <c r="J1564">
        <v>9.6999998092651403</v>
      </c>
      <c r="K1564">
        <v>74.837979094076601</v>
      </c>
      <c r="L1564">
        <v>10.8786409989467</v>
      </c>
      <c r="M1564">
        <v>34.032404304796799</v>
      </c>
      <c r="N1564">
        <v>21.116202533868101</v>
      </c>
      <c r="O1564">
        <v>12.9162017709287</v>
      </c>
      <c r="P1564">
        <v>26.916201770928701</v>
      </c>
      <c r="Q1564">
        <v>26.916201770928701</v>
      </c>
      <c r="R1564">
        <v>28.0162021523984</v>
      </c>
      <c r="S1564">
        <v>25.167248024757701</v>
      </c>
      <c r="T1564">
        <v>1130.45644599303</v>
      </c>
      <c r="U1564">
        <v>166.35017421602799</v>
      </c>
      <c r="V1564">
        <v>19.1881533101045</v>
      </c>
      <c r="W1564">
        <v>54</v>
      </c>
      <c r="X1564">
        <v>461.70383275261298</v>
      </c>
      <c r="Y1564">
        <v>81.376306620209107</v>
      </c>
      <c r="Z1564">
        <v>293.35365853658499</v>
      </c>
      <c r="AA1564">
        <v>302.67247386759601</v>
      </c>
      <c r="AB1564">
        <v>8.4747416532828801</v>
      </c>
      <c r="AC1564">
        <v>7.4608857637979004E-2</v>
      </c>
      <c r="AD1564">
        <v>1.81237955417367</v>
      </c>
      <c r="AE1564">
        <v>0.70506608486175504</v>
      </c>
      <c r="AF1564">
        <v>132.10278745644601</v>
      </c>
      <c r="AG1564">
        <f>IFERROR(AH1564*0.1, "N/A")</f>
        <v>6.2050522648083604</v>
      </c>
      <c r="AH1564">
        <v>62.0505226480836</v>
      </c>
      <c r="AI1564">
        <v>124.090391615957</v>
      </c>
      <c r="AJ1564">
        <v>13.6498257839721</v>
      </c>
      <c r="AK1564">
        <v>71.350174216027895</v>
      </c>
    </row>
    <row r="1565" spans="1:37" x14ac:dyDescent="0.3">
      <c r="A1565">
        <v>1564</v>
      </c>
      <c r="B1565">
        <v>0</v>
      </c>
      <c r="C1565">
        <v>1.1499999999999999</v>
      </c>
      <c r="D1565">
        <v>6.7166699999999997</v>
      </c>
      <c r="E1565" t="s">
        <v>2734</v>
      </c>
      <c r="F1565" t="s">
        <v>2736</v>
      </c>
      <c r="G1565" t="s">
        <v>37</v>
      </c>
      <c r="H1565">
        <v>1982</v>
      </c>
      <c r="I1565">
        <v>26.667248024757701</v>
      </c>
      <c r="J1565">
        <v>9.6999998092651403</v>
      </c>
      <c r="K1565">
        <v>74.837979094076601</v>
      </c>
      <c r="L1565">
        <v>10.8786409989467</v>
      </c>
      <c r="M1565">
        <v>34.032404304796799</v>
      </c>
      <c r="N1565">
        <v>21.116202533868101</v>
      </c>
      <c r="O1565">
        <v>12.9162017709287</v>
      </c>
      <c r="P1565">
        <v>26.916201770928701</v>
      </c>
      <c r="Q1565">
        <v>26.916201770928701</v>
      </c>
      <c r="R1565">
        <v>28.0162021523984</v>
      </c>
      <c r="S1565">
        <v>25.167248024757701</v>
      </c>
      <c r="T1565">
        <v>1130.45644599303</v>
      </c>
      <c r="U1565">
        <v>166.35017421602799</v>
      </c>
      <c r="V1565">
        <v>19.1881533101045</v>
      </c>
      <c r="W1565">
        <v>54</v>
      </c>
      <c r="X1565">
        <v>461.70383275261298</v>
      </c>
      <c r="Y1565">
        <v>81.376306620209107</v>
      </c>
      <c r="Z1565">
        <v>293.35365853658499</v>
      </c>
      <c r="AA1565">
        <v>302.67247386759601</v>
      </c>
      <c r="AB1565">
        <v>8.4747416532828801</v>
      </c>
      <c r="AC1565">
        <v>7.4608857637979004E-2</v>
      </c>
      <c r="AD1565">
        <v>1.81237955417367</v>
      </c>
      <c r="AE1565">
        <v>0.70506608486175504</v>
      </c>
      <c r="AF1565">
        <v>132.10278745644601</v>
      </c>
      <c r="AG1565">
        <f>IFERROR(AH1565*0.1, "N/A")</f>
        <v>6.2050522648083604</v>
      </c>
      <c r="AH1565">
        <v>62.0505226480836</v>
      </c>
      <c r="AI1565">
        <v>124.090391615957</v>
      </c>
      <c r="AJ1565">
        <v>13.6498257839721</v>
      </c>
      <c r="AK1565">
        <v>71.350174216027895</v>
      </c>
    </row>
    <row r="1566" spans="1:37" x14ac:dyDescent="0.3">
      <c r="A1566">
        <v>1565</v>
      </c>
      <c r="B1566">
        <v>8.1999999999999993</v>
      </c>
      <c r="C1566">
        <v>1.56667</v>
      </c>
      <c r="D1566">
        <v>6.7166699999999997</v>
      </c>
      <c r="E1566" t="s">
        <v>2737</v>
      </c>
      <c r="F1566" t="s">
        <v>2738</v>
      </c>
      <c r="G1566" t="s">
        <v>39</v>
      </c>
      <c r="H1566">
        <v>1982</v>
      </c>
      <c r="I1566">
        <v>27.305912737639101</v>
      </c>
      <c r="J1566">
        <v>9.7744348758199902</v>
      </c>
      <c r="K1566">
        <v>73.259130434782605</v>
      </c>
      <c r="L1566">
        <v>11.7675302737692</v>
      </c>
      <c r="M1566">
        <v>34.928695871104402</v>
      </c>
      <c r="N1566">
        <v>21.657390922878101</v>
      </c>
      <c r="O1566">
        <v>13.2713042118238</v>
      </c>
      <c r="P1566">
        <v>27.454608522498098</v>
      </c>
      <c r="Q1566">
        <v>27.654608791185499</v>
      </c>
      <c r="R1566">
        <v>28.828695433243499</v>
      </c>
      <c r="S1566">
        <v>25.705912847104301</v>
      </c>
      <c r="T1566">
        <v>1006.63304347826</v>
      </c>
      <c r="U1566">
        <v>159.22782608695599</v>
      </c>
      <c r="V1566">
        <v>7.2278260869565196</v>
      </c>
      <c r="W1566">
        <v>59.772173913043503</v>
      </c>
      <c r="X1566">
        <v>431.68173913043501</v>
      </c>
      <c r="Y1566">
        <v>56.455652173913101</v>
      </c>
      <c r="Z1566">
        <v>249.878260869565</v>
      </c>
      <c r="AA1566">
        <v>282.97739130434798</v>
      </c>
      <c r="AB1566">
        <v>29.266261463994599</v>
      </c>
      <c r="AC1566">
        <v>2.5648252335580001E-2</v>
      </c>
      <c r="AD1566">
        <v>4.5519239574929902</v>
      </c>
      <c r="AE1566">
        <v>0.70675957202911399</v>
      </c>
      <c r="AF1566">
        <v>60.631304347826102</v>
      </c>
      <c r="AG1566">
        <f>IFERROR(AH1566*0.1, "N/A")</f>
        <v>6.6000000000000005</v>
      </c>
      <c r="AH1566">
        <v>66</v>
      </c>
      <c r="AI1566">
        <v>41.050471679024099</v>
      </c>
      <c r="AJ1566">
        <v>15.4852173913043</v>
      </c>
      <c r="AK1566">
        <v>74.029565217391294</v>
      </c>
    </row>
    <row r="1567" spans="1:37" x14ac:dyDescent="0.3">
      <c r="A1567">
        <v>1566</v>
      </c>
      <c r="B1567">
        <v>0</v>
      </c>
      <c r="C1567">
        <v>1.56667</v>
      </c>
      <c r="D1567">
        <v>6.7166699999999997</v>
      </c>
      <c r="E1567" t="s">
        <v>2737</v>
      </c>
      <c r="F1567" t="s">
        <v>2739</v>
      </c>
      <c r="G1567" t="s">
        <v>37</v>
      </c>
      <c r="H1567">
        <v>1982</v>
      </c>
      <c r="I1567">
        <v>27.305912737639101</v>
      </c>
      <c r="J1567">
        <v>9.7744348758199902</v>
      </c>
      <c r="K1567">
        <v>73.259130434782605</v>
      </c>
      <c r="L1567">
        <v>11.7675302737692</v>
      </c>
      <c r="M1567">
        <v>34.928695871104402</v>
      </c>
      <c r="N1567">
        <v>21.657390922878101</v>
      </c>
      <c r="O1567">
        <v>13.2713042118238</v>
      </c>
      <c r="P1567">
        <v>27.454608522498098</v>
      </c>
      <c r="Q1567">
        <v>27.654608791185499</v>
      </c>
      <c r="R1567">
        <v>28.828695433243499</v>
      </c>
      <c r="S1567">
        <v>25.705912847104301</v>
      </c>
      <c r="T1567">
        <v>1006.63304347826</v>
      </c>
      <c r="U1567">
        <v>159.22782608695599</v>
      </c>
      <c r="V1567">
        <v>7.2278260869565196</v>
      </c>
      <c r="W1567">
        <v>59.772173913043503</v>
      </c>
      <c r="X1567">
        <v>431.68173913043501</v>
      </c>
      <c r="Y1567">
        <v>56.455652173913101</v>
      </c>
      <c r="Z1567">
        <v>249.878260869565</v>
      </c>
      <c r="AA1567">
        <v>282.97739130434798</v>
      </c>
      <c r="AB1567">
        <v>29.266261463994599</v>
      </c>
      <c r="AC1567">
        <v>2.5648252335580001E-2</v>
      </c>
      <c r="AD1567">
        <v>4.5519239574929902</v>
      </c>
      <c r="AE1567">
        <v>0.70675957202911399</v>
      </c>
      <c r="AF1567">
        <v>60.631304347826102</v>
      </c>
      <c r="AG1567">
        <f>IFERROR(AH1567*0.1, "N/A")</f>
        <v>6.6000000000000005</v>
      </c>
      <c r="AH1567">
        <v>66</v>
      </c>
      <c r="AI1567">
        <v>41.050471679024099</v>
      </c>
      <c r="AJ1567">
        <v>15.4852173913043</v>
      </c>
      <c r="AK1567">
        <v>74.029565217391294</v>
      </c>
    </row>
    <row r="1568" spans="1:37" x14ac:dyDescent="0.3">
      <c r="A1568">
        <v>1567</v>
      </c>
      <c r="B1568">
        <v>42</v>
      </c>
      <c r="C1568">
        <v>1.56667</v>
      </c>
      <c r="D1568">
        <v>6.7666700000000004</v>
      </c>
      <c r="E1568" t="s">
        <v>2740</v>
      </c>
      <c r="F1568" t="s">
        <v>2741</v>
      </c>
      <c r="G1568" t="s">
        <v>39</v>
      </c>
      <c r="H1568">
        <v>1982</v>
      </c>
      <c r="I1568">
        <v>27.100000381469702</v>
      </c>
      <c r="J1568">
        <v>9.8000001907348597</v>
      </c>
      <c r="K1568">
        <v>73</v>
      </c>
      <c r="L1568">
        <v>11.859373960080401</v>
      </c>
      <c r="M1568">
        <v>34.790434165622898</v>
      </c>
      <c r="N1568">
        <v>21.399999618530298</v>
      </c>
      <c r="O1568">
        <v>13.390434455871601</v>
      </c>
      <c r="P1568">
        <v>27.290434165622901</v>
      </c>
      <c r="Q1568">
        <v>27.437043238100799</v>
      </c>
      <c r="R1568">
        <v>28.629391797936499</v>
      </c>
      <c r="S1568">
        <v>25.5</v>
      </c>
      <c r="T1568">
        <v>1020.57565217391</v>
      </c>
      <c r="U1568">
        <v>156.274782608696</v>
      </c>
      <c r="V1568">
        <v>7.0956521739130398</v>
      </c>
      <c r="W1568">
        <v>58.370434782608697</v>
      </c>
      <c r="X1568">
        <v>428.17913043478302</v>
      </c>
      <c r="Y1568">
        <v>54.095652173913003</v>
      </c>
      <c r="Z1568">
        <v>252.09565217391301</v>
      </c>
      <c r="AA1568">
        <v>294.20521739130402</v>
      </c>
      <c r="AB1568">
        <v>7.1596523649796202</v>
      </c>
      <c r="AC1568">
        <v>2.9823923065611001E-2</v>
      </c>
      <c r="AD1568">
        <v>2.09389135422914</v>
      </c>
      <c r="AE1568">
        <v>0.71426998314650203</v>
      </c>
      <c r="AF1568">
        <v>86.433043478260899</v>
      </c>
      <c r="AG1568">
        <f>IFERROR(AH1568*0.1, "N/A")</f>
        <v>6.3485217391304403</v>
      </c>
      <c r="AH1568">
        <v>63.485217391304403</v>
      </c>
      <c r="AI1568">
        <v>151.78156175032899</v>
      </c>
      <c r="AJ1568">
        <v>15.92</v>
      </c>
      <c r="AK1568">
        <v>71.5721739130435</v>
      </c>
    </row>
    <row r="1569" spans="1:37" x14ac:dyDescent="0.3">
      <c r="A1569">
        <v>1568</v>
      </c>
      <c r="B1569">
        <v>0</v>
      </c>
      <c r="C1569">
        <v>1.56667</v>
      </c>
      <c r="D1569">
        <v>6.7666700000000004</v>
      </c>
      <c r="E1569" t="s">
        <v>2740</v>
      </c>
      <c r="F1569" t="s">
        <v>2742</v>
      </c>
      <c r="G1569" t="s">
        <v>37</v>
      </c>
      <c r="H1569">
        <v>1982</v>
      </c>
      <c r="I1569">
        <v>27.100000381469702</v>
      </c>
      <c r="J1569">
        <v>9.8000001907348597</v>
      </c>
      <c r="K1569">
        <v>73</v>
      </c>
      <c r="L1569">
        <v>11.859373960080401</v>
      </c>
      <c r="M1569">
        <v>34.790434165622898</v>
      </c>
      <c r="N1569">
        <v>21.399999618530298</v>
      </c>
      <c r="O1569">
        <v>13.390434455871601</v>
      </c>
      <c r="P1569">
        <v>27.290434165622901</v>
      </c>
      <c r="Q1569">
        <v>27.437043238100799</v>
      </c>
      <c r="R1569">
        <v>28.629391797936499</v>
      </c>
      <c r="S1569">
        <v>25.5</v>
      </c>
      <c r="T1569">
        <v>1020.57565217391</v>
      </c>
      <c r="U1569">
        <v>156.274782608696</v>
      </c>
      <c r="V1569">
        <v>7.0956521739130398</v>
      </c>
      <c r="W1569">
        <v>58.370434782608697</v>
      </c>
      <c r="X1569">
        <v>428.17913043478302</v>
      </c>
      <c r="Y1569">
        <v>54.095652173913003</v>
      </c>
      <c r="Z1569">
        <v>252.09565217391301</v>
      </c>
      <c r="AA1569">
        <v>294.20521739130402</v>
      </c>
      <c r="AB1569">
        <v>7.1596523649796202</v>
      </c>
      <c r="AC1569">
        <v>2.9823923065611001E-2</v>
      </c>
      <c r="AD1569">
        <v>2.09389135422914</v>
      </c>
      <c r="AE1569">
        <v>0.71426998314650203</v>
      </c>
      <c r="AF1569">
        <v>86.433043478260899</v>
      </c>
      <c r="AG1569">
        <f>IFERROR(AH1569*0.1, "N/A")</f>
        <v>6.3485217391304403</v>
      </c>
      <c r="AH1569">
        <v>63.485217391304403</v>
      </c>
      <c r="AI1569">
        <v>151.78156175032899</v>
      </c>
      <c r="AJ1569">
        <v>15.92</v>
      </c>
      <c r="AK1569">
        <v>71.5721739130435</v>
      </c>
    </row>
    <row r="1570" spans="1:37" x14ac:dyDescent="0.3">
      <c r="A1570">
        <v>1569</v>
      </c>
      <c r="B1570">
        <v>16.200001</v>
      </c>
      <c r="C1570">
        <v>1.6166700000000001</v>
      </c>
      <c r="D1570">
        <v>6.7833300000000003</v>
      </c>
      <c r="E1570" t="s">
        <v>2743</v>
      </c>
      <c r="F1570" t="s">
        <v>2744</v>
      </c>
      <c r="G1570" t="s">
        <v>39</v>
      </c>
      <c r="H1570">
        <v>1982</v>
      </c>
      <c r="I1570">
        <v>27.5</v>
      </c>
      <c r="J1570">
        <v>9.7641608931801507</v>
      </c>
      <c r="K1570">
        <v>73</v>
      </c>
      <c r="L1570">
        <v>11.848024598368401</v>
      </c>
      <c r="M1570">
        <v>35.164160781806999</v>
      </c>
      <c r="N1570">
        <v>21.899999618530298</v>
      </c>
      <c r="O1570">
        <v>13.2641608931802</v>
      </c>
      <c r="P1570">
        <v>27.700000762939499</v>
      </c>
      <c r="Q1570">
        <v>27.835838534615299</v>
      </c>
      <c r="R1570">
        <v>29.047902280634101</v>
      </c>
      <c r="S1570">
        <v>25.899999618530298</v>
      </c>
      <c r="T1570">
        <v>1005.9895104895101</v>
      </c>
      <c r="U1570">
        <v>156.613636363636</v>
      </c>
      <c r="V1570">
        <v>6</v>
      </c>
      <c r="W1570">
        <v>60</v>
      </c>
      <c r="X1570">
        <v>425.61363636363598</v>
      </c>
      <c r="Y1570">
        <v>52.092657342657297</v>
      </c>
      <c r="Z1570">
        <v>245</v>
      </c>
      <c r="AA1570">
        <v>289.28321678321697</v>
      </c>
      <c r="AB1570">
        <v>1.2424821520185101</v>
      </c>
      <c r="AC1570">
        <v>2.0065448199678999E-2</v>
      </c>
      <c r="AD1570">
        <v>0.80717920610954697</v>
      </c>
      <c r="AE1570">
        <v>0.64020214881096704</v>
      </c>
      <c r="AF1570">
        <v>26.024475524475498</v>
      </c>
      <c r="AG1570">
        <f>IFERROR(AH1570*0.1, "N/A")</f>
        <v>6.2</v>
      </c>
      <c r="AH1570">
        <v>62</v>
      </c>
      <c r="AI1570">
        <v>101.701621535775</v>
      </c>
      <c r="AJ1570">
        <v>25.234265734265701</v>
      </c>
      <c r="AK1570">
        <v>52.765734265734302</v>
      </c>
    </row>
    <row r="1571" spans="1:37" x14ac:dyDescent="0.3">
      <c r="A1571">
        <v>1570</v>
      </c>
      <c r="B1571">
        <v>0</v>
      </c>
      <c r="C1571">
        <v>1.6166700000000001</v>
      </c>
      <c r="D1571">
        <v>6.7833300000000003</v>
      </c>
      <c r="E1571" t="s">
        <v>2743</v>
      </c>
      <c r="F1571" t="s">
        <v>2745</v>
      </c>
      <c r="G1571" t="s">
        <v>37</v>
      </c>
      <c r="H1571">
        <v>1982</v>
      </c>
      <c r="I1571">
        <v>27.5</v>
      </c>
      <c r="J1571">
        <v>9.7641608931801507</v>
      </c>
      <c r="K1571">
        <v>73</v>
      </c>
      <c r="L1571">
        <v>11.848024598368401</v>
      </c>
      <c r="M1571">
        <v>35.164160781806999</v>
      </c>
      <c r="N1571">
        <v>21.899999618530298</v>
      </c>
      <c r="O1571">
        <v>13.2641608931802</v>
      </c>
      <c r="P1571">
        <v>27.700000762939499</v>
      </c>
      <c r="Q1571">
        <v>27.835838534615299</v>
      </c>
      <c r="R1571">
        <v>29.047902280634101</v>
      </c>
      <c r="S1571">
        <v>25.899999618530298</v>
      </c>
      <c r="T1571">
        <v>1005.9895104895101</v>
      </c>
      <c r="U1571">
        <v>156.613636363636</v>
      </c>
      <c r="V1571">
        <v>6</v>
      </c>
      <c r="W1571">
        <v>60</v>
      </c>
      <c r="X1571">
        <v>425.61363636363598</v>
      </c>
      <c r="Y1571">
        <v>52.092657342657297</v>
      </c>
      <c r="Z1571">
        <v>245</v>
      </c>
      <c r="AA1571">
        <v>289.28321678321697</v>
      </c>
      <c r="AB1571">
        <v>1.2424821520185101</v>
      </c>
      <c r="AC1571">
        <v>2.0065448199678999E-2</v>
      </c>
      <c r="AD1571">
        <v>0.80717920610954697</v>
      </c>
      <c r="AE1571">
        <v>0.64020214881096704</v>
      </c>
      <c r="AF1571">
        <v>26.024475524475498</v>
      </c>
      <c r="AG1571">
        <f>IFERROR(AH1571*0.1, "N/A")</f>
        <v>6.2</v>
      </c>
      <c r="AH1571">
        <v>62</v>
      </c>
      <c r="AI1571">
        <v>101.701621535775</v>
      </c>
      <c r="AJ1571">
        <v>25.234265734265701</v>
      </c>
      <c r="AK1571">
        <v>52.765734265734302</v>
      </c>
    </row>
    <row r="1572" spans="1:37" x14ac:dyDescent="0.3">
      <c r="A1572">
        <v>1571</v>
      </c>
      <c r="B1572">
        <v>14.3</v>
      </c>
      <c r="C1572">
        <v>1.05</v>
      </c>
      <c r="D1572">
        <v>6.9166699999999999</v>
      </c>
      <c r="E1572" t="s">
        <v>2746</v>
      </c>
      <c r="F1572" t="s">
        <v>2747</v>
      </c>
      <c r="G1572" t="s">
        <v>39</v>
      </c>
      <c r="H1572">
        <v>1982</v>
      </c>
      <c r="I1572">
        <v>26.938849940948</v>
      </c>
      <c r="J1572">
        <v>10.0388503224177</v>
      </c>
      <c r="K1572">
        <v>74.388501742160301</v>
      </c>
      <c r="L1572">
        <v>10.6201043727091</v>
      </c>
      <c r="M1572">
        <v>34.599998474121101</v>
      </c>
      <c r="N1572">
        <v>21.186586077620301</v>
      </c>
      <c r="O1572">
        <v>13.4134143038494</v>
      </c>
      <c r="P1572">
        <v>27.225435659029799</v>
      </c>
      <c r="Q1572">
        <v>27.0865856961506</v>
      </c>
      <c r="R1572">
        <v>28.2522647738041</v>
      </c>
      <c r="S1572">
        <v>25.5</v>
      </c>
      <c r="T1572">
        <v>1190.0574912892</v>
      </c>
      <c r="U1572">
        <v>172.13414634146301</v>
      </c>
      <c r="V1572">
        <v>18.611498257839699</v>
      </c>
      <c r="W1572">
        <v>52.425087108013898</v>
      </c>
      <c r="X1572">
        <v>458.64808362369303</v>
      </c>
      <c r="Y1572">
        <v>83.611498257839699</v>
      </c>
      <c r="Z1572">
        <v>283.51393728223002</v>
      </c>
      <c r="AA1572">
        <v>362.47735191637599</v>
      </c>
      <c r="AB1572">
        <v>4.81149603016285</v>
      </c>
      <c r="AC1572">
        <v>4.5997645300310003E-2</v>
      </c>
      <c r="AD1572">
        <v>1.36693692830382</v>
      </c>
      <c r="AE1572">
        <v>0.33222809433937101</v>
      </c>
      <c r="AF1572">
        <v>121.710801393728</v>
      </c>
      <c r="AG1572">
        <f>IFERROR(AH1572*0.1, "N/A")</f>
        <v>6.5233449477351897</v>
      </c>
      <c r="AH1572">
        <v>65.233449477351897</v>
      </c>
      <c r="AI1572">
        <v>175.87622049045899</v>
      </c>
      <c r="AJ1572">
        <v>15.9790940766551</v>
      </c>
      <c r="AK1572">
        <v>63.534843205574902</v>
      </c>
    </row>
    <row r="1573" spans="1:37" x14ac:dyDescent="0.3">
      <c r="A1573">
        <v>1572</v>
      </c>
      <c r="B1573">
        <v>0</v>
      </c>
      <c r="C1573">
        <v>1.05</v>
      </c>
      <c r="D1573">
        <v>6.9166699999999999</v>
      </c>
      <c r="E1573" t="s">
        <v>2746</v>
      </c>
      <c r="F1573" t="s">
        <v>2748</v>
      </c>
      <c r="G1573" t="s">
        <v>37</v>
      </c>
      <c r="H1573">
        <v>1982</v>
      </c>
      <c r="I1573">
        <v>26.938849940948</v>
      </c>
      <c r="J1573">
        <v>10.0388503224177</v>
      </c>
      <c r="K1573">
        <v>74.388501742160301</v>
      </c>
      <c r="L1573">
        <v>10.6201043727091</v>
      </c>
      <c r="M1573">
        <v>34.599998474121101</v>
      </c>
      <c r="N1573">
        <v>21.186586077620301</v>
      </c>
      <c r="O1573">
        <v>13.4134143038494</v>
      </c>
      <c r="P1573">
        <v>27.225435659029799</v>
      </c>
      <c r="Q1573">
        <v>27.0865856961506</v>
      </c>
      <c r="R1573">
        <v>28.2522647738041</v>
      </c>
      <c r="S1573">
        <v>25.5</v>
      </c>
      <c r="T1573">
        <v>1190.0574912892</v>
      </c>
      <c r="U1573">
        <v>172.13414634146301</v>
      </c>
      <c r="V1573">
        <v>18.611498257839699</v>
      </c>
      <c r="W1573">
        <v>52.425087108013898</v>
      </c>
      <c r="X1573">
        <v>458.64808362369303</v>
      </c>
      <c r="Y1573">
        <v>83.611498257839699</v>
      </c>
      <c r="Z1573">
        <v>283.51393728223002</v>
      </c>
      <c r="AA1573">
        <v>362.47735191637599</v>
      </c>
      <c r="AB1573">
        <v>4.81149603016285</v>
      </c>
      <c r="AC1573">
        <v>4.5997645300310003E-2</v>
      </c>
      <c r="AD1573">
        <v>1.36693692830382</v>
      </c>
      <c r="AE1573">
        <v>0.33222809433937101</v>
      </c>
      <c r="AF1573">
        <v>121.710801393728</v>
      </c>
      <c r="AG1573">
        <f>IFERROR(AH1573*0.1, "N/A")</f>
        <v>6.5233449477351897</v>
      </c>
      <c r="AH1573">
        <v>65.233449477351897</v>
      </c>
      <c r="AI1573">
        <v>175.87622049045899</v>
      </c>
      <c r="AJ1573">
        <v>15.9790940766551</v>
      </c>
      <c r="AK1573">
        <v>63.534843205574902</v>
      </c>
    </row>
    <row r="1574" spans="1:37" x14ac:dyDescent="0.3">
      <c r="A1574">
        <v>1573</v>
      </c>
      <c r="B1574">
        <v>14.3</v>
      </c>
      <c r="C1574">
        <v>1.1333299999999999</v>
      </c>
      <c r="D1574">
        <v>7.0666700000000002</v>
      </c>
      <c r="E1574" t="s">
        <v>2749</v>
      </c>
      <c r="F1574" t="s">
        <v>2750</v>
      </c>
      <c r="G1574" t="s">
        <v>39</v>
      </c>
      <c r="H1574">
        <v>1982</v>
      </c>
      <c r="I1574">
        <v>26.700000762939499</v>
      </c>
      <c r="J1574">
        <v>10.199999809265099</v>
      </c>
      <c r="K1574">
        <v>74.2173913043478</v>
      </c>
      <c r="L1574">
        <v>11.336556429655699</v>
      </c>
      <c r="M1574">
        <v>34.678261134935497</v>
      </c>
      <c r="N1574">
        <v>21</v>
      </c>
      <c r="O1574">
        <v>13.678260803222701</v>
      </c>
      <c r="P1574">
        <v>26.9217388318933</v>
      </c>
      <c r="Q1574">
        <v>27</v>
      </c>
      <c r="R1574">
        <v>28.178261549576501</v>
      </c>
      <c r="S1574">
        <v>25.200000762939499</v>
      </c>
      <c r="T1574">
        <v>1219.4260869565201</v>
      </c>
      <c r="U1574">
        <v>171.82260869565201</v>
      </c>
      <c r="V1574">
        <v>19.8226086956522</v>
      </c>
      <c r="W1574">
        <v>54</v>
      </c>
      <c r="X1574">
        <v>457.64347826086902</v>
      </c>
      <c r="Y1574">
        <v>75.780869565217401</v>
      </c>
      <c r="Z1574">
        <v>272.77913043478299</v>
      </c>
      <c r="AA1574">
        <v>409.04521739130399</v>
      </c>
      <c r="AB1574">
        <v>13.025915898862101</v>
      </c>
      <c r="AC1574">
        <v>9.8859482647280002E-3</v>
      </c>
      <c r="AD1574">
        <v>1.37606525856516</v>
      </c>
      <c r="AE1574">
        <v>0.265004992485046</v>
      </c>
      <c r="AF1574">
        <v>180.984347826087</v>
      </c>
      <c r="AG1574">
        <f>IFERROR(AH1574*0.1, "N/A")</f>
        <v>6.2780869565217401</v>
      </c>
      <c r="AH1574">
        <v>62.780869565217401</v>
      </c>
      <c r="AI1574">
        <v>251.561987331225</v>
      </c>
      <c r="AJ1574">
        <v>11.219130434782601</v>
      </c>
      <c r="AK1574">
        <v>71.219130434782599</v>
      </c>
    </row>
    <row r="1575" spans="1:37" x14ac:dyDescent="0.3">
      <c r="A1575">
        <v>1574</v>
      </c>
      <c r="B1575">
        <v>0</v>
      </c>
      <c r="C1575">
        <v>1.1333299999999999</v>
      </c>
      <c r="D1575">
        <v>7.0666700000000002</v>
      </c>
      <c r="E1575" t="s">
        <v>2749</v>
      </c>
      <c r="F1575" t="s">
        <v>2751</v>
      </c>
      <c r="G1575" t="s">
        <v>37</v>
      </c>
      <c r="H1575">
        <v>1982</v>
      </c>
      <c r="I1575">
        <v>26.700000762939499</v>
      </c>
      <c r="J1575">
        <v>10.199999809265099</v>
      </c>
      <c r="K1575">
        <v>74.2173913043478</v>
      </c>
      <c r="L1575">
        <v>11.336556429655699</v>
      </c>
      <c r="M1575">
        <v>34.678261134935497</v>
      </c>
      <c r="N1575">
        <v>21</v>
      </c>
      <c r="O1575">
        <v>13.678260803222701</v>
      </c>
      <c r="P1575">
        <v>26.9217388318933</v>
      </c>
      <c r="Q1575">
        <v>27</v>
      </c>
      <c r="R1575">
        <v>28.178261549576501</v>
      </c>
      <c r="S1575">
        <v>25.200000762939499</v>
      </c>
      <c r="T1575">
        <v>1219.4260869565201</v>
      </c>
      <c r="U1575">
        <v>171.82260869565201</v>
      </c>
      <c r="V1575">
        <v>19.8226086956522</v>
      </c>
      <c r="W1575">
        <v>54</v>
      </c>
      <c r="X1575">
        <v>457.64347826086902</v>
      </c>
      <c r="Y1575">
        <v>75.780869565217401</v>
      </c>
      <c r="Z1575">
        <v>272.77913043478299</v>
      </c>
      <c r="AA1575">
        <v>409.04521739130399</v>
      </c>
      <c r="AB1575">
        <v>13.025915898862101</v>
      </c>
      <c r="AC1575">
        <v>9.8859482647280002E-3</v>
      </c>
      <c r="AD1575">
        <v>1.37606525856516</v>
      </c>
      <c r="AE1575">
        <v>0.265004992485046</v>
      </c>
      <c r="AF1575">
        <v>180.984347826087</v>
      </c>
      <c r="AG1575">
        <f>IFERROR(AH1575*0.1, "N/A")</f>
        <v>6.2780869565217401</v>
      </c>
      <c r="AH1575">
        <v>62.780869565217401</v>
      </c>
      <c r="AI1575">
        <v>251.561987331225</v>
      </c>
      <c r="AJ1575">
        <v>11.219130434782601</v>
      </c>
      <c r="AK1575">
        <v>71.219130434782599</v>
      </c>
    </row>
    <row r="1576" spans="1:37" x14ac:dyDescent="0.3">
      <c r="A1576">
        <v>1575</v>
      </c>
      <c r="B1576">
        <v>89.599997999999999</v>
      </c>
      <c r="C1576">
        <v>1.16239</v>
      </c>
      <c r="D1576">
        <v>7.1760299999999999</v>
      </c>
      <c r="E1576" t="s">
        <v>2752</v>
      </c>
      <c r="F1576" t="s">
        <v>2753</v>
      </c>
      <c r="G1576" t="s">
        <v>39</v>
      </c>
      <c r="H1576">
        <v>1982</v>
      </c>
      <c r="I1576">
        <v>27</v>
      </c>
      <c r="J1576">
        <v>10.300000190734901</v>
      </c>
      <c r="K1576">
        <v>74</v>
      </c>
      <c r="L1576">
        <v>11.1400003433228</v>
      </c>
      <c r="M1576">
        <v>35</v>
      </c>
      <c r="N1576">
        <v>21.100000381469702</v>
      </c>
      <c r="O1576">
        <v>13.8999996185303</v>
      </c>
      <c r="P1576">
        <v>27.299999237060501</v>
      </c>
      <c r="Q1576">
        <v>27.299999237060501</v>
      </c>
      <c r="R1576">
        <v>28.399999618530298</v>
      </c>
      <c r="S1576">
        <v>25.5</v>
      </c>
      <c r="T1576">
        <v>1208</v>
      </c>
      <c r="U1576">
        <v>170</v>
      </c>
      <c r="V1576">
        <v>16</v>
      </c>
      <c r="W1576">
        <v>56</v>
      </c>
      <c r="X1576">
        <v>457</v>
      </c>
      <c r="Y1576">
        <v>69</v>
      </c>
      <c r="Z1576">
        <v>261</v>
      </c>
      <c r="AA1576">
        <v>419</v>
      </c>
      <c r="AB1576">
        <v>12.6623325877719</v>
      </c>
      <c r="AC1576">
        <v>1.6581577189047E-2</v>
      </c>
      <c r="AD1576">
        <v>2.09064316584004</v>
      </c>
      <c r="AE1576">
        <v>0.63345033054550504</v>
      </c>
      <c r="AF1576">
        <v>148.147569444444</v>
      </c>
      <c r="AG1576">
        <f>IFERROR(AH1576*0.1, "N/A")</f>
        <v>6.47013888888889</v>
      </c>
      <c r="AH1576">
        <v>64.7013888888889</v>
      </c>
      <c r="AI1576">
        <v>109.546243561639</v>
      </c>
      <c r="AJ1576">
        <v>21.0868055555556</v>
      </c>
      <c r="AK1576">
        <v>55.1493055555556</v>
      </c>
    </row>
    <row r="1577" spans="1:37" x14ac:dyDescent="0.3">
      <c r="A1577">
        <v>1576</v>
      </c>
      <c r="B1577">
        <v>2.1</v>
      </c>
      <c r="C1577">
        <v>1.16239</v>
      </c>
      <c r="D1577">
        <v>7.1760299999999999</v>
      </c>
      <c r="E1577" t="s">
        <v>2752</v>
      </c>
      <c r="F1577" t="s">
        <v>2754</v>
      </c>
      <c r="G1577" t="s">
        <v>37</v>
      </c>
      <c r="H1577">
        <v>1982</v>
      </c>
      <c r="I1577">
        <v>27</v>
      </c>
      <c r="J1577">
        <v>10.300000190734901</v>
      </c>
      <c r="K1577">
        <v>74</v>
      </c>
      <c r="L1577">
        <v>11.1400003433228</v>
      </c>
      <c r="M1577">
        <v>35</v>
      </c>
      <c r="N1577">
        <v>21.100000381469702</v>
      </c>
      <c r="O1577">
        <v>13.8999996185303</v>
      </c>
      <c r="P1577">
        <v>27.299999237060501</v>
      </c>
      <c r="Q1577">
        <v>27.299999237060501</v>
      </c>
      <c r="R1577">
        <v>28.399999618530298</v>
      </c>
      <c r="S1577">
        <v>25.5</v>
      </c>
      <c r="T1577">
        <v>1208</v>
      </c>
      <c r="U1577">
        <v>170</v>
      </c>
      <c r="V1577">
        <v>16</v>
      </c>
      <c r="W1577">
        <v>56</v>
      </c>
      <c r="X1577">
        <v>457</v>
      </c>
      <c r="Y1577">
        <v>69</v>
      </c>
      <c r="Z1577">
        <v>261</v>
      </c>
      <c r="AA1577">
        <v>419</v>
      </c>
      <c r="AB1577">
        <v>12.6623325877719</v>
      </c>
      <c r="AC1577">
        <v>1.6581577189047E-2</v>
      </c>
      <c r="AD1577">
        <v>2.09064316584004</v>
      </c>
      <c r="AE1577">
        <v>0.63345033054550504</v>
      </c>
      <c r="AF1577">
        <v>148.147569444444</v>
      </c>
      <c r="AG1577">
        <f>IFERROR(AH1577*0.1, "N/A")</f>
        <v>6.47013888888889</v>
      </c>
      <c r="AH1577">
        <v>64.7013888888889</v>
      </c>
      <c r="AI1577">
        <v>109.546243561639</v>
      </c>
      <c r="AJ1577">
        <v>21.0868055555556</v>
      </c>
      <c r="AK1577">
        <v>55.1493055555556</v>
      </c>
    </row>
    <row r="1578" spans="1:37" x14ac:dyDescent="0.3">
      <c r="A1578">
        <v>1577</v>
      </c>
      <c r="B1578">
        <v>2</v>
      </c>
      <c r="C1578">
        <v>1.1666669999999999</v>
      </c>
      <c r="D1578">
        <v>6.95</v>
      </c>
      <c r="E1578" t="s">
        <v>2755</v>
      </c>
      <c r="F1578" t="s">
        <v>2756</v>
      </c>
      <c r="G1578" t="s">
        <v>39</v>
      </c>
      <c r="H1578">
        <v>1982</v>
      </c>
      <c r="I1578">
        <v>26.808853437503199</v>
      </c>
      <c r="J1578">
        <v>10.1000003814697</v>
      </c>
      <c r="K1578">
        <v>74.2118055555556</v>
      </c>
      <c r="L1578">
        <v>11.012968712382801</v>
      </c>
      <c r="M1578">
        <v>34.608852843443501</v>
      </c>
      <c r="N1578">
        <v>21.1211810178227</v>
      </c>
      <c r="O1578">
        <v>13.4876735640897</v>
      </c>
      <c r="P1578">
        <v>27.008854200442599</v>
      </c>
      <c r="Q1578">
        <v>27.0300348367956</v>
      </c>
      <c r="R1578">
        <v>28.208854794502301</v>
      </c>
      <c r="S1578">
        <v>25.3788189821773</v>
      </c>
      <c r="T1578">
        <v>1164.8541666666699</v>
      </c>
      <c r="U1578">
        <v>166.699652777778</v>
      </c>
      <c r="V1578">
        <v>16</v>
      </c>
      <c r="W1578">
        <v>53</v>
      </c>
      <c r="X1578">
        <v>444.01736111111097</v>
      </c>
      <c r="Y1578">
        <v>78</v>
      </c>
      <c r="Z1578">
        <v>273.22916666666703</v>
      </c>
      <c r="AA1578">
        <v>374.109375</v>
      </c>
      <c r="AB1578">
        <v>1.55104112625122</v>
      </c>
      <c r="AC1578">
        <v>0.68119179019898501</v>
      </c>
      <c r="AD1578">
        <v>2.0414331882364198</v>
      </c>
      <c r="AE1578">
        <v>0.78722375631332397</v>
      </c>
      <c r="AF1578">
        <v>142.769097222222</v>
      </c>
      <c r="AG1578">
        <f>IFERROR(AH1578*0.1, "N/A")</f>
        <v>6.5</v>
      </c>
      <c r="AH1578">
        <v>65</v>
      </c>
      <c r="AI1578">
        <v>135.04898680580999</v>
      </c>
      <c r="AJ1578">
        <v>15.3576388888889</v>
      </c>
      <c r="AK1578">
        <v>68.2586805555555</v>
      </c>
    </row>
    <row r="1579" spans="1:37" x14ac:dyDescent="0.3">
      <c r="A1579">
        <v>1578</v>
      </c>
      <c r="B1579">
        <v>2</v>
      </c>
      <c r="C1579">
        <v>1.166668</v>
      </c>
      <c r="D1579">
        <v>6.96</v>
      </c>
      <c r="E1579" t="s">
        <v>2757</v>
      </c>
      <c r="F1579" t="s">
        <v>2758</v>
      </c>
      <c r="G1579" t="s">
        <v>39</v>
      </c>
      <c r="H1579">
        <v>1982</v>
      </c>
      <c r="I1579">
        <v>26.899999618530298</v>
      </c>
      <c r="J1579">
        <v>10.1000003814697</v>
      </c>
      <c r="K1579">
        <v>74</v>
      </c>
      <c r="L1579">
        <v>11.3031706095573</v>
      </c>
      <c r="M1579">
        <v>34.799999237060497</v>
      </c>
      <c r="N1579">
        <v>21.200000762939499</v>
      </c>
      <c r="O1579">
        <v>13.6000003814697</v>
      </c>
      <c r="P1579">
        <v>27.100000381469702</v>
      </c>
      <c r="Q1579">
        <v>27.100000381469702</v>
      </c>
      <c r="R1579">
        <v>28.370034347427801</v>
      </c>
      <c r="S1579">
        <v>25.4299648896327</v>
      </c>
      <c r="T1579">
        <v>1162.10104529617</v>
      </c>
      <c r="U1579">
        <v>167</v>
      </c>
      <c r="V1579">
        <v>16</v>
      </c>
      <c r="W1579">
        <v>53</v>
      </c>
      <c r="X1579">
        <v>442.70034843205599</v>
      </c>
      <c r="Y1579">
        <v>77</v>
      </c>
      <c r="Z1579">
        <v>270.40069686411101</v>
      </c>
      <c r="AA1579">
        <v>376.70034843205599</v>
      </c>
      <c r="AB1579">
        <v>9.5648084102192001</v>
      </c>
      <c r="AC1579">
        <v>1.7829734286883999E-2</v>
      </c>
      <c r="AD1579">
        <v>1.5661993396406799</v>
      </c>
      <c r="AE1579">
        <v>0.67569857835769698</v>
      </c>
      <c r="AF1579">
        <v>141.829268292683</v>
      </c>
      <c r="AG1579">
        <f>IFERROR(AH1579*0.1, "N/A")</f>
        <v>6.1308362369338001</v>
      </c>
      <c r="AH1579">
        <v>61.308362369337999</v>
      </c>
      <c r="AI1579">
        <v>295.34078684418</v>
      </c>
      <c r="AJ1579">
        <v>14.008710801393701</v>
      </c>
      <c r="AK1579">
        <v>69.282229965156802</v>
      </c>
    </row>
    <row r="1580" spans="1:37" x14ac:dyDescent="0.3">
      <c r="A1580">
        <v>1579</v>
      </c>
      <c r="B1580">
        <v>0</v>
      </c>
      <c r="C1580">
        <v>1.166669</v>
      </c>
      <c r="D1580">
        <v>6.97</v>
      </c>
      <c r="E1580" t="s">
        <v>2759</v>
      </c>
      <c r="F1580" t="s">
        <v>2760</v>
      </c>
      <c r="G1580" t="s">
        <v>37</v>
      </c>
      <c r="H1580">
        <v>1982</v>
      </c>
      <c r="I1580">
        <v>26.8302076856295</v>
      </c>
      <c r="J1580">
        <v>10.1000003814697</v>
      </c>
      <c r="K1580">
        <v>74</v>
      </c>
      <c r="L1580">
        <v>11.028749972581901</v>
      </c>
      <c r="M1580">
        <v>34.660415371258999</v>
      </c>
      <c r="N1580">
        <v>21.130208830038701</v>
      </c>
      <c r="O1580">
        <v>13.530208448569001</v>
      </c>
      <c r="P1580">
        <v>27.060416897138001</v>
      </c>
      <c r="Q1580">
        <v>27.030208448568999</v>
      </c>
      <c r="R1580">
        <v>28.260417083899199</v>
      </c>
      <c r="S1580">
        <v>25.430208067099201</v>
      </c>
      <c r="T1580">
        <v>1169.5833333333301</v>
      </c>
      <c r="U1580">
        <v>167.697916666667</v>
      </c>
      <c r="V1580">
        <v>16</v>
      </c>
      <c r="W1580">
        <v>53</v>
      </c>
      <c r="X1580">
        <v>444.09375</v>
      </c>
      <c r="Y1580">
        <v>77</v>
      </c>
      <c r="Z1580">
        <v>270.39583333333297</v>
      </c>
      <c r="AA1580">
        <v>381.09375</v>
      </c>
      <c r="AB1580">
        <v>20.275344636705199</v>
      </c>
      <c r="AC1580">
        <v>2.7564593096031001E-2</v>
      </c>
      <c r="AD1580">
        <v>1.66020632907748</v>
      </c>
      <c r="AE1580">
        <v>0.52258187532424905</v>
      </c>
      <c r="AF1580">
        <v>146.303819444444</v>
      </c>
      <c r="AG1580">
        <f>IFERROR(AH1580*0.1, "N/A")</f>
        <v>6.3000000000000007</v>
      </c>
      <c r="AH1580">
        <v>63</v>
      </c>
      <c r="AI1580">
        <v>158.94360517131</v>
      </c>
      <c r="AJ1580">
        <v>13.4965277777778</v>
      </c>
      <c r="AK1580">
        <v>67.1440972222222</v>
      </c>
    </row>
    <row r="1581" spans="1:37" x14ac:dyDescent="0.3">
      <c r="A1581">
        <v>1580</v>
      </c>
      <c r="B1581">
        <v>2</v>
      </c>
      <c r="C1581">
        <v>0.9</v>
      </c>
      <c r="D1581">
        <v>9.1833299999999998</v>
      </c>
      <c r="E1581" t="s">
        <v>2761</v>
      </c>
      <c r="F1581" t="s">
        <v>2762</v>
      </c>
      <c r="G1581" t="s">
        <v>39</v>
      </c>
      <c r="H1581">
        <v>1980</v>
      </c>
      <c r="I1581">
        <v>26.975731404841301</v>
      </c>
      <c r="J1581">
        <v>12.377452415361301</v>
      </c>
      <c r="K1581">
        <v>67.7745266781411</v>
      </c>
      <c r="L1581">
        <v>14.212116985025601</v>
      </c>
      <c r="M1581">
        <v>36.651463572621999</v>
      </c>
      <c r="N1581">
        <v>18.575731786311</v>
      </c>
      <c r="O1581">
        <v>18.075731786311</v>
      </c>
      <c r="P1581">
        <v>25.075731786311</v>
      </c>
      <c r="Q1581">
        <v>27.575731786311</v>
      </c>
      <c r="R1581">
        <v>28.975731404841301</v>
      </c>
      <c r="S1581">
        <v>25.075731786311</v>
      </c>
      <c r="T1581">
        <v>1337.7022375215099</v>
      </c>
      <c r="U1581">
        <v>265</v>
      </c>
      <c r="V1581">
        <v>4</v>
      </c>
      <c r="W1581">
        <v>80</v>
      </c>
      <c r="X1581">
        <v>694.19965576592097</v>
      </c>
      <c r="Y1581">
        <v>24</v>
      </c>
      <c r="Z1581">
        <v>144.01721170395899</v>
      </c>
      <c r="AA1581">
        <v>694.19965576592097</v>
      </c>
      <c r="AB1581">
        <v>4.4259796930467399</v>
      </c>
      <c r="AC1581">
        <v>8.7043815131736793</v>
      </c>
      <c r="AD1581">
        <v>5.1015701794583297</v>
      </c>
      <c r="AE1581">
        <v>0.26975142955780002</v>
      </c>
      <c r="AF1581">
        <v>279.10499139414799</v>
      </c>
      <c r="AG1581">
        <f>IFERROR(AH1581*0.1, "N/A")</f>
        <v>5.8025817555938</v>
      </c>
      <c r="AH1581">
        <v>58.025817555937998</v>
      </c>
      <c r="AI1581">
        <v>56.542487124772997</v>
      </c>
      <c r="AJ1581">
        <v>18</v>
      </c>
      <c r="AK1581">
        <v>64.600688468158395</v>
      </c>
    </row>
    <row r="1582" spans="1:37" x14ac:dyDescent="0.3">
      <c r="A1582">
        <v>1581</v>
      </c>
      <c r="B1582">
        <v>28</v>
      </c>
      <c r="C1582">
        <v>0.9</v>
      </c>
      <c r="D1582">
        <v>9.1833299999999998</v>
      </c>
      <c r="E1582" t="s">
        <v>2761</v>
      </c>
      <c r="F1582" t="s">
        <v>2763</v>
      </c>
      <c r="G1582" t="s">
        <v>37</v>
      </c>
      <c r="H1582">
        <v>1980</v>
      </c>
      <c r="I1582">
        <v>26.975731404841301</v>
      </c>
      <c r="J1582">
        <v>12.377452415361301</v>
      </c>
      <c r="K1582">
        <v>67.7745266781411</v>
      </c>
      <c r="L1582">
        <v>14.212116985025601</v>
      </c>
      <c r="M1582">
        <v>36.651463572621999</v>
      </c>
      <c r="N1582">
        <v>18.575731786311</v>
      </c>
      <c r="O1582">
        <v>18.075731786311</v>
      </c>
      <c r="P1582">
        <v>25.075731786311</v>
      </c>
      <c r="Q1582">
        <v>27.575731786311</v>
      </c>
      <c r="R1582">
        <v>28.975731404841301</v>
      </c>
      <c r="S1582">
        <v>25.075731786311</v>
      </c>
      <c r="T1582">
        <v>1337.7022375215099</v>
      </c>
      <c r="U1582">
        <v>265</v>
      </c>
      <c r="V1582">
        <v>4</v>
      </c>
      <c r="W1582">
        <v>80</v>
      </c>
      <c r="X1582">
        <v>694.19965576592097</v>
      </c>
      <c r="Y1582">
        <v>24</v>
      </c>
      <c r="Z1582">
        <v>144.01721170395899</v>
      </c>
      <c r="AA1582">
        <v>694.19965576592097</v>
      </c>
      <c r="AB1582">
        <v>4.4259796930467399</v>
      </c>
      <c r="AC1582">
        <v>8.7043815131736793</v>
      </c>
      <c r="AD1582">
        <v>5.1015701794583297</v>
      </c>
      <c r="AE1582">
        <v>0.26975142955780002</v>
      </c>
      <c r="AF1582">
        <v>279.10499139414799</v>
      </c>
      <c r="AG1582">
        <f>IFERROR(AH1582*0.1, "N/A")</f>
        <v>5.8025817555938</v>
      </c>
      <c r="AH1582">
        <v>58.025817555937998</v>
      </c>
      <c r="AI1582">
        <v>56.542487124772997</v>
      </c>
      <c r="AJ1582">
        <v>18</v>
      </c>
      <c r="AK1582">
        <v>64.600688468158395</v>
      </c>
    </row>
    <row r="1583" spans="1:37" x14ac:dyDescent="0.3">
      <c r="A1583">
        <v>1582</v>
      </c>
      <c r="B1583">
        <v>8</v>
      </c>
      <c r="C1583">
        <v>0.76666699999999999</v>
      </c>
      <c r="D1583">
        <v>9.2333300000000005</v>
      </c>
      <c r="E1583" t="s">
        <v>2764</v>
      </c>
      <c r="F1583" t="s">
        <v>2765</v>
      </c>
      <c r="G1583" t="s">
        <v>39</v>
      </c>
      <c r="H1583">
        <v>1980</v>
      </c>
      <c r="I1583">
        <v>25.5984479871289</v>
      </c>
      <c r="J1583">
        <v>12.2872415213749</v>
      </c>
      <c r="K1583">
        <v>68.872413793103405</v>
      </c>
      <c r="L1583">
        <v>14.774275939217899</v>
      </c>
      <c r="M1583">
        <v>35.198965664567602</v>
      </c>
      <c r="N1583">
        <v>17.498447901627099</v>
      </c>
      <c r="O1583">
        <v>17.700517996426299</v>
      </c>
      <c r="P1583">
        <v>23.514482149584499</v>
      </c>
      <c r="Q1583">
        <v>26.2984484968514</v>
      </c>
      <c r="R1583">
        <v>27.514482149584499</v>
      </c>
      <c r="S1583">
        <v>23.514482149584499</v>
      </c>
      <c r="T1583">
        <v>1398.59137931035</v>
      </c>
      <c r="U1583">
        <v>271.98965517241402</v>
      </c>
      <c r="V1583">
        <v>7.5189655172413801</v>
      </c>
      <c r="W1583">
        <v>73.962068965517204</v>
      </c>
      <c r="X1583">
        <v>677.22241379310299</v>
      </c>
      <c r="Y1583">
        <v>41.406896551724103</v>
      </c>
      <c r="Z1583">
        <v>186.796551724138</v>
      </c>
      <c r="AA1583">
        <v>677.22241379310299</v>
      </c>
      <c r="AB1583">
        <v>36.531902813089303</v>
      </c>
      <c r="AC1583">
        <v>2.3688283644552E-2</v>
      </c>
      <c r="AD1583">
        <v>7.3680081531919299</v>
      </c>
      <c r="AE1583">
        <v>0.33302339911460899</v>
      </c>
      <c r="AF1583">
        <v>364.16034482758602</v>
      </c>
      <c r="AG1583">
        <f>IFERROR(AH1583*0.1, "N/A")</f>
        <v>5.8287931034482803</v>
      </c>
      <c r="AH1583">
        <v>58.287931034482803</v>
      </c>
      <c r="AI1583">
        <v>282.00092994426899</v>
      </c>
      <c r="AJ1583">
        <v>19.1327586206897</v>
      </c>
      <c r="AK1583">
        <v>60.2931034482759</v>
      </c>
    </row>
    <row r="1584" spans="1:37" x14ac:dyDescent="0.3">
      <c r="A1584">
        <v>1583</v>
      </c>
      <c r="B1584">
        <v>0</v>
      </c>
      <c r="C1584">
        <v>0.76666699999999999</v>
      </c>
      <c r="D1584">
        <v>9.2333300000000005</v>
      </c>
      <c r="E1584" t="s">
        <v>2764</v>
      </c>
      <c r="F1584" t="s">
        <v>2766</v>
      </c>
      <c r="G1584" t="s">
        <v>37</v>
      </c>
      <c r="H1584">
        <v>1980</v>
      </c>
      <c r="I1584">
        <v>25.5984479871289</v>
      </c>
      <c r="J1584">
        <v>12.2872415213749</v>
      </c>
      <c r="K1584">
        <v>68.872413793103405</v>
      </c>
      <c r="L1584">
        <v>14.774275939217899</v>
      </c>
      <c r="M1584">
        <v>35.198965664567602</v>
      </c>
      <c r="N1584">
        <v>17.498447901627099</v>
      </c>
      <c r="O1584">
        <v>17.700517996426299</v>
      </c>
      <c r="P1584">
        <v>23.514482149584499</v>
      </c>
      <c r="Q1584">
        <v>26.2984484968514</v>
      </c>
      <c r="R1584">
        <v>27.514482149584499</v>
      </c>
      <c r="S1584">
        <v>23.514482149584499</v>
      </c>
      <c r="T1584">
        <v>1398.59137931035</v>
      </c>
      <c r="U1584">
        <v>271.98965517241402</v>
      </c>
      <c r="V1584">
        <v>7.5189655172413801</v>
      </c>
      <c r="W1584">
        <v>73.962068965517204</v>
      </c>
      <c r="X1584">
        <v>677.22241379310299</v>
      </c>
      <c r="Y1584">
        <v>41.406896551724103</v>
      </c>
      <c r="Z1584">
        <v>186.796551724138</v>
      </c>
      <c r="AA1584">
        <v>677.22241379310299</v>
      </c>
      <c r="AB1584">
        <v>36.531902813089303</v>
      </c>
      <c r="AC1584">
        <v>2.3688283644552E-2</v>
      </c>
      <c r="AD1584">
        <v>7.3680081531919299</v>
      </c>
      <c r="AE1584">
        <v>0.33302339911460899</v>
      </c>
      <c r="AF1584">
        <v>364.16034482758602</v>
      </c>
      <c r="AG1584">
        <f>IFERROR(AH1584*0.1, "N/A")</f>
        <v>5.8287931034482803</v>
      </c>
      <c r="AH1584">
        <v>58.287931034482803</v>
      </c>
      <c r="AI1584">
        <v>282.00092994426899</v>
      </c>
      <c r="AJ1584">
        <v>19.1327586206897</v>
      </c>
      <c r="AK1584">
        <v>60.2931034482759</v>
      </c>
    </row>
    <row r="1585" spans="1:37" x14ac:dyDescent="0.3">
      <c r="A1585">
        <v>1584</v>
      </c>
      <c r="B1585">
        <v>20</v>
      </c>
      <c r="C1585">
        <v>0.77931399999999995</v>
      </c>
      <c r="D1585">
        <v>9.2607599999999994</v>
      </c>
      <c r="E1585" t="s">
        <v>2767</v>
      </c>
      <c r="F1585" t="s">
        <v>2768</v>
      </c>
      <c r="G1585" t="s">
        <v>39</v>
      </c>
      <c r="H1585">
        <v>1980</v>
      </c>
      <c r="I1585">
        <v>26.799999237060501</v>
      </c>
      <c r="J1585">
        <v>12.300000190734901</v>
      </c>
      <c r="K1585">
        <v>69</v>
      </c>
      <c r="L1585">
        <v>14.819999694824199</v>
      </c>
      <c r="M1585">
        <v>36.5</v>
      </c>
      <c r="N1585">
        <v>18.700000762939499</v>
      </c>
      <c r="O1585">
        <v>17.799999237060501</v>
      </c>
      <c r="P1585">
        <v>24.899999618530298</v>
      </c>
      <c r="Q1585">
        <v>27.5</v>
      </c>
      <c r="R1585">
        <v>28.799999237060501</v>
      </c>
      <c r="S1585">
        <v>24.899999618530298</v>
      </c>
      <c r="T1585">
        <v>1356</v>
      </c>
      <c r="U1585">
        <v>280</v>
      </c>
      <c r="V1585">
        <v>5</v>
      </c>
      <c r="W1585">
        <v>79</v>
      </c>
      <c r="X1585">
        <v>684</v>
      </c>
      <c r="Y1585">
        <v>27</v>
      </c>
      <c r="Z1585">
        <v>146</v>
      </c>
      <c r="AA1585">
        <v>684</v>
      </c>
      <c r="AB1585">
        <v>20.619539993444501</v>
      </c>
      <c r="AC1585">
        <v>9.7964221553609992E-3</v>
      </c>
      <c r="AD1585">
        <v>1.76958166521726</v>
      </c>
      <c r="AE1585">
        <v>0.54710751771926902</v>
      </c>
      <c r="AF1585">
        <v>320.75778546712797</v>
      </c>
      <c r="AG1585">
        <f>IFERROR(AH1585*0.1, "N/A")</f>
        <v>5.9</v>
      </c>
      <c r="AH1585">
        <v>59</v>
      </c>
      <c r="AI1585">
        <v>43.897248426523198</v>
      </c>
      <c r="AJ1585">
        <v>15.880622837370201</v>
      </c>
      <c r="AK1585">
        <v>64.880622837370197</v>
      </c>
    </row>
    <row r="1586" spans="1:37" x14ac:dyDescent="0.3">
      <c r="A1586">
        <v>1585</v>
      </c>
      <c r="B1586">
        <v>4</v>
      </c>
      <c r="C1586">
        <v>0.77931399999999995</v>
      </c>
      <c r="D1586">
        <v>9.2607599999999994</v>
      </c>
      <c r="E1586" t="s">
        <v>2767</v>
      </c>
      <c r="F1586" t="s">
        <v>2769</v>
      </c>
      <c r="G1586" t="s">
        <v>37</v>
      </c>
      <c r="H1586">
        <v>1980</v>
      </c>
      <c r="I1586">
        <v>26.799999237060501</v>
      </c>
      <c r="J1586">
        <v>12.300000190734901</v>
      </c>
      <c r="K1586">
        <v>69</v>
      </c>
      <c r="L1586">
        <v>14.819999694824199</v>
      </c>
      <c r="M1586">
        <v>36.5</v>
      </c>
      <c r="N1586">
        <v>18.700000762939499</v>
      </c>
      <c r="O1586">
        <v>17.799999237060501</v>
      </c>
      <c r="P1586">
        <v>24.899999618530298</v>
      </c>
      <c r="Q1586">
        <v>27.5</v>
      </c>
      <c r="R1586">
        <v>28.799999237060501</v>
      </c>
      <c r="S1586">
        <v>24.899999618530298</v>
      </c>
      <c r="T1586">
        <v>1356</v>
      </c>
      <c r="U1586">
        <v>280</v>
      </c>
      <c r="V1586">
        <v>5</v>
      </c>
      <c r="W1586">
        <v>79</v>
      </c>
      <c r="X1586">
        <v>684</v>
      </c>
      <c r="Y1586">
        <v>27</v>
      </c>
      <c r="Z1586">
        <v>146</v>
      </c>
      <c r="AA1586">
        <v>684</v>
      </c>
      <c r="AB1586">
        <v>20.619539993444501</v>
      </c>
      <c r="AC1586">
        <v>9.7964221553609992E-3</v>
      </c>
      <c r="AD1586">
        <v>1.76958166521726</v>
      </c>
      <c r="AE1586">
        <v>0.54710751771926902</v>
      </c>
      <c r="AF1586">
        <v>320.75778546712797</v>
      </c>
      <c r="AG1586">
        <f>IFERROR(AH1586*0.1, "N/A")</f>
        <v>5.9</v>
      </c>
      <c r="AH1586">
        <v>59</v>
      </c>
      <c r="AI1586">
        <v>43.897248426523198</v>
      </c>
      <c r="AJ1586">
        <v>15.880622837370201</v>
      </c>
      <c r="AK1586">
        <v>64.880622837370197</v>
      </c>
    </row>
    <row r="1587" spans="1:37" x14ac:dyDescent="0.3">
      <c r="A1587">
        <v>1586</v>
      </c>
      <c r="B1587">
        <v>2</v>
      </c>
      <c r="C1587">
        <v>0.8</v>
      </c>
      <c r="D1587">
        <v>9.2666699999999995</v>
      </c>
      <c r="E1587" t="s">
        <v>2770</v>
      </c>
      <c r="F1587" t="s">
        <v>2771</v>
      </c>
      <c r="G1587" t="s">
        <v>39</v>
      </c>
      <c r="H1587">
        <v>1980</v>
      </c>
      <c r="I1587">
        <v>27.056034696513201</v>
      </c>
      <c r="J1587">
        <v>12.300000190734901</v>
      </c>
      <c r="K1587">
        <v>68</v>
      </c>
      <c r="L1587">
        <v>15.0849140907156</v>
      </c>
      <c r="M1587">
        <v>36.756033614586102</v>
      </c>
      <c r="N1587">
        <v>18.856034321620498</v>
      </c>
      <c r="O1587">
        <v>17.899999618530298</v>
      </c>
      <c r="P1587">
        <v>25.035689791317601</v>
      </c>
      <c r="Q1587">
        <v>27.679655857743899</v>
      </c>
      <c r="R1587">
        <v>29.059310571078601</v>
      </c>
      <c r="S1587">
        <v>25.035689791317601</v>
      </c>
      <c r="T1587">
        <v>1344.4517241379299</v>
      </c>
      <c r="U1587">
        <v>278.64310344827601</v>
      </c>
      <c r="V1587">
        <v>4.2362068965517201</v>
      </c>
      <c r="W1587">
        <v>79.944827586206898</v>
      </c>
      <c r="X1587">
        <v>683.97241379310299</v>
      </c>
      <c r="Y1587">
        <v>24.6758620689655</v>
      </c>
      <c r="Z1587">
        <v>141.08275862068999</v>
      </c>
      <c r="AA1587">
        <v>683.97241379310299</v>
      </c>
      <c r="AB1587">
        <v>18.389812390557601</v>
      </c>
      <c r="AC1587">
        <v>6.8976970516337999E-2</v>
      </c>
      <c r="AD1587">
        <v>2.6831105702909901</v>
      </c>
      <c r="AE1587">
        <v>0.31451472640037498</v>
      </c>
      <c r="AF1587">
        <v>294.33620689655203</v>
      </c>
      <c r="AG1587">
        <f>IFERROR(AH1587*0.1, "N/A")</f>
        <v>6.0256896551724104</v>
      </c>
      <c r="AH1587">
        <v>60.256896551724097</v>
      </c>
      <c r="AI1587">
        <v>190.13704899755001</v>
      </c>
      <c r="AJ1587">
        <v>10.1810344827586</v>
      </c>
      <c r="AK1587">
        <v>71.229310344827596</v>
      </c>
    </row>
    <row r="1588" spans="1:37" x14ac:dyDescent="0.3">
      <c r="A1588">
        <v>1587</v>
      </c>
      <c r="B1588">
        <v>20</v>
      </c>
      <c r="C1588">
        <v>0.8</v>
      </c>
      <c r="D1588">
        <v>9.2666699999999995</v>
      </c>
      <c r="E1588" t="s">
        <v>2770</v>
      </c>
      <c r="F1588" t="s">
        <v>2772</v>
      </c>
      <c r="G1588" t="s">
        <v>37</v>
      </c>
      <c r="H1588">
        <v>1980</v>
      </c>
      <c r="I1588">
        <v>27.056034696513201</v>
      </c>
      <c r="J1588">
        <v>12.300000190734901</v>
      </c>
      <c r="K1588">
        <v>68</v>
      </c>
      <c r="L1588">
        <v>15.0849140907156</v>
      </c>
      <c r="M1588">
        <v>36.756033614586102</v>
      </c>
      <c r="N1588">
        <v>18.856034321620498</v>
      </c>
      <c r="O1588">
        <v>17.899999618530298</v>
      </c>
      <c r="P1588">
        <v>25.035689791317601</v>
      </c>
      <c r="Q1588">
        <v>27.679655857743899</v>
      </c>
      <c r="R1588">
        <v>29.059310571078601</v>
      </c>
      <c r="S1588">
        <v>25.035689791317601</v>
      </c>
      <c r="T1588">
        <v>1344.4517241379299</v>
      </c>
      <c r="U1588">
        <v>278.64310344827601</v>
      </c>
      <c r="V1588">
        <v>4.2362068965517201</v>
      </c>
      <c r="W1588">
        <v>79.944827586206898</v>
      </c>
      <c r="X1588">
        <v>683.97241379310299</v>
      </c>
      <c r="Y1588">
        <v>24.6758620689655</v>
      </c>
      <c r="Z1588">
        <v>141.08275862068999</v>
      </c>
      <c r="AA1588">
        <v>683.97241379310299</v>
      </c>
      <c r="AB1588">
        <v>18.389812390557601</v>
      </c>
      <c r="AC1588">
        <v>6.8976970516337999E-2</v>
      </c>
      <c r="AD1588">
        <v>2.6831105702909901</v>
      </c>
      <c r="AE1588">
        <v>0.31451472640037498</v>
      </c>
      <c r="AF1588">
        <v>294.33620689655203</v>
      </c>
      <c r="AG1588">
        <f>IFERROR(AH1588*0.1, "N/A")</f>
        <v>6.0256896551724104</v>
      </c>
      <c r="AH1588">
        <v>60.256896551724097</v>
      </c>
      <c r="AI1588">
        <v>190.13704899755001</v>
      </c>
      <c r="AJ1588">
        <v>10.1810344827586</v>
      </c>
      <c r="AK1588">
        <v>71.229310344827596</v>
      </c>
    </row>
    <row r="1589" spans="1:37" x14ac:dyDescent="0.3">
      <c r="A1589">
        <v>1588</v>
      </c>
      <c r="B1589">
        <v>4</v>
      </c>
      <c r="C1589">
        <v>0.58286199999999999</v>
      </c>
      <c r="D1589">
        <v>9.3228299999999997</v>
      </c>
      <c r="E1589" t="s">
        <v>2773</v>
      </c>
      <c r="F1589" t="s">
        <v>2774</v>
      </c>
      <c r="G1589" t="s">
        <v>39</v>
      </c>
      <c r="H1589">
        <v>1980</v>
      </c>
      <c r="I1589">
        <v>26.9381690214747</v>
      </c>
      <c r="J1589">
        <v>12.1000003814697</v>
      </c>
      <c r="K1589">
        <v>67</v>
      </c>
      <c r="L1589">
        <v>15.3894646995426</v>
      </c>
      <c r="M1589">
        <v>36.538168674923597</v>
      </c>
      <c r="N1589">
        <v>18.738169437863</v>
      </c>
      <c r="O1589">
        <v>17.799999237060501</v>
      </c>
      <c r="P1589">
        <v>24.876338042949399</v>
      </c>
      <c r="Q1589">
        <v>27.538169402944401</v>
      </c>
      <c r="R1589">
        <v>29.038169402944401</v>
      </c>
      <c r="S1589">
        <v>24.876338042949399</v>
      </c>
      <c r="T1589">
        <v>1297.8549222797899</v>
      </c>
      <c r="U1589">
        <v>272</v>
      </c>
      <c r="V1589">
        <v>6</v>
      </c>
      <c r="W1589">
        <v>79</v>
      </c>
      <c r="X1589">
        <v>653</v>
      </c>
      <c r="Y1589">
        <v>28</v>
      </c>
      <c r="Z1589">
        <v>144.23661485319499</v>
      </c>
      <c r="AA1589">
        <v>653</v>
      </c>
      <c r="AB1589">
        <v>65.378414384647598</v>
      </c>
      <c r="AC1589">
        <v>3.6808915674326002E-2</v>
      </c>
      <c r="AD1589">
        <v>3.4695016926022602</v>
      </c>
      <c r="AE1589">
        <v>0.31121760606765703</v>
      </c>
      <c r="AF1589">
        <v>305.33333333333297</v>
      </c>
      <c r="AG1589">
        <f>IFERROR(AH1589*0.1, "N/A")</f>
        <v>6.1763385146804808</v>
      </c>
      <c r="AH1589">
        <v>61.763385146804801</v>
      </c>
      <c r="AI1589">
        <v>12.3034867235622</v>
      </c>
      <c r="AJ1589">
        <v>11.3816925734024</v>
      </c>
      <c r="AK1589">
        <v>70.236614853195206</v>
      </c>
    </row>
    <row r="1590" spans="1:37" x14ac:dyDescent="0.3">
      <c r="A1590">
        <v>1589</v>
      </c>
      <c r="B1590">
        <v>0</v>
      </c>
      <c r="C1590">
        <v>0.58286199999999999</v>
      </c>
      <c r="D1590">
        <v>9.3228299999999997</v>
      </c>
      <c r="E1590" t="s">
        <v>2773</v>
      </c>
      <c r="F1590" t="s">
        <v>2775</v>
      </c>
      <c r="G1590" t="s">
        <v>37</v>
      </c>
      <c r="H1590">
        <v>1980</v>
      </c>
      <c r="I1590">
        <v>26.9381690214747</v>
      </c>
      <c r="J1590">
        <v>12.1000003814697</v>
      </c>
      <c r="K1590">
        <v>67</v>
      </c>
      <c r="L1590">
        <v>15.3894646995426</v>
      </c>
      <c r="M1590">
        <v>36.538168674923597</v>
      </c>
      <c r="N1590">
        <v>18.738169437863</v>
      </c>
      <c r="O1590">
        <v>17.799999237060501</v>
      </c>
      <c r="P1590">
        <v>24.876338042949399</v>
      </c>
      <c r="Q1590">
        <v>27.538169402944401</v>
      </c>
      <c r="R1590">
        <v>29.038169402944401</v>
      </c>
      <c r="S1590">
        <v>24.876338042949399</v>
      </c>
      <c r="T1590">
        <v>1297.8549222797899</v>
      </c>
      <c r="U1590">
        <v>272</v>
      </c>
      <c r="V1590">
        <v>6</v>
      </c>
      <c r="W1590">
        <v>79</v>
      </c>
      <c r="X1590">
        <v>653</v>
      </c>
      <c r="Y1590">
        <v>28</v>
      </c>
      <c r="Z1590">
        <v>144.23661485319499</v>
      </c>
      <c r="AA1590">
        <v>653</v>
      </c>
      <c r="AB1590">
        <v>65.378414384647598</v>
      </c>
      <c r="AC1590">
        <v>3.6808915674326002E-2</v>
      </c>
      <c r="AD1590">
        <v>3.4695016926022602</v>
      </c>
      <c r="AE1590">
        <v>0.31121760606765703</v>
      </c>
      <c r="AF1590">
        <v>305.33333333333297</v>
      </c>
      <c r="AG1590">
        <f>IFERROR(AH1590*0.1, "N/A")</f>
        <v>6.1763385146804808</v>
      </c>
      <c r="AH1590">
        <v>61.763385146804801</v>
      </c>
      <c r="AI1590">
        <v>12.3034867235622</v>
      </c>
      <c r="AJ1590">
        <v>11.3816925734024</v>
      </c>
      <c r="AK1590">
        <v>70.236614853195206</v>
      </c>
    </row>
    <row r="1591" spans="1:37" x14ac:dyDescent="0.3">
      <c r="A1591">
        <v>1590</v>
      </c>
      <c r="B1591">
        <v>0</v>
      </c>
      <c r="C1591">
        <v>0.61666699999999997</v>
      </c>
      <c r="D1591">
        <v>9.4166699999999999</v>
      </c>
      <c r="E1591" t="s">
        <v>2776</v>
      </c>
      <c r="F1591" t="s">
        <v>2777</v>
      </c>
      <c r="G1591" t="s">
        <v>39</v>
      </c>
      <c r="H1591">
        <v>1980</v>
      </c>
      <c r="I1591">
        <v>27.078866001666601</v>
      </c>
      <c r="J1591">
        <v>12.2216493763875</v>
      </c>
      <c r="K1591">
        <v>67.223367697594497</v>
      </c>
      <c r="L1591">
        <v>15.5847422888189</v>
      </c>
      <c r="M1591">
        <v>36.778177995452403</v>
      </c>
      <c r="N1591">
        <v>18.7865975370112</v>
      </c>
      <c r="O1591">
        <v>17.991580723896899</v>
      </c>
      <c r="P1591">
        <v>24.978866033128</v>
      </c>
      <c r="Q1591">
        <v>27.664261516426901</v>
      </c>
      <c r="R1591">
        <v>29.179553670981502</v>
      </c>
      <c r="S1591">
        <v>24.978866033128</v>
      </c>
      <c r="T1591">
        <v>1281.8213058419201</v>
      </c>
      <c r="U1591">
        <v>273.77835051546401</v>
      </c>
      <c r="V1591">
        <v>6.2164948453608204</v>
      </c>
      <c r="W1591">
        <v>80.567010309278402</v>
      </c>
      <c r="X1591">
        <v>653.78522336769799</v>
      </c>
      <c r="Y1591">
        <v>26.357388316151201</v>
      </c>
      <c r="Z1591">
        <v>136.70274914089299</v>
      </c>
      <c r="AA1591">
        <v>653.78522336769799</v>
      </c>
      <c r="AB1591">
        <v>17.230236879329102</v>
      </c>
      <c r="AC1591">
        <v>0.15229175730105901</v>
      </c>
      <c r="AD1591">
        <v>3.8344946567135598</v>
      </c>
      <c r="AE1591">
        <v>0.24000674486160301</v>
      </c>
      <c r="AF1591">
        <v>243.943298969072</v>
      </c>
      <c r="AG1591">
        <f>IFERROR(AH1591*0.1, "N/A")</f>
        <v>6.2938144329896906</v>
      </c>
      <c r="AH1591">
        <v>62.9381443298969</v>
      </c>
      <c r="AI1591">
        <v>264.70188327015899</v>
      </c>
      <c r="AJ1591">
        <v>13.8316151202749</v>
      </c>
      <c r="AK1591">
        <v>64.336769759450206</v>
      </c>
    </row>
    <row r="1592" spans="1:37" x14ac:dyDescent="0.3">
      <c r="A1592">
        <v>1591</v>
      </c>
      <c r="B1592">
        <v>0</v>
      </c>
      <c r="C1592">
        <v>0.61666699999999997</v>
      </c>
      <c r="D1592">
        <v>9.4166699999999999</v>
      </c>
      <c r="E1592" t="s">
        <v>2776</v>
      </c>
      <c r="F1592" t="s">
        <v>2778</v>
      </c>
      <c r="G1592" t="s">
        <v>37</v>
      </c>
      <c r="H1592">
        <v>1980</v>
      </c>
      <c r="I1592">
        <v>27.078866001666601</v>
      </c>
      <c r="J1592">
        <v>12.2216493763875</v>
      </c>
      <c r="K1592">
        <v>67.223367697594497</v>
      </c>
      <c r="L1592">
        <v>15.5847422888189</v>
      </c>
      <c r="M1592">
        <v>36.778177995452403</v>
      </c>
      <c r="N1592">
        <v>18.7865975370112</v>
      </c>
      <c r="O1592">
        <v>17.991580723896899</v>
      </c>
      <c r="P1592">
        <v>24.978866033128</v>
      </c>
      <c r="Q1592">
        <v>27.664261516426901</v>
      </c>
      <c r="R1592">
        <v>29.179553670981502</v>
      </c>
      <c r="S1592">
        <v>24.978866033128</v>
      </c>
      <c r="T1592">
        <v>1281.8213058419201</v>
      </c>
      <c r="U1592">
        <v>273.77835051546401</v>
      </c>
      <c r="V1592">
        <v>6.2164948453608204</v>
      </c>
      <c r="W1592">
        <v>80.567010309278402</v>
      </c>
      <c r="X1592">
        <v>653.78522336769799</v>
      </c>
      <c r="Y1592">
        <v>26.357388316151201</v>
      </c>
      <c r="Z1592">
        <v>136.70274914089299</v>
      </c>
      <c r="AA1592">
        <v>653.78522336769799</v>
      </c>
      <c r="AB1592">
        <v>17.230236879329102</v>
      </c>
      <c r="AC1592">
        <v>0.15229175730105901</v>
      </c>
      <c r="AD1592">
        <v>3.8344946567135598</v>
      </c>
      <c r="AE1592">
        <v>0.24000674486160301</v>
      </c>
      <c r="AF1592">
        <v>243.943298969072</v>
      </c>
      <c r="AG1592">
        <f>IFERROR(AH1592*0.1, "N/A")</f>
        <v>6.2938144329896906</v>
      </c>
      <c r="AH1592">
        <v>62.9381443298969</v>
      </c>
      <c r="AI1592">
        <v>264.70188327015899</v>
      </c>
      <c r="AJ1592">
        <v>13.8316151202749</v>
      </c>
      <c r="AK1592">
        <v>64.336769759450206</v>
      </c>
    </row>
    <row r="1593" spans="1:37" x14ac:dyDescent="0.3">
      <c r="A1593">
        <v>1592</v>
      </c>
      <c r="B1593">
        <v>60</v>
      </c>
      <c r="C1593">
        <v>0.9</v>
      </c>
      <c r="D1593">
        <v>9.4833300000000005</v>
      </c>
      <c r="E1593" t="s">
        <v>2779</v>
      </c>
      <c r="F1593" t="s">
        <v>2780</v>
      </c>
      <c r="G1593" t="s">
        <v>39</v>
      </c>
      <c r="H1593">
        <v>1980</v>
      </c>
      <c r="I1593">
        <v>27.1818342142864</v>
      </c>
      <c r="J1593">
        <v>12.5</v>
      </c>
      <c r="K1593">
        <v>68</v>
      </c>
      <c r="L1593">
        <v>15.5982522568488</v>
      </c>
      <c r="M1593">
        <v>37.035985610064301</v>
      </c>
      <c r="N1593">
        <v>18.781833813677199</v>
      </c>
      <c r="O1593">
        <v>18.2541521857767</v>
      </c>
      <c r="P1593">
        <v>25.1458483072301</v>
      </c>
      <c r="Q1593">
        <v>27.781833813677199</v>
      </c>
      <c r="R1593">
        <v>29.356400836297802</v>
      </c>
      <c r="S1593">
        <v>25.1458483072301</v>
      </c>
      <c r="T1593">
        <v>1306.7456747404799</v>
      </c>
      <c r="U1593">
        <v>273.23010380622799</v>
      </c>
      <c r="V1593">
        <v>4</v>
      </c>
      <c r="W1593">
        <v>82.359861591695505</v>
      </c>
      <c r="X1593">
        <v>688.79584775086505</v>
      </c>
      <c r="Y1593">
        <v>20.640138408304502</v>
      </c>
      <c r="Z1593">
        <v>135.00346020761199</v>
      </c>
      <c r="AA1593">
        <v>688.79584775086505</v>
      </c>
      <c r="AB1593">
        <v>13.9403081979719</v>
      </c>
      <c r="AC1593">
        <v>7.9460477875384003E-2</v>
      </c>
      <c r="AD1593">
        <v>2.0715856424252501</v>
      </c>
      <c r="AE1593">
        <v>0.30204433202743503</v>
      </c>
      <c r="AF1593">
        <v>260.56401384083</v>
      </c>
      <c r="AG1593">
        <f>IFERROR(AH1593*0.1, "N/A")</f>
        <v>6.0015570934256104</v>
      </c>
      <c r="AH1593">
        <v>60.015570934256097</v>
      </c>
      <c r="AI1593">
        <v>193.00791831825001</v>
      </c>
      <c r="AJ1593">
        <v>13.820069204152301</v>
      </c>
      <c r="AK1593">
        <v>68.754325259515596</v>
      </c>
    </row>
    <row r="1594" spans="1:37" x14ac:dyDescent="0.3">
      <c r="A1594">
        <v>1593</v>
      </c>
      <c r="B1594">
        <v>0</v>
      </c>
      <c r="C1594">
        <v>0.9</v>
      </c>
      <c r="D1594">
        <v>9.4833300000000005</v>
      </c>
      <c r="E1594" t="s">
        <v>2779</v>
      </c>
      <c r="F1594" t="s">
        <v>2781</v>
      </c>
      <c r="G1594" t="s">
        <v>37</v>
      </c>
      <c r="H1594">
        <v>1980</v>
      </c>
      <c r="I1594">
        <v>27.1818342142864</v>
      </c>
      <c r="J1594">
        <v>12.5</v>
      </c>
      <c r="K1594">
        <v>68</v>
      </c>
      <c r="L1594">
        <v>15.5982522568488</v>
      </c>
      <c r="M1594">
        <v>37.035985610064301</v>
      </c>
      <c r="N1594">
        <v>18.781833813677199</v>
      </c>
      <c r="O1594">
        <v>18.2541521857767</v>
      </c>
      <c r="P1594">
        <v>25.1458483072301</v>
      </c>
      <c r="Q1594">
        <v>27.781833813677199</v>
      </c>
      <c r="R1594">
        <v>29.356400836297802</v>
      </c>
      <c r="S1594">
        <v>25.1458483072301</v>
      </c>
      <c r="T1594">
        <v>1306.7456747404799</v>
      </c>
      <c r="U1594">
        <v>273.23010380622799</v>
      </c>
      <c r="V1594">
        <v>4</v>
      </c>
      <c r="W1594">
        <v>82.359861591695505</v>
      </c>
      <c r="X1594">
        <v>688.79584775086505</v>
      </c>
      <c r="Y1594">
        <v>20.640138408304502</v>
      </c>
      <c r="Z1594">
        <v>135.00346020761199</v>
      </c>
      <c r="AA1594">
        <v>688.79584775086505</v>
      </c>
      <c r="AB1594">
        <v>13.9403081979719</v>
      </c>
      <c r="AC1594">
        <v>7.9460477875384003E-2</v>
      </c>
      <c r="AD1594">
        <v>2.0715856424252501</v>
      </c>
      <c r="AE1594">
        <v>0.30204433202743503</v>
      </c>
      <c r="AF1594">
        <v>260.56401384083</v>
      </c>
      <c r="AG1594">
        <f>IFERROR(AH1594*0.1, "N/A")</f>
        <v>6.0015570934256104</v>
      </c>
      <c r="AH1594">
        <v>60.015570934256097</v>
      </c>
      <c r="AI1594">
        <v>193.00791831825001</v>
      </c>
      <c r="AJ1594">
        <v>13.820069204152301</v>
      </c>
      <c r="AK1594">
        <v>68.754325259515596</v>
      </c>
    </row>
    <row r="1595" spans="1:37" x14ac:dyDescent="0.3">
      <c r="A1595">
        <v>1594</v>
      </c>
      <c r="B1595">
        <v>0</v>
      </c>
      <c r="C1595">
        <v>0.60919800000000002</v>
      </c>
      <c r="D1595">
        <v>9.6891400000000001</v>
      </c>
      <c r="E1595" t="s">
        <v>2782</v>
      </c>
      <c r="F1595" t="s">
        <v>2783</v>
      </c>
      <c r="G1595" t="s">
        <v>39</v>
      </c>
      <c r="H1595">
        <v>1980</v>
      </c>
      <c r="I1595">
        <v>27.700000762939499</v>
      </c>
      <c r="J1595">
        <v>12.3999996185303</v>
      </c>
      <c r="K1595">
        <v>67</v>
      </c>
      <c r="L1595">
        <v>16.149999618530298</v>
      </c>
      <c r="M1595">
        <v>37.400001525878899</v>
      </c>
      <c r="N1595">
        <v>19.100000381469702</v>
      </c>
      <c r="O1595">
        <v>18.299999237060501</v>
      </c>
      <c r="P1595">
        <v>25.600000381469702</v>
      </c>
      <c r="Q1595">
        <v>28.100000381469702</v>
      </c>
      <c r="R1595">
        <v>30</v>
      </c>
      <c r="S1595">
        <v>25.600000381469702</v>
      </c>
      <c r="T1595">
        <v>1170</v>
      </c>
      <c r="U1595">
        <v>257</v>
      </c>
      <c r="V1595">
        <v>4</v>
      </c>
      <c r="W1595">
        <v>87</v>
      </c>
      <c r="X1595">
        <v>649</v>
      </c>
      <c r="Y1595">
        <v>16</v>
      </c>
      <c r="Z1595">
        <v>96</v>
      </c>
      <c r="AA1595">
        <v>649</v>
      </c>
      <c r="AB1595">
        <v>13.1006856598796</v>
      </c>
      <c r="AC1595">
        <v>1.0247895384725E-2</v>
      </c>
      <c r="AD1595">
        <v>1.4728949765879</v>
      </c>
      <c r="AE1595">
        <v>0.386241614818573</v>
      </c>
      <c r="AF1595">
        <v>201.77374784110501</v>
      </c>
      <c r="AG1595">
        <f>IFERROR(AH1595*0.1, "N/A")</f>
        <v>5.7</v>
      </c>
      <c r="AH1595">
        <v>57</v>
      </c>
      <c r="AI1595">
        <v>157.733608094316</v>
      </c>
      <c r="AJ1595">
        <v>13.0051813471503</v>
      </c>
      <c r="AK1595">
        <v>69</v>
      </c>
    </row>
    <row r="1596" spans="1:37" x14ac:dyDescent="0.3">
      <c r="A1596">
        <v>1595</v>
      </c>
      <c r="B1596">
        <v>0</v>
      </c>
      <c r="C1596">
        <v>0.60919800000000002</v>
      </c>
      <c r="D1596">
        <v>9.6891400000000001</v>
      </c>
      <c r="E1596" t="s">
        <v>2782</v>
      </c>
      <c r="F1596" t="s">
        <v>2784</v>
      </c>
      <c r="G1596" t="s">
        <v>37</v>
      </c>
      <c r="H1596">
        <v>1980</v>
      </c>
      <c r="I1596">
        <v>27.700000762939499</v>
      </c>
      <c r="J1596">
        <v>12.3999996185303</v>
      </c>
      <c r="K1596">
        <v>67</v>
      </c>
      <c r="L1596">
        <v>16.149999618530298</v>
      </c>
      <c r="M1596">
        <v>37.400001525878899</v>
      </c>
      <c r="N1596">
        <v>19.100000381469702</v>
      </c>
      <c r="O1596">
        <v>18.299999237060501</v>
      </c>
      <c r="P1596">
        <v>25.600000381469702</v>
      </c>
      <c r="Q1596">
        <v>28.100000381469702</v>
      </c>
      <c r="R1596">
        <v>30</v>
      </c>
      <c r="S1596">
        <v>25.600000381469702</v>
      </c>
      <c r="T1596">
        <v>1170</v>
      </c>
      <c r="U1596">
        <v>257</v>
      </c>
      <c r="V1596">
        <v>4</v>
      </c>
      <c r="W1596">
        <v>87</v>
      </c>
      <c r="X1596">
        <v>649</v>
      </c>
      <c r="Y1596">
        <v>16</v>
      </c>
      <c r="Z1596">
        <v>96</v>
      </c>
      <c r="AA1596">
        <v>649</v>
      </c>
      <c r="AB1596">
        <v>13.1006856598796</v>
      </c>
      <c r="AC1596">
        <v>1.0247895384725E-2</v>
      </c>
      <c r="AD1596">
        <v>1.4728949765879</v>
      </c>
      <c r="AE1596">
        <v>0.386241614818573</v>
      </c>
      <c r="AF1596">
        <v>201.77374784110501</v>
      </c>
      <c r="AG1596">
        <f>IFERROR(AH1596*0.1, "N/A")</f>
        <v>5.7</v>
      </c>
      <c r="AH1596">
        <v>57</v>
      </c>
      <c r="AI1596">
        <v>157.733608094316</v>
      </c>
      <c r="AJ1596">
        <v>13.0051813471503</v>
      </c>
      <c r="AK1596">
        <v>69</v>
      </c>
    </row>
    <row r="1597" spans="1:37" x14ac:dyDescent="0.3">
      <c r="A1597">
        <v>1596</v>
      </c>
      <c r="B1597">
        <v>2</v>
      </c>
      <c r="C1597">
        <v>0.81083300000000003</v>
      </c>
      <c r="D1597">
        <v>9.7286099999999998</v>
      </c>
      <c r="E1597" t="s">
        <v>2785</v>
      </c>
      <c r="F1597" t="s">
        <v>2786</v>
      </c>
      <c r="G1597" t="s">
        <v>39</v>
      </c>
      <c r="H1597">
        <v>1980</v>
      </c>
      <c r="I1597">
        <v>27.299999237060501</v>
      </c>
      <c r="J1597">
        <v>12.6000003814697</v>
      </c>
      <c r="K1597">
        <v>68</v>
      </c>
      <c r="L1597">
        <v>16.309999465942401</v>
      </c>
      <c r="M1597">
        <v>37.099998474121101</v>
      </c>
      <c r="N1597">
        <v>18.700000762939499</v>
      </c>
      <c r="O1597">
        <v>18.399999618530298</v>
      </c>
      <c r="P1597">
        <v>25.200000762939499</v>
      </c>
      <c r="Q1597">
        <v>27.700000762939499</v>
      </c>
      <c r="R1597">
        <v>29.600000381469702</v>
      </c>
      <c r="S1597">
        <v>25.200000762939499</v>
      </c>
      <c r="T1597">
        <v>1226</v>
      </c>
      <c r="U1597">
        <v>263</v>
      </c>
      <c r="V1597">
        <v>4</v>
      </c>
      <c r="W1597">
        <v>86</v>
      </c>
      <c r="X1597">
        <v>678</v>
      </c>
      <c r="Y1597">
        <v>15</v>
      </c>
      <c r="Z1597">
        <v>112</v>
      </c>
      <c r="AA1597">
        <v>678</v>
      </c>
      <c r="AB1597">
        <v>30.5308750211477</v>
      </c>
      <c r="AC1597">
        <v>8.8031746217050004E-3</v>
      </c>
      <c r="AD1597">
        <v>1.88518706490613</v>
      </c>
      <c r="AE1597">
        <v>0.25993436707845102</v>
      </c>
      <c r="AF1597">
        <v>254.87478559176699</v>
      </c>
      <c r="AG1597">
        <f>IFERROR(AH1597*0.1, "N/A")</f>
        <v>5.7811320754717004</v>
      </c>
      <c r="AH1597">
        <v>57.811320754717002</v>
      </c>
      <c r="AI1597">
        <v>243.97001886122399</v>
      </c>
      <c r="AJ1597">
        <v>11.5780445969125</v>
      </c>
      <c r="AK1597">
        <v>69.521440823327595</v>
      </c>
    </row>
    <row r="1598" spans="1:37" x14ac:dyDescent="0.3">
      <c r="A1598">
        <v>1597</v>
      </c>
      <c r="B1598">
        <v>0</v>
      </c>
      <c r="C1598">
        <v>0.81083300000000003</v>
      </c>
      <c r="D1598">
        <v>9.7286099999999998</v>
      </c>
      <c r="E1598" t="s">
        <v>2785</v>
      </c>
      <c r="F1598" t="s">
        <v>2787</v>
      </c>
      <c r="G1598" t="s">
        <v>37</v>
      </c>
      <c r="H1598">
        <v>1980</v>
      </c>
      <c r="I1598">
        <v>27.299999237060501</v>
      </c>
      <c r="J1598">
        <v>12.6000003814697</v>
      </c>
      <c r="K1598">
        <v>68</v>
      </c>
      <c r="L1598">
        <v>16.309999465942401</v>
      </c>
      <c r="M1598">
        <v>37.099998474121101</v>
      </c>
      <c r="N1598">
        <v>18.700000762939499</v>
      </c>
      <c r="O1598">
        <v>18.399999618530298</v>
      </c>
      <c r="P1598">
        <v>25.200000762939499</v>
      </c>
      <c r="Q1598">
        <v>27.700000762939499</v>
      </c>
      <c r="R1598">
        <v>29.600000381469702</v>
      </c>
      <c r="S1598">
        <v>25.200000762939499</v>
      </c>
      <c r="T1598">
        <v>1226</v>
      </c>
      <c r="U1598">
        <v>263</v>
      </c>
      <c r="V1598">
        <v>4</v>
      </c>
      <c r="W1598">
        <v>86</v>
      </c>
      <c r="X1598">
        <v>678</v>
      </c>
      <c r="Y1598">
        <v>15</v>
      </c>
      <c r="Z1598">
        <v>112</v>
      </c>
      <c r="AA1598">
        <v>678</v>
      </c>
      <c r="AB1598">
        <v>30.5308750211477</v>
      </c>
      <c r="AC1598">
        <v>8.8031746217050004E-3</v>
      </c>
      <c r="AD1598">
        <v>1.88518706490613</v>
      </c>
      <c r="AE1598">
        <v>0.25993436707845102</v>
      </c>
      <c r="AF1598">
        <v>254.87478559176699</v>
      </c>
      <c r="AG1598">
        <f>IFERROR(AH1598*0.1, "N/A")</f>
        <v>5.7811320754717004</v>
      </c>
      <c r="AH1598">
        <v>57.811320754717002</v>
      </c>
      <c r="AI1598">
        <v>243.97001886122399</v>
      </c>
      <c r="AJ1598">
        <v>11.5780445969125</v>
      </c>
      <c r="AK1598">
        <v>69.521440823327595</v>
      </c>
    </row>
    <row r="1599" spans="1:37" x14ac:dyDescent="0.3">
      <c r="A1599">
        <v>1598</v>
      </c>
      <c r="B1599">
        <v>2</v>
      </c>
      <c r="C1599">
        <v>0.4</v>
      </c>
      <c r="D1599">
        <v>10.183299999999999</v>
      </c>
      <c r="E1599" t="s">
        <v>2788</v>
      </c>
      <c r="F1599" t="s">
        <v>2789</v>
      </c>
      <c r="G1599" t="s">
        <v>39</v>
      </c>
      <c r="H1599">
        <v>1980</v>
      </c>
      <c r="I1599">
        <v>27.9864260650582</v>
      </c>
      <c r="J1599">
        <v>12.800000190734901</v>
      </c>
      <c r="K1599">
        <v>62.487972508591099</v>
      </c>
      <c r="L1599">
        <v>18.5774055952878</v>
      </c>
      <c r="M1599">
        <v>38.5864247980806</v>
      </c>
      <c r="N1599">
        <v>18.235223593171099</v>
      </c>
      <c r="O1599">
        <v>20.3512021815244</v>
      </c>
      <c r="P1599">
        <v>25.872852007548001</v>
      </c>
      <c r="Q1599">
        <v>27.921649185652601</v>
      </c>
      <c r="R1599">
        <v>30.7587624939856</v>
      </c>
      <c r="S1599">
        <v>25.872852007548001</v>
      </c>
      <c r="T1599">
        <v>1103.9003436426101</v>
      </c>
      <c r="U1599">
        <v>242</v>
      </c>
      <c r="V1599">
        <v>0</v>
      </c>
      <c r="W1599">
        <v>94.371134020618598</v>
      </c>
      <c r="X1599">
        <v>669.14089347079005</v>
      </c>
      <c r="Y1599">
        <v>7</v>
      </c>
      <c r="Z1599">
        <v>87.1357388316151</v>
      </c>
      <c r="AA1599">
        <v>669.14089347079005</v>
      </c>
      <c r="AB1599">
        <v>0.764777717721421</v>
      </c>
      <c r="AC1599">
        <v>0.37130902238074998</v>
      </c>
      <c r="AD1599">
        <v>1.64171239692731</v>
      </c>
      <c r="AE1599">
        <v>0.52163428068161</v>
      </c>
      <c r="AF1599">
        <v>116.072164948454</v>
      </c>
      <c r="AG1599">
        <f>IFERROR(AH1599*0.1, "N/A")</f>
        <v>5.6723367697594504</v>
      </c>
      <c r="AH1599">
        <v>56.723367697594497</v>
      </c>
      <c r="AI1599">
        <v>51.118019054845398</v>
      </c>
      <c r="AJ1599">
        <v>26.723367697594501</v>
      </c>
      <c r="AK1599">
        <v>45.553264604810998</v>
      </c>
    </row>
    <row r="1600" spans="1:37" x14ac:dyDescent="0.3">
      <c r="A1600">
        <v>1599</v>
      </c>
      <c r="B1600">
        <v>0</v>
      </c>
      <c r="C1600">
        <v>0.4</v>
      </c>
      <c r="D1600">
        <v>10.183299999999999</v>
      </c>
      <c r="E1600" t="s">
        <v>2788</v>
      </c>
      <c r="F1600" t="s">
        <v>2790</v>
      </c>
      <c r="G1600" t="s">
        <v>37</v>
      </c>
      <c r="H1600">
        <v>1980</v>
      </c>
      <c r="I1600">
        <v>27.9864260650582</v>
      </c>
      <c r="J1600">
        <v>12.800000190734901</v>
      </c>
      <c r="K1600">
        <v>62.487972508591099</v>
      </c>
      <c r="L1600">
        <v>18.5774055952878</v>
      </c>
      <c r="M1600">
        <v>38.5864247980806</v>
      </c>
      <c r="N1600">
        <v>18.235223593171099</v>
      </c>
      <c r="O1600">
        <v>20.3512021815244</v>
      </c>
      <c r="P1600">
        <v>25.872852007548001</v>
      </c>
      <c r="Q1600">
        <v>27.921649185652601</v>
      </c>
      <c r="R1600">
        <v>30.7587624939856</v>
      </c>
      <c r="S1600">
        <v>25.872852007548001</v>
      </c>
      <c r="T1600">
        <v>1103.9003436426101</v>
      </c>
      <c r="U1600">
        <v>242</v>
      </c>
      <c r="V1600">
        <v>0</v>
      </c>
      <c r="W1600">
        <v>94.371134020618598</v>
      </c>
      <c r="X1600">
        <v>669.14089347079005</v>
      </c>
      <c r="Y1600">
        <v>7</v>
      </c>
      <c r="Z1600">
        <v>87.1357388316151</v>
      </c>
      <c r="AA1600">
        <v>669.14089347079005</v>
      </c>
      <c r="AB1600">
        <v>0.764777717721421</v>
      </c>
      <c r="AC1600">
        <v>0.37130902238074998</v>
      </c>
      <c r="AD1600">
        <v>1.64171239692731</v>
      </c>
      <c r="AE1600">
        <v>0.52163428068161</v>
      </c>
      <c r="AF1600">
        <v>116.072164948454</v>
      </c>
      <c r="AG1600">
        <f>IFERROR(AH1600*0.1, "N/A")</f>
        <v>5.6723367697594504</v>
      </c>
      <c r="AH1600">
        <v>56.723367697594497</v>
      </c>
      <c r="AI1600">
        <v>51.118019054845398</v>
      </c>
      <c r="AJ1600">
        <v>26.723367697594501</v>
      </c>
      <c r="AK1600">
        <v>45.553264604810998</v>
      </c>
    </row>
    <row r="1601" spans="1:37" x14ac:dyDescent="0.3">
      <c r="A1601">
        <v>1600</v>
      </c>
      <c r="B1601">
        <v>4.0999999999999996</v>
      </c>
      <c r="C1601">
        <v>0.44805600000000001</v>
      </c>
      <c r="D1601">
        <v>10.186400000000001</v>
      </c>
      <c r="E1601" t="s">
        <v>2791</v>
      </c>
      <c r="F1601" t="s">
        <v>2792</v>
      </c>
      <c r="G1601" t="s">
        <v>39</v>
      </c>
      <c r="H1601">
        <v>1980</v>
      </c>
      <c r="I1601">
        <v>28</v>
      </c>
      <c r="J1601">
        <v>12.800000190734901</v>
      </c>
      <c r="K1601">
        <v>62</v>
      </c>
      <c r="L1601">
        <v>18.420000076293899</v>
      </c>
      <c r="M1601">
        <v>38.5</v>
      </c>
      <c r="N1601">
        <v>18.100000381469702</v>
      </c>
      <c r="O1601">
        <v>20.399999618530298</v>
      </c>
      <c r="P1601">
        <v>25.799999237060501</v>
      </c>
      <c r="Q1601">
        <v>27.899999618530298</v>
      </c>
      <c r="R1601">
        <v>30.700000762939499</v>
      </c>
      <c r="S1601">
        <v>25.799999237060501</v>
      </c>
      <c r="T1601">
        <v>1105</v>
      </c>
      <c r="U1601">
        <v>242</v>
      </c>
      <c r="V1601">
        <v>0</v>
      </c>
      <c r="W1601">
        <v>94</v>
      </c>
      <c r="X1601">
        <v>668</v>
      </c>
      <c r="Y1601">
        <v>7</v>
      </c>
      <c r="Z1601">
        <v>89</v>
      </c>
      <c r="AA1601">
        <v>668</v>
      </c>
      <c r="AB1601">
        <v>8.3746175226175605</v>
      </c>
      <c r="AC1601">
        <v>2.3962550620847001E-2</v>
      </c>
      <c r="AD1601">
        <v>1.6717937164404799</v>
      </c>
      <c r="AE1601">
        <v>0.69862151145935103</v>
      </c>
      <c r="AF1601">
        <v>127.830188679245</v>
      </c>
      <c r="AG1601">
        <f>IFERROR(AH1601*0.1, "N/A")</f>
        <v>6.1763293310463103</v>
      </c>
      <c r="AH1601">
        <v>61.763293310463098</v>
      </c>
      <c r="AI1601">
        <v>113.06776467482</v>
      </c>
      <c r="AJ1601">
        <v>15.598627787307001</v>
      </c>
      <c r="AK1601">
        <v>53.728987993138901</v>
      </c>
    </row>
    <row r="1602" spans="1:37" x14ac:dyDescent="0.3">
      <c r="A1602">
        <v>1601</v>
      </c>
      <c r="B1602">
        <v>0</v>
      </c>
      <c r="C1602">
        <v>0.44805600000000001</v>
      </c>
      <c r="D1602">
        <v>10.186400000000001</v>
      </c>
      <c r="E1602" t="s">
        <v>2791</v>
      </c>
      <c r="F1602" t="s">
        <v>2793</v>
      </c>
      <c r="G1602" t="s">
        <v>37</v>
      </c>
      <c r="H1602">
        <v>1980</v>
      </c>
      <c r="I1602">
        <v>28</v>
      </c>
      <c r="J1602">
        <v>12.800000190734901</v>
      </c>
      <c r="K1602">
        <v>62</v>
      </c>
      <c r="L1602">
        <v>18.420000076293899</v>
      </c>
      <c r="M1602">
        <v>38.5</v>
      </c>
      <c r="N1602">
        <v>18.100000381469702</v>
      </c>
      <c r="O1602">
        <v>20.399999618530298</v>
      </c>
      <c r="P1602">
        <v>25.799999237060501</v>
      </c>
      <c r="Q1602">
        <v>27.899999618530298</v>
      </c>
      <c r="R1602">
        <v>30.700000762939499</v>
      </c>
      <c r="S1602">
        <v>25.799999237060501</v>
      </c>
      <c r="T1602">
        <v>1105</v>
      </c>
      <c r="U1602">
        <v>242</v>
      </c>
      <c r="V1602">
        <v>0</v>
      </c>
      <c r="W1602">
        <v>94</v>
      </c>
      <c r="X1602">
        <v>668</v>
      </c>
      <c r="Y1602">
        <v>7</v>
      </c>
      <c r="Z1602">
        <v>89</v>
      </c>
      <c r="AA1602">
        <v>668</v>
      </c>
      <c r="AB1602">
        <v>8.3746175226175605</v>
      </c>
      <c r="AC1602">
        <v>2.3962550620847001E-2</v>
      </c>
      <c r="AD1602">
        <v>1.6717937164404799</v>
      </c>
      <c r="AE1602">
        <v>0.69862151145935103</v>
      </c>
      <c r="AF1602">
        <v>127.830188679245</v>
      </c>
      <c r="AG1602">
        <f>IFERROR(AH1602*0.1, "N/A")</f>
        <v>6.1763293310463103</v>
      </c>
      <c r="AH1602">
        <v>61.763293310463098</v>
      </c>
      <c r="AI1602">
        <v>113.06776467482</v>
      </c>
      <c r="AJ1602">
        <v>15.598627787307001</v>
      </c>
      <c r="AK1602">
        <v>53.728987993138901</v>
      </c>
    </row>
    <row r="1603" spans="1:37" x14ac:dyDescent="0.3">
      <c r="A1603">
        <v>1602</v>
      </c>
      <c r="B1603">
        <v>12</v>
      </c>
      <c r="C1603">
        <v>0.744722</v>
      </c>
      <c r="D1603">
        <v>10.3325</v>
      </c>
      <c r="E1603" t="s">
        <v>2794</v>
      </c>
      <c r="F1603" t="s">
        <v>2795</v>
      </c>
      <c r="G1603" t="s">
        <v>39</v>
      </c>
      <c r="H1603">
        <v>1980</v>
      </c>
      <c r="I1603">
        <v>27.899999618530298</v>
      </c>
      <c r="J1603">
        <v>13</v>
      </c>
      <c r="K1603">
        <v>65</v>
      </c>
      <c r="L1603">
        <v>17.990359358591601</v>
      </c>
      <c r="M1603">
        <v>38.400001525878899</v>
      </c>
      <c r="N1603">
        <v>18.5</v>
      </c>
      <c r="O1603">
        <v>19.899999618530298</v>
      </c>
      <c r="P1603">
        <v>25.6994870623497</v>
      </c>
      <c r="Q1603">
        <v>27.899999618530298</v>
      </c>
      <c r="R1603">
        <v>30.399999618530298</v>
      </c>
      <c r="S1603">
        <v>25.6994870623497</v>
      </c>
      <c r="T1603">
        <v>1103.0102739726001</v>
      </c>
      <c r="U1603">
        <v>239</v>
      </c>
      <c r="V1603">
        <v>1</v>
      </c>
      <c r="W1603">
        <v>94</v>
      </c>
      <c r="X1603">
        <v>666.00513698630095</v>
      </c>
      <c r="Y1603">
        <v>8</v>
      </c>
      <c r="Z1603">
        <v>91</v>
      </c>
      <c r="AA1603">
        <v>666.00513698630095</v>
      </c>
      <c r="AB1603">
        <v>8.4839038065035002</v>
      </c>
      <c r="AC1603">
        <v>4.3773932127307999E-2</v>
      </c>
      <c r="AD1603">
        <v>2.0984447504559598</v>
      </c>
      <c r="AE1603">
        <v>0.68770764951836605</v>
      </c>
      <c r="AF1603">
        <v>203.51369863013699</v>
      </c>
      <c r="AG1603">
        <f>IFERROR(AH1603*0.1, "N/A")</f>
        <v>6.1000000000000005</v>
      </c>
      <c r="AH1603">
        <v>61</v>
      </c>
      <c r="AI1603">
        <v>258.71583288009901</v>
      </c>
      <c r="AJ1603">
        <v>13.421232876712301</v>
      </c>
      <c r="AK1603">
        <v>67.578767123287705</v>
      </c>
    </row>
    <row r="1604" spans="1:37" x14ac:dyDescent="0.3">
      <c r="A1604">
        <v>1603</v>
      </c>
      <c r="B1604">
        <v>0</v>
      </c>
      <c r="C1604">
        <v>0.744722</v>
      </c>
      <c r="D1604">
        <v>10.3325</v>
      </c>
      <c r="E1604" t="s">
        <v>2794</v>
      </c>
      <c r="F1604" t="s">
        <v>2796</v>
      </c>
      <c r="G1604" t="s">
        <v>37</v>
      </c>
      <c r="H1604">
        <v>1980</v>
      </c>
      <c r="I1604">
        <v>27.899999618530298</v>
      </c>
      <c r="J1604">
        <v>13</v>
      </c>
      <c r="K1604">
        <v>65</v>
      </c>
      <c r="L1604">
        <v>17.990359358591601</v>
      </c>
      <c r="M1604">
        <v>38.400001525878899</v>
      </c>
      <c r="N1604">
        <v>18.5</v>
      </c>
      <c r="O1604">
        <v>19.899999618530298</v>
      </c>
      <c r="P1604">
        <v>25.6994870623497</v>
      </c>
      <c r="Q1604">
        <v>27.899999618530298</v>
      </c>
      <c r="R1604">
        <v>30.399999618530298</v>
      </c>
      <c r="S1604">
        <v>25.6994870623497</v>
      </c>
      <c r="T1604">
        <v>1103.0102739726001</v>
      </c>
      <c r="U1604">
        <v>239</v>
      </c>
      <c r="V1604">
        <v>1</v>
      </c>
      <c r="W1604">
        <v>94</v>
      </c>
      <c r="X1604">
        <v>666.00513698630095</v>
      </c>
      <c r="Y1604">
        <v>8</v>
      </c>
      <c r="Z1604">
        <v>91</v>
      </c>
      <c r="AA1604">
        <v>666.00513698630095</v>
      </c>
      <c r="AB1604">
        <v>8.4839038065035002</v>
      </c>
      <c r="AC1604">
        <v>4.3773932127307999E-2</v>
      </c>
      <c r="AD1604">
        <v>2.0984447504559598</v>
      </c>
      <c r="AE1604">
        <v>0.68770764951836605</v>
      </c>
      <c r="AF1604">
        <v>203.51369863013699</v>
      </c>
      <c r="AG1604">
        <f>IFERROR(AH1604*0.1, "N/A")</f>
        <v>6.1000000000000005</v>
      </c>
      <c r="AH1604">
        <v>61</v>
      </c>
      <c r="AI1604">
        <v>258.71583288009901</v>
      </c>
      <c r="AJ1604">
        <v>13.421232876712301</v>
      </c>
      <c r="AK1604">
        <v>67.578767123287705</v>
      </c>
    </row>
    <row r="1605" spans="1:37" x14ac:dyDescent="0.3">
      <c r="A1605">
        <v>1604</v>
      </c>
      <c r="B1605">
        <v>8</v>
      </c>
      <c r="C1605">
        <v>0.470833</v>
      </c>
      <c r="D1605">
        <v>10.3592</v>
      </c>
      <c r="E1605" t="s">
        <v>2797</v>
      </c>
      <c r="F1605" t="s">
        <v>2798</v>
      </c>
      <c r="G1605" t="s">
        <v>39</v>
      </c>
      <c r="H1605">
        <v>1980</v>
      </c>
      <c r="I1605">
        <v>27.799999237060501</v>
      </c>
      <c r="J1605">
        <v>13</v>
      </c>
      <c r="K1605">
        <v>61</v>
      </c>
      <c r="L1605">
        <v>19.5958969313523</v>
      </c>
      <c r="M1605">
        <v>38.698793838764097</v>
      </c>
      <c r="N1605">
        <v>17.498793098844299</v>
      </c>
      <c r="O1605">
        <v>21.200000762939499</v>
      </c>
      <c r="P1605">
        <v>25.600000381469702</v>
      </c>
      <c r="Q1605">
        <v>27.5</v>
      </c>
      <c r="R1605">
        <v>30.698793861783798</v>
      </c>
      <c r="S1605">
        <v>25.600000381469702</v>
      </c>
      <c r="T1605">
        <v>1090.98793103448</v>
      </c>
      <c r="U1605">
        <v>237</v>
      </c>
      <c r="V1605">
        <v>0</v>
      </c>
      <c r="W1605">
        <v>96</v>
      </c>
      <c r="X1605">
        <v>667</v>
      </c>
      <c r="Y1605">
        <v>8</v>
      </c>
      <c r="Z1605">
        <v>90</v>
      </c>
      <c r="AA1605">
        <v>667</v>
      </c>
      <c r="AB1605">
        <v>0.68396188144026104</v>
      </c>
      <c r="AC1605">
        <v>0.87419960299378296</v>
      </c>
      <c r="AD1605">
        <v>1.1462776955859399</v>
      </c>
      <c r="AE1605">
        <v>0.57192373275756803</v>
      </c>
      <c r="AF1605">
        <v>143.25172413793101</v>
      </c>
      <c r="AG1605">
        <f>IFERROR(AH1605*0.1, "N/A")</f>
        <v>5.8267241379310306</v>
      </c>
      <c r="AH1605">
        <v>58.267241379310299</v>
      </c>
      <c r="AI1605">
        <v>182.08599177393401</v>
      </c>
      <c r="AJ1605">
        <v>16.5810344827586</v>
      </c>
      <c r="AK1605">
        <v>59.418965517241404</v>
      </c>
    </row>
    <row r="1606" spans="1:37" x14ac:dyDescent="0.3">
      <c r="A1606">
        <v>1605</v>
      </c>
      <c r="B1606">
        <v>4</v>
      </c>
      <c r="C1606">
        <v>0.470833</v>
      </c>
      <c r="D1606">
        <v>10.3592</v>
      </c>
      <c r="E1606" t="s">
        <v>2797</v>
      </c>
      <c r="F1606" t="s">
        <v>2799</v>
      </c>
      <c r="G1606" t="s">
        <v>37</v>
      </c>
      <c r="H1606">
        <v>1980</v>
      </c>
      <c r="I1606">
        <v>27.799999237060501</v>
      </c>
      <c r="J1606">
        <v>13</v>
      </c>
      <c r="K1606">
        <v>61</v>
      </c>
      <c r="L1606">
        <v>19.5958969313523</v>
      </c>
      <c r="M1606">
        <v>38.698793838764097</v>
      </c>
      <c r="N1606">
        <v>17.498793098844299</v>
      </c>
      <c r="O1606">
        <v>21.200000762939499</v>
      </c>
      <c r="P1606">
        <v>25.600000381469702</v>
      </c>
      <c r="Q1606">
        <v>27.5</v>
      </c>
      <c r="R1606">
        <v>30.698793861783798</v>
      </c>
      <c r="S1606">
        <v>25.600000381469702</v>
      </c>
      <c r="T1606">
        <v>1090.98793103448</v>
      </c>
      <c r="U1606">
        <v>237</v>
      </c>
      <c r="V1606">
        <v>0</v>
      </c>
      <c r="W1606">
        <v>96</v>
      </c>
      <c r="X1606">
        <v>667</v>
      </c>
      <c r="Y1606">
        <v>8</v>
      </c>
      <c r="Z1606">
        <v>90</v>
      </c>
      <c r="AA1606">
        <v>667</v>
      </c>
      <c r="AB1606">
        <v>0.68396188144026104</v>
      </c>
      <c r="AC1606">
        <v>0.87419960299378296</v>
      </c>
      <c r="AD1606">
        <v>1.1462776955859399</v>
      </c>
      <c r="AE1606">
        <v>0.57192373275756803</v>
      </c>
      <c r="AF1606">
        <v>143.25172413793101</v>
      </c>
      <c r="AG1606">
        <f>IFERROR(AH1606*0.1, "N/A")</f>
        <v>5.8267241379310306</v>
      </c>
      <c r="AH1606">
        <v>58.267241379310299</v>
      </c>
      <c r="AI1606">
        <v>182.08599177393401</v>
      </c>
      <c r="AJ1606">
        <v>16.5810344827586</v>
      </c>
      <c r="AK1606">
        <v>59.418965517241404</v>
      </c>
    </row>
    <row r="1607" spans="1:37" x14ac:dyDescent="0.3">
      <c r="A1607">
        <v>1606</v>
      </c>
      <c r="B1607">
        <v>10</v>
      </c>
      <c r="C1607">
        <v>0.64388900000000004</v>
      </c>
      <c r="D1607">
        <v>10.383900000000001</v>
      </c>
      <c r="E1607" t="s">
        <v>2800</v>
      </c>
      <c r="F1607" t="s">
        <v>2801</v>
      </c>
      <c r="G1607" t="s">
        <v>39</v>
      </c>
      <c r="H1607">
        <v>1980</v>
      </c>
      <c r="I1607">
        <v>27.973711239922899</v>
      </c>
      <c r="J1607">
        <v>13</v>
      </c>
      <c r="K1607">
        <v>63</v>
      </c>
      <c r="L1607">
        <v>18.713196036741898</v>
      </c>
      <c r="M1607">
        <v>38.673711501446</v>
      </c>
      <c r="N1607">
        <v>18.200000762939499</v>
      </c>
      <c r="O1607">
        <v>20.473711239922899</v>
      </c>
      <c r="P1607">
        <v>25.799999237060501</v>
      </c>
      <c r="Q1607">
        <v>27.899999618530298</v>
      </c>
      <c r="R1607">
        <v>30.700000762939499</v>
      </c>
      <c r="S1607">
        <v>25.799999237060501</v>
      </c>
      <c r="T1607">
        <v>1096.78865979381</v>
      </c>
      <c r="U1607">
        <v>236</v>
      </c>
      <c r="V1607">
        <v>0</v>
      </c>
      <c r="W1607">
        <v>95</v>
      </c>
      <c r="X1607">
        <v>666</v>
      </c>
      <c r="Y1607">
        <v>7</v>
      </c>
      <c r="Z1607">
        <v>88.525773195876297</v>
      </c>
      <c r="AA1607">
        <v>666</v>
      </c>
      <c r="AB1607">
        <v>7.8996558435184401</v>
      </c>
      <c r="AC1607">
        <v>5.0579542476568998E-2</v>
      </c>
      <c r="AD1607">
        <v>1.5595151026224301</v>
      </c>
      <c r="AE1607">
        <v>0.63235694169998202</v>
      </c>
      <c r="AF1607">
        <v>166.36426116838501</v>
      </c>
      <c r="AG1607">
        <f>IFERROR(AH1607*0.1, "N/A")</f>
        <v>6.0383161512027499</v>
      </c>
      <c r="AH1607">
        <v>60.383161512027499</v>
      </c>
      <c r="AI1607">
        <v>90.881626319229795</v>
      </c>
      <c r="AJ1607">
        <v>13</v>
      </c>
      <c r="AK1607">
        <v>67.359106529209598</v>
      </c>
    </row>
    <row r="1608" spans="1:37" x14ac:dyDescent="0.3">
      <c r="A1608">
        <v>1607</v>
      </c>
      <c r="B1608">
        <v>0</v>
      </c>
      <c r="C1608">
        <v>0.64388900000000004</v>
      </c>
      <c r="D1608">
        <v>10.383900000000001</v>
      </c>
      <c r="E1608" t="s">
        <v>2800</v>
      </c>
      <c r="F1608" t="s">
        <v>2802</v>
      </c>
      <c r="G1608" t="s">
        <v>37</v>
      </c>
      <c r="H1608">
        <v>1980</v>
      </c>
      <c r="I1608">
        <v>27.973711239922899</v>
      </c>
      <c r="J1608">
        <v>13</v>
      </c>
      <c r="K1608">
        <v>63</v>
      </c>
      <c r="L1608">
        <v>18.713196036741898</v>
      </c>
      <c r="M1608">
        <v>38.673711501446</v>
      </c>
      <c r="N1608">
        <v>18.200000762939499</v>
      </c>
      <c r="O1608">
        <v>20.473711239922899</v>
      </c>
      <c r="P1608">
        <v>25.799999237060501</v>
      </c>
      <c r="Q1608">
        <v>27.899999618530298</v>
      </c>
      <c r="R1608">
        <v>30.700000762939499</v>
      </c>
      <c r="S1608">
        <v>25.799999237060501</v>
      </c>
      <c r="T1608">
        <v>1096.78865979381</v>
      </c>
      <c r="U1608">
        <v>236</v>
      </c>
      <c r="V1608">
        <v>0</v>
      </c>
      <c r="W1608">
        <v>95</v>
      </c>
      <c r="X1608">
        <v>666</v>
      </c>
      <c r="Y1608">
        <v>7</v>
      </c>
      <c r="Z1608">
        <v>88.525773195876297</v>
      </c>
      <c r="AA1608">
        <v>666</v>
      </c>
      <c r="AB1608">
        <v>7.8996558435184401</v>
      </c>
      <c r="AC1608">
        <v>5.0579542476568998E-2</v>
      </c>
      <c r="AD1608">
        <v>1.5595151026224301</v>
      </c>
      <c r="AE1608">
        <v>0.63235694169998202</v>
      </c>
      <c r="AF1608">
        <v>166.36426116838501</v>
      </c>
      <c r="AG1608">
        <f>IFERROR(AH1608*0.1, "N/A")</f>
        <v>6.0383161512027499</v>
      </c>
      <c r="AH1608">
        <v>60.383161512027499</v>
      </c>
      <c r="AI1608">
        <v>90.881626319229795</v>
      </c>
      <c r="AJ1608">
        <v>13</v>
      </c>
      <c r="AK1608">
        <v>67.359106529209598</v>
      </c>
    </row>
    <row r="1609" spans="1:37" x14ac:dyDescent="0.3">
      <c r="A1609">
        <v>1608</v>
      </c>
      <c r="B1609">
        <v>0</v>
      </c>
      <c r="C1609">
        <v>0.55000000000000004</v>
      </c>
      <c r="D1609">
        <v>10.4833</v>
      </c>
      <c r="E1609" t="s">
        <v>2803</v>
      </c>
      <c r="F1609" t="s">
        <v>2804</v>
      </c>
      <c r="G1609" t="s">
        <v>39</v>
      </c>
      <c r="H1609">
        <v>1980</v>
      </c>
      <c r="I1609">
        <v>28.1639322492811</v>
      </c>
      <c r="J1609">
        <v>13.0497437795003</v>
      </c>
      <c r="K1609">
        <v>62.497435897435899</v>
      </c>
      <c r="L1609">
        <v>19.086940201327302</v>
      </c>
      <c r="M1609">
        <v>38.9292318490835</v>
      </c>
      <c r="N1609">
        <v>18.2136757679475</v>
      </c>
      <c r="O1609">
        <v>20.7155560811361</v>
      </c>
      <c r="P1609">
        <v>25.9639314863417</v>
      </c>
      <c r="Q1609">
        <v>27.9639314863417</v>
      </c>
      <c r="R1609">
        <v>30.9292304992676</v>
      </c>
      <c r="S1609">
        <v>25.9639314863417</v>
      </c>
      <c r="T1609">
        <v>1081.4153846153799</v>
      </c>
      <c r="U1609">
        <v>240</v>
      </c>
      <c r="V1609">
        <v>0</v>
      </c>
      <c r="W1609">
        <v>96</v>
      </c>
      <c r="X1609">
        <v>662.70769230769201</v>
      </c>
      <c r="Y1609">
        <v>6</v>
      </c>
      <c r="Z1609">
        <v>83.347008547008599</v>
      </c>
      <c r="AA1609">
        <v>662.70769230769201</v>
      </c>
      <c r="AB1609">
        <v>0.77624213063818803</v>
      </c>
      <c r="AC1609">
        <v>3.1919551250071101</v>
      </c>
      <c r="AD1609">
        <v>0.76753545479896801</v>
      </c>
      <c r="AE1609">
        <v>0.56931223502525896</v>
      </c>
      <c r="AF1609">
        <v>125.538461538462</v>
      </c>
      <c r="AG1609">
        <f>IFERROR(AH1609*0.1, "N/A")</f>
        <v>5.9415384615384603</v>
      </c>
      <c r="AH1609">
        <v>59.415384615384603</v>
      </c>
      <c r="AI1609">
        <v>212.58409609020299</v>
      </c>
      <c r="AJ1609">
        <v>17.292307692307698</v>
      </c>
      <c r="AK1609">
        <v>55.707692307692298</v>
      </c>
    </row>
    <row r="1610" spans="1:37" x14ac:dyDescent="0.3">
      <c r="A1610">
        <v>1609</v>
      </c>
      <c r="B1610">
        <v>0</v>
      </c>
      <c r="C1610">
        <v>0.55000000000000004</v>
      </c>
      <c r="D1610">
        <v>10.4833</v>
      </c>
      <c r="E1610" t="s">
        <v>2803</v>
      </c>
      <c r="F1610" t="s">
        <v>2805</v>
      </c>
      <c r="G1610" t="s">
        <v>37</v>
      </c>
      <c r="H1610">
        <v>1980</v>
      </c>
      <c r="I1610">
        <v>28.1639322492811</v>
      </c>
      <c r="J1610">
        <v>13.0497437795003</v>
      </c>
      <c r="K1610">
        <v>62.497435897435899</v>
      </c>
      <c r="L1610">
        <v>19.086940201327302</v>
      </c>
      <c r="M1610">
        <v>38.9292318490835</v>
      </c>
      <c r="N1610">
        <v>18.2136757679475</v>
      </c>
      <c r="O1610">
        <v>20.7155560811361</v>
      </c>
      <c r="P1610">
        <v>25.9639314863417</v>
      </c>
      <c r="Q1610">
        <v>27.9639314863417</v>
      </c>
      <c r="R1610">
        <v>30.9292304992676</v>
      </c>
      <c r="S1610">
        <v>25.9639314863417</v>
      </c>
      <c r="T1610">
        <v>1081.4153846153799</v>
      </c>
      <c r="U1610">
        <v>240</v>
      </c>
      <c r="V1610">
        <v>0</v>
      </c>
      <c r="W1610">
        <v>96</v>
      </c>
      <c r="X1610">
        <v>662.70769230769201</v>
      </c>
      <c r="Y1610">
        <v>6</v>
      </c>
      <c r="Z1610">
        <v>83.347008547008599</v>
      </c>
      <c r="AA1610">
        <v>662.70769230769201</v>
      </c>
      <c r="AB1610">
        <v>0.77624213063818803</v>
      </c>
      <c r="AC1610">
        <v>3.1919551250071101</v>
      </c>
      <c r="AD1610">
        <v>0.76753545479896801</v>
      </c>
      <c r="AE1610">
        <v>0.56931223502525896</v>
      </c>
      <c r="AF1610">
        <v>125.538461538462</v>
      </c>
      <c r="AG1610">
        <f>IFERROR(AH1610*0.1, "N/A")</f>
        <v>5.9415384615384603</v>
      </c>
      <c r="AH1610">
        <v>59.415384615384603</v>
      </c>
      <c r="AI1610">
        <v>212.58409609020299</v>
      </c>
      <c r="AJ1610">
        <v>17.292307692307698</v>
      </c>
      <c r="AK1610">
        <v>55.707692307692298</v>
      </c>
    </row>
    <row r="1611" spans="1:37" x14ac:dyDescent="0.3">
      <c r="A1611">
        <v>1610</v>
      </c>
      <c r="B1611">
        <v>6</v>
      </c>
      <c r="C1611">
        <v>0.49138900000000002</v>
      </c>
      <c r="D1611">
        <v>10.504200000000001</v>
      </c>
      <c r="E1611" t="s">
        <v>2806</v>
      </c>
      <c r="F1611" t="s">
        <v>2807</v>
      </c>
      <c r="G1611" t="s">
        <v>39</v>
      </c>
      <c r="H1611">
        <v>1980</v>
      </c>
      <c r="I1611">
        <v>28.100000381469702</v>
      </c>
      <c r="J1611">
        <v>13</v>
      </c>
      <c r="K1611">
        <v>62</v>
      </c>
      <c r="L1611">
        <v>19.044820619240799</v>
      </c>
      <c r="M1611">
        <v>38.851795294345898</v>
      </c>
      <c r="N1611">
        <v>18.1517954508464</v>
      </c>
      <c r="O1611">
        <v>20.700000762939499</v>
      </c>
      <c r="P1611">
        <v>25.951794687906901</v>
      </c>
      <c r="Q1611">
        <v>27.903589375813802</v>
      </c>
      <c r="R1611">
        <v>30.851794306437199</v>
      </c>
      <c r="S1611">
        <v>25.951794687906901</v>
      </c>
      <c r="T1611">
        <v>1073.9641025640999</v>
      </c>
      <c r="U1611">
        <v>241.482051282051</v>
      </c>
      <c r="V1611">
        <v>0</v>
      </c>
      <c r="W1611">
        <v>97</v>
      </c>
      <c r="X1611">
        <v>662.96410256410195</v>
      </c>
      <c r="Y1611">
        <v>6</v>
      </c>
      <c r="Z1611">
        <v>81</v>
      </c>
      <c r="AA1611">
        <v>662.96410256410195</v>
      </c>
      <c r="AB1611">
        <v>9.6358930799696196</v>
      </c>
      <c r="AC1611">
        <v>2.0853317019521998E-2</v>
      </c>
      <c r="AD1611">
        <v>2.3678672857773599</v>
      </c>
      <c r="AE1611">
        <v>0.57362753540022704</v>
      </c>
      <c r="AF1611">
        <v>144.232478632479</v>
      </c>
      <c r="AG1611">
        <f>IFERROR(AH1611*0.1, "N/A")</f>
        <v>6.1000000000000005</v>
      </c>
      <c r="AH1611">
        <v>61</v>
      </c>
      <c r="AI1611">
        <v>74.575479588956895</v>
      </c>
      <c r="AJ1611">
        <v>14.5179487179487</v>
      </c>
      <c r="AK1611">
        <v>65.446153846153805</v>
      </c>
    </row>
    <row r="1612" spans="1:37" x14ac:dyDescent="0.3">
      <c r="A1612">
        <v>1611</v>
      </c>
      <c r="B1612">
        <v>0</v>
      </c>
      <c r="C1612">
        <v>0.49138900000000002</v>
      </c>
      <c r="D1612">
        <v>10.504200000000001</v>
      </c>
      <c r="E1612" t="s">
        <v>2806</v>
      </c>
      <c r="F1612" t="s">
        <v>2808</v>
      </c>
      <c r="G1612" t="s">
        <v>37</v>
      </c>
      <c r="H1612">
        <v>1980</v>
      </c>
      <c r="I1612">
        <v>28.100000381469702</v>
      </c>
      <c r="J1612">
        <v>13</v>
      </c>
      <c r="K1612">
        <v>62</v>
      </c>
      <c r="L1612">
        <v>19.044820619240799</v>
      </c>
      <c r="M1612">
        <v>38.851795294345898</v>
      </c>
      <c r="N1612">
        <v>18.1517954508464</v>
      </c>
      <c r="O1612">
        <v>20.700000762939499</v>
      </c>
      <c r="P1612">
        <v>25.951794687906901</v>
      </c>
      <c r="Q1612">
        <v>27.903589375813802</v>
      </c>
      <c r="R1612">
        <v>30.851794306437199</v>
      </c>
      <c r="S1612">
        <v>25.951794687906901</v>
      </c>
      <c r="T1612">
        <v>1073.9641025640999</v>
      </c>
      <c r="U1612">
        <v>241.482051282051</v>
      </c>
      <c r="V1612">
        <v>0</v>
      </c>
      <c r="W1612">
        <v>97</v>
      </c>
      <c r="X1612">
        <v>662.96410256410195</v>
      </c>
      <c r="Y1612">
        <v>6</v>
      </c>
      <c r="Z1612">
        <v>81</v>
      </c>
      <c r="AA1612">
        <v>662.96410256410195</v>
      </c>
      <c r="AB1612">
        <v>9.6358930799696196</v>
      </c>
      <c r="AC1612">
        <v>2.0853317019521998E-2</v>
      </c>
      <c r="AD1612">
        <v>2.3678672857773599</v>
      </c>
      <c r="AE1612">
        <v>0.57362753540022704</v>
      </c>
      <c r="AF1612">
        <v>144.232478632479</v>
      </c>
      <c r="AG1612">
        <f>IFERROR(AH1612*0.1, "N/A")</f>
        <v>6.1000000000000005</v>
      </c>
      <c r="AH1612">
        <v>61</v>
      </c>
      <c r="AI1612">
        <v>74.575479588956895</v>
      </c>
      <c r="AJ1612">
        <v>14.5179487179487</v>
      </c>
      <c r="AK1612">
        <v>65.446153846153805</v>
      </c>
    </row>
    <row r="1613" spans="1:37" x14ac:dyDescent="0.3">
      <c r="A1613">
        <v>1612</v>
      </c>
      <c r="B1613">
        <v>8</v>
      </c>
      <c r="C1613">
        <v>0.30222199999999999</v>
      </c>
      <c r="D1613">
        <v>10.550800000000001</v>
      </c>
      <c r="E1613" t="s">
        <v>2809</v>
      </c>
      <c r="F1613" t="s">
        <v>2810</v>
      </c>
      <c r="G1613" t="s">
        <v>39</v>
      </c>
      <c r="H1613">
        <v>1980</v>
      </c>
      <c r="I1613">
        <v>28</v>
      </c>
      <c r="J1613">
        <v>12.8999996185303</v>
      </c>
      <c r="K1613">
        <v>63</v>
      </c>
      <c r="L1613">
        <v>18.930000305175799</v>
      </c>
      <c r="M1613">
        <v>38.700000762939503</v>
      </c>
      <c r="N1613">
        <v>18.5</v>
      </c>
      <c r="O1613">
        <v>20.200000762939499</v>
      </c>
      <c r="P1613">
        <v>25.899999618530298</v>
      </c>
      <c r="Q1613">
        <v>27.799999237060501</v>
      </c>
      <c r="R1613">
        <v>30.700000762939499</v>
      </c>
      <c r="S1613">
        <v>25.899999618530298</v>
      </c>
      <c r="T1613">
        <v>1042</v>
      </c>
      <c r="U1613">
        <v>245</v>
      </c>
      <c r="V1613">
        <v>1</v>
      </c>
      <c r="W1613">
        <v>100</v>
      </c>
      <c r="X1613">
        <v>659</v>
      </c>
      <c r="Y1613">
        <v>6</v>
      </c>
      <c r="Z1613">
        <v>177</v>
      </c>
      <c r="AA1613">
        <v>659</v>
      </c>
      <c r="AB1613">
        <v>10.4777377925507</v>
      </c>
      <c r="AC1613">
        <v>9.3561885272450008E-3</v>
      </c>
      <c r="AD1613">
        <v>1.4610453909390599</v>
      </c>
      <c r="AE1613">
        <v>0.69092965126037598</v>
      </c>
      <c r="AF1613">
        <v>168.08390410958901</v>
      </c>
      <c r="AG1613">
        <f>IFERROR(AH1613*0.1, "N/A")</f>
        <v>6.5991438356164398</v>
      </c>
      <c r="AH1613">
        <v>65.991438356164394</v>
      </c>
      <c r="AI1613">
        <v>113.240099462744</v>
      </c>
      <c r="AJ1613">
        <v>15.530821917808201</v>
      </c>
      <c r="AK1613">
        <v>62.648972602739697</v>
      </c>
    </row>
    <row r="1614" spans="1:37" x14ac:dyDescent="0.3">
      <c r="A1614">
        <v>1613</v>
      </c>
      <c r="B1614">
        <v>0</v>
      </c>
      <c r="C1614">
        <v>0.30222199999999999</v>
      </c>
      <c r="D1614">
        <v>10.550800000000001</v>
      </c>
      <c r="E1614" t="s">
        <v>2809</v>
      </c>
      <c r="F1614" t="s">
        <v>2811</v>
      </c>
      <c r="G1614" t="s">
        <v>37</v>
      </c>
      <c r="H1614">
        <v>1980</v>
      </c>
      <c r="I1614">
        <v>28</v>
      </c>
      <c r="J1614">
        <v>12.8999996185303</v>
      </c>
      <c r="K1614">
        <v>63</v>
      </c>
      <c r="L1614">
        <v>18.930000305175799</v>
      </c>
      <c r="M1614">
        <v>38.700000762939503</v>
      </c>
      <c r="N1614">
        <v>18.5</v>
      </c>
      <c r="O1614">
        <v>20.200000762939499</v>
      </c>
      <c r="P1614">
        <v>25.899999618530298</v>
      </c>
      <c r="Q1614">
        <v>27.799999237060501</v>
      </c>
      <c r="R1614">
        <v>30.700000762939499</v>
      </c>
      <c r="S1614">
        <v>25.899999618530298</v>
      </c>
      <c r="T1614">
        <v>1042</v>
      </c>
      <c r="U1614">
        <v>245</v>
      </c>
      <c r="V1614">
        <v>1</v>
      </c>
      <c r="W1614">
        <v>100</v>
      </c>
      <c r="X1614">
        <v>659</v>
      </c>
      <c r="Y1614">
        <v>6</v>
      </c>
      <c r="Z1614">
        <v>177</v>
      </c>
      <c r="AA1614">
        <v>659</v>
      </c>
      <c r="AB1614">
        <v>10.4777377925507</v>
      </c>
      <c r="AC1614">
        <v>9.3561885272450008E-3</v>
      </c>
      <c r="AD1614">
        <v>1.4610453909390599</v>
      </c>
      <c r="AE1614">
        <v>0.69092965126037598</v>
      </c>
      <c r="AF1614">
        <v>168.08390410958901</v>
      </c>
      <c r="AG1614">
        <f>IFERROR(AH1614*0.1, "N/A")</f>
        <v>6.5991438356164398</v>
      </c>
      <c r="AH1614">
        <v>65.991438356164394</v>
      </c>
      <c r="AI1614">
        <v>113.240099462744</v>
      </c>
      <c r="AJ1614">
        <v>15.530821917808201</v>
      </c>
      <c r="AK1614">
        <v>62.648972602739697</v>
      </c>
    </row>
    <row r="1615" spans="1:37" x14ac:dyDescent="0.3">
      <c r="A1615">
        <v>1614</v>
      </c>
      <c r="B1615">
        <v>48</v>
      </c>
      <c r="C1615">
        <v>0.38333299999999998</v>
      </c>
      <c r="D1615">
        <v>10.6</v>
      </c>
      <c r="E1615" t="s">
        <v>2812</v>
      </c>
      <c r="F1615" t="s">
        <v>2813</v>
      </c>
      <c r="G1615" t="s">
        <v>39</v>
      </c>
      <c r="H1615">
        <v>1980</v>
      </c>
      <c r="I1615">
        <v>28.070669223268499</v>
      </c>
      <c r="J1615">
        <v>13</v>
      </c>
      <c r="K1615">
        <v>63.120068610634704</v>
      </c>
      <c r="L1615">
        <v>19.052932523331599</v>
      </c>
      <c r="M1615">
        <v>38.799999237060497</v>
      </c>
      <c r="N1615">
        <v>18.412006525396301</v>
      </c>
      <c r="O1615">
        <v>20.3879927116643</v>
      </c>
      <c r="P1615">
        <v>25.899999618530298</v>
      </c>
      <c r="Q1615">
        <v>27.817666542877699</v>
      </c>
      <c r="R1615">
        <v>30.799999237060501</v>
      </c>
      <c r="S1615">
        <v>25.899999618530298</v>
      </c>
      <c r="T1615">
        <v>1048.7667238422</v>
      </c>
      <c r="U1615">
        <v>246.413379073756</v>
      </c>
      <c r="V1615">
        <v>0</v>
      </c>
      <c r="W1615">
        <v>99.590051457976003</v>
      </c>
      <c r="X1615">
        <v>659.59005145797596</v>
      </c>
      <c r="Y1615">
        <v>4</v>
      </c>
      <c r="Z1615">
        <v>116.401372212693</v>
      </c>
      <c r="AA1615">
        <v>659.59005145797596</v>
      </c>
      <c r="AB1615">
        <v>1.5411624286841401</v>
      </c>
      <c r="AC1615">
        <v>2.1149071002151999E-2</v>
      </c>
      <c r="AD1615">
        <v>1.30632350661538</v>
      </c>
      <c r="AE1615">
        <v>0.69780331850051902</v>
      </c>
      <c r="AF1615">
        <v>166.50943396226401</v>
      </c>
      <c r="AG1615">
        <f>IFERROR(AH1615*0.1, "N/A")</f>
        <v>6.3406518010291606</v>
      </c>
      <c r="AH1615">
        <v>63.406518010291599</v>
      </c>
      <c r="AI1615">
        <v>121.41230860296299</v>
      </c>
      <c r="AJ1615">
        <v>12.307032590051501</v>
      </c>
      <c r="AK1615">
        <v>68.692967409948594</v>
      </c>
    </row>
    <row r="1616" spans="1:37" x14ac:dyDescent="0.3">
      <c r="A1616">
        <v>1615</v>
      </c>
      <c r="B1616">
        <v>0</v>
      </c>
      <c r="C1616">
        <v>0.38333299999999998</v>
      </c>
      <c r="D1616">
        <v>10.6</v>
      </c>
      <c r="E1616" t="s">
        <v>2812</v>
      </c>
      <c r="F1616" t="s">
        <v>2814</v>
      </c>
      <c r="G1616" t="s">
        <v>37</v>
      </c>
      <c r="H1616">
        <v>1980</v>
      </c>
      <c r="I1616">
        <v>28.070669223268499</v>
      </c>
      <c r="J1616">
        <v>13</v>
      </c>
      <c r="K1616">
        <v>63.120068610634704</v>
      </c>
      <c r="L1616">
        <v>19.052932523331599</v>
      </c>
      <c r="M1616">
        <v>38.799999237060497</v>
      </c>
      <c r="N1616">
        <v>18.412006525396301</v>
      </c>
      <c r="O1616">
        <v>20.3879927116643</v>
      </c>
      <c r="P1616">
        <v>25.899999618530298</v>
      </c>
      <c r="Q1616">
        <v>27.817666542877699</v>
      </c>
      <c r="R1616">
        <v>30.799999237060501</v>
      </c>
      <c r="S1616">
        <v>25.899999618530298</v>
      </c>
      <c r="T1616">
        <v>1048.7667238422</v>
      </c>
      <c r="U1616">
        <v>246.413379073756</v>
      </c>
      <c r="V1616">
        <v>0</v>
      </c>
      <c r="W1616">
        <v>99.590051457976003</v>
      </c>
      <c r="X1616">
        <v>659.59005145797596</v>
      </c>
      <c r="Y1616">
        <v>4</v>
      </c>
      <c r="Z1616">
        <v>116.401372212693</v>
      </c>
      <c r="AA1616">
        <v>659.59005145797596</v>
      </c>
      <c r="AB1616">
        <v>1.5411624286841401</v>
      </c>
      <c r="AC1616">
        <v>2.1149071002151999E-2</v>
      </c>
      <c r="AD1616">
        <v>1.30632350661538</v>
      </c>
      <c r="AE1616">
        <v>0.69780331850051902</v>
      </c>
      <c r="AF1616">
        <v>166.50943396226401</v>
      </c>
      <c r="AG1616">
        <f>IFERROR(AH1616*0.1, "N/A")</f>
        <v>6.3406518010291606</v>
      </c>
      <c r="AH1616">
        <v>63.406518010291599</v>
      </c>
      <c r="AI1616">
        <v>121.41230860296299</v>
      </c>
      <c r="AJ1616">
        <v>12.307032590051501</v>
      </c>
      <c r="AK1616">
        <v>68.692967409948594</v>
      </c>
    </row>
    <row r="1617" spans="1:37" x14ac:dyDescent="0.3">
      <c r="A1617">
        <v>1616</v>
      </c>
      <c r="B1617">
        <v>7</v>
      </c>
      <c r="C1617">
        <v>1.01667</v>
      </c>
      <c r="D1617">
        <v>8.6666699999999999</v>
      </c>
      <c r="E1617" t="s">
        <v>2815</v>
      </c>
      <c r="F1617" t="s">
        <v>2816</v>
      </c>
      <c r="G1617" t="s">
        <v>39</v>
      </c>
      <c r="H1617">
        <v>1977</v>
      </c>
      <c r="I1617">
        <v>25.8394459358136</v>
      </c>
      <c r="J1617">
        <v>11.8999996185303</v>
      </c>
      <c r="K1617">
        <v>68.775086505190302</v>
      </c>
      <c r="L1617">
        <v>13.083996672118801</v>
      </c>
      <c r="M1617">
        <v>35.061936771168398</v>
      </c>
      <c r="N1617">
        <v>17.8394459358136</v>
      </c>
      <c r="O1617">
        <v>17.222491769229698</v>
      </c>
      <c r="P1617">
        <v>24.120415684261101</v>
      </c>
      <c r="Q1617">
        <v>25.8394459358136</v>
      </c>
      <c r="R1617">
        <v>27.639446898727702</v>
      </c>
      <c r="S1617">
        <v>24.120415684261101</v>
      </c>
      <c r="T1617">
        <v>1269.4480968858099</v>
      </c>
      <c r="U1617">
        <v>232.32006920415199</v>
      </c>
      <c r="V1617">
        <v>8</v>
      </c>
      <c r="W1617">
        <v>80</v>
      </c>
      <c r="X1617">
        <v>682.40138408304495</v>
      </c>
      <c r="Y1617">
        <v>26.285467128027701</v>
      </c>
      <c r="Z1617">
        <v>163</v>
      </c>
      <c r="AA1617">
        <v>682.40138408304495</v>
      </c>
      <c r="AB1617">
        <v>7.8439578152032903</v>
      </c>
      <c r="AC1617">
        <v>1.8235079185219001E-2</v>
      </c>
      <c r="AD1617">
        <v>2.3920885456474599</v>
      </c>
      <c r="AE1617">
        <v>0.31477467287783001</v>
      </c>
      <c r="AF1617">
        <v>425.33737024221398</v>
      </c>
      <c r="AG1617">
        <f>IFERROR(AH1617*0.1, "N/A")</f>
        <v>5.8044982698961904</v>
      </c>
      <c r="AH1617">
        <v>58.044982698961903</v>
      </c>
      <c r="AI1617">
        <v>323.44113412612899</v>
      </c>
      <c r="AJ1617">
        <v>14.6349480968858</v>
      </c>
      <c r="AK1617">
        <v>70.679930795847795</v>
      </c>
    </row>
    <row r="1618" spans="1:37" x14ac:dyDescent="0.3">
      <c r="A1618">
        <v>1617</v>
      </c>
      <c r="B1618">
        <v>0.5</v>
      </c>
      <c r="C1618">
        <v>1.01667</v>
      </c>
      <c r="D1618">
        <v>8.6666699999999999</v>
      </c>
      <c r="E1618" t="s">
        <v>2815</v>
      </c>
      <c r="F1618" t="s">
        <v>2817</v>
      </c>
      <c r="G1618" t="s">
        <v>37</v>
      </c>
      <c r="H1618">
        <v>1977</v>
      </c>
      <c r="I1618">
        <v>25.8394459358136</v>
      </c>
      <c r="J1618">
        <v>11.8999996185303</v>
      </c>
      <c r="K1618">
        <v>68.775086505190302</v>
      </c>
      <c r="L1618">
        <v>13.083996672118801</v>
      </c>
      <c r="M1618">
        <v>35.061936771168398</v>
      </c>
      <c r="N1618">
        <v>17.8394459358136</v>
      </c>
      <c r="O1618">
        <v>17.222491769229698</v>
      </c>
      <c r="P1618">
        <v>24.120415684261101</v>
      </c>
      <c r="Q1618">
        <v>25.8394459358136</v>
      </c>
      <c r="R1618">
        <v>27.639446898727702</v>
      </c>
      <c r="S1618">
        <v>24.120415684261101</v>
      </c>
      <c r="T1618">
        <v>1269.4480968858099</v>
      </c>
      <c r="U1618">
        <v>232.32006920415199</v>
      </c>
      <c r="V1618">
        <v>8</v>
      </c>
      <c r="W1618">
        <v>80</v>
      </c>
      <c r="X1618">
        <v>682.40138408304495</v>
      </c>
      <c r="Y1618">
        <v>26.285467128027701</v>
      </c>
      <c r="Z1618">
        <v>163</v>
      </c>
      <c r="AA1618">
        <v>682.40138408304495</v>
      </c>
      <c r="AB1618">
        <v>7.8439578152032903</v>
      </c>
      <c r="AC1618">
        <v>1.8235079185219001E-2</v>
      </c>
      <c r="AD1618">
        <v>2.3920885456474599</v>
      </c>
      <c r="AE1618">
        <v>0.31477467287783001</v>
      </c>
      <c r="AF1618">
        <v>425.33737024221398</v>
      </c>
      <c r="AG1618">
        <f>IFERROR(AH1618*0.1, "N/A")</f>
        <v>5.8044982698961904</v>
      </c>
      <c r="AH1618">
        <v>58.044982698961903</v>
      </c>
      <c r="AI1618">
        <v>323.44113412612899</v>
      </c>
      <c r="AJ1618">
        <v>14.6349480968858</v>
      </c>
      <c r="AK1618">
        <v>70.679930795847795</v>
      </c>
    </row>
    <row r="1619" spans="1:37" x14ac:dyDescent="0.3">
      <c r="A1619">
        <v>1618</v>
      </c>
      <c r="B1619">
        <v>4.8</v>
      </c>
      <c r="C1619">
        <v>0.77186100000000002</v>
      </c>
      <c r="D1619">
        <v>8.6939899999999994</v>
      </c>
      <c r="E1619" t="s">
        <v>2818</v>
      </c>
      <c r="F1619" t="s">
        <v>2819</v>
      </c>
      <c r="G1619" t="s">
        <v>39</v>
      </c>
      <c r="H1619">
        <v>1977</v>
      </c>
      <c r="I1619">
        <v>25</v>
      </c>
      <c r="J1619">
        <v>11.800000190734901</v>
      </c>
      <c r="K1619">
        <v>69</v>
      </c>
      <c r="L1619">
        <v>13.680000305175801</v>
      </c>
      <c r="M1619">
        <v>34.200000762939503</v>
      </c>
      <c r="N1619">
        <v>17.299999237060501</v>
      </c>
      <c r="O1619">
        <v>16.899999618530298</v>
      </c>
      <c r="P1619">
        <v>23.100000381469702</v>
      </c>
      <c r="Q1619">
        <v>25.200000762939499</v>
      </c>
      <c r="R1619">
        <v>26.799999237060501</v>
      </c>
      <c r="S1619">
        <v>23.100000381469702</v>
      </c>
      <c r="T1619">
        <v>1317</v>
      </c>
      <c r="U1619">
        <v>236</v>
      </c>
      <c r="V1619">
        <v>10</v>
      </c>
      <c r="W1619">
        <v>77</v>
      </c>
      <c r="X1619">
        <v>677</v>
      </c>
      <c r="Y1619">
        <v>37</v>
      </c>
      <c r="Z1619">
        <v>164</v>
      </c>
      <c r="AA1619">
        <v>677</v>
      </c>
      <c r="AB1619">
        <v>56.120206210279697</v>
      </c>
      <c r="AC1619">
        <v>1.8786191874358999E-2</v>
      </c>
      <c r="AD1619">
        <v>6.2755673767577402</v>
      </c>
      <c r="AE1619">
        <v>0.36886744311848302</v>
      </c>
      <c r="AF1619">
        <v>558.18134715025894</v>
      </c>
      <c r="AG1619">
        <f>IFERROR(AH1619*0.1, "N/A")</f>
        <v>5.5968911917098403</v>
      </c>
      <c r="AH1619">
        <v>55.968911917098403</v>
      </c>
      <c r="AI1619">
        <v>79.783512293365902</v>
      </c>
      <c r="AJ1619">
        <v>19.081174438687398</v>
      </c>
      <c r="AK1619">
        <v>61.937823834196898</v>
      </c>
    </row>
    <row r="1620" spans="1:37" x14ac:dyDescent="0.3">
      <c r="A1620">
        <v>1619</v>
      </c>
      <c r="B1620">
        <v>0</v>
      </c>
      <c r="C1620">
        <v>0.77186100000000002</v>
      </c>
      <c r="D1620">
        <v>8.6939899999999994</v>
      </c>
      <c r="E1620" t="s">
        <v>2818</v>
      </c>
      <c r="F1620" t="s">
        <v>2820</v>
      </c>
      <c r="G1620" t="s">
        <v>37</v>
      </c>
      <c r="H1620">
        <v>1977</v>
      </c>
      <c r="I1620">
        <v>25</v>
      </c>
      <c r="J1620">
        <v>11.800000190734901</v>
      </c>
      <c r="K1620">
        <v>69</v>
      </c>
      <c r="L1620">
        <v>13.680000305175801</v>
      </c>
      <c r="M1620">
        <v>34.200000762939503</v>
      </c>
      <c r="N1620">
        <v>17.299999237060501</v>
      </c>
      <c r="O1620">
        <v>16.899999618530298</v>
      </c>
      <c r="P1620">
        <v>23.100000381469702</v>
      </c>
      <c r="Q1620">
        <v>25.200000762939499</v>
      </c>
      <c r="R1620">
        <v>26.799999237060501</v>
      </c>
      <c r="S1620">
        <v>23.100000381469702</v>
      </c>
      <c r="T1620">
        <v>1317</v>
      </c>
      <c r="U1620">
        <v>236</v>
      </c>
      <c r="V1620">
        <v>10</v>
      </c>
      <c r="W1620">
        <v>77</v>
      </c>
      <c r="X1620">
        <v>677</v>
      </c>
      <c r="Y1620">
        <v>37</v>
      </c>
      <c r="Z1620">
        <v>164</v>
      </c>
      <c r="AA1620">
        <v>677</v>
      </c>
      <c r="AB1620">
        <v>56.120206210279697</v>
      </c>
      <c r="AC1620">
        <v>1.8786191874358999E-2</v>
      </c>
      <c r="AD1620">
        <v>6.2755673767577402</v>
      </c>
      <c r="AE1620">
        <v>0.36886744311848302</v>
      </c>
      <c r="AF1620">
        <v>558.18134715025894</v>
      </c>
      <c r="AG1620">
        <f>IFERROR(AH1620*0.1, "N/A")</f>
        <v>5.5968911917098403</v>
      </c>
      <c r="AH1620">
        <v>55.968911917098403</v>
      </c>
      <c r="AI1620">
        <v>79.783512293365902</v>
      </c>
      <c r="AJ1620">
        <v>19.081174438687398</v>
      </c>
      <c r="AK1620">
        <v>61.937823834196898</v>
      </c>
    </row>
    <row r="1621" spans="1:37" x14ac:dyDescent="0.3">
      <c r="A1621">
        <v>1620</v>
      </c>
      <c r="B1621">
        <v>53.700001</v>
      </c>
      <c r="C1621">
        <v>1.14564</v>
      </c>
      <c r="D1621">
        <v>8.9807699999999997</v>
      </c>
      <c r="E1621" t="s">
        <v>2821</v>
      </c>
      <c r="F1621" t="s">
        <v>2822</v>
      </c>
      <c r="G1621" t="s">
        <v>39</v>
      </c>
      <c r="H1621">
        <v>1977</v>
      </c>
      <c r="I1621">
        <v>26.100000381469702</v>
      </c>
      <c r="J1621">
        <v>12.3999996185303</v>
      </c>
      <c r="K1621">
        <v>66</v>
      </c>
      <c r="L1621">
        <v>11.819999694824199</v>
      </c>
      <c r="M1621">
        <v>35.400001525878899</v>
      </c>
      <c r="N1621">
        <v>16.799999237060501</v>
      </c>
      <c r="O1621">
        <v>18.600000381469702</v>
      </c>
      <c r="P1621">
        <v>24.700000762939499</v>
      </c>
      <c r="Q1621">
        <v>25.600000381469702</v>
      </c>
      <c r="R1621">
        <v>27.799999237060501</v>
      </c>
      <c r="S1621">
        <v>24.700000762939499</v>
      </c>
      <c r="T1621">
        <v>1343</v>
      </c>
      <c r="U1621">
        <v>250</v>
      </c>
      <c r="V1621">
        <v>5</v>
      </c>
      <c r="W1621">
        <v>80</v>
      </c>
      <c r="X1621">
        <v>716</v>
      </c>
      <c r="Y1621">
        <v>25</v>
      </c>
      <c r="Z1621">
        <v>173</v>
      </c>
      <c r="AA1621">
        <v>716</v>
      </c>
      <c r="AB1621">
        <v>3.94421397260228</v>
      </c>
      <c r="AC1621">
        <v>4.0548119077937997E-2</v>
      </c>
      <c r="AD1621">
        <v>2.2177595108078298</v>
      </c>
      <c r="AE1621">
        <v>0.80527704954147294</v>
      </c>
      <c r="AF1621">
        <v>378.78583765112302</v>
      </c>
      <c r="AG1621">
        <f>IFERROR(AH1621*0.1, "N/A")</f>
        <v>5.9808290155440407</v>
      </c>
      <c r="AH1621">
        <v>59.808290155440403</v>
      </c>
      <c r="AI1621">
        <v>201.72486932784199</v>
      </c>
      <c r="AJ1621">
        <v>20.447322970639</v>
      </c>
      <c r="AK1621">
        <v>57.690846286701202</v>
      </c>
    </row>
    <row r="1622" spans="1:37" x14ac:dyDescent="0.3">
      <c r="A1622">
        <v>1621</v>
      </c>
      <c r="B1622">
        <v>18.700001</v>
      </c>
      <c r="C1622">
        <v>1.14564</v>
      </c>
      <c r="D1622">
        <v>8.9807699999999997</v>
      </c>
      <c r="E1622" t="s">
        <v>2821</v>
      </c>
      <c r="F1622" t="s">
        <v>2823</v>
      </c>
      <c r="G1622" t="s">
        <v>37</v>
      </c>
      <c r="H1622">
        <v>1977</v>
      </c>
      <c r="I1622">
        <v>26.100000381469702</v>
      </c>
      <c r="J1622">
        <v>12.3999996185303</v>
      </c>
      <c r="K1622">
        <v>66</v>
      </c>
      <c r="L1622">
        <v>11.819999694824199</v>
      </c>
      <c r="M1622">
        <v>35.400001525878899</v>
      </c>
      <c r="N1622">
        <v>16.799999237060501</v>
      </c>
      <c r="O1622">
        <v>18.600000381469702</v>
      </c>
      <c r="P1622">
        <v>24.700000762939499</v>
      </c>
      <c r="Q1622">
        <v>25.600000381469702</v>
      </c>
      <c r="R1622">
        <v>27.799999237060501</v>
      </c>
      <c r="S1622">
        <v>24.700000762939499</v>
      </c>
      <c r="T1622">
        <v>1343</v>
      </c>
      <c r="U1622">
        <v>250</v>
      </c>
      <c r="V1622">
        <v>5</v>
      </c>
      <c r="W1622">
        <v>80</v>
      </c>
      <c r="X1622">
        <v>716</v>
      </c>
      <c r="Y1622">
        <v>25</v>
      </c>
      <c r="Z1622">
        <v>173</v>
      </c>
      <c r="AA1622">
        <v>716</v>
      </c>
      <c r="AB1622">
        <v>3.94421397260228</v>
      </c>
      <c r="AC1622">
        <v>4.0548119077937997E-2</v>
      </c>
      <c r="AD1622">
        <v>2.2177595108078298</v>
      </c>
      <c r="AE1622">
        <v>0.80527704954147294</v>
      </c>
      <c r="AF1622">
        <v>378.78583765112302</v>
      </c>
      <c r="AG1622">
        <f>IFERROR(AH1622*0.1, "N/A")</f>
        <v>5.9808290155440407</v>
      </c>
      <c r="AH1622">
        <v>59.808290155440403</v>
      </c>
      <c r="AI1622">
        <v>201.72486932784199</v>
      </c>
      <c r="AJ1622">
        <v>20.447322970639</v>
      </c>
      <c r="AK1622">
        <v>57.690846286701202</v>
      </c>
    </row>
    <row r="1623" spans="1:37" x14ac:dyDescent="0.3">
      <c r="A1623">
        <v>1622</v>
      </c>
      <c r="B1623">
        <v>12.4</v>
      </c>
      <c r="C1623">
        <v>1.4166700000000001</v>
      </c>
      <c r="D1623">
        <v>9.0333299999999994</v>
      </c>
      <c r="E1623" t="s">
        <v>2824</v>
      </c>
      <c r="F1623" t="s">
        <v>2825</v>
      </c>
      <c r="G1623" t="s">
        <v>39</v>
      </c>
      <c r="H1623">
        <v>1977</v>
      </c>
      <c r="I1623">
        <v>26.540619776294101</v>
      </c>
      <c r="J1623">
        <v>12.3999996185303</v>
      </c>
      <c r="K1623">
        <v>69</v>
      </c>
      <c r="L1623">
        <v>14.603167172758599</v>
      </c>
      <c r="M1623">
        <v>36.240619764475703</v>
      </c>
      <c r="N1623">
        <v>18.422891272119699</v>
      </c>
      <c r="O1623">
        <v>17.8177273597652</v>
      </c>
      <c r="P1623">
        <v>24.5</v>
      </c>
      <c r="Q1623">
        <v>26.840619013354601</v>
      </c>
      <c r="R1623">
        <v>28.440619394824299</v>
      </c>
      <c r="S1623">
        <v>24.5</v>
      </c>
      <c r="T1623">
        <v>1217.7401032702201</v>
      </c>
      <c r="U1623">
        <v>232.77108433734901</v>
      </c>
      <c r="V1623">
        <v>1</v>
      </c>
      <c r="W1623">
        <v>83</v>
      </c>
      <c r="X1623">
        <v>666.31325301204799</v>
      </c>
      <c r="Y1623">
        <v>13</v>
      </c>
      <c r="Z1623">
        <v>145.364888123924</v>
      </c>
      <c r="AA1623">
        <v>666.31325301204799</v>
      </c>
      <c r="AB1623">
        <v>7.7638482571468899</v>
      </c>
      <c r="AC1623">
        <v>7.1490340481437001E-2</v>
      </c>
      <c r="AD1623">
        <v>1.77671012205429</v>
      </c>
      <c r="AE1623">
        <v>0.67598074674606301</v>
      </c>
      <c r="AF1623">
        <v>355.51118760757299</v>
      </c>
      <c r="AG1623">
        <f>IFERROR(AH1623*0.1, "N/A")</f>
        <v>5.7545611015490508</v>
      </c>
      <c r="AH1623">
        <v>57.545611015490501</v>
      </c>
      <c r="AI1623">
        <v>33.234281100012097</v>
      </c>
      <c r="AJ1623">
        <v>14.552495697074001</v>
      </c>
      <c r="AK1623">
        <v>66.9087779690189</v>
      </c>
    </row>
    <row r="1624" spans="1:37" x14ac:dyDescent="0.3">
      <c r="A1624">
        <v>1623</v>
      </c>
      <c r="B1624">
        <v>1.5</v>
      </c>
      <c r="C1624">
        <v>1.4166700000000001</v>
      </c>
      <c r="D1624">
        <v>9.0333299999999994</v>
      </c>
      <c r="E1624" t="s">
        <v>2824</v>
      </c>
      <c r="F1624" t="s">
        <v>2826</v>
      </c>
      <c r="G1624" t="s">
        <v>37</v>
      </c>
      <c r="H1624">
        <v>1977</v>
      </c>
      <c r="I1624">
        <v>26.540619776294101</v>
      </c>
      <c r="J1624">
        <v>12.3999996185303</v>
      </c>
      <c r="K1624">
        <v>69</v>
      </c>
      <c r="L1624">
        <v>14.603167172758599</v>
      </c>
      <c r="M1624">
        <v>36.240619764475703</v>
      </c>
      <c r="N1624">
        <v>18.422891272119699</v>
      </c>
      <c r="O1624">
        <v>17.8177273597652</v>
      </c>
      <c r="P1624">
        <v>24.5</v>
      </c>
      <c r="Q1624">
        <v>26.840619013354601</v>
      </c>
      <c r="R1624">
        <v>28.440619394824299</v>
      </c>
      <c r="S1624">
        <v>24.5</v>
      </c>
      <c r="T1624">
        <v>1217.7401032702201</v>
      </c>
      <c r="U1624">
        <v>232.77108433734901</v>
      </c>
      <c r="V1624">
        <v>1</v>
      </c>
      <c r="W1624">
        <v>83</v>
      </c>
      <c r="X1624">
        <v>666.31325301204799</v>
      </c>
      <c r="Y1624">
        <v>13</v>
      </c>
      <c r="Z1624">
        <v>145.364888123924</v>
      </c>
      <c r="AA1624">
        <v>666.31325301204799</v>
      </c>
      <c r="AB1624">
        <v>7.7638482571468899</v>
      </c>
      <c r="AC1624">
        <v>7.1490340481437001E-2</v>
      </c>
      <c r="AD1624">
        <v>1.77671012205429</v>
      </c>
      <c r="AE1624">
        <v>0.67598074674606301</v>
      </c>
      <c r="AF1624">
        <v>355.51118760757299</v>
      </c>
      <c r="AG1624">
        <f>IFERROR(AH1624*0.1, "N/A")</f>
        <v>5.7545611015490508</v>
      </c>
      <c r="AH1624">
        <v>57.545611015490501</v>
      </c>
      <c r="AI1624">
        <v>33.234281100012097</v>
      </c>
      <c r="AJ1624">
        <v>14.552495697074001</v>
      </c>
      <c r="AK1624">
        <v>66.9087779690189</v>
      </c>
    </row>
    <row r="1625" spans="1:37" x14ac:dyDescent="0.3">
      <c r="A1625">
        <v>1624</v>
      </c>
      <c r="B1625">
        <v>3</v>
      </c>
      <c r="C1625">
        <v>1.2016</v>
      </c>
      <c r="D1625">
        <v>9.2043400000000002</v>
      </c>
      <c r="E1625" t="s">
        <v>2827</v>
      </c>
      <c r="F1625" t="s">
        <v>2828</v>
      </c>
      <c r="G1625" t="s">
        <v>39</v>
      </c>
      <c r="H1625">
        <v>1977</v>
      </c>
      <c r="I1625">
        <v>25.5</v>
      </c>
      <c r="J1625">
        <v>12.5</v>
      </c>
      <c r="K1625">
        <v>68</v>
      </c>
      <c r="L1625">
        <v>14.6199998855591</v>
      </c>
      <c r="M1625">
        <v>35.400001525878899</v>
      </c>
      <c r="N1625">
        <v>17.200000762939499</v>
      </c>
      <c r="O1625">
        <v>18.200000762939499</v>
      </c>
      <c r="P1625">
        <v>23.5</v>
      </c>
      <c r="Q1625">
        <v>26.299999237060501</v>
      </c>
      <c r="R1625">
        <v>27.5</v>
      </c>
      <c r="S1625">
        <v>23.5</v>
      </c>
      <c r="T1625">
        <v>1391</v>
      </c>
      <c r="U1625">
        <v>259</v>
      </c>
      <c r="V1625">
        <v>4</v>
      </c>
      <c r="W1625">
        <v>83</v>
      </c>
      <c r="X1625">
        <v>761</v>
      </c>
      <c r="Y1625">
        <v>23</v>
      </c>
      <c r="Z1625">
        <v>164</v>
      </c>
      <c r="AA1625">
        <v>761</v>
      </c>
      <c r="AB1625">
        <v>31.6172449046168</v>
      </c>
      <c r="AC1625">
        <v>9.8078115586319996E-3</v>
      </c>
      <c r="AD1625">
        <v>1.7544463192594499</v>
      </c>
      <c r="AE1625">
        <v>0.37800759077072099</v>
      </c>
      <c r="AF1625">
        <v>511.56379310344801</v>
      </c>
      <c r="AG1625">
        <f>IFERROR(AH1625*0.1, "N/A")</f>
        <v>5.7944827586206902</v>
      </c>
      <c r="AH1625">
        <v>57.944827586206898</v>
      </c>
      <c r="AI1625">
        <v>187.335544349407</v>
      </c>
      <c r="AJ1625">
        <v>15.3448275862069</v>
      </c>
      <c r="AK1625">
        <v>64.744827586206895</v>
      </c>
    </row>
    <row r="1626" spans="1:37" x14ac:dyDescent="0.3">
      <c r="A1626">
        <v>1625</v>
      </c>
      <c r="B1626">
        <v>0</v>
      </c>
      <c r="C1626">
        <v>1.2016</v>
      </c>
      <c r="D1626">
        <v>9.2043400000000002</v>
      </c>
      <c r="E1626" t="s">
        <v>2827</v>
      </c>
      <c r="F1626" t="s">
        <v>2829</v>
      </c>
      <c r="G1626" t="s">
        <v>37</v>
      </c>
      <c r="H1626">
        <v>1977</v>
      </c>
      <c r="I1626">
        <v>25.5</v>
      </c>
      <c r="J1626">
        <v>12.5</v>
      </c>
      <c r="K1626">
        <v>68</v>
      </c>
      <c r="L1626">
        <v>14.6199998855591</v>
      </c>
      <c r="M1626">
        <v>35.400001525878899</v>
      </c>
      <c r="N1626">
        <v>17.200000762939499</v>
      </c>
      <c r="O1626">
        <v>18.200000762939499</v>
      </c>
      <c r="P1626">
        <v>23.5</v>
      </c>
      <c r="Q1626">
        <v>26.299999237060501</v>
      </c>
      <c r="R1626">
        <v>27.5</v>
      </c>
      <c r="S1626">
        <v>23.5</v>
      </c>
      <c r="T1626">
        <v>1391</v>
      </c>
      <c r="U1626">
        <v>259</v>
      </c>
      <c r="V1626">
        <v>4</v>
      </c>
      <c r="W1626">
        <v>83</v>
      </c>
      <c r="X1626">
        <v>761</v>
      </c>
      <c r="Y1626">
        <v>23</v>
      </c>
      <c r="Z1626">
        <v>164</v>
      </c>
      <c r="AA1626">
        <v>761</v>
      </c>
      <c r="AB1626">
        <v>31.6172449046168</v>
      </c>
      <c r="AC1626">
        <v>9.8078115586319996E-3</v>
      </c>
      <c r="AD1626">
        <v>1.7544463192594499</v>
      </c>
      <c r="AE1626">
        <v>0.37800759077072099</v>
      </c>
      <c r="AF1626">
        <v>511.56379310344801</v>
      </c>
      <c r="AG1626">
        <f>IFERROR(AH1626*0.1, "N/A")</f>
        <v>5.7944827586206902</v>
      </c>
      <c r="AH1626">
        <v>57.944827586206898</v>
      </c>
      <c r="AI1626">
        <v>187.335544349407</v>
      </c>
      <c r="AJ1626">
        <v>15.3448275862069</v>
      </c>
      <c r="AK1626">
        <v>64.744827586206895</v>
      </c>
    </row>
    <row r="1627" spans="1:37" x14ac:dyDescent="0.3">
      <c r="A1627">
        <v>1626</v>
      </c>
      <c r="B1627">
        <v>53.200001</v>
      </c>
      <c r="C1627">
        <v>1.2166699999999999</v>
      </c>
      <c r="D1627">
        <v>9.4499999999999993</v>
      </c>
      <c r="E1627" t="s">
        <v>2830</v>
      </c>
      <c r="F1627" t="s">
        <v>2831</v>
      </c>
      <c r="G1627" t="s">
        <v>39</v>
      </c>
      <c r="H1627">
        <v>1977</v>
      </c>
      <c r="I1627">
        <v>26.073057273509001</v>
      </c>
      <c r="J1627">
        <v>12.6000003814697</v>
      </c>
      <c r="K1627">
        <v>68</v>
      </c>
      <c r="L1627">
        <v>15.680466149549201</v>
      </c>
      <c r="M1627">
        <v>36.044731614503199</v>
      </c>
      <c r="N1627">
        <v>17.744732377442698</v>
      </c>
      <c r="O1627">
        <v>18.299999237060501</v>
      </c>
      <c r="P1627">
        <v>24.0283248058049</v>
      </c>
      <c r="Q1627">
        <v>26.744732377442698</v>
      </c>
      <c r="R1627">
        <v>28.247841197591999</v>
      </c>
      <c r="S1627">
        <v>24.0283248058049</v>
      </c>
      <c r="T1627">
        <v>1343.1364421416199</v>
      </c>
      <c r="U1627">
        <v>254.71675302245299</v>
      </c>
      <c r="V1627">
        <v>2</v>
      </c>
      <c r="W1627">
        <v>84.283246977547506</v>
      </c>
      <c r="X1627">
        <v>747.343696027634</v>
      </c>
      <c r="Y1627">
        <v>16.747841105354102</v>
      </c>
      <c r="Z1627">
        <v>149.464594127807</v>
      </c>
      <c r="AA1627">
        <v>747.343696027634</v>
      </c>
      <c r="AB1627">
        <v>10.1385079023134</v>
      </c>
      <c r="AC1627">
        <v>2.3904054449783999E-2</v>
      </c>
      <c r="AD1627">
        <v>2.05257906773753</v>
      </c>
      <c r="AE1627">
        <v>0.66401811677557199</v>
      </c>
      <c r="AF1627">
        <v>426.10708117443897</v>
      </c>
      <c r="AG1627">
        <f>IFERROR(AH1627*0.1, "N/A")</f>
        <v>5.8000000000000007</v>
      </c>
      <c r="AH1627">
        <v>58</v>
      </c>
      <c r="AI1627">
        <v>100.15844742374701</v>
      </c>
      <c r="AJ1627">
        <v>15.044905008635601</v>
      </c>
      <c r="AK1627">
        <v>66.150259067357496</v>
      </c>
    </row>
    <row r="1628" spans="1:37" x14ac:dyDescent="0.3">
      <c r="A1628">
        <v>1627</v>
      </c>
      <c r="B1628">
        <v>3</v>
      </c>
      <c r="C1628">
        <v>1.2166699999999999</v>
      </c>
      <c r="D1628">
        <v>9.4499999999999993</v>
      </c>
      <c r="E1628" t="s">
        <v>2830</v>
      </c>
      <c r="F1628" t="s">
        <v>2832</v>
      </c>
      <c r="G1628" t="s">
        <v>37</v>
      </c>
      <c r="H1628">
        <v>1977</v>
      </c>
      <c r="I1628">
        <v>26.073057273509001</v>
      </c>
      <c r="J1628">
        <v>12.6000003814697</v>
      </c>
      <c r="K1628">
        <v>68</v>
      </c>
      <c r="L1628">
        <v>15.680466149549201</v>
      </c>
      <c r="M1628">
        <v>36.044731614503199</v>
      </c>
      <c r="N1628">
        <v>17.744732377442698</v>
      </c>
      <c r="O1628">
        <v>18.299999237060501</v>
      </c>
      <c r="P1628">
        <v>24.0283248058049</v>
      </c>
      <c r="Q1628">
        <v>26.744732377442698</v>
      </c>
      <c r="R1628">
        <v>28.247841197591999</v>
      </c>
      <c r="S1628">
        <v>24.0283248058049</v>
      </c>
      <c r="T1628">
        <v>1343.1364421416199</v>
      </c>
      <c r="U1628">
        <v>254.71675302245299</v>
      </c>
      <c r="V1628">
        <v>2</v>
      </c>
      <c r="W1628">
        <v>84.283246977547506</v>
      </c>
      <c r="X1628">
        <v>747.343696027634</v>
      </c>
      <c r="Y1628">
        <v>16.747841105354102</v>
      </c>
      <c r="Z1628">
        <v>149.464594127807</v>
      </c>
      <c r="AA1628">
        <v>747.343696027634</v>
      </c>
      <c r="AB1628">
        <v>10.1385079023134</v>
      </c>
      <c r="AC1628">
        <v>2.3904054449783999E-2</v>
      </c>
      <c r="AD1628">
        <v>2.05257906773753</v>
      </c>
      <c r="AE1628">
        <v>0.66401811677557199</v>
      </c>
      <c r="AF1628">
        <v>426.10708117443897</v>
      </c>
      <c r="AG1628">
        <f>IFERROR(AH1628*0.1, "N/A")</f>
        <v>5.8000000000000007</v>
      </c>
      <c r="AH1628">
        <v>58</v>
      </c>
      <c r="AI1628">
        <v>100.15844742374701</v>
      </c>
      <c r="AJ1628">
        <v>15.044905008635601</v>
      </c>
      <c r="AK1628">
        <v>66.150259067357496</v>
      </c>
    </row>
    <row r="1629" spans="1:37" x14ac:dyDescent="0.3">
      <c r="A1629">
        <v>1628</v>
      </c>
      <c r="B1629">
        <v>15</v>
      </c>
      <c r="C1629">
        <v>1.04</v>
      </c>
      <c r="D1629">
        <v>9.5155600000000007</v>
      </c>
      <c r="E1629" t="s">
        <v>2833</v>
      </c>
      <c r="F1629" t="s">
        <v>2834</v>
      </c>
      <c r="G1629" t="s">
        <v>39</v>
      </c>
      <c r="H1629">
        <v>1977</v>
      </c>
      <c r="I1629">
        <v>26.799999237060501</v>
      </c>
      <c r="J1629">
        <v>12.6000003814697</v>
      </c>
      <c r="K1629">
        <v>68</v>
      </c>
      <c r="L1629">
        <v>15.680000305175801</v>
      </c>
      <c r="M1629">
        <v>36.700000762939503</v>
      </c>
      <c r="N1629">
        <v>18.299999237060501</v>
      </c>
      <c r="O1629">
        <v>18.399999618530298</v>
      </c>
      <c r="P1629">
        <v>24.799999237060501</v>
      </c>
      <c r="Q1629">
        <v>27.399999618530298</v>
      </c>
      <c r="R1629">
        <v>29</v>
      </c>
      <c r="S1629">
        <v>24.799999237060501</v>
      </c>
      <c r="T1629">
        <v>1326</v>
      </c>
      <c r="U1629">
        <v>263</v>
      </c>
      <c r="V1629">
        <v>2</v>
      </c>
      <c r="W1629">
        <v>83</v>
      </c>
      <c r="X1629">
        <v>712</v>
      </c>
      <c r="Y1629">
        <v>18</v>
      </c>
      <c r="Z1629">
        <v>141</v>
      </c>
      <c r="AA1629">
        <v>712</v>
      </c>
      <c r="AB1629">
        <v>21.848536779637602</v>
      </c>
      <c r="AC1629">
        <v>6.5843362309721001E-2</v>
      </c>
      <c r="AD1629">
        <v>7.2058394828196803</v>
      </c>
      <c r="AE1629">
        <v>0.59692800045013406</v>
      </c>
      <c r="AF1629">
        <v>317.16062176165798</v>
      </c>
      <c r="AG1629">
        <f>IFERROR(AH1629*0.1, "N/A")</f>
        <v>6.0082901554404105</v>
      </c>
      <c r="AH1629">
        <v>60.082901554404103</v>
      </c>
      <c r="AI1629">
        <v>251.72331822845001</v>
      </c>
      <c r="AJ1629">
        <v>20.098445595854901</v>
      </c>
      <c r="AK1629">
        <v>56.984455958549198</v>
      </c>
    </row>
    <row r="1630" spans="1:37" x14ac:dyDescent="0.3">
      <c r="A1630">
        <v>1629</v>
      </c>
      <c r="B1630">
        <v>0</v>
      </c>
      <c r="C1630">
        <v>1.04</v>
      </c>
      <c r="D1630">
        <v>9.5155600000000007</v>
      </c>
      <c r="E1630" t="s">
        <v>2833</v>
      </c>
      <c r="F1630" t="s">
        <v>2835</v>
      </c>
      <c r="G1630" t="s">
        <v>37</v>
      </c>
      <c r="H1630">
        <v>1977</v>
      </c>
      <c r="I1630">
        <v>26.799999237060501</v>
      </c>
      <c r="J1630">
        <v>12.6000003814697</v>
      </c>
      <c r="K1630">
        <v>68</v>
      </c>
      <c r="L1630">
        <v>15.680000305175801</v>
      </c>
      <c r="M1630">
        <v>36.700000762939503</v>
      </c>
      <c r="N1630">
        <v>18.299999237060501</v>
      </c>
      <c r="O1630">
        <v>18.399999618530298</v>
      </c>
      <c r="P1630">
        <v>24.799999237060501</v>
      </c>
      <c r="Q1630">
        <v>27.399999618530298</v>
      </c>
      <c r="R1630">
        <v>29</v>
      </c>
      <c r="S1630">
        <v>24.799999237060501</v>
      </c>
      <c r="T1630">
        <v>1326</v>
      </c>
      <c r="U1630">
        <v>263</v>
      </c>
      <c r="V1630">
        <v>2</v>
      </c>
      <c r="W1630">
        <v>83</v>
      </c>
      <c r="X1630">
        <v>712</v>
      </c>
      <c r="Y1630">
        <v>18</v>
      </c>
      <c r="Z1630">
        <v>141</v>
      </c>
      <c r="AA1630">
        <v>712</v>
      </c>
      <c r="AB1630">
        <v>21.848536779637602</v>
      </c>
      <c r="AC1630">
        <v>6.5843362309721001E-2</v>
      </c>
      <c r="AD1630">
        <v>7.2058394828196803</v>
      </c>
      <c r="AE1630">
        <v>0.59692800045013406</v>
      </c>
      <c r="AF1630">
        <v>317.16062176165798</v>
      </c>
      <c r="AG1630">
        <f>IFERROR(AH1630*0.1, "N/A")</f>
        <v>6.0082901554404105</v>
      </c>
      <c r="AH1630">
        <v>60.082901554404103</v>
      </c>
      <c r="AI1630">
        <v>251.72331822845001</v>
      </c>
      <c r="AJ1630">
        <v>20.098445595854901</v>
      </c>
      <c r="AK1630">
        <v>56.984455958549198</v>
      </c>
    </row>
    <row r="1631" spans="1:37" x14ac:dyDescent="0.3">
      <c r="A1631">
        <v>1630</v>
      </c>
      <c r="B1631">
        <v>16.100000000000001</v>
      </c>
      <c r="C1631">
        <v>1.0225</v>
      </c>
      <c r="D1631">
        <v>9.6308299999999996</v>
      </c>
      <c r="E1631" t="s">
        <v>2836</v>
      </c>
      <c r="F1631" t="s">
        <v>2837</v>
      </c>
      <c r="G1631" t="s">
        <v>39</v>
      </c>
      <c r="H1631">
        <v>1977</v>
      </c>
      <c r="I1631">
        <v>27.200000762939499</v>
      </c>
      <c r="J1631">
        <v>12.6000003814697</v>
      </c>
      <c r="K1631">
        <v>67</v>
      </c>
      <c r="L1631">
        <v>15.9700002670288</v>
      </c>
      <c r="M1631">
        <v>37.099998474121101</v>
      </c>
      <c r="N1631">
        <v>18.5</v>
      </c>
      <c r="O1631">
        <v>18.600000381469702</v>
      </c>
      <c r="P1631">
        <v>25.100000381469702</v>
      </c>
      <c r="Q1631">
        <v>27.700000762939499</v>
      </c>
      <c r="R1631">
        <v>29.399999618530298</v>
      </c>
      <c r="S1631">
        <v>25.100000381469702</v>
      </c>
      <c r="T1631">
        <v>1289</v>
      </c>
      <c r="U1631">
        <v>261</v>
      </c>
      <c r="V1631">
        <v>2</v>
      </c>
      <c r="W1631">
        <v>85</v>
      </c>
      <c r="X1631">
        <v>706</v>
      </c>
      <c r="Y1631">
        <v>15</v>
      </c>
      <c r="Z1631">
        <v>127</v>
      </c>
      <c r="AA1631">
        <v>706</v>
      </c>
      <c r="AB1631">
        <v>14.2875863436995</v>
      </c>
      <c r="AC1631">
        <v>3.9111017427759999E-2</v>
      </c>
      <c r="AD1631">
        <v>2.4551785464944502</v>
      </c>
      <c r="AE1631">
        <v>0.51120260296196796</v>
      </c>
      <c r="AF1631">
        <v>253.72241379310299</v>
      </c>
      <c r="AG1631">
        <f>IFERROR(AH1631*0.1, "N/A")</f>
        <v>6.0493103448275907</v>
      </c>
      <c r="AH1631">
        <v>60.493103448275903</v>
      </c>
      <c r="AI1631">
        <v>183.45081139926299</v>
      </c>
      <c r="AJ1631">
        <v>16.9637931034483</v>
      </c>
      <c r="AK1631">
        <v>65.565517241379297</v>
      </c>
    </row>
    <row r="1632" spans="1:37" x14ac:dyDescent="0.3">
      <c r="A1632">
        <v>1631</v>
      </c>
      <c r="B1632">
        <v>2</v>
      </c>
      <c r="C1632">
        <v>1.0225</v>
      </c>
      <c r="D1632">
        <v>9.6308299999999996</v>
      </c>
      <c r="E1632" t="s">
        <v>2836</v>
      </c>
      <c r="F1632" t="s">
        <v>2838</v>
      </c>
      <c r="G1632" t="s">
        <v>37</v>
      </c>
      <c r="H1632">
        <v>1977</v>
      </c>
      <c r="I1632">
        <v>27.200000762939499</v>
      </c>
      <c r="J1632">
        <v>12.6000003814697</v>
      </c>
      <c r="K1632">
        <v>67</v>
      </c>
      <c r="L1632">
        <v>15.9700002670288</v>
      </c>
      <c r="M1632">
        <v>37.099998474121101</v>
      </c>
      <c r="N1632">
        <v>18.5</v>
      </c>
      <c r="O1632">
        <v>18.600000381469702</v>
      </c>
      <c r="P1632">
        <v>25.100000381469702</v>
      </c>
      <c r="Q1632">
        <v>27.700000762939499</v>
      </c>
      <c r="R1632">
        <v>29.399999618530298</v>
      </c>
      <c r="S1632">
        <v>25.100000381469702</v>
      </c>
      <c r="T1632">
        <v>1289</v>
      </c>
      <c r="U1632">
        <v>261</v>
      </c>
      <c r="V1632">
        <v>2</v>
      </c>
      <c r="W1632">
        <v>85</v>
      </c>
      <c r="X1632">
        <v>706</v>
      </c>
      <c r="Y1632">
        <v>15</v>
      </c>
      <c r="Z1632">
        <v>127</v>
      </c>
      <c r="AA1632">
        <v>706</v>
      </c>
      <c r="AB1632">
        <v>14.2875863436995</v>
      </c>
      <c r="AC1632">
        <v>3.9111017427759999E-2</v>
      </c>
      <c r="AD1632">
        <v>2.4551785464944502</v>
      </c>
      <c r="AE1632">
        <v>0.51120260296196796</v>
      </c>
      <c r="AF1632">
        <v>253.72241379310299</v>
      </c>
      <c r="AG1632">
        <f>IFERROR(AH1632*0.1, "N/A")</f>
        <v>6.0493103448275907</v>
      </c>
      <c r="AH1632">
        <v>60.493103448275903</v>
      </c>
      <c r="AI1632">
        <v>183.45081139926299</v>
      </c>
      <c r="AJ1632">
        <v>16.9637931034483</v>
      </c>
      <c r="AK1632">
        <v>65.565517241379297</v>
      </c>
    </row>
    <row r="1633" spans="1:37" x14ac:dyDescent="0.3">
      <c r="A1633">
        <v>1632</v>
      </c>
      <c r="B1633">
        <v>40.099997999999999</v>
      </c>
      <c r="C1633">
        <v>1.25583</v>
      </c>
      <c r="D1633">
        <v>9.6477799999999991</v>
      </c>
      <c r="E1633" t="s">
        <v>2839</v>
      </c>
      <c r="F1633" t="s">
        <v>2840</v>
      </c>
      <c r="G1633" t="s">
        <v>39</v>
      </c>
      <c r="H1633">
        <v>1977</v>
      </c>
      <c r="I1633">
        <v>26.200000762939499</v>
      </c>
      <c r="J1633">
        <v>12.699999809265099</v>
      </c>
      <c r="K1633">
        <v>69</v>
      </c>
      <c r="L1633">
        <v>16.0100002288818</v>
      </c>
      <c r="M1633">
        <v>36.200000762939503</v>
      </c>
      <c r="N1633">
        <v>17.899999618530298</v>
      </c>
      <c r="O1633">
        <v>18.299999237060501</v>
      </c>
      <c r="P1633">
        <v>24.100000381469702</v>
      </c>
      <c r="Q1633">
        <v>26.799999237060501</v>
      </c>
      <c r="R1633">
        <v>28.399999618530298</v>
      </c>
      <c r="S1633">
        <v>24.100000381469702</v>
      </c>
      <c r="T1633">
        <v>1266</v>
      </c>
      <c r="U1633">
        <v>249</v>
      </c>
      <c r="V1633">
        <v>1</v>
      </c>
      <c r="W1633">
        <v>89</v>
      </c>
      <c r="X1633">
        <v>731</v>
      </c>
      <c r="Y1633">
        <v>11</v>
      </c>
      <c r="Z1633">
        <v>132</v>
      </c>
      <c r="AA1633">
        <v>731</v>
      </c>
      <c r="AB1633">
        <v>33.9768493547652</v>
      </c>
      <c r="AC1633">
        <v>8.4293308742920004E-3</v>
      </c>
      <c r="AD1633">
        <v>10.3369113298877</v>
      </c>
      <c r="AE1633">
        <v>0.34286195039749101</v>
      </c>
      <c r="AF1633">
        <v>426.51801029159498</v>
      </c>
      <c r="AG1633">
        <f>IFERROR(AH1633*0.1, "N/A")</f>
        <v>6.0972555746140706</v>
      </c>
      <c r="AH1633">
        <v>60.972555746140699</v>
      </c>
      <c r="AI1633">
        <v>195.89725964188</v>
      </c>
      <c r="AJ1633">
        <v>17.5042881646655</v>
      </c>
      <c r="AK1633">
        <v>64.495711835334504</v>
      </c>
    </row>
    <row r="1634" spans="1:37" x14ac:dyDescent="0.3">
      <c r="A1634">
        <v>1633</v>
      </c>
      <c r="B1634">
        <v>3.5</v>
      </c>
      <c r="C1634">
        <v>1.25583</v>
      </c>
      <c r="D1634">
        <v>9.6477799999999991</v>
      </c>
      <c r="E1634" t="s">
        <v>2839</v>
      </c>
      <c r="F1634" t="s">
        <v>2841</v>
      </c>
      <c r="G1634" t="s">
        <v>37</v>
      </c>
      <c r="H1634">
        <v>1977</v>
      </c>
      <c r="I1634">
        <v>26.200000762939499</v>
      </c>
      <c r="J1634">
        <v>12.699999809265099</v>
      </c>
      <c r="K1634">
        <v>69</v>
      </c>
      <c r="L1634">
        <v>16.0100002288818</v>
      </c>
      <c r="M1634">
        <v>36.200000762939503</v>
      </c>
      <c r="N1634">
        <v>17.899999618530298</v>
      </c>
      <c r="O1634">
        <v>18.299999237060501</v>
      </c>
      <c r="P1634">
        <v>24.100000381469702</v>
      </c>
      <c r="Q1634">
        <v>26.799999237060501</v>
      </c>
      <c r="R1634">
        <v>28.399999618530298</v>
      </c>
      <c r="S1634">
        <v>24.100000381469702</v>
      </c>
      <c r="T1634">
        <v>1266</v>
      </c>
      <c r="U1634">
        <v>249</v>
      </c>
      <c r="V1634">
        <v>1</v>
      </c>
      <c r="W1634">
        <v>89</v>
      </c>
      <c r="X1634">
        <v>731</v>
      </c>
      <c r="Y1634">
        <v>11</v>
      </c>
      <c r="Z1634">
        <v>132</v>
      </c>
      <c r="AA1634">
        <v>731</v>
      </c>
      <c r="AB1634">
        <v>33.9768493547652</v>
      </c>
      <c r="AC1634">
        <v>8.4293308742920004E-3</v>
      </c>
      <c r="AD1634">
        <v>10.3369113298877</v>
      </c>
      <c r="AE1634">
        <v>0.34286195039749101</v>
      </c>
      <c r="AF1634">
        <v>426.51801029159498</v>
      </c>
      <c r="AG1634">
        <f>IFERROR(AH1634*0.1, "N/A")</f>
        <v>6.0972555746140706</v>
      </c>
      <c r="AH1634">
        <v>60.972555746140699</v>
      </c>
      <c r="AI1634">
        <v>195.89725964188</v>
      </c>
      <c r="AJ1634">
        <v>17.5042881646655</v>
      </c>
      <c r="AK1634">
        <v>64.495711835334504</v>
      </c>
    </row>
    <row r="1635" spans="1:37" x14ac:dyDescent="0.3">
      <c r="A1635">
        <v>1634</v>
      </c>
      <c r="B1635">
        <v>53.599997999999999</v>
      </c>
      <c r="C1635">
        <v>1.18333</v>
      </c>
      <c r="D1635">
        <v>9.6644400000000008</v>
      </c>
      <c r="E1635" t="s">
        <v>2842</v>
      </c>
      <c r="F1635" t="s">
        <v>2843</v>
      </c>
      <c r="G1635" t="s">
        <v>39</v>
      </c>
      <c r="H1635">
        <v>1977</v>
      </c>
      <c r="I1635">
        <v>25.7277589600662</v>
      </c>
      <c r="J1635">
        <v>12.627758843323299</v>
      </c>
      <c r="K1635">
        <v>68</v>
      </c>
      <c r="L1635">
        <v>16.161672299483701</v>
      </c>
      <c r="M1635">
        <v>35.727758960066197</v>
      </c>
      <c r="N1635">
        <v>17.299999237060501</v>
      </c>
      <c r="O1635">
        <v>18.4277583451107</v>
      </c>
      <c r="P1635">
        <v>23.6277591080501</v>
      </c>
      <c r="Q1635">
        <v>26.327757963640899</v>
      </c>
      <c r="R1635">
        <v>28.027758726580402</v>
      </c>
      <c r="S1635">
        <v>23.6277591080501</v>
      </c>
      <c r="T1635">
        <v>1303.1103448275901</v>
      </c>
      <c r="U1635">
        <v>259</v>
      </c>
      <c r="V1635">
        <v>2</v>
      </c>
      <c r="W1635">
        <v>87</v>
      </c>
      <c r="X1635">
        <v>741.72241379310299</v>
      </c>
      <c r="Y1635">
        <v>13.277586206896601</v>
      </c>
      <c r="Z1635">
        <v>139</v>
      </c>
      <c r="AA1635">
        <v>741.72241379310299</v>
      </c>
      <c r="AB1635">
        <v>48.852584891483701</v>
      </c>
      <c r="AC1635">
        <v>5.3669393929684998E-2</v>
      </c>
      <c r="AD1635">
        <v>4.73853916032561</v>
      </c>
      <c r="AE1635">
        <v>0.63915514945983898</v>
      </c>
      <c r="AF1635">
        <v>467.55862068965502</v>
      </c>
      <c r="AG1635">
        <f>IFERROR(AH1635*0.1, "N/A")</f>
        <v>5.9067241379310307</v>
      </c>
      <c r="AH1635">
        <v>59.067241379310303</v>
      </c>
      <c r="AI1635">
        <v>269.65243788094398</v>
      </c>
      <c r="AJ1635">
        <v>21.232758620689701</v>
      </c>
      <c r="AK1635">
        <v>61.9120689655172</v>
      </c>
    </row>
    <row r="1636" spans="1:37" x14ac:dyDescent="0.3">
      <c r="A1636">
        <v>1635</v>
      </c>
      <c r="B1636">
        <v>25.799999</v>
      </c>
      <c r="C1636">
        <v>1.18333</v>
      </c>
      <c r="D1636">
        <v>9.6644400000000008</v>
      </c>
      <c r="E1636" t="s">
        <v>2842</v>
      </c>
      <c r="F1636" t="s">
        <v>2844</v>
      </c>
      <c r="G1636" t="s">
        <v>37</v>
      </c>
      <c r="H1636">
        <v>1977</v>
      </c>
      <c r="I1636">
        <v>25.7277589600662</v>
      </c>
      <c r="J1636">
        <v>12.627758843323299</v>
      </c>
      <c r="K1636">
        <v>68</v>
      </c>
      <c r="L1636">
        <v>16.161672299483701</v>
      </c>
      <c r="M1636">
        <v>35.727758960066197</v>
      </c>
      <c r="N1636">
        <v>17.299999237060501</v>
      </c>
      <c r="O1636">
        <v>18.4277583451107</v>
      </c>
      <c r="P1636">
        <v>23.6277591080501</v>
      </c>
      <c r="Q1636">
        <v>26.327757963640899</v>
      </c>
      <c r="R1636">
        <v>28.027758726580402</v>
      </c>
      <c r="S1636">
        <v>23.6277591080501</v>
      </c>
      <c r="T1636">
        <v>1303.1103448275901</v>
      </c>
      <c r="U1636">
        <v>259</v>
      </c>
      <c r="V1636">
        <v>2</v>
      </c>
      <c r="W1636">
        <v>87</v>
      </c>
      <c r="X1636">
        <v>741.72241379310299</v>
      </c>
      <c r="Y1636">
        <v>13.277586206896601</v>
      </c>
      <c r="Z1636">
        <v>139</v>
      </c>
      <c r="AA1636">
        <v>741.72241379310299</v>
      </c>
      <c r="AB1636">
        <v>48.852584891483701</v>
      </c>
      <c r="AC1636">
        <v>5.3669393929684998E-2</v>
      </c>
      <c r="AD1636">
        <v>4.73853916032561</v>
      </c>
      <c r="AE1636">
        <v>0.63915514945983898</v>
      </c>
      <c r="AF1636">
        <v>467.55862068965502</v>
      </c>
      <c r="AG1636">
        <f>IFERROR(AH1636*0.1, "N/A")</f>
        <v>5.9067241379310307</v>
      </c>
      <c r="AH1636">
        <v>59.067241379310303</v>
      </c>
      <c r="AI1636">
        <v>269.65243788094398</v>
      </c>
      <c r="AJ1636">
        <v>21.232758620689701</v>
      </c>
      <c r="AK1636">
        <v>61.9120689655172</v>
      </c>
    </row>
    <row r="1637" spans="1:37" x14ac:dyDescent="0.3">
      <c r="A1637">
        <v>1636</v>
      </c>
      <c r="B1637">
        <v>42.599997999999999</v>
      </c>
      <c r="C1637">
        <v>1.1401600000000001</v>
      </c>
      <c r="D1637">
        <v>9.6710100000000008</v>
      </c>
      <c r="E1637" t="s">
        <v>2845</v>
      </c>
      <c r="F1637" t="s">
        <v>2846</v>
      </c>
      <c r="G1637" t="s">
        <v>39</v>
      </c>
      <c r="H1637">
        <v>1977</v>
      </c>
      <c r="I1637">
        <v>26.299999237060501</v>
      </c>
      <c r="J1637">
        <v>12.699999809265099</v>
      </c>
      <c r="K1637">
        <v>68</v>
      </c>
      <c r="L1637">
        <v>16.399999618530298</v>
      </c>
      <c r="M1637">
        <v>36.400001525878899</v>
      </c>
      <c r="N1637">
        <v>17.799999237060501</v>
      </c>
      <c r="O1637">
        <v>18.600000381469702</v>
      </c>
      <c r="P1637">
        <v>24.299999237060501</v>
      </c>
      <c r="Q1637">
        <v>26.799999237060501</v>
      </c>
      <c r="R1637">
        <v>28.700000762939499</v>
      </c>
      <c r="S1637">
        <v>24.299999237060501</v>
      </c>
      <c r="T1637">
        <v>1308</v>
      </c>
      <c r="U1637">
        <v>259</v>
      </c>
      <c r="V1637">
        <v>1</v>
      </c>
      <c r="W1637">
        <v>86</v>
      </c>
      <c r="X1637">
        <v>732</v>
      </c>
      <c r="Y1637">
        <v>13</v>
      </c>
      <c r="Z1637">
        <v>134</v>
      </c>
      <c r="AA1637">
        <v>732</v>
      </c>
      <c r="AB1637">
        <v>24.519080460276399</v>
      </c>
      <c r="AC1637">
        <v>1.7929202203296E-2</v>
      </c>
      <c r="AD1637">
        <v>1.98269984740572</v>
      </c>
      <c r="AE1637">
        <v>0.65722686052322399</v>
      </c>
      <c r="AF1637">
        <v>360.53608247422699</v>
      </c>
      <c r="AG1637">
        <f>IFERROR(AH1637*0.1, "N/A")</f>
        <v>6.0697594501718202</v>
      </c>
      <c r="AH1637">
        <v>60.6975945017182</v>
      </c>
      <c r="AI1637">
        <v>201.00344672973199</v>
      </c>
      <c r="AJ1637">
        <v>17.676975945017201</v>
      </c>
      <c r="AK1637">
        <v>62.9415807560137</v>
      </c>
    </row>
    <row r="1638" spans="1:37" x14ac:dyDescent="0.3">
      <c r="A1638">
        <v>1637</v>
      </c>
      <c r="B1638">
        <v>14.7</v>
      </c>
      <c r="C1638">
        <v>1.1401600000000001</v>
      </c>
      <c r="D1638">
        <v>9.6710100000000008</v>
      </c>
      <c r="E1638" t="s">
        <v>2845</v>
      </c>
      <c r="F1638" t="s">
        <v>2847</v>
      </c>
      <c r="G1638" t="s">
        <v>37</v>
      </c>
      <c r="H1638">
        <v>1977</v>
      </c>
      <c r="I1638">
        <v>26.299999237060501</v>
      </c>
      <c r="J1638">
        <v>12.699999809265099</v>
      </c>
      <c r="K1638">
        <v>68</v>
      </c>
      <c r="L1638">
        <v>16.399999618530298</v>
      </c>
      <c r="M1638">
        <v>36.400001525878899</v>
      </c>
      <c r="N1638">
        <v>17.799999237060501</v>
      </c>
      <c r="O1638">
        <v>18.600000381469702</v>
      </c>
      <c r="P1638">
        <v>24.299999237060501</v>
      </c>
      <c r="Q1638">
        <v>26.799999237060501</v>
      </c>
      <c r="R1638">
        <v>28.700000762939499</v>
      </c>
      <c r="S1638">
        <v>24.299999237060501</v>
      </c>
      <c r="T1638">
        <v>1308</v>
      </c>
      <c r="U1638">
        <v>259</v>
      </c>
      <c r="V1638">
        <v>1</v>
      </c>
      <c r="W1638">
        <v>86</v>
      </c>
      <c r="X1638">
        <v>732</v>
      </c>
      <c r="Y1638">
        <v>13</v>
      </c>
      <c r="Z1638">
        <v>134</v>
      </c>
      <c r="AA1638">
        <v>732</v>
      </c>
      <c r="AB1638">
        <v>24.519080460276399</v>
      </c>
      <c r="AC1638">
        <v>1.7929202203296E-2</v>
      </c>
      <c r="AD1638">
        <v>1.98269984740572</v>
      </c>
      <c r="AE1638">
        <v>0.65722686052322399</v>
      </c>
      <c r="AF1638">
        <v>360.53608247422699</v>
      </c>
      <c r="AG1638">
        <f>IFERROR(AH1638*0.1, "N/A")</f>
        <v>6.0697594501718202</v>
      </c>
      <c r="AH1638">
        <v>60.6975945017182</v>
      </c>
      <c r="AI1638">
        <v>201.00344672973199</v>
      </c>
      <c r="AJ1638">
        <v>17.676975945017201</v>
      </c>
      <c r="AK1638">
        <v>62.9415807560137</v>
      </c>
    </row>
    <row r="1639" spans="1:37" x14ac:dyDescent="0.3">
      <c r="A1639">
        <v>1638</v>
      </c>
      <c r="B1639">
        <v>75.800003000000004</v>
      </c>
      <c r="C1639">
        <v>1.1825000000000001</v>
      </c>
      <c r="D1639">
        <v>9.7227800000000002</v>
      </c>
      <c r="E1639" t="s">
        <v>2848</v>
      </c>
      <c r="F1639" t="s">
        <v>2849</v>
      </c>
      <c r="G1639" t="s">
        <v>39</v>
      </c>
      <c r="H1639">
        <v>1977</v>
      </c>
      <c r="I1639">
        <v>26.200000762939499</v>
      </c>
      <c r="J1639">
        <v>12.699999809265099</v>
      </c>
      <c r="K1639">
        <v>68</v>
      </c>
      <c r="L1639">
        <v>16.165670198263602</v>
      </c>
      <c r="M1639">
        <v>36.200000762939503</v>
      </c>
      <c r="N1639">
        <v>17.700000762939499</v>
      </c>
      <c r="O1639">
        <v>18.5</v>
      </c>
      <c r="P1639">
        <v>24.1938151723331</v>
      </c>
      <c r="Q1639">
        <v>26.700000762939499</v>
      </c>
      <c r="R1639">
        <v>28.4938144093936</v>
      </c>
      <c r="S1639">
        <v>24.1938151723331</v>
      </c>
      <c r="T1639">
        <v>1280.8762886597899</v>
      </c>
      <c r="U1639">
        <v>256</v>
      </c>
      <c r="V1639">
        <v>1</v>
      </c>
      <c r="W1639">
        <v>88</v>
      </c>
      <c r="X1639">
        <v>733.061855670103</v>
      </c>
      <c r="Y1639">
        <v>11</v>
      </c>
      <c r="Z1639">
        <v>128.938144329897</v>
      </c>
      <c r="AA1639">
        <v>733.061855670103</v>
      </c>
      <c r="AB1639">
        <v>2.6128931733750802</v>
      </c>
      <c r="AC1639">
        <v>1.1814343254577999</v>
      </c>
      <c r="AD1639">
        <v>2.2596876709321898</v>
      </c>
      <c r="AE1639">
        <v>0.38553845882415799</v>
      </c>
      <c r="AF1639">
        <v>367.59278350515501</v>
      </c>
      <c r="AG1639">
        <f>IFERROR(AH1639*0.1, "N/A")</f>
        <v>6.3560137457044705</v>
      </c>
      <c r="AH1639">
        <v>63.560137457044704</v>
      </c>
      <c r="AI1639">
        <v>272.92971015222298</v>
      </c>
      <c r="AJ1639">
        <v>21.109965635738799</v>
      </c>
      <c r="AK1639">
        <v>57.690721649484502</v>
      </c>
    </row>
    <row r="1640" spans="1:37" x14ac:dyDescent="0.3">
      <c r="A1640">
        <v>1639</v>
      </c>
      <c r="B1640">
        <v>7.6</v>
      </c>
      <c r="C1640">
        <v>1.1825000000000001</v>
      </c>
      <c r="D1640">
        <v>9.7227800000000002</v>
      </c>
      <c r="E1640" t="s">
        <v>2848</v>
      </c>
      <c r="F1640" t="s">
        <v>2850</v>
      </c>
      <c r="G1640" t="s">
        <v>37</v>
      </c>
      <c r="H1640">
        <v>1977</v>
      </c>
      <c r="I1640">
        <v>26.200000762939499</v>
      </c>
      <c r="J1640">
        <v>12.699999809265099</v>
      </c>
      <c r="K1640">
        <v>68</v>
      </c>
      <c r="L1640">
        <v>16.165670198263602</v>
      </c>
      <c r="M1640">
        <v>36.200000762939503</v>
      </c>
      <c r="N1640">
        <v>17.700000762939499</v>
      </c>
      <c r="O1640">
        <v>18.5</v>
      </c>
      <c r="P1640">
        <v>24.1938151723331</v>
      </c>
      <c r="Q1640">
        <v>26.700000762939499</v>
      </c>
      <c r="R1640">
        <v>28.4938144093936</v>
      </c>
      <c r="S1640">
        <v>24.1938151723331</v>
      </c>
      <c r="T1640">
        <v>1280.8762886597899</v>
      </c>
      <c r="U1640">
        <v>256</v>
      </c>
      <c r="V1640">
        <v>1</v>
      </c>
      <c r="W1640">
        <v>88</v>
      </c>
      <c r="X1640">
        <v>733.061855670103</v>
      </c>
      <c r="Y1640">
        <v>11</v>
      </c>
      <c r="Z1640">
        <v>128.938144329897</v>
      </c>
      <c r="AA1640">
        <v>733.061855670103</v>
      </c>
      <c r="AB1640">
        <v>2.6128931733750802</v>
      </c>
      <c r="AC1640">
        <v>1.1814343254577999</v>
      </c>
      <c r="AD1640">
        <v>2.2596876709321898</v>
      </c>
      <c r="AE1640">
        <v>0.38553845882415799</v>
      </c>
      <c r="AF1640">
        <v>367.59278350515501</v>
      </c>
      <c r="AG1640">
        <f>IFERROR(AH1640*0.1, "N/A")</f>
        <v>6.3560137457044705</v>
      </c>
      <c r="AH1640">
        <v>63.560137457044704</v>
      </c>
      <c r="AI1640">
        <v>272.92971015222298</v>
      </c>
      <c r="AJ1640">
        <v>21.109965635738799</v>
      </c>
      <c r="AK1640">
        <v>57.690721649484502</v>
      </c>
    </row>
    <row r="1641" spans="1:37" x14ac:dyDescent="0.3">
      <c r="A1641">
        <v>1640</v>
      </c>
      <c r="B1641">
        <v>13.4</v>
      </c>
      <c r="C1641">
        <v>37.666697999999997</v>
      </c>
      <c r="D1641">
        <v>-3.7</v>
      </c>
      <c r="E1641" t="s">
        <v>2851</v>
      </c>
      <c r="F1641" t="s">
        <v>2852</v>
      </c>
      <c r="G1641" t="s">
        <v>39</v>
      </c>
      <c r="H1641">
        <v>1987</v>
      </c>
      <c r="I1641">
        <v>19.886643367827698</v>
      </c>
      <c r="J1641">
        <v>11.120211162131399</v>
      </c>
      <c r="K1641">
        <v>68.056239015817198</v>
      </c>
      <c r="L1641">
        <v>16.534657463247999</v>
      </c>
      <c r="M1641">
        <v>28.681019637203399</v>
      </c>
      <c r="N1641">
        <v>12.466432439002901</v>
      </c>
      <c r="O1641">
        <v>16.214587535087201</v>
      </c>
      <c r="P1641">
        <v>21.181019637203399</v>
      </c>
      <c r="Q1641">
        <v>17.572056406621101</v>
      </c>
      <c r="R1641">
        <v>21.781019063322699</v>
      </c>
      <c r="S1641">
        <v>17.572056406621101</v>
      </c>
      <c r="T1641">
        <v>1161.4007029877</v>
      </c>
      <c r="U1641">
        <v>207.65729349736401</v>
      </c>
      <c r="V1641">
        <v>12.0949033391916</v>
      </c>
      <c r="W1641">
        <v>74.848857644991199</v>
      </c>
      <c r="X1641">
        <v>480.207381370826</v>
      </c>
      <c r="Y1641">
        <v>45.878734622144101</v>
      </c>
      <c r="Z1641">
        <v>340.13356766256601</v>
      </c>
      <c r="AA1641">
        <v>45.878734622144101</v>
      </c>
      <c r="AB1641">
        <v>11.809123865539901</v>
      </c>
      <c r="AC1641">
        <v>5.2141826946831997E-2</v>
      </c>
      <c r="AD1641">
        <v>5.9363245046411102</v>
      </c>
      <c r="AE1641">
        <v>0.38501405202651101</v>
      </c>
      <c r="AF1641">
        <v>1339.7627416520199</v>
      </c>
      <c r="AG1641">
        <f>IFERROR(AH1641*0.1, "N/A")</f>
        <v>5.6000000000000005</v>
      </c>
      <c r="AH1641">
        <v>56</v>
      </c>
      <c r="AI1641">
        <v>302.032357536007</v>
      </c>
      <c r="AJ1641">
        <v>36</v>
      </c>
      <c r="AK1641">
        <v>42</v>
      </c>
    </row>
    <row r="1642" spans="1:37" x14ac:dyDescent="0.3">
      <c r="A1642">
        <v>1641</v>
      </c>
      <c r="B1642">
        <v>40</v>
      </c>
      <c r="C1642">
        <v>39.099997999999999</v>
      </c>
      <c r="D1642">
        <v>-5.0667</v>
      </c>
      <c r="E1642" t="s">
        <v>2853</v>
      </c>
      <c r="F1642" t="s">
        <v>2854</v>
      </c>
      <c r="G1642" t="s">
        <v>39</v>
      </c>
      <c r="H1642">
        <v>1987</v>
      </c>
      <c r="I1642" t="s">
        <v>729</v>
      </c>
      <c r="J1642" t="s">
        <v>729</v>
      </c>
      <c r="K1642" t="s">
        <v>729</v>
      </c>
      <c r="L1642" t="s">
        <v>729</v>
      </c>
      <c r="M1642" t="s">
        <v>729</v>
      </c>
      <c r="N1642" t="s">
        <v>729</v>
      </c>
      <c r="O1642" t="s">
        <v>729</v>
      </c>
      <c r="P1642" t="s">
        <v>729</v>
      </c>
      <c r="Q1642" t="s">
        <v>729</v>
      </c>
      <c r="R1642" t="s">
        <v>729</v>
      </c>
      <c r="S1642" t="s">
        <v>729</v>
      </c>
      <c r="T1642" t="s">
        <v>729</v>
      </c>
      <c r="U1642" t="s">
        <v>729</v>
      </c>
      <c r="V1642" t="s">
        <v>729</v>
      </c>
      <c r="W1642" t="s">
        <v>729</v>
      </c>
      <c r="X1642" t="s">
        <v>729</v>
      </c>
      <c r="Y1642" t="s">
        <v>729</v>
      </c>
      <c r="Z1642" t="s">
        <v>729</v>
      </c>
      <c r="AA1642" t="s">
        <v>729</v>
      </c>
      <c r="AB1642" t="s">
        <v>729</v>
      </c>
      <c r="AC1642" t="s">
        <v>729</v>
      </c>
      <c r="AD1642" t="s">
        <v>729</v>
      </c>
      <c r="AE1642" t="s">
        <v>729</v>
      </c>
      <c r="AF1642" t="s">
        <v>729</v>
      </c>
      <c r="AG1642" t="str">
        <f>IFERROR(AH1642*0.1, "N/A")</f>
        <v>N/A</v>
      </c>
      <c r="AH1642" t="s">
        <v>729</v>
      </c>
      <c r="AI1642" t="s">
        <v>729</v>
      </c>
      <c r="AJ1642" t="s">
        <v>729</v>
      </c>
      <c r="AK1642" t="s">
        <v>729</v>
      </c>
    </row>
    <row r="1643" spans="1:37" x14ac:dyDescent="0.3">
      <c r="A1643">
        <v>1642</v>
      </c>
      <c r="B1643">
        <v>80</v>
      </c>
      <c r="C1643">
        <v>38.765301000000001</v>
      </c>
      <c r="D1643">
        <v>-5.1491699999999998</v>
      </c>
      <c r="E1643" t="s">
        <v>2855</v>
      </c>
      <c r="F1643" t="s">
        <v>2856</v>
      </c>
      <c r="G1643" t="s">
        <v>39</v>
      </c>
      <c r="H1643">
        <v>1987</v>
      </c>
      <c r="I1643">
        <v>25.100000381469702</v>
      </c>
      <c r="J1643">
        <v>10</v>
      </c>
      <c r="K1643">
        <v>66</v>
      </c>
      <c r="L1643">
        <v>16.399999618530298</v>
      </c>
      <c r="M1643">
        <v>33.099998474121101</v>
      </c>
      <c r="N1643">
        <v>18</v>
      </c>
      <c r="O1643">
        <v>15.1000003814697</v>
      </c>
      <c r="P1643">
        <v>26</v>
      </c>
      <c r="Q1643">
        <v>23.100000381469702</v>
      </c>
      <c r="R1643">
        <v>27.100000381469702</v>
      </c>
      <c r="S1643">
        <v>23</v>
      </c>
      <c r="T1643">
        <v>1297</v>
      </c>
      <c r="U1643">
        <v>195</v>
      </c>
      <c r="V1643">
        <v>43</v>
      </c>
      <c r="W1643">
        <v>48</v>
      </c>
      <c r="X1643">
        <v>520</v>
      </c>
      <c r="Y1643">
        <v>185</v>
      </c>
      <c r="Z1643">
        <v>231</v>
      </c>
      <c r="AA1643">
        <v>204</v>
      </c>
      <c r="AB1643">
        <v>16.866839237446101</v>
      </c>
      <c r="AC1643">
        <v>9.4650081061409992E-3</v>
      </c>
      <c r="AD1643">
        <v>4.1064908462877296</v>
      </c>
      <c r="AE1643">
        <v>0.418809933448129</v>
      </c>
      <c r="AF1643">
        <v>208.46771378708601</v>
      </c>
      <c r="AG1643">
        <f>IFERROR(AH1643*0.1, "N/A")</f>
        <v>5.7015706806282704</v>
      </c>
      <c r="AH1643">
        <v>57.015706806282701</v>
      </c>
      <c r="AI1643">
        <v>276.45402358422899</v>
      </c>
      <c r="AJ1643">
        <v>35.492146596858603</v>
      </c>
      <c r="AK1643">
        <v>49</v>
      </c>
    </row>
    <row r="1644" spans="1:37" x14ac:dyDescent="0.3">
      <c r="A1644">
        <v>1643</v>
      </c>
      <c r="B1644">
        <v>0.8</v>
      </c>
      <c r="C1644">
        <v>38.765301000000001</v>
      </c>
      <c r="D1644">
        <v>-5.1491699999999998</v>
      </c>
      <c r="E1644" t="s">
        <v>2855</v>
      </c>
      <c r="F1644" t="s">
        <v>2857</v>
      </c>
      <c r="G1644" t="s">
        <v>37</v>
      </c>
      <c r="H1644">
        <v>1987</v>
      </c>
      <c r="I1644">
        <v>25.100000381469702</v>
      </c>
      <c r="J1644">
        <v>10</v>
      </c>
      <c r="K1644">
        <v>66</v>
      </c>
      <c r="L1644">
        <v>16.399999618530298</v>
      </c>
      <c r="M1644">
        <v>33.099998474121101</v>
      </c>
      <c r="N1644">
        <v>18</v>
      </c>
      <c r="O1644">
        <v>15.1000003814697</v>
      </c>
      <c r="P1644">
        <v>26</v>
      </c>
      <c r="Q1644">
        <v>23.100000381469702</v>
      </c>
      <c r="R1644">
        <v>27.100000381469702</v>
      </c>
      <c r="S1644">
        <v>23</v>
      </c>
      <c r="T1644">
        <v>1297</v>
      </c>
      <c r="U1644">
        <v>195</v>
      </c>
      <c r="V1644">
        <v>43</v>
      </c>
      <c r="W1644">
        <v>48</v>
      </c>
      <c r="X1644">
        <v>520</v>
      </c>
      <c r="Y1644">
        <v>185</v>
      </c>
      <c r="Z1644">
        <v>231</v>
      </c>
      <c r="AA1644">
        <v>204</v>
      </c>
      <c r="AB1644">
        <v>16.866839237446101</v>
      </c>
      <c r="AC1644">
        <v>9.4650081061409992E-3</v>
      </c>
      <c r="AD1644">
        <v>4.1064908462877296</v>
      </c>
      <c r="AE1644">
        <v>0.418809933448129</v>
      </c>
      <c r="AF1644">
        <v>208.46771378708601</v>
      </c>
      <c r="AG1644">
        <f>IFERROR(AH1644*0.1, "N/A")</f>
        <v>5.7015706806282704</v>
      </c>
      <c r="AH1644">
        <v>57.015706806282701</v>
      </c>
      <c r="AI1644">
        <v>276.45402358422899</v>
      </c>
      <c r="AJ1644">
        <v>35.492146596858603</v>
      </c>
      <c r="AK1644">
        <v>49</v>
      </c>
    </row>
    <row r="1645" spans="1:37" x14ac:dyDescent="0.3">
      <c r="A1645">
        <v>1644</v>
      </c>
      <c r="B1645">
        <v>40.799999</v>
      </c>
      <c r="C1645">
        <v>38.783298000000002</v>
      </c>
      <c r="D1645">
        <v>-5.1666999999999996</v>
      </c>
      <c r="E1645" t="s">
        <v>2858</v>
      </c>
      <c r="F1645" t="s">
        <v>2859</v>
      </c>
      <c r="G1645" t="s">
        <v>39</v>
      </c>
      <c r="H1645">
        <v>1987</v>
      </c>
      <c r="I1645">
        <v>25.279545003717601</v>
      </c>
      <c r="J1645">
        <v>9.9342654835094102</v>
      </c>
      <c r="K1645">
        <v>66</v>
      </c>
      <c r="L1645">
        <v>16.231538052325501</v>
      </c>
      <c r="M1645">
        <v>33.179545749317498</v>
      </c>
      <c r="N1645">
        <v>18.179546139456999</v>
      </c>
      <c r="O1645">
        <v>15</v>
      </c>
      <c r="P1645">
        <v>26.098252123052401</v>
      </c>
      <c r="Q1645">
        <v>23.265734025648399</v>
      </c>
      <c r="R1645">
        <v>27.279545003717601</v>
      </c>
      <c r="S1645">
        <v>23.179546139456999</v>
      </c>
      <c r="T1645">
        <v>1267.3951048951001</v>
      </c>
      <c r="U1645">
        <v>194.01748251748299</v>
      </c>
      <c r="V1645">
        <v>40.204545454545503</v>
      </c>
      <c r="W1645">
        <v>49</v>
      </c>
      <c r="X1645">
        <v>510.28846153846098</v>
      </c>
      <c r="Y1645">
        <v>182.23951048951099</v>
      </c>
      <c r="Z1645">
        <v>220.458041958042</v>
      </c>
      <c r="AA1645">
        <v>201.222027972028</v>
      </c>
      <c r="AB1645">
        <v>3.0382847019008801</v>
      </c>
      <c r="AC1645">
        <v>43.927416668968696</v>
      </c>
      <c r="AD1645">
        <v>2.5439907389504102</v>
      </c>
      <c r="AE1645">
        <v>0.52558317176111902</v>
      </c>
      <c r="AF1645">
        <v>183.68531468531501</v>
      </c>
      <c r="AG1645">
        <f>IFERROR(AH1645*0.1, "N/A")</f>
        <v>5.5706293706293701</v>
      </c>
      <c r="AH1645">
        <v>55.7062937062937</v>
      </c>
      <c r="AI1645">
        <v>125.31832953766499</v>
      </c>
      <c r="AJ1645">
        <v>38.875874125874098</v>
      </c>
      <c r="AK1645">
        <v>46.8479020979021</v>
      </c>
    </row>
    <row r="1646" spans="1:37" x14ac:dyDescent="0.3">
      <c r="A1646">
        <v>1645</v>
      </c>
      <c r="B1646">
        <v>0</v>
      </c>
      <c r="C1646">
        <v>39.766700999999998</v>
      </c>
      <c r="D1646">
        <v>-5.25</v>
      </c>
      <c r="E1646" t="s">
        <v>2860</v>
      </c>
      <c r="F1646" t="s">
        <v>2861</v>
      </c>
      <c r="G1646" t="s">
        <v>37</v>
      </c>
      <c r="H1646">
        <v>1993</v>
      </c>
      <c r="I1646">
        <v>25.700000762939499</v>
      </c>
      <c r="J1646">
        <v>8.3999996185302699</v>
      </c>
      <c r="K1646">
        <v>66</v>
      </c>
      <c r="L1646">
        <v>12.8800001144409</v>
      </c>
      <c r="M1646">
        <v>32.099998474121101</v>
      </c>
      <c r="N1646">
        <v>19.5</v>
      </c>
      <c r="O1646">
        <v>12.6000003814697</v>
      </c>
      <c r="P1646">
        <v>26.5</v>
      </c>
      <c r="Q1646">
        <v>24</v>
      </c>
      <c r="R1646">
        <v>27.299999237060501</v>
      </c>
      <c r="S1646">
        <v>24</v>
      </c>
      <c r="T1646">
        <v>1339</v>
      </c>
      <c r="U1646">
        <v>299</v>
      </c>
      <c r="V1646">
        <v>20</v>
      </c>
      <c r="W1646">
        <v>79</v>
      </c>
      <c r="X1646">
        <v>715</v>
      </c>
      <c r="Y1646">
        <v>86</v>
      </c>
      <c r="Z1646">
        <v>289</v>
      </c>
      <c r="AA1646">
        <v>86</v>
      </c>
      <c r="AB1646">
        <v>5.0547994177586899</v>
      </c>
      <c r="AC1646">
        <v>0.16254353307083499</v>
      </c>
      <c r="AD1646">
        <v>2.55638920532679</v>
      </c>
      <c r="AE1646">
        <v>0.59190452098846402</v>
      </c>
      <c r="AF1646">
        <v>11.591623036649199</v>
      </c>
      <c r="AG1646">
        <f>IFERROR(AH1646*0.1, "N/A")</f>
        <v>5.2431064572425798</v>
      </c>
      <c r="AH1646">
        <v>52.431064572425797</v>
      </c>
      <c r="AI1646">
        <v>189.637944512758</v>
      </c>
      <c r="AJ1646">
        <v>33.445026178010501</v>
      </c>
      <c r="AK1646">
        <v>47.930191972076798</v>
      </c>
    </row>
    <row r="1647" spans="1:37" x14ac:dyDescent="0.3">
      <c r="A1647">
        <v>1646</v>
      </c>
      <c r="B1647">
        <v>0</v>
      </c>
      <c r="C1647">
        <v>39.766700999999998</v>
      </c>
      <c r="D1647">
        <v>-5.25</v>
      </c>
      <c r="E1647" t="s">
        <v>2860</v>
      </c>
      <c r="F1647" t="s">
        <v>2862</v>
      </c>
      <c r="G1647" t="s">
        <v>39</v>
      </c>
      <c r="H1647">
        <v>1993</v>
      </c>
      <c r="I1647">
        <v>25.700000762939499</v>
      </c>
      <c r="J1647">
        <v>8.3999996185302699</v>
      </c>
      <c r="K1647">
        <v>66</v>
      </c>
      <c r="L1647">
        <v>12.8800001144409</v>
      </c>
      <c r="M1647">
        <v>32.099998474121101</v>
      </c>
      <c r="N1647">
        <v>19.5</v>
      </c>
      <c r="O1647">
        <v>12.6000003814697</v>
      </c>
      <c r="P1647">
        <v>26.5</v>
      </c>
      <c r="Q1647">
        <v>24</v>
      </c>
      <c r="R1647">
        <v>27.299999237060501</v>
      </c>
      <c r="S1647">
        <v>24</v>
      </c>
      <c r="T1647">
        <v>1339</v>
      </c>
      <c r="U1647">
        <v>299</v>
      </c>
      <c r="V1647">
        <v>20</v>
      </c>
      <c r="W1647">
        <v>79</v>
      </c>
      <c r="X1647">
        <v>715</v>
      </c>
      <c r="Y1647">
        <v>86</v>
      </c>
      <c r="Z1647">
        <v>289</v>
      </c>
      <c r="AA1647">
        <v>86</v>
      </c>
      <c r="AB1647">
        <v>5.0547994177586899</v>
      </c>
      <c r="AC1647">
        <v>0.16254353307083499</v>
      </c>
      <c r="AD1647">
        <v>2.55638920532679</v>
      </c>
      <c r="AE1647">
        <v>0.59190452098846402</v>
      </c>
      <c r="AF1647">
        <v>11.591623036649199</v>
      </c>
      <c r="AG1647">
        <f>IFERROR(AH1647*0.1, "N/A")</f>
        <v>5.2431064572425798</v>
      </c>
      <c r="AH1647">
        <v>52.431064572425797</v>
      </c>
      <c r="AI1647">
        <v>189.637944512758</v>
      </c>
      <c r="AJ1647">
        <v>33.445026178010501</v>
      </c>
      <c r="AK1647">
        <v>47.930191972076798</v>
      </c>
    </row>
    <row r="1648" spans="1:37" x14ac:dyDescent="0.3">
      <c r="A1648">
        <v>1647</v>
      </c>
      <c r="B1648">
        <v>1.5</v>
      </c>
      <c r="C1648">
        <v>39.683300000000003</v>
      </c>
      <c r="D1648">
        <v>-5.3166700000000002</v>
      </c>
      <c r="E1648" t="s">
        <v>2863</v>
      </c>
      <c r="F1648" t="s">
        <v>2864</v>
      </c>
      <c r="G1648" t="s">
        <v>37</v>
      </c>
      <c r="H1648">
        <v>1993</v>
      </c>
      <c r="I1648">
        <v>25.700000762939499</v>
      </c>
      <c r="J1648">
        <v>8.4780246075288694</v>
      </c>
      <c r="K1648">
        <v>66</v>
      </c>
      <c r="L1648">
        <v>13.0919750872953</v>
      </c>
      <c r="M1648">
        <v>32.178024951322598</v>
      </c>
      <c r="N1648">
        <v>19.478024607528901</v>
      </c>
      <c r="O1648">
        <v>12.699999809265099</v>
      </c>
      <c r="P1648">
        <v>26.478024607528901</v>
      </c>
      <c r="Q1648">
        <v>24.290123075320398</v>
      </c>
      <c r="R1648">
        <v>27.278024263735201</v>
      </c>
      <c r="S1648">
        <v>23.978024607528901</v>
      </c>
      <c r="T1648">
        <v>1830.78024691358</v>
      </c>
      <c r="U1648">
        <v>477.56049382715997</v>
      </c>
      <c r="V1648">
        <v>30</v>
      </c>
      <c r="W1648">
        <v>95</v>
      </c>
      <c r="X1648">
        <v>1090.1209876543201</v>
      </c>
      <c r="Y1648">
        <v>128.439506172839</v>
      </c>
      <c r="Z1648">
        <v>302</v>
      </c>
      <c r="AA1648">
        <v>129.21975308642001</v>
      </c>
      <c r="AB1648">
        <v>6.0454549389285601</v>
      </c>
      <c r="AC1648">
        <v>0.42376053632868699</v>
      </c>
      <c r="AD1648">
        <v>6.39717486855033</v>
      </c>
      <c r="AE1648">
        <v>0.25992119312286399</v>
      </c>
      <c r="AF1648">
        <v>18.795454545454501</v>
      </c>
      <c r="AG1648">
        <f>IFERROR(AH1648*0.1, "N/A")</f>
        <v>4.8451048951049005</v>
      </c>
      <c r="AH1648">
        <v>48.451048951049003</v>
      </c>
      <c r="AI1648">
        <v>260.65469381692498</v>
      </c>
      <c r="AJ1648">
        <v>27.312937062937099</v>
      </c>
      <c r="AK1648">
        <v>54.977272727272698</v>
      </c>
    </row>
    <row r="1649" spans="1:37" x14ac:dyDescent="0.3">
      <c r="A1649">
        <v>1648</v>
      </c>
      <c r="B1649">
        <v>1.5</v>
      </c>
      <c r="C1649">
        <v>39.683300000000003</v>
      </c>
      <c r="D1649">
        <v>-5.3166700000000002</v>
      </c>
      <c r="E1649" t="s">
        <v>2863</v>
      </c>
      <c r="F1649" t="s">
        <v>2865</v>
      </c>
      <c r="G1649" t="s">
        <v>39</v>
      </c>
      <c r="H1649">
        <v>1993</v>
      </c>
      <c r="I1649">
        <v>25.700000762939499</v>
      </c>
      <c r="J1649">
        <v>8.4780246075288694</v>
      </c>
      <c r="K1649">
        <v>66</v>
      </c>
      <c r="L1649">
        <v>13.0919750872953</v>
      </c>
      <c r="M1649">
        <v>32.178024951322598</v>
      </c>
      <c r="N1649">
        <v>19.478024607528901</v>
      </c>
      <c r="O1649">
        <v>12.699999809265099</v>
      </c>
      <c r="P1649">
        <v>26.478024607528901</v>
      </c>
      <c r="Q1649">
        <v>24.290123075320398</v>
      </c>
      <c r="R1649">
        <v>27.278024263735201</v>
      </c>
      <c r="S1649">
        <v>23.978024607528901</v>
      </c>
      <c r="T1649">
        <v>1830.78024691358</v>
      </c>
      <c r="U1649">
        <v>477.56049382715997</v>
      </c>
      <c r="V1649">
        <v>30</v>
      </c>
      <c r="W1649">
        <v>95</v>
      </c>
      <c r="X1649">
        <v>1090.1209876543201</v>
      </c>
      <c r="Y1649">
        <v>128.439506172839</v>
      </c>
      <c r="Z1649">
        <v>302</v>
      </c>
      <c r="AA1649">
        <v>129.21975308642001</v>
      </c>
      <c r="AB1649">
        <v>6.0454549389285601</v>
      </c>
      <c r="AC1649">
        <v>0.42376053632868699</v>
      </c>
      <c r="AD1649">
        <v>6.39717486855033</v>
      </c>
      <c r="AE1649">
        <v>0.25992119312286399</v>
      </c>
      <c r="AF1649">
        <v>18.795454545454501</v>
      </c>
      <c r="AG1649">
        <f>IFERROR(AH1649*0.1, "N/A")</f>
        <v>4.8451048951049005</v>
      </c>
      <c r="AH1649">
        <v>48.451048951049003</v>
      </c>
      <c r="AI1649">
        <v>260.65469381692498</v>
      </c>
      <c r="AJ1649">
        <v>27.312937062937099</v>
      </c>
      <c r="AK1649">
        <v>54.977272727272698</v>
      </c>
    </row>
    <row r="1650" spans="1:37" x14ac:dyDescent="0.3">
      <c r="A1650">
        <v>1649</v>
      </c>
      <c r="B1650">
        <v>28.799999</v>
      </c>
      <c r="C1650">
        <v>36</v>
      </c>
      <c r="D1650">
        <v>-7.0332999999999997</v>
      </c>
      <c r="E1650" t="s">
        <v>2866</v>
      </c>
      <c r="F1650" t="s">
        <v>2867</v>
      </c>
      <c r="G1650" t="s">
        <v>39</v>
      </c>
      <c r="H1650">
        <v>1990</v>
      </c>
      <c r="I1650">
        <v>23.3521733491317</v>
      </c>
      <c r="J1650">
        <v>11.5</v>
      </c>
      <c r="K1650">
        <v>67.793043478260898</v>
      </c>
      <c r="L1650">
        <v>14.2412869727093</v>
      </c>
      <c r="M1650">
        <v>31.559826315174899</v>
      </c>
      <c r="N1650">
        <v>14.6314783892424</v>
      </c>
      <c r="O1650">
        <v>16.9283475527556</v>
      </c>
      <c r="P1650">
        <v>24.3521733491317</v>
      </c>
      <c r="Q1650">
        <v>21.231478397535199</v>
      </c>
      <c r="R1650">
        <v>24.8521733491317</v>
      </c>
      <c r="S1650">
        <v>21.231478397535199</v>
      </c>
      <c r="T1650">
        <v>547.52173913043498</v>
      </c>
      <c r="U1650">
        <v>123</v>
      </c>
      <c r="V1650">
        <v>0</v>
      </c>
      <c r="W1650">
        <v>108.47826086956501</v>
      </c>
      <c r="X1650">
        <v>338.52173913043498</v>
      </c>
      <c r="Y1650">
        <v>1</v>
      </c>
      <c r="Z1650">
        <v>260.47826086956502</v>
      </c>
      <c r="AA1650">
        <v>1</v>
      </c>
      <c r="AB1650">
        <v>11.379646632982301</v>
      </c>
      <c r="AC1650">
        <v>4.2675064873436003E-2</v>
      </c>
      <c r="AD1650">
        <v>3.2402698935633101</v>
      </c>
      <c r="AE1650">
        <v>0.28711710028026399</v>
      </c>
      <c r="AF1650">
        <v>788.34434782608696</v>
      </c>
      <c r="AG1650">
        <f>IFERROR(AH1650*0.1, "N/A")</f>
        <v>6.6843478260869604</v>
      </c>
      <c r="AH1650">
        <v>66.843478260869603</v>
      </c>
      <c r="AI1650">
        <v>160.01181511920399</v>
      </c>
      <c r="AJ1650">
        <v>17.6434782608696</v>
      </c>
      <c r="AK1650">
        <v>66.834782608695704</v>
      </c>
    </row>
    <row r="1651" spans="1:37" x14ac:dyDescent="0.3">
      <c r="A1651">
        <v>1650</v>
      </c>
      <c r="B1651">
        <v>7.1</v>
      </c>
      <c r="C1651">
        <v>35.966701999999998</v>
      </c>
      <c r="D1651">
        <v>-7.1</v>
      </c>
      <c r="E1651" t="s">
        <v>2868</v>
      </c>
      <c r="F1651" t="s">
        <v>2869</v>
      </c>
      <c r="G1651" t="s">
        <v>39</v>
      </c>
      <c r="H1651">
        <v>1990</v>
      </c>
      <c r="I1651">
        <v>23.650087529057998</v>
      </c>
      <c r="J1651">
        <v>11.288869713493</v>
      </c>
      <c r="K1651">
        <v>67</v>
      </c>
      <c r="L1651">
        <v>14.3616873268459</v>
      </c>
      <c r="M1651">
        <v>31.764173696766701</v>
      </c>
      <c r="N1651">
        <v>14.975304253619599</v>
      </c>
      <c r="O1651">
        <v>16.788868972114901</v>
      </c>
      <c r="P1651">
        <v>24.5641741578475</v>
      </c>
      <c r="Q1651">
        <v>21.464173776377802</v>
      </c>
      <c r="R1651">
        <v>25.111130858711601</v>
      </c>
      <c r="S1651">
        <v>21.464173776377802</v>
      </c>
      <c r="T1651">
        <v>536.77043478260896</v>
      </c>
      <c r="U1651">
        <v>122</v>
      </c>
      <c r="V1651">
        <v>0</v>
      </c>
      <c r="W1651">
        <v>109</v>
      </c>
      <c r="X1651">
        <v>333.72173913043503</v>
      </c>
      <c r="Y1651">
        <v>0.61043478260869599</v>
      </c>
      <c r="Z1651">
        <v>255.35826086956499</v>
      </c>
      <c r="AA1651">
        <v>0.61043478260869599</v>
      </c>
      <c r="AB1651">
        <v>13.1057358186141</v>
      </c>
      <c r="AC1651">
        <v>3.9939478532128002E-2</v>
      </c>
      <c r="AD1651">
        <v>2.5012745768091</v>
      </c>
      <c r="AE1651">
        <v>0.38962858381478699</v>
      </c>
      <c r="AF1651">
        <v>735.76173913043499</v>
      </c>
      <c r="AG1651">
        <f>IFERROR(AH1651*0.1, "N/A")</f>
        <v>6.6000000000000005</v>
      </c>
      <c r="AH1651">
        <v>66</v>
      </c>
      <c r="AI1651">
        <v>160.69544194097099</v>
      </c>
      <c r="AJ1651">
        <v>19.5913043478261</v>
      </c>
      <c r="AK1651">
        <v>66.939130434782598</v>
      </c>
    </row>
    <row r="1652" spans="1:37" x14ac:dyDescent="0.3">
      <c r="A1652">
        <v>1651</v>
      </c>
      <c r="B1652">
        <v>4.2</v>
      </c>
      <c r="C1652">
        <v>35.833302000000003</v>
      </c>
      <c r="D1652">
        <v>-7.1166999999999998</v>
      </c>
      <c r="E1652" t="s">
        <v>2870</v>
      </c>
      <c r="F1652" t="s">
        <v>2871</v>
      </c>
      <c r="G1652" t="s">
        <v>39</v>
      </c>
      <c r="H1652">
        <v>1990</v>
      </c>
      <c r="I1652">
        <v>23.744020888462401</v>
      </c>
      <c r="J1652">
        <v>11.300000190734901</v>
      </c>
      <c r="K1652">
        <v>66.870017331022495</v>
      </c>
      <c r="L1652">
        <v>14.4110919251599</v>
      </c>
      <c r="M1652">
        <v>31.944020583683301</v>
      </c>
      <c r="N1652">
        <v>15.131022734286701</v>
      </c>
      <c r="O1652">
        <v>16.812997553542701</v>
      </c>
      <c r="P1652">
        <v>24.633969259014201</v>
      </c>
      <c r="Q1652">
        <v>21.600000381469702</v>
      </c>
      <c r="R1652">
        <v>25.244020888462401</v>
      </c>
      <c r="S1652">
        <v>21.600000381469702</v>
      </c>
      <c r="T1652">
        <v>510.84055459272099</v>
      </c>
      <c r="U1652">
        <v>115.84055459272101</v>
      </c>
      <c r="V1652">
        <v>0</v>
      </c>
      <c r="W1652">
        <v>109</v>
      </c>
      <c r="X1652">
        <v>316.84055459272099</v>
      </c>
      <c r="Y1652">
        <v>0</v>
      </c>
      <c r="Z1652">
        <v>245.84055459272099</v>
      </c>
      <c r="AA1652">
        <v>0</v>
      </c>
      <c r="AB1652">
        <v>4.1674075862150701</v>
      </c>
      <c r="AC1652">
        <v>0.17306143190046699</v>
      </c>
      <c r="AD1652">
        <v>1.2044506714496901</v>
      </c>
      <c r="AE1652">
        <v>0.150030960785661</v>
      </c>
      <c r="AF1652">
        <v>710.59965337954895</v>
      </c>
      <c r="AG1652">
        <f>IFERROR(AH1652*0.1, "N/A")</f>
        <v>6.6875216637781607</v>
      </c>
      <c r="AH1652">
        <v>66.875216637781605</v>
      </c>
      <c r="AI1652">
        <v>299.510377867383</v>
      </c>
      <c r="AJ1652">
        <v>25.034662045060699</v>
      </c>
      <c r="AK1652">
        <v>62.965337954939301</v>
      </c>
    </row>
    <row r="1653" spans="1:37" x14ac:dyDescent="0.3">
      <c r="A1653">
        <v>1652</v>
      </c>
      <c r="B1653">
        <v>10.199999999999999</v>
      </c>
      <c r="C1653">
        <v>37.266700999999998</v>
      </c>
      <c r="D1653">
        <v>-3.3332999999999999</v>
      </c>
      <c r="E1653" t="s">
        <v>2872</v>
      </c>
      <c r="F1653" t="s">
        <v>2873</v>
      </c>
      <c r="G1653" t="s">
        <v>37</v>
      </c>
      <c r="H1653">
        <v>1998</v>
      </c>
      <c r="I1653">
        <v>21.931106942818701</v>
      </c>
      <c r="J1653">
        <v>12</v>
      </c>
      <c r="K1653">
        <v>70</v>
      </c>
      <c r="L1653">
        <v>16.772566126603898</v>
      </c>
      <c r="M1653">
        <v>31.431106942818801</v>
      </c>
      <c r="N1653">
        <v>14.4112474646007</v>
      </c>
      <c r="O1653">
        <v>17.019859478218098</v>
      </c>
      <c r="P1653">
        <v>22.531107324288499</v>
      </c>
      <c r="Q1653">
        <v>19.822494929201401</v>
      </c>
      <c r="R1653">
        <v>23.7311077084399</v>
      </c>
      <c r="S1653">
        <v>19.531107324288499</v>
      </c>
      <c r="T1653">
        <v>1057.5975395430601</v>
      </c>
      <c r="U1653">
        <v>336.86291739894602</v>
      </c>
      <c r="V1653">
        <v>20</v>
      </c>
      <c r="W1653">
        <v>103.365553602812</v>
      </c>
      <c r="X1653">
        <v>671.32864674868199</v>
      </c>
      <c r="Y1653">
        <v>68.490333919156399</v>
      </c>
      <c r="Z1653">
        <v>215.75746924428799</v>
      </c>
      <c r="AA1653">
        <v>95.571177504393702</v>
      </c>
      <c r="AB1653">
        <v>7.1587225137988799</v>
      </c>
      <c r="AC1653">
        <v>5.2162008790499002E-2</v>
      </c>
      <c r="AD1653">
        <v>6.3439016643852701</v>
      </c>
      <c r="AE1653">
        <v>0.55171392494010596</v>
      </c>
      <c r="AF1653">
        <v>956.05623901581703</v>
      </c>
      <c r="AG1653">
        <f>IFERROR(AH1653*0.1, "N/A")</f>
        <v>7.0590509666080807</v>
      </c>
      <c r="AH1653">
        <v>70.590509666080806</v>
      </c>
      <c r="AI1653">
        <v>267.41316550310103</v>
      </c>
      <c r="AJ1653">
        <v>42.181019332161704</v>
      </c>
      <c r="AK1653">
        <v>31.8189806678383</v>
      </c>
    </row>
    <row r="1654" spans="1:37" x14ac:dyDescent="0.3">
      <c r="A1654">
        <v>1653</v>
      </c>
      <c r="B1654">
        <v>0.7</v>
      </c>
      <c r="C1654">
        <v>37.266700999999998</v>
      </c>
      <c r="D1654">
        <v>-3.3332999999999999</v>
      </c>
      <c r="E1654" t="s">
        <v>2872</v>
      </c>
      <c r="F1654" t="s">
        <v>2874</v>
      </c>
      <c r="G1654" t="s">
        <v>39</v>
      </c>
      <c r="H1654">
        <v>1998</v>
      </c>
      <c r="I1654">
        <v>21.931106942818701</v>
      </c>
      <c r="J1654">
        <v>12</v>
      </c>
      <c r="K1654">
        <v>70</v>
      </c>
      <c r="L1654">
        <v>16.772566126603898</v>
      </c>
      <c r="M1654">
        <v>31.431106942818801</v>
      </c>
      <c r="N1654">
        <v>14.4112474646007</v>
      </c>
      <c r="O1654">
        <v>17.019859478218098</v>
      </c>
      <c r="P1654">
        <v>22.531107324288499</v>
      </c>
      <c r="Q1654">
        <v>19.822494929201401</v>
      </c>
      <c r="R1654">
        <v>23.7311077084399</v>
      </c>
      <c r="S1654">
        <v>19.531107324288499</v>
      </c>
      <c r="T1654">
        <v>1057.5975395430601</v>
      </c>
      <c r="U1654">
        <v>336.86291739894602</v>
      </c>
      <c r="V1654">
        <v>20</v>
      </c>
      <c r="W1654">
        <v>103.365553602812</v>
      </c>
      <c r="X1654">
        <v>671.32864674868199</v>
      </c>
      <c r="Y1654">
        <v>68.490333919156399</v>
      </c>
      <c r="Z1654">
        <v>215.75746924428799</v>
      </c>
      <c r="AA1654">
        <v>95.571177504393702</v>
      </c>
      <c r="AB1654">
        <v>7.1587225137988799</v>
      </c>
      <c r="AC1654">
        <v>5.2162008790499002E-2</v>
      </c>
      <c r="AD1654">
        <v>6.3439016643852701</v>
      </c>
      <c r="AE1654">
        <v>0.55171392494010596</v>
      </c>
      <c r="AF1654">
        <v>956.05623901581703</v>
      </c>
      <c r="AG1654">
        <f>IFERROR(AH1654*0.1, "N/A")</f>
        <v>7.0590509666080807</v>
      </c>
      <c r="AH1654">
        <v>70.590509666080806</v>
      </c>
      <c r="AI1654">
        <v>267.41316550310103</v>
      </c>
      <c r="AJ1654">
        <v>42.181019332161704</v>
      </c>
      <c r="AK1654">
        <v>31.8189806678383</v>
      </c>
    </row>
    <row r="1655" spans="1:37" x14ac:dyDescent="0.3">
      <c r="A1655">
        <v>1654</v>
      </c>
      <c r="B1655">
        <v>50.5</v>
      </c>
      <c r="C1655">
        <v>37.216301000000001</v>
      </c>
      <c r="D1655">
        <v>-3.4133</v>
      </c>
      <c r="E1655" t="s">
        <v>2875</v>
      </c>
      <c r="F1655" t="s">
        <v>2876</v>
      </c>
      <c r="G1655" t="s">
        <v>37</v>
      </c>
      <c r="H1655">
        <v>1998</v>
      </c>
      <c r="I1655">
        <v>22.850438796782498</v>
      </c>
      <c r="J1655">
        <v>12.250439368987101</v>
      </c>
      <c r="K1655">
        <v>70.504393673110698</v>
      </c>
      <c r="L1655">
        <v>16.437891572975701</v>
      </c>
      <c r="M1655">
        <v>32.299999237060497</v>
      </c>
      <c r="N1655">
        <v>15.050439559721999</v>
      </c>
      <c r="O1655">
        <v>17.249560639393099</v>
      </c>
      <c r="P1655">
        <v>23.399999618530298</v>
      </c>
      <c r="Q1655">
        <v>20.750439360606901</v>
      </c>
      <c r="R1655">
        <v>24.600000381469702</v>
      </c>
      <c r="S1655">
        <v>20.450439178252299</v>
      </c>
      <c r="T1655">
        <v>731</v>
      </c>
      <c r="U1655">
        <v>232</v>
      </c>
      <c r="V1655">
        <v>11</v>
      </c>
      <c r="W1655">
        <v>98.495606326889302</v>
      </c>
      <c r="X1655">
        <v>439.495606326889</v>
      </c>
      <c r="Y1655">
        <v>39</v>
      </c>
      <c r="Z1655">
        <v>176</v>
      </c>
      <c r="AA1655">
        <v>49</v>
      </c>
      <c r="AB1655">
        <v>2.5984502433682999</v>
      </c>
      <c r="AC1655">
        <v>1.3361867140776E-2</v>
      </c>
      <c r="AD1655">
        <v>2.8163144186217699</v>
      </c>
      <c r="AE1655">
        <v>0.574071890545227</v>
      </c>
      <c r="AF1655">
        <v>845.722319859403</v>
      </c>
      <c r="AG1655">
        <f>IFERROR(AH1655*0.1, "N/A")</f>
        <v>7.7</v>
      </c>
      <c r="AH1655">
        <v>77</v>
      </c>
      <c r="AI1655">
        <v>214.15293353303699</v>
      </c>
      <c r="AJ1655">
        <v>35.657293497363803</v>
      </c>
      <c r="AK1655">
        <v>41.260105448154697</v>
      </c>
    </row>
    <row r="1656" spans="1:37" x14ac:dyDescent="0.3">
      <c r="A1656">
        <v>1655</v>
      </c>
      <c r="B1656">
        <v>0</v>
      </c>
      <c r="C1656">
        <v>37.216301000000001</v>
      </c>
      <c r="D1656">
        <v>-3.4133</v>
      </c>
      <c r="E1656" t="s">
        <v>2875</v>
      </c>
      <c r="F1656" t="s">
        <v>2877</v>
      </c>
      <c r="G1656" t="s">
        <v>39</v>
      </c>
      <c r="H1656">
        <v>1998</v>
      </c>
      <c r="I1656">
        <v>22.850438796782498</v>
      </c>
      <c r="J1656">
        <v>12.250439368987101</v>
      </c>
      <c r="K1656">
        <v>70.504393673110698</v>
      </c>
      <c r="L1656">
        <v>16.437891572975701</v>
      </c>
      <c r="M1656">
        <v>32.299999237060497</v>
      </c>
      <c r="N1656">
        <v>15.050439559721999</v>
      </c>
      <c r="O1656">
        <v>17.249560639393099</v>
      </c>
      <c r="P1656">
        <v>23.399999618530298</v>
      </c>
      <c r="Q1656">
        <v>20.750439360606901</v>
      </c>
      <c r="R1656">
        <v>24.600000381469702</v>
      </c>
      <c r="S1656">
        <v>20.450439178252299</v>
      </c>
      <c r="T1656">
        <v>731</v>
      </c>
      <c r="U1656">
        <v>232</v>
      </c>
      <c r="V1656">
        <v>11</v>
      </c>
      <c r="W1656">
        <v>98.495606326889302</v>
      </c>
      <c r="X1656">
        <v>439.495606326889</v>
      </c>
      <c r="Y1656">
        <v>39</v>
      </c>
      <c r="Z1656">
        <v>176</v>
      </c>
      <c r="AA1656">
        <v>49</v>
      </c>
      <c r="AB1656">
        <v>2.5984502433682999</v>
      </c>
      <c r="AC1656">
        <v>1.3361867140776E-2</v>
      </c>
      <c r="AD1656">
        <v>2.8163144186217699</v>
      </c>
      <c r="AE1656">
        <v>0.574071890545227</v>
      </c>
      <c r="AF1656">
        <v>845.722319859403</v>
      </c>
      <c r="AG1656">
        <f>IFERROR(AH1656*0.1, "N/A")</f>
        <v>7.7</v>
      </c>
      <c r="AH1656">
        <v>77</v>
      </c>
      <c r="AI1656">
        <v>214.15293353303699</v>
      </c>
      <c r="AJ1656">
        <v>35.657293497363803</v>
      </c>
      <c r="AK1656">
        <v>41.260105448154697</v>
      </c>
    </row>
    <row r="1657" spans="1:37" x14ac:dyDescent="0.3">
      <c r="A1657">
        <v>1656</v>
      </c>
      <c r="B1657">
        <v>0</v>
      </c>
      <c r="C1657">
        <v>37.183300000000003</v>
      </c>
      <c r="D1657">
        <v>-3.2332999999999998</v>
      </c>
      <c r="E1657" t="s">
        <v>2878</v>
      </c>
      <c r="F1657" t="s">
        <v>2879</v>
      </c>
      <c r="G1657" t="s">
        <v>37</v>
      </c>
      <c r="H1657">
        <v>1995</v>
      </c>
      <c r="I1657">
        <v>19.442280481572698</v>
      </c>
      <c r="J1657">
        <v>11.1480702818486</v>
      </c>
      <c r="K1657">
        <v>68.480701754386004</v>
      </c>
      <c r="L1657">
        <v>16.3504912928531</v>
      </c>
      <c r="M1657">
        <v>28.736491213346799</v>
      </c>
      <c r="N1657">
        <v>12.5364914224859</v>
      </c>
      <c r="O1657">
        <v>16.200000762939499</v>
      </c>
      <c r="P1657">
        <v>20.0422808630425</v>
      </c>
      <c r="Q1657">
        <v>18.336490714759201</v>
      </c>
      <c r="R1657">
        <v>21.265964558250001</v>
      </c>
      <c r="S1657">
        <v>17.136491748742898</v>
      </c>
      <c r="T1657">
        <v>1490.6210526315799</v>
      </c>
      <c r="U1657">
        <v>464.22105263157903</v>
      </c>
      <c r="V1657">
        <v>29</v>
      </c>
      <c r="W1657">
        <v>105.082456140351</v>
      </c>
      <c r="X1657">
        <v>929.98421052631602</v>
      </c>
      <c r="Y1657">
        <v>105.577192982456</v>
      </c>
      <c r="Z1657">
        <v>240.328070175439</v>
      </c>
      <c r="AA1657">
        <v>183.51929824561401</v>
      </c>
      <c r="AB1657">
        <v>19.3170001113624</v>
      </c>
      <c r="AC1657">
        <v>0.163653993018364</v>
      </c>
      <c r="AD1657">
        <v>10.506730276241599</v>
      </c>
      <c r="AE1657">
        <v>0.48454684050459601</v>
      </c>
      <c r="AF1657">
        <v>1297.5649122806999</v>
      </c>
      <c r="AG1657">
        <f>IFERROR(AH1657*0.1, "N/A")</f>
        <v>5.8282456140350902</v>
      </c>
      <c r="AH1657">
        <v>58.282456140350902</v>
      </c>
      <c r="AI1657">
        <v>73.115068515978393</v>
      </c>
      <c r="AJ1657">
        <v>31.322807017543902</v>
      </c>
      <c r="AK1657">
        <v>38.7087719298246</v>
      </c>
    </row>
    <row r="1658" spans="1:37" x14ac:dyDescent="0.3">
      <c r="A1658">
        <v>1657</v>
      </c>
      <c r="B1658">
        <v>0</v>
      </c>
      <c r="C1658">
        <v>37.183300000000003</v>
      </c>
      <c r="D1658">
        <v>-3.2332999999999998</v>
      </c>
      <c r="E1658" t="s">
        <v>2878</v>
      </c>
      <c r="F1658" t="s">
        <v>2880</v>
      </c>
      <c r="G1658" t="s">
        <v>39</v>
      </c>
      <c r="H1658">
        <v>1995</v>
      </c>
      <c r="I1658">
        <v>19.442280481572698</v>
      </c>
      <c r="J1658">
        <v>11.1480702818486</v>
      </c>
      <c r="K1658">
        <v>68.480701754386004</v>
      </c>
      <c r="L1658">
        <v>16.3504912928531</v>
      </c>
      <c r="M1658">
        <v>28.736491213346799</v>
      </c>
      <c r="N1658">
        <v>12.5364914224859</v>
      </c>
      <c r="O1658">
        <v>16.200000762939499</v>
      </c>
      <c r="P1658">
        <v>20.0422808630425</v>
      </c>
      <c r="Q1658">
        <v>18.336490714759201</v>
      </c>
      <c r="R1658">
        <v>21.265964558250001</v>
      </c>
      <c r="S1658">
        <v>17.136491748742898</v>
      </c>
      <c r="T1658">
        <v>1490.6210526315799</v>
      </c>
      <c r="U1658">
        <v>464.22105263157903</v>
      </c>
      <c r="V1658">
        <v>29</v>
      </c>
      <c r="W1658">
        <v>105.082456140351</v>
      </c>
      <c r="X1658">
        <v>929.98421052631602</v>
      </c>
      <c r="Y1658">
        <v>105.577192982456</v>
      </c>
      <c r="Z1658">
        <v>240.328070175439</v>
      </c>
      <c r="AA1658">
        <v>183.51929824561401</v>
      </c>
      <c r="AB1658">
        <v>19.3170001113624</v>
      </c>
      <c r="AC1658">
        <v>0.163653993018364</v>
      </c>
      <c r="AD1658">
        <v>10.506730276241599</v>
      </c>
      <c r="AE1658">
        <v>0.48454684050459601</v>
      </c>
      <c r="AF1658">
        <v>1297.5649122806999</v>
      </c>
      <c r="AG1658">
        <f>IFERROR(AH1658*0.1, "N/A")</f>
        <v>5.8282456140350902</v>
      </c>
      <c r="AH1658">
        <v>58.282456140350902</v>
      </c>
      <c r="AI1658">
        <v>73.115068515978393</v>
      </c>
      <c r="AJ1658">
        <v>31.322807017543902</v>
      </c>
      <c r="AK1658">
        <v>38.7087719298246</v>
      </c>
    </row>
    <row r="1659" spans="1:37" x14ac:dyDescent="0.3">
      <c r="A1659">
        <v>1658</v>
      </c>
      <c r="B1659">
        <v>0</v>
      </c>
      <c r="C1659">
        <v>37.566699999999997</v>
      </c>
      <c r="D1659">
        <v>-7.0332999999999997</v>
      </c>
      <c r="E1659" t="s">
        <v>2881</v>
      </c>
      <c r="F1659" t="s">
        <v>2882</v>
      </c>
      <c r="G1659" t="s">
        <v>39</v>
      </c>
      <c r="H1659">
        <v>1995</v>
      </c>
      <c r="I1659">
        <v>21.011303992893399</v>
      </c>
      <c r="J1659">
        <v>10.520695731121601</v>
      </c>
      <c r="K1659">
        <v>65.584347826086997</v>
      </c>
      <c r="L1659">
        <v>18.2076175291642</v>
      </c>
      <c r="M1659">
        <v>28.273565468166201</v>
      </c>
      <c r="N1659">
        <v>12.3320001137775</v>
      </c>
      <c r="O1659">
        <v>15.9415649944803</v>
      </c>
      <c r="P1659">
        <v>22.373565849635899</v>
      </c>
      <c r="Q1659">
        <v>18.3113047425643</v>
      </c>
      <c r="R1659">
        <v>22.894261580757501</v>
      </c>
      <c r="S1659">
        <v>18.3113047425643</v>
      </c>
      <c r="T1659">
        <v>1483.23304347826</v>
      </c>
      <c r="U1659">
        <v>324.60347826087002</v>
      </c>
      <c r="V1659">
        <v>20.149565217391299</v>
      </c>
      <c r="W1659">
        <v>70.027826086956495</v>
      </c>
      <c r="X1659">
        <v>710.84173913043503</v>
      </c>
      <c r="Y1659">
        <v>71.504347826086999</v>
      </c>
      <c r="Z1659">
        <v>470.61043478260899</v>
      </c>
      <c r="AA1659">
        <v>71.504347826086999</v>
      </c>
      <c r="AB1659">
        <v>112.55134946076799</v>
      </c>
      <c r="AC1659">
        <v>1.5700600451749001E-2</v>
      </c>
      <c r="AD1659">
        <v>16.4110571098328</v>
      </c>
      <c r="AE1659">
        <v>0.284329503774643</v>
      </c>
      <c r="AF1659">
        <v>1117.24869565217</v>
      </c>
      <c r="AG1659">
        <f>IFERROR(AH1659*0.1, "N/A")</f>
        <v>5.6459130434782603</v>
      </c>
      <c r="AH1659">
        <v>56.459130434782601</v>
      </c>
      <c r="AI1659">
        <v>151.89277183201</v>
      </c>
      <c r="AJ1659">
        <v>27.850434782608701</v>
      </c>
      <c r="AK1659">
        <v>56.4991304347826</v>
      </c>
    </row>
    <row r="1660" spans="1:37" x14ac:dyDescent="0.3">
      <c r="A1660">
        <v>1659</v>
      </c>
      <c r="B1660">
        <v>31.4</v>
      </c>
      <c r="C1660">
        <v>36.049999</v>
      </c>
      <c r="D1660">
        <v>-4.5332999999999997</v>
      </c>
      <c r="E1660" t="s">
        <v>2883</v>
      </c>
      <c r="F1660" t="s">
        <v>2884</v>
      </c>
      <c r="G1660" t="s">
        <v>39</v>
      </c>
      <c r="H1660">
        <v>1994</v>
      </c>
      <c r="I1660">
        <v>21.557193106935699</v>
      </c>
      <c r="J1660">
        <v>12.104912634063201</v>
      </c>
      <c r="K1660">
        <v>70.850877192982395</v>
      </c>
      <c r="L1660">
        <v>16.008245829532001</v>
      </c>
      <c r="M1660">
        <v>29.5770177439639</v>
      </c>
      <c r="N1660">
        <v>12.5571929513362</v>
      </c>
      <c r="O1660">
        <v>17.019824637028201</v>
      </c>
      <c r="P1660">
        <v>22.657193083512201</v>
      </c>
      <c r="Q1660">
        <v>19.157193083512201</v>
      </c>
      <c r="R1660">
        <v>23.0770177439639</v>
      </c>
      <c r="S1660">
        <v>19.157193083512201</v>
      </c>
      <c r="T1660">
        <v>704.25263157894699</v>
      </c>
      <c r="U1660">
        <v>133.14912280701799</v>
      </c>
      <c r="V1660">
        <v>1</v>
      </c>
      <c r="W1660">
        <v>88.787719298245605</v>
      </c>
      <c r="X1660">
        <v>364.117543859649</v>
      </c>
      <c r="Y1660">
        <v>5</v>
      </c>
      <c r="Z1660">
        <v>276.39649122806998</v>
      </c>
      <c r="AA1660">
        <v>5</v>
      </c>
      <c r="AB1660">
        <v>61.132263397752197</v>
      </c>
      <c r="AC1660">
        <v>3.8556720780437002E-2</v>
      </c>
      <c r="AD1660">
        <v>3.9159697394621999</v>
      </c>
      <c r="AE1660">
        <v>0.52039378881454501</v>
      </c>
      <c r="AF1660">
        <v>1189.95087719298</v>
      </c>
      <c r="AG1660">
        <f>IFERROR(AH1660*0.1, "N/A")</f>
        <v>6.5189473684210499</v>
      </c>
      <c r="AH1660">
        <v>65.189473684210498</v>
      </c>
      <c r="AI1660">
        <v>61.890069948162903</v>
      </c>
      <c r="AJ1660">
        <v>22.121052631578898</v>
      </c>
      <c r="AK1660">
        <v>65.617543859649103</v>
      </c>
    </row>
    <row r="1661" spans="1:37" x14ac:dyDescent="0.3">
      <c r="A1661">
        <v>1660</v>
      </c>
      <c r="B1661">
        <v>42.299999</v>
      </c>
      <c r="C1661">
        <v>34.733299000000002</v>
      </c>
      <c r="D1661">
        <v>-4.9000000000000004</v>
      </c>
      <c r="E1661" t="s">
        <v>2885</v>
      </c>
      <c r="F1661" t="s">
        <v>2886</v>
      </c>
      <c r="G1661" t="s">
        <v>39</v>
      </c>
      <c r="H1661">
        <v>1994</v>
      </c>
      <c r="I1661">
        <v>20.413810860026999</v>
      </c>
      <c r="J1661">
        <v>11.6000003814697</v>
      </c>
      <c r="K1661">
        <v>69.354895104895107</v>
      </c>
      <c r="L1661">
        <v>13.154423035108101</v>
      </c>
      <c r="M1661">
        <v>28.2688810942056</v>
      </c>
      <c r="N1661">
        <v>11.6493007986696</v>
      </c>
      <c r="O1661">
        <v>16.619580875743502</v>
      </c>
      <c r="P1661">
        <v>21.264510268098</v>
      </c>
      <c r="Q1661">
        <v>18.372551961378601</v>
      </c>
      <c r="R1661">
        <v>21.7550698527089</v>
      </c>
      <c r="S1661">
        <v>18.372551961378601</v>
      </c>
      <c r="T1661">
        <v>665.44055944055901</v>
      </c>
      <c r="U1661">
        <v>139.76748251748299</v>
      </c>
      <c r="V1661">
        <v>0</v>
      </c>
      <c r="W1661">
        <v>100</v>
      </c>
      <c r="X1661">
        <v>391.76748251748302</v>
      </c>
      <c r="Y1661">
        <v>0</v>
      </c>
      <c r="Z1661">
        <v>196.76748251748299</v>
      </c>
      <c r="AA1661">
        <v>0</v>
      </c>
      <c r="AB1661">
        <v>10.159589220593899</v>
      </c>
      <c r="AC1661">
        <v>1.5396540637707999E-2</v>
      </c>
      <c r="AD1661">
        <v>1.36457888953961</v>
      </c>
      <c r="AE1661">
        <v>0.73118877410888705</v>
      </c>
      <c r="AF1661">
        <v>1510.17132867133</v>
      </c>
      <c r="AG1661">
        <f>IFERROR(AH1661*0.1, "N/A")</f>
        <v>5.9550699300699304</v>
      </c>
      <c r="AH1661">
        <v>59.5506993006993</v>
      </c>
      <c r="AI1661">
        <v>306.15140474759602</v>
      </c>
      <c r="AJ1661">
        <v>19.8986013986014</v>
      </c>
      <c r="AK1661">
        <v>64.550699300699307</v>
      </c>
    </row>
    <row r="1662" spans="1:37" x14ac:dyDescent="0.3">
      <c r="A1662">
        <v>1661</v>
      </c>
      <c r="B1662">
        <v>11.1</v>
      </c>
      <c r="C1662">
        <v>33.349997999999999</v>
      </c>
      <c r="D1662">
        <v>-2.5832999999999999</v>
      </c>
      <c r="E1662" t="s">
        <v>2887</v>
      </c>
      <c r="F1662" t="s">
        <v>2888</v>
      </c>
      <c r="G1662" t="s">
        <v>37</v>
      </c>
      <c r="H1662">
        <v>1989</v>
      </c>
      <c r="I1662">
        <v>22.6982368422143</v>
      </c>
      <c r="J1662">
        <v>10.699999809265099</v>
      </c>
      <c r="K1662">
        <v>73</v>
      </c>
      <c r="L1662">
        <v>6.3080423546846598</v>
      </c>
      <c r="M1662">
        <v>29.7455027141268</v>
      </c>
      <c r="N1662">
        <v>15.1455027666041</v>
      </c>
      <c r="O1662">
        <v>14.6000003814697</v>
      </c>
      <c r="P1662">
        <v>22.7455027141268</v>
      </c>
      <c r="Q1662">
        <v>21.858376884796801</v>
      </c>
      <c r="R1662">
        <v>23.445502437611701</v>
      </c>
      <c r="S1662">
        <v>21.858376884796801</v>
      </c>
      <c r="T1662">
        <v>966.64902998236403</v>
      </c>
      <c r="U1662">
        <v>179.50617283950601</v>
      </c>
      <c r="V1662">
        <v>3</v>
      </c>
      <c r="W1662">
        <v>71.398589065255706</v>
      </c>
      <c r="X1662">
        <v>416.52380952380997</v>
      </c>
      <c r="Y1662">
        <v>25</v>
      </c>
      <c r="Z1662">
        <v>230.433862433862</v>
      </c>
      <c r="AA1662">
        <v>25</v>
      </c>
      <c r="AB1662">
        <v>14.134259043967701</v>
      </c>
      <c r="AC1662">
        <v>4.1446711260306003E-2</v>
      </c>
      <c r="AD1662">
        <v>1.79692318178779</v>
      </c>
      <c r="AE1662">
        <v>0.54275035858154297</v>
      </c>
      <c r="AF1662">
        <v>1182.9611992945299</v>
      </c>
      <c r="AG1662">
        <f>IFERROR(AH1662*0.1, "N/A")</f>
        <v>6.3544973544973606</v>
      </c>
      <c r="AH1662">
        <v>63.544973544973601</v>
      </c>
      <c r="AI1662">
        <v>269.15966656935501</v>
      </c>
      <c r="AJ1662">
        <v>17.089947089947099</v>
      </c>
      <c r="AK1662">
        <v>70.455026455026498</v>
      </c>
    </row>
    <row r="1663" spans="1:37" x14ac:dyDescent="0.3">
      <c r="A1663">
        <v>1662</v>
      </c>
      <c r="B1663">
        <v>15.2</v>
      </c>
      <c r="C1663">
        <v>33.349997999999999</v>
      </c>
      <c r="D1663">
        <v>-2.5832999999999999</v>
      </c>
      <c r="E1663" t="s">
        <v>2887</v>
      </c>
      <c r="F1663" t="s">
        <v>2889</v>
      </c>
      <c r="G1663" t="s">
        <v>39</v>
      </c>
      <c r="H1663">
        <v>1989</v>
      </c>
      <c r="I1663">
        <v>22.6982368422143</v>
      </c>
      <c r="J1663">
        <v>10.699999809265099</v>
      </c>
      <c r="K1663">
        <v>73</v>
      </c>
      <c r="L1663">
        <v>6.3080423546846598</v>
      </c>
      <c r="M1663">
        <v>29.7455027141268</v>
      </c>
      <c r="N1663">
        <v>15.1455027666041</v>
      </c>
      <c r="O1663">
        <v>14.6000003814697</v>
      </c>
      <c r="P1663">
        <v>22.7455027141268</v>
      </c>
      <c r="Q1663">
        <v>21.858376884796801</v>
      </c>
      <c r="R1663">
        <v>23.445502437611701</v>
      </c>
      <c r="S1663">
        <v>21.858376884796801</v>
      </c>
      <c r="T1663">
        <v>966.64902998236403</v>
      </c>
      <c r="U1663">
        <v>179.50617283950601</v>
      </c>
      <c r="V1663">
        <v>3</v>
      </c>
      <c r="W1663">
        <v>71.398589065255706</v>
      </c>
      <c r="X1663">
        <v>416.52380952380997</v>
      </c>
      <c r="Y1663">
        <v>25</v>
      </c>
      <c r="Z1663">
        <v>230.433862433862</v>
      </c>
      <c r="AA1663">
        <v>25</v>
      </c>
      <c r="AB1663">
        <v>14.134259043967701</v>
      </c>
      <c r="AC1663">
        <v>4.1446711260306003E-2</v>
      </c>
      <c r="AD1663">
        <v>1.79692318178779</v>
      </c>
      <c r="AE1663">
        <v>0.54275035858154297</v>
      </c>
      <c r="AF1663">
        <v>1182.9611992945299</v>
      </c>
      <c r="AG1663">
        <f>IFERROR(AH1663*0.1, "N/A")</f>
        <v>6.3544973544973606</v>
      </c>
      <c r="AH1663">
        <v>63.544973544973601</v>
      </c>
      <c r="AI1663">
        <v>269.15966656935501</v>
      </c>
      <c r="AJ1663">
        <v>17.089947089947099</v>
      </c>
      <c r="AK1663">
        <v>70.455026455026498</v>
      </c>
    </row>
    <row r="1664" spans="1:37" x14ac:dyDescent="0.3">
      <c r="A1664">
        <v>1663</v>
      </c>
      <c r="B1664">
        <v>50.599997999999999</v>
      </c>
      <c r="C1664">
        <v>39.299702000000003</v>
      </c>
      <c r="D1664">
        <v>-5.9308300000000003</v>
      </c>
      <c r="E1664" t="s">
        <v>2890</v>
      </c>
      <c r="F1664" t="s">
        <v>2891</v>
      </c>
      <c r="G1664" t="s">
        <v>39</v>
      </c>
      <c r="H1664">
        <v>2008</v>
      </c>
      <c r="I1664">
        <v>27.2041819236835</v>
      </c>
      <c r="J1664">
        <v>9.1999998092651403</v>
      </c>
      <c r="K1664">
        <v>68</v>
      </c>
      <c r="L1664">
        <v>12.8520909618418</v>
      </c>
      <c r="M1664">
        <v>34.104179674740003</v>
      </c>
      <c r="N1664">
        <v>20.702091323373999</v>
      </c>
      <c r="O1664">
        <v>13.4020902188397</v>
      </c>
      <c r="P1664">
        <v>27.806271037988999</v>
      </c>
      <c r="Q1664">
        <v>25.502090600309501</v>
      </c>
      <c r="R1664">
        <v>28.804180437679499</v>
      </c>
      <c r="S1664">
        <v>25.502090600309501</v>
      </c>
      <c r="T1664">
        <v>1757.83275261324</v>
      </c>
      <c r="U1664">
        <v>436.08362369337999</v>
      </c>
      <c r="V1664">
        <v>53.958188153310097</v>
      </c>
      <c r="W1664">
        <v>82.020905923344998</v>
      </c>
      <c r="X1664">
        <v>988.97909407665497</v>
      </c>
      <c r="Y1664">
        <v>187.93728222996501</v>
      </c>
      <c r="Z1664">
        <v>323.87456445993001</v>
      </c>
      <c r="AA1664">
        <v>187.93728222996501</v>
      </c>
      <c r="AB1664">
        <v>1.7513933414366201</v>
      </c>
      <c r="AC1664">
        <v>2.2185630082600598</v>
      </c>
      <c r="AD1664">
        <v>2.6408016648442101</v>
      </c>
      <c r="AE1664">
        <v>0.41108828783035301</v>
      </c>
      <c r="AF1664">
        <v>60.228222996515697</v>
      </c>
      <c r="AG1664">
        <f>IFERROR(AH1664*0.1, "N/A")</f>
        <v>5.6020905923344904</v>
      </c>
      <c r="AH1664">
        <v>56.020905923344898</v>
      </c>
      <c r="AI1664">
        <v>230.54293473672399</v>
      </c>
      <c r="AJ1664">
        <v>24.020905923345001</v>
      </c>
      <c r="AK1664">
        <v>63.979094076655102</v>
      </c>
    </row>
    <row r="1665" spans="1:37" x14ac:dyDescent="0.3">
      <c r="A1665">
        <v>1664</v>
      </c>
      <c r="B1665">
        <v>52.5</v>
      </c>
      <c r="C1665">
        <v>39.299999</v>
      </c>
      <c r="D1665">
        <v>-5.9666699999999997</v>
      </c>
      <c r="E1665" t="s">
        <v>2892</v>
      </c>
      <c r="F1665" t="s">
        <v>2893</v>
      </c>
      <c r="G1665" t="s">
        <v>39</v>
      </c>
      <c r="H1665">
        <v>2002</v>
      </c>
      <c r="I1665">
        <v>27.1034847153188</v>
      </c>
      <c r="J1665">
        <v>9.1999998092651403</v>
      </c>
      <c r="K1665">
        <v>68</v>
      </c>
      <c r="L1665">
        <v>12.8493030926907</v>
      </c>
      <c r="M1665">
        <v>34.046340756299998</v>
      </c>
      <c r="N1665">
        <v>20.557143075125602</v>
      </c>
      <c r="O1665">
        <v>13.489198565067699</v>
      </c>
      <c r="P1665">
        <v>27.8069679047588</v>
      </c>
      <c r="Q1665">
        <v>25.357142312186099</v>
      </c>
      <c r="R1665">
        <v>28.703484212895301</v>
      </c>
      <c r="S1665">
        <v>25.357142312186099</v>
      </c>
      <c r="T1665">
        <v>1801.7804878048801</v>
      </c>
      <c r="U1665">
        <v>445.02439024390202</v>
      </c>
      <c r="V1665">
        <v>53.358885017421599</v>
      </c>
      <c r="W1665">
        <v>81.641114982578401</v>
      </c>
      <c r="X1665">
        <v>1016.88153310105</v>
      </c>
      <c r="Y1665">
        <v>183.35888501742201</v>
      </c>
      <c r="Z1665">
        <v>342.32752613240399</v>
      </c>
      <c r="AA1665">
        <v>183.35888501742201</v>
      </c>
      <c r="AB1665">
        <v>3.36516052006845</v>
      </c>
      <c r="AC1665">
        <v>4.2393787609874001E-2</v>
      </c>
      <c r="AD1665">
        <v>2.3642382891751299</v>
      </c>
      <c r="AE1665">
        <v>0.399325400590897</v>
      </c>
      <c r="AF1665">
        <v>69.905923344947695</v>
      </c>
      <c r="AG1665">
        <f>IFERROR(AH1665*0.1, "N/A")</f>
        <v>5.5</v>
      </c>
      <c r="AH1665">
        <v>55</v>
      </c>
      <c r="AI1665">
        <v>59.350684029715403</v>
      </c>
      <c r="AJ1665">
        <v>27.177700348432101</v>
      </c>
      <c r="AK1665">
        <v>56.822299651567903</v>
      </c>
    </row>
    <row r="1666" spans="1:37" x14ac:dyDescent="0.3">
      <c r="A1666">
        <v>1665</v>
      </c>
      <c r="B1666">
        <v>0</v>
      </c>
      <c r="C1666">
        <v>39.329300000000003</v>
      </c>
      <c r="D1666">
        <v>-6.0759299999999996</v>
      </c>
      <c r="E1666" t="s">
        <v>2894</v>
      </c>
      <c r="F1666" t="s">
        <v>2895</v>
      </c>
      <c r="G1666" t="s">
        <v>39</v>
      </c>
      <c r="H1666">
        <v>2002</v>
      </c>
      <c r="I1666">
        <v>27.299999237060501</v>
      </c>
      <c r="J1666">
        <v>9.1000003814697301</v>
      </c>
      <c r="K1666">
        <v>67.076923076923094</v>
      </c>
      <c r="L1666">
        <v>12.4846151792086</v>
      </c>
      <c r="M1666">
        <v>34.200000762939503</v>
      </c>
      <c r="N1666">
        <v>20.807691574096701</v>
      </c>
      <c r="O1666">
        <v>13.392307354853701</v>
      </c>
      <c r="P1666">
        <v>28</v>
      </c>
      <c r="Q1666">
        <v>25.607692718505898</v>
      </c>
      <c r="R1666">
        <v>28.899999618530298</v>
      </c>
      <c r="S1666">
        <v>25.607692718505898</v>
      </c>
      <c r="T1666">
        <v>1715.76923076923</v>
      </c>
      <c r="U1666">
        <v>409.230769230769</v>
      </c>
      <c r="V1666">
        <v>53</v>
      </c>
      <c r="W1666">
        <v>77</v>
      </c>
      <c r="X1666">
        <v>936.538461538462</v>
      </c>
      <c r="Y1666">
        <v>173.15384615384599</v>
      </c>
      <c r="Z1666">
        <v>337.07692307692298</v>
      </c>
      <c r="AA1666">
        <v>173.15384615384599</v>
      </c>
      <c r="AB1666">
        <v>5.95804225814926</v>
      </c>
      <c r="AC1666">
        <v>0.12553370669419001</v>
      </c>
      <c r="AD1666">
        <v>1.6080624773785801</v>
      </c>
      <c r="AE1666">
        <v>0.30739995837211598</v>
      </c>
      <c r="AF1666">
        <v>43.889860139860197</v>
      </c>
      <c r="AG1666">
        <f>IFERROR(AH1666*0.1, "N/A")</f>
        <v>5.4</v>
      </c>
      <c r="AH1666">
        <v>54</v>
      </c>
      <c r="AI1666">
        <v>281.19832835164101</v>
      </c>
      <c r="AJ1666">
        <v>27</v>
      </c>
      <c r="AK1666">
        <v>56.907342657342703</v>
      </c>
    </row>
    <row r="1667" spans="1:37" x14ac:dyDescent="0.3">
      <c r="A1667">
        <v>1666</v>
      </c>
      <c r="B1667">
        <v>15</v>
      </c>
      <c r="C1667">
        <v>39.327998999999998</v>
      </c>
      <c r="D1667">
        <v>-6.0885300000000004</v>
      </c>
      <c r="E1667" t="s">
        <v>2896</v>
      </c>
      <c r="F1667" t="s">
        <v>2897</v>
      </c>
      <c r="G1667" t="s">
        <v>39</v>
      </c>
      <c r="H1667">
        <v>2002</v>
      </c>
      <c r="I1667">
        <v>27.299999237060501</v>
      </c>
      <c r="J1667">
        <v>9.1000003814697301</v>
      </c>
      <c r="K1667">
        <v>67</v>
      </c>
      <c r="L1667">
        <v>12.569999694824199</v>
      </c>
      <c r="M1667">
        <v>34.200000762939503</v>
      </c>
      <c r="N1667">
        <v>20.799999237060501</v>
      </c>
      <c r="O1667">
        <v>13.3999996185303</v>
      </c>
      <c r="P1667">
        <v>28</v>
      </c>
      <c r="Q1667">
        <v>25.600000381469702</v>
      </c>
      <c r="R1667">
        <v>28.899999618530298</v>
      </c>
      <c r="S1667">
        <v>25.600000381469702</v>
      </c>
      <c r="T1667">
        <v>1707</v>
      </c>
      <c r="U1667">
        <v>407</v>
      </c>
      <c r="V1667">
        <v>52</v>
      </c>
      <c r="W1667">
        <v>77</v>
      </c>
      <c r="X1667">
        <v>929</v>
      </c>
      <c r="Y1667">
        <v>171</v>
      </c>
      <c r="Z1667">
        <v>336</v>
      </c>
      <c r="AA1667">
        <v>171</v>
      </c>
      <c r="AB1667">
        <v>10.090227496561599</v>
      </c>
      <c r="AC1667">
        <v>3.2503993113901002E-2</v>
      </c>
      <c r="AD1667">
        <v>2.52933471115472</v>
      </c>
      <c r="AE1667">
        <v>0.30439415574073803</v>
      </c>
      <c r="AF1667">
        <v>50.539267015706798</v>
      </c>
      <c r="AG1667">
        <f>IFERROR(AH1667*0.1, "N/A")</f>
        <v>5.5038394415357805</v>
      </c>
      <c r="AH1667">
        <v>55.0383944153578</v>
      </c>
      <c r="AI1667">
        <v>209.15606023711899</v>
      </c>
      <c r="AJ1667">
        <v>26.8603839441536</v>
      </c>
      <c r="AK1667">
        <v>58.069808027923202</v>
      </c>
    </row>
    <row r="1668" spans="1:37" x14ac:dyDescent="0.3">
      <c r="A1668">
        <v>1667</v>
      </c>
      <c r="B1668">
        <v>42.5</v>
      </c>
      <c r="C1668">
        <v>39.287497999999999</v>
      </c>
      <c r="D1668">
        <v>-6.1621800000000002</v>
      </c>
      <c r="E1668" t="s">
        <v>2898</v>
      </c>
      <c r="F1668" t="s">
        <v>2899</v>
      </c>
      <c r="G1668" t="s">
        <v>39</v>
      </c>
      <c r="H1668">
        <v>2002</v>
      </c>
      <c r="I1668">
        <v>27</v>
      </c>
      <c r="J1668">
        <v>9.1999998092651403</v>
      </c>
      <c r="K1668">
        <v>68</v>
      </c>
      <c r="L1668">
        <v>12.579999923706101</v>
      </c>
      <c r="M1668">
        <v>33.900001525878899</v>
      </c>
      <c r="N1668">
        <v>20.5</v>
      </c>
      <c r="O1668">
        <v>13.3999996185303</v>
      </c>
      <c r="P1668">
        <v>27.600000381469702</v>
      </c>
      <c r="Q1668">
        <v>25.299999237060501</v>
      </c>
      <c r="R1668">
        <v>28.600000381469702</v>
      </c>
      <c r="S1668">
        <v>25.299999237060501</v>
      </c>
      <c r="T1668">
        <v>1576</v>
      </c>
      <c r="U1668">
        <v>375</v>
      </c>
      <c r="V1668">
        <v>46</v>
      </c>
      <c r="W1668">
        <v>75</v>
      </c>
      <c r="X1668">
        <v>830</v>
      </c>
      <c r="Y1668">
        <v>151</v>
      </c>
      <c r="Z1668">
        <v>310</v>
      </c>
      <c r="AA1668">
        <v>151</v>
      </c>
      <c r="AB1668">
        <v>4.9054200699279402</v>
      </c>
      <c r="AC1668">
        <v>5.6628350407810002E-2</v>
      </c>
      <c r="AD1668">
        <v>2.14314200307106</v>
      </c>
      <c r="AE1668">
        <v>0.40275744291452298</v>
      </c>
      <c r="AF1668">
        <v>37.082167832167798</v>
      </c>
      <c r="AG1668">
        <f>IFERROR(AH1668*0.1, "N/A")</f>
        <v>5.3012237762237806</v>
      </c>
      <c r="AH1668">
        <v>53.012237762237802</v>
      </c>
      <c r="AI1668">
        <v>135.63313706271299</v>
      </c>
      <c r="AJ1668">
        <v>24.012237762237799</v>
      </c>
      <c r="AK1668">
        <v>59.164335664335702</v>
      </c>
    </row>
    <row r="1669" spans="1:37" x14ac:dyDescent="0.3">
      <c r="A1669">
        <v>1668</v>
      </c>
      <c r="B1669">
        <v>5</v>
      </c>
      <c r="C1669">
        <v>39.333302000000003</v>
      </c>
      <c r="D1669">
        <v>-6.1833299999999998</v>
      </c>
      <c r="E1669" t="s">
        <v>2900</v>
      </c>
      <c r="F1669" t="s">
        <v>2901</v>
      </c>
      <c r="G1669" t="s">
        <v>39</v>
      </c>
      <c r="H1669">
        <v>2002</v>
      </c>
      <c r="I1669">
        <v>27.200000762939499</v>
      </c>
      <c r="J1669">
        <v>8.9258738431063591</v>
      </c>
      <c r="K1669">
        <v>67.258741258741296</v>
      </c>
      <c r="L1669">
        <v>12.6202273635597</v>
      </c>
      <c r="M1669">
        <v>34</v>
      </c>
      <c r="N1669">
        <v>20.822901422327199</v>
      </c>
      <c r="O1669">
        <v>13.1770978424099</v>
      </c>
      <c r="P1669">
        <v>27.8770974332636</v>
      </c>
      <c r="Q1669">
        <v>25.5</v>
      </c>
      <c r="R1669">
        <v>28.7578670128242</v>
      </c>
      <c r="S1669">
        <v>25.5</v>
      </c>
      <c r="T1669">
        <v>1546.0174825174799</v>
      </c>
      <c r="U1669">
        <v>379.33741258741298</v>
      </c>
      <c r="V1669">
        <v>42.325174825174798</v>
      </c>
      <c r="W1669">
        <v>78.162587412587399</v>
      </c>
      <c r="X1669">
        <v>837.55419580419596</v>
      </c>
      <c r="Y1669">
        <v>145.20454545454501</v>
      </c>
      <c r="Z1669">
        <v>306.87937062937101</v>
      </c>
      <c r="AA1669">
        <v>145.20454545454501</v>
      </c>
      <c r="AB1669">
        <v>3.6613640951943598</v>
      </c>
      <c r="AC1669">
        <v>7.1574207649311994E-2</v>
      </c>
      <c r="AD1669">
        <v>1.4453494909343201</v>
      </c>
      <c r="AE1669">
        <v>0.325345105537168</v>
      </c>
      <c r="AF1669">
        <v>28.3531468531469</v>
      </c>
      <c r="AG1669">
        <f>IFERROR(AH1669*0.1, "N/A")</f>
        <v>5.4798951048950997</v>
      </c>
      <c r="AH1669">
        <v>54.798951048950997</v>
      </c>
      <c r="AI1669">
        <v>194.35786123875999</v>
      </c>
      <c r="AJ1669">
        <v>26.826923076923102</v>
      </c>
      <c r="AK1669">
        <v>56.1451048951049</v>
      </c>
    </row>
    <row r="1670" spans="1:37" x14ac:dyDescent="0.3">
      <c r="A1670">
        <v>1669</v>
      </c>
      <c r="B1670">
        <v>0</v>
      </c>
      <c r="C1670">
        <v>39.533298000000002</v>
      </c>
      <c r="D1670">
        <v>-6.2666700000000004</v>
      </c>
      <c r="E1670" t="s">
        <v>2902</v>
      </c>
      <c r="F1670" t="s">
        <v>2903</v>
      </c>
      <c r="G1670" t="s">
        <v>39</v>
      </c>
      <c r="H1670">
        <v>2002</v>
      </c>
      <c r="I1670">
        <v>27.7718257539169</v>
      </c>
      <c r="J1670">
        <v>8.32817394256592</v>
      </c>
      <c r="K1670">
        <v>66.6417391304348</v>
      </c>
      <c r="L1670">
        <v>12.5315476608276</v>
      </c>
      <c r="M1670">
        <v>34.135825381071697</v>
      </c>
      <c r="N1670">
        <v>21.7718257539169</v>
      </c>
      <c r="O1670">
        <v>12.3639998245239</v>
      </c>
      <c r="P1670">
        <v>28.471825979481601</v>
      </c>
      <c r="Q1670">
        <v>26.4573911418086</v>
      </c>
      <c r="R1670">
        <v>29.335825460682699</v>
      </c>
      <c r="S1670">
        <v>26.085565543796701</v>
      </c>
      <c r="T1670">
        <v>1541.45565217391</v>
      </c>
      <c r="U1670">
        <v>427.21391304347799</v>
      </c>
      <c r="V1670">
        <v>29.495652173913101</v>
      </c>
      <c r="W1670">
        <v>92</v>
      </c>
      <c r="X1670">
        <v>920.06086956521699</v>
      </c>
      <c r="Y1670">
        <v>119.128695652174</v>
      </c>
      <c r="Z1670">
        <v>294.63304347826102</v>
      </c>
      <c r="AA1670">
        <v>123.486956521739</v>
      </c>
      <c r="AB1670">
        <v>8.4281740097377593</v>
      </c>
      <c r="AC1670">
        <v>8.5421309004660006E-3</v>
      </c>
      <c r="AD1670">
        <v>1.28960169963215</v>
      </c>
      <c r="AE1670">
        <v>0.43171432614326499</v>
      </c>
      <c r="AF1670">
        <v>10.676521739130401</v>
      </c>
      <c r="AG1670">
        <f>IFERROR(AH1670*0.1, "N/A")</f>
        <v>5.8000000000000007</v>
      </c>
      <c r="AH1670">
        <v>58</v>
      </c>
      <c r="AI1670">
        <v>111.578447371773</v>
      </c>
      <c r="AJ1670">
        <v>22.563478260869601</v>
      </c>
      <c r="AK1670">
        <v>60.281739130434801</v>
      </c>
    </row>
    <row r="1671" spans="1:37" x14ac:dyDescent="0.3">
      <c r="A1671">
        <v>1670</v>
      </c>
      <c r="B1671">
        <v>0</v>
      </c>
      <c r="C1671">
        <v>39.466701999999998</v>
      </c>
      <c r="D1671">
        <v>-6.3666700000000001</v>
      </c>
      <c r="E1671" t="s">
        <v>2904</v>
      </c>
      <c r="F1671" t="s">
        <v>2905</v>
      </c>
      <c r="G1671" t="s">
        <v>39</v>
      </c>
      <c r="H1671">
        <v>2002</v>
      </c>
      <c r="I1671">
        <v>27.342582296534601</v>
      </c>
      <c r="J1671">
        <v>8.40750401015889</v>
      </c>
      <c r="K1671">
        <v>67.075043630017404</v>
      </c>
      <c r="L1671">
        <v>13.051518486848501</v>
      </c>
      <c r="M1671">
        <v>33.668935479501997</v>
      </c>
      <c r="N1671">
        <v>21.211518319281399</v>
      </c>
      <c r="O1671">
        <v>12.457416940526</v>
      </c>
      <c r="P1671">
        <v>28.042583059474001</v>
      </c>
      <c r="Q1671">
        <v>25.611518750016</v>
      </c>
      <c r="R1671">
        <v>28.9614309174436</v>
      </c>
      <c r="S1671">
        <v>25.611518750016</v>
      </c>
      <c r="T1671">
        <v>1435.8813263525301</v>
      </c>
      <c r="U1671">
        <v>392.98429319371701</v>
      </c>
      <c r="V1671">
        <v>28.385689354275701</v>
      </c>
      <c r="W1671">
        <v>90.614310645724203</v>
      </c>
      <c r="X1671">
        <v>843.42757417102996</v>
      </c>
      <c r="Y1671">
        <v>110.959860383944</v>
      </c>
      <c r="Z1671">
        <v>281.14834205933698</v>
      </c>
      <c r="AA1671">
        <v>110.959860383944</v>
      </c>
      <c r="AB1671">
        <v>13.320592580665499</v>
      </c>
      <c r="AC1671">
        <v>1.0809292017204E-2</v>
      </c>
      <c r="AD1671">
        <v>2.3659415319952002</v>
      </c>
      <c r="AE1671">
        <v>0.229793086647987</v>
      </c>
      <c r="AF1671">
        <v>36.675392670157102</v>
      </c>
      <c r="AG1671">
        <f>IFERROR(AH1671*0.1, "N/A")</f>
        <v>5.2027923211169309</v>
      </c>
      <c r="AH1671">
        <v>52.027923211169302</v>
      </c>
      <c r="AI1671">
        <v>49.805372734136398</v>
      </c>
      <c r="AJ1671">
        <v>26</v>
      </c>
      <c r="AK1671">
        <v>57.3298429319372</v>
      </c>
    </row>
    <row r="1672" spans="1:37" x14ac:dyDescent="0.3">
      <c r="A1672">
        <v>1671</v>
      </c>
      <c r="B1672">
        <v>0</v>
      </c>
      <c r="C1672">
        <v>39.549999</v>
      </c>
      <c r="D1672">
        <v>-6.4166699999999999</v>
      </c>
      <c r="E1672" t="s">
        <v>2906</v>
      </c>
      <c r="F1672" t="s">
        <v>2907</v>
      </c>
      <c r="G1672" t="s">
        <v>39</v>
      </c>
      <c r="H1672">
        <v>2002</v>
      </c>
      <c r="I1672">
        <v>27.320104208859501</v>
      </c>
      <c r="J1672">
        <v>8.1999998092651403</v>
      </c>
      <c r="K1672">
        <v>66.809440559440603</v>
      </c>
      <c r="L1672">
        <v>13.025821869189899</v>
      </c>
      <c r="M1672">
        <v>33.5</v>
      </c>
      <c r="N1672">
        <v>21.280943583775201</v>
      </c>
      <c r="O1672">
        <v>12.219055826013699</v>
      </c>
      <c r="P1672">
        <v>28</v>
      </c>
      <c r="Q1672">
        <v>25.9809439832514</v>
      </c>
      <c r="R1672">
        <v>28.939160607077898</v>
      </c>
      <c r="S1672">
        <v>25.600000381469702</v>
      </c>
      <c r="T1672">
        <v>1472.03146853147</v>
      </c>
      <c r="U1672">
        <v>416.92832167832199</v>
      </c>
      <c r="V1672">
        <v>27</v>
      </c>
      <c r="W1672">
        <v>94.311188811188799</v>
      </c>
      <c r="X1672">
        <v>887.24825174825196</v>
      </c>
      <c r="Y1672">
        <v>109</v>
      </c>
      <c r="Z1672">
        <v>282.58216783216801</v>
      </c>
      <c r="AA1672">
        <v>111.201048951049</v>
      </c>
      <c r="AB1672">
        <v>0.54807691640787204</v>
      </c>
      <c r="AC1672">
        <v>0.35061408034884001</v>
      </c>
      <c r="AD1672">
        <v>1.0544794718702399</v>
      </c>
      <c r="AE1672">
        <v>0.35487215721107002</v>
      </c>
      <c r="AF1672">
        <v>29.6048951048951</v>
      </c>
      <c r="AG1672">
        <f>IFERROR(AH1672*0.1, "N/A")</f>
        <v>6.1000000000000005</v>
      </c>
      <c r="AH1672">
        <v>61</v>
      </c>
      <c r="AI1672">
        <v>159.304187141098</v>
      </c>
      <c r="AJ1672">
        <v>22.783216783216801</v>
      </c>
      <c r="AK1672">
        <v>61.608391608391599</v>
      </c>
    </row>
    <row r="1673" spans="1:37" x14ac:dyDescent="0.3">
      <c r="A1673">
        <v>1672</v>
      </c>
      <c r="B1673">
        <v>0</v>
      </c>
      <c r="C1673">
        <v>39.465499999999999</v>
      </c>
      <c r="D1673">
        <v>-6.4326600000000003</v>
      </c>
      <c r="E1673" t="s">
        <v>2908</v>
      </c>
      <c r="F1673" t="s">
        <v>2909</v>
      </c>
      <c r="G1673" t="s">
        <v>39</v>
      </c>
      <c r="H1673">
        <v>2002</v>
      </c>
      <c r="I1673">
        <v>27.200000762939499</v>
      </c>
      <c r="J1673">
        <v>8.3999996185302699</v>
      </c>
      <c r="K1673">
        <v>67</v>
      </c>
      <c r="L1673">
        <v>12.9099998474121</v>
      </c>
      <c r="M1673">
        <v>33.5</v>
      </c>
      <c r="N1673">
        <v>21.100000381469702</v>
      </c>
      <c r="O1673">
        <v>12.3999996185303</v>
      </c>
      <c r="P1673">
        <v>27.899999618530298</v>
      </c>
      <c r="Q1673">
        <v>25.5</v>
      </c>
      <c r="R1673">
        <v>28.799999237060501</v>
      </c>
      <c r="S1673">
        <v>25.5</v>
      </c>
      <c r="T1673">
        <v>1373</v>
      </c>
      <c r="U1673">
        <v>373</v>
      </c>
      <c r="V1673">
        <v>27</v>
      </c>
      <c r="W1673">
        <v>89</v>
      </c>
      <c r="X1673">
        <v>800</v>
      </c>
      <c r="Y1673">
        <v>104</v>
      </c>
      <c r="Z1673">
        <v>274</v>
      </c>
      <c r="AA1673">
        <v>104</v>
      </c>
      <c r="AB1673">
        <v>12.806087082572599</v>
      </c>
      <c r="AC1673">
        <v>1.4892303323292E-2</v>
      </c>
      <c r="AD1673">
        <v>0.84465143670206499</v>
      </c>
      <c r="AE1673">
        <v>0.46252856021342098</v>
      </c>
      <c r="AF1673">
        <v>13.076521739130399</v>
      </c>
      <c r="AG1673">
        <f>IFERROR(AH1673*0.1, "N/A")</f>
        <v>5.9977391304347805</v>
      </c>
      <c r="AH1673">
        <v>59.977391304347798</v>
      </c>
      <c r="AI1673">
        <v>125.146816870648</v>
      </c>
      <c r="AJ1673">
        <v>28.939130434782601</v>
      </c>
      <c r="AK1673">
        <v>49.153043478260898</v>
      </c>
    </row>
    <row r="1674" spans="1:37" x14ac:dyDescent="0.3">
      <c r="A1674">
        <v>1673</v>
      </c>
      <c r="B1674">
        <v>2.5</v>
      </c>
      <c r="C1674">
        <v>39.533298000000002</v>
      </c>
      <c r="D1674">
        <v>-6.4666699999999997</v>
      </c>
      <c r="E1674" t="s">
        <v>2910</v>
      </c>
      <c r="F1674" t="s">
        <v>2911</v>
      </c>
      <c r="G1674" t="s">
        <v>39</v>
      </c>
      <c r="H1674">
        <v>2002</v>
      </c>
      <c r="I1674">
        <v>27.307020540440298</v>
      </c>
      <c r="J1674">
        <v>8.1999998092651403</v>
      </c>
      <c r="K1674">
        <v>66</v>
      </c>
      <c r="L1674">
        <v>13.4702764571981</v>
      </c>
      <c r="M1674">
        <v>33.407022695338497</v>
      </c>
      <c r="N1674">
        <v>21.107021684849499</v>
      </c>
      <c r="O1674">
        <v>12.300000190734901</v>
      </c>
      <c r="P1674">
        <v>27.941276371732702</v>
      </c>
      <c r="Q1674">
        <v>25.507021303379801</v>
      </c>
      <c r="R1674">
        <v>28.934255068352901</v>
      </c>
      <c r="S1674">
        <v>25.507021303379801</v>
      </c>
      <c r="T1674">
        <v>1408.10212765957</v>
      </c>
      <c r="U1674">
        <v>391.691489361702</v>
      </c>
      <c r="V1674">
        <v>26</v>
      </c>
      <c r="W1674">
        <v>91.929787234042607</v>
      </c>
      <c r="X1674">
        <v>837.31276595744703</v>
      </c>
      <c r="Y1674">
        <v>104.929787234043</v>
      </c>
      <c r="Z1674">
        <v>278.58723404255301</v>
      </c>
      <c r="AA1674">
        <v>104.929787234043</v>
      </c>
      <c r="AB1674">
        <v>4.32249570856614</v>
      </c>
      <c r="AC1674">
        <v>1.7750494455450998E-2</v>
      </c>
      <c r="AD1674">
        <v>3.4047928739092499</v>
      </c>
      <c r="AE1674">
        <v>0.21701510250568401</v>
      </c>
      <c r="AF1674">
        <v>13.8675958188153</v>
      </c>
      <c r="AG1674">
        <f>IFERROR(AH1674*0.1, "N/A")</f>
        <v>5.4682926829268297</v>
      </c>
      <c r="AH1674">
        <v>54.682926829268297</v>
      </c>
      <c r="AI1674">
        <v>151.95827398732101</v>
      </c>
      <c r="AJ1674">
        <v>30.158536585365901</v>
      </c>
      <c r="AK1674">
        <v>48.878048780487802</v>
      </c>
    </row>
    <row r="1675" spans="1:37" x14ac:dyDescent="0.3">
      <c r="A1675">
        <v>1674</v>
      </c>
      <c r="B1675">
        <v>33.400002000000001</v>
      </c>
      <c r="C1675">
        <v>39.710200999999998</v>
      </c>
      <c r="D1675">
        <v>-9.9976500000000001</v>
      </c>
      <c r="E1675" t="s">
        <v>2912</v>
      </c>
      <c r="F1675" t="s">
        <v>2913</v>
      </c>
      <c r="G1675" t="s">
        <v>39</v>
      </c>
      <c r="H1675">
        <v>1956</v>
      </c>
      <c r="I1675">
        <v>26.299999237060501</v>
      </c>
      <c r="J1675">
        <v>9</v>
      </c>
      <c r="K1675">
        <v>72</v>
      </c>
      <c r="L1675">
        <v>11.789999961853001</v>
      </c>
      <c r="M1675">
        <v>31.600000381469702</v>
      </c>
      <c r="N1675">
        <v>19.100000381469702</v>
      </c>
      <c r="O1675">
        <v>12.5</v>
      </c>
      <c r="P1675">
        <v>27.399999618530298</v>
      </c>
      <c r="Q1675">
        <v>24.700000762939499</v>
      </c>
      <c r="R1675">
        <v>27.5</v>
      </c>
      <c r="S1675">
        <v>24.700000762939499</v>
      </c>
      <c r="T1675">
        <v>910</v>
      </c>
      <c r="U1675">
        <v>168</v>
      </c>
      <c r="V1675">
        <v>8</v>
      </c>
      <c r="W1675">
        <v>87</v>
      </c>
      <c r="X1675">
        <v>477</v>
      </c>
      <c r="Y1675">
        <v>26</v>
      </c>
      <c r="Z1675">
        <v>429</v>
      </c>
      <c r="AA1675">
        <v>26</v>
      </c>
      <c r="AB1675">
        <v>22.543449224274699</v>
      </c>
      <c r="AC1675">
        <v>2.0064249348923001E-2</v>
      </c>
      <c r="AD1675">
        <v>6.8049164854247</v>
      </c>
      <c r="AE1675">
        <v>0.69714152812957797</v>
      </c>
      <c r="AF1675">
        <v>22.751724137930999</v>
      </c>
      <c r="AG1675">
        <f>IFERROR(AH1675*0.1, "N/A")</f>
        <v>6.0317241379310405</v>
      </c>
      <c r="AH1675">
        <v>60.317241379310403</v>
      </c>
      <c r="AI1675">
        <v>57.170109189789898</v>
      </c>
      <c r="AJ1675">
        <v>21.975862068965501</v>
      </c>
      <c r="AK1675">
        <v>64.341379310344806</v>
      </c>
    </row>
    <row r="1676" spans="1:37" x14ac:dyDescent="0.3">
      <c r="A1676">
        <v>1675</v>
      </c>
      <c r="B1676">
        <v>20</v>
      </c>
      <c r="C1676">
        <v>39.264000000000003</v>
      </c>
      <c r="D1676">
        <v>-6.8216799999999997</v>
      </c>
      <c r="E1676" t="s">
        <v>2914</v>
      </c>
      <c r="F1676" t="s">
        <v>2915</v>
      </c>
      <c r="G1676" t="s">
        <v>39</v>
      </c>
      <c r="H1676">
        <v>1956</v>
      </c>
      <c r="I1676">
        <v>25.899999618530298</v>
      </c>
      <c r="J1676">
        <v>8.6000003814697301</v>
      </c>
      <c r="K1676">
        <v>66</v>
      </c>
      <c r="L1676">
        <v>15.3699998855591</v>
      </c>
      <c r="M1676">
        <v>31.799999237060501</v>
      </c>
      <c r="N1676">
        <v>18.799999237060501</v>
      </c>
      <c r="O1676">
        <v>13</v>
      </c>
      <c r="P1676">
        <v>26.700000762939499</v>
      </c>
      <c r="Q1676">
        <v>23.899999618530298</v>
      </c>
      <c r="R1676">
        <v>27.799999237060501</v>
      </c>
      <c r="S1676">
        <v>23.899999618530298</v>
      </c>
      <c r="T1676">
        <v>1091</v>
      </c>
      <c r="U1676">
        <v>260</v>
      </c>
      <c r="V1676">
        <v>23</v>
      </c>
      <c r="W1676">
        <v>75</v>
      </c>
      <c r="X1676">
        <v>567</v>
      </c>
      <c r="Y1676">
        <v>78</v>
      </c>
      <c r="Z1676">
        <v>282</v>
      </c>
      <c r="AA1676">
        <v>78</v>
      </c>
      <c r="AB1676">
        <v>17.31608331787</v>
      </c>
      <c r="AC1676">
        <v>1.3370940860659999E-2</v>
      </c>
      <c r="AD1676">
        <v>2.21795714193291</v>
      </c>
      <c r="AE1676">
        <v>0.93270200490951505</v>
      </c>
      <c r="AF1676">
        <v>18.8496503496504</v>
      </c>
      <c r="AG1676">
        <f>IFERROR(AH1676*0.1, "N/A")</f>
        <v>6.4356643356643408</v>
      </c>
      <c r="AH1676">
        <v>64.356643356643403</v>
      </c>
      <c r="AI1676">
        <v>92.948672501357294</v>
      </c>
      <c r="AJ1676">
        <v>26.7465034965035</v>
      </c>
      <c r="AK1676">
        <v>57.431818181818201</v>
      </c>
    </row>
    <row r="1677" spans="1:37" x14ac:dyDescent="0.3">
      <c r="A1677">
        <v>1676</v>
      </c>
      <c r="B1677">
        <v>9</v>
      </c>
      <c r="C1677">
        <v>36.483299000000002</v>
      </c>
      <c r="D1677">
        <v>-6.35</v>
      </c>
      <c r="E1677" t="s">
        <v>2916</v>
      </c>
      <c r="F1677" t="s">
        <v>2917</v>
      </c>
      <c r="G1677" t="s">
        <v>39</v>
      </c>
      <c r="H1677">
        <v>1956</v>
      </c>
      <c r="I1677">
        <v>21.9128468897608</v>
      </c>
      <c r="J1677">
        <v>14.067187756299999</v>
      </c>
      <c r="K1677">
        <v>74</v>
      </c>
      <c r="L1677">
        <v>13.1773783365885</v>
      </c>
      <c r="M1677">
        <v>30.7958332366414</v>
      </c>
      <c r="N1677">
        <v>11.912847230831799</v>
      </c>
      <c r="O1677">
        <v>18.882985664738499</v>
      </c>
      <c r="P1677">
        <v>23.217187702655799</v>
      </c>
      <c r="Q1677">
        <v>20.360069592793799</v>
      </c>
      <c r="R1677">
        <v>23.248611433638501</v>
      </c>
      <c r="S1677">
        <v>20.128646022743698</v>
      </c>
      <c r="T1677">
        <v>637.88541666666697</v>
      </c>
      <c r="U1677">
        <v>129.871527777778</v>
      </c>
      <c r="V1677">
        <v>1</v>
      </c>
      <c r="W1677">
        <v>100.527777777778</v>
      </c>
      <c r="X1677">
        <v>369.928819444444</v>
      </c>
      <c r="Y1677">
        <v>4</v>
      </c>
      <c r="Z1677">
        <v>369.300347222222</v>
      </c>
      <c r="AA1677">
        <v>5</v>
      </c>
      <c r="AB1677">
        <v>43.702745119730601</v>
      </c>
      <c r="AC1677">
        <v>5.7366050171872997E-2</v>
      </c>
      <c r="AD1677">
        <v>2.83763359487057</v>
      </c>
      <c r="AE1677">
        <v>0.425070971250534</v>
      </c>
      <c r="AF1677">
        <v>994.1875</v>
      </c>
      <c r="AG1677">
        <f>IFERROR(AH1677*0.1, "N/A")</f>
        <v>6.4055555555555603</v>
      </c>
      <c r="AH1677">
        <v>64.0555555555556</v>
      </c>
      <c r="AI1677">
        <v>243.96476337644799</v>
      </c>
      <c r="AJ1677">
        <v>28.5833333333333</v>
      </c>
      <c r="AK1677">
        <v>57.4722222222222</v>
      </c>
    </row>
    <row r="1678" spans="1:37" x14ac:dyDescent="0.3">
      <c r="A1678">
        <v>1677</v>
      </c>
      <c r="B1678">
        <v>90.800003000000004</v>
      </c>
      <c r="C1678">
        <v>35.747700000000002</v>
      </c>
      <c r="D1678">
        <v>-4.2100400000000002</v>
      </c>
      <c r="E1678" t="s">
        <v>2918</v>
      </c>
      <c r="F1678" t="s">
        <v>2919</v>
      </c>
      <c r="G1678" t="s">
        <v>39</v>
      </c>
      <c r="H1678">
        <v>1956</v>
      </c>
      <c r="I1678">
        <v>20.200000762939499</v>
      </c>
      <c r="J1678">
        <v>11.3999996185303</v>
      </c>
      <c r="K1678">
        <v>70</v>
      </c>
      <c r="L1678">
        <v>15.560000419616699</v>
      </c>
      <c r="M1678">
        <v>27.799999237060501</v>
      </c>
      <c r="N1678">
        <v>11.699999809265099</v>
      </c>
      <c r="O1678">
        <v>16.100000381469702</v>
      </c>
      <c r="P1678">
        <v>21.399999618530298</v>
      </c>
      <c r="Q1678">
        <v>18.299999237060501</v>
      </c>
      <c r="R1678">
        <v>21.5</v>
      </c>
      <c r="S1678">
        <v>17.799999237060501</v>
      </c>
      <c r="T1678">
        <v>831</v>
      </c>
      <c r="U1678">
        <v>182</v>
      </c>
      <c r="V1678">
        <v>0</v>
      </c>
      <c r="W1678">
        <v>88</v>
      </c>
      <c r="X1678">
        <v>424</v>
      </c>
      <c r="Y1678">
        <v>6</v>
      </c>
      <c r="Z1678">
        <v>310</v>
      </c>
      <c r="AA1678">
        <v>7</v>
      </c>
      <c r="AB1678">
        <v>2.6806940973747801</v>
      </c>
      <c r="AC1678">
        <v>5.3683527763310999E-2</v>
      </c>
      <c r="AD1678">
        <v>1.8560120271148901</v>
      </c>
      <c r="AE1678">
        <v>0.54489031219314799</v>
      </c>
      <c r="AF1678">
        <v>1339.7170474516699</v>
      </c>
      <c r="AG1678">
        <f>IFERROR(AH1678*0.1, "N/A")</f>
        <v>6.501757469244291</v>
      </c>
      <c r="AH1678">
        <v>65.017574692442906</v>
      </c>
      <c r="AI1678">
        <v>57.0224918036972</v>
      </c>
      <c r="AJ1678">
        <v>40.123022847100202</v>
      </c>
      <c r="AK1678">
        <v>38.043936731107202</v>
      </c>
    </row>
    <row r="1679" spans="1:37" x14ac:dyDescent="0.3">
      <c r="A1679">
        <v>1678</v>
      </c>
      <c r="B1679">
        <v>13.1</v>
      </c>
      <c r="C1679">
        <v>32.893298999999999</v>
      </c>
      <c r="D1679">
        <v>-2.5233300000000001</v>
      </c>
      <c r="E1679" t="s">
        <v>2920</v>
      </c>
      <c r="F1679" t="s">
        <v>2921</v>
      </c>
      <c r="G1679" t="s">
        <v>37</v>
      </c>
      <c r="H1679">
        <v>1956</v>
      </c>
      <c r="I1679">
        <v>22.600000381469702</v>
      </c>
      <c r="J1679">
        <v>10.3999996185303</v>
      </c>
      <c r="K1679">
        <v>76</v>
      </c>
      <c r="L1679">
        <v>4.9299998283386204</v>
      </c>
      <c r="M1679">
        <v>28.799999237060501</v>
      </c>
      <c r="N1679">
        <v>15.199999809265099</v>
      </c>
      <c r="O1679">
        <v>13.6000003814697</v>
      </c>
      <c r="P1679">
        <v>22.799999237060501</v>
      </c>
      <c r="Q1679">
        <v>21.899999618530298</v>
      </c>
      <c r="R1679">
        <v>23.100000381469702</v>
      </c>
      <c r="S1679">
        <v>21.899999618530298</v>
      </c>
      <c r="T1679">
        <v>1061</v>
      </c>
      <c r="U1679">
        <v>176</v>
      </c>
      <c r="V1679">
        <v>8</v>
      </c>
      <c r="W1679">
        <v>65</v>
      </c>
      <c r="X1679">
        <v>430</v>
      </c>
      <c r="Y1679">
        <v>40</v>
      </c>
      <c r="Z1679">
        <v>277</v>
      </c>
      <c r="AA1679">
        <v>40</v>
      </c>
      <c r="AB1679">
        <v>17.694019243620499</v>
      </c>
      <c r="AC1679">
        <v>3.8451346494848999E-2</v>
      </c>
      <c r="AD1679">
        <v>3.0709265586139902</v>
      </c>
      <c r="AE1679">
        <v>0.788962602615356</v>
      </c>
      <c r="AF1679">
        <v>1153.6807760141101</v>
      </c>
      <c r="AG1679">
        <f>IFERROR(AH1679*0.1, "N/A")</f>
        <v>6.2820105820105807</v>
      </c>
      <c r="AH1679">
        <v>62.820105820105802</v>
      </c>
      <c r="AI1679">
        <v>66.824997726992095</v>
      </c>
      <c r="AJ1679">
        <v>34.021164021163997</v>
      </c>
      <c r="AK1679">
        <v>41.703703703703702</v>
      </c>
    </row>
    <row r="1680" spans="1:37" x14ac:dyDescent="0.3">
      <c r="A1680">
        <v>1679</v>
      </c>
      <c r="B1680">
        <v>52.900002000000001</v>
      </c>
      <c r="C1680">
        <v>32.913798999999997</v>
      </c>
      <c r="D1680">
        <v>-2.52461</v>
      </c>
      <c r="E1680" t="s">
        <v>2922</v>
      </c>
      <c r="F1680" t="s">
        <v>2923</v>
      </c>
      <c r="G1680" t="s">
        <v>37</v>
      </c>
      <c r="H1680">
        <v>1956</v>
      </c>
      <c r="I1680">
        <v>22.570474926323399</v>
      </c>
      <c r="J1680">
        <v>10.407381017514</v>
      </c>
      <c r="K1680">
        <v>75.073813708260104</v>
      </c>
      <c r="L1680">
        <v>5.0032862611311399</v>
      </c>
      <c r="M1680">
        <v>28.785236579881602</v>
      </c>
      <c r="N1680">
        <v>15.077856254912801</v>
      </c>
      <c r="O1680">
        <v>13.707381208248799</v>
      </c>
      <c r="P1680">
        <v>22.6704751670046</v>
      </c>
      <c r="Q1680">
        <v>21.8704741633839</v>
      </c>
      <c r="R1680">
        <v>23.077856184518598</v>
      </c>
      <c r="S1680">
        <v>21.8704741633839</v>
      </c>
      <c r="T1680">
        <v>1058.02636203866</v>
      </c>
      <c r="U1680">
        <v>175.51669595782101</v>
      </c>
      <c r="V1680">
        <v>8.0738137082601096</v>
      </c>
      <c r="W1680">
        <v>65.926186291739896</v>
      </c>
      <c r="X1680">
        <v>430.32864674868199</v>
      </c>
      <c r="Y1680">
        <v>39.147627416520201</v>
      </c>
      <c r="Z1680">
        <v>275.95957820738101</v>
      </c>
      <c r="AA1680">
        <v>39.147627416520201</v>
      </c>
      <c r="AB1680">
        <v>1.1050993210402</v>
      </c>
      <c r="AC1680">
        <v>11.8400619521423</v>
      </c>
      <c r="AD1680">
        <v>1.99556849910002</v>
      </c>
      <c r="AE1680">
        <v>0.83172118663787797</v>
      </c>
      <c r="AF1680">
        <v>1156.80667838313</v>
      </c>
      <c r="AG1680">
        <f>IFERROR(AH1680*0.1, "N/A")</f>
        <v>6.6000000000000005</v>
      </c>
      <c r="AH1680">
        <v>66</v>
      </c>
      <c r="AI1680">
        <v>231.07734096909201</v>
      </c>
      <c r="AJ1680">
        <v>36</v>
      </c>
      <c r="AK1680">
        <v>45.880492091388398</v>
      </c>
    </row>
    <row r="1681" spans="1:37" x14ac:dyDescent="0.3">
      <c r="A1681">
        <v>1680</v>
      </c>
      <c r="B1681">
        <v>0</v>
      </c>
      <c r="C1681">
        <v>32.9</v>
      </c>
      <c r="D1681">
        <v>-2.5167000000000002</v>
      </c>
      <c r="E1681" t="s">
        <v>2924</v>
      </c>
      <c r="F1681" t="s">
        <v>2925</v>
      </c>
      <c r="G1681" t="s">
        <v>39</v>
      </c>
      <c r="H1681">
        <v>1956</v>
      </c>
      <c r="I1681">
        <v>22.5824564548961</v>
      </c>
      <c r="J1681">
        <v>10.3999996185303</v>
      </c>
      <c r="K1681">
        <v>76</v>
      </c>
      <c r="L1681">
        <v>4.9289649202112598</v>
      </c>
      <c r="M1681">
        <v>28.782456264161201</v>
      </c>
      <c r="N1681">
        <v>15.1824563595287</v>
      </c>
      <c r="O1681">
        <v>13.6000003814697</v>
      </c>
      <c r="P1681">
        <v>22.782456264161201</v>
      </c>
      <c r="Q1681">
        <v>21.849999427795399</v>
      </c>
      <c r="R1681">
        <v>23.0824564548961</v>
      </c>
      <c r="S1681">
        <v>21.849999427795399</v>
      </c>
      <c r="T1681">
        <v>1059.5543859649099</v>
      </c>
      <c r="U1681">
        <v>175.75087719298199</v>
      </c>
      <c r="V1681">
        <v>8</v>
      </c>
      <c r="W1681">
        <v>65</v>
      </c>
      <c r="X1681">
        <v>429.57719298245598</v>
      </c>
      <c r="Y1681">
        <v>39.575438596491203</v>
      </c>
      <c r="Z1681">
        <v>276.65087719298202</v>
      </c>
      <c r="AA1681">
        <v>39.575438596491203</v>
      </c>
      <c r="AB1681">
        <v>1.4375466865405699</v>
      </c>
      <c r="AC1681">
        <v>3.34595831183782</v>
      </c>
      <c r="AD1681">
        <v>1.3982316933180201</v>
      </c>
      <c r="AE1681">
        <v>0.75672621350539304</v>
      </c>
      <c r="AF1681">
        <v>1143.3052631578901</v>
      </c>
      <c r="AG1681">
        <f>IFERROR(AH1681*0.1, "N/A")</f>
        <v>6.4675438596491208</v>
      </c>
      <c r="AH1681">
        <v>64.675438596491205</v>
      </c>
      <c r="AI1681">
        <v>172.60489981132599</v>
      </c>
      <c r="AJ1681">
        <v>36.698245614035102</v>
      </c>
      <c r="AK1681">
        <v>44.126315789473701</v>
      </c>
    </row>
    <row r="1682" spans="1:37" x14ac:dyDescent="0.3">
      <c r="A1682">
        <v>1681</v>
      </c>
      <c r="B1682">
        <v>86.699996999999996</v>
      </c>
      <c r="C1682">
        <v>39.7761</v>
      </c>
      <c r="D1682">
        <v>-5.0567799999999998</v>
      </c>
      <c r="E1682" t="s">
        <v>2926</v>
      </c>
      <c r="F1682" t="s">
        <v>2927</v>
      </c>
      <c r="G1682" t="s">
        <v>39</v>
      </c>
      <c r="H1682">
        <v>1956</v>
      </c>
      <c r="I1682">
        <v>25.399999618530298</v>
      </c>
      <c r="J1682">
        <v>8.3000001907348597</v>
      </c>
      <c r="K1682">
        <v>66</v>
      </c>
      <c r="L1682">
        <v>12.9799995422363</v>
      </c>
      <c r="M1682">
        <v>31.600000381469702</v>
      </c>
      <c r="N1682">
        <v>19.100000381469702</v>
      </c>
      <c r="O1682">
        <v>12.5</v>
      </c>
      <c r="P1682">
        <v>26.200000762939499</v>
      </c>
      <c r="Q1682">
        <v>23.600000381469702</v>
      </c>
      <c r="R1682">
        <v>26.899999618530298</v>
      </c>
      <c r="S1682">
        <v>23.600000381469702</v>
      </c>
      <c r="T1682">
        <v>1636</v>
      </c>
      <c r="U1682">
        <v>390</v>
      </c>
      <c r="V1682">
        <v>34</v>
      </c>
      <c r="W1682">
        <v>83</v>
      </c>
      <c r="X1682">
        <v>887</v>
      </c>
      <c r="Y1682">
        <v>155</v>
      </c>
      <c r="Z1682">
        <v>254</v>
      </c>
      <c r="AA1682">
        <v>155</v>
      </c>
      <c r="AB1682">
        <v>12.277408028650999</v>
      </c>
      <c r="AC1682">
        <v>1.5986618727785E-2</v>
      </c>
      <c r="AD1682">
        <v>2.4034462785136301</v>
      </c>
      <c r="AE1682">
        <v>0.39143458008766202</v>
      </c>
      <c r="AF1682">
        <v>50.581436077057802</v>
      </c>
      <c r="AG1682">
        <f>IFERROR(AH1682*0.1, "N/A")</f>
        <v>5.6000000000000005</v>
      </c>
      <c r="AH1682">
        <v>56</v>
      </c>
      <c r="AI1682">
        <v>144.743467728436</v>
      </c>
      <c r="AJ1682">
        <v>20.012259194395799</v>
      </c>
      <c r="AK1682">
        <v>60.987740805604197</v>
      </c>
    </row>
    <row r="1683" spans="1:37" x14ac:dyDescent="0.3">
      <c r="A1683">
        <v>1682</v>
      </c>
      <c r="B1683">
        <v>83.300003000000004</v>
      </c>
      <c r="C1683">
        <v>39.809502000000002</v>
      </c>
      <c r="D1683">
        <v>-5.1879400000000002</v>
      </c>
      <c r="E1683" t="s">
        <v>2928</v>
      </c>
      <c r="F1683" t="s">
        <v>2929</v>
      </c>
      <c r="G1683" t="s">
        <v>39</v>
      </c>
      <c r="H1683">
        <v>1956</v>
      </c>
      <c r="I1683">
        <v>25.5</v>
      </c>
      <c r="J1683">
        <v>8.3000001907348597</v>
      </c>
      <c r="K1683">
        <v>66</v>
      </c>
      <c r="L1683">
        <v>12.9099998474121</v>
      </c>
      <c r="M1683">
        <v>31.799999237060501</v>
      </c>
      <c r="N1683">
        <v>19.299999237060501</v>
      </c>
      <c r="O1683">
        <v>12.5</v>
      </c>
      <c r="P1683">
        <v>26.399999618530298</v>
      </c>
      <c r="Q1683">
        <v>23.799999237060501</v>
      </c>
      <c r="R1683">
        <v>27.100000381469702</v>
      </c>
      <c r="S1683">
        <v>23.799999237060501</v>
      </c>
      <c r="T1683">
        <v>1328</v>
      </c>
      <c r="U1683">
        <v>296</v>
      </c>
      <c r="V1683">
        <v>21</v>
      </c>
      <c r="W1683">
        <v>78</v>
      </c>
      <c r="X1683">
        <v>706</v>
      </c>
      <c r="Y1683">
        <v>95</v>
      </c>
      <c r="Z1683">
        <v>281</v>
      </c>
      <c r="AA1683">
        <v>95</v>
      </c>
      <c r="AB1683">
        <v>7.8847894001674002</v>
      </c>
      <c r="AC1683">
        <v>8.5135392349709998E-3</v>
      </c>
      <c r="AD1683">
        <v>2.3098144360355599</v>
      </c>
      <c r="AE1683">
        <v>0.356671303510666</v>
      </c>
      <c r="AF1683">
        <v>30.625874125874098</v>
      </c>
      <c r="AG1683">
        <f>IFERROR(AH1683*0.1, "N/A")</f>
        <v>5.7</v>
      </c>
      <c r="AH1683">
        <v>57</v>
      </c>
      <c r="AI1683">
        <v>185.46461730903701</v>
      </c>
      <c r="AJ1683">
        <v>28.972027972027998</v>
      </c>
      <c r="AK1683">
        <v>51.041958041957997</v>
      </c>
    </row>
    <row r="1684" spans="1:37" x14ac:dyDescent="0.3">
      <c r="A1684">
        <v>1683</v>
      </c>
      <c r="B1684">
        <v>91.199996999999996</v>
      </c>
      <c r="C1684">
        <v>39.727200000000003</v>
      </c>
      <c r="D1684">
        <v>-5.4174300000000004</v>
      </c>
      <c r="E1684" t="s">
        <v>2930</v>
      </c>
      <c r="F1684" t="s">
        <v>2931</v>
      </c>
      <c r="G1684" t="s">
        <v>39</v>
      </c>
      <c r="H1684">
        <v>1956</v>
      </c>
      <c r="I1684">
        <v>26.119197479301299</v>
      </c>
      <c r="J1684">
        <v>8.3999996185302699</v>
      </c>
      <c r="K1684">
        <v>66</v>
      </c>
      <c r="L1684">
        <v>12.5916758049637</v>
      </c>
      <c r="M1684">
        <v>32.519197280910397</v>
      </c>
      <c r="N1684">
        <v>19.909598258985501</v>
      </c>
      <c r="O1684">
        <v>12.6095989303855</v>
      </c>
      <c r="P1684">
        <v>26.8287951584262</v>
      </c>
      <c r="Q1684">
        <v>24.809597877515799</v>
      </c>
      <c r="R1684">
        <v>27.619197479301299</v>
      </c>
      <c r="S1684">
        <v>24.409598258985501</v>
      </c>
      <c r="T1684">
        <v>1734.1204188481699</v>
      </c>
      <c r="U1684">
        <v>450.23211169284502</v>
      </c>
      <c r="V1684">
        <v>28</v>
      </c>
      <c r="W1684">
        <v>93</v>
      </c>
      <c r="X1684">
        <v>1022.2722513089</v>
      </c>
      <c r="Y1684">
        <v>118.808027923211</v>
      </c>
      <c r="Z1684">
        <v>305.42408376963402</v>
      </c>
      <c r="AA1684">
        <v>121.808027923211</v>
      </c>
      <c r="AB1684">
        <v>14.3645730609461</v>
      </c>
      <c r="AC1684">
        <v>8.5104318322650006E-3</v>
      </c>
      <c r="AD1684">
        <v>0.72067401328012004</v>
      </c>
      <c r="AE1684">
        <v>0.33091750741004899</v>
      </c>
      <c r="AF1684">
        <v>24.986038394415399</v>
      </c>
      <c r="AG1684">
        <f>IFERROR(AH1684*0.1, "N/A")</f>
        <v>5.7369982547992997</v>
      </c>
      <c r="AH1684">
        <v>57.369982547992997</v>
      </c>
      <c r="AI1684">
        <v>127.853072720672</v>
      </c>
      <c r="AJ1684">
        <v>27.834205933682401</v>
      </c>
      <c r="AK1684">
        <v>53.535776614310599</v>
      </c>
    </row>
    <row r="1685" spans="1:37" x14ac:dyDescent="0.3">
      <c r="A1685">
        <v>1684</v>
      </c>
      <c r="B1685">
        <v>24</v>
      </c>
      <c r="C1685">
        <v>39.255198999999998</v>
      </c>
      <c r="D1685">
        <v>-5.9297000000000004</v>
      </c>
      <c r="E1685" t="s">
        <v>2932</v>
      </c>
      <c r="F1685" t="s">
        <v>2933</v>
      </c>
      <c r="G1685" t="s">
        <v>39</v>
      </c>
      <c r="H1685">
        <v>1956</v>
      </c>
      <c r="I1685">
        <v>27.100000381469702</v>
      </c>
      <c r="J1685">
        <v>9.3000001907348597</v>
      </c>
      <c r="K1685">
        <v>68</v>
      </c>
      <c r="L1685">
        <v>12.960000038146999</v>
      </c>
      <c r="M1685">
        <v>34.099998474121101</v>
      </c>
      <c r="N1685">
        <v>20.5</v>
      </c>
      <c r="O1685">
        <v>13.6000003814697</v>
      </c>
      <c r="P1685">
        <v>27.799999237060501</v>
      </c>
      <c r="Q1685">
        <v>25.399999618530298</v>
      </c>
      <c r="R1685">
        <v>28.700000762939499</v>
      </c>
      <c r="S1685">
        <v>25.399999618530298</v>
      </c>
      <c r="T1685">
        <v>1700</v>
      </c>
      <c r="U1685">
        <v>399</v>
      </c>
      <c r="V1685">
        <v>57</v>
      </c>
      <c r="W1685">
        <v>77</v>
      </c>
      <c r="X1685">
        <v>929</v>
      </c>
      <c r="Y1685">
        <v>193</v>
      </c>
      <c r="Z1685">
        <v>324</v>
      </c>
      <c r="AA1685">
        <v>193</v>
      </c>
      <c r="AB1685">
        <v>13.671304858663801</v>
      </c>
      <c r="AC1685">
        <v>1.2451405149439E-2</v>
      </c>
      <c r="AD1685">
        <v>1.6674378952772699</v>
      </c>
      <c r="AE1685">
        <v>0.40283218026161199</v>
      </c>
      <c r="AF1685">
        <v>77.384347826086994</v>
      </c>
      <c r="AG1685">
        <f>IFERROR(AH1685*0.1, "N/A")</f>
        <v>5.4419130434782605</v>
      </c>
      <c r="AH1685">
        <v>54.419130434782602</v>
      </c>
      <c r="AI1685">
        <v>74.252350185228394</v>
      </c>
      <c r="AJ1685">
        <v>22.580869565217402</v>
      </c>
      <c r="AK1685">
        <v>61.257391304347799</v>
      </c>
    </row>
    <row r="1686" spans="1:37" x14ac:dyDescent="0.3">
      <c r="A1686">
        <v>1685</v>
      </c>
      <c r="B1686">
        <v>1.1000000000000001</v>
      </c>
      <c r="C1686">
        <v>37.329101999999999</v>
      </c>
      <c r="D1686">
        <v>-3.51126</v>
      </c>
      <c r="E1686" t="s">
        <v>2934</v>
      </c>
      <c r="F1686" t="s">
        <v>2935</v>
      </c>
      <c r="G1686" t="s">
        <v>37</v>
      </c>
      <c r="H1686">
        <v>1972</v>
      </c>
      <c r="I1686">
        <v>23.700000762939499</v>
      </c>
      <c r="J1686">
        <v>12.3999996185303</v>
      </c>
      <c r="K1686">
        <v>71</v>
      </c>
      <c r="L1686">
        <v>16.780000686645501</v>
      </c>
      <c r="M1686">
        <v>33.099998474121101</v>
      </c>
      <c r="N1686">
        <v>15.699999809265099</v>
      </c>
      <c r="O1686">
        <v>17.399999618530298</v>
      </c>
      <c r="P1686">
        <v>24.299999237060501</v>
      </c>
      <c r="Q1686">
        <v>21.299999237060501</v>
      </c>
      <c r="R1686">
        <v>25.5</v>
      </c>
      <c r="S1686">
        <v>21.299999237060501</v>
      </c>
      <c r="T1686">
        <v>554</v>
      </c>
      <c r="U1686">
        <v>164</v>
      </c>
      <c r="V1686">
        <v>7</v>
      </c>
      <c r="W1686">
        <v>91</v>
      </c>
      <c r="X1686">
        <v>314</v>
      </c>
      <c r="Y1686">
        <v>25</v>
      </c>
      <c r="Z1686">
        <v>157</v>
      </c>
      <c r="AA1686">
        <v>25</v>
      </c>
      <c r="AB1686">
        <v>1.3996790496396301</v>
      </c>
      <c r="AC1686">
        <v>3.6501968677915997E-2</v>
      </c>
      <c r="AD1686">
        <v>1.1938032545674</v>
      </c>
      <c r="AE1686">
        <v>0.60755270719528198</v>
      </c>
      <c r="AF1686">
        <v>710.19718309859195</v>
      </c>
      <c r="AG1686">
        <f>IFERROR(AH1686*0.1, "N/A")</f>
        <v>6.5132042253521112</v>
      </c>
      <c r="AH1686">
        <v>65.132042253521107</v>
      </c>
      <c r="AI1686">
        <v>87.719727046053194</v>
      </c>
      <c r="AJ1686">
        <v>32.501760563380302</v>
      </c>
      <c r="AK1686">
        <v>42.411971830985898</v>
      </c>
    </row>
    <row r="1687" spans="1:37" x14ac:dyDescent="0.3">
      <c r="A1687">
        <v>1686</v>
      </c>
      <c r="B1687">
        <v>0</v>
      </c>
      <c r="C1687">
        <v>33.424199999999999</v>
      </c>
      <c r="D1687">
        <v>-3.6619000000000002</v>
      </c>
      <c r="E1687" t="s">
        <v>2936</v>
      </c>
      <c r="F1687" t="s">
        <v>2937</v>
      </c>
      <c r="G1687" t="s">
        <v>37</v>
      </c>
      <c r="H1687">
        <v>1970</v>
      </c>
      <c r="I1687">
        <v>23.899999618530298</v>
      </c>
      <c r="J1687">
        <v>11.300000190734901</v>
      </c>
      <c r="K1687">
        <v>68</v>
      </c>
      <c r="L1687">
        <v>9.1899995803833008</v>
      </c>
      <c r="M1687">
        <v>32.299999237060497</v>
      </c>
      <c r="N1687">
        <v>15.800000190734901</v>
      </c>
      <c r="O1687">
        <v>16.5</v>
      </c>
      <c r="P1687">
        <v>23.799999237060501</v>
      </c>
      <c r="Q1687">
        <v>22.700000762939499</v>
      </c>
      <c r="R1687">
        <v>25</v>
      </c>
      <c r="S1687">
        <v>22.700000762939499</v>
      </c>
      <c r="T1687">
        <v>823</v>
      </c>
      <c r="U1687">
        <v>145</v>
      </c>
      <c r="V1687">
        <v>1</v>
      </c>
      <c r="W1687">
        <v>81</v>
      </c>
      <c r="X1687">
        <v>379</v>
      </c>
      <c r="Y1687">
        <v>7</v>
      </c>
      <c r="Z1687">
        <v>138</v>
      </c>
      <c r="AA1687">
        <v>7</v>
      </c>
      <c r="AB1687">
        <v>2.5518455572413199</v>
      </c>
      <c r="AC1687">
        <v>2.7856181683395001E-2</v>
      </c>
      <c r="AD1687">
        <v>1.1985941607838999</v>
      </c>
      <c r="AE1687">
        <v>0.76865599496921899</v>
      </c>
      <c r="AF1687">
        <v>1129.6520210896299</v>
      </c>
      <c r="AG1687">
        <f>IFERROR(AH1687*0.1, "N/A")</f>
        <v>7.1000000000000005</v>
      </c>
      <c r="AH1687">
        <v>71</v>
      </c>
      <c r="AI1687">
        <v>265.85760793032301</v>
      </c>
      <c r="AJ1687">
        <v>32.330404217926201</v>
      </c>
      <c r="AK1687">
        <v>52.446397188049197</v>
      </c>
    </row>
    <row r="1688" spans="1:37" x14ac:dyDescent="0.3">
      <c r="A1688">
        <v>1687</v>
      </c>
      <c r="B1688">
        <v>2.1</v>
      </c>
      <c r="C1688">
        <v>36.954099999999997</v>
      </c>
      <c r="D1688">
        <v>-4.3150000000000004</v>
      </c>
      <c r="E1688" t="s">
        <v>2938</v>
      </c>
      <c r="F1688" t="s">
        <v>2939</v>
      </c>
      <c r="G1688" t="s">
        <v>37</v>
      </c>
      <c r="H1688">
        <v>1970</v>
      </c>
      <c r="I1688">
        <v>19.200000762939499</v>
      </c>
      <c r="J1688">
        <v>11.6000003814697</v>
      </c>
      <c r="K1688">
        <v>69</v>
      </c>
      <c r="L1688">
        <v>16.25</v>
      </c>
      <c r="M1688">
        <v>27.700000762939499</v>
      </c>
      <c r="N1688">
        <v>11</v>
      </c>
      <c r="O1688">
        <v>16.700000762939499</v>
      </c>
      <c r="P1688">
        <v>20.600000381469702</v>
      </c>
      <c r="Q1688">
        <v>17.100000381469702</v>
      </c>
      <c r="R1688">
        <v>20.899999618530298</v>
      </c>
      <c r="S1688">
        <v>16.799999237060501</v>
      </c>
      <c r="T1688">
        <v>565</v>
      </c>
      <c r="U1688">
        <v>115</v>
      </c>
      <c r="V1688">
        <v>3</v>
      </c>
      <c r="W1688">
        <v>82</v>
      </c>
      <c r="X1688">
        <v>287</v>
      </c>
      <c r="Y1688">
        <v>12</v>
      </c>
      <c r="Z1688">
        <v>253</v>
      </c>
      <c r="AA1688">
        <v>14</v>
      </c>
      <c r="AB1688">
        <v>1.74851057116079</v>
      </c>
      <c r="AC1688">
        <v>0.49611621846864101</v>
      </c>
      <c r="AD1688">
        <v>2.7664355897652899</v>
      </c>
      <c r="AE1688">
        <v>0.35233400989121599</v>
      </c>
      <c r="AF1688">
        <v>1471.1891418563901</v>
      </c>
      <c r="AG1688">
        <f>IFERROR(AH1688*0.1, "N/A")</f>
        <v>6.75008756567426</v>
      </c>
      <c r="AH1688">
        <v>67.500875656742593</v>
      </c>
      <c r="AI1688">
        <v>73.862038714246907</v>
      </c>
      <c r="AJ1688">
        <v>34.789842381786301</v>
      </c>
      <c r="AK1688">
        <v>48.504378283712803</v>
      </c>
    </row>
    <row r="1689" spans="1:37" x14ac:dyDescent="0.3">
      <c r="A1689">
        <v>1688</v>
      </c>
      <c r="B1689">
        <v>0.7</v>
      </c>
      <c r="C1689">
        <v>35.082799999999999</v>
      </c>
      <c r="D1689">
        <v>-3.6347999999999998</v>
      </c>
      <c r="E1689" t="s">
        <v>2940</v>
      </c>
      <c r="F1689" t="s">
        <v>2941</v>
      </c>
      <c r="G1689" t="s">
        <v>39</v>
      </c>
      <c r="H1689">
        <v>1970</v>
      </c>
      <c r="I1689">
        <v>22.399999618530298</v>
      </c>
      <c r="J1689">
        <v>11.300000190734901</v>
      </c>
      <c r="K1689">
        <v>73</v>
      </c>
      <c r="L1689">
        <v>13.199999809265099</v>
      </c>
      <c r="M1689">
        <v>29.700000762939499</v>
      </c>
      <c r="N1689">
        <v>14.300000190734901</v>
      </c>
      <c r="O1689">
        <v>15.3999996185303</v>
      </c>
      <c r="P1689">
        <v>23.5</v>
      </c>
      <c r="Q1689">
        <v>20.899999618530298</v>
      </c>
      <c r="R1689">
        <v>23.5</v>
      </c>
      <c r="S1689">
        <v>20.299999237060501</v>
      </c>
      <c r="T1689">
        <v>678</v>
      </c>
      <c r="U1689">
        <v>141</v>
      </c>
      <c r="V1689">
        <v>1</v>
      </c>
      <c r="W1689">
        <v>86</v>
      </c>
      <c r="X1689">
        <v>341</v>
      </c>
      <c r="Y1689">
        <v>8</v>
      </c>
      <c r="Z1689">
        <v>341</v>
      </c>
      <c r="AA1689">
        <v>10</v>
      </c>
      <c r="AB1689">
        <v>0</v>
      </c>
      <c r="AC1689">
        <v>0.12036375556573201</v>
      </c>
      <c r="AD1689">
        <v>0</v>
      </c>
      <c r="AE1689" t="s">
        <v>729</v>
      </c>
      <c r="AF1689">
        <v>1025</v>
      </c>
      <c r="AG1689" t="str">
        <f>IFERROR(AH1689*0.1, "N/A")</f>
        <v>N/A</v>
      </c>
      <c r="AH1689" t="s">
        <v>729</v>
      </c>
      <c r="AI1689">
        <v>0</v>
      </c>
      <c r="AJ1689" t="s">
        <v>729</v>
      </c>
      <c r="AK1689" t="s">
        <v>729</v>
      </c>
    </row>
    <row r="1690" spans="1:37" x14ac:dyDescent="0.3">
      <c r="A1690">
        <v>1689</v>
      </c>
      <c r="B1690">
        <v>33.299999</v>
      </c>
      <c r="C1690">
        <v>34.029998999999997</v>
      </c>
      <c r="D1690">
        <v>-1.1498299999999999</v>
      </c>
      <c r="E1690" t="s">
        <v>2942</v>
      </c>
      <c r="F1690" t="s">
        <v>2943</v>
      </c>
      <c r="G1690" t="s">
        <v>37</v>
      </c>
      <c r="H1690">
        <v>0</v>
      </c>
      <c r="I1690">
        <v>22.600000381469702</v>
      </c>
      <c r="J1690">
        <v>11.8999996185303</v>
      </c>
      <c r="K1690">
        <v>85</v>
      </c>
      <c r="L1690">
        <v>5.2110896680392802</v>
      </c>
      <c r="M1690">
        <v>29.452723896985301</v>
      </c>
      <c r="N1690">
        <v>15.5</v>
      </c>
      <c r="O1690">
        <v>13.952723896985299</v>
      </c>
      <c r="P1690">
        <v>22.852723515515599</v>
      </c>
      <c r="Q1690">
        <v>21.752724035762501</v>
      </c>
      <c r="R1690">
        <v>23.1527246599248</v>
      </c>
      <c r="S1690">
        <v>21.752724035762501</v>
      </c>
      <c r="T1690">
        <v>995.67311072056202</v>
      </c>
      <c r="U1690">
        <v>194.94551845342701</v>
      </c>
      <c r="V1690">
        <v>32</v>
      </c>
      <c r="W1690">
        <v>58</v>
      </c>
      <c r="X1690">
        <v>451.41827768014099</v>
      </c>
      <c r="Y1690">
        <v>105.472759226714</v>
      </c>
      <c r="Z1690">
        <v>248.41827768014099</v>
      </c>
      <c r="AA1690">
        <v>105.472759226714</v>
      </c>
      <c r="AB1690">
        <v>25.883793138661598</v>
      </c>
      <c r="AC1690">
        <v>3.8074754460049001E-2</v>
      </c>
      <c r="AD1690">
        <v>2.5683913603817801</v>
      </c>
      <c r="AE1690">
        <v>0.56591665744781505</v>
      </c>
      <c r="AF1690">
        <v>1186.2267135325101</v>
      </c>
      <c r="AG1690">
        <f>IFERROR(AH1690*0.1, "N/A")</f>
        <v>6.4</v>
      </c>
      <c r="AH1690">
        <v>64</v>
      </c>
      <c r="AI1690">
        <v>163.13993444593601</v>
      </c>
      <c r="AJ1690">
        <v>22</v>
      </c>
      <c r="AK1690">
        <v>64</v>
      </c>
    </row>
    <row r="1691" spans="1:37" x14ac:dyDescent="0.3">
      <c r="A1691">
        <v>1690</v>
      </c>
      <c r="B1691">
        <v>100</v>
      </c>
      <c r="C1691">
        <v>33.955002</v>
      </c>
      <c r="D1691">
        <v>-1.3063100000000001</v>
      </c>
      <c r="E1691" t="s">
        <v>2944</v>
      </c>
      <c r="F1691" t="s">
        <v>2945</v>
      </c>
      <c r="G1691" t="s">
        <v>37</v>
      </c>
      <c r="H1691">
        <v>0</v>
      </c>
      <c r="I1691">
        <v>22.899999618530298</v>
      </c>
      <c r="J1691">
        <v>11.1000003814697</v>
      </c>
      <c r="K1691">
        <v>84</v>
      </c>
      <c r="L1691">
        <v>4.8899998664856001</v>
      </c>
      <c r="M1691">
        <v>29.399999618530298</v>
      </c>
      <c r="N1691">
        <v>16.200000762939499</v>
      </c>
      <c r="O1691">
        <v>13.199999809265099</v>
      </c>
      <c r="P1691">
        <v>23.100000381469702</v>
      </c>
      <c r="Q1691">
        <v>22.100000381469702</v>
      </c>
      <c r="R1691">
        <v>23.399999618530298</v>
      </c>
      <c r="S1691">
        <v>22.100000381469702</v>
      </c>
      <c r="T1691">
        <v>957</v>
      </c>
      <c r="U1691">
        <v>188</v>
      </c>
      <c r="V1691">
        <v>26</v>
      </c>
      <c r="W1691">
        <v>60</v>
      </c>
      <c r="X1691">
        <v>438</v>
      </c>
      <c r="Y1691">
        <v>88</v>
      </c>
      <c r="Z1691">
        <v>254</v>
      </c>
      <c r="AA1691">
        <v>88</v>
      </c>
      <c r="AB1691">
        <v>5.9528178967927596</v>
      </c>
      <c r="AC1691">
        <v>4.2503549828472001E-2</v>
      </c>
      <c r="AD1691">
        <v>2.6058291707122501</v>
      </c>
      <c r="AE1691">
        <v>0.21861095385242099</v>
      </c>
      <c r="AF1691">
        <v>1133.7403508771899</v>
      </c>
      <c r="AG1691" t="str">
        <f>IFERROR(AH1691*0.1, "N/A")</f>
        <v>N/A</v>
      </c>
      <c r="AH1691" t="s">
        <v>729</v>
      </c>
      <c r="AI1691">
        <v>198.044460229706</v>
      </c>
      <c r="AJ1691" t="s">
        <v>729</v>
      </c>
      <c r="AK1691" t="s">
        <v>729</v>
      </c>
    </row>
    <row r="1692" spans="1:37" x14ac:dyDescent="0.3">
      <c r="A1692">
        <v>1691</v>
      </c>
      <c r="B1692">
        <v>100</v>
      </c>
      <c r="C1692">
        <v>33.825099999999999</v>
      </c>
      <c r="D1692">
        <v>-1.35198</v>
      </c>
      <c r="E1692" t="s">
        <v>2946</v>
      </c>
      <c r="F1692" t="s">
        <v>2947</v>
      </c>
      <c r="G1692" t="s">
        <v>37</v>
      </c>
      <c r="H1692">
        <v>0</v>
      </c>
      <c r="I1692">
        <v>22.955184363313201</v>
      </c>
      <c r="J1692">
        <v>10.5</v>
      </c>
      <c r="K1692">
        <v>83.5518453427065</v>
      </c>
      <c r="L1692">
        <v>4.5854481552941904</v>
      </c>
      <c r="M1692">
        <v>29</v>
      </c>
      <c r="N1692">
        <v>16.455184363313201</v>
      </c>
      <c r="O1692">
        <v>12.544815636686801</v>
      </c>
      <c r="P1692">
        <v>23.055184744782899</v>
      </c>
      <c r="Q1692">
        <v>22.210368818474201</v>
      </c>
      <c r="R1692">
        <v>23.299999237060501</v>
      </c>
      <c r="S1692">
        <v>22.210368818474201</v>
      </c>
      <c r="T1692">
        <v>955.79261862917394</v>
      </c>
      <c r="U1692">
        <v>188</v>
      </c>
      <c r="V1692">
        <v>22.4481546572935</v>
      </c>
      <c r="W1692">
        <v>61.5518453427065</v>
      </c>
      <c r="X1692">
        <v>442</v>
      </c>
      <c r="Y1692">
        <v>76.896309314587</v>
      </c>
      <c r="Z1692">
        <v>266</v>
      </c>
      <c r="AA1692">
        <v>76.896309314587</v>
      </c>
      <c r="AB1692">
        <v>25.516379518961401</v>
      </c>
      <c r="AC1692">
        <v>1.0978519337117999E-2</v>
      </c>
      <c r="AD1692">
        <v>2.4793230737240299</v>
      </c>
      <c r="AE1692">
        <v>0.233627900481224</v>
      </c>
      <c r="AF1692">
        <v>1169.4446397188001</v>
      </c>
      <c r="AG1692">
        <f>IFERROR(AH1692*0.1, "N/A")</f>
        <v>6.0344463971880504</v>
      </c>
      <c r="AH1692">
        <v>60.344463971880501</v>
      </c>
      <c r="AI1692">
        <v>159.747234029384</v>
      </c>
      <c r="AJ1692">
        <v>19</v>
      </c>
      <c r="AK1692">
        <v>70.103690685413</v>
      </c>
    </row>
    <row r="1693" spans="1:37" x14ac:dyDescent="0.3">
      <c r="A1693">
        <v>1692</v>
      </c>
      <c r="B1693">
        <v>33.299999</v>
      </c>
      <c r="C1693">
        <v>33.405200999999998</v>
      </c>
      <c r="D1693">
        <v>-1.8093900000000001</v>
      </c>
      <c r="E1693" t="s">
        <v>2948</v>
      </c>
      <c r="F1693" t="s">
        <v>2949</v>
      </c>
      <c r="G1693" t="s">
        <v>37</v>
      </c>
      <c r="H1693">
        <v>0</v>
      </c>
      <c r="I1693">
        <v>22.700000762939499</v>
      </c>
      <c r="J1693">
        <v>9.8999996185302699</v>
      </c>
      <c r="K1693">
        <v>79</v>
      </c>
      <c r="L1693">
        <v>4.8400001525878897</v>
      </c>
      <c r="M1693">
        <v>28.5</v>
      </c>
      <c r="N1693">
        <v>16.100000381469702</v>
      </c>
      <c r="O1693">
        <v>12.3999996185303</v>
      </c>
      <c r="P1693">
        <v>22.799999237060501</v>
      </c>
      <c r="Q1693">
        <v>22.200000762939499</v>
      </c>
      <c r="R1693">
        <v>23.100000381469702</v>
      </c>
      <c r="S1693">
        <v>22</v>
      </c>
      <c r="T1693">
        <v>1112</v>
      </c>
      <c r="U1693">
        <v>176</v>
      </c>
      <c r="V1693">
        <v>20</v>
      </c>
      <c r="W1693">
        <v>58</v>
      </c>
      <c r="X1693">
        <v>454</v>
      </c>
      <c r="Y1693">
        <v>76</v>
      </c>
      <c r="Z1693">
        <v>245</v>
      </c>
      <c r="AA1693">
        <v>78</v>
      </c>
      <c r="AB1693">
        <v>9.8179989667005891</v>
      </c>
      <c r="AC1693">
        <v>1.5162015337051001E-2</v>
      </c>
      <c r="AD1693">
        <v>2.0524456719277602</v>
      </c>
      <c r="AE1693">
        <v>0.40591589508342102</v>
      </c>
      <c r="AF1693">
        <v>1145.48591549296</v>
      </c>
      <c r="AG1693">
        <f>IFERROR(AH1693*0.1, "N/A")</f>
        <v>5.9577464788732399</v>
      </c>
      <c r="AH1693">
        <v>59.577464788732399</v>
      </c>
      <c r="AI1693">
        <v>160.46144617107601</v>
      </c>
      <c r="AJ1693">
        <v>18.422535211267601</v>
      </c>
      <c r="AK1693">
        <v>68.933098591549296</v>
      </c>
    </row>
    <row r="1694" spans="1:37" x14ac:dyDescent="0.3">
      <c r="A1694">
        <v>1693</v>
      </c>
      <c r="B1694">
        <v>7.4</v>
      </c>
      <c r="C1694">
        <v>36.955100999999999</v>
      </c>
      <c r="D1694">
        <v>-7.6601900000000001</v>
      </c>
      <c r="E1694" t="s">
        <v>2950</v>
      </c>
      <c r="F1694" t="s">
        <v>2951</v>
      </c>
      <c r="G1694" t="s">
        <v>39</v>
      </c>
      <c r="H1694">
        <v>1991</v>
      </c>
      <c r="I1694">
        <v>23.5</v>
      </c>
      <c r="J1694">
        <v>7.8000001907348597</v>
      </c>
      <c r="K1694">
        <v>57</v>
      </c>
      <c r="L1694">
        <v>17.139999389648398</v>
      </c>
      <c r="M1694">
        <v>29.799999237060501</v>
      </c>
      <c r="N1694">
        <v>16.200000762939499</v>
      </c>
      <c r="O1694">
        <v>13.6000003814697</v>
      </c>
      <c r="P1694">
        <v>24.5</v>
      </c>
      <c r="Q1694">
        <v>21.5</v>
      </c>
      <c r="R1694">
        <v>25.299999237060501</v>
      </c>
      <c r="S1694">
        <v>20.899999618530298</v>
      </c>
      <c r="T1694">
        <v>1421</v>
      </c>
      <c r="U1694">
        <v>313</v>
      </c>
      <c r="V1694">
        <v>8</v>
      </c>
      <c r="W1694">
        <v>86</v>
      </c>
      <c r="X1694">
        <v>786</v>
      </c>
      <c r="Y1694">
        <v>43</v>
      </c>
      <c r="Z1694">
        <v>426</v>
      </c>
      <c r="AA1694">
        <v>50</v>
      </c>
      <c r="AB1694">
        <v>144.65068335003301</v>
      </c>
      <c r="AC1694">
        <v>7.9978490571697994E-2</v>
      </c>
      <c r="AD1694">
        <v>30.589187588956602</v>
      </c>
      <c r="AE1694">
        <v>0.42106407218509201</v>
      </c>
      <c r="AF1694">
        <v>474.00868055555497</v>
      </c>
      <c r="AG1694">
        <f>IFERROR(AH1694*0.1, "N/A")</f>
        <v>6.0784722222222207</v>
      </c>
      <c r="AH1694">
        <v>60.7847222222222</v>
      </c>
      <c r="AI1694">
        <v>16.7345457987653</v>
      </c>
      <c r="AJ1694">
        <v>37.7604166666667</v>
      </c>
      <c r="AK1694">
        <v>44.1388888888889</v>
      </c>
    </row>
    <row r="1695" spans="1:37" x14ac:dyDescent="0.3">
      <c r="A1695">
        <v>1694</v>
      </c>
      <c r="B1695">
        <v>45.5</v>
      </c>
      <c r="C1695">
        <v>36.971401</v>
      </c>
      <c r="D1695">
        <v>-7.6851900000000004</v>
      </c>
      <c r="E1695" t="s">
        <v>2952</v>
      </c>
      <c r="F1695" t="s">
        <v>2953</v>
      </c>
      <c r="G1695" t="s">
        <v>39</v>
      </c>
      <c r="H1695">
        <v>1991</v>
      </c>
      <c r="I1695">
        <v>24.399999618530298</v>
      </c>
      <c r="J1695">
        <v>6.9000000953674299</v>
      </c>
      <c r="K1695">
        <v>52</v>
      </c>
      <c r="L1695">
        <v>19.9899997711182</v>
      </c>
      <c r="M1695">
        <v>30.399999618530298</v>
      </c>
      <c r="N1695">
        <v>17.200000762939499</v>
      </c>
      <c r="O1695">
        <v>13.199999809265099</v>
      </c>
      <c r="P1695">
        <v>25.700000762939499</v>
      </c>
      <c r="Q1695">
        <v>22</v>
      </c>
      <c r="R1695">
        <v>26.5</v>
      </c>
      <c r="S1695">
        <v>21.5</v>
      </c>
      <c r="T1695">
        <v>1428</v>
      </c>
      <c r="U1695">
        <v>339</v>
      </c>
      <c r="V1695">
        <v>11</v>
      </c>
      <c r="W1695">
        <v>85</v>
      </c>
      <c r="X1695">
        <v>781</v>
      </c>
      <c r="Y1695">
        <v>48</v>
      </c>
      <c r="Z1695">
        <v>418</v>
      </c>
      <c r="AA1695">
        <v>55</v>
      </c>
      <c r="AB1695">
        <v>7.2888560012657901</v>
      </c>
      <c r="AC1695">
        <v>1.8790279382041999E-2</v>
      </c>
      <c r="AD1695">
        <v>1.3509281745978801</v>
      </c>
      <c r="AE1695">
        <v>0.47981679865292098</v>
      </c>
      <c r="AF1695">
        <v>286.324041811847</v>
      </c>
      <c r="AG1695">
        <f>IFERROR(AH1695*0.1, "N/A")</f>
        <v>5.8388501742160308</v>
      </c>
      <c r="AH1695">
        <v>58.388501742160301</v>
      </c>
      <c r="AI1695">
        <v>111.10018357333399</v>
      </c>
      <c r="AJ1695">
        <v>32.404181184669</v>
      </c>
      <c r="AK1695">
        <v>51.388501742160301</v>
      </c>
    </row>
    <row r="1696" spans="1:37" x14ac:dyDescent="0.3">
      <c r="A1696">
        <v>1695</v>
      </c>
      <c r="B1696">
        <v>12.5</v>
      </c>
      <c r="C1696">
        <v>37.008597999999999</v>
      </c>
      <c r="D1696">
        <v>-7.6893399999999996</v>
      </c>
      <c r="E1696" t="s">
        <v>2954</v>
      </c>
      <c r="F1696" t="s">
        <v>2955</v>
      </c>
      <c r="G1696" t="s">
        <v>39</v>
      </c>
      <c r="H1696">
        <v>1991</v>
      </c>
      <c r="I1696">
        <v>24.397564826633602</v>
      </c>
      <c r="J1696">
        <v>6.8000001907348597</v>
      </c>
      <c r="K1696">
        <v>51</v>
      </c>
      <c r="L1696">
        <v>20.703668690557102</v>
      </c>
      <c r="M1696">
        <v>30.397564826633602</v>
      </c>
      <c r="N1696">
        <v>17.100000381469702</v>
      </c>
      <c r="O1696">
        <v>13.2975653988382</v>
      </c>
      <c r="P1696">
        <v>25.700000762939499</v>
      </c>
      <c r="Q1696">
        <v>21.899999618530298</v>
      </c>
      <c r="R1696">
        <v>26.4975652081033</v>
      </c>
      <c r="S1696">
        <v>21.302434028957201</v>
      </c>
      <c r="T1696">
        <v>1405.1460869565201</v>
      </c>
      <c r="U1696">
        <v>335.02434782608702</v>
      </c>
      <c r="V1696">
        <v>10</v>
      </c>
      <c r="W1696">
        <v>85.024347826086995</v>
      </c>
      <c r="X1696">
        <v>762.09739130434798</v>
      </c>
      <c r="Y1696">
        <v>46</v>
      </c>
      <c r="Z1696">
        <v>417.04869565217399</v>
      </c>
      <c r="AA1696">
        <v>53</v>
      </c>
      <c r="AB1696">
        <v>4.4410468325407599</v>
      </c>
      <c r="AC1696">
        <v>1.0373313290916999E-2</v>
      </c>
      <c r="AD1696">
        <v>1.71258647462596</v>
      </c>
      <c r="AE1696">
        <v>0.47437576988468999</v>
      </c>
      <c r="AF1696">
        <v>279.75826086956499</v>
      </c>
      <c r="AG1696">
        <f>IFERROR(AH1696*0.1, "N/A")</f>
        <v>6.1111304347826101</v>
      </c>
      <c r="AH1696">
        <v>61.111304347826099</v>
      </c>
      <c r="AI1696">
        <v>144.451955778702</v>
      </c>
      <c r="AJ1696">
        <v>35.048695652173897</v>
      </c>
      <c r="AK1696">
        <v>45.989565217391302</v>
      </c>
    </row>
    <row r="1697" spans="1:37" x14ac:dyDescent="0.3">
      <c r="A1697">
        <v>1696</v>
      </c>
      <c r="B1697">
        <v>11.5</v>
      </c>
      <c r="C1697">
        <v>36.952202</v>
      </c>
      <c r="D1697">
        <v>-7.6948100000000004</v>
      </c>
      <c r="E1697" t="s">
        <v>2956</v>
      </c>
      <c r="F1697" t="s">
        <v>2957</v>
      </c>
      <c r="G1697" t="s">
        <v>39</v>
      </c>
      <c r="H1697">
        <v>1991</v>
      </c>
      <c r="I1697">
        <v>24.299999237060501</v>
      </c>
      <c r="J1697">
        <v>7</v>
      </c>
      <c r="K1697">
        <v>53</v>
      </c>
      <c r="L1697">
        <v>19.590000152587901</v>
      </c>
      <c r="M1697">
        <v>30.200000762939499</v>
      </c>
      <c r="N1697">
        <v>17.100000381469702</v>
      </c>
      <c r="O1697">
        <v>13.1000003814697</v>
      </c>
      <c r="P1697">
        <v>25.5</v>
      </c>
      <c r="Q1697">
        <v>21.899999618530298</v>
      </c>
      <c r="R1697">
        <v>26.299999237060501</v>
      </c>
      <c r="S1697">
        <v>21.399999618530298</v>
      </c>
      <c r="T1697">
        <v>1473</v>
      </c>
      <c r="U1697">
        <v>345</v>
      </c>
      <c r="V1697">
        <v>11</v>
      </c>
      <c r="W1697">
        <v>86</v>
      </c>
      <c r="X1697">
        <v>814</v>
      </c>
      <c r="Y1697">
        <v>51</v>
      </c>
      <c r="Z1697">
        <v>422</v>
      </c>
      <c r="AA1697">
        <v>58</v>
      </c>
      <c r="AB1697">
        <v>51.346611699643297</v>
      </c>
      <c r="AC1697">
        <v>1.53547127329947</v>
      </c>
      <c r="AD1697">
        <v>13.143197038069999</v>
      </c>
      <c r="AE1697">
        <v>0.31963533308195002</v>
      </c>
      <c r="AF1697">
        <v>377.61391304347802</v>
      </c>
      <c r="AG1697">
        <f>IFERROR(AH1697*0.1, "N/A")</f>
        <v>5.5314782608695703</v>
      </c>
      <c r="AH1697">
        <v>55.314782608695701</v>
      </c>
      <c r="AI1697">
        <v>177.09522990351101</v>
      </c>
      <c r="AJ1697">
        <v>32.862608695652199</v>
      </c>
      <c r="AK1697">
        <v>48.1773913043478</v>
      </c>
    </row>
    <row r="1698" spans="1:37" x14ac:dyDescent="0.3">
      <c r="A1698">
        <v>1697</v>
      </c>
      <c r="B1698">
        <v>2.5</v>
      </c>
      <c r="C1698">
        <v>36.975898999999998</v>
      </c>
      <c r="D1698">
        <v>-7.7113899999999997</v>
      </c>
      <c r="E1698" t="s">
        <v>2958</v>
      </c>
      <c r="F1698" t="s">
        <v>2959</v>
      </c>
      <c r="G1698" t="s">
        <v>39</v>
      </c>
      <c r="H1698">
        <v>1991</v>
      </c>
      <c r="I1698">
        <v>24.5</v>
      </c>
      <c r="J1698">
        <v>6.8000001907348597</v>
      </c>
      <c r="K1698">
        <v>51</v>
      </c>
      <c r="L1698">
        <v>20.2399997711182</v>
      </c>
      <c r="M1698">
        <v>30.399999618530298</v>
      </c>
      <c r="N1698">
        <v>17.299999237060501</v>
      </c>
      <c r="O1698">
        <v>13.1000003814697</v>
      </c>
      <c r="P1698">
        <v>25.899999618530298</v>
      </c>
      <c r="Q1698">
        <v>22.100000381469702</v>
      </c>
      <c r="R1698">
        <v>26.600000381469702</v>
      </c>
      <c r="S1698">
        <v>21.600000381469702</v>
      </c>
      <c r="T1698">
        <v>1446</v>
      </c>
      <c r="U1698">
        <v>345</v>
      </c>
      <c r="V1698">
        <v>11</v>
      </c>
      <c r="W1698">
        <v>86</v>
      </c>
      <c r="X1698">
        <v>793</v>
      </c>
      <c r="Y1698">
        <v>49</v>
      </c>
      <c r="Z1698">
        <v>420</v>
      </c>
      <c r="AA1698">
        <v>55</v>
      </c>
      <c r="AB1698">
        <v>0.60207056214119403</v>
      </c>
      <c r="AC1698">
        <v>2.5196085051282999E-2</v>
      </c>
      <c r="AD1698">
        <v>1.00485096368261</v>
      </c>
      <c r="AE1698">
        <v>0.36344692090355102</v>
      </c>
      <c r="AF1698">
        <v>275.81975736568501</v>
      </c>
      <c r="AG1698">
        <f>IFERROR(AH1698*0.1, "N/A")</f>
        <v>5.9915077989601402</v>
      </c>
      <c r="AH1698">
        <v>59.9150779896014</v>
      </c>
      <c r="AI1698">
        <v>101.613895012973</v>
      </c>
      <c r="AJ1698">
        <v>34.6949740034662</v>
      </c>
      <c r="AK1698">
        <v>45.3050259965338</v>
      </c>
    </row>
    <row r="1699" spans="1:37" x14ac:dyDescent="0.3">
      <c r="A1699">
        <v>1698</v>
      </c>
      <c r="B1699">
        <v>10.5</v>
      </c>
      <c r="C1699">
        <v>36.918998999999999</v>
      </c>
      <c r="D1699">
        <v>-7.7281199999999997</v>
      </c>
      <c r="E1699" t="s">
        <v>2960</v>
      </c>
      <c r="F1699" t="s">
        <v>2961</v>
      </c>
      <c r="G1699" t="s">
        <v>39</v>
      </c>
      <c r="H1699">
        <v>1991</v>
      </c>
      <c r="I1699">
        <v>24.100000381469702</v>
      </c>
      <c r="J1699">
        <v>7.1999998092651403</v>
      </c>
      <c r="K1699">
        <v>54</v>
      </c>
      <c r="L1699">
        <v>17.9899997711182</v>
      </c>
      <c r="M1699">
        <v>30.200000762939499</v>
      </c>
      <c r="N1699">
        <v>17</v>
      </c>
      <c r="O1699">
        <v>13.199999809265099</v>
      </c>
      <c r="P1699">
        <v>25.100000381469702</v>
      </c>
      <c r="Q1699">
        <v>22</v>
      </c>
      <c r="R1699">
        <v>26</v>
      </c>
      <c r="S1699">
        <v>21.5</v>
      </c>
      <c r="T1699">
        <v>1525</v>
      </c>
      <c r="U1699">
        <v>351</v>
      </c>
      <c r="V1699">
        <v>11</v>
      </c>
      <c r="W1699">
        <v>87</v>
      </c>
      <c r="X1699">
        <v>859</v>
      </c>
      <c r="Y1699">
        <v>51</v>
      </c>
      <c r="Z1699">
        <v>427</v>
      </c>
      <c r="AA1699">
        <v>59</v>
      </c>
      <c r="AB1699">
        <v>183.55796877323101</v>
      </c>
      <c r="AC1699">
        <v>1.2986138651540999E-2</v>
      </c>
      <c r="AD1699">
        <v>23.2479773986711</v>
      </c>
      <c r="AE1699">
        <v>0.219770358224435</v>
      </c>
      <c r="AF1699">
        <v>521.81833910034595</v>
      </c>
      <c r="AG1699">
        <f>IFERROR(AH1699*0.1, "N/A")</f>
        <v>5.4387543252595201</v>
      </c>
      <c r="AH1699">
        <v>54.387543252595201</v>
      </c>
      <c r="AI1699">
        <v>152.91022703969401</v>
      </c>
      <c r="AJ1699">
        <v>29.403114186851202</v>
      </c>
      <c r="AK1699">
        <v>48.486159169550199</v>
      </c>
    </row>
    <row r="1700" spans="1:37" x14ac:dyDescent="0.3">
      <c r="A1700">
        <v>1699</v>
      </c>
      <c r="B1700">
        <v>9.1</v>
      </c>
      <c r="C1700">
        <v>36.993999000000002</v>
      </c>
      <c r="D1700">
        <v>-7.7316900000000004</v>
      </c>
      <c r="E1700" t="s">
        <v>2962</v>
      </c>
      <c r="F1700" t="s">
        <v>2963</v>
      </c>
      <c r="G1700" t="s">
        <v>39</v>
      </c>
      <c r="H1700">
        <v>1991</v>
      </c>
      <c r="I1700">
        <v>24.600000381469702</v>
      </c>
      <c r="J1700">
        <v>6.8000001907348597</v>
      </c>
      <c r="K1700">
        <v>51</v>
      </c>
      <c r="L1700">
        <v>20.100000381469702</v>
      </c>
      <c r="M1700">
        <v>30.5</v>
      </c>
      <c r="N1700">
        <v>17.399999618530298</v>
      </c>
      <c r="O1700">
        <v>13.1000003814697</v>
      </c>
      <c r="P1700">
        <v>25.899999618530298</v>
      </c>
      <c r="Q1700">
        <v>22.200000762939499</v>
      </c>
      <c r="R1700">
        <v>26.600000381469702</v>
      </c>
      <c r="S1700">
        <v>21.600000381469702</v>
      </c>
      <c r="T1700">
        <v>1448</v>
      </c>
      <c r="U1700">
        <v>347</v>
      </c>
      <c r="V1700">
        <v>11</v>
      </c>
      <c r="W1700">
        <v>87</v>
      </c>
      <c r="X1700">
        <v>796</v>
      </c>
      <c r="Y1700">
        <v>48</v>
      </c>
      <c r="Z1700">
        <v>419</v>
      </c>
      <c r="AA1700">
        <v>55</v>
      </c>
      <c r="AB1700">
        <v>0.542784848420516</v>
      </c>
      <c r="AC1700">
        <v>29.710585102558799</v>
      </c>
      <c r="AD1700">
        <v>1.03325810572375</v>
      </c>
      <c r="AE1700">
        <v>0.34338307380676297</v>
      </c>
      <c r="AF1700">
        <v>271.43130434782603</v>
      </c>
      <c r="AG1700">
        <f>IFERROR(AH1700*0.1, "N/A")</f>
        <v>5.9730434782608697</v>
      </c>
      <c r="AH1700">
        <v>59.730434782608697</v>
      </c>
      <c r="AI1700">
        <v>237.06743121603299</v>
      </c>
      <c r="AJ1700">
        <v>30.914782608695599</v>
      </c>
      <c r="AK1700">
        <v>49.692173913043497</v>
      </c>
    </row>
    <row r="1701" spans="1:37" x14ac:dyDescent="0.3">
      <c r="A1701">
        <v>1700</v>
      </c>
      <c r="B1701">
        <v>7.1</v>
      </c>
      <c r="C1701">
        <v>36.915401000000003</v>
      </c>
      <c r="D1701">
        <v>-7.77081</v>
      </c>
      <c r="E1701" t="s">
        <v>2964</v>
      </c>
      <c r="F1701" t="s">
        <v>2965</v>
      </c>
      <c r="G1701" t="s">
        <v>39</v>
      </c>
      <c r="H1701">
        <v>1991</v>
      </c>
      <c r="I1701">
        <v>24.799999237060501</v>
      </c>
      <c r="J1701">
        <v>6.9000000953674299</v>
      </c>
      <c r="K1701">
        <v>53</v>
      </c>
      <c r="L1701">
        <v>18.389999389648398</v>
      </c>
      <c r="M1701">
        <v>30.700000762939499</v>
      </c>
      <c r="N1701">
        <v>17.799999237060501</v>
      </c>
      <c r="O1701">
        <v>12.8999996185303</v>
      </c>
      <c r="P1701">
        <v>25.799999237060501</v>
      </c>
      <c r="Q1701">
        <v>22.600000381469702</v>
      </c>
      <c r="R1701">
        <v>26.700000762939499</v>
      </c>
      <c r="S1701">
        <v>22</v>
      </c>
      <c r="T1701">
        <v>1538</v>
      </c>
      <c r="U1701">
        <v>367</v>
      </c>
      <c r="V1701">
        <v>12</v>
      </c>
      <c r="W1701">
        <v>88</v>
      </c>
      <c r="X1701">
        <v>875</v>
      </c>
      <c r="Y1701">
        <v>52</v>
      </c>
      <c r="Z1701">
        <v>416</v>
      </c>
      <c r="AA1701">
        <v>60</v>
      </c>
      <c r="AB1701">
        <v>4.26465139934467</v>
      </c>
      <c r="AC1701">
        <v>0.47798254051321598</v>
      </c>
      <c r="AD1701">
        <v>1.6959386374962799</v>
      </c>
      <c r="AE1701">
        <v>0.36056989431381198</v>
      </c>
      <c r="AF1701">
        <v>298.85961871750402</v>
      </c>
      <c r="AG1701">
        <f>IFERROR(AH1701*0.1, "N/A")</f>
        <v>5.3908145580589304</v>
      </c>
      <c r="AH1701">
        <v>53.908145580589299</v>
      </c>
      <c r="AI1701">
        <v>91.730382962284693</v>
      </c>
      <c r="AJ1701">
        <v>32</v>
      </c>
      <c r="AK1701">
        <v>48.908145580589299</v>
      </c>
    </row>
    <row r="1702" spans="1:37" x14ac:dyDescent="0.3">
      <c r="A1702">
        <v>1701</v>
      </c>
      <c r="B1702">
        <v>3.6</v>
      </c>
      <c r="C1702">
        <v>36.904800000000002</v>
      </c>
      <c r="D1702">
        <v>-7.7901999999999996</v>
      </c>
      <c r="E1702" t="s">
        <v>2966</v>
      </c>
      <c r="F1702" t="s">
        <v>2967</v>
      </c>
      <c r="G1702" t="s">
        <v>39</v>
      </c>
      <c r="H1702">
        <v>1991</v>
      </c>
      <c r="I1702">
        <v>24.799999237060501</v>
      </c>
      <c r="J1702">
        <v>6.9000000953674299</v>
      </c>
      <c r="K1702">
        <v>53</v>
      </c>
      <c r="L1702">
        <v>18.299999237060501</v>
      </c>
      <c r="M1702">
        <v>30.899999618530298</v>
      </c>
      <c r="N1702">
        <v>17.899999618530298</v>
      </c>
      <c r="O1702">
        <v>13</v>
      </c>
      <c r="P1702">
        <v>25.799999237060501</v>
      </c>
      <c r="Q1702">
        <v>22.700000762939499</v>
      </c>
      <c r="R1702">
        <v>26.799999237060501</v>
      </c>
      <c r="S1702">
        <v>22.100000381469702</v>
      </c>
      <c r="T1702">
        <v>1559</v>
      </c>
      <c r="U1702">
        <v>372</v>
      </c>
      <c r="V1702">
        <v>12</v>
      </c>
      <c r="W1702">
        <v>89</v>
      </c>
      <c r="X1702">
        <v>892</v>
      </c>
      <c r="Y1702">
        <v>53</v>
      </c>
      <c r="Z1702">
        <v>416</v>
      </c>
      <c r="AA1702">
        <v>61</v>
      </c>
      <c r="AB1702">
        <v>16.3621412913005</v>
      </c>
      <c r="AC1702">
        <v>0.27739797341604999</v>
      </c>
      <c r="AD1702">
        <v>3.2211483745939198</v>
      </c>
      <c r="AE1702">
        <v>0.35532951354980502</v>
      </c>
      <c r="AF1702">
        <v>310.50694444444503</v>
      </c>
      <c r="AG1702">
        <f>IFERROR(AH1702*0.1, "N/A")</f>
        <v>5.4</v>
      </c>
      <c r="AH1702">
        <v>54</v>
      </c>
      <c r="AI1702">
        <v>102.860201186604</v>
      </c>
      <c r="AJ1702">
        <v>33.0104166666667</v>
      </c>
      <c r="AK1702">
        <v>48.484375</v>
      </c>
    </row>
    <row r="1703" spans="1:37" x14ac:dyDescent="0.3">
      <c r="A1703">
        <v>1702</v>
      </c>
      <c r="B1703">
        <v>42.599997999999999</v>
      </c>
      <c r="C1703">
        <v>37.037799999999997</v>
      </c>
      <c r="D1703">
        <v>-7.7968599999999997</v>
      </c>
      <c r="E1703" t="s">
        <v>2968</v>
      </c>
      <c r="F1703" t="s">
        <v>2969</v>
      </c>
      <c r="G1703" t="s">
        <v>39</v>
      </c>
      <c r="H1703">
        <v>1991</v>
      </c>
      <c r="I1703">
        <v>24.799999237060501</v>
      </c>
      <c r="J1703">
        <v>6.8000001907348597</v>
      </c>
      <c r="K1703">
        <v>52</v>
      </c>
      <c r="L1703">
        <v>19.290000915527301</v>
      </c>
      <c r="M1703">
        <v>30.600000381469702</v>
      </c>
      <c r="N1703">
        <v>17.700000762939499</v>
      </c>
      <c r="O1703">
        <v>12.8999996185303</v>
      </c>
      <c r="P1703">
        <v>26</v>
      </c>
      <c r="Q1703">
        <v>22.5</v>
      </c>
      <c r="R1703">
        <v>26.799999237060501</v>
      </c>
      <c r="S1703">
        <v>21.899999618530298</v>
      </c>
      <c r="T1703">
        <v>1462</v>
      </c>
      <c r="U1703">
        <v>351</v>
      </c>
      <c r="V1703">
        <v>11</v>
      </c>
      <c r="W1703">
        <v>87</v>
      </c>
      <c r="X1703">
        <v>812</v>
      </c>
      <c r="Y1703">
        <v>48</v>
      </c>
      <c r="Z1703">
        <v>413</v>
      </c>
      <c r="AA1703">
        <v>55</v>
      </c>
      <c r="AB1703">
        <v>2.8110653042380802</v>
      </c>
      <c r="AC1703">
        <v>3.7223000715851003E-2</v>
      </c>
      <c r="AD1703">
        <v>1.1188159032264</v>
      </c>
      <c r="AE1703">
        <v>0.29091379046440102</v>
      </c>
      <c r="AF1703">
        <v>270.50865051903099</v>
      </c>
      <c r="AG1703">
        <f>IFERROR(AH1703*0.1, "N/A")</f>
        <v>5.9738754325259507</v>
      </c>
      <c r="AH1703">
        <v>59.738754325259499</v>
      </c>
      <c r="AI1703">
        <v>153.918165305907</v>
      </c>
      <c r="AJ1703">
        <v>25.7128027681661</v>
      </c>
      <c r="AK1703">
        <v>57.475778546712803</v>
      </c>
    </row>
    <row r="1704" spans="1:37" x14ac:dyDescent="0.3">
      <c r="A1704">
        <v>1703</v>
      </c>
      <c r="B1704">
        <v>10</v>
      </c>
      <c r="C1704">
        <v>36.900100999999999</v>
      </c>
      <c r="D1704">
        <v>-7.8026200000000001</v>
      </c>
      <c r="E1704" t="s">
        <v>2970</v>
      </c>
      <c r="F1704" t="s">
        <v>2971</v>
      </c>
      <c r="G1704" t="s">
        <v>39</v>
      </c>
      <c r="H1704">
        <v>1991</v>
      </c>
      <c r="I1704">
        <v>24.899999618530298</v>
      </c>
      <c r="J1704">
        <v>6.9000000953674299</v>
      </c>
      <c r="K1704">
        <v>53</v>
      </c>
      <c r="L1704">
        <v>18.0144351129947</v>
      </c>
      <c r="M1704">
        <v>30.848868988700499</v>
      </c>
      <c r="N1704">
        <v>17.899999618530298</v>
      </c>
      <c r="O1704">
        <v>12.9488693701703</v>
      </c>
      <c r="P1704">
        <v>25.8511298668903</v>
      </c>
      <c r="Q1704">
        <v>22.799999237060501</v>
      </c>
      <c r="R1704">
        <v>26.799999237060501</v>
      </c>
      <c r="S1704">
        <v>22.200000762939499</v>
      </c>
      <c r="T1704">
        <v>1565.8417391304299</v>
      </c>
      <c r="U1704">
        <v>374.46608695652202</v>
      </c>
      <c r="V1704">
        <v>12.488695652173901</v>
      </c>
      <c r="W1704">
        <v>89.511304347826098</v>
      </c>
      <c r="X1704">
        <v>899.37565217391295</v>
      </c>
      <c r="Y1704">
        <v>53.488695652173902</v>
      </c>
      <c r="Z1704">
        <v>414.48869565217399</v>
      </c>
      <c r="AA1704">
        <v>61.488695652173902</v>
      </c>
      <c r="AB1704">
        <v>5.2356442128057097</v>
      </c>
      <c r="AC1704">
        <v>4.28150293738946</v>
      </c>
      <c r="AD1704">
        <v>2.8586428192387401</v>
      </c>
      <c r="AE1704">
        <v>0.31628775648448798</v>
      </c>
      <c r="AF1704">
        <v>309.19652173912999</v>
      </c>
      <c r="AG1704">
        <f>IFERROR(AH1704*0.1, "N/A")</f>
        <v>5.2874782608695705</v>
      </c>
      <c r="AH1704">
        <v>52.874782608695703</v>
      </c>
      <c r="AI1704">
        <v>135.195972349747</v>
      </c>
      <c r="AJ1704">
        <v>34.166956521739102</v>
      </c>
      <c r="AK1704">
        <v>47.161739130434803</v>
      </c>
    </row>
    <row r="1705" spans="1:37" x14ac:dyDescent="0.3">
      <c r="A1705">
        <v>1704</v>
      </c>
      <c r="B1705">
        <v>25.700001</v>
      </c>
      <c r="C1705">
        <v>36.943600000000004</v>
      </c>
      <c r="D1705">
        <v>-7.8226300000000002</v>
      </c>
      <c r="E1705" t="s">
        <v>2972</v>
      </c>
      <c r="F1705" t="s">
        <v>2973</v>
      </c>
      <c r="G1705" t="s">
        <v>39</v>
      </c>
      <c r="H1705">
        <v>1991</v>
      </c>
      <c r="I1705">
        <v>24.899999618530298</v>
      </c>
      <c r="J1705">
        <v>6.8000001907348597</v>
      </c>
      <c r="K1705">
        <v>52</v>
      </c>
      <c r="L1705">
        <v>18.379999160766602</v>
      </c>
      <c r="M1705">
        <v>30.799999237060501</v>
      </c>
      <c r="N1705">
        <v>17.899999618530298</v>
      </c>
      <c r="O1705">
        <v>12.8999996185303</v>
      </c>
      <c r="P1705">
        <v>25.899999618530298</v>
      </c>
      <c r="Q1705">
        <v>22.700000762939499</v>
      </c>
      <c r="R1705">
        <v>26.899999618530298</v>
      </c>
      <c r="S1705">
        <v>22.200000762939499</v>
      </c>
      <c r="T1705">
        <v>1529</v>
      </c>
      <c r="U1705">
        <v>368</v>
      </c>
      <c r="V1705">
        <v>12</v>
      </c>
      <c r="W1705">
        <v>89</v>
      </c>
      <c r="X1705">
        <v>871</v>
      </c>
      <c r="Y1705">
        <v>51</v>
      </c>
      <c r="Z1705">
        <v>413</v>
      </c>
      <c r="AA1705">
        <v>58</v>
      </c>
      <c r="AB1705">
        <v>1.7681114382860099</v>
      </c>
      <c r="AC1705">
        <v>3.2713777805882999E-2</v>
      </c>
      <c r="AD1705">
        <v>1.4379417406142001</v>
      </c>
      <c r="AE1705">
        <v>0.30271902680397</v>
      </c>
      <c r="AF1705">
        <v>278.17421602787499</v>
      </c>
      <c r="AG1705">
        <f>IFERROR(AH1705*0.1, "N/A")</f>
        <v>6.0998257839721299</v>
      </c>
      <c r="AH1705">
        <v>60.998257839721298</v>
      </c>
      <c r="AI1705">
        <v>186.196896217426</v>
      </c>
      <c r="AJ1705">
        <v>27.904181184669</v>
      </c>
      <c r="AK1705">
        <v>56.097560975609802</v>
      </c>
    </row>
    <row r="1706" spans="1:37" x14ac:dyDescent="0.3">
      <c r="A1706">
        <v>1705</v>
      </c>
      <c r="B1706">
        <v>17.299999</v>
      </c>
      <c r="C1706">
        <v>36.886200000000002</v>
      </c>
      <c r="D1706">
        <v>-7.8413300000000001</v>
      </c>
      <c r="E1706" t="s">
        <v>2974</v>
      </c>
      <c r="F1706" t="s">
        <v>2975</v>
      </c>
      <c r="G1706" t="s">
        <v>39</v>
      </c>
      <c r="H1706">
        <v>1991</v>
      </c>
      <c r="I1706">
        <v>24.843251997211802</v>
      </c>
      <c r="J1706">
        <v>6.9000000953674299</v>
      </c>
      <c r="K1706">
        <v>53</v>
      </c>
      <c r="L1706">
        <v>17.417265934927698</v>
      </c>
      <c r="M1706">
        <v>30.856746858379001</v>
      </c>
      <c r="N1706">
        <v>18</v>
      </c>
      <c r="O1706">
        <v>12.856747270867899</v>
      </c>
      <c r="P1706">
        <v>25.700000762939499</v>
      </c>
      <c r="Q1706">
        <v>22.843251997211802</v>
      </c>
      <c r="R1706">
        <v>26.700000762939499</v>
      </c>
      <c r="S1706">
        <v>22.243252698112901</v>
      </c>
      <c r="T1706">
        <v>1593.3771626297601</v>
      </c>
      <c r="U1706">
        <v>380.13494809688598</v>
      </c>
      <c r="V1706">
        <v>12.5674740484429</v>
      </c>
      <c r="W1706">
        <v>90</v>
      </c>
      <c r="X1706">
        <v>923.97231833909996</v>
      </c>
      <c r="Y1706">
        <v>54.1349480968858</v>
      </c>
      <c r="Z1706">
        <v>416.56747404844299</v>
      </c>
      <c r="AA1706">
        <v>61.702422145328697</v>
      </c>
      <c r="AB1706">
        <v>3.1624670325678501</v>
      </c>
      <c r="AC1706">
        <v>0.67787292872307403</v>
      </c>
      <c r="AD1706">
        <v>1.4827533475668</v>
      </c>
      <c r="AE1706">
        <v>0.48497131466865501</v>
      </c>
      <c r="AF1706">
        <v>310.38408304498302</v>
      </c>
      <c r="AG1706">
        <f>IFERROR(AH1706*0.1, "N/A")</f>
        <v>5.8000000000000007</v>
      </c>
      <c r="AH1706">
        <v>58</v>
      </c>
      <c r="AI1706">
        <v>60.293536308314998</v>
      </c>
      <c r="AJ1706">
        <v>29.882352941176499</v>
      </c>
      <c r="AK1706">
        <v>49.766435986159202</v>
      </c>
    </row>
    <row r="1707" spans="1:37" x14ac:dyDescent="0.3">
      <c r="A1707">
        <v>1706</v>
      </c>
      <c r="B1707">
        <v>28.4</v>
      </c>
      <c r="C1707">
        <v>36.910499999999999</v>
      </c>
      <c r="D1707">
        <v>-7.8449099999999996</v>
      </c>
      <c r="E1707" t="s">
        <v>2976</v>
      </c>
      <c r="F1707" t="s">
        <v>2977</v>
      </c>
      <c r="G1707" t="s">
        <v>39</v>
      </c>
      <c r="H1707">
        <v>1991</v>
      </c>
      <c r="I1707">
        <v>25</v>
      </c>
      <c r="J1707">
        <v>6.8000001907348597</v>
      </c>
      <c r="K1707">
        <v>52</v>
      </c>
      <c r="L1707">
        <v>18.159999847412099</v>
      </c>
      <c r="M1707">
        <v>30.899999618530298</v>
      </c>
      <c r="N1707">
        <v>18</v>
      </c>
      <c r="O1707">
        <v>12.8999996185303</v>
      </c>
      <c r="P1707">
        <v>26</v>
      </c>
      <c r="Q1707">
        <v>22.799999237060501</v>
      </c>
      <c r="R1707">
        <v>26.899999618530298</v>
      </c>
      <c r="S1707">
        <v>22.299999237060501</v>
      </c>
      <c r="T1707">
        <v>1554</v>
      </c>
      <c r="U1707">
        <v>373</v>
      </c>
      <c r="V1707">
        <v>12</v>
      </c>
      <c r="W1707">
        <v>90</v>
      </c>
      <c r="X1707">
        <v>895</v>
      </c>
      <c r="Y1707">
        <v>52</v>
      </c>
      <c r="Z1707">
        <v>413</v>
      </c>
      <c r="AA1707">
        <v>59</v>
      </c>
      <c r="AB1707">
        <v>0.389621299030872</v>
      </c>
      <c r="AC1707">
        <v>2.14293300036895</v>
      </c>
      <c r="AD1707">
        <v>1.3108211289640099</v>
      </c>
      <c r="AE1707">
        <v>0.50999965583164397</v>
      </c>
      <c r="AF1707">
        <v>285.42733564013798</v>
      </c>
      <c r="AG1707">
        <f>IFERROR(AH1707*0.1, "N/A")</f>
        <v>5.83719723183391</v>
      </c>
      <c r="AH1707">
        <v>58.371972318339097</v>
      </c>
      <c r="AI1707">
        <v>146.23244940945801</v>
      </c>
      <c r="AJ1707">
        <v>32.859861591695498</v>
      </c>
      <c r="AK1707">
        <v>52.603806228373699</v>
      </c>
    </row>
    <row r="1708" spans="1:37" x14ac:dyDescent="0.3">
      <c r="A1708">
        <v>1707</v>
      </c>
      <c r="B1708">
        <v>39.200001</v>
      </c>
      <c r="C1708">
        <v>36.936501</v>
      </c>
      <c r="D1708">
        <v>-7.8517900000000003</v>
      </c>
      <c r="E1708" t="s">
        <v>2978</v>
      </c>
      <c r="F1708" t="s">
        <v>2979</v>
      </c>
      <c r="G1708" t="s">
        <v>39</v>
      </c>
      <c r="H1708">
        <v>1991</v>
      </c>
      <c r="I1708">
        <v>25</v>
      </c>
      <c r="J1708">
        <v>6.8000001907348597</v>
      </c>
      <c r="K1708">
        <v>53</v>
      </c>
      <c r="L1708">
        <v>18.25</v>
      </c>
      <c r="M1708">
        <v>30.899999618530298</v>
      </c>
      <c r="N1708">
        <v>18.100000381469702</v>
      </c>
      <c r="O1708">
        <v>12.800000190734901</v>
      </c>
      <c r="P1708">
        <v>26</v>
      </c>
      <c r="Q1708">
        <v>22.799999237060501</v>
      </c>
      <c r="R1708">
        <v>26.899999618530298</v>
      </c>
      <c r="S1708">
        <v>22.299999237060501</v>
      </c>
      <c r="T1708">
        <v>1535</v>
      </c>
      <c r="U1708">
        <v>369</v>
      </c>
      <c r="V1708">
        <v>12</v>
      </c>
      <c r="W1708">
        <v>90</v>
      </c>
      <c r="X1708">
        <v>880</v>
      </c>
      <c r="Y1708">
        <v>50</v>
      </c>
      <c r="Z1708">
        <v>412</v>
      </c>
      <c r="AA1708">
        <v>58</v>
      </c>
      <c r="AB1708">
        <v>4.1351326320482302</v>
      </c>
      <c r="AC1708">
        <v>1.182758561133E-2</v>
      </c>
      <c r="AD1708">
        <v>0.98647072439608396</v>
      </c>
      <c r="AE1708">
        <v>0.36758820647778701</v>
      </c>
      <c r="AF1708">
        <v>275.64347826086998</v>
      </c>
      <c r="AG1708">
        <f>IFERROR(AH1708*0.1, "N/A")</f>
        <v>5.9</v>
      </c>
      <c r="AH1708">
        <v>59</v>
      </c>
      <c r="AI1708">
        <v>252.34663229237401</v>
      </c>
      <c r="AJ1708">
        <v>27</v>
      </c>
      <c r="AK1708">
        <v>56</v>
      </c>
    </row>
    <row r="1709" spans="1:37" x14ac:dyDescent="0.3">
      <c r="A1709">
        <v>1708</v>
      </c>
      <c r="B1709">
        <v>30</v>
      </c>
      <c r="C1709">
        <v>36.894100000000002</v>
      </c>
      <c r="D1709">
        <v>-7.8561899999999998</v>
      </c>
      <c r="E1709" t="s">
        <v>2980</v>
      </c>
      <c r="F1709" t="s">
        <v>2981</v>
      </c>
      <c r="G1709" t="s">
        <v>39</v>
      </c>
      <c r="H1709">
        <v>1991</v>
      </c>
      <c r="I1709">
        <v>24.899999618530298</v>
      </c>
      <c r="J1709">
        <v>6.8000001907348597</v>
      </c>
      <c r="K1709">
        <v>52</v>
      </c>
      <c r="L1709">
        <v>17.930000305175799</v>
      </c>
      <c r="M1709">
        <v>30.899999618530298</v>
      </c>
      <c r="N1709">
        <v>18</v>
      </c>
      <c r="O1709">
        <v>12.8999996185303</v>
      </c>
      <c r="P1709">
        <v>25.899999618530298</v>
      </c>
      <c r="Q1709">
        <v>22.799999237060501</v>
      </c>
      <c r="R1709">
        <v>26.899999618530298</v>
      </c>
      <c r="S1709">
        <v>22.200000762939499</v>
      </c>
      <c r="T1709">
        <v>1571</v>
      </c>
      <c r="U1709">
        <v>376</v>
      </c>
      <c r="V1709">
        <v>12</v>
      </c>
      <c r="W1709">
        <v>91</v>
      </c>
      <c r="X1709">
        <v>910</v>
      </c>
      <c r="Y1709">
        <v>52</v>
      </c>
      <c r="Z1709">
        <v>414</v>
      </c>
      <c r="AA1709">
        <v>59</v>
      </c>
      <c r="AB1709">
        <v>5.26858371381776</v>
      </c>
      <c r="AC1709">
        <v>2.5629392742174E-2</v>
      </c>
      <c r="AD1709">
        <v>2.0778494785177299</v>
      </c>
      <c r="AE1709">
        <v>0.55081431164583405</v>
      </c>
      <c r="AF1709">
        <v>305.45724258289698</v>
      </c>
      <c r="AG1709">
        <f>IFERROR(AH1709*0.1, "N/A")</f>
        <v>5.5078534031413602</v>
      </c>
      <c r="AH1709">
        <v>55.078534031413596</v>
      </c>
      <c r="AI1709">
        <v>230.46979103288101</v>
      </c>
      <c r="AJ1709">
        <v>32.226876090750402</v>
      </c>
      <c r="AK1709">
        <v>47.808027923211199</v>
      </c>
    </row>
    <row r="1710" spans="1:37" x14ac:dyDescent="0.3">
      <c r="A1710">
        <v>1709</v>
      </c>
      <c r="B1710">
        <v>8.3000000000000007</v>
      </c>
      <c r="C1710">
        <v>36.883499</v>
      </c>
      <c r="D1710">
        <v>-7.8830600000000004</v>
      </c>
      <c r="E1710" t="s">
        <v>2982</v>
      </c>
      <c r="F1710" t="s">
        <v>2983</v>
      </c>
      <c r="G1710" t="s">
        <v>39</v>
      </c>
      <c r="H1710">
        <v>1991</v>
      </c>
      <c r="I1710">
        <v>24.907464924785799</v>
      </c>
      <c r="J1710">
        <v>6.8118057350317596</v>
      </c>
      <c r="K1710">
        <v>52.1180555555556</v>
      </c>
      <c r="L1710">
        <v>17.813558432791002</v>
      </c>
      <c r="M1710">
        <v>30.899999618530298</v>
      </c>
      <c r="N1710">
        <v>18</v>
      </c>
      <c r="O1710">
        <v>12.8999996185303</v>
      </c>
      <c r="P1710">
        <v>25.899999618530298</v>
      </c>
      <c r="Q1710">
        <v>22.880728711684501</v>
      </c>
      <c r="R1710">
        <v>26.807464543316101</v>
      </c>
      <c r="S1710">
        <v>22.288193861643499</v>
      </c>
      <c r="T1710">
        <v>1551.4409722222199</v>
      </c>
      <c r="U1710">
        <v>373.043402777778</v>
      </c>
      <c r="V1710">
        <v>11</v>
      </c>
      <c r="W1710">
        <v>91</v>
      </c>
      <c r="X1710">
        <v>902.39756944444503</v>
      </c>
      <c r="Y1710">
        <v>49</v>
      </c>
      <c r="Z1710">
        <v>411.11805555555497</v>
      </c>
      <c r="AA1710">
        <v>56</v>
      </c>
      <c r="AB1710">
        <v>4.9468722343444798</v>
      </c>
      <c r="AC1710">
        <v>2.7199808223586999E-2</v>
      </c>
      <c r="AD1710">
        <v>1.2792732107142599</v>
      </c>
      <c r="AE1710">
        <v>0.377961288206279</v>
      </c>
      <c r="AF1710">
        <v>290.300347222222</v>
      </c>
      <c r="AG1710">
        <f>IFERROR(AH1710*0.1, "N/A")</f>
        <v>5.5</v>
      </c>
      <c r="AH1710">
        <v>55</v>
      </c>
      <c r="AI1710">
        <v>192.19072410133199</v>
      </c>
      <c r="AJ1710">
        <v>31</v>
      </c>
      <c r="AK1710">
        <v>52.8819444444444</v>
      </c>
    </row>
    <row r="1711" spans="1:37" x14ac:dyDescent="0.3">
      <c r="A1711">
        <v>1710</v>
      </c>
      <c r="B1711">
        <v>49.400002000000001</v>
      </c>
      <c r="C1711">
        <v>36.870398999999999</v>
      </c>
      <c r="D1711">
        <v>-7.8948999999999998</v>
      </c>
      <c r="E1711" t="s">
        <v>2984</v>
      </c>
      <c r="F1711" t="s">
        <v>2985</v>
      </c>
      <c r="G1711" t="s">
        <v>39</v>
      </c>
      <c r="H1711">
        <v>1991</v>
      </c>
      <c r="I1711">
        <v>24.899999618530298</v>
      </c>
      <c r="J1711">
        <v>6.8000001907348597</v>
      </c>
      <c r="K1711">
        <v>52</v>
      </c>
      <c r="L1711">
        <v>17.700000762939499</v>
      </c>
      <c r="M1711">
        <v>30.899999618530298</v>
      </c>
      <c r="N1711">
        <v>18</v>
      </c>
      <c r="O1711">
        <v>12.8999996185303</v>
      </c>
      <c r="P1711">
        <v>25.899999618530298</v>
      </c>
      <c r="Q1711">
        <v>22.799999237060501</v>
      </c>
      <c r="R1711">
        <v>26.799999237060501</v>
      </c>
      <c r="S1711">
        <v>22.299999237060501</v>
      </c>
      <c r="T1711">
        <v>1553</v>
      </c>
      <c r="U1711">
        <v>373</v>
      </c>
      <c r="V1711">
        <v>11</v>
      </c>
      <c r="W1711">
        <v>92</v>
      </c>
      <c r="X1711">
        <v>907</v>
      </c>
      <c r="Y1711">
        <v>48</v>
      </c>
      <c r="Z1711">
        <v>411</v>
      </c>
      <c r="AA1711">
        <v>56</v>
      </c>
      <c r="AB1711">
        <v>17.2861016061571</v>
      </c>
      <c r="AC1711">
        <v>1.3996450474628001E-2</v>
      </c>
      <c r="AD1711">
        <v>6.3875302556488203</v>
      </c>
      <c r="AE1711">
        <v>0.30939766764640803</v>
      </c>
      <c r="AF1711">
        <v>307.52951388888903</v>
      </c>
      <c r="AG1711">
        <f>IFERROR(AH1711*0.1, "N/A")</f>
        <v>5.4786458333333306</v>
      </c>
      <c r="AH1711">
        <v>54.7864583333333</v>
      </c>
      <c r="AI1711">
        <v>90.569592032167606</v>
      </c>
      <c r="AJ1711">
        <v>31.5954861111111</v>
      </c>
      <c r="AK1711">
        <v>49.4826388888889</v>
      </c>
    </row>
    <row r="1712" spans="1:37" x14ac:dyDescent="0.3">
      <c r="A1712">
        <v>1711</v>
      </c>
      <c r="B1712">
        <v>50</v>
      </c>
      <c r="C1712">
        <v>36.856997999999997</v>
      </c>
      <c r="D1712">
        <v>-7.9517699999999998</v>
      </c>
      <c r="E1712" t="s">
        <v>2986</v>
      </c>
      <c r="F1712" t="s">
        <v>2987</v>
      </c>
      <c r="G1712" t="s">
        <v>39</v>
      </c>
      <c r="H1712">
        <v>1991</v>
      </c>
      <c r="I1712">
        <v>24.799999237060501</v>
      </c>
      <c r="J1712">
        <v>6.8000001907348597</v>
      </c>
      <c r="K1712">
        <v>52</v>
      </c>
      <c r="L1712">
        <v>18.129999160766602</v>
      </c>
      <c r="M1712">
        <v>30.899999618530298</v>
      </c>
      <c r="N1712">
        <v>17.899999618530298</v>
      </c>
      <c r="O1712">
        <v>13</v>
      </c>
      <c r="P1712">
        <v>25.799999237060501</v>
      </c>
      <c r="Q1712">
        <v>22.700000762939499</v>
      </c>
      <c r="R1712">
        <v>26.799999237060501</v>
      </c>
      <c r="S1712">
        <v>22.100000381469702</v>
      </c>
      <c r="T1712">
        <v>1531</v>
      </c>
      <c r="U1712">
        <v>368</v>
      </c>
      <c r="V1712">
        <v>10</v>
      </c>
      <c r="W1712">
        <v>93</v>
      </c>
      <c r="X1712">
        <v>900</v>
      </c>
      <c r="Y1712">
        <v>44</v>
      </c>
      <c r="Z1712">
        <v>410</v>
      </c>
      <c r="AA1712">
        <v>51</v>
      </c>
      <c r="AB1712">
        <v>10.051998832610099</v>
      </c>
      <c r="AC1712">
        <v>1.4395872928343999E-2</v>
      </c>
      <c r="AD1712">
        <v>2.1339540957784702</v>
      </c>
      <c r="AE1712">
        <v>0.337926685810089</v>
      </c>
      <c r="AF1712">
        <v>292.32928942807598</v>
      </c>
      <c r="AG1712">
        <f>IFERROR(AH1712*0.1, "N/A")</f>
        <v>5.8968804159445405</v>
      </c>
      <c r="AH1712">
        <v>58.968804159445398</v>
      </c>
      <c r="AI1712">
        <v>134.64761837805599</v>
      </c>
      <c r="AJ1712">
        <v>30.968804159445401</v>
      </c>
      <c r="AK1712">
        <v>53.031195840554602</v>
      </c>
    </row>
    <row r="1713" spans="1:37" x14ac:dyDescent="0.3">
      <c r="A1713">
        <v>1712</v>
      </c>
      <c r="B1713">
        <v>15.9</v>
      </c>
      <c r="C1713">
        <v>36.868698000000002</v>
      </c>
      <c r="D1713">
        <v>-7.9767599999999996</v>
      </c>
      <c r="E1713" t="s">
        <v>2988</v>
      </c>
      <c r="F1713" t="s">
        <v>2989</v>
      </c>
      <c r="G1713" t="s">
        <v>39</v>
      </c>
      <c r="H1713">
        <v>1991</v>
      </c>
      <c r="I1713">
        <v>24.899999618530298</v>
      </c>
      <c r="J1713">
        <v>6.8000001907348597</v>
      </c>
      <c r="K1713">
        <v>52</v>
      </c>
      <c r="L1713">
        <v>17.959999084472699</v>
      </c>
      <c r="M1713">
        <v>30.899999618530298</v>
      </c>
      <c r="N1713">
        <v>17.899999618530298</v>
      </c>
      <c r="O1713">
        <v>13</v>
      </c>
      <c r="P1713">
        <v>25.799999237060501</v>
      </c>
      <c r="Q1713">
        <v>22.799999237060501</v>
      </c>
      <c r="R1713">
        <v>26.799999237060501</v>
      </c>
      <c r="S1713">
        <v>22.200000762939499</v>
      </c>
      <c r="T1713">
        <v>1513</v>
      </c>
      <c r="U1713">
        <v>365</v>
      </c>
      <c r="V1713">
        <v>9</v>
      </c>
      <c r="W1713">
        <v>93</v>
      </c>
      <c r="X1713">
        <v>890</v>
      </c>
      <c r="Y1713">
        <v>42</v>
      </c>
      <c r="Z1713">
        <v>408</v>
      </c>
      <c r="AA1713">
        <v>48</v>
      </c>
      <c r="AB1713">
        <v>0.67286997919497304</v>
      </c>
      <c r="AC1713">
        <v>0.71208030236480002</v>
      </c>
      <c r="AD1713">
        <v>1.26112763415212</v>
      </c>
      <c r="AE1713">
        <v>0.37943971157074002</v>
      </c>
      <c r="AF1713">
        <v>273.62434782608699</v>
      </c>
      <c r="AG1713">
        <f>IFERROR(AH1713*0.1, "N/A")</f>
        <v>6.2544347826087003</v>
      </c>
      <c r="AH1713">
        <v>62.544347826086998</v>
      </c>
      <c r="AI1713">
        <v>147.51605930494199</v>
      </c>
      <c r="AJ1713">
        <v>22.612173913043499</v>
      </c>
      <c r="AK1713">
        <v>61.526956521739102</v>
      </c>
    </row>
    <row r="1714" spans="1:37" x14ac:dyDescent="0.3">
      <c r="A1714">
        <v>1713</v>
      </c>
      <c r="B1714">
        <v>78.900002000000001</v>
      </c>
      <c r="C1714">
        <v>36.841498999999999</v>
      </c>
      <c r="D1714">
        <v>-8.0230800000000002</v>
      </c>
      <c r="E1714" t="s">
        <v>2990</v>
      </c>
      <c r="F1714" t="s">
        <v>2991</v>
      </c>
      <c r="G1714" t="s">
        <v>39</v>
      </c>
      <c r="H1714">
        <v>1991</v>
      </c>
      <c r="I1714">
        <v>24.899999618530298</v>
      </c>
      <c r="J1714">
        <v>6.8000001907348597</v>
      </c>
      <c r="K1714">
        <v>52</v>
      </c>
      <c r="L1714">
        <v>18.067569706175099</v>
      </c>
      <c r="M1714">
        <v>30.899999618530298</v>
      </c>
      <c r="N1714">
        <v>18</v>
      </c>
      <c r="O1714">
        <v>12.8999996185303</v>
      </c>
      <c r="P1714">
        <v>25.799999237060501</v>
      </c>
      <c r="Q1714">
        <v>22.799999237060501</v>
      </c>
      <c r="R1714">
        <v>26.899999618530298</v>
      </c>
      <c r="S1714">
        <v>22.200000762939499</v>
      </c>
      <c r="T1714">
        <v>1494.3263888888901</v>
      </c>
      <c r="U1714">
        <v>360</v>
      </c>
      <c r="V1714">
        <v>9</v>
      </c>
      <c r="W1714">
        <v>94</v>
      </c>
      <c r="X1714">
        <v>883</v>
      </c>
      <c r="Y1714">
        <v>40</v>
      </c>
      <c r="Z1714">
        <v>406</v>
      </c>
      <c r="AA1714">
        <v>46</v>
      </c>
      <c r="AB1714">
        <v>3.2121407720777699</v>
      </c>
      <c r="AC1714">
        <v>1.1861005681567E-2</v>
      </c>
      <c r="AD1714">
        <v>1.6080327762497799</v>
      </c>
      <c r="AE1714">
        <v>0.47420817613601701</v>
      </c>
      <c r="AF1714">
        <v>266.21701388888903</v>
      </c>
      <c r="AG1714">
        <f>IFERROR(AH1714*0.1, "N/A")</f>
        <v>5.9317708333333306</v>
      </c>
      <c r="AH1714">
        <v>59.3177083333333</v>
      </c>
      <c r="AI1714">
        <v>148.94869778553601</v>
      </c>
      <c r="AJ1714">
        <v>26</v>
      </c>
      <c r="AK1714">
        <v>60.6145833333333</v>
      </c>
    </row>
    <row r="1715" spans="1:37" x14ac:dyDescent="0.3">
      <c r="A1715">
        <v>1714</v>
      </c>
      <c r="B1715">
        <v>42</v>
      </c>
      <c r="C1715">
        <v>36.688899999999997</v>
      </c>
      <c r="D1715">
        <v>-8.0853800000000007</v>
      </c>
      <c r="E1715" t="s">
        <v>2992</v>
      </c>
      <c r="F1715" t="s">
        <v>2993</v>
      </c>
      <c r="G1715" t="s">
        <v>39</v>
      </c>
      <c r="H1715">
        <v>1991</v>
      </c>
      <c r="I1715">
        <v>24.700000762939499</v>
      </c>
      <c r="J1715">
        <v>6.8000001907348597</v>
      </c>
      <c r="K1715">
        <v>51</v>
      </c>
      <c r="L1715">
        <v>18.360000610351602</v>
      </c>
      <c r="M1715">
        <v>30.799999237060501</v>
      </c>
      <c r="N1715">
        <v>17.600000381469702</v>
      </c>
      <c r="O1715">
        <v>13.199999809265099</v>
      </c>
      <c r="P1715">
        <v>25.5</v>
      </c>
      <c r="Q1715">
        <v>22.5</v>
      </c>
      <c r="R1715">
        <v>26.700000762939499</v>
      </c>
      <c r="S1715">
        <v>21.899999618530298</v>
      </c>
      <c r="T1715">
        <v>1442</v>
      </c>
      <c r="U1715">
        <v>354</v>
      </c>
      <c r="V1715">
        <v>6</v>
      </c>
      <c r="W1715">
        <v>98</v>
      </c>
      <c r="X1715">
        <v>872</v>
      </c>
      <c r="Y1715">
        <v>30</v>
      </c>
      <c r="Z1715">
        <v>397</v>
      </c>
      <c r="AA1715">
        <v>36</v>
      </c>
      <c r="AB1715">
        <v>4.6787894870923896</v>
      </c>
      <c r="AC1715">
        <v>8.9798090574530007E-3</v>
      </c>
      <c r="AD1715">
        <v>1.65000900662464</v>
      </c>
      <c r="AE1715">
        <v>0.71814900636672996</v>
      </c>
      <c r="AF1715">
        <v>273.38086956521698</v>
      </c>
      <c r="AG1715">
        <f>IFERROR(AH1715*0.1, "N/A")</f>
        <v>6</v>
      </c>
      <c r="AH1715">
        <v>60</v>
      </c>
      <c r="AI1715">
        <v>94.772739622696605</v>
      </c>
      <c r="AJ1715">
        <v>26</v>
      </c>
      <c r="AK1715">
        <v>57</v>
      </c>
    </row>
    <row r="1716" spans="1:37" x14ac:dyDescent="0.3">
      <c r="A1716">
        <v>1715</v>
      </c>
      <c r="B1716">
        <v>31.6</v>
      </c>
      <c r="C1716">
        <v>36.682098000000003</v>
      </c>
      <c r="D1716">
        <v>-8.0891199999999994</v>
      </c>
      <c r="E1716" t="s">
        <v>2994</v>
      </c>
      <c r="F1716" t="s">
        <v>2995</v>
      </c>
      <c r="G1716" t="s">
        <v>39</v>
      </c>
      <c r="H1716">
        <v>1991</v>
      </c>
      <c r="I1716">
        <v>24.700000762939499</v>
      </c>
      <c r="J1716">
        <v>6.8000001907348597</v>
      </c>
      <c r="K1716">
        <v>51</v>
      </c>
      <c r="L1716">
        <v>18.5200004577637</v>
      </c>
      <c r="M1716">
        <v>30.899999618530298</v>
      </c>
      <c r="N1716">
        <v>17.700000762939499</v>
      </c>
      <c r="O1716">
        <v>13.199999809265099</v>
      </c>
      <c r="P1716">
        <v>25.600000381469702</v>
      </c>
      <c r="Q1716">
        <v>22.5</v>
      </c>
      <c r="R1716">
        <v>26.799999237060501</v>
      </c>
      <c r="S1716">
        <v>22</v>
      </c>
      <c r="T1716">
        <v>1434</v>
      </c>
      <c r="U1716">
        <v>353</v>
      </c>
      <c r="V1716">
        <v>6</v>
      </c>
      <c r="W1716">
        <v>98</v>
      </c>
      <c r="X1716">
        <v>868</v>
      </c>
      <c r="Y1716">
        <v>29</v>
      </c>
      <c r="Z1716">
        <v>395</v>
      </c>
      <c r="AA1716">
        <v>35</v>
      </c>
      <c r="AB1716">
        <v>12.536171038670499</v>
      </c>
      <c r="AC1716">
        <v>8.9038151258340002E-3</v>
      </c>
      <c r="AD1716">
        <v>2.1730446854677199</v>
      </c>
      <c r="AE1716">
        <v>0.69633013010025002</v>
      </c>
      <c r="AF1716">
        <v>273.71453287197198</v>
      </c>
      <c r="AG1716">
        <f>IFERROR(AH1716*0.1, "N/A")</f>
        <v>6.4</v>
      </c>
      <c r="AH1716">
        <v>64</v>
      </c>
      <c r="AI1716">
        <v>279.27686689964202</v>
      </c>
      <c r="AJ1716">
        <v>26.948096885813101</v>
      </c>
      <c r="AK1716">
        <v>57</v>
      </c>
    </row>
    <row r="1717" spans="1:37" x14ac:dyDescent="0.3">
      <c r="A1717">
        <v>1716</v>
      </c>
      <c r="B1717">
        <v>60.799999</v>
      </c>
      <c r="C1717">
        <v>36.726298999999997</v>
      </c>
      <c r="D1717">
        <v>-8.0904799999999994</v>
      </c>
      <c r="E1717" t="s">
        <v>2996</v>
      </c>
      <c r="F1717" t="s">
        <v>2997</v>
      </c>
      <c r="G1717" t="s">
        <v>39</v>
      </c>
      <c r="H1717">
        <v>1991</v>
      </c>
      <c r="I1717">
        <v>24.700000762939499</v>
      </c>
      <c r="J1717">
        <v>6.8000001907348597</v>
      </c>
      <c r="K1717">
        <v>51</v>
      </c>
      <c r="L1717">
        <v>18.299999237060501</v>
      </c>
      <c r="M1717">
        <v>30.799999237060501</v>
      </c>
      <c r="N1717">
        <v>17.700000762939499</v>
      </c>
      <c r="O1717">
        <v>13.1000003814697</v>
      </c>
      <c r="P1717">
        <v>25.600000381469702</v>
      </c>
      <c r="Q1717">
        <v>22.5</v>
      </c>
      <c r="R1717">
        <v>26.700000762939499</v>
      </c>
      <c r="S1717">
        <v>22</v>
      </c>
      <c r="T1717">
        <v>1453</v>
      </c>
      <c r="U1717">
        <v>355</v>
      </c>
      <c r="V1717">
        <v>6</v>
      </c>
      <c r="W1717">
        <v>97</v>
      </c>
      <c r="X1717">
        <v>874</v>
      </c>
      <c r="Y1717">
        <v>31</v>
      </c>
      <c r="Z1717">
        <v>400</v>
      </c>
      <c r="AA1717">
        <v>37</v>
      </c>
      <c r="AB1717">
        <v>15.151029910183301</v>
      </c>
      <c r="AC1717">
        <v>8.4644606543199993E-3</v>
      </c>
      <c r="AD1717">
        <v>1.82985997633126</v>
      </c>
      <c r="AE1717">
        <v>0.54659909690540098</v>
      </c>
      <c r="AF1717">
        <v>274.23010380622799</v>
      </c>
      <c r="AG1717">
        <f>IFERROR(AH1717*0.1, "N/A")</f>
        <v>6.1051903114186805</v>
      </c>
      <c r="AH1717">
        <v>61.0519031141868</v>
      </c>
      <c r="AI1717">
        <v>157.825842821062</v>
      </c>
      <c r="AJ1717">
        <v>21.268166089965401</v>
      </c>
      <c r="AK1717">
        <v>61.463667820069197</v>
      </c>
    </row>
    <row r="1718" spans="1:37" x14ac:dyDescent="0.3">
      <c r="A1718">
        <v>1717</v>
      </c>
      <c r="B1718">
        <v>55.200001</v>
      </c>
      <c r="C1718">
        <v>36.695202000000002</v>
      </c>
      <c r="D1718">
        <v>-8.0949000000000009</v>
      </c>
      <c r="E1718" t="s">
        <v>2998</v>
      </c>
      <c r="F1718" t="s">
        <v>2999</v>
      </c>
      <c r="G1718" t="s">
        <v>39</v>
      </c>
      <c r="H1718">
        <v>1991</v>
      </c>
      <c r="I1718">
        <v>24.799999237060501</v>
      </c>
      <c r="J1718">
        <v>6.8000001907348597</v>
      </c>
      <c r="K1718">
        <v>51</v>
      </c>
      <c r="L1718">
        <v>18.430000305175799</v>
      </c>
      <c r="M1718">
        <v>30.899999618530298</v>
      </c>
      <c r="N1718">
        <v>17.700000762939499</v>
      </c>
      <c r="O1718">
        <v>13.199999809265099</v>
      </c>
      <c r="P1718">
        <v>25.600000381469702</v>
      </c>
      <c r="Q1718">
        <v>22.600000381469702</v>
      </c>
      <c r="R1718">
        <v>26.799999237060501</v>
      </c>
      <c r="S1718">
        <v>22</v>
      </c>
      <c r="T1718">
        <v>1438</v>
      </c>
      <c r="U1718">
        <v>353</v>
      </c>
      <c r="V1718">
        <v>6</v>
      </c>
      <c r="W1718">
        <v>98</v>
      </c>
      <c r="X1718">
        <v>867</v>
      </c>
      <c r="Y1718">
        <v>30</v>
      </c>
      <c r="Z1718">
        <v>397</v>
      </c>
      <c r="AA1718">
        <v>36</v>
      </c>
      <c r="AB1718">
        <v>9.1197789510091205</v>
      </c>
      <c r="AC1718">
        <v>1.6091138177823001E-2</v>
      </c>
      <c r="AD1718">
        <v>2.5802039690315701</v>
      </c>
      <c r="AE1718">
        <v>0.685718894004822</v>
      </c>
      <c r="AF1718">
        <v>271.30208333333297</v>
      </c>
      <c r="AG1718">
        <f>IFERROR(AH1718*0.1, "N/A")</f>
        <v>6.0359375000000002</v>
      </c>
      <c r="AH1718">
        <v>60.359375</v>
      </c>
      <c r="AI1718">
        <v>258.68652788797999</v>
      </c>
      <c r="AJ1718">
        <v>22.71875</v>
      </c>
      <c r="AK1718">
        <v>59.640625</v>
      </c>
    </row>
    <row r="1719" spans="1:37" x14ac:dyDescent="0.3">
      <c r="A1719">
        <v>1718</v>
      </c>
      <c r="B1719">
        <v>46.700001</v>
      </c>
      <c r="C1719">
        <v>36.487999000000002</v>
      </c>
      <c r="D1719">
        <v>-8.1027100000000001</v>
      </c>
      <c r="E1719" t="s">
        <v>3000</v>
      </c>
      <c r="F1719" t="s">
        <v>3001</v>
      </c>
      <c r="G1719" t="s">
        <v>39</v>
      </c>
      <c r="H1719">
        <v>1991</v>
      </c>
      <c r="I1719">
        <v>24.899999618530298</v>
      </c>
      <c r="J1719">
        <v>7.1999998092651403</v>
      </c>
      <c r="K1719">
        <v>53</v>
      </c>
      <c r="L1719">
        <v>17.809999465942401</v>
      </c>
      <c r="M1719">
        <v>31.200000762939499</v>
      </c>
      <c r="N1719">
        <v>17.700000762939499</v>
      </c>
      <c r="O1719">
        <v>13.5</v>
      </c>
      <c r="P1719">
        <v>25.799999237060501</v>
      </c>
      <c r="Q1719">
        <v>22.799999237060501</v>
      </c>
      <c r="R1719">
        <v>26.799999237060501</v>
      </c>
      <c r="S1719">
        <v>22.200000762939499</v>
      </c>
      <c r="T1719">
        <v>1432</v>
      </c>
      <c r="U1719">
        <v>358</v>
      </c>
      <c r="V1719">
        <v>5</v>
      </c>
      <c r="W1719">
        <v>100</v>
      </c>
      <c r="X1719">
        <v>869</v>
      </c>
      <c r="Y1719">
        <v>25</v>
      </c>
      <c r="Z1719">
        <v>401</v>
      </c>
      <c r="AA1719">
        <v>31</v>
      </c>
      <c r="AB1719">
        <v>6.2767774558769798</v>
      </c>
      <c r="AC1719">
        <v>8.5082138473719995E-3</v>
      </c>
      <c r="AD1719">
        <v>1.5793929108300699</v>
      </c>
      <c r="AE1719">
        <v>0.42629352211952198</v>
      </c>
      <c r="AF1719">
        <v>278.934142114385</v>
      </c>
      <c r="AG1719">
        <f>IFERROR(AH1719*0.1, "N/A")</f>
        <v>6.2570190641247798</v>
      </c>
      <c r="AH1719">
        <v>62.570190641247798</v>
      </c>
      <c r="AI1719">
        <v>129.726947989373</v>
      </c>
      <c r="AJ1719">
        <v>28.6447140381282</v>
      </c>
      <c r="AK1719">
        <v>56.429809358752202</v>
      </c>
    </row>
    <row r="1720" spans="1:37" x14ac:dyDescent="0.3">
      <c r="A1720">
        <v>1719</v>
      </c>
      <c r="B1720">
        <v>19.299999</v>
      </c>
      <c r="C1720">
        <v>36.689399999999999</v>
      </c>
      <c r="D1720">
        <v>-8.1041600000000003</v>
      </c>
      <c r="E1720" t="s">
        <v>3002</v>
      </c>
      <c r="F1720" t="s">
        <v>3003</v>
      </c>
      <c r="G1720" t="s">
        <v>39</v>
      </c>
      <c r="H1720">
        <v>1991</v>
      </c>
      <c r="I1720">
        <v>24.799999237060501</v>
      </c>
      <c r="J1720">
        <v>6.8000001907348597</v>
      </c>
      <c r="K1720">
        <v>51</v>
      </c>
      <c r="L1720">
        <v>18.389999389648398</v>
      </c>
      <c r="M1720">
        <v>30.899999618530298</v>
      </c>
      <c r="N1720">
        <v>17.700000762939499</v>
      </c>
      <c r="O1720">
        <v>13.199999809265099</v>
      </c>
      <c r="P1720">
        <v>25.600000381469702</v>
      </c>
      <c r="Q1720">
        <v>22.600000381469702</v>
      </c>
      <c r="R1720">
        <v>26.799999237060501</v>
      </c>
      <c r="S1720">
        <v>22</v>
      </c>
      <c r="T1720">
        <v>1428</v>
      </c>
      <c r="U1720">
        <v>352</v>
      </c>
      <c r="V1720">
        <v>6</v>
      </c>
      <c r="W1720">
        <v>98</v>
      </c>
      <c r="X1720">
        <v>863</v>
      </c>
      <c r="Y1720">
        <v>29</v>
      </c>
      <c r="Z1720">
        <v>394</v>
      </c>
      <c r="AA1720">
        <v>35</v>
      </c>
      <c r="AB1720">
        <v>1.3534776369730599</v>
      </c>
      <c r="AC1720">
        <v>0.17310716147767399</v>
      </c>
      <c r="AD1720">
        <v>1.3327623041760599</v>
      </c>
      <c r="AE1720">
        <v>0.66748034954071001</v>
      </c>
      <c r="AF1720">
        <v>257.159722222222</v>
      </c>
      <c r="AG1720">
        <f>IFERROR(AH1720*0.1, "N/A")</f>
        <v>6.12222222222222</v>
      </c>
      <c r="AH1720">
        <v>61.2222222222222</v>
      </c>
      <c r="AI1720">
        <v>59.803886267873999</v>
      </c>
      <c r="AJ1720">
        <v>24.859375</v>
      </c>
      <c r="AK1720">
        <v>58.3854166666667</v>
      </c>
    </row>
    <row r="1721" spans="1:37" x14ac:dyDescent="0.3">
      <c r="A1721">
        <v>1720</v>
      </c>
      <c r="B1721">
        <v>25</v>
      </c>
      <c r="C1721">
        <v>36.706299000000001</v>
      </c>
      <c r="D1721">
        <v>-8.1072799999999994</v>
      </c>
      <c r="E1721" t="s">
        <v>3004</v>
      </c>
      <c r="F1721" t="s">
        <v>3005</v>
      </c>
      <c r="G1721" t="s">
        <v>39</v>
      </c>
      <c r="H1721">
        <v>1991</v>
      </c>
      <c r="I1721">
        <v>24.799999237060501</v>
      </c>
      <c r="J1721">
        <v>6.8000001907348597</v>
      </c>
      <c r="K1721">
        <v>51</v>
      </c>
      <c r="L1721">
        <v>18.290000915527301</v>
      </c>
      <c r="M1721">
        <v>30.799999237060501</v>
      </c>
      <c r="N1721">
        <v>17.700000762939499</v>
      </c>
      <c r="O1721">
        <v>13.1000003814697</v>
      </c>
      <c r="P1721">
        <v>25.700000762939499</v>
      </c>
      <c r="Q1721">
        <v>22.600000381469702</v>
      </c>
      <c r="R1721">
        <v>26.799999237060501</v>
      </c>
      <c r="S1721">
        <v>22.100000381469702</v>
      </c>
      <c r="T1721">
        <v>1429</v>
      </c>
      <c r="U1721">
        <v>352</v>
      </c>
      <c r="V1721">
        <v>6</v>
      </c>
      <c r="W1721">
        <v>98</v>
      </c>
      <c r="X1721">
        <v>862</v>
      </c>
      <c r="Y1721">
        <v>29</v>
      </c>
      <c r="Z1721">
        <v>394</v>
      </c>
      <c r="AA1721">
        <v>36</v>
      </c>
      <c r="AB1721">
        <v>0.81542236222344799</v>
      </c>
      <c r="AC1721">
        <v>6.3223909236412995E-2</v>
      </c>
      <c r="AD1721">
        <v>1.2289842499397401</v>
      </c>
      <c r="AE1721">
        <v>0.59125810861587502</v>
      </c>
      <c r="AF1721">
        <v>253.72443674176799</v>
      </c>
      <c r="AG1721">
        <f>IFERROR(AH1721*0.1, "N/A")</f>
        <v>6.4469670710571911</v>
      </c>
      <c r="AH1721">
        <v>64.469670710571904</v>
      </c>
      <c r="AI1721">
        <v>210.46675035817199</v>
      </c>
      <c r="AJ1721">
        <v>21.7972270363951</v>
      </c>
      <c r="AK1721">
        <v>61.663778162911598</v>
      </c>
    </row>
    <row r="1722" spans="1:37" x14ac:dyDescent="0.3">
      <c r="A1722">
        <v>1721</v>
      </c>
      <c r="B1722">
        <v>14.9</v>
      </c>
      <c r="C1722">
        <v>36.669800000000002</v>
      </c>
      <c r="D1722">
        <v>-8.1118000000000006</v>
      </c>
      <c r="E1722" t="s">
        <v>3006</v>
      </c>
      <c r="F1722" t="s">
        <v>3007</v>
      </c>
      <c r="G1722" t="s">
        <v>39</v>
      </c>
      <c r="H1722">
        <v>1991</v>
      </c>
      <c r="I1722">
        <v>24.799999237060501</v>
      </c>
      <c r="J1722">
        <v>6.8000001907348597</v>
      </c>
      <c r="K1722">
        <v>51</v>
      </c>
      <c r="L1722">
        <v>18.360000610351602</v>
      </c>
      <c r="M1722">
        <v>30.799999237060501</v>
      </c>
      <c r="N1722">
        <v>17.700000762939499</v>
      </c>
      <c r="O1722">
        <v>13.1000003814697</v>
      </c>
      <c r="P1722">
        <v>25.600000381469702</v>
      </c>
      <c r="Q1722">
        <v>22.600000381469702</v>
      </c>
      <c r="R1722">
        <v>26.799999237060501</v>
      </c>
      <c r="S1722">
        <v>22</v>
      </c>
      <c r="T1722">
        <v>1421</v>
      </c>
      <c r="U1722">
        <v>352</v>
      </c>
      <c r="V1722">
        <v>6</v>
      </c>
      <c r="W1722">
        <v>98</v>
      </c>
      <c r="X1722">
        <v>859</v>
      </c>
      <c r="Y1722">
        <v>28</v>
      </c>
      <c r="Z1722">
        <v>393</v>
      </c>
      <c r="AA1722">
        <v>34</v>
      </c>
      <c r="AB1722">
        <v>2.1291285470205499</v>
      </c>
      <c r="AC1722">
        <v>4.0545282520651003E-2</v>
      </c>
      <c r="AD1722">
        <v>2.3310405441545301</v>
      </c>
      <c r="AE1722">
        <v>0.65986680984497104</v>
      </c>
      <c r="AF1722">
        <v>257.90641247833599</v>
      </c>
      <c r="AG1722">
        <f>IFERROR(AH1722*0.1, "N/A")</f>
        <v>6.4</v>
      </c>
      <c r="AH1722">
        <v>64</v>
      </c>
      <c r="AI1722">
        <v>145.28410807432701</v>
      </c>
      <c r="AJ1722">
        <v>24</v>
      </c>
      <c r="AK1722">
        <v>59</v>
      </c>
    </row>
    <row r="1723" spans="1:37" x14ac:dyDescent="0.3">
      <c r="A1723">
        <v>1722</v>
      </c>
      <c r="B1723">
        <v>5.9</v>
      </c>
      <c r="C1723">
        <v>36.690398999999999</v>
      </c>
      <c r="D1723">
        <v>-8.1144099999999995</v>
      </c>
      <c r="E1723" t="s">
        <v>3008</v>
      </c>
      <c r="F1723" t="s">
        <v>3009</v>
      </c>
      <c r="G1723" t="s">
        <v>39</v>
      </c>
      <c r="H1723">
        <v>1991</v>
      </c>
      <c r="I1723">
        <v>24.799999237060501</v>
      </c>
      <c r="J1723">
        <v>6.8000001907348597</v>
      </c>
      <c r="K1723">
        <v>51</v>
      </c>
      <c r="L1723">
        <v>18.190000534057599</v>
      </c>
      <c r="M1723">
        <v>30.799999237060501</v>
      </c>
      <c r="N1723">
        <v>17.700000762939499</v>
      </c>
      <c r="O1723">
        <v>13.1000003814697</v>
      </c>
      <c r="P1723">
        <v>25.700000762939499</v>
      </c>
      <c r="Q1723">
        <v>22.600000381469702</v>
      </c>
      <c r="R1723">
        <v>26.799999237060501</v>
      </c>
      <c r="S1723">
        <v>22.100000381469702</v>
      </c>
      <c r="T1723">
        <v>1424</v>
      </c>
      <c r="U1723">
        <v>352</v>
      </c>
      <c r="V1723">
        <v>6</v>
      </c>
      <c r="W1723">
        <v>98</v>
      </c>
      <c r="X1723">
        <v>860</v>
      </c>
      <c r="Y1723">
        <v>29</v>
      </c>
      <c r="Z1723">
        <v>393</v>
      </c>
      <c r="AA1723">
        <v>35</v>
      </c>
      <c r="AB1723">
        <v>1.6221475568197199</v>
      </c>
      <c r="AC1723">
        <v>1.9798090015973002E-2</v>
      </c>
      <c r="AD1723">
        <v>0.90170468250772895</v>
      </c>
      <c r="AE1723">
        <v>0.67522507905960105</v>
      </c>
      <c r="AF1723">
        <v>256.262975778547</v>
      </c>
      <c r="AG1723">
        <f>IFERROR(AH1723*0.1, "N/A")</f>
        <v>6.3000000000000007</v>
      </c>
      <c r="AH1723">
        <v>63</v>
      </c>
      <c r="AI1723">
        <v>175.97173964028499</v>
      </c>
      <c r="AJ1723">
        <v>24</v>
      </c>
      <c r="AK1723">
        <v>58.114186851211102</v>
      </c>
    </row>
    <row r="1724" spans="1:37" x14ac:dyDescent="0.3">
      <c r="A1724">
        <v>1723</v>
      </c>
      <c r="B1724">
        <v>24</v>
      </c>
      <c r="C1724">
        <v>36.650298999999997</v>
      </c>
      <c r="D1724">
        <v>-8.11937</v>
      </c>
      <c r="E1724" t="s">
        <v>3010</v>
      </c>
      <c r="F1724" t="s">
        <v>3011</v>
      </c>
      <c r="G1724" t="s">
        <v>39</v>
      </c>
      <c r="H1724">
        <v>1991</v>
      </c>
      <c r="I1724">
        <v>24.799999237060501</v>
      </c>
      <c r="J1724">
        <v>6.8000001907348597</v>
      </c>
      <c r="K1724">
        <v>51</v>
      </c>
      <c r="L1724">
        <v>18.313067983300101</v>
      </c>
      <c r="M1724">
        <v>30.899999618530298</v>
      </c>
      <c r="N1724">
        <v>17.700000762939499</v>
      </c>
      <c r="O1724">
        <v>13.199999809265099</v>
      </c>
      <c r="P1724">
        <v>25.6551132433543</v>
      </c>
      <c r="Q1724">
        <v>22.600000381469702</v>
      </c>
      <c r="R1724">
        <v>26.799999237060501</v>
      </c>
      <c r="S1724">
        <v>22.100000381469702</v>
      </c>
      <c r="T1724">
        <v>1411.3466204506101</v>
      </c>
      <c r="U1724">
        <v>352.55112651646402</v>
      </c>
      <c r="V1724">
        <v>5</v>
      </c>
      <c r="W1724">
        <v>99</v>
      </c>
      <c r="X1724">
        <v>854.44887348353598</v>
      </c>
      <c r="Y1724">
        <v>26</v>
      </c>
      <c r="Z1724">
        <v>390.89774696707099</v>
      </c>
      <c r="AA1724">
        <v>33</v>
      </c>
      <c r="AB1724">
        <v>2.34038806829337</v>
      </c>
      <c r="AC1724">
        <v>1.0018757970573999E-2</v>
      </c>
      <c r="AD1724">
        <v>1.36463750111168</v>
      </c>
      <c r="AE1724">
        <v>0.584320068359375</v>
      </c>
      <c r="AF1724">
        <v>253.606585788562</v>
      </c>
      <c r="AG1724">
        <f>IFERROR(AH1724*0.1, "N/A")</f>
        <v>6.307279029462741</v>
      </c>
      <c r="AH1724">
        <v>63.072790294627403</v>
      </c>
      <c r="AI1724">
        <v>176.27823620404499</v>
      </c>
      <c r="AJ1724">
        <v>23.927209705372601</v>
      </c>
      <c r="AK1724">
        <v>58.421143847487002</v>
      </c>
    </row>
    <row r="1725" spans="1:37" x14ac:dyDescent="0.3">
      <c r="A1725">
        <v>1724</v>
      </c>
      <c r="B1725">
        <v>11.5</v>
      </c>
      <c r="C1725">
        <v>36.672901000000003</v>
      </c>
      <c r="D1725">
        <v>-8.1210400000000007</v>
      </c>
      <c r="E1725" t="s">
        <v>3012</v>
      </c>
      <c r="F1725" t="s">
        <v>3013</v>
      </c>
      <c r="G1725" t="s">
        <v>39</v>
      </c>
      <c r="H1725">
        <v>1991</v>
      </c>
      <c r="I1725">
        <v>24.799999237060501</v>
      </c>
      <c r="J1725">
        <v>6.8000001907348597</v>
      </c>
      <c r="K1725">
        <v>51</v>
      </c>
      <c r="L1725">
        <v>18.180000305175799</v>
      </c>
      <c r="M1725">
        <v>30.799999237060501</v>
      </c>
      <c r="N1725">
        <v>17.700000762939499</v>
      </c>
      <c r="O1725">
        <v>13.1000003814697</v>
      </c>
      <c r="P1725">
        <v>25.700000762939499</v>
      </c>
      <c r="Q1725">
        <v>22.600000381469702</v>
      </c>
      <c r="R1725">
        <v>26.799999237060501</v>
      </c>
      <c r="S1725">
        <v>22.100000381469702</v>
      </c>
      <c r="T1725">
        <v>1418</v>
      </c>
      <c r="U1725">
        <v>352</v>
      </c>
      <c r="V1725">
        <v>6</v>
      </c>
      <c r="W1725">
        <v>98</v>
      </c>
      <c r="X1725">
        <v>857</v>
      </c>
      <c r="Y1725">
        <v>28</v>
      </c>
      <c r="Z1725">
        <v>392</v>
      </c>
      <c r="AA1725">
        <v>34</v>
      </c>
      <c r="AB1725">
        <v>0.75484664547402103</v>
      </c>
      <c r="AC1725">
        <v>8.4638419177599997E-3</v>
      </c>
      <c r="AD1725">
        <v>1.9856879945238599</v>
      </c>
      <c r="AE1725">
        <v>0.63052743673324596</v>
      </c>
      <c r="AF1725">
        <v>254.510380622837</v>
      </c>
      <c r="AG1725">
        <f>IFERROR(AH1725*0.1, "N/A")</f>
        <v>6.4987889273356405</v>
      </c>
      <c r="AH1725">
        <v>64.987889273356402</v>
      </c>
      <c r="AI1725">
        <v>162.781906457921</v>
      </c>
      <c r="AJ1725">
        <v>23.532871972318301</v>
      </c>
      <c r="AK1725">
        <v>59.455017301038097</v>
      </c>
    </row>
    <row r="1726" spans="1:37" x14ac:dyDescent="0.3">
      <c r="A1726">
        <v>1725</v>
      </c>
      <c r="B1726">
        <v>20.299999</v>
      </c>
      <c r="C1726">
        <v>36.706600000000002</v>
      </c>
      <c r="D1726">
        <v>-8.1248100000000001</v>
      </c>
      <c r="E1726" t="s">
        <v>3014</v>
      </c>
      <c r="F1726" t="s">
        <v>3015</v>
      </c>
      <c r="G1726" t="s">
        <v>39</v>
      </c>
      <c r="H1726">
        <v>1991</v>
      </c>
      <c r="I1726">
        <v>24.799999237060501</v>
      </c>
      <c r="J1726">
        <v>6.7870018742526597</v>
      </c>
      <c r="K1726">
        <v>51</v>
      </c>
      <c r="L1726">
        <v>18.2183010821946</v>
      </c>
      <c r="M1726">
        <v>30.799999237060501</v>
      </c>
      <c r="N1726">
        <v>17.700000762939499</v>
      </c>
      <c r="O1726">
        <v>13.1000003814697</v>
      </c>
      <c r="P1726">
        <v>25.700000762939499</v>
      </c>
      <c r="Q1726">
        <v>22.600000381469702</v>
      </c>
      <c r="R1726">
        <v>26.799999237060501</v>
      </c>
      <c r="S1726">
        <v>22.100000381469702</v>
      </c>
      <c r="T1726">
        <v>1426</v>
      </c>
      <c r="U1726">
        <v>351</v>
      </c>
      <c r="V1726">
        <v>6</v>
      </c>
      <c r="W1726">
        <v>98</v>
      </c>
      <c r="X1726">
        <v>858.87001733102204</v>
      </c>
      <c r="Y1726">
        <v>29</v>
      </c>
      <c r="Z1726">
        <v>395.12998266897699</v>
      </c>
      <c r="AA1726">
        <v>35</v>
      </c>
      <c r="AB1726">
        <v>1.2292865244106801</v>
      </c>
      <c r="AC1726">
        <v>0.17823880979148901</v>
      </c>
      <c r="AD1726">
        <v>0.99514337346293502</v>
      </c>
      <c r="AE1726">
        <v>0.65459626913070701</v>
      </c>
      <c r="AF1726">
        <v>250.80589254765999</v>
      </c>
      <c r="AG1726">
        <f>IFERROR(AH1726*0.1, "N/A")</f>
        <v>6.6166377816291106</v>
      </c>
      <c r="AH1726">
        <v>66.166377816291103</v>
      </c>
      <c r="AI1726">
        <v>198.701957491076</v>
      </c>
      <c r="AJ1726">
        <v>26.166377816291199</v>
      </c>
      <c r="AK1726">
        <v>53.916811091854399</v>
      </c>
    </row>
    <row r="1727" spans="1:37" x14ac:dyDescent="0.3">
      <c r="A1727">
        <v>1726</v>
      </c>
      <c r="B1727">
        <v>7.3</v>
      </c>
      <c r="C1727">
        <v>36.660998999999997</v>
      </c>
      <c r="D1727">
        <v>-8.1506299999999996</v>
      </c>
      <c r="E1727" t="s">
        <v>3016</v>
      </c>
      <c r="F1727" t="s">
        <v>3017</v>
      </c>
      <c r="G1727" t="s">
        <v>39</v>
      </c>
      <c r="H1727">
        <v>1991</v>
      </c>
      <c r="I1727">
        <v>24.799999237060501</v>
      </c>
      <c r="J1727">
        <v>6.7334488103460002</v>
      </c>
      <c r="K1727">
        <v>51</v>
      </c>
      <c r="L1727">
        <v>18.223656236195701</v>
      </c>
      <c r="M1727">
        <v>30.899999618530298</v>
      </c>
      <c r="N1727">
        <v>17.766550873966299</v>
      </c>
      <c r="O1727">
        <v>13.1334490635573</v>
      </c>
      <c r="P1727">
        <v>25.700000762939499</v>
      </c>
      <c r="Q1727">
        <v>22.666551761858599</v>
      </c>
      <c r="R1727">
        <v>26.799999237060501</v>
      </c>
      <c r="S1727">
        <v>22.100000381469702</v>
      </c>
      <c r="T1727">
        <v>1404.6724436741799</v>
      </c>
      <c r="U1727">
        <v>349.33448873483502</v>
      </c>
      <c r="V1727">
        <v>6</v>
      </c>
      <c r="W1727">
        <v>98.665511265164596</v>
      </c>
      <c r="X1727">
        <v>845.33795493934099</v>
      </c>
      <c r="Y1727">
        <v>27</v>
      </c>
      <c r="Z1727">
        <v>391.33448873483502</v>
      </c>
      <c r="AA1727">
        <v>34</v>
      </c>
      <c r="AB1727">
        <v>0.62911445181332604</v>
      </c>
      <c r="AC1727">
        <v>0.19013831340602899</v>
      </c>
      <c r="AD1727">
        <v>1.0079448752014899</v>
      </c>
      <c r="AE1727">
        <v>0.60686767101287797</v>
      </c>
      <c r="AF1727">
        <v>246.027729636049</v>
      </c>
      <c r="AG1727">
        <f>IFERROR(AH1727*0.1, "N/A")</f>
        <v>6.5320623916811105</v>
      </c>
      <c r="AH1727">
        <v>65.320623916811101</v>
      </c>
      <c r="AI1727">
        <v>180.09259148239099</v>
      </c>
      <c r="AJ1727">
        <v>25.623916811091899</v>
      </c>
      <c r="AK1727">
        <v>58.013864818024302</v>
      </c>
    </row>
    <row r="1728" spans="1:37" x14ac:dyDescent="0.3">
      <c r="A1728">
        <v>1727</v>
      </c>
      <c r="B1728">
        <v>5.2</v>
      </c>
      <c r="C1728">
        <v>36.688701999999999</v>
      </c>
      <c r="D1728">
        <v>-8.1524199999999993</v>
      </c>
      <c r="E1728" t="s">
        <v>3018</v>
      </c>
      <c r="F1728" t="s">
        <v>3019</v>
      </c>
      <c r="G1728" t="s">
        <v>39</v>
      </c>
      <c r="H1728">
        <v>1991</v>
      </c>
      <c r="I1728">
        <v>24.799999237060501</v>
      </c>
      <c r="J1728">
        <v>6.6999998092651403</v>
      </c>
      <c r="K1728">
        <v>51</v>
      </c>
      <c r="L1728">
        <v>18.2399997711182</v>
      </c>
      <c r="M1728">
        <v>30.799999237060501</v>
      </c>
      <c r="N1728">
        <v>17.700000762939499</v>
      </c>
      <c r="O1728">
        <v>13.1000003814697</v>
      </c>
      <c r="P1728">
        <v>25.700000762939499</v>
      </c>
      <c r="Q1728">
        <v>22.600000381469702</v>
      </c>
      <c r="R1728">
        <v>26.799999237060501</v>
      </c>
      <c r="S1728">
        <v>22.100000381469702</v>
      </c>
      <c r="T1728">
        <v>1414</v>
      </c>
      <c r="U1728">
        <v>349</v>
      </c>
      <c r="V1728">
        <v>6</v>
      </c>
      <c r="W1728">
        <v>98</v>
      </c>
      <c r="X1728">
        <v>850</v>
      </c>
      <c r="Y1728">
        <v>27</v>
      </c>
      <c r="Z1728">
        <v>395</v>
      </c>
      <c r="AA1728">
        <v>34</v>
      </c>
      <c r="AB1728">
        <v>0.74722414546542704</v>
      </c>
      <c r="AC1728">
        <v>3.3867454799797997E-2</v>
      </c>
      <c r="AD1728">
        <v>1.48781640693131</v>
      </c>
      <c r="AE1728">
        <v>0.58165725568930304</v>
      </c>
      <c r="AF1728">
        <v>253.227430555556</v>
      </c>
      <c r="AG1728">
        <f>IFERROR(AH1728*0.1, "N/A")</f>
        <v>6.0020833333333306</v>
      </c>
      <c r="AH1728">
        <v>60.0208333333333</v>
      </c>
      <c r="AI1728">
        <v>109.775185359849</v>
      </c>
      <c r="AJ1728">
        <v>24</v>
      </c>
      <c r="AK1728">
        <v>58.9791666666667</v>
      </c>
    </row>
    <row r="1729" spans="1:37" x14ac:dyDescent="0.3">
      <c r="A1729">
        <v>1728</v>
      </c>
      <c r="B1729">
        <v>10.8</v>
      </c>
      <c r="C1729">
        <v>36.393002000000003</v>
      </c>
      <c r="D1729">
        <v>-8.15442</v>
      </c>
      <c r="E1729" t="s">
        <v>3020</v>
      </c>
      <c r="F1729" t="s">
        <v>3021</v>
      </c>
      <c r="G1729" t="s">
        <v>39</v>
      </c>
      <c r="H1729">
        <v>1991</v>
      </c>
      <c r="I1729">
        <v>25.100000381469702</v>
      </c>
      <c r="J1729">
        <v>7.4000000953674299</v>
      </c>
      <c r="K1729">
        <v>54</v>
      </c>
      <c r="L1729">
        <v>17.459999084472699</v>
      </c>
      <c r="M1729">
        <v>31.5</v>
      </c>
      <c r="N1729">
        <v>17.899999618530298</v>
      </c>
      <c r="O1729">
        <v>13.6000003814697</v>
      </c>
      <c r="P1729">
        <v>25.899999618530298</v>
      </c>
      <c r="Q1729">
        <v>23.100000381469702</v>
      </c>
      <c r="R1729">
        <v>27</v>
      </c>
      <c r="S1729">
        <v>22.5</v>
      </c>
      <c r="T1729">
        <v>1449</v>
      </c>
      <c r="U1729">
        <v>361</v>
      </c>
      <c r="V1729">
        <v>5</v>
      </c>
      <c r="W1729">
        <v>100</v>
      </c>
      <c r="X1729">
        <v>878</v>
      </c>
      <c r="Y1729">
        <v>23</v>
      </c>
      <c r="Z1729">
        <v>412</v>
      </c>
      <c r="AA1729">
        <v>30</v>
      </c>
      <c r="AB1729">
        <v>4.0682102839152003</v>
      </c>
      <c r="AC1729">
        <v>0.19083364126466501</v>
      </c>
      <c r="AD1729">
        <v>1.0103126331749901</v>
      </c>
      <c r="AE1729">
        <v>0.37063995003700301</v>
      </c>
      <c r="AF1729">
        <v>276.289930555556</v>
      </c>
      <c r="AG1729">
        <f>IFERROR(AH1729*0.1, "N/A")</f>
        <v>6.1253472222222207</v>
      </c>
      <c r="AH1729">
        <v>61.2534722222222</v>
      </c>
      <c r="AI1729">
        <v>162.47446580065599</v>
      </c>
      <c r="AJ1729">
        <v>24.2916666666667</v>
      </c>
      <c r="AK1729">
        <v>59.9618055555556</v>
      </c>
    </row>
    <row r="1730" spans="1:37" x14ac:dyDescent="0.3">
      <c r="A1730">
        <v>1729</v>
      </c>
      <c r="B1730">
        <v>1.6</v>
      </c>
      <c r="C1730">
        <v>36.246799000000003</v>
      </c>
      <c r="D1730">
        <v>-8.2101000000000006</v>
      </c>
      <c r="E1730" t="s">
        <v>3022</v>
      </c>
      <c r="F1730" t="s">
        <v>3023</v>
      </c>
      <c r="G1730" t="s">
        <v>39</v>
      </c>
      <c r="H1730">
        <v>1991</v>
      </c>
      <c r="I1730">
        <v>25.5</v>
      </c>
      <c r="J1730">
        <v>7.9000000953674299</v>
      </c>
      <c r="K1730">
        <v>57</v>
      </c>
      <c r="L1730">
        <v>16.290000915527301</v>
      </c>
      <c r="M1730">
        <v>31.899999618530298</v>
      </c>
      <c r="N1730">
        <v>18.200000762939499</v>
      </c>
      <c r="O1730">
        <v>13.699999809265099</v>
      </c>
      <c r="P1730">
        <v>26.200000762939499</v>
      </c>
      <c r="Q1730">
        <v>23.600000381469702</v>
      </c>
      <c r="R1730">
        <v>27.200000762939499</v>
      </c>
      <c r="S1730">
        <v>23</v>
      </c>
      <c r="T1730">
        <v>1489</v>
      </c>
      <c r="U1730">
        <v>370</v>
      </c>
      <c r="V1730">
        <v>5</v>
      </c>
      <c r="W1730">
        <v>101</v>
      </c>
      <c r="X1730">
        <v>902</v>
      </c>
      <c r="Y1730">
        <v>22</v>
      </c>
      <c r="Z1730">
        <v>428</v>
      </c>
      <c r="AA1730">
        <v>29</v>
      </c>
      <c r="AB1730">
        <v>5.7692769368489598</v>
      </c>
      <c r="AC1730">
        <v>3.0307424450358E-2</v>
      </c>
      <c r="AD1730">
        <v>1.26290274100999</v>
      </c>
      <c r="AE1730">
        <v>0.31663715839385997</v>
      </c>
      <c r="AF1730">
        <v>282.38888888888903</v>
      </c>
      <c r="AG1730">
        <f>IFERROR(AH1730*0.1, "N/A")</f>
        <v>5.9967013888888907</v>
      </c>
      <c r="AH1730">
        <v>59.9670138888889</v>
      </c>
      <c r="AI1730">
        <v>189.663579755359</v>
      </c>
      <c r="AJ1730">
        <v>29.9670138888889</v>
      </c>
      <c r="AK1730">
        <v>55</v>
      </c>
    </row>
    <row r="1731" spans="1:37" x14ac:dyDescent="0.3">
      <c r="A1731">
        <v>1730</v>
      </c>
      <c r="B1731">
        <v>0</v>
      </c>
      <c r="C1731">
        <v>36.340598999999997</v>
      </c>
      <c r="D1731">
        <v>-8.2884200000000003</v>
      </c>
      <c r="E1731" t="s">
        <v>3024</v>
      </c>
      <c r="F1731" t="s">
        <v>3025</v>
      </c>
      <c r="G1731" t="s">
        <v>39</v>
      </c>
      <c r="H1731">
        <v>1991</v>
      </c>
      <c r="I1731">
        <v>25.5</v>
      </c>
      <c r="J1731">
        <v>7.5999999046325701</v>
      </c>
      <c r="K1731">
        <v>55</v>
      </c>
      <c r="L1731">
        <v>17.219843069712301</v>
      </c>
      <c r="M1731">
        <v>31.899999618530298</v>
      </c>
      <c r="N1731">
        <v>18.2005215883255</v>
      </c>
      <c r="O1731">
        <v>13.699478978912</v>
      </c>
      <c r="P1731">
        <v>26.299999237060501</v>
      </c>
      <c r="Q1731">
        <v>23.400520453850401</v>
      </c>
      <c r="R1731">
        <v>27.299999237060501</v>
      </c>
      <c r="S1731">
        <v>22.899999618530298</v>
      </c>
      <c r="T1731">
        <v>1434.9895833333301</v>
      </c>
      <c r="U1731">
        <v>354.99479166666703</v>
      </c>
      <c r="V1731">
        <v>5</v>
      </c>
      <c r="W1731">
        <v>101</v>
      </c>
      <c r="X1731">
        <v>868.98958333333303</v>
      </c>
      <c r="Y1731">
        <v>21</v>
      </c>
      <c r="Z1731">
        <v>415</v>
      </c>
      <c r="AA1731">
        <v>28</v>
      </c>
      <c r="AB1731">
        <v>2.1086828708648699</v>
      </c>
      <c r="AC1731">
        <v>1.8741984502412001E-2</v>
      </c>
      <c r="AD1731">
        <v>1.6929525733511499</v>
      </c>
      <c r="AE1731">
        <v>0.42933154954678499</v>
      </c>
      <c r="AF1731">
        <v>258.14583333333297</v>
      </c>
      <c r="AG1731">
        <f>IFERROR(AH1731*0.1, "N/A")</f>
        <v>5.8020833333333304</v>
      </c>
      <c r="AH1731">
        <v>58.0208333333333</v>
      </c>
      <c r="AI1731">
        <v>100.48582906193199</v>
      </c>
      <c r="AJ1731">
        <v>28.4375</v>
      </c>
      <c r="AK1731">
        <v>53.7760416666667</v>
      </c>
    </row>
    <row r="1732" spans="1:37" x14ac:dyDescent="0.3">
      <c r="A1732">
        <v>1731</v>
      </c>
      <c r="B1732">
        <v>7</v>
      </c>
      <c r="C1732">
        <v>36.130600000000001</v>
      </c>
      <c r="D1732">
        <v>-8.3132800000000007</v>
      </c>
      <c r="E1732" t="s">
        <v>3026</v>
      </c>
      <c r="F1732" t="s">
        <v>3027</v>
      </c>
      <c r="G1732" t="s">
        <v>39</v>
      </c>
      <c r="H1732">
        <v>1991</v>
      </c>
      <c r="I1732">
        <v>25.700000762939499</v>
      </c>
      <c r="J1732">
        <v>8.1999998092651403</v>
      </c>
      <c r="K1732">
        <v>58</v>
      </c>
      <c r="L1732">
        <v>16.069999694824201</v>
      </c>
      <c r="M1732">
        <v>32.299999237060497</v>
      </c>
      <c r="N1732">
        <v>18.399999618530298</v>
      </c>
      <c r="O1732">
        <v>13.8999996185303</v>
      </c>
      <c r="P1732">
        <v>26.399999618530298</v>
      </c>
      <c r="Q1732">
        <v>23.799999237060501</v>
      </c>
      <c r="R1732">
        <v>27.399999618530298</v>
      </c>
      <c r="S1732">
        <v>23.299999237060501</v>
      </c>
      <c r="T1732">
        <v>1487</v>
      </c>
      <c r="U1732">
        <v>368</v>
      </c>
      <c r="V1732">
        <v>5</v>
      </c>
      <c r="W1732">
        <v>102</v>
      </c>
      <c r="X1732">
        <v>898</v>
      </c>
      <c r="Y1732">
        <v>20</v>
      </c>
      <c r="Z1732">
        <v>249</v>
      </c>
      <c r="AA1732">
        <v>27</v>
      </c>
      <c r="AB1732">
        <v>1.3422069087573001</v>
      </c>
      <c r="AC1732">
        <v>0.32751815978785698</v>
      </c>
      <c r="AD1732">
        <v>1.29591771289964</v>
      </c>
      <c r="AE1732">
        <v>0.32501828670501698</v>
      </c>
      <c r="AF1732">
        <v>278.524221453287</v>
      </c>
      <c r="AG1732">
        <f>IFERROR(AH1732*0.1, "N/A")</f>
        <v>5.8529411764705905</v>
      </c>
      <c r="AH1732">
        <v>58.529411764705898</v>
      </c>
      <c r="AI1732">
        <v>191.06617771135501</v>
      </c>
      <c r="AJ1732">
        <v>27.937716262975801</v>
      </c>
      <c r="AK1732">
        <v>53.155709342560499</v>
      </c>
    </row>
    <row r="1733" spans="1:37" x14ac:dyDescent="0.3">
      <c r="A1733">
        <v>1732</v>
      </c>
      <c r="B1733">
        <v>3.4</v>
      </c>
      <c r="C1733">
        <v>36.103499999999997</v>
      </c>
      <c r="D1733">
        <v>-8.3424099999999992</v>
      </c>
      <c r="E1733" t="s">
        <v>3028</v>
      </c>
      <c r="F1733" t="s">
        <v>3029</v>
      </c>
      <c r="G1733" t="s">
        <v>39</v>
      </c>
      <c r="H1733">
        <v>1991</v>
      </c>
      <c r="I1733">
        <v>25.799999237060501</v>
      </c>
      <c r="J1733">
        <v>8.1999998092651403</v>
      </c>
      <c r="K1733">
        <v>58</v>
      </c>
      <c r="L1733">
        <v>15.993576364384801</v>
      </c>
      <c r="M1733">
        <v>32.400001525878899</v>
      </c>
      <c r="N1733">
        <v>18.399999618530298</v>
      </c>
      <c r="O1733">
        <v>14</v>
      </c>
      <c r="P1733">
        <v>26.5</v>
      </c>
      <c r="Q1733">
        <v>23.899999618530298</v>
      </c>
      <c r="R1733">
        <v>27.493576364384801</v>
      </c>
      <c r="S1733">
        <v>23.399999618530298</v>
      </c>
      <c r="T1733">
        <v>1466.1927083333301</v>
      </c>
      <c r="U1733">
        <v>362.06423611111097</v>
      </c>
      <c r="V1733">
        <v>5</v>
      </c>
      <c r="W1733">
        <v>101</v>
      </c>
      <c r="X1733">
        <v>884.12847222222297</v>
      </c>
      <c r="Y1733">
        <v>20</v>
      </c>
      <c r="Z1733">
        <v>246.064236111111</v>
      </c>
      <c r="AA1733">
        <v>26</v>
      </c>
      <c r="AB1733">
        <v>1.66927809185452</v>
      </c>
      <c r="AC1733">
        <v>1.2556619373046999E-2</v>
      </c>
      <c r="AD1733">
        <v>0.89306076502220499</v>
      </c>
      <c r="AE1733">
        <v>0.30524918457700201</v>
      </c>
      <c r="AF1733">
        <v>272.84548611111097</v>
      </c>
      <c r="AG1733">
        <f>IFERROR(AH1733*0.1, "N/A")</f>
        <v>6.4741319444444505</v>
      </c>
      <c r="AH1733">
        <v>64.7413194444445</v>
      </c>
      <c r="AI1733">
        <v>211.71392700407199</v>
      </c>
      <c r="AJ1733">
        <v>26.7048611111111</v>
      </c>
      <c r="AK1733">
        <v>52.5798611111111</v>
      </c>
    </row>
    <row r="1734" spans="1:37" x14ac:dyDescent="0.3">
      <c r="A1734">
        <v>1733</v>
      </c>
      <c r="B1734">
        <v>0</v>
      </c>
      <c r="C1734">
        <v>36.093299999999999</v>
      </c>
      <c r="D1734">
        <v>-8.3754899999999992</v>
      </c>
      <c r="E1734" t="s">
        <v>3030</v>
      </c>
      <c r="F1734" t="s">
        <v>3031</v>
      </c>
      <c r="G1734" t="s">
        <v>39</v>
      </c>
      <c r="H1734">
        <v>1991</v>
      </c>
      <c r="I1734">
        <v>25.799999237060501</v>
      </c>
      <c r="J1734">
        <v>8.1999998092651403</v>
      </c>
      <c r="K1734">
        <v>58</v>
      </c>
      <c r="L1734">
        <v>15.8786158627705</v>
      </c>
      <c r="M1734">
        <v>32.5</v>
      </c>
      <c r="N1734">
        <v>18.5</v>
      </c>
      <c r="O1734">
        <v>14</v>
      </c>
      <c r="P1734">
        <v>26.5</v>
      </c>
      <c r="Q1734">
        <v>24</v>
      </c>
      <c r="R1734">
        <v>27.5</v>
      </c>
      <c r="S1734">
        <v>23.5</v>
      </c>
      <c r="T1734">
        <v>1444.0051903114199</v>
      </c>
      <c r="U1734">
        <v>355.287197231834</v>
      </c>
      <c r="V1734">
        <v>5</v>
      </c>
      <c r="W1734">
        <v>101</v>
      </c>
      <c r="X1734">
        <v>869.574394463668</v>
      </c>
      <c r="Y1734">
        <v>20</v>
      </c>
      <c r="Z1734">
        <v>399.86505190311402</v>
      </c>
      <c r="AA1734">
        <v>26</v>
      </c>
      <c r="AB1734">
        <v>4.49879054297213</v>
      </c>
      <c r="AC1734">
        <v>6.1844211161962002E-2</v>
      </c>
      <c r="AD1734">
        <v>0.838982320007156</v>
      </c>
      <c r="AE1734">
        <v>0.34233400225639299</v>
      </c>
      <c r="AF1734">
        <v>270.51730103806199</v>
      </c>
      <c r="AG1734">
        <f>IFERROR(AH1734*0.1, "N/A")</f>
        <v>6.1313148788927307</v>
      </c>
      <c r="AH1734">
        <v>61.3131487889273</v>
      </c>
      <c r="AI1734">
        <v>109.468568227695</v>
      </c>
      <c r="AJ1734">
        <v>28.463667820069201</v>
      </c>
      <c r="AK1734">
        <v>50.588235294117702</v>
      </c>
    </row>
    <row r="1735" spans="1:37" x14ac:dyDescent="0.3">
      <c r="A1735">
        <v>1734</v>
      </c>
      <c r="B1735">
        <v>1.4</v>
      </c>
      <c r="C1735">
        <v>35.936698999999997</v>
      </c>
      <c r="D1735">
        <v>-8.5085099999999994</v>
      </c>
      <c r="E1735" t="s">
        <v>3032</v>
      </c>
      <c r="F1735" t="s">
        <v>3033</v>
      </c>
      <c r="G1735" t="s">
        <v>39</v>
      </c>
      <c r="H1735">
        <v>1991</v>
      </c>
      <c r="I1735">
        <v>25.899999618530298</v>
      </c>
      <c r="J1735">
        <v>8.6999998092651403</v>
      </c>
      <c r="K1735">
        <v>60</v>
      </c>
      <c r="L1735">
        <v>16.0242108026038</v>
      </c>
      <c r="M1735">
        <v>32.700000762939503</v>
      </c>
      <c r="N1735">
        <v>18.310744512019198</v>
      </c>
      <c r="O1735">
        <v>14.3892544460462</v>
      </c>
      <c r="P1735">
        <v>26.600000381469702</v>
      </c>
      <c r="Q1735">
        <v>24.010745274958602</v>
      </c>
      <c r="R1735">
        <v>27.5</v>
      </c>
      <c r="S1735">
        <v>23.4107448934889</v>
      </c>
      <c r="T1735">
        <v>1370.1074523396901</v>
      </c>
      <c r="U1735">
        <v>331.107452339688</v>
      </c>
      <c r="V1735">
        <v>4</v>
      </c>
      <c r="W1735">
        <v>99.107452339687995</v>
      </c>
      <c r="X1735">
        <v>814.21490467937599</v>
      </c>
      <c r="Y1735">
        <v>16</v>
      </c>
      <c r="Z1735">
        <v>401.55112651646402</v>
      </c>
      <c r="AA1735">
        <v>21</v>
      </c>
      <c r="AB1735">
        <v>0.91162019461858201</v>
      </c>
      <c r="AC1735">
        <v>8.2642123589899104</v>
      </c>
      <c r="AD1735">
        <v>1.5571195004924301</v>
      </c>
      <c r="AE1735">
        <v>0.260993856852761</v>
      </c>
      <c r="AF1735">
        <v>289.41074523396901</v>
      </c>
      <c r="AG1735">
        <f>IFERROR(AH1735*0.1, "N/A")</f>
        <v>5.7214904679376097</v>
      </c>
      <c r="AH1735">
        <v>57.214904679376097</v>
      </c>
      <c r="AI1735">
        <v>52.569496402707401</v>
      </c>
      <c r="AJ1735">
        <v>30.3726169844021</v>
      </c>
      <c r="AK1735">
        <v>52.214904679376097</v>
      </c>
    </row>
    <row r="1736" spans="1:37" x14ac:dyDescent="0.3">
      <c r="A1736">
        <v>1735</v>
      </c>
      <c r="B1736">
        <v>3.8</v>
      </c>
      <c r="C1736">
        <v>36.011299000000001</v>
      </c>
      <c r="D1736">
        <v>-8.5515500000000007</v>
      </c>
      <c r="E1736" t="s">
        <v>3034</v>
      </c>
      <c r="F1736" t="s">
        <v>3035</v>
      </c>
      <c r="G1736" t="s">
        <v>39</v>
      </c>
      <c r="H1736">
        <v>1991</v>
      </c>
      <c r="I1736">
        <v>25.899999618530298</v>
      </c>
      <c r="J1736">
        <v>8.5</v>
      </c>
      <c r="K1736">
        <v>59</v>
      </c>
      <c r="L1736">
        <v>16.209999084472699</v>
      </c>
      <c r="M1736">
        <v>32.700000762939503</v>
      </c>
      <c r="N1736">
        <v>18.399999618530298</v>
      </c>
      <c r="O1736">
        <v>14.300000190734901</v>
      </c>
      <c r="P1736">
        <v>26.700000762939499</v>
      </c>
      <c r="Q1736">
        <v>24.100000381469702</v>
      </c>
      <c r="R1736">
        <v>27.600000381469702</v>
      </c>
      <c r="S1736">
        <v>23.5</v>
      </c>
      <c r="T1736">
        <v>1354</v>
      </c>
      <c r="U1736">
        <v>327</v>
      </c>
      <c r="V1736">
        <v>4</v>
      </c>
      <c r="W1736">
        <v>100</v>
      </c>
      <c r="X1736">
        <v>806</v>
      </c>
      <c r="Y1736">
        <v>15</v>
      </c>
      <c r="Z1736">
        <v>237</v>
      </c>
      <c r="AA1736">
        <v>20</v>
      </c>
      <c r="AB1736">
        <v>4.2986191848228703</v>
      </c>
      <c r="AC1736">
        <v>0.17362384495389599</v>
      </c>
      <c r="AD1736">
        <v>1.1929252453919099</v>
      </c>
      <c r="AE1736">
        <v>0.238819360733032</v>
      </c>
      <c r="AF1736">
        <v>272.10862068965503</v>
      </c>
      <c r="AG1736">
        <f>IFERROR(AH1736*0.1, "N/A")</f>
        <v>6.2913793103448299</v>
      </c>
      <c r="AH1736">
        <v>62.913793103448299</v>
      </c>
      <c r="AI1736">
        <v>33.595517434744998</v>
      </c>
      <c r="AJ1736">
        <v>28.086206896551701</v>
      </c>
      <c r="AK1736">
        <v>56.979310344827603</v>
      </c>
    </row>
    <row r="1737" spans="1:37" x14ac:dyDescent="0.3">
      <c r="A1737">
        <v>1736</v>
      </c>
      <c r="B1737">
        <v>5.4</v>
      </c>
      <c r="C1737">
        <v>35.925201000000001</v>
      </c>
      <c r="D1737">
        <v>-8.5699299999999994</v>
      </c>
      <c r="E1737" t="s">
        <v>3036</v>
      </c>
      <c r="F1737" t="s">
        <v>3037</v>
      </c>
      <c r="G1737" t="s">
        <v>39</v>
      </c>
      <c r="H1737">
        <v>1991</v>
      </c>
      <c r="I1737">
        <v>25.899999618530298</v>
      </c>
      <c r="J1737">
        <v>8.6999998092651403</v>
      </c>
      <c r="K1737">
        <v>60</v>
      </c>
      <c r="L1737">
        <v>16.024256610540402</v>
      </c>
      <c r="M1737">
        <v>32.700000762939503</v>
      </c>
      <c r="N1737">
        <v>18.331487246450699</v>
      </c>
      <c r="O1737">
        <v>14.368511909432099</v>
      </c>
      <c r="P1737">
        <v>26.631488390859801</v>
      </c>
      <c r="Q1737">
        <v>24.100000381469702</v>
      </c>
      <c r="R1737">
        <v>27.600000381469702</v>
      </c>
      <c r="S1737">
        <v>23.5</v>
      </c>
      <c r="T1737">
        <v>1346</v>
      </c>
      <c r="U1737">
        <v>324</v>
      </c>
      <c r="V1737">
        <v>4</v>
      </c>
      <c r="W1737">
        <v>99</v>
      </c>
      <c r="X1737">
        <v>798</v>
      </c>
      <c r="Y1737">
        <v>15</v>
      </c>
      <c r="Z1737">
        <v>238</v>
      </c>
      <c r="AA1737">
        <v>20</v>
      </c>
      <c r="AB1737">
        <v>9.6965299824117395</v>
      </c>
      <c r="AC1737">
        <v>7.6104343851067999E-2</v>
      </c>
      <c r="AD1737">
        <v>2.7219602220198702</v>
      </c>
      <c r="AE1737">
        <v>0.26518782973289501</v>
      </c>
      <c r="AF1737">
        <v>299.10726643598599</v>
      </c>
      <c r="AG1737">
        <f>IFERROR(AH1737*0.1, "N/A")</f>
        <v>5.9541522491349497</v>
      </c>
      <c r="AH1737">
        <v>59.541522491349497</v>
      </c>
      <c r="AI1737">
        <v>160.59779980933399</v>
      </c>
      <c r="AJ1737">
        <v>31.065743944636701</v>
      </c>
      <c r="AK1737">
        <v>50.958477508650503</v>
      </c>
    </row>
    <row r="1738" spans="1:37" x14ac:dyDescent="0.3">
      <c r="A1738">
        <v>1737</v>
      </c>
      <c r="B1738">
        <v>30.9</v>
      </c>
      <c r="C1738">
        <v>35.861801</v>
      </c>
      <c r="D1738">
        <v>-8.6802799999999998</v>
      </c>
      <c r="E1738" t="s">
        <v>3038</v>
      </c>
      <c r="F1738" t="s">
        <v>3039</v>
      </c>
      <c r="G1738" t="s">
        <v>39</v>
      </c>
      <c r="H1738">
        <v>1991</v>
      </c>
      <c r="I1738">
        <v>25.899999618530298</v>
      </c>
      <c r="J1738">
        <v>8.8999996185302699</v>
      </c>
      <c r="K1738">
        <v>60</v>
      </c>
      <c r="L1738">
        <v>16.180000305175799</v>
      </c>
      <c r="M1738">
        <v>32.799999237060497</v>
      </c>
      <c r="N1738">
        <v>18.200000762939499</v>
      </c>
      <c r="O1738">
        <v>14.6000003814697</v>
      </c>
      <c r="P1738">
        <v>26.600000381469702</v>
      </c>
      <c r="Q1738">
        <v>24.100000381469702</v>
      </c>
      <c r="R1738">
        <v>27.600000381469702</v>
      </c>
      <c r="S1738">
        <v>23.5</v>
      </c>
      <c r="T1738">
        <v>1322</v>
      </c>
      <c r="U1738">
        <v>315</v>
      </c>
      <c r="V1738">
        <v>4</v>
      </c>
      <c r="W1738">
        <v>99</v>
      </c>
      <c r="X1738">
        <v>778</v>
      </c>
      <c r="Y1738">
        <v>14</v>
      </c>
      <c r="Z1738">
        <v>419</v>
      </c>
      <c r="AA1738">
        <v>18</v>
      </c>
      <c r="AB1738">
        <v>6.0608283031337997</v>
      </c>
      <c r="AC1738">
        <v>4.2903848663875997E-2</v>
      </c>
      <c r="AD1738">
        <v>2.82887625244916</v>
      </c>
      <c r="AE1738">
        <v>0.24973069131374401</v>
      </c>
      <c r="AF1738">
        <v>299.94800693240899</v>
      </c>
      <c r="AG1738">
        <f>IFERROR(AH1738*0.1, "N/A")</f>
        <v>6.2275563258232198</v>
      </c>
      <c r="AH1738">
        <v>62.275563258232197</v>
      </c>
      <c r="AI1738">
        <v>35.473043035179899</v>
      </c>
      <c r="AJ1738">
        <v>34.069324090121299</v>
      </c>
      <c r="AK1738">
        <v>49.655112651646398</v>
      </c>
    </row>
    <row r="1739" spans="1:37" x14ac:dyDescent="0.3">
      <c r="A1739">
        <v>1738</v>
      </c>
      <c r="B1739">
        <v>37.599997999999999</v>
      </c>
      <c r="C1739">
        <v>35.853698999999999</v>
      </c>
      <c r="D1739">
        <v>-8.7313500000000008</v>
      </c>
      <c r="E1739" t="s">
        <v>3040</v>
      </c>
      <c r="F1739" t="s">
        <v>3041</v>
      </c>
      <c r="G1739" t="s">
        <v>39</v>
      </c>
      <c r="H1739">
        <v>1991</v>
      </c>
      <c r="I1739">
        <v>25.899999618530298</v>
      </c>
      <c r="J1739">
        <v>8.8999996185302699</v>
      </c>
      <c r="K1739">
        <v>60</v>
      </c>
      <c r="L1739">
        <v>16.2299995422363</v>
      </c>
      <c r="M1739">
        <v>32.799999237060497</v>
      </c>
      <c r="N1739">
        <v>18.200000762939499</v>
      </c>
      <c r="O1739">
        <v>14.6000003814697</v>
      </c>
      <c r="P1739">
        <v>26.600000381469702</v>
      </c>
      <c r="Q1739">
        <v>24</v>
      </c>
      <c r="R1739">
        <v>27.600000381469702</v>
      </c>
      <c r="S1739">
        <v>23.5</v>
      </c>
      <c r="T1739">
        <v>1314</v>
      </c>
      <c r="U1739">
        <v>312</v>
      </c>
      <c r="V1739">
        <v>4</v>
      </c>
      <c r="W1739">
        <v>99</v>
      </c>
      <c r="X1739">
        <v>772</v>
      </c>
      <c r="Y1739">
        <v>14</v>
      </c>
      <c r="Z1739">
        <v>237</v>
      </c>
      <c r="AA1739">
        <v>18</v>
      </c>
      <c r="AB1739">
        <v>18.1370809941813</v>
      </c>
      <c r="AC1739">
        <v>9.0512462166920001E-3</v>
      </c>
      <c r="AD1739">
        <v>3.7615453874631002</v>
      </c>
      <c r="AE1739">
        <v>0.24599359929561601</v>
      </c>
      <c r="AF1739">
        <v>318.58925476603099</v>
      </c>
      <c r="AG1739">
        <f>IFERROR(AH1739*0.1, "N/A")</f>
        <v>6.0734835355286005</v>
      </c>
      <c r="AH1739">
        <v>60.734835355286002</v>
      </c>
      <c r="AI1739">
        <v>119.041803829385</v>
      </c>
      <c r="AJ1739">
        <v>30.4783362218371</v>
      </c>
      <c r="AK1739">
        <v>55.530329289428103</v>
      </c>
    </row>
    <row r="1740" spans="1:37" x14ac:dyDescent="0.3">
      <c r="A1740">
        <v>1739</v>
      </c>
      <c r="B1740">
        <v>0</v>
      </c>
      <c r="C1740">
        <v>35.366402000000001</v>
      </c>
      <c r="D1740">
        <v>-8.7409400000000002</v>
      </c>
      <c r="E1740" t="s">
        <v>3042</v>
      </c>
      <c r="F1740" t="s">
        <v>3043</v>
      </c>
      <c r="G1740" t="s">
        <v>39</v>
      </c>
      <c r="H1740">
        <v>1991</v>
      </c>
      <c r="I1740">
        <v>20.347750284267502</v>
      </c>
      <c r="J1740">
        <v>10.699999809265099</v>
      </c>
      <c r="K1740">
        <v>66</v>
      </c>
      <c r="L1740">
        <v>16.362369781546899</v>
      </c>
      <c r="M1740">
        <v>28.247751156764</v>
      </c>
      <c r="N1740">
        <v>12.0477509828587</v>
      </c>
      <c r="O1740">
        <v>16.200000762939499</v>
      </c>
      <c r="P1740">
        <v>21.047750918510499</v>
      </c>
      <c r="Q1740">
        <v>17.947750665737299</v>
      </c>
      <c r="R1740">
        <v>22.047750918510499</v>
      </c>
      <c r="S1740">
        <v>17.947750665737299</v>
      </c>
      <c r="T1740">
        <v>1254.1003460207601</v>
      </c>
      <c r="U1740">
        <v>263.34256055363301</v>
      </c>
      <c r="V1740">
        <v>5.9325259515570901</v>
      </c>
      <c r="W1740">
        <v>93.342560553633206</v>
      </c>
      <c r="X1740">
        <v>679.89273356401395</v>
      </c>
      <c r="Y1740">
        <v>18.9325259515571</v>
      </c>
      <c r="Z1740">
        <v>280.27508650519002</v>
      </c>
      <c r="AA1740">
        <v>18.9325259515571</v>
      </c>
      <c r="AB1740">
        <v>70.221262789927593</v>
      </c>
      <c r="AC1740">
        <v>1.0526639480259999E-2</v>
      </c>
      <c r="AD1740">
        <v>7.6354483840374803</v>
      </c>
      <c r="AE1740">
        <v>0.29236021637916598</v>
      </c>
      <c r="AF1740">
        <v>1337.8321799308001</v>
      </c>
      <c r="AG1740">
        <f>IFERROR(AH1740*0.1, "N/A")</f>
        <v>5.7752595155709301</v>
      </c>
      <c r="AH1740">
        <v>57.752595155709301</v>
      </c>
      <c r="AI1740">
        <v>169.68369627163901</v>
      </c>
      <c r="AJ1740">
        <v>39.8131487889273</v>
      </c>
      <c r="AK1740">
        <v>38.455017301038097</v>
      </c>
    </row>
    <row r="1741" spans="1:37" x14ac:dyDescent="0.3">
      <c r="A1741">
        <v>1740</v>
      </c>
      <c r="B1741">
        <v>9.6</v>
      </c>
      <c r="C1741">
        <v>35.409697999999999</v>
      </c>
      <c r="D1741">
        <v>-8.7684899999999999</v>
      </c>
      <c r="E1741" t="s">
        <v>3044</v>
      </c>
      <c r="F1741" t="s">
        <v>3045</v>
      </c>
      <c r="G1741" t="s">
        <v>39</v>
      </c>
      <c r="H1741">
        <v>1991</v>
      </c>
      <c r="I1741">
        <v>20.700000762939499</v>
      </c>
      <c r="J1741">
        <v>10.6000003814697</v>
      </c>
      <c r="K1741">
        <v>65</v>
      </c>
      <c r="L1741">
        <v>16.600000381469702</v>
      </c>
      <c r="M1741">
        <v>28.600000381469702</v>
      </c>
      <c r="N1741">
        <v>12.3999996185303</v>
      </c>
      <c r="O1741">
        <v>16.200000762939499</v>
      </c>
      <c r="P1741">
        <v>21.600000381469702</v>
      </c>
      <c r="Q1741">
        <v>18.299999237060501</v>
      </c>
      <c r="R1741">
        <v>22.5</v>
      </c>
      <c r="S1741">
        <v>18.299999237060501</v>
      </c>
      <c r="T1741">
        <v>1309</v>
      </c>
      <c r="U1741">
        <v>275</v>
      </c>
      <c r="V1741">
        <v>6</v>
      </c>
      <c r="W1741">
        <v>93</v>
      </c>
      <c r="X1741">
        <v>717</v>
      </c>
      <c r="Y1741">
        <v>21</v>
      </c>
      <c r="Z1741">
        <v>485</v>
      </c>
      <c r="AA1741">
        <v>21</v>
      </c>
      <c r="AB1741">
        <v>9.8498480435075404</v>
      </c>
      <c r="AC1741">
        <v>0.108712269519937</v>
      </c>
      <c r="AD1741">
        <v>6.2103235359849602</v>
      </c>
      <c r="AE1741">
        <v>0.194141000509262</v>
      </c>
      <c r="AF1741">
        <v>1260.39827586207</v>
      </c>
      <c r="AG1741">
        <f>IFERROR(AH1741*0.1, "N/A")</f>
        <v>5.7</v>
      </c>
      <c r="AH1741">
        <v>57</v>
      </c>
      <c r="AI1741">
        <v>145.456871374722</v>
      </c>
      <c r="AJ1741">
        <v>36</v>
      </c>
      <c r="AK1741">
        <v>44</v>
      </c>
    </row>
    <row r="1742" spans="1:37" x14ac:dyDescent="0.3">
      <c r="A1742">
        <v>1741</v>
      </c>
      <c r="B1742">
        <v>32.099997999999999</v>
      </c>
      <c r="C1742">
        <v>35.811798000000003</v>
      </c>
      <c r="D1742">
        <v>-8.7815799999999999</v>
      </c>
      <c r="E1742" t="s">
        <v>3046</v>
      </c>
      <c r="F1742" t="s">
        <v>3047</v>
      </c>
      <c r="G1742" t="s">
        <v>39</v>
      </c>
      <c r="H1742">
        <v>1991</v>
      </c>
      <c r="I1742">
        <v>25.799999237060501</v>
      </c>
      <c r="J1742">
        <v>9</v>
      </c>
      <c r="K1742">
        <v>61</v>
      </c>
      <c r="L1742">
        <v>16.370000839233398</v>
      </c>
      <c r="M1742">
        <v>32.700000762939503</v>
      </c>
      <c r="N1742">
        <v>18</v>
      </c>
      <c r="O1742">
        <v>14.699999809265099</v>
      </c>
      <c r="P1742">
        <v>26.600000381469702</v>
      </c>
      <c r="Q1742">
        <v>23.899999618530298</v>
      </c>
      <c r="R1742">
        <v>27.5</v>
      </c>
      <c r="S1742">
        <v>23.299999237060501</v>
      </c>
      <c r="T1742">
        <v>1315</v>
      </c>
      <c r="U1742">
        <v>311</v>
      </c>
      <c r="V1742">
        <v>4</v>
      </c>
      <c r="W1742">
        <v>99</v>
      </c>
      <c r="X1742">
        <v>771</v>
      </c>
      <c r="Y1742">
        <v>14</v>
      </c>
      <c r="Z1742">
        <v>239</v>
      </c>
      <c r="AA1742">
        <v>17</v>
      </c>
      <c r="AB1742">
        <v>14.5609152506792</v>
      </c>
      <c r="AC1742">
        <v>1.508654902325E-2</v>
      </c>
      <c r="AD1742">
        <v>3.0600402903804298</v>
      </c>
      <c r="AE1742">
        <v>0.45304572582244901</v>
      </c>
      <c r="AF1742">
        <v>311.82525951557102</v>
      </c>
      <c r="AG1742">
        <f>IFERROR(AH1742*0.1, "N/A")</f>
        <v>5.8690311418685104</v>
      </c>
      <c r="AH1742">
        <v>58.690311418685098</v>
      </c>
      <c r="AI1742">
        <v>117.43755769564601</v>
      </c>
      <c r="AJ1742">
        <v>28.029411764705898</v>
      </c>
      <c r="AK1742">
        <v>56.719723183390997</v>
      </c>
    </row>
    <row r="1743" spans="1:37" x14ac:dyDescent="0.3">
      <c r="A1743">
        <v>1742</v>
      </c>
      <c r="B1743">
        <v>24.1</v>
      </c>
      <c r="C1743">
        <v>35.799098999999998</v>
      </c>
      <c r="D1743">
        <v>-8.7969299999999997</v>
      </c>
      <c r="E1743" t="s">
        <v>3048</v>
      </c>
      <c r="F1743" t="s">
        <v>3049</v>
      </c>
      <c r="G1743" t="s">
        <v>39</v>
      </c>
      <c r="H1743">
        <v>1991</v>
      </c>
      <c r="I1743">
        <v>25.799999237060501</v>
      </c>
      <c r="J1743">
        <v>9</v>
      </c>
      <c r="K1743">
        <v>60.927335640138402</v>
      </c>
      <c r="L1743">
        <v>16.412906488332801</v>
      </c>
      <c r="M1743">
        <v>32.707267088048603</v>
      </c>
      <c r="N1743">
        <v>18</v>
      </c>
      <c r="O1743">
        <v>14.7072662729706</v>
      </c>
      <c r="P1743">
        <v>26.600000381469702</v>
      </c>
      <c r="Q1743">
        <v>23.899999618530298</v>
      </c>
      <c r="R1743">
        <v>27.5</v>
      </c>
      <c r="S1743">
        <v>23.307265700765999</v>
      </c>
      <c r="T1743">
        <v>1313.8546712802799</v>
      </c>
      <c r="U1743">
        <v>310</v>
      </c>
      <c r="V1743">
        <v>4</v>
      </c>
      <c r="W1743">
        <v>98.927335640138395</v>
      </c>
      <c r="X1743">
        <v>769.92733564013895</v>
      </c>
      <c r="Y1743">
        <v>14</v>
      </c>
      <c r="Z1743">
        <v>239</v>
      </c>
      <c r="AA1743">
        <v>17</v>
      </c>
      <c r="AB1743">
        <v>0.232522297895491</v>
      </c>
      <c r="AC1743">
        <v>1.2026529329390601</v>
      </c>
      <c r="AD1743">
        <v>0.77225429479638596</v>
      </c>
      <c r="AE1743">
        <v>0.41299131512641901</v>
      </c>
      <c r="AF1743">
        <v>307.56920415224897</v>
      </c>
      <c r="AG1743">
        <f>IFERROR(AH1743*0.1, "N/A")</f>
        <v>5.7</v>
      </c>
      <c r="AH1743">
        <v>57</v>
      </c>
      <c r="AI1743">
        <v>179.47241026142501</v>
      </c>
      <c r="AJ1743">
        <v>30.077854671280299</v>
      </c>
      <c r="AK1743">
        <v>57.844290657439501</v>
      </c>
    </row>
    <row r="1744" spans="1:37" x14ac:dyDescent="0.3">
      <c r="A1744">
        <v>1743</v>
      </c>
      <c r="B1744">
        <v>43.799999</v>
      </c>
      <c r="C1744">
        <v>35.791697999999997</v>
      </c>
      <c r="D1744">
        <v>-8.79833</v>
      </c>
      <c r="E1744" t="s">
        <v>3050</v>
      </c>
      <c r="F1744" t="s">
        <v>3051</v>
      </c>
      <c r="G1744" t="s">
        <v>39</v>
      </c>
      <c r="H1744">
        <v>1991</v>
      </c>
      <c r="I1744">
        <v>25.761485144264299</v>
      </c>
      <c r="J1744">
        <v>9</v>
      </c>
      <c r="K1744">
        <v>61</v>
      </c>
      <c r="L1744">
        <v>16.363782642213</v>
      </c>
      <c r="M1744">
        <v>32.700000762939503</v>
      </c>
      <c r="N1744">
        <v>18</v>
      </c>
      <c r="O1744">
        <v>14.699999809265099</v>
      </c>
      <c r="P1744">
        <v>26.561485554064301</v>
      </c>
      <c r="Q1744">
        <v>23.899999618530298</v>
      </c>
      <c r="R1744">
        <v>27.4614851725946</v>
      </c>
      <c r="S1744">
        <v>23.299999237060501</v>
      </c>
      <c r="T1744">
        <v>1315.1554404145099</v>
      </c>
      <c r="U1744">
        <v>310.38514680483598</v>
      </c>
      <c r="V1744">
        <v>4</v>
      </c>
      <c r="W1744">
        <v>99</v>
      </c>
      <c r="X1744">
        <v>770.38514680483604</v>
      </c>
      <c r="Y1744">
        <v>14</v>
      </c>
      <c r="Z1744">
        <v>239.770293609672</v>
      </c>
      <c r="AA1744">
        <v>17</v>
      </c>
      <c r="AB1744">
        <v>9.0773758171753602</v>
      </c>
      <c r="AC1744">
        <v>1.4884720033674999E-2</v>
      </c>
      <c r="AD1744">
        <v>2.9651427956648599</v>
      </c>
      <c r="AE1744">
        <v>0.359589163554971</v>
      </c>
      <c r="AF1744">
        <v>318.30742659758198</v>
      </c>
      <c r="AG1744">
        <f>IFERROR(AH1744*0.1, "N/A")</f>
        <v>5.8181347150259102</v>
      </c>
      <c r="AH1744">
        <v>58.1813471502591</v>
      </c>
      <c r="AI1744">
        <v>192.349806026268</v>
      </c>
      <c r="AJ1744">
        <v>30.746113989637301</v>
      </c>
      <c r="AK1744">
        <v>53.906735751295301</v>
      </c>
    </row>
    <row r="1745" spans="1:37" x14ac:dyDescent="0.3">
      <c r="A1745">
        <v>1744</v>
      </c>
      <c r="B1745">
        <v>6.2</v>
      </c>
      <c r="C1745">
        <v>35.813301000000003</v>
      </c>
      <c r="D1745">
        <v>-8.9166799999999995</v>
      </c>
      <c r="E1745" t="s">
        <v>3052</v>
      </c>
      <c r="F1745" t="s">
        <v>3053</v>
      </c>
      <c r="G1745" t="s">
        <v>39</v>
      </c>
      <c r="H1745">
        <v>1991</v>
      </c>
      <c r="I1745">
        <v>25.7463667912467</v>
      </c>
      <c r="J1745">
        <v>9</v>
      </c>
      <c r="K1745">
        <v>60</v>
      </c>
      <c r="L1745">
        <v>16.5707272856293</v>
      </c>
      <c r="M1745">
        <v>32.646366409776903</v>
      </c>
      <c r="N1745">
        <v>17.846367172716398</v>
      </c>
      <c r="O1745">
        <v>14.800000190734901</v>
      </c>
      <c r="P1745">
        <v>26.546366958882199</v>
      </c>
      <c r="Q1745">
        <v>23.846367172716398</v>
      </c>
      <c r="R1745">
        <v>27.446366577412402</v>
      </c>
      <c r="S1745">
        <v>23.2463667912467</v>
      </c>
      <c r="T1745">
        <v>1327.7785467128001</v>
      </c>
      <c r="U1745">
        <v>310.07266435986202</v>
      </c>
      <c r="V1745">
        <v>4</v>
      </c>
      <c r="W1745">
        <v>98</v>
      </c>
      <c r="X1745">
        <v>774.14532871972301</v>
      </c>
      <c r="Y1745">
        <v>14.5121107266436</v>
      </c>
      <c r="Z1745">
        <v>243.56055363321801</v>
      </c>
      <c r="AA1745">
        <v>17.512110726643598</v>
      </c>
      <c r="AB1745">
        <v>51.092729403485897</v>
      </c>
      <c r="AC1745">
        <v>1.1018563538893E-2</v>
      </c>
      <c r="AD1745">
        <v>13.7573970279892</v>
      </c>
      <c r="AE1745">
        <v>0.309308052062988</v>
      </c>
      <c r="AF1745">
        <v>364.26989619377201</v>
      </c>
      <c r="AG1745">
        <f>IFERROR(AH1745*0.1, "N/A")</f>
        <v>6.1000000000000005</v>
      </c>
      <c r="AH1745">
        <v>61</v>
      </c>
      <c r="AI1745">
        <v>227.042232711422</v>
      </c>
      <c r="AJ1745">
        <v>32</v>
      </c>
      <c r="AK1745">
        <v>54</v>
      </c>
    </row>
    <row r="1746" spans="1:37" x14ac:dyDescent="0.3">
      <c r="A1746">
        <v>1745</v>
      </c>
      <c r="B1746">
        <v>5.7</v>
      </c>
      <c r="C1746">
        <v>35.906101</v>
      </c>
      <c r="D1746">
        <v>-8.9210899999999995</v>
      </c>
      <c r="E1746" t="s">
        <v>3054</v>
      </c>
      <c r="F1746" t="s">
        <v>3055</v>
      </c>
      <c r="G1746" t="s">
        <v>39</v>
      </c>
      <c r="H1746">
        <v>1991</v>
      </c>
      <c r="I1746">
        <v>25.899999618530298</v>
      </c>
      <c r="J1746">
        <v>8.8000001907348597</v>
      </c>
      <c r="K1746">
        <v>60</v>
      </c>
      <c r="L1746">
        <v>16.409999847412099</v>
      </c>
      <c r="M1746">
        <v>32.799999237060497</v>
      </c>
      <c r="N1746">
        <v>18.200000762939499</v>
      </c>
      <c r="O1746">
        <v>14.6000003814697</v>
      </c>
      <c r="P1746">
        <v>26.700000762939499</v>
      </c>
      <c r="Q1746">
        <v>24.100000381469702</v>
      </c>
      <c r="R1746">
        <v>27.600000381469702</v>
      </c>
      <c r="S1746">
        <v>23.5</v>
      </c>
      <c r="T1746">
        <v>1302</v>
      </c>
      <c r="U1746">
        <v>302</v>
      </c>
      <c r="V1746">
        <v>4</v>
      </c>
      <c r="W1746">
        <v>98</v>
      </c>
      <c r="X1746">
        <v>759</v>
      </c>
      <c r="Y1746">
        <v>13</v>
      </c>
      <c r="Z1746">
        <v>238</v>
      </c>
      <c r="AA1746">
        <v>17</v>
      </c>
      <c r="AB1746">
        <v>0.66964937407394898</v>
      </c>
      <c r="AC1746">
        <v>1.0685545705612101</v>
      </c>
      <c r="AD1746">
        <v>1.3412082459392201</v>
      </c>
      <c r="AE1746">
        <v>0.23911125957965901</v>
      </c>
      <c r="AF1746">
        <v>280.134482758621</v>
      </c>
      <c r="AG1746">
        <f>IFERROR(AH1746*0.1, "N/A")</f>
        <v>6.2272413793103505</v>
      </c>
      <c r="AH1746">
        <v>62.272413793103503</v>
      </c>
      <c r="AI1746">
        <v>161.53719154884101</v>
      </c>
      <c r="AJ1746">
        <v>26.136206896551698</v>
      </c>
      <c r="AK1746">
        <v>57</v>
      </c>
    </row>
    <row r="1747" spans="1:37" x14ac:dyDescent="0.3">
      <c r="A1747">
        <v>1746</v>
      </c>
      <c r="B1747">
        <v>13.8</v>
      </c>
      <c r="C1747">
        <v>35.840499999999999</v>
      </c>
      <c r="D1747">
        <v>-8.9533000000000005</v>
      </c>
      <c r="E1747" t="s">
        <v>3056</v>
      </c>
      <c r="F1747" t="s">
        <v>3057</v>
      </c>
      <c r="G1747" t="s">
        <v>39</v>
      </c>
      <c r="H1747">
        <v>1991</v>
      </c>
      <c r="I1747">
        <v>25.799999237060501</v>
      </c>
      <c r="J1747">
        <v>9</v>
      </c>
      <c r="K1747">
        <v>60</v>
      </c>
      <c r="L1747">
        <v>16.809999465942401</v>
      </c>
      <c r="M1747">
        <v>32.700000762939503</v>
      </c>
      <c r="N1747">
        <v>17.899999618530298</v>
      </c>
      <c r="O1747">
        <v>14.800000190734901</v>
      </c>
      <c r="P1747">
        <v>26.600000381469702</v>
      </c>
      <c r="Q1747">
        <v>23.899999618530298</v>
      </c>
      <c r="R1747">
        <v>27.5</v>
      </c>
      <c r="S1747">
        <v>23.200000762939499</v>
      </c>
      <c r="T1747">
        <v>1321</v>
      </c>
      <c r="U1747">
        <v>306</v>
      </c>
      <c r="V1747">
        <v>4</v>
      </c>
      <c r="W1747">
        <v>98</v>
      </c>
      <c r="X1747">
        <v>769</v>
      </c>
      <c r="Y1747">
        <v>14</v>
      </c>
      <c r="Z1747">
        <v>243</v>
      </c>
      <c r="AA1747">
        <v>17</v>
      </c>
      <c r="AB1747">
        <v>11.5396614863955</v>
      </c>
      <c r="AC1747">
        <v>3.0171774469058998E-2</v>
      </c>
      <c r="AD1747">
        <v>2.9091063177791101</v>
      </c>
      <c r="AE1747">
        <v>0.26494413614273099</v>
      </c>
      <c r="AF1747">
        <v>303.73448275862103</v>
      </c>
      <c r="AG1747">
        <f>IFERROR(AH1747*0.1, "N/A")</f>
        <v>6.1103448275862107</v>
      </c>
      <c r="AH1747">
        <v>61.1034482758621</v>
      </c>
      <c r="AI1747">
        <v>184.14171550356099</v>
      </c>
      <c r="AJ1747">
        <v>29.8965517241379</v>
      </c>
      <c r="AK1747">
        <v>56</v>
      </c>
    </row>
    <row r="1748" spans="1:37" x14ac:dyDescent="0.3">
      <c r="A1748">
        <v>1747</v>
      </c>
      <c r="B1748">
        <v>3.6</v>
      </c>
      <c r="C1748">
        <v>35.638900999999997</v>
      </c>
      <c r="D1748">
        <v>-9.0315300000000001</v>
      </c>
      <c r="E1748" t="s">
        <v>3058</v>
      </c>
      <c r="F1748" t="s">
        <v>3059</v>
      </c>
      <c r="G1748" t="s">
        <v>39</v>
      </c>
      <c r="H1748">
        <v>1991</v>
      </c>
      <c r="I1748">
        <v>24.399999618530298</v>
      </c>
      <c r="J1748">
        <v>9.5</v>
      </c>
      <c r="K1748">
        <v>62</v>
      </c>
      <c r="L1748">
        <v>16.7399997711182</v>
      </c>
      <c r="M1748">
        <v>31.600000381469702</v>
      </c>
      <c r="N1748">
        <v>16.299999237060501</v>
      </c>
      <c r="O1748">
        <v>15.300000190734901</v>
      </c>
      <c r="P1748">
        <v>25.200000762939499</v>
      </c>
      <c r="Q1748">
        <v>22.5</v>
      </c>
      <c r="R1748">
        <v>26.100000381469702</v>
      </c>
      <c r="S1748">
        <v>21.799999237060501</v>
      </c>
      <c r="T1748">
        <v>1440</v>
      </c>
      <c r="U1748">
        <v>338</v>
      </c>
      <c r="V1748">
        <v>5</v>
      </c>
      <c r="W1748">
        <v>98</v>
      </c>
      <c r="X1748">
        <v>835</v>
      </c>
      <c r="Y1748">
        <v>19</v>
      </c>
      <c r="Z1748">
        <v>274</v>
      </c>
      <c r="AA1748">
        <v>20</v>
      </c>
      <c r="AB1748">
        <v>32.881424268086697</v>
      </c>
      <c r="AC1748">
        <v>2.0670143479947001E-2</v>
      </c>
      <c r="AD1748">
        <v>16.853443493445699</v>
      </c>
      <c r="AE1748">
        <v>0.14832322299480399</v>
      </c>
      <c r="AF1748">
        <v>542.56076388888903</v>
      </c>
      <c r="AG1748">
        <f>IFERROR(AH1748*0.1, "N/A")</f>
        <v>5.2</v>
      </c>
      <c r="AH1748">
        <v>52</v>
      </c>
      <c r="AI1748">
        <v>308.805739535226</v>
      </c>
      <c r="AJ1748">
        <v>34.375</v>
      </c>
      <c r="AK1748">
        <v>50</v>
      </c>
    </row>
    <row r="1749" spans="1:37" x14ac:dyDescent="0.3">
      <c r="A1749">
        <v>1748</v>
      </c>
      <c r="B1749">
        <v>67.5</v>
      </c>
      <c r="C1749">
        <v>37.204898999999997</v>
      </c>
      <c r="D1749">
        <v>-6.0470800000000002</v>
      </c>
      <c r="E1749" t="s">
        <v>3060</v>
      </c>
      <c r="F1749" t="s">
        <v>3061</v>
      </c>
      <c r="G1749" t="s">
        <v>39</v>
      </c>
      <c r="H1749">
        <v>1991</v>
      </c>
      <c r="I1749">
        <v>21.799999237060501</v>
      </c>
      <c r="J1749">
        <v>12.8999996185303</v>
      </c>
      <c r="K1749">
        <v>72</v>
      </c>
      <c r="L1749">
        <v>16.149999618530298</v>
      </c>
      <c r="M1749">
        <v>30.200000762939499</v>
      </c>
      <c r="N1749">
        <v>12.3999996185303</v>
      </c>
      <c r="O1749">
        <v>17.799999237060501</v>
      </c>
      <c r="P1749">
        <v>23</v>
      </c>
      <c r="Q1749">
        <v>19.899999618530298</v>
      </c>
      <c r="R1749">
        <v>23.5</v>
      </c>
      <c r="S1749">
        <v>19.5</v>
      </c>
      <c r="T1749">
        <v>845</v>
      </c>
      <c r="U1749">
        <v>143</v>
      </c>
      <c r="V1749">
        <v>6</v>
      </c>
      <c r="W1749">
        <v>74</v>
      </c>
      <c r="X1749">
        <v>391</v>
      </c>
      <c r="Y1749">
        <v>31</v>
      </c>
      <c r="Z1749">
        <v>372</v>
      </c>
      <c r="AA1749">
        <v>34</v>
      </c>
      <c r="AB1749">
        <v>10.5533777473277</v>
      </c>
      <c r="AC1749">
        <v>0.10342495324801999</v>
      </c>
      <c r="AD1749">
        <v>2.5135282757602599</v>
      </c>
      <c r="AE1749">
        <v>0.48381164669990501</v>
      </c>
      <c r="AF1749">
        <v>947.01745200698099</v>
      </c>
      <c r="AG1749">
        <f>IFERROR(AH1749*0.1, "N/A")</f>
        <v>6.1870855148342008</v>
      </c>
      <c r="AH1749">
        <v>61.870855148342002</v>
      </c>
      <c r="AI1749">
        <v>266.70044150360798</v>
      </c>
      <c r="AJ1749">
        <v>32.870855148342102</v>
      </c>
      <c r="AK1749">
        <v>53.129144851657898</v>
      </c>
    </row>
    <row r="1750" spans="1:37" x14ac:dyDescent="0.3">
      <c r="A1750">
        <v>1749</v>
      </c>
      <c r="B1750">
        <v>51.299999</v>
      </c>
      <c r="C1750">
        <v>37.112202000000003</v>
      </c>
      <c r="D1750">
        <v>-6.0707199999999997</v>
      </c>
      <c r="E1750" t="s">
        <v>3062</v>
      </c>
      <c r="F1750" t="s">
        <v>3063</v>
      </c>
      <c r="G1750" t="s">
        <v>39</v>
      </c>
      <c r="H1750">
        <v>1991</v>
      </c>
      <c r="I1750">
        <v>22.100000381469702</v>
      </c>
      <c r="J1750">
        <v>13.1000003814697</v>
      </c>
      <c r="K1750">
        <v>72</v>
      </c>
      <c r="L1750">
        <v>15.439999580383301</v>
      </c>
      <c r="M1750">
        <v>30.700000762939499</v>
      </c>
      <c r="N1750">
        <v>12.699999809265099</v>
      </c>
      <c r="O1750">
        <v>18</v>
      </c>
      <c r="P1750">
        <v>23.600000381469702</v>
      </c>
      <c r="Q1750">
        <v>20.299999237060501</v>
      </c>
      <c r="R1750">
        <v>23.700000762939499</v>
      </c>
      <c r="S1750">
        <v>19.899999618530298</v>
      </c>
      <c r="T1750">
        <v>804</v>
      </c>
      <c r="U1750">
        <v>132</v>
      </c>
      <c r="V1750">
        <v>5</v>
      </c>
      <c r="W1750">
        <v>77</v>
      </c>
      <c r="X1750">
        <v>380</v>
      </c>
      <c r="Y1750">
        <v>25</v>
      </c>
      <c r="Z1750">
        <v>293</v>
      </c>
      <c r="AA1750">
        <v>29</v>
      </c>
      <c r="AB1750">
        <v>5.2249708991192199</v>
      </c>
      <c r="AC1750">
        <v>2.8306623166638002E-2</v>
      </c>
      <c r="AD1750">
        <v>3.3796188215518699</v>
      </c>
      <c r="AE1750">
        <v>0.41139164566993702</v>
      </c>
      <c r="AF1750">
        <v>906.33158813263503</v>
      </c>
      <c r="AG1750">
        <f>IFERROR(AH1750*0.1, "N/A")</f>
        <v>6.5012216404886605</v>
      </c>
      <c r="AH1750">
        <v>65.012216404886601</v>
      </c>
      <c r="AI1750">
        <v>108.23144166423801</v>
      </c>
      <c r="AJ1750">
        <v>28.610820244328099</v>
      </c>
      <c r="AK1750">
        <v>58.376963350785303</v>
      </c>
    </row>
    <row r="1751" spans="1:37" x14ac:dyDescent="0.3">
      <c r="A1751">
        <v>1750</v>
      </c>
      <c r="B1751">
        <v>23.799999</v>
      </c>
      <c r="C1751">
        <v>37.052501999999997</v>
      </c>
      <c r="D1751">
        <v>-6.0724200000000002</v>
      </c>
      <c r="E1751" t="s">
        <v>3064</v>
      </c>
      <c r="F1751" t="s">
        <v>3065</v>
      </c>
      <c r="G1751" t="s">
        <v>39</v>
      </c>
      <c r="H1751">
        <v>1991</v>
      </c>
      <c r="I1751">
        <v>21.600000381469702</v>
      </c>
      <c r="J1751">
        <v>13.199999809265099</v>
      </c>
      <c r="K1751">
        <v>72</v>
      </c>
      <c r="L1751">
        <v>15.810000419616699</v>
      </c>
      <c r="M1751">
        <v>30.200000762939499</v>
      </c>
      <c r="N1751">
        <v>12</v>
      </c>
      <c r="O1751">
        <v>18.200000762939499</v>
      </c>
      <c r="P1751">
        <v>22.700000762939499</v>
      </c>
      <c r="Q1751">
        <v>19.600000381469702</v>
      </c>
      <c r="R1751">
        <v>23.200000762939499</v>
      </c>
      <c r="S1751">
        <v>19.299999237060501</v>
      </c>
      <c r="T1751">
        <v>795</v>
      </c>
      <c r="U1751">
        <v>137</v>
      </c>
      <c r="V1751">
        <v>4</v>
      </c>
      <c r="W1751">
        <v>79</v>
      </c>
      <c r="X1751">
        <v>383</v>
      </c>
      <c r="Y1751">
        <v>22</v>
      </c>
      <c r="Z1751">
        <v>292</v>
      </c>
      <c r="AA1751">
        <v>26</v>
      </c>
      <c r="AB1751">
        <v>7.91432389663776</v>
      </c>
      <c r="AC1751">
        <v>1.4479611645961E-2</v>
      </c>
      <c r="AD1751">
        <v>2.9127772642887901</v>
      </c>
      <c r="AE1751">
        <v>0.41884384074136199</v>
      </c>
      <c r="AF1751">
        <v>1014.05759162304</v>
      </c>
      <c r="AG1751">
        <f>IFERROR(AH1751*0.1, "N/A")</f>
        <v>6.4940663176265305</v>
      </c>
      <c r="AH1751">
        <v>64.940663176265303</v>
      </c>
      <c r="AI1751">
        <v>84.081974122744796</v>
      </c>
      <c r="AJ1751">
        <v>24.837696335078501</v>
      </c>
      <c r="AK1751">
        <v>64.118673647469507</v>
      </c>
    </row>
    <row r="1752" spans="1:37" x14ac:dyDescent="0.3">
      <c r="A1752">
        <v>1751</v>
      </c>
      <c r="B1752">
        <v>86.300003000000004</v>
      </c>
      <c r="C1752">
        <v>37.154899999999998</v>
      </c>
      <c r="D1752">
        <v>-6.0779699999999997</v>
      </c>
      <c r="E1752" t="s">
        <v>3066</v>
      </c>
      <c r="F1752" t="s">
        <v>3067</v>
      </c>
      <c r="G1752" t="s">
        <v>39</v>
      </c>
      <c r="H1752">
        <v>1991</v>
      </c>
      <c r="I1752">
        <v>22.100000381469702</v>
      </c>
      <c r="J1752">
        <v>13</v>
      </c>
      <c r="K1752">
        <v>72</v>
      </c>
      <c r="L1752">
        <v>15.920000076293899</v>
      </c>
      <c r="M1752">
        <v>30.5</v>
      </c>
      <c r="N1752">
        <v>12.6000003814697</v>
      </c>
      <c r="O1752">
        <v>17.899999618530298</v>
      </c>
      <c r="P1752">
        <v>23.200000762939499</v>
      </c>
      <c r="Q1752">
        <v>20.100000381469702</v>
      </c>
      <c r="R1752">
        <v>23.700000762939499</v>
      </c>
      <c r="S1752">
        <v>19.799999237060501</v>
      </c>
      <c r="T1752">
        <v>819</v>
      </c>
      <c r="U1752">
        <v>136</v>
      </c>
      <c r="V1752">
        <v>5</v>
      </c>
      <c r="W1752">
        <v>76</v>
      </c>
      <c r="X1752">
        <v>384</v>
      </c>
      <c r="Y1752">
        <v>27</v>
      </c>
      <c r="Z1752">
        <v>374</v>
      </c>
      <c r="AA1752">
        <v>31</v>
      </c>
      <c r="AB1752">
        <v>34.5043739011534</v>
      </c>
      <c r="AC1752">
        <v>1.0495690074333E-2</v>
      </c>
      <c r="AD1752">
        <v>2.3862703548003799</v>
      </c>
      <c r="AE1752">
        <v>0.47863572835922202</v>
      </c>
      <c r="AF1752">
        <v>928.26795096322201</v>
      </c>
      <c r="AG1752">
        <f>IFERROR(AH1752*0.1, "N/A")</f>
        <v>6.1954465849387006</v>
      </c>
      <c r="AH1752">
        <v>61.954465849386999</v>
      </c>
      <c r="AI1752">
        <v>143.82112623973001</v>
      </c>
      <c r="AJ1752">
        <v>29.406304728546399</v>
      </c>
      <c r="AK1752">
        <v>59.010507880910701</v>
      </c>
    </row>
    <row r="1753" spans="1:37" x14ac:dyDescent="0.3">
      <c r="A1753">
        <v>1752</v>
      </c>
      <c r="B1753">
        <v>16.299999</v>
      </c>
      <c r="C1753">
        <v>36.860100000000003</v>
      </c>
      <c r="D1753">
        <v>-6.0888200000000001</v>
      </c>
      <c r="E1753" t="s">
        <v>3068</v>
      </c>
      <c r="F1753" t="s">
        <v>3069</v>
      </c>
      <c r="G1753" t="s">
        <v>39</v>
      </c>
      <c r="H1753">
        <v>1991</v>
      </c>
      <c r="I1753">
        <v>20.600000381469702</v>
      </c>
      <c r="J1753">
        <v>13.3999996185303</v>
      </c>
      <c r="K1753">
        <v>72</v>
      </c>
      <c r="L1753">
        <v>14.9099998474121</v>
      </c>
      <c r="M1753">
        <v>29.299999237060501</v>
      </c>
      <c r="N1753">
        <v>10.800000190734901</v>
      </c>
      <c r="O1753">
        <v>18.5</v>
      </c>
      <c r="P1753">
        <v>21.700000762939499</v>
      </c>
      <c r="Q1753">
        <v>18.799999237060501</v>
      </c>
      <c r="R1753">
        <v>22.100000381469702</v>
      </c>
      <c r="S1753">
        <v>18.399999618530298</v>
      </c>
      <c r="T1753">
        <v>776</v>
      </c>
      <c r="U1753">
        <v>138</v>
      </c>
      <c r="V1753">
        <v>3</v>
      </c>
      <c r="W1753">
        <v>86</v>
      </c>
      <c r="X1753">
        <v>389</v>
      </c>
      <c r="Y1753">
        <v>15</v>
      </c>
      <c r="Z1753">
        <v>375</v>
      </c>
      <c r="AA1753">
        <v>18</v>
      </c>
      <c r="AB1753">
        <v>57.690280018682103</v>
      </c>
      <c r="AC1753">
        <v>3.1489219866369003E-2</v>
      </c>
      <c r="AD1753">
        <v>3.63845700429833</v>
      </c>
      <c r="AE1753">
        <v>0.53427517414092995</v>
      </c>
      <c r="AF1753">
        <v>1236.9113043478301</v>
      </c>
      <c r="AG1753">
        <f>IFERROR(AH1753*0.1, "N/A")</f>
        <v>6.5257391304347809</v>
      </c>
      <c r="AH1753">
        <v>65.257391304347806</v>
      </c>
      <c r="AI1753">
        <v>118.416875942064</v>
      </c>
      <c r="AJ1753">
        <v>22.871304347826101</v>
      </c>
      <c r="AK1753">
        <v>62.128695652173903</v>
      </c>
    </row>
    <row r="1754" spans="1:37" x14ac:dyDescent="0.3">
      <c r="A1754">
        <v>1753</v>
      </c>
      <c r="B1754">
        <v>83.800003000000004</v>
      </c>
      <c r="C1754">
        <v>37.228901</v>
      </c>
      <c r="D1754">
        <v>-6.0951000000000004</v>
      </c>
      <c r="E1754" t="s">
        <v>3070</v>
      </c>
      <c r="F1754" t="s">
        <v>3071</v>
      </c>
      <c r="G1754" t="s">
        <v>39</v>
      </c>
      <c r="H1754">
        <v>1991</v>
      </c>
      <c r="I1754">
        <v>21.700000762939499</v>
      </c>
      <c r="J1754">
        <v>12.800000190734901</v>
      </c>
      <c r="K1754">
        <v>72</v>
      </c>
      <c r="L1754">
        <v>16.120000839233398</v>
      </c>
      <c r="M1754">
        <v>30</v>
      </c>
      <c r="N1754">
        <v>12.3999996185303</v>
      </c>
      <c r="O1754">
        <v>17.600000381469702</v>
      </c>
      <c r="P1754">
        <v>22.799999237060501</v>
      </c>
      <c r="Q1754">
        <v>19.700000762939499</v>
      </c>
      <c r="R1754">
        <v>23.399999618530298</v>
      </c>
      <c r="S1754">
        <v>19.299999237060501</v>
      </c>
      <c r="T1754">
        <v>859</v>
      </c>
      <c r="U1754">
        <v>150</v>
      </c>
      <c r="V1754">
        <v>6</v>
      </c>
      <c r="W1754">
        <v>75</v>
      </c>
      <c r="X1754">
        <v>399</v>
      </c>
      <c r="Y1754">
        <v>32</v>
      </c>
      <c r="Z1754">
        <v>372</v>
      </c>
      <c r="AA1754">
        <v>35</v>
      </c>
      <c r="AB1754">
        <v>19.915872926080699</v>
      </c>
      <c r="AC1754">
        <v>2.7944980779799001E-2</v>
      </c>
      <c r="AD1754">
        <v>4.2126759473455104</v>
      </c>
      <c r="AE1754">
        <v>0.287925124168396</v>
      </c>
      <c r="AF1754">
        <v>968.94250871080101</v>
      </c>
      <c r="AG1754">
        <f>IFERROR(AH1754*0.1, "N/A")</f>
        <v>6.2</v>
      </c>
      <c r="AH1754">
        <v>62</v>
      </c>
      <c r="AI1754">
        <v>300.49310744016401</v>
      </c>
      <c r="AJ1754">
        <v>32</v>
      </c>
      <c r="AK1754">
        <v>52.5278745644599</v>
      </c>
    </row>
    <row r="1755" spans="1:37" x14ac:dyDescent="0.3">
      <c r="A1755">
        <v>1754</v>
      </c>
      <c r="B1755">
        <v>91.300003000000004</v>
      </c>
      <c r="C1755">
        <v>37.1922</v>
      </c>
      <c r="D1755">
        <v>-6.09598</v>
      </c>
      <c r="E1755" t="s">
        <v>3072</v>
      </c>
      <c r="F1755" t="s">
        <v>3073</v>
      </c>
      <c r="G1755" t="s">
        <v>39</v>
      </c>
      <c r="H1755">
        <v>1991</v>
      </c>
      <c r="I1755">
        <v>21.636063236808099</v>
      </c>
      <c r="J1755">
        <v>12.8360627021524</v>
      </c>
      <c r="K1755">
        <v>71.360627177700394</v>
      </c>
      <c r="L1755">
        <v>16.265749113900299</v>
      </c>
      <c r="M1755">
        <v>30.063937526131301</v>
      </c>
      <c r="N1755">
        <v>12.199999809265099</v>
      </c>
      <c r="O1755">
        <v>17.863936763191901</v>
      </c>
      <c r="P1755">
        <v>22.836062092398901</v>
      </c>
      <c r="Q1755">
        <v>19.636063236808099</v>
      </c>
      <c r="R1755">
        <v>23.299999237060501</v>
      </c>
      <c r="S1755">
        <v>19.272125785774499</v>
      </c>
      <c r="T1755">
        <v>843.55749128919899</v>
      </c>
      <c r="U1755">
        <v>146.6393728223</v>
      </c>
      <c r="V1755">
        <v>5</v>
      </c>
      <c r="W1755">
        <v>75.360627177700394</v>
      </c>
      <c r="X1755">
        <v>394</v>
      </c>
      <c r="Y1755">
        <v>28.639372822299698</v>
      </c>
      <c r="Z1755">
        <v>372.3606271777</v>
      </c>
      <c r="AA1755">
        <v>32</v>
      </c>
      <c r="AB1755">
        <v>20.844237536918801</v>
      </c>
      <c r="AC1755">
        <v>1.4142779562012001E-2</v>
      </c>
      <c r="AD1755">
        <v>3.21017810650403</v>
      </c>
      <c r="AE1755">
        <v>0.383074700832367</v>
      </c>
      <c r="AF1755">
        <v>988.12891986062698</v>
      </c>
      <c r="AG1755">
        <f>IFERROR(AH1755*0.1, "N/A")</f>
        <v>6.2081881533101004</v>
      </c>
      <c r="AH1755">
        <v>62.081881533100997</v>
      </c>
      <c r="AI1755">
        <v>293.18242025873798</v>
      </c>
      <c r="AJ1755">
        <v>28.8031358885017</v>
      </c>
      <c r="AK1755">
        <v>57.836236933797899</v>
      </c>
    </row>
    <row r="1756" spans="1:37" x14ac:dyDescent="0.3">
      <c r="A1756">
        <v>1755</v>
      </c>
      <c r="B1756">
        <v>70</v>
      </c>
      <c r="C1756">
        <v>37.142798999999997</v>
      </c>
      <c r="D1756">
        <v>-6.1173999999999999</v>
      </c>
      <c r="E1756" t="s">
        <v>3074</v>
      </c>
      <c r="F1756" t="s">
        <v>3075</v>
      </c>
      <c r="G1756" t="s">
        <v>39</v>
      </c>
      <c r="H1756">
        <v>1991</v>
      </c>
      <c r="I1756">
        <v>22.399999618530298</v>
      </c>
      <c r="J1756">
        <v>13</v>
      </c>
      <c r="K1756">
        <v>72</v>
      </c>
      <c r="L1756">
        <v>15.929790510164301</v>
      </c>
      <c r="M1756">
        <v>30.899999618530298</v>
      </c>
      <c r="N1756">
        <v>13</v>
      </c>
      <c r="O1756">
        <v>17.899999618530298</v>
      </c>
      <c r="P1756">
        <v>23.899999618530298</v>
      </c>
      <c r="Q1756">
        <v>20.5</v>
      </c>
      <c r="R1756">
        <v>24</v>
      </c>
      <c r="S1756">
        <v>20.100000381469702</v>
      </c>
      <c r="T1756">
        <v>808.02097902097898</v>
      </c>
      <c r="U1756">
        <v>134</v>
      </c>
      <c r="V1756">
        <v>4</v>
      </c>
      <c r="W1756">
        <v>77.979020979021001</v>
      </c>
      <c r="X1756">
        <v>383</v>
      </c>
      <c r="Y1756">
        <v>25</v>
      </c>
      <c r="Z1756">
        <v>374.97902097902102</v>
      </c>
      <c r="AA1756">
        <v>30</v>
      </c>
      <c r="AB1756">
        <v>28.9204449420209</v>
      </c>
      <c r="AC1756">
        <v>2.5262730818085999E-2</v>
      </c>
      <c r="AD1756">
        <v>2.3305239742035599</v>
      </c>
      <c r="AE1756">
        <v>0.47298012694695601</v>
      </c>
      <c r="AF1756">
        <v>863.65734265734295</v>
      </c>
      <c r="AG1756">
        <f>IFERROR(AH1756*0.1, "N/A")</f>
        <v>6.5006993006993001</v>
      </c>
      <c r="AH1756">
        <v>65.006993006993</v>
      </c>
      <c r="AI1756">
        <v>245.752159652176</v>
      </c>
      <c r="AJ1756">
        <v>26.986013986014001</v>
      </c>
      <c r="AK1756">
        <v>59.013986013985999</v>
      </c>
    </row>
    <row r="1757" spans="1:37" x14ac:dyDescent="0.3">
      <c r="A1757">
        <v>1756</v>
      </c>
      <c r="B1757">
        <v>16.299999</v>
      </c>
      <c r="C1757">
        <v>36.999699</v>
      </c>
      <c r="D1757">
        <v>-6.1423800000000002</v>
      </c>
      <c r="E1757" t="s">
        <v>3076</v>
      </c>
      <c r="F1757" t="s">
        <v>3077</v>
      </c>
      <c r="G1757" t="s">
        <v>39</v>
      </c>
      <c r="H1757">
        <v>1991</v>
      </c>
      <c r="I1757">
        <v>21.036284860637501</v>
      </c>
      <c r="J1757">
        <v>13.199999809265099</v>
      </c>
      <c r="K1757">
        <v>72</v>
      </c>
      <c r="L1757">
        <v>15.235555655426399</v>
      </c>
      <c r="M1757">
        <v>29.695313245058099</v>
      </c>
      <c r="N1757">
        <v>11.4362844791677</v>
      </c>
      <c r="O1757">
        <v>18.259027640024801</v>
      </c>
      <c r="P1757">
        <v>22.0998267696963</v>
      </c>
      <c r="Q1757">
        <v>19.195313245058099</v>
      </c>
      <c r="R1757">
        <v>22.595312863588301</v>
      </c>
      <c r="S1757">
        <v>18.8315966692236</v>
      </c>
      <c r="T1757">
        <v>798.366319444444</v>
      </c>
      <c r="U1757">
        <v>144.637152777778</v>
      </c>
      <c r="V1757">
        <v>3.4548611111111098</v>
      </c>
      <c r="W1757">
        <v>82.5451388888889</v>
      </c>
      <c r="X1757">
        <v>394.18229166666703</v>
      </c>
      <c r="Y1757">
        <v>18.4548611111111</v>
      </c>
      <c r="Z1757">
        <v>294.72916666666703</v>
      </c>
      <c r="AA1757">
        <v>22.4548611111111</v>
      </c>
      <c r="AB1757">
        <v>22.8666545020209</v>
      </c>
      <c r="AC1757">
        <v>5.2444854337308E-2</v>
      </c>
      <c r="AD1757">
        <v>4.8653855812218501</v>
      </c>
      <c r="AE1757">
        <v>0.40186874925469401</v>
      </c>
      <c r="AF1757">
        <v>1123.453125</v>
      </c>
      <c r="AG1757">
        <f>IFERROR(AH1757*0.1, "N/A")</f>
        <v>6.00642361111111</v>
      </c>
      <c r="AH1757">
        <v>60.0642361111111</v>
      </c>
      <c r="AI1757">
        <v>185.03959351115799</v>
      </c>
      <c r="AJ1757">
        <v>29</v>
      </c>
      <c r="AK1757">
        <v>57.6388888888889</v>
      </c>
    </row>
    <row r="1758" spans="1:37" x14ac:dyDescent="0.3">
      <c r="A1758">
        <v>1757</v>
      </c>
      <c r="B1758">
        <v>58.799999</v>
      </c>
      <c r="C1758">
        <v>37.075699</v>
      </c>
      <c r="D1758">
        <v>-6.1432599999999997</v>
      </c>
      <c r="E1758" t="s">
        <v>3078</v>
      </c>
      <c r="F1758" t="s">
        <v>3079</v>
      </c>
      <c r="G1758" t="s">
        <v>39</v>
      </c>
      <c r="H1758">
        <v>1991</v>
      </c>
      <c r="I1758">
        <v>21.986062664603502</v>
      </c>
      <c r="J1758">
        <v>13.1000003814697</v>
      </c>
      <c r="K1758">
        <v>72</v>
      </c>
      <c r="L1758">
        <v>15.9686065069059</v>
      </c>
      <c r="M1758">
        <v>30.572125710676801</v>
      </c>
      <c r="N1758">
        <v>12.4721254621233</v>
      </c>
      <c r="O1758">
        <v>18.100000381469702</v>
      </c>
      <c r="P1758">
        <v>23.0860630460732</v>
      </c>
      <c r="Q1758">
        <v>20.086063046073299</v>
      </c>
      <c r="R1758">
        <v>23.5860630460732</v>
      </c>
      <c r="S1758">
        <v>19.672126092146499</v>
      </c>
      <c r="T1758">
        <v>795</v>
      </c>
      <c r="U1758">
        <v>134.27874564459901</v>
      </c>
      <c r="V1758">
        <v>4</v>
      </c>
      <c r="W1758">
        <v>80</v>
      </c>
      <c r="X1758">
        <v>382.27874564459898</v>
      </c>
      <c r="Y1758">
        <v>21</v>
      </c>
      <c r="Z1758">
        <v>302.42857142857099</v>
      </c>
      <c r="AA1758">
        <v>26.860627177700401</v>
      </c>
      <c r="AB1758">
        <v>44.204889064881897</v>
      </c>
      <c r="AC1758">
        <v>1.9975845177921E-2</v>
      </c>
      <c r="AD1758">
        <v>4.5905400950734201</v>
      </c>
      <c r="AE1758">
        <v>0.32199048995971702</v>
      </c>
      <c r="AF1758">
        <v>949.97212543553997</v>
      </c>
      <c r="AG1758">
        <f>IFERROR(AH1758*0.1, "N/A")</f>
        <v>6.2961672473867605</v>
      </c>
      <c r="AH1758">
        <v>62.961672473867601</v>
      </c>
      <c r="AI1758">
        <v>189.53412915605301</v>
      </c>
      <c r="AJ1758">
        <v>24.3031358885017</v>
      </c>
      <c r="AK1758">
        <v>61.836236933797899</v>
      </c>
    </row>
    <row r="1759" spans="1:37" x14ac:dyDescent="0.3">
      <c r="A1759">
        <v>1758</v>
      </c>
      <c r="B1759">
        <v>78.800003000000004</v>
      </c>
      <c r="C1759">
        <v>37.144599999999997</v>
      </c>
      <c r="D1759">
        <v>-6.1547799999999997</v>
      </c>
      <c r="E1759" t="s">
        <v>3080</v>
      </c>
      <c r="F1759" t="s">
        <v>3081</v>
      </c>
      <c r="G1759" t="s">
        <v>39</v>
      </c>
      <c r="H1759">
        <v>1991</v>
      </c>
      <c r="I1759">
        <v>22.600000381469702</v>
      </c>
      <c r="J1759">
        <v>12.8999996185303</v>
      </c>
      <c r="K1759">
        <v>72</v>
      </c>
      <c r="L1759">
        <v>16.170000076293899</v>
      </c>
      <c r="M1759">
        <v>31.100000381469702</v>
      </c>
      <c r="N1759">
        <v>13.199999809265099</v>
      </c>
      <c r="O1759">
        <v>17.899999618530298</v>
      </c>
      <c r="P1759">
        <v>24.200000762939499</v>
      </c>
      <c r="Q1759">
        <v>20.700000762939499</v>
      </c>
      <c r="R1759">
        <v>24.299999237060501</v>
      </c>
      <c r="S1759">
        <v>20.299999237060501</v>
      </c>
      <c r="T1759">
        <v>803</v>
      </c>
      <c r="U1759">
        <v>134</v>
      </c>
      <c r="V1759">
        <v>4</v>
      </c>
      <c r="W1759">
        <v>79</v>
      </c>
      <c r="X1759">
        <v>385</v>
      </c>
      <c r="Y1759">
        <v>23</v>
      </c>
      <c r="Z1759">
        <v>373</v>
      </c>
      <c r="AA1759">
        <v>29</v>
      </c>
      <c r="AB1759">
        <v>6.1895204557405501</v>
      </c>
      <c r="AC1759">
        <v>0.23720036248083801</v>
      </c>
      <c r="AD1759">
        <v>2.3365305070276898</v>
      </c>
      <c r="AE1759">
        <v>0.47966465927087298</v>
      </c>
      <c r="AF1759">
        <v>826.08741258741304</v>
      </c>
      <c r="AG1759">
        <f>IFERROR(AH1759*0.1, "N/A")</f>
        <v>6.3000000000000007</v>
      </c>
      <c r="AH1759">
        <v>63</v>
      </c>
      <c r="AI1759">
        <v>245.79617546988499</v>
      </c>
      <c r="AJ1759">
        <v>33</v>
      </c>
      <c r="AK1759">
        <v>50.113636363636402</v>
      </c>
    </row>
    <row r="1760" spans="1:37" x14ac:dyDescent="0.3">
      <c r="A1760">
        <v>1759</v>
      </c>
      <c r="B1760">
        <v>13.8</v>
      </c>
      <c r="C1760">
        <v>36.940497999999998</v>
      </c>
      <c r="D1760">
        <v>-6.1684299999999999</v>
      </c>
      <c r="E1760" t="s">
        <v>3082</v>
      </c>
      <c r="F1760" t="s">
        <v>3083</v>
      </c>
      <c r="G1760" t="s">
        <v>39</v>
      </c>
      <c r="H1760">
        <v>1991</v>
      </c>
      <c r="I1760">
        <v>20.799999237060501</v>
      </c>
      <c r="J1760">
        <v>13.300000190734901</v>
      </c>
      <c r="K1760">
        <v>72</v>
      </c>
      <c r="L1760">
        <v>14.960000038146999</v>
      </c>
      <c r="M1760">
        <v>29.5</v>
      </c>
      <c r="N1760">
        <v>11.199999809265099</v>
      </c>
      <c r="O1760">
        <v>18.299999237060501</v>
      </c>
      <c r="P1760">
        <v>21.899999618530298</v>
      </c>
      <c r="Q1760">
        <v>19</v>
      </c>
      <c r="R1760">
        <v>22.299999237060501</v>
      </c>
      <c r="S1760">
        <v>18.700000762939499</v>
      </c>
      <c r="T1760">
        <v>789</v>
      </c>
      <c r="U1760">
        <v>143</v>
      </c>
      <c r="V1760">
        <v>3</v>
      </c>
      <c r="W1760">
        <v>85</v>
      </c>
      <c r="X1760">
        <v>394</v>
      </c>
      <c r="Y1760">
        <v>16</v>
      </c>
      <c r="Z1760">
        <v>296</v>
      </c>
      <c r="AA1760">
        <v>20</v>
      </c>
      <c r="AB1760">
        <v>50.1359328557892</v>
      </c>
      <c r="AC1760">
        <v>2.8687164228064999E-2</v>
      </c>
      <c r="AD1760">
        <v>4.1041686430859503</v>
      </c>
      <c r="AE1760">
        <v>0.46272858977317799</v>
      </c>
      <c r="AF1760">
        <v>1149.5445026177999</v>
      </c>
      <c r="AG1760">
        <f>IFERROR(AH1760*0.1, "N/A")</f>
        <v>6.4818499127399605</v>
      </c>
      <c r="AH1760">
        <v>64.818499127399605</v>
      </c>
      <c r="AI1760">
        <v>98.739419494415799</v>
      </c>
      <c r="AJ1760">
        <v>26.181500872600299</v>
      </c>
      <c r="AK1760">
        <v>60.727748691099499</v>
      </c>
    </row>
    <row r="1761" spans="1:37" x14ac:dyDescent="0.3">
      <c r="A1761">
        <v>1760</v>
      </c>
      <c r="B1761">
        <v>35</v>
      </c>
      <c r="C1761">
        <v>36.916401</v>
      </c>
      <c r="D1761">
        <v>-6.1743199999999998</v>
      </c>
      <c r="E1761" t="s">
        <v>3084</v>
      </c>
      <c r="F1761" t="s">
        <v>3085</v>
      </c>
      <c r="G1761" t="s">
        <v>39</v>
      </c>
      <c r="H1761">
        <v>1991</v>
      </c>
      <c r="I1761">
        <v>20.232285874052199</v>
      </c>
      <c r="J1761">
        <v>13.201919537356201</v>
      </c>
      <c r="K1761">
        <v>72</v>
      </c>
      <c r="L1761">
        <v>15.1894066912133</v>
      </c>
      <c r="M1761">
        <v>28.8322862555219</v>
      </c>
      <c r="N1761">
        <v>10.568063068556301</v>
      </c>
      <c r="O1761">
        <v>18.264223168657701</v>
      </c>
      <c r="P1761">
        <v>21.296509504734299</v>
      </c>
      <c r="Q1761">
        <v>18.3680623239248</v>
      </c>
      <c r="R1761">
        <v>21.732285874052199</v>
      </c>
      <c r="S1761">
        <v>18.0322862994608</v>
      </c>
      <c r="T1761">
        <v>798.61954624781902</v>
      </c>
      <c r="U1761">
        <v>147.319371727749</v>
      </c>
      <c r="V1761">
        <v>3</v>
      </c>
      <c r="W1761">
        <v>85.357766143106403</v>
      </c>
      <c r="X1761">
        <v>401.66841186736502</v>
      </c>
      <c r="Y1761">
        <v>15</v>
      </c>
      <c r="Z1761">
        <v>349.24083769633501</v>
      </c>
      <c r="AA1761">
        <v>18</v>
      </c>
      <c r="AB1761">
        <v>97.073633323789295</v>
      </c>
      <c r="AC1761">
        <v>1.1940517761853E-2</v>
      </c>
      <c r="AD1761">
        <v>11.443482901621399</v>
      </c>
      <c r="AE1761">
        <v>0.32890531420707703</v>
      </c>
      <c r="AF1761">
        <v>1285.79406631763</v>
      </c>
      <c r="AG1761">
        <f>IFERROR(AH1761*0.1, "N/A")</f>
        <v>6.1607329842931904</v>
      </c>
      <c r="AH1761">
        <v>61.607329842931897</v>
      </c>
      <c r="AI1761">
        <v>183.57228197560499</v>
      </c>
      <c r="AJ1761">
        <v>34.6055846422339</v>
      </c>
      <c r="AK1761">
        <v>49.335078534031403</v>
      </c>
    </row>
    <row r="1762" spans="1:37" x14ac:dyDescent="0.3">
      <c r="A1762">
        <v>1761</v>
      </c>
      <c r="B1762">
        <v>53.599997999999999</v>
      </c>
      <c r="C1762">
        <v>37.131199000000002</v>
      </c>
      <c r="D1762">
        <v>-6.1842199999999998</v>
      </c>
      <c r="E1762" t="s">
        <v>3086</v>
      </c>
      <c r="F1762" t="s">
        <v>3087</v>
      </c>
      <c r="G1762" t="s">
        <v>39</v>
      </c>
      <c r="H1762">
        <v>1991</v>
      </c>
      <c r="I1762">
        <v>22.700000762939499</v>
      </c>
      <c r="J1762">
        <v>12.8999996185303</v>
      </c>
      <c r="K1762">
        <v>71</v>
      </c>
      <c r="L1762">
        <v>15.9700002670288</v>
      </c>
      <c r="M1762">
        <v>31.299999237060501</v>
      </c>
      <c r="N1762">
        <v>13.300000190734901</v>
      </c>
      <c r="O1762">
        <v>18</v>
      </c>
      <c r="P1762">
        <v>24.200000762939499</v>
      </c>
      <c r="Q1762">
        <v>20.899999618530298</v>
      </c>
      <c r="R1762">
        <v>24.399999618530298</v>
      </c>
      <c r="S1762">
        <v>20.399999618530298</v>
      </c>
      <c r="T1762">
        <v>804</v>
      </c>
      <c r="U1762">
        <v>134</v>
      </c>
      <c r="V1762">
        <v>4</v>
      </c>
      <c r="W1762">
        <v>79</v>
      </c>
      <c r="X1762">
        <v>388</v>
      </c>
      <c r="Y1762">
        <v>23</v>
      </c>
      <c r="Z1762">
        <v>288</v>
      </c>
      <c r="AA1762">
        <v>29</v>
      </c>
      <c r="AB1762">
        <v>9.4287064558976201</v>
      </c>
      <c r="AC1762">
        <v>2.0133384024737001E-2</v>
      </c>
      <c r="AD1762">
        <v>3.0747759892390301</v>
      </c>
      <c r="AE1762">
        <v>0.48719203472137501</v>
      </c>
      <c r="AF1762">
        <v>804.66433566433602</v>
      </c>
      <c r="AG1762">
        <f>IFERROR(AH1762*0.1, "N/A")</f>
        <v>6.1576923076923107</v>
      </c>
      <c r="AH1762">
        <v>61.576923076923102</v>
      </c>
      <c r="AI1762">
        <v>163.00418773731201</v>
      </c>
      <c r="AJ1762">
        <v>25.762237762237799</v>
      </c>
      <c r="AK1762">
        <v>60.284965034964998</v>
      </c>
    </row>
    <row r="1763" spans="1:37" x14ac:dyDescent="0.3">
      <c r="A1763">
        <v>1762</v>
      </c>
      <c r="B1763">
        <v>15</v>
      </c>
      <c r="C1763">
        <v>37.081501000000003</v>
      </c>
      <c r="D1763">
        <v>-6.1986400000000001</v>
      </c>
      <c r="E1763" t="s">
        <v>3088</v>
      </c>
      <c r="F1763" t="s">
        <v>3089</v>
      </c>
      <c r="G1763" t="s">
        <v>39</v>
      </c>
      <c r="H1763">
        <v>1991</v>
      </c>
      <c r="I1763">
        <v>22</v>
      </c>
      <c r="J1763">
        <v>13</v>
      </c>
      <c r="K1763">
        <v>72</v>
      </c>
      <c r="L1763">
        <v>15.560000419616699</v>
      </c>
      <c r="M1763">
        <v>30.5</v>
      </c>
      <c r="N1763">
        <v>12.5</v>
      </c>
      <c r="O1763">
        <v>18</v>
      </c>
      <c r="P1763">
        <v>23.100000381469702</v>
      </c>
      <c r="Q1763">
        <v>20.100000381469702</v>
      </c>
      <c r="R1763">
        <v>23.5</v>
      </c>
      <c r="S1763">
        <v>19.700000762939499</v>
      </c>
      <c r="T1763">
        <v>798</v>
      </c>
      <c r="U1763">
        <v>138</v>
      </c>
      <c r="V1763">
        <v>4</v>
      </c>
      <c r="W1763">
        <v>81</v>
      </c>
      <c r="X1763">
        <v>388</v>
      </c>
      <c r="Y1763">
        <v>21</v>
      </c>
      <c r="Z1763">
        <v>290</v>
      </c>
      <c r="AA1763">
        <v>26</v>
      </c>
      <c r="AB1763">
        <v>27.605416859483899</v>
      </c>
      <c r="AC1763">
        <v>1.9322348367553002E-2</v>
      </c>
      <c r="AD1763">
        <v>5.5737425192723302</v>
      </c>
      <c r="AE1763">
        <v>0.30321386752436003</v>
      </c>
      <c r="AF1763">
        <v>941.16376306620202</v>
      </c>
      <c r="AG1763">
        <f>IFERROR(AH1763*0.1, "N/A")</f>
        <v>5.8235191637630699</v>
      </c>
      <c r="AH1763">
        <v>58.235191637630699</v>
      </c>
      <c r="AI1763">
        <v>96.9662418431937</v>
      </c>
      <c r="AJ1763">
        <v>26.6324041811847</v>
      </c>
      <c r="AK1763">
        <v>60.515679442508699</v>
      </c>
    </row>
    <row r="1764" spans="1:37" x14ac:dyDescent="0.3">
      <c r="A1764">
        <v>1763</v>
      </c>
      <c r="B1764">
        <v>51.299999</v>
      </c>
      <c r="C1764">
        <v>37.191502</v>
      </c>
      <c r="D1764">
        <v>-6.2152000000000003</v>
      </c>
      <c r="E1764" t="s">
        <v>3090</v>
      </c>
      <c r="F1764" t="s">
        <v>3091</v>
      </c>
      <c r="G1764" t="s">
        <v>39</v>
      </c>
      <c r="H1764">
        <v>1991</v>
      </c>
      <c r="I1764">
        <v>23.007692337036101</v>
      </c>
      <c r="J1764">
        <v>12.7923078536987</v>
      </c>
      <c r="K1764">
        <v>71</v>
      </c>
      <c r="L1764">
        <v>16.383845842801598</v>
      </c>
      <c r="M1764">
        <v>31.407691955566399</v>
      </c>
      <c r="N1764">
        <v>13.607692645146299</v>
      </c>
      <c r="O1764">
        <v>17.799999237060501</v>
      </c>
      <c r="P1764">
        <v>24.200000762939499</v>
      </c>
      <c r="Q1764">
        <v>21.007692337036101</v>
      </c>
      <c r="R1764">
        <v>24.607692718505898</v>
      </c>
      <c r="S1764">
        <v>20.607692718505898</v>
      </c>
      <c r="T1764">
        <v>844.53846153846098</v>
      </c>
      <c r="U1764">
        <v>149.15384615384599</v>
      </c>
      <c r="V1764">
        <v>4</v>
      </c>
      <c r="W1764">
        <v>78.076923076923094</v>
      </c>
      <c r="X1764">
        <v>410.30769230769198</v>
      </c>
      <c r="Y1764">
        <v>25.076923076923102</v>
      </c>
      <c r="Z1764">
        <v>292.07692307692298</v>
      </c>
      <c r="AA1764">
        <v>30</v>
      </c>
      <c r="AB1764">
        <v>26.1952863573194</v>
      </c>
      <c r="AC1764">
        <v>8.7214813574210005E-3</v>
      </c>
      <c r="AD1764">
        <v>2.79452569251294</v>
      </c>
      <c r="AE1764">
        <v>0.43839570879936202</v>
      </c>
      <c r="AF1764">
        <v>759.29195804195797</v>
      </c>
      <c r="AG1764">
        <f>IFERROR(AH1764*0.1, "N/A")</f>
        <v>6.7641608391608408</v>
      </c>
      <c r="AH1764">
        <v>67.641608391608401</v>
      </c>
      <c r="AI1764">
        <v>113.355142526693</v>
      </c>
      <c r="AJ1764">
        <v>28.183566433566401</v>
      </c>
      <c r="AK1764">
        <v>57.076923076923102</v>
      </c>
    </row>
    <row r="1765" spans="1:37" x14ac:dyDescent="0.3">
      <c r="A1765">
        <v>1764</v>
      </c>
      <c r="B1765">
        <v>11.3</v>
      </c>
      <c r="C1765">
        <v>36.864899000000001</v>
      </c>
      <c r="D1765">
        <v>-6.2599600000000004</v>
      </c>
      <c r="E1765" t="s">
        <v>3092</v>
      </c>
      <c r="F1765" t="s">
        <v>3093</v>
      </c>
      <c r="G1765" t="s">
        <v>39</v>
      </c>
      <c r="H1765">
        <v>1991</v>
      </c>
      <c r="I1765">
        <v>19.799999237060501</v>
      </c>
      <c r="J1765">
        <v>13.1000003814697</v>
      </c>
      <c r="K1765">
        <v>72</v>
      </c>
      <c r="L1765">
        <v>14.789999961853001</v>
      </c>
      <c r="M1765">
        <v>28.299999237060501</v>
      </c>
      <c r="N1765">
        <v>10.300000190734901</v>
      </c>
      <c r="O1765">
        <v>18</v>
      </c>
      <c r="P1765">
        <v>21</v>
      </c>
      <c r="Q1765">
        <v>18</v>
      </c>
      <c r="R1765">
        <v>21.299999237060501</v>
      </c>
      <c r="S1765">
        <v>17.700000762939499</v>
      </c>
      <c r="T1765">
        <v>797</v>
      </c>
      <c r="U1765">
        <v>146</v>
      </c>
      <c r="V1765">
        <v>2</v>
      </c>
      <c r="W1765">
        <v>88</v>
      </c>
      <c r="X1765">
        <v>406</v>
      </c>
      <c r="Y1765">
        <v>12</v>
      </c>
      <c r="Z1765">
        <v>393</v>
      </c>
      <c r="AA1765">
        <v>15</v>
      </c>
      <c r="AB1765">
        <v>23.7390019955842</v>
      </c>
      <c r="AC1765">
        <v>1.8961387990932999E-2</v>
      </c>
      <c r="AD1765">
        <v>3.9524741610236802</v>
      </c>
      <c r="AE1765">
        <v>0.47866763524387201</v>
      </c>
      <c r="AF1765">
        <v>1370.4365217391301</v>
      </c>
      <c r="AG1765">
        <f>IFERROR(AH1765*0.1, "N/A")</f>
        <v>6.1427826086956507</v>
      </c>
      <c r="AH1765">
        <v>61.4278260869565</v>
      </c>
      <c r="AI1765">
        <v>32.803672468765903</v>
      </c>
      <c r="AJ1765">
        <v>22.68</v>
      </c>
      <c r="AK1765">
        <v>63.302608695652197</v>
      </c>
    </row>
    <row r="1766" spans="1:37" x14ac:dyDescent="0.3">
      <c r="A1766">
        <v>1765</v>
      </c>
      <c r="B1766">
        <v>85</v>
      </c>
      <c r="C1766">
        <v>37.203499000000001</v>
      </c>
      <c r="D1766">
        <v>-6.2773099999999999</v>
      </c>
      <c r="E1766" t="s">
        <v>3094</v>
      </c>
      <c r="F1766" t="s">
        <v>3095</v>
      </c>
      <c r="G1766" t="s">
        <v>39</v>
      </c>
      <c r="H1766">
        <v>1991</v>
      </c>
      <c r="I1766">
        <v>23</v>
      </c>
      <c r="J1766">
        <v>12.6000003814697</v>
      </c>
      <c r="K1766">
        <v>71</v>
      </c>
      <c r="L1766">
        <v>16.129999160766602</v>
      </c>
      <c r="M1766">
        <v>31.299999237060501</v>
      </c>
      <c r="N1766">
        <v>13.6000003814697</v>
      </c>
      <c r="O1766">
        <v>17.700000762939499</v>
      </c>
      <c r="P1766">
        <v>24.200000762939499</v>
      </c>
      <c r="Q1766">
        <v>21</v>
      </c>
      <c r="R1766">
        <v>24.600000381469702</v>
      </c>
      <c r="S1766">
        <v>20.700000762939499</v>
      </c>
      <c r="T1766">
        <v>864</v>
      </c>
      <c r="U1766">
        <v>161</v>
      </c>
      <c r="V1766">
        <v>4</v>
      </c>
      <c r="W1766">
        <v>79</v>
      </c>
      <c r="X1766">
        <v>427</v>
      </c>
      <c r="Y1766">
        <v>25</v>
      </c>
      <c r="Z1766">
        <v>362</v>
      </c>
      <c r="AA1766">
        <v>29</v>
      </c>
      <c r="AB1766">
        <v>11.0277443664444</v>
      </c>
      <c r="AC1766">
        <v>2.1384988573377998E-2</v>
      </c>
      <c r="AD1766">
        <v>4.06062079224911</v>
      </c>
      <c r="AE1766">
        <v>0.45747202634811401</v>
      </c>
      <c r="AF1766">
        <v>769.11169284467701</v>
      </c>
      <c r="AG1766">
        <f>IFERROR(AH1766*0.1, "N/A")</f>
        <v>5.8694589877836005</v>
      </c>
      <c r="AH1766">
        <v>58.694589877836002</v>
      </c>
      <c r="AI1766">
        <v>54.584506635682601</v>
      </c>
      <c r="AJ1766">
        <v>22</v>
      </c>
      <c r="AK1766">
        <v>64</v>
      </c>
    </row>
    <row r="1767" spans="1:37" x14ac:dyDescent="0.3">
      <c r="A1767">
        <v>1766</v>
      </c>
      <c r="B1767">
        <v>70</v>
      </c>
      <c r="C1767">
        <v>37.150002000000001</v>
      </c>
      <c r="D1767">
        <v>-6.3333599999999999</v>
      </c>
      <c r="E1767" t="s">
        <v>3096</v>
      </c>
      <c r="F1767" t="s">
        <v>3097</v>
      </c>
      <c r="G1767" t="s">
        <v>39</v>
      </c>
      <c r="H1767">
        <v>1991</v>
      </c>
      <c r="I1767">
        <v>22.569738623577599</v>
      </c>
      <c r="J1767">
        <v>12.6660869598389</v>
      </c>
      <c r="K1767">
        <v>71.153043478260898</v>
      </c>
      <c r="L1767">
        <v>16.198834663059401</v>
      </c>
      <c r="M1767">
        <v>30.869739612081801</v>
      </c>
      <c r="N1767">
        <v>13.185043411254901</v>
      </c>
      <c r="O1767">
        <v>17.684696200826899</v>
      </c>
      <c r="P1767">
        <v>23.693217355479401</v>
      </c>
      <c r="Q1767">
        <v>20.661565060822898</v>
      </c>
      <c r="R1767">
        <v>24.2189565841011</v>
      </c>
      <c r="S1767">
        <v>20.193217355479401</v>
      </c>
      <c r="T1767">
        <v>853.53913043478303</v>
      </c>
      <c r="U1767">
        <v>166.71652173913</v>
      </c>
      <c r="V1767">
        <v>4.2573913043478298</v>
      </c>
      <c r="W1767">
        <v>81.257391304347806</v>
      </c>
      <c r="X1767">
        <v>429.95130434782601</v>
      </c>
      <c r="Y1767">
        <v>23.0886956521739</v>
      </c>
      <c r="Z1767">
        <v>304.80347826087001</v>
      </c>
      <c r="AA1767">
        <v>26.918260869565199</v>
      </c>
      <c r="AB1767">
        <v>64.965078337296205</v>
      </c>
      <c r="AC1767">
        <v>2.1736825555563E-2</v>
      </c>
      <c r="AD1767">
        <v>26.9725944320015</v>
      </c>
      <c r="AE1767">
        <v>0.19306129865024399</v>
      </c>
      <c r="AF1767">
        <v>825.96347826087003</v>
      </c>
      <c r="AG1767">
        <f>IFERROR(AH1767*0.1, "N/A")</f>
        <v>6.2692173913043501</v>
      </c>
      <c r="AH1767">
        <v>62.692173913043497</v>
      </c>
      <c r="AI1767">
        <v>315.70198496942902</v>
      </c>
      <c r="AJ1767">
        <v>34.306086956521703</v>
      </c>
      <c r="AK1767">
        <v>47</v>
      </c>
    </row>
    <row r="1768" spans="1:37" x14ac:dyDescent="0.3">
      <c r="A1768">
        <v>1767</v>
      </c>
      <c r="B1768">
        <v>51.299999</v>
      </c>
      <c r="C1768">
        <v>37.373199</v>
      </c>
      <c r="D1768">
        <v>-6.3766100000000003</v>
      </c>
      <c r="E1768" t="s">
        <v>3098</v>
      </c>
      <c r="F1768" t="s">
        <v>3099</v>
      </c>
      <c r="G1768" t="s">
        <v>39</v>
      </c>
      <c r="H1768">
        <v>1991</v>
      </c>
      <c r="I1768">
        <v>25</v>
      </c>
      <c r="J1768">
        <v>12</v>
      </c>
      <c r="K1768">
        <v>70</v>
      </c>
      <c r="L1768">
        <v>16.850000381469702</v>
      </c>
      <c r="M1768">
        <v>33</v>
      </c>
      <c r="N1768">
        <v>15.8999996185303</v>
      </c>
      <c r="O1768">
        <v>17.100000381469702</v>
      </c>
      <c r="P1768">
        <v>26.200000762939499</v>
      </c>
      <c r="Q1768">
        <v>22.600000381469702</v>
      </c>
      <c r="R1768">
        <v>26.799999237060501</v>
      </c>
      <c r="S1768">
        <v>22.600000381469702</v>
      </c>
      <c r="T1768">
        <v>949</v>
      </c>
      <c r="U1768">
        <v>206</v>
      </c>
      <c r="V1768">
        <v>6</v>
      </c>
      <c r="W1768">
        <v>82</v>
      </c>
      <c r="X1768">
        <v>487</v>
      </c>
      <c r="Y1768">
        <v>32</v>
      </c>
      <c r="Z1768">
        <v>337</v>
      </c>
      <c r="AA1768">
        <v>32</v>
      </c>
      <c r="AB1768">
        <v>8.9775769042968694</v>
      </c>
      <c r="AC1768">
        <v>2.6093904155751999E-2</v>
      </c>
      <c r="AD1768">
        <v>0.60192736967750204</v>
      </c>
      <c r="AE1768">
        <v>0.28156864643096902</v>
      </c>
      <c r="AF1768">
        <v>432.51304347826101</v>
      </c>
      <c r="AG1768">
        <f>IFERROR(AH1768*0.1, "N/A")</f>
        <v>6.49373913043478</v>
      </c>
      <c r="AH1768">
        <v>64.937391304347798</v>
      </c>
      <c r="AI1768">
        <v>56.0780719259511</v>
      </c>
      <c r="AJ1768">
        <v>30.1252173913043</v>
      </c>
      <c r="AK1768">
        <v>54.730434782608697</v>
      </c>
    </row>
    <row r="1769" spans="1:37" x14ac:dyDescent="0.3">
      <c r="A1769">
        <v>1768</v>
      </c>
      <c r="B1769">
        <v>55</v>
      </c>
      <c r="C1769">
        <v>37.288398999999998</v>
      </c>
      <c r="D1769">
        <v>-6.4305099999999999</v>
      </c>
      <c r="E1769" t="s">
        <v>3100</v>
      </c>
      <c r="F1769" t="s">
        <v>3101</v>
      </c>
      <c r="G1769" t="s">
        <v>39</v>
      </c>
      <c r="H1769">
        <v>1991</v>
      </c>
      <c r="I1769">
        <v>25</v>
      </c>
      <c r="J1769">
        <v>12</v>
      </c>
      <c r="K1769">
        <v>70</v>
      </c>
      <c r="L1769">
        <v>16.5100002288818</v>
      </c>
      <c r="M1769">
        <v>33</v>
      </c>
      <c r="N1769">
        <v>15.8999996185303</v>
      </c>
      <c r="O1769">
        <v>17.100000381469702</v>
      </c>
      <c r="P1769">
        <v>26.100000381469702</v>
      </c>
      <c r="Q1769">
        <v>22.600000381469702</v>
      </c>
      <c r="R1769">
        <v>26.700000762939499</v>
      </c>
      <c r="S1769">
        <v>22.600000381469702</v>
      </c>
      <c r="T1769">
        <v>941</v>
      </c>
      <c r="U1769">
        <v>205</v>
      </c>
      <c r="V1769">
        <v>6</v>
      </c>
      <c r="W1769">
        <v>85</v>
      </c>
      <c r="X1769">
        <v>500</v>
      </c>
      <c r="Y1769">
        <v>30</v>
      </c>
      <c r="Z1769">
        <v>335</v>
      </c>
      <c r="AA1769">
        <v>30</v>
      </c>
      <c r="AB1769">
        <v>3.8767383893330898</v>
      </c>
      <c r="AC1769">
        <v>2.1473868517205001E-2</v>
      </c>
      <c r="AD1769">
        <v>0.59975047368142298</v>
      </c>
      <c r="AE1769">
        <v>0.27150810639270501</v>
      </c>
      <c r="AF1769">
        <v>434.921875</v>
      </c>
      <c r="AG1769">
        <f>IFERROR(AH1769*0.1, "N/A")</f>
        <v>6.2</v>
      </c>
      <c r="AH1769">
        <v>62</v>
      </c>
      <c r="AI1769">
        <v>71.137348254521697</v>
      </c>
      <c r="AJ1769">
        <v>34.3333333333333</v>
      </c>
      <c r="AK1769">
        <v>49.6666666666667</v>
      </c>
    </row>
    <row r="1770" spans="1:37" x14ac:dyDescent="0.3">
      <c r="A1770">
        <v>1769</v>
      </c>
      <c r="B1770">
        <v>91.300003000000004</v>
      </c>
      <c r="C1770">
        <v>37.443199</v>
      </c>
      <c r="D1770">
        <v>-6.4451000000000001</v>
      </c>
      <c r="E1770" t="s">
        <v>3102</v>
      </c>
      <c r="F1770" t="s">
        <v>3103</v>
      </c>
      <c r="G1770" t="s">
        <v>39</v>
      </c>
      <c r="H1770">
        <v>1991</v>
      </c>
      <c r="I1770">
        <v>25.399999618530298</v>
      </c>
      <c r="J1770">
        <v>11.800000190734901</v>
      </c>
      <c r="K1770">
        <v>69</v>
      </c>
      <c r="L1770">
        <v>16.9899997711182</v>
      </c>
      <c r="M1770">
        <v>33.200000762939503</v>
      </c>
      <c r="N1770">
        <v>16.299999237060501</v>
      </c>
      <c r="O1770">
        <v>16.899999618530298</v>
      </c>
      <c r="P1770">
        <v>26.600000381469702</v>
      </c>
      <c r="Q1770">
        <v>22.899999618530298</v>
      </c>
      <c r="R1770">
        <v>27.100000381469702</v>
      </c>
      <c r="S1770">
        <v>22.899999618530298</v>
      </c>
      <c r="T1770">
        <v>941</v>
      </c>
      <c r="U1770">
        <v>199</v>
      </c>
      <c r="V1770">
        <v>8</v>
      </c>
      <c r="W1770">
        <v>79</v>
      </c>
      <c r="X1770">
        <v>470</v>
      </c>
      <c r="Y1770">
        <v>34</v>
      </c>
      <c r="Z1770">
        <v>340</v>
      </c>
      <c r="AA1770">
        <v>34</v>
      </c>
      <c r="AB1770">
        <v>1.1517444570720801</v>
      </c>
      <c r="AC1770">
        <v>2.0331925944301901</v>
      </c>
      <c r="AD1770">
        <v>1.03106317085048</v>
      </c>
      <c r="AE1770">
        <v>0.31920582056045499</v>
      </c>
      <c r="AF1770">
        <v>377.733449477352</v>
      </c>
      <c r="AG1770">
        <f>IFERROR(AH1770*0.1, "N/A")</f>
        <v>6.3195121951219502</v>
      </c>
      <c r="AH1770">
        <v>63.195121951219498</v>
      </c>
      <c r="AI1770">
        <v>195.520481654576</v>
      </c>
      <c r="AJ1770">
        <v>32.536585365853703</v>
      </c>
      <c r="AK1770">
        <v>54.097560975609703</v>
      </c>
    </row>
    <row r="1771" spans="1:37" x14ac:dyDescent="0.3">
      <c r="A1771">
        <v>1770</v>
      </c>
      <c r="B1771">
        <v>63.799999</v>
      </c>
      <c r="C1771">
        <v>37.383499</v>
      </c>
      <c r="D1771">
        <v>-6.4713399999999996</v>
      </c>
      <c r="E1771" t="s">
        <v>3104</v>
      </c>
      <c r="F1771" t="s">
        <v>3105</v>
      </c>
      <c r="G1771" t="s">
        <v>39</v>
      </c>
      <c r="H1771">
        <v>1991</v>
      </c>
      <c r="I1771">
        <v>25.299999237060501</v>
      </c>
      <c r="J1771">
        <v>11.800000190734901</v>
      </c>
      <c r="K1771">
        <v>69</v>
      </c>
      <c r="L1771">
        <v>16.6697208377911</v>
      </c>
      <c r="M1771">
        <v>33.200000762939503</v>
      </c>
      <c r="N1771">
        <v>16.299999237060501</v>
      </c>
      <c r="O1771">
        <v>16.899999618530298</v>
      </c>
      <c r="P1771">
        <v>26.5</v>
      </c>
      <c r="Q1771">
        <v>22.899999618530298</v>
      </c>
      <c r="R1771">
        <v>27</v>
      </c>
      <c r="S1771">
        <v>22.899999618530298</v>
      </c>
      <c r="T1771">
        <v>938.78883071553196</v>
      </c>
      <c r="U1771">
        <v>202.39441535776601</v>
      </c>
      <c r="V1771">
        <v>7</v>
      </c>
      <c r="W1771">
        <v>81</v>
      </c>
      <c r="X1771">
        <v>480.78883071553201</v>
      </c>
      <c r="Y1771">
        <v>32</v>
      </c>
      <c r="Z1771">
        <v>339</v>
      </c>
      <c r="AA1771">
        <v>32</v>
      </c>
      <c r="AB1771">
        <v>0.861431021964987</v>
      </c>
      <c r="AC1771">
        <v>1.4083347931816001E-2</v>
      </c>
      <c r="AD1771">
        <v>1.2920071599163101</v>
      </c>
      <c r="AE1771">
        <v>0.36050903797149703</v>
      </c>
      <c r="AF1771">
        <v>381.808027923211</v>
      </c>
      <c r="AG1771">
        <f>IFERROR(AH1771*0.1, "N/A")</f>
        <v>6.8069808027923209</v>
      </c>
      <c r="AH1771">
        <v>68.069808027923202</v>
      </c>
      <c r="AI1771">
        <v>172.82245237873099</v>
      </c>
      <c r="AJ1771">
        <v>29.556719022687599</v>
      </c>
      <c r="AK1771">
        <v>53.989528795811502</v>
      </c>
    </row>
    <row r="1772" spans="1:37" x14ac:dyDescent="0.3">
      <c r="A1772">
        <v>1771</v>
      </c>
      <c r="B1772">
        <v>6.3</v>
      </c>
      <c r="C1772">
        <v>36.986899999999999</v>
      </c>
      <c r="D1772">
        <v>-6.4781899999999997</v>
      </c>
      <c r="E1772" t="s">
        <v>3106</v>
      </c>
      <c r="F1772" t="s">
        <v>3107</v>
      </c>
      <c r="G1772" t="s">
        <v>39</v>
      </c>
      <c r="H1772">
        <v>1991</v>
      </c>
      <c r="I1772">
        <v>19.399999618530298</v>
      </c>
      <c r="J1772">
        <v>12.5</v>
      </c>
      <c r="K1772">
        <v>71</v>
      </c>
      <c r="L1772">
        <v>15.3999996185303</v>
      </c>
      <c r="M1772">
        <v>27.600000381469702</v>
      </c>
      <c r="N1772">
        <v>10.1000003814697</v>
      </c>
      <c r="O1772">
        <v>17.5</v>
      </c>
      <c r="P1772">
        <v>20.5</v>
      </c>
      <c r="Q1772">
        <v>17.5</v>
      </c>
      <c r="R1772">
        <v>20.899999618530298</v>
      </c>
      <c r="S1772">
        <v>17.200000762939499</v>
      </c>
      <c r="T1772">
        <v>876</v>
      </c>
      <c r="U1772">
        <v>178</v>
      </c>
      <c r="V1772">
        <v>2</v>
      </c>
      <c r="W1772">
        <v>86</v>
      </c>
      <c r="X1772">
        <v>452</v>
      </c>
      <c r="Y1772">
        <v>15</v>
      </c>
      <c r="Z1772">
        <v>384</v>
      </c>
      <c r="AA1772">
        <v>18</v>
      </c>
      <c r="AB1772">
        <v>63.907700996332302</v>
      </c>
      <c r="AC1772">
        <v>4.3598405662500998E-2</v>
      </c>
      <c r="AD1772">
        <v>9.2873043314948696</v>
      </c>
      <c r="AE1772">
        <v>0.19592290040086099</v>
      </c>
      <c r="AF1772">
        <v>1429.98952879581</v>
      </c>
      <c r="AG1772">
        <f>IFERROR(AH1772*0.1, "N/A")</f>
        <v>5.59528795811518</v>
      </c>
      <c r="AH1772">
        <v>55.952879581151798</v>
      </c>
      <c r="AI1772">
        <v>81.396893020283699</v>
      </c>
      <c r="AJ1772">
        <v>33.191972076788801</v>
      </c>
      <c r="AK1772">
        <v>44.888307155322899</v>
      </c>
    </row>
    <row r="1773" spans="1:37" x14ac:dyDescent="0.3">
      <c r="A1773">
        <v>1772</v>
      </c>
      <c r="B1773">
        <v>60</v>
      </c>
      <c r="C1773">
        <v>37.216900000000003</v>
      </c>
      <c r="D1773">
        <v>-6.5269700000000004</v>
      </c>
      <c r="E1773" t="s">
        <v>3108</v>
      </c>
      <c r="F1773" t="s">
        <v>3109</v>
      </c>
      <c r="G1773" t="s">
        <v>39</v>
      </c>
      <c r="H1773">
        <v>1991</v>
      </c>
      <c r="I1773">
        <v>25.094087315435001</v>
      </c>
      <c r="J1773">
        <v>11.8999996185303</v>
      </c>
      <c r="K1773">
        <v>69</v>
      </c>
      <c r="L1773">
        <v>17.100539749808899</v>
      </c>
      <c r="M1773">
        <v>33.099998474121101</v>
      </c>
      <c r="N1773">
        <v>15.994086933965299</v>
      </c>
      <c r="O1773">
        <v>17.105913447504498</v>
      </c>
      <c r="P1773">
        <v>26.194087696904699</v>
      </c>
      <c r="Q1773">
        <v>22.600000381469702</v>
      </c>
      <c r="R1773">
        <v>26.799999237060501</v>
      </c>
      <c r="S1773">
        <v>22.600000381469702</v>
      </c>
      <c r="T1773">
        <v>930</v>
      </c>
      <c r="U1773">
        <v>201</v>
      </c>
      <c r="V1773">
        <v>6</v>
      </c>
      <c r="W1773">
        <v>85</v>
      </c>
      <c r="X1773">
        <v>500.05913043478301</v>
      </c>
      <c r="Y1773">
        <v>28</v>
      </c>
      <c r="Z1773">
        <v>290.83826086956498</v>
      </c>
      <c r="AA1773">
        <v>28</v>
      </c>
      <c r="AB1773">
        <v>16.165223494820001</v>
      </c>
      <c r="AC1773">
        <v>1.0664948793533E-2</v>
      </c>
      <c r="AD1773">
        <v>2.0373269358925201</v>
      </c>
      <c r="AE1773">
        <v>0.25862280063007198</v>
      </c>
      <c r="AF1773">
        <v>440.76695652173902</v>
      </c>
      <c r="AG1773">
        <f>IFERROR(AH1773*0.1, "N/A")</f>
        <v>6.3133913043478307</v>
      </c>
      <c r="AH1773">
        <v>63.133913043478302</v>
      </c>
      <c r="AI1773">
        <v>95.617374758513094</v>
      </c>
      <c r="AJ1773">
        <v>31.925217391304301</v>
      </c>
      <c r="AK1773">
        <v>55.074782608695699</v>
      </c>
    </row>
    <row r="1774" spans="1:37" x14ac:dyDescent="0.3">
      <c r="A1774">
        <v>1773</v>
      </c>
      <c r="B1774">
        <v>33.799999</v>
      </c>
      <c r="C1774">
        <v>36.984501000000002</v>
      </c>
      <c r="D1774">
        <v>-6.6143700000000001</v>
      </c>
      <c r="E1774" t="s">
        <v>3110</v>
      </c>
      <c r="F1774" t="s">
        <v>3111</v>
      </c>
      <c r="G1774" t="s">
        <v>39</v>
      </c>
      <c r="H1774">
        <v>1991</v>
      </c>
      <c r="I1774">
        <v>22.399999618530298</v>
      </c>
      <c r="J1774">
        <v>12.300000190734901</v>
      </c>
      <c r="K1774">
        <v>70</v>
      </c>
      <c r="L1774">
        <v>15.6000003814697</v>
      </c>
      <c r="M1774">
        <v>30.600000381469702</v>
      </c>
      <c r="N1774">
        <v>13.199999809265099</v>
      </c>
      <c r="O1774">
        <v>17.399999618530298</v>
      </c>
      <c r="P1774">
        <v>23.5</v>
      </c>
      <c r="Q1774">
        <v>20.100000381469702</v>
      </c>
      <c r="R1774">
        <v>24</v>
      </c>
      <c r="S1774">
        <v>20.100000381469702</v>
      </c>
      <c r="T1774">
        <v>820</v>
      </c>
      <c r="U1774">
        <v>166</v>
      </c>
      <c r="V1774">
        <v>5</v>
      </c>
      <c r="W1774">
        <v>84</v>
      </c>
      <c r="X1774">
        <v>429</v>
      </c>
      <c r="Y1774">
        <v>21</v>
      </c>
      <c r="Z1774">
        <v>281</v>
      </c>
      <c r="AA1774">
        <v>21</v>
      </c>
      <c r="AB1774">
        <v>1.5272820746148399</v>
      </c>
      <c r="AC1774">
        <v>13.686259767096001</v>
      </c>
      <c r="AD1774">
        <v>1.55760075516634</v>
      </c>
      <c r="AE1774">
        <v>0.17513878643512701</v>
      </c>
      <c r="AF1774">
        <v>878.54895104895104</v>
      </c>
      <c r="AG1774">
        <f>IFERROR(AH1774*0.1, "N/A")</f>
        <v>5.4</v>
      </c>
      <c r="AH1774">
        <v>54</v>
      </c>
      <c r="AI1774">
        <v>214.64233446454699</v>
      </c>
      <c r="AJ1774">
        <v>29</v>
      </c>
      <c r="AK1774">
        <v>51</v>
      </c>
    </row>
    <row r="1775" spans="1:37" x14ac:dyDescent="0.3">
      <c r="A1775">
        <v>1774</v>
      </c>
      <c r="B1775">
        <v>65</v>
      </c>
      <c r="C1775">
        <v>36.708599</v>
      </c>
      <c r="D1775">
        <v>-6.6445499999999997</v>
      </c>
      <c r="E1775" t="s">
        <v>3112</v>
      </c>
      <c r="F1775" t="s">
        <v>3113</v>
      </c>
      <c r="G1775" t="s">
        <v>39</v>
      </c>
      <c r="H1775">
        <v>1991</v>
      </c>
      <c r="I1775">
        <v>23.700000762939499</v>
      </c>
      <c r="J1775">
        <v>12.300000190734901</v>
      </c>
      <c r="K1775">
        <v>69</v>
      </c>
      <c r="L1775">
        <v>15.329999923706101</v>
      </c>
      <c r="M1775">
        <v>32</v>
      </c>
      <c r="N1775">
        <v>14.3999996185303</v>
      </c>
      <c r="O1775">
        <v>17.600000381469702</v>
      </c>
      <c r="P1775">
        <v>25.100000381469702</v>
      </c>
      <c r="Q1775">
        <v>21.899999618530298</v>
      </c>
      <c r="R1775">
        <v>25.299999237060501</v>
      </c>
      <c r="S1775">
        <v>21.5</v>
      </c>
      <c r="T1775">
        <v>570.48611111111097</v>
      </c>
      <c r="U1775">
        <v>113.371527777778</v>
      </c>
      <c r="V1775">
        <v>2</v>
      </c>
      <c r="W1775">
        <v>88.3715277777778</v>
      </c>
      <c r="X1775">
        <v>307.371527777778</v>
      </c>
      <c r="Y1775">
        <v>9</v>
      </c>
      <c r="Z1775">
        <v>223.371527777778</v>
      </c>
      <c r="AA1775">
        <v>11</v>
      </c>
      <c r="AB1775">
        <v>13.6583054860433</v>
      </c>
      <c r="AC1775">
        <v>1.369562286709E-2</v>
      </c>
      <c r="AD1775">
        <v>1.84572262834344</v>
      </c>
      <c r="AE1775">
        <v>0.205508127808571</v>
      </c>
      <c r="AF1775">
        <v>671.88888888888903</v>
      </c>
      <c r="AG1775">
        <f>IFERROR(AH1775*0.1, "N/A")</f>
        <v>6.9197916666666703</v>
      </c>
      <c r="AH1775">
        <v>69.1979166666667</v>
      </c>
      <c r="AI1775">
        <v>83.914672573407501</v>
      </c>
      <c r="AJ1775">
        <v>27.03125</v>
      </c>
      <c r="AK1775">
        <v>56.7013888888889</v>
      </c>
    </row>
    <row r="1776" spans="1:37" x14ac:dyDescent="0.3">
      <c r="A1776">
        <v>1775</v>
      </c>
      <c r="B1776">
        <v>45</v>
      </c>
      <c r="C1776">
        <v>37.176997999999998</v>
      </c>
      <c r="D1776">
        <v>-6.6549500000000004</v>
      </c>
      <c r="E1776" t="s">
        <v>3114</v>
      </c>
      <c r="F1776" t="s">
        <v>3115</v>
      </c>
      <c r="G1776" t="s">
        <v>39</v>
      </c>
      <c r="H1776">
        <v>1991</v>
      </c>
      <c r="I1776">
        <v>25.200000762939499</v>
      </c>
      <c r="J1776">
        <v>11.5</v>
      </c>
      <c r="K1776">
        <v>68</v>
      </c>
      <c r="L1776">
        <v>17.090000152587901</v>
      </c>
      <c r="M1776">
        <v>33.099998474121101</v>
      </c>
      <c r="N1776">
        <v>16.200000762939499</v>
      </c>
      <c r="O1776">
        <v>16.899999618530298</v>
      </c>
      <c r="P1776">
        <v>26.299999237060501</v>
      </c>
      <c r="Q1776">
        <v>22.700000762939499</v>
      </c>
      <c r="R1776">
        <v>27</v>
      </c>
      <c r="S1776">
        <v>22.700000762939499</v>
      </c>
      <c r="T1776">
        <v>935</v>
      </c>
      <c r="U1776">
        <v>200</v>
      </c>
      <c r="V1776">
        <v>6</v>
      </c>
      <c r="W1776">
        <v>83</v>
      </c>
      <c r="X1776">
        <v>499</v>
      </c>
      <c r="Y1776">
        <v>28</v>
      </c>
      <c r="Z1776">
        <v>298</v>
      </c>
      <c r="AA1776">
        <v>28</v>
      </c>
      <c r="AB1776">
        <v>0.241535286628763</v>
      </c>
      <c r="AC1776">
        <v>0.32504434609073801</v>
      </c>
      <c r="AD1776">
        <v>0.38796793239070898</v>
      </c>
      <c r="AE1776">
        <v>0.42909836769103998</v>
      </c>
      <c r="AF1776">
        <v>412.998254799302</v>
      </c>
      <c r="AG1776">
        <f>IFERROR(AH1776*0.1, "N/A")</f>
        <v>6.2165794066317606</v>
      </c>
      <c r="AH1776">
        <v>62.165794066317602</v>
      </c>
      <c r="AI1776">
        <v>123.83701607402899</v>
      </c>
      <c r="AJ1776">
        <v>32</v>
      </c>
      <c r="AK1776">
        <v>48.298429319371699</v>
      </c>
    </row>
    <row r="1777" spans="1:37" x14ac:dyDescent="0.3">
      <c r="A1777">
        <v>1776</v>
      </c>
      <c r="B1777">
        <v>52.5</v>
      </c>
      <c r="C1777">
        <v>37.136501000000003</v>
      </c>
      <c r="D1777">
        <v>-6.6638999999999999</v>
      </c>
      <c r="E1777" t="s">
        <v>3116</v>
      </c>
      <c r="F1777" t="s">
        <v>3117</v>
      </c>
      <c r="G1777" t="s">
        <v>39</v>
      </c>
      <c r="H1777">
        <v>1991</v>
      </c>
      <c r="I1777">
        <v>24.899999618530298</v>
      </c>
      <c r="J1777">
        <v>11.5</v>
      </c>
      <c r="K1777">
        <v>68</v>
      </c>
      <c r="L1777">
        <v>16.969999313354499</v>
      </c>
      <c r="M1777">
        <v>32.900001525878899</v>
      </c>
      <c r="N1777">
        <v>16.100000381469702</v>
      </c>
      <c r="O1777">
        <v>16.799999237060501</v>
      </c>
      <c r="P1777">
        <v>26</v>
      </c>
      <c r="Q1777">
        <v>22.5</v>
      </c>
      <c r="R1777">
        <v>26.700000762939499</v>
      </c>
      <c r="S1777">
        <v>22.5</v>
      </c>
      <c r="T1777">
        <v>944</v>
      </c>
      <c r="U1777">
        <v>201</v>
      </c>
      <c r="V1777">
        <v>6</v>
      </c>
      <c r="W1777">
        <v>83</v>
      </c>
      <c r="X1777">
        <v>503</v>
      </c>
      <c r="Y1777">
        <v>30</v>
      </c>
      <c r="Z1777">
        <v>298</v>
      </c>
      <c r="AA1777">
        <v>30</v>
      </c>
      <c r="AB1777">
        <v>11.436537255774001</v>
      </c>
      <c r="AC1777">
        <v>8.5654844875099993E-3</v>
      </c>
      <c r="AD1777">
        <v>1.18734441864324</v>
      </c>
      <c r="AE1777">
        <v>0.206413954496384</v>
      </c>
      <c r="AF1777">
        <v>437.79545454545502</v>
      </c>
      <c r="AG1777">
        <f>IFERROR(AH1777*0.1, "N/A")</f>
        <v>6.0358391608391599</v>
      </c>
      <c r="AH1777">
        <v>60.358391608391599</v>
      </c>
      <c r="AI1777">
        <v>66.761718056418701</v>
      </c>
      <c r="AJ1777">
        <v>28.3531468531468</v>
      </c>
      <c r="AK1777">
        <v>56.984265734265698</v>
      </c>
    </row>
    <row r="1778" spans="1:37" x14ac:dyDescent="0.3">
      <c r="A1778">
        <v>1777</v>
      </c>
      <c r="B1778">
        <v>12.5</v>
      </c>
      <c r="C1778">
        <v>37.120201000000002</v>
      </c>
      <c r="D1778">
        <v>-6.6847899999999996</v>
      </c>
      <c r="E1778" t="s">
        <v>3118</v>
      </c>
      <c r="F1778" t="s">
        <v>3119</v>
      </c>
      <c r="G1778" t="s">
        <v>39</v>
      </c>
      <c r="H1778">
        <v>1991</v>
      </c>
      <c r="I1778">
        <v>25</v>
      </c>
      <c r="J1778">
        <v>11.5</v>
      </c>
      <c r="K1778">
        <v>68</v>
      </c>
      <c r="L1778">
        <v>16.940000534057599</v>
      </c>
      <c r="M1778">
        <v>32.900001525878899</v>
      </c>
      <c r="N1778">
        <v>16.100000381469702</v>
      </c>
      <c r="O1778">
        <v>16.799999237060501</v>
      </c>
      <c r="P1778">
        <v>26</v>
      </c>
      <c r="Q1778">
        <v>22.5</v>
      </c>
      <c r="R1778">
        <v>26.700000762939499</v>
      </c>
      <c r="S1778">
        <v>22.5</v>
      </c>
      <c r="T1778">
        <v>952</v>
      </c>
      <c r="U1778">
        <v>202</v>
      </c>
      <c r="V1778">
        <v>6</v>
      </c>
      <c r="W1778">
        <v>82</v>
      </c>
      <c r="X1778">
        <v>506</v>
      </c>
      <c r="Y1778">
        <v>30</v>
      </c>
      <c r="Z1778">
        <v>303</v>
      </c>
      <c r="AA1778">
        <v>30</v>
      </c>
      <c r="AB1778">
        <v>1.4474733895240199</v>
      </c>
      <c r="AC1778">
        <v>3.0451613450731999E-2</v>
      </c>
      <c r="AD1778">
        <v>1.1370396518374399</v>
      </c>
      <c r="AE1778">
        <v>0.42401336744609702</v>
      </c>
      <c r="AF1778">
        <v>433.61780104712</v>
      </c>
      <c r="AG1778">
        <f>IFERROR(AH1778*0.1, "N/A")</f>
        <v>6.0184991273996502</v>
      </c>
      <c r="AH1778">
        <v>60.184991273996502</v>
      </c>
      <c r="AI1778">
        <v>180.14068315915401</v>
      </c>
      <c r="AJ1778">
        <v>33.815008726003498</v>
      </c>
      <c r="AK1778">
        <v>49</v>
      </c>
    </row>
    <row r="1779" spans="1:37" x14ac:dyDescent="0.3">
      <c r="A1779">
        <v>1778</v>
      </c>
      <c r="B1779">
        <v>3.9</v>
      </c>
      <c r="C1779">
        <v>37.013598999999999</v>
      </c>
      <c r="D1779">
        <v>-6.6908399999999997</v>
      </c>
      <c r="E1779" t="s">
        <v>3120</v>
      </c>
      <c r="F1779" t="s">
        <v>3121</v>
      </c>
      <c r="G1779" t="s">
        <v>39</v>
      </c>
      <c r="H1779">
        <v>1991</v>
      </c>
      <c r="I1779">
        <v>22.513937268938299</v>
      </c>
      <c r="J1779">
        <v>11.9965156827654</v>
      </c>
      <c r="K1779">
        <v>69</v>
      </c>
      <c r="L1779">
        <v>16.294530503010499</v>
      </c>
      <c r="M1779">
        <v>30.610453349787999</v>
      </c>
      <c r="N1779">
        <v>13.315679626597801</v>
      </c>
      <c r="O1779">
        <v>17.294772769515902</v>
      </c>
      <c r="P1779">
        <v>23.613937650408101</v>
      </c>
      <c r="Q1779">
        <v>20.113937650408101</v>
      </c>
      <c r="R1779">
        <v>24.115679817332602</v>
      </c>
      <c r="S1779">
        <v>20.113937650408101</v>
      </c>
      <c r="T1779">
        <v>853.31358885017403</v>
      </c>
      <c r="U1779">
        <v>175.878048780488</v>
      </c>
      <c r="V1779">
        <v>5</v>
      </c>
      <c r="W1779">
        <v>82.930313588850197</v>
      </c>
      <c r="X1779">
        <v>446.01742160278798</v>
      </c>
      <c r="Y1779">
        <v>22.104529616724701</v>
      </c>
      <c r="Z1779">
        <v>289.92334494773502</v>
      </c>
      <c r="AA1779">
        <v>22.104529616724701</v>
      </c>
      <c r="AB1779">
        <v>139.38187655671501</v>
      </c>
      <c r="AC1779">
        <v>2.306128255309E-2</v>
      </c>
      <c r="AD1779">
        <v>17.615504467528901</v>
      </c>
      <c r="AE1779">
        <v>0.19825968146324199</v>
      </c>
      <c r="AF1779">
        <v>813.13240418118505</v>
      </c>
      <c r="AG1779">
        <f>IFERROR(AH1779*0.1, "N/A")</f>
        <v>5.5350174216027908</v>
      </c>
      <c r="AH1779">
        <v>55.350174216027902</v>
      </c>
      <c r="AI1779">
        <v>125.050095162741</v>
      </c>
      <c r="AJ1779">
        <v>33.759581881533101</v>
      </c>
      <c r="AK1779">
        <v>45.353658536585399</v>
      </c>
    </row>
    <row r="1780" spans="1:37" x14ac:dyDescent="0.3">
      <c r="A1780">
        <v>1779</v>
      </c>
      <c r="B1780">
        <v>57.5</v>
      </c>
      <c r="C1780">
        <v>37.149299999999997</v>
      </c>
      <c r="D1780">
        <v>-6.7127499999999998</v>
      </c>
      <c r="E1780" t="s">
        <v>3122</v>
      </c>
      <c r="F1780" t="s">
        <v>3123</v>
      </c>
      <c r="G1780" t="s">
        <v>39</v>
      </c>
      <c r="H1780">
        <v>1991</v>
      </c>
      <c r="I1780">
        <v>25</v>
      </c>
      <c r="J1780">
        <v>11.3090436172485</v>
      </c>
      <c r="K1780">
        <v>68</v>
      </c>
      <c r="L1780">
        <v>17.121757056194799</v>
      </c>
      <c r="M1780">
        <v>32.900001525878899</v>
      </c>
      <c r="N1780">
        <v>16.290955896792202</v>
      </c>
      <c r="O1780">
        <v>16.609043894228702</v>
      </c>
      <c r="P1780">
        <v>26.200000762939499</v>
      </c>
      <c r="Q1780">
        <v>22.590956868710698</v>
      </c>
      <c r="R1780">
        <v>26.799999237060501</v>
      </c>
      <c r="S1780">
        <v>22.590956868710698</v>
      </c>
      <c r="T1780">
        <v>941.54782608695598</v>
      </c>
      <c r="U1780">
        <v>196.90956521739099</v>
      </c>
      <c r="V1780">
        <v>6</v>
      </c>
      <c r="W1780">
        <v>82</v>
      </c>
      <c r="X1780">
        <v>498.81913043478301</v>
      </c>
      <c r="Y1780">
        <v>27.9095652173913</v>
      </c>
      <c r="Z1780">
        <v>304.90956521739099</v>
      </c>
      <c r="AA1780">
        <v>27.9095652173913</v>
      </c>
      <c r="AB1780">
        <v>0.95493811565896702</v>
      </c>
      <c r="AC1780">
        <v>1.436728099928E-2</v>
      </c>
      <c r="AD1780">
        <v>0.88964921775071504</v>
      </c>
      <c r="AE1780">
        <v>0.27804687619209301</v>
      </c>
      <c r="AF1780">
        <v>423.68695652173898</v>
      </c>
      <c r="AG1780">
        <f>IFERROR(AH1780*0.1, "N/A")</f>
        <v>6.3382608695652207</v>
      </c>
      <c r="AH1780">
        <v>63.382608695652202</v>
      </c>
      <c r="AI1780">
        <v>186.61956642482599</v>
      </c>
      <c r="AJ1780">
        <v>31.2121739130435</v>
      </c>
      <c r="AK1780">
        <v>53.596521739130402</v>
      </c>
    </row>
    <row r="1781" spans="1:37" x14ac:dyDescent="0.3">
      <c r="A1781">
        <v>1780</v>
      </c>
      <c r="B1781">
        <v>91.300003000000004</v>
      </c>
      <c r="C1781">
        <v>37.120398999999999</v>
      </c>
      <c r="D1781">
        <v>-6.7435999999999998</v>
      </c>
      <c r="E1781" t="s">
        <v>3124</v>
      </c>
      <c r="F1781" t="s">
        <v>3125</v>
      </c>
      <c r="G1781" t="s">
        <v>39</v>
      </c>
      <c r="H1781">
        <v>1991</v>
      </c>
      <c r="I1781">
        <v>24.899999618530298</v>
      </c>
      <c r="J1781">
        <v>11.300000190734901</v>
      </c>
      <c r="K1781">
        <v>68</v>
      </c>
      <c r="L1781">
        <v>17.2600002288818</v>
      </c>
      <c r="M1781">
        <v>32.799999237060497</v>
      </c>
      <c r="N1781">
        <v>16.200000762939499</v>
      </c>
      <c r="O1781">
        <v>16.600000381469702</v>
      </c>
      <c r="P1781">
        <v>26.100000381469702</v>
      </c>
      <c r="Q1781">
        <v>22.399999618530298</v>
      </c>
      <c r="R1781">
        <v>26.700000762939499</v>
      </c>
      <c r="S1781">
        <v>22.399999618530298</v>
      </c>
      <c r="T1781">
        <v>950</v>
      </c>
      <c r="U1781">
        <v>192</v>
      </c>
      <c r="V1781">
        <v>6</v>
      </c>
      <c r="W1781">
        <v>80</v>
      </c>
      <c r="X1781">
        <v>497</v>
      </c>
      <c r="Y1781">
        <v>28</v>
      </c>
      <c r="Z1781">
        <v>364</v>
      </c>
      <c r="AA1781">
        <v>28</v>
      </c>
      <c r="AB1781">
        <v>0.95418008943883403</v>
      </c>
      <c r="AC1781">
        <v>0.25404364691612402</v>
      </c>
      <c r="AD1781">
        <v>0.82735929308452705</v>
      </c>
      <c r="AE1781">
        <v>0.232116669416428</v>
      </c>
      <c r="AF1781">
        <v>432.65331010453002</v>
      </c>
      <c r="AG1781">
        <f>IFERROR(AH1781*0.1, "N/A")</f>
        <v>6.7</v>
      </c>
      <c r="AH1781">
        <v>67</v>
      </c>
      <c r="AI1781">
        <v>93.999006284653902</v>
      </c>
      <c r="AJ1781">
        <v>35.958188153310097</v>
      </c>
      <c r="AK1781">
        <v>48.041811846689903</v>
      </c>
    </row>
    <row r="1782" spans="1:37" x14ac:dyDescent="0.3">
      <c r="A1782">
        <v>1781</v>
      </c>
      <c r="B1782">
        <v>88.800003000000004</v>
      </c>
      <c r="C1782">
        <v>37.132098999999997</v>
      </c>
      <c r="D1782">
        <v>-6.74735</v>
      </c>
      <c r="E1782" t="s">
        <v>3126</v>
      </c>
      <c r="F1782" t="s">
        <v>3127</v>
      </c>
      <c r="G1782" t="s">
        <v>39</v>
      </c>
      <c r="H1782">
        <v>1991</v>
      </c>
      <c r="I1782">
        <v>24.899999618530298</v>
      </c>
      <c r="J1782">
        <v>11.199999809265099</v>
      </c>
      <c r="K1782">
        <v>67</v>
      </c>
      <c r="L1782">
        <v>17.280000686645501</v>
      </c>
      <c r="M1782">
        <v>32.900001525878899</v>
      </c>
      <c r="N1782">
        <v>16.200000762939499</v>
      </c>
      <c r="O1782">
        <v>16.700000762939499</v>
      </c>
      <c r="P1782">
        <v>26</v>
      </c>
      <c r="Q1782">
        <v>22.399999618530298</v>
      </c>
      <c r="R1782">
        <v>26.799999237060501</v>
      </c>
      <c r="S1782">
        <v>22.399999618530298</v>
      </c>
      <c r="T1782">
        <v>944</v>
      </c>
      <c r="U1782">
        <v>192</v>
      </c>
      <c r="V1782">
        <v>6</v>
      </c>
      <c r="W1782">
        <v>81</v>
      </c>
      <c r="X1782">
        <v>495</v>
      </c>
      <c r="Y1782">
        <v>27</v>
      </c>
      <c r="Z1782">
        <v>311</v>
      </c>
      <c r="AA1782">
        <v>27</v>
      </c>
      <c r="AB1782">
        <v>5.0048848328274698</v>
      </c>
      <c r="AC1782">
        <v>2.3088193057228E-2</v>
      </c>
      <c r="AD1782">
        <v>1.20488219186404</v>
      </c>
      <c r="AE1782">
        <v>0.28264920875585903</v>
      </c>
      <c r="AF1782">
        <v>432.75261324041799</v>
      </c>
      <c r="AG1782">
        <f>IFERROR(AH1782*0.1, "N/A")</f>
        <v>6.2</v>
      </c>
      <c r="AH1782">
        <v>62</v>
      </c>
      <c r="AI1782">
        <v>60.147004260418697</v>
      </c>
      <c r="AJ1782">
        <v>32</v>
      </c>
      <c r="AK1782">
        <v>50</v>
      </c>
    </row>
    <row r="1783" spans="1:37" x14ac:dyDescent="0.3">
      <c r="A1783">
        <v>1782</v>
      </c>
      <c r="B1783">
        <v>82.5</v>
      </c>
      <c r="C1783">
        <v>37.182301000000002</v>
      </c>
      <c r="D1783">
        <v>-6.7582599999999999</v>
      </c>
      <c r="E1783" t="s">
        <v>3128</v>
      </c>
      <c r="F1783" t="s">
        <v>3129</v>
      </c>
      <c r="G1783" t="s">
        <v>39</v>
      </c>
      <c r="H1783">
        <v>1991</v>
      </c>
      <c r="I1783">
        <v>25</v>
      </c>
      <c r="J1783">
        <v>11.199999809265099</v>
      </c>
      <c r="K1783">
        <v>67</v>
      </c>
      <c r="L1783">
        <v>17.030000686645501</v>
      </c>
      <c r="M1783">
        <v>32.799999237060497</v>
      </c>
      <c r="N1783">
        <v>16.299999237060501</v>
      </c>
      <c r="O1783">
        <v>16.5</v>
      </c>
      <c r="P1783">
        <v>26.100000381469702</v>
      </c>
      <c r="Q1783">
        <v>22.5</v>
      </c>
      <c r="R1783">
        <v>26.799999237060501</v>
      </c>
      <c r="S1783">
        <v>22.5</v>
      </c>
      <c r="T1783">
        <v>913.59685863874302</v>
      </c>
      <c r="U1783">
        <v>186.640488656195</v>
      </c>
      <c r="V1783">
        <v>6</v>
      </c>
      <c r="W1783">
        <v>81.319371727748702</v>
      </c>
      <c r="X1783">
        <v>481.27923211169298</v>
      </c>
      <c r="Y1783">
        <v>24</v>
      </c>
      <c r="Z1783">
        <v>321.56369982548</v>
      </c>
      <c r="AA1783">
        <v>24</v>
      </c>
      <c r="AB1783">
        <v>1.5593458245562</v>
      </c>
      <c r="AC1783">
        <v>2.1750053004027999E-2</v>
      </c>
      <c r="AD1783">
        <v>1.9396771822924399</v>
      </c>
      <c r="AE1783">
        <v>0.21699608862400099</v>
      </c>
      <c r="AF1783">
        <v>425.115183246073</v>
      </c>
      <c r="AG1783">
        <f>IFERROR(AH1783*0.1, "N/A")</f>
        <v>6.1998254799301904</v>
      </c>
      <c r="AH1783">
        <v>61.998254799301897</v>
      </c>
      <c r="AI1783">
        <v>41.569057604405302</v>
      </c>
      <c r="AJ1783">
        <v>29.909249563699799</v>
      </c>
      <c r="AK1783">
        <v>54.034904013961601</v>
      </c>
    </row>
    <row r="1784" spans="1:37" x14ac:dyDescent="0.3">
      <c r="A1784">
        <v>1783</v>
      </c>
      <c r="B1784">
        <v>63.799999</v>
      </c>
      <c r="C1784">
        <v>37.121200999999999</v>
      </c>
      <c r="D1784">
        <v>-6.76363</v>
      </c>
      <c r="E1784" t="s">
        <v>3130</v>
      </c>
      <c r="F1784" t="s">
        <v>3131</v>
      </c>
      <c r="G1784" t="s">
        <v>39</v>
      </c>
      <c r="H1784">
        <v>1991</v>
      </c>
      <c r="I1784">
        <v>24.899999618530298</v>
      </c>
      <c r="J1784">
        <v>11.199999809265099</v>
      </c>
      <c r="K1784">
        <v>67</v>
      </c>
      <c r="L1784">
        <v>17.0200004577637</v>
      </c>
      <c r="M1784">
        <v>32.799999237060497</v>
      </c>
      <c r="N1784">
        <v>16.200000762939499</v>
      </c>
      <c r="O1784">
        <v>16.600000381469702</v>
      </c>
      <c r="P1784">
        <v>26</v>
      </c>
      <c r="Q1784">
        <v>22.5</v>
      </c>
      <c r="R1784">
        <v>26.700000762939499</v>
      </c>
      <c r="S1784">
        <v>22.5</v>
      </c>
      <c r="T1784">
        <v>949</v>
      </c>
      <c r="U1784">
        <v>190</v>
      </c>
      <c r="V1784">
        <v>6</v>
      </c>
      <c r="W1784">
        <v>80</v>
      </c>
      <c r="X1784">
        <v>494</v>
      </c>
      <c r="Y1784">
        <v>28</v>
      </c>
      <c r="Z1784">
        <v>366</v>
      </c>
      <c r="AA1784">
        <v>28</v>
      </c>
      <c r="AB1784">
        <v>0.37040216000653298</v>
      </c>
      <c r="AC1784">
        <v>0.73692328800554396</v>
      </c>
      <c r="AD1784">
        <v>0.86605571007894699</v>
      </c>
      <c r="AE1784">
        <v>0.338058412075043</v>
      </c>
      <c r="AF1784">
        <v>436.86236933797898</v>
      </c>
      <c r="AG1784">
        <f>IFERROR(AH1784*0.1, "N/A")</f>
        <v>6.3719512195122006</v>
      </c>
      <c r="AH1784">
        <v>63.719512195122</v>
      </c>
      <c r="AI1784">
        <v>69.611211092214504</v>
      </c>
      <c r="AJ1784">
        <v>33.280487804878</v>
      </c>
      <c r="AK1784">
        <v>51.1742160278746</v>
      </c>
    </row>
    <row r="1785" spans="1:37" x14ac:dyDescent="0.3">
      <c r="A1785">
        <v>1784</v>
      </c>
      <c r="B1785">
        <v>21.299999</v>
      </c>
      <c r="C1785">
        <v>37.089100000000002</v>
      </c>
      <c r="D1785">
        <v>-6.7751400000000004</v>
      </c>
      <c r="E1785" t="s">
        <v>3132</v>
      </c>
      <c r="F1785" t="s">
        <v>3133</v>
      </c>
      <c r="G1785" t="s">
        <v>39</v>
      </c>
      <c r="H1785">
        <v>1991</v>
      </c>
      <c r="I1785">
        <v>24.799999237060501</v>
      </c>
      <c r="J1785">
        <v>11.199999809265099</v>
      </c>
      <c r="K1785">
        <v>67</v>
      </c>
      <c r="L1785">
        <v>16.914270877838099</v>
      </c>
      <c r="M1785">
        <v>32.599998474121101</v>
      </c>
      <c r="N1785">
        <v>16.100000381469702</v>
      </c>
      <c r="O1785">
        <v>16.5</v>
      </c>
      <c r="P1785">
        <v>25.947395632664399</v>
      </c>
      <c r="Q1785">
        <v>22.399999618530298</v>
      </c>
      <c r="R1785">
        <v>26.600000381469702</v>
      </c>
      <c r="S1785">
        <v>22.399999618530298</v>
      </c>
      <c r="T1785">
        <v>972.94791666666697</v>
      </c>
      <c r="U1785">
        <v>189.473958333333</v>
      </c>
      <c r="V1785">
        <v>6</v>
      </c>
      <c r="W1785">
        <v>77.4739583333333</v>
      </c>
      <c r="X1785">
        <v>496.94791666666703</v>
      </c>
      <c r="Y1785">
        <v>31.4739583333333</v>
      </c>
      <c r="Z1785">
        <v>347.27604166666703</v>
      </c>
      <c r="AA1785">
        <v>31.4739583333333</v>
      </c>
      <c r="AB1785">
        <v>1.03073279062907</v>
      </c>
      <c r="AC1785">
        <v>0.60120942602710203</v>
      </c>
      <c r="AD1785">
        <v>1.0624671592894499</v>
      </c>
      <c r="AE1785">
        <v>0.220940979896113</v>
      </c>
      <c r="AF1785">
        <v>450.387152777778</v>
      </c>
      <c r="AG1785">
        <f>IFERROR(AH1785*0.1, "N/A")</f>
        <v>6.44166666666667</v>
      </c>
      <c r="AH1785">
        <v>64.4166666666667</v>
      </c>
      <c r="AI1785">
        <v>87.409680803616794</v>
      </c>
      <c r="AJ1785">
        <v>34.9166666666667</v>
      </c>
      <c r="AK1785">
        <v>46.0833333333333</v>
      </c>
    </row>
    <row r="1786" spans="1:37" x14ac:dyDescent="0.3">
      <c r="A1786">
        <v>1785</v>
      </c>
      <c r="B1786">
        <v>81.300003000000004</v>
      </c>
      <c r="C1786">
        <v>37.140301000000001</v>
      </c>
      <c r="D1786">
        <v>-6.7830700000000004</v>
      </c>
      <c r="E1786" t="s">
        <v>3134</v>
      </c>
      <c r="F1786" t="s">
        <v>3135</v>
      </c>
      <c r="G1786" t="s">
        <v>39</v>
      </c>
      <c r="H1786">
        <v>1991</v>
      </c>
      <c r="I1786">
        <v>25</v>
      </c>
      <c r="J1786">
        <v>11.1000003814697</v>
      </c>
      <c r="K1786">
        <v>67</v>
      </c>
      <c r="L1786">
        <v>17.012146874872201</v>
      </c>
      <c r="M1786">
        <v>32.700000762939503</v>
      </c>
      <c r="N1786">
        <v>16.299999237060501</v>
      </c>
      <c r="O1786">
        <v>16.399999618530298</v>
      </c>
      <c r="P1786">
        <v>26.060733215971101</v>
      </c>
      <c r="Q1786">
        <v>22.5</v>
      </c>
      <c r="R1786">
        <v>26.7392671794791</v>
      </c>
      <c r="S1786">
        <v>22.5</v>
      </c>
      <c r="T1786">
        <v>935.21465968586404</v>
      </c>
      <c r="U1786">
        <v>186.60732984293199</v>
      </c>
      <c r="V1786">
        <v>6</v>
      </c>
      <c r="W1786">
        <v>80</v>
      </c>
      <c r="X1786">
        <v>487.21465968586398</v>
      </c>
      <c r="Y1786">
        <v>26</v>
      </c>
      <c r="Z1786">
        <v>313</v>
      </c>
      <c r="AA1786">
        <v>26</v>
      </c>
      <c r="AB1786">
        <v>2.5778419800869901</v>
      </c>
      <c r="AC1786">
        <v>1.2607900305516E-2</v>
      </c>
      <c r="AD1786">
        <v>0.77946318121688796</v>
      </c>
      <c r="AE1786">
        <v>0.42887201905250499</v>
      </c>
      <c r="AF1786">
        <v>438.8184991274</v>
      </c>
      <c r="AG1786">
        <f>IFERROR(AH1786*0.1, "N/A")</f>
        <v>6.7176265270506095</v>
      </c>
      <c r="AH1786">
        <v>67.176265270506093</v>
      </c>
      <c r="AI1786">
        <v>51.7681103984307</v>
      </c>
      <c r="AJ1786">
        <v>33.525305410122201</v>
      </c>
      <c r="AK1786">
        <v>51.474694589877799</v>
      </c>
    </row>
    <row r="1787" spans="1:37" x14ac:dyDescent="0.3">
      <c r="A1787">
        <v>1786</v>
      </c>
      <c r="B1787">
        <v>86.300003000000004</v>
      </c>
      <c r="C1787">
        <v>37.067799000000001</v>
      </c>
      <c r="D1787">
        <v>-6.80105</v>
      </c>
      <c r="E1787" t="s">
        <v>3136</v>
      </c>
      <c r="F1787" t="s">
        <v>3137</v>
      </c>
      <c r="G1787" t="s">
        <v>39</v>
      </c>
      <c r="H1787">
        <v>1991</v>
      </c>
      <c r="I1787">
        <v>24.799999237060501</v>
      </c>
      <c r="J1787">
        <v>11.1000003814697</v>
      </c>
      <c r="K1787">
        <v>67</v>
      </c>
      <c r="L1787">
        <v>17.287283143100002</v>
      </c>
      <c r="M1787">
        <v>32.599998474121101</v>
      </c>
      <c r="N1787">
        <v>16.100000381469702</v>
      </c>
      <c r="O1787">
        <v>16.5</v>
      </c>
      <c r="P1787">
        <v>25.899999618530298</v>
      </c>
      <c r="Q1787">
        <v>22.299999237060501</v>
      </c>
      <c r="R1787">
        <v>26.600000381469702</v>
      </c>
      <c r="S1787">
        <v>22.299999237060501</v>
      </c>
      <c r="T1787">
        <v>975.06271777003496</v>
      </c>
      <c r="U1787">
        <v>187.010452961672</v>
      </c>
      <c r="V1787">
        <v>7</v>
      </c>
      <c r="W1787">
        <v>77</v>
      </c>
      <c r="X1787">
        <v>493.02090592334503</v>
      </c>
      <c r="Y1787">
        <v>32.010452961672499</v>
      </c>
      <c r="Z1787">
        <v>331.010452961672</v>
      </c>
      <c r="AA1787">
        <v>32.010452961672499</v>
      </c>
      <c r="AB1787">
        <v>2.4836215773525998</v>
      </c>
      <c r="AC1787">
        <v>8.1679497199711001E-2</v>
      </c>
      <c r="AD1787">
        <v>1.4586041096195499</v>
      </c>
      <c r="AE1787">
        <v>0.46365126967430098</v>
      </c>
      <c r="AF1787">
        <v>458.675958188153</v>
      </c>
      <c r="AG1787">
        <f>IFERROR(AH1787*0.1, "N/A")</f>
        <v>6.5</v>
      </c>
      <c r="AH1787">
        <v>65</v>
      </c>
      <c r="AI1787">
        <v>98.733121420032901</v>
      </c>
      <c r="AJ1787">
        <v>34</v>
      </c>
      <c r="AK1787">
        <v>43.222996515679398</v>
      </c>
    </row>
    <row r="1788" spans="1:37" x14ac:dyDescent="0.3">
      <c r="A1788">
        <v>1787</v>
      </c>
      <c r="B1788">
        <v>50</v>
      </c>
      <c r="C1788">
        <v>36.984797999999998</v>
      </c>
      <c r="D1788">
        <v>-6.8245699999999996</v>
      </c>
      <c r="E1788" t="s">
        <v>3138</v>
      </c>
      <c r="F1788" t="s">
        <v>3139</v>
      </c>
      <c r="G1788" t="s">
        <v>39</v>
      </c>
      <c r="H1788">
        <v>1991</v>
      </c>
      <c r="I1788">
        <v>24.5</v>
      </c>
      <c r="J1788">
        <v>11.1000003814697</v>
      </c>
      <c r="K1788">
        <v>66</v>
      </c>
      <c r="L1788">
        <v>17.379999160766602</v>
      </c>
      <c r="M1788">
        <v>32.299999237060497</v>
      </c>
      <c r="N1788">
        <v>15.699999809265099</v>
      </c>
      <c r="O1788">
        <v>16.600000381469702</v>
      </c>
      <c r="P1788">
        <v>25.600000381469702</v>
      </c>
      <c r="Q1788">
        <v>21.899999618530298</v>
      </c>
      <c r="R1788">
        <v>26.299999237060501</v>
      </c>
      <c r="S1788">
        <v>21.899999618530298</v>
      </c>
      <c r="T1788">
        <v>989</v>
      </c>
      <c r="U1788">
        <v>186</v>
      </c>
      <c r="V1788">
        <v>7</v>
      </c>
      <c r="W1788">
        <v>76</v>
      </c>
      <c r="X1788">
        <v>490</v>
      </c>
      <c r="Y1788">
        <v>35</v>
      </c>
      <c r="Z1788">
        <v>344</v>
      </c>
      <c r="AA1788">
        <v>35</v>
      </c>
      <c r="AB1788">
        <v>22.1280598391224</v>
      </c>
      <c r="AC1788">
        <v>0.15289803517605899</v>
      </c>
      <c r="AD1788">
        <v>4.2345796973032401</v>
      </c>
      <c r="AE1788">
        <v>0.50000369548797596</v>
      </c>
      <c r="AF1788">
        <v>512.25783972125396</v>
      </c>
      <c r="AG1788">
        <f>IFERROR(AH1788*0.1, "N/A")</f>
        <v>6.1000000000000005</v>
      </c>
      <c r="AH1788">
        <v>61</v>
      </c>
      <c r="AI1788">
        <v>136.27448792407699</v>
      </c>
      <c r="AJ1788">
        <v>35.895470383275303</v>
      </c>
      <c r="AK1788">
        <v>48.104529616724697</v>
      </c>
    </row>
    <row r="1789" spans="1:37" x14ac:dyDescent="0.3">
      <c r="A1789">
        <v>1788</v>
      </c>
      <c r="B1789">
        <v>45</v>
      </c>
      <c r="C1789">
        <v>36.996299999999998</v>
      </c>
      <c r="D1789">
        <v>-6.8339499999999997</v>
      </c>
      <c r="E1789" t="s">
        <v>3140</v>
      </c>
      <c r="F1789" t="s">
        <v>3141</v>
      </c>
      <c r="G1789" t="s">
        <v>39</v>
      </c>
      <c r="H1789">
        <v>1991</v>
      </c>
      <c r="I1789">
        <v>24.600000381469702</v>
      </c>
      <c r="J1789">
        <v>11.0160279357059</v>
      </c>
      <c r="K1789">
        <v>66.160278745644604</v>
      </c>
      <c r="L1789">
        <v>17.102822440011199</v>
      </c>
      <c r="M1789">
        <v>32.400001525878899</v>
      </c>
      <c r="N1789">
        <v>15.8999996185303</v>
      </c>
      <c r="O1789">
        <v>16.5</v>
      </c>
      <c r="P1789">
        <v>25.700000762939499</v>
      </c>
      <c r="Q1789">
        <v>22.100000381469702</v>
      </c>
      <c r="R1789">
        <v>26.399999618530298</v>
      </c>
      <c r="S1789">
        <v>22.100000381469702</v>
      </c>
      <c r="T1789">
        <v>978.44250871080101</v>
      </c>
      <c r="U1789">
        <v>182.48083623693401</v>
      </c>
      <c r="V1789">
        <v>7</v>
      </c>
      <c r="W1789">
        <v>76</v>
      </c>
      <c r="X1789">
        <v>484.80139372822299</v>
      </c>
      <c r="Y1789">
        <v>34.160278745644597</v>
      </c>
      <c r="Z1789">
        <v>342.16027874564497</v>
      </c>
      <c r="AA1789">
        <v>34.160278745644597</v>
      </c>
      <c r="AB1789">
        <v>0.20330837130131199</v>
      </c>
      <c r="AC1789">
        <v>1.83075136565587</v>
      </c>
      <c r="AD1789">
        <v>1.37978127359929</v>
      </c>
      <c r="AE1789">
        <v>0.53512316942214999</v>
      </c>
      <c r="AF1789">
        <v>485.45993031358898</v>
      </c>
      <c r="AG1789">
        <f>IFERROR(AH1789*0.1, "N/A")</f>
        <v>6.5667247386759602</v>
      </c>
      <c r="AH1789">
        <v>65.667247386759598</v>
      </c>
      <c r="AI1789">
        <v>194.111974523458</v>
      </c>
      <c r="AJ1789">
        <v>30.3031358885017</v>
      </c>
      <c r="AK1789">
        <v>53.139372822299698</v>
      </c>
    </row>
    <row r="1790" spans="1:37" x14ac:dyDescent="0.3">
      <c r="A1790">
        <v>1789</v>
      </c>
      <c r="B1790">
        <v>76.300003000000004</v>
      </c>
      <c r="C1790">
        <v>37.115397999999999</v>
      </c>
      <c r="D1790">
        <v>-6.8416699999999997</v>
      </c>
      <c r="E1790" t="s">
        <v>3142</v>
      </c>
      <c r="F1790" t="s">
        <v>3143</v>
      </c>
      <c r="G1790" t="s">
        <v>39</v>
      </c>
      <c r="H1790">
        <v>1991</v>
      </c>
      <c r="I1790">
        <v>24.842931338005702</v>
      </c>
      <c r="J1790">
        <v>10.9429317194754</v>
      </c>
      <c r="K1790">
        <v>66.4293193717278</v>
      </c>
      <c r="L1790">
        <v>17.289895112601901</v>
      </c>
      <c r="M1790">
        <v>32.599998474121101</v>
      </c>
      <c r="N1790">
        <v>16.200000762939499</v>
      </c>
      <c r="O1790">
        <v>16.399999618530298</v>
      </c>
      <c r="P1790">
        <v>26</v>
      </c>
      <c r="Q1790">
        <v>22.342931338005702</v>
      </c>
      <c r="R1790">
        <v>26.700000762939499</v>
      </c>
      <c r="S1790">
        <v>22.342931338005702</v>
      </c>
      <c r="T1790">
        <v>940.28795811518296</v>
      </c>
      <c r="U1790">
        <v>181.42931937172801</v>
      </c>
      <c r="V1790">
        <v>7</v>
      </c>
      <c r="W1790">
        <v>78</v>
      </c>
      <c r="X1790">
        <v>479.85863874345603</v>
      </c>
      <c r="Y1790">
        <v>28.4293193717278</v>
      </c>
      <c r="Z1790">
        <v>322</v>
      </c>
      <c r="AA1790">
        <v>28.4293193717278</v>
      </c>
      <c r="AB1790">
        <v>1.7956250575200401</v>
      </c>
      <c r="AC1790">
        <v>4.4662984864978002E-2</v>
      </c>
      <c r="AD1790">
        <v>0.89754261105056399</v>
      </c>
      <c r="AE1790">
        <v>0.45453956723213201</v>
      </c>
      <c r="AF1790">
        <v>447.27225130890002</v>
      </c>
      <c r="AG1790">
        <f>IFERROR(AH1790*0.1, "N/A")</f>
        <v>6.2</v>
      </c>
      <c r="AH1790">
        <v>62</v>
      </c>
      <c r="AI1790">
        <v>118.845442753604</v>
      </c>
      <c r="AJ1790">
        <v>29.106457242582898</v>
      </c>
      <c r="AK1790">
        <v>52.895287958115198</v>
      </c>
    </row>
    <row r="1791" spans="1:37" x14ac:dyDescent="0.3">
      <c r="A1791">
        <v>1790</v>
      </c>
      <c r="B1791">
        <v>57.099997999999999</v>
      </c>
      <c r="C1791">
        <v>36.832802000000001</v>
      </c>
      <c r="D1791">
        <v>-6.8433999999999999</v>
      </c>
      <c r="E1791" t="s">
        <v>3144</v>
      </c>
      <c r="F1791" t="s">
        <v>3145</v>
      </c>
      <c r="G1791" t="s">
        <v>39</v>
      </c>
      <c r="H1791">
        <v>1991</v>
      </c>
      <c r="I1791">
        <v>23.5</v>
      </c>
      <c r="J1791">
        <v>11.3999996185303</v>
      </c>
      <c r="K1791">
        <v>68</v>
      </c>
      <c r="L1791">
        <v>16.059999465942401</v>
      </c>
      <c r="M1791">
        <v>31.299999237060501</v>
      </c>
      <c r="N1791">
        <v>14.699999809265099</v>
      </c>
      <c r="O1791">
        <v>16.600000381469702</v>
      </c>
      <c r="P1791">
        <v>24.5</v>
      </c>
      <c r="Q1791">
        <v>21.200000762939499</v>
      </c>
      <c r="R1791">
        <v>25.200000762939499</v>
      </c>
      <c r="S1791">
        <v>21.200000762939499</v>
      </c>
      <c r="T1791">
        <v>832</v>
      </c>
      <c r="U1791">
        <v>161</v>
      </c>
      <c r="V1791">
        <v>5</v>
      </c>
      <c r="W1791">
        <v>80</v>
      </c>
      <c r="X1791">
        <v>421</v>
      </c>
      <c r="Y1791">
        <v>25</v>
      </c>
      <c r="Z1791">
        <v>305</v>
      </c>
      <c r="AA1791">
        <v>25</v>
      </c>
      <c r="AB1791">
        <v>14.8629341457201</v>
      </c>
      <c r="AC1791">
        <v>6.7300174540800006E-2</v>
      </c>
      <c r="AD1791">
        <v>1.78818795183431</v>
      </c>
      <c r="AE1791">
        <v>0.159279629588127</v>
      </c>
      <c r="AF1791">
        <v>674.62956521739102</v>
      </c>
      <c r="AG1791">
        <f>IFERROR(AH1791*0.1, "N/A")</f>
        <v>5.9</v>
      </c>
      <c r="AH1791">
        <v>59</v>
      </c>
      <c r="AI1791">
        <v>155.36387728152101</v>
      </c>
      <c r="AJ1791">
        <v>33</v>
      </c>
      <c r="AK1791">
        <v>51</v>
      </c>
    </row>
    <row r="1792" spans="1:37" x14ac:dyDescent="0.3">
      <c r="A1792">
        <v>1791</v>
      </c>
      <c r="B1792">
        <v>48.799999</v>
      </c>
      <c r="C1792">
        <v>36.977001000000001</v>
      </c>
      <c r="D1792">
        <v>-6.8435800000000002</v>
      </c>
      <c r="E1792" t="s">
        <v>3146</v>
      </c>
      <c r="F1792" t="s">
        <v>3147</v>
      </c>
      <c r="G1792" t="s">
        <v>39</v>
      </c>
      <c r="H1792">
        <v>1991</v>
      </c>
      <c r="I1792">
        <v>24.600000381469702</v>
      </c>
      <c r="J1792">
        <v>11</v>
      </c>
      <c r="K1792">
        <v>66</v>
      </c>
      <c r="L1792">
        <v>16.899999618530298</v>
      </c>
      <c r="M1792">
        <v>32.400001525878899</v>
      </c>
      <c r="N1792">
        <v>15.8999996185303</v>
      </c>
      <c r="O1792">
        <v>16.5</v>
      </c>
      <c r="P1792">
        <v>25.600000381469702</v>
      </c>
      <c r="Q1792">
        <v>22.100000381469702</v>
      </c>
      <c r="R1792">
        <v>26.399999618530298</v>
      </c>
      <c r="S1792">
        <v>22.100000381469702</v>
      </c>
      <c r="T1792">
        <v>965</v>
      </c>
      <c r="U1792">
        <v>181</v>
      </c>
      <c r="V1792">
        <v>7</v>
      </c>
      <c r="W1792">
        <v>76</v>
      </c>
      <c r="X1792">
        <v>478</v>
      </c>
      <c r="Y1792">
        <v>34</v>
      </c>
      <c r="Z1792">
        <v>340</v>
      </c>
      <c r="AA1792">
        <v>34</v>
      </c>
      <c r="AB1792">
        <v>7.8408473149644102</v>
      </c>
      <c r="AC1792">
        <v>1.5346850291298E-2</v>
      </c>
      <c r="AD1792">
        <v>2.1707199978370699</v>
      </c>
      <c r="AE1792">
        <v>0.47656786441803001</v>
      </c>
      <c r="AF1792">
        <v>494.89005235602099</v>
      </c>
      <c r="AG1792">
        <f>IFERROR(AH1792*0.1, "N/A")</f>
        <v>6.1621291448516606</v>
      </c>
      <c r="AH1792">
        <v>61.621291448516601</v>
      </c>
      <c r="AI1792">
        <v>229.89382612351599</v>
      </c>
      <c r="AJ1792">
        <v>32.022687609075</v>
      </c>
      <c r="AK1792">
        <v>49.2146596858639</v>
      </c>
    </row>
    <row r="1793" spans="1:37" x14ac:dyDescent="0.3">
      <c r="A1793">
        <v>1792</v>
      </c>
      <c r="B1793">
        <v>68.800003000000004</v>
      </c>
      <c r="C1793">
        <v>37.042301000000002</v>
      </c>
      <c r="D1793">
        <v>-6.8520099999999999</v>
      </c>
      <c r="E1793" t="s">
        <v>3148</v>
      </c>
      <c r="F1793" t="s">
        <v>3149</v>
      </c>
      <c r="G1793" t="s">
        <v>39</v>
      </c>
      <c r="H1793">
        <v>1991</v>
      </c>
      <c r="I1793">
        <v>24.6743909091484</v>
      </c>
      <c r="J1793">
        <v>10.8999996185303</v>
      </c>
      <c r="K1793">
        <v>66</v>
      </c>
      <c r="L1793">
        <v>17.357316738221702</v>
      </c>
      <c r="M1793">
        <v>32.400001525878899</v>
      </c>
      <c r="N1793">
        <v>16</v>
      </c>
      <c r="O1793">
        <v>16.399999618530298</v>
      </c>
      <c r="P1793">
        <v>25.774389871736901</v>
      </c>
      <c r="Q1793">
        <v>22.200000762939499</v>
      </c>
      <c r="R1793">
        <v>26.474390146209</v>
      </c>
      <c r="S1793">
        <v>22.200000762939499</v>
      </c>
      <c r="T1793">
        <v>960.25609756097595</v>
      </c>
      <c r="U1793">
        <v>179</v>
      </c>
      <c r="V1793">
        <v>7</v>
      </c>
      <c r="W1793">
        <v>76</v>
      </c>
      <c r="X1793">
        <v>479.743902439024</v>
      </c>
      <c r="Y1793">
        <v>31</v>
      </c>
      <c r="Z1793">
        <v>362.292682926829</v>
      </c>
      <c r="AA1793">
        <v>31</v>
      </c>
      <c r="AB1793">
        <v>5.0782318115234402</v>
      </c>
      <c r="AC1793">
        <v>2.4414131232904E-2</v>
      </c>
      <c r="AD1793">
        <v>0.54136226837643298</v>
      </c>
      <c r="AE1793">
        <v>0.36183533072471602</v>
      </c>
      <c r="AF1793">
        <v>472.06968641114997</v>
      </c>
      <c r="AG1793">
        <f>IFERROR(AH1793*0.1, "N/A")</f>
        <v>6.3256097560975597</v>
      </c>
      <c r="AH1793">
        <v>63.256097560975597</v>
      </c>
      <c r="AI1793">
        <v>136.91260528564499</v>
      </c>
      <c r="AJ1793">
        <v>35</v>
      </c>
      <c r="AK1793">
        <v>46.256097560975597</v>
      </c>
    </row>
    <row r="1794" spans="1:37" x14ac:dyDescent="0.3">
      <c r="A1794">
        <v>1793</v>
      </c>
      <c r="B1794">
        <v>83.800003000000004</v>
      </c>
      <c r="C1794">
        <v>37.119598000000003</v>
      </c>
      <c r="D1794">
        <v>-6.87357</v>
      </c>
      <c r="E1794" t="s">
        <v>3150</v>
      </c>
      <c r="F1794" t="s">
        <v>3151</v>
      </c>
      <c r="G1794" t="s">
        <v>39</v>
      </c>
      <c r="H1794">
        <v>1991</v>
      </c>
      <c r="I1794">
        <v>24.899999618530298</v>
      </c>
      <c r="J1794">
        <v>10.800000190734901</v>
      </c>
      <c r="K1794">
        <v>66</v>
      </c>
      <c r="L1794">
        <v>17.2299995422363</v>
      </c>
      <c r="M1794">
        <v>32.599998474121101</v>
      </c>
      <c r="N1794">
        <v>16.299999237060501</v>
      </c>
      <c r="O1794">
        <v>16.299999237060501</v>
      </c>
      <c r="P1794">
        <v>26</v>
      </c>
      <c r="Q1794">
        <v>22.399999618530298</v>
      </c>
      <c r="R1794">
        <v>26.700000762939499</v>
      </c>
      <c r="S1794">
        <v>22.399999618530298</v>
      </c>
      <c r="T1794">
        <v>933</v>
      </c>
      <c r="U1794">
        <v>180</v>
      </c>
      <c r="V1794">
        <v>7</v>
      </c>
      <c r="W1794">
        <v>79</v>
      </c>
      <c r="X1794">
        <v>476</v>
      </c>
      <c r="Y1794">
        <v>27</v>
      </c>
      <c r="Z1794">
        <v>365</v>
      </c>
      <c r="AA1794">
        <v>27</v>
      </c>
      <c r="AB1794">
        <v>0.53956088288735804</v>
      </c>
      <c r="AC1794">
        <v>0.32948501698043198</v>
      </c>
      <c r="AD1794">
        <v>1.37960856810264</v>
      </c>
      <c r="AE1794">
        <v>0.27421378523422901</v>
      </c>
      <c r="AF1794">
        <v>443.01219512195098</v>
      </c>
      <c r="AG1794">
        <f>IFERROR(AH1794*0.1, "N/A")</f>
        <v>6.4209059233449501</v>
      </c>
      <c r="AH1794">
        <v>64.209059233449494</v>
      </c>
      <c r="AI1794">
        <v>225.783688395696</v>
      </c>
      <c r="AJ1794">
        <v>28.418118466898999</v>
      </c>
      <c r="AK1794">
        <v>53.790940766550499</v>
      </c>
    </row>
    <row r="1795" spans="1:37" x14ac:dyDescent="0.3">
      <c r="A1795">
        <v>1794</v>
      </c>
      <c r="B1795">
        <v>45</v>
      </c>
      <c r="C1795">
        <v>37.074902000000002</v>
      </c>
      <c r="D1795">
        <v>-6.8875200000000003</v>
      </c>
      <c r="E1795" t="s">
        <v>3152</v>
      </c>
      <c r="F1795" t="s">
        <v>3153</v>
      </c>
      <c r="G1795" t="s">
        <v>39</v>
      </c>
      <c r="H1795">
        <v>1991</v>
      </c>
      <c r="I1795">
        <v>24.899999618530298</v>
      </c>
      <c r="J1795">
        <v>10.800000190734901</v>
      </c>
      <c r="K1795">
        <v>67</v>
      </c>
      <c r="L1795">
        <v>16.840000152587901</v>
      </c>
      <c r="M1795">
        <v>32.400001525878899</v>
      </c>
      <c r="N1795">
        <v>16.299999237060501</v>
      </c>
      <c r="O1795">
        <v>16.100000381469702</v>
      </c>
      <c r="P1795">
        <v>25.899999618530298</v>
      </c>
      <c r="Q1795">
        <v>22.399999618530298</v>
      </c>
      <c r="R1795">
        <v>26.600000381469702</v>
      </c>
      <c r="S1795">
        <v>22.399999618530298</v>
      </c>
      <c r="T1795">
        <v>936.79616724738696</v>
      </c>
      <c r="U1795">
        <v>173.20383275261301</v>
      </c>
      <c r="V1795">
        <v>7</v>
      </c>
      <c r="W1795">
        <v>76.203832752613195</v>
      </c>
      <c r="X1795">
        <v>470.20383275261298</v>
      </c>
      <c r="Y1795">
        <v>29</v>
      </c>
      <c r="Z1795">
        <v>329.59233449477398</v>
      </c>
      <c r="AA1795">
        <v>29</v>
      </c>
      <c r="AB1795">
        <v>2.9076583809138201</v>
      </c>
      <c r="AC1795">
        <v>9.6111685712580008E-3</v>
      </c>
      <c r="AD1795">
        <v>0.73711861779050103</v>
      </c>
      <c r="AE1795">
        <v>0.43468755483627303</v>
      </c>
      <c r="AF1795">
        <v>452.45993031358898</v>
      </c>
      <c r="AG1795">
        <f>IFERROR(AH1795*0.1, "N/A")</f>
        <v>6.4782229965156803</v>
      </c>
      <c r="AH1795">
        <v>64.782229965156802</v>
      </c>
      <c r="AI1795">
        <v>184.66444739896701</v>
      </c>
      <c r="AJ1795">
        <v>32</v>
      </c>
      <c r="AK1795">
        <v>52.006968641115002</v>
      </c>
    </row>
    <row r="1796" spans="1:37" x14ac:dyDescent="0.3">
      <c r="A1796">
        <v>1795</v>
      </c>
      <c r="B1796">
        <v>92.5</v>
      </c>
      <c r="C1796">
        <v>36.909999999999997</v>
      </c>
      <c r="D1796">
        <v>-6.8966599999999998</v>
      </c>
      <c r="E1796" t="s">
        <v>3154</v>
      </c>
      <c r="F1796" t="s">
        <v>3155</v>
      </c>
      <c r="G1796" t="s">
        <v>39</v>
      </c>
      <c r="H1796">
        <v>1991</v>
      </c>
      <c r="I1796">
        <v>24.299999237060501</v>
      </c>
      <c r="J1796">
        <v>10.8999996185303</v>
      </c>
      <c r="K1796">
        <v>66</v>
      </c>
      <c r="L1796">
        <v>16.889999389648398</v>
      </c>
      <c r="M1796">
        <v>31.899999618530298</v>
      </c>
      <c r="N1796">
        <v>15.6000003814697</v>
      </c>
      <c r="O1796">
        <v>16.299999237060501</v>
      </c>
      <c r="P1796">
        <v>25.299999237060501</v>
      </c>
      <c r="Q1796">
        <v>21.799999237060501</v>
      </c>
      <c r="R1796">
        <v>26.100000381469702</v>
      </c>
      <c r="S1796">
        <v>21.799999237060501</v>
      </c>
      <c r="T1796">
        <v>922</v>
      </c>
      <c r="U1796">
        <v>175</v>
      </c>
      <c r="V1796">
        <v>7</v>
      </c>
      <c r="W1796">
        <v>77</v>
      </c>
      <c r="X1796">
        <v>457</v>
      </c>
      <c r="Y1796">
        <v>32</v>
      </c>
      <c r="Z1796">
        <v>332</v>
      </c>
      <c r="AA1796">
        <v>32</v>
      </c>
      <c r="AB1796">
        <v>9.5207037618885906</v>
      </c>
      <c r="AC1796">
        <v>0.40138374315493802</v>
      </c>
      <c r="AD1796">
        <v>4.3629159151989496</v>
      </c>
      <c r="AE1796">
        <v>0.204956146038097</v>
      </c>
      <c r="AF1796">
        <v>553.11478260869603</v>
      </c>
      <c r="AG1796">
        <f>IFERROR(AH1796*0.1, "N/A")</f>
        <v>5.9796521739130402</v>
      </c>
      <c r="AH1796">
        <v>59.796521739130398</v>
      </c>
      <c r="AI1796">
        <v>219.71692459438199</v>
      </c>
      <c r="AJ1796">
        <v>31.304347826087</v>
      </c>
      <c r="AK1796">
        <v>50.116521739130398</v>
      </c>
    </row>
    <row r="1797" spans="1:37" x14ac:dyDescent="0.3">
      <c r="A1797">
        <v>1796</v>
      </c>
      <c r="B1797">
        <v>63.799999</v>
      </c>
      <c r="C1797">
        <v>36.963698999999998</v>
      </c>
      <c r="D1797">
        <v>-6.9177099999999996</v>
      </c>
      <c r="E1797" t="s">
        <v>3156</v>
      </c>
      <c r="F1797" t="s">
        <v>3157</v>
      </c>
      <c r="G1797" t="s">
        <v>39</v>
      </c>
      <c r="H1797">
        <v>1991</v>
      </c>
      <c r="I1797">
        <v>24.600000381469702</v>
      </c>
      <c r="J1797">
        <v>10.705400526731299</v>
      </c>
      <c r="K1797">
        <v>66.054006968641104</v>
      </c>
      <c r="L1797">
        <v>16.695140127520901</v>
      </c>
      <c r="M1797">
        <v>32.200000762939503</v>
      </c>
      <c r="N1797">
        <v>16.100000381469702</v>
      </c>
      <c r="O1797">
        <v>16.100000381469702</v>
      </c>
      <c r="P1797">
        <v>25.700000762939499</v>
      </c>
      <c r="Q1797">
        <v>22.200000762939499</v>
      </c>
      <c r="R1797">
        <v>26.399999618530298</v>
      </c>
      <c r="S1797">
        <v>22.200000762939499</v>
      </c>
      <c r="T1797">
        <v>928.05400696864103</v>
      </c>
      <c r="U1797">
        <v>175</v>
      </c>
      <c r="V1797">
        <v>8</v>
      </c>
      <c r="W1797">
        <v>76</v>
      </c>
      <c r="X1797">
        <v>459</v>
      </c>
      <c r="Y1797">
        <v>32</v>
      </c>
      <c r="Z1797">
        <v>335</v>
      </c>
      <c r="AA1797">
        <v>32</v>
      </c>
      <c r="AB1797">
        <v>2.6803178953376801</v>
      </c>
      <c r="AC1797">
        <v>2.4706534051599002E-2</v>
      </c>
      <c r="AD1797">
        <v>0.58852282986823701</v>
      </c>
      <c r="AE1797">
        <v>0.303885464416979</v>
      </c>
      <c r="AF1797">
        <v>485.515679442509</v>
      </c>
      <c r="AG1797">
        <f>IFERROR(AH1797*0.1, "N/A")</f>
        <v>6.1308362369338001</v>
      </c>
      <c r="AH1797">
        <v>61.308362369337999</v>
      </c>
      <c r="AI1797">
        <v>84.229772654144597</v>
      </c>
      <c r="AJ1797">
        <v>32.308362369337999</v>
      </c>
      <c r="AK1797">
        <v>50.691637630662001</v>
      </c>
    </row>
    <row r="1798" spans="1:37" x14ac:dyDescent="0.3">
      <c r="A1798">
        <v>1797</v>
      </c>
      <c r="B1798">
        <v>85</v>
      </c>
      <c r="C1798">
        <v>36.900298999999997</v>
      </c>
      <c r="D1798">
        <v>-6.9469900000000004</v>
      </c>
      <c r="E1798" t="s">
        <v>3158</v>
      </c>
      <c r="F1798" t="s">
        <v>3159</v>
      </c>
      <c r="G1798" t="s">
        <v>39</v>
      </c>
      <c r="H1798">
        <v>1991</v>
      </c>
      <c r="I1798">
        <v>24.399999618530298</v>
      </c>
      <c r="J1798">
        <v>10.7689354998071</v>
      </c>
      <c r="K1798">
        <v>66.689354275741707</v>
      </c>
      <c r="L1798">
        <v>16.624852015710001</v>
      </c>
      <c r="M1798">
        <v>31.899999618530298</v>
      </c>
      <c r="N1798">
        <v>15.800000190734901</v>
      </c>
      <c r="O1798">
        <v>16.100000381469702</v>
      </c>
      <c r="P1798">
        <v>25.399999618530298</v>
      </c>
      <c r="Q1798">
        <v>22</v>
      </c>
      <c r="R1798">
        <v>26.131065072397501</v>
      </c>
      <c r="S1798">
        <v>22</v>
      </c>
      <c r="T1798">
        <v>924.31064572425805</v>
      </c>
      <c r="U1798">
        <v>176</v>
      </c>
      <c r="V1798">
        <v>7</v>
      </c>
      <c r="W1798">
        <v>77</v>
      </c>
      <c r="X1798">
        <v>460</v>
      </c>
      <c r="Y1798">
        <v>30.310645724258301</v>
      </c>
      <c r="Z1798">
        <v>336.31064572425799</v>
      </c>
      <c r="AA1798">
        <v>30.310645724258301</v>
      </c>
      <c r="AB1798">
        <v>2.7820338703574898</v>
      </c>
      <c r="AC1798">
        <v>8.7786045356037601</v>
      </c>
      <c r="AD1798">
        <v>1.9737963903220701</v>
      </c>
      <c r="AE1798">
        <v>0.280477902652081</v>
      </c>
      <c r="AF1798">
        <v>520.87783595113399</v>
      </c>
      <c r="AG1798">
        <f>IFERROR(AH1798*0.1, "N/A")</f>
        <v>6.1003490401396201</v>
      </c>
      <c r="AH1798">
        <v>61.003490401396199</v>
      </c>
      <c r="AI1798">
        <v>228.68130951193999</v>
      </c>
      <c r="AJ1798">
        <v>35.844677137870796</v>
      </c>
      <c r="AK1798">
        <v>46.5671902268761</v>
      </c>
    </row>
    <row r="1799" spans="1:37" x14ac:dyDescent="0.3">
      <c r="A1799">
        <v>1798</v>
      </c>
      <c r="B1799">
        <v>88.800003000000004</v>
      </c>
      <c r="C1799">
        <v>36.917099</v>
      </c>
      <c r="D1799">
        <v>-6.9713000000000003</v>
      </c>
      <c r="E1799" t="s">
        <v>3160</v>
      </c>
      <c r="F1799" t="s">
        <v>3161</v>
      </c>
      <c r="G1799" t="s">
        <v>39</v>
      </c>
      <c r="H1799">
        <v>1991</v>
      </c>
      <c r="I1799">
        <v>24.4001732303037</v>
      </c>
      <c r="J1799">
        <v>10.6000003814697</v>
      </c>
      <c r="K1799">
        <v>66</v>
      </c>
      <c r="L1799">
        <v>16.879999160766602</v>
      </c>
      <c r="M1799">
        <v>31.800172848833899</v>
      </c>
      <c r="N1799">
        <v>15.9001732303037</v>
      </c>
      <c r="O1799">
        <v>15.8999996185303</v>
      </c>
      <c r="P1799">
        <v>25.500173611773398</v>
      </c>
      <c r="Q1799">
        <v>21.9001732303037</v>
      </c>
      <c r="R1799">
        <v>26.1001739932431</v>
      </c>
      <c r="S1799">
        <v>21.9001732303037</v>
      </c>
      <c r="T1799">
        <v>930.99826388888903</v>
      </c>
      <c r="U1799">
        <v>177</v>
      </c>
      <c r="V1799">
        <v>7.0017361111111098</v>
      </c>
      <c r="W1799">
        <v>78</v>
      </c>
      <c r="X1799">
        <v>464.99826388888903</v>
      </c>
      <c r="Y1799">
        <v>30.0017361111111</v>
      </c>
      <c r="Z1799">
        <v>338</v>
      </c>
      <c r="AA1799">
        <v>30.0017361111111</v>
      </c>
      <c r="AB1799">
        <v>12.638216230604399</v>
      </c>
      <c r="AC1799">
        <v>1.0342216104618E-2</v>
      </c>
      <c r="AD1799">
        <v>4.6565915439277896</v>
      </c>
      <c r="AE1799">
        <v>0.28211575746536299</v>
      </c>
      <c r="AF1799">
        <v>518.70138888888903</v>
      </c>
      <c r="AG1799">
        <f>IFERROR(AH1799*0.1, "N/A")</f>
        <v>5.8911458333333302</v>
      </c>
      <c r="AH1799">
        <v>58.9114583333333</v>
      </c>
      <c r="AI1799">
        <v>306.36734949217902</v>
      </c>
      <c r="AJ1799">
        <v>30.1770833333333</v>
      </c>
      <c r="AK1799">
        <v>51</v>
      </c>
    </row>
    <row r="1800" spans="1:37" x14ac:dyDescent="0.3">
      <c r="A1800">
        <v>1799</v>
      </c>
      <c r="B1800">
        <v>66.300003000000004</v>
      </c>
      <c r="C1800">
        <v>36.891601999999999</v>
      </c>
      <c r="D1800">
        <v>-6.9885099999999998</v>
      </c>
      <c r="E1800" t="s">
        <v>3162</v>
      </c>
      <c r="F1800" t="s">
        <v>3163</v>
      </c>
      <c r="G1800" t="s">
        <v>39</v>
      </c>
      <c r="H1800">
        <v>1991</v>
      </c>
      <c r="I1800">
        <v>24.299999237060501</v>
      </c>
      <c r="J1800">
        <v>10.6000003814697</v>
      </c>
      <c r="K1800">
        <v>66.833043478260905</v>
      </c>
      <c r="L1800">
        <v>16.448331159508701</v>
      </c>
      <c r="M1800">
        <v>31.633391494750999</v>
      </c>
      <c r="N1800">
        <v>15.816695747375499</v>
      </c>
      <c r="O1800">
        <v>15.816695747375499</v>
      </c>
      <c r="P1800">
        <v>25.316694952923299</v>
      </c>
      <c r="Q1800">
        <v>21.833390668786102</v>
      </c>
      <c r="R1800">
        <v>26.016695715862799</v>
      </c>
      <c r="S1800">
        <v>21.833390668786102</v>
      </c>
      <c r="T1800">
        <v>935</v>
      </c>
      <c r="U1800">
        <v>178</v>
      </c>
      <c r="V1800">
        <v>7</v>
      </c>
      <c r="W1800">
        <v>78.833043478260905</v>
      </c>
      <c r="X1800">
        <v>467</v>
      </c>
      <c r="Y1800">
        <v>31</v>
      </c>
      <c r="Z1800">
        <v>340.833043478261</v>
      </c>
      <c r="AA1800">
        <v>31</v>
      </c>
      <c r="AB1800">
        <v>37.445203592051598</v>
      </c>
      <c r="AC1800">
        <v>1.1068197051468E-2</v>
      </c>
      <c r="AD1800">
        <v>3.4344838289592601</v>
      </c>
      <c r="AE1800">
        <v>0.21543065550534601</v>
      </c>
      <c r="AF1800">
        <v>559.73739130434797</v>
      </c>
      <c r="AG1800">
        <f>IFERROR(AH1800*0.1, "N/A")</f>
        <v>5.98573913043478</v>
      </c>
      <c r="AH1800">
        <v>59.8573913043478</v>
      </c>
      <c r="AI1800">
        <v>64.296346254763407</v>
      </c>
      <c r="AJ1800">
        <v>32.6782608695652</v>
      </c>
      <c r="AK1800">
        <v>51.333913043478297</v>
      </c>
    </row>
    <row r="1801" spans="1:37" x14ac:dyDescent="0.3">
      <c r="A1801">
        <v>1800</v>
      </c>
      <c r="B1801">
        <v>43.799999</v>
      </c>
      <c r="C1801">
        <v>36.906101</v>
      </c>
      <c r="D1801">
        <v>-7.0038499999999999</v>
      </c>
      <c r="E1801" t="s">
        <v>3164</v>
      </c>
      <c r="F1801" t="s">
        <v>3165</v>
      </c>
      <c r="G1801" t="s">
        <v>39</v>
      </c>
      <c r="H1801">
        <v>1991</v>
      </c>
      <c r="I1801">
        <v>24.399999618530298</v>
      </c>
      <c r="J1801">
        <v>10.5</v>
      </c>
      <c r="K1801">
        <v>66</v>
      </c>
      <c r="L1801">
        <v>16.549999237060501</v>
      </c>
      <c r="M1801">
        <v>31.700000762939499</v>
      </c>
      <c r="N1801">
        <v>16</v>
      </c>
      <c r="O1801">
        <v>15.699999809265099</v>
      </c>
      <c r="P1801">
        <v>25.5</v>
      </c>
      <c r="Q1801">
        <v>22</v>
      </c>
      <c r="R1801">
        <v>26.100000381469702</v>
      </c>
      <c r="S1801">
        <v>22</v>
      </c>
      <c r="T1801">
        <v>939</v>
      </c>
      <c r="U1801">
        <v>179</v>
      </c>
      <c r="V1801">
        <v>8</v>
      </c>
      <c r="W1801">
        <v>78</v>
      </c>
      <c r="X1801">
        <v>471</v>
      </c>
      <c r="Y1801">
        <v>31</v>
      </c>
      <c r="Z1801">
        <v>341</v>
      </c>
      <c r="AA1801">
        <v>31</v>
      </c>
      <c r="AB1801">
        <v>7.3340110778808603</v>
      </c>
      <c r="AC1801">
        <v>6.3610490424455005E-2</v>
      </c>
      <c r="AD1801">
        <v>6.7262224999980802</v>
      </c>
      <c r="AE1801">
        <v>0.27218231558799699</v>
      </c>
      <c r="AF1801">
        <v>530.03472222222194</v>
      </c>
      <c r="AG1801">
        <f>IFERROR(AH1801*0.1, "N/A")</f>
        <v>6.0489583333333306</v>
      </c>
      <c r="AH1801">
        <v>60.4895833333333</v>
      </c>
      <c r="AI1801">
        <v>128.58829053242999</v>
      </c>
      <c r="AJ1801">
        <v>32.3645833333333</v>
      </c>
      <c r="AK1801">
        <v>50.8784722222222</v>
      </c>
    </row>
    <row r="1802" spans="1:37" x14ac:dyDescent="0.3">
      <c r="A1802">
        <v>1801</v>
      </c>
      <c r="B1802">
        <v>56.299999</v>
      </c>
      <c r="C1802">
        <v>36.889598999999997</v>
      </c>
      <c r="D1802">
        <v>-7.0326399999999998</v>
      </c>
      <c r="E1802" t="s">
        <v>3166</v>
      </c>
      <c r="F1802" t="s">
        <v>3167</v>
      </c>
      <c r="G1802" t="s">
        <v>39</v>
      </c>
      <c r="H1802">
        <v>1991</v>
      </c>
      <c r="I1802">
        <v>24.200000762939499</v>
      </c>
      <c r="J1802">
        <v>10.3999996185303</v>
      </c>
      <c r="K1802">
        <v>66</v>
      </c>
      <c r="L1802">
        <v>16.578414019807301</v>
      </c>
      <c r="M1802">
        <v>31.5</v>
      </c>
      <c r="N1802">
        <v>15.800000190734901</v>
      </c>
      <c r="O1802">
        <v>15.699999809265099</v>
      </c>
      <c r="P1802">
        <v>25.299999237060501</v>
      </c>
      <c r="Q1802">
        <v>21.700000762939499</v>
      </c>
      <c r="R1802">
        <v>25.899999618530298</v>
      </c>
      <c r="S1802">
        <v>21.700000762939499</v>
      </c>
      <c r="T1802">
        <v>951.78919860627195</v>
      </c>
      <c r="U1802">
        <v>181.26306620209101</v>
      </c>
      <c r="V1802">
        <v>8</v>
      </c>
      <c r="W1802">
        <v>79</v>
      </c>
      <c r="X1802">
        <v>478.78919860627201</v>
      </c>
      <c r="Y1802">
        <v>31</v>
      </c>
      <c r="Z1802">
        <v>346</v>
      </c>
      <c r="AA1802">
        <v>31</v>
      </c>
      <c r="AB1802">
        <v>31.6475461102529</v>
      </c>
      <c r="AC1802">
        <v>1.5639262944005999E-2</v>
      </c>
      <c r="AD1802">
        <v>2.4558591260104201</v>
      </c>
      <c r="AE1802">
        <v>0.17944075167179099</v>
      </c>
      <c r="AF1802">
        <v>570.40766550522699</v>
      </c>
      <c r="AG1802">
        <f>IFERROR(AH1802*0.1, "N/A")</f>
        <v>6.150174216027871</v>
      </c>
      <c r="AH1802">
        <v>61.501742160278702</v>
      </c>
      <c r="AI1802">
        <v>89.106230613662007</v>
      </c>
      <c r="AJ1802">
        <v>33.249128919860603</v>
      </c>
      <c r="AK1802">
        <v>49.6742160278746</v>
      </c>
    </row>
    <row r="1803" spans="1:37" x14ac:dyDescent="0.3">
      <c r="A1803">
        <v>1802</v>
      </c>
      <c r="B1803">
        <v>100</v>
      </c>
      <c r="C1803">
        <v>36.914397999999998</v>
      </c>
      <c r="D1803">
        <v>-7.0376599999999998</v>
      </c>
      <c r="E1803" t="s">
        <v>3168</v>
      </c>
      <c r="F1803" t="s">
        <v>3169</v>
      </c>
      <c r="G1803" t="s">
        <v>39</v>
      </c>
      <c r="H1803">
        <v>1991</v>
      </c>
      <c r="I1803">
        <v>24.299999237060501</v>
      </c>
      <c r="J1803">
        <v>10.300000190734901</v>
      </c>
      <c r="K1803">
        <v>66</v>
      </c>
      <c r="L1803">
        <v>16.600000381469702</v>
      </c>
      <c r="M1803">
        <v>31.600000381469702</v>
      </c>
      <c r="N1803">
        <v>16</v>
      </c>
      <c r="O1803">
        <v>15.6000003814697</v>
      </c>
      <c r="P1803">
        <v>25.299999237060501</v>
      </c>
      <c r="Q1803">
        <v>21.899999618530298</v>
      </c>
      <c r="R1803">
        <v>26</v>
      </c>
      <c r="S1803">
        <v>21.899999618530298</v>
      </c>
      <c r="T1803">
        <v>950</v>
      </c>
      <c r="U1803">
        <v>180</v>
      </c>
      <c r="V1803">
        <v>8</v>
      </c>
      <c r="W1803">
        <v>78</v>
      </c>
      <c r="X1803">
        <v>478</v>
      </c>
      <c r="Y1803">
        <v>30</v>
      </c>
      <c r="Z1803">
        <v>345</v>
      </c>
      <c r="AA1803">
        <v>30</v>
      </c>
      <c r="AB1803">
        <v>6.5362122534052798</v>
      </c>
      <c r="AC1803">
        <v>1.4778439021722999E-2</v>
      </c>
      <c r="AD1803">
        <v>1.0787712153776901</v>
      </c>
      <c r="AE1803">
        <v>0.17591774463653601</v>
      </c>
      <c r="AF1803">
        <v>532.97573656845805</v>
      </c>
      <c r="AG1803">
        <f>IFERROR(AH1803*0.1, "N/A")</f>
        <v>5.94488734835355</v>
      </c>
      <c r="AH1803">
        <v>59.4488734835355</v>
      </c>
      <c r="AI1803">
        <v>120.948025278657</v>
      </c>
      <c r="AJ1803">
        <v>30.951473136915101</v>
      </c>
      <c r="AK1803">
        <v>53.1351819757366</v>
      </c>
    </row>
    <row r="1804" spans="1:37" x14ac:dyDescent="0.3">
      <c r="A1804">
        <v>1803</v>
      </c>
      <c r="B1804">
        <v>78.800003000000004</v>
      </c>
      <c r="C1804">
        <v>37.070098999999999</v>
      </c>
      <c r="D1804">
        <v>-7.05396</v>
      </c>
      <c r="E1804" t="s">
        <v>3170</v>
      </c>
      <c r="F1804" t="s">
        <v>3171</v>
      </c>
      <c r="G1804" t="s">
        <v>39</v>
      </c>
      <c r="H1804">
        <v>1991</v>
      </c>
      <c r="I1804">
        <v>24.799999237060501</v>
      </c>
      <c r="J1804">
        <v>10.1000003814697</v>
      </c>
      <c r="K1804">
        <v>65</v>
      </c>
      <c r="L1804">
        <v>17.059999465942401</v>
      </c>
      <c r="M1804">
        <v>32</v>
      </c>
      <c r="N1804">
        <v>16.5</v>
      </c>
      <c r="O1804">
        <v>15.5</v>
      </c>
      <c r="P1804">
        <v>25.799999237060501</v>
      </c>
      <c r="Q1804">
        <v>22.299999237060501</v>
      </c>
      <c r="R1804">
        <v>26.5</v>
      </c>
      <c r="S1804">
        <v>22.299999237060501</v>
      </c>
      <c r="T1804">
        <v>941</v>
      </c>
      <c r="U1804">
        <v>179</v>
      </c>
      <c r="V1804">
        <v>7</v>
      </c>
      <c r="W1804">
        <v>78</v>
      </c>
      <c r="X1804">
        <v>479</v>
      </c>
      <c r="Y1804">
        <v>28</v>
      </c>
      <c r="Z1804">
        <v>331</v>
      </c>
      <c r="AA1804">
        <v>28</v>
      </c>
      <c r="AB1804">
        <v>0.45286907693614098</v>
      </c>
      <c r="AC1804">
        <v>215.52863702783401</v>
      </c>
      <c r="AD1804">
        <v>1.3676599868484201</v>
      </c>
      <c r="AE1804">
        <v>0.14966061939363901</v>
      </c>
      <c r="AF1804">
        <v>454.05565217391302</v>
      </c>
      <c r="AG1804">
        <f>IFERROR(AH1804*0.1, "N/A")</f>
        <v>6.5024347826086997</v>
      </c>
      <c r="AH1804">
        <v>65.024347826086995</v>
      </c>
      <c r="AI1804">
        <v>101.56437370632</v>
      </c>
      <c r="AJ1804">
        <v>28.121739130434801</v>
      </c>
      <c r="AK1804">
        <v>54.878260869565203</v>
      </c>
    </row>
    <row r="1805" spans="1:37" x14ac:dyDescent="0.3">
      <c r="A1805">
        <v>1804</v>
      </c>
      <c r="B1805">
        <v>96.300003000000004</v>
      </c>
      <c r="C1805">
        <v>37.031897999999998</v>
      </c>
      <c r="D1805">
        <v>-7.0618999999999996</v>
      </c>
      <c r="E1805" t="s">
        <v>3172</v>
      </c>
      <c r="F1805" t="s">
        <v>3173</v>
      </c>
      <c r="G1805" t="s">
        <v>39</v>
      </c>
      <c r="H1805">
        <v>1991</v>
      </c>
      <c r="I1805">
        <v>24.700000762939499</v>
      </c>
      <c r="J1805">
        <v>10.1000003814697</v>
      </c>
      <c r="K1805">
        <v>65</v>
      </c>
      <c r="L1805">
        <v>17.190000534057599</v>
      </c>
      <c r="M1805">
        <v>31.899999618530298</v>
      </c>
      <c r="N1805">
        <v>16.399999618530298</v>
      </c>
      <c r="O1805">
        <v>15.5</v>
      </c>
      <c r="P1805">
        <v>25.700000762939499</v>
      </c>
      <c r="Q1805">
        <v>22.200000762939499</v>
      </c>
      <c r="R1805">
        <v>26.5</v>
      </c>
      <c r="S1805">
        <v>22.200000762939499</v>
      </c>
      <c r="T1805">
        <v>944</v>
      </c>
      <c r="U1805">
        <v>176</v>
      </c>
      <c r="V1805">
        <v>8</v>
      </c>
      <c r="W1805">
        <v>79</v>
      </c>
      <c r="X1805">
        <v>478</v>
      </c>
      <c r="Y1805">
        <v>29</v>
      </c>
      <c r="Z1805">
        <v>336</v>
      </c>
      <c r="AA1805">
        <v>29</v>
      </c>
      <c r="AB1805">
        <v>3.1455501655910298</v>
      </c>
      <c r="AC1805">
        <v>1.1996062848230999E-2</v>
      </c>
      <c r="AD1805">
        <v>1.0462412516967099</v>
      </c>
      <c r="AE1805">
        <v>0.15494094789028201</v>
      </c>
      <c r="AF1805">
        <v>469.56695652173897</v>
      </c>
      <c r="AG1805">
        <f>IFERROR(AH1805*0.1, "N/A")</f>
        <v>6.0347826086956502</v>
      </c>
      <c r="AH1805">
        <v>60.347826086956502</v>
      </c>
      <c r="AI1805">
        <v>144.10652509606399</v>
      </c>
      <c r="AJ1805">
        <v>32.118260869565198</v>
      </c>
      <c r="AK1805">
        <v>52.613913043478298</v>
      </c>
    </row>
    <row r="1806" spans="1:37" x14ac:dyDescent="0.3">
      <c r="A1806">
        <v>1805</v>
      </c>
      <c r="B1806">
        <v>95</v>
      </c>
      <c r="C1806">
        <v>36.896999000000001</v>
      </c>
      <c r="D1806">
        <v>-7.0688399999999998</v>
      </c>
      <c r="E1806" t="s">
        <v>3174</v>
      </c>
      <c r="F1806" t="s">
        <v>3175</v>
      </c>
      <c r="G1806" t="s">
        <v>39</v>
      </c>
      <c r="H1806">
        <v>1991</v>
      </c>
      <c r="I1806">
        <v>24.200000762939499</v>
      </c>
      <c r="J1806">
        <v>10.199999809265099</v>
      </c>
      <c r="K1806">
        <v>65</v>
      </c>
      <c r="L1806">
        <v>16.670000076293899</v>
      </c>
      <c r="M1806">
        <v>31.399999618530298</v>
      </c>
      <c r="N1806">
        <v>15.8999996185303</v>
      </c>
      <c r="O1806">
        <v>15.5</v>
      </c>
      <c r="P1806">
        <v>25.299999237060501</v>
      </c>
      <c r="Q1806">
        <v>21.700000762939499</v>
      </c>
      <c r="R1806">
        <v>25.899999618530298</v>
      </c>
      <c r="S1806">
        <v>21.700000762939499</v>
      </c>
      <c r="T1806">
        <v>966</v>
      </c>
      <c r="U1806">
        <v>184</v>
      </c>
      <c r="V1806">
        <v>8</v>
      </c>
      <c r="W1806">
        <v>79</v>
      </c>
      <c r="X1806">
        <v>489</v>
      </c>
      <c r="Y1806">
        <v>31</v>
      </c>
      <c r="Z1806">
        <v>349</v>
      </c>
      <c r="AA1806">
        <v>31</v>
      </c>
      <c r="AB1806">
        <v>9.9362495236280495</v>
      </c>
      <c r="AC1806">
        <v>1.4307801993011999E-2</v>
      </c>
      <c r="AD1806">
        <v>3.1573490666595498</v>
      </c>
      <c r="AE1806">
        <v>0.18704201281070701</v>
      </c>
      <c r="AF1806">
        <v>555.90592334494795</v>
      </c>
      <c r="AG1806">
        <f>IFERROR(AH1806*0.1, "N/A")</f>
        <v>6</v>
      </c>
      <c r="AH1806">
        <v>60</v>
      </c>
      <c r="AI1806">
        <v>151.81479296534701</v>
      </c>
      <c r="AJ1806">
        <v>31</v>
      </c>
      <c r="AK1806">
        <v>51</v>
      </c>
    </row>
    <row r="1807" spans="1:37" x14ac:dyDescent="0.3">
      <c r="A1807">
        <v>1806</v>
      </c>
      <c r="B1807">
        <v>98.800003000000004</v>
      </c>
      <c r="C1807">
        <v>36.9328</v>
      </c>
      <c r="D1807">
        <v>-7.1002700000000001</v>
      </c>
      <c r="E1807" t="s">
        <v>3176</v>
      </c>
      <c r="F1807" t="s">
        <v>3177</v>
      </c>
      <c r="G1807" t="s">
        <v>39</v>
      </c>
      <c r="H1807">
        <v>1991</v>
      </c>
      <c r="I1807">
        <v>24.108362782707601</v>
      </c>
      <c r="J1807">
        <v>10.1000003814697</v>
      </c>
      <c r="K1807">
        <v>65.055749128919899</v>
      </c>
      <c r="L1807">
        <v>16.892822026375701</v>
      </c>
      <c r="M1807">
        <v>31.302786704139798</v>
      </c>
      <c r="N1807">
        <v>15.858536520901501</v>
      </c>
      <c r="O1807">
        <v>15.444250711580599</v>
      </c>
      <c r="P1807">
        <v>25.108362782707601</v>
      </c>
      <c r="Q1807">
        <v>21.608362782707601</v>
      </c>
      <c r="R1807">
        <v>25.902787085609599</v>
      </c>
      <c r="S1807">
        <v>21.608362782707601</v>
      </c>
      <c r="T1807">
        <v>974.142857142857</v>
      </c>
      <c r="U1807">
        <v>183.39024390243901</v>
      </c>
      <c r="V1807">
        <v>8</v>
      </c>
      <c r="W1807">
        <v>79.445993031358896</v>
      </c>
      <c r="X1807">
        <v>495.31010452961698</v>
      </c>
      <c r="Y1807">
        <v>30</v>
      </c>
      <c r="Z1807">
        <v>350.30662020905902</v>
      </c>
      <c r="AA1807">
        <v>30</v>
      </c>
      <c r="AB1807">
        <v>23.936410724493701</v>
      </c>
      <c r="AC1807">
        <v>1.3405272201715999E-2</v>
      </c>
      <c r="AD1807">
        <v>4.8196604621535002</v>
      </c>
      <c r="AE1807">
        <v>0.153705969452858</v>
      </c>
      <c r="AF1807">
        <v>568.81184668989499</v>
      </c>
      <c r="AG1807">
        <f>IFERROR(AH1807*0.1, "N/A")</f>
        <v>5.8083623693379804</v>
      </c>
      <c r="AH1807">
        <v>58.083623693379799</v>
      </c>
      <c r="AI1807">
        <v>296.83831395006303</v>
      </c>
      <c r="AJ1807">
        <v>41.668989547038301</v>
      </c>
      <c r="AK1807">
        <v>42.414634146341498</v>
      </c>
    </row>
    <row r="1808" spans="1:37" x14ac:dyDescent="0.3">
      <c r="A1808">
        <v>1807</v>
      </c>
      <c r="B1808">
        <v>85</v>
      </c>
      <c r="C1808">
        <v>36.793700999999999</v>
      </c>
      <c r="D1808">
        <v>-7.1933600000000002</v>
      </c>
      <c r="E1808" t="s">
        <v>3178</v>
      </c>
      <c r="F1808" t="s">
        <v>3179</v>
      </c>
      <c r="G1808" t="s">
        <v>39</v>
      </c>
      <c r="H1808">
        <v>1991</v>
      </c>
      <c r="I1808">
        <v>23.5</v>
      </c>
      <c r="J1808">
        <v>10</v>
      </c>
      <c r="K1808">
        <v>64</v>
      </c>
      <c r="L1808">
        <v>16.25</v>
      </c>
      <c r="M1808">
        <v>30.700000762939499</v>
      </c>
      <c r="N1808">
        <v>15.300000190734901</v>
      </c>
      <c r="O1808">
        <v>15.3999996185303</v>
      </c>
      <c r="P1808">
        <v>24.399999618530298</v>
      </c>
      <c r="Q1808">
        <v>21.600000381469702</v>
      </c>
      <c r="R1808">
        <v>25.200000762939499</v>
      </c>
      <c r="S1808">
        <v>21.100000381469702</v>
      </c>
      <c r="T1808">
        <v>1061</v>
      </c>
      <c r="U1808">
        <v>206</v>
      </c>
      <c r="V1808">
        <v>7</v>
      </c>
      <c r="W1808">
        <v>82</v>
      </c>
      <c r="X1808">
        <v>550</v>
      </c>
      <c r="Y1808">
        <v>28</v>
      </c>
      <c r="Z1808">
        <v>380</v>
      </c>
      <c r="AA1808">
        <v>33</v>
      </c>
      <c r="AB1808">
        <v>3.4350865016224899</v>
      </c>
      <c r="AC1808">
        <v>0.129818232416339</v>
      </c>
      <c r="AD1808">
        <v>1.6234110949551299</v>
      </c>
      <c r="AE1808">
        <v>0.23626088760598199</v>
      </c>
      <c r="AF1808">
        <v>673.02617801047097</v>
      </c>
      <c r="AG1808">
        <f>IFERROR(AH1808*0.1, "N/A")</f>
        <v>6.0546247818499097</v>
      </c>
      <c r="AH1808">
        <v>60.546247818499097</v>
      </c>
      <c r="AI1808">
        <v>178.55500260864</v>
      </c>
      <c r="AJ1808">
        <v>31.345549738219901</v>
      </c>
      <c r="AK1808">
        <v>47.223385689354302</v>
      </c>
    </row>
    <row r="1809" spans="1:37" x14ac:dyDescent="0.3">
      <c r="A1809">
        <v>1808</v>
      </c>
      <c r="B1809">
        <v>55</v>
      </c>
      <c r="C1809">
        <v>36.7547</v>
      </c>
      <c r="D1809">
        <v>-7.2913600000000001</v>
      </c>
      <c r="E1809" t="s">
        <v>3180</v>
      </c>
      <c r="F1809" t="s">
        <v>3181</v>
      </c>
      <c r="G1809" t="s">
        <v>39</v>
      </c>
      <c r="H1809">
        <v>1991</v>
      </c>
      <c r="I1809">
        <v>22.845992958919499</v>
      </c>
      <c r="J1809">
        <v>9.8000001907348597</v>
      </c>
      <c r="K1809">
        <v>64</v>
      </c>
      <c r="L1809">
        <v>15.725104140903101</v>
      </c>
      <c r="M1809">
        <v>30.072996794139101</v>
      </c>
      <c r="N1809">
        <v>14.8459927013942</v>
      </c>
      <c r="O1809">
        <v>15.2270033965958</v>
      </c>
      <c r="P1809">
        <v>23.745992577449801</v>
      </c>
      <c r="Q1809">
        <v>21.045993206808401</v>
      </c>
      <c r="R1809">
        <v>24.545993206808401</v>
      </c>
      <c r="S1809">
        <v>20.545993206808401</v>
      </c>
      <c r="T1809">
        <v>1131.97038327526</v>
      </c>
      <c r="U1809">
        <v>222.81010452961701</v>
      </c>
      <c r="V1809">
        <v>5</v>
      </c>
      <c r="W1809">
        <v>84</v>
      </c>
      <c r="X1809">
        <v>598.16027874564497</v>
      </c>
      <c r="Y1809">
        <v>24</v>
      </c>
      <c r="Z1809">
        <v>398.81010452961698</v>
      </c>
      <c r="AA1809">
        <v>33</v>
      </c>
      <c r="AB1809">
        <v>29.045779025513099</v>
      </c>
      <c r="AC1809">
        <v>2.2323054342630998E-2</v>
      </c>
      <c r="AD1809">
        <v>6.8594939409648097</v>
      </c>
      <c r="AE1809">
        <v>0.249794602394104</v>
      </c>
      <c r="AF1809">
        <v>784.93031358885003</v>
      </c>
      <c r="AG1809">
        <f>IFERROR(AH1809*0.1, "N/A")</f>
        <v>5.9184668989547005</v>
      </c>
      <c r="AH1809">
        <v>59.184668989546999</v>
      </c>
      <c r="AI1809">
        <v>49.615894005273702</v>
      </c>
      <c r="AJ1809">
        <v>31.430313588850201</v>
      </c>
      <c r="AK1809">
        <v>51.940766550522703</v>
      </c>
    </row>
    <row r="1810" spans="1:37" x14ac:dyDescent="0.3">
      <c r="A1810">
        <v>1809</v>
      </c>
      <c r="B1810">
        <v>75</v>
      </c>
      <c r="C1810">
        <v>36.998199</v>
      </c>
      <c r="D1810">
        <v>-7.3882300000000001</v>
      </c>
      <c r="E1810" t="s">
        <v>3182</v>
      </c>
      <c r="F1810" t="s">
        <v>3183</v>
      </c>
      <c r="G1810" t="s">
        <v>39</v>
      </c>
      <c r="H1810">
        <v>1991</v>
      </c>
      <c r="I1810">
        <v>24</v>
      </c>
      <c r="J1810">
        <v>8.6999998092651403</v>
      </c>
      <c r="K1810">
        <v>60</v>
      </c>
      <c r="L1810">
        <v>17.370000839233398</v>
      </c>
      <c r="M1810">
        <v>30.600000381469702</v>
      </c>
      <c r="N1810">
        <v>16.299999237060501</v>
      </c>
      <c r="O1810">
        <v>14.300000190734901</v>
      </c>
      <c r="P1810">
        <v>25</v>
      </c>
      <c r="Q1810">
        <v>21.899999618530298</v>
      </c>
      <c r="R1810">
        <v>25.799999237060501</v>
      </c>
      <c r="S1810">
        <v>21.399999618530298</v>
      </c>
      <c r="T1810">
        <v>1110</v>
      </c>
      <c r="U1810">
        <v>221</v>
      </c>
      <c r="V1810">
        <v>5</v>
      </c>
      <c r="W1810">
        <v>82</v>
      </c>
      <c r="X1810">
        <v>586</v>
      </c>
      <c r="Y1810">
        <v>32</v>
      </c>
      <c r="Z1810">
        <v>373</v>
      </c>
      <c r="AA1810">
        <v>35</v>
      </c>
      <c r="AB1810">
        <v>3.3289946450127501</v>
      </c>
      <c r="AC1810">
        <v>1.6323686520788999E-2</v>
      </c>
      <c r="AD1810">
        <v>1.18980495771393</v>
      </c>
      <c r="AE1810">
        <v>0.280773377977312</v>
      </c>
      <c r="AF1810">
        <v>528.835069444444</v>
      </c>
      <c r="AG1810">
        <f>IFERROR(AH1810*0.1, "N/A")</f>
        <v>6.0161458333333302</v>
      </c>
      <c r="AH1810">
        <v>60.1614583333333</v>
      </c>
      <c r="AI1810">
        <v>133.73249847359099</v>
      </c>
      <c r="AJ1810">
        <v>29</v>
      </c>
      <c r="AK1810">
        <v>56.15625</v>
      </c>
    </row>
    <row r="1811" spans="1:37" x14ac:dyDescent="0.3">
      <c r="A1811">
        <v>1810</v>
      </c>
      <c r="B1811">
        <v>81.300003000000004</v>
      </c>
      <c r="C1811">
        <v>36.984501000000002</v>
      </c>
      <c r="D1811">
        <v>-7.4307100000000004</v>
      </c>
      <c r="E1811" t="s">
        <v>3184</v>
      </c>
      <c r="F1811" t="s">
        <v>3185</v>
      </c>
      <c r="G1811" t="s">
        <v>39</v>
      </c>
      <c r="H1811">
        <v>1991</v>
      </c>
      <c r="I1811">
        <v>23.999826086293101</v>
      </c>
      <c r="J1811">
        <v>8.5</v>
      </c>
      <c r="K1811">
        <v>60</v>
      </c>
      <c r="L1811">
        <v>17.699722502335302</v>
      </c>
      <c r="M1811">
        <v>30.399999618530298</v>
      </c>
      <c r="N1811">
        <v>16.299999237060501</v>
      </c>
      <c r="O1811">
        <v>14.1000003814697</v>
      </c>
      <c r="P1811">
        <v>25.099826467762799</v>
      </c>
      <c r="Q1811">
        <v>21.899999618530298</v>
      </c>
      <c r="R1811">
        <v>25.799999237060501</v>
      </c>
      <c r="S1811">
        <v>21.299999237060501</v>
      </c>
      <c r="T1811">
        <v>1154.0052173913</v>
      </c>
      <c r="U1811">
        <v>235.001739130435</v>
      </c>
      <c r="V1811">
        <v>6</v>
      </c>
      <c r="W1811">
        <v>82</v>
      </c>
      <c r="X1811">
        <v>613.00347826087</v>
      </c>
      <c r="Y1811">
        <v>34</v>
      </c>
      <c r="Z1811">
        <v>380.001739130435</v>
      </c>
      <c r="AA1811">
        <v>38</v>
      </c>
      <c r="AB1811">
        <v>8.5191320270040798</v>
      </c>
      <c r="AC1811">
        <v>2.1569467928745999E-2</v>
      </c>
      <c r="AD1811">
        <v>2.6239053562413099</v>
      </c>
      <c r="AE1811">
        <v>0.152163535356522</v>
      </c>
      <c r="AF1811">
        <v>513.51652173913101</v>
      </c>
      <c r="AG1811">
        <f>IFERROR(AH1811*0.1, "N/A")</f>
        <v>6.0972173913043504</v>
      </c>
      <c r="AH1811">
        <v>60.972173913043498</v>
      </c>
      <c r="AI1811">
        <v>174.94389057988701</v>
      </c>
      <c r="AJ1811">
        <v>29.097391304347799</v>
      </c>
      <c r="AK1811">
        <v>56.9634782608696</v>
      </c>
    </row>
    <row r="1812" spans="1:37" x14ac:dyDescent="0.3">
      <c r="A1812">
        <v>1811</v>
      </c>
      <c r="B1812">
        <v>92.5</v>
      </c>
      <c r="C1812">
        <v>36.916697999999997</v>
      </c>
      <c r="D1812">
        <v>-7.4388899999999998</v>
      </c>
      <c r="E1812" t="s">
        <v>3186</v>
      </c>
      <c r="F1812" t="s">
        <v>3187</v>
      </c>
      <c r="G1812" t="s">
        <v>39</v>
      </c>
      <c r="H1812">
        <v>1991</v>
      </c>
      <c r="I1812">
        <v>23.327825705486799</v>
      </c>
      <c r="J1812">
        <v>8.8288697284200897</v>
      </c>
      <c r="K1812">
        <v>61.144347826086999</v>
      </c>
      <c r="L1812">
        <v>16.595251640651501</v>
      </c>
      <c r="M1812">
        <v>29.956695762302601</v>
      </c>
      <c r="N1812">
        <v>15.627825896221699</v>
      </c>
      <c r="O1812">
        <v>14.3288697284201</v>
      </c>
      <c r="P1812">
        <v>24.327825705486799</v>
      </c>
      <c r="Q1812">
        <v>21.342260543159799</v>
      </c>
      <c r="R1812">
        <v>25.027826468426198</v>
      </c>
      <c r="S1812">
        <v>20.842260543159799</v>
      </c>
      <c r="T1812">
        <v>1201.45391304348</v>
      </c>
      <c r="U1812">
        <v>243.577391304348</v>
      </c>
      <c r="V1812">
        <v>5</v>
      </c>
      <c r="W1812">
        <v>84</v>
      </c>
      <c r="X1812">
        <v>643.58782608695606</v>
      </c>
      <c r="Y1812">
        <v>31.855652173913001</v>
      </c>
      <c r="Z1812">
        <v>399.154782608696</v>
      </c>
      <c r="AA1812">
        <v>37</v>
      </c>
      <c r="AB1812">
        <v>38.560528405230997</v>
      </c>
      <c r="AC1812">
        <v>8.4773443963220008E-3</v>
      </c>
      <c r="AD1812">
        <v>4.5271640532949702</v>
      </c>
      <c r="AE1812">
        <v>0.152759879827499</v>
      </c>
      <c r="AF1812">
        <v>677.65913043478304</v>
      </c>
      <c r="AG1812">
        <f>IFERROR(AH1812*0.1, "N/A")</f>
        <v>6</v>
      </c>
      <c r="AH1812">
        <v>60</v>
      </c>
      <c r="AI1812">
        <v>222.68493413510501</v>
      </c>
      <c r="AJ1812">
        <v>37.711304347826101</v>
      </c>
      <c r="AK1812">
        <v>49</v>
      </c>
    </row>
    <row r="1813" spans="1:37" x14ac:dyDescent="0.3">
      <c r="A1813">
        <v>1812</v>
      </c>
      <c r="B1813">
        <v>98.800003000000004</v>
      </c>
      <c r="C1813">
        <v>37.036701000000001</v>
      </c>
      <c r="D1813">
        <v>-7.5260999999999996</v>
      </c>
      <c r="E1813" t="s">
        <v>3188</v>
      </c>
      <c r="F1813" t="s">
        <v>3189</v>
      </c>
      <c r="G1813" t="s">
        <v>39</v>
      </c>
      <c r="H1813">
        <v>1991</v>
      </c>
      <c r="I1813">
        <v>24.5</v>
      </c>
      <c r="J1813">
        <v>7.5999999046325701</v>
      </c>
      <c r="K1813">
        <v>55</v>
      </c>
      <c r="L1813">
        <v>19.219999313354499</v>
      </c>
      <c r="M1813">
        <v>30.700000762939499</v>
      </c>
      <c r="N1813">
        <v>17</v>
      </c>
      <c r="O1813">
        <v>13.699999809265099</v>
      </c>
      <c r="P1813">
        <v>25.700000762939499</v>
      </c>
      <c r="Q1813">
        <v>22.200000762939499</v>
      </c>
      <c r="R1813">
        <v>26.5</v>
      </c>
      <c r="S1813">
        <v>21.700000762939499</v>
      </c>
      <c r="T1813">
        <v>1242</v>
      </c>
      <c r="U1813">
        <v>279</v>
      </c>
      <c r="V1813">
        <v>8</v>
      </c>
      <c r="W1813">
        <v>83</v>
      </c>
      <c r="X1813">
        <v>665</v>
      </c>
      <c r="Y1813">
        <v>40</v>
      </c>
      <c r="Z1813">
        <v>385</v>
      </c>
      <c r="AA1813">
        <v>44</v>
      </c>
      <c r="AB1813">
        <v>3.0822953118218299</v>
      </c>
      <c r="AC1813">
        <v>0.30618688447349202</v>
      </c>
      <c r="AD1813">
        <v>1.9512963940699899</v>
      </c>
      <c r="AE1813">
        <v>0.246617466211319</v>
      </c>
      <c r="AF1813">
        <v>336.29861111111097</v>
      </c>
      <c r="AG1813">
        <f>IFERROR(AH1813*0.1, "N/A")</f>
        <v>6.3500000000000005</v>
      </c>
      <c r="AH1813">
        <v>63.5</v>
      </c>
      <c r="AI1813">
        <v>157.899613698324</v>
      </c>
      <c r="AJ1813">
        <v>31</v>
      </c>
      <c r="AK1813">
        <v>51</v>
      </c>
    </row>
    <row r="1814" spans="1:37" x14ac:dyDescent="0.3">
      <c r="A1814">
        <v>1813</v>
      </c>
      <c r="B1814">
        <v>88.800003000000004</v>
      </c>
      <c r="C1814">
        <v>37.035998999999997</v>
      </c>
      <c r="D1814">
        <v>-7.5624399999999996</v>
      </c>
      <c r="E1814" t="s">
        <v>3190</v>
      </c>
      <c r="F1814" t="s">
        <v>3191</v>
      </c>
      <c r="G1814" t="s">
        <v>39</v>
      </c>
      <c r="H1814">
        <v>1991</v>
      </c>
      <c r="I1814">
        <v>24.5</v>
      </c>
      <c r="J1814">
        <v>7.4000000953674299</v>
      </c>
      <c r="K1814">
        <v>54</v>
      </c>
      <c r="L1814">
        <v>20.0100002288818</v>
      </c>
      <c r="M1814">
        <v>30.700000762939499</v>
      </c>
      <c r="N1814">
        <v>17</v>
      </c>
      <c r="O1814">
        <v>13.699999809265099</v>
      </c>
      <c r="P1814">
        <v>25.799999237060501</v>
      </c>
      <c r="Q1814">
        <v>22.100000381469702</v>
      </c>
      <c r="R1814">
        <v>26.600000381469702</v>
      </c>
      <c r="S1814">
        <v>21.600000381469702</v>
      </c>
      <c r="T1814">
        <v>1276</v>
      </c>
      <c r="U1814">
        <v>292</v>
      </c>
      <c r="V1814">
        <v>8</v>
      </c>
      <c r="W1814">
        <v>84</v>
      </c>
      <c r="X1814">
        <v>685</v>
      </c>
      <c r="Y1814">
        <v>41</v>
      </c>
      <c r="Z1814">
        <v>391</v>
      </c>
      <c r="AA1814">
        <v>46</v>
      </c>
      <c r="AB1814">
        <v>2.1899101975072099</v>
      </c>
      <c r="AC1814">
        <v>4.8738435498123997E-2</v>
      </c>
      <c r="AD1814">
        <v>2.2333334678141501</v>
      </c>
      <c r="AE1814">
        <v>0.38973804134940399</v>
      </c>
      <c r="AF1814">
        <v>315.11324041811798</v>
      </c>
      <c r="AG1814">
        <f>IFERROR(AH1814*0.1, "N/A")</f>
        <v>5.8757839721254301</v>
      </c>
      <c r="AH1814">
        <v>58.7578397212543</v>
      </c>
      <c r="AI1814">
        <v>241.62497071189799</v>
      </c>
      <c r="AJ1814">
        <v>30.155052264808401</v>
      </c>
      <c r="AK1814">
        <v>51.378048780487802</v>
      </c>
    </row>
    <row r="1815" spans="1:37" x14ac:dyDescent="0.3">
      <c r="A1815">
        <v>1814</v>
      </c>
      <c r="B1815">
        <v>2.5</v>
      </c>
      <c r="C1815">
        <v>36.945301000000001</v>
      </c>
      <c r="D1815">
        <v>-7.57789</v>
      </c>
      <c r="E1815" t="s">
        <v>3192</v>
      </c>
      <c r="F1815" t="s">
        <v>3193</v>
      </c>
      <c r="G1815" t="s">
        <v>39</v>
      </c>
      <c r="H1815">
        <v>1991</v>
      </c>
      <c r="I1815">
        <v>19.299999237060501</v>
      </c>
      <c r="J1815">
        <v>9.8000001907348597</v>
      </c>
      <c r="K1815">
        <v>64</v>
      </c>
      <c r="L1815">
        <v>15.930000305175801</v>
      </c>
      <c r="M1815">
        <v>26.700000762939499</v>
      </c>
      <c r="N1815">
        <v>11.3999996185303</v>
      </c>
      <c r="O1815">
        <v>15.300000190734901</v>
      </c>
      <c r="P1815">
        <v>20.299999237060501</v>
      </c>
      <c r="Q1815">
        <v>17.399999618530298</v>
      </c>
      <c r="R1815">
        <v>21</v>
      </c>
      <c r="S1815">
        <v>17</v>
      </c>
      <c r="T1815">
        <v>1299</v>
      </c>
      <c r="U1815">
        <v>263</v>
      </c>
      <c r="V1815">
        <v>3</v>
      </c>
      <c r="W1815">
        <v>87</v>
      </c>
      <c r="X1815">
        <v>705</v>
      </c>
      <c r="Y1815">
        <v>26</v>
      </c>
      <c r="Z1815">
        <v>452</v>
      </c>
      <c r="AA1815">
        <v>30</v>
      </c>
      <c r="AB1815">
        <v>231.21076740549199</v>
      </c>
      <c r="AC1815">
        <v>6.5050622110983003E-2</v>
      </c>
      <c r="AD1815">
        <v>15.923894259090799</v>
      </c>
      <c r="AE1815">
        <v>0.193349393778698</v>
      </c>
      <c r="AF1815">
        <v>1339.4176776429799</v>
      </c>
      <c r="AG1815">
        <f>IFERROR(AH1815*0.1, "N/A")</f>
        <v>5.5577123050259907</v>
      </c>
      <c r="AH1815">
        <v>55.5771230502599</v>
      </c>
      <c r="AI1815">
        <v>296.24779305879503</v>
      </c>
      <c r="AJ1815">
        <v>29.506065857885599</v>
      </c>
      <c r="AK1815">
        <v>50.207972270363904</v>
      </c>
    </row>
    <row r="1816" spans="1:37" x14ac:dyDescent="0.3">
      <c r="A1816">
        <v>1815</v>
      </c>
      <c r="B1816">
        <v>52.5</v>
      </c>
      <c r="C1816">
        <v>37.015799999999999</v>
      </c>
      <c r="D1816">
        <v>-7.62174</v>
      </c>
      <c r="E1816" t="s">
        <v>3194</v>
      </c>
      <c r="F1816" t="s">
        <v>3195</v>
      </c>
      <c r="G1816" t="s">
        <v>39</v>
      </c>
      <c r="H1816">
        <v>1991</v>
      </c>
      <c r="I1816">
        <v>24.399999618530298</v>
      </c>
      <c r="J1816">
        <v>7.0999999046325701</v>
      </c>
      <c r="K1816">
        <v>52</v>
      </c>
      <c r="L1816">
        <v>20.629999160766602</v>
      </c>
      <c r="M1816">
        <v>30.5</v>
      </c>
      <c r="N1816">
        <v>17</v>
      </c>
      <c r="O1816">
        <v>13.5</v>
      </c>
      <c r="P1816">
        <v>25.799999237060501</v>
      </c>
      <c r="Q1816">
        <v>21.899999618530298</v>
      </c>
      <c r="R1816">
        <v>26.5</v>
      </c>
      <c r="S1816">
        <v>21.399999618530298</v>
      </c>
      <c r="T1816">
        <v>1342</v>
      </c>
      <c r="U1816">
        <v>314</v>
      </c>
      <c r="V1816">
        <v>9</v>
      </c>
      <c r="W1816">
        <v>85</v>
      </c>
      <c r="X1816">
        <v>725</v>
      </c>
      <c r="Y1816">
        <v>44</v>
      </c>
      <c r="Z1816">
        <v>404</v>
      </c>
      <c r="AA1816">
        <v>49</v>
      </c>
      <c r="AB1816">
        <v>4.1339151664402198</v>
      </c>
      <c r="AC1816">
        <v>1.4221327188221999E-2</v>
      </c>
      <c r="AD1816">
        <v>1.0095336732657101</v>
      </c>
      <c r="AE1816">
        <v>0.34433311182519699</v>
      </c>
      <c r="AF1816">
        <v>291.49565217391302</v>
      </c>
      <c r="AG1816">
        <f>IFERROR(AH1816*0.1, "N/A")</f>
        <v>5.9</v>
      </c>
      <c r="AH1816">
        <v>59</v>
      </c>
      <c r="AI1816">
        <v>117.469933975883</v>
      </c>
      <c r="AJ1816">
        <v>35.819130434782601</v>
      </c>
      <c r="AK1816">
        <v>46.819130434782601</v>
      </c>
    </row>
    <row r="1817" spans="1:37" x14ac:dyDescent="0.3">
      <c r="A1817">
        <v>1816</v>
      </c>
      <c r="B1817">
        <v>11.3</v>
      </c>
      <c r="C1817">
        <v>36.993000000000002</v>
      </c>
      <c r="D1817">
        <v>-7.6323400000000001</v>
      </c>
      <c r="E1817" t="s">
        <v>3196</v>
      </c>
      <c r="F1817" t="s">
        <v>3197</v>
      </c>
      <c r="G1817" t="s">
        <v>39</v>
      </c>
      <c r="H1817">
        <v>1991</v>
      </c>
      <c r="I1817">
        <v>24.399999618530298</v>
      </c>
      <c r="J1817">
        <v>7</v>
      </c>
      <c r="K1817">
        <v>52</v>
      </c>
      <c r="L1817">
        <v>20.447292159001002</v>
      </c>
      <c r="M1817">
        <v>30.399999618530298</v>
      </c>
      <c r="N1817">
        <v>17</v>
      </c>
      <c r="O1817">
        <v>13.3999996185303</v>
      </c>
      <c r="P1817">
        <v>25.700000762939499</v>
      </c>
      <c r="Q1817">
        <v>21.899999618530298</v>
      </c>
      <c r="R1817">
        <v>26.403645465771401</v>
      </c>
      <c r="S1817">
        <v>21.399999618530298</v>
      </c>
      <c r="T1817">
        <v>1359.2916666666699</v>
      </c>
      <c r="U1817">
        <v>318.07291666666703</v>
      </c>
      <c r="V1817">
        <v>10</v>
      </c>
      <c r="W1817">
        <v>85</v>
      </c>
      <c r="X1817">
        <v>735.14583333333303</v>
      </c>
      <c r="Y1817">
        <v>45.0364583333333</v>
      </c>
      <c r="Z1817">
        <v>407.07291666666703</v>
      </c>
      <c r="AA1817">
        <v>51.0364583333333</v>
      </c>
      <c r="AB1817">
        <v>18.068398581610801</v>
      </c>
      <c r="AC1817">
        <v>1.4681757809335999E-2</v>
      </c>
      <c r="AD1817">
        <v>2.64907099306583</v>
      </c>
      <c r="AE1817">
        <v>0.50974494218826305</v>
      </c>
      <c r="AF1817">
        <v>302.98611111111097</v>
      </c>
      <c r="AG1817">
        <f>IFERROR(AH1817*0.1, "N/A")</f>
        <v>5.83038194444444</v>
      </c>
      <c r="AH1817">
        <v>58.3038194444444</v>
      </c>
      <c r="AI1817">
        <v>133.34211590555</v>
      </c>
      <c r="AJ1817">
        <v>32.9253472222222</v>
      </c>
      <c r="AK1817">
        <v>48.7673611111111</v>
      </c>
    </row>
    <row r="1818" spans="1:37" x14ac:dyDescent="0.3">
      <c r="A1818">
        <v>1817</v>
      </c>
      <c r="B1818">
        <v>92.5</v>
      </c>
      <c r="C1818">
        <v>37.055199000000002</v>
      </c>
      <c r="D1818">
        <v>-7.6343300000000003</v>
      </c>
      <c r="E1818" t="s">
        <v>3198</v>
      </c>
      <c r="F1818" t="s">
        <v>3199</v>
      </c>
      <c r="G1818" t="s">
        <v>39</v>
      </c>
      <c r="H1818">
        <v>1991</v>
      </c>
      <c r="I1818">
        <v>24.399999618530298</v>
      </c>
      <c r="J1818">
        <v>7.0999999046325701</v>
      </c>
      <c r="K1818">
        <v>52</v>
      </c>
      <c r="L1818">
        <v>20.2299995422363</v>
      </c>
      <c r="M1818">
        <v>30.5</v>
      </c>
      <c r="N1818">
        <v>17.100000381469702</v>
      </c>
      <c r="O1818">
        <v>13.3999996185303</v>
      </c>
      <c r="P1818">
        <v>25.799999237060501</v>
      </c>
      <c r="Q1818">
        <v>22</v>
      </c>
      <c r="R1818">
        <v>26.5</v>
      </c>
      <c r="S1818">
        <v>21.5</v>
      </c>
      <c r="T1818">
        <v>1340</v>
      </c>
      <c r="U1818">
        <v>315</v>
      </c>
      <c r="V1818">
        <v>9</v>
      </c>
      <c r="W1818">
        <v>85</v>
      </c>
      <c r="X1818">
        <v>721</v>
      </c>
      <c r="Y1818">
        <v>44</v>
      </c>
      <c r="Z1818">
        <v>403</v>
      </c>
      <c r="AA1818">
        <v>49</v>
      </c>
      <c r="AB1818">
        <v>3.3765339461616799</v>
      </c>
      <c r="AC1818">
        <v>1.0227264209609999E-2</v>
      </c>
      <c r="AD1818">
        <v>1.0586321179763101</v>
      </c>
      <c r="AE1818">
        <v>0.17190329730510701</v>
      </c>
      <c r="AF1818">
        <v>291.03478260869599</v>
      </c>
      <c r="AG1818">
        <f>IFERROR(AH1818*0.1, "N/A")</f>
        <v>5.9173913043478308</v>
      </c>
      <c r="AH1818">
        <v>59.173913043478301</v>
      </c>
      <c r="AI1818">
        <v>147.86254107931401</v>
      </c>
      <c r="AJ1818">
        <v>27.652173913043502</v>
      </c>
      <c r="AK1818">
        <v>57.173913043478201</v>
      </c>
    </row>
    <row r="1819" spans="1:37" x14ac:dyDescent="0.3">
      <c r="A1819">
        <v>1818</v>
      </c>
      <c r="B1819">
        <v>33.799999</v>
      </c>
      <c r="C1819">
        <v>36.962898000000003</v>
      </c>
      <c r="D1819">
        <v>-7.6491300000000004</v>
      </c>
      <c r="E1819" t="s">
        <v>3200</v>
      </c>
      <c r="F1819" t="s">
        <v>3201</v>
      </c>
      <c r="G1819" t="s">
        <v>39</v>
      </c>
      <c r="H1819">
        <v>1991</v>
      </c>
      <c r="I1819">
        <v>23.100000381469702</v>
      </c>
      <c r="J1819">
        <v>8.1000003814697301</v>
      </c>
      <c r="K1819">
        <v>59</v>
      </c>
      <c r="L1819">
        <v>17.190000534057599</v>
      </c>
      <c r="M1819">
        <v>29.5</v>
      </c>
      <c r="N1819">
        <v>15.800000190734901</v>
      </c>
      <c r="O1819">
        <v>13.699999809265099</v>
      </c>
      <c r="P1819">
        <v>24.100000381469702</v>
      </c>
      <c r="Q1819">
        <v>21.100000381469702</v>
      </c>
      <c r="R1819">
        <v>24.899999618530298</v>
      </c>
      <c r="S1819">
        <v>20.5</v>
      </c>
      <c r="T1819">
        <v>1394</v>
      </c>
      <c r="U1819">
        <v>300</v>
      </c>
      <c r="V1819">
        <v>7</v>
      </c>
      <c r="W1819">
        <v>85</v>
      </c>
      <c r="X1819">
        <v>767</v>
      </c>
      <c r="Y1819">
        <v>40</v>
      </c>
      <c r="Z1819">
        <v>430</v>
      </c>
      <c r="AA1819">
        <v>47</v>
      </c>
      <c r="AB1819">
        <v>192.39774371603301</v>
      </c>
      <c r="AC1819">
        <v>1.9805406981512001E-2</v>
      </c>
      <c r="AD1819">
        <v>20.988955852674401</v>
      </c>
      <c r="AE1819">
        <v>0.38461148738861101</v>
      </c>
      <c r="AF1819">
        <v>700.49565217391296</v>
      </c>
      <c r="AG1819">
        <f>IFERROR(AH1819*0.1, "N/A")</f>
        <v>5.8064347826086902</v>
      </c>
      <c r="AH1819">
        <v>58.064347826086902</v>
      </c>
      <c r="AI1819">
        <v>80.346996557816198</v>
      </c>
      <c r="AJ1819">
        <v>34.457391304347802</v>
      </c>
      <c r="AK1819">
        <v>47.074782608695699</v>
      </c>
    </row>
    <row r="1820" spans="1:37" x14ac:dyDescent="0.3">
      <c r="A1820">
        <v>1819</v>
      </c>
      <c r="B1820">
        <v>45</v>
      </c>
      <c r="C1820">
        <v>36.983898000000003</v>
      </c>
      <c r="D1820">
        <v>-7.6588799999999999</v>
      </c>
      <c r="E1820" t="s">
        <v>3202</v>
      </c>
      <c r="F1820" t="s">
        <v>3203</v>
      </c>
      <c r="G1820" t="s">
        <v>39</v>
      </c>
      <c r="H1820">
        <v>1991</v>
      </c>
      <c r="I1820">
        <v>24.3266080342168</v>
      </c>
      <c r="J1820">
        <v>6.9000000953674299</v>
      </c>
      <c r="K1820">
        <v>51</v>
      </c>
      <c r="L1820">
        <v>20.6401913186778</v>
      </c>
      <c r="M1820">
        <v>30.3532168313731</v>
      </c>
      <c r="N1820">
        <v>17.0266087971563</v>
      </c>
      <c r="O1820">
        <v>13.3266087341309</v>
      </c>
      <c r="P1820">
        <v>25.629565711643401</v>
      </c>
      <c r="Q1820">
        <v>21.8295645672342</v>
      </c>
      <c r="R1820">
        <v>26.426608415686601</v>
      </c>
      <c r="S1820">
        <v>21.3266080342168</v>
      </c>
      <c r="T1820">
        <v>1395.4382608695601</v>
      </c>
      <c r="U1820">
        <v>329.91130434782599</v>
      </c>
      <c r="V1820">
        <v>10</v>
      </c>
      <c r="W1820">
        <v>85</v>
      </c>
      <c r="X1820">
        <v>759.08869565217401</v>
      </c>
      <c r="Y1820">
        <v>46</v>
      </c>
      <c r="Z1820">
        <v>414.37913043478301</v>
      </c>
      <c r="AA1820">
        <v>52</v>
      </c>
      <c r="AB1820">
        <v>8.64748418393342</v>
      </c>
      <c r="AC1820">
        <v>1.3100194012665E-2</v>
      </c>
      <c r="AD1820">
        <v>1.3735256865750201</v>
      </c>
      <c r="AE1820">
        <v>0.59410339593887296</v>
      </c>
      <c r="AF1820">
        <v>287.63478260869601</v>
      </c>
      <c r="AG1820">
        <f>IFERROR(AH1820*0.1, "N/A")</f>
        <v>5.9462608695652204</v>
      </c>
      <c r="AH1820">
        <v>59.4626086956522</v>
      </c>
      <c r="AI1820">
        <v>131.82754613461699</v>
      </c>
      <c r="AJ1820">
        <v>31.281739130434801</v>
      </c>
      <c r="AK1820">
        <v>49.819130434782601</v>
      </c>
    </row>
    <row r="1821" spans="1:37" x14ac:dyDescent="0.3">
      <c r="A1821">
        <v>1820</v>
      </c>
      <c r="B1821">
        <v>18.799999</v>
      </c>
      <c r="C1821">
        <v>37.043598000000003</v>
      </c>
      <c r="D1821">
        <v>-7.6981799999999998</v>
      </c>
      <c r="E1821" t="s">
        <v>3204</v>
      </c>
      <c r="F1821" t="s">
        <v>3205</v>
      </c>
      <c r="G1821" t="s">
        <v>39</v>
      </c>
      <c r="H1821">
        <v>1991</v>
      </c>
      <c r="I1821">
        <v>24.5</v>
      </c>
      <c r="J1821">
        <v>6.9000000953674299</v>
      </c>
      <c r="K1821">
        <v>52</v>
      </c>
      <c r="L1821">
        <v>20.030000686645501</v>
      </c>
      <c r="M1821">
        <v>30.399999618530298</v>
      </c>
      <c r="N1821">
        <v>17.299999237060501</v>
      </c>
      <c r="O1821">
        <v>13.1000003814697</v>
      </c>
      <c r="P1821">
        <v>25.799999237060501</v>
      </c>
      <c r="Q1821">
        <v>22.100000381469702</v>
      </c>
      <c r="R1821">
        <v>26.600000381469702</v>
      </c>
      <c r="S1821">
        <v>21.600000381469702</v>
      </c>
      <c r="T1821">
        <v>1392</v>
      </c>
      <c r="U1821">
        <v>332</v>
      </c>
      <c r="V1821">
        <v>10</v>
      </c>
      <c r="W1821">
        <v>85</v>
      </c>
      <c r="X1821">
        <v>755</v>
      </c>
      <c r="Y1821">
        <v>46</v>
      </c>
      <c r="Z1821">
        <v>411</v>
      </c>
      <c r="AA1821">
        <v>52</v>
      </c>
      <c r="AB1821">
        <v>3.6184089448716898</v>
      </c>
      <c r="AC1821">
        <v>2.1283794099063998E-2</v>
      </c>
      <c r="AD1821">
        <v>1.3490939339001999</v>
      </c>
      <c r="AE1821">
        <v>0.350878715515137</v>
      </c>
      <c r="AF1821">
        <v>274.753472222222</v>
      </c>
      <c r="AG1821">
        <f>IFERROR(AH1821*0.1, "N/A")</f>
        <v>6.1451388888888907</v>
      </c>
      <c r="AH1821">
        <v>61.4513888888889</v>
      </c>
      <c r="AI1821">
        <v>117.895751542515</v>
      </c>
      <c r="AJ1821">
        <v>28.7638888888889</v>
      </c>
      <c r="AK1821">
        <v>54.4114583333333</v>
      </c>
    </row>
    <row r="1822" spans="1:37" x14ac:dyDescent="0.3">
      <c r="A1822">
        <v>1821</v>
      </c>
      <c r="B1822">
        <v>30.5</v>
      </c>
      <c r="C1822">
        <v>39.775798999999999</v>
      </c>
      <c r="D1822">
        <v>-5.0307599999999999</v>
      </c>
      <c r="E1822" t="s">
        <v>3206</v>
      </c>
      <c r="F1822" t="s">
        <v>3207</v>
      </c>
      <c r="G1822" t="s">
        <v>39</v>
      </c>
      <c r="H1822">
        <v>1997</v>
      </c>
      <c r="I1822">
        <v>25.399999618530298</v>
      </c>
      <c r="J1822">
        <v>8.3000001907348597</v>
      </c>
      <c r="K1822">
        <v>66</v>
      </c>
      <c r="L1822">
        <v>12.8400001525879</v>
      </c>
      <c r="M1822">
        <v>31.600000381469702</v>
      </c>
      <c r="N1822">
        <v>19.100000381469702</v>
      </c>
      <c r="O1822">
        <v>12.5</v>
      </c>
      <c r="P1822">
        <v>26.100000381469702</v>
      </c>
      <c r="Q1822">
        <v>23.600000381469702</v>
      </c>
      <c r="R1822">
        <v>26.899999618530298</v>
      </c>
      <c r="S1822">
        <v>23.600000381469702</v>
      </c>
      <c r="T1822">
        <v>1643</v>
      </c>
      <c r="U1822">
        <v>387</v>
      </c>
      <c r="V1822">
        <v>36</v>
      </c>
      <c r="W1822">
        <v>83</v>
      </c>
      <c r="X1822">
        <v>885</v>
      </c>
      <c r="Y1822">
        <v>162</v>
      </c>
      <c r="Z1822">
        <v>248</v>
      </c>
      <c r="AA1822">
        <v>162</v>
      </c>
      <c r="AB1822">
        <v>5.4040345476384699</v>
      </c>
      <c r="AC1822">
        <v>0.10883501285621699</v>
      </c>
      <c r="AD1822">
        <v>1.11004240293252</v>
      </c>
      <c r="AE1822">
        <v>0.337242901325226</v>
      </c>
      <c r="AF1822">
        <v>43.9859649122807</v>
      </c>
      <c r="AG1822">
        <f>IFERROR(AH1822*0.1, "N/A")</f>
        <v>5.8000000000000007</v>
      </c>
      <c r="AH1822">
        <v>58</v>
      </c>
      <c r="AI1822">
        <v>92.077393936692602</v>
      </c>
      <c r="AJ1822">
        <v>22</v>
      </c>
      <c r="AK1822">
        <v>62</v>
      </c>
    </row>
    <row r="1823" spans="1:37" x14ac:dyDescent="0.3">
      <c r="A1823">
        <v>1822</v>
      </c>
      <c r="B1823">
        <v>68</v>
      </c>
      <c r="C1823">
        <v>38.904899999999998</v>
      </c>
      <c r="D1823">
        <v>-4.9213100000000001</v>
      </c>
      <c r="E1823" t="s">
        <v>3208</v>
      </c>
      <c r="F1823" t="s">
        <v>3209</v>
      </c>
      <c r="G1823" t="s">
        <v>39</v>
      </c>
      <c r="H1823">
        <v>2001</v>
      </c>
      <c r="I1823">
        <v>25.5</v>
      </c>
      <c r="J1823">
        <v>9.5</v>
      </c>
      <c r="K1823">
        <v>65</v>
      </c>
      <c r="L1823">
        <v>15.9899997711182</v>
      </c>
      <c r="M1823">
        <v>33</v>
      </c>
      <c r="N1823">
        <v>18.5</v>
      </c>
      <c r="O1823">
        <v>14.5</v>
      </c>
      <c r="P1823">
        <v>26.299999237060501</v>
      </c>
      <c r="Q1823">
        <v>23.399999618530298</v>
      </c>
      <c r="R1823">
        <v>27.399999618530298</v>
      </c>
      <c r="S1823">
        <v>23.399999618530298</v>
      </c>
      <c r="T1823">
        <v>1178</v>
      </c>
      <c r="U1823">
        <v>198</v>
      </c>
      <c r="V1823">
        <v>38</v>
      </c>
      <c r="W1823">
        <v>53</v>
      </c>
      <c r="X1823">
        <v>486</v>
      </c>
      <c r="Y1823">
        <v>162</v>
      </c>
      <c r="Z1823">
        <v>206</v>
      </c>
      <c r="AA1823">
        <v>187</v>
      </c>
      <c r="AB1823">
        <v>2.8710523371110899</v>
      </c>
      <c r="AC1823">
        <v>3.5173640300502997E-2</v>
      </c>
      <c r="AD1823">
        <v>0.97539601775637796</v>
      </c>
      <c r="AE1823">
        <v>0.59376883506774902</v>
      </c>
      <c r="AF1823">
        <v>141.85614035087701</v>
      </c>
      <c r="AG1823">
        <f>IFERROR(AH1823*0.1, "N/A")</f>
        <v>5.7859649122807006</v>
      </c>
      <c r="AH1823">
        <v>57.859649122806999</v>
      </c>
      <c r="AI1823">
        <v>41.888010319492302</v>
      </c>
      <c r="AJ1823">
        <v>26.105263157894701</v>
      </c>
      <c r="AK1823">
        <v>58.140350877193001</v>
      </c>
    </row>
    <row r="1824" spans="1:37" x14ac:dyDescent="0.3">
      <c r="A1824">
        <v>1823</v>
      </c>
      <c r="B1824">
        <v>65.800003000000004</v>
      </c>
      <c r="C1824">
        <v>39.083302000000003</v>
      </c>
      <c r="D1824">
        <v>-4.9666699999999997</v>
      </c>
      <c r="E1824" t="s">
        <v>3210</v>
      </c>
      <c r="F1824" t="s">
        <v>3211</v>
      </c>
      <c r="G1824" t="s">
        <v>39</v>
      </c>
      <c r="H1824">
        <v>1970</v>
      </c>
      <c r="I1824">
        <v>26.178031569415499</v>
      </c>
      <c r="J1824">
        <v>8.8999996185302699</v>
      </c>
      <c r="K1824">
        <v>64</v>
      </c>
      <c r="L1824">
        <v>15.139718618879</v>
      </c>
      <c r="M1824">
        <v>33.239015984828498</v>
      </c>
      <c r="N1824">
        <v>19.539015966056699</v>
      </c>
      <c r="O1824">
        <v>13.699999809265099</v>
      </c>
      <c r="P1824">
        <v>27.039015966056699</v>
      </c>
      <c r="Q1824">
        <v>27.746924626596801</v>
      </c>
      <c r="R1824">
        <v>28.046924607825002</v>
      </c>
      <c r="S1824">
        <v>24.239015984828502</v>
      </c>
      <c r="T1824">
        <v>1220.3128295254801</v>
      </c>
      <c r="U1824">
        <v>264.31985940246102</v>
      </c>
      <c r="V1824">
        <v>28</v>
      </c>
      <c r="W1824">
        <v>66.769771528998206</v>
      </c>
      <c r="X1824">
        <v>572.170474516696</v>
      </c>
      <c r="Y1824">
        <v>130.92091388400701</v>
      </c>
      <c r="Z1824">
        <v>156</v>
      </c>
      <c r="AA1824">
        <v>198.23198594024601</v>
      </c>
      <c r="AB1824">
        <v>26.339542546465001</v>
      </c>
      <c r="AC1824">
        <v>8.9504494641130007E-3</v>
      </c>
      <c r="AD1824">
        <v>1.6425167070750799</v>
      </c>
      <c r="AE1824">
        <v>0.32860648632049599</v>
      </c>
      <c r="AF1824">
        <v>38.509666080843601</v>
      </c>
      <c r="AG1824">
        <f>IFERROR(AH1824*0.1, "N/A")</f>
        <v>6</v>
      </c>
      <c r="AH1824">
        <v>60</v>
      </c>
      <c r="AI1824">
        <v>209.77368568996999</v>
      </c>
      <c r="AJ1824">
        <v>25.4604569420035</v>
      </c>
      <c r="AK1824">
        <v>56.539543057996497</v>
      </c>
    </row>
    <row r="1825" spans="1:37" x14ac:dyDescent="0.3">
      <c r="A1825">
        <v>1824</v>
      </c>
      <c r="B1825">
        <v>16.399999999999999</v>
      </c>
      <c r="C1825">
        <v>39.097800999999997</v>
      </c>
      <c r="D1825">
        <v>-5.0769399999999996</v>
      </c>
      <c r="E1825" t="s">
        <v>3212</v>
      </c>
      <c r="F1825" t="s">
        <v>3213</v>
      </c>
      <c r="G1825" t="s">
        <v>39</v>
      </c>
      <c r="H1825">
        <v>1970</v>
      </c>
      <c r="I1825">
        <v>26.299999237060501</v>
      </c>
      <c r="J1825">
        <v>8.8000001907348597</v>
      </c>
      <c r="K1825">
        <v>65</v>
      </c>
      <c r="L1825">
        <v>15</v>
      </c>
      <c r="M1825">
        <v>33.299999237060497</v>
      </c>
      <c r="N1825">
        <v>19.799999237060501</v>
      </c>
      <c r="O1825">
        <v>13.5</v>
      </c>
      <c r="P1825">
        <v>27.200000762939499</v>
      </c>
      <c r="Q1825">
        <v>27.899999618530298</v>
      </c>
      <c r="R1825">
        <v>28.100000381469702</v>
      </c>
      <c r="S1825">
        <v>24.299999237060501</v>
      </c>
      <c r="T1825">
        <v>1285</v>
      </c>
      <c r="U1825">
        <v>291</v>
      </c>
      <c r="V1825">
        <v>27</v>
      </c>
      <c r="W1825">
        <v>69</v>
      </c>
      <c r="X1825">
        <v>611</v>
      </c>
      <c r="Y1825">
        <v>133</v>
      </c>
      <c r="Z1825">
        <v>155</v>
      </c>
      <c r="AA1825">
        <v>211</v>
      </c>
      <c r="AB1825">
        <v>1.2872381943922799</v>
      </c>
      <c r="AC1825">
        <v>3.8123929127400001E-2</v>
      </c>
      <c r="AD1825">
        <v>3.1053898380352898</v>
      </c>
      <c r="AE1825">
        <v>0.90432131290435802</v>
      </c>
      <c r="AF1825">
        <v>24.368881118881099</v>
      </c>
      <c r="AG1825">
        <f>IFERROR(AH1825*0.1, "N/A")</f>
        <v>6.7241258741258711</v>
      </c>
      <c r="AH1825">
        <v>67.241258741258704</v>
      </c>
      <c r="AI1825">
        <v>173.48802315771999</v>
      </c>
      <c r="AJ1825">
        <v>29.879370629370602</v>
      </c>
      <c r="AK1825">
        <v>51.120629370629402</v>
      </c>
    </row>
    <row r="1826" spans="1:37" x14ac:dyDescent="0.3">
      <c r="A1826">
        <v>1825</v>
      </c>
      <c r="B1826">
        <v>27.299999</v>
      </c>
      <c r="C1826">
        <v>39.081200000000003</v>
      </c>
      <c r="D1826">
        <v>-5.0786199999999999</v>
      </c>
      <c r="E1826" t="s">
        <v>3214</v>
      </c>
      <c r="F1826" t="s">
        <v>3215</v>
      </c>
      <c r="G1826" t="s">
        <v>39</v>
      </c>
      <c r="H1826">
        <v>1970</v>
      </c>
      <c r="I1826">
        <v>26.200000762939499</v>
      </c>
      <c r="J1826">
        <v>8.8000001907348597</v>
      </c>
      <c r="K1826">
        <v>64</v>
      </c>
      <c r="L1826">
        <v>15.2600002288818</v>
      </c>
      <c r="M1826">
        <v>33.200000762939503</v>
      </c>
      <c r="N1826">
        <v>19.600000381469702</v>
      </c>
      <c r="O1826">
        <v>13.6000003814697</v>
      </c>
      <c r="P1826">
        <v>27</v>
      </c>
      <c r="Q1826">
        <v>27.799999237060501</v>
      </c>
      <c r="R1826">
        <v>28.100000381469702</v>
      </c>
      <c r="S1826">
        <v>24.200000762939499</v>
      </c>
      <c r="T1826">
        <v>1279</v>
      </c>
      <c r="U1826">
        <v>286</v>
      </c>
      <c r="V1826">
        <v>27</v>
      </c>
      <c r="W1826">
        <v>68</v>
      </c>
      <c r="X1826">
        <v>601</v>
      </c>
      <c r="Y1826">
        <v>134</v>
      </c>
      <c r="Z1826">
        <v>156</v>
      </c>
      <c r="AA1826">
        <v>211</v>
      </c>
      <c r="AB1826">
        <v>13.0714528172321</v>
      </c>
      <c r="AC1826">
        <v>1.1452716928555999E-2</v>
      </c>
      <c r="AD1826">
        <v>0.997133948339472</v>
      </c>
      <c r="AE1826">
        <v>0.80070143958941897</v>
      </c>
      <c r="AF1826">
        <v>35.236427320490399</v>
      </c>
      <c r="AG1826">
        <f>IFERROR(AH1826*0.1, "N/A")</f>
        <v>6.7224168126094597</v>
      </c>
      <c r="AH1826">
        <v>67.224168126094597</v>
      </c>
      <c r="AI1826">
        <v>154.67692202486199</v>
      </c>
      <c r="AJ1826">
        <v>33.325744308231201</v>
      </c>
      <c r="AK1826">
        <v>51.068301225919399</v>
      </c>
    </row>
    <row r="1827" spans="1:37" x14ac:dyDescent="0.3">
      <c r="A1827">
        <v>1826</v>
      </c>
      <c r="B1827">
        <v>26.200001</v>
      </c>
      <c r="C1827">
        <v>39.092700999999998</v>
      </c>
      <c r="D1827">
        <v>-5.0885600000000002</v>
      </c>
      <c r="E1827" t="s">
        <v>3216</v>
      </c>
      <c r="F1827" t="s">
        <v>3217</v>
      </c>
      <c r="G1827" t="s">
        <v>39</v>
      </c>
      <c r="H1827">
        <v>1970</v>
      </c>
      <c r="I1827">
        <v>26.299999237060501</v>
      </c>
      <c r="J1827">
        <v>8.8000001907348597</v>
      </c>
      <c r="K1827">
        <v>64</v>
      </c>
      <c r="L1827">
        <v>15.170000076293899</v>
      </c>
      <c r="M1827">
        <v>33.299999237060497</v>
      </c>
      <c r="N1827">
        <v>19.700000762939499</v>
      </c>
      <c r="O1827">
        <v>13.6000003814697</v>
      </c>
      <c r="P1827">
        <v>27.100000381469702</v>
      </c>
      <c r="Q1827">
        <v>27.899999618530298</v>
      </c>
      <c r="R1827">
        <v>28.200000762939499</v>
      </c>
      <c r="S1827">
        <v>24.299999237060501</v>
      </c>
      <c r="T1827">
        <v>1287.8743455497399</v>
      </c>
      <c r="U1827">
        <v>292.937172774869</v>
      </c>
      <c r="V1827">
        <v>27</v>
      </c>
      <c r="W1827">
        <v>69</v>
      </c>
      <c r="X1827">
        <v>612.85340314136101</v>
      </c>
      <c r="Y1827">
        <v>132.97905759162299</v>
      </c>
      <c r="Z1827">
        <v>155</v>
      </c>
      <c r="AA1827">
        <v>211.02094240837701</v>
      </c>
      <c r="AB1827">
        <v>1.42739951048846</v>
      </c>
      <c r="AC1827">
        <v>2.2815532153553599</v>
      </c>
      <c r="AD1827">
        <v>2.0879373701246999</v>
      </c>
      <c r="AE1827">
        <v>0.898631811141968</v>
      </c>
      <c r="AF1827">
        <v>21.596858638743502</v>
      </c>
      <c r="AG1827">
        <f>IFERROR(AH1827*0.1, "N/A")</f>
        <v>6.8839441535776604</v>
      </c>
      <c r="AH1827">
        <v>68.839441535776601</v>
      </c>
      <c r="AI1827">
        <v>183.263807087044</v>
      </c>
      <c r="AJ1827">
        <v>31</v>
      </c>
      <c r="AK1827">
        <v>50.741710296684097</v>
      </c>
    </row>
    <row r="1828" spans="1:37" x14ac:dyDescent="0.3">
      <c r="A1828">
        <v>1827</v>
      </c>
      <c r="B1828">
        <v>31.799999</v>
      </c>
      <c r="C1828">
        <v>39.096297999999997</v>
      </c>
      <c r="D1828">
        <v>-5.0960700000000001</v>
      </c>
      <c r="E1828" t="s">
        <v>3218</v>
      </c>
      <c r="F1828" t="s">
        <v>3219</v>
      </c>
      <c r="G1828" t="s">
        <v>39</v>
      </c>
      <c r="H1828">
        <v>1970</v>
      </c>
      <c r="I1828">
        <v>26.299999237060501</v>
      </c>
      <c r="J1828">
        <v>8.8000001907348597</v>
      </c>
      <c r="K1828">
        <v>64</v>
      </c>
      <c r="L1828">
        <v>14.930000305175801</v>
      </c>
      <c r="M1828">
        <v>33.299999237060497</v>
      </c>
      <c r="N1828">
        <v>19.700000762939499</v>
      </c>
      <c r="O1828">
        <v>13.6000003814697</v>
      </c>
      <c r="P1828">
        <v>27.100000381469702</v>
      </c>
      <c r="Q1828">
        <v>27.899999618530298</v>
      </c>
      <c r="R1828">
        <v>28.100000381469702</v>
      </c>
      <c r="S1828">
        <v>24.299999237060501</v>
      </c>
      <c r="T1828">
        <v>1291</v>
      </c>
      <c r="U1828">
        <v>294</v>
      </c>
      <c r="V1828">
        <v>27</v>
      </c>
      <c r="W1828">
        <v>69</v>
      </c>
      <c r="X1828">
        <v>614</v>
      </c>
      <c r="Y1828">
        <v>133</v>
      </c>
      <c r="Z1828">
        <v>155</v>
      </c>
      <c r="AA1828">
        <v>212</v>
      </c>
      <c r="AB1828">
        <v>4.4118881092204898</v>
      </c>
      <c r="AC1828">
        <v>0.19979931870996401</v>
      </c>
      <c r="AD1828">
        <v>1.79173306756086</v>
      </c>
      <c r="AE1828">
        <v>0.88687980175018299</v>
      </c>
      <c r="AF1828">
        <v>18.625874125874098</v>
      </c>
      <c r="AG1828">
        <f>IFERROR(AH1828*0.1, "N/A")</f>
        <v>6.7019230769230802</v>
      </c>
      <c r="AH1828">
        <v>67.019230769230802</v>
      </c>
      <c r="AI1828">
        <v>159.52285297433801</v>
      </c>
      <c r="AJ1828">
        <v>30.019230769230798</v>
      </c>
      <c r="AK1828">
        <v>51.980769230769198</v>
      </c>
    </row>
    <row r="1829" spans="1:37" x14ac:dyDescent="0.3">
      <c r="A1829">
        <v>1828</v>
      </c>
      <c r="B1829">
        <v>77.199996999999996</v>
      </c>
      <c r="C1829">
        <v>38.768799000000001</v>
      </c>
      <c r="D1829">
        <v>-5.1472199999999999</v>
      </c>
      <c r="E1829" t="s">
        <v>3220</v>
      </c>
      <c r="F1829" t="s">
        <v>3221</v>
      </c>
      <c r="G1829" t="s">
        <v>39</v>
      </c>
      <c r="H1829">
        <v>1970</v>
      </c>
      <c r="I1829">
        <v>24.700000762939499</v>
      </c>
      <c r="J1829">
        <v>9.8999996185302699</v>
      </c>
      <c r="K1829">
        <v>66</v>
      </c>
      <c r="L1829">
        <v>16.559999465942401</v>
      </c>
      <c r="M1829">
        <v>32.599998474121101</v>
      </c>
      <c r="N1829">
        <v>17.600000381469702</v>
      </c>
      <c r="O1829">
        <v>15</v>
      </c>
      <c r="P1829">
        <v>25.600000381469702</v>
      </c>
      <c r="Q1829">
        <v>22.600000381469702</v>
      </c>
      <c r="R1829">
        <v>26.700000762939499</v>
      </c>
      <c r="S1829">
        <v>22.5</v>
      </c>
      <c r="T1829">
        <v>1315</v>
      </c>
      <c r="U1829">
        <v>207</v>
      </c>
      <c r="V1829">
        <v>44</v>
      </c>
      <c r="W1829">
        <v>50</v>
      </c>
      <c r="X1829">
        <v>539</v>
      </c>
      <c r="Y1829">
        <v>189</v>
      </c>
      <c r="Z1829">
        <v>228</v>
      </c>
      <c r="AA1829">
        <v>204</v>
      </c>
      <c r="AB1829">
        <v>30.9022760875588</v>
      </c>
      <c r="AC1829">
        <v>9.7367697136050008E-3</v>
      </c>
      <c r="AD1829">
        <v>6.4408609186496504</v>
      </c>
      <c r="AE1829">
        <v>0.42575588822364802</v>
      </c>
      <c r="AF1829">
        <v>224.91943957968499</v>
      </c>
      <c r="AG1829">
        <f>IFERROR(AH1829*0.1, "N/A")</f>
        <v>5.9049036777583197</v>
      </c>
      <c r="AH1829">
        <v>59.049036777583197</v>
      </c>
      <c r="AI1829">
        <v>178.89576697140799</v>
      </c>
      <c r="AJ1829">
        <v>34.239929947460602</v>
      </c>
      <c r="AK1829">
        <v>48.401050788091098</v>
      </c>
    </row>
    <row r="1830" spans="1:37" x14ac:dyDescent="0.3">
      <c r="A1830">
        <v>1829</v>
      </c>
      <c r="B1830">
        <v>51.200001</v>
      </c>
      <c r="C1830">
        <v>39.060299000000001</v>
      </c>
      <c r="D1830">
        <v>-5.2941599999999998</v>
      </c>
      <c r="E1830" t="s">
        <v>3222</v>
      </c>
      <c r="F1830" t="s">
        <v>3223</v>
      </c>
      <c r="G1830" t="s">
        <v>39</v>
      </c>
      <c r="H1830">
        <v>1970</v>
      </c>
      <c r="I1830">
        <v>26.700000762939499</v>
      </c>
      <c r="J1830">
        <v>9.1999998092651403</v>
      </c>
      <c r="K1830">
        <v>66</v>
      </c>
      <c r="L1830">
        <v>15.2799997329712</v>
      </c>
      <c r="M1830">
        <v>33.900001525878899</v>
      </c>
      <c r="N1830">
        <v>20</v>
      </c>
      <c r="O1830">
        <v>13.8999996185303</v>
      </c>
      <c r="P1830">
        <v>27.5</v>
      </c>
      <c r="Q1830">
        <v>28.299999237060501</v>
      </c>
      <c r="R1830">
        <v>28.600000381469702</v>
      </c>
      <c r="S1830">
        <v>24.700000762939499</v>
      </c>
      <c r="T1830">
        <v>1294</v>
      </c>
      <c r="U1830">
        <v>268</v>
      </c>
      <c r="V1830">
        <v>32</v>
      </c>
      <c r="W1830">
        <v>68</v>
      </c>
      <c r="X1830">
        <v>627</v>
      </c>
      <c r="Y1830">
        <v>150</v>
      </c>
      <c r="Z1830">
        <v>178</v>
      </c>
      <c r="AA1830">
        <v>198</v>
      </c>
      <c r="AB1830">
        <v>9.7741263379583803</v>
      </c>
      <c r="AC1830">
        <v>9.4794059299269998E-3</v>
      </c>
      <c r="AD1830">
        <v>0.96612390146388905</v>
      </c>
      <c r="AE1830">
        <v>0.366595178842545</v>
      </c>
      <c r="AF1830">
        <v>12.568181818181801</v>
      </c>
      <c r="AG1830">
        <f>IFERROR(AH1830*0.1, "N/A")</f>
        <v>6.6202797202797203</v>
      </c>
      <c r="AH1830">
        <v>66.2027972027972</v>
      </c>
      <c r="AI1830">
        <v>179.20875169180499</v>
      </c>
      <c r="AJ1830">
        <v>31.1993006993007</v>
      </c>
      <c r="AK1830">
        <v>52.966783216783199</v>
      </c>
    </row>
    <row r="1831" spans="1:37" x14ac:dyDescent="0.3">
      <c r="A1831">
        <v>1830</v>
      </c>
      <c r="B1831">
        <v>51.099997999999999</v>
      </c>
      <c r="C1831">
        <v>39.034100000000002</v>
      </c>
      <c r="D1831">
        <v>-5.3314500000000002</v>
      </c>
      <c r="E1831" t="s">
        <v>3224</v>
      </c>
      <c r="F1831" t="s">
        <v>3225</v>
      </c>
      <c r="G1831" t="s">
        <v>39</v>
      </c>
      <c r="H1831">
        <v>1970</v>
      </c>
      <c r="I1831">
        <v>26.690035689960801</v>
      </c>
      <c r="J1831">
        <v>9.3000001907348597</v>
      </c>
      <c r="K1831">
        <v>66</v>
      </c>
      <c r="L1831">
        <v>15.5190733846251</v>
      </c>
      <c r="M1831">
        <v>33.900001525878899</v>
      </c>
      <c r="N1831">
        <v>19.899999618530298</v>
      </c>
      <c r="O1831">
        <v>14</v>
      </c>
      <c r="P1831">
        <v>27.5</v>
      </c>
      <c r="Q1831">
        <v>28.290034354149899</v>
      </c>
      <c r="R1831">
        <v>28.5900353084911</v>
      </c>
      <c r="S1831">
        <v>24.600000381469702</v>
      </c>
      <c r="T1831">
        <v>1269.8041958041999</v>
      </c>
      <c r="U1831">
        <v>251.70104895104899</v>
      </c>
      <c r="V1831">
        <v>34</v>
      </c>
      <c r="W1831">
        <v>66</v>
      </c>
      <c r="X1831">
        <v>609.202797202797</v>
      </c>
      <c r="Y1831">
        <v>155.90034965034999</v>
      </c>
      <c r="Z1831">
        <v>182</v>
      </c>
      <c r="AA1831">
        <v>192.80069930069899</v>
      </c>
      <c r="AB1831">
        <v>10.3769231926311</v>
      </c>
      <c r="AC1831">
        <v>8.5116181200230005E-3</v>
      </c>
      <c r="AD1831">
        <v>0.37048590391665898</v>
      </c>
      <c r="AE1831">
        <v>0.45730346441268899</v>
      </c>
      <c r="AF1831">
        <v>19.938811188811201</v>
      </c>
      <c r="AG1831">
        <f>IFERROR(AH1831*0.1, "N/A")</f>
        <v>5.9701048951049005</v>
      </c>
      <c r="AH1831">
        <v>59.701048951049003</v>
      </c>
      <c r="AI1831">
        <v>56.144994162179401</v>
      </c>
      <c r="AJ1831">
        <v>25.2989510489511</v>
      </c>
      <c r="AK1831">
        <v>58.701048951049003</v>
      </c>
    </row>
    <row r="1832" spans="1:37" x14ac:dyDescent="0.3">
      <c r="A1832">
        <v>1831</v>
      </c>
      <c r="B1832">
        <v>39.599997999999999</v>
      </c>
      <c r="C1832">
        <v>37.666699999999999</v>
      </c>
      <c r="D1832">
        <v>-6.8167</v>
      </c>
      <c r="E1832" t="s">
        <v>3226</v>
      </c>
      <c r="F1832" t="s">
        <v>3227</v>
      </c>
      <c r="G1832" t="s">
        <v>39</v>
      </c>
      <c r="H1832">
        <v>1998</v>
      </c>
      <c r="I1832">
        <v>24.600000381469702</v>
      </c>
      <c r="J1832">
        <v>11.1031417247513</v>
      </c>
      <c r="K1832">
        <v>66</v>
      </c>
      <c r="L1832">
        <v>18.874520273524801</v>
      </c>
      <c r="M1832">
        <v>32.282896531189898</v>
      </c>
      <c r="N1832">
        <v>15.5076789123642</v>
      </c>
      <c r="O1832">
        <v>16.775217765288801</v>
      </c>
      <c r="P1832">
        <v>26</v>
      </c>
      <c r="Q1832">
        <v>21.852704499196399</v>
      </c>
      <c r="R1832">
        <v>26.600000381469702</v>
      </c>
      <c r="S1832">
        <v>21.852704499196399</v>
      </c>
      <c r="T1832">
        <v>943.33856893542804</v>
      </c>
      <c r="U1832">
        <v>194.116928446771</v>
      </c>
      <c r="V1832">
        <v>13</v>
      </c>
      <c r="W1832">
        <v>70.171029668411904</v>
      </c>
      <c r="X1832">
        <v>431.31064572425799</v>
      </c>
      <c r="Y1832">
        <v>49.549738219895303</v>
      </c>
      <c r="Z1832">
        <v>341.51832460732999</v>
      </c>
      <c r="AA1832">
        <v>49.549738219895303</v>
      </c>
      <c r="AB1832">
        <v>1.0703376916482601</v>
      </c>
      <c r="AC1832">
        <v>0.72466992195793201</v>
      </c>
      <c r="AD1832">
        <v>1.4065949808656699</v>
      </c>
      <c r="AE1832">
        <v>0.81322488745261601</v>
      </c>
      <c r="AF1832">
        <v>494.19546247818499</v>
      </c>
      <c r="AG1832">
        <f>IFERROR(AH1832*0.1, "N/A")</f>
        <v>7.0246073298429295</v>
      </c>
      <c r="AH1832">
        <v>70.246073298429295</v>
      </c>
      <c r="AI1832">
        <v>127.906747082349</v>
      </c>
      <c r="AJ1832">
        <v>32.200698080279203</v>
      </c>
      <c r="AK1832">
        <v>51.753926701570698</v>
      </c>
    </row>
    <row r="1833" spans="1:37" x14ac:dyDescent="0.3">
      <c r="A1833">
        <v>1832</v>
      </c>
      <c r="B1833">
        <v>6.4</v>
      </c>
      <c r="C1833">
        <v>37.666699999999999</v>
      </c>
      <c r="D1833">
        <v>-6.8167</v>
      </c>
      <c r="E1833" t="s">
        <v>3226</v>
      </c>
      <c r="F1833" t="s">
        <v>3228</v>
      </c>
      <c r="G1833" t="s">
        <v>37</v>
      </c>
      <c r="H1833">
        <v>1998</v>
      </c>
      <c r="I1833">
        <v>24.600000381469702</v>
      </c>
      <c r="J1833">
        <v>11.1031417247513</v>
      </c>
      <c r="K1833">
        <v>66</v>
      </c>
      <c r="L1833">
        <v>18.874520273524801</v>
      </c>
      <c r="M1833">
        <v>32.282896531189898</v>
      </c>
      <c r="N1833">
        <v>15.5076789123642</v>
      </c>
      <c r="O1833">
        <v>16.775217765288801</v>
      </c>
      <c r="P1833">
        <v>26</v>
      </c>
      <c r="Q1833">
        <v>21.852704499196399</v>
      </c>
      <c r="R1833">
        <v>26.600000381469702</v>
      </c>
      <c r="S1833">
        <v>21.852704499196399</v>
      </c>
      <c r="T1833">
        <v>943.33856893542804</v>
      </c>
      <c r="U1833">
        <v>194.116928446771</v>
      </c>
      <c r="V1833">
        <v>13</v>
      </c>
      <c r="W1833">
        <v>70.171029668411904</v>
      </c>
      <c r="X1833">
        <v>431.31064572425799</v>
      </c>
      <c r="Y1833">
        <v>49.549738219895303</v>
      </c>
      <c r="Z1833">
        <v>341.51832460732999</v>
      </c>
      <c r="AA1833">
        <v>49.549738219895303</v>
      </c>
      <c r="AB1833">
        <v>1.0703376916482601</v>
      </c>
      <c r="AC1833">
        <v>0.72466992195793201</v>
      </c>
      <c r="AD1833">
        <v>1.4065949808656699</v>
      </c>
      <c r="AE1833">
        <v>0.81322488745261601</v>
      </c>
      <c r="AF1833">
        <v>494.19546247818499</v>
      </c>
      <c r="AG1833">
        <f>IFERROR(AH1833*0.1, "N/A")</f>
        <v>7.0246073298429295</v>
      </c>
      <c r="AH1833">
        <v>70.246073298429295</v>
      </c>
      <c r="AI1833">
        <v>127.906747082349</v>
      </c>
      <c r="AJ1833">
        <v>32.200698080279203</v>
      </c>
      <c r="AK1833">
        <v>51.753926701570698</v>
      </c>
    </row>
    <row r="1834" spans="1:37" x14ac:dyDescent="0.3">
      <c r="A1834">
        <v>1833</v>
      </c>
      <c r="B1834">
        <v>52.099997999999999</v>
      </c>
      <c r="C1834">
        <v>38.305500000000002</v>
      </c>
      <c r="D1834">
        <v>-4.8280099999999999</v>
      </c>
      <c r="E1834" t="s">
        <v>3229</v>
      </c>
      <c r="F1834" t="s">
        <v>3230</v>
      </c>
      <c r="G1834" t="s">
        <v>39</v>
      </c>
      <c r="H1834">
        <v>1977</v>
      </c>
      <c r="I1834">
        <v>18.899999618530298</v>
      </c>
      <c r="J1834">
        <v>10.1000003814697</v>
      </c>
      <c r="K1834">
        <v>63</v>
      </c>
      <c r="L1834">
        <v>18.180000305175799</v>
      </c>
      <c r="M1834">
        <v>27.600000381469702</v>
      </c>
      <c r="N1834">
        <v>11.6000003814697</v>
      </c>
      <c r="O1834">
        <v>16</v>
      </c>
      <c r="P1834">
        <v>19.600000381469702</v>
      </c>
      <c r="Q1834">
        <v>16.600000381469702</v>
      </c>
      <c r="R1834">
        <v>21</v>
      </c>
      <c r="S1834">
        <v>16.399999618530298</v>
      </c>
      <c r="T1834">
        <v>1002</v>
      </c>
      <c r="U1834">
        <v>186</v>
      </c>
      <c r="V1834">
        <v>27</v>
      </c>
      <c r="W1834">
        <v>57</v>
      </c>
      <c r="X1834">
        <v>471</v>
      </c>
      <c r="Y1834">
        <v>95</v>
      </c>
      <c r="Z1834">
        <v>285</v>
      </c>
      <c r="AA1834">
        <v>113</v>
      </c>
      <c r="AB1834">
        <v>30.6551468698602</v>
      </c>
      <c r="AC1834">
        <v>1.8037494211538999E-2</v>
      </c>
      <c r="AD1834">
        <v>17.157405515302699</v>
      </c>
      <c r="AE1834">
        <v>0.40366590023040799</v>
      </c>
      <c r="AF1834">
        <v>1214.98947368421</v>
      </c>
      <c r="AG1834">
        <f>IFERROR(AH1834*0.1, "N/A")</f>
        <v>5.8435087719298204</v>
      </c>
      <c r="AH1834">
        <v>58.435087719298203</v>
      </c>
      <c r="AI1834">
        <v>63.320985352365597</v>
      </c>
      <c r="AJ1834">
        <v>37.410526315789497</v>
      </c>
      <c r="AK1834">
        <v>43.029824561403501</v>
      </c>
    </row>
    <row r="1835" spans="1:37" x14ac:dyDescent="0.3">
      <c r="A1835">
        <v>1834</v>
      </c>
      <c r="B1835">
        <v>0</v>
      </c>
      <c r="C1835">
        <v>38.305500000000002</v>
      </c>
      <c r="D1835">
        <v>-4.8280099999999999</v>
      </c>
      <c r="E1835" t="s">
        <v>3229</v>
      </c>
      <c r="F1835" t="s">
        <v>3231</v>
      </c>
      <c r="G1835" t="s">
        <v>37</v>
      </c>
      <c r="H1835">
        <v>1977</v>
      </c>
      <c r="I1835">
        <v>18.899999618530298</v>
      </c>
      <c r="J1835">
        <v>10.1000003814697</v>
      </c>
      <c r="K1835">
        <v>63</v>
      </c>
      <c r="L1835">
        <v>18.180000305175799</v>
      </c>
      <c r="M1835">
        <v>27.600000381469702</v>
      </c>
      <c r="N1835">
        <v>11.6000003814697</v>
      </c>
      <c r="O1835">
        <v>16</v>
      </c>
      <c r="P1835">
        <v>19.600000381469702</v>
      </c>
      <c r="Q1835">
        <v>16.600000381469702</v>
      </c>
      <c r="R1835">
        <v>21</v>
      </c>
      <c r="S1835">
        <v>16.399999618530298</v>
      </c>
      <c r="T1835">
        <v>1002</v>
      </c>
      <c r="U1835">
        <v>186</v>
      </c>
      <c r="V1835">
        <v>27</v>
      </c>
      <c r="W1835">
        <v>57</v>
      </c>
      <c r="X1835">
        <v>471</v>
      </c>
      <c r="Y1835">
        <v>95</v>
      </c>
      <c r="Z1835">
        <v>285</v>
      </c>
      <c r="AA1835">
        <v>113</v>
      </c>
      <c r="AB1835">
        <v>30.6551468698602</v>
      </c>
      <c r="AC1835">
        <v>1.8037494211538999E-2</v>
      </c>
      <c r="AD1835">
        <v>17.157405515302699</v>
      </c>
      <c r="AE1835">
        <v>0.40366590023040799</v>
      </c>
      <c r="AF1835">
        <v>1214.98947368421</v>
      </c>
      <c r="AG1835">
        <f>IFERROR(AH1835*0.1, "N/A")</f>
        <v>5.8435087719298204</v>
      </c>
      <c r="AH1835">
        <v>58.435087719298203</v>
      </c>
      <c r="AI1835">
        <v>63.320985352365597</v>
      </c>
      <c r="AJ1835">
        <v>37.410526315789497</v>
      </c>
      <c r="AK1835">
        <v>43.029824561403501</v>
      </c>
    </row>
    <row r="1836" spans="1:37" x14ac:dyDescent="0.3">
      <c r="A1836">
        <v>1835</v>
      </c>
      <c r="B1836">
        <v>13.7</v>
      </c>
      <c r="C1836">
        <v>38.571700999999997</v>
      </c>
      <c r="D1836">
        <v>-5.1053600000000001</v>
      </c>
      <c r="E1836" t="s">
        <v>3232</v>
      </c>
      <c r="F1836" t="s">
        <v>3233</v>
      </c>
      <c r="G1836" t="s">
        <v>39</v>
      </c>
      <c r="H1836">
        <v>1977</v>
      </c>
      <c r="I1836">
        <v>20</v>
      </c>
      <c r="J1836">
        <v>8.8999996185302699</v>
      </c>
      <c r="K1836">
        <v>61</v>
      </c>
      <c r="L1836">
        <v>17.2700004577637</v>
      </c>
      <c r="M1836">
        <v>27.799999237060501</v>
      </c>
      <c r="N1836">
        <v>13.3999996185303</v>
      </c>
      <c r="O1836">
        <v>14.3999996185303</v>
      </c>
      <c r="P1836">
        <v>20.799999237060501</v>
      </c>
      <c r="Q1836">
        <v>21.799999237060501</v>
      </c>
      <c r="R1836">
        <v>22</v>
      </c>
      <c r="S1836">
        <v>17.600000381469702</v>
      </c>
      <c r="T1836">
        <v>1864</v>
      </c>
      <c r="U1836">
        <v>373</v>
      </c>
      <c r="V1836">
        <v>64</v>
      </c>
      <c r="W1836">
        <v>63</v>
      </c>
      <c r="X1836">
        <v>892</v>
      </c>
      <c r="Y1836">
        <v>253</v>
      </c>
      <c r="Z1836">
        <v>302</v>
      </c>
      <c r="AA1836">
        <v>293</v>
      </c>
      <c r="AB1836">
        <v>311.43747883544501</v>
      </c>
      <c r="AC1836">
        <v>8.5146213504899999E-3</v>
      </c>
      <c r="AD1836">
        <v>10.052721269911499</v>
      </c>
      <c r="AE1836">
        <v>0.31129005551338201</v>
      </c>
      <c r="AF1836">
        <v>1068.27845884413</v>
      </c>
      <c r="AG1836">
        <f>IFERROR(AH1836*0.1, "N/A")</f>
        <v>5.2984238178634007</v>
      </c>
      <c r="AH1836">
        <v>52.984238178634001</v>
      </c>
      <c r="AI1836">
        <v>157.50166184513901</v>
      </c>
      <c r="AJ1836">
        <v>32.2714535901926</v>
      </c>
      <c r="AK1836">
        <v>44.075306479859897</v>
      </c>
    </row>
    <row r="1837" spans="1:37" x14ac:dyDescent="0.3">
      <c r="A1837">
        <v>1836</v>
      </c>
      <c r="B1837">
        <v>1.8</v>
      </c>
      <c r="C1837">
        <v>38.571700999999997</v>
      </c>
      <c r="D1837">
        <v>-5.1053600000000001</v>
      </c>
      <c r="E1837" t="s">
        <v>3232</v>
      </c>
      <c r="F1837" t="s">
        <v>3234</v>
      </c>
      <c r="G1837" t="s">
        <v>37</v>
      </c>
      <c r="H1837">
        <v>1977</v>
      </c>
      <c r="I1837">
        <v>20</v>
      </c>
      <c r="J1837">
        <v>8.8999996185302699</v>
      </c>
      <c r="K1837">
        <v>61</v>
      </c>
      <c r="L1837">
        <v>17.2700004577637</v>
      </c>
      <c r="M1837">
        <v>27.799999237060501</v>
      </c>
      <c r="N1837">
        <v>13.3999996185303</v>
      </c>
      <c r="O1837">
        <v>14.3999996185303</v>
      </c>
      <c r="P1837">
        <v>20.799999237060501</v>
      </c>
      <c r="Q1837">
        <v>21.799999237060501</v>
      </c>
      <c r="R1837">
        <v>22</v>
      </c>
      <c r="S1837">
        <v>17.600000381469702</v>
      </c>
      <c r="T1837">
        <v>1864</v>
      </c>
      <c r="U1837">
        <v>373</v>
      </c>
      <c r="V1837">
        <v>64</v>
      </c>
      <c r="W1837">
        <v>63</v>
      </c>
      <c r="X1837">
        <v>892</v>
      </c>
      <c r="Y1837">
        <v>253</v>
      </c>
      <c r="Z1837">
        <v>302</v>
      </c>
      <c r="AA1837">
        <v>293</v>
      </c>
      <c r="AB1837">
        <v>311.43747883544501</v>
      </c>
      <c r="AC1837">
        <v>8.5146213504899999E-3</v>
      </c>
      <c r="AD1837">
        <v>10.052721269911499</v>
      </c>
      <c r="AE1837">
        <v>0.31129005551338201</v>
      </c>
      <c r="AF1837">
        <v>1068.27845884413</v>
      </c>
      <c r="AG1837">
        <f>IFERROR(AH1837*0.1, "N/A")</f>
        <v>5.2984238178634007</v>
      </c>
      <c r="AH1837">
        <v>52.984238178634001</v>
      </c>
      <c r="AI1837">
        <v>157.50166184513901</v>
      </c>
      <c r="AJ1837">
        <v>32.2714535901926</v>
      </c>
      <c r="AK1837">
        <v>44.075306479859897</v>
      </c>
    </row>
    <row r="1838" spans="1:37" x14ac:dyDescent="0.3">
      <c r="A1838">
        <v>1837</v>
      </c>
      <c r="B1838">
        <v>61.900002000000001</v>
      </c>
      <c r="C1838">
        <v>36.714900999999998</v>
      </c>
      <c r="D1838">
        <v>-8.0924899999999997</v>
      </c>
      <c r="E1838" t="s">
        <v>3235</v>
      </c>
      <c r="F1838" t="s">
        <v>3236</v>
      </c>
      <c r="G1838" t="s">
        <v>39</v>
      </c>
      <c r="H1838">
        <v>1985</v>
      </c>
      <c r="I1838">
        <v>24.700000762939499</v>
      </c>
      <c r="J1838">
        <v>6.8000001907348597</v>
      </c>
      <c r="K1838">
        <v>51</v>
      </c>
      <c r="L1838">
        <v>18.271629611169001</v>
      </c>
      <c r="M1838">
        <v>30.799999237060501</v>
      </c>
      <c r="N1838">
        <v>17.6162916047941</v>
      </c>
      <c r="O1838">
        <v>13.1837087413054</v>
      </c>
      <c r="P1838">
        <v>25.516291223324401</v>
      </c>
      <c r="Q1838">
        <v>22.5</v>
      </c>
      <c r="R1838">
        <v>26.700000762939499</v>
      </c>
      <c r="S1838">
        <v>22</v>
      </c>
      <c r="T1838">
        <v>1447.1629116117899</v>
      </c>
      <c r="U1838">
        <v>354</v>
      </c>
      <c r="V1838">
        <v>6</v>
      </c>
      <c r="W1838">
        <v>98</v>
      </c>
      <c r="X1838">
        <v>872.16291161178503</v>
      </c>
      <c r="Y1838">
        <v>30.162911611785098</v>
      </c>
      <c r="Z1838">
        <v>398.83708838821502</v>
      </c>
      <c r="AA1838">
        <v>36.162911611785098</v>
      </c>
      <c r="AB1838">
        <v>14.320968654374701</v>
      </c>
      <c r="AC1838">
        <v>1.0987617283659001E-2</v>
      </c>
      <c r="AD1838">
        <v>1.3263149703602699</v>
      </c>
      <c r="AE1838">
        <v>0.60450077056884799</v>
      </c>
      <c r="AF1838">
        <v>275.892547660312</v>
      </c>
      <c r="AG1838">
        <f>IFERROR(AH1838*0.1, "N/A")</f>
        <v>6.1000000000000005</v>
      </c>
      <c r="AH1838">
        <v>61</v>
      </c>
      <c r="AI1838">
        <v>43.094423449432</v>
      </c>
      <c r="AJ1838">
        <v>21.8180242634315</v>
      </c>
      <c r="AK1838">
        <v>61.336221837088402</v>
      </c>
    </row>
    <row r="1839" spans="1:37" x14ac:dyDescent="0.3">
      <c r="A1839">
        <v>1838</v>
      </c>
      <c r="B1839">
        <v>81.900002000000001</v>
      </c>
      <c r="C1839">
        <v>32.566699999999997</v>
      </c>
      <c r="D1839">
        <v>-42.383299999999998</v>
      </c>
      <c r="E1839" t="s">
        <v>3237</v>
      </c>
      <c r="F1839" t="s">
        <v>3238</v>
      </c>
      <c r="G1839" t="s">
        <v>39</v>
      </c>
      <c r="H1839">
        <v>1964</v>
      </c>
      <c r="I1839" t="s">
        <v>729</v>
      </c>
      <c r="J1839" t="s">
        <v>729</v>
      </c>
      <c r="K1839" t="s">
        <v>729</v>
      </c>
      <c r="L1839" t="s">
        <v>729</v>
      </c>
      <c r="M1839" t="s">
        <v>729</v>
      </c>
      <c r="N1839" t="s">
        <v>729</v>
      </c>
      <c r="O1839" t="s">
        <v>729</v>
      </c>
      <c r="P1839" t="s">
        <v>729</v>
      </c>
      <c r="Q1839" t="s">
        <v>729</v>
      </c>
      <c r="R1839" t="s">
        <v>729</v>
      </c>
      <c r="S1839" t="s">
        <v>729</v>
      </c>
      <c r="T1839" t="s">
        <v>729</v>
      </c>
      <c r="U1839" t="s">
        <v>729</v>
      </c>
      <c r="V1839" t="s">
        <v>729</v>
      </c>
      <c r="W1839" t="s">
        <v>729</v>
      </c>
      <c r="X1839" t="s">
        <v>729</v>
      </c>
      <c r="Y1839" t="s">
        <v>729</v>
      </c>
      <c r="Z1839" t="s">
        <v>729</v>
      </c>
      <c r="AA1839" t="s">
        <v>729</v>
      </c>
      <c r="AB1839" t="s">
        <v>729</v>
      </c>
      <c r="AC1839" t="s">
        <v>729</v>
      </c>
      <c r="AD1839" t="s">
        <v>729</v>
      </c>
      <c r="AE1839" t="s">
        <v>729</v>
      </c>
      <c r="AF1839" t="s">
        <v>729</v>
      </c>
      <c r="AG1839" t="str">
        <f>IFERROR(AH1839*0.1, "N/A")</f>
        <v>N/A</v>
      </c>
      <c r="AH1839" t="s">
        <v>729</v>
      </c>
      <c r="AI1839" t="s">
        <v>729</v>
      </c>
      <c r="AJ1839" t="s">
        <v>729</v>
      </c>
      <c r="AK1839" t="s">
        <v>729</v>
      </c>
    </row>
    <row r="1840" spans="1:37" x14ac:dyDescent="0.3">
      <c r="A1840">
        <v>1839</v>
      </c>
      <c r="B1840">
        <v>10.8</v>
      </c>
      <c r="C1840">
        <v>32.566699999999997</v>
      </c>
      <c r="D1840">
        <v>-42.383299999999998</v>
      </c>
      <c r="E1840" t="s">
        <v>3237</v>
      </c>
      <c r="F1840" t="s">
        <v>3239</v>
      </c>
      <c r="G1840" t="s">
        <v>37</v>
      </c>
      <c r="H1840">
        <v>1964</v>
      </c>
      <c r="I1840" t="s">
        <v>729</v>
      </c>
      <c r="J1840" t="s">
        <v>729</v>
      </c>
      <c r="K1840" t="s">
        <v>729</v>
      </c>
      <c r="L1840" t="s">
        <v>729</v>
      </c>
      <c r="M1840" t="s">
        <v>729</v>
      </c>
      <c r="N1840" t="s">
        <v>729</v>
      </c>
      <c r="O1840" t="s">
        <v>729</v>
      </c>
      <c r="P1840" t="s">
        <v>729</v>
      </c>
      <c r="Q1840" t="s">
        <v>729</v>
      </c>
      <c r="R1840" t="s">
        <v>729</v>
      </c>
      <c r="S1840" t="s">
        <v>729</v>
      </c>
      <c r="T1840" t="s">
        <v>729</v>
      </c>
      <c r="U1840" t="s">
        <v>729</v>
      </c>
      <c r="V1840" t="s">
        <v>729</v>
      </c>
      <c r="W1840" t="s">
        <v>729</v>
      </c>
      <c r="X1840" t="s">
        <v>729</v>
      </c>
      <c r="Y1840" t="s">
        <v>729</v>
      </c>
      <c r="Z1840" t="s">
        <v>729</v>
      </c>
      <c r="AA1840" t="s">
        <v>729</v>
      </c>
      <c r="AB1840" t="s">
        <v>729</v>
      </c>
      <c r="AC1840" t="s">
        <v>729</v>
      </c>
      <c r="AD1840" t="s">
        <v>729</v>
      </c>
      <c r="AE1840" t="s">
        <v>729</v>
      </c>
      <c r="AF1840" t="s">
        <v>729</v>
      </c>
      <c r="AG1840" t="str">
        <f>IFERROR(AH1840*0.1, "N/A")</f>
        <v>N/A</v>
      </c>
      <c r="AH1840" t="s">
        <v>729</v>
      </c>
      <c r="AI1840" t="s">
        <v>729</v>
      </c>
      <c r="AJ1840" t="s">
        <v>729</v>
      </c>
      <c r="AK1840" t="s">
        <v>729</v>
      </c>
    </row>
    <row r="1841" spans="1:37" x14ac:dyDescent="0.3">
      <c r="A1841">
        <v>1840</v>
      </c>
      <c r="B1841">
        <v>81.699996999999996</v>
      </c>
      <c r="C1841">
        <v>32.990600999999998</v>
      </c>
      <c r="D1841">
        <v>-2.6862200000000001</v>
      </c>
      <c r="E1841" t="s">
        <v>3240</v>
      </c>
      <c r="F1841" t="s">
        <v>3241</v>
      </c>
      <c r="G1841" t="s">
        <v>39</v>
      </c>
      <c r="H1841">
        <v>1965</v>
      </c>
      <c r="I1841">
        <v>22.600000381469702</v>
      </c>
      <c r="J1841">
        <v>11</v>
      </c>
      <c r="K1841">
        <v>70</v>
      </c>
      <c r="L1841">
        <v>6.9200000762939498</v>
      </c>
      <c r="M1841">
        <v>30.200000762939499</v>
      </c>
      <c r="N1841">
        <v>14.699999809265099</v>
      </c>
      <c r="O1841">
        <v>15.5</v>
      </c>
      <c r="P1841">
        <v>22.399999618530298</v>
      </c>
      <c r="Q1841">
        <v>21.899999618530298</v>
      </c>
      <c r="R1841">
        <v>23.5</v>
      </c>
      <c r="S1841">
        <v>21.799999237060501</v>
      </c>
      <c r="T1841">
        <v>995</v>
      </c>
      <c r="U1841">
        <v>164</v>
      </c>
      <c r="V1841">
        <v>7</v>
      </c>
      <c r="W1841">
        <v>67</v>
      </c>
      <c r="X1841">
        <v>401</v>
      </c>
      <c r="Y1841">
        <v>30</v>
      </c>
      <c r="Z1841">
        <v>255</v>
      </c>
      <c r="AA1841">
        <v>94</v>
      </c>
      <c r="AB1841">
        <v>26.255900421409802</v>
      </c>
      <c r="AC1841">
        <v>1.284535934793E-2</v>
      </c>
      <c r="AD1841">
        <v>2.4594922082436699</v>
      </c>
      <c r="AE1841">
        <v>0.60869351619179302</v>
      </c>
      <c r="AF1841">
        <v>1233.3870402802099</v>
      </c>
      <c r="AG1841">
        <f>IFERROR(AH1841*0.1, "N/A")</f>
        <v>6.4</v>
      </c>
      <c r="AH1841">
        <v>64</v>
      </c>
      <c r="AI1841">
        <v>192.33383053113201</v>
      </c>
      <c r="AJ1841">
        <v>13.299474605954501</v>
      </c>
      <c r="AK1841">
        <v>74.700525394045499</v>
      </c>
    </row>
    <row r="1842" spans="1:37" x14ac:dyDescent="0.3">
      <c r="A1842">
        <v>1841</v>
      </c>
      <c r="B1842">
        <v>45.299999</v>
      </c>
      <c r="C1842">
        <v>39.255198999999998</v>
      </c>
      <c r="D1842">
        <v>-5.9297899999999997</v>
      </c>
      <c r="E1842" t="s">
        <v>3242</v>
      </c>
      <c r="F1842" t="s">
        <v>3243</v>
      </c>
      <c r="G1842" t="s">
        <v>39</v>
      </c>
      <c r="H1842">
        <v>1966</v>
      </c>
      <c r="I1842">
        <v>27.100000381469702</v>
      </c>
      <c r="J1842">
        <v>9.3000001907348597</v>
      </c>
      <c r="K1842">
        <v>68</v>
      </c>
      <c r="L1842">
        <v>12.960000038146999</v>
      </c>
      <c r="M1842">
        <v>34.099998474121101</v>
      </c>
      <c r="N1842">
        <v>20.5</v>
      </c>
      <c r="O1842">
        <v>13.6000003814697</v>
      </c>
      <c r="P1842">
        <v>27.799999237060501</v>
      </c>
      <c r="Q1842">
        <v>25.399999618530298</v>
      </c>
      <c r="R1842">
        <v>28.700000762939499</v>
      </c>
      <c r="S1842">
        <v>25.399999618530298</v>
      </c>
      <c r="T1842">
        <v>1700</v>
      </c>
      <c r="U1842">
        <v>399</v>
      </c>
      <c r="V1842">
        <v>57</v>
      </c>
      <c r="W1842">
        <v>77</v>
      </c>
      <c r="X1842">
        <v>929</v>
      </c>
      <c r="Y1842">
        <v>193</v>
      </c>
      <c r="Z1842">
        <v>324</v>
      </c>
      <c r="AA1842">
        <v>193</v>
      </c>
      <c r="AB1842">
        <v>13.7808032210585</v>
      </c>
      <c r="AC1842">
        <v>1.1841925514462E-2</v>
      </c>
      <c r="AD1842">
        <v>1.6359472481784201</v>
      </c>
      <c r="AE1842">
        <v>0.40283218026161199</v>
      </c>
      <c r="AF1842">
        <v>77.376963350785303</v>
      </c>
      <c r="AG1842">
        <f>IFERROR(AH1842*0.1, "N/A")</f>
        <v>5.4492146596858611</v>
      </c>
      <c r="AH1842">
        <v>54.492146596858603</v>
      </c>
      <c r="AI1842">
        <v>84.846958539872901</v>
      </c>
      <c r="AJ1842">
        <v>22.5078534031414</v>
      </c>
      <c r="AK1842">
        <v>61.476439790575903</v>
      </c>
    </row>
    <row r="1843" spans="1:37" x14ac:dyDescent="0.3">
      <c r="A1843">
        <v>1842</v>
      </c>
      <c r="B1843">
        <v>0.4</v>
      </c>
      <c r="C1843">
        <v>39.255198999999998</v>
      </c>
      <c r="D1843">
        <v>-5.9297899999999997</v>
      </c>
      <c r="E1843" t="s">
        <v>3242</v>
      </c>
      <c r="F1843" t="s">
        <v>3244</v>
      </c>
      <c r="G1843" t="s">
        <v>37</v>
      </c>
      <c r="H1843">
        <v>1966</v>
      </c>
      <c r="I1843">
        <v>27.100000381469702</v>
      </c>
      <c r="J1843">
        <v>9.3000001907348597</v>
      </c>
      <c r="K1843">
        <v>68</v>
      </c>
      <c r="L1843">
        <v>12.960000038146999</v>
      </c>
      <c r="M1843">
        <v>34.099998474121101</v>
      </c>
      <c r="N1843">
        <v>20.5</v>
      </c>
      <c r="O1843">
        <v>13.6000003814697</v>
      </c>
      <c r="P1843">
        <v>27.799999237060501</v>
      </c>
      <c r="Q1843">
        <v>25.399999618530298</v>
      </c>
      <c r="R1843">
        <v>28.700000762939499</v>
      </c>
      <c r="S1843">
        <v>25.399999618530298</v>
      </c>
      <c r="T1843">
        <v>1700</v>
      </c>
      <c r="U1843">
        <v>399</v>
      </c>
      <c r="V1843">
        <v>57</v>
      </c>
      <c r="W1843">
        <v>77</v>
      </c>
      <c r="X1843">
        <v>929</v>
      </c>
      <c r="Y1843">
        <v>193</v>
      </c>
      <c r="Z1843">
        <v>324</v>
      </c>
      <c r="AA1843">
        <v>193</v>
      </c>
      <c r="AB1843">
        <v>13.7808032210585</v>
      </c>
      <c r="AC1843">
        <v>1.1841925514462E-2</v>
      </c>
      <c r="AD1843">
        <v>1.6359472481784201</v>
      </c>
      <c r="AE1843">
        <v>0.40283218026161199</v>
      </c>
      <c r="AF1843">
        <v>77.376963350785303</v>
      </c>
      <c r="AG1843">
        <f>IFERROR(AH1843*0.1, "N/A")</f>
        <v>5.4492146596858611</v>
      </c>
      <c r="AH1843">
        <v>54.492146596858603</v>
      </c>
      <c r="AI1843">
        <v>84.846958539872901</v>
      </c>
      <c r="AJ1843">
        <v>22.5078534031414</v>
      </c>
      <c r="AK1843">
        <v>61.476439790575903</v>
      </c>
    </row>
    <row r="1844" spans="1:37" x14ac:dyDescent="0.3">
      <c r="A1844">
        <v>1843</v>
      </c>
      <c r="B1844">
        <v>31.799999</v>
      </c>
      <c r="C1844">
        <v>32.925499000000002</v>
      </c>
      <c r="D1844">
        <v>-2.6367699999999998</v>
      </c>
      <c r="E1844" t="s">
        <v>3245</v>
      </c>
      <c r="F1844" t="s">
        <v>3246</v>
      </c>
      <c r="G1844" t="s">
        <v>39</v>
      </c>
      <c r="H1844">
        <v>1966</v>
      </c>
      <c r="I1844">
        <v>22.700000762939499</v>
      </c>
      <c r="J1844">
        <v>10.800000190734901</v>
      </c>
      <c r="K1844">
        <v>72.870175438596505</v>
      </c>
      <c r="L1844">
        <v>5.9016840968215698</v>
      </c>
      <c r="M1844">
        <v>29.700000762939499</v>
      </c>
      <c r="N1844">
        <v>14.9870174943355</v>
      </c>
      <c r="O1844">
        <v>14.712982314929601</v>
      </c>
      <c r="P1844">
        <v>22.700000762939499</v>
      </c>
      <c r="Q1844">
        <v>22</v>
      </c>
      <c r="R1844">
        <v>23.4870174943355</v>
      </c>
      <c r="S1844">
        <v>22</v>
      </c>
      <c r="T1844">
        <v>1008.38947368421</v>
      </c>
      <c r="U1844">
        <v>166</v>
      </c>
      <c r="V1844">
        <v>7</v>
      </c>
      <c r="W1844">
        <v>66</v>
      </c>
      <c r="X1844">
        <v>406.12982456140298</v>
      </c>
      <c r="Y1844">
        <v>33</v>
      </c>
      <c r="Z1844">
        <v>262.12982456140401</v>
      </c>
      <c r="AA1844">
        <v>33</v>
      </c>
      <c r="AB1844">
        <v>21.545804636102002</v>
      </c>
      <c r="AC1844">
        <v>1.7602313643223001E-2</v>
      </c>
      <c r="AD1844">
        <v>2.9103241569117499</v>
      </c>
      <c r="AE1844">
        <v>0.67379111051559404</v>
      </c>
      <c r="AF1844">
        <v>1170.71052631579</v>
      </c>
      <c r="AG1844">
        <f>IFERROR(AH1844*0.1, "N/A")</f>
        <v>6</v>
      </c>
      <c r="AH1844">
        <v>60</v>
      </c>
      <c r="AI1844">
        <v>157.75288409852101</v>
      </c>
      <c r="AJ1844">
        <v>23.177192982456098</v>
      </c>
      <c r="AK1844">
        <v>63.9</v>
      </c>
    </row>
    <row r="1845" spans="1:37" x14ac:dyDescent="0.3">
      <c r="A1845">
        <v>1844</v>
      </c>
      <c r="B1845">
        <v>27.200001</v>
      </c>
      <c r="C1845">
        <v>33.031101</v>
      </c>
      <c r="D1845">
        <v>-2.6467100000000001</v>
      </c>
      <c r="E1845" t="s">
        <v>3247</v>
      </c>
      <c r="F1845" t="s">
        <v>3248</v>
      </c>
      <c r="G1845" t="s">
        <v>39</v>
      </c>
      <c r="H1845">
        <v>1966</v>
      </c>
      <c r="I1845">
        <v>22.899999618530298</v>
      </c>
      <c r="J1845">
        <v>10.8999996185303</v>
      </c>
      <c r="K1845">
        <v>71</v>
      </c>
      <c r="L1845">
        <v>6.71000003814697</v>
      </c>
      <c r="M1845">
        <v>30.299999237060501</v>
      </c>
      <c r="N1845">
        <v>15.1000003814697</v>
      </c>
      <c r="O1845">
        <v>15.199999809265099</v>
      </c>
      <c r="P1845">
        <v>22.799999237060501</v>
      </c>
      <c r="Q1845">
        <v>22.100000381469702</v>
      </c>
      <c r="R1845">
        <v>23.700000762939499</v>
      </c>
      <c r="S1845">
        <v>22.100000381469702</v>
      </c>
      <c r="T1845">
        <v>972</v>
      </c>
      <c r="U1845">
        <v>161</v>
      </c>
      <c r="V1845">
        <v>6</v>
      </c>
      <c r="W1845">
        <v>67</v>
      </c>
      <c r="X1845">
        <v>395</v>
      </c>
      <c r="Y1845">
        <v>29</v>
      </c>
      <c r="Z1845">
        <v>246</v>
      </c>
      <c r="AA1845">
        <v>93</v>
      </c>
      <c r="AB1845">
        <v>18.8745741434983</v>
      </c>
      <c r="AC1845">
        <v>5.0336177433121999E-2</v>
      </c>
      <c r="AD1845">
        <v>2.6695275818195099</v>
      </c>
      <c r="AE1845">
        <v>0.56991332769393899</v>
      </c>
      <c r="AF1845">
        <v>1182.7355516637499</v>
      </c>
      <c r="AG1845">
        <f>IFERROR(AH1845*0.1, "N/A")</f>
        <v>6.3781085814360807</v>
      </c>
      <c r="AH1845">
        <v>63.7810858143608</v>
      </c>
      <c r="AI1845">
        <v>49.332623306381301</v>
      </c>
      <c r="AJ1845">
        <v>24.4781085814361</v>
      </c>
      <c r="AK1845">
        <v>61.448336252189101</v>
      </c>
    </row>
    <row r="1846" spans="1:37" x14ac:dyDescent="0.3">
      <c r="A1846">
        <v>1845</v>
      </c>
      <c r="B1846">
        <v>31.700001</v>
      </c>
      <c r="C1846">
        <v>33.031101</v>
      </c>
      <c r="D1846">
        <v>-2.6467100000000001</v>
      </c>
      <c r="E1846" t="s">
        <v>3247</v>
      </c>
      <c r="F1846" t="s">
        <v>3249</v>
      </c>
      <c r="G1846" t="s">
        <v>37</v>
      </c>
      <c r="H1846">
        <v>1966</v>
      </c>
      <c r="I1846">
        <v>22.899999618530298</v>
      </c>
      <c r="J1846">
        <v>10.8999996185303</v>
      </c>
      <c r="K1846">
        <v>71</v>
      </c>
      <c r="L1846">
        <v>6.71000003814697</v>
      </c>
      <c r="M1846">
        <v>30.299999237060501</v>
      </c>
      <c r="N1846">
        <v>15.1000003814697</v>
      </c>
      <c r="O1846">
        <v>15.199999809265099</v>
      </c>
      <c r="P1846">
        <v>22.799999237060501</v>
      </c>
      <c r="Q1846">
        <v>22.100000381469702</v>
      </c>
      <c r="R1846">
        <v>23.700000762939499</v>
      </c>
      <c r="S1846">
        <v>22.100000381469702</v>
      </c>
      <c r="T1846">
        <v>972</v>
      </c>
      <c r="U1846">
        <v>161</v>
      </c>
      <c r="V1846">
        <v>6</v>
      </c>
      <c r="W1846">
        <v>67</v>
      </c>
      <c r="X1846">
        <v>395</v>
      </c>
      <c r="Y1846">
        <v>29</v>
      </c>
      <c r="Z1846">
        <v>246</v>
      </c>
      <c r="AA1846">
        <v>93</v>
      </c>
      <c r="AB1846">
        <v>18.8745741434983</v>
      </c>
      <c r="AC1846">
        <v>5.0336177433121999E-2</v>
      </c>
      <c r="AD1846">
        <v>2.6695275818195099</v>
      </c>
      <c r="AE1846">
        <v>0.56991332769393899</v>
      </c>
      <c r="AF1846">
        <v>1182.7355516637499</v>
      </c>
      <c r="AG1846">
        <f>IFERROR(AH1846*0.1, "N/A")</f>
        <v>6.3781085814360807</v>
      </c>
      <c r="AH1846">
        <v>63.7810858143608</v>
      </c>
      <c r="AI1846">
        <v>49.332623306381301</v>
      </c>
      <c r="AJ1846">
        <v>24.4781085814361</v>
      </c>
      <c r="AK1846">
        <v>61.448336252189101</v>
      </c>
    </row>
    <row r="1847" spans="1:37" x14ac:dyDescent="0.3">
      <c r="A1847">
        <v>1846</v>
      </c>
      <c r="B1847">
        <v>10</v>
      </c>
      <c r="C1847">
        <v>32.897700999999998</v>
      </c>
      <c r="D1847">
        <v>-2.7119499999999999</v>
      </c>
      <c r="E1847" t="s">
        <v>3250</v>
      </c>
      <c r="F1847" t="s">
        <v>3251</v>
      </c>
      <c r="G1847" t="s">
        <v>39</v>
      </c>
      <c r="H1847">
        <v>1966</v>
      </c>
      <c r="I1847">
        <v>22.899999618530298</v>
      </c>
      <c r="J1847">
        <v>11</v>
      </c>
      <c r="K1847">
        <v>73</v>
      </c>
      <c r="L1847">
        <v>6.0100002288818404</v>
      </c>
      <c r="M1847">
        <v>30.100000381469702</v>
      </c>
      <c r="N1847">
        <v>15.1000003814697</v>
      </c>
      <c r="O1847">
        <v>15</v>
      </c>
      <c r="P1847">
        <v>22.799999237060501</v>
      </c>
      <c r="Q1847">
        <v>22.200000762939499</v>
      </c>
      <c r="R1847">
        <v>23.600000381469702</v>
      </c>
      <c r="S1847">
        <v>22.200000762939499</v>
      </c>
      <c r="T1847">
        <v>978</v>
      </c>
      <c r="U1847">
        <v>159</v>
      </c>
      <c r="V1847">
        <v>6</v>
      </c>
      <c r="W1847">
        <v>67</v>
      </c>
      <c r="X1847">
        <v>392</v>
      </c>
      <c r="Y1847">
        <v>29</v>
      </c>
      <c r="Z1847">
        <v>254</v>
      </c>
      <c r="AA1847">
        <v>29</v>
      </c>
      <c r="AB1847">
        <v>25.532694677476901</v>
      </c>
      <c r="AC1847">
        <v>2.2434144909371002E-2</v>
      </c>
      <c r="AD1847">
        <v>2.5899924463044099</v>
      </c>
      <c r="AE1847">
        <v>0.508111515866432</v>
      </c>
      <c r="AF1847">
        <v>1159.4200351493901</v>
      </c>
      <c r="AG1847">
        <f>IFERROR(AH1847*0.1, "N/A")</f>
        <v>5.83479789103691</v>
      </c>
      <c r="AH1847">
        <v>58.3479789103691</v>
      </c>
      <c r="AI1847">
        <v>244.86660251718001</v>
      </c>
      <c r="AJ1847">
        <v>32.123022847100202</v>
      </c>
      <c r="AK1847">
        <v>51.405975395430602</v>
      </c>
    </row>
    <row r="1848" spans="1:37" x14ac:dyDescent="0.3">
      <c r="A1848">
        <v>1847</v>
      </c>
      <c r="B1848">
        <v>35.299999</v>
      </c>
      <c r="C1848">
        <v>32.897700999999998</v>
      </c>
      <c r="D1848">
        <v>-2.7119499999999999</v>
      </c>
      <c r="E1848" t="s">
        <v>3250</v>
      </c>
      <c r="F1848" t="s">
        <v>3252</v>
      </c>
      <c r="G1848" t="s">
        <v>37</v>
      </c>
      <c r="H1848">
        <v>1966</v>
      </c>
      <c r="I1848">
        <v>22.899999618530298</v>
      </c>
      <c r="J1848">
        <v>11</v>
      </c>
      <c r="K1848">
        <v>73</v>
      </c>
      <c r="L1848">
        <v>6.0100002288818404</v>
      </c>
      <c r="M1848">
        <v>30.100000381469702</v>
      </c>
      <c r="N1848">
        <v>15.1000003814697</v>
      </c>
      <c r="O1848">
        <v>15</v>
      </c>
      <c r="P1848">
        <v>22.799999237060501</v>
      </c>
      <c r="Q1848">
        <v>22.200000762939499</v>
      </c>
      <c r="R1848">
        <v>23.600000381469702</v>
      </c>
      <c r="S1848">
        <v>22.200000762939499</v>
      </c>
      <c r="T1848">
        <v>978</v>
      </c>
      <c r="U1848">
        <v>159</v>
      </c>
      <c r="V1848">
        <v>6</v>
      </c>
      <c r="W1848">
        <v>67</v>
      </c>
      <c r="X1848">
        <v>392</v>
      </c>
      <c r="Y1848">
        <v>29</v>
      </c>
      <c r="Z1848">
        <v>254</v>
      </c>
      <c r="AA1848">
        <v>29</v>
      </c>
      <c r="AB1848">
        <v>25.532694677476901</v>
      </c>
      <c r="AC1848">
        <v>2.2434144909371002E-2</v>
      </c>
      <c r="AD1848">
        <v>2.5899924463044099</v>
      </c>
      <c r="AE1848">
        <v>0.508111515866432</v>
      </c>
      <c r="AF1848">
        <v>1159.4200351493901</v>
      </c>
      <c r="AG1848">
        <f>IFERROR(AH1848*0.1, "N/A")</f>
        <v>5.83479789103691</v>
      </c>
      <c r="AH1848">
        <v>58.3479789103691</v>
      </c>
      <c r="AI1848">
        <v>244.86660251718001</v>
      </c>
      <c r="AJ1848">
        <v>32.123022847100202</v>
      </c>
      <c r="AK1848">
        <v>51.405975395430602</v>
      </c>
    </row>
    <row r="1849" spans="1:37" x14ac:dyDescent="0.3">
      <c r="A1849">
        <v>1848</v>
      </c>
      <c r="B1849">
        <v>29.5</v>
      </c>
      <c r="C1849">
        <v>32.917197999999999</v>
      </c>
      <c r="D1849">
        <v>-2.7331300000000001</v>
      </c>
      <c r="E1849" t="s">
        <v>3253</v>
      </c>
      <c r="F1849" t="s">
        <v>3254</v>
      </c>
      <c r="G1849" t="s">
        <v>39</v>
      </c>
      <c r="H1849">
        <v>1966</v>
      </c>
      <c r="I1849">
        <v>22.8015814447654</v>
      </c>
      <c r="J1849">
        <v>11</v>
      </c>
      <c r="K1849">
        <v>71.251318101933194</v>
      </c>
      <c r="L1849">
        <v>6.5812126999370699</v>
      </c>
      <c r="M1849">
        <v>30.226714142596599</v>
      </c>
      <c r="N1849">
        <v>14.9518451590111</v>
      </c>
      <c r="O1849">
        <v>15.2748682846713</v>
      </c>
      <c r="P1849">
        <v>22.701582236533</v>
      </c>
      <c r="Q1849">
        <v>22.026713634417199</v>
      </c>
      <c r="R1849">
        <v>23.626713761126901</v>
      </c>
      <c r="S1849">
        <v>22.026713634417199</v>
      </c>
      <c r="T1849">
        <v>974.93673110720499</v>
      </c>
      <c r="U1849">
        <v>158.74868189806699</v>
      </c>
      <c r="V1849">
        <v>6</v>
      </c>
      <c r="W1849">
        <v>67</v>
      </c>
      <c r="X1849">
        <v>391.85061511423498</v>
      </c>
      <c r="Y1849">
        <v>28.251318101933201</v>
      </c>
      <c r="Z1849">
        <v>251.117750439367</v>
      </c>
      <c r="AA1849">
        <v>28.251318101933201</v>
      </c>
      <c r="AB1849">
        <v>12.415579475711199</v>
      </c>
      <c r="AC1849">
        <v>4.2751696820065001E-2</v>
      </c>
      <c r="AD1849">
        <v>2.7122480475420701</v>
      </c>
      <c r="AE1849">
        <v>0.40303242206573497</v>
      </c>
      <c r="AF1849">
        <v>1150.97891036907</v>
      </c>
      <c r="AG1849">
        <f>IFERROR(AH1849*0.1, "N/A")</f>
        <v>5.7</v>
      </c>
      <c r="AH1849">
        <v>57</v>
      </c>
      <c r="AI1849">
        <v>190.215662253971</v>
      </c>
      <c r="AJ1849">
        <v>26.414762741652002</v>
      </c>
      <c r="AK1849">
        <v>58.302284710017602</v>
      </c>
    </row>
    <row r="1850" spans="1:37" x14ac:dyDescent="0.3">
      <c r="A1850">
        <v>1849</v>
      </c>
      <c r="B1850">
        <v>81.300003000000004</v>
      </c>
      <c r="C1850">
        <v>33.050998999999997</v>
      </c>
      <c r="D1850">
        <v>-2.75536</v>
      </c>
      <c r="E1850" t="s">
        <v>3255</v>
      </c>
      <c r="F1850" t="s">
        <v>3256</v>
      </c>
      <c r="G1850" t="s">
        <v>39</v>
      </c>
      <c r="H1850">
        <v>1966</v>
      </c>
      <c r="I1850">
        <v>22.799999237060501</v>
      </c>
      <c r="J1850">
        <v>11.1000003814697</v>
      </c>
      <c r="K1850">
        <v>71</v>
      </c>
      <c r="L1850">
        <v>7.0100002288818404</v>
      </c>
      <c r="M1850">
        <v>30.5</v>
      </c>
      <c r="N1850">
        <v>14.8999996185303</v>
      </c>
      <c r="O1850">
        <v>15.6000003814697</v>
      </c>
      <c r="P1850">
        <v>22.700000762939499</v>
      </c>
      <c r="Q1850">
        <v>22</v>
      </c>
      <c r="R1850">
        <v>23.799999237060501</v>
      </c>
      <c r="S1850">
        <v>22</v>
      </c>
      <c r="T1850">
        <v>941</v>
      </c>
      <c r="U1850">
        <v>156</v>
      </c>
      <c r="V1850">
        <v>5</v>
      </c>
      <c r="W1850">
        <v>68</v>
      </c>
      <c r="X1850">
        <v>384</v>
      </c>
      <c r="Y1850">
        <v>25</v>
      </c>
      <c r="Z1850">
        <v>233</v>
      </c>
      <c r="AA1850">
        <v>88</v>
      </c>
      <c r="AB1850">
        <v>13.1916512472588</v>
      </c>
      <c r="AC1850">
        <v>6.9952904946055994E-2</v>
      </c>
      <c r="AD1850">
        <v>2.2573886168630501</v>
      </c>
      <c r="AE1850">
        <v>0.59607177972793601</v>
      </c>
      <c r="AF1850">
        <v>1191.12631578947</v>
      </c>
      <c r="AG1850">
        <f>IFERROR(AH1850*0.1, "N/A")</f>
        <v>6.4024561403508802</v>
      </c>
      <c r="AH1850">
        <v>64.024561403508798</v>
      </c>
      <c r="AI1850">
        <v>88.448603322213202</v>
      </c>
      <c r="AJ1850">
        <v>19</v>
      </c>
      <c r="AK1850">
        <v>67.312280701754403</v>
      </c>
    </row>
    <row r="1851" spans="1:37" x14ac:dyDescent="0.3">
      <c r="A1851">
        <v>1850</v>
      </c>
      <c r="B1851">
        <v>18.200001</v>
      </c>
      <c r="C1851">
        <v>33.050998999999997</v>
      </c>
      <c r="D1851">
        <v>-2.75536</v>
      </c>
      <c r="E1851" t="s">
        <v>3255</v>
      </c>
      <c r="F1851" t="s">
        <v>3257</v>
      </c>
      <c r="G1851" t="s">
        <v>37</v>
      </c>
      <c r="H1851">
        <v>1966</v>
      </c>
      <c r="I1851">
        <v>22.799999237060501</v>
      </c>
      <c r="J1851">
        <v>11.1000003814697</v>
      </c>
      <c r="K1851">
        <v>71</v>
      </c>
      <c r="L1851">
        <v>7.0100002288818404</v>
      </c>
      <c r="M1851">
        <v>30.5</v>
      </c>
      <c r="N1851">
        <v>14.8999996185303</v>
      </c>
      <c r="O1851">
        <v>15.6000003814697</v>
      </c>
      <c r="P1851">
        <v>22.700000762939499</v>
      </c>
      <c r="Q1851">
        <v>22</v>
      </c>
      <c r="R1851">
        <v>23.799999237060501</v>
      </c>
      <c r="S1851">
        <v>22</v>
      </c>
      <c r="T1851">
        <v>941</v>
      </c>
      <c r="U1851">
        <v>156</v>
      </c>
      <c r="V1851">
        <v>5</v>
      </c>
      <c r="W1851">
        <v>68</v>
      </c>
      <c r="X1851">
        <v>384</v>
      </c>
      <c r="Y1851">
        <v>25</v>
      </c>
      <c r="Z1851">
        <v>233</v>
      </c>
      <c r="AA1851">
        <v>88</v>
      </c>
      <c r="AB1851">
        <v>13.1916512472588</v>
      </c>
      <c r="AC1851">
        <v>6.9952904946055994E-2</v>
      </c>
      <c r="AD1851">
        <v>2.2573886168630501</v>
      </c>
      <c r="AE1851">
        <v>0.59607177972793601</v>
      </c>
      <c r="AF1851">
        <v>1191.12631578947</v>
      </c>
      <c r="AG1851">
        <f>IFERROR(AH1851*0.1, "N/A")</f>
        <v>6.4024561403508802</v>
      </c>
      <c r="AH1851">
        <v>64.024561403508798</v>
      </c>
      <c r="AI1851">
        <v>88.448603322213202</v>
      </c>
      <c r="AJ1851">
        <v>19</v>
      </c>
      <c r="AK1851">
        <v>67.312280701754403</v>
      </c>
    </row>
    <row r="1852" spans="1:37" x14ac:dyDescent="0.3">
      <c r="A1852">
        <v>1851</v>
      </c>
      <c r="B1852">
        <v>17.100000000000001</v>
      </c>
      <c r="C1852">
        <v>32.931099000000003</v>
      </c>
      <c r="D1852">
        <v>-2.7557200000000002</v>
      </c>
      <c r="E1852" t="s">
        <v>3258</v>
      </c>
      <c r="F1852" t="s">
        <v>3259</v>
      </c>
      <c r="G1852" t="s">
        <v>39</v>
      </c>
      <c r="H1852">
        <v>1966</v>
      </c>
      <c r="I1852">
        <v>22.899999618530298</v>
      </c>
      <c r="J1852">
        <v>11</v>
      </c>
      <c r="K1852">
        <v>71</v>
      </c>
      <c r="L1852">
        <v>6.71000003814697</v>
      </c>
      <c r="M1852">
        <v>30.399999618530298</v>
      </c>
      <c r="N1852">
        <v>15</v>
      </c>
      <c r="O1852">
        <v>15.3999996185303</v>
      </c>
      <c r="P1852">
        <v>22.799999237060501</v>
      </c>
      <c r="Q1852">
        <v>22.100000381469702</v>
      </c>
      <c r="R1852">
        <v>23.700000762939499</v>
      </c>
      <c r="S1852">
        <v>22.100000381469702</v>
      </c>
      <c r="T1852">
        <v>962</v>
      </c>
      <c r="U1852">
        <v>156</v>
      </c>
      <c r="V1852">
        <v>6</v>
      </c>
      <c r="W1852">
        <v>67</v>
      </c>
      <c r="X1852">
        <v>386</v>
      </c>
      <c r="Y1852">
        <v>28</v>
      </c>
      <c r="Z1852">
        <v>246</v>
      </c>
      <c r="AA1852">
        <v>89</v>
      </c>
      <c r="AB1852">
        <v>0.96579225774396904</v>
      </c>
      <c r="AC1852">
        <v>0.27991748522117499</v>
      </c>
      <c r="AD1852">
        <v>1.04750679804568</v>
      </c>
      <c r="AE1852">
        <v>0.57834291458129905</v>
      </c>
      <c r="AF1852">
        <v>1149.3508771929801</v>
      </c>
      <c r="AG1852">
        <f>IFERROR(AH1852*0.1, "N/A")</f>
        <v>5.7028070175438605</v>
      </c>
      <c r="AH1852">
        <v>57.0280701754386</v>
      </c>
      <c r="AI1852">
        <v>99.279366222180798</v>
      </c>
      <c r="AJ1852">
        <v>21.294736842105301</v>
      </c>
      <c r="AK1852">
        <v>65.099999999999994</v>
      </c>
    </row>
    <row r="1853" spans="1:37" x14ac:dyDescent="0.3">
      <c r="A1853">
        <v>1852</v>
      </c>
      <c r="B1853">
        <v>37.900002000000001</v>
      </c>
      <c r="C1853">
        <v>32.931099000000003</v>
      </c>
      <c r="D1853">
        <v>-2.7557200000000002</v>
      </c>
      <c r="E1853" t="s">
        <v>3258</v>
      </c>
      <c r="F1853" t="s">
        <v>3260</v>
      </c>
      <c r="G1853" t="s">
        <v>37</v>
      </c>
      <c r="H1853">
        <v>1966</v>
      </c>
      <c r="I1853">
        <v>22.899999618530298</v>
      </c>
      <c r="J1853">
        <v>11</v>
      </c>
      <c r="K1853">
        <v>71</v>
      </c>
      <c r="L1853">
        <v>6.71000003814697</v>
      </c>
      <c r="M1853">
        <v>30.399999618530298</v>
      </c>
      <c r="N1853">
        <v>15</v>
      </c>
      <c r="O1853">
        <v>15.3999996185303</v>
      </c>
      <c r="P1853">
        <v>22.799999237060501</v>
      </c>
      <c r="Q1853">
        <v>22.100000381469702</v>
      </c>
      <c r="R1853">
        <v>23.700000762939499</v>
      </c>
      <c r="S1853">
        <v>22.100000381469702</v>
      </c>
      <c r="T1853">
        <v>962</v>
      </c>
      <c r="U1853">
        <v>156</v>
      </c>
      <c r="V1853">
        <v>6</v>
      </c>
      <c r="W1853">
        <v>67</v>
      </c>
      <c r="X1853">
        <v>386</v>
      </c>
      <c r="Y1853">
        <v>28</v>
      </c>
      <c r="Z1853">
        <v>246</v>
      </c>
      <c r="AA1853">
        <v>89</v>
      </c>
      <c r="AB1853">
        <v>0.96579225774396904</v>
      </c>
      <c r="AC1853">
        <v>0.27991748522117499</v>
      </c>
      <c r="AD1853">
        <v>1.04750679804568</v>
      </c>
      <c r="AE1853">
        <v>0.57834291458129905</v>
      </c>
      <c r="AF1853">
        <v>1149.3508771929801</v>
      </c>
      <c r="AG1853">
        <f>IFERROR(AH1853*0.1, "N/A")</f>
        <v>5.7028070175438605</v>
      </c>
      <c r="AH1853">
        <v>57.0280701754386</v>
      </c>
      <c r="AI1853">
        <v>99.279366222180798</v>
      </c>
      <c r="AJ1853">
        <v>21.294736842105301</v>
      </c>
      <c r="AK1853">
        <v>65.099999999999994</v>
      </c>
    </row>
    <row r="1854" spans="1:37" x14ac:dyDescent="0.3">
      <c r="A1854">
        <v>1853</v>
      </c>
      <c r="B1854">
        <v>78.599997999999999</v>
      </c>
      <c r="C1854">
        <v>33.001201999999999</v>
      </c>
      <c r="D1854">
        <v>-2.7578200000000002</v>
      </c>
      <c r="E1854" t="s">
        <v>3261</v>
      </c>
      <c r="F1854" t="s">
        <v>3262</v>
      </c>
      <c r="G1854" t="s">
        <v>39</v>
      </c>
      <c r="H1854">
        <v>1966</v>
      </c>
      <c r="I1854">
        <v>22.799999237060501</v>
      </c>
      <c r="J1854">
        <v>11.1000003814697</v>
      </c>
      <c r="K1854">
        <v>71</v>
      </c>
      <c r="L1854">
        <v>6.9899997711181596</v>
      </c>
      <c r="M1854">
        <v>30.5</v>
      </c>
      <c r="N1854">
        <v>14.8999996185303</v>
      </c>
      <c r="O1854">
        <v>15.6000003814697</v>
      </c>
      <c r="P1854">
        <v>22.600000381469702</v>
      </c>
      <c r="Q1854">
        <v>22</v>
      </c>
      <c r="R1854">
        <v>23.700000762939499</v>
      </c>
      <c r="S1854">
        <v>22</v>
      </c>
      <c r="T1854">
        <v>956</v>
      </c>
      <c r="U1854">
        <v>157</v>
      </c>
      <c r="V1854">
        <v>6</v>
      </c>
      <c r="W1854">
        <v>68</v>
      </c>
      <c r="X1854">
        <v>387</v>
      </c>
      <c r="Y1854">
        <v>27</v>
      </c>
      <c r="Z1854">
        <v>240</v>
      </c>
      <c r="AA1854">
        <v>90</v>
      </c>
      <c r="AB1854">
        <v>29.035962128220898</v>
      </c>
      <c r="AC1854">
        <v>9.8862830059309997E-3</v>
      </c>
      <c r="AD1854">
        <v>1.1485380022149301</v>
      </c>
      <c r="AE1854">
        <v>0.69598156213760398</v>
      </c>
      <c r="AF1854">
        <v>1185</v>
      </c>
      <c r="AG1854">
        <f>IFERROR(AH1854*0.1, "N/A")</f>
        <v>6.1000000000000005</v>
      </c>
      <c r="AH1854">
        <v>61</v>
      </c>
      <c r="AI1854">
        <v>201.37024560225601</v>
      </c>
      <c r="AJ1854">
        <v>12</v>
      </c>
      <c r="AK1854">
        <v>76</v>
      </c>
    </row>
    <row r="1855" spans="1:37" x14ac:dyDescent="0.3">
      <c r="A1855">
        <v>1854</v>
      </c>
      <c r="B1855">
        <v>0</v>
      </c>
      <c r="C1855">
        <v>33.001201999999999</v>
      </c>
      <c r="D1855">
        <v>-2.7578200000000002</v>
      </c>
      <c r="E1855" t="s">
        <v>3261</v>
      </c>
      <c r="F1855" t="s">
        <v>3263</v>
      </c>
      <c r="G1855" t="s">
        <v>37</v>
      </c>
      <c r="H1855">
        <v>1966</v>
      </c>
      <c r="I1855">
        <v>22.799999237060501</v>
      </c>
      <c r="J1855">
        <v>11.1000003814697</v>
      </c>
      <c r="K1855">
        <v>71</v>
      </c>
      <c r="L1855">
        <v>6.9899997711181596</v>
      </c>
      <c r="M1855">
        <v>30.5</v>
      </c>
      <c r="N1855">
        <v>14.8999996185303</v>
      </c>
      <c r="O1855">
        <v>15.6000003814697</v>
      </c>
      <c r="P1855">
        <v>22.600000381469702</v>
      </c>
      <c r="Q1855">
        <v>22</v>
      </c>
      <c r="R1855">
        <v>23.700000762939499</v>
      </c>
      <c r="S1855">
        <v>22</v>
      </c>
      <c r="T1855">
        <v>956</v>
      </c>
      <c r="U1855">
        <v>157</v>
      </c>
      <c r="V1855">
        <v>6</v>
      </c>
      <c r="W1855">
        <v>68</v>
      </c>
      <c r="X1855">
        <v>387</v>
      </c>
      <c r="Y1855">
        <v>27</v>
      </c>
      <c r="Z1855">
        <v>240</v>
      </c>
      <c r="AA1855">
        <v>90</v>
      </c>
      <c r="AB1855">
        <v>29.035962128220898</v>
      </c>
      <c r="AC1855">
        <v>9.8862830059309997E-3</v>
      </c>
      <c r="AD1855">
        <v>1.1485380022149301</v>
      </c>
      <c r="AE1855">
        <v>0.69598156213760398</v>
      </c>
      <c r="AF1855">
        <v>1185</v>
      </c>
      <c r="AG1855">
        <f>IFERROR(AH1855*0.1, "N/A")</f>
        <v>6.1000000000000005</v>
      </c>
      <c r="AH1855">
        <v>61</v>
      </c>
      <c r="AI1855">
        <v>201.37024560225601</v>
      </c>
      <c r="AJ1855">
        <v>12</v>
      </c>
      <c r="AK1855">
        <v>76</v>
      </c>
    </row>
    <row r="1856" spans="1:37" x14ac:dyDescent="0.3">
      <c r="A1856">
        <v>1855</v>
      </c>
      <c r="B1856">
        <v>52.599997999999999</v>
      </c>
      <c r="C1856">
        <v>33.027901</v>
      </c>
      <c r="D1856">
        <v>-2.7680600000000002</v>
      </c>
      <c r="E1856" t="s">
        <v>3264</v>
      </c>
      <c r="F1856" t="s">
        <v>3265</v>
      </c>
      <c r="G1856" t="s">
        <v>39</v>
      </c>
      <c r="H1856">
        <v>1966</v>
      </c>
      <c r="I1856">
        <v>22.799999237060501</v>
      </c>
      <c r="J1856">
        <v>11.1000003814697</v>
      </c>
      <c r="K1856">
        <v>71</v>
      </c>
      <c r="L1856">
        <v>7.0500001907348597</v>
      </c>
      <c r="M1856">
        <v>30.5</v>
      </c>
      <c r="N1856">
        <v>14.8999996185303</v>
      </c>
      <c r="O1856">
        <v>15.6000003814697</v>
      </c>
      <c r="P1856">
        <v>22.700000762939499</v>
      </c>
      <c r="Q1856">
        <v>22</v>
      </c>
      <c r="R1856">
        <v>23.799999237060501</v>
      </c>
      <c r="S1856">
        <v>22</v>
      </c>
      <c r="T1856">
        <v>941</v>
      </c>
      <c r="U1856">
        <v>155</v>
      </c>
      <c r="V1856">
        <v>5</v>
      </c>
      <c r="W1856">
        <v>68</v>
      </c>
      <c r="X1856">
        <v>383</v>
      </c>
      <c r="Y1856">
        <v>25</v>
      </c>
      <c r="Z1856">
        <v>234</v>
      </c>
      <c r="AA1856">
        <v>87</v>
      </c>
      <c r="AB1856">
        <v>22.9116646443184</v>
      </c>
      <c r="AC1856">
        <v>1.5080446472329E-2</v>
      </c>
      <c r="AD1856">
        <v>1.93762977973858</v>
      </c>
      <c r="AE1856">
        <v>0.64001401310855399</v>
      </c>
      <c r="AF1856">
        <v>1187.32513181019</v>
      </c>
      <c r="AG1856">
        <f>IFERROR(AH1856*0.1, "N/A")</f>
        <v>6.1629173989455204</v>
      </c>
      <c r="AH1856">
        <v>61.629173989455197</v>
      </c>
      <c r="AI1856">
        <v>272.06015199684703</v>
      </c>
      <c r="AJ1856">
        <v>16.8980667838313</v>
      </c>
      <c r="AK1856">
        <v>70.226713532513202</v>
      </c>
    </row>
    <row r="1857" spans="1:37" x14ac:dyDescent="0.3">
      <c r="A1857">
        <v>1856</v>
      </c>
      <c r="B1857">
        <v>9.6999999999999993</v>
      </c>
      <c r="C1857">
        <v>33.027901</v>
      </c>
      <c r="D1857">
        <v>-2.7680600000000002</v>
      </c>
      <c r="E1857" t="s">
        <v>3264</v>
      </c>
      <c r="F1857" t="s">
        <v>3266</v>
      </c>
      <c r="G1857" t="s">
        <v>37</v>
      </c>
      <c r="H1857">
        <v>1966</v>
      </c>
      <c r="I1857">
        <v>22.799999237060501</v>
      </c>
      <c r="J1857">
        <v>11.1000003814697</v>
      </c>
      <c r="K1857">
        <v>71</v>
      </c>
      <c r="L1857">
        <v>7.0500001907348597</v>
      </c>
      <c r="M1857">
        <v>30.5</v>
      </c>
      <c r="N1857">
        <v>14.8999996185303</v>
      </c>
      <c r="O1857">
        <v>15.6000003814697</v>
      </c>
      <c r="P1857">
        <v>22.700000762939499</v>
      </c>
      <c r="Q1857">
        <v>22</v>
      </c>
      <c r="R1857">
        <v>23.799999237060501</v>
      </c>
      <c r="S1857">
        <v>22</v>
      </c>
      <c r="T1857">
        <v>941</v>
      </c>
      <c r="U1857">
        <v>155</v>
      </c>
      <c r="V1857">
        <v>5</v>
      </c>
      <c r="W1857">
        <v>68</v>
      </c>
      <c r="X1857">
        <v>383</v>
      </c>
      <c r="Y1857">
        <v>25</v>
      </c>
      <c r="Z1857">
        <v>234</v>
      </c>
      <c r="AA1857">
        <v>87</v>
      </c>
      <c r="AB1857">
        <v>22.9116646443184</v>
      </c>
      <c r="AC1857">
        <v>1.5080446472329E-2</v>
      </c>
      <c r="AD1857">
        <v>1.93762977973858</v>
      </c>
      <c r="AE1857">
        <v>0.64001401310855399</v>
      </c>
      <c r="AF1857">
        <v>1187.32513181019</v>
      </c>
      <c r="AG1857">
        <f>IFERROR(AH1857*0.1, "N/A")</f>
        <v>6.1629173989455204</v>
      </c>
      <c r="AH1857">
        <v>61.629173989455197</v>
      </c>
      <c r="AI1857">
        <v>272.06015199684703</v>
      </c>
      <c r="AJ1857">
        <v>16.8980667838313</v>
      </c>
      <c r="AK1857">
        <v>70.226713532513202</v>
      </c>
    </row>
    <row r="1858" spans="1:37" x14ac:dyDescent="0.3">
      <c r="A1858">
        <v>1857</v>
      </c>
      <c r="B1858">
        <v>55.299999</v>
      </c>
      <c r="C1858">
        <v>33.081798999999997</v>
      </c>
      <c r="D1858">
        <v>-2.77311</v>
      </c>
      <c r="E1858" t="s">
        <v>3267</v>
      </c>
      <c r="F1858" t="s">
        <v>3268</v>
      </c>
      <c r="G1858" t="s">
        <v>39</v>
      </c>
      <c r="H1858">
        <v>1966</v>
      </c>
      <c r="I1858">
        <v>22.600000381469702</v>
      </c>
      <c r="J1858">
        <v>11.1000003814697</v>
      </c>
      <c r="K1858">
        <v>71</v>
      </c>
      <c r="L1858">
        <v>6.96000003814697</v>
      </c>
      <c r="M1858">
        <v>30.299999237060501</v>
      </c>
      <c r="N1858">
        <v>14.800000190734901</v>
      </c>
      <c r="O1858">
        <v>15.5</v>
      </c>
      <c r="P1858">
        <v>22.5</v>
      </c>
      <c r="Q1858">
        <v>21.799999237060501</v>
      </c>
      <c r="R1858">
        <v>23.5</v>
      </c>
      <c r="S1858">
        <v>21.799999237060501</v>
      </c>
      <c r="T1858">
        <v>946</v>
      </c>
      <c r="U1858">
        <v>158</v>
      </c>
      <c r="V1858">
        <v>5</v>
      </c>
      <c r="W1858">
        <v>69</v>
      </c>
      <c r="X1858">
        <v>389</v>
      </c>
      <c r="Y1858">
        <v>25</v>
      </c>
      <c r="Z1858">
        <v>232</v>
      </c>
      <c r="AA1858">
        <v>87</v>
      </c>
      <c r="AB1858">
        <v>26.236676315012598</v>
      </c>
      <c r="AC1858">
        <v>3.4827405819259999E-2</v>
      </c>
      <c r="AD1858">
        <v>2.3846083424841402</v>
      </c>
      <c r="AE1858">
        <v>0.69644154490402199</v>
      </c>
      <c r="AF1858">
        <v>1237.5043936731099</v>
      </c>
      <c r="AG1858">
        <f>IFERROR(AH1858*0.1, "N/A")</f>
        <v>6.3000000000000007</v>
      </c>
      <c r="AH1858">
        <v>63</v>
      </c>
      <c r="AI1858">
        <v>300.81865666662702</v>
      </c>
      <c r="AJ1858">
        <v>13.263620386643201</v>
      </c>
      <c r="AK1858">
        <v>75</v>
      </c>
    </row>
    <row r="1859" spans="1:37" x14ac:dyDescent="0.3">
      <c r="A1859">
        <v>1858</v>
      </c>
      <c r="B1859">
        <v>32.700001</v>
      </c>
      <c r="C1859">
        <v>33.050899999999999</v>
      </c>
      <c r="D1859">
        <v>-2.8157199999999998</v>
      </c>
      <c r="E1859" t="s">
        <v>3269</v>
      </c>
      <c r="F1859" t="s">
        <v>3270</v>
      </c>
      <c r="G1859" t="s">
        <v>39</v>
      </c>
      <c r="H1859">
        <v>1966</v>
      </c>
      <c r="I1859">
        <v>22.889806258029001</v>
      </c>
      <c r="J1859">
        <v>11.1000003814697</v>
      </c>
      <c r="K1859">
        <v>70</v>
      </c>
      <c r="L1859">
        <v>7.2371353617032899</v>
      </c>
      <c r="M1859">
        <v>30.689807402438099</v>
      </c>
      <c r="N1859">
        <v>14.989806639498701</v>
      </c>
      <c r="O1859">
        <v>15.699999809265099</v>
      </c>
      <c r="P1859">
        <v>22.700000762939499</v>
      </c>
      <c r="Q1859">
        <v>22.089807020968401</v>
      </c>
      <c r="R1859">
        <v>23.799999237060501</v>
      </c>
      <c r="S1859">
        <v>22.089807020968401</v>
      </c>
      <c r="T1859">
        <v>921.79613356766299</v>
      </c>
      <c r="U1859">
        <v>152</v>
      </c>
      <c r="V1859">
        <v>4</v>
      </c>
      <c r="W1859">
        <v>69.898066783831297</v>
      </c>
      <c r="X1859">
        <v>378.10193321616902</v>
      </c>
      <c r="Y1859">
        <v>22</v>
      </c>
      <c r="Z1859">
        <v>225.79613356766299</v>
      </c>
      <c r="AA1859">
        <v>28.115992970122999</v>
      </c>
      <c r="AB1859">
        <v>18.735869235020299</v>
      </c>
      <c r="AC1859">
        <v>2.904931100344E-2</v>
      </c>
      <c r="AD1859">
        <v>2.5137738783455901</v>
      </c>
      <c r="AE1859">
        <v>0.69278383255004905</v>
      </c>
      <c r="AF1859">
        <v>1185.3778558875199</v>
      </c>
      <c r="AG1859">
        <f>IFERROR(AH1859*0.1, "N/A")</f>
        <v>6.3801405975395404</v>
      </c>
      <c r="AH1859">
        <v>63.801405975395397</v>
      </c>
      <c r="AI1859">
        <v>267.23157998840901</v>
      </c>
      <c r="AJ1859">
        <v>13</v>
      </c>
      <c r="AK1859">
        <v>75</v>
      </c>
    </row>
    <row r="1860" spans="1:37" x14ac:dyDescent="0.3">
      <c r="A1860">
        <v>1859</v>
      </c>
      <c r="B1860">
        <v>53.099997999999999</v>
      </c>
      <c r="C1860">
        <v>37.338901999999997</v>
      </c>
      <c r="D1860">
        <v>-3.4585400000000002</v>
      </c>
      <c r="E1860" t="s">
        <v>3271</v>
      </c>
      <c r="F1860" t="s">
        <v>3272</v>
      </c>
      <c r="G1860" t="s">
        <v>37</v>
      </c>
      <c r="H1860">
        <v>1967</v>
      </c>
      <c r="I1860">
        <v>23.700000762939499</v>
      </c>
      <c r="J1860">
        <v>12.3999996185303</v>
      </c>
      <c r="K1860">
        <v>70</v>
      </c>
      <c r="L1860">
        <v>16.955964941727501</v>
      </c>
      <c r="M1860">
        <v>33.200000762939503</v>
      </c>
      <c r="N1860">
        <v>15.699999809265099</v>
      </c>
      <c r="O1860">
        <v>17.5</v>
      </c>
      <c r="P1860">
        <v>24.299999237060501</v>
      </c>
      <c r="Q1860">
        <v>21.550877387063501</v>
      </c>
      <c r="R1860">
        <v>25.600000381469702</v>
      </c>
      <c r="S1860">
        <v>21.250877179597602</v>
      </c>
      <c r="T1860">
        <v>601.92982456140396</v>
      </c>
      <c r="U1860">
        <v>183.96491228070201</v>
      </c>
      <c r="V1860">
        <v>8</v>
      </c>
      <c r="W1860">
        <v>94</v>
      </c>
      <c r="X1860">
        <v>345.947368421053</v>
      </c>
      <c r="Y1860">
        <v>29</v>
      </c>
      <c r="Z1860">
        <v>158.491228070175</v>
      </c>
      <c r="AA1860">
        <v>32</v>
      </c>
      <c r="AB1860">
        <v>2.8233262446888698</v>
      </c>
      <c r="AC1860">
        <v>9.5804644454470008E-3</v>
      </c>
      <c r="AD1860">
        <v>1.22435195142763</v>
      </c>
      <c r="AE1860">
        <v>0.54541963338851895</v>
      </c>
      <c r="AF1860">
        <v>731.22631578947403</v>
      </c>
      <c r="AG1860">
        <f>IFERROR(AH1860*0.1, "N/A")</f>
        <v>7.18771929824561</v>
      </c>
      <c r="AH1860">
        <v>71.877192982456094</v>
      </c>
      <c r="AI1860">
        <v>172.66686164454401</v>
      </c>
      <c r="AJ1860">
        <v>30.491228070175399</v>
      </c>
      <c r="AK1860">
        <v>39.754385964912302</v>
      </c>
    </row>
    <row r="1861" spans="1:37" x14ac:dyDescent="0.3">
      <c r="A1861">
        <v>1860</v>
      </c>
      <c r="B1861">
        <v>0</v>
      </c>
      <c r="C1861">
        <v>37.3279</v>
      </c>
      <c r="D1861">
        <v>-3.5108000000000001</v>
      </c>
      <c r="E1861" t="s">
        <v>3273</v>
      </c>
      <c r="F1861" t="s">
        <v>3274</v>
      </c>
      <c r="G1861" t="s">
        <v>39</v>
      </c>
      <c r="H1861">
        <v>1967</v>
      </c>
      <c r="I1861">
        <v>23.700000762939499</v>
      </c>
      <c r="J1861">
        <v>12.3999996185303</v>
      </c>
      <c r="K1861">
        <v>71</v>
      </c>
      <c r="L1861">
        <v>16.780000686645501</v>
      </c>
      <c r="M1861">
        <v>33.099998474121101</v>
      </c>
      <c r="N1861">
        <v>15.699999809265099</v>
      </c>
      <c r="O1861">
        <v>17.399999618530298</v>
      </c>
      <c r="P1861">
        <v>24.299999237060501</v>
      </c>
      <c r="Q1861">
        <v>21.299999237060501</v>
      </c>
      <c r="R1861">
        <v>25.5</v>
      </c>
      <c r="S1861">
        <v>21.299999237060501</v>
      </c>
      <c r="T1861">
        <v>554</v>
      </c>
      <c r="U1861">
        <v>164</v>
      </c>
      <c r="V1861">
        <v>7</v>
      </c>
      <c r="W1861">
        <v>91</v>
      </c>
      <c r="X1861">
        <v>314</v>
      </c>
      <c r="Y1861">
        <v>25</v>
      </c>
      <c r="Z1861">
        <v>157</v>
      </c>
      <c r="AA1861">
        <v>25</v>
      </c>
      <c r="AB1861">
        <v>1.3710271369384299</v>
      </c>
      <c r="AC1861">
        <v>2.0828013151216001E-2</v>
      </c>
      <c r="AD1861">
        <v>1.9311996625052199</v>
      </c>
      <c r="AE1861">
        <v>0.60755270719528198</v>
      </c>
      <c r="AF1861">
        <v>709.54833040421795</v>
      </c>
      <c r="AG1861">
        <f>IFERROR(AH1861*0.1, "N/A")</f>
        <v>6.4031634446397208</v>
      </c>
      <c r="AH1861">
        <v>64.031634446397206</v>
      </c>
      <c r="AI1861">
        <v>231.82878386995301</v>
      </c>
      <c r="AJ1861">
        <v>32.031634446397199</v>
      </c>
      <c r="AK1861">
        <v>42.968365553602801</v>
      </c>
    </row>
    <row r="1862" spans="1:37" x14ac:dyDescent="0.3">
      <c r="A1862">
        <v>1861</v>
      </c>
      <c r="B1862">
        <v>53.099997999999999</v>
      </c>
      <c r="C1862">
        <v>37.329498000000001</v>
      </c>
      <c r="D1862">
        <v>-3.5418099999999999</v>
      </c>
      <c r="E1862" t="s">
        <v>3275</v>
      </c>
      <c r="F1862" t="s">
        <v>3276</v>
      </c>
      <c r="G1862" t="s">
        <v>37</v>
      </c>
      <c r="H1862">
        <v>1967</v>
      </c>
      <c r="I1862">
        <v>23.700000762939499</v>
      </c>
      <c r="J1862">
        <v>12.3999996185303</v>
      </c>
      <c r="K1862">
        <v>71</v>
      </c>
      <c r="L1862">
        <v>16.463743414317399</v>
      </c>
      <c r="M1862">
        <v>33.099998474121101</v>
      </c>
      <c r="N1862">
        <v>15.7718805755588</v>
      </c>
      <c r="O1862">
        <v>17.328118852236599</v>
      </c>
      <c r="P1862">
        <v>24.399999618530298</v>
      </c>
      <c r="Q1862">
        <v>21.399999618530298</v>
      </c>
      <c r="R1862">
        <v>25.5</v>
      </c>
      <c r="S1862">
        <v>21.399999618530298</v>
      </c>
      <c r="T1862">
        <v>535.59402460456897</v>
      </c>
      <c r="U1862">
        <v>154.156414762742</v>
      </c>
      <c r="V1862">
        <v>7</v>
      </c>
      <c r="W1862">
        <v>90.718804920913897</v>
      </c>
      <c r="X1862">
        <v>300.15641476274197</v>
      </c>
      <c r="Y1862">
        <v>24</v>
      </c>
      <c r="Z1862">
        <v>157.28119507908599</v>
      </c>
      <c r="AA1862">
        <v>24</v>
      </c>
      <c r="AB1862">
        <v>0.86503271226933198</v>
      </c>
      <c r="AC1862">
        <v>2.7724794303648E-2</v>
      </c>
      <c r="AD1862">
        <v>1.0770554894512701</v>
      </c>
      <c r="AE1862">
        <v>0.57258599996566795</v>
      </c>
      <c r="AF1862">
        <v>703.57293497363798</v>
      </c>
      <c r="AG1862">
        <f>IFERROR(AH1862*0.1, "N/A")</f>
        <v>6.90492091388401</v>
      </c>
      <c r="AH1862">
        <v>69.049209138840098</v>
      </c>
      <c r="AI1862">
        <v>207.28685676025</v>
      </c>
      <c r="AJ1862">
        <v>32.231985940245998</v>
      </c>
      <c r="AK1862">
        <v>41.797891036906897</v>
      </c>
    </row>
    <row r="1863" spans="1:37" x14ac:dyDescent="0.3">
      <c r="A1863">
        <v>1862</v>
      </c>
      <c r="B1863">
        <v>25.200001</v>
      </c>
      <c r="C1863">
        <v>37.3279</v>
      </c>
      <c r="D1863">
        <v>-3.5108000000000001</v>
      </c>
      <c r="E1863" t="s">
        <v>3273</v>
      </c>
      <c r="F1863" t="s">
        <v>3277</v>
      </c>
      <c r="G1863" t="s">
        <v>37</v>
      </c>
      <c r="H1863">
        <v>1967</v>
      </c>
      <c r="I1863">
        <v>23.700000762939499</v>
      </c>
      <c r="J1863">
        <v>12.3999996185303</v>
      </c>
      <c r="K1863">
        <v>71</v>
      </c>
      <c r="L1863">
        <v>16.780000686645501</v>
      </c>
      <c r="M1863">
        <v>33.099998474121101</v>
      </c>
      <c r="N1863">
        <v>15.699999809265099</v>
      </c>
      <c r="O1863">
        <v>17.399999618530298</v>
      </c>
      <c r="P1863">
        <v>24.299999237060501</v>
      </c>
      <c r="Q1863">
        <v>21.299999237060501</v>
      </c>
      <c r="R1863">
        <v>25.5</v>
      </c>
      <c r="S1863">
        <v>21.299999237060501</v>
      </c>
      <c r="T1863">
        <v>554</v>
      </c>
      <c r="U1863">
        <v>164</v>
      </c>
      <c r="V1863">
        <v>7</v>
      </c>
      <c r="W1863">
        <v>91</v>
      </c>
      <c r="X1863">
        <v>314</v>
      </c>
      <c r="Y1863">
        <v>25</v>
      </c>
      <c r="Z1863">
        <v>157</v>
      </c>
      <c r="AA1863">
        <v>25</v>
      </c>
      <c r="AB1863">
        <v>1.3710271369384299</v>
      </c>
      <c r="AC1863">
        <v>2.0828013151216001E-2</v>
      </c>
      <c r="AD1863">
        <v>1.9311996625052199</v>
      </c>
      <c r="AE1863">
        <v>0.60755270719528198</v>
      </c>
      <c r="AF1863">
        <v>709.54833040421795</v>
      </c>
      <c r="AG1863">
        <f>IFERROR(AH1863*0.1, "N/A")</f>
        <v>6.4031634446397208</v>
      </c>
      <c r="AH1863">
        <v>64.031634446397206</v>
      </c>
      <c r="AI1863">
        <v>231.82878386995301</v>
      </c>
      <c r="AJ1863">
        <v>32.031634446397199</v>
      </c>
      <c r="AK1863">
        <v>42.968365553602801</v>
      </c>
    </row>
    <row r="1864" spans="1:37" x14ac:dyDescent="0.3">
      <c r="A1864">
        <v>1863</v>
      </c>
      <c r="B1864">
        <v>18.200001</v>
      </c>
      <c r="C1864">
        <v>39.299999</v>
      </c>
      <c r="D1864">
        <v>-5.9333299999999998</v>
      </c>
      <c r="E1864" t="s">
        <v>3278</v>
      </c>
      <c r="F1864" t="s">
        <v>3279</v>
      </c>
      <c r="G1864" t="s">
        <v>39</v>
      </c>
      <c r="H1864">
        <v>1965</v>
      </c>
      <c r="I1864">
        <v>27.172203290712599</v>
      </c>
      <c r="J1864">
        <v>9.1999998092651403</v>
      </c>
      <c r="K1864">
        <v>68</v>
      </c>
      <c r="L1864">
        <v>12.8341434768864</v>
      </c>
      <c r="M1864">
        <v>34.108215458743203</v>
      </c>
      <c r="N1864">
        <v>20.6996509478642</v>
      </c>
      <c r="O1864">
        <v>13.408566084775099</v>
      </c>
      <c r="P1864">
        <v>27.8167826879275</v>
      </c>
      <c r="Q1864">
        <v>25.4547201069919</v>
      </c>
      <c r="R1864">
        <v>28.772202785198498</v>
      </c>
      <c r="S1864">
        <v>25.4547201069919</v>
      </c>
      <c r="T1864">
        <v>1764.6783216783199</v>
      </c>
      <c r="U1864">
        <v>438.31818181818198</v>
      </c>
      <c r="V1864">
        <v>53.379370629370598</v>
      </c>
      <c r="W1864">
        <v>82.085664335664305</v>
      </c>
      <c r="X1864">
        <v>993.58216783216801</v>
      </c>
      <c r="Y1864">
        <v>187.20454545454501</v>
      </c>
      <c r="Z1864">
        <v>326</v>
      </c>
      <c r="AA1864">
        <v>187.20454545454501</v>
      </c>
      <c r="AB1864">
        <v>6.83898810406665</v>
      </c>
      <c r="AC1864">
        <v>0.12171649534607</v>
      </c>
      <c r="AD1864">
        <v>2.8268583129336</v>
      </c>
      <c r="AE1864">
        <v>0.41108828783035301</v>
      </c>
      <c r="AF1864">
        <v>67.681818181818201</v>
      </c>
      <c r="AG1864">
        <f>IFERROR(AH1864*0.1, "N/A")</f>
        <v>5.6174825174825207</v>
      </c>
      <c r="AH1864">
        <v>56.174825174825202</v>
      </c>
      <c r="AI1864">
        <v>292.68327064780902</v>
      </c>
      <c r="AJ1864">
        <v>25.475524475524502</v>
      </c>
      <c r="AK1864">
        <v>61.524475524475498</v>
      </c>
    </row>
    <row r="1865" spans="1:37" x14ac:dyDescent="0.3">
      <c r="A1865">
        <v>1864</v>
      </c>
      <c r="B1865">
        <v>20</v>
      </c>
      <c r="C1865">
        <v>39.745601999999998</v>
      </c>
      <c r="D1865">
        <v>-4.94313</v>
      </c>
      <c r="E1865" t="s">
        <v>3280</v>
      </c>
      <c r="F1865" t="s">
        <v>3281</v>
      </c>
      <c r="G1865" t="s">
        <v>39</v>
      </c>
      <c r="H1865">
        <v>1965</v>
      </c>
      <c r="I1865">
        <v>25.5</v>
      </c>
      <c r="J1865">
        <v>8.3000001907348597</v>
      </c>
      <c r="K1865">
        <v>66</v>
      </c>
      <c r="L1865">
        <v>13.060000419616699</v>
      </c>
      <c r="M1865">
        <v>31.799999237060501</v>
      </c>
      <c r="N1865">
        <v>19.299999237060501</v>
      </c>
      <c r="O1865">
        <v>12.5</v>
      </c>
      <c r="P1865">
        <v>25.399999618530298</v>
      </c>
      <c r="Q1865">
        <v>23.799999237060501</v>
      </c>
      <c r="R1865">
        <v>27.100000381469702</v>
      </c>
      <c r="S1865">
        <v>23.799999237060501</v>
      </c>
      <c r="T1865">
        <v>1669</v>
      </c>
      <c r="U1865">
        <v>387</v>
      </c>
      <c r="V1865">
        <v>45</v>
      </c>
      <c r="W1865">
        <v>81</v>
      </c>
      <c r="X1865">
        <v>888</v>
      </c>
      <c r="Y1865">
        <v>191</v>
      </c>
      <c r="Z1865">
        <v>221</v>
      </c>
      <c r="AA1865">
        <v>191</v>
      </c>
      <c r="AB1865">
        <v>5.1080280989668596</v>
      </c>
      <c r="AC1865">
        <v>8.5166951456150004E-3</v>
      </c>
      <c r="AD1865">
        <v>1.5348978845652901</v>
      </c>
      <c r="AE1865">
        <v>0.38854259252548201</v>
      </c>
      <c r="AF1865">
        <v>26.5497382198953</v>
      </c>
      <c r="AG1865">
        <f>IFERROR(AH1865*0.1, "N/A")</f>
        <v>5.6972076788830703</v>
      </c>
      <c r="AH1865">
        <v>56.972076788830698</v>
      </c>
      <c r="AI1865">
        <v>196.87626027478399</v>
      </c>
      <c r="AJ1865">
        <v>23.4904013961606</v>
      </c>
      <c r="AK1865">
        <v>56.373472949389203</v>
      </c>
    </row>
    <row r="1866" spans="1:37" x14ac:dyDescent="0.3">
      <c r="A1866">
        <v>1865</v>
      </c>
      <c r="B1866">
        <v>44</v>
      </c>
      <c r="C1866">
        <v>39.776501000000003</v>
      </c>
      <c r="D1866">
        <v>-5.05769</v>
      </c>
      <c r="E1866" t="s">
        <v>3282</v>
      </c>
      <c r="F1866" t="s">
        <v>3283</v>
      </c>
      <c r="G1866" t="s">
        <v>39</v>
      </c>
      <c r="H1866">
        <v>1965</v>
      </c>
      <c r="I1866">
        <v>25.398601011796401</v>
      </c>
      <c r="J1866">
        <v>8.3000001907348597</v>
      </c>
      <c r="K1866">
        <v>66</v>
      </c>
      <c r="L1866">
        <v>12.978880662184499</v>
      </c>
      <c r="M1866">
        <v>31.600000381469702</v>
      </c>
      <c r="N1866">
        <v>19.100000381469702</v>
      </c>
      <c r="O1866">
        <v>12.5</v>
      </c>
      <c r="P1866">
        <v>26.200000762939499</v>
      </c>
      <c r="Q1866">
        <v>23.600000381469702</v>
      </c>
      <c r="R1866">
        <v>26.898601011796401</v>
      </c>
      <c r="S1866">
        <v>23.600000381469702</v>
      </c>
      <c r="T1866">
        <v>1635.91608391608</v>
      </c>
      <c r="U1866">
        <v>390</v>
      </c>
      <c r="V1866">
        <v>33.986013986014001</v>
      </c>
      <c r="W1866">
        <v>83.013986013985999</v>
      </c>
      <c r="X1866">
        <v>886.98601398601397</v>
      </c>
      <c r="Y1866">
        <v>154.958041958042</v>
      </c>
      <c r="Z1866">
        <v>254.013986013986</v>
      </c>
      <c r="AA1866">
        <v>154.958041958042</v>
      </c>
      <c r="AB1866">
        <v>18.150000892318999</v>
      </c>
      <c r="AC1866">
        <v>1.1269293580582001E-2</v>
      </c>
      <c r="AD1866">
        <v>1.7638930965970401</v>
      </c>
      <c r="AE1866">
        <v>0.39143458008766202</v>
      </c>
      <c r="AF1866">
        <v>52.963286713286699</v>
      </c>
      <c r="AG1866">
        <f>IFERROR(AH1866*0.1, "N/A")</f>
        <v>5.6000000000000005</v>
      </c>
      <c r="AH1866">
        <v>56</v>
      </c>
      <c r="AI1866">
        <v>99.511222839355497</v>
      </c>
      <c r="AJ1866">
        <v>20.638111888111901</v>
      </c>
      <c r="AK1866">
        <v>60.361888111888099</v>
      </c>
    </row>
    <row r="1867" spans="1:37" x14ac:dyDescent="0.3">
      <c r="A1867">
        <v>1866</v>
      </c>
      <c r="B1867">
        <v>67.900002000000001</v>
      </c>
      <c r="C1867">
        <v>39.812900999999997</v>
      </c>
      <c r="D1867">
        <v>-5.1891699999999998</v>
      </c>
      <c r="E1867" t="s">
        <v>3284</v>
      </c>
      <c r="F1867" t="s">
        <v>3285</v>
      </c>
      <c r="G1867" t="s">
        <v>39</v>
      </c>
      <c r="H1867">
        <v>1965</v>
      </c>
      <c r="I1867">
        <v>25.5</v>
      </c>
      <c r="J1867">
        <v>8.3000001907348597</v>
      </c>
      <c r="K1867">
        <v>66</v>
      </c>
      <c r="L1867">
        <v>12.9099998474121</v>
      </c>
      <c r="M1867">
        <v>31.799999237060501</v>
      </c>
      <c r="N1867">
        <v>19.299999237060501</v>
      </c>
      <c r="O1867">
        <v>12.5</v>
      </c>
      <c r="P1867">
        <v>26.399999618530298</v>
      </c>
      <c r="Q1867">
        <v>23.799999237060501</v>
      </c>
      <c r="R1867">
        <v>27.100000381469702</v>
      </c>
      <c r="S1867">
        <v>23.799999237060501</v>
      </c>
      <c r="T1867">
        <v>1328</v>
      </c>
      <c r="U1867">
        <v>296</v>
      </c>
      <c r="V1867">
        <v>21</v>
      </c>
      <c r="W1867">
        <v>78</v>
      </c>
      <c r="X1867">
        <v>706</v>
      </c>
      <c r="Y1867">
        <v>95</v>
      </c>
      <c r="Z1867">
        <v>281</v>
      </c>
      <c r="AA1867">
        <v>95</v>
      </c>
      <c r="AB1867">
        <v>4.3991260445201297</v>
      </c>
      <c r="AC1867">
        <v>0.34663129521865998</v>
      </c>
      <c r="AD1867">
        <v>2.3867927224902798</v>
      </c>
      <c r="AE1867">
        <v>0.37413555665032799</v>
      </c>
      <c r="AF1867">
        <v>26.027972027972002</v>
      </c>
      <c r="AG1867">
        <f>IFERROR(AH1867*0.1, "N/A")</f>
        <v>5.6534965034965001</v>
      </c>
      <c r="AH1867">
        <v>56.534965034964998</v>
      </c>
      <c r="AI1867">
        <v>179.07887623526801</v>
      </c>
      <c r="AJ1867">
        <v>30.326923076923102</v>
      </c>
      <c r="AK1867">
        <v>51.414335664335702</v>
      </c>
    </row>
    <row r="1868" spans="1:37" x14ac:dyDescent="0.3">
      <c r="A1868">
        <v>1867</v>
      </c>
      <c r="B1868">
        <v>66.699996999999996</v>
      </c>
      <c r="C1868">
        <v>39.648201</v>
      </c>
      <c r="D1868">
        <v>-5.36097</v>
      </c>
      <c r="E1868" t="s">
        <v>3286</v>
      </c>
      <c r="F1868" t="s">
        <v>3287</v>
      </c>
      <c r="G1868" t="s">
        <v>39</v>
      </c>
      <c r="H1868">
        <v>1965</v>
      </c>
      <c r="I1868" t="s">
        <v>729</v>
      </c>
      <c r="J1868" t="s">
        <v>729</v>
      </c>
      <c r="K1868" t="s">
        <v>729</v>
      </c>
      <c r="L1868" t="s">
        <v>729</v>
      </c>
      <c r="M1868" t="s">
        <v>729</v>
      </c>
      <c r="N1868" t="s">
        <v>729</v>
      </c>
      <c r="O1868" t="s">
        <v>729</v>
      </c>
      <c r="P1868" t="s">
        <v>729</v>
      </c>
      <c r="Q1868" t="s">
        <v>729</v>
      </c>
      <c r="R1868" t="s">
        <v>729</v>
      </c>
      <c r="S1868" t="s">
        <v>729</v>
      </c>
      <c r="T1868" t="s">
        <v>729</v>
      </c>
      <c r="U1868" t="s">
        <v>729</v>
      </c>
      <c r="V1868" t="s">
        <v>729</v>
      </c>
      <c r="W1868" t="s">
        <v>729</v>
      </c>
      <c r="X1868" t="s">
        <v>729</v>
      </c>
      <c r="Y1868" t="s">
        <v>729</v>
      </c>
      <c r="Z1868" t="s">
        <v>729</v>
      </c>
      <c r="AA1868" t="s">
        <v>729</v>
      </c>
      <c r="AB1868">
        <v>30.370731656144301</v>
      </c>
      <c r="AC1868">
        <v>1.834210586322E-2</v>
      </c>
      <c r="AD1868">
        <v>3.6889146497856</v>
      </c>
      <c r="AE1868">
        <v>0.45536282388590799</v>
      </c>
      <c r="AF1868">
        <v>34.040069686411201</v>
      </c>
      <c r="AG1868">
        <f>IFERROR(AH1868*0.1, "N/A")</f>
        <v>5.8691637630662008</v>
      </c>
      <c r="AH1868">
        <v>58.691637630662001</v>
      </c>
      <c r="AI1868">
        <v>206.392553375988</v>
      </c>
      <c r="AJ1868">
        <v>27.648083623693399</v>
      </c>
      <c r="AK1868">
        <v>51.400696864111502</v>
      </c>
    </row>
    <row r="1869" spans="1:37" x14ac:dyDescent="0.3">
      <c r="A1869">
        <v>1868</v>
      </c>
      <c r="B1869">
        <v>95.699996999999996</v>
      </c>
      <c r="C1869">
        <v>39.733299000000002</v>
      </c>
      <c r="D1869">
        <v>-5.4166699999999999</v>
      </c>
      <c r="E1869" t="s">
        <v>3288</v>
      </c>
      <c r="F1869" t="s">
        <v>3289</v>
      </c>
      <c r="G1869" t="s">
        <v>39</v>
      </c>
      <c r="H1869">
        <v>1965</v>
      </c>
      <c r="I1869">
        <v>26.216928571930701</v>
      </c>
      <c r="J1869">
        <v>8.3999996185302699</v>
      </c>
      <c r="K1869">
        <v>66</v>
      </c>
      <c r="L1869">
        <v>12.7258467033479</v>
      </c>
      <c r="M1869">
        <v>32.6169280672989</v>
      </c>
      <c r="N1869">
        <v>19.980104636147399</v>
      </c>
      <c r="O1869">
        <v>12.636823905492101</v>
      </c>
      <c r="P1869">
        <v>26.997033147495699</v>
      </c>
      <c r="Q1869">
        <v>24.8654445128915</v>
      </c>
      <c r="R1869">
        <v>27.731588034105599</v>
      </c>
      <c r="S1869">
        <v>24.465444894361202</v>
      </c>
      <c r="T1869">
        <v>1706.4973821989499</v>
      </c>
      <c r="U1869">
        <v>442.72076788830702</v>
      </c>
      <c r="V1869">
        <v>27.5671902268761</v>
      </c>
      <c r="W1869">
        <v>92.853403141361298</v>
      </c>
      <c r="X1869">
        <v>1004.83420593368</v>
      </c>
      <c r="Y1869">
        <v>116.678883071553</v>
      </c>
      <c r="Z1869">
        <v>301.20069808027898</v>
      </c>
      <c r="AA1869">
        <v>119.246073298429</v>
      </c>
      <c r="AB1869">
        <v>12.5307160405796</v>
      </c>
      <c r="AC1869">
        <v>8.6886703018850004E-3</v>
      </c>
      <c r="AD1869">
        <v>3.7574901281226998</v>
      </c>
      <c r="AE1869">
        <v>0.31610482931137102</v>
      </c>
      <c r="AF1869">
        <v>17.619546247818501</v>
      </c>
      <c r="AG1869">
        <f>IFERROR(AH1869*0.1, "N/A")</f>
        <v>5.9</v>
      </c>
      <c r="AH1869">
        <v>59</v>
      </c>
      <c r="AI1869">
        <v>160.27734561407601</v>
      </c>
      <c r="AJ1869">
        <v>32</v>
      </c>
      <c r="AK1869">
        <v>49.5671902268761</v>
      </c>
    </row>
    <row r="1870" spans="1:37" x14ac:dyDescent="0.3">
      <c r="A1870">
        <v>1869</v>
      </c>
      <c r="B1870">
        <v>28.6</v>
      </c>
      <c r="C1870">
        <v>39.283298000000002</v>
      </c>
      <c r="D1870">
        <v>-5.8833299999999999</v>
      </c>
      <c r="E1870" t="s">
        <v>3290</v>
      </c>
      <c r="F1870" t="s">
        <v>3291</v>
      </c>
      <c r="G1870" t="s">
        <v>39</v>
      </c>
      <c r="H1870">
        <v>1965</v>
      </c>
      <c r="I1870">
        <v>27.336188486406002</v>
      </c>
      <c r="J1870">
        <v>9.1999998092651403</v>
      </c>
      <c r="K1870">
        <v>68</v>
      </c>
      <c r="L1870">
        <v>12.883496351175401</v>
      </c>
      <c r="M1870">
        <v>34.2361884217162</v>
      </c>
      <c r="N1870">
        <v>20.765734289075901</v>
      </c>
      <c r="O1870">
        <v>13.4704544327476</v>
      </c>
      <c r="P1870">
        <v>27.982342589985201</v>
      </c>
      <c r="Q1870">
        <v>25.6038465499878</v>
      </c>
      <c r="R1870">
        <v>28.936188567768401</v>
      </c>
      <c r="S1870">
        <v>25.6038465499878</v>
      </c>
      <c r="T1870">
        <v>1658.39335664336</v>
      </c>
      <c r="U1870">
        <v>399.34965034965001</v>
      </c>
      <c r="V1870">
        <v>51.861888111888099</v>
      </c>
      <c r="W1870">
        <v>78.323426573426602</v>
      </c>
      <c r="X1870">
        <v>912.68006993006998</v>
      </c>
      <c r="Y1870">
        <v>196.83391608391599</v>
      </c>
      <c r="Z1870">
        <v>299.555944055944</v>
      </c>
      <c r="AA1870">
        <v>196.83391608391599</v>
      </c>
      <c r="AB1870">
        <v>10.6157364278407</v>
      </c>
      <c r="AC1870">
        <v>0.251436552150058</v>
      </c>
      <c r="AD1870">
        <v>2.7378555461243299</v>
      </c>
      <c r="AE1870">
        <v>0.45380093563686702</v>
      </c>
      <c r="AF1870">
        <v>50.6520979020979</v>
      </c>
      <c r="AG1870">
        <f>IFERROR(AH1870*0.1, "N/A")</f>
        <v>5.4040209790209808</v>
      </c>
      <c r="AH1870">
        <v>54.040209790209801</v>
      </c>
      <c r="AI1870">
        <v>261.35549574631898</v>
      </c>
      <c r="AJ1870">
        <v>20.564685314685299</v>
      </c>
      <c r="AK1870">
        <v>65.470279720279706</v>
      </c>
    </row>
    <row r="1871" spans="1:37" x14ac:dyDescent="0.3">
      <c r="A1871">
        <v>1870</v>
      </c>
      <c r="B1871">
        <v>0</v>
      </c>
      <c r="C1871">
        <v>39.283298000000002</v>
      </c>
      <c r="D1871">
        <v>-5.8833299999999999</v>
      </c>
      <c r="E1871" t="s">
        <v>3290</v>
      </c>
      <c r="F1871" t="s">
        <v>3292</v>
      </c>
      <c r="G1871" t="s">
        <v>37</v>
      </c>
      <c r="H1871">
        <v>1965</v>
      </c>
      <c r="I1871">
        <v>27.336188486406002</v>
      </c>
      <c r="J1871">
        <v>9.1999998092651403</v>
      </c>
      <c r="K1871">
        <v>68</v>
      </c>
      <c r="L1871">
        <v>12.883496351175401</v>
      </c>
      <c r="M1871">
        <v>34.2361884217162</v>
      </c>
      <c r="N1871">
        <v>20.765734289075901</v>
      </c>
      <c r="O1871">
        <v>13.4704544327476</v>
      </c>
      <c r="P1871">
        <v>27.982342589985201</v>
      </c>
      <c r="Q1871">
        <v>25.6038465499878</v>
      </c>
      <c r="R1871">
        <v>28.936188567768401</v>
      </c>
      <c r="S1871">
        <v>25.6038465499878</v>
      </c>
      <c r="T1871">
        <v>1658.39335664336</v>
      </c>
      <c r="U1871">
        <v>399.34965034965001</v>
      </c>
      <c r="V1871">
        <v>51.861888111888099</v>
      </c>
      <c r="W1871">
        <v>78.323426573426602</v>
      </c>
      <c r="X1871">
        <v>912.68006993006998</v>
      </c>
      <c r="Y1871">
        <v>196.83391608391599</v>
      </c>
      <c r="Z1871">
        <v>299.555944055944</v>
      </c>
      <c r="AA1871">
        <v>196.83391608391599</v>
      </c>
      <c r="AB1871">
        <v>10.6157364278407</v>
      </c>
      <c r="AC1871">
        <v>0.251436552150058</v>
      </c>
      <c r="AD1871">
        <v>2.7378555461243299</v>
      </c>
      <c r="AE1871">
        <v>0.45380093563686702</v>
      </c>
      <c r="AF1871">
        <v>50.6520979020979</v>
      </c>
      <c r="AG1871">
        <f>IFERROR(AH1871*0.1, "N/A")</f>
        <v>5.4040209790209808</v>
      </c>
      <c r="AH1871">
        <v>54.040209790209801</v>
      </c>
      <c r="AI1871">
        <v>261.35549574631898</v>
      </c>
      <c r="AJ1871">
        <v>20.564685314685299</v>
      </c>
      <c r="AK1871">
        <v>65.470279720279706</v>
      </c>
    </row>
    <row r="1872" spans="1:37" x14ac:dyDescent="0.3">
      <c r="A1872">
        <v>1871</v>
      </c>
      <c r="B1872">
        <v>0</v>
      </c>
      <c r="C1872">
        <v>39.347698000000001</v>
      </c>
      <c r="D1872">
        <v>-6.1769400000000001</v>
      </c>
      <c r="E1872" t="s">
        <v>3293</v>
      </c>
      <c r="F1872" t="s">
        <v>3294</v>
      </c>
      <c r="G1872" t="s">
        <v>39</v>
      </c>
      <c r="H1872">
        <v>1965</v>
      </c>
      <c r="I1872">
        <v>27.200000762939499</v>
      </c>
      <c r="J1872">
        <v>8.8999996185302699</v>
      </c>
      <c r="K1872">
        <v>67</v>
      </c>
      <c r="L1872">
        <v>12.5</v>
      </c>
      <c r="M1872">
        <v>34</v>
      </c>
      <c r="N1872">
        <v>20.899999618530298</v>
      </c>
      <c r="O1872">
        <v>13.1000003814697</v>
      </c>
      <c r="P1872">
        <v>27.899999618530298</v>
      </c>
      <c r="Q1872">
        <v>25.5</v>
      </c>
      <c r="R1872">
        <v>28.700000762939499</v>
      </c>
      <c r="S1872">
        <v>25.5</v>
      </c>
      <c r="T1872">
        <v>1565</v>
      </c>
      <c r="U1872">
        <v>386</v>
      </c>
      <c r="V1872">
        <v>43</v>
      </c>
      <c r="W1872">
        <v>79</v>
      </c>
      <c r="X1872">
        <v>855</v>
      </c>
      <c r="Y1872">
        <v>148</v>
      </c>
      <c r="Z1872">
        <v>311</v>
      </c>
      <c r="AA1872">
        <v>148</v>
      </c>
      <c r="AB1872">
        <v>4.4734749253091604</v>
      </c>
      <c r="AC1872">
        <v>1.0071496609241001E-2</v>
      </c>
      <c r="AD1872">
        <v>1.4060230689939199</v>
      </c>
      <c r="AE1872">
        <v>0.31146857142448398</v>
      </c>
      <c r="AF1872">
        <v>37.945898778359499</v>
      </c>
      <c r="AG1872">
        <f>IFERROR(AH1872*0.1, "N/A")</f>
        <v>5.2760907504362997</v>
      </c>
      <c r="AH1872">
        <v>52.760907504362997</v>
      </c>
      <c r="AI1872">
        <v>131.318569190007</v>
      </c>
      <c r="AJ1872">
        <v>24.239092495636999</v>
      </c>
      <c r="AK1872">
        <v>58.755671902268801</v>
      </c>
    </row>
    <row r="1873" spans="1:37" x14ac:dyDescent="0.3">
      <c r="A1873">
        <v>1872</v>
      </c>
      <c r="B1873">
        <v>0</v>
      </c>
      <c r="C1873">
        <v>39.347698000000001</v>
      </c>
      <c r="D1873">
        <v>-6.1769400000000001</v>
      </c>
      <c r="E1873" t="s">
        <v>3293</v>
      </c>
      <c r="F1873" t="s">
        <v>3295</v>
      </c>
      <c r="G1873" t="s">
        <v>37</v>
      </c>
      <c r="H1873">
        <v>1965</v>
      </c>
      <c r="I1873">
        <v>27.200000762939499</v>
      </c>
      <c r="J1873">
        <v>8.8999996185302699</v>
      </c>
      <c r="K1873">
        <v>67</v>
      </c>
      <c r="L1873">
        <v>12.5</v>
      </c>
      <c r="M1873">
        <v>34</v>
      </c>
      <c r="N1873">
        <v>20.899999618530298</v>
      </c>
      <c r="O1873">
        <v>13.1000003814697</v>
      </c>
      <c r="P1873">
        <v>27.899999618530298</v>
      </c>
      <c r="Q1873">
        <v>25.5</v>
      </c>
      <c r="R1873">
        <v>28.700000762939499</v>
      </c>
      <c r="S1873">
        <v>25.5</v>
      </c>
      <c r="T1873">
        <v>1565</v>
      </c>
      <c r="U1873">
        <v>386</v>
      </c>
      <c r="V1873">
        <v>43</v>
      </c>
      <c r="W1873">
        <v>79</v>
      </c>
      <c r="X1873">
        <v>855</v>
      </c>
      <c r="Y1873">
        <v>148</v>
      </c>
      <c r="Z1873">
        <v>311</v>
      </c>
      <c r="AA1873">
        <v>148</v>
      </c>
      <c r="AB1873">
        <v>4.4734749253091604</v>
      </c>
      <c r="AC1873">
        <v>1.0071496609241001E-2</v>
      </c>
      <c r="AD1873">
        <v>1.4060230689939199</v>
      </c>
      <c r="AE1873">
        <v>0.31146857142448398</v>
      </c>
      <c r="AF1873">
        <v>37.945898778359499</v>
      </c>
      <c r="AG1873">
        <f>IFERROR(AH1873*0.1, "N/A")</f>
        <v>5.2760907504362997</v>
      </c>
      <c r="AH1873">
        <v>52.760907504362997</v>
      </c>
      <c r="AI1873">
        <v>131.318569190007</v>
      </c>
      <c r="AJ1873">
        <v>24.239092495636999</v>
      </c>
      <c r="AK1873">
        <v>58.755671902268801</v>
      </c>
    </row>
    <row r="1874" spans="1:37" x14ac:dyDescent="0.3">
      <c r="A1874">
        <v>1873</v>
      </c>
      <c r="B1874">
        <v>0</v>
      </c>
      <c r="C1874">
        <v>39.374599000000003</v>
      </c>
      <c r="D1874">
        <v>-6.3069300000000004</v>
      </c>
      <c r="E1874" t="s">
        <v>3296</v>
      </c>
      <c r="F1874" t="s">
        <v>3297</v>
      </c>
      <c r="G1874" t="s">
        <v>39</v>
      </c>
      <c r="H1874">
        <v>1965</v>
      </c>
      <c r="I1874">
        <v>27.220804641296802</v>
      </c>
      <c r="J1874">
        <v>8.6791957325034996</v>
      </c>
      <c r="K1874">
        <v>67</v>
      </c>
      <c r="L1874">
        <v>12.9904718482411</v>
      </c>
      <c r="M1874">
        <v>33.900001525878899</v>
      </c>
      <c r="N1874">
        <v>21.020804275165901</v>
      </c>
      <c r="O1874">
        <v>12.879195541768601</v>
      </c>
      <c r="P1874">
        <v>27.920803893696199</v>
      </c>
      <c r="Q1874">
        <v>25.520804275165901</v>
      </c>
      <c r="R1874">
        <v>28.899999618530298</v>
      </c>
      <c r="S1874">
        <v>25.520804275165901</v>
      </c>
      <c r="T1874">
        <v>1400.8321678321699</v>
      </c>
      <c r="U1874">
        <v>361.62412587412598</v>
      </c>
      <c r="V1874">
        <v>31.791958041958001</v>
      </c>
      <c r="W1874">
        <v>83.208041958042003</v>
      </c>
      <c r="X1874">
        <v>785.24825174825196</v>
      </c>
      <c r="Y1874">
        <v>113</v>
      </c>
      <c r="Z1874">
        <v>283</v>
      </c>
      <c r="AA1874">
        <v>113</v>
      </c>
      <c r="AB1874">
        <v>10.257692640478</v>
      </c>
      <c r="AC1874">
        <v>1.045803413759E-2</v>
      </c>
      <c r="AD1874">
        <v>1.73599315481586</v>
      </c>
      <c r="AE1874">
        <v>0.28530797372748001</v>
      </c>
      <c r="AF1874">
        <v>20.0541958041958</v>
      </c>
      <c r="AG1874">
        <f>IFERROR(AH1874*0.1, "N/A")</f>
        <v>5.5342657342657402</v>
      </c>
      <c r="AH1874">
        <v>55.342657342657397</v>
      </c>
      <c r="AI1874">
        <v>194.259909383067</v>
      </c>
      <c r="AJ1874">
        <v>33.080419580419601</v>
      </c>
      <c r="AK1874">
        <v>47.459790209790199</v>
      </c>
    </row>
    <row r="1875" spans="1:37" x14ac:dyDescent="0.3">
      <c r="A1875">
        <v>1874</v>
      </c>
      <c r="B1875">
        <v>0</v>
      </c>
      <c r="C1875">
        <v>39.374599000000003</v>
      </c>
      <c r="D1875">
        <v>-6.3069300000000004</v>
      </c>
      <c r="E1875" t="s">
        <v>3296</v>
      </c>
      <c r="F1875" t="s">
        <v>3298</v>
      </c>
      <c r="G1875" t="s">
        <v>37</v>
      </c>
      <c r="H1875">
        <v>1965</v>
      </c>
      <c r="I1875">
        <v>27.220804641296802</v>
      </c>
      <c r="J1875">
        <v>8.6791957325034996</v>
      </c>
      <c r="K1875">
        <v>67</v>
      </c>
      <c r="L1875">
        <v>12.9904718482411</v>
      </c>
      <c r="M1875">
        <v>33.900001525878899</v>
      </c>
      <c r="N1875">
        <v>21.020804275165901</v>
      </c>
      <c r="O1875">
        <v>12.879195541768601</v>
      </c>
      <c r="P1875">
        <v>27.920803893696199</v>
      </c>
      <c r="Q1875">
        <v>25.520804275165901</v>
      </c>
      <c r="R1875">
        <v>28.899999618530298</v>
      </c>
      <c r="S1875">
        <v>25.520804275165901</v>
      </c>
      <c r="T1875">
        <v>1400.8321678321699</v>
      </c>
      <c r="U1875">
        <v>361.62412587412598</v>
      </c>
      <c r="V1875">
        <v>31.791958041958001</v>
      </c>
      <c r="W1875">
        <v>83.208041958042003</v>
      </c>
      <c r="X1875">
        <v>785.24825174825196</v>
      </c>
      <c r="Y1875">
        <v>113</v>
      </c>
      <c r="Z1875">
        <v>283</v>
      </c>
      <c r="AA1875">
        <v>113</v>
      </c>
      <c r="AB1875">
        <v>10.257692640478</v>
      </c>
      <c r="AC1875">
        <v>1.045803413759E-2</v>
      </c>
      <c r="AD1875">
        <v>1.73599315481586</v>
      </c>
      <c r="AE1875">
        <v>0.28530797372748001</v>
      </c>
      <c r="AF1875">
        <v>20.0541958041958</v>
      </c>
      <c r="AG1875">
        <f>IFERROR(AH1875*0.1, "N/A")</f>
        <v>5.5342657342657402</v>
      </c>
      <c r="AH1875">
        <v>55.342657342657397</v>
      </c>
      <c r="AI1875">
        <v>194.259909383067</v>
      </c>
      <c r="AJ1875">
        <v>33.080419580419601</v>
      </c>
      <c r="AK1875">
        <v>47.459790209790199</v>
      </c>
    </row>
    <row r="1876" spans="1:37" x14ac:dyDescent="0.3">
      <c r="A1876">
        <v>1875</v>
      </c>
      <c r="B1876">
        <v>89.300003000000004</v>
      </c>
      <c r="C1876">
        <v>39.527099999999997</v>
      </c>
      <c r="D1876">
        <v>-6.4484000000000004</v>
      </c>
      <c r="E1876" t="s">
        <v>3299</v>
      </c>
      <c r="F1876" t="s">
        <v>3300</v>
      </c>
      <c r="G1876" t="s">
        <v>39</v>
      </c>
      <c r="H1876">
        <v>1965</v>
      </c>
      <c r="I1876">
        <v>27.200000762939499</v>
      </c>
      <c r="J1876">
        <v>8.3000001907348597</v>
      </c>
      <c r="K1876">
        <v>67</v>
      </c>
      <c r="L1876">
        <v>12.699999809265099</v>
      </c>
      <c r="M1876">
        <v>33.400001525878899</v>
      </c>
      <c r="N1876">
        <v>21.100000381469702</v>
      </c>
      <c r="O1876">
        <v>12.300000190734901</v>
      </c>
      <c r="P1876">
        <v>27.899999618530298</v>
      </c>
      <c r="Q1876">
        <v>25.600000381469702</v>
      </c>
      <c r="R1876">
        <v>28.799999237060501</v>
      </c>
      <c r="S1876">
        <v>25.600000381469702</v>
      </c>
      <c r="T1876">
        <v>1429</v>
      </c>
      <c r="U1876">
        <v>398</v>
      </c>
      <c r="V1876">
        <v>27</v>
      </c>
      <c r="W1876">
        <v>92</v>
      </c>
      <c r="X1876">
        <v>851</v>
      </c>
      <c r="Y1876">
        <v>108</v>
      </c>
      <c r="Z1876">
        <v>280</v>
      </c>
      <c r="AA1876">
        <v>108</v>
      </c>
      <c r="AB1876">
        <v>6.1858148290898001</v>
      </c>
      <c r="AC1876">
        <v>1.0146218787507001E-2</v>
      </c>
      <c r="AD1876">
        <v>1.6323193685394699</v>
      </c>
      <c r="AE1876">
        <v>0.23308892548084301</v>
      </c>
      <c r="AF1876">
        <v>29.127845884413301</v>
      </c>
      <c r="AG1876">
        <f>IFERROR(AH1876*0.1, "N/A")</f>
        <v>5.7259194395796804</v>
      </c>
      <c r="AH1876">
        <v>57.259194395796797</v>
      </c>
      <c r="AI1876">
        <v>133.98304562810799</v>
      </c>
      <c r="AJ1876">
        <v>24.581436077057798</v>
      </c>
      <c r="AK1876">
        <v>58.583187390542903</v>
      </c>
    </row>
    <row r="1877" spans="1:37" x14ac:dyDescent="0.3">
      <c r="A1877">
        <v>1876</v>
      </c>
      <c r="B1877">
        <v>0</v>
      </c>
      <c r="C1877">
        <v>39.527099999999997</v>
      </c>
      <c r="D1877">
        <v>-6.4484000000000004</v>
      </c>
      <c r="E1877" t="s">
        <v>3299</v>
      </c>
      <c r="F1877" t="s">
        <v>3301</v>
      </c>
      <c r="G1877" t="s">
        <v>37</v>
      </c>
      <c r="H1877">
        <v>1965</v>
      </c>
      <c r="I1877">
        <v>27.200000762939499</v>
      </c>
      <c r="J1877">
        <v>8.3000001907348597</v>
      </c>
      <c r="K1877">
        <v>67</v>
      </c>
      <c r="L1877">
        <v>12.699999809265099</v>
      </c>
      <c r="M1877">
        <v>33.400001525878899</v>
      </c>
      <c r="N1877">
        <v>21.100000381469702</v>
      </c>
      <c r="O1877">
        <v>12.300000190734901</v>
      </c>
      <c r="P1877">
        <v>27.899999618530298</v>
      </c>
      <c r="Q1877">
        <v>25.600000381469702</v>
      </c>
      <c r="R1877">
        <v>28.799999237060501</v>
      </c>
      <c r="S1877">
        <v>25.600000381469702</v>
      </c>
      <c r="T1877">
        <v>1429</v>
      </c>
      <c r="U1877">
        <v>398</v>
      </c>
      <c r="V1877">
        <v>27</v>
      </c>
      <c r="W1877">
        <v>92</v>
      </c>
      <c r="X1877">
        <v>851</v>
      </c>
      <c r="Y1877">
        <v>108</v>
      </c>
      <c r="Z1877">
        <v>280</v>
      </c>
      <c r="AA1877">
        <v>108</v>
      </c>
      <c r="AB1877">
        <v>6.1858148290898001</v>
      </c>
      <c r="AC1877">
        <v>1.0146218787507001E-2</v>
      </c>
      <c r="AD1877">
        <v>1.6323193685394699</v>
      </c>
      <c r="AE1877">
        <v>0.23308892548084301</v>
      </c>
      <c r="AF1877">
        <v>29.127845884413301</v>
      </c>
      <c r="AG1877">
        <f>IFERROR(AH1877*0.1, "N/A")</f>
        <v>5.7259194395796804</v>
      </c>
      <c r="AH1877">
        <v>57.259194395796797</v>
      </c>
      <c r="AI1877">
        <v>133.98304562810799</v>
      </c>
      <c r="AJ1877">
        <v>24.581436077057798</v>
      </c>
      <c r="AK1877">
        <v>58.583187390542903</v>
      </c>
    </row>
    <row r="1878" spans="1:37" x14ac:dyDescent="0.3">
      <c r="A1878">
        <v>1877</v>
      </c>
      <c r="B1878">
        <v>45.599997999999999</v>
      </c>
      <c r="C1878">
        <v>32.466701999999998</v>
      </c>
      <c r="D1878">
        <v>-2.3666700000000001</v>
      </c>
      <c r="E1878" t="s">
        <v>3302</v>
      </c>
      <c r="F1878" t="s">
        <v>3303</v>
      </c>
      <c r="G1878" t="s">
        <v>37</v>
      </c>
      <c r="H1878">
        <v>1996</v>
      </c>
      <c r="I1878">
        <v>22.467310947357898</v>
      </c>
      <c r="J1878">
        <v>10.199999809265099</v>
      </c>
      <c r="K1878">
        <v>77</v>
      </c>
      <c r="L1878">
        <v>4.8050264784237999</v>
      </c>
      <c r="M1878">
        <v>28.5673113288276</v>
      </c>
      <c r="N1878">
        <v>15.4673109473579</v>
      </c>
      <c r="O1878">
        <v>13.1000003814697</v>
      </c>
      <c r="P1878">
        <v>22.684007480400101</v>
      </c>
      <c r="Q1878">
        <v>21.767310807910199</v>
      </c>
      <c r="R1878">
        <v>22.984006968868599</v>
      </c>
      <c r="S1878">
        <v>21.767310807910199</v>
      </c>
      <c r="T1878">
        <v>1102.37082601054</v>
      </c>
      <c r="U1878">
        <v>179.10544815465701</v>
      </c>
      <c r="V1878">
        <v>11</v>
      </c>
      <c r="W1878">
        <v>58</v>
      </c>
      <c r="X1878">
        <v>426.23022847100202</v>
      </c>
      <c r="Y1878">
        <v>56.833040421792603</v>
      </c>
      <c r="Z1878">
        <v>346.31985940246102</v>
      </c>
      <c r="AA1878">
        <v>56.833040421792603</v>
      </c>
      <c r="AB1878">
        <v>9.8875069509281595</v>
      </c>
      <c r="AC1878">
        <v>1.4529718920877E-2</v>
      </c>
      <c r="AD1878">
        <v>2.43144104727961</v>
      </c>
      <c r="AE1878">
        <v>0.46671128273010298</v>
      </c>
      <c r="AF1878">
        <v>1148.24253075571</v>
      </c>
      <c r="AG1878">
        <f>IFERROR(AH1878*0.1, "N/A")</f>
        <v>5.3708260105448202</v>
      </c>
      <c r="AH1878">
        <v>53.708260105448197</v>
      </c>
      <c r="AI1878">
        <v>195.81344920930999</v>
      </c>
      <c r="AJ1878">
        <v>26.5360281195079</v>
      </c>
      <c r="AK1878">
        <v>57.040421792618602</v>
      </c>
    </row>
    <row r="1879" spans="1:37" x14ac:dyDescent="0.3">
      <c r="A1879">
        <v>1878</v>
      </c>
      <c r="B1879">
        <v>0.5</v>
      </c>
      <c r="C1879">
        <v>30.6325</v>
      </c>
      <c r="D1879">
        <v>-2.7174999999999998</v>
      </c>
      <c r="E1879" t="s">
        <v>3304</v>
      </c>
      <c r="F1879" t="s">
        <v>3305</v>
      </c>
      <c r="G1879" t="s">
        <v>37</v>
      </c>
      <c r="H1879">
        <v>1996</v>
      </c>
      <c r="I1879">
        <v>20.299999237060501</v>
      </c>
      <c r="J1879">
        <v>11.300000190734901</v>
      </c>
      <c r="K1879">
        <v>81</v>
      </c>
      <c r="L1879">
        <v>3.9300000667571999</v>
      </c>
      <c r="M1879">
        <v>27.5</v>
      </c>
      <c r="N1879">
        <v>13.699999809265099</v>
      </c>
      <c r="O1879">
        <v>13.800000190734901</v>
      </c>
      <c r="P1879">
        <v>20.100000381469702</v>
      </c>
      <c r="Q1879">
        <v>20.299999237060501</v>
      </c>
      <c r="R1879">
        <v>20.899999618530298</v>
      </c>
      <c r="S1879">
        <v>20</v>
      </c>
      <c r="T1879">
        <v>898</v>
      </c>
      <c r="U1879">
        <v>150</v>
      </c>
      <c r="V1879">
        <v>1</v>
      </c>
      <c r="W1879">
        <v>63</v>
      </c>
      <c r="X1879">
        <v>370</v>
      </c>
      <c r="Y1879">
        <v>22</v>
      </c>
      <c r="Z1879">
        <v>125</v>
      </c>
      <c r="AA1879">
        <v>318</v>
      </c>
      <c r="AB1879">
        <v>32.577686276293399</v>
      </c>
      <c r="AC1879">
        <v>2.0993443410549002E-2</v>
      </c>
      <c r="AD1879">
        <v>3.1966045525036302</v>
      </c>
      <c r="AE1879">
        <v>0.36921888589858998</v>
      </c>
      <c r="AF1879">
        <v>1421.18804920914</v>
      </c>
      <c r="AG1879">
        <f>IFERROR(AH1879*0.1, "N/A")</f>
        <v>5.6000000000000005</v>
      </c>
      <c r="AH1879">
        <v>56</v>
      </c>
      <c r="AI1879">
        <v>32.041425403266501</v>
      </c>
      <c r="AJ1879">
        <v>38.152899824253097</v>
      </c>
      <c r="AK1879">
        <v>46.277680140597496</v>
      </c>
    </row>
    <row r="1880" spans="1:37" x14ac:dyDescent="0.3">
      <c r="A1880">
        <v>1879</v>
      </c>
      <c r="B1880">
        <v>24.4</v>
      </c>
      <c r="C1880">
        <v>32.994900000000001</v>
      </c>
      <c r="D1880">
        <v>-2.6819500000000001</v>
      </c>
      <c r="E1880" t="s">
        <v>3306</v>
      </c>
      <c r="F1880" t="s">
        <v>3307</v>
      </c>
      <c r="G1880" t="s">
        <v>39</v>
      </c>
      <c r="H1880">
        <v>1961</v>
      </c>
      <c r="I1880">
        <v>22.399999618530298</v>
      </c>
      <c r="J1880">
        <v>11</v>
      </c>
      <c r="K1880">
        <v>71</v>
      </c>
      <c r="L1880">
        <v>6.6399998664856001</v>
      </c>
      <c r="M1880">
        <v>29.899999618530298</v>
      </c>
      <c r="N1880">
        <v>14.6000003814697</v>
      </c>
      <c r="O1880">
        <v>15.300000190734901</v>
      </c>
      <c r="P1880">
        <v>22.299999237060501</v>
      </c>
      <c r="Q1880">
        <v>21.700000762939499</v>
      </c>
      <c r="R1880">
        <v>23.200000762939499</v>
      </c>
      <c r="S1880">
        <v>21.600000381469702</v>
      </c>
      <c r="T1880">
        <v>1009</v>
      </c>
      <c r="U1880">
        <v>168</v>
      </c>
      <c r="V1880">
        <v>7</v>
      </c>
      <c r="W1880">
        <v>67</v>
      </c>
      <c r="X1880">
        <v>409</v>
      </c>
      <c r="Y1880">
        <v>31</v>
      </c>
      <c r="Z1880">
        <v>258</v>
      </c>
      <c r="AA1880">
        <v>95</v>
      </c>
      <c r="AB1880">
        <v>48.2982647565631</v>
      </c>
      <c r="AC1880">
        <v>1.5741786890071999E-2</v>
      </c>
      <c r="AD1880">
        <v>3.1538456567352</v>
      </c>
      <c r="AE1880">
        <v>0.55977368354797397</v>
      </c>
      <c r="AF1880">
        <v>1253.08611599297</v>
      </c>
      <c r="AG1880">
        <f>IFERROR(AH1880*0.1, "N/A")</f>
        <v>6.1701230228471005</v>
      </c>
      <c r="AH1880">
        <v>61.701230228470997</v>
      </c>
      <c r="AI1880">
        <v>281.14777700092299</v>
      </c>
      <c r="AJ1880">
        <v>16</v>
      </c>
      <c r="AK1880">
        <v>69.850615114235495</v>
      </c>
    </row>
    <row r="1881" spans="1:37" x14ac:dyDescent="0.3">
      <c r="A1881">
        <v>1880</v>
      </c>
      <c r="B1881">
        <v>2.7</v>
      </c>
      <c r="C1881">
        <v>32.994900000000001</v>
      </c>
      <c r="D1881">
        <v>-2.6819500000000001</v>
      </c>
      <c r="E1881" t="s">
        <v>3306</v>
      </c>
      <c r="F1881" t="s">
        <v>3308</v>
      </c>
      <c r="G1881" t="s">
        <v>37</v>
      </c>
      <c r="H1881">
        <v>1961</v>
      </c>
      <c r="I1881">
        <v>22.399999618530298</v>
      </c>
      <c r="J1881">
        <v>11</v>
      </c>
      <c r="K1881">
        <v>71</v>
      </c>
      <c r="L1881">
        <v>6.6399998664856001</v>
      </c>
      <c r="M1881">
        <v>29.899999618530298</v>
      </c>
      <c r="N1881">
        <v>14.6000003814697</v>
      </c>
      <c r="O1881">
        <v>15.300000190734901</v>
      </c>
      <c r="P1881">
        <v>22.299999237060501</v>
      </c>
      <c r="Q1881">
        <v>21.700000762939499</v>
      </c>
      <c r="R1881">
        <v>23.200000762939499</v>
      </c>
      <c r="S1881">
        <v>21.600000381469702</v>
      </c>
      <c r="T1881">
        <v>1009</v>
      </c>
      <c r="U1881">
        <v>168</v>
      </c>
      <c r="V1881">
        <v>7</v>
      </c>
      <c r="W1881">
        <v>67</v>
      </c>
      <c r="X1881">
        <v>409</v>
      </c>
      <c r="Y1881">
        <v>31</v>
      </c>
      <c r="Z1881">
        <v>258</v>
      </c>
      <c r="AA1881">
        <v>95</v>
      </c>
      <c r="AB1881">
        <v>48.2982647565631</v>
      </c>
      <c r="AC1881">
        <v>1.5741786890071999E-2</v>
      </c>
      <c r="AD1881">
        <v>3.1538456567352</v>
      </c>
      <c r="AE1881">
        <v>0.55977368354797397</v>
      </c>
      <c r="AF1881">
        <v>1253.08611599297</v>
      </c>
      <c r="AG1881">
        <f>IFERROR(AH1881*0.1, "N/A")</f>
        <v>6.1701230228471005</v>
      </c>
      <c r="AH1881">
        <v>61.701230228470997</v>
      </c>
      <c r="AI1881">
        <v>281.14777700092299</v>
      </c>
      <c r="AJ1881">
        <v>16</v>
      </c>
      <c r="AK1881">
        <v>69.850615114235495</v>
      </c>
    </row>
    <row r="1882" spans="1:37" x14ac:dyDescent="0.3">
      <c r="A1882">
        <v>1881</v>
      </c>
      <c r="B1882">
        <v>50</v>
      </c>
      <c r="C1882">
        <v>32.887698999999998</v>
      </c>
      <c r="D1882">
        <v>-2.47173</v>
      </c>
      <c r="E1882" t="s">
        <v>3309</v>
      </c>
      <c r="F1882" t="s">
        <v>3310</v>
      </c>
      <c r="G1882" t="s">
        <v>39</v>
      </c>
      <c r="H1882">
        <v>1962</v>
      </c>
      <c r="I1882">
        <v>22.399999618530298</v>
      </c>
      <c r="J1882">
        <v>10.300000190734901</v>
      </c>
      <c r="K1882">
        <v>77</v>
      </c>
      <c r="L1882">
        <v>4.5999999046325701</v>
      </c>
      <c r="M1882">
        <v>28.399999618530298</v>
      </c>
      <c r="N1882">
        <v>15.1000003814697</v>
      </c>
      <c r="O1882">
        <v>13.300000190734901</v>
      </c>
      <c r="P1882">
        <v>22.600000381469702</v>
      </c>
      <c r="Q1882">
        <v>21.700000762939499</v>
      </c>
      <c r="R1882">
        <v>22.899999618530298</v>
      </c>
      <c r="S1882">
        <v>21.700000762939499</v>
      </c>
      <c r="T1882">
        <v>1109</v>
      </c>
      <c r="U1882">
        <v>184</v>
      </c>
      <c r="V1882">
        <v>9</v>
      </c>
      <c r="W1882">
        <v>65</v>
      </c>
      <c r="X1882">
        <v>452</v>
      </c>
      <c r="Y1882">
        <v>44</v>
      </c>
      <c r="Z1882">
        <v>293</v>
      </c>
      <c r="AA1882">
        <v>44</v>
      </c>
      <c r="AB1882">
        <v>42.832383087104603</v>
      </c>
      <c r="AC1882">
        <v>2.5515107858617998E-2</v>
      </c>
      <c r="AD1882">
        <v>3.02164830683824</v>
      </c>
      <c r="AE1882">
        <v>0.55779182910919201</v>
      </c>
      <c r="AF1882">
        <v>1175.0228471001799</v>
      </c>
      <c r="AG1882">
        <f>IFERROR(AH1882*0.1, "N/A")</f>
        <v>6.1309314586994708</v>
      </c>
      <c r="AH1882">
        <v>61.309314586994702</v>
      </c>
      <c r="AI1882">
        <v>303.50017548948301</v>
      </c>
      <c r="AJ1882">
        <v>34.514938488576398</v>
      </c>
      <c r="AK1882">
        <v>46.152899824253097</v>
      </c>
    </row>
    <row r="1883" spans="1:37" x14ac:dyDescent="0.3">
      <c r="A1883">
        <v>1882</v>
      </c>
      <c r="B1883">
        <v>34.200001</v>
      </c>
      <c r="C1883">
        <v>32.887698999999998</v>
      </c>
      <c r="D1883">
        <v>-2.47173</v>
      </c>
      <c r="E1883" t="s">
        <v>3309</v>
      </c>
      <c r="F1883" t="s">
        <v>3311</v>
      </c>
      <c r="G1883" t="s">
        <v>37</v>
      </c>
      <c r="H1883">
        <v>1962</v>
      </c>
      <c r="I1883">
        <v>22.399999618530298</v>
      </c>
      <c r="J1883">
        <v>10.300000190734901</v>
      </c>
      <c r="K1883">
        <v>77</v>
      </c>
      <c r="L1883">
        <v>4.5999999046325701</v>
      </c>
      <c r="M1883">
        <v>28.399999618530298</v>
      </c>
      <c r="N1883">
        <v>15.1000003814697</v>
      </c>
      <c r="O1883">
        <v>13.300000190734901</v>
      </c>
      <c r="P1883">
        <v>22.600000381469702</v>
      </c>
      <c r="Q1883">
        <v>21.700000762939499</v>
      </c>
      <c r="R1883">
        <v>22.899999618530298</v>
      </c>
      <c r="S1883">
        <v>21.700000762939499</v>
      </c>
      <c r="T1883">
        <v>1109</v>
      </c>
      <c r="U1883">
        <v>184</v>
      </c>
      <c r="V1883">
        <v>9</v>
      </c>
      <c r="W1883">
        <v>65</v>
      </c>
      <c r="X1883">
        <v>452</v>
      </c>
      <c r="Y1883">
        <v>44</v>
      </c>
      <c r="Z1883">
        <v>293</v>
      </c>
      <c r="AA1883">
        <v>44</v>
      </c>
      <c r="AB1883">
        <v>42.832383087104603</v>
      </c>
      <c r="AC1883">
        <v>2.5515107858617998E-2</v>
      </c>
      <c r="AD1883">
        <v>3.02164830683824</v>
      </c>
      <c r="AE1883">
        <v>0.55779182910919201</v>
      </c>
      <c r="AF1883">
        <v>1175.0228471001799</v>
      </c>
      <c r="AG1883">
        <f>IFERROR(AH1883*0.1, "N/A")</f>
        <v>6.1309314586994708</v>
      </c>
      <c r="AH1883">
        <v>61.309314586994702</v>
      </c>
      <c r="AI1883">
        <v>303.50017548948301</v>
      </c>
      <c r="AJ1883">
        <v>34.514938488576398</v>
      </c>
      <c r="AK1883">
        <v>46.152899824253097</v>
      </c>
    </row>
    <row r="1884" spans="1:37" x14ac:dyDescent="0.3">
      <c r="A1884">
        <v>1883</v>
      </c>
      <c r="B1884">
        <v>79</v>
      </c>
      <c r="C1884">
        <v>32.915999999999997</v>
      </c>
      <c r="D1884">
        <v>-1.9839800000000001</v>
      </c>
      <c r="E1884" t="s">
        <v>3312</v>
      </c>
      <c r="F1884" t="s">
        <v>3313</v>
      </c>
      <c r="G1884" t="s">
        <v>37</v>
      </c>
      <c r="H1884">
        <v>1997</v>
      </c>
      <c r="I1884">
        <v>22.5</v>
      </c>
      <c r="J1884">
        <v>9.8999996185302699</v>
      </c>
      <c r="K1884">
        <v>79</v>
      </c>
      <c r="L1884">
        <v>4.9750087441375701</v>
      </c>
      <c r="M1884">
        <v>28.200000762939499</v>
      </c>
      <c r="N1884">
        <v>15.699999809265099</v>
      </c>
      <c r="O1884">
        <v>12.5</v>
      </c>
      <c r="P1884">
        <v>22.685940955351398</v>
      </c>
      <c r="Q1884">
        <v>21.700000762939499</v>
      </c>
      <c r="R1884">
        <v>22.985940192411999</v>
      </c>
      <c r="S1884">
        <v>21.700000762939499</v>
      </c>
      <c r="T1884">
        <v>1475.2653778558899</v>
      </c>
      <c r="U1884">
        <v>242.14059753954299</v>
      </c>
      <c r="V1884">
        <v>25</v>
      </c>
      <c r="W1884">
        <v>54</v>
      </c>
      <c r="X1884">
        <v>577.42179261862896</v>
      </c>
      <c r="Y1884">
        <v>104.281195079086</v>
      </c>
      <c r="Z1884">
        <v>350.14059753954302</v>
      </c>
      <c r="AA1884">
        <v>104.281195079086</v>
      </c>
      <c r="AB1884">
        <v>0.33322749615553598</v>
      </c>
      <c r="AC1884">
        <v>2.3868612528423401</v>
      </c>
      <c r="AD1884">
        <v>1.06120156765194</v>
      </c>
      <c r="AE1884">
        <v>0.61214298009872403</v>
      </c>
      <c r="AF1884">
        <v>1137.37609841828</v>
      </c>
      <c r="AG1884">
        <f>IFERROR(AH1884*0.1, "N/A")</f>
        <v>5.7</v>
      </c>
      <c r="AH1884">
        <v>57</v>
      </c>
      <c r="AI1884">
        <v>121.211022395451</v>
      </c>
      <c r="AJ1884">
        <v>29.838312829525499</v>
      </c>
      <c r="AK1884">
        <v>55</v>
      </c>
    </row>
    <row r="1885" spans="1:37" x14ac:dyDescent="0.3">
      <c r="A1885">
        <v>1884</v>
      </c>
      <c r="B1885">
        <v>32.799999</v>
      </c>
      <c r="C1885">
        <v>37.499802000000003</v>
      </c>
      <c r="D1885">
        <v>-6.9199299999999999</v>
      </c>
      <c r="E1885" t="s">
        <v>3314</v>
      </c>
      <c r="F1885" t="s">
        <v>3315</v>
      </c>
      <c r="G1885" t="s">
        <v>39</v>
      </c>
      <c r="H1885">
        <v>1993</v>
      </c>
      <c r="I1885">
        <v>24.100000381469702</v>
      </c>
      <c r="J1885">
        <v>10.800000190734901</v>
      </c>
      <c r="K1885">
        <v>65.801739130434797</v>
      </c>
      <c r="L1885">
        <v>18.317669979592999</v>
      </c>
      <c r="M1885">
        <v>31.600000381469702</v>
      </c>
      <c r="N1885">
        <v>15.280174028147799</v>
      </c>
      <c r="O1885">
        <v>16.319825399647598</v>
      </c>
      <c r="P1885">
        <v>25.5</v>
      </c>
      <c r="Q1885">
        <v>21.480173837412998</v>
      </c>
      <c r="R1885">
        <v>26.100000381469702</v>
      </c>
      <c r="S1885">
        <v>21.480173837412998</v>
      </c>
      <c r="T1885">
        <v>987.79304347826098</v>
      </c>
      <c r="U1885">
        <v>246.59478260869599</v>
      </c>
      <c r="V1885">
        <v>7</v>
      </c>
      <c r="W1885">
        <v>83</v>
      </c>
      <c r="X1885">
        <v>510.59478260869599</v>
      </c>
      <c r="Y1885">
        <v>29</v>
      </c>
      <c r="Z1885">
        <v>334.80173913043501</v>
      </c>
      <c r="AA1885">
        <v>29</v>
      </c>
      <c r="AB1885">
        <v>21.329228940217401</v>
      </c>
      <c r="AC1885">
        <v>8.4868330800009998E-3</v>
      </c>
      <c r="AD1885">
        <v>2.1882299895908499</v>
      </c>
      <c r="AE1885">
        <v>0.28972810506820701</v>
      </c>
      <c r="AF1885">
        <v>584.96173913043503</v>
      </c>
      <c r="AG1885">
        <f>IFERROR(AH1885*0.1, "N/A")</f>
        <v>5.9480000000000004</v>
      </c>
      <c r="AH1885">
        <v>59.48</v>
      </c>
      <c r="AI1885">
        <v>272.59438651706898</v>
      </c>
      <c r="AJ1885">
        <v>35.090434782608703</v>
      </c>
      <c r="AK1885">
        <v>51.333913043478297</v>
      </c>
    </row>
    <row r="1886" spans="1:37" x14ac:dyDescent="0.3">
      <c r="A1886">
        <v>1885</v>
      </c>
      <c r="B1886">
        <v>7.1</v>
      </c>
      <c r="C1886">
        <v>37.499802000000003</v>
      </c>
      <c r="D1886">
        <v>-6.9199299999999999</v>
      </c>
      <c r="E1886" t="s">
        <v>3314</v>
      </c>
      <c r="F1886" t="s">
        <v>3316</v>
      </c>
      <c r="G1886" t="s">
        <v>37</v>
      </c>
      <c r="H1886">
        <v>1993</v>
      </c>
      <c r="I1886">
        <v>24.100000381469702</v>
      </c>
      <c r="J1886">
        <v>10.800000190734901</v>
      </c>
      <c r="K1886">
        <v>65.801739130434797</v>
      </c>
      <c r="L1886">
        <v>18.317669979592999</v>
      </c>
      <c r="M1886">
        <v>31.600000381469702</v>
      </c>
      <c r="N1886">
        <v>15.280174028147799</v>
      </c>
      <c r="O1886">
        <v>16.319825399647598</v>
      </c>
      <c r="P1886">
        <v>25.5</v>
      </c>
      <c r="Q1886">
        <v>21.480173837412998</v>
      </c>
      <c r="R1886">
        <v>26.100000381469702</v>
      </c>
      <c r="S1886">
        <v>21.480173837412998</v>
      </c>
      <c r="T1886">
        <v>987.79304347826098</v>
      </c>
      <c r="U1886">
        <v>246.59478260869599</v>
      </c>
      <c r="V1886">
        <v>7</v>
      </c>
      <c r="W1886">
        <v>83</v>
      </c>
      <c r="X1886">
        <v>510.59478260869599</v>
      </c>
      <c r="Y1886">
        <v>29</v>
      </c>
      <c r="Z1886">
        <v>334.80173913043501</v>
      </c>
      <c r="AA1886">
        <v>29</v>
      </c>
      <c r="AB1886">
        <v>21.329228940217401</v>
      </c>
      <c r="AC1886">
        <v>8.4868330800009998E-3</v>
      </c>
      <c r="AD1886">
        <v>2.1882299895908499</v>
      </c>
      <c r="AE1886">
        <v>0.28972810506820701</v>
      </c>
      <c r="AF1886">
        <v>584.96173913043503</v>
      </c>
      <c r="AG1886">
        <f>IFERROR(AH1886*0.1, "N/A")</f>
        <v>5.9480000000000004</v>
      </c>
      <c r="AH1886">
        <v>59.48</v>
      </c>
      <c r="AI1886">
        <v>272.59438651706898</v>
      </c>
      <c r="AJ1886">
        <v>35.090434782608703</v>
      </c>
      <c r="AK1886">
        <v>51.333913043478297</v>
      </c>
    </row>
    <row r="1887" spans="1:37" x14ac:dyDescent="0.3">
      <c r="A1887">
        <v>1886</v>
      </c>
      <c r="B1887">
        <v>73.099997999999999</v>
      </c>
      <c r="C1887">
        <v>33.022098999999997</v>
      </c>
      <c r="D1887">
        <v>-2.7142300000000001</v>
      </c>
      <c r="E1887" t="s">
        <v>3317</v>
      </c>
      <c r="F1887" t="s">
        <v>3318</v>
      </c>
      <c r="G1887" t="s">
        <v>39</v>
      </c>
      <c r="H1887">
        <v>1988</v>
      </c>
      <c r="I1887">
        <v>22.700000762939499</v>
      </c>
      <c r="J1887">
        <v>11.1000003814697</v>
      </c>
      <c r="K1887">
        <v>71</v>
      </c>
      <c r="L1887">
        <v>6.6599998474121103</v>
      </c>
      <c r="M1887">
        <v>30.299999237060501</v>
      </c>
      <c r="N1887">
        <v>14.800000190734901</v>
      </c>
      <c r="O1887">
        <v>15.5</v>
      </c>
      <c r="P1887">
        <v>22.5</v>
      </c>
      <c r="Q1887">
        <v>21.899999618530298</v>
      </c>
      <c r="R1887">
        <v>23.5</v>
      </c>
      <c r="S1887">
        <v>21.899999618530298</v>
      </c>
      <c r="T1887">
        <v>972</v>
      </c>
      <c r="U1887">
        <v>161</v>
      </c>
      <c r="V1887">
        <v>6</v>
      </c>
      <c r="W1887">
        <v>67</v>
      </c>
      <c r="X1887">
        <v>393</v>
      </c>
      <c r="Y1887">
        <v>27</v>
      </c>
      <c r="Z1887">
        <v>247</v>
      </c>
      <c r="AA1887">
        <v>92</v>
      </c>
      <c r="AB1887">
        <v>8.8487291386341198</v>
      </c>
      <c r="AC1887">
        <v>5.0780495193333997E-2</v>
      </c>
      <c r="AD1887">
        <v>2.1943408462410399</v>
      </c>
      <c r="AE1887">
        <v>0.437644302845001</v>
      </c>
      <c r="AF1887">
        <v>1218.81195079086</v>
      </c>
      <c r="AG1887">
        <f>IFERROR(AH1887*0.1, "N/A")</f>
        <v>6</v>
      </c>
      <c r="AH1887">
        <v>60</v>
      </c>
      <c r="AI1887">
        <v>288.95959236667898</v>
      </c>
      <c r="AJ1887">
        <v>24</v>
      </c>
      <c r="AK1887">
        <v>64</v>
      </c>
    </row>
    <row r="1888" spans="1:37" x14ac:dyDescent="0.3">
      <c r="A1888">
        <v>1887</v>
      </c>
      <c r="B1888">
        <v>49.599997999999999</v>
      </c>
      <c r="C1888">
        <v>39.736801</v>
      </c>
      <c r="D1888">
        <v>-4.9960399999999998</v>
      </c>
      <c r="E1888" t="s">
        <v>3319</v>
      </c>
      <c r="F1888" t="s">
        <v>3320</v>
      </c>
      <c r="G1888" t="s">
        <v>39</v>
      </c>
      <c r="H1888">
        <v>1997</v>
      </c>
      <c r="I1888">
        <v>25.299999237060501</v>
      </c>
      <c r="J1888">
        <v>8.3000001907348597</v>
      </c>
      <c r="K1888">
        <v>66</v>
      </c>
      <c r="L1888">
        <v>12.8400001525879</v>
      </c>
      <c r="M1888">
        <v>31.600000381469702</v>
      </c>
      <c r="N1888">
        <v>19.100000381469702</v>
      </c>
      <c r="O1888">
        <v>12.5</v>
      </c>
      <c r="P1888">
        <v>26.100000381469702</v>
      </c>
      <c r="Q1888">
        <v>23.600000381469702</v>
      </c>
      <c r="R1888">
        <v>26.799999237060501</v>
      </c>
      <c r="S1888">
        <v>23.600000381469702</v>
      </c>
      <c r="T1888">
        <v>1706</v>
      </c>
      <c r="U1888">
        <v>398</v>
      </c>
      <c r="V1888">
        <v>42</v>
      </c>
      <c r="W1888">
        <v>82</v>
      </c>
      <c r="X1888">
        <v>915</v>
      </c>
      <c r="Y1888">
        <v>180</v>
      </c>
      <c r="Z1888">
        <v>239</v>
      </c>
      <c r="AA1888">
        <v>180</v>
      </c>
      <c r="AB1888">
        <v>26.699129261063401</v>
      </c>
      <c r="AC1888">
        <v>9.1699692493799993E-3</v>
      </c>
      <c r="AD1888">
        <v>7.8660523571061001</v>
      </c>
      <c r="AE1888">
        <v>0.327364951372147</v>
      </c>
      <c r="AF1888">
        <v>61.216404886562003</v>
      </c>
      <c r="AG1888">
        <f>IFERROR(AH1888*0.1, "N/A")</f>
        <v>5.2</v>
      </c>
      <c r="AH1888">
        <v>52</v>
      </c>
      <c r="AI1888">
        <v>197.19339354083999</v>
      </c>
      <c r="AJ1888">
        <v>25.830715532286199</v>
      </c>
      <c r="AK1888">
        <v>58</v>
      </c>
    </row>
    <row r="1889" spans="1:37" x14ac:dyDescent="0.3">
      <c r="A1889">
        <v>1888</v>
      </c>
      <c r="B1889">
        <v>62.5</v>
      </c>
      <c r="C1889">
        <v>39.770000000000003</v>
      </c>
      <c r="D1889">
        <v>-5.1160300000000003</v>
      </c>
      <c r="E1889" t="s">
        <v>3321</v>
      </c>
      <c r="F1889" t="s">
        <v>3322</v>
      </c>
      <c r="G1889" t="s">
        <v>39</v>
      </c>
      <c r="H1889">
        <v>1997</v>
      </c>
      <c r="I1889">
        <v>25.399999618530298</v>
      </c>
      <c r="J1889">
        <v>8.3999996185302699</v>
      </c>
      <c r="K1889">
        <v>66.994746059544696</v>
      </c>
      <c r="L1889">
        <v>12.871943842926299</v>
      </c>
      <c r="M1889">
        <v>31.600525777519501</v>
      </c>
      <c r="N1889">
        <v>19.100000381469702</v>
      </c>
      <c r="O1889">
        <v>12.500525396049801</v>
      </c>
      <c r="P1889">
        <v>26.100525777519501</v>
      </c>
      <c r="Q1889">
        <v>23.600000381469702</v>
      </c>
      <c r="R1889">
        <v>26.899999618530298</v>
      </c>
      <c r="S1889">
        <v>23.600000381469702</v>
      </c>
      <c r="T1889">
        <v>1607.9632224168099</v>
      </c>
      <c r="U1889">
        <v>393.99474605954498</v>
      </c>
      <c r="V1889">
        <v>29</v>
      </c>
      <c r="W1889">
        <v>85.005253940455304</v>
      </c>
      <c r="X1889">
        <v>894</v>
      </c>
      <c r="Y1889">
        <v>135.98949211908899</v>
      </c>
      <c r="Z1889">
        <v>266.00525394045502</v>
      </c>
      <c r="AA1889">
        <v>135.98949211908899</v>
      </c>
      <c r="AB1889">
        <v>16.361296648737</v>
      </c>
      <c r="AC1889">
        <v>1.4106309734572E-2</v>
      </c>
      <c r="AD1889">
        <v>2.7211242076498801</v>
      </c>
      <c r="AE1889">
        <v>0.299753804340463</v>
      </c>
      <c r="AF1889">
        <v>45.705779334500903</v>
      </c>
      <c r="AG1889">
        <f>IFERROR(AH1889*0.1, "N/A")</f>
        <v>5.6000000000000005</v>
      </c>
      <c r="AH1889">
        <v>56</v>
      </c>
      <c r="AI1889">
        <v>138.201636493102</v>
      </c>
      <c r="AJ1889">
        <v>26</v>
      </c>
      <c r="AK1889">
        <v>57</v>
      </c>
    </row>
    <row r="1890" spans="1:37" x14ac:dyDescent="0.3">
      <c r="A1890">
        <v>1889</v>
      </c>
      <c r="B1890">
        <v>90.800003000000004</v>
      </c>
      <c r="C1890">
        <v>39.733898000000003</v>
      </c>
      <c r="D1890">
        <v>-5.33162</v>
      </c>
      <c r="E1890" t="s">
        <v>3323</v>
      </c>
      <c r="F1890" t="s">
        <v>3324</v>
      </c>
      <c r="G1890" t="s">
        <v>39</v>
      </c>
      <c r="H1890">
        <v>1997</v>
      </c>
      <c r="I1890">
        <v>25.7094411783285</v>
      </c>
      <c r="J1890">
        <v>8.3999996185302699</v>
      </c>
      <c r="K1890">
        <v>66</v>
      </c>
      <c r="L1890">
        <v>12.972272776223599</v>
      </c>
      <c r="M1890">
        <v>32.109439249638903</v>
      </c>
      <c r="N1890">
        <v>19.4094402139837</v>
      </c>
      <c r="O1890">
        <v>12.699999809265099</v>
      </c>
      <c r="P1890">
        <v>26.5</v>
      </c>
      <c r="Q1890">
        <v>23.947202415733098</v>
      </c>
      <c r="R1890">
        <v>27.2094411783285</v>
      </c>
      <c r="S1890">
        <v>23.9094402139837</v>
      </c>
      <c r="T1890">
        <v>1687.9825174825201</v>
      </c>
      <c r="U1890">
        <v>440.75524475524497</v>
      </c>
      <c r="V1890">
        <v>26.0944055944056</v>
      </c>
      <c r="W1890">
        <v>93.0944055944056</v>
      </c>
      <c r="X1890">
        <v>990.69930069930103</v>
      </c>
      <c r="Y1890">
        <v>114.188811188811</v>
      </c>
      <c r="Z1890">
        <v>297.81118881118903</v>
      </c>
      <c r="AA1890">
        <v>114.283216783217</v>
      </c>
      <c r="AB1890">
        <v>23.6440548463301</v>
      </c>
      <c r="AC1890">
        <v>9.4044423691429999E-3</v>
      </c>
      <c r="AD1890">
        <v>4.2188361791464004</v>
      </c>
      <c r="AE1890">
        <v>0.30175337195396401</v>
      </c>
      <c r="AF1890">
        <v>56.938811188811201</v>
      </c>
      <c r="AG1890">
        <f>IFERROR(AH1890*0.1, "N/A")</f>
        <v>5.3910839160839208</v>
      </c>
      <c r="AH1890">
        <v>53.910839160839203</v>
      </c>
      <c r="AI1890">
        <v>248.07660310918601</v>
      </c>
      <c r="AJ1890">
        <v>26.0944055944056</v>
      </c>
      <c r="AK1890">
        <v>56.805944055944103</v>
      </c>
    </row>
    <row r="1891" spans="1:37" x14ac:dyDescent="0.3">
      <c r="A1891">
        <v>1890</v>
      </c>
      <c r="B1891">
        <v>56.5</v>
      </c>
      <c r="C1891">
        <v>33.529800000000002</v>
      </c>
      <c r="D1891">
        <v>-2.58914</v>
      </c>
      <c r="E1891" t="s">
        <v>3325</v>
      </c>
      <c r="F1891" t="s">
        <v>3326</v>
      </c>
      <c r="G1891" t="s">
        <v>39</v>
      </c>
      <c r="H1891">
        <v>1999</v>
      </c>
      <c r="I1891">
        <v>22.899999618530298</v>
      </c>
      <c r="J1891">
        <v>10.699999809265099</v>
      </c>
      <c r="K1891">
        <v>73</v>
      </c>
      <c r="L1891">
        <v>6.4499998092651403</v>
      </c>
      <c r="M1891">
        <v>29.899999618530298</v>
      </c>
      <c r="N1891">
        <v>15.3999996185303</v>
      </c>
      <c r="O1891">
        <v>14.5</v>
      </c>
      <c r="P1891">
        <v>23.100000381469702</v>
      </c>
      <c r="Q1891">
        <v>22</v>
      </c>
      <c r="R1891">
        <v>23.700000762939499</v>
      </c>
      <c r="S1891">
        <v>22</v>
      </c>
      <c r="T1891">
        <v>957</v>
      </c>
      <c r="U1891">
        <v>189</v>
      </c>
      <c r="V1891">
        <v>1</v>
      </c>
      <c r="W1891">
        <v>74</v>
      </c>
      <c r="X1891">
        <v>428</v>
      </c>
      <c r="Y1891">
        <v>23</v>
      </c>
      <c r="Z1891">
        <v>223</v>
      </c>
      <c r="AA1891">
        <v>23</v>
      </c>
      <c r="AB1891">
        <v>1.05742140219245</v>
      </c>
      <c r="AC1891">
        <v>0.53654556712430801</v>
      </c>
      <c r="AD1891">
        <v>0.92004757143661997</v>
      </c>
      <c r="AE1891">
        <v>0.48833376169204701</v>
      </c>
      <c r="AF1891">
        <v>1142.9295774647901</v>
      </c>
      <c r="AG1891">
        <f>IFERROR(AH1891*0.1, "N/A")</f>
        <v>6.6000000000000005</v>
      </c>
      <c r="AH1891">
        <v>66</v>
      </c>
      <c r="AI1891">
        <v>112.054570157763</v>
      </c>
      <c r="AJ1891">
        <v>33</v>
      </c>
      <c r="AK1891">
        <v>45</v>
      </c>
    </row>
    <row r="1892" spans="1:37" x14ac:dyDescent="0.3">
      <c r="A1892">
        <v>1891</v>
      </c>
      <c r="B1892">
        <v>10.9</v>
      </c>
      <c r="C1892">
        <v>33.529800000000002</v>
      </c>
      <c r="D1892">
        <v>-2.58914</v>
      </c>
      <c r="E1892" t="s">
        <v>3325</v>
      </c>
      <c r="F1892" t="s">
        <v>3327</v>
      </c>
      <c r="G1892" t="s">
        <v>37</v>
      </c>
      <c r="H1892">
        <v>1999</v>
      </c>
      <c r="I1892">
        <v>22.899999618530298</v>
      </c>
      <c r="J1892">
        <v>10.699999809265099</v>
      </c>
      <c r="K1892">
        <v>73</v>
      </c>
      <c r="L1892">
        <v>6.4499998092651403</v>
      </c>
      <c r="M1892">
        <v>29.899999618530298</v>
      </c>
      <c r="N1892">
        <v>15.3999996185303</v>
      </c>
      <c r="O1892">
        <v>14.5</v>
      </c>
      <c r="P1892">
        <v>23.100000381469702</v>
      </c>
      <c r="Q1892">
        <v>22</v>
      </c>
      <c r="R1892">
        <v>23.700000762939499</v>
      </c>
      <c r="S1892">
        <v>22</v>
      </c>
      <c r="T1892">
        <v>957</v>
      </c>
      <c r="U1892">
        <v>189</v>
      </c>
      <c r="V1892">
        <v>1</v>
      </c>
      <c r="W1892">
        <v>74</v>
      </c>
      <c r="X1892">
        <v>428</v>
      </c>
      <c r="Y1892">
        <v>23</v>
      </c>
      <c r="Z1892">
        <v>223</v>
      </c>
      <c r="AA1892">
        <v>23</v>
      </c>
      <c r="AB1892">
        <v>1.05742140219245</v>
      </c>
      <c r="AC1892">
        <v>0.53654556712430801</v>
      </c>
      <c r="AD1892">
        <v>0.92004757143661997</v>
      </c>
      <c r="AE1892">
        <v>0.48833376169204701</v>
      </c>
      <c r="AF1892">
        <v>1142.9295774647901</v>
      </c>
      <c r="AG1892">
        <f>IFERROR(AH1892*0.1, "N/A")</f>
        <v>6.6000000000000005</v>
      </c>
      <c r="AH1892">
        <v>66</v>
      </c>
      <c r="AI1892">
        <v>112.054570157763</v>
      </c>
      <c r="AJ1892">
        <v>33</v>
      </c>
      <c r="AK1892">
        <v>45</v>
      </c>
    </row>
    <row r="1893" spans="1:37" x14ac:dyDescent="0.3">
      <c r="A1893">
        <v>1892</v>
      </c>
      <c r="B1893">
        <v>34</v>
      </c>
      <c r="C1893">
        <v>39.225299999999997</v>
      </c>
      <c r="D1893">
        <v>-6.0424699999999998</v>
      </c>
      <c r="E1893" t="s">
        <v>3328</v>
      </c>
      <c r="F1893" t="s">
        <v>3329</v>
      </c>
      <c r="G1893" t="s">
        <v>39</v>
      </c>
      <c r="H1893">
        <v>1968</v>
      </c>
      <c r="I1893">
        <v>27.118848620908999</v>
      </c>
      <c r="J1893">
        <v>9.3999996185302699</v>
      </c>
      <c r="K1893">
        <v>67.635253054101199</v>
      </c>
      <c r="L1893">
        <v>12.7157591508529</v>
      </c>
      <c r="M1893">
        <v>34.218848642878498</v>
      </c>
      <c r="N1893">
        <v>20.382373024239801</v>
      </c>
      <c r="O1893">
        <v>13.8364746766149</v>
      </c>
      <c r="P1893">
        <v>27.818847476499901</v>
      </c>
      <c r="Q1893">
        <v>25.481326281296202</v>
      </c>
      <c r="R1893">
        <v>28.781325874528299</v>
      </c>
      <c r="S1893">
        <v>25.481326281296202</v>
      </c>
      <c r="T1893">
        <v>1668.50785340314</v>
      </c>
      <c r="U1893">
        <v>367.064572425829</v>
      </c>
      <c r="V1893">
        <v>55.8237347294939</v>
      </c>
      <c r="W1893">
        <v>70</v>
      </c>
      <c r="X1893">
        <v>864.00872600348998</v>
      </c>
      <c r="Y1893">
        <v>179.64746945898801</v>
      </c>
      <c r="Z1893">
        <v>333.47120418848198</v>
      </c>
      <c r="AA1893">
        <v>179.64746945898801</v>
      </c>
      <c r="AB1893">
        <v>12.045202871059701</v>
      </c>
      <c r="AC1893">
        <v>2.6646268199707002E-2</v>
      </c>
      <c r="AD1893">
        <v>2.1625552368829801</v>
      </c>
      <c r="AE1893">
        <v>0.49242119712147198</v>
      </c>
      <c r="AF1893">
        <v>57.879581151832397</v>
      </c>
      <c r="AG1893">
        <f>IFERROR(AH1893*0.1, "N/A")</f>
        <v>5.5624781849912708</v>
      </c>
      <c r="AH1893">
        <v>55.624781849912701</v>
      </c>
      <c r="AI1893">
        <v>202.56078960425401</v>
      </c>
      <c r="AJ1893">
        <v>23.935427574171001</v>
      </c>
      <c r="AK1893">
        <v>58.792321116928399</v>
      </c>
    </row>
    <row r="1894" spans="1:37" x14ac:dyDescent="0.3">
      <c r="A1894">
        <v>1893</v>
      </c>
      <c r="B1894">
        <v>87.599997999999999</v>
      </c>
      <c r="C1894">
        <v>39.308898999999997</v>
      </c>
      <c r="D1894">
        <v>-5.9697199999999997</v>
      </c>
      <c r="E1894" t="s">
        <v>3330</v>
      </c>
      <c r="F1894" t="s">
        <v>3331</v>
      </c>
      <c r="G1894" t="s">
        <v>39</v>
      </c>
      <c r="H1894">
        <v>1968</v>
      </c>
      <c r="I1894">
        <v>27.185140566392398</v>
      </c>
      <c r="J1894">
        <v>9.1999998092651403</v>
      </c>
      <c r="K1894">
        <v>68</v>
      </c>
      <c r="L1894">
        <v>12.631084197051001</v>
      </c>
      <c r="M1894">
        <v>34.085138561008698</v>
      </c>
      <c r="N1894">
        <v>20.685140566392398</v>
      </c>
      <c r="O1894">
        <v>13.3999996185303</v>
      </c>
      <c r="P1894">
        <v>27.885139421983201</v>
      </c>
      <c r="Q1894">
        <v>25.485139803452899</v>
      </c>
      <c r="R1894">
        <v>28.785139323948101</v>
      </c>
      <c r="S1894">
        <v>25.485139803452899</v>
      </c>
      <c r="T1894">
        <v>1810.5541958041999</v>
      </c>
      <c r="U1894">
        <v>453.95979020979001</v>
      </c>
      <c r="V1894">
        <v>51.2972027972028</v>
      </c>
      <c r="W1894">
        <v>82.8513986013986</v>
      </c>
      <c r="X1894">
        <v>1027.9597902097901</v>
      </c>
      <c r="Y1894">
        <v>180.44580419580399</v>
      </c>
      <c r="Z1894">
        <v>340.44580419580399</v>
      </c>
      <c r="AA1894">
        <v>180.44580419580399</v>
      </c>
      <c r="AB1894">
        <v>6.7106676435137098</v>
      </c>
      <c r="AC1894">
        <v>1.4448179724997E-2</v>
      </c>
      <c r="AD1894">
        <v>3.0682980007641798</v>
      </c>
      <c r="AE1894">
        <v>0.45000052452087402</v>
      </c>
      <c r="AF1894">
        <v>70.409090909090907</v>
      </c>
      <c r="AG1894">
        <f>IFERROR(AH1894*0.1, "N/A")</f>
        <v>5.6003496503496502</v>
      </c>
      <c r="AH1894">
        <v>56.0034965034965</v>
      </c>
      <c r="AI1894">
        <v>258.70012048574603</v>
      </c>
      <c r="AJ1894">
        <v>24.244755244755201</v>
      </c>
      <c r="AK1894">
        <v>60.465034965035002</v>
      </c>
    </row>
    <row r="1895" spans="1:37" x14ac:dyDescent="0.3">
      <c r="A1895">
        <v>1894</v>
      </c>
      <c r="B1895">
        <v>68.599997999999999</v>
      </c>
      <c r="C1895">
        <v>38.714401000000002</v>
      </c>
      <c r="D1895">
        <v>-5.0640900000000002</v>
      </c>
      <c r="E1895" t="s">
        <v>3332</v>
      </c>
      <c r="F1895" t="s">
        <v>3333</v>
      </c>
      <c r="G1895" t="s">
        <v>39</v>
      </c>
      <c r="H1895">
        <v>1958</v>
      </c>
      <c r="I1895">
        <v>25.399999618530298</v>
      </c>
      <c r="J1895">
        <v>10.199999809265099</v>
      </c>
      <c r="K1895">
        <v>65</v>
      </c>
      <c r="L1895">
        <v>17</v>
      </c>
      <c r="M1895">
        <v>33.5</v>
      </c>
      <c r="N1895">
        <v>17.899999618530298</v>
      </c>
      <c r="O1895">
        <v>15.6000003814697</v>
      </c>
      <c r="P1895">
        <v>26.299999237060501</v>
      </c>
      <c r="Q1895">
        <v>23.200000762939499</v>
      </c>
      <c r="R1895">
        <v>27.399999618530298</v>
      </c>
      <c r="S1895">
        <v>23.100000381469702</v>
      </c>
      <c r="T1895">
        <v>1301</v>
      </c>
      <c r="U1895">
        <v>204</v>
      </c>
      <c r="V1895">
        <v>50</v>
      </c>
      <c r="W1895">
        <v>50</v>
      </c>
      <c r="X1895">
        <v>546</v>
      </c>
      <c r="Y1895">
        <v>175</v>
      </c>
      <c r="Z1895">
        <v>258</v>
      </c>
      <c r="AA1895">
        <v>196</v>
      </c>
      <c r="AB1895">
        <v>3.3823736700087901</v>
      </c>
      <c r="AC1895">
        <v>0.86103115148556297</v>
      </c>
      <c r="AD1895">
        <v>4.07236312904491</v>
      </c>
      <c r="AE1895">
        <v>0.29433393478393599</v>
      </c>
      <c r="AF1895">
        <v>186.335078534031</v>
      </c>
      <c r="AG1895">
        <f>IFERROR(AH1895*0.1, "N/A")</f>
        <v>5.6739965095986005</v>
      </c>
      <c r="AH1895">
        <v>56.739965095986001</v>
      </c>
      <c r="AI1895">
        <v>216.03304991797</v>
      </c>
      <c r="AJ1895">
        <v>39.260034904013999</v>
      </c>
      <c r="AK1895">
        <v>44.739965095986001</v>
      </c>
    </row>
    <row r="1896" spans="1:37" x14ac:dyDescent="0.3">
      <c r="A1896">
        <v>1895</v>
      </c>
      <c r="B1896">
        <v>20.799999</v>
      </c>
      <c r="C1896">
        <v>38.900002000000001</v>
      </c>
      <c r="D1896">
        <v>-5.15</v>
      </c>
      <c r="E1896" t="s">
        <v>3334</v>
      </c>
      <c r="F1896" t="s">
        <v>3335</v>
      </c>
      <c r="G1896" t="s">
        <v>39</v>
      </c>
      <c r="H1896">
        <v>1958</v>
      </c>
      <c r="I1896">
        <v>25.806829893442899</v>
      </c>
      <c r="J1896">
        <v>9.5266200665208398</v>
      </c>
      <c r="K1896">
        <v>65.266199649737302</v>
      </c>
      <c r="L1896">
        <v>15.8800351532036</v>
      </c>
      <c r="M1896">
        <v>33.366899667395799</v>
      </c>
      <c r="N1896">
        <v>18.906829767177101</v>
      </c>
      <c r="O1896">
        <v>14.4600699002187</v>
      </c>
      <c r="P1896">
        <v>26.6068305301165</v>
      </c>
      <c r="Q1896">
        <v>27.506830148646799</v>
      </c>
      <c r="R1896">
        <v>27.795271180348301</v>
      </c>
      <c r="S1896">
        <v>23.751839201838699</v>
      </c>
      <c r="T1896">
        <v>1179.07880910683</v>
      </c>
      <c r="U1896">
        <v>206.60420315236399</v>
      </c>
      <c r="V1896">
        <v>32.665499124343299</v>
      </c>
      <c r="W1896">
        <v>53</v>
      </c>
      <c r="X1896">
        <v>486.56742556917698</v>
      </c>
      <c r="Y1896">
        <v>159.04378283712799</v>
      </c>
      <c r="Z1896">
        <v>183.93169877408101</v>
      </c>
      <c r="AA1896">
        <v>195.25218914185601</v>
      </c>
      <c r="AB1896">
        <v>20.6430878113114</v>
      </c>
      <c r="AC1896">
        <v>1.2450470111207E-2</v>
      </c>
      <c r="AD1896">
        <v>1.8415495573743601</v>
      </c>
      <c r="AE1896">
        <v>0.32510940952392903</v>
      </c>
      <c r="AF1896">
        <v>113.77408056042</v>
      </c>
      <c r="AG1896">
        <f>IFERROR(AH1896*0.1, "N/A")</f>
        <v>6.126619964973731</v>
      </c>
      <c r="AH1896">
        <v>61.266199649737302</v>
      </c>
      <c r="AI1896">
        <v>199.28290650055399</v>
      </c>
      <c r="AJ1896">
        <v>31.733800350262701</v>
      </c>
      <c r="AK1896">
        <v>53</v>
      </c>
    </row>
    <row r="1897" spans="1:37" x14ac:dyDescent="0.3">
      <c r="A1897">
        <v>1896</v>
      </c>
      <c r="B1897">
        <v>92.199996999999996</v>
      </c>
      <c r="C1897">
        <v>38.847599000000002</v>
      </c>
      <c r="D1897">
        <v>-5.1695399999999996</v>
      </c>
      <c r="E1897" t="s">
        <v>3336</v>
      </c>
      <c r="F1897" t="s">
        <v>3337</v>
      </c>
      <c r="G1897" t="s">
        <v>39</v>
      </c>
      <c r="H1897">
        <v>1958</v>
      </c>
      <c r="I1897">
        <v>25.200000762939499</v>
      </c>
      <c r="J1897">
        <v>9.8000001907348597</v>
      </c>
      <c r="K1897">
        <v>67</v>
      </c>
      <c r="L1897">
        <v>15.7399997711182</v>
      </c>
      <c r="M1897">
        <v>32.900001525878899</v>
      </c>
      <c r="N1897">
        <v>18.299999237060501</v>
      </c>
      <c r="O1897">
        <v>14.6000003814697</v>
      </c>
      <c r="P1897">
        <v>25.899999618530298</v>
      </c>
      <c r="Q1897">
        <v>23.200000762939499</v>
      </c>
      <c r="R1897">
        <v>27.100000381469702</v>
      </c>
      <c r="S1897">
        <v>23.100000381469702</v>
      </c>
      <c r="T1897">
        <v>1225</v>
      </c>
      <c r="U1897">
        <v>192</v>
      </c>
      <c r="V1897">
        <v>37</v>
      </c>
      <c r="W1897">
        <v>51</v>
      </c>
      <c r="X1897">
        <v>495</v>
      </c>
      <c r="Y1897">
        <v>174</v>
      </c>
      <c r="Z1897">
        <v>201</v>
      </c>
      <c r="AA1897">
        <v>194</v>
      </c>
      <c r="AB1897">
        <v>7.76835597645153</v>
      </c>
      <c r="AC1897">
        <v>0.24072312684143499</v>
      </c>
      <c r="AD1897">
        <v>4.9663676520536004</v>
      </c>
      <c r="AE1897">
        <v>0.32124254753539599</v>
      </c>
      <c r="AF1897">
        <v>177.291958041958</v>
      </c>
      <c r="AG1897">
        <f>IFERROR(AH1897*0.1, "N/A")</f>
        <v>5.8618881118881099</v>
      </c>
      <c r="AH1897">
        <v>58.618881118881099</v>
      </c>
      <c r="AI1897">
        <v>170.202290955123</v>
      </c>
      <c r="AJ1897">
        <v>40.769230769230802</v>
      </c>
      <c r="AK1897">
        <v>45.5</v>
      </c>
    </row>
    <row r="1898" spans="1:37" x14ac:dyDescent="0.3">
      <c r="A1898">
        <v>1897</v>
      </c>
      <c r="B1898">
        <v>6.9</v>
      </c>
      <c r="C1898">
        <v>39.1023</v>
      </c>
      <c r="D1898">
        <v>-5.0888999999999998</v>
      </c>
      <c r="E1898" t="s">
        <v>3338</v>
      </c>
      <c r="F1898" t="s">
        <v>3339</v>
      </c>
      <c r="G1898" t="s">
        <v>39</v>
      </c>
      <c r="H1898">
        <v>1995</v>
      </c>
      <c r="I1898">
        <v>26.299999237060501</v>
      </c>
      <c r="J1898">
        <v>8.8000001907348597</v>
      </c>
      <c r="K1898">
        <v>64</v>
      </c>
      <c r="L1898">
        <v>15.1099996566772</v>
      </c>
      <c r="M1898">
        <v>33.299999237060497</v>
      </c>
      <c r="N1898">
        <v>19.700000762939499</v>
      </c>
      <c r="O1898">
        <v>13.6000003814697</v>
      </c>
      <c r="P1898">
        <v>27.200000762939499</v>
      </c>
      <c r="Q1898">
        <v>27.899999618530298</v>
      </c>
      <c r="R1898">
        <v>28.200000762939499</v>
      </c>
      <c r="S1898">
        <v>24.299999237060501</v>
      </c>
      <c r="T1898">
        <v>1292</v>
      </c>
      <c r="U1898">
        <v>295</v>
      </c>
      <c r="V1898">
        <v>27</v>
      </c>
      <c r="W1898">
        <v>70</v>
      </c>
      <c r="X1898">
        <v>618</v>
      </c>
      <c r="Y1898">
        <v>133</v>
      </c>
      <c r="Z1898">
        <v>155</v>
      </c>
      <c r="AA1898">
        <v>211</v>
      </c>
      <c r="AB1898">
        <v>4.9036705410563801</v>
      </c>
      <c r="AC1898">
        <v>9.0060814160050004E-3</v>
      </c>
      <c r="AD1898">
        <v>3.0864921515429802</v>
      </c>
      <c r="AE1898">
        <v>0.91747254133224498</v>
      </c>
      <c r="AF1898">
        <v>24.571678321678299</v>
      </c>
      <c r="AG1898">
        <f>IFERROR(AH1898*0.1, "N/A")</f>
        <v>7.1000000000000005</v>
      </c>
      <c r="AH1898">
        <v>71</v>
      </c>
      <c r="AI1898">
        <v>136.237298098477</v>
      </c>
      <c r="AJ1898">
        <v>29.141608391608401</v>
      </c>
      <c r="AK1898">
        <v>53.716783216783199</v>
      </c>
    </row>
    <row r="1899" spans="1:37" x14ac:dyDescent="0.3">
      <c r="A1899">
        <v>1898</v>
      </c>
      <c r="B1899">
        <v>44</v>
      </c>
      <c r="C1899">
        <v>39.75</v>
      </c>
      <c r="D1899">
        <v>-5.0667</v>
      </c>
      <c r="E1899" t="s">
        <v>3340</v>
      </c>
      <c r="F1899" t="s">
        <v>3341</v>
      </c>
      <c r="G1899" t="s">
        <v>39</v>
      </c>
      <c r="H1899">
        <v>2001</v>
      </c>
      <c r="I1899">
        <v>25.469001633064501</v>
      </c>
      <c r="J1899">
        <v>8.3999996185302699</v>
      </c>
      <c r="K1899">
        <v>66.898423817863403</v>
      </c>
      <c r="L1899">
        <v>12.897197821929399</v>
      </c>
      <c r="M1899">
        <v>31.679158997410401</v>
      </c>
      <c r="N1899">
        <v>19.169001340448499</v>
      </c>
      <c r="O1899">
        <v>12.5101576569619</v>
      </c>
      <c r="P1899">
        <v>26.179158997410401</v>
      </c>
      <c r="Q1899">
        <v>23.669001340448499</v>
      </c>
      <c r="R1899">
        <v>26.969001633064501</v>
      </c>
      <c r="S1899">
        <v>23.669001340448499</v>
      </c>
      <c r="T1899">
        <v>1664.74430823117</v>
      </c>
      <c r="U1899">
        <v>401.25218914185598</v>
      </c>
      <c r="V1899">
        <v>33.791593695271402</v>
      </c>
      <c r="W1899">
        <v>83.970227670753104</v>
      </c>
      <c r="X1899">
        <v>904.76007005253905</v>
      </c>
      <c r="Y1899">
        <v>155.404553415061</v>
      </c>
      <c r="Z1899">
        <v>255.41155866900201</v>
      </c>
      <c r="AA1899">
        <v>155.404553415061</v>
      </c>
      <c r="AB1899">
        <v>7.0476358074649204</v>
      </c>
      <c r="AC1899">
        <v>5.0389886923433998E-2</v>
      </c>
      <c r="AD1899">
        <v>3.13329221989353</v>
      </c>
      <c r="AE1899">
        <v>0.33990389108657798</v>
      </c>
      <c r="AF1899">
        <v>11.1330998248686</v>
      </c>
      <c r="AG1899">
        <f>IFERROR(AH1899*0.1, "N/A")</f>
        <v>4.82434325744308</v>
      </c>
      <c r="AH1899">
        <v>48.243432574430798</v>
      </c>
      <c r="AI1899">
        <v>73.586148410670205</v>
      </c>
      <c r="AJ1899">
        <v>26.8686514886165</v>
      </c>
      <c r="AK1899">
        <v>52.1313485113835</v>
      </c>
    </row>
    <row r="1900" spans="1:37" x14ac:dyDescent="0.3">
      <c r="A1900">
        <v>1899</v>
      </c>
      <c r="B1900">
        <v>44</v>
      </c>
      <c r="C1900">
        <v>39.766700999999998</v>
      </c>
      <c r="D1900">
        <v>-5.0833000000000004</v>
      </c>
      <c r="E1900" t="s">
        <v>3342</v>
      </c>
      <c r="F1900" t="s">
        <v>3343</v>
      </c>
      <c r="G1900" t="s">
        <v>39</v>
      </c>
      <c r="H1900">
        <v>2001</v>
      </c>
      <c r="I1900">
        <v>25.484938646573699</v>
      </c>
      <c r="J1900">
        <v>8.3999996185302699</v>
      </c>
      <c r="K1900">
        <v>67</v>
      </c>
      <c r="L1900">
        <v>13.025411642579</v>
      </c>
      <c r="M1900">
        <v>31.684939409513198</v>
      </c>
      <c r="N1900">
        <v>19.184939409513198</v>
      </c>
      <c r="O1900">
        <v>12.5</v>
      </c>
      <c r="P1900">
        <v>26.284938170905701</v>
      </c>
      <c r="Q1900">
        <v>23.684939409513198</v>
      </c>
      <c r="R1900">
        <v>26.984938646573699</v>
      </c>
      <c r="S1900">
        <v>23.684939409513198</v>
      </c>
      <c r="T1900">
        <v>1630.2521891418601</v>
      </c>
      <c r="U1900">
        <v>395.10332749562201</v>
      </c>
      <c r="V1900">
        <v>31.735551663747799</v>
      </c>
      <c r="W1900">
        <v>84.264448336252201</v>
      </c>
      <c r="X1900">
        <v>892.62697022767099</v>
      </c>
      <c r="Y1900">
        <v>147.20140105078801</v>
      </c>
      <c r="Z1900">
        <v>257.521891418564</v>
      </c>
      <c r="AA1900">
        <v>147.20140105078801</v>
      </c>
      <c r="AB1900">
        <v>13.159895582917301</v>
      </c>
      <c r="AC1900">
        <v>2.3814873649182999E-2</v>
      </c>
      <c r="AD1900">
        <v>4.9079360857527696</v>
      </c>
      <c r="AE1900">
        <v>0.33063364028930697</v>
      </c>
      <c r="AF1900">
        <v>21.872154115586699</v>
      </c>
      <c r="AG1900">
        <f>IFERROR(AH1900*0.1, "N/A")</f>
        <v>5.4577933450087599</v>
      </c>
      <c r="AH1900">
        <v>54.577933450087599</v>
      </c>
      <c r="AI1900">
        <v>271.52390739921901</v>
      </c>
      <c r="AJ1900">
        <v>28.3117338003503</v>
      </c>
      <c r="AK1900">
        <v>53.4220665499125</v>
      </c>
    </row>
    <row r="1901" spans="1:37" x14ac:dyDescent="0.3">
      <c r="A1901">
        <v>1900</v>
      </c>
      <c r="B1901">
        <v>34</v>
      </c>
      <c r="C1901">
        <v>38.883597999999999</v>
      </c>
      <c r="D1901">
        <v>-5.43886</v>
      </c>
      <c r="E1901" t="s">
        <v>3344</v>
      </c>
      <c r="F1901" t="s">
        <v>3345</v>
      </c>
      <c r="G1901" t="s">
        <v>39</v>
      </c>
      <c r="H1901">
        <v>2001</v>
      </c>
      <c r="I1901">
        <v>26.147378184578599</v>
      </c>
      <c r="J1901">
        <v>9.6999998092651403</v>
      </c>
      <c r="K1901">
        <v>66.526223776223802</v>
      </c>
      <c r="L1901">
        <v>15.041066519864</v>
      </c>
      <c r="M1901">
        <v>33.647377180886402</v>
      </c>
      <c r="N1901">
        <v>19.252622337608098</v>
      </c>
      <c r="O1901">
        <v>14.3947553451245</v>
      </c>
      <c r="P1901">
        <v>26.899999618530298</v>
      </c>
      <c r="Q1901">
        <v>24.299999237060501</v>
      </c>
      <c r="R1901">
        <v>28.047377803108901</v>
      </c>
      <c r="S1901">
        <v>24.200000762939499</v>
      </c>
      <c r="T1901">
        <v>1248.8409090909099</v>
      </c>
      <c r="U1901">
        <v>214.63111888111899</v>
      </c>
      <c r="V1901">
        <v>45.473776223776198</v>
      </c>
      <c r="W1901">
        <v>50.526223776223802</v>
      </c>
      <c r="X1901">
        <v>539.26223776223799</v>
      </c>
      <c r="Y1901">
        <v>185.52622377622399</v>
      </c>
      <c r="Z1901">
        <v>231</v>
      </c>
      <c r="AA1901">
        <v>192</v>
      </c>
      <c r="AB1901">
        <v>24.009089303183401</v>
      </c>
      <c r="AC1901">
        <v>1.8329521968401E-2</v>
      </c>
      <c r="AD1901">
        <v>1.26155085194778</v>
      </c>
      <c r="AE1901">
        <v>0.19776237010955799</v>
      </c>
      <c r="AF1901">
        <v>110.43006993007</v>
      </c>
      <c r="AG1901">
        <f>IFERROR(AH1901*0.1, "N/A")</f>
        <v>5.7944055944055997</v>
      </c>
      <c r="AH1901">
        <v>57.944055944055997</v>
      </c>
      <c r="AI1901">
        <v>127.286278592957</v>
      </c>
      <c r="AJ1901">
        <v>27.139860139860101</v>
      </c>
      <c r="AK1901">
        <v>54.916083916083899</v>
      </c>
    </row>
    <row r="1902" spans="1:37" x14ac:dyDescent="0.3">
      <c r="A1902">
        <v>1901</v>
      </c>
      <c r="B1902">
        <v>22.200001</v>
      </c>
      <c r="C1902">
        <v>38.939602000000001</v>
      </c>
      <c r="D1902">
        <v>-5.4409700000000001</v>
      </c>
      <c r="E1902" t="s">
        <v>3346</v>
      </c>
      <c r="F1902" t="s">
        <v>3347</v>
      </c>
      <c r="G1902" t="s">
        <v>39</v>
      </c>
      <c r="H1902">
        <v>2001</v>
      </c>
      <c r="I1902">
        <v>26.299999237060501</v>
      </c>
      <c r="J1902">
        <v>9.6000003814697301</v>
      </c>
      <c r="K1902">
        <v>67</v>
      </c>
      <c r="L1902">
        <v>15.4099998474121</v>
      </c>
      <c r="M1902">
        <v>33.700000762939503</v>
      </c>
      <c r="N1902">
        <v>19.5</v>
      </c>
      <c r="O1902">
        <v>14.199999809265099</v>
      </c>
      <c r="P1902">
        <v>27.200000762939499</v>
      </c>
      <c r="Q1902">
        <v>24.399999618530298</v>
      </c>
      <c r="R1902">
        <v>28.200000762939499</v>
      </c>
      <c r="S1902">
        <v>24.299999237060501</v>
      </c>
      <c r="T1902">
        <v>1261</v>
      </c>
      <c r="U1902">
        <v>229</v>
      </c>
      <c r="V1902">
        <v>43</v>
      </c>
      <c r="W1902">
        <v>54</v>
      </c>
      <c r="X1902">
        <v>564</v>
      </c>
      <c r="Y1902">
        <v>187</v>
      </c>
      <c r="Z1902">
        <v>224</v>
      </c>
      <c r="AA1902">
        <v>192</v>
      </c>
      <c r="AB1902">
        <v>42.242031224346</v>
      </c>
      <c r="AC1902">
        <v>9.0019357066129999E-3</v>
      </c>
      <c r="AD1902">
        <v>4.6260414937749204</v>
      </c>
      <c r="AE1902">
        <v>0.21076275580505599</v>
      </c>
      <c r="AF1902">
        <v>90.560420315236399</v>
      </c>
      <c r="AG1902">
        <f>IFERROR(AH1902*0.1, "N/A")</f>
        <v>5.9793345008756607</v>
      </c>
      <c r="AH1902">
        <v>59.793345008756603</v>
      </c>
      <c r="AI1902">
        <v>80.108866349201904</v>
      </c>
      <c r="AJ1902">
        <v>23.7723292469352</v>
      </c>
      <c r="AK1902">
        <v>58.2276707530648</v>
      </c>
    </row>
    <row r="1903" spans="1:37" x14ac:dyDescent="0.3">
      <c r="A1903">
        <v>1902</v>
      </c>
      <c r="B1903">
        <v>64</v>
      </c>
      <c r="C1903">
        <v>38.900002000000001</v>
      </c>
      <c r="D1903">
        <v>-5.4666699999999997</v>
      </c>
      <c r="E1903" t="s">
        <v>3348</v>
      </c>
      <c r="F1903" t="s">
        <v>3349</v>
      </c>
      <c r="G1903" t="s">
        <v>39</v>
      </c>
      <c r="H1903">
        <v>2001</v>
      </c>
      <c r="I1903">
        <v>26.100000381469702</v>
      </c>
      <c r="J1903">
        <v>9.6999998092651403</v>
      </c>
      <c r="K1903">
        <v>67.980769230769198</v>
      </c>
      <c r="L1903">
        <v>14.7213463833282</v>
      </c>
      <c r="M1903">
        <v>33.501923047579297</v>
      </c>
      <c r="N1903">
        <v>19.299999237060501</v>
      </c>
      <c r="O1903">
        <v>14.2019228935242</v>
      </c>
      <c r="P1903">
        <v>26.801922321319601</v>
      </c>
      <c r="Q1903">
        <v>24.243356744726199</v>
      </c>
      <c r="R1903">
        <v>27.9019227027893</v>
      </c>
      <c r="S1903">
        <v>24.143357190218801</v>
      </c>
      <c r="T1903">
        <v>1305.4895104895099</v>
      </c>
      <c r="U1903">
        <v>230.69230769230799</v>
      </c>
      <c r="V1903">
        <v>51.059440559440603</v>
      </c>
      <c r="W1903">
        <v>50.167832167832202</v>
      </c>
      <c r="X1903">
        <v>562.61013986013995</v>
      </c>
      <c r="Y1903">
        <v>192.961538461538</v>
      </c>
      <c r="Z1903">
        <v>249.04545454545499</v>
      </c>
      <c r="AA1903">
        <v>194.980769230769</v>
      </c>
      <c r="AB1903">
        <v>31.809087339814699</v>
      </c>
      <c r="AC1903">
        <v>3.3116598831737003E-2</v>
      </c>
      <c r="AD1903">
        <v>3.3097411333680999</v>
      </c>
      <c r="AE1903">
        <v>0.20492615170412101</v>
      </c>
      <c r="AF1903">
        <v>123.027972027972</v>
      </c>
      <c r="AG1903">
        <f>IFERROR(AH1903*0.1, "N/A")</f>
        <v>5.6555944055944103</v>
      </c>
      <c r="AH1903">
        <v>56.555944055944103</v>
      </c>
      <c r="AI1903">
        <v>330.25202563092398</v>
      </c>
      <c r="AJ1903">
        <v>27.8006993006993</v>
      </c>
      <c r="AK1903">
        <v>56.288461538461497</v>
      </c>
    </row>
    <row r="1904" spans="1:37" x14ac:dyDescent="0.3">
      <c r="A1904">
        <v>1903</v>
      </c>
      <c r="B1904">
        <v>32</v>
      </c>
      <c r="C1904">
        <v>38.949199999999998</v>
      </c>
      <c r="D1904">
        <v>-5.4884199999999996</v>
      </c>
      <c r="E1904" t="s">
        <v>3350</v>
      </c>
      <c r="F1904" t="s">
        <v>3351</v>
      </c>
      <c r="G1904" t="s">
        <v>39</v>
      </c>
      <c r="H1904">
        <v>2001</v>
      </c>
      <c r="I1904">
        <v>26.5</v>
      </c>
      <c r="J1904">
        <v>9.6000003814697301</v>
      </c>
      <c r="K1904">
        <v>67</v>
      </c>
      <c r="L1904">
        <v>14.680000305175801</v>
      </c>
      <c r="M1904">
        <v>33.900001525878899</v>
      </c>
      <c r="N1904">
        <v>19.700000762939499</v>
      </c>
      <c r="O1904">
        <v>14.199999809265099</v>
      </c>
      <c r="P1904">
        <v>27.299999237060501</v>
      </c>
      <c r="Q1904">
        <v>24.600000381469702</v>
      </c>
      <c r="R1904">
        <v>28.299999237060501</v>
      </c>
      <c r="S1904">
        <v>24.600000381469702</v>
      </c>
      <c r="T1904">
        <v>1283</v>
      </c>
      <c r="U1904">
        <v>227</v>
      </c>
      <c r="V1904">
        <v>51</v>
      </c>
      <c r="W1904">
        <v>50</v>
      </c>
      <c r="X1904">
        <v>553</v>
      </c>
      <c r="Y1904">
        <v>194</v>
      </c>
      <c r="Z1904">
        <v>244</v>
      </c>
      <c r="AA1904">
        <v>194</v>
      </c>
      <c r="AB1904">
        <v>58.1729525820747</v>
      </c>
      <c r="AC1904">
        <v>1.3172580303062001E-2</v>
      </c>
      <c r="AD1904">
        <v>2.4189571688832601</v>
      </c>
      <c r="AE1904">
        <v>0.402791798114777</v>
      </c>
      <c r="AF1904">
        <v>74.139616055846403</v>
      </c>
      <c r="AG1904">
        <f>IFERROR(AH1904*0.1, "N/A")</f>
        <v>6.0506108202443301</v>
      </c>
      <c r="AH1904">
        <v>60.506108202443301</v>
      </c>
      <c r="AI1904">
        <v>139.20999121541101</v>
      </c>
      <c r="AJ1904">
        <v>24.253054101221601</v>
      </c>
      <c r="AK1904">
        <v>62</v>
      </c>
    </row>
    <row r="1905" spans="1:37" x14ac:dyDescent="0.3">
      <c r="A1905">
        <v>1904</v>
      </c>
      <c r="B1905">
        <v>62</v>
      </c>
      <c r="C1905">
        <v>38.933300000000003</v>
      </c>
      <c r="D1905">
        <v>-5.5333300000000003</v>
      </c>
      <c r="E1905" t="s">
        <v>3352</v>
      </c>
      <c r="F1905" t="s">
        <v>3353</v>
      </c>
      <c r="G1905" t="s">
        <v>39</v>
      </c>
      <c r="H1905">
        <v>2001</v>
      </c>
      <c r="I1905">
        <v>26.895113111166399</v>
      </c>
      <c r="J1905">
        <v>9.6999998092651403</v>
      </c>
      <c r="K1905">
        <v>68</v>
      </c>
      <c r="L1905">
        <v>14.8356717460859</v>
      </c>
      <c r="M1905">
        <v>34.238046210057597</v>
      </c>
      <c r="N1905">
        <v>20.095113800874302</v>
      </c>
      <c r="O1905">
        <v>14.142932072983999</v>
      </c>
      <c r="P1905">
        <v>27.619895345877602</v>
      </c>
      <c r="Q1905">
        <v>24.9198949823829</v>
      </c>
      <c r="R1905">
        <v>28.7198957273473</v>
      </c>
      <c r="S1905">
        <v>24.9198949823829</v>
      </c>
      <c r="T1905">
        <v>1227.08551483421</v>
      </c>
      <c r="U1905">
        <v>196.35253054101199</v>
      </c>
      <c r="V1905">
        <v>54.790575916230402</v>
      </c>
      <c r="W1905">
        <v>42.5706806282722</v>
      </c>
      <c r="X1905">
        <v>490.91448516579402</v>
      </c>
      <c r="Y1905">
        <v>191.591623036649</v>
      </c>
      <c r="Z1905">
        <v>250.85165794066299</v>
      </c>
      <c r="AA1905">
        <v>191.591623036649</v>
      </c>
      <c r="AB1905">
        <v>2.2799306939409698</v>
      </c>
      <c r="AC1905">
        <v>0.50770995354712201</v>
      </c>
      <c r="AD1905">
        <v>2.8883348156228301</v>
      </c>
      <c r="AE1905">
        <v>0.26219075918197599</v>
      </c>
      <c r="AF1905">
        <v>43.6858638743455</v>
      </c>
      <c r="AG1905">
        <f>IFERROR(AH1905*0.1, "N/A")</f>
        <v>6.2219895287958105</v>
      </c>
      <c r="AH1905">
        <v>62.219895287958103</v>
      </c>
      <c r="AI1905">
        <v>128.81553333009501</v>
      </c>
      <c r="AJ1905">
        <v>22</v>
      </c>
      <c r="AK1905">
        <v>62.219895287958103</v>
      </c>
    </row>
    <row r="1906" spans="1:37" x14ac:dyDescent="0.3">
      <c r="A1906">
        <v>1905</v>
      </c>
      <c r="B1906">
        <v>55</v>
      </c>
      <c r="C1906">
        <v>38.966701999999998</v>
      </c>
      <c r="D1906">
        <v>-5.55</v>
      </c>
      <c r="E1906" t="s">
        <v>3354</v>
      </c>
      <c r="F1906" t="s">
        <v>3355</v>
      </c>
      <c r="G1906" t="s">
        <v>39</v>
      </c>
      <c r="H1906">
        <v>2001</v>
      </c>
      <c r="I1906">
        <v>27.200000762939499</v>
      </c>
      <c r="J1906">
        <v>9.6261226809754596</v>
      </c>
      <c r="K1906">
        <v>68</v>
      </c>
      <c r="L1906">
        <v>14.764979327454901</v>
      </c>
      <c r="M1906">
        <v>34.5</v>
      </c>
      <c r="N1906">
        <v>20.399999618530298</v>
      </c>
      <c r="O1906">
        <v>14.1000003814697</v>
      </c>
      <c r="P1906">
        <v>27.973877451371202</v>
      </c>
      <c r="Q1906">
        <v>25.294693195576599</v>
      </c>
      <c r="R1906">
        <v>29</v>
      </c>
      <c r="S1906">
        <v>25.294693195576599</v>
      </c>
      <c r="T1906">
        <v>1223.2775510204101</v>
      </c>
      <c r="U1906">
        <v>204.277551020408</v>
      </c>
      <c r="V1906">
        <v>54.2612244897959</v>
      </c>
      <c r="W1906">
        <v>45.4775510204082</v>
      </c>
      <c r="X1906">
        <v>505.816326530612</v>
      </c>
      <c r="Y1906">
        <v>188.26122448979601</v>
      </c>
      <c r="Z1906">
        <v>245.730612244898</v>
      </c>
      <c r="AA1906">
        <v>188.26122448979601</v>
      </c>
      <c r="AB1906">
        <v>2.2565675249450501</v>
      </c>
      <c r="AC1906">
        <v>3.0070594060129002E-2</v>
      </c>
      <c r="AD1906">
        <v>2.06623954436825</v>
      </c>
      <c r="AE1906">
        <v>0.24207175080705201</v>
      </c>
      <c r="AF1906">
        <v>7.77583187390543</v>
      </c>
      <c r="AG1906">
        <f>IFERROR(AH1906*0.1, "N/A")</f>
        <v>6.3418563922942202</v>
      </c>
      <c r="AH1906">
        <v>63.418563922942198</v>
      </c>
      <c r="AI1906">
        <v>276.461803269261</v>
      </c>
      <c r="AJ1906">
        <v>40.6847635726795</v>
      </c>
      <c r="AK1906">
        <v>41.560420315236399</v>
      </c>
    </row>
    <row r="1907" spans="1:37" x14ac:dyDescent="0.3">
      <c r="A1907">
        <v>1906</v>
      </c>
      <c r="B1907">
        <v>89.5</v>
      </c>
      <c r="C1907">
        <v>38.854197999999997</v>
      </c>
      <c r="D1907">
        <v>-5.5638300000000003</v>
      </c>
      <c r="E1907" t="s">
        <v>3356</v>
      </c>
      <c r="F1907" t="s">
        <v>3357</v>
      </c>
      <c r="G1907" t="s">
        <v>39</v>
      </c>
      <c r="H1907">
        <v>2001</v>
      </c>
      <c r="I1907">
        <v>26.200000762939499</v>
      </c>
      <c r="J1907">
        <v>9.8999996185302699</v>
      </c>
      <c r="K1907">
        <v>68</v>
      </c>
      <c r="L1907">
        <v>14.420000076293899</v>
      </c>
      <c r="M1907">
        <v>33.700000762939503</v>
      </c>
      <c r="N1907">
        <v>19.299999237060501</v>
      </c>
      <c r="O1907">
        <v>14.3999996185303</v>
      </c>
      <c r="P1907">
        <v>27</v>
      </c>
      <c r="Q1907">
        <v>24.299999237060501</v>
      </c>
      <c r="R1907">
        <v>28</v>
      </c>
      <c r="S1907">
        <v>24.299999237060501</v>
      </c>
      <c r="T1907">
        <v>1265</v>
      </c>
      <c r="U1907">
        <v>195</v>
      </c>
      <c r="V1907">
        <v>54</v>
      </c>
      <c r="W1907">
        <v>40</v>
      </c>
      <c r="X1907">
        <v>487</v>
      </c>
      <c r="Y1907">
        <v>191</v>
      </c>
      <c r="Z1907">
        <v>276</v>
      </c>
      <c r="AA1907">
        <v>191</v>
      </c>
      <c r="AB1907">
        <v>3.9650384596177699</v>
      </c>
      <c r="AC1907">
        <v>1.228660162395E-2</v>
      </c>
      <c r="AD1907">
        <v>1.03696239140484</v>
      </c>
      <c r="AE1907">
        <v>0.22904384136200001</v>
      </c>
      <c r="AF1907">
        <v>130.71503496503499</v>
      </c>
      <c r="AG1907">
        <f>IFERROR(AH1907*0.1, "N/A")</f>
        <v>6.2576923076923103</v>
      </c>
      <c r="AH1907">
        <v>62.576923076923102</v>
      </c>
      <c r="AI1907">
        <v>105.766858374322</v>
      </c>
      <c r="AJ1907">
        <v>29.1048951048951</v>
      </c>
      <c r="AK1907">
        <v>55.639860139860097</v>
      </c>
    </row>
    <row r="1908" spans="1:37" x14ac:dyDescent="0.3">
      <c r="A1908">
        <v>1907</v>
      </c>
      <c r="B1908">
        <v>72</v>
      </c>
      <c r="C1908">
        <v>38.899101000000002</v>
      </c>
      <c r="D1908">
        <v>-5.5837599999999998</v>
      </c>
      <c r="E1908" t="s">
        <v>3358</v>
      </c>
      <c r="F1908" t="s">
        <v>3359</v>
      </c>
      <c r="G1908" t="s">
        <v>39</v>
      </c>
      <c r="H1908">
        <v>2001</v>
      </c>
      <c r="I1908">
        <v>26.9001741392658</v>
      </c>
      <c r="J1908">
        <v>9.8000001907348597</v>
      </c>
      <c r="K1908">
        <v>68.931937172774894</v>
      </c>
      <c r="L1908">
        <v>14.538359244248401</v>
      </c>
      <c r="M1908">
        <v>34.3001738876156</v>
      </c>
      <c r="N1908">
        <v>20.0933685935189</v>
      </c>
      <c r="O1908">
        <v>14.206806117951601</v>
      </c>
      <c r="P1908">
        <v>27.696859323125398</v>
      </c>
      <c r="Q1908">
        <v>25.000174520735499</v>
      </c>
      <c r="R1908">
        <v>28.7034911110763</v>
      </c>
      <c r="S1908">
        <v>25.000174520735499</v>
      </c>
      <c r="T1908">
        <v>1184.1762652705099</v>
      </c>
      <c r="U1908">
        <v>156.54101221640499</v>
      </c>
      <c r="V1908">
        <v>55</v>
      </c>
      <c r="W1908">
        <v>32.068062827225098</v>
      </c>
      <c r="X1908">
        <v>413.08202443280999</v>
      </c>
      <c r="Y1908">
        <v>191.066317626527</v>
      </c>
      <c r="Z1908">
        <v>272.03141361256502</v>
      </c>
      <c r="AA1908">
        <v>191.066317626527</v>
      </c>
      <c r="AB1908">
        <v>9.9181476013822696</v>
      </c>
      <c r="AC1908">
        <v>3.6007349143686002E-2</v>
      </c>
      <c r="AD1908">
        <v>2.8309755616579202</v>
      </c>
      <c r="AE1908">
        <v>0.34399569034576399</v>
      </c>
      <c r="AF1908">
        <v>48.465968586387397</v>
      </c>
      <c r="AG1908">
        <f>IFERROR(AH1908*0.1, "N/A")</f>
        <v>6.22251308900523</v>
      </c>
      <c r="AH1908">
        <v>62.225130890052299</v>
      </c>
      <c r="AI1908">
        <v>133.32004789448899</v>
      </c>
      <c r="AJ1908">
        <v>25.657940663176301</v>
      </c>
      <c r="AK1908">
        <v>59.706806282722503</v>
      </c>
    </row>
    <row r="1909" spans="1:37" x14ac:dyDescent="0.3">
      <c r="A1909">
        <v>1908</v>
      </c>
      <c r="B1909">
        <v>74</v>
      </c>
      <c r="C1909">
        <v>38.900002000000001</v>
      </c>
      <c r="D1909">
        <v>-5.6333299999999999</v>
      </c>
      <c r="E1909" t="s">
        <v>3360</v>
      </c>
      <c r="F1909" t="s">
        <v>3361</v>
      </c>
      <c r="G1909" t="s">
        <v>39</v>
      </c>
      <c r="H1909">
        <v>2001</v>
      </c>
      <c r="I1909">
        <v>27.278436223772999</v>
      </c>
      <c r="J1909">
        <v>9.8000001907348597</v>
      </c>
      <c r="K1909">
        <v>68.784366576819394</v>
      </c>
      <c r="L1909">
        <v>14.153504078600299</v>
      </c>
      <c r="M1909">
        <v>34.599998474121101</v>
      </c>
      <c r="N1909">
        <v>20.378436193954599</v>
      </c>
      <c r="O1909">
        <v>14.221563233840801</v>
      </c>
      <c r="P1909">
        <v>28.078436956893999</v>
      </c>
      <c r="Q1909">
        <v>25.399999618530298</v>
      </c>
      <c r="R1909">
        <v>29.058760331968699</v>
      </c>
      <c r="S1909">
        <v>25.399999618530298</v>
      </c>
      <c r="T1909">
        <v>1148.9730458220999</v>
      </c>
      <c r="U1909">
        <v>157.33153638813999</v>
      </c>
      <c r="V1909">
        <v>51.803234501347703</v>
      </c>
      <c r="W1909">
        <v>33.784366576819401</v>
      </c>
      <c r="X1909">
        <v>418.07547169811301</v>
      </c>
      <c r="Y1909">
        <v>180.82210242587601</v>
      </c>
      <c r="Z1909">
        <v>268.43126684636098</v>
      </c>
      <c r="AA1909">
        <v>180.82210242587601</v>
      </c>
      <c r="AB1909">
        <v>4.7347294672621496</v>
      </c>
      <c r="AC1909">
        <v>0.51721933235724804</v>
      </c>
      <c r="AD1909">
        <v>1.18157873956737</v>
      </c>
      <c r="AE1909">
        <v>0.158472055592046</v>
      </c>
      <c r="AF1909">
        <v>10.6561954624782</v>
      </c>
      <c r="AG1909">
        <f>IFERROR(AH1909*0.1, "N/A")</f>
        <v>6.1732984293193702</v>
      </c>
      <c r="AH1909">
        <v>61.732984293193702</v>
      </c>
      <c r="AI1909">
        <v>197.149727147287</v>
      </c>
      <c r="AJ1909">
        <v>25.465968586387401</v>
      </c>
      <c r="AK1909">
        <v>61.534031413612603</v>
      </c>
    </row>
    <row r="1910" spans="1:37" x14ac:dyDescent="0.3">
      <c r="A1910">
        <v>1909</v>
      </c>
      <c r="B1910">
        <v>93.900002000000001</v>
      </c>
      <c r="C1910">
        <v>33.136100999999996</v>
      </c>
      <c r="D1910">
        <v>-2.0926800000000001</v>
      </c>
      <c r="E1910" t="s">
        <v>3362</v>
      </c>
      <c r="F1910" t="s">
        <v>3363</v>
      </c>
      <c r="G1910" t="s">
        <v>37</v>
      </c>
      <c r="H1910">
        <v>2008</v>
      </c>
      <c r="I1910">
        <v>22.600000381469702</v>
      </c>
      <c r="J1910">
        <v>10</v>
      </c>
      <c r="K1910">
        <v>77</v>
      </c>
      <c r="L1910">
        <v>5.3600001335143999</v>
      </c>
      <c r="M1910">
        <v>28.600000381469702</v>
      </c>
      <c r="N1910">
        <v>15.699999809265099</v>
      </c>
      <c r="O1910">
        <v>12.8999996185303</v>
      </c>
      <c r="P1910">
        <v>22.799999237060501</v>
      </c>
      <c r="Q1910">
        <v>21.899999618530298</v>
      </c>
      <c r="R1910">
        <v>23.200000762939499</v>
      </c>
      <c r="S1910">
        <v>21.899999618530298</v>
      </c>
      <c r="T1910">
        <v>1303</v>
      </c>
      <c r="U1910">
        <v>217</v>
      </c>
      <c r="V1910">
        <v>14</v>
      </c>
      <c r="W1910">
        <v>61</v>
      </c>
      <c r="X1910">
        <v>513</v>
      </c>
      <c r="Y1910">
        <v>70</v>
      </c>
      <c r="Z1910">
        <v>309</v>
      </c>
      <c r="AA1910">
        <v>70</v>
      </c>
      <c r="AB1910">
        <v>10.122746212381699</v>
      </c>
      <c r="AC1910">
        <v>1.1956171691746001E-2</v>
      </c>
      <c r="AD1910">
        <v>1.1242325403006099</v>
      </c>
      <c r="AE1910">
        <v>0.34826759967795601</v>
      </c>
      <c r="AF1910">
        <v>1139.89612676056</v>
      </c>
      <c r="AG1910">
        <f>IFERROR(AH1910*0.1, "N/A")</f>
        <v>5.9997955010224899</v>
      </c>
      <c r="AH1910">
        <v>59.997955010224899</v>
      </c>
      <c r="AI1910">
        <v>106.858027008218</v>
      </c>
      <c r="AJ1910">
        <v>31.989775051124699</v>
      </c>
      <c r="AK1910">
        <v>52.012269938650299</v>
      </c>
    </row>
    <row r="1911" spans="1:37" x14ac:dyDescent="0.3">
      <c r="A1911">
        <v>1910</v>
      </c>
      <c r="B1911">
        <v>0.5</v>
      </c>
      <c r="C1911">
        <v>33.136100999999996</v>
      </c>
      <c r="D1911">
        <v>-2.0926800000000001</v>
      </c>
      <c r="E1911" t="s">
        <v>3362</v>
      </c>
      <c r="F1911" t="s">
        <v>3364</v>
      </c>
      <c r="G1911" t="s">
        <v>39</v>
      </c>
      <c r="H1911">
        <v>2008</v>
      </c>
      <c r="I1911">
        <v>22.600000381469702</v>
      </c>
      <c r="J1911">
        <v>10</v>
      </c>
      <c r="K1911">
        <v>77</v>
      </c>
      <c r="L1911">
        <v>5.3600001335143999</v>
      </c>
      <c r="M1911">
        <v>28.600000381469702</v>
      </c>
      <c r="N1911">
        <v>15.699999809265099</v>
      </c>
      <c r="O1911">
        <v>12.8999996185303</v>
      </c>
      <c r="P1911">
        <v>22.799999237060501</v>
      </c>
      <c r="Q1911">
        <v>21.899999618530298</v>
      </c>
      <c r="R1911">
        <v>23.200000762939499</v>
      </c>
      <c r="S1911">
        <v>21.899999618530298</v>
      </c>
      <c r="T1911">
        <v>1303</v>
      </c>
      <c r="U1911">
        <v>217</v>
      </c>
      <c r="V1911">
        <v>14</v>
      </c>
      <c r="W1911">
        <v>61</v>
      </c>
      <c r="X1911">
        <v>513</v>
      </c>
      <c r="Y1911">
        <v>70</v>
      </c>
      <c r="Z1911">
        <v>309</v>
      </c>
      <c r="AA1911">
        <v>70</v>
      </c>
      <c r="AB1911">
        <v>10.122746212381699</v>
      </c>
      <c r="AC1911">
        <v>1.1956171691746001E-2</v>
      </c>
      <c r="AD1911">
        <v>1.1242325403006099</v>
      </c>
      <c r="AE1911">
        <v>0.34826759967795601</v>
      </c>
      <c r="AF1911">
        <v>1139.89612676056</v>
      </c>
      <c r="AG1911">
        <f>IFERROR(AH1911*0.1, "N/A")</f>
        <v>5.9997955010224899</v>
      </c>
      <c r="AH1911">
        <v>59.997955010224899</v>
      </c>
      <c r="AI1911">
        <v>106.858027008218</v>
      </c>
      <c r="AJ1911">
        <v>31.989775051124699</v>
      </c>
      <c r="AK1911">
        <v>52.012269938650299</v>
      </c>
    </row>
    <row r="1912" spans="1:37" x14ac:dyDescent="0.3">
      <c r="A1912">
        <v>1911</v>
      </c>
      <c r="B1912">
        <v>40.299999</v>
      </c>
      <c r="C1912">
        <v>33.077998999999998</v>
      </c>
      <c r="D1912">
        <v>-2.3916499999999998</v>
      </c>
      <c r="E1912" t="s">
        <v>3365</v>
      </c>
      <c r="F1912" t="s">
        <v>3366</v>
      </c>
      <c r="G1912" t="s">
        <v>37</v>
      </c>
      <c r="H1912">
        <v>2008</v>
      </c>
      <c r="I1912">
        <v>22.724296166863201</v>
      </c>
      <c r="J1912">
        <v>10.300000190734901</v>
      </c>
      <c r="K1912">
        <v>75.757042253521107</v>
      </c>
      <c r="L1912">
        <v>5.0474648593177198</v>
      </c>
      <c r="M1912">
        <v>28.924295485859201</v>
      </c>
      <c r="N1912">
        <v>15.475704132671099</v>
      </c>
      <c r="O1912">
        <v>13.4485913531881</v>
      </c>
      <c r="P1912">
        <v>22.899999618530298</v>
      </c>
      <c r="Q1912">
        <v>22</v>
      </c>
      <c r="R1912">
        <v>23.299999237060501</v>
      </c>
      <c r="S1912">
        <v>22</v>
      </c>
      <c r="T1912">
        <v>1039.24295774648</v>
      </c>
      <c r="U1912">
        <v>170</v>
      </c>
      <c r="V1912">
        <v>7</v>
      </c>
      <c r="W1912">
        <v>66</v>
      </c>
      <c r="X1912">
        <v>425</v>
      </c>
      <c r="Y1912">
        <v>37</v>
      </c>
      <c r="Z1912">
        <v>260</v>
      </c>
      <c r="AA1912">
        <v>37</v>
      </c>
      <c r="AB1912">
        <v>9.6244704555457705</v>
      </c>
      <c r="AC1912">
        <v>1.0269723852283001E-2</v>
      </c>
      <c r="AD1912">
        <v>1.1991871806307599</v>
      </c>
      <c r="AE1912">
        <v>0.43206417560577398</v>
      </c>
      <c r="AF1912">
        <v>1145.0316901408401</v>
      </c>
      <c r="AG1912">
        <f>IFERROR(AH1912*0.1, "N/A")</f>
        <v>6.0274647887323907</v>
      </c>
      <c r="AH1912">
        <v>60.274647887323901</v>
      </c>
      <c r="AI1912">
        <v>95.413478495369503</v>
      </c>
      <c r="AJ1912">
        <v>28.588028169014098</v>
      </c>
      <c r="AK1912">
        <v>56.549295774647902</v>
      </c>
    </row>
    <row r="1913" spans="1:37" x14ac:dyDescent="0.3">
      <c r="A1913">
        <v>1912</v>
      </c>
      <c r="B1913">
        <v>11.3</v>
      </c>
      <c r="C1913">
        <v>33.077998999999998</v>
      </c>
      <c r="D1913">
        <v>-2.3916499999999998</v>
      </c>
      <c r="E1913" t="s">
        <v>3365</v>
      </c>
      <c r="F1913" t="s">
        <v>3367</v>
      </c>
      <c r="G1913" t="s">
        <v>39</v>
      </c>
      <c r="H1913">
        <v>2008</v>
      </c>
      <c r="I1913">
        <v>22.724296166863201</v>
      </c>
      <c r="J1913">
        <v>10.300000190734901</v>
      </c>
      <c r="K1913">
        <v>75.757042253521107</v>
      </c>
      <c r="L1913">
        <v>5.0474648593177198</v>
      </c>
      <c r="M1913">
        <v>28.924295485859201</v>
      </c>
      <c r="N1913">
        <v>15.475704132671099</v>
      </c>
      <c r="O1913">
        <v>13.4485913531881</v>
      </c>
      <c r="P1913">
        <v>22.899999618530298</v>
      </c>
      <c r="Q1913">
        <v>22</v>
      </c>
      <c r="R1913">
        <v>23.299999237060501</v>
      </c>
      <c r="S1913">
        <v>22</v>
      </c>
      <c r="T1913">
        <v>1039.24295774648</v>
      </c>
      <c r="U1913">
        <v>170</v>
      </c>
      <c r="V1913">
        <v>7</v>
      </c>
      <c r="W1913">
        <v>66</v>
      </c>
      <c r="X1913">
        <v>425</v>
      </c>
      <c r="Y1913">
        <v>37</v>
      </c>
      <c r="Z1913">
        <v>260</v>
      </c>
      <c r="AA1913">
        <v>37</v>
      </c>
      <c r="AB1913">
        <v>9.6244704555457705</v>
      </c>
      <c r="AC1913">
        <v>1.0269723852283001E-2</v>
      </c>
      <c r="AD1913">
        <v>1.1991871806307599</v>
      </c>
      <c r="AE1913">
        <v>0.43206417560577398</v>
      </c>
      <c r="AF1913">
        <v>1145.0316901408401</v>
      </c>
      <c r="AG1913">
        <f>IFERROR(AH1913*0.1, "N/A")</f>
        <v>6.0274647887323907</v>
      </c>
      <c r="AH1913">
        <v>60.274647887323901</v>
      </c>
      <c r="AI1913">
        <v>95.413478495369503</v>
      </c>
      <c r="AJ1913">
        <v>28.588028169014098</v>
      </c>
      <c r="AK1913">
        <v>56.549295774647902</v>
      </c>
    </row>
    <row r="1914" spans="1:37" x14ac:dyDescent="0.3">
      <c r="A1914">
        <v>1913</v>
      </c>
      <c r="B1914">
        <v>14.3</v>
      </c>
      <c r="C1914">
        <v>32.931099000000003</v>
      </c>
      <c r="D1914">
        <v>-2.6290499999999999</v>
      </c>
      <c r="E1914" t="s">
        <v>3368</v>
      </c>
      <c r="F1914" t="s">
        <v>3369</v>
      </c>
      <c r="G1914" t="s">
        <v>39</v>
      </c>
      <c r="H1914">
        <v>1992</v>
      </c>
      <c r="I1914">
        <v>22.700000762939499</v>
      </c>
      <c r="J1914">
        <v>10.800000190734901</v>
      </c>
      <c r="K1914">
        <v>73</v>
      </c>
      <c r="L1914">
        <v>6.0900001525878897</v>
      </c>
      <c r="M1914">
        <v>29.700000762939499</v>
      </c>
      <c r="N1914">
        <v>15</v>
      </c>
      <c r="O1914">
        <v>14.699999809265099</v>
      </c>
      <c r="P1914">
        <v>22.700000762939499</v>
      </c>
      <c r="Q1914">
        <v>22</v>
      </c>
      <c r="R1914">
        <v>23.5</v>
      </c>
      <c r="S1914">
        <v>22</v>
      </c>
      <c r="T1914">
        <v>1009</v>
      </c>
      <c r="U1914">
        <v>166</v>
      </c>
      <c r="V1914">
        <v>7</v>
      </c>
      <c r="W1914">
        <v>66</v>
      </c>
      <c r="X1914">
        <v>407</v>
      </c>
      <c r="Y1914">
        <v>33</v>
      </c>
      <c r="Z1914">
        <v>262</v>
      </c>
      <c r="AA1914">
        <v>33</v>
      </c>
      <c r="AB1914">
        <v>28.187300346267101</v>
      </c>
      <c r="AC1914">
        <v>2.2760721658107001E-2</v>
      </c>
      <c r="AD1914">
        <v>1.31160215844571</v>
      </c>
      <c r="AE1914">
        <v>0.60550904273986805</v>
      </c>
      <c r="AF1914">
        <v>1171.2165492957699</v>
      </c>
      <c r="AG1914">
        <f>IFERROR(AH1914*0.1, "N/A")</f>
        <v>6.2595070422535208</v>
      </c>
      <c r="AH1914">
        <v>62.595070422535201</v>
      </c>
      <c r="AI1914">
        <v>284.33040105792799</v>
      </c>
      <c r="AJ1914">
        <v>20.487676056338</v>
      </c>
      <c r="AK1914">
        <v>65.512323943661997</v>
      </c>
    </row>
    <row r="1915" spans="1:37" x14ac:dyDescent="0.3">
      <c r="A1915">
        <v>1914</v>
      </c>
      <c r="B1915">
        <v>6.7</v>
      </c>
      <c r="C1915">
        <v>31.8141</v>
      </c>
      <c r="D1915">
        <v>-1.3281499999999999</v>
      </c>
      <c r="E1915" t="s">
        <v>3370</v>
      </c>
      <c r="F1915" t="s">
        <v>3371</v>
      </c>
      <c r="G1915" t="s">
        <v>37</v>
      </c>
      <c r="H1915">
        <v>1962</v>
      </c>
      <c r="I1915">
        <v>21</v>
      </c>
      <c r="J1915">
        <v>10.300000190734901</v>
      </c>
      <c r="K1915">
        <v>86</v>
      </c>
      <c r="L1915">
        <v>3.4000000953674299</v>
      </c>
      <c r="M1915">
        <v>26.700000762939499</v>
      </c>
      <c r="N1915">
        <v>14.800000190734901</v>
      </c>
      <c r="O1915">
        <v>11.8999996185303</v>
      </c>
      <c r="P1915">
        <v>21.200000762939499</v>
      </c>
      <c r="Q1915">
        <v>20.5</v>
      </c>
      <c r="R1915">
        <v>21.299999237060501</v>
      </c>
      <c r="S1915">
        <v>20.399999618530298</v>
      </c>
      <c r="T1915">
        <v>2047</v>
      </c>
      <c r="U1915">
        <v>380</v>
      </c>
      <c r="V1915">
        <v>46</v>
      </c>
      <c r="W1915">
        <v>56</v>
      </c>
      <c r="X1915">
        <v>918</v>
      </c>
      <c r="Y1915">
        <v>181</v>
      </c>
      <c r="Z1915">
        <v>777</v>
      </c>
      <c r="AA1915">
        <v>209</v>
      </c>
      <c r="AB1915">
        <v>11.893698678889701</v>
      </c>
      <c r="AC1915">
        <v>1.6038057236919E-2</v>
      </c>
      <c r="AD1915">
        <v>2.4097631445653001</v>
      </c>
      <c r="AE1915">
        <v>0.80044984817504905</v>
      </c>
      <c r="AF1915">
        <v>1148.9524647887299</v>
      </c>
      <c r="AG1915">
        <f>IFERROR(AH1915*0.1, "N/A")</f>
        <v>5.58257042253521</v>
      </c>
      <c r="AH1915">
        <v>55.825704225352098</v>
      </c>
      <c r="AI1915">
        <v>103.22138066359</v>
      </c>
      <c r="AJ1915">
        <v>33.174295774647902</v>
      </c>
      <c r="AK1915">
        <v>48.651408450704203</v>
      </c>
    </row>
    <row r="1916" spans="1:37" x14ac:dyDescent="0.3">
      <c r="A1916">
        <v>1915</v>
      </c>
      <c r="B1916">
        <v>33.299999</v>
      </c>
      <c r="C1916">
        <v>31.815598999999999</v>
      </c>
      <c r="D1916">
        <v>-1.3551299999999999</v>
      </c>
      <c r="E1916" t="s">
        <v>3372</v>
      </c>
      <c r="F1916" t="s">
        <v>3373</v>
      </c>
      <c r="G1916" t="s">
        <v>37</v>
      </c>
      <c r="H1916">
        <v>1962</v>
      </c>
      <c r="I1916">
        <v>20.799999237060501</v>
      </c>
      <c r="J1916">
        <v>10.300000190734901</v>
      </c>
      <c r="K1916">
        <v>86</v>
      </c>
      <c r="L1916">
        <v>3.53999996185303</v>
      </c>
      <c r="M1916">
        <v>26.5</v>
      </c>
      <c r="N1916">
        <v>14.6000003814697</v>
      </c>
      <c r="O1916">
        <v>11.8999996185303</v>
      </c>
      <c r="P1916">
        <v>21</v>
      </c>
      <c r="Q1916">
        <v>20.200000762939499</v>
      </c>
      <c r="R1916">
        <v>21.100000381469702</v>
      </c>
      <c r="S1916">
        <v>20.200000762939499</v>
      </c>
      <c r="T1916">
        <v>2051</v>
      </c>
      <c r="U1916">
        <v>383</v>
      </c>
      <c r="V1916">
        <v>45</v>
      </c>
      <c r="W1916">
        <v>56</v>
      </c>
      <c r="X1916">
        <v>917</v>
      </c>
      <c r="Y1916">
        <v>180</v>
      </c>
      <c r="Z1916">
        <v>539</v>
      </c>
      <c r="AA1916">
        <v>210</v>
      </c>
      <c r="AB1916">
        <v>20.618456044389799</v>
      </c>
      <c r="AC1916">
        <v>1.5514084065958E-2</v>
      </c>
      <c r="AD1916">
        <v>1.6557074628102599</v>
      </c>
      <c r="AE1916">
        <v>0.61628878116607699</v>
      </c>
      <c r="AF1916">
        <v>1148.6362038664299</v>
      </c>
      <c r="AG1916">
        <f>IFERROR(AH1916*0.1, "N/A")</f>
        <v>5.7</v>
      </c>
      <c r="AH1916">
        <v>57</v>
      </c>
      <c r="AI1916">
        <v>175.05308301084301</v>
      </c>
      <c r="AJ1916">
        <v>38</v>
      </c>
      <c r="AK1916">
        <v>41</v>
      </c>
    </row>
    <row r="1917" spans="1:37" x14ac:dyDescent="0.3">
      <c r="A1917">
        <v>1916</v>
      </c>
      <c r="B1917">
        <v>0</v>
      </c>
      <c r="C1917">
        <v>31.633300999999999</v>
      </c>
      <c r="D1917">
        <v>-1.55</v>
      </c>
      <c r="E1917" t="s">
        <v>3374</v>
      </c>
      <c r="F1917" t="s">
        <v>3375</v>
      </c>
      <c r="G1917" t="s">
        <v>37</v>
      </c>
      <c r="H1917">
        <v>1962</v>
      </c>
      <c r="I1917">
        <v>21.059788587862901</v>
      </c>
      <c r="J1917">
        <v>10.6000003814697</v>
      </c>
      <c r="K1917">
        <v>88.3333333333333</v>
      </c>
      <c r="L1917">
        <v>2.54936515843427</v>
      </c>
      <c r="M1917">
        <v>26.6666671712563</v>
      </c>
      <c r="N1917">
        <v>14.699999809265099</v>
      </c>
      <c r="O1917">
        <v>11.966666539510101</v>
      </c>
      <c r="P1917">
        <v>21.212698214899302</v>
      </c>
      <c r="Q1917">
        <v>20.606878714586699</v>
      </c>
      <c r="R1917">
        <v>21.2597882104298</v>
      </c>
      <c r="S1917">
        <v>20.606878714586699</v>
      </c>
      <c r="T1917">
        <v>1640.61728395062</v>
      </c>
      <c r="U1917">
        <v>317.37918871252202</v>
      </c>
      <c r="V1917">
        <v>24.597883597883602</v>
      </c>
      <c r="W1917">
        <v>60</v>
      </c>
      <c r="X1917">
        <v>732.41269841269798</v>
      </c>
      <c r="Y1917">
        <v>98.044091710758394</v>
      </c>
      <c r="Z1917">
        <v>651.16049382716096</v>
      </c>
      <c r="AA1917">
        <v>98.044091710758394</v>
      </c>
      <c r="AB1917">
        <v>9.7047530347497801</v>
      </c>
      <c r="AC1917">
        <v>8.8914055212990003E-3</v>
      </c>
      <c r="AD1917">
        <v>2.3191036673449998</v>
      </c>
      <c r="AE1917">
        <v>0.25590377026344302</v>
      </c>
      <c r="AF1917">
        <v>1175.0617283950601</v>
      </c>
      <c r="AG1917">
        <f>IFERROR(AH1917*0.1, "N/A")</f>
        <v>5.4104056437389803</v>
      </c>
      <c r="AH1917">
        <v>54.104056437389801</v>
      </c>
      <c r="AI1917">
        <v>153.39639040023599</v>
      </c>
      <c r="AJ1917">
        <v>36.058201058201099</v>
      </c>
      <c r="AK1917">
        <v>45.860670194003497</v>
      </c>
    </row>
    <row r="1918" spans="1:37" x14ac:dyDescent="0.3">
      <c r="A1918">
        <v>1917</v>
      </c>
      <c r="B1918">
        <v>38.5</v>
      </c>
      <c r="C1918">
        <v>31.827499</v>
      </c>
      <c r="D1918">
        <v>-1.33172</v>
      </c>
      <c r="E1918" t="s">
        <v>3376</v>
      </c>
      <c r="F1918" t="s">
        <v>3377</v>
      </c>
      <c r="G1918" t="s">
        <v>37</v>
      </c>
      <c r="H1918">
        <v>1962</v>
      </c>
      <c r="I1918">
        <v>21.100000381469702</v>
      </c>
      <c r="J1918">
        <v>10.300000190734901</v>
      </c>
      <c r="K1918">
        <v>86</v>
      </c>
      <c r="L1918">
        <v>3.4500000476837198</v>
      </c>
      <c r="M1918">
        <v>26.799999237060501</v>
      </c>
      <c r="N1918">
        <v>14.8999996185303</v>
      </c>
      <c r="O1918">
        <v>11.8999996185303</v>
      </c>
      <c r="P1918">
        <v>21.299999237060501</v>
      </c>
      <c r="Q1918">
        <v>20.600000381469702</v>
      </c>
      <c r="R1918">
        <v>21.399999618530298</v>
      </c>
      <c r="S1918">
        <v>20.5</v>
      </c>
      <c r="T1918">
        <v>2046</v>
      </c>
      <c r="U1918">
        <v>379</v>
      </c>
      <c r="V1918">
        <v>46</v>
      </c>
      <c r="W1918">
        <v>56</v>
      </c>
      <c r="X1918">
        <v>918</v>
      </c>
      <c r="Y1918">
        <v>182</v>
      </c>
      <c r="Z1918">
        <v>777</v>
      </c>
      <c r="AA1918">
        <v>208</v>
      </c>
      <c r="AB1918">
        <v>4.6591470207966603</v>
      </c>
      <c r="AC1918">
        <v>0.53425254496339103</v>
      </c>
      <c r="AD1918">
        <v>1.1061559038263</v>
      </c>
      <c r="AE1918">
        <v>0.71714729070663497</v>
      </c>
      <c r="AF1918">
        <v>1134.10563380282</v>
      </c>
      <c r="AG1918">
        <f>IFERROR(AH1918*0.1, "N/A")</f>
        <v>5.4326086956521706</v>
      </c>
      <c r="AH1918">
        <v>54.326086956521699</v>
      </c>
      <c r="AI1918">
        <v>87.360768788297406</v>
      </c>
      <c r="AJ1918">
        <v>35</v>
      </c>
      <c r="AK1918">
        <v>45.1086956521739</v>
      </c>
    </row>
    <row r="1919" spans="1:37" x14ac:dyDescent="0.3">
      <c r="A1919">
        <v>1918</v>
      </c>
      <c r="B1919">
        <v>41.599997999999999</v>
      </c>
      <c r="C1919">
        <v>32.911701000000001</v>
      </c>
      <c r="D1919">
        <v>-2.4764499999999998</v>
      </c>
      <c r="E1919" t="s">
        <v>3378</v>
      </c>
      <c r="F1919" t="s">
        <v>3379</v>
      </c>
      <c r="G1919" t="s">
        <v>37</v>
      </c>
      <c r="H1919">
        <v>1974</v>
      </c>
      <c r="I1919">
        <v>22.399999618530298</v>
      </c>
      <c r="J1919">
        <v>10.300000190734901</v>
      </c>
      <c r="K1919">
        <v>76</v>
      </c>
      <c r="L1919">
        <v>4.6599998474121103</v>
      </c>
      <c r="M1919">
        <v>28.5</v>
      </c>
      <c r="N1919">
        <v>15.1000003814697</v>
      </c>
      <c r="O1919">
        <v>13.3999996185303</v>
      </c>
      <c r="P1919">
        <v>22.600000381469702</v>
      </c>
      <c r="Q1919">
        <v>21.700000762939499</v>
      </c>
      <c r="R1919">
        <v>22.899999618530298</v>
      </c>
      <c r="S1919">
        <v>21.700000762939499</v>
      </c>
      <c r="T1919">
        <v>1089</v>
      </c>
      <c r="U1919">
        <v>180</v>
      </c>
      <c r="V1919">
        <v>9</v>
      </c>
      <c r="W1919">
        <v>65</v>
      </c>
      <c r="X1919">
        <v>444</v>
      </c>
      <c r="Y1919">
        <v>42</v>
      </c>
      <c r="Z1919">
        <v>285</v>
      </c>
      <c r="AA1919">
        <v>42</v>
      </c>
      <c r="AB1919">
        <v>14.5984543195299</v>
      </c>
      <c r="AC1919">
        <v>3.5075644257041003E-2</v>
      </c>
      <c r="AD1919">
        <v>2.4122912896329001</v>
      </c>
      <c r="AE1919">
        <v>0.66346997022628795</v>
      </c>
      <c r="AF1919">
        <v>1170.48681898067</v>
      </c>
      <c r="AG1919">
        <f>IFERROR(AH1919*0.1, "N/A")</f>
        <v>5.8000000000000007</v>
      </c>
      <c r="AH1919">
        <v>58</v>
      </c>
      <c r="AI1919">
        <v>142.29606570510299</v>
      </c>
      <c r="AJ1919">
        <v>28.947275922671299</v>
      </c>
      <c r="AK1919">
        <v>54.054481546572902</v>
      </c>
    </row>
    <row r="1920" spans="1:37" x14ac:dyDescent="0.3">
      <c r="A1920">
        <v>1919</v>
      </c>
      <c r="B1920">
        <v>31.299999</v>
      </c>
      <c r="C1920">
        <v>32.894100000000002</v>
      </c>
      <c r="D1920">
        <v>-2.49986</v>
      </c>
      <c r="E1920" t="s">
        <v>3380</v>
      </c>
      <c r="F1920" t="s">
        <v>3381</v>
      </c>
      <c r="G1920" t="s">
        <v>37</v>
      </c>
      <c r="H1920">
        <v>1974</v>
      </c>
      <c r="I1920">
        <v>22.407746126953999</v>
      </c>
      <c r="J1920">
        <v>10.3999996185303</v>
      </c>
      <c r="K1920">
        <v>75.6408450704225</v>
      </c>
      <c r="L1920">
        <v>5.0877465664500896</v>
      </c>
      <c r="M1920">
        <v>28.607746204859801</v>
      </c>
      <c r="N1920">
        <v>14.971830878459199</v>
      </c>
      <c r="O1920">
        <v>13.6359156689174</v>
      </c>
      <c r="P1920">
        <v>22.607746204859801</v>
      </c>
      <c r="Q1920">
        <v>21.671830956365</v>
      </c>
      <c r="R1920">
        <v>22.907746126953999</v>
      </c>
      <c r="S1920">
        <v>21.671830956365</v>
      </c>
      <c r="T1920">
        <v>1089.6338028169</v>
      </c>
      <c r="U1920">
        <v>180.845070422535</v>
      </c>
      <c r="V1920">
        <v>8.6408450704225395</v>
      </c>
      <c r="W1920">
        <v>65</v>
      </c>
      <c r="X1920">
        <v>443.53521126760597</v>
      </c>
      <c r="Y1920">
        <v>41.922535211267601</v>
      </c>
      <c r="Z1920">
        <v>286.33098591549299</v>
      </c>
      <c r="AA1920">
        <v>41.922535211267601</v>
      </c>
      <c r="AB1920">
        <v>41.019890368824299</v>
      </c>
      <c r="AC1920">
        <v>4.9119452291666997E-2</v>
      </c>
      <c r="AD1920">
        <v>8.5350318139707504</v>
      </c>
      <c r="AE1920">
        <v>0.81996321678161599</v>
      </c>
      <c r="AF1920">
        <v>1173.6971830985899</v>
      </c>
      <c r="AG1920">
        <f>IFERROR(AH1920*0.1, "N/A")</f>
        <v>5.9806338028169002</v>
      </c>
      <c r="AH1920">
        <v>59.806338028169002</v>
      </c>
      <c r="AI1920">
        <v>141.679506933185</v>
      </c>
      <c r="AJ1920">
        <v>35.103873239436602</v>
      </c>
      <c r="AK1920">
        <v>47.732394366197198</v>
      </c>
    </row>
    <row r="1921" spans="1:37" x14ac:dyDescent="0.3">
      <c r="A1921">
        <v>1920</v>
      </c>
      <c r="B1921">
        <v>25</v>
      </c>
      <c r="C1921">
        <v>32.915401000000003</v>
      </c>
      <c r="D1921">
        <v>-2.5263200000000001</v>
      </c>
      <c r="E1921" t="s">
        <v>3382</v>
      </c>
      <c r="F1921" t="s">
        <v>3383</v>
      </c>
      <c r="G1921" t="s">
        <v>37</v>
      </c>
      <c r="H1921">
        <v>1974</v>
      </c>
      <c r="I1921">
        <v>22.200000762939499</v>
      </c>
      <c r="J1921">
        <v>10.5</v>
      </c>
      <c r="K1921">
        <v>76</v>
      </c>
      <c r="L1921">
        <v>5.1700000762939498</v>
      </c>
      <c r="M1921">
        <v>28.600000381469702</v>
      </c>
      <c r="N1921">
        <v>14.800000190734901</v>
      </c>
      <c r="O1921">
        <v>13.800000190734901</v>
      </c>
      <c r="P1921">
        <v>22.299999237060501</v>
      </c>
      <c r="Q1921">
        <v>21.5</v>
      </c>
      <c r="R1921">
        <v>22.799999237060501</v>
      </c>
      <c r="S1921">
        <v>21.5</v>
      </c>
      <c r="T1921">
        <v>1096</v>
      </c>
      <c r="U1921">
        <v>182</v>
      </c>
      <c r="V1921">
        <v>9</v>
      </c>
      <c r="W1921">
        <v>65</v>
      </c>
      <c r="X1921">
        <v>447</v>
      </c>
      <c r="Y1921">
        <v>41</v>
      </c>
      <c r="Z1921">
        <v>288</v>
      </c>
      <c r="AA1921">
        <v>41</v>
      </c>
      <c r="AB1921">
        <v>7.1267795663307298</v>
      </c>
      <c r="AC1921">
        <v>5.01139482817333</v>
      </c>
      <c r="AD1921">
        <v>4.9137437004196602</v>
      </c>
      <c r="AE1921">
        <v>0.83172118663787797</v>
      </c>
      <c r="AF1921">
        <v>1161.43585237258</v>
      </c>
      <c r="AG1921">
        <f>IFERROR(AH1921*0.1, "N/A")</f>
        <v>6.5298769771528997</v>
      </c>
      <c r="AH1921">
        <v>65.298769771528995</v>
      </c>
      <c r="AI1921">
        <v>100.68733836142199</v>
      </c>
      <c r="AJ1921">
        <v>37.402460456942002</v>
      </c>
      <c r="AK1921">
        <v>44.298769771529003</v>
      </c>
    </row>
    <row r="1922" spans="1:37" x14ac:dyDescent="0.3">
      <c r="A1922">
        <v>1921</v>
      </c>
      <c r="B1922">
        <v>45.700001</v>
      </c>
      <c r="C1922">
        <v>32.908698999999999</v>
      </c>
      <c r="D1922">
        <v>-2.5491600000000001</v>
      </c>
      <c r="E1922" t="s">
        <v>3384</v>
      </c>
      <c r="F1922" t="s">
        <v>3385</v>
      </c>
      <c r="G1922" t="s">
        <v>37</v>
      </c>
      <c r="H1922">
        <v>1974</v>
      </c>
      <c r="I1922">
        <v>22.209700939306298</v>
      </c>
      <c r="J1922">
        <v>10.5</v>
      </c>
      <c r="K1922">
        <v>75</v>
      </c>
      <c r="L1922">
        <v>4.9962078873232398</v>
      </c>
      <c r="M1922">
        <v>28.707760896632301</v>
      </c>
      <c r="N1922">
        <v>14.807760324427701</v>
      </c>
      <c r="O1922">
        <v>13.8999996185303</v>
      </c>
      <c r="P1922">
        <v>22.3116394561014</v>
      </c>
      <c r="Q1922">
        <v>21.6077605151625</v>
      </c>
      <c r="R1922">
        <v>22.809699413427399</v>
      </c>
      <c r="S1922">
        <v>21.6077605151625</v>
      </c>
      <c r="T1922">
        <v>1086.9523809523801</v>
      </c>
      <c r="U1922">
        <v>180.805996472663</v>
      </c>
      <c r="V1922">
        <v>7.9805996472663097</v>
      </c>
      <c r="W1922">
        <v>65.980599647266303</v>
      </c>
      <c r="X1922">
        <v>443.51499118165799</v>
      </c>
      <c r="Y1922">
        <v>38.941798941798901</v>
      </c>
      <c r="Z1922">
        <v>285.670194003527</v>
      </c>
      <c r="AA1922">
        <v>38.941798941798901</v>
      </c>
      <c r="AB1922">
        <v>41.246407214506199</v>
      </c>
      <c r="AC1922">
        <v>4.4203990055297002E-2</v>
      </c>
      <c r="AD1922">
        <v>10.2952376067954</v>
      </c>
      <c r="AE1922">
        <v>0.66909623955502895</v>
      </c>
      <c r="AF1922">
        <v>1176.1569664903</v>
      </c>
      <c r="AG1922">
        <f>IFERROR(AH1922*0.1, "N/A")</f>
        <v>6.1987654320987602</v>
      </c>
      <c r="AH1922">
        <v>61.987654320987602</v>
      </c>
      <c r="AI1922">
        <v>248.822570639313</v>
      </c>
      <c r="AJ1922">
        <v>35.231040564373899</v>
      </c>
      <c r="AK1922">
        <v>45.800705467372097</v>
      </c>
    </row>
    <row r="1923" spans="1:37" x14ac:dyDescent="0.3">
      <c r="A1923">
        <v>1922</v>
      </c>
      <c r="B1923">
        <v>49.299999</v>
      </c>
      <c r="C1923">
        <v>39.308300000000003</v>
      </c>
      <c r="D1923">
        <v>-5.9701399999999998</v>
      </c>
      <c r="E1923" t="s">
        <v>3386</v>
      </c>
      <c r="F1923" t="s">
        <v>3387</v>
      </c>
      <c r="G1923" t="s">
        <v>39</v>
      </c>
      <c r="H1923">
        <v>1990</v>
      </c>
      <c r="I1923">
        <v>27.1353152014992</v>
      </c>
      <c r="J1923">
        <v>9.1999998092651403</v>
      </c>
      <c r="K1923">
        <v>68</v>
      </c>
      <c r="L1923">
        <v>12.6011888830812</v>
      </c>
      <c r="M1923">
        <v>34.035314146455399</v>
      </c>
      <c r="N1923">
        <v>20.6353152014992</v>
      </c>
      <c r="O1923">
        <v>13.3999996185303</v>
      </c>
      <c r="P1923">
        <v>27.835314057090098</v>
      </c>
      <c r="Q1923">
        <v>25.4353144385598</v>
      </c>
      <c r="R1923">
        <v>28.735314909394798</v>
      </c>
      <c r="S1923">
        <v>25.4353144385598</v>
      </c>
      <c r="T1923">
        <v>1809.05944055944</v>
      </c>
      <c r="U1923">
        <v>450.472027972028</v>
      </c>
      <c r="V1923">
        <v>52.2937062937063</v>
      </c>
      <c r="W1923">
        <v>82.353146853146896</v>
      </c>
      <c r="X1923">
        <v>1024.47202797203</v>
      </c>
      <c r="Y1923">
        <v>181.94055944055901</v>
      </c>
      <c r="Z1923">
        <v>341.94055944055901</v>
      </c>
      <c r="AA1923">
        <v>181.94055944055901</v>
      </c>
      <c r="AB1923">
        <v>3.79563248240864</v>
      </c>
      <c r="AC1923">
        <v>4.9944249846341E-2</v>
      </c>
      <c r="AD1923">
        <v>2.60398724112477</v>
      </c>
      <c r="AE1923">
        <v>0.45000052452087402</v>
      </c>
      <c r="AF1923">
        <v>65.590909090909093</v>
      </c>
      <c r="AG1923">
        <f>IFERROR(AH1923*0.1, "N/A")</f>
        <v>5.6001748251748307</v>
      </c>
      <c r="AH1923">
        <v>56.001748251748303</v>
      </c>
      <c r="AI1923">
        <v>266.53830871048501</v>
      </c>
      <c r="AJ1923">
        <v>25.933566433566401</v>
      </c>
      <c r="AK1923">
        <v>57.776223776223802</v>
      </c>
    </row>
    <row r="1924" spans="1:37" x14ac:dyDescent="0.3">
      <c r="A1924">
        <v>1923</v>
      </c>
      <c r="B1924">
        <v>57.900002000000001</v>
      </c>
      <c r="C1924">
        <v>37.127398999999997</v>
      </c>
      <c r="D1924">
        <v>-6.6318700000000002</v>
      </c>
      <c r="E1924" t="s">
        <v>3388</v>
      </c>
      <c r="F1924" t="s">
        <v>3389</v>
      </c>
      <c r="G1924" t="s">
        <v>39</v>
      </c>
      <c r="H1924">
        <v>2005</v>
      </c>
      <c r="I1924">
        <v>24.700000762939499</v>
      </c>
      <c r="J1924">
        <v>11.699999809265099</v>
      </c>
      <c r="K1924">
        <v>68</v>
      </c>
      <c r="L1924">
        <v>17.200000762939499</v>
      </c>
      <c r="M1924">
        <v>32.700000762939503</v>
      </c>
      <c r="N1924">
        <v>15.699999809265099</v>
      </c>
      <c r="O1924">
        <v>17</v>
      </c>
      <c r="P1924">
        <v>25.799999237060501</v>
      </c>
      <c r="Q1924">
        <v>22.200000762939499</v>
      </c>
      <c r="R1924">
        <v>26.5</v>
      </c>
      <c r="S1924">
        <v>22.200000762939499</v>
      </c>
      <c r="T1924">
        <v>943</v>
      </c>
      <c r="U1924">
        <v>194</v>
      </c>
      <c r="V1924">
        <v>5</v>
      </c>
      <c r="W1924">
        <v>81</v>
      </c>
      <c r="X1924">
        <v>498</v>
      </c>
      <c r="Y1924">
        <v>31</v>
      </c>
      <c r="Z1924">
        <v>345</v>
      </c>
      <c r="AA1924">
        <v>31</v>
      </c>
      <c r="AB1924">
        <v>24.0202113028603</v>
      </c>
      <c r="AC1924">
        <v>2.0696922656447E-2</v>
      </c>
      <c r="AD1924">
        <v>2.7969107773245798</v>
      </c>
      <c r="AE1924">
        <v>0.16837263107299799</v>
      </c>
      <c r="AF1924">
        <v>489.53658536585402</v>
      </c>
      <c r="AG1924">
        <f>IFERROR(AH1924*0.1, "N/A")</f>
        <v>6.6973867595818808</v>
      </c>
      <c r="AH1924">
        <v>66.973867595818803</v>
      </c>
      <c r="AI1924">
        <v>125.44814869418801</v>
      </c>
      <c r="AJ1924">
        <v>31.390243902439</v>
      </c>
      <c r="AK1924">
        <v>54.144599303135898</v>
      </c>
    </row>
    <row r="1925" spans="1:37" x14ac:dyDescent="0.3">
      <c r="A1925">
        <v>1924</v>
      </c>
      <c r="B1925">
        <v>43</v>
      </c>
      <c r="C1925">
        <v>39.701400999999997</v>
      </c>
      <c r="D1925">
        <v>-5.37812</v>
      </c>
      <c r="E1925" t="s">
        <v>3390</v>
      </c>
      <c r="F1925" t="s">
        <v>3391</v>
      </c>
      <c r="G1925" t="s">
        <v>39</v>
      </c>
      <c r="H1925">
        <v>2008</v>
      </c>
      <c r="I1925">
        <v>26</v>
      </c>
      <c r="J1925">
        <v>8.3999996185302699</v>
      </c>
      <c r="K1925">
        <v>66</v>
      </c>
      <c r="L1925">
        <v>13.1599998474121</v>
      </c>
      <c r="M1925">
        <v>32.400001525878899</v>
      </c>
      <c r="N1925">
        <v>19.700000762939499</v>
      </c>
      <c r="O1925">
        <v>12.699999809265099</v>
      </c>
      <c r="P1925">
        <v>26.799999237060501</v>
      </c>
      <c r="Q1925">
        <v>24.600000381469702</v>
      </c>
      <c r="R1925">
        <v>27.5</v>
      </c>
      <c r="S1925">
        <v>24.200000762939499</v>
      </c>
      <c r="T1925">
        <v>1829</v>
      </c>
      <c r="U1925">
        <v>478</v>
      </c>
      <c r="V1925">
        <v>30</v>
      </c>
      <c r="W1925">
        <v>94</v>
      </c>
      <c r="X1925">
        <v>1087</v>
      </c>
      <c r="Y1925">
        <v>125</v>
      </c>
      <c r="Z1925">
        <v>312</v>
      </c>
      <c r="AA1925">
        <v>128</v>
      </c>
      <c r="AB1925">
        <v>22.1123916399625</v>
      </c>
      <c r="AC1925">
        <v>8.6892172401640006E-3</v>
      </c>
      <c r="AD1925">
        <v>4.1282718601859303</v>
      </c>
      <c r="AE1925">
        <v>0.32321879517345498</v>
      </c>
      <c r="AF1925">
        <v>42.750436300174499</v>
      </c>
      <c r="AG1925">
        <f>IFERROR(AH1925*0.1, "N/A")</f>
        <v>5.5919720767888306</v>
      </c>
      <c r="AH1925">
        <v>55.9197207678883</v>
      </c>
      <c r="AI1925">
        <v>265.10037531694599</v>
      </c>
      <c r="AJ1925">
        <v>27.636998254799298</v>
      </c>
      <c r="AK1925">
        <v>55.024432809773103</v>
      </c>
    </row>
    <row r="1926" spans="1:37" x14ac:dyDescent="0.3">
      <c r="A1926">
        <v>1925</v>
      </c>
      <c r="B1926">
        <v>67.599997999999999</v>
      </c>
      <c r="C1926">
        <v>39.201098999999999</v>
      </c>
      <c r="D1926">
        <v>-6.8479299999999999</v>
      </c>
      <c r="E1926" t="s">
        <v>3392</v>
      </c>
      <c r="F1926" t="s">
        <v>3393</v>
      </c>
      <c r="G1926" t="s">
        <v>39</v>
      </c>
      <c r="H1926">
        <v>1996</v>
      </c>
      <c r="I1926">
        <v>25.799999237060501</v>
      </c>
      <c r="J1926">
        <v>9</v>
      </c>
      <c r="K1926">
        <v>66</v>
      </c>
      <c r="L1926">
        <v>15.1000003814697</v>
      </c>
      <c r="M1926">
        <v>31.899999618530298</v>
      </c>
      <c r="N1926">
        <v>18.399999618530298</v>
      </c>
      <c r="O1926">
        <v>13.5</v>
      </c>
      <c r="P1926">
        <v>26.5</v>
      </c>
      <c r="Q1926">
        <v>23.799999237060501</v>
      </c>
      <c r="R1926">
        <v>27.600000381469702</v>
      </c>
      <c r="S1926">
        <v>23.799999237060501</v>
      </c>
      <c r="T1926">
        <v>1097</v>
      </c>
      <c r="U1926">
        <v>271</v>
      </c>
      <c r="V1926">
        <v>23</v>
      </c>
      <c r="W1926">
        <v>77</v>
      </c>
      <c r="X1926">
        <v>578</v>
      </c>
      <c r="Y1926">
        <v>77</v>
      </c>
      <c r="Z1926">
        <v>275</v>
      </c>
      <c r="AA1926">
        <v>77</v>
      </c>
      <c r="AB1926">
        <v>19.456272357847599</v>
      </c>
      <c r="AC1926">
        <v>9.7598219825809993E-3</v>
      </c>
      <c r="AD1926">
        <v>2.1086085444958802</v>
      </c>
      <c r="AE1926">
        <v>0.88855320215225198</v>
      </c>
      <c r="AF1926">
        <v>54.369337979094098</v>
      </c>
      <c r="AG1926">
        <f>IFERROR(AH1926*0.1, "N/A")</f>
        <v>6.3000000000000007</v>
      </c>
      <c r="AH1926">
        <v>63</v>
      </c>
      <c r="AI1926">
        <v>175.604513773104</v>
      </c>
      <c r="AJ1926">
        <v>23</v>
      </c>
      <c r="AK1926">
        <v>64</v>
      </c>
    </row>
    <row r="1927" spans="1:37" x14ac:dyDescent="0.3">
      <c r="A1927">
        <v>1926</v>
      </c>
      <c r="B1927">
        <v>50.900002000000001</v>
      </c>
      <c r="C1927">
        <v>39.258201999999997</v>
      </c>
      <c r="D1927">
        <v>-6.8169599999999999</v>
      </c>
      <c r="E1927" t="s">
        <v>3394</v>
      </c>
      <c r="F1927" t="s">
        <v>3395</v>
      </c>
      <c r="G1927" t="s">
        <v>39</v>
      </c>
      <c r="H1927">
        <v>2001</v>
      </c>
      <c r="I1927">
        <v>25.8881322085129</v>
      </c>
      <c r="J1927">
        <v>8.6467714925503003</v>
      </c>
      <c r="K1927">
        <v>66</v>
      </c>
      <c r="L1927">
        <v>15.2879753795178</v>
      </c>
      <c r="M1927">
        <v>31.788132053395199</v>
      </c>
      <c r="N1927">
        <v>18.788132053395199</v>
      </c>
      <c r="O1927">
        <v>13</v>
      </c>
      <c r="P1927">
        <v>26.6413617957949</v>
      </c>
      <c r="Q1927">
        <v>23.899999618530298</v>
      </c>
      <c r="R1927">
        <v>27.779755058088799</v>
      </c>
      <c r="S1927">
        <v>23.899999618530298</v>
      </c>
      <c r="T1927">
        <v>1093.5410122164001</v>
      </c>
      <c r="U1927">
        <v>262.33856893542799</v>
      </c>
      <c r="V1927">
        <v>23</v>
      </c>
      <c r="W1927">
        <v>74.916230366492101</v>
      </c>
      <c r="X1927">
        <v>569.57591623036603</v>
      </c>
      <c r="Y1927">
        <v>78.551483420593399</v>
      </c>
      <c r="Z1927">
        <v>280.94589877835898</v>
      </c>
      <c r="AA1927">
        <v>78.551483420593399</v>
      </c>
      <c r="AB1927">
        <v>5.1436297356770302</v>
      </c>
      <c r="AC1927">
        <v>8.4886263136019994E-3</v>
      </c>
      <c r="AD1927">
        <v>2.2271151600915902</v>
      </c>
      <c r="AE1927">
        <v>0.92573487758636497</v>
      </c>
      <c r="AF1927">
        <v>12.2268760907504</v>
      </c>
      <c r="AG1927">
        <f>IFERROR(AH1927*0.1, "N/A")</f>
        <v>6.6239092495636998</v>
      </c>
      <c r="AH1927">
        <v>66.239092495636996</v>
      </c>
      <c r="AI1927">
        <v>89.709153606421495</v>
      </c>
      <c r="AJ1927">
        <v>27.031413612565402</v>
      </c>
      <c r="AK1927">
        <v>58.436300174520099</v>
      </c>
    </row>
    <row r="1928" spans="1:37" x14ac:dyDescent="0.3">
      <c r="A1928">
        <v>1927</v>
      </c>
      <c r="B1928">
        <v>44.599997999999999</v>
      </c>
      <c r="C1928">
        <v>39.249499999999998</v>
      </c>
      <c r="D1928">
        <v>-6.8177300000000001</v>
      </c>
      <c r="E1928" t="s">
        <v>3396</v>
      </c>
      <c r="F1928" t="s">
        <v>3397</v>
      </c>
      <c r="G1928" t="s">
        <v>39</v>
      </c>
      <c r="H1928">
        <v>2001</v>
      </c>
      <c r="I1928">
        <v>25.899999618530298</v>
      </c>
      <c r="J1928">
        <v>8.6999998092651403</v>
      </c>
      <c r="K1928">
        <v>65.055846422338604</v>
      </c>
      <c r="L1928">
        <v>15.2044675187915</v>
      </c>
      <c r="M1928">
        <v>31.894414954992701</v>
      </c>
      <c r="N1928">
        <v>18.705585319958399</v>
      </c>
      <c r="O1928">
        <v>13.1888305354493</v>
      </c>
      <c r="P1928">
        <v>26.600000381469702</v>
      </c>
      <c r="Q1928">
        <v>23.899999618530298</v>
      </c>
      <c r="R1928">
        <v>27.799999237060501</v>
      </c>
      <c r="S1928">
        <v>23.899999618530298</v>
      </c>
      <c r="T1928">
        <v>1096.94415357766</v>
      </c>
      <c r="U1928">
        <v>268.77661431064598</v>
      </c>
      <c r="V1928">
        <v>23</v>
      </c>
      <c r="W1928">
        <v>75.944153577661396</v>
      </c>
      <c r="X1928">
        <v>575.77661431064598</v>
      </c>
      <c r="Y1928">
        <v>79</v>
      </c>
      <c r="Z1928">
        <v>277.16753926701602</v>
      </c>
      <c r="AA1928">
        <v>79</v>
      </c>
      <c r="AB1928">
        <v>9.7048868392358507</v>
      </c>
      <c r="AC1928">
        <v>9.4219188760140005E-3</v>
      </c>
      <c r="AD1928">
        <v>1.3213097532174101</v>
      </c>
      <c r="AE1928">
        <v>0.92439514398574796</v>
      </c>
      <c r="AF1928">
        <v>19.085514834205899</v>
      </c>
      <c r="AG1928">
        <f>IFERROR(AH1928*0.1, "N/A")</f>
        <v>6.6626527050610811</v>
      </c>
      <c r="AH1928">
        <v>66.626527050610804</v>
      </c>
      <c r="AI1928">
        <v>297.51324271157199</v>
      </c>
      <c r="AJ1928">
        <v>28.809773123909199</v>
      </c>
      <c r="AK1928">
        <v>54.436300174520099</v>
      </c>
    </row>
    <row r="1929" spans="1:37" x14ac:dyDescent="0.3">
      <c r="A1929">
        <v>1928</v>
      </c>
      <c r="B1929">
        <v>0</v>
      </c>
      <c r="C1929">
        <v>39.102401999999998</v>
      </c>
      <c r="D1929">
        <v>-5.0888900000000001</v>
      </c>
      <c r="E1929" t="s">
        <v>3398</v>
      </c>
      <c r="F1929" t="s">
        <v>3399</v>
      </c>
      <c r="G1929" t="s">
        <v>37</v>
      </c>
      <c r="H1929">
        <v>2006</v>
      </c>
      <c r="I1929">
        <v>26.299999237060501</v>
      </c>
      <c r="J1929">
        <v>8.8000001907348597</v>
      </c>
      <c r="K1929">
        <v>64</v>
      </c>
      <c r="L1929">
        <v>15.1099996566772</v>
      </c>
      <c r="M1929">
        <v>33.299999237060497</v>
      </c>
      <c r="N1929">
        <v>19.700000762939499</v>
      </c>
      <c r="O1929">
        <v>13.6000003814697</v>
      </c>
      <c r="P1929">
        <v>27.200000762939499</v>
      </c>
      <c r="Q1929">
        <v>27.899999618530298</v>
      </c>
      <c r="R1929">
        <v>28.200000762939499</v>
      </c>
      <c r="S1929">
        <v>24.299999237060501</v>
      </c>
      <c r="T1929">
        <v>1292</v>
      </c>
      <c r="U1929">
        <v>295</v>
      </c>
      <c r="V1929">
        <v>27</v>
      </c>
      <c r="W1929">
        <v>70</v>
      </c>
      <c r="X1929">
        <v>618</v>
      </c>
      <c r="Y1929">
        <v>133</v>
      </c>
      <c r="Z1929">
        <v>155</v>
      </c>
      <c r="AA1929">
        <v>211</v>
      </c>
      <c r="AB1929">
        <v>4.58651405374557</v>
      </c>
      <c r="AC1929">
        <v>9.4543061041370002E-3</v>
      </c>
      <c r="AD1929">
        <v>3.0184747055825301</v>
      </c>
      <c r="AE1929">
        <v>0.91747254133224498</v>
      </c>
      <c r="AF1929">
        <v>24.033274956217198</v>
      </c>
      <c r="AG1929">
        <f>IFERROR(AH1929*0.1, "N/A")</f>
        <v>7.0996497373029799</v>
      </c>
      <c r="AH1929">
        <v>70.996497373029797</v>
      </c>
      <c r="AI1929">
        <v>128.15461100296</v>
      </c>
      <c r="AJ1929">
        <v>29.0875656742557</v>
      </c>
      <c r="AK1929">
        <v>53.823117338003499</v>
      </c>
    </row>
    <row r="1930" spans="1:37" x14ac:dyDescent="0.3">
      <c r="A1930">
        <v>1929</v>
      </c>
      <c r="B1930">
        <v>20.399999999999999</v>
      </c>
      <c r="C1930">
        <v>32.903098999999997</v>
      </c>
      <c r="D1930">
        <v>-2.5106199999999999</v>
      </c>
      <c r="E1930" t="s">
        <v>3400</v>
      </c>
      <c r="F1930" t="s">
        <v>3401</v>
      </c>
      <c r="G1930" t="s">
        <v>39</v>
      </c>
      <c r="H1930">
        <v>1986</v>
      </c>
      <c r="I1930">
        <v>22.5</v>
      </c>
      <c r="J1930">
        <v>10.3999996185303</v>
      </c>
      <c r="K1930">
        <v>76</v>
      </c>
      <c r="L1930">
        <v>4.9099998474121103</v>
      </c>
      <c r="M1930">
        <v>28.700000762939499</v>
      </c>
      <c r="N1930">
        <v>15.1000003814697</v>
      </c>
      <c r="O1930">
        <v>13.6000003814697</v>
      </c>
      <c r="P1930">
        <v>22.700000762939499</v>
      </c>
      <c r="Q1930">
        <v>21.799999237060501</v>
      </c>
      <c r="R1930">
        <v>23</v>
      </c>
      <c r="S1930">
        <v>21.799999237060501</v>
      </c>
      <c r="T1930">
        <v>1066</v>
      </c>
      <c r="U1930">
        <v>177</v>
      </c>
      <c r="V1930">
        <v>8</v>
      </c>
      <c r="W1930">
        <v>65</v>
      </c>
      <c r="X1930">
        <v>433</v>
      </c>
      <c r="Y1930">
        <v>40</v>
      </c>
      <c r="Z1930">
        <v>278</v>
      </c>
      <c r="AA1930">
        <v>40</v>
      </c>
      <c r="AB1930">
        <v>25.328302634830798</v>
      </c>
      <c r="AC1930">
        <v>2.2812891509286001E-2</v>
      </c>
      <c r="AD1930">
        <v>5.2600777874093501</v>
      </c>
      <c r="AE1930">
        <v>0.80628693103790305</v>
      </c>
      <c r="AF1930">
        <v>1158.0597539543101</v>
      </c>
      <c r="AG1930">
        <f>IFERROR(AH1930*0.1, "N/A")</f>
        <v>6.1000000000000005</v>
      </c>
      <c r="AH1930">
        <v>61</v>
      </c>
      <c r="AI1930">
        <v>260.51866652718297</v>
      </c>
      <c r="AJ1930">
        <v>36.311072056238999</v>
      </c>
      <c r="AK1930">
        <v>46</v>
      </c>
    </row>
    <row r="1931" spans="1:37" x14ac:dyDescent="0.3">
      <c r="A1931">
        <v>1930</v>
      </c>
      <c r="B1931">
        <v>0</v>
      </c>
      <c r="C1931">
        <v>39.777099999999997</v>
      </c>
      <c r="D1931">
        <v>-5.0321199999999999</v>
      </c>
      <c r="E1931" t="s">
        <v>3402</v>
      </c>
      <c r="F1931" t="s">
        <v>3403</v>
      </c>
      <c r="G1931" t="s">
        <v>37</v>
      </c>
      <c r="H1931">
        <v>1987</v>
      </c>
      <c r="I1931">
        <v>25.399999618530298</v>
      </c>
      <c r="J1931">
        <v>8.3000001907348597</v>
      </c>
      <c r="K1931">
        <v>66</v>
      </c>
      <c r="L1931">
        <v>12.8400001525879</v>
      </c>
      <c r="M1931">
        <v>31.600000381469702</v>
      </c>
      <c r="N1931">
        <v>19.100000381469702</v>
      </c>
      <c r="O1931">
        <v>12.5</v>
      </c>
      <c r="P1931">
        <v>26.100000381469702</v>
      </c>
      <c r="Q1931">
        <v>23.600000381469702</v>
      </c>
      <c r="R1931">
        <v>26.899999618530298</v>
      </c>
      <c r="S1931">
        <v>23.600000381469702</v>
      </c>
      <c r="T1931">
        <v>1643</v>
      </c>
      <c r="U1931">
        <v>387</v>
      </c>
      <c r="V1931">
        <v>36</v>
      </c>
      <c r="W1931">
        <v>83</v>
      </c>
      <c r="X1931">
        <v>885</v>
      </c>
      <c r="Y1931">
        <v>162</v>
      </c>
      <c r="Z1931">
        <v>248</v>
      </c>
      <c r="AA1931">
        <v>162</v>
      </c>
      <c r="AB1931">
        <v>9.5429825297573103</v>
      </c>
      <c r="AC1931">
        <v>3.4032441054781003E-2</v>
      </c>
      <c r="AD1931">
        <v>1.6658158024152101</v>
      </c>
      <c r="AE1931">
        <v>0.337242901325226</v>
      </c>
      <c r="AF1931">
        <v>42.238596491228101</v>
      </c>
      <c r="AG1931">
        <f>IFERROR(AH1931*0.1, "N/A")</f>
        <v>5.7717543859649103</v>
      </c>
      <c r="AH1931">
        <v>57.717543859649098</v>
      </c>
      <c r="AI1931">
        <v>110.725401118764</v>
      </c>
      <c r="AJ1931">
        <v>21.766666666666701</v>
      </c>
      <c r="AK1931">
        <v>62.880701754386003</v>
      </c>
    </row>
    <row r="1932" spans="1:37" x14ac:dyDescent="0.3">
      <c r="A1932">
        <v>1931</v>
      </c>
      <c r="B1932">
        <v>1.7</v>
      </c>
      <c r="C1932">
        <v>39.777099999999997</v>
      </c>
      <c r="D1932">
        <v>-5.0321199999999999</v>
      </c>
      <c r="E1932" t="s">
        <v>3402</v>
      </c>
      <c r="F1932" t="s">
        <v>3404</v>
      </c>
      <c r="G1932" t="s">
        <v>39</v>
      </c>
      <c r="H1932">
        <v>1987</v>
      </c>
      <c r="I1932">
        <v>25.399999618530298</v>
      </c>
      <c r="J1932">
        <v>8.3000001907348597</v>
      </c>
      <c r="K1932">
        <v>66</v>
      </c>
      <c r="L1932">
        <v>12.8400001525879</v>
      </c>
      <c r="M1932">
        <v>31.600000381469702</v>
      </c>
      <c r="N1932">
        <v>19.100000381469702</v>
      </c>
      <c r="O1932">
        <v>12.5</v>
      </c>
      <c r="P1932">
        <v>26.100000381469702</v>
      </c>
      <c r="Q1932">
        <v>23.600000381469702</v>
      </c>
      <c r="R1932">
        <v>26.899999618530298</v>
      </c>
      <c r="S1932">
        <v>23.600000381469702</v>
      </c>
      <c r="T1932">
        <v>1643</v>
      </c>
      <c r="U1932">
        <v>387</v>
      </c>
      <c r="V1932">
        <v>36</v>
      </c>
      <c r="W1932">
        <v>83</v>
      </c>
      <c r="X1932">
        <v>885</v>
      </c>
      <c r="Y1932">
        <v>162</v>
      </c>
      <c r="Z1932">
        <v>248</v>
      </c>
      <c r="AA1932">
        <v>162</v>
      </c>
      <c r="AB1932">
        <v>9.5429825297573103</v>
      </c>
      <c r="AC1932">
        <v>3.4032441054781003E-2</v>
      </c>
      <c r="AD1932">
        <v>1.6658158024152101</v>
      </c>
      <c r="AE1932">
        <v>0.337242901325226</v>
      </c>
      <c r="AF1932">
        <v>42.238596491228101</v>
      </c>
      <c r="AG1932">
        <f>IFERROR(AH1932*0.1, "N/A")</f>
        <v>5.7717543859649103</v>
      </c>
      <c r="AH1932">
        <v>57.717543859649098</v>
      </c>
      <c r="AI1932">
        <v>110.725401118764</v>
      </c>
      <c r="AJ1932">
        <v>21.766666666666701</v>
      </c>
      <c r="AK1932">
        <v>62.880701754386003</v>
      </c>
    </row>
    <row r="1933" spans="1:37" x14ac:dyDescent="0.3">
      <c r="A1933">
        <v>1932</v>
      </c>
      <c r="B1933">
        <v>33.900002000000001</v>
      </c>
      <c r="C1933">
        <v>37.579399000000002</v>
      </c>
      <c r="D1933">
        <v>-3.47722</v>
      </c>
      <c r="E1933" t="s">
        <v>3405</v>
      </c>
      <c r="F1933" t="s">
        <v>3406</v>
      </c>
      <c r="G1933" t="s">
        <v>39</v>
      </c>
      <c r="H1933">
        <v>1998</v>
      </c>
      <c r="I1933">
        <v>23.600000381469702</v>
      </c>
      <c r="J1933">
        <v>12.199999809265099</v>
      </c>
      <c r="K1933">
        <v>70</v>
      </c>
      <c r="L1933">
        <v>16.649999618530298</v>
      </c>
      <c r="M1933">
        <v>32.799999237060497</v>
      </c>
      <c r="N1933">
        <v>15.6000003814697</v>
      </c>
      <c r="O1933">
        <v>17.200000762939499</v>
      </c>
      <c r="P1933">
        <v>24.200000762939499</v>
      </c>
      <c r="Q1933">
        <v>21.5</v>
      </c>
      <c r="R1933">
        <v>25.399999618530298</v>
      </c>
      <c r="S1933">
        <v>21.200000762939499</v>
      </c>
      <c r="T1933">
        <v>548</v>
      </c>
      <c r="U1933">
        <v>129</v>
      </c>
      <c r="V1933">
        <v>6</v>
      </c>
      <c r="W1933">
        <v>79</v>
      </c>
      <c r="X1933">
        <v>282</v>
      </c>
      <c r="Y1933">
        <v>24</v>
      </c>
      <c r="Z1933">
        <v>152</v>
      </c>
      <c r="AA1933">
        <v>29</v>
      </c>
      <c r="AB1933">
        <v>0.86580350106222603</v>
      </c>
      <c r="AC1933">
        <v>3.3830413045851999E-2</v>
      </c>
      <c r="AD1933">
        <v>1.01141805920684</v>
      </c>
      <c r="AE1933">
        <v>0.38797553652211197</v>
      </c>
      <c r="AF1933">
        <v>714.998245614035</v>
      </c>
      <c r="AG1933">
        <f>IFERROR(AH1933*0.1, "N/A")</f>
        <v>7.2670175438596507</v>
      </c>
      <c r="AH1933">
        <v>72.670175438596502</v>
      </c>
      <c r="AI1933">
        <v>210.45001333136301</v>
      </c>
      <c r="AJ1933">
        <v>40.335087719298301</v>
      </c>
      <c r="AK1933">
        <v>31.664912280701799</v>
      </c>
    </row>
    <row r="1934" spans="1:37" x14ac:dyDescent="0.3">
      <c r="A1934">
        <v>1933</v>
      </c>
      <c r="B1934">
        <v>55.799999</v>
      </c>
      <c r="C1934">
        <v>37.603298000000002</v>
      </c>
      <c r="D1934">
        <v>-3.4835799999999999</v>
      </c>
      <c r="E1934" t="s">
        <v>3407</v>
      </c>
      <c r="F1934" t="s">
        <v>3408</v>
      </c>
      <c r="G1934" t="s">
        <v>39</v>
      </c>
      <c r="H1934">
        <v>1998</v>
      </c>
      <c r="I1934">
        <v>23.600000381469702</v>
      </c>
      <c r="J1934">
        <v>12.1000003814697</v>
      </c>
      <c r="K1934">
        <v>70</v>
      </c>
      <c r="L1934">
        <v>16.418771643387601</v>
      </c>
      <c r="M1934">
        <v>32.799999237060497</v>
      </c>
      <c r="N1934">
        <v>15.699999809265099</v>
      </c>
      <c r="O1934">
        <v>17.100000381469702</v>
      </c>
      <c r="P1934">
        <v>24.200000762939499</v>
      </c>
      <c r="Q1934">
        <v>21.399999618530298</v>
      </c>
      <c r="R1934">
        <v>25.399999618530298</v>
      </c>
      <c r="S1934">
        <v>21.200000762939499</v>
      </c>
      <c r="T1934">
        <v>547.35087719298201</v>
      </c>
      <c r="U1934">
        <v>127.17543859649101</v>
      </c>
      <c r="V1934">
        <v>6</v>
      </c>
      <c r="W1934">
        <v>78.587719298245602</v>
      </c>
      <c r="X1934">
        <v>279.35087719298201</v>
      </c>
      <c r="Y1934">
        <v>23</v>
      </c>
      <c r="Z1934">
        <v>154.58771929824599</v>
      </c>
      <c r="AA1934">
        <v>27</v>
      </c>
      <c r="AB1934">
        <v>0.55736062568530698</v>
      </c>
      <c r="AC1934">
        <v>0.36075639361025502</v>
      </c>
      <c r="AD1934">
        <v>1.0289561445252899</v>
      </c>
      <c r="AE1934">
        <v>0.36714456897032899</v>
      </c>
      <c r="AF1934">
        <v>708.21754385964903</v>
      </c>
      <c r="AG1934">
        <f>IFERROR(AH1934*0.1, "N/A")</f>
        <v>7.7</v>
      </c>
      <c r="AH1934">
        <v>77</v>
      </c>
      <c r="AI1934">
        <v>89.684210526315795</v>
      </c>
      <c r="AJ1934">
        <v>32</v>
      </c>
      <c r="AK1934">
        <v>41</v>
      </c>
    </row>
    <row r="1935" spans="1:37" x14ac:dyDescent="0.3">
      <c r="A1935">
        <v>1934</v>
      </c>
      <c r="B1935">
        <v>0</v>
      </c>
      <c r="C1935">
        <v>37.658501000000001</v>
      </c>
      <c r="D1935">
        <v>-3.6981099999999998</v>
      </c>
      <c r="E1935" t="s">
        <v>3409</v>
      </c>
      <c r="F1935" t="s">
        <v>3410</v>
      </c>
      <c r="G1935" t="s">
        <v>39</v>
      </c>
      <c r="H1935">
        <v>1998</v>
      </c>
      <c r="I1935">
        <v>19.983509264494199</v>
      </c>
      <c r="J1935">
        <v>11.1708771688896</v>
      </c>
      <c r="K1935">
        <v>68.291228070175407</v>
      </c>
      <c r="L1935">
        <v>16.592631550839101</v>
      </c>
      <c r="M1935">
        <v>28.725262665330298</v>
      </c>
      <c r="N1935">
        <v>12.512631904869799</v>
      </c>
      <c r="O1935">
        <v>16.212631038197301</v>
      </c>
      <c r="P1935">
        <v>21.283508501554799</v>
      </c>
      <c r="Q1935">
        <v>17.612632008602699</v>
      </c>
      <c r="R1935">
        <v>21.8543859649123</v>
      </c>
      <c r="S1935">
        <v>17.612632008602699</v>
      </c>
      <c r="T1935">
        <v>1143.6561403508799</v>
      </c>
      <c r="U1935">
        <v>207.659649122807</v>
      </c>
      <c r="V1935">
        <v>11.873684210526299</v>
      </c>
      <c r="W1935">
        <v>75.417543859649101</v>
      </c>
      <c r="X1935">
        <v>470.940350877193</v>
      </c>
      <c r="Y1935">
        <v>44.912280701754398</v>
      </c>
      <c r="Z1935">
        <v>332.23157894736897</v>
      </c>
      <c r="AA1935">
        <v>44.912280701754398</v>
      </c>
      <c r="AB1935">
        <v>83.138772315309794</v>
      </c>
      <c r="AC1935">
        <v>1.7120694989958999E-2</v>
      </c>
      <c r="AD1935">
        <v>10.272348877421599</v>
      </c>
      <c r="AE1935">
        <v>0.40049523115158098</v>
      </c>
      <c r="AF1935">
        <v>1410.2596491228101</v>
      </c>
      <c r="AG1935">
        <f>IFERROR(AH1935*0.1, "N/A")</f>
        <v>5.6549122807017609</v>
      </c>
      <c r="AH1935">
        <v>56.549122807017604</v>
      </c>
      <c r="AI1935">
        <v>126.743698816132</v>
      </c>
      <c r="AJ1935">
        <v>36.649122807017498</v>
      </c>
      <c r="AK1935">
        <v>43.422807017543903</v>
      </c>
    </row>
    <row r="1936" spans="1:37" x14ac:dyDescent="0.3">
      <c r="A1936">
        <v>1935</v>
      </c>
      <c r="B1936">
        <v>3</v>
      </c>
      <c r="C1936">
        <v>37.396900000000002</v>
      </c>
      <c r="D1936">
        <v>-3.4597799999999999</v>
      </c>
      <c r="E1936" t="s">
        <v>3411</v>
      </c>
      <c r="F1936" t="s">
        <v>3412</v>
      </c>
      <c r="G1936" t="s">
        <v>39</v>
      </c>
      <c r="H1936">
        <v>2000</v>
      </c>
      <c r="I1936">
        <v>23.700000762939499</v>
      </c>
      <c r="J1936">
        <v>12.3999996185303</v>
      </c>
      <c r="K1936">
        <v>71</v>
      </c>
      <c r="L1936">
        <v>16.450000762939499</v>
      </c>
      <c r="M1936">
        <v>33.099998474121101</v>
      </c>
      <c r="N1936">
        <v>15.699999809265099</v>
      </c>
      <c r="O1936">
        <v>17.399999618530298</v>
      </c>
      <c r="P1936">
        <v>24.299999237060501</v>
      </c>
      <c r="Q1936">
        <v>21.600000381469702</v>
      </c>
      <c r="R1936">
        <v>25.5</v>
      </c>
      <c r="S1936">
        <v>21.299999237060501</v>
      </c>
      <c r="T1936">
        <v>599</v>
      </c>
      <c r="U1936">
        <v>174</v>
      </c>
      <c r="V1936">
        <v>8</v>
      </c>
      <c r="W1936">
        <v>91</v>
      </c>
      <c r="X1936">
        <v>340</v>
      </c>
      <c r="Y1936">
        <v>29</v>
      </c>
      <c r="Z1936">
        <v>158</v>
      </c>
      <c r="AA1936">
        <v>33</v>
      </c>
      <c r="AB1936">
        <v>0.64185329243514699</v>
      </c>
      <c r="AC1936">
        <v>0.25055494506055598</v>
      </c>
      <c r="AD1936">
        <v>1.3121875904487399</v>
      </c>
      <c r="AE1936">
        <v>0.50681788814882101</v>
      </c>
      <c r="AF1936">
        <v>724.07705779334503</v>
      </c>
      <c r="AG1936">
        <f>IFERROR(AH1936*0.1, "N/A")</f>
        <v>7.6220665499124296</v>
      </c>
      <c r="AH1936">
        <v>76.220665499124294</v>
      </c>
      <c r="AI1936">
        <v>244.758477633555</v>
      </c>
      <c r="AJ1936">
        <v>35</v>
      </c>
      <c r="AK1936">
        <v>39.779334500875699</v>
      </c>
    </row>
    <row r="1937" spans="1:37" x14ac:dyDescent="0.3">
      <c r="A1937">
        <v>1936</v>
      </c>
      <c r="B1937">
        <v>22.9</v>
      </c>
      <c r="C1937">
        <v>37.579399000000002</v>
      </c>
      <c r="D1937">
        <v>-3.47722</v>
      </c>
      <c r="E1937" t="s">
        <v>3405</v>
      </c>
      <c r="F1937" t="s">
        <v>3413</v>
      </c>
      <c r="G1937" t="s">
        <v>37</v>
      </c>
      <c r="H1937">
        <v>2005</v>
      </c>
      <c r="I1937">
        <v>23.600000381469702</v>
      </c>
      <c r="J1937">
        <v>12.199999809265099</v>
      </c>
      <c r="K1937">
        <v>70</v>
      </c>
      <c r="L1937">
        <v>16.649999618530298</v>
      </c>
      <c r="M1937">
        <v>32.799999237060497</v>
      </c>
      <c r="N1937">
        <v>15.6000003814697</v>
      </c>
      <c r="O1937">
        <v>17.200000762939499</v>
      </c>
      <c r="P1937">
        <v>24.200000762939499</v>
      </c>
      <c r="Q1937">
        <v>21.5</v>
      </c>
      <c r="R1937">
        <v>25.399999618530298</v>
      </c>
      <c r="S1937">
        <v>21.200000762939499</v>
      </c>
      <c r="T1937">
        <v>548</v>
      </c>
      <c r="U1937">
        <v>129</v>
      </c>
      <c r="V1937">
        <v>6</v>
      </c>
      <c r="W1937">
        <v>79</v>
      </c>
      <c r="X1937">
        <v>282</v>
      </c>
      <c r="Y1937">
        <v>24</v>
      </c>
      <c r="Z1937">
        <v>152</v>
      </c>
      <c r="AA1937">
        <v>29</v>
      </c>
      <c r="AB1937">
        <v>0.86580350106222603</v>
      </c>
      <c r="AC1937">
        <v>3.3830413045851999E-2</v>
      </c>
      <c r="AD1937">
        <v>1.01141805920684</v>
      </c>
      <c r="AE1937">
        <v>0.38797553652211197</v>
      </c>
      <c r="AF1937">
        <v>714.998245614035</v>
      </c>
      <c r="AG1937">
        <f>IFERROR(AH1937*0.1, "N/A")</f>
        <v>7.2670175438596507</v>
      </c>
      <c r="AH1937">
        <v>72.670175438596502</v>
      </c>
      <c r="AI1937">
        <v>210.45001333136301</v>
      </c>
      <c r="AJ1937">
        <v>40.335087719298301</v>
      </c>
      <c r="AK1937">
        <v>31.664912280701799</v>
      </c>
    </row>
    <row r="1938" spans="1:37" x14ac:dyDescent="0.3">
      <c r="A1938">
        <v>1937</v>
      </c>
      <c r="B1938">
        <v>43.5</v>
      </c>
      <c r="C1938">
        <v>37.603298000000002</v>
      </c>
      <c r="D1938">
        <v>-3.4835799999999999</v>
      </c>
      <c r="E1938" t="s">
        <v>3407</v>
      </c>
      <c r="F1938" t="s">
        <v>3414</v>
      </c>
      <c r="G1938" t="s">
        <v>37</v>
      </c>
      <c r="H1938">
        <v>2005</v>
      </c>
      <c r="I1938">
        <v>23.600000381469702</v>
      </c>
      <c r="J1938">
        <v>12.1000003814697</v>
      </c>
      <c r="K1938">
        <v>70</v>
      </c>
      <c r="L1938">
        <v>16.418771643387601</v>
      </c>
      <c r="M1938">
        <v>32.799999237060497</v>
      </c>
      <c r="N1938">
        <v>15.699999809265099</v>
      </c>
      <c r="O1938">
        <v>17.100000381469702</v>
      </c>
      <c r="P1938">
        <v>24.200000762939499</v>
      </c>
      <c r="Q1938">
        <v>21.399999618530298</v>
      </c>
      <c r="R1938">
        <v>25.399999618530298</v>
      </c>
      <c r="S1938">
        <v>21.200000762939499</v>
      </c>
      <c r="T1938">
        <v>547.35087719298201</v>
      </c>
      <c r="U1938">
        <v>127.17543859649101</v>
      </c>
      <c r="V1938">
        <v>6</v>
      </c>
      <c r="W1938">
        <v>78.587719298245602</v>
      </c>
      <c r="X1938">
        <v>279.35087719298201</v>
      </c>
      <c r="Y1938">
        <v>23</v>
      </c>
      <c r="Z1938">
        <v>154.58771929824599</v>
      </c>
      <c r="AA1938">
        <v>27</v>
      </c>
      <c r="AB1938">
        <v>0.55736062568530698</v>
      </c>
      <c r="AC1938">
        <v>0.36075639361025502</v>
      </c>
      <c r="AD1938">
        <v>1.0289561445252899</v>
      </c>
      <c r="AE1938">
        <v>0.36714456897032899</v>
      </c>
      <c r="AF1938">
        <v>708.21754385964903</v>
      </c>
      <c r="AG1938">
        <f>IFERROR(AH1938*0.1, "N/A")</f>
        <v>7.7</v>
      </c>
      <c r="AH1938">
        <v>77</v>
      </c>
      <c r="AI1938">
        <v>89.684210526315795</v>
      </c>
      <c r="AJ1938">
        <v>32</v>
      </c>
      <c r="AK1938">
        <v>41</v>
      </c>
    </row>
    <row r="1939" spans="1:37" x14ac:dyDescent="0.3">
      <c r="A1939">
        <v>1938</v>
      </c>
      <c r="B1939">
        <v>50.799999</v>
      </c>
      <c r="C1939">
        <v>37.396900000000002</v>
      </c>
      <c r="D1939">
        <v>-3.4597799999999999</v>
      </c>
      <c r="E1939" t="s">
        <v>3411</v>
      </c>
      <c r="F1939" t="s">
        <v>3415</v>
      </c>
      <c r="G1939" t="s">
        <v>37</v>
      </c>
      <c r="H1939">
        <v>2005</v>
      </c>
      <c r="I1939">
        <v>23.700000762939499</v>
      </c>
      <c r="J1939">
        <v>12.3999996185303</v>
      </c>
      <c r="K1939">
        <v>71</v>
      </c>
      <c r="L1939">
        <v>16.450000762939499</v>
      </c>
      <c r="M1939">
        <v>33.099998474121101</v>
      </c>
      <c r="N1939">
        <v>15.699999809265099</v>
      </c>
      <c r="O1939">
        <v>17.399999618530298</v>
      </c>
      <c r="P1939">
        <v>24.299999237060501</v>
      </c>
      <c r="Q1939">
        <v>21.600000381469702</v>
      </c>
      <c r="R1939">
        <v>25.5</v>
      </c>
      <c r="S1939">
        <v>21.299999237060501</v>
      </c>
      <c r="T1939">
        <v>599</v>
      </c>
      <c r="U1939">
        <v>174</v>
      </c>
      <c r="V1939">
        <v>8</v>
      </c>
      <c r="W1939">
        <v>91</v>
      </c>
      <c r="X1939">
        <v>340</v>
      </c>
      <c r="Y1939">
        <v>29</v>
      </c>
      <c r="Z1939">
        <v>158</v>
      </c>
      <c r="AA1939">
        <v>33</v>
      </c>
      <c r="AB1939">
        <v>0.64185329243514699</v>
      </c>
      <c r="AC1939">
        <v>0.25055494506055598</v>
      </c>
      <c r="AD1939">
        <v>1.3121875904487399</v>
      </c>
      <c r="AE1939">
        <v>0.50681788814882101</v>
      </c>
      <c r="AF1939">
        <v>724.07705779334503</v>
      </c>
      <c r="AG1939">
        <f>IFERROR(AH1939*0.1, "N/A")</f>
        <v>7.6220665499124296</v>
      </c>
      <c r="AH1939">
        <v>76.220665499124294</v>
      </c>
      <c r="AI1939">
        <v>244.758477633555</v>
      </c>
      <c r="AJ1939">
        <v>35</v>
      </c>
      <c r="AK1939">
        <v>39.779334500875699</v>
      </c>
    </row>
    <row r="1940" spans="1:37" x14ac:dyDescent="0.3">
      <c r="A1940">
        <v>1939</v>
      </c>
      <c r="B1940">
        <v>31.200001</v>
      </c>
      <c r="C1940">
        <v>37.430698</v>
      </c>
      <c r="D1940">
        <v>-3.4699599999999999</v>
      </c>
      <c r="E1940" t="s">
        <v>3416</v>
      </c>
      <c r="F1940" t="s">
        <v>3417</v>
      </c>
      <c r="G1940" t="s">
        <v>37</v>
      </c>
      <c r="H1940">
        <v>2005</v>
      </c>
      <c r="I1940">
        <v>23.700000762939499</v>
      </c>
      <c r="J1940">
        <v>12.300000190734901</v>
      </c>
      <c r="K1940">
        <v>70</v>
      </c>
      <c r="L1940">
        <v>17.0100002288818</v>
      </c>
      <c r="M1940">
        <v>33.099998474121101</v>
      </c>
      <c r="N1940">
        <v>15.699999809265099</v>
      </c>
      <c r="O1940">
        <v>17.399999618530298</v>
      </c>
      <c r="P1940">
        <v>24.299999237060501</v>
      </c>
      <c r="Q1940">
        <v>21.5</v>
      </c>
      <c r="R1940">
        <v>25.600000381469702</v>
      </c>
      <c r="S1940">
        <v>21.200000762939499</v>
      </c>
      <c r="T1940">
        <v>584</v>
      </c>
      <c r="U1940">
        <v>162</v>
      </c>
      <c r="V1940">
        <v>8</v>
      </c>
      <c r="W1940">
        <v>87</v>
      </c>
      <c r="X1940">
        <v>324</v>
      </c>
      <c r="Y1940">
        <v>28</v>
      </c>
      <c r="Z1940">
        <v>156</v>
      </c>
      <c r="AA1940">
        <v>33</v>
      </c>
      <c r="AB1940">
        <v>1.1787294199768901</v>
      </c>
      <c r="AC1940">
        <v>2.7640504131263999E-2</v>
      </c>
      <c r="AD1940">
        <v>0.44389680804501103</v>
      </c>
      <c r="AE1940">
        <v>0.45934277772903398</v>
      </c>
      <c r="AF1940">
        <v>716.46302816901402</v>
      </c>
      <c r="AG1940">
        <f>IFERROR(AH1940*0.1, "N/A")</f>
        <v>7</v>
      </c>
      <c r="AH1940">
        <v>70</v>
      </c>
      <c r="AI1940">
        <v>91.865862671758094</v>
      </c>
      <c r="AJ1940">
        <v>33.059859154929597</v>
      </c>
      <c r="AK1940">
        <v>43.940140845070403</v>
      </c>
    </row>
    <row r="1941" spans="1:37" x14ac:dyDescent="0.3">
      <c r="A1941">
        <v>1940</v>
      </c>
      <c r="B1941">
        <v>20</v>
      </c>
      <c r="C1941">
        <v>37.430698</v>
      </c>
      <c r="D1941">
        <v>-3.4699599999999999</v>
      </c>
      <c r="E1941" t="s">
        <v>3416</v>
      </c>
      <c r="F1941" t="s">
        <v>3418</v>
      </c>
      <c r="G1941" t="s">
        <v>39</v>
      </c>
      <c r="H1941">
        <v>2005</v>
      </c>
      <c r="I1941">
        <v>23.700000762939499</v>
      </c>
      <c r="J1941">
        <v>12.300000190734901</v>
      </c>
      <c r="K1941">
        <v>70</v>
      </c>
      <c r="L1941">
        <v>17.0100002288818</v>
      </c>
      <c r="M1941">
        <v>33.099998474121101</v>
      </c>
      <c r="N1941">
        <v>15.699999809265099</v>
      </c>
      <c r="O1941">
        <v>17.399999618530298</v>
      </c>
      <c r="P1941">
        <v>24.299999237060501</v>
      </c>
      <c r="Q1941">
        <v>21.5</v>
      </c>
      <c r="R1941">
        <v>25.600000381469702</v>
      </c>
      <c r="S1941">
        <v>21.200000762939499</v>
      </c>
      <c r="T1941">
        <v>584</v>
      </c>
      <c r="U1941">
        <v>162</v>
      </c>
      <c r="V1941">
        <v>8</v>
      </c>
      <c r="W1941">
        <v>87</v>
      </c>
      <c r="X1941">
        <v>324</v>
      </c>
      <c r="Y1941">
        <v>28</v>
      </c>
      <c r="Z1941">
        <v>156</v>
      </c>
      <c r="AA1941">
        <v>33</v>
      </c>
      <c r="AB1941">
        <v>1.1787294199768901</v>
      </c>
      <c r="AC1941">
        <v>2.7640504131263999E-2</v>
      </c>
      <c r="AD1941">
        <v>0.44389680804501103</v>
      </c>
      <c r="AE1941">
        <v>0.45934277772903398</v>
      </c>
      <c r="AF1941">
        <v>716.46302816901402</v>
      </c>
      <c r="AG1941">
        <f>IFERROR(AH1941*0.1, "N/A")</f>
        <v>7</v>
      </c>
      <c r="AH1941">
        <v>70</v>
      </c>
      <c r="AI1941">
        <v>91.865862671758094</v>
      </c>
      <c r="AJ1941">
        <v>33.059859154929597</v>
      </c>
      <c r="AK1941">
        <v>43.940140845070403</v>
      </c>
    </row>
    <row r="1942" spans="1:37" x14ac:dyDescent="0.3">
      <c r="A1942">
        <v>1941</v>
      </c>
      <c r="B1942">
        <v>0</v>
      </c>
      <c r="C1942">
        <v>39.326301999999998</v>
      </c>
      <c r="D1942">
        <v>-6.1388800000000003</v>
      </c>
      <c r="E1942" t="s">
        <v>3419</v>
      </c>
      <c r="F1942" t="s">
        <v>3420</v>
      </c>
      <c r="G1942" t="s">
        <v>37</v>
      </c>
      <c r="H1942">
        <v>1999</v>
      </c>
      <c r="I1942">
        <v>27.299999237060501</v>
      </c>
      <c r="J1942">
        <v>9</v>
      </c>
      <c r="K1942">
        <v>67</v>
      </c>
      <c r="L1942">
        <v>12.829999923706101</v>
      </c>
      <c r="M1942">
        <v>34.200000762939503</v>
      </c>
      <c r="N1942">
        <v>20.799999237060501</v>
      </c>
      <c r="O1942">
        <v>13.3999996185303</v>
      </c>
      <c r="P1942">
        <v>28</v>
      </c>
      <c r="Q1942">
        <v>25.600000381469702</v>
      </c>
      <c r="R1942">
        <v>28.899999618530298</v>
      </c>
      <c r="S1942">
        <v>25.600000381469702</v>
      </c>
      <c r="T1942">
        <v>1623</v>
      </c>
      <c r="U1942">
        <v>392</v>
      </c>
      <c r="V1942">
        <v>48</v>
      </c>
      <c r="W1942">
        <v>77</v>
      </c>
      <c r="X1942">
        <v>878</v>
      </c>
      <c r="Y1942">
        <v>160</v>
      </c>
      <c r="Z1942">
        <v>320</v>
      </c>
      <c r="AA1942">
        <v>160</v>
      </c>
      <c r="AB1942">
        <v>10.6456435266687</v>
      </c>
      <c r="AC1942">
        <v>0.13293174986373801</v>
      </c>
      <c r="AD1942">
        <v>1.6882815298718401</v>
      </c>
      <c r="AE1942">
        <v>0.339233487844467</v>
      </c>
      <c r="AF1942">
        <v>34.428571428571402</v>
      </c>
      <c r="AG1942">
        <f>IFERROR(AH1942*0.1, "N/A")</f>
        <v>5.5</v>
      </c>
      <c r="AH1942">
        <v>55</v>
      </c>
      <c r="AI1942">
        <v>138.532073429653</v>
      </c>
      <c r="AJ1942">
        <v>27.8989547038328</v>
      </c>
      <c r="AK1942">
        <v>55.1515679442509</v>
      </c>
    </row>
    <row r="1943" spans="1:37" x14ac:dyDescent="0.3">
      <c r="A1943">
        <v>1942</v>
      </c>
      <c r="B1943">
        <v>89.400002000000001</v>
      </c>
      <c r="C1943">
        <v>39.251899999999999</v>
      </c>
      <c r="D1943">
        <v>-6.0158300000000002</v>
      </c>
      <c r="E1943" t="s">
        <v>3421</v>
      </c>
      <c r="F1943" t="s">
        <v>3422</v>
      </c>
      <c r="G1943" t="s">
        <v>39</v>
      </c>
      <c r="H1943">
        <v>2005</v>
      </c>
      <c r="I1943">
        <v>27.299999237060501</v>
      </c>
      <c r="J1943">
        <v>9.3000001907348597</v>
      </c>
      <c r="K1943">
        <v>67</v>
      </c>
      <c r="L1943">
        <v>12.6599998474121</v>
      </c>
      <c r="M1943">
        <v>34.299999237060497</v>
      </c>
      <c r="N1943">
        <v>20.600000381469702</v>
      </c>
      <c r="O1943">
        <v>13.699999809265099</v>
      </c>
      <c r="P1943">
        <v>28</v>
      </c>
      <c r="Q1943">
        <v>25.600000381469702</v>
      </c>
      <c r="R1943">
        <v>28.899999618530298</v>
      </c>
      <c r="S1943">
        <v>25.600000381469702</v>
      </c>
      <c r="T1943">
        <v>1712</v>
      </c>
      <c r="U1943">
        <v>388</v>
      </c>
      <c r="V1943">
        <v>60</v>
      </c>
      <c r="W1943">
        <v>74</v>
      </c>
      <c r="X1943">
        <v>917</v>
      </c>
      <c r="Y1943">
        <v>184</v>
      </c>
      <c r="Z1943">
        <v>342</v>
      </c>
      <c r="AA1943">
        <v>184</v>
      </c>
      <c r="AB1943">
        <v>11.731825989433</v>
      </c>
      <c r="AC1943">
        <v>9.0931442104599993E-3</v>
      </c>
      <c r="AD1943">
        <v>2.06375864028931</v>
      </c>
      <c r="AE1943">
        <v>0.38903798144796597</v>
      </c>
      <c r="AF1943">
        <v>44.707826086956501</v>
      </c>
      <c r="AG1943">
        <f>IFERROR(AH1943*0.1, "N/A")</f>
        <v>5.4497391304347804</v>
      </c>
      <c r="AH1943">
        <v>54.497391304347801</v>
      </c>
      <c r="AI1943">
        <v>257.76062884786899</v>
      </c>
      <c r="AJ1943">
        <v>26.3547826086957</v>
      </c>
      <c r="AK1943">
        <v>55.493913043478301</v>
      </c>
    </row>
    <row r="1944" spans="1:37" x14ac:dyDescent="0.3">
      <c r="A1944">
        <v>1943</v>
      </c>
      <c r="B1944">
        <v>1.9</v>
      </c>
      <c r="C1944">
        <v>39.4617</v>
      </c>
      <c r="D1944">
        <v>-6.3783300000000001</v>
      </c>
      <c r="E1944" t="s">
        <v>3423</v>
      </c>
      <c r="F1944" t="s">
        <v>3424</v>
      </c>
      <c r="G1944" t="s">
        <v>39</v>
      </c>
      <c r="H1944">
        <v>2005</v>
      </c>
      <c r="I1944">
        <v>27.299999237060501</v>
      </c>
      <c r="J1944">
        <v>8.3999996185302699</v>
      </c>
      <c r="K1944">
        <v>67</v>
      </c>
      <c r="L1944">
        <v>12.789999961853001</v>
      </c>
      <c r="M1944">
        <v>33.599998474121101</v>
      </c>
      <c r="N1944">
        <v>21.200000762939499</v>
      </c>
      <c r="O1944">
        <v>12.3999996185303</v>
      </c>
      <c r="P1944">
        <v>27.899999618530298</v>
      </c>
      <c r="Q1944">
        <v>25.600000381469702</v>
      </c>
      <c r="R1944">
        <v>28.899999618530298</v>
      </c>
      <c r="S1944">
        <v>25.600000381469702</v>
      </c>
      <c r="T1944">
        <v>1422</v>
      </c>
      <c r="U1944">
        <v>388</v>
      </c>
      <c r="V1944">
        <v>28</v>
      </c>
      <c r="W1944">
        <v>90</v>
      </c>
      <c r="X1944">
        <v>833</v>
      </c>
      <c r="Y1944">
        <v>109</v>
      </c>
      <c r="Z1944">
        <v>280</v>
      </c>
      <c r="AA1944">
        <v>109</v>
      </c>
      <c r="AB1944">
        <v>16.201919472446399</v>
      </c>
      <c r="AC1944">
        <v>1.6102389045658E-2</v>
      </c>
      <c r="AD1944">
        <v>4.0686322741899597</v>
      </c>
      <c r="AE1944">
        <v>0.225032979203144</v>
      </c>
      <c r="AF1944">
        <v>33.006980802792299</v>
      </c>
      <c r="AG1944">
        <f>IFERROR(AH1944*0.1, "N/A")</f>
        <v>5.2801047120418803</v>
      </c>
      <c r="AH1944">
        <v>52.801047120418801</v>
      </c>
      <c r="AI1944">
        <v>108.56810245214299</v>
      </c>
      <c r="AJ1944">
        <v>29.366492146596901</v>
      </c>
      <c r="AK1944">
        <v>53.143106457242602</v>
      </c>
    </row>
    <row r="1945" spans="1:37" x14ac:dyDescent="0.3">
      <c r="A1945">
        <v>1944</v>
      </c>
      <c r="B1945">
        <v>38.400002000000001</v>
      </c>
      <c r="C1945">
        <v>33.266700999999998</v>
      </c>
      <c r="D1945">
        <v>-4.2166699999999997</v>
      </c>
      <c r="E1945" t="s">
        <v>3425</v>
      </c>
      <c r="F1945" t="s">
        <v>3426</v>
      </c>
      <c r="G1945" t="s">
        <v>39</v>
      </c>
      <c r="H1945">
        <v>1985</v>
      </c>
      <c r="I1945">
        <v>23.064147872120301</v>
      </c>
      <c r="J1945">
        <v>11.6000003814697</v>
      </c>
      <c r="K1945">
        <v>68</v>
      </c>
      <c r="L1945">
        <v>10.0139718868611</v>
      </c>
      <c r="M1945">
        <v>31.7534270127335</v>
      </c>
      <c r="N1945">
        <v>14.8131811346446</v>
      </c>
      <c r="O1945">
        <v>16.940245817750998</v>
      </c>
      <c r="P1945">
        <v>22.953426887364699</v>
      </c>
      <c r="Q1945">
        <v>21.953426887364699</v>
      </c>
      <c r="R1945">
        <v>24.4641474906506</v>
      </c>
      <c r="S1945">
        <v>21.866607575508699</v>
      </c>
      <c r="T1945">
        <v>821.42706502636202</v>
      </c>
      <c r="U1945">
        <v>155</v>
      </c>
      <c r="V1945">
        <v>0</v>
      </c>
      <c r="W1945">
        <v>85</v>
      </c>
      <c r="X1945">
        <v>398.35852372583503</v>
      </c>
      <c r="Y1945">
        <v>4</v>
      </c>
      <c r="Z1945">
        <v>132.23901581722299</v>
      </c>
      <c r="AA1945">
        <v>42</v>
      </c>
      <c r="AB1945">
        <v>8.7778464050829292</v>
      </c>
      <c r="AC1945">
        <v>7.3235509082387004E-2</v>
      </c>
      <c r="AD1945">
        <v>1.8487230468089599</v>
      </c>
      <c r="AE1945">
        <v>0.553164482116699</v>
      </c>
      <c r="AF1945">
        <v>1213.8242530755699</v>
      </c>
      <c r="AG1945">
        <f>IFERROR(AH1945*0.1, "N/A")</f>
        <v>5.8000000000000007</v>
      </c>
      <c r="AH1945">
        <v>58</v>
      </c>
      <c r="AI1945">
        <v>217.13740405969301</v>
      </c>
      <c r="AJ1945">
        <v>18.7170474516696</v>
      </c>
      <c r="AK1945">
        <v>70.2829525483304</v>
      </c>
    </row>
    <row r="1946" spans="1:37" x14ac:dyDescent="0.3">
      <c r="A1946">
        <v>1945</v>
      </c>
      <c r="B1946">
        <v>12.4</v>
      </c>
      <c r="C1946">
        <v>39.267502</v>
      </c>
      <c r="D1946">
        <v>-6.7620399999999998</v>
      </c>
      <c r="E1946" t="s">
        <v>3427</v>
      </c>
      <c r="F1946" t="s">
        <v>3428</v>
      </c>
      <c r="G1946" t="s">
        <v>39</v>
      </c>
      <c r="H1946">
        <v>1985</v>
      </c>
      <c r="I1946">
        <v>26.100000381469702</v>
      </c>
      <c r="J1946">
        <v>8.6999998092651403</v>
      </c>
      <c r="K1946">
        <v>66</v>
      </c>
      <c r="L1946">
        <v>14.7700004577637</v>
      </c>
      <c r="M1946">
        <v>32</v>
      </c>
      <c r="N1946">
        <v>19</v>
      </c>
      <c r="O1946">
        <v>13</v>
      </c>
      <c r="P1946">
        <v>26.799999237060501</v>
      </c>
      <c r="Q1946">
        <v>24.100000381469702</v>
      </c>
      <c r="R1946">
        <v>27.899999618530298</v>
      </c>
      <c r="S1946">
        <v>24.100000381469702</v>
      </c>
      <c r="T1946">
        <v>1061</v>
      </c>
      <c r="U1946">
        <v>246</v>
      </c>
      <c r="V1946">
        <v>23</v>
      </c>
      <c r="W1946">
        <v>73</v>
      </c>
      <c r="X1946">
        <v>550</v>
      </c>
      <c r="Y1946">
        <v>77</v>
      </c>
      <c r="Z1946">
        <v>271</v>
      </c>
      <c r="AA1946">
        <v>77</v>
      </c>
      <c r="AB1946">
        <v>2.7691100505009998</v>
      </c>
      <c r="AC1946">
        <v>0.77280760285676997</v>
      </c>
      <c r="AD1946">
        <v>1.10779794494103</v>
      </c>
      <c r="AE1946">
        <v>0.82279527187347401</v>
      </c>
      <c r="AF1946">
        <v>3.68062827225131</v>
      </c>
      <c r="AG1946">
        <f>IFERROR(AH1946*0.1, "N/A")</f>
        <v>6.5565445026178004</v>
      </c>
      <c r="AH1946">
        <v>65.565445026177997</v>
      </c>
      <c r="AI1946">
        <v>245.94313459412999</v>
      </c>
      <c r="AJ1946">
        <v>28.9424083769633</v>
      </c>
      <c r="AK1946">
        <v>53.680628272251298</v>
      </c>
    </row>
    <row r="1947" spans="1:37" x14ac:dyDescent="0.3">
      <c r="A1947">
        <v>1946</v>
      </c>
      <c r="B1947">
        <v>21.1</v>
      </c>
      <c r="C1947">
        <v>39.250301</v>
      </c>
      <c r="D1947">
        <v>-6.7860899999999997</v>
      </c>
      <c r="E1947" t="s">
        <v>3429</v>
      </c>
      <c r="F1947" t="s">
        <v>3430</v>
      </c>
      <c r="G1947" t="s">
        <v>39</v>
      </c>
      <c r="H1947">
        <v>1985</v>
      </c>
      <c r="I1947">
        <v>25.899999618530298</v>
      </c>
      <c r="J1947">
        <v>8.7305409379862606</v>
      </c>
      <c r="K1947">
        <v>65.305410122164005</v>
      </c>
      <c r="L1947">
        <v>15.3688652677686</v>
      </c>
      <c r="M1947">
        <v>31.899999618530298</v>
      </c>
      <c r="N1947">
        <v>18.700000762939499</v>
      </c>
      <c r="O1947">
        <v>13.199999809265099</v>
      </c>
      <c r="P1947">
        <v>26.600000381469702</v>
      </c>
      <c r="Q1947">
        <v>23.899999618530298</v>
      </c>
      <c r="R1947">
        <v>27.799999237060501</v>
      </c>
      <c r="S1947">
        <v>23.899999618530298</v>
      </c>
      <c r="T1947">
        <v>1080.3054101221601</v>
      </c>
      <c r="U1947">
        <v>258.61082024432801</v>
      </c>
      <c r="V1947">
        <v>23</v>
      </c>
      <c r="W1947">
        <v>74.305410122164005</v>
      </c>
      <c r="X1947">
        <v>566.61082024432801</v>
      </c>
      <c r="Y1947">
        <v>78</v>
      </c>
      <c r="Z1947">
        <v>273.69458987783599</v>
      </c>
      <c r="AA1947">
        <v>78</v>
      </c>
      <c r="AB1947">
        <v>2.4291446945430102</v>
      </c>
      <c r="AC1947">
        <v>1.0726249425706E-2</v>
      </c>
      <c r="AD1947">
        <v>0.81000319274100097</v>
      </c>
      <c r="AE1947">
        <v>0.91943454742431596</v>
      </c>
      <c r="AF1947">
        <v>21.202443280977299</v>
      </c>
      <c r="AG1947">
        <f>IFERROR(AH1947*0.1, "N/A")</f>
        <v>6.6439790575916211</v>
      </c>
      <c r="AH1947">
        <v>66.439790575916206</v>
      </c>
      <c r="AI1947">
        <v>145.70652463423599</v>
      </c>
      <c r="AJ1947">
        <v>30.8795811518325</v>
      </c>
      <c r="AK1947">
        <v>50.300174520069802</v>
      </c>
    </row>
    <row r="1948" spans="1:37" x14ac:dyDescent="0.3">
      <c r="A1948">
        <v>1947</v>
      </c>
      <c r="B1948">
        <v>14</v>
      </c>
      <c r="C1948">
        <v>39.255501000000002</v>
      </c>
      <c r="D1948">
        <v>-6.8024500000000003</v>
      </c>
      <c r="E1948" t="s">
        <v>3431</v>
      </c>
      <c r="F1948" t="s">
        <v>3432</v>
      </c>
      <c r="G1948" t="s">
        <v>39</v>
      </c>
      <c r="H1948">
        <v>1985</v>
      </c>
      <c r="I1948">
        <v>25.899999618530298</v>
      </c>
      <c r="J1948">
        <v>8.6999998092651403</v>
      </c>
      <c r="K1948">
        <v>65</v>
      </c>
      <c r="L1948">
        <v>15.3900003433228</v>
      </c>
      <c r="M1948">
        <v>31.799999237060501</v>
      </c>
      <c r="N1948">
        <v>18.600000381469702</v>
      </c>
      <c r="O1948">
        <v>13.199999809265099</v>
      </c>
      <c r="P1948">
        <v>26.600000381469702</v>
      </c>
      <c r="Q1948">
        <v>23.799999237060501</v>
      </c>
      <c r="R1948">
        <v>27.700000762939499</v>
      </c>
      <c r="S1948">
        <v>23.799999237060501</v>
      </c>
      <c r="T1948">
        <v>1092</v>
      </c>
      <c r="U1948">
        <v>263</v>
      </c>
      <c r="V1948">
        <v>23</v>
      </c>
      <c r="W1948">
        <v>75</v>
      </c>
      <c r="X1948">
        <v>572</v>
      </c>
      <c r="Y1948">
        <v>78</v>
      </c>
      <c r="Z1948">
        <v>279</v>
      </c>
      <c r="AA1948">
        <v>78</v>
      </c>
      <c r="AB1948">
        <v>9.4163763066202097</v>
      </c>
      <c r="AC1948">
        <v>3.2136422299653002E-2</v>
      </c>
      <c r="AD1948">
        <v>1.21389418175827</v>
      </c>
      <c r="AE1948">
        <v>0.90946914821551705</v>
      </c>
      <c r="AF1948">
        <v>20.306620209059201</v>
      </c>
      <c r="AG1948">
        <f>IFERROR(AH1948*0.1, "N/A")</f>
        <v>6.6000000000000005</v>
      </c>
      <c r="AH1948">
        <v>66</v>
      </c>
      <c r="AI1948">
        <v>85.232701411230593</v>
      </c>
      <c r="AJ1948">
        <v>32.895470383275303</v>
      </c>
      <c r="AK1948">
        <v>53</v>
      </c>
    </row>
    <row r="1949" spans="1:37" x14ac:dyDescent="0.3">
      <c r="A1949">
        <v>1948</v>
      </c>
      <c r="B1949">
        <v>14.7</v>
      </c>
      <c r="C1949">
        <v>39.257300999999998</v>
      </c>
      <c r="D1949">
        <v>-6.8027899999999999</v>
      </c>
      <c r="E1949" t="s">
        <v>3433</v>
      </c>
      <c r="F1949" t="s">
        <v>3434</v>
      </c>
      <c r="G1949" t="s">
        <v>39</v>
      </c>
      <c r="H1949">
        <v>1985</v>
      </c>
      <c r="I1949">
        <v>25.899999618530298</v>
      </c>
      <c r="J1949">
        <v>8.6999998092651403</v>
      </c>
      <c r="K1949">
        <v>65</v>
      </c>
      <c r="L1949">
        <v>15.3900003433228</v>
      </c>
      <c r="M1949">
        <v>31.799999237060501</v>
      </c>
      <c r="N1949">
        <v>18.600000381469702</v>
      </c>
      <c r="O1949">
        <v>13.199999809265099</v>
      </c>
      <c r="P1949">
        <v>26.600000381469702</v>
      </c>
      <c r="Q1949">
        <v>23.799999237060501</v>
      </c>
      <c r="R1949">
        <v>27.700000762939499</v>
      </c>
      <c r="S1949">
        <v>23.799999237060501</v>
      </c>
      <c r="T1949">
        <v>1092</v>
      </c>
      <c r="U1949">
        <v>263</v>
      </c>
      <c r="V1949">
        <v>23</v>
      </c>
      <c r="W1949">
        <v>75</v>
      </c>
      <c r="X1949">
        <v>572</v>
      </c>
      <c r="Y1949">
        <v>78</v>
      </c>
      <c r="Z1949">
        <v>279</v>
      </c>
      <c r="AA1949">
        <v>78</v>
      </c>
      <c r="AB1949">
        <v>11.8386761735125</v>
      </c>
      <c r="AC1949">
        <v>1.1402297808824E-2</v>
      </c>
      <c r="AD1949">
        <v>1.1330741421167001</v>
      </c>
      <c r="AE1949">
        <v>0.91418230139004597</v>
      </c>
      <c r="AF1949">
        <v>21.956445993031402</v>
      </c>
      <c r="AG1949">
        <f>IFERROR(AH1949*0.1, "N/A")</f>
        <v>6.7278745644599303</v>
      </c>
      <c r="AH1949">
        <v>67.278745644599297</v>
      </c>
      <c r="AI1949">
        <v>212.09368056453499</v>
      </c>
      <c r="AJ1949">
        <v>32.721254355400703</v>
      </c>
      <c r="AK1949">
        <v>50.639372822299599</v>
      </c>
    </row>
    <row r="1950" spans="1:37" x14ac:dyDescent="0.3">
      <c r="A1950">
        <v>1949</v>
      </c>
      <c r="B1950">
        <v>10.9</v>
      </c>
      <c r="C1950">
        <v>39.249599000000003</v>
      </c>
      <c r="D1950">
        <v>-6.8033099999999997</v>
      </c>
      <c r="E1950" t="s">
        <v>3435</v>
      </c>
      <c r="F1950" t="s">
        <v>3436</v>
      </c>
      <c r="G1950" t="s">
        <v>39</v>
      </c>
      <c r="H1950">
        <v>1985</v>
      </c>
      <c r="I1950">
        <v>25.811477541716201</v>
      </c>
      <c r="J1950">
        <v>8.7885218860792094</v>
      </c>
      <c r="K1950">
        <v>65.885217391304394</v>
      </c>
      <c r="L1950">
        <v>15.4254090052066</v>
      </c>
      <c r="M1950">
        <v>31.799999237060501</v>
      </c>
      <c r="N1950">
        <v>18.600000381469702</v>
      </c>
      <c r="O1950">
        <v>13.199999809265099</v>
      </c>
      <c r="P1950">
        <v>26.5114783046557</v>
      </c>
      <c r="Q1950">
        <v>23.799999237060501</v>
      </c>
      <c r="R1950">
        <v>27.700000762939499</v>
      </c>
      <c r="S1950">
        <v>23.799999237060501</v>
      </c>
      <c r="T1950">
        <v>1096.4260869565201</v>
      </c>
      <c r="U1950">
        <v>266.54086956521701</v>
      </c>
      <c r="V1950">
        <v>23</v>
      </c>
      <c r="W1950">
        <v>75.885217391304394</v>
      </c>
      <c r="X1950">
        <v>576.426086956522</v>
      </c>
      <c r="Y1950">
        <v>78.885217391304394</v>
      </c>
      <c r="Z1950">
        <v>276.34434782608702</v>
      </c>
      <c r="AA1950">
        <v>78.885217391304394</v>
      </c>
      <c r="AB1950">
        <v>3.7892182292109</v>
      </c>
      <c r="AC1950">
        <v>3.0899504322721E-2</v>
      </c>
      <c r="AD1950">
        <v>0.88028762672258498</v>
      </c>
      <c r="AE1950">
        <v>0.92823302745819103</v>
      </c>
      <c r="AF1950">
        <v>21.733913043478299</v>
      </c>
      <c r="AG1950">
        <f>IFERROR(AH1950*0.1, "N/A")</f>
        <v>6.7</v>
      </c>
      <c r="AH1950">
        <v>67</v>
      </c>
      <c r="AI1950">
        <v>172.87010563726</v>
      </c>
      <c r="AJ1950">
        <v>31.8939130434783</v>
      </c>
      <c r="AK1950">
        <v>53.203478260869602</v>
      </c>
    </row>
    <row r="1951" spans="1:37" x14ac:dyDescent="0.3">
      <c r="A1951">
        <v>1950</v>
      </c>
      <c r="B1951">
        <v>17.5</v>
      </c>
      <c r="C1951">
        <v>39.257198000000002</v>
      </c>
      <c r="D1951">
        <v>-6.8111499999999996</v>
      </c>
      <c r="E1951" t="s">
        <v>3437</v>
      </c>
      <c r="F1951" t="s">
        <v>3438</v>
      </c>
      <c r="G1951" t="s">
        <v>39</v>
      </c>
      <c r="H1951">
        <v>1985</v>
      </c>
      <c r="I1951">
        <v>25.799999237060501</v>
      </c>
      <c r="J1951">
        <v>8.6999998092651403</v>
      </c>
      <c r="K1951">
        <v>66</v>
      </c>
      <c r="L1951">
        <v>15.2399997711182</v>
      </c>
      <c r="M1951">
        <v>31.700000762939499</v>
      </c>
      <c r="N1951">
        <v>18.700000762939499</v>
      </c>
      <c r="O1951">
        <v>13</v>
      </c>
      <c r="P1951">
        <v>26.5</v>
      </c>
      <c r="Q1951">
        <v>23.899999618530298</v>
      </c>
      <c r="R1951">
        <v>27.700000762939499</v>
      </c>
      <c r="S1951">
        <v>23.899999618530298</v>
      </c>
      <c r="T1951">
        <v>1097</v>
      </c>
      <c r="U1951">
        <v>265</v>
      </c>
      <c r="V1951">
        <v>23</v>
      </c>
      <c r="W1951">
        <v>75</v>
      </c>
      <c r="X1951">
        <v>574</v>
      </c>
      <c r="Y1951">
        <v>79</v>
      </c>
      <c r="Z1951">
        <v>279</v>
      </c>
      <c r="AA1951">
        <v>79</v>
      </c>
      <c r="AB1951">
        <v>13.1500863183063</v>
      </c>
      <c r="AC1951">
        <v>1.2017090333545E-2</v>
      </c>
      <c r="AD1951">
        <v>1.2900114304086401</v>
      </c>
      <c r="AE1951">
        <v>0.92134986048159395</v>
      </c>
      <c r="AF1951">
        <v>21.9113043478261</v>
      </c>
      <c r="AG1951">
        <f>IFERROR(AH1951*0.1, "N/A")</f>
        <v>6.75947826086957</v>
      </c>
      <c r="AH1951">
        <v>67.594782608695695</v>
      </c>
      <c r="AI1951">
        <v>105.885940764054</v>
      </c>
      <c r="AJ1951">
        <v>26.815652173913001</v>
      </c>
      <c r="AK1951">
        <v>56.554782608695703</v>
      </c>
    </row>
    <row r="1952" spans="1:37" x14ac:dyDescent="0.3">
      <c r="A1952">
        <v>1951</v>
      </c>
      <c r="B1952">
        <v>15.7</v>
      </c>
      <c r="C1952">
        <v>39.250801000000003</v>
      </c>
      <c r="D1952">
        <v>-6.8291899999999996</v>
      </c>
      <c r="E1952" t="s">
        <v>3439</v>
      </c>
      <c r="F1952" t="s">
        <v>3440</v>
      </c>
      <c r="G1952" t="s">
        <v>39</v>
      </c>
      <c r="H1952">
        <v>1985</v>
      </c>
      <c r="I1952">
        <v>25.799999237060501</v>
      </c>
      <c r="J1952">
        <v>8.6999998092651403</v>
      </c>
      <c r="K1952">
        <v>65.977272727272705</v>
      </c>
      <c r="L1952">
        <v>15.3025001829321</v>
      </c>
      <c r="M1952">
        <v>31.702273455533099</v>
      </c>
      <c r="N1952">
        <v>18.697728026997002</v>
      </c>
      <c r="O1952">
        <v>13.0045454502106</v>
      </c>
      <c r="P1952">
        <v>26.5</v>
      </c>
      <c r="Q1952">
        <v>23.799999237060501</v>
      </c>
      <c r="R1952">
        <v>27.700000762939499</v>
      </c>
      <c r="S1952">
        <v>23.799999237060501</v>
      </c>
      <c r="T1952">
        <v>1103.95454545455</v>
      </c>
      <c r="U1952">
        <v>268.04545454545502</v>
      </c>
      <c r="V1952">
        <v>24</v>
      </c>
      <c r="W1952">
        <v>75.022727272727295</v>
      </c>
      <c r="X1952">
        <v>576.02272727272702</v>
      </c>
      <c r="Y1952">
        <v>80</v>
      </c>
      <c r="Z1952">
        <v>281.93181818181802</v>
      </c>
      <c r="AA1952">
        <v>80</v>
      </c>
      <c r="AB1952">
        <v>7.8982521387246898</v>
      </c>
      <c r="AC1952">
        <v>8.6368185523379992E-3</v>
      </c>
      <c r="AD1952">
        <v>2.5434063435434502</v>
      </c>
      <c r="AE1952">
        <v>0.9219509962347</v>
      </c>
      <c r="AF1952">
        <v>28</v>
      </c>
      <c r="AG1952">
        <f>IFERROR(AH1952*0.1, "N/A")</f>
        <v>6.5085664335664308</v>
      </c>
      <c r="AH1952">
        <v>65.085664335664305</v>
      </c>
      <c r="AI1952">
        <v>192.15244664012101</v>
      </c>
      <c r="AJ1952">
        <v>29.994755244755201</v>
      </c>
      <c r="AK1952">
        <v>54.027972027971998</v>
      </c>
    </row>
    <row r="1953" spans="1:37" x14ac:dyDescent="0.3">
      <c r="A1953">
        <v>1952</v>
      </c>
      <c r="B1953">
        <v>42.700001</v>
      </c>
      <c r="C1953">
        <v>39.227401999999998</v>
      </c>
      <c r="D1953">
        <v>-6.8305600000000002</v>
      </c>
      <c r="E1953" t="s">
        <v>3441</v>
      </c>
      <c r="F1953" t="s">
        <v>3442</v>
      </c>
      <c r="G1953" t="s">
        <v>39</v>
      </c>
      <c r="H1953">
        <v>1985</v>
      </c>
      <c r="I1953">
        <v>25.799999237060501</v>
      </c>
      <c r="J1953">
        <v>8.8000001907348597</v>
      </c>
      <c r="K1953">
        <v>66</v>
      </c>
      <c r="L1953">
        <v>14.920000076293899</v>
      </c>
      <c r="M1953">
        <v>31.799999237060501</v>
      </c>
      <c r="N1953">
        <v>18.600000381469702</v>
      </c>
      <c r="O1953">
        <v>13.199999809265099</v>
      </c>
      <c r="P1953">
        <v>26.399999618530298</v>
      </c>
      <c r="Q1953">
        <v>23.899999618530298</v>
      </c>
      <c r="R1953">
        <v>27.600000381469702</v>
      </c>
      <c r="S1953">
        <v>23.899999618530298</v>
      </c>
      <c r="T1953">
        <v>1106</v>
      </c>
      <c r="U1953">
        <v>274</v>
      </c>
      <c r="V1953">
        <v>24</v>
      </c>
      <c r="W1953">
        <v>76</v>
      </c>
      <c r="X1953">
        <v>583</v>
      </c>
      <c r="Y1953">
        <v>80</v>
      </c>
      <c r="Z1953">
        <v>276</v>
      </c>
      <c r="AA1953">
        <v>80</v>
      </c>
      <c r="AB1953">
        <v>12.9121961028734</v>
      </c>
      <c r="AC1953">
        <v>4.1983547709713999E-2</v>
      </c>
      <c r="AD1953">
        <v>2.4086286894951101</v>
      </c>
      <c r="AE1953">
        <v>0.93256044387817405</v>
      </c>
      <c r="AF1953">
        <v>33.958188153310097</v>
      </c>
      <c r="AG1953">
        <f>IFERROR(AH1953*0.1, "N/A")</f>
        <v>6.7939024390243903</v>
      </c>
      <c r="AH1953">
        <v>67.939024390243901</v>
      </c>
      <c r="AI1953">
        <v>101.59737996689501</v>
      </c>
      <c r="AJ1953">
        <v>24.939024390243901</v>
      </c>
      <c r="AK1953">
        <v>62</v>
      </c>
    </row>
    <row r="1954" spans="1:37" x14ac:dyDescent="0.3">
      <c r="A1954">
        <v>1953</v>
      </c>
      <c r="B1954">
        <v>5.3</v>
      </c>
      <c r="C1954">
        <v>39.276501000000003</v>
      </c>
      <c r="D1954">
        <v>-6.8382199999999997</v>
      </c>
      <c r="E1954" t="s">
        <v>3443</v>
      </c>
      <c r="F1954" t="s">
        <v>3444</v>
      </c>
      <c r="G1954" t="s">
        <v>39</v>
      </c>
      <c r="H1954">
        <v>1985</v>
      </c>
      <c r="I1954">
        <v>25.799999237060501</v>
      </c>
      <c r="J1954">
        <v>8.5</v>
      </c>
      <c r="K1954">
        <v>66</v>
      </c>
      <c r="L1954">
        <v>14.9899997711182</v>
      </c>
      <c r="M1954">
        <v>31.600000381469702</v>
      </c>
      <c r="N1954">
        <v>18.799999237060501</v>
      </c>
      <c r="O1954">
        <v>12.800000190734901</v>
      </c>
      <c r="P1954">
        <v>26.600000381469702</v>
      </c>
      <c r="Q1954">
        <v>23.799999237060501</v>
      </c>
      <c r="R1954">
        <v>27.600000381469702</v>
      </c>
      <c r="S1954">
        <v>23.799999237060501</v>
      </c>
      <c r="T1954">
        <v>1098</v>
      </c>
      <c r="U1954">
        <v>255</v>
      </c>
      <c r="V1954">
        <v>24</v>
      </c>
      <c r="W1954">
        <v>73</v>
      </c>
      <c r="X1954">
        <v>563</v>
      </c>
      <c r="Y1954">
        <v>80</v>
      </c>
      <c r="Z1954">
        <v>289</v>
      </c>
      <c r="AA1954">
        <v>80</v>
      </c>
      <c r="AB1954">
        <v>1.93379801241778</v>
      </c>
      <c r="AC1954">
        <v>2.5989837341971098</v>
      </c>
      <c r="AD1954">
        <v>4.0221510186843297</v>
      </c>
      <c r="AE1954">
        <v>0.93396900869412702</v>
      </c>
      <c r="AF1954">
        <v>11.9651567944251</v>
      </c>
      <c r="AG1954">
        <f>IFERROR(AH1954*0.1, "N/A")</f>
        <v>6.6386759581881511</v>
      </c>
      <c r="AH1954">
        <v>66.386759581881506</v>
      </c>
      <c r="AI1954">
        <v>221.16570043397701</v>
      </c>
      <c r="AJ1954">
        <v>32.301393728222997</v>
      </c>
      <c r="AK1954">
        <v>49.862369337979104</v>
      </c>
    </row>
    <row r="1955" spans="1:37" x14ac:dyDescent="0.3">
      <c r="A1955">
        <v>1954</v>
      </c>
      <c r="B1955">
        <v>12.6</v>
      </c>
      <c r="C1955">
        <v>39.258701000000002</v>
      </c>
      <c r="D1955">
        <v>-6.8624499999999999</v>
      </c>
      <c r="E1955" t="s">
        <v>3445</v>
      </c>
      <c r="F1955" t="s">
        <v>3446</v>
      </c>
      <c r="G1955" t="s">
        <v>39</v>
      </c>
      <c r="H1955">
        <v>1985</v>
      </c>
      <c r="I1955">
        <v>25.700000762939499</v>
      </c>
      <c r="J1955">
        <v>8.6088853480508494</v>
      </c>
      <c r="K1955">
        <v>66</v>
      </c>
      <c r="L1955">
        <v>14.830435919014</v>
      </c>
      <c r="M1955">
        <v>31.600000381469702</v>
      </c>
      <c r="N1955">
        <v>18.600000381469702</v>
      </c>
      <c r="O1955">
        <v>13</v>
      </c>
      <c r="P1955">
        <v>26.5</v>
      </c>
      <c r="Q1955">
        <v>23.791114355213601</v>
      </c>
      <c r="R1955">
        <v>27.5</v>
      </c>
      <c r="S1955">
        <v>23.791114355213601</v>
      </c>
      <c r="T1955">
        <v>1110.0888501742199</v>
      </c>
      <c r="U1955">
        <v>268.17770034843198</v>
      </c>
      <c r="V1955">
        <v>24</v>
      </c>
      <c r="W1955">
        <v>75</v>
      </c>
      <c r="X1955">
        <v>575.17770034843204</v>
      </c>
      <c r="Y1955">
        <v>81</v>
      </c>
      <c r="Z1955">
        <v>283.82229965156802</v>
      </c>
      <c r="AA1955">
        <v>81</v>
      </c>
      <c r="AB1955">
        <v>5.6939027101736004</v>
      </c>
      <c r="AC1955">
        <v>3.3418941900511E-2</v>
      </c>
      <c r="AD1955">
        <v>1.95049750389538</v>
      </c>
      <c r="AE1955">
        <v>0.92682915925979603</v>
      </c>
      <c r="AF1955">
        <v>37.839721254355403</v>
      </c>
      <c r="AG1955">
        <f>IFERROR(AH1955*0.1, "N/A")</f>
        <v>6.6937282229965209</v>
      </c>
      <c r="AH1955">
        <v>66.937282229965206</v>
      </c>
      <c r="AI1955">
        <v>56.164036345398799</v>
      </c>
      <c r="AJ1955">
        <v>27.973867595818799</v>
      </c>
      <c r="AK1955">
        <v>54.796167247386798</v>
      </c>
    </row>
    <row r="1956" spans="1:37" x14ac:dyDescent="0.3">
      <c r="A1956">
        <v>1955</v>
      </c>
      <c r="B1956">
        <v>16.200001</v>
      </c>
      <c r="C1956">
        <v>39.272202</v>
      </c>
      <c r="D1956">
        <v>-6.8744399999999999</v>
      </c>
      <c r="E1956" t="s">
        <v>3447</v>
      </c>
      <c r="F1956" t="s">
        <v>3448</v>
      </c>
      <c r="G1956" t="s">
        <v>39</v>
      </c>
      <c r="H1956">
        <v>1985</v>
      </c>
      <c r="I1956">
        <v>25.7185644026187</v>
      </c>
      <c r="J1956">
        <v>8.5814363877117703</v>
      </c>
      <c r="K1956">
        <v>65.814360770577906</v>
      </c>
      <c r="L1956">
        <v>14.7821017397264</v>
      </c>
      <c r="M1956">
        <v>31.600000381469702</v>
      </c>
      <c r="N1956">
        <v>18.700000762939499</v>
      </c>
      <c r="O1956">
        <v>12.8999996185303</v>
      </c>
      <c r="P1956">
        <v>26.5</v>
      </c>
      <c r="Q1956">
        <v>23.799999237060501</v>
      </c>
      <c r="R1956">
        <v>27.518563993758001</v>
      </c>
      <c r="S1956">
        <v>23.799999237060501</v>
      </c>
      <c r="T1956">
        <v>1113</v>
      </c>
      <c r="U1956">
        <v>266.18563922942201</v>
      </c>
      <c r="V1956">
        <v>24</v>
      </c>
      <c r="W1956">
        <v>74</v>
      </c>
      <c r="X1956">
        <v>575</v>
      </c>
      <c r="Y1956">
        <v>81</v>
      </c>
      <c r="Z1956">
        <v>286.81436077057799</v>
      </c>
      <c r="AA1956">
        <v>81</v>
      </c>
      <c r="AB1956">
        <v>24.251312957336101</v>
      </c>
      <c r="AC1956">
        <v>2.5566973829489002E-2</v>
      </c>
      <c r="AD1956">
        <v>3.18492248513444</v>
      </c>
      <c r="AE1956">
        <v>0.87416198249456101</v>
      </c>
      <c r="AF1956">
        <v>29.173380035026302</v>
      </c>
      <c r="AG1956">
        <f>IFERROR(AH1956*0.1, "N/A")</f>
        <v>6.5821366024518397</v>
      </c>
      <c r="AH1956">
        <v>65.821366024518397</v>
      </c>
      <c r="AI1956">
        <v>70.830686519108397</v>
      </c>
      <c r="AJ1956">
        <v>27.992994746059502</v>
      </c>
      <c r="AK1956">
        <v>55.789842381786301</v>
      </c>
    </row>
    <row r="1957" spans="1:37" x14ac:dyDescent="0.3">
      <c r="A1957">
        <v>1956</v>
      </c>
      <c r="B1957">
        <v>33.099997999999999</v>
      </c>
      <c r="C1957">
        <v>39.2453</v>
      </c>
      <c r="D1957">
        <v>-6.8110799999999996</v>
      </c>
      <c r="E1957" t="s">
        <v>3449</v>
      </c>
      <c r="F1957" t="s">
        <v>3450</v>
      </c>
      <c r="G1957" t="s">
        <v>39</v>
      </c>
      <c r="H1957">
        <v>1986</v>
      </c>
      <c r="I1957">
        <v>25.799999237060501</v>
      </c>
      <c r="J1957">
        <v>8.8000001907348597</v>
      </c>
      <c r="K1957">
        <v>66</v>
      </c>
      <c r="L1957">
        <v>15.3900003433228</v>
      </c>
      <c r="M1957">
        <v>31.799999237060501</v>
      </c>
      <c r="N1957">
        <v>18.600000381469702</v>
      </c>
      <c r="O1957">
        <v>13.199999809265099</v>
      </c>
      <c r="P1957">
        <v>26.5</v>
      </c>
      <c r="Q1957">
        <v>23.799999237060501</v>
      </c>
      <c r="R1957">
        <v>27.700000762939499</v>
      </c>
      <c r="S1957">
        <v>23.799999237060501</v>
      </c>
      <c r="T1957">
        <v>1098</v>
      </c>
      <c r="U1957">
        <v>268</v>
      </c>
      <c r="V1957">
        <v>23</v>
      </c>
      <c r="W1957">
        <v>76</v>
      </c>
      <c r="X1957">
        <v>577</v>
      </c>
      <c r="Y1957">
        <v>79</v>
      </c>
      <c r="Z1957">
        <v>277</v>
      </c>
      <c r="AA1957">
        <v>79</v>
      </c>
      <c r="AB1957">
        <v>4.4527877465357797</v>
      </c>
      <c r="AC1957">
        <v>0.20111190762617401</v>
      </c>
      <c r="AD1957">
        <v>1.9784368978560201</v>
      </c>
      <c r="AE1957">
        <v>0.92618704776730698</v>
      </c>
      <c r="AF1957">
        <v>18.121951219512201</v>
      </c>
      <c r="AG1957">
        <f>IFERROR(AH1957*0.1, "N/A")</f>
        <v>6.77473867595819</v>
      </c>
      <c r="AH1957">
        <v>67.7473867595819</v>
      </c>
      <c r="AI1957">
        <v>146.010785916956</v>
      </c>
      <c r="AJ1957">
        <v>29.127177700348401</v>
      </c>
      <c r="AK1957">
        <v>55.836236933797899</v>
      </c>
    </row>
    <row r="1958" spans="1:37" x14ac:dyDescent="0.3">
      <c r="A1958">
        <v>1957</v>
      </c>
      <c r="B1958">
        <v>54.5</v>
      </c>
      <c r="C1958">
        <v>39.227798</v>
      </c>
      <c r="D1958">
        <v>-6.8146100000000001</v>
      </c>
      <c r="E1958" t="s">
        <v>3451</v>
      </c>
      <c r="F1958" t="s">
        <v>3452</v>
      </c>
      <c r="G1958" t="s">
        <v>39</v>
      </c>
      <c r="H1958">
        <v>1986</v>
      </c>
      <c r="I1958">
        <v>25.799999237060501</v>
      </c>
      <c r="J1958">
        <v>8.8999996185302699</v>
      </c>
      <c r="K1958">
        <v>67</v>
      </c>
      <c r="L1958">
        <v>15.1000003814697</v>
      </c>
      <c r="M1958">
        <v>31.799999237060501</v>
      </c>
      <c r="N1958">
        <v>18.600000381469702</v>
      </c>
      <c r="O1958">
        <v>13.199999809265099</v>
      </c>
      <c r="P1958">
        <v>26.5</v>
      </c>
      <c r="Q1958">
        <v>23.799999237060501</v>
      </c>
      <c r="R1958">
        <v>27.600000381469702</v>
      </c>
      <c r="S1958">
        <v>23.799999237060501</v>
      </c>
      <c r="T1958">
        <v>1103</v>
      </c>
      <c r="U1958">
        <v>274</v>
      </c>
      <c r="V1958">
        <v>23</v>
      </c>
      <c r="W1958">
        <v>77</v>
      </c>
      <c r="X1958">
        <v>584</v>
      </c>
      <c r="Y1958">
        <v>79</v>
      </c>
      <c r="Z1958">
        <v>275</v>
      </c>
      <c r="AA1958">
        <v>79</v>
      </c>
      <c r="AB1958">
        <v>8.7561962101055908</v>
      </c>
      <c r="AC1958">
        <v>8.4886697850739996E-3</v>
      </c>
      <c r="AD1958">
        <v>1.4512462578518801</v>
      </c>
      <c r="AE1958">
        <v>0.93553334474563599</v>
      </c>
      <c r="AF1958">
        <v>30.717277486911001</v>
      </c>
      <c r="AG1958">
        <f>IFERROR(AH1958*0.1, "N/A")</f>
        <v>6.9</v>
      </c>
      <c r="AH1958">
        <v>69</v>
      </c>
      <c r="AI1958">
        <v>211.559839618144</v>
      </c>
      <c r="AJ1958">
        <v>29</v>
      </c>
      <c r="AK1958">
        <v>56</v>
      </c>
    </row>
    <row r="1959" spans="1:37" x14ac:dyDescent="0.3">
      <c r="A1959">
        <v>1958</v>
      </c>
      <c r="B1959">
        <v>28.9</v>
      </c>
      <c r="C1959">
        <v>39.257998999999998</v>
      </c>
      <c r="D1959">
        <v>-6.8168600000000001</v>
      </c>
      <c r="E1959" t="s">
        <v>3453</v>
      </c>
      <c r="F1959" t="s">
        <v>3454</v>
      </c>
      <c r="G1959" t="s">
        <v>39</v>
      </c>
      <c r="H1959">
        <v>1986</v>
      </c>
      <c r="I1959">
        <v>25.882547544975299</v>
      </c>
      <c r="J1959">
        <v>8.6649214759546993</v>
      </c>
      <c r="K1959">
        <v>66</v>
      </c>
      <c r="L1959">
        <v>15.2774692472155</v>
      </c>
      <c r="M1959">
        <v>31.7825474963762</v>
      </c>
      <c r="N1959">
        <v>18.7825474963762</v>
      </c>
      <c r="O1959">
        <v>13</v>
      </c>
      <c r="P1959">
        <v>26.617626975760199</v>
      </c>
      <c r="Q1959">
        <v>23.899999618530298</v>
      </c>
      <c r="R1959">
        <v>27.7760902291609</v>
      </c>
      <c r="S1959">
        <v>23.899999618530298</v>
      </c>
      <c r="T1959">
        <v>1094.4851657940701</v>
      </c>
      <c r="U1959">
        <v>263.246073298429</v>
      </c>
      <c r="V1959">
        <v>23</v>
      </c>
      <c r="W1959">
        <v>74.935427574171001</v>
      </c>
      <c r="X1959">
        <v>570.59511343804502</v>
      </c>
      <c r="Y1959">
        <v>78.713787085514795</v>
      </c>
      <c r="Z1959">
        <v>280.52705061082003</v>
      </c>
      <c r="AA1959">
        <v>78.713787085514795</v>
      </c>
      <c r="AB1959">
        <v>4.9851654437199899</v>
      </c>
      <c r="AC1959">
        <v>8.4886284590570005E-3</v>
      </c>
      <c r="AD1959">
        <v>2.2728473865549002</v>
      </c>
      <c r="AE1959">
        <v>0.92573487758636497</v>
      </c>
      <c r="AF1959">
        <v>13.022687609075</v>
      </c>
      <c r="AG1959">
        <f>IFERROR(AH1959*0.1, "N/A")</f>
        <v>6.6200698080279201</v>
      </c>
      <c r="AH1959">
        <v>66.200698080279196</v>
      </c>
      <c r="AI1959">
        <v>90.797244586245597</v>
      </c>
      <c r="AJ1959">
        <v>27.322862129144799</v>
      </c>
      <c r="AK1959">
        <v>58.326352530541001</v>
      </c>
    </row>
    <row r="1960" spans="1:37" x14ac:dyDescent="0.3">
      <c r="A1960">
        <v>1959</v>
      </c>
      <c r="B1960">
        <v>61.900002000000001</v>
      </c>
      <c r="C1960">
        <v>39.799999</v>
      </c>
      <c r="D1960">
        <v>-5.3</v>
      </c>
      <c r="E1960" t="s">
        <v>3455</v>
      </c>
      <c r="F1960" t="s">
        <v>3456</v>
      </c>
      <c r="G1960" t="s">
        <v>39</v>
      </c>
      <c r="H1960">
        <v>1990</v>
      </c>
      <c r="I1960">
        <v>25.883971682824299</v>
      </c>
      <c r="J1960">
        <v>8.32055756439315</v>
      </c>
      <c r="K1960">
        <v>65.932055749128907</v>
      </c>
      <c r="L1960">
        <v>12.7922823038666</v>
      </c>
      <c r="M1960">
        <v>32.127351016533098</v>
      </c>
      <c r="N1960">
        <v>19.600000381469702</v>
      </c>
      <c r="O1960">
        <v>12.5273520207156</v>
      </c>
      <c r="P1960">
        <v>26.627352402185299</v>
      </c>
      <c r="Q1960">
        <v>24.100000381469702</v>
      </c>
      <c r="R1960">
        <v>27.347908827485899</v>
      </c>
      <c r="S1960">
        <v>24.100000381469702</v>
      </c>
      <c r="T1960">
        <v>1304.5766550522601</v>
      </c>
      <c r="U1960">
        <v>294.44250871080101</v>
      </c>
      <c r="V1960">
        <v>19.1602787456446</v>
      </c>
      <c r="W1960">
        <v>78.599303135888505</v>
      </c>
      <c r="X1960">
        <v>692.76480836236897</v>
      </c>
      <c r="Y1960">
        <v>82.120209059233403</v>
      </c>
      <c r="Z1960">
        <v>289.99477351916403</v>
      </c>
      <c r="AA1960">
        <v>82.120209059233403</v>
      </c>
      <c r="AB1960">
        <v>8.3630660003901394</v>
      </c>
      <c r="AC1960">
        <v>8.5713575684989995E-3</v>
      </c>
      <c r="AD1960">
        <v>1.8719202772250201</v>
      </c>
      <c r="AE1960">
        <v>0.55518287420272805</v>
      </c>
      <c r="AF1960">
        <v>20.641114982578401</v>
      </c>
      <c r="AG1960">
        <f>IFERROR(AH1960*0.1, "N/A")</f>
        <v>6.0634146341463406</v>
      </c>
      <c r="AH1960">
        <v>60.634146341463399</v>
      </c>
      <c r="AI1960">
        <v>146.93357568667699</v>
      </c>
      <c r="AJ1960">
        <v>26.364111498257799</v>
      </c>
      <c r="AK1960">
        <v>58.536585365853703</v>
      </c>
    </row>
    <row r="1961" spans="1:37" x14ac:dyDescent="0.3">
      <c r="A1961">
        <v>1960</v>
      </c>
      <c r="B1961">
        <v>41.400002000000001</v>
      </c>
      <c r="C1961">
        <v>39.851799</v>
      </c>
      <c r="D1961">
        <v>-4.9808199999999996</v>
      </c>
      <c r="E1961" t="s">
        <v>3457</v>
      </c>
      <c r="F1961" t="s">
        <v>3458</v>
      </c>
      <c r="G1961" t="s">
        <v>39</v>
      </c>
      <c r="H1961">
        <v>1989</v>
      </c>
      <c r="I1961">
        <v>25.600000381469702</v>
      </c>
      <c r="J1961">
        <v>8.1999998092651403</v>
      </c>
      <c r="K1961">
        <v>66</v>
      </c>
      <c r="L1961">
        <v>12.810000419616699</v>
      </c>
      <c r="M1961">
        <v>31.799999237060501</v>
      </c>
      <c r="N1961">
        <v>19.5</v>
      </c>
      <c r="O1961">
        <v>12.300000190734901</v>
      </c>
      <c r="P1961">
        <v>26.399999618530298</v>
      </c>
      <c r="Q1961">
        <v>23.899999618530298</v>
      </c>
      <c r="R1961">
        <v>27.100000381469702</v>
      </c>
      <c r="S1961">
        <v>23.899999618530298</v>
      </c>
      <c r="T1961">
        <v>1520</v>
      </c>
      <c r="U1961">
        <v>347</v>
      </c>
      <c r="V1961">
        <v>37</v>
      </c>
      <c r="W1961">
        <v>81</v>
      </c>
      <c r="X1961">
        <v>808</v>
      </c>
      <c r="Y1961">
        <v>161</v>
      </c>
      <c r="Z1961">
        <v>227</v>
      </c>
      <c r="AA1961">
        <v>161</v>
      </c>
      <c r="AB1961">
        <v>0.484763573431092</v>
      </c>
      <c r="AC1961">
        <v>0.178572825363294</v>
      </c>
      <c r="AD1961">
        <v>1.44510452039605</v>
      </c>
      <c r="AE1961">
        <v>0.44154745340347301</v>
      </c>
      <c r="AF1961">
        <v>2.5586690017513098</v>
      </c>
      <c r="AG1961">
        <f>IFERROR(AH1961*0.1, "N/A")</f>
        <v>6.5318739054290704</v>
      </c>
      <c r="AH1961">
        <v>65.318739054290702</v>
      </c>
      <c r="AI1961">
        <v>174.703212277067</v>
      </c>
      <c r="AJ1961">
        <v>23.747810858143598</v>
      </c>
      <c r="AK1961">
        <v>61.756567425569202</v>
      </c>
    </row>
    <row r="1962" spans="1:37" x14ac:dyDescent="0.3">
      <c r="A1962">
        <v>1961</v>
      </c>
      <c r="B1962">
        <v>51.299999</v>
      </c>
      <c r="C1962">
        <v>39.729197999999997</v>
      </c>
      <c r="D1962">
        <v>-5.0559799999999999</v>
      </c>
      <c r="E1962" t="s">
        <v>3459</v>
      </c>
      <c r="F1962" t="s">
        <v>3460</v>
      </c>
      <c r="G1962" t="s">
        <v>39</v>
      </c>
      <c r="H1962">
        <v>1989</v>
      </c>
      <c r="I1962">
        <v>25.299999237060501</v>
      </c>
      <c r="J1962">
        <v>8.3999996185302699</v>
      </c>
      <c r="K1962">
        <v>66</v>
      </c>
      <c r="L1962">
        <v>13.069999694824199</v>
      </c>
      <c r="M1962">
        <v>31.700000762939499</v>
      </c>
      <c r="N1962">
        <v>19</v>
      </c>
      <c r="O1962">
        <v>12.699999809265099</v>
      </c>
      <c r="P1962">
        <v>26.100000381469702</v>
      </c>
      <c r="Q1962">
        <v>23.5</v>
      </c>
      <c r="R1962">
        <v>26.799999237060501</v>
      </c>
      <c r="S1962">
        <v>23.5</v>
      </c>
      <c r="T1962">
        <v>1714</v>
      </c>
      <c r="U1962">
        <v>411</v>
      </c>
      <c r="V1962">
        <v>37</v>
      </c>
      <c r="W1962">
        <v>84</v>
      </c>
      <c r="X1962">
        <v>927</v>
      </c>
      <c r="Y1962">
        <v>166</v>
      </c>
      <c r="Z1962">
        <v>254</v>
      </c>
      <c r="AA1962">
        <v>166</v>
      </c>
      <c r="AB1962">
        <v>38.192307715649399</v>
      </c>
      <c r="AC1962">
        <v>1.0807838566093001E-2</v>
      </c>
      <c r="AD1962">
        <v>2.4364476564464002</v>
      </c>
      <c r="AE1962">
        <v>0.68722121365420497</v>
      </c>
      <c r="AF1962">
        <v>54.031468531468498</v>
      </c>
      <c r="AG1962">
        <f>IFERROR(AH1962*0.1, "N/A")</f>
        <v>5.2</v>
      </c>
      <c r="AH1962">
        <v>52</v>
      </c>
      <c r="AI1962">
        <v>84.889055675559902</v>
      </c>
      <c r="AJ1962">
        <v>27.776223776223802</v>
      </c>
      <c r="AK1962">
        <v>51.447552447552503</v>
      </c>
    </row>
    <row r="1963" spans="1:37" x14ac:dyDescent="0.3">
      <c r="A1963">
        <v>1962</v>
      </c>
      <c r="B1963">
        <v>62.700001</v>
      </c>
      <c r="C1963">
        <v>39.766700999999998</v>
      </c>
      <c r="D1963">
        <v>-5.2458400000000003</v>
      </c>
      <c r="E1963" t="s">
        <v>3461</v>
      </c>
      <c r="F1963" t="s">
        <v>3462</v>
      </c>
      <c r="G1963" t="s">
        <v>39</v>
      </c>
      <c r="H1963">
        <v>1989</v>
      </c>
      <c r="I1963" t="s">
        <v>729</v>
      </c>
      <c r="J1963" t="s">
        <v>729</v>
      </c>
      <c r="K1963" t="s">
        <v>729</v>
      </c>
      <c r="L1963" t="s">
        <v>729</v>
      </c>
      <c r="M1963" t="s">
        <v>729</v>
      </c>
      <c r="N1963" t="s">
        <v>729</v>
      </c>
      <c r="O1963" t="s">
        <v>729</v>
      </c>
      <c r="P1963" t="s">
        <v>729</v>
      </c>
      <c r="Q1963" t="s">
        <v>729</v>
      </c>
      <c r="R1963" t="s">
        <v>729</v>
      </c>
      <c r="S1963" t="s">
        <v>729</v>
      </c>
      <c r="T1963" t="s">
        <v>729</v>
      </c>
      <c r="U1963" t="s">
        <v>729</v>
      </c>
      <c r="V1963" t="s">
        <v>729</v>
      </c>
      <c r="W1963" t="s">
        <v>729</v>
      </c>
      <c r="X1963" t="s">
        <v>729</v>
      </c>
      <c r="Y1963" t="s">
        <v>729</v>
      </c>
      <c r="Z1963" t="s">
        <v>729</v>
      </c>
      <c r="AA1963" t="s">
        <v>729</v>
      </c>
      <c r="AB1963">
        <v>15.074912742146299</v>
      </c>
      <c r="AC1963">
        <v>2.3537078731807999E-2</v>
      </c>
      <c r="AD1963">
        <v>5.3724944219254596</v>
      </c>
      <c r="AE1963">
        <v>0.59190452098846402</v>
      </c>
      <c r="AF1963">
        <v>19.214035087719299</v>
      </c>
      <c r="AG1963">
        <f>IFERROR(AH1963*0.1, "N/A")</f>
        <v>5.0315789473684198</v>
      </c>
      <c r="AH1963">
        <v>50.315789473684198</v>
      </c>
      <c r="AI1963">
        <v>265.10846852085098</v>
      </c>
      <c r="AJ1963">
        <v>32.526315789473699</v>
      </c>
      <c r="AK1963">
        <v>46.315789473684198</v>
      </c>
    </row>
    <row r="1964" spans="1:37" x14ac:dyDescent="0.3">
      <c r="A1964">
        <v>1963</v>
      </c>
      <c r="B1964">
        <v>31</v>
      </c>
      <c r="C1964">
        <v>39.775599999999997</v>
      </c>
      <c r="D1964">
        <v>-5.0314399999999999</v>
      </c>
      <c r="E1964" t="s">
        <v>3463</v>
      </c>
      <c r="F1964" t="s">
        <v>3464</v>
      </c>
      <c r="G1964" t="s">
        <v>39</v>
      </c>
      <c r="H1964">
        <v>1997</v>
      </c>
      <c r="I1964">
        <v>25.399999618530298</v>
      </c>
      <c r="J1964">
        <v>8.3000001907348597</v>
      </c>
      <c r="K1964">
        <v>66</v>
      </c>
      <c r="L1964">
        <v>12.8400001525879</v>
      </c>
      <c r="M1964">
        <v>31.600000381469702</v>
      </c>
      <c r="N1964">
        <v>19.100000381469702</v>
      </c>
      <c r="O1964">
        <v>12.5</v>
      </c>
      <c r="P1964">
        <v>26.100000381469702</v>
      </c>
      <c r="Q1964">
        <v>23.600000381469702</v>
      </c>
      <c r="R1964">
        <v>26.899999618530298</v>
      </c>
      <c r="S1964">
        <v>23.600000381469702</v>
      </c>
      <c r="T1964">
        <v>1643</v>
      </c>
      <c r="U1964">
        <v>387</v>
      </c>
      <c r="V1964">
        <v>36</v>
      </c>
      <c r="W1964">
        <v>83</v>
      </c>
      <c r="X1964">
        <v>885</v>
      </c>
      <c r="Y1964">
        <v>162</v>
      </c>
      <c r="Z1964">
        <v>248</v>
      </c>
      <c r="AA1964">
        <v>162</v>
      </c>
      <c r="AB1964">
        <v>6.6326315863090599</v>
      </c>
      <c r="AC1964">
        <v>3.2329279264403002E-2</v>
      </c>
      <c r="AD1964">
        <v>1.3159096571437101</v>
      </c>
      <c r="AE1964">
        <v>0.337242901325226</v>
      </c>
      <c r="AF1964">
        <v>44.007017543859703</v>
      </c>
      <c r="AG1964">
        <f>IFERROR(AH1964*0.1, "N/A")</f>
        <v>5.8000000000000007</v>
      </c>
      <c r="AH1964">
        <v>58</v>
      </c>
      <c r="AI1964">
        <v>38.173470252856902</v>
      </c>
      <c r="AJ1964">
        <v>22</v>
      </c>
      <c r="AK1964">
        <v>62</v>
      </c>
    </row>
    <row r="1965" spans="1:37" x14ac:dyDescent="0.3">
      <c r="A1965">
        <v>1964</v>
      </c>
      <c r="B1965">
        <v>1.8</v>
      </c>
      <c r="C1965">
        <v>39.355801</v>
      </c>
      <c r="D1965">
        <v>-5.92056</v>
      </c>
      <c r="E1965" t="s">
        <v>3465</v>
      </c>
      <c r="F1965" t="s">
        <v>3466</v>
      </c>
      <c r="G1965" t="s">
        <v>39</v>
      </c>
      <c r="H1965">
        <v>2006</v>
      </c>
      <c r="I1965">
        <v>27.600000381469702</v>
      </c>
      <c r="J1965">
        <v>9</v>
      </c>
      <c r="K1965">
        <v>67</v>
      </c>
      <c r="L1965">
        <v>12.789999961853001</v>
      </c>
      <c r="M1965">
        <v>34.400001525878899</v>
      </c>
      <c r="N1965">
        <v>21.100000381469702</v>
      </c>
      <c r="O1965">
        <v>13.300000190734901</v>
      </c>
      <c r="P1965">
        <v>28.299999237060501</v>
      </c>
      <c r="Q1965">
        <v>25.799999237060501</v>
      </c>
      <c r="R1965">
        <v>29.200000762939499</v>
      </c>
      <c r="S1965">
        <v>25.799999237060501</v>
      </c>
      <c r="T1965">
        <v>1728</v>
      </c>
      <c r="U1965">
        <v>439</v>
      </c>
      <c r="V1965">
        <v>50</v>
      </c>
      <c r="W1965">
        <v>84</v>
      </c>
      <c r="X1965">
        <v>981</v>
      </c>
      <c r="Y1965">
        <v>181</v>
      </c>
      <c r="Z1965">
        <v>310</v>
      </c>
      <c r="AA1965">
        <v>181</v>
      </c>
      <c r="AB1965">
        <v>8.2657342657342596</v>
      </c>
      <c r="AC1965">
        <v>5.0245725738626998E-2</v>
      </c>
      <c r="AD1965">
        <v>2.7345885655263098</v>
      </c>
      <c r="AE1965">
        <v>0.55076682567596402</v>
      </c>
      <c r="AF1965">
        <v>9.7937062937062898</v>
      </c>
      <c r="AG1965">
        <f>IFERROR(AH1965*0.1, "N/A")</f>
        <v>6.6254416961130707</v>
      </c>
      <c r="AH1965">
        <v>66.254416961130701</v>
      </c>
      <c r="AI1965">
        <v>204.15219172230999</v>
      </c>
      <c r="AJ1965">
        <v>25.759717314487599</v>
      </c>
      <c r="AK1965">
        <v>58.681978798586599</v>
      </c>
    </row>
    <row r="1966" spans="1:37" x14ac:dyDescent="0.3">
      <c r="A1966">
        <v>1965</v>
      </c>
      <c r="B1966">
        <v>29</v>
      </c>
      <c r="C1966">
        <v>39.272202</v>
      </c>
      <c r="D1966">
        <v>-6.1438899999999999</v>
      </c>
      <c r="E1966" t="s">
        <v>3467</v>
      </c>
      <c r="F1966" t="s">
        <v>3468</v>
      </c>
      <c r="G1966" t="s">
        <v>39</v>
      </c>
      <c r="H1966">
        <v>2006</v>
      </c>
      <c r="I1966">
        <v>27</v>
      </c>
      <c r="J1966">
        <v>9.3000001907348597</v>
      </c>
      <c r="K1966">
        <v>67</v>
      </c>
      <c r="L1966">
        <v>12.810000419616699</v>
      </c>
      <c r="M1966">
        <v>34.099998474121101</v>
      </c>
      <c r="N1966">
        <v>20.399999618530298</v>
      </c>
      <c r="O1966">
        <v>13.699999809265099</v>
      </c>
      <c r="P1966">
        <v>27.799999237060501</v>
      </c>
      <c r="Q1966">
        <v>25.299999237060501</v>
      </c>
      <c r="R1966">
        <v>28.600000381469702</v>
      </c>
      <c r="S1966">
        <v>25.299999237060501</v>
      </c>
      <c r="T1966">
        <v>1588</v>
      </c>
      <c r="U1966">
        <v>375</v>
      </c>
      <c r="V1966">
        <v>47</v>
      </c>
      <c r="W1966">
        <v>75</v>
      </c>
      <c r="X1966">
        <v>830</v>
      </c>
      <c r="Y1966">
        <v>153</v>
      </c>
      <c r="Z1966">
        <v>310</v>
      </c>
      <c r="AA1966">
        <v>153</v>
      </c>
      <c r="AB1966">
        <v>7.5340903155453596</v>
      </c>
      <c r="AC1966">
        <v>3.5632868654589598</v>
      </c>
      <c r="AD1966">
        <v>1.7057895597877999</v>
      </c>
      <c r="AE1966">
        <v>0.44976892895423398</v>
      </c>
      <c r="AF1966">
        <v>32.263986013985999</v>
      </c>
      <c r="AG1966">
        <f>IFERROR(AH1966*0.1, "N/A")</f>
        <v>5.4723776223776204</v>
      </c>
      <c r="AH1966">
        <v>54.723776223776198</v>
      </c>
      <c r="AI1966">
        <v>238.17557685692</v>
      </c>
      <c r="AJ1966">
        <v>28.562937062937099</v>
      </c>
      <c r="AK1966">
        <v>54.379370629370598</v>
      </c>
    </row>
    <row r="1967" spans="1:37" x14ac:dyDescent="0.3">
      <c r="A1967">
        <v>1966</v>
      </c>
      <c r="B1967">
        <v>3.1</v>
      </c>
      <c r="C1967">
        <v>39.221699000000001</v>
      </c>
      <c r="D1967">
        <v>-6.1461100000000002</v>
      </c>
      <c r="E1967" t="s">
        <v>3469</v>
      </c>
      <c r="F1967" t="s">
        <v>3470</v>
      </c>
      <c r="G1967" t="s">
        <v>39</v>
      </c>
      <c r="H1967">
        <v>2006</v>
      </c>
      <c r="I1967">
        <v>27</v>
      </c>
      <c r="J1967">
        <v>9.5</v>
      </c>
      <c r="K1967">
        <v>67</v>
      </c>
      <c r="L1967">
        <v>13.1599998474121</v>
      </c>
      <c r="M1967">
        <v>34.099998474121101</v>
      </c>
      <c r="N1967">
        <v>20.100000381469702</v>
      </c>
      <c r="O1967">
        <v>14</v>
      </c>
      <c r="P1967">
        <v>27.700000762939499</v>
      </c>
      <c r="Q1967">
        <v>25.299999237060501</v>
      </c>
      <c r="R1967">
        <v>28.700000762939499</v>
      </c>
      <c r="S1967">
        <v>25.299999237060501</v>
      </c>
      <c r="T1967">
        <v>1556</v>
      </c>
      <c r="U1967">
        <v>366</v>
      </c>
      <c r="V1967">
        <v>47</v>
      </c>
      <c r="W1967">
        <v>74</v>
      </c>
      <c r="X1967">
        <v>796</v>
      </c>
      <c r="Y1967">
        <v>148</v>
      </c>
      <c r="Z1967">
        <v>296</v>
      </c>
      <c r="AA1967">
        <v>148</v>
      </c>
      <c r="AB1967">
        <v>19.464285727577298</v>
      </c>
      <c r="AC1967">
        <v>2.7053907026864998E-2</v>
      </c>
      <c r="AD1967">
        <v>2.5160861216771102</v>
      </c>
      <c r="AE1967">
        <v>0.80416810512542702</v>
      </c>
      <c r="AF1967">
        <v>28.8989547038328</v>
      </c>
      <c r="AG1967">
        <f>IFERROR(AH1967*0.1, "N/A")</f>
        <v>5.8000000000000007</v>
      </c>
      <c r="AH1967">
        <v>58</v>
      </c>
      <c r="AI1967">
        <v>249.37235900666201</v>
      </c>
      <c r="AJ1967">
        <v>24</v>
      </c>
      <c r="AK1967">
        <v>60</v>
      </c>
    </row>
    <row r="1968" spans="1:37" x14ac:dyDescent="0.3">
      <c r="A1968">
        <v>1967</v>
      </c>
      <c r="B1968">
        <v>7.3</v>
      </c>
      <c r="C1968">
        <v>39.205798999999999</v>
      </c>
      <c r="D1968">
        <v>-6.1577799999999998</v>
      </c>
      <c r="E1968" t="s">
        <v>3471</v>
      </c>
      <c r="F1968" t="s">
        <v>3472</v>
      </c>
      <c r="G1968" t="s">
        <v>39</v>
      </c>
      <c r="H1968">
        <v>2006</v>
      </c>
      <c r="I1968">
        <v>26.899999618530298</v>
      </c>
      <c r="J1968">
        <v>9.6000003814697301</v>
      </c>
      <c r="K1968">
        <v>68</v>
      </c>
      <c r="L1968">
        <v>13.210000038146999</v>
      </c>
      <c r="M1968">
        <v>34.200000762939503</v>
      </c>
      <c r="N1968">
        <v>20.200000762939499</v>
      </c>
      <c r="O1968">
        <v>14</v>
      </c>
      <c r="P1968">
        <v>27.600000381469702</v>
      </c>
      <c r="Q1968">
        <v>25.299999237060501</v>
      </c>
      <c r="R1968">
        <v>28.700000762939499</v>
      </c>
      <c r="S1968">
        <v>25.299999237060501</v>
      </c>
      <c r="T1968">
        <v>1512</v>
      </c>
      <c r="U1968">
        <v>357</v>
      </c>
      <c r="V1968">
        <v>44</v>
      </c>
      <c r="W1968">
        <v>74</v>
      </c>
      <c r="X1968">
        <v>771</v>
      </c>
      <c r="Y1968">
        <v>140</v>
      </c>
      <c r="Z1968">
        <v>286</v>
      </c>
      <c r="AA1968">
        <v>140</v>
      </c>
      <c r="AB1968">
        <v>6.3445996457275999</v>
      </c>
      <c r="AC1968">
        <v>1.0691035133284E-2</v>
      </c>
      <c r="AD1968">
        <v>1.6195836779028701</v>
      </c>
      <c r="AE1968">
        <v>0.81855618953704801</v>
      </c>
      <c r="AF1968">
        <v>8.1567944250871101</v>
      </c>
      <c r="AG1968">
        <f>IFERROR(AH1968*0.1, "N/A")</f>
        <v>6.3139372822299702</v>
      </c>
      <c r="AH1968">
        <v>63.139372822299698</v>
      </c>
      <c r="AI1968">
        <v>209.83170132520701</v>
      </c>
      <c r="AJ1968">
        <v>36.177700348432097</v>
      </c>
      <c r="AK1968">
        <v>41.503484320557497</v>
      </c>
    </row>
    <row r="1969" spans="1:37" x14ac:dyDescent="0.3">
      <c r="A1969">
        <v>1968</v>
      </c>
      <c r="B1969">
        <v>48</v>
      </c>
      <c r="C1969">
        <v>36.685200000000002</v>
      </c>
      <c r="D1969">
        <v>-8.0770300000000006</v>
      </c>
      <c r="E1969" t="s">
        <v>3473</v>
      </c>
      <c r="F1969" t="s">
        <v>3474</v>
      </c>
      <c r="G1969" t="s">
        <v>39</v>
      </c>
      <c r="H1969">
        <v>1983</v>
      </c>
      <c r="I1969">
        <v>24.700000762939499</v>
      </c>
      <c r="J1969">
        <v>6.8000001907348597</v>
      </c>
      <c r="K1969">
        <v>51</v>
      </c>
      <c r="L1969">
        <v>18.469999313354499</v>
      </c>
      <c r="M1969">
        <v>30.899999618530298</v>
      </c>
      <c r="N1969">
        <v>17.600000381469702</v>
      </c>
      <c r="O1969">
        <v>13.300000190734901</v>
      </c>
      <c r="P1969">
        <v>25.5</v>
      </c>
      <c r="Q1969">
        <v>22.5</v>
      </c>
      <c r="R1969">
        <v>26.700000762939499</v>
      </c>
      <c r="S1969">
        <v>21.899999618530298</v>
      </c>
      <c r="T1969">
        <v>1442</v>
      </c>
      <c r="U1969">
        <v>354</v>
      </c>
      <c r="V1969">
        <v>6</v>
      </c>
      <c r="W1969">
        <v>98</v>
      </c>
      <c r="X1969">
        <v>873</v>
      </c>
      <c r="Y1969">
        <v>30</v>
      </c>
      <c r="Z1969">
        <v>396</v>
      </c>
      <c r="AA1969">
        <v>36</v>
      </c>
      <c r="AB1969">
        <v>2.5608333276917299</v>
      </c>
      <c r="AC1969">
        <v>2.7565385429656999E-2</v>
      </c>
      <c r="AD1969">
        <v>1.53750220266537</v>
      </c>
      <c r="AE1969">
        <v>0.65941853550112595</v>
      </c>
      <c r="AF1969">
        <v>272.52859618717503</v>
      </c>
      <c r="AG1969">
        <f>IFERROR(AH1969*0.1, "N/A")</f>
        <v>6.1336221837088409</v>
      </c>
      <c r="AH1969">
        <v>61.336221837088402</v>
      </c>
      <c r="AI1969">
        <v>106.983260956339</v>
      </c>
      <c r="AJ1969">
        <v>23.954939341421099</v>
      </c>
      <c r="AK1969">
        <v>61</v>
      </c>
    </row>
    <row r="1970" spans="1:37" x14ac:dyDescent="0.3">
      <c r="A1970">
        <v>1969</v>
      </c>
      <c r="B1970">
        <v>26.6</v>
      </c>
      <c r="C1970">
        <v>36.679400999999999</v>
      </c>
      <c r="D1970">
        <v>-8.0809300000000004</v>
      </c>
      <c r="E1970" t="s">
        <v>3475</v>
      </c>
      <c r="F1970" t="s">
        <v>3476</v>
      </c>
      <c r="G1970" t="s">
        <v>39</v>
      </c>
      <c r="H1970">
        <v>1983</v>
      </c>
      <c r="I1970">
        <v>24.700000762939499</v>
      </c>
      <c r="J1970">
        <v>6.8000001907348597</v>
      </c>
      <c r="K1970">
        <v>51</v>
      </c>
      <c r="L1970">
        <v>18.399999618530298</v>
      </c>
      <c r="M1970">
        <v>30.899999618530298</v>
      </c>
      <c r="N1970">
        <v>17.700000762939499</v>
      </c>
      <c r="O1970">
        <v>13.199999809265099</v>
      </c>
      <c r="P1970">
        <v>25.600000381469702</v>
      </c>
      <c r="Q1970">
        <v>22.600000381469702</v>
      </c>
      <c r="R1970">
        <v>26.799999237060501</v>
      </c>
      <c r="S1970">
        <v>22</v>
      </c>
      <c r="T1970">
        <v>1436</v>
      </c>
      <c r="U1970">
        <v>353</v>
      </c>
      <c r="V1970">
        <v>6</v>
      </c>
      <c r="W1970">
        <v>98</v>
      </c>
      <c r="X1970">
        <v>870</v>
      </c>
      <c r="Y1970">
        <v>30</v>
      </c>
      <c r="Z1970">
        <v>394</v>
      </c>
      <c r="AA1970">
        <v>36</v>
      </c>
      <c r="AB1970">
        <v>3.2543998202583402</v>
      </c>
      <c r="AC1970">
        <v>1.6063796490288999E-2</v>
      </c>
      <c r="AD1970">
        <v>1.3119948100382599</v>
      </c>
      <c r="AE1970">
        <v>0.68696276742829399</v>
      </c>
      <c r="AF1970">
        <v>266.47660311958401</v>
      </c>
      <c r="AG1970">
        <f>IFERROR(AH1970*0.1, "N/A")</f>
        <v>6.1760831889081507</v>
      </c>
      <c r="AH1970">
        <v>61.760831889081501</v>
      </c>
      <c r="AI1970">
        <v>156.985889639764</v>
      </c>
      <c r="AJ1970">
        <v>26.324090121317202</v>
      </c>
      <c r="AK1970">
        <v>59.760831889081501</v>
      </c>
    </row>
    <row r="1971" spans="1:37" x14ac:dyDescent="0.3">
      <c r="A1971">
        <v>1970</v>
      </c>
      <c r="B1971">
        <v>55.799999</v>
      </c>
      <c r="C1971">
        <v>36.728802000000002</v>
      </c>
      <c r="D1971">
        <v>-8.0872200000000003</v>
      </c>
      <c r="E1971" t="s">
        <v>3477</v>
      </c>
      <c r="F1971" t="s">
        <v>3478</v>
      </c>
      <c r="G1971" t="s">
        <v>39</v>
      </c>
      <c r="H1971">
        <v>1983</v>
      </c>
      <c r="I1971">
        <v>24.700000762939499</v>
      </c>
      <c r="J1971">
        <v>6.8000001907348597</v>
      </c>
      <c r="K1971">
        <v>51</v>
      </c>
      <c r="L1971">
        <v>18.299999237060501</v>
      </c>
      <c r="M1971">
        <v>30.799999237060501</v>
      </c>
      <c r="N1971">
        <v>17.700000762939499</v>
      </c>
      <c r="O1971">
        <v>13.1000003814697</v>
      </c>
      <c r="P1971">
        <v>25.600000381469702</v>
      </c>
      <c r="Q1971">
        <v>22.5</v>
      </c>
      <c r="R1971">
        <v>26.700000762939499</v>
      </c>
      <c r="S1971">
        <v>22</v>
      </c>
      <c r="T1971">
        <v>1453</v>
      </c>
      <c r="U1971">
        <v>355</v>
      </c>
      <c r="V1971">
        <v>6</v>
      </c>
      <c r="W1971">
        <v>97</v>
      </c>
      <c r="X1971">
        <v>874</v>
      </c>
      <c r="Y1971">
        <v>31</v>
      </c>
      <c r="Z1971">
        <v>400</v>
      </c>
      <c r="AA1971">
        <v>37</v>
      </c>
      <c r="AB1971">
        <v>10.5842460975515</v>
      </c>
      <c r="AC1971">
        <v>9.1967506907799992E-3</v>
      </c>
      <c r="AD1971">
        <v>1.1655769049090099</v>
      </c>
      <c r="AE1971">
        <v>0.50278679268582904</v>
      </c>
      <c r="AF1971">
        <v>275.72491349480998</v>
      </c>
      <c r="AG1971">
        <f>IFERROR(AH1971*0.1, "N/A")</f>
        <v>5.9096885813148807</v>
      </c>
      <c r="AH1971">
        <v>59.096885813148802</v>
      </c>
      <c r="AI1971">
        <v>227.208094956553</v>
      </c>
      <c r="AJ1971">
        <v>22.612456747404799</v>
      </c>
      <c r="AK1971">
        <v>62.290657439446399</v>
      </c>
    </row>
    <row r="1972" spans="1:37" x14ac:dyDescent="0.3">
      <c r="A1972">
        <v>1971</v>
      </c>
      <c r="B1972">
        <v>70.699996999999996</v>
      </c>
      <c r="C1972">
        <v>36.702399999999997</v>
      </c>
      <c r="D1972">
        <v>-8.0872200000000003</v>
      </c>
      <c r="E1972" t="s">
        <v>3479</v>
      </c>
      <c r="F1972" t="s">
        <v>3480</v>
      </c>
      <c r="G1972" t="s">
        <v>39</v>
      </c>
      <c r="H1972">
        <v>1983</v>
      </c>
      <c r="I1972">
        <v>24.700000762939499</v>
      </c>
      <c r="J1972">
        <v>6.8000001907348597</v>
      </c>
      <c r="K1972">
        <v>51</v>
      </c>
      <c r="L1972">
        <v>18.209999084472699</v>
      </c>
      <c r="M1972">
        <v>30.799999237060501</v>
      </c>
      <c r="N1972">
        <v>17.600000381469702</v>
      </c>
      <c r="O1972">
        <v>13.199999809265099</v>
      </c>
      <c r="P1972">
        <v>25.5</v>
      </c>
      <c r="Q1972">
        <v>22.5</v>
      </c>
      <c r="R1972">
        <v>26.700000762939499</v>
      </c>
      <c r="S1972">
        <v>22</v>
      </c>
      <c r="T1972">
        <v>1445</v>
      </c>
      <c r="U1972">
        <v>354</v>
      </c>
      <c r="V1972">
        <v>6</v>
      </c>
      <c r="W1972">
        <v>98</v>
      </c>
      <c r="X1972">
        <v>872</v>
      </c>
      <c r="Y1972">
        <v>30</v>
      </c>
      <c r="Z1972">
        <v>398</v>
      </c>
      <c r="AA1972">
        <v>36</v>
      </c>
      <c r="AB1972">
        <v>8.89305254904815</v>
      </c>
      <c r="AC1972">
        <v>2.6229759716982E-2</v>
      </c>
      <c r="AD1972">
        <v>0.83869050404434597</v>
      </c>
      <c r="AE1972">
        <v>0.59409046699930501</v>
      </c>
      <c r="AF1972">
        <v>274.23223570190601</v>
      </c>
      <c r="AG1972">
        <f>IFERROR(AH1972*0.1, "N/A")</f>
        <v>6.1282495667244401</v>
      </c>
      <c r="AH1972">
        <v>61.282495667244397</v>
      </c>
      <c r="AI1972">
        <v>109.328497028847</v>
      </c>
      <c r="AJ1972">
        <v>21.532062391681102</v>
      </c>
      <c r="AK1972">
        <v>61.7036395147314</v>
      </c>
    </row>
    <row r="1973" spans="1:37" x14ac:dyDescent="0.3">
      <c r="A1973">
        <v>1972</v>
      </c>
      <c r="B1973">
        <v>18.600000000000001</v>
      </c>
      <c r="C1973">
        <v>36.692101000000001</v>
      </c>
      <c r="D1973">
        <v>-8.1111900000000006</v>
      </c>
      <c r="E1973" t="s">
        <v>3481</v>
      </c>
      <c r="F1973" t="s">
        <v>3482</v>
      </c>
      <c r="G1973" t="s">
        <v>39</v>
      </c>
      <c r="H1973">
        <v>1983</v>
      </c>
      <c r="I1973">
        <v>24.799999237060501</v>
      </c>
      <c r="J1973">
        <v>6.8000001907348597</v>
      </c>
      <c r="K1973">
        <v>51</v>
      </c>
      <c r="L1973">
        <v>18.105331221524001</v>
      </c>
      <c r="M1973">
        <v>30.799999237060501</v>
      </c>
      <c r="N1973">
        <v>17.700000762939499</v>
      </c>
      <c r="O1973">
        <v>13.1000003814697</v>
      </c>
      <c r="P1973">
        <v>25.700000762939499</v>
      </c>
      <c r="Q1973">
        <v>22.600000381469702</v>
      </c>
      <c r="R1973">
        <v>26.799999237060501</v>
      </c>
      <c r="S1973">
        <v>22.100000381469702</v>
      </c>
      <c r="T1973">
        <v>1424.84668989547</v>
      </c>
      <c r="U1973">
        <v>351.15331010453002</v>
      </c>
      <c r="V1973">
        <v>6</v>
      </c>
      <c r="W1973">
        <v>98</v>
      </c>
      <c r="X1973">
        <v>860</v>
      </c>
      <c r="Y1973">
        <v>29</v>
      </c>
      <c r="Z1973">
        <v>393.84668989546998</v>
      </c>
      <c r="AA1973">
        <v>35</v>
      </c>
      <c r="AB1973">
        <v>1.8773492686839901</v>
      </c>
      <c r="AC1973">
        <v>9.9386089523599997E-3</v>
      </c>
      <c r="AD1973">
        <v>0.81858181605563296</v>
      </c>
      <c r="AE1973">
        <v>0.67522507905960105</v>
      </c>
      <c r="AF1973">
        <v>257.13588850174199</v>
      </c>
      <c r="AG1973">
        <f>IFERROR(AH1973*0.1, "N/A")</f>
        <v>6.2982578397212503</v>
      </c>
      <c r="AH1973">
        <v>62.9825783972125</v>
      </c>
      <c r="AI1973">
        <v>216.86235841226099</v>
      </c>
      <c r="AJ1973">
        <v>24.8118466898955</v>
      </c>
      <c r="AK1973">
        <v>59.590592334494801</v>
      </c>
    </row>
    <row r="1974" spans="1:37" x14ac:dyDescent="0.3">
      <c r="A1974">
        <v>1973</v>
      </c>
      <c r="B1974">
        <v>19.399999999999999</v>
      </c>
      <c r="C1974">
        <v>36.652400999999998</v>
      </c>
      <c r="D1974">
        <v>-8.1196800000000007</v>
      </c>
      <c r="E1974" t="s">
        <v>3483</v>
      </c>
      <c r="F1974" t="s">
        <v>3484</v>
      </c>
      <c r="G1974" t="s">
        <v>39</v>
      </c>
      <c r="H1974">
        <v>1983</v>
      </c>
      <c r="I1974">
        <v>24.799999237060501</v>
      </c>
      <c r="J1974">
        <v>6.8000001907348597</v>
      </c>
      <c r="K1974">
        <v>51</v>
      </c>
      <c r="L1974">
        <v>18.280000686645501</v>
      </c>
      <c r="M1974">
        <v>30.899999618530298</v>
      </c>
      <c r="N1974">
        <v>17.700000762939499</v>
      </c>
      <c r="O1974">
        <v>13.199999809265099</v>
      </c>
      <c r="P1974">
        <v>25.600000381469702</v>
      </c>
      <c r="Q1974">
        <v>22.600000381469702</v>
      </c>
      <c r="R1974">
        <v>26.799999237060501</v>
      </c>
      <c r="S1974">
        <v>22.100000381469702</v>
      </c>
      <c r="T1974">
        <v>1413</v>
      </c>
      <c r="U1974">
        <v>352</v>
      </c>
      <c r="V1974">
        <v>5</v>
      </c>
      <c r="W1974">
        <v>99</v>
      </c>
      <c r="X1974">
        <v>855</v>
      </c>
      <c r="Y1974">
        <v>26</v>
      </c>
      <c r="Z1974">
        <v>392</v>
      </c>
      <c r="AA1974">
        <v>33</v>
      </c>
      <c r="AB1974">
        <v>2.2138438505284901</v>
      </c>
      <c r="AC1974">
        <v>1.5521958020795999E-2</v>
      </c>
      <c r="AD1974">
        <v>1.6593517820934101</v>
      </c>
      <c r="AE1974">
        <v>0.584320068359375</v>
      </c>
      <c r="AF1974">
        <v>255.85813148788901</v>
      </c>
      <c r="AG1974">
        <f>IFERROR(AH1974*0.1, "N/A")</f>
        <v>6.3487889273356402</v>
      </c>
      <c r="AH1974">
        <v>63.487889273356402</v>
      </c>
      <c r="AI1974">
        <v>275.86414175462602</v>
      </c>
      <c r="AJ1974">
        <v>23.756055363321799</v>
      </c>
      <c r="AK1974">
        <v>58.442906574394499</v>
      </c>
    </row>
    <row r="1975" spans="1:37" x14ac:dyDescent="0.3">
      <c r="A1975">
        <v>1974</v>
      </c>
      <c r="B1975">
        <v>21.6</v>
      </c>
      <c r="C1975">
        <v>36.702702000000002</v>
      </c>
      <c r="D1975">
        <v>-8.1218900000000005</v>
      </c>
      <c r="E1975" t="s">
        <v>3485</v>
      </c>
      <c r="F1975" t="s">
        <v>3486</v>
      </c>
      <c r="G1975" t="s">
        <v>39</v>
      </c>
      <c r="H1975">
        <v>1983</v>
      </c>
      <c r="I1975">
        <v>24.799999237060501</v>
      </c>
      <c r="J1975">
        <v>6.8000001907348597</v>
      </c>
      <c r="K1975">
        <v>51</v>
      </c>
      <c r="L1975">
        <v>18.2299995422363</v>
      </c>
      <c r="M1975">
        <v>30.799999237060501</v>
      </c>
      <c r="N1975">
        <v>17.700000762939499</v>
      </c>
      <c r="O1975">
        <v>13.1000003814697</v>
      </c>
      <c r="P1975">
        <v>25.700000762939499</v>
      </c>
      <c r="Q1975">
        <v>22.600000381469702</v>
      </c>
      <c r="R1975">
        <v>26.799999237060501</v>
      </c>
      <c r="S1975">
        <v>22.100000381469702</v>
      </c>
      <c r="T1975">
        <v>1426</v>
      </c>
      <c r="U1975">
        <v>351</v>
      </c>
      <c r="V1975">
        <v>6</v>
      </c>
      <c r="W1975">
        <v>98</v>
      </c>
      <c r="X1975">
        <v>859</v>
      </c>
      <c r="Y1975">
        <v>29</v>
      </c>
      <c r="Z1975">
        <v>395</v>
      </c>
      <c r="AA1975">
        <v>35</v>
      </c>
      <c r="AB1975">
        <v>3.2157700404757201</v>
      </c>
      <c r="AC1975">
        <v>1.0400078887285001E-2</v>
      </c>
      <c r="AD1975">
        <v>1.98883234679802</v>
      </c>
      <c r="AE1975">
        <v>0.65073400054068897</v>
      </c>
      <c r="AF1975">
        <v>255.39688041594499</v>
      </c>
      <c r="AG1975">
        <f>IFERROR(AH1975*0.1, "N/A")</f>
        <v>6.4547660311958399</v>
      </c>
      <c r="AH1975">
        <v>64.547660311958396</v>
      </c>
      <c r="AI1975">
        <v>147.40947555462699</v>
      </c>
      <c r="AJ1975">
        <v>27.473136915078001</v>
      </c>
      <c r="AK1975">
        <v>54.142114384748702</v>
      </c>
    </row>
    <row r="1976" spans="1:37" x14ac:dyDescent="0.3">
      <c r="A1976">
        <v>1975</v>
      </c>
      <c r="B1976">
        <v>20.200001</v>
      </c>
      <c r="C1976">
        <v>36.694000000000003</v>
      </c>
      <c r="D1976">
        <v>-8.1286900000000006</v>
      </c>
      <c r="E1976" t="s">
        <v>3487</v>
      </c>
      <c r="F1976" t="s">
        <v>3488</v>
      </c>
      <c r="G1976" t="s">
        <v>39</v>
      </c>
      <c r="H1976">
        <v>1983</v>
      </c>
      <c r="I1976">
        <v>24.799999237060501</v>
      </c>
      <c r="J1976">
        <v>6.8000001907348597</v>
      </c>
      <c r="K1976">
        <v>51</v>
      </c>
      <c r="L1976">
        <v>18.399999618530298</v>
      </c>
      <c r="M1976">
        <v>30.799999237060501</v>
      </c>
      <c r="N1976">
        <v>17.700000762939499</v>
      </c>
      <c r="O1976">
        <v>13.1000003814697</v>
      </c>
      <c r="P1976">
        <v>25.799999237060501</v>
      </c>
      <c r="Q1976">
        <v>22.600000381469702</v>
      </c>
      <c r="R1976">
        <v>26.799999237060501</v>
      </c>
      <c r="S1976">
        <v>22.100000381469702</v>
      </c>
      <c r="T1976">
        <v>1419</v>
      </c>
      <c r="U1976">
        <v>350</v>
      </c>
      <c r="V1976">
        <v>6</v>
      </c>
      <c r="W1976">
        <v>98</v>
      </c>
      <c r="X1976">
        <v>855</v>
      </c>
      <c r="Y1976">
        <v>28</v>
      </c>
      <c r="Z1976">
        <v>394</v>
      </c>
      <c r="AA1976">
        <v>34</v>
      </c>
      <c r="AB1976">
        <v>2.6628457175360798</v>
      </c>
      <c r="AC1976">
        <v>2.4377195167795001E-2</v>
      </c>
      <c r="AD1976">
        <v>1.6386846693025701</v>
      </c>
      <c r="AE1976">
        <v>0.61417451449152505</v>
      </c>
      <c r="AF1976">
        <v>252.359375</v>
      </c>
      <c r="AG1976">
        <f>IFERROR(AH1976*0.1, "N/A")</f>
        <v>6.2222222222222205</v>
      </c>
      <c r="AH1976">
        <v>62.2222222222222</v>
      </c>
      <c r="AI1976">
        <v>176.726326346397</v>
      </c>
      <c r="AJ1976">
        <v>25.0954861111111</v>
      </c>
      <c r="AK1976">
        <v>56.8090277777778</v>
      </c>
    </row>
    <row r="1977" spans="1:37" x14ac:dyDescent="0.3">
      <c r="A1977">
        <v>1976</v>
      </c>
      <c r="B1977">
        <v>12.6</v>
      </c>
      <c r="C1977">
        <v>36.681099000000003</v>
      </c>
      <c r="D1977">
        <v>-8.1319199999999991</v>
      </c>
      <c r="E1977" t="s">
        <v>3489</v>
      </c>
      <c r="F1977" t="s">
        <v>3490</v>
      </c>
      <c r="G1977" t="s">
        <v>39</v>
      </c>
      <c r="H1977">
        <v>1983</v>
      </c>
      <c r="I1977">
        <v>24.799999237060501</v>
      </c>
      <c r="J1977">
        <v>6.6999998092651403</v>
      </c>
      <c r="K1977">
        <v>51</v>
      </c>
      <c r="L1977">
        <v>18.069999694824201</v>
      </c>
      <c r="M1977">
        <v>30.799999237060501</v>
      </c>
      <c r="N1977">
        <v>17.700000762939499</v>
      </c>
      <c r="O1977">
        <v>13.1000003814697</v>
      </c>
      <c r="P1977">
        <v>25.600000381469702</v>
      </c>
      <c r="Q1977">
        <v>22.600000381469702</v>
      </c>
      <c r="R1977">
        <v>26.700000762939499</v>
      </c>
      <c r="S1977">
        <v>22.100000381469702</v>
      </c>
      <c r="T1977">
        <v>1418</v>
      </c>
      <c r="U1977">
        <v>351</v>
      </c>
      <c r="V1977">
        <v>6</v>
      </c>
      <c r="W1977">
        <v>98</v>
      </c>
      <c r="X1977">
        <v>855</v>
      </c>
      <c r="Y1977">
        <v>28</v>
      </c>
      <c r="Z1977">
        <v>394</v>
      </c>
      <c r="AA1977">
        <v>34</v>
      </c>
      <c r="AB1977">
        <v>6.6508666569798898</v>
      </c>
      <c r="AC1977">
        <v>1.2622226680594E-2</v>
      </c>
      <c r="AD1977">
        <v>1.07006732614189</v>
      </c>
      <c r="AE1977">
        <v>0.61703860759735096</v>
      </c>
      <c r="AF1977">
        <v>255.92906574394499</v>
      </c>
      <c r="AG1977">
        <f>IFERROR(AH1977*0.1, "N/A")</f>
        <v>6.4942906574394499</v>
      </c>
      <c r="AH1977">
        <v>64.942906574394499</v>
      </c>
      <c r="AI1977">
        <v>267.83826182540298</v>
      </c>
      <c r="AJ1977">
        <v>26.3217993079585</v>
      </c>
      <c r="AK1977">
        <v>55.143598615917</v>
      </c>
    </row>
    <row r="1978" spans="1:37" x14ac:dyDescent="0.3">
      <c r="A1978">
        <v>1977</v>
      </c>
      <c r="B1978">
        <v>13.6</v>
      </c>
      <c r="C1978">
        <v>36.675899999999999</v>
      </c>
      <c r="D1978">
        <v>-8.1339600000000001</v>
      </c>
      <c r="E1978" t="s">
        <v>3491</v>
      </c>
      <c r="F1978" t="s">
        <v>3492</v>
      </c>
      <c r="G1978" t="s">
        <v>39</v>
      </c>
      <c r="H1978">
        <v>1983</v>
      </c>
      <c r="I1978">
        <v>24.799999237060501</v>
      </c>
      <c r="J1978">
        <v>6.6999998092651403</v>
      </c>
      <c r="K1978">
        <v>51</v>
      </c>
      <c r="L1978">
        <v>18.134297508094299</v>
      </c>
      <c r="M1978">
        <v>30.799999237060501</v>
      </c>
      <c r="N1978">
        <v>17.700000762939499</v>
      </c>
      <c r="O1978">
        <v>13.1000003814697</v>
      </c>
      <c r="P1978">
        <v>25.691855151277299</v>
      </c>
      <c r="Q1978">
        <v>22.600000381469702</v>
      </c>
      <c r="R1978">
        <v>26.700000762939499</v>
      </c>
      <c r="S1978">
        <v>22.100000381469702</v>
      </c>
      <c r="T1978">
        <v>1416.1629116117899</v>
      </c>
      <c r="U1978">
        <v>351</v>
      </c>
      <c r="V1978">
        <v>6</v>
      </c>
      <c r="W1978">
        <v>98</v>
      </c>
      <c r="X1978">
        <v>854.08145580589303</v>
      </c>
      <c r="Y1978">
        <v>28</v>
      </c>
      <c r="Z1978">
        <v>393.08145580589297</v>
      </c>
      <c r="AA1978">
        <v>34</v>
      </c>
      <c r="AB1978">
        <v>2.8060627479487099</v>
      </c>
      <c r="AC1978">
        <v>2.0242163441765E-2</v>
      </c>
      <c r="AD1978">
        <v>2.6435842201036199</v>
      </c>
      <c r="AE1978">
        <v>0.60963156834838705</v>
      </c>
      <c r="AF1978">
        <v>256.63951473136899</v>
      </c>
      <c r="AG1978">
        <f>IFERROR(AH1978*0.1, "N/A")</f>
        <v>6.1745233968804207</v>
      </c>
      <c r="AH1978">
        <v>61.7452339688042</v>
      </c>
      <c r="AI1978">
        <v>239.107738051919</v>
      </c>
      <c r="AJ1978">
        <v>27</v>
      </c>
      <c r="AK1978">
        <v>54.2547660311958</v>
      </c>
    </row>
    <row r="1979" spans="1:37" x14ac:dyDescent="0.3">
      <c r="A1979">
        <v>1978</v>
      </c>
      <c r="B1979">
        <v>8.9</v>
      </c>
      <c r="C1979">
        <v>36.652901</v>
      </c>
      <c r="D1979">
        <v>-8.1377000000000006</v>
      </c>
      <c r="E1979" t="s">
        <v>3493</v>
      </c>
      <c r="F1979" t="s">
        <v>3494</v>
      </c>
      <c r="G1979" t="s">
        <v>39</v>
      </c>
      <c r="H1979">
        <v>1983</v>
      </c>
      <c r="I1979">
        <v>24.799999237060501</v>
      </c>
      <c r="J1979">
        <v>6.8000001907348597</v>
      </c>
      <c r="K1979">
        <v>51</v>
      </c>
      <c r="L1979">
        <v>18.409999847412099</v>
      </c>
      <c r="M1979">
        <v>30.899999618530298</v>
      </c>
      <c r="N1979">
        <v>17.700000762939499</v>
      </c>
      <c r="O1979">
        <v>13.199999809265099</v>
      </c>
      <c r="P1979">
        <v>25.700000762939499</v>
      </c>
      <c r="Q1979">
        <v>22.600000381469702</v>
      </c>
      <c r="R1979">
        <v>26.799999237060501</v>
      </c>
      <c r="S1979">
        <v>22.100000381469702</v>
      </c>
      <c r="T1979">
        <v>1407</v>
      </c>
      <c r="U1979">
        <v>351</v>
      </c>
      <c r="V1979">
        <v>6</v>
      </c>
      <c r="W1979">
        <v>98</v>
      </c>
      <c r="X1979">
        <v>849</v>
      </c>
      <c r="Y1979">
        <v>27</v>
      </c>
      <c r="Z1979">
        <v>390</v>
      </c>
      <c r="AA1979">
        <v>34</v>
      </c>
      <c r="AB1979">
        <v>1.63906176884969</v>
      </c>
      <c r="AC1979">
        <v>1.4634795116662E-2</v>
      </c>
      <c r="AD1979">
        <v>1.4024753422579801</v>
      </c>
      <c r="AE1979">
        <v>0.55830568075180098</v>
      </c>
      <c r="AF1979">
        <v>252.383680555556</v>
      </c>
      <c r="AG1979">
        <f>IFERROR(AH1979*0.1, "N/A")</f>
        <v>6.4</v>
      </c>
      <c r="AH1979">
        <v>64</v>
      </c>
      <c r="AI1979">
        <v>166.73797219991701</v>
      </c>
      <c r="AJ1979">
        <v>24.03125</v>
      </c>
      <c r="AK1979">
        <v>59.9375</v>
      </c>
    </row>
    <row r="1980" spans="1:37" x14ac:dyDescent="0.3">
      <c r="A1980">
        <v>1979</v>
      </c>
      <c r="B1980">
        <v>14.5</v>
      </c>
      <c r="C1980">
        <v>36.679001</v>
      </c>
      <c r="D1980">
        <v>-8.1378699999999995</v>
      </c>
      <c r="E1980" t="s">
        <v>3495</v>
      </c>
      <c r="F1980" t="s">
        <v>3496</v>
      </c>
      <c r="G1980" t="s">
        <v>39</v>
      </c>
      <c r="H1980">
        <v>1983</v>
      </c>
      <c r="I1980">
        <v>24.799999237060501</v>
      </c>
      <c r="J1980">
        <v>6.6999998092651403</v>
      </c>
      <c r="K1980">
        <v>51</v>
      </c>
      <c r="L1980">
        <v>18.139999389648398</v>
      </c>
      <c r="M1980">
        <v>30.799999237060501</v>
      </c>
      <c r="N1980">
        <v>17.700000762939499</v>
      </c>
      <c r="O1980">
        <v>13.1000003814697</v>
      </c>
      <c r="P1980">
        <v>25.700000762939499</v>
      </c>
      <c r="Q1980">
        <v>22.600000381469702</v>
      </c>
      <c r="R1980">
        <v>26.700000762939499</v>
      </c>
      <c r="S1980">
        <v>22.100000381469702</v>
      </c>
      <c r="T1980">
        <v>1416</v>
      </c>
      <c r="U1980">
        <v>351</v>
      </c>
      <c r="V1980">
        <v>6</v>
      </c>
      <c r="W1980">
        <v>98</v>
      </c>
      <c r="X1980">
        <v>854</v>
      </c>
      <c r="Y1980">
        <v>28</v>
      </c>
      <c r="Z1980">
        <v>393</v>
      </c>
      <c r="AA1980">
        <v>34</v>
      </c>
      <c r="AB1980">
        <v>5.9596935127020698</v>
      </c>
      <c r="AC1980">
        <v>1.0205972822106E-2</v>
      </c>
      <c r="AD1980">
        <v>1.2555695999555501</v>
      </c>
      <c r="AE1980">
        <v>0.61868691444396995</v>
      </c>
      <c r="AF1980">
        <v>253.89965397923899</v>
      </c>
      <c r="AG1980">
        <f>IFERROR(AH1980*0.1, "N/A")</f>
        <v>6.6219723183391004</v>
      </c>
      <c r="AH1980">
        <v>66.219723183390997</v>
      </c>
      <c r="AI1980">
        <v>201.30880233078301</v>
      </c>
      <c r="AJ1980">
        <v>27</v>
      </c>
      <c r="AK1980">
        <v>55</v>
      </c>
    </row>
    <row r="1981" spans="1:37" x14ac:dyDescent="0.3">
      <c r="A1981">
        <v>1980</v>
      </c>
      <c r="B1981">
        <v>6.7</v>
      </c>
      <c r="C1981">
        <v>36.667499999999997</v>
      </c>
      <c r="D1981">
        <v>-8.1383799999999997</v>
      </c>
      <c r="E1981" t="s">
        <v>3497</v>
      </c>
      <c r="F1981" t="s">
        <v>3498</v>
      </c>
      <c r="G1981" t="s">
        <v>39</v>
      </c>
      <c r="H1981">
        <v>1983</v>
      </c>
      <c r="I1981">
        <v>24.799999237060501</v>
      </c>
      <c r="J1981">
        <v>6.8000001907348597</v>
      </c>
      <c r="K1981">
        <v>51</v>
      </c>
      <c r="L1981">
        <v>18.389999389648398</v>
      </c>
      <c r="M1981">
        <v>30.899999618530298</v>
      </c>
      <c r="N1981">
        <v>17.700000762939499</v>
      </c>
      <c r="O1981">
        <v>13.199999809265099</v>
      </c>
      <c r="P1981">
        <v>25.700000762939499</v>
      </c>
      <c r="Q1981">
        <v>22.600000381469702</v>
      </c>
      <c r="R1981">
        <v>26.799999237060501</v>
      </c>
      <c r="S1981">
        <v>22.100000381469702</v>
      </c>
      <c r="T1981">
        <v>1412</v>
      </c>
      <c r="U1981">
        <v>350</v>
      </c>
      <c r="V1981">
        <v>6</v>
      </c>
      <c r="W1981">
        <v>99</v>
      </c>
      <c r="X1981">
        <v>851</v>
      </c>
      <c r="Y1981">
        <v>27</v>
      </c>
      <c r="Z1981">
        <v>393</v>
      </c>
      <c r="AA1981">
        <v>34</v>
      </c>
      <c r="AB1981">
        <v>3.2382535718834902</v>
      </c>
      <c r="AC1981">
        <v>9.2435923575060006E-3</v>
      </c>
      <c r="AD1981">
        <v>1.56848308397376</v>
      </c>
      <c r="AE1981">
        <v>0.57908785343170199</v>
      </c>
      <c r="AF1981">
        <v>257.34782608695701</v>
      </c>
      <c r="AG1981">
        <f>IFERROR(AH1981*0.1, "N/A")</f>
        <v>6.1610434782608703</v>
      </c>
      <c r="AH1981">
        <v>61.610434782608699</v>
      </c>
      <c r="AI1981">
        <v>130.13614844280701</v>
      </c>
      <c r="AJ1981">
        <v>24.389565217391301</v>
      </c>
      <c r="AK1981">
        <v>57.610434782608699</v>
      </c>
    </row>
    <row r="1982" spans="1:37" x14ac:dyDescent="0.3">
      <c r="A1982">
        <v>1981</v>
      </c>
      <c r="B1982">
        <v>5.0999999999999996</v>
      </c>
      <c r="C1982">
        <v>36.682499</v>
      </c>
      <c r="D1982">
        <v>-8.1449999999999996</v>
      </c>
      <c r="E1982" t="s">
        <v>3499</v>
      </c>
      <c r="F1982" t="s">
        <v>3500</v>
      </c>
      <c r="G1982" t="s">
        <v>39</v>
      </c>
      <c r="H1982">
        <v>1983</v>
      </c>
      <c r="I1982">
        <v>24.799999237060501</v>
      </c>
      <c r="J1982">
        <v>6.6999998092651403</v>
      </c>
      <c r="K1982">
        <v>51</v>
      </c>
      <c r="L1982">
        <v>18.180000305175799</v>
      </c>
      <c r="M1982">
        <v>30.799999237060501</v>
      </c>
      <c r="N1982">
        <v>17.700000762939499</v>
      </c>
      <c r="O1982">
        <v>13.1000003814697</v>
      </c>
      <c r="P1982">
        <v>25.700000762939499</v>
      </c>
      <c r="Q1982">
        <v>22.600000381469702</v>
      </c>
      <c r="R1982">
        <v>26.700000762939499</v>
      </c>
      <c r="S1982">
        <v>22.100000381469702</v>
      </c>
      <c r="T1982">
        <v>1415</v>
      </c>
      <c r="U1982">
        <v>350</v>
      </c>
      <c r="V1982">
        <v>6</v>
      </c>
      <c r="W1982">
        <v>99</v>
      </c>
      <c r="X1982">
        <v>852</v>
      </c>
      <c r="Y1982">
        <v>27</v>
      </c>
      <c r="Z1982">
        <v>395</v>
      </c>
      <c r="AA1982">
        <v>34</v>
      </c>
      <c r="AB1982">
        <v>4.9262207878960496</v>
      </c>
      <c r="AC1982">
        <v>3.2193126481919E-2</v>
      </c>
      <c r="AD1982">
        <v>1.4128323633016799</v>
      </c>
      <c r="AE1982">
        <v>0.61538594961166404</v>
      </c>
      <c r="AF1982">
        <v>254.769097222222</v>
      </c>
      <c r="AG1982">
        <f>IFERROR(AH1982*0.1, "N/A")</f>
        <v>6.4</v>
      </c>
      <c r="AH1982">
        <v>64</v>
      </c>
      <c r="AI1982">
        <v>209.19008043077301</v>
      </c>
      <c r="AJ1982">
        <v>27</v>
      </c>
      <c r="AK1982">
        <v>56</v>
      </c>
    </row>
    <row r="1983" spans="1:37" x14ac:dyDescent="0.3">
      <c r="A1983">
        <v>1982</v>
      </c>
      <c r="B1983">
        <v>9.4</v>
      </c>
      <c r="C1983">
        <v>36.6922</v>
      </c>
      <c r="D1983">
        <v>-8.1473800000000001</v>
      </c>
      <c r="E1983" t="s">
        <v>3501</v>
      </c>
      <c r="F1983" t="s">
        <v>3502</v>
      </c>
      <c r="G1983" t="s">
        <v>39</v>
      </c>
      <c r="H1983">
        <v>1983</v>
      </c>
      <c r="I1983">
        <v>24.799999237060501</v>
      </c>
      <c r="J1983">
        <v>6.7902779314253099</v>
      </c>
      <c r="K1983">
        <v>51</v>
      </c>
      <c r="L1983">
        <v>18.417639282014601</v>
      </c>
      <c r="M1983">
        <v>30.9805554813809</v>
      </c>
      <c r="N1983">
        <v>17.790277163187699</v>
      </c>
      <c r="O1983">
        <v>13.1902776426739</v>
      </c>
      <c r="P1983">
        <v>25.700000762939499</v>
      </c>
      <c r="Q1983">
        <v>22.600000381469702</v>
      </c>
      <c r="R1983">
        <v>26.890277359220701</v>
      </c>
      <c r="S1983">
        <v>22.100000381469702</v>
      </c>
      <c r="T1983">
        <v>1415.19444444444</v>
      </c>
      <c r="U1983">
        <v>349.097222222222</v>
      </c>
      <c r="V1983">
        <v>6</v>
      </c>
      <c r="W1983">
        <v>98</v>
      </c>
      <c r="X1983">
        <v>851.09722222222194</v>
      </c>
      <c r="Y1983">
        <v>28</v>
      </c>
      <c r="Z1983">
        <v>394.097222222222</v>
      </c>
      <c r="AA1983">
        <v>34</v>
      </c>
      <c r="AB1983">
        <v>0.65433955192565896</v>
      </c>
      <c r="AC1983">
        <v>0.49069469129931897</v>
      </c>
      <c r="AD1983">
        <v>1.48372080094285</v>
      </c>
      <c r="AE1983">
        <v>0.58145946264267001</v>
      </c>
      <c r="AF1983">
        <v>246.885416666667</v>
      </c>
      <c r="AG1983">
        <f>IFERROR(AH1983*0.1, "N/A")</f>
        <v>6.19027777777778</v>
      </c>
      <c r="AH1983">
        <v>61.9027777777778</v>
      </c>
      <c r="AI1983">
        <v>127.80832060178101</v>
      </c>
      <c r="AJ1983">
        <v>24.1111111111111</v>
      </c>
      <c r="AK1983">
        <v>58.7777777777778</v>
      </c>
    </row>
    <row r="1984" spans="1:37" x14ac:dyDescent="0.3">
      <c r="A1984">
        <v>1983</v>
      </c>
      <c r="B1984">
        <v>95</v>
      </c>
      <c r="C1984">
        <v>37.470001000000003</v>
      </c>
      <c r="D1984">
        <v>-3.8301400000000001</v>
      </c>
      <c r="E1984" t="s">
        <v>3503</v>
      </c>
      <c r="F1984" t="s">
        <v>3504</v>
      </c>
      <c r="G1984" t="s">
        <v>37</v>
      </c>
      <c r="H1984">
        <v>1965</v>
      </c>
      <c r="I1984">
        <v>23.899999618530298</v>
      </c>
      <c r="J1984">
        <v>12.199999809265099</v>
      </c>
      <c r="K1984">
        <v>70</v>
      </c>
      <c r="L1984">
        <v>16.799999237060501</v>
      </c>
      <c r="M1984">
        <v>33.099998474121101</v>
      </c>
      <c r="N1984">
        <v>15.699999809265099</v>
      </c>
      <c r="O1984">
        <v>17.399999618530298</v>
      </c>
      <c r="P1984">
        <v>24.600000381469702</v>
      </c>
      <c r="Q1984">
        <v>21.5</v>
      </c>
      <c r="R1984">
        <v>25.799999237060501</v>
      </c>
      <c r="S1984">
        <v>21.5</v>
      </c>
      <c r="T1984">
        <v>507</v>
      </c>
      <c r="U1984">
        <v>102</v>
      </c>
      <c r="V1984">
        <v>6</v>
      </c>
      <c r="W1984">
        <v>75</v>
      </c>
      <c r="X1984">
        <v>250</v>
      </c>
      <c r="Y1984">
        <v>21</v>
      </c>
      <c r="Z1984">
        <v>187</v>
      </c>
      <c r="AA1984">
        <v>21</v>
      </c>
      <c r="AB1984">
        <v>12.8104860536271</v>
      </c>
      <c r="AC1984">
        <v>1.1173031026997E-2</v>
      </c>
      <c r="AD1984">
        <v>4.1448565318580304</v>
      </c>
      <c r="AE1984">
        <v>0.15436363220214799</v>
      </c>
      <c r="AF1984">
        <v>674.28021015761794</v>
      </c>
      <c r="AG1984">
        <f>IFERROR(AH1984*0.1, "N/A")</f>
        <v>7.1683012259194401</v>
      </c>
      <c r="AH1984">
        <v>71.683012259194399</v>
      </c>
      <c r="AI1984">
        <v>118.146820834973</v>
      </c>
      <c r="AJ1984">
        <v>33.092819614710997</v>
      </c>
      <c r="AK1984">
        <v>46.238178633975501</v>
      </c>
    </row>
    <row r="1985" spans="1:37" x14ac:dyDescent="0.3">
      <c r="A1985">
        <v>1984</v>
      </c>
      <c r="B1985">
        <v>50</v>
      </c>
      <c r="C1985">
        <v>37.470001000000003</v>
      </c>
      <c r="D1985">
        <v>-3.8301400000000001</v>
      </c>
      <c r="E1985" t="s">
        <v>3503</v>
      </c>
      <c r="F1985" t="s">
        <v>3505</v>
      </c>
      <c r="G1985" t="s">
        <v>39</v>
      </c>
      <c r="H1985">
        <v>1965</v>
      </c>
      <c r="I1985">
        <v>23.899999618530298</v>
      </c>
      <c r="J1985">
        <v>12.199999809265099</v>
      </c>
      <c r="K1985">
        <v>70</v>
      </c>
      <c r="L1985">
        <v>16.799999237060501</v>
      </c>
      <c r="M1985">
        <v>33.099998474121101</v>
      </c>
      <c r="N1985">
        <v>15.699999809265099</v>
      </c>
      <c r="O1985">
        <v>17.399999618530298</v>
      </c>
      <c r="P1985">
        <v>24.600000381469702</v>
      </c>
      <c r="Q1985">
        <v>21.5</v>
      </c>
      <c r="R1985">
        <v>25.799999237060501</v>
      </c>
      <c r="S1985">
        <v>21.5</v>
      </c>
      <c r="T1985">
        <v>507</v>
      </c>
      <c r="U1985">
        <v>102</v>
      </c>
      <c r="V1985">
        <v>6</v>
      </c>
      <c r="W1985">
        <v>75</v>
      </c>
      <c r="X1985">
        <v>250</v>
      </c>
      <c r="Y1985">
        <v>21</v>
      </c>
      <c r="Z1985">
        <v>187</v>
      </c>
      <c r="AA1985">
        <v>21</v>
      </c>
      <c r="AB1985">
        <v>12.8104860536271</v>
      </c>
      <c r="AC1985">
        <v>1.1173031026997E-2</v>
      </c>
      <c r="AD1985">
        <v>4.1448565318580304</v>
      </c>
      <c r="AE1985">
        <v>0.15436363220214799</v>
      </c>
      <c r="AF1985">
        <v>674.28021015761794</v>
      </c>
      <c r="AG1985">
        <f>IFERROR(AH1985*0.1, "N/A")</f>
        <v>7.1683012259194401</v>
      </c>
      <c r="AH1985">
        <v>71.683012259194399</v>
      </c>
      <c r="AI1985">
        <v>118.146820834973</v>
      </c>
      <c r="AJ1985">
        <v>33.092819614710997</v>
      </c>
      <c r="AK1985">
        <v>46.238178633975501</v>
      </c>
    </row>
    <row r="1986" spans="1:37" x14ac:dyDescent="0.3">
      <c r="A1986">
        <v>1985</v>
      </c>
      <c r="B1986">
        <v>7.1</v>
      </c>
      <c r="C1986">
        <v>37.951199000000003</v>
      </c>
      <c r="D1986">
        <v>-4.1362500000000004</v>
      </c>
      <c r="E1986" t="s">
        <v>3506</v>
      </c>
      <c r="F1986" t="s">
        <v>3507</v>
      </c>
      <c r="G1986" t="s">
        <v>37</v>
      </c>
      <c r="H1986">
        <v>1965</v>
      </c>
      <c r="I1986">
        <v>23.600000381469702</v>
      </c>
      <c r="J1986">
        <v>11.6000003814697</v>
      </c>
      <c r="K1986">
        <v>67</v>
      </c>
      <c r="L1986">
        <v>17.5</v>
      </c>
      <c r="M1986">
        <v>32.5</v>
      </c>
      <c r="N1986">
        <v>15.3999996185303</v>
      </c>
      <c r="O1986">
        <v>17.100000381469702</v>
      </c>
      <c r="P1986">
        <v>25.399999618530298</v>
      </c>
      <c r="Q1986">
        <v>21.200000762939499</v>
      </c>
      <c r="R1986">
        <v>25.700000762939499</v>
      </c>
      <c r="S1986">
        <v>21.200000762939499</v>
      </c>
      <c r="T1986">
        <v>700</v>
      </c>
      <c r="U1986">
        <v>123</v>
      </c>
      <c r="V1986">
        <v>5</v>
      </c>
      <c r="W1986">
        <v>74</v>
      </c>
      <c r="X1986">
        <v>294</v>
      </c>
      <c r="Y1986">
        <v>24</v>
      </c>
      <c r="Z1986">
        <v>250</v>
      </c>
      <c r="AA1986">
        <v>24</v>
      </c>
      <c r="AB1986">
        <v>5.5064880371093796</v>
      </c>
      <c r="AC1986">
        <v>2.2706177724493001E-2</v>
      </c>
      <c r="AD1986">
        <v>2.09150257424304</v>
      </c>
      <c r="AE1986">
        <v>0.21960492432117501</v>
      </c>
      <c r="AF1986">
        <v>678.51929824561398</v>
      </c>
      <c r="AG1986">
        <f>IFERROR(AH1986*0.1, "N/A")</f>
        <v>6.6196491228070204</v>
      </c>
      <c r="AH1986">
        <v>66.196491228070201</v>
      </c>
      <c r="AI1986">
        <v>174.79824855871399</v>
      </c>
      <c r="AJ1986">
        <v>33.392982456140402</v>
      </c>
      <c r="AK1986">
        <v>48.803508771929799</v>
      </c>
    </row>
    <row r="1987" spans="1:37" x14ac:dyDescent="0.3">
      <c r="A1987">
        <v>1986</v>
      </c>
      <c r="B1987">
        <v>34.5</v>
      </c>
      <c r="C1987">
        <v>37.951199000000003</v>
      </c>
      <c r="D1987">
        <v>-4.1362500000000004</v>
      </c>
      <c r="E1987" t="s">
        <v>3506</v>
      </c>
      <c r="F1987" t="s">
        <v>3508</v>
      </c>
      <c r="G1987" t="s">
        <v>39</v>
      </c>
      <c r="H1987">
        <v>1965</v>
      </c>
      <c r="I1987">
        <v>23.600000381469702</v>
      </c>
      <c r="J1987">
        <v>11.6000003814697</v>
      </c>
      <c r="K1987">
        <v>67</v>
      </c>
      <c r="L1987">
        <v>17.5</v>
      </c>
      <c r="M1987">
        <v>32.5</v>
      </c>
      <c r="N1987">
        <v>15.3999996185303</v>
      </c>
      <c r="O1987">
        <v>17.100000381469702</v>
      </c>
      <c r="P1987">
        <v>25.399999618530298</v>
      </c>
      <c r="Q1987">
        <v>21.200000762939499</v>
      </c>
      <c r="R1987">
        <v>25.700000762939499</v>
      </c>
      <c r="S1987">
        <v>21.200000762939499</v>
      </c>
      <c r="T1987">
        <v>700</v>
      </c>
      <c r="U1987">
        <v>123</v>
      </c>
      <c r="V1987">
        <v>5</v>
      </c>
      <c r="W1987">
        <v>74</v>
      </c>
      <c r="X1987">
        <v>294</v>
      </c>
      <c r="Y1987">
        <v>24</v>
      </c>
      <c r="Z1987">
        <v>250</v>
      </c>
      <c r="AA1987">
        <v>24</v>
      </c>
      <c r="AB1987">
        <v>5.5064880371093796</v>
      </c>
      <c r="AC1987">
        <v>2.2706177724493001E-2</v>
      </c>
      <c r="AD1987">
        <v>2.09150257424304</v>
      </c>
      <c r="AE1987">
        <v>0.21960492432117501</v>
      </c>
      <c r="AF1987">
        <v>678.51929824561398</v>
      </c>
      <c r="AG1987">
        <f>IFERROR(AH1987*0.1, "N/A")</f>
        <v>6.6196491228070204</v>
      </c>
      <c r="AH1987">
        <v>66.196491228070201</v>
      </c>
      <c r="AI1987">
        <v>174.79824855871399</v>
      </c>
      <c r="AJ1987">
        <v>33.392982456140402</v>
      </c>
      <c r="AK1987">
        <v>48.803508771929799</v>
      </c>
    </row>
    <row r="1988" spans="1:37" x14ac:dyDescent="0.3">
      <c r="A1988">
        <v>1987</v>
      </c>
      <c r="B1988">
        <v>7.1</v>
      </c>
      <c r="C1988">
        <v>38.383301000000003</v>
      </c>
      <c r="D1988">
        <v>-4.5</v>
      </c>
      <c r="E1988" t="s">
        <v>3509</v>
      </c>
      <c r="F1988" t="s">
        <v>3510</v>
      </c>
      <c r="G1988" t="s">
        <v>37</v>
      </c>
      <c r="H1988">
        <v>1965</v>
      </c>
      <c r="I1988">
        <v>23.575219970595899</v>
      </c>
      <c r="J1988">
        <v>11.199999809265099</v>
      </c>
      <c r="K1988">
        <v>66.166959578207397</v>
      </c>
      <c r="L1988">
        <v>17.438506007404001</v>
      </c>
      <c r="M1988">
        <v>32.375220005457798</v>
      </c>
      <c r="N1988">
        <v>15.5919158328816</v>
      </c>
      <c r="O1988">
        <v>16.783303533999899</v>
      </c>
      <c r="P1988">
        <v>24.275219617283799</v>
      </c>
      <c r="Q1988">
        <v>21.2411245838829</v>
      </c>
      <c r="R1988">
        <v>25.599297072640201</v>
      </c>
      <c r="S1988">
        <v>21.2411245838829</v>
      </c>
      <c r="T1988">
        <v>741.08787346221402</v>
      </c>
      <c r="U1988">
        <v>120.488576449912</v>
      </c>
      <c r="V1988">
        <v>9.5852372583479806</v>
      </c>
      <c r="W1988">
        <v>66.414762741651998</v>
      </c>
      <c r="X1988">
        <v>312.254833040422</v>
      </c>
      <c r="Y1988">
        <v>35.511423550087898</v>
      </c>
      <c r="Z1988">
        <v>210.08084358523701</v>
      </c>
      <c r="AA1988">
        <v>35.511423550087898</v>
      </c>
      <c r="AB1988">
        <v>47.356779557749299</v>
      </c>
      <c r="AC1988">
        <v>8.5220344410470005E-3</v>
      </c>
      <c r="AD1988">
        <v>2.3777433074421501</v>
      </c>
      <c r="AE1988">
        <v>0.12682056427002</v>
      </c>
      <c r="AF1988">
        <v>452.15817223198599</v>
      </c>
      <c r="AG1988">
        <f>IFERROR(AH1988*0.1, "N/A")</f>
        <v>6.1922671353251308</v>
      </c>
      <c r="AH1988">
        <v>61.922671353251303</v>
      </c>
      <c r="AI1988">
        <v>119.16674086666301</v>
      </c>
      <c r="AJ1988">
        <v>40.024604569419999</v>
      </c>
      <c r="AK1988">
        <v>42.3479789103691</v>
      </c>
    </row>
    <row r="1989" spans="1:37" x14ac:dyDescent="0.3">
      <c r="A1989">
        <v>1988</v>
      </c>
      <c r="B1989">
        <v>0</v>
      </c>
      <c r="C1989">
        <v>38.383301000000003</v>
      </c>
      <c r="D1989">
        <v>-4.5</v>
      </c>
      <c r="E1989" t="s">
        <v>3509</v>
      </c>
      <c r="F1989" t="s">
        <v>3511</v>
      </c>
      <c r="G1989" t="s">
        <v>39</v>
      </c>
      <c r="H1989">
        <v>1965</v>
      </c>
      <c r="I1989">
        <v>23.575219970595899</v>
      </c>
      <c r="J1989">
        <v>11.199999809265099</v>
      </c>
      <c r="K1989">
        <v>66.166959578207397</v>
      </c>
      <c r="L1989">
        <v>17.438506007404001</v>
      </c>
      <c r="M1989">
        <v>32.375220005457798</v>
      </c>
      <c r="N1989">
        <v>15.5919158328816</v>
      </c>
      <c r="O1989">
        <v>16.783303533999899</v>
      </c>
      <c r="P1989">
        <v>24.275219617283799</v>
      </c>
      <c r="Q1989">
        <v>21.2411245838829</v>
      </c>
      <c r="R1989">
        <v>25.599297072640201</v>
      </c>
      <c r="S1989">
        <v>21.2411245838829</v>
      </c>
      <c r="T1989">
        <v>741.08787346221402</v>
      </c>
      <c r="U1989">
        <v>120.488576449912</v>
      </c>
      <c r="V1989">
        <v>9.5852372583479806</v>
      </c>
      <c r="W1989">
        <v>66.414762741651998</v>
      </c>
      <c r="X1989">
        <v>312.254833040422</v>
      </c>
      <c r="Y1989">
        <v>35.511423550087898</v>
      </c>
      <c r="Z1989">
        <v>210.08084358523701</v>
      </c>
      <c r="AA1989">
        <v>35.511423550087898</v>
      </c>
      <c r="AB1989">
        <v>47.356779557749299</v>
      </c>
      <c r="AC1989">
        <v>8.5220344410470005E-3</v>
      </c>
      <c r="AD1989">
        <v>2.3777433074421501</v>
      </c>
      <c r="AE1989">
        <v>0.12682056427002</v>
      </c>
      <c r="AF1989">
        <v>452.15817223198599</v>
      </c>
      <c r="AG1989">
        <f>IFERROR(AH1989*0.1, "N/A")</f>
        <v>6.1922671353251308</v>
      </c>
      <c r="AH1989">
        <v>61.922671353251303</v>
      </c>
      <c r="AI1989">
        <v>119.16674086666301</v>
      </c>
      <c r="AJ1989">
        <v>40.024604569419999</v>
      </c>
      <c r="AK1989">
        <v>42.3479789103691</v>
      </c>
    </row>
    <row r="1990" spans="1:37" x14ac:dyDescent="0.3">
      <c r="A1990">
        <v>1989</v>
      </c>
      <c r="B1990">
        <v>7.7</v>
      </c>
      <c r="C1990">
        <v>36.999901000000001</v>
      </c>
      <c r="D1990">
        <v>-7.6878099999999998</v>
      </c>
      <c r="E1990" t="s">
        <v>3512</v>
      </c>
      <c r="F1990" t="s">
        <v>3513</v>
      </c>
      <c r="G1990" t="s">
        <v>37</v>
      </c>
      <c r="H1990">
        <v>1965</v>
      </c>
      <c r="I1990">
        <v>24.299999237060501</v>
      </c>
      <c r="J1990">
        <v>6.8000001907348597</v>
      </c>
      <c r="K1990">
        <v>51</v>
      </c>
      <c r="L1990">
        <v>20.4953728449407</v>
      </c>
      <c r="M1990">
        <v>30.341247228030699</v>
      </c>
      <c r="N1990">
        <v>17.100000381469702</v>
      </c>
      <c r="O1990">
        <v>13.2412478002353</v>
      </c>
      <c r="P1990">
        <v>25.700000762939499</v>
      </c>
      <c r="Q1990">
        <v>21.899999618530298</v>
      </c>
      <c r="R1990">
        <v>26.4412476095005</v>
      </c>
      <c r="S1990">
        <v>21.399999618530298</v>
      </c>
      <c r="T1990">
        <v>1413.0623916811101</v>
      </c>
      <c r="U1990">
        <v>336.41247833622202</v>
      </c>
      <c r="V1990">
        <v>10</v>
      </c>
      <c r="W1990">
        <v>85.587521663778205</v>
      </c>
      <c r="X1990">
        <v>767.64991334488695</v>
      </c>
      <c r="Y1990">
        <v>46</v>
      </c>
      <c r="Z1990">
        <v>419</v>
      </c>
      <c r="AA1990">
        <v>53</v>
      </c>
      <c r="AB1990">
        <v>4.5592804219528498</v>
      </c>
      <c r="AC1990">
        <v>8.4725402737850005E-3</v>
      </c>
      <c r="AD1990">
        <v>1.7830998620706</v>
      </c>
      <c r="AE1990">
        <v>0.49072419409115597</v>
      </c>
      <c r="AF1990">
        <v>281.698440207972</v>
      </c>
      <c r="AG1990">
        <f>IFERROR(AH1990*0.1, "N/A")</f>
        <v>5.9587521663778205</v>
      </c>
      <c r="AH1990">
        <v>59.587521663778197</v>
      </c>
      <c r="AI1990">
        <v>186.14882396783901</v>
      </c>
      <c r="AJ1990">
        <v>34.412478336221803</v>
      </c>
      <c r="AK1990">
        <v>45.587521663778197</v>
      </c>
    </row>
    <row r="1991" spans="1:37" x14ac:dyDescent="0.3">
      <c r="A1991">
        <v>1990</v>
      </c>
      <c r="B1991">
        <v>22.5</v>
      </c>
      <c r="C1991">
        <v>36.999901000000001</v>
      </c>
      <c r="D1991">
        <v>-7.6878099999999998</v>
      </c>
      <c r="E1991" t="s">
        <v>3512</v>
      </c>
      <c r="F1991" t="s">
        <v>3514</v>
      </c>
      <c r="G1991" t="s">
        <v>39</v>
      </c>
      <c r="H1991">
        <v>1965</v>
      </c>
      <c r="I1991">
        <v>24.299999237060501</v>
      </c>
      <c r="J1991">
        <v>6.8000001907348597</v>
      </c>
      <c r="K1991">
        <v>51</v>
      </c>
      <c r="L1991">
        <v>20.4953728449407</v>
      </c>
      <c r="M1991">
        <v>30.341247228030699</v>
      </c>
      <c r="N1991">
        <v>17.100000381469702</v>
      </c>
      <c r="O1991">
        <v>13.2412478002353</v>
      </c>
      <c r="P1991">
        <v>25.700000762939499</v>
      </c>
      <c r="Q1991">
        <v>21.899999618530298</v>
      </c>
      <c r="R1991">
        <v>26.4412476095005</v>
      </c>
      <c r="S1991">
        <v>21.399999618530298</v>
      </c>
      <c r="T1991">
        <v>1413.0623916811101</v>
      </c>
      <c r="U1991">
        <v>336.41247833622202</v>
      </c>
      <c r="V1991">
        <v>10</v>
      </c>
      <c r="W1991">
        <v>85.587521663778205</v>
      </c>
      <c r="X1991">
        <v>767.64991334488695</v>
      </c>
      <c r="Y1991">
        <v>46</v>
      </c>
      <c r="Z1991">
        <v>419</v>
      </c>
      <c r="AA1991">
        <v>53</v>
      </c>
      <c r="AB1991">
        <v>4.5592804219528498</v>
      </c>
      <c r="AC1991">
        <v>8.4725402737850005E-3</v>
      </c>
      <c r="AD1991">
        <v>1.7830998620706</v>
      </c>
      <c r="AE1991">
        <v>0.49072419409115597</v>
      </c>
      <c r="AF1991">
        <v>281.698440207972</v>
      </c>
      <c r="AG1991">
        <f>IFERROR(AH1991*0.1, "N/A")</f>
        <v>5.9587521663778205</v>
      </c>
      <c r="AH1991">
        <v>59.587521663778197</v>
      </c>
      <c r="AI1991">
        <v>186.14882396783901</v>
      </c>
      <c r="AJ1991">
        <v>34.412478336221803</v>
      </c>
      <c r="AK1991">
        <v>45.587521663778197</v>
      </c>
    </row>
    <row r="1992" spans="1:37" x14ac:dyDescent="0.3">
      <c r="A1992">
        <v>1991</v>
      </c>
      <c r="B1992">
        <v>0</v>
      </c>
      <c r="C1992">
        <v>35.599997999999999</v>
      </c>
      <c r="D1992">
        <v>-7.8</v>
      </c>
      <c r="E1992" t="s">
        <v>3515</v>
      </c>
      <c r="F1992" t="s">
        <v>3516</v>
      </c>
      <c r="G1992" t="s">
        <v>37</v>
      </c>
      <c r="H1992">
        <v>1965</v>
      </c>
      <c r="I1992">
        <v>19.769030851476298</v>
      </c>
      <c r="J1992">
        <v>11.1000003814697</v>
      </c>
      <c r="K1992">
        <v>66.600346020761293</v>
      </c>
      <c r="L1992">
        <v>13.4112458707552</v>
      </c>
      <c r="M1992">
        <v>28.239965551039699</v>
      </c>
      <c r="N1992">
        <v>11.699999809265099</v>
      </c>
      <c r="O1992">
        <v>16.539965550379801</v>
      </c>
      <c r="P1992">
        <v>20.369030642262</v>
      </c>
      <c r="Q1992">
        <v>17.700000762939499</v>
      </c>
      <c r="R1992">
        <v>21.239965551039798</v>
      </c>
      <c r="S1992">
        <v>17.700000762939499</v>
      </c>
      <c r="T1992">
        <v>689.87197231833898</v>
      </c>
      <c r="U1992">
        <v>143.13321799308</v>
      </c>
      <c r="V1992">
        <v>0</v>
      </c>
      <c r="W1992">
        <v>104.60034602076099</v>
      </c>
      <c r="X1992">
        <v>419.33391003460201</v>
      </c>
      <c r="Y1992">
        <v>2</v>
      </c>
      <c r="Z1992">
        <v>183.42387543252599</v>
      </c>
      <c r="AA1992">
        <v>2</v>
      </c>
      <c r="AB1992">
        <v>5.6561207490808796</v>
      </c>
      <c r="AC1992">
        <v>7.1558253017856996E-2</v>
      </c>
      <c r="AD1992">
        <v>1.77603202295138</v>
      </c>
      <c r="AE1992">
        <v>0.33548372983932501</v>
      </c>
      <c r="AF1992">
        <v>1450.723183391</v>
      </c>
      <c r="AG1992">
        <f>IFERROR(AH1992*0.1, "N/A")</f>
        <v>6.0005190311418701</v>
      </c>
      <c r="AH1992">
        <v>60.005190311418701</v>
      </c>
      <c r="AI1992">
        <v>222.62775701634999</v>
      </c>
      <c r="AJ1992">
        <v>21.756055363321799</v>
      </c>
      <c r="AK1992">
        <v>66.929065743944605</v>
      </c>
    </row>
    <row r="1993" spans="1:37" x14ac:dyDescent="0.3">
      <c r="A1993">
        <v>1992</v>
      </c>
      <c r="B1993">
        <v>6.7</v>
      </c>
      <c r="C1993">
        <v>35.599997999999999</v>
      </c>
      <c r="D1993">
        <v>-7.8</v>
      </c>
      <c r="E1993" t="s">
        <v>3515</v>
      </c>
      <c r="F1993" t="s">
        <v>3517</v>
      </c>
      <c r="G1993" t="s">
        <v>39</v>
      </c>
      <c r="H1993">
        <v>1965</v>
      </c>
      <c r="I1993">
        <v>19.769030851476298</v>
      </c>
      <c r="J1993">
        <v>11.1000003814697</v>
      </c>
      <c r="K1993">
        <v>66.600346020761293</v>
      </c>
      <c r="L1993">
        <v>13.4112458707552</v>
      </c>
      <c r="M1993">
        <v>28.239965551039699</v>
      </c>
      <c r="N1993">
        <v>11.699999809265099</v>
      </c>
      <c r="O1993">
        <v>16.539965550379801</v>
      </c>
      <c r="P1993">
        <v>20.369030642262</v>
      </c>
      <c r="Q1993">
        <v>17.700000762939499</v>
      </c>
      <c r="R1993">
        <v>21.239965551039798</v>
      </c>
      <c r="S1993">
        <v>17.700000762939499</v>
      </c>
      <c r="T1993">
        <v>689.87197231833898</v>
      </c>
      <c r="U1993">
        <v>143.13321799308</v>
      </c>
      <c r="V1993">
        <v>0</v>
      </c>
      <c r="W1993">
        <v>104.60034602076099</v>
      </c>
      <c r="X1993">
        <v>419.33391003460201</v>
      </c>
      <c r="Y1993">
        <v>2</v>
      </c>
      <c r="Z1993">
        <v>183.42387543252599</v>
      </c>
      <c r="AA1993">
        <v>2</v>
      </c>
      <c r="AB1993">
        <v>5.6561207490808796</v>
      </c>
      <c r="AC1993">
        <v>7.1558253017856996E-2</v>
      </c>
      <c r="AD1993">
        <v>1.77603202295138</v>
      </c>
      <c r="AE1993">
        <v>0.33548372983932501</v>
      </c>
      <c r="AF1993">
        <v>1450.723183391</v>
      </c>
      <c r="AG1993">
        <f>IFERROR(AH1993*0.1, "N/A")</f>
        <v>6.0005190311418701</v>
      </c>
      <c r="AH1993">
        <v>60.005190311418701</v>
      </c>
      <c r="AI1993">
        <v>222.62775701634999</v>
      </c>
      <c r="AJ1993">
        <v>21.756055363321799</v>
      </c>
      <c r="AK1993">
        <v>66.929065743944605</v>
      </c>
    </row>
    <row r="1994" spans="1:37" x14ac:dyDescent="0.3">
      <c r="A1994">
        <v>1993</v>
      </c>
      <c r="B1994">
        <v>5.0999999999999996</v>
      </c>
      <c r="C1994">
        <v>39.714297999999999</v>
      </c>
      <c r="D1994">
        <v>-9.9969099999999997</v>
      </c>
      <c r="E1994" t="s">
        <v>3518</v>
      </c>
      <c r="F1994" t="s">
        <v>3519</v>
      </c>
      <c r="G1994" t="s">
        <v>39</v>
      </c>
      <c r="H1994">
        <v>1998</v>
      </c>
      <c r="I1994">
        <v>26.299999237060501</v>
      </c>
      <c r="J1994">
        <v>9</v>
      </c>
      <c r="K1994">
        <v>72</v>
      </c>
      <c r="L1994">
        <v>11.789999961853001</v>
      </c>
      <c r="M1994">
        <v>31.600000381469702</v>
      </c>
      <c r="N1994">
        <v>19.100000381469702</v>
      </c>
      <c r="O1994">
        <v>12.5</v>
      </c>
      <c r="P1994">
        <v>27.399999618530298</v>
      </c>
      <c r="Q1994">
        <v>24.700000762939499</v>
      </c>
      <c r="R1994">
        <v>27.5</v>
      </c>
      <c r="S1994">
        <v>24.700000762939499</v>
      </c>
      <c r="T1994">
        <v>910</v>
      </c>
      <c r="U1994">
        <v>168</v>
      </c>
      <c r="V1994">
        <v>8</v>
      </c>
      <c r="W1994">
        <v>87</v>
      </c>
      <c r="X1994">
        <v>477</v>
      </c>
      <c r="Y1994">
        <v>26</v>
      </c>
      <c r="Z1994">
        <v>429</v>
      </c>
      <c r="AA1994">
        <v>26</v>
      </c>
      <c r="AB1994">
        <v>9.0843644928686391</v>
      </c>
      <c r="AC1994">
        <v>3.4145527567292E-2</v>
      </c>
      <c r="AD1994">
        <v>0.74144529784258295</v>
      </c>
      <c r="AE1994">
        <v>0.60134637355804399</v>
      </c>
      <c r="AF1994">
        <v>6.1340206185566997</v>
      </c>
      <c r="AG1994">
        <f>IFERROR(AH1994*0.1, "N/A")</f>
        <v>6.33006872852234</v>
      </c>
      <c r="AH1994">
        <v>63.300687285223397</v>
      </c>
      <c r="AI1994">
        <v>106.43991204225701</v>
      </c>
      <c r="AJ1994">
        <v>24.527491408934701</v>
      </c>
      <c r="AK1994">
        <v>62.474226804123703</v>
      </c>
    </row>
    <row r="1995" spans="1:37" x14ac:dyDescent="0.3">
      <c r="A1995">
        <v>1994</v>
      </c>
      <c r="B1995">
        <v>0</v>
      </c>
      <c r="C1995">
        <v>30.783100000000001</v>
      </c>
      <c r="D1995">
        <v>-3.6929400000000001</v>
      </c>
      <c r="E1995" t="s">
        <v>3520</v>
      </c>
      <c r="F1995" t="s">
        <v>3521</v>
      </c>
      <c r="G1995" t="s">
        <v>39</v>
      </c>
      <c r="H1995">
        <v>2001</v>
      </c>
      <c r="I1995">
        <v>21.080140903251699</v>
      </c>
      <c r="J1995">
        <v>12.300000190734901</v>
      </c>
      <c r="K1995">
        <v>71</v>
      </c>
      <c r="L1995">
        <v>6.8279439250697997</v>
      </c>
      <c r="M1995">
        <v>29.399999618530298</v>
      </c>
      <c r="N1995">
        <v>12.300000190734901</v>
      </c>
      <c r="O1995">
        <v>17.100000381469702</v>
      </c>
      <c r="P1995">
        <v>20.899999618530298</v>
      </c>
      <c r="Q1995">
        <v>20.299999237060501</v>
      </c>
      <c r="R1995">
        <v>21.899999618530298</v>
      </c>
      <c r="S1995">
        <v>20.200000762939499</v>
      </c>
      <c r="T1995">
        <v>1111.8014059754</v>
      </c>
      <c r="U1995">
        <v>197</v>
      </c>
      <c r="V1995">
        <v>1</v>
      </c>
      <c r="W1995">
        <v>73</v>
      </c>
      <c r="X1995">
        <v>503</v>
      </c>
      <c r="Y1995">
        <v>14</v>
      </c>
      <c r="Z1995">
        <v>225.801405975395</v>
      </c>
      <c r="AA1995">
        <v>77</v>
      </c>
      <c r="AB1995">
        <v>5.8038139142135297</v>
      </c>
      <c r="AC1995">
        <v>0.20293319483102701</v>
      </c>
      <c r="AD1995">
        <v>1.92589473389155</v>
      </c>
      <c r="AE1995">
        <v>0.204449845716907</v>
      </c>
      <c r="AF1995">
        <v>1273.72583479789</v>
      </c>
      <c r="AG1995">
        <f>IFERROR(AH1995*0.1, "N/A")</f>
        <v>5.6801405975395403</v>
      </c>
      <c r="AH1995">
        <v>56.801405975395397</v>
      </c>
      <c r="AI1995">
        <v>204.14105913802501</v>
      </c>
      <c r="AJ1995">
        <v>30.801405975395401</v>
      </c>
      <c r="AK1995">
        <v>55.602811950790901</v>
      </c>
    </row>
    <row r="1996" spans="1:37" x14ac:dyDescent="0.3">
      <c r="A1996">
        <v>1995</v>
      </c>
      <c r="B1996">
        <v>83.099997999999999</v>
      </c>
      <c r="C1996">
        <v>36.393002000000003</v>
      </c>
      <c r="D1996">
        <v>-8.15442</v>
      </c>
      <c r="E1996" t="s">
        <v>3020</v>
      </c>
      <c r="F1996" t="s">
        <v>3522</v>
      </c>
      <c r="G1996" t="s">
        <v>37</v>
      </c>
      <c r="H1996">
        <v>1993</v>
      </c>
      <c r="I1996">
        <v>25.100000381469702</v>
      </c>
      <c r="J1996">
        <v>7.4000000953674299</v>
      </c>
      <c r="K1996">
        <v>54</v>
      </c>
      <c r="L1996">
        <v>17.459999084472699</v>
      </c>
      <c r="M1996">
        <v>31.5</v>
      </c>
      <c r="N1996">
        <v>17.899999618530298</v>
      </c>
      <c r="O1996">
        <v>13.6000003814697</v>
      </c>
      <c r="P1996">
        <v>25.899999618530298</v>
      </c>
      <c r="Q1996">
        <v>23.100000381469702</v>
      </c>
      <c r="R1996">
        <v>27</v>
      </c>
      <c r="S1996">
        <v>22.5</v>
      </c>
      <c r="T1996">
        <v>1449</v>
      </c>
      <c r="U1996">
        <v>361</v>
      </c>
      <c r="V1996">
        <v>5</v>
      </c>
      <c r="W1996">
        <v>100</v>
      </c>
      <c r="X1996">
        <v>878</v>
      </c>
      <c r="Y1996">
        <v>23</v>
      </c>
      <c r="Z1996">
        <v>412</v>
      </c>
      <c r="AA1996">
        <v>30</v>
      </c>
      <c r="AB1996">
        <v>4.0682102839152003</v>
      </c>
      <c r="AC1996">
        <v>0.19083364126466501</v>
      </c>
      <c r="AD1996">
        <v>1.0103126331749901</v>
      </c>
      <c r="AE1996">
        <v>0.37063995003700301</v>
      </c>
      <c r="AF1996">
        <v>276.289930555556</v>
      </c>
      <c r="AG1996">
        <f>IFERROR(AH1996*0.1, "N/A")</f>
        <v>6.1253472222222207</v>
      </c>
      <c r="AH1996">
        <v>61.2534722222222</v>
      </c>
      <c r="AI1996">
        <v>162.47446580065599</v>
      </c>
      <c r="AJ1996">
        <v>24.2916666666667</v>
      </c>
      <c r="AK1996">
        <v>59.9618055555556</v>
      </c>
    </row>
    <row r="1997" spans="1:37" x14ac:dyDescent="0.3">
      <c r="A1997">
        <v>1996</v>
      </c>
      <c r="B1997">
        <v>40.400002000000001</v>
      </c>
      <c r="C1997">
        <v>38.450198999999998</v>
      </c>
      <c r="D1997">
        <v>-5.15557</v>
      </c>
      <c r="E1997" t="s">
        <v>3523</v>
      </c>
      <c r="F1997" t="s">
        <v>3524</v>
      </c>
      <c r="G1997" t="s">
        <v>39</v>
      </c>
      <c r="H1997">
        <v>1959</v>
      </c>
      <c r="I1997">
        <v>24.509598640455199</v>
      </c>
      <c r="J1997">
        <v>10.909598258985501</v>
      </c>
      <c r="K1997">
        <v>66</v>
      </c>
      <c r="L1997">
        <v>17.438080769350801</v>
      </c>
      <c r="M1997">
        <v>33.1095972976551</v>
      </c>
      <c r="N1997">
        <v>16.700000762939499</v>
      </c>
      <c r="O1997">
        <v>16.409598258985501</v>
      </c>
      <c r="P1997">
        <v>25.299999237060501</v>
      </c>
      <c r="Q1997">
        <v>22.209599220315798</v>
      </c>
      <c r="R1997">
        <v>26.6095990219249</v>
      </c>
      <c r="S1997">
        <v>22.209599220315798</v>
      </c>
      <c r="T1997">
        <v>1057.7521815008699</v>
      </c>
      <c r="U1997">
        <v>224.90401396160601</v>
      </c>
      <c r="V1997">
        <v>42.9040139616056</v>
      </c>
      <c r="W1997">
        <v>71.0959860383944</v>
      </c>
      <c r="X1997">
        <v>542.52006980802798</v>
      </c>
      <c r="Y1997">
        <v>141.808027923211</v>
      </c>
      <c r="Z1997">
        <v>185.808027923211</v>
      </c>
      <c r="AA1997">
        <v>142.191972076789</v>
      </c>
      <c r="AB1997">
        <v>1.2561923521351399</v>
      </c>
      <c r="AC1997">
        <v>6.6076221267967E-2</v>
      </c>
      <c r="AD1997">
        <v>1.71107619371506</v>
      </c>
      <c r="AE1997">
        <v>0.60562061483323304</v>
      </c>
      <c r="AF1997">
        <v>308.78184991273997</v>
      </c>
      <c r="AG1997">
        <f>IFERROR(AH1997*0.1, "N/A")</f>
        <v>6.4952879581151812</v>
      </c>
      <c r="AH1997">
        <v>64.952879581151805</v>
      </c>
      <c r="AI1997">
        <v>239.74755393356099</v>
      </c>
      <c r="AJ1997">
        <v>34</v>
      </c>
      <c r="AK1997">
        <v>50.680628272251298</v>
      </c>
    </row>
    <row r="1998" spans="1:37" x14ac:dyDescent="0.3">
      <c r="A1998">
        <v>1997</v>
      </c>
      <c r="B1998">
        <v>7.2</v>
      </c>
      <c r="C1998">
        <v>38.252997999999998</v>
      </c>
      <c r="D1998">
        <v>-5.4481000000000002</v>
      </c>
      <c r="E1998" t="s">
        <v>3525</v>
      </c>
      <c r="F1998" t="s">
        <v>3526</v>
      </c>
      <c r="G1998" t="s">
        <v>39</v>
      </c>
      <c r="H1998">
        <v>1959</v>
      </c>
      <c r="I1998">
        <v>22.899999618530298</v>
      </c>
      <c r="J1998">
        <v>11.1000003814697</v>
      </c>
      <c r="K1998">
        <v>68</v>
      </c>
      <c r="L1998">
        <v>16.4799995422363</v>
      </c>
      <c r="M1998">
        <v>31.299999237060501</v>
      </c>
      <c r="N1998">
        <v>15.199999809265099</v>
      </c>
      <c r="O1998">
        <v>16.100000381469702</v>
      </c>
      <c r="P1998">
        <v>23.700000762939499</v>
      </c>
      <c r="Q1998">
        <v>20.799999237060501</v>
      </c>
      <c r="R1998">
        <v>24.899999618530298</v>
      </c>
      <c r="S1998">
        <v>20.799999237060501</v>
      </c>
      <c r="T1998">
        <v>886</v>
      </c>
      <c r="U1998">
        <v>166</v>
      </c>
      <c r="V1998">
        <v>30</v>
      </c>
      <c r="W1998">
        <v>55</v>
      </c>
      <c r="X1998">
        <v>390</v>
      </c>
      <c r="Y1998">
        <v>91</v>
      </c>
      <c r="Z1998">
        <v>205</v>
      </c>
      <c r="AA1998">
        <v>103</v>
      </c>
      <c r="AB1998">
        <v>41.6216089335053</v>
      </c>
      <c r="AC1998">
        <v>1.1297276259793E-2</v>
      </c>
      <c r="AD1998">
        <v>11.039250973625</v>
      </c>
      <c r="AE1998">
        <v>0.41356337070465099</v>
      </c>
      <c r="AF1998">
        <v>504.08362369337999</v>
      </c>
      <c r="AG1998">
        <f>IFERROR(AH1998*0.1, "N/A")</f>
        <v>6.4</v>
      </c>
      <c r="AH1998">
        <v>64</v>
      </c>
      <c r="AI1998">
        <v>142.316713286609</v>
      </c>
      <c r="AJ1998">
        <v>34</v>
      </c>
      <c r="AK1998">
        <v>48</v>
      </c>
    </row>
    <row r="1999" spans="1:37" x14ac:dyDescent="0.3">
      <c r="A1999">
        <v>1998</v>
      </c>
      <c r="B1999">
        <v>4.0999999999999996</v>
      </c>
      <c r="C1999">
        <v>38.015900000000002</v>
      </c>
      <c r="D1999">
        <v>-5.49559</v>
      </c>
      <c r="E1999" t="s">
        <v>3527</v>
      </c>
      <c r="F1999" t="s">
        <v>3528</v>
      </c>
      <c r="G1999" t="s">
        <v>39</v>
      </c>
      <c r="H1999">
        <v>1959</v>
      </c>
      <c r="I1999">
        <v>22.200000762939499</v>
      </c>
      <c r="J1999">
        <v>11.5</v>
      </c>
      <c r="K1999">
        <v>69</v>
      </c>
      <c r="L1999">
        <v>16.790000915527301</v>
      </c>
      <c r="M1999">
        <v>30.799999237060501</v>
      </c>
      <c r="N1999">
        <v>14.199999809265099</v>
      </c>
      <c r="O1999">
        <v>16.600000381469702</v>
      </c>
      <c r="P1999">
        <v>23</v>
      </c>
      <c r="Q1999">
        <v>20.100000381469702</v>
      </c>
      <c r="R1999">
        <v>24.299999237060501</v>
      </c>
      <c r="S1999">
        <v>20.100000381469702</v>
      </c>
      <c r="T1999">
        <v>923</v>
      </c>
      <c r="U1999">
        <v>172</v>
      </c>
      <c r="V1999">
        <v>23</v>
      </c>
      <c r="W1999">
        <v>57</v>
      </c>
      <c r="X1999">
        <v>407</v>
      </c>
      <c r="Y1999">
        <v>72</v>
      </c>
      <c r="Z1999">
        <v>276</v>
      </c>
      <c r="AA1999">
        <v>72</v>
      </c>
      <c r="AB1999">
        <v>60.604551411840099</v>
      </c>
      <c r="AC1999">
        <v>1.0024099859424001E-2</v>
      </c>
      <c r="AD1999">
        <v>3.82222560001293</v>
      </c>
      <c r="AE1999">
        <v>0.43019286983924399</v>
      </c>
      <c r="AF1999">
        <v>642.79755671902296</v>
      </c>
      <c r="AG1999">
        <f>IFERROR(AH1999*0.1, "N/A")</f>
        <v>6</v>
      </c>
      <c r="AH1999">
        <v>60</v>
      </c>
      <c r="AI1999">
        <v>159.14941174572101</v>
      </c>
      <c r="AJ1999">
        <v>34.905759162303703</v>
      </c>
      <c r="AK1999">
        <v>47.282722513088999</v>
      </c>
    </row>
    <row r="2000" spans="1:37" x14ac:dyDescent="0.3">
      <c r="A2000">
        <v>1999</v>
      </c>
      <c r="B2000">
        <v>57.400002000000001</v>
      </c>
      <c r="C2000">
        <v>39.271301000000001</v>
      </c>
      <c r="D2000">
        <v>-6.7878299999999996</v>
      </c>
      <c r="E2000" t="s">
        <v>3529</v>
      </c>
      <c r="F2000" t="s">
        <v>3530</v>
      </c>
      <c r="G2000" t="s">
        <v>39</v>
      </c>
      <c r="H2000">
        <v>1967</v>
      </c>
      <c r="I2000">
        <v>26</v>
      </c>
      <c r="J2000">
        <v>8.6000003814697301</v>
      </c>
      <c r="K2000">
        <v>65</v>
      </c>
      <c r="L2000">
        <v>15.2399997711182</v>
      </c>
      <c r="M2000">
        <v>31.899999618530298</v>
      </c>
      <c r="N2000">
        <v>18.799999237060501</v>
      </c>
      <c r="O2000">
        <v>13.1000003814697</v>
      </c>
      <c r="P2000">
        <v>26.700000762939499</v>
      </c>
      <c r="Q2000">
        <v>23.899999618530298</v>
      </c>
      <c r="R2000">
        <v>27.799999237060501</v>
      </c>
      <c r="S2000">
        <v>23.899999618530298</v>
      </c>
      <c r="T2000">
        <v>1079</v>
      </c>
      <c r="U2000">
        <v>252</v>
      </c>
      <c r="V2000">
        <v>23</v>
      </c>
      <c r="W2000">
        <v>74</v>
      </c>
      <c r="X2000">
        <v>560</v>
      </c>
      <c r="Y2000">
        <v>78</v>
      </c>
      <c r="Z2000">
        <v>278</v>
      </c>
      <c r="AA2000">
        <v>78</v>
      </c>
      <c r="AB2000">
        <v>1.1828421158022</v>
      </c>
      <c r="AC2000">
        <v>0.236843368046605</v>
      </c>
      <c r="AD2000">
        <v>0.75085630356955602</v>
      </c>
      <c r="AE2000">
        <v>0.88412040472030595</v>
      </c>
      <c r="AF2000">
        <v>10.072790294627399</v>
      </c>
      <c r="AG2000">
        <f>IFERROR(AH2000*0.1, "N/A")</f>
        <v>6.3077989601386504</v>
      </c>
      <c r="AH2000">
        <v>63.077989601386498</v>
      </c>
      <c r="AI2000">
        <v>79.5303908005951</v>
      </c>
      <c r="AJ2000">
        <v>30.946273830155999</v>
      </c>
      <c r="AK2000">
        <v>54.922010398613502</v>
      </c>
    </row>
    <row r="2001" spans="1:37" x14ac:dyDescent="0.3">
      <c r="A2001">
        <v>2000</v>
      </c>
      <c r="B2001">
        <v>18</v>
      </c>
      <c r="C2001">
        <v>39.299999</v>
      </c>
      <c r="D2001">
        <v>-6.8024500000000003</v>
      </c>
      <c r="E2001" t="s">
        <v>3531</v>
      </c>
      <c r="F2001" t="s">
        <v>3532</v>
      </c>
      <c r="G2001" t="s">
        <v>39</v>
      </c>
      <c r="H2001">
        <v>1967</v>
      </c>
      <c r="I2001" t="s">
        <v>729</v>
      </c>
      <c r="J2001" t="s">
        <v>729</v>
      </c>
      <c r="K2001" t="s">
        <v>729</v>
      </c>
      <c r="L2001" t="s">
        <v>729</v>
      </c>
      <c r="M2001" t="s">
        <v>729</v>
      </c>
      <c r="N2001" t="s">
        <v>729</v>
      </c>
      <c r="O2001" t="s">
        <v>729</v>
      </c>
      <c r="P2001" t="s">
        <v>729</v>
      </c>
      <c r="Q2001" t="s">
        <v>729</v>
      </c>
      <c r="R2001" t="s">
        <v>729</v>
      </c>
      <c r="S2001" t="s">
        <v>729</v>
      </c>
      <c r="T2001" t="s">
        <v>729</v>
      </c>
      <c r="U2001" t="s">
        <v>729</v>
      </c>
      <c r="V2001" t="s">
        <v>729</v>
      </c>
      <c r="W2001" t="s">
        <v>729</v>
      </c>
      <c r="X2001" t="s">
        <v>729</v>
      </c>
      <c r="Y2001" t="s">
        <v>729</v>
      </c>
      <c r="Z2001" t="s">
        <v>729</v>
      </c>
      <c r="AA2001" t="s">
        <v>729</v>
      </c>
      <c r="AB2001" t="s">
        <v>729</v>
      </c>
      <c r="AC2001" t="s">
        <v>729</v>
      </c>
      <c r="AD2001" t="s">
        <v>729</v>
      </c>
      <c r="AE2001" t="s">
        <v>729</v>
      </c>
      <c r="AF2001" t="s">
        <v>729</v>
      </c>
      <c r="AG2001" t="str">
        <f>IFERROR(AH2001*0.1, "N/A")</f>
        <v>N/A</v>
      </c>
      <c r="AH2001" t="s">
        <v>729</v>
      </c>
      <c r="AI2001" t="s">
        <v>729</v>
      </c>
      <c r="AJ2001" t="s">
        <v>729</v>
      </c>
      <c r="AK2001" t="s">
        <v>729</v>
      </c>
    </row>
    <row r="2002" spans="1:37" x14ac:dyDescent="0.3">
      <c r="A2002">
        <v>2001</v>
      </c>
      <c r="B2002">
        <v>25.299999</v>
      </c>
      <c r="C2002">
        <v>39.299999</v>
      </c>
      <c r="D2002">
        <v>-6.8027899999999999</v>
      </c>
      <c r="E2002" t="s">
        <v>3533</v>
      </c>
      <c r="F2002" t="s">
        <v>3534</v>
      </c>
      <c r="G2002" t="s">
        <v>39</v>
      </c>
      <c r="H2002">
        <v>1967</v>
      </c>
      <c r="I2002" t="s">
        <v>729</v>
      </c>
      <c r="J2002" t="s">
        <v>729</v>
      </c>
      <c r="K2002" t="s">
        <v>729</v>
      </c>
      <c r="L2002" t="s">
        <v>729</v>
      </c>
      <c r="M2002" t="s">
        <v>729</v>
      </c>
      <c r="N2002" t="s">
        <v>729</v>
      </c>
      <c r="O2002" t="s">
        <v>729</v>
      </c>
      <c r="P2002" t="s">
        <v>729</v>
      </c>
      <c r="Q2002" t="s">
        <v>729</v>
      </c>
      <c r="R2002" t="s">
        <v>729</v>
      </c>
      <c r="S2002" t="s">
        <v>729</v>
      </c>
      <c r="T2002" t="s">
        <v>729</v>
      </c>
      <c r="U2002" t="s">
        <v>729</v>
      </c>
      <c r="V2002" t="s">
        <v>729</v>
      </c>
      <c r="W2002" t="s">
        <v>729</v>
      </c>
      <c r="X2002" t="s">
        <v>729</v>
      </c>
      <c r="Y2002" t="s">
        <v>729</v>
      </c>
      <c r="Z2002" t="s">
        <v>729</v>
      </c>
      <c r="AA2002" t="s">
        <v>729</v>
      </c>
      <c r="AB2002" t="s">
        <v>729</v>
      </c>
      <c r="AC2002" t="s">
        <v>729</v>
      </c>
      <c r="AD2002" t="s">
        <v>729</v>
      </c>
      <c r="AE2002" t="s">
        <v>729</v>
      </c>
      <c r="AF2002" t="s">
        <v>729</v>
      </c>
      <c r="AG2002" t="str">
        <f>IFERROR(AH2002*0.1, "N/A")</f>
        <v>N/A</v>
      </c>
      <c r="AH2002" t="s">
        <v>729</v>
      </c>
      <c r="AI2002" t="s">
        <v>729</v>
      </c>
      <c r="AJ2002" t="s">
        <v>729</v>
      </c>
      <c r="AK2002" t="s">
        <v>729</v>
      </c>
    </row>
    <row r="2003" spans="1:37" x14ac:dyDescent="0.3">
      <c r="A2003">
        <v>2002</v>
      </c>
      <c r="B2003">
        <v>26.799999</v>
      </c>
      <c r="C2003">
        <v>39.200001</v>
      </c>
      <c r="D2003">
        <v>-6.8033099999999997</v>
      </c>
      <c r="E2003" t="s">
        <v>3535</v>
      </c>
      <c r="F2003" t="s">
        <v>3536</v>
      </c>
      <c r="G2003" t="s">
        <v>39</v>
      </c>
      <c r="H2003">
        <v>1967</v>
      </c>
      <c r="I2003">
        <v>25.7402773565716</v>
      </c>
      <c r="J2003">
        <v>9.1000003814697301</v>
      </c>
      <c r="K2003">
        <v>66</v>
      </c>
      <c r="L2003">
        <v>15.396250002914</v>
      </c>
      <c r="M2003">
        <v>31.970138774977801</v>
      </c>
      <c r="N2003">
        <v>18.340277738041401</v>
      </c>
      <c r="O2003">
        <v>13.6298613217142</v>
      </c>
      <c r="P2003">
        <v>26.440277549955599</v>
      </c>
      <c r="Q2003">
        <v>23.770138581593802</v>
      </c>
      <c r="R2003">
        <v>27.640278312894999</v>
      </c>
      <c r="S2003">
        <v>23.7402773565716</v>
      </c>
      <c r="T2003">
        <v>1078.0138888888901</v>
      </c>
      <c r="U2003">
        <v>262.20833333333297</v>
      </c>
      <c r="V2003">
        <v>22.7013888888889</v>
      </c>
      <c r="W2003">
        <v>75.7013888888889</v>
      </c>
      <c r="X2003">
        <v>568.01388888888903</v>
      </c>
      <c r="Y2003">
        <v>76.4027777777778</v>
      </c>
      <c r="Z2003">
        <v>271</v>
      </c>
      <c r="AA2003">
        <v>78.7916666666667</v>
      </c>
      <c r="AB2003">
        <v>31.159550640318098</v>
      </c>
      <c r="AC2003">
        <v>1.9984235322529999E-2</v>
      </c>
      <c r="AD2003">
        <v>6.20212653569049</v>
      </c>
      <c r="AE2003">
        <v>0.84096419811248802</v>
      </c>
      <c r="AF2003">
        <v>75.2708333333333</v>
      </c>
      <c r="AG2003">
        <f>IFERROR(AH2003*0.1, "N/A")</f>
        <v>6.0777777777777802</v>
      </c>
      <c r="AH2003">
        <v>60.7777777777778</v>
      </c>
      <c r="AI2003">
        <v>138.74228011237301</v>
      </c>
      <c r="AJ2003">
        <v>21.8506944444444</v>
      </c>
      <c r="AK2003">
        <v>66.6336805555556</v>
      </c>
    </row>
    <row r="2004" spans="1:37" x14ac:dyDescent="0.3">
      <c r="A2004">
        <v>2003</v>
      </c>
      <c r="B2004">
        <v>33.599997999999999</v>
      </c>
      <c r="C2004">
        <v>39.299999</v>
      </c>
      <c r="D2004">
        <v>-6.8111499999999996</v>
      </c>
      <c r="E2004" t="s">
        <v>3537</v>
      </c>
      <c r="F2004" t="s">
        <v>3538</v>
      </c>
      <c r="G2004" t="s">
        <v>39</v>
      </c>
      <c r="H2004">
        <v>1967</v>
      </c>
      <c r="I2004" t="s">
        <v>729</v>
      </c>
      <c r="J2004" t="s">
        <v>729</v>
      </c>
      <c r="K2004" t="s">
        <v>729</v>
      </c>
      <c r="L2004" t="s">
        <v>729</v>
      </c>
      <c r="M2004" t="s">
        <v>729</v>
      </c>
      <c r="N2004" t="s">
        <v>729</v>
      </c>
      <c r="O2004" t="s">
        <v>729</v>
      </c>
      <c r="P2004" t="s">
        <v>729</v>
      </c>
      <c r="Q2004" t="s">
        <v>729</v>
      </c>
      <c r="R2004" t="s">
        <v>729</v>
      </c>
      <c r="S2004" t="s">
        <v>729</v>
      </c>
      <c r="T2004" t="s">
        <v>729</v>
      </c>
      <c r="U2004" t="s">
        <v>729</v>
      </c>
      <c r="V2004" t="s">
        <v>729</v>
      </c>
      <c r="W2004" t="s">
        <v>729</v>
      </c>
      <c r="X2004" t="s">
        <v>729</v>
      </c>
      <c r="Y2004" t="s">
        <v>729</v>
      </c>
      <c r="Z2004" t="s">
        <v>729</v>
      </c>
      <c r="AA2004" t="s">
        <v>729</v>
      </c>
      <c r="AB2004" t="s">
        <v>729</v>
      </c>
      <c r="AC2004" t="s">
        <v>729</v>
      </c>
      <c r="AD2004" t="s">
        <v>729</v>
      </c>
      <c r="AE2004" t="s">
        <v>729</v>
      </c>
      <c r="AF2004" t="s">
        <v>729</v>
      </c>
      <c r="AG2004" t="str">
        <f>IFERROR(AH2004*0.1, "N/A")</f>
        <v>N/A</v>
      </c>
      <c r="AH2004" t="s">
        <v>729</v>
      </c>
      <c r="AI2004" t="s">
        <v>729</v>
      </c>
      <c r="AJ2004" t="s">
        <v>729</v>
      </c>
      <c r="AK2004" t="s">
        <v>729</v>
      </c>
    </row>
    <row r="2005" spans="1:37" x14ac:dyDescent="0.3">
      <c r="A2005">
        <v>2004</v>
      </c>
      <c r="B2005">
        <v>23.6</v>
      </c>
      <c r="C2005">
        <v>39.299999</v>
      </c>
      <c r="D2005">
        <v>-6.8214199999999998</v>
      </c>
      <c r="E2005" t="s">
        <v>3539</v>
      </c>
      <c r="F2005" t="s">
        <v>3540</v>
      </c>
      <c r="G2005" t="s">
        <v>39</v>
      </c>
      <c r="H2005">
        <v>1967</v>
      </c>
      <c r="I2005" t="s">
        <v>729</v>
      </c>
      <c r="J2005" t="s">
        <v>729</v>
      </c>
      <c r="K2005" t="s">
        <v>729</v>
      </c>
      <c r="L2005" t="s">
        <v>729</v>
      </c>
      <c r="M2005" t="s">
        <v>729</v>
      </c>
      <c r="N2005" t="s">
        <v>729</v>
      </c>
      <c r="O2005" t="s">
        <v>729</v>
      </c>
      <c r="P2005" t="s">
        <v>729</v>
      </c>
      <c r="Q2005" t="s">
        <v>729</v>
      </c>
      <c r="R2005" t="s">
        <v>729</v>
      </c>
      <c r="S2005" t="s">
        <v>729</v>
      </c>
      <c r="T2005" t="s">
        <v>729</v>
      </c>
      <c r="U2005" t="s">
        <v>729</v>
      </c>
      <c r="V2005" t="s">
        <v>729</v>
      </c>
      <c r="W2005" t="s">
        <v>729</v>
      </c>
      <c r="X2005" t="s">
        <v>729</v>
      </c>
      <c r="Y2005" t="s">
        <v>729</v>
      </c>
      <c r="Z2005" t="s">
        <v>729</v>
      </c>
      <c r="AA2005" t="s">
        <v>729</v>
      </c>
      <c r="AB2005" t="s">
        <v>729</v>
      </c>
      <c r="AC2005" t="s">
        <v>729</v>
      </c>
      <c r="AD2005" t="s">
        <v>729</v>
      </c>
      <c r="AE2005" t="s">
        <v>729</v>
      </c>
      <c r="AF2005" t="s">
        <v>729</v>
      </c>
      <c r="AG2005" t="str">
        <f>IFERROR(AH2005*0.1, "N/A")</f>
        <v>N/A</v>
      </c>
      <c r="AH2005" t="s">
        <v>729</v>
      </c>
      <c r="AI2005" t="s">
        <v>729</v>
      </c>
      <c r="AJ2005" t="s">
        <v>729</v>
      </c>
      <c r="AK2005" t="s">
        <v>729</v>
      </c>
    </row>
    <row r="2006" spans="1:37" x14ac:dyDescent="0.3">
      <c r="A2006">
        <v>2005</v>
      </c>
      <c r="B2006">
        <v>0</v>
      </c>
      <c r="C2006">
        <v>36.726298999999997</v>
      </c>
      <c r="D2006">
        <v>-8.0904799999999994</v>
      </c>
      <c r="E2006" t="s">
        <v>2996</v>
      </c>
      <c r="F2006" t="s">
        <v>3541</v>
      </c>
      <c r="G2006" t="s">
        <v>37</v>
      </c>
      <c r="H2006">
        <v>1987</v>
      </c>
      <c r="I2006">
        <v>24.700000762939499</v>
      </c>
      <c r="J2006">
        <v>6.8000001907348597</v>
      </c>
      <c r="K2006">
        <v>51</v>
      </c>
      <c r="L2006">
        <v>18.299999237060501</v>
      </c>
      <c r="M2006">
        <v>30.799999237060501</v>
      </c>
      <c r="N2006">
        <v>17.700000762939499</v>
      </c>
      <c r="O2006">
        <v>13.1000003814697</v>
      </c>
      <c r="P2006">
        <v>25.600000381469702</v>
      </c>
      <c r="Q2006">
        <v>22.5</v>
      </c>
      <c r="R2006">
        <v>26.700000762939499</v>
      </c>
      <c r="S2006">
        <v>22</v>
      </c>
      <c r="T2006">
        <v>1453</v>
      </c>
      <c r="U2006">
        <v>355</v>
      </c>
      <c r="V2006">
        <v>6</v>
      </c>
      <c r="W2006">
        <v>97</v>
      </c>
      <c r="X2006">
        <v>874</v>
      </c>
      <c r="Y2006">
        <v>31</v>
      </c>
      <c r="Z2006">
        <v>400</v>
      </c>
      <c r="AA2006">
        <v>37</v>
      </c>
      <c r="AB2006">
        <v>15.151029910183301</v>
      </c>
      <c r="AC2006">
        <v>8.4644606543199993E-3</v>
      </c>
      <c r="AD2006">
        <v>1.82985997633126</v>
      </c>
      <c r="AE2006">
        <v>0.54659909690540098</v>
      </c>
      <c r="AF2006">
        <v>274.23010380622799</v>
      </c>
      <c r="AG2006">
        <f>IFERROR(AH2006*0.1, "N/A")</f>
        <v>6.1051903114186805</v>
      </c>
      <c r="AH2006">
        <v>61.0519031141868</v>
      </c>
      <c r="AI2006">
        <v>157.825842821062</v>
      </c>
      <c r="AJ2006">
        <v>21.268166089965401</v>
      </c>
      <c r="AK2006">
        <v>61.463667820069197</v>
      </c>
    </row>
    <row r="2007" spans="1:37" x14ac:dyDescent="0.3">
      <c r="A2007">
        <v>2006</v>
      </c>
      <c r="B2007">
        <v>27.1</v>
      </c>
      <c r="C2007">
        <v>35.983500999999997</v>
      </c>
      <c r="D2007">
        <v>-7.0321899999999999</v>
      </c>
      <c r="E2007" t="s">
        <v>3542</v>
      </c>
      <c r="F2007" t="s">
        <v>3543</v>
      </c>
      <c r="G2007" t="s">
        <v>39</v>
      </c>
      <c r="H2007">
        <v>1978</v>
      </c>
      <c r="I2007">
        <v>23.398434395168099</v>
      </c>
      <c r="J2007">
        <v>11.5920003509521</v>
      </c>
      <c r="K2007">
        <v>67.984347826086903</v>
      </c>
      <c r="L2007">
        <v>14.3738957496311</v>
      </c>
      <c r="M2007">
        <v>31.598435158107598</v>
      </c>
      <c r="N2007">
        <v>14.6048699038962</v>
      </c>
      <c r="O2007">
        <v>16.993565192844599</v>
      </c>
      <c r="P2007">
        <v>24.304868850708001</v>
      </c>
      <c r="Q2007">
        <v>21.204870223998999</v>
      </c>
      <c r="R2007">
        <v>24.806434044216001</v>
      </c>
      <c r="S2007">
        <v>21.204870223998999</v>
      </c>
      <c r="T2007">
        <v>540.74086956521705</v>
      </c>
      <c r="U2007">
        <v>122.015652173913</v>
      </c>
      <c r="V2007">
        <v>0</v>
      </c>
      <c r="W2007">
        <v>108.128695652174</v>
      </c>
      <c r="X2007">
        <v>334.96695652173901</v>
      </c>
      <c r="Y2007">
        <v>0</v>
      </c>
      <c r="Z2007">
        <v>258.90260869565202</v>
      </c>
      <c r="AA2007">
        <v>0</v>
      </c>
      <c r="AB2007">
        <v>38.962640646229602</v>
      </c>
      <c r="AC2007">
        <v>2.3654204571376999E-2</v>
      </c>
      <c r="AD2007">
        <v>4.7652363445447898</v>
      </c>
      <c r="AE2007">
        <v>0.288632482290268</v>
      </c>
      <c r="AF2007">
        <v>805.11652173913001</v>
      </c>
      <c r="AG2007">
        <f>IFERROR(AH2007*0.1, "N/A")</f>
        <v>7.0871304347826101</v>
      </c>
      <c r="AH2007">
        <v>70.871304347826097</v>
      </c>
      <c r="AI2007">
        <v>300.458262196416</v>
      </c>
      <c r="AJ2007">
        <v>19.796521739130402</v>
      </c>
      <c r="AK2007">
        <v>67.114782608695606</v>
      </c>
    </row>
    <row r="2008" spans="1:37" x14ac:dyDescent="0.3">
      <c r="A2008">
        <v>2007</v>
      </c>
      <c r="B2008">
        <v>5.7</v>
      </c>
      <c r="C2008">
        <v>35.983500999999997</v>
      </c>
      <c r="D2008">
        <v>-7.0321899999999999</v>
      </c>
      <c r="E2008" t="s">
        <v>3542</v>
      </c>
      <c r="F2008" t="s">
        <v>3544</v>
      </c>
      <c r="G2008" t="s">
        <v>37</v>
      </c>
      <c r="H2008">
        <v>1978</v>
      </c>
      <c r="I2008">
        <v>23.398434395168099</v>
      </c>
      <c r="J2008">
        <v>11.5920003509521</v>
      </c>
      <c r="K2008">
        <v>67.984347826086903</v>
      </c>
      <c r="L2008">
        <v>14.3738957496311</v>
      </c>
      <c r="M2008">
        <v>31.598435158107598</v>
      </c>
      <c r="N2008">
        <v>14.6048699038962</v>
      </c>
      <c r="O2008">
        <v>16.993565192844599</v>
      </c>
      <c r="P2008">
        <v>24.304868850708001</v>
      </c>
      <c r="Q2008">
        <v>21.204870223998999</v>
      </c>
      <c r="R2008">
        <v>24.806434044216001</v>
      </c>
      <c r="S2008">
        <v>21.204870223998999</v>
      </c>
      <c r="T2008">
        <v>540.74086956521705</v>
      </c>
      <c r="U2008">
        <v>122.015652173913</v>
      </c>
      <c r="V2008">
        <v>0</v>
      </c>
      <c r="W2008">
        <v>108.128695652174</v>
      </c>
      <c r="X2008">
        <v>334.96695652173901</v>
      </c>
      <c r="Y2008">
        <v>0</v>
      </c>
      <c r="Z2008">
        <v>258.90260869565202</v>
      </c>
      <c r="AA2008">
        <v>0</v>
      </c>
      <c r="AB2008">
        <v>38.962640646229602</v>
      </c>
      <c r="AC2008">
        <v>2.3654204571376999E-2</v>
      </c>
      <c r="AD2008">
        <v>4.7652363445447898</v>
      </c>
      <c r="AE2008">
        <v>0.288632482290268</v>
      </c>
      <c r="AF2008">
        <v>805.11652173913001</v>
      </c>
      <c r="AG2008">
        <f>IFERROR(AH2008*0.1, "N/A")</f>
        <v>7.0871304347826101</v>
      </c>
      <c r="AH2008">
        <v>70.871304347826097</v>
      </c>
      <c r="AI2008">
        <v>300.458262196416</v>
      </c>
      <c r="AJ2008">
        <v>19.796521739130402</v>
      </c>
      <c r="AK2008">
        <v>67.114782608695606</v>
      </c>
    </row>
    <row r="2009" spans="1:37" x14ac:dyDescent="0.3">
      <c r="A2009">
        <v>2008</v>
      </c>
      <c r="B2009">
        <v>4.5999999999999996</v>
      </c>
      <c r="C2009">
        <v>35.7104</v>
      </c>
      <c r="D2009">
        <v>-7.2128699999999997</v>
      </c>
      <c r="E2009" t="s">
        <v>3545</v>
      </c>
      <c r="F2009" t="s">
        <v>3546</v>
      </c>
      <c r="G2009" t="s">
        <v>39</v>
      </c>
      <c r="H2009">
        <v>1978</v>
      </c>
      <c r="I2009">
        <v>23.700000762939499</v>
      </c>
      <c r="J2009">
        <v>11.199999809265099</v>
      </c>
      <c r="K2009">
        <v>67</v>
      </c>
      <c r="L2009">
        <v>13.9899997711182</v>
      </c>
      <c r="M2009">
        <v>31.899999618530298</v>
      </c>
      <c r="N2009">
        <v>15.199999809265099</v>
      </c>
      <c r="O2009">
        <v>16.700000762939499</v>
      </c>
      <c r="P2009">
        <v>24.799999237060501</v>
      </c>
      <c r="Q2009">
        <v>21.600000381469702</v>
      </c>
      <c r="R2009">
        <v>25.200000762939499</v>
      </c>
      <c r="S2009">
        <v>21.600000381469702</v>
      </c>
      <c r="T2009">
        <v>500</v>
      </c>
      <c r="U2009">
        <v>110</v>
      </c>
      <c r="V2009">
        <v>0</v>
      </c>
      <c r="W2009">
        <v>108</v>
      </c>
      <c r="X2009">
        <v>306</v>
      </c>
      <c r="Y2009">
        <v>0</v>
      </c>
      <c r="Z2009">
        <v>238</v>
      </c>
      <c r="AA2009">
        <v>0</v>
      </c>
      <c r="AB2009">
        <v>6.5705375006805298</v>
      </c>
      <c r="AC2009">
        <v>9.0578315286319998E-3</v>
      </c>
      <c r="AD2009">
        <v>1.2644516688606</v>
      </c>
      <c r="AE2009">
        <v>0.20456814765930201</v>
      </c>
      <c r="AF2009">
        <v>727.28745644599303</v>
      </c>
      <c r="AG2009">
        <f>IFERROR(AH2009*0.1, "N/A")</f>
        <v>7.7231707317073202</v>
      </c>
      <c r="AH2009">
        <v>77.231707317073202</v>
      </c>
      <c r="AI2009">
        <v>259.900131876876</v>
      </c>
      <c r="AJ2009">
        <v>22.282229965156802</v>
      </c>
      <c r="AK2009">
        <v>62.9494773519164</v>
      </c>
    </row>
    <row r="2010" spans="1:37" x14ac:dyDescent="0.3">
      <c r="A2010">
        <v>2009</v>
      </c>
      <c r="B2010">
        <v>3.1</v>
      </c>
      <c r="C2010">
        <v>35.7104</v>
      </c>
      <c r="D2010">
        <v>-7.2128699999999997</v>
      </c>
      <c r="E2010" t="s">
        <v>3545</v>
      </c>
      <c r="F2010" t="s">
        <v>3547</v>
      </c>
      <c r="G2010" t="s">
        <v>37</v>
      </c>
      <c r="H2010">
        <v>1978</v>
      </c>
      <c r="I2010">
        <v>23.700000762939499</v>
      </c>
      <c r="J2010">
        <v>11.199999809265099</v>
      </c>
      <c r="K2010">
        <v>67</v>
      </c>
      <c r="L2010">
        <v>13.9899997711182</v>
      </c>
      <c r="M2010">
        <v>31.899999618530298</v>
      </c>
      <c r="N2010">
        <v>15.199999809265099</v>
      </c>
      <c r="O2010">
        <v>16.700000762939499</v>
      </c>
      <c r="P2010">
        <v>24.799999237060501</v>
      </c>
      <c r="Q2010">
        <v>21.600000381469702</v>
      </c>
      <c r="R2010">
        <v>25.200000762939499</v>
      </c>
      <c r="S2010">
        <v>21.600000381469702</v>
      </c>
      <c r="T2010">
        <v>500</v>
      </c>
      <c r="U2010">
        <v>110</v>
      </c>
      <c r="V2010">
        <v>0</v>
      </c>
      <c r="W2010">
        <v>108</v>
      </c>
      <c r="X2010">
        <v>306</v>
      </c>
      <c r="Y2010">
        <v>0</v>
      </c>
      <c r="Z2010">
        <v>238</v>
      </c>
      <c r="AA2010">
        <v>0</v>
      </c>
      <c r="AB2010">
        <v>6.5705375006805298</v>
      </c>
      <c r="AC2010">
        <v>9.0578315286319998E-3</v>
      </c>
      <c r="AD2010">
        <v>1.2644516688606</v>
      </c>
      <c r="AE2010">
        <v>0.20456814765930201</v>
      </c>
      <c r="AF2010">
        <v>727.28745644599303</v>
      </c>
      <c r="AG2010">
        <f>IFERROR(AH2010*0.1, "N/A")</f>
        <v>7.7231707317073202</v>
      </c>
      <c r="AH2010">
        <v>77.231707317073202</v>
      </c>
      <c r="AI2010">
        <v>259.900131876876</v>
      </c>
      <c r="AJ2010">
        <v>22.282229965156802</v>
      </c>
      <c r="AK2010">
        <v>62.9494773519164</v>
      </c>
    </row>
    <row r="2011" spans="1:37" x14ac:dyDescent="0.3">
      <c r="A2011">
        <v>2010</v>
      </c>
      <c r="B2011">
        <v>10.9</v>
      </c>
      <c r="C2011">
        <v>37.004100999999999</v>
      </c>
      <c r="D2011">
        <v>-7.58345</v>
      </c>
      <c r="E2011" t="s">
        <v>3548</v>
      </c>
      <c r="F2011" t="s">
        <v>3549</v>
      </c>
      <c r="G2011" t="s">
        <v>39</v>
      </c>
      <c r="H2011">
        <v>1977</v>
      </c>
      <c r="I2011">
        <v>24.5</v>
      </c>
      <c r="J2011">
        <v>7.3000001907348597</v>
      </c>
      <c r="K2011">
        <v>54</v>
      </c>
      <c r="L2011">
        <v>19.599286598537301</v>
      </c>
      <c r="M2011">
        <v>30.600000381469702</v>
      </c>
      <c r="N2011">
        <v>17.100000381469702</v>
      </c>
      <c r="O2011">
        <v>13.5</v>
      </c>
      <c r="P2011">
        <v>25.799999237060501</v>
      </c>
      <c r="Q2011">
        <v>22.100000381469702</v>
      </c>
      <c r="R2011">
        <v>26.5</v>
      </c>
      <c r="S2011">
        <v>21.600000381469702</v>
      </c>
      <c r="T2011">
        <v>1306.54956521739</v>
      </c>
      <c r="U2011">
        <v>301.137391304348</v>
      </c>
      <c r="V2011">
        <v>9</v>
      </c>
      <c r="W2011">
        <v>84</v>
      </c>
      <c r="X2011">
        <v>704.89565217391305</v>
      </c>
      <c r="Y2011">
        <v>42.379130434782603</v>
      </c>
      <c r="Z2011">
        <v>396.75826086956499</v>
      </c>
      <c r="AA2011">
        <v>47.758260869565198</v>
      </c>
      <c r="AB2011">
        <v>8.1787838081691593</v>
      </c>
      <c r="AC2011">
        <v>2.0677982801976E-2</v>
      </c>
      <c r="AD2011">
        <v>1.85622378618821</v>
      </c>
      <c r="AE2011">
        <v>0.354431062936783</v>
      </c>
      <c r="AF2011">
        <v>308.39130434782601</v>
      </c>
      <c r="AG2011">
        <f>IFERROR(AH2011*0.1, "N/A")</f>
        <v>6.00086956521739</v>
      </c>
      <c r="AH2011">
        <v>60.008695652173898</v>
      </c>
      <c r="AI2011">
        <v>142.395661753779</v>
      </c>
      <c r="AJ2011">
        <v>33.669565217391302</v>
      </c>
      <c r="AK2011">
        <v>47.660869565217403</v>
      </c>
    </row>
    <row r="2012" spans="1:37" x14ac:dyDescent="0.3">
      <c r="A2012">
        <v>2011</v>
      </c>
      <c r="B2012">
        <v>2.2000000000000002</v>
      </c>
      <c r="C2012">
        <v>37.004100999999999</v>
      </c>
      <c r="D2012">
        <v>-7.58345</v>
      </c>
      <c r="E2012" t="s">
        <v>3548</v>
      </c>
      <c r="F2012" t="s">
        <v>3550</v>
      </c>
      <c r="G2012" t="s">
        <v>37</v>
      </c>
      <c r="H2012">
        <v>1977</v>
      </c>
      <c r="I2012">
        <v>24.5</v>
      </c>
      <c r="J2012">
        <v>7.3000001907348597</v>
      </c>
      <c r="K2012">
        <v>54</v>
      </c>
      <c r="L2012">
        <v>19.599286598537301</v>
      </c>
      <c r="M2012">
        <v>30.600000381469702</v>
      </c>
      <c r="N2012">
        <v>17.100000381469702</v>
      </c>
      <c r="O2012">
        <v>13.5</v>
      </c>
      <c r="P2012">
        <v>25.799999237060501</v>
      </c>
      <c r="Q2012">
        <v>22.100000381469702</v>
      </c>
      <c r="R2012">
        <v>26.5</v>
      </c>
      <c r="S2012">
        <v>21.600000381469702</v>
      </c>
      <c r="T2012">
        <v>1306.54956521739</v>
      </c>
      <c r="U2012">
        <v>301.137391304348</v>
      </c>
      <c r="V2012">
        <v>9</v>
      </c>
      <c r="W2012">
        <v>84</v>
      </c>
      <c r="X2012">
        <v>704.89565217391305</v>
      </c>
      <c r="Y2012">
        <v>42.379130434782603</v>
      </c>
      <c r="Z2012">
        <v>396.75826086956499</v>
      </c>
      <c r="AA2012">
        <v>47.758260869565198</v>
      </c>
      <c r="AB2012">
        <v>8.1787838081691593</v>
      </c>
      <c r="AC2012">
        <v>2.0677982801976E-2</v>
      </c>
      <c r="AD2012">
        <v>1.85622378618821</v>
      </c>
      <c r="AE2012">
        <v>0.354431062936783</v>
      </c>
      <c r="AF2012">
        <v>308.39130434782601</v>
      </c>
      <c r="AG2012">
        <f>IFERROR(AH2012*0.1, "N/A")</f>
        <v>6.00086956521739</v>
      </c>
      <c r="AH2012">
        <v>60.008695652173898</v>
      </c>
      <c r="AI2012">
        <v>142.395661753779</v>
      </c>
      <c r="AJ2012">
        <v>33.669565217391302</v>
      </c>
      <c r="AK2012">
        <v>47.660869565217403</v>
      </c>
    </row>
    <row r="2013" spans="1:37" x14ac:dyDescent="0.3">
      <c r="A2013">
        <v>2012</v>
      </c>
      <c r="B2013">
        <v>6.3</v>
      </c>
      <c r="C2013">
        <v>36.999901000000001</v>
      </c>
      <c r="D2013">
        <v>-7.5979700000000001</v>
      </c>
      <c r="E2013" t="s">
        <v>3551</v>
      </c>
      <c r="F2013" t="s">
        <v>3552</v>
      </c>
      <c r="G2013" t="s">
        <v>39</v>
      </c>
      <c r="H2013">
        <v>1977</v>
      </c>
      <c r="I2013">
        <v>24.399999618530298</v>
      </c>
      <c r="J2013">
        <v>7.1999998092651403</v>
      </c>
      <c r="K2013">
        <v>52</v>
      </c>
      <c r="L2013">
        <v>20.2311465243498</v>
      </c>
      <c r="M2013">
        <v>30.600000381469702</v>
      </c>
      <c r="N2013">
        <v>17</v>
      </c>
      <c r="O2013">
        <v>13.6000003814697</v>
      </c>
      <c r="P2013">
        <v>25.758854031562802</v>
      </c>
      <c r="Q2013">
        <v>22</v>
      </c>
      <c r="R2013">
        <v>26.5</v>
      </c>
      <c r="S2013">
        <v>21.4588540097078</v>
      </c>
      <c r="T2013">
        <v>1324.6458333333301</v>
      </c>
      <c r="U2013">
        <v>306</v>
      </c>
      <c r="V2013">
        <v>9</v>
      </c>
      <c r="W2013">
        <v>84</v>
      </c>
      <c r="X2013">
        <v>714.234375</v>
      </c>
      <c r="Y2013">
        <v>44</v>
      </c>
      <c r="Z2013">
        <v>400.41145833333297</v>
      </c>
      <c r="AA2013">
        <v>49</v>
      </c>
      <c r="AB2013">
        <v>1.43280945883857</v>
      </c>
      <c r="AC2013">
        <v>0.45659077512553098</v>
      </c>
      <c r="AD2013">
        <v>1.6989003668228799</v>
      </c>
      <c r="AE2013">
        <v>0.44691248160476499</v>
      </c>
      <c r="AF2013">
        <v>298.234375</v>
      </c>
      <c r="AG2013">
        <f>IFERROR(AH2013*0.1, "N/A")</f>
        <v>6.0177083333333306</v>
      </c>
      <c r="AH2013">
        <v>60.1770833333333</v>
      </c>
      <c r="AI2013">
        <v>88.694654213057603</v>
      </c>
      <c r="AJ2013">
        <v>31.765625</v>
      </c>
      <c r="AK2013">
        <v>52.6458333333333</v>
      </c>
    </row>
    <row r="2014" spans="1:37" x14ac:dyDescent="0.3">
      <c r="A2014">
        <v>2013</v>
      </c>
      <c r="B2014">
        <v>9.5</v>
      </c>
      <c r="C2014">
        <v>36.993698000000002</v>
      </c>
      <c r="D2014">
        <v>-7.6308100000000003</v>
      </c>
      <c r="E2014" t="s">
        <v>3553</v>
      </c>
      <c r="F2014" t="s">
        <v>3554</v>
      </c>
      <c r="G2014" t="s">
        <v>39</v>
      </c>
      <c r="H2014">
        <v>1977</v>
      </c>
      <c r="I2014">
        <v>24.399999618530298</v>
      </c>
      <c r="J2014">
        <v>7</v>
      </c>
      <c r="K2014">
        <v>52</v>
      </c>
      <c r="L2014">
        <v>20.440000534057599</v>
      </c>
      <c r="M2014">
        <v>30.399999618530298</v>
      </c>
      <c r="N2014">
        <v>17</v>
      </c>
      <c r="O2014">
        <v>13.3999996185303</v>
      </c>
      <c r="P2014">
        <v>25.700000762939499</v>
      </c>
      <c r="Q2014">
        <v>21.899999618530298</v>
      </c>
      <c r="R2014">
        <v>26.399999618530298</v>
      </c>
      <c r="S2014">
        <v>21.399999618530298</v>
      </c>
      <c r="T2014">
        <v>1359</v>
      </c>
      <c r="U2014">
        <v>318</v>
      </c>
      <c r="V2014">
        <v>10</v>
      </c>
      <c r="W2014">
        <v>85</v>
      </c>
      <c r="X2014">
        <v>735</v>
      </c>
      <c r="Y2014">
        <v>45</v>
      </c>
      <c r="Z2014">
        <v>407</v>
      </c>
      <c r="AA2014">
        <v>51</v>
      </c>
      <c r="AB2014">
        <v>13.591300261124299</v>
      </c>
      <c r="AC2014">
        <v>2.1309414131809999E-2</v>
      </c>
      <c r="AD2014">
        <v>1.8872820275762801</v>
      </c>
      <c r="AE2014">
        <v>0.514719125809877</v>
      </c>
      <c r="AF2014">
        <v>299.30608695652199</v>
      </c>
      <c r="AG2014">
        <f>IFERROR(AH2014*0.1, "N/A")</f>
        <v>5.9128695652173908</v>
      </c>
      <c r="AH2014">
        <v>59.128695652173903</v>
      </c>
      <c r="AI2014">
        <v>84.279779669720199</v>
      </c>
      <c r="AJ2014">
        <v>33.662608695652203</v>
      </c>
      <c r="AK2014">
        <v>49.208695652173901</v>
      </c>
    </row>
    <row r="2015" spans="1:37" x14ac:dyDescent="0.3">
      <c r="A2015">
        <v>2014</v>
      </c>
      <c r="B2015">
        <v>12.8</v>
      </c>
      <c r="C2015">
        <v>36.918799999999997</v>
      </c>
      <c r="D2015">
        <v>-7.6473199999999997</v>
      </c>
      <c r="E2015" t="s">
        <v>3555</v>
      </c>
      <c r="F2015" t="s">
        <v>3556</v>
      </c>
      <c r="G2015" t="s">
        <v>39</v>
      </c>
      <c r="H2015">
        <v>1977</v>
      </c>
      <c r="I2015">
        <v>23.799999237060501</v>
      </c>
      <c r="J2015">
        <v>7.5999999046325701</v>
      </c>
      <c r="K2015">
        <v>56</v>
      </c>
      <c r="L2015">
        <v>17.600000381469702</v>
      </c>
      <c r="M2015">
        <v>30</v>
      </c>
      <c r="N2015">
        <v>16.5</v>
      </c>
      <c r="O2015">
        <v>13.5</v>
      </c>
      <c r="P2015">
        <v>24.799999237060501</v>
      </c>
      <c r="Q2015">
        <v>21.700000762939499</v>
      </c>
      <c r="R2015">
        <v>25.600000381469702</v>
      </c>
      <c r="S2015">
        <v>21.200000762939499</v>
      </c>
      <c r="T2015">
        <v>1419</v>
      </c>
      <c r="U2015">
        <v>315</v>
      </c>
      <c r="V2015">
        <v>9</v>
      </c>
      <c r="W2015">
        <v>85</v>
      </c>
      <c r="X2015">
        <v>786</v>
      </c>
      <c r="Y2015">
        <v>45</v>
      </c>
      <c r="Z2015">
        <v>421</v>
      </c>
      <c r="AA2015">
        <v>52</v>
      </c>
      <c r="AB2015">
        <v>149.97968117395999</v>
      </c>
      <c r="AC2015">
        <v>2.5625915855118E-2</v>
      </c>
      <c r="AD2015">
        <v>16.167155184679601</v>
      </c>
      <c r="AE2015">
        <v>0.201094180267925</v>
      </c>
      <c r="AF2015">
        <v>577.92013888888903</v>
      </c>
      <c r="AG2015">
        <f>IFERROR(AH2015*0.1, "N/A")</f>
        <v>5.9630208333333306</v>
      </c>
      <c r="AH2015">
        <v>59.6302083333333</v>
      </c>
      <c r="AI2015">
        <v>61.760341253545498</v>
      </c>
      <c r="AJ2015">
        <v>34</v>
      </c>
      <c r="AK2015">
        <v>45</v>
      </c>
    </row>
    <row r="2016" spans="1:37" x14ac:dyDescent="0.3">
      <c r="A2016">
        <v>2015</v>
      </c>
      <c r="B2016">
        <v>0</v>
      </c>
      <c r="C2016">
        <v>36.918799999999997</v>
      </c>
      <c r="D2016">
        <v>-7.6473199999999997</v>
      </c>
      <c r="E2016" t="s">
        <v>3555</v>
      </c>
      <c r="F2016" t="s">
        <v>3557</v>
      </c>
      <c r="G2016" t="s">
        <v>37</v>
      </c>
      <c r="H2016">
        <v>1977</v>
      </c>
      <c r="I2016">
        <v>23.799999237060501</v>
      </c>
      <c r="J2016">
        <v>7.5999999046325701</v>
      </c>
      <c r="K2016">
        <v>56</v>
      </c>
      <c r="L2016">
        <v>17.600000381469702</v>
      </c>
      <c r="M2016">
        <v>30</v>
      </c>
      <c r="N2016">
        <v>16.5</v>
      </c>
      <c r="O2016">
        <v>13.5</v>
      </c>
      <c r="P2016">
        <v>24.799999237060501</v>
      </c>
      <c r="Q2016">
        <v>21.700000762939499</v>
      </c>
      <c r="R2016">
        <v>25.600000381469702</v>
      </c>
      <c r="S2016">
        <v>21.200000762939499</v>
      </c>
      <c r="T2016">
        <v>1419</v>
      </c>
      <c r="U2016">
        <v>315</v>
      </c>
      <c r="V2016">
        <v>9</v>
      </c>
      <c r="W2016">
        <v>85</v>
      </c>
      <c r="X2016">
        <v>786</v>
      </c>
      <c r="Y2016">
        <v>45</v>
      </c>
      <c r="Z2016">
        <v>421</v>
      </c>
      <c r="AA2016">
        <v>52</v>
      </c>
      <c r="AB2016">
        <v>149.97968117395999</v>
      </c>
      <c r="AC2016">
        <v>2.5625915855118E-2</v>
      </c>
      <c r="AD2016">
        <v>16.167155184679601</v>
      </c>
      <c r="AE2016">
        <v>0.201094180267925</v>
      </c>
      <c r="AF2016">
        <v>577.92013888888903</v>
      </c>
      <c r="AG2016">
        <f>IFERROR(AH2016*0.1, "N/A")</f>
        <v>5.9630208333333306</v>
      </c>
      <c r="AH2016">
        <v>59.6302083333333</v>
      </c>
      <c r="AI2016">
        <v>61.760341253545498</v>
      </c>
      <c r="AJ2016">
        <v>34</v>
      </c>
      <c r="AK2016">
        <v>45</v>
      </c>
    </row>
    <row r="2017" spans="1:37" x14ac:dyDescent="0.3">
      <c r="A2017">
        <v>2016</v>
      </c>
      <c r="B2017">
        <v>18</v>
      </c>
      <c r="C2017">
        <v>36.998699000000002</v>
      </c>
      <c r="D2017">
        <v>-7.6770300000000002</v>
      </c>
      <c r="E2017" t="s">
        <v>3558</v>
      </c>
      <c r="F2017" t="s">
        <v>3559</v>
      </c>
      <c r="G2017" t="s">
        <v>39</v>
      </c>
      <c r="H2017">
        <v>1977</v>
      </c>
      <c r="I2017">
        <v>24.299999237060501</v>
      </c>
      <c r="J2017">
        <v>6.8000001907348597</v>
      </c>
      <c r="K2017">
        <v>51</v>
      </c>
      <c r="L2017">
        <v>20.5</v>
      </c>
      <c r="M2017">
        <v>30.299999237060501</v>
      </c>
      <c r="N2017">
        <v>17</v>
      </c>
      <c r="O2017">
        <v>13.300000190734901</v>
      </c>
      <c r="P2017">
        <v>25.700000762939499</v>
      </c>
      <c r="Q2017">
        <v>21.799999237060501</v>
      </c>
      <c r="R2017">
        <v>26.399999618530298</v>
      </c>
      <c r="S2017">
        <v>21.299999237060501</v>
      </c>
      <c r="T2017">
        <v>1407</v>
      </c>
      <c r="U2017">
        <v>334</v>
      </c>
      <c r="V2017">
        <v>10</v>
      </c>
      <c r="W2017">
        <v>85</v>
      </c>
      <c r="X2017">
        <v>764</v>
      </c>
      <c r="Y2017">
        <v>46</v>
      </c>
      <c r="Z2017">
        <v>417</v>
      </c>
      <c r="AA2017">
        <v>53</v>
      </c>
      <c r="AB2017">
        <v>0.45459037265083402</v>
      </c>
      <c r="AC2017">
        <v>0.57144401174206505</v>
      </c>
      <c r="AD2017">
        <v>1.5296841473472</v>
      </c>
      <c r="AE2017">
        <v>0.46634846925735501</v>
      </c>
      <c r="AF2017">
        <v>275.68804159445398</v>
      </c>
      <c r="AG2017">
        <f>IFERROR(AH2017*0.1, "N/A")</f>
        <v>6.0972270363951502</v>
      </c>
      <c r="AH2017">
        <v>60.972270363951502</v>
      </c>
      <c r="AI2017">
        <v>140.926832942863</v>
      </c>
      <c r="AJ2017">
        <v>36.972270363951502</v>
      </c>
      <c r="AK2017">
        <v>43.083188908145601</v>
      </c>
    </row>
    <row r="2018" spans="1:37" x14ac:dyDescent="0.3">
      <c r="A2018">
        <v>2017</v>
      </c>
      <c r="B2018">
        <v>41.400002000000001</v>
      </c>
      <c r="C2018">
        <v>36.963501000000001</v>
      </c>
      <c r="D2018">
        <v>-7.6896800000000001</v>
      </c>
      <c r="E2018" t="s">
        <v>3560</v>
      </c>
      <c r="F2018" t="s">
        <v>3561</v>
      </c>
      <c r="G2018" t="s">
        <v>39</v>
      </c>
      <c r="H2018">
        <v>1977</v>
      </c>
      <c r="I2018">
        <v>24.399999618530298</v>
      </c>
      <c r="J2018">
        <v>6.9000000953674299</v>
      </c>
      <c r="K2018">
        <v>52</v>
      </c>
      <c r="L2018">
        <v>19.959999084472699</v>
      </c>
      <c r="M2018">
        <v>30.399999618530298</v>
      </c>
      <c r="N2018">
        <v>17.200000762939499</v>
      </c>
      <c r="O2018">
        <v>13.199999809265099</v>
      </c>
      <c r="P2018">
        <v>25.700000762939499</v>
      </c>
      <c r="Q2018">
        <v>22.100000381469702</v>
      </c>
      <c r="R2018">
        <v>26.600000381469702</v>
      </c>
      <c r="S2018">
        <v>21.5</v>
      </c>
      <c r="T2018">
        <v>1434</v>
      </c>
      <c r="U2018">
        <v>340</v>
      </c>
      <c r="V2018">
        <v>11</v>
      </c>
      <c r="W2018">
        <v>86</v>
      </c>
      <c r="X2018">
        <v>786</v>
      </c>
      <c r="Y2018">
        <v>48</v>
      </c>
      <c r="Z2018">
        <v>418</v>
      </c>
      <c r="AA2018">
        <v>55</v>
      </c>
      <c r="AB2018">
        <v>14.419813816236401</v>
      </c>
      <c r="AC2018">
        <v>5.9543628517700002E-2</v>
      </c>
      <c r="AD2018">
        <v>3.4519648974874699</v>
      </c>
      <c r="AE2018">
        <v>0.43519732267960298</v>
      </c>
      <c r="AF2018">
        <v>292.00869565217403</v>
      </c>
      <c r="AG2018">
        <f>IFERROR(AH2018*0.1, "N/A")</f>
        <v>5.6003478260869599</v>
      </c>
      <c r="AH2018">
        <v>56.003478260869599</v>
      </c>
      <c r="AI2018">
        <v>104.871678334112</v>
      </c>
      <c r="AJ2018">
        <v>31.9982608695652</v>
      </c>
      <c r="AK2018">
        <v>49.003478260869599</v>
      </c>
    </row>
    <row r="2019" spans="1:37" x14ac:dyDescent="0.3">
      <c r="A2019">
        <v>2018</v>
      </c>
      <c r="B2019">
        <v>31.700001</v>
      </c>
      <c r="C2019">
        <v>36.958697999999998</v>
      </c>
      <c r="D2019">
        <v>-7.7027200000000002</v>
      </c>
      <c r="E2019" t="s">
        <v>3562</v>
      </c>
      <c r="F2019" t="s">
        <v>3563</v>
      </c>
      <c r="G2019" t="s">
        <v>39</v>
      </c>
      <c r="H2019">
        <v>1977</v>
      </c>
      <c r="I2019">
        <v>24.469217273878002</v>
      </c>
      <c r="J2019">
        <v>6.9000000953674299</v>
      </c>
      <c r="K2019">
        <v>52.307826086956503</v>
      </c>
      <c r="L2019">
        <v>19.650748635996901</v>
      </c>
      <c r="M2019">
        <v>30.3692168924083</v>
      </c>
      <c r="N2019">
        <v>17.299999237060501</v>
      </c>
      <c r="O2019">
        <v>13.0692176553477</v>
      </c>
      <c r="P2019">
        <v>25.700000762939499</v>
      </c>
      <c r="Q2019">
        <v>22.100000381469702</v>
      </c>
      <c r="R2019">
        <v>26.5</v>
      </c>
      <c r="S2019">
        <v>21.600000381469702</v>
      </c>
      <c r="T2019">
        <v>1454.77043478261</v>
      </c>
      <c r="U2019">
        <v>345.30782608695699</v>
      </c>
      <c r="V2019">
        <v>11</v>
      </c>
      <c r="W2019">
        <v>86</v>
      </c>
      <c r="X2019">
        <v>799.46260869565197</v>
      </c>
      <c r="Y2019">
        <v>50</v>
      </c>
      <c r="Z2019">
        <v>421</v>
      </c>
      <c r="AA2019">
        <v>56</v>
      </c>
      <c r="AB2019">
        <v>5.8992897100033996</v>
      </c>
      <c r="AC2019">
        <v>0.163787944874038</v>
      </c>
      <c r="AD2019">
        <v>2.2069637412610299</v>
      </c>
      <c r="AE2019">
        <v>0.376000597165979</v>
      </c>
      <c r="AF2019">
        <v>292.845217391304</v>
      </c>
      <c r="AG2019">
        <f>IFERROR(AH2019*0.1, "N/A")</f>
        <v>5.7692173913043501</v>
      </c>
      <c r="AH2019">
        <v>57.692173913043497</v>
      </c>
      <c r="AI2019">
        <v>122.51171928074</v>
      </c>
      <c r="AJ2019">
        <v>32.514782608695597</v>
      </c>
      <c r="AK2019">
        <v>49.909565217391297</v>
      </c>
    </row>
    <row r="2020" spans="1:37" x14ac:dyDescent="0.3">
      <c r="A2020">
        <v>2019</v>
      </c>
      <c r="B2020">
        <v>7.8</v>
      </c>
      <c r="C2020">
        <v>36.829200999999998</v>
      </c>
      <c r="D2020">
        <v>-7.6391499999999999</v>
      </c>
      <c r="E2020" t="s">
        <v>3564</v>
      </c>
      <c r="F2020" t="s">
        <v>3565</v>
      </c>
      <c r="G2020" t="s">
        <v>39</v>
      </c>
      <c r="H2020">
        <v>1977</v>
      </c>
      <c r="I2020">
        <v>23.799999237060501</v>
      </c>
      <c r="J2020">
        <v>7.8000001907348597</v>
      </c>
      <c r="K2020">
        <v>56</v>
      </c>
      <c r="L2020">
        <v>17.610000610351602</v>
      </c>
      <c r="M2020">
        <v>30.200000762939499</v>
      </c>
      <c r="N2020">
        <v>16.5</v>
      </c>
      <c r="O2020">
        <v>13.699999809265099</v>
      </c>
      <c r="P2020">
        <v>24.799999237060501</v>
      </c>
      <c r="Q2020">
        <v>21.799999237060501</v>
      </c>
      <c r="R2020">
        <v>25.700000762939499</v>
      </c>
      <c r="S2020">
        <v>21.200000762939499</v>
      </c>
      <c r="T2020">
        <v>1411</v>
      </c>
      <c r="U2020">
        <v>311</v>
      </c>
      <c r="V2020">
        <v>9</v>
      </c>
      <c r="W2020">
        <v>87</v>
      </c>
      <c r="X2020">
        <v>787</v>
      </c>
      <c r="Y2020">
        <v>43</v>
      </c>
      <c r="Z2020">
        <v>421</v>
      </c>
      <c r="AA2020">
        <v>50</v>
      </c>
      <c r="AB2020">
        <v>32.686405886341099</v>
      </c>
      <c r="AC2020">
        <v>1.5146017218989E-2</v>
      </c>
      <c r="AD2020">
        <v>6.3486038633339898</v>
      </c>
      <c r="AE2020">
        <v>0.17788207762021199</v>
      </c>
      <c r="AF2020">
        <v>491.02439024390202</v>
      </c>
      <c r="AG2020">
        <f>IFERROR(AH2020*0.1, "N/A")</f>
        <v>6.0904181184669</v>
      </c>
      <c r="AH2020">
        <v>60.904181184669</v>
      </c>
      <c r="AI2020">
        <v>162.92274203948401</v>
      </c>
      <c r="AJ2020">
        <v>31.447735191637602</v>
      </c>
      <c r="AK2020">
        <v>45.466898954703801</v>
      </c>
    </row>
    <row r="2021" spans="1:37" x14ac:dyDescent="0.3">
      <c r="A2021">
        <v>2020</v>
      </c>
      <c r="B2021">
        <v>2</v>
      </c>
      <c r="C2021">
        <v>36.829200999999998</v>
      </c>
      <c r="D2021">
        <v>-7.6391499999999999</v>
      </c>
      <c r="E2021" t="s">
        <v>3564</v>
      </c>
      <c r="F2021" t="s">
        <v>3566</v>
      </c>
      <c r="G2021" t="s">
        <v>37</v>
      </c>
      <c r="H2021">
        <v>1977</v>
      </c>
      <c r="I2021">
        <v>23.799999237060501</v>
      </c>
      <c r="J2021">
        <v>7.8000001907348597</v>
      </c>
      <c r="K2021">
        <v>56</v>
      </c>
      <c r="L2021">
        <v>17.610000610351602</v>
      </c>
      <c r="M2021">
        <v>30.200000762939499</v>
      </c>
      <c r="N2021">
        <v>16.5</v>
      </c>
      <c r="O2021">
        <v>13.699999809265099</v>
      </c>
      <c r="P2021">
        <v>24.799999237060501</v>
      </c>
      <c r="Q2021">
        <v>21.799999237060501</v>
      </c>
      <c r="R2021">
        <v>25.700000762939499</v>
      </c>
      <c r="S2021">
        <v>21.200000762939499</v>
      </c>
      <c r="T2021">
        <v>1411</v>
      </c>
      <c r="U2021">
        <v>311</v>
      </c>
      <c r="V2021">
        <v>9</v>
      </c>
      <c r="W2021">
        <v>87</v>
      </c>
      <c r="X2021">
        <v>787</v>
      </c>
      <c r="Y2021">
        <v>43</v>
      </c>
      <c r="Z2021">
        <v>421</v>
      </c>
      <c r="AA2021">
        <v>50</v>
      </c>
      <c r="AB2021">
        <v>32.686405886341099</v>
      </c>
      <c r="AC2021">
        <v>1.5146017218989E-2</v>
      </c>
      <c r="AD2021">
        <v>6.3486038633339898</v>
      </c>
      <c r="AE2021">
        <v>0.17788207762021199</v>
      </c>
      <c r="AF2021">
        <v>491.02439024390202</v>
      </c>
      <c r="AG2021">
        <f>IFERROR(AH2021*0.1, "N/A")</f>
        <v>6.0904181184669</v>
      </c>
      <c r="AH2021">
        <v>60.904181184669</v>
      </c>
      <c r="AI2021">
        <v>162.92274203948401</v>
      </c>
      <c r="AJ2021">
        <v>31.447735191637602</v>
      </c>
      <c r="AK2021">
        <v>45.466898954703801</v>
      </c>
    </row>
    <row r="2022" spans="1:37" x14ac:dyDescent="0.3">
      <c r="A2022">
        <v>2021</v>
      </c>
      <c r="B2022">
        <v>1.5</v>
      </c>
      <c r="C2022">
        <v>36.897598000000002</v>
      </c>
      <c r="D2022">
        <v>-7.6478200000000003</v>
      </c>
      <c r="E2022" t="s">
        <v>3567</v>
      </c>
      <c r="F2022" t="s">
        <v>3568</v>
      </c>
      <c r="G2022" t="s">
        <v>39</v>
      </c>
      <c r="H2022">
        <v>1977</v>
      </c>
      <c r="I2022">
        <v>23.600000381469702</v>
      </c>
      <c r="J2022">
        <v>7.8000001907348597</v>
      </c>
      <c r="K2022">
        <v>57</v>
      </c>
      <c r="L2022">
        <v>17.370000839233398</v>
      </c>
      <c r="M2022">
        <v>29.899999618530298</v>
      </c>
      <c r="N2022">
        <v>16.299999237060501</v>
      </c>
      <c r="O2022">
        <v>13.6000003814697</v>
      </c>
      <c r="P2022">
        <v>24.600000381469702</v>
      </c>
      <c r="Q2022">
        <v>21.5</v>
      </c>
      <c r="R2022">
        <v>25.399999618530298</v>
      </c>
      <c r="S2022">
        <v>21</v>
      </c>
      <c r="T2022">
        <v>1411</v>
      </c>
      <c r="U2022">
        <v>310</v>
      </c>
      <c r="V2022">
        <v>8</v>
      </c>
      <c r="W2022">
        <v>86</v>
      </c>
      <c r="X2022">
        <v>784</v>
      </c>
      <c r="Y2022">
        <v>42</v>
      </c>
      <c r="Z2022">
        <v>424</v>
      </c>
      <c r="AA2022">
        <v>49</v>
      </c>
      <c r="AB2022">
        <v>259.32760471767801</v>
      </c>
      <c r="AC2022">
        <v>1.1606693869301E-2</v>
      </c>
      <c r="AD2022">
        <v>26.219670802354798</v>
      </c>
      <c r="AE2022">
        <v>0.18939331592991901</v>
      </c>
      <c r="AF2022">
        <v>675.08333333333303</v>
      </c>
      <c r="AG2022">
        <f>IFERROR(AH2022*0.1, "N/A")</f>
        <v>5.3017361111111105</v>
      </c>
      <c r="AH2022">
        <v>53.0173611111111</v>
      </c>
      <c r="AI2022">
        <v>147.95088183631501</v>
      </c>
      <c r="AJ2022">
        <v>34.0173611111111</v>
      </c>
      <c r="AK2022">
        <v>44.9826388888889</v>
      </c>
    </row>
    <row r="2023" spans="1:37" x14ac:dyDescent="0.3">
      <c r="A2023">
        <v>2022</v>
      </c>
      <c r="B2023">
        <v>6.2</v>
      </c>
      <c r="C2023">
        <v>36.897598000000002</v>
      </c>
      <c r="D2023">
        <v>-7.6478200000000003</v>
      </c>
      <c r="E2023" t="s">
        <v>3567</v>
      </c>
      <c r="F2023" t="s">
        <v>3569</v>
      </c>
      <c r="G2023" t="s">
        <v>37</v>
      </c>
      <c r="H2023">
        <v>1977</v>
      </c>
      <c r="I2023">
        <v>23.600000381469702</v>
      </c>
      <c r="J2023">
        <v>7.8000001907348597</v>
      </c>
      <c r="K2023">
        <v>57</v>
      </c>
      <c r="L2023">
        <v>17.370000839233398</v>
      </c>
      <c r="M2023">
        <v>29.899999618530298</v>
      </c>
      <c r="N2023">
        <v>16.299999237060501</v>
      </c>
      <c r="O2023">
        <v>13.6000003814697</v>
      </c>
      <c r="P2023">
        <v>24.600000381469702</v>
      </c>
      <c r="Q2023">
        <v>21.5</v>
      </c>
      <c r="R2023">
        <v>25.399999618530298</v>
      </c>
      <c r="S2023">
        <v>21</v>
      </c>
      <c r="T2023">
        <v>1411</v>
      </c>
      <c r="U2023">
        <v>310</v>
      </c>
      <c r="V2023">
        <v>8</v>
      </c>
      <c r="W2023">
        <v>86</v>
      </c>
      <c r="X2023">
        <v>784</v>
      </c>
      <c r="Y2023">
        <v>42</v>
      </c>
      <c r="Z2023">
        <v>424</v>
      </c>
      <c r="AA2023">
        <v>49</v>
      </c>
      <c r="AB2023">
        <v>259.32760471767801</v>
      </c>
      <c r="AC2023">
        <v>1.1606693869301E-2</v>
      </c>
      <c r="AD2023">
        <v>26.219670802354798</v>
      </c>
      <c r="AE2023">
        <v>0.18939331592991901</v>
      </c>
      <c r="AF2023">
        <v>675.08333333333303</v>
      </c>
      <c r="AG2023">
        <f>IFERROR(AH2023*0.1, "N/A")</f>
        <v>5.3017361111111105</v>
      </c>
      <c r="AH2023">
        <v>53.0173611111111</v>
      </c>
      <c r="AI2023">
        <v>147.95088183631501</v>
      </c>
      <c r="AJ2023">
        <v>34.0173611111111</v>
      </c>
      <c r="AK2023">
        <v>44.9826388888889</v>
      </c>
    </row>
    <row r="2024" spans="1:37" x14ac:dyDescent="0.3">
      <c r="A2024">
        <v>2023</v>
      </c>
      <c r="B2024">
        <v>20</v>
      </c>
      <c r="C2024">
        <v>33.042400000000001</v>
      </c>
      <c r="D2024">
        <v>-2.5537200000000002</v>
      </c>
      <c r="E2024" t="s">
        <v>3570</v>
      </c>
      <c r="F2024" t="s">
        <v>3571</v>
      </c>
      <c r="G2024" t="s">
        <v>39</v>
      </c>
      <c r="H2024">
        <v>1979</v>
      </c>
      <c r="I2024">
        <v>22.100000381469702</v>
      </c>
      <c r="J2024">
        <v>10.6068544723028</v>
      </c>
      <c r="K2024">
        <v>73.068541300527201</v>
      </c>
      <c r="L2024">
        <v>5.7397187983843097</v>
      </c>
      <c r="M2024">
        <v>29</v>
      </c>
      <c r="N2024">
        <v>14.6000003814697</v>
      </c>
      <c r="O2024">
        <v>14.3999996185303</v>
      </c>
      <c r="P2024">
        <v>22.100000381469702</v>
      </c>
      <c r="Q2024">
        <v>21.399999618530298</v>
      </c>
      <c r="R2024">
        <v>22.799999237060501</v>
      </c>
      <c r="S2024">
        <v>21.399999618530298</v>
      </c>
      <c r="T2024">
        <v>1053.13708260105</v>
      </c>
      <c r="U2024">
        <v>178</v>
      </c>
      <c r="V2024">
        <v>7</v>
      </c>
      <c r="W2024">
        <v>67</v>
      </c>
      <c r="X2024">
        <v>434</v>
      </c>
      <c r="Y2024">
        <v>34</v>
      </c>
      <c r="Z2024">
        <v>268.06854130052699</v>
      </c>
      <c r="AA2024">
        <v>34</v>
      </c>
      <c r="AB2024">
        <v>12.310180878597301</v>
      </c>
      <c r="AC2024">
        <v>0.11027898440409201</v>
      </c>
      <c r="AD2024">
        <v>2.0574475794978202</v>
      </c>
      <c r="AE2024">
        <v>0.53931194543838501</v>
      </c>
      <c r="AF2024">
        <v>1275.1599297012301</v>
      </c>
      <c r="AG2024">
        <f>IFERROR(AH2024*0.1, "N/A")</f>
        <v>5.8840070298769804</v>
      </c>
      <c r="AH2024">
        <v>58.840070298769803</v>
      </c>
      <c r="AI2024">
        <v>172.56188474095401</v>
      </c>
      <c r="AJ2024">
        <v>19.885764499121301</v>
      </c>
      <c r="AK2024">
        <v>66.205623901581703</v>
      </c>
    </row>
    <row r="2025" spans="1:37" x14ac:dyDescent="0.3">
      <c r="A2025">
        <v>2024</v>
      </c>
      <c r="B2025">
        <v>57.099997999999999</v>
      </c>
      <c r="C2025">
        <v>38.804600000000001</v>
      </c>
      <c r="D2025">
        <v>-4.8669799999999999</v>
      </c>
      <c r="E2025" t="s">
        <v>3572</v>
      </c>
      <c r="F2025" t="s">
        <v>3573</v>
      </c>
      <c r="G2025" t="s">
        <v>39</v>
      </c>
      <c r="H2025">
        <v>1979</v>
      </c>
      <c r="I2025">
        <v>24.959090753035099</v>
      </c>
      <c r="J2025">
        <v>9.8999996185302699</v>
      </c>
      <c r="K2025">
        <v>66</v>
      </c>
      <c r="L2025">
        <v>16.2231819846413</v>
      </c>
      <c r="M2025">
        <v>32.759090770374598</v>
      </c>
      <c r="N2025">
        <v>17.799999237060501</v>
      </c>
      <c r="O2025">
        <v>14.959090753035101</v>
      </c>
      <c r="P2025">
        <v>25.759090770374598</v>
      </c>
      <c r="Q2025">
        <v>22.859090371565401</v>
      </c>
      <c r="R2025">
        <v>26.859090371565401</v>
      </c>
      <c r="S2025">
        <v>22.799999237060501</v>
      </c>
      <c r="T2025">
        <v>1162.8181818181799</v>
      </c>
      <c r="U2025">
        <v>168</v>
      </c>
      <c r="V2025">
        <v>45</v>
      </c>
      <c r="W2025">
        <v>48</v>
      </c>
      <c r="X2025">
        <v>449.81818181818198</v>
      </c>
      <c r="Y2025">
        <v>151</v>
      </c>
      <c r="Z2025">
        <v>239.59090909090901</v>
      </c>
      <c r="AA2025">
        <v>174.40909090909099</v>
      </c>
      <c r="AB2025">
        <v>9.4347955930483103</v>
      </c>
      <c r="AC2025">
        <v>1.8956229437494001E-2</v>
      </c>
      <c r="AD2025">
        <v>3.1819368805085002</v>
      </c>
      <c r="AE2025">
        <v>0.32996138930320701</v>
      </c>
      <c r="AF2025">
        <v>220.363636363636</v>
      </c>
      <c r="AG2025">
        <f>IFERROR(AH2025*0.1, "N/A")</f>
        <v>5.6477272727272698</v>
      </c>
      <c r="AH2025">
        <v>56.477272727272698</v>
      </c>
      <c r="AI2025">
        <v>196.37725941117799</v>
      </c>
      <c r="AJ2025">
        <v>34.274475524475498</v>
      </c>
      <c r="AK2025">
        <v>48.068181818181799</v>
      </c>
    </row>
    <row r="2026" spans="1:37" x14ac:dyDescent="0.3">
      <c r="A2026">
        <v>2025</v>
      </c>
      <c r="B2026">
        <v>54.400002000000001</v>
      </c>
      <c r="C2026">
        <v>33.058300000000003</v>
      </c>
      <c r="D2026">
        <v>-2.4729899999999998</v>
      </c>
      <c r="E2026" t="s">
        <v>3574</v>
      </c>
      <c r="F2026" t="s">
        <v>3575</v>
      </c>
      <c r="G2026" t="s">
        <v>39</v>
      </c>
      <c r="H2026">
        <v>1981</v>
      </c>
      <c r="I2026">
        <v>22.5768423983925</v>
      </c>
      <c r="J2026">
        <v>10.4231576016075</v>
      </c>
      <c r="K2026">
        <v>75.231578947368405</v>
      </c>
      <c r="L2026">
        <v>5.3000001907348597</v>
      </c>
      <c r="M2026">
        <v>28.899999618530298</v>
      </c>
      <c r="N2026">
        <v>15.1000003814697</v>
      </c>
      <c r="O2026">
        <v>13.800000190734901</v>
      </c>
      <c r="P2026">
        <v>22.600000381469702</v>
      </c>
      <c r="Q2026">
        <v>21.799999237060501</v>
      </c>
      <c r="R2026">
        <v>23.200000762939499</v>
      </c>
      <c r="S2026">
        <v>21.799999237060501</v>
      </c>
      <c r="T2026">
        <v>1029.92631578947</v>
      </c>
      <c r="U2026">
        <v>170.23157894736801</v>
      </c>
      <c r="V2026">
        <v>7</v>
      </c>
      <c r="W2026">
        <v>66.768421052631595</v>
      </c>
      <c r="X2026">
        <v>424.46315789473698</v>
      </c>
      <c r="Y2026">
        <v>34</v>
      </c>
      <c r="Z2026">
        <v>260.23157894736801</v>
      </c>
      <c r="AA2026">
        <v>34</v>
      </c>
      <c r="AB2026">
        <v>1.5063193873355301</v>
      </c>
      <c r="AC2026">
        <v>0.28547868220331601</v>
      </c>
      <c r="AD2026">
        <v>0.69063187210183397</v>
      </c>
      <c r="AE2026">
        <v>0.64594000577926602</v>
      </c>
      <c r="AF2026">
        <v>1185.1596491228099</v>
      </c>
      <c r="AG2026">
        <f>IFERROR(AH2026*0.1, "N/A")</f>
        <v>5.92315789473684</v>
      </c>
      <c r="AH2026">
        <v>59.231578947368398</v>
      </c>
      <c r="AI2026">
        <v>142.374679284347</v>
      </c>
      <c r="AJ2026">
        <v>12</v>
      </c>
      <c r="AK2026">
        <v>75.463157894736796</v>
      </c>
    </row>
    <row r="2027" spans="1:37" x14ac:dyDescent="0.3">
      <c r="A2027">
        <v>2026</v>
      </c>
      <c r="B2027">
        <v>14.6</v>
      </c>
      <c r="C2027">
        <v>33.058300000000003</v>
      </c>
      <c r="D2027">
        <v>-2.4729899999999998</v>
      </c>
      <c r="E2027" t="s">
        <v>3574</v>
      </c>
      <c r="F2027" t="s">
        <v>3576</v>
      </c>
      <c r="G2027" t="s">
        <v>37</v>
      </c>
      <c r="H2027">
        <v>1981</v>
      </c>
      <c r="I2027">
        <v>22.5768423983925</v>
      </c>
      <c r="J2027">
        <v>10.4231576016075</v>
      </c>
      <c r="K2027">
        <v>75.231578947368405</v>
      </c>
      <c r="L2027">
        <v>5.3000001907348597</v>
      </c>
      <c r="M2027">
        <v>28.899999618530298</v>
      </c>
      <c r="N2027">
        <v>15.1000003814697</v>
      </c>
      <c r="O2027">
        <v>13.800000190734901</v>
      </c>
      <c r="P2027">
        <v>22.600000381469702</v>
      </c>
      <c r="Q2027">
        <v>21.799999237060501</v>
      </c>
      <c r="R2027">
        <v>23.200000762939499</v>
      </c>
      <c r="S2027">
        <v>21.799999237060501</v>
      </c>
      <c r="T2027">
        <v>1029.92631578947</v>
      </c>
      <c r="U2027">
        <v>170.23157894736801</v>
      </c>
      <c r="V2027">
        <v>7</v>
      </c>
      <c r="W2027">
        <v>66.768421052631595</v>
      </c>
      <c r="X2027">
        <v>424.46315789473698</v>
      </c>
      <c r="Y2027">
        <v>34</v>
      </c>
      <c r="Z2027">
        <v>260.23157894736801</v>
      </c>
      <c r="AA2027">
        <v>34</v>
      </c>
      <c r="AB2027">
        <v>1.5063193873355301</v>
      </c>
      <c r="AC2027">
        <v>0.28547868220331601</v>
      </c>
      <c r="AD2027">
        <v>0.69063187210183397</v>
      </c>
      <c r="AE2027">
        <v>0.64594000577926602</v>
      </c>
      <c r="AF2027">
        <v>1185.1596491228099</v>
      </c>
      <c r="AG2027">
        <f>IFERROR(AH2027*0.1, "N/A")</f>
        <v>5.92315789473684</v>
      </c>
      <c r="AH2027">
        <v>59.231578947368398</v>
      </c>
      <c r="AI2027">
        <v>142.374679284347</v>
      </c>
      <c r="AJ2027">
        <v>12</v>
      </c>
      <c r="AK2027">
        <v>75.463157894736796</v>
      </c>
    </row>
    <row r="2028" spans="1:37" x14ac:dyDescent="0.3">
      <c r="A2028">
        <v>2027</v>
      </c>
      <c r="B2028">
        <v>28.5</v>
      </c>
      <c r="C2028">
        <v>33.066699999999997</v>
      </c>
      <c r="D2028">
        <v>-2.48333</v>
      </c>
      <c r="E2028" t="s">
        <v>3577</v>
      </c>
      <c r="F2028" t="s">
        <v>3578</v>
      </c>
      <c r="G2028" t="s">
        <v>39</v>
      </c>
      <c r="H2028">
        <v>1985</v>
      </c>
      <c r="I2028">
        <v>22.600000381469702</v>
      </c>
      <c r="J2028">
        <v>10.5</v>
      </c>
      <c r="K2028">
        <v>75</v>
      </c>
      <c r="L2028">
        <v>5.4062104911134998</v>
      </c>
      <c r="M2028">
        <v>29.0845617260849</v>
      </c>
      <c r="N2028">
        <v>15.1845613011143</v>
      </c>
      <c r="O2028">
        <v>13.8999996185303</v>
      </c>
      <c r="P2028">
        <v>22.684562107554701</v>
      </c>
      <c r="Q2028">
        <v>21.8845609631455</v>
      </c>
      <c r="R2028">
        <v>23.284560876143601</v>
      </c>
      <c r="S2028">
        <v>21.8845609631455</v>
      </c>
      <c r="T2028">
        <v>1017.4</v>
      </c>
      <c r="U2028">
        <v>168.154385964912</v>
      </c>
      <c r="V2028">
        <v>7</v>
      </c>
      <c r="W2028">
        <v>66.845614035087706</v>
      </c>
      <c r="X2028">
        <v>418.884210526316</v>
      </c>
      <c r="Y2028">
        <v>34</v>
      </c>
      <c r="Z2028">
        <v>255.942105263158</v>
      </c>
      <c r="AA2028">
        <v>34</v>
      </c>
      <c r="AB2028">
        <v>2.3901437859786201</v>
      </c>
      <c r="AC2028">
        <v>3.3695528050068001E-2</v>
      </c>
      <c r="AD2028">
        <v>1.0720693226969</v>
      </c>
      <c r="AE2028">
        <v>0.622403144836426</v>
      </c>
      <c r="AF2028">
        <v>1169.8964912280701</v>
      </c>
      <c r="AG2028">
        <f>IFERROR(AH2028*0.1, "N/A")</f>
        <v>6.0994736842105297</v>
      </c>
      <c r="AH2028">
        <v>60.994736842105297</v>
      </c>
      <c r="AI2028">
        <v>65.931994361208197</v>
      </c>
      <c r="AJ2028">
        <v>16.301754385964902</v>
      </c>
      <c r="AK2028">
        <v>71.5280701754386</v>
      </c>
    </row>
    <row r="2029" spans="1:37" x14ac:dyDescent="0.3">
      <c r="A2029">
        <v>2028</v>
      </c>
      <c r="B2029">
        <v>29.4</v>
      </c>
      <c r="C2029">
        <v>33.083302000000003</v>
      </c>
      <c r="D2029">
        <v>-2.85</v>
      </c>
      <c r="E2029" t="s">
        <v>3579</v>
      </c>
      <c r="F2029" t="s">
        <v>3580</v>
      </c>
      <c r="G2029" t="s">
        <v>39</v>
      </c>
      <c r="H2029">
        <v>1973</v>
      </c>
      <c r="I2029">
        <v>23</v>
      </c>
      <c r="J2029">
        <v>11.1000003814697</v>
      </c>
      <c r="K2029">
        <v>70.123239436619698</v>
      </c>
      <c r="L2029">
        <v>7.2225528905089504</v>
      </c>
      <c r="M2029">
        <v>30.707042909004301</v>
      </c>
      <c r="N2029">
        <v>15.019366271059299</v>
      </c>
      <c r="O2029">
        <v>15.6876759361213</v>
      </c>
      <c r="P2029">
        <v>22.8832742026154</v>
      </c>
      <c r="Q2029">
        <v>22.148416059117899</v>
      </c>
      <c r="R2029">
        <v>23.907041898915502</v>
      </c>
      <c r="S2029">
        <v>22.119366652528999</v>
      </c>
      <c r="T2029">
        <v>899.73239436619701</v>
      </c>
      <c r="U2029">
        <v>148.32218309859201</v>
      </c>
      <c r="V2029">
        <v>4</v>
      </c>
      <c r="W2029">
        <v>69.193661971831006</v>
      </c>
      <c r="X2029">
        <v>372.19894366197201</v>
      </c>
      <c r="Y2029">
        <v>21</v>
      </c>
      <c r="Z2029">
        <v>215.48943661971799</v>
      </c>
      <c r="AA2029">
        <v>68.573943661971796</v>
      </c>
      <c r="AB2029">
        <v>9.9401019459039404</v>
      </c>
      <c r="AC2029">
        <v>1.9239436416938999E-2</v>
      </c>
      <c r="AD2029">
        <v>2.99700446279956</v>
      </c>
      <c r="AE2029">
        <v>0.72737842798232999</v>
      </c>
      <c r="AF2029">
        <v>1175.75176056338</v>
      </c>
      <c r="AG2029">
        <f>IFERROR(AH2029*0.1, "N/A")</f>
        <v>6.4639084507042206</v>
      </c>
      <c r="AH2029">
        <v>64.639084507042199</v>
      </c>
      <c r="AI2029">
        <v>234.02123459292099</v>
      </c>
      <c r="AJ2029">
        <v>15.6390845070423</v>
      </c>
      <c r="AK2029">
        <v>72.721830985915503</v>
      </c>
    </row>
    <row r="2030" spans="1:37" x14ac:dyDescent="0.3">
      <c r="A2030">
        <v>2029</v>
      </c>
      <c r="B2030">
        <v>27.5</v>
      </c>
      <c r="C2030">
        <v>32.297600000000003</v>
      </c>
      <c r="D2030">
        <v>-8.3123000000000005</v>
      </c>
      <c r="E2030" t="s">
        <v>3581</v>
      </c>
      <c r="F2030" t="s">
        <v>3582</v>
      </c>
      <c r="G2030" t="s">
        <v>39</v>
      </c>
      <c r="H2030">
        <v>2008</v>
      </c>
      <c r="I2030">
        <v>24.399999618530298</v>
      </c>
      <c r="J2030">
        <v>12</v>
      </c>
      <c r="K2030">
        <v>68</v>
      </c>
      <c r="L2030">
        <v>12.930000305175801</v>
      </c>
      <c r="M2030">
        <v>33</v>
      </c>
      <c r="N2030">
        <v>15.5</v>
      </c>
      <c r="O2030">
        <v>17.5</v>
      </c>
      <c r="P2030">
        <v>24.700000762939499</v>
      </c>
      <c r="Q2030">
        <v>22.600000381469702</v>
      </c>
      <c r="R2030">
        <v>25.899999618530298</v>
      </c>
      <c r="S2030">
        <v>22.600000381469702</v>
      </c>
      <c r="T2030">
        <v>981</v>
      </c>
      <c r="U2030">
        <v>229</v>
      </c>
      <c r="V2030">
        <v>0</v>
      </c>
      <c r="W2030">
        <v>106</v>
      </c>
      <c r="X2030">
        <v>576</v>
      </c>
      <c r="Y2030">
        <v>3</v>
      </c>
      <c r="Z2030">
        <v>87</v>
      </c>
      <c r="AA2030">
        <v>3</v>
      </c>
      <c r="AB2030">
        <v>1.6854219436645499</v>
      </c>
      <c r="AC2030">
        <v>4.0580545262652999E-2</v>
      </c>
      <c r="AD2030">
        <v>1.26724941273116</v>
      </c>
      <c r="AE2030">
        <v>0.58184411997596397</v>
      </c>
      <c r="AF2030">
        <v>820.569444444444</v>
      </c>
      <c r="AG2030">
        <f>IFERROR(AH2030*0.1, "N/A")</f>
        <v>6.3000000000000007</v>
      </c>
      <c r="AH2030">
        <v>63</v>
      </c>
      <c r="AI2030">
        <v>210.21644300884699</v>
      </c>
      <c r="AJ2030">
        <v>24.3125</v>
      </c>
      <c r="AK2030">
        <v>60.8611111111111</v>
      </c>
    </row>
    <row r="2031" spans="1:37" x14ac:dyDescent="0.3">
      <c r="A2031">
        <v>2030</v>
      </c>
      <c r="B2031">
        <v>0</v>
      </c>
      <c r="C2031">
        <v>31.799999</v>
      </c>
      <c r="D2031">
        <v>-1.0333300000000001</v>
      </c>
      <c r="E2031" t="s">
        <v>3583</v>
      </c>
      <c r="F2031" t="s">
        <v>3584</v>
      </c>
      <c r="G2031" t="s">
        <v>39</v>
      </c>
      <c r="H2031">
        <v>2008</v>
      </c>
      <c r="I2031">
        <v>22.604042502404901</v>
      </c>
      <c r="J2031">
        <v>11.0038664470867</v>
      </c>
      <c r="K2031">
        <v>84.797891036906805</v>
      </c>
      <c r="L2031">
        <v>3.75739895941294</v>
      </c>
      <c r="M2031">
        <v>28.704042883874699</v>
      </c>
      <c r="N2031">
        <v>15.7799651207949</v>
      </c>
      <c r="O2031">
        <v>12.9240770390247</v>
      </c>
      <c r="P2031">
        <v>22.808962582284799</v>
      </c>
      <c r="Q2031">
        <v>22.0040421209352</v>
      </c>
      <c r="R2031">
        <v>22.924252712873301</v>
      </c>
      <c r="S2031">
        <v>22.0040421209352</v>
      </c>
      <c r="T2031">
        <v>1587.6151142355</v>
      </c>
      <c r="U2031">
        <v>291.46572934973602</v>
      </c>
      <c r="V2031">
        <v>37.873462214411198</v>
      </c>
      <c r="W2031">
        <v>57</v>
      </c>
      <c r="X2031">
        <v>729.61159929701205</v>
      </c>
      <c r="Y2031">
        <v>145.87170474516699</v>
      </c>
      <c r="Z2031">
        <v>598.69068541300499</v>
      </c>
      <c r="AA2031">
        <v>145.87170474516699</v>
      </c>
      <c r="AB2031">
        <v>0</v>
      </c>
      <c r="AC2031">
        <v>4.2492168367904003E-2</v>
      </c>
      <c r="AD2031">
        <v>0</v>
      </c>
      <c r="AE2031" t="s">
        <v>729</v>
      </c>
      <c r="AF2031">
        <v>1131</v>
      </c>
      <c r="AG2031" t="str">
        <f>IFERROR(AH2031*0.1, "N/A")</f>
        <v>N/A</v>
      </c>
      <c r="AH2031" t="s">
        <v>729</v>
      </c>
      <c r="AI2031">
        <v>0</v>
      </c>
      <c r="AJ2031" t="s">
        <v>729</v>
      </c>
      <c r="AK2031" t="s">
        <v>729</v>
      </c>
    </row>
    <row r="2032" spans="1:37" x14ac:dyDescent="0.3">
      <c r="A2032">
        <v>2031</v>
      </c>
      <c r="B2032">
        <v>0</v>
      </c>
      <c r="C2032">
        <v>31.799999</v>
      </c>
      <c r="D2032">
        <v>-1.0333300000000001</v>
      </c>
      <c r="E2032" t="s">
        <v>3583</v>
      </c>
      <c r="F2032" t="s">
        <v>3585</v>
      </c>
      <c r="G2032" t="s">
        <v>37</v>
      </c>
      <c r="H2032">
        <v>2008</v>
      </c>
      <c r="I2032">
        <v>22.604042502404901</v>
      </c>
      <c r="J2032">
        <v>11.0038664470867</v>
      </c>
      <c r="K2032">
        <v>84.797891036906805</v>
      </c>
      <c r="L2032">
        <v>3.75739895941294</v>
      </c>
      <c r="M2032">
        <v>28.704042883874699</v>
      </c>
      <c r="N2032">
        <v>15.7799651207949</v>
      </c>
      <c r="O2032">
        <v>12.9240770390247</v>
      </c>
      <c r="P2032">
        <v>22.808962582284799</v>
      </c>
      <c r="Q2032">
        <v>22.0040421209352</v>
      </c>
      <c r="R2032">
        <v>22.924252712873301</v>
      </c>
      <c r="S2032">
        <v>22.0040421209352</v>
      </c>
      <c r="T2032">
        <v>1587.6151142355</v>
      </c>
      <c r="U2032">
        <v>291.46572934973602</v>
      </c>
      <c r="V2032">
        <v>37.873462214411198</v>
      </c>
      <c r="W2032">
        <v>57</v>
      </c>
      <c r="X2032">
        <v>729.61159929701205</v>
      </c>
      <c r="Y2032">
        <v>145.87170474516699</v>
      </c>
      <c r="Z2032">
        <v>598.69068541300499</v>
      </c>
      <c r="AA2032">
        <v>145.87170474516699</v>
      </c>
      <c r="AB2032">
        <v>0</v>
      </c>
      <c r="AC2032">
        <v>4.2492168367904003E-2</v>
      </c>
      <c r="AD2032">
        <v>0</v>
      </c>
      <c r="AE2032" t="s">
        <v>729</v>
      </c>
      <c r="AF2032">
        <v>1131</v>
      </c>
      <c r="AG2032" t="str">
        <f>IFERROR(AH2032*0.1, "N/A")</f>
        <v>N/A</v>
      </c>
      <c r="AH2032" t="s">
        <v>729</v>
      </c>
      <c r="AI2032">
        <v>0</v>
      </c>
      <c r="AJ2032" t="s">
        <v>729</v>
      </c>
      <c r="AK2032" t="s">
        <v>729</v>
      </c>
    </row>
    <row r="2033" spans="1:37" x14ac:dyDescent="0.3">
      <c r="A2033">
        <v>2032</v>
      </c>
      <c r="B2033">
        <v>0</v>
      </c>
      <c r="C2033">
        <v>31.768899999999999</v>
      </c>
      <c r="D2033">
        <v>-1.15889</v>
      </c>
      <c r="E2033" t="s">
        <v>3586</v>
      </c>
      <c r="F2033" t="s">
        <v>3587</v>
      </c>
      <c r="G2033" t="s">
        <v>39</v>
      </c>
      <c r="H2033">
        <v>2008</v>
      </c>
      <c r="I2033">
        <v>20.399999618530298</v>
      </c>
      <c r="J2033">
        <v>10.699999809265099</v>
      </c>
      <c r="K2033">
        <v>85</v>
      </c>
      <c r="L2033">
        <v>3.42000007629394</v>
      </c>
      <c r="M2033">
        <v>26.399999618530298</v>
      </c>
      <c r="N2033">
        <v>13.8999996185303</v>
      </c>
      <c r="O2033">
        <v>12.5</v>
      </c>
      <c r="P2033">
        <v>20.600000381469702</v>
      </c>
      <c r="Q2033">
        <v>19.899999618530298</v>
      </c>
      <c r="R2033">
        <v>20.700000762939499</v>
      </c>
      <c r="S2033">
        <v>19.899999618530298</v>
      </c>
      <c r="T2033">
        <v>1780</v>
      </c>
      <c r="U2033">
        <v>328</v>
      </c>
      <c r="V2033">
        <v>40</v>
      </c>
      <c r="W2033">
        <v>57</v>
      </c>
      <c r="X2033">
        <v>809</v>
      </c>
      <c r="Y2033">
        <v>157</v>
      </c>
      <c r="Z2033">
        <v>672</v>
      </c>
      <c r="AA2033">
        <v>157</v>
      </c>
      <c r="AB2033">
        <v>122.48081908536101</v>
      </c>
      <c r="AC2033">
        <v>2.3971258153604999E-2</v>
      </c>
      <c r="AD2033">
        <v>10.0527269467319</v>
      </c>
      <c r="AE2033">
        <v>0.49762162566184998</v>
      </c>
      <c r="AF2033">
        <v>1276.8312829525501</v>
      </c>
      <c r="AG2033">
        <f>IFERROR(AH2033*0.1, "N/A")</f>
        <v>5.6718804920913897</v>
      </c>
      <c r="AH2033">
        <v>56.718804920913897</v>
      </c>
      <c r="AI2033">
        <v>104.636620506461</v>
      </c>
      <c r="AJ2033">
        <v>34.9964850615114</v>
      </c>
      <c r="AK2033">
        <v>47.722319859402504</v>
      </c>
    </row>
    <row r="2034" spans="1:37" x14ac:dyDescent="0.3">
      <c r="A2034">
        <v>2033</v>
      </c>
      <c r="B2034">
        <v>0</v>
      </c>
      <c r="C2034">
        <v>31.768899999999999</v>
      </c>
      <c r="D2034">
        <v>-1.15889</v>
      </c>
      <c r="E2034" t="s">
        <v>3586</v>
      </c>
      <c r="F2034" t="s">
        <v>3588</v>
      </c>
      <c r="G2034" t="s">
        <v>37</v>
      </c>
      <c r="H2034">
        <v>2008</v>
      </c>
      <c r="I2034">
        <v>20.399999618530298</v>
      </c>
      <c r="J2034">
        <v>10.699999809265099</v>
      </c>
      <c r="K2034">
        <v>85</v>
      </c>
      <c r="L2034">
        <v>3.42000007629394</v>
      </c>
      <c r="M2034">
        <v>26.399999618530298</v>
      </c>
      <c r="N2034">
        <v>13.8999996185303</v>
      </c>
      <c r="O2034">
        <v>12.5</v>
      </c>
      <c r="P2034">
        <v>20.600000381469702</v>
      </c>
      <c r="Q2034">
        <v>19.899999618530298</v>
      </c>
      <c r="R2034">
        <v>20.700000762939499</v>
      </c>
      <c r="S2034">
        <v>19.899999618530298</v>
      </c>
      <c r="T2034">
        <v>1780</v>
      </c>
      <c r="U2034">
        <v>328</v>
      </c>
      <c r="V2034">
        <v>40</v>
      </c>
      <c r="W2034">
        <v>57</v>
      </c>
      <c r="X2034">
        <v>809</v>
      </c>
      <c r="Y2034">
        <v>157</v>
      </c>
      <c r="Z2034">
        <v>672</v>
      </c>
      <c r="AA2034">
        <v>157</v>
      </c>
      <c r="AB2034">
        <v>122.48081908536101</v>
      </c>
      <c r="AC2034">
        <v>2.3971258153604999E-2</v>
      </c>
      <c r="AD2034">
        <v>10.0527269467319</v>
      </c>
      <c r="AE2034">
        <v>0.49762162566184998</v>
      </c>
      <c r="AF2034">
        <v>1276.8312829525501</v>
      </c>
      <c r="AG2034">
        <f>IFERROR(AH2034*0.1, "N/A")</f>
        <v>5.6718804920913897</v>
      </c>
      <c r="AH2034">
        <v>56.718804920913897</v>
      </c>
      <c r="AI2034">
        <v>104.636620506461</v>
      </c>
      <c r="AJ2034">
        <v>34.9964850615114</v>
      </c>
      <c r="AK2034">
        <v>47.722319859402504</v>
      </c>
    </row>
    <row r="2035" spans="1:37" x14ac:dyDescent="0.3">
      <c r="A2035">
        <v>2034</v>
      </c>
      <c r="B2035">
        <v>0</v>
      </c>
      <c r="C2035">
        <v>31.624200999999999</v>
      </c>
      <c r="D2035">
        <v>-1.19194</v>
      </c>
      <c r="E2035" t="s">
        <v>3589</v>
      </c>
      <c r="F2035" t="s">
        <v>3590</v>
      </c>
      <c r="G2035" t="s">
        <v>39</v>
      </c>
      <c r="H2035">
        <v>2008</v>
      </c>
      <c r="I2035">
        <v>20.899999618530298</v>
      </c>
      <c r="J2035">
        <v>11.1000003814697</v>
      </c>
      <c r="K2035">
        <v>86</v>
      </c>
      <c r="L2035">
        <v>3.2890123643992899</v>
      </c>
      <c r="M2035">
        <v>27</v>
      </c>
      <c r="N2035">
        <v>14.1382717674161</v>
      </c>
      <c r="O2035">
        <v>12.8617282325839</v>
      </c>
      <c r="P2035">
        <v>21.100000381469702</v>
      </c>
      <c r="Q2035">
        <v>20.3382709879934</v>
      </c>
      <c r="R2035">
        <v>21.200000762939499</v>
      </c>
      <c r="S2035">
        <v>20.3382709879934</v>
      </c>
      <c r="T2035">
        <v>1601.2098765432099</v>
      </c>
      <c r="U2035">
        <v>306.14814814814798</v>
      </c>
      <c r="V2035">
        <v>33</v>
      </c>
      <c r="W2035">
        <v>59</v>
      </c>
      <c r="X2035">
        <v>733.91358024691397</v>
      </c>
      <c r="Y2035">
        <v>122.38271604938301</v>
      </c>
      <c r="Z2035">
        <v>621.91358024691306</v>
      </c>
      <c r="AA2035">
        <v>122.38271604938301</v>
      </c>
      <c r="AB2035">
        <v>12.9028862847222</v>
      </c>
      <c r="AC2035">
        <v>7.0614053057983003E-2</v>
      </c>
      <c r="AD2035">
        <v>3.8426652438215898</v>
      </c>
      <c r="AE2035">
        <v>0.36558079719543501</v>
      </c>
      <c r="AF2035">
        <v>1157.36331569665</v>
      </c>
      <c r="AG2035">
        <f>IFERROR(AH2035*0.1, "N/A")</f>
        <v>5.6000000000000005</v>
      </c>
      <c r="AH2035">
        <v>56</v>
      </c>
      <c r="AI2035">
        <v>292.71273873680701</v>
      </c>
      <c r="AJ2035">
        <v>34.234567901234598</v>
      </c>
      <c r="AK2035">
        <v>48</v>
      </c>
    </row>
    <row r="2036" spans="1:37" x14ac:dyDescent="0.3">
      <c r="A2036">
        <v>2035</v>
      </c>
      <c r="B2036">
        <v>0</v>
      </c>
      <c r="C2036">
        <v>31.624200999999999</v>
      </c>
      <c r="D2036">
        <v>-1.19194</v>
      </c>
      <c r="E2036" t="s">
        <v>3589</v>
      </c>
      <c r="F2036" t="s">
        <v>3591</v>
      </c>
      <c r="G2036" t="s">
        <v>37</v>
      </c>
      <c r="H2036">
        <v>2008</v>
      </c>
      <c r="I2036">
        <v>20.899999618530298</v>
      </c>
      <c r="J2036">
        <v>11.1000003814697</v>
      </c>
      <c r="K2036">
        <v>86</v>
      </c>
      <c r="L2036">
        <v>3.2890123643992899</v>
      </c>
      <c r="M2036">
        <v>27</v>
      </c>
      <c r="N2036">
        <v>14.1382717674161</v>
      </c>
      <c r="O2036">
        <v>12.8617282325839</v>
      </c>
      <c r="P2036">
        <v>21.100000381469702</v>
      </c>
      <c r="Q2036">
        <v>20.3382709879934</v>
      </c>
      <c r="R2036">
        <v>21.200000762939499</v>
      </c>
      <c r="S2036">
        <v>20.3382709879934</v>
      </c>
      <c r="T2036">
        <v>1601.2098765432099</v>
      </c>
      <c r="U2036">
        <v>306.14814814814798</v>
      </c>
      <c r="V2036">
        <v>33</v>
      </c>
      <c r="W2036">
        <v>59</v>
      </c>
      <c r="X2036">
        <v>733.91358024691397</v>
      </c>
      <c r="Y2036">
        <v>122.38271604938301</v>
      </c>
      <c r="Z2036">
        <v>621.91358024691306</v>
      </c>
      <c r="AA2036">
        <v>122.38271604938301</v>
      </c>
      <c r="AB2036">
        <v>12.9028862847222</v>
      </c>
      <c r="AC2036">
        <v>7.0614053057983003E-2</v>
      </c>
      <c r="AD2036">
        <v>3.8426652438215898</v>
      </c>
      <c r="AE2036">
        <v>0.36558079719543501</v>
      </c>
      <c r="AF2036">
        <v>1157.36331569665</v>
      </c>
      <c r="AG2036">
        <f>IFERROR(AH2036*0.1, "N/A")</f>
        <v>5.6000000000000005</v>
      </c>
      <c r="AH2036">
        <v>56</v>
      </c>
      <c r="AI2036">
        <v>292.71273873680701</v>
      </c>
      <c r="AJ2036">
        <v>34.234567901234598</v>
      </c>
      <c r="AK2036">
        <v>48</v>
      </c>
    </row>
    <row r="2037" spans="1:37" x14ac:dyDescent="0.3">
      <c r="A2037">
        <v>2036</v>
      </c>
      <c r="B2037">
        <v>0</v>
      </c>
      <c r="C2037">
        <v>31.799999</v>
      </c>
      <c r="D2037">
        <v>-1.2</v>
      </c>
      <c r="E2037" t="s">
        <v>3592</v>
      </c>
      <c r="F2037" t="s">
        <v>3593</v>
      </c>
      <c r="G2037" t="s">
        <v>39</v>
      </c>
      <c r="H2037">
        <v>2008</v>
      </c>
      <c r="I2037">
        <v>20.896825151258501</v>
      </c>
      <c r="J2037">
        <v>10.6000003814697</v>
      </c>
      <c r="K2037">
        <v>86</v>
      </c>
      <c r="L2037">
        <v>3.5042151635285999</v>
      </c>
      <c r="M2037">
        <v>26.696825912179602</v>
      </c>
      <c r="N2037">
        <v>14.445326144102401</v>
      </c>
      <c r="O2037">
        <v>12.2514991238845</v>
      </c>
      <c r="P2037">
        <v>21.096825766184999</v>
      </c>
      <c r="Q2037">
        <v>20.325219939835701</v>
      </c>
      <c r="R2037">
        <v>21.184480421547299</v>
      </c>
      <c r="S2037">
        <v>20.296824769788699</v>
      </c>
      <c r="T2037">
        <v>1889.67019400353</v>
      </c>
      <c r="U2037">
        <v>349.17636684303397</v>
      </c>
      <c r="V2037">
        <v>44</v>
      </c>
      <c r="W2037">
        <v>56.123456790123498</v>
      </c>
      <c r="X2037">
        <v>857.59964726631404</v>
      </c>
      <c r="Y2037">
        <v>170.201058201058</v>
      </c>
      <c r="Z2037">
        <v>688.59964726631404</v>
      </c>
      <c r="AA2037">
        <v>182.48677248677299</v>
      </c>
      <c r="AB2037">
        <v>69.0287683342289</v>
      </c>
      <c r="AC2037">
        <v>8.6515257020060004E-3</v>
      </c>
      <c r="AD2037">
        <v>3.5954526837330398</v>
      </c>
      <c r="AE2037">
        <v>0.62603420019149802</v>
      </c>
      <c r="AF2037">
        <v>1223.67548500882</v>
      </c>
      <c r="AG2037">
        <f>IFERROR(AH2037*0.1, "N/A")</f>
        <v>5.2</v>
      </c>
      <c r="AH2037">
        <v>52</v>
      </c>
      <c r="AI2037">
        <v>168.25446942580001</v>
      </c>
      <c r="AJ2037">
        <v>40.597883597883602</v>
      </c>
      <c r="AK2037">
        <v>42.201058201058203</v>
      </c>
    </row>
    <row r="2038" spans="1:37" x14ac:dyDescent="0.3">
      <c r="A2038">
        <v>2037</v>
      </c>
      <c r="B2038">
        <v>0</v>
      </c>
      <c r="C2038">
        <v>31.799999</v>
      </c>
      <c r="D2038">
        <v>-1.2</v>
      </c>
      <c r="E2038" t="s">
        <v>3592</v>
      </c>
      <c r="F2038" t="s">
        <v>3594</v>
      </c>
      <c r="G2038" t="s">
        <v>37</v>
      </c>
      <c r="H2038">
        <v>2008</v>
      </c>
      <c r="I2038">
        <v>20.896825151258501</v>
      </c>
      <c r="J2038">
        <v>10.6000003814697</v>
      </c>
      <c r="K2038">
        <v>86</v>
      </c>
      <c r="L2038">
        <v>3.5042151635285999</v>
      </c>
      <c r="M2038">
        <v>26.696825912179602</v>
      </c>
      <c r="N2038">
        <v>14.445326144102401</v>
      </c>
      <c r="O2038">
        <v>12.2514991238845</v>
      </c>
      <c r="P2038">
        <v>21.096825766184999</v>
      </c>
      <c r="Q2038">
        <v>20.325219939835701</v>
      </c>
      <c r="R2038">
        <v>21.184480421547299</v>
      </c>
      <c r="S2038">
        <v>20.296824769788699</v>
      </c>
      <c r="T2038">
        <v>1889.67019400353</v>
      </c>
      <c r="U2038">
        <v>349.17636684303397</v>
      </c>
      <c r="V2038">
        <v>44</v>
      </c>
      <c r="W2038">
        <v>56.123456790123498</v>
      </c>
      <c r="X2038">
        <v>857.59964726631404</v>
      </c>
      <c r="Y2038">
        <v>170.201058201058</v>
      </c>
      <c r="Z2038">
        <v>688.59964726631404</v>
      </c>
      <c r="AA2038">
        <v>182.48677248677299</v>
      </c>
      <c r="AB2038">
        <v>69.0287683342289</v>
      </c>
      <c r="AC2038">
        <v>8.6515257020060004E-3</v>
      </c>
      <c r="AD2038">
        <v>3.5954526837330398</v>
      </c>
      <c r="AE2038">
        <v>0.62603420019149802</v>
      </c>
      <c r="AF2038">
        <v>1223.67548500882</v>
      </c>
      <c r="AG2038">
        <f>IFERROR(AH2038*0.1, "N/A")</f>
        <v>5.2</v>
      </c>
      <c r="AH2038">
        <v>52</v>
      </c>
      <c r="AI2038">
        <v>168.25446942580001</v>
      </c>
      <c r="AJ2038">
        <v>40.597883597883602</v>
      </c>
      <c r="AK2038">
        <v>42.201058201058203</v>
      </c>
    </row>
    <row r="2039" spans="1:37" x14ac:dyDescent="0.3">
      <c r="A2039">
        <v>2038</v>
      </c>
      <c r="B2039">
        <v>0</v>
      </c>
      <c r="C2039">
        <v>30.964199000000001</v>
      </c>
      <c r="D2039">
        <v>-1.2338899999999999</v>
      </c>
      <c r="E2039" t="s">
        <v>3595</v>
      </c>
      <c r="F2039" t="s">
        <v>3596</v>
      </c>
      <c r="G2039" t="s">
        <v>39</v>
      </c>
      <c r="H2039">
        <v>2008</v>
      </c>
      <c r="I2039">
        <v>20</v>
      </c>
      <c r="J2039">
        <v>11.8999996185303</v>
      </c>
      <c r="K2039">
        <v>86</v>
      </c>
      <c r="L2039">
        <v>2.4997017546703999</v>
      </c>
      <c r="M2039">
        <v>26.600000381469702</v>
      </c>
      <c r="N2039">
        <v>12.886140048712999</v>
      </c>
      <c r="O2039">
        <v>13.713859511258301</v>
      </c>
      <c r="P2039">
        <v>20.100000381469702</v>
      </c>
      <c r="Q2039">
        <v>19.7861397994192</v>
      </c>
      <c r="R2039">
        <v>20.200000762939499</v>
      </c>
      <c r="S2039">
        <v>19.686141060946301</v>
      </c>
      <c r="T2039">
        <v>989.72280701754403</v>
      </c>
      <c r="U2039">
        <v>172.86140350877201</v>
      </c>
      <c r="V2039">
        <v>6</v>
      </c>
      <c r="W2039">
        <v>55.8614035087719</v>
      </c>
      <c r="X2039">
        <v>395.72280701754403</v>
      </c>
      <c r="Y2039">
        <v>53</v>
      </c>
      <c r="Z2039">
        <v>280.96842105263198</v>
      </c>
      <c r="AA2039">
        <v>124.861403508772</v>
      </c>
      <c r="AB2039">
        <v>133.11978438528001</v>
      </c>
      <c r="AC2039">
        <v>9.0256851820049999E-3</v>
      </c>
      <c r="AD2039">
        <v>14.089795655534999</v>
      </c>
      <c r="AE2039">
        <v>0.408799166951263</v>
      </c>
      <c r="AF2039">
        <v>1443.4175438596501</v>
      </c>
      <c r="AG2039">
        <f>IFERROR(AH2039*0.1, "N/A")</f>
        <v>5.2857894736842104</v>
      </c>
      <c r="AH2039">
        <v>52.857894736842098</v>
      </c>
      <c r="AI2039">
        <v>128.664144014057</v>
      </c>
      <c r="AJ2039">
        <v>39.808771929824601</v>
      </c>
      <c r="AK2039">
        <v>37.228070175438603</v>
      </c>
    </row>
    <row r="2040" spans="1:37" x14ac:dyDescent="0.3">
      <c r="A2040">
        <v>2039</v>
      </c>
      <c r="B2040">
        <v>0</v>
      </c>
      <c r="C2040">
        <v>30.964199000000001</v>
      </c>
      <c r="D2040">
        <v>-1.2338899999999999</v>
      </c>
      <c r="E2040" t="s">
        <v>3595</v>
      </c>
      <c r="F2040" t="s">
        <v>3597</v>
      </c>
      <c r="G2040" t="s">
        <v>37</v>
      </c>
      <c r="H2040">
        <v>2008</v>
      </c>
      <c r="I2040">
        <v>20</v>
      </c>
      <c r="J2040">
        <v>11.8999996185303</v>
      </c>
      <c r="K2040">
        <v>86</v>
      </c>
      <c r="L2040">
        <v>2.4997017546703999</v>
      </c>
      <c r="M2040">
        <v>26.600000381469702</v>
      </c>
      <c r="N2040">
        <v>12.886140048712999</v>
      </c>
      <c r="O2040">
        <v>13.713859511258301</v>
      </c>
      <c r="P2040">
        <v>20.100000381469702</v>
      </c>
      <c r="Q2040">
        <v>19.7861397994192</v>
      </c>
      <c r="R2040">
        <v>20.200000762939499</v>
      </c>
      <c r="S2040">
        <v>19.686141060946301</v>
      </c>
      <c r="T2040">
        <v>989.72280701754403</v>
      </c>
      <c r="U2040">
        <v>172.86140350877201</v>
      </c>
      <c r="V2040">
        <v>6</v>
      </c>
      <c r="W2040">
        <v>55.8614035087719</v>
      </c>
      <c r="X2040">
        <v>395.72280701754403</v>
      </c>
      <c r="Y2040">
        <v>53</v>
      </c>
      <c r="Z2040">
        <v>280.96842105263198</v>
      </c>
      <c r="AA2040">
        <v>124.861403508772</v>
      </c>
      <c r="AB2040">
        <v>133.11978438528001</v>
      </c>
      <c r="AC2040">
        <v>9.0256851820049999E-3</v>
      </c>
      <c r="AD2040">
        <v>14.089795655534999</v>
      </c>
      <c r="AE2040">
        <v>0.408799166951263</v>
      </c>
      <c r="AF2040">
        <v>1443.4175438596501</v>
      </c>
      <c r="AG2040">
        <f>IFERROR(AH2040*0.1, "N/A")</f>
        <v>5.2857894736842104</v>
      </c>
      <c r="AH2040">
        <v>52.857894736842098</v>
      </c>
      <c r="AI2040">
        <v>128.664144014057</v>
      </c>
      <c r="AJ2040">
        <v>39.808771929824601</v>
      </c>
      <c r="AK2040">
        <v>37.228070175438603</v>
      </c>
    </row>
    <row r="2041" spans="1:37" x14ac:dyDescent="0.3">
      <c r="A2041">
        <v>2040</v>
      </c>
      <c r="B2041">
        <v>12.5</v>
      </c>
      <c r="C2041">
        <v>31.808900999999999</v>
      </c>
      <c r="D2041">
        <v>-1.27583</v>
      </c>
      <c r="E2041" t="s">
        <v>3598</v>
      </c>
      <c r="F2041" t="s">
        <v>3599</v>
      </c>
      <c r="G2041" t="s">
        <v>39</v>
      </c>
      <c r="H2041">
        <v>2008</v>
      </c>
      <c r="I2041">
        <v>20.112522475092899</v>
      </c>
      <c r="J2041">
        <v>10.412521712153501</v>
      </c>
      <c r="K2041">
        <v>85.125220458553798</v>
      </c>
      <c r="L2041">
        <v>3.3163315661159598</v>
      </c>
      <c r="M2041">
        <v>26</v>
      </c>
      <c r="N2041">
        <v>13.8874776443266</v>
      </c>
      <c r="O2041">
        <v>12.1125223556734</v>
      </c>
      <c r="P2041">
        <v>20.312521330683701</v>
      </c>
      <c r="Q2041">
        <v>19.687478669316299</v>
      </c>
      <c r="R2041">
        <v>20.5</v>
      </c>
      <c r="S2041">
        <v>19.600000381469702</v>
      </c>
      <c r="T2041">
        <v>1878.62433862434</v>
      </c>
      <c r="U2041">
        <v>346</v>
      </c>
      <c r="V2041">
        <v>41</v>
      </c>
      <c r="W2041">
        <v>56</v>
      </c>
      <c r="X2041">
        <v>839.87477954144595</v>
      </c>
      <c r="Y2041">
        <v>163.874779541446</v>
      </c>
      <c r="Z2041">
        <v>518.67195767195801</v>
      </c>
      <c r="AA2041">
        <v>190.118165784832</v>
      </c>
      <c r="AB2041">
        <v>60.512222962825199</v>
      </c>
      <c r="AC2041">
        <v>1.0565419574605E-2</v>
      </c>
      <c r="AD2041">
        <v>1.61662214269083</v>
      </c>
      <c r="AE2041">
        <v>0.40598052740097001</v>
      </c>
      <c r="AF2041">
        <v>1313.73368606702</v>
      </c>
      <c r="AG2041">
        <f>IFERROR(AH2041*0.1, "N/A")</f>
        <v>5.3022927689594397</v>
      </c>
      <c r="AH2041">
        <v>53.022927689594397</v>
      </c>
      <c r="AI2041">
        <v>257.09577164826601</v>
      </c>
      <c r="AJ2041">
        <v>32.268077601410901</v>
      </c>
      <c r="AK2041">
        <v>49.955908289241599</v>
      </c>
    </row>
    <row r="2042" spans="1:37" x14ac:dyDescent="0.3">
      <c r="A2042">
        <v>2041</v>
      </c>
      <c r="B2042">
        <v>12.5</v>
      </c>
      <c r="C2042">
        <v>31.808900999999999</v>
      </c>
      <c r="D2042">
        <v>-1.27583</v>
      </c>
      <c r="E2042" t="s">
        <v>3598</v>
      </c>
      <c r="F2042" t="s">
        <v>3600</v>
      </c>
      <c r="G2042" t="s">
        <v>37</v>
      </c>
      <c r="H2042">
        <v>2008</v>
      </c>
      <c r="I2042">
        <v>20.112522475092899</v>
      </c>
      <c r="J2042">
        <v>10.412521712153501</v>
      </c>
      <c r="K2042">
        <v>85.125220458553798</v>
      </c>
      <c r="L2042">
        <v>3.3163315661159598</v>
      </c>
      <c r="M2042">
        <v>26</v>
      </c>
      <c r="N2042">
        <v>13.8874776443266</v>
      </c>
      <c r="O2042">
        <v>12.1125223556734</v>
      </c>
      <c r="P2042">
        <v>20.312521330683701</v>
      </c>
      <c r="Q2042">
        <v>19.687478669316299</v>
      </c>
      <c r="R2042">
        <v>20.5</v>
      </c>
      <c r="S2042">
        <v>19.600000381469702</v>
      </c>
      <c r="T2042">
        <v>1878.62433862434</v>
      </c>
      <c r="U2042">
        <v>346</v>
      </c>
      <c r="V2042">
        <v>41</v>
      </c>
      <c r="W2042">
        <v>56</v>
      </c>
      <c r="X2042">
        <v>839.87477954144595</v>
      </c>
      <c r="Y2042">
        <v>163.874779541446</v>
      </c>
      <c r="Z2042">
        <v>518.67195767195801</v>
      </c>
      <c r="AA2042">
        <v>190.118165784832</v>
      </c>
      <c r="AB2042">
        <v>60.512222962825199</v>
      </c>
      <c r="AC2042">
        <v>1.0565419574605E-2</v>
      </c>
      <c r="AD2042">
        <v>1.61662214269083</v>
      </c>
      <c r="AE2042">
        <v>0.40598052740097001</v>
      </c>
      <c r="AF2042">
        <v>1313.73368606702</v>
      </c>
      <c r="AG2042">
        <f>IFERROR(AH2042*0.1, "N/A")</f>
        <v>5.3022927689594397</v>
      </c>
      <c r="AH2042">
        <v>53.022927689594397</v>
      </c>
      <c r="AI2042">
        <v>257.09577164826601</v>
      </c>
      <c r="AJ2042">
        <v>32.268077601410901</v>
      </c>
      <c r="AK2042">
        <v>49.955908289241599</v>
      </c>
    </row>
    <row r="2043" spans="1:37" x14ac:dyDescent="0.3">
      <c r="A2043">
        <v>2042</v>
      </c>
      <c r="B2043">
        <v>0</v>
      </c>
      <c r="C2043">
        <v>30.829201000000001</v>
      </c>
      <c r="D2043">
        <v>-1.30722</v>
      </c>
      <c r="E2043" t="s">
        <v>3601</v>
      </c>
      <c r="F2043" t="s">
        <v>3602</v>
      </c>
      <c r="G2043" t="s">
        <v>39</v>
      </c>
      <c r="H2043">
        <v>2008</v>
      </c>
      <c r="I2043">
        <v>19.297187302359799</v>
      </c>
      <c r="J2043">
        <v>11.7985942099761</v>
      </c>
      <c r="K2043">
        <v>86.014059753954299</v>
      </c>
      <c r="L2043">
        <v>2.4866256684536201</v>
      </c>
      <c r="M2043">
        <v>25.9943761037817</v>
      </c>
      <c r="N2043">
        <v>12.398593651179899</v>
      </c>
      <c r="O2043">
        <v>13.5957824526017</v>
      </c>
      <c r="P2043">
        <v>19.3957817030707</v>
      </c>
      <c r="Q2043">
        <v>19.097188419952101</v>
      </c>
      <c r="R2043">
        <v>19.495782084540402</v>
      </c>
      <c r="S2043">
        <v>18.997188038482399</v>
      </c>
      <c r="T2043">
        <v>1065.23901581722</v>
      </c>
      <c r="U2043">
        <v>185.07029876977199</v>
      </c>
      <c r="V2043">
        <v>6.0140597539543004</v>
      </c>
      <c r="W2043">
        <v>54</v>
      </c>
      <c r="X2043">
        <v>418.12653778558899</v>
      </c>
      <c r="Y2043">
        <v>64.028119507908599</v>
      </c>
      <c r="Z2043">
        <v>294.02987697715298</v>
      </c>
      <c r="AA2043">
        <v>127.028119507909</v>
      </c>
      <c r="AB2043">
        <v>148.25461700385799</v>
      </c>
      <c r="AC2043">
        <v>6.6803424031537995E-2</v>
      </c>
      <c r="AD2043">
        <v>4.8260133597469501</v>
      </c>
      <c r="AE2043">
        <v>0.52671972959447999</v>
      </c>
      <c r="AF2043">
        <v>1587.18277680141</v>
      </c>
      <c r="AG2043">
        <f>IFERROR(AH2043*0.1, "N/A")</f>
        <v>5.4536028119507902</v>
      </c>
      <c r="AH2043">
        <v>54.536028119507897</v>
      </c>
      <c r="AI2043">
        <v>158.50865364074701</v>
      </c>
      <c r="AJ2043">
        <v>37.760984182776802</v>
      </c>
      <c r="AK2043">
        <v>41.423550087873501</v>
      </c>
    </row>
    <row r="2044" spans="1:37" x14ac:dyDescent="0.3">
      <c r="A2044">
        <v>2043</v>
      </c>
      <c r="B2044">
        <v>0</v>
      </c>
      <c r="C2044">
        <v>30.829201000000001</v>
      </c>
      <c r="D2044">
        <v>-1.30722</v>
      </c>
      <c r="E2044" t="s">
        <v>3601</v>
      </c>
      <c r="F2044" t="s">
        <v>3603</v>
      </c>
      <c r="G2044" t="s">
        <v>37</v>
      </c>
      <c r="H2044">
        <v>2008</v>
      </c>
      <c r="I2044">
        <v>19.297187302359799</v>
      </c>
      <c r="J2044">
        <v>11.7985942099761</v>
      </c>
      <c r="K2044">
        <v>86.014059753954299</v>
      </c>
      <c r="L2044">
        <v>2.4866256684536201</v>
      </c>
      <c r="M2044">
        <v>25.9943761037817</v>
      </c>
      <c r="N2044">
        <v>12.398593651179899</v>
      </c>
      <c r="O2044">
        <v>13.5957824526017</v>
      </c>
      <c r="P2044">
        <v>19.3957817030707</v>
      </c>
      <c r="Q2044">
        <v>19.097188419952101</v>
      </c>
      <c r="R2044">
        <v>19.495782084540402</v>
      </c>
      <c r="S2044">
        <v>18.997188038482399</v>
      </c>
      <c r="T2044">
        <v>1065.23901581722</v>
      </c>
      <c r="U2044">
        <v>185.07029876977199</v>
      </c>
      <c r="V2044">
        <v>6.0140597539543004</v>
      </c>
      <c r="W2044">
        <v>54</v>
      </c>
      <c r="X2044">
        <v>418.12653778558899</v>
      </c>
      <c r="Y2044">
        <v>64.028119507908599</v>
      </c>
      <c r="Z2044">
        <v>294.02987697715298</v>
      </c>
      <c r="AA2044">
        <v>127.028119507909</v>
      </c>
      <c r="AB2044">
        <v>148.25461700385799</v>
      </c>
      <c r="AC2044">
        <v>6.6803424031537995E-2</v>
      </c>
      <c r="AD2044">
        <v>4.8260133597469501</v>
      </c>
      <c r="AE2044">
        <v>0.52671972959447999</v>
      </c>
      <c r="AF2044">
        <v>1587.18277680141</v>
      </c>
      <c r="AG2044">
        <f>IFERROR(AH2044*0.1, "N/A")</f>
        <v>5.4536028119507902</v>
      </c>
      <c r="AH2044">
        <v>54.536028119507897</v>
      </c>
      <c r="AI2044">
        <v>158.50865364074701</v>
      </c>
      <c r="AJ2044">
        <v>37.760984182776802</v>
      </c>
      <c r="AK2044">
        <v>41.423550087873501</v>
      </c>
    </row>
    <row r="2045" spans="1:37" x14ac:dyDescent="0.3">
      <c r="A2045">
        <v>2044</v>
      </c>
      <c r="B2045">
        <v>0</v>
      </c>
      <c r="C2045">
        <v>31.813600999999998</v>
      </c>
      <c r="D2045">
        <v>-1.32857</v>
      </c>
      <c r="E2045" t="s">
        <v>3604</v>
      </c>
      <c r="F2045" t="s">
        <v>3605</v>
      </c>
      <c r="G2045" t="s">
        <v>39</v>
      </c>
      <c r="H2045">
        <v>2008</v>
      </c>
      <c r="I2045">
        <v>21</v>
      </c>
      <c r="J2045">
        <v>10.300000190734901</v>
      </c>
      <c r="K2045">
        <v>86</v>
      </c>
      <c r="L2045">
        <v>3.4000000953674299</v>
      </c>
      <c r="M2045">
        <v>26.700000762939499</v>
      </c>
      <c r="N2045">
        <v>14.800000190734901</v>
      </c>
      <c r="O2045">
        <v>11.8999996185303</v>
      </c>
      <c r="P2045">
        <v>21.200000762939499</v>
      </c>
      <c r="Q2045">
        <v>20.5</v>
      </c>
      <c r="R2045">
        <v>21.299999237060501</v>
      </c>
      <c r="S2045">
        <v>20.399999618530298</v>
      </c>
      <c r="T2045">
        <v>2047</v>
      </c>
      <c r="U2045">
        <v>380</v>
      </c>
      <c r="V2045">
        <v>46</v>
      </c>
      <c r="W2045">
        <v>56</v>
      </c>
      <c r="X2045">
        <v>918</v>
      </c>
      <c r="Y2045">
        <v>181</v>
      </c>
      <c r="Z2045">
        <v>777</v>
      </c>
      <c r="AA2045">
        <v>209</v>
      </c>
      <c r="AB2045">
        <v>11.8237985960195</v>
      </c>
      <c r="AC2045">
        <v>1.3856517341197999E-2</v>
      </c>
      <c r="AD2045">
        <v>2.2438580507124</v>
      </c>
      <c r="AE2045">
        <v>0.80044984817504905</v>
      </c>
      <c r="AF2045">
        <v>1149.00352112676</v>
      </c>
      <c r="AG2045">
        <f>IFERROR(AH2045*0.1, "N/A")</f>
        <v>5.6000000000000005</v>
      </c>
      <c r="AH2045">
        <v>56</v>
      </c>
      <c r="AI2045">
        <v>130.83196862986401</v>
      </c>
      <c r="AJ2045">
        <v>33</v>
      </c>
      <c r="AK2045">
        <v>49</v>
      </c>
    </row>
    <row r="2046" spans="1:37" x14ac:dyDescent="0.3">
      <c r="A2046">
        <v>2045</v>
      </c>
      <c r="B2046">
        <v>0</v>
      </c>
      <c r="C2046">
        <v>31.813600999999998</v>
      </c>
      <c r="D2046">
        <v>-1.32857</v>
      </c>
      <c r="E2046" t="s">
        <v>3604</v>
      </c>
      <c r="F2046" t="s">
        <v>3606</v>
      </c>
      <c r="G2046" t="s">
        <v>37</v>
      </c>
      <c r="H2046">
        <v>2008</v>
      </c>
      <c r="I2046">
        <v>21</v>
      </c>
      <c r="J2046">
        <v>10.300000190734901</v>
      </c>
      <c r="K2046">
        <v>86</v>
      </c>
      <c r="L2046">
        <v>3.4000000953674299</v>
      </c>
      <c r="M2046">
        <v>26.700000762939499</v>
      </c>
      <c r="N2046">
        <v>14.800000190734901</v>
      </c>
      <c r="O2046">
        <v>11.8999996185303</v>
      </c>
      <c r="P2046">
        <v>21.200000762939499</v>
      </c>
      <c r="Q2046">
        <v>20.5</v>
      </c>
      <c r="R2046">
        <v>21.299999237060501</v>
      </c>
      <c r="S2046">
        <v>20.399999618530298</v>
      </c>
      <c r="T2046">
        <v>2047</v>
      </c>
      <c r="U2046">
        <v>380</v>
      </c>
      <c r="V2046">
        <v>46</v>
      </c>
      <c r="W2046">
        <v>56</v>
      </c>
      <c r="X2046">
        <v>918</v>
      </c>
      <c r="Y2046">
        <v>181</v>
      </c>
      <c r="Z2046">
        <v>777</v>
      </c>
      <c r="AA2046">
        <v>209</v>
      </c>
      <c r="AB2046">
        <v>11.8237985960195</v>
      </c>
      <c r="AC2046">
        <v>1.3856517341197999E-2</v>
      </c>
      <c r="AD2046">
        <v>2.2438580507124</v>
      </c>
      <c r="AE2046">
        <v>0.80044984817504905</v>
      </c>
      <c r="AF2046">
        <v>1149.00352112676</v>
      </c>
      <c r="AG2046">
        <f>IFERROR(AH2046*0.1, "N/A")</f>
        <v>5.6000000000000005</v>
      </c>
      <c r="AH2046">
        <v>56</v>
      </c>
      <c r="AI2046">
        <v>130.83196862986401</v>
      </c>
      <c r="AJ2046">
        <v>33</v>
      </c>
      <c r="AK2046">
        <v>49</v>
      </c>
    </row>
    <row r="2047" spans="1:37" x14ac:dyDescent="0.3">
      <c r="A2047">
        <v>2046</v>
      </c>
      <c r="B2047">
        <v>0</v>
      </c>
      <c r="C2047">
        <v>31.119699000000001</v>
      </c>
      <c r="D2047">
        <v>-1.34833</v>
      </c>
      <c r="E2047" t="s">
        <v>3607</v>
      </c>
      <c r="F2047" t="s">
        <v>3608</v>
      </c>
      <c r="G2047" t="s">
        <v>39</v>
      </c>
      <c r="H2047">
        <v>2008</v>
      </c>
      <c r="I2047">
        <v>18.5</v>
      </c>
      <c r="J2047">
        <v>11.300000190734901</v>
      </c>
      <c r="K2047">
        <v>87</v>
      </c>
      <c r="L2047">
        <v>2.28999996185303</v>
      </c>
      <c r="M2047">
        <v>24.700000762939499</v>
      </c>
      <c r="N2047">
        <v>11.800000190734901</v>
      </c>
      <c r="O2047">
        <v>12.8999996185303</v>
      </c>
      <c r="P2047">
        <v>18.600000381469702</v>
      </c>
      <c r="Q2047">
        <v>18.200000762939499</v>
      </c>
      <c r="R2047">
        <v>18.700000762939499</v>
      </c>
      <c r="S2047">
        <v>18.200000762939499</v>
      </c>
      <c r="T2047">
        <v>1072</v>
      </c>
      <c r="U2047">
        <v>199</v>
      </c>
      <c r="V2047">
        <v>6</v>
      </c>
      <c r="W2047">
        <v>58</v>
      </c>
      <c r="X2047">
        <v>439</v>
      </c>
      <c r="Y2047">
        <v>58</v>
      </c>
      <c r="Z2047">
        <v>301</v>
      </c>
      <c r="AA2047">
        <v>131</v>
      </c>
      <c r="AB2047">
        <v>297.25486178808802</v>
      </c>
      <c r="AC2047">
        <v>8.6056102862700004E-3</v>
      </c>
      <c r="AD2047">
        <v>3.69360898039672</v>
      </c>
      <c r="AE2047">
        <v>0.45212298631668102</v>
      </c>
      <c r="AF2047">
        <v>1681.9156414762699</v>
      </c>
      <c r="AG2047">
        <f>IFERROR(AH2047*0.1, "N/A")</f>
        <v>5.4</v>
      </c>
      <c r="AH2047">
        <v>54</v>
      </c>
      <c r="AI2047">
        <v>120.861827032428</v>
      </c>
      <c r="AJ2047">
        <v>42</v>
      </c>
      <c r="AK2047">
        <v>40.550087873462203</v>
      </c>
    </row>
    <row r="2048" spans="1:37" x14ac:dyDescent="0.3">
      <c r="A2048">
        <v>2047</v>
      </c>
      <c r="B2048">
        <v>0</v>
      </c>
      <c r="C2048">
        <v>31.119699000000001</v>
      </c>
      <c r="D2048">
        <v>-1.34833</v>
      </c>
      <c r="E2048" t="s">
        <v>3607</v>
      </c>
      <c r="F2048" t="s">
        <v>3609</v>
      </c>
      <c r="G2048" t="s">
        <v>37</v>
      </c>
      <c r="H2048">
        <v>2008</v>
      </c>
      <c r="I2048">
        <v>18.5</v>
      </c>
      <c r="J2048">
        <v>11.300000190734901</v>
      </c>
      <c r="K2048">
        <v>87</v>
      </c>
      <c r="L2048">
        <v>2.28999996185303</v>
      </c>
      <c r="M2048">
        <v>24.700000762939499</v>
      </c>
      <c r="N2048">
        <v>11.800000190734901</v>
      </c>
      <c r="O2048">
        <v>12.8999996185303</v>
      </c>
      <c r="P2048">
        <v>18.600000381469702</v>
      </c>
      <c r="Q2048">
        <v>18.200000762939499</v>
      </c>
      <c r="R2048">
        <v>18.700000762939499</v>
      </c>
      <c r="S2048">
        <v>18.200000762939499</v>
      </c>
      <c r="T2048">
        <v>1072</v>
      </c>
      <c r="U2048">
        <v>199</v>
      </c>
      <c r="V2048">
        <v>6</v>
      </c>
      <c r="W2048">
        <v>58</v>
      </c>
      <c r="X2048">
        <v>439</v>
      </c>
      <c r="Y2048">
        <v>58</v>
      </c>
      <c r="Z2048">
        <v>301</v>
      </c>
      <c r="AA2048">
        <v>131</v>
      </c>
      <c r="AB2048">
        <v>297.25486178808802</v>
      </c>
      <c r="AC2048">
        <v>8.6056102862700004E-3</v>
      </c>
      <c r="AD2048">
        <v>3.69360898039672</v>
      </c>
      <c r="AE2048">
        <v>0.45212298631668102</v>
      </c>
      <c r="AF2048">
        <v>1681.9156414762699</v>
      </c>
      <c r="AG2048">
        <f>IFERROR(AH2048*0.1, "N/A")</f>
        <v>5.4</v>
      </c>
      <c r="AH2048">
        <v>54</v>
      </c>
      <c r="AI2048">
        <v>120.861827032428</v>
      </c>
      <c r="AJ2048">
        <v>42</v>
      </c>
      <c r="AK2048">
        <v>40.550087873462203</v>
      </c>
    </row>
    <row r="2049" spans="1:37" x14ac:dyDescent="0.3">
      <c r="A2049">
        <v>2048</v>
      </c>
      <c r="B2049">
        <v>0</v>
      </c>
      <c r="C2049">
        <v>31.634701</v>
      </c>
      <c r="D2049">
        <v>-1.4824999999999999</v>
      </c>
      <c r="E2049" t="s">
        <v>3610</v>
      </c>
      <c r="F2049" t="s">
        <v>3611</v>
      </c>
      <c r="G2049" t="s">
        <v>39</v>
      </c>
      <c r="H2049">
        <v>2008</v>
      </c>
      <c r="I2049">
        <v>20.195439342030301</v>
      </c>
      <c r="J2049">
        <v>10.6000003814697</v>
      </c>
      <c r="K2049">
        <v>87</v>
      </c>
      <c r="L2049">
        <v>2.94361407798633</v>
      </c>
      <c r="M2049">
        <v>25.995438579090901</v>
      </c>
      <c r="N2049">
        <v>13.8954382411221</v>
      </c>
      <c r="O2049">
        <v>12.1000003814697</v>
      </c>
      <c r="P2049">
        <v>20.3954381976211</v>
      </c>
      <c r="Q2049">
        <v>19.795437903153299</v>
      </c>
      <c r="R2049">
        <v>20.495438579090901</v>
      </c>
      <c r="S2049">
        <v>19.795437903153299</v>
      </c>
      <c r="T2049">
        <v>1524.09122807018</v>
      </c>
      <c r="U2049">
        <v>280.04561403508802</v>
      </c>
      <c r="V2049">
        <v>25</v>
      </c>
      <c r="W2049">
        <v>58</v>
      </c>
      <c r="X2049">
        <v>669.04561403508797</v>
      </c>
      <c r="Y2049">
        <v>96</v>
      </c>
      <c r="Z2049">
        <v>574.06315789473695</v>
      </c>
      <c r="AA2049">
        <v>144.67368421052601</v>
      </c>
      <c r="AB2049">
        <v>28.800522546600899</v>
      </c>
      <c r="AC2049">
        <v>2.4945551277906E-2</v>
      </c>
      <c r="AD2049">
        <v>5.0197448638447497</v>
      </c>
      <c r="AE2049">
        <v>0.257152080535889</v>
      </c>
      <c r="AF2049">
        <v>1318.49298245614</v>
      </c>
      <c r="AG2049">
        <f>IFERROR(AH2049*0.1, "N/A")</f>
        <v>5.4236842105263205</v>
      </c>
      <c r="AH2049">
        <v>54.2368421052632</v>
      </c>
      <c r="AI2049">
        <v>43.623776827360402</v>
      </c>
      <c r="AJ2049">
        <v>33.282456140350902</v>
      </c>
      <c r="AK2049">
        <v>45.671929824561403</v>
      </c>
    </row>
    <row r="2050" spans="1:37" x14ac:dyDescent="0.3">
      <c r="A2050">
        <v>2049</v>
      </c>
      <c r="B2050">
        <v>0</v>
      </c>
      <c r="C2050">
        <v>31.634701</v>
      </c>
      <c r="D2050">
        <v>-1.4824999999999999</v>
      </c>
      <c r="E2050" t="s">
        <v>3610</v>
      </c>
      <c r="F2050" t="s">
        <v>3612</v>
      </c>
      <c r="G2050" t="s">
        <v>37</v>
      </c>
      <c r="H2050">
        <v>2008</v>
      </c>
      <c r="I2050">
        <v>20.195439342030301</v>
      </c>
      <c r="J2050">
        <v>10.6000003814697</v>
      </c>
      <c r="K2050">
        <v>87</v>
      </c>
      <c r="L2050">
        <v>2.94361407798633</v>
      </c>
      <c r="M2050">
        <v>25.995438579090901</v>
      </c>
      <c r="N2050">
        <v>13.8954382411221</v>
      </c>
      <c r="O2050">
        <v>12.1000003814697</v>
      </c>
      <c r="P2050">
        <v>20.3954381976211</v>
      </c>
      <c r="Q2050">
        <v>19.795437903153299</v>
      </c>
      <c r="R2050">
        <v>20.495438579090901</v>
      </c>
      <c r="S2050">
        <v>19.795437903153299</v>
      </c>
      <c r="T2050">
        <v>1524.09122807018</v>
      </c>
      <c r="U2050">
        <v>280.04561403508802</v>
      </c>
      <c r="V2050">
        <v>25</v>
      </c>
      <c r="W2050">
        <v>58</v>
      </c>
      <c r="X2050">
        <v>669.04561403508797</v>
      </c>
      <c r="Y2050">
        <v>96</v>
      </c>
      <c r="Z2050">
        <v>574.06315789473695</v>
      </c>
      <c r="AA2050">
        <v>144.67368421052601</v>
      </c>
      <c r="AB2050">
        <v>28.800522546600899</v>
      </c>
      <c r="AC2050">
        <v>2.4945551277906E-2</v>
      </c>
      <c r="AD2050">
        <v>5.0197448638447497</v>
      </c>
      <c r="AE2050">
        <v>0.257152080535889</v>
      </c>
      <c r="AF2050">
        <v>1318.49298245614</v>
      </c>
      <c r="AG2050">
        <f>IFERROR(AH2050*0.1, "N/A")</f>
        <v>5.4236842105263205</v>
      </c>
      <c r="AH2050">
        <v>54.2368421052632</v>
      </c>
      <c r="AI2050">
        <v>43.623776827360402</v>
      </c>
      <c r="AJ2050">
        <v>33.282456140350902</v>
      </c>
      <c r="AK2050">
        <v>45.671929824561403</v>
      </c>
    </row>
    <row r="2051" spans="1:37" x14ac:dyDescent="0.3">
      <c r="A2051">
        <v>2050</v>
      </c>
      <c r="B2051">
        <v>0</v>
      </c>
      <c r="C2051">
        <v>31.137198999999999</v>
      </c>
      <c r="D2051">
        <v>-1.4930600000000001</v>
      </c>
      <c r="E2051" t="s">
        <v>3613</v>
      </c>
      <c r="F2051" t="s">
        <v>3614</v>
      </c>
      <c r="G2051" t="s">
        <v>39</v>
      </c>
      <c r="H2051">
        <v>2008</v>
      </c>
      <c r="I2051">
        <v>19.600000381469702</v>
      </c>
      <c r="J2051">
        <v>11.300000190734901</v>
      </c>
      <c r="K2051">
        <v>87</v>
      </c>
      <c r="L2051">
        <v>2.17000007629394</v>
      </c>
      <c r="M2051">
        <v>25.799999237060501</v>
      </c>
      <c r="N2051">
        <v>12.8999996185303</v>
      </c>
      <c r="O2051">
        <v>12.8999996185303</v>
      </c>
      <c r="P2051">
        <v>19.600000381469702</v>
      </c>
      <c r="Q2051">
        <v>19.299999237060501</v>
      </c>
      <c r="R2051">
        <v>19.700000762939499</v>
      </c>
      <c r="S2051">
        <v>19.299999237060501</v>
      </c>
      <c r="T2051">
        <v>1071</v>
      </c>
      <c r="U2051">
        <v>198</v>
      </c>
      <c r="V2051">
        <v>5</v>
      </c>
      <c r="W2051">
        <v>59</v>
      </c>
      <c r="X2051">
        <v>440</v>
      </c>
      <c r="Y2051">
        <v>47</v>
      </c>
      <c r="Z2051">
        <v>198</v>
      </c>
      <c r="AA2051">
        <v>131</v>
      </c>
      <c r="AB2051">
        <v>114.202650853207</v>
      </c>
      <c r="AC2051">
        <v>8.7698828085859999E-3</v>
      </c>
      <c r="AD2051">
        <v>14.046627727307801</v>
      </c>
      <c r="AE2051">
        <v>0.49848431348800698</v>
      </c>
      <c r="AF2051">
        <v>1532.7421052631601</v>
      </c>
      <c r="AG2051">
        <f>IFERROR(AH2051*0.1, "N/A")</f>
        <v>5.4331578947368406</v>
      </c>
      <c r="AH2051">
        <v>54.331578947368399</v>
      </c>
      <c r="AI2051">
        <v>185.189045554713</v>
      </c>
      <c r="AJ2051">
        <v>37.331578947368399</v>
      </c>
      <c r="AK2051">
        <v>41.668421052631601</v>
      </c>
    </row>
    <row r="2052" spans="1:37" x14ac:dyDescent="0.3">
      <c r="A2052">
        <v>2051</v>
      </c>
      <c r="B2052">
        <v>0</v>
      </c>
      <c r="C2052">
        <v>31.137198999999999</v>
      </c>
      <c r="D2052">
        <v>-1.4930600000000001</v>
      </c>
      <c r="E2052" t="s">
        <v>3613</v>
      </c>
      <c r="F2052" t="s">
        <v>3615</v>
      </c>
      <c r="G2052" t="s">
        <v>37</v>
      </c>
      <c r="H2052">
        <v>2008</v>
      </c>
      <c r="I2052">
        <v>19.600000381469702</v>
      </c>
      <c r="J2052">
        <v>11.300000190734901</v>
      </c>
      <c r="K2052">
        <v>87</v>
      </c>
      <c r="L2052">
        <v>2.17000007629394</v>
      </c>
      <c r="M2052">
        <v>25.799999237060501</v>
      </c>
      <c r="N2052">
        <v>12.8999996185303</v>
      </c>
      <c r="O2052">
        <v>12.8999996185303</v>
      </c>
      <c r="P2052">
        <v>19.600000381469702</v>
      </c>
      <c r="Q2052">
        <v>19.299999237060501</v>
      </c>
      <c r="R2052">
        <v>19.700000762939499</v>
      </c>
      <c r="S2052">
        <v>19.299999237060501</v>
      </c>
      <c r="T2052">
        <v>1071</v>
      </c>
      <c r="U2052">
        <v>198</v>
      </c>
      <c r="V2052">
        <v>5</v>
      </c>
      <c r="W2052">
        <v>59</v>
      </c>
      <c r="X2052">
        <v>440</v>
      </c>
      <c r="Y2052">
        <v>47</v>
      </c>
      <c r="Z2052">
        <v>198</v>
      </c>
      <c r="AA2052">
        <v>131</v>
      </c>
      <c r="AB2052">
        <v>114.202650853207</v>
      </c>
      <c r="AC2052">
        <v>8.7698828085859999E-3</v>
      </c>
      <c r="AD2052">
        <v>14.046627727307801</v>
      </c>
      <c r="AE2052">
        <v>0.49848431348800698</v>
      </c>
      <c r="AF2052">
        <v>1532.7421052631601</v>
      </c>
      <c r="AG2052">
        <f>IFERROR(AH2052*0.1, "N/A")</f>
        <v>5.4331578947368406</v>
      </c>
      <c r="AH2052">
        <v>54.331578947368399</v>
      </c>
      <c r="AI2052">
        <v>185.189045554713</v>
      </c>
      <c r="AJ2052">
        <v>37.331578947368399</v>
      </c>
      <c r="AK2052">
        <v>41.668421052631601</v>
      </c>
    </row>
    <row r="2053" spans="1:37" x14ac:dyDescent="0.3">
      <c r="A2053">
        <v>2052</v>
      </c>
      <c r="B2053">
        <v>0</v>
      </c>
      <c r="C2053">
        <v>31.698899999999998</v>
      </c>
      <c r="D2053">
        <v>-1.66222</v>
      </c>
      <c r="E2053" t="s">
        <v>3616</v>
      </c>
      <c r="F2053" t="s">
        <v>3617</v>
      </c>
      <c r="G2053" t="s">
        <v>39</v>
      </c>
      <c r="H2053">
        <v>2008</v>
      </c>
      <c r="I2053">
        <v>20.600000381469702</v>
      </c>
      <c r="J2053">
        <v>10.3999996185303</v>
      </c>
      <c r="K2053">
        <v>88</v>
      </c>
      <c r="L2053">
        <v>2.46000003814697</v>
      </c>
      <c r="M2053">
        <v>26.100000381469702</v>
      </c>
      <c r="N2053">
        <v>14.3999996185303</v>
      </c>
      <c r="O2053">
        <v>11.699999809265099</v>
      </c>
      <c r="P2053">
        <v>20.799999237060501</v>
      </c>
      <c r="Q2053">
        <v>20.200000762939499</v>
      </c>
      <c r="R2053">
        <v>20.799999237060501</v>
      </c>
      <c r="S2053">
        <v>20.200000762939499</v>
      </c>
      <c r="T2053">
        <v>1626</v>
      </c>
      <c r="U2053">
        <v>313</v>
      </c>
      <c r="V2053">
        <v>21</v>
      </c>
      <c r="W2053">
        <v>60</v>
      </c>
      <c r="X2053">
        <v>721</v>
      </c>
      <c r="Y2053">
        <v>91</v>
      </c>
      <c r="Z2053">
        <v>654</v>
      </c>
      <c r="AA2053">
        <v>91</v>
      </c>
      <c r="AB2053">
        <v>23.728321558992601</v>
      </c>
      <c r="AC2053">
        <v>3.1981059133639002E-2</v>
      </c>
      <c r="AD2053">
        <v>5.2444072777116801</v>
      </c>
      <c r="AE2053">
        <v>0.36665096879005399</v>
      </c>
      <c r="AF2053">
        <v>1267.47887323944</v>
      </c>
      <c r="AG2053">
        <f>IFERROR(AH2053*0.1, "N/A")</f>
        <v>5.6000000000000005</v>
      </c>
      <c r="AH2053">
        <v>56</v>
      </c>
      <c r="AI2053">
        <v>44.063503339256997</v>
      </c>
      <c r="AJ2053">
        <v>35</v>
      </c>
      <c r="AK2053">
        <v>48</v>
      </c>
    </row>
    <row r="2054" spans="1:37" x14ac:dyDescent="0.3">
      <c r="A2054">
        <v>2053</v>
      </c>
      <c r="B2054">
        <v>0</v>
      </c>
      <c r="C2054">
        <v>31.698899999999998</v>
      </c>
      <c r="D2054">
        <v>-1.66222</v>
      </c>
      <c r="E2054" t="s">
        <v>3616</v>
      </c>
      <c r="F2054" t="s">
        <v>3618</v>
      </c>
      <c r="G2054" t="s">
        <v>37</v>
      </c>
      <c r="H2054">
        <v>2008</v>
      </c>
      <c r="I2054">
        <v>20.600000381469702</v>
      </c>
      <c r="J2054">
        <v>10.3999996185303</v>
      </c>
      <c r="K2054">
        <v>88</v>
      </c>
      <c r="L2054">
        <v>2.46000003814697</v>
      </c>
      <c r="M2054">
        <v>26.100000381469702</v>
      </c>
      <c r="N2054">
        <v>14.3999996185303</v>
      </c>
      <c r="O2054">
        <v>11.699999809265099</v>
      </c>
      <c r="P2054">
        <v>20.799999237060501</v>
      </c>
      <c r="Q2054">
        <v>20.200000762939499</v>
      </c>
      <c r="R2054">
        <v>20.799999237060501</v>
      </c>
      <c r="S2054">
        <v>20.200000762939499</v>
      </c>
      <c r="T2054">
        <v>1626</v>
      </c>
      <c r="U2054">
        <v>313</v>
      </c>
      <c r="V2054">
        <v>21</v>
      </c>
      <c r="W2054">
        <v>60</v>
      </c>
      <c r="X2054">
        <v>721</v>
      </c>
      <c r="Y2054">
        <v>91</v>
      </c>
      <c r="Z2054">
        <v>654</v>
      </c>
      <c r="AA2054">
        <v>91</v>
      </c>
      <c r="AB2054">
        <v>23.728321558992601</v>
      </c>
      <c r="AC2054">
        <v>3.1981059133639002E-2</v>
      </c>
      <c r="AD2054">
        <v>5.2444072777116801</v>
      </c>
      <c r="AE2054">
        <v>0.36665096879005399</v>
      </c>
      <c r="AF2054">
        <v>1267.47887323944</v>
      </c>
      <c r="AG2054">
        <f>IFERROR(AH2054*0.1, "N/A")</f>
        <v>5.6000000000000005</v>
      </c>
      <c r="AH2054">
        <v>56</v>
      </c>
      <c r="AI2054">
        <v>44.063503339256997</v>
      </c>
      <c r="AJ2054">
        <v>35</v>
      </c>
      <c r="AK2054">
        <v>48</v>
      </c>
    </row>
    <row r="2055" spans="1:37" x14ac:dyDescent="0.3">
      <c r="A2055">
        <v>2054</v>
      </c>
      <c r="B2055">
        <v>16.670000000000002</v>
      </c>
      <c r="C2055">
        <v>31.716699999999999</v>
      </c>
      <c r="D2055">
        <v>-1.73333</v>
      </c>
      <c r="E2055" t="s">
        <v>3619</v>
      </c>
      <c r="F2055" t="s">
        <v>3620</v>
      </c>
      <c r="G2055" t="s">
        <v>39</v>
      </c>
      <c r="H2055">
        <v>2008</v>
      </c>
      <c r="I2055">
        <v>20.3904925400103</v>
      </c>
      <c r="J2055">
        <v>10.300000190734901</v>
      </c>
      <c r="K2055">
        <v>88</v>
      </c>
      <c r="L2055">
        <v>2.6486444368328801</v>
      </c>
      <c r="M2055">
        <v>25.8755276941917</v>
      </c>
      <c r="N2055">
        <v>14.186443889644799</v>
      </c>
      <c r="O2055">
        <v>11.689084378766299</v>
      </c>
      <c r="P2055">
        <v>20.490492921480001</v>
      </c>
      <c r="Q2055">
        <v>19.986443610258501</v>
      </c>
      <c r="R2055">
        <v>20.586443991728199</v>
      </c>
      <c r="S2055">
        <v>19.986443610258501</v>
      </c>
      <c r="T2055">
        <v>1546.2147887323899</v>
      </c>
      <c r="U2055">
        <v>293.25176056338</v>
      </c>
      <c r="V2055">
        <v>17.357394366197202</v>
      </c>
      <c r="W2055">
        <v>60</v>
      </c>
      <c r="X2055">
        <v>669.24471830985897</v>
      </c>
      <c r="Y2055">
        <v>79.003521126760603</v>
      </c>
      <c r="Z2055">
        <v>594.68661971831</v>
      </c>
      <c r="AA2055">
        <v>79.003521126760603</v>
      </c>
      <c r="AB2055">
        <v>183.861076032612</v>
      </c>
      <c r="AC2055">
        <v>8.6041940458150001E-3</v>
      </c>
      <c r="AD2055">
        <v>2.1895831208413798</v>
      </c>
      <c r="AE2055">
        <v>0.40486994385719299</v>
      </c>
      <c r="AF2055">
        <v>1379.97535211268</v>
      </c>
      <c r="AG2055">
        <f>IFERROR(AH2055*0.1, "N/A")</f>
        <v>5.5561619718309903</v>
      </c>
      <c r="AH2055">
        <v>55.561619718309899</v>
      </c>
      <c r="AI2055">
        <v>211.354375973554</v>
      </c>
      <c r="AJ2055">
        <v>39.751760563380302</v>
      </c>
      <c r="AK2055">
        <v>41.4383802816902</v>
      </c>
    </row>
    <row r="2056" spans="1:37" x14ac:dyDescent="0.3">
      <c r="A2056">
        <v>2055</v>
      </c>
      <c r="B2056">
        <v>0</v>
      </c>
      <c r="C2056">
        <v>31.716699999999999</v>
      </c>
      <c r="D2056">
        <v>-1.73333</v>
      </c>
      <c r="E2056" t="s">
        <v>3619</v>
      </c>
      <c r="F2056" t="s">
        <v>3621</v>
      </c>
      <c r="G2056" t="s">
        <v>37</v>
      </c>
      <c r="H2056">
        <v>2008</v>
      </c>
      <c r="I2056">
        <v>20.3904925400103</v>
      </c>
      <c r="J2056">
        <v>10.300000190734901</v>
      </c>
      <c r="K2056">
        <v>88</v>
      </c>
      <c r="L2056">
        <v>2.6486444368328801</v>
      </c>
      <c r="M2056">
        <v>25.8755276941917</v>
      </c>
      <c r="N2056">
        <v>14.186443889644799</v>
      </c>
      <c r="O2056">
        <v>11.689084378766299</v>
      </c>
      <c r="P2056">
        <v>20.490492921480001</v>
      </c>
      <c r="Q2056">
        <v>19.986443610258501</v>
      </c>
      <c r="R2056">
        <v>20.586443991728199</v>
      </c>
      <c r="S2056">
        <v>19.986443610258501</v>
      </c>
      <c r="T2056">
        <v>1546.2147887323899</v>
      </c>
      <c r="U2056">
        <v>293.25176056338</v>
      </c>
      <c r="V2056">
        <v>17.357394366197202</v>
      </c>
      <c r="W2056">
        <v>60</v>
      </c>
      <c r="X2056">
        <v>669.24471830985897</v>
      </c>
      <c r="Y2056">
        <v>79.003521126760603</v>
      </c>
      <c r="Z2056">
        <v>594.68661971831</v>
      </c>
      <c r="AA2056">
        <v>79.003521126760603</v>
      </c>
      <c r="AB2056">
        <v>183.861076032612</v>
      </c>
      <c r="AC2056">
        <v>8.6041940458150001E-3</v>
      </c>
      <c r="AD2056">
        <v>2.1895831208413798</v>
      </c>
      <c r="AE2056">
        <v>0.40486994385719299</v>
      </c>
      <c r="AF2056">
        <v>1379.97535211268</v>
      </c>
      <c r="AG2056">
        <f>IFERROR(AH2056*0.1, "N/A")</f>
        <v>5.5561619718309903</v>
      </c>
      <c r="AH2056">
        <v>55.561619718309899</v>
      </c>
      <c r="AI2056">
        <v>211.354375973554</v>
      </c>
      <c r="AJ2056">
        <v>39.751760563380302</v>
      </c>
      <c r="AK2056">
        <v>41.4383802816902</v>
      </c>
    </row>
    <row r="2057" spans="1:37" x14ac:dyDescent="0.3">
      <c r="A2057">
        <v>2056</v>
      </c>
      <c r="B2057">
        <v>0</v>
      </c>
      <c r="C2057">
        <v>30.978300000000001</v>
      </c>
      <c r="D2057">
        <v>-1.7936099999999999</v>
      </c>
      <c r="E2057" t="s">
        <v>3622</v>
      </c>
      <c r="F2057" t="s">
        <v>3623</v>
      </c>
      <c r="G2057" t="s">
        <v>39</v>
      </c>
      <c r="H2057">
        <v>2008</v>
      </c>
      <c r="I2057">
        <v>20.100000381469702</v>
      </c>
      <c r="J2057">
        <v>11.1000003814697</v>
      </c>
      <c r="K2057">
        <v>86</v>
      </c>
      <c r="L2057">
        <v>2.4300000667571999</v>
      </c>
      <c r="M2057">
        <v>26.600000381469702</v>
      </c>
      <c r="N2057">
        <v>13.699999809265099</v>
      </c>
      <c r="O2057">
        <v>12.8999996185303</v>
      </c>
      <c r="P2057">
        <v>20.100000381469702</v>
      </c>
      <c r="Q2057">
        <v>19.899999618530298</v>
      </c>
      <c r="R2057">
        <v>20.399999618530298</v>
      </c>
      <c r="S2057">
        <v>19.899999618530298</v>
      </c>
      <c r="T2057">
        <v>963</v>
      </c>
      <c r="U2057">
        <v>167</v>
      </c>
      <c r="V2057">
        <v>3</v>
      </c>
      <c r="W2057">
        <v>60</v>
      </c>
      <c r="X2057">
        <v>382</v>
      </c>
      <c r="Y2057">
        <v>34</v>
      </c>
      <c r="Z2057">
        <v>170</v>
      </c>
      <c r="AA2057">
        <v>107</v>
      </c>
      <c r="AB2057">
        <v>6.3575886471170797</v>
      </c>
      <c r="AC2057">
        <v>0.35110720743353002</v>
      </c>
      <c r="AD2057">
        <v>7.3951857098391303</v>
      </c>
      <c r="AE2057">
        <v>0.26730173049678302</v>
      </c>
      <c r="AF2057">
        <v>1481.5950704225399</v>
      </c>
      <c r="AG2057">
        <f>IFERROR(AH2057*0.1, "N/A")</f>
        <v>5.5</v>
      </c>
      <c r="AH2057">
        <v>55</v>
      </c>
      <c r="AI2057">
        <v>175.02175629306799</v>
      </c>
      <c r="AJ2057">
        <v>33</v>
      </c>
      <c r="AK2057">
        <v>47</v>
      </c>
    </row>
    <row r="2058" spans="1:37" x14ac:dyDescent="0.3">
      <c r="A2058">
        <v>2057</v>
      </c>
      <c r="B2058">
        <v>0</v>
      </c>
      <c r="C2058">
        <v>30.978300000000001</v>
      </c>
      <c r="D2058">
        <v>-1.7936099999999999</v>
      </c>
      <c r="E2058" t="s">
        <v>3622</v>
      </c>
      <c r="F2058" t="s">
        <v>3624</v>
      </c>
      <c r="G2058" t="s">
        <v>37</v>
      </c>
      <c r="H2058">
        <v>2008</v>
      </c>
      <c r="I2058">
        <v>20.100000381469702</v>
      </c>
      <c r="J2058">
        <v>11.1000003814697</v>
      </c>
      <c r="K2058">
        <v>86</v>
      </c>
      <c r="L2058">
        <v>2.4300000667571999</v>
      </c>
      <c r="M2058">
        <v>26.600000381469702</v>
      </c>
      <c r="N2058">
        <v>13.699999809265099</v>
      </c>
      <c r="O2058">
        <v>12.8999996185303</v>
      </c>
      <c r="P2058">
        <v>20.100000381469702</v>
      </c>
      <c r="Q2058">
        <v>19.899999618530298</v>
      </c>
      <c r="R2058">
        <v>20.399999618530298</v>
      </c>
      <c r="S2058">
        <v>19.899999618530298</v>
      </c>
      <c r="T2058">
        <v>963</v>
      </c>
      <c r="U2058">
        <v>167</v>
      </c>
      <c r="V2058">
        <v>3</v>
      </c>
      <c r="W2058">
        <v>60</v>
      </c>
      <c r="X2058">
        <v>382</v>
      </c>
      <c r="Y2058">
        <v>34</v>
      </c>
      <c r="Z2058">
        <v>170</v>
      </c>
      <c r="AA2058">
        <v>107</v>
      </c>
      <c r="AB2058">
        <v>6.3575886471170797</v>
      </c>
      <c r="AC2058">
        <v>0.35110720743353002</v>
      </c>
      <c r="AD2058">
        <v>7.3951857098391303</v>
      </c>
      <c r="AE2058">
        <v>0.26730173049678302</v>
      </c>
      <c r="AF2058">
        <v>1481.5950704225399</v>
      </c>
      <c r="AG2058">
        <f>IFERROR(AH2058*0.1, "N/A")</f>
        <v>5.5</v>
      </c>
      <c r="AH2058">
        <v>55</v>
      </c>
      <c r="AI2058">
        <v>175.02175629306799</v>
      </c>
      <c r="AJ2058">
        <v>33</v>
      </c>
      <c r="AK2058">
        <v>47</v>
      </c>
    </row>
    <row r="2059" spans="1:37" x14ac:dyDescent="0.3">
      <c r="A2059">
        <v>2058</v>
      </c>
      <c r="B2059">
        <v>0</v>
      </c>
      <c r="C2059">
        <v>31.551100000000002</v>
      </c>
      <c r="D2059">
        <v>-1.79833</v>
      </c>
      <c r="E2059" t="s">
        <v>3625</v>
      </c>
      <c r="F2059" t="s">
        <v>3626</v>
      </c>
      <c r="G2059" t="s">
        <v>39</v>
      </c>
      <c r="H2059">
        <v>2008</v>
      </c>
      <c r="I2059">
        <v>19.200000762939499</v>
      </c>
      <c r="J2059">
        <v>10.3999996185303</v>
      </c>
      <c r="K2059">
        <v>88</v>
      </c>
      <c r="L2059">
        <v>2.0899999141693102</v>
      </c>
      <c r="M2059">
        <v>24.899999618530298</v>
      </c>
      <c r="N2059">
        <v>13.1000003814697</v>
      </c>
      <c r="O2059">
        <v>11.800000190734901</v>
      </c>
      <c r="P2059">
        <v>19.299999237060501</v>
      </c>
      <c r="Q2059">
        <v>18.899999618530298</v>
      </c>
      <c r="R2059">
        <v>19.299999237060501</v>
      </c>
      <c r="S2059">
        <v>18.899999618530298</v>
      </c>
      <c r="T2059">
        <v>1240</v>
      </c>
      <c r="U2059">
        <v>229</v>
      </c>
      <c r="V2059">
        <v>9</v>
      </c>
      <c r="W2059">
        <v>61</v>
      </c>
      <c r="X2059">
        <v>518</v>
      </c>
      <c r="Y2059">
        <v>47</v>
      </c>
      <c r="Z2059">
        <v>369</v>
      </c>
      <c r="AA2059">
        <v>47</v>
      </c>
      <c r="AB2059">
        <v>26.272701645567899</v>
      </c>
      <c r="AC2059">
        <v>0.118636445337104</v>
      </c>
      <c r="AD2059">
        <v>3.3632214287253399</v>
      </c>
      <c r="AE2059">
        <v>0.32061997056007402</v>
      </c>
      <c r="AF2059">
        <v>1537.83655536028</v>
      </c>
      <c r="AG2059">
        <f>IFERROR(AH2059*0.1, "N/A")</f>
        <v>5.4</v>
      </c>
      <c r="AH2059">
        <v>54</v>
      </c>
      <c r="AI2059">
        <v>178.74020098801901</v>
      </c>
      <c r="AJ2059">
        <v>37</v>
      </c>
      <c r="AK2059">
        <v>42.804920913883997</v>
      </c>
    </row>
    <row r="2060" spans="1:37" x14ac:dyDescent="0.3">
      <c r="A2060">
        <v>2059</v>
      </c>
      <c r="B2060">
        <v>0</v>
      </c>
      <c r="C2060">
        <v>31.551100000000002</v>
      </c>
      <c r="D2060">
        <v>-1.79833</v>
      </c>
      <c r="E2060" t="s">
        <v>3625</v>
      </c>
      <c r="F2060" t="s">
        <v>3627</v>
      </c>
      <c r="G2060" t="s">
        <v>37</v>
      </c>
      <c r="H2060">
        <v>2008</v>
      </c>
      <c r="I2060">
        <v>19.200000762939499</v>
      </c>
      <c r="J2060">
        <v>10.3999996185303</v>
      </c>
      <c r="K2060">
        <v>88</v>
      </c>
      <c r="L2060">
        <v>2.0899999141693102</v>
      </c>
      <c r="M2060">
        <v>24.899999618530298</v>
      </c>
      <c r="N2060">
        <v>13.1000003814697</v>
      </c>
      <c r="O2060">
        <v>11.800000190734901</v>
      </c>
      <c r="P2060">
        <v>19.299999237060501</v>
      </c>
      <c r="Q2060">
        <v>18.899999618530298</v>
      </c>
      <c r="R2060">
        <v>19.299999237060501</v>
      </c>
      <c r="S2060">
        <v>18.899999618530298</v>
      </c>
      <c r="T2060">
        <v>1240</v>
      </c>
      <c r="U2060">
        <v>229</v>
      </c>
      <c r="V2060">
        <v>9</v>
      </c>
      <c r="W2060">
        <v>61</v>
      </c>
      <c r="X2060">
        <v>518</v>
      </c>
      <c r="Y2060">
        <v>47</v>
      </c>
      <c r="Z2060">
        <v>369</v>
      </c>
      <c r="AA2060">
        <v>47</v>
      </c>
      <c r="AB2060">
        <v>26.272701645567899</v>
      </c>
      <c r="AC2060">
        <v>0.118636445337104</v>
      </c>
      <c r="AD2060">
        <v>3.3632214287253399</v>
      </c>
      <c r="AE2060">
        <v>0.32061997056007402</v>
      </c>
      <c r="AF2060">
        <v>1537.83655536028</v>
      </c>
      <c r="AG2060">
        <f>IFERROR(AH2060*0.1, "N/A")</f>
        <v>5.4</v>
      </c>
      <c r="AH2060">
        <v>54</v>
      </c>
      <c r="AI2060">
        <v>178.74020098801901</v>
      </c>
      <c r="AJ2060">
        <v>37</v>
      </c>
      <c r="AK2060">
        <v>42.804920913883997</v>
      </c>
    </row>
    <row r="2061" spans="1:37" x14ac:dyDescent="0.3">
      <c r="A2061">
        <v>2060</v>
      </c>
      <c r="B2061">
        <v>0</v>
      </c>
      <c r="C2061">
        <v>30.951899999999998</v>
      </c>
      <c r="D2061">
        <v>-1.8163899999999999</v>
      </c>
      <c r="E2061" t="s">
        <v>3628</v>
      </c>
      <c r="F2061" t="s">
        <v>3629</v>
      </c>
      <c r="G2061" t="s">
        <v>39</v>
      </c>
      <c r="H2061">
        <v>2008</v>
      </c>
      <c r="I2061">
        <v>20.3403172828782</v>
      </c>
      <c r="J2061">
        <v>11.1480634867305</v>
      </c>
      <c r="K2061">
        <v>86</v>
      </c>
      <c r="L2061">
        <v>2.4890669118350699</v>
      </c>
      <c r="M2061">
        <v>26.8403172828782</v>
      </c>
      <c r="N2061">
        <v>13.892253605412799</v>
      </c>
      <c r="O2061">
        <v>12.948063182159199</v>
      </c>
      <c r="P2061">
        <v>20.3403172828782</v>
      </c>
      <c r="Q2061">
        <v>20.192253337779501</v>
      </c>
      <c r="R2061">
        <v>20.5922529563098</v>
      </c>
      <c r="S2061">
        <v>20.1403165199387</v>
      </c>
      <c r="T2061">
        <v>972.70598591549299</v>
      </c>
      <c r="U2061">
        <v>171.24823943662</v>
      </c>
      <c r="V2061">
        <v>3.4806338028169002</v>
      </c>
      <c r="W2061">
        <v>60.480633802816897</v>
      </c>
      <c r="X2061">
        <v>388.093309859155</v>
      </c>
      <c r="Y2061">
        <v>34.480633802816897</v>
      </c>
      <c r="Z2061">
        <v>170.40316901408499</v>
      </c>
      <c r="AA2061">
        <v>108.40316901408499</v>
      </c>
      <c r="AB2061">
        <v>25.174666498748401</v>
      </c>
      <c r="AC2061">
        <v>3.4460409419795002E-2</v>
      </c>
      <c r="AD2061">
        <v>4.7875075289900897</v>
      </c>
      <c r="AE2061">
        <v>0.25827595591545099</v>
      </c>
      <c r="AF2061">
        <v>1395.39436619718</v>
      </c>
      <c r="AG2061">
        <f>IFERROR(AH2061*0.1, "N/A")</f>
        <v>5.5135563380281702</v>
      </c>
      <c r="AH2061">
        <v>55.135563380281702</v>
      </c>
      <c r="AI2061">
        <v>200.59980290372599</v>
      </c>
      <c r="AJ2061">
        <v>34.864436619718298</v>
      </c>
      <c r="AK2061">
        <v>48.4066901408451</v>
      </c>
    </row>
    <row r="2062" spans="1:37" x14ac:dyDescent="0.3">
      <c r="A2062">
        <v>2061</v>
      </c>
      <c r="B2062">
        <v>0</v>
      </c>
      <c r="C2062">
        <v>30.951899999999998</v>
      </c>
      <c r="D2062">
        <v>-1.8163899999999999</v>
      </c>
      <c r="E2062" t="s">
        <v>3628</v>
      </c>
      <c r="F2062" t="s">
        <v>3630</v>
      </c>
      <c r="G2062" t="s">
        <v>37</v>
      </c>
      <c r="H2062">
        <v>2008</v>
      </c>
      <c r="I2062">
        <v>20.3403172828782</v>
      </c>
      <c r="J2062">
        <v>11.1480634867305</v>
      </c>
      <c r="K2062">
        <v>86</v>
      </c>
      <c r="L2062">
        <v>2.4890669118350699</v>
      </c>
      <c r="M2062">
        <v>26.8403172828782</v>
      </c>
      <c r="N2062">
        <v>13.892253605412799</v>
      </c>
      <c r="O2062">
        <v>12.948063182159199</v>
      </c>
      <c r="P2062">
        <v>20.3403172828782</v>
      </c>
      <c r="Q2062">
        <v>20.192253337779501</v>
      </c>
      <c r="R2062">
        <v>20.5922529563098</v>
      </c>
      <c r="S2062">
        <v>20.1403165199387</v>
      </c>
      <c r="T2062">
        <v>972.70598591549299</v>
      </c>
      <c r="U2062">
        <v>171.24823943662</v>
      </c>
      <c r="V2062">
        <v>3.4806338028169002</v>
      </c>
      <c r="W2062">
        <v>60.480633802816897</v>
      </c>
      <c r="X2062">
        <v>388.093309859155</v>
      </c>
      <c r="Y2062">
        <v>34.480633802816897</v>
      </c>
      <c r="Z2062">
        <v>170.40316901408499</v>
      </c>
      <c r="AA2062">
        <v>108.40316901408499</v>
      </c>
      <c r="AB2062">
        <v>25.174666498748401</v>
      </c>
      <c r="AC2062">
        <v>3.4460409419795002E-2</v>
      </c>
      <c r="AD2062">
        <v>4.7875075289900897</v>
      </c>
      <c r="AE2062">
        <v>0.25827595591545099</v>
      </c>
      <c r="AF2062">
        <v>1395.39436619718</v>
      </c>
      <c r="AG2062">
        <f>IFERROR(AH2062*0.1, "N/A")</f>
        <v>5.5135563380281702</v>
      </c>
      <c r="AH2062">
        <v>55.135563380281702</v>
      </c>
      <c r="AI2062">
        <v>200.59980290372599</v>
      </c>
      <c r="AJ2062">
        <v>34.864436619718298</v>
      </c>
      <c r="AK2062">
        <v>48.4066901408451</v>
      </c>
    </row>
    <row r="2063" spans="1:37" x14ac:dyDescent="0.3">
      <c r="A2063">
        <v>2062</v>
      </c>
      <c r="B2063">
        <v>0</v>
      </c>
      <c r="C2063">
        <v>31.132200000000001</v>
      </c>
      <c r="D2063">
        <v>-1.8225</v>
      </c>
      <c r="E2063" t="s">
        <v>3631</v>
      </c>
      <c r="F2063" t="s">
        <v>3632</v>
      </c>
      <c r="G2063" t="s">
        <v>39</v>
      </c>
      <c r="H2063">
        <v>2008</v>
      </c>
      <c r="I2063">
        <v>18.898598562397598</v>
      </c>
      <c r="J2063">
        <v>10.798599134602201</v>
      </c>
      <c r="K2063">
        <v>86</v>
      </c>
      <c r="L2063">
        <v>2.4766374970484502</v>
      </c>
      <c r="M2063">
        <v>25.098599325337101</v>
      </c>
      <c r="N2063">
        <v>12.6000003814697</v>
      </c>
      <c r="O2063">
        <v>12.4985989438673</v>
      </c>
      <c r="P2063">
        <v>18.898598562397598</v>
      </c>
      <c r="Q2063">
        <v>18.600000381469702</v>
      </c>
      <c r="R2063">
        <v>19.098599325337101</v>
      </c>
      <c r="S2063">
        <v>18.600000381469702</v>
      </c>
      <c r="T2063">
        <v>944.07005253940497</v>
      </c>
      <c r="U2063">
        <v>161.01401050788101</v>
      </c>
      <c r="V2063">
        <v>3</v>
      </c>
      <c r="W2063">
        <v>60.985989492119103</v>
      </c>
      <c r="X2063">
        <v>375.02802101576202</v>
      </c>
      <c r="Y2063">
        <v>31.014010507880901</v>
      </c>
      <c r="Z2063">
        <v>159</v>
      </c>
      <c r="AA2063">
        <v>102.991243432574</v>
      </c>
      <c r="AB2063">
        <v>177.08797528322</v>
      </c>
      <c r="AC2063">
        <v>8.6034678180429997E-3</v>
      </c>
      <c r="AD2063">
        <v>2.34828584707765</v>
      </c>
      <c r="AE2063">
        <v>0.28072071075439498</v>
      </c>
      <c r="AF2063">
        <v>1680.64273204904</v>
      </c>
      <c r="AG2063">
        <f>IFERROR(AH2063*0.1, "N/A")</f>
        <v>5.4040280210157601</v>
      </c>
      <c r="AH2063">
        <v>54.040280210157597</v>
      </c>
      <c r="AI2063">
        <v>150.677832331215</v>
      </c>
      <c r="AJ2063">
        <v>28.001751313485101</v>
      </c>
      <c r="AK2063">
        <v>51.040280210157597</v>
      </c>
    </row>
    <row r="2064" spans="1:37" x14ac:dyDescent="0.3">
      <c r="A2064">
        <v>2063</v>
      </c>
      <c r="B2064">
        <v>0</v>
      </c>
      <c r="C2064">
        <v>31.132200000000001</v>
      </c>
      <c r="D2064">
        <v>-1.8225</v>
      </c>
      <c r="E2064" t="s">
        <v>3631</v>
      </c>
      <c r="F2064" t="s">
        <v>3633</v>
      </c>
      <c r="G2064" t="s">
        <v>37</v>
      </c>
      <c r="H2064">
        <v>2008</v>
      </c>
      <c r="I2064">
        <v>18.898598562397598</v>
      </c>
      <c r="J2064">
        <v>10.798599134602201</v>
      </c>
      <c r="K2064">
        <v>86</v>
      </c>
      <c r="L2064">
        <v>2.4766374970484502</v>
      </c>
      <c r="M2064">
        <v>25.098599325337101</v>
      </c>
      <c r="N2064">
        <v>12.6000003814697</v>
      </c>
      <c r="O2064">
        <v>12.4985989438673</v>
      </c>
      <c r="P2064">
        <v>18.898598562397598</v>
      </c>
      <c r="Q2064">
        <v>18.600000381469702</v>
      </c>
      <c r="R2064">
        <v>19.098599325337101</v>
      </c>
      <c r="S2064">
        <v>18.600000381469702</v>
      </c>
      <c r="T2064">
        <v>944.07005253940497</v>
      </c>
      <c r="U2064">
        <v>161.01401050788101</v>
      </c>
      <c r="V2064">
        <v>3</v>
      </c>
      <c r="W2064">
        <v>60.985989492119103</v>
      </c>
      <c r="X2064">
        <v>375.02802101576202</v>
      </c>
      <c r="Y2064">
        <v>31.014010507880901</v>
      </c>
      <c r="Z2064">
        <v>159</v>
      </c>
      <c r="AA2064">
        <v>102.991243432574</v>
      </c>
      <c r="AB2064">
        <v>177.08797528322</v>
      </c>
      <c r="AC2064">
        <v>8.6034678180429997E-3</v>
      </c>
      <c r="AD2064">
        <v>2.34828584707765</v>
      </c>
      <c r="AE2064">
        <v>0.28072071075439498</v>
      </c>
      <c r="AF2064">
        <v>1680.64273204904</v>
      </c>
      <c r="AG2064">
        <f>IFERROR(AH2064*0.1, "N/A")</f>
        <v>5.4040280210157601</v>
      </c>
      <c r="AH2064">
        <v>54.040280210157597</v>
      </c>
      <c r="AI2064">
        <v>150.677832331215</v>
      </c>
      <c r="AJ2064">
        <v>28.001751313485101</v>
      </c>
      <c r="AK2064">
        <v>51.040280210157597</v>
      </c>
    </row>
    <row r="2065" spans="1:37" x14ac:dyDescent="0.3">
      <c r="A2065">
        <v>2064</v>
      </c>
      <c r="B2065">
        <v>0</v>
      </c>
      <c r="C2065">
        <v>31.680599000000001</v>
      </c>
      <c r="D2065">
        <v>-1.8672200000000001</v>
      </c>
      <c r="E2065" t="s">
        <v>3634</v>
      </c>
      <c r="F2065" t="s">
        <v>3635</v>
      </c>
      <c r="G2065" t="s">
        <v>39</v>
      </c>
      <c r="H2065">
        <v>2008</v>
      </c>
      <c r="I2065">
        <v>20.487147838296998</v>
      </c>
      <c r="J2065">
        <v>10.300000190734901</v>
      </c>
      <c r="K2065">
        <v>86.128521126760603</v>
      </c>
      <c r="L2065">
        <v>2.6355810643921398</v>
      </c>
      <c r="M2065">
        <v>26.174296439533499</v>
      </c>
      <c r="N2065">
        <v>14.287148029031901</v>
      </c>
      <c r="O2065">
        <v>11.8871475793946</v>
      </c>
      <c r="P2065">
        <v>20.5871482197667</v>
      </c>
      <c r="Q2065">
        <v>20.074296058063801</v>
      </c>
      <c r="R2065">
        <v>20.5871482197667</v>
      </c>
      <c r="S2065">
        <v>20.074296058063801</v>
      </c>
      <c r="T2065">
        <v>1385.48591549296</v>
      </c>
      <c r="U2065">
        <v>255.871478873239</v>
      </c>
      <c r="V2065">
        <v>10</v>
      </c>
      <c r="W2065">
        <v>61</v>
      </c>
      <c r="X2065">
        <v>570</v>
      </c>
      <c r="Y2065">
        <v>54.871478873239397</v>
      </c>
      <c r="Z2065">
        <v>535.38028169014103</v>
      </c>
      <c r="AA2065">
        <v>54.871478873239397</v>
      </c>
      <c r="AB2065">
        <v>116.096291555485</v>
      </c>
      <c r="AC2065">
        <v>3.4865552477512003E-2</v>
      </c>
      <c r="AD2065">
        <v>2.93865021349679</v>
      </c>
      <c r="AE2065">
        <v>0.42364001274108898</v>
      </c>
      <c r="AF2065">
        <v>1351.38204225352</v>
      </c>
      <c r="AG2065">
        <f>IFERROR(AH2065*0.1, "N/A")</f>
        <v>5.5589788732394405</v>
      </c>
      <c r="AH2065">
        <v>55.589788732394403</v>
      </c>
      <c r="AI2065">
        <v>200.239081530504</v>
      </c>
      <c r="AJ2065">
        <v>39.9612676056338</v>
      </c>
      <c r="AK2065">
        <v>41.838028169014102</v>
      </c>
    </row>
    <row r="2066" spans="1:37" x14ac:dyDescent="0.3">
      <c r="A2066">
        <v>2065</v>
      </c>
      <c r="B2066">
        <v>33.330002</v>
      </c>
      <c r="C2066">
        <v>31.680599000000001</v>
      </c>
      <c r="D2066">
        <v>-1.8672200000000001</v>
      </c>
      <c r="E2066" t="s">
        <v>3634</v>
      </c>
      <c r="F2066" t="s">
        <v>3636</v>
      </c>
      <c r="G2066" t="s">
        <v>37</v>
      </c>
      <c r="H2066">
        <v>2008</v>
      </c>
      <c r="I2066">
        <v>20.487147838296998</v>
      </c>
      <c r="J2066">
        <v>10.300000190734901</v>
      </c>
      <c r="K2066">
        <v>86.128521126760603</v>
      </c>
      <c r="L2066">
        <v>2.6355810643921398</v>
      </c>
      <c r="M2066">
        <v>26.174296439533499</v>
      </c>
      <c r="N2066">
        <v>14.287148029031901</v>
      </c>
      <c r="O2066">
        <v>11.8871475793946</v>
      </c>
      <c r="P2066">
        <v>20.5871482197667</v>
      </c>
      <c r="Q2066">
        <v>20.074296058063801</v>
      </c>
      <c r="R2066">
        <v>20.5871482197667</v>
      </c>
      <c r="S2066">
        <v>20.074296058063801</v>
      </c>
      <c r="T2066">
        <v>1385.48591549296</v>
      </c>
      <c r="U2066">
        <v>255.871478873239</v>
      </c>
      <c r="V2066">
        <v>10</v>
      </c>
      <c r="W2066">
        <v>61</v>
      </c>
      <c r="X2066">
        <v>570</v>
      </c>
      <c r="Y2066">
        <v>54.871478873239397</v>
      </c>
      <c r="Z2066">
        <v>535.38028169014103</v>
      </c>
      <c r="AA2066">
        <v>54.871478873239397</v>
      </c>
      <c r="AB2066">
        <v>116.096291555485</v>
      </c>
      <c r="AC2066">
        <v>3.4865552477512003E-2</v>
      </c>
      <c r="AD2066">
        <v>2.93865021349679</v>
      </c>
      <c r="AE2066">
        <v>0.42364001274108898</v>
      </c>
      <c r="AF2066">
        <v>1351.38204225352</v>
      </c>
      <c r="AG2066">
        <f>IFERROR(AH2066*0.1, "N/A")</f>
        <v>5.5589788732394405</v>
      </c>
      <c r="AH2066">
        <v>55.589788732394403</v>
      </c>
      <c r="AI2066">
        <v>200.239081530504</v>
      </c>
      <c r="AJ2066">
        <v>39.9612676056338</v>
      </c>
      <c r="AK2066">
        <v>41.838028169014102</v>
      </c>
    </row>
    <row r="2067" spans="1:37" x14ac:dyDescent="0.3">
      <c r="A2067">
        <v>2066</v>
      </c>
      <c r="B2067">
        <v>100</v>
      </c>
      <c r="C2067">
        <v>33.783298000000002</v>
      </c>
      <c r="D2067">
        <v>-2.3333300000000001</v>
      </c>
      <c r="E2067" t="s">
        <v>3637</v>
      </c>
      <c r="F2067" t="s">
        <v>3638</v>
      </c>
      <c r="G2067" t="s">
        <v>39</v>
      </c>
      <c r="H2067">
        <v>2008</v>
      </c>
      <c r="I2067">
        <v>22.4381368466128</v>
      </c>
      <c r="J2067">
        <v>10.5</v>
      </c>
      <c r="K2067">
        <v>76</v>
      </c>
      <c r="L2067">
        <v>5.8855184109223497</v>
      </c>
      <c r="M2067">
        <v>29.138137592791701</v>
      </c>
      <c r="N2067">
        <v>15.338137063494001</v>
      </c>
      <c r="O2067">
        <v>13.800000190734901</v>
      </c>
      <c r="P2067">
        <v>22.656766482522499</v>
      </c>
      <c r="Q2067">
        <v>21.600879119443999</v>
      </c>
      <c r="R2067">
        <v>23.038137228082501</v>
      </c>
      <c r="S2067">
        <v>21.600879119443999</v>
      </c>
      <c r="T2067">
        <v>965.30579964850597</v>
      </c>
      <c r="U2067">
        <v>178.61862917398901</v>
      </c>
      <c r="V2067">
        <v>3</v>
      </c>
      <c r="W2067">
        <v>67.804920913884004</v>
      </c>
      <c r="X2067">
        <v>417.43233743409502</v>
      </c>
      <c r="Y2067">
        <v>40.017574692442899</v>
      </c>
      <c r="Z2067">
        <v>225.43233743409499</v>
      </c>
      <c r="AA2067">
        <v>40.017574692442899</v>
      </c>
      <c r="AB2067">
        <v>2.6517042217019999</v>
      </c>
      <c r="AC2067">
        <v>3.1392083929750201</v>
      </c>
      <c r="AD2067">
        <v>1.4518142762628301</v>
      </c>
      <c r="AE2067">
        <v>0.68273344882133802</v>
      </c>
      <c r="AF2067">
        <v>1215.9718804920899</v>
      </c>
      <c r="AG2067">
        <f>IFERROR(AH2067*0.1, "N/A")</f>
        <v>7</v>
      </c>
      <c r="AH2067">
        <v>70</v>
      </c>
      <c r="AI2067">
        <v>195.892631731888</v>
      </c>
      <c r="AJ2067">
        <v>22.8137082601054</v>
      </c>
      <c r="AK2067">
        <v>61.087873462214397</v>
      </c>
    </row>
    <row r="2068" spans="1:37" x14ac:dyDescent="0.3">
      <c r="A2068">
        <v>2067</v>
      </c>
      <c r="B2068">
        <v>0</v>
      </c>
      <c r="C2068">
        <v>33.783298000000002</v>
      </c>
      <c r="D2068">
        <v>-2.3333300000000001</v>
      </c>
      <c r="E2068" t="s">
        <v>3637</v>
      </c>
      <c r="F2068" t="s">
        <v>3639</v>
      </c>
      <c r="G2068" t="s">
        <v>37</v>
      </c>
      <c r="H2068">
        <v>2008</v>
      </c>
      <c r="I2068">
        <v>22.4381368466128</v>
      </c>
      <c r="J2068">
        <v>10.5</v>
      </c>
      <c r="K2068">
        <v>76</v>
      </c>
      <c r="L2068">
        <v>5.8855184109223497</v>
      </c>
      <c r="M2068">
        <v>29.138137592791701</v>
      </c>
      <c r="N2068">
        <v>15.338137063494001</v>
      </c>
      <c r="O2068">
        <v>13.800000190734901</v>
      </c>
      <c r="P2068">
        <v>22.656766482522499</v>
      </c>
      <c r="Q2068">
        <v>21.600879119443999</v>
      </c>
      <c r="R2068">
        <v>23.038137228082501</v>
      </c>
      <c r="S2068">
        <v>21.600879119443999</v>
      </c>
      <c r="T2068">
        <v>965.30579964850597</v>
      </c>
      <c r="U2068">
        <v>178.61862917398901</v>
      </c>
      <c r="V2068">
        <v>3</v>
      </c>
      <c r="W2068">
        <v>67.804920913884004</v>
      </c>
      <c r="X2068">
        <v>417.43233743409502</v>
      </c>
      <c r="Y2068">
        <v>40.017574692442899</v>
      </c>
      <c r="Z2068">
        <v>225.43233743409499</v>
      </c>
      <c r="AA2068">
        <v>40.017574692442899</v>
      </c>
      <c r="AB2068">
        <v>2.6517042217019999</v>
      </c>
      <c r="AC2068">
        <v>3.1392083929750201</v>
      </c>
      <c r="AD2068">
        <v>1.4518142762628301</v>
      </c>
      <c r="AE2068">
        <v>0.68273344882133802</v>
      </c>
      <c r="AF2068">
        <v>1215.9718804920899</v>
      </c>
      <c r="AG2068">
        <f>IFERROR(AH2068*0.1, "N/A")</f>
        <v>7</v>
      </c>
      <c r="AH2068">
        <v>70</v>
      </c>
      <c r="AI2068">
        <v>195.892631731888</v>
      </c>
      <c r="AJ2068">
        <v>22.8137082601054</v>
      </c>
      <c r="AK2068">
        <v>61.087873462214397</v>
      </c>
    </row>
    <row r="2069" spans="1:37" x14ac:dyDescent="0.3">
      <c r="A2069">
        <v>2068</v>
      </c>
      <c r="B2069">
        <v>0</v>
      </c>
      <c r="C2069">
        <v>30.752800000000001</v>
      </c>
      <c r="D2069">
        <v>-2.40028</v>
      </c>
      <c r="E2069" t="s">
        <v>3640</v>
      </c>
      <c r="F2069" t="s">
        <v>3641</v>
      </c>
      <c r="G2069" t="s">
        <v>39</v>
      </c>
      <c r="H2069">
        <v>2008</v>
      </c>
      <c r="I2069">
        <v>20.799999237060501</v>
      </c>
      <c r="J2069">
        <v>11</v>
      </c>
      <c r="K2069">
        <v>82</v>
      </c>
      <c r="L2069">
        <v>3.2741901177755501</v>
      </c>
      <c r="M2069">
        <v>27.600000381469702</v>
      </c>
      <c r="N2069">
        <v>14.300000190734901</v>
      </c>
      <c r="O2069">
        <v>13.300000190734901</v>
      </c>
      <c r="P2069">
        <v>20.700000762939499</v>
      </c>
      <c r="Q2069">
        <v>20.600000381469702</v>
      </c>
      <c r="R2069">
        <v>21.200000762939499</v>
      </c>
      <c r="S2069">
        <v>20.5</v>
      </c>
      <c r="T2069">
        <v>888.52992957746505</v>
      </c>
      <c r="U2069">
        <v>150</v>
      </c>
      <c r="V2069">
        <v>2</v>
      </c>
      <c r="W2069">
        <v>62</v>
      </c>
      <c r="X2069">
        <v>364</v>
      </c>
      <c r="Y2069">
        <v>23</v>
      </c>
      <c r="Z2069">
        <v>135.529929577465</v>
      </c>
      <c r="AA2069">
        <v>88</v>
      </c>
      <c r="AB2069">
        <v>53.438951948998699</v>
      </c>
      <c r="AC2069">
        <v>1.3066373573628999E-2</v>
      </c>
      <c r="AD2069">
        <v>6.4150886988975602</v>
      </c>
      <c r="AE2069">
        <v>0.414403796195984</v>
      </c>
      <c r="AF2069">
        <v>1393.2975352112701</v>
      </c>
      <c r="AG2069">
        <f>IFERROR(AH2069*0.1, "N/A")</f>
        <v>5.9008802816901404</v>
      </c>
      <c r="AH2069">
        <v>59.008802816901401</v>
      </c>
      <c r="AI2069">
        <v>102.443943796024</v>
      </c>
      <c r="AJ2069">
        <v>31.017605633802798</v>
      </c>
      <c r="AK2069">
        <v>46.982394366197198</v>
      </c>
    </row>
    <row r="2070" spans="1:37" x14ac:dyDescent="0.3">
      <c r="A2070">
        <v>2069</v>
      </c>
      <c r="B2070">
        <v>0</v>
      </c>
      <c r="C2070">
        <v>30.752800000000001</v>
      </c>
      <c r="D2070">
        <v>-2.40028</v>
      </c>
      <c r="E2070" t="s">
        <v>3640</v>
      </c>
      <c r="F2070" t="s">
        <v>3642</v>
      </c>
      <c r="G2070" t="s">
        <v>37</v>
      </c>
      <c r="H2070">
        <v>2008</v>
      </c>
      <c r="I2070">
        <v>20.799999237060501</v>
      </c>
      <c r="J2070">
        <v>11</v>
      </c>
      <c r="K2070">
        <v>82</v>
      </c>
      <c r="L2070">
        <v>3.2741901177755501</v>
      </c>
      <c r="M2070">
        <v>27.600000381469702</v>
      </c>
      <c r="N2070">
        <v>14.300000190734901</v>
      </c>
      <c r="O2070">
        <v>13.300000190734901</v>
      </c>
      <c r="P2070">
        <v>20.700000762939499</v>
      </c>
      <c r="Q2070">
        <v>20.600000381469702</v>
      </c>
      <c r="R2070">
        <v>21.200000762939499</v>
      </c>
      <c r="S2070">
        <v>20.5</v>
      </c>
      <c r="T2070">
        <v>888.52992957746505</v>
      </c>
      <c r="U2070">
        <v>150</v>
      </c>
      <c r="V2070">
        <v>2</v>
      </c>
      <c r="W2070">
        <v>62</v>
      </c>
      <c r="X2070">
        <v>364</v>
      </c>
      <c r="Y2070">
        <v>23</v>
      </c>
      <c r="Z2070">
        <v>135.529929577465</v>
      </c>
      <c r="AA2070">
        <v>88</v>
      </c>
      <c r="AB2070">
        <v>53.438951948998699</v>
      </c>
      <c r="AC2070">
        <v>1.3066373573628999E-2</v>
      </c>
      <c r="AD2070">
        <v>6.4150886988975602</v>
      </c>
      <c r="AE2070">
        <v>0.414403796195984</v>
      </c>
      <c r="AF2070">
        <v>1393.2975352112701</v>
      </c>
      <c r="AG2070">
        <f>IFERROR(AH2070*0.1, "N/A")</f>
        <v>5.9008802816901404</v>
      </c>
      <c r="AH2070">
        <v>59.008802816901401</v>
      </c>
      <c r="AI2070">
        <v>102.443943796024</v>
      </c>
      <c r="AJ2070">
        <v>31.017605633802798</v>
      </c>
      <c r="AK2070">
        <v>46.982394366197198</v>
      </c>
    </row>
    <row r="2071" spans="1:37" x14ac:dyDescent="0.3">
      <c r="A2071">
        <v>2070</v>
      </c>
      <c r="B2071">
        <v>50</v>
      </c>
      <c r="C2071">
        <v>33.723300999999999</v>
      </c>
      <c r="D2071">
        <v>-2.4336099999999998</v>
      </c>
      <c r="E2071" t="s">
        <v>3643</v>
      </c>
      <c r="F2071" t="s">
        <v>3644</v>
      </c>
      <c r="G2071" t="s">
        <v>39</v>
      </c>
      <c r="H2071">
        <v>2008</v>
      </c>
      <c r="I2071">
        <v>22.399999618530298</v>
      </c>
      <c r="J2071">
        <v>10.6000003814697</v>
      </c>
      <c r="K2071">
        <v>75.452464788732399</v>
      </c>
      <c r="L2071">
        <v>5.9280632331337699</v>
      </c>
      <c r="M2071">
        <v>29.209506797118902</v>
      </c>
      <c r="N2071">
        <v>15.199999809265099</v>
      </c>
      <c r="O2071">
        <v>14.00950707852</v>
      </c>
      <c r="P2071">
        <v>22.600000381469702</v>
      </c>
      <c r="Q2071">
        <v>21.5547537299949</v>
      </c>
      <c r="R2071">
        <v>23.0547537299949</v>
      </c>
      <c r="S2071">
        <v>21.5547537299949</v>
      </c>
      <c r="T2071">
        <v>1000.9049295774601</v>
      </c>
      <c r="U2071">
        <v>197</v>
      </c>
      <c r="V2071">
        <v>2</v>
      </c>
      <c r="W2071">
        <v>71</v>
      </c>
      <c r="X2071">
        <v>443</v>
      </c>
      <c r="Y2071">
        <v>32.452464788732399</v>
      </c>
      <c r="Z2071">
        <v>234</v>
      </c>
      <c r="AA2071">
        <v>32.452464788732399</v>
      </c>
      <c r="AB2071">
        <v>4.5213001949686404</v>
      </c>
      <c r="AC2071">
        <v>2.5019465670199002E-2</v>
      </c>
      <c r="AD2071">
        <v>1.07054203622778</v>
      </c>
      <c r="AE2071">
        <v>0.63869279623031605</v>
      </c>
      <c r="AF2071">
        <v>1238.10211267606</v>
      </c>
      <c r="AG2071">
        <f>IFERROR(AH2071*0.1, "N/A")</f>
        <v>6.9767605633802807</v>
      </c>
      <c r="AH2071">
        <v>69.767605633802802</v>
      </c>
      <c r="AI2071">
        <v>272.75025531607599</v>
      </c>
      <c r="AJ2071">
        <v>25.922535211267601</v>
      </c>
      <c r="AK2071">
        <v>59</v>
      </c>
    </row>
    <row r="2072" spans="1:37" x14ac:dyDescent="0.3">
      <c r="A2072">
        <v>2071</v>
      </c>
      <c r="B2072">
        <v>50</v>
      </c>
      <c r="C2072">
        <v>33.723300999999999</v>
      </c>
      <c r="D2072">
        <v>-2.4336099999999998</v>
      </c>
      <c r="E2072" t="s">
        <v>3643</v>
      </c>
      <c r="F2072" t="s">
        <v>3645</v>
      </c>
      <c r="G2072" t="s">
        <v>37</v>
      </c>
      <c r="H2072">
        <v>2008</v>
      </c>
      <c r="I2072">
        <v>22.399999618530298</v>
      </c>
      <c r="J2072">
        <v>10.6000003814697</v>
      </c>
      <c r="K2072">
        <v>75.452464788732399</v>
      </c>
      <c r="L2072">
        <v>5.9280632331337699</v>
      </c>
      <c r="M2072">
        <v>29.209506797118902</v>
      </c>
      <c r="N2072">
        <v>15.199999809265099</v>
      </c>
      <c r="O2072">
        <v>14.00950707852</v>
      </c>
      <c r="P2072">
        <v>22.600000381469702</v>
      </c>
      <c r="Q2072">
        <v>21.5547537299949</v>
      </c>
      <c r="R2072">
        <v>23.0547537299949</v>
      </c>
      <c r="S2072">
        <v>21.5547537299949</v>
      </c>
      <c r="T2072">
        <v>1000.9049295774601</v>
      </c>
      <c r="U2072">
        <v>197</v>
      </c>
      <c r="V2072">
        <v>2</v>
      </c>
      <c r="W2072">
        <v>71</v>
      </c>
      <c r="X2072">
        <v>443</v>
      </c>
      <c r="Y2072">
        <v>32.452464788732399</v>
      </c>
      <c r="Z2072">
        <v>234</v>
      </c>
      <c r="AA2072">
        <v>32.452464788732399</v>
      </c>
      <c r="AB2072">
        <v>4.5213001949686404</v>
      </c>
      <c r="AC2072">
        <v>2.5019465670199002E-2</v>
      </c>
      <c r="AD2072">
        <v>1.07054203622778</v>
      </c>
      <c r="AE2072">
        <v>0.63869279623031605</v>
      </c>
      <c r="AF2072">
        <v>1238.10211267606</v>
      </c>
      <c r="AG2072">
        <f>IFERROR(AH2072*0.1, "N/A")</f>
        <v>6.9767605633802807</v>
      </c>
      <c r="AH2072">
        <v>69.767605633802802</v>
      </c>
      <c r="AI2072">
        <v>272.75025531607599</v>
      </c>
      <c r="AJ2072">
        <v>25.922535211267601</v>
      </c>
      <c r="AK2072">
        <v>59</v>
      </c>
    </row>
    <row r="2073" spans="1:37" x14ac:dyDescent="0.3">
      <c r="A2073">
        <v>2072</v>
      </c>
      <c r="B2073">
        <v>0</v>
      </c>
      <c r="C2073">
        <v>33.339900999999998</v>
      </c>
      <c r="D2073">
        <v>-2.5348999999999999</v>
      </c>
      <c r="E2073" t="s">
        <v>3646</v>
      </c>
      <c r="F2073" t="s">
        <v>3647</v>
      </c>
      <c r="G2073" t="s">
        <v>39</v>
      </c>
      <c r="H2073">
        <v>2008</v>
      </c>
      <c r="I2073">
        <v>22.899999618530298</v>
      </c>
      <c r="J2073">
        <v>10.699999809265099</v>
      </c>
      <c r="K2073">
        <v>74</v>
      </c>
      <c r="L2073">
        <v>5.9499998092651403</v>
      </c>
      <c r="M2073">
        <v>29.799999237060501</v>
      </c>
      <c r="N2073">
        <v>15.5</v>
      </c>
      <c r="O2073">
        <v>14.300000190734901</v>
      </c>
      <c r="P2073">
        <v>23</v>
      </c>
      <c r="Q2073">
        <v>22.200000762939499</v>
      </c>
      <c r="R2073">
        <v>23.700000762939499</v>
      </c>
      <c r="S2073">
        <v>22.200000762939499</v>
      </c>
      <c r="T2073">
        <v>961</v>
      </c>
      <c r="U2073">
        <v>175</v>
      </c>
      <c r="V2073">
        <v>3</v>
      </c>
      <c r="W2073">
        <v>70</v>
      </c>
      <c r="X2073">
        <v>410</v>
      </c>
      <c r="Y2073">
        <v>27</v>
      </c>
      <c r="Z2073">
        <v>229</v>
      </c>
      <c r="AA2073">
        <v>27</v>
      </c>
      <c r="AB2073">
        <v>7.6473049706859602</v>
      </c>
      <c r="AC2073">
        <v>1.5668541985204999E-2</v>
      </c>
      <c r="AD2073">
        <v>1.3050353568970401</v>
      </c>
      <c r="AE2073">
        <v>0.34459242224693298</v>
      </c>
      <c r="AF2073">
        <v>1137.4340949033401</v>
      </c>
      <c r="AG2073">
        <f>IFERROR(AH2073*0.1, "N/A")</f>
        <v>6.4</v>
      </c>
      <c r="AH2073">
        <v>64</v>
      </c>
      <c r="AI2073">
        <v>192.773342367216</v>
      </c>
      <c r="AJ2073">
        <v>38</v>
      </c>
      <c r="AK2073">
        <v>45</v>
      </c>
    </row>
    <row r="2074" spans="1:37" x14ac:dyDescent="0.3">
      <c r="A2074">
        <v>2073</v>
      </c>
      <c r="B2074">
        <v>100</v>
      </c>
      <c r="C2074">
        <v>33.339900999999998</v>
      </c>
      <c r="D2074">
        <v>-2.5348999999999999</v>
      </c>
      <c r="E2074" t="s">
        <v>3646</v>
      </c>
      <c r="F2074" t="s">
        <v>3648</v>
      </c>
      <c r="G2074" t="s">
        <v>37</v>
      </c>
      <c r="H2074">
        <v>2008</v>
      </c>
      <c r="I2074">
        <v>22.899999618530298</v>
      </c>
      <c r="J2074">
        <v>10.699999809265099</v>
      </c>
      <c r="K2074">
        <v>74</v>
      </c>
      <c r="L2074">
        <v>5.9499998092651403</v>
      </c>
      <c r="M2074">
        <v>29.799999237060501</v>
      </c>
      <c r="N2074">
        <v>15.5</v>
      </c>
      <c r="O2074">
        <v>14.300000190734901</v>
      </c>
      <c r="P2074">
        <v>23</v>
      </c>
      <c r="Q2074">
        <v>22.200000762939499</v>
      </c>
      <c r="R2074">
        <v>23.700000762939499</v>
      </c>
      <c r="S2074">
        <v>22.200000762939499</v>
      </c>
      <c r="T2074">
        <v>961</v>
      </c>
      <c r="U2074">
        <v>175</v>
      </c>
      <c r="V2074">
        <v>3</v>
      </c>
      <c r="W2074">
        <v>70</v>
      </c>
      <c r="X2074">
        <v>410</v>
      </c>
      <c r="Y2074">
        <v>27</v>
      </c>
      <c r="Z2074">
        <v>229</v>
      </c>
      <c r="AA2074">
        <v>27</v>
      </c>
      <c r="AB2074">
        <v>7.6473049706859602</v>
      </c>
      <c r="AC2074">
        <v>1.5668541985204999E-2</v>
      </c>
      <c r="AD2074">
        <v>1.3050353568970401</v>
      </c>
      <c r="AE2074">
        <v>0.34459242224693298</v>
      </c>
      <c r="AF2074">
        <v>1137.4340949033401</v>
      </c>
      <c r="AG2074">
        <f>IFERROR(AH2074*0.1, "N/A")</f>
        <v>6.4</v>
      </c>
      <c r="AH2074">
        <v>64</v>
      </c>
      <c r="AI2074">
        <v>192.773342367216</v>
      </c>
      <c r="AJ2074">
        <v>38</v>
      </c>
      <c r="AK2074">
        <v>45</v>
      </c>
    </row>
    <row r="2075" spans="1:37" x14ac:dyDescent="0.3">
      <c r="A2075">
        <v>2074</v>
      </c>
      <c r="B2075">
        <v>0</v>
      </c>
      <c r="C2075">
        <v>32.978698999999999</v>
      </c>
      <c r="D2075">
        <v>-2.5436999999999999</v>
      </c>
      <c r="E2075" t="s">
        <v>3649</v>
      </c>
      <c r="F2075" t="s">
        <v>3650</v>
      </c>
      <c r="G2075" t="s">
        <v>39</v>
      </c>
      <c r="H2075">
        <v>2008</v>
      </c>
      <c r="I2075">
        <v>22.200000762939499</v>
      </c>
      <c r="J2075">
        <v>10.6000003814697</v>
      </c>
      <c r="K2075">
        <v>74</v>
      </c>
      <c r="L2075">
        <v>5.5999999046325701</v>
      </c>
      <c r="M2075">
        <v>28.899999618530298</v>
      </c>
      <c r="N2075">
        <v>14.699999809265099</v>
      </c>
      <c r="O2075">
        <v>14.199999809265099</v>
      </c>
      <c r="P2075">
        <v>22.200000762939499</v>
      </c>
      <c r="Q2075">
        <v>21.5</v>
      </c>
      <c r="R2075">
        <v>22.899999618530298</v>
      </c>
      <c r="S2075">
        <v>21.5</v>
      </c>
      <c r="T2075">
        <v>1065</v>
      </c>
      <c r="U2075">
        <v>178</v>
      </c>
      <c r="V2075">
        <v>8</v>
      </c>
      <c r="W2075">
        <v>66</v>
      </c>
      <c r="X2075">
        <v>436</v>
      </c>
      <c r="Y2075">
        <v>37</v>
      </c>
      <c r="Z2075">
        <v>275</v>
      </c>
      <c r="AA2075">
        <v>37</v>
      </c>
      <c r="AB2075">
        <v>21.0318449050555</v>
      </c>
      <c r="AC2075">
        <v>1.2051493702014001E-2</v>
      </c>
      <c r="AD2075">
        <v>2.6307074003353699</v>
      </c>
      <c r="AE2075">
        <v>0.72751426696777299</v>
      </c>
      <c r="AF2075">
        <v>1240.64499121265</v>
      </c>
      <c r="AG2075">
        <f>IFERROR(AH2075*0.1, "N/A")</f>
        <v>6.6288224956063306</v>
      </c>
      <c r="AH2075">
        <v>66.288224956063303</v>
      </c>
      <c r="AI2075">
        <v>53.5111339079684</v>
      </c>
      <c r="AJ2075">
        <v>35.423550087873501</v>
      </c>
      <c r="AK2075">
        <v>48.288224956063303</v>
      </c>
    </row>
    <row r="2076" spans="1:37" x14ac:dyDescent="0.3">
      <c r="A2076">
        <v>2075</v>
      </c>
      <c r="B2076">
        <v>0</v>
      </c>
      <c r="C2076">
        <v>32.978698999999999</v>
      </c>
      <c r="D2076">
        <v>-2.5436999999999999</v>
      </c>
      <c r="E2076" t="s">
        <v>3649</v>
      </c>
      <c r="F2076" t="s">
        <v>3651</v>
      </c>
      <c r="G2076" t="s">
        <v>37</v>
      </c>
      <c r="H2076">
        <v>2008</v>
      </c>
      <c r="I2076">
        <v>22.200000762939499</v>
      </c>
      <c r="J2076">
        <v>10.6000003814697</v>
      </c>
      <c r="K2076">
        <v>74</v>
      </c>
      <c r="L2076">
        <v>5.5999999046325701</v>
      </c>
      <c r="M2076">
        <v>28.899999618530298</v>
      </c>
      <c r="N2076">
        <v>14.699999809265099</v>
      </c>
      <c r="O2076">
        <v>14.199999809265099</v>
      </c>
      <c r="P2076">
        <v>22.200000762939499</v>
      </c>
      <c r="Q2076">
        <v>21.5</v>
      </c>
      <c r="R2076">
        <v>22.899999618530298</v>
      </c>
      <c r="S2076">
        <v>21.5</v>
      </c>
      <c r="T2076">
        <v>1065</v>
      </c>
      <c r="U2076">
        <v>178</v>
      </c>
      <c r="V2076">
        <v>8</v>
      </c>
      <c r="W2076">
        <v>66</v>
      </c>
      <c r="X2076">
        <v>436</v>
      </c>
      <c r="Y2076">
        <v>37</v>
      </c>
      <c r="Z2076">
        <v>275</v>
      </c>
      <c r="AA2076">
        <v>37</v>
      </c>
      <c r="AB2076">
        <v>21.0318449050555</v>
      </c>
      <c r="AC2076">
        <v>1.2051493702014001E-2</v>
      </c>
      <c r="AD2076">
        <v>2.6307074003353699</v>
      </c>
      <c r="AE2076">
        <v>0.72751426696777299</v>
      </c>
      <c r="AF2076">
        <v>1240.64499121265</v>
      </c>
      <c r="AG2076">
        <f>IFERROR(AH2076*0.1, "N/A")</f>
        <v>6.6288224956063306</v>
      </c>
      <c r="AH2076">
        <v>66.288224956063303</v>
      </c>
      <c r="AI2076">
        <v>53.5111339079684</v>
      </c>
      <c r="AJ2076">
        <v>35.423550087873501</v>
      </c>
      <c r="AK2076">
        <v>48.288224956063303</v>
      </c>
    </row>
    <row r="2077" spans="1:37" x14ac:dyDescent="0.3">
      <c r="A2077">
        <v>2076</v>
      </c>
      <c r="B2077">
        <v>0</v>
      </c>
      <c r="C2077">
        <v>30.527799999999999</v>
      </c>
      <c r="D2077">
        <v>-2.5472199999999998</v>
      </c>
      <c r="E2077" t="s">
        <v>3652</v>
      </c>
      <c r="F2077" t="s">
        <v>3653</v>
      </c>
      <c r="G2077" t="s">
        <v>39</v>
      </c>
      <c r="H2077">
        <v>2008</v>
      </c>
      <c r="I2077">
        <v>19.799999237060501</v>
      </c>
      <c r="J2077">
        <v>11.1000003814697</v>
      </c>
      <c r="K2077">
        <v>81</v>
      </c>
      <c r="L2077">
        <v>3.9000000953674299</v>
      </c>
      <c r="M2077">
        <v>26.899999618530298</v>
      </c>
      <c r="N2077">
        <v>13.199999809265099</v>
      </c>
      <c r="O2077">
        <v>13.699999809265099</v>
      </c>
      <c r="P2077">
        <v>19.600000381469702</v>
      </c>
      <c r="Q2077">
        <v>19.700000762939499</v>
      </c>
      <c r="R2077">
        <v>20.299999237060501</v>
      </c>
      <c r="S2077">
        <v>19.5</v>
      </c>
      <c r="T2077">
        <v>882</v>
      </c>
      <c r="U2077">
        <v>137</v>
      </c>
      <c r="V2077">
        <v>2</v>
      </c>
      <c r="W2077">
        <v>58</v>
      </c>
      <c r="X2077">
        <v>351</v>
      </c>
      <c r="Y2077">
        <v>26</v>
      </c>
      <c r="Z2077">
        <v>146</v>
      </c>
      <c r="AA2077">
        <v>82</v>
      </c>
      <c r="AB2077">
        <v>28.530490284234698</v>
      </c>
      <c r="AC2077">
        <v>6.5761193246121993E-2</v>
      </c>
      <c r="AD2077">
        <v>11.824757796777799</v>
      </c>
      <c r="AE2077">
        <v>0.37284225225448597</v>
      </c>
      <c r="AF2077">
        <v>1573.5563380281701</v>
      </c>
      <c r="AG2077">
        <f>IFERROR(AH2077*0.1, "N/A")</f>
        <v>5.4184859154929601</v>
      </c>
      <c r="AH2077">
        <v>54.184859154929597</v>
      </c>
      <c r="AI2077">
        <v>292.06640587390302</v>
      </c>
      <c r="AJ2077">
        <v>37.426056338028197</v>
      </c>
      <c r="AK2077">
        <v>38.753521126760603</v>
      </c>
    </row>
    <row r="2078" spans="1:37" x14ac:dyDescent="0.3">
      <c r="A2078">
        <v>2077</v>
      </c>
      <c r="B2078">
        <v>0</v>
      </c>
      <c r="C2078">
        <v>30.527799999999999</v>
      </c>
      <c r="D2078">
        <v>-2.5472199999999998</v>
      </c>
      <c r="E2078" t="s">
        <v>3652</v>
      </c>
      <c r="F2078" t="s">
        <v>3654</v>
      </c>
      <c r="G2078" t="s">
        <v>37</v>
      </c>
      <c r="H2078">
        <v>2008</v>
      </c>
      <c r="I2078">
        <v>19.799999237060501</v>
      </c>
      <c r="J2078">
        <v>11.1000003814697</v>
      </c>
      <c r="K2078">
        <v>81</v>
      </c>
      <c r="L2078">
        <v>3.9000000953674299</v>
      </c>
      <c r="M2078">
        <v>26.899999618530298</v>
      </c>
      <c r="N2078">
        <v>13.199999809265099</v>
      </c>
      <c r="O2078">
        <v>13.699999809265099</v>
      </c>
      <c r="P2078">
        <v>19.600000381469702</v>
      </c>
      <c r="Q2078">
        <v>19.700000762939499</v>
      </c>
      <c r="R2078">
        <v>20.299999237060501</v>
      </c>
      <c r="S2078">
        <v>19.5</v>
      </c>
      <c r="T2078">
        <v>882</v>
      </c>
      <c r="U2078">
        <v>137</v>
      </c>
      <c r="V2078">
        <v>2</v>
      </c>
      <c r="W2078">
        <v>58</v>
      </c>
      <c r="X2078">
        <v>351</v>
      </c>
      <c r="Y2078">
        <v>26</v>
      </c>
      <c r="Z2078">
        <v>146</v>
      </c>
      <c r="AA2078">
        <v>82</v>
      </c>
      <c r="AB2078">
        <v>28.530490284234698</v>
      </c>
      <c r="AC2078">
        <v>6.5761193246121993E-2</v>
      </c>
      <c r="AD2078">
        <v>11.824757796777799</v>
      </c>
      <c r="AE2078">
        <v>0.37284225225448597</v>
      </c>
      <c r="AF2078">
        <v>1573.5563380281701</v>
      </c>
      <c r="AG2078">
        <f>IFERROR(AH2078*0.1, "N/A")</f>
        <v>5.4184859154929601</v>
      </c>
      <c r="AH2078">
        <v>54.184859154929597</v>
      </c>
      <c r="AI2078">
        <v>292.06640587390302</v>
      </c>
      <c r="AJ2078">
        <v>37.426056338028197</v>
      </c>
      <c r="AK2078">
        <v>38.753521126760603</v>
      </c>
    </row>
    <row r="2079" spans="1:37" x14ac:dyDescent="0.3">
      <c r="A2079">
        <v>2078</v>
      </c>
      <c r="B2079">
        <v>100</v>
      </c>
      <c r="C2079">
        <v>32.733299000000002</v>
      </c>
      <c r="D2079">
        <v>-2.5833300000000001</v>
      </c>
      <c r="E2079" t="s">
        <v>3655</v>
      </c>
      <c r="F2079" t="s">
        <v>3656</v>
      </c>
      <c r="G2079" t="s">
        <v>39</v>
      </c>
      <c r="H2079">
        <v>2008</v>
      </c>
      <c r="I2079">
        <v>22.575000286102298</v>
      </c>
      <c r="J2079">
        <v>10.5</v>
      </c>
      <c r="K2079">
        <v>75</v>
      </c>
      <c r="L2079">
        <v>5.2689964880406004</v>
      </c>
      <c r="M2079">
        <v>29</v>
      </c>
      <c r="N2079">
        <v>15.1000003814697</v>
      </c>
      <c r="O2079">
        <v>13.8999996185303</v>
      </c>
      <c r="P2079">
        <v>22.629930073106799</v>
      </c>
      <c r="Q2079">
        <v>21.874999523162799</v>
      </c>
      <c r="R2079">
        <v>23.175000667572</v>
      </c>
      <c r="S2079">
        <v>21.874999523162799</v>
      </c>
      <c r="T2079">
        <v>1077.2869718309901</v>
      </c>
      <c r="U2079">
        <v>176.70070422535201</v>
      </c>
      <c r="V2079">
        <v>8</v>
      </c>
      <c r="W2079">
        <v>64</v>
      </c>
      <c r="X2079">
        <v>425.86443661971799</v>
      </c>
      <c r="Y2079">
        <v>40.75</v>
      </c>
      <c r="Z2079">
        <v>298.67253521126798</v>
      </c>
      <c r="AA2079">
        <v>40.75</v>
      </c>
      <c r="AB2079">
        <v>10.2329099413375</v>
      </c>
      <c r="AC2079">
        <v>2.9120928611159998E-2</v>
      </c>
      <c r="AD2079">
        <v>1.04621755615087</v>
      </c>
      <c r="AE2079">
        <v>0.65213954448699996</v>
      </c>
      <c r="AF2079">
        <v>1167.37147887324</v>
      </c>
      <c r="AG2079">
        <f>IFERROR(AH2079*0.1, "N/A")</f>
        <v>6.08362676056338</v>
      </c>
      <c r="AH2079">
        <v>60.8362676056338</v>
      </c>
      <c r="AI2079">
        <v>156.45844828243</v>
      </c>
      <c r="AJ2079">
        <v>14.491197183098601</v>
      </c>
      <c r="AK2079">
        <v>74.345070422535201</v>
      </c>
    </row>
    <row r="2080" spans="1:37" x14ac:dyDescent="0.3">
      <c r="A2080">
        <v>2079</v>
      </c>
      <c r="B2080">
        <v>0</v>
      </c>
      <c r="C2080">
        <v>32.733299000000002</v>
      </c>
      <c r="D2080">
        <v>-2.5833300000000001</v>
      </c>
      <c r="E2080" t="s">
        <v>3655</v>
      </c>
      <c r="F2080" t="s">
        <v>3657</v>
      </c>
      <c r="G2080" t="s">
        <v>37</v>
      </c>
      <c r="H2080">
        <v>2008</v>
      </c>
      <c r="I2080">
        <v>22.575000286102298</v>
      </c>
      <c r="J2080">
        <v>10.5</v>
      </c>
      <c r="K2080">
        <v>75</v>
      </c>
      <c r="L2080">
        <v>5.2689964880406004</v>
      </c>
      <c r="M2080">
        <v>29</v>
      </c>
      <c r="N2080">
        <v>15.1000003814697</v>
      </c>
      <c r="O2080">
        <v>13.8999996185303</v>
      </c>
      <c r="P2080">
        <v>22.629930073106799</v>
      </c>
      <c r="Q2080">
        <v>21.874999523162799</v>
      </c>
      <c r="R2080">
        <v>23.175000667572</v>
      </c>
      <c r="S2080">
        <v>21.874999523162799</v>
      </c>
      <c r="T2080">
        <v>1077.2869718309901</v>
      </c>
      <c r="U2080">
        <v>176.70070422535201</v>
      </c>
      <c r="V2080">
        <v>8</v>
      </c>
      <c r="W2080">
        <v>64</v>
      </c>
      <c r="X2080">
        <v>425.86443661971799</v>
      </c>
      <c r="Y2080">
        <v>40.75</v>
      </c>
      <c r="Z2080">
        <v>298.67253521126798</v>
      </c>
      <c r="AA2080">
        <v>40.75</v>
      </c>
      <c r="AB2080">
        <v>10.2329099413375</v>
      </c>
      <c r="AC2080">
        <v>2.9120928611159998E-2</v>
      </c>
      <c r="AD2080">
        <v>1.04621755615087</v>
      </c>
      <c r="AE2080">
        <v>0.65213954448699996</v>
      </c>
      <c r="AF2080">
        <v>1167.37147887324</v>
      </c>
      <c r="AG2080">
        <f>IFERROR(AH2080*0.1, "N/A")</f>
        <v>6.08362676056338</v>
      </c>
      <c r="AH2080">
        <v>60.8362676056338</v>
      </c>
      <c r="AI2080">
        <v>156.45844828243</v>
      </c>
      <c r="AJ2080">
        <v>14.491197183098601</v>
      </c>
      <c r="AK2080">
        <v>74.345070422535201</v>
      </c>
    </row>
    <row r="2081" spans="1:37" x14ac:dyDescent="0.3">
      <c r="A2081">
        <v>2080</v>
      </c>
      <c r="B2081">
        <v>0</v>
      </c>
      <c r="C2081">
        <v>33.583302000000003</v>
      </c>
      <c r="D2081">
        <v>-2.5833300000000001</v>
      </c>
      <c r="E2081" t="s">
        <v>3658</v>
      </c>
      <c r="F2081" t="s">
        <v>3659</v>
      </c>
      <c r="G2081" t="s">
        <v>39</v>
      </c>
      <c r="H2081">
        <v>2008</v>
      </c>
      <c r="I2081">
        <v>22.899999618530298</v>
      </c>
      <c r="J2081">
        <v>10.699999809265099</v>
      </c>
      <c r="K2081">
        <v>74</v>
      </c>
      <c r="L2081">
        <v>6.2904940055160896</v>
      </c>
      <c r="M2081">
        <v>29.899999618530298</v>
      </c>
      <c r="N2081">
        <v>15.5</v>
      </c>
      <c r="O2081">
        <v>14.3999996185303</v>
      </c>
      <c r="P2081">
        <v>23.100000381469702</v>
      </c>
      <c r="Q2081">
        <v>22</v>
      </c>
      <c r="R2081">
        <v>23.620988115852299</v>
      </c>
      <c r="S2081">
        <v>22</v>
      </c>
      <c r="T2081">
        <v>967.77072310405595</v>
      </c>
      <c r="U2081">
        <v>194.10405643739</v>
      </c>
      <c r="V2081">
        <v>1</v>
      </c>
      <c r="W2081">
        <v>74</v>
      </c>
      <c r="X2081">
        <v>435.89417989418001</v>
      </c>
      <c r="Y2081">
        <v>23.700176366842999</v>
      </c>
      <c r="Z2081">
        <v>224.70017636684301</v>
      </c>
      <c r="AA2081">
        <v>23.700176366842999</v>
      </c>
      <c r="AB2081">
        <v>2.3786255098104001</v>
      </c>
      <c r="AC2081">
        <v>2.7078891974567001E-2</v>
      </c>
      <c r="AD2081">
        <v>1.20959511572722</v>
      </c>
      <c r="AE2081">
        <v>0.43862262368202198</v>
      </c>
      <c r="AF2081">
        <v>1149.91358024691</v>
      </c>
      <c r="AG2081">
        <f>IFERROR(AH2081*0.1, "N/A")</f>
        <v>6.6000000000000005</v>
      </c>
      <c r="AH2081">
        <v>66</v>
      </c>
      <c r="AI2081">
        <v>124.45730095649699</v>
      </c>
      <c r="AJ2081">
        <v>37.313932980599603</v>
      </c>
      <c r="AK2081">
        <v>42</v>
      </c>
    </row>
    <row r="2082" spans="1:37" x14ac:dyDescent="0.3">
      <c r="A2082">
        <v>2081</v>
      </c>
      <c r="B2082">
        <v>0</v>
      </c>
      <c r="C2082">
        <v>33.583302000000003</v>
      </c>
      <c r="D2082">
        <v>-2.5833300000000001</v>
      </c>
      <c r="E2082" t="s">
        <v>3658</v>
      </c>
      <c r="F2082" t="s">
        <v>3660</v>
      </c>
      <c r="G2082" t="s">
        <v>37</v>
      </c>
      <c r="H2082">
        <v>2008</v>
      </c>
      <c r="I2082">
        <v>22.899999618530298</v>
      </c>
      <c r="J2082">
        <v>10.699999809265099</v>
      </c>
      <c r="K2082">
        <v>74</v>
      </c>
      <c r="L2082">
        <v>6.2904940055160896</v>
      </c>
      <c r="M2082">
        <v>29.899999618530298</v>
      </c>
      <c r="N2082">
        <v>15.5</v>
      </c>
      <c r="O2082">
        <v>14.3999996185303</v>
      </c>
      <c r="P2082">
        <v>23.100000381469702</v>
      </c>
      <c r="Q2082">
        <v>22</v>
      </c>
      <c r="R2082">
        <v>23.620988115852299</v>
      </c>
      <c r="S2082">
        <v>22</v>
      </c>
      <c r="T2082">
        <v>967.77072310405595</v>
      </c>
      <c r="U2082">
        <v>194.10405643739</v>
      </c>
      <c r="V2082">
        <v>1</v>
      </c>
      <c r="W2082">
        <v>74</v>
      </c>
      <c r="X2082">
        <v>435.89417989418001</v>
      </c>
      <c r="Y2082">
        <v>23.700176366842999</v>
      </c>
      <c r="Z2082">
        <v>224.70017636684301</v>
      </c>
      <c r="AA2082">
        <v>23.700176366842999</v>
      </c>
      <c r="AB2082">
        <v>2.3786255098104001</v>
      </c>
      <c r="AC2082">
        <v>2.7078891974567001E-2</v>
      </c>
      <c r="AD2082">
        <v>1.20959511572722</v>
      </c>
      <c r="AE2082">
        <v>0.43862262368202198</v>
      </c>
      <c r="AF2082">
        <v>1149.91358024691</v>
      </c>
      <c r="AG2082">
        <f>IFERROR(AH2082*0.1, "N/A")</f>
        <v>6.6000000000000005</v>
      </c>
      <c r="AH2082">
        <v>66</v>
      </c>
      <c r="AI2082">
        <v>124.45730095649699</v>
      </c>
      <c r="AJ2082">
        <v>37.313932980599603</v>
      </c>
      <c r="AK2082">
        <v>42</v>
      </c>
    </row>
    <row r="2083" spans="1:37" x14ac:dyDescent="0.3">
      <c r="A2083">
        <v>2082</v>
      </c>
      <c r="B2083">
        <v>100</v>
      </c>
      <c r="C2083">
        <v>33.516700999999998</v>
      </c>
      <c r="D2083">
        <v>-2.6</v>
      </c>
      <c r="E2083" t="s">
        <v>3661</v>
      </c>
      <c r="F2083" t="s">
        <v>3662</v>
      </c>
      <c r="G2083" t="s">
        <v>39</v>
      </c>
      <c r="H2083">
        <v>2008</v>
      </c>
      <c r="I2083">
        <v>22.899999618530298</v>
      </c>
      <c r="J2083">
        <v>10.699999809265099</v>
      </c>
      <c r="K2083">
        <v>72.284710017574696</v>
      </c>
      <c r="L2083">
        <v>6.6638840497692398</v>
      </c>
      <c r="M2083">
        <v>30.071529271104001</v>
      </c>
      <c r="N2083">
        <v>15.3999996185303</v>
      </c>
      <c r="O2083">
        <v>14.671528970420001</v>
      </c>
      <c r="P2083">
        <v>23</v>
      </c>
      <c r="Q2083">
        <v>22</v>
      </c>
      <c r="R2083">
        <v>23.700000762939499</v>
      </c>
      <c r="S2083">
        <v>22</v>
      </c>
      <c r="T2083">
        <v>951.64323374340904</v>
      </c>
      <c r="U2083">
        <v>186.504393673111</v>
      </c>
      <c r="V2083">
        <v>1</v>
      </c>
      <c r="W2083">
        <v>73.284710017574696</v>
      </c>
      <c r="X2083">
        <v>424.78910369068501</v>
      </c>
      <c r="Y2083">
        <v>23</v>
      </c>
      <c r="Z2083">
        <v>221.28471001757501</v>
      </c>
      <c r="AA2083">
        <v>23</v>
      </c>
      <c r="AB2083">
        <v>1.2850597093310601</v>
      </c>
      <c r="AC2083">
        <v>1.0460188270257E-2</v>
      </c>
      <c r="AD2083">
        <v>0.78054649077735605</v>
      </c>
      <c r="AE2083">
        <v>0.55917727947235096</v>
      </c>
      <c r="AF2083">
        <v>1145.7996485061501</v>
      </c>
      <c r="AG2083">
        <f>IFERROR(AH2083*0.1, "N/A")</f>
        <v>6.5</v>
      </c>
      <c r="AH2083">
        <v>65</v>
      </c>
      <c r="AI2083">
        <v>89.770131189919496</v>
      </c>
      <c r="AJ2083">
        <v>33.307557117750399</v>
      </c>
      <c r="AK2083">
        <v>46.043936731107202</v>
      </c>
    </row>
    <row r="2084" spans="1:37" x14ac:dyDescent="0.3">
      <c r="A2084">
        <v>2083</v>
      </c>
      <c r="B2084">
        <v>0</v>
      </c>
      <c r="C2084">
        <v>33.516700999999998</v>
      </c>
      <c r="D2084">
        <v>-2.6</v>
      </c>
      <c r="E2084" t="s">
        <v>3661</v>
      </c>
      <c r="F2084" t="s">
        <v>3663</v>
      </c>
      <c r="G2084" t="s">
        <v>37</v>
      </c>
      <c r="H2084">
        <v>2008</v>
      </c>
      <c r="I2084">
        <v>22.899999618530298</v>
      </c>
      <c r="J2084">
        <v>10.699999809265099</v>
      </c>
      <c r="K2084">
        <v>72.284710017574696</v>
      </c>
      <c r="L2084">
        <v>6.6638840497692398</v>
      </c>
      <c r="M2084">
        <v>30.071529271104001</v>
      </c>
      <c r="N2084">
        <v>15.3999996185303</v>
      </c>
      <c r="O2084">
        <v>14.671528970420001</v>
      </c>
      <c r="P2084">
        <v>23</v>
      </c>
      <c r="Q2084">
        <v>22</v>
      </c>
      <c r="R2084">
        <v>23.700000762939499</v>
      </c>
      <c r="S2084">
        <v>22</v>
      </c>
      <c r="T2084">
        <v>951.64323374340904</v>
      </c>
      <c r="U2084">
        <v>186.504393673111</v>
      </c>
      <c r="V2084">
        <v>1</v>
      </c>
      <c r="W2084">
        <v>73.284710017574696</v>
      </c>
      <c r="X2084">
        <v>424.78910369068501</v>
      </c>
      <c r="Y2084">
        <v>23</v>
      </c>
      <c r="Z2084">
        <v>221.28471001757501</v>
      </c>
      <c r="AA2084">
        <v>23</v>
      </c>
      <c r="AB2084">
        <v>1.2850597093310601</v>
      </c>
      <c r="AC2084">
        <v>1.0460188270257E-2</v>
      </c>
      <c r="AD2084">
        <v>0.78054649077735605</v>
      </c>
      <c r="AE2084">
        <v>0.55917727947235096</v>
      </c>
      <c r="AF2084">
        <v>1145.7996485061501</v>
      </c>
      <c r="AG2084">
        <f>IFERROR(AH2084*0.1, "N/A")</f>
        <v>6.5</v>
      </c>
      <c r="AH2084">
        <v>65</v>
      </c>
      <c r="AI2084">
        <v>89.770131189919496</v>
      </c>
      <c r="AJ2084">
        <v>33.307557117750399</v>
      </c>
      <c r="AK2084">
        <v>46.043936731107202</v>
      </c>
    </row>
    <row r="2085" spans="1:37" x14ac:dyDescent="0.3">
      <c r="A2085">
        <v>2084</v>
      </c>
      <c r="B2085">
        <v>50</v>
      </c>
      <c r="C2085">
        <v>33.042499999999997</v>
      </c>
      <c r="D2085">
        <v>-2.60528</v>
      </c>
      <c r="E2085" t="s">
        <v>3664</v>
      </c>
      <c r="F2085" t="s">
        <v>3665</v>
      </c>
      <c r="G2085" t="s">
        <v>39</v>
      </c>
      <c r="H2085">
        <v>2008</v>
      </c>
      <c r="I2085">
        <v>22.2063276160161</v>
      </c>
      <c r="J2085">
        <v>10.800000190734901</v>
      </c>
      <c r="K2085">
        <v>72</v>
      </c>
      <c r="L2085">
        <v>6.3786114766434299</v>
      </c>
      <c r="M2085">
        <v>29.503163456707298</v>
      </c>
      <c r="N2085">
        <v>14.6063272647154</v>
      </c>
      <c r="O2085">
        <v>14.8968361919919</v>
      </c>
      <c r="P2085">
        <v>22.203164159308798</v>
      </c>
      <c r="Q2085">
        <v>21.5063269134146</v>
      </c>
      <c r="R2085">
        <v>23.103163838177</v>
      </c>
      <c r="S2085">
        <v>21.5063269134146</v>
      </c>
      <c r="T2085">
        <v>1028.6520210896299</v>
      </c>
      <c r="U2085">
        <v>172.905096660808</v>
      </c>
      <c r="V2085">
        <v>7</v>
      </c>
      <c r="W2085">
        <v>67</v>
      </c>
      <c r="X2085">
        <v>421.81019332161702</v>
      </c>
      <c r="Y2085">
        <v>33</v>
      </c>
      <c r="Z2085">
        <v>260.905096660808</v>
      </c>
      <c r="AA2085">
        <v>33</v>
      </c>
      <c r="AB2085">
        <v>51.203403251661399</v>
      </c>
      <c r="AC2085">
        <v>2.7538537897287E-2</v>
      </c>
      <c r="AD2085">
        <v>2.6197877047560501</v>
      </c>
      <c r="AE2085">
        <v>0.54155546426773105</v>
      </c>
      <c r="AF2085">
        <v>1238.87346221441</v>
      </c>
      <c r="AG2085">
        <f>IFERROR(AH2085*0.1, "N/A")</f>
        <v>6.2391915641476308</v>
      </c>
      <c r="AH2085">
        <v>62.391915641476302</v>
      </c>
      <c r="AI2085">
        <v>274.15741980473899</v>
      </c>
      <c r="AJ2085">
        <v>17.757469244288199</v>
      </c>
      <c r="AK2085">
        <v>68.300527240773306</v>
      </c>
    </row>
    <row r="2086" spans="1:37" x14ac:dyDescent="0.3">
      <c r="A2086">
        <v>2085</v>
      </c>
      <c r="B2086">
        <v>0</v>
      </c>
      <c r="C2086">
        <v>33.042499999999997</v>
      </c>
      <c r="D2086">
        <v>-2.60528</v>
      </c>
      <c r="E2086" t="s">
        <v>3664</v>
      </c>
      <c r="F2086" t="s">
        <v>3666</v>
      </c>
      <c r="G2086" t="s">
        <v>37</v>
      </c>
      <c r="H2086">
        <v>2008</v>
      </c>
      <c r="I2086">
        <v>22.2063276160161</v>
      </c>
      <c r="J2086">
        <v>10.800000190734901</v>
      </c>
      <c r="K2086">
        <v>72</v>
      </c>
      <c r="L2086">
        <v>6.3786114766434299</v>
      </c>
      <c r="M2086">
        <v>29.503163456707298</v>
      </c>
      <c r="N2086">
        <v>14.6063272647154</v>
      </c>
      <c r="O2086">
        <v>14.8968361919919</v>
      </c>
      <c r="P2086">
        <v>22.203164159308798</v>
      </c>
      <c r="Q2086">
        <v>21.5063269134146</v>
      </c>
      <c r="R2086">
        <v>23.103163838177</v>
      </c>
      <c r="S2086">
        <v>21.5063269134146</v>
      </c>
      <c r="T2086">
        <v>1028.6520210896299</v>
      </c>
      <c r="U2086">
        <v>172.905096660808</v>
      </c>
      <c r="V2086">
        <v>7</v>
      </c>
      <c r="W2086">
        <v>67</v>
      </c>
      <c r="X2086">
        <v>421.81019332161702</v>
      </c>
      <c r="Y2086">
        <v>33</v>
      </c>
      <c r="Z2086">
        <v>260.905096660808</v>
      </c>
      <c r="AA2086">
        <v>33</v>
      </c>
      <c r="AB2086">
        <v>51.203403251661399</v>
      </c>
      <c r="AC2086">
        <v>2.7538537897287E-2</v>
      </c>
      <c r="AD2086">
        <v>2.6197877047560501</v>
      </c>
      <c r="AE2086">
        <v>0.54155546426773105</v>
      </c>
      <c r="AF2086">
        <v>1238.87346221441</v>
      </c>
      <c r="AG2086">
        <f>IFERROR(AH2086*0.1, "N/A")</f>
        <v>6.2391915641476308</v>
      </c>
      <c r="AH2086">
        <v>62.391915641476302</v>
      </c>
      <c r="AI2086">
        <v>274.15741980473899</v>
      </c>
      <c r="AJ2086">
        <v>17.757469244288199</v>
      </c>
      <c r="AK2086">
        <v>68.300527240773306</v>
      </c>
    </row>
    <row r="2087" spans="1:37" x14ac:dyDescent="0.3">
      <c r="A2087">
        <v>2086</v>
      </c>
      <c r="B2087">
        <v>11.11</v>
      </c>
      <c r="C2087">
        <v>31.325001</v>
      </c>
      <c r="D2087">
        <v>-2.6205599999999998</v>
      </c>
      <c r="E2087" t="s">
        <v>3667</v>
      </c>
      <c r="F2087" t="s">
        <v>3668</v>
      </c>
      <c r="G2087" t="s">
        <v>39</v>
      </c>
      <c r="H2087">
        <v>2008</v>
      </c>
      <c r="I2087">
        <v>21.100000381469702</v>
      </c>
      <c r="J2087">
        <v>10.1000003814697</v>
      </c>
      <c r="K2087">
        <v>84</v>
      </c>
      <c r="L2087">
        <v>3.2133215617630699</v>
      </c>
      <c r="M2087">
        <v>27.200000762939499</v>
      </c>
      <c r="N2087">
        <v>15.199999809265099</v>
      </c>
      <c r="O2087">
        <v>12</v>
      </c>
      <c r="P2087">
        <v>21</v>
      </c>
      <c r="Q2087">
        <v>20.899999618530298</v>
      </c>
      <c r="R2087">
        <v>21.5</v>
      </c>
      <c r="S2087">
        <v>20.7377857751293</v>
      </c>
      <c r="T2087">
        <v>993.13356766256595</v>
      </c>
      <c r="U2087">
        <v>178</v>
      </c>
      <c r="V2087">
        <v>2</v>
      </c>
      <c r="W2087">
        <v>67</v>
      </c>
      <c r="X2087">
        <v>430</v>
      </c>
      <c r="Y2087">
        <v>21</v>
      </c>
      <c r="Z2087">
        <v>256.75571177504401</v>
      </c>
      <c r="AA2087">
        <v>95</v>
      </c>
      <c r="AB2087">
        <v>28.782405270004901</v>
      </c>
      <c r="AC2087">
        <v>1.4962182187119999E-2</v>
      </c>
      <c r="AD2087">
        <v>3.4170396512338299</v>
      </c>
      <c r="AE2087">
        <v>0.35425834800321299</v>
      </c>
      <c r="AF2087">
        <v>1427.06678383128</v>
      </c>
      <c r="AG2087">
        <f>IFERROR(AH2087*0.1, "N/A")</f>
        <v>5.5608084358523699</v>
      </c>
      <c r="AH2087">
        <v>55.608084358523698</v>
      </c>
      <c r="AI2087">
        <v>179.20353148985001</v>
      </c>
      <c r="AJ2087">
        <v>28.558875219683699</v>
      </c>
      <c r="AK2087">
        <v>48.295254833040403</v>
      </c>
    </row>
    <row r="2088" spans="1:37" x14ac:dyDescent="0.3">
      <c r="A2088">
        <v>2087</v>
      </c>
      <c r="B2088">
        <v>11.11</v>
      </c>
      <c r="C2088">
        <v>31.325001</v>
      </c>
      <c r="D2088">
        <v>-2.6205599999999998</v>
      </c>
      <c r="E2088" t="s">
        <v>3667</v>
      </c>
      <c r="F2088" t="s">
        <v>3669</v>
      </c>
      <c r="G2088" t="s">
        <v>37</v>
      </c>
      <c r="H2088">
        <v>2008</v>
      </c>
      <c r="I2088">
        <v>21.100000381469702</v>
      </c>
      <c r="J2088">
        <v>10.1000003814697</v>
      </c>
      <c r="K2088">
        <v>84</v>
      </c>
      <c r="L2088">
        <v>3.2133215617630699</v>
      </c>
      <c r="M2088">
        <v>27.200000762939499</v>
      </c>
      <c r="N2088">
        <v>15.199999809265099</v>
      </c>
      <c r="O2088">
        <v>12</v>
      </c>
      <c r="P2088">
        <v>21</v>
      </c>
      <c r="Q2088">
        <v>20.899999618530298</v>
      </c>
      <c r="R2088">
        <v>21.5</v>
      </c>
      <c r="S2088">
        <v>20.7377857751293</v>
      </c>
      <c r="T2088">
        <v>993.13356766256595</v>
      </c>
      <c r="U2088">
        <v>178</v>
      </c>
      <c r="V2088">
        <v>2</v>
      </c>
      <c r="W2088">
        <v>67</v>
      </c>
      <c r="X2088">
        <v>430</v>
      </c>
      <c r="Y2088">
        <v>21</v>
      </c>
      <c r="Z2088">
        <v>256.75571177504401</v>
      </c>
      <c r="AA2088">
        <v>95</v>
      </c>
      <c r="AB2088">
        <v>28.782405270004901</v>
      </c>
      <c r="AC2088">
        <v>1.4962182187119999E-2</v>
      </c>
      <c r="AD2088">
        <v>3.4170396512338299</v>
      </c>
      <c r="AE2088">
        <v>0.35425834800321299</v>
      </c>
      <c r="AF2088">
        <v>1427.06678383128</v>
      </c>
      <c r="AG2088">
        <f>IFERROR(AH2088*0.1, "N/A")</f>
        <v>5.5608084358523699</v>
      </c>
      <c r="AH2088">
        <v>55.608084358523698</v>
      </c>
      <c r="AI2088">
        <v>179.20353148985001</v>
      </c>
      <c r="AJ2088">
        <v>28.558875219683699</v>
      </c>
      <c r="AK2088">
        <v>48.295254833040403</v>
      </c>
    </row>
    <row r="2089" spans="1:37" x14ac:dyDescent="0.3">
      <c r="A2089">
        <v>2088</v>
      </c>
      <c r="B2089">
        <v>0</v>
      </c>
      <c r="C2089">
        <v>31.738600000000002</v>
      </c>
      <c r="D2089">
        <v>-2.6241699999999999</v>
      </c>
      <c r="E2089" t="s">
        <v>3670</v>
      </c>
      <c r="F2089" t="s">
        <v>3671</v>
      </c>
      <c r="G2089" t="s">
        <v>39</v>
      </c>
      <c r="H2089">
        <v>2008</v>
      </c>
      <c r="I2089">
        <v>21.899999618530298</v>
      </c>
      <c r="J2089">
        <v>10.3999996185303</v>
      </c>
      <c r="K2089">
        <v>80</v>
      </c>
      <c r="L2089">
        <v>3.90238104926215</v>
      </c>
      <c r="M2089">
        <v>28.399999618530298</v>
      </c>
      <c r="N2089">
        <v>15.498412692357601</v>
      </c>
      <c r="O2089">
        <v>12.9015869261726</v>
      </c>
      <c r="P2089">
        <v>21.799999237060501</v>
      </c>
      <c r="Q2089">
        <v>21.5</v>
      </c>
      <c r="R2089">
        <v>22.299999237060501</v>
      </c>
      <c r="S2089">
        <v>21.5</v>
      </c>
      <c r="T2089">
        <v>987.90476190476204</v>
      </c>
      <c r="U2089">
        <v>167.968253968254</v>
      </c>
      <c r="V2089">
        <v>2</v>
      </c>
      <c r="W2089">
        <v>66</v>
      </c>
      <c r="X2089">
        <v>414.96825396825398</v>
      </c>
      <c r="Y2089">
        <v>19</v>
      </c>
      <c r="Z2089">
        <v>289.95238095238102</v>
      </c>
      <c r="AA2089">
        <v>19</v>
      </c>
      <c r="AB2089">
        <v>13.4067219190917</v>
      </c>
      <c r="AC2089">
        <v>1.0511949232975E-2</v>
      </c>
      <c r="AD2089">
        <v>2.5587479319732198</v>
      </c>
      <c r="AE2089">
        <v>0.44717280196134401</v>
      </c>
      <c r="AF2089">
        <v>1169.9153439153399</v>
      </c>
      <c r="AG2089">
        <f>IFERROR(AH2089*0.1, "N/A")</f>
        <v>6.2350970017636698</v>
      </c>
      <c r="AH2089">
        <v>62.350970017636698</v>
      </c>
      <c r="AI2089">
        <v>84.189588408831796</v>
      </c>
      <c r="AJ2089">
        <v>15.373897707231</v>
      </c>
      <c r="AK2089">
        <v>73.275132275132293</v>
      </c>
    </row>
    <row r="2090" spans="1:37" x14ac:dyDescent="0.3">
      <c r="A2090">
        <v>2089</v>
      </c>
      <c r="B2090">
        <v>66.669998000000007</v>
      </c>
      <c r="C2090">
        <v>31.738600000000002</v>
      </c>
      <c r="D2090">
        <v>-2.6241699999999999</v>
      </c>
      <c r="E2090" t="s">
        <v>3670</v>
      </c>
      <c r="F2090" t="s">
        <v>3672</v>
      </c>
      <c r="G2090" t="s">
        <v>37</v>
      </c>
      <c r="H2090">
        <v>2008</v>
      </c>
      <c r="I2090">
        <v>21.899999618530298</v>
      </c>
      <c r="J2090">
        <v>10.3999996185303</v>
      </c>
      <c r="K2090">
        <v>80</v>
      </c>
      <c r="L2090">
        <v>3.90238104926215</v>
      </c>
      <c r="M2090">
        <v>28.399999618530298</v>
      </c>
      <c r="N2090">
        <v>15.498412692357601</v>
      </c>
      <c r="O2090">
        <v>12.9015869261726</v>
      </c>
      <c r="P2090">
        <v>21.799999237060501</v>
      </c>
      <c r="Q2090">
        <v>21.5</v>
      </c>
      <c r="R2090">
        <v>22.299999237060501</v>
      </c>
      <c r="S2090">
        <v>21.5</v>
      </c>
      <c r="T2090">
        <v>987.90476190476204</v>
      </c>
      <c r="U2090">
        <v>167.968253968254</v>
      </c>
      <c r="V2090">
        <v>2</v>
      </c>
      <c r="W2090">
        <v>66</v>
      </c>
      <c r="X2090">
        <v>414.96825396825398</v>
      </c>
      <c r="Y2090">
        <v>19</v>
      </c>
      <c r="Z2090">
        <v>289.95238095238102</v>
      </c>
      <c r="AA2090">
        <v>19</v>
      </c>
      <c r="AB2090">
        <v>13.4067219190917</v>
      </c>
      <c r="AC2090">
        <v>1.0511949232975E-2</v>
      </c>
      <c r="AD2090">
        <v>2.5587479319732198</v>
      </c>
      <c r="AE2090">
        <v>0.44717280196134401</v>
      </c>
      <c r="AF2090">
        <v>1169.9153439153399</v>
      </c>
      <c r="AG2090">
        <f>IFERROR(AH2090*0.1, "N/A")</f>
        <v>6.2350970017636698</v>
      </c>
      <c r="AH2090">
        <v>62.350970017636698</v>
      </c>
      <c r="AI2090">
        <v>84.189588408831796</v>
      </c>
      <c r="AJ2090">
        <v>15.373897707231</v>
      </c>
      <c r="AK2090">
        <v>73.275132275132293</v>
      </c>
    </row>
    <row r="2091" spans="1:37" x14ac:dyDescent="0.3">
      <c r="A2091">
        <v>2090</v>
      </c>
      <c r="B2091">
        <v>50</v>
      </c>
      <c r="C2091">
        <v>34.741900999999999</v>
      </c>
      <c r="D2091">
        <v>-2.6983299999999999</v>
      </c>
      <c r="E2091" t="s">
        <v>3673</v>
      </c>
      <c r="F2091" t="s">
        <v>3674</v>
      </c>
      <c r="G2091" t="s">
        <v>39</v>
      </c>
      <c r="H2091">
        <v>2008</v>
      </c>
      <c r="I2091">
        <v>20.100000381469702</v>
      </c>
      <c r="J2091">
        <v>10.699999809265099</v>
      </c>
      <c r="K2091">
        <v>74</v>
      </c>
      <c r="L2091">
        <v>9.4800351684248501</v>
      </c>
      <c r="M2091">
        <v>27.012478079234398</v>
      </c>
      <c r="N2091">
        <v>12.699999809265099</v>
      </c>
      <c r="O2091">
        <v>14.312478150969399</v>
      </c>
      <c r="P2091">
        <v>20.799999237060501</v>
      </c>
      <c r="Q2091">
        <v>18.512478079234398</v>
      </c>
      <c r="R2091">
        <v>20.8875215392959</v>
      </c>
      <c r="S2091">
        <v>18.512478079234398</v>
      </c>
      <c r="T2091">
        <v>858.24956063268905</v>
      </c>
      <c r="U2091">
        <v>147.12478031634399</v>
      </c>
      <c r="V2091">
        <v>7</v>
      </c>
      <c r="W2091">
        <v>68</v>
      </c>
      <c r="X2091">
        <v>386.249560632689</v>
      </c>
      <c r="Y2091">
        <v>42</v>
      </c>
      <c r="Z2091">
        <v>357.12478031634402</v>
      </c>
      <c r="AA2091">
        <v>42</v>
      </c>
      <c r="AB2091">
        <v>6.3567439449692396</v>
      </c>
      <c r="AC2091">
        <v>2.7806573226616001E-2</v>
      </c>
      <c r="AD2091">
        <v>0.90344794133844997</v>
      </c>
      <c r="AE2091">
        <v>0.123659774661064</v>
      </c>
      <c r="AF2091">
        <v>1582.9367311072101</v>
      </c>
      <c r="AG2091">
        <f>IFERROR(AH2091*0.1, "N/A")</f>
        <v>6.1894551845342702</v>
      </c>
      <c r="AH2091">
        <v>61.894551845342697</v>
      </c>
      <c r="AI2091">
        <v>165.64898502638101</v>
      </c>
      <c r="AJ2091">
        <v>35.687170474516698</v>
      </c>
      <c r="AK2091">
        <v>41.005272407732903</v>
      </c>
    </row>
    <row r="2092" spans="1:37" x14ac:dyDescent="0.3">
      <c r="A2092">
        <v>2091</v>
      </c>
      <c r="B2092">
        <v>0</v>
      </c>
      <c r="C2092">
        <v>34.741900999999999</v>
      </c>
      <c r="D2092">
        <v>-2.6983299999999999</v>
      </c>
      <c r="E2092" t="s">
        <v>3673</v>
      </c>
      <c r="F2092" t="s">
        <v>3675</v>
      </c>
      <c r="G2092" t="s">
        <v>37</v>
      </c>
      <c r="H2092">
        <v>2008</v>
      </c>
      <c r="I2092">
        <v>20.100000381469702</v>
      </c>
      <c r="J2092">
        <v>10.699999809265099</v>
      </c>
      <c r="K2092">
        <v>74</v>
      </c>
      <c r="L2092">
        <v>9.4800351684248501</v>
      </c>
      <c r="M2092">
        <v>27.012478079234398</v>
      </c>
      <c r="N2092">
        <v>12.699999809265099</v>
      </c>
      <c r="O2092">
        <v>14.312478150969399</v>
      </c>
      <c r="P2092">
        <v>20.799999237060501</v>
      </c>
      <c r="Q2092">
        <v>18.512478079234398</v>
      </c>
      <c r="R2092">
        <v>20.8875215392959</v>
      </c>
      <c r="S2092">
        <v>18.512478079234398</v>
      </c>
      <c r="T2092">
        <v>858.24956063268905</v>
      </c>
      <c r="U2092">
        <v>147.12478031634399</v>
      </c>
      <c r="V2092">
        <v>7</v>
      </c>
      <c r="W2092">
        <v>68</v>
      </c>
      <c r="X2092">
        <v>386.249560632689</v>
      </c>
      <c r="Y2092">
        <v>42</v>
      </c>
      <c r="Z2092">
        <v>357.12478031634402</v>
      </c>
      <c r="AA2092">
        <v>42</v>
      </c>
      <c r="AB2092">
        <v>6.3567439449692396</v>
      </c>
      <c r="AC2092">
        <v>2.7806573226616001E-2</v>
      </c>
      <c r="AD2092">
        <v>0.90344794133844997</v>
      </c>
      <c r="AE2092">
        <v>0.123659774661064</v>
      </c>
      <c r="AF2092">
        <v>1582.9367311072101</v>
      </c>
      <c r="AG2092">
        <f>IFERROR(AH2092*0.1, "N/A")</f>
        <v>6.1894551845342702</v>
      </c>
      <c r="AH2092">
        <v>61.894551845342697</v>
      </c>
      <c r="AI2092">
        <v>165.64898502638101</v>
      </c>
      <c r="AJ2092">
        <v>35.687170474516698</v>
      </c>
      <c r="AK2092">
        <v>41.005272407732903</v>
      </c>
    </row>
    <row r="2093" spans="1:37" x14ac:dyDescent="0.3">
      <c r="A2093">
        <v>2092</v>
      </c>
      <c r="B2093">
        <v>0</v>
      </c>
      <c r="C2093">
        <v>33.016700999999998</v>
      </c>
      <c r="D2093">
        <v>-2.7166700000000001</v>
      </c>
      <c r="E2093" t="s">
        <v>3676</v>
      </c>
      <c r="F2093" t="s">
        <v>3677</v>
      </c>
      <c r="G2093" t="s">
        <v>39</v>
      </c>
      <c r="H2093">
        <v>2008</v>
      </c>
      <c r="I2093">
        <v>22.6210162234599</v>
      </c>
      <c r="J2093">
        <v>11.1000003814697</v>
      </c>
      <c r="K2093">
        <v>71</v>
      </c>
      <c r="L2093">
        <v>6.8157968095221602</v>
      </c>
      <c r="M2093">
        <v>30.299999237060501</v>
      </c>
      <c r="N2093">
        <v>14.800000190734901</v>
      </c>
      <c r="O2093">
        <v>15.5</v>
      </c>
      <c r="P2093">
        <v>22.5</v>
      </c>
      <c r="Q2093">
        <v>21.899999618530298</v>
      </c>
      <c r="R2093">
        <v>23.531348630968601</v>
      </c>
      <c r="S2093">
        <v>21.868650987561701</v>
      </c>
      <c r="T2093">
        <v>972.63572679509605</v>
      </c>
      <c r="U2093">
        <v>161</v>
      </c>
      <c r="V2093">
        <v>6</v>
      </c>
      <c r="W2093">
        <v>67.313485113835398</v>
      </c>
      <c r="X2093">
        <v>393.31523642731997</v>
      </c>
      <c r="Y2093">
        <v>27.161120840630499</v>
      </c>
      <c r="Z2093">
        <v>246.68476357268</v>
      </c>
      <c r="AA2093">
        <v>91.6847635726795</v>
      </c>
      <c r="AB2093">
        <v>2.1642557601795098</v>
      </c>
      <c r="AC2093">
        <v>3.4004219333051998E-2</v>
      </c>
      <c r="AD2093">
        <v>0.76499139229178204</v>
      </c>
      <c r="AE2093">
        <v>0.61541068553924605</v>
      </c>
      <c r="AF2093">
        <v>1215.4693520140099</v>
      </c>
      <c r="AG2093">
        <f>IFERROR(AH2093*0.1, "N/A")</f>
        <v>5.8014010507880904</v>
      </c>
      <c r="AH2093">
        <v>58.014010507880897</v>
      </c>
      <c r="AI2093">
        <v>0</v>
      </c>
      <c r="AJ2093">
        <v>21.050788091068299</v>
      </c>
      <c r="AK2093">
        <v>66.409807355516605</v>
      </c>
    </row>
    <row r="2094" spans="1:37" x14ac:dyDescent="0.3">
      <c r="A2094">
        <v>2093</v>
      </c>
      <c r="B2094">
        <v>33.330002</v>
      </c>
      <c r="C2094">
        <v>33.016700999999998</v>
      </c>
      <c r="D2094">
        <v>-2.7166700000000001</v>
      </c>
      <c r="E2094" t="s">
        <v>3676</v>
      </c>
      <c r="F2094" t="s">
        <v>3678</v>
      </c>
      <c r="G2094" t="s">
        <v>37</v>
      </c>
      <c r="H2094">
        <v>2008</v>
      </c>
      <c r="I2094">
        <v>22.6210162234599</v>
      </c>
      <c r="J2094">
        <v>11.1000003814697</v>
      </c>
      <c r="K2094">
        <v>71</v>
      </c>
      <c r="L2094">
        <v>6.8157968095221602</v>
      </c>
      <c r="M2094">
        <v>30.299999237060501</v>
      </c>
      <c r="N2094">
        <v>14.800000190734901</v>
      </c>
      <c r="O2094">
        <v>15.5</v>
      </c>
      <c r="P2094">
        <v>22.5</v>
      </c>
      <c r="Q2094">
        <v>21.899999618530298</v>
      </c>
      <c r="R2094">
        <v>23.531348630968601</v>
      </c>
      <c r="S2094">
        <v>21.868650987561701</v>
      </c>
      <c r="T2094">
        <v>972.63572679509605</v>
      </c>
      <c r="U2094">
        <v>161</v>
      </c>
      <c r="V2094">
        <v>6</v>
      </c>
      <c r="W2094">
        <v>67.313485113835398</v>
      </c>
      <c r="X2094">
        <v>393.31523642731997</v>
      </c>
      <c r="Y2094">
        <v>27.161120840630499</v>
      </c>
      <c r="Z2094">
        <v>246.68476357268</v>
      </c>
      <c r="AA2094">
        <v>91.6847635726795</v>
      </c>
      <c r="AB2094">
        <v>2.1642557601795098</v>
      </c>
      <c r="AC2094">
        <v>3.4004219333051998E-2</v>
      </c>
      <c r="AD2094">
        <v>0.76499139229178204</v>
      </c>
      <c r="AE2094">
        <v>0.61541068553924605</v>
      </c>
      <c r="AF2094">
        <v>1215.4693520140099</v>
      </c>
      <c r="AG2094">
        <f>IFERROR(AH2094*0.1, "N/A")</f>
        <v>5.8014010507880904</v>
      </c>
      <c r="AH2094">
        <v>58.014010507880897</v>
      </c>
      <c r="AI2094">
        <v>0</v>
      </c>
      <c r="AJ2094">
        <v>21.050788091068299</v>
      </c>
      <c r="AK2094">
        <v>66.409807355516605</v>
      </c>
    </row>
    <row r="2095" spans="1:37" x14ac:dyDescent="0.3">
      <c r="A2095">
        <v>2094</v>
      </c>
      <c r="B2095">
        <v>0</v>
      </c>
      <c r="C2095">
        <v>32.654201999999998</v>
      </c>
      <c r="D2095">
        <v>-2.7480600000000002</v>
      </c>
      <c r="E2095" t="s">
        <v>3679</v>
      </c>
      <c r="F2095" t="s">
        <v>3680</v>
      </c>
      <c r="G2095" t="s">
        <v>39</v>
      </c>
      <c r="H2095">
        <v>2008</v>
      </c>
      <c r="I2095">
        <v>22.399999618530298</v>
      </c>
      <c r="J2095">
        <v>10.699999809265099</v>
      </c>
      <c r="K2095">
        <v>73</v>
      </c>
      <c r="L2095">
        <v>5.7600002288818404</v>
      </c>
      <c r="M2095">
        <v>29.299999237060501</v>
      </c>
      <c r="N2095">
        <v>14.800000190734901</v>
      </c>
      <c r="O2095">
        <v>14.5</v>
      </c>
      <c r="P2095">
        <v>22.5</v>
      </c>
      <c r="Q2095">
        <v>21.700000762939499</v>
      </c>
      <c r="R2095">
        <v>23.100000381469702</v>
      </c>
      <c r="S2095">
        <v>21.700000762939499</v>
      </c>
      <c r="T2095">
        <v>1018</v>
      </c>
      <c r="U2095">
        <v>163</v>
      </c>
      <c r="V2095">
        <v>6</v>
      </c>
      <c r="W2095">
        <v>65</v>
      </c>
      <c r="X2095">
        <v>402</v>
      </c>
      <c r="Y2095">
        <v>30</v>
      </c>
      <c r="Z2095">
        <v>279</v>
      </c>
      <c r="AA2095">
        <v>30</v>
      </c>
      <c r="AB2095">
        <v>14.664768702547301</v>
      </c>
      <c r="AC2095">
        <v>2.5629724500516999E-2</v>
      </c>
      <c r="AD2095">
        <v>1.0347713257225499</v>
      </c>
      <c r="AE2095">
        <v>0.55900288541132304</v>
      </c>
      <c r="AF2095">
        <v>1193.5827464788699</v>
      </c>
      <c r="AG2095">
        <f>IFERROR(AH2095*0.1, "N/A")</f>
        <v>6.0867957746478902</v>
      </c>
      <c r="AH2095">
        <v>60.867957746478901</v>
      </c>
      <c r="AI2095">
        <v>251.6408573473</v>
      </c>
      <c r="AJ2095">
        <v>17.994718309859199</v>
      </c>
      <c r="AK2095">
        <v>67.137323943661997</v>
      </c>
    </row>
    <row r="2096" spans="1:37" x14ac:dyDescent="0.3">
      <c r="A2096">
        <v>2095</v>
      </c>
      <c r="B2096">
        <v>0</v>
      </c>
      <c r="C2096">
        <v>32.654201999999998</v>
      </c>
      <c r="D2096">
        <v>-2.7480600000000002</v>
      </c>
      <c r="E2096" t="s">
        <v>3679</v>
      </c>
      <c r="F2096" t="s">
        <v>3681</v>
      </c>
      <c r="G2096" t="s">
        <v>37</v>
      </c>
      <c r="H2096">
        <v>2008</v>
      </c>
      <c r="I2096">
        <v>22.399999618530298</v>
      </c>
      <c r="J2096">
        <v>10.699999809265099</v>
      </c>
      <c r="K2096">
        <v>73</v>
      </c>
      <c r="L2096">
        <v>5.7600002288818404</v>
      </c>
      <c r="M2096">
        <v>29.299999237060501</v>
      </c>
      <c r="N2096">
        <v>14.800000190734901</v>
      </c>
      <c r="O2096">
        <v>14.5</v>
      </c>
      <c r="P2096">
        <v>22.5</v>
      </c>
      <c r="Q2096">
        <v>21.700000762939499</v>
      </c>
      <c r="R2096">
        <v>23.100000381469702</v>
      </c>
      <c r="S2096">
        <v>21.700000762939499</v>
      </c>
      <c r="T2096">
        <v>1018</v>
      </c>
      <c r="U2096">
        <v>163</v>
      </c>
      <c r="V2096">
        <v>6</v>
      </c>
      <c r="W2096">
        <v>65</v>
      </c>
      <c r="X2096">
        <v>402</v>
      </c>
      <c r="Y2096">
        <v>30</v>
      </c>
      <c r="Z2096">
        <v>279</v>
      </c>
      <c r="AA2096">
        <v>30</v>
      </c>
      <c r="AB2096">
        <v>14.664768702547301</v>
      </c>
      <c r="AC2096">
        <v>2.5629724500516999E-2</v>
      </c>
      <c r="AD2096">
        <v>1.0347713257225499</v>
      </c>
      <c r="AE2096">
        <v>0.55900288541132304</v>
      </c>
      <c r="AF2096">
        <v>1193.5827464788699</v>
      </c>
      <c r="AG2096">
        <f>IFERROR(AH2096*0.1, "N/A")</f>
        <v>6.0867957746478902</v>
      </c>
      <c r="AH2096">
        <v>60.867957746478901</v>
      </c>
      <c r="AI2096">
        <v>251.6408573473</v>
      </c>
      <c r="AJ2096">
        <v>17.994718309859199</v>
      </c>
      <c r="AK2096">
        <v>67.137323943661997</v>
      </c>
    </row>
    <row r="2097" spans="1:37" x14ac:dyDescent="0.3">
      <c r="A2097">
        <v>2096</v>
      </c>
      <c r="B2097">
        <v>0</v>
      </c>
      <c r="C2097">
        <v>31.033300000000001</v>
      </c>
      <c r="D2097">
        <v>-2.75</v>
      </c>
      <c r="E2097" t="s">
        <v>3682</v>
      </c>
      <c r="F2097" t="s">
        <v>3683</v>
      </c>
      <c r="G2097" t="s">
        <v>39</v>
      </c>
      <c r="H2097">
        <v>2008</v>
      </c>
      <c r="I2097">
        <v>21.340245436281201</v>
      </c>
      <c r="J2097">
        <v>10.840246006139299</v>
      </c>
      <c r="K2097">
        <v>80.402460456941995</v>
      </c>
      <c r="L2097">
        <v>3.4276977113345</v>
      </c>
      <c r="M2097">
        <v>28.209666696290402</v>
      </c>
      <c r="N2097">
        <v>14.840246006139299</v>
      </c>
      <c r="O2097">
        <v>13.3694198286596</v>
      </c>
      <c r="P2097">
        <v>21.140246580690398</v>
      </c>
      <c r="Q2097">
        <v>21.140246580690398</v>
      </c>
      <c r="R2097">
        <v>21.7402461945277</v>
      </c>
      <c r="S2097">
        <v>21.091213001727201</v>
      </c>
      <c r="T2097">
        <v>934.59753954305802</v>
      </c>
      <c r="U2097">
        <v>164</v>
      </c>
      <c r="V2097">
        <v>1</v>
      </c>
      <c r="W2097">
        <v>67</v>
      </c>
      <c r="X2097">
        <v>401.59753954305802</v>
      </c>
      <c r="Y2097">
        <v>17</v>
      </c>
      <c r="Z2097">
        <v>120</v>
      </c>
      <c r="AA2097">
        <v>83</v>
      </c>
      <c r="AB2097">
        <v>1.99015220816399</v>
      </c>
      <c r="AC2097">
        <v>1.9890729419687401</v>
      </c>
      <c r="AD2097">
        <v>1.0918005884008</v>
      </c>
      <c r="AE2097">
        <v>0.38819849491119401</v>
      </c>
      <c r="AF2097">
        <v>1260.74165202109</v>
      </c>
      <c r="AG2097">
        <f>IFERROR(AH2097*0.1, "N/A")</f>
        <v>5.6024604569420005</v>
      </c>
      <c r="AH2097">
        <v>56.024604569419999</v>
      </c>
      <c r="AI2097">
        <v>86.517080692499107</v>
      </c>
      <c r="AJ2097">
        <v>32.597539543057998</v>
      </c>
      <c r="AK2097">
        <v>44.817223198594</v>
      </c>
    </row>
    <row r="2098" spans="1:37" x14ac:dyDescent="0.3">
      <c r="A2098">
        <v>2097</v>
      </c>
      <c r="B2098">
        <v>0</v>
      </c>
      <c r="C2098">
        <v>31.033300000000001</v>
      </c>
      <c r="D2098">
        <v>-2.75</v>
      </c>
      <c r="E2098" t="s">
        <v>3682</v>
      </c>
      <c r="F2098" t="s">
        <v>3684</v>
      </c>
      <c r="G2098" t="s">
        <v>37</v>
      </c>
      <c r="H2098">
        <v>2008</v>
      </c>
      <c r="I2098">
        <v>21.340245436281201</v>
      </c>
      <c r="J2098">
        <v>10.840246006139299</v>
      </c>
      <c r="K2098">
        <v>80.402460456941995</v>
      </c>
      <c r="L2098">
        <v>3.4276977113345</v>
      </c>
      <c r="M2098">
        <v>28.209666696290402</v>
      </c>
      <c r="N2098">
        <v>14.840246006139299</v>
      </c>
      <c r="O2098">
        <v>13.3694198286596</v>
      </c>
      <c r="P2098">
        <v>21.140246580690398</v>
      </c>
      <c r="Q2098">
        <v>21.140246580690398</v>
      </c>
      <c r="R2098">
        <v>21.7402461945277</v>
      </c>
      <c r="S2098">
        <v>21.091213001727201</v>
      </c>
      <c r="T2098">
        <v>934.59753954305802</v>
      </c>
      <c r="U2098">
        <v>164</v>
      </c>
      <c r="V2098">
        <v>1</v>
      </c>
      <c r="W2098">
        <v>67</v>
      </c>
      <c r="X2098">
        <v>401.59753954305802</v>
      </c>
      <c r="Y2098">
        <v>17</v>
      </c>
      <c r="Z2098">
        <v>120</v>
      </c>
      <c r="AA2098">
        <v>83</v>
      </c>
      <c r="AB2098">
        <v>1.99015220816399</v>
      </c>
      <c r="AC2098">
        <v>1.9890729419687401</v>
      </c>
      <c r="AD2098">
        <v>1.0918005884008</v>
      </c>
      <c r="AE2098">
        <v>0.38819849491119401</v>
      </c>
      <c r="AF2098">
        <v>1260.74165202109</v>
      </c>
      <c r="AG2098">
        <f>IFERROR(AH2098*0.1, "N/A")</f>
        <v>5.6024604569420005</v>
      </c>
      <c r="AH2098">
        <v>56.024604569419999</v>
      </c>
      <c r="AI2098">
        <v>86.517080692499107</v>
      </c>
      <c r="AJ2098">
        <v>32.597539543057998</v>
      </c>
      <c r="AK2098">
        <v>44.817223198594</v>
      </c>
    </row>
    <row r="2099" spans="1:37" x14ac:dyDescent="0.3">
      <c r="A2099">
        <v>2098</v>
      </c>
      <c r="B2099">
        <v>33.330002</v>
      </c>
      <c r="C2099">
        <v>34.116698999999997</v>
      </c>
      <c r="D2099">
        <v>-2.7833299999999999</v>
      </c>
      <c r="E2099" t="s">
        <v>3685</v>
      </c>
      <c r="F2099" t="s">
        <v>3686</v>
      </c>
      <c r="G2099" t="s">
        <v>39</v>
      </c>
      <c r="H2099">
        <v>2008</v>
      </c>
      <c r="I2099">
        <v>22.010544855690998</v>
      </c>
      <c r="J2099">
        <v>10.800000190734901</v>
      </c>
      <c r="K2099">
        <v>72.660808435852402</v>
      </c>
      <c r="L2099">
        <v>7.4255537534220997</v>
      </c>
      <c r="M2099">
        <v>29.344463378557599</v>
      </c>
      <c r="N2099">
        <v>14.676625602065201</v>
      </c>
      <c r="O2099">
        <v>14.667838629603599</v>
      </c>
      <c r="P2099">
        <v>22.310544092751599</v>
      </c>
      <c r="Q2099">
        <v>20.9105444742213</v>
      </c>
      <c r="R2099">
        <v>22.810544092751599</v>
      </c>
      <c r="S2099">
        <v>20.9105444742213</v>
      </c>
      <c r="T2099">
        <v>849.94024604569404</v>
      </c>
      <c r="U2099">
        <v>152.23374340948999</v>
      </c>
      <c r="V2099">
        <v>3</v>
      </c>
      <c r="W2099">
        <v>72.766256590509698</v>
      </c>
      <c r="X2099">
        <v>378.12829525483301</v>
      </c>
      <c r="Y2099">
        <v>22</v>
      </c>
      <c r="Z2099">
        <v>169.467486818981</v>
      </c>
      <c r="AA2099">
        <v>22</v>
      </c>
      <c r="AB2099">
        <v>10.6848893257771</v>
      </c>
      <c r="AC2099">
        <v>0.11217953335749099</v>
      </c>
      <c r="AD2099">
        <v>1.35312475261454</v>
      </c>
      <c r="AE2099">
        <v>0.58294657066542999</v>
      </c>
      <c r="AF2099">
        <v>1333.6379613356801</v>
      </c>
      <c r="AG2099">
        <f>IFERROR(AH2099*0.1, "N/A")</f>
        <v>7.0813708260105503</v>
      </c>
      <c r="AH2099">
        <v>70.8137082601055</v>
      </c>
      <c r="AI2099">
        <v>215.14941776322601</v>
      </c>
      <c r="AJ2099">
        <v>28.8137082601055</v>
      </c>
      <c r="AK2099">
        <v>50.261862917399</v>
      </c>
    </row>
    <row r="2100" spans="1:37" x14ac:dyDescent="0.3">
      <c r="A2100">
        <v>2099</v>
      </c>
      <c r="B2100">
        <v>0</v>
      </c>
      <c r="C2100">
        <v>34.116698999999997</v>
      </c>
      <c r="D2100">
        <v>-2.7833299999999999</v>
      </c>
      <c r="E2100" t="s">
        <v>3685</v>
      </c>
      <c r="F2100" t="s">
        <v>3687</v>
      </c>
      <c r="G2100" t="s">
        <v>37</v>
      </c>
      <c r="H2100">
        <v>2008</v>
      </c>
      <c r="I2100">
        <v>22.010544855690998</v>
      </c>
      <c r="J2100">
        <v>10.800000190734901</v>
      </c>
      <c r="K2100">
        <v>72.660808435852402</v>
      </c>
      <c r="L2100">
        <v>7.4255537534220997</v>
      </c>
      <c r="M2100">
        <v>29.344463378557599</v>
      </c>
      <c r="N2100">
        <v>14.676625602065201</v>
      </c>
      <c r="O2100">
        <v>14.667838629603599</v>
      </c>
      <c r="P2100">
        <v>22.310544092751599</v>
      </c>
      <c r="Q2100">
        <v>20.9105444742213</v>
      </c>
      <c r="R2100">
        <v>22.810544092751599</v>
      </c>
      <c r="S2100">
        <v>20.9105444742213</v>
      </c>
      <c r="T2100">
        <v>849.94024604569404</v>
      </c>
      <c r="U2100">
        <v>152.23374340948999</v>
      </c>
      <c r="V2100">
        <v>3</v>
      </c>
      <c r="W2100">
        <v>72.766256590509698</v>
      </c>
      <c r="X2100">
        <v>378.12829525483301</v>
      </c>
      <c r="Y2100">
        <v>22</v>
      </c>
      <c r="Z2100">
        <v>169.467486818981</v>
      </c>
      <c r="AA2100">
        <v>22</v>
      </c>
      <c r="AB2100">
        <v>10.6848893257771</v>
      </c>
      <c r="AC2100">
        <v>0.11217953335749099</v>
      </c>
      <c r="AD2100">
        <v>1.35312475261454</v>
      </c>
      <c r="AE2100">
        <v>0.58294657066542999</v>
      </c>
      <c r="AF2100">
        <v>1333.6379613356801</v>
      </c>
      <c r="AG2100">
        <f>IFERROR(AH2100*0.1, "N/A")</f>
        <v>7.0813708260105503</v>
      </c>
      <c r="AH2100">
        <v>70.8137082601055</v>
      </c>
      <c r="AI2100">
        <v>215.14941776322601</v>
      </c>
      <c r="AJ2100">
        <v>28.8137082601055</v>
      </c>
      <c r="AK2100">
        <v>50.261862917399</v>
      </c>
    </row>
    <row r="2101" spans="1:37" x14ac:dyDescent="0.3">
      <c r="A2101">
        <v>2100</v>
      </c>
      <c r="B2101">
        <v>100</v>
      </c>
      <c r="C2101">
        <v>33.416697999999997</v>
      </c>
      <c r="D2101">
        <v>-2.8</v>
      </c>
      <c r="E2101" t="s">
        <v>3688</v>
      </c>
      <c r="F2101" t="s">
        <v>3689</v>
      </c>
      <c r="G2101" t="s">
        <v>39</v>
      </c>
      <c r="H2101">
        <v>2008</v>
      </c>
      <c r="I2101">
        <v>22.540949189600099</v>
      </c>
      <c r="J2101">
        <v>10.8999996185303</v>
      </c>
      <c r="K2101">
        <v>71.892794376098394</v>
      </c>
      <c r="L2101">
        <v>6.8768891919476296</v>
      </c>
      <c r="M2101">
        <v>29.9852372020326</v>
      </c>
      <c r="N2101">
        <v>14.889279117483699</v>
      </c>
      <c r="O2101">
        <v>15.095958084548901</v>
      </c>
      <c r="P2101">
        <v>22.585237583502298</v>
      </c>
      <c r="Q2101">
        <v>21.6483309700535</v>
      </c>
      <c r="R2101">
        <v>23.4409488081304</v>
      </c>
      <c r="S2101">
        <v>21.6483309700535</v>
      </c>
      <c r="T2101">
        <v>881.11423550087898</v>
      </c>
      <c r="U2101">
        <v>163.04042179261899</v>
      </c>
      <c r="V2101">
        <v>2</v>
      </c>
      <c r="W2101">
        <v>73</v>
      </c>
      <c r="X2101">
        <v>392.67135325131801</v>
      </c>
      <c r="Y2101">
        <v>19</v>
      </c>
      <c r="Z2101">
        <v>197.29525483303999</v>
      </c>
      <c r="AA2101">
        <v>19</v>
      </c>
      <c r="AB2101">
        <v>10.351369633196899</v>
      </c>
      <c r="AC2101">
        <v>1.880128644996E-2</v>
      </c>
      <c r="AD2101">
        <v>0.94167821090963</v>
      </c>
      <c r="AE2101">
        <v>0.585618555545807</v>
      </c>
      <c r="AF2101">
        <v>1245.7381370825999</v>
      </c>
      <c r="AG2101">
        <f>IFERROR(AH2101*0.1, "N/A")</f>
        <v>6.5</v>
      </c>
      <c r="AH2101">
        <v>65</v>
      </c>
      <c r="AI2101">
        <v>108.65192166615</v>
      </c>
      <c r="AJ2101">
        <v>22.235500878734602</v>
      </c>
      <c r="AK2101">
        <v>66.019332161687203</v>
      </c>
    </row>
    <row r="2102" spans="1:37" x14ac:dyDescent="0.3">
      <c r="A2102">
        <v>2101</v>
      </c>
      <c r="B2102">
        <v>0</v>
      </c>
      <c r="C2102">
        <v>33.416697999999997</v>
      </c>
      <c r="D2102">
        <v>-2.8</v>
      </c>
      <c r="E2102" t="s">
        <v>3688</v>
      </c>
      <c r="F2102" t="s">
        <v>3690</v>
      </c>
      <c r="G2102" t="s">
        <v>37</v>
      </c>
      <c r="H2102">
        <v>2008</v>
      </c>
      <c r="I2102">
        <v>22.540949189600099</v>
      </c>
      <c r="J2102">
        <v>10.8999996185303</v>
      </c>
      <c r="K2102">
        <v>71.892794376098394</v>
      </c>
      <c r="L2102">
        <v>6.8768891919476296</v>
      </c>
      <c r="M2102">
        <v>29.9852372020326</v>
      </c>
      <c r="N2102">
        <v>14.889279117483699</v>
      </c>
      <c r="O2102">
        <v>15.095958084548901</v>
      </c>
      <c r="P2102">
        <v>22.585237583502298</v>
      </c>
      <c r="Q2102">
        <v>21.6483309700535</v>
      </c>
      <c r="R2102">
        <v>23.4409488081304</v>
      </c>
      <c r="S2102">
        <v>21.6483309700535</v>
      </c>
      <c r="T2102">
        <v>881.11423550087898</v>
      </c>
      <c r="U2102">
        <v>163.04042179261899</v>
      </c>
      <c r="V2102">
        <v>2</v>
      </c>
      <c r="W2102">
        <v>73</v>
      </c>
      <c r="X2102">
        <v>392.67135325131801</v>
      </c>
      <c r="Y2102">
        <v>19</v>
      </c>
      <c r="Z2102">
        <v>197.29525483303999</v>
      </c>
      <c r="AA2102">
        <v>19</v>
      </c>
      <c r="AB2102">
        <v>10.351369633196899</v>
      </c>
      <c r="AC2102">
        <v>1.880128644996E-2</v>
      </c>
      <c r="AD2102">
        <v>0.94167821090963</v>
      </c>
      <c r="AE2102">
        <v>0.585618555545807</v>
      </c>
      <c r="AF2102">
        <v>1245.7381370825999</v>
      </c>
      <c r="AG2102">
        <f>IFERROR(AH2102*0.1, "N/A")</f>
        <v>6.5</v>
      </c>
      <c r="AH2102">
        <v>65</v>
      </c>
      <c r="AI2102">
        <v>108.65192166615</v>
      </c>
      <c r="AJ2102">
        <v>22.235500878734602</v>
      </c>
      <c r="AK2102">
        <v>66.019332161687203</v>
      </c>
    </row>
    <row r="2103" spans="1:37" x14ac:dyDescent="0.3">
      <c r="A2103">
        <v>2102</v>
      </c>
      <c r="B2103">
        <v>0</v>
      </c>
      <c r="C2103">
        <v>33.983299000000002</v>
      </c>
      <c r="D2103">
        <v>-2.8</v>
      </c>
      <c r="E2103" t="s">
        <v>3691</v>
      </c>
      <c r="F2103" t="s">
        <v>3692</v>
      </c>
      <c r="G2103" t="s">
        <v>39</v>
      </c>
      <c r="H2103">
        <v>2008</v>
      </c>
      <c r="I2103">
        <v>22.330121943913099</v>
      </c>
      <c r="J2103">
        <v>10.800000190734901</v>
      </c>
      <c r="K2103">
        <v>72</v>
      </c>
      <c r="L2103">
        <v>7.5075482420244901</v>
      </c>
      <c r="M2103">
        <v>29.804728285861302</v>
      </c>
      <c r="N2103">
        <v>14.9511381673729</v>
      </c>
      <c r="O2103">
        <v>14.8535900767338</v>
      </c>
      <c r="P2103">
        <v>22.5856395561098</v>
      </c>
      <c r="Q2103">
        <v>21.2511383363954</v>
      </c>
      <c r="R2103">
        <v>23.200000762939499</v>
      </c>
      <c r="S2103">
        <v>21.2511383363954</v>
      </c>
      <c r="T2103">
        <v>843.20315236427302</v>
      </c>
      <c r="U2103">
        <v>158.50788091068301</v>
      </c>
      <c r="V2103">
        <v>2</v>
      </c>
      <c r="W2103">
        <v>73.488616462346798</v>
      </c>
      <c r="X2103">
        <v>376.25043782837099</v>
      </c>
      <c r="Y2103">
        <v>18</v>
      </c>
      <c r="Z2103">
        <v>169.25394045534199</v>
      </c>
      <c r="AA2103">
        <v>18</v>
      </c>
      <c r="AB2103">
        <v>6.0035036958871499</v>
      </c>
      <c r="AC2103">
        <v>4.9193654349644997E-2</v>
      </c>
      <c r="AD2103">
        <v>1.51722658682621</v>
      </c>
      <c r="AE2103">
        <v>0.64132875204086304</v>
      </c>
      <c r="AF2103">
        <v>1279.7618213660201</v>
      </c>
      <c r="AG2103">
        <f>IFERROR(AH2103*0.1, "N/A")</f>
        <v>6.6607705779334498</v>
      </c>
      <c r="AH2103">
        <v>66.607705779334495</v>
      </c>
      <c r="AI2103">
        <v>129.484403940926</v>
      </c>
      <c r="AJ2103">
        <v>27.071803852889701</v>
      </c>
      <c r="AK2103">
        <v>55.928196147110299</v>
      </c>
    </row>
    <row r="2104" spans="1:37" x14ac:dyDescent="0.3">
      <c r="A2104">
        <v>2103</v>
      </c>
      <c r="B2104">
        <v>0</v>
      </c>
      <c r="C2104">
        <v>33.983299000000002</v>
      </c>
      <c r="D2104">
        <v>-2.8</v>
      </c>
      <c r="E2104" t="s">
        <v>3691</v>
      </c>
      <c r="F2104" t="s">
        <v>3693</v>
      </c>
      <c r="G2104" t="s">
        <v>37</v>
      </c>
      <c r="H2104">
        <v>2008</v>
      </c>
      <c r="I2104">
        <v>22.330121943913099</v>
      </c>
      <c r="J2104">
        <v>10.800000190734901</v>
      </c>
      <c r="K2104">
        <v>72</v>
      </c>
      <c r="L2104">
        <v>7.5075482420244901</v>
      </c>
      <c r="M2104">
        <v>29.804728285861302</v>
      </c>
      <c r="N2104">
        <v>14.9511381673729</v>
      </c>
      <c r="O2104">
        <v>14.8535900767338</v>
      </c>
      <c r="P2104">
        <v>22.5856395561098</v>
      </c>
      <c r="Q2104">
        <v>21.2511383363954</v>
      </c>
      <c r="R2104">
        <v>23.200000762939499</v>
      </c>
      <c r="S2104">
        <v>21.2511383363954</v>
      </c>
      <c r="T2104">
        <v>843.20315236427302</v>
      </c>
      <c r="U2104">
        <v>158.50788091068301</v>
      </c>
      <c r="V2104">
        <v>2</v>
      </c>
      <c r="W2104">
        <v>73.488616462346798</v>
      </c>
      <c r="X2104">
        <v>376.25043782837099</v>
      </c>
      <c r="Y2104">
        <v>18</v>
      </c>
      <c r="Z2104">
        <v>169.25394045534199</v>
      </c>
      <c r="AA2104">
        <v>18</v>
      </c>
      <c r="AB2104">
        <v>6.0035036958871499</v>
      </c>
      <c r="AC2104">
        <v>4.9193654349644997E-2</v>
      </c>
      <c r="AD2104">
        <v>1.51722658682621</v>
      </c>
      <c r="AE2104">
        <v>0.64132875204086304</v>
      </c>
      <c r="AF2104">
        <v>1279.7618213660201</v>
      </c>
      <c r="AG2104">
        <f>IFERROR(AH2104*0.1, "N/A")</f>
        <v>6.6607705779334498</v>
      </c>
      <c r="AH2104">
        <v>66.607705779334495</v>
      </c>
      <c r="AI2104">
        <v>129.484403940926</v>
      </c>
      <c r="AJ2104">
        <v>27.071803852889701</v>
      </c>
      <c r="AK2104">
        <v>55.928196147110299</v>
      </c>
    </row>
    <row r="2105" spans="1:37" x14ac:dyDescent="0.3">
      <c r="A2105">
        <v>2104</v>
      </c>
      <c r="B2105">
        <v>66.669998000000007</v>
      </c>
      <c r="C2105">
        <v>33.414299</v>
      </c>
      <c r="D2105">
        <v>-2.8081999999999998</v>
      </c>
      <c r="E2105" t="s">
        <v>3694</v>
      </c>
      <c r="F2105" t="s">
        <v>3695</v>
      </c>
      <c r="G2105" t="s">
        <v>39</v>
      </c>
      <c r="H2105">
        <v>2008</v>
      </c>
      <c r="I2105">
        <v>22.5</v>
      </c>
      <c r="J2105">
        <v>10.8999996185303</v>
      </c>
      <c r="K2105">
        <v>71</v>
      </c>
      <c r="L2105">
        <v>7.0862631847983897</v>
      </c>
      <c r="M2105">
        <v>30</v>
      </c>
      <c r="N2105">
        <v>14.800000190734901</v>
      </c>
      <c r="O2105">
        <v>15.199999809265099</v>
      </c>
      <c r="P2105">
        <v>22.600000381469702</v>
      </c>
      <c r="Q2105">
        <v>21.600000381469702</v>
      </c>
      <c r="R2105">
        <v>23.399999618530298</v>
      </c>
      <c r="S2105">
        <v>21.600000381469702</v>
      </c>
      <c r="T2105">
        <v>877.37368421052599</v>
      </c>
      <c r="U2105">
        <v>161.45789473684201</v>
      </c>
      <c r="V2105">
        <v>2</v>
      </c>
      <c r="W2105">
        <v>72.457894736842107</v>
      </c>
      <c r="X2105">
        <v>390.45789473684198</v>
      </c>
      <c r="Y2105">
        <v>19</v>
      </c>
      <c r="Z2105">
        <v>196.45789473684201</v>
      </c>
      <c r="AA2105">
        <v>19</v>
      </c>
      <c r="AB2105">
        <v>15.824375299821799</v>
      </c>
      <c r="AC2105">
        <v>8.8373717606849995E-3</v>
      </c>
      <c r="AD2105">
        <v>2.0982760065480299</v>
      </c>
      <c r="AE2105">
        <v>0.64009380717026598</v>
      </c>
      <c r="AF2105">
        <v>1249.82807017544</v>
      </c>
      <c r="AG2105">
        <f>IFERROR(AH2105*0.1, "N/A")</f>
        <v>6.2678947368421003</v>
      </c>
      <c r="AH2105">
        <v>62.678947368420999</v>
      </c>
      <c r="AI2105">
        <v>127.634929656982</v>
      </c>
      <c r="AJ2105">
        <v>20</v>
      </c>
      <c r="AK2105">
        <v>69.226315789473702</v>
      </c>
    </row>
    <row r="2106" spans="1:37" x14ac:dyDescent="0.3">
      <c r="A2106">
        <v>2105</v>
      </c>
      <c r="B2106">
        <v>0</v>
      </c>
      <c r="C2106">
        <v>33.414299</v>
      </c>
      <c r="D2106">
        <v>-2.8081999999999998</v>
      </c>
      <c r="E2106" t="s">
        <v>3694</v>
      </c>
      <c r="F2106" t="s">
        <v>3696</v>
      </c>
      <c r="G2106" t="s">
        <v>37</v>
      </c>
      <c r="H2106">
        <v>2008</v>
      </c>
      <c r="I2106">
        <v>22.5</v>
      </c>
      <c r="J2106">
        <v>10.8999996185303</v>
      </c>
      <c r="K2106">
        <v>71</v>
      </c>
      <c r="L2106">
        <v>7.0862631847983897</v>
      </c>
      <c r="M2106">
        <v>30</v>
      </c>
      <c r="N2106">
        <v>14.800000190734901</v>
      </c>
      <c r="O2106">
        <v>15.199999809265099</v>
      </c>
      <c r="P2106">
        <v>22.600000381469702</v>
      </c>
      <c r="Q2106">
        <v>21.600000381469702</v>
      </c>
      <c r="R2106">
        <v>23.399999618530298</v>
      </c>
      <c r="S2106">
        <v>21.600000381469702</v>
      </c>
      <c r="T2106">
        <v>877.37368421052599</v>
      </c>
      <c r="U2106">
        <v>161.45789473684201</v>
      </c>
      <c r="V2106">
        <v>2</v>
      </c>
      <c r="W2106">
        <v>72.457894736842107</v>
      </c>
      <c r="X2106">
        <v>390.45789473684198</v>
      </c>
      <c r="Y2106">
        <v>19</v>
      </c>
      <c r="Z2106">
        <v>196.45789473684201</v>
      </c>
      <c r="AA2106">
        <v>19</v>
      </c>
      <c r="AB2106">
        <v>15.824375299821799</v>
      </c>
      <c r="AC2106">
        <v>8.8373717606849995E-3</v>
      </c>
      <c r="AD2106">
        <v>2.0982760065480299</v>
      </c>
      <c r="AE2106">
        <v>0.64009380717026598</v>
      </c>
      <c r="AF2106">
        <v>1249.82807017544</v>
      </c>
      <c r="AG2106">
        <f>IFERROR(AH2106*0.1, "N/A")</f>
        <v>6.2678947368421003</v>
      </c>
      <c r="AH2106">
        <v>62.678947368420999</v>
      </c>
      <c r="AI2106">
        <v>127.634929656982</v>
      </c>
      <c r="AJ2106">
        <v>20</v>
      </c>
      <c r="AK2106">
        <v>69.226315789473702</v>
      </c>
    </row>
    <row r="2107" spans="1:37" x14ac:dyDescent="0.3">
      <c r="A2107">
        <v>2106</v>
      </c>
      <c r="B2107">
        <v>100</v>
      </c>
      <c r="C2107">
        <v>33.643101000000001</v>
      </c>
      <c r="D2107">
        <v>-2.8394400000000002</v>
      </c>
      <c r="E2107" t="s">
        <v>3697</v>
      </c>
      <c r="F2107" t="s">
        <v>3698</v>
      </c>
      <c r="G2107" t="s">
        <v>39</v>
      </c>
      <c r="H2107">
        <v>2008</v>
      </c>
      <c r="I2107">
        <v>22.700000762939499</v>
      </c>
      <c r="J2107">
        <v>10.800000190734901</v>
      </c>
      <c r="K2107">
        <v>72</v>
      </c>
      <c r="L2107">
        <v>7.0999999046325701</v>
      </c>
      <c r="M2107">
        <v>30.200000762939499</v>
      </c>
      <c r="N2107">
        <v>15.199999809265099</v>
      </c>
      <c r="O2107">
        <v>15</v>
      </c>
      <c r="P2107">
        <v>22.799999237060501</v>
      </c>
      <c r="Q2107">
        <v>21.799999237060501</v>
      </c>
      <c r="R2107">
        <v>23.600000381469702</v>
      </c>
      <c r="S2107">
        <v>21.799999237060501</v>
      </c>
      <c r="T2107">
        <v>874</v>
      </c>
      <c r="U2107">
        <v>170</v>
      </c>
      <c r="V2107">
        <v>1</v>
      </c>
      <c r="W2107">
        <v>76</v>
      </c>
      <c r="X2107">
        <v>408</v>
      </c>
      <c r="Y2107">
        <v>17</v>
      </c>
      <c r="Z2107">
        <v>183</v>
      </c>
      <c r="AA2107">
        <v>17</v>
      </c>
      <c r="AB2107">
        <v>12.821777987354499</v>
      </c>
      <c r="AC2107">
        <v>1.7540280888862E-2</v>
      </c>
      <c r="AD2107">
        <v>1.2068603413804799</v>
      </c>
      <c r="AE2107">
        <v>0.66496604681015004</v>
      </c>
      <c r="AF2107">
        <v>1221.93321616872</v>
      </c>
      <c r="AG2107">
        <f>IFERROR(AH2107*0.1, "N/A")</f>
        <v>6.6000000000000005</v>
      </c>
      <c r="AH2107">
        <v>66</v>
      </c>
      <c r="AI2107">
        <v>18.679094160378298</v>
      </c>
      <c r="AJ2107">
        <v>26.1019332161687</v>
      </c>
      <c r="AK2107">
        <v>58.024604569419999</v>
      </c>
    </row>
    <row r="2108" spans="1:37" x14ac:dyDescent="0.3">
      <c r="A2108">
        <v>2107</v>
      </c>
      <c r="B2108">
        <v>0</v>
      </c>
      <c r="C2108">
        <v>33.643101000000001</v>
      </c>
      <c r="D2108">
        <v>-2.8394400000000002</v>
      </c>
      <c r="E2108" t="s">
        <v>3697</v>
      </c>
      <c r="F2108" t="s">
        <v>3699</v>
      </c>
      <c r="G2108" t="s">
        <v>37</v>
      </c>
      <c r="H2108">
        <v>2008</v>
      </c>
      <c r="I2108">
        <v>22.700000762939499</v>
      </c>
      <c r="J2108">
        <v>10.800000190734901</v>
      </c>
      <c r="K2108">
        <v>72</v>
      </c>
      <c r="L2108">
        <v>7.0999999046325701</v>
      </c>
      <c r="M2108">
        <v>30.200000762939499</v>
      </c>
      <c r="N2108">
        <v>15.199999809265099</v>
      </c>
      <c r="O2108">
        <v>15</v>
      </c>
      <c r="P2108">
        <v>22.799999237060501</v>
      </c>
      <c r="Q2108">
        <v>21.799999237060501</v>
      </c>
      <c r="R2108">
        <v>23.600000381469702</v>
      </c>
      <c r="S2108">
        <v>21.799999237060501</v>
      </c>
      <c r="T2108">
        <v>874</v>
      </c>
      <c r="U2108">
        <v>170</v>
      </c>
      <c r="V2108">
        <v>1</v>
      </c>
      <c r="W2108">
        <v>76</v>
      </c>
      <c r="X2108">
        <v>408</v>
      </c>
      <c r="Y2108">
        <v>17</v>
      </c>
      <c r="Z2108">
        <v>183</v>
      </c>
      <c r="AA2108">
        <v>17</v>
      </c>
      <c r="AB2108">
        <v>12.821777987354499</v>
      </c>
      <c r="AC2108">
        <v>1.7540280888862E-2</v>
      </c>
      <c r="AD2108">
        <v>1.2068603413804799</v>
      </c>
      <c r="AE2108">
        <v>0.66496604681015004</v>
      </c>
      <c r="AF2108">
        <v>1221.93321616872</v>
      </c>
      <c r="AG2108">
        <f>IFERROR(AH2108*0.1, "N/A")</f>
        <v>6.6000000000000005</v>
      </c>
      <c r="AH2108">
        <v>66</v>
      </c>
      <c r="AI2108">
        <v>18.679094160378298</v>
      </c>
      <c r="AJ2108">
        <v>26.1019332161687</v>
      </c>
      <c r="AK2108">
        <v>58.024604569419999</v>
      </c>
    </row>
    <row r="2109" spans="1:37" x14ac:dyDescent="0.3">
      <c r="A2109">
        <v>2108</v>
      </c>
      <c r="B2109">
        <v>16.670000000000002</v>
      </c>
      <c r="C2109">
        <v>31.459399999999999</v>
      </c>
      <c r="D2109">
        <v>-2.8433299999999999</v>
      </c>
      <c r="E2109" t="s">
        <v>3700</v>
      </c>
      <c r="F2109" t="s">
        <v>3701</v>
      </c>
      <c r="G2109" t="s">
        <v>39</v>
      </c>
      <c r="H2109">
        <v>2008</v>
      </c>
      <c r="I2109">
        <v>20.899999618530298</v>
      </c>
      <c r="J2109">
        <v>10.5</v>
      </c>
      <c r="K2109">
        <v>77</v>
      </c>
      <c r="L2109">
        <v>4.6999998092651403</v>
      </c>
      <c r="M2109">
        <v>27.600000381469702</v>
      </c>
      <c r="N2109">
        <v>14.1000003814697</v>
      </c>
      <c r="O2109">
        <v>13.5</v>
      </c>
      <c r="P2109">
        <v>20.600000381469702</v>
      </c>
      <c r="Q2109">
        <v>20.5</v>
      </c>
      <c r="R2109">
        <v>21.299999237060501</v>
      </c>
      <c r="S2109">
        <v>20.5</v>
      </c>
      <c r="T2109">
        <v>981</v>
      </c>
      <c r="U2109">
        <v>175</v>
      </c>
      <c r="V2109">
        <v>2</v>
      </c>
      <c r="W2109">
        <v>67</v>
      </c>
      <c r="X2109">
        <v>425</v>
      </c>
      <c r="Y2109">
        <v>19</v>
      </c>
      <c r="Z2109">
        <v>248</v>
      </c>
      <c r="AA2109">
        <v>19</v>
      </c>
      <c r="AB2109">
        <v>64.939478869178402</v>
      </c>
      <c r="AC2109">
        <v>2.1801513456043999E-2</v>
      </c>
      <c r="AD2109">
        <v>3.55898417865036</v>
      </c>
      <c r="AE2109">
        <v>0.64304534066959496</v>
      </c>
      <c r="AF2109">
        <v>1373.88927943761</v>
      </c>
      <c r="AG2109">
        <f>IFERROR(AH2109*0.1, "N/A")</f>
        <v>5.9</v>
      </c>
      <c r="AH2109">
        <v>59</v>
      </c>
      <c r="AI2109">
        <v>194.71258620009101</v>
      </c>
      <c r="AJ2109">
        <v>25</v>
      </c>
      <c r="AK2109">
        <v>55</v>
      </c>
    </row>
    <row r="2110" spans="1:37" x14ac:dyDescent="0.3">
      <c r="A2110">
        <v>2109</v>
      </c>
      <c r="B2110">
        <v>0</v>
      </c>
      <c r="C2110">
        <v>31.459399999999999</v>
      </c>
      <c r="D2110">
        <v>-2.8433299999999999</v>
      </c>
      <c r="E2110" t="s">
        <v>3700</v>
      </c>
      <c r="F2110" t="s">
        <v>3702</v>
      </c>
      <c r="G2110" t="s">
        <v>37</v>
      </c>
      <c r="H2110">
        <v>2008</v>
      </c>
      <c r="I2110">
        <v>20.899999618530298</v>
      </c>
      <c r="J2110">
        <v>10.5</v>
      </c>
      <c r="K2110">
        <v>77</v>
      </c>
      <c r="L2110">
        <v>4.6999998092651403</v>
      </c>
      <c r="M2110">
        <v>27.600000381469702</v>
      </c>
      <c r="N2110">
        <v>14.1000003814697</v>
      </c>
      <c r="O2110">
        <v>13.5</v>
      </c>
      <c r="P2110">
        <v>20.600000381469702</v>
      </c>
      <c r="Q2110">
        <v>20.5</v>
      </c>
      <c r="R2110">
        <v>21.299999237060501</v>
      </c>
      <c r="S2110">
        <v>20.5</v>
      </c>
      <c r="T2110">
        <v>981</v>
      </c>
      <c r="U2110">
        <v>175</v>
      </c>
      <c r="V2110">
        <v>2</v>
      </c>
      <c r="W2110">
        <v>67</v>
      </c>
      <c r="X2110">
        <v>425</v>
      </c>
      <c r="Y2110">
        <v>19</v>
      </c>
      <c r="Z2110">
        <v>248</v>
      </c>
      <c r="AA2110">
        <v>19</v>
      </c>
      <c r="AB2110">
        <v>64.939478869178402</v>
      </c>
      <c r="AC2110">
        <v>2.1801513456043999E-2</v>
      </c>
      <c r="AD2110">
        <v>3.55898417865036</v>
      </c>
      <c r="AE2110">
        <v>0.64304534066959496</v>
      </c>
      <c r="AF2110">
        <v>1373.88927943761</v>
      </c>
      <c r="AG2110">
        <f>IFERROR(AH2110*0.1, "N/A")</f>
        <v>5.9</v>
      </c>
      <c r="AH2110">
        <v>59</v>
      </c>
      <c r="AI2110">
        <v>194.71258620009101</v>
      </c>
      <c r="AJ2110">
        <v>25</v>
      </c>
      <c r="AK2110">
        <v>55</v>
      </c>
    </row>
    <row r="2111" spans="1:37" x14ac:dyDescent="0.3">
      <c r="A2111">
        <v>2110</v>
      </c>
      <c r="B2111">
        <v>0</v>
      </c>
      <c r="C2111">
        <v>33.128898999999997</v>
      </c>
      <c r="D2111">
        <v>-2.89778</v>
      </c>
      <c r="E2111" t="s">
        <v>3703</v>
      </c>
      <c r="F2111" t="s">
        <v>3704</v>
      </c>
      <c r="G2111" t="s">
        <v>39</v>
      </c>
      <c r="H2111">
        <v>2008</v>
      </c>
      <c r="I2111">
        <v>23.100000381469702</v>
      </c>
      <c r="J2111">
        <v>11.1000003814697</v>
      </c>
      <c r="K2111">
        <v>71</v>
      </c>
      <c r="L2111">
        <v>7.0799999237060502</v>
      </c>
      <c r="M2111">
        <v>30.899999618530298</v>
      </c>
      <c r="N2111">
        <v>15.300000190734901</v>
      </c>
      <c r="O2111">
        <v>15.6000003814697</v>
      </c>
      <c r="P2111">
        <v>23.100000381469702</v>
      </c>
      <c r="Q2111">
        <v>22.299999237060501</v>
      </c>
      <c r="R2111">
        <v>24.100000381469702</v>
      </c>
      <c r="S2111">
        <v>22.299999237060501</v>
      </c>
      <c r="T2111">
        <v>870</v>
      </c>
      <c r="U2111">
        <v>143</v>
      </c>
      <c r="V2111">
        <v>3</v>
      </c>
      <c r="W2111">
        <v>71</v>
      </c>
      <c r="X2111">
        <v>364</v>
      </c>
      <c r="Y2111">
        <v>19</v>
      </c>
      <c r="Z2111">
        <v>202</v>
      </c>
      <c r="AA2111">
        <v>76</v>
      </c>
      <c r="AB2111">
        <v>0.49861632229989</v>
      </c>
      <c r="AC2111">
        <v>2.6959471932302002E-2</v>
      </c>
      <c r="AD2111">
        <v>0.71233887996589995</v>
      </c>
      <c r="AE2111">
        <v>0.58176857233047496</v>
      </c>
      <c r="AF2111">
        <v>1146.9912280701801</v>
      </c>
      <c r="AG2111">
        <f>IFERROR(AH2111*0.1, "N/A")</f>
        <v>6.6064912280701806</v>
      </c>
      <c r="AH2111">
        <v>66.064912280701805</v>
      </c>
      <c r="AI2111">
        <v>97.095451528984199</v>
      </c>
      <c r="AJ2111">
        <v>27.7842105263158</v>
      </c>
      <c r="AK2111">
        <v>58.659649122806997</v>
      </c>
    </row>
    <row r="2112" spans="1:37" x14ac:dyDescent="0.3">
      <c r="A2112">
        <v>2111</v>
      </c>
      <c r="B2112">
        <v>0</v>
      </c>
      <c r="C2112">
        <v>33.128898999999997</v>
      </c>
      <c r="D2112">
        <v>-2.89778</v>
      </c>
      <c r="E2112" t="s">
        <v>3703</v>
      </c>
      <c r="F2112" t="s">
        <v>3705</v>
      </c>
      <c r="G2112" t="s">
        <v>37</v>
      </c>
      <c r="H2112">
        <v>2008</v>
      </c>
      <c r="I2112">
        <v>23.100000381469702</v>
      </c>
      <c r="J2112">
        <v>11.1000003814697</v>
      </c>
      <c r="K2112">
        <v>71</v>
      </c>
      <c r="L2112">
        <v>7.0799999237060502</v>
      </c>
      <c r="M2112">
        <v>30.899999618530298</v>
      </c>
      <c r="N2112">
        <v>15.300000190734901</v>
      </c>
      <c r="O2112">
        <v>15.6000003814697</v>
      </c>
      <c r="P2112">
        <v>23.100000381469702</v>
      </c>
      <c r="Q2112">
        <v>22.299999237060501</v>
      </c>
      <c r="R2112">
        <v>24.100000381469702</v>
      </c>
      <c r="S2112">
        <v>22.299999237060501</v>
      </c>
      <c r="T2112">
        <v>870</v>
      </c>
      <c r="U2112">
        <v>143</v>
      </c>
      <c r="V2112">
        <v>3</v>
      </c>
      <c r="W2112">
        <v>71</v>
      </c>
      <c r="X2112">
        <v>364</v>
      </c>
      <c r="Y2112">
        <v>19</v>
      </c>
      <c r="Z2112">
        <v>202</v>
      </c>
      <c r="AA2112">
        <v>76</v>
      </c>
      <c r="AB2112">
        <v>0.49861632229989</v>
      </c>
      <c r="AC2112">
        <v>2.6959471932302002E-2</v>
      </c>
      <c r="AD2112">
        <v>0.71233887996589995</v>
      </c>
      <c r="AE2112">
        <v>0.58176857233047496</v>
      </c>
      <c r="AF2112">
        <v>1146.9912280701801</v>
      </c>
      <c r="AG2112">
        <f>IFERROR(AH2112*0.1, "N/A")</f>
        <v>6.6064912280701806</v>
      </c>
      <c r="AH2112">
        <v>66.064912280701805</v>
      </c>
      <c r="AI2112">
        <v>97.095451528984199</v>
      </c>
      <c r="AJ2112">
        <v>27.7842105263158</v>
      </c>
      <c r="AK2112">
        <v>58.659649122806997</v>
      </c>
    </row>
    <row r="2113" spans="1:37" x14ac:dyDescent="0.3">
      <c r="A2113">
        <v>2112</v>
      </c>
      <c r="B2113">
        <v>100</v>
      </c>
      <c r="C2113">
        <v>32.664397999999998</v>
      </c>
      <c r="D2113">
        <v>-3.03139</v>
      </c>
      <c r="E2113" t="s">
        <v>3706</v>
      </c>
      <c r="F2113" t="s">
        <v>3707</v>
      </c>
      <c r="G2113" t="s">
        <v>39</v>
      </c>
      <c r="H2113">
        <v>2008</v>
      </c>
      <c r="I2113">
        <v>22.799999237060501</v>
      </c>
      <c r="J2113">
        <v>11</v>
      </c>
      <c r="K2113">
        <v>72</v>
      </c>
      <c r="L2113">
        <v>6.8699998855590803</v>
      </c>
      <c r="M2113">
        <v>30.200000762939499</v>
      </c>
      <c r="N2113">
        <v>15</v>
      </c>
      <c r="O2113">
        <v>15.199999809265099</v>
      </c>
      <c r="P2113">
        <v>22.799999237060501</v>
      </c>
      <c r="Q2113">
        <v>22</v>
      </c>
      <c r="R2113">
        <v>23.700000762939499</v>
      </c>
      <c r="S2113">
        <v>22</v>
      </c>
      <c r="T2113">
        <v>936</v>
      </c>
      <c r="U2113">
        <v>145</v>
      </c>
      <c r="V2113">
        <v>3</v>
      </c>
      <c r="W2113">
        <v>68</v>
      </c>
      <c r="X2113">
        <v>382</v>
      </c>
      <c r="Y2113">
        <v>18</v>
      </c>
      <c r="Z2113">
        <v>235</v>
      </c>
      <c r="AA2113">
        <v>18</v>
      </c>
      <c r="AB2113">
        <v>37.716115941481803</v>
      </c>
      <c r="AC2113">
        <v>4.1735454442827002E-2</v>
      </c>
      <c r="AD2113">
        <v>3.49331152041055</v>
      </c>
      <c r="AE2113">
        <v>0.31379595398902899</v>
      </c>
      <c r="AF2113">
        <v>1197.2460456941999</v>
      </c>
      <c r="AG2113">
        <f>IFERROR(AH2113*0.1, "N/A")</f>
        <v>5.8806678383128306</v>
      </c>
      <c r="AH2113">
        <v>58.8066783831283</v>
      </c>
      <c r="AI2113">
        <v>58.300325819394303</v>
      </c>
      <c r="AJ2113">
        <v>19.2776801405975</v>
      </c>
      <c r="AK2113">
        <v>66.101933216168703</v>
      </c>
    </row>
    <row r="2114" spans="1:37" x14ac:dyDescent="0.3">
      <c r="A2114">
        <v>2113</v>
      </c>
      <c r="B2114">
        <v>0</v>
      </c>
      <c r="C2114">
        <v>32.664397999999998</v>
      </c>
      <c r="D2114">
        <v>-3.03139</v>
      </c>
      <c r="E2114" t="s">
        <v>3706</v>
      </c>
      <c r="F2114" t="s">
        <v>3708</v>
      </c>
      <c r="G2114" t="s">
        <v>37</v>
      </c>
      <c r="H2114">
        <v>2008</v>
      </c>
      <c r="I2114">
        <v>22.799999237060501</v>
      </c>
      <c r="J2114">
        <v>11</v>
      </c>
      <c r="K2114">
        <v>72</v>
      </c>
      <c r="L2114">
        <v>6.8699998855590803</v>
      </c>
      <c r="M2114">
        <v>30.200000762939499</v>
      </c>
      <c r="N2114">
        <v>15</v>
      </c>
      <c r="O2114">
        <v>15.199999809265099</v>
      </c>
      <c r="P2114">
        <v>22.799999237060501</v>
      </c>
      <c r="Q2114">
        <v>22</v>
      </c>
      <c r="R2114">
        <v>23.700000762939499</v>
      </c>
      <c r="S2114">
        <v>22</v>
      </c>
      <c r="T2114">
        <v>936</v>
      </c>
      <c r="U2114">
        <v>145</v>
      </c>
      <c r="V2114">
        <v>3</v>
      </c>
      <c r="W2114">
        <v>68</v>
      </c>
      <c r="X2114">
        <v>382</v>
      </c>
      <c r="Y2114">
        <v>18</v>
      </c>
      <c r="Z2114">
        <v>235</v>
      </c>
      <c r="AA2114">
        <v>18</v>
      </c>
      <c r="AB2114">
        <v>37.716115941481803</v>
      </c>
      <c r="AC2114">
        <v>4.1735454442827002E-2</v>
      </c>
      <c r="AD2114">
        <v>3.49331152041055</v>
      </c>
      <c r="AE2114">
        <v>0.31379595398902899</v>
      </c>
      <c r="AF2114">
        <v>1197.2460456941999</v>
      </c>
      <c r="AG2114">
        <f>IFERROR(AH2114*0.1, "N/A")</f>
        <v>5.8806678383128306</v>
      </c>
      <c r="AH2114">
        <v>58.8066783831283</v>
      </c>
      <c r="AI2114">
        <v>58.300325819394303</v>
      </c>
      <c r="AJ2114">
        <v>19.2776801405975</v>
      </c>
      <c r="AK2114">
        <v>66.101933216168703</v>
      </c>
    </row>
    <row r="2115" spans="1:37" x14ac:dyDescent="0.3">
      <c r="A2115">
        <v>2114</v>
      </c>
      <c r="B2115">
        <v>0</v>
      </c>
      <c r="C2115">
        <v>32.540798000000002</v>
      </c>
      <c r="D2115">
        <v>-3.0325000000000002</v>
      </c>
      <c r="E2115" t="s">
        <v>3709</v>
      </c>
      <c r="F2115" t="s">
        <v>3710</v>
      </c>
      <c r="G2115" t="s">
        <v>39</v>
      </c>
      <c r="H2115">
        <v>2008</v>
      </c>
      <c r="I2115">
        <v>22.600000381469702</v>
      </c>
      <c r="J2115">
        <v>11</v>
      </c>
      <c r="K2115">
        <v>73</v>
      </c>
      <c r="L2115">
        <v>6.4188577169274197</v>
      </c>
      <c r="M2115">
        <v>29.799999237060501</v>
      </c>
      <c r="N2115">
        <v>14.800000190734901</v>
      </c>
      <c r="O2115">
        <v>15</v>
      </c>
      <c r="P2115">
        <v>22.5</v>
      </c>
      <c r="Q2115">
        <v>21.799999237060501</v>
      </c>
      <c r="R2115">
        <v>23.399999618530298</v>
      </c>
      <c r="S2115">
        <v>21.799999237060501</v>
      </c>
      <c r="T2115">
        <v>954.02284710017602</v>
      </c>
      <c r="U2115">
        <v>148</v>
      </c>
      <c r="V2115">
        <v>3</v>
      </c>
      <c r="W2115">
        <v>67.022847100175795</v>
      </c>
      <c r="X2115">
        <v>385</v>
      </c>
      <c r="Y2115">
        <v>19</v>
      </c>
      <c r="Z2115">
        <v>243.02284710017599</v>
      </c>
      <c r="AA2115">
        <v>19</v>
      </c>
      <c r="AB2115">
        <v>3.14521454340125</v>
      </c>
      <c r="AC2115">
        <v>7.2954361705086998E-2</v>
      </c>
      <c r="AD2115">
        <v>1.0330161789599099</v>
      </c>
      <c r="AE2115">
        <v>0.50319074610205605</v>
      </c>
      <c r="AF2115">
        <v>1212.02987697715</v>
      </c>
      <c r="AG2115">
        <f>IFERROR(AH2115*0.1, "N/A")</f>
        <v>5.8007029876977105</v>
      </c>
      <c r="AH2115">
        <v>58.0070298769771</v>
      </c>
      <c r="AI2115">
        <v>38.3183135919286</v>
      </c>
      <c r="AJ2115">
        <v>12.970123022847099</v>
      </c>
      <c r="AK2115">
        <v>76.931458699472799</v>
      </c>
    </row>
    <row r="2116" spans="1:37" x14ac:dyDescent="0.3">
      <c r="A2116">
        <v>2115</v>
      </c>
      <c r="B2116">
        <v>0</v>
      </c>
      <c r="C2116">
        <v>32.540798000000002</v>
      </c>
      <c r="D2116">
        <v>-3.0325000000000002</v>
      </c>
      <c r="E2116" t="s">
        <v>3709</v>
      </c>
      <c r="F2116" t="s">
        <v>3711</v>
      </c>
      <c r="G2116" t="s">
        <v>37</v>
      </c>
      <c r="H2116">
        <v>2008</v>
      </c>
      <c r="I2116">
        <v>22.600000381469702</v>
      </c>
      <c r="J2116">
        <v>11</v>
      </c>
      <c r="K2116">
        <v>73</v>
      </c>
      <c r="L2116">
        <v>6.4188577169274197</v>
      </c>
      <c r="M2116">
        <v>29.799999237060501</v>
      </c>
      <c r="N2116">
        <v>14.800000190734901</v>
      </c>
      <c r="O2116">
        <v>15</v>
      </c>
      <c r="P2116">
        <v>22.5</v>
      </c>
      <c r="Q2116">
        <v>21.799999237060501</v>
      </c>
      <c r="R2116">
        <v>23.399999618530298</v>
      </c>
      <c r="S2116">
        <v>21.799999237060501</v>
      </c>
      <c r="T2116">
        <v>954.02284710017602</v>
      </c>
      <c r="U2116">
        <v>148</v>
      </c>
      <c r="V2116">
        <v>3</v>
      </c>
      <c r="W2116">
        <v>67.022847100175795</v>
      </c>
      <c r="X2116">
        <v>385</v>
      </c>
      <c r="Y2116">
        <v>19</v>
      </c>
      <c r="Z2116">
        <v>243.02284710017599</v>
      </c>
      <c r="AA2116">
        <v>19</v>
      </c>
      <c r="AB2116">
        <v>3.14521454340125</v>
      </c>
      <c r="AC2116">
        <v>7.2954361705086998E-2</v>
      </c>
      <c r="AD2116">
        <v>1.0330161789599099</v>
      </c>
      <c r="AE2116">
        <v>0.50319074610205605</v>
      </c>
      <c r="AF2116">
        <v>1212.02987697715</v>
      </c>
      <c r="AG2116">
        <f>IFERROR(AH2116*0.1, "N/A")</f>
        <v>5.8007029876977105</v>
      </c>
      <c r="AH2116">
        <v>58.0070298769771</v>
      </c>
      <c r="AI2116">
        <v>38.3183135919286</v>
      </c>
      <c r="AJ2116">
        <v>12.970123022847099</v>
      </c>
      <c r="AK2116">
        <v>76.931458699472799</v>
      </c>
    </row>
    <row r="2117" spans="1:37" x14ac:dyDescent="0.3">
      <c r="A2117">
        <v>2116</v>
      </c>
      <c r="B2117">
        <v>100</v>
      </c>
      <c r="C2117">
        <v>32.983299000000002</v>
      </c>
      <c r="D2117">
        <v>-3.0333299999999999</v>
      </c>
      <c r="E2117" t="s">
        <v>3712</v>
      </c>
      <c r="F2117" t="s">
        <v>3713</v>
      </c>
      <c r="G2117" t="s">
        <v>39</v>
      </c>
      <c r="H2117">
        <v>2008</v>
      </c>
      <c r="I2117">
        <v>22.657469844985702</v>
      </c>
      <c r="J2117">
        <v>11.1000003814697</v>
      </c>
      <c r="K2117">
        <v>70</v>
      </c>
      <c r="L2117">
        <v>7.4927945111883103</v>
      </c>
      <c r="M2117">
        <v>30.4868189303862</v>
      </c>
      <c r="N2117">
        <v>14.7124780494006</v>
      </c>
      <c r="O2117">
        <v>15.7743410418867</v>
      </c>
      <c r="P2117">
        <v>22.557469463516</v>
      </c>
      <c r="Q2117">
        <v>21.786818656854301</v>
      </c>
      <c r="R2117">
        <v>23.640598075880099</v>
      </c>
      <c r="S2117">
        <v>21.786818656854301</v>
      </c>
      <c r="T2117">
        <v>908.60808435852402</v>
      </c>
      <c r="U2117">
        <v>143.425307557118</v>
      </c>
      <c r="V2117">
        <v>3</v>
      </c>
      <c r="W2117">
        <v>71.087873462214404</v>
      </c>
      <c r="X2117">
        <v>379.26362038664303</v>
      </c>
      <c r="Y2117">
        <v>17</v>
      </c>
      <c r="Z2117">
        <v>213.04393673110701</v>
      </c>
      <c r="AA2117">
        <v>55.151142355008801</v>
      </c>
      <c r="AB2117">
        <v>97.693337277913599</v>
      </c>
      <c r="AC2117">
        <v>1.5497030398967E-2</v>
      </c>
      <c r="AD2117">
        <v>6.0173417838889396</v>
      </c>
      <c r="AE2117">
        <v>0.68023180961608898</v>
      </c>
      <c r="AF2117">
        <v>1293.70474516696</v>
      </c>
      <c r="AG2117">
        <f>IFERROR(AH2117*0.1, "N/A")</f>
        <v>5.6618629173989401</v>
      </c>
      <c r="AH2117">
        <v>56.618629173989397</v>
      </c>
      <c r="AI2117">
        <v>79.927008576887602</v>
      </c>
      <c r="AJ2117">
        <v>12.2372583479789</v>
      </c>
      <c r="AK2117">
        <v>78</v>
      </c>
    </row>
    <row r="2118" spans="1:37" x14ac:dyDescent="0.3">
      <c r="A2118">
        <v>2117</v>
      </c>
      <c r="B2118">
        <v>0</v>
      </c>
      <c r="C2118">
        <v>32.983299000000002</v>
      </c>
      <c r="D2118">
        <v>-3.0333299999999999</v>
      </c>
      <c r="E2118" t="s">
        <v>3712</v>
      </c>
      <c r="F2118" t="s">
        <v>3714</v>
      </c>
      <c r="G2118" t="s">
        <v>37</v>
      </c>
      <c r="H2118">
        <v>2008</v>
      </c>
      <c r="I2118">
        <v>22.657469844985702</v>
      </c>
      <c r="J2118">
        <v>11.1000003814697</v>
      </c>
      <c r="K2118">
        <v>70</v>
      </c>
      <c r="L2118">
        <v>7.4927945111883103</v>
      </c>
      <c r="M2118">
        <v>30.4868189303862</v>
      </c>
      <c r="N2118">
        <v>14.7124780494006</v>
      </c>
      <c r="O2118">
        <v>15.7743410418867</v>
      </c>
      <c r="P2118">
        <v>22.557469463516</v>
      </c>
      <c r="Q2118">
        <v>21.786818656854301</v>
      </c>
      <c r="R2118">
        <v>23.640598075880099</v>
      </c>
      <c r="S2118">
        <v>21.786818656854301</v>
      </c>
      <c r="T2118">
        <v>908.60808435852402</v>
      </c>
      <c r="U2118">
        <v>143.425307557118</v>
      </c>
      <c r="V2118">
        <v>3</v>
      </c>
      <c r="W2118">
        <v>71.087873462214404</v>
      </c>
      <c r="X2118">
        <v>379.26362038664303</v>
      </c>
      <c r="Y2118">
        <v>17</v>
      </c>
      <c r="Z2118">
        <v>213.04393673110701</v>
      </c>
      <c r="AA2118">
        <v>55.151142355008801</v>
      </c>
      <c r="AB2118">
        <v>97.693337277913599</v>
      </c>
      <c r="AC2118">
        <v>1.5497030398967E-2</v>
      </c>
      <c r="AD2118">
        <v>6.0173417838889396</v>
      </c>
      <c r="AE2118">
        <v>0.68023180961608898</v>
      </c>
      <c r="AF2118">
        <v>1293.70474516696</v>
      </c>
      <c r="AG2118">
        <f>IFERROR(AH2118*0.1, "N/A")</f>
        <v>5.6618629173989401</v>
      </c>
      <c r="AH2118">
        <v>56.618629173989397</v>
      </c>
      <c r="AI2118">
        <v>79.927008576887602</v>
      </c>
      <c r="AJ2118">
        <v>12.2372583479789</v>
      </c>
      <c r="AK2118">
        <v>78</v>
      </c>
    </row>
    <row r="2119" spans="1:37" x14ac:dyDescent="0.3">
      <c r="A2119">
        <v>2118</v>
      </c>
      <c r="B2119">
        <v>0</v>
      </c>
      <c r="C2119">
        <v>31.200001</v>
      </c>
      <c r="D2119">
        <v>-3.05</v>
      </c>
      <c r="E2119" t="s">
        <v>3715</v>
      </c>
      <c r="F2119" t="s">
        <v>3716</v>
      </c>
      <c r="G2119" t="s">
        <v>39</v>
      </c>
      <c r="H2119">
        <v>2008</v>
      </c>
      <c r="I2119">
        <v>21.210018033931</v>
      </c>
      <c r="J2119">
        <v>11.067135581232799</v>
      </c>
      <c r="K2119">
        <v>78</v>
      </c>
      <c r="L2119">
        <v>4.4878031323370902</v>
      </c>
      <c r="M2119">
        <v>28.417925873205</v>
      </c>
      <c r="N2119">
        <v>14.2687169478941</v>
      </c>
      <c r="O2119">
        <v>14.1492092387328</v>
      </c>
      <c r="P2119">
        <v>20.910017231436701</v>
      </c>
      <c r="Q2119">
        <v>20.910017231436701</v>
      </c>
      <c r="R2119">
        <v>21.6179266361444</v>
      </c>
      <c r="S2119">
        <v>20.910017231436701</v>
      </c>
      <c r="T2119">
        <v>952.57117750439397</v>
      </c>
      <c r="U2119">
        <v>172.820738137083</v>
      </c>
      <c r="V2119">
        <v>1</v>
      </c>
      <c r="W2119">
        <v>69</v>
      </c>
      <c r="X2119">
        <v>415.49209138840098</v>
      </c>
      <c r="Y2119">
        <v>14</v>
      </c>
      <c r="Z2119">
        <v>119.789103690685</v>
      </c>
      <c r="AA2119">
        <v>415.49209138840098</v>
      </c>
      <c r="AB2119">
        <v>32.751699973912601</v>
      </c>
      <c r="AC2119">
        <v>1.0966278363825001E-2</v>
      </c>
      <c r="AD2119">
        <v>2.4970193309398399</v>
      </c>
      <c r="AE2119">
        <v>0.230603918433189</v>
      </c>
      <c r="AF2119">
        <v>1269.83655536028</v>
      </c>
      <c r="AG2119">
        <f>IFERROR(AH2119*0.1, "N/A")</f>
        <v>5.9</v>
      </c>
      <c r="AH2119">
        <v>59</v>
      </c>
      <c r="AI2119">
        <v>67.293223815140294</v>
      </c>
      <c r="AJ2119">
        <v>32.231985940245998</v>
      </c>
      <c r="AK2119">
        <v>50.940246045694202</v>
      </c>
    </row>
    <row r="2120" spans="1:37" x14ac:dyDescent="0.3">
      <c r="A2120">
        <v>2119</v>
      </c>
      <c r="B2120">
        <v>0</v>
      </c>
      <c r="C2120">
        <v>31.200001</v>
      </c>
      <c r="D2120">
        <v>-3.05</v>
      </c>
      <c r="E2120" t="s">
        <v>3715</v>
      </c>
      <c r="F2120" t="s">
        <v>3717</v>
      </c>
      <c r="G2120" t="s">
        <v>37</v>
      </c>
      <c r="H2120">
        <v>2008</v>
      </c>
      <c r="I2120">
        <v>21.210018033931</v>
      </c>
      <c r="J2120">
        <v>11.067135581232799</v>
      </c>
      <c r="K2120">
        <v>78</v>
      </c>
      <c r="L2120">
        <v>4.4878031323370902</v>
      </c>
      <c r="M2120">
        <v>28.417925873205</v>
      </c>
      <c r="N2120">
        <v>14.2687169478941</v>
      </c>
      <c r="O2120">
        <v>14.1492092387328</v>
      </c>
      <c r="P2120">
        <v>20.910017231436701</v>
      </c>
      <c r="Q2120">
        <v>20.910017231436701</v>
      </c>
      <c r="R2120">
        <v>21.6179266361444</v>
      </c>
      <c r="S2120">
        <v>20.910017231436701</v>
      </c>
      <c r="T2120">
        <v>952.57117750439397</v>
      </c>
      <c r="U2120">
        <v>172.820738137083</v>
      </c>
      <c r="V2120">
        <v>1</v>
      </c>
      <c r="W2120">
        <v>69</v>
      </c>
      <c r="X2120">
        <v>415.49209138840098</v>
      </c>
      <c r="Y2120">
        <v>14</v>
      </c>
      <c r="Z2120">
        <v>119.789103690685</v>
      </c>
      <c r="AA2120">
        <v>415.49209138840098</v>
      </c>
      <c r="AB2120">
        <v>32.751699973912601</v>
      </c>
      <c r="AC2120">
        <v>1.0966278363825001E-2</v>
      </c>
      <c r="AD2120">
        <v>2.4970193309398399</v>
      </c>
      <c r="AE2120">
        <v>0.230603918433189</v>
      </c>
      <c r="AF2120">
        <v>1269.83655536028</v>
      </c>
      <c r="AG2120">
        <f>IFERROR(AH2120*0.1, "N/A")</f>
        <v>5.9</v>
      </c>
      <c r="AH2120">
        <v>59</v>
      </c>
      <c r="AI2120">
        <v>67.293223815140294</v>
      </c>
      <c r="AJ2120">
        <v>32.231985940245998</v>
      </c>
      <c r="AK2120">
        <v>50.940246045694202</v>
      </c>
    </row>
    <row r="2121" spans="1:37" x14ac:dyDescent="0.3">
      <c r="A2121">
        <v>2120</v>
      </c>
      <c r="B2121">
        <v>100</v>
      </c>
      <c r="C2121">
        <v>32.683300000000003</v>
      </c>
      <c r="D2121">
        <v>-3.1</v>
      </c>
      <c r="E2121" t="s">
        <v>3718</v>
      </c>
      <c r="F2121" t="s">
        <v>3719</v>
      </c>
      <c r="G2121" t="s">
        <v>39</v>
      </c>
      <c r="H2121">
        <v>2008</v>
      </c>
      <c r="I2121">
        <v>22.617544308043399</v>
      </c>
      <c r="J2121">
        <v>11.1000003814697</v>
      </c>
      <c r="K2121">
        <v>72</v>
      </c>
      <c r="L2121">
        <v>6.93296495822438</v>
      </c>
      <c r="M2121">
        <v>30.193157510590101</v>
      </c>
      <c r="N2121">
        <v>14.8175435568157</v>
      </c>
      <c r="O2121">
        <v>15.375613793155599</v>
      </c>
      <c r="P2121">
        <v>22.634386012428699</v>
      </c>
      <c r="Q2121">
        <v>21.817543949997201</v>
      </c>
      <c r="R2121">
        <v>23.593158250106001</v>
      </c>
      <c r="S2121">
        <v>21.817543949997201</v>
      </c>
      <c r="T2121">
        <v>937.05438596491297</v>
      </c>
      <c r="U2121">
        <v>145.41228070175401</v>
      </c>
      <c r="V2121">
        <v>3</v>
      </c>
      <c r="W2121">
        <v>70</v>
      </c>
      <c r="X2121">
        <v>386.23684210526301</v>
      </c>
      <c r="Y2121">
        <v>16.412280701754401</v>
      </c>
      <c r="Z2121">
        <v>229.75614035087699</v>
      </c>
      <c r="AA2121">
        <v>38.431578947368401</v>
      </c>
      <c r="AB2121">
        <v>35.171425695586599</v>
      </c>
      <c r="AC2121">
        <v>2.8601704068938999E-2</v>
      </c>
      <c r="AD2121">
        <v>4.6213292251553497</v>
      </c>
      <c r="AE2121">
        <v>0.330381331632012</v>
      </c>
      <c r="AF2121">
        <v>1227.1701754385999</v>
      </c>
      <c r="AG2121">
        <f>IFERROR(AH2121*0.1, "N/A")</f>
        <v>5.9412280701754403</v>
      </c>
      <c r="AH2121">
        <v>59.412280701754398</v>
      </c>
      <c r="AI2121">
        <v>142.086505091818</v>
      </c>
      <c r="AJ2121">
        <v>14.587719298245601</v>
      </c>
      <c r="AK2121">
        <v>73.824561403508795</v>
      </c>
    </row>
    <row r="2122" spans="1:37" x14ac:dyDescent="0.3">
      <c r="A2122">
        <v>2121</v>
      </c>
      <c r="B2122">
        <v>50</v>
      </c>
      <c r="C2122">
        <v>32.683300000000003</v>
      </c>
      <c r="D2122">
        <v>-3.1</v>
      </c>
      <c r="E2122" t="s">
        <v>3718</v>
      </c>
      <c r="F2122" t="s">
        <v>3720</v>
      </c>
      <c r="G2122" t="s">
        <v>37</v>
      </c>
      <c r="H2122">
        <v>2008</v>
      </c>
      <c r="I2122">
        <v>22.617544308043399</v>
      </c>
      <c r="J2122">
        <v>11.1000003814697</v>
      </c>
      <c r="K2122">
        <v>72</v>
      </c>
      <c r="L2122">
        <v>6.93296495822438</v>
      </c>
      <c r="M2122">
        <v>30.193157510590101</v>
      </c>
      <c r="N2122">
        <v>14.8175435568157</v>
      </c>
      <c r="O2122">
        <v>15.375613793155599</v>
      </c>
      <c r="P2122">
        <v>22.634386012428699</v>
      </c>
      <c r="Q2122">
        <v>21.817543949997201</v>
      </c>
      <c r="R2122">
        <v>23.593158250106001</v>
      </c>
      <c r="S2122">
        <v>21.817543949997201</v>
      </c>
      <c r="T2122">
        <v>937.05438596491297</v>
      </c>
      <c r="U2122">
        <v>145.41228070175401</v>
      </c>
      <c r="V2122">
        <v>3</v>
      </c>
      <c r="W2122">
        <v>70</v>
      </c>
      <c r="X2122">
        <v>386.23684210526301</v>
      </c>
      <c r="Y2122">
        <v>16.412280701754401</v>
      </c>
      <c r="Z2122">
        <v>229.75614035087699</v>
      </c>
      <c r="AA2122">
        <v>38.431578947368401</v>
      </c>
      <c r="AB2122">
        <v>35.171425695586599</v>
      </c>
      <c r="AC2122">
        <v>2.8601704068938999E-2</v>
      </c>
      <c r="AD2122">
        <v>4.6213292251553497</v>
      </c>
      <c r="AE2122">
        <v>0.330381331632012</v>
      </c>
      <c r="AF2122">
        <v>1227.1701754385999</v>
      </c>
      <c r="AG2122">
        <f>IFERROR(AH2122*0.1, "N/A")</f>
        <v>5.9412280701754403</v>
      </c>
      <c r="AH2122">
        <v>59.412280701754398</v>
      </c>
      <c r="AI2122">
        <v>142.086505091818</v>
      </c>
      <c r="AJ2122">
        <v>14.587719298245601</v>
      </c>
      <c r="AK2122">
        <v>73.824561403508795</v>
      </c>
    </row>
    <row r="2123" spans="1:37" x14ac:dyDescent="0.3">
      <c r="A2123">
        <v>2122</v>
      </c>
      <c r="B2123">
        <v>50</v>
      </c>
      <c r="C2123">
        <v>31.821698999999999</v>
      </c>
      <c r="D2123">
        <v>-3.1749999999999998</v>
      </c>
      <c r="E2123" t="s">
        <v>3721</v>
      </c>
      <c r="F2123" t="s">
        <v>3722</v>
      </c>
      <c r="G2123" t="s">
        <v>39</v>
      </c>
      <c r="H2123">
        <v>2008</v>
      </c>
      <c r="I2123">
        <v>21.9231576016075</v>
      </c>
      <c r="J2123">
        <v>11</v>
      </c>
      <c r="K2123">
        <v>76</v>
      </c>
      <c r="L2123">
        <v>5.08126308039615</v>
      </c>
      <c r="M2123">
        <v>29.023157983077201</v>
      </c>
      <c r="N2123">
        <v>14.623158143695999</v>
      </c>
      <c r="O2123">
        <v>14.3999996185303</v>
      </c>
      <c r="P2123">
        <v>21.799999237060501</v>
      </c>
      <c r="Q2123">
        <v>21.3463152032149</v>
      </c>
      <c r="R2123">
        <v>22.546315966154399</v>
      </c>
      <c r="S2123">
        <v>21.3463152032149</v>
      </c>
      <c r="T2123">
        <v>1048.6105263157899</v>
      </c>
      <c r="U2123">
        <v>185.76842105263199</v>
      </c>
      <c r="V2123">
        <v>2</v>
      </c>
      <c r="W2123">
        <v>70.768421052631595</v>
      </c>
      <c r="X2123">
        <v>462.30526315789501</v>
      </c>
      <c r="Y2123">
        <v>18</v>
      </c>
      <c r="Z2123">
        <v>252</v>
      </c>
      <c r="AA2123">
        <v>18</v>
      </c>
      <c r="AB2123">
        <v>14.286729029605301</v>
      </c>
      <c r="AC2123">
        <v>0.167420112380856</v>
      </c>
      <c r="AD2123">
        <v>2.2460197624407301</v>
      </c>
      <c r="AE2123">
        <v>0.42806294560432401</v>
      </c>
      <c r="AF2123">
        <v>1198.2157894736799</v>
      </c>
      <c r="AG2123">
        <f>IFERROR(AH2123*0.1, "N/A")</f>
        <v>5.9</v>
      </c>
      <c r="AH2123">
        <v>59</v>
      </c>
      <c r="AI2123">
        <v>149.11286500964201</v>
      </c>
      <c r="AJ2123">
        <v>24.078947368421101</v>
      </c>
      <c r="AK2123">
        <v>57.078947368421098</v>
      </c>
    </row>
    <row r="2124" spans="1:37" x14ac:dyDescent="0.3">
      <c r="A2124">
        <v>2123</v>
      </c>
      <c r="B2124">
        <v>0</v>
      </c>
      <c r="C2124">
        <v>31.821698999999999</v>
      </c>
      <c r="D2124">
        <v>-3.1749999999999998</v>
      </c>
      <c r="E2124" t="s">
        <v>3721</v>
      </c>
      <c r="F2124" t="s">
        <v>3723</v>
      </c>
      <c r="G2124" t="s">
        <v>37</v>
      </c>
      <c r="H2124">
        <v>2008</v>
      </c>
      <c r="I2124">
        <v>21.9231576016075</v>
      </c>
      <c r="J2124">
        <v>11</v>
      </c>
      <c r="K2124">
        <v>76</v>
      </c>
      <c r="L2124">
        <v>5.08126308039615</v>
      </c>
      <c r="M2124">
        <v>29.023157983077201</v>
      </c>
      <c r="N2124">
        <v>14.623158143695999</v>
      </c>
      <c r="O2124">
        <v>14.3999996185303</v>
      </c>
      <c r="P2124">
        <v>21.799999237060501</v>
      </c>
      <c r="Q2124">
        <v>21.3463152032149</v>
      </c>
      <c r="R2124">
        <v>22.546315966154399</v>
      </c>
      <c r="S2124">
        <v>21.3463152032149</v>
      </c>
      <c r="T2124">
        <v>1048.6105263157899</v>
      </c>
      <c r="U2124">
        <v>185.76842105263199</v>
      </c>
      <c r="V2124">
        <v>2</v>
      </c>
      <c r="W2124">
        <v>70.768421052631595</v>
      </c>
      <c r="X2124">
        <v>462.30526315789501</v>
      </c>
      <c r="Y2124">
        <v>18</v>
      </c>
      <c r="Z2124">
        <v>252</v>
      </c>
      <c r="AA2124">
        <v>18</v>
      </c>
      <c r="AB2124">
        <v>14.286729029605301</v>
      </c>
      <c r="AC2124">
        <v>0.167420112380856</v>
      </c>
      <c r="AD2124">
        <v>2.2460197624407301</v>
      </c>
      <c r="AE2124">
        <v>0.42806294560432401</v>
      </c>
      <c r="AF2124">
        <v>1198.2157894736799</v>
      </c>
      <c r="AG2124">
        <f>IFERROR(AH2124*0.1, "N/A")</f>
        <v>5.9</v>
      </c>
      <c r="AH2124">
        <v>59</v>
      </c>
      <c r="AI2124">
        <v>149.11286500964201</v>
      </c>
      <c r="AJ2124">
        <v>24.078947368421101</v>
      </c>
      <c r="AK2124">
        <v>57.078947368421098</v>
      </c>
    </row>
    <row r="2125" spans="1:37" x14ac:dyDescent="0.3">
      <c r="A2125">
        <v>2124</v>
      </c>
      <c r="B2125">
        <v>0</v>
      </c>
      <c r="C2125">
        <v>31.525801000000001</v>
      </c>
      <c r="D2125">
        <v>-3.2833299999999999</v>
      </c>
      <c r="E2125" t="s">
        <v>3724</v>
      </c>
      <c r="F2125" t="s">
        <v>3725</v>
      </c>
      <c r="G2125" t="s">
        <v>39</v>
      </c>
      <c r="H2125">
        <v>2008</v>
      </c>
      <c r="I2125">
        <v>21.600000381469702</v>
      </c>
      <c r="J2125">
        <v>11.199999809265099</v>
      </c>
      <c r="K2125">
        <v>75.525483304042197</v>
      </c>
      <c r="L2125">
        <v>5.1496487149873804</v>
      </c>
      <c r="M2125">
        <v>29</v>
      </c>
      <c r="N2125">
        <v>14.3050963698456</v>
      </c>
      <c r="O2125">
        <v>14.6949036301544</v>
      </c>
      <c r="P2125">
        <v>21.347451087670098</v>
      </c>
      <c r="Q2125">
        <v>21.152548912329902</v>
      </c>
      <c r="R2125">
        <v>22.299999237060501</v>
      </c>
      <c r="S2125">
        <v>21.152548912329902</v>
      </c>
      <c r="T2125">
        <v>990</v>
      </c>
      <c r="U2125">
        <v>180</v>
      </c>
      <c r="V2125">
        <v>1</v>
      </c>
      <c r="W2125">
        <v>71</v>
      </c>
      <c r="X2125">
        <v>440</v>
      </c>
      <c r="Y2125">
        <v>15</v>
      </c>
      <c r="Z2125">
        <v>229.52548330404201</v>
      </c>
      <c r="AA2125">
        <v>15</v>
      </c>
      <c r="AB2125">
        <v>26.022307330568999</v>
      </c>
      <c r="AC2125">
        <v>1.1908755023915999E-2</v>
      </c>
      <c r="AD2125">
        <v>1.18780282385949</v>
      </c>
      <c r="AE2125">
        <v>0.546095490455627</v>
      </c>
      <c r="AF2125">
        <v>1232.28822495606</v>
      </c>
      <c r="AG2125">
        <f>IFERROR(AH2125*0.1, "N/A")</f>
        <v>5.6000000000000005</v>
      </c>
      <c r="AH2125">
        <v>56</v>
      </c>
      <c r="AI2125">
        <v>188.925349471858</v>
      </c>
      <c r="AJ2125">
        <v>22</v>
      </c>
      <c r="AK2125">
        <v>64</v>
      </c>
    </row>
    <row r="2126" spans="1:37" x14ac:dyDescent="0.3">
      <c r="A2126">
        <v>2125</v>
      </c>
      <c r="B2126">
        <v>0</v>
      </c>
      <c r="C2126">
        <v>31.525801000000001</v>
      </c>
      <c r="D2126">
        <v>-3.2833299999999999</v>
      </c>
      <c r="E2126" t="s">
        <v>3724</v>
      </c>
      <c r="F2126" t="s">
        <v>3726</v>
      </c>
      <c r="G2126" t="s">
        <v>37</v>
      </c>
      <c r="H2126">
        <v>2008</v>
      </c>
      <c r="I2126">
        <v>21.600000381469702</v>
      </c>
      <c r="J2126">
        <v>11.199999809265099</v>
      </c>
      <c r="K2126">
        <v>75.525483304042197</v>
      </c>
      <c r="L2126">
        <v>5.1496487149873804</v>
      </c>
      <c r="M2126">
        <v>29</v>
      </c>
      <c r="N2126">
        <v>14.3050963698456</v>
      </c>
      <c r="O2126">
        <v>14.6949036301544</v>
      </c>
      <c r="P2126">
        <v>21.347451087670098</v>
      </c>
      <c r="Q2126">
        <v>21.152548912329902</v>
      </c>
      <c r="R2126">
        <v>22.299999237060501</v>
      </c>
      <c r="S2126">
        <v>21.152548912329902</v>
      </c>
      <c r="T2126">
        <v>990</v>
      </c>
      <c r="U2126">
        <v>180</v>
      </c>
      <c r="V2126">
        <v>1</v>
      </c>
      <c r="W2126">
        <v>71</v>
      </c>
      <c r="X2126">
        <v>440</v>
      </c>
      <c r="Y2126">
        <v>15</v>
      </c>
      <c r="Z2126">
        <v>229.52548330404201</v>
      </c>
      <c r="AA2126">
        <v>15</v>
      </c>
      <c r="AB2126">
        <v>26.022307330568999</v>
      </c>
      <c r="AC2126">
        <v>1.1908755023915999E-2</v>
      </c>
      <c r="AD2126">
        <v>1.18780282385949</v>
      </c>
      <c r="AE2126">
        <v>0.546095490455627</v>
      </c>
      <c r="AF2126">
        <v>1232.28822495606</v>
      </c>
      <c r="AG2126">
        <f>IFERROR(AH2126*0.1, "N/A")</f>
        <v>5.6000000000000005</v>
      </c>
      <c r="AH2126">
        <v>56</v>
      </c>
      <c r="AI2126">
        <v>188.925349471858</v>
      </c>
      <c r="AJ2126">
        <v>22</v>
      </c>
      <c r="AK2126">
        <v>64</v>
      </c>
    </row>
    <row r="2127" spans="1:37" x14ac:dyDescent="0.3">
      <c r="A2127">
        <v>2126</v>
      </c>
      <c r="B2127">
        <v>50</v>
      </c>
      <c r="C2127">
        <v>32.023299999999999</v>
      </c>
      <c r="D2127">
        <v>-3.4358300000000002</v>
      </c>
      <c r="E2127" t="s">
        <v>3727</v>
      </c>
      <c r="F2127" t="s">
        <v>3728</v>
      </c>
      <c r="G2127" t="s">
        <v>39</v>
      </c>
      <c r="H2127">
        <v>2008</v>
      </c>
      <c r="I2127">
        <v>22.5</v>
      </c>
      <c r="J2127">
        <v>11.300000190734901</v>
      </c>
      <c r="K2127">
        <v>74</v>
      </c>
      <c r="L2127">
        <v>6.46000003814697</v>
      </c>
      <c r="M2127">
        <v>29.899999618530298</v>
      </c>
      <c r="N2127">
        <v>14.699999809265099</v>
      </c>
      <c r="O2127">
        <v>15.199999809265099</v>
      </c>
      <c r="P2127">
        <v>22.399999618530298</v>
      </c>
      <c r="Q2127">
        <v>21.799999237060501</v>
      </c>
      <c r="R2127">
        <v>23.399999618530298</v>
      </c>
      <c r="S2127">
        <v>21.799999237060501</v>
      </c>
      <c r="T2127">
        <v>945</v>
      </c>
      <c r="U2127">
        <v>166</v>
      </c>
      <c r="V2127">
        <v>1</v>
      </c>
      <c r="W2127">
        <v>73</v>
      </c>
      <c r="X2127">
        <v>419</v>
      </c>
      <c r="Y2127">
        <v>11</v>
      </c>
      <c r="Z2127">
        <v>206</v>
      </c>
      <c r="AA2127">
        <v>11</v>
      </c>
      <c r="AB2127">
        <v>1.6749904746540001</v>
      </c>
      <c r="AC2127">
        <v>38.4402941875111</v>
      </c>
      <c r="AD2127">
        <v>1.0958743876857799</v>
      </c>
      <c r="AE2127">
        <v>0.39479455351829501</v>
      </c>
      <c r="AF2127">
        <v>1172.9683655536001</v>
      </c>
      <c r="AG2127">
        <f>IFERROR(AH2127*0.1, "N/A")</f>
        <v>6.0038664323374302</v>
      </c>
      <c r="AH2127">
        <v>60.038664323374299</v>
      </c>
      <c r="AI2127">
        <v>216.212708659247</v>
      </c>
      <c r="AJ2127">
        <v>26.441124780316301</v>
      </c>
      <c r="AK2127">
        <v>56.868189806678402</v>
      </c>
    </row>
    <row r="2128" spans="1:37" x14ac:dyDescent="0.3">
      <c r="A2128">
        <v>2127</v>
      </c>
      <c r="B2128">
        <v>0</v>
      </c>
      <c r="C2128">
        <v>32.023299999999999</v>
      </c>
      <c r="D2128">
        <v>-3.4358300000000002</v>
      </c>
      <c r="E2128" t="s">
        <v>3727</v>
      </c>
      <c r="F2128" t="s">
        <v>3729</v>
      </c>
      <c r="G2128" t="s">
        <v>37</v>
      </c>
      <c r="H2128">
        <v>2008</v>
      </c>
      <c r="I2128">
        <v>22.5</v>
      </c>
      <c r="J2128">
        <v>11.300000190734901</v>
      </c>
      <c r="K2128">
        <v>74</v>
      </c>
      <c r="L2128">
        <v>6.46000003814697</v>
      </c>
      <c r="M2128">
        <v>29.899999618530298</v>
      </c>
      <c r="N2128">
        <v>14.699999809265099</v>
      </c>
      <c r="O2128">
        <v>15.199999809265099</v>
      </c>
      <c r="P2128">
        <v>22.399999618530298</v>
      </c>
      <c r="Q2128">
        <v>21.799999237060501</v>
      </c>
      <c r="R2128">
        <v>23.399999618530298</v>
      </c>
      <c r="S2128">
        <v>21.799999237060501</v>
      </c>
      <c r="T2128">
        <v>945</v>
      </c>
      <c r="U2128">
        <v>166</v>
      </c>
      <c r="V2128">
        <v>1</v>
      </c>
      <c r="W2128">
        <v>73</v>
      </c>
      <c r="X2128">
        <v>419</v>
      </c>
      <c r="Y2128">
        <v>11</v>
      </c>
      <c r="Z2128">
        <v>206</v>
      </c>
      <c r="AA2128">
        <v>11</v>
      </c>
      <c r="AB2128">
        <v>1.6749904746540001</v>
      </c>
      <c r="AC2128">
        <v>38.4402941875111</v>
      </c>
      <c r="AD2128">
        <v>1.0958743876857799</v>
      </c>
      <c r="AE2128">
        <v>0.39479455351829501</v>
      </c>
      <c r="AF2128">
        <v>1172.9683655536001</v>
      </c>
      <c r="AG2128">
        <f>IFERROR(AH2128*0.1, "N/A")</f>
        <v>6.0038664323374302</v>
      </c>
      <c r="AH2128">
        <v>60.038664323374299</v>
      </c>
      <c r="AI2128">
        <v>216.212708659247</v>
      </c>
      <c r="AJ2128">
        <v>26.441124780316301</v>
      </c>
      <c r="AK2128">
        <v>56.868189806678402</v>
      </c>
    </row>
    <row r="2129" spans="1:37" x14ac:dyDescent="0.3">
      <c r="A2129">
        <v>2128</v>
      </c>
      <c r="B2129">
        <v>50</v>
      </c>
      <c r="C2129">
        <v>31.974198999999999</v>
      </c>
      <c r="D2129">
        <v>-3.5561099999999999</v>
      </c>
      <c r="E2129" t="s">
        <v>3730</v>
      </c>
      <c r="F2129" t="s">
        <v>3731</v>
      </c>
      <c r="G2129" t="s">
        <v>39</v>
      </c>
      <c r="H2129">
        <v>2008</v>
      </c>
      <c r="I2129">
        <v>22.214737380178299</v>
      </c>
      <c r="J2129">
        <v>11.3999996185303</v>
      </c>
      <c r="K2129">
        <v>73.852631578947395</v>
      </c>
      <c r="L2129">
        <v>6.6068422769245396</v>
      </c>
      <c r="M2129">
        <v>29.714737380178398</v>
      </c>
      <c r="N2129">
        <v>14.385262860749901</v>
      </c>
      <c r="O2129">
        <v>15.3294738468371</v>
      </c>
      <c r="P2129">
        <v>22.0147368983218</v>
      </c>
      <c r="Q2129">
        <v>21.5</v>
      </c>
      <c r="R2129">
        <v>23.200000762939499</v>
      </c>
      <c r="S2129">
        <v>21.5</v>
      </c>
      <c r="T2129">
        <v>936.70526315789505</v>
      </c>
      <c r="U2129">
        <v>166</v>
      </c>
      <c r="V2129">
        <v>0</v>
      </c>
      <c r="W2129">
        <v>74.147368421052605</v>
      </c>
      <c r="X2129">
        <v>422</v>
      </c>
      <c r="Y2129">
        <v>10</v>
      </c>
      <c r="Z2129">
        <v>194.85263157894701</v>
      </c>
      <c r="AA2129">
        <v>17.663157894736798</v>
      </c>
      <c r="AB2129">
        <v>5.0215980931332203</v>
      </c>
      <c r="AC2129">
        <v>0.10946070411356899</v>
      </c>
      <c r="AD2129">
        <v>1.84239205895809</v>
      </c>
      <c r="AE2129">
        <v>0.53720253705978405</v>
      </c>
      <c r="AF2129">
        <v>1226.6701754385999</v>
      </c>
      <c r="AG2129">
        <f>IFERROR(AH2129*0.1, "N/A")</f>
        <v>5.7147368421052605</v>
      </c>
      <c r="AH2129">
        <v>57.147368421052597</v>
      </c>
      <c r="AI2129">
        <v>168.63126555994899</v>
      </c>
      <c r="AJ2129">
        <v>11.147368421052599</v>
      </c>
      <c r="AK2129">
        <v>77.705263157894706</v>
      </c>
    </row>
    <row r="2130" spans="1:37" x14ac:dyDescent="0.3">
      <c r="A2130">
        <v>2129</v>
      </c>
      <c r="B2130">
        <v>0</v>
      </c>
      <c r="C2130">
        <v>31.974198999999999</v>
      </c>
      <c r="D2130">
        <v>-3.5561099999999999</v>
      </c>
      <c r="E2130" t="s">
        <v>3730</v>
      </c>
      <c r="F2130" t="s">
        <v>3732</v>
      </c>
      <c r="G2130" t="s">
        <v>37</v>
      </c>
      <c r="H2130">
        <v>2008</v>
      </c>
      <c r="I2130">
        <v>22.214737380178299</v>
      </c>
      <c r="J2130">
        <v>11.3999996185303</v>
      </c>
      <c r="K2130">
        <v>73.852631578947395</v>
      </c>
      <c r="L2130">
        <v>6.6068422769245396</v>
      </c>
      <c r="M2130">
        <v>29.714737380178398</v>
      </c>
      <c r="N2130">
        <v>14.385262860749901</v>
      </c>
      <c r="O2130">
        <v>15.3294738468371</v>
      </c>
      <c r="P2130">
        <v>22.0147368983218</v>
      </c>
      <c r="Q2130">
        <v>21.5</v>
      </c>
      <c r="R2130">
        <v>23.200000762939499</v>
      </c>
      <c r="S2130">
        <v>21.5</v>
      </c>
      <c r="T2130">
        <v>936.70526315789505</v>
      </c>
      <c r="U2130">
        <v>166</v>
      </c>
      <c r="V2130">
        <v>0</v>
      </c>
      <c r="W2130">
        <v>74.147368421052605</v>
      </c>
      <c r="X2130">
        <v>422</v>
      </c>
      <c r="Y2130">
        <v>10</v>
      </c>
      <c r="Z2130">
        <v>194.85263157894701</v>
      </c>
      <c r="AA2130">
        <v>17.663157894736798</v>
      </c>
      <c r="AB2130">
        <v>5.0215980931332203</v>
      </c>
      <c r="AC2130">
        <v>0.10946070411356899</v>
      </c>
      <c r="AD2130">
        <v>1.84239205895809</v>
      </c>
      <c r="AE2130">
        <v>0.53720253705978405</v>
      </c>
      <c r="AF2130">
        <v>1226.6701754385999</v>
      </c>
      <c r="AG2130">
        <f>IFERROR(AH2130*0.1, "N/A")</f>
        <v>5.7147368421052605</v>
      </c>
      <c r="AH2130">
        <v>57.147368421052597</v>
      </c>
      <c r="AI2130">
        <v>168.63126555994899</v>
      </c>
      <c r="AJ2130">
        <v>11.147368421052599</v>
      </c>
      <c r="AK2130">
        <v>77.705263157894706</v>
      </c>
    </row>
    <row r="2131" spans="1:37" x14ac:dyDescent="0.3">
      <c r="A2131">
        <v>2130</v>
      </c>
      <c r="B2131">
        <v>0</v>
      </c>
      <c r="C2131">
        <v>33.866698999999997</v>
      </c>
      <c r="D2131">
        <v>-3.6166700000000001</v>
      </c>
      <c r="E2131" t="s">
        <v>3733</v>
      </c>
      <c r="F2131" t="s">
        <v>3734</v>
      </c>
      <c r="G2131" t="s">
        <v>39</v>
      </c>
      <c r="H2131">
        <v>2008</v>
      </c>
      <c r="I2131">
        <v>23.366724535379198</v>
      </c>
      <c r="J2131">
        <v>11.199999809265099</v>
      </c>
      <c r="K2131">
        <v>69</v>
      </c>
      <c r="L2131">
        <v>9.0397374241656898</v>
      </c>
      <c r="M2131">
        <v>31.6166379230452</v>
      </c>
      <c r="N2131">
        <v>15.5</v>
      </c>
      <c r="O2131">
        <v>16.1166379230452</v>
      </c>
      <c r="P2131">
        <v>23.366724535379198</v>
      </c>
      <c r="Q2131">
        <v>22.150088138212901</v>
      </c>
      <c r="R2131">
        <v>24.5</v>
      </c>
      <c r="S2131">
        <v>22.150088138212901</v>
      </c>
      <c r="T2131">
        <v>782.49912434325699</v>
      </c>
      <c r="U2131">
        <v>160.33274956217201</v>
      </c>
      <c r="V2131">
        <v>1</v>
      </c>
      <c r="W2131">
        <v>84.3327495621716</v>
      </c>
      <c r="X2131">
        <v>379.16637478108601</v>
      </c>
      <c r="Y2131">
        <v>5</v>
      </c>
      <c r="Z2131">
        <v>124.332749562172</v>
      </c>
      <c r="AA2131">
        <v>5</v>
      </c>
      <c r="AB2131">
        <v>7.8222474534123201</v>
      </c>
      <c r="AC2131">
        <v>9.5023292128240001E-3</v>
      </c>
      <c r="AD2131">
        <v>2.3434722899033602</v>
      </c>
      <c r="AE2131">
        <v>0.66249799728393599</v>
      </c>
      <c r="AF2131">
        <v>1165.89492119089</v>
      </c>
      <c r="AG2131">
        <f>IFERROR(AH2131*0.1, "N/A")</f>
        <v>6.4697022767075296</v>
      </c>
      <c r="AH2131">
        <v>64.697022767075296</v>
      </c>
      <c r="AI2131">
        <v>93.830554821862805</v>
      </c>
      <c r="AJ2131">
        <v>21.6059544658494</v>
      </c>
      <c r="AK2131">
        <v>64.697022767075296</v>
      </c>
    </row>
    <row r="2132" spans="1:37" x14ac:dyDescent="0.3">
      <c r="A2132">
        <v>2131</v>
      </c>
      <c r="B2132">
        <v>0</v>
      </c>
      <c r="C2132">
        <v>33.866698999999997</v>
      </c>
      <c r="D2132">
        <v>-3.6166700000000001</v>
      </c>
      <c r="E2132" t="s">
        <v>3733</v>
      </c>
      <c r="F2132" t="s">
        <v>3735</v>
      </c>
      <c r="G2132" t="s">
        <v>37</v>
      </c>
      <c r="H2132">
        <v>2008</v>
      </c>
      <c r="I2132">
        <v>23.366724535379198</v>
      </c>
      <c r="J2132">
        <v>11.199999809265099</v>
      </c>
      <c r="K2132">
        <v>69</v>
      </c>
      <c r="L2132">
        <v>9.0397374241656898</v>
      </c>
      <c r="M2132">
        <v>31.6166379230452</v>
      </c>
      <c r="N2132">
        <v>15.5</v>
      </c>
      <c r="O2132">
        <v>16.1166379230452</v>
      </c>
      <c r="P2132">
        <v>23.366724535379198</v>
      </c>
      <c r="Q2132">
        <v>22.150088138212901</v>
      </c>
      <c r="R2132">
        <v>24.5</v>
      </c>
      <c r="S2132">
        <v>22.150088138212901</v>
      </c>
      <c r="T2132">
        <v>782.49912434325699</v>
      </c>
      <c r="U2132">
        <v>160.33274956217201</v>
      </c>
      <c r="V2132">
        <v>1</v>
      </c>
      <c r="W2132">
        <v>84.3327495621716</v>
      </c>
      <c r="X2132">
        <v>379.16637478108601</v>
      </c>
      <c r="Y2132">
        <v>5</v>
      </c>
      <c r="Z2132">
        <v>124.332749562172</v>
      </c>
      <c r="AA2132">
        <v>5</v>
      </c>
      <c r="AB2132">
        <v>7.8222474534123201</v>
      </c>
      <c r="AC2132">
        <v>9.5023292128240001E-3</v>
      </c>
      <c r="AD2132">
        <v>2.3434722899033602</v>
      </c>
      <c r="AE2132">
        <v>0.66249799728393599</v>
      </c>
      <c r="AF2132">
        <v>1165.89492119089</v>
      </c>
      <c r="AG2132">
        <f>IFERROR(AH2132*0.1, "N/A")</f>
        <v>6.4697022767075296</v>
      </c>
      <c r="AH2132">
        <v>64.697022767075296</v>
      </c>
      <c r="AI2132">
        <v>93.830554821862805</v>
      </c>
      <c r="AJ2132">
        <v>21.6059544658494</v>
      </c>
      <c r="AK2132">
        <v>64.697022767075296</v>
      </c>
    </row>
    <row r="2133" spans="1:37" x14ac:dyDescent="0.3">
      <c r="A2133">
        <v>2132</v>
      </c>
      <c r="B2133">
        <v>100</v>
      </c>
      <c r="C2133">
        <v>32.337798999999997</v>
      </c>
      <c r="D2133">
        <v>-3.8283299999999998</v>
      </c>
      <c r="E2133" t="s">
        <v>3736</v>
      </c>
      <c r="F2133" t="s">
        <v>3737</v>
      </c>
      <c r="G2133" t="s">
        <v>39</v>
      </c>
      <c r="H2133">
        <v>2008</v>
      </c>
      <c r="I2133">
        <v>22.399999618530298</v>
      </c>
      <c r="J2133">
        <v>11.6000003814697</v>
      </c>
      <c r="K2133">
        <v>69</v>
      </c>
      <c r="L2133">
        <v>9.0699996948242205</v>
      </c>
      <c r="M2133">
        <v>30.600000381469702</v>
      </c>
      <c r="N2133">
        <v>14</v>
      </c>
      <c r="O2133">
        <v>16.600000381469702</v>
      </c>
      <c r="P2133">
        <v>22.299999237060501</v>
      </c>
      <c r="Q2133">
        <v>21.399999618530298</v>
      </c>
      <c r="R2133">
        <v>23.700000762939499</v>
      </c>
      <c r="S2133">
        <v>21.399999618530298</v>
      </c>
      <c r="T2133">
        <v>867</v>
      </c>
      <c r="U2133">
        <v>145</v>
      </c>
      <c r="V2133">
        <v>0</v>
      </c>
      <c r="W2133">
        <v>78</v>
      </c>
      <c r="X2133">
        <v>399</v>
      </c>
      <c r="Y2133">
        <v>5</v>
      </c>
      <c r="Z2133">
        <v>168</v>
      </c>
      <c r="AA2133">
        <v>49</v>
      </c>
      <c r="AB2133">
        <v>62.513339382785198</v>
      </c>
      <c r="AC2133">
        <v>1.0243945426171E-2</v>
      </c>
      <c r="AD2133">
        <v>2.7698903213014101</v>
      </c>
      <c r="AE2133">
        <v>0.57251681377004104</v>
      </c>
      <c r="AF2133">
        <v>1274.1083916083901</v>
      </c>
      <c r="AG2133">
        <f>IFERROR(AH2133*0.1, "N/A")</f>
        <v>5.7832167832167798</v>
      </c>
      <c r="AH2133">
        <v>57.832167832167798</v>
      </c>
      <c r="AI2133">
        <v>65.9631282032787</v>
      </c>
      <c r="AJ2133">
        <v>10</v>
      </c>
      <c r="AK2133">
        <v>79.828671328671305</v>
      </c>
    </row>
    <row r="2134" spans="1:37" x14ac:dyDescent="0.3">
      <c r="A2134">
        <v>2133</v>
      </c>
      <c r="B2134">
        <v>0</v>
      </c>
      <c r="C2134">
        <v>32.337798999999997</v>
      </c>
      <c r="D2134">
        <v>-3.8283299999999998</v>
      </c>
      <c r="E2134" t="s">
        <v>3736</v>
      </c>
      <c r="F2134" t="s">
        <v>3738</v>
      </c>
      <c r="G2134" t="s">
        <v>37</v>
      </c>
      <c r="H2134">
        <v>2008</v>
      </c>
      <c r="I2134">
        <v>22.399999618530298</v>
      </c>
      <c r="J2134">
        <v>11.6000003814697</v>
      </c>
      <c r="K2134">
        <v>69</v>
      </c>
      <c r="L2134">
        <v>9.0699996948242205</v>
      </c>
      <c r="M2134">
        <v>30.600000381469702</v>
      </c>
      <c r="N2134">
        <v>14</v>
      </c>
      <c r="O2134">
        <v>16.600000381469702</v>
      </c>
      <c r="P2134">
        <v>22.299999237060501</v>
      </c>
      <c r="Q2134">
        <v>21.399999618530298</v>
      </c>
      <c r="R2134">
        <v>23.700000762939499</v>
      </c>
      <c r="S2134">
        <v>21.399999618530298</v>
      </c>
      <c r="T2134">
        <v>867</v>
      </c>
      <c r="U2134">
        <v>145</v>
      </c>
      <c r="V2134">
        <v>0</v>
      </c>
      <c r="W2134">
        <v>78</v>
      </c>
      <c r="X2134">
        <v>399</v>
      </c>
      <c r="Y2134">
        <v>5</v>
      </c>
      <c r="Z2134">
        <v>168</v>
      </c>
      <c r="AA2134">
        <v>49</v>
      </c>
      <c r="AB2134">
        <v>62.513339382785198</v>
      </c>
      <c r="AC2134">
        <v>1.0243945426171E-2</v>
      </c>
      <c r="AD2134">
        <v>2.7698903213014101</v>
      </c>
      <c r="AE2134">
        <v>0.57251681377004104</v>
      </c>
      <c r="AF2134">
        <v>1274.1083916083901</v>
      </c>
      <c r="AG2134">
        <f>IFERROR(AH2134*0.1, "N/A")</f>
        <v>5.7832167832167798</v>
      </c>
      <c r="AH2134">
        <v>57.832167832167798</v>
      </c>
      <c r="AI2134">
        <v>65.9631282032787</v>
      </c>
      <c r="AJ2134">
        <v>10</v>
      </c>
      <c r="AK2134">
        <v>79.828671328671305</v>
      </c>
    </row>
    <row r="2135" spans="1:37" x14ac:dyDescent="0.3">
      <c r="A2135">
        <v>2134</v>
      </c>
      <c r="B2135">
        <v>0</v>
      </c>
      <c r="C2135">
        <v>33.700001</v>
      </c>
      <c r="D2135">
        <v>-3.8333300000000001</v>
      </c>
      <c r="E2135" t="s">
        <v>3739</v>
      </c>
      <c r="F2135" t="s">
        <v>3740</v>
      </c>
      <c r="G2135" t="s">
        <v>39</v>
      </c>
      <c r="H2135">
        <v>2008</v>
      </c>
      <c r="I2135">
        <v>23.700000762939499</v>
      </c>
      <c r="J2135">
        <v>11.3999996185303</v>
      </c>
      <c r="K2135">
        <v>69</v>
      </c>
      <c r="L2135">
        <v>9.3002812833065303</v>
      </c>
      <c r="M2135">
        <v>32.099998474121101</v>
      </c>
      <c r="N2135">
        <v>15.6428823856562</v>
      </c>
      <c r="O2135">
        <v>16.457117586856601</v>
      </c>
      <c r="P2135">
        <v>23.625483782722998</v>
      </c>
      <c r="Q2135">
        <v>22.5</v>
      </c>
      <c r="R2135">
        <v>24.899999618530298</v>
      </c>
      <c r="S2135">
        <v>22.5</v>
      </c>
      <c r="T2135">
        <v>795.924428822496</v>
      </c>
      <c r="U2135">
        <v>152</v>
      </c>
      <c r="V2135">
        <v>1</v>
      </c>
      <c r="W2135">
        <v>84</v>
      </c>
      <c r="X2135">
        <v>380</v>
      </c>
      <c r="Y2135">
        <v>5</v>
      </c>
      <c r="Z2135">
        <v>122</v>
      </c>
      <c r="AA2135">
        <v>5</v>
      </c>
      <c r="AB2135">
        <v>9.5573222021227</v>
      </c>
      <c r="AC2135">
        <v>1.2426424129933E-2</v>
      </c>
      <c r="AD2135">
        <v>1.6548079702682399</v>
      </c>
      <c r="AE2135">
        <v>0.30225777626037598</v>
      </c>
      <c r="AF2135">
        <v>1115.65377855888</v>
      </c>
      <c r="AG2135">
        <f>IFERROR(AH2135*0.1, "N/A")</f>
        <v>7.6224956063268907</v>
      </c>
      <c r="AH2135">
        <v>76.224956063268905</v>
      </c>
      <c r="AI2135">
        <v>201.39694569860899</v>
      </c>
      <c r="AJ2135">
        <v>33.274165202109003</v>
      </c>
      <c r="AK2135">
        <v>50.177504393673097</v>
      </c>
    </row>
    <row r="2136" spans="1:37" x14ac:dyDescent="0.3">
      <c r="A2136">
        <v>2135</v>
      </c>
      <c r="B2136">
        <v>0</v>
      </c>
      <c r="C2136">
        <v>33.700001</v>
      </c>
      <c r="D2136">
        <v>-3.8333300000000001</v>
      </c>
      <c r="E2136" t="s">
        <v>3739</v>
      </c>
      <c r="F2136" t="s">
        <v>3741</v>
      </c>
      <c r="G2136" t="s">
        <v>37</v>
      </c>
      <c r="H2136">
        <v>2008</v>
      </c>
      <c r="I2136">
        <v>23.700000762939499</v>
      </c>
      <c r="J2136">
        <v>11.3999996185303</v>
      </c>
      <c r="K2136">
        <v>69</v>
      </c>
      <c r="L2136">
        <v>9.3002812833065303</v>
      </c>
      <c r="M2136">
        <v>32.099998474121101</v>
      </c>
      <c r="N2136">
        <v>15.6428823856562</v>
      </c>
      <c r="O2136">
        <v>16.457117586856601</v>
      </c>
      <c r="P2136">
        <v>23.625483782722998</v>
      </c>
      <c r="Q2136">
        <v>22.5</v>
      </c>
      <c r="R2136">
        <v>24.899999618530298</v>
      </c>
      <c r="S2136">
        <v>22.5</v>
      </c>
      <c r="T2136">
        <v>795.924428822496</v>
      </c>
      <c r="U2136">
        <v>152</v>
      </c>
      <c r="V2136">
        <v>1</v>
      </c>
      <c r="W2136">
        <v>84</v>
      </c>
      <c r="X2136">
        <v>380</v>
      </c>
      <c r="Y2136">
        <v>5</v>
      </c>
      <c r="Z2136">
        <v>122</v>
      </c>
      <c r="AA2136">
        <v>5</v>
      </c>
      <c r="AB2136">
        <v>9.5573222021227</v>
      </c>
      <c r="AC2136">
        <v>1.2426424129933E-2</v>
      </c>
      <c r="AD2136">
        <v>1.6548079702682399</v>
      </c>
      <c r="AE2136">
        <v>0.30225777626037598</v>
      </c>
      <c r="AF2136">
        <v>1115.65377855888</v>
      </c>
      <c r="AG2136">
        <f>IFERROR(AH2136*0.1, "N/A")</f>
        <v>7.6224956063268907</v>
      </c>
      <c r="AH2136">
        <v>76.224956063268905</v>
      </c>
      <c r="AI2136">
        <v>201.39694569860899</v>
      </c>
      <c r="AJ2136">
        <v>33.274165202109003</v>
      </c>
      <c r="AK2136">
        <v>50.177504393673097</v>
      </c>
    </row>
    <row r="2137" spans="1:37" x14ac:dyDescent="0.3">
      <c r="A2137">
        <v>2136</v>
      </c>
      <c r="B2137">
        <v>100</v>
      </c>
      <c r="C2137">
        <v>32.339401000000002</v>
      </c>
      <c r="D2137">
        <v>-3.8772199999999999</v>
      </c>
      <c r="E2137" t="s">
        <v>3742</v>
      </c>
      <c r="F2137" t="s">
        <v>3743</v>
      </c>
      <c r="G2137" t="s">
        <v>39</v>
      </c>
      <c r="H2137">
        <v>2008</v>
      </c>
      <c r="I2137">
        <v>22.899999618530298</v>
      </c>
      <c r="J2137">
        <v>11.699999809265099</v>
      </c>
      <c r="K2137">
        <v>70</v>
      </c>
      <c r="L2137">
        <v>9.2399997711181605</v>
      </c>
      <c r="M2137">
        <v>31.100000381469702</v>
      </c>
      <c r="N2137">
        <v>14.3999996185303</v>
      </c>
      <c r="O2137">
        <v>16.700000762939499</v>
      </c>
      <c r="P2137">
        <v>22.700000762939499</v>
      </c>
      <c r="Q2137">
        <v>21.799999237060501</v>
      </c>
      <c r="R2137">
        <v>24.200000762939499</v>
      </c>
      <c r="S2137">
        <v>21.799999237060501</v>
      </c>
      <c r="T2137">
        <v>862</v>
      </c>
      <c r="U2137">
        <v>145</v>
      </c>
      <c r="V2137">
        <v>0</v>
      </c>
      <c r="W2137">
        <v>80</v>
      </c>
      <c r="X2137">
        <v>403</v>
      </c>
      <c r="Y2137">
        <v>4</v>
      </c>
      <c r="Z2137">
        <v>162</v>
      </c>
      <c r="AA2137">
        <v>46</v>
      </c>
      <c r="AB2137">
        <v>12.1957758952109</v>
      </c>
      <c r="AC2137">
        <v>2.1763926244264001E-2</v>
      </c>
      <c r="AD2137">
        <v>2.13912361745047</v>
      </c>
      <c r="AE2137">
        <v>0.641107738018036</v>
      </c>
      <c r="AF2137">
        <v>1207.6836555360301</v>
      </c>
      <c r="AG2137">
        <f>IFERROR(AH2137*0.1, "N/A")</f>
        <v>5.5555360281195103</v>
      </c>
      <c r="AH2137">
        <v>55.5553602811951</v>
      </c>
      <c r="AI2137">
        <v>204.10481543783999</v>
      </c>
      <c r="AJ2137">
        <v>6.3339191564147601</v>
      </c>
      <c r="AK2137">
        <v>84.110720562390199</v>
      </c>
    </row>
    <row r="2138" spans="1:37" x14ac:dyDescent="0.3">
      <c r="A2138">
        <v>2137</v>
      </c>
      <c r="B2138">
        <v>0</v>
      </c>
      <c r="C2138">
        <v>32.339401000000002</v>
      </c>
      <c r="D2138">
        <v>-3.8772199999999999</v>
      </c>
      <c r="E2138" t="s">
        <v>3742</v>
      </c>
      <c r="F2138" t="s">
        <v>3744</v>
      </c>
      <c r="G2138" t="s">
        <v>37</v>
      </c>
      <c r="H2138">
        <v>2008</v>
      </c>
      <c r="I2138">
        <v>22.899999618530298</v>
      </c>
      <c r="J2138">
        <v>11.699999809265099</v>
      </c>
      <c r="K2138">
        <v>70</v>
      </c>
      <c r="L2138">
        <v>9.2399997711181605</v>
      </c>
      <c r="M2138">
        <v>31.100000381469702</v>
      </c>
      <c r="N2138">
        <v>14.3999996185303</v>
      </c>
      <c r="O2138">
        <v>16.700000762939499</v>
      </c>
      <c r="P2138">
        <v>22.700000762939499</v>
      </c>
      <c r="Q2138">
        <v>21.799999237060501</v>
      </c>
      <c r="R2138">
        <v>24.200000762939499</v>
      </c>
      <c r="S2138">
        <v>21.799999237060501</v>
      </c>
      <c r="T2138">
        <v>862</v>
      </c>
      <c r="U2138">
        <v>145</v>
      </c>
      <c r="V2138">
        <v>0</v>
      </c>
      <c r="W2138">
        <v>80</v>
      </c>
      <c r="X2138">
        <v>403</v>
      </c>
      <c r="Y2138">
        <v>4</v>
      </c>
      <c r="Z2138">
        <v>162</v>
      </c>
      <c r="AA2138">
        <v>46</v>
      </c>
      <c r="AB2138">
        <v>12.1957758952109</v>
      </c>
      <c r="AC2138">
        <v>2.1763926244264001E-2</v>
      </c>
      <c r="AD2138">
        <v>2.13912361745047</v>
      </c>
      <c r="AE2138">
        <v>0.641107738018036</v>
      </c>
      <c r="AF2138">
        <v>1207.6836555360301</v>
      </c>
      <c r="AG2138">
        <f>IFERROR(AH2138*0.1, "N/A")</f>
        <v>5.5555360281195103</v>
      </c>
      <c r="AH2138">
        <v>55.5553602811951</v>
      </c>
      <c r="AI2138">
        <v>204.10481543783999</v>
      </c>
      <c r="AJ2138">
        <v>6.3339191564147601</v>
      </c>
      <c r="AK2138">
        <v>84.110720562390199</v>
      </c>
    </row>
    <row r="2139" spans="1:37" x14ac:dyDescent="0.3">
      <c r="A2139">
        <v>2138</v>
      </c>
      <c r="B2139">
        <v>0</v>
      </c>
      <c r="C2139">
        <v>32.868899999999996</v>
      </c>
      <c r="D2139">
        <v>-4.0586099999999998</v>
      </c>
      <c r="E2139" t="s">
        <v>3745</v>
      </c>
      <c r="F2139" t="s">
        <v>3746</v>
      </c>
      <c r="G2139" t="s">
        <v>39</v>
      </c>
      <c r="H2139">
        <v>2008</v>
      </c>
      <c r="I2139">
        <v>23.399999618530298</v>
      </c>
      <c r="J2139">
        <v>11.699999809265099</v>
      </c>
      <c r="K2139">
        <v>68.493870402802102</v>
      </c>
      <c r="L2139">
        <v>9.8460422990201</v>
      </c>
      <c r="M2139">
        <v>31.9506127713232</v>
      </c>
      <c r="N2139">
        <v>15</v>
      </c>
      <c r="O2139">
        <v>16.9506127713232</v>
      </c>
      <c r="P2139">
        <v>23.200000762939499</v>
      </c>
      <c r="Q2139">
        <v>22.299999237060501</v>
      </c>
      <c r="R2139">
        <v>24.799999237060501</v>
      </c>
      <c r="S2139">
        <v>22.200000762939499</v>
      </c>
      <c r="T2139">
        <v>902.98774080560395</v>
      </c>
      <c r="U2139">
        <v>162</v>
      </c>
      <c r="V2139">
        <v>1</v>
      </c>
      <c r="W2139">
        <v>82</v>
      </c>
      <c r="X2139">
        <v>416.49387040280197</v>
      </c>
      <c r="Y2139">
        <v>6</v>
      </c>
      <c r="Z2139">
        <v>157</v>
      </c>
      <c r="AA2139">
        <v>50.493870402802102</v>
      </c>
      <c r="AB2139">
        <v>2.0619796512423401</v>
      </c>
      <c r="AC2139">
        <v>0.27880307487921602</v>
      </c>
      <c r="AD2139">
        <v>1.2485022104350101</v>
      </c>
      <c r="AE2139">
        <v>0.38551846146583602</v>
      </c>
      <c r="AF2139">
        <v>1156.4325744308201</v>
      </c>
      <c r="AG2139">
        <f>IFERROR(AH2139*0.1, "N/A")</f>
        <v>5.7</v>
      </c>
      <c r="AH2139">
        <v>57</v>
      </c>
      <c r="AI2139">
        <v>51.0066303112878</v>
      </c>
      <c r="AJ2139">
        <v>19.733800350262701</v>
      </c>
      <c r="AK2139">
        <v>68.665499124343299</v>
      </c>
    </row>
    <row r="2140" spans="1:37" x14ac:dyDescent="0.3">
      <c r="A2140">
        <v>2139</v>
      </c>
      <c r="B2140">
        <v>0</v>
      </c>
      <c r="C2140">
        <v>32.868899999999996</v>
      </c>
      <c r="D2140">
        <v>-4.0586099999999998</v>
      </c>
      <c r="E2140" t="s">
        <v>3745</v>
      </c>
      <c r="F2140" t="s">
        <v>3747</v>
      </c>
      <c r="G2140" t="s">
        <v>37</v>
      </c>
      <c r="H2140">
        <v>2008</v>
      </c>
      <c r="I2140">
        <v>23.399999618530298</v>
      </c>
      <c r="J2140">
        <v>11.699999809265099</v>
      </c>
      <c r="K2140">
        <v>68.493870402802102</v>
      </c>
      <c r="L2140">
        <v>9.8460422990201</v>
      </c>
      <c r="M2140">
        <v>31.9506127713232</v>
      </c>
      <c r="N2140">
        <v>15</v>
      </c>
      <c r="O2140">
        <v>16.9506127713232</v>
      </c>
      <c r="P2140">
        <v>23.200000762939499</v>
      </c>
      <c r="Q2140">
        <v>22.299999237060501</v>
      </c>
      <c r="R2140">
        <v>24.799999237060501</v>
      </c>
      <c r="S2140">
        <v>22.200000762939499</v>
      </c>
      <c r="T2140">
        <v>902.98774080560395</v>
      </c>
      <c r="U2140">
        <v>162</v>
      </c>
      <c r="V2140">
        <v>1</v>
      </c>
      <c r="W2140">
        <v>82</v>
      </c>
      <c r="X2140">
        <v>416.49387040280197</v>
      </c>
      <c r="Y2140">
        <v>6</v>
      </c>
      <c r="Z2140">
        <v>157</v>
      </c>
      <c r="AA2140">
        <v>50.493870402802102</v>
      </c>
      <c r="AB2140">
        <v>2.0619796512423401</v>
      </c>
      <c r="AC2140">
        <v>0.27880307487921602</v>
      </c>
      <c r="AD2140">
        <v>1.2485022104350101</v>
      </c>
      <c r="AE2140">
        <v>0.38551846146583602</v>
      </c>
      <c r="AF2140">
        <v>1156.4325744308201</v>
      </c>
      <c r="AG2140">
        <f>IFERROR(AH2140*0.1, "N/A")</f>
        <v>5.7</v>
      </c>
      <c r="AH2140">
        <v>57</v>
      </c>
      <c r="AI2140">
        <v>51.0066303112878</v>
      </c>
      <c r="AJ2140">
        <v>19.733800350262701</v>
      </c>
      <c r="AK2140">
        <v>68.665499124343299</v>
      </c>
    </row>
    <row r="2141" spans="1:37" x14ac:dyDescent="0.3">
      <c r="A2141">
        <v>2140</v>
      </c>
      <c r="B2141">
        <v>0</v>
      </c>
      <c r="C2141">
        <v>33.75</v>
      </c>
      <c r="D2141">
        <v>-4.2333299999999996</v>
      </c>
      <c r="E2141" t="s">
        <v>3748</v>
      </c>
      <c r="F2141" t="s">
        <v>3749</v>
      </c>
      <c r="G2141" t="s">
        <v>39</v>
      </c>
      <c r="H2141">
        <v>2008</v>
      </c>
      <c r="I2141">
        <v>23.399999618530298</v>
      </c>
      <c r="J2141">
        <v>11.5</v>
      </c>
      <c r="K2141">
        <v>68</v>
      </c>
      <c r="L2141">
        <v>10.172140220173601</v>
      </c>
      <c r="M2141">
        <v>31.899999618530298</v>
      </c>
      <c r="N2141">
        <v>15.199999809265099</v>
      </c>
      <c r="O2141">
        <v>16.700000762939499</v>
      </c>
      <c r="P2141">
        <v>23.4119294886004</v>
      </c>
      <c r="Q2141">
        <v>22.014035141258901</v>
      </c>
      <c r="R2141">
        <v>24.700000762939499</v>
      </c>
      <c r="S2141">
        <v>22.014035141258901</v>
      </c>
      <c r="T2141">
        <v>771.64210526315799</v>
      </c>
      <c r="U2141">
        <v>141.02105263157901</v>
      </c>
      <c r="V2141">
        <v>0</v>
      </c>
      <c r="W2141">
        <v>87.880701754385996</v>
      </c>
      <c r="X2141">
        <v>378.02105263157898</v>
      </c>
      <c r="Y2141">
        <v>2</v>
      </c>
      <c r="Z2141">
        <v>106.859649122807</v>
      </c>
      <c r="AA2141">
        <v>6.3508771929824501</v>
      </c>
      <c r="AB2141">
        <v>6.27793782552083</v>
      </c>
      <c r="AC2141">
        <v>5.3363619437605002E-2</v>
      </c>
      <c r="AD2141">
        <v>0.65282612788049799</v>
      </c>
      <c r="AE2141">
        <v>0.27140405774116499</v>
      </c>
      <c r="AF2141">
        <v>1134.55614035088</v>
      </c>
      <c r="AG2141">
        <f>IFERROR(AH2141*0.1, "N/A")</f>
        <v>6.8445614035087701</v>
      </c>
      <c r="AH2141">
        <v>68.445614035087701</v>
      </c>
      <c r="AI2141">
        <v>155.01351794861901</v>
      </c>
      <c r="AJ2141">
        <v>32.787719298245598</v>
      </c>
      <c r="AK2141">
        <v>51.978947368421103</v>
      </c>
    </row>
    <row r="2142" spans="1:37" x14ac:dyDescent="0.3">
      <c r="A2142">
        <v>2141</v>
      </c>
      <c r="B2142">
        <v>0</v>
      </c>
      <c r="C2142">
        <v>33.75</v>
      </c>
      <c r="D2142">
        <v>-4.2333299999999996</v>
      </c>
      <c r="E2142" t="s">
        <v>3748</v>
      </c>
      <c r="F2142" t="s">
        <v>3750</v>
      </c>
      <c r="G2142" t="s">
        <v>37</v>
      </c>
      <c r="H2142">
        <v>2008</v>
      </c>
      <c r="I2142">
        <v>23.399999618530298</v>
      </c>
      <c r="J2142">
        <v>11.5</v>
      </c>
      <c r="K2142">
        <v>68</v>
      </c>
      <c r="L2142">
        <v>10.172140220173601</v>
      </c>
      <c r="M2142">
        <v>31.899999618530298</v>
      </c>
      <c r="N2142">
        <v>15.199999809265099</v>
      </c>
      <c r="O2142">
        <v>16.700000762939499</v>
      </c>
      <c r="P2142">
        <v>23.4119294886004</v>
      </c>
      <c r="Q2142">
        <v>22.014035141258901</v>
      </c>
      <c r="R2142">
        <v>24.700000762939499</v>
      </c>
      <c r="S2142">
        <v>22.014035141258901</v>
      </c>
      <c r="T2142">
        <v>771.64210526315799</v>
      </c>
      <c r="U2142">
        <v>141.02105263157901</v>
      </c>
      <c r="V2142">
        <v>0</v>
      </c>
      <c r="W2142">
        <v>87.880701754385996</v>
      </c>
      <c r="X2142">
        <v>378.02105263157898</v>
      </c>
      <c r="Y2142">
        <v>2</v>
      </c>
      <c r="Z2142">
        <v>106.859649122807</v>
      </c>
      <c r="AA2142">
        <v>6.3508771929824501</v>
      </c>
      <c r="AB2142">
        <v>6.27793782552083</v>
      </c>
      <c r="AC2142">
        <v>5.3363619437605002E-2</v>
      </c>
      <c r="AD2142">
        <v>0.65282612788049799</v>
      </c>
      <c r="AE2142">
        <v>0.27140405774116499</v>
      </c>
      <c r="AF2142">
        <v>1134.55614035088</v>
      </c>
      <c r="AG2142">
        <f>IFERROR(AH2142*0.1, "N/A")</f>
        <v>6.8445614035087701</v>
      </c>
      <c r="AH2142">
        <v>68.445614035087701</v>
      </c>
      <c r="AI2142">
        <v>155.01351794861901</v>
      </c>
      <c r="AJ2142">
        <v>32.787719298245598</v>
      </c>
      <c r="AK2142">
        <v>51.978947368421103</v>
      </c>
    </row>
    <row r="2143" spans="1:37" x14ac:dyDescent="0.3">
      <c r="A2143">
        <v>2142</v>
      </c>
      <c r="B2143">
        <v>0</v>
      </c>
      <c r="C2143">
        <v>33.049999</v>
      </c>
      <c r="D2143">
        <v>-4.3</v>
      </c>
      <c r="E2143" t="s">
        <v>3751</v>
      </c>
      <c r="F2143" t="s">
        <v>3752</v>
      </c>
      <c r="G2143" t="s">
        <v>39</v>
      </c>
      <c r="H2143">
        <v>2008</v>
      </c>
      <c r="I2143">
        <v>23</v>
      </c>
      <c r="J2143">
        <v>11.699999809265099</v>
      </c>
      <c r="K2143">
        <v>68</v>
      </c>
      <c r="L2143">
        <v>10.6303157940246</v>
      </c>
      <c r="M2143">
        <v>31.799999237060501</v>
      </c>
      <c r="N2143">
        <v>14.629123021845199</v>
      </c>
      <c r="O2143">
        <v>17.170877844827199</v>
      </c>
      <c r="P2143">
        <v>22.799999237060501</v>
      </c>
      <c r="Q2143">
        <v>21.829122155172801</v>
      </c>
      <c r="R2143">
        <v>24.529122918112201</v>
      </c>
      <c r="S2143">
        <v>21.729123125578202</v>
      </c>
      <c r="T2143">
        <v>804.12631578947401</v>
      </c>
      <c r="U2143">
        <v>163</v>
      </c>
      <c r="V2143">
        <v>0</v>
      </c>
      <c r="W2143">
        <v>86.291228070175407</v>
      </c>
      <c r="X2143">
        <v>404.29298245614001</v>
      </c>
      <c r="Y2143">
        <v>3</v>
      </c>
      <c r="Z2143">
        <v>136.70877192982499</v>
      </c>
      <c r="AA2143">
        <v>41</v>
      </c>
      <c r="AB2143">
        <v>11.209848504317399</v>
      </c>
      <c r="AC2143">
        <v>1.3040648557638E-2</v>
      </c>
      <c r="AD2143">
        <v>1.4129876134688399</v>
      </c>
      <c r="AE2143">
        <v>0.63528400659561202</v>
      </c>
      <c r="AF2143">
        <v>1234.83859649123</v>
      </c>
      <c r="AG2143">
        <f>IFERROR(AH2143*0.1, "N/A")</f>
        <v>6.2752631578947407</v>
      </c>
      <c r="AH2143">
        <v>62.752631578947401</v>
      </c>
      <c r="AI2143">
        <v>110.58829774020001</v>
      </c>
      <c r="AJ2143">
        <v>21.5842105263158</v>
      </c>
      <c r="AK2143">
        <v>67.247368421052698</v>
      </c>
    </row>
    <row r="2144" spans="1:37" x14ac:dyDescent="0.3">
      <c r="A2144">
        <v>2143</v>
      </c>
      <c r="B2144">
        <v>0</v>
      </c>
      <c r="C2144">
        <v>33.049999</v>
      </c>
      <c r="D2144">
        <v>-4.3</v>
      </c>
      <c r="E2144" t="s">
        <v>3751</v>
      </c>
      <c r="F2144" t="s">
        <v>3753</v>
      </c>
      <c r="G2144" t="s">
        <v>37</v>
      </c>
      <c r="H2144">
        <v>2008</v>
      </c>
      <c r="I2144">
        <v>23</v>
      </c>
      <c r="J2144">
        <v>11.699999809265099</v>
      </c>
      <c r="K2144">
        <v>68</v>
      </c>
      <c r="L2144">
        <v>10.6303157940246</v>
      </c>
      <c r="M2144">
        <v>31.799999237060501</v>
      </c>
      <c r="N2144">
        <v>14.629123021845199</v>
      </c>
      <c r="O2144">
        <v>17.170877844827199</v>
      </c>
      <c r="P2144">
        <v>22.799999237060501</v>
      </c>
      <c r="Q2144">
        <v>21.829122155172801</v>
      </c>
      <c r="R2144">
        <v>24.529122918112201</v>
      </c>
      <c r="S2144">
        <v>21.729123125578202</v>
      </c>
      <c r="T2144">
        <v>804.12631578947401</v>
      </c>
      <c r="U2144">
        <v>163</v>
      </c>
      <c r="V2144">
        <v>0</v>
      </c>
      <c r="W2144">
        <v>86.291228070175407</v>
      </c>
      <c r="X2144">
        <v>404.29298245614001</v>
      </c>
      <c r="Y2144">
        <v>3</v>
      </c>
      <c r="Z2144">
        <v>136.70877192982499</v>
      </c>
      <c r="AA2144">
        <v>41</v>
      </c>
      <c r="AB2144">
        <v>11.209848504317399</v>
      </c>
      <c r="AC2144">
        <v>1.3040648557638E-2</v>
      </c>
      <c r="AD2144">
        <v>1.4129876134688399</v>
      </c>
      <c r="AE2144">
        <v>0.63528400659561202</v>
      </c>
      <c r="AF2144">
        <v>1234.83859649123</v>
      </c>
      <c r="AG2144">
        <f>IFERROR(AH2144*0.1, "N/A")</f>
        <v>6.2752631578947407</v>
      </c>
      <c r="AH2144">
        <v>62.752631578947401</v>
      </c>
      <c r="AI2144">
        <v>110.58829774020001</v>
      </c>
      <c r="AJ2144">
        <v>21.5842105263158</v>
      </c>
      <c r="AK2144">
        <v>67.247368421052698</v>
      </c>
    </row>
    <row r="2145" spans="1:37" x14ac:dyDescent="0.3">
      <c r="A2145">
        <v>2144</v>
      </c>
      <c r="B2145">
        <v>0</v>
      </c>
      <c r="C2145">
        <v>34</v>
      </c>
      <c r="D2145">
        <v>-4.3</v>
      </c>
      <c r="E2145" t="s">
        <v>3754</v>
      </c>
      <c r="F2145" t="s">
        <v>3755</v>
      </c>
      <c r="G2145" t="s">
        <v>39</v>
      </c>
      <c r="H2145">
        <v>2008</v>
      </c>
      <c r="I2145">
        <v>23.700000762939499</v>
      </c>
      <c r="J2145">
        <v>11.6000003814697</v>
      </c>
      <c r="K2145">
        <v>69</v>
      </c>
      <c r="L2145">
        <v>10.4319858902997</v>
      </c>
      <c r="M2145">
        <v>32.099998474121101</v>
      </c>
      <c r="N2145">
        <v>15.3999996185303</v>
      </c>
      <c r="O2145">
        <v>16.700000762939499</v>
      </c>
      <c r="P2145">
        <v>23.799999237060501</v>
      </c>
      <c r="Q2145">
        <v>22.200000762939499</v>
      </c>
      <c r="R2145">
        <v>24.9710016468497</v>
      </c>
      <c r="S2145">
        <v>22.200000762939499</v>
      </c>
      <c r="T2145">
        <v>724.39015817223196</v>
      </c>
      <c r="U2145">
        <v>135</v>
      </c>
      <c r="V2145">
        <v>0</v>
      </c>
      <c r="W2145">
        <v>90</v>
      </c>
      <c r="X2145">
        <v>365.84007029877</v>
      </c>
      <c r="Y2145">
        <v>1</v>
      </c>
      <c r="Z2145">
        <v>92.550087873462203</v>
      </c>
      <c r="AA2145">
        <v>1</v>
      </c>
      <c r="AB2145">
        <v>1.4305662346221399</v>
      </c>
      <c r="AC2145">
        <v>1.0516770354264E-2</v>
      </c>
      <c r="AD2145">
        <v>0.92278743858706103</v>
      </c>
      <c r="AE2145">
        <v>0.49909823823896998</v>
      </c>
      <c r="AF2145">
        <v>1051.07205623902</v>
      </c>
      <c r="AG2145">
        <f>IFERROR(AH2145*0.1, "N/A")</f>
        <v>7.7778558875219703</v>
      </c>
      <c r="AH2145">
        <v>77.778558875219701</v>
      </c>
      <c r="AI2145">
        <v>65.873392242538898</v>
      </c>
      <c r="AJ2145">
        <v>29.221441124780299</v>
      </c>
      <c r="AK2145">
        <v>56.335676625658998</v>
      </c>
    </row>
    <row r="2146" spans="1:37" x14ac:dyDescent="0.3">
      <c r="A2146">
        <v>2145</v>
      </c>
      <c r="B2146">
        <v>0</v>
      </c>
      <c r="C2146">
        <v>34</v>
      </c>
      <c r="D2146">
        <v>-4.3</v>
      </c>
      <c r="E2146" t="s">
        <v>3754</v>
      </c>
      <c r="F2146" t="s">
        <v>3756</v>
      </c>
      <c r="G2146" t="s">
        <v>37</v>
      </c>
      <c r="H2146">
        <v>2008</v>
      </c>
      <c r="I2146">
        <v>23.700000762939499</v>
      </c>
      <c r="J2146">
        <v>11.6000003814697</v>
      </c>
      <c r="K2146">
        <v>69</v>
      </c>
      <c r="L2146">
        <v>10.4319858902997</v>
      </c>
      <c r="M2146">
        <v>32.099998474121101</v>
      </c>
      <c r="N2146">
        <v>15.3999996185303</v>
      </c>
      <c r="O2146">
        <v>16.700000762939499</v>
      </c>
      <c r="P2146">
        <v>23.799999237060501</v>
      </c>
      <c r="Q2146">
        <v>22.200000762939499</v>
      </c>
      <c r="R2146">
        <v>24.9710016468497</v>
      </c>
      <c r="S2146">
        <v>22.200000762939499</v>
      </c>
      <c r="T2146">
        <v>724.39015817223196</v>
      </c>
      <c r="U2146">
        <v>135</v>
      </c>
      <c r="V2146">
        <v>0</v>
      </c>
      <c r="W2146">
        <v>90</v>
      </c>
      <c r="X2146">
        <v>365.84007029877</v>
      </c>
      <c r="Y2146">
        <v>1</v>
      </c>
      <c r="Z2146">
        <v>92.550087873462203</v>
      </c>
      <c r="AA2146">
        <v>1</v>
      </c>
      <c r="AB2146">
        <v>1.4305662346221399</v>
      </c>
      <c r="AC2146">
        <v>1.0516770354264E-2</v>
      </c>
      <c r="AD2146">
        <v>0.92278743858706103</v>
      </c>
      <c r="AE2146">
        <v>0.49909823823896998</v>
      </c>
      <c r="AF2146">
        <v>1051.07205623902</v>
      </c>
      <c r="AG2146">
        <f>IFERROR(AH2146*0.1, "N/A")</f>
        <v>7.7778558875219703</v>
      </c>
      <c r="AH2146">
        <v>77.778558875219701</v>
      </c>
      <c r="AI2146">
        <v>65.873392242538898</v>
      </c>
      <c r="AJ2146">
        <v>29.221441124780299</v>
      </c>
      <c r="AK2146">
        <v>56.335676625658998</v>
      </c>
    </row>
    <row r="2147" spans="1:37" x14ac:dyDescent="0.3">
      <c r="A2147">
        <v>2146</v>
      </c>
      <c r="B2147">
        <v>0</v>
      </c>
      <c r="C2147">
        <v>38.033298000000002</v>
      </c>
      <c r="D2147">
        <v>-4.3</v>
      </c>
      <c r="E2147" t="s">
        <v>3757</v>
      </c>
      <c r="F2147" t="s">
        <v>3758</v>
      </c>
      <c r="G2147" t="s">
        <v>39</v>
      </c>
      <c r="H2147">
        <v>2008</v>
      </c>
      <c r="I2147">
        <v>23.852631501984199</v>
      </c>
      <c r="J2147">
        <v>11.699999809265099</v>
      </c>
      <c r="K2147">
        <v>68</v>
      </c>
      <c r="L2147">
        <v>17.4820875703243</v>
      </c>
      <c r="M2147">
        <v>32.786315683732902</v>
      </c>
      <c r="N2147">
        <v>15.586316006643701</v>
      </c>
      <c r="O2147">
        <v>17.200000762939499</v>
      </c>
      <c r="P2147">
        <v>25.560877425210499</v>
      </c>
      <c r="Q2147">
        <v>21.3863153558028</v>
      </c>
      <c r="R2147">
        <v>25.860877147473801</v>
      </c>
      <c r="S2147">
        <v>21.3863153558028</v>
      </c>
      <c r="T2147">
        <v>785.98947368421</v>
      </c>
      <c r="U2147">
        <v>153.443859649123</v>
      </c>
      <c r="V2147">
        <v>4</v>
      </c>
      <c r="W2147">
        <v>80.373684210526307</v>
      </c>
      <c r="X2147">
        <v>341.54736842105302</v>
      </c>
      <c r="Y2147">
        <v>18.136842105263199</v>
      </c>
      <c r="Z2147">
        <v>304.98947368421102</v>
      </c>
      <c r="AA2147">
        <v>18.136842105263199</v>
      </c>
      <c r="AB2147">
        <v>2.5870361328125</v>
      </c>
      <c r="AC2147">
        <v>0.133471681442308</v>
      </c>
      <c r="AD2147">
        <v>1.6994497803219599</v>
      </c>
      <c r="AE2147">
        <v>0.32303112745285001</v>
      </c>
      <c r="AF2147">
        <v>536.13859649122799</v>
      </c>
      <c r="AG2147">
        <f>IFERROR(AH2147*0.1, "N/A")</f>
        <v>6.8000000000000007</v>
      </c>
      <c r="AH2147">
        <v>68</v>
      </c>
      <c r="AI2147">
        <v>162.48476637455499</v>
      </c>
      <c r="AJ2147">
        <v>33.145614035087704</v>
      </c>
      <c r="AK2147">
        <v>49.563157894736797</v>
      </c>
    </row>
    <row r="2148" spans="1:37" x14ac:dyDescent="0.3">
      <c r="A2148">
        <v>2147</v>
      </c>
      <c r="B2148">
        <v>0</v>
      </c>
      <c r="C2148">
        <v>38.033298000000002</v>
      </c>
      <c r="D2148">
        <v>-4.3</v>
      </c>
      <c r="E2148" t="s">
        <v>3757</v>
      </c>
      <c r="F2148" t="s">
        <v>3759</v>
      </c>
      <c r="G2148" t="s">
        <v>37</v>
      </c>
      <c r="H2148">
        <v>2008</v>
      </c>
      <c r="I2148">
        <v>23.852631501984199</v>
      </c>
      <c r="J2148">
        <v>11.699999809265099</v>
      </c>
      <c r="K2148">
        <v>68</v>
      </c>
      <c r="L2148">
        <v>17.4820875703243</v>
      </c>
      <c r="M2148">
        <v>32.786315683732902</v>
      </c>
      <c r="N2148">
        <v>15.586316006643701</v>
      </c>
      <c r="O2148">
        <v>17.200000762939499</v>
      </c>
      <c r="P2148">
        <v>25.560877425210499</v>
      </c>
      <c r="Q2148">
        <v>21.3863153558028</v>
      </c>
      <c r="R2148">
        <v>25.860877147473801</v>
      </c>
      <c r="S2148">
        <v>21.3863153558028</v>
      </c>
      <c r="T2148">
        <v>785.98947368421</v>
      </c>
      <c r="U2148">
        <v>153.443859649123</v>
      </c>
      <c r="V2148">
        <v>4</v>
      </c>
      <c r="W2148">
        <v>80.373684210526307</v>
      </c>
      <c r="X2148">
        <v>341.54736842105302</v>
      </c>
      <c r="Y2148">
        <v>18.136842105263199</v>
      </c>
      <c r="Z2148">
        <v>304.98947368421102</v>
      </c>
      <c r="AA2148">
        <v>18.136842105263199</v>
      </c>
      <c r="AB2148">
        <v>2.5870361328125</v>
      </c>
      <c r="AC2148">
        <v>0.133471681442308</v>
      </c>
      <c r="AD2148">
        <v>1.6994497803219599</v>
      </c>
      <c r="AE2148">
        <v>0.32303112745285001</v>
      </c>
      <c r="AF2148">
        <v>536.13859649122799</v>
      </c>
      <c r="AG2148">
        <f>IFERROR(AH2148*0.1, "N/A")</f>
        <v>6.8000000000000007</v>
      </c>
      <c r="AH2148">
        <v>68</v>
      </c>
      <c r="AI2148">
        <v>162.48476637455499</v>
      </c>
      <c r="AJ2148">
        <v>33.145614035087704</v>
      </c>
      <c r="AK2148">
        <v>49.563157894736797</v>
      </c>
    </row>
    <row r="2149" spans="1:37" x14ac:dyDescent="0.3">
      <c r="A2149">
        <v>2148</v>
      </c>
      <c r="B2149">
        <v>0</v>
      </c>
      <c r="C2149">
        <v>34.566699999999997</v>
      </c>
      <c r="D2149">
        <v>-4.5</v>
      </c>
      <c r="E2149" t="s">
        <v>3760</v>
      </c>
      <c r="F2149" t="s">
        <v>3761</v>
      </c>
      <c r="G2149" t="s">
        <v>39</v>
      </c>
      <c r="H2149">
        <v>2008</v>
      </c>
      <c r="I2149">
        <v>21.2290712914408</v>
      </c>
      <c r="J2149">
        <v>11.3726791592279</v>
      </c>
      <c r="K2149">
        <v>69</v>
      </c>
      <c r="L2149">
        <v>11.774290868154599</v>
      </c>
      <c r="M2149">
        <v>29.1521895320111</v>
      </c>
      <c r="N2149">
        <v>12.842206438869599</v>
      </c>
      <c r="O2149">
        <v>16.3099820125333</v>
      </c>
      <c r="P2149">
        <v>21.829071672910601</v>
      </c>
      <c r="Q2149">
        <v>19.419089258865402</v>
      </c>
      <c r="R2149">
        <v>22.428021011753401</v>
      </c>
      <c r="S2149">
        <v>19.419089258865402</v>
      </c>
      <c r="T2149">
        <v>714.78458844133104</v>
      </c>
      <c r="U2149">
        <v>137.70928196147099</v>
      </c>
      <c r="V2149">
        <v>0</v>
      </c>
      <c r="W2149">
        <v>94.858143607705799</v>
      </c>
      <c r="X2149">
        <v>391.42907180385299</v>
      </c>
      <c r="Y2149">
        <v>1</v>
      </c>
      <c r="Z2149">
        <v>208.53590192644501</v>
      </c>
      <c r="AA2149">
        <v>1</v>
      </c>
      <c r="AB2149">
        <v>69.724014415841197</v>
      </c>
      <c r="AC2149">
        <v>1.0581649851295E-2</v>
      </c>
      <c r="AD2149">
        <v>14.1481518803879</v>
      </c>
      <c r="AE2149">
        <v>0.39911319845194598</v>
      </c>
      <c r="AF2149">
        <v>1433.9527145359</v>
      </c>
      <c r="AG2149">
        <f>IFERROR(AH2149*0.1, "N/A")</f>
        <v>5.8211908931698808</v>
      </c>
      <c r="AH2149">
        <v>58.211908931698801</v>
      </c>
      <c r="AI2149">
        <v>86.127162165065599</v>
      </c>
      <c r="AJ2149">
        <v>27.281961471103301</v>
      </c>
      <c r="AK2149">
        <v>56.222416812609502</v>
      </c>
    </row>
    <row r="2150" spans="1:37" x14ac:dyDescent="0.3">
      <c r="A2150">
        <v>2149</v>
      </c>
      <c r="B2150">
        <v>0</v>
      </c>
      <c r="C2150">
        <v>34.566699999999997</v>
      </c>
      <c r="D2150">
        <v>-4.5</v>
      </c>
      <c r="E2150" t="s">
        <v>3760</v>
      </c>
      <c r="F2150" t="s">
        <v>3762</v>
      </c>
      <c r="G2150" t="s">
        <v>37</v>
      </c>
      <c r="H2150">
        <v>2008</v>
      </c>
      <c r="I2150">
        <v>21.2290712914408</v>
      </c>
      <c r="J2150">
        <v>11.3726791592279</v>
      </c>
      <c r="K2150">
        <v>69</v>
      </c>
      <c r="L2150">
        <v>11.774290868154599</v>
      </c>
      <c r="M2150">
        <v>29.1521895320111</v>
      </c>
      <c r="N2150">
        <v>12.842206438869599</v>
      </c>
      <c r="O2150">
        <v>16.3099820125333</v>
      </c>
      <c r="P2150">
        <v>21.829071672910601</v>
      </c>
      <c r="Q2150">
        <v>19.419089258865402</v>
      </c>
      <c r="R2150">
        <v>22.428021011753401</v>
      </c>
      <c r="S2150">
        <v>19.419089258865402</v>
      </c>
      <c r="T2150">
        <v>714.78458844133104</v>
      </c>
      <c r="U2150">
        <v>137.70928196147099</v>
      </c>
      <c r="V2150">
        <v>0</v>
      </c>
      <c r="W2150">
        <v>94.858143607705799</v>
      </c>
      <c r="X2150">
        <v>391.42907180385299</v>
      </c>
      <c r="Y2150">
        <v>1</v>
      </c>
      <c r="Z2150">
        <v>208.53590192644501</v>
      </c>
      <c r="AA2150">
        <v>1</v>
      </c>
      <c r="AB2150">
        <v>69.724014415841197</v>
      </c>
      <c r="AC2150">
        <v>1.0581649851295E-2</v>
      </c>
      <c r="AD2150">
        <v>14.1481518803879</v>
      </c>
      <c r="AE2150">
        <v>0.39911319845194598</v>
      </c>
      <c r="AF2150">
        <v>1433.9527145359</v>
      </c>
      <c r="AG2150">
        <f>IFERROR(AH2150*0.1, "N/A")</f>
        <v>5.8211908931698808</v>
      </c>
      <c r="AH2150">
        <v>58.211908931698801</v>
      </c>
      <c r="AI2150">
        <v>86.127162165065599</v>
      </c>
      <c r="AJ2150">
        <v>27.281961471103301</v>
      </c>
      <c r="AK2150">
        <v>56.222416812609502</v>
      </c>
    </row>
    <row r="2151" spans="1:37" x14ac:dyDescent="0.3">
      <c r="A2151">
        <v>2150</v>
      </c>
      <c r="B2151">
        <v>0</v>
      </c>
      <c r="C2151">
        <v>32.259998000000003</v>
      </c>
      <c r="D2151">
        <v>-4.5636099999999997</v>
      </c>
      <c r="E2151" t="s">
        <v>3763</v>
      </c>
      <c r="F2151" t="s">
        <v>3764</v>
      </c>
      <c r="G2151" t="s">
        <v>39</v>
      </c>
      <c r="H2151">
        <v>2008</v>
      </c>
      <c r="I2151">
        <v>23.399999618530298</v>
      </c>
      <c r="J2151">
        <v>12.300000190734901</v>
      </c>
      <c r="K2151">
        <v>68</v>
      </c>
      <c r="L2151">
        <v>11.3900003433228</v>
      </c>
      <c r="M2151">
        <v>32.299999237060497</v>
      </c>
      <c r="N2151">
        <v>14.3999996185303</v>
      </c>
      <c r="O2151">
        <v>17.899999618530298</v>
      </c>
      <c r="P2151">
        <v>23.200000762939499</v>
      </c>
      <c r="Q2151">
        <v>22.299999237060501</v>
      </c>
      <c r="R2151">
        <v>25.200000762939499</v>
      </c>
      <c r="S2151">
        <v>22.200000762939499</v>
      </c>
      <c r="T2151">
        <v>911</v>
      </c>
      <c r="U2151">
        <v>164</v>
      </c>
      <c r="V2151">
        <v>0</v>
      </c>
      <c r="W2151">
        <v>87</v>
      </c>
      <c r="X2151">
        <v>444</v>
      </c>
      <c r="Y2151">
        <v>2</v>
      </c>
      <c r="Z2151">
        <v>141</v>
      </c>
      <c r="AA2151">
        <v>40</v>
      </c>
      <c r="AB2151">
        <v>3.7847330729166702</v>
      </c>
      <c r="AC2151">
        <v>8.9398877548149992E-3</v>
      </c>
      <c r="AD2151">
        <v>2.1897551719556798</v>
      </c>
      <c r="AE2151">
        <v>0.30926594138145402</v>
      </c>
      <c r="AF2151">
        <v>1116.18596491228</v>
      </c>
      <c r="AG2151">
        <f>IFERROR(AH2151*0.1, "N/A")</f>
        <v>5.5810526315789506</v>
      </c>
      <c r="AH2151">
        <v>55.810526315789502</v>
      </c>
      <c r="AI2151">
        <v>229.00530029430701</v>
      </c>
      <c r="AJ2151">
        <v>21.612280701754401</v>
      </c>
      <c r="AK2151">
        <v>66.089473684210503</v>
      </c>
    </row>
    <row r="2152" spans="1:37" x14ac:dyDescent="0.3">
      <c r="A2152">
        <v>2151</v>
      </c>
      <c r="B2152">
        <v>0</v>
      </c>
      <c r="C2152">
        <v>32.259998000000003</v>
      </c>
      <c r="D2152">
        <v>-4.5636099999999997</v>
      </c>
      <c r="E2152" t="s">
        <v>3763</v>
      </c>
      <c r="F2152" t="s">
        <v>3765</v>
      </c>
      <c r="G2152" t="s">
        <v>37</v>
      </c>
      <c r="H2152">
        <v>2008</v>
      </c>
      <c r="I2152">
        <v>23.399999618530298</v>
      </c>
      <c r="J2152">
        <v>12.300000190734901</v>
      </c>
      <c r="K2152">
        <v>68</v>
      </c>
      <c r="L2152">
        <v>11.3900003433228</v>
      </c>
      <c r="M2152">
        <v>32.299999237060497</v>
      </c>
      <c r="N2152">
        <v>14.3999996185303</v>
      </c>
      <c r="O2152">
        <v>17.899999618530298</v>
      </c>
      <c r="P2152">
        <v>23.200000762939499</v>
      </c>
      <c r="Q2152">
        <v>22.299999237060501</v>
      </c>
      <c r="R2152">
        <v>25.200000762939499</v>
      </c>
      <c r="S2152">
        <v>22.200000762939499</v>
      </c>
      <c r="T2152">
        <v>911</v>
      </c>
      <c r="U2152">
        <v>164</v>
      </c>
      <c r="V2152">
        <v>0</v>
      </c>
      <c r="W2152">
        <v>87</v>
      </c>
      <c r="X2152">
        <v>444</v>
      </c>
      <c r="Y2152">
        <v>2</v>
      </c>
      <c r="Z2152">
        <v>141</v>
      </c>
      <c r="AA2152">
        <v>40</v>
      </c>
      <c r="AB2152">
        <v>3.7847330729166702</v>
      </c>
      <c r="AC2152">
        <v>8.9398877548149992E-3</v>
      </c>
      <c r="AD2152">
        <v>2.1897551719556798</v>
      </c>
      <c r="AE2152">
        <v>0.30926594138145402</v>
      </c>
      <c r="AF2152">
        <v>1116.18596491228</v>
      </c>
      <c r="AG2152">
        <f>IFERROR(AH2152*0.1, "N/A")</f>
        <v>5.5810526315789506</v>
      </c>
      <c r="AH2152">
        <v>55.810526315789502</v>
      </c>
      <c r="AI2152">
        <v>229.00530029430701</v>
      </c>
      <c r="AJ2152">
        <v>21.612280701754401</v>
      </c>
      <c r="AK2152">
        <v>66.089473684210503</v>
      </c>
    </row>
    <row r="2153" spans="1:37" x14ac:dyDescent="0.3">
      <c r="A2153">
        <v>2152</v>
      </c>
      <c r="B2153">
        <v>0</v>
      </c>
      <c r="C2153">
        <v>32.111401000000001</v>
      </c>
      <c r="D2153">
        <v>-4.6883299999999997</v>
      </c>
      <c r="E2153" t="s">
        <v>3766</v>
      </c>
      <c r="F2153" t="s">
        <v>3767</v>
      </c>
      <c r="G2153" t="s">
        <v>39</v>
      </c>
      <c r="H2153">
        <v>2008</v>
      </c>
      <c r="I2153">
        <v>23.299999237060501</v>
      </c>
      <c r="J2153">
        <v>12.5</v>
      </c>
      <c r="K2153">
        <v>69</v>
      </c>
      <c r="L2153">
        <v>11.439999580383301</v>
      </c>
      <c r="M2153">
        <v>32.099998474121101</v>
      </c>
      <c r="N2153">
        <v>14</v>
      </c>
      <c r="O2153">
        <v>18.100000381469702</v>
      </c>
      <c r="P2153">
        <v>23</v>
      </c>
      <c r="Q2153">
        <v>22.100000381469702</v>
      </c>
      <c r="R2153">
        <v>25</v>
      </c>
      <c r="S2153">
        <v>22</v>
      </c>
      <c r="T2153">
        <v>937</v>
      </c>
      <c r="U2153">
        <v>169</v>
      </c>
      <c r="V2153">
        <v>0</v>
      </c>
      <c r="W2153">
        <v>87</v>
      </c>
      <c r="X2153">
        <v>456</v>
      </c>
      <c r="Y2153">
        <v>2</v>
      </c>
      <c r="Z2153">
        <v>142</v>
      </c>
      <c r="AA2153">
        <v>40</v>
      </c>
      <c r="AB2153">
        <v>4.4364511787160703</v>
      </c>
      <c r="AC2153">
        <v>1.8188569549595E-2</v>
      </c>
      <c r="AD2153">
        <v>1.4464164742655199</v>
      </c>
      <c r="AE2153">
        <v>0.32025450468063399</v>
      </c>
      <c r="AF2153">
        <v>1120.2224168126099</v>
      </c>
      <c r="AG2153">
        <f>IFERROR(AH2153*0.1, "N/A")</f>
        <v>5.4977232924693507</v>
      </c>
      <c r="AH2153">
        <v>54.977232924693503</v>
      </c>
      <c r="AI2153">
        <v>249.47570589670201</v>
      </c>
      <c r="AJ2153">
        <v>22.492119089317001</v>
      </c>
      <c r="AK2153">
        <v>67.485113835376495</v>
      </c>
    </row>
    <row r="2154" spans="1:37" x14ac:dyDescent="0.3">
      <c r="A2154">
        <v>2153</v>
      </c>
      <c r="B2154">
        <v>0</v>
      </c>
      <c r="C2154">
        <v>32.111401000000001</v>
      </c>
      <c r="D2154">
        <v>-4.6883299999999997</v>
      </c>
      <c r="E2154" t="s">
        <v>3766</v>
      </c>
      <c r="F2154" t="s">
        <v>3768</v>
      </c>
      <c r="G2154" t="s">
        <v>37</v>
      </c>
      <c r="H2154">
        <v>2008</v>
      </c>
      <c r="I2154">
        <v>23.299999237060501</v>
      </c>
      <c r="J2154">
        <v>12.5</v>
      </c>
      <c r="K2154">
        <v>69</v>
      </c>
      <c r="L2154">
        <v>11.439999580383301</v>
      </c>
      <c r="M2154">
        <v>32.099998474121101</v>
      </c>
      <c r="N2154">
        <v>14</v>
      </c>
      <c r="O2154">
        <v>18.100000381469702</v>
      </c>
      <c r="P2154">
        <v>23</v>
      </c>
      <c r="Q2154">
        <v>22.100000381469702</v>
      </c>
      <c r="R2154">
        <v>25</v>
      </c>
      <c r="S2154">
        <v>22</v>
      </c>
      <c r="T2154">
        <v>937</v>
      </c>
      <c r="U2154">
        <v>169</v>
      </c>
      <c r="V2154">
        <v>0</v>
      </c>
      <c r="W2154">
        <v>87</v>
      </c>
      <c r="X2154">
        <v>456</v>
      </c>
      <c r="Y2154">
        <v>2</v>
      </c>
      <c r="Z2154">
        <v>142</v>
      </c>
      <c r="AA2154">
        <v>40</v>
      </c>
      <c r="AB2154">
        <v>4.4364511787160703</v>
      </c>
      <c r="AC2154">
        <v>1.8188569549595E-2</v>
      </c>
      <c r="AD2154">
        <v>1.4464164742655199</v>
      </c>
      <c r="AE2154">
        <v>0.32025450468063399</v>
      </c>
      <c r="AF2154">
        <v>1120.2224168126099</v>
      </c>
      <c r="AG2154">
        <f>IFERROR(AH2154*0.1, "N/A")</f>
        <v>5.4977232924693507</v>
      </c>
      <c r="AH2154">
        <v>54.977232924693503</v>
      </c>
      <c r="AI2154">
        <v>249.47570589670201</v>
      </c>
      <c r="AJ2154">
        <v>22.492119089317001</v>
      </c>
      <c r="AK2154">
        <v>67.485113835376495</v>
      </c>
    </row>
    <row r="2155" spans="1:37" x14ac:dyDescent="0.3">
      <c r="A2155">
        <v>2154</v>
      </c>
      <c r="B2155">
        <v>0</v>
      </c>
      <c r="C2155">
        <v>38.216701999999998</v>
      </c>
      <c r="D2155">
        <v>-4.7</v>
      </c>
      <c r="E2155" t="s">
        <v>3769</v>
      </c>
      <c r="F2155" t="s">
        <v>3770</v>
      </c>
      <c r="G2155" t="s">
        <v>39</v>
      </c>
      <c r="H2155">
        <v>2008</v>
      </c>
      <c r="I2155">
        <v>14.387434483406601</v>
      </c>
      <c r="J2155">
        <v>9.7624782325917696</v>
      </c>
      <c r="K2155">
        <v>62</v>
      </c>
      <c r="L2155">
        <v>18.217853183313601</v>
      </c>
      <c r="M2155">
        <v>22.976439700700901</v>
      </c>
      <c r="N2155">
        <v>7.3642233362580702</v>
      </c>
      <c r="O2155">
        <v>15.612216716453499</v>
      </c>
      <c r="P2155">
        <v>15.0764395911864</v>
      </c>
      <c r="Q2155">
        <v>12.0764395911864</v>
      </c>
      <c r="R2155">
        <v>16.576440082170599</v>
      </c>
      <c r="S2155">
        <v>11.9642236070483</v>
      </c>
      <c r="T2155">
        <v>777.16928446771396</v>
      </c>
      <c r="U2155">
        <v>145.87260034904</v>
      </c>
      <c r="V2155">
        <v>7.6073298429319403</v>
      </c>
      <c r="W2155">
        <v>71.767888307155303</v>
      </c>
      <c r="X2155">
        <v>352.446771378709</v>
      </c>
      <c r="Y2155">
        <v>34.5898778359511</v>
      </c>
      <c r="Z2155">
        <v>286.47294938917997</v>
      </c>
      <c r="AA2155">
        <v>35.982547993019203</v>
      </c>
      <c r="AB2155">
        <v>82.817489118060095</v>
      </c>
      <c r="AC2155">
        <v>1.4600925656266001E-2</v>
      </c>
      <c r="AD2155">
        <v>13.1913335027911</v>
      </c>
      <c r="AE2155">
        <v>0.28835746692737402</v>
      </c>
      <c r="AF2155">
        <v>1991.5986038394401</v>
      </c>
      <c r="AG2155">
        <f>IFERROR(AH2155*0.1, "N/A")</f>
        <v>5.9</v>
      </c>
      <c r="AH2155">
        <v>59</v>
      </c>
      <c r="AI2155">
        <v>162.844010564461</v>
      </c>
      <c r="AJ2155">
        <v>31.535776614310599</v>
      </c>
      <c r="AK2155">
        <v>41.232111692844697</v>
      </c>
    </row>
    <row r="2156" spans="1:37" x14ac:dyDescent="0.3">
      <c r="A2156">
        <v>2155</v>
      </c>
      <c r="B2156">
        <v>0</v>
      </c>
      <c r="C2156">
        <v>38.216701999999998</v>
      </c>
      <c r="D2156">
        <v>-4.7</v>
      </c>
      <c r="E2156" t="s">
        <v>3769</v>
      </c>
      <c r="F2156" t="s">
        <v>3771</v>
      </c>
      <c r="G2156" t="s">
        <v>37</v>
      </c>
      <c r="H2156">
        <v>2008</v>
      </c>
      <c r="I2156">
        <v>14.387434483406601</v>
      </c>
      <c r="J2156">
        <v>9.7624782325917696</v>
      </c>
      <c r="K2156">
        <v>62</v>
      </c>
      <c r="L2156">
        <v>18.217853183313601</v>
      </c>
      <c r="M2156">
        <v>22.976439700700901</v>
      </c>
      <c r="N2156">
        <v>7.3642233362580702</v>
      </c>
      <c r="O2156">
        <v>15.612216716453499</v>
      </c>
      <c r="P2156">
        <v>15.0764395911864</v>
      </c>
      <c r="Q2156">
        <v>12.0764395911864</v>
      </c>
      <c r="R2156">
        <v>16.576440082170599</v>
      </c>
      <c r="S2156">
        <v>11.9642236070483</v>
      </c>
      <c r="T2156">
        <v>777.16928446771396</v>
      </c>
      <c r="U2156">
        <v>145.87260034904</v>
      </c>
      <c r="V2156">
        <v>7.6073298429319403</v>
      </c>
      <c r="W2156">
        <v>71.767888307155303</v>
      </c>
      <c r="X2156">
        <v>352.446771378709</v>
      </c>
      <c r="Y2156">
        <v>34.5898778359511</v>
      </c>
      <c r="Z2156">
        <v>286.47294938917997</v>
      </c>
      <c r="AA2156">
        <v>35.982547993019203</v>
      </c>
      <c r="AB2156">
        <v>82.817489118060095</v>
      </c>
      <c r="AC2156">
        <v>1.4600925656266001E-2</v>
      </c>
      <c r="AD2156">
        <v>13.1913335027911</v>
      </c>
      <c r="AE2156">
        <v>0.28835746692737402</v>
      </c>
      <c r="AF2156">
        <v>1991.5986038394401</v>
      </c>
      <c r="AG2156">
        <f>IFERROR(AH2156*0.1, "N/A")</f>
        <v>5.9</v>
      </c>
      <c r="AH2156">
        <v>59</v>
      </c>
      <c r="AI2156">
        <v>162.844010564461</v>
      </c>
      <c r="AJ2156">
        <v>31.535776614310599</v>
      </c>
      <c r="AK2156">
        <v>41.232111692844697</v>
      </c>
    </row>
    <row r="2157" spans="1:37" x14ac:dyDescent="0.3">
      <c r="A2157">
        <v>2156</v>
      </c>
      <c r="B2157">
        <v>0</v>
      </c>
      <c r="C2157">
        <v>33.304400999999999</v>
      </c>
      <c r="D2157">
        <v>-4.7225000000000001</v>
      </c>
      <c r="E2157" t="s">
        <v>3772</v>
      </c>
      <c r="F2157" t="s">
        <v>3773</v>
      </c>
      <c r="G2157" t="s">
        <v>39</v>
      </c>
      <c r="H2157">
        <v>2008</v>
      </c>
      <c r="I2157">
        <v>23</v>
      </c>
      <c r="J2157">
        <v>11.800000190734901</v>
      </c>
      <c r="K2157">
        <v>68</v>
      </c>
      <c r="L2157">
        <v>11.25</v>
      </c>
      <c r="M2157">
        <v>31.899999618530298</v>
      </c>
      <c r="N2157">
        <v>14.699999809265099</v>
      </c>
      <c r="O2157">
        <v>17.200000762939499</v>
      </c>
      <c r="P2157">
        <v>22.799999237060501</v>
      </c>
      <c r="Q2157">
        <v>21.799999237060501</v>
      </c>
      <c r="R2157">
        <v>24.700000762939499</v>
      </c>
      <c r="S2157">
        <v>21.700000762939499</v>
      </c>
      <c r="T2157">
        <v>833</v>
      </c>
      <c r="U2157">
        <v>172</v>
      </c>
      <c r="V2157">
        <v>0</v>
      </c>
      <c r="W2157">
        <v>90</v>
      </c>
      <c r="X2157">
        <v>436</v>
      </c>
      <c r="Y2157">
        <v>2</v>
      </c>
      <c r="Z2157">
        <v>122</v>
      </c>
      <c r="AA2157">
        <v>32</v>
      </c>
      <c r="AB2157">
        <v>2.1362518470883999E-2</v>
      </c>
      <c r="AC2157">
        <v>7.8938790009113999</v>
      </c>
      <c r="AD2157">
        <v>0.91900126826533501</v>
      </c>
      <c r="AE2157">
        <v>0.41250282526016202</v>
      </c>
      <c r="AF2157">
        <v>1220.823117338</v>
      </c>
      <c r="AG2157">
        <f>IFERROR(AH2157*0.1, "N/A")</f>
        <v>5.6262697022767103</v>
      </c>
      <c r="AH2157">
        <v>56.262697022767099</v>
      </c>
      <c r="AI2157">
        <v>102.02983959084401</v>
      </c>
      <c r="AJ2157">
        <v>24.737302977232901</v>
      </c>
      <c r="AK2157">
        <v>62.525394045534199</v>
      </c>
    </row>
    <row r="2158" spans="1:37" x14ac:dyDescent="0.3">
      <c r="A2158">
        <v>2157</v>
      </c>
      <c r="B2158">
        <v>0</v>
      </c>
      <c r="C2158">
        <v>33.304400999999999</v>
      </c>
      <c r="D2158">
        <v>-4.7225000000000001</v>
      </c>
      <c r="E2158" t="s">
        <v>3772</v>
      </c>
      <c r="F2158" t="s">
        <v>3774</v>
      </c>
      <c r="G2158" t="s">
        <v>37</v>
      </c>
      <c r="H2158">
        <v>2008</v>
      </c>
      <c r="I2158">
        <v>23</v>
      </c>
      <c r="J2158">
        <v>11.800000190734901</v>
      </c>
      <c r="K2158">
        <v>68</v>
      </c>
      <c r="L2158">
        <v>11.25</v>
      </c>
      <c r="M2158">
        <v>31.899999618530298</v>
      </c>
      <c r="N2158">
        <v>14.699999809265099</v>
      </c>
      <c r="O2158">
        <v>17.200000762939499</v>
      </c>
      <c r="P2158">
        <v>22.799999237060501</v>
      </c>
      <c r="Q2158">
        <v>21.799999237060501</v>
      </c>
      <c r="R2158">
        <v>24.700000762939499</v>
      </c>
      <c r="S2158">
        <v>21.700000762939499</v>
      </c>
      <c r="T2158">
        <v>833</v>
      </c>
      <c r="U2158">
        <v>172</v>
      </c>
      <c r="V2158">
        <v>0</v>
      </c>
      <c r="W2158">
        <v>90</v>
      </c>
      <c r="X2158">
        <v>436</v>
      </c>
      <c r="Y2158">
        <v>2</v>
      </c>
      <c r="Z2158">
        <v>122</v>
      </c>
      <c r="AA2158">
        <v>32</v>
      </c>
      <c r="AB2158">
        <v>2.1362518470883999E-2</v>
      </c>
      <c r="AC2158">
        <v>7.8938790009113999</v>
      </c>
      <c r="AD2158">
        <v>0.91900126826533501</v>
      </c>
      <c r="AE2158">
        <v>0.41250282526016202</v>
      </c>
      <c r="AF2158">
        <v>1220.823117338</v>
      </c>
      <c r="AG2158">
        <f>IFERROR(AH2158*0.1, "N/A")</f>
        <v>5.6262697022767103</v>
      </c>
      <c r="AH2158">
        <v>56.262697022767099</v>
      </c>
      <c r="AI2158">
        <v>102.02983959084401</v>
      </c>
      <c r="AJ2158">
        <v>24.737302977232901</v>
      </c>
      <c r="AK2158">
        <v>62.525394045534199</v>
      </c>
    </row>
    <row r="2159" spans="1:37" x14ac:dyDescent="0.3">
      <c r="A2159">
        <v>2158</v>
      </c>
      <c r="B2159">
        <v>0</v>
      </c>
      <c r="C2159">
        <v>32.340000000000003</v>
      </c>
      <c r="D2159">
        <v>-4.7383300000000004</v>
      </c>
      <c r="E2159" t="s">
        <v>3775</v>
      </c>
      <c r="F2159" t="s">
        <v>3776</v>
      </c>
      <c r="G2159" t="s">
        <v>39</v>
      </c>
      <c r="H2159">
        <v>2008</v>
      </c>
      <c r="I2159">
        <v>23.399999618530298</v>
      </c>
      <c r="J2159">
        <v>12.3999996185303</v>
      </c>
      <c r="K2159">
        <v>68</v>
      </c>
      <c r="L2159">
        <v>11.920000076293899</v>
      </c>
      <c r="M2159">
        <v>32.400001525878899</v>
      </c>
      <c r="N2159">
        <v>14.300000190734901</v>
      </c>
      <c r="O2159">
        <v>18.100000381469702</v>
      </c>
      <c r="P2159">
        <v>23</v>
      </c>
      <c r="Q2159">
        <v>22.100000381469702</v>
      </c>
      <c r="R2159">
        <v>25.100000381469702</v>
      </c>
      <c r="S2159">
        <v>22</v>
      </c>
      <c r="T2159">
        <v>949</v>
      </c>
      <c r="U2159">
        <v>176</v>
      </c>
      <c r="V2159">
        <v>0</v>
      </c>
      <c r="W2159">
        <v>87</v>
      </c>
      <c r="X2159">
        <v>463</v>
      </c>
      <c r="Y2159">
        <v>2</v>
      </c>
      <c r="Z2159">
        <v>144</v>
      </c>
      <c r="AA2159">
        <v>38</v>
      </c>
      <c r="AB2159">
        <v>48.510310886623103</v>
      </c>
      <c r="AC2159">
        <v>3.6519404233700002E-2</v>
      </c>
      <c r="AD2159">
        <v>5.5136487809094499</v>
      </c>
      <c r="AE2159">
        <v>0.33600140201461898</v>
      </c>
      <c r="AF2159">
        <v>1168.0104895104901</v>
      </c>
      <c r="AG2159">
        <f>IFERROR(AH2159*0.1, "N/A")</f>
        <v>5.5746503496503506</v>
      </c>
      <c r="AH2159">
        <v>55.7465034965035</v>
      </c>
      <c r="AI2159">
        <v>36.311560450734</v>
      </c>
      <c r="AJ2159">
        <v>16.760489510489499</v>
      </c>
      <c r="AK2159">
        <v>69.947552447552496</v>
      </c>
    </row>
    <row r="2160" spans="1:37" x14ac:dyDescent="0.3">
      <c r="A2160">
        <v>2159</v>
      </c>
      <c r="B2160">
        <v>0</v>
      </c>
      <c r="C2160">
        <v>32.340000000000003</v>
      </c>
      <c r="D2160">
        <v>-4.7383300000000004</v>
      </c>
      <c r="E2160" t="s">
        <v>3775</v>
      </c>
      <c r="F2160" t="s">
        <v>3777</v>
      </c>
      <c r="G2160" t="s">
        <v>37</v>
      </c>
      <c r="H2160">
        <v>2008</v>
      </c>
      <c r="I2160">
        <v>23.399999618530298</v>
      </c>
      <c r="J2160">
        <v>12.3999996185303</v>
      </c>
      <c r="K2160">
        <v>68</v>
      </c>
      <c r="L2160">
        <v>11.920000076293899</v>
      </c>
      <c r="M2160">
        <v>32.400001525878899</v>
      </c>
      <c r="N2160">
        <v>14.300000190734901</v>
      </c>
      <c r="O2160">
        <v>18.100000381469702</v>
      </c>
      <c r="P2160">
        <v>23</v>
      </c>
      <c r="Q2160">
        <v>22.100000381469702</v>
      </c>
      <c r="R2160">
        <v>25.100000381469702</v>
      </c>
      <c r="S2160">
        <v>22</v>
      </c>
      <c r="T2160">
        <v>949</v>
      </c>
      <c r="U2160">
        <v>176</v>
      </c>
      <c r="V2160">
        <v>0</v>
      </c>
      <c r="W2160">
        <v>87</v>
      </c>
      <c r="X2160">
        <v>463</v>
      </c>
      <c r="Y2160">
        <v>2</v>
      </c>
      <c r="Z2160">
        <v>144</v>
      </c>
      <c r="AA2160">
        <v>38</v>
      </c>
      <c r="AB2160">
        <v>48.510310886623103</v>
      </c>
      <c r="AC2160">
        <v>3.6519404233700002E-2</v>
      </c>
      <c r="AD2160">
        <v>5.5136487809094499</v>
      </c>
      <c r="AE2160">
        <v>0.33600140201461898</v>
      </c>
      <c r="AF2160">
        <v>1168.0104895104901</v>
      </c>
      <c r="AG2160">
        <f>IFERROR(AH2160*0.1, "N/A")</f>
        <v>5.5746503496503506</v>
      </c>
      <c r="AH2160">
        <v>55.7465034965035</v>
      </c>
      <c r="AI2160">
        <v>36.311560450734</v>
      </c>
      <c r="AJ2160">
        <v>16.760489510489499</v>
      </c>
      <c r="AK2160">
        <v>69.947552447552496</v>
      </c>
    </row>
    <row r="2161" spans="1:37" x14ac:dyDescent="0.3">
      <c r="A2161">
        <v>2160</v>
      </c>
      <c r="B2161">
        <v>0</v>
      </c>
      <c r="C2161">
        <v>38.183300000000003</v>
      </c>
      <c r="D2161">
        <v>-4.75</v>
      </c>
      <c r="E2161" t="s">
        <v>3778</v>
      </c>
      <c r="F2161" t="s">
        <v>3779</v>
      </c>
      <c r="G2161" t="s">
        <v>39</v>
      </c>
      <c r="H2161">
        <v>2008</v>
      </c>
      <c r="I2161">
        <v>22.6875880614861</v>
      </c>
      <c r="J2161">
        <v>11.6823426009892</v>
      </c>
      <c r="K2161">
        <v>66.770979020978999</v>
      </c>
      <c r="L2161">
        <v>17.990140181321401</v>
      </c>
      <c r="M2161">
        <v>31.829369945126</v>
      </c>
      <c r="N2161">
        <v>14.4206290511818</v>
      </c>
      <c r="O2161">
        <v>17.408740877271502</v>
      </c>
      <c r="P2161">
        <v>23.324125169874101</v>
      </c>
      <c r="Q2161">
        <v>20.339509843946299</v>
      </c>
      <c r="R2161">
        <v>24.825873428291398</v>
      </c>
      <c r="S2161">
        <v>20.225874660732</v>
      </c>
      <c r="T2161">
        <v>696.98776223776201</v>
      </c>
      <c r="U2161">
        <v>123.027972027972</v>
      </c>
      <c r="V2161">
        <v>11.211538461538501</v>
      </c>
      <c r="W2161">
        <v>61.188811188811201</v>
      </c>
      <c r="X2161">
        <v>320.26048951048898</v>
      </c>
      <c r="Y2161">
        <v>46.1993006993007</v>
      </c>
      <c r="Z2161">
        <v>211.33566433566401</v>
      </c>
      <c r="AA2161">
        <v>53.045454545454497</v>
      </c>
      <c r="AB2161">
        <v>11.5945844316816</v>
      </c>
      <c r="AC2161">
        <v>0.292448276015637</v>
      </c>
      <c r="AD2161">
        <v>7.25603047450939</v>
      </c>
      <c r="AE2161">
        <v>0.51436465978622403</v>
      </c>
      <c r="AF2161">
        <v>521.44755244755197</v>
      </c>
      <c r="AG2161">
        <f>IFERROR(AH2161*0.1, "N/A")</f>
        <v>6.5307692307692307</v>
      </c>
      <c r="AH2161">
        <v>65.307692307692307</v>
      </c>
      <c r="AI2161">
        <v>267.77875054632898</v>
      </c>
      <c r="AJ2161">
        <v>31.4615384615384</v>
      </c>
      <c r="AK2161">
        <v>48</v>
      </c>
    </row>
    <row r="2162" spans="1:37" x14ac:dyDescent="0.3">
      <c r="A2162">
        <v>2161</v>
      </c>
      <c r="B2162">
        <v>0</v>
      </c>
      <c r="C2162">
        <v>38.183300000000003</v>
      </c>
      <c r="D2162">
        <v>-4.75</v>
      </c>
      <c r="E2162" t="s">
        <v>3778</v>
      </c>
      <c r="F2162" t="s">
        <v>3780</v>
      </c>
      <c r="G2162" t="s">
        <v>37</v>
      </c>
      <c r="H2162">
        <v>2008</v>
      </c>
      <c r="I2162">
        <v>22.6875880614861</v>
      </c>
      <c r="J2162">
        <v>11.6823426009892</v>
      </c>
      <c r="K2162">
        <v>66.770979020978999</v>
      </c>
      <c r="L2162">
        <v>17.990140181321401</v>
      </c>
      <c r="M2162">
        <v>31.829369945126</v>
      </c>
      <c r="N2162">
        <v>14.4206290511818</v>
      </c>
      <c r="O2162">
        <v>17.408740877271502</v>
      </c>
      <c r="P2162">
        <v>23.324125169874101</v>
      </c>
      <c r="Q2162">
        <v>20.339509843946299</v>
      </c>
      <c r="R2162">
        <v>24.825873428291398</v>
      </c>
      <c r="S2162">
        <v>20.225874660732</v>
      </c>
      <c r="T2162">
        <v>696.98776223776201</v>
      </c>
      <c r="U2162">
        <v>123.027972027972</v>
      </c>
      <c r="V2162">
        <v>11.211538461538501</v>
      </c>
      <c r="W2162">
        <v>61.188811188811201</v>
      </c>
      <c r="X2162">
        <v>320.26048951048898</v>
      </c>
      <c r="Y2162">
        <v>46.1993006993007</v>
      </c>
      <c r="Z2162">
        <v>211.33566433566401</v>
      </c>
      <c r="AA2162">
        <v>53.045454545454497</v>
      </c>
      <c r="AB2162">
        <v>11.5945844316816</v>
      </c>
      <c r="AC2162">
        <v>0.292448276015637</v>
      </c>
      <c r="AD2162">
        <v>7.25603047450939</v>
      </c>
      <c r="AE2162">
        <v>0.51436465978622403</v>
      </c>
      <c r="AF2162">
        <v>521.44755244755197</v>
      </c>
      <c r="AG2162">
        <f>IFERROR(AH2162*0.1, "N/A")</f>
        <v>6.5307692307692307</v>
      </c>
      <c r="AH2162">
        <v>65.307692307692307</v>
      </c>
      <c r="AI2162">
        <v>267.77875054632898</v>
      </c>
      <c r="AJ2162">
        <v>31.4615384615384</v>
      </c>
      <c r="AK2162">
        <v>48</v>
      </c>
    </row>
    <row r="2163" spans="1:37" x14ac:dyDescent="0.3">
      <c r="A2163">
        <v>2162</v>
      </c>
      <c r="B2163">
        <v>0</v>
      </c>
      <c r="C2163">
        <v>38.349997999999999</v>
      </c>
      <c r="D2163">
        <v>-4.7833300000000003</v>
      </c>
      <c r="E2163" t="s">
        <v>3781</v>
      </c>
      <c r="F2163" t="s">
        <v>3782</v>
      </c>
      <c r="G2163" t="s">
        <v>39</v>
      </c>
      <c r="H2163">
        <v>2008</v>
      </c>
      <c r="I2163">
        <v>15.8300699270689</v>
      </c>
      <c r="J2163">
        <v>9.6487764845361195</v>
      </c>
      <c r="K2163">
        <v>61.1555944055944</v>
      </c>
      <c r="L2163">
        <v>18.429475884337499</v>
      </c>
      <c r="M2163">
        <v>24.431118961814398</v>
      </c>
      <c r="N2163">
        <v>8.7968531755300692</v>
      </c>
      <c r="O2163">
        <v>15.634265929668899</v>
      </c>
      <c r="P2163">
        <v>16.5300703882337</v>
      </c>
      <c r="Q2163">
        <v>13.4662586108788</v>
      </c>
      <c r="R2163">
        <v>18.014510888319698</v>
      </c>
      <c r="S2163">
        <v>13.366258876307</v>
      </c>
      <c r="T2163">
        <v>1029.2902097902099</v>
      </c>
      <c r="U2163">
        <v>194.466783216783</v>
      </c>
      <c r="V2163">
        <v>31.519230769230798</v>
      </c>
      <c r="W2163">
        <v>60.1555944055944</v>
      </c>
      <c r="X2163">
        <v>493.627622377622</v>
      </c>
      <c r="Y2163">
        <v>105.17132867132899</v>
      </c>
      <c r="Z2163">
        <v>258.44580419580399</v>
      </c>
      <c r="AA2163">
        <v>122.82692307692299</v>
      </c>
      <c r="AB2163">
        <v>354.40592455030298</v>
      </c>
      <c r="AC2163">
        <v>3.5310868528782E-2</v>
      </c>
      <c r="AD2163">
        <v>47.172495281779703</v>
      </c>
      <c r="AE2163">
        <v>0.33560465661795802</v>
      </c>
      <c r="AF2163">
        <v>1636.5769230769199</v>
      </c>
      <c r="AG2163">
        <f>IFERROR(AH2163*0.1, "N/A")</f>
        <v>5.6472027972028007</v>
      </c>
      <c r="AH2163">
        <v>56.472027972028002</v>
      </c>
      <c r="AI2163">
        <v>163.210211213652</v>
      </c>
      <c r="AJ2163">
        <v>35.944055944055897</v>
      </c>
      <c r="AK2163">
        <v>41</v>
      </c>
    </row>
    <row r="2164" spans="1:37" x14ac:dyDescent="0.3">
      <c r="A2164">
        <v>2163</v>
      </c>
      <c r="B2164">
        <v>0</v>
      </c>
      <c r="C2164">
        <v>38.349997999999999</v>
      </c>
      <c r="D2164">
        <v>-4.7833300000000003</v>
      </c>
      <c r="E2164" t="s">
        <v>3781</v>
      </c>
      <c r="F2164" t="s">
        <v>3783</v>
      </c>
      <c r="G2164" t="s">
        <v>37</v>
      </c>
      <c r="H2164">
        <v>2008</v>
      </c>
      <c r="I2164">
        <v>15.8300699270689</v>
      </c>
      <c r="J2164">
        <v>9.6487764845361195</v>
      </c>
      <c r="K2164">
        <v>61.1555944055944</v>
      </c>
      <c r="L2164">
        <v>18.429475884337499</v>
      </c>
      <c r="M2164">
        <v>24.431118961814398</v>
      </c>
      <c r="N2164">
        <v>8.7968531755300692</v>
      </c>
      <c r="O2164">
        <v>15.634265929668899</v>
      </c>
      <c r="P2164">
        <v>16.5300703882337</v>
      </c>
      <c r="Q2164">
        <v>13.4662586108788</v>
      </c>
      <c r="R2164">
        <v>18.014510888319698</v>
      </c>
      <c r="S2164">
        <v>13.366258876307</v>
      </c>
      <c r="T2164">
        <v>1029.2902097902099</v>
      </c>
      <c r="U2164">
        <v>194.466783216783</v>
      </c>
      <c r="V2164">
        <v>31.519230769230798</v>
      </c>
      <c r="W2164">
        <v>60.1555944055944</v>
      </c>
      <c r="X2164">
        <v>493.627622377622</v>
      </c>
      <c r="Y2164">
        <v>105.17132867132899</v>
      </c>
      <c r="Z2164">
        <v>258.44580419580399</v>
      </c>
      <c r="AA2164">
        <v>122.82692307692299</v>
      </c>
      <c r="AB2164">
        <v>354.40592455030298</v>
      </c>
      <c r="AC2164">
        <v>3.5310868528782E-2</v>
      </c>
      <c r="AD2164">
        <v>47.172495281779703</v>
      </c>
      <c r="AE2164">
        <v>0.33560465661795802</v>
      </c>
      <c r="AF2164">
        <v>1636.5769230769199</v>
      </c>
      <c r="AG2164">
        <f>IFERROR(AH2164*0.1, "N/A")</f>
        <v>5.6472027972028007</v>
      </c>
      <c r="AH2164">
        <v>56.472027972028002</v>
      </c>
      <c r="AI2164">
        <v>163.210211213652</v>
      </c>
      <c r="AJ2164">
        <v>35.944055944055897</v>
      </c>
      <c r="AK2164">
        <v>41</v>
      </c>
    </row>
    <row r="2165" spans="1:37" x14ac:dyDescent="0.3">
      <c r="A2165">
        <v>2164</v>
      </c>
      <c r="B2165">
        <v>20</v>
      </c>
      <c r="C2165">
        <v>32.964401000000002</v>
      </c>
      <c r="D2165">
        <v>-4.7911099999999998</v>
      </c>
      <c r="E2165" t="s">
        <v>3784</v>
      </c>
      <c r="F2165" t="s">
        <v>3785</v>
      </c>
      <c r="G2165" t="s">
        <v>39</v>
      </c>
      <c r="H2165">
        <v>2008</v>
      </c>
      <c r="I2165">
        <v>23.209632840131501</v>
      </c>
      <c r="J2165">
        <v>11.8999996185303</v>
      </c>
      <c r="K2165">
        <v>67.903677758318807</v>
      </c>
      <c r="L2165">
        <v>11.9308227983331</v>
      </c>
      <c r="M2165">
        <v>32.319263758884802</v>
      </c>
      <c r="N2165">
        <v>14.809632359787001</v>
      </c>
      <c r="O2165">
        <v>17.509632260912099</v>
      </c>
      <c r="P2165">
        <v>22.899999618530298</v>
      </c>
      <c r="Q2165">
        <v>22.009632260912099</v>
      </c>
      <c r="R2165">
        <v>25.019264521824301</v>
      </c>
      <c r="S2165">
        <v>21.909631879442401</v>
      </c>
      <c r="T2165">
        <v>878.19264448336298</v>
      </c>
      <c r="U2165">
        <v>177.09632224168101</v>
      </c>
      <c r="V2165">
        <v>0</v>
      </c>
      <c r="W2165">
        <v>89</v>
      </c>
      <c r="X2165">
        <v>435.09632224168098</v>
      </c>
      <c r="Y2165">
        <v>1</v>
      </c>
      <c r="Z2165">
        <v>137</v>
      </c>
      <c r="AA2165">
        <v>33</v>
      </c>
      <c r="AB2165">
        <v>20.7605880496798</v>
      </c>
      <c r="AC2165">
        <v>2.4466725607808999E-2</v>
      </c>
      <c r="AD2165">
        <v>1.74649762376595</v>
      </c>
      <c r="AE2165">
        <v>0.48142669987970799</v>
      </c>
      <c r="AF2165">
        <v>1214.16112084063</v>
      </c>
      <c r="AG2165">
        <f>IFERROR(AH2165*0.1, "N/A")</f>
        <v>5.5274956217162909</v>
      </c>
      <c r="AH2165">
        <v>55.274956217162902</v>
      </c>
      <c r="AI2165">
        <v>204.002708234637</v>
      </c>
      <c r="AJ2165">
        <v>19.318739054290699</v>
      </c>
      <c r="AK2165">
        <v>70.805604203152399</v>
      </c>
    </row>
    <row r="2166" spans="1:37" x14ac:dyDescent="0.3">
      <c r="A2166">
        <v>2165</v>
      </c>
      <c r="B2166">
        <v>0</v>
      </c>
      <c r="C2166">
        <v>32.964401000000002</v>
      </c>
      <c r="D2166">
        <v>-4.7911099999999998</v>
      </c>
      <c r="E2166" t="s">
        <v>3784</v>
      </c>
      <c r="F2166" t="s">
        <v>3786</v>
      </c>
      <c r="G2166" t="s">
        <v>37</v>
      </c>
      <c r="H2166">
        <v>2008</v>
      </c>
      <c r="I2166">
        <v>23.209632840131501</v>
      </c>
      <c r="J2166">
        <v>11.8999996185303</v>
      </c>
      <c r="K2166">
        <v>67.903677758318807</v>
      </c>
      <c r="L2166">
        <v>11.9308227983331</v>
      </c>
      <c r="M2166">
        <v>32.319263758884802</v>
      </c>
      <c r="N2166">
        <v>14.809632359787001</v>
      </c>
      <c r="O2166">
        <v>17.509632260912099</v>
      </c>
      <c r="P2166">
        <v>22.899999618530298</v>
      </c>
      <c r="Q2166">
        <v>22.009632260912099</v>
      </c>
      <c r="R2166">
        <v>25.019264521824301</v>
      </c>
      <c r="S2166">
        <v>21.909631879442401</v>
      </c>
      <c r="T2166">
        <v>878.19264448336298</v>
      </c>
      <c r="U2166">
        <v>177.09632224168101</v>
      </c>
      <c r="V2166">
        <v>0</v>
      </c>
      <c r="W2166">
        <v>89</v>
      </c>
      <c r="X2166">
        <v>435.09632224168098</v>
      </c>
      <c r="Y2166">
        <v>1</v>
      </c>
      <c r="Z2166">
        <v>137</v>
      </c>
      <c r="AA2166">
        <v>33</v>
      </c>
      <c r="AB2166">
        <v>20.7605880496798</v>
      </c>
      <c r="AC2166">
        <v>2.4466725607808999E-2</v>
      </c>
      <c r="AD2166">
        <v>1.74649762376595</v>
      </c>
      <c r="AE2166">
        <v>0.48142669987970799</v>
      </c>
      <c r="AF2166">
        <v>1214.16112084063</v>
      </c>
      <c r="AG2166">
        <f>IFERROR(AH2166*0.1, "N/A")</f>
        <v>5.5274956217162909</v>
      </c>
      <c r="AH2166">
        <v>55.274956217162902</v>
      </c>
      <c r="AI2166">
        <v>204.002708234637</v>
      </c>
      <c r="AJ2166">
        <v>19.318739054290699</v>
      </c>
      <c r="AK2166">
        <v>70.805604203152399</v>
      </c>
    </row>
    <row r="2167" spans="1:37" x14ac:dyDescent="0.3">
      <c r="A2167">
        <v>2166</v>
      </c>
      <c r="B2167">
        <v>0</v>
      </c>
      <c r="C2167">
        <v>38.773899</v>
      </c>
      <c r="D2167">
        <v>-4.80389</v>
      </c>
      <c r="E2167" t="s">
        <v>3787</v>
      </c>
      <c r="F2167" t="s">
        <v>3788</v>
      </c>
      <c r="G2167" t="s">
        <v>39</v>
      </c>
      <c r="H2167">
        <v>2008</v>
      </c>
      <c r="I2167">
        <v>22</v>
      </c>
      <c r="J2167">
        <v>9.5</v>
      </c>
      <c r="K2167">
        <v>63</v>
      </c>
      <c r="L2167">
        <v>17.090000152587901</v>
      </c>
      <c r="M2167">
        <v>30</v>
      </c>
      <c r="N2167">
        <v>15.1000003814697</v>
      </c>
      <c r="O2167">
        <v>14.8999996185303</v>
      </c>
      <c r="P2167">
        <v>22.799999237060501</v>
      </c>
      <c r="Q2167">
        <v>19.700000762939499</v>
      </c>
      <c r="R2167">
        <v>24.100000381469702</v>
      </c>
      <c r="S2167">
        <v>19.700000762939499</v>
      </c>
      <c r="T2167">
        <v>1176</v>
      </c>
      <c r="U2167">
        <v>200</v>
      </c>
      <c r="V2167">
        <v>44</v>
      </c>
      <c r="W2167">
        <v>52</v>
      </c>
      <c r="X2167">
        <v>499</v>
      </c>
      <c r="Y2167">
        <v>167</v>
      </c>
      <c r="Z2167">
        <v>211</v>
      </c>
      <c r="AA2167">
        <v>167</v>
      </c>
      <c r="AB2167">
        <v>156.90346617798701</v>
      </c>
      <c r="AC2167">
        <v>1.343291570185E-2</v>
      </c>
      <c r="AD2167">
        <v>14.200075167875999</v>
      </c>
      <c r="AE2167">
        <v>0.26852539181709301</v>
      </c>
      <c r="AF2167">
        <v>774.33916083916097</v>
      </c>
      <c r="AG2167">
        <f>IFERROR(AH2167*0.1, "N/A")</f>
        <v>5.9089160839160799</v>
      </c>
      <c r="AH2167">
        <v>59.089160839160797</v>
      </c>
      <c r="AI2167">
        <v>55.400423760180701</v>
      </c>
      <c r="AJ2167">
        <v>33.9965034965035</v>
      </c>
      <c r="AK2167">
        <v>46</v>
      </c>
    </row>
    <row r="2168" spans="1:37" x14ac:dyDescent="0.3">
      <c r="A2168">
        <v>2167</v>
      </c>
      <c r="B2168">
        <v>0</v>
      </c>
      <c r="C2168">
        <v>38.773899</v>
      </c>
      <c r="D2168">
        <v>-4.80389</v>
      </c>
      <c r="E2168" t="s">
        <v>3787</v>
      </c>
      <c r="F2168" t="s">
        <v>3789</v>
      </c>
      <c r="G2168" t="s">
        <v>37</v>
      </c>
      <c r="H2168">
        <v>2008</v>
      </c>
      <c r="I2168">
        <v>22</v>
      </c>
      <c r="J2168">
        <v>9.5</v>
      </c>
      <c r="K2168">
        <v>63</v>
      </c>
      <c r="L2168">
        <v>17.090000152587901</v>
      </c>
      <c r="M2168">
        <v>30</v>
      </c>
      <c r="N2168">
        <v>15.1000003814697</v>
      </c>
      <c r="O2168">
        <v>14.8999996185303</v>
      </c>
      <c r="P2168">
        <v>22.799999237060501</v>
      </c>
      <c r="Q2168">
        <v>19.700000762939499</v>
      </c>
      <c r="R2168">
        <v>24.100000381469702</v>
      </c>
      <c r="S2168">
        <v>19.700000762939499</v>
      </c>
      <c r="T2168">
        <v>1176</v>
      </c>
      <c r="U2168">
        <v>200</v>
      </c>
      <c r="V2168">
        <v>44</v>
      </c>
      <c r="W2168">
        <v>52</v>
      </c>
      <c r="X2168">
        <v>499</v>
      </c>
      <c r="Y2168">
        <v>167</v>
      </c>
      <c r="Z2168">
        <v>211</v>
      </c>
      <c r="AA2168">
        <v>167</v>
      </c>
      <c r="AB2168">
        <v>156.90346617798701</v>
      </c>
      <c r="AC2168">
        <v>1.343291570185E-2</v>
      </c>
      <c r="AD2168">
        <v>14.200075167875999</v>
      </c>
      <c r="AE2168">
        <v>0.26852539181709301</v>
      </c>
      <c r="AF2168">
        <v>774.33916083916097</v>
      </c>
      <c r="AG2168">
        <f>IFERROR(AH2168*0.1, "N/A")</f>
        <v>5.9089160839160799</v>
      </c>
      <c r="AH2168">
        <v>59.089160839160797</v>
      </c>
      <c r="AI2168">
        <v>55.400423760180701</v>
      </c>
      <c r="AJ2168">
        <v>33.9965034965035</v>
      </c>
      <c r="AK2168">
        <v>46</v>
      </c>
    </row>
    <row r="2169" spans="1:37" x14ac:dyDescent="0.3">
      <c r="A2169">
        <v>2168</v>
      </c>
      <c r="B2169">
        <v>0</v>
      </c>
      <c r="C2169">
        <v>38.333302000000003</v>
      </c>
      <c r="D2169">
        <v>-4.8166700000000002</v>
      </c>
      <c r="E2169" t="s">
        <v>3790</v>
      </c>
      <c r="F2169" t="s">
        <v>3791</v>
      </c>
      <c r="G2169" t="s">
        <v>39</v>
      </c>
      <c r="H2169">
        <v>2008</v>
      </c>
      <c r="I2169">
        <v>17.456042181171998</v>
      </c>
      <c r="J2169">
        <v>9.8000001907348597</v>
      </c>
      <c r="K2169">
        <v>61.406304728546402</v>
      </c>
      <c r="L2169">
        <v>18.3154985391112</v>
      </c>
      <c r="M2169">
        <v>26.156042058914601</v>
      </c>
      <c r="N2169">
        <v>10.2966725571561</v>
      </c>
      <c r="O2169">
        <v>15.8593693781651</v>
      </c>
      <c r="P2169">
        <v>18.161471151428799</v>
      </c>
      <c r="Q2169">
        <v>15.0966724121842</v>
      </c>
      <c r="R2169">
        <v>19.656042058914601</v>
      </c>
      <c r="S2169">
        <v>15.007880815482601</v>
      </c>
      <c r="T2169">
        <v>1146.5866900175099</v>
      </c>
      <c r="U2169">
        <v>217.36777583187401</v>
      </c>
      <c r="V2169">
        <v>37.404553415061301</v>
      </c>
      <c r="W2169">
        <v>60.8686514886165</v>
      </c>
      <c r="X2169">
        <v>560.88266199649695</v>
      </c>
      <c r="Y2169">
        <v>126.059544658494</v>
      </c>
      <c r="Z2169">
        <v>278.322241681261</v>
      </c>
      <c r="AA2169">
        <v>153.057793345009</v>
      </c>
      <c r="AB2169">
        <v>38.490198031824697</v>
      </c>
      <c r="AC2169">
        <v>0.24448127121600999</v>
      </c>
      <c r="AD2169">
        <v>19.647677758111598</v>
      </c>
      <c r="AE2169">
        <v>0.49749948572360903</v>
      </c>
      <c r="AF2169">
        <v>1358.56917688266</v>
      </c>
      <c r="AG2169">
        <f>IFERROR(AH2169*0.1, "N/A")</f>
        <v>5.8000000000000007</v>
      </c>
      <c r="AH2169">
        <v>58</v>
      </c>
      <c r="AI2169">
        <v>53.442608507627398</v>
      </c>
      <c r="AJ2169">
        <v>37.1663747810858</v>
      </c>
      <c r="AK2169">
        <v>45.8336252189142</v>
      </c>
    </row>
    <row r="2170" spans="1:37" x14ac:dyDescent="0.3">
      <c r="A2170">
        <v>2169</v>
      </c>
      <c r="B2170">
        <v>0</v>
      </c>
      <c r="C2170">
        <v>38.333302000000003</v>
      </c>
      <c r="D2170">
        <v>-4.8166700000000002</v>
      </c>
      <c r="E2170" t="s">
        <v>3790</v>
      </c>
      <c r="F2170" t="s">
        <v>3792</v>
      </c>
      <c r="G2170" t="s">
        <v>37</v>
      </c>
      <c r="H2170">
        <v>2008</v>
      </c>
      <c r="I2170">
        <v>17.456042181171998</v>
      </c>
      <c r="J2170">
        <v>9.8000001907348597</v>
      </c>
      <c r="K2170">
        <v>61.406304728546402</v>
      </c>
      <c r="L2170">
        <v>18.3154985391112</v>
      </c>
      <c r="M2170">
        <v>26.156042058914601</v>
      </c>
      <c r="N2170">
        <v>10.2966725571561</v>
      </c>
      <c r="O2170">
        <v>15.8593693781651</v>
      </c>
      <c r="P2170">
        <v>18.161471151428799</v>
      </c>
      <c r="Q2170">
        <v>15.0966724121842</v>
      </c>
      <c r="R2170">
        <v>19.656042058914601</v>
      </c>
      <c r="S2170">
        <v>15.007880815482601</v>
      </c>
      <c r="T2170">
        <v>1146.5866900175099</v>
      </c>
      <c r="U2170">
        <v>217.36777583187401</v>
      </c>
      <c r="V2170">
        <v>37.404553415061301</v>
      </c>
      <c r="W2170">
        <v>60.8686514886165</v>
      </c>
      <c r="X2170">
        <v>560.88266199649695</v>
      </c>
      <c r="Y2170">
        <v>126.059544658494</v>
      </c>
      <c r="Z2170">
        <v>278.322241681261</v>
      </c>
      <c r="AA2170">
        <v>153.057793345009</v>
      </c>
      <c r="AB2170">
        <v>38.490198031824697</v>
      </c>
      <c r="AC2170">
        <v>0.24448127121600999</v>
      </c>
      <c r="AD2170">
        <v>19.647677758111598</v>
      </c>
      <c r="AE2170">
        <v>0.49749948572360903</v>
      </c>
      <c r="AF2170">
        <v>1358.56917688266</v>
      </c>
      <c r="AG2170">
        <f>IFERROR(AH2170*0.1, "N/A")</f>
        <v>5.8000000000000007</v>
      </c>
      <c r="AH2170">
        <v>58</v>
      </c>
      <c r="AI2170">
        <v>53.442608507627398</v>
      </c>
      <c r="AJ2170">
        <v>37.1663747810858</v>
      </c>
      <c r="AK2170">
        <v>45.8336252189142</v>
      </c>
    </row>
    <row r="2171" spans="1:37" x14ac:dyDescent="0.3">
      <c r="A2171">
        <v>2170</v>
      </c>
      <c r="B2171">
        <v>0</v>
      </c>
      <c r="C2171">
        <v>38.534199000000001</v>
      </c>
      <c r="D2171">
        <v>-4.8372200000000003</v>
      </c>
      <c r="E2171" t="s">
        <v>3793</v>
      </c>
      <c r="F2171" t="s">
        <v>3794</v>
      </c>
      <c r="G2171" t="s">
        <v>39</v>
      </c>
      <c r="H2171">
        <v>2008</v>
      </c>
      <c r="I2171">
        <v>17.899999618530298</v>
      </c>
      <c r="J2171">
        <v>9.3000001907348597</v>
      </c>
      <c r="K2171">
        <v>62</v>
      </c>
      <c r="L2171">
        <v>17.889999389648398</v>
      </c>
      <c r="M2171">
        <v>26</v>
      </c>
      <c r="N2171">
        <v>11.1000003814697</v>
      </c>
      <c r="O2171">
        <v>14.8999996185303</v>
      </c>
      <c r="P2171">
        <v>18.700000762939499</v>
      </c>
      <c r="Q2171">
        <v>15.6000003814697</v>
      </c>
      <c r="R2171">
        <v>20</v>
      </c>
      <c r="S2171">
        <v>15.5</v>
      </c>
      <c r="T2171">
        <v>1448</v>
      </c>
      <c r="U2171">
        <v>311</v>
      </c>
      <c r="V2171">
        <v>60</v>
      </c>
      <c r="W2171">
        <v>62</v>
      </c>
      <c r="X2171">
        <v>691</v>
      </c>
      <c r="Y2171">
        <v>220</v>
      </c>
      <c r="Z2171">
        <v>259</v>
      </c>
      <c r="AA2171">
        <v>251</v>
      </c>
      <c r="AB2171">
        <v>189.27588721470099</v>
      </c>
      <c r="AC2171">
        <v>2.6475729602819999E-2</v>
      </c>
      <c r="AD2171">
        <v>21.583931984493699</v>
      </c>
      <c r="AE2171">
        <v>0.28012742562443799</v>
      </c>
      <c r="AF2171">
        <v>1461.6631762652701</v>
      </c>
      <c r="AG2171">
        <f>IFERROR(AH2171*0.1, "N/A")</f>
        <v>5.4</v>
      </c>
      <c r="AH2171">
        <v>54</v>
      </c>
      <c r="AI2171">
        <v>266.55866884561101</v>
      </c>
      <c r="AJ2171">
        <v>33.104712041884802</v>
      </c>
      <c r="AK2171">
        <v>47.790575916230402</v>
      </c>
    </row>
    <row r="2172" spans="1:37" x14ac:dyDescent="0.3">
      <c r="A2172">
        <v>2171</v>
      </c>
      <c r="B2172">
        <v>0</v>
      </c>
      <c r="C2172">
        <v>38.534199000000001</v>
      </c>
      <c r="D2172">
        <v>-4.8372200000000003</v>
      </c>
      <c r="E2172" t="s">
        <v>3793</v>
      </c>
      <c r="F2172" t="s">
        <v>3795</v>
      </c>
      <c r="G2172" t="s">
        <v>37</v>
      </c>
      <c r="H2172">
        <v>2008</v>
      </c>
      <c r="I2172">
        <v>17.899999618530298</v>
      </c>
      <c r="J2172">
        <v>9.3000001907348597</v>
      </c>
      <c r="K2172">
        <v>62</v>
      </c>
      <c r="L2172">
        <v>17.889999389648398</v>
      </c>
      <c r="M2172">
        <v>26</v>
      </c>
      <c r="N2172">
        <v>11.1000003814697</v>
      </c>
      <c r="O2172">
        <v>14.8999996185303</v>
      </c>
      <c r="P2172">
        <v>18.700000762939499</v>
      </c>
      <c r="Q2172">
        <v>15.6000003814697</v>
      </c>
      <c r="R2172">
        <v>20</v>
      </c>
      <c r="S2172">
        <v>15.5</v>
      </c>
      <c r="T2172">
        <v>1448</v>
      </c>
      <c r="U2172">
        <v>311</v>
      </c>
      <c r="V2172">
        <v>60</v>
      </c>
      <c r="W2172">
        <v>62</v>
      </c>
      <c r="X2172">
        <v>691</v>
      </c>
      <c r="Y2172">
        <v>220</v>
      </c>
      <c r="Z2172">
        <v>259</v>
      </c>
      <c r="AA2172">
        <v>251</v>
      </c>
      <c r="AB2172">
        <v>189.27588721470099</v>
      </c>
      <c r="AC2172">
        <v>2.6475729602819999E-2</v>
      </c>
      <c r="AD2172">
        <v>21.583931984493699</v>
      </c>
      <c r="AE2172">
        <v>0.28012742562443799</v>
      </c>
      <c r="AF2172">
        <v>1461.6631762652701</v>
      </c>
      <c r="AG2172">
        <f>IFERROR(AH2172*0.1, "N/A")</f>
        <v>5.4</v>
      </c>
      <c r="AH2172">
        <v>54</v>
      </c>
      <c r="AI2172">
        <v>266.55866884561101</v>
      </c>
      <c r="AJ2172">
        <v>33.104712041884802</v>
      </c>
      <c r="AK2172">
        <v>47.790575916230402</v>
      </c>
    </row>
    <row r="2173" spans="1:37" x14ac:dyDescent="0.3">
      <c r="A2173">
        <v>2172</v>
      </c>
      <c r="B2173">
        <v>0</v>
      </c>
      <c r="C2173">
        <v>33.333302000000003</v>
      </c>
      <c r="D2173">
        <v>-4.8499999999999996</v>
      </c>
      <c r="E2173" t="s">
        <v>3796</v>
      </c>
      <c r="F2173" t="s">
        <v>3797</v>
      </c>
      <c r="G2173" t="s">
        <v>39</v>
      </c>
      <c r="H2173">
        <v>2008</v>
      </c>
      <c r="I2173">
        <v>23.093531825325702</v>
      </c>
      <c r="J2173">
        <v>11.800000190734901</v>
      </c>
      <c r="K2173">
        <v>67.935314685314694</v>
      </c>
      <c r="L2173">
        <v>11.5845457790615</v>
      </c>
      <c r="M2173">
        <v>32.099998474121101</v>
      </c>
      <c r="N2173">
        <v>14.787063140135499</v>
      </c>
      <c r="O2173">
        <v>17.3129363493486</v>
      </c>
      <c r="P2173">
        <v>22.893531062386302</v>
      </c>
      <c r="Q2173">
        <v>21.799999237060501</v>
      </c>
      <c r="R2173">
        <v>24.799999237060501</v>
      </c>
      <c r="S2173">
        <v>21.6935322067954</v>
      </c>
      <c r="T2173">
        <v>867.30944055943996</v>
      </c>
      <c r="U2173">
        <v>182.480769230769</v>
      </c>
      <c r="V2173">
        <v>0</v>
      </c>
      <c r="W2173">
        <v>90.480769230769198</v>
      </c>
      <c r="X2173">
        <v>453.047202797203</v>
      </c>
      <c r="Y2173">
        <v>1</v>
      </c>
      <c r="Z2173">
        <v>124.63111888111899</v>
      </c>
      <c r="AA2173">
        <v>30</v>
      </c>
      <c r="AB2173">
        <v>2.4182404204682002</v>
      </c>
      <c r="AC2173">
        <v>0.34868052309880498</v>
      </c>
      <c r="AD2173">
        <v>0.90791670300743799</v>
      </c>
      <c r="AE2173">
        <v>0.322108710041413</v>
      </c>
      <c r="AF2173">
        <v>1209.1730769230801</v>
      </c>
      <c r="AG2173">
        <f>IFERROR(AH2173*0.1, "N/A")</f>
        <v>5.5150349650349604</v>
      </c>
      <c r="AH2173">
        <v>55.150349650349597</v>
      </c>
      <c r="AI2173">
        <v>153.371609054245</v>
      </c>
      <c r="AJ2173">
        <v>22</v>
      </c>
      <c r="AK2173">
        <v>66.849650349650304</v>
      </c>
    </row>
    <row r="2174" spans="1:37" x14ac:dyDescent="0.3">
      <c r="A2174">
        <v>2173</v>
      </c>
      <c r="B2174">
        <v>0</v>
      </c>
      <c r="C2174">
        <v>33.333302000000003</v>
      </c>
      <c r="D2174">
        <v>-4.8499999999999996</v>
      </c>
      <c r="E2174" t="s">
        <v>3796</v>
      </c>
      <c r="F2174" t="s">
        <v>3798</v>
      </c>
      <c r="G2174" t="s">
        <v>37</v>
      </c>
      <c r="H2174">
        <v>2008</v>
      </c>
      <c r="I2174">
        <v>23.093531825325702</v>
      </c>
      <c r="J2174">
        <v>11.800000190734901</v>
      </c>
      <c r="K2174">
        <v>67.935314685314694</v>
      </c>
      <c r="L2174">
        <v>11.5845457790615</v>
      </c>
      <c r="M2174">
        <v>32.099998474121101</v>
      </c>
      <c r="N2174">
        <v>14.787063140135499</v>
      </c>
      <c r="O2174">
        <v>17.3129363493486</v>
      </c>
      <c r="P2174">
        <v>22.893531062386302</v>
      </c>
      <c r="Q2174">
        <v>21.799999237060501</v>
      </c>
      <c r="R2174">
        <v>24.799999237060501</v>
      </c>
      <c r="S2174">
        <v>21.6935322067954</v>
      </c>
      <c r="T2174">
        <v>867.30944055943996</v>
      </c>
      <c r="U2174">
        <v>182.480769230769</v>
      </c>
      <c r="V2174">
        <v>0</v>
      </c>
      <c r="W2174">
        <v>90.480769230769198</v>
      </c>
      <c r="X2174">
        <v>453.047202797203</v>
      </c>
      <c r="Y2174">
        <v>1</v>
      </c>
      <c r="Z2174">
        <v>124.63111888111899</v>
      </c>
      <c r="AA2174">
        <v>30</v>
      </c>
      <c r="AB2174">
        <v>2.4182404204682002</v>
      </c>
      <c r="AC2174">
        <v>0.34868052309880498</v>
      </c>
      <c r="AD2174">
        <v>0.90791670300743799</v>
      </c>
      <c r="AE2174">
        <v>0.322108710041413</v>
      </c>
      <c r="AF2174">
        <v>1209.1730769230801</v>
      </c>
      <c r="AG2174">
        <f>IFERROR(AH2174*0.1, "N/A")</f>
        <v>5.5150349650349604</v>
      </c>
      <c r="AH2174">
        <v>55.150349650349597</v>
      </c>
      <c r="AI2174">
        <v>153.371609054245</v>
      </c>
      <c r="AJ2174">
        <v>22</v>
      </c>
      <c r="AK2174">
        <v>66.849650349650304</v>
      </c>
    </row>
    <row r="2175" spans="1:37" x14ac:dyDescent="0.3">
      <c r="A2175">
        <v>2174</v>
      </c>
      <c r="B2175">
        <v>50</v>
      </c>
      <c r="C2175">
        <v>38.766700999999998</v>
      </c>
      <c r="D2175">
        <v>-4.8499999999999996</v>
      </c>
      <c r="E2175" t="s">
        <v>3799</v>
      </c>
      <c r="F2175" t="s">
        <v>3800</v>
      </c>
      <c r="G2175" t="s">
        <v>39</v>
      </c>
      <c r="H2175">
        <v>2008</v>
      </c>
      <c r="I2175">
        <v>22.322941855248601</v>
      </c>
      <c r="J2175">
        <v>9.5266201099455898</v>
      </c>
      <c r="K2175">
        <v>63.656742556917699</v>
      </c>
      <c r="L2175">
        <v>16.776987760580599</v>
      </c>
      <c r="M2175">
        <v>30.310507866213101</v>
      </c>
      <c r="N2175">
        <v>15.469702082632301</v>
      </c>
      <c r="O2175">
        <v>14.840805801952801</v>
      </c>
      <c r="P2175">
        <v>23.1527143401565</v>
      </c>
      <c r="Q2175">
        <v>20.188441271539698</v>
      </c>
      <c r="R2175">
        <v>24.343082037155799</v>
      </c>
      <c r="S2175">
        <v>20.100875831109601</v>
      </c>
      <c r="T2175">
        <v>1192.5411558669</v>
      </c>
      <c r="U2175">
        <v>200.91593695271499</v>
      </c>
      <c r="V2175">
        <v>44.311733800350297</v>
      </c>
      <c r="W2175">
        <v>51.637478108581398</v>
      </c>
      <c r="X2175">
        <v>502.53765323993002</v>
      </c>
      <c r="Y2175">
        <v>170.89842381786301</v>
      </c>
      <c r="Z2175">
        <v>213.25919439579701</v>
      </c>
      <c r="AA2175">
        <v>173.82311733800299</v>
      </c>
      <c r="AB2175">
        <v>287.49720852345803</v>
      </c>
      <c r="AC2175">
        <v>5.19274763776E-2</v>
      </c>
      <c r="AD2175">
        <v>26.9166541692463</v>
      </c>
      <c r="AE2175">
        <v>0.26732543554489802</v>
      </c>
      <c r="AF2175">
        <v>632.51838879159402</v>
      </c>
      <c r="AG2175">
        <f>IFERROR(AH2175*0.1, "N/A")</f>
        <v>5.3577933450087603</v>
      </c>
      <c r="AH2175">
        <v>53.577933450087599</v>
      </c>
      <c r="AI2175">
        <v>318.707344228875</v>
      </c>
      <c r="AJ2175">
        <v>34.688266199649703</v>
      </c>
      <c r="AK2175">
        <v>45.155866900175099</v>
      </c>
    </row>
    <row r="2176" spans="1:37" x14ac:dyDescent="0.3">
      <c r="A2176">
        <v>2175</v>
      </c>
      <c r="B2176">
        <v>0</v>
      </c>
      <c r="C2176">
        <v>38.766700999999998</v>
      </c>
      <c r="D2176">
        <v>-4.8499999999999996</v>
      </c>
      <c r="E2176" t="s">
        <v>3799</v>
      </c>
      <c r="F2176" t="s">
        <v>3801</v>
      </c>
      <c r="G2176" t="s">
        <v>37</v>
      </c>
      <c r="H2176">
        <v>2008</v>
      </c>
      <c r="I2176">
        <v>22.322941855248601</v>
      </c>
      <c r="J2176">
        <v>9.5266201099455898</v>
      </c>
      <c r="K2176">
        <v>63.656742556917699</v>
      </c>
      <c r="L2176">
        <v>16.776987760580599</v>
      </c>
      <c r="M2176">
        <v>30.310507866213101</v>
      </c>
      <c r="N2176">
        <v>15.469702082632301</v>
      </c>
      <c r="O2176">
        <v>14.840805801952801</v>
      </c>
      <c r="P2176">
        <v>23.1527143401565</v>
      </c>
      <c r="Q2176">
        <v>20.188441271539698</v>
      </c>
      <c r="R2176">
        <v>24.343082037155799</v>
      </c>
      <c r="S2176">
        <v>20.100875831109601</v>
      </c>
      <c r="T2176">
        <v>1192.5411558669</v>
      </c>
      <c r="U2176">
        <v>200.91593695271499</v>
      </c>
      <c r="V2176">
        <v>44.311733800350297</v>
      </c>
      <c r="W2176">
        <v>51.637478108581398</v>
      </c>
      <c r="X2176">
        <v>502.53765323993002</v>
      </c>
      <c r="Y2176">
        <v>170.89842381786301</v>
      </c>
      <c r="Z2176">
        <v>213.25919439579701</v>
      </c>
      <c r="AA2176">
        <v>173.82311733800299</v>
      </c>
      <c r="AB2176">
        <v>287.49720852345803</v>
      </c>
      <c r="AC2176">
        <v>5.19274763776E-2</v>
      </c>
      <c r="AD2176">
        <v>26.9166541692463</v>
      </c>
      <c r="AE2176">
        <v>0.26732543554489802</v>
      </c>
      <c r="AF2176">
        <v>632.51838879159402</v>
      </c>
      <c r="AG2176">
        <f>IFERROR(AH2176*0.1, "N/A")</f>
        <v>5.3577933450087603</v>
      </c>
      <c r="AH2176">
        <v>53.577933450087599</v>
      </c>
      <c r="AI2176">
        <v>318.707344228875</v>
      </c>
      <c r="AJ2176">
        <v>34.688266199649703</v>
      </c>
      <c r="AK2176">
        <v>45.155866900175099</v>
      </c>
    </row>
    <row r="2177" spans="1:37" x14ac:dyDescent="0.3">
      <c r="A2177">
        <v>2176</v>
      </c>
      <c r="B2177">
        <v>100</v>
      </c>
      <c r="C2177">
        <v>38.799999</v>
      </c>
      <c r="D2177">
        <v>-4.8666700000000001</v>
      </c>
      <c r="E2177" t="s">
        <v>3802</v>
      </c>
      <c r="F2177" t="s">
        <v>3803</v>
      </c>
      <c r="G2177" t="s">
        <v>39</v>
      </c>
      <c r="H2177">
        <v>2008</v>
      </c>
      <c r="I2177">
        <v>24.888655770719598</v>
      </c>
      <c r="J2177">
        <v>9.8999996185302699</v>
      </c>
      <c r="K2177">
        <v>66</v>
      </c>
      <c r="L2177">
        <v>16.239022366455501</v>
      </c>
      <c r="M2177">
        <v>32.741186870954401</v>
      </c>
      <c r="N2177">
        <v>17.7474694976008</v>
      </c>
      <c r="O2177">
        <v>14.993717253520201</v>
      </c>
      <c r="P2177">
        <v>25.6986038114804</v>
      </c>
      <c r="Q2177">
        <v>22.8411861306502</v>
      </c>
      <c r="R2177">
        <v>26.8411861306502</v>
      </c>
      <c r="S2177">
        <v>22.7474694976008</v>
      </c>
      <c r="T2177">
        <v>1158.52006980803</v>
      </c>
      <c r="U2177">
        <v>167.474694589878</v>
      </c>
      <c r="V2177">
        <v>44.474694589877799</v>
      </c>
      <c r="W2177">
        <v>48</v>
      </c>
      <c r="X2177">
        <v>447.84816753926702</v>
      </c>
      <c r="Y2177">
        <v>150.57417102966801</v>
      </c>
      <c r="Z2177">
        <v>238.88656195462499</v>
      </c>
      <c r="AA2177">
        <v>173.63699825479901</v>
      </c>
      <c r="AB2177">
        <v>8.4160589780691009</v>
      </c>
      <c r="AC2177">
        <v>0.14966068199687799</v>
      </c>
      <c r="AD2177">
        <v>2.64928406237724</v>
      </c>
      <c r="AE2177">
        <v>0.31800407171249401</v>
      </c>
      <c r="AF2177">
        <v>221.65794066317599</v>
      </c>
      <c r="AG2177">
        <f>IFERROR(AH2177*0.1, "N/A")</f>
        <v>5.6525305410122204</v>
      </c>
      <c r="AH2177">
        <v>56.525305410122201</v>
      </c>
      <c r="AI2177">
        <v>57.872884540657701</v>
      </c>
      <c r="AJ2177">
        <v>35.863874345549704</v>
      </c>
      <c r="AK2177">
        <v>47.150087260034901</v>
      </c>
    </row>
    <row r="2178" spans="1:37" x14ac:dyDescent="0.3">
      <c r="A2178">
        <v>2177</v>
      </c>
      <c r="B2178">
        <v>0</v>
      </c>
      <c r="C2178">
        <v>38.799999</v>
      </c>
      <c r="D2178">
        <v>-4.8666700000000001</v>
      </c>
      <c r="E2178" t="s">
        <v>3802</v>
      </c>
      <c r="F2178" t="s">
        <v>3804</v>
      </c>
      <c r="G2178" t="s">
        <v>37</v>
      </c>
      <c r="H2178">
        <v>2008</v>
      </c>
      <c r="I2178">
        <v>24.888655770719598</v>
      </c>
      <c r="J2178">
        <v>9.8999996185302699</v>
      </c>
      <c r="K2178">
        <v>66</v>
      </c>
      <c r="L2178">
        <v>16.239022366455501</v>
      </c>
      <c r="M2178">
        <v>32.741186870954401</v>
      </c>
      <c r="N2178">
        <v>17.7474694976008</v>
      </c>
      <c r="O2178">
        <v>14.993717253520201</v>
      </c>
      <c r="P2178">
        <v>25.6986038114804</v>
      </c>
      <c r="Q2178">
        <v>22.8411861306502</v>
      </c>
      <c r="R2178">
        <v>26.8411861306502</v>
      </c>
      <c r="S2178">
        <v>22.7474694976008</v>
      </c>
      <c r="T2178">
        <v>1158.52006980803</v>
      </c>
      <c r="U2178">
        <v>167.474694589878</v>
      </c>
      <c r="V2178">
        <v>44.474694589877799</v>
      </c>
      <c r="W2178">
        <v>48</v>
      </c>
      <c r="X2178">
        <v>447.84816753926702</v>
      </c>
      <c r="Y2178">
        <v>150.57417102966801</v>
      </c>
      <c r="Z2178">
        <v>238.88656195462499</v>
      </c>
      <c r="AA2178">
        <v>173.63699825479901</v>
      </c>
      <c r="AB2178">
        <v>8.4160589780691009</v>
      </c>
      <c r="AC2178">
        <v>0.14966068199687799</v>
      </c>
      <c r="AD2178">
        <v>2.64928406237724</v>
      </c>
      <c r="AE2178">
        <v>0.31800407171249401</v>
      </c>
      <c r="AF2178">
        <v>221.65794066317599</v>
      </c>
      <c r="AG2178">
        <f>IFERROR(AH2178*0.1, "N/A")</f>
        <v>5.6525305410122204</v>
      </c>
      <c r="AH2178">
        <v>56.525305410122201</v>
      </c>
      <c r="AI2178">
        <v>57.872884540657701</v>
      </c>
      <c r="AJ2178">
        <v>35.863874345549704</v>
      </c>
      <c r="AK2178">
        <v>47.150087260034901</v>
      </c>
    </row>
    <row r="2179" spans="1:37" x14ac:dyDescent="0.3">
      <c r="A2179">
        <v>2178</v>
      </c>
      <c r="B2179">
        <v>20</v>
      </c>
      <c r="C2179">
        <v>32.733299000000002</v>
      </c>
      <c r="D2179">
        <v>-4.9000000000000004</v>
      </c>
      <c r="E2179" t="s">
        <v>3805</v>
      </c>
      <c r="F2179" t="s">
        <v>3806</v>
      </c>
      <c r="G2179" t="s">
        <v>39</v>
      </c>
      <c r="H2179">
        <v>2008</v>
      </c>
      <c r="I2179">
        <v>23.8634610176086</v>
      </c>
      <c r="J2179">
        <v>12.1000003814697</v>
      </c>
      <c r="K2179">
        <v>67</v>
      </c>
      <c r="L2179">
        <v>12.4961187806163</v>
      </c>
      <c r="M2179">
        <v>33.180070236846298</v>
      </c>
      <c r="N2179">
        <v>15.280070044777601</v>
      </c>
      <c r="O2179">
        <v>17.899999618530298</v>
      </c>
      <c r="P2179">
        <v>23.4800698540427</v>
      </c>
      <c r="Q2179">
        <v>22.680070616982199</v>
      </c>
      <c r="R2179">
        <v>25.763461333054799</v>
      </c>
      <c r="S2179">
        <v>22.580070235512501</v>
      </c>
      <c r="T2179">
        <v>953.39510489510496</v>
      </c>
      <c r="U2179">
        <v>182</v>
      </c>
      <c r="V2179">
        <v>0</v>
      </c>
      <c r="W2179">
        <v>90.199300699300693</v>
      </c>
      <c r="X2179">
        <v>470.99650349650301</v>
      </c>
      <c r="Y2179">
        <v>2</v>
      </c>
      <c r="Z2179">
        <v>141.533216783217</v>
      </c>
      <c r="AA2179">
        <v>33.634615384615401</v>
      </c>
      <c r="AB2179">
        <v>0</v>
      </c>
      <c r="AC2179">
        <v>13.7988365935927</v>
      </c>
      <c r="AD2179">
        <v>3.4458598682099999E-3</v>
      </c>
      <c r="AE2179">
        <v>0.224107250571251</v>
      </c>
      <c r="AF2179">
        <v>1129</v>
      </c>
      <c r="AG2179" t="str">
        <f>IFERROR(AH2179*0.1, "N/A")</f>
        <v>N/A</v>
      </c>
      <c r="AH2179" t="s">
        <v>729</v>
      </c>
      <c r="AI2179">
        <v>0.23656426276360401</v>
      </c>
      <c r="AJ2179" t="s">
        <v>729</v>
      </c>
      <c r="AK2179" t="s">
        <v>729</v>
      </c>
    </row>
    <row r="2180" spans="1:37" x14ac:dyDescent="0.3">
      <c r="A2180">
        <v>2179</v>
      </c>
      <c r="B2180">
        <v>0</v>
      </c>
      <c r="C2180">
        <v>32.733299000000002</v>
      </c>
      <c r="D2180">
        <v>-4.9000000000000004</v>
      </c>
      <c r="E2180" t="s">
        <v>3805</v>
      </c>
      <c r="F2180" t="s">
        <v>3807</v>
      </c>
      <c r="G2180" t="s">
        <v>37</v>
      </c>
      <c r="H2180">
        <v>2008</v>
      </c>
      <c r="I2180">
        <v>23.8634610176086</v>
      </c>
      <c r="J2180">
        <v>12.1000003814697</v>
      </c>
      <c r="K2180">
        <v>67</v>
      </c>
      <c r="L2180">
        <v>12.4961187806163</v>
      </c>
      <c r="M2180">
        <v>33.180070236846298</v>
      </c>
      <c r="N2180">
        <v>15.280070044777601</v>
      </c>
      <c r="O2180">
        <v>17.899999618530298</v>
      </c>
      <c r="P2180">
        <v>23.4800698540427</v>
      </c>
      <c r="Q2180">
        <v>22.680070616982199</v>
      </c>
      <c r="R2180">
        <v>25.763461333054799</v>
      </c>
      <c r="S2180">
        <v>22.580070235512501</v>
      </c>
      <c r="T2180">
        <v>953.39510489510496</v>
      </c>
      <c r="U2180">
        <v>182</v>
      </c>
      <c r="V2180">
        <v>0</v>
      </c>
      <c r="W2180">
        <v>90.199300699300693</v>
      </c>
      <c r="X2180">
        <v>470.99650349650301</v>
      </c>
      <c r="Y2180">
        <v>2</v>
      </c>
      <c r="Z2180">
        <v>141.533216783217</v>
      </c>
      <c r="AA2180">
        <v>33.634615384615401</v>
      </c>
      <c r="AB2180">
        <v>0</v>
      </c>
      <c r="AC2180">
        <v>13.7988365935927</v>
      </c>
      <c r="AD2180">
        <v>3.4458598682099999E-3</v>
      </c>
      <c r="AE2180">
        <v>0.224107250571251</v>
      </c>
      <c r="AF2180">
        <v>1129</v>
      </c>
      <c r="AG2180" t="str">
        <f>IFERROR(AH2180*0.1, "N/A")</f>
        <v>N/A</v>
      </c>
      <c r="AH2180" t="s">
        <v>729</v>
      </c>
      <c r="AI2180">
        <v>0.23656426276360401</v>
      </c>
      <c r="AJ2180" t="s">
        <v>729</v>
      </c>
      <c r="AK2180" t="s">
        <v>729</v>
      </c>
    </row>
    <row r="2181" spans="1:37" x14ac:dyDescent="0.3">
      <c r="A2181">
        <v>2180</v>
      </c>
      <c r="B2181">
        <v>0</v>
      </c>
      <c r="C2181">
        <v>38.522799999999997</v>
      </c>
      <c r="D2181">
        <v>-4.9000000000000004</v>
      </c>
      <c r="E2181" t="s">
        <v>3808</v>
      </c>
      <c r="F2181" t="s">
        <v>3809</v>
      </c>
      <c r="G2181" t="s">
        <v>39</v>
      </c>
      <c r="H2181">
        <v>2008</v>
      </c>
      <c r="I2181">
        <v>22.599474400856</v>
      </c>
      <c r="J2181">
        <v>10.438178839073901</v>
      </c>
      <c r="K2181">
        <v>64.537653239929995</v>
      </c>
      <c r="L2181">
        <v>17.8469355127231</v>
      </c>
      <c r="M2181">
        <v>31.230122885227999</v>
      </c>
      <c r="N2181">
        <v>15.1688262384952</v>
      </c>
      <c r="O2181">
        <v>16.061296646732799</v>
      </c>
      <c r="P2181">
        <v>23.399475104337</v>
      </c>
      <c r="Q2181">
        <v>20.299474722867298</v>
      </c>
      <c r="R2181">
        <v>24.7763577376063</v>
      </c>
      <c r="S2181">
        <v>20.2763577376063</v>
      </c>
      <c r="T2181">
        <v>1023.30472854641</v>
      </c>
      <c r="U2181">
        <v>180.70928196147099</v>
      </c>
      <c r="V2181">
        <v>37.311733800350297</v>
      </c>
      <c r="W2181">
        <v>54.6935201401051</v>
      </c>
      <c r="X2181">
        <v>460.11733800350299</v>
      </c>
      <c r="Y2181">
        <v>127.704028021016</v>
      </c>
      <c r="Z2181">
        <v>213.085814360771</v>
      </c>
      <c r="AA2181">
        <v>130.859894921191</v>
      </c>
      <c r="AB2181">
        <v>88.182132754350903</v>
      </c>
      <c r="AC2181">
        <v>0.116256508690789</v>
      </c>
      <c r="AD2181">
        <v>22.9345406984907</v>
      </c>
      <c r="AE2181">
        <v>0.43492081907501201</v>
      </c>
      <c r="AF2181">
        <v>649.58493870402799</v>
      </c>
      <c r="AG2181">
        <f>IFERROR(AH2181*0.1, "N/A")</f>
        <v>6.2</v>
      </c>
      <c r="AH2181">
        <v>62</v>
      </c>
      <c r="AI2181">
        <v>72.457070868403605</v>
      </c>
      <c r="AJ2181">
        <v>37</v>
      </c>
      <c r="AK2181">
        <v>44.197898423817897</v>
      </c>
    </row>
    <row r="2182" spans="1:37" x14ac:dyDescent="0.3">
      <c r="A2182">
        <v>2181</v>
      </c>
      <c r="B2182">
        <v>0</v>
      </c>
      <c r="C2182">
        <v>38.522799999999997</v>
      </c>
      <c r="D2182">
        <v>-4.9000000000000004</v>
      </c>
      <c r="E2182" t="s">
        <v>3808</v>
      </c>
      <c r="F2182" t="s">
        <v>3810</v>
      </c>
      <c r="G2182" t="s">
        <v>37</v>
      </c>
      <c r="H2182">
        <v>2008</v>
      </c>
      <c r="I2182">
        <v>22.599474400856</v>
      </c>
      <c r="J2182">
        <v>10.438178839073901</v>
      </c>
      <c r="K2182">
        <v>64.537653239929995</v>
      </c>
      <c r="L2182">
        <v>17.8469355127231</v>
      </c>
      <c r="M2182">
        <v>31.230122885227999</v>
      </c>
      <c r="N2182">
        <v>15.1688262384952</v>
      </c>
      <c r="O2182">
        <v>16.061296646732799</v>
      </c>
      <c r="P2182">
        <v>23.399475104337</v>
      </c>
      <c r="Q2182">
        <v>20.299474722867298</v>
      </c>
      <c r="R2182">
        <v>24.7763577376063</v>
      </c>
      <c r="S2182">
        <v>20.2763577376063</v>
      </c>
      <c r="T2182">
        <v>1023.30472854641</v>
      </c>
      <c r="U2182">
        <v>180.70928196147099</v>
      </c>
      <c r="V2182">
        <v>37.311733800350297</v>
      </c>
      <c r="W2182">
        <v>54.6935201401051</v>
      </c>
      <c r="X2182">
        <v>460.11733800350299</v>
      </c>
      <c r="Y2182">
        <v>127.704028021016</v>
      </c>
      <c r="Z2182">
        <v>213.085814360771</v>
      </c>
      <c r="AA2182">
        <v>130.859894921191</v>
      </c>
      <c r="AB2182">
        <v>88.182132754350903</v>
      </c>
      <c r="AC2182">
        <v>0.116256508690789</v>
      </c>
      <c r="AD2182">
        <v>22.9345406984907</v>
      </c>
      <c r="AE2182">
        <v>0.43492081907501201</v>
      </c>
      <c r="AF2182">
        <v>649.58493870402799</v>
      </c>
      <c r="AG2182">
        <f>IFERROR(AH2182*0.1, "N/A")</f>
        <v>6.2</v>
      </c>
      <c r="AH2182">
        <v>62</v>
      </c>
      <c r="AI2182">
        <v>72.457070868403605</v>
      </c>
      <c r="AJ2182">
        <v>37</v>
      </c>
      <c r="AK2182">
        <v>44.197898423817897</v>
      </c>
    </row>
    <row r="2183" spans="1:37" x14ac:dyDescent="0.3">
      <c r="A2183">
        <v>2182</v>
      </c>
      <c r="B2183">
        <v>0</v>
      </c>
      <c r="C2183">
        <v>32.174399999999999</v>
      </c>
      <c r="D2183">
        <v>-4.9480599999999999</v>
      </c>
      <c r="E2183" t="s">
        <v>3811</v>
      </c>
      <c r="F2183" t="s">
        <v>3812</v>
      </c>
      <c r="G2183" t="s">
        <v>39</v>
      </c>
      <c r="H2183">
        <v>2008</v>
      </c>
      <c r="I2183">
        <v>23.306829385707299</v>
      </c>
      <c r="J2183">
        <v>12.699999809265099</v>
      </c>
      <c r="K2183">
        <v>68.931698774080601</v>
      </c>
      <c r="L2183">
        <v>12.007513111401799</v>
      </c>
      <c r="M2183">
        <v>32.206830781312</v>
      </c>
      <c r="N2183">
        <v>13.800000190734901</v>
      </c>
      <c r="O2183">
        <v>18.406829767177101</v>
      </c>
      <c r="P2183">
        <v>23.006830148646799</v>
      </c>
      <c r="Q2183">
        <v>22.100000381469702</v>
      </c>
      <c r="R2183">
        <v>25.100000381469702</v>
      </c>
      <c r="S2183">
        <v>21.899999618530298</v>
      </c>
      <c r="T2183">
        <v>988</v>
      </c>
      <c r="U2183">
        <v>185</v>
      </c>
      <c r="V2183">
        <v>0</v>
      </c>
      <c r="W2183">
        <v>88</v>
      </c>
      <c r="X2183">
        <v>477</v>
      </c>
      <c r="Y2183">
        <v>2</v>
      </c>
      <c r="Z2183">
        <v>147</v>
      </c>
      <c r="AA2183">
        <v>38</v>
      </c>
      <c r="AB2183">
        <v>8.6852843490039398</v>
      </c>
      <c r="AC2183">
        <v>6.3911988367301997E-2</v>
      </c>
      <c r="AD2183">
        <v>0.98434103918367799</v>
      </c>
      <c r="AE2183">
        <v>0.26263302564620999</v>
      </c>
      <c r="AF2183">
        <v>1119.8458844133099</v>
      </c>
      <c r="AG2183">
        <f>IFERROR(AH2183*0.1, "N/A")</f>
        <v>5.4077057793345</v>
      </c>
      <c r="AH2183">
        <v>54.077057793344999</v>
      </c>
      <c r="AI2183">
        <v>149.87646275268099</v>
      </c>
      <c r="AJ2183">
        <v>18.264448336252201</v>
      </c>
      <c r="AK2183">
        <v>69.726795096322206</v>
      </c>
    </row>
    <row r="2184" spans="1:37" x14ac:dyDescent="0.3">
      <c r="A2184">
        <v>2183</v>
      </c>
      <c r="B2184">
        <v>0</v>
      </c>
      <c r="C2184">
        <v>32.174399999999999</v>
      </c>
      <c r="D2184">
        <v>-4.9480599999999999</v>
      </c>
      <c r="E2184" t="s">
        <v>3811</v>
      </c>
      <c r="F2184" t="s">
        <v>3813</v>
      </c>
      <c r="G2184" t="s">
        <v>37</v>
      </c>
      <c r="H2184">
        <v>2008</v>
      </c>
      <c r="I2184">
        <v>23.306829385707299</v>
      </c>
      <c r="J2184">
        <v>12.699999809265099</v>
      </c>
      <c r="K2184">
        <v>68.931698774080601</v>
      </c>
      <c r="L2184">
        <v>12.007513111401799</v>
      </c>
      <c r="M2184">
        <v>32.206830781312</v>
      </c>
      <c r="N2184">
        <v>13.800000190734901</v>
      </c>
      <c r="O2184">
        <v>18.406829767177101</v>
      </c>
      <c r="P2184">
        <v>23.006830148646799</v>
      </c>
      <c r="Q2184">
        <v>22.100000381469702</v>
      </c>
      <c r="R2184">
        <v>25.100000381469702</v>
      </c>
      <c r="S2184">
        <v>21.899999618530298</v>
      </c>
      <c r="T2184">
        <v>988</v>
      </c>
      <c r="U2184">
        <v>185</v>
      </c>
      <c r="V2184">
        <v>0</v>
      </c>
      <c r="W2184">
        <v>88</v>
      </c>
      <c r="X2184">
        <v>477</v>
      </c>
      <c r="Y2184">
        <v>2</v>
      </c>
      <c r="Z2184">
        <v>147</v>
      </c>
      <c r="AA2184">
        <v>38</v>
      </c>
      <c r="AB2184">
        <v>8.6852843490039398</v>
      </c>
      <c r="AC2184">
        <v>6.3911988367301997E-2</v>
      </c>
      <c r="AD2184">
        <v>0.98434103918367799</v>
      </c>
      <c r="AE2184">
        <v>0.26263302564620999</v>
      </c>
      <c r="AF2184">
        <v>1119.8458844133099</v>
      </c>
      <c r="AG2184">
        <f>IFERROR(AH2184*0.1, "N/A")</f>
        <v>5.4077057793345</v>
      </c>
      <c r="AH2184">
        <v>54.077057793344999</v>
      </c>
      <c r="AI2184">
        <v>149.87646275268099</v>
      </c>
      <c r="AJ2184">
        <v>18.264448336252201</v>
      </c>
      <c r="AK2184">
        <v>69.726795096322206</v>
      </c>
    </row>
    <row r="2185" spans="1:37" x14ac:dyDescent="0.3">
      <c r="A2185">
        <v>2184</v>
      </c>
      <c r="B2185">
        <v>33.330002</v>
      </c>
      <c r="C2185">
        <v>38.916697999999997</v>
      </c>
      <c r="D2185">
        <v>-4.95</v>
      </c>
      <c r="E2185" t="s">
        <v>3814</v>
      </c>
      <c r="F2185" t="s">
        <v>3815</v>
      </c>
      <c r="G2185" t="s">
        <v>39</v>
      </c>
      <c r="H2185">
        <v>2008</v>
      </c>
      <c r="I2185">
        <v>25.600000381469702</v>
      </c>
      <c r="J2185">
        <v>9.4595445041689903</v>
      </c>
      <c r="K2185">
        <v>65.875656742556899</v>
      </c>
      <c r="L2185">
        <v>15.5665322235294</v>
      </c>
      <c r="M2185">
        <v>33</v>
      </c>
      <c r="N2185">
        <v>18.728021351134501</v>
      </c>
      <c r="O2185">
        <v>14.2719790680814</v>
      </c>
      <c r="P2185">
        <v>26.399999618530298</v>
      </c>
      <c r="Q2185">
        <v>27.212434898950999</v>
      </c>
      <c r="R2185">
        <v>27.5</v>
      </c>
      <c r="S2185">
        <v>23.5875660082922</v>
      </c>
      <c r="T2185">
        <v>1182.0928196147099</v>
      </c>
      <c r="U2185">
        <v>207.404553415061</v>
      </c>
      <c r="V2185">
        <v>36</v>
      </c>
      <c r="W2185">
        <v>54.844133099824901</v>
      </c>
      <c r="X2185">
        <v>495.37302977232901</v>
      </c>
      <c r="Y2185">
        <v>154.280210157618</v>
      </c>
      <c r="Z2185">
        <v>198.31523642732</v>
      </c>
      <c r="AA2185">
        <v>189.280210157618</v>
      </c>
      <c r="AB2185">
        <v>9.0982466929848194</v>
      </c>
      <c r="AC2185">
        <v>1.1648825945532E-2</v>
      </c>
      <c r="AD2185">
        <v>1.9444687191116401</v>
      </c>
      <c r="AE2185">
        <v>0.42901071906089799</v>
      </c>
      <c r="AF2185">
        <v>130.78458844133101</v>
      </c>
      <c r="AG2185">
        <f>IFERROR(AH2185*0.1, "N/A")</f>
        <v>5.8208406304728504</v>
      </c>
      <c r="AH2185">
        <v>58.208406304728499</v>
      </c>
      <c r="AI2185">
        <v>250.90218127462799</v>
      </c>
      <c r="AJ2185">
        <v>28.133099824868701</v>
      </c>
      <c r="AK2185">
        <v>59.8686514886165</v>
      </c>
    </row>
    <row r="2186" spans="1:37" x14ac:dyDescent="0.3">
      <c r="A2186">
        <v>2185</v>
      </c>
      <c r="B2186">
        <v>0</v>
      </c>
      <c r="C2186">
        <v>38.916697999999997</v>
      </c>
      <c r="D2186">
        <v>-4.95</v>
      </c>
      <c r="E2186" t="s">
        <v>3814</v>
      </c>
      <c r="F2186" t="s">
        <v>3816</v>
      </c>
      <c r="G2186" t="s">
        <v>37</v>
      </c>
      <c r="H2186">
        <v>2008</v>
      </c>
      <c r="I2186">
        <v>25.600000381469702</v>
      </c>
      <c r="J2186">
        <v>9.4595445041689903</v>
      </c>
      <c r="K2186">
        <v>65.875656742556899</v>
      </c>
      <c r="L2186">
        <v>15.5665322235294</v>
      </c>
      <c r="M2186">
        <v>33</v>
      </c>
      <c r="N2186">
        <v>18.728021351134501</v>
      </c>
      <c r="O2186">
        <v>14.2719790680814</v>
      </c>
      <c r="P2186">
        <v>26.399999618530298</v>
      </c>
      <c r="Q2186">
        <v>27.212434898950999</v>
      </c>
      <c r="R2186">
        <v>27.5</v>
      </c>
      <c r="S2186">
        <v>23.5875660082922</v>
      </c>
      <c r="T2186">
        <v>1182.0928196147099</v>
      </c>
      <c r="U2186">
        <v>207.404553415061</v>
      </c>
      <c r="V2186">
        <v>36</v>
      </c>
      <c r="W2186">
        <v>54.844133099824901</v>
      </c>
      <c r="X2186">
        <v>495.37302977232901</v>
      </c>
      <c r="Y2186">
        <v>154.280210157618</v>
      </c>
      <c r="Z2186">
        <v>198.31523642732</v>
      </c>
      <c r="AA2186">
        <v>189.280210157618</v>
      </c>
      <c r="AB2186">
        <v>9.0982466929848194</v>
      </c>
      <c r="AC2186">
        <v>1.1648825945532E-2</v>
      </c>
      <c r="AD2186">
        <v>1.9444687191116401</v>
      </c>
      <c r="AE2186">
        <v>0.42901071906089799</v>
      </c>
      <c r="AF2186">
        <v>130.78458844133101</v>
      </c>
      <c r="AG2186">
        <f>IFERROR(AH2186*0.1, "N/A")</f>
        <v>5.8208406304728504</v>
      </c>
      <c r="AH2186">
        <v>58.208406304728499</v>
      </c>
      <c r="AI2186">
        <v>250.90218127462799</v>
      </c>
      <c r="AJ2186">
        <v>28.133099824868701</v>
      </c>
      <c r="AK2186">
        <v>59.8686514886165</v>
      </c>
    </row>
    <row r="2187" spans="1:37" x14ac:dyDescent="0.3">
      <c r="A2187">
        <v>2186</v>
      </c>
      <c r="B2187">
        <v>0</v>
      </c>
      <c r="C2187">
        <v>31.999399</v>
      </c>
      <c r="D2187">
        <v>-5.0436100000000001</v>
      </c>
      <c r="E2187" t="s">
        <v>3817</v>
      </c>
      <c r="F2187" t="s">
        <v>3818</v>
      </c>
      <c r="G2187" t="s">
        <v>39</v>
      </c>
      <c r="H2187">
        <v>2008</v>
      </c>
      <c r="I2187">
        <v>23.200000762939499</v>
      </c>
      <c r="J2187">
        <v>12.8999996185303</v>
      </c>
      <c r="K2187">
        <v>68</v>
      </c>
      <c r="L2187">
        <v>12.0900001525879</v>
      </c>
      <c r="M2187">
        <v>32</v>
      </c>
      <c r="N2187">
        <v>13.300000190734901</v>
      </c>
      <c r="O2187">
        <v>18.700000762939499</v>
      </c>
      <c r="P2187">
        <v>23</v>
      </c>
      <c r="Q2187">
        <v>21.899999618530298</v>
      </c>
      <c r="R2187">
        <v>25</v>
      </c>
      <c r="S2187">
        <v>21.799999237060501</v>
      </c>
      <c r="T2187">
        <v>991</v>
      </c>
      <c r="U2187">
        <v>187</v>
      </c>
      <c r="V2187">
        <v>0</v>
      </c>
      <c r="W2187">
        <v>88</v>
      </c>
      <c r="X2187">
        <v>482</v>
      </c>
      <c r="Y2187">
        <v>2</v>
      </c>
      <c r="Z2187">
        <v>147</v>
      </c>
      <c r="AA2187">
        <v>38</v>
      </c>
      <c r="AB2187">
        <v>5.1863731971153904</v>
      </c>
      <c r="AC2187">
        <v>4.1564906698202002E-2</v>
      </c>
      <c r="AD2187">
        <v>0.81259135912348301</v>
      </c>
      <c r="AE2187">
        <v>0.389989326362843</v>
      </c>
      <c r="AF2187">
        <v>1114.59265734266</v>
      </c>
      <c r="AG2187">
        <f>IFERROR(AH2187*0.1, "N/A")</f>
        <v>5.6000000000000005</v>
      </c>
      <c r="AH2187">
        <v>56</v>
      </c>
      <c r="AI2187">
        <v>109.202128296965</v>
      </c>
      <c r="AJ2187">
        <v>20.185314685314701</v>
      </c>
      <c r="AK2187">
        <v>68</v>
      </c>
    </row>
    <row r="2188" spans="1:37" x14ac:dyDescent="0.3">
      <c r="A2188">
        <v>2187</v>
      </c>
      <c r="B2188">
        <v>0</v>
      </c>
      <c r="C2188">
        <v>31.999399</v>
      </c>
      <c r="D2188">
        <v>-5.0436100000000001</v>
      </c>
      <c r="E2188" t="s">
        <v>3817</v>
      </c>
      <c r="F2188" t="s">
        <v>3819</v>
      </c>
      <c r="G2188" t="s">
        <v>37</v>
      </c>
      <c r="H2188">
        <v>2008</v>
      </c>
      <c r="I2188">
        <v>23.200000762939499</v>
      </c>
      <c r="J2188">
        <v>12.8999996185303</v>
      </c>
      <c r="K2188">
        <v>68</v>
      </c>
      <c r="L2188">
        <v>12.0900001525879</v>
      </c>
      <c r="M2188">
        <v>32</v>
      </c>
      <c r="N2188">
        <v>13.300000190734901</v>
      </c>
      <c r="O2188">
        <v>18.700000762939499</v>
      </c>
      <c r="P2188">
        <v>23</v>
      </c>
      <c r="Q2188">
        <v>21.899999618530298</v>
      </c>
      <c r="R2188">
        <v>25</v>
      </c>
      <c r="S2188">
        <v>21.799999237060501</v>
      </c>
      <c r="T2188">
        <v>991</v>
      </c>
      <c r="U2188">
        <v>187</v>
      </c>
      <c r="V2188">
        <v>0</v>
      </c>
      <c r="W2188">
        <v>88</v>
      </c>
      <c r="X2188">
        <v>482</v>
      </c>
      <c r="Y2188">
        <v>2</v>
      </c>
      <c r="Z2188">
        <v>147</v>
      </c>
      <c r="AA2188">
        <v>38</v>
      </c>
      <c r="AB2188">
        <v>5.1863731971153904</v>
      </c>
      <c r="AC2188">
        <v>4.1564906698202002E-2</v>
      </c>
      <c r="AD2188">
        <v>0.81259135912348301</v>
      </c>
      <c r="AE2188">
        <v>0.389989326362843</v>
      </c>
      <c r="AF2188">
        <v>1114.59265734266</v>
      </c>
      <c r="AG2188">
        <f>IFERROR(AH2188*0.1, "N/A")</f>
        <v>5.6000000000000005</v>
      </c>
      <c r="AH2188">
        <v>56</v>
      </c>
      <c r="AI2188">
        <v>109.202128296965</v>
      </c>
      <c r="AJ2188">
        <v>20.185314685314701</v>
      </c>
      <c r="AK2188">
        <v>68</v>
      </c>
    </row>
    <row r="2189" spans="1:37" x14ac:dyDescent="0.3">
      <c r="A2189">
        <v>2188</v>
      </c>
      <c r="B2189">
        <v>25</v>
      </c>
      <c r="C2189">
        <v>32.283298000000002</v>
      </c>
      <c r="D2189">
        <v>-5.05</v>
      </c>
      <c r="E2189" t="s">
        <v>3820</v>
      </c>
      <c r="F2189" t="s">
        <v>3821</v>
      </c>
      <c r="G2189" t="s">
        <v>39</v>
      </c>
      <c r="H2189">
        <v>2008</v>
      </c>
      <c r="I2189">
        <v>23.399999618530298</v>
      </c>
      <c r="J2189">
        <v>12.679159298043301</v>
      </c>
      <c r="K2189">
        <v>68</v>
      </c>
      <c r="L2189">
        <v>12.3789139862862</v>
      </c>
      <c r="M2189">
        <v>32.464973596683102</v>
      </c>
      <c r="N2189">
        <v>13.9642730686168</v>
      </c>
      <c r="O2189">
        <v>18.5007005280663</v>
      </c>
      <c r="P2189">
        <v>23.100000381469702</v>
      </c>
      <c r="Q2189">
        <v>22.082487179811299</v>
      </c>
      <c r="R2189">
        <v>25.221541590114398</v>
      </c>
      <c r="S2189">
        <v>21.982486798341601</v>
      </c>
      <c r="T2189">
        <v>1004.7880910683</v>
      </c>
      <c r="U2189">
        <v>191.21541155866899</v>
      </c>
      <c r="V2189">
        <v>0</v>
      </c>
      <c r="W2189">
        <v>89.215411558669004</v>
      </c>
      <c r="X2189">
        <v>489.43082311733798</v>
      </c>
      <c r="Y2189">
        <v>1</v>
      </c>
      <c r="Z2189">
        <v>149.96672504378299</v>
      </c>
      <c r="AA2189">
        <v>35</v>
      </c>
      <c r="AB2189">
        <v>0.80896936740641401</v>
      </c>
      <c r="AC2189">
        <v>5.0259510053406498</v>
      </c>
      <c r="AD2189">
        <v>0.67396128558653201</v>
      </c>
      <c r="AE2189">
        <v>0.27979242801666299</v>
      </c>
      <c r="AF2189">
        <v>1132.7197898423799</v>
      </c>
      <c r="AG2189">
        <f>IFERROR(AH2189*0.1, "N/A")</f>
        <v>5.5</v>
      </c>
      <c r="AH2189">
        <v>55</v>
      </c>
      <c r="AI2189">
        <v>120.93144618901199</v>
      </c>
      <c r="AJ2189">
        <v>20</v>
      </c>
      <c r="AK2189">
        <v>68.208406304728598</v>
      </c>
    </row>
    <row r="2190" spans="1:37" x14ac:dyDescent="0.3">
      <c r="A2190">
        <v>2189</v>
      </c>
      <c r="B2190">
        <v>0</v>
      </c>
      <c r="C2190">
        <v>32.283298000000002</v>
      </c>
      <c r="D2190">
        <v>-5.05</v>
      </c>
      <c r="E2190" t="s">
        <v>3820</v>
      </c>
      <c r="F2190" t="s">
        <v>3822</v>
      </c>
      <c r="G2190" t="s">
        <v>37</v>
      </c>
      <c r="H2190">
        <v>2008</v>
      </c>
      <c r="I2190">
        <v>23.399999618530298</v>
      </c>
      <c r="J2190">
        <v>12.679159298043301</v>
      </c>
      <c r="K2190">
        <v>68</v>
      </c>
      <c r="L2190">
        <v>12.3789139862862</v>
      </c>
      <c r="M2190">
        <v>32.464973596683102</v>
      </c>
      <c r="N2190">
        <v>13.9642730686168</v>
      </c>
      <c r="O2190">
        <v>18.5007005280663</v>
      </c>
      <c r="P2190">
        <v>23.100000381469702</v>
      </c>
      <c r="Q2190">
        <v>22.082487179811299</v>
      </c>
      <c r="R2190">
        <v>25.221541590114398</v>
      </c>
      <c r="S2190">
        <v>21.982486798341601</v>
      </c>
      <c r="T2190">
        <v>1004.7880910683</v>
      </c>
      <c r="U2190">
        <v>191.21541155866899</v>
      </c>
      <c r="V2190">
        <v>0</v>
      </c>
      <c r="W2190">
        <v>89.215411558669004</v>
      </c>
      <c r="X2190">
        <v>489.43082311733798</v>
      </c>
      <c r="Y2190">
        <v>1</v>
      </c>
      <c r="Z2190">
        <v>149.96672504378299</v>
      </c>
      <c r="AA2190">
        <v>35</v>
      </c>
      <c r="AB2190">
        <v>0.80896936740641401</v>
      </c>
      <c r="AC2190">
        <v>5.0259510053406498</v>
      </c>
      <c r="AD2190">
        <v>0.67396128558653201</v>
      </c>
      <c r="AE2190">
        <v>0.27979242801666299</v>
      </c>
      <c r="AF2190">
        <v>1132.7197898423799</v>
      </c>
      <c r="AG2190">
        <f>IFERROR(AH2190*0.1, "N/A")</f>
        <v>5.5</v>
      </c>
      <c r="AH2190">
        <v>55</v>
      </c>
      <c r="AI2190">
        <v>120.93144618901199</v>
      </c>
      <c r="AJ2190">
        <v>20</v>
      </c>
      <c r="AK2190">
        <v>68.208406304728598</v>
      </c>
    </row>
    <row r="2191" spans="1:37" x14ac:dyDescent="0.3">
      <c r="A2191">
        <v>2190</v>
      </c>
      <c r="B2191">
        <v>0</v>
      </c>
      <c r="C2191">
        <v>31.793600000000001</v>
      </c>
      <c r="D2191">
        <v>-5.0605599999999997</v>
      </c>
      <c r="E2191" t="s">
        <v>3823</v>
      </c>
      <c r="F2191" t="s">
        <v>3824</v>
      </c>
      <c r="G2191" t="s">
        <v>39</v>
      </c>
      <c r="H2191">
        <v>2008</v>
      </c>
      <c r="I2191">
        <v>23.200000762939499</v>
      </c>
      <c r="J2191">
        <v>12.699999809265099</v>
      </c>
      <c r="K2191">
        <v>69</v>
      </c>
      <c r="L2191">
        <v>11.3900003433228</v>
      </c>
      <c r="M2191">
        <v>31.799999237060501</v>
      </c>
      <c r="N2191">
        <v>13.6000003814697</v>
      </c>
      <c r="O2191">
        <v>18.200000762939499</v>
      </c>
      <c r="P2191">
        <v>23.100000381469702</v>
      </c>
      <c r="Q2191">
        <v>22</v>
      </c>
      <c r="R2191">
        <v>24.899999618530298</v>
      </c>
      <c r="S2191">
        <v>21.799999237060501</v>
      </c>
      <c r="T2191">
        <v>986</v>
      </c>
      <c r="U2191">
        <v>185</v>
      </c>
      <c r="V2191">
        <v>0</v>
      </c>
      <c r="W2191">
        <v>88</v>
      </c>
      <c r="X2191">
        <v>476</v>
      </c>
      <c r="Y2191">
        <v>2</v>
      </c>
      <c r="Z2191">
        <v>146</v>
      </c>
      <c r="AA2191">
        <v>37</v>
      </c>
      <c r="AB2191">
        <v>10.064274615874</v>
      </c>
      <c r="AC2191">
        <v>3.3911760100497998E-2</v>
      </c>
      <c r="AD2191">
        <v>1.1178557085698599</v>
      </c>
      <c r="AE2191">
        <v>0.54977207645225901</v>
      </c>
      <c r="AF2191">
        <v>1083.3765323993</v>
      </c>
      <c r="AG2191">
        <f>IFERROR(AH2191*0.1, "N/A")</f>
        <v>5.580210157618211</v>
      </c>
      <c r="AH2191">
        <v>55.802101576182103</v>
      </c>
      <c r="AI2191">
        <v>249.18865600024799</v>
      </c>
      <c r="AJ2191">
        <v>24.8021015761821</v>
      </c>
      <c r="AK2191">
        <v>60.150612959719801</v>
      </c>
    </row>
    <row r="2192" spans="1:37" x14ac:dyDescent="0.3">
      <c r="A2192">
        <v>2191</v>
      </c>
      <c r="B2192">
        <v>0</v>
      </c>
      <c r="C2192">
        <v>31.793600000000001</v>
      </c>
      <c r="D2192">
        <v>-5.0605599999999997</v>
      </c>
      <c r="E2192" t="s">
        <v>3823</v>
      </c>
      <c r="F2192" t="s">
        <v>3825</v>
      </c>
      <c r="G2192" t="s">
        <v>37</v>
      </c>
      <c r="H2192">
        <v>2008</v>
      </c>
      <c r="I2192">
        <v>23.200000762939499</v>
      </c>
      <c r="J2192">
        <v>12.699999809265099</v>
      </c>
      <c r="K2192">
        <v>69</v>
      </c>
      <c r="L2192">
        <v>11.3900003433228</v>
      </c>
      <c r="M2192">
        <v>31.799999237060501</v>
      </c>
      <c r="N2192">
        <v>13.6000003814697</v>
      </c>
      <c r="O2192">
        <v>18.200000762939499</v>
      </c>
      <c r="P2192">
        <v>23.100000381469702</v>
      </c>
      <c r="Q2192">
        <v>22</v>
      </c>
      <c r="R2192">
        <v>24.899999618530298</v>
      </c>
      <c r="S2192">
        <v>21.799999237060501</v>
      </c>
      <c r="T2192">
        <v>986</v>
      </c>
      <c r="U2192">
        <v>185</v>
      </c>
      <c r="V2192">
        <v>0</v>
      </c>
      <c r="W2192">
        <v>88</v>
      </c>
      <c r="X2192">
        <v>476</v>
      </c>
      <c r="Y2192">
        <v>2</v>
      </c>
      <c r="Z2192">
        <v>146</v>
      </c>
      <c r="AA2192">
        <v>37</v>
      </c>
      <c r="AB2192">
        <v>10.064274615874</v>
      </c>
      <c r="AC2192">
        <v>3.3911760100497998E-2</v>
      </c>
      <c r="AD2192">
        <v>1.1178557085698599</v>
      </c>
      <c r="AE2192">
        <v>0.54977207645225901</v>
      </c>
      <c r="AF2192">
        <v>1083.3765323993</v>
      </c>
      <c r="AG2192">
        <f>IFERROR(AH2192*0.1, "N/A")</f>
        <v>5.580210157618211</v>
      </c>
      <c r="AH2192">
        <v>55.802101576182103</v>
      </c>
      <c r="AI2192">
        <v>249.18865600024799</v>
      </c>
      <c r="AJ2192">
        <v>24.8021015761821</v>
      </c>
      <c r="AK2192">
        <v>60.150612959719801</v>
      </c>
    </row>
    <row r="2193" spans="1:37" x14ac:dyDescent="0.3">
      <c r="A2193">
        <v>2192</v>
      </c>
      <c r="B2193">
        <v>0</v>
      </c>
      <c r="C2193">
        <v>39.083302000000003</v>
      </c>
      <c r="D2193">
        <v>-5.0666700000000002</v>
      </c>
      <c r="E2193" t="s">
        <v>3826</v>
      </c>
      <c r="F2193" t="s">
        <v>3827</v>
      </c>
      <c r="G2193" t="s">
        <v>39</v>
      </c>
      <c r="H2193">
        <v>2008</v>
      </c>
      <c r="I2193">
        <v>26.372726787220302</v>
      </c>
      <c r="J2193">
        <v>8.8000001907348597</v>
      </c>
      <c r="K2193">
        <v>64.472027972028002</v>
      </c>
      <c r="L2193">
        <v>15.142640058810899</v>
      </c>
      <c r="M2193">
        <v>33.336363705721801</v>
      </c>
      <c r="N2193">
        <v>19.7835659213833</v>
      </c>
      <c r="O2193">
        <v>13.552797404202501</v>
      </c>
      <c r="P2193">
        <v>27.219930215315401</v>
      </c>
      <c r="Q2193">
        <v>27.972727168690099</v>
      </c>
      <c r="R2193">
        <v>28.1727272380482</v>
      </c>
      <c r="S2193">
        <v>24.336363012140399</v>
      </c>
      <c r="T2193">
        <v>1267.7465034965001</v>
      </c>
      <c r="U2193">
        <v>285.575174825175</v>
      </c>
      <c r="V2193">
        <v>27</v>
      </c>
      <c r="W2193">
        <v>68.295454545454604</v>
      </c>
      <c r="X2193">
        <v>600.15034965034999</v>
      </c>
      <c r="Y2193">
        <v>131.272727272727</v>
      </c>
      <c r="Z2193">
        <v>153.636363636364</v>
      </c>
      <c r="AA2193">
        <v>209.07342657342701</v>
      </c>
      <c r="AB2193">
        <v>19.343531536889198</v>
      </c>
      <c r="AC2193">
        <v>1.299599094896E-2</v>
      </c>
      <c r="AD2193">
        <v>4.2861343197055604</v>
      </c>
      <c r="AE2193">
        <v>0.750407695770264</v>
      </c>
      <c r="AF2193">
        <v>23.017482517482499</v>
      </c>
      <c r="AG2193">
        <f>IFERROR(AH2193*0.1, "N/A")</f>
        <v>6.1372377622377599</v>
      </c>
      <c r="AH2193">
        <v>61.372377622377599</v>
      </c>
      <c r="AI2193">
        <v>114.076213830001</v>
      </c>
      <c r="AJ2193">
        <v>28.520979020978999</v>
      </c>
      <c r="AK2193">
        <v>52.520979020978999</v>
      </c>
    </row>
    <row r="2194" spans="1:37" x14ac:dyDescent="0.3">
      <c r="A2194">
        <v>2193</v>
      </c>
      <c r="B2194">
        <v>9.09</v>
      </c>
      <c r="C2194">
        <v>39.083302000000003</v>
      </c>
      <c r="D2194">
        <v>-5.0666700000000002</v>
      </c>
      <c r="E2194" t="s">
        <v>3826</v>
      </c>
      <c r="F2194" t="s">
        <v>3828</v>
      </c>
      <c r="G2194" t="s">
        <v>37</v>
      </c>
      <c r="H2194">
        <v>2008</v>
      </c>
      <c r="I2194">
        <v>26.372726787220302</v>
      </c>
      <c r="J2194">
        <v>8.8000001907348597</v>
      </c>
      <c r="K2194">
        <v>64.472027972028002</v>
      </c>
      <c r="L2194">
        <v>15.142640058810899</v>
      </c>
      <c r="M2194">
        <v>33.336363705721801</v>
      </c>
      <c r="N2194">
        <v>19.7835659213833</v>
      </c>
      <c r="O2194">
        <v>13.552797404202501</v>
      </c>
      <c r="P2194">
        <v>27.219930215315401</v>
      </c>
      <c r="Q2194">
        <v>27.972727168690099</v>
      </c>
      <c r="R2194">
        <v>28.1727272380482</v>
      </c>
      <c r="S2194">
        <v>24.336363012140399</v>
      </c>
      <c r="T2194">
        <v>1267.7465034965001</v>
      </c>
      <c r="U2194">
        <v>285.575174825175</v>
      </c>
      <c r="V2194">
        <v>27</v>
      </c>
      <c r="W2194">
        <v>68.295454545454604</v>
      </c>
      <c r="X2194">
        <v>600.15034965034999</v>
      </c>
      <c r="Y2194">
        <v>131.272727272727</v>
      </c>
      <c r="Z2194">
        <v>153.636363636364</v>
      </c>
      <c r="AA2194">
        <v>209.07342657342701</v>
      </c>
      <c r="AB2194">
        <v>19.343531536889198</v>
      </c>
      <c r="AC2194">
        <v>1.299599094896E-2</v>
      </c>
      <c r="AD2194">
        <v>4.2861343197055604</v>
      </c>
      <c r="AE2194">
        <v>0.750407695770264</v>
      </c>
      <c r="AF2194">
        <v>23.017482517482499</v>
      </c>
      <c r="AG2194">
        <f>IFERROR(AH2194*0.1, "N/A")</f>
        <v>6.1372377622377599</v>
      </c>
      <c r="AH2194">
        <v>61.372377622377599</v>
      </c>
      <c r="AI2194">
        <v>114.076213830001</v>
      </c>
      <c r="AJ2194">
        <v>28.520979020978999</v>
      </c>
      <c r="AK2194">
        <v>52.520979020978999</v>
      </c>
    </row>
    <row r="2195" spans="1:37" x14ac:dyDescent="0.3">
      <c r="A2195">
        <v>2194</v>
      </c>
      <c r="B2195">
        <v>0</v>
      </c>
      <c r="C2195">
        <v>31.798901000000001</v>
      </c>
      <c r="D2195">
        <v>-5.0741699999999996</v>
      </c>
      <c r="E2195" t="s">
        <v>3829</v>
      </c>
      <c r="F2195" t="s">
        <v>3830</v>
      </c>
      <c r="G2195" t="s">
        <v>39</v>
      </c>
      <c r="H2195">
        <v>2008</v>
      </c>
      <c r="I2195">
        <v>23.299999237060501</v>
      </c>
      <c r="J2195">
        <v>12.699999809265099</v>
      </c>
      <c r="K2195">
        <v>69</v>
      </c>
      <c r="L2195">
        <v>11.305481558297</v>
      </c>
      <c r="M2195">
        <v>31.81541085452</v>
      </c>
      <c r="N2195">
        <v>13.6000003814697</v>
      </c>
      <c r="O2195">
        <v>18.215412086446701</v>
      </c>
      <c r="P2195">
        <v>23.100000381469702</v>
      </c>
      <c r="Q2195">
        <v>22</v>
      </c>
      <c r="R2195">
        <v>24.899999618530298</v>
      </c>
      <c r="S2195">
        <v>21.884588001070799</v>
      </c>
      <c r="T2195">
        <v>987.30823117338002</v>
      </c>
      <c r="U2195">
        <v>185.15411558669001</v>
      </c>
      <c r="V2195">
        <v>0</v>
      </c>
      <c r="W2195">
        <v>88</v>
      </c>
      <c r="X2195">
        <v>476.30823117338002</v>
      </c>
      <c r="Y2195">
        <v>2</v>
      </c>
      <c r="Z2195">
        <v>146</v>
      </c>
      <c r="AA2195">
        <v>37</v>
      </c>
      <c r="AB2195">
        <v>11.075631216820801</v>
      </c>
      <c r="AC2195">
        <v>4.0636597308876997E-2</v>
      </c>
      <c r="AD2195">
        <v>1.0165162462277899</v>
      </c>
      <c r="AE2195">
        <v>0.47136878967285201</v>
      </c>
      <c r="AF2195">
        <v>1078.9527145359</v>
      </c>
      <c r="AG2195">
        <f>IFERROR(AH2195*0.1, "N/A")</f>
        <v>5.2702276707530702</v>
      </c>
      <c r="AH2195">
        <v>52.7022767075307</v>
      </c>
      <c r="AI2195">
        <v>60.168236259821199</v>
      </c>
      <c r="AJ2195">
        <v>22.702276707530601</v>
      </c>
      <c r="AK2195">
        <v>66</v>
      </c>
    </row>
    <row r="2196" spans="1:37" x14ac:dyDescent="0.3">
      <c r="A2196">
        <v>2195</v>
      </c>
      <c r="B2196">
        <v>0</v>
      </c>
      <c r="C2196">
        <v>31.798901000000001</v>
      </c>
      <c r="D2196">
        <v>-5.0741699999999996</v>
      </c>
      <c r="E2196" t="s">
        <v>3829</v>
      </c>
      <c r="F2196" t="s">
        <v>3831</v>
      </c>
      <c r="G2196" t="s">
        <v>37</v>
      </c>
      <c r="H2196">
        <v>2008</v>
      </c>
      <c r="I2196">
        <v>23.299999237060501</v>
      </c>
      <c r="J2196">
        <v>12.699999809265099</v>
      </c>
      <c r="K2196">
        <v>69</v>
      </c>
      <c r="L2196">
        <v>11.305481558297</v>
      </c>
      <c r="M2196">
        <v>31.81541085452</v>
      </c>
      <c r="N2196">
        <v>13.6000003814697</v>
      </c>
      <c r="O2196">
        <v>18.215412086446701</v>
      </c>
      <c r="P2196">
        <v>23.100000381469702</v>
      </c>
      <c r="Q2196">
        <v>22</v>
      </c>
      <c r="R2196">
        <v>24.899999618530298</v>
      </c>
      <c r="S2196">
        <v>21.884588001070799</v>
      </c>
      <c r="T2196">
        <v>987.30823117338002</v>
      </c>
      <c r="U2196">
        <v>185.15411558669001</v>
      </c>
      <c r="V2196">
        <v>0</v>
      </c>
      <c r="W2196">
        <v>88</v>
      </c>
      <c r="X2196">
        <v>476.30823117338002</v>
      </c>
      <c r="Y2196">
        <v>2</v>
      </c>
      <c r="Z2196">
        <v>146</v>
      </c>
      <c r="AA2196">
        <v>37</v>
      </c>
      <c r="AB2196">
        <v>11.075631216820801</v>
      </c>
      <c r="AC2196">
        <v>4.0636597308876997E-2</v>
      </c>
      <c r="AD2196">
        <v>1.0165162462277899</v>
      </c>
      <c r="AE2196">
        <v>0.47136878967285201</v>
      </c>
      <c r="AF2196">
        <v>1078.9527145359</v>
      </c>
      <c r="AG2196">
        <f>IFERROR(AH2196*0.1, "N/A")</f>
        <v>5.2702276707530702</v>
      </c>
      <c r="AH2196">
        <v>52.7022767075307</v>
      </c>
      <c r="AI2196">
        <v>60.168236259821199</v>
      </c>
      <c r="AJ2196">
        <v>22.702276707530601</v>
      </c>
      <c r="AK2196">
        <v>66</v>
      </c>
    </row>
    <row r="2197" spans="1:37" x14ac:dyDescent="0.3">
      <c r="A2197">
        <v>2196</v>
      </c>
      <c r="B2197">
        <v>0</v>
      </c>
      <c r="C2197">
        <v>38.619399999999999</v>
      </c>
      <c r="D2197">
        <v>-5.08</v>
      </c>
      <c r="E2197" t="s">
        <v>3832</v>
      </c>
      <c r="F2197" t="s">
        <v>3833</v>
      </c>
      <c r="G2197" t="s">
        <v>39</v>
      </c>
      <c r="H2197">
        <v>2008</v>
      </c>
      <c r="I2197">
        <v>20.5</v>
      </c>
      <c r="J2197">
        <v>8.8000001907348597</v>
      </c>
      <c r="K2197">
        <v>61</v>
      </c>
      <c r="L2197">
        <v>17.600000381469702</v>
      </c>
      <c r="M2197">
        <v>28.399999618530298</v>
      </c>
      <c r="N2197">
        <v>14</v>
      </c>
      <c r="O2197">
        <v>14.3999996185303</v>
      </c>
      <c r="P2197">
        <v>21.299999237060501</v>
      </c>
      <c r="Q2197">
        <v>22.399999618530298</v>
      </c>
      <c r="R2197">
        <v>22.600000381469702</v>
      </c>
      <c r="S2197">
        <v>18.100000381469702</v>
      </c>
      <c r="T2197">
        <v>1748</v>
      </c>
      <c r="U2197">
        <v>326</v>
      </c>
      <c r="V2197">
        <v>62</v>
      </c>
      <c r="W2197">
        <v>58</v>
      </c>
      <c r="X2197">
        <v>796</v>
      </c>
      <c r="Y2197">
        <v>251</v>
      </c>
      <c r="Z2197">
        <v>285</v>
      </c>
      <c r="AA2197">
        <v>276</v>
      </c>
      <c r="AB2197">
        <v>21.305218282170301</v>
      </c>
      <c r="AC2197">
        <v>7.6470961966544002E-2</v>
      </c>
      <c r="AD2197">
        <v>9.3289478370240406</v>
      </c>
      <c r="AE2197">
        <v>0.314464300870895</v>
      </c>
      <c r="AF2197">
        <v>945.09424083769602</v>
      </c>
      <c r="AG2197">
        <f>IFERROR(AH2197*0.1, "N/A")</f>
        <v>5.1019197207678904</v>
      </c>
      <c r="AH2197">
        <v>51.0191972076789</v>
      </c>
      <c r="AI2197">
        <v>157.44390384481</v>
      </c>
      <c r="AJ2197">
        <v>37.5095986038394</v>
      </c>
      <c r="AK2197">
        <v>45.507853403141397</v>
      </c>
    </row>
    <row r="2198" spans="1:37" x14ac:dyDescent="0.3">
      <c r="A2198">
        <v>2197</v>
      </c>
      <c r="B2198">
        <v>0</v>
      </c>
      <c r="C2198">
        <v>38.619399999999999</v>
      </c>
      <c r="D2198">
        <v>-5.08</v>
      </c>
      <c r="E2198" t="s">
        <v>3832</v>
      </c>
      <c r="F2198" t="s">
        <v>3834</v>
      </c>
      <c r="G2198" t="s">
        <v>37</v>
      </c>
      <c r="H2198">
        <v>2008</v>
      </c>
      <c r="I2198">
        <v>20.5</v>
      </c>
      <c r="J2198">
        <v>8.8000001907348597</v>
      </c>
      <c r="K2198">
        <v>61</v>
      </c>
      <c r="L2198">
        <v>17.600000381469702</v>
      </c>
      <c r="M2198">
        <v>28.399999618530298</v>
      </c>
      <c r="N2198">
        <v>14</v>
      </c>
      <c r="O2198">
        <v>14.3999996185303</v>
      </c>
      <c r="P2198">
        <v>21.299999237060501</v>
      </c>
      <c r="Q2198">
        <v>22.399999618530298</v>
      </c>
      <c r="R2198">
        <v>22.600000381469702</v>
      </c>
      <c r="S2198">
        <v>18.100000381469702</v>
      </c>
      <c r="T2198">
        <v>1748</v>
      </c>
      <c r="U2198">
        <v>326</v>
      </c>
      <c r="V2198">
        <v>62</v>
      </c>
      <c r="W2198">
        <v>58</v>
      </c>
      <c r="X2198">
        <v>796</v>
      </c>
      <c r="Y2198">
        <v>251</v>
      </c>
      <c r="Z2198">
        <v>285</v>
      </c>
      <c r="AA2198">
        <v>276</v>
      </c>
      <c r="AB2198">
        <v>21.305218282170301</v>
      </c>
      <c r="AC2198">
        <v>7.6470961966544002E-2</v>
      </c>
      <c r="AD2198">
        <v>9.3289478370240406</v>
      </c>
      <c r="AE2198">
        <v>0.314464300870895</v>
      </c>
      <c r="AF2198">
        <v>945.09424083769602</v>
      </c>
      <c r="AG2198">
        <f>IFERROR(AH2198*0.1, "N/A")</f>
        <v>5.1019197207678904</v>
      </c>
      <c r="AH2198">
        <v>51.0191972076789</v>
      </c>
      <c r="AI2198">
        <v>157.44390384481</v>
      </c>
      <c r="AJ2198">
        <v>37.5095986038394</v>
      </c>
      <c r="AK2198">
        <v>45.507853403141397</v>
      </c>
    </row>
    <row r="2199" spans="1:37" x14ac:dyDescent="0.3">
      <c r="A2199">
        <v>2198</v>
      </c>
      <c r="B2199">
        <v>25</v>
      </c>
      <c r="C2199">
        <v>38.799999</v>
      </c>
      <c r="D2199">
        <v>-5.0999999999999996</v>
      </c>
      <c r="E2199" t="s">
        <v>3835</v>
      </c>
      <c r="F2199" t="s">
        <v>3836</v>
      </c>
      <c r="G2199" t="s">
        <v>39</v>
      </c>
      <c r="H2199">
        <v>2008</v>
      </c>
      <c r="I2199">
        <v>25.209090799718499</v>
      </c>
      <c r="J2199">
        <v>9.8999996185302699</v>
      </c>
      <c r="K2199">
        <v>66</v>
      </c>
      <c r="L2199">
        <v>16.088409257101802</v>
      </c>
      <c r="M2199">
        <v>33.115558270807902</v>
      </c>
      <c r="N2199">
        <v>18.1631122135616</v>
      </c>
      <c r="O2199">
        <v>14.9524473710494</v>
      </c>
      <c r="P2199">
        <v>26.063112128864599</v>
      </c>
      <c r="Q2199">
        <v>23.209090799718499</v>
      </c>
      <c r="R2199">
        <v>27.215559966080701</v>
      </c>
      <c r="S2199">
        <v>23.109091325239699</v>
      </c>
      <c r="T2199">
        <v>1258.8811188811201</v>
      </c>
      <c r="U2199">
        <v>195</v>
      </c>
      <c r="V2199">
        <v>42.524475524475498</v>
      </c>
      <c r="W2199">
        <v>50</v>
      </c>
      <c r="X2199">
        <v>515.77797202797206</v>
      </c>
      <c r="Y2199">
        <v>170.59790209790199</v>
      </c>
      <c r="Z2199">
        <v>235.45979020978999</v>
      </c>
      <c r="AA2199">
        <v>195.524475524476</v>
      </c>
      <c r="AB2199">
        <v>6.2839210616958701</v>
      </c>
      <c r="AC2199">
        <v>3.9015672627146003E-2</v>
      </c>
      <c r="AD2199">
        <v>3.54050920768218</v>
      </c>
      <c r="AE2199">
        <v>0.332255870103836</v>
      </c>
      <c r="AF2199">
        <v>181.80769230769201</v>
      </c>
      <c r="AG2199">
        <f>IFERROR(AH2199*0.1, "N/A")</f>
        <v>5.7069930069930104</v>
      </c>
      <c r="AH2199">
        <v>57.069930069930102</v>
      </c>
      <c r="AI2199">
        <v>55.115191826453596</v>
      </c>
      <c r="AJ2199">
        <v>36.924825174825202</v>
      </c>
      <c r="AK2199">
        <v>47.569930069930102</v>
      </c>
    </row>
    <row r="2200" spans="1:37" x14ac:dyDescent="0.3">
      <c r="A2200">
        <v>2199</v>
      </c>
      <c r="B2200">
        <v>0</v>
      </c>
      <c r="C2200">
        <v>38.799999</v>
      </c>
      <c r="D2200">
        <v>-5.0999999999999996</v>
      </c>
      <c r="E2200" t="s">
        <v>3835</v>
      </c>
      <c r="F2200" t="s">
        <v>3837</v>
      </c>
      <c r="G2200" t="s">
        <v>37</v>
      </c>
      <c r="H2200">
        <v>2008</v>
      </c>
      <c r="I2200">
        <v>25.209090799718499</v>
      </c>
      <c r="J2200">
        <v>9.8999996185302699</v>
      </c>
      <c r="K2200">
        <v>66</v>
      </c>
      <c r="L2200">
        <v>16.088409257101802</v>
      </c>
      <c r="M2200">
        <v>33.115558270807902</v>
      </c>
      <c r="N2200">
        <v>18.1631122135616</v>
      </c>
      <c r="O2200">
        <v>14.9524473710494</v>
      </c>
      <c r="P2200">
        <v>26.063112128864599</v>
      </c>
      <c r="Q2200">
        <v>23.209090799718499</v>
      </c>
      <c r="R2200">
        <v>27.215559966080701</v>
      </c>
      <c r="S2200">
        <v>23.109091325239699</v>
      </c>
      <c r="T2200">
        <v>1258.8811188811201</v>
      </c>
      <c r="U2200">
        <v>195</v>
      </c>
      <c r="V2200">
        <v>42.524475524475498</v>
      </c>
      <c r="W2200">
        <v>50</v>
      </c>
      <c r="X2200">
        <v>515.77797202797206</v>
      </c>
      <c r="Y2200">
        <v>170.59790209790199</v>
      </c>
      <c r="Z2200">
        <v>235.45979020978999</v>
      </c>
      <c r="AA2200">
        <v>195.524475524476</v>
      </c>
      <c r="AB2200">
        <v>6.2839210616958701</v>
      </c>
      <c r="AC2200">
        <v>3.9015672627146003E-2</v>
      </c>
      <c r="AD2200">
        <v>3.54050920768218</v>
      </c>
      <c r="AE2200">
        <v>0.332255870103836</v>
      </c>
      <c r="AF2200">
        <v>181.80769230769201</v>
      </c>
      <c r="AG2200">
        <f>IFERROR(AH2200*0.1, "N/A")</f>
        <v>5.7069930069930104</v>
      </c>
      <c r="AH2200">
        <v>57.069930069930102</v>
      </c>
      <c r="AI2200">
        <v>55.115191826453596</v>
      </c>
      <c r="AJ2200">
        <v>36.924825174825202</v>
      </c>
      <c r="AK2200">
        <v>47.569930069930102</v>
      </c>
    </row>
    <row r="2201" spans="1:37" x14ac:dyDescent="0.3">
      <c r="A2201">
        <v>2200</v>
      </c>
      <c r="B2201">
        <v>0</v>
      </c>
      <c r="C2201">
        <v>39.133301000000003</v>
      </c>
      <c r="D2201">
        <v>-5.0999999999999996</v>
      </c>
      <c r="E2201" t="s">
        <v>3838</v>
      </c>
      <c r="F2201" t="s">
        <v>3839</v>
      </c>
      <c r="G2201" t="s">
        <v>39</v>
      </c>
      <c r="H2201">
        <v>2008</v>
      </c>
      <c r="I2201">
        <v>26.5</v>
      </c>
      <c r="J2201">
        <v>8.8000001907348597</v>
      </c>
      <c r="K2201">
        <v>64.497382198952906</v>
      </c>
      <c r="L2201">
        <v>14.855253189646101</v>
      </c>
      <c r="M2201">
        <v>33.450262539049703</v>
      </c>
      <c r="N2201">
        <v>19.899999618530298</v>
      </c>
      <c r="O2201">
        <v>13.5502619718382</v>
      </c>
      <c r="P2201">
        <v>27.299999237060501</v>
      </c>
      <c r="Q2201">
        <v>28.0502619718382</v>
      </c>
      <c r="R2201">
        <v>28.299999237060501</v>
      </c>
      <c r="S2201">
        <v>24.5</v>
      </c>
      <c r="T2201">
        <v>1316.0069808027899</v>
      </c>
      <c r="U2201">
        <v>304.71029668411899</v>
      </c>
      <c r="V2201">
        <v>27</v>
      </c>
      <c r="W2201">
        <v>71.502617801047094</v>
      </c>
      <c r="X2201">
        <v>641.26003490401399</v>
      </c>
      <c r="Y2201">
        <v>133.67364746945901</v>
      </c>
      <c r="Z2201">
        <v>157.04188481675399</v>
      </c>
      <c r="AA2201">
        <v>209.705061082024</v>
      </c>
      <c r="AB2201">
        <v>1.0824561980732701</v>
      </c>
      <c r="AC2201">
        <v>1.0725519874770001E-2</v>
      </c>
      <c r="AD2201">
        <v>0.68366199487374901</v>
      </c>
      <c r="AE2201">
        <v>0.57231873273849498</v>
      </c>
      <c r="AF2201">
        <v>1.06806282722513</v>
      </c>
      <c r="AG2201">
        <f>IFERROR(AH2201*0.1, "N/A")</f>
        <v>7</v>
      </c>
      <c r="AH2201">
        <v>70</v>
      </c>
      <c r="AI2201">
        <v>83.409318574436099</v>
      </c>
      <c r="AJ2201">
        <v>32</v>
      </c>
      <c r="AK2201">
        <v>46</v>
      </c>
    </row>
    <row r="2202" spans="1:37" x14ac:dyDescent="0.3">
      <c r="A2202">
        <v>2201</v>
      </c>
      <c r="B2202">
        <v>0</v>
      </c>
      <c r="C2202">
        <v>39.133301000000003</v>
      </c>
      <c r="D2202">
        <v>-5.0999999999999996</v>
      </c>
      <c r="E2202" t="s">
        <v>3838</v>
      </c>
      <c r="F2202" t="s">
        <v>3840</v>
      </c>
      <c r="G2202" t="s">
        <v>37</v>
      </c>
      <c r="H2202">
        <v>2008</v>
      </c>
      <c r="I2202">
        <v>26.5</v>
      </c>
      <c r="J2202">
        <v>8.8000001907348597</v>
      </c>
      <c r="K2202">
        <v>64.497382198952906</v>
      </c>
      <c r="L2202">
        <v>14.855253189646101</v>
      </c>
      <c r="M2202">
        <v>33.450262539049703</v>
      </c>
      <c r="N2202">
        <v>19.899999618530298</v>
      </c>
      <c r="O2202">
        <v>13.5502619718382</v>
      </c>
      <c r="P2202">
        <v>27.299999237060501</v>
      </c>
      <c r="Q2202">
        <v>28.0502619718382</v>
      </c>
      <c r="R2202">
        <v>28.299999237060501</v>
      </c>
      <c r="S2202">
        <v>24.5</v>
      </c>
      <c r="T2202">
        <v>1316.0069808027899</v>
      </c>
      <c r="U2202">
        <v>304.71029668411899</v>
      </c>
      <c r="V2202">
        <v>27</v>
      </c>
      <c r="W2202">
        <v>71.502617801047094</v>
      </c>
      <c r="X2202">
        <v>641.26003490401399</v>
      </c>
      <c r="Y2202">
        <v>133.67364746945901</v>
      </c>
      <c r="Z2202">
        <v>157.04188481675399</v>
      </c>
      <c r="AA2202">
        <v>209.705061082024</v>
      </c>
      <c r="AB2202">
        <v>1.0824561980732701</v>
      </c>
      <c r="AC2202">
        <v>1.0725519874770001E-2</v>
      </c>
      <c r="AD2202">
        <v>0.68366199487374901</v>
      </c>
      <c r="AE2202">
        <v>0.57231873273849498</v>
      </c>
      <c r="AF2202">
        <v>1.06806282722513</v>
      </c>
      <c r="AG2202">
        <f>IFERROR(AH2202*0.1, "N/A")</f>
        <v>7</v>
      </c>
      <c r="AH2202">
        <v>70</v>
      </c>
      <c r="AI2202">
        <v>83.409318574436099</v>
      </c>
      <c r="AJ2202">
        <v>32</v>
      </c>
      <c r="AK2202">
        <v>46</v>
      </c>
    </row>
    <row r="2203" spans="1:37" x14ac:dyDescent="0.3">
      <c r="A2203">
        <v>2202</v>
      </c>
      <c r="B2203">
        <v>0</v>
      </c>
      <c r="C2203">
        <v>38.700001</v>
      </c>
      <c r="D2203">
        <v>-5.1166700000000001</v>
      </c>
      <c r="E2203" t="s">
        <v>3841</v>
      </c>
      <c r="F2203" t="s">
        <v>3842</v>
      </c>
      <c r="G2203" t="s">
        <v>39</v>
      </c>
      <c r="H2203">
        <v>2008</v>
      </c>
      <c r="I2203">
        <v>25.524868923394401</v>
      </c>
      <c r="J2203">
        <v>10.199999809265099</v>
      </c>
      <c r="K2203">
        <v>65</v>
      </c>
      <c r="L2203">
        <v>16.986846977273999</v>
      </c>
      <c r="M2203">
        <v>33.653065021735401</v>
      </c>
      <c r="N2203">
        <v>18.076708000303402</v>
      </c>
      <c r="O2203">
        <v>15.5763575592308</v>
      </c>
      <c r="P2203">
        <v>26.424868541924599</v>
      </c>
      <c r="Q2203">
        <v>23.348510982693799</v>
      </c>
      <c r="R2203">
        <v>27.567426003424401</v>
      </c>
      <c r="S2203">
        <v>23.324868434364902</v>
      </c>
      <c r="T2203">
        <v>1331.9509632224199</v>
      </c>
      <c r="U2203">
        <v>212.10157618213699</v>
      </c>
      <c r="V2203">
        <v>48.481611208406299</v>
      </c>
      <c r="W2203">
        <v>50.856392294220697</v>
      </c>
      <c r="X2203">
        <v>565.08056042031501</v>
      </c>
      <c r="Y2203">
        <v>186.23642732049001</v>
      </c>
      <c r="Z2203">
        <v>251.65499124343299</v>
      </c>
      <c r="AA2203">
        <v>202.957968476357</v>
      </c>
      <c r="AB2203">
        <v>11.5612886231751</v>
      </c>
      <c r="AC2203">
        <v>3.1015882149482001E-2</v>
      </c>
      <c r="AD2203">
        <v>3.8509827186263799</v>
      </c>
      <c r="AE2203">
        <v>0.29352212855151999</v>
      </c>
      <c r="AF2203">
        <v>183.58844133099799</v>
      </c>
      <c r="AG2203">
        <f>IFERROR(AH2203*0.1, "N/A")</f>
        <v>5.3763572679509606</v>
      </c>
      <c r="AH2203">
        <v>53.763572679509601</v>
      </c>
      <c r="AI2203">
        <v>78.057902364513694</v>
      </c>
      <c r="AJ2203">
        <v>37.763572679509601</v>
      </c>
      <c r="AK2203">
        <v>44.236427320490399</v>
      </c>
    </row>
    <row r="2204" spans="1:37" x14ac:dyDescent="0.3">
      <c r="A2204">
        <v>2203</v>
      </c>
      <c r="B2204">
        <v>0</v>
      </c>
      <c r="C2204">
        <v>38.700001</v>
      </c>
      <c r="D2204">
        <v>-5.1166700000000001</v>
      </c>
      <c r="E2204" t="s">
        <v>3841</v>
      </c>
      <c r="F2204" t="s">
        <v>3843</v>
      </c>
      <c r="G2204" t="s">
        <v>37</v>
      </c>
      <c r="H2204">
        <v>2008</v>
      </c>
      <c r="I2204">
        <v>25.524868923394401</v>
      </c>
      <c r="J2204">
        <v>10.199999809265099</v>
      </c>
      <c r="K2204">
        <v>65</v>
      </c>
      <c r="L2204">
        <v>16.986846977273999</v>
      </c>
      <c r="M2204">
        <v>33.653065021735401</v>
      </c>
      <c r="N2204">
        <v>18.076708000303402</v>
      </c>
      <c r="O2204">
        <v>15.5763575592308</v>
      </c>
      <c r="P2204">
        <v>26.424868541924599</v>
      </c>
      <c r="Q2204">
        <v>23.348510982693799</v>
      </c>
      <c r="R2204">
        <v>27.567426003424401</v>
      </c>
      <c r="S2204">
        <v>23.324868434364902</v>
      </c>
      <c r="T2204">
        <v>1331.9509632224199</v>
      </c>
      <c r="U2204">
        <v>212.10157618213699</v>
      </c>
      <c r="V2204">
        <v>48.481611208406299</v>
      </c>
      <c r="W2204">
        <v>50.856392294220697</v>
      </c>
      <c r="X2204">
        <v>565.08056042031501</v>
      </c>
      <c r="Y2204">
        <v>186.23642732049001</v>
      </c>
      <c r="Z2204">
        <v>251.65499124343299</v>
      </c>
      <c r="AA2204">
        <v>202.957968476357</v>
      </c>
      <c r="AB2204">
        <v>11.5612886231751</v>
      </c>
      <c r="AC2204">
        <v>3.1015882149482001E-2</v>
      </c>
      <c r="AD2204">
        <v>3.8509827186263799</v>
      </c>
      <c r="AE2204">
        <v>0.29352212855151999</v>
      </c>
      <c r="AF2204">
        <v>183.58844133099799</v>
      </c>
      <c r="AG2204">
        <f>IFERROR(AH2204*0.1, "N/A")</f>
        <v>5.3763572679509606</v>
      </c>
      <c r="AH2204">
        <v>53.763572679509601</v>
      </c>
      <c r="AI2204">
        <v>78.057902364513694</v>
      </c>
      <c r="AJ2204">
        <v>37.763572679509601</v>
      </c>
      <c r="AK2204">
        <v>44.236427320490399</v>
      </c>
    </row>
    <row r="2205" spans="1:37" x14ac:dyDescent="0.3">
      <c r="A2205">
        <v>2204</v>
      </c>
      <c r="B2205">
        <v>0</v>
      </c>
      <c r="C2205">
        <v>38.975600999999997</v>
      </c>
      <c r="D2205">
        <v>-5.1238900000000003</v>
      </c>
      <c r="E2205" t="s">
        <v>3844</v>
      </c>
      <c r="F2205" t="s">
        <v>3845</v>
      </c>
      <c r="G2205" t="s">
        <v>39</v>
      </c>
      <c r="H2205">
        <v>2008</v>
      </c>
      <c r="I2205">
        <v>25.899999618530298</v>
      </c>
      <c r="J2205">
        <v>9.2160837867043206</v>
      </c>
      <c r="K2205">
        <v>65</v>
      </c>
      <c r="L2205">
        <v>15.418951287969801</v>
      </c>
      <c r="M2205">
        <v>33.200000762939503</v>
      </c>
      <c r="N2205">
        <v>19.183916785500301</v>
      </c>
      <c r="O2205">
        <v>14.0160839774392</v>
      </c>
      <c r="P2205">
        <v>26.700000762939499</v>
      </c>
      <c r="Q2205">
        <v>27.600000381469702</v>
      </c>
      <c r="R2205">
        <v>27.799999237060501</v>
      </c>
      <c r="S2205">
        <v>23.899999618530298</v>
      </c>
      <c r="T2205">
        <v>1227.1958041958001</v>
      </c>
      <c r="U2205">
        <v>243.35664335664299</v>
      </c>
      <c r="V2205">
        <v>30.160839160839199</v>
      </c>
      <c r="W2205">
        <v>59.839160839160797</v>
      </c>
      <c r="X2205">
        <v>535.19580419580404</v>
      </c>
      <c r="Y2205">
        <v>146.32167832167801</v>
      </c>
      <c r="Z2205">
        <v>170.32167832167801</v>
      </c>
      <c r="AA2205">
        <v>203.839160839161</v>
      </c>
      <c r="AB2205">
        <v>21.6066422895952</v>
      </c>
      <c r="AC2205">
        <v>9.9284885177659994E-3</v>
      </c>
      <c r="AD2205">
        <v>1.58593251738515</v>
      </c>
      <c r="AE2205">
        <v>0.57146358489990201</v>
      </c>
      <c r="AF2205">
        <v>100.020979020979</v>
      </c>
      <c r="AG2205">
        <f>IFERROR(AH2205*0.1, "N/A")</f>
        <v>6.2050699300699304</v>
      </c>
      <c r="AH2205">
        <v>62.0506993006993</v>
      </c>
      <c r="AI2205">
        <v>125.855098310884</v>
      </c>
      <c r="AJ2205">
        <v>27.5996503496504</v>
      </c>
      <c r="AK2205">
        <v>56.451048951049003</v>
      </c>
    </row>
    <row r="2206" spans="1:37" x14ac:dyDescent="0.3">
      <c r="A2206">
        <v>2205</v>
      </c>
      <c r="B2206">
        <v>0</v>
      </c>
      <c r="C2206">
        <v>38.975600999999997</v>
      </c>
      <c r="D2206">
        <v>-5.1238900000000003</v>
      </c>
      <c r="E2206" t="s">
        <v>3844</v>
      </c>
      <c r="F2206" t="s">
        <v>3846</v>
      </c>
      <c r="G2206" t="s">
        <v>37</v>
      </c>
      <c r="H2206">
        <v>2008</v>
      </c>
      <c r="I2206">
        <v>25.899999618530298</v>
      </c>
      <c r="J2206">
        <v>9.2160837867043206</v>
      </c>
      <c r="K2206">
        <v>65</v>
      </c>
      <c r="L2206">
        <v>15.418951287969801</v>
      </c>
      <c r="M2206">
        <v>33.200000762939503</v>
      </c>
      <c r="N2206">
        <v>19.183916785500301</v>
      </c>
      <c r="O2206">
        <v>14.0160839774392</v>
      </c>
      <c r="P2206">
        <v>26.700000762939499</v>
      </c>
      <c r="Q2206">
        <v>27.600000381469702</v>
      </c>
      <c r="R2206">
        <v>27.799999237060501</v>
      </c>
      <c r="S2206">
        <v>23.899999618530298</v>
      </c>
      <c r="T2206">
        <v>1227.1958041958001</v>
      </c>
      <c r="U2206">
        <v>243.35664335664299</v>
      </c>
      <c r="V2206">
        <v>30.160839160839199</v>
      </c>
      <c r="W2206">
        <v>59.839160839160797</v>
      </c>
      <c r="X2206">
        <v>535.19580419580404</v>
      </c>
      <c r="Y2206">
        <v>146.32167832167801</v>
      </c>
      <c r="Z2206">
        <v>170.32167832167801</v>
      </c>
      <c r="AA2206">
        <v>203.839160839161</v>
      </c>
      <c r="AB2206">
        <v>21.6066422895952</v>
      </c>
      <c r="AC2206">
        <v>9.9284885177659994E-3</v>
      </c>
      <c r="AD2206">
        <v>1.58593251738515</v>
      </c>
      <c r="AE2206">
        <v>0.57146358489990201</v>
      </c>
      <c r="AF2206">
        <v>100.020979020979</v>
      </c>
      <c r="AG2206">
        <f>IFERROR(AH2206*0.1, "N/A")</f>
        <v>6.2050699300699304</v>
      </c>
      <c r="AH2206">
        <v>62.0506993006993</v>
      </c>
      <c r="AI2206">
        <v>125.855098310884</v>
      </c>
      <c r="AJ2206">
        <v>27.5996503496504</v>
      </c>
      <c r="AK2206">
        <v>56.451048951049003</v>
      </c>
    </row>
    <row r="2207" spans="1:37" x14ac:dyDescent="0.3">
      <c r="A2207">
        <v>2206</v>
      </c>
      <c r="B2207">
        <v>0</v>
      </c>
      <c r="C2207">
        <v>39.066699999999997</v>
      </c>
      <c r="D2207">
        <v>-5.2</v>
      </c>
      <c r="E2207" t="s">
        <v>3847</v>
      </c>
      <c r="F2207" t="s">
        <v>3848</v>
      </c>
      <c r="G2207" t="s">
        <v>37</v>
      </c>
      <c r="H2207">
        <v>2008</v>
      </c>
      <c r="I2207">
        <v>26.5391609885476</v>
      </c>
      <c r="J2207">
        <v>9.0461540222168004</v>
      </c>
      <c r="K2207">
        <v>64.526223776223802</v>
      </c>
      <c r="L2207">
        <v>15.2717132034835</v>
      </c>
      <c r="M2207">
        <v>33.686538916367802</v>
      </c>
      <c r="N2207">
        <v>19.825698892553401</v>
      </c>
      <c r="O2207">
        <v>13.8608390034496</v>
      </c>
      <c r="P2207">
        <v>27.339160225608101</v>
      </c>
      <c r="Q2207">
        <v>28.125699780204101</v>
      </c>
      <c r="R2207">
        <v>28.386538028716998</v>
      </c>
      <c r="S2207">
        <v>24.5256993987344</v>
      </c>
      <c r="T2207">
        <v>1290.32867132867</v>
      </c>
      <c r="U2207">
        <v>286.58391608391599</v>
      </c>
      <c r="V2207">
        <v>27</v>
      </c>
      <c r="W2207">
        <v>66.391608391608401</v>
      </c>
      <c r="X2207">
        <v>604.81293706293695</v>
      </c>
      <c r="Y2207">
        <v>135.19930069930101</v>
      </c>
      <c r="Z2207">
        <v>166.80769230769201</v>
      </c>
      <c r="AA2207">
        <v>210.88286713286701</v>
      </c>
      <c r="AB2207">
        <v>8.9666086727088992</v>
      </c>
      <c r="AC2207">
        <v>9.4956894620110005E-3</v>
      </c>
      <c r="AD2207">
        <v>1.57823677788248</v>
      </c>
      <c r="AE2207">
        <v>0.33030730485916099</v>
      </c>
      <c r="AF2207">
        <v>12.6451048951049</v>
      </c>
      <c r="AG2207">
        <f>IFERROR(AH2207*0.1, "N/A")</f>
        <v>6.0783216783216805</v>
      </c>
      <c r="AH2207">
        <v>60.783216783216801</v>
      </c>
      <c r="AI2207">
        <v>116.47736179912</v>
      </c>
      <c r="AJ2207">
        <v>26.783216783216801</v>
      </c>
      <c r="AK2207">
        <v>55.608391608391599</v>
      </c>
    </row>
    <row r="2208" spans="1:37" x14ac:dyDescent="0.3">
      <c r="A2208">
        <v>2207</v>
      </c>
      <c r="B2208">
        <v>0</v>
      </c>
      <c r="C2208">
        <v>38.575600000000001</v>
      </c>
      <c r="D2208">
        <v>-5.2202799999999998</v>
      </c>
      <c r="E2208" t="s">
        <v>3849</v>
      </c>
      <c r="F2208" t="s">
        <v>3850</v>
      </c>
      <c r="G2208" t="s">
        <v>39</v>
      </c>
      <c r="H2208">
        <v>2008</v>
      </c>
      <c r="I2208">
        <v>24.799999237060501</v>
      </c>
      <c r="J2208">
        <v>10.5</v>
      </c>
      <c r="K2208">
        <v>66</v>
      </c>
      <c r="L2208">
        <v>17.040000915527301</v>
      </c>
      <c r="M2208">
        <v>33</v>
      </c>
      <c r="N2208">
        <v>17.200000762939499</v>
      </c>
      <c r="O2208">
        <v>15.800000190734901</v>
      </c>
      <c r="P2208">
        <v>25.700000762939499</v>
      </c>
      <c r="Q2208">
        <v>26.600000381469702</v>
      </c>
      <c r="R2208">
        <v>26.799999237060501</v>
      </c>
      <c r="S2208">
        <v>22.5</v>
      </c>
      <c r="T2208">
        <v>1213</v>
      </c>
      <c r="U2208">
        <v>236</v>
      </c>
      <c r="V2208">
        <v>47</v>
      </c>
      <c r="W2208">
        <v>62</v>
      </c>
      <c r="X2208">
        <v>570</v>
      </c>
      <c r="Y2208">
        <v>170</v>
      </c>
      <c r="Z2208">
        <v>207</v>
      </c>
      <c r="AA2208">
        <v>178</v>
      </c>
      <c r="AB2208">
        <v>2.8715042434372302</v>
      </c>
      <c r="AC2208">
        <v>0.14241659257990799</v>
      </c>
      <c r="AD2208">
        <v>2.39471709228062</v>
      </c>
      <c r="AE2208">
        <v>0.52117396776492797</v>
      </c>
      <c r="AF2208">
        <v>278.14335664335698</v>
      </c>
      <c r="AG2208">
        <f>IFERROR(AH2208*0.1, "N/A")</f>
        <v>5.7</v>
      </c>
      <c r="AH2208">
        <v>57</v>
      </c>
      <c r="AI2208">
        <v>258.950933709845</v>
      </c>
      <c r="AJ2208">
        <v>39</v>
      </c>
      <c r="AK2208">
        <v>45</v>
      </c>
    </row>
    <row r="2209" spans="1:37" x14ac:dyDescent="0.3">
      <c r="A2209">
        <v>2208</v>
      </c>
      <c r="B2209">
        <v>0</v>
      </c>
      <c r="C2209">
        <v>38.575600000000001</v>
      </c>
      <c r="D2209">
        <v>-5.2202799999999998</v>
      </c>
      <c r="E2209" t="s">
        <v>3849</v>
      </c>
      <c r="F2209" t="s">
        <v>3851</v>
      </c>
      <c r="G2209" t="s">
        <v>37</v>
      </c>
      <c r="H2209">
        <v>2008</v>
      </c>
      <c r="I2209">
        <v>24.799999237060501</v>
      </c>
      <c r="J2209">
        <v>10.5</v>
      </c>
      <c r="K2209">
        <v>66</v>
      </c>
      <c r="L2209">
        <v>17.040000915527301</v>
      </c>
      <c r="M2209">
        <v>33</v>
      </c>
      <c r="N2209">
        <v>17.200000762939499</v>
      </c>
      <c r="O2209">
        <v>15.800000190734901</v>
      </c>
      <c r="P2209">
        <v>25.700000762939499</v>
      </c>
      <c r="Q2209">
        <v>26.600000381469702</v>
      </c>
      <c r="R2209">
        <v>26.799999237060501</v>
      </c>
      <c r="S2209">
        <v>22.5</v>
      </c>
      <c r="T2209">
        <v>1213</v>
      </c>
      <c r="U2209">
        <v>236</v>
      </c>
      <c r="V2209">
        <v>47</v>
      </c>
      <c r="W2209">
        <v>62</v>
      </c>
      <c r="X2209">
        <v>570</v>
      </c>
      <c r="Y2209">
        <v>170</v>
      </c>
      <c r="Z2209">
        <v>207</v>
      </c>
      <c r="AA2209">
        <v>178</v>
      </c>
      <c r="AB2209">
        <v>2.8715042434372302</v>
      </c>
      <c r="AC2209">
        <v>0.14241659257990799</v>
      </c>
      <c r="AD2209">
        <v>2.39471709228062</v>
      </c>
      <c r="AE2209">
        <v>0.52117396776492797</v>
      </c>
      <c r="AF2209">
        <v>278.14335664335698</v>
      </c>
      <c r="AG2209">
        <f>IFERROR(AH2209*0.1, "N/A")</f>
        <v>5.7</v>
      </c>
      <c r="AH2209">
        <v>57</v>
      </c>
      <c r="AI2209">
        <v>258.950933709845</v>
      </c>
      <c r="AJ2209">
        <v>39</v>
      </c>
      <c r="AK2209">
        <v>45</v>
      </c>
    </row>
    <row r="2210" spans="1:37" x14ac:dyDescent="0.3">
      <c r="A2210">
        <v>2209</v>
      </c>
      <c r="B2210">
        <v>0</v>
      </c>
      <c r="C2210">
        <v>33.166697999999997</v>
      </c>
      <c r="D2210">
        <v>-5.3333300000000001</v>
      </c>
      <c r="E2210" t="s">
        <v>3852</v>
      </c>
      <c r="F2210" t="s">
        <v>3853</v>
      </c>
      <c r="G2210" t="s">
        <v>39</v>
      </c>
      <c r="H2210">
        <v>2008</v>
      </c>
      <c r="I2210">
        <v>23</v>
      </c>
      <c r="J2210">
        <v>12</v>
      </c>
      <c r="K2210">
        <v>67</v>
      </c>
      <c r="L2210">
        <v>11.843123941937501</v>
      </c>
      <c r="M2210">
        <v>32.099998474121101</v>
      </c>
      <c r="N2210">
        <v>14.3999996185303</v>
      </c>
      <c r="O2210">
        <v>17.700000762939499</v>
      </c>
      <c r="P2210">
        <v>22.899999618530298</v>
      </c>
      <c r="Q2210">
        <v>21.700000762939499</v>
      </c>
      <c r="R2210">
        <v>24.700000762939499</v>
      </c>
      <c r="S2210">
        <v>21.551309096251501</v>
      </c>
      <c r="T2210">
        <v>1021.68760907504</v>
      </c>
      <c r="U2210">
        <v>223.23385689354299</v>
      </c>
      <c r="V2210">
        <v>0</v>
      </c>
      <c r="W2210">
        <v>92.254799301919704</v>
      </c>
      <c r="X2210">
        <v>522.97905759162302</v>
      </c>
      <c r="Y2210">
        <v>0</v>
      </c>
      <c r="Z2210">
        <v>144.97905759162299</v>
      </c>
      <c r="AA2210">
        <v>31.4921465968586</v>
      </c>
      <c r="AB2210">
        <v>0.81415487292757405</v>
      </c>
      <c r="AC2210">
        <v>0.269269603094896</v>
      </c>
      <c r="AD2210">
        <v>1.03215824309444</v>
      </c>
      <c r="AE2210">
        <v>0.52462734555074697</v>
      </c>
      <c r="AF2210">
        <v>1208.5043630017501</v>
      </c>
      <c r="AG2210">
        <f>IFERROR(AH2210*0.1, "N/A")</f>
        <v>5.7</v>
      </c>
      <c r="AH2210">
        <v>57</v>
      </c>
      <c r="AI2210">
        <v>277.35509337846298</v>
      </c>
      <c r="AJ2210">
        <v>16</v>
      </c>
      <c r="AK2210">
        <v>73</v>
      </c>
    </row>
    <row r="2211" spans="1:37" x14ac:dyDescent="0.3">
      <c r="A2211">
        <v>2210</v>
      </c>
      <c r="B2211">
        <v>0</v>
      </c>
      <c r="C2211">
        <v>33.166697999999997</v>
      </c>
      <c r="D2211">
        <v>-5.3333300000000001</v>
      </c>
      <c r="E2211" t="s">
        <v>3852</v>
      </c>
      <c r="F2211" t="s">
        <v>3854</v>
      </c>
      <c r="G2211" t="s">
        <v>37</v>
      </c>
      <c r="H2211">
        <v>2008</v>
      </c>
      <c r="I2211">
        <v>23</v>
      </c>
      <c r="J2211">
        <v>12</v>
      </c>
      <c r="K2211">
        <v>67</v>
      </c>
      <c r="L2211">
        <v>11.843123941937501</v>
      </c>
      <c r="M2211">
        <v>32.099998474121101</v>
      </c>
      <c r="N2211">
        <v>14.3999996185303</v>
      </c>
      <c r="O2211">
        <v>17.700000762939499</v>
      </c>
      <c r="P2211">
        <v>22.899999618530298</v>
      </c>
      <c r="Q2211">
        <v>21.700000762939499</v>
      </c>
      <c r="R2211">
        <v>24.700000762939499</v>
      </c>
      <c r="S2211">
        <v>21.551309096251501</v>
      </c>
      <c r="T2211">
        <v>1021.68760907504</v>
      </c>
      <c r="U2211">
        <v>223.23385689354299</v>
      </c>
      <c r="V2211">
        <v>0</v>
      </c>
      <c r="W2211">
        <v>92.254799301919704</v>
      </c>
      <c r="X2211">
        <v>522.97905759162302</v>
      </c>
      <c r="Y2211">
        <v>0</v>
      </c>
      <c r="Z2211">
        <v>144.97905759162299</v>
      </c>
      <c r="AA2211">
        <v>31.4921465968586</v>
      </c>
      <c r="AB2211">
        <v>0.81415487292757405</v>
      </c>
      <c r="AC2211">
        <v>0.269269603094896</v>
      </c>
      <c r="AD2211">
        <v>1.03215824309444</v>
      </c>
      <c r="AE2211">
        <v>0.52462734555074697</v>
      </c>
      <c r="AF2211">
        <v>1208.5043630017501</v>
      </c>
      <c r="AG2211">
        <f>IFERROR(AH2211*0.1, "N/A")</f>
        <v>5.7</v>
      </c>
      <c r="AH2211">
        <v>57</v>
      </c>
      <c r="AI2211">
        <v>277.35509337846298</v>
      </c>
      <c r="AJ2211">
        <v>16</v>
      </c>
      <c r="AK2211">
        <v>73</v>
      </c>
    </row>
    <row r="2212" spans="1:37" x14ac:dyDescent="0.3">
      <c r="A2212">
        <v>2211</v>
      </c>
      <c r="B2212">
        <v>0</v>
      </c>
      <c r="C2212">
        <v>39.016700999999998</v>
      </c>
      <c r="D2212">
        <v>-5.3333300000000001</v>
      </c>
      <c r="E2212" t="s">
        <v>3855</v>
      </c>
      <c r="F2212" t="s">
        <v>3856</v>
      </c>
      <c r="G2212" t="s">
        <v>39</v>
      </c>
      <c r="H2212">
        <v>2008</v>
      </c>
      <c r="I2212">
        <v>26.433449223481801</v>
      </c>
      <c r="J2212">
        <v>9.3000001907348597</v>
      </c>
      <c r="K2212">
        <v>65.334494773519197</v>
      </c>
      <c r="L2212">
        <v>15.456724901232599</v>
      </c>
      <c r="M2212">
        <v>33.700000762939503</v>
      </c>
      <c r="N2212">
        <v>19.633449986421301</v>
      </c>
      <c r="O2212">
        <v>14.0665507765182</v>
      </c>
      <c r="P2212">
        <v>27.200000762939499</v>
      </c>
      <c r="Q2212">
        <v>28.082056062146801</v>
      </c>
      <c r="R2212">
        <v>28.299999237060501</v>
      </c>
      <c r="S2212">
        <v>24.399999618530298</v>
      </c>
      <c r="T2212">
        <v>1253.5034843205599</v>
      </c>
      <c r="U2212">
        <v>243.47735191637599</v>
      </c>
      <c r="V2212">
        <v>34</v>
      </c>
      <c r="W2212">
        <v>63.484320557491301</v>
      </c>
      <c r="X2212">
        <v>590.66550522648095</v>
      </c>
      <c r="Y2212">
        <v>158.02264808362401</v>
      </c>
      <c r="Z2212">
        <v>185.69337979094101</v>
      </c>
      <c r="AA2212">
        <v>191.82055749128901</v>
      </c>
      <c r="AB2212">
        <v>9.4862366785986492</v>
      </c>
      <c r="AC2212">
        <v>1.2782225247395E-2</v>
      </c>
      <c r="AD2212">
        <v>0.90825598943939601</v>
      </c>
      <c r="AE2212">
        <v>0.29144325899122497</v>
      </c>
      <c r="AF2212">
        <v>52.304878048780502</v>
      </c>
      <c r="AG2212">
        <f>IFERROR(AH2212*0.1, "N/A")</f>
        <v>6.2663763066202103</v>
      </c>
      <c r="AH2212">
        <v>62.663763066202101</v>
      </c>
      <c r="AI2212">
        <v>186.09257613657201</v>
      </c>
      <c r="AJ2212">
        <v>27.663763066202101</v>
      </c>
      <c r="AK2212">
        <v>57.008710801393697</v>
      </c>
    </row>
    <row r="2213" spans="1:37" x14ac:dyDescent="0.3">
      <c r="A2213">
        <v>2212</v>
      </c>
      <c r="B2213">
        <v>0</v>
      </c>
      <c r="C2213">
        <v>39.016700999999998</v>
      </c>
      <c r="D2213">
        <v>-5.3333300000000001</v>
      </c>
      <c r="E2213" t="s">
        <v>3855</v>
      </c>
      <c r="F2213" t="s">
        <v>3857</v>
      </c>
      <c r="G2213" t="s">
        <v>37</v>
      </c>
      <c r="H2213">
        <v>2008</v>
      </c>
      <c r="I2213">
        <v>26.433449223481801</v>
      </c>
      <c r="J2213">
        <v>9.3000001907348597</v>
      </c>
      <c r="K2213">
        <v>65.334494773519197</v>
      </c>
      <c r="L2213">
        <v>15.456724901232599</v>
      </c>
      <c r="M2213">
        <v>33.700000762939503</v>
      </c>
      <c r="N2213">
        <v>19.633449986421301</v>
      </c>
      <c r="O2213">
        <v>14.0665507765182</v>
      </c>
      <c r="P2213">
        <v>27.200000762939499</v>
      </c>
      <c r="Q2213">
        <v>28.082056062146801</v>
      </c>
      <c r="R2213">
        <v>28.299999237060501</v>
      </c>
      <c r="S2213">
        <v>24.399999618530298</v>
      </c>
      <c r="T2213">
        <v>1253.5034843205599</v>
      </c>
      <c r="U2213">
        <v>243.47735191637599</v>
      </c>
      <c r="V2213">
        <v>34</v>
      </c>
      <c r="W2213">
        <v>63.484320557491301</v>
      </c>
      <c r="X2213">
        <v>590.66550522648095</v>
      </c>
      <c r="Y2213">
        <v>158.02264808362401</v>
      </c>
      <c r="Z2213">
        <v>185.69337979094101</v>
      </c>
      <c r="AA2213">
        <v>191.82055749128901</v>
      </c>
      <c r="AB2213">
        <v>9.4862366785986492</v>
      </c>
      <c r="AC2213">
        <v>1.2782225247395E-2</v>
      </c>
      <c r="AD2213">
        <v>0.90825598943939601</v>
      </c>
      <c r="AE2213">
        <v>0.29144325899122497</v>
      </c>
      <c r="AF2213">
        <v>52.304878048780502</v>
      </c>
      <c r="AG2213">
        <f>IFERROR(AH2213*0.1, "N/A")</f>
        <v>6.2663763066202103</v>
      </c>
      <c r="AH2213">
        <v>62.663763066202101</v>
      </c>
      <c r="AI2213">
        <v>186.09257613657201</v>
      </c>
      <c r="AJ2213">
        <v>27.663763066202101</v>
      </c>
      <c r="AK2213">
        <v>57.008710801393697</v>
      </c>
    </row>
    <row r="2214" spans="1:37" x14ac:dyDescent="0.3">
      <c r="A2214">
        <v>2213</v>
      </c>
      <c r="B2214">
        <v>0</v>
      </c>
      <c r="C2214">
        <v>38.683300000000003</v>
      </c>
      <c r="D2214">
        <v>-5.4166699999999999</v>
      </c>
      <c r="E2214" t="s">
        <v>3858</v>
      </c>
      <c r="F2214" t="s">
        <v>3859</v>
      </c>
      <c r="G2214" t="s">
        <v>39</v>
      </c>
      <c r="H2214">
        <v>2008</v>
      </c>
      <c r="I2214">
        <v>26.899999618530298</v>
      </c>
      <c r="J2214">
        <v>10.2813590046421</v>
      </c>
      <c r="K2214">
        <v>66.813588850174199</v>
      </c>
      <c r="L2214">
        <v>16.018170881769802</v>
      </c>
      <c r="M2214">
        <v>34.799999237060497</v>
      </c>
      <c r="N2214">
        <v>19.515853719013499</v>
      </c>
      <c r="O2214">
        <v>15.2841464717214</v>
      </c>
      <c r="P2214">
        <v>27.700000762939499</v>
      </c>
      <c r="Q2214">
        <v>24.897212151451001</v>
      </c>
      <c r="R2214">
        <v>28.899999618530298</v>
      </c>
      <c r="S2214">
        <v>24.815852956074</v>
      </c>
      <c r="T2214">
        <v>1067.7282229965199</v>
      </c>
      <c r="U2214">
        <v>165.13414634146301</v>
      </c>
      <c r="V2214">
        <v>45.841463414634099</v>
      </c>
      <c r="W2214">
        <v>45.813588850174199</v>
      </c>
      <c r="X2214">
        <v>441.44425087107999</v>
      </c>
      <c r="Y2214">
        <v>154.39024390243901</v>
      </c>
      <c r="Z2214">
        <v>216.34494773519199</v>
      </c>
      <c r="AA2214">
        <v>164.84146341463401</v>
      </c>
      <c r="AB2214">
        <v>2.6172475839741098</v>
      </c>
      <c r="AC2214">
        <v>1.0393415529034E-2</v>
      </c>
      <c r="AD2214">
        <v>1.1858727619415399</v>
      </c>
      <c r="AE2214">
        <v>0.30841842293739302</v>
      </c>
      <c r="AF2214">
        <v>9.6986062717770007</v>
      </c>
      <c r="AG2214">
        <f>IFERROR(AH2214*0.1, "N/A")</f>
        <v>6.1000000000000005</v>
      </c>
      <c r="AH2214">
        <v>61</v>
      </c>
      <c r="AI2214">
        <v>183.61356624909001</v>
      </c>
      <c r="AJ2214">
        <v>37.548780487804898</v>
      </c>
      <c r="AK2214">
        <v>42.256097560975597</v>
      </c>
    </row>
    <row r="2215" spans="1:37" x14ac:dyDescent="0.3">
      <c r="A2215">
        <v>2214</v>
      </c>
      <c r="B2215">
        <v>0</v>
      </c>
      <c r="C2215">
        <v>38.683300000000003</v>
      </c>
      <c r="D2215">
        <v>-5.4166699999999999</v>
      </c>
      <c r="E2215" t="s">
        <v>3858</v>
      </c>
      <c r="F2215" t="s">
        <v>3860</v>
      </c>
      <c r="G2215" t="s">
        <v>37</v>
      </c>
      <c r="H2215">
        <v>2008</v>
      </c>
      <c r="I2215">
        <v>26.899999618530298</v>
      </c>
      <c r="J2215">
        <v>10.2813590046421</v>
      </c>
      <c r="K2215">
        <v>66.813588850174199</v>
      </c>
      <c r="L2215">
        <v>16.018170881769802</v>
      </c>
      <c r="M2215">
        <v>34.799999237060497</v>
      </c>
      <c r="N2215">
        <v>19.515853719013499</v>
      </c>
      <c r="O2215">
        <v>15.2841464717214</v>
      </c>
      <c r="P2215">
        <v>27.700000762939499</v>
      </c>
      <c r="Q2215">
        <v>24.897212151451001</v>
      </c>
      <c r="R2215">
        <v>28.899999618530298</v>
      </c>
      <c r="S2215">
        <v>24.815852956074</v>
      </c>
      <c r="T2215">
        <v>1067.7282229965199</v>
      </c>
      <c r="U2215">
        <v>165.13414634146301</v>
      </c>
      <c r="V2215">
        <v>45.841463414634099</v>
      </c>
      <c r="W2215">
        <v>45.813588850174199</v>
      </c>
      <c r="X2215">
        <v>441.44425087107999</v>
      </c>
      <c r="Y2215">
        <v>154.39024390243901</v>
      </c>
      <c r="Z2215">
        <v>216.34494773519199</v>
      </c>
      <c r="AA2215">
        <v>164.84146341463401</v>
      </c>
      <c r="AB2215">
        <v>2.6172475839741098</v>
      </c>
      <c r="AC2215">
        <v>1.0393415529034E-2</v>
      </c>
      <c r="AD2215">
        <v>1.1858727619415399</v>
      </c>
      <c r="AE2215">
        <v>0.30841842293739302</v>
      </c>
      <c r="AF2215">
        <v>9.6986062717770007</v>
      </c>
      <c r="AG2215">
        <f>IFERROR(AH2215*0.1, "N/A")</f>
        <v>6.1000000000000005</v>
      </c>
      <c r="AH2215">
        <v>61</v>
      </c>
      <c r="AI2215">
        <v>183.61356624909001</v>
      </c>
      <c r="AJ2215">
        <v>37.548780487804898</v>
      </c>
      <c r="AK2215">
        <v>42.256097560975597</v>
      </c>
    </row>
    <row r="2216" spans="1:37" x14ac:dyDescent="0.3">
      <c r="A2216">
        <v>2215</v>
      </c>
      <c r="B2216">
        <v>50</v>
      </c>
      <c r="C2216">
        <v>38.049999</v>
      </c>
      <c r="D2216">
        <v>-5.4833299999999996</v>
      </c>
      <c r="E2216" t="s">
        <v>3861</v>
      </c>
      <c r="F2216" t="s">
        <v>3862</v>
      </c>
      <c r="G2216" t="s">
        <v>39</v>
      </c>
      <c r="H2216">
        <v>2008</v>
      </c>
      <c r="I2216">
        <v>22.120629830793899</v>
      </c>
      <c r="J2216">
        <v>11.3999996185303</v>
      </c>
      <c r="K2216">
        <v>69</v>
      </c>
      <c r="L2216">
        <v>16.615874077056699</v>
      </c>
      <c r="M2216">
        <v>30.5720282467929</v>
      </c>
      <c r="N2216">
        <v>14.1496504470185</v>
      </c>
      <c r="O2216">
        <v>16.4223773262718</v>
      </c>
      <c r="P2216">
        <v>22.8496497761119</v>
      </c>
      <c r="Q2216">
        <v>19.949650157581701</v>
      </c>
      <c r="R2216">
        <v>24.0720282467929</v>
      </c>
      <c r="S2216">
        <v>19.949650157581701</v>
      </c>
      <c r="T2216">
        <v>940.40209790209803</v>
      </c>
      <c r="U2216">
        <v>176.636363636364</v>
      </c>
      <c r="V2216">
        <v>25.290209790209801</v>
      </c>
      <c r="W2216">
        <v>56</v>
      </c>
      <c r="X2216">
        <v>416.49650349650301</v>
      </c>
      <c r="Y2216">
        <v>77.842657342657304</v>
      </c>
      <c r="Z2216">
        <v>271.22027972028002</v>
      </c>
      <c r="AA2216">
        <v>77.842657342657304</v>
      </c>
      <c r="AB2216">
        <v>9.94962593558785</v>
      </c>
      <c r="AC2216">
        <v>2.4338431812667E-2</v>
      </c>
      <c r="AD2216">
        <v>6.3406719294461302</v>
      </c>
      <c r="AE2216">
        <v>0.46555456519126898</v>
      </c>
      <c r="AF2216">
        <v>639.44755244755299</v>
      </c>
      <c r="AG2216">
        <f>IFERROR(AH2216*0.1, "N/A")</f>
        <v>5.9562937062937102</v>
      </c>
      <c r="AH2216">
        <v>59.562937062937102</v>
      </c>
      <c r="AI2216">
        <v>275.77563978075102</v>
      </c>
      <c r="AJ2216">
        <v>34.437062937062898</v>
      </c>
      <c r="AK2216">
        <v>49.125874125874098</v>
      </c>
    </row>
    <row r="2217" spans="1:37" x14ac:dyDescent="0.3">
      <c r="A2217">
        <v>2216</v>
      </c>
      <c r="B2217">
        <v>0</v>
      </c>
      <c r="C2217">
        <v>38.049999</v>
      </c>
      <c r="D2217">
        <v>-5.4833299999999996</v>
      </c>
      <c r="E2217" t="s">
        <v>3861</v>
      </c>
      <c r="F2217" t="s">
        <v>3863</v>
      </c>
      <c r="G2217" t="s">
        <v>37</v>
      </c>
      <c r="H2217">
        <v>2008</v>
      </c>
      <c r="I2217">
        <v>22.120629830793899</v>
      </c>
      <c r="J2217">
        <v>11.3999996185303</v>
      </c>
      <c r="K2217">
        <v>69</v>
      </c>
      <c r="L2217">
        <v>16.615874077056699</v>
      </c>
      <c r="M2217">
        <v>30.5720282467929</v>
      </c>
      <c r="N2217">
        <v>14.1496504470185</v>
      </c>
      <c r="O2217">
        <v>16.4223773262718</v>
      </c>
      <c r="P2217">
        <v>22.8496497761119</v>
      </c>
      <c r="Q2217">
        <v>19.949650157581701</v>
      </c>
      <c r="R2217">
        <v>24.0720282467929</v>
      </c>
      <c r="S2217">
        <v>19.949650157581701</v>
      </c>
      <c r="T2217">
        <v>940.40209790209803</v>
      </c>
      <c r="U2217">
        <v>176.636363636364</v>
      </c>
      <c r="V2217">
        <v>25.290209790209801</v>
      </c>
      <c r="W2217">
        <v>56</v>
      </c>
      <c r="X2217">
        <v>416.49650349650301</v>
      </c>
      <c r="Y2217">
        <v>77.842657342657304</v>
      </c>
      <c r="Z2217">
        <v>271.22027972028002</v>
      </c>
      <c r="AA2217">
        <v>77.842657342657304</v>
      </c>
      <c r="AB2217">
        <v>9.94962593558785</v>
      </c>
      <c r="AC2217">
        <v>2.4338431812667E-2</v>
      </c>
      <c r="AD2217">
        <v>6.3406719294461302</v>
      </c>
      <c r="AE2217">
        <v>0.46555456519126898</v>
      </c>
      <c r="AF2217">
        <v>639.44755244755299</v>
      </c>
      <c r="AG2217">
        <f>IFERROR(AH2217*0.1, "N/A")</f>
        <v>5.9562937062937102</v>
      </c>
      <c r="AH2217">
        <v>59.562937062937102</v>
      </c>
      <c r="AI2217">
        <v>275.77563978075102</v>
      </c>
      <c r="AJ2217">
        <v>34.437062937062898</v>
      </c>
      <c r="AK2217">
        <v>49.125874125874098</v>
      </c>
    </row>
    <row r="2218" spans="1:37" x14ac:dyDescent="0.3">
      <c r="A2218">
        <v>2217</v>
      </c>
      <c r="B2218">
        <v>12.5</v>
      </c>
      <c r="C2218">
        <v>37.900002000000001</v>
      </c>
      <c r="D2218">
        <v>-5.4833299999999996</v>
      </c>
      <c r="E2218" t="s">
        <v>3864</v>
      </c>
      <c r="F2218" t="s">
        <v>3865</v>
      </c>
      <c r="G2218" t="s">
        <v>39</v>
      </c>
      <c r="H2218">
        <v>2008</v>
      </c>
      <c r="I2218">
        <v>21.8719017801068</v>
      </c>
      <c r="J2218">
        <v>11.699999809265099</v>
      </c>
      <c r="K2218">
        <v>70</v>
      </c>
      <c r="L2218">
        <v>16.677766224060601</v>
      </c>
      <c r="M2218">
        <v>30.422163751945</v>
      </c>
      <c r="N2218">
        <v>13.722164210640701</v>
      </c>
      <c r="O2218">
        <v>16.700000762939499</v>
      </c>
      <c r="P2218">
        <v>22.571902543046299</v>
      </c>
      <c r="Q2218">
        <v>19.650262353307902</v>
      </c>
      <c r="R2218">
        <v>23.822163906397002</v>
      </c>
      <c r="S2218">
        <v>19.650262353307902</v>
      </c>
      <c r="T2218">
        <v>947.72425828970302</v>
      </c>
      <c r="U2218">
        <v>169.05933682373501</v>
      </c>
      <c r="V2218">
        <v>22.280977312390899</v>
      </c>
      <c r="W2218">
        <v>55</v>
      </c>
      <c r="X2218">
        <v>407.129144851658</v>
      </c>
      <c r="Y2218">
        <v>72.059336823734697</v>
      </c>
      <c r="Z2218">
        <v>301.91448516579402</v>
      </c>
      <c r="AA2218">
        <v>72.059336823734697</v>
      </c>
      <c r="AB2218">
        <v>26.4923235242487</v>
      </c>
      <c r="AC2218">
        <v>8.5095218943519995E-3</v>
      </c>
      <c r="AD2218">
        <v>2.42513847184639</v>
      </c>
      <c r="AE2218">
        <v>0.27260395884513899</v>
      </c>
      <c r="AF2218">
        <v>718.27225130889997</v>
      </c>
      <c r="AG2218">
        <f>IFERROR(AH2218*0.1, "N/A")</f>
        <v>5.9155322862129101</v>
      </c>
      <c r="AH2218">
        <v>59.155322862129097</v>
      </c>
      <c r="AI2218">
        <v>118.36748742308301</v>
      </c>
      <c r="AJ2218">
        <v>34.844677137870796</v>
      </c>
      <c r="AK2218">
        <v>47.577661431064598</v>
      </c>
    </row>
    <row r="2219" spans="1:37" x14ac:dyDescent="0.3">
      <c r="A2219">
        <v>2218</v>
      </c>
      <c r="B2219">
        <v>0</v>
      </c>
      <c r="C2219">
        <v>37.900002000000001</v>
      </c>
      <c r="D2219">
        <v>-5.4833299999999996</v>
      </c>
      <c r="E2219" t="s">
        <v>3864</v>
      </c>
      <c r="F2219" t="s">
        <v>3866</v>
      </c>
      <c r="G2219" t="s">
        <v>37</v>
      </c>
      <c r="H2219">
        <v>2008</v>
      </c>
      <c r="I2219">
        <v>21.8719017801068</v>
      </c>
      <c r="J2219">
        <v>11.699999809265099</v>
      </c>
      <c r="K2219">
        <v>70</v>
      </c>
      <c r="L2219">
        <v>16.677766224060601</v>
      </c>
      <c r="M2219">
        <v>30.422163751945</v>
      </c>
      <c r="N2219">
        <v>13.722164210640701</v>
      </c>
      <c r="O2219">
        <v>16.700000762939499</v>
      </c>
      <c r="P2219">
        <v>22.571902543046299</v>
      </c>
      <c r="Q2219">
        <v>19.650262353307902</v>
      </c>
      <c r="R2219">
        <v>23.822163906397002</v>
      </c>
      <c r="S2219">
        <v>19.650262353307902</v>
      </c>
      <c r="T2219">
        <v>947.72425828970302</v>
      </c>
      <c r="U2219">
        <v>169.05933682373501</v>
      </c>
      <c r="V2219">
        <v>22.280977312390899</v>
      </c>
      <c r="W2219">
        <v>55</v>
      </c>
      <c r="X2219">
        <v>407.129144851658</v>
      </c>
      <c r="Y2219">
        <v>72.059336823734697</v>
      </c>
      <c r="Z2219">
        <v>301.91448516579402</v>
      </c>
      <c r="AA2219">
        <v>72.059336823734697</v>
      </c>
      <c r="AB2219">
        <v>26.4923235242487</v>
      </c>
      <c r="AC2219">
        <v>8.5095218943519995E-3</v>
      </c>
      <c r="AD2219">
        <v>2.42513847184639</v>
      </c>
      <c r="AE2219">
        <v>0.27260395884513899</v>
      </c>
      <c r="AF2219">
        <v>718.27225130889997</v>
      </c>
      <c r="AG2219">
        <f>IFERROR(AH2219*0.1, "N/A")</f>
        <v>5.9155322862129101</v>
      </c>
      <c r="AH2219">
        <v>59.155322862129097</v>
      </c>
      <c r="AI2219">
        <v>118.36748742308301</v>
      </c>
      <c r="AJ2219">
        <v>34.844677137870796</v>
      </c>
      <c r="AK2219">
        <v>47.577661431064598</v>
      </c>
    </row>
    <row r="2220" spans="1:37" x14ac:dyDescent="0.3">
      <c r="A2220">
        <v>2219</v>
      </c>
      <c r="B2220">
        <v>50</v>
      </c>
      <c r="C2220">
        <v>38.101398000000003</v>
      </c>
      <c r="D2220">
        <v>-5.4863900000000001</v>
      </c>
      <c r="E2220" t="s">
        <v>3867</v>
      </c>
      <c r="F2220" t="s">
        <v>3868</v>
      </c>
      <c r="G2220" t="s">
        <v>39</v>
      </c>
      <c r="H2220">
        <v>2008</v>
      </c>
      <c r="I2220">
        <v>22.399999618530298</v>
      </c>
      <c r="J2220">
        <v>11.300000190734901</v>
      </c>
      <c r="K2220">
        <v>69</v>
      </c>
      <c r="L2220">
        <v>16.420000076293899</v>
      </c>
      <c r="M2220">
        <v>30.899999618530298</v>
      </c>
      <c r="N2220">
        <v>14.6000003814697</v>
      </c>
      <c r="O2220">
        <v>16.299999237060501</v>
      </c>
      <c r="P2220">
        <v>23.100000381469702</v>
      </c>
      <c r="Q2220">
        <v>20.299999237060501</v>
      </c>
      <c r="R2220">
        <v>24.399999618530298</v>
      </c>
      <c r="S2220">
        <v>20.299999237060501</v>
      </c>
      <c r="T2220">
        <v>919</v>
      </c>
      <c r="U2220">
        <v>173</v>
      </c>
      <c r="V2220">
        <v>26</v>
      </c>
      <c r="W2220">
        <v>56</v>
      </c>
      <c r="X2220">
        <v>408</v>
      </c>
      <c r="Y2220">
        <v>79</v>
      </c>
      <c r="Z2220">
        <v>252</v>
      </c>
      <c r="AA2220">
        <v>79</v>
      </c>
      <c r="AB2220">
        <v>11.1068316203792</v>
      </c>
      <c r="AC2220">
        <v>2.2904414183845999E-2</v>
      </c>
      <c r="AD2220">
        <v>5.0250529894014697</v>
      </c>
      <c r="AE2220">
        <v>0.44764377379251302</v>
      </c>
      <c r="AF2220">
        <v>594.79094076655099</v>
      </c>
      <c r="AG2220">
        <f>IFERROR(AH2220*0.1, "N/A")</f>
        <v>5.7540069686411206</v>
      </c>
      <c r="AH2220">
        <v>57.540069686411201</v>
      </c>
      <c r="AI2220">
        <v>47.856563461782201</v>
      </c>
      <c r="AJ2220">
        <v>36.567944250871101</v>
      </c>
      <c r="AK2220">
        <v>47.181184668989502</v>
      </c>
    </row>
    <row r="2221" spans="1:37" x14ac:dyDescent="0.3">
      <c r="A2221">
        <v>2220</v>
      </c>
      <c r="B2221">
        <v>0</v>
      </c>
      <c r="C2221">
        <v>38.101398000000003</v>
      </c>
      <c r="D2221">
        <v>-5.4863900000000001</v>
      </c>
      <c r="E2221" t="s">
        <v>3867</v>
      </c>
      <c r="F2221" t="s">
        <v>3869</v>
      </c>
      <c r="G2221" t="s">
        <v>37</v>
      </c>
      <c r="H2221">
        <v>2008</v>
      </c>
      <c r="I2221">
        <v>22.399999618530298</v>
      </c>
      <c r="J2221">
        <v>11.300000190734901</v>
      </c>
      <c r="K2221">
        <v>69</v>
      </c>
      <c r="L2221">
        <v>16.420000076293899</v>
      </c>
      <c r="M2221">
        <v>30.899999618530298</v>
      </c>
      <c r="N2221">
        <v>14.6000003814697</v>
      </c>
      <c r="O2221">
        <v>16.299999237060501</v>
      </c>
      <c r="P2221">
        <v>23.100000381469702</v>
      </c>
      <c r="Q2221">
        <v>20.299999237060501</v>
      </c>
      <c r="R2221">
        <v>24.399999618530298</v>
      </c>
      <c r="S2221">
        <v>20.299999237060501</v>
      </c>
      <c r="T2221">
        <v>919</v>
      </c>
      <c r="U2221">
        <v>173</v>
      </c>
      <c r="V2221">
        <v>26</v>
      </c>
      <c r="W2221">
        <v>56</v>
      </c>
      <c r="X2221">
        <v>408</v>
      </c>
      <c r="Y2221">
        <v>79</v>
      </c>
      <c r="Z2221">
        <v>252</v>
      </c>
      <c r="AA2221">
        <v>79</v>
      </c>
      <c r="AB2221">
        <v>11.1068316203792</v>
      </c>
      <c r="AC2221">
        <v>2.2904414183845999E-2</v>
      </c>
      <c r="AD2221">
        <v>5.0250529894014697</v>
      </c>
      <c r="AE2221">
        <v>0.44764377379251302</v>
      </c>
      <c r="AF2221">
        <v>594.79094076655099</v>
      </c>
      <c r="AG2221">
        <f>IFERROR(AH2221*0.1, "N/A")</f>
        <v>5.7540069686411206</v>
      </c>
      <c r="AH2221">
        <v>57.540069686411201</v>
      </c>
      <c r="AI2221">
        <v>47.856563461782201</v>
      </c>
      <c r="AJ2221">
        <v>36.567944250871101</v>
      </c>
      <c r="AK2221">
        <v>47.181184668989502</v>
      </c>
    </row>
    <row r="2222" spans="1:37" x14ac:dyDescent="0.3">
      <c r="A2222">
        <v>2221</v>
      </c>
      <c r="B2222">
        <v>0</v>
      </c>
      <c r="C2222">
        <v>38.2136</v>
      </c>
      <c r="D2222">
        <v>-5.51417</v>
      </c>
      <c r="E2222" t="s">
        <v>3870</v>
      </c>
      <c r="F2222" t="s">
        <v>3871</v>
      </c>
      <c r="G2222" t="s">
        <v>39</v>
      </c>
      <c r="H2222">
        <v>2008</v>
      </c>
      <c r="I2222">
        <v>22.899999618530298</v>
      </c>
      <c r="J2222">
        <v>11.1000003814697</v>
      </c>
      <c r="K2222">
        <v>69</v>
      </c>
      <c r="L2222">
        <v>16.280000686645501</v>
      </c>
      <c r="M2222">
        <v>31.200000762939499</v>
      </c>
      <c r="N2222">
        <v>15.199999809265099</v>
      </c>
      <c r="O2222">
        <v>16</v>
      </c>
      <c r="P2222">
        <v>23.700000762939499</v>
      </c>
      <c r="Q2222">
        <v>20.799999237060501</v>
      </c>
      <c r="R2222">
        <v>24.899999618530298</v>
      </c>
      <c r="S2222">
        <v>20.799999237060501</v>
      </c>
      <c r="T2222">
        <v>889</v>
      </c>
      <c r="U2222">
        <v>165</v>
      </c>
      <c r="V2222">
        <v>28</v>
      </c>
      <c r="W2222">
        <v>55</v>
      </c>
      <c r="X2222">
        <v>389</v>
      </c>
      <c r="Y2222">
        <v>84</v>
      </c>
      <c r="Z2222">
        <v>220</v>
      </c>
      <c r="AA2222">
        <v>97</v>
      </c>
      <c r="AB2222">
        <v>5.9150542411202904</v>
      </c>
      <c r="AC2222">
        <v>7.8489138214684007E-2</v>
      </c>
      <c r="AD2222">
        <v>4.1096085266140001</v>
      </c>
      <c r="AE2222">
        <v>0.46144803111064697</v>
      </c>
      <c r="AF2222">
        <v>515.89141856392303</v>
      </c>
      <c r="AG2222">
        <f>IFERROR(AH2222*0.1, "N/A")</f>
        <v>6.09912434325744</v>
      </c>
      <c r="AH2222">
        <v>60.9912434325744</v>
      </c>
      <c r="AI2222">
        <v>74.832367992234097</v>
      </c>
      <c r="AJ2222">
        <v>37</v>
      </c>
      <c r="AK2222">
        <v>46.9912434325744</v>
      </c>
    </row>
    <row r="2223" spans="1:37" x14ac:dyDescent="0.3">
      <c r="A2223">
        <v>2222</v>
      </c>
      <c r="B2223">
        <v>0</v>
      </c>
      <c r="C2223">
        <v>38.2136</v>
      </c>
      <c r="D2223">
        <v>-5.51417</v>
      </c>
      <c r="E2223" t="s">
        <v>3870</v>
      </c>
      <c r="F2223" t="s">
        <v>3872</v>
      </c>
      <c r="G2223" t="s">
        <v>37</v>
      </c>
      <c r="H2223">
        <v>2008</v>
      </c>
      <c r="I2223">
        <v>22.899999618530298</v>
      </c>
      <c r="J2223">
        <v>11.1000003814697</v>
      </c>
      <c r="K2223">
        <v>69</v>
      </c>
      <c r="L2223">
        <v>16.280000686645501</v>
      </c>
      <c r="M2223">
        <v>31.200000762939499</v>
      </c>
      <c r="N2223">
        <v>15.199999809265099</v>
      </c>
      <c r="O2223">
        <v>16</v>
      </c>
      <c r="P2223">
        <v>23.700000762939499</v>
      </c>
      <c r="Q2223">
        <v>20.799999237060501</v>
      </c>
      <c r="R2223">
        <v>24.899999618530298</v>
      </c>
      <c r="S2223">
        <v>20.799999237060501</v>
      </c>
      <c r="T2223">
        <v>889</v>
      </c>
      <c r="U2223">
        <v>165</v>
      </c>
      <c r="V2223">
        <v>28</v>
      </c>
      <c r="W2223">
        <v>55</v>
      </c>
      <c r="X2223">
        <v>389</v>
      </c>
      <c r="Y2223">
        <v>84</v>
      </c>
      <c r="Z2223">
        <v>220</v>
      </c>
      <c r="AA2223">
        <v>97</v>
      </c>
      <c r="AB2223">
        <v>5.9150542411202904</v>
      </c>
      <c r="AC2223">
        <v>7.8489138214684007E-2</v>
      </c>
      <c r="AD2223">
        <v>4.1096085266140001</v>
      </c>
      <c r="AE2223">
        <v>0.46144803111064697</v>
      </c>
      <c r="AF2223">
        <v>515.89141856392303</v>
      </c>
      <c r="AG2223">
        <f>IFERROR(AH2223*0.1, "N/A")</f>
        <v>6.09912434325744</v>
      </c>
      <c r="AH2223">
        <v>60.9912434325744</v>
      </c>
      <c r="AI2223">
        <v>74.832367992234097</v>
      </c>
      <c r="AJ2223">
        <v>37</v>
      </c>
      <c r="AK2223">
        <v>46.9912434325744</v>
      </c>
    </row>
    <row r="2224" spans="1:37" x14ac:dyDescent="0.3">
      <c r="A2224">
        <v>2223</v>
      </c>
      <c r="B2224">
        <v>0</v>
      </c>
      <c r="C2224">
        <v>32.883301000000003</v>
      </c>
      <c r="D2224">
        <v>-5.5666700000000002</v>
      </c>
      <c r="E2224" t="s">
        <v>3873</v>
      </c>
      <c r="F2224" t="s">
        <v>3874</v>
      </c>
      <c r="G2224" t="s">
        <v>39</v>
      </c>
      <c r="H2224">
        <v>2008</v>
      </c>
      <c r="I2224">
        <v>23.100000381469702</v>
      </c>
      <c r="J2224">
        <v>12.199999809265099</v>
      </c>
      <c r="K2224">
        <v>68</v>
      </c>
      <c r="L2224">
        <v>12.0416401751586</v>
      </c>
      <c r="M2224">
        <v>32.1898783672126</v>
      </c>
      <c r="N2224">
        <v>14.289877988073</v>
      </c>
      <c r="O2224">
        <v>17.899999618530298</v>
      </c>
      <c r="P2224">
        <v>22.943106240210899</v>
      </c>
      <c r="Q2224">
        <v>21.789877227463599</v>
      </c>
      <c r="R2224">
        <v>24.899999618530298</v>
      </c>
      <c r="S2224">
        <v>21.689878560277599</v>
      </c>
      <c r="T2224">
        <v>975.06631762652705</v>
      </c>
      <c r="U2224">
        <v>212</v>
      </c>
      <c r="V2224">
        <v>0</v>
      </c>
      <c r="W2224">
        <v>93</v>
      </c>
      <c r="X2224">
        <v>512.39616055846398</v>
      </c>
      <c r="Y2224">
        <v>1</v>
      </c>
      <c r="Z2224">
        <v>129</v>
      </c>
      <c r="AA2224">
        <v>28.5689354275742</v>
      </c>
      <c r="AB2224">
        <v>0.88099614487892697</v>
      </c>
      <c r="AC2224">
        <v>0.37088073653544401</v>
      </c>
      <c r="AD2224">
        <v>0.96552406326846496</v>
      </c>
      <c r="AE2224">
        <v>0.33657107891004501</v>
      </c>
      <c r="AF2224">
        <v>1208.61256544503</v>
      </c>
      <c r="AG2224">
        <f>IFERROR(AH2224*0.1, "N/A")</f>
        <v>5.8157068062827202</v>
      </c>
      <c r="AH2224">
        <v>58.1570680628272</v>
      </c>
      <c r="AI2224">
        <v>139.701770083442</v>
      </c>
      <c r="AJ2224">
        <v>19</v>
      </c>
      <c r="AK2224">
        <v>68.6858638743455</v>
      </c>
    </row>
    <row r="2225" spans="1:37" x14ac:dyDescent="0.3">
      <c r="A2225">
        <v>2224</v>
      </c>
      <c r="B2225">
        <v>0</v>
      </c>
      <c r="C2225">
        <v>32.883301000000003</v>
      </c>
      <c r="D2225">
        <v>-5.5666700000000002</v>
      </c>
      <c r="E2225" t="s">
        <v>3873</v>
      </c>
      <c r="F2225" t="s">
        <v>3875</v>
      </c>
      <c r="G2225" t="s">
        <v>37</v>
      </c>
      <c r="H2225">
        <v>2008</v>
      </c>
      <c r="I2225">
        <v>23.100000381469702</v>
      </c>
      <c r="J2225">
        <v>12.199999809265099</v>
      </c>
      <c r="K2225">
        <v>68</v>
      </c>
      <c r="L2225">
        <v>12.0416401751586</v>
      </c>
      <c r="M2225">
        <v>32.1898783672126</v>
      </c>
      <c r="N2225">
        <v>14.289877988073</v>
      </c>
      <c r="O2225">
        <v>17.899999618530298</v>
      </c>
      <c r="P2225">
        <v>22.943106240210899</v>
      </c>
      <c r="Q2225">
        <v>21.789877227463599</v>
      </c>
      <c r="R2225">
        <v>24.899999618530298</v>
      </c>
      <c r="S2225">
        <v>21.689878560277599</v>
      </c>
      <c r="T2225">
        <v>975.06631762652705</v>
      </c>
      <c r="U2225">
        <v>212</v>
      </c>
      <c r="V2225">
        <v>0</v>
      </c>
      <c r="W2225">
        <v>93</v>
      </c>
      <c r="X2225">
        <v>512.39616055846398</v>
      </c>
      <c r="Y2225">
        <v>1</v>
      </c>
      <c r="Z2225">
        <v>129</v>
      </c>
      <c r="AA2225">
        <v>28.5689354275742</v>
      </c>
      <c r="AB2225">
        <v>0.88099614487892697</v>
      </c>
      <c r="AC2225">
        <v>0.37088073653544401</v>
      </c>
      <c r="AD2225">
        <v>0.96552406326846496</v>
      </c>
      <c r="AE2225">
        <v>0.33657107891004501</v>
      </c>
      <c r="AF2225">
        <v>1208.61256544503</v>
      </c>
      <c r="AG2225">
        <f>IFERROR(AH2225*0.1, "N/A")</f>
        <v>5.8157068062827202</v>
      </c>
      <c r="AH2225">
        <v>58.1570680628272</v>
      </c>
      <c r="AI2225">
        <v>139.701770083442</v>
      </c>
      <c r="AJ2225">
        <v>19</v>
      </c>
      <c r="AK2225">
        <v>68.6858638743455</v>
      </c>
    </row>
    <row r="2226" spans="1:37" x14ac:dyDescent="0.3">
      <c r="A2226">
        <v>2225</v>
      </c>
      <c r="B2226">
        <v>0</v>
      </c>
      <c r="C2226">
        <v>32.816699999999997</v>
      </c>
      <c r="D2226">
        <v>-5.6666699999999999</v>
      </c>
      <c r="E2226" t="s">
        <v>3876</v>
      </c>
      <c r="F2226" t="s">
        <v>3877</v>
      </c>
      <c r="G2226" t="s">
        <v>39</v>
      </c>
      <c r="H2226">
        <v>2008</v>
      </c>
      <c r="I2226">
        <v>23.5</v>
      </c>
      <c r="J2226">
        <v>12.300000190734901</v>
      </c>
      <c r="K2226">
        <v>68</v>
      </c>
      <c r="L2226">
        <v>11.8608040342798</v>
      </c>
      <c r="M2226">
        <v>32.511887930489898</v>
      </c>
      <c r="N2226">
        <v>14.6000003814697</v>
      </c>
      <c r="O2226">
        <v>17.911887775767902</v>
      </c>
      <c r="P2226">
        <v>23.335314057090098</v>
      </c>
      <c r="Q2226">
        <v>22.200000762939499</v>
      </c>
      <c r="R2226">
        <v>25.200000762939499</v>
      </c>
      <c r="S2226">
        <v>22</v>
      </c>
      <c r="T2226">
        <v>943.86363636363603</v>
      </c>
      <c r="U2226">
        <v>205.43181818181799</v>
      </c>
      <c r="V2226">
        <v>0</v>
      </c>
      <c r="W2226">
        <v>94</v>
      </c>
      <c r="X2226">
        <v>501.43181818181802</v>
      </c>
      <c r="Y2226">
        <v>1</v>
      </c>
      <c r="Z2226">
        <v>119</v>
      </c>
      <c r="AA2226">
        <v>27</v>
      </c>
      <c r="AB2226">
        <v>0.137752933102054</v>
      </c>
      <c r="AC2226">
        <v>22.4732760154297</v>
      </c>
      <c r="AD2226">
        <v>1.7221920892492</v>
      </c>
      <c r="AE2226">
        <v>0.20472859862175899</v>
      </c>
      <c r="AF2226">
        <v>1138.0402097902099</v>
      </c>
      <c r="AG2226">
        <f>IFERROR(AH2226*0.1, "N/A")</f>
        <v>5.5802447552447498</v>
      </c>
      <c r="AH2226">
        <v>55.802447552447497</v>
      </c>
      <c r="AI2226">
        <v>97.443713668343094</v>
      </c>
      <c r="AJ2226">
        <v>20.1975524475525</v>
      </c>
      <c r="AK2226">
        <v>67.199300699300693</v>
      </c>
    </row>
    <row r="2227" spans="1:37" x14ac:dyDescent="0.3">
      <c r="A2227">
        <v>2226</v>
      </c>
      <c r="B2227">
        <v>0</v>
      </c>
      <c r="C2227">
        <v>32.816699999999997</v>
      </c>
      <c r="D2227">
        <v>-5.6666699999999999</v>
      </c>
      <c r="E2227" t="s">
        <v>3876</v>
      </c>
      <c r="F2227" t="s">
        <v>3878</v>
      </c>
      <c r="G2227" t="s">
        <v>37</v>
      </c>
      <c r="H2227">
        <v>2008</v>
      </c>
      <c r="I2227">
        <v>23.5</v>
      </c>
      <c r="J2227">
        <v>12.300000190734901</v>
      </c>
      <c r="K2227">
        <v>68</v>
      </c>
      <c r="L2227">
        <v>11.8608040342798</v>
      </c>
      <c r="M2227">
        <v>32.511887930489898</v>
      </c>
      <c r="N2227">
        <v>14.6000003814697</v>
      </c>
      <c r="O2227">
        <v>17.911887775767902</v>
      </c>
      <c r="P2227">
        <v>23.335314057090098</v>
      </c>
      <c r="Q2227">
        <v>22.200000762939499</v>
      </c>
      <c r="R2227">
        <v>25.200000762939499</v>
      </c>
      <c r="S2227">
        <v>22</v>
      </c>
      <c r="T2227">
        <v>943.86363636363603</v>
      </c>
      <c r="U2227">
        <v>205.43181818181799</v>
      </c>
      <c r="V2227">
        <v>0</v>
      </c>
      <c r="W2227">
        <v>94</v>
      </c>
      <c r="X2227">
        <v>501.43181818181802</v>
      </c>
      <c r="Y2227">
        <v>1</v>
      </c>
      <c r="Z2227">
        <v>119</v>
      </c>
      <c r="AA2227">
        <v>27</v>
      </c>
      <c r="AB2227">
        <v>0.137752933102054</v>
      </c>
      <c r="AC2227">
        <v>22.4732760154297</v>
      </c>
      <c r="AD2227">
        <v>1.7221920892492</v>
      </c>
      <c r="AE2227">
        <v>0.20472859862175899</v>
      </c>
      <c r="AF2227">
        <v>1138.0402097902099</v>
      </c>
      <c r="AG2227">
        <f>IFERROR(AH2227*0.1, "N/A")</f>
        <v>5.5802447552447498</v>
      </c>
      <c r="AH2227">
        <v>55.802447552447497</v>
      </c>
      <c r="AI2227">
        <v>97.443713668343094</v>
      </c>
      <c r="AJ2227">
        <v>20.1975524475525</v>
      </c>
      <c r="AK2227">
        <v>67.199300699300693</v>
      </c>
    </row>
    <row r="2228" spans="1:37" x14ac:dyDescent="0.3">
      <c r="A2228">
        <v>2227</v>
      </c>
      <c r="B2228">
        <v>0</v>
      </c>
      <c r="C2228">
        <v>37.883301000000003</v>
      </c>
      <c r="D2228">
        <v>-5.6833299999999998</v>
      </c>
      <c r="E2228" t="s">
        <v>3879</v>
      </c>
      <c r="F2228" t="s">
        <v>3880</v>
      </c>
      <c r="G2228" t="s">
        <v>39</v>
      </c>
      <c r="H2228">
        <v>2008</v>
      </c>
      <c r="I2228">
        <v>22.508551516041901</v>
      </c>
      <c r="J2228">
        <v>11.765794126567201</v>
      </c>
      <c r="K2228">
        <v>70.888307155322906</v>
      </c>
      <c r="L2228">
        <v>16.349651156919801</v>
      </c>
      <c r="M2228">
        <v>30.788132266432399</v>
      </c>
      <c r="N2228">
        <v>14.311169411291401</v>
      </c>
      <c r="O2228">
        <v>16.4769632629075</v>
      </c>
      <c r="P2228">
        <v>23.219721393019299</v>
      </c>
      <c r="Q2228">
        <v>20.311168564135698</v>
      </c>
      <c r="R2228">
        <v>24.4085511345722</v>
      </c>
      <c r="S2228">
        <v>20.311168564135698</v>
      </c>
      <c r="T2228">
        <v>986.67364746945896</v>
      </c>
      <c r="U2228">
        <v>170.118673647469</v>
      </c>
      <c r="V2228">
        <v>20</v>
      </c>
      <c r="W2228">
        <v>55.342059336823702</v>
      </c>
      <c r="X2228">
        <v>421.67190226876102</v>
      </c>
      <c r="Y2228">
        <v>66.888307155322906</v>
      </c>
      <c r="Z2228">
        <v>325.16579406631803</v>
      </c>
      <c r="AA2228">
        <v>66.888307155322906</v>
      </c>
      <c r="AB2228">
        <v>1.5068039819208101</v>
      </c>
      <c r="AC2228">
        <v>0.43189185750500098</v>
      </c>
      <c r="AD2228">
        <v>2.8337430970623001</v>
      </c>
      <c r="AE2228">
        <v>0.30029002190884502</v>
      </c>
      <c r="AF2228">
        <v>629.68586387434596</v>
      </c>
      <c r="AG2228">
        <f>IFERROR(AH2228*0.1, "N/A")</f>
        <v>6.0130890052356003</v>
      </c>
      <c r="AH2228">
        <v>60.130890052356001</v>
      </c>
      <c r="AI2228">
        <v>285.84584598641101</v>
      </c>
      <c r="AJ2228">
        <v>29.3926701570681</v>
      </c>
      <c r="AK2228">
        <v>53.345549738219901</v>
      </c>
    </row>
    <row r="2229" spans="1:37" x14ac:dyDescent="0.3">
      <c r="A2229">
        <v>2228</v>
      </c>
      <c r="B2229">
        <v>0</v>
      </c>
      <c r="C2229">
        <v>37.883301000000003</v>
      </c>
      <c r="D2229">
        <v>-5.6833299999999998</v>
      </c>
      <c r="E2229" t="s">
        <v>3879</v>
      </c>
      <c r="F2229" t="s">
        <v>3881</v>
      </c>
      <c r="G2229" t="s">
        <v>37</v>
      </c>
      <c r="H2229">
        <v>2008</v>
      </c>
      <c r="I2229">
        <v>22.508551516041901</v>
      </c>
      <c r="J2229">
        <v>11.765794126567201</v>
      </c>
      <c r="K2229">
        <v>70.888307155322906</v>
      </c>
      <c r="L2229">
        <v>16.349651156919801</v>
      </c>
      <c r="M2229">
        <v>30.788132266432399</v>
      </c>
      <c r="N2229">
        <v>14.311169411291401</v>
      </c>
      <c r="O2229">
        <v>16.4769632629075</v>
      </c>
      <c r="P2229">
        <v>23.219721393019299</v>
      </c>
      <c r="Q2229">
        <v>20.311168564135698</v>
      </c>
      <c r="R2229">
        <v>24.4085511345722</v>
      </c>
      <c r="S2229">
        <v>20.311168564135698</v>
      </c>
      <c r="T2229">
        <v>986.67364746945896</v>
      </c>
      <c r="U2229">
        <v>170.118673647469</v>
      </c>
      <c r="V2229">
        <v>20</v>
      </c>
      <c r="W2229">
        <v>55.342059336823702</v>
      </c>
      <c r="X2229">
        <v>421.67190226876102</v>
      </c>
      <c r="Y2229">
        <v>66.888307155322906</v>
      </c>
      <c r="Z2229">
        <v>325.16579406631803</v>
      </c>
      <c r="AA2229">
        <v>66.888307155322906</v>
      </c>
      <c r="AB2229">
        <v>1.5068039819208101</v>
      </c>
      <c r="AC2229">
        <v>0.43189185750500098</v>
      </c>
      <c r="AD2229">
        <v>2.8337430970623001</v>
      </c>
      <c r="AE2229">
        <v>0.30029002190884502</v>
      </c>
      <c r="AF2229">
        <v>629.68586387434596</v>
      </c>
      <c r="AG2229">
        <f>IFERROR(AH2229*0.1, "N/A")</f>
        <v>6.0130890052356003</v>
      </c>
      <c r="AH2229">
        <v>60.130890052356001</v>
      </c>
      <c r="AI2229">
        <v>285.84584598641101</v>
      </c>
      <c r="AJ2229">
        <v>29.3926701570681</v>
      </c>
      <c r="AK2229">
        <v>53.345549738219901</v>
      </c>
    </row>
    <row r="2230" spans="1:37" x14ac:dyDescent="0.3">
      <c r="A2230">
        <v>2229</v>
      </c>
      <c r="B2230">
        <v>0</v>
      </c>
      <c r="C2230">
        <v>32.909697999999999</v>
      </c>
      <c r="D2230">
        <v>-5.6972199999999997</v>
      </c>
      <c r="E2230" t="s">
        <v>3882</v>
      </c>
      <c r="F2230" t="s">
        <v>3883</v>
      </c>
      <c r="G2230" t="s">
        <v>39</v>
      </c>
      <c r="H2230">
        <v>2008</v>
      </c>
      <c r="I2230">
        <v>23.299999237060501</v>
      </c>
      <c r="J2230">
        <v>12.199999809265099</v>
      </c>
      <c r="K2230">
        <v>68</v>
      </c>
      <c r="L2230">
        <v>11.710000038146999</v>
      </c>
      <c r="M2230">
        <v>32.299999237060497</v>
      </c>
      <c r="N2230">
        <v>14.3999996185303</v>
      </c>
      <c r="O2230">
        <v>17.899999618530298</v>
      </c>
      <c r="P2230">
        <v>23.200000762939499</v>
      </c>
      <c r="Q2230">
        <v>22</v>
      </c>
      <c r="R2230">
        <v>25</v>
      </c>
      <c r="S2230">
        <v>21.899999618530298</v>
      </c>
      <c r="T2230">
        <v>938</v>
      </c>
      <c r="U2230">
        <v>205</v>
      </c>
      <c r="V2230">
        <v>0</v>
      </c>
      <c r="W2230">
        <v>94</v>
      </c>
      <c r="X2230">
        <v>501</v>
      </c>
      <c r="Y2230">
        <v>1</v>
      </c>
      <c r="Z2230">
        <v>116</v>
      </c>
      <c r="AA2230">
        <v>26</v>
      </c>
      <c r="AB2230">
        <v>9.50688075352382</v>
      </c>
      <c r="AC2230">
        <v>2.7809594793675001E-2</v>
      </c>
      <c r="AD2230">
        <v>2.4410731207865899</v>
      </c>
      <c r="AE2230">
        <v>0.49190106274156298</v>
      </c>
      <c r="AF2230">
        <v>1173.3583916083901</v>
      </c>
      <c r="AG2230">
        <f>IFERROR(AH2230*0.1, "N/A")</f>
        <v>5.5</v>
      </c>
      <c r="AH2230">
        <v>55</v>
      </c>
      <c r="AI2230">
        <v>258.406357034937</v>
      </c>
      <c r="AJ2230">
        <v>17</v>
      </c>
      <c r="AK2230">
        <v>73</v>
      </c>
    </row>
    <row r="2231" spans="1:37" x14ac:dyDescent="0.3">
      <c r="A2231">
        <v>2230</v>
      </c>
      <c r="B2231">
        <v>0</v>
      </c>
      <c r="C2231">
        <v>32.909697999999999</v>
      </c>
      <c r="D2231">
        <v>-5.6972199999999997</v>
      </c>
      <c r="E2231" t="s">
        <v>3882</v>
      </c>
      <c r="F2231" t="s">
        <v>3884</v>
      </c>
      <c r="G2231" t="s">
        <v>37</v>
      </c>
      <c r="H2231">
        <v>2008</v>
      </c>
      <c r="I2231">
        <v>23.299999237060501</v>
      </c>
      <c r="J2231">
        <v>12.199999809265099</v>
      </c>
      <c r="K2231">
        <v>68</v>
      </c>
      <c r="L2231">
        <v>11.710000038146999</v>
      </c>
      <c r="M2231">
        <v>32.299999237060497</v>
      </c>
      <c r="N2231">
        <v>14.3999996185303</v>
      </c>
      <c r="O2231">
        <v>17.899999618530298</v>
      </c>
      <c r="P2231">
        <v>23.200000762939499</v>
      </c>
      <c r="Q2231">
        <v>22</v>
      </c>
      <c r="R2231">
        <v>25</v>
      </c>
      <c r="S2231">
        <v>21.899999618530298</v>
      </c>
      <c r="T2231">
        <v>938</v>
      </c>
      <c r="U2231">
        <v>205</v>
      </c>
      <c r="V2231">
        <v>0</v>
      </c>
      <c r="W2231">
        <v>94</v>
      </c>
      <c r="X2231">
        <v>501</v>
      </c>
      <c r="Y2231">
        <v>1</v>
      </c>
      <c r="Z2231">
        <v>116</v>
      </c>
      <c r="AA2231">
        <v>26</v>
      </c>
      <c r="AB2231">
        <v>9.50688075352382</v>
      </c>
      <c r="AC2231">
        <v>2.7809594793675001E-2</v>
      </c>
      <c r="AD2231">
        <v>2.4410731207865899</v>
      </c>
      <c r="AE2231">
        <v>0.49190106274156298</v>
      </c>
      <c r="AF2231">
        <v>1173.3583916083901</v>
      </c>
      <c r="AG2231">
        <f>IFERROR(AH2231*0.1, "N/A")</f>
        <v>5.5</v>
      </c>
      <c r="AH2231">
        <v>55</v>
      </c>
      <c r="AI2231">
        <v>258.406357034937</v>
      </c>
      <c r="AJ2231">
        <v>17</v>
      </c>
      <c r="AK2231">
        <v>73</v>
      </c>
    </row>
    <row r="2232" spans="1:37" x14ac:dyDescent="0.3">
      <c r="A2232">
        <v>2231</v>
      </c>
      <c r="B2232">
        <v>0</v>
      </c>
      <c r="C2232">
        <v>32.799999</v>
      </c>
      <c r="D2232">
        <v>-5.7166699999999997</v>
      </c>
      <c r="E2232" t="s">
        <v>3885</v>
      </c>
      <c r="F2232" t="s">
        <v>3886</v>
      </c>
      <c r="G2232" t="s">
        <v>39</v>
      </c>
      <c r="H2232">
        <v>2008</v>
      </c>
      <c r="I2232">
        <v>23.5211170090015</v>
      </c>
      <c r="J2232">
        <v>12.300000190734901</v>
      </c>
      <c r="K2232">
        <v>67.897033158813301</v>
      </c>
      <c r="L2232">
        <v>12.100052517330001</v>
      </c>
      <c r="M2232">
        <v>32.576264106790397</v>
      </c>
      <c r="N2232">
        <v>14.5659688380376</v>
      </c>
      <c r="O2232">
        <v>18.010296723397399</v>
      </c>
      <c r="P2232">
        <v>23.476265179965299</v>
      </c>
      <c r="Q2232">
        <v>22.1659692195073</v>
      </c>
      <c r="R2232">
        <v>25.221117369167501</v>
      </c>
      <c r="S2232">
        <v>22.0211170090015</v>
      </c>
      <c r="T2232">
        <v>936.371727748691</v>
      </c>
      <c r="U2232">
        <v>203.78883071553199</v>
      </c>
      <c r="V2232">
        <v>0</v>
      </c>
      <c r="W2232">
        <v>94.3141361256545</v>
      </c>
      <c r="X2232">
        <v>498.78883071553201</v>
      </c>
      <c r="Y2232">
        <v>1</v>
      </c>
      <c r="Z2232">
        <v>116.897033158813</v>
      </c>
      <c r="AA2232">
        <v>26</v>
      </c>
      <c r="AB2232">
        <v>1.4710352499863699</v>
      </c>
      <c r="AC2232">
        <v>7.7179367488240003E-2</v>
      </c>
      <c r="AD2232">
        <v>1.33435315673888</v>
      </c>
      <c r="AE2232">
        <v>0.16205206513404799</v>
      </c>
      <c r="AF2232">
        <v>1134.53752181501</v>
      </c>
      <c r="AG2232">
        <f>IFERROR(AH2232*0.1, "N/A")</f>
        <v>5.5340314136125599</v>
      </c>
      <c r="AH2232">
        <v>55.340314136125599</v>
      </c>
      <c r="AI2232">
        <v>226.822934748199</v>
      </c>
      <c r="AJ2232">
        <v>17.319371727748699</v>
      </c>
      <c r="AK2232">
        <v>72.680628272251298</v>
      </c>
    </row>
    <row r="2233" spans="1:37" x14ac:dyDescent="0.3">
      <c r="A2233">
        <v>2232</v>
      </c>
      <c r="B2233">
        <v>0</v>
      </c>
      <c r="C2233">
        <v>32.799999</v>
      </c>
      <c r="D2233">
        <v>-5.7166699999999997</v>
      </c>
      <c r="E2233" t="s">
        <v>3885</v>
      </c>
      <c r="F2233" t="s">
        <v>3887</v>
      </c>
      <c r="G2233" t="s">
        <v>37</v>
      </c>
      <c r="H2233">
        <v>2008</v>
      </c>
      <c r="I2233">
        <v>23.5211170090015</v>
      </c>
      <c r="J2233">
        <v>12.300000190734901</v>
      </c>
      <c r="K2233">
        <v>67.897033158813301</v>
      </c>
      <c r="L2233">
        <v>12.100052517330001</v>
      </c>
      <c r="M2233">
        <v>32.576264106790397</v>
      </c>
      <c r="N2233">
        <v>14.5659688380376</v>
      </c>
      <c r="O2233">
        <v>18.010296723397399</v>
      </c>
      <c r="P2233">
        <v>23.476265179965299</v>
      </c>
      <c r="Q2233">
        <v>22.1659692195073</v>
      </c>
      <c r="R2233">
        <v>25.221117369167501</v>
      </c>
      <c r="S2233">
        <v>22.0211170090015</v>
      </c>
      <c r="T2233">
        <v>936.371727748691</v>
      </c>
      <c r="U2233">
        <v>203.78883071553199</v>
      </c>
      <c r="V2233">
        <v>0</v>
      </c>
      <c r="W2233">
        <v>94.3141361256545</v>
      </c>
      <c r="X2233">
        <v>498.78883071553201</v>
      </c>
      <c r="Y2233">
        <v>1</v>
      </c>
      <c r="Z2233">
        <v>116.897033158813</v>
      </c>
      <c r="AA2233">
        <v>26</v>
      </c>
      <c r="AB2233">
        <v>1.4710352499863699</v>
      </c>
      <c r="AC2233">
        <v>7.7179367488240003E-2</v>
      </c>
      <c r="AD2233">
        <v>1.33435315673888</v>
      </c>
      <c r="AE2233">
        <v>0.16205206513404799</v>
      </c>
      <c r="AF2233">
        <v>1134.53752181501</v>
      </c>
      <c r="AG2233">
        <f>IFERROR(AH2233*0.1, "N/A")</f>
        <v>5.5340314136125599</v>
      </c>
      <c r="AH2233">
        <v>55.340314136125599</v>
      </c>
      <c r="AI2233">
        <v>226.822934748199</v>
      </c>
      <c r="AJ2233">
        <v>17.319371727748699</v>
      </c>
      <c r="AK2233">
        <v>72.680628272251298</v>
      </c>
    </row>
    <row r="2234" spans="1:37" x14ac:dyDescent="0.3">
      <c r="A2234">
        <v>2233</v>
      </c>
      <c r="B2234">
        <v>0</v>
      </c>
      <c r="C2234">
        <v>33.494700999999999</v>
      </c>
      <c r="D2234">
        <v>-5.7463899999999999</v>
      </c>
      <c r="E2234" t="s">
        <v>3888</v>
      </c>
      <c r="F2234" t="s">
        <v>3889</v>
      </c>
      <c r="G2234" t="s">
        <v>39</v>
      </c>
      <c r="H2234">
        <v>2008</v>
      </c>
      <c r="I2234">
        <v>22.600000381469702</v>
      </c>
      <c r="J2234">
        <v>12.1000003814697</v>
      </c>
      <c r="K2234">
        <v>68</v>
      </c>
      <c r="L2234">
        <v>11.6000003814697</v>
      </c>
      <c r="M2234">
        <v>31.399999618530298</v>
      </c>
      <c r="N2234">
        <v>13.800000190734901</v>
      </c>
      <c r="O2234">
        <v>17.600000381469702</v>
      </c>
      <c r="P2234">
        <v>22.700000762939499</v>
      </c>
      <c r="Q2234">
        <v>21.100000381469702</v>
      </c>
      <c r="R2234">
        <v>24.100000381469702</v>
      </c>
      <c r="S2234">
        <v>21.100000381469702</v>
      </c>
      <c r="T2234">
        <v>805</v>
      </c>
      <c r="U2234">
        <v>177</v>
      </c>
      <c r="V2234">
        <v>0</v>
      </c>
      <c r="W2234">
        <v>99</v>
      </c>
      <c r="X2234">
        <v>459</v>
      </c>
      <c r="Y2234">
        <v>1</v>
      </c>
      <c r="Z2234">
        <v>80</v>
      </c>
      <c r="AA2234">
        <v>15</v>
      </c>
      <c r="AB2234">
        <v>13.5444083230537</v>
      </c>
      <c r="AC2234">
        <v>2.3189335641566E-2</v>
      </c>
      <c r="AD2234">
        <v>1.2693296838225001</v>
      </c>
      <c r="AE2234">
        <v>0.121901081410939</v>
      </c>
      <c r="AF2234">
        <v>1269.2403508771899</v>
      </c>
      <c r="AG2234">
        <f>IFERROR(AH2234*0.1, "N/A")</f>
        <v>5.8000000000000007</v>
      </c>
      <c r="AH2234">
        <v>58</v>
      </c>
      <c r="AI2234">
        <v>192.156225169332</v>
      </c>
      <c r="AJ2234">
        <v>22.371929824561398</v>
      </c>
      <c r="AK2234">
        <v>61.001754385964901</v>
      </c>
    </row>
    <row r="2235" spans="1:37" x14ac:dyDescent="0.3">
      <c r="A2235">
        <v>2234</v>
      </c>
      <c r="B2235">
        <v>0</v>
      </c>
      <c r="C2235">
        <v>33.494700999999999</v>
      </c>
      <c r="D2235">
        <v>-5.7463899999999999</v>
      </c>
      <c r="E2235" t="s">
        <v>3888</v>
      </c>
      <c r="F2235" t="s">
        <v>3890</v>
      </c>
      <c r="G2235" t="s">
        <v>37</v>
      </c>
      <c r="H2235">
        <v>2008</v>
      </c>
      <c r="I2235">
        <v>22.600000381469702</v>
      </c>
      <c r="J2235">
        <v>12.1000003814697</v>
      </c>
      <c r="K2235">
        <v>68</v>
      </c>
      <c r="L2235">
        <v>11.6000003814697</v>
      </c>
      <c r="M2235">
        <v>31.399999618530298</v>
      </c>
      <c r="N2235">
        <v>13.800000190734901</v>
      </c>
      <c r="O2235">
        <v>17.600000381469702</v>
      </c>
      <c r="P2235">
        <v>22.700000762939499</v>
      </c>
      <c r="Q2235">
        <v>21.100000381469702</v>
      </c>
      <c r="R2235">
        <v>24.100000381469702</v>
      </c>
      <c r="S2235">
        <v>21.100000381469702</v>
      </c>
      <c r="T2235">
        <v>805</v>
      </c>
      <c r="U2235">
        <v>177</v>
      </c>
      <c r="V2235">
        <v>0</v>
      </c>
      <c r="W2235">
        <v>99</v>
      </c>
      <c r="X2235">
        <v>459</v>
      </c>
      <c r="Y2235">
        <v>1</v>
      </c>
      <c r="Z2235">
        <v>80</v>
      </c>
      <c r="AA2235">
        <v>15</v>
      </c>
      <c r="AB2235">
        <v>13.5444083230537</v>
      </c>
      <c r="AC2235">
        <v>2.3189335641566E-2</v>
      </c>
      <c r="AD2235">
        <v>1.2693296838225001</v>
      </c>
      <c r="AE2235">
        <v>0.121901081410939</v>
      </c>
      <c r="AF2235">
        <v>1269.2403508771899</v>
      </c>
      <c r="AG2235">
        <f>IFERROR(AH2235*0.1, "N/A")</f>
        <v>5.8000000000000007</v>
      </c>
      <c r="AH2235">
        <v>58</v>
      </c>
      <c r="AI2235">
        <v>192.156225169332</v>
      </c>
      <c r="AJ2235">
        <v>22.371929824561398</v>
      </c>
      <c r="AK2235">
        <v>61.001754385964901</v>
      </c>
    </row>
    <row r="2236" spans="1:37" x14ac:dyDescent="0.3">
      <c r="A2236">
        <v>2235</v>
      </c>
      <c r="B2236">
        <v>0</v>
      </c>
      <c r="C2236">
        <v>31.700001</v>
      </c>
      <c r="D2236">
        <v>-5.7833300000000003</v>
      </c>
      <c r="E2236" t="s">
        <v>3891</v>
      </c>
      <c r="F2236" t="s">
        <v>3892</v>
      </c>
      <c r="G2236" t="s">
        <v>39</v>
      </c>
      <c r="H2236">
        <v>2008</v>
      </c>
      <c r="I2236">
        <v>24</v>
      </c>
      <c r="J2236">
        <v>12.300000190734901</v>
      </c>
      <c r="K2236">
        <v>69</v>
      </c>
      <c r="L2236">
        <v>10.8603151959421</v>
      </c>
      <c r="M2236">
        <v>32.299999237060497</v>
      </c>
      <c r="N2236">
        <v>14.699999809265099</v>
      </c>
      <c r="O2236">
        <v>17.600000381469702</v>
      </c>
      <c r="P2236">
        <v>24</v>
      </c>
      <c r="Q2236">
        <v>22.600000381469702</v>
      </c>
      <c r="R2236">
        <v>25.399999618530298</v>
      </c>
      <c r="S2236">
        <v>22.585289292076599</v>
      </c>
      <c r="T2236">
        <v>1016</v>
      </c>
      <c r="U2236">
        <v>203</v>
      </c>
      <c r="V2236">
        <v>0</v>
      </c>
      <c r="W2236">
        <v>91</v>
      </c>
      <c r="X2236">
        <v>509</v>
      </c>
      <c r="Y2236">
        <v>0</v>
      </c>
      <c r="Z2236">
        <v>147</v>
      </c>
      <c r="AA2236">
        <v>31</v>
      </c>
      <c r="AB2236">
        <v>3.8906998241845501</v>
      </c>
      <c r="AC2236">
        <v>1.1156577708268001E-2</v>
      </c>
      <c r="AD2236">
        <v>0.88540128358817605</v>
      </c>
      <c r="AE2236">
        <v>0.120812637480253</v>
      </c>
      <c r="AF2236">
        <v>1075.56392294221</v>
      </c>
      <c r="AG2236">
        <f>IFERROR(AH2236*0.1, "N/A")</f>
        <v>6.0271453590192703</v>
      </c>
      <c r="AH2236">
        <v>60.271453590192699</v>
      </c>
      <c r="AI2236">
        <v>207.69131859881199</v>
      </c>
      <c r="AJ2236">
        <v>28.2714535901926</v>
      </c>
      <c r="AK2236">
        <v>57.457092819614701</v>
      </c>
    </row>
    <row r="2237" spans="1:37" x14ac:dyDescent="0.3">
      <c r="A2237">
        <v>2236</v>
      </c>
      <c r="B2237">
        <v>0</v>
      </c>
      <c r="C2237">
        <v>31.700001</v>
      </c>
      <c r="D2237">
        <v>-5.7833300000000003</v>
      </c>
      <c r="E2237" t="s">
        <v>3891</v>
      </c>
      <c r="F2237" t="s">
        <v>3893</v>
      </c>
      <c r="G2237" t="s">
        <v>37</v>
      </c>
      <c r="H2237">
        <v>2008</v>
      </c>
      <c r="I2237">
        <v>24</v>
      </c>
      <c r="J2237">
        <v>12.300000190734901</v>
      </c>
      <c r="K2237">
        <v>69</v>
      </c>
      <c r="L2237">
        <v>10.8603151959421</v>
      </c>
      <c r="M2237">
        <v>32.299999237060497</v>
      </c>
      <c r="N2237">
        <v>14.699999809265099</v>
      </c>
      <c r="O2237">
        <v>17.600000381469702</v>
      </c>
      <c r="P2237">
        <v>24</v>
      </c>
      <c r="Q2237">
        <v>22.600000381469702</v>
      </c>
      <c r="R2237">
        <v>25.399999618530298</v>
      </c>
      <c r="S2237">
        <v>22.585289292076599</v>
      </c>
      <c r="T2237">
        <v>1016</v>
      </c>
      <c r="U2237">
        <v>203</v>
      </c>
      <c r="V2237">
        <v>0</v>
      </c>
      <c r="W2237">
        <v>91</v>
      </c>
      <c r="X2237">
        <v>509</v>
      </c>
      <c r="Y2237">
        <v>0</v>
      </c>
      <c r="Z2237">
        <v>147</v>
      </c>
      <c r="AA2237">
        <v>31</v>
      </c>
      <c r="AB2237">
        <v>3.8906998241845501</v>
      </c>
      <c r="AC2237">
        <v>1.1156577708268001E-2</v>
      </c>
      <c r="AD2237">
        <v>0.88540128358817605</v>
      </c>
      <c r="AE2237">
        <v>0.120812637480253</v>
      </c>
      <c r="AF2237">
        <v>1075.56392294221</v>
      </c>
      <c r="AG2237">
        <f>IFERROR(AH2237*0.1, "N/A")</f>
        <v>6.0271453590192703</v>
      </c>
      <c r="AH2237">
        <v>60.271453590192699</v>
      </c>
      <c r="AI2237">
        <v>207.69131859881199</v>
      </c>
      <c r="AJ2237">
        <v>28.2714535901926</v>
      </c>
      <c r="AK2237">
        <v>57.457092819614701</v>
      </c>
    </row>
    <row r="2238" spans="1:37" x14ac:dyDescent="0.3">
      <c r="A2238">
        <v>2237</v>
      </c>
      <c r="B2238">
        <v>0</v>
      </c>
      <c r="C2238">
        <v>38.599997999999999</v>
      </c>
      <c r="D2238">
        <v>-5.8833299999999999</v>
      </c>
      <c r="E2238" t="s">
        <v>3894</v>
      </c>
      <c r="F2238" t="s">
        <v>3895</v>
      </c>
      <c r="G2238" t="s">
        <v>39</v>
      </c>
      <c r="H2238">
        <v>2008</v>
      </c>
      <c r="I2238">
        <v>25.852347717285198</v>
      </c>
      <c r="J2238">
        <v>10.4488693701703</v>
      </c>
      <c r="K2238">
        <v>70</v>
      </c>
      <c r="L2238">
        <v>14.038573746059299</v>
      </c>
      <c r="M2238">
        <v>33.352349170187203</v>
      </c>
      <c r="N2238">
        <v>18.522782695604398</v>
      </c>
      <c r="O2238">
        <v>14.8295652389526</v>
      </c>
      <c r="P2238">
        <v>26.556869782157602</v>
      </c>
      <c r="Q2238">
        <v>24.1523484072478</v>
      </c>
      <c r="R2238">
        <v>27.5761742036239</v>
      </c>
      <c r="S2238">
        <v>23.971652065774698</v>
      </c>
      <c r="T2238">
        <v>1011.44</v>
      </c>
      <c r="U2238">
        <v>175.20347826087001</v>
      </c>
      <c r="V2238">
        <v>26.488695652173899</v>
      </c>
      <c r="W2238">
        <v>51.7495652173913</v>
      </c>
      <c r="X2238">
        <v>421.45217391304402</v>
      </c>
      <c r="Y2238">
        <v>96.784347826087</v>
      </c>
      <c r="Z2238">
        <v>245.46434782608699</v>
      </c>
      <c r="AA2238">
        <v>109.784347826087</v>
      </c>
      <c r="AB2238">
        <v>6.7153022036345096</v>
      </c>
      <c r="AC2238">
        <v>0.25270072242326103</v>
      </c>
      <c r="AD2238">
        <v>3.27359295803568</v>
      </c>
      <c r="AE2238">
        <v>0.27087175042732903</v>
      </c>
      <c r="AF2238">
        <v>186.417391304348</v>
      </c>
      <c r="AG2238">
        <f>IFERROR(AH2238*0.1, "N/A")</f>
        <v>6.4725217391304302</v>
      </c>
      <c r="AH2238">
        <v>64.725217391304298</v>
      </c>
      <c r="AI2238">
        <v>170.210197395656</v>
      </c>
      <c r="AJ2238">
        <v>29.92</v>
      </c>
      <c r="AK2238">
        <v>49.083478260869597</v>
      </c>
    </row>
    <row r="2239" spans="1:37" x14ac:dyDescent="0.3">
      <c r="A2239">
        <v>2238</v>
      </c>
      <c r="B2239">
        <v>0</v>
      </c>
      <c r="C2239">
        <v>38.599997999999999</v>
      </c>
      <c r="D2239">
        <v>-5.8833299999999999</v>
      </c>
      <c r="E2239" t="s">
        <v>3894</v>
      </c>
      <c r="F2239" t="s">
        <v>3896</v>
      </c>
      <c r="G2239" t="s">
        <v>37</v>
      </c>
      <c r="H2239">
        <v>2008</v>
      </c>
      <c r="I2239">
        <v>25.852347717285198</v>
      </c>
      <c r="J2239">
        <v>10.4488693701703</v>
      </c>
      <c r="K2239">
        <v>70</v>
      </c>
      <c r="L2239">
        <v>14.038573746059299</v>
      </c>
      <c r="M2239">
        <v>33.352349170187203</v>
      </c>
      <c r="N2239">
        <v>18.522782695604398</v>
      </c>
      <c r="O2239">
        <v>14.8295652389526</v>
      </c>
      <c r="P2239">
        <v>26.556869782157602</v>
      </c>
      <c r="Q2239">
        <v>24.1523484072478</v>
      </c>
      <c r="R2239">
        <v>27.5761742036239</v>
      </c>
      <c r="S2239">
        <v>23.971652065774698</v>
      </c>
      <c r="T2239">
        <v>1011.44</v>
      </c>
      <c r="U2239">
        <v>175.20347826087001</v>
      </c>
      <c r="V2239">
        <v>26.488695652173899</v>
      </c>
      <c r="W2239">
        <v>51.7495652173913</v>
      </c>
      <c r="X2239">
        <v>421.45217391304402</v>
      </c>
      <c r="Y2239">
        <v>96.784347826087</v>
      </c>
      <c r="Z2239">
        <v>245.46434782608699</v>
      </c>
      <c r="AA2239">
        <v>109.784347826087</v>
      </c>
      <c r="AB2239">
        <v>6.7153022036345096</v>
      </c>
      <c r="AC2239">
        <v>0.25270072242326103</v>
      </c>
      <c r="AD2239">
        <v>3.27359295803568</v>
      </c>
      <c r="AE2239">
        <v>0.27087175042732903</v>
      </c>
      <c r="AF2239">
        <v>186.417391304348</v>
      </c>
      <c r="AG2239">
        <f>IFERROR(AH2239*0.1, "N/A")</f>
        <v>6.4725217391304302</v>
      </c>
      <c r="AH2239">
        <v>64.725217391304298</v>
      </c>
      <c r="AI2239">
        <v>170.210197395656</v>
      </c>
      <c r="AJ2239">
        <v>29.92</v>
      </c>
      <c r="AK2239">
        <v>49.083478260869597</v>
      </c>
    </row>
    <row r="2240" spans="1:37" x14ac:dyDescent="0.3">
      <c r="A2240">
        <v>2239</v>
      </c>
      <c r="B2240">
        <v>0</v>
      </c>
      <c r="C2240">
        <v>33.900002000000001</v>
      </c>
      <c r="D2240">
        <v>-6.1833299999999998</v>
      </c>
      <c r="E2240" t="s">
        <v>3897</v>
      </c>
      <c r="F2240" t="s">
        <v>3898</v>
      </c>
      <c r="G2240" t="s">
        <v>39</v>
      </c>
      <c r="H2240">
        <v>2008</v>
      </c>
      <c r="I2240">
        <v>20.5593697536221</v>
      </c>
      <c r="J2240">
        <v>12.0267951985374</v>
      </c>
      <c r="K2240">
        <v>69</v>
      </c>
      <c r="L2240">
        <v>11.834413326350299</v>
      </c>
      <c r="M2240">
        <v>28.878108116457199</v>
      </c>
      <c r="N2240">
        <v>11.632574625900499</v>
      </c>
      <c r="O2240">
        <v>17.245534218756401</v>
      </c>
      <c r="P2240">
        <v>21.0325745550847</v>
      </c>
      <c r="Q2240">
        <v>18.8593689906827</v>
      </c>
      <c r="R2240">
        <v>21.9781084979269</v>
      </c>
      <c r="S2240">
        <v>18.8593689906827</v>
      </c>
      <c r="T2240">
        <v>682.12959719789899</v>
      </c>
      <c r="U2240">
        <v>151.67425569176899</v>
      </c>
      <c r="V2240">
        <v>0</v>
      </c>
      <c r="W2240">
        <v>108.299474605954</v>
      </c>
      <c r="X2240">
        <v>427.53590192644498</v>
      </c>
      <c r="Y2240">
        <v>0</v>
      </c>
      <c r="Z2240">
        <v>198.91943957968499</v>
      </c>
      <c r="AA2240">
        <v>0</v>
      </c>
      <c r="AB2240">
        <v>24.7506270266665</v>
      </c>
      <c r="AC2240">
        <v>4.2361430381791999E-2</v>
      </c>
      <c r="AD2240">
        <v>1.8997254281870699</v>
      </c>
      <c r="AE2240">
        <v>0.20277714893717699</v>
      </c>
      <c r="AF2240">
        <v>1576.96847635727</v>
      </c>
      <c r="AG2240">
        <f>IFERROR(AH2240*0.1, "N/A")</f>
        <v>5.6975481611208405</v>
      </c>
      <c r="AH2240">
        <v>56.975481611208401</v>
      </c>
      <c r="AI2240">
        <v>169.52791669615101</v>
      </c>
      <c r="AJ2240">
        <v>26.239929947460599</v>
      </c>
      <c r="AK2240">
        <v>61.518388791593701</v>
      </c>
    </row>
    <row r="2241" spans="1:37" x14ac:dyDescent="0.3">
      <c r="A2241">
        <v>2240</v>
      </c>
      <c r="B2241">
        <v>0</v>
      </c>
      <c r="C2241">
        <v>33.900002000000001</v>
      </c>
      <c r="D2241">
        <v>-6.1833299999999998</v>
      </c>
      <c r="E2241" t="s">
        <v>3897</v>
      </c>
      <c r="F2241" t="s">
        <v>3899</v>
      </c>
      <c r="G2241" t="s">
        <v>37</v>
      </c>
      <c r="H2241">
        <v>2008</v>
      </c>
      <c r="I2241">
        <v>20.5593697536221</v>
      </c>
      <c r="J2241">
        <v>12.0267951985374</v>
      </c>
      <c r="K2241">
        <v>69</v>
      </c>
      <c r="L2241">
        <v>11.834413326350299</v>
      </c>
      <c r="M2241">
        <v>28.878108116457199</v>
      </c>
      <c r="N2241">
        <v>11.632574625900499</v>
      </c>
      <c r="O2241">
        <v>17.245534218756401</v>
      </c>
      <c r="P2241">
        <v>21.0325745550847</v>
      </c>
      <c r="Q2241">
        <v>18.8593689906827</v>
      </c>
      <c r="R2241">
        <v>21.9781084979269</v>
      </c>
      <c r="S2241">
        <v>18.8593689906827</v>
      </c>
      <c r="T2241">
        <v>682.12959719789899</v>
      </c>
      <c r="U2241">
        <v>151.67425569176899</v>
      </c>
      <c r="V2241">
        <v>0</v>
      </c>
      <c r="W2241">
        <v>108.299474605954</v>
      </c>
      <c r="X2241">
        <v>427.53590192644498</v>
      </c>
      <c r="Y2241">
        <v>0</v>
      </c>
      <c r="Z2241">
        <v>198.91943957968499</v>
      </c>
      <c r="AA2241">
        <v>0</v>
      </c>
      <c r="AB2241">
        <v>24.7506270266665</v>
      </c>
      <c r="AC2241">
        <v>4.2361430381791999E-2</v>
      </c>
      <c r="AD2241">
        <v>1.8997254281870699</v>
      </c>
      <c r="AE2241">
        <v>0.20277714893717699</v>
      </c>
      <c r="AF2241">
        <v>1576.96847635727</v>
      </c>
      <c r="AG2241">
        <f>IFERROR(AH2241*0.1, "N/A")</f>
        <v>5.6975481611208405</v>
      </c>
      <c r="AH2241">
        <v>56.975481611208401</v>
      </c>
      <c r="AI2241">
        <v>169.52791669615101</v>
      </c>
      <c r="AJ2241">
        <v>26.239929947460599</v>
      </c>
      <c r="AK2241">
        <v>61.518388791593701</v>
      </c>
    </row>
    <row r="2242" spans="1:37" x14ac:dyDescent="0.3">
      <c r="A2242">
        <v>2241</v>
      </c>
      <c r="B2242">
        <v>0</v>
      </c>
      <c r="C2242">
        <v>37.366698999999997</v>
      </c>
      <c r="D2242">
        <v>-6.2166699999999997</v>
      </c>
      <c r="E2242" t="s">
        <v>3900</v>
      </c>
      <c r="F2242" t="s">
        <v>3901</v>
      </c>
      <c r="G2242" t="s">
        <v>39</v>
      </c>
      <c r="H2242">
        <v>2008</v>
      </c>
      <c r="I2242">
        <v>23.050262888759701</v>
      </c>
      <c r="J2242">
        <v>12.4017509386961</v>
      </c>
      <c r="K2242">
        <v>71.612959719789799</v>
      </c>
      <c r="L2242">
        <v>16.382661572271001</v>
      </c>
      <c r="M2242">
        <v>31.188967148602099</v>
      </c>
      <c r="N2242">
        <v>13.950262744455999</v>
      </c>
      <c r="O2242">
        <v>17.2387042003839</v>
      </c>
      <c r="P2242">
        <v>24.2733796448716</v>
      </c>
      <c r="Q2242">
        <v>21.0658496382358</v>
      </c>
      <c r="R2242">
        <v>24.7889663943476</v>
      </c>
      <c r="S2242">
        <v>20.750262218682401</v>
      </c>
      <c r="T2242">
        <v>950.98774080560395</v>
      </c>
      <c r="U2242">
        <v>179.31173380035</v>
      </c>
      <c r="V2242">
        <v>6</v>
      </c>
      <c r="W2242">
        <v>74</v>
      </c>
      <c r="X2242">
        <v>448.18388791593702</v>
      </c>
      <c r="Y2242">
        <v>36.213660245183902</v>
      </c>
      <c r="Z2242">
        <v>369.728546409807</v>
      </c>
      <c r="AA2242">
        <v>37.231173380035003</v>
      </c>
      <c r="AB2242">
        <v>38.985994729811999</v>
      </c>
      <c r="AC2242">
        <v>1.6223245817391999E-2</v>
      </c>
      <c r="AD2242">
        <v>7.2335300570820404</v>
      </c>
      <c r="AE2242">
        <v>0.288196756522417</v>
      </c>
      <c r="AF2242">
        <v>739.09632224168104</v>
      </c>
      <c r="AG2242">
        <f>IFERROR(AH2242*0.1, "N/A")</f>
        <v>6.3826619964973705</v>
      </c>
      <c r="AH2242">
        <v>63.826619964973702</v>
      </c>
      <c r="AI2242">
        <v>138.754908693651</v>
      </c>
      <c r="AJ2242">
        <v>33.409807355516598</v>
      </c>
      <c r="AK2242">
        <v>45.653239929947503</v>
      </c>
    </row>
    <row r="2243" spans="1:37" x14ac:dyDescent="0.3">
      <c r="A2243">
        <v>2242</v>
      </c>
      <c r="B2243">
        <v>0</v>
      </c>
      <c r="C2243">
        <v>37.366698999999997</v>
      </c>
      <c r="D2243">
        <v>-6.2166699999999997</v>
      </c>
      <c r="E2243" t="s">
        <v>3900</v>
      </c>
      <c r="F2243" t="s">
        <v>3902</v>
      </c>
      <c r="G2243" t="s">
        <v>37</v>
      </c>
      <c r="H2243">
        <v>2008</v>
      </c>
      <c r="I2243">
        <v>23.050262888759701</v>
      </c>
      <c r="J2243">
        <v>12.4017509386961</v>
      </c>
      <c r="K2243">
        <v>71.612959719789799</v>
      </c>
      <c r="L2243">
        <v>16.382661572271001</v>
      </c>
      <c r="M2243">
        <v>31.188967148602099</v>
      </c>
      <c r="N2243">
        <v>13.950262744455999</v>
      </c>
      <c r="O2243">
        <v>17.2387042003839</v>
      </c>
      <c r="P2243">
        <v>24.2733796448716</v>
      </c>
      <c r="Q2243">
        <v>21.0658496382358</v>
      </c>
      <c r="R2243">
        <v>24.7889663943476</v>
      </c>
      <c r="S2243">
        <v>20.750262218682401</v>
      </c>
      <c r="T2243">
        <v>950.98774080560395</v>
      </c>
      <c r="U2243">
        <v>179.31173380035</v>
      </c>
      <c r="V2243">
        <v>6</v>
      </c>
      <c r="W2243">
        <v>74</v>
      </c>
      <c r="X2243">
        <v>448.18388791593702</v>
      </c>
      <c r="Y2243">
        <v>36.213660245183902</v>
      </c>
      <c r="Z2243">
        <v>369.728546409807</v>
      </c>
      <c r="AA2243">
        <v>37.231173380035003</v>
      </c>
      <c r="AB2243">
        <v>38.985994729811999</v>
      </c>
      <c r="AC2243">
        <v>1.6223245817391999E-2</v>
      </c>
      <c r="AD2243">
        <v>7.2335300570820404</v>
      </c>
      <c r="AE2243">
        <v>0.288196756522417</v>
      </c>
      <c r="AF2243">
        <v>739.09632224168104</v>
      </c>
      <c r="AG2243">
        <f>IFERROR(AH2243*0.1, "N/A")</f>
        <v>6.3826619964973705</v>
      </c>
      <c r="AH2243">
        <v>63.826619964973702</v>
      </c>
      <c r="AI2243">
        <v>138.754908693651</v>
      </c>
      <c r="AJ2243">
        <v>33.409807355516598</v>
      </c>
      <c r="AK2243">
        <v>45.653239929947503</v>
      </c>
    </row>
    <row r="2244" spans="1:37" x14ac:dyDescent="0.3">
      <c r="A2244">
        <v>2243</v>
      </c>
      <c r="B2244">
        <v>50</v>
      </c>
      <c r="C2244">
        <v>33.849997999999999</v>
      </c>
      <c r="D2244">
        <v>-6.2833300000000003</v>
      </c>
      <c r="E2244" t="s">
        <v>3903</v>
      </c>
      <c r="F2244" t="s">
        <v>3904</v>
      </c>
      <c r="G2244" t="s">
        <v>39</v>
      </c>
      <c r="H2244">
        <v>2008</v>
      </c>
      <c r="I2244">
        <v>21.141259233434699</v>
      </c>
      <c r="J2244">
        <v>12.1000003814697</v>
      </c>
      <c r="K2244">
        <v>69</v>
      </c>
      <c r="L2244">
        <v>12.030139813056399</v>
      </c>
      <c r="M2244">
        <v>29.5388113368641</v>
      </c>
      <c r="N2244">
        <v>12.124126117546201</v>
      </c>
      <c r="O2244">
        <v>17.414684989235599</v>
      </c>
      <c r="P2244">
        <v>21.641259233434699</v>
      </c>
      <c r="Q2244">
        <v>19.424125584689101</v>
      </c>
      <c r="R2244">
        <v>22.6171333139593</v>
      </c>
      <c r="S2244">
        <v>19.424125584689101</v>
      </c>
      <c r="T2244">
        <v>663.40209790209803</v>
      </c>
      <c r="U2244">
        <v>147.73426573426599</v>
      </c>
      <c r="V2244">
        <v>0</v>
      </c>
      <c r="W2244">
        <v>108.024475524476</v>
      </c>
      <c r="X2244">
        <v>417.444055944056</v>
      </c>
      <c r="Y2244">
        <v>0</v>
      </c>
      <c r="Z2244">
        <v>193.32167832167801</v>
      </c>
      <c r="AA2244">
        <v>0</v>
      </c>
      <c r="AB2244">
        <v>17.225131801791999</v>
      </c>
      <c r="AC2244">
        <v>2.0501047744044001E-2</v>
      </c>
      <c r="AD2244">
        <v>1.5815228857360499</v>
      </c>
      <c r="AE2244">
        <v>0.17839068174362199</v>
      </c>
      <c r="AF2244">
        <v>1448.5349650349599</v>
      </c>
      <c r="AG2244">
        <f>IFERROR(AH2244*0.1, "N/A")</f>
        <v>5.5870629370629405</v>
      </c>
      <c r="AH2244">
        <v>55.870629370629402</v>
      </c>
      <c r="AI2244">
        <v>126.910730988829</v>
      </c>
      <c r="AJ2244">
        <v>19.1958041958042</v>
      </c>
      <c r="AK2244">
        <v>69.874125874125895</v>
      </c>
    </row>
    <row r="2245" spans="1:37" x14ac:dyDescent="0.3">
      <c r="A2245">
        <v>2244</v>
      </c>
      <c r="B2245">
        <v>0</v>
      </c>
      <c r="C2245">
        <v>33.849997999999999</v>
      </c>
      <c r="D2245">
        <v>-6.2833300000000003</v>
      </c>
      <c r="E2245" t="s">
        <v>3903</v>
      </c>
      <c r="F2245" t="s">
        <v>3905</v>
      </c>
      <c r="G2245" t="s">
        <v>37</v>
      </c>
      <c r="H2245">
        <v>2008</v>
      </c>
      <c r="I2245">
        <v>21.141259233434699</v>
      </c>
      <c r="J2245">
        <v>12.1000003814697</v>
      </c>
      <c r="K2245">
        <v>69</v>
      </c>
      <c r="L2245">
        <v>12.030139813056399</v>
      </c>
      <c r="M2245">
        <v>29.5388113368641</v>
      </c>
      <c r="N2245">
        <v>12.124126117546201</v>
      </c>
      <c r="O2245">
        <v>17.414684989235599</v>
      </c>
      <c r="P2245">
        <v>21.641259233434699</v>
      </c>
      <c r="Q2245">
        <v>19.424125584689101</v>
      </c>
      <c r="R2245">
        <v>22.6171333139593</v>
      </c>
      <c r="S2245">
        <v>19.424125584689101</v>
      </c>
      <c r="T2245">
        <v>663.40209790209803</v>
      </c>
      <c r="U2245">
        <v>147.73426573426599</v>
      </c>
      <c r="V2245">
        <v>0</v>
      </c>
      <c r="W2245">
        <v>108.024475524476</v>
      </c>
      <c r="X2245">
        <v>417.444055944056</v>
      </c>
      <c r="Y2245">
        <v>0</v>
      </c>
      <c r="Z2245">
        <v>193.32167832167801</v>
      </c>
      <c r="AA2245">
        <v>0</v>
      </c>
      <c r="AB2245">
        <v>17.225131801791999</v>
      </c>
      <c r="AC2245">
        <v>2.0501047744044001E-2</v>
      </c>
      <c r="AD2245">
        <v>1.5815228857360499</v>
      </c>
      <c r="AE2245">
        <v>0.17839068174362199</v>
      </c>
      <c r="AF2245">
        <v>1448.5349650349599</v>
      </c>
      <c r="AG2245">
        <f>IFERROR(AH2245*0.1, "N/A")</f>
        <v>5.5870629370629405</v>
      </c>
      <c r="AH2245">
        <v>55.870629370629402</v>
      </c>
      <c r="AI2245">
        <v>126.910730988829</v>
      </c>
      <c r="AJ2245">
        <v>19.1958041958042</v>
      </c>
      <c r="AK2245">
        <v>69.874125874125895</v>
      </c>
    </row>
    <row r="2246" spans="1:37" x14ac:dyDescent="0.3">
      <c r="A2246">
        <v>2245</v>
      </c>
      <c r="B2246">
        <v>42.700001</v>
      </c>
      <c r="C2246">
        <v>32.762698999999998</v>
      </c>
      <c r="D2246">
        <v>-8.8028899999999997</v>
      </c>
      <c r="E2246" t="s">
        <v>3906</v>
      </c>
      <c r="F2246" t="s">
        <v>3907</v>
      </c>
      <c r="G2246" t="s">
        <v>39</v>
      </c>
      <c r="H2246">
        <v>2008</v>
      </c>
      <c r="I2246">
        <v>20.5</v>
      </c>
      <c r="J2246">
        <v>11.3999996185303</v>
      </c>
      <c r="K2246">
        <v>67</v>
      </c>
      <c r="L2246">
        <v>11.5100002288818</v>
      </c>
      <c r="M2246">
        <v>29</v>
      </c>
      <c r="N2246">
        <v>12.199999809265099</v>
      </c>
      <c r="O2246">
        <v>16.799999237060501</v>
      </c>
      <c r="P2246">
        <v>20.799999237060501</v>
      </c>
      <c r="Q2246">
        <v>18.899999618530298</v>
      </c>
      <c r="R2246">
        <v>21.899999618530298</v>
      </c>
      <c r="S2246">
        <v>18.899999618530298</v>
      </c>
      <c r="T2246">
        <v>1090</v>
      </c>
      <c r="U2246">
        <v>219</v>
      </c>
      <c r="V2246">
        <v>0</v>
      </c>
      <c r="W2246">
        <v>101</v>
      </c>
      <c r="X2246">
        <v>640</v>
      </c>
      <c r="Y2246">
        <v>1</v>
      </c>
      <c r="Z2246">
        <v>312</v>
      </c>
      <c r="AA2246">
        <v>1</v>
      </c>
      <c r="AB2246">
        <v>55.3168347632596</v>
      </c>
      <c r="AC2246">
        <v>8.7853548419900007E-3</v>
      </c>
      <c r="AD2246">
        <v>3.4746540673463802</v>
      </c>
      <c r="AE2246">
        <v>0.54587835073471103</v>
      </c>
      <c r="AF2246">
        <v>1501.3961937716299</v>
      </c>
      <c r="AG2246">
        <f>IFERROR(AH2246*0.1, "N/A")</f>
        <v>6.3223183391003506</v>
      </c>
      <c r="AH2246">
        <v>63.223183391003502</v>
      </c>
      <c r="AI2246">
        <v>83.617048994480101</v>
      </c>
      <c r="AJ2246">
        <v>32.544982698961903</v>
      </c>
      <c r="AK2246">
        <v>52.223183391003502</v>
      </c>
    </row>
    <row r="2247" spans="1:37" x14ac:dyDescent="0.3">
      <c r="A2247">
        <v>2246</v>
      </c>
      <c r="B2247">
        <v>28.5</v>
      </c>
      <c r="C2247">
        <v>33.134701</v>
      </c>
      <c r="D2247">
        <v>-8.9089200000000002</v>
      </c>
      <c r="E2247" t="s">
        <v>3908</v>
      </c>
      <c r="F2247" t="s">
        <v>3909</v>
      </c>
      <c r="G2247" t="s">
        <v>39</v>
      </c>
      <c r="H2247">
        <v>2008</v>
      </c>
      <c r="I2247">
        <v>20.250432253295699</v>
      </c>
      <c r="J2247">
        <v>11.300000190734901</v>
      </c>
      <c r="K2247">
        <v>65</v>
      </c>
      <c r="L2247">
        <v>13.7517444432708</v>
      </c>
      <c r="M2247">
        <v>28.750432253295699</v>
      </c>
      <c r="N2247">
        <v>11.550431730833701</v>
      </c>
      <c r="O2247">
        <v>17.200000762939499</v>
      </c>
      <c r="P2247">
        <v>20.7252162676401</v>
      </c>
      <c r="Q2247">
        <v>18.250432253295699</v>
      </c>
      <c r="R2247">
        <v>21.8252152227161</v>
      </c>
      <c r="S2247">
        <v>18.250432253295699</v>
      </c>
      <c r="T2247">
        <v>1420.2780656304001</v>
      </c>
      <c r="U2247">
        <v>290.00863557858401</v>
      </c>
      <c r="V2247">
        <v>1</v>
      </c>
      <c r="W2247">
        <v>97</v>
      </c>
      <c r="X2247">
        <v>782.76511226252103</v>
      </c>
      <c r="Y2247">
        <v>5.2521588946459401</v>
      </c>
      <c r="Z2247">
        <v>398.50431778929197</v>
      </c>
      <c r="AA2247">
        <v>5.2521588946459401</v>
      </c>
      <c r="AB2247">
        <v>8.9209399709223902</v>
      </c>
      <c r="AC2247">
        <v>0.27519602385318997</v>
      </c>
      <c r="AD2247">
        <v>2.48184034429066</v>
      </c>
      <c r="AE2247">
        <v>0.32271961762291601</v>
      </c>
      <c r="AF2247">
        <v>1375.3609671848001</v>
      </c>
      <c r="AG2247">
        <f>IFERROR(AH2247*0.1, "N/A")</f>
        <v>5.9861830742659805</v>
      </c>
      <c r="AH2247">
        <v>59.861830742659798</v>
      </c>
      <c r="AI2247">
        <v>167.767608089974</v>
      </c>
      <c r="AJ2247">
        <v>37.595854922279798</v>
      </c>
      <c r="AK2247">
        <v>47.063903281519899</v>
      </c>
    </row>
    <row r="2248" spans="1:37" x14ac:dyDescent="0.3">
      <c r="A2248">
        <v>2247</v>
      </c>
      <c r="B2248">
        <v>51.299999</v>
      </c>
      <c r="C2248">
        <v>32.8018</v>
      </c>
      <c r="D2248">
        <v>-8.9376300000000004</v>
      </c>
      <c r="E2248" t="s">
        <v>3910</v>
      </c>
      <c r="F2248" t="s">
        <v>3911</v>
      </c>
      <c r="G2248" t="s">
        <v>39</v>
      </c>
      <c r="H2248">
        <v>2008</v>
      </c>
      <c r="I2248">
        <v>20.600000381469702</v>
      </c>
      <c r="J2248">
        <v>11.199999809265099</v>
      </c>
      <c r="K2248">
        <v>67</v>
      </c>
      <c r="L2248">
        <v>11.560000419616699</v>
      </c>
      <c r="M2248">
        <v>29.100000381469702</v>
      </c>
      <c r="N2248">
        <v>12.3999996185303</v>
      </c>
      <c r="O2248">
        <v>16.700000762939499</v>
      </c>
      <c r="P2248">
        <v>20.899999618530298</v>
      </c>
      <c r="Q2248">
        <v>19</v>
      </c>
      <c r="R2248">
        <v>21.899999618530298</v>
      </c>
      <c r="S2248">
        <v>19</v>
      </c>
      <c r="T2248">
        <v>1136</v>
      </c>
      <c r="U2248">
        <v>228</v>
      </c>
      <c r="V2248">
        <v>0</v>
      </c>
      <c r="W2248">
        <v>98</v>
      </c>
      <c r="X2248">
        <v>652</v>
      </c>
      <c r="Y2248">
        <v>2</v>
      </c>
      <c r="Z2248">
        <v>122</v>
      </c>
      <c r="AA2248">
        <v>2</v>
      </c>
      <c r="AB2248">
        <v>10.2367436700534</v>
      </c>
      <c r="AC2248">
        <v>0.13881148884494299</v>
      </c>
      <c r="AD2248">
        <v>1.18399798355366</v>
      </c>
      <c r="AE2248">
        <v>0.56213531737088795</v>
      </c>
      <c r="AF2248">
        <v>1482.6563039723701</v>
      </c>
      <c r="AG2248">
        <f>IFERROR(AH2248*0.1, "N/A")</f>
        <v>6.1050086355785806</v>
      </c>
      <c r="AH2248">
        <v>61.050086355785801</v>
      </c>
      <c r="AI2248">
        <v>170.93273297245599</v>
      </c>
      <c r="AJ2248">
        <v>28.050086355785801</v>
      </c>
      <c r="AK2248">
        <v>55.601036269430097</v>
      </c>
    </row>
    <row r="2249" spans="1:37" x14ac:dyDescent="0.3">
      <c r="A2249">
        <v>2248</v>
      </c>
      <c r="B2249">
        <v>33.099997999999999</v>
      </c>
      <c r="C2249">
        <v>33.063999000000003</v>
      </c>
      <c r="D2249">
        <v>-8.98339</v>
      </c>
      <c r="E2249" t="s">
        <v>3912</v>
      </c>
      <c r="F2249" t="s">
        <v>3913</v>
      </c>
      <c r="G2249" t="s">
        <v>39</v>
      </c>
      <c r="H2249">
        <v>2008</v>
      </c>
      <c r="I2249">
        <v>19.5</v>
      </c>
      <c r="J2249">
        <v>11.1000003814697</v>
      </c>
      <c r="K2249">
        <v>64</v>
      </c>
      <c r="L2249">
        <v>13.725716678177999</v>
      </c>
      <c r="M2249">
        <v>28.131779431885001</v>
      </c>
      <c r="N2249">
        <v>10.968220949584801</v>
      </c>
      <c r="O2249">
        <v>17.163557876165299</v>
      </c>
      <c r="P2249">
        <v>19.931778668945501</v>
      </c>
      <c r="Q2249">
        <v>17.568221331054499</v>
      </c>
      <c r="R2249">
        <v>21.131779431885001</v>
      </c>
      <c r="S2249">
        <v>17.568221331054499</v>
      </c>
      <c r="T2249">
        <v>1279.95336787565</v>
      </c>
      <c r="U2249">
        <v>248.63557858376501</v>
      </c>
      <c r="V2249">
        <v>1</v>
      </c>
      <c r="W2249">
        <v>95.317789291882605</v>
      </c>
      <c r="X2249">
        <v>706.95336787564804</v>
      </c>
      <c r="Y2249">
        <v>4</v>
      </c>
      <c r="Z2249">
        <v>367.317789291883</v>
      </c>
      <c r="AA2249">
        <v>4</v>
      </c>
      <c r="AB2249">
        <v>11.529888673561601</v>
      </c>
      <c r="AC2249">
        <v>2.2724488732407001E-2</v>
      </c>
      <c r="AD2249">
        <v>2.2458837289678399</v>
      </c>
      <c r="AE2249">
        <v>0.45781255283092198</v>
      </c>
      <c r="AF2249">
        <v>1552.5837651122599</v>
      </c>
      <c r="AG2249">
        <f>IFERROR(AH2249*0.1, "N/A")</f>
        <v>6.0229706390328204</v>
      </c>
      <c r="AH2249">
        <v>60.229706390328197</v>
      </c>
      <c r="AI2249">
        <v>97.317565061473701</v>
      </c>
      <c r="AJ2249">
        <v>30.3229706390328</v>
      </c>
      <c r="AK2249">
        <v>52.677029360967197</v>
      </c>
    </row>
    <row r="2250" spans="1:37" x14ac:dyDescent="0.3">
      <c r="A2250">
        <v>2249</v>
      </c>
      <c r="B2250">
        <v>35</v>
      </c>
      <c r="C2250">
        <v>32.769900999999997</v>
      </c>
      <c r="D2250">
        <v>-9.02928</v>
      </c>
      <c r="E2250" t="s">
        <v>3914</v>
      </c>
      <c r="F2250" t="s">
        <v>3915</v>
      </c>
      <c r="G2250" t="s">
        <v>39</v>
      </c>
      <c r="H2250">
        <v>2008</v>
      </c>
      <c r="I2250">
        <v>21.600000381469702</v>
      </c>
      <c r="J2250">
        <v>11.199999809265099</v>
      </c>
      <c r="K2250">
        <v>67</v>
      </c>
      <c r="L2250">
        <v>11.539999961853001</v>
      </c>
      <c r="M2250">
        <v>30.200000762939499</v>
      </c>
      <c r="N2250">
        <v>13.6000003814697</v>
      </c>
      <c r="O2250">
        <v>16.600000381469702</v>
      </c>
      <c r="P2250">
        <v>21.899999618530298</v>
      </c>
      <c r="Q2250">
        <v>20.100000381469702</v>
      </c>
      <c r="R2250">
        <v>23</v>
      </c>
      <c r="S2250">
        <v>20.100000381469702</v>
      </c>
      <c r="T2250">
        <v>1146</v>
      </c>
      <c r="U2250">
        <v>237</v>
      </c>
      <c r="V2250">
        <v>1</v>
      </c>
      <c r="W2250">
        <v>98</v>
      </c>
      <c r="X2250">
        <v>651</v>
      </c>
      <c r="Y2250">
        <v>6</v>
      </c>
      <c r="Z2250">
        <v>321</v>
      </c>
      <c r="AA2250">
        <v>24</v>
      </c>
      <c r="AB2250">
        <v>78.114761326093998</v>
      </c>
      <c r="AC2250">
        <v>8.444022624536E-3</v>
      </c>
      <c r="AD2250">
        <v>8.8099345516290803</v>
      </c>
      <c r="AE2250">
        <v>0.48730149865150502</v>
      </c>
      <c r="AF2250">
        <v>1342.5632582322401</v>
      </c>
      <c r="AG2250">
        <f>IFERROR(AH2250*0.1, "N/A")</f>
        <v>6.09064124783362</v>
      </c>
      <c r="AH2250">
        <v>60.9064124783362</v>
      </c>
      <c r="AI2250">
        <v>112.51065002653</v>
      </c>
      <c r="AJ2250">
        <v>31.963604852686299</v>
      </c>
      <c r="AK2250">
        <v>55</v>
      </c>
    </row>
    <row r="2251" spans="1:37" x14ac:dyDescent="0.3">
      <c r="A2251">
        <v>2250</v>
      </c>
      <c r="B2251">
        <v>12.1</v>
      </c>
      <c r="C2251">
        <v>33.1646</v>
      </c>
      <c r="D2251">
        <v>-9.0864799999999999</v>
      </c>
      <c r="E2251" t="s">
        <v>3916</v>
      </c>
      <c r="F2251" t="s">
        <v>3917</v>
      </c>
      <c r="G2251" t="s">
        <v>39</v>
      </c>
      <c r="H2251">
        <v>2008</v>
      </c>
      <c r="I2251">
        <v>17.5</v>
      </c>
      <c r="J2251">
        <v>10.699999809265099</v>
      </c>
      <c r="K2251">
        <v>62</v>
      </c>
      <c r="L2251">
        <v>14.329999923706101</v>
      </c>
      <c r="M2251">
        <v>26</v>
      </c>
      <c r="N2251">
        <v>8.8999996185302699</v>
      </c>
      <c r="O2251">
        <v>17.100000381469702</v>
      </c>
      <c r="P2251">
        <v>18.100000381469702</v>
      </c>
      <c r="Q2251">
        <v>15.300000190734901</v>
      </c>
      <c r="R2251">
        <v>19.100000381469702</v>
      </c>
      <c r="S2251">
        <v>15.300000190734901</v>
      </c>
      <c r="T2251">
        <v>1219</v>
      </c>
      <c r="U2251">
        <v>232</v>
      </c>
      <c r="V2251">
        <v>1</v>
      </c>
      <c r="W2251">
        <v>96</v>
      </c>
      <c r="X2251">
        <v>685</v>
      </c>
      <c r="Y2251">
        <v>6</v>
      </c>
      <c r="Z2251">
        <v>348</v>
      </c>
      <c r="AA2251">
        <v>6</v>
      </c>
      <c r="AB2251">
        <v>134.36102189688799</v>
      </c>
      <c r="AC2251">
        <v>2.0378904269429999E-2</v>
      </c>
      <c r="AD2251">
        <v>6.68256642654024</v>
      </c>
      <c r="AE2251">
        <v>0.41086187958717302</v>
      </c>
      <c r="AF2251">
        <v>1913.94310344828</v>
      </c>
      <c r="AG2251">
        <f>IFERROR(AH2251*0.1, "N/A")</f>
        <v>5.5</v>
      </c>
      <c r="AH2251">
        <v>55</v>
      </c>
      <c r="AI2251">
        <v>184.882922711866</v>
      </c>
      <c r="AJ2251">
        <v>31.255172413793101</v>
      </c>
      <c r="AK2251">
        <v>54.489655172413798</v>
      </c>
    </row>
    <row r="2252" spans="1:37" x14ac:dyDescent="0.3">
      <c r="A2252">
        <v>2251</v>
      </c>
      <c r="B2252">
        <v>17.299999</v>
      </c>
      <c r="C2252">
        <v>32.919998</v>
      </c>
      <c r="D2252">
        <v>-9.1007599999999993</v>
      </c>
      <c r="E2252" t="s">
        <v>3918</v>
      </c>
      <c r="F2252" t="s">
        <v>3919</v>
      </c>
      <c r="G2252" t="s">
        <v>39</v>
      </c>
      <c r="H2252">
        <v>2008</v>
      </c>
      <c r="I2252">
        <v>20.0003448289016</v>
      </c>
      <c r="J2252">
        <v>10.9003444474319</v>
      </c>
      <c r="K2252">
        <v>65</v>
      </c>
      <c r="L2252">
        <v>12.261517468814199</v>
      </c>
      <c r="M2252">
        <v>28.700345585263999</v>
      </c>
      <c r="N2252">
        <v>12.0003448289016</v>
      </c>
      <c r="O2252">
        <v>16.700000762939499</v>
      </c>
      <c r="P2252">
        <v>20.3006888948638</v>
      </c>
      <c r="Q2252">
        <v>18.3003440659622</v>
      </c>
      <c r="R2252">
        <v>21.5003448289016</v>
      </c>
      <c r="S2252">
        <v>18.3003440659622</v>
      </c>
      <c r="T2252">
        <v>1220.0413793103401</v>
      </c>
      <c r="U2252">
        <v>238.01379310344799</v>
      </c>
      <c r="V2252">
        <v>1</v>
      </c>
      <c r="W2252">
        <v>94</v>
      </c>
      <c r="X2252">
        <v>673.02068965517196</v>
      </c>
      <c r="Y2252">
        <v>5</v>
      </c>
      <c r="Z2252">
        <v>344.00689655172403</v>
      </c>
      <c r="AA2252">
        <v>5</v>
      </c>
      <c r="AB2252">
        <v>55.263937272696701</v>
      </c>
      <c r="AC2252">
        <v>1.2168660133692E-2</v>
      </c>
      <c r="AD2252">
        <v>4.8972563673709999</v>
      </c>
      <c r="AE2252">
        <v>0.62524729967117298</v>
      </c>
      <c r="AF2252">
        <v>1556.8206896551701</v>
      </c>
      <c r="AG2252">
        <f>IFERROR(AH2252*0.1, "N/A")</f>
        <v>5.9074137931034505</v>
      </c>
      <c r="AH2252">
        <v>59.0741379310345</v>
      </c>
      <c r="AI2252">
        <v>46.291334300205598</v>
      </c>
      <c r="AJ2252">
        <v>35.712068965517197</v>
      </c>
      <c r="AK2252">
        <v>45.906896551724103</v>
      </c>
    </row>
    <row r="2253" spans="1:37" x14ac:dyDescent="0.3">
      <c r="A2253">
        <v>2252</v>
      </c>
      <c r="B2253">
        <v>25.799999</v>
      </c>
      <c r="C2253">
        <v>33.061400999999996</v>
      </c>
      <c r="D2253">
        <v>-9.1217100000000002</v>
      </c>
      <c r="E2253" t="s">
        <v>3920</v>
      </c>
      <c r="F2253" t="s">
        <v>3921</v>
      </c>
      <c r="G2253" t="s">
        <v>39</v>
      </c>
      <c r="H2253">
        <v>2008</v>
      </c>
      <c r="I2253">
        <v>18.899999618530298</v>
      </c>
      <c r="J2253">
        <v>10.800000190734901</v>
      </c>
      <c r="K2253">
        <v>63</v>
      </c>
      <c r="L2253">
        <v>13.7600002288818</v>
      </c>
      <c r="M2253">
        <v>27.5</v>
      </c>
      <c r="N2253">
        <v>10.5</v>
      </c>
      <c r="O2253">
        <v>17</v>
      </c>
      <c r="P2253">
        <v>19.299999237060501</v>
      </c>
      <c r="Q2253">
        <v>16.899999618530298</v>
      </c>
      <c r="R2253">
        <v>20.5</v>
      </c>
      <c r="S2253">
        <v>16.899999618530298</v>
      </c>
      <c r="T2253">
        <v>1239</v>
      </c>
      <c r="U2253">
        <v>232</v>
      </c>
      <c r="V2253">
        <v>1</v>
      </c>
      <c r="W2253">
        <v>93</v>
      </c>
      <c r="X2253">
        <v>675</v>
      </c>
      <c r="Y2253">
        <v>5</v>
      </c>
      <c r="Z2253">
        <v>353</v>
      </c>
      <c r="AA2253">
        <v>5</v>
      </c>
      <c r="AB2253">
        <v>32.8773358090939</v>
      </c>
      <c r="AC2253">
        <v>1.1319163508365E-2</v>
      </c>
      <c r="AD2253">
        <v>10.0854083180015</v>
      </c>
      <c r="AE2253">
        <v>0.57624018192291304</v>
      </c>
      <c r="AF2253">
        <v>1694.95155709343</v>
      </c>
      <c r="AG2253">
        <f>IFERROR(AH2253*0.1, "N/A")</f>
        <v>5.7022491349481008</v>
      </c>
      <c r="AH2253">
        <v>57.022491349481001</v>
      </c>
      <c r="AI2253">
        <v>158.461524488192</v>
      </c>
      <c r="AJ2253">
        <v>33.667820069204197</v>
      </c>
      <c r="AK2253">
        <v>47.332179930795803</v>
      </c>
    </row>
    <row r="2254" spans="1:37" x14ac:dyDescent="0.3">
      <c r="A2254">
        <v>2253</v>
      </c>
      <c r="B2254">
        <v>38.799999</v>
      </c>
      <c r="C2254">
        <v>32.857601000000003</v>
      </c>
      <c r="D2254">
        <v>-9.2126900000000003</v>
      </c>
      <c r="E2254" t="s">
        <v>3922</v>
      </c>
      <c r="F2254" t="s">
        <v>3923</v>
      </c>
      <c r="G2254" t="s">
        <v>39</v>
      </c>
      <c r="H2254">
        <v>2008</v>
      </c>
      <c r="I2254">
        <v>20.899999618530298</v>
      </c>
      <c r="J2254">
        <v>10.800000190734901</v>
      </c>
      <c r="K2254">
        <v>66</v>
      </c>
      <c r="L2254">
        <v>11.939999580383301</v>
      </c>
      <c r="M2254">
        <v>29.5</v>
      </c>
      <c r="N2254">
        <v>13.199999809265099</v>
      </c>
      <c r="O2254">
        <v>16.299999237060501</v>
      </c>
      <c r="P2254">
        <v>21.100000381469702</v>
      </c>
      <c r="Q2254">
        <v>19.299999237060501</v>
      </c>
      <c r="R2254">
        <v>22.299999237060501</v>
      </c>
      <c r="S2254">
        <v>19.299999237060501</v>
      </c>
      <c r="T2254">
        <v>1150</v>
      </c>
      <c r="U2254">
        <v>230</v>
      </c>
      <c r="V2254">
        <v>1</v>
      </c>
      <c r="W2254">
        <v>95</v>
      </c>
      <c r="X2254">
        <v>643</v>
      </c>
      <c r="Y2254">
        <v>6</v>
      </c>
      <c r="Z2254">
        <v>128</v>
      </c>
      <c r="AA2254">
        <v>32</v>
      </c>
      <c r="AB2254">
        <v>53.9425564469962</v>
      </c>
      <c r="AC2254">
        <v>0.111697107158473</v>
      </c>
      <c r="AD2254">
        <v>1.4081216327075301</v>
      </c>
      <c r="AE2254">
        <v>0.66511362791061401</v>
      </c>
      <c r="AF2254">
        <v>1467.2120689655201</v>
      </c>
      <c r="AG2254">
        <f>IFERROR(AH2254*0.1, "N/A")</f>
        <v>6.5143103448275896</v>
      </c>
      <c r="AH2254">
        <v>65.143103448275895</v>
      </c>
      <c r="AI2254">
        <v>155.75087135577999</v>
      </c>
      <c r="AJ2254">
        <v>35</v>
      </c>
      <c r="AK2254">
        <v>45.713793103448303</v>
      </c>
    </row>
    <row r="2255" spans="1:37" x14ac:dyDescent="0.3">
      <c r="A2255">
        <v>2254</v>
      </c>
      <c r="B2255">
        <v>27.1</v>
      </c>
      <c r="C2255">
        <v>33.056598999999999</v>
      </c>
      <c r="D2255">
        <v>-9.2563600000000008</v>
      </c>
      <c r="E2255" t="s">
        <v>3924</v>
      </c>
      <c r="F2255" t="s">
        <v>3925</v>
      </c>
      <c r="G2255" t="s">
        <v>39</v>
      </c>
      <c r="H2255">
        <v>2008</v>
      </c>
      <c r="I2255">
        <v>20.299999237060501</v>
      </c>
      <c r="J2255">
        <v>10.800000190734901</v>
      </c>
      <c r="K2255">
        <v>64</v>
      </c>
      <c r="L2255">
        <v>13.6000003814697</v>
      </c>
      <c r="M2255">
        <v>28.899999618530298</v>
      </c>
      <c r="N2255">
        <v>12.199999809265099</v>
      </c>
      <c r="O2255">
        <v>16.700000762939499</v>
      </c>
      <c r="P2255">
        <v>20.700000762939499</v>
      </c>
      <c r="Q2255">
        <v>18.299999237060501</v>
      </c>
      <c r="R2255">
        <v>21.899999618530298</v>
      </c>
      <c r="S2255">
        <v>18.299999237060501</v>
      </c>
      <c r="T2255">
        <v>1313</v>
      </c>
      <c r="U2255">
        <v>253</v>
      </c>
      <c r="V2255">
        <v>2</v>
      </c>
      <c r="W2255">
        <v>91</v>
      </c>
      <c r="X2255">
        <v>696</v>
      </c>
      <c r="Y2255">
        <v>14</v>
      </c>
      <c r="Z2255">
        <v>360</v>
      </c>
      <c r="AA2255">
        <v>14</v>
      </c>
      <c r="AB2255">
        <v>12.124671316723299</v>
      </c>
      <c r="AC2255">
        <v>2.8205691852103398</v>
      </c>
      <c r="AD2255">
        <v>8.4675034459596699</v>
      </c>
      <c r="AE2255">
        <v>0.35723966360092202</v>
      </c>
      <c r="AF2255">
        <v>1450.9188255613101</v>
      </c>
      <c r="AG2255">
        <f>IFERROR(AH2255*0.1, "N/A")</f>
        <v>5.71658031088083</v>
      </c>
      <c r="AH2255">
        <v>57.165803108808298</v>
      </c>
      <c r="AI2255">
        <v>85.274267865380295</v>
      </c>
      <c r="AJ2255">
        <v>30.823834196891202</v>
      </c>
      <c r="AK2255">
        <v>52.512953367875703</v>
      </c>
    </row>
    <row r="2256" spans="1:37" x14ac:dyDescent="0.3">
      <c r="A2256">
        <v>2255</v>
      </c>
      <c r="B2256">
        <v>10.199999999999999</v>
      </c>
      <c r="C2256">
        <v>39.281399</v>
      </c>
      <c r="D2256">
        <v>-5.9520999999999997</v>
      </c>
      <c r="E2256" t="s">
        <v>3926</v>
      </c>
      <c r="F2256" t="s">
        <v>3927</v>
      </c>
      <c r="G2256" t="s">
        <v>39</v>
      </c>
      <c r="H2256">
        <v>2009</v>
      </c>
      <c r="I2256">
        <v>27.100000381469702</v>
      </c>
      <c r="J2256">
        <v>9.1999998092651403</v>
      </c>
      <c r="K2256">
        <v>68</v>
      </c>
      <c r="L2256">
        <v>12.930000305175801</v>
      </c>
      <c r="M2256">
        <v>34</v>
      </c>
      <c r="N2256">
        <v>20.5</v>
      </c>
      <c r="O2256">
        <v>13.5</v>
      </c>
      <c r="P2256">
        <v>27.799999237060501</v>
      </c>
      <c r="Q2256">
        <v>25.299999237060501</v>
      </c>
      <c r="R2256">
        <v>28.700000762939499</v>
      </c>
      <c r="S2256">
        <v>25.299999237060501</v>
      </c>
      <c r="T2256">
        <v>1768</v>
      </c>
      <c r="U2256">
        <v>428</v>
      </c>
      <c r="V2256">
        <v>55</v>
      </c>
      <c r="W2256">
        <v>80</v>
      </c>
      <c r="X2256">
        <v>988</v>
      </c>
      <c r="Y2256">
        <v>187</v>
      </c>
      <c r="Z2256">
        <v>338</v>
      </c>
      <c r="AA2256">
        <v>187</v>
      </c>
      <c r="AB2256">
        <v>21.7395109029917</v>
      </c>
      <c r="AC2256">
        <v>1.1654041932204999E-2</v>
      </c>
      <c r="AD2256">
        <v>4.3371064963040702</v>
      </c>
      <c r="AE2256">
        <v>0.368727147579193</v>
      </c>
      <c r="AF2256">
        <v>88.451048951049003</v>
      </c>
      <c r="AG2256">
        <f>IFERROR(AH2256*0.1, "N/A")</f>
        <v>5.4608391608391607</v>
      </c>
      <c r="AH2256">
        <v>54.608391608391599</v>
      </c>
      <c r="AI2256">
        <v>216.82191291222199</v>
      </c>
      <c r="AJ2256">
        <v>25.608391608391599</v>
      </c>
      <c r="AK2256">
        <v>60</v>
      </c>
    </row>
    <row r="2257" spans="1:37" x14ac:dyDescent="0.3">
      <c r="A2257">
        <v>2256</v>
      </c>
      <c r="B2257">
        <v>0</v>
      </c>
      <c r="C2257">
        <v>39.468201000000001</v>
      </c>
      <c r="D2257">
        <v>-6.3030099999999996</v>
      </c>
      <c r="E2257" t="s">
        <v>3928</v>
      </c>
      <c r="F2257" t="s">
        <v>3929</v>
      </c>
      <c r="G2257" t="s">
        <v>39</v>
      </c>
      <c r="H2257">
        <v>2009</v>
      </c>
      <c r="I2257">
        <v>27.600000381469702</v>
      </c>
      <c r="J2257">
        <v>8.5</v>
      </c>
      <c r="K2257">
        <v>68</v>
      </c>
      <c r="L2257">
        <v>12.789999961853001</v>
      </c>
      <c r="M2257">
        <v>33.900001525878899</v>
      </c>
      <c r="N2257">
        <v>21.399999618530298</v>
      </c>
      <c r="O2257">
        <v>12.5</v>
      </c>
      <c r="P2257">
        <v>28.200000762939499</v>
      </c>
      <c r="Q2257">
        <v>25.799999237060501</v>
      </c>
      <c r="R2257">
        <v>29.100000381469702</v>
      </c>
      <c r="S2257">
        <v>25.799999237060501</v>
      </c>
      <c r="T2257">
        <v>1484</v>
      </c>
      <c r="U2257">
        <v>405</v>
      </c>
      <c r="V2257">
        <v>29</v>
      </c>
      <c r="W2257">
        <v>90</v>
      </c>
      <c r="X2257">
        <v>872</v>
      </c>
      <c r="Y2257">
        <v>117</v>
      </c>
      <c r="Z2257">
        <v>290</v>
      </c>
      <c r="AA2257">
        <v>117</v>
      </c>
      <c r="AB2257">
        <v>2.7552440883396399</v>
      </c>
      <c r="AC2257">
        <v>7.3266140165757998E-2</v>
      </c>
      <c r="AD2257">
        <v>1.15331085766112</v>
      </c>
      <c r="AE2257">
        <v>0.217985965337578</v>
      </c>
      <c r="AF2257">
        <v>26.194055944055901</v>
      </c>
      <c r="AG2257">
        <f>IFERROR(AH2257*0.1, "N/A")</f>
        <v>5.2113636363636404</v>
      </c>
      <c r="AH2257">
        <v>52.113636363636402</v>
      </c>
      <c r="AI2257">
        <v>159.82815405038701</v>
      </c>
      <c r="AJ2257">
        <v>26.438811188811201</v>
      </c>
      <c r="AK2257">
        <v>56.833916083916101</v>
      </c>
    </row>
    <row r="2258" spans="1:37" x14ac:dyDescent="0.3">
      <c r="A2258">
        <v>2257</v>
      </c>
      <c r="B2258">
        <v>0</v>
      </c>
      <c r="C2258">
        <v>39.283999999999999</v>
      </c>
      <c r="D2258">
        <v>-5.9314999999999998</v>
      </c>
      <c r="E2258" t="s">
        <v>3930</v>
      </c>
      <c r="F2258" t="s">
        <v>3931</v>
      </c>
      <c r="G2258" t="s">
        <v>39</v>
      </c>
      <c r="H2258">
        <v>2008</v>
      </c>
      <c r="I2258">
        <v>27.100000381469702</v>
      </c>
      <c r="J2258">
        <v>9.1999998092651403</v>
      </c>
      <c r="K2258">
        <v>68</v>
      </c>
      <c r="L2258">
        <v>12.9196859329783</v>
      </c>
      <c r="M2258">
        <v>34</v>
      </c>
      <c r="N2258">
        <v>20.5</v>
      </c>
      <c r="O2258">
        <v>13.5</v>
      </c>
      <c r="P2258">
        <v>27.703142076262601</v>
      </c>
      <c r="Q2258">
        <v>25.299999237060501</v>
      </c>
      <c r="R2258">
        <v>28.700000762939499</v>
      </c>
      <c r="S2258">
        <v>25.299999237060501</v>
      </c>
      <c r="T2258">
        <v>1752.5602094240801</v>
      </c>
      <c r="U2258">
        <v>427.81151832460699</v>
      </c>
      <c r="V2258">
        <v>55.031413612565402</v>
      </c>
      <c r="W2258">
        <v>80</v>
      </c>
      <c r="X2258">
        <v>978.65445026177997</v>
      </c>
      <c r="Y2258">
        <v>190</v>
      </c>
      <c r="Z2258">
        <v>326.96858638743498</v>
      </c>
      <c r="AA2258">
        <v>190</v>
      </c>
      <c r="AB2258">
        <v>26.9855159340105</v>
      </c>
      <c r="AC2258">
        <v>1.0565688453263999E-2</v>
      </c>
      <c r="AD2258">
        <v>4.0996521813291098</v>
      </c>
      <c r="AE2258">
        <v>0.40166282653808599</v>
      </c>
      <c r="AF2258">
        <v>86.129144851657898</v>
      </c>
      <c r="AG2258">
        <f>IFERROR(AH2258*0.1, "N/A")</f>
        <v>5.5062827225130908</v>
      </c>
      <c r="AH2258">
        <v>55.062827225130903</v>
      </c>
      <c r="AI2258">
        <v>297.35668505923297</v>
      </c>
      <c r="AJ2258">
        <v>24.968586387434598</v>
      </c>
      <c r="AK2258">
        <v>61.968586387434499</v>
      </c>
    </row>
    <row r="2259" spans="1:37" x14ac:dyDescent="0.3">
      <c r="A2259">
        <v>2258</v>
      </c>
      <c r="B2259">
        <v>5.4</v>
      </c>
      <c r="C2259">
        <v>39.301498000000002</v>
      </c>
      <c r="D2259">
        <v>-5.9364999999999997</v>
      </c>
      <c r="E2259" t="s">
        <v>3932</v>
      </c>
      <c r="F2259" t="s">
        <v>3933</v>
      </c>
      <c r="G2259" t="s">
        <v>39</v>
      </c>
      <c r="H2259">
        <v>2008</v>
      </c>
      <c r="I2259">
        <v>27.100000381469702</v>
      </c>
      <c r="J2259">
        <v>9.1999998092651403</v>
      </c>
      <c r="K2259">
        <v>68</v>
      </c>
      <c r="L2259">
        <v>12.9799995422363</v>
      </c>
      <c r="M2259">
        <v>34</v>
      </c>
      <c r="N2259">
        <v>20.600000381469702</v>
      </c>
      <c r="O2259">
        <v>13.3999996185303</v>
      </c>
      <c r="P2259">
        <v>27.700000762939499</v>
      </c>
      <c r="Q2259">
        <v>25.299999237060501</v>
      </c>
      <c r="R2259">
        <v>28.700000762939499</v>
      </c>
      <c r="S2259">
        <v>25.299999237060501</v>
      </c>
      <c r="T2259">
        <v>1780</v>
      </c>
      <c r="U2259">
        <v>442</v>
      </c>
      <c r="V2259">
        <v>53</v>
      </c>
      <c r="W2259">
        <v>82</v>
      </c>
      <c r="X2259">
        <v>1005</v>
      </c>
      <c r="Y2259">
        <v>186</v>
      </c>
      <c r="Z2259">
        <v>332</v>
      </c>
      <c r="AA2259">
        <v>186</v>
      </c>
      <c r="AB2259">
        <v>12.490544568010099</v>
      </c>
      <c r="AC2259">
        <v>3.4309535442269001E-2</v>
      </c>
      <c r="AD2259">
        <v>1.6759710178275</v>
      </c>
      <c r="AE2259">
        <v>0.41102465533124599</v>
      </c>
      <c r="AF2259">
        <v>75.8073555166375</v>
      </c>
      <c r="AG2259">
        <f>IFERROR(AH2259*0.1, "N/A")</f>
        <v>5.6180385288966699</v>
      </c>
      <c r="AH2259">
        <v>56.180385288966697</v>
      </c>
      <c r="AI2259">
        <v>161.97198392797901</v>
      </c>
      <c r="AJ2259">
        <v>21.360770577933401</v>
      </c>
      <c r="AK2259">
        <v>64.656742556917706</v>
      </c>
    </row>
    <row r="2260" spans="1:37" x14ac:dyDescent="0.3">
      <c r="A2260">
        <v>2259</v>
      </c>
      <c r="B2260">
        <v>0</v>
      </c>
      <c r="C2260">
        <v>39.340198999999998</v>
      </c>
      <c r="D2260">
        <v>-5.9372999999999996</v>
      </c>
      <c r="E2260" t="s">
        <v>3934</v>
      </c>
      <c r="F2260" t="s">
        <v>3935</v>
      </c>
      <c r="G2260" t="s">
        <v>39</v>
      </c>
      <c r="H2260">
        <v>2008</v>
      </c>
      <c r="I2260">
        <v>27.299999237060501</v>
      </c>
      <c r="J2260">
        <v>9.1000003814697301</v>
      </c>
      <c r="K2260">
        <v>67</v>
      </c>
      <c r="L2260">
        <v>12.6000003814697</v>
      </c>
      <c r="M2260">
        <v>34.200000762939503</v>
      </c>
      <c r="N2260">
        <v>20.799999237060501</v>
      </c>
      <c r="O2260">
        <v>13.3999996185303</v>
      </c>
      <c r="P2260">
        <v>28</v>
      </c>
      <c r="Q2260">
        <v>25.600000381469702</v>
      </c>
      <c r="R2260">
        <v>28.899999618530298</v>
      </c>
      <c r="S2260">
        <v>25.600000381469702</v>
      </c>
      <c r="T2260">
        <v>1778</v>
      </c>
      <c r="U2260">
        <v>454</v>
      </c>
      <c r="V2260">
        <v>50</v>
      </c>
      <c r="W2260">
        <v>84</v>
      </c>
      <c r="X2260">
        <v>1015</v>
      </c>
      <c r="Y2260">
        <v>182</v>
      </c>
      <c r="Z2260">
        <v>323</v>
      </c>
      <c r="AA2260">
        <v>182</v>
      </c>
      <c r="AB2260">
        <v>20.992494380078799</v>
      </c>
      <c r="AC2260">
        <v>1.7554895630526E-2</v>
      </c>
      <c r="AD2260">
        <v>1.3582960518034799</v>
      </c>
      <c r="AE2260">
        <v>0.45656066477610802</v>
      </c>
      <c r="AF2260">
        <v>65.862129144851707</v>
      </c>
      <c r="AG2260">
        <f>IFERROR(AH2260*0.1, "N/A")</f>
        <v>6.0752181500872604</v>
      </c>
      <c r="AH2260">
        <v>60.752181500872602</v>
      </c>
      <c r="AI2260">
        <v>212.82376447481201</v>
      </c>
      <c r="AJ2260">
        <v>22.247818499127401</v>
      </c>
      <c r="AK2260">
        <v>63.247818499127398</v>
      </c>
    </row>
    <row r="2261" spans="1:37" x14ac:dyDescent="0.3">
      <c r="A2261">
        <v>2260</v>
      </c>
      <c r="B2261">
        <v>5.0999999999999996</v>
      </c>
      <c r="C2261">
        <v>39.302700000000002</v>
      </c>
      <c r="D2261">
        <v>-5.9469000000000003</v>
      </c>
      <c r="E2261" t="s">
        <v>3936</v>
      </c>
      <c r="F2261" t="s">
        <v>3937</v>
      </c>
      <c r="G2261" t="s">
        <v>39</v>
      </c>
      <c r="H2261">
        <v>2008</v>
      </c>
      <c r="I2261">
        <v>27.100000381469702</v>
      </c>
      <c r="J2261">
        <v>9.1999998092651403</v>
      </c>
      <c r="K2261">
        <v>68</v>
      </c>
      <c r="L2261">
        <v>12.829999923706101</v>
      </c>
      <c r="M2261">
        <v>34</v>
      </c>
      <c r="N2261">
        <v>20.5</v>
      </c>
      <c r="O2261">
        <v>13.5</v>
      </c>
      <c r="P2261">
        <v>27.799999237060501</v>
      </c>
      <c r="Q2261">
        <v>25.299999237060501</v>
      </c>
      <c r="R2261">
        <v>28.700000762939499</v>
      </c>
      <c r="S2261">
        <v>25.299999237060501</v>
      </c>
      <c r="T2261">
        <v>1790</v>
      </c>
      <c r="U2261">
        <v>448</v>
      </c>
      <c r="V2261">
        <v>52</v>
      </c>
      <c r="W2261">
        <v>82</v>
      </c>
      <c r="X2261">
        <v>1014</v>
      </c>
      <c r="Y2261">
        <v>184</v>
      </c>
      <c r="Z2261">
        <v>333</v>
      </c>
      <c r="AA2261">
        <v>184</v>
      </c>
      <c r="AB2261">
        <v>7.1785710696974698</v>
      </c>
      <c r="AC2261">
        <v>3.0974449940311E-2</v>
      </c>
      <c r="AD2261">
        <v>1.72991714971822</v>
      </c>
      <c r="AE2261">
        <v>0.41216835379600503</v>
      </c>
      <c r="AF2261">
        <v>70.290940766550506</v>
      </c>
      <c r="AG2261">
        <f>IFERROR(AH2261*0.1, "N/A")</f>
        <v>5.5533101045296203</v>
      </c>
      <c r="AH2261">
        <v>55.533101045296199</v>
      </c>
      <c r="AI2261">
        <v>149.91825725807999</v>
      </c>
      <c r="AJ2261">
        <v>25.104529616724701</v>
      </c>
      <c r="AK2261">
        <v>59.945993031358903</v>
      </c>
    </row>
    <row r="2262" spans="1:37" x14ac:dyDescent="0.3">
      <c r="A2262">
        <v>2261</v>
      </c>
      <c r="B2262">
        <v>33.299999</v>
      </c>
      <c r="C2262">
        <v>39.322701000000002</v>
      </c>
      <c r="D2262">
        <v>-6.01891</v>
      </c>
      <c r="E2262" t="s">
        <v>3938</v>
      </c>
      <c r="F2262" t="s">
        <v>3939</v>
      </c>
      <c r="G2262" t="s">
        <v>39</v>
      </c>
      <c r="H2262">
        <v>2009</v>
      </c>
      <c r="I2262">
        <v>27.200000762939499</v>
      </c>
      <c r="J2262">
        <v>9.1000003814697301</v>
      </c>
      <c r="K2262">
        <v>67</v>
      </c>
      <c r="L2262">
        <v>12.5200004577637</v>
      </c>
      <c r="M2262">
        <v>34.099998474121101</v>
      </c>
      <c r="N2262">
        <v>20.600000381469702</v>
      </c>
      <c r="O2262">
        <v>13.5</v>
      </c>
      <c r="P2262">
        <v>27.899999618530298</v>
      </c>
      <c r="Q2262">
        <v>25.5</v>
      </c>
      <c r="R2262">
        <v>28.799999237060501</v>
      </c>
      <c r="S2262">
        <v>25.5</v>
      </c>
      <c r="T2262">
        <v>1784</v>
      </c>
      <c r="U2262">
        <v>430</v>
      </c>
      <c r="V2262">
        <v>54</v>
      </c>
      <c r="W2262">
        <v>79</v>
      </c>
      <c r="X2262">
        <v>992</v>
      </c>
      <c r="Y2262">
        <v>180</v>
      </c>
      <c r="Z2262">
        <v>347</v>
      </c>
      <c r="AA2262">
        <v>180</v>
      </c>
      <c r="AB2262">
        <v>1.05576898668196</v>
      </c>
      <c r="AC2262">
        <v>0.27957372829135702</v>
      </c>
      <c r="AD2262">
        <v>1.63489699853467</v>
      </c>
      <c r="AE2262">
        <v>0.32478153705596902</v>
      </c>
      <c r="AF2262">
        <v>53.314685314685299</v>
      </c>
      <c r="AG2262">
        <f>IFERROR(AH2262*0.1, "N/A")</f>
        <v>5.3624125874125905</v>
      </c>
      <c r="AH2262">
        <v>53.624125874125902</v>
      </c>
      <c r="AI2262">
        <v>94.283460320292704</v>
      </c>
      <c r="AJ2262">
        <v>17.606643356643399</v>
      </c>
      <c r="AK2262">
        <v>66.393356643356597</v>
      </c>
    </row>
    <row r="2263" spans="1:37" x14ac:dyDescent="0.3">
      <c r="A2263">
        <v>2262</v>
      </c>
      <c r="B2263">
        <v>64.300003000000004</v>
      </c>
      <c r="C2263">
        <v>32.791401</v>
      </c>
      <c r="D2263">
        <v>-2.56481</v>
      </c>
      <c r="E2263" t="s">
        <v>3940</v>
      </c>
      <c r="F2263" t="s">
        <v>3941</v>
      </c>
      <c r="G2263" t="s">
        <v>37</v>
      </c>
      <c r="H2263">
        <v>2010</v>
      </c>
      <c r="I2263">
        <v>22.398417890176599</v>
      </c>
      <c r="J2263">
        <v>10.5</v>
      </c>
      <c r="K2263">
        <v>76</v>
      </c>
      <c r="L2263">
        <v>4.9928468761209404</v>
      </c>
      <c r="M2263">
        <v>28.798417538875899</v>
      </c>
      <c r="N2263">
        <v>14.998418271646401</v>
      </c>
      <c r="O2263">
        <v>13.800000190734901</v>
      </c>
      <c r="P2263">
        <v>22.5</v>
      </c>
      <c r="Q2263">
        <v>21.6984190345858</v>
      </c>
      <c r="R2263">
        <v>22.998418271646301</v>
      </c>
      <c r="S2263">
        <v>21.6984190345858</v>
      </c>
      <c r="T2263">
        <v>1094.12653778559</v>
      </c>
      <c r="U2263">
        <v>181.01581722319901</v>
      </c>
      <c r="V2263">
        <v>8.0158172231985905</v>
      </c>
      <c r="W2263">
        <v>64.015817223198596</v>
      </c>
      <c r="X2263">
        <v>438.07908611599299</v>
      </c>
      <c r="Y2263">
        <v>41.015817223198603</v>
      </c>
      <c r="Z2263">
        <v>299.01581722319901</v>
      </c>
      <c r="AA2263">
        <v>41.015817223198603</v>
      </c>
      <c r="AB2263">
        <v>1.21316673131316</v>
      </c>
      <c r="AC2263">
        <v>0.95245218747712801</v>
      </c>
      <c r="AD2263">
        <v>1.7228794055999099</v>
      </c>
      <c r="AE2263">
        <v>0.66240668296813998</v>
      </c>
      <c r="AF2263">
        <v>1182.33567662566</v>
      </c>
      <c r="AG2263">
        <f>IFERROR(AH2263*0.1, "N/A")</f>
        <v>6.33216168717047</v>
      </c>
      <c r="AH2263">
        <v>63.321616871704698</v>
      </c>
      <c r="AI2263">
        <v>201.86220202588399</v>
      </c>
      <c r="AJ2263">
        <v>13.6906854130053</v>
      </c>
      <c r="AK2263">
        <v>75.989455184534293</v>
      </c>
    </row>
    <row r="2264" spans="1:37" x14ac:dyDescent="0.3">
      <c r="A2264">
        <v>2263</v>
      </c>
      <c r="B2264">
        <v>3.6</v>
      </c>
      <c r="C2264">
        <v>39.299999</v>
      </c>
      <c r="D2264">
        <v>-5.95</v>
      </c>
      <c r="E2264" t="s">
        <v>3942</v>
      </c>
      <c r="F2264" t="s">
        <v>3943</v>
      </c>
      <c r="G2264" t="s">
        <v>39</v>
      </c>
      <c r="H2264">
        <v>2010</v>
      </c>
      <c r="I2264">
        <v>27.100698464411899</v>
      </c>
      <c r="J2264">
        <v>9.1999998092651403</v>
      </c>
      <c r="K2264">
        <v>68</v>
      </c>
      <c r="L2264">
        <v>12.7016054073553</v>
      </c>
      <c r="M2264">
        <v>34.000698069627397</v>
      </c>
      <c r="N2264">
        <v>20.514310700315001</v>
      </c>
      <c r="O2264">
        <v>13.4863873826272</v>
      </c>
      <c r="P2264">
        <v>27.787084948954199</v>
      </c>
      <c r="Q2264">
        <v>25.314309937375601</v>
      </c>
      <c r="R2264">
        <v>28.631414100553801</v>
      </c>
      <c r="S2264">
        <v>25.314309937375601</v>
      </c>
      <c r="T2264">
        <v>1786.9930191972101</v>
      </c>
      <c r="U2264">
        <v>444.30541012216401</v>
      </c>
      <c r="V2264">
        <v>52.821989528795797</v>
      </c>
      <c r="W2264">
        <v>82.006980802792299</v>
      </c>
      <c r="X2264">
        <v>1009.06980802792</v>
      </c>
      <c r="Y2264">
        <v>184.68586387434601</v>
      </c>
      <c r="Z2264">
        <v>334.10122164048897</v>
      </c>
      <c r="AA2264">
        <v>184.68586387434601</v>
      </c>
      <c r="AB2264">
        <v>1.8497387884383001</v>
      </c>
      <c r="AC2264">
        <v>0.38756521890690798</v>
      </c>
      <c r="AD2264">
        <v>2.3679626766091699</v>
      </c>
      <c r="AE2264">
        <v>0.41216835379600503</v>
      </c>
      <c r="AF2264">
        <v>64.535776614310606</v>
      </c>
      <c r="AG2264">
        <f>IFERROR(AH2264*0.1, "N/A")</f>
        <v>5.43141361256545</v>
      </c>
      <c r="AH2264">
        <v>54.3141361256545</v>
      </c>
      <c r="AI2264">
        <v>156.68113500784801</v>
      </c>
      <c r="AJ2264">
        <v>25.570680628272299</v>
      </c>
      <c r="AK2264">
        <v>60.464223385689401</v>
      </c>
    </row>
    <row r="2265" spans="1:37" x14ac:dyDescent="0.3">
      <c r="A2265">
        <v>2264</v>
      </c>
      <c r="B2265">
        <v>9.8000000000000007</v>
      </c>
      <c r="C2265">
        <v>39.25</v>
      </c>
      <c r="D2265">
        <v>-6.1</v>
      </c>
      <c r="E2265" t="s">
        <v>3944</v>
      </c>
      <c r="F2265" t="s">
        <v>3945</v>
      </c>
      <c r="G2265" t="s">
        <v>39</v>
      </c>
      <c r="H2265">
        <v>2010</v>
      </c>
      <c r="I2265">
        <v>26.873775908997001</v>
      </c>
      <c r="J2265">
        <v>9.3999996185302699</v>
      </c>
      <c r="K2265">
        <v>67.517482517482506</v>
      </c>
      <c r="L2265">
        <v>12.927359949458699</v>
      </c>
      <c r="M2265">
        <v>34.0220273024552</v>
      </c>
      <c r="N2265">
        <v>20.191434126633901</v>
      </c>
      <c r="O2265">
        <v>13.8305942528731</v>
      </c>
      <c r="P2265">
        <v>27.573776505210201</v>
      </c>
      <c r="Q2265">
        <v>25.182518178766401</v>
      </c>
      <c r="R2265">
        <v>28.556119261921701</v>
      </c>
      <c r="S2265">
        <v>25.182518178766401</v>
      </c>
      <c r="T2265">
        <v>1658.8409090909099</v>
      </c>
      <c r="U2265">
        <v>376.29020979020999</v>
      </c>
      <c r="V2265">
        <v>54.353146853146903</v>
      </c>
      <c r="W2265">
        <v>72</v>
      </c>
      <c r="X2265">
        <v>860.69230769230796</v>
      </c>
      <c r="Y2265">
        <v>167.22377622377601</v>
      </c>
      <c r="Z2265">
        <v>327.83741258741298</v>
      </c>
      <c r="AA2265">
        <v>167.22377622377601</v>
      </c>
      <c r="AB2265">
        <v>6.6410848310777304</v>
      </c>
      <c r="AC2265">
        <v>2.0285089801462999E-2</v>
      </c>
      <c r="AD2265">
        <v>3.2782039021278599</v>
      </c>
      <c r="AE2265">
        <v>0.44500118494033802</v>
      </c>
      <c r="AF2265">
        <v>60.416083916083899</v>
      </c>
      <c r="AG2265">
        <f>IFERROR(AH2265*0.1, "N/A")</f>
        <v>5.1468531468531502</v>
      </c>
      <c r="AH2265">
        <v>51.468531468531502</v>
      </c>
      <c r="AI2265">
        <v>276.51313611010602</v>
      </c>
      <c r="AJ2265">
        <v>21.531468531468501</v>
      </c>
      <c r="AK2265">
        <v>63.038461538461597</v>
      </c>
    </row>
    <row r="2266" spans="1:37" x14ac:dyDescent="0.3">
      <c r="A2266">
        <v>2265</v>
      </c>
      <c r="B2266">
        <v>13.2</v>
      </c>
      <c r="C2266">
        <v>39.362099999999998</v>
      </c>
      <c r="D2266">
        <v>-6.1356999999999999</v>
      </c>
      <c r="E2266" t="s">
        <v>3946</v>
      </c>
      <c r="F2266" t="s">
        <v>3947</v>
      </c>
      <c r="G2266" t="s">
        <v>39</v>
      </c>
      <c r="H2266">
        <v>2007</v>
      </c>
      <c r="I2266">
        <v>27.5</v>
      </c>
      <c r="J2266">
        <v>8.8999996185302699</v>
      </c>
      <c r="K2266">
        <v>67</v>
      </c>
      <c r="L2266">
        <v>12.5</v>
      </c>
      <c r="M2266">
        <v>34.299999237060497</v>
      </c>
      <c r="N2266">
        <v>21.200000762939499</v>
      </c>
      <c r="O2266">
        <v>13.1000003814697</v>
      </c>
      <c r="P2266">
        <v>28.200000762939499</v>
      </c>
      <c r="Q2266">
        <v>25.899999618530298</v>
      </c>
      <c r="R2266">
        <v>29.100000381469702</v>
      </c>
      <c r="S2266">
        <v>25.899999618530298</v>
      </c>
      <c r="T2266">
        <v>1618</v>
      </c>
      <c r="U2266">
        <v>400</v>
      </c>
      <c r="V2266">
        <v>45</v>
      </c>
      <c r="W2266">
        <v>79</v>
      </c>
      <c r="X2266">
        <v>892</v>
      </c>
      <c r="Y2266">
        <v>160</v>
      </c>
      <c r="Z2266">
        <v>318</v>
      </c>
      <c r="AA2266">
        <v>160</v>
      </c>
      <c r="AB2266">
        <v>4.4968462808745997</v>
      </c>
      <c r="AC2266">
        <v>3.0709564963097999E-2</v>
      </c>
      <c r="AD2266">
        <v>1.1342671923796099</v>
      </c>
      <c r="AE2266">
        <v>0.243223336866148</v>
      </c>
      <c r="AF2266">
        <v>26.479859894921201</v>
      </c>
      <c r="AG2266">
        <f>IFERROR(AH2266*0.1, "N/A")</f>
        <v>5.3574430823117298</v>
      </c>
      <c r="AH2266">
        <v>53.574430823117297</v>
      </c>
      <c r="AI2266">
        <v>34.435018349027899</v>
      </c>
      <c r="AJ2266">
        <v>25.553415061296</v>
      </c>
      <c r="AK2266">
        <v>56.978984238178597</v>
      </c>
    </row>
    <row r="2267" spans="1:37" x14ac:dyDescent="0.3">
      <c r="A2267">
        <v>2266</v>
      </c>
      <c r="B2267">
        <v>28.200001</v>
      </c>
      <c r="C2267">
        <v>38.290199999999999</v>
      </c>
      <c r="D2267">
        <v>-4.7987000000000002</v>
      </c>
      <c r="E2267" t="s">
        <v>3948</v>
      </c>
      <c r="F2267" t="s">
        <v>3949</v>
      </c>
      <c r="G2267" t="s">
        <v>37</v>
      </c>
      <c r="H2267">
        <v>2009</v>
      </c>
      <c r="I2267">
        <v>17.299999237060501</v>
      </c>
      <c r="J2267">
        <v>10</v>
      </c>
      <c r="K2267">
        <v>61</v>
      </c>
      <c r="L2267">
        <v>18.850000381469702</v>
      </c>
      <c r="M2267">
        <v>26.200000762939499</v>
      </c>
      <c r="N2267">
        <v>10</v>
      </c>
      <c r="O2267">
        <v>16.200000762939499</v>
      </c>
      <c r="P2267">
        <v>18</v>
      </c>
      <c r="Q2267">
        <v>14.8999996185303</v>
      </c>
      <c r="R2267">
        <v>19.5</v>
      </c>
      <c r="S2267">
        <v>14.800000190734901</v>
      </c>
      <c r="T2267">
        <v>1074</v>
      </c>
      <c r="U2267">
        <v>208</v>
      </c>
      <c r="V2267">
        <v>30</v>
      </c>
      <c r="W2267">
        <v>62</v>
      </c>
      <c r="X2267">
        <v>528</v>
      </c>
      <c r="Y2267">
        <v>101</v>
      </c>
      <c r="Z2267">
        <v>284</v>
      </c>
      <c r="AA2267">
        <v>126</v>
      </c>
      <c r="AB2267">
        <v>21.504222435625501</v>
      </c>
      <c r="AC2267">
        <v>8.6661994747569998E-2</v>
      </c>
      <c r="AD2267">
        <v>5.7065458673520597</v>
      </c>
      <c r="AE2267">
        <v>0.50135254859924305</v>
      </c>
      <c r="AF2267">
        <v>1382.9422066549901</v>
      </c>
      <c r="AG2267">
        <f>IFERROR(AH2267*0.1, "N/A")</f>
        <v>5.6059544658493898</v>
      </c>
      <c r="AH2267">
        <v>56.059544658493898</v>
      </c>
      <c r="AI2267">
        <v>87.262477974966799</v>
      </c>
      <c r="AJ2267">
        <v>37.395796847635701</v>
      </c>
      <c r="AK2267">
        <v>42.402802101576199</v>
      </c>
    </row>
    <row r="2268" spans="1:37" x14ac:dyDescent="0.3">
      <c r="A2268">
        <v>2267</v>
      </c>
      <c r="B2268">
        <v>26.4</v>
      </c>
      <c r="C2268">
        <v>38.290199999999999</v>
      </c>
      <c r="D2268">
        <v>-4.7987000000000002</v>
      </c>
      <c r="E2268" t="s">
        <v>3948</v>
      </c>
      <c r="F2268" t="s">
        <v>3950</v>
      </c>
      <c r="G2268" t="s">
        <v>39</v>
      </c>
      <c r="H2268">
        <v>2009</v>
      </c>
      <c r="I2268">
        <v>17.299999237060501</v>
      </c>
      <c r="J2268">
        <v>10</v>
      </c>
      <c r="K2268">
        <v>61</v>
      </c>
      <c r="L2268">
        <v>18.850000381469702</v>
      </c>
      <c r="M2268">
        <v>26.200000762939499</v>
      </c>
      <c r="N2268">
        <v>10</v>
      </c>
      <c r="O2268">
        <v>16.200000762939499</v>
      </c>
      <c r="P2268">
        <v>18</v>
      </c>
      <c r="Q2268">
        <v>14.8999996185303</v>
      </c>
      <c r="R2268">
        <v>19.5</v>
      </c>
      <c r="S2268">
        <v>14.800000190734901</v>
      </c>
      <c r="T2268">
        <v>1074</v>
      </c>
      <c r="U2268">
        <v>208</v>
      </c>
      <c r="V2268">
        <v>30</v>
      </c>
      <c r="W2268">
        <v>62</v>
      </c>
      <c r="X2268">
        <v>528</v>
      </c>
      <c r="Y2268">
        <v>101</v>
      </c>
      <c r="Z2268">
        <v>284</v>
      </c>
      <c r="AA2268">
        <v>126</v>
      </c>
      <c r="AB2268">
        <v>21.504222435625501</v>
      </c>
      <c r="AC2268">
        <v>8.6661994747569998E-2</v>
      </c>
      <c r="AD2268">
        <v>5.7065458673520597</v>
      </c>
      <c r="AE2268">
        <v>0.50135254859924305</v>
      </c>
      <c r="AF2268">
        <v>1382.9422066549901</v>
      </c>
      <c r="AG2268">
        <f>IFERROR(AH2268*0.1, "N/A")</f>
        <v>5.6059544658493898</v>
      </c>
      <c r="AH2268">
        <v>56.059544658493898</v>
      </c>
      <c r="AI2268">
        <v>87.262477974966799</v>
      </c>
      <c r="AJ2268">
        <v>37.395796847635701</v>
      </c>
      <c r="AK2268">
        <v>42.402802101576199</v>
      </c>
    </row>
    <row r="2269" spans="1:37" x14ac:dyDescent="0.3">
      <c r="A2269">
        <v>2268</v>
      </c>
      <c r="B2269">
        <v>65.199996999999996</v>
      </c>
      <c r="C2269">
        <v>39.362400000000001</v>
      </c>
      <c r="D2269">
        <v>-6.1323600000000003</v>
      </c>
      <c r="E2269" t="s">
        <v>3951</v>
      </c>
      <c r="F2269" t="s">
        <v>3952</v>
      </c>
      <c r="G2269" t="s">
        <v>39</v>
      </c>
      <c r="H2269">
        <v>2009</v>
      </c>
      <c r="I2269">
        <v>27.5</v>
      </c>
      <c r="J2269">
        <v>8.8999996185302699</v>
      </c>
      <c r="K2269">
        <v>67</v>
      </c>
      <c r="L2269">
        <v>12.560000419616699</v>
      </c>
      <c r="M2269">
        <v>34.299999237060497</v>
      </c>
      <c r="N2269">
        <v>21.200000762939499</v>
      </c>
      <c r="O2269">
        <v>13.1000003814697</v>
      </c>
      <c r="P2269">
        <v>28.200000762939499</v>
      </c>
      <c r="Q2269">
        <v>25.799999237060501</v>
      </c>
      <c r="R2269">
        <v>29.100000381469702</v>
      </c>
      <c r="S2269">
        <v>25.799999237060501</v>
      </c>
      <c r="T2269">
        <v>1633</v>
      </c>
      <c r="U2269">
        <v>403</v>
      </c>
      <c r="V2269">
        <v>46</v>
      </c>
      <c r="W2269">
        <v>79</v>
      </c>
      <c r="X2269">
        <v>901</v>
      </c>
      <c r="Y2269">
        <v>162</v>
      </c>
      <c r="Z2269">
        <v>320</v>
      </c>
      <c r="AA2269">
        <v>162</v>
      </c>
      <c r="AB2269">
        <v>1.0144845686241799</v>
      </c>
      <c r="AC2269">
        <v>0.42791367199493002</v>
      </c>
      <c r="AD2269">
        <v>1.3127329511792201</v>
      </c>
      <c r="AE2269">
        <v>0.241579130291939</v>
      </c>
      <c r="AF2269">
        <v>22.513089005235599</v>
      </c>
      <c r="AG2269">
        <f>IFERROR(AH2269*0.1, "N/A")</f>
        <v>5.341535776614311</v>
      </c>
      <c r="AH2269">
        <v>53.415357766143103</v>
      </c>
      <c r="AI2269">
        <v>145.54764992279499</v>
      </c>
      <c r="AJ2269">
        <v>27.417102966841199</v>
      </c>
      <c r="AK2269">
        <v>56.108202443281002</v>
      </c>
    </row>
    <row r="2270" spans="1:37" x14ac:dyDescent="0.3">
      <c r="A2270">
        <v>2269</v>
      </c>
      <c r="B2270">
        <v>42.599997999999999</v>
      </c>
      <c r="C2270">
        <v>32.715800999999999</v>
      </c>
      <c r="D2270">
        <v>-2.5180899999999999</v>
      </c>
      <c r="E2270" t="s">
        <v>3953</v>
      </c>
      <c r="F2270" t="s">
        <v>3954</v>
      </c>
      <c r="G2270" t="s">
        <v>37</v>
      </c>
      <c r="H2270">
        <v>2005</v>
      </c>
      <c r="I2270">
        <v>22.5</v>
      </c>
      <c r="J2270">
        <v>10.3999996185303</v>
      </c>
      <c r="K2270">
        <v>76</v>
      </c>
      <c r="L2270">
        <v>5.2699999809265101</v>
      </c>
      <c r="M2270">
        <v>28.700000762939499</v>
      </c>
      <c r="N2270">
        <v>15.1000003814697</v>
      </c>
      <c r="O2270">
        <v>13.6000003814697</v>
      </c>
      <c r="P2270">
        <v>22.600000381469702</v>
      </c>
      <c r="Q2270">
        <v>21.700000762939499</v>
      </c>
      <c r="R2270">
        <v>23.100000381469702</v>
      </c>
      <c r="S2270">
        <v>21.700000762939499</v>
      </c>
      <c r="T2270">
        <v>1114</v>
      </c>
      <c r="U2270">
        <v>184</v>
      </c>
      <c r="V2270">
        <v>9</v>
      </c>
      <c r="W2270">
        <v>63</v>
      </c>
      <c r="X2270">
        <v>439</v>
      </c>
      <c r="Y2270">
        <v>46</v>
      </c>
      <c r="Z2270">
        <v>313</v>
      </c>
      <c r="AA2270">
        <v>46</v>
      </c>
      <c r="AB2270">
        <v>18.528981168505201</v>
      </c>
      <c r="AC2270">
        <v>1.0810023180248001E-2</v>
      </c>
      <c r="AD2270">
        <v>2.17863426368001</v>
      </c>
      <c r="AE2270">
        <v>0.604397773742676</v>
      </c>
      <c r="AF2270">
        <v>1171.38908450704</v>
      </c>
      <c r="AG2270">
        <f>IFERROR(AH2270*0.1, "N/A")</f>
        <v>6.2</v>
      </c>
      <c r="AH2270">
        <v>62</v>
      </c>
      <c r="AI2270">
        <v>158.33275612307301</v>
      </c>
      <c r="AJ2270">
        <v>16</v>
      </c>
      <c r="AK2270">
        <v>72</v>
      </c>
    </row>
    <row r="2271" spans="1:37" x14ac:dyDescent="0.3">
      <c r="A2271">
        <v>2270</v>
      </c>
      <c r="B2271">
        <v>1.1000000000000001</v>
      </c>
      <c r="C2271">
        <v>32.715800999999999</v>
      </c>
      <c r="D2271">
        <v>-2.5180899999999999</v>
      </c>
      <c r="E2271" t="s">
        <v>3953</v>
      </c>
      <c r="F2271" t="s">
        <v>3955</v>
      </c>
      <c r="G2271" t="s">
        <v>39</v>
      </c>
      <c r="H2271">
        <v>2005</v>
      </c>
      <c r="I2271">
        <v>22.5</v>
      </c>
      <c r="J2271">
        <v>10.3999996185303</v>
      </c>
      <c r="K2271">
        <v>76</v>
      </c>
      <c r="L2271">
        <v>5.2699999809265101</v>
      </c>
      <c r="M2271">
        <v>28.700000762939499</v>
      </c>
      <c r="N2271">
        <v>15.1000003814697</v>
      </c>
      <c r="O2271">
        <v>13.6000003814697</v>
      </c>
      <c r="P2271">
        <v>22.600000381469702</v>
      </c>
      <c r="Q2271">
        <v>21.700000762939499</v>
      </c>
      <c r="R2271">
        <v>23.100000381469702</v>
      </c>
      <c r="S2271">
        <v>21.700000762939499</v>
      </c>
      <c r="T2271">
        <v>1114</v>
      </c>
      <c r="U2271">
        <v>184</v>
      </c>
      <c r="V2271">
        <v>9</v>
      </c>
      <c r="W2271">
        <v>63</v>
      </c>
      <c r="X2271">
        <v>439</v>
      </c>
      <c r="Y2271">
        <v>46</v>
      </c>
      <c r="Z2271">
        <v>313</v>
      </c>
      <c r="AA2271">
        <v>46</v>
      </c>
      <c r="AB2271">
        <v>18.528981168505201</v>
      </c>
      <c r="AC2271">
        <v>1.0810023180248001E-2</v>
      </c>
      <c r="AD2271">
        <v>2.17863426368001</v>
      </c>
      <c r="AE2271">
        <v>0.604397773742676</v>
      </c>
      <c r="AF2271">
        <v>1171.38908450704</v>
      </c>
      <c r="AG2271">
        <f>IFERROR(AH2271*0.1, "N/A")</f>
        <v>6.2</v>
      </c>
      <c r="AH2271">
        <v>62</v>
      </c>
      <c r="AI2271">
        <v>158.33275612307301</v>
      </c>
      <c r="AJ2271">
        <v>16</v>
      </c>
      <c r="AK2271">
        <v>72</v>
      </c>
    </row>
    <row r="2272" spans="1:37" x14ac:dyDescent="0.3">
      <c r="A2272">
        <v>2271</v>
      </c>
      <c r="B2272">
        <v>16.600000000000001</v>
      </c>
      <c r="C2272">
        <v>32.887199000000003</v>
      </c>
      <c r="D2272">
        <v>-1.9431</v>
      </c>
      <c r="E2272" t="s">
        <v>3956</v>
      </c>
      <c r="F2272" t="s">
        <v>3957</v>
      </c>
      <c r="G2272" t="s">
        <v>37</v>
      </c>
      <c r="H2272">
        <v>2009</v>
      </c>
      <c r="I2272">
        <v>22.399999618530298</v>
      </c>
      <c r="J2272">
        <v>9.8999996185302699</v>
      </c>
      <c r="K2272">
        <v>79</v>
      </c>
      <c r="L2272">
        <v>5.03999996185303</v>
      </c>
      <c r="M2272">
        <v>28.100000381469702</v>
      </c>
      <c r="N2272">
        <v>15.6000003814697</v>
      </c>
      <c r="O2272">
        <v>12.5</v>
      </c>
      <c r="P2272">
        <v>22.600000381469702</v>
      </c>
      <c r="Q2272">
        <v>21.600000381469702</v>
      </c>
      <c r="R2272">
        <v>22.799999237060501</v>
      </c>
      <c r="S2272">
        <v>21.600000381469702</v>
      </c>
      <c r="T2272">
        <v>1516</v>
      </c>
      <c r="U2272">
        <v>248</v>
      </c>
      <c r="V2272">
        <v>28</v>
      </c>
      <c r="W2272">
        <v>53</v>
      </c>
      <c r="X2272">
        <v>592</v>
      </c>
      <c r="Y2272">
        <v>115</v>
      </c>
      <c r="Z2272">
        <v>357</v>
      </c>
      <c r="AA2272">
        <v>115</v>
      </c>
      <c r="AB2272">
        <v>28.492409582305399</v>
      </c>
      <c r="AC2272">
        <v>1.6021956235432001E-2</v>
      </c>
      <c r="AD2272">
        <v>1.73629347023211</v>
      </c>
      <c r="AE2272">
        <v>0.64484983682632402</v>
      </c>
      <c r="AF2272">
        <v>1177.97192982456</v>
      </c>
      <c r="AG2272">
        <f>IFERROR(AH2272*0.1, "N/A")</f>
        <v>5.63964912280702</v>
      </c>
      <c r="AH2272">
        <v>56.396491228070197</v>
      </c>
      <c r="AI2272">
        <v>117.390631384599</v>
      </c>
      <c r="AJ2272">
        <v>32.603508771929803</v>
      </c>
      <c r="AK2272">
        <v>50.2070175438596</v>
      </c>
    </row>
    <row r="2273" spans="1:37" x14ac:dyDescent="0.3">
      <c r="A2273">
        <v>2272</v>
      </c>
      <c r="B2273">
        <v>30.5</v>
      </c>
      <c r="C2273">
        <v>33.032699999999998</v>
      </c>
      <c r="D2273">
        <v>-2.0175999999999998</v>
      </c>
      <c r="E2273" t="s">
        <v>3958</v>
      </c>
      <c r="F2273" t="s">
        <v>3959</v>
      </c>
      <c r="G2273" t="s">
        <v>37</v>
      </c>
      <c r="H2273">
        <v>2009</v>
      </c>
      <c r="I2273">
        <v>22.299999237060501</v>
      </c>
      <c r="J2273">
        <v>9.8999996185302699</v>
      </c>
      <c r="K2273">
        <v>77</v>
      </c>
      <c r="L2273">
        <v>5.1500000953674299</v>
      </c>
      <c r="M2273">
        <v>28.200000762939499</v>
      </c>
      <c r="N2273">
        <v>15.5</v>
      </c>
      <c r="O2273">
        <v>12.699999809265099</v>
      </c>
      <c r="P2273">
        <v>22.5</v>
      </c>
      <c r="Q2273">
        <v>21.600000381469702</v>
      </c>
      <c r="R2273">
        <v>22.899999618530298</v>
      </c>
      <c r="S2273">
        <v>21.600000381469702</v>
      </c>
      <c r="T2273">
        <v>1472</v>
      </c>
      <c r="U2273">
        <v>244</v>
      </c>
      <c r="V2273">
        <v>21</v>
      </c>
      <c r="W2273">
        <v>57</v>
      </c>
      <c r="X2273">
        <v>580</v>
      </c>
      <c r="Y2273">
        <v>95</v>
      </c>
      <c r="Z2273">
        <v>347</v>
      </c>
      <c r="AA2273">
        <v>95</v>
      </c>
      <c r="AB2273">
        <v>27.3922112693249</v>
      </c>
      <c r="AC2273">
        <v>2.7823799125798E-2</v>
      </c>
      <c r="AD2273">
        <v>2.53020599799257</v>
      </c>
      <c r="AE2273">
        <v>0.62763194173154702</v>
      </c>
      <c r="AF2273">
        <v>1187.64436619718</v>
      </c>
      <c r="AG2273">
        <f>IFERROR(AH2273*0.1, "N/A")</f>
        <v>5.7943661971831002</v>
      </c>
      <c r="AH2273">
        <v>57.943661971830998</v>
      </c>
      <c r="AI2273">
        <v>304.12902660101201</v>
      </c>
      <c r="AJ2273">
        <v>25.471830985915499</v>
      </c>
      <c r="AK2273">
        <v>60.056338028169002</v>
      </c>
    </row>
    <row r="2274" spans="1:37" x14ac:dyDescent="0.3">
      <c r="A2274">
        <v>2273</v>
      </c>
      <c r="B2274">
        <v>15.8</v>
      </c>
      <c r="C2274">
        <v>33.040298</v>
      </c>
      <c r="D2274">
        <v>-2.1092</v>
      </c>
      <c r="E2274" t="s">
        <v>3960</v>
      </c>
      <c r="F2274" t="s">
        <v>3961</v>
      </c>
      <c r="G2274" t="s">
        <v>37</v>
      </c>
      <c r="H2274">
        <v>2009</v>
      </c>
      <c r="I2274">
        <v>22.600000381469702</v>
      </c>
      <c r="J2274">
        <v>10</v>
      </c>
      <c r="K2274">
        <v>78</v>
      </c>
      <c r="L2274">
        <v>5.1500000953674299</v>
      </c>
      <c r="M2274">
        <v>28.5</v>
      </c>
      <c r="N2274">
        <v>15.699999809265099</v>
      </c>
      <c r="O2274">
        <v>12.800000190734901</v>
      </c>
      <c r="P2274">
        <v>22.799999237060501</v>
      </c>
      <c r="Q2274">
        <v>21.799999237060501</v>
      </c>
      <c r="R2274">
        <v>23.100000381469702</v>
      </c>
      <c r="S2274">
        <v>21.799999237060501</v>
      </c>
      <c r="T2274">
        <v>1331</v>
      </c>
      <c r="U2274">
        <v>216</v>
      </c>
      <c r="V2274">
        <v>16</v>
      </c>
      <c r="W2274">
        <v>59</v>
      </c>
      <c r="X2274">
        <v>519</v>
      </c>
      <c r="Y2274">
        <v>74</v>
      </c>
      <c r="Z2274">
        <v>325</v>
      </c>
      <c r="AA2274">
        <v>74</v>
      </c>
      <c r="AB2274">
        <v>3.1241986191063602</v>
      </c>
      <c r="AC2274">
        <v>0.68075082466463799</v>
      </c>
      <c r="AD2274">
        <v>3.5653351997074298</v>
      </c>
      <c r="AE2274">
        <v>0.59531813859939597</v>
      </c>
      <c r="AF2274">
        <v>1145.39824561403</v>
      </c>
      <c r="AG2274">
        <f>IFERROR(AH2274*0.1, "N/A")</f>
        <v>5.5</v>
      </c>
      <c r="AH2274">
        <v>55</v>
      </c>
      <c r="AI2274">
        <v>205.47311318380801</v>
      </c>
      <c r="AJ2274">
        <v>30.552631578947398</v>
      </c>
      <c r="AK2274">
        <v>53.447368421052602</v>
      </c>
    </row>
    <row r="2275" spans="1:37" x14ac:dyDescent="0.3">
      <c r="A2275">
        <v>2274</v>
      </c>
      <c r="B2275">
        <v>29.4</v>
      </c>
      <c r="C2275">
        <v>33.110900999999998</v>
      </c>
      <c r="D2275">
        <v>-2.8121999999999998</v>
      </c>
      <c r="E2275" t="s">
        <v>3962</v>
      </c>
      <c r="F2275" t="s">
        <v>3963</v>
      </c>
      <c r="G2275" t="s">
        <v>39</v>
      </c>
      <c r="H2275">
        <v>1981</v>
      </c>
      <c r="I2275">
        <v>22.700000762939499</v>
      </c>
      <c r="J2275">
        <v>11.1000003814697</v>
      </c>
      <c r="K2275">
        <v>70</v>
      </c>
      <c r="L2275">
        <v>7.1399998664856001</v>
      </c>
      <c r="M2275">
        <v>30.5</v>
      </c>
      <c r="N2275">
        <v>14.800000190734901</v>
      </c>
      <c r="O2275">
        <v>15.699999809265099</v>
      </c>
      <c r="P2275">
        <v>22.600000381469702</v>
      </c>
      <c r="Q2275">
        <v>21.899999618530298</v>
      </c>
      <c r="R2275">
        <v>23.700000762939499</v>
      </c>
      <c r="S2275">
        <v>21.899999618530298</v>
      </c>
      <c r="T2275">
        <v>920</v>
      </c>
      <c r="U2275">
        <v>154</v>
      </c>
      <c r="V2275">
        <v>4</v>
      </c>
      <c r="W2275">
        <v>70</v>
      </c>
      <c r="X2275">
        <v>382</v>
      </c>
      <c r="Y2275">
        <v>22</v>
      </c>
      <c r="Z2275">
        <v>221</v>
      </c>
      <c r="AA2275">
        <v>83</v>
      </c>
      <c r="AB2275">
        <v>5.5908502946820198</v>
      </c>
      <c r="AC2275">
        <v>0.15195774739248699</v>
      </c>
      <c r="AD2275">
        <v>2.1028314527712402</v>
      </c>
      <c r="AE2275">
        <v>0.68945717811584495</v>
      </c>
      <c r="AF2275">
        <v>1211.3614035087701</v>
      </c>
      <c r="AG2275">
        <f>IFERROR(AH2275*0.1, "N/A")</f>
        <v>6</v>
      </c>
      <c r="AH2275">
        <v>60</v>
      </c>
      <c r="AI2275">
        <v>184.234045677854</v>
      </c>
      <c r="AJ2275">
        <v>13.005263157894699</v>
      </c>
      <c r="AK2275">
        <v>75.994736842105297</v>
      </c>
    </row>
    <row r="2276" spans="1:37" x14ac:dyDescent="0.3">
      <c r="A2276">
        <v>2275</v>
      </c>
      <c r="B2276">
        <v>0</v>
      </c>
      <c r="C2276">
        <v>33.127499</v>
      </c>
      <c r="D2276">
        <v>-2.8792</v>
      </c>
      <c r="E2276" t="s">
        <v>3964</v>
      </c>
      <c r="F2276" t="s">
        <v>3965</v>
      </c>
      <c r="G2276" t="s">
        <v>39</v>
      </c>
      <c r="H2276">
        <v>1981</v>
      </c>
      <c r="I2276">
        <v>23</v>
      </c>
      <c r="J2276">
        <v>11.1000003814697</v>
      </c>
      <c r="K2276">
        <v>70</v>
      </c>
      <c r="L2276">
        <v>7.2800002098083496</v>
      </c>
      <c r="M2276">
        <v>30.700000762939499</v>
      </c>
      <c r="N2276">
        <v>15</v>
      </c>
      <c r="O2276">
        <v>15.699999809265099</v>
      </c>
      <c r="P2276">
        <v>22.899999618530298</v>
      </c>
      <c r="Q2276">
        <v>22.100000381469702</v>
      </c>
      <c r="R2276">
        <v>23.899999618530298</v>
      </c>
      <c r="S2276">
        <v>22.100000381469702</v>
      </c>
      <c r="T2276">
        <v>880</v>
      </c>
      <c r="U2276">
        <v>146</v>
      </c>
      <c r="V2276">
        <v>3</v>
      </c>
      <c r="W2276">
        <v>71</v>
      </c>
      <c r="X2276">
        <v>369</v>
      </c>
      <c r="Y2276">
        <v>19</v>
      </c>
      <c r="Z2276">
        <v>205</v>
      </c>
      <c r="AA2276">
        <v>19</v>
      </c>
      <c r="AB2276">
        <v>15.231608216191701</v>
      </c>
      <c r="AC2276">
        <v>1.4339037406796E-2</v>
      </c>
      <c r="AD2276">
        <v>1.43720794894116</v>
      </c>
      <c r="AE2276">
        <v>0.669120192527771</v>
      </c>
      <c r="AF2276">
        <v>1177.5598591549301</v>
      </c>
      <c r="AG2276">
        <f>IFERROR(AH2276*0.1, "N/A")</f>
        <v>6.3424295774647907</v>
      </c>
      <c r="AH2276">
        <v>63.424295774647902</v>
      </c>
      <c r="AI2276">
        <v>140.338739502598</v>
      </c>
      <c r="AJ2276">
        <v>16.420774647887299</v>
      </c>
      <c r="AK2276">
        <v>74.579225352112701</v>
      </c>
    </row>
    <row r="2277" spans="1:37" x14ac:dyDescent="0.3">
      <c r="A2277">
        <v>2276</v>
      </c>
      <c r="B2277">
        <v>10.5</v>
      </c>
      <c r="C2277">
        <v>35.952202</v>
      </c>
      <c r="D2277">
        <v>-5.8925000000000001</v>
      </c>
      <c r="E2277" t="s">
        <v>3966</v>
      </c>
      <c r="F2277" t="s">
        <v>3967</v>
      </c>
      <c r="G2277" t="s">
        <v>37</v>
      </c>
      <c r="H2277">
        <v>1965</v>
      </c>
      <c r="I2277">
        <v>22.283071048596799</v>
      </c>
      <c r="J2277">
        <v>13.483071488651699</v>
      </c>
      <c r="K2277">
        <v>69</v>
      </c>
      <c r="L2277">
        <v>15.8069284732013</v>
      </c>
      <c r="M2277">
        <v>31.583071870121501</v>
      </c>
      <c r="N2277">
        <v>12.1830714593591</v>
      </c>
      <c r="O2277">
        <v>19.399999618530298</v>
      </c>
      <c r="P2277">
        <v>23.683072251591199</v>
      </c>
      <c r="Q2277">
        <v>20.383071107182001</v>
      </c>
      <c r="R2277">
        <v>23.983071488651699</v>
      </c>
      <c r="S2277">
        <v>19.883071107182001</v>
      </c>
      <c r="T2277">
        <v>764.32286212914505</v>
      </c>
      <c r="U2277">
        <v>179.66143106457201</v>
      </c>
      <c r="V2277">
        <v>0</v>
      </c>
      <c r="W2277">
        <v>108.83071553228601</v>
      </c>
      <c r="X2277">
        <v>472.49214659685902</v>
      </c>
      <c r="Y2277">
        <v>0</v>
      </c>
      <c r="Z2277">
        <v>354.66143106457201</v>
      </c>
      <c r="AA2277">
        <v>1</v>
      </c>
      <c r="AB2277">
        <v>6.5623121011943697</v>
      </c>
      <c r="AC2277">
        <v>0.16314235834134999</v>
      </c>
      <c r="AD2277">
        <v>1.2913129291193199</v>
      </c>
      <c r="AE2277">
        <v>0.38485623134160302</v>
      </c>
      <c r="AF2277">
        <v>1094.8830715532299</v>
      </c>
      <c r="AG2277">
        <f>IFERROR(AH2277*0.1, "N/A")</f>
        <v>6.524781849912741</v>
      </c>
      <c r="AH2277">
        <v>65.247818499127405</v>
      </c>
      <c r="AI2277">
        <v>170.00416560946999</v>
      </c>
      <c r="AJ2277">
        <v>20.5671902268761</v>
      </c>
      <c r="AK2277">
        <v>66.830715532286206</v>
      </c>
    </row>
    <row r="2278" spans="1:37" x14ac:dyDescent="0.3">
      <c r="A2278">
        <v>2277</v>
      </c>
      <c r="B2278">
        <v>36</v>
      </c>
      <c r="C2278">
        <v>35.952202</v>
      </c>
      <c r="D2278">
        <v>-5.8925000000000001</v>
      </c>
      <c r="E2278" t="s">
        <v>3966</v>
      </c>
      <c r="F2278" t="s">
        <v>3968</v>
      </c>
      <c r="G2278" t="s">
        <v>39</v>
      </c>
      <c r="H2278">
        <v>1965</v>
      </c>
      <c r="I2278">
        <v>22.283071048596799</v>
      </c>
      <c r="J2278">
        <v>13.483071488651699</v>
      </c>
      <c r="K2278">
        <v>69</v>
      </c>
      <c r="L2278">
        <v>15.8069284732013</v>
      </c>
      <c r="M2278">
        <v>31.583071870121501</v>
      </c>
      <c r="N2278">
        <v>12.1830714593591</v>
      </c>
      <c r="O2278">
        <v>19.399999618530298</v>
      </c>
      <c r="P2278">
        <v>23.683072251591199</v>
      </c>
      <c r="Q2278">
        <v>20.383071107182001</v>
      </c>
      <c r="R2278">
        <v>23.983071488651699</v>
      </c>
      <c r="S2278">
        <v>19.883071107182001</v>
      </c>
      <c r="T2278">
        <v>764.32286212914505</v>
      </c>
      <c r="U2278">
        <v>179.66143106457201</v>
      </c>
      <c r="V2278">
        <v>0</v>
      </c>
      <c r="W2278">
        <v>108.83071553228601</v>
      </c>
      <c r="X2278">
        <v>472.49214659685902</v>
      </c>
      <c r="Y2278">
        <v>0</v>
      </c>
      <c r="Z2278">
        <v>354.66143106457201</v>
      </c>
      <c r="AA2278">
        <v>1</v>
      </c>
      <c r="AB2278">
        <v>6.5623121011943697</v>
      </c>
      <c r="AC2278">
        <v>0.16314235834134999</v>
      </c>
      <c r="AD2278">
        <v>1.2913129291193199</v>
      </c>
      <c r="AE2278">
        <v>0.38485623134160302</v>
      </c>
      <c r="AF2278">
        <v>1094.8830715532299</v>
      </c>
      <c r="AG2278">
        <f>IFERROR(AH2278*0.1, "N/A")</f>
        <v>6.524781849912741</v>
      </c>
      <c r="AH2278">
        <v>65.247818499127405</v>
      </c>
      <c r="AI2278">
        <v>170.00416560946999</v>
      </c>
      <c r="AJ2278">
        <v>20.5671902268761</v>
      </c>
      <c r="AK2278">
        <v>66.830715532286206</v>
      </c>
    </row>
    <row r="2279" spans="1:37" x14ac:dyDescent="0.3">
      <c r="A2279">
        <v>2278</v>
      </c>
      <c r="B2279">
        <v>50</v>
      </c>
      <c r="C2279">
        <v>37.592498999999997</v>
      </c>
      <c r="D2279">
        <v>-3.7395900000000002</v>
      </c>
      <c r="E2279" t="s">
        <v>3969</v>
      </c>
      <c r="F2279" t="s">
        <v>3970</v>
      </c>
      <c r="G2279" t="s">
        <v>39</v>
      </c>
      <c r="H2279">
        <v>1973</v>
      </c>
      <c r="I2279">
        <v>22.5977156627367</v>
      </c>
      <c r="J2279">
        <v>11.8977149215859</v>
      </c>
      <c r="K2279">
        <v>69.977152899824205</v>
      </c>
      <c r="L2279">
        <v>16.930000305175799</v>
      </c>
      <c r="M2279">
        <v>31.697716044206398</v>
      </c>
      <c r="N2279">
        <v>14.6977151123208</v>
      </c>
      <c r="O2279">
        <v>17</v>
      </c>
      <c r="P2279">
        <v>23.197716044206398</v>
      </c>
      <c r="Q2279">
        <v>20.197716044206398</v>
      </c>
      <c r="R2279">
        <v>24.595430944003599</v>
      </c>
      <c r="S2279">
        <v>20.197716044206398</v>
      </c>
      <c r="T2279">
        <v>631.34270650263602</v>
      </c>
      <c r="U2279">
        <v>132.114235500879</v>
      </c>
      <c r="V2279">
        <v>5</v>
      </c>
      <c r="W2279">
        <v>79.022847100175696</v>
      </c>
      <c r="X2279">
        <v>304.20562390158199</v>
      </c>
      <c r="Y2279">
        <v>20</v>
      </c>
      <c r="Z2279">
        <v>215.09138840070301</v>
      </c>
      <c r="AA2279">
        <v>20</v>
      </c>
      <c r="AB2279">
        <v>2.6915509537359901</v>
      </c>
      <c r="AC2279">
        <v>6.51580807980418</v>
      </c>
      <c r="AD2279">
        <v>2.23603464723262</v>
      </c>
      <c r="AE2279">
        <v>0.241458232064448</v>
      </c>
      <c r="AF2279">
        <v>907.660808435852</v>
      </c>
      <c r="AG2279">
        <f>IFERROR(AH2279*0.1, "N/A")</f>
        <v>6.511423550087871</v>
      </c>
      <c r="AH2279">
        <v>65.114235500878706</v>
      </c>
      <c r="AI2279">
        <v>111.14156834982801</v>
      </c>
      <c r="AJ2279">
        <v>34.977152899824297</v>
      </c>
      <c r="AK2279">
        <v>46.068541300527201</v>
      </c>
    </row>
    <row r="2280" spans="1:37" x14ac:dyDescent="0.3">
      <c r="A2280">
        <v>2279</v>
      </c>
      <c r="B2280">
        <v>95</v>
      </c>
      <c r="C2280">
        <v>37.592498999999997</v>
      </c>
      <c r="D2280">
        <v>-3.7395900000000002</v>
      </c>
      <c r="E2280" t="s">
        <v>3969</v>
      </c>
      <c r="F2280" t="s">
        <v>3971</v>
      </c>
      <c r="G2280" t="s">
        <v>37</v>
      </c>
      <c r="H2280">
        <v>1973</v>
      </c>
      <c r="I2280">
        <v>22.5977156627367</v>
      </c>
      <c r="J2280">
        <v>11.8977149215859</v>
      </c>
      <c r="K2280">
        <v>69.977152899824205</v>
      </c>
      <c r="L2280">
        <v>16.930000305175799</v>
      </c>
      <c r="M2280">
        <v>31.697716044206398</v>
      </c>
      <c r="N2280">
        <v>14.6977151123208</v>
      </c>
      <c r="O2280">
        <v>17</v>
      </c>
      <c r="P2280">
        <v>23.197716044206398</v>
      </c>
      <c r="Q2280">
        <v>20.197716044206398</v>
      </c>
      <c r="R2280">
        <v>24.595430944003599</v>
      </c>
      <c r="S2280">
        <v>20.197716044206398</v>
      </c>
      <c r="T2280">
        <v>631.34270650263602</v>
      </c>
      <c r="U2280">
        <v>132.114235500879</v>
      </c>
      <c r="V2280">
        <v>5</v>
      </c>
      <c r="W2280">
        <v>79.022847100175696</v>
      </c>
      <c r="X2280">
        <v>304.20562390158199</v>
      </c>
      <c r="Y2280">
        <v>20</v>
      </c>
      <c r="Z2280">
        <v>215.09138840070301</v>
      </c>
      <c r="AA2280">
        <v>20</v>
      </c>
      <c r="AB2280">
        <v>2.6915509537359901</v>
      </c>
      <c r="AC2280">
        <v>6.51580807980418</v>
      </c>
      <c r="AD2280">
        <v>2.23603464723262</v>
      </c>
      <c r="AE2280">
        <v>0.241458232064448</v>
      </c>
      <c r="AF2280">
        <v>907.660808435852</v>
      </c>
      <c r="AG2280">
        <f>IFERROR(AH2280*0.1, "N/A")</f>
        <v>6.511423550087871</v>
      </c>
      <c r="AH2280">
        <v>65.114235500878706</v>
      </c>
      <c r="AI2280">
        <v>111.14156834982801</v>
      </c>
      <c r="AJ2280">
        <v>34.977152899824297</v>
      </c>
      <c r="AK2280">
        <v>46.068541300527201</v>
      </c>
    </row>
    <row r="2281" spans="1:37" x14ac:dyDescent="0.3">
      <c r="A2281">
        <v>2280</v>
      </c>
      <c r="B2281">
        <v>10.1</v>
      </c>
      <c r="C2281">
        <v>33.011100999999996</v>
      </c>
      <c r="D2281">
        <v>-8.4445999999999994</v>
      </c>
      <c r="E2281" t="s">
        <v>3972</v>
      </c>
      <c r="F2281" t="s">
        <v>3973</v>
      </c>
      <c r="G2281" t="s">
        <v>39</v>
      </c>
      <c r="H2281">
        <v>1979</v>
      </c>
      <c r="I2281">
        <v>23.200000762939499</v>
      </c>
      <c r="J2281">
        <v>11.8999996185303</v>
      </c>
      <c r="K2281">
        <v>68</v>
      </c>
      <c r="L2281">
        <v>13.210000038146999</v>
      </c>
      <c r="M2281">
        <v>31.600000381469702</v>
      </c>
      <c r="N2281">
        <v>14.300000190734901</v>
      </c>
      <c r="O2281">
        <v>17.299999237060501</v>
      </c>
      <c r="P2281">
        <v>23.5</v>
      </c>
      <c r="Q2281">
        <v>21.299999237060501</v>
      </c>
      <c r="R2281">
        <v>24.799999237060501</v>
      </c>
      <c r="S2281">
        <v>21.299999237060501</v>
      </c>
      <c r="T2281">
        <v>1151</v>
      </c>
      <c r="U2281">
        <v>255</v>
      </c>
      <c r="V2281">
        <v>1</v>
      </c>
      <c r="W2281">
        <v>101</v>
      </c>
      <c r="X2281">
        <v>662</v>
      </c>
      <c r="Y2281">
        <v>6</v>
      </c>
      <c r="Z2281">
        <v>302</v>
      </c>
      <c r="AA2281">
        <v>6</v>
      </c>
      <c r="AB2281">
        <v>161.768407079909</v>
      </c>
      <c r="AC2281">
        <v>5.1946168388693002E-2</v>
      </c>
      <c r="AD2281">
        <v>1.6495184285773199</v>
      </c>
      <c r="AE2281">
        <v>0.41455855965614302</v>
      </c>
      <c r="AF2281">
        <v>972.77083333333303</v>
      </c>
      <c r="AG2281">
        <f>IFERROR(AH2281*0.1, "N/A")</f>
        <v>6.03350694444444</v>
      </c>
      <c r="AH2281">
        <v>60.3350694444444</v>
      </c>
      <c r="AI2281">
        <v>177.16509089204999</v>
      </c>
      <c r="AJ2281">
        <v>26.6423611111111</v>
      </c>
      <c r="AK2281">
        <v>57.15625</v>
      </c>
    </row>
    <row r="2282" spans="1:37" x14ac:dyDescent="0.3">
      <c r="A2282">
        <v>2281</v>
      </c>
      <c r="B2282">
        <v>0</v>
      </c>
      <c r="C2282">
        <v>33.011100999999996</v>
      </c>
      <c r="D2282">
        <v>-8.4445999999999994</v>
      </c>
      <c r="E2282" t="s">
        <v>3972</v>
      </c>
      <c r="F2282" t="s">
        <v>3974</v>
      </c>
      <c r="G2282" t="s">
        <v>37</v>
      </c>
      <c r="H2282">
        <v>1979</v>
      </c>
      <c r="I2282">
        <v>23.200000762939499</v>
      </c>
      <c r="J2282">
        <v>11.8999996185303</v>
      </c>
      <c r="K2282">
        <v>68</v>
      </c>
      <c r="L2282">
        <v>13.210000038146999</v>
      </c>
      <c r="M2282">
        <v>31.600000381469702</v>
      </c>
      <c r="N2282">
        <v>14.300000190734901</v>
      </c>
      <c r="O2282">
        <v>17.299999237060501</v>
      </c>
      <c r="P2282">
        <v>23.5</v>
      </c>
      <c r="Q2282">
        <v>21.299999237060501</v>
      </c>
      <c r="R2282">
        <v>24.799999237060501</v>
      </c>
      <c r="S2282">
        <v>21.299999237060501</v>
      </c>
      <c r="T2282">
        <v>1151</v>
      </c>
      <c r="U2282">
        <v>255</v>
      </c>
      <c r="V2282">
        <v>1</v>
      </c>
      <c r="W2282">
        <v>101</v>
      </c>
      <c r="X2282">
        <v>662</v>
      </c>
      <c r="Y2282">
        <v>6</v>
      </c>
      <c r="Z2282">
        <v>302</v>
      </c>
      <c r="AA2282">
        <v>6</v>
      </c>
      <c r="AB2282">
        <v>161.768407079909</v>
      </c>
      <c r="AC2282">
        <v>5.1946168388693002E-2</v>
      </c>
      <c r="AD2282">
        <v>1.6495184285773199</v>
      </c>
      <c r="AE2282">
        <v>0.41455855965614302</v>
      </c>
      <c r="AF2282">
        <v>972.77083333333303</v>
      </c>
      <c r="AG2282">
        <f>IFERROR(AH2282*0.1, "N/A")</f>
        <v>6.03350694444444</v>
      </c>
      <c r="AH2282">
        <v>60.3350694444444</v>
      </c>
      <c r="AI2282">
        <v>177.16509089204999</v>
      </c>
      <c r="AJ2282">
        <v>26.6423611111111</v>
      </c>
      <c r="AK2282">
        <v>57.15625</v>
      </c>
    </row>
    <row r="2283" spans="1:37" x14ac:dyDescent="0.3">
      <c r="A2283">
        <v>2282</v>
      </c>
      <c r="B2283">
        <v>53.599997999999999</v>
      </c>
      <c r="C2283">
        <v>32.665698999999996</v>
      </c>
      <c r="D2283">
        <v>-8.0510000000000002</v>
      </c>
      <c r="E2283" t="s">
        <v>3975</v>
      </c>
      <c r="F2283" t="s">
        <v>3976</v>
      </c>
      <c r="G2283" t="s">
        <v>39</v>
      </c>
      <c r="H2283">
        <v>1979</v>
      </c>
      <c r="I2283">
        <v>23.399999618530298</v>
      </c>
      <c r="J2283">
        <v>12.1000003814697</v>
      </c>
      <c r="K2283">
        <v>69</v>
      </c>
      <c r="L2283">
        <v>12.504003453709201</v>
      </c>
      <c r="M2283">
        <v>31.703640222136201</v>
      </c>
      <c r="N2283">
        <v>14.300000190734901</v>
      </c>
      <c r="O2283">
        <v>17.403639147145299</v>
      </c>
      <c r="P2283">
        <v>23.703640222136201</v>
      </c>
      <c r="Q2283">
        <v>21.600000381469702</v>
      </c>
      <c r="R2283">
        <v>24.799999237060501</v>
      </c>
      <c r="S2283">
        <v>21.600000381469702</v>
      </c>
      <c r="T2283">
        <v>994.072790294627</v>
      </c>
      <c r="U2283">
        <v>218.03639514731401</v>
      </c>
      <c r="V2283">
        <v>0</v>
      </c>
      <c r="W2283">
        <v>102.963604852686</v>
      </c>
      <c r="X2283">
        <v>579.03639514731401</v>
      </c>
      <c r="Y2283">
        <v>1</v>
      </c>
      <c r="Z2283">
        <v>282</v>
      </c>
      <c r="AA2283">
        <v>1</v>
      </c>
      <c r="AB2283">
        <v>25.585621957762399</v>
      </c>
      <c r="AC2283">
        <v>1.2661232123962E-2</v>
      </c>
      <c r="AD2283">
        <v>1.6462388852646701</v>
      </c>
      <c r="AE2283">
        <v>0.20232812913079801</v>
      </c>
      <c r="AF2283">
        <v>1020.15597920277</v>
      </c>
      <c r="AG2283">
        <f>IFERROR(AH2283*0.1, "N/A")</f>
        <v>5.9963604852686307</v>
      </c>
      <c r="AH2283">
        <v>59.963604852686302</v>
      </c>
      <c r="AI2283">
        <v>33.206907996271902</v>
      </c>
      <c r="AJ2283">
        <v>22.270363951473101</v>
      </c>
      <c r="AK2283">
        <v>68.116117850953202</v>
      </c>
    </row>
    <row r="2284" spans="1:37" x14ac:dyDescent="0.3">
      <c r="A2284">
        <v>2283</v>
      </c>
      <c r="B2284">
        <v>5</v>
      </c>
      <c r="C2284">
        <v>32.665698999999996</v>
      </c>
      <c r="D2284">
        <v>-8.0510000000000002</v>
      </c>
      <c r="E2284" t="s">
        <v>3975</v>
      </c>
      <c r="F2284" t="s">
        <v>3977</v>
      </c>
      <c r="G2284" t="s">
        <v>37</v>
      </c>
      <c r="H2284">
        <v>1979</v>
      </c>
      <c r="I2284">
        <v>23.399999618530298</v>
      </c>
      <c r="J2284">
        <v>12.1000003814697</v>
      </c>
      <c r="K2284">
        <v>69</v>
      </c>
      <c r="L2284">
        <v>12.504003453709201</v>
      </c>
      <c r="M2284">
        <v>31.703640222136201</v>
      </c>
      <c r="N2284">
        <v>14.300000190734901</v>
      </c>
      <c r="O2284">
        <v>17.403639147145299</v>
      </c>
      <c r="P2284">
        <v>23.703640222136201</v>
      </c>
      <c r="Q2284">
        <v>21.600000381469702</v>
      </c>
      <c r="R2284">
        <v>24.799999237060501</v>
      </c>
      <c r="S2284">
        <v>21.600000381469702</v>
      </c>
      <c r="T2284">
        <v>994.072790294627</v>
      </c>
      <c r="U2284">
        <v>218.03639514731401</v>
      </c>
      <c r="V2284">
        <v>0</v>
      </c>
      <c r="W2284">
        <v>102.963604852686</v>
      </c>
      <c r="X2284">
        <v>579.03639514731401</v>
      </c>
      <c r="Y2284">
        <v>1</v>
      </c>
      <c r="Z2284">
        <v>282</v>
      </c>
      <c r="AA2284">
        <v>1</v>
      </c>
      <c r="AB2284">
        <v>25.585621957762399</v>
      </c>
      <c r="AC2284">
        <v>1.2661232123962E-2</v>
      </c>
      <c r="AD2284">
        <v>1.6462388852646701</v>
      </c>
      <c r="AE2284">
        <v>0.20232812913079801</v>
      </c>
      <c r="AF2284">
        <v>1020.15597920277</v>
      </c>
      <c r="AG2284">
        <f>IFERROR(AH2284*0.1, "N/A")</f>
        <v>5.9963604852686307</v>
      </c>
      <c r="AH2284">
        <v>59.963604852686302</v>
      </c>
      <c r="AI2284">
        <v>33.206907996271902</v>
      </c>
      <c r="AJ2284">
        <v>22.270363951473101</v>
      </c>
      <c r="AK2284">
        <v>68.116117850953202</v>
      </c>
    </row>
    <row r="2285" spans="1:37" x14ac:dyDescent="0.3">
      <c r="A2285">
        <v>2284</v>
      </c>
      <c r="B2285">
        <v>80.800003000000004</v>
      </c>
      <c r="C2285">
        <v>32.849499000000002</v>
      </c>
      <c r="D2285">
        <v>-8.3371999999999993</v>
      </c>
      <c r="E2285" t="s">
        <v>3978</v>
      </c>
      <c r="F2285" t="s">
        <v>3979</v>
      </c>
      <c r="G2285" t="s">
        <v>39</v>
      </c>
      <c r="H2285">
        <v>1979</v>
      </c>
      <c r="I2285">
        <v>23.357512409822899</v>
      </c>
      <c r="J2285">
        <v>11.8999996185303</v>
      </c>
      <c r="K2285">
        <v>68</v>
      </c>
      <c r="L2285">
        <v>12.6366841113629</v>
      </c>
      <c r="M2285">
        <v>31.700000762939499</v>
      </c>
      <c r="N2285">
        <v>14.357512815011001</v>
      </c>
      <c r="O2285">
        <v>17.3424864457679</v>
      </c>
      <c r="P2285">
        <v>23.6575135542321</v>
      </c>
      <c r="Q2285">
        <v>21.515025964054999</v>
      </c>
      <c r="R2285">
        <v>24.799999237060501</v>
      </c>
      <c r="S2285">
        <v>21.515025964054999</v>
      </c>
      <c r="T2285">
        <v>1074</v>
      </c>
      <c r="U2285">
        <v>238</v>
      </c>
      <c r="V2285">
        <v>1</v>
      </c>
      <c r="W2285">
        <v>102</v>
      </c>
      <c r="X2285">
        <v>626.42487046632095</v>
      </c>
      <c r="Y2285">
        <v>4</v>
      </c>
      <c r="Z2285">
        <v>290</v>
      </c>
      <c r="AA2285">
        <v>4</v>
      </c>
      <c r="AB2285">
        <v>31.710710436568998</v>
      </c>
      <c r="AC2285">
        <v>1.5925140882519E-2</v>
      </c>
      <c r="AD2285">
        <v>2.4190292236924398</v>
      </c>
      <c r="AE2285">
        <v>0.45377644896507302</v>
      </c>
      <c r="AF2285">
        <v>990.98963730569903</v>
      </c>
      <c r="AG2285">
        <f>IFERROR(AH2285*0.1, "N/A")</f>
        <v>5.8578583765112304</v>
      </c>
      <c r="AH2285">
        <v>58.578583765112299</v>
      </c>
      <c r="AI2285">
        <v>195.220860588324</v>
      </c>
      <c r="AJ2285">
        <v>25.575129533678801</v>
      </c>
      <c r="AK2285">
        <v>58.849740932642497</v>
      </c>
    </row>
    <row r="2286" spans="1:37" x14ac:dyDescent="0.3">
      <c r="A2286">
        <v>2285</v>
      </c>
      <c r="B2286">
        <v>18.200001</v>
      </c>
      <c r="C2286">
        <v>32.849499000000002</v>
      </c>
      <c r="D2286">
        <v>-8.3371999999999993</v>
      </c>
      <c r="E2286" t="s">
        <v>3978</v>
      </c>
      <c r="F2286" t="s">
        <v>3980</v>
      </c>
      <c r="G2286" t="s">
        <v>37</v>
      </c>
      <c r="H2286">
        <v>1979</v>
      </c>
      <c r="I2286">
        <v>23.357512409822899</v>
      </c>
      <c r="J2286">
        <v>11.8999996185303</v>
      </c>
      <c r="K2286">
        <v>68</v>
      </c>
      <c r="L2286">
        <v>12.6366841113629</v>
      </c>
      <c r="M2286">
        <v>31.700000762939499</v>
      </c>
      <c r="N2286">
        <v>14.357512815011001</v>
      </c>
      <c r="O2286">
        <v>17.3424864457679</v>
      </c>
      <c r="P2286">
        <v>23.6575135542321</v>
      </c>
      <c r="Q2286">
        <v>21.515025964054999</v>
      </c>
      <c r="R2286">
        <v>24.799999237060501</v>
      </c>
      <c r="S2286">
        <v>21.515025964054999</v>
      </c>
      <c r="T2286">
        <v>1074</v>
      </c>
      <c r="U2286">
        <v>238</v>
      </c>
      <c r="V2286">
        <v>1</v>
      </c>
      <c r="W2286">
        <v>102</v>
      </c>
      <c r="X2286">
        <v>626.42487046632095</v>
      </c>
      <c r="Y2286">
        <v>4</v>
      </c>
      <c r="Z2286">
        <v>290</v>
      </c>
      <c r="AA2286">
        <v>4</v>
      </c>
      <c r="AB2286">
        <v>31.710710436568998</v>
      </c>
      <c r="AC2286">
        <v>1.5925140882519E-2</v>
      </c>
      <c r="AD2286">
        <v>2.4190292236924398</v>
      </c>
      <c r="AE2286">
        <v>0.45377644896507302</v>
      </c>
      <c r="AF2286">
        <v>990.98963730569903</v>
      </c>
      <c r="AG2286">
        <f>IFERROR(AH2286*0.1, "N/A")</f>
        <v>5.8578583765112304</v>
      </c>
      <c r="AH2286">
        <v>58.578583765112299</v>
      </c>
      <c r="AI2286">
        <v>195.220860588324</v>
      </c>
      <c r="AJ2286">
        <v>25.575129533678801</v>
      </c>
      <c r="AK2286">
        <v>58.849740932642497</v>
      </c>
    </row>
    <row r="2287" spans="1:37" x14ac:dyDescent="0.3">
      <c r="A2287">
        <v>2286</v>
      </c>
      <c r="B2287">
        <v>16</v>
      </c>
      <c r="C2287">
        <v>32.737499</v>
      </c>
      <c r="D2287">
        <v>-8.4993999999999996</v>
      </c>
      <c r="E2287" t="s">
        <v>3981</v>
      </c>
      <c r="F2287" t="s">
        <v>3982</v>
      </c>
      <c r="G2287" t="s">
        <v>39</v>
      </c>
      <c r="H2287">
        <v>1979</v>
      </c>
      <c r="I2287">
        <v>24.299999237060501</v>
      </c>
      <c r="J2287">
        <v>11.800000190734901</v>
      </c>
      <c r="K2287">
        <v>68</v>
      </c>
      <c r="L2287">
        <v>12.9359966241714</v>
      </c>
      <c r="M2287">
        <v>32.787694398823803</v>
      </c>
      <c r="N2287">
        <v>15.5</v>
      </c>
      <c r="O2287">
        <v>17.287694398823799</v>
      </c>
      <c r="P2287">
        <v>24.600000381469702</v>
      </c>
      <c r="Q2287">
        <v>23.287694398823799</v>
      </c>
      <c r="R2287">
        <v>25.799999237060501</v>
      </c>
      <c r="S2287">
        <v>22.487694927063501</v>
      </c>
      <c r="T2287">
        <v>1098.1230502599699</v>
      </c>
      <c r="U2287">
        <v>244</v>
      </c>
      <c r="V2287">
        <v>1</v>
      </c>
      <c r="W2287">
        <v>100</v>
      </c>
      <c r="X2287">
        <v>615</v>
      </c>
      <c r="Y2287">
        <v>6.12305025996534</v>
      </c>
      <c r="Z2287">
        <v>290</v>
      </c>
      <c r="AA2287">
        <v>8</v>
      </c>
      <c r="AB2287">
        <v>0.76031134488057805</v>
      </c>
      <c r="AC2287">
        <v>17.4635115478162</v>
      </c>
      <c r="AD2287">
        <v>0.92169090423674904</v>
      </c>
      <c r="AE2287">
        <v>0.29073193669319197</v>
      </c>
      <c r="AF2287">
        <v>808.95147313691496</v>
      </c>
      <c r="AG2287">
        <f>IFERROR(AH2287*0.1, "N/A")</f>
        <v>6.3025996533795503</v>
      </c>
      <c r="AH2287">
        <v>63.025996533795499</v>
      </c>
      <c r="AI2287">
        <v>125.906239580654</v>
      </c>
      <c r="AJ2287">
        <v>24.025996533795499</v>
      </c>
      <c r="AK2287">
        <v>62.831889081455799</v>
      </c>
    </row>
    <row r="2288" spans="1:37" x14ac:dyDescent="0.3">
      <c r="A2288">
        <v>2287</v>
      </c>
      <c r="B2288">
        <v>11.1</v>
      </c>
      <c r="C2288">
        <v>32.737499</v>
      </c>
      <c r="D2288">
        <v>-8.4993999999999996</v>
      </c>
      <c r="E2288" t="s">
        <v>3981</v>
      </c>
      <c r="F2288" t="s">
        <v>3983</v>
      </c>
      <c r="G2288" t="s">
        <v>37</v>
      </c>
      <c r="H2288">
        <v>1979</v>
      </c>
      <c r="I2288">
        <v>24.299999237060501</v>
      </c>
      <c r="J2288">
        <v>11.800000190734901</v>
      </c>
      <c r="K2288">
        <v>68</v>
      </c>
      <c r="L2288">
        <v>12.9359966241714</v>
      </c>
      <c r="M2288">
        <v>32.787694398823803</v>
      </c>
      <c r="N2288">
        <v>15.5</v>
      </c>
      <c r="O2288">
        <v>17.287694398823799</v>
      </c>
      <c r="P2288">
        <v>24.600000381469702</v>
      </c>
      <c r="Q2288">
        <v>23.287694398823799</v>
      </c>
      <c r="R2288">
        <v>25.799999237060501</v>
      </c>
      <c r="S2288">
        <v>22.487694927063501</v>
      </c>
      <c r="T2288">
        <v>1098.1230502599699</v>
      </c>
      <c r="U2288">
        <v>244</v>
      </c>
      <c r="V2288">
        <v>1</v>
      </c>
      <c r="W2288">
        <v>100</v>
      </c>
      <c r="X2288">
        <v>615</v>
      </c>
      <c r="Y2288">
        <v>6.12305025996534</v>
      </c>
      <c r="Z2288">
        <v>290</v>
      </c>
      <c r="AA2288">
        <v>8</v>
      </c>
      <c r="AB2288">
        <v>0.76031134488057805</v>
      </c>
      <c r="AC2288">
        <v>17.4635115478162</v>
      </c>
      <c r="AD2288">
        <v>0.92169090423674904</v>
      </c>
      <c r="AE2288">
        <v>0.29073193669319197</v>
      </c>
      <c r="AF2288">
        <v>808.95147313691496</v>
      </c>
      <c r="AG2288">
        <f>IFERROR(AH2288*0.1, "N/A")</f>
        <v>6.3025996533795503</v>
      </c>
      <c r="AH2288">
        <v>63.025996533795499</v>
      </c>
      <c r="AI2288">
        <v>125.906239580654</v>
      </c>
      <c r="AJ2288">
        <v>24.025996533795499</v>
      </c>
      <c r="AK2288">
        <v>62.831889081455799</v>
      </c>
    </row>
    <row r="2289" spans="1:37" x14ac:dyDescent="0.3">
      <c r="A2289">
        <v>2288</v>
      </c>
      <c r="B2289">
        <v>15</v>
      </c>
      <c r="C2289">
        <v>33.037497999999999</v>
      </c>
      <c r="D2289">
        <v>-8.5207999999999995</v>
      </c>
      <c r="E2289" t="s">
        <v>3984</v>
      </c>
      <c r="F2289" t="s">
        <v>3985</v>
      </c>
      <c r="G2289" t="s">
        <v>39</v>
      </c>
      <c r="H2289">
        <v>1979</v>
      </c>
      <c r="I2289">
        <v>24</v>
      </c>
      <c r="J2289">
        <v>11.800000190734901</v>
      </c>
      <c r="K2289">
        <v>68</v>
      </c>
      <c r="L2289">
        <v>13.579999923706101</v>
      </c>
      <c r="M2289">
        <v>32.400001525878899</v>
      </c>
      <c r="N2289">
        <v>15.1000003814697</v>
      </c>
      <c r="O2289">
        <v>17.299999237060501</v>
      </c>
      <c r="P2289">
        <v>24.299999237060501</v>
      </c>
      <c r="Q2289">
        <v>22.799999237060501</v>
      </c>
      <c r="R2289">
        <v>25.600000381469702</v>
      </c>
      <c r="S2289">
        <v>22</v>
      </c>
      <c r="T2289">
        <v>1207</v>
      </c>
      <c r="U2289">
        <v>265</v>
      </c>
      <c r="V2289">
        <v>2</v>
      </c>
      <c r="W2289">
        <v>97</v>
      </c>
      <c r="X2289">
        <v>656</v>
      </c>
      <c r="Y2289">
        <v>11</v>
      </c>
      <c r="Z2289">
        <v>302</v>
      </c>
      <c r="AA2289">
        <v>15</v>
      </c>
      <c r="AB2289">
        <v>0.14332366361568499</v>
      </c>
      <c r="AC2289">
        <v>1.06898632302454</v>
      </c>
      <c r="AD2289">
        <v>1.37990774366637</v>
      </c>
      <c r="AE2289">
        <v>0.38001644611358598</v>
      </c>
      <c r="AF2289">
        <v>819.301559792028</v>
      </c>
      <c r="AG2289">
        <f>IFERROR(AH2289*0.1, "N/A")</f>
        <v>6.5178509532062412</v>
      </c>
      <c r="AH2289">
        <v>65.178509532062407</v>
      </c>
      <c r="AI2289">
        <v>144.80060983324</v>
      </c>
      <c r="AJ2289">
        <v>29.0207972270364</v>
      </c>
      <c r="AK2289">
        <v>55.913344887348401</v>
      </c>
    </row>
    <row r="2290" spans="1:37" x14ac:dyDescent="0.3">
      <c r="A2290">
        <v>2289</v>
      </c>
      <c r="B2290">
        <v>7.5</v>
      </c>
      <c r="C2290">
        <v>33.037497999999999</v>
      </c>
      <c r="D2290">
        <v>-8.5207999999999995</v>
      </c>
      <c r="E2290" t="s">
        <v>3984</v>
      </c>
      <c r="F2290" t="s">
        <v>3986</v>
      </c>
      <c r="G2290" t="s">
        <v>37</v>
      </c>
      <c r="H2290">
        <v>1979</v>
      </c>
      <c r="I2290">
        <v>24</v>
      </c>
      <c r="J2290">
        <v>11.800000190734901</v>
      </c>
      <c r="K2290">
        <v>68</v>
      </c>
      <c r="L2290">
        <v>13.579999923706101</v>
      </c>
      <c r="M2290">
        <v>32.400001525878899</v>
      </c>
      <c r="N2290">
        <v>15.1000003814697</v>
      </c>
      <c r="O2290">
        <v>17.299999237060501</v>
      </c>
      <c r="P2290">
        <v>24.299999237060501</v>
      </c>
      <c r="Q2290">
        <v>22.799999237060501</v>
      </c>
      <c r="R2290">
        <v>25.600000381469702</v>
      </c>
      <c r="S2290">
        <v>22</v>
      </c>
      <c r="T2290">
        <v>1207</v>
      </c>
      <c r="U2290">
        <v>265</v>
      </c>
      <c r="V2290">
        <v>2</v>
      </c>
      <c r="W2290">
        <v>97</v>
      </c>
      <c r="X2290">
        <v>656</v>
      </c>
      <c r="Y2290">
        <v>11</v>
      </c>
      <c r="Z2290">
        <v>302</v>
      </c>
      <c r="AA2290">
        <v>15</v>
      </c>
      <c r="AB2290">
        <v>0.14332366361568499</v>
      </c>
      <c r="AC2290">
        <v>1.06898632302454</v>
      </c>
      <c r="AD2290">
        <v>1.37990774366637</v>
      </c>
      <c r="AE2290">
        <v>0.38001644611358598</v>
      </c>
      <c r="AF2290">
        <v>819.301559792028</v>
      </c>
      <c r="AG2290">
        <f>IFERROR(AH2290*0.1, "N/A")</f>
        <v>6.5178509532062412</v>
      </c>
      <c r="AH2290">
        <v>65.178509532062407</v>
      </c>
      <c r="AI2290">
        <v>144.80060983324</v>
      </c>
      <c r="AJ2290">
        <v>29.0207972270364</v>
      </c>
      <c r="AK2290">
        <v>55.913344887348401</v>
      </c>
    </row>
    <row r="2291" spans="1:37" x14ac:dyDescent="0.3">
      <c r="A2291">
        <v>2290</v>
      </c>
      <c r="B2291">
        <v>14</v>
      </c>
      <c r="C2291">
        <v>33.067402000000001</v>
      </c>
      <c r="D2291">
        <v>-8.5439000000000007</v>
      </c>
      <c r="E2291" t="s">
        <v>3987</v>
      </c>
      <c r="F2291" t="s">
        <v>3988</v>
      </c>
      <c r="G2291" t="s">
        <v>39</v>
      </c>
      <c r="H2291">
        <v>1979</v>
      </c>
      <c r="I2291">
        <v>23.899999618530298</v>
      </c>
      <c r="J2291">
        <v>11.800000190734901</v>
      </c>
      <c r="K2291">
        <v>68</v>
      </c>
      <c r="L2291">
        <v>13.644359723919401</v>
      </c>
      <c r="M2291">
        <v>32.299999237060497</v>
      </c>
      <c r="N2291">
        <v>15</v>
      </c>
      <c r="O2291">
        <v>17.299999237060501</v>
      </c>
      <c r="P2291">
        <v>24.200000762939499</v>
      </c>
      <c r="Q2291">
        <v>22.700000762939499</v>
      </c>
      <c r="R2291">
        <v>25.5</v>
      </c>
      <c r="S2291">
        <v>21.899999618530298</v>
      </c>
      <c r="T2291">
        <v>1227.5432525951601</v>
      </c>
      <c r="U2291">
        <v>268</v>
      </c>
      <c r="V2291">
        <v>2</v>
      </c>
      <c r="W2291">
        <v>96</v>
      </c>
      <c r="X2291">
        <v>662</v>
      </c>
      <c r="Y2291">
        <v>11</v>
      </c>
      <c r="Z2291">
        <v>305</v>
      </c>
      <c r="AA2291">
        <v>15.8477508650519</v>
      </c>
      <c r="AB2291">
        <v>0.49534063108239601</v>
      </c>
      <c r="AC2291">
        <v>1.22921669767738</v>
      </c>
      <c r="AD2291">
        <v>1.43094674825256</v>
      </c>
      <c r="AE2291">
        <v>0.465841084718704</v>
      </c>
      <c r="AF2291">
        <v>827.377162629758</v>
      </c>
      <c r="AG2291">
        <f>IFERROR(AH2291*0.1, "N/A")</f>
        <v>6.5152249134948095</v>
      </c>
      <c r="AH2291">
        <v>65.152249134948093</v>
      </c>
      <c r="AI2291">
        <v>205.77838286561499</v>
      </c>
      <c r="AJ2291">
        <v>31.8477508650519</v>
      </c>
      <c r="AK2291">
        <v>52.8477508650519</v>
      </c>
    </row>
    <row r="2292" spans="1:37" x14ac:dyDescent="0.3">
      <c r="A2292">
        <v>2291</v>
      </c>
      <c r="B2292">
        <v>2.5</v>
      </c>
      <c r="C2292">
        <v>33.067402000000001</v>
      </c>
      <c r="D2292">
        <v>-8.5439000000000007</v>
      </c>
      <c r="E2292" t="s">
        <v>3987</v>
      </c>
      <c r="F2292" t="s">
        <v>3989</v>
      </c>
      <c r="G2292" t="s">
        <v>37</v>
      </c>
      <c r="H2292">
        <v>1979</v>
      </c>
      <c r="I2292">
        <v>23.899999618530298</v>
      </c>
      <c r="J2292">
        <v>11.800000190734901</v>
      </c>
      <c r="K2292">
        <v>68</v>
      </c>
      <c r="L2292">
        <v>13.644359723919401</v>
      </c>
      <c r="M2292">
        <v>32.299999237060497</v>
      </c>
      <c r="N2292">
        <v>15</v>
      </c>
      <c r="O2292">
        <v>17.299999237060501</v>
      </c>
      <c r="P2292">
        <v>24.200000762939499</v>
      </c>
      <c r="Q2292">
        <v>22.700000762939499</v>
      </c>
      <c r="R2292">
        <v>25.5</v>
      </c>
      <c r="S2292">
        <v>21.899999618530298</v>
      </c>
      <c r="T2292">
        <v>1227.5432525951601</v>
      </c>
      <c r="U2292">
        <v>268</v>
      </c>
      <c r="V2292">
        <v>2</v>
      </c>
      <c r="W2292">
        <v>96</v>
      </c>
      <c r="X2292">
        <v>662</v>
      </c>
      <c r="Y2292">
        <v>11</v>
      </c>
      <c r="Z2292">
        <v>305</v>
      </c>
      <c r="AA2292">
        <v>15.8477508650519</v>
      </c>
      <c r="AB2292">
        <v>0.49534063108239601</v>
      </c>
      <c r="AC2292">
        <v>1.22921669767738</v>
      </c>
      <c r="AD2292">
        <v>1.43094674825256</v>
      </c>
      <c r="AE2292">
        <v>0.465841084718704</v>
      </c>
      <c r="AF2292">
        <v>827.377162629758</v>
      </c>
      <c r="AG2292">
        <f>IFERROR(AH2292*0.1, "N/A")</f>
        <v>6.5152249134948095</v>
      </c>
      <c r="AH2292">
        <v>65.152249134948093</v>
      </c>
      <c r="AI2292">
        <v>205.77838286561499</v>
      </c>
      <c r="AJ2292">
        <v>31.8477508650519</v>
      </c>
      <c r="AK2292">
        <v>52.8477508650519</v>
      </c>
    </row>
    <row r="2293" spans="1:37" x14ac:dyDescent="0.3">
      <c r="A2293">
        <v>2292</v>
      </c>
      <c r="B2293">
        <v>0.06</v>
      </c>
      <c r="C2293">
        <v>31.290900000000001</v>
      </c>
      <c r="D2293">
        <v>-2.3064</v>
      </c>
      <c r="E2293" t="s">
        <v>3990</v>
      </c>
      <c r="F2293" t="s">
        <v>3991</v>
      </c>
      <c r="G2293" t="s">
        <v>39</v>
      </c>
      <c r="H2293">
        <v>1990</v>
      </c>
      <c r="I2293">
        <v>21.799999237060501</v>
      </c>
      <c r="J2293">
        <v>10.5</v>
      </c>
      <c r="K2293">
        <v>83</v>
      </c>
      <c r="L2293">
        <v>3.1199998855590798</v>
      </c>
      <c r="M2293">
        <v>28.200000762939499</v>
      </c>
      <c r="N2293">
        <v>15.6000003814697</v>
      </c>
      <c r="O2293">
        <v>12.6000003814697</v>
      </c>
      <c r="P2293">
        <v>21.799999237060501</v>
      </c>
      <c r="Q2293">
        <v>21.5</v>
      </c>
      <c r="R2293">
        <v>22.100000381469702</v>
      </c>
      <c r="S2293">
        <v>21.5</v>
      </c>
      <c r="T2293">
        <v>1140</v>
      </c>
      <c r="U2293">
        <v>212</v>
      </c>
      <c r="V2293">
        <v>2</v>
      </c>
      <c r="W2293">
        <v>68</v>
      </c>
      <c r="X2293">
        <v>495</v>
      </c>
      <c r="Y2293">
        <v>20</v>
      </c>
      <c r="Z2293">
        <v>169</v>
      </c>
      <c r="AA2293">
        <v>97</v>
      </c>
      <c r="AB2293">
        <v>80.882830735459706</v>
      </c>
      <c r="AC2293">
        <v>2.1300131065511999E-2</v>
      </c>
      <c r="AD2293">
        <v>17.092340843958301</v>
      </c>
      <c r="AE2293">
        <v>0.116400056962179</v>
      </c>
      <c r="AF2293">
        <v>1243.91388400703</v>
      </c>
      <c r="AG2293">
        <f>IFERROR(AH2293*0.1, "N/A")</f>
        <v>5.3887521968365499</v>
      </c>
      <c r="AH2293">
        <v>53.887521968365498</v>
      </c>
      <c r="AI2293">
        <v>276.934881334355</v>
      </c>
      <c r="AJ2293">
        <v>32.224956063268898</v>
      </c>
      <c r="AK2293">
        <v>48.662565905096699</v>
      </c>
    </row>
    <row r="2294" spans="1:37" x14ac:dyDescent="0.3">
      <c r="A2294">
        <v>2293</v>
      </c>
      <c r="B2294">
        <v>0.7</v>
      </c>
      <c r="C2294">
        <v>31.290900000000001</v>
      </c>
      <c r="D2294">
        <v>-2.3064</v>
      </c>
      <c r="E2294" t="s">
        <v>3990</v>
      </c>
      <c r="F2294" t="s">
        <v>3992</v>
      </c>
      <c r="G2294" t="s">
        <v>37</v>
      </c>
      <c r="H2294">
        <v>1990</v>
      </c>
      <c r="I2294">
        <v>21.799999237060501</v>
      </c>
      <c r="J2294">
        <v>10.5</v>
      </c>
      <c r="K2294">
        <v>83</v>
      </c>
      <c r="L2294">
        <v>3.1199998855590798</v>
      </c>
      <c r="M2294">
        <v>28.200000762939499</v>
      </c>
      <c r="N2294">
        <v>15.6000003814697</v>
      </c>
      <c r="O2294">
        <v>12.6000003814697</v>
      </c>
      <c r="P2294">
        <v>21.799999237060501</v>
      </c>
      <c r="Q2294">
        <v>21.5</v>
      </c>
      <c r="R2294">
        <v>22.100000381469702</v>
      </c>
      <c r="S2294">
        <v>21.5</v>
      </c>
      <c r="T2294">
        <v>1140</v>
      </c>
      <c r="U2294">
        <v>212</v>
      </c>
      <c r="V2294">
        <v>2</v>
      </c>
      <c r="W2294">
        <v>68</v>
      </c>
      <c r="X2294">
        <v>495</v>
      </c>
      <c r="Y2294">
        <v>20</v>
      </c>
      <c r="Z2294">
        <v>169</v>
      </c>
      <c r="AA2294">
        <v>97</v>
      </c>
      <c r="AB2294">
        <v>80.882830735459706</v>
      </c>
      <c r="AC2294">
        <v>2.1300131065511999E-2</v>
      </c>
      <c r="AD2294">
        <v>17.092340843958301</v>
      </c>
      <c r="AE2294">
        <v>0.116400056962179</v>
      </c>
      <c r="AF2294">
        <v>1243.91388400703</v>
      </c>
      <c r="AG2294">
        <f>IFERROR(AH2294*0.1, "N/A")</f>
        <v>5.3887521968365499</v>
      </c>
      <c r="AH2294">
        <v>53.887521968365498</v>
      </c>
      <c r="AI2294">
        <v>276.934881334355</v>
      </c>
      <c r="AJ2294">
        <v>32.224956063268898</v>
      </c>
      <c r="AK2294">
        <v>48.662565905096699</v>
      </c>
    </row>
    <row r="2295" spans="1:37" x14ac:dyDescent="0.3">
      <c r="A2295">
        <v>2294</v>
      </c>
      <c r="B2295">
        <v>19.700001</v>
      </c>
      <c r="C2295">
        <v>32.480300999999997</v>
      </c>
      <c r="D2295">
        <v>-2.3511000000000002</v>
      </c>
      <c r="E2295" t="s">
        <v>3993</v>
      </c>
      <c r="F2295" t="s">
        <v>3994</v>
      </c>
      <c r="G2295" t="s">
        <v>37</v>
      </c>
      <c r="H2295">
        <v>1987</v>
      </c>
      <c r="I2295">
        <v>22.399999618530298</v>
      </c>
      <c r="J2295">
        <v>10.199999809265099</v>
      </c>
      <c r="K2295">
        <v>78</v>
      </c>
      <c r="L2295">
        <v>4.5100002288818404</v>
      </c>
      <c r="M2295">
        <v>28.5</v>
      </c>
      <c r="N2295">
        <v>15.5</v>
      </c>
      <c r="O2295">
        <v>13</v>
      </c>
      <c r="P2295">
        <v>22.600000381469702</v>
      </c>
      <c r="Q2295">
        <v>21.799999237060501</v>
      </c>
      <c r="R2295">
        <v>22.899999618530298</v>
      </c>
      <c r="S2295">
        <v>21.799999237060501</v>
      </c>
      <c r="T2295">
        <v>1118</v>
      </c>
      <c r="U2295">
        <v>185</v>
      </c>
      <c r="V2295">
        <v>11</v>
      </c>
      <c r="W2295">
        <v>58</v>
      </c>
      <c r="X2295">
        <v>432</v>
      </c>
      <c r="Y2295">
        <v>58</v>
      </c>
      <c r="Z2295">
        <v>349</v>
      </c>
      <c r="AA2295">
        <v>58</v>
      </c>
      <c r="AB2295">
        <v>15.766463402076001</v>
      </c>
      <c r="AC2295">
        <v>0.112771326018029</v>
      </c>
      <c r="AD2295">
        <v>3.0931747797712901</v>
      </c>
      <c r="AE2295">
        <v>0.49530635305364401</v>
      </c>
      <c r="AF2295">
        <v>1160.11599297012</v>
      </c>
      <c r="AG2295">
        <f>IFERROR(AH2295*0.1, "N/A")</f>
        <v>5.5</v>
      </c>
      <c r="AH2295">
        <v>55</v>
      </c>
      <c r="AI2295">
        <v>300.969489340623</v>
      </c>
      <c r="AJ2295">
        <v>27.339191564147601</v>
      </c>
      <c r="AK2295">
        <v>56.328646748681898</v>
      </c>
    </row>
    <row r="2296" spans="1:37" x14ac:dyDescent="0.3">
      <c r="A2296">
        <v>2295</v>
      </c>
      <c r="B2296">
        <v>76.400002000000001</v>
      </c>
      <c r="C2296">
        <v>32.948</v>
      </c>
      <c r="D2296">
        <v>-2.6880999999999999</v>
      </c>
      <c r="E2296" t="s">
        <v>3995</v>
      </c>
      <c r="F2296" t="s">
        <v>3996</v>
      </c>
      <c r="G2296" t="s">
        <v>37</v>
      </c>
      <c r="H2296">
        <v>1988</v>
      </c>
      <c r="I2296">
        <v>22.600000381469702</v>
      </c>
      <c r="J2296">
        <v>11</v>
      </c>
      <c r="K2296">
        <v>71</v>
      </c>
      <c r="L2296">
        <v>6.5999999046325701</v>
      </c>
      <c r="M2296">
        <v>30.100000381469702</v>
      </c>
      <c r="N2296">
        <v>14.800000190734901</v>
      </c>
      <c r="O2296">
        <v>15.300000190734901</v>
      </c>
      <c r="P2296">
        <v>22.600000381469702</v>
      </c>
      <c r="Q2296">
        <v>21.899999618530298</v>
      </c>
      <c r="R2296">
        <v>23.5</v>
      </c>
      <c r="S2296">
        <v>21.899999618530298</v>
      </c>
      <c r="T2296">
        <v>995</v>
      </c>
      <c r="U2296">
        <v>163</v>
      </c>
      <c r="V2296">
        <v>7</v>
      </c>
      <c r="W2296">
        <v>67</v>
      </c>
      <c r="X2296">
        <v>400</v>
      </c>
      <c r="Y2296">
        <v>30</v>
      </c>
      <c r="Z2296">
        <v>257</v>
      </c>
      <c r="AA2296">
        <v>93</v>
      </c>
      <c r="AB2296">
        <v>23.4001902494783</v>
      </c>
      <c r="AC2296">
        <v>8.1484783591410995E-2</v>
      </c>
      <c r="AD2296">
        <v>5.79022991342997</v>
      </c>
      <c r="AE2296">
        <v>0.60850995779037498</v>
      </c>
      <c r="AF2296">
        <v>1206.9050966608099</v>
      </c>
      <c r="AG2296">
        <f>IFERROR(AH2296*0.1, "N/A")</f>
        <v>6.0964850615114203</v>
      </c>
      <c r="AH2296">
        <v>60.964850615114202</v>
      </c>
      <c r="AI2296">
        <v>296.894705720442</v>
      </c>
      <c r="AJ2296">
        <v>19.963093145870001</v>
      </c>
      <c r="AK2296">
        <v>67.678383128295295</v>
      </c>
    </row>
    <row r="2297" spans="1:37" x14ac:dyDescent="0.3">
      <c r="A2297">
        <v>2296</v>
      </c>
      <c r="B2297">
        <v>5</v>
      </c>
      <c r="C2297">
        <v>38.237900000000003</v>
      </c>
      <c r="D2297">
        <v>-7.7747999999999999</v>
      </c>
      <c r="E2297" t="s">
        <v>3997</v>
      </c>
      <c r="F2297" t="s">
        <v>3998</v>
      </c>
      <c r="G2297" t="s">
        <v>39</v>
      </c>
      <c r="H2297">
        <v>1982</v>
      </c>
      <c r="I2297">
        <v>26.5</v>
      </c>
      <c r="J2297">
        <v>8.1999998092651403</v>
      </c>
      <c r="K2297">
        <v>66</v>
      </c>
      <c r="L2297">
        <v>14.63078252046</v>
      </c>
      <c r="M2297">
        <v>32</v>
      </c>
      <c r="N2297">
        <v>19.600000381469702</v>
      </c>
      <c r="O2297">
        <v>12.3999996185303</v>
      </c>
      <c r="P2297">
        <v>27.700000762939499</v>
      </c>
      <c r="Q2297">
        <v>24.461565070774199</v>
      </c>
      <c r="R2297">
        <v>28.100000381469702</v>
      </c>
      <c r="S2297">
        <v>24.461565070774199</v>
      </c>
      <c r="T2297">
        <v>997.76869565217396</v>
      </c>
      <c r="U2297">
        <v>214</v>
      </c>
      <c r="V2297">
        <v>7</v>
      </c>
      <c r="W2297">
        <v>77</v>
      </c>
      <c r="X2297">
        <v>496.38434782608698</v>
      </c>
      <c r="Y2297">
        <v>34</v>
      </c>
      <c r="Z2297">
        <v>366.76869565217402</v>
      </c>
      <c r="AA2297">
        <v>34</v>
      </c>
      <c r="AB2297">
        <v>10.505738492219299</v>
      </c>
      <c r="AC2297">
        <v>8.4708421661149995E-3</v>
      </c>
      <c r="AD2297">
        <v>0.37824875313302803</v>
      </c>
      <c r="AE2297">
        <v>9.6082608673884004E-2</v>
      </c>
      <c r="AF2297">
        <v>55.104347826087</v>
      </c>
      <c r="AG2297">
        <f>IFERROR(AH2297*0.1, "N/A")</f>
        <v>6.3236521739130405</v>
      </c>
      <c r="AH2297">
        <v>63.236521739130403</v>
      </c>
      <c r="AI2297">
        <v>113.990513571034</v>
      </c>
      <c r="AJ2297">
        <v>24.0191304347826</v>
      </c>
      <c r="AK2297">
        <v>62.048695652173897</v>
      </c>
    </row>
    <row r="2298" spans="1:37" x14ac:dyDescent="0.3">
      <c r="A2298">
        <v>2297</v>
      </c>
      <c r="B2298">
        <v>1.2</v>
      </c>
      <c r="C2298">
        <v>38.267299999999999</v>
      </c>
      <c r="D2298">
        <v>-7.78003</v>
      </c>
      <c r="E2298" t="s">
        <v>3999</v>
      </c>
      <c r="F2298" t="s">
        <v>4000</v>
      </c>
      <c r="G2298" t="s">
        <v>39</v>
      </c>
      <c r="H2298">
        <v>1982</v>
      </c>
      <c r="I2298">
        <v>26.5</v>
      </c>
      <c r="J2298">
        <v>8.1999998092651403</v>
      </c>
      <c r="K2298">
        <v>66</v>
      </c>
      <c r="L2298">
        <v>14.370259851888701</v>
      </c>
      <c r="M2298">
        <v>32</v>
      </c>
      <c r="N2298">
        <v>19.600000381469702</v>
      </c>
      <c r="O2298">
        <v>12.3999996185303</v>
      </c>
      <c r="P2298">
        <v>27.700000762939499</v>
      </c>
      <c r="Q2298">
        <v>24.5</v>
      </c>
      <c r="R2298">
        <v>28.100000381469702</v>
      </c>
      <c r="S2298">
        <v>24.5</v>
      </c>
      <c r="T2298">
        <v>991.00346620450603</v>
      </c>
      <c r="U2298">
        <v>213</v>
      </c>
      <c r="V2298">
        <v>7</v>
      </c>
      <c r="W2298">
        <v>77</v>
      </c>
      <c r="X2298">
        <v>493.00173310225301</v>
      </c>
      <c r="Y2298">
        <v>34</v>
      </c>
      <c r="Z2298">
        <v>362.00346620450603</v>
      </c>
      <c r="AA2298">
        <v>34</v>
      </c>
      <c r="AB2298">
        <v>1.28128447772312</v>
      </c>
      <c r="AC2298">
        <v>9.5717852057140007E-3</v>
      </c>
      <c r="AD2298">
        <v>1.05709631025688</v>
      </c>
      <c r="AE2298">
        <v>0.12731504440307601</v>
      </c>
      <c r="AF2298">
        <v>55.967071057192399</v>
      </c>
      <c r="AG2298">
        <f>IFERROR(AH2298*0.1, "N/A")</f>
        <v>6.4225303292894296</v>
      </c>
      <c r="AH2298">
        <v>64.225303292894296</v>
      </c>
      <c r="AI2298">
        <v>172.17047279133101</v>
      </c>
      <c r="AJ2298">
        <v>25.259965337954899</v>
      </c>
      <c r="AK2298">
        <v>57.256499133448898</v>
      </c>
    </row>
    <row r="2299" spans="1:37" x14ac:dyDescent="0.3">
      <c r="A2299">
        <v>2298</v>
      </c>
      <c r="B2299">
        <v>4.5</v>
      </c>
      <c r="C2299">
        <v>38.299301</v>
      </c>
      <c r="D2299">
        <v>-7.7942900000000002</v>
      </c>
      <c r="E2299" t="s">
        <v>4001</v>
      </c>
      <c r="F2299" t="s">
        <v>4002</v>
      </c>
      <c r="G2299" t="s">
        <v>39</v>
      </c>
      <c r="H2299">
        <v>1982</v>
      </c>
      <c r="I2299">
        <v>26.5</v>
      </c>
      <c r="J2299">
        <v>8.1999998092651403</v>
      </c>
      <c r="K2299">
        <v>66</v>
      </c>
      <c r="L2299">
        <v>14.343958387772201</v>
      </c>
      <c r="M2299">
        <v>31.899999618530298</v>
      </c>
      <c r="N2299">
        <v>19.600000381469702</v>
      </c>
      <c r="O2299">
        <v>12.300000190734901</v>
      </c>
      <c r="P2299">
        <v>27.700000762939499</v>
      </c>
      <c r="Q2299">
        <v>24.399999618530298</v>
      </c>
      <c r="R2299">
        <v>28</v>
      </c>
      <c r="S2299">
        <v>24.399999618530298</v>
      </c>
      <c r="T2299">
        <v>987</v>
      </c>
      <c r="U2299">
        <v>211</v>
      </c>
      <c r="V2299">
        <v>7</v>
      </c>
      <c r="W2299">
        <v>76</v>
      </c>
      <c r="X2299">
        <v>490</v>
      </c>
      <c r="Y2299">
        <v>34</v>
      </c>
      <c r="Z2299">
        <v>411.80208333333297</v>
      </c>
      <c r="AA2299">
        <v>34</v>
      </c>
      <c r="AB2299">
        <v>0.38593667745590199</v>
      </c>
      <c r="AC2299">
        <v>1.18737010458588</v>
      </c>
      <c r="AD2299">
        <v>1.2339197991208899</v>
      </c>
      <c r="AE2299">
        <v>6.8105116486549003E-2</v>
      </c>
      <c r="AF2299">
        <v>53.6996527777778</v>
      </c>
      <c r="AG2299">
        <f>IFERROR(AH2299*0.1, "N/A")</f>
        <v>6.43333333333333</v>
      </c>
      <c r="AH2299">
        <v>64.3333333333333</v>
      </c>
      <c r="AI2299">
        <v>123.350027243296</v>
      </c>
      <c r="AJ2299">
        <v>22.6666666666667</v>
      </c>
      <c r="AK2299">
        <v>63.625</v>
      </c>
    </row>
    <row r="2300" spans="1:37" x14ac:dyDescent="0.3">
      <c r="A2300">
        <v>2299</v>
      </c>
      <c r="B2300">
        <v>5.7</v>
      </c>
      <c r="C2300">
        <v>38.369700999999999</v>
      </c>
      <c r="D2300">
        <v>-7.8347600000000002</v>
      </c>
      <c r="E2300" t="s">
        <v>4003</v>
      </c>
      <c r="F2300" t="s">
        <v>4004</v>
      </c>
      <c r="G2300" t="s">
        <v>39</v>
      </c>
      <c r="H2300">
        <v>1982</v>
      </c>
      <c r="I2300">
        <v>26.399999618530298</v>
      </c>
      <c r="J2300">
        <v>8.1000003814697301</v>
      </c>
      <c r="K2300">
        <v>66</v>
      </c>
      <c r="L2300">
        <v>13.7600002288818</v>
      </c>
      <c r="M2300">
        <v>31.799999237060501</v>
      </c>
      <c r="N2300">
        <v>19.700000762939499</v>
      </c>
      <c r="O2300">
        <v>12.1000003814697</v>
      </c>
      <c r="P2300">
        <v>27.600000381469702</v>
      </c>
      <c r="Q2300">
        <v>24.5</v>
      </c>
      <c r="R2300">
        <v>28</v>
      </c>
      <c r="S2300">
        <v>24.5</v>
      </c>
      <c r="T2300">
        <v>971</v>
      </c>
      <c r="U2300">
        <v>208</v>
      </c>
      <c r="V2300">
        <v>7</v>
      </c>
      <c r="W2300">
        <v>77</v>
      </c>
      <c r="X2300">
        <v>483</v>
      </c>
      <c r="Y2300">
        <v>33</v>
      </c>
      <c r="Z2300">
        <v>355</v>
      </c>
      <c r="AA2300">
        <v>33</v>
      </c>
      <c r="AB2300">
        <v>1.56313090448794</v>
      </c>
      <c r="AC2300">
        <v>2.8001519705614E-2</v>
      </c>
      <c r="AD2300">
        <v>2.0881154334026801</v>
      </c>
      <c r="AE2300">
        <v>8.4736677939477006E-2</v>
      </c>
      <c r="AF2300">
        <v>48.093913043478302</v>
      </c>
      <c r="AG2300">
        <f>IFERROR(AH2300*0.1, "N/A")</f>
        <v>6.3226086956521703</v>
      </c>
      <c r="AH2300">
        <v>63.226086956521698</v>
      </c>
      <c r="AI2300">
        <v>207.791393299932</v>
      </c>
      <c r="AJ2300">
        <v>20.226086956521701</v>
      </c>
      <c r="AK2300">
        <v>64.547826086956505</v>
      </c>
    </row>
    <row r="2301" spans="1:37" x14ac:dyDescent="0.3">
      <c r="A2301">
        <v>2300</v>
      </c>
      <c r="B2301">
        <v>5.3</v>
      </c>
      <c r="C2301">
        <v>38.344501000000001</v>
      </c>
      <c r="D2301">
        <v>-7.8366600000000002</v>
      </c>
      <c r="E2301" t="s">
        <v>4005</v>
      </c>
      <c r="F2301" t="s">
        <v>4006</v>
      </c>
      <c r="G2301" t="s">
        <v>39</v>
      </c>
      <c r="H2301">
        <v>1982</v>
      </c>
      <c r="I2301">
        <v>26.399999618530298</v>
      </c>
      <c r="J2301">
        <v>8.1000003814697301</v>
      </c>
      <c r="K2301">
        <v>66</v>
      </c>
      <c r="L2301">
        <v>14.0900001525879</v>
      </c>
      <c r="M2301">
        <v>31.799999237060501</v>
      </c>
      <c r="N2301">
        <v>19.600000381469702</v>
      </c>
      <c r="O2301">
        <v>12.199999809265099</v>
      </c>
      <c r="P2301">
        <v>27.600000381469702</v>
      </c>
      <c r="Q2301">
        <v>24.399999618530298</v>
      </c>
      <c r="R2301">
        <v>28</v>
      </c>
      <c r="S2301">
        <v>24.399999618530298</v>
      </c>
      <c r="T2301">
        <v>977</v>
      </c>
      <c r="U2301">
        <v>208</v>
      </c>
      <c r="V2301">
        <v>7</v>
      </c>
      <c r="W2301">
        <v>76</v>
      </c>
      <c r="X2301">
        <v>485</v>
      </c>
      <c r="Y2301">
        <v>33</v>
      </c>
      <c r="Z2301">
        <v>408</v>
      </c>
      <c r="AA2301">
        <v>33</v>
      </c>
      <c r="AB2301">
        <v>0.72669151874720705</v>
      </c>
      <c r="AC2301">
        <v>7.4509133947965003E-2</v>
      </c>
      <c r="AD2301">
        <v>0.64596611344008503</v>
      </c>
      <c r="AE2301">
        <v>4.7343194484710999E-2</v>
      </c>
      <c r="AF2301">
        <v>51.3050259965338</v>
      </c>
      <c r="AG2301">
        <f>IFERROR(AH2301*0.1, "N/A")</f>
        <v>6.4994800693240906</v>
      </c>
      <c r="AH2301">
        <v>64.994800693240904</v>
      </c>
      <c r="AI2301">
        <v>187.84214055476201</v>
      </c>
      <c r="AJ2301">
        <v>23.934142114384699</v>
      </c>
      <c r="AK2301">
        <v>60.934142114384699</v>
      </c>
    </row>
    <row r="2302" spans="1:37" x14ac:dyDescent="0.3">
      <c r="A2302">
        <v>2301</v>
      </c>
      <c r="B2302">
        <v>7.9</v>
      </c>
      <c r="C2302">
        <v>39.199001000000003</v>
      </c>
      <c r="D2302">
        <v>-7.8405399999999998</v>
      </c>
      <c r="E2302" t="s">
        <v>4007</v>
      </c>
      <c r="F2302" t="s">
        <v>4008</v>
      </c>
      <c r="G2302" t="s">
        <v>39</v>
      </c>
      <c r="H2302">
        <v>1982</v>
      </c>
      <c r="I2302">
        <v>26.5</v>
      </c>
      <c r="J2302">
        <v>7.3000001907348597</v>
      </c>
      <c r="K2302">
        <v>68</v>
      </c>
      <c r="L2302">
        <v>12.380311533654</v>
      </c>
      <c r="M2302">
        <v>31.5</v>
      </c>
      <c r="N2302">
        <v>20.799999237060501</v>
      </c>
      <c r="O2302">
        <v>10.699999809265099</v>
      </c>
      <c r="P2302">
        <v>27</v>
      </c>
      <c r="Q2302">
        <v>24.899999618530298</v>
      </c>
      <c r="R2302">
        <v>27.900345640611501</v>
      </c>
      <c r="S2302">
        <v>24.799999237060501</v>
      </c>
      <c r="T2302">
        <v>1172.0276816609</v>
      </c>
      <c r="U2302">
        <v>306.01038062283698</v>
      </c>
      <c r="V2302">
        <v>17</v>
      </c>
      <c r="W2302">
        <v>82</v>
      </c>
      <c r="X2302">
        <v>606.02076124567498</v>
      </c>
      <c r="Y2302">
        <v>58.003460207612498</v>
      </c>
      <c r="Z2302">
        <v>375.00692041522501</v>
      </c>
      <c r="AA2302">
        <v>64.003460207612406</v>
      </c>
      <c r="AB2302">
        <v>12.787542996522101</v>
      </c>
      <c r="AC2302">
        <v>8.4988336017589993E-3</v>
      </c>
      <c r="AD2302">
        <v>1.74742330523098</v>
      </c>
      <c r="AE2302">
        <v>0.23213155567645999</v>
      </c>
      <c r="AF2302">
        <v>17.363321799308</v>
      </c>
      <c r="AG2302">
        <f>IFERROR(AH2302*0.1, "N/A")</f>
        <v>6.1474048442906604</v>
      </c>
      <c r="AH2302">
        <v>61.4740484429066</v>
      </c>
      <c r="AI2302">
        <v>178.62328547177401</v>
      </c>
      <c r="AJ2302">
        <v>17.477508650518999</v>
      </c>
      <c r="AK2302">
        <v>73.522491349481001</v>
      </c>
    </row>
    <row r="2303" spans="1:37" x14ac:dyDescent="0.3">
      <c r="A2303">
        <v>2302</v>
      </c>
      <c r="B2303">
        <v>8.1</v>
      </c>
      <c r="C2303">
        <v>38.425300999999997</v>
      </c>
      <c r="D2303">
        <v>-7.8421000000000003</v>
      </c>
      <c r="E2303" t="s">
        <v>4009</v>
      </c>
      <c r="F2303" t="s">
        <v>4010</v>
      </c>
      <c r="G2303" t="s">
        <v>39</v>
      </c>
      <c r="H2303">
        <v>1982</v>
      </c>
      <c r="I2303">
        <v>26.399999618530298</v>
      </c>
      <c r="J2303">
        <v>8.1000003814697301</v>
      </c>
      <c r="K2303">
        <v>66</v>
      </c>
      <c r="L2303">
        <v>13.844166628188599</v>
      </c>
      <c r="M2303">
        <v>31.799999237060501</v>
      </c>
      <c r="N2303">
        <v>19.700000762939499</v>
      </c>
      <c r="O2303">
        <v>12.1000003814697</v>
      </c>
      <c r="P2303">
        <v>27.600000381469702</v>
      </c>
      <c r="Q2303">
        <v>24.5</v>
      </c>
      <c r="R2303">
        <v>27.899999618530298</v>
      </c>
      <c r="S2303">
        <v>24.5</v>
      </c>
      <c r="T2303">
        <v>963.00520833333303</v>
      </c>
      <c r="U2303">
        <v>206.024305555556</v>
      </c>
      <c r="V2303">
        <v>7</v>
      </c>
      <c r="W2303">
        <v>76</v>
      </c>
      <c r="X2303">
        <v>477.00520833333297</v>
      </c>
      <c r="Y2303">
        <v>33</v>
      </c>
      <c r="Z2303">
        <v>395.961805555556</v>
      </c>
      <c r="AA2303">
        <v>33</v>
      </c>
      <c r="AB2303">
        <v>1.2723964121606599</v>
      </c>
      <c r="AC2303">
        <v>6.4123922633976996E-2</v>
      </c>
      <c r="AD2303">
        <v>1.99044127182828</v>
      </c>
      <c r="AE2303">
        <v>0.206068485975266</v>
      </c>
      <c r="AF2303">
        <v>50.2725694444445</v>
      </c>
      <c r="AG2303">
        <f>IFERROR(AH2303*0.1, "N/A")</f>
        <v>6.1340277777777805</v>
      </c>
      <c r="AH2303">
        <v>61.3402777777778</v>
      </c>
      <c r="AI2303">
        <v>92.110620743698504</v>
      </c>
      <c r="AJ2303">
        <v>19.6840277777778</v>
      </c>
      <c r="AK2303">
        <v>66.3159722222222</v>
      </c>
    </row>
    <row r="2304" spans="1:37" x14ac:dyDescent="0.3">
      <c r="A2304">
        <v>2303</v>
      </c>
      <c r="B2304">
        <v>8.3000000000000007</v>
      </c>
      <c r="C2304">
        <v>38.468601</v>
      </c>
      <c r="D2304">
        <v>-7.8555000000000001</v>
      </c>
      <c r="E2304" t="s">
        <v>4011</v>
      </c>
      <c r="F2304" t="s">
        <v>4012</v>
      </c>
      <c r="G2304" t="s">
        <v>39</v>
      </c>
      <c r="H2304">
        <v>1982</v>
      </c>
      <c r="I2304">
        <v>26.299999237060501</v>
      </c>
      <c r="J2304">
        <v>8.1000003814697301</v>
      </c>
      <c r="K2304">
        <v>67</v>
      </c>
      <c r="L2304">
        <v>13.710000038146999</v>
      </c>
      <c r="M2304">
        <v>31.700000762939499</v>
      </c>
      <c r="N2304">
        <v>19.700000762939499</v>
      </c>
      <c r="O2304">
        <v>12</v>
      </c>
      <c r="P2304">
        <v>27.5</v>
      </c>
      <c r="Q2304">
        <v>24.399999618530298</v>
      </c>
      <c r="R2304">
        <v>27.799999237060501</v>
      </c>
      <c r="S2304">
        <v>24.399999618530298</v>
      </c>
      <c r="T2304">
        <v>953</v>
      </c>
      <c r="U2304">
        <v>205</v>
      </c>
      <c r="V2304">
        <v>7</v>
      </c>
      <c r="W2304">
        <v>76</v>
      </c>
      <c r="X2304">
        <v>472</v>
      </c>
      <c r="Y2304">
        <v>32</v>
      </c>
      <c r="Z2304">
        <v>389</v>
      </c>
      <c r="AA2304">
        <v>32</v>
      </c>
      <c r="AB2304">
        <v>8.0346097067128106</v>
      </c>
      <c r="AC2304">
        <v>2.6762732366181E-2</v>
      </c>
      <c r="AD2304">
        <v>2.5908845617460199</v>
      </c>
      <c r="AE2304">
        <v>0.210876019260158</v>
      </c>
      <c r="AF2304">
        <v>47.610434782608699</v>
      </c>
      <c r="AG2304">
        <f>IFERROR(AH2304*0.1, "N/A")</f>
        <v>6.4519408502772606</v>
      </c>
      <c r="AH2304">
        <v>64.519408502772606</v>
      </c>
      <c r="AI2304">
        <v>211.096645295516</v>
      </c>
      <c r="AJ2304">
        <v>28.950092421441799</v>
      </c>
      <c r="AK2304">
        <v>52.458410351201501</v>
      </c>
    </row>
    <row r="2305" spans="1:37" x14ac:dyDescent="0.3">
      <c r="A2305">
        <v>2304</v>
      </c>
      <c r="B2305">
        <v>4.0999999999999996</v>
      </c>
      <c r="C2305">
        <v>38.507702000000002</v>
      </c>
      <c r="D2305">
        <v>-7.8644999999999996</v>
      </c>
      <c r="E2305" t="s">
        <v>4013</v>
      </c>
      <c r="F2305" t="s">
        <v>4014</v>
      </c>
      <c r="G2305" t="s">
        <v>39</v>
      </c>
      <c r="H2305">
        <v>1982</v>
      </c>
      <c r="I2305">
        <v>26.299999237060501</v>
      </c>
      <c r="J2305">
        <v>8.1000003814697301</v>
      </c>
      <c r="K2305">
        <v>67.1944444444445</v>
      </c>
      <c r="L2305">
        <v>13.8144443829854</v>
      </c>
      <c r="M2305">
        <v>31.6805562443203</v>
      </c>
      <c r="N2305">
        <v>19.700000762939499</v>
      </c>
      <c r="O2305">
        <v>11.9805554813809</v>
      </c>
      <c r="P2305">
        <v>27.5</v>
      </c>
      <c r="Q2305">
        <v>24.399999618530298</v>
      </c>
      <c r="R2305">
        <v>27.799999237060501</v>
      </c>
      <c r="S2305">
        <v>24.399999618530298</v>
      </c>
      <c r="T2305">
        <v>946.61111111111097</v>
      </c>
      <c r="U2305">
        <v>204</v>
      </c>
      <c r="V2305">
        <v>7</v>
      </c>
      <c r="W2305">
        <v>76.8055555555556</v>
      </c>
      <c r="X2305">
        <v>468.61111111111097</v>
      </c>
      <c r="Y2305">
        <v>32</v>
      </c>
      <c r="Z2305">
        <v>384.41666666666703</v>
      </c>
      <c r="AA2305">
        <v>32</v>
      </c>
      <c r="AB2305">
        <v>10.9225693808662</v>
      </c>
      <c r="AC2305">
        <v>1.4026880238412E-2</v>
      </c>
      <c r="AD2305">
        <v>1.2815586680339499</v>
      </c>
      <c r="AE2305">
        <v>0.198386668331093</v>
      </c>
      <c r="AF2305">
        <v>49.0868055555556</v>
      </c>
      <c r="AG2305">
        <f>IFERROR(AH2305*0.1, "N/A")</f>
        <v>6.3388888888888903</v>
      </c>
      <c r="AH2305">
        <v>63.3888888888889</v>
      </c>
      <c r="AI2305">
        <v>115.457986162769</v>
      </c>
      <c r="AJ2305">
        <v>24</v>
      </c>
      <c r="AK2305">
        <v>59</v>
      </c>
    </row>
    <row r="2306" spans="1:37" x14ac:dyDescent="0.3">
      <c r="A2306">
        <v>2305</v>
      </c>
      <c r="B2306">
        <v>17</v>
      </c>
      <c r="C2306">
        <v>38.6404</v>
      </c>
      <c r="D2306">
        <v>-7.8648899999999999</v>
      </c>
      <c r="E2306" t="s">
        <v>4015</v>
      </c>
      <c r="F2306" t="s">
        <v>4016</v>
      </c>
      <c r="G2306" t="s">
        <v>39</v>
      </c>
      <c r="H2306">
        <v>1982</v>
      </c>
      <c r="I2306">
        <v>26.299999237060501</v>
      </c>
      <c r="J2306">
        <v>8</v>
      </c>
      <c r="K2306">
        <v>67</v>
      </c>
      <c r="L2306">
        <v>13.420000076293899</v>
      </c>
      <c r="M2306">
        <v>31.600000381469702</v>
      </c>
      <c r="N2306">
        <v>19.799999237060501</v>
      </c>
      <c r="O2306">
        <v>11.800000190734901</v>
      </c>
      <c r="P2306">
        <v>27.5</v>
      </c>
      <c r="Q2306">
        <v>24.399999618530298</v>
      </c>
      <c r="R2306">
        <v>27.799999237060501</v>
      </c>
      <c r="S2306">
        <v>24.399999618530298</v>
      </c>
      <c r="T2306">
        <v>932</v>
      </c>
      <c r="U2306">
        <v>205</v>
      </c>
      <c r="V2306">
        <v>7</v>
      </c>
      <c r="W2306">
        <v>77</v>
      </c>
      <c r="X2306">
        <v>460</v>
      </c>
      <c r="Y2306">
        <v>32</v>
      </c>
      <c r="Z2306">
        <v>367</v>
      </c>
      <c r="AA2306">
        <v>32</v>
      </c>
      <c r="AB2306">
        <v>6.5857879037047198</v>
      </c>
      <c r="AC2306">
        <v>2.5319029002465E-2</v>
      </c>
      <c r="AD2306">
        <v>1.90746175199489</v>
      </c>
      <c r="AE2306">
        <v>0.20653323707795401</v>
      </c>
      <c r="AF2306">
        <v>38.123050259965297</v>
      </c>
      <c r="AG2306">
        <f>IFERROR(AH2306*0.1, "N/A")</f>
        <v>6.4</v>
      </c>
      <c r="AH2306">
        <v>64</v>
      </c>
      <c r="AI2306">
        <v>22.844326138289802</v>
      </c>
      <c r="AJ2306">
        <v>22.0086655112652</v>
      </c>
      <c r="AK2306">
        <v>64</v>
      </c>
    </row>
    <row r="2307" spans="1:37" x14ac:dyDescent="0.3">
      <c r="A2307">
        <v>2306</v>
      </c>
      <c r="B2307">
        <v>4.3</v>
      </c>
      <c r="C2307">
        <v>38.566398999999997</v>
      </c>
      <c r="D2307">
        <v>-7.86707</v>
      </c>
      <c r="E2307" t="s">
        <v>4017</v>
      </c>
      <c r="F2307" t="s">
        <v>4018</v>
      </c>
      <c r="G2307" t="s">
        <v>39</v>
      </c>
      <c r="H2307">
        <v>1982</v>
      </c>
      <c r="I2307">
        <v>26.299999237060501</v>
      </c>
      <c r="J2307">
        <v>8</v>
      </c>
      <c r="K2307">
        <v>67</v>
      </c>
      <c r="L2307">
        <v>13.479600518941901</v>
      </c>
      <c r="M2307">
        <v>31.600000381469702</v>
      </c>
      <c r="N2307">
        <v>19.7444445292155</v>
      </c>
      <c r="O2307">
        <v>11.855555428399001</v>
      </c>
      <c r="P2307">
        <v>27.5</v>
      </c>
      <c r="Q2307">
        <v>24.444444232516801</v>
      </c>
      <c r="R2307">
        <v>27.799999237060501</v>
      </c>
      <c r="S2307">
        <v>24.444444232516801</v>
      </c>
      <c r="T2307">
        <v>936.12847222222194</v>
      </c>
      <c r="U2307">
        <v>203</v>
      </c>
      <c r="V2307">
        <v>7</v>
      </c>
      <c r="W2307">
        <v>76</v>
      </c>
      <c r="X2307">
        <v>462</v>
      </c>
      <c r="Y2307">
        <v>32</v>
      </c>
      <c r="Z2307">
        <v>375</v>
      </c>
      <c r="AA2307">
        <v>32</v>
      </c>
      <c r="AB2307">
        <v>2.3848954372935798</v>
      </c>
      <c r="AC2307">
        <v>2.5509978199907999E-2</v>
      </c>
      <c r="AD2307">
        <v>1.0763504564658599</v>
      </c>
      <c r="AE2307">
        <v>0.204283893108368</v>
      </c>
      <c r="AF2307">
        <v>44.1076388888889</v>
      </c>
      <c r="AG2307">
        <f>IFERROR(AH2307*0.1, "N/A")</f>
        <v>6.4376736111111104</v>
      </c>
      <c r="AH2307">
        <v>64.3767361111111</v>
      </c>
      <c r="AI2307">
        <v>101.169821851783</v>
      </c>
      <c r="AJ2307">
        <v>23.3298611111111</v>
      </c>
      <c r="AK2307">
        <v>61.6701388888889</v>
      </c>
    </row>
    <row r="2308" spans="1:37" x14ac:dyDescent="0.3">
      <c r="A2308">
        <v>2307</v>
      </c>
      <c r="B2308">
        <v>6.1</v>
      </c>
      <c r="C2308">
        <v>38.756900999999999</v>
      </c>
      <c r="D2308">
        <v>-7.8849</v>
      </c>
      <c r="E2308" t="s">
        <v>4019</v>
      </c>
      <c r="F2308" t="s">
        <v>4020</v>
      </c>
      <c r="G2308" t="s">
        <v>39</v>
      </c>
      <c r="H2308">
        <v>1982</v>
      </c>
      <c r="I2308">
        <v>26.299999237060501</v>
      </c>
      <c r="J2308">
        <v>7.9000000953674299</v>
      </c>
      <c r="K2308">
        <v>68</v>
      </c>
      <c r="L2308">
        <v>13.2700004577637</v>
      </c>
      <c r="M2308">
        <v>31.600000381469702</v>
      </c>
      <c r="N2308">
        <v>20</v>
      </c>
      <c r="O2308">
        <v>11.6000003814697</v>
      </c>
      <c r="P2308">
        <v>27.5</v>
      </c>
      <c r="Q2308">
        <v>24.5</v>
      </c>
      <c r="R2308">
        <v>27.799999237060501</v>
      </c>
      <c r="S2308">
        <v>24.5</v>
      </c>
      <c r="T2308">
        <v>938</v>
      </c>
      <c r="U2308">
        <v>212</v>
      </c>
      <c r="V2308">
        <v>8</v>
      </c>
      <c r="W2308">
        <v>77</v>
      </c>
      <c r="X2308">
        <v>465</v>
      </c>
      <c r="Y2308">
        <v>32</v>
      </c>
      <c r="Z2308">
        <v>362</v>
      </c>
      <c r="AA2308">
        <v>32</v>
      </c>
      <c r="AB2308">
        <v>8.0459284989011604</v>
      </c>
      <c r="AC2308">
        <v>9.2024935951759996E-3</v>
      </c>
      <c r="AD2308">
        <v>1.00326252531138</v>
      </c>
      <c r="AE2308">
        <v>0.229118639897019</v>
      </c>
      <c r="AF2308">
        <v>40.244367417677601</v>
      </c>
      <c r="AG2308">
        <f>IFERROR(AH2308*0.1, "N/A")</f>
        <v>6.1000000000000005</v>
      </c>
      <c r="AH2308">
        <v>61</v>
      </c>
      <c r="AI2308">
        <v>170.22350479205301</v>
      </c>
      <c r="AJ2308">
        <v>22.209705372617002</v>
      </c>
      <c r="AK2308">
        <v>62.1611785095321</v>
      </c>
    </row>
    <row r="2309" spans="1:37" x14ac:dyDescent="0.3">
      <c r="A2309">
        <v>2308</v>
      </c>
      <c r="B2309">
        <v>22</v>
      </c>
      <c r="C2309">
        <v>39.186298000000001</v>
      </c>
      <c r="D2309">
        <v>-7.8886700000000003</v>
      </c>
      <c r="E2309" t="s">
        <v>4021</v>
      </c>
      <c r="F2309" t="s">
        <v>4022</v>
      </c>
      <c r="G2309" t="s">
        <v>39</v>
      </c>
      <c r="H2309">
        <v>1982</v>
      </c>
      <c r="I2309">
        <v>26.5</v>
      </c>
      <c r="J2309">
        <v>7.3000001907348597</v>
      </c>
      <c r="K2309">
        <v>68</v>
      </c>
      <c r="L2309">
        <v>12.2799997329712</v>
      </c>
      <c r="M2309">
        <v>31.5</v>
      </c>
      <c r="N2309">
        <v>20.799999237060501</v>
      </c>
      <c r="O2309">
        <v>10.699999809265099</v>
      </c>
      <c r="P2309">
        <v>27</v>
      </c>
      <c r="Q2309">
        <v>24.899999618530298</v>
      </c>
      <c r="R2309">
        <v>27.899999618530298</v>
      </c>
      <c r="S2309">
        <v>24.899999618530298</v>
      </c>
      <c r="T2309">
        <v>1167</v>
      </c>
      <c r="U2309">
        <v>303</v>
      </c>
      <c r="V2309">
        <v>17</v>
      </c>
      <c r="W2309">
        <v>82</v>
      </c>
      <c r="X2309">
        <v>601</v>
      </c>
      <c r="Y2309">
        <v>55</v>
      </c>
      <c r="Z2309">
        <v>380</v>
      </c>
      <c r="AA2309">
        <v>60</v>
      </c>
      <c r="AB2309">
        <v>1.9895656469593901</v>
      </c>
      <c r="AC2309">
        <v>8.4685728002500005E-3</v>
      </c>
      <c r="AD2309">
        <v>1.5668923252043501</v>
      </c>
      <c r="AE2309">
        <v>0.22493146359920499</v>
      </c>
      <c r="AF2309">
        <v>16.278260869565202</v>
      </c>
      <c r="AG2309">
        <f>IFERROR(AH2309*0.1, "N/A")</f>
        <v>5.9784347826087005</v>
      </c>
      <c r="AH2309">
        <v>59.784347826087</v>
      </c>
      <c r="AI2309">
        <v>190.659766951851</v>
      </c>
      <c r="AJ2309">
        <v>23.8921739130435</v>
      </c>
      <c r="AK2309">
        <v>61</v>
      </c>
    </row>
    <row r="2310" spans="1:37" x14ac:dyDescent="0.3">
      <c r="A2310">
        <v>2309</v>
      </c>
      <c r="B2310">
        <v>4.5</v>
      </c>
      <c r="C2310">
        <v>38.673698000000002</v>
      </c>
      <c r="D2310">
        <v>-7.90944</v>
      </c>
      <c r="E2310" t="s">
        <v>4023</v>
      </c>
      <c r="F2310" t="s">
        <v>4024</v>
      </c>
      <c r="G2310" t="s">
        <v>39</v>
      </c>
      <c r="H2310">
        <v>1982</v>
      </c>
      <c r="I2310">
        <v>26.305738389388399</v>
      </c>
      <c r="J2310">
        <v>7.9000000953674299</v>
      </c>
      <c r="K2310">
        <v>67</v>
      </c>
      <c r="L2310">
        <v>13.311060797649899</v>
      </c>
      <c r="M2310">
        <v>31.600000381469702</v>
      </c>
      <c r="N2310">
        <v>19.899999618530298</v>
      </c>
      <c r="O2310">
        <v>11.699999809265099</v>
      </c>
      <c r="P2310">
        <v>27.5</v>
      </c>
      <c r="Q2310">
        <v>24.505739152327799</v>
      </c>
      <c r="R2310">
        <v>27.8942604662024</v>
      </c>
      <c r="S2310">
        <v>24.505739152327799</v>
      </c>
      <c r="T2310">
        <v>919.11478260869603</v>
      </c>
      <c r="U2310">
        <v>201.05739130434799</v>
      </c>
      <c r="V2310">
        <v>7</v>
      </c>
      <c r="W2310">
        <v>77</v>
      </c>
      <c r="X2310">
        <v>452.05739130434802</v>
      </c>
      <c r="Y2310">
        <v>31</v>
      </c>
      <c r="Z2310">
        <v>362</v>
      </c>
      <c r="AA2310">
        <v>31</v>
      </c>
      <c r="AB2310">
        <v>6.9965200341266103</v>
      </c>
      <c r="AC2310">
        <v>1.1310492289131001E-2</v>
      </c>
      <c r="AD2310">
        <v>1.0686920628340399</v>
      </c>
      <c r="AE2310">
        <v>0.21525374342566</v>
      </c>
      <c r="AF2310">
        <v>39.010434782608698</v>
      </c>
      <c r="AG2310">
        <f>IFERROR(AH2310*0.1, "N/A")</f>
        <v>6.4057391304347808</v>
      </c>
      <c r="AH2310">
        <v>64.057391304347803</v>
      </c>
      <c r="AI2310">
        <v>221.746099316141</v>
      </c>
      <c r="AJ2310">
        <v>25.114782608695599</v>
      </c>
      <c r="AK2310">
        <v>59.885217391304302</v>
      </c>
    </row>
    <row r="2311" spans="1:37" x14ac:dyDescent="0.3">
      <c r="A2311">
        <v>2310</v>
      </c>
      <c r="B2311">
        <v>2.6</v>
      </c>
      <c r="C2311">
        <v>38.816600999999999</v>
      </c>
      <c r="D2311">
        <v>-7.9149000000000003</v>
      </c>
      <c r="E2311" t="s">
        <v>4025</v>
      </c>
      <c r="F2311" t="s">
        <v>4026</v>
      </c>
      <c r="G2311" t="s">
        <v>39</v>
      </c>
      <c r="H2311">
        <v>1982</v>
      </c>
      <c r="I2311">
        <v>26.299999237060501</v>
      </c>
      <c r="J2311">
        <v>7.8000001907348597</v>
      </c>
      <c r="K2311">
        <v>67.106086956521693</v>
      </c>
      <c r="L2311">
        <v>12.906364880437399</v>
      </c>
      <c r="M2311">
        <v>31.4893912638789</v>
      </c>
      <c r="N2311">
        <v>20</v>
      </c>
      <c r="O2311">
        <v>11.4893912638789</v>
      </c>
      <c r="P2311">
        <v>27.399999618530298</v>
      </c>
      <c r="Q2311">
        <v>24.5</v>
      </c>
      <c r="R2311">
        <v>27.789390703284202</v>
      </c>
      <c r="S2311">
        <v>24.5</v>
      </c>
      <c r="T2311">
        <v>957.424347826087</v>
      </c>
      <c r="U2311">
        <v>219.10608695652201</v>
      </c>
      <c r="V2311">
        <v>8.1060869565217395</v>
      </c>
      <c r="W2311">
        <v>77.893913043478193</v>
      </c>
      <c r="X2311">
        <v>474.21217391304299</v>
      </c>
      <c r="Y2311">
        <v>33.2121739130435</v>
      </c>
      <c r="Z2311">
        <v>364.10608695652201</v>
      </c>
      <c r="AA2311">
        <v>33.2121739130435</v>
      </c>
      <c r="AB2311">
        <v>14.813566731991999</v>
      </c>
      <c r="AC2311">
        <v>8.7183854324010008E-3</v>
      </c>
      <c r="AD2311">
        <v>1.1177060305553901</v>
      </c>
      <c r="AE2311">
        <v>0.219887509942055</v>
      </c>
      <c r="AF2311">
        <v>41.328695652173899</v>
      </c>
      <c r="AG2311">
        <f>IFERROR(AH2311*0.1, "N/A")</f>
        <v>6.0958260869565208</v>
      </c>
      <c r="AH2311">
        <v>60.958260869565201</v>
      </c>
      <c r="AI2311">
        <v>124.59252171391999</v>
      </c>
      <c r="AJ2311">
        <v>25.669565217391298</v>
      </c>
      <c r="AK2311">
        <v>59.478260869565197</v>
      </c>
    </row>
    <row r="2312" spans="1:37" x14ac:dyDescent="0.3">
      <c r="A2312">
        <v>2311</v>
      </c>
      <c r="B2312">
        <v>3</v>
      </c>
      <c r="C2312">
        <v>39.076900000000002</v>
      </c>
      <c r="D2312">
        <v>-7.9250999999999996</v>
      </c>
      <c r="E2312" t="s">
        <v>4027</v>
      </c>
      <c r="F2312" t="s">
        <v>4028</v>
      </c>
      <c r="G2312" t="s">
        <v>39</v>
      </c>
      <c r="H2312">
        <v>1982</v>
      </c>
      <c r="I2312">
        <v>26.5</v>
      </c>
      <c r="J2312">
        <v>7.5</v>
      </c>
      <c r="K2312">
        <v>68</v>
      </c>
      <c r="L2312">
        <v>12.455337759113799</v>
      </c>
      <c r="M2312">
        <v>31.600000381469702</v>
      </c>
      <c r="N2312">
        <v>20.600000381469702</v>
      </c>
      <c r="O2312">
        <v>11</v>
      </c>
      <c r="P2312">
        <v>27</v>
      </c>
      <c r="Q2312">
        <v>24.799999237060501</v>
      </c>
      <c r="R2312">
        <v>28</v>
      </c>
      <c r="S2312">
        <v>24.799999237060501</v>
      </c>
      <c r="T2312">
        <v>1096</v>
      </c>
      <c r="U2312">
        <v>274</v>
      </c>
      <c r="V2312">
        <v>14</v>
      </c>
      <c r="W2312">
        <v>80.622183708838804</v>
      </c>
      <c r="X2312">
        <v>550</v>
      </c>
      <c r="Y2312">
        <v>47</v>
      </c>
      <c r="Z2312">
        <v>378</v>
      </c>
      <c r="AA2312">
        <v>47.377816291161203</v>
      </c>
      <c r="AB2312">
        <v>5.7348359552578501</v>
      </c>
      <c r="AC2312">
        <v>1.1813887735535E-2</v>
      </c>
      <c r="AD2312">
        <v>0.68920338484402099</v>
      </c>
      <c r="AE2312">
        <v>0.22144083678722401</v>
      </c>
      <c r="AF2312">
        <v>20.0467937608319</v>
      </c>
      <c r="AG2312">
        <f>IFERROR(AH2312*0.1, "N/A")</f>
        <v>6.03327556325823</v>
      </c>
      <c r="AH2312">
        <v>60.332755632582298</v>
      </c>
      <c r="AI2312">
        <v>161.950969305981</v>
      </c>
      <c r="AJ2312">
        <v>25.317157712305001</v>
      </c>
      <c r="AK2312">
        <v>56.350086655112698</v>
      </c>
    </row>
    <row r="2313" spans="1:37" x14ac:dyDescent="0.3">
      <c r="A2313">
        <v>2312</v>
      </c>
      <c r="B2313">
        <v>1.4</v>
      </c>
      <c r="C2313">
        <v>38.899799000000002</v>
      </c>
      <c r="D2313">
        <v>-7.93154</v>
      </c>
      <c r="E2313" t="s">
        <v>4029</v>
      </c>
      <c r="F2313" t="s">
        <v>4030</v>
      </c>
      <c r="G2313" t="s">
        <v>39</v>
      </c>
      <c r="H2313">
        <v>1982</v>
      </c>
      <c r="I2313">
        <v>26.355381392770301</v>
      </c>
      <c r="J2313">
        <v>7.6999998092651403</v>
      </c>
      <c r="K2313">
        <v>68</v>
      </c>
      <c r="L2313">
        <v>12.676770639088399</v>
      </c>
      <c r="M2313">
        <v>31.455381774240099</v>
      </c>
      <c r="N2313">
        <v>20.155382537179499</v>
      </c>
      <c r="O2313">
        <v>11.300000190734901</v>
      </c>
      <c r="P2313">
        <v>27.455381774240099</v>
      </c>
      <c r="Q2313">
        <v>24.655382537179499</v>
      </c>
      <c r="R2313">
        <v>27.855381392770301</v>
      </c>
      <c r="S2313">
        <v>24.655382537179499</v>
      </c>
      <c r="T2313">
        <v>997.55381944444503</v>
      </c>
      <c r="U2313">
        <v>234.553819444444</v>
      </c>
      <c r="V2313">
        <v>9</v>
      </c>
      <c r="W2313">
        <v>78.5538194444445</v>
      </c>
      <c r="X2313">
        <v>495</v>
      </c>
      <c r="Y2313">
        <v>36</v>
      </c>
      <c r="Z2313">
        <v>370.446180555556</v>
      </c>
      <c r="AA2313">
        <v>36</v>
      </c>
      <c r="AB2313">
        <v>16.889410704374299</v>
      </c>
      <c r="AC2313">
        <v>8.4677023195479997E-3</v>
      </c>
      <c r="AD2313">
        <v>1.4535876599450901</v>
      </c>
      <c r="AE2313">
        <v>0.22388002276420599</v>
      </c>
      <c r="AF2313">
        <v>34.9114583333333</v>
      </c>
      <c r="AG2313">
        <f>IFERROR(AH2313*0.1, "N/A")</f>
        <v>6.37777777777778</v>
      </c>
      <c r="AH2313">
        <v>63.7777777777778</v>
      </c>
      <c r="AI2313">
        <v>74.674416753980793</v>
      </c>
      <c r="AJ2313">
        <v>30.4947916666667</v>
      </c>
      <c r="AK2313">
        <v>52.0381944444444</v>
      </c>
    </row>
    <row r="2314" spans="1:37" x14ac:dyDescent="0.3">
      <c r="A2314">
        <v>2313</v>
      </c>
      <c r="B2314">
        <v>3.2</v>
      </c>
      <c r="C2314">
        <v>38.982799999999997</v>
      </c>
      <c r="D2314">
        <v>-7.9489000000000001</v>
      </c>
      <c r="E2314" t="s">
        <v>4031</v>
      </c>
      <c r="F2314" t="s">
        <v>4032</v>
      </c>
      <c r="G2314" t="s">
        <v>39</v>
      </c>
      <c r="H2314">
        <v>1982</v>
      </c>
      <c r="I2314">
        <v>26.399999618530298</v>
      </c>
      <c r="J2314">
        <v>7.5885614406711301</v>
      </c>
      <c r="K2314">
        <v>67</v>
      </c>
      <c r="L2314">
        <v>12.6099650219367</v>
      </c>
      <c r="M2314">
        <v>31.5</v>
      </c>
      <c r="N2314">
        <v>20.311437755564899</v>
      </c>
      <c r="O2314">
        <v>11.1885613998466</v>
      </c>
      <c r="P2314">
        <v>27.5</v>
      </c>
      <c r="Q2314">
        <v>24.700000762939499</v>
      </c>
      <c r="R2314">
        <v>27.799999237060501</v>
      </c>
      <c r="S2314">
        <v>24.700000762939499</v>
      </c>
      <c r="T2314">
        <v>1039.5719237435001</v>
      </c>
      <c r="U2314">
        <v>250.22876949740001</v>
      </c>
      <c r="V2314">
        <v>11</v>
      </c>
      <c r="W2314">
        <v>79.885615251299797</v>
      </c>
      <c r="X2314">
        <v>515.22876949739998</v>
      </c>
      <c r="Y2314">
        <v>40.114384748700203</v>
      </c>
      <c r="Z2314">
        <v>376</v>
      </c>
      <c r="AA2314">
        <v>40.114384748700203</v>
      </c>
      <c r="AB2314">
        <v>1.5611782801213201</v>
      </c>
      <c r="AC2314">
        <v>1.5907467580183E-2</v>
      </c>
      <c r="AD2314">
        <v>2.3776060386175102</v>
      </c>
      <c r="AE2314">
        <v>0.49749125640974901</v>
      </c>
      <c r="AF2314">
        <v>24.863084922010401</v>
      </c>
      <c r="AG2314">
        <f>IFERROR(AH2314*0.1, "N/A")</f>
        <v>6.4114384748700211</v>
      </c>
      <c r="AH2314">
        <v>64.114384748700203</v>
      </c>
      <c r="AI2314">
        <v>100.598125292482</v>
      </c>
      <c r="AJ2314">
        <v>24.142114384748702</v>
      </c>
      <c r="AK2314">
        <v>59.857885615251298</v>
      </c>
    </row>
    <row r="2315" spans="1:37" x14ac:dyDescent="0.3">
      <c r="A2315">
        <v>2314</v>
      </c>
      <c r="B2315">
        <v>3.6</v>
      </c>
      <c r="C2315">
        <v>38.758999000000003</v>
      </c>
      <c r="D2315">
        <v>-7.9916999999999998</v>
      </c>
      <c r="E2315" t="s">
        <v>4033</v>
      </c>
      <c r="F2315" t="s">
        <v>4034</v>
      </c>
      <c r="G2315" t="s">
        <v>39</v>
      </c>
      <c r="H2315">
        <v>1982</v>
      </c>
      <c r="I2315">
        <v>26.2041673660278</v>
      </c>
      <c r="J2315">
        <v>7.8000001907348597</v>
      </c>
      <c r="K2315">
        <v>67</v>
      </c>
      <c r="L2315">
        <v>12.772604003548601</v>
      </c>
      <c r="M2315">
        <v>31.4041663010915</v>
      </c>
      <c r="N2315">
        <v>19.9041663010915</v>
      </c>
      <c r="O2315">
        <v>11.5</v>
      </c>
      <c r="P2315">
        <v>27.4041663010915</v>
      </c>
      <c r="Q2315">
        <v>24.504166682561198</v>
      </c>
      <c r="R2315">
        <v>27.7041673660278</v>
      </c>
      <c r="S2315">
        <v>24.504166682561198</v>
      </c>
      <c r="T2315">
        <v>929.57986111111097</v>
      </c>
      <c r="U2315">
        <v>203.991319444444</v>
      </c>
      <c r="V2315">
        <v>7</v>
      </c>
      <c r="W2315">
        <v>76.7552083333333</v>
      </c>
      <c r="X2315">
        <v>454.90798611111097</v>
      </c>
      <c r="Y2315">
        <v>30.7552083333333</v>
      </c>
      <c r="Z2315">
        <v>361.91666666666703</v>
      </c>
      <c r="AA2315">
        <v>30.7552083333333</v>
      </c>
      <c r="AB2315">
        <v>20.1465279923545</v>
      </c>
      <c r="AC2315">
        <v>8.8633553047349992E-3</v>
      </c>
      <c r="AD2315">
        <v>1.0956893982365701</v>
      </c>
      <c r="AE2315">
        <v>0.31223697629239799</v>
      </c>
      <c r="AF2315">
        <v>44.0659722222222</v>
      </c>
      <c r="AG2315">
        <f>IFERROR(AH2315*0.1, "N/A")</f>
        <v>6.2666666666666702</v>
      </c>
      <c r="AH2315">
        <v>62.6666666666667</v>
      </c>
      <c r="AI2315">
        <v>51.028470741377902</v>
      </c>
      <c r="AJ2315">
        <v>20.1041666666667</v>
      </c>
      <c r="AK2315">
        <v>69.421875</v>
      </c>
    </row>
    <row r="2316" spans="1:37" x14ac:dyDescent="0.3">
      <c r="A2316">
        <v>2315</v>
      </c>
      <c r="B2316">
        <v>1.6</v>
      </c>
      <c r="C2316">
        <v>38.858601</v>
      </c>
      <c r="D2316">
        <v>-8.01328</v>
      </c>
      <c r="E2316" t="s">
        <v>4035</v>
      </c>
      <c r="F2316" t="s">
        <v>4036</v>
      </c>
      <c r="G2316" t="s">
        <v>39</v>
      </c>
      <c r="H2316">
        <v>1982</v>
      </c>
      <c r="I2316">
        <v>26.399999618530298</v>
      </c>
      <c r="J2316">
        <v>7.6999998092651403</v>
      </c>
      <c r="K2316">
        <v>67.664347826086995</v>
      </c>
      <c r="L2316">
        <v>12.594399593187401</v>
      </c>
      <c r="M2316">
        <v>31.5</v>
      </c>
      <c r="N2316">
        <v>20.166435417507</v>
      </c>
      <c r="O2316">
        <v>11.3335652160645</v>
      </c>
      <c r="P2316">
        <v>27.5</v>
      </c>
      <c r="Q2316">
        <v>24.666435417507</v>
      </c>
      <c r="R2316">
        <v>27.799999237060501</v>
      </c>
      <c r="S2316">
        <v>24.666435417507</v>
      </c>
      <c r="T2316">
        <v>978.65739130434804</v>
      </c>
      <c r="U2316">
        <v>222.32869565217399</v>
      </c>
      <c r="V2316">
        <v>8</v>
      </c>
      <c r="W2316">
        <v>78</v>
      </c>
      <c r="X2316">
        <v>482.32869565217402</v>
      </c>
      <c r="Y2316">
        <v>33</v>
      </c>
      <c r="Z2316">
        <v>373</v>
      </c>
      <c r="AA2316">
        <v>33</v>
      </c>
      <c r="AB2316">
        <v>8.4119996808922792</v>
      </c>
      <c r="AC2316">
        <v>1.8463287687172002E-2</v>
      </c>
      <c r="AD2316">
        <v>1.581027318913</v>
      </c>
      <c r="AE2316">
        <v>9.4769477844238004E-2</v>
      </c>
      <c r="AF2316">
        <v>25.299130434782601</v>
      </c>
      <c r="AG2316">
        <f>IFERROR(AH2316*0.1, "N/A")</f>
        <v>6.3453913043478307</v>
      </c>
      <c r="AH2316">
        <v>63.453913043478302</v>
      </c>
      <c r="AI2316">
        <v>130.21502599965001</v>
      </c>
      <c r="AJ2316">
        <v>24.471304347826099</v>
      </c>
      <c r="AK2316">
        <v>61.325217391304299</v>
      </c>
    </row>
    <row r="2317" spans="1:37" x14ac:dyDescent="0.3">
      <c r="A2317">
        <v>2316</v>
      </c>
      <c r="B2317">
        <v>11.5</v>
      </c>
      <c r="C2317">
        <v>38.819000000000003</v>
      </c>
      <c r="D2317">
        <v>-8.0156100000000006</v>
      </c>
      <c r="E2317" t="s">
        <v>4037</v>
      </c>
      <c r="F2317" t="s">
        <v>4038</v>
      </c>
      <c r="G2317" t="s">
        <v>39</v>
      </c>
      <c r="H2317">
        <v>1982</v>
      </c>
      <c r="I2317">
        <v>26.399999618530298</v>
      </c>
      <c r="J2317">
        <v>7.6999998092651403</v>
      </c>
      <c r="K2317">
        <v>68</v>
      </c>
      <c r="L2317">
        <v>12.8999996185303</v>
      </c>
      <c r="M2317">
        <v>31.399999618530298</v>
      </c>
      <c r="N2317">
        <v>20.100000381469702</v>
      </c>
      <c r="O2317">
        <v>11.300000190734901</v>
      </c>
      <c r="P2317">
        <v>27.5</v>
      </c>
      <c r="Q2317">
        <v>24.600000381469702</v>
      </c>
      <c r="R2317">
        <v>27.799999237060501</v>
      </c>
      <c r="S2317">
        <v>24.600000381469702</v>
      </c>
      <c r="T2317">
        <v>959</v>
      </c>
      <c r="U2317">
        <v>215</v>
      </c>
      <c r="V2317">
        <v>7</v>
      </c>
      <c r="W2317">
        <v>78</v>
      </c>
      <c r="X2317">
        <v>472</v>
      </c>
      <c r="Y2317">
        <v>32</v>
      </c>
      <c r="Z2317">
        <v>369</v>
      </c>
      <c r="AA2317">
        <v>32</v>
      </c>
      <c r="AB2317">
        <v>0.63431481637409304</v>
      </c>
      <c r="AC2317">
        <v>3.4979058348894997E-2</v>
      </c>
      <c r="AD2317">
        <v>2.3486948641375398</v>
      </c>
      <c r="AE2317">
        <v>0.13320970626957901</v>
      </c>
      <c r="AF2317">
        <v>30.9237435008665</v>
      </c>
      <c r="AG2317">
        <f>IFERROR(AH2317*0.1, "N/A")</f>
        <v>5.8662045060658601</v>
      </c>
      <c r="AH2317">
        <v>58.662045060658599</v>
      </c>
      <c r="AI2317">
        <v>191.94224252155399</v>
      </c>
      <c r="AJ2317">
        <v>22.306759098786799</v>
      </c>
      <c r="AK2317">
        <v>65.400346620450605</v>
      </c>
    </row>
    <row r="2318" spans="1:37" x14ac:dyDescent="0.3">
      <c r="A2318">
        <v>2317</v>
      </c>
      <c r="B2318">
        <v>0.8</v>
      </c>
      <c r="C2318">
        <v>39.089900999999998</v>
      </c>
      <c r="D2318">
        <v>-8.1271000000000004</v>
      </c>
      <c r="E2318" t="s">
        <v>4039</v>
      </c>
      <c r="F2318" t="s">
        <v>4040</v>
      </c>
      <c r="G2318" t="s">
        <v>39</v>
      </c>
      <c r="H2318">
        <v>1982</v>
      </c>
      <c r="I2318">
        <v>26.5</v>
      </c>
      <c r="J2318">
        <v>7.4000000953674299</v>
      </c>
      <c r="K2318">
        <v>68</v>
      </c>
      <c r="L2318">
        <v>12.170000076293899</v>
      </c>
      <c r="M2318">
        <v>31.399999618530298</v>
      </c>
      <c r="N2318">
        <v>20.600000381469702</v>
      </c>
      <c r="O2318">
        <v>10.800000190734901</v>
      </c>
      <c r="P2318">
        <v>27.600000381469702</v>
      </c>
      <c r="Q2318">
        <v>24.799999237060501</v>
      </c>
      <c r="R2318">
        <v>27.899999618530298</v>
      </c>
      <c r="S2318">
        <v>24.799999237060501</v>
      </c>
      <c r="T2318">
        <v>1105</v>
      </c>
      <c r="U2318">
        <v>266</v>
      </c>
      <c r="V2318">
        <v>9</v>
      </c>
      <c r="W2318">
        <v>80</v>
      </c>
      <c r="X2318">
        <v>547</v>
      </c>
      <c r="Y2318">
        <v>38</v>
      </c>
      <c r="Z2318">
        <v>401</v>
      </c>
      <c r="AA2318">
        <v>38</v>
      </c>
      <c r="AB2318">
        <v>4.1430053052095204</v>
      </c>
      <c r="AC2318">
        <v>7.2069947192886099</v>
      </c>
      <c r="AD2318">
        <v>2.24031239645057</v>
      </c>
      <c r="AE2318">
        <v>0.25228235357166001</v>
      </c>
      <c r="AF2318">
        <v>19.595854922279798</v>
      </c>
      <c r="AG2318">
        <f>IFERROR(AH2318*0.1, "N/A")</f>
        <v>6.0053540587219407</v>
      </c>
      <c r="AH2318">
        <v>60.053540587219402</v>
      </c>
      <c r="AI2318">
        <v>235.463785385633</v>
      </c>
      <c r="AJ2318">
        <v>20.946459412780701</v>
      </c>
      <c r="AK2318">
        <v>69.053540587219302</v>
      </c>
    </row>
    <row r="2319" spans="1:37" x14ac:dyDescent="0.3">
      <c r="A2319">
        <v>2318</v>
      </c>
      <c r="B2319">
        <v>6.1</v>
      </c>
      <c r="C2319">
        <v>38.998001000000002</v>
      </c>
      <c r="D2319">
        <v>-8.1280300000000008</v>
      </c>
      <c r="E2319" t="s">
        <v>4041</v>
      </c>
      <c r="F2319" t="s">
        <v>4042</v>
      </c>
      <c r="G2319" t="s">
        <v>39</v>
      </c>
      <c r="H2319">
        <v>1982</v>
      </c>
      <c r="I2319">
        <v>26.299999237060501</v>
      </c>
      <c r="J2319">
        <v>7.5</v>
      </c>
      <c r="K2319">
        <v>68</v>
      </c>
      <c r="L2319">
        <v>12.2600002288818</v>
      </c>
      <c r="M2319">
        <v>31.200000762939499</v>
      </c>
      <c r="N2319">
        <v>20.200000762939499</v>
      </c>
      <c r="O2319">
        <v>11</v>
      </c>
      <c r="P2319">
        <v>27.299999237060501</v>
      </c>
      <c r="Q2319">
        <v>24.600000381469702</v>
      </c>
      <c r="R2319">
        <v>27.600000381469702</v>
      </c>
      <c r="S2319">
        <v>24.600000381469702</v>
      </c>
      <c r="T2319">
        <v>1063</v>
      </c>
      <c r="U2319">
        <v>247</v>
      </c>
      <c r="V2319">
        <v>8</v>
      </c>
      <c r="W2319">
        <v>79</v>
      </c>
      <c r="X2319">
        <v>526</v>
      </c>
      <c r="Y2319">
        <v>36</v>
      </c>
      <c r="Z2319">
        <v>398</v>
      </c>
      <c r="AA2319">
        <v>36</v>
      </c>
      <c r="AB2319">
        <v>9.2893904279625907</v>
      </c>
      <c r="AC2319">
        <v>1.2011076391715E-2</v>
      </c>
      <c r="AD2319">
        <v>2.28761927428453</v>
      </c>
      <c r="AE2319">
        <v>0.21566829085350001</v>
      </c>
      <c r="AF2319">
        <v>38.019130434782603</v>
      </c>
      <c r="AG2319">
        <f>IFERROR(AH2319*0.1, "N/A")</f>
        <v>6.17234782608696</v>
      </c>
      <c r="AH2319">
        <v>61.723478260869598</v>
      </c>
      <c r="AI2319">
        <v>48.544440314251403</v>
      </c>
      <c r="AJ2319">
        <v>17.972173913043498</v>
      </c>
      <c r="AK2319">
        <v>72.304347826086996</v>
      </c>
    </row>
    <row r="2320" spans="1:37" x14ac:dyDescent="0.3">
      <c r="A2320">
        <v>2319</v>
      </c>
      <c r="B2320">
        <v>8.9</v>
      </c>
      <c r="C2320">
        <v>39.183998000000003</v>
      </c>
      <c r="D2320">
        <v>-8.1433</v>
      </c>
      <c r="E2320" t="s">
        <v>4043</v>
      </c>
      <c r="F2320" t="s">
        <v>4044</v>
      </c>
      <c r="G2320" t="s">
        <v>39</v>
      </c>
      <c r="H2320">
        <v>1982</v>
      </c>
      <c r="I2320">
        <v>26.682813197374301</v>
      </c>
      <c r="J2320">
        <v>7.3000001907348597</v>
      </c>
      <c r="K2320">
        <v>68</v>
      </c>
      <c r="L2320">
        <v>12.063593730330499</v>
      </c>
      <c r="M2320">
        <v>31.5828128159046</v>
      </c>
      <c r="N2320">
        <v>20.8828120529652</v>
      </c>
      <c r="O2320">
        <v>10.699999809265099</v>
      </c>
      <c r="P2320">
        <v>27.0828128159046</v>
      </c>
      <c r="Q2320">
        <v>25.065625250339501</v>
      </c>
      <c r="R2320">
        <v>27.982812434434901</v>
      </c>
      <c r="S2320">
        <v>24.982812434434901</v>
      </c>
      <c r="T2320">
        <v>1153.96875</v>
      </c>
      <c r="U2320">
        <v>285.65625</v>
      </c>
      <c r="V2320">
        <v>11</v>
      </c>
      <c r="W2320">
        <v>82</v>
      </c>
      <c r="X2320">
        <v>574.3125</v>
      </c>
      <c r="Y2320">
        <v>41</v>
      </c>
      <c r="Z2320">
        <v>389.09375</v>
      </c>
      <c r="AA2320">
        <v>44</v>
      </c>
      <c r="AB2320">
        <v>0.66996529698371898</v>
      </c>
      <c r="AC2320">
        <v>2.3729764667222999E-2</v>
      </c>
      <c r="AD2320">
        <v>1.3737602800958699</v>
      </c>
      <c r="AE2320">
        <v>0.28059288859367398</v>
      </c>
      <c r="AF2320">
        <v>6.7673611111111098</v>
      </c>
      <c r="AG2320">
        <f>IFERROR(AH2320*0.1, "N/A")</f>
        <v>6.3656250000000005</v>
      </c>
      <c r="AH2320">
        <v>63.65625</v>
      </c>
      <c r="AI2320">
        <v>206.455577585432</v>
      </c>
      <c r="AJ2320">
        <v>26.828125</v>
      </c>
      <c r="AK2320">
        <v>63.171875</v>
      </c>
    </row>
    <row r="2321" spans="1:37" x14ac:dyDescent="0.3">
      <c r="A2321">
        <v>2320</v>
      </c>
      <c r="B2321">
        <v>42.299999</v>
      </c>
      <c r="C2321">
        <v>39.038200000000003</v>
      </c>
      <c r="D2321">
        <v>-8.1568400000000008</v>
      </c>
      <c r="E2321" t="s">
        <v>4045</v>
      </c>
      <c r="F2321" t="s">
        <v>4046</v>
      </c>
      <c r="G2321" t="s">
        <v>39</v>
      </c>
      <c r="H2321">
        <v>1982</v>
      </c>
      <c r="I2321">
        <v>26.200000762939499</v>
      </c>
      <c r="J2321">
        <v>7.5</v>
      </c>
      <c r="K2321">
        <v>68</v>
      </c>
      <c r="L2321">
        <v>12.25</v>
      </c>
      <c r="M2321">
        <v>31.100000381469702</v>
      </c>
      <c r="N2321">
        <v>20.200000762939499</v>
      </c>
      <c r="O2321">
        <v>10.8999996185303</v>
      </c>
      <c r="P2321">
        <v>27.299999237060501</v>
      </c>
      <c r="Q2321">
        <v>24.5</v>
      </c>
      <c r="R2321">
        <v>27.5</v>
      </c>
      <c r="S2321">
        <v>24.5</v>
      </c>
      <c r="T2321">
        <v>1087</v>
      </c>
      <c r="U2321">
        <v>254</v>
      </c>
      <c r="V2321">
        <v>8</v>
      </c>
      <c r="W2321">
        <v>80</v>
      </c>
      <c r="X2321">
        <v>539</v>
      </c>
      <c r="Y2321">
        <v>36</v>
      </c>
      <c r="Z2321">
        <v>406</v>
      </c>
      <c r="AA2321">
        <v>36</v>
      </c>
      <c r="AB2321">
        <v>1.51782033187708</v>
      </c>
      <c r="AC2321">
        <v>0.169727888183868</v>
      </c>
      <c r="AD2321">
        <v>2.4212304648643599</v>
      </c>
      <c r="AE2321">
        <v>0.18596969544887501</v>
      </c>
      <c r="AF2321">
        <v>53.923875432526003</v>
      </c>
      <c r="AG2321">
        <f>IFERROR(AH2321*0.1, "N/A")</f>
        <v>5.8000000000000007</v>
      </c>
      <c r="AH2321">
        <v>58</v>
      </c>
      <c r="AI2321">
        <v>82.123700607194195</v>
      </c>
      <c r="AJ2321">
        <v>19.396193771626301</v>
      </c>
      <c r="AK2321">
        <v>69.603806228373699</v>
      </c>
    </row>
    <row r="2322" spans="1:37" x14ac:dyDescent="0.3">
      <c r="A2322">
        <v>2321</v>
      </c>
      <c r="B2322">
        <v>4.7</v>
      </c>
      <c r="C2322">
        <v>39.008201999999997</v>
      </c>
      <c r="D2322">
        <v>-8.1738999999999997</v>
      </c>
      <c r="E2322" t="s">
        <v>4047</v>
      </c>
      <c r="F2322" t="s">
        <v>4048</v>
      </c>
      <c r="G2322" t="s">
        <v>39</v>
      </c>
      <c r="H2322">
        <v>1982</v>
      </c>
      <c r="I2322">
        <v>26.199307519393699</v>
      </c>
      <c r="J2322">
        <v>7.5</v>
      </c>
      <c r="K2322">
        <v>67.006932409012094</v>
      </c>
      <c r="L2322">
        <v>12.301282350484</v>
      </c>
      <c r="M2322">
        <v>31.099307137924001</v>
      </c>
      <c r="N2322">
        <v>20</v>
      </c>
      <c r="O2322">
        <v>11.099307137924001</v>
      </c>
      <c r="P2322">
        <v>27.199307519393699</v>
      </c>
      <c r="Q2322">
        <v>24.430155712769</v>
      </c>
      <c r="R2322">
        <v>27.499306756454299</v>
      </c>
      <c r="S2322">
        <v>24.430155712769</v>
      </c>
      <c r="T2322">
        <v>1075.22703639515</v>
      </c>
      <c r="U2322">
        <v>247.60311958405501</v>
      </c>
      <c r="V2322">
        <v>8</v>
      </c>
      <c r="W2322">
        <v>79</v>
      </c>
      <c r="X2322">
        <v>532.91854419410697</v>
      </c>
      <c r="Y2322">
        <v>36</v>
      </c>
      <c r="Z2322">
        <v>406.32235701906399</v>
      </c>
      <c r="AA2322">
        <v>36</v>
      </c>
      <c r="AB2322">
        <v>1.68284327277278</v>
      </c>
      <c r="AC2322">
        <v>0.37256876392164101</v>
      </c>
      <c r="AD2322">
        <v>1.9318730286750301</v>
      </c>
      <c r="AE2322">
        <v>0.199910327792168</v>
      </c>
      <c r="AF2322">
        <v>50.218370883882102</v>
      </c>
      <c r="AG2322">
        <f>IFERROR(AH2322*0.1, "N/A")</f>
        <v>5.7707105719237397</v>
      </c>
      <c r="AH2322">
        <v>57.707105719237397</v>
      </c>
      <c r="AI2322">
        <v>157.813604900287</v>
      </c>
      <c r="AJ2322">
        <v>18.8180242634315</v>
      </c>
      <c r="AK2322">
        <v>68</v>
      </c>
    </row>
    <row r="2323" spans="1:37" x14ac:dyDescent="0.3">
      <c r="A2323">
        <v>2322</v>
      </c>
      <c r="B2323">
        <v>37.099997999999999</v>
      </c>
      <c r="C2323">
        <v>32.908000999999999</v>
      </c>
      <c r="D2323">
        <v>-2.4723000000000002</v>
      </c>
      <c r="E2323" t="s">
        <v>4049</v>
      </c>
      <c r="F2323" t="s">
        <v>4050</v>
      </c>
      <c r="G2323" t="s">
        <v>37</v>
      </c>
      <c r="H2323">
        <v>1991</v>
      </c>
      <c r="I2323">
        <v>22.647627979674098</v>
      </c>
      <c r="J2323">
        <v>10.300000190734901</v>
      </c>
      <c r="K2323">
        <v>77</v>
      </c>
      <c r="L2323">
        <v>4.7919331761780901</v>
      </c>
      <c r="M2323">
        <v>28.600000381469702</v>
      </c>
      <c r="N2323">
        <v>15.300000190734901</v>
      </c>
      <c r="O2323">
        <v>13.300000190734901</v>
      </c>
      <c r="P2323">
        <v>22.847626835264901</v>
      </c>
      <c r="Q2323">
        <v>21.9523724017956</v>
      </c>
      <c r="R2323">
        <v>23.100000381469702</v>
      </c>
      <c r="S2323">
        <v>21.9523724017956</v>
      </c>
      <c r="T2323">
        <v>1070.9525483304001</v>
      </c>
      <c r="U2323">
        <v>177</v>
      </c>
      <c r="V2323">
        <v>8</v>
      </c>
      <c r="W2323">
        <v>65</v>
      </c>
      <c r="X2323">
        <v>435</v>
      </c>
      <c r="Y2323">
        <v>41</v>
      </c>
      <c r="Z2323">
        <v>279.952548330404</v>
      </c>
      <c r="AA2323">
        <v>41</v>
      </c>
      <c r="AB2323">
        <v>9.7474174298385297</v>
      </c>
      <c r="AC2323">
        <v>2.6055419457477001E-2</v>
      </c>
      <c r="AD2323">
        <v>2.61355756749587</v>
      </c>
      <c r="AE2323">
        <v>0.65355294942855802</v>
      </c>
      <c r="AF2323">
        <v>1146.64499121265</v>
      </c>
      <c r="AG2323">
        <f>IFERROR(AH2323*0.1, "N/A")</f>
        <v>6.1000000000000005</v>
      </c>
      <c r="AH2323">
        <v>61</v>
      </c>
      <c r="AI2323">
        <v>321.02681111367599</v>
      </c>
      <c r="AJ2323">
        <v>35.905096660808397</v>
      </c>
      <c r="AK2323">
        <v>49.094903339191603</v>
      </c>
    </row>
    <row r="2324" spans="1:37" x14ac:dyDescent="0.3">
      <c r="A2324">
        <v>2323</v>
      </c>
      <c r="B2324">
        <v>13.3</v>
      </c>
      <c r="C2324">
        <v>32.9328</v>
      </c>
      <c r="D2324">
        <v>-2.4186200000000002</v>
      </c>
      <c r="E2324" t="s">
        <v>4051</v>
      </c>
      <c r="F2324" t="s">
        <v>4052</v>
      </c>
      <c r="G2324" t="s">
        <v>39</v>
      </c>
      <c r="H2324">
        <v>1991</v>
      </c>
      <c r="I2324">
        <v>22.600000381469702</v>
      </c>
      <c r="J2324">
        <v>10.199999809265099</v>
      </c>
      <c r="K2324">
        <v>77</v>
      </c>
      <c r="L2324">
        <v>4.7980317223051099</v>
      </c>
      <c r="M2324">
        <v>28.5</v>
      </c>
      <c r="N2324">
        <v>15.3219684305845</v>
      </c>
      <c r="O2324">
        <v>13.1780315694155</v>
      </c>
      <c r="P2324">
        <v>22.799999237060501</v>
      </c>
      <c r="Q2324">
        <v>21.899999618530298</v>
      </c>
      <c r="R2324">
        <v>23.100000381469702</v>
      </c>
      <c r="S2324">
        <v>21.899999618530298</v>
      </c>
      <c r="T2324">
        <v>1086.12126537786</v>
      </c>
      <c r="U2324">
        <v>176.78031634446401</v>
      </c>
      <c r="V2324">
        <v>9</v>
      </c>
      <c r="W2324">
        <v>64</v>
      </c>
      <c r="X2324">
        <v>442.78031634446398</v>
      </c>
      <c r="Y2324">
        <v>42.780316344463998</v>
      </c>
      <c r="Z2324">
        <v>281.78031634446398</v>
      </c>
      <c r="AA2324">
        <v>42.780316344463998</v>
      </c>
      <c r="AB2324">
        <v>12.628977690095001</v>
      </c>
      <c r="AC2324">
        <v>3.1925145800181E-2</v>
      </c>
      <c r="AD2324">
        <v>1.0267885067550899</v>
      </c>
      <c r="AE2324">
        <v>0.53053718805313099</v>
      </c>
      <c r="AF2324">
        <v>1153.69947275923</v>
      </c>
      <c r="AG2324">
        <f>IFERROR(AH2324*0.1, "N/A")</f>
        <v>5.6140597539543107</v>
      </c>
      <c r="AH2324">
        <v>56.140597539543101</v>
      </c>
      <c r="AI2324">
        <v>273.72981755637102</v>
      </c>
      <c r="AJ2324">
        <v>26.701230228471001</v>
      </c>
      <c r="AK2324">
        <v>57.115992970123003</v>
      </c>
    </row>
    <row r="2325" spans="1:37" x14ac:dyDescent="0.3">
      <c r="A2325">
        <v>2324</v>
      </c>
      <c r="B2325">
        <v>20</v>
      </c>
      <c r="C2325">
        <v>32.9328</v>
      </c>
      <c r="D2325">
        <v>-2.4186200000000002</v>
      </c>
      <c r="E2325" t="s">
        <v>4051</v>
      </c>
      <c r="F2325" t="s">
        <v>4053</v>
      </c>
      <c r="G2325" t="s">
        <v>37</v>
      </c>
      <c r="H2325">
        <v>1991</v>
      </c>
      <c r="I2325">
        <v>22.600000381469702</v>
      </c>
      <c r="J2325">
        <v>10.199999809265099</v>
      </c>
      <c r="K2325">
        <v>77</v>
      </c>
      <c r="L2325">
        <v>4.7980317223051099</v>
      </c>
      <c r="M2325">
        <v>28.5</v>
      </c>
      <c r="N2325">
        <v>15.3219684305845</v>
      </c>
      <c r="O2325">
        <v>13.1780315694155</v>
      </c>
      <c r="P2325">
        <v>22.799999237060501</v>
      </c>
      <c r="Q2325">
        <v>21.899999618530298</v>
      </c>
      <c r="R2325">
        <v>23.100000381469702</v>
      </c>
      <c r="S2325">
        <v>21.899999618530298</v>
      </c>
      <c r="T2325">
        <v>1086.12126537786</v>
      </c>
      <c r="U2325">
        <v>176.78031634446401</v>
      </c>
      <c r="V2325">
        <v>9</v>
      </c>
      <c r="W2325">
        <v>64</v>
      </c>
      <c r="X2325">
        <v>442.78031634446398</v>
      </c>
      <c r="Y2325">
        <v>42.780316344463998</v>
      </c>
      <c r="Z2325">
        <v>281.78031634446398</v>
      </c>
      <c r="AA2325">
        <v>42.780316344463998</v>
      </c>
      <c r="AB2325">
        <v>12.628977690095001</v>
      </c>
      <c r="AC2325">
        <v>3.1925145800181E-2</v>
      </c>
      <c r="AD2325">
        <v>1.0267885067550899</v>
      </c>
      <c r="AE2325">
        <v>0.53053718805313099</v>
      </c>
      <c r="AF2325">
        <v>1153.69947275923</v>
      </c>
      <c r="AG2325">
        <f>IFERROR(AH2325*0.1, "N/A")</f>
        <v>5.6140597539543107</v>
      </c>
      <c r="AH2325">
        <v>56.140597539543101</v>
      </c>
      <c r="AI2325">
        <v>273.72981755637102</v>
      </c>
      <c r="AJ2325">
        <v>26.701230228471001</v>
      </c>
      <c r="AK2325">
        <v>57.115992970123003</v>
      </c>
    </row>
    <row r="2326" spans="1:37" x14ac:dyDescent="0.3">
      <c r="A2326">
        <v>2325</v>
      </c>
      <c r="B2326">
        <v>3.3</v>
      </c>
      <c r="C2326">
        <v>32.888100000000001</v>
      </c>
      <c r="D2326">
        <v>-2.4715699999999998</v>
      </c>
      <c r="E2326" t="s">
        <v>4054</v>
      </c>
      <c r="F2326" t="s">
        <v>4055</v>
      </c>
      <c r="G2326" t="s">
        <v>39</v>
      </c>
      <c r="H2326">
        <v>1991</v>
      </c>
      <c r="I2326">
        <v>22.399999618530298</v>
      </c>
      <c r="J2326">
        <v>10.300000190734901</v>
      </c>
      <c r="K2326">
        <v>77</v>
      </c>
      <c r="L2326">
        <v>4.5999999046325701</v>
      </c>
      <c r="M2326">
        <v>28.399999618530298</v>
      </c>
      <c r="N2326">
        <v>15.1000003814697</v>
      </c>
      <c r="O2326">
        <v>13.300000190734901</v>
      </c>
      <c r="P2326">
        <v>22.600000381469702</v>
      </c>
      <c r="Q2326">
        <v>21.700000762939499</v>
      </c>
      <c r="R2326">
        <v>22.899999618530298</v>
      </c>
      <c r="S2326">
        <v>21.700000762939499</v>
      </c>
      <c r="T2326">
        <v>1109</v>
      </c>
      <c r="U2326">
        <v>184</v>
      </c>
      <c r="V2326">
        <v>9</v>
      </c>
      <c r="W2326">
        <v>65</v>
      </c>
      <c r="X2326">
        <v>452</v>
      </c>
      <c r="Y2326">
        <v>44</v>
      </c>
      <c r="Z2326">
        <v>293</v>
      </c>
      <c r="AA2326">
        <v>44</v>
      </c>
      <c r="AB2326">
        <v>40.572218988982698</v>
      </c>
      <c r="AC2326">
        <v>1.1171243417497E-2</v>
      </c>
      <c r="AD2326">
        <v>2.1596976921592002</v>
      </c>
      <c r="AE2326">
        <v>0.55779182910919201</v>
      </c>
      <c r="AF2326">
        <v>1176.37147887324</v>
      </c>
      <c r="AG2326">
        <f>IFERROR(AH2326*0.1, "N/A")</f>
        <v>6.1788732394366201</v>
      </c>
      <c r="AH2326">
        <v>61.7887323943662</v>
      </c>
      <c r="AI2326">
        <v>286.60189179971201</v>
      </c>
      <c r="AJ2326">
        <v>34.459507042253499</v>
      </c>
      <c r="AK2326">
        <v>46.441901408450697</v>
      </c>
    </row>
    <row r="2327" spans="1:37" x14ac:dyDescent="0.3">
      <c r="A2327">
        <v>2326</v>
      </c>
      <c r="B2327">
        <v>43.299999</v>
      </c>
      <c r="C2327">
        <v>32.888100000000001</v>
      </c>
      <c r="D2327">
        <v>-2.4715699999999998</v>
      </c>
      <c r="E2327" t="s">
        <v>4054</v>
      </c>
      <c r="F2327" t="s">
        <v>4056</v>
      </c>
      <c r="G2327" t="s">
        <v>37</v>
      </c>
      <c r="H2327">
        <v>1991</v>
      </c>
      <c r="I2327">
        <v>22.399999618530298</v>
      </c>
      <c r="J2327">
        <v>10.300000190734901</v>
      </c>
      <c r="K2327">
        <v>77</v>
      </c>
      <c r="L2327">
        <v>4.5999999046325701</v>
      </c>
      <c r="M2327">
        <v>28.399999618530298</v>
      </c>
      <c r="N2327">
        <v>15.1000003814697</v>
      </c>
      <c r="O2327">
        <v>13.300000190734901</v>
      </c>
      <c r="P2327">
        <v>22.600000381469702</v>
      </c>
      <c r="Q2327">
        <v>21.700000762939499</v>
      </c>
      <c r="R2327">
        <v>22.899999618530298</v>
      </c>
      <c r="S2327">
        <v>21.700000762939499</v>
      </c>
      <c r="T2327">
        <v>1109</v>
      </c>
      <c r="U2327">
        <v>184</v>
      </c>
      <c r="V2327">
        <v>9</v>
      </c>
      <c r="W2327">
        <v>65</v>
      </c>
      <c r="X2327">
        <v>452</v>
      </c>
      <c r="Y2327">
        <v>44</v>
      </c>
      <c r="Z2327">
        <v>293</v>
      </c>
      <c r="AA2327">
        <v>44</v>
      </c>
      <c r="AB2327">
        <v>40.572218988982698</v>
      </c>
      <c r="AC2327">
        <v>1.1171243417497E-2</v>
      </c>
      <c r="AD2327">
        <v>2.1596976921592002</v>
      </c>
      <c r="AE2327">
        <v>0.55779182910919201</v>
      </c>
      <c r="AF2327">
        <v>1176.37147887324</v>
      </c>
      <c r="AG2327">
        <f>IFERROR(AH2327*0.1, "N/A")</f>
        <v>6.1788732394366201</v>
      </c>
      <c r="AH2327">
        <v>61.7887323943662</v>
      </c>
      <c r="AI2327">
        <v>286.60189179971201</v>
      </c>
      <c r="AJ2327">
        <v>34.459507042253499</v>
      </c>
      <c r="AK2327">
        <v>46.441901408450697</v>
      </c>
    </row>
    <row r="2328" spans="1:37" x14ac:dyDescent="0.3">
      <c r="A2328">
        <v>2327</v>
      </c>
      <c r="B2328">
        <v>2</v>
      </c>
      <c r="C2328">
        <v>32.902500000000003</v>
      </c>
      <c r="D2328">
        <v>-2.4792900000000002</v>
      </c>
      <c r="E2328" t="s">
        <v>4057</v>
      </c>
      <c r="F2328" t="s">
        <v>4058</v>
      </c>
      <c r="G2328" t="s">
        <v>39</v>
      </c>
      <c r="H2328">
        <v>1991</v>
      </c>
      <c r="I2328">
        <v>22.5</v>
      </c>
      <c r="J2328">
        <v>10.300000190734901</v>
      </c>
      <c r="K2328">
        <v>76</v>
      </c>
      <c r="L2328">
        <v>4.9200000762939498</v>
      </c>
      <c r="M2328">
        <v>28.5</v>
      </c>
      <c r="N2328">
        <v>15.1000003814697</v>
      </c>
      <c r="O2328">
        <v>13.3999996185303</v>
      </c>
      <c r="P2328">
        <v>22.700000762939499</v>
      </c>
      <c r="Q2328">
        <v>21.700000762939499</v>
      </c>
      <c r="R2328">
        <v>22.899999618530298</v>
      </c>
      <c r="S2328">
        <v>21.700000762939499</v>
      </c>
      <c r="T2328">
        <v>1091</v>
      </c>
      <c r="U2328">
        <v>180</v>
      </c>
      <c r="V2328">
        <v>9</v>
      </c>
      <c r="W2328">
        <v>65</v>
      </c>
      <c r="X2328">
        <v>444</v>
      </c>
      <c r="Y2328">
        <v>43</v>
      </c>
      <c r="Z2328">
        <v>286</v>
      </c>
      <c r="AA2328">
        <v>43</v>
      </c>
      <c r="AB2328">
        <v>27.074164139596999</v>
      </c>
      <c r="AC2328">
        <v>4.1231743357422003E-2</v>
      </c>
      <c r="AD2328">
        <v>3.6183288896293</v>
      </c>
      <c r="AE2328">
        <v>0.76515138149261497</v>
      </c>
      <c r="AF2328">
        <v>1162.2052631578899</v>
      </c>
      <c r="AG2328">
        <f>IFERROR(AH2328*0.1, "N/A")</f>
        <v>5.6005263157894705</v>
      </c>
      <c r="AH2328">
        <v>56.005263157894703</v>
      </c>
      <c r="AI2328">
        <v>329.24593837805003</v>
      </c>
      <c r="AJ2328">
        <v>36</v>
      </c>
      <c r="AK2328">
        <v>47.989473684210502</v>
      </c>
    </row>
    <row r="2329" spans="1:37" x14ac:dyDescent="0.3">
      <c r="A2329">
        <v>2328</v>
      </c>
      <c r="B2329">
        <v>38</v>
      </c>
      <c r="C2329">
        <v>32.902500000000003</v>
      </c>
      <c r="D2329">
        <v>-2.4792900000000002</v>
      </c>
      <c r="E2329" t="s">
        <v>4057</v>
      </c>
      <c r="F2329" t="s">
        <v>4059</v>
      </c>
      <c r="G2329" t="s">
        <v>37</v>
      </c>
      <c r="H2329">
        <v>1991</v>
      </c>
      <c r="I2329">
        <v>22.5</v>
      </c>
      <c r="J2329">
        <v>10.300000190734901</v>
      </c>
      <c r="K2329">
        <v>76</v>
      </c>
      <c r="L2329">
        <v>4.9200000762939498</v>
      </c>
      <c r="M2329">
        <v>28.5</v>
      </c>
      <c r="N2329">
        <v>15.1000003814697</v>
      </c>
      <c r="O2329">
        <v>13.3999996185303</v>
      </c>
      <c r="P2329">
        <v>22.700000762939499</v>
      </c>
      <c r="Q2329">
        <v>21.700000762939499</v>
      </c>
      <c r="R2329">
        <v>22.899999618530298</v>
      </c>
      <c r="S2329">
        <v>21.700000762939499</v>
      </c>
      <c r="T2329">
        <v>1091</v>
      </c>
      <c r="U2329">
        <v>180</v>
      </c>
      <c r="V2329">
        <v>9</v>
      </c>
      <c r="W2329">
        <v>65</v>
      </c>
      <c r="X2329">
        <v>444</v>
      </c>
      <c r="Y2329">
        <v>43</v>
      </c>
      <c r="Z2329">
        <v>286</v>
      </c>
      <c r="AA2329">
        <v>43</v>
      </c>
      <c r="AB2329">
        <v>27.074164139596999</v>
      </c>
      <c r="AC2329">
        <v>4.1231743357422003E-2</v>
      </c>
      <c r="AD2329">
        <v>3.6183288896293</v>
      </c>
      <c r="AE2329">
        <v>0.76515138149261497</v>
      </c>
      <c r="AF2329">
        <v>1162.2052631578899</v>
      </c>
      <c r="AG2329">
        <f>IFERROR(AH2329*0.1, "N/A")</f>
        <v>5.6005263157894705</v>
      </c>
      <c r="AH2329">
        <v>56.005263157894703</v>
      </c>
      <c r="AI2329">
        <v>329.24593837805003</v>
      </c>
      <c r="AJ2329">
        <v>36</v>
      </c>
      <c r="AK2329">
        <v>47.989473684210502</v>
      </c>
    </row>
    <row r="2330" spans="1:37" x14ac:dyDescent="0.3">
      <c r="A2330">
        <v>2329</v>
      </c>
      <c r="B2330">
        <v>3.3</v>
      </c>
      <c r="C2330">
        <v>32.897098999999997</v>
      </c>
      <c r="D2330">
        <v>-2.4984999999999999</v>
      </c>
      <c r="E2330" t="s">
        <v>4060</v>
      </c>
      <c r="F2330" t="s">
        <v>4061</v>
      </c>
      <c r="G2330" t="s">
        <v>39</v>
      </c>
      <c r="H2330">
        <v>1991</v>
      </c>
      <c r="I2330">
        <v>22.299999237060501</v>
      </c>
      <c r="J2330">
        <v>10.3999996185303</v>
      </c>
      <c r="K2330">
        <v>76</v>
      </c>
      <c r="L2330">
        <v>4.9800000190734899</v>
      </c>
      <c r="M2330">
        <v>28.5</v>
      </c>
      <c r="N2330">
        <v>14.8999996185303</v>
      </c>
      <c r="O2330">
        <v>13.6000003814697</v>
      </c>
      <c r="P2330">
        <v>22.5</v>
      </c>
      <c r="Q2330">
        <v>21.600000381469702</v>
      </c>
      <c r="R2330">
        <v>22.799999237060501</v>
      </c>
      <c r="S2330">
        <v>21.600000381469702</v>
      </c>
      <c r="T2330">
        <v>1104</v>
      </c>
      <c r="U2330">
        <v>183</v>
      </c>
      <c r="V2330">
        <v>9</v>
      </c>
      <c r="W2330">
        <v>65</v>
      </c>
      <c r="X2330">
        <v>450</v>
      </c>
      <c r="Y2330">
        <v>43</v>
      </c>
      <c r="Z2330">
        <v>291</v>
      </c>
      <c r="AA2330">
        <v>43</v>
      </c>
      <c r="AB2330">
        <v>27.342178103374899</v>
      </c>
      <c r="AC2330">
        <v>1.6629538405523E-2</v>
      </c>
      <c r="AD2330">
        <v>10.551960225474</v>
      </c>
      <c r="AE2330">
        <v>0.81996321678161599</v>
      </c>
      <c r="AF2330">
        <v>1158.24253075571</v>
      </c>
      <c r="AG2330">
        <f>IFERROR(AH2330*0.1, "N/A")</f>
        <v>5.9047451669595805</v>
      </c>
      <c r="AH2330">
        <v>59.047451669595802</v>
      </c>
      <c r="AI2330">
        <v>122.237245690425</v>
      </c>
      <c r="AJ2330">
        <v>35.952548330404198</v>
      </c>
      <c r="AK2330">
        <v>45.142355008787298</v>
      </c>
    </row>
    <row r="2331" spans="1:37" x14ac:dyDescent="0.3">
      <c r="A2331">
        <v>2330</v>
      </c>
      <c r="B2331">
        <v>60.700001</v>
      </c>
      <c r="C2331">
        <v>32.897098999999997</v>
      </c>
      <c r="D2331">
        <v>-2.4984999999999999</v>
      </c>
      <c r="E2331" t="s">
        <v>4060</v>
      </c>
      <c r="F2331" t="s">
        <v>4062</v>
      </c>
      <c r="G2331" t="s">
        <v>37</v>
      </c>
      <c r="H2331">
        <v>1991</v>
      </c>
      <c r="I2331">
        <v>22.299999237060501</v>
      </c>
      <c r="J2331">
        <v>10.3999996185303</v>
      </c>
      <c r="K2331">
        <v>76</v>
      </c>
      <c r="L2331">
        <v>4.9800000190734899</v>
      </c>
      <c r="M2331">
        <v>28.5</v>
      </c>
      <c r="N2331">
        <v>14.8999996185303</v>
      </c>
      <c r="O2331">
        <v>13.6000003814697</v>
      </c>
      <c r="P2331">
        <v>22.5</v>
      </c>
      <c r="Q2331">
        <v>21.600000381469702</v>
      </c>
      <c r="R2331">
        <v>22.799999237060501</v>
      </c>
      <c r="S2331">
        <v>21.600000381469702</v>
      </c>
      <c r="T2331">
        <v>1104</v>
      </c>
      <c r="U2331">
        <v>183</v>
      </c>
      <c r="V2331">
        <v>9</v>
      </c>
      <c r="W2331">
        <v>65</v>
      </c>
      <c r="X2331">
        <v>450</v>
      </c>
      <c r="Y2331">
        <v>43</v>
      </c>
      <c r="Z2331">
        <v>291</v>
      </c>
      <c r="AA2331">
        <v>43</v>
      </c>
      <c r="AB2331">
        <v>27.342178103374899</v>
      </c>
      <c r="AC2331">
        <v>1.6629538405523E-2</v>
      </c>
      <c r="AD2331">
        <v>10.551960225474</v>
      </c>
      <c r="AE2331">
        <v>0.81996321678161599</v>
      </c>
      <c r="AF2331">
        <v>1158.24253075571</v>
      </c>
      <c r="AG2331">
        <f>IFERROR(AH2331*0.1, "N/A")</f>
        <v>5.9047451669595805</v>
      </c>
      <c r="AH2331">
        <v>59.047451669595802</v>
      </c>
      <c r="AI2331">
        <v>122.237245690425</v>
      </c>
      <c r="AJ2331">
        <v>35.952548330404198</v>
      </c>
      <c r="AK2331">
        <v>45.142355008787298</v>
      </c>
    </row>
    <row r="2332" spans="1:37" x14ac:dyDescent="0.3">
      <c r="A2332">
        <v>2331</v>
      </c>
      <c r="B2332">
        <v>3.4</v>
      </c>
      <c r="C2332">
        <v>32.913502000000001</v>
      </c>
      <c r="D2332">
        <v>-2.5108999999999999</v>
      </c>
      <c r="E2332" t="s">
        <v>4063</v>
      </c>
      <c r="F2332" t="s">
        <v>4064</v>
      </c>
      <c r="G2332" t="s">
        <v>39</v>
      </c>
      <c r="H2332">
        <v>1991</v>
      </c>
      <c r="I2332">
        <v>22.200000762939499</v>
      </c>
      <c r="J2332">
        <v>10.3999996185303</v>
      </c>
      <c r="K2332">
        <v>75</v>
      </c>
      <c r="L2332">
        <v>5.1700000762939498</v>
      </c>
      <c r="M2332">
        <v>28.5</v>
      </c>
      <c r="N2332">
        <v>14.699999809265099</v>
      </c>
      <c r="O2332">
        <v>13.800000190734901</v>
      </c>
      <c r="P2332">
        <v>22.299999237060501</v>
      </c>
      <c r="Q2332">
        <v>21.5</v>
      </c>
      <c r="R2332">
        <v>22.700000762939499</v>
      </c>
      <c r="S2332">
        <v>21.5</v>
      </c>
      <c r="T2332">
        <v>1105</v>
      </c>
      <c r="U2332">
        <v>184</v>
      </c>
      <c r="V2332">
        <v>9</v>
      </c>
      <c r="W2332">
        <v>65</v>
      </c>
      <c r="X2332">
        <v>452</v>
      </c>
      <c r="Y2332">
        <v>41</v>
      </c>
      <c r="Z2332">
        <v>290</v>
      </c>
      <c r="AA2332">
        <v>41</v>
      </c>
      <c r="AB2332">
        <v>115.00047264768401</v>
      </c>
      <c r="AC2332">
        <v>9.7983160464649999E-3</v>
      </c>
      <c r="AD2332">
        <v>8.0563416355534603</v>
      </c>
      <c r="AE2332">
        <v>0.74941128492355302</v>
      </c>
      <c r="AF2332">
        <v>1271.8684210526301</v>
      </c>
      <c r="AG2332">
        <f>IFERROR(AH2332*0.1, "N/A")</f>
        <v>6.0157894736842108</v>
      </c>
      <c r="AH2332">
        <v>60.157894736842103</v>
      </c>
      <c r="AI2332">
        <v>277.052900240714</v>
      </c>
      <c r="AJ2332">
        <v>35.559649122807002</v>
      </c>
      <c r="AK2332">
        <v>48.433333333333302</v>
      </c>
    </row>
    <row r="2333" spans="1:37" x14ac:dyDescent="0.3">
      <c r="A2333">
        <v>2332</v>
      </c>
      <c r="B2333">
        <v>41.400002000000001</v>
      </c>
      <c r="C2333">
        <v>32.913502000000001</v>
      </c>
      <c r="D2333">
        <v>-2.5108999999999999</v>
      </c>
      <c r="E2333" t="s">
        <v>4063</v>
      </c>
      <c r="F2333" t="s">
        <v>4065</v>
      </c>
      <c r="G2333" t="s">
        <v>37</v>
      </c>
      <c r="H2333">
        <v>1991</v>
      </c>
      <c r="I2333">
        <v>22.200000762939499</v>
      </c>
      <c r="J2333">
        <v>10.3999996185303</v>
      </c>
      <c r="K2333">
        <v>75</v>
      </c>
      <c r="L2333">
        <v>5.1700000762939498</v>
      </c>
      <c r="M2333">
        <v>28.5</v>
      </c>
      <c r="N2333">
        <v>14.699999809265099</v>
      </c>
      <c r="O2333">
        <v>13.800000190734901</v>
      </c>
      <c r="P2333">
        <v>22.299999237060501</v>
      </c>
      <c r="Q2333">
        <v>21.5</v>
      </c>
      <c r="R2333">
        <v>22.700000762939499</v>
      </c>
      <c r="S2333">
        <v>21.5</v>
      </c>
      <c r="T2333">
        <v>1105</v>
      </c>
      <c r="U2333">
        <v>184</v>
      </c>
      <c r="V2333">
        <v>9</v>
      </c>
      <c r="W2333">
        <v>65</v>
      </c>
      <c r="X2333">
        <v>452</v>
      </c>
      <c r="Y2333">
        <v>41</v>
      </c>
      <c r="Z2333">
        <v>290</v>
      </c>
      <c r="AA2333">
        <v>41</v>
      </c>
      <c r="AB2333">
        <v>115.00047264768401</v>
      </c>
      <c r="AC2333">
        <v>9.7983160464649999E-3</v>
      </c>
      <c r="AD2333">
        <v>8.0563416355534603</v>
      </c>
      <c r="AE2333">
        <v>0.74941128492355302</v>
      </c>
      <c r="AF2333">
        <v>1271.8684210526301</v>
      </c>
      <c r="AG2333">
        <f>IFERROR(AH2333*0.1, "N/A")</f>
        <v>6.0157894736842108</v>
      </c>
      <c r="AH2333">
        <v>60.157894736842103</v>
      </c>
      <c r="AI2333">
        <v>277.052900240714</v>
      </c>
      <c r="AJ2333">
        <v>35.559649122807002</v>
      </c>
      <c r="AK2333">
        <v>48.433333333333302</v>
      </c>
    </row>
    <row r="2334" spans="1:37" x14ac:dyDescent="0.3">
      <c r="A2334">
        <v>2333</v>
      </c>
      <c r="B2334">
        <v>0</v>
      </c>
      <c r="C2334">
        <v>32.9193</v>
      </c>
      <c r="D2334">
        <v>-2.5133999999999999</v>
      </c>
      <c r="E2334" t="s">
        <v>4066</v>
      </c>
      <c r="F2334" t="s">
        <v>4067</v>
      </c>
      <c r="G2334" t="s">
        <v>39</v>
      </c>
      <c r="H2334">
        <v>1991</v>
      </c>
      <c r="I2334">
        <v>22</v>
      </c>
      <c r="J2334">
        <v>10.5</v>
      </c>
      <c r="K2334">
        <v>75</v>
      </c>
      <c r="L2334">
        <v>5.6500000953674299</v>
      </c>
      <c r="M2334">
        <v>28.399999618530298</v>
      </c>
      <c r="N2334">
        <v>14.5</v>
      </c>
      <c r="O2334">
        <v>13.8999996185303</v>
      </c>
      <c r="P2334">
        <v>22.100000381469702</v>
      </c>
      <c r="Q2334">
        <v>21.200000762939499</v>
      </c>
      <c r="R2334">
        <v>22.600000381469702</v>
      </c>
      <c r="S2334">
        <v>21.200000762939499</v>
      </c>
      <c r="T2334">
        <v>1123</v>
      </c>
      <c r="U2334">
        <v>187</v>
      </c>
      <c r="V2334">
        <v>9</v>
      </c>
      <c r="W2334">
        <v>66</v>
      </c>
      <c r="X2334">
        <v>459</v>
      </c>
      <c r="Y2334">
        <v>42</v>
      </c>
      <c r="Z2334">
        <v>296</v>
      </c>
      <c r="AA2334">
        <v>42</v>
      </c>
      <c r="AB2334">
        <v>104.276266318873</v>
      </c>
      <c r="AC2334">
        <v>1.2599949282185999E-2</v>
      </c>
      <c r="AD2334">
        <v>3.1766161092540699</v>
      </c>
      <c r="AE2334">
        <v>0.67855327641754803</v>
      </c>
      <c r="AF2334">
        <v>1280.91578947368</v>
      </c>
      <c r="AG2334">
        <f>IFERROR(AH2334*0.1, "N/A")</f>
        <v>5.9310526315789502</v>
      </c>
      <c r="AH2334">
        <v>59.310526315789502</v>
      </c>
      <c r="AI2334">
        <v>260.44028221264199</v>
      </c>
      <c r="AJ2334">
        <v>28.1947368421053</v>
      </c>
      <c r="AK2334">
        <v>54.412280701754398</v>
      </c>
    </row>
    <row r="2335" spans="1:37" x14ac:dyDescent="0.3">
      <c r="A2335">
        <v>2334</v>
      </c>
      <c r="B2335">
        <v>52.599997999999999</v>
      </c>
      <c r="C2335">
        <v>32.9193</v>
      </c>
      <c r="D2335">
        <v>-2.5133999999999999</v>
      </c>
      <c r="E2335" t="s">
        <v>4066</v>
      </c>
      <c r="F2335" t="s">
        <v>4068</v>
      </c>
      <c r="G2335" t="s">
        <v>37</v>
      </c>
      <c r="H2335">
        <v>1991</v>
      </c>
      <c r="I2335">
        <v>22</v>
      </c>
      <c r="J2335">
        <v>10.5</v>
      </c>
      <c r="K2335">
        <v>75</v>
      </c>
      <c r="L2335">
        <v>5.6500000953674299</v>
      </c>
      <c r="M2335">
        <v>28.399999618530298</v>
      </c>
      <c r="N2335">
        <v>14.5</v>
      </c>
      <c r="O2335">
        <v>13.8999996185303</v>
      </c>
      <c r="P2335">
        <v>22.100000381469702</v>
      </c>
      <c r="Q2335">
        <v>21.200000762939499</v>
      </c>
      <c r="R2335">
        <v>22.600000381469702</v>
      </c>
      <c r="S2335">
        <v>21.200000762939499</v>
      </c>
      <c r="T2335">
        <v>1123</v>
      </c>
      <c r="U2335">
        <v>187</v>
      </c>
      <c r="V2335">
        <v>9</v>
      </c>
      <c r="W2335">
        <v>66</v>
      </c>
      <c r="X2335">
        <v>459</v>
      </c>
      <c r="Y2335">
        <v>42</v>
      </c>
      <c r="Z2335">
        <v>296</v>
      </c>
      <c r="AA2335">
        <v>42</v>
      </c>
      <c r="AB2335">
        <v>104.276266318873</v>
      </c>
      <c r="AC2335">
        <v>1.2599949282185999E-2</v>
      </c>
      <c r="AD2335">
        <v>3.1766161092540699</v>
      </c>
      <c r="AE2335">
        <v>0.67855327641754803</v>
      </c>
      <c r="AF2335">
        <v>1280.91578947368</v>
      </c>
      <c r="AG2335">
        <f>IFERROR(AH2335*0.1, "N/A")</f>
        <v>5.9310526315789502</v>
      </c>
      <c r="AH2335">
        <v>59.310526315789502</v>
      </c>
      <c r="AI2335">
        <v>260.44028221264199</v>
      </c>
      <c r="AJ2335">
        <v>28.1947368421053</v>
      </c>
      <c r="AK2335">
        <v>54.412280701754398</v>
      </c>
    </row>
    <row r="2336" spans="1:37" x14ac:dyDescent="0.3">
      <c r="A2336">
        <v>2335</v>
      </c>
      <c r="B2336">
        <v>33.299999</v>
      </c>
      <c r="C2336">
        <v>32.993000000000002</v>
      </c>
      <c r="D2336">
        <v>-2.54853</v>
      </c>
      <c r="E2336" t="s">
        <v>4069</v>
      </c>
      <c r="F2336" t="s">
        <v>4070</v>
      </c>
      <c r="G2336" t="s">
        <v>39</v>
      </c>
      <c r="H2336">
        <v>1991</v>
      </c>
      <c r="I2336">
        <v>22.399999618530298</v>
      </c>
      <c r="J2336">
        <v>10.6000003814697</v>
      </c>
      <c r="K2336">
        <v>74</v>
      </c>
      <c r="L2336">
        <v>5.6799998283386204</v>
      </c>
      <c r="M2336">
        <v>29.100000381469702</v>
      </c>
      <c r="N2336">
        <v>14.8999996185303</v>
      </c>
      <c r="O2336">
        <v>14.199999809265099</v>
      </c>
      <c r="P2336">
        <v>22.5</v>
      </c>
      <c r="Q2336">
        <v>21.700000762939499</v>
      </c>
      <c r="R2336">
        <v>23.100000381469702</v>
      </c>
      <c r="S2336">
        <v>21.700000762939499</v>
      </c>
      <c r="T2336">
        <v>1037</v>
      </c>
      <c r="U2336">
        <v>172</v>
      </c>
      <c r="V2336">
        <v>7</v>
      </c>
      <c r="W2336">
        <v>67</v>
      </c>
      <c r="X2336">
        <v>425</v>
      </c>
      <c r="Y2336">
        <v>34</v>
      </c>
      <c r="Z2336">
        <v>266</v>
      </c>
      <c r="AA2336">
        <v>34</v>
      </c>
      <c r="AB2336">
        <v>7.4666046518014104</v>
      </c>
      <c r="AC2336">
        <v>4.2667769054392998E-2</v>
      </c>
      <c r="AD2336">
        <v>1.3340213437071999</v>
      </c>
      <c r="AE2336">
        <v>0.620805203914642</v>
      </c>
      <c r="AF2336">
        <v>1210.93321616872</v>
      </c>
      <c r="AG2336">
        <f>IFERROR(AH2336*0.1, "N/A")</f>
        <v>6.3987697715290004</v>
      </c>
      <c r="AH2336">
        <v>63.987697715289997</v>
      </c>
      <c r="AI2336">
        <v>76.727012661094193</v>
      </c>
      <c r="AJ2336">
        <v>24.6256590509666</v>
      </c>
      <c r="AK2336">
        <v>61.604569420035098</v>
      </c>
    </row>
    <row r="2337" spans="1:37" x14ac:dyDescent="0.3">
      <c r="A2337">
        <v>2336</v>
      </c>
      <c r="B2337">
        <v>0</v>
      </c>
      <c r="C2337">
        <v>32.993000000000002</v>
      </c>
      <c r="D2337">
        <v>-2.54853</v>
      </c>
      <c r="E2337" t="s">
        <v>4069</v>
      </c>
      <c r="F2337" t="s">
        <v>4071</v>
      </c>
      <c r="G2337" t="s">
        <v>37</v>
      </c>
      <c r="H2337">
        <v>1991</v>
      </c>
      <c r="I2337">
        <v>22.399999618530298</v>
      </c>
      <c r="J2337">
        <v>10.6000003814697</v>
      </c>
      <c r="K2337">
        <v>74</v>
      </c>
      <c r="L2337">
        <v>5.6799998283386204</v>
      </c>
      <c r="M2337">
        <v>29.100000381469702</v>
      </c>
      <c r="N2337">
        <v>14.8999996185303</v>
      </c>
      <c r="O2337">
        <v>14.199999809265099</v>
      </c>
      <c r="P2337">
        <v>22.5</v>
      </c>
      <c r="Q2337">
        <v>21.700000762939499</v>
      </c>
      <c r="R2337">
        <v>23.100000381469702</v>
      </c>
      <c r="S2337">
        <v>21.700000762939499</v>
      </c>
      <c r="T2337">
        <v>1037</v>
      </c>
      <c r="U2337">
        <v>172</v>
      </c>
      <c r="V2337">
        <v>7</v>
      </c>
      <c r="W2337">
        <v>67</v>
      </c>
      <c r="X2337">
        <v>425</v>
      </c>
      <c r="Y2337">
        <v>34</v>
      </c>
      <c r="Z2337">
        <v>266</v>
      </c>
      <c r="AA2337">
        <v>34</v>
      </c>
      <c r="AB2337">
        <v>7.4666046518014104</v>
      </c>
      <c r="AC2337">
        <v>4.2667769054392998E-2</v>
      </c>
      <c r="AD2337">
        <v>1.3340213437071999</v>
      </c>
      <c r="AE2337">
        <v>0.620805203914642</v>
      </c>
      <c r="AF2337">
        <v>1210.93321616872</v>
      </c>
      <c r="AG2337">
        <f>IFERROR(AH2337*0.1, "N/A")</f>
        <v>6.3987697715290004</v>
      </c>
      <c r="AH2337">
        <v>63.987697715289997</v>
      </c>
      <c r="AI2337">
        <v>76.727012661094193</v>
      </c>
      <c r="AJ2337">
        <v>24.6256590509666</v>
      </c>
      <c r="AK2337">
        <v>61.604569420035098</v>
      </c>
    </row>
    <row r="2338" spans="1:37" x14ac:dyDescent="0.3">
      <c r="A2338">
        <v>2337</v>
      </c>
      <c r="B2338">
        <v>6.7</v>
      </c>
      <c r="C2338">
        <v>32.952300999999999</v>
      </c>
      <c r="D2338">
        <v>-2.6305299999999998</v>
      </c>
      <c r="E2338" t="s">
        <v>4072</v>
      </c>
      <c r="F2338" t="s">
        <v>4073</v>
      </c>
      <c r="G2338" t="s">
        <v>39</v>
      </c>
      <c r="H2338">
        <v>1991</v>
      </c>
      <c r="I2338">
        <v>22.600000381469702</v>
      </c>
      <c r="J2338">
        <v>10.800000190734901</v>
      </c>
      <c r="K2338">
        <v>72</v>
      </c>
      <c r="L2338">
        <v>6.21000003814697</v>
      </c>
      <c r="M2338">
        <v>29.700000762939499</v>
      </c>
      <c r="N2338">
        <v>14.8999996185303</v>
      </c>
      <c r="O2338">
        <v>14.800000190734901</v>
      </c>
      <c r="P2338">
        <v>22.5</v>
      </c>
      <c r="Q2338">
        <v>21.899999618530298</v>
      </c>
      <c r="R2338">
        <v>23.399999618530298</v>
      </c>
      <c r="S2338">
        <v>21.899999618530298</v>
      </c>
      <c r="T2338">
        <v>1013</v>
      </c>
      <c r="U2338">
        <v>167</v>
      </c>
      <c r="V2338">
        <v>7</v>
      </c>
      <c r="W2338">
        <v>67</v>
      </c>
      <c r="X2338">
        <v>409</v>
      </c>
      <c r="Y2338">
        <v>32</v>
      </c>
      <c r="Z2338">
        <v>262</v>
      </c>
      <c r="AA2338">
        <v>95</v>
      </c>
      <c r="AB2338">
        <v>26.2672319361773</v>
      </c>
      <c r="AC2338">
        <v>0.17603672831935199</v>
      </c>
      <c r="AD2338">
        <v>3.94066827721907</v>
      </c>
      <c r="AE2338">
        <v>0.58291742379072498</v>
      </c>
      <c r="AF2338">
        <v>1192.0758377425</v>
      </c>
      <c r="AG2338">
        <f>IFERROR(AH2338*0.1, "N/A")</f>
        <v>5.9185185185185203</v>
      </c>
      <c r="AH2338">
        <v>59.185185185185198</v>
      </c>
      <c r="AI2338">
        <v>94.926757447513495</v>
      </c>
      <c r="AJ2338">
        <v>20.9770723104056</v>
      </c>
      <c r="AK2338">
        <v>64.980599647266303</v>
      </c>
    </row>
    <row r="2339" spans="1:37" x14ac:dyDescent="0.3">
      <c r="A2339">
        <v>2338</v>
      </c>
      <c r="B2339">
        <v>3.6</v>
      </c>
      <c r="C2339">
        <v>32.952300999999999</v>
      </c>
      <c r="D2339">
        <v>-2.6305299999999998</v>
      </c>
      <c r="E2339" t="s">
        <v>4072</v>
      </c>
      <c r="F2339" t="s">
        <v>4074</v>
      </c>
      <c r="G2339" t="s">
        <v>37</v>
      </c>
      <c r="H2339">
        <v>1991</v>
      </c>
      <c r="I2339">
        <v>22.600000381469702</v>
      </c>
      <c r="J2339">
        <v>10.800000190734901</v>
      </c>
      <c r="K2339">
        <v>72</v>
      </c>
      <c r="L2339">
        <v>6.21000003814697</v>
      </c>
      <c r="M2339">
        <v>29.700000762939499</v>
      </c>
      <c r="N2339">
        <v>14.8999996185303</v>
      </c>
      <c r="O2339">
        <v>14.800000190734901</v>
      </c>
      <c r="P2339">
        <v>22.5</v>
      </c>
      <c r="Q2339">
        <v>21.899999618530298</v>
      </c>
      <c r="R2339">
        <v>23.399999618530298</v>
      </c>
      <c r="S2339">
        <v>21.899999618530298</v>
      </c>
      <c r="T2339">
        <v>1013</v>
      </c>
      <c r="U2339">
        <v>167</v>
      </c>
      <c r="V2339">
        <v>7</v>
      </c>
      <c r="W2339">
        <v>67</v>
      </c>
      <c r="X2339">
        <v>409</v>
      </c>
      <c r="Y2339">
        <v>32</v>
      </c>
      <c r="Z2339">
        <v>262</v>
      </c>
      <c r="AA2339">
        <v>95</v>
      </c>
      <c r="AB2339">
        <v>26.2672319361773</v>
      </c>
      <c r="AC2339">
        <v>0.17603672831935199</v>
      </c>
      <c r="AD2339">
        <v>3.94066827721907</v>
      </c>
      <c r="AE2339">
        <v>0.58291742379072498</v>
      </c>
      <c r="AF2339">
        <v>1192.0758377425</v>
      </c>
      <c r="AG2339">
        <f>IFERROR(AH2339*0.1, "N/A")</f>
        <v>5.9185185185185203</v>
      </c>
      <c r="AH2339">
        <v>59.185185185185198</v>
      </c>
      <c r="AI2339">
        <v>94.926757447513495</v>
      </c>
      <c r="AJ2339">
        <v>20.9770723104056</v>
      </c>
      <c r="AK2339">
        <v>64.980599647266303</v>
      </c>
    </row>
    <row r="2340" spans="1:37" x14ac:dyDescent="0.3">
      <c r="A2340">
        <v>2339</v>
      </c>
      <c r="B2340">
        <v>20</v>
      </c>
      <c r="C2340">
        <v>32.931099000000003</v>
      </c>
      <c r="D2340">
        <v>-2.6290499999999999</v>
      </c>
      <c r="E2340" t="s">
        <v>3368</v>
      </c>
      <c r="F2340" t="s">
        <v>4075</v>
      </c>
      <c r="G2340" t="s">
        <v>37</v>
      </c>
      <c r="H2340">
        <v>1993</v>
      </c>
      <c r="I2340">
        <v>22.700000762939499</v>
      </c>
      <c r="J2340">
        <v>10.800000190734901</v>
      </c>
      <c r="K2340">
        <v>73</v>
      </c>
      <c r="L2340">
        <v>6.0900001525878897</v>
      </c>
      <c r="M2340">
        <v>29.700000762939499</v>
      </c>
      <c r="N2340">
        <v>15</v>
      </c>
      <c r="O2340">
        <v>14.699999809265099</v>
      </c>
      <c r="P2340">
        <v>22.700000762939499</v>
      </c>
      <c r="Q2340">
        <v>22</v>
      </c>
      <c r="R2340">
        <v>23.5</v>
      </c>
      <c r="S2340">
        <v>22</v>
      </c>
      <c r="T2340">
        <v>1009</v>
      </c>
      <c r="U2340">
        <v>166</v>
      </c>
      <c r="V2340">
        <v>7</v>
      </c>
      <c r="W2340">
        <v>66</v>
      </c>
      <c r="X2340">
        <v>407</v>
      </c>
      <c r="Y2340">
        <v>33</v>
      </c>
      <c r="Z2340">
        <v>262</v>
      </c>
      <c r="AA2340">
        <v>33</v>
      </c>
      <c r="AB2340">
        <v>28.187300346267101</v>
      </c>
      <c r="AC2340">
        <v>2.2760721658107001E-2</v>
      </c>
      <c r="AD2340">
        <v>1.31160215844571</v>
      </c>
      <c r="AE2340">
        <v>0.60550904273986805</v>
      </c>
      <c r="AF2340">
        <v>1171.2165492957699</v>
      </c>
      <c r="AG2340">
        <f>IFERROR(AH2340*0.1, "N/A")</f>
        <v>6.2595070422535208</v>
      </c>
      <c r="AH2340">
        <v>62.595070422535201</v>
      </c>
      <c r="AI2340">
        <v>284.33040105792799</v>
      </c>
      <c r="AJ2340">
        <v>20.487676056338</v>
      </c>
      <c r="AK2340">
        <v>65.512323943661997</v>
      </c>
    </row>
    <row r="2341" spans="1:37" x14ac:dyDescent="0.3">
      <c r="A2341">
        <v>2340</v>
      </c>
      <c r="B2341">
        <v>12.5</v>
      </c>
      <c r="C2341">
        <v>33.045898000000001</v>
      </c>
      <c r="D2341">
        <v>-2.7012200000000002</v>
      </c>
      <c r="E2341" t="s">
        <v>4076</v>
      </c>
      <c r="F2341" t="s">
        <v>4077</v>
      </c>
      <c r="G2341" t="s">
        <v>39</v>
      </c>
      <c r="H2341">
        <v>1993</v>
      </c>
      <c r="I2341">
        <v>22.399999618530298</v>
      </c>
      <c r="J2341">
        <v>11</v>
      </c>
      <c r="K2341">
        <v>71</v>
      </c>
      <c r="L2341">
        <v>6.9699997901916504</v>
      </c>
      <c r="M2341">
        <v>30</v>
      </c>
      <c r="N2341">
        <v>14.6000003814697</v>
      </c>
      <c r="O2341">
        <v>15.3999996185303</v>
      </c>
      <c r="P2341">
        <v>22.200000762939499</v>
      </c>
      <c r="Q2341">
        <v>21.600000381469702</v>
      </c>
      <c r="R2341">
        <v>23.299999237060501</v>
      </c>
      <c r="S2341">
        <v>21.600000381469702</v>
      </c>
      <c r="T2341">
        <v>991</v>
      </c>
      <c r="U2341">
        <v>166</v>
      </c>
      <c r="V2341">
        <v>6</v>
      </c>
      <c r="W2341">
        <v>68</v>
      </c>
      <c r="X2341">
        <v>405</v>
      </c>
      <c r="Y2341">
        <v>28</v>
      </c>
      <c r="Z2341">
        <v>249</v>
      </c>
      <c r="AA2341">
        <v>91</v>
      </c>
      <c r="AB2341">
        <v>36.359267732590098</v>
      </c>
      <c r="AC2341">
        <v>6.7572932840964994E-2</v>
      </c>
      <c r="AD2341">
        <v>2.7684617063492198</v>
      </c>
      <c r="AE2341">
        <v>0.67802244854308602</v>
      </c>
      <c r="AF2341">
        <v>1237.06502636204</v>
      </c>
      <c r="AG2341">
        <f>IFERROR(AH2341*0.1, "N/A")</f>
        <v>6.3571177504393708</v>
      </c>
      <c r="AH2341">
        <v>63.571177504393702</v>
      </c>
      <c r="AI2341">
        <v>332.66772906097202</v>
      </c>
      <c r="AJ2341">
        <v>13.1370826010545</v>
      </c>
      <c r="AK2341">
        <v>74.548330404217893</v>
      </c>
    </row>
    <row r="2342" spans="1:37" x14ac:dyDescent="0.3">
      <c r="A2342">
        <v>2341</v>
      </c>
      <c r="B2342">
        <v>25</v>
      </c>
      <c r="C2342">
        <v>33.045898000000001</v>
      </c>
      <c r="D2342">
        <v>-2.7012200000000002</v>
      </c>
      <c r="E2342" t="s">
        <v>4076</v>
      </c>
      <c r="F2342" t="s">
        <v>4078</v>
      </c>
      <c r="G2342" t="s">
        <v>37</v>
      </c>
      <c r="H2342">
        <v>1993</v>
      </c>
      <c r="I2342">
        <v>22.399999618530298</v>
      </c>
      <c r="J2342">
        <v>11</v>
      </c>
      <c r="K2342">
        <v>71</v>
      </c>
      <c r="L2342">
        <v>6.9699997901916504</v>
      </c>
      <c r="M2342">
        <v>30</v>
      </c>
      <c r="N2342">
        <v>14.6000003814697</v>
      </c>
      <c r="O2342">
        <v>15.3999996185303</v>
      </c>
      <c r="P2342">
        <v>22.200000762939499</v>
      </c>
      <c r="Q2342">
        <v>21.600000381469702</v>
      </c>
      <c r="R2342">
        <v>23.299999237060501</v>
      </c>
      <c r="S2342">
        <v>21.600000381469702</v>
      </c>
      <c r="T2342">
        <v>991</v>
      </c>
      <c r="U2342">
        <v>166</v>
      </c>
      <c r="V2342">
        <v>6</v>
      </c>
      <c r="W2342">
        <v>68</v>
      </c>
      <c r="X2342">
        <v>405</v>
      </c>
      <c r="Y2342">
        <v>28</v>
      </c>
      <c r="Z2342">
        <v>249</v>
      </c>
      <c r="AA2342">
        <v>91</v>
      </c>
      <c r="AB2342">
        <v>36.359267732590098</v>
      </c>
      <c r="AC2342">
        <v>6.7572932840964994E-2</v>
      </c>
      <c r="AD2342">
        <v>2.7684617063492198</v>
      </c>
      <c r="AE2342">
        <v>0.67802244854308602</v>
      </c>
      <c r="AF2342">
        <v>1237.06502636204</v>
      </c>
      <c r="AG2342">
        <f>IFERROR(AH2342*0.1, "N/A")</f>
        <v>6.3571177504393708</v>
      </c>
      <c r="AH2342">
        <v>63.571177504393702</v>
      </c>
      <c r="AI2342">
        <v>332.66772906097202</v>
      </c>
      <c r="AJ2342">
        <v>13.1370826010545</v>
      </c>
      <c r="AK2342">
        <v>74.548330404217893</v>
      </c>
    </row>
    <row r="2343" spans="1:37" x14ac:dyDescent="0.3">
      <c r="A2343">
        <v>2342</v>
      </c>
      <c r="B2343">
        <v>22.1</v>
      </c>
      <c r="C2343">
        <v>30.964199000000001</v>
      </c>
      <c r="D2343">
        <v>-3.2827999999999999</v>
      </c>
      <c r="E2343" t="s">
        <v>4079</v>
      </c>
      <c r="F2343" t="s">
        <v>4080</v>
      </c>
      <c r="G2343" t="s">
        <v>37</v>
      </c>
      <c r="H2343">
        <v>1990</v>
      </c>
      <c r="I2343">
        <v>21.107719709162101</v>
      </c>
      <c r="J2343">
        <v>11.699999809265099</v>
      </c>
      <c r="K2343">
        <v>76</v>
      </c>
      <c r="L2343">
        <v>4.5776841548451204</v>
      </c>
      <c r="M2343">
        <v>28.8077185647529</v>
      </c>
      <c r="N2343">
        <v>13.507719327692399</v>
      </c>
      <c r="O2343">
        <v>15.300000190734901</v>
      </c>
      <c r="P2343">
        <v>20.815437892445299</v>
      </c>
      <c r="Q2343">
        <v>20.7154392710903</v>
      </c>
      <c r="R2343">
        <v>21.707719943397901</v>
      </c>
      <c r="S2343">
        <v>20.707719943397901</v>
      </c>
      <c r="T2343">
        <v>987</v>
      </c>
      <c r="U2343">
        <v>180</v>
      </c>
      <c r="V2343">
        <v>1</v>
      </c>
      <c r="W2343">
        <v>71</v>
      </c>
      <c r="X2343">
        <v>440</v>
      </c>
      <c r="Y2343">
        <v>13</v>
      </c>
      <c r="Z2343">
        <v>102</v>
      </c>
      <c r="AA2343">
        <v>75</v>
      </c>
      <c r="AB2343">
        <v>16.027802049068001</v>
      </c>
      <c r="AC2343">
        <v>3.9077322341893997E-2</v>
      </c>
      <c r="AD2343">
        <v>2.5210017258660802</v>
      </c>
      <c r="AE2343">
        <v>0.55613086390913602</v>
      </c>
      <c r="AF2343">
        <v>1243.48596491228</v>
      </c>
      <c r="AG2343">
        <f>IFERROR(AH2343*0.1, "N/A")</f>
        <v>5.7240350877193009</v>
      </c>
      <c r="AH2343">
        <v>57.240350877193002</v>
      </c>
      <c r="AI2343">
        <v>140.36609604149501</v>
      </c>
      <c r="AJ2343">
        <v>22.991228070175399</v>
      </c>
      <c r="AK2343">
        <v>61.536842105263197</v>
      </c>
    </row>
    <row r="2344" spans="1:37" x14ac:dyDescent="0.3">
      <c r="A2344">
        <v>2343</v>
      </c>
      <c r="B2344">
        <v>3</v>
      </c>
      <c r="C2344">
        <v>30.877001</v>
      </c>
      <c r="D2344">
        <v>-3.37723</v>
      </c>
      <c r="E2344" t="s">
        <v>4081</v>
      </c>
      <c r="F2344" t="s">
        <v>4082</v>
      </c>
      <c r="G2344" t="s">
        <v>37</v>
      </c>
      <c r="H2344">
        <v>1990</v>
      </c>
      <c r="I2344">
        <v>20.799999237060501</v>
      </c>
      <c r="J2344">
        <v>11.8999996185303</v>
      </c>
      <c r="K2344">
        <v>75</v>
      </c>
      <c r="L2344">
        <v>4.8899998664856001</v>
      </c>
      <c r="M2344">
        <v>28.700000762939499</v>
      </c>
      <c r="N2344">
        <v>12.8999996185303</v>
      </c>
      <c r="O2344">
        <v>15.800000190734901</v>
      </c>
      <c r="P2344">
        <v>20.600000381469702</v>
      </c>
      <c r="Q2344">
        <v>20.399999618530298</v>
      </c>
      <c r="R2344">
        <v>21.399999618530298</v>
      </c>
      <c r="S2344">
        <v>20.299999237060501</v>
      </c>
      <c r="T2344">
        <v>1038</v>
      </c>
      <c r="U2344">
        <v>190</v>
      </c>
      <c r="V2344">
        <v>1</v>
      </c>
      <c r="W2344">
        <v>72</v>
      </c>
      <c r="X2344">
        <v>466</v>
      </c>
      <c r="Y2344">
        <v>14</v>
      </c>
      <c r="Z2344">
        <v>105</v>
      </c>
      <c r="AA2344">
        <v>75</v>
      </c>
      <c r="AB2344">
        <v>46.537917313131601</v>
      </c>
      <c r="AC2344">
        <v>9.9280284969740003E-3</v>
      </c>
      <c r="AD2344">
        <v>4.7333427824747796</v>
      </c>
      <c r="AE2344">
        <v>0.47817057371139499</v>
      </c>
      <c r="AF2344">
        <v>1327.6871704745199</v>
      </c>
      <c r="AG2344">
        <f>IFERROR(AH2344*0.1, "N/A")</f>
        <v>5.6861159929701204</v>
      </c>
      <c r="AH2344">
        <v>56.861159929701202</v>
      </c>
      <c r="AI2344">
        <v>298.95726702376697</v>
      </c>
      <c r="AJ2344">
        <v>32.861159929701202</v>
      </c>
      <c r="AK2344">
        <v>49.804920913883997</v>
      </c>
    </row>
    <row r="2345" spans="1:37" x14ac:dyDescent="0.3">
      <c r="A2345">
        <v>2344</v>
      </c>
      <c r="B2345">
        <v>0</v>
      </c>
      <c r="C2345">
        <v>30.465401</v>
      </c>
      <c r="D2345">
        <v>-3.6228699999999998</v>
      </c>
      <c r="E2345" t="s">
        <v>4083</v>
      </c>
      <c r="F2345" t="s">
        <v>4084</v>
      </c>
      <c r="G2345" t="s">
        <v>37</v>
      </c>
      <c r="H2345">
        <v>1990</v>
      </c>
      <c r="I2345">
        <v>21.700000762939499</v>
      </c>
      <c r="J2345">
        <v>12.800000190734901</v>
      </c>
      <c r="K2345">
        <v>69</v>
      </c>
      <c r="L2345">
        <v>9.1000003814697301</v>
      </c>
      <c r="M2345">
        <v>30.399999618530298</v>
      </c>
      <c r="N2345">
        <v>11.8999996185303</v>
      </c>
      <c r="O2345">
        <v>18.5</v>
      </c>
      <c r="P2345">
        <v>21.799999237060501</v>
      </c>
      <c r="Q2345">
        <v>20.5</v>
      </c>
      <c r="R2345">
        <v>22.799999237060501</v>
      </c>
      <c r="S2345">
        <v>20.399999618530298</v>
      </c>
      <c r="T2345">
        <v>1153</v>
      </c>
      <c r="U2345">
        <v>186</v>
      </c>
      <c r="V2345">
        <v>0</v>
      </c>
      <c r="W2345">
        <v>68</v>
      </c>
      <c r="X2345">
        <v>495</v>
      </c>
      <c r="Y2345">
        <v>16</v>
      </c>
      <c r="Z2345">
        <v>254</v>
      </c>
      <c r="AA2345">
        <v>94</v>
      </c>
      <c r="AB2345">
        <v>35.169505550986798</v>
      </c>
      <c r="AC2345">
        <v>1.7436395226079E-2</v>
      </c>
      <c r="AD2345">
        <v>3.94745698937199</v>
      </c>
      <c r="AE2345">
        <v>0.42233911156654402</v>
      </c>
      <c r="AF2345">
        <v>1209.1491228070199</v>
      </c>
      <c r="AG2345">
        <f>IFERROR(AH2345*0.1, "N/A")</f>
        <v>5.8001754385964901</v>
      </c>
      <c r="AH2345">
        <v>58.001754385964901</v>
      </c>
      <c r="AI2345">
        <v>300.46162366365098</v>
      </c>
      <c r="AJ2345">
        <v>30</v>
      </c>
      <c r="AK2345">
        <v>52</v>
      </c>
    </row>
    <row r="2346" spans="1:37" x14ac:dyDescent="0.3">
      <c r="A2346">
        <v>2345</v>
      </c>
      <c r="B2346">
        <v>5.9</v>
      </c>
      <c r="C2346">
        <v>30.672999999999998</v>
      </c>
      <c r="D2346">
        <v>-3.6360899999999998</v>
      </c>
      <c r="E2346" t="s">
        <v>4085</v>
      </c>
      <c r="F2346" t="s">
        <v>4086</v>
      </c>
      <c r="G2346" t="s">
        <v>37</v>
      </c>
      <c r="H2346">
        <v>1990</v>
      </c>
      <c r="I2346">
        <v>20</v>
      </c>
      <c r="J2346">
        <v>12.3999996185303</v>
      </c>
      <c r="K2346">
        <v>73</v>
      </c>
      <c r="L2346">
        <v>5.71000003814697</v>
      </c>
      <c r="M2346">
        <v>28.200000762939499</v>
      </c>
      <c r="N2346">
        <v>11.3999996185303</v>
      </c>
      <c r="O2346">
        <v>16.799999237060501</v>
      </c>
      <c r="P2346">
        <v>19.899999618530298</v>
      </c>
      <c r="Q2346">
        <v>19.399999618530298</v>
      </c>
      <c r="R2346">
        <v>20.600000381469702</v>
      </c>
      <c r="S2346">
        <v>19.200000762939499</v>
      </c>
      <c r="T2346">
        <v>1194</v>
      </c>
      <c r="U2346">
        <v>219</v>
      </c>
      <c r="V2346">
        <v>2</v>
      </c>
      <c r="W2346">
        <v>74</v>
      </c>
      <c r="X2346">
        <v>544</v>
      </c>
      <c r="Y2346">
        <v>16</v>
      </c>
      <c r="Z2346">
        <v>113</v>
      </c>
      <c r="AA2346">
        <v>81</v>
      </c>
      <c r="AB2346">
        <v>67.877010091145806</v>
      </c>
      <c r="AC2346">
        <v>8.5309963820399994E-3</v>
      </c>
      <c r="AD2346">
        <v>3.0130570068694</v>
      </c>
      <c r="AE2346">
        <v>0.45526832342147799</v>
      </c>
      <c r="AF2346">
        <v>1458.1561403508799</v>
      </c>
      <c r="AG2346">
        <f>IFERROR(AH2346*0.1, "N/A")</f>
        <v>5.5157894736842108</v>
      </c>
      <c r="AH2346">
        <v>55.157894736842103</v>
      </c>
      <c r="AI2346">
        <v>186.50162463271801</v>
      </c>
      <c r="AJ2346">
        <v>27.4719298245614</v>
      </c>
      <c r="AK2346">
        <v>58.1</v>
      </c>
    </row>
    <row r="2347" spans="1:37" x14ac:dyDescent="0.3">
      <c r="A2347">
        <v>2346</v>
      </c>
      <c r="B2347">
        <v>2.9</v>
      </c>
      <c r="C2347">
        <v>30.730301000000001</v>
      </c>
      <c r="D2347">
        <v>-3.72058</v>
      </c>
      <c r="E2347" t="s">
        <v>4087</v>
      </c>
      <c r="F2347" t="s">
        <v>4088</v>
      </c>
      <c r="G2347" t="s">
        <v>37</v>
      </c>
      <c r="H2347">
        <v>1990</v>
      </c>
      <c r="I2347">
        <v>21.200000762939499</v>
      </c>
      <c r="J2347">
        <v>12.3999996185303</v>
      </c>
      <c r="K2347">
        <v>71</v>
      </c>
      <c r="L2347">
        <v>7.0599999427795401</v>
      </c>
      <c r="M2347">
        <v>29.600000381469702</v>
      </c>
      <c r="N2347">
        <v>12.199999809265099</v>
      </c>
      <c r="O2347">
        <v>17.399999618530298</v>
      </c>
      <c r="P2347">
        <v>21.100000381469702</v>
      </c>
      <c r="Q2347">
        <v>20.399999618530298</v>
      </c>
      <c r="R2347">
        <v>22.100000381469702</v>
      </c>
      <c r="S2347">
        <v>20.299999237060501</v>
      </c>
      <c r="T2347">
        <v>1115</v>
      </c>
      <c r="U2347">
        <v>193</v>
      </c>
      <c r="V2347">
        <v>1</v>
      </c>
      <c r="W2347">
        <v>73</v>
      </c>
      <c r="X2347">
        <v>501</v>
      </c>
      <c r="Y2347">
        <v>14</v>
      </c>
      <c r="Z2347">
        <v>227</v>
      </c>
      <c r="AA2347">
        <v>79</v>
      </c>
      <c r="AB2347">
        <v>14.4142390621567</v>
      </c>
      <c r="AC2347">
        <v>7.3413975242204998E-2</v>
      </c>
      <c r="AD2347">
        <v>4.3183853689103202</v>
      </c>
      <c r="AE2347">
        <v>0.26798811193509797</v>
      </c>
      <c r="AF2347">
        <v>1232.78734622144</v>
      </c>
      <c r="AG2347">
        <f>IFERROR(AH2347*0.1, "N/A")</f>
        <v>5.6080843585237297</v>
      </c>
      <c r="AH2347">
        <v>56.080843585237297</v>
      </c>
      <c r="AI2347">
        <v>223.96064659078399</v>
      </c>
      <c r="AJ2347">
        <v>28.885764499121301</v>
      </c>
      <c r="AK2347">
        <v>53.984182776801397</v>
      </c>
    </row>
    <row r="2348" spans="1:37" x14ac:dyDescent="0.3">
      <c r="A2348">
        <v>2347</v>
      </c>
      <c r="B2348">
        <v>51.900002000000001</v>
      </c>
      <c r="C2348">
        <v>30.714500000000001</v>
      </c>
      <c r="D2348">
        <v>-3.8112300000000001</v>
      </c>
      <c r="E2348" t="s">
        <v>4089</v>
      </c>
      <c r="F2348" t="s">
        <v>4090</v>
      </c>
      <c r="G2348" t="s">
        <v>37</v>
      </c>
      <c r="H2348">
        <v>1990</v>
      </c>
      <c r="I2348">
        <v>21</v>
      </c>
      <c r="J2348">
        <v>12.3999996185303</v>
      </c>
      <c r="K2348">
        <v>71</v>
      </c>
      <c r="L2348">
        <v>7.28999996185303</v>
      </c>
      <c r="M2348">
        <v>29.399999618530298</v>
      </c>
      <c r="N2348">
        <v>12</v>
      </c>
      <c r="O2348">
        <v>17.399999618530298</v>
      </c>
      <c r="P2348">
        <v>20.899999618530298</v>
      </c>
      <c r="Q2348">
        <v>20.200000762939499</v>
      </c>
      <c r="R2348">
        <v>21.899999618530298</v>
      </c>
      <c r="S2348">
        <v>20</v>
      </c>
      <c r="T2348">
        <v>1128</v>
      </c>
      <c r="U2348">
        <v>196</v>
      </c>
      <c r="V2348">
        <v>1</v>
      </c>
      <c r="W2348">
        <v>73</v>
      </c>
      <c r="X2348">
        <v>509</v>
      </c>
      <c r="Y2348">
        <v>13</v>
      </c>
      <c r="Z2348">
        <v>224</v>
      </c>
      <c r="AA2348">
        <v>79</v>
      </c>
      <c r="AB2348">
        <v>18.4505683765077</v>
      </c>
      <c r="AC2348">
        <v>1.8959074678194E-2</v>
      </c>
      <c r="AD2348">
        <v>2.65561137554938</v>
      </c>
      <c r="AE2348">
        <v>0.120132761200269</v>
      </c>
      <c r="AF2348">
        <v>1265.10526315789</v>
      </c>
      <c r="AG2348">
        <f>IFERROR(AH2348*0.1, "N/A")</f>
        <v>5.4933333333333305</v>
      </c>
      <c r="AH2348">
        <v>54.933333333333302</v>
      </c>
      <c r="AI2348">
        <v>137.66513152540799</v>
      </c>
      <c r="AJ2348">
        <v>22.936842105263199</v>
      </c>
      <c r="AK2348">
        <v>60.936842105263203</v>
      </c>
    </row>
    <row r="2349" spans="1:37" x14ac:dyDescent="0.3">
      <c r="A2349">
        <v>2348</v>
      </c>
      <c r="B2349">
        <v>6.5</v>
      </c>
      <c r="C2349">
        <v>33.340302000000001</v>
      </c>
      <c r="D2349">
        <v>-2.5125000000000002</v>
      </c>
      <c r="E2349" t="s">
        <v>4091</v>
      </c>
      <c r="F2349" t="s">
        <v>4092</v>
      </c>
      <c r="G2349" t="s">
        <v>39</v>
      </c>
      <c r="H2349">
        <v>1992</v>
      </c>
      <c r="I2349">
        <v>23</v>
      </c>
      <c r="J2349">
        <v>10.6000003814697</v>
      </c>
      <c r="K2349">
        <v>74</v>
      </c>
      <c r="L2349">
        <v>5.9200000762939498</v>
      </c>
      <c r="M2349">
        <v>29.799999237060501</v>
      </c>
      <c r="N2349">
        <v>15.5</v>
      </c>
      <c r="O2349">
        <v>14.300000190734901</v>
      </c>
      <c r="P2349">
        <v>23</v>
      </c>
      <c r="Q2349">
        <v>22.100000381469702</v>
      </c>
      <c r="R2349">
        <v>23.700000762939499</v>
      </c>
      <c r="S2349">
        <v>22.100000381469702</v>
      </c>
      <c r="T2349">
        <v>967</v>
      </c>
      <c r="U2349">
        <v>175</v>
      </c>
      <c r="V2349">
        <v>3</v>
      </c>
      <c r="W2349">
        <v>70</v>
      </c>
      <c r="X2349">
        <v>411</v>
      </c>
      <c r="Y2349">
        <v>27</v>
      </c>
      <c r="Z2349">
        <v>231</v>
      </c>
      <c r="AA2349">
        <v>27</v>
      </c>
      <c r="AB2349">
        <v>0</v>
      </c>
      <c r="AC2349">
        <v>4.3373208336140001E-2</v>
      </c>
      <c r="AD2349">
        <v>0</v>
      </c>
      <c r="AE2349">
        <v>0.34012228250503501</v>
      </c>
      <c r="AF2349">
        <v>1131</v>
      </c>
      <c r="AG2349" t="str">
        <f>IFERROR(AH2349*0.1, "N/A")</f>
        <v>N/A</v>
      </c>
      <c r="AH2349" t="s">
        <v>729</v>
      </c>
      <c r="AI2349">
        <v>0</v>
      </c>
      <c r="AJ2349" t="s">
        <v>729</v>
      </c>
      <c r="AK2349" t="s">
        <v>729</v>
      </c>
    </row>
    <row r="2350" spans="1:37" x14ac:dyDescent="0.3">
      <c r="A2350">
        <v>2349</v>
      </c>
      <c r="B2350">
        <v>13.3</v>
      </c>
      <c r="C2350">
        <v>33.340302000000001</v>
      </c>
      <c r="D2350">
        <v>-2.5125000000000002</v>
      </c>
      <c r="E2350" t="s">
        <v>4091</v>
      </c>
      <c r="F2350" t="s">
        <v>4093</v>
      </c>
      <c r="G2350" t="s">
        <v>37</v>
      </c>
      <c r="H2350">
        <v>1992</v>
      </c>
      <c r="I2350">
        <v>23</v>
      </c>
      <c r="J2350">
        <v>10.6000003814697</v>
      </c>
      <c r="K2350">
        <v>74</v>
      </c>
      <c r="L2350">
        <v>5.9200000762939498</v>
      </c>
      <c r="M2350">
        <v>29.799999237060501</v>
      </c>
      <c r="N2350">
        <v>15.5</v>
      </c>
      <c r="O2350">
        <v>14.300000190734901</v>
      </c>
      <c r="P2350">
        <v>23</v>
      </c>
      <c r="Q2350">
        <v>22.100000381469702</v>
      </c>
      <c r="R2350">
        <v>23.700000762939499</v>
      </c>
      <c r="S2350">
        <v>22.100000381469702</v>
      </c>
      <c r="T2350">
        <v>967</v>
      </c>
      <c r="U2350">
        <v>175</v>
      </c>
      <c r="V2350">
        <v>3</v>
      </c>
      <c r="W2350">
        <v>70</v>
      </c>
      <c r="X2350">
        <v>411</v>
      </c>
      <c r="Y2350">
        <v>27</v>
      </c>
      <c r="Z2350">
        <v>231</v>
      </c>
      <c r="AA2350">
        <v>27</v>
      </c>
      <c r="AB2350">
        <v>0</v>
      </c>
      <c r="AC2350">
        <v>4.3373208336140001E-2</v>
      </c>
      <c r="AD2350">
        <v>0</v>
      </c>
      <c r="AE2350">
        <v>0.34012228250503501</v>
      </c>
      <c r="AF2350">
        <v>1131</v>
      </c>
      <c r="AG2350" t="str">
        <f>IFERROR(AH2350*0.1, "N/A")</f>
        <v>N/A</v>
      </c>
      <c r="AH2350" t="s">
        <v>729</v>
      </c>
      <c r="AI2350">
        <v>0</v>
      </c>
      <c r="AJ2350" t="s">
        <v>729</v>
      </c>
      <c r="AK2350" t="s">
        <v>729</v>
      </c>
    </row>
    <row r="2351" spans="1:37" x14ac:dyDescent="0.3">
      <c r="A2351">
        <v>2350</v>
      </c>
      <c r="B2351">
        <v>2.8</v>
      </c>
      <c r="C2351">
        <v>33.043301</v>
      </c>
      <c r="D2351">
        <v>-2.54</v>
      </c>
      <c r="E2351" t="s">
        <v>4094</v>
      </c>
      <c r="F2351" t="s">
        <v>4095</v>
      </c>
      <c r="G2351" t="s">
        <v>39</v>
      </c>
      <c r="H2351">
        <v>1992</v>
      </c>
      <c r="I2351">
        <v>22.200000762939499</v>
      </c>
      <c r="J2351">
        <v>10.6000003814697</v>
      </c>
      <c r="K2351">
        <v>74</v>
      </c>
      <c r="L2351">
        <v>5.8099999427795401</v>
      </c>
      <c r="M2351">
        <v>28.899999618530298</v>
      </c>
      <c r="N2351">
        <v>14.6000003814697</v>
      </c>
      <c r="O2351">
        <v>14.300000190734901</v>
      </c>
      <c r="P2351">
        <v>22.100000381469702</v>
      </c>
      <c r="Q2351">
        <v>21.399999618530298</v>
      </c>
      <c r="R2351">
        <v>22.899999618530298</v>
      </c>
      <c r="S2351">
        <v>21.399999618530298</v>
      </c>
      <c r="T2351">
        <v>1055</v>
      </c>
      <c r="U2351">
        <v>178</v>
      </c>
      <c r="V2351">
        <v>7</v>
      </c>
      <c r="W2351">
        <v>67</v>
      </c>
      <c r="X2351">
        <v>434</v>
      </c>
      <c r="Y2351">
        <v>35</v>
      </c>
      <c r="Z2351">
        <v>268</v>
      </c>
      <c r="AA2351">
        <v>35</v>
      </c>
      <c r="AB2351">
        <v>34.192998312898197</v>
      </c>
      <c r="AC2351">
        <v>3.6499821474556E-2</v>
      </c>
      <c r="AD2351">
        <v>3.0863303476142501</v>
      </c>
      <c r="AE2351">
        <v>0.62348355245506404</v>
      </c>
      <c r="AF2351">
        <v>1318.9015817223201</v>
      </c>
      <c r="AG2351">
        <f>IFERROR(AH2351*0.1, "N/A")</f>
        <v>6.1402460456942007</v>
      </c>
      <c r="AH2351">
        <v>61.402460456942002</v>
      </c>
      <c r="AI2351">
        <v>120.14242654274101</v>
      </c>
      <c r="AJ2351">
        <v>19.662565905096699</v>
      </c>
      <c r="AK2351">
        <v>67.818980667838304</v>
      </c>
    </row>
    <row r="2352" spans="1:37" x14ac:dyDescent="0.3">
      <c r="A2352">
        <v>2351</v>
      </c>
      <c r="B2352">
        <v>24</v>
      </c>
      <c r="C2352">
        <v>33.043301</v>
      </c>
      <c r="D2352">
        <v>-2.54</v>
      </c>
      <c r="E2352" t="s">
        <v>4094</v>
      </c>
      <c r="F2352" t="s">
        <v>4096</v>
      </c>
      <c r="G2352" t="s">
        <v>37</v>
      </c>
      <c r="H2352">
        <v>1992</v>
      </c>
      <c r="I2352">
        <v>22.200000762939499</v>
      </c>
      <c r="J2352">
        <v>10.6000003814697</v>
      </c>
      <c r="K2352">
        <v>74</v>
      </c>
      <c r="L2352">
        <v>5.8099999427795401</v>
      </c>
      <c r="M2352">
        <v>28.899999618530298</v>
      </c>
      <c r="N2352">
        <v>14.6000003814697</v>
      </c>
      <c r="O2352">
        <v>14.300000190734901</v>
      </c>
      <c r="P2352">
        <v>22.100000381469702</v>
      </c>
      <c r="Q2352">
        <v>21.399999618530298</v>
      </c>
      <c r="R2352">
        <v>22.899999618530298</v>
      </c>
      <c r="S2352">
        <v>21.399999618530298</v>
      </c>
      <c r="T2352">
        <v>1055</v>
      </c>
      <c r="U2352">
        <v>178</v>
      </c>
      <c r="V2352">
        <v>7</v>
      </c>
      <c r="W2352">
        <v>67</v>
      </c>
      <c r="X2352">
        <v>434</v>
      </c>
      <c r="Y2352">
        <v>35</v>
      </c>
      <c r="Z2352">
        <v>268</v>
      </c>
      <c r="AA2352">
        <v>35</v>
      </c>
      <c r="AB2352">
        <v>34.192998312898197</v>
      </c>
      <c r="AC2352">
        <v>3.6499821474556E-2</v>
      </c>
      <c r="AD2352">
        <v>3.0863303476142501</v>
      </c>
      <c r="AE2352">
        <v>0.62348355245506404</v>
      </c>
      <c r="AF2352">
        <v>1318.9015817223201</v>
      </c>
      <c r="AG2352">
        <f>IFERROR(AH2352*0.1, "N/A")</f>
        <v>6.1402460456942007</v>
      </c>
      <c r="AH2352">
        <v>61.402460456942002</v>
      </c>
      <c r="AI2352">
        <v>120.14242654274101</v>
      </c>
      <c r="AJ2352">
        <v>19.662565905096699</v>
      </c>
      <c r="AK2352">
        <v>67.818980667838304</v>
      </c>
    </row>
    <row r="2353" spans="1:37" x14ac:dyDescent="0.3">
      <c r="A2353">
        <v>2352</v>
      </c>
      <c r="B2353">
        <v>28.4</v>
      </c>
      <c r="C2353">
        <v>33.333801000000001</v>
      </c>
      <c r="D2353">
        <v>-2.5781100000000001</v>
      </c>
      <c r="E2353" t="s">
        <v>4097</v>
      </c>
      <c r="F2353" t="s">
        <v>4098</v>
      </c>
      <c r="G2353" t="s">
        <v>39</v>
      </c>
      <c r="H2353">
        <v>1992</v>
      </c>
      <c r="I2353">
        <v>22.799999237060501</v>
      </c>
      <c r="J2353">
        <v>10.699999809265099</v>
      </c>
      <c r="K2353">
        <v>73</v>
      </c>
      <c r="L2353">
        <v>6.1799998283386204</v>
      </c>
      <c r="M2353">
        <v>29.799999237060501</v>
      </c>
      <c r="N2353">
        <v>15.300000190734901</v>
      </c>
      <c r="O2353">
        <v>14.5</v>
      </c>
      <c r="P2353">
        <v>22.899999618530298</v>
      </c>
      <c r="Q2353">
        <v>22</v>
      </c>
      <c r="R2353">
        <v>23.600000381469702</v>
      </c>
      <c r="S2353">
        <v>22</v>
      </c>
      <c r="T2353">
        <v>957</v>
      </c>
      <c r="U2353">
        <v>176</v>
      </c>
      <c r="V2353">
        <v>3</v>
      </c>
      <c r="W2353">
        <v>71</v>
      </c>
      <c r="X2353">
        <v>412</v>
      </c>
      <c r="Y2353">
        <v>25</v>
      </c>
      <c r="Z2353">
        <v>227</v>
      </c>
      <c r="AA2353">
        <v>25</v>
      </c>
      <c r="AB2353">
        <v>3.81249378940515</v>
      </c>
      <c r="AC2353">
        <v>1.8022580124569001E-2</v>
      </c>
      <c r="AD2353">
        <v>2.3012167683818898</v>
      </c>
      <c r="AE2353">
        <v>0.59814232587814298</v>
      </c>
      <c r="AF2353">
        <v>1162.57368421053</v>
      </c>
      <c r="AG2353">
        <f>IFERROR(AH2353*0.1, "N/A")</f>
        <v>6.5559649122807002</v>
      </c>
      <c r="AH2353">
        <v>65.559649122807002</v>
      </c>
      <c r="AI2353">
        <v>39.5296614931341</v>
      </c>
      <c r="AJ2353">
        <v>21</v>
      </c>
      <c r="AK2353">
        <v>66</v>
      </c>
    </row>
    <row r="2354" spans="1:37" x14ac:dyDescent="0.3">
      <c r="A2354">
        <v>2353</v>
      </c>
      <c r="B2354">
        <v>2.6</v>
      </c>
      <c r="C2354">
        <v>33.333801000000001</v>
      </c>
      <c r="D2354">
        <v>-2.5781100000000001</v>
      </c>
      <c r="E2354" t="s">
        <v>4097</v>
      </c>
      <c r="F2354" t="s">
        <v>4099</v>
      </c>
      <c r="G2354" t="s">
        <v>37</v>
      </c>
      <c r="H2354">
        <v>1992</v>
      </c>
      <c r="I2354">
        <v>22.799999237060501</v>
      </c>
      <c r="J2354">
        <v>10.699999809265099</v>
      </c>
      <c r="K2354">
        <v>73</v>
      </c>
      <c r="L2354">
        <v>6.1799998283386204</v>
      </c>
      <c r="M2354">
        <v>29.799999237060501</v>
      </c>
      <c r="N2354">
        <v>15.300000190734901</v>
      </c>
      <c r="O2354">
        <v>14.5</v>
      </c>
      <c r="P2354">
        <v>22.899999618530298</v>
      </c>
      <c r="Q2354">
        <v>22</v>
      </c>
      <c r="R2354">
        <v>23.600000381469702</v>
      </c>
      <c r="S2354">
        <v>22</v>
      </c>
      <c r="T2354">
        <v>957</v>
      </c>
      <c r="U2354">
        <v>176</v>
      </c>
      <c r="V2354">
        <v>3</v>
      </c>
      <c r="W2354">
        <v>71</v>
      </c>
      <c r="X2354">
        <v>412</v>
      </c>
      <c r="Y2354">
        <v>25</v>
      </c>
      <c r="Z2354">
        <v>227</v>
      </c>
      <c r="AA2354">
        <v>25</v>
      </c>
      <c r="AB2354">
        <v>3.81249378940515</v>
      </c>
      <c r="AC2354">
        <v>1.8022580124569001E-2</v>
      </c>
      <c r="AD2354">
        <v>2.3012167683818898</v>
      </c>
      <c r="AE2354">
        <v>0.59814232587814298</v>
      </c>
      <c r="AF2354">
        <v>1162.57368421053</v>
      </c>
      <c r="AG2354">
        <f>IFERROR(AH2354*0.1, "N/A")</f>
        <v>6.5559649122807002</v>
      </c>
      <c r="AH2354">
        <v>65.559649122807002</v>
      </c>
      <c r="AI2354">
        <v>39.5296614931341</v>
      </c>
      <c r="AJ2354">
        <v>21</v>
      </c>
      <c r="AK2354">
        <v>66</v>
      </c>
    </row>
    <row r="2355" spans="1:37" x14ac:dyDescent="0.3">
      <c r="A2355">
        <v>2354</v>
      </c>
      <c r="B2355">
        <v>10.9</v>
      </c>
      <c r="C2355">
        <v>33.325802000000003</v>
      </c>
      <c r="D2355">
        <v>-2.62</v>
      </c>
      <c r="E2355" t="s">
        <v>4100</v>
      </c>
      <c r="F2355" t="s">
        <v>4101</v>
      </c>
      <c r="G2355" t="s">
        <v>39</v>
      </c>
      <c r="H2355">
        <v>1992</v>
      </c>
      <c r="I2355">
        <v>22.700000762939499</v>
      </c>
      <c r="J2355">
        <v>10.800000190734901</v>
      </c>
      <c r="K2355">
        <v>73</v>
      </c>
      <c r="L2355">
        <v>6.2399997711181596</v>
      </c>
      <c r="M2355">
        <v>29.799999237060501</v>
      </c>
      <c r="N2355">
        <v>15.1000003814697</v>
      </c>
      <c r="O2355">
        <v>14.699999809265099</v>
      </c>
      <c r="P2355">
        <v>22.700000762939499</v>
      </c>
      <c r="Q2355">
        <v>21.899999618530298</v>
      </c>
      <c r="R2355">
        <v>23.399999618530298</v>
      </c>
      <c r="S2355">
        <v>21.899999618530298</v>
      </c>
      <c r="T2355">
        <v>956</v>
      </c>
      <c r="U2355">
        <v>176</v>
      </c>
      <c r="V2355">
        <v>3</v>
      </c>
      <c r="W2355">
        <v>71</v>
      </c>
      <c r="X2355">
        <v>412</v>
      </c>
      <c r="Y2355">
        <v>25</v>
      </c>
      <c r="Z2355">
        <v>226</v>
      </c>
      <c r="AA2355">
        <v>25</v>
      </c>
      <c r="AB2355">
        <v>4.9510632966694104</v>
      </c>
      <c r="AC2355">
        <v>4.6141033926814998E-2</v>
      </c>
      <c r="AD2355">
        <v>1.9905902226765999</v>
      </c>
      <c r="AE2355">
        <v>0.68683904409408603</v>
      </c>
      <c r="AF2355">
        <v>1197.6982456140299</v>
      </c>
      <c r="AG2355">
        <f>IFERROR(AH2355*0.1, "N/A")</f>
        <v>6.2270175438596507</v>
      </c>
      <c r="AH2355">
        <v>62.270175438596503</v>
      </c>
      <c r="AI2355">
        <v>81.421107569911996</v>
      </c>
      <c r="AJ2355">
        <v>15.1350877192982</v>
      </c>
      <c r="AK2355">
        <v>72.729824561403504</v>
      </c>
    </row>
    <row r="2356" spans="1:37" x14ac:dyDescent="0.3">
      <c r="A2356">
        <v>2355</v>
      </c>
      <c r="B2356">
        <v>1.7</v>
      </c>
      <c r="C2356">
        <v>33.325802000000003</v>
      </c>
      <c r="D2356">
        <v>-2.62</v>
      </c>
      <c r="E2356" t="s">
        <v>4100</v>
      </c>
      <c r="F2356" t="s">
        <v>4102</v>
      </c>
      <c r="G2356" t="s">
        <v>37</v>
      </c>
      <c r="H2356">
        <v>1992</v>
      </c>
      <c r="I2356">
        <v>22.700000762939499</v>
      </c>
      <c r="J2356">
        <v>10.800000190734901</v>
      </c>
      <c r="K2356">
        <v>73</v>
      </c>
      <c r="L2356">
        <v>6.2399997711181596</v>
      </c>
      <c r="M2356">
        <v>29.799999237060501</v>
      </c>
      <c r="N2356">
        <v>15.1000003814697</v>
      </c>
      <c r="O2356">
        <v>14.699999809265099</v>
      </c>
      <c r="P2356">
        <v>22.700000762939499</v>
      </c>
      <c r="Q2356">
        <v>21.899999618530298</v>
      </c>
      <c r="R2356">
        <v>23.399999618530298</v>
      </c>
      <c r="S2356">
        <v>21.899999618530298</v>
      </c>
      <c r="T2356">
        <v>956</v>
      </c>
      <c r="U2356">
        <v>176</v>
      </c>
      <c r="V2356">
        <v>3</v>
      </c>
      <c r="W2356">
        <v>71</v>
      </c>
      <c r="X2356">
        <v>412</v>
      </c>
      <c r="Y2356">
        <v>25</v>
      </c>
      <c r="Z2356">
        <v>226</v>
      </c>
      <c r="AA2356">
        <v>25</v>
      </c>
      <c r="AB2356">
        <v>4.9510632966694104</v>
      </c>
      <c r="AC2356">
        <v>4.6141033926814998E-2</v>
      </c>
      <c r="AD2356">
        <v>1.9905902226765999</v>
      </c>
      <c r="AE2356">
        <v>0.68683904409408603</v>
      </c>
      <c r="AF2356">
        <v>1197.6982456140299</v>
      </c>
      <c r="AG2356">
        <f>IFERROR(AH2356*0.1, "N/A")</f>
        <v>6.2270175438596507</v>
      </c>
      <c r="AH2356">
        <v>62.270175438596503</v>
      </c>
      <c r="AI2356">
        <v>81.421107569911996</v>
      </c>
      <c r="AJ2356">
        <v>15.1350877192982</v>
      </c>
      <c r="AK2356">
        <v>72.729824561403504</v>
      </c>
    </row>
    <row r="2357" spans="1:37" x14ac:dyDescent="0.3">
      <c r="A2357">
        <v>2356</v>
      </c>
      <c r="B2357">
        <v>2.4</v>
      </c>
      <c r="C2357">
        <v>31.816099000000001</v>
      </c>
      <c r="D2357">
        <v>-1.3250999999999999</v>
      </c>
      <c r="E2357" t="s">
        <v>4103</v>
      </c>
      <c r="F2357" t="s">
        <v>4104</v>
      </c>
      <c r="G2357" t="s">
        <v>37</v>
      </c>
      <c r="H2357">
        <v>1994</v>
      </c>
      <c r="I2357">
        <v>21.010035249548899</v>
      </c>
      <c r="J2357">
        <v>10.305105795323</v>
      </c>
      <c r="K2357">
        <v>86.051056338028204</v>
      </c>
      <c r="L2357">
        <v>3.4667254077716598</v>
      </c>
      <c r="M2357">
        <v>26.710035821081899</v>
      </c>
      <c r="N2357">
        <v>14.8100353445805</v>
      </c>
      <c r="O2357">
        <v>11.8999996185303</v>
      </c>
      <c r="P2357">
        <v>21.248943678090299</v>
      </c>
      <c r="Q2357">
        <v>20.5</v>
      </c>
      <c r="R2357">
        <v>21.3100344866094</v>
      </c>
      <c r="S2357">
        <v>20.415140521358399</v>
      </c>
      <c r="T2357">
        <v>2045.9207746478901</v>
      </c>
      <c r="U2357">
        <v>379.45950704225299</v>
      </c>
      <c r="V2357">
        <v>46</v>
      </c>
      <c r="W2357">
        <v>56</v>
      </c>
      <c r="X2357">
        <v>917.89964788732402</v>
      </c>
      <c r="Y2357">
        <v>181.05105633802799</v>
      </c>
      <c r="Z2357">
        <v>741.28169014084494</v>
      </c>
      <c r="AA2357">
        <v>207.52112676056299</v>
      </c>
      <c r="AB2357">
        <v>8.9774165623624604</v>
      </c>
      <c r="AC2357">
        <v>0.142221514588143</v>
      </c>
      <c r="AD2357">
        <v>1.55436230755188</v>
      </c>
      <c r="AE2357">
        <v>0.80044984817504905</v>
      </c>
      <c r="AF2357">
        <v>1145.1602112676101</v>
      </c>
      <c r="AG2357">
        <f>IFERROR(AH2357*0.1, "N/A")</f>
        <v>5.4848591549295804</v>
      </c>
      <c r="AH2357">
        <v>54.848591549295797</v>
      </c>
      <c r="AI2357">
        <v>127.550680885852</v>
      </c>
      <c r="AJ2357">
        <v>35</v>
      </c>
      <c r="AK2357">
        <v>49.697183098591502</v>
      </c>
    </row>
    <row r="2358" spans="1:37" x14ac:dyDescent="0.3">
      <c r="A2358">
        <v>2357</v>
      </c>
      <c r="B2358">
        <v>20.399999999999999</v>
      </c>
      <c r="C2358">
        <v>31.8276</v>
      </c>
      <c r="D2358">
        <v>-1.3317600000000001</v>
      </c>
      <c r="E2358" t="s">
        <v>4105</v>
      </c>
      <c r="F2358" t="s">
        <v>4106</v>
      </c>
      <c r="G2358" t="s">
        <v>37</v>
      </c>
      <c r="H2358">
        <v>1994</v>
      </c>
      <c r="I2358">
        <v>21.100000381469702</v>
      </c>
      <c r="J2358">
        <v>10.300000190734901</v>
      </c>
      <c r="K2358">
        <v>86</v>
      </c>
      <c r="L2358">
        <v>3.4500000476837198</v>
      </c>
      <c r="M2358">
        <v>26.799999237060501</v>
      </c>
      <c r="N2358">
        <v>14.8999996185303</v>
      </c>
      <c r="O2358">
        <v>11.8999996185303</v>
      </c>
      <c r="P2358">
        <v>21.299999237060501</v>
      </c>
      <c r="Q2358">
        <v>20.600000381469702</v>
      </c>
      <c r="R2358">
        <v>21.399999618530298</v>
      </c>
      <c r="S2358">
        <v>20.5</v>
      </c>
      <c r="T2358">
        <v>2046</v>
      </c>
      <c r="U2358">
        <v>379</v>
      </c>
      <c r="V2358">
        <v>46</v>
      </c>
      <c r="W2358">
        <v>56</v>
      </c>
      <c r="X2358">
        <v>918</v>
      </c>
      <c r="Y2358">
        <v>182</v>
      </c>
      <c r="Z2358">
        <v>777</v>
      </c>
      <c r="AA2358">
        <v>208</v>
      </c>
      <c r="AB2358">
        <v>4.80314855742873</v>
      </c>
      <c r="AC2358">
        <v>0.93459503819937195</v>
      </c>
      <c r="AD2358">
        <v>1.18426325770847</v>
      </c>
      <c r="AE2358">
        <v>0.71714729070663497</v>
      </c>
      <c r="AF2358">
        <v>1133.9385964912301</v>
      </c>
      <c r="AG2358">
        <f>IFERROR(AH2358*0.1, "N/A")</f>
        <v>5.4266666666666703</v>
      </c>
      <c r="AH2358">
        <v>54.266666666666701</v>
      </c>
      <c r="AI2358">
        <v>96.801718969512393</v>
      </c>
      <c r="AJ2358">
        <v>35</v>
      </c>
      <c r="AK2358">
        <v>45.088888888888903</v>
      </c>
    </row>
    <row r="2359" spans="1:37" x14ac:dyDescent="0.3">
      <c r="A2359">
        <v>2358</v>
      </c>
      <c r="B2359">
        <v>100</v>
      </c>
      <c r="C2359">
        <v>33.018599999999999</v>
      </c>
      <c r="D2359">
        <v>-1.9991699999999999</v>
      </c>
      <c r="E2359" t="s">
        <v>4107</v>
      </c>
      <c r="F2359" t="s">
        <v>4108</v>
      </c>
      <c r="G2359" t="s">
        <v>37</v>
      </c>
      <c r="H2359">
        <v>1994</v>
      </c>
      <c r="I2359">
        <v>22.411110772026898</v>
      </c>
      <c r="J2359">
        <v>9.8999996185302699</v>
      </c>
      <c r="K2359">
        <v>78</v>
      </c>
      <c r="L2359">
        <v>4.8177779515584298</v>
      </c>
      <c r="M2359">
        <v>28.2111117045085</v>
      </c>
      <c r="N2359">
        <v>15.6111114290025</v>
      </c>
      <c r="O2359">
        <v>12.6000003814697</v>
      </c>
      <c r="P2359">
        <v>22.611111534966401</v>
      </c>
      <c r="Q2359">
        <v>21.7111117045085</v>
      </c>
      <c r="R2359">
        <v>22.911110772026898</v>
      </c>
      <c r="S2359">
        <v>21.7111117045085</v>
      </c>
      <c r="T2359">
        <v>1492.55555555556</v>
      </c>
      <c r="U2359">
        <v>247.777777777778</v>
      </c>
      <c r="V2359">
        <v>22.8888888888889</v>
      </c>
      <c r="W2359">
        <v>56</v>
      </c>
      <c r="X2359">
        <v>589.33333333333303</v>
      </c>
      <c r="Y2359">
        <v>100.777777777778</v>
      </c>
      <c r="Z2359">
        <v>347.66666666666703</v>
      </c>
      <c r="AA2359">
        <v>100.777777777778</v>
      </c>
      <c r="AB2359">
        <v>22.075678426752599</v>
      </c>
      <c r="AC2359">
        <v>8.5728932730530002E-3</v>
      </c>
      <c r="AD2359">
        <v>1.41470586706932</v>
      </c>
      <c r="AE2359">
        <v>0.62036859326892402</v>
      </c>
      <c r="AF2359">
        <v>1176.2045855379199</v>
      </c>
      <c r="AG2359">
        <f>IFERROR(AH2359*0.1, "N/A")</f>
        <v>5.7476190476190503</v>
      </c>
      <c r="AH2359">
        <v>57.476190476190503</v>
      </c>
      <c r="AI2359">
        <v>184.05357804878699</v>
      </c>
      <c r="AJ2359">
        <v>26.952380952380999</v>
      </c>
      <c r="AK2359">
        <v>58.523809523809497</v>
      </c>
    </row>
    <row r="2360" spans="1:37" x14ac:dyDescent="0.3">
      <c r="A2360">
        <v>2359</v>
      </c>
      <c r="B2360">
        <v>86.199996999999996</v>
      </c>
      <c r="C2360">
        <v>32.445599000000001</v>
      </c>
      <c r="D2360">
        <v>-2.3925000000000001</v>
      </c>
      <c r="E2360" t="s">
        <v>4109</v>
      </c>
      <c r="F2360" t="s">
        <v>4110</v>
      </c>
      <c r="G2360" t="s">
        <v>37</v>
      </c>
      <c r="H2360">
        <v>1994</v>
      </c>
      <c r="I2360">
        <v>22.399999618530298</v>
      </c>
      <c r="J2360">
        <v>10.300000190734901</v>
      </c>
      <c r="K2360">
        <v>78</v>
      </c>
      <c r="L2360">
        <v>5.0100002288818404</v>
      </c>
      <c r="M2360">
        <v>28.600000381469702</v>
      </c>
      <c r="N2360">
        <v>15.3999996185303</v>
      </c>
      <c r="O2360">
        <v>13.199999809265099</v>
      </c>
      <c r="P2360">
        <v>22.799999237060501</v>
      </c>
      <c r="Q2360">
        <v>21.799999237060501</v>
      </c>
      <c r="R2360">
        <v>23</v>
      </c>
      <c r="S2360">
        <v>21.799999237060501</v>
      </c>
      <c r="T2360">
        <v>1091</v>
      </c>
      <c r="U2360">
        <v>175</v>
      </c>
      <c r="V2360">
        <v>10</v>
      </c>
      <c r="W2360">
        <v>59</v>
      </c>
      <c r="X2360">
        <v>423</v>
      </c>
      <c r="Y2360">
        <v>53</v>
      </c>
      <c r="Z2360">
        <v>342</v>
      </c>
      <c r="AA2360">
        <v>53</v>
      </c>
      <c r="AB2360">
        <v>7.1793946599708898</v>
      </c>
      <c r="AC2360">
        <v>1.0041532610823E-2</v>
      </c>
      <c r="AD2360">
        <v>2.4043365570279498</v>
      </c>
      <c r="AE2360">
        <v>0.51415669918060303</v>
      </c>
      <c r="AF2360">
        <v>1155.6467486818999</v>
      </c>
      <c r="AG2360">
        <f>IFERROR(AH2360*0.1, "N/A")</f>
        <v>5.5681898066783804</v>
      </c>
      <c r="AH2360">
        <v>55.681898066783802</v>
      </c>
      <c r="AI2360">
        <v>88.997699744252998</v>
      </c>
      <c r="AJ2360">
        <v>23.5536028119508</v>
      </c>
      <c r="AK2360">
        <v>60.898066783831297</v>
      </c>
    </row>
    <row r="2361" spans="1:37" x14ac:dyDescent="0.3">
      <c r="A2361">
        <v>2360</v>
      </c>
      <c r="B2361">
        <v>80.699996999999996</v>
      </c>
      <c r="C2361">
        <v>32.483299000000002</v>
      </c>
      <c r="D2361">
        <v>-2.4</v>
      </c>
      <c r="E2361" t="s">
        <v>4111</v>
      </c>
      <c r="F2361" t="s">
        <v>4112</v>
      </c>
      <c r="G2361" t="s">
        <v>37</v>
      </c>
      <c r="H2361">
        <v>1994</v>
      </c>
      <c r="I2361">
        <v>22.5766259513547</v>
      </c>
      <c r="J2361">
        <v>10.300000190734901</v>
      </c>
      <c r="K2361">
        <v>78</v>
      </c>
      <c r="L2361">
        <v>4.917803284154</v>
      </c>
      <c r="M2361">
        <v>28.700000762939499</v>
      </c>
      <c r="N2361">
        <v>15.5</v>
      </c>
      <c r="O2361">
        <v>13.199999809265099</v>
      </c>
      <c r="P2361">
        <v>22.8177497441404</v>
      </c>
      <c r="Q2361">
        <v>21.876625188415201</v>
      </c>
      <c r="R2361">
        <v>23.117750888549601</v>
      </c>
      <c r="S2361">
        <v>21.876625188415201</v>
      </c>
      <c r="T2361">
        <v>1094.8998242530799</v>
      </c>
      <c r="U2361">
        <v>179.165202108963</v>
      </c>
      <c r="V2361">
        <v>10</v>
      </c>
      <c r="W2361">
        <v>58.766256590509698</v>
      </c>
      <c r="X2361">
        <v>423.335676625659</v>
      </c>
      <c r="Y2361">
        <v>53.759226713532499</v>
      </c>
      <c r="Z2361">
        <v>339.92970123022798</v>
      </c>
      <c r="AA2361">
        <v>53.759226713532499</v>
      </c>
      <c r="AB2361">
        <v>4.3409436700214199</v>
      </c>
      <c r="AC2361">
        <v>1.822175705226E-2</v>
      </c>
      <c r="AD2361">
        <v>1.44771411915446</v>
      </c>
      <c r="AE2361" t="s">
        <v>729</v>
      </c>
      <c r="AF2361">
        <v>1135.53778558875</v>
      </c>
      <c r="AG2361">
        <f>IFERROR(AH2361*0.1, "N/A")</f>
        <v>5.5702987697715303</v>
      </c>
      <c r="AH2361">
        <v>55.702987697715301</v>
      </c>
      <c r="AI2361">
        <v>206.804350948501</v>
      </c>
      <c r="AJ2361">
        <v>32.594024604569398</v>
      </c>
      <c r="AK2361">
        <v>49.405975395430602</v>
      </c>
    </row>
    <row r="2362" spans="1:37" x14ac:dyDescent="0.3">
      <c r="A2362">
        <v>2361</v>
      </c>
      <c r="B2362">
        <v>62.200001</v>
      </c>
      <c r="C2362">
        <v>32.903098999999997</v>
      </c>
      <c r="D2362">
        <v>-2.5106199999999999</v>
      </c>
      <c r="E2362" t="s">
        <v>3400</v>
      </c>
      <c r="F2362" t="s">
        <v>4113</v>
      </c>
      <c r="G2362" t="s">
        <v>37</v>
      </c>
      <c r="H2362">
        <v>1994</v>
      </c>
      <c r="I2362">
        <v>22.5</v>
      </c>
      <c r="J2362">
        <v>10.3999996185303</v>
      </c>
      <c r="K2362">
        <v>76</v>
      </c>
      <c r="L2362">
        <v>4.9099998474121103</v>
      </c>
      <c r="M2362">
        <v>28.700000762939499</v>
      </c>
      <c r="N2362">
        <v>15.1000003814697</v>
      </c>
      <c r="O2362">
        <v>13.6000003814697</v>
      </c>
      <c r="P2362">
        <v>22.700000762939499</v>
      </c>
      <c r="Q2362">
        <v>21.799999237060501</v>
      </c>
      <c r="R2362">
        <v>23</v>
      </c>
      <c r="S2362">
        <v>21.799999237060501</v>
      </c>
      <c r="T2362">
        <v>1066</v>
      </c>
      <c r="U2362">
        <v>177</v>
      </c>
      <c r="V2362">
        <v>8</v>
      </c>
      <c r="W2362">
        <v>65</v>
      </c>
      <c r="X2362">
        <v>433</v>
      </c>
      <c r="Y2362">
        <v>40</v>
      </c>
      <c r="Z2362">
        <v>278</v>
      </c>
      <c r="AA2362">
        <v>40</v>
      </c>
      <c r="AB2362">
        <v>25.328302634830798</v>
      </c>
      <c r="AC2362">
        <v>2.2812891509286001E-2</v>
      </c>
      <c r="AD2362">
        <v>5.2600777874093501</v>
      </c>
      <c r="AE2362">
        <v>0.80628693103790305</v>
      </c>
      <c r="AF2362">
        <v>1158.0597539543101</v>
      </c>
      <c r="AG2362">
        <f>IFERROR(AH2362*0.1, "N/A")</f>
        <v>6.1000000000000005</v>
      </c>
      <c r="AH2362">
        <v>61</v>
      </c>
      <c r="AI2362">
        <v>260.51866652718297</v>
      </c>
      <c r="AJ2362">
        <v>36.311072056238999</v>
      </c>
      <c r="AK2362">
        <v>46</v>
      </c>
    </row>
    <row r="2363" spans="1:37" x14ac:dyDescent="0.3">
      <c r="A2363">
        <v>2362</v>
      </c>
      <c r="B2363">
        <v>10</v>
      </c>
      <c r="C2363">
        <v>34.373199</v>
      </c>
      <c r="D2363">
        <v>-1.3419000000000001</v>
      </c>
      <c r="E2363" t="s">
        <v>4114</v>
      </c>
      <c r="F2363" t="s">
        <v>4115</v>
      </c>
      <c r="G2363" t="s">
        <v>39</v>
      </c>
      <c r="H2363">
        <v>1959</v>
      </c>
      <c r="I2363">
        <v>21.200000762939499</v>
      </c>
      <c r="J2363">
        <v>12.666608084693699</v>
      </c>
      <c r="K2363">
        <v>85.666080843585206</v>
      </c>
      <c r="L2363">
        <v>5.8832689245053</v>
      </c>
      <c r="M2363">
        <v>28.5</v>
      </c>
      <c r="N2363">
        <v>13.800000190734901</v>
      </c>
      <c r="O2363">
        <v>14.699999809265099</v>
      </c>
      <c r="P2363">
        <v>21.566608338448201</v>
      </c>
      <c r="Q2363">
        <v>20.299999237060501</v>
      </c>
      <c r="R2363">
        <v>21.866607575508699</v>
      </c>
      <c r="S2363">
        <v>20.299999237060501</v>
      </c>
      <c r="T2363">
        <v>1336.0070298769799</v>
      </c>
      <c r="U2363">
        <v>219</v>
      </c>
      <c r="V2363">
        <v>38</v>
      </c>
      <c r="W2363">
        <v>43</v>
      </c>
      <c r="X2363">
        <v>523.00175746924401</v>
      </c>
      <c r="Y2363">
        <v>167.33391915641499</v>
      </c>
      <c r="Z2363">
        <v>325.00351493848899</v>
      </c>
      <c r="AA2363">
        <v>167.33391915641499</v>
      </c>
      <c r="AB2363">
        <v>25.868718420474501</v>
      </c>
      <c r="AC2363">
        <v>1.7992234247064001E-2</v>
      </c>
      <c r="AD2363">
        <v>4.0313631773832999</v>
      </c>
      <c r="AE2363">
        <v>0.60770677545996699</v>
      </c>
      <c r="AF2363">
        <v>1413.51845342706</v>
      </c>
      <c r="AG2363">
        <f>IFERROR(AH2363*0.1, "N/A")</f>
        <v>5.6987697715290002</v>
      </c>
      <c r="AH2363">
        <v>56.987697715289997</v>
      </c>
      <c r="AI2363">
        <v>223.931286481646</v>
      </c>
      <c r="AJ2363">
        <v>41.539543057996497</v>
      </c>
      <c r="AK2363">
        <v>40.3585237258348</v>
      </c>
    </row>
    <row r="2364" spans="1:37" x14ac:dyDescent="0.3">
      <c r="A2364">
        <v>2363</v>
      </c>
      <c r="B2364">
        <v>20</v>
      </c>
      <c r="C2364">
        <v>34.373199</v>
      </c>
      <c r="D2364">
        <v>-1.3419000000000001</v>
      </c>
      <c r="E2364" t="s">
        <v>4114</v>
      </c>
      <c r="F2364" t="s">
        <v>4116</v>
      </c>
      <c r="G2364" t="s">
        <v>37</v>
      </c>
      <c r="H2364">
        <v>1959</v>
      </c>
      <c r="I2364">
        <v>21.200000762939499</v>
      </c>
      <c r="J2364">
        <v>12.666608084693699</v>
      </c>
      <c r="K2364">
        <v>85.666080843585206</v>
      </c>
      <c r="L2364">
        <v>5.8832689245053</v>
      </c>
      <c r="M2364">
        <v>28.5</v>
      </c>
      <c r="N2364">
        <v>13.800000190734901</v>
      </c>
      <c r="O2364">
        <v>14.699999809265099</v>
      </c>
      <c r="P2364">
        <v>21.566608338448201</v>
      </c>
      <c r="Q2364">
        <v>20.299999237060501</v>
      </c>
      <c r="R2364">
        <v>21.866607575508699</v>
      </c>
      <c r="S2364">
        <v>20.299999237060501</v>
      </c>
      <c r="T2364">
        <v>1336.0070298769799</v>
      </c>
      <c r="U2364">
        <v>219</v>
      </c>
      <c r="V2364">
        <v>38</v>
      </c>
      <c r="W2364">
        <v>43</v>
      </c>
      <c r="X2364">
        <v>523.00175746924401</v>
      </c>
      <c r="Y2364">
        <v>167.33391915641499</v>
      </c>
      <c r="Z2364">
        <v>325.00351493848899</v>
      </c>
      <c r="AA2364">
        <v>167.33391915641499</v>
      </c>
      <c r="AB2364">
        <v>25.868718420474501</v>
      </c>
      <c r="AC2364">
        <v>1.7992234247064001E-2</v>
      </c>
      <c r="AD2364">
        <v>4.0313631773832999</v>
      </c>
      <c r="AE2364">
        <v>0.60770677545996699</v>
      </c>
      <c r="AF2364">
        <v>1413.51845342706</v>
      </c>
      <c r="AG2364">
        <f>IFERROR(AH2364*0.1, "N/A")</f>
        <v>5.6987697715290002</v>
      </c>
      <c r="AH2364">
        <v>56.987697715289997</v>
      </c>
      <c r="AI2364">
        <v>223.931286481646</v>
      </c>
      <c r="AJ2364">
        <v>41.539543057996497</v>
      </c>
      <c r="AK2364">
        <v>40.3585237258348</v>
      </c>
    </row>
    <row r="2365" spans="1:37" x14ac:dyDescent="0.3">
      <c r="A2365">
        <v>2364</v>
      </c>
      <c r="B2365">
        <v>11.7</v>
      </c>
      <c r="C2365">
        <v>33.749901000000001</v>
      </c>
      <c r="D2365">
        <v>-1.496</v>
      </c>
      <c r="E2365" t="s">
        <v>4117</v>
      </c>
      <c r="F2365" t="s">
        <v>4118</v>
      </c>
      <c r="G2365" t="s">
        <v>39</v>
      </c>
      <c r="H2365">
        <v>1959</v>
      </c>
      <c r="I2365">
        <v>22.863138807723999</v>
      </c>
      <c r="J2365">
        <v>10</v>
      </c>
      <c r="K2365">
        <v>82.684303350969998</v>
      </c>
      <c r="L2365">
        <v>4.63153441662931</v>
      </c>
      <c r="M2365">
        <v>28.594708753851599</v>
      </c>
      <c r="N2365">
        <v>16.563139570663399</v>
      </c>
      <c r="O2365">
        <v>12.031569785331699</v>
      </c>
      <c r="P2365">
        <v>22.931569403861999</v>
      </c>
      <c r="Q2365">
        <v>22.131570166801399</v>
      </c>
      <c r="R2365">
        <v>23.163139349989599</v>
      </c>
      <c r="S2365">
        <v>22.131570166801399</v>
      </c>
      <c r="T2365">
        <v>959.21164021163997</v>
      </c>
      <c r="U2365">
        <v>186.68430335097</v>
      </c>
      <c r="V2365">
        <v>19.684303350970001</v>
      </c>
      <c r="W2365">
        <v>62</v>
      </c>
      <c r="X2365">
        <v>437.36860670194</v>
      </c>
      <c r="Y2365">
        <v>67.368606701939996</v>
      </c>
      <c r="Z2365">
        <v>279.36860670194</v>
      </c>
      <c r="AA2365">
        <v>67.368606701939996</v>
      </c>
      <c r="AB2365">
        <v>45.871617339065203</v>
      </c>
      <c r="AC2365">
        <v>3.5958315743497997E-2</v>
      </c>
      <c r="AD2365">
        <v>3.1809337967497502</v>
      </c>
      <c r="AE2365">
        <v>0.60257115329384203</v>
      </c>
      <c r="AF2365">
        <v>1175.9805996472701</v>
      </c>
      <c r="AG2365">
        <f>IFERROR(AH2365*0.1, "N/A")</f>
        <v>6.1650793650793707</v>
      </c>
      <c r="AH2365">
        <v>61.650793650793702</v>
      </c>
      <c r="AI2365">
        <v>314.34720666740702</v>
      </c>
      <c r="AJ2365">
        <v>24.894179894179899</v>
      </c>
      <c r="AK2365">
        <v>59.119929453262799</v>
      </c>
    </row>
    <row r="2366" spans="1:37" x14ac:dyDescent="0.3">
      <c r="A2366">
        <v>2365</v>
      </c>
      <c r="B2366">
        <v>61.700001</v>
      </c>
      <c r="C2366">
        <v>33.749901000000001</v>
      </c>
      <c r="D2366">
        <v>-1.496</v>
      </c>
      <c r="E2366" t="s">
        <v>4117</v>
      </c>
      <c r="F2366" t="s">
        <v>4119</v>
      </c>
      <c r="G2366" t="s">
        <v>37</v>
      </c>
      <c r="H2366">
        <v>1959</v>
      </c>
      <c r="I2366">
        <v>22.863138807723999</v>
      </c>
      <c r="J2366">
        <v>10</v>
      </c>
      <c r="K2366">
        <v>82.684303350969998</v>
      </c>
      <c r="L2366">
        <v>4.63153441662931</v>
      </c>
      <c r="M2366">
        <v>28.594708753851599</v>
      </c>
      <c r="N2366">
        <v>16.563139570663399</v>
      </c>
      <c r="O2366">
        <v>12.031569785331699</v>
      </c>
      <c r="P2366">
        <v>22.931569403861999</v>
      </c>
      <c r="Q2366">
        <v>22.131570166801399</v>
      </c>
      <c r="R2366">
        <v>23.163139349989599</v>
      </c>
      <c r="S2366">
        <v>22.131570166801399</v>
      </c>
      <c r="T2366">
        <v>959.21164021163997</v>
      </c>
      <c r="U2366">
        <v>186.68430335097</v>
      </c>
      <c r="V2366">
        <v>19.684303350970001</v>
      </c>
      <c r="W2366">
        <v>62</v>
      </c>
      <c r="X2366">
        <v>437.36860670194</v>
      </c>
      <c r="Y2366">
        <v>67.368606701939996</v>
      </c>
      <c r="Z2366">
        <v>279.36860670194</v>
      </c>
      <c r="AA2366">
        <v>67.368606701939996</v>
      </c>
      <c r="AB2366">
        <v>45.871617339065203</v>
      </c>
      <c r="AC2366">
        <v>3.5958315743497997E-2</v>
      </c>
      <c r="AD2366">
        <v>3.1809337967497502</v>
      </c>
      <c r="AE2366">
        <v>0.60257115329384203</v>
      </c>
      <c r="AF2366">
        <v>1175.9805996472701</v>
      </c>
      <c r="AG2366">
        <f>IFERROR(AH2366*0.1, "N/A")</f>
        <v>6.1650793650793707</v>
      </c>
      <c r="AH2366">
        <v>61.650793650793702</v>
      </c>
      <c r="AI2366">
        <v>314.34720666740702</v>
      </c>
      <c r="AJ2366">
        <v>24.894179894179899</v>
      </c>
      <c r="AK2366">
        <v>59.119929453262799</v>
      </c>
    </row>
    <row r="2367" spans="1:37" x14ac:dyDescent="0.3">
      <c r="A2367">
        <v>2366</v>
      </c>
      <c r="B2367">
        <v>30</v>
      </c>
      <c r="C2367">
        <v>32.925998999999997</v>
      </c>
      <c r="D2367">
        <v>-1.9622900000000001</v>
      </c>
      <c r="E2367" t="s">
        <v>4120</v>
      </c>
      <c r="F2367" t="s">
        <v>4121</v>
      </c>
      <c r="G2367" t="s">
        <v>39</v>
      </c>
      <c r="H2367">
        <v>1959</v>
      </c>
      <c r="I2367">
        <v>22.299999237060501</v>
      </c>
      <c r="J2367">
        <v>9.8999996185302699</v>
      </c>
      <c r="K2367">
        <v>79</v>
      </c>
      <c r="L2367">
        <v>4.8200001716613796</v>
      </c>
      <c r="M2367">
        <v>28</v>
      </c>
      <c r="N2367">
        <v>15.5</v>
      </c>
      <c r="O2367">
        <v>12.5</v>
      </c>
      <c r="P2367">
        <v>22.5</v>
      </c>
      <c r="Q2367">
        <v>21.5</v>
      </c>
      <c r="R2367">
        <v>22.700000762939499</v>
      </c>
      <c r="S2367">
        <v>21.5</v>
      </c>
      <c r="T2367">
        <v>1517</v>
      </c>
      <c r="U2367">
        <v>249</v>
      </c>
      <c r="V2367">
        <v>27</v>
      </c>
      <c r="W2367">
        <v>54</v>
      </c>
      <c r="X2367">
        <v>595</v>
      </c>
      <c r="Y2367">
        <v>112</v>
      </c>
      <c r="Z2367">
        <v>355</v>
      </c>
      <c r="AA2367">
        <v>112</v>
      </c>
      <c r="AB2367">
        <v>33.578325728295603</v>
      </c>
      <c r="AC2367">
        <v>2.2515480142598E-2</v>
      </c>
      <c r="AD2367">
        <v>1.7767050962527899</v>
      </c>
      <c r="AE2367">
        <v>0.69898366928100597</v>
      </c>
      <c r="AF2367">
        <v>1183.00176056338</v>
      </c>
      <c r="AG2367">
        <f>IFERROR(AH2367*0.1, "N/A")</f>
        <v>5.8000000000000007</v>
      </c>
      <c r="AH2367">
        <v>58</v>
      </c>
      <c r="AI2367">
        <v>122.16728925033399</v>
      </c>
      <c r="AJ2367">
        <v>30</v>
      </c>
      <c r="AK2367">
        <v>56</v>
      </c>
    </row>
    <row r="2368" spans="1:37" x14ac:dyDescent="0.3">
      <c r="A2368">
        <v>2367</v>
      </c>
      <c r="B2368">
        <v>41.700001</v>
      </c>
      <c r="C2368">
        <v>32.925998999999997</v>
      </c>
      <c r="D2368">
        <v>-1.9622900000000001</v>
      </c>
      <c r="E2368" t="s">
        <v>4120</v>
      </c>
      <c r="F2368" t="s">
        <v>4122</v>
      </c>
      <c r="G2368" t="s">
        <v>37</v>
      </c>
      <c r="H2368">
        <v>1959</v>
      </c>
      <c r="I2368">
        <v>22.299999237060501</v>
      </c>
      <c r="J2368">
        <v>9.8999996185302699</v>
      </c>
      <c r="K2368">
        <v>79</v>
      </c>
      <c r="L2368">
        <v>4.8200001716613796</v>
      </c>
      <c r="M2368">
        <v>28</v>
      </c>
      <c r="N2368">
        <v>15.5</v>
      </c>
      <c r="O2368">
        <v>12.5</v>
      </c>
      <c r="P2368">
        <v>22.5</v>
      </c>
      <c r="Q2368">
        <v>21.5</v>
      </c>
      <c r="R2368">
        <v>22.700000762939499</v>
      </c>
      <c r="S2368">
        <v>21.5</v>
      </c>
      <c r="T2368">
        <v>1517</v>
      </c>
      <c r="U2368">
        <v>249</v>
      </c>
      <c r="V2368">
        <v>27</v>
      </c>
      <c r="W2368">
        <v>54</v>
      </c>
      <c r="X2368">
        <v>595</v>
      </c>
      <c r="Y2368">
        <v>112</v>
      </c>
      <c r="Z2368">
        <v>355</v>
      </c>
      <c r="AA2368">
        <v>112</v>
      </c>
      <c r="AB2368">
        <v>33.578325728295603</v>
      </c>
      <c r="AC2368">
        <v>2.2515480142598E-2</v>
      </c>
      <c r="AD2368">
        <v>1.7767050962527899</v>
      </c>
      <c r="AE2368">
        <v>0.69898366928100597</v>
      </c>
      <c r="AF2368">
        <v>1183.00176056338</v>
      </c>
      <c r="AG2368">
        <f>IFERROR(AH2368*0.1, "N/A")</f>
        <v>5.8000000000000007</v>
      </c>
      <c r="AH2368">
        <v>58</v>
      </c>
      <c r="AI2368">
        <v>122.16728925033399</v>
      </c>
      <c r="AJ2368">
        <v>30</v>
      </c>
      <c r="AK2368">
        <v>56</v>
      </c>
    </row>
    <row r="2369" spans="1:37" x14ac:dyDescent="0.3">
      <c r="A2369">
        <v>2368</v>
      </c>
      <c r="B2369">
        <v>16.700001</v>
      </c>
      <c r="C2369">
        <v>33.100399000000003</v>
      </c>
      <c r="D2369">
        <v>-1.96539</v>
      </c>
      <c r="E2369" t="s">
        <v>4123</v>
      </c>
      <c r="F2369" t="s">
        <v>4124</v>
      </c>
      <c r="G2369" t="s">
        <v>39</v>
      </c>
      <c r="H2369">
        <v>1959</v>
      </c>
      <c r="I2369">
        <v>22.600000381469702</v>
      </c>
      <c r="J2369">
        <v>9.9336265073695706</v>
      </c>
      <c r="K2369">
        <v>78.336267605633793</v>
      </c>
      <c r="L2369">
        <v>4.9338907498708897</v>
      </c>
      <c r="M2369">
        <v>28.466373111160699</v>
      </c>
      <c r="N2369">
        <v>15.866373050380799</v>
      </c>
      <c r="O2369">
        <v>12.6000003814697</v>
      </c>
      <c r="P2369">
        <v>22.7336270103992</v>
      </c>
      <c r="Q2369">
        <v>21.866372729691001</v>
      </c>
      <c r="R2369">
        <v>23.100000381469702</v>
      </c>
      <c r="S2369">
        <v>21.866372729691001</v>
      </c>
      <c r="T2369">
        <v>1475.3362676056299</v>
      </c>
      <c r="U2369">
        <v>249</v>
      </c>
      <c r="V2369">
        <v>22</v>
      </c>
      <c r="W2369">
        <v>57</v>
      </c>
      <c r="X2369">
        <v>591</v>
      </c>
      <c r="Y2369">
        <v>102</v>
      </c>
      <c r="Z2369">
        <v>331</v>
      </c>
      <c r="AA2369">
        <v>102</v>
      </c>
      <c r="AB2369">
        <v>12.7369752266038</v>
      </c>
      <c r="AC2369">
        <v>2.1898785455178999E-2</v>
      </c>
      <c r="AD2369">
        <v>1.0908020568985299</v>
      </c>
      <c r="AE2369">
        <v>0.38064172863960299</v>
      </c>
      <c r="AF2369">
        <v>1142.9454225352099</v>
      </c>
      <c r="AG2369">
        <f>IFERROR(AH2369*0.1, "N/A")</f>
        <v>6.6839788732394396</v>
      </c>
      <c r="AH2369">
        <v>66.839788732394396</v>
      </c>
      <c r="AI2369">
        <v>216.80516145598699</v>
      </c>
      <c r="AJ2369">
        <v>34.6637323943662</v>
      </c>
      <c r="AK2369">
        <v>45.058098591549303</v>
      </c>
    </row>
    <row r="2370" spans="1:37" x14ac:dyDescent="0.3">
      <c r="A2370">
        <v>2369</v>
      </c>
      <c r="B2370">
        <v>56.700001</v>
      </c>
      <c r="C2370">
        <v>33.100399000000003</v>
      </c>
      <c r="D2370">
        <v>-1.96539</v>
      </c>
      <c r="E2370" t="s">
        <v>4123</v>
      </c>
      <c r="F2370" t="s">
        <v>4125</v>
      </c>
      <c r="G2370" t="s">
        <v>37</v>
      </c>
      <c r="H2370">
        <v>1959</v>
      </c>
      <c r="I2370">
        <v>22.600000381469702</v>
      </c>
      <c r="J2370">
        <v>9.9336265073695706</v>
      </c>
      <c r="K2370">
        <v>78.336267605633793</v>
      </c>
      <c r="L2370">
        <v>4.9338907498708897</v>
      </c>
      <c r="M2370">
        <v>28.466373111160699</v>
      </c>
      <c r="N2370">
        <v>15.866373050380799</v>
      </c>
      <c r="O2370">
        <v>12.6000003814697</v>
      </c>
      <c r="P2370">
        <v>22.7336270103992</v>
      </c>
      <c r="Q2370">
        <v>21.866372729691001</v>
      </c>
      <c r="R2370">
        <v>23.100000381469702</v>
      </c>
      <c r="S2370">
        <v>21.866372729691001</v>
      </c>
      <c r="T2370">
        <v>1475.3362676056299</v>
      </c>
      <c r="U2370">
        <v>249</v>
      </c>
      <c r="V2370">
        <v>22</v>
      </c>
      <c r="W2370">
        <v>57</v>
      </c>
      <c r="X2370">
        <v>591</v>
      </c>
      <c r="Y2370">
        <v>102</v>
      </c>
      <c r="Z2370">
        <v>331</v>
      </c>
      <c r="AA2370">
        <v>102</v>
      </c>
      <c r="AB2370">
        <v>12.7369752266038</v>
      </c>
      <c r="AC2370">
        <v>2.1898785455178999E-2</v>
      </c>
      <c r="AD2370">
        <v>1.0908020568985299</v>
      </c>
      <c r="AE2370">
        <v>0.38064172863960299</v>
      </c>
      <c r="AF2370">
        <v>1142.9454225352099</v>
      </c>
      <c r="AG2370">
        <f>IFERROR(AH2370*0.1, "N/A")</f>
        <v>6.6839788732394396</v>
      </c>
      <c r="AH2370">
        <v>66.839788732394396</v>
      </c>
      <c r="AI2370">
        <v>216.80516145598699</v>
      </c>
      <c r="AJ2370">
        <v>34.6637323943662</v>
      </c>
      <c r="AK2370">
        <v>45.058098591549303</v>
      </c>
    </row>
    <row r="2371" spans="1:37" x14ac:dyDescent="0.3">
      <c r="A2371">
        <v>2370</v>
      </c>
      <c r="B2371">
        <v>5</v>
      </c>
      <c r="C2371">
        <v>32.946097999999999</v>
      </c>
      <c r="D2371">
        <v>-1.9758899999999999</v>
      </c>
      <c r="E2371" t="s">
        <v>4126</v>
      </c>
      <c r="F2371" t="s">
        <v>4127</v>
      </c>
      <c r="G2371" t="s">
        <v>39</v>
      </c>
      <c r="H2371">
        <v>1959</v>
      </c>
      <c r="I2371">
        <v>22.285713740757501</v>
      </c>
      <c r="J2371">
        <v>9.8999996185302699</v>
      </c>
      <c r="K2371">
        <v>79</v>
      </c>
      <c r="L2371">
        <v>4.8828571864536796</v>
      </c>
      <c r="M2371">
        <v>28.085714612688299</v>
      </c>
      <c r="N2371">
        <v>15.6000003814697</v>
      </c>
      <c r="O2371">
        <v>12.4857142312186</v>
      </c>
      <c r="P2371">
        <v>22.585714612688299</v>
      </c>
      <c r="Q2371">
        <v>21.600000381469702</v>
      </c>
      <c r="R2371">
        <v>22.785713740757501</v>
      </c>
      <c r="S2371">
        <v>21.600000381469702</v>
      </c>
      <c r="T2371">
        <v>1505.57142857143</v>
      </c>
      <c r="U2371">
        <v>247.28571428571399</v>
      </c>
      <c r="V2371">
        <v>26</v>
      </c>
      <c r="W2371">
        <v>54</v>
      </c>
      <c r="X2371">
        <v>590.71428571428601</v>
      </c>
      <c r="Y2371">
        <v>108.28571428571399</v>
      </c>
      <c r="Z2371">
        <v>354.142857142857</v>
      </c>
      <c r="AA2371">
        <v>108.28571428571399</v>
      </c>
      <c r="AB2371">
        <v>52.227000833608898</v>
      </c>
      <c r="AC2371">
        <v>9.7632895682070002E-3</v>
      </c>
      <c r="AD2371">
        <v>1.91370119829867</v>
      </c>
      <c r="AE2371">
        <v>0.68003717721875201</v>
      </c>
      <c r="AF2371">
        <v>1191.4761904761899</v>
      </c>
      <c r="AG2371">
        <f>IFERROR(AH2371*0.1, "N/A")</f>
        <v>5.6834215167548505</v>
      </c>
      <c r="AH2371">
        <v>56.8342151675485</v>
      </c>
      <c r="AI2371">
        <v>277.51916778403</v>
      </c>
      <c r="AJ2371">
        <v>32.668430335097</v>
      </c>
      <c r="AK2371">
        <v>53.737213403880098</v>
      </c>
    </row>
    <row r="2372" spans="1:37" x14ac:dyDescent="0.3">
      <c r="A2372">
        <v>2371</v>
      </c>
      <c r="B2372">
        <v>61.700001</v>
      </c>
      <c r="C2372">
        <v>32.946097999999999</v>
      </c>
      <c r="D2372">
        <v>-1.9758899999999999</v>
      </c>
      <c r="E2372" t="s">
        <v>4126</v>
      </c>
      <c r="F2372" t="s">
        <v>4128</v>
      </c>
      <c r="G2372" t="s">
        <v>37</v>
      </c>
      <c r="H2372">
        <v>1959</v>
      </c>
      <c r="I2372">
        <v>22.285713740757501</v>
      </c>
      <c r="J2372">
        <v>9.8999996185302699</v>
      </c>
      <c r="K2372">
        <v>79</v>
      </c>
      <c r="L2372">
        <v>4.8828571864536796</v>
      </c>
      <c r="M2372">
        <v>28.085714612688299</v>
      </c>
      <c r="N2372">
        <v>15.6000003814697</v>
      </c>
      <c r="O2372">
        <v>12.4857142312186</v>
      </c>
      <c r="P2372">
        <v>22.585714612688299</v>
      </c>
      <c r="Q2372">
        <v>21.600000381469702</v>
      </c>
      <c r="R2372">
        <v>22.785713740757501</v>
      </c>
      <c r="S2372">
        <v>21.600000381469702</v>
      </c>
      <c r="T2372">
        <v>1505.57142857143</v>
      </c>
      <c r="U2372">
        <v>247.28571428571399</v>
      </c>
      <c r="V2372">
        <v>26</v>
      </c>
      <c r="W2372">
        <v>54</v>
      </c>
      <c r="X2372">
        <v>590.71428571428601</v>
      </c>
      <c r="Y2372">
        <v>108.28571428571399</v>
      </c>
      <c r="Z2372">
        <v>354.142857142857</v>
      </c>
      <c r="AA2372">
        <v>108.28571428571399</v>
      </c>
      <c r="AB2372">
        <v>52.227000833608898</v>
      </c>
      <c r="AC2372">
        <v>9.7632895682070002E-3</v>
      </c>
      <c r="AD2372">
        <v>1.91370119829867</v>
      </c>
      <c r="AE2372">
        <v>0.68003717721875201</v>
      </c>
      <c r="AF2372">
        <v>1191.4761904761899</v>
      </c>
      <c r="AG2372">
        <f>IFERROR(AH2372*0.1, "N/A")</f>
        <v>5.6834215167548505</v>
      </c>
      <c r="AH2372">
        <v>56.8342151675485</v>
      </c>
      <c r="AI2372">
        <v>277.51916778403</v>
      </c>
      <c r="AJ2372">
        <v>32.668430335097</v>
      </c>
      <c r="AK2372">
        <v>53.737213403880098</v>
      </c>
    </row>
    <row r="2373" spans="1:37" x14ac:dyDescent="0.3">
      <c r="A2373">
        <v>2372</v>
      </c>
      <c r="B2373">
        <v>10</v>
      </c>
      <c r="C2373">
        <v>34.343601</v>
      </c>
      <c r="D2373">
        <v>-1.9917</v>
      </c>
      <c r="E2373" t="s">
        <v>4129</v>
      </c>
      <c r="F2373" t="s">
        <v>4130</v>
      </c>
      <c r="G2373" t="s">
        <v>39</v>
      </c>
      <c r="H2373">
        <v>1959</v>
      </c>
      <c r="I2373">
        <v>22.079298548112799</v>
      </c>
      <c r="J2373">
        <v>11.300000190734901</v>
      </c>
      <c r="K2373">
        <v>80.396491228070204</v>
      </c>
      <c r="L2373">
        <v>5.9267370558621604</v>
      </c>
      <c r="M2373">
        <v>29.039649274056401</v>
      </c>
      <c r="N2373">
        <v>15.079298169989301</v>
      </c>
      <c r="O2373">
        <v>13.9603507259436</v>
      </c>
      <c r="P2373">
        <v>22.579298548112799</v>
      </c>
      <c r="Q2373">
        <v>21.179298173335599</v>
      </c>
      <c r="R2373">
        <v>22.579298548112799</v>
      </c>
      <c r="S2373">
        <v>21.179298173335599</v>
      </c>
      <c r="T2373">
        <v>929.82807017543905</v>
      </c>
      <c r="U2373">
        <v>158.60350877193</v>
      </c>
      <c r="V2373">
        <v>15</v>
      </c>
      <c r="W2373">
        <v>51</v>
      </c>
      <c r="X2373">
        <v>372.20701754385999</v>
      </c>
      <c r="Y2373">
        <v>85.603508771929796</v>
      </c>
      <c r="Z2373">
        <v>290.20701754385999</v>
      </c>
      <c r="AA2373">
        <v>85.603508771929796</v>
      </c>
      <c r="AB2373">
        <v>9.8496089466831105</v>
      </c>
      <c r="AC2373">
        <v>6.3231602833982006E-2</v>
      </c>
      <c r="AD2373">
        <v>1.8588423653652799</v>
      </c>
      <c r="AE2373">
        <v>0.45655474066734297</v>
      </c>
      <c r="AF2373">
        <v>1259.69649122807</v>
      </c>
      <c r="AG2373">
        <f>IFERROR(AH2373*0.1, "N/A")</f>
        <v>6.2612280701754406</v>
      </c>
      <c r="AH2373">
        <v>62.612280701754401</v>
      </c>
      <c r="AI2373">
        <v>310.04954175447199</v>
      </c>
      <c r="AJ2373">
        <v>22.6035087719298</v>
      </c>
      <c r="AK2373">
        <v>63.180701754386</v>
      </c>
    </row>
    <row r="2374" spans="1:37" x14ac:dyDescent="0.3">
      <c r="A2374">
        <v>2373</v>
      </c>
      <c r="B2374">
        <v>0</v>
      </c>
      <c r="C2374">
        <v>34.343601</v>
      </c>
      <c r="D2374">
        <v>-1.9917</v>
      </c>
      <c r="E2374" t="s">
        <v>4129</v>
      </c>
      <c r="F2374" t="s">
        <v>4131</v>
      </c>
      <c r="G2374" t="s">
        <v>37</v>
      </c>
      <c r="H2374">
        <v>1959</v>
      </c>
      <c r="I2374">
        <v>22.079298548112799</v>
      </c>
      <c r="J2374">
        <v>11.300000190734901</v>
      </c>
      <c r="K2374">
        <v>80.396491228070204</v>
      </c>
      <c r="L2374">
        <v>5.9267370558621604</v>
      </c>
      <c r="M2374">
        <v>29.039649274056401</v>
      </c>
      <c r="N2374">
        <v>15.079298169989301</v>
      </c>
      <c r="O2374">
        <v>13.9603507259436</v>
      </c>
      <c r="P2374">
        <v>22.579298548112799</v>
      </c>
      <c r="Q2374">
        <v>21.179298173335599</v>
      </c>
      <c r="R2374">
        <v>22.579298548112799</v>
      </c>
      <c r="S2374">
        <v>21.179298173335599</v>
      </c>
      <c r="T2374">
        <v>929.82807017543905</v>
      </c>
      <c r="U2374">
        <v>158.60350877193</v>
      </c>
      <c r="V2374">
        <v>15</v>
      </c>
      <c r="W2374">
        <v>51</v>
      </c>
      <c r="X2374">
        <v>372.20701754385999</v>
      </c>
      <c r="Y2374">
        <v>85.603508771929796</v>
      </c>
      <c r="Z2374">
        <v>290.20701754385999</v>
      </c>
      <c r="AA2374">
        <v>85.603508771929796</v>
      </c>
      <c r="AB2374">
        <v>9.8496089466831105</v>
      </c>
      <c r="AC2374">
        <v>6.3231602833982006E-2</v>
      </c>
      <c r="AD2374">
        <v>1.8588423653652799</v>
      </c>
      <c r="AE2374">
        <v>0.45655474066734297</v>
      </c>
      <c r="AF2374">
        <v>1259.69649122807</v>
      </c>
      <c r="AG2374">
        <f>IFERROR(AH2374*0.1, "N/A")</f>
        <v>6.2612280701754406</v>
      </c>
      <c r="AH2374">
        <v>62.612280701754401</v>
      </c>
      <c r="AI2374">
        <v>310.04954175447199</v>
      </c>
      <c r="AJ2374">
        <v>22.6035087719298</v>
      </c>
      <c r="AK2374">
        <v>63.180701754386</v>
      </c>
    </row>
    <row r="2375" spans="1:37" x14ac:dyDescent="0.3">
      <c r="A2375">
        <v>2374</v>
      </c>
      <c r="B2375">
        <v>13.3</v>
      </c>
      <c r="C2375">
        <v>32.941898000000002</v>
      </c>
      <c r="D2375">
        <v>-2.0507300000000002</v>
      </c>
      <c r="E2375" t="s">
        <v>4132</v>
      </c>
      <c r="F2375" t="s">
        <v>4133</v>
      </c>
      <c r="G2375" t="s">
        <v>39</v>
      </c>
      <c r="H2375">
        <v>1959</v>
      </c>
      <c r="I2375">
        <v>22.202822589369699</v>
      </c>
      <c r="J2375">
        <v>9.8999996185302699</v>
      </c>
      <c r="K2375">
        <v>79</v>
      </c>
      <c r="L2375">
        <v>4.7467901332458302</v>
      </c>
      <c r="M2375">
        <v>27.9047615414574</v>
      </c>
      <c r="N2375">
        <v>15.4047615414574</v>
      </c>
      <c r="O2375">
        <v>12.5</v>
      </c>
      <c r="P2375">
        <v>22.4028214987834</v>
      </c>
      <c r="Q2375">
        <v>21.504761922927099</v>
      </c>
      <c r="R2375">
        <v>22.702822589369699</v>
      </c>
      <c r="S2375">
        <v>21.504761922927099</v>
      </c>
      <c r="T2375">
        <v>1442.83245149912</v>
      </c>
      <c r="U2375">
        <v>236.94356261022901</v>
      </c>
      <c r="V2375">
        <v>21.9717813051146</v>
      </c>
      <c r="W2375">
        <v>56</v>
      </c>
      <c r="X2375">
        <v>564.88712522045898</v>
      </c>
      <c r="Y2375">
        <v>92.991181657848301</v>
      </c>
      <c r="Z2375">
        <v>351.95238095238102</v>
      </c>
      <c r="AA2375">
        <v>92.991181657848301</v>
      </c>
      <c r="AB2375">
        <v>45.866656375730301</v>
      </c>
      <c r="AC2375">
        <v>1.1962501289458E-2</v>
      </c>
      <c r="AD2375">
        <v>2.2573084674604802</v>
      </c>
      <c r="AE2375">
        <v>0.71418750286102295</v>
      </c>
      <c r="AF2375">
        <v>1211.8253968254</v>
      </c>
      <c r="AG2375">
        <f>IFERROR(AH2375*0.1, "N/A")</f>
        <v>5.6589065255731903</v>
      </c>
      <c r="AH2375">
        <v>56.589065255731903</v>
      </c>
      <c r="AI2375">
        <v>156.36464369570299</v>
      </c>
      <c r="AJ2375">
        <v>25.615520282186999</v>
      </c>
      <c r="AK2375">
        <v>58.823633156966501</v>
      </c>
    </row>
    <row r="2376" spans="1:37" x14ac:dyDescent="0.3">
      <c r="A2376">
        <v>2375</v>
      </c>
      <c r="B2376">
        <v>33.299999</v>
      </c>
      <c r="C2376">
        <v>32.941898000000002</v>
      </c>
      <c r="D2376">
        <v>-2.0507300000000002</v>
      </c>
      <c r="E2376" t="s">
        <v>4132</v>
      </c>
      <c r="F2376" t="s">
        <v>4134</v>
      </c>
      <c r="G2376" t="s">
        <v>37</v>
      </c>
      <c r="H2376">
        <v>1959</v>
      </c>
      <c r="I2376">
        <v>22.202822589369699</v>
      </c>
      <c r="J2376">
        <v>9.8999996185302699</v>
      </c>
      <c r="K2376">
        <v>79</v>
      </c>
      <c r="L2376">
        <v>4.7467901332458302</v>
      </c>
      <c r="M2376">
        <v>27.9047615414574</v>
      </c>
      <c r="N2376">
        <v>15.4047615414574</v>
      </c>
      <c r="O2376">
        <v>12.5</v>
      </c>
      <c r="P2376">
        <v>22.4028214987834</v>
      </c>
      <c r="Q2376">
        <v>21.504761922927099</v>
      </c>
      <c r="R2376">
        <v>22.702822589369699</v>
      </c>
      <c r="S2376">
        <v>21.504761922927099</v>
      </c>
      <c r="T2376">
        <v>1442.83245149912</v>
      </c>
      <c r="U2376">
        <v>236.94356261022901</v>
      </c>
      <c r="V2376">
        <v>21.9717813051146</v>
      </c>
      <c r="W2376">
        <v>56</v>
      </c>
      <c r="X2376">
        <v>564.88712522045898</v>
      </c>
      <c r="Y2376">
        <v>92.991181657848301</v>
      </c>
      <c r="Z2376">
        <v>351.95238095238102</v>
      </c>
      <c r="AA2376">
        <v>92.991181657848301</v>
      </c>
      <c r="AB2376">
        <v>45.866656375730301</v>
      </c>
      <c r="AC2376">
        <v>1.1962501289458E-2</v>
      </c>
      <c r="AD2376">
        <v>2.2573084674604802</v>
      </c>
      <c r="AE2376">
        <v>0.71418750286102295</v>
      </c>
      <c r="AF2376">
        <v>1211.8253968254</v>
      </c>
      <c r="AG2376">
        <f>IFERROR(AH2376*0.1, "N/A")</f>
        <v>5.6589065255731903</v>
      </c>
      <c r="AH2376">
        <v>56.589065255731903</v>
      </c>
      <c r="AI2376">
        <v>156.36464369570299</v>
      </c>
      <c r="AJ2376">
        <v>25.615520282186999</v>
      </c>
      <c r="AK2376">
        <v>58.823633156966501</v>
      </c>
    </row>
    <row r="2377" spans="1:37" x14ac:dyDescent="0.3">
      <c r="A2377">
        <v>2376</v>
      </c>
      <c r="B2377">
        <v>1.7</v>
      </c>
      <c r="C2377">
        <v>33.006000999999998</v>
      </c>
      <c r="D2377">
        <v>-2.0885600000000002</v>
      </c>
      <c r="E2377" t="s">
        <v>4135</v>
      </c>
      <c r="F2377" t="s">
        <v>4136</v>
      </c>
      <c r="G2377" t="s">
        <v>39</v>
      </c>
      <c r="H2377">
        <v>1959</v>
      </c>
      <c r="I2377">
        <v>22.100000381469702</v>
      </c>
      <c r="J2377">
        <v>10</v>
      </c>
      <c r="K2377">
        <v>78</v>
      </c>
      <c r="L2377">
        <v>4.8099999427795401</v>
      </c>
      <c r="M2377">
        <v>28</v>
      </c>
      <c r="N2377">
        <v>15.300000190734901</v>
      </c>
      <c r="O2377">
        <v>12.699999809265099</v>
      </c>
      <c r="P2377">
        <v>22.299999237060501</v>
      </c>
      <c r="Q2377">
        <v>21.5</v>
      </c>
      <c r="R2377">
        <v>22.600000381469702</v>
      </c>
      <c r="S2377">
        <v>21.5</v>
      </c>
      <c r="T2377">
        <v>1398</v>
      </c>
      <c r="U2377">
        <v>229</v>
      </c>
      <c r="V2377">
        <v>19</v>
      </c>
      <c r="W2377">
        <v>58</v>
      </c>
      <c r="X2377">
        <v>548</v>
      </c>
      <c r="Y2377">
        <v>83</v>
      </c>
      <c r="Z2377">
        <v>342</v>
      </c>
      <c r="AA2377">
        <v>83</v>
      </c>
      <c r="AB2377">
        <v>24.234719504772801</v>
      </c>
      <c r="AC2377">
        <v>3.1356847025192001E-2</v>
      </c>
      <c r="AD2377">
        <v>4.3866907517674898</v>
      </c>
      <c r="AE2377">
        <v>0.71641784906387296</v>
      </c>
      <c r="AF2377">
        <v>1212.62323943662</v>
      </c>
      <c r="AG2377">
        <f>IFERROR(AH2377*0.1, "N/A")</f>
        <v>5.8093309859154907</v>
      </c>
      <c r="AH2377">
        <v>58.0933098591549</v>
      </c>
      <c r="AI2377">
        <v>220.07304159352501</v>
      </c>
      <c r="AJ2377">
        <v>29.674295774647899</v>
      </c>
      <c r="AK2377">
        <v>54.927816901408498</v>
      </c>
    </row>
    <row r="2378" spans="1:37" x14ac:dyDescent="0.3">
      <c r="A2378">
        <v>2377</v>
      </c>
      <c r="B2378">
        <v>45</v>
      </c>
      <c r="C2378">
        <v>33.006000999999998</v>
      </c>
      <c r="D2378">
        <v>-2.0885600000000002</v>
      </c>
      <c r="E2378" t="s">
        <v>4135</v>
      </c>
      <c r="F2378" t="s">
        <v>4137</v>
      </c>
      <c r="G2378" t="s">
        <v>37</v>
      </c>
      <c r="H2378">
        <v>1959</v>
      </c>
      <c r="I2378">
        <v>22.100000381469702</v>
      </c>
      <c r="J2378">
        <v>10</v>
      </c>
      <c r="K2378">
        <v>78</v>
      </c>
      <c r="L2378">
        <v>4.8099999427795401</v>
      </c>
      <c r="M2378">
        <v>28</v>
      </c>
      <c r="N2378">
        <v>15.300000190734901</v>
      </c>
      <c r="O2378">
        <v>12.699999809265099</v>
      </c>
      <c r="P2378">
        <v>22.299999237060501</v>
      </c>
      <c r="Q2378">
        <v>21.5</v>
      </c>
      <c r="R2378">
        <v>22.600000381469702</v>
      </c>
      <c r="S2378">
        <v>21.5</v>
      </c>
      <c r="T2378">
        <v>1398</v>
      </c>
      <c r="U2378">
        <v>229</v>
      </c>
      <c r="V2378">
        <v>19</v>
      </c>
      <c r="W2378">
        <v>58</v>
      </c>
      <c r="X2378">
        <v>548</v>
      </c>
      <c r="Y2378">
        <v>83</v>
      </c>
      <c r="Z2378">
        <v>342</v>
      </c>
      <c r="AA2378">
        <v>83</v>
      </c>
      <c r="AB2378">
        <v>24.234719504772801</v>
      </c>
      <c r="AC2378">
        <v>3.1356847025192001E-2</v>
      </c>
      <c r="AD2378">
        <v>4.3866907517674898</v>
      </c>
      <c r="AE2378">
        <v>0.71641784906387296</v>
      </c>
      <c r="AF2378">
        <v>1212.62323943662</v>
      </c>
      <c r="AG2378">
        <f>IFERROR(AH2378*0.1, "N/A")</f>
        <v>5.8093309859154907</v>
      </c>
      <c r="AH2378">
        <v>58.0933098591549</v>
      </c>
      <c r="AI2378">
        <v>220.07304159352501</v>
      </c>
      <c r="AJ2378">
        <v>29.674295774647899</v>
      </c>
      <c r="AK2378">
        <v>54.927816901408498</v>
      </c>
    </row>
    <row r="2379" spans="1:37" x14ac:dyDescent="0.3">
      <c r="A2379">
        <v>2378</v>
      </c>
      <c r="B2379">
        <v>25</v>
      </c>
      <c r="C2379">
        <v>32.063000000000002</v>
      </c>
      <c r="D2379">
        <v>-2.3973399999999998</v>
      </c>
      <c r="E2379" t="s">
        <v>4138</v>
      </c>
      <c r="F2379" t="s">
        <v>4139</v>
      </c>
      <c r="G2379" t="s">
        <v>39</v>
      </c>
      <c r="H2379">
        <v>1959</v>
      </c>
      <c r="I2379">
        <v>22.100000381469702</v>
      </c>
      <c r="J2379">
        <v>10.300000190734901</v>
      </c>
      <c r="K2379">
        <v>80</v>
      </c>
      <c r="L2379">
        <v>4.1300001144409197</v>
      </c>
      <c r="M2379">
        <v>28.200000762939499</v>
      </c>
      <c r="N2379">
        <v>15.3999996185303</v>
      </c>
      <c r="O2379">
        <v>12.800000190734901</v>
      </c>
      <c r="P2379">
        <v>22.100000381469702</v>
      </c>
      <c r="Q2379">
        <v>21.5</v>
      </c>
      <c r="R2379">
        <v>22.5</v>
      </c>
      <c r="S2379">
        <v>21.5</v>
      </c>
      <c r="T2379">
        <v>1175</v>
      </c>
      <c r="U2379">
        <v>196</v>
      </c>
      <c r="V2379">
        <v>7</v>
      </c>
      <c r="W2379">
        <v>62</v>
      </c>
      <c r="X2379">
        <v>459</v>
      </c>
      <c r="Y2379">
        <v>38</v>
      </c>
      <c r="Z2379">
        <v>366</v>
      </c>
      <c r="AA2379">
        <v>38</v>
      </c>
      <c r="AB2379">
        <v>17.853850618661799</v>
      </c>
      <c r="AC2379">
        <v>0.18433618951897701</v>
      </c>
      <c r="AD2379">
        <v>2.1765979883742301</v>
      </c>
      <c r="AE2379">
        <v>0.50653567568545199</v>
      </c>
      <c r="AF2379">
        <v>1152.92592592593</v>
      </c>
      <c r="AG2379">
        <f>IFERROR(AH2379*0.1, "N/A")</f>
        <v>5.82786596119929</v>
      </c>
      <c r="AH2379">
        <v>58.2786596119929</v>
      </c>
      <c r="AI2379">
        <v>116.11220981120201</v>
      </c>
      <c r="AJ2379">
        <v>34.855379188712497</v>
      </c>
      <c r="AK2379">
        <v>46.938271604938301</v>
      </c>
    </row>
    <row r="2380" spans="1:37" x14ac:dyDescent="0.3">
      <c r="A2380">
        <v>2379</v>
      </c>
      <c r="B2380">
        <v>63.299999</v>
      </c>
      <c r="C2380">
        <v>32.063000000000002</v>
      </c>
      <c r="D2380">
        <v>-2.3973399999999998</v>
      </c>
      <c r="E2380" t="s">
        <v>4138</v>
      </c>
      <c r="F2380" t="s">
        <v>4140</v>
      </c>
      <c r="G2380" t="s">
        <v>37</v>
      </c>
      <c r="H2380">
        <v>1959</v>
      </c>
      <c r="I2380">
        <v>22.100000381469702</v>
      </c>
      <c r="J2380">
        <v>10.300000190734901</v>
      </c>
      <c r="K2380">
        <v>80</v>
      </c>
      <c r="L2380">
        <v>4.1300001144409197</v>
      </c>
      <c r="M2380">
        <v>28.200000762939499</v>
      </c>
      <c r="N2380">
        <v>15.3999996185303</v>
      </c>
      <c r="O2380">
        <v>12.800000190734901</v>
      </c>
      <c r="P2380">
        <v>22.100000381469702</v>
      </c>
      <c r="Q2380">
        <v>21.5</v>
      </c>
      <c r="R2380">
        <v>22.5</v>
      </c>
      <c r="S2380">
        <v>21.5</v>
      </c>
      <c r="T2380">
        <v>1175</v>
      </c>
      <c r="U2380">
        <v>196</v>
      </c>
      <c r="V2380">
        <v>7</v>
      </c>
      <c r="W2380">
        <v>62</v>
      </c>
      <c r="X2380">
        <v>459</v>
      </c>
      <c r="Y2380">
        <v>38</v>
      </c>
      <c r="Z2380">
        <v>366</v>
      </c>
      <c r="AA2380">
        <v>38</v>
      </c>
      <c r="AB2380">
        <v>17.853850618661799</v>
      </c>
      <c r="AC2380">
        <v>0.18433618951897701</v>
      </c>
      <c r="AD2380">
        <v>2.1765979883742301</v>
      </c>
      <c r="AE2380">
        <v>0.50653567568545199</v>
      </c>
      <c r="AF2380">
        <v>1152.92592592593</v>
      </c>
      <c r="AG2380">
        <f>IFERROR(AH2380*0.1, "N/A")</f>
        <v>5.82786596119929</v>
      </c>
      <c r="AH2380">
        <v>58.2786596119929</v>
      </c>
      <c r="AI2380">
        <v>116.11220981120201</v>
      </c>
      <c r="AJ2380">
        <v>34.855379188712497</v>
      </c>
      <c r="AK2380">
        <v>46.938271604938301</v>
      </c>
    </row>
    <row r="2381" spans="1:37" x14ac:dyDescent="0.3">
      <c r="A2381">
        <v>2380</v>
      </c>
      <c r="B2381">
        <v>65.300003000000004</v>
      </c>
      <c r="C2381">
        <v>32.732498</v>
      </c>
      <c r="D2381">
        <v>-2.5831</v>
      </c>
      <c r="E2381" t="s">
        <v>4141</v>
      </c>
      <c r="F2381" t="s">
        <v>4142</v>
      </c>
      <c r="G2381" t="s">
        <v>39</v>
      </c>
      <c r="H2381">
        <v>1959</v>
      </c>
      <c r="I2381">
        <v>22.5873242767764</v>
      </c>
      <c r="J2381">
        <v>10.5</v>
      </c>
      <c r="K2381">
        <v>75</v>
      </c>
      <c r="L2381">
        <v>5.2747887087539898</v>
      </c>
      <c r="M2381">
        <v>29</v>
      </c>
      <c r="N2381">
        <v>15.1000003814697</v>
      </c>
      <c r="O2381">
        <v>13.8999996185303</v>
      </c>
      <c r="P2381">
        <v>22.6126764861631</v>
      </c>
      <c r="Q2381">
        <v>21.8873235138369</v>
      </c>
      <c r="R2381">
        <v>23.187324658246101</v>
      </c>
      <c r="S2381">
        <v>21.8873235138369</v>
      </c>
      <c r="T2381">
        <v>1077.74647887324</v>
      </c>
      <c r="U2381">
        <v>176.87323943662</v>
      </c>
      <c r="V2381">
        <v>8</v>
      </c>
      <c r="W2381">
        <v>64</v>
      </c>
      <c r="X2381">
        <v>425.87323943662</v>
      </c>
      <c r="Y2381">
        <v>40.873239436619698</v>
      </c>
      <c r="Z2381">
        <v>299</v>
      </c>
      <c r="AA2381">
        <v>40.873239436619698</v>
      </c>
      <c r="AB2381">
        <v>9.9234318263094199</v>
      </c>
      <c r="AC2381">
        <v>2.1077722625833E-2</v>
      </c>
      <c r="AD2381">
        <v>1.8450898689703199</v>
      </c>
      <c r="AE2381">
        <v>0.65213954448699996</v>
      </c>
      <c r="AF2381">
        <v>1168.74647887324</v>
      </c>
      <c r="AG2381">
        <f>IFERROR(AH2381*0.1, "N/A")</f>
        <v>6.1000000000000005</v>
      </c>
      <c r="AH2381">
        <v>61</v>
      </c>
      <c r="AI2381">
        <v>133.33102852357899</v>
      </c>
      <c r="AJ2381">
        <v>14</v>
      </c>
      <c r="AK2381">
        <v>75</v>
      </c>
    </row>
    <row r="2382" spans="1:37" x14ac:dyDescent="0.3">
      <c r="A2382">
        <v>2381</v>
      </c>
      <c r="B2382">
        <v>8</v>
      </c>
      <c r="C2382">
        <v>32.732498</v>
      </c>
      <c r="D2382">
        <v>-2.5831</v>
      </c>
      <c r="E2382" t="s">
        <v>4141</v>
      </c>
      <c r="F2382" t="s">
        <v>4143</v>
      </c>
      <c r="G2382" t="s">
        <v>37</v>
      </c>
      <c r="H2382">
        <v>1959</v>
      </c>
      <c r="I2382">
        <v>22.5873242767764</v>
      </c>
      <c r="J2382">
        <v>10.5</v>
      </c>
      <c r="K2382">
        <v>75</v>
      </c>
      <c r="L2382">
        <v>5.2747887087539898</v>
      </c>
      <c r="M2382">
        <v>29</v>
      </c>
      <c r="N2382">
        <v>15.1000003814697</v>
      </c>
      <c r="O2382">
        <v>13.8999996185303</v>
      </c>
      <c r="P2382">
        <v>22.6126764861631</v>
      </c>
      <c r="Q2382">
        <v>21.8873235138369</v>
      </c>
      <c r="R2382">
        <v>23.187324658246101</v>
      </c>
      <c r="S2382">
        <v>21.8873235138369</v>
      </c>
      <c r="T2382">
        <v>1077.74647887324</v>
      </c>
      <c r="U2382">
        <v>176.87323943662</v>
      </c>
      <c r="V2382">
        <v>8</v>
      </c>
      <c r="W2382">
        <v>64</v>
      </c>
      <c r="X2382">
        <v>425.87323943662</v>
      </c>
      <c r="Y2382">
        <v>40.873239436619698</v>
      </c>
      <c r="Z2382">
        <v>299</v>
      </c>
      <c r="AA2382">
        <v>40.873239436619698</v>
      </c>
      <c r="AB2382">
        <v>9.9234318263094199</v>
      </c>
      <c r="AC2382">
        <v>2.1077722625833E-2</v>
      </c>
      <c r="AD2382">
        <v>1.8450898689703199</v>
      </c>
      <c r="AE2382">
        <v>0.65213954448699996</v>
      </c>
      <c r="AF2382">
        <v>1168.74647887324</v>
      </c>
      <c r="AG2382">
        <f>IFERROR(AH2382*0.1, "N/A")</f>
        <v>6.1000000000000005</v>
      </c>
      <c r="AH2382">
        <v>61</v>
      </c>
      <c r="AI2382">
        <v>133.33102852357899</v>
      </c>
      <c r="AJ2382">
        <v>14</v>
      </c>
      <c r="AK2382">
        <v>75</v>
      </c>
    </row>
    <row r="2383" spans="1:37" x14ac:dyDescent="0.3">
      <c r="A2383">
        <v>2382</v>
      </c>
      <c r="B2383">
        <v>4</v>
      </c>
      <c r="C2383">
        <v>31.326899999999998</v>
      </c>
      <c r="D2383">
        <v>-2.6551</v>
      </c>
      <c r="E2383" t="s">
        <v>4144</v>
      </c>
      <c r="F2383" t="s">
        <v>4145</v>
      </c>
      <c r="G2383" t="s">
        <v>39</v>
      </c>
      <c r="H2383">
        <v>1959</v>
      </c>
      <c r="I2383">
        <v>21</v>
      </c>
      <c r="J2383">
        <v>10</v>
      </c>
      <c r="K2383">
        <v>84</v>
      </c>
      <c r="L2383">
        <v>3.6099998950958301</v>
      </c>
      <c r="M2383">
        <v>27</v>
      </c>
      <c r="N2383">
        <v>15.199999809265099</v>
      </c>
      <c r="O2383">
        <v>11.800000190734901</v>
      </c>
      <c r="P2383">
        <v>20.899999618530298</v>
      </c>
      <c r="Q2383">
        <v>20.700000762939499</v>
      </c>
      <c r="R2383">
        <v>21.399999618530298</v>
      </c>
      <c r="S2383">
        <v>20.600000381469702</v>
      </c>
      <c r="T2383">
        <v>988</v>
      </c>
      <c r="U2383">
        <v>177</v>
      </c>
      <c r="V2383">
        <v>2</v>
      </c>
      <c r="W2383">
        <v>66</v>
      </c>
      <c r="X2383">
        <v>427</v>
      </c>
      <c r="Y2383">
        <v>22</v>
      </c>
      <c r="Z2383">
        <v>251</v>
      </c>
      <c r="AA2383">
        <v>270</v>
      </c>
      <c r="AB2383">
        <v>20.7527496927861</v>
      </c>
      <c r="AC2383">
        <v>6.9451557082797002E-2</v>
      </c>
      <c r="AD2383">
        <v>4.0361289538063296</v>
      </c>
      <c r="AE2383">
        <v>0.50784361362457298</v>
      </c>
      <c r="AF2383">
        <v>1444.08084358524</v>
      </c>
      <c r="AG2383">
        <f>IFERROR(AH2383*0.1, "N/A")</f>
        <v>5.6629173989455204</v>
      </c>
      <c r="AH2383">
        <v>56.629173989455197</v>
      </c>
      <c r="AI2383">
        <v>198.881630144974</v>
      </c>
      <c r="AJ2383">
        <v>23.151142355008801</v>
      </c>
      <c r="AK2383">
        <v>61.233743409490302</v>
      </c>
    </row>
    <row r="2384" spans="1:37" x14ac:dyDescent="0.3">
      <c r="A2384">
        <v>2383</v>
      </c>
      <c r="B2384">
        <v>0</v>
      </c>
      <c r="C2384">
        <v>31.326899999999998</v>
      </c>
      <c r="D2384">
        <v>-2.6551</v>
      </c>
      <c r="E2384" t="s">
        <v>4144</v>
      </c>
      <c r="F2384" t="s">
        <v>4146</v>
      </c>
      <c r="G2384" t="s">
        <v>37</v>
      </c>
      <c r="H2384">
        <v>1959</v>
      </c>
      <c r="I2384">
        <v>21</v>
      </c>
      <c r="J2384">
        <v>10</v>
      </c>
      <c r="K2384">
        <v>84</v>
      </c>
      <c r="L2384">
        <v>3.6099998950958301</v>
      </c>
      <c r="M2384">
        <v>27</v>
      </c>
      <c r="N2384">
        <v>15.199999809265099</v>
      </c>
      <c r="O2384">
        <v>11.800000190734901</v>
      </c>
      <c r="P2384">
        <v>20.899999618530298</v>
      </c>
      <c r="Q2384">
        <v>20.700000762939499</v>
      </c>
      <c r="R2384">
        <v>21.399999618530298</v>
      </c>
      <c r="S2384">
        <v>20.600000381469702</v>
      </c>
      <c r="T2384">
        <v>988</v>
      </c>
      <c r="U2384">
        <v>177</v>
      </c>
      <c r="V2384">
        <v>2</v>
      </c>
      <c r="W2384">
        <v>66</v>
      </c>
      <c r="X2384">
        <v>427</v>
      </c>
      <c r="Y2384">
        <v>22</v>
      </c>
      <c r="Z2384">
        <v>251</v>
      </c>
      <c r="AA2384">
        <v>270</v>
      </c>
      <c r="AB2384">
        <v>20.7527496927861</v>
      </c>
      <c r="AC2384">
        <v>6.9451557082797002E-2</v>
      </c>
      <c r="AD2384">
        <v>4.0361289538063296</v>
      </c>
      <c r="AE2384">
        <v>0.50784361362457298</v>
      </c>
      <c r="AF2384">
        <v>1444.08084358524</v>
      </c>
      <c r="AG2384">
        <f>IFERROR(AH2384*0.1, "N/A")</f>
        <v>5.6629173989455204</v>
      </c>
      <c r="AH2384">
        <v>56.629173989455197</v>
      </c>
      <c r="AI2384">
        <v>198.881630144974</v>
      </c>
      <c r="AJ2384">
        <v>23.151142355008801</v>
      </c>
      <c r="AK2384">
        <v>61.233743409490302</v>
      </c>
    </row>
    <row r="2385" spans="1:37" x14ac:dyDescent="0.3">
      <c r="A2385">
        <v>2384</v>
      </c>
      <c r="B2385">
        <v>28</v>
      </c>
      <c r="C2385">
        <v>32.221297999999997</v>
      </c>
      <c r="D2385">
        <v>-2.9281000000000001</v>
      </c>
      <c r="E2385" t="s">
        <v>4147</v>
      </c>
      <c r="F2385" t="s">
        <v>4148</v>
      </c>
      <c r="G2385" t="s">
        <v>39</v>
      </c>
      <c r="H2385">
        <v>1959</v>
      </c>
      <c r="I2385">
        <v>21.700000762939499</v>
      </c>
      <c r="J2385">
        <v>10.699999809265099</v>
      </c>
      <c r="K2385">
        <v>76</v>
      </c>
      <c r="L2385">
        <v>4.9899997711181596</v>
      </c>
      <c r="M2385">
        <v>28.399999618530298</v>
      </c>
      <c r="N2385">
        <v>14.3999996185303</v>
      </c>
      <c r="O2385">
        <v>14</v>
      </c>
      <c r="P2385">
        <v>21.600000381469702</v>
      </c>
      <c r="Q2385">
        <v>21</v>
      </c>
      <c r="R2385">
        <v>22.299999237060501</v>
      </c>
      <c r="S2385">
        <v>21</v>
      </c>
      <c r="T2385">
        <v>1008</v>
      </c>
      <c r="U2385">
        <v>162</v>
      </c>
      <c r="V2385">
        <v>3</v>
      </c>
      <c r="W2385">
        <v>65</v>
      </c>
      <c r="X2385">
        <v>406</v>
      </c>
      <c r="Y2385">
        <v>23</v>
      </c>
      <c r="Z2385">
        <v>265</v>
      </c>
      <c r="AA2385">
        <v>23</v>
      </c>
      <c r="AB2385">
        <v>27.766661846784402</v>
      </c>
      <c r="AC2385">
        <v>2.2940169820179001E-2</v>
      </c>
      <c r="AD2385">
        <v>3.3350614432919801</v>
      </c>
      <c r="AE2385">
        <v>0.64726837091999001</v>
      </c>
      <c r="AF2385">
        <v>1319.3374340948999</v>
      </c>
      <c r="AG2385">
        <f>IFERROR(AH2385*0.1, "N/A")</f>
        <v>5.6678383128295309</v>
      </c>
      <c r="AH2385">
        <v>56.678383128295302</v>
      </c>
      <c r="AI2385">
        <v>245.522814222715</v>
      </c>
      <c r="AJ2385">
        <v>17.115992970122999</v>
      </c>
      <c r="AK2385">
        <v>70.650263620386596</v>
      </c>
    </row>
    <row r="2386" spans="1:37" x14ac:dyDescent="0.3">
      <c r="A2386">
        <v>2385</v>
      </c>
      <c r="B2386">
        <v>4</v>
      </c>
      <c r="C2386">
        <v>32.221297999999997</v>
      </c>
      <c r="D2386">
        <v>-2.9281000000000001</v>
      </c>
      <c r="E2386" t="s">
        <v>4147</v>
      </c>
      <c r="F2386" t="s">
        <v>4149</v>
      </c>
      <c r="G2386" t="s">
        <v>37</v>
      </c>
      <c r="H2386">
        <v>1959</v>
      </c>
      <c r="I2386">
        <v>21.700000762939499</v>
      </c>
      <c r="J2386">
        <v>10.699999809265099</v>
      </c>
      <c r="K2386">
        <v>76</v>
      </c>
      <c r="L2386">
        <v>4.9899997711181596</v>
      </c>
      <c r="M2386">
        <v>28.399999618530298</v>
      </c>
      <c r="N2386">
        <v>14.3999996185303</v>
      </c>
      <c r="O2386">
        <v>14</v>
      </c>
      <c r="P2386">
        <v>21.600000381469702</v>
      </c>
      <c r="Q2386">
        <v>21</v>
      </c>
      <c r="R2386">
        <v>22.299999237060501</v>
      </c>
      <c r="S2386">
        <v>21</v>
      </c>
      <c r="T2386">
        <v>1008</v>
      </c>
      <c r="U2386">
        <v>162</v>
      </c>
      <c r="V2386">
        <v>3</v>
      </c>
      <c r="W2386">
        <v>65</v>
      </c>
      <c r="X2386">
        <v>406</v>
      </c>
      <c r="Y2386">
        <v>23</v>
      </c>
      <c r="Z2386">
        <v>265</v>
      </c>
      <c r="AA2386">
        <v>23</v>
      </c>
      <c r="AB2386">
        <v>27.766661846784402</v>
      </c>
      <c r="AC2386">
        <v>2.2940169820179001E-2</v>
      </c>
      <c r="AD2386">
        <v>3.3350614432919801</v>
      </c>
      <c r="AE2386">
        <v>0.64726837091999001</v>
      </c>
      <c r="AF2386">
        <v>1319.3374340948999</v>
      </c>
      <c r="AG2386">
        <f>IFERROR(AH2386*0.1, "N/A")</f>
        <v>5.6678383128295309</v>
      </c>
      <c r="AH2386">
        <v>56.678383128295302</v>
      </c>
      <c r="AI2386">
        <v>245.522814222715</v>
      </c>
      <c r="AJ2386">
        <v>17.115992970122999</v>
      </c>
      <c r="AK2386">
        <v>70.650263620386596</v>
      </c>
    </row>
    <row r="2387" spans="1:37" x14ac:dyDescent="0.3">
      <c r="A2387">
        <v>2386</v>
      </c>
      <c r="B2387">
        <v>4</v>
      </c>
      <c r="C2387">
        <v>31.664100999999999</v>
      </c>
      <c r="D2387">
        <v>-2.9781</v>
      </c>
      <c r="E2387" t="s">
        <v>4150</v>
      </c>
      <c r="F2387" t="s">
        <v>4151</v>
      </c>
      <c r="G2387" t="s">
        <v>39</v>
      </c>
      <c r="H2387">
        <v>1959</v>
      </c>
      <c r="I2387">
        <v>21.700000762939499</v>
      </c>
      <c r="J2387">
        <v>10.800000190734901</v>
      </c>
      <c r="K2387">
        <v>78</v>
      </c>
      <c r="L2387">
        <v>4.6300001144409197</v>
      </c>
      <c r="M2387">
        <v>28.5</v>
      </c>
      <c r="N2387">
        <v>14.699999809265099</v>
      </c>
      <c r="O2387">
        <v>13.800000190734901</v>
      </c>
      <c r="P2387">
        <v>21.5</v>
      </c>
      <c r="Q2387">
        <v>21.200000762939499</v>
      </c>
      <c r="R2387">
        <v>22.100000381469702</v>
      </c>
      <c r="S2387">
        <v>21.200000762939499</v>
      </c>
      <c r="T2387">
        <v>991</v>
      </c>
      <c r="U2387">
        <v>175</v>
      </c>
      <c r="V2387">
        <v>1</v>
      </c>
      <c r="W2387">
        <v>69</v>
      </c>
      <c r="X2387">
        <v>434</v>
      </c>
      <c r="Y2387">
        <v>17</v>
      </c>
      <c r="Z2387">
        <v>255</v>
      </c>
      <c r="AA2387">
        <v>17</v>
      </c>
      <c r="AB2387">
        <v>26.391332964905502</v>
      </c>
      <c r="AC2387">
        <v>1.7208107616196001E-2</v>
      </c>
      <c r="AD2387">
        <v>1.3731859092762699</v>
      </c>
      <c r="AE2387">
        <v>0.53415989875793501</v>
      </c>
      <c r="AF2387">
        <v>1215.2267135325101</v>
      </c>
      <c r="AG2387">
        <f>IFERROR(AH2387*0.1, "N/A")</f>
        <v>6.0891036906854099</v>
      </c>
      <c r="AH2387">
        <v>60.891036906854097</v>
      </c>
      <c r="AI2387">
        <v>17.5549801254943</v>
      </c>
      <c r="AJ2387">
        <v>20.956063268892802</v>
      </c>
      <c r="AK2387">
        <v>65.797891036906805</v>
      </c>
    </row>
    <row r="2388" spans="1:37" x14ac:dyDescent="0.3">
      <c r="A2388">
        <v>2387</v>
      </c>
      <c r="B2388">
        <v>0</v>
      </c>
      <c r="C2388">
        <v>31.664100999999999</v>
      </c>
      <c r="D2388">
        <v>-2.9781</v>
      </c>
      <c r="E2388" t="s">
        <v>4150</v>
      </c>
      <c r="F2388" t="s">
        <v>4152</v>
      </c>
      <c r="G2388" t="s">
        <v>37</v>
      </c>
      <c r="H2388">
        <v>1959</v>
      </c>
      <c r="I2388">
        <v>21.700000762939499</v>
      </c>
      <c r="J2388">
        <v>10.800000190734901</v>
      </c>
      <c r="K2388">
        <v>78</v>
      </c>
      <c r="L2388">
        <v>4.6300001144409197</v>
      </c>
      <c r="M2388">
        <v>28.5</v>
      </c>
      <c r="N2388">
        <v>14.699999809265099</v>
      </c>
      <c r="O2388">
        <v>13.800000190734901</v>
      </c>
      <c r="P2388">
        <v>21.5</v>
      </c>
      <c r="Q2388">
        <v>21.200000762939499</v>
      </c>
      <c r="R2388">
        <v>22.100000381469702</v>
      </c>
      <c r="S2388">
        <v>21.200000762939499</v>
      </c>
      <c r="T2388">
        <v>991</v>
      </c>
      <c r="U2388">
        <v>175</v>
      </c>
      <c r="V2388">
        <v>1</v>
      </c>
      <c r="W2388">
        <v>69</v>
      </c>
      <c r="X2388">
        <v>434</v>
      </c>
      <c r="Y2388">
        <v>17</v>
      </c>
      <c r="Z2388">
        <v>255</v>
      </c>
      <c r="AA2388">
        <v>17</v>
      </c>
      <c r="AB2388">
        <v>26.391332964905502</v>
      </c>
      <c r="AC2388">
        <v>1.7208107616196001E-2</v>
      </c>
      <c r="AD2388">
        <v>1.3731859092762699</v>
      </c>
      <c r="AE2388">
        <v>0.53415989875793501</v>
      </c>
      <c r="AF2388">
        <v>1215.2267135325101</v>
      </c>
      <c r="AG2388">
        <f>IFERROR(AH2388*0.1, "N/A")</f>
        <v>6.0891036906854099</v>
      </c>
      <c r="AH2388">
        <v>60.891036906854097</v>
      </c>
      <c r="AI2388">
        <v>17.5549801254943</v>
      </c>
      <c r="AJ2388">
        <v>20.956063268892802</v>
      </c>
      <c r="AK2388">
        <v>65.797891036906805</v>
      </c>
    </row>
    <row r="2389" spans="1:37" x14ac:dyDescent="0.3">
      <c r="A2389">
        <v>2388</v>
      </c>
      <c r="B2389">
        <v>75</v>
      </c>
      <c r="C2389">
        <v>33.775700000000001</v>
      </c>
      <c r="D2389">
        <v>-3.1808999999999998</v>
      </c>
      <c r="E2389" t="s">
        <v>4153</v>
      </c>
      <c r="F2389" t="s">
        <v>4154</v>
      </c>
      <c r="G2389" t="s">
        <v>39</v>
      </c>
      <c r="H2389">
        <v>1959</v>
      </c>
      <c r="I2389">
        <v>22.200351638124701</v>
      </c>
      <c r="J2389">
        <v>10.8999996185303</v>
      </c>
      <c r="K2389">
        <v>69.998245614035099</v>
      </c>
      <c r="L2389">
        <v>8.2104035461158098</v>
      </c>
      <c r="M2389">
        <v>30.100351256654999</v>
      </c>
      <c r="N2389">
        <v>14.600175819062301</v>
      </c>
      <c r="O2389">
        <v>15.5001754392657</v>
      </c>
      <c r="P2389">
        <v>22.3001746763263</v>
      </c>
      <c r="Q2389">
        <v>21.200176198859001</v>
      </c>
      <c r="R2389">
        <v>23.3001746763263</v>
      </c>
      <c r="S2389">
        <v>21.200176198859001</v>
      </c>
      <c r="T2389">
        <v>869.991228070175</v>
      </c>
      <c r="U2389">
        <v>142.998245614035</v>
      </c>
      <c r="V2389">
        <v>2</v>
      </c>
      <c r="W2389">
        <v>79</v>
      </c>
      <c r="X2389">
        <v>398.994736842105</v>
      </c>
      <c r="Y2389">
        <v>10</v>
      </c>
      <c r="Z2389">
        <v>166.998245614035</v>
      </c>
      <c r="AA2389">
        <v>10</v>
      </c>
      <c r="AB2389">
        <v>21.2632017972177</v>
      </c>
      <c r="AC2389">
        <v>1.6366122007827E-2</v>
      </c>
      <c r="AD2389">
        <v>2.0671526875412298</v>
      </c>
      <c r="AE2389">
        <v>0.72283740273693198</v>
      </c>
      <c r="AF2389">
        <v>1351.2</v>
      </c>
      <c r="AG2389">
        <f>IFERROR(AH2389*0.1, "N/A")</f>
        <v>6.4</v>
      </c>
      <c r="AH2389">
        <v>64</v>
      </c>
      <c r="AI2389">
        <v>248.49543724729301</v>
      </c>
      <c r="AJ2389">
        <v>24.0070175438597</v>
      </c>
      <c r="AK2389">
        <v>61.994736842105297</v>
      </c>
    </row>
    <row r="2390" spans="1:37" x14ac:dyDescent="0.3">
      <c r="A2390">
        <v>2389</v>
      </c>
      <c r="B2390">
        <v>1.7</v>
      </c>
      <c r="C2390">
        <v>33.775700000000001</v>
      </c>
      <c r="D2390">
        <v>-3.1808999999999998</v>
      </c>
      <c r="E2390" t="s">
        <v>4153</v>
      </c>
      <c r="F2390" t="s">
        <v>4155</v>
      </c>
      <c r="G2390" t="s">
        <v>37</v>
      </c>
      <c r="H2390">
        <v>1959</v>
      </c>
      <c r="I2390">
        <v>22.200351638124701</v>
      </c>
      <c r="J2390">
        <v>10.8999996185303</v>
      </c>
      <c r="K2390">
        <v>69.998245614035099</v>
      </c>
      <c r="L2390">
        <v>8.2104035461158098</v>
      </c>
      <c r="M2390">
        <v>30.100351256654999</v>
      </c>
      <c r="N2390">
        <v>14.600175819062301</v>
      </c>
      <c r="O2390">
        <v>15.5001754392657</v>
      </c>
      <c r="P2390">
        <v>22.3001746763263</v>
      </c>
      <c r="Q2390">
        <v>21.200176198859001</v>
      </c>
      <c r="R2390">
        <v>23.3001746763263</v>
      </c>
      <c r="S2390">
        <v>21.200176198859001</v>
      </c>
      <c r="T2390">
        <v>869.991228070175</v>
      </c>
      <c r="U2390">
        <v>142.998245614035</v>
      </c>
      <c r="V2390">
        <v>2</v>
      </c>
      <c r="W2390">
        <v>79</v>
      </c>
      <c r="X2390">
        <v>398.994736842105</v>
      </c>
      <c r="Y2390">
        <v>10</v>
      </c>
      <c r="Z2390">
        <v>166.998245614035</v>
      </c>
      <c r="AA2390">
        <v>10</v>
      </c>
      <c r="AB2390">
        <v>21.2632017972177</v>
      </c>
      <c r="AC2390">
        <v>1.6366122007827E-2</v>
      </c>
      <c r="AD2390">
        <v>2.0671526875412298</v>
      </c>
      <c r="AE2390">
        <v>0.72283740273693198</v>
      </c>
      <c r="AF2390">
        <v>1351.2</v>
      </c>
      <c r="AG2390">
        <f>IFERROR(AH2390*0.1, "N/A")</f>
        <v>6.4</v>
      </c>
      <c r="AH2390">
        <v>64</v>
      </c>
      <c r="AI2390">
        <v>248.49543724729301</v>
      </c>
      <c r="AJ2390">
        <v>24.0070175438597</v>
      </c>
      <c r="AK2390">
        <v>61.994736842105297</v>
      </c>
    </row>
    <row r="2391" spans="1:37" x14ac:dyDescent="0.3">
      <c r="A2391">
        <v>2390</v>
      </c>
      <c r="B2391">
        <v>48.299999</v>
      </c>
      <c r="C2391">
        <v>33.332802000000001</v>
      </c>
      <c r="D2391">
        <v>-3.23</v>
      </c>
      <c r="E2391" t="s">
        <v>4156</v>
      </c>
      <c r="F2391" t="s">
        <v>4157</v>
      </c>
      <c r="G2391" t="s">
        <v>39</v>
      </c>
      <c r="H2391">
        <v>1959</v>
      </c>
      <c r="I2391">
        <v>23.299999237060501</v>
      </c>
      <c r="J2391">
        <v>11.156942059159899</v>
      </c>
      <c r="K2391">
        <v>69</v>
      </c>
      <c r="L2391">
        <v>8.3280491016032592</v>
      </c>
      <c r="M2391">
        <v>31.356941457792001</v>
      </c>
      <c r="N2391">
        <v>15.300000190734901</v>
      </c>
      <c r="O2391">
        <v>16.056942220731401</v>
      </c>
      <c r="P2391">
        <v>23.200000762939499</v>
      </c>
      <c r="Q2391">
        <v>22.200000762939499</v>
      </c>
      <c r="R2391">
        <v>24.356941457792001</v>
      </c>
      <c r="S2391">
        <v>22.200000762939499</v>
      </c>
      <c r="T2391">
        <v>773.27768014059802</v>
      </c>
      <c r="U2391">
        <v>127.56942003514899</v>
      </c>
      <c r="V2391">
        <v>1</v>
      </c>
      <c r="W2391">
        <v>75</v>
      </c>
      <c r="X2391">
        <v>336.13884007029901</v>
      </c>
      <c r="Y2391">
        <v>11</v>
      </c>
      <c r="Z2391">
        <v>154</v>
      </c>
      <c r="AA2391">
        <v>11</v>
      </c>
      <c r="AB2391">
        <v>11.6842017416795</v>
      </c>
      <c r="AC2391">
        <v>6.3506707508175997E-2</v>
      </c>
      <c r="AD2391">
        <v>1.85250563529338</v>
      </c>
      <c r="AE2391">
        <v>0.64412612760004095</v>
      </c>
      <c r="AF2391">
        <v>1200.8769771529001</v>
      </c>
      <c r="AG2391">
        <f>IFERROR(AH2391*0.1, "N/A")</f>
        <v>6.4615114235500899</v>
      </c>
      <c r="AH2391">
        <v>64.615114235500897</v>
      </c>
      <c r="AI2391">
        <v>195.65305222442601</v>
      </c>
      <c r="AJ2391">
        <v>27.7223198594025</v>
      </c>
      <c r="AK2391">
        <v>56.977152899824297</v>
      </c>
    </row>
    <row r="2392" spans="1:37" x14ac:dyDescent="0.3">
      <c r="A2392">
        <v>2391</v>
      </c>
      <c r="B2392">
        <v>0</v>
      </c>
      <c r="C2392">
        <v>33.332802000000001</v>
      </c>
      <c r="D2392">
        <v>-3.23</v>
      </c>
      <c r="E2392" t="s">
        <v>4156</v>
      </c>
      <c r="F2392" t="s">
        <v>4158</v>
      </c>
      <c r="G2392" t="s">
        <v>37</v>
      </c>
      <c r="H2392">
        <v>1959</v>
      </c>
      <c r="I2392">
        <v>23.299999237060501</v>
      </c>
      <c r="J2392">
        <v>11.156942059159899</v>
      </c>
      <c r="K2392">
        <v>69</v>
      </c>
      <c r="L2392">
        <v>8.3280491016032592</v>
      </c>
      <c r="M2392">
        <v>31.356941457792001</v>
      </c>
      <c r="N2392">
        <v>15.300000190734901</v>
      </c>
      <c r="O2392">
        <v>16.056942220731401</v>
      </c>
      <c r="P2392">
        <v>23.200000762939499</v>
      </c>
      <c r="Q2392">
        <v>22.200000762939499</v>
      </c>
      <c r="R2392">
        <v>24.356941457792001</v>
      </c>
      <c r="S2392">
        <v>22.200000762939499</v>
      </c>
      <c r="T2392">
        <v>773.27768014059802</v>
      </c>
      <c r="U2392">
        <v>127.56942003514899</v>
      </c>
      <c r="V2392">
        <v>1</v>
      </c>
      <c r="W2392">
        <v>75</v>
      </c>
      <c r="X2392">
        <v>336.13884007029901</v>
      </c>
      <c r="Y2392">
        <v>11</v>
      </c>
      <c r="Z2392">
        <v>154</v>
      </c>
      <c r="AA2392">
        <v>11</v>
      </c>
      <c r="AB2392">
        <v>11.6842017416795</v>
      </c>
      <c r="AC2392">
        <v>6.3506707508175997E-2</v>
      </c>
      <c r="AD2392">
        <v>1.85250563529338</v>
      </c>
      <c r="AE2392">
        <v>0.64412612760004095</v>
      </c>
      <c r="AF2392">
        <v>1200.8769771529001</v>
      </c>
      <c r="AG2392">
        <f>IFERROR(AH2392*0.1, "N/A")</f>
        <v>6.4615114235500899</v>
      </c>
      <c r="AH2392">
        <v>64.615114235500897</v>
      </c>
      <c r="AI2392">
        <v>195.65305222442601</v>
      </c>
      <c r="AJ2392">
        <v>27.7223198594025</v>
      </c>
      <c r="AK2392">
        <v>56.977152899824297</v>
      </c>
    </row>
    <row r="2393" spans="1:37" x14ac:dyDescent="0.3">
      <c r="A2393">
        <v>2392</v>
      </c>
      <c r="B2393">
        <v>71.800003000000004</v>
      </c>
      <c r="C2393">
        <v>32.866698999999997</v>
      </c>
      <c r="D2393">
        <v>-3.3166699999999998</v>
      </c>
      <c r="E2393" t="s">
        <v>4159</v>
      </c>
      <c r="F2393" t="s">
        <v>4160</v>
      </c>
      <c r="G2393" t="s">
        <v>39</v>
      </c>
      <c r="H2393">
        <v>1959</v>
      </c>
      <c r="I2393">
        <v>22.981019259756199</v>
      </c>
      <c r="J2393">
        <v>11.224780220138999</v>
      </c>
      <c r="K2393">
        <v>70</v>
      </c>
      <c r="L2393">
        <v>7.8394552148708296</v>
      </c>
      <c r="M2393">
        <v>30.9562388488823</v>
      </c>
      <c r="N2393">
        <v>14.9562388488823</v>
      </c>
      <c r="O2393">
        <v>16</v>
      </c>
      <c r="P2393">
        <v>23.0810196412259</v>
      </c>
      <c r="Q2393">
        <v>22.056239230351999</v>
      </c>
      <c r="R2393">
        <v>24.010544855690998</v>
      </c>
      <c r="S2393">
        <v>22.056239230351999</v>
      </c>
      <c r="T2393">
        <v>897.24604569420001</v>
      </c>
      <c r="U2393">
        <v>146.456942003515</v>
      </c>
      <c r="V2393">
        <v>1</v>
      </c>
      <c r="W2393">
        <v>75.077328646748697</v>
      </c>
      <c r="X2393">
        <v>387.42882249560603</v>
      </c>
      <c r="Y2393">
        <v>9</v>
      </c>
      <c r="Z2393">
        <v>199.89455184534299</v>
      </c>
      <c r="AA2393">
        <v>20.398945518453399</v>
      </c>
      <c r="AB2393">
        <v>1.7103745606326901</v>
      </c>
      <c r="AC2393">
        <v>0.31908210146982402</v>
      </c>
      <c r="AD2393">
        <v>1.3963673500268901</v>
      </c>
      <c r="AE2393">
        <v>0.70305085182189897</v>
      </c>
      <c r="AF2393">
        <v>1203.9982425307601</v>
      </c>
      <c r="AG2393">
        <f>IFERROR(AH2393*0.1, "N/A")</f>
        <v>6.0827768014059806</v>
      </c>
      <c r="AH2393">
        <v>60.827768014059799</v>
      </c>
      <c r="AI2393">
        <v>134.09054586883201</v>
      </c>
      <c r="AJ2393">
        <v>19.4569420035149</v>
      </c>
      <c r="AK2393">
        <v>69.543057996485103</v>
      </c>
    </row>
    <row r="2394" spans="1:37" x14ac:dyDescent="0.3">
      <c r="A2394">
        <v>2393</v>
      </c>
      <c r="B2394">
        <v>0</v>
      </c>
      <c r="C2394">
        <v>32.866698999999997</v>
      </c>
      <c r="D2394">
        <v>-3.3166699999999998</v>
      </c>
      <c r="E2394" t="s">
        <v>4159</v>
      </c>
      <c r="F2394" t="s">
        <v>4161</v>
      </c>
      <c r="G2394" t="s">
        <v>37</v>
      </c>
      <c r="H2394">
        <v>1959</v>
      </c>
      <c r="I2394">
        <v>22.981019259756199</v>
      </c>
      <c r="J2394">
        <v>11.224780220138999</v>
      </c>
      <c r="K2394">
        <v>70</v>
      </c>
      <c r="L2394">
        <v>7.8394552148708296</v>
      </c>
      <c r="M2394">
        <v>30.9562388488823</v>
      </c>
      <c r="N2394">
        <v>14.9562388488823</v>
      </c>
      <c r="O2394">
        <v>16</v>
      </c>
      <c r="P2394">
        <v>23.0810196412259</v>
      </c>
      <c r="Q2394">
        <v>22.056239230351999</v>
      </c>
      <c r="R2394">
        <v>24.010544855690998</v>
      </c>
      <c r="S2394">
        <v>22.056239230351999</v>
      </c>
      <c r="T2394">
        <v>897.24604569420001</v>
      </c>
      <c r="U2394">
        <v>146.456942003515</v>
      </c>
      <c r="V2394">
        <v>1</v>
      </c>
      <c r="W2394">
        <v>75.077328646748697</v>
      </c>
      <c r="X2394">
        <v>387.42882249560603</v>
      </c>
      <c r="Y2394">
        <v>9</v>
      </c>
      <c r="Z2394">
        <v>199.89455184534299</v>
      </c>
      <c r="AA2394">
        <v>20.398945518453399</v>
      </c>
      <c r="AB2394">
        <v>1.7103745606326901</v>
      </c>
      <c r="AC2394">
        <v>0.31908210146982402</v>
      </c>
      <c r="AD2394">
        <v>1.3963673500268901</v>
      </c>
      <c r="AE2394">
        <v>0.70305085182189897</v>
      </c>
      <c r="AF2394">
        <v>1203.9982425307601</v>
      </c>
      <c r="AG2394">
        <f>IFERROR(AH2394*0.1, "N/A")</f>
        <v>6.0827768014059806</v>
      </c>
      <c r="AH2394">
        <v>60.827768014059799</v>
      </c>
      <c r="AI2394">
        <v>134.09054586883201</v>
      </c>
      <c r="AJ2394">
        <v>19.4569420035149</v>
      </c>
      <c r="AK2394">
        <v>69.543057996485103</v>
      </c>
    </row>
    <row r="2395" spans="1:37" x14ac:dyDescent="0.3">
      <c r="A2395">
        <v>2394</v>
      </c>
      <c r="B2395">
        <v>60</v>
      </c>
      <c r="C2395">
        <v>33.868698000000002</v>
      </c>
      <c r="D2395">
        <v>-3.6126800000000001</v>
      </c>
      <c r="E2395" t="s">
        <v>4162</v>
      </c>
      <c r="F2395" t="s">
        <v>4163</v>
      </c>
      <c r="G2395" t="s">
        <v>39</v>
      </c>
      <c r="H2395">
        <v>1959</v>
      </c>
      <c r="I2395">
        <v>23.299999237060501</v>
      </c>
      <c r="J2395">
        <v>11.199999809265099</v>
      </c>
      <c r="K2395">
        <v>69</v>
      </c>
      <c r="L2395">
        <v>9.1499996185302699</v>
      </c>
      <c r="M2395">
        <v>31.600000381469702</v>
      </c>
      <c r="N2395">
        <v>15.5</v>
      </c>
      <c r="O2395">
        <v>16.100000381469702</v>
      </c>
      <c r="P2395">
        <v>23.299999237060501</v>
      </c>
      <c r="Q2395">
        <v>22.100000381469702</v>
      </c>
      <c r="R2395">
        <v>24.5</v>
      </c>
      <c r="S2395">
        <v>22.100000381469702</v>
      </c>
      <c r="T2395">
        <v>784</v>
      </c>
      <c r="U2395">
        <v>161</v>
      </c>
      <c r="V2395">
        <v>1</v>
      </c>
      <c r="W2395">
        <v>85</v>
      </c>
      <c r="X2395">
        <v>380</v>
      </c>
      <c r="Y2395">
        <v>5</v>
      </c>
      <c r="Z2395">
        <v>125</v>
      </c>
      <c r="AA2395">
        <v>5</v>
      </c>
      <c r="AB2395">
        <v>9.0343234639772199</v>
      </c>
      <c r="AC2395">
        <v>1.1264803727538001E-2</v>
      </c>
      <c r="AD2395">
        <v>1.3037518502121199</v>
      </c>
      <c r="AE2395">
        <v>0.61709711795121802</v>
      </c>
      <c r="AF2395">
        <v>1171.4524647887299</v>
      </c>
      <c r="AG2395">
        <f>IFERROR(AH2395*0.1, "N/A")</f>
        <v>6.7786971830985907</v>
      </c>
      <c r="AH2395">
        <v>67.786971830985905</v>
      </c>
      <c r="AI2395">
        <v>234.752452930934</v>
      </c>
      <c r="AJ2395">
        <v>23.5193661971831</v>
      </c>
      <c r="AK2395">
        <v>63.672535211267601</v>
      </c>
    </row>
    <row r="2396" spans="1:37" x14ac:dyDescent="0.3">
      <c r="A2396">
        <v>2395</v>
      </c>
      <c r="B2396">
        <v>0</v>
      </c>
      <c r="C2396">
        <v>33.868698000000002</v>
      </c>
      <c r="D2396">
        <v>-3.6126800000000001</v>
      </c>
      <c r="E2396" t="s">
        <v>4162</v>
      </c>
      <c r="F2396" t="s">
        <v>4164</v>
      </c>
      <c r="G2396" t="s">
        <v>37</v>
      </c>
      <c r="H2396">
        <v>1959</v>
      </c>
      <c r="I2396">
        <v>23.299999237060501</v>
      </c>
      <c r="J2396">
        <v>11.199999809265099</v>
      </c>
      <c r="K2396">
        <v>69</v>
      </c>
      <c r="L2396">
        <v>9.1499996185302699</v>
      </c>
      <c r="M2396">
        <v>31.600000381469702</v>
      </c>
      <c r="N2396">
        <v>15.5</v>
      </c>
      <c r="O2396">
        <v>16.100000381469702</v>
      </c>
      <c r="P2396">
        <v>23.299999237060501</v>
      </c>
      <c r="Q2396">
        <v>22.100000381469702</v>
      </c>
      <c r="R2396">
        <v>24.5</v>
      </c>
      <c r="S2396">
        <v>22.100000381469702</v>
      </c>
      <c r="T2396">
        <v>784</v>
      </c>
      <c r="U2396">
        <v>161</v>
      </c>
      <c r="V2396">
        <v>1</v>
      </c>
      <c r="W2396">
        <v>85</v>
      </c>
      <c r="X2396">
        <v>380</v>
      </c>
      <c r="Y2396">
        <v>5</v>
      </c>
      <c r="Z2396">
        <v>125</v>
      </c>
      <c r="AA2396">
        <v>5</v>
      </c>
      <c r="AB2396">
        <v>9.0343234639772199</v>
      </c>
      <c r="AC2396">
        <v>1.1264803727538001E-2</v>
      </c>
      <c r="AD2396">
        <v>1.3037518502121199</v>
      </c>
      <c r="AE2396">
        <v>0.61709711795121802</v>
      </c>
      <c r="AF2396">
        <v>1171.4524647887299</v>
      </c>
      <c r="AG2396">
        <f>IFERROR(AH2396*0.1, "N/A")</f>
        <v>6.7786971830985907</v>
      </c>
      <c r="AH2396">
        <v>67.786971830985905</v>
      </c>
      <c r="AI2396">
        <v>234.752452930934</v>
      </c>
      <c r="AJ2396">
        <v>23.5193661971831</v>
      </c>
      <c r="AK2396">
        <v>63.672535211267601</v>
      </c>
    </row>
    <row r="2397" spans="1:37" x14ac:dyDescent="0.3">
      <c r="A2397">
        <v>2396</v>
      </c>
      <c r="B2397">
        <v>70</v>
      </c>
      <c r="C2397">
        <v>33.083302000000003</v>
      </c>
      <c r="D2397">
        <v>-3.8166699999999998</v>
      </c>
      <c r="E2397" t="s">
        <v>4165</v>
      </c>
      <c r="F2397" t="s">
        <v>4166</v>
      </c>
      <c r="G2397" t="s">
        <v>39</v>
      </c>
      <c r="H2397">
        <v>1959</v>
      </c>
      <c r="I2397">
        <v>23.246924475751999</v>
      </c>
      <c r="J2397">
        <v>11.5</v>
      </c>
      <c r="K2397">
        <v>68</v>
      </c>
      <c r="L2397">
        <v>9.1244640769355101</v>
      </c>
      <c r="M2397">
        <v>31.700000762939499</v>
      </c>
      <c r="N2397">
        <v>15</v>
      </c>
      <c r="O2397">
        <v>16.700000762939499</v>
      </c>
      <c r="P2397">
        <v>23.1469249892947</v>
      </c>
      <c r="Q2397">
        <v>22.200000762939499</v>
      </c>
      <c r="R2397">
        <v>24.5</v>
      </c>
      <c r="S2397">
        <v>22.200000762939499</v>
      </c>
      <c r="T2397">
        <v>993.49384885764505</v>
      </c>
      <c r="U2397">
        <v>170.90158172232</v>
      </c>
      <c r="V2397">
        <v>1</v>
      </c>
      <c r="W2397">
        <v>81.560632688927996</v>
      </c>
      <c r="X2397">
        <v>474.33391915641499</v>
      </c>
      <c r="Y2397">
        <v>9</v>
      </c>
      <c r="Z2397">
        <v>170.62917398945501</v>
      </c>
      <c r="AA2397">
        <v>57</v>
      </c>
      <c r="AB2397">
        <v>6.9391804512439599</v>
      </c>
      <c r="AC2397">
        <v>8.6491982876499996E-3</v>
      </c>
      <c r="AD2397">
        <v>0.87181170554487897</v>
      </c>
      <c r="AE2397">
        <v>0.689683496952057</v>
      </c>
      <c r="AF2397">
        <v>1205.0773286467499</v>
      </c>
      <c r="AG2397">
        <f>IFERROR(AH2397*0.1, "N/A")</f>
        <v>6.17205623901582</v>
      </c>
      <c r="AH2397">
        <v>61.7205623901582</v>
      </c>
      <c r="AI2397">
        <v>74.617464410818698</v>
      </c>
      <c r="AJ2397">
        <v>17</v>
      </c>
      <c r="AK2397">
        <v>71</v>
      </c>
    </row>
    <row r="2398" spans="1:37" x14ac:dyDescent="0.3">
      <c r="A2398">
        <v>2397</v>
      </c>
      <c r="B2398">
        <v>0</v>
      </c>
      <c r="C2398">
        <v>33.083302000000003</v>
      </c>
      <c r="D2398">
        <v>-3.8166699999999998</v>
      </c>
      <c r="E2398" t="s">
        <v>4165</v>
      </c>
      <c r="F2398" t="s">
        <v>4167</v>
      </c>
      <c r="G2398" t="s">
        <v>37</v>
      </c>
      <c r="H2398">
        <v>1959</v>
      </c>
      <c r="I2398">
        <v>23.246924475751999</v>
      </c>
      <c r="J2398">
        <v>11.5</v>
      </c>
      <c r="K2398">
        <v>68</v>
      </c>
      <c r="L2398">
        <v>9.1244640769355101</v>
      </c>
      <c r="M2398">
        <v>31.700000762939499</v>
      </c>
      <c r="N2398">
        <v>15</v>
      </c>
      <c r="O2398">
        <v>16.700000762939499</v>
      </c>
      <c r="P2398">
        <v>23.1469249892947</v>
      </c>
      <c r="Q2398">
        <v>22.200000762939499</v>
      </c>
      <c r="R2398">
        <v>24.5</v>
      </c>
      <c r="S2398">
        <v>22.200000762939499</v>
      </c>
      <c r="T2398">
        <v>993.49384885764505</v>
      </c>
      <c r="U2398">
        <v>170.90158172232</v>
      </c>
      <c r="V2398">
        <v>1</v>
      </c>
      <c r="W2398">
        <v>81.560632688927996</v>
      </c>
      <c r="X2398">
        <v>474.33391915641499</v>
      </c>
      <c r="Y2398">
        <v>9</v>
      </c>
      <c r="Z2398">
        <v>170.62917398945501</v>
      </c>
      <c r="AA2398">
        <v>57</v>
      </c>
      <c r="AB2398">
        <v>6.9391804512439599</v>
      </c>
      <c r="AC2398">
        <v>8.6491982876499996E-3</v>
      </c>
      <c r="AD2398">
        <v>0.87181170554487897</v>
      </c>
      <c r="AE2398">
        <v>0.689683496952057</v>
      </c>
      <c r="AF2398">
        <v>1205.0773286467499</v>
      </c>
      <c r="AG2398">
        <f>IFERROR(AH2398*0.1, "N/A")</f>
        <v>6.17205623901582</v>
      </c>
      <c r="AH2398">
        <v>61.7205623901582</v>
      </c>
      <c r="AI2398">
        <v>74.617464410818698</v>
      </c>
      <c r="AJ2398">
        <v>17</v>
      </c>
      <c r="AK2398">
        <v>71</v>
      </c>
    </row>
    <row r="2399" spans="1:37" x14ac:dyDescent="0.3">
      <c r="A2399">
        <v>2398</v>
      </c>
      <c r="B2399">
        <v>0.7</v>
      </c>
      <c r="C2399">
        <v>32.847999999999999</v>
      </c>
      <c r="D2399">
        <v>-1.93886</v>
      </c>
      <c r="E2399" t="s">
        <v>4168</v>
      </c>
      <c r="F2399" t="s">
        <v>4169</v>
      </c>
      <c r="G2399" t="s">
        <v>39</v>
      </c>
      <c r="H2399">
        <v>1978</v>
      </c>
      <c r="I2399">
        <v>22.399999618530298</v>
      </c>
      <c r="J2399">
        <v>9.8999996185302699</v>
      </c>
      <c r="K2399">
        <v>80</v>
      </c>
      <c r="L2399">
        <v>4.5599999427795401</v>
      </c>
      <c r="M2399">
        <v>28.100000381469702</v>
      </c>
      <c r="N2399">
        <v>15.800000190734901</v>
      </c>
      <c r="O2399">
        <v>12.300000190734901</v>
      </c>
      <c r="P2399">
        <v>22.700000762939499</v>
      </c>
      <c r="Q2399">
        <v>21.799999237060501</v>
      </c>
      <c r="R2399">
        <v>22.899999618530298</v>
      </c>
      <c r="S2399">
        <v>21.799999237060501</v>
      </c>
      <c r="T2399">
        <v>1507</v>
      </c>
      <c r="U2399">
        <v>247</v>
      </c>
      <c r="V2399">
        <v>28</v>
      </c>
      <c r="W2399">
        <v>53</v>
      </c>
      <c r="X2399">
        <v>586</v>
      </c>
      <c r="Y2399">
        <v>114</v>
      </c>
      <c r="Z2399">
        <v>358</v>
      </c>
      <c r="AA2399">
        <v>114</v>
      </c>
      <c r="AB2399">
        <v>12.802449830820899</v>
      </c>
      <c r="AC2399">
        <v>8.5430624435700007E-3</v>
      </c>
      <c r="AD2399">
        <v>2.17464888011905</v>
      </c>
      <c r="AE2399">
        <v>0.39978143572807301</v>
      </c>
      <c r="AF2399">
        <v>1146.3573943662</v>
      </c>
      <c r="AG2399">
        <f>IFERROR(AH2399*0.1, "N/A")</f>
        <v>5.9737676056338005</v>
      </c>
      <c r="AH2399">
        <v>59.737676056338003</v>
      </c>
      <c r="AI2399">
        <v>149.38761638923401</v>
      </c>
      <c r="AJ2399">
        <v>34.688380281690101</v>
      </c>
      <c r="AK2399">
        <v>43.801056338028197</v>
      </c>
    </row>
    <row r="2400" spans="1:37" x14ac:dyDescent="0.3">
      <c r="A2400">
        <v>2399</v>
      </c>
      <c r="B2400">
        <v>71.5</v>
      </c>
      <c r="C2400">
        <v>32.847999999999999</v>
      </c>
      <c r="D2400">
        <v>-1.93886</v>
      </c>
      <c r="E2400" t="s">
        <v>4168</v>
      </c>
      <c r="F2400" t="s">
        <v>4170</v>
      </c>
      <c r="G2400" t="s">
        <v>37</v>
      </c>
      <c r="H2400">
        <v>1978</v>
      </c>
      <c r="I2400">
        <v>22.399999618530298</v>
      </c>
      <c r="J2400">
        <v>9.8999996185302699</v>
      </c>
      <c r="K2400">
        <v>80</v>
      </c>
      <c r="L2400">
        <v>4.5599999427795401</v>
      </c>
      <c r="M2400">
        <v>28.100000381469702</v>
      </c>
      <c r="N2400">
        <v>15.800000190734901</v>
      </c>
      <c r="O2400">
        <v>12.300000190734901</v>
      </c>
      <c r="P2400">
        <v>22.700000762939499</v>
      </c>
      <c r="Q2400">
        <v>21.799999237060501</v>
      </c>
      <c r="R2400">
        <v>22.899999618530298</v>
      </c>
      <c r="S2400">
        <v>21.799999237060501</v>
      </c>
      <c r="T2400">
        <v>1507</v>
      </c>
      <c r="U2400">
        <v>247</v>
      </c>
      <c r="V2400">
        <v>28</v>
      </c>
      <c r="W2400">
        <v>53</v>
      </c>
      <c r="X2400">
        <v>586</v>
      </c>
      <c r="Y2400">
        <v>114</v>
      </c>
      <c r="Z2400">
        <v>358</v>
      </c>
      <c r="AA2400">
        <v>114</v>
      </c>
      <c r="AB2400">
        <v>12.802449830820899</v>
      </c>
      <c r="AC2400">
        <v>8.5430624435700007E-3</v>
      </c>
      <c r="AD2400">
        <v>2.17464888011905</v>
      </c>
      <c r="AE2400">
        <v>0.39978143572807301</v>
      </c>
      <c r="AF2400">
        <v>1146.3573943662</v>
      </c>
      <c r="AG2400">
        <f>IFERROR(AH2400*0.1, "N/A")</f>
        <v>5.9737676056338005</v>
      </c>
      <c r="AH2400">
        <v>59.737676056338003</v>
      </c>
      <c r="AI2400">
        <v>149.38761638923401</v>
      </c>
      <c r="AJ2400">
        <v>34.688380281690101</v>
      </c>
      <c r="AK2400">
        <v>43.801056338028197</v>
      </c>
    </row>
    <row r="2401" spans="1:37" x14ac:dyDescent="0.3">
      <c r="A2401">
        <v>2400</v>
      </c>
      <c r="B2401">
        <v>3.4</v>
      </c>
      <c r="C2401">
        <v>32.871799000000003</v>
      </c>
      <c r="D2401">
        <v>-2.01342</v>
      </c>
      <c r="E2401" t="s">
        <v>4171</v>
      </c>
      <c r="F2401" t="s">
        <v>4172</v>
      </c>
      <c r="G2401" t="s">
        <v>39</v>
      </c>
      <c r="H2401">
        <v>1978</v>
      </c>
      <c r="I2401">
        <v>22.299999237060501</v>
      </c>
      <c r="J2401">
        <v>9.8999996185302699</v>
      </c>
      <c r="K2401">
        <v>79</v>
      </c>
      <c r="L2401">
        <v>4.9200000762939498</v>
      </c>
      <c r="M2401">
        <v>28</v>
      </c>
      <c r="N2401">
        <v>15.5</v>
      </c>
      <c r="O2401">
        <v>12.5</v>
      </c>
      <c r="P2401">
        <v>22.5</v>
      </c>
      <c r="Q2401">
        <v>21.5</v>
      </c>
      <c r="R2401">
        <v>22.700000762939499</v>
      </c>
      <c r="S2401">
        <v>21.5</v>
      </c>
      <c r="T2401">
        <v>1469</v>
      </c>
      <c r="U2401">
        <v>241</v>
      </c>
      <c r="V2401">
        <v>25</v>
      </c>
      <c r="W2401">
        <v>54</v>
      </c>
      <c r="X2401">
        <v>572</v>
      </c>
      <c r="Y2401">
        <v>103</v>
      </c>
      <c r="Z2401">
        <v>358</v>
      </c>
      <c r="AA2401">
        <v>103</v>
      </c>
      <c r="AB2401">
        <v>43.308449835526297</v>
      </c>
      <c r="AC2401">
        <v>1.2604211986457E-2</v>
      </c>
      <c r="AD2401">
        <v>3.6825818818912199</v>
      </c>
      <c r="AE2401">
        <v>0.48572808504104598</v>
      </c>
      <c r="AF2401">
        <v>1184.0263157894699</v>
      </c>
      <c r="AG2401">
        <f>IFERROR(AH2401*0.1, "N/A")</f>
        <v>5.6959649122807008</v>
      </c>
      <c r="AH2401">
        <v>56.959649122807001</v>
      </c>
      <c r="AI2401">
        <v>275.54975221868199</v>
      </c>
      <c r="AJ2401">
        <v>37.959649122807001</v>
      </c>
      <c r="AK2401">
        <v>45.121052631578998</v>
      </c>
    </row>
    <row r="2402" spans="1:37" x14ac:dyDescent="0.3">
      <c r="A2402">
        <v>2401</v>
      </c>
      <c r="B2402">
        <v>33.799999</v>
      </c>
      <c r="C2402">
        <v>32.871799000000003</v>
      </c>
      <c r="D2402">
        <v>-2.01342</v>
      </c>
      <c r="E2402" t="s">
        <v>4171</v>
      </c>
      <c r="F2402" t="s">
        <v>4173</v>
      </c>
      <c r="G2402" t="s">
        <v>37</v>
      </c>
      <c r="H2402">
        <v>1978</v>
      </c>
      <c r="I2402">
        <v>22.299999237060501</v>
      </c>
      <c r="J2402">
        <v>9.8999996185302699</v>
      </c>
      <c r="K2402">
        <v>79</v>
      </c>
      <c r="L2402">
        <v>4.9200000762939498</v>
      </c>
      <c r="M2402">
        <v>28</v>
      </c>
      <c r="N2402">
        <v>15.5</v>
      </c>
      <c r="O2402">
        <v>12.5</v>
      </c>
      <c r="P2402">
        <v>22.5</v>
      </c>
      <c r="Q2402">
        <v>21.5</v>
      </c>
      <c r="R2402">
        <v>22.700000762939499</v>
      </c>
      <c r="S2402">
        <v>21.5</v>
      </c>
      <c r="T2402">
        <v>1469</v>
      </c>
      <c r="U2402">
        <v>241</v>
      </c>
      <c r="V2402">
        <v>25</v>
      </c>
      <c r="W2402">
        <v>54</v>
      </c>
      <c r="X2402">
        <v>572</v>
      </c>
      <c r="Y2402">
        <v>103</v>
      </c>
      <c r="Z2402">
        <v>358</v>
      </c>
      <c r="AA2402">
        <v>103</v>
      </c>
      <c r="AB2402">
        <v>43.308449835526297</v>
      </c>
      <c r="AC2402">
        <v>1.2604211986457E-2</v>
      </c>
      <c r="AD2402">
        <v>3.6825818818912199</v>
      </c>
      <c r="AE2402">
        <v>0.48572808504104598</v>
      </c>
      <c r="AF2402">
        <v>1184.0263157894699</v>
      </c>
      <c r="AG2402">
        <f>IFERROR(AH2402*0.1, "N/A")</f>
        <v>5.6959649122807008</v>
      </c>
      <c r="AH2402">
        <v>56.959649122807001</v>
      </c>
      <c r="AI2402">
        <v>275.54975221868199</v>
      </c>
      <c r="AJ2402">
        <v>37.959649122807001</v>
      </c>
      <c r="AK2402">
        <v>45.121052631578998</v>
      </c>
    </row>
    <row r="2403" spans="1:37" x14ac:dyDescent="0.3">
      <c r="A2403">
        <v>2402</v>
      </c>
      <c r="B2403">
        <v>1.6</v>
      </c>
      <c r="C2403">
        <v>32.883301000000003</v>
      </c>
      <c r="D2403">
        <v>-2.0499999999999998</v>
      </c>
      <c r="E2403" t="s">
        <v>4174</v>
      </c>
      <c r="F2403" t="s">
        <v>4175</v>
      </c>
      <c r="G2403" t="s">
        <v>39</v>
      </c>
      <c r="H2403">
        <v>1978</v>
      </c>
      <c r="I2403">
        <v>22.5</v>
      </c>
      <c r="J2403">
        <v>9.9905262796502399</v>
      </c>
      <c r="K2403">
        <v>79.429824561403507</v>
      </c>
      <c r="L2403">
        <v>4.7781754226015298</v>
      </c>
      <c r="M2403">
        <v>28.200000762939499</v>
      </c>
      <c r="N2403">
        <v>15.652456221664201</v>
      </c>
      <c r="O2403">
        <v>12.5475440410146</v>
      </c>
      <c r="P2403">
        <v>22.700000762939499</v>
      </c>
      <c r="Q2403">
        <v>21.7524561028732</v>
      </c>
      <c r="R2403">
        <v>22.958245454754699</v>
      </c>
      <c r="S2403">
        <v>21.7524561028732</v>
      </c>
      <c r="T2403">
        <v>1416.1807017543899</v>
      </c>
      <c r="U2403">
        <v>231.95087719298201</v>
      </c>
      <c r="V2403">
        <v>21.475438596491198</v>
      </c>
      <c r="W2403">
        <v>55</v>
      </c>
      <c r="X2403">
        <v>550.95964912280704</v>
      </c>
      <c r="Y2403">
        <v>93.368421052631604</v>
      </c>
      <c r="Z2403">
        <v>348.36842105263202</v>
      </c>
      <c r="AA2403">
        <v>93.368421052631604</v>
      </c>
      <c r="AB2403">
        <v>1.64680689761513</v>
      </c>
      <c r="AC2403">
        <v>8.3351934674718802</v>
      </c>
      <c r="AD2403">
        <v>1.6883549014727299</v>
      </c>
      <c r="AE2403">
        <v>0.50052014427226899</v>
      </c>
      <c r="AF2403">
        <v>1141.46842105263</v>
      </c>
      <c r="AG2403">
        <f>IFERROR(AH2403*0.1, "N/A")</f>
        <v>5.33052631578947</v>
      </c>
      <c r="AH2403">
        <v>53.3052631578947</v>
      </c>
      <c r="AI2403">
        <v>167.63105187667</v>
      </c>
      <c r="AJ2403">
        <v>34.3052631578947</v>
      </c>
      <c r="AK2403">
        <v>49.5421052631579</v>
      </c>
    </row>
    <row r="2404" spans="1:37" x14ac:dyDescent="0.3">
      <c r="A2404">
        <v>2403</v>
      </c>
      <c r="B2404">
        <v>57.400002000000001</v>
      </c>
      <c r="C2404">
        <v>32.883301000000003</v>
      </c>
      <c r="D2404">
        <v>-2.0499999999999998</v>
      </c>
      <c r="E2404" t="s">
        <v>4174</v>
      </c>
      <c r="F2404" t="s">
        <v>4176</v>
      </c>
      <c r="G2404" t="s">
        <v>37</v>
      </c>
      <c r="H2404">
        <v>1978</v>
      </c>
      <c r="I2404">
        <v>22.5</v>
      </c>
      <c r="J2404">
        <v>9.9905262796502399</v>
      </c>
      <c r="K2404">
        <v>79.429824561403507</v>
      </c>
      <c r="L2404">
        <v>4.7781754226015298</v>
      </c>
      <c r="M2404">
        <v>28.200000762939499</v>
      </c>
      <c r="N2404">
        <v>15.652456221664201</v>
      </c>
      <c r="O2404">
        <v>12.5475440410146</v>
      </c>
      <c r="P2404">
        <v>22.700000762939499</v>
      </c>
      <c r="Q2404">
        <v>21.7524561028732</v>
      </c>
      <c r="R2404">
        <v>22.958245454754699</v>
      </c>
      <c r="S2404">
        <v>21.7524561028732</v>
      </c>
      <c r="T2404">
        <v>1416.1807017543899</v>
      </c>
      <c r="U2404">
        <v>231.95087719298201</v>
      </c>
      <c r="V2404">
        <v>21.475438596491198</v>
      </c>
      <c r="W2404">
        <v>55</v>
      </c>
      <c r="X2404">
        <v>550.95964912280704</v>
      </c>
      <c r="Y2404">
        <v>93.368421052631604</v>
      </c>
      <c r="Z2404">
        <v>348.36842105263202</v>
      </c>
      <c r="AA2404">
        <v>93.368421052631604</v>
      </c>
      <c r="AB2404">
        <v>1.64680689761513</v>
      </c>
      <c r="AC2404">
        <v>8.3351934674718802</v>
      </c>
      <c r="AD2404">
        <v>1.6883549014727299</v>
      </c>
      <c r="AE2404">
        <v>0.50052014427226899</v>
      </c>
      <c r="AF2404">
        <v>1141.46842105263</v>
      </c>
      <c r="AG2404">
        <f>IFERROR(AH2404*0.1, "N/A")</f>
        <v>5.33052631578947</v>
      </c>
      <c r="AH2404">
        <v>53.3052631578947</v>
      </c>
      <c r="AI2404">
        <v>167.63105187667</v>
      </c>
      <c r="AJ2404">
        <v>34.3052631578947</v>
      </c>
      <c r="AK2404">
        <v>49.5421052631579</v>
      </c>
    </row>
    <row r="2405" spans="1:37" x14ac:dyDescent="0.3">
      <c r="A2405">
        <v>2404</v>
      </c>
      <c r="B2405">
        <v>87.300003000000004</v>
      </c>
      <c r="C2405">
        <v>32.465099000000002</v>
      </c>
      <c r="D2405">
        <v>-2.3569</v>
      </c>
      <c r="E2405" t="s">
        <v>4177</v>
      </c>
      <c r="F2405" t="s">
        <v>4178</v>
      </c>
      <c r="G2405" t="s">
        <v>37</v>
      </c>
      <c r="H2405">
        <v>1987</v>
      </c>
      <c r="I2405">
        <v>22.299999237060501</v>
      </c>
      <c r="J2405">
        <v>10.199999809265099</v>
      </c>
      <c r="K2405">
        <v>77</v>
      </c>
      <c r="L2405">
        <v>4.9400000572204599</v>
      </c>
      <c r="M2405">
        <v>28.399999618530298</v>
      </c>
      <c r="N2405">
        <v>15.300000190734901</v>
      </c>
      <c r="O2405">
        <v>13.1000003814697</v>
      </c>
      <c r="P2405">
        <v>22.600000381469702</v>
      </c>
      <c r="Q2405">
        <v>21.600000381469702</v>
      </c>
      <c r="R2405">
        <v>22.899999618530298</v>
      </c>
      <c r="S2405">
        <v>21.600000381469702</v>
      </c>
      <c r="T2405">
        <v>1116</v>
      </c>
      <c r="U2405">
        <v>182</v>
      </c>
      <c r="V2405">
        <v>11</v>
      </c>
      <c r="W2405">
        <v>58</v>
      </c>
      <c r="X2405">
        <v>432</v>
      </c>
      <c r="Y2405">
        <v>57</v>
      </c>
      <c r="Z2405">
        <v>350</v>
      </c>
      <c r="AA2405">
        <v>57</v>
      </c>
      <c r="AB2405">
        <v>41.883112964295499</v>
      </c>
      <c r="AC2405">
        <v>9.4697672988110007E-3</v>
      </c>
      <c r="AD2405">
        <v>1.2554205283783999</v>
      </c>
      <c r="AE2405">
        <v>0.56017720699310303</v>
      </c>
      <c r="AF2405">
        <v>1185.47894736842</v>
      </c>
      <c r="AG2405">
        <f>IFERROR(AH2405*0.1, "N/A")</f>
        <v>5.5</v>
      </c>
      <c r="AH2405">
        <v>55</v>
      </c>
      <c r="AI2405">
        <v>291.59634966933902</v>
      </c>
      <c r="AJ2405">
        <v>28</v>
      </c>
      <c r="AK2405">
        <v>56</v>
      </c>
    </row>
    <row r="2406" spans="1:37" x14ac:dyDescent="0.3">
      <c r="A2406">
        <v>2405</v>
      </c>
      <c r="B2406">
        <v>72.300003000000004</v>
      </c>
      <c r="C2406">
        <v>32.912700999999998</v>
      </c>
      <c r="D2406">
        <v>-2.5108000000000001</v>
      </c>
      <c r="E2406" t="s">
        <v>4179</v>
      </c>
      <c r="F2406" t="s">
        <v>4180</v>
      </c>
      <c r="G2406" t="s">
        <v>37</v>
      </c>
      <c r="H2406">
        <v>1991</v>
      </c>
      <c r="I2406">
        <v>22.200000762939499</v>
      </c>
      <c r="J2406">
        <v>10.3999996185303</v>
      </c>
      <c r="K2406">
        <v>75</v>
      </c>
      <c r="L2406">
        <v>5.1700000762939498</v>
      </c>
      <c r="M2406">
        <v>28.5</v>
      </c>
      <c r="N2406">
        <v>14.699999809265099</v>
      </c>
      <c r="O2406">
        <v>13.800000190734901</v>
      </c>
      <c r="P2406">
        <v>22.299999237060501</v>
      </c>
      <c r="Q2406">
        <v>21.5</v>
      </c>
      <c r="R2406">
        <v>22.700000762939499</v>
      </c>
      <c r="S2406">
        <v>21.5</v>
      </c>
      <c r="T2406">
        <v>1105</v>
      </c>
      <c r="U2406">
        <v>184</v>
      </c>
      <c r="V2406">
        <v>9</v>
      </c>
      <c r="W2406">
        <v>65</v>
      </c>
      <c r="X2406">
        <v>452</v>
      </c>
      <c r="Y2406">
        <v>41</v>
      </c>
      <c r="Z2406">
        <v>290</v>
      </c>
      <c r="AA2406">
        <v>41</v>
      </c>
      <c r="AB2406">
        <v>98.322447335992393</v>
      </c>
      <c r="AC2406">
        <v>1.4107955996149999E-2</v>
      </c>
      <c r="AD2406">
        <v>10.393518240883401</v>
      </c>
      <c r="AE2406">
        <v>0.74941128492355302</v>
      </c>
      <c r="AF2406">
        <v>1253.85237258348</v>
      </c>
      <c r="AG2406">
        <f>IFERROR(AH2406*0.1, "N/A")</f>
        <v>5.9258347978910404</v>
      </c>
      <c r="AH2406">
        <v>59.2583479789104</v>
      </c>
      <c r="AI2406">
        <v>281.48607121955303</v>
      </c>
      <c r="AJ2406">
        <v>35.639718804920903</v>
      </c>
      <c r="AK2406">
        <v>48.068541300527201</v>
      </c>
    </row>
    <row r="2407" spans="1:37" x14ac:dyDescent="0.3">
      <c r="A2407">
        <v>2406</v>
      </c>
      <c r="B2407">
        <v>5.8</v>
      </c>
      <c r="C2407">
        <v>32.912700999999998</v>
      </c>
      <c r="D2407">
        <v>-2.5108000000000001</v>
      </c>
      <c r="E2407" t="s">
        <v>4179</v>
      </c>
      <c r="F2407" t="s">
        <v>4181</v>
      </c>
      <c r="G2407" t="s">
        <v>39</v>
      </c>
      <c r="H2407">
        <v>1991</v>
      </c>
      <c r="I2407">
        <v>22.200000762939499</v>
      </c>
      <c r="J2407">
        <v>10.3999996185303</v>
      </c>
      <c r="K2407">
        <v>75</v>
      </c>
      <c r="L2407">
        <v>5.1700000762939498</v>
      </c>
      <c r="M2407">
        <v>28.5</v>
      </c>
      <c r="N2407">
        <v>14.699999809265099</v>
      </c>
      <c r="O2407">
        <v>13.800000190734901</v>
      </c>
      <c r="P2407">
        <v>22.299999237060501</v>
      </c>
      <c r="Q2407">
        <v>21.5</v>
      </c>
      <c r="R2407">
        <v>22.700000762939499</v>
      </c>
      <c r="S2407">
        <v>21.5</v>
      </c>
      <c r="T2407">
        <v>1105</v>
      </c>
      <c r="U2407">
        <v>184</v>
      </c>
      <c r="V2407">
        <v>9</v>
      </c>
      <c r="W2407">
        <v>65</v>
      </c>
      <c r="X2407">
        <v>452</v>
      </c>
      <c r="Y2407">
        <v>41</v>
      </c>
      <c r="Z2407">
        <v>290</v>
      </c>
      <c r="AA2407">
        <v>41</v>
      </c>
      <c r="AB2407">
        <v>98.322447335992393</v>
      </c>
      <c r="AC2407">
        <v>1.4107955996149999E-2</v>
      </c>
      <c r="AD2407">
        <v>10.393518240883401</v>
      </c>
      <c r="AE2407">
        <v>0.74941128492355302</v>
      </c>
      <c r="AF2407">
        <v>1253.85237258348</v>
      </c>
      <c r="AG2407">
        <f>IFERROR(AH2407*0.1, "N/A")</f>
        <v>5.9258347978910404</v>
      </c>
      <c r="AH2407">
        <v>59.2583479789104</v>
      </c>
      <c r="AI2407">
        <v>281.48607121955303</v>
      </c>
      <c r="AJ2407">
        <v>35.639718804920903</v>
      </c>
      <c r="AK2407">
        <v>48.068541300527201</v>
      </c>
    </row>
    <row r="2408" spans="1:37" x14ac:dyDescent="0.3">
      <c r="A2408">
        <v>2407</v>
      </c>
      <c r="B2408">
        <v>19.600000000000001</v>
      </c>
      <c r="C2408">
        <v>32.902400999999998</v>
      </c>
      <c r="D2408">
        <v>-2.5174400000000001</v>
      </c>
      <c r="E2408" t="s">
        <v>4182</v>
      </c>
      <c r="F2408" t="s">
        <v>4183</v>
      </c>
      <c r="G2408" t="s">
        <v>37</v>
      </c>
      <c r="H2408">
        <v>1991</v>
      </c>
      <c r="I2408">
        <v>22.577328941734098</v>
      </c>
      <c r="J2408">
        <v>10.3999996185303</v>
      </c>
      <c r="K2408">
        <v>76</v>
      </c>
      <c r="L2408">
        <v>4.7940071722744602</v>
      </c>
      <c r="M2408">
        <v>28.777328229746601</v>
      </c>
      <c r="N2408">
        <v>15.1773285857403</v>
      </c>
      <c r="O2408">
        <v>13.6000003814697</v>
      </c>
      <c r="P2408">
        <v>22.777328229746601</v>
      </c>
      <c r="Q2408">
        <v>21.877328178794599</v>
      </c>
      <c r="R2408">
        <v>23.077328941734098</v>
      </c>
      <c r="S2408">
        <v>21.877328178794599</v>
      </c>
      <c r="T2408">
        <v>1056.72056239016</v>
      </c>
      <c r="U2408">
        <v>175.45342706502601</v>
      </c>
      <c r="V2408">
        <v>8</v>
      </c>
      <c r="W2408">
        <v>65</v>
      </c>
      <c r="X2408">
        <v>428.36028119507898</v>
      </c>
      <c r="Y2408">
        <v>39.226713532513202</v>
      </c>
      <c r="Z2408">
        <v>275.68014059754</v>
      </c>
      <c r="AA2408">
        <v>39.226713532513202</v>
      </c>
      <c r="AB2408">
        <v>1.3516770615938001</v>
      </c>
      <c r="AC2408">
        <v>10.152618476950799</v>
      </c>
      <c r="AD2408">
        <v>1.6960496529544</v>
      </c>
      <c r="AE2408">
        <v>0.87926590442657504</v>
      </c>
      <c r="AF2408">
        <v>1145.0685413005299</v>
      </c>
      <c r="AG2408">
        <f>IFERROR(AH2408*0.1, "N/A")</f>
        <v>6.5297012302284703</v>
      </c>
      <c r="AH2408">
        <v>65.297012302284699</v>
      </c>
      <c r="AI2408">
        <v>89.041126713811394</v>
      </c>
      <c r="AJ2408">
        <v>38.135325131810198</v>
      </c>
      <c r="AK2408">
        <v>42.818980667838296</v>
      </c>
    </row>
    <row r="2409" spans="1:37" x14ac:dyDescent="0.3">
      <c r="A2409">
        <v>2408</v>
      </c>
      <c r="B2409">
        <v>1.2</v>
      </c>
      <c r="C2409">
        <v>32.902400999999998</v>
      </c>
      <c r="D2409">
        <v>-2.5174400000000001</v>
      </c>
      <c r="E2409" t="s">
        <v>4182</v>
      </c>
      <c r="F2409" t="s">
        <v>4184</v>
      </c>
      <c r="G2409" t="s">
        <v>39</v>
      </c>
      <c r="H2409">
        <v>1991</v>
      </c>
      <c r="I2409">
        <v>22.577328941734098</v>
      </c>
      <c r="J2409">
        <v>10.3999996185303</v>
      </c>
      <c r="K2409">
        <v>76</v>
      </c>
      <c r="L2409">
        <v>4.7940071722744602</v>
      </c>
      <c r="M2409">
        <v>28.777328229746601</v>
      </c>
      <c r="N2409">
        <v>15.1773285857403</v>
      </c>
      <c r="O2409">
        <v>13.6000003814697</v>
      </c>
      <c r="P2409">
        <v>22.777328229746601</v>
      </c>
      <c r="Q2409">
        <v>21.877328178794599</v>
      </c>
      <c r="R2409">
        <v>23.077328941734098</v>
      </c>
      <c r="S2409">
        <v>21.877328178794599</v>
      </c>
      <c r="T2409">
        <v>1056.72056239016</v>
      </c>
      <c r="U2409">
        <v>175.45342706502601</v>
      </c>
      <c r="V2409">
        <v>8</v>
      </c>
      <c r="W2409">
        <v>65</v>
      </c>
      <c r="X2409">
        <v>428.36028119507898</v>
      </c>
      <c r="Y2409">
        <v>39.226713532513202</v>
      </c>
      <c r="Z2409">
        <v>275.68014059754</v>
      </c>
      <c r="AA2409">
        <v>39.226713532513202</v>
      </c>
      <c r="AB2409">
        <v>1.3516770615938001</v>
      </c>
      <c r="AC2409">
        <v>10.152618476950799</v>
      </c>
      <c r="AD2409">
        <v>1.6960496529544</v>
      </c>
      <c r="AE2409">
        <v>0.87926590442657504</v>
      </c>
      <c r="AF2409">
        <v>1145.0685413005299</v>
      </c>
      <c r="AG2409">
        <f>IFERROR(AH2409*0.1, "N/A")</f>
        <v>6.5297012302284703</v>
      </c>
      <c r="AH2409">
        <v>65.297012302284699</v>
      </c>
      <c r="AI2409">
        <v>89.041126713811394</v>
      </c>
      <c r="AJ2409">
        <v>38.135325131810198</v>
      </c>
      <c r="AK2409">
        <v>42.818980667838296</v>
      </c>
    </row>
    <row r="2410" spans="1:37" x14ac:dyDescent="0.3">
      <c r="A2410">
        <v>2409</v>
      </c>
      <c r="B2410">
        <v>50</v>
      </c>
      <c r="C2410">
        <v>33.063701999999999</v>
      </c>
      <c r="D2410">
        <v>-2.8588</v>
      </c>
      <c r="E2410" t="s">
        <v>4185</v>
      </c>
      <c r="F2410" t="s">
        <v>4186</v>
      </c>
      <c r="G2410" t="s">
        <v>39</v>
      </c>
      <c r="H2410">
        <v>1970</v>
      </c>
      <c r="I2410">
        <v>23.0549297870045</v>
      </c>
      <c r="J2410">
        <v>11.177464726945001</v>
      </c>
      <c r="K2410">
        <v>70</v>
      </c>
      <c r="L2410">
        <v>7.2807041423421497</v>
      </c>
      <c r="M2410">
        <v>30.854929453890101</v>
      </c>
      <c r="N2410">
        <v>15.077465084237099</v>
      </c>
      <c r="O2410">
        <v>15.7774648935022</v>
      </c>
      <c r="P2410">
        <v>22.877464321297701</v>
      </c>
      <c r="Q2410">
        <v>22.254929072420399</v>
      </c>
      <c r="R2410">
        <v>23.977464702767399</v>
      </c>
      <c r="S2410">
        <v>22.254929072420399</v>
      </c>
      <c r="T2410">
        <v>898.35211267605598</v>
      </c>
      <c r="U2410">
        <v>146.45070422535201</v>
      </c>
      <c r="V2410">
        <v>4</v>
      </c>
      <c r="W2410">
        <v>69.774647887323894</v>
      </c>
      <c r="X2410">
        <v>370.67605633802799</v>
      </c>
      <c r="Y2410">
        <v>21</v>
      </c>
      <c r="Z2410">
        <v>215.45070422535201</v>
      </c>
      <c r="AA2410">
        <v>80</v>
      </c>
      <c r="AB2410">
        <v>2.8644153433786301</v>
      </c>
      <c r="AC2410">
        <v>0.30826589364794599</v>
      </c>
      <c r="AD2410">
        <v>2.1212991845439899</v>
      </c>
      <c r="AE2410">
        <v>0.68091265626356601</v>
      </c>
      <c r="AF2410">
        <v>1159.9471830985899</v>
      </c>
      <c r="AG2410">
        <f>IFERROR(AH2410*0.1, "N/A")</f>
        <v>6.3137323943662</v>
      </c>
      <c r="AH2410">
        <v>63.137323943661997</v>
      </c>
      <c r="AI2410">
        <v>138.39609506096599</v>
      </c>
      <c r="AJ2410">
        <v>15.2183098591549</v>
      </c>
      <c r="AK2410">
        <v>73.0316901408451</v>
      </c>
    </row>
    <row r="2411" spans="1:37" x14ac:dyDescent="0.3">
      <c r="A2411">
        <v>2410</v>
      </c>
      <c r="B2411">
        <v>27.6</v>
      </c>
      <c r="C2411">
        <v>33.102600000000002</v>
      </c>
      <c r="D2411">
        <v>-2.8534999999999999</v>
      </c>
      <c r="E2411" t="s">
        <v>4187</v>
      </c>
      <c r="F2411" t="s">
        <v>4188</v>
      </c>
      <c r="G2411" t="s">
        <v>39</v>
      </c>
      <c r="H2411">
        <v>1970</v>
      </c>
      <c r="I2411">
        <v>22.899999618530298</v>
      </c>
      <c r="J2411">
        <v>11.1000003814697</v>
      </c>
      <c r="K2411">
        <v>70</v>
      </c>
      <c r="L2411">
        <v>7.2800002098083496</v>
      </c>
      <c r="M2411">
        <v>30.600000381469702</v>
      </c>
      <c r="N2411">
        <v>14.8999996185303</v>
      </c>
      <c r="O2411">
        <v>15.699999809265099</v>
      </c>
      <c r="P2411">
        <v>22.799999237060501</v>
      </c>
      <c r="Q2411">
        <v>22</v>
      </c>
      <c r="R2411">
        <v>23.799999237060501</v>
      </c>
      <c r="S2411">
        <v>22</v>
      </c>
      <c r="T2411">
        <v>902</v>
      </c>
      <c r="U2411">
        <v>149</v>
      </c>
      <c r="V2411">
        <v>4</v>
      </c>
      <c r="W2411">
        <v>70</v>
      </c>
      <c r="X2411">
        <v>375</v>
      </c>
      <c r="Y2411">
        <v>21</v>
      </c>
      <c r="Z2411">
        <v>214</v>
      </c>
      <c r="AA2411">
        <v>21</v>
      </c>
      <c r="AB2411">
        <v>18.556249098953799</v>
      </c>
      <c r="AC2411">
        <v>1.7870178143371E-2</v>
      </c>
      <c r="AD2411">
        <v>1.0808440798824801</v>
      </c>
      <c r="AE2411">
        <v>0.69811999797821001</v>
      </c>
      <c r="AF2411">
        <v>1194</v>
      </c>
      <c r="AG2411">
        <f>IFERROR(AH2411*0.1, "N/A")</f>
        <v>6.3488576449912104</v>
      </c>
      <c r="AH2411">
        <v>63.488576449912102</v>
      </c>
      <c r="AI2411">
        <v>281.89124473746102</v>
      </c>
      <c r="AJ2411">
        <v>17.063268892794401</v>
      </c>
      <c r="AK2411">
        <v>73</v>
      </c>
    </row>
    <row r="2412" spans="1:37" x14ac:dyDescent="0.3">
      <c r="A2412">
        <v>2411</v>
      </c>
      <c r="B2412">
        <v>77</v>
      </c>
      <c r="C2412">
        <v>32.912300000000002</v>
      </c>
      <c r="D2412">
        <v>-2.5106000000000002</v>
      </c>
      <c r="E2412" t="s">
        <v>4189</v>
      </c>
      <c r="F2412" t="s">
        <v>4190</v>
      </c>
      <c r="G2412" t="s">
        <v>37</v>
      </c>
      <c r="H2412">
        <v>1976</v>
      </c>
      <c r="I2412">
        <v>22.200000762939499</v>
      </c>
      <c r="J2412">
        <v>10.3999996185303</v>
      </c>
      <c r="K2412">
        <v>75</v>
      </c>
      <c r="L2412">
        <v>5.1700000762939498</v>
      </c>
      <c r="M2412">
        <v>28.5</v>
      </c>
      <c r="N2412">
        <v>14.699999809265099</v>
      </c>
      <c r="O2412">
        <v>13.800000190734901</v>
      </c>
      <c r="P2412">
        <v>22.299999237060501</v>
      </c>
      <c r="Q2412">
        <v>21.5</v>
      </c>
      <c r="R2412">
        <v>22.700000762939499</v>
      </c>
      <c r="S2412">
        <v>21.5</v>
      </c>
      <c r="T2412">
        <v>1105</v>
      </c>
      <c r="U2412">
        <v>184</v>
      </c>
      <c r="V2412">
        <v>9</v>
      </c>
      <c r="W2412">
        <v>65</v>
      </c>
      <c r="X2412">
        <v>452</v>
      </c>
      <c r="Y2412">
        <v>41</v>
      </c>
      <c r="Z2412">
        <v>290</v>
      </c>
      <c r="AA2412">
        <v>41</v>
      </c>
      <c r="AB2412">
        <v>83.121710740474199</v>
      </c>
      <c r="AC2412">
        <v>1.6540275313156001E-2</v>
      </c>
      <c r="AD2412">
        <v>13.1930221239726</v>
      </c>
      <c r="AE2412">
        <v>0.74941128492355302</v>
      </c>
      <c r="AF2412">
        <v>1244.15438596491</v>
      </c>
      <c r="AG2412">
        <f>IFERROR(AH2412*0.1, "N/A")</f>
        <v>5.8138596491228105</v>
      </c>
      <c r="AH2412">
        <v>58.1385964912281</v>
      </c>
      <c r="AI2412">
        <v>286.08148359332199</v>
      </c>
      <c r="AJ2412">
        <v>35.5421052631579</v>
      </c>
      <c r="AK2412">
        <v>47.591228070175397</v>
      </c>
    </row>
    <row r="2413" spans="1:37" x14ac:dyDescent="0.3">
      <c r="A2413">
        <v>2412</v>
      </c>
      <c r="B2413">
        <v>17</v>
      </c>
      <c r="C2413">
        <v>32.912300000000002</v>
      </c>
      <c r="D2413">
        <v>-2.5106000000000002</v>
      </c>
      <c r="E2413" t="s">
        <v>4189</v>
      </c>
      <c r="F2413" t="s">
        <v>4191</v>
      </c>
      <c r="G2413" t="s">
        <v>39</v>
      </c>
      <c r="H2413">
        <v>1976</v>
      </c>
      <c r="I2413">
        <v>22.200000762939499</v>
      </c>
      <c r="J2413">
        <v>10.3999996185303</v>
      </c>
      <c r="K2413">
        <v>75</v>
      </c>
      <c r="L2413">
        <v>5.1700000762939498</v>
      </c>
      <c r="M2413">
        <v>28.5</v>
      </c>
      <c r="N2413">
        <v>14.699999809265099</v>
      </c>
      <c r="O2413">
        <v>13.800000190734901</v>
      </c>
      <c r="P2413">
        <v>22.299999237060501</v>
      </c>
      <c r="Q2413">
        <v>21.5</v>
      </c>
      <c r="R2413">
        <v>22.700000762939499</v>
      </c>
      <c r="S2413">
        <v>21.5</v>
      </c>
      <c r="T2413">
        <v>1105</v>
      </c>
      <c r="U2413">
        <v>184</v>
      </c>
      <c r="V2413">
        <v>9</v>
      </c>
      <c r="W2413">
        <v>65</v>
      </c>
      <c r="X2413">
        <v>452</v>
      </c>
      <c r="Y2413">
        <v>41</v>
      </c>
      <c r="Z2413">
        <v>290</v>
      </c>
      <c r="AA2413">
        <v>41</v>
      </c>
      <c r="AB2413">
        <v>83.121710740474199</v>
      </c>
      <c r="AC2413">
        <v>1.6540275313156001E-2</v>
      </c>
      <c r="AD2413">
        <v>13.1930221239726</v>
      </c>
      <c r="AE2413">
        <v>0.74941128492355302</v>
      </c>
      <c r="AF2413">
        <v>1244.15438596491</v>
      </c>
      <c r="AG2413">
        <f>IFERROR(AH2413*0.1, "N/A")</f>
        <v>5.8138596491228105</v>
      </c>
      <c r="AH2413">
        <v>58.1385964912281</v>
      </c>
      <c r="AI2413">
        <v>286.08148359332199</v>
      </c>
      <c r="AJ2413">
        <v>35.5421052631579</v>
      </c>
      <c r="AK2413">
        <v>47.591228070175397</v>
      </c>
    </row>
    <row r="2414" spans="1:37" x14ac:dyDescent="0.3">
      <c r="A2414">
        <v>2413</v>
      </c>
      <c r="B2414">
        <v>38.200001</v>
      </c>
      <c r="C2414">
        <v>32.747501</v>
      </c>
      <c r="D2414">
        <v>-2.84083</v>
      </c>
      <c r="E2414" t="s">
        <v>4192</v>
      </c>
      <c r="F2414" t="s">
        <v>4193</v>
      </c>
      <c r="G2414" t="s">
        <v>39</v>
      </c>
      <c r="H2414">
        <v>1996</v>
      </c>
      <c r="I2414">
        <v>22.799999237060501</v>
      </c>
      <c r="J2414">
        <v>10.9079082602985</v>
      </c>
      <c r="K2414">
        <v>72.079086115992993</v>
      </c>
      <c r="L2414">
        <v>6.6644110721527801</v>
      </c>
      <c r="M2414">
        <v>30.092091739701502</v>
      </c>
      <c r="N2414">
        <v>15.0920917397015</v>
      </c>
      <c r="O2414">
        <v>15</v>
      </c>
      <c r="P2414">
        <v>22.792090746137099</v>
      </c>
      <c r="Q2414">
        <v>22</v>
      </c>
      <c r="R2414">
        <v>23.6920921211712</v>
      </c>
      <c r="S2414">
        <v>22</v>
      </c>
      <c r="T2414">
        <v>964.07908611599305</v>
      </c>
      <c r="U2414">
        <v>153</v>
      </c>
      <c r="V2414">
        <v>5</v>
      </c>
      <c r="W2414">
        <v>66.079086115992993</v>
      </c>
      <c r="X2414">
        <v>386</v>
      </c>
      <c r="Y2414">
        <v>24.920913884007</v>
      </c>
      <c r="Z2414">
        <v>253</v>
      </c>
      <c r="AA2414">
        <v>29.428822495606301</v>
      </c>
      <c r="AB2414">
        <v>17.4853689398204</v>
      </c>
      <c r="AC2414">
        <v>7.4587281312144996E-2</v>
      </c>
      <c r="AD2414">
        <v>2.1599264603717101</v>
      </c>
      <c r="AE2414">
        <v>0.61733442995376497</v>
      </c>
      <c r="AF2414">
        <v>1167.3075571177501</v>
      </c>
      <c r="AG2414">
        <f>IFERROR(AH2414*0.1, "N/A")</f>
        <v>6.0601054481546601</v>
      </c>
      <c r="AH2414">
        <v>60.601054481546598</v>
      </c>
      <c r="AI2414">
        <v>202.79391465078101</v>
      </c>
      <c r="AJ2414">
        <v>16.713532513181001</v>
      </c>
      <c r="AK2414">
        <v>72.572934973637999</v>
      </c>
    </row>
    <row r="2415" spans="1:37" x14ac:dyDescent="0.3">
      <c r="A2415">
        <v>2414</v>
      </c>
      <c r="B2415">
        <v>6.2</v>
      </c>
      <c r="C2415">
        <v>32.747501</v>
      </c>
      <c r="D2415">
        <v>-2.84083</v>
      </c>
      <c r="E2415" t="s">
        <v>4192</v>
      </c>
      <c r="F2415" t="s">
        <v>4194</v>
      </c>
      <c r="G2415" t="s">
        <v>37</v>
      </c>
      <c r="H2415">
        <v>1996</v>
      </c>
      <c r="I2415">
        <v>22.799999237060501</v>
      </c>
      <c r="J2415">
        <v>10.9079082602985</v>
      </c>
      <c r="K2415">
        <v>72.079086115992993</v>
      </c>
      <c r="L2415">
        <v>6.6644110721527801</v>
      </c>
      <c r="M2415">
        <v>30.092091739701502</v>
      </c>
      <c r="N2415">
        <v>15.0920917397015</v>
      </c>
      <c r="O2415">
        <v>15</v>
      </c>
      <c r="P2415">
        <v>22.792090746137099</v>
      </c>
      <c r="Q2415">
        <v>22</v>
      </c>
      <c r="R2415">
        <v>23.6920921211712</v>
      </c>
      <c r="S2415">
        <v>22</v>
      </c>
      <c r="T2415">
        <v>964.07908611599305</v>
      </c>
      <c r="U2415">
        <v>153</v>
      </c>
      <c r="V2415">
        <v>5</v>
      </c>
      <c r="W2415">
        <v>66.079086115992993</v>
      </c>
      <c r="X2415">
        <v>386</v>
      </c>
      <c r="Y2415">
        <v>24.920913884007</v>
      </c>
      <c r="Z2415">
        <v>253</v>
      </c>
      <c r="AA2415">
        <v>29.428822495606301</v>
      </c>
      <c r="AB2415">
        <v>17.4853689398204</v>
      </c>
      <c r="AC2415">
        <v>7.4587281312144996E-2</v>
      </c>
      <c r="AD2415">
        <v>2.1599264603717101</v>
      </c>
      <c r="AE2415">
        <v>0.61733442995376497</v>
      </c>
      <c r="AF2415">
        <v>1167.3075571177501</v>
      </c>
      <c r="AG2415">
        <f>IFERROR(AH2415*0.1, "N/A")</f>
        <v>6.0601054481546601</v>
      </c>
      <c r="AH2415">
        <v>60.601054481546598</v>
      </c>
      <c r="AI2415">
        <v>202.79391465078101</v>
      </c>
      <c r="AJ2415">
        <v>16.713532513181001</v>
      </c>
      <c r="AK2415">
        <v>72.572934973637999</v>
      </c>
    </row>
    <row r="2416" spans="1:37" x14ac:dyDescent="0.3">
      <c r="A2416">
        <v>2415</v>
      </c>
      <c r="B2416">
        <v>82.800003000000004</v>
      </c>
      <c r="C2416">
        <v>33.038601</v>
      </c>
      <c r="D2416">
        <v>-2.3935399999999998</v>
      </c>
      <c r="E2416" t="s">
        <v>4195</v>
      </c>
      <c r="F2416" t="s">
        <v>4196</v>
      </c>
      <c r="G2416" t="s">
        <v>37</v>
      </c>
      <c r="H2416">
        <v>1993</v>
      </c>
      <c r="I2416">
        <v>22.5</v>
      </c>
      <c r="J2416">
        <v>10.300000190734901</v>
      </c>
      <c r="K2416">
        <v>77</v>
      </c>
      <c r="L2416">
        <v>4.9899997711181596</v>
      </c>
      <c r="M2416">
        <v>28.600000381469702</v>
      </c>
      <c r="N2416">
        <v>15.300000190734901</v>
      </c>
      <c r="O2416">
        <v>13.300000190734901</v>
      </c>
      <c r="P2416">
        <v>22.700000762939499</v>
      </c>
      <c r="Q2416">
        <v>21.799999237060501</v>
      </c>
      <c r="R2416">
        <v>23.100000381469702</v>
      </c>
      <c r="S2416">
        <v>21.799999237060501</v>
      </c>
      <c r="T2416">
        <v>1059</v>
      </c>
      <c r="U2416">
        <v>172</v>
      </c>
      <c r="V2416">
        <v>8</v>
      </c>
      <c r="W2416">
        <v>65</v>
      </c>
      <c r="X2416">
        <v>435</v>
      </c>
      <c r="Y2416">
        <v>39</v>
      </c>
      <c r="Z2416">
        <v>267</v>
      </c>
      <c r="AA2416">
        <v>39</v>
      </c>
      <c r="AB2416">
        <v>17.647042410714299</v>
      </c>
      <c r="AC2416">
        <v>5.7027293684541999E-2</v>
      </c>
      <c r="AD2416">
        <v>2.0299341680721801</v>
      </c>
      <c r="AE2416">
        <v>0.63877844810485795</v>
      </c>
      <c r="AF2416">
        <v>1173.5343915343899</v>
      </c>
      <c r="AG2416">
        <f>IFERROR(AH2416*0.1, "N/A")</f>
        <v>6.0918871252204605</v>
      </c>
      <c r="AH2416">
        <v>60.918871252204603</v>
      </c>
      <c r="AI2416">
        <v>268.52451939389402</v>
      </c>
      <c r="AJ2416">
        <v>16.162257495590801</v>
      </c>
      <c r="AK2416">
        <v>70.837742504409206</v>
      </c>
    </row>
    <row r="2417" spans="1:37" x14ac:dyDescent="0.3">
      <c r="A2417">
        <v>2416</v>
      </c>
      <c r="B2417">
        <v>92</v>
      </c>
      <c r="C2417">
        <v>32.9133</v>
      </c>
      <c r="D2417">
        <v>-2.5112999999999999</v>
      </c>
      <c r="E2417" t="s">
        <v>4197</v>
      </c>
      <c r="F2417" t="s">
        <v>4198</v>
      </c>
      <c r="G2417" t="s">
        <v>37</v>
      </c>
      <c r="H2417">
        <v>1993</v>
      </c>
      <c r="I2417">
        <v>22.200000762939499</v>
      </c>
      <c r="J2417">
        <v>10.3999996185303</v>
      </c>
      <c r="K2417">
        <v>75</v>
      </c>
      <c r="L2417">
        <v>5.1700000762939498</v>
      </c>
      <c r="M2417">
        <v>28.5</v>
      </c>
      <c r="N2417">
        <v>14.699999809265099</v>
      </c>
      <c r="O2417">
        <v>13.800000190734901</v>
      </c>
      <c r="P2417">
        <v>22.299999237060501</v>
      </c>
      <c r="Q2417">
        <v>21.5</v>
      </c>
      <c r="R2417">
        <v>22.700000762939499</v>
      </c>
      <c r="S2417">
        <v>21.5</v>
      </c>
      <c r="T2417">
        <v>1105</v>
      </c>
      <c r="U2417">
        <v>184</v>
      </c>
      <c r="V2417">
        <v>9</v>
      </c>
      <c r="W2417">
        <v>65</v>
      </c>
      <c r="X2417">
        <v>452</v>
      </c>
      <c r="Y2417">
        <v>41</v>
      </c>
      <c r="Z2417">
        <v>290</v>
      </c>
      <c r="AA2417">
        <v>41</v>
      </c>
      <c r="AB2417">
        <v>111.30312118128001</v>
      </c>
      <c r="AC2417">
        <v>1.0535938344464001E-2</v>
      </c>
      <c r="AD2417">
        <v>8.2674296819891406</v>
      </c>
      <c r="AE2417">
        <v>0.74941128492355302</v>
      </c>
      <c r="AF2417">
        <v>1269.01054481547</v>
      </c>
      <c r="AG2417">
        <f>IFERROR(AH2417*0.1, "N/A")</f>
        <v>6.07188049209139</v>
      </c>
      <c r="AH2417">
        <v>60.718804920913897</v>
      </c>
      <c r="AI2417">
        <v>267.57862282805002</v>
      </c>
      <c r="AJ2417">
        <v>35.868189806678402</v>
      </c>
      <c r="AK2417">
        <v>48.131810193321598</v>
      </c>
    </row>
    <row r="2418" spans="1:37" x14ac:dyDescent="0.3">
      <c r="A2418">
        <v>2417</v>
      </c>
      <c r="B2418">
        <v>30</v>
      </c>
      <c r="C2418">
        <v>31.316700000000001</v>
      </c>
      <c r="D2418">
        <v>-2.6333000000000002</v>
      </c>
      <c r="E2418" t="s">
        <v>4199</v>
      </c>
      <c r="F2418" t="s">
        <v>4200</v>
      </c>
      <c r="G2418" t="s">
        <v>39</v>
      </c>
      <c r="H2418">
        <v>1980</v>
      </c>
      <c r="I2418">
        <v>21.119718766548299</v>
      </c>
      <c r="J2418">
        <v>10.079577768352699</v>
      </c>
      <c r="K2418">
        <v>83.839788732394396</v>
      </c>
      <c r="L2418">
        <v>3.27478874863034</v>
      </c>
      <c r="M2418">
        <v>27.175176419002899</v>
      </c>
      <c r="N2418">
        <v>15.199999809265099</v>
      </c>
      <c r="O2418">
        <v>11.9751761564067</v>
      </c>
      <c r="P2418">
        <v>21</v>
      </c>
      <c r="Q2418">
        <v>20.8036964342628</v>
      </c>
      <c r="R2418">
        <v>21.516021187876301</v>
      </c>
      <c r="S2418">
        <v>20.699296158804</v>
      </c>
      <c r="T2418">
        <v>987.86267605633805</v>
      </c>
      <c r="U2418">
        <v>177.19718309859101</v>
      </c>
      <c r="V2418">
        <v>2</v>
      </c>
      <c r="W2418">
        <v>66.197183098591495</v>
      </c>
      <c r="X2418">
        <v>428.19014084507</v>
      </c>
      <c r="Y2418">
        <v>21.204225352112701</v>
      </c>
      <c r="Z2418">
        <v>254.05985915493</v>
      </c>
      <c r="AA2418">
        <v>129.94366197183101</v>
      </c>
      <c r="AB2418">
        <v>22.011655135893498</v>
      </c>
      <c r="AC2418">
        <v>0.13086659147758301</v>
      </c>
      <c r="AD2418">
        <v>2.8357365488166502</v>
      </c>
      <c r="AE2418">
        <v>0.52116376161575295</v>
      </c>
      <c r="AF2418">
        <v>1423.60563380282</v>
      </c>
      <c r="AG2418">
        <f>IFERROR(AH2418*0.1, "N/A")</f>
        <v>5.66619718309859</v>
      </c>
      <c r="AH2418">
        <v>56.661971830985898</v>
      </c>
      <c r="AI2418">
        <v>96.781632806213807</v>
      </c>
      <c r="AJ2418">
        <v>33.549295774647902</v>
      </c>
      <c r="AK2418">
        <v>46.8591549295775</v>
      </c>
    </row>
    <row r="2419" spans="1:37" x14ac:dyDescent="0.3">
      <c r="A2419">
        <v>2418</v>
      </c>
      <c r="B2419">
        <v>79.199996999999996</v>
      </c>
      <c r="C2419">
        <v>31.316700000000001</v>
      </c>
      <c r="D2419">
        <v>-2.6333000000000002</v>
      </c>
      <c r="E2419" t="s">
        <v>4199</v>
      </c>
      <c r="F2419" t="s">
        <v>4201</v>
      </c>
      <c r="G2419" t="s">
        <v>37</v>
      </c>
      <c r="H2419">
        <v>1980</v>
      </c>
      <c r="I2419">
        <v>21.119718766548299</v>
      </c>
      <c r="J2419">
        <v>10.079577768352699</v>
      </c>
      <c r="K2419">
        <v>83.839788732394396</v>
      </c>
      <c r="L2419">
        <v>3.27478874863034</v>
      </c>
      <c r="M2419">
        <v>27.175176419002899</v>
      </c>
      <c r="N2419">
        <v>15.199999809265099</v>
      </c>
      <c r="O2419">
        <v>11.9751761564067</v>
      </c>
      <c r="P2419">
        <v>21</v>
      </c>
      <c r="Q2419">
        <v>20.8036964342628</v>
      </c>
      <c r="R2419">
        <v>21.516021187876301</v>
      </c>
      <c r="S2419">
        <v>20.699296158804</v>
      </c>
      <c r="T2419">
        <v>987.86267605633805</v>
      </c>
      <c r="U2419">
        <v>177.19718309859101</v>
      </c>
      <c r="V2419">
        <v>2</v>
      </c>
      <c r="W2419">
        <v>66.197183098591495</v>
      </c>
      <c r="X2419">
        <v>428.19014084507</v>
      </c>
      <c r="Y2419">
        <v>21.204225352112701</v>
      </c>
      <c r="Z2419">
        <v>254.05985915493</v>
      </c>
      <c r="AA2419">
        <v>129.94366197183101</v>
      </c>
      <c r="AB2419">
        <v>22.011655135893498</v>
      </c>
      <c r="AC2419">
        <v>0.13086659147758301</v>
      </c>
      <c r="AD2419">
        <v>2.8357365488166502</v>
      </c>
      <c r="AE2419">
        <v>0.52116376161575295</v>
      </c>
      <c r="AF2419">
        <v>1423.60563380282</v>
      </c>
      <c r="AG2419">
        <f>IFERROR(AH2419*0.1, "N/A")</f>
        <v>5.66619718309859</v>
      </c>
      <c r="AH2419">
        <v>56.661971830985898</v>
      </c>
      <c r="AI2419">
        <v>96.781632806213807</v>
      </c>
      <c r="AJ2419">
        <v>33.549295774647902</v>
      </c>
      <c r="AK2419">
        <v>46.8591549295775</v>
      </c>
    </row>
    <row r="2420" spans="1:37" x14ac:dyDescent="0.3">
      <c r="A2420">
        <v>2419</v>
      </c>
      <c r="B2420">
        <v>20</v>
      </c>
      <c r="C2420">
        <v>33.799999999999997</v>
      </c>
      <c r="D2420">
        <v>-1.5</v>
      </c>
      <c r="E2420" t="s">
        <v>4202</v>
      </c>
      <c r="F2420" t="s">
        <v>4203</v>
      </c>
      <c r="G2420" t="s">
        <v>39</v>
      </c>
      <c r="H2420">
        <v>1980</v>
      </c>
      <c r="I2420">
        <v>23.0829528647693</v>
      </c>
      <c r="J2420">
        <v>10</v>
      </c>
      <c r="K2420">
        <v>82.495606326889302</v>
      </c>
      <c r="L2420">
        <v>4.65710022327979</v>
      </c>
      <c r="M2420">
        <v>28.8333912800821</v>
      </c>
      <c r="N2420">
        <v>16.782952045514399</v>
      </c>
      <c r="O2420">
        <v>12.050439559721999</v>
      </c>
      <c r="P2420">
        <v>23.182953246238998</v>
      </c>
      <c r="Q2420">
        <v>22.3333912800821</v>
      </c>
      <c r="R2420">
        <v>23.382952101829801</v>
      </c>
      <c r="S2420">
        <v>22.3333912800821</v>
      </c>
      <c r="T2420">
        <v>921.03866432337395</v>
      </c>
      <c r="U2420">
        <v>184.83831282952499</v>
      </c>
      <c r="V2420">
        <v>18</v>
      </c>
      <c r="W2420">
        <v>63.667838312829502</v>
      </c>
      <c r="X2420">
        <v>426.84710017574702</v>
      </c>
      <c r="Y2420">
        <v>63</v>
      </c>
      <c r="Z2420">
        <v>265.51142355008801</v>
      </c>
      <c r="AA2420">
        <v>63</v>
      </c>
      <c r="AB2420">
        <v>2.2641676649686899</v>
      </c>
      <c r="AC2420">
        <v>0.32299678649275398</v>
      </c>
      <c r="AD2420">
        <v>1.2254772248083801</v>
      </c>
      <c r="AE2420">
        <v>0.743097543716431</v>
      </c>
      <c r="AF2420">
        <v>1144.9859402460499</v>
      </c>
      <c r="AG2420">
        <f>IFERROR(AH2420*0.1, "N/A")</f>
        <v>6.2008787346221403</v>
      </c>
      <c r="AH2420">
        <v>62.008787346221403</v>
      </c>
      <c r="AI2420">
        <v>70.213748254759196</v>
      </c>
      <c r="AJ2420">
        <v>37.504393673110698</v>
      </c>
      <c r="AK2420">
        <v>44.982425307557101</v>
      </c>
    </row>
    <row r="2421" spans="1:37" x14ac:dyDescent="0.3">
      <c r="A2421">
        <v>2420</v>
      </c>
      <c r="B2421">
        <v>17.600000000000001</v>
      </c>
      <c r="C2421">
        <v>33.799999999999997</v>
      </c>
      <c r="D2421">
        <v>-1.5</v>
      </c>
      <c r="E2421" t="s">
        <v>4202</v>
      </c>
      <c r="F2421" t="s">
        <v>4204</v>
      </c>
      <c r="G2421" t="s">
        <v>37</v>
      </c>
      <c r="H2421">
        <v>1980</v>
      </c>
      <c r="I2421">
        <v>23.0829528647693</v>
      </c>
      <c r="J2421">
        <v>10</v>
      </c>
      <c r="K2421">
        <v>82.495606326889302</v>
      </c>
      <c r="L2421">
        <v>4.65710022327979</v>
      </c>
      <c r="M2421">
        <v>28.8333912800821</v>
      </c>
      <c r="N2421">
        <v>16.782952045514399</v>
      </c>
      <c r="O2421">
        <v>12.050439559721999</v>
      </c>
      <c r="P2421">
        <v>23.182953246238998</v>
      </c>
      <c r="Q2421">
        <v>22.3333912800821</v>
      </c>
      <c r="R2421">
        <v>23.382952101829801</v>
      </c>
      <c r="S2421">
        <v>22.3333912800821</v>
      </c>
      <c r="T2421">
        <v>921.03866432337395</v>
      </c>
      <c r="U2421">
        <v>184.83831282952499</v>
      </c>
      <c r="V2421">
        <v>18</v>
      </c>
      <c r="W2421">
        <v>63.667838312829502</v>
      </c>
      <c r="X2421">
        <v>426.84710017574702</v>
      </c>
      <c r="Y2421">
        <v>63</v>
      </c>
      <c r="Z2421">
        <v>265.51142355008801</v>
      </c>
      <c r="AA2421">
        <v>63</v>
      </c>
      <c r="AB2421">
        <v>2.2641676649686899</v>
      </c>
      <c r="AC2421">
        <v>0.32299678649275398</v>
      </c>
      <c r="AD2421">
        <v>1.2254772248083801</v>
      </c>
      <c r="AE2421">
        <v>0.743097543716431</v>
      </c>
      <c r="AF2421">
        <v>1144.9859402460499</v>
      </c>
      <c r="AG2421">
        <f>IFERROR(AH2421*0.1, "N/A")</f>
        <v>6.2008787346221403</v>
      </c>
      <c r="AH2421">
        <v>62.008787346221403</v>
      </c>
      <c r="AI2421">
        <v>70.213748254759196</v>
      </c>
      <c r="AJ2421">
        <v>37.504393673110698</v>
      </c>
      <c r="AK2421">
        <v>44.982425307557101</v>
      </c>
    </row>
    <row r="2422" spans="1:37" x14ac:dyDescent="0.3">
      <c r="A2422">
        <v>2421</v>
      </c>
      <c r="B2422">
        <v>32.900002000000001</v>
      </c>
      <c r="C2422">
        <v>32.231400000000001</v>
      </c>
      <c r="D2422">
        <v>-2.8849999999999998</v>
      </c>
      <c r="E2422" t="s">
        <v>4205</v>
      </c>
      <c r="F2422" t="s">
        <v>4206</v>
      </c>
      <c r="G2422" t="s">
        <v>39</v>
      </c>
      <c r="H2422">
        <v>1980</v>
      </c>
      <c r="I2422">
        <v>22.100000381469702</v>
      </c>
      <c r="J2422">
        <v>10.699999809265099</v>
      </c>
      <c r="K2422">
        <v>76</v>
      </c>
      <c r="L2422">
        <v>5.0700001716613796</v>
      </c>
      <c r="M2422">
        <v>28.799999237060501</v>
      </c>
      <c r="N2422">
        <v>14.800000190734901</v>
      </c>
      <c r="O2422">
        <v>14</v>
      </c>
      <c r="P2422">
        <v>22</v>
      </c>
      <c r="Q2422">
        <v>21.5</v>
      </c>
      <c r="R2422">
        <v>22.799999237060501</v>
      </c>
      <c r="S2422">
        <v>21.5</v>
      </c>
      <c r="T2422">
        <v>993</v>
      </c>
      <c r="U2422">
        <v>158</v>
      </c>
      <c r="V2422">
        <v>3</v>
      </c>
      <c r="W2422">
        <v>64</v>
      </c>
      <c r="X2422">
        <v>395</v>
      </c>
      <c r="Y2422">
        <v>24</v>
      </c>
      <c r="Z2422">
        <v>266</v>
      </c>
      <c r="AA2422">
        <v>24</v>
      </c>
      <c r="AB2422">
        <v>0.70177257249560598</v>
      </c>
      <c r="AC2422">
        <v>1.0878204149185899</v>
      </c>
      <c r="AD2422">
        <v>0.85808108618682599</v>
      </c>
      <c r="AE2422">
        <v>0.63302534818649303</v>
      </c>
      <c r="AF2422">
        <v>1236.89806678383</v>
      </c>
      <c r="AG2422">
        <f>IFERROR(AH2422*0.1, "N/A")</f>
        <v>5.7449912126537797</v>
      </c>
      <c r="AH2422">
        <v>57.449912126537797</v>
      </c>
      <c r="AI2422">
        <v>136.72391953828699</v>
      </c>
      <c r="AJ2422">
        <v>30.9964850615114</v>
      </c>
      <c r="AK2422">
        <v>52.688927943761001</v>
      </c>
    </row>
    <row r="2423" spans="1:37" x14ac:dyDescent="0.3">
      <c r="A2423">
        <v>2422</v>
      </c>
      <c r="B2423">
        <v>38</v>
      </c>
      <c r="C2423">
        <v>32.231400000000001</v>
      </c>
      <c r="D2423">
        <v>-2.8849999999999998</v>
      </c>
      <c r="E2423" t="s">
        <v>4205</v>
      </c>
      <c r="F2423" t="s">
        <v>4207</v>
      </c>
      <c r="G2423" t="s">
        <v>37</v>
      </c>
      <c r="H2423">
        <v>1980</v>
      </c>
      <c r="I2423">
        <v>22.100000381469702</v>
      </c>
      <c r="J2423">
        <v>10.699999809265099</v>
      </c>
      <c r="K2423">
        <v>76</v>
      </c>
      <c r="L2423">
        <v>5.0700001716613796</v>
      </c>
      <c r="M2423">
        <v>28.799999237060501</v>
      </c>
      <c r="N2423">
        <v>14.800000190734901</v>
      </c>
      <c r="O2423">
        <v>14</v>
      </c>
      <c r="P2423">
        <v>22</v>
      </c>
      <c r="Q2423">
        <v>21.5</v>
      </c>
      <c r="R2423">
        <v>22.799999237060501</v>
      </c>
      <c r="S2423">
        <v>21.5</v>
      </c>
      <c r="T2423">
        <v>993</v>
      </c>
      <c r="U2423">
        <v>158</v>
      </c>
      <c r="V2423">
        <v>3</v>
      </c>
      <c r="W2423">
        <v>64</v>
      </c>
      <c r="X2423">
        <v>395</v>
      </c>
      <c r="Y2423">
        <v>24</v>
      </c>
      <c r="Z2423">
        <v>266</v>
      </c>
      <c r="AA2423">
        <v>24</v>
      </c>
      <c r="AB2423">
        <v>0.70177257249560598</v>
      </c>
      <c r="AC2423">
        <v>1.0878204149185899</v>
      </c>
      <c r="AD2423">
        <v>0.85808108618682599</v>
      </c>
      <c r="AE2423">
        <v>0.63302534818649303</v>
      </c>
      <c r="AF2423">
        <v>1236.89806678383</v>
      </c>
      <c r="AG2423">
        <f>IFERROR(AH2423*0.1, "N/A")</f>
        <v>5.7449912126537797</v>
      </c>
      <c r="AH2423">
        <v>57.449912126537797</v>
      </c>
      <c r="AI2423">
        <v>136.72391953828699</v>
      </c>
      <c r="AJ2423">
        <v>30.9964850615114</v>
      </c>
      <c r="AK2423">
        <v>52.688927943761001</v>
      </c>
    </row>
    <row r="2424" spans="1:37" x14ac:dyDescent="0.3">
      <c r="A2424">
        <v>2423</v>
      </c>
      <c r="B2424">
        <v>15.8</v>
      </c>
      <c r="C2424">
        <v>35.741900000000001</v>
      </c>
      <c r="D2424">
        <v>-6.1730999999999998</v>
      </c>
      <c r="E2424" t="s">
        <v>4208</v>
      </c>
      <c r="F2424" t="s">
        <v>4209</v>
      </c>
      <c r="G2424" t="s">
        <v>39</v>
      </c>
      <c r="H2424">
        <v>1980</v>
      </c>
      <c r="I2424">
        <v>22.5045375391243</v>
      </c>
      <c r="J2424">
        <v>12.8999996185303</v>
      </c>
      <c r="K2424">
        <v>68</v>
      </c>
      <c r="L2424">
        <v>15.8927228321788</v>
      </c>
      <c r="M2424">
        <v>31.600000381469702</v>
      </c>
      <c r="N2424">
        <v>12.699999809265099</v>
      </c>
      <c r="O2424">
        <v>18.899999618530298</v>
      </c>
      <c r="P2424">
        <v>23.804536776184801</v>
      </c>
      <c r="Q2424">
        <v>20.100000381469702</v>
      </c>
      <c r="R2424">
        <v>24.200000762939499</v>
      </c>
      <c r="S2424">
        <v>20.100000381469702</v>
      </c>
      <c r="T2424">
        <v>565.95462478185004</v>
      </c>
      <c r="U2424">
        <v>129</v>
      </c>
      <c r="V2424">
        <v>0</v>
      </c>
      <c r="W2424">
        <v>110</v>
      </c>
      <c r="X2424">
        <v>362.95462478184999</v>
      </c>
      <c r="Y2424">
        <v>0</v>
      </c>
      <c r="Z2424">
        <v>279.95462478184999</v>
      </c>
      <c r="AA2424">
        <v>0</v>
      </c>
      <c r="AB2424">
        <v>2.4015476300038201</v>
      </c>
      <c r="AC2424">
        <v>2.0543624305639E-2</v>
      </c>
      <c r="AD2424">
        <v>2.0609623124566201</v>
      </c>
      <c r="AE2424">
        <v>0.93581372499465898</v>
      </c>
      <c r="AF2424">
        <v>1122.15881326353</v>
      </c>
      <c r="AG2424">
        <f>IFERROR(AH2424*0.1, "N/A")</f>
        <v>6.8954624781849905</v>
      </c>
      <c r="AH2424">
        <v>68.954624781849901</v>
      </c>
      <c r="AI2424">
        <v>61.435837444418603</v>
      </c>
      <c r="AJ2424">
        <v>23.1361256544503</v>
      </c>
      <c r="AK2424">
        <v>60</v>
      </c>
    </row>
    <row r="2425" spans="1:37" x14ac:dyDescent="0.3">
      <c r="A2425">
        <v>2424</v>
      </c>
      <c r="B2425">
        <v>4.9000000000000004</v>
      </c>
      <c r="C2425">
        <v>35.741900000000001</v>
      </c>
      <c r="D2425">
        <v>-6.1730999999999998</v>
      </c>
      <c r="E2425" t="s">
        <v>4208</v>
      </c>
      <c r="F2425" t="s">
        <v>4210</v>
      </c>
      <c r="G2425" t="s">
        <v>37</v>
      </c>
      <c r="H2425">
        <v>1980</v>
      </c>
      <c r="I2425">
        <v>22.5045375391243</v>
      </c>
      <c r="J2425">
        <v>12.8999996185303</v>
      </c>
      <c r="K2425">
        <v>68</v>
      </c>
      <c r="L2425">
        <v>15.8927228321788</v>
      </c>
      <c r="M2425">
        <v>31.600000381469702</v>
      </c>
      <c r="N2425">
        <v>12.699999809265099</v>
      </c>
      <c r="O2425">
        <v>18.899999618530298</v>
      </c>
      <c r="P2425">
        <v>23.804536776184801</v>
      </c>
      <c r="Q2425">
        <v>20.100000381469702</v>
      </c>
      <c r="R2425">
        <v>24.200000762939499</v>
      </c>
      <c r="S2425">
        <v>20.100000381469702</v>
      </c>
      <c r="T2425">
        <v>565.95462478185004</v>
      </c>
      <c r="U2425">
        <v>129</v>
      </c>
      <c r="V2425">
        <v>0</v>
      </c>
      <c r="W2425">
        <v>110</v>
      </c>
      <c r="X2425">
        <v>362.95462478184999</v>
      </c>
      <c r="Y2425">
        <v>0</v>
      </c>
      <c r="Z2425">
        <v>279.95462478184999</v>
      </c>
      <c r="AA2425">
        <v>0</v>
      </c>
      <c r="AB2425">
        <v>2.4015476300038201</v>
      </c>
      <c r="AC2425">
        <v>2.0543624305639E-2</v>
      </c>
      <c r="AD2425">
        <v>2.0609623124566201</v>
      </c>
      <c r="AE2425">
        <v>0.93581372499465898</v>
      </c>
      <c r="AF2425">
        <v>1122.15881326353</v>
      </c>
      <c r="AG2425">
        <f>IFERROR(AH2425*0.1, "N/A")</f>
        <v>6.8954624781849905</v>
      </c>
      <c r="AH2425">
        <v>68.954624781849901</v>
      </c>
      <c r="AI2425">
        <v>61.435837444418603</v>
      </c>
      <c r="AJ2425">
        <v>23.1361256544503</v>
      </c>
      <c r="AK2425">
        <v>60</v>
      </c>
    </row>
    <row r="2426" spans="1:37" x14ac:dyDescent="0.3">
      <c r="A2426">
        <v>2425</v>
      </c>
      <c r="B2426">
        <v>37.700001</v>
      </c>
      <c r="C2426">
        <v>36.856997999999997</v>
      </c>
      <c r="D2426">
        <v>-7.9517699999999998</v>
      </c>
      <c r="E2426" t="s">
        <v>2986</v>
      </c>
      <c r="F2426" t="s">
        <v>4211</v>
      </c>
      <c r="G2426" t="s">
        <v>37</v>
      </c>
      <c r="H2426">
        <v>1995</v>
      </c>
      <c r="I2426">
        <v>24.799999237060501</v>
      </c>
      <c r="J2426">
        <v>6.8000001907348597</v>
      </c>
      <c r="K2426">
        <v>52</v>
      </c>
      <c r="L2426">
        <v>18.129999160766602</v>
      </c>
      <c r="M2426">
        <v>30.899999618530298</v>
      </c>
      <c r="N2426">
        <v>17.899999618530298</v>
      </c>
      <c r="O2426">
        <v>13</v>
      </c>
      <c r="P2426">
        <v>25.799999237060501</v>
      </c>
      <c r="Q2426">
        <v>22.700000762939499</v>
      </c>
      <c r="R2426">
        <v>26.799999237060501</v>
      </c>
      <c r="S2426">
        <v>22.100000381469702</v>
      </c>
      <c r="T2426">
        <v>1531</v>
      </c>
      <c r="U2426">
        <v>368</v>
      </c>
      <c r="V2426">
        <v>10</v>
      </c>
      <c r="W2426">
        <v>93</v>
      </c>
      <c r="X2426">
        <v>900</v>
      </c>
      <c r="Y2426">
        <v>44</v>
      </c>
      <c r="Z2426">
        <v>410</v>
      </c>
      <c r="AA2426">
        <v>51</v>
      </c>
      <c r="AB2426">
        <v>10.051998832610099</v>
      </c>
      <c r="AC2426">
        <v>1.4395872928343999E-2</v>
      </c>
      <c r="AD2426">
        <v>2.1339540957784702</v>
      </c>
      <c r="AE2426">
        <v>0.337926685810089</v>
      </c>
      <c r="AF2426">
        <v>292.32928942807598</v>
      </c>
      <c r="AG2426">
        <f>IFERROR(AH2426*0.1, "N/A")</f>
        <v>5.8968804159445405</v>
      </c>
      <c r="AH2426">
        <v>58.968804159445398</v>
      </c>
      <c r="AI2426">
        <v>134.64761837805599</v>
      </c>
      <c r="AJ2426">
        <v>30.968804159445401</v>
      </c>
      <c r="AK2426">
        <v>53.031195840554602</v>
      </c>
    </row>
    <row r="2427" spans="1:37" x14ac:dyDescent="0.3">
      <c r="A2427">
        <v>2426</v>
      </c>
      <c r="B2427">
        <v>52.5</v>
      </c>
      <c r="C2427">
        <v>36.868698000000002</v>
      </c>
      <c r="D2427">
        <v>-7.9767599999999996</v>
      </c>
      <c r="E2427" t="s">
        <v>2988</v>
      </c>
      <c r="F2427" t="s">
        <v>4212</v>
      </c>
      <c r="G2427" t="s">
        <v>37</v>
      </c>
      <c r="H2427">
        <v>1995</v>
      </c>
      <c r="I2427">
        <v>24.899999618530298</v>
      </c>
      <c r="J2427">
        <v>6.8000001907348597</v>
      </c>
      <c r="K2427">
        <v>52</v>
      </c>
      <c r="L2427">
        <v>17.959999084472699</v>
      </c>
      <c r="M2427">
        <v>30.899999618530298</v>
      </c>
      <c r="N2427">
        <v>17.899999618530298</v>
      </c>
      <c r="O2427">
        <v>13</v>
      </c>
      <c r="P2427">
        <v>25.799999237060501</v>
      </c>
      <c r="Q2427">
        <v>22.799999237060501</v>
      </c>
      <c r="R2427">
        <v>26.799999237060501</v>
      </c>
      <c r="S2427">
        <v>22.200000762939499</v>
      </c>
      <c r="T2427">
        <v>1513</v>
      </c>
      <c r="U2427">
        <v>365</v>
      </c>
      <c r="V2427">
        <v>9</v>
      </c>
      <c r="W2427">
        <v>93</v>
      </c>
      <c r="X2427">
        <v>890</v>
      </c>
      <c r="Y2427">
        <v>42</v>
      </c>
      <c r="Z2427">
        <v>408</v>
      </c>
      <c r="AA2427">
        <v>48</v>
      </c>
      <c r="AB2427">
        <v>0.67286997919497304</v>
      </c>
      <c r="AC2427">
        <v>0.71208030236480002</v>
      </c>
      <c r="AD2427">
        <v>1.26112763415212</v>
      </c>
      <c r="AE2427">
        <v>0.37943971157074002</v>
      </c>
      <c r="AF2427">
        <v>273.62434782608699</v>
      </c>
      <c r="AG2427">
        <f>IFERROR(AH2427*0.1, "N/A")</f>
        <v>6.2544347826087003</v>
      </c>
      <c r="AH2427">
        <v>62.544347826086998</v>
      </c>
      <c r="AI2427">
        <v>147.51605930494199</v>
      </c>
      <c r="AJ2427">
        <v>22.612173913043499</v>
      </c>
      <c r="AK2427">
        <v>61.526956521739102</v>
      </c>
    </row>
    <row r="2428" spans="1:37" x14ac:dyDescent="0.3">
      <c r="A2428">
        <v>2427</v>
      </c>
      <c r="B2428">
        <v>52.099997999999999</v>
      </c>
      <c r="C2428">
        <v>36.738602</v>
      </c>
      <c r="D2428">
        <v>-8.0892599999999995</v>
      </c>
      <c r="E2428" t="s">
        <v>4213</v>
      </c>
      <c r="F2428" t="s">
        <v>4214</v>
      </c>
      <c r="G2428" t="s">
        <v>39</v>
      </c>
      <c r="H2428">
        <v>1995</v>
      </c>
      <c r="I2428">
        <v>24.700000762939499</v>
      </c>
      <c r="J2428">
        <v>6.8000001907348597</v>
      </c>
      <c r="K2428">
        <v>51</v>
      </c>
      <c r="L2428">
        <v>18.139999389648398</v>
      </c>
      <c r="M2428">
        <v>30.799999237060501</v>
      </c>
      <c r="N2428">
        <v>17.700000762939499</v>
      </c>
      <c r="O2428">
        <v>13.1000003814697</v>
      </c>
      <c r="P2428">
        <v>25.600000381469702</v>
      </c>
      <c r="Q2428">
        <v>22.5</v>
      </c>
      <c r="R2428">
        <v>26.700000762939499</v>
      </c>
      <c r="S2428">
        <v>22</v>
      </c>
      <c r="T2428">
        <v>1459</v>
      </c>
      <c r="U2428">
        <v>355</v>
      </c>
      <c r="V2428">
        <v>7</v>
      </c>
      <c r="W2428">
        <v>97</v>
      </c>
      <c r="X2428">
        <v>876</v>
      </c>
      <c r="Y2428">
        <v>32</v>
      </c>
      <c r="Z2428">
        <v>401</v>
      </c>
      <c r="AA2428">
        <v>39</v>
      </c>
      <c r="AB2428">
        <v>16.179983926354701</v>
      </c>
      <c r="AC2428">
        <v>1.4356005989942E-2</v>
      </c>
      <c r="AD2428">
        <v>2.7936371043967898</v>
      </c>
      <c r="AE2428">
        <v>0.47674392974438501</v>
      </c>
      <c r="AF2428">
        <v>276.38514680483598</v>
      </c>
      <c r="AG2428">
        <f>IFERROR(AH2428*0.1, "N/A")</f>
        <v>5.9977547495682204</v>
      </c>
      <c r="AH2428">
        <v>59.977547495682202</v>
      </c>
      <c r="AI2428">
        <v>197.88605302932601</v>
      </c>
      <c r="AJ2428">
        <v>22.996545768566499</v>
      </c>
      <c r="AK2428">
        <v>62.018998272884303</v>
      </c>
    </row>
    <row r="2429" spans="1:37" x14ac:dyDescent="0.3">
      <c r="A2429">
        <v>2428</v>
      </c>
      <c r="B2429">
        <v>4.2</v>
      </c>
      <c r="C2429">
        <v>36.738602</v>
      </c>
      <c r="D2429">
        <v>-8.0892599999999995</v>
      </c>
      <c r="E2429" t="s">
        <v>4213</v>
      </c>
      <c r="F2429" t="s">
        <v>4215</v>
      </c>
      <c r="G2429" t="s">
        <v>37</v>
      </c>
      <c r="H2429">
        <v>1995</v>
      </c>
      <c r="I2429">
        <v>24.700000762939499</v>
      </c>
      <c r="J2429">
        <v>6.8000001907348597</v>
      </c>
      <c r="K2429">
        <v>51</v>
      </c>
      <c r="L2429">
        <v>18.139999389648398</v>
      </c>
      <c r="M2429">
        <v>30.799999237060501</v>
      </c>
      <c r="N2429">
        <v>17.700000762939499</v>
      </c>
      <c r="O2429">
        <v>13.1000003814697</v>
      </c>
      <c r="P2429">
        <v>25.600000381469702</v>
      </c>
      <c r="Q2429">
        <v>22.5</v>
      </c>
      <c r="R2429">
        <v>26.700000762939499</v>
      </c>
      <c r="S2429">
        <v>22</v>
      </c>
      <c r="T2429">
        <v>1459</v>
      </c>
      <c r="U2429">
        <v>355</v>
      </c>
      <c r="V2429">
        <v>7</v>
      </c>
      <c r="W2429">
        <v>97</v>
      </c>
      <c r="X2429">
        <v>876</v>
      </c>
      <c r="Y2429">
        <v>32</v>
      </c>
      <c r="Z2429">
        <v>401</v>
      </c>
      <c r="AA2429">
        <v>39</v>
      </c>
      <c r="AB2429">
        <v>16.179983926354701</v>
      </c>
      <c r="AC2429">
        <v>1.4356005989942E-2</v>
      </c>
      <c r="AD2429">
        <v>2.7936371043967898</v>
      </c>
      <c r="AE2429">
        <v>0.47674392974438501</v>
      </c>
      <c r="AF2429">
        <v>276.38514680483598</v>
      </c>
      <c r="AG2429">
        <f>IFERROR(AH2429*0.1, "N/A")</f>
        <v>5.9977547495682204</v>
      </c>
      <c r="AH2429">
        <v>59.977547495682202</v>
      </c>
      <c r="AI2429">
        <v>197.88605302932601</v>
      </c>
      <c r="AJ2429">
        <v>22.996545768566499</v>
      </c>
      <c r="AK2429">
        <v>62.018998272884303</v>
      </c>
    </row>
    <row r="2430" spans="1:37" x14ac:dyDescent="0.3">
      <c r="A2430">
        <v>2429</v>
      </c>
      <c r="B2430">
        <v>0</v>
      </c>
      <c r="C2430">
        <v>36.487999000000002</v>
      </c>
      <c r="D2430">
        <v>-8.1027100000000001</v>
      </c>
      <c r="E2430" t="s">
        <v>3000</v>
      </c>
      <c r="F2430" t="s">
        <v>4216</v>
      </c>
      <c r="G2430" t="s">
        <v>37</v>
      </c>
      <c r="H2430">
        <v>1995</v>
      </c>
      <c r="I2430">
        <v>24.899999618530298</v>
      </c>
      <c r="J2430">
        <v>7.1999998092651403</v>
      </c>
      <c r="K2430">
        <v>53</v>
      </c>
      <c r="L2430">
        <v>17.809999465942401</v>
      </c>
      <c r="M2430">
        <v>31.200000762939499</v>
      </c>
      <c r="N2430">
        <v>17.700000762939499</v>
      </c>
      <c r="O2430">
        <v>13.5</v>
      </c>
      <c r="P2430">
        <v>25.799999237060501</v>
      </c>
      <c r="Q2430">
        <v>22.799999237060501</v>
      </c>
      <c r="R2430">
        <v>26.799999237060501</v>
      </c>
      <c r="S2430">
        <v>22.200000762939499</v>
      </c>
      <c r="T2430">
        <v>1432</v>
      </c>
      <c r="U2430">
        <v>358</v>
      </c>
      <c r="V2430">
        <v>5</v>
      </c>
      <c r="W2430">
        <v>100</v>
      </c>
      <c r="X2430">
        <v>869</v>
      </c>
      <c r="Y2430">
        <v>25</v>
      </c>
      <c r="Z2430">
        <v>401</v>
      </c>
      <c r="AA2430">
        <v>31</v>
      </c>
      <c r="AB2430">
        <v>6.2767774558769798</v>
      </c>
      <c r="AC2430">
        <v>8.5082138473719995E-3</v>
      </c>
      <c r="AD2430">
        <v>1.5793929108300699</v>
      </c>
      <c r="AE2430">
        <v>0.42629352211952198</v>
      </c>
      <c r="AF2430">
        <v>278.934142114385</v>
      </c>
      <c r="AG2430">
        <f>IFERROR(AH2430*0.1, "N/A")</f>
        <v>6.2570190641247798</v>
      </c>
      <c r="AH2430">
        <v>62.570190641247798</v>
      </c>
      <c r="AI2430">
        <v>129.726947989373</v>
      </c>
      <c r="AJ2430">
        <v>28.6447140381282</v>
      </c>
      <c r="AK2430">
        <v>56.429809358752202</v>
      </c>
    </row>
    <row r="2431" spans="1:37" x14ac:dyDescent="0.3">
      <c r="A2431">
        <v>2430</v>
      </c>
      <c r="B2431">
        <v>1.3</v>
      </c>
      <c r="C2431">
        <v>36.695202000000002</v>
      </c>
      <c r="D2431">
        <v>-8.0949000000000009</v>
      </c>
      <c r="E2431" t="s">
        <v>2998</v>
      </c>
      <c r="F2431" t="s">
        <v>4217</v>
      </c>
      <c r="G2431" t="s">
        <v>37</v>
      </c>
      <c r="H2431">
        <v>1995</v>
      </c>
      <c r="I2431">
        <v>24.799999237060501</v>
      </c>
      <c r="J2431">
        <v>6.8000001907348597</v>
      </c>
      <c r="K2431">
        <v>51</v>
      </c>
      <c r="L2431">
        <v>18.430000305175799</v>
      </c>
      <c r="M2431">
        <v>30.899999618530298</v>
      </c>
      <c r="N2431">
        <v>17.700000762939499</v>
      </c>
      <c r="O2431">
        <v>13.199999809265099</v>
      </c>
      <c r="P2431">
        <v>25.600000381469702</v>
      </c>
      <c r="Q2431">
        <v>22.600000381469702</v>
      </c>
      <c r="R2431">
        <v>26.799999237060501</v>
      </c>
      <c r="S2431">
        <v>22</v>
      </c>
      <c r="T2431">
        <v>1438</v>
      </c>
      <c r="U2431">
        <v>353</v>
      </c>
      <c r="V2431">
        <v>6</v>
      </c>
      <c r="W2431">
        <v>98</v>
      </c>
      <c r="X2431">
        <v>867</v>
      </c>
      <c r="Y2431">
        <v>30</v>
      </c>
      <c r="Z2431">
        <v>397</v>
      </c>
      <c r="AA2431">
        <v>36</v>
      </c>
      <c r="AB2431">
        <v>9.1197789510091205</v>
      </c>
      <c r="AC2431">
        <v>1.6091138177823001E-2</v>
      </c>
      <c r="AD2431">
        <v>2.5802039690315701</v>
      </c>
      <c r="AE2431">
        <v>0.685718894004822</v>
      </c>
      <c r="AF2431">
        <v>271.30208333333297</v>
      </c>
      <c r="AG2431">
        <f>IFERROR(AH2431*0.1, "N/A")</f>
        <v>6.0359375000000002</v>
      </c>
      <c r="AH2431">
        <v>60.359375</v>
      </c>
      <c r="AI2431">
        <v>258.68652788797999</v>
      </c>
      <c r="AJ2431">
        <v>22.71875</v>
      </c>
      <c r="AK2431">
        <v>59.640625</v>
      </c>
    </row>
    <row r="2432" spans="1:37" x14ac:dyDescent="0.3">
      <c r="A2432">
        <v>2431</v>
      </c>
      <c r="B2432">
        <v>53.599997999999999</v>
      </c>
      <c r="C2432">
        <v>36.608299000000002</v>
      </c>
      <c r="D2432">
        <v>-8.0804200000000002</v>
      </c>
      <c r="E2432" t="s">
        <v>4218</v>
      </c>
      <c r="F2432" t="s">
        <v>4219</v>
      </c>
      <c r="G2432" t="s">
        <v>39</v>
      </c>
      <c r="H2432">
        <v>1995</v>
      </c>
      <c r="I2432">
        <v>24.700000762939499</v>
      </c>
      <c r="J2432">
        <v>6.9000000953674299</v>
      </c>
      <c r="K2432">
        <v>51.646956521739099</v>
      </c>
      <c r="L2432">
        <v>17.724713698677402</v>
      </c>
      <c r="M2432">
        <v>30.835303719561999</v>
      </c>
      <c r="N2432">
        <v>17.600000381469702</v>
      </c>
      <c r="O2432">
        <v>13.2353042917666</v>
      </c>
      <c r="P2432">
        <v>25.5</v>
      </c>
      <c r="Q2432">
        <v>22.600000381469702</v>
      </c>
      <c r="R2432">
        <v>26.600000381469702</v>
      </c>
      <c r="S2432">
        <v>22</v>
      </c>
      <c r="T2432">
        <v>1442.0591304347799</v>
      </c>
      <c r="U2432">
        <v>359.35304347826099</v>
      </c>
      <c r="V2432">
        <v>5</v>
      </c>
      <c r="W2432">
        <v>99</v>
      </c>
      <c r="X2432">
        <v>878.35304347826104</v>
      </c>
      <c r="Y2432">
        <v>28</v>
      </c>
      <c r="Z2432">
        <v>396.35304347826099</v>
      </c>
      <c r="AA2432">
        <v>34</v>
      </c>
      <c r="AB2432">
        <v>17.643125265370202</v>
      </c>
      <c r="AC2432">
        <v>1.3249055913285001E-2</v>
      </c>
      <c r="AD2432">
        <v>1.1124003536804901</v>
      </c>
      <c r="AE2432">
        <v>0.51363217830658003</v>
      </c>
      <c r="AF2432">
        <v>289.53043478260901</v>
      </c>
      <c r="AG2432">
        <f>IFERROR(AH2432*0.1, "N/A")</f>
        <v>6.1846956521739109</v>
      </c>
      <c r="AH2432">
        <v>61.846956521739102</v>
      </c>
      <c r="AI2432">
        <v>89.029809132451604</v>
      </c>
      <c r="AJ2432">
        <v>33.052173913043497</v>
      </c>
      <c r="AK2432">
        <v>50.64</v>
      </c>
    </row>
    <row r="2433" spans="1:37" x14ac:dyDescent="0.3">
      <c r="A2433">
        <v>2432</v>
      </c>
      <c r="B2433">
        <v>5.8</v>
      </c>
      <c r="C2433">
        <v>36.608299000000002</v>
      </c>
      <c r="D2433">
        <v>-8.0804200000000002</v>
      </c>
      <c r="E2433" t="s">
        <v>4218</v>
      </c>
      <c r="F2433" t="s">
        <v>4220</v>
      </c>
      <c r="G2433" t="s">
        <v>37</v>
      </c>
      <c r="H2433">
        <v>1995</v>
      </c>
      <c r="I2433">
        <v>24.700000762939499</v>
      </c>
      <c r="J2433">
        <v>6.9000000953674299</v>
      </c>
      <c r="K2433">
        <v>51.646956521739099</v>
      </c>
      <c r="L2433">
        <v>17.724713698677402</v>
      </c>
      <c r="M2433">
        <v>30.835303719561999</v>
      </c>
      <c r="N2433">
        <v>17.600000381469702</v>
      </c>
      <c r="O2433">
        <v>13.2353042917666</v>
      </c>
      <c r="P2433">
        <v>25.5</v>
      </c>
      <c r="Q2433">
        <v>22.600000381469702</v>
      </c>
      <c r="R2433">
        <v>26.600000381469702</v>
      </c>
      <c r="S2433">
        <v>22</v>
      </c>
      <c r="T2433">
        <v>1442.0591304347799</v>
      </c>
      <c r="U2433">
        <v>359.35304347826099</v>
      </c>
      <c r="V2433">
        <v>5</v>
      </c>
      <c r="W2433">
        <v>99</v>
      </c>
      <c r="X2433">
        <v>878.35304347826104</v>
      </c>
      <c r="Y2433">
        <v>28</v>
      </c>
      <c r="Z2433">
        <v>396.35304347826099</v>
      </c>
      <c r="AA2433">
        <v>34</v>
      </c>
      <c r="AB2433">
        <v>17.643125265370202</v>
      </c>
      <c r="AC2433">
        <v>1.3249055913285001E-2</v>
      </c>
      <c r="AD2433">
        <v>1.1124003536804901</v>
      </c>
      <c r="AE2433">
        <v>0.51363217830658003</v>
      </c>
      <c r="AF2433">
        <v>289.53043478260901</v>
      </c>
      <c r="AG2433">
        <f>IFERROR(AH2433*0.1, "N/A")</f>
        <v>6.1846956521739109</v>
      </c>
      <c r="AH2433">
        <v>61.846956521739102</v>
      </c>
      <c r="AI2433">
        <v>89.029809132451604</v>
      </c>
      <c r="AJ2433">
        <v>33.052173913043497</v>
      </c>
      <c r="AK2433">
        <v>50.64</v>
      </c>
    </row>
    <row r="2434" spans="1:37" x14ac:dyDescent="0.3">
      <c r="A2434">
        <v>2433</v>
      </c>
      <c r="B2434">
        <v>3</v>
      </c>
      <c r="C2434">
        <v>36.841498999999999</v>
      </c>
      <c r="D2434">
        <v>-8.0230800000000002</v>
      </c>
      <c r="E2434" t="s">
        <v>2990</v>
      </c>
      <c r="F2434" t="s">
        <v>4221</v>
      </c>
      <c r="G2434" t="s">
        <v>37</v>
      </c>
      <c r="H2434">
        <v>1995</v>
      </c>
      <c r="I2434">
        <v>24.899999618530298</v>
      </c>
      <c r="J2434">
        <v>6.8000001907348597</v>
      </c>
      <c r="K2434">
        <v>52</v>
      </c>
      <c r="L2434">
        <v>18.067569706175099</v>
      </c>
      <c r="M2434">
        <v>30.899999618530298</v>
      </c>
      <c r="N2434">
        <v>18</v>
      </c>
      <c r="O2434">
        <v>12.8999996185303</v>
      </c>
      <c r="P2434">
        <v>25.799999237060501</v>
      </c>
      <c r="Q2434">
        <v>22.799999237060501</v>
      </c>
      <c r="R2434">
        <v>26.899999618530298</v>
      </c>
      <c r="S2434">
        <v>22.200000762939499</v>
      </c>
      <c r="T2434">
        <v>1494.3263888888901</v>
      </c>
      <c r="U2434">
        <v>360</v>
      </c>
      <c r="V2434">
        <v>9</v>
      </c>
      <c r="W2434">
        <v>94</v>
      </c>
      <c r="X2434">
        <v>883</v>
      </c>
      <c r="Y2434">
        <v>40</v>
      </c>
      <c r="Z2434">
        <v>406</v>
      </c>
      <c r="AA2434">
        <v>46</v>
      </c>
      <c r="AB2434">
        <v>3.2121407720777699</v>
      </c>
      <c r="AC2434">
        <v>1.1861005681567E-2</v>
      </c>
      <c r="AD2434">
        <v>1.6080327762497799</v>
      </c>
      <c r="AE2434">
        <v>0.47420817613601701</v>
      </c>
      <c r="AF2434">
        <v>266.21701388888903</v>
      </c>
      <c r="AG2434">
        <f>IFERROR(AH2434*0.1, "N/A")</f>
        <v>5.9317708333333306</v>
      </c>
      <c r="AH2434">
        <v>59.3177083333333</v>
      </c>
      <c r="AI2434">
        <v>148.94869778553601</v>
      </c>
      <c r="AJ2434">
        <v>26</v>
      </c>
      <c r="AK2434">
        <v>60.6145833333333</v>
      </c>
    </row>
    <row r="2435" spans="1:37" x14ac:dyDescent="0.3">
      <c r="A2435">
        <v>2434</v>
      </c>
      <c r="B2435">
        <v>2.6</v>
      </c>
      <c r="C2435">
        <v>36.688899999999997</v>
      </c>
      <c r="D2435">
        <v>-8.0853800000000007</v>
      </c>
      <c r="E2435" t="s">
        <v>2992</v>
      </c>
      <c r="F2435" t="s">
        <v>4222</v>
      </c>
      <c r="G2435" t="s">
        <v>37</v>
      </c>
      <c r="H2435">
        <v>1995</v>
      </c>
      <c r="I2435">
        <v>24.700000762939499</v>
      </c>
      <c r="J2435">
        <v>6.8000001907348597</v>
      </c>
      <c r="K2435">
        <v>51</v>
      </c>
      <c r="L2435">
        <v>18.360000610351602</v>
      </c>
      <c r="M2435">
        <v>30.799999237060501</v>
      </c>
      <c r="N2435">
        <v>17.600000381469702</v>
      </c>
      <c r="O2435">
        <v>13.199999809265099</v>
      </c>
      <c r="P2435">
        <v>25.5</v>
      </c>
      <c r="Q2435">
        <v>22.5</v>
      </c>
      <c r="R2435">
        <v>26.700000762939499</v>
      </c>
      <c r="S2435">
        <v>21.899999618530298</v>
      </c>
      <c r="T2435">
        <v>1442</v>
      </c>
      <c r="U2435">
        <v>354</v>
      </c>
      <c r="V2435">
        <v>6</v>
      </c>
      <c r="W2435">
        <v>98</v>
      </c>
      <c r="X2435">
        <v>872</v>
      </c>
      <c r="Y2435">
        <v>30</v>
      </c>
      <c r="Z2435">
        <v>397</v>
      </c>
      <c r="AA2435">
        <v>36</v>
      </c>
      <c r="AB2435">
        <v>4.6787894870923896</v>
      </c>
      <c r="AC2435">
        <v>8.9798090574530007E-3</v>
      </c>
      <c r="AD2435">
        <v>1.65000900662464</v>
      </c>
      <c r="AE2435">
        <v>0.71814900636672996</v>
      </c>
      <c r="AF2435">
        <v>273.38086956521698</v>
      </c>
      <c r="AG2435">
        <f>IFERROR(AH2435*0.1, "N/A")</f>
        <v>6</v>
      </c>
      <c r="AH2435">
        <v>60</v>
      </c>
      <c r="AI2435">
        <v>94.772739622696605</v>
      </c>
      <c r="AJ2435">
        <v>26</v>
      </c>
      <c r="AK2435">
        <v>57</v>
      </c>
    </row>
    <row r="2436" spans="1:37" x14ac:dyDescent="0.3">
      <c r="A2436">
        <v>2435</v>
      </c>
      <c r="B2436">
        <v>2.7</v>
      </c>
      <c r="C2436">
        <v>36.682098000000003</v>
      </c>
      <c r="D2436">
        <v>-8.0891199999999994</v>
      </c>
      <c r="E2436" t="s">
        <v>2994</v>
      </c>
      <c r="F2436" t="s">
        <v>4223</v>
      </c>
      <c r="G2436" t="s">
        <v>37</v>
      </c>
      <c r="H2436">
        <v>1995</v>
      </c>
      <c r="I2436">
        <v>24.700000762939499</v>
      </c>
      <c r="J2436">
        <v>6.8000001907348597</v>
      </c>
      <c r="K2436">
        <v>51</v>
      </c>
      <c r="L2436">
        <v>18.5200004577637</v>
      </c>
      <c r="M2436">
        <v>30.899999618530298</v>
      </c>
      <c r="N2436">
        <v>17.700000762939499</v>
      </c>
      <c r="O2436">
        <v>13.199999809265099</v>
      </c>
      <c r="P2436">
        <v>25.600000381469702</v>
      </c>
      <c r="Q2436">
        <v>22.5</v>
      </c>
      <c r="R2436">
        <v>26.799999237060501</v>
      </c>
      <c r="S2436">
        <v>22</v>
      </c>
      <c r="T2436">
        <v>1434</v>
      </c>
      <c r="U2436">
        <v>353</v>
      </c>
      <c r="V2436">
        <v>6</v>
      </c>
      <c r="W2436">
        <v>98</v>
      </c>
      <c r="X2436">
        <v>868</v>
      </c>
      <c r="Y2436">
        <v>29</v>
      </c>
      <c r="Z2436">
        <v>395</v>
      </c>
      <c r="AA2436">
        <v>35</v>
      </c>
      <c r="AB2436">
        <v>12.536171038670499</v>
      </c>
      <c r="AC2436">
        <v>8.9038151258340002E-3</v>
      </c>
      <c r="AD2436">
        <v>2.1730446854677199</v>
      </c>
      <c r="AE2436">
        <v>0.69633013010025002</v>
      </c>
      <c r="AF2436">
        <v>273.71453287197198</v>
      </c>
      <c r="AG2436">
        <f>IFERROR(AH2436*0.1, "N/A")</f>
        <v>6.4</v>
      </c>
      <c r="AH2436">
        <v>64</v>
      </c>
      <c r="AI2436">
        <v>279.27686689964202</v>
      </c>
      <c r="AJ2436">
        <v>26.948096885813101</v>
      </c>
      <c r="AK2436">
        <v>57</v>
      </c>
    </row>
    <row r="2437" spans="1:37" x14ac:dyDescent="0.3">
      <c r="A2437">
        <v>2436</v>
      </c>
      <c r="B2437">
        <v>21</v>
      </c>
      <c r="C2437">
        <v>30.678599999999999</v>
      </c>
      <c r="D2437">
        <v>4.0914000000000001</v>
      </c>
      <c r="E2437" t="s">
        <v>4224</v>
      </c>
      <c r="F2437" t="s">
        <v>4225</v>
      </c>
      <c r="G2437" t="s">
        <v>37</v>
      </c>
      <c r="H2437">
        <v>1987</v>
      </c>
      <c r="I2437">
        <v>24.5184211229023</v>
      </c>
      <c r="J2437">
        <v>13.5</v>
      </c>
      <c r="K2437">
        <v>73</v>
      </c>
      <c r="L2437">
        <v>10.024737056933001</v>
      </c>
      <c r="M2437">
        <v>34.099998474121101</v>
      </c>
      <c r="N2437">
        <v>15.800000190734901</v>
      </c>
      <c r="O2437">
        <v>18.299999237060501</v>
      </c>
      <c r="P2437">
        <v>23.399999618530298</v>
      </c>
      <c r="Q2437">
        <v>25.100000381469702</v>
      </c>
      <c r="R2437">
        <v>25.899999618530298</v>
      </c>
      <c r="S2437">
        <v>23.381578495627998</v>
      </c>
      <c r="T2437">
        <v>1335.1842105263199</v>
      </c>
      <c r="U2437">
        <v>190.18421052631601</v>
      </c>
      <c r="V2437">
        <v>7</v>
      </c>
      <c r="W2437">
        <v>60</v>
      </c>
      <c r="X2437">
        <v>529.18421052631595</v>
      </c>
      <c r="Y2437">
        <v>44</v>
      </c>
      <c r="Z2437">
        <v>214</v>
      </c>
      <c r="AA2437">
        <v>526.18421052631595</v>
      </c>
      <c r="AB2437">
        <v>20.3491569652892</v>
      </c>
      <c r="AC2437">
        <v>1.0994701464906E-2</v>
      </c>
      <c r="AD2437">
        <v>2.0594694997134999</v>
      </c>
      <c r="AE2437">
        <v>0.80008238554000899</v>
      </c>
      <c r="AF2437">
        <v>830.82456140350905</v>
      </c>
      <c r="AG2437">
        <f>IFERROR(AH2437*0.1, "N/A")</f>
        <v>5.7026315789473703</v>
      </c>
      <c r="AH2437">
        <v>57.026315789473699</v>
      </c>
      <c r="AI2437">
        <v>89.173011117232505</v>
      </c>
      <c r="AJ2437">
        <v>31.6</v>
      </c>
      <c r="AK2437">
        <v>51.4</v>
      </c>
    </row>
    <row r="2438" spans="1:37" x14ac:dyDescent="0.3">
      <c r="A2438">
        <v>2437</v>
      </c>
      <c r="B2438">
        <v>2.5</v>
      </c>
      <c r="C2438">
        <v>32.567799000000001</v>
      </c>
      <c r="D2438">
        <v>4.4133300000000002</v>
      </c>
      <c r="E2438" t="s">
        <v>4226</v>
      </c>
      <c r="F2438" t="s">
        <v>4227</v>
      </c>
      <c r="G2438" t="s">
        <v>37</v>
      </c>
      <c r="H2438">
        <v>1987</v>
      </c>
      <c r="I2438">
        <v>26.799999237060501</v>
      </c>
      <c r="J2438">
        <v>14.3999996185303</v>
      </c>
      <c r="K2438">
        <v>76</v>
      </c>
      <c r="L2438">
        <v>14.050000190734901</v>
      </c>
      <c r="M2438">
        <v>37.5</v>
      </c>
      <c r="N2438">
        <v>18.700000762939499</v>
      </c>
      <c r="O2438">
        <v>18.799999237060501</v>
      </c>
      <c r="P2438">
        <v>24.899999618530298</v>
      </c>
      <c r="Q2438">
        <v>28</v>
      </c>
      <c r="R2438">
        <v>28.600000381469702</v>
      </c>
      <c r="S2438">
        <v>24.899999618530298</v>
      </c>
      <c r="T2438">
        <v>967</v>
      </c>
      <c r="U2438">
        <v>154</v>
      </c>
      <c r="V2438">
        <v>6</v>
      </c>
      <c r="W2438">
        <v>60</v>
      </c>
      <c r="X2438">
        <v>412</v>
      </c>
      <c r="Y2438">
        <v>37</v>
      </c>
      <c r="Z2438">
        <v>67</v>
      </c>
      <c r="AA2438">
        <v>412</v>
      </c>
      <c r="AB2438">
        <v>11.3765058550918</v>
      </c>
      <c r="AC2438">
        <v>2.2518687549848E-2</v>
      </c>
      <c r="AD2438">
        <v>1.4216651251441501</v>
      </c>
      <c r="AE2438">
        <v>0.77049975667083503</v>
      </c>
      <c r="AF2438">
        <v>612.15614035087697</v>
      </c>
      <c r="AG2438">
        <f>IFERROR(AH2438*0.1, "N/A")</f>
        <v>6.3471929824561402</v>
      </c>
      <c r="AH2438">
        <v>63.4719298245614</v>
      </c>
      <c r="AI2438">
        <v>199.43327700966299</v>
      </c>
      <c r="AJ2438">
        <v>31.433333333333302</v>
      </c>
      <c r="AK2438">
        <v>47.173684210526297</v>
      </c>
    </row>
    <row r="2439" spans="1:37" x14ac:dyDescent="0.3">
      <c r="A2439">
        <v>2438</v>
      </c>
      <c r="B2439">
        <v>37.599997999999999</v>
      </c>
      <c r="C2439">
        <v>28.416401</v>
      </c>
      <c r="D2439">
        <v>4.5705999999999998</v>
      </c>
      <c r="E2439" t="s">
        <v>4228</v>
      </c>
      <c r="F2439" t="s">
        <v>4229</v>
      </c>
      <c r="G2439" t="s">
        <v>37</v>
      </c>
      <c r="H2439">
        <v>1987</v>
      </c>
      <c r="I2439">
        <v>24.399999618530298</v>
      </c>
      <c r="J2439">
        <v>12.650262790887</v>
      </c>
      <c r="K2439">
        <v>72</v>
      </c>
      <c r="L2439">
        <v>7.8489493547095499</v>
      </c>
      <c r="M2439">
        <v>33.700000762939503</v>
      </c>
      <c r="N2439">
        <v>16.299999237060501</v>
      </c>
      <c r="O2439">
        <v>17.399999618530298</v>
      </c>
      <c r="P2439">
        <v>23.700000762939499</v>
      </c>
      <c r="Q2439">
        <v>24.799999237060501</v>
      </c>
      <c r="R2439">
        <v>25.449737111240299</v>
      </c>
      <c r="S2439">
        <v>23.399999618530298</v>
      </c>
      <c r="T2439">
        <v>1455.0052539404601</v>
      </c>
      <c r="U2439">
        <v>212</v>
      </c>
      <c r="V2439">
        <v>6</v>
      </c>
      <c r="W2439">
        <v>60</v>
      </c>
      <c r="X2439">
        <v>585</v>
      </c>
      <c r="Y2439">
        <v>48</v>
      </c>
      <c r="Z2439">
        <v>263.50262697022799</v>
      </c>
      <c r="AA2439">
        <v>567</v>
      </c>
      <c r="AB2439">
        <v>2.7413459417072601</v>
      </c>
      <c r="AC2439">
        <v>0.17585659031666501</v>
      </c>
      <c r="AD2439">
        <v>2.1624689148102898</v>
      </c>
      <c r="AE2439">
        <v>0.80509978532791104</v>
      </c>
      <c r="AF2439">
        <v>655.73730297723296</v>
      </c>
      <c r="AG2439">
        <f>IFERROR(AH2439*0.1, "N/A")</f>
        <v>5.7497373029772305</v>
      </c>
      <c r="AH2439">
        <v>57.497373029772298</v>
      </c>
      <c r="AI2439">
        <v>123.40157131054799</v>
      </c>
      <c r="AJ2439">
        <v>27.497373029772302</v>
      </c>
      <c r="AK2439">
        <v>57</v>
      </c>
    </row>
    <row r="2440" spans="1:37" x14ac:dyDescent="0.3">
      <c r="A2440">
        <v>2439</v>
      </c>
      <c r="B2440">
        <v>0.7</v>
      </c>
      <c r="C2440">
        <v>33.590302000000001</v>
      </c>
      <c r="D2440">
        <v>4.7717000000000001</v>
      </c>
      <c r="E2440" t="s">
        <v>4230</v>
      </c>
      <c r="F2440" t="s">
        <v>4231</v>
      </c>
      <c r="G2440" t="s">
        <v>37</v>
      </c>
      <c r="H2440">
        <v>1987</v>
      </c>
      <c r="I2440">
        <v>26.100000381469702</v>
      </c>
      <c r="J2440">
        <v>12.3999996185303</v>
      </c>
      <c r="K2440">
        <v>77</v>
      </c>
      <c r="L2440">
        <v>11.6300001144409</v>
      </c>
      <c r="M2440">
        <v>35</v>
      </c>
      <c r="N2440">
        <v>19.100000381469702</v>
      </c>
      <c r="O2440">
        <v>15.8999996185303</v>
      </c>
      <c r="P2440">
        <v>24.600000381469702</v>
      </c>
      <c r="Q2440">
        <v>27</v>
      </c>
      <c r="R2440">
        <v>27.600000381469702</v>
      </c>
      <c r="S2440">
        <v>24.600000381469702</v>
      </c>
      <c r="T2440">
        <v>657</v>
      </c>
      <c r="U2440">
        <v>96</v>
      </c>
      <c r="V2440">
        <v>7</v>
      </c>
      <c r="W2440">
        <v>51</v>
      </c>
      <c r="X2440">
        <v>254</v>
      </c>
      <c r="Y2440">
        <v>41</v>
      </c>
      <c r="Z2440">
        <v>70</v>
      </c>
      <c r="AA2440">
        <v>254</v>
      </c>
      <c r="AB2440">
        <v>9.6305654032247006</v>
      </c>
      <c r="AC2440">
        <v>3.2303033144233002E-2</v>
      </c>
      <c r="AD2440">
        <v>1.54275879909942</v>
      </c>
      <c r="AE2440">
        <v>0.43624395132064803</v>
      </c>
      <c r="AF2440">
        <v>664.05419580419596</v>
      </c>
      <c r="AG2440">
        <f>IFERROR(AH2440*0.1, "N/A")</f>
        <v>7.2255244755244705</v>
      </c>
      <c r="AH2440">
        <v>72.255244755244703</v>
      </c>
      <c r="AI2440">
        <v>240.50981470921701</v>
      </c>
      <c r="AJ2440">
        <v>26.812937062937099</v>
      </c>
      <c r="AK2440">
        <v>52.760489510489499</v>
      </c>
    </row>
    <row r="2441" spans="1:37" x14ac:dyDescent="0.3">
      <c r="A2441">
        <v>2440</v>
      </c>
      <c r="B2441">
        <v>3.1</v>
      </c>
      <c r="C2441">
        <v>31.616699000000001</v>
      </c>
      <c r="D2441">
        <v>4.8499999999999996</v>
      </c>
      <c r="E2441" t="s">
        <v>4232</v>
      </c>
      <c r="F2441" t="s">
        <v>4233</v>
      </c>
      <c r="G2441" t="s">
        <v>37</v>
      </c>
      <c r="H2441">
        <v>1987</v>
      </c>
      <c r="I2441">
        <v>27.5565676413568</v>
      </c>
      <c r="J2441">
        <v>13.300000190734901</v>
      </c>
      <c r="K2441">
        <v>73</v>
      </c>
      <c r="L2441">
        <v>13.170210367326399</v>
      </c>
      <c r="M2441">
        <v>37.456568088297701</v>
      </c>
      <c r="N2441">
        <v>19.356566878417301</v>
      </c>
      <c r="O2441">
        <v>18.100000381469702</v>
      </c>
      <c r="P2441">
        <v>25.917162556155599</v>
      </c>
      <c r="Q2441">
        <v>28.356566878417301</v>
      </c>
      <c r="R2441">
        <v>29.349036201704202</v>
      </c>
      <c r="S2441">
        <v>25.917162556155599</v>
      </c>
      <c r="T2441">
        <v>926.40455341506095</v>
      </c>
      <c r="U2441">
        <v>144.828371278459</v>
      </c>
      <c r="V2441">
        <v>4</v>
      </c>
      <c r="W2441">
        <v>67</v>
      </c>
      <c r="X2441">
        <v>390.09106830122602</v>
      </c>
      <c r="Y2441">
        <v>17.924693520140099</v>
      </c>
      <c r="Z2441">
        <v>134.75306479859901</v>
      </c>
      <c r="AA2441">
        <v>387.74255691768798</v>
      </c>
      <c r="AB2441">
        <v>8.2684895904594509</v>
      </c>
      <c r="AC2441">
        <v>1.9377748035025E-2</v>
      </c>
      <c r="AD2441">
        <v>2.0551185541102801</v>
      </c>
      <c r="AE2441">
        <v>0.71232527494430498</v>
      </c>
      <c r="AF2441">
        <v>464.39754816112099</v>
      </c>
      <c r="AG2441">
        <f>IFERROR(AH2441*0.1, "N/A")</f>
        <v>6.7</v>
      </c>
      <c r="AH2441">
        <v>67</v>
      </c>
      <c r="AI2441">
        <v>136.46361144912601</v>
      </c>
      <c r="AJ2441">
        <v>32.2101576182136</v>
      </c>
      <c r="AK2441">
        <v>43.8949211908932</v>
      </c>
    </row>
    <row r="2442" spans="1:37" x14ac:dyDescent="0.3">
      <c r="A2442">
        <v>2441</v>
      </c>
      <c r="B2442">
        <v>30.6</v>
      </c>
      <c r="C2442">
        <v>29.476900000000001</v>
      </c>
      <c r="D2442">
        <v>4.9146999999999998</v>
      </c>
      <c r="E2442" t="s">
        <v>4234</v>
      </c>
      <c r="F2442" t="s">
        <v>4235</v>
      </c>
      <c r="G2442" t="s">
        <v>37</v>
      </c>
      <c r="H2442">
        <v>1987</v>
      </c>
      <c r="I2442">
        <v>24.799999237060501</v>
      </c>
      <c r="J2442">
        <v>13.199999809265099</v>
      </c>
      <c r="K2442">
        <v>72</v>
      </c>
      <c r="L2442">
        <v>9.8000001907348597</v>
      </c>
      <c r="M2442">
        <v>34.299999237060497</v>
      </c>
      <c r="N2442">
        <v>16.100000381469702</v>
      </c>
      <c r="O2442">
        <v>18.200000762939499</v>
      </c>
      <c r="P2442">
        <v>23.5</v>
      </c>
      <c r="Q2442">
        <v>25.200000762939499</v>
      </c>
      <c r="R2442">
        <v>26.100000381469702</v>
      </c>
      <c r="S2442">
        <v>23.5</v>
      </c>
      <c r="T2442">
        <v>1441</v>
      </c>
      <c r="U2442">
        <v>202</v>
      </c>
      <c r="V2442">
        <v>9</v>
      </c>
      <c r="W2442">
        <v>63</v>
      </c>
      <c r="X2442">
        <v>593</v>
      </c>
      <c r="Y2442">
        <v>41</v>
      </c>
      <c r="Z2442">
        <v>243</v>
      </c>
      <c r="AA2442">
        <v>593</v>
      </c>
      <c r="AB2442">
        <v>10.9371734083745</v>
      </c>
      <c r="AC2442">
        <v>2.5879875662034001E-2</v>
      </c>
      <c r="AD2442">
        <v>2.4095133170746901</v>
      </c>
      <c r="AE2442">
        <v>0.71892244355720403</v>
      </c>
      <c r="AF2442">
        <v>722.35438596491201</v>
      </c>
      <c r="AG2442">
        <f>IFERROR(AH2442*0.1, "N/A")</f>
        <v>5.7161403508771897</v>
      </c>
      <c r="AH2442">
        <v>57.161403508771897</v>
      </c>
      <c r="AI2442">
        <v>180.64129676149599</v>
      </c>
      <c r="AJ2442">
        <v>26.807017543859601</v>
      </c>
      <c r="AK2442">
        <v>53.677192982456098</v>
      </c>
    </row>
    <row r="2443" spans="1:37" x14ac:dyDescent="0.3">
      <c r="A2443">
        <v>2442</v>
      </c>
      <c r="B2443">
        <v>3</v>
      </c>
      <c r="C2443">
        <v>30.335799999999999</v>
      </c>
      <c r="D2443">
        <v>5.5157999999999996</v>
      </c>
      <c r="E2443" t="s">
        <v>4236</v>
      </c>
      <c r="F2443" t="s">
        <v>4237</v>
      </c>
      <c r="G2443" t="s">
        <v>37</v>
      </c>
      <c r="H2443">
        <v>1987</v>
      </c>
      <c r="I2443">
        <v>26.697378375313502</v>
      </c>
      <c r="J2443">
        <v>13.1026227440867</v>
      </c>
      <c r="K2443">
        <v>73</v>
      </c>
      <c r="L2443">
        <v>10.803409284644999</v>
      </c>
      <c r="M2443">
        <v>36.099998474121101</v>
      </c>
      <c r="N2443">
        <v>18.197378375313502</v>
      </c>
      <c r="O2443">
        <v>17.9026220061562</v>
      </c>
      <c r="P2443">
        <v>25.299999237060501</v>
      </c>
      <c r="Q2443">
        <v>27</v>
      </c>
      <c r="R2443">
        <v>28.102622769095699</v>
      </c>
      <c r="S2443">
        <v>25.299999237060501</v>
      </c>
      <c r="T2443">
        <v>1088.0262237762199</v>
      </c>
      <c r="U2443">
        <v>172.02622377622399</v>
      </c>
      <c r="V2443">
        <v>3</v>
      </c>
      <c r="W2443">
        <v>71</v>
      </c>
      <c r="X2443">
        <v>481.02622377622401</v>
      </c>
      <c r="Y2443">
        <v>16</v>
      </c>
      <c r="Z2443">
        <v>159</v>
      </c>
      <c r="AA2443">
        <v>477.02622377622401</v>
      </c>
      <c r="AB2443">
        <v>7.2667724502670197</v>
      </c>
      <c r="AC2443">
        <v>1.2391701900770999E-2</v>
      </c>
      <c r="AD2443">
        <v>1.3747611076056501</v>
      </c>
      <c r="AE2443">
        <v>0.228238940238953</v>
      </c>
      <c r="AF2443">
        <v>510.73251748251698</v>
      </c>
      <c r="AG2443">
        <f>IFERROR(AH2443*0.1, "N/A")</f>
        <v>6</v>
      </c>
      <c r="AH2443">
        <v>60</v>
      </c>
      <c r="AI2443">
        <v>219.547278157481</v>
      </c>
      <c r="AJ2443">
        <v>27.276223776223802</v>
      </c>
      <c r="AK2443">
        <v>55.519230769230802</v>
      </c>
    </row>
    <row r="2444" spans="1:37" x14ac:dyDescent="0.3">
      <c r="A2444">
        <v>2443</v>
      </c>
      <c r="B2444">
        <v>28</v>
      </c>
      <c r="C2444">
        <v>27.466699999999999</v>
      </c>
      <c r="D2444">
        <v>5.6</v>
      </c>
      <c r="E2444" t="s">
        <v>4238</v>
      </c>
      <c r="F2444" t="s">
        <v>4239</v>
      </c>
      <c r="G2444" t="s">
        <v>37</v>
      </c>
      <c r="H2444">
        <v>1987</v>
      </c>
      <c r="I2444">
        <v>25.428671056574</v>
      </c>
      <c r="J2444">
        <v>12.1000003814697</v>
      </c>
      <c r="K2444">
        <v>75.713286713286706</v>
      </c>
      <c r="L2444">
        <v>10.2901576315606</v>
      </c>
      <c r="M2444">
        <v>34.328671221966502</v>
      </c>
      <c r="N2444">
        <v>18.399999618530298</v>
      </c>
      <c r="O2444">
        <v>15.928671056574</v>
      </c>
      <c r="P2444">
        <v>24.128671819513499</v>
      </c>
      <c r="Q2444">
        <v>26.237237956974099</v>
      </c>
      <c r="R2444">
        <v>26.7659088481556</v>
      </c>
      <c r="S2444">
        <v>24.128671819513499</v>
      </c>
      <c r="T2444">
        <v>1395.98601398601</v>
      </c>
      <c r="U2444">
        <v>217.713286713287</v>
      </c>
      <c r="V2444">
        <v>5</v>
      </c>
      <c r="W2444">
        <v>69</v>
      </c>
      <c r="X2444">
        <v>595.71328671328695</v>
      </c>
      <c r="Y2444">
        <v>33.279720279720301</v>
      </c>
      <c r="Z2444">
        <v>116.67832167832201</v>
      </c>
      <c r="AA2444">
        <v>591.94755244755197</v>
      </c>
      <c r="AB2444">
        <v>8.7938945210063402</v>
      </c>
      <c r="AC2444">
        <v>7.4845706760701E-2</v>
      </c>
      <c r="AD2444">
        <v>1.81703418618316</v>
      </c>
      <c r="AE2444">
        <v>0.80849486589431796</v>
      </c>
      <c r="AF2444">
        <v>627.57167832167795</v>
      </c>
      <c r="AG2444">
        <f>IFERROR(AH2444*0.1, "N/A")</f>
        <v>5.7659090909090907</v>
      </c>
      <c r="AH2444">
        <v>57.659090909090899</v>
      </c>
      <c r="AI2444">
        <v>166.45363088754499</v>
      </c>
      <c r="AJ2444">
        <v>21.312937062937099</v>
      </c>
      <c r="AK2444">
        <v>60.3444055944056</v>
      </c>
    </row>
    <row r="2445" spans="1:37" x14ac:dyDescent="0.3">
      <c r="A2445">
        <v>2444</v>
      </c>
      <c r="B2445">
        <v>16</v>
      </c>
      <c r="C2445">
        <v>27.68</v>
      </c>
      <c r="D2445">
        <v>5.73</v>
      </c>
      <c r="E2445" t="s">
        <v>4240</v>
      </c>
      <c r="F2445" t="s">
        <v>4241</v>
      </c>
      <c r="G2445" t="s">
        <v>37</v>
      </c>
      <c r="H2445">
        <v>1987</v>
      </c>
      <c r="I2445">
        <v>25.700000762939499</v>
      </c>
      <c r="J2445">
        <v>12.3999996185303</v>
      </c>
      <c r="K2445">
        <v>74</v>
      </c>
      <c r="L2445">
        <v>10.5100002288818</v>
      </c>
      <c r="M2445">
        <v>34.799999237060497</v>
      </c>
      <c r="N2445">
        <v>18.200000762939499</v>
      </c>
      <c r="O2445">
        <v>16.600000381469702</v>
      </c>
      <c r="P2445">
        <v>24.299999237060501</v>
      </c>
      <c r="Q2445">
        <v>26.299999237060501</v>
      </c>
      <c r="R2445">
        <v>27</v>
      </c>
      <c r="S2445">
        <v>24.299999237060501</v>
      </c>
      <c r="T2445">
        <v>1356</v>
      </c>
      <c r="U2445">
        <v>215</v>
      </c>
      <c r="V2445">
        <v>4</v>
      </c>
      <c r="W2445">
        <v>70</v>
      </c>
      <c r="X2445">
        <v>589</v>
      </c>
      <c r="Y2445">
        <v>27</v>
      </c>
      <c r="Z2445">
        <v>185</v>
      </c>
      <c r="AA2445">
        <v>589</v>
      </c>
      <c r="AB2445">
        <v>9.17937378783326</v>
      </c>
      <c r="AC2445">
        <v>3.9600553702550001E-2</v>
      </c>
      <c r="AD2445">
        <v>2.7363451308720599</v>
      </c>
      <c r="AE2445">
        <v>0.16090422595193299</v>
      </c>
      <c r="AF2445">
        <v>587.47027972028002</v>
      </c>
      <c r="AG2445">
        <f>IFERROR(AH2445*0.1, "N/A")</f>
        <v>5.8461538461538503</v>
      </c>
      <c r="AH2445">
        <v>58.461538461538503</v>
      </c>
      <c r="AI2445">
        <v>91.491639837518406</v>
      </c>
      <c r="AJ2445">
        <v>28.230769230769202</v>
      </c>
      <c r="AK2445">
        <v>52.307692307692299</v>
      </c>
    </row>
    <row r="2446" spans="1:37" x14ac:dyDescent="0.3">
      <c r="A2446">
        <v>2445</v>
      </c>
      <c r="B2446">
        <v>20</v>
      </c>
      <c r="C2446">
        <v>31.629999000000002</v>
      </c>
      <c r="D2446">
        <v>6.67</v>
      </c>
      <c r="E2446" t="s">
        <v>4242</v>
      </c>
      <c r="F2446" t="s">
        <v>4243</v>
      </c>
      <c r="G2446" t="s">
        <v>37</v>
      </c>
      <c r="H2446">
        <v>1987</v>
      </c>
      <c r="I2446">
        <v>27.299999237060501</v>
      </c>
      <c r="J2446">
        <v>12.5</v>
      </c>
      <c r="K2446">
        <v>72</v>
      </c>
      <c r="L2446">
        <v>11.039999961853001</v>
      </c>
      <c r="M2446">
        <v>36.5</v>
      </c>
      <c r="N2446">
        <v>19.299999237060501</v>
      </c>
      <c r="O2446">
        <v>17.200000762939499</v>
      </c>
      <c r="P2446">
        <v>25.899999618530298</v>
      </c>
      <c r="Q2446">
        <v>27.600000381469702</v>
      </c>
      <c r="R2446">
        <v>28.799999237060501</v>
      </c>
      <c r="S2446">
        <v>25.899999618530298</v>
      </c>
      <c r="T2446">
        <v>869</v>
      </c>
      <c r="U2446">
        <v>156</v>
      </c>
      <c r="V2446">
        <v>2</v>
      </c>
      <c r="W2446">
        <v>76</v>
      </c>
      <c r="X2446">
        <v>419</v>
      </c>
      <c r="Y2446">
        <v>9</v>
      </c>
      <c r="Z2446">
        <v>99</v>
      </c>
      <c r="AA2446">
        <v>419</v>
      </c>
      <c r="AB2446">
        <v>2.3034540146433E-2</v>
      </c>
      <c r="AC2446">
        <v>1.32693421582238</v>
      </c>
      <c r="AD2446">
        <v>1.23351196947314</v>
      </c>
      <c r="AE2446">
        <v>0.185419159305865</v>
      </c>
      <c r="AF2446">
        <v>416.79930191972102</v>
      </c>
      <c r="AG2446">
        <f>IFERROR(AH2446*0.1, "N/A")</f>
        <v>6.3000000000000007</v>
      </c>
      <c r="AH2446">
        <v>63</v>
      </c>
      <c r="AI2446">
        <v>113.073710789439</v>
      </c>
      <c r="AJ2446">
        <v>42.956369982547997</v>
      </c>
      <c r="AK2446">
        <v>29.043630017451999</v>
      </c>
    </row>
    <row r="2447" spans="1:37" x14ac:dyDescent="0.3">
      <c r="A2447">
        <v>2446</v>
      </c>
      <c r="B2447">
        <v>13.5</v>
      </c>
      <c r="C2447">
        <v>28</v>
      </c>
      <c r="D2447">
        <v>7.7</v>
      </c>
      <c r="E2447" t="s">
        <v>4244</v>
      </c>
      <c r="F2447" t="s">
        <v>4245</v>
      </c>
      <c r="G2447" t="s">
        <v>37</v>
      </c>
      <c r="H2447">
        <v>1987</v>
      </c>
      <c r="I2447">
        <v>27.622704107592</v>
      </c>
      <c r="J2447">
        <v>13.699999809265099</v>
      </c>
      <c r="K2447">
        <v>68</v>
      </c>
      <c r="L2447">
        <v>14.122235651859199</v>
      </c>
      <c r="M2447">
        <v>37.986655316278501</v>
      </c>
      <c r="N2447">
        <v>17.8866546802752</v>
      </c>
      <c r="O2447">
        <v>20.100000381469702</v>
      </c>
      <c r="P2447">
        <v>26.422703344652501</v>
      </c>
      <c r="Q2447">
        <v>27.122704107592</v>
      </c>
      <c r="R2447">
        <v>29.786654569867199</v>
      </c>
      <c r="S2447">
        <v>26.222704056024099</v>
      </c>
      <c r="T2447">
        <v>1095.3760831889099</v>
      </c>
      <c r="U2447">
        <v>208.14211438474899</v>
      </c>
      <c r="V2447">
        <v>0</v>
      </c>
      <c r="W2447">
        <v>86.772963604852706</v>
      </c>
      <c r="X2447">
        <v>579.05719237435005</v>
      </c>
      <c r="Y2447">
        <v>5</v>
      </c>
      <c r="Z2447">
        <v>210.54592720970501</v>
      </c>
      <c r="AA2447">
        <v>577.28422876949696</v>
      </c>
      <c r="AB2447">
        <v>14.1930625029618</v>
      </c>
      <c r="AC2447">
        <v>4.4373367144767001E-2</v>
      </c>
      <c r="AD2447">
        <v>1.16391997124541</v>
      </c>
      <c r="AE2447">
        <v>0.70987828899710803</v>
      </c>
      <c r="AF2447">
        <v>443.984402079723</v>
      </c>
      <c r="AG2447">
        <f>IFERROR(AH2447*0.1, "N/A")</f>
        <v>6.530155979202771</v>
      </c>
      <c r="AH2447">
        <v>65.301559792027703</v>
      </c>
      <c r="AI2447">
        <v>169.82136028560899</v>
      </c>
      <c r="AJ2447">
        <v>35.767764298093603</v>
      </c>
      <c r="AK2447">
        <v>46.767764298093603</v>
      </c>
    </row>
    <row r="2448" spans="1:37" x14ac:dyDescent="0.3">
      <c r="A2448">
        <v>2447</v>
      </c>
      <c r="B2448">
        <v>1.9</v>
      </c>
      <c r="C2448">
        <v>31.656099000000001</v>
      </c>
      <c r="D2448">
        <v>9.5368999999999993</v>
      </c>
      <c r="E2448" t="s">
        <v>4246</v>
      </c>
      <c r="F2448" t="s">
        <v>4247</v>
      </c>
      <c r="G2448" t="s">
        <v>37</v>
      </c>
      <c r="H2448">
        <v>1987</v>
      </c>
      <c r="I2448">
        <v>27.899999618530298</v>
      </c>
      <c r="J2448">
        <v>13.199999809265099</v>
      </c>
      <c r="K2448">
        <v>64</v>
      </c>
      <c r="L2448">
        <v>16.5200004577637</v>
      </c>
      <c r="M2448">
        <v>38.700000762939503</v>
      </c>
      <c r="N2448">
        <v>18.299999237060501</v>
      </c>
      <c r="O2448">
        <v>20.399999618530298</v>
      </c>
      <c r="P2448">
        <v>26.299999237060501</v>
      </c>
      <c r="Q2448">
        <v>27.200000762939499</v>
      </c>
      <c r="R2448">
        <v>30.399999618530298</v>
      </c>
      <c r="S2448">
        <v>26.299999237060501</v>
      </c>
      <c r="T2448">
        <v>757</v>
      </c>
      <c r="U2448">
        <v>169</v>
      </c>
      <c r="V2448">
        <v>0</v>
      </c>
      <c r="W2448">
        <v>97</v>
      </c>
      <c r="X2448">
        <v>452</v>
      </c>
      <c r="Y2448">
        <v>0</v>
      </c>
      <c r="Z2448">
        <v>114</v>
      </c>
      <c r="AA2448">
        <v>452</v>
      </c>
      <c r="AB2448">
        <v>2.9088152159063299</v>
      </c>
      <c r="AC2448">
        <v>1.3063136460854999E-2</v>
      </c>
      <c r="AD2448">
        <v>0.99569273592070995</v>
      </c>
      <c r="AE2448">
        <v>0.77130419015884399</v>
      </c>
      <c r="AF2448">
        <v>393.647668393782</v>
      </c>
      <c r="AG2448">
        <f>IFERROR(AH2448*0.1, "N/A")</f>
        <v>6.7509499136442104</v>
      </c>
      <c r="AH2448">
        <v>67.509499136442102</v>
      </c>
      <c r="AI2448">
        <v>248.36683937428501</v>
      </c>
      <c r="AJ2448">
        <v>37.944732297063901</v>
      </c>
      <c r="AK2448">
        <v>42.222797927461102</v>
      </c>
    </row>
    <row r="2449" spans="1:37" x14ac:dyDescent="0.3">
      <c r="A2449">
        <v>2448</v>
      </c>
      <c r="B2449">
        <v>2.5</v>
      </c>
      <c r="C2449">
        <v>31.656099000000001</v>
      </c>
      <c r="D2449">
        <v>9.5368999999999993</v>
      </c>
      <c r="E2449" t="s">
        <v>4246</v>
      </c>
      <c r="F2449" t="s">
        <v>4248</v>
      </c>
      <c r="G2449" t="s">
        <v>39</v>
      </c>
      <c r="H2449">
        <v>1987</v>
      </c>
      <c r="I2449">
        <v>27.899999618530298</v>
      </c>
      <c r="J2449">
        <v>13.199999809265099</v>
      </c>
      <c r="K2449">
        <v>64</v>
      </c>
      <c r="L2449">
        <v>16.5200004577637</v>
      </c>
      <c r="M2449">
        <v>38.700000762939503</v>
      </c>
      <c r="N2449">
        <v>18.299999237060501</v>
      </c>
      <c r="O2449">
        <v>20.399999618530298</v>
      </c>
      <c r="P2449">
        <v>26.299999237060501</v>
      </c>
      <c r="Q2449">
        <v>27.200000762939499</v>
      </c>
      <c r="R2449">
        <v>30.399999618530298</v>
      </c>
      <c r="S2449">
        <v>26.299999237060501</v>
      </c>
      <c r="T2449">
        <v>757</v>
      </c>
      <c r="U2449">
        <v>169</v>
      </c>
      <c r="V2449">
        <v>0</v>
      </c>
      <c r="W2449">
        <v>97</v>
      </c>
      <c r="X2449">
        <v>452</v>
      </c>
      <c r="Y2449">
        <v>0</v>
      </c>
      <c r="Z2449">
        <v>114</v>
      </c>
      <c r="AA2449">
        <v>452</v>
      </c>
      <c r="AB2449">
        <v>2.9088152159063299</v>
      </c>
      <c r="AC2449">
        <v>1.3063136460854999E-2</v>
      </c>
      <c r="AD2449">
        <v>0.99569273592070995</v>
      </c>
      <c r="AE2449">
        <v>0.77130419015884399</v>
      </c>
      <c r="AF2449">
        <v>393.647668393782</v>
      </c>
      <c r="AG2449">
        <f>IFERROR(AH2449*0.1, "N/A")</f>
        <v>6.7509499136442104</v>
      </c>
      <c r="AH2449">
        <v>67.509499136442102</v>
      </c>
      <c r="AI2449">
        <v>248.36683937428501</v>
      </c>
      <c r="AJ2449">
        <v>37.944732297063901</v>
      </c>
      <c r="AK2449">
        <v>42.222797927461102</v>
      </c>
    </row>
    <row r="2450" spans="1:37" x14ac:dyDescent="0.3">
      <c r="A2450">
        <v>2449</v>
      </c>
      <c r="B2450">
        <v>10</v>
      </c>
      <c r="C2450">
        <v>24.833300000000001</v>
      </c>
      <c r="D2450">
        <v>9.85</v>
      </c>
      <c r="E2450" t="s">
        <v>4249</v>
      </c>
      <c r="F2450" t="s">
        <v>4250</v>
      </c>
      <c r="G2450" t="s">
        <v>39</v>
      </c>
      <c r="H2450">
        <v>1987</v>
      </c>
      <c r="I2450">
        <v>26.674443204039001</v>
      </c>
      <c r="J2450">
        <v>16.700000762939499</v>
      </c>
      <c r="K2450">
        <v>64.377358490565996</v>
      </c>
      <c r="L2450">
        <v>18.900600714708101</v>
      </c>
      <c r="M2450">
        <v>38.799999237060497</v>
      </c>
      <c r="N2450">
        <v>13.1253860532522</v>
      </c>
      <c r="O2450">
        <v>25.674614495724001</v>
      </c>
      <c r="P2450">
        <v>25.887649657182401</v>
      </c>
      <c r="Q2450">
        <v>26.086792783917101</v>
      </c>
      <c r="R2450">
        <v>29.287649511268601</v>
      </c>
      <c r="S2450">
        <v>24.399999618530298</v>
      </c>
      <c r="T2450">
        <v>750</v>
      </c>
      <c r="U2450">
        <v>191</v>
      </c>
      <c r="V2450">
        <v>0</v>
      </c>
      <c r="W2450">
        <v>114</v>
      </c>
      <c r="X2450">
        <v>512</v>
      </c>
      <c r="Y2450">
        <v>0</v>
      </c>
      <c r="Z2450">
        <v>64</v>
      </c>
      <c r="AA2450">
        <v>0</v>
      </c>
      <c r="AB2450">
        <v>0.20034125247909501</v>
      </c>
      <c r="AC2450">
        <v>0.60443316241902001</v>
      </c>
      <c r="AD2450">
        <v>0.95523019035316403</v>
      </c>
      <c r="AE2450">
        <v>0.133270308375359</v>
      </c>
      <c r="AF2450">
        <v>511.51114922813002</v>
      </c>
      <c r="AG2450">
        <f>IFERROR(AH2450*0.1, "N/A")</f>
        <v>6.9</v>
      </c>
      <c r="AH2450">
        <v>69</v>
      </c>
      <c r="AI2450">
        <v>248.00053476428499</v>
      </c>
      <c r="AJ2450">
        <v>31.2555746140652</v>
      </c>
      <c r="AK2450">
        <v>47</v>
      </c>
    </row>
    <row r="2451" spans="1:37" x14ac:dyDescent="0.3">
      <c r="A2451">
        <v>2450</v>
      </c>
      <c r="B2451">
        <v>16</v>
      </c>
      <c r="C2451">
        <v>31.23</v>
      </c>
      <c r="D2451">
        <v>10.050000000000001</v>
      </c>
      <c r="E2451" t="s">
        <v>4251</v>
      </c>
      <c r="F2451" t="s">
        <v>4252</v>
      </c>
      <c r="G2451" t="s">
        <v>39</v>
      </c>
      <c r="H2451">
        <v>1987</v>
      </c>
      <c r="I2451">
        <v>27.799999237060501</v>
      </c>
      <c r="J2451">
        <v>13.5</v>
      </c>
      <c r="K2451">
        <v>67</v>
      </c>
      <c r="L2451">
        <v>15.381303294854099</v>
      </c>
      <c r="M2451">
        <v>38.5</v>
      </c>
      <c r="N2451">
        <v>18.399999618530298</v>
      </c>
      <c r="O2451">
        <v>20.100000381469702</v>
      </c>
      <c r="P2451">
        <v>26.299999237060501</v>
      </c>
      <c r="Q2451">
        <v>27.100000381469702</v>
      </c>
      <c r="R2451">
        <v>30.200000762939499</v>
      </c>
      <c r="S2451">
        <v>26.299999237060501</v>
      </c>
      <c r="T2451">
        <v>759.76329331046304</v>
      </c>
      <c r="U2451">
        <v>177</v>
      </c>
      <c r="V2451">
        <v>0</v>
      </c>
      <c r="W2451">
        <v>102</v>
      </c>
      <c r="X2451">
        <v>468.76329331046298</v>
      </c>
      <c r="Y2451">
        <v>0</v>
      </c>
      <c r="Z2451">
        <v>89</v>
      </c>
      <c r="AA2451">
        <v>468.76329331046298</v>
      </c>
      <c r="AB2451">
        <v>0.27239362085254099</v>
      </c>
      <c r="AC2451">
        <v>2.1604171856649999E-2</v>
      </c>
      <c r="AD2451">
        <v>1.66193378850894</v>
      </c>
      <c r="AE2451">
        <v>0.164529338479042</v>
      </c>
      <c r="AF2451">
        <v>402.10806174957099</v>
      </c>
      <c r="AG2451">
        <f>IFERROR(AH2451*0.1, "N/A")</f>
        <v>7.2075471698113205</v>
      </c>
      <c r="AH2451">
        <v>72.075471698113205</v>
      </c>
      <c r="AI2451">
        <v>125.895434436831</v>
      </c>
      <c r="AJ2451">
        <v>45.2264150943396</v>
      </c>
      <c r="AK2451">
        <v>30.924528301886799</v>
      </c>
    </row>
    <row r="2452" spans="1:37" x14ac:dyDescent="0.3">
      <c r="A2452">
        <v>2451</v>
      </c>
      <c r="B2452">
        <v>64</v>
      </c>
      <c r="C2452">
        <v>31.08</v>
      </c>
      <c r="D2452">
        <v>10.29</v>
      </c>
      <c r="E2452" t="s">
        <v>4253</v>
      </c>
      <c r="F2452" t="s">
        <v>4254</v>
      </c>
      <c r="G2452" t="s">
        <v>39</v>
      </c>
      <c r="H2452">
        <v>1987</v>
      </c>
      <c r="I2452">
        <v>27.600000381469702</v>
      </c>
      <c r="J2452">
        <v>13.5</v>
      </c>
      <c r="K2452">
        <v>66</v>
      </c>
      <c r="L2452">
        <v>15.1400003433228</v>
      </c>
      <c r="M2452">
        <v>38.299999237060497</v>
      </c>
      <c r="N2452">
        <v>18</v>
      </c>
      <c r="O2452">
        <v>20.299999237060501</v>
      </c>
      <c r="P2452">
        <v>26.200000762939499</v>
      </c>
      <c r="Q2452">
        <v>26.600000381469702</v>
      </c>
      <c r="R2452">
        <v>29.899999618530298</v>
      </c>
      <c r="S2452">
        <v>26.200000762939499</v>
      </c>
      <c r="T2452">
        <v>747</v>
      </c>
      <c r="U2452">
        <v>176</v>
      </c>
      <c r="V2452">
        <v>0</v>
      </c>
      <c r="W2452">
        <v>103</v>
      </c>
      <c r="X2452">
        <v>466</v>
      </c>
      <c r="Y2452">
        <v>0</v>
      </c>
      <c r="Z2452">
        <v>79</v>
      </c>
      <c r="AA2452">
        <v>466</v>
      </c>
      <c r="AB2452">
        <v>2.1177571263806598</v>
      </c>
      <c r="AC2452">
        <v>8.5726199960660006E-3</v>
      </c>
      <c r="AD2452">
        <v>1.68471530408695</v>
      </c>
      <c r="AE2452">
        <v>0.182799652218819</v>
      </c>
      <c r="AF2452">
        <v>440.73793103448298</v>
      </c>
      <c r="AG2452">
        <f>IFERROR(AH2452*0.1, "N/A")</f>
        <v>7.2</v>
      </c>
      <c r="AH2452">
        <v>72</v>
      </c>
      <c r="AI2452">
        <v>137.779892493939</v>
      </c>
      <c r="AJ2452">
        <v>50</v>
      </c>
      <c r="AK2452">
        <v>27</v>
      </c>
    </row>
    <row r="2453" spans="1:37" x14ac:dyDescent="0.3">
      <c r="A2453">
        <v>2452</v>
      </c>
      <c r="B2453">
        <v>90</v>
      </c>
      <c r="C2453">
        <v>25.166699999999999</v>
      </c>
      <c r="D2453">
        <v>10.816700000000001</v>
      </c>
      <c r="E2453" t="s">
        <v>4255</v>
      </c>
      <c r="F2453" t="s">
        <v>4256</v>
      </c>
      <c r="G2453" t="s">
        <v>39</v>
      </c>
      <c r="H2453">
        <v>1987</v>
      </c>
      <c r="I2453">
        <v>27.399999618530298</v>
      </c>
      <c r="J2453">
        <v>16.835774501300101</v>
      </c>
      <c r="K2453">
        <v>64</v>
      </c>
      <c r="L2453">
        <v>21.324497135168901</v>
      </c>
      <c r="M2453">
        <v>39.858603644817798</v>
      </c>
      <c r="N2453">
        <v>13.7586030992576</v>
      </c>
      <c r="O2453">
        <v>26.100000381469702</v>
      </c>
      <c r="P2453">
        <v>26.700000762939499</v>
      </c>
      <c r="Q2453">
        <v>24.799999237060501</v>
      </c>
      <c r="R2453">
        <v>30.200000762939499</v>
      </c>
      <c r="S2453">
        <v>24.700000762939499</v>
      </c>
      <c r="T2453">
        <v>637.05621805792202</v>
      </c>
      <c r="U2453">
        <v>177.056218057922</v>
      </c>
      <c r="V2453">
        <v>0</v>
      </c>
      <c r="W2453">
        <v>117</v>
      </c>
      <c r="X2453">
        <v>446.05621805792202</v>
      </c>
      <c r="Y2453">
        <v>0</v>
      </c>
      <c r="Z2453">
        <v>144</v>
      </c>
      <c r="AA2453">
        <v>0</v>
      </c>
      <c r="AB2453">
        <v>0.62060973185290702</v>
      </c>
      <c r="AC2453">
        <v>2.7400354451771001E-2</v>
      </c>
      <c r="AD2453">
        <v>0.95956721018485802</v>
      </c>
      <c r="AE2453">
        <v>0.23657271265983601</v>
      </c>
      <c r="AF2453">
        <v>473.06984667802402</v>
      </c>
      <c r="AG2453">
        <f>IFERROR(AH2453*0.1, "N/A")</f>
        <v>6.8974446337308297</v>
      </c>
      <c r="AH2453">
        <v>68.974446337308294</v>
      </c>
      <c r="AI2453">
        <v>199.71694318521199</v>
      </c>
      <c r="AJ2453">
        <v>22.325383304940399</v>
      </c>
      <c r="AK2453">
        <v>55.8586030664395</v>
      </c>
    </row>
    <row r="2454" spans="1:37" x14ac:dyDescent="0.3">
      <c r="A2454">
        <v>2453</v>
      </c>
      <c r="B2454">
        <v>7</v>
      </c>
      <c r="C2454">
        <v>30.379999000000002</v>
      </c>
      <c r="D2454">
        <v>10.87</v>
      </c>
      <c r="E2454" t="s">
        <v>4257</v>
      </c>
      <c r="F2454" t="s">
        <v>4258</v>
      </c>
      <c r="G2454" t="s">
        <v>39</v>
      </c>
      <c r="H2454">
        <v>1987</v>
      </c>
      <c r="I2454">
        <v>26.600000381469702</v>
      </c>
      <c r="J2454">
        <v>13.8999996185303</v>
      </c>
      <c r="K2454">
        <v>65</v>
      </c>
      <c r="L2454">
        <v>16.469999313354499</v>
      </c>
      <c r="M2454">
        <v>37.700000762939503</v>
      </c>
      <c r="N2454">
        <v>16.5</v>
      </c>
      <c r="O2454">
        <v>21.200000762939499</v>
      </c>
      <c r="P2454">
        <v>25.299999237060501</v>
      </c>
      <c r="Q2454">
        <v>25.200000762939499</v>
      </c>
      <c r="R2454">
        <v>29.100000381469702</v>
      </c>
      <c r="S2454">
        <v>25.200000762939499</v>
      </c>
      <c r="T2454">
        <v>769</v>
      </c>
      <c r="U2454">
        <v>176</v>
      </c>
      <c r="V2454">
        <v>0</v>
      </c>
      <c r="W2454">
        <v>102</v>
      </c>
      <c r="X2454">
        <v>478</v>
      </c>
      <c r="Y2454">
        <v>0</v>
      </c>
      <c r="Z2454">
        <v>83</v>
      </c>
      <c r="AA2454">
        <v>3</v>
      </c>
      <c r="AB2454">
        <v>33.283845357468898</v>
      </c>
      <c r="AC2454">
        <v>4.3184838515363998E-2</v>
      </c>
      <c r="AD2454">
        <v>13.1510666703031</v>
      </c>
      <c r="AE2454">
        <v>0.18997524678707101</v>
      </c>
      <c r="AF2454">
        <v>626.28865979381499</v>
      </c>
      <c r="AG2454">
        <f>IFERROR(AH2454*0.1, "N/A")</f>
        <v>6.8798969072164899</v>
      </c>
      <c r="AH2454">
        <v>68.798969072164894</v>
      </c>
      <c r="AI2454">
        <v>170.340278625488</v>
      </c>
      <c r="AJ2454">
        <v>32.012027491408901</v>
      </c>
      <c r="AK2454">
        <v>44.365979381443303</v>
      </c>
    </row>
    <row r="2455" spans="1:37" x14ac:dyDescent="0.3">
      <c r="A2455">
        <v>2454</v>
      </c>
      <c r="B2455">
        <v>25</v>
      </c>
      <c r="C2455">
        <v>31.629999000000002</v>
      </c>
      <c r="D2455">
        <v>10.88</v>
      </c>
      <c r="E2455" t="s">
        <v>4259</v>
      </c>
      <c r="F2455" t="s">
        <v>4260</v>
      </c>
      <c r="G2455" t="s">
        <v>39</v>
      </c>
      <c r="H2455">
        <v>1987</v>
      </c>
      <c r="I2455">
        <v>27.700000762939499</v>
      </c>
      <c r="J2455">
        <v>13.5</v>
      </c>
      <c r="K2455">
        <v>66</v>
      </c>
      <c r="L2455">
        <v>15.560000419616699</v>
      </c>
      <c r="M2455">
        <v>38.599998474121101</v>
      </c>
      <c r="N2455">
        <v>18.200000762939499</v>
      </c>
      <c r="O2455">
        <v>20.399999618530298</v>
      </c>
      <c r="P2455">
        <v>26.399999618530298</v>
      </c>
      <c r="Q2455">
        <v>26.5</v>
      </c>
      <c r="R2455">
        <v>30.100000381469702</v>
      </c>
      <c r="S2455">
        <v>26.399999618530298</v>
      </c>
      <c r="T2455">
        <v>643</v>
      </c>
      <c r="U2455">
        <v>154</v>
      </c>
      <c r="V2455">
        <v>0</v>
      </c>
      <c r="W2455">
        <v>107</v>
      </c>
      <c r="X2455">
        <v>413</v>
      </c>
      <c r="Y2455">
        <v>0</v>
      </c>
      <c r="Z2455">
        <v>57</v>
      </c>
      <c r="AA2455">
        <v>413</v>
      </c>
      <c r="AB2455">
        <v>0.81629255500911202</v>
      </c>
      <c r="AC2455">
        <v>8.9013298852030007E-3</v>
      </c>
      <c r="AD2455">
        <v>0.459122811234836</v>
      </c>
      <c r="AE2455">
        <v>0.191706517599459</v>
      </c>
      <c r="AF2455">
        <v>427.92281303602101</v>
      </c>
      <c r="AG2455">
        <f>IFERROR(AH2455*0.1, "N/A")</f>
        <v>6.9</v>
      </c>
      <c r="AH2455">
        <v>69</v>
      </c>
      <c r="AI2455">
        <v>79.9455115054934</v>
      </c>
      <c r="AJ2455">
        <v>41</v>
      </c>
      <c r="AK2455">
        <v>39.204116638078901</v>
      </c>
    </row>
    <row r="2456" spans="1:37" x14ac:dyDescent="0.3">
      <c r="A2456">
        <v>2455</v>
      </c>
      <c r="B2456">
        <v>10</v>
      </c>
      <c r="C2456">
        <v>26.283300000000001</v>
      </c>
      <c r="D2456">
        <v>10.966699999999999</v>
      </c>
      <c r="E2456" t="s">
        <v>4261</v>
      </c>
      <c r="F2456" t="s">
        <v>4262</v>
      </c>
      <c r="G2456" t="s">
        <v>39</v>
      </c>
      <c r="H2456">
        <v>1987</v>
      </c>
      <c r="I2456">
        <v>27.5</v>
      </c>
      <c r="J2456">
        <v>15.699999809265099</v>
      </c>
      <c r="K2456">
        <v>61</v>
      </c>
      <c r="L2456">
        <v>22.605401471129799</v>
      </c>
      <c r="M2456">
        <v>39.700000762939503</v>
      </c>
      <c r="N2456">
        <v>14.300000190734901</v>
      </c>
      <c r="O2456">
        <v>25.399999618530298</v>
      </c>
      <c r="P2456">
        <v>26.989230728149401</v>
      </c>
      <c r="Q2456">
        <v>26.047521548801001</v>
      </c>
      <c r="R2456">
        <v>30.5</v>
      </c>
      <c r="S2456">
        <v>24.5</v>
      </c>
      <c r="T2456">
        <v>514.32136752136796</v>
      </c>
      <c r="U2456">
        <v>147</v>
      </c>
      <c r="V2456">
        <v>0</v>
      </c>
      <c r="W2456">
        <v>123</v>
      </c>
      <c r="X2456">
        <v>372.32136752136699</v>
      </c>
      <c r="Y2456">
        <v>0</v>
      </c>
      <c r="Z2456">
        <v>112</v>
      </c>
      <c r="AA2456">
        <v>0</v>
      </c>
      <c r="AB2456">
        <v>0.24137698442507999</v>
      </c>
      <c r="AC2456">
        <v>9.0965430327078003E-2</v>
      </c>
      <c r="AD2456">
        <v>0.77727760850873795</v>
      </c>
      <c r="AE2456">
        <v>0.592543244361877</v>
      </c>
      <c r="AF2456">
        <v>446.97264957265003</v>
      </c>
      <c r="AG2456">
        <f>IFERROR(AH2456*0.1, "N/A")</f>
        <v>6.0003418803418809</v>
      </c>
      <c r="AH2456">
        <v>60.003418803418803</v>
      </c>
      <c r="AI2456">
        <v>107.102294895792</v>
      </c>
      <c r="AJ2456">
        <v>10.3418803418803</v>
      </c>
      <c r="AK2456">
        <v>77.319658119658101</v>
      </c>
    </row>
    <row r="2457" spans="1:37" x14ac:dyDescent="0.3">
      <c r="A2457">
        <v>2456</v>
      </c>
      <c r="B2457">
        <v>90</v>
      </c>
      <c r="C2457">
        <v>26.35</v>
      </c>
      <c r="D2457">
        <v>10.966699999999999</v>
      </c>
      <c r="E2457" t="s">
        <v>4263</v>
      </c>
      <c r="F2457" t="s">
        <v>4264</v>
      </c>
      <c r="G2457" t="s">
        <v>39</v>
      </c>
      <c r="H2457">
        <v>1987</v>
      </c>
      <c r="I2457">
        <v>27.5</v>
      </c>
      <c r="J2457">
        <v>15.6000003814697</v>
      </c>
      <c r="K2457">
        <v>61</v>
      </c>
      <c r="L2457">
        <v>22.584503807433698</v>
      </c>
      <c r="M2457">
        <v>39.700000762939503</v>
      </c>
      <c r="N2457">
        <v>14.3999996185303</v>
      </c>
      <c r="O2457">
        <v>25.299999237060501</v>
      </c>
      <c r="P2457">
        <v>27</v>
      </c>
      <c r="Q2457">
        <v>26.100000381469702</v>
      </c>
      <c r="R2457">
        <v>30.553767328393</v>
      </c>
      <c r="S2457">
        <v>24.600000381469702</v>
      </c>
      <c r="T2457">
        <v>512.42979452054794</v>
      </c>
      <c r="U2457">
        <v>146</v>
      </c>
      <c r="V2457">
        <v>0</v>
      </c>
      <c r="W2457">
        <v>123</v>
      </c>
      <c r="X2457">
        <v>371</v>
      </c>
      <c r="Y2457">
        <v>0</v>
      </c>
      <c r="Z2457">
        <v>111.429794520548</v>
      </c>
      <c r="AA2457">
        <v>0</v>
      </c>
      <c r="AB2457">
        <v>5.5654081579757E-2</v>
      </c>
      <c r="AC2457">
        <v>0.32709549430260199</v>
      </c>
      <c r="AD2457">
        <v>1.0107283357479799</v>
      </c>
      <c r="AE2457">
        <v>0.68215334415435802</v>
      </c>
      <c r="AF2457">
        <v>444.93835616438298</v>
      </c>
      <c r="AG2457">
        <f>IFERROR(AH2457*0.1, "N/A")</f>
        <v>6.3000000000000007</v>
      </c>
      <c r="AH2457">
        <v>63</v>
      </c>
      <c r="AI2457">
        <v>186.80683595840199</v>
      </c>
      <c r="AJ2457">
        <v>14.7208904109589</v>
      </c>
      <c r="AK2457">
        <v>71.717465753424605</v>
      </c>
    </row>
    <row r="2458" spans="1:37" x14ac:dyDescent="0.3">
      <c r="A2458">
        <v>2457</v>
      </c>
      <c r="B2458">
        <v>40</v>
      </c>
      <c r="C2458">
        <v>26.1</v>
      </c>
      <c r="D2458">
        <v>11.01</v>
      </c>
      <c r="E2458" t="s">
        <v>4265</v>
      </c>
      <c r="F2458" t="s">
        <v>4266</v>
      </c>
      <c r="G2458" t="s">
        <v>39</v>
      </c>
      <c r="H2458">
        <v>1987</v>
      </c>
      <c r="I2458">
        <v>27.5</v>
      </c>
      <c r="J2458">
        <v>15.8999996185303</v>
      </c>
      <c r="K2458">
        <v>62</v>
      </c>
      <c r="L2458">
        <v>22.876301582545501</v>
      </c>
      <c r="M2458">
        <v>39.799999237060497</v>
      </c>
      <c r="N2458">
        <v>14.199999809265099</v>
      </c>
      <c r="O2458">
        <v>25.600000381469702</v>
      </c>
      <c r="P2458">
        <v>27</v>
      </c>
      <c r="Q2458">
        <v>26.01986308947</v>
      </c>
      <c r="R2458">
        <v>30.5</v>
      </c>
      <c r="S2458">
        <v>24.5</v>
      </c>
      <c r="T2458">
        <v>510.19863013698603</v>
      </c>
      <c r="U2458">
        <v>147.198630136986</v>
      </c>
      <c r="V2458">
        <v>0</v>
      </c>
      <c r="W2458">
        <v>122.198630136986</v>
      </c>
      <c r="X2458">
        <v>370.19863013698603</v>
      </c>
      <c r="Y2458">
        <v>0</v>
      </c>
      <c r="Z2458">
        <v>109</v>
      </c>
      <c r="AA2458">
        <v>0</v>
      </c>
      <c r="AB2458">
        <v>0.113189801777879</v>
      </c>
      <c r="AC2458">
        <v>32.712827420970498</v>
      </c>
      <c r="AD2458">
        <v>1.7276840626376999</v>
      </c>
      <c r="AE2458">
        <v>0.43488875031471302</v>
      </c>
      <c r="AF2458">
        <v>448.92294520547898</v>
      </c>
      <c r="AG2458">
        <f>IFERROR(AH2458*0.1, "N/A")</f>
        <v>6.3840753424657501</v>
      </c>
      <c r="AH2458">
        <v>63.8407534246575</v>
      </c>
      <c r="AI2458">
        <v>191.103026899573</v>
      </c>
      <c r="AJ2458">
        <v>15</v>
      </c>
      <c r="AK2458">
        <v>73.039383561643803</v>
      </c>
    </row>
    <row r="2459" spans="1:37" x14ac:dyDescent="0.3">
      <c r="A2459">
        <v>2458</v>
      </c>
      <c r="B2459">
        <v>59</v>
      </c>
      <c r="C2459">
        <v>27.733298999999999</v>
      </c>
      <c r="D2459">
        <v>11.033300000000001</v>
      </c>
      <c r="E2459" t="s">
        <v>4267</v>
      </c>
      <c r="F2459" t="s">
        <v>4268</v>
      </c>
      <c r="G2459" t="s">
        <v>39</v>
      </c>
      <c r="H2459">
        <v>1987</v>
      </c>
      <c r="I2459">
        <v>27.700000762939499</v>
      </c>
      <c r="J2459">
        <v>15</v>
      </c>
      <c r="K2459">
        <v>61</v>
      </c>
      <c r="L2459">
        <v>20.799999237060501</v>
      </c>
      <c r="M2459">
        <v>39.599998474121101</v>
      </c>
      <c r="N2459">
        <v>15.3999996185303</v>
      </c>
      <c r="O2459">
        <v>24.200000762939499</v>
      </c>
      <c r="P2459">
        <v>27.100000381469702</v>
      </c>
      <c r="Q2459">
        <v>25.299999237060501</v>
      </c>
      <c r="R2459">
        <v>30.5</v>
      </c>
      <c r="S2459">
        <v>25</v>
      </c>
      <c r="T2459">
        <v>518.98293515358398</v>
      </c>
      <c r="U2459">
        <v>131</v>
      </c>
      <c r="V2459">
        <v>0</v>
      </c>
      <c r="W2459">
        <v>118</v>
      </c>
      <c r="X2459">
        <v>367.32764505119502</v>
      </c>
      <c r="Y2459">
        <v>0</v>
      </c>
      <c r="Z2459">
        <v>122.655290102389</v>
      </c>
      <c r="AA2459">
        <v>0</v>
      </c>
      <c r="AB2459">
        <v>0.32610474674368101</v>
      </c>
      <c r="AC2459">
        <v>8.9372006728099997E-3</v>
      </c>
      <c r="AD2459">
        <v>0.92583522322641698</v>
      </c>
      <c r="AE2459">
        <v>0.62892544269561801</v>
      </c>
      <c r="AF2459">
        <v>429.06996587030699</v>
      </c>
      <c r="AG2459">
        <f>IFERROR(AH2459*0.1, "N/A")</f>
        <v>6.3578498293515402</v>
      </c>
      <c r="AH2459">
        <v>63.578498293515402</v>
      </c>
      <c r="AI2459">
        <v>202.49564983901701</v>
      </c>
      <c r="AJ2459">
        <v>28.035836177474401</v>
      </c>
      <c r="AK2459">
        <v>53.964163822525599</v>
      </c>
    </row>
    <row r="2460" spans="1:37" x14ac:dyDescent="0.3">
      <c r="A2460">
        <v>2459</v>
      </c>
      <c r="B2460">
        <v>18</v>
      </c>
      <c r="C2460">
        <v>24.549999</v>
      </c>
      <c r="D2460">
        <v>11.05</v>
      </c>
      <c r="E2460" t="s">
        <v>4269</v>
      </c>
      <c r="F2460" t="s">
        <v>4270</v>
      </c>
      <c r="G2460" t="s">
        <v>39</v>
      </c>
      <c r="H2460">
        <v>1987</v>
      </c>
      <c r="I2460">
        <v>27</v>
      </c>
      <c r="J2460">
        <v>17.399999618530298</v>
      </c>
      <c r="K2460">
        <v>64</v>
      </c>
      <c r="L2460">
        <v>21.1582160903905</v>
      </c>
      <c r="M2460">
        <v>39.700000762939503</v>
      </c>
      <c r="N2460">
        <v>12.8999996185303</v>
      </c>
      <c r="O2460">
        <v>26.799999237060501</v>
      </c>
      <c r="P2460">
        <v>26.381303149267499</v>
      </c>
      <c r="Q2460">
        <v>25.899999618530298</v>
      </c>
      <c r="R2460">
        <v>29.799999237060501</v>
      </c>
      <c r="S2460">
        <v>24.363464316209399</v>
      </c>
      <c r="T2460">
        <v>628.17667238421996</v>
      </c>
      <c r="U2460">
        <v>178</v>
      </c>
      <c r="V2460">
        <v>0</v>
      </c>
      <c r="W2460">
        <v>121</v>
      </c>
      <c r="X2460">
        <v>453.17667238422001</v>
      </c>
      <c r="Y2460">
        <v>0</v>
      </c>
      <c r="Z2460">
        <v>137</v>
      </c>
      <c r="AA2460">
        <v>0</v>
      </c>
      <c r="AB2460">
        <v>0.33277633954893898</v>
      </c>
      <c r="AC2460">
        <v>7.2259269545947404</v>
      </c>
      <c r="AD2460">
        <v>0.96135784821076797</v>
      </c>
      <c r="AE2460">
        <v>0.35628425778492001</v>
      </c>
      <c r="AF2460">
        <v>522.23842195540306</v>
      </c>
      <c r="AG2460">
        <f>IFERROR(AH2460*0.1, "N/A")</f>
        <v>6.7373927958833608</v>
      </c>
      <c r="AH2460">
        <v>67.373927958833605</v>
      </c>
      <c r="AI2460">
        <v>193.31971977587199</v>
      </c>
      <c r="AJ2460">
        <v>29.430531732418501</v>
      </c>
      <c r="AK2460">
        <v>52.084048027444297</v>
      </c>
    </row>
    <row r="2461" spans="1:37" x14ac:dyDescent="0.3">
      <c r="A2461">
        <v>2460</v>
      </c>
      <c r="B2461">
        <v>2</v>
      </c>
      <c r="C2461">
        <v>26.85</v>
      </c>
      <c r="D2461">
        <v>11.066700000000001</v>
      </c>
      <c r="E2461" t="s">
        <v>4271</v>
      </c>
      <c r="F2461" t="s">
        <v>4272</v>
      </c>
      <c r="G2461" t="s">
        <v>39</v>
      </c>
      <c r="H2461">
        <v>1987</v>
      </c>
      <c r="I2461">
        <v>27.5</v>
      </c>
      <c r="J2461">
        <v>15.300000190734901</v>
      </c>
      <c r="K2461">
        <v>60</v>
      </c>
      <c r="L2461">
        <v>22.784133901318</v>
      </c>
      <c r="M2461">
        <v>39.700000762939503</v>
      </c>
      <c r="N2461">
        <v>14.6000003814697</v>
      </c>
      <c r="O2461">
        <v>25.100000381469702</v>
      </c>
      <c r="P2461">
        <v>27.100000381469702</v>
      </c>
      <c r="Q2461">
        <v>24.8847336940864</v>
      </c>
      <c r="R2461">
        <v>30.5773587856653</v>
      </c>
      <c r="S2461">
        <v>24.5</v>
      </c>
      <c r="T2461">
        <v>492.35162950257302</v>
      </c>
      <c r="U2461">
        <v>137</v>
      </c>
      <c r="V2461">
        <v>0</v>
      </c>
      <c r="W2461">
        <v>121</v>
      </c>
      <c r="X2461">
        <v>358.15265866209302</v>
      </c>
      <c r="Y2461">
        <v>0</v>
      </c>
      <c r="Z2461">
        <v>107.19897084048</v>
      </c>
      <c r="AA2461">
        <v>0</v>
      </c>
      <c r="AB2461">
        <v>0.54940780194709504</v>
      </c>
      <c r="AC2461">
        <v>9.2988612232520005E-3</v>
      </c>
      <c r="AD2461">
        <v>1.4065787354628001</v>
      </c>
      <c r="AE2461">
        <v>0.24180372059345201</v>
      </c>
      <c r="AF2461">
        <v>438.83361921097799</v>
      </c>
      <c r="AG2461">
        <f>IFERROR(AH2461*0.1, "N/A")</f>
        <v>6.4727272727272709</v>
      </c>
      <c r="AH2461">
        <v>64.727272727272705</v>
      </c>
      <c r="AI2461">
        <v>181.73441017635099</v>
      </c>
      <c r="AJ2461">
        <v>14.7272727272727</v>
      </c>
      <c r="AK2461">
        <v>74.272727272727295</v>
      </c>
    </row>
    <row r="2462" spans="1:37" x14ac:dyDescent="0.3">
      <c r="A2462">
        <v>2461</v>
      </c>
      <c r="B2462">
        <v>30</v>
      </c>
      <c r="C2462">
        <v>30.040001</v>
      </c>
      <c r="D2462">
        <v>11.07</v>
      </c>
      <c r="E2462" t="s">
        <v>4273</v>
      </c>
      <c r="F2462" t="s">
        <v>4274</v>
      </c>
      <c r="G2462" t="s">
        <v>39</v>
      </c>
      <c r="H2462">
        <v>1987</v>
      </c>
      <c r="I2462">
        <v>27.299999237060501</v>
      </c>
      <c r="J2462">
        <v>14.300000190734901</v>
      </c>
      <c r="K2462">
        <v>64</v>
      </c>
      <c r="L2462">
        <v>17.7299995422363</v>
      </c>
      <c r="M2462">
        <v>38.799999237060497</v>
      </c>
      <c r="N2462">
        <v>16.700000762939499</v>
      </c>
      <c r="O2462">
        <v>22.100000381469702</v>
      </c>
      <c r="P2462">
        <v>26</v>
      </c>
      <c r="Q2462">
        <v>25.700000762939499</v>
      </c>
      <c r="R2462">
        <v>30</v>
      </c>
      <c r="S2462">
        <v>25.700000762939499</v>
      </c>
      <c r="T2462">
        <v>717</v>
      </c>
      <c r="U2462">
        <v>165</v>
      </c>
      <c r="V2462">
        <v>0</v>
      </c>
      <c r="W2462">
        <v>105</v>
      </c>
      <c r="X2462">
        <v>455</v>
      </c>
      <c r="Y2462">
        <v>0</v>
      </c>
      <c r="Z2462">
        <v>78</v>
      </c>
      <c r="AA2462">
        <v>0</v>
      </c>
      <c r="AB2462">
        <v>6.8134826138488203</v>
      </c>
      <c r="AC2462">
        <v>1.5521493974403999E-2</v>
      </c>
      <c r="AD2462">
        <v>1.51615473918426</v>
      </c>
      <c r="AE2462">
        <v>0.20125493407249501</v>
      </c>
      <c r="AF2462">
        <v>552.13675213675197</v>
      </c>
      <c r="AG2462">
        <f>IFERROR(AH2462*0.1, "N/A")</f>
        <v>7.3042735042735005</v>
      </c>
      <c r="AH2462">
        <v>73.042735042735004</v>
      </c>
      <c r="AI2462">
        <v>96.4427488375933</v>
      </c>
      <c r="AJ2462">
        <v>35.102564102564102</v>
      </c>
      <c r="AK2462">
        <v>41.126495726495698</v>
      </c>
    </row>
    <row r="2463" spans="1:37" x14ac:dyDescent="0.3">
      <c r="A2463">
        <v>2462</v>
      </c>
      <c r="B2463">
        <v>33</v>
      </c>
      <c r="C2463">
        <v>24.4</v>
      </c>
      <c r="D2463">
        <v>11.15</v>
      </c>
      <c r="E2463" t="s">
        <v>4275</v>
      </c>
      <c r="F2463" t="s">
        <v>4276</v>
      </c>
      <c r="G2463" t="s">
        <v>39</v>
      </c>
      <c r="H2463">
        <v>1987</v>
      </c>
      <c r="I2463">
        <v>26.860512288411499</v>
      </c>
      <c r="J2463">
        <v>17.560513051350899</v>
      </c>
      <c r="K2463">
        <v>64</v>
      </c>
      <c r="L2463">
        <v>21.281230476575001</v>
      </c>
      <c r="M2463">
        <v>39.599998474121101</v>
      </c>
      <c r="N2463">
        <v>12.5</v>
      </c>
      <c r="O2463">
        <v>27.100000381469702</v>
      </c>
      <c r="P2463">
        <v>26.260512660099899</v>
      </c>
      <c r="Q2463">
        <v>25.799999237060501</v>
      </c>
      <c r="R2463">
        <v>29.700000762939499</v>
      </c>
      <c r="S2463">
        <v>24.200000762939499</v>
      </c>
      <c r="T2463">
        <v>627.71111111111099</v>
      </c>
      <c r="U2463">
        <v>180</v>
      </c>
      <c r="V2463">
        <v>0</v>
      </c>
      <c r="W2463">
        <v>122</v>
      </c>
      <c r="X2463">
        <v>456.71111111111099</v>
      </c>
      <c r="Y2463">
        <v>0</v>
      </c>
      <c r="Z2463">
        <v>135</v>
      </c>
      <c r="AA2463">
        <v>0</v>
      </c>
      <c r="AB2463">
        <v>1.56394731570513</v>
      </c>
      <c r="AC2463">
        <v>1.4298280183640001E-2</v>
      </c>
      <c r="AD2463">
        <v>0.78799521923065197</v>
      </c>
      <c r="AE2463">
        <v>0.686639845371246</v>
      </c>
      <c r="AF2463">
        <v>540.47863247863199</v>
      </c>
      <c r="AG2463">
        <f>IFERROR(AH2463*0.1, "N/A")</f>
        <v>6.3000000000000007</v>
      </c>
      <c r="AH2463">
        <v>63</v>
      </c>
      <c r="AI2463">
        <v>186.75951874561801</v>
      </c>
      <c r="AJ2463">
        <v>14</v>
      </c>
      <c r="AK2463">
        <v>74.056410256410302</v>
      </c>
    </row>
    <row r="2464" spans="1:37" x14ac:dyDescent="0.3">
      <c r="A2464">
        <v>2463</v>
      </c>
      <c r="B2464">
        <v>18</v>
      </c>
      <c r="C2464">
        <v>23.883300999999999</v>
      </c>
      <c r="D2464">
        <v>11.3</v>
      </c>
      <c r="E2464" t="s">
        <v>4277</v>
      </c>
      <c r="F2464" t="s">
        <v>4278</v>
      </c>
      <c r="G2464" t="s">
        <v>39</v>
      </c>
      <c r="H2464">
        <v>1987</v>
      </c>
      <c r="I2464">
        <v>26.299999237060501</v>
      </c>
      <c r="J2464">
        <v>17.799999237060501</v>
      </c>
      <c r="K2464">
        <v>64</v>
      </c>
      <c r="L2464">
        <v>21.317244896272399</v>
      </c>
      <c r="M2464">
        <v>39.200000762939503</v>
      </c>
      <c r="N2464">
        <v>11.5</v>
      </c>
      <c r="O2464">
        <v>27.700000762939499</v>
      </c>
      <c r="P2464">
        <v>25.700000762939499</v>
      </c>
      <c r="Q2464">
        <v>25.233503653078699</v>
      </c>
      <c r="R2464">
        <v>29.1335039106356</v>
      </c>
      <c r="S2464">
        <v>23.6335039106356</v>
      </c>
      <c r="T2464">
        <v>646.07312925170095</v>
      </c>
      <c r="U2464">
        <v>186</v>
      </c>
      <c r="V2464">
        <v>0</v>
      </c>
      <c r="W2464">
        <v>125.270408163265</v>
      </c>
      <c r="X2464">
        <v>474.073129251701</v>
      </c>
      <c r="Y2464">
        <v>0</v>
      </c>
      <c r="Z2464">
        <v>142</v>
      </c>
      <c r="AA2464">
        <v>0</v>
      </c>
      <c r="AB2464">
        <v>4.7120865802375604</v>
      </c>
      <c r="AC2464">
        <v>4.7930788625741003E-2</v>
      </c>
      <c r="AD2464">
        <v>1.38203118508365</v>
      </c>
      <c r="AE2464">
        <v>0.71010485088744102</v>
      </c>
      <c r="AF2464">
        <v>588.28401360544206</v>
      </c>
      <c r="AG2464">
        <f>IFERROR(AH2464*0.1, "N/A")</f>
        <v>7.1335034013605396</v>
      </c>
      <c r="AH2464">
        <v>71.335034013605394</v>
      </c>
      <c r="AI2464">
        <v>206.30277026429499</v>
      </c>
      <c r="AJ2464">
        <v>17</v>
      </c>
      <c r="AK2464">
        <v>68.664965986394606</v>
      </c>
    </row>
    <row r="2465" spans="1:37" x14ac:dyDescent="0.3">
      <c r="A2465">
        <v>2464</v>
      </c>
      <c r="B2465">
        <v>14</v>
      </c>
      <c r="C2465">
        <v>28.24</v>
      </c>
      <c r="D2465">
        <v>11.4</v>
      </c>
      <c r="E2465" t="s">
        <v>4279</v>
      </c>
      <c r="F2465" t="s">
        <v>4280</v>
      </c>
      <c r="G2465" t="s">
        <v>39</v>
      </c>
      <c r="H2465">
        <v>1987</v>
      </c>
      <c r="I2465">
        <v>27.4818492458291</v>
      </c>
      <c r="J2465">
        <v>15</v>
      </c>
      <c r="K2465">
        <v>62</v>
      </c>
      <c r="L2465">
        <v>20.956369210596002</v>
      </c>
      <c r="M2465">
        <v>39.281848829086499</v>
      </c>
      <c r="N2465">
        <v>15.1818492281927</v>
      </c>
      <c r="O2465">
        <v>24.100000381469702</v>
      </c>
      <c r="P2465">
        <v>26.963698491658199</v>
      </c>
      <c r="Q2465">
        <v>25.100000381469702</v>
      </c>
      <c r="R2465">
        <v>30.281848829086499</v>
      </c>
      <c r="S2465">
        <v>24.700000762939499</v>
      </c>
      <c r="T2465">
        <v>505.36301369863003</v>
      </c>
      <c r="U2465">
        <v>132</v>
      </c>
      <c r="V2465">
        <v>0</v>
      </c>
      <c r="W2465">
        <v>118</v>
      </c>
      <c r="X2465">
        <v>361.18150684931499</v>
      </c>
      <c r="Y2465">
        <v>0</v>
      </c>
      <c r="Z2465">
        <v>114.181506849315</v>
      </c>
      <c r="AA2465">
        <v>0</v>
      </c>
      <c r="AB2465">
        <v>2.4371678600572602</v>
      </c>
      <c r="AC2465">
        <v>0.15502168931232799</v>
      </c>
      <c r="AD2465">
        <v>1.0458516674499001</v>
      </c>
      <c r="AE2465">
        <v>0.31113383173942599</v>
      </c>
      <c r="AF2465">
        <v>489.51712328767098</v>
      </c>
      <c r="AG2465">
        <f>IFERROR(AH2465*0.1, "N/A")</f>
        <v>6.6181506849315106</v>
      </c>
      <c r="AH2465">
        <v>66.181506849315099</v>
      </c>
      <c r="AI2465">
        <v>72.7217793823921</v>
      </c>
      <c r="AJ2465">
        <v>19.660958904109599</v>
      </c>
      <c r="AK2465">
        <v>63.157534246575402</v>
      </c>
    </row>
    <row r="2466" spans="1:37" x14ac:dyDescent="0.3">
      <c r="A2466">
        <v>2465</v>
      </c>
      <c r="B2466">
        <v>15</v>
      </c>
      <c r="C2466">
        <v>31.233298999999999</v>
      </c>
      <c r="D2466">
        <v>11.45</v>
      </c>
      <c r="E2466" t="s">
        <v>4281</v>
      </c>
      <c r="F2466" t="s">
        <v>4282</v>
      </c>
      <c r="G2466" t="s">
        <v>39</v>
      </c>
      <c r="H2466">
        <v>1987</v>
      </c>
      <c r="I2466">
        <v>27.299999237060501</v>
      </c>
      <c r="J2466">
        <v>13.199999809265099</v>
      </c>
      <c r="K2466">
        <v>66</v>
      </c>
      <c r="L2466">
        <v>16.534531715172101</v>
      </c>
      <c r="M2466">
        <v>38</v>
      </c>
      <c r="N2466">
        <v>18</v>
      </c>
      <c r="O2466">
        <v>20</v>
      </c>
      <c r="P2466">
        <v>26.100000381469702</v>
      </c>
      <c r="Q2466">
        <v>25.771379571554</v>
      </c>
      <c r="R2466">
        <v>29.799999237060501</v>
      </c>
      <c r="S2466">
        <v>25.771379571554</v>
      </c>
      <c r="T2466">
        <v>644.64224872231705</v>
      </c>
      <c r="U2466">
        <v>161.678023850085</v>
      </c>
      <c r="V2466">
        <v>0</v>
      </c>
      <c r="W2466">
        <v>111</v>
      </c>
      <c r="X2466">
        <v>429.64224872231699</v>
      </c>
      <c r="Y2466">
        <v>0</v>
      </c>
      <c r="Z2466">
        <v>50</v>
      </c>
      <c r="AA2466">
        <v>0</v>
      </c>
      <c r="AB2466">
        <v>0.28432920803609502</v>
      </c>
      <c r="AC2466">
        <v>0.43678040482624197</v>
      </c>
      <c r="AD2466">
        <v>0.88689126686099495</v>
      </c>
      <c r="AE2466">
        <v>0.45998252656634497</v>
      </c>
      <c r="AF2466">
        <v>561.68313458262298</v>
      </c>
      <c r="AG2466">
        <f>IFERROR(AH2466*0.1, "N/A")</f>
        <v>7.3321976149914807</v>
      </c>
      <c r="AH2466">
        <v>73.321976149914803</v>
      </c>
      <c r="AI2466">
        <v>218.55752874111201</v>
      </c>
      <c r="AJ2466">
        <v>31.327086882453202</v>
      </c>
      <c r="AK2466">
        <v>46.6439522998296</v>
      </c>
    </row>
    <row r="2467" spans="1:37" x14ac:dyDescent="0.3">
      <c r="A2467">
        <v>2466</v>
      </c>
      <c r="B2467">
        <v>45</v>
      </c>
      <c r="C2467">
        <v>26.41</v>
      </c>
      <c r="D2467">
        <v>11.46</v>
      </c>
      <c r="E2467" t="s">
        <v>4283</v>
      </c>
      <c r="F2467" t="s">
        <v>4284</v>
      </c>
      <c r="G2467" t="s">
        <v>39</v>
      </c>
      <c r="H2467">
        <v>1987</v>
      </c>
      <c r="I2467">
        <v>27.399999618530298</v>
      </c>
      <c r="J2467">
        <v>15.5</v>
      </c>
      <c r="K2467">
        <v>60</v>
      </c>
      <c r="L2467">
        <v>24.9899997711182</v>
      </c>
      <c r="M2467">
        <v>39.700000762939503</v>
      </c>
      <c r="N2467">
        <v>14</v>
      </c>
      <c r="O2467">
        <v>25.700000762939499</v>
      </c>
      <c r="P2467">
        <v>27.200000762939499</v>
      </c>
      <c r="Q2467">
        <v>24.5</v>
      </c>
      <c r="R2467">
        <v>30.700000762939499</v>
      </c>
      <c r="S2467">
        <v>23.899999618530298</v>
      </c>
      <c r="T2467">
        <v>436</v>
      </c>
      <c r="U2467">
        <v>134</v>
      </c>
      <c r="V2467">
        <v>0</v>
      </c>
      <c r="W2467">
        <v>127</v>
      </c>
      <c r="X2467">
        <v>330</v>
      </c>
      <c r="Y2467">
        <v>0</v>
      </c>
      <c r="Z2467">
        <v>82</v>
      </c>
      <c r="AA2467">
        <v>0</v>
      </c>
      <c r="AB2467">
        <v>0.48159665265318902</v>
      </c>
      <c r="AC2467">
        <v>1.4862646366227E-2</v>
      </c>
      <c r="AD2467">
        <v>0.64844956278191701</v>
      </c>
      <c r="AE2467">
        <v>0.50367329372458003</v>
      </c>
      <c r="AF2467">
        <v>468.69505962521299</v>
      </c>
      <c r="AG2467">
        <f>IFERROR(AH2467*0.1, "N/A")</f>
        <v>7.5722316865417403</v>
      </c>
      <c r="AH2467">
        <v>75.722316865417397</v>
      </c>
      <c r="AI2467">
        <v>234.94240191847899</v>
      </c>
      <c r="AJ2467">
        <v>30.0954003407155</v>
      </c>
      <c r="AK2467">
        <v>49.7870528109029</v>
      </c>
    </row>
    <row r="2468" spans="1:37" x14ac:dyDescent="0.3">
      <c r="A2468">
        <v>2467</v>
      </c>
      <c r="B2468">
        <v>13</v>
      </c>
      <c r="C2468">
        <v>26.809999000000001</v>
      </c>
      <c r="D2468">
        <v>11.55</v>
      </c>
      <c r="E2468" t="s">
        <v>4285</v>
      </c>
      <c r="F2468" t="s">
        <v>4286</v>
      </c>
      <c r="G2468" t="s">
        <v>39</v>
      </c>
      <c r="H2468">
        <v>1987</v>
      </c>
      <c r="I2468">
        <v>27.5</v>
      </c>
      <c r="J2468">
        <v>15.3999996185303</v>
      </c>
      <c r="K2468">
        <v>60</v>
      </c>
      <c r="L2468">
        <v>24.688873063175301</v>
      </c>
      <c r="M2468">
        <v>39.700000762939503</v>
      </c>
      <c r="N2468">
        <v>14.199999809265099</v>
      </c>
      <c r="O2468">
        <v>25.5</v>
      </c>
      <c r="P2468">
        <v>27.299999237060501</v>
      </c>
      <c r="Q2468">
        <v>24.519453999125499</v>
      </c>
      <c r="R2468">
        <v>30.700000762939499</v>
      </c>
      <c r="S2468">
        <v>24.100000381469702</v>
      </c>
      <c r="T2468">
        <v>425.38907849829297</v>
      </c>
      <c r="U2468">
        <v>126</v>
      </c>
      <c r="V2468">
        <v>0</v>
      </c>
      <c r="W2468">
        <v>128</v>
      </c>
      <c r="X2468">
        <v>322.194539249147</v>
      </c>
      <c r="Y2468">
        <v>0</v>
      </c>
      <c r="Z2468">
        <v>82.1945392491468</v>
      </c>
      <c r="AA2468">
        <v>0</v>
      </c>
      <c r="AB2468">
        <v>1.2334360376559801</v>
      </c>
      <c r="AC2468">
        <v>3.8516496991541999E-2</v>
      </c>
      <c r="AD2468">
        <v>1.54916361086198</v>
      </c>
      <c r="AE2468">
        <v>0.68219434360595299</v>
      </c>
      <c r="AF2468">
        <v>461.62627986348099</v>
      </c>
      <c r="AG2468">
        <f>IFERROR(AH2468*0.1, "N/A")</f>
        <v>7.4365187713310608</v>
      </c>
      <c r="AH2468">
        <v>74.365187713310604</v>
      </c>
      <c r="AI2468">
        <v>171.57038257065099</v>
      </c>
      <c r="AJ2468">
        <v>19.317406143344702</v>
      </c>
      <c r="AK2468">
        <v>69.682593856655302</v>
      </c>
    </row>
    <row r="2469" spans="1:37" x14ac:dyDescent="0.3">
      <c r="A2469">
        <v>2468</v>
      </c>
      <c r="B2469">
        <v>5</v>
      </c>
      <c r="C2469">
        <v>26.566700000000001</v>
      </c>
      <c r="D2469">
        <v>11.583299999999999</v>
      </c>
      <c r="E2469" t="s">
        <v>4287</v>
      </c>
      <c r="F2469" t="s">
        <v>4288</v>
      </c>
      <c r="G2469" t="s">
        <v>39</v>
      </c>
      <c r="H2469">
        <v>1987</v>
      </c>
      <c r="I2469">
        <v>27.399999618530298</v>
      </c>
      <c r="J2469">
        <v>15.5</v>
      </c>
      <c r="K2469">
        <v>60</v>
      </c>
      <c r="L2469">
        <v>25.129232708802601</v>
      </c>
      <c r="M2469">
        <v>39.700000762939503</v>
      </c>
      <c r="N2469">
        <v>14</v>
      </c>
      <c r="O2469">
        <v>25.700000762939499</v>
      </c>
      <c r="P2469">
        <v>27.200000762939499</v>
      </c>
      <c r="Q2469">
        <v>24.408347180186201</v>
      </c>
      <c r="R2469">
        <v>30.799999237060501</v>
      </c>
      <c r="S2469">
        <v>24</v>
      </c>
      <c r="T2469">
        <v>420.92504258943802</v>
      </c>
      <c r="U2469">
        <v>129</v>
      </c>
      <c r="V2469">
        <v>0</v>
      </c>
      <c r="W2469">
        <v>127.92504258943799</v>
      </c>
      <c r="X2469">
        <v>321</v>
      </c>
      <c r="Y2469">
        <v>0</v>
      </c>
      <c r="Z2469">
        <v>78.925042589437794</v>
      </c>
      <c r="AA2469">
        <v>0</v>
      </c>
      <c r="AB2469">
        <v>0.26966720139147698</v>
      </c>
      <c r="AC2469">
        <v>0.121103548931888</v>
      </c>
      <c r="AD2469">
        <v>1.09627222405585</v>
      </c>
      <c r="AE2469">
        <v>0.24388039112091101</v>
      </c>
      <c r="AF2469">
        <v>467.763202725724</v>
      </c>
      <c r="AG2469">
        <f>IFERROR(AH2469*0.1, "N/A")</f>
        <v>7.2541737649062998</v>
      </c>
      <c r="AH2469">
        <v>72.541737649062995</v>
      </c>
      <c r="AI2469">
        <v>167.13926235374399</v>
      </c>
      <c r="AJ2469">
        <v>15.541737649063</v>
      </c>
      <c r="AK2469">
        <v>73.507666098807505</v>
      </c>
    </row>
    <row r="2470" spans="1:37" x14ac:dyDescent="0.3">
      <c r="A2470">
        <v>2469</v>
      </c>
      <c r="B2470">
        <v>5</v>
      </c>
      <c r="C2470">
        <v>25.190000999999999</v>
      </c>
      <c r="D2470">
        <v>11.68</v>
      </c>
      <c r="E2470" t="s">
        <v>4289</v>
      </c>
      <c r="F2470" t="s">
        <v>4290</v>
      </c>
      <c r="G2470" t="s">
        <v>39</v>
      </c>
      <c r="H2470">
        <v>1987</v>
      </c>
      <c r="I2470">
        <v>27.600000381469702</v>
      </c>
      <c r="J2470">
        <v>17.299999237060501</v>
      </c>
      <c r="K2470">
        <v>65</v>
      </c>
      <c r="L2470">
        <v>22.7299995422363</v>
      </c>
      <c r="M2470">
        <v>40.099998474121101</v>
      </c>
      <c r="N2470">
        <v>13.699999809265099</v>
      </c>
      <c r="O2470">
        <v>26.399999618530298</v>
      </c>
      <c r="P2470">
        <v>27.200000762939499</v>
      </c>
      <c r="Q2470">
        <v>25.899999618530298</v>
      </c>
      <c r="R2470">
        <v>30.5</v>
      </c>
      <c r="S2470">
        <v>24.399999618530298</v>
      </c>
      <c r="T2470">
        <v>451</v>
      </c>
      <c r="U2470">
        <v>137</v>
      </c>
      <c r="V2470">
        <v>0</v>
      </c>
      <c r="W2470">
        <v>129</v>
      </c>
      <c r="X2470">
        <v>344</v>
      </c>
      <c r="Y2470">
        <v>0</v>
      </c>
      <c r="Z2470">
        <v>83</v>
      </c>
      <c r="AA2470">
        <v>0</v>
      </c>
      <c r="AB2470">
        <v>1.4602963709140799</v>
      </c>
      <c r="AC2470">
        <v>2.8393422081761899</v>
      </c>
      <c r="AD2470">
        <v>1.65865848874721</v>
      </c>
      <c r="AE2470">
        <v>0.30419746041297901</v>
      </c>
      <c r="AF2470">
        <v>540.75809199318599</v>
      </c>
      <c r="AG2470">
        <f>IFERROR(AH2470*0.1, "N/A")</f>
        <v>7</v>
      </c>
      <c r="AH2470">
        <v>70</v>
      </c>
      <c r="AI2470">
        <v>134.196168655837</v>
      </c>
      <c r="AJ2470">
        <v>17.9863713798978</v>
      </c>
      <c r="AK2470">
        <v>71.218057921635406</v>
      </c>
    </row>
    <row r="2471" spans="1:37" x14ac:dyDescent="0.3">
      <c r="A2471">
        <v>2470</v>
      </c>
      <c r="B2471">
        <v>36</v>
      </c>
      <c r="C2471">
        <v>29.48</v>
      </c>
      <c r="D2471">
        <v>11.7</v>
      </c>
      <c r="E2471" t="s">
        <v>4291</v>
      </c>
      <c r="F2471" t="s">
        <v>4292</v>
      </c>
      <c r="G2471" t="s">
        <v>39</v>
      </c>
      <c r="H2471">
        <v>1987</v>
      </c>
      <c r="I2471">
        <v>26.221124801765701</v>
      </c>
      <c r="J2471">
        <v>14.5</v>
      </c>
      <c r="K2471">
        <v>62.788756388415699</v>
      </c>
      <c r="L2471">
        <v>19.400988119018098</v>
      </c>
      <c r="M2471">
        <v>37.900001525878899</v>
      </c>
      <c r="N2471">
        <v>14.8788753782464</v>
      </c>
      <c r="O2471">
        <v>23.021124441741499</v>
      </c>
      <c r="P2471">
        <v>25.5</v>
      </c>
      <c r="Q2471">
        <v>23.899999618530298</v>
      </c>
      <c r="R2471">
        <v>28.899999618530298</v>
      </c>
      <c r="S2471">
        <v>23.899999618530298</v>
      </c>
      <c r="T2471">
        <v>623.211243611584</v>
      </c>
      <c r="U2471">
        <v>166</v>
      </c>
      <c r="V2471">
        <v>0</v>
      </c>
      <c r="W2471">
        <v>114.577512776831</v>
      </c>
      <c r="X2471">
        <v>432</v>
      </c>
      <c r="Y2471">
        <v>0</v>
      </c>
      <c r="Z2471">
        <v>140.211243611584</v>
      </c>
      <c r="AA2471">
        <v>0</v>
      </c>
      <c r="AB2471">
        <v>3.26558455251145</v>
      </c>
      <c r="AC2471">
        <v>6.2253316359839002E-2</v>
      </c>
      <c r="AD2471">
        <v>1.3629505234235799</v>
      </c>
      <c r="AE2471">
        <v>0.20299786329269401</v>
      </c>
      <c r="AF2471">
        <v>682.48211243611604</v>
      </c>
      <c r="AG2471">
        <f>IFERROR(AH2471*0.1, "N/A")</f>
        <v>6.6000000000000005</v>
      </c>
      <c r="AH2471">
        <v>66</v>
      </c>
      <c r="AI2471">
        <v>243.18840744304501</v>
      </c>
      <c r="AJ2471">
        <v>27</v>
      </c>
      <c r="AK2471">
        <v>54</v>
      </c>
    </row>
    <row r="2472" spans="1:37" x14ac:dyDescent="0.3">
      <c r="A2472">
        <v>2471</v>
      </c>
      <c r="B2472">
        <v>18</v>
      </c>
      <c r="C2472">
        <v>26.790001</v>
      </c>
      <c r="D2472">
        <v>11.76</v>
      </c>
      <c r="E2472" t="s">
        <v>4293</v>
      </c>
      <c r="F2472" t="s">
        <v>4294</v>
      </c>
      <c r="G2472" t="s">
        <v>39</v>
      </c>
      <c r="H2472">
        <v>1987</v>
      </c>
      <c r="I2472">
        <v>27.399999618530298</v>
      </c>
      <c r="J2472">
        <v>15.6000003814697</v>
      </c>
      <c r="K2472">
        <v>60</v>
      </c>
      <c r="L2472">
        <v>25.610000610351602</v>
      </c>
      <c r="M2472">
        <v>39.599998474121101</v>
      </c>
      <c r="N2472">
        <v>13.8999996185303</v>
      </c>
      <c r="O2472">
        <v>25.700000762939499</v>
      </c>
      <c r="P2472">
        <v>27.399999618530298</v>
      </c>
      <c r="Q2472">
        <v>24.399999618530298</v>
      </c>
      <c r="R2472">
        <v>30.799999237060501</v>
      </c>
      <c r="S2472">
        <v>23.799999237060501</v>
      </c>
      <c r="T2472">
        <v>402</v>
      </c>
      <c r="U2472">
        <v>123</v>
      </c>
      <c r="V2472">
        <v>0</v>
      </c>
      <c r="W2472">
        <v>130</v>
      </c>
      <c r="X2472">
        <v>310</v>
      </c>
      <c r="Y2472">
        <v>0</v>
      </c>
      <c r="Z2472">
        <v>73</v>
      </c>
      <c r="AA2472">
        <v>0</v>
      </c>
      <c r="AB2472">
        <v>0.38149898999357901</v>
      </c>
      <c r="AC2472">
        <v>5.0747333789779997E-2</v>
      </c>
      <c r="AD2472">
        <v>0.85841167003732899</v>
      </c>
      <c r="AE2472">
        <v>0.66474372148513805</v>
      </c>
      <c r="AF2472">
        <v>473.82705479452102</v>
      </c>
      <c r="AG2472">
        <f>IFERROR(AH2472*0.1, "N/A")</f>
        <v>7.3030821917808204</v>
      </c>
      <c r="AH2472">
        <v>73.030821917808197</v>
      </c>
      <c r="AI2472">
        <v>172.16825628933799</v>
      </c>
      <c r="AJ2472">
        <v>13.820205479452101</v>
      </c>
      <c r="AK2472">
        <v>75.364726027397296</v>
      </c>
    </row>
    <row r="2473" spans="1:37" x14ac:dyDescent="0.3">
      <c r="A2473">
        <v>2472</v>
      </c>
      <c r="B2473">
        <v>7</v>
      </c>
      <c r="C2473">
        <v>34.349997999999999</v>
      </c>
      <c r="D2473">
        <v>11.7667</v>
      </c>
      <c r="E2473" t="s">
        <v>4295</v>
      </c>
      <c r="F2473" t="s">
        <v>4296</v>
      </c>
      <c r="G2473" t="s">
        <v>37</v>
      </c>
      <c r="H2473">
        <v>1987</v>
      </c>
      <c r="I2473">
        <v>27.9494878619197</v>
      </c>
      <c r="J2473">
        <v>15.624744267186999</v>
      </c>
      <c r="K2473">
        <v>64.247440273037498</v>
      </c>
      <c r="L2473">
        <v>19.337201538346299</v>
      </c>
      <c r="M2473">
        <v>40.295562444693402</v>
      </c>
      <c r="N2473">
        <v>16.200000762939499</v>
      </c>
      <c r="O2473">
        <v>24.0955635044762</v>
      </c>
      <c r="P2473">
        <v>26.295562444693399</v>
      </c>
      <c r="Q2473">
        <v>26.549488243389501</v>
      </c>
      <c r="R2473">
        <v>31</v>
      </c>
      <c r="S2473">
        <v>26.295562444693399</v>
      </c>
      <c r="T2473">
        <v>697.45051194539303</v>
      </c>
      <c r="U2473">
        <v>181</v>
      </c>
      <c r="V2473">
        <v>0</v>
      </c>
      <c r="W2473">
        <v>115</v>
      </c>
      <c r="X2473">
        <v>476.69795221842998</v>
      </c>
      <c r="Y2473">
        <v>0</v>
      </c>
      <c r="Z2473">
        <v>56</v>
      </c>
      <c r="AA2473">
        <v>476.69795221842998</v>
      </c>
      <c r="AB2473">
        <v>0.46281110223242899</v>
      </c>
      <c r="AC2473">
        <v>5.1416024378161E-2</v>
      </c>
      <c r="AD2473">
        <v>1.0847728286993801</v>
      </c>
      <c r="AE2473">
        <v>0.56474359572543997</v>
      </c>
      <c r="AF2473">
        <v>483.82423208191102</v>
      </c>
      <c r="AG2473">
        <f>IFERROR(AH2473*0.1, "N/A")</f>
        <v>7.5976109215017109</v>
      </c>
      <c r="AH2473">
        <v>75.976109215017104</v>
      </c>
      <c r="AI2473">
        <v>288.70303409823799</v>
      </c>
      <c r="AJ2473">
        <v>47.112627986348102</v>
      </c>
      <c r="AK2473">
        <v>28.259385665528999</v>
      </c>
    </row>
    <row r="2474" spans="1:37" x14ac:dyDescent="0.3">
      <c r="A2474">
        <v>2473</v>
      </c>
      <c r="B2474">
        <v>50</v>
      </c>
      <c r="C2474">
        <v>23.783300000000001</v>
      </c>
      <c r="D2474">
        <v>11.783300000000001</v>
      </c>
      <c r="E2474" t="s">
        <v>4297</v>
      </c>
      <c r="F2474" t="s">
        <v>4298</v>
      </c>
      <c r="G2474" t="s">
        <v>39</v>
      </c>
      <c r="H2474">
        <v>1987</v>
      </c>
      <c r="I2474">
        <v>25.399999618530298</v>
      </c>
      <c r="J2474">
        <v>18.100000381469702</v>
      </c>
      <c r="K2474">
        <v>64</v>
      </c>
      <c r="L2474">
        <v>20.904633858337899</v>
      </c>
      <c r="M2474">
        <v>38.400001525878899</v>
      </c>
      <c r="N2474">
        <v>10.300000190734901</v>
      </c>
      <c r="O2474">
        <v>28.100000381469702</v>
      </c>
      <c r="P2474">
        <v>24.899999618530298</v>
      </c>
      <c r="Q2474">
        <v>24.216014147210998</v>
      </c>
      <c r="R2474">
        <v>28.200000762939499</v>
      </c>
      <c r="S2474">
        <v>22.700000762939499</v>
      </c>
      <c r="T2474">
        <v>621.16013628620101</v>
      </c>
      <c r="U2474">
        <v>186.16013628620101</v>
      </c>
      <c r="V2474">
        <v>0</v>
      </c>
      <c r="W2474">
        <v>131</v>
      </c>
      <c r="X2474">
        <v>468.16013628620101</v>
      </c>
      <c r="Y2474">
        <v>0</v>
      </c>
      <c r="Z2474">
        <v>131</v>
      </c>
      <c r="AA2474">
        <v>0</v>
      </c>
      <c r="AB2474">
        <v>1.47221767029121</v>
      </c>
      <c r="AC2474">
        <v>0.179985859512242</v>
      </c>
      <c r="AD2474">
        <v>3.3415063231726498</v>
      </c>
      <c r="AE2474">
        <v>0.67406738362889096</v>
      </c>
      <c r="AF2474">
        <v>703.16013628620101</v>
      </c>
      <c r="AG2474">
        <f>IFERROR(AH2474*0.1, "N/A")</f>
        <v>7.1519591141396903</v>
      </c>
      <c r="AH2474">
        <v>71.519591141396901</v>
      </c>
      <c r="AI2474">
        <v>110.14772593873499</v>
      </c>
      <c r="AJ2474">
        <v>20.640545144804101</v>
      </c>
      <c r="AK2474">
        <v>61.199318568994897</v>
      </c>
    </row>
    <row r="2475" spans="1:37" x14ac:dyDescent="0.3">
      <c r="A2475">
        <v>2474</v>
      </c>
      <c r="B2475">
        <v>15</v>
      </c>
      <c r="C2475">
        <v>28.4</v>
      </c>
      <c r="D2475">
        <v>11.8</v>
      </c>
      <c r="E2475" t="s">
        <v>4299</v>
      </c>
      <c r="F2475" t="s">
        <v>4300</v>
      </c>
      <c r="G2475" t="s">
        <v>39</v>
      </c>
      <c r="H2475">
        <v>1987</v>
      </c>
      <c r="I2475">
        <v>27.148976677513801</v>
      </c>
      <c r="J2475">
        <v>15</v>
      </c>
      <c r="K2475">
        <v>61</v>
      </c>
      <c r="L2475">
        <v>22.000886777155198</v>
      </c>
      <c r="M2475">
        <v>38.8802058509592</v>
      </c>
      <c r="N2475">
        <v>14.570819382781499</v>
      </c>
      <c r="O2475">
        <v>24.309384938392999</v>
      </c>
      <c r="P2475">
        <v>26.780204317268701</v>
      </c>
      <c r="Q2475">
        <v>24.570819382781501</v>
      </c>
      <c r="R2475">
        <v>30</v>
      </c>
      <c r="S2475">
        <v>24.100000381469702</v>
      </c>
      <c r="T2475">
        <v>464.21843003412999</v>
      </c>
      <c r="U2475">
        <v>130</v>
      </c>
      <c r="V2475">
        <v>0</v>
      </c>
      <c r="W2475">
        <v>124</v>
      </c>
      <c r="X2475">
        <v>342.21843003412999</v>
      </c>
      <c r="Y2475">
        <v>0</v>
      </c>
      <c r="Z2475">
        <v>97</v>
      </c>
      <c r="AA2475">
        <v>0</v>
      </c>
      <c r="AB2475">
        <v>19.660209161022799</v>
      </c>
      <c r="AC2475">
        <v>1.4441626232256999E-2</v>
      </c>
      <c r="AD2475">
        <v>1.0472039508127899</v>
      </c>
      <c r="AE2475">
        <v>0.194340199232101</v>
      </c>
      <c r="AF2475">
        <v>550.49658703071702</v>
      </c>
      <c r="AG2475">
        <f>IFERROR(AH2475*0.1, "N/A")</f>
        <v>7.3645051194539208</v>
      </c>
      <c r="AH2475">
        <v>73.645051194539207</v>
      </c>
      <c r="AI2475">
        <v>218.38621343931601</v>
      </c>
      <c r="AJ2475">
        <v>20.645051194539199</v>
      </c>
      <c r="AK2475">
        <v>68.667235494880501</v>
      </c>
    </row>
    <row r="2476" spans="1:37" x14ac:dyDescent="0.3">
      <c r="A2476">
        <v>2475</v>
      </c>
      <c r="B2476">
        <v>9</v>
      </c>
      <c r="C2476">
        <v>31.066700000000001</v>
      </c>
      <c r="D2476">
        <v>11.85</v>
      </c>
      <c r="E2476" t="s">
        <v>4301</v>
      </c>
      <c r="F2476" t="s">
        <v>4302</v>
      </c>
      <c r="G2476" t="s">
        <v>39</v>
      </c>
      <c r="H2476">
        <v>1987</v>
      </c>
      <c r="I2476">
        <v>26.277249787983099</v>
      </c>
      <c r="J2476">
        <v>12.673344613740699</v>
      </c>
      <c r="K2476">
        <v>68</v>
      </c>
      <c r="L2476">
        <v>16.356655807365598</v>
      </c>
      <c r="M2476">
        <v>36.450593530625802</v>
      </c>
      <c r="N2476">
        <v>17.9772494887658</v>
      </c>
      <c r="O2476">
        <v>18.473344550270401</v>
      </c>
      <c r="P2476">
        <v>24.950594039036201</v>
      </c>
      <c r="Q2476">
        <v>24.999999566070102</v>
      </c>
      <c r="R2476">
        <v>28.932936925839499</v>
      </c>
      <c r="S2476">
        <v>24.950594039036201</v>
      </c>
      <c r="T2476">
        <v>705.00339558573899</v>
      </c>
      <c r="U2476">
        <v>173.88624787775899</v>
      </c>
      <c r="V2476">
        <v>0</v>
      </c>
      <c r="W2476">
        <v>109.21561969439701</v>
      </c>
      <c r="X2476">
        <v>468.41935483870998</v>
      </c>
      <c r="Y2476">
        <v>0</v>
      </c>
      <c r="Z2476">
        <v>58.937181663837002</v>
      </c>
      <c r="AA2476">
        <v>468.41935483870998</v>
      </c>
      <c r="AB2476">
        <v>44.953636700512</v>
      </c>
      <c r="AC2476">
        <v>3.2922609837280001E-2</v>
      </c>
      <c r="AD2476">
        <v>6.1829575686786704</v>
      </c>
      <c r="AE2476">
        <v>0.28865811228752097</v>
      </c>
      <c r="AF2476">
        <v>905.08998302207101</v>
      </c>
      <c r="AG2476">
        <f>IFERROR(AH2476*0.1, "N/A")</f>
        <v>6.8266553480475398</v>
      </c>
      <c r="AH2476">
        <v>68.266553480475395</v>
      </c>
      <c r="AI2476">
        <v>278.75392301135201</v>
      </c>
      <c r="AJ2476">
        <v>24.200339558573798</v>
      </c>
      <c r="AK2476">
        <v>59.533106960950803</v>
      </c>
    </row>
    <row r="2477" spans="1:37" x14ac:dyDescent="0.3">
      <c r="A2477">
        <v>2476</v>
      </c>
      <c r="B2477">
        <v>10</v>
      </c>
      <c r="C2477">
        <v>25.629999000000002</v>
      </c>
      <c r="D2477">
        <v>12</v>
      </c>
      <c r="E2477" t="s">
        <v>4303</v>
      </c>
      <c r="F2477" t="s">
        <v>4304</v>
      </c>
      <c r="G2477" t="s">
        <v>39</v>
      </c>
      <c r="H2477">
        <v>1987</v>
      </c>
      <c r="I2477">
        <v>27.5</v>
      </c>
      <c r="J2477">
        <v>16.975938474765801</v>
      </c>
      <c r="K2477">
        <v>63.759385665529003</v>
      </c>
      <c r="L2477">
        <v>24.879625173965799</v>
      </c>
      <c r="M2477">
        <v>40</v>
      </c>
      <c r="N2477">
        <v>13.5</v>
      </c>
      <c r="O2477">
        <v>26.5</v>
      </c>
      <c r="P2477">
        <v>27.524061525234199</v>
      </c>
      <c r="Q2477">
        <v>25.5</v>
      </c>
      <c r="R2477">
        <v>30.775938170761801</v>
      </c>
      <c r="S2477">
        <v>24</v>
      </c>
      <c r="T2477">
        <v>387</v>
      </c>
      <c r="U2477">
        <v>125</v>
      </c>
      <c r="V2477">
        <v>0</v>
      </c>
      <c r="W2477">
        <v>133</v>
      </c>
      <c r="X2477">
        <v>305</v>
      </c>
      <c r="Y2477">
        <v>0</v>
      </c>
      <c r="Z2477">
        <v>64</v>
      </c>
      <c r="AA2477">
        <v>0</v>
      </c>
      <c r="AB2477">
        <v>1.47713243920649</v>
      </c>
      <c r="AC2477">
        <v>2.4594490058757999E-2</v>
      </c>
      <c r="AD2477">
        <v>1.4756610409289901</v>
      </c>
      <c r="AE2477">
        <v>0.37475885705126</v>
      </c>
      <c r="AF2477">
        <v>524.92150170648495</v>
      </c>
      <c r="AG2477">
        <f>IFERROR(AH2477*0.1, "N/A")</f>
        <v>7.4</v>
      </c>
      <c r="AH2477">
        <v>74</v>
      </c>
      <c r="AI2477">
        <v>93.084712646927002</v>
      </c>
      <c r="AJ2477">
        <v>26</v>
      </c>
      <c r="AK2477">
        <v>55</v>
      </c>
    </row>
    <row r="2478" spans="1:37" x14ac:dyDescent="0.3">
      <c r="A2478">
        <v>2477</v>
      </c>
      <c r="B2478">
        <v>15</v>
      </c>
      <c r="C2478">
        <v>30.049999</v>
      </c>
      <c r="D2478">
        <v>12.07</v>
      </c>
      <c r="E2478" t="s">
        <v>4305</v>
      </c>
      <c r="F2478" t="s">
        <v>4306</v>
      </c>
      <c r="G2478" t="s">
        <v>39</v>
      </c>
      <c r="H2478">
        <v>1987</v>
      </c>
      <c r="I2478">
        <v>26.399999618530298</v>
      </c>
      <c r="J2478">
        <v>14</v>
      </c>
      <c r="K2478">
        <v>61</v>
      </c>
      <c r="L2478">
        <v>21.2015019179204</v>
      </c>
      <c r="M2478">
        <v>37.700000762939503</v>
      </c>
      <c r="N2478">
        <v>14.8999996185303</v>
      </c>
      <c r="O2478">
        <v>22.799999237060501</v>
      </c>
      <c r="P2478">
        <v>26</v>
      </c>
      <c r="Q2478">
        <v>23.5</v>
      </c>
      <c r="R2478">
        <v>29.2153588903642</v>
      </c>
      <c r="S2478">
        <v>23.5</v>
      </c>
      <c r="T2478">
        <v>568.84641638225298</v>
      </c>
      <c r="U2478">
        <v>156</v>
      </c>
      <c r="V2478">
        <v>0</v>
      </c>
      <c r="W2478">
        <v>117.846416382253</v>
      </c>
      <c r="X2478">
        <v>406.84641638225298</v>
      </c>
      <c r="Y2478">
        <v>0</v>
      </c>
      <c r="Z2478">
        <v>118</v>
      </c>
      <c r="AA2478">
        <v>0</v>
      </c>
      <c r="AB2478">
        <v>8.3057831123013504</v>
      </c>
      <c r="AC2478">
        <v>5.3943330264703999E-2</v>
      </c>
      <c r="AD2478">
        <v>0.91823259123152801</v>
      </c>
      <c r="AE2478">
        <v>0.67007398605346702</v>
      </c>
      <c r="AF2478">
        <v>624.80546075085294</v>
      </c>
      <c r="AG2478">
        <f>IFERROR(AH2478*0.1, "N/A")</f>
        <v>7.2423208191126314</v>
      </c>
      <c r="AH2478">
        <v>72.423208191126307</v>
      </c>
      <c r="AI2478">
        <v>37.623570159026798</v>
      </c>
      <c r="AJ2478">
        <v>44.138225255972699</v>
      </c>
      <c r="AK2478">
        <v>34.018771331057998</v>
      </c>
    </row>
    <row r="2479" spans="1:37" x14ac:dyDescent="0.3">
      <c r="A2479">
        <v>2478</v>
      </c>
      <c r="B2479">
        <v>20</v>
      </c>
      <c r="C2479">
        <v>24.91</v>
      </c>
      <c r="D2479">
        <v>12.1</v>
      </c>
      <c r="E2479" t="s">
        <v>4307</v>
      </c>
      <c r="F2479" t="s">
        <v>4308</v>
      </c>
      <c r="G2479" t="s">
        <v>39</v>
      </c>
      <c r="H2479">
        <v>1987</v>
      </c>
      <c r="I2479">
        <v>27</v>
      </c>
      <c r="J2479">
        <v>18</v>
      </c>
      <c r="K2479">
        <v>67</v>
      </c>
      <c r="L2479">
        <v>22.532577426767201</v>
      </c>
      <c r="M2479">
        <v>39.773549128717903</v>
      </c>
      <c r="N2479">
        <v>12.9735493871539</v>
      </c>
      <c r="O2479">
        <v>26.799999237060501</v>
      </c>
      <c r="P2479">
        <v>26.700000762939499</v>
      </c>
      <c r="Q2479">
        <v>24.3735490056842</v>
      </c>
      <c r="R2479">
        <v>30</v>
      </c>
      <c r="S2479">
        <v>23.8735490056842</v>
      </c>
      <c r="T2479">
        <v>404.73549488054601</v>
      </c>
      <c r="U2479">
        <v>126</v>
      </c>
      <c r="V2479">
        <v>0</v>
      </c>
      <c r="W2479">
        <v>134</v>
      </c>
      <c r="X2479">
        <v>318.73549488054601</v>
      </c>
      <c r="Y2479">
        <v>0</v>
      </c>
      <c r="Z2479">
        <v>68</v>
      </c>
      <c r="AA2479">
        <v>0</v>
      </c>
      <c r="AB2479">
        <v>6.4711642216496896</v>
      </c>
      <c r="AC2479">
        <v>1.1985948239374E-2</v>
      </c>
      <c r="AD2479">
        <v>1.9617893650059799</v>
      </c>
      <c r="AE2479">
        <v>0.424316063675864</v>
      </c>
      <c r="AF2479">
        <v>668.18600682593899</v>
      </c>
      <c r="AG2479">
        <f>IFERROR(AH2479*0.1, "N/A")</f>
        <v>7.3000000000000007</v>
      </c>
      <c r="AH2479">
        <v>73</v>
      </c>
      <c r="AI2479">
        <v>239.401187987865</v>
      </c>
      <c r="AJ2479">
        <v>25.783276450511899</v>
      </c>
      <c r="AK2479">
        <v>55.943686006825899</v>
      </c>
    </row>
    <row r="2480" spans="1:37" x14ac:dyDescent="0.3">
      <c r="A2480">
        <v>2479</v>
      </c>
      <c r="B2480">
        <v>3</v>
      </c>
      <c r="C2480">
        <v>31.66</v>
      </c>
      <c r="D2480">
        <v>12.33</v>
      </c>
      <c r="E2480" t="s">
        <v>4309</v>
      </c>
      <c r="F2480" t="s">
        <v>4310</v>
      </c>
      <c r="G2480" t="s">
        <v>39</v>
      </c>
      <c r="H2480">
        <v>1987</v>
      </c>
      <c r="I2480">
        <v>27.600000381469702</v>
      </c>
      <c r="J2480">
        <v>13.699999809265099</v>
      </c>
      <c r="K2480">
        <v>62</v>
      </c>
      <c r="L2480">
        <v>20.25</v>
      </c>
      <c r="M2480">
        <v>38.700000762939503</v>
      </c>
      <c r="N2480">
        <v>16.799999237060501</v>
      </c>
      <c r="O2480">
        <v>21.899999618530298</v>
      </c>
      <c r="P2480">
        <v>27</v>
      </c>
      <c r="Q2480">
        <v>26.100000381469702</v>
      </c>
      <c r="R2480">
        <v>30.299999237060501</v>
      </c>
      <c r="S2480">
        <v>24.899999618530298</v>
      </c>
      <c r="T2480">
        <v>486</v>
      </c>
      <c r="U2480">
        <v>157</v>
      </c>
      <c r="V2480">
        <v>0</v>
      </c>
      <c r="W2480">
        <v>130</v>
      </c>
      <c r="X2480">
        <v>376</v>
      </c>
      <c r="Y2480">
        <v>0</v>
      </c>
      <c r="Z2480">
        <v>78</v>
      </c>
      <c r="AA2480">
        <v>0</v>
      </c>
      <c r="AB2480">
        <v>0.80596243929700795</v>
      </c>
      <c r="AC2480">
        <v>3.3020427740387999E-2</v>
      </c>
      <c r="AD2480">
        <v>1.20151942785905</v>
      </c>
      <c r="AE2480">
        <v>0.66508436203002896</v>
      </c>
      <c r="AF2480">
        <v>488.88265306122503</v>
      </c>
      <c r="AG2480">
        <f>IFERROR(AH2480*0.1, "N/A")</f>
        <v>7.9129251700680303</v>
      </c>
      <c r="AH2480">
        <v>79.1292517006803</v>
      </c>
      <c r="AI2480">
        <v>210.62114637725199</v>
      </c>
      <c r="AJ2480">
        <v>36.615646258503403</v>
      </c>
      <c r="AK2480">
        <v>40</v>
      </c>
    </row>
    <row r="2481" spans="1:37" x14ac:dyDescent="0.3">
      <c r="A2481">
        <v>2480</v>
      </c>
      <c r="B2481">
        <v>2</v>
      </c>
      <c r="C2481">
        <v>29.25</v>
      </c>
      <c r="D2481">
        <v>12.35</v>
      </c>
      <c r="E2481" t="s">
        <v>4311</v>
      </c>
      <c r="F2481" t="s">
        <v>4312</v>
      </c>
      <c r="G2481" t="s">
        <v>39</v>
      </c>
      <c r="H2481">
        <v>1987</v>
      </c>
      <c r="I2481">
        <v>26.799999237060501</v>
      </c>
      <c r="J2481">
        <v>14.699999809265099</v>
      </c>
      <c r="K2481">
        <v>60</v>
      </c>
      <c r="L2481">
        <v>23.2771822471165</v>
      </c>
      <c r="M2481">
        <v>38.374703833121799</v>
      </c>
      <c r="N2481">
        <v>14.2747029804819</v>
      </c>
      <c r="O2481">
        <v>24.100000381469702</v>
      </c>
      <c r="P2481">
        <v>26.700000762939499</v>
      </c>
      <c r="Q2481">
        <v>24.874702408277301</v>
      </c>
      <c r="R2481">
        <v>29.874702408277301</v>
      </c>
      <c r="S2481">
        <v>23.497962640785001</v>
      </c>
      <c r="T2481">
        <v>472</v>
      </c>
      <c r="U2481">
        <v>141</v>
      </c>
      <c r="V2481">
        <v>0</v>
      </c>
      <c r="W2481">
        <v>125</v>
      </c>
      <c r="X2481">
        <v>356</v>
      </c>
      <c r="Y2481">
        <v>0</v>
      </c>
      <c r="Z2481">
        <v>92</v>
      </c>
      <c r="AA2481">
        <v>0</v>
      </c>
      <c r="AB2481">
        <v>1.2527895864282701</v>
      </c>
      <c r="AC2481">
        <v>0.19786591681450999</v>
      </c>
      <c r="AD2481">
        <v>0.47321196171140401</v>
      </c>
      <c r="AE2481">
        <v>0.65586632490158103</v>
      </c>
      <c r="AF2481">
        <v>557.52801358234296</v>
      </c>
      <c r="AG2481">
        <f>IFERROR(AH2481*0.1, "N/A")</f>
        <v>7.6000000000000005</v>
      </c>
      <c r="AH2481">
        <v>76</v>
      </c>
      <c r="AI2481">
        <v>90.249450385671693</v>
      </c>
      <c r="AJ2481">
        <v>28.531409168081499</v>
      </c>
      <c r="AK2481">
        <v>50.468590831918497</v>
      </c>
    </row>
    <row r="2482" spans="1:37" x14ac:dyDescent="0.3">
      <c r="A2482">
        <v>2481</v>
      </c>
      <c r="B2482">
        <v>9</v>
      </c>
      <c r="C2482">
        <v>23.133300999999999</v>
      </c>
      <c r="D2482">
        <v>12.3667</v>
      </c>
      <c r="E2482" t="s">
        <v>4313</v>
      </c>
      <c r="F2482" t="s">
        <v>4314</v>
      </c>
      <c r="G2482" t="s">
        <v>39</v>
      </c>
      <c r="H2482">
        <v>1987</v>
      </c>
      <c r="I2482">
        <v>25.100000381469702</v>
      </c>
      <c r="J2482">
        <v>19.5</v>
      </c>
      <c r="K2482">
        <v>64</v>
      </c>
      <c r="L2482">
        <v>23.781789259772498</v>
      </c>
      <c r="M2482">
        <v>38.400001525878899</v>
      </c>
      <c r="N2482">
        <v>8.1000003814697301</v>
      </c>
      <c r="O2482">
        <v>30.299999237060501</v>
      </c>
      <c r="P2482">
        <v>25.200000762939499</v>
      </c>
      <c r="Q2482">
        <v>23.380067685596799</v>
      </c>
      <c r="R2482">
        <v>28.1906310508767</v>
      </c>
      <c r="S2482">
        <v>21.799999237060501</v>
      </c>
      <c r="T2482">
        <v>610.315161839864</v>
      </c>
      <c r="U2482">
        <v>204.315161839864</v>
      </c>
      <c r="V2482">
        <v>0</v>
      </c>
      <c r="W2482">
        <v>134</v>
      </c>
      <c r="X2482">
        <v>477.315161839864</v>
      </c>
      <c r="Y2482">
        <v>0</v>
      </c>
      <c r="Z2482">
        <v>108</v>
      </c>
      <c r="AA2482">
        <v>0</v>
      </c>
      <c r="AB2482">
        <v>6.1908108712867298</v>
      </c>
      <c r="AC2482">
        <v>7.9278041400790006E-2</v>
      </c>
      <c r="AD2482">
        <v>1.7134293778791501</v>
      </c>
      <c r="AE2482">
        <v>0.28300860524177601</v>
      </c>
      <c r="AF2482">
        <v>725.22487223168605</v>
      </c>
      <c r="AG2482">
        <f>IFERROR(AH2482*0.1, "N/A")</f>
        <v>7.2509369676320308</v>
      </c>
      <c r="AH2482">
        <v>72.509369676320304</v>
      </c>
      <c r="AI2482">
        <v>194.35128912852599</v>
      </c>
      <c r="AJ2482">
        <v>23.509369676320301</v>
      </c>
      <c r="AK2482">
        <v>58.490630323679703</v>
      </c>
    </row>
    <row r="2483" spans="1:37" x14ac:dyDescent="0.3">
      <c r="A2483">
        <v>2482</v>
      </c>
      <c r="B2483">
        <v>100</v>
      </c>
      <c r="C2483">
        <v>23.283300000000001</v>
      </c>
      <c r="D2483">
        <v>12.3833</v>
      </c>
      <c r="E2483" t="s">
        <v>4315</v>
      </c>
      <c r="F2483" t="s">
        <v>4316</v>
      </c>
      <c r="G2483" t="s">
        <v>39</v>
      </c>
      <c r="H2483">
        <v>1987</v>
      </c>
      <c r="I2483">
        <v>24.799999237060501</v>
      </c>
      <c r="J2483">
        <v>19.5</v>
      </c>
      <c r="K2483">
        <v>64</v>
      </c>
      <c r="L2483">
        <v>23.319659267211101</v>
      </c>
      <c r="M2483">
        <v>38.171720728963599</v>
      </c>
      <c r="N2483">
        <v>7.9465077171130698</v>
      </c>
      <c r="O2483">
        <v>30.225212786023</v>
      </c>
      <c r="P2483">
        <v>24.899999618530298</v>
      </c>
      <c r="Q2483">
        <v>23.100000381469702</v>
      </c>
      <c r="R2483">
        <v>27.799999237060501</v>
      </c>
      <c r="S2483">
        <v>21.546507843511499</v>
      </c>
      <c r="T2483">
        <v>612.85860306643997</v>
      </c>
      <c r="U2483">
        <v>205</v>
      </c>
      <c r="V2483">
        <v>0</v>
      </c>
      <c r="W2483">
        <v>132</v>
      </c>
      <c r="X2483">
        <v>477.67632027257298</v>
      </c>
      <c r="Y2483">
        <v>0</v>
      </c>
      <c r="Z2483">
        <v>111.182282793867</v>
      </c>
      <c r="AA2483">
        <v>0</v>
      </c>
      <c r="AB2483">
        <v>1.1609831879857899</v>
      </c>
      <c r="AC2483">
        <v>5.4841792309304999E-2</v>
      </c>
      <c r="AD2483">
        <v>1.0614184115773799</v>
      </c>
      <c r="AE2483">
        <v>0.27275475859642001</v>
      </c>
      <c r="AF2483">
        <v>763.78705281090299</v>
      </c>
      <c r="AG2483">
        <f>IFERROR(AH2483*0.1, "N/A")</f>
        <v>6.6393526405451402</v>
      </c>
      <c r="AH2483">
        <v>66.393526405451396</v>
      </c>
      <c r="AI2483">
        <v>182.719706065813</v>
      </c>
      <c r="AJ2483">
        <v>25.6064735945486</v>
      </c>
      <c r="AK2483">
        <v>51.606473594548604</v>
      </c>
    </row>
    <row r="2484" spans="1:37" x14ac:dyDescent="0.3">
      <c r="A2484">
        <v>2483</v>
      </c>
      <c r="B2484">
        <v>43</v>
      </c>
      <c r="C2484">
        <v>24.08</v>
      </c>
      <c r="D2484">
        <v>12.43</v>
      </c>
      <c r="E2484" t="s">
        <v>4317</v>
      </c>
      <c r="F2484" t="s">
        <v>4318</v>
      </c>
      <c r="G2484" t="s">
        <v>39</v>
      </c>
      <c r="H2484">
        <v>1987</v>
      </c>
      <c r="I2484">
        <v>23.100000381469702</v>
      </c>
      <c r="J2484">
        <v>18.799999237060501</v>
      </c>
      <c r="K2484">
        <v>65</v>
      </c>
      <c r="L2484">
        <v>22.5200004577637</v>
      </c>
      <c r="M2484">
        <v>36.400001525878899</v>
      </c>
      <c r="N2484">
        <v>7.5999999046325701</v>
      </c>
      <c r="O2484">
        <v>28.799999237060501</v>
      </c>
      <c r="P2484">
        <v>23.100000381469702</v>
      </c>
      <c r="Q2484">
        <v>20.200000762939499</v>
      </c>
      <c r="R2484">
        <v>26.100000381469702</v>
      </c>
      <c r="S2484">
        <v>20</v>
      </c>
      <c r="T2484">
        <v>582</v>
      </c>
      <c r="U2484">
        <v>197</v>
      </c>
      <c r="V2484">
        <v>0</v>
      </c>
      <c r="W2484">
        <v>137</v>
      </c>
      <c r="X2484">
        <v>461</v>
      </c>
      <c r="Y2484">
        <v>0</v>
      </c>
      <c r="Z2484">
        <v>100</v>
      </c>
      <c r="AA2484">
        <v>0</v>
      </c>
      <c r="AB2484">
        <v>1.99883784502998</v>
      </c>
      <c r="AC2484">
        <v>4.4919037242721997E-2</v>
      </c>
      <c r="AD2484">
        <v>1.1040523834463301</v>
      </c>
      <c r="AE2484">
        <v>0.44571992754936202</v>
      </c>
      <c r="AF2484">
        <v>999.76570458404103</v>
      </c>
      <c r="AG2484">
        <f>IFERROR(AH2484*0.1, "N/A")</f>
        <v>7.6000000000000005</v>
      </c>
      <c r="AH2484">
        <v>76</v>
      </c>
      <c r="AI2484">
        <v>14.8903891493792</v>
      </c>
      <c r="AJ2484">
        <v>19</v>
      </c>
      <c r="AK2484">
        <v>64.475382003395595</v>
      </c>
    </row>
    <row r="2485" spans="1:37" x14ac:dyDescent="0.3">
      <c r="A2485">
        <v>2484</v>
      </c>
      <c r="B2485">
        <v>13</v>
      </c>
      <c r="C2485">
        <v>31.6</v>
      </c>
      <c r="D2485">
        <v>12.66</v>
      </c>
      <c r="E2485" t="s">
        <v>4319</v>
      </c>
      <c r="F2485" t="s">
        <v>4320</v>
      </c>
      <c r="G2485" t="s">
        <v>39</v>
      </c>
      <c r="H2485">
        <v>1987</v>
      </c>
      <c r="I2485">
        <v>27.799999237060501</v>
      </c>
      <c r="J2485">
        <v>13.800000190734901</v>
      </c>
      <c r="K2485">
        <v>61</v>
      </c>
      <c r="L2485">
        <v>22.088571457635801</v>
      </c>
      <c r="M2485">
        <v>38.952381678990001</v>
      </c>
      <c r="N2485">
        <v>16.399999618530298</v>
      </c>
      <c r="O2485">
        <v>22.5523811521984</v>
      </c>
      <c r="P2485">
        <v>27.4476188478016</v>
      </c>
      <c r="Q2485">
        <v>25.799999237060501</v>
      </c>
      <c r="R2485">
        <v>30.652381533668201</v>
      </c>
      <c r="S2485">
        <v>24.600000381469702</v>
      </c>
      <c r="T2485">
        <v>429</v>
      </c>
      <c r="U2485">
        <v>154</v>
      </c>
      <c r="V2485">
        <v>0</v>
      </c>
      <c r="W2485">
        <v>141</v>
      </c>
      <c r="X2485">
        <v>350</v>
      </c>
      <c r="Y2485">
        <v>0</v>
      </c>
      <c r="Z2485">
        <v>58</v>
      </c>
      <c r="AA2485">
        <v>0</v>
      </c>
      <c r="AB2485">
        <v>1.3098642258416999</v>
      </c>
      <c r="AC2485">
        <v>0.30562149804421301</v>
      </c>
      <c r="AD2485">
        <v>0.90271646635873004</v>
      </c>
      <c r="AE2485">
        <v>0.22797630727291099</v>
      </c>
      <c r="AF2485">
        <v>438.90646258503398</v>
      </c>
      <c r="AG2485">
        <f>IFERROR(AH2485*0.1, "N/A")</f>
        <v>7.623979591836731</v>
      </c>
      <c r="AH2485">
        <v>76.239795918367307</v>
      </c>
      <c r="AI2485">
        <v>141.96137152561499</v>
      </c>
      <c r="AJ2485">
        <v>24.377551020408202</v>
      </c>
      <c r="AK2485">
        <v>56.530612244898002</v>
      </c>
    </row>
    <row r="2486" spans="1:37" x14ac:dyDescent="0.3">
      <c r="A2486">
        <v>2485</v>
      </c>
      <c r="B2486">
        <v>50</v>
      </c>
      <c r="C2486">
        <v>22.77</v>
      </c>
      <c r="D2486">
        <v>12.68</v>
      </c>
      <c r="E2486" t="s">
        <v>4321</v>
      </c>
      <c r="F2486" t="s">
        <v>4322</v>
      </c>
      <c r="G2486" t="s">
        <v>39</v>
      </c>
      <c r="H2486">
        <v>1987</v>
      </c>
      <c r="I2486">
        <v>25.5</v>
      </c>
      <c r="J2486">
        <v>19.899999618530298</v>
      </c>
      <c r="K2486">
        <v>63</v>
      </c>
      <c r="L2486">
        <v>26.2399997711182</v>
      </c>
      <c r="M2486">
        <v>39.099998474121101</v>
      </c>
      <c r="N2486">
        <v>8</v>
      </c>
      <c r="O2486">
        <v>31.100000381469702</v>
      </c>
      <c r="P2486">
        <v>26</v>
      </c>
      <c r="Q2486">
        <v>23.5</v>
      </c>
      <c r="R2486">
        <v>28.700000762939499</v>
      </c>
      <c r="S2486">
        <v>21.799999237060501</v>
      </c>
      <c r="T2486">
        <v>561</v>
      </c>
      <c r="U2486">
        <v>195</v>
      </c>
      <c r="V2486">
        <v>0</v>
      </c>
      <c r="W2486">
        <v>139</v>
      </c>
      <c r="X2486">
        <v>453</v>
      </c>
      <c r="Y2486">
        <v>0</v>
      </c>
      <c r="Z2486">
        <v>87</v>
      </c>
      <c r="AA2486">
        <v>0</v>
      </c>
      <c r="AB2486">
        <v>25.187071298212601</v>
      </c>
      <c r="AC2486">
        <v>1.6558949261255999E-2</v>
      </c>
      <c r="AD2486">
        <v>7.1198708219056996</v>
      </c>
      <c r="AE2486">
        <v>0.25923129916191101</v>
      </c>
      <c r="AF2486">
        <v>683.81090289608198</v>
      </c>
      <c r="AG2486">
        <f>IFERROR(AH2486*0.1, "N/A")</f>
        <v>6.9921635434412295</v>
      </c>
      <c r="AH2486">
        <v>69.921635434412295</v>
      </c>
      <c r="AI2486">
        <v>70.163304902422794</v>
      </c>
      <c r="AJ2486">
        <v>27.957410562180598</v>
      </c>
      <c r="AK2486">
        <v>50.085178875638903</v>
      </c>
    </row>
    <row r="2487" spans="1:37" x14ac:dyDescent="0.3">
      <c r="A2487">
        <v>2486</v>
      </c>
      <c r="B2487">
        <v>6</v>
      </c>
      <c r="C2487">
        <v>29.57</v>
      </c>
      <c r="D2487">
        <v>12.68</v>
      </c>
      <c r="E2487" t="s">
        <v>4323</v>
      </c>
      <c r="F2487" t="s">
        <v>4324</v>
      </c>
      <c r="G2487" t="s">
        <v>39</v>
      </c>
      <c r="H2487">
        <v>1987</v>
      </c>
      <c r="I2487">
        <v>26.5</v>
      </c>
      <c r="J2487">
        <v>14.5</v>
      </c>
      <c r="K2487">
        <v>59</v>
      </c>
      <c r="L2487">
        <v>25.2399997711182</v>
      </c>
      <c r="M2487">
        <v>37.900001525878899</v>
      </c>
      <c r="N2487">
        <v>13.699999809265099</v>
      </c>
      <c r="O2487">
        <v>24.200000762939499</v>
      </c>
      <c r="P2487">
        <v>26.700000762939499</v>
      </c>
      <c r="Q2487">
        <v>23.399999618530298</v>
      </c>
      <c r="R2487">
        <v>29.700000762939499</v>
      </c>
      <c r="S2487">
        <v>22.799999237060501</v>
      </c>
      <c r="T2487">
        <v>439</v>
      </c>
      <c r="U2487">
        <v>137</v>
      </c>
      <c r="V2487">
        <v>0</v>
      </c>
      <c r="W2487">
        <v>130</v>
      </c>
      <c r="X2487">
        <v>340</v>
      </c>
      <c r="Y2487">
        <v>0</v>
      </c>
      <c r="Z2487">
        <v>78</v>
      </c>
      <c r="AA2487">
        <v>0</v>
      </c>
      <c r="AB2487">
        <v>0.784474049556804</v>
      </c>
      <c r="AC2487">
        <v>8.8168337043164999E-2</v>
      </c>
      <c r="AD2487">
        <v>1.5015058247356601</v>
      </c>
      <c r="AE2487">
        <v>0.66176950931549094</v>
      </c>
      <c r="AF2487">
        <v>630.28790459965899</v>
      </c>
      <c r="AG2487">
        <f>IFERROR(AH2487*0.1, "N/A")</f>
        <v>7.4567291311754706</v>
      </c>
      <c r="AH2487">
        <v>74.567291311754701</v>
      </c>
      <c r="AI2487">
        <v>189.00224813692</v>
      </c>
      <c r="AJ2487">
        <v>15.0783645655877</v>
      </c>
      <c r="AK2487">
        <v>72.843270868824504</v>
      </c>
    </row>
    <row r="2488" spans="1:37" x14ac:dyDescent="0.3">
      <c r="A2488">
        <v>2487</v>
      </c>
      <c r="B2488">
        <v>8</v>
      </c>
      <c r="C2488">
        <v>30.65</v>
      </c>
      <c r="D2488">
        <v>12.716699999999999</v>
      </c>
      <c r="E2488" t="s">
        <v>4325</v>
      </c>
      <c r="F2488" t="s">
        <v>4326</v>
      </c>
      <c r="G2488" t="s">
        <v>39</v>
      </c>
      <c r="H2488">
        <v>1987</v>
      </c>
      <c r="I2488">
        <v>27.200000762939499</v>
      </c>
      <c r="J2488">
        <v>13.800000190734901</v>
      </c>
      <c r="K2488">
        <v>58</v>
      </c>
      <c r="L2488">
        <v>26.0039798386243</v>
      </c>
      <c r="M2488">
        <v>38.200000762939503</v>
      </c>
      <c r="N2488">
        <v>14.7311223769675</v>
      </c>
      <c r="O2488">
        <v>23.468877432297699</v>
      </c>
      <c r="P2488">
        <v>27.549149847355</v>
      </c>
      <c r="Q2488">
        <v>24.481972720347301</v>
      </c>
      <c r="R2488">
        <v>30.381972338877599</v>
      </c>
      <c r="S2488">
        <v>23.295067339527399</v>
      </c>
      <c r="T2488">
        <v>410.40986394557802</v>
      </c>
      <c r="U2488">
        <v>134</v>
      </c>
      <c r="V2488">
        <v>0</v>
      </c>
      <c r="W2488">
        <v>136.36054421768699</v>
      </c>
      <c r="X2488">
        <v>329.36054421768699</v>
      </c>
      <c r="Y2488">
        <v>0</v>
      </c>
      <c r="Z2488">
        <v>61.049319727891202</v>
      </c>
      <c r="AA2488">
        <v>0</v>
      </c>
      <c r="AB2488">
        <v>5.1391088265139997</v>
      </c>
      <c r="AC2488">
        <v>8.7253152801450001E-3</v>
      </c>
      <c r="AD2488">
        <v>2.2638296641054598</v>
      </c>
      <c r="AE2488">
        <v>0.70857203006744396</v>
      </c>
      <c r="AF2488">
        <v>502.13945578231301</v>
      </c>
      <c r="AG2488">
        <f>IFERROR(AH2488*0.1, "N/A")</f>
        <v>7.2180272108843502</v>
      </c>
      <c r="AH2488">
        <v>72.180272108843496</v>
      </c>
      <c r="AI2488">
        <v>141.426964153238</v>
      </c>
      <c r="AJ2488">
        <v>13.721088435374201</v>
      </c>
      <c r="AK2488">
        <v>74.459183673469397</v>
      </c>
    </row>
    <row r="2489" spans="1:37" x14ac:dyDescent="0.3">
      <c r="A2489">
        <v>2488</v>
      </c>
      <c r="B2489">
        <v>5</v>
      </c>
      <c r="C2489">
        <v>31.450001</v>
      </c>
      <c r="D2489">
        <v>12.9</v>
      </c>
      <c r="E2489" t="s">
        <v>4327</v>
      </c>
      <c r="F2489" t="s">
        <v>4328</v>
      </c>
      <c r="G2489" t="s">
        <v>39</v>
      </c>
      <c r="H2489">
        <v>1987</v>
      </c>
      <c r="I2489">
        <v>27.799999237060501</v>
      </c>
      <c r="J2489">
        <v>13.8999996185303</v>
      </c>
      <c r="K2489">
        <v>60</v>
      </c>
      <c r="L2489">
        <v>24.0130453222698</v>
      </c>
      <c r="M2489">
        <v>38.9673439839165</v>
      </c>
      <c r="N2489">
        <v>16</v>
      </c>
      <c r="O2489">
        <v>22.9673433610429</v>
      </c>
      <c r="P2489">
        <v>27.700000762939499</v>
      </c>
      <c r="Q2489">
        <v>25.399999618530298</v>
      </c>
      <c r="R2489">
        <v>30.799999237060501</v>
      </c>
      <c r="S2489">
        <v>24.299999237060501</v>
      </c>
      <c r="T2489">
        <v>364.32656514382398</v>
      </c>
      <c r="U2489">
        <v>139</v>
      </c>
      <c r="V2489">
        <v>0</v>
      </c>
      <c r="W2489">
        <v>147</v>
      </c>
      <c r="X2489">
        <v>308</v>
      </c>
      <c r="Y2489">
        <v>0</v>
      </c>
      <c r="Z2489">
        <v>44.326565143823998</v>
      </c>
      <c r="AA2489">
        <v>0</v>
      </c>
      <c r="AB2489">
        <v>3.37784092317378</v>
      </c>
      <c r="AC2489">
        <v>1.7476574084429999E-2</v>
      </c>
      <c r="AD2489">
        <v>0.93362472444621403</v>
      </c>
      <c r="AE2489">
        <v>0.487810628517025</v>
      </c>
      <c r="AF2489">
        <v>439.27411167512702</v>
      </c>
      <c r="AG2489">
        <f>IFERROR(AH2489*0.1, "N/A")</f>
        <v>7.5</v>
      </c>
      <c r="AH2489">
        <v>75</v>
      </c>
      <c r="AI2489">
        <v>93.494923599682096</v>
      </c>
      <c r="AJ2489">
        <v>17.988155668358701</v>
      </c>
      <c r="AK2489">
        <v>69.011844331641299</v>
      </c>
    </row>
    <row r="2490" spans="1:37" x14ac:dyDescent="0.3">
      <c r="A2490">
        <v>2489</v>
      </c>
      <c r="B2490">
        <v>2</v>
      </c>
      <c r="C2490">
        <v>29.866699000000001</v>
      </c>
      <c r="D2490">
        <v>12.966699999999999</v>
      </c>
      <c r="E2490" t="s">
        <v>4329</v>
      </c>
      <c r="F2490" t="s">
        <v>4330</v>
      </c>
      <c r="G2490" t="s">
        <v>39</v>
      </c>
      <c r="H2490">
        <v>1987</v>
      </c>
      <c r="I2490">
        <v>26.799999237060501</v>
      </c>
      <c r="J2490">
        <v>14.3999996185303</v>
      </c>
      <c r="K2490">
        <v>57</v>
      </c>
      <c r="L2490">
        <v>28.107135695118</v>
      </c>
      <c r="M2490">
        <v>38.5</v>
      </c>
      <c r="N2490">
        <v>13.5150848033065</v>
      </c>
      <c r="O2490">
        <v>24.9849151966935</v>
      </c>
      <c r="P2490">
        <v>27.185254943977</v>
      </c>
      <c r="Q2490">
        <v>23.299999237060501</v>
      </c>
      <c r="R2490">
        <v>30.200000762939499</v>
      </c>
      <c r="S2490">
        <v>22.615085184776198</v>
      </c>
      <c r="T2490">
        <v>382.315254237288</v>
      </c>
      <c r="U2490">
        <v>126.008474576271</v>
      </c>
      <c r="V2490">
        <v>0</v>
      </c>
      <c r="W2490">
        <v>138.97457627118601</v>
      </c>
      <c r="X2490">
        <v>309.315254237288</v>
      </c>
      <c r="Y2490">
        <v>0</v>
      </c>
      <c r="Z2490">
        <v>55</v>
      </c>
      <c r="AA2490">
        <v>0</v>
      </c>
      <c r="AB2490">
        <v>5.2149000264830496</v>
      </c>
      <c r="AC2490">
        <v>2.6245334537667999E-2</v>
      </c>
      <c r="AD2490">
        <v>1.0363350058006</v>
      </c>
      <c r="AE2490">
        <v>0.27413907647132901</v>
      </c>
      <c r="AF2490">
        <v>618.28813559321998</v>
      </c>
      <c r="AG2490">
        <f>IFERROR(AH2490*0.1, "N/A")</f>
        <v>7.8303389830508499</v>
      </c>
      <c r="AH2490">
        <v>78.303389830508493</v>
      </c>
      <c r="AI2490">
        <v>134.42480044607399</v>
      </c>
      <c r="AJ2490">
        <v>19.0254237288136</v>
      </c>
      <c r="AK2490">
        <v>67.272881355932199</v>
      </c>
    </row>
    <row r="2491" spans="1:37" x14ac:dyDescent="0.3">
      <c r="A2491">
        <v>2490</v>
      </c>
      <c r="B2491">
        <v>17</v>
      </c>
      <c r="C2491">
        <v>24.959999</v>
      </c>
      <c r="D2491">
        <v>13.03</v>
      </c>
      <c r="E2491" t="s">
        <v>4331</v>
      </c>
      <c r="F2491" t="s">
        <v>4332</v>
      </c>
      <c r="G2491" t="s">
        <v>37</v>
      </c>
      <c r="H2491">
        <v>1987</v>
      </c>
      <c r="I2491">
        <v>25.100000381469702</v>
      </c>
      <c r="J2491">
        <v>18</v>
      </c>
      <c r="K2491">
        <v>63</v>
      </c>
      <c r="L2491">
        <v>29.149999618530298</v>
      </c>
      <c r="M2491">
        <v>37.799999237060497</v>
      </c>
      <c r="N2491">
        <v>9.6000003814697301</v>
      </c>
      <c r="O2491">
        <v>28.200000762939499</v>
      </c>
      <c r="P2491">
        <v>26.100000381469702</v>
      </c>
      <c r="Q2491">
        <v>22.399999618530298</v>
      </c>
      <c r="R2491">
        <v>28.600000381469702</v>
      </c>
      <c r="S2491">
        <v>20.799999237060501</v>
      </c>
      <c r="T2491">
        <v>385</v>
      </c>
      <c r="U2491">
        <v>149</v>
      </c>
      <c r="V2491">
        <v>0</v>
      </c>
      <c r="W2491">
        <v>148</v>
      </c>
      <c r="X2491">
        <v>328</v>
      </c>
      <c r="Y2491">
        <v>0</v>
      </c>
      <c r="Z2491">
        <v>47</v>
      </c>
      <c r="AA2491">
        <v>0</v>
      </c>
      <c r="AB2491">
        <v>0.34464521683335098</v>
      </c>
      <c r="AC2491">
        <v>12.695610834818501</v>
      </c>
      <c r="AD2491">
        <v>1.3214738492953599</v>
      </c>
      <c r="AE2491">
        <v>0.170506507158279</v>
      </c>
      <c r="AF2491">
        <v>817.56196943972895</v>
      </c>
      <c r="AG2491">
        <f>IFERROR(AH2491*0.1, "N/A")</f>
        <v>7.5</v>
      </c>
      <c r="AH2491">
        <v>75</v>
      </c>
      <c r="AI2491">
        <v>40.956718198714697</v>
      </c>
      <c r="AJ2491">
        <v>23.398981324278399</v>
      </c>
      <c r="AK2491">
        <v>62.129032258064498</v>
      </c>
    </row>
    <row r="2492" spans="1:37" x14ac:dyDescent="0.3">
      <c r="A2492">
        <v>2491</v>
      </c>
      <c r="B2492">
        <v>63.900002000000001</v>
      </c>
      <c r="C2492">
        <v>33.090000000000003</v>
      </c>
      <c r="D2492">
        <v>13.64</v>
      </c>
      <c r="E2492" t="s">
        <v>4333</v>
      </c>
      <c r="F2492" t="s">
        <v>4334</v>
      </c>
      <c r="G2492" t="s">
        <v>37</v>
      </c>
      <c r="H2492">
        <v>1987</v>
      </c>
      <c r="I2492">
        <v>28.399999618530298</v>
      </c>
      <c r="J2492">
        <v>16</v>
      </c>
      <c r="K2492">
        <v>62</v>
      </c>
      <c r="L2492">
        <v>24.5100002288818</v>
      </c>
      <c r="M2492">
        <v>40.700000762939503</v>
      </c>
      <c r="N2492">
        <v>15.300000190734901</v>
      </c>
      <c r="O2492">
        <v>25.399999618530298</v>
      </c>
      <c r="P2492">
        <v>28.200000762939499</v>
      </c>
      <c r="Q2492">
        <v>26.100000381469702</v>
      </c>
      <c r="R2492">
        <v>31.700000762939499</v>
      </c>
      <c r="S2492">
        <v>25</v>
      </c>
      <c r="T2492">
        <v>336</v>
      </c>
      <c r="U2492">
        <v>131</v>
      </c>
      <c r="V2492">
        <v>0</v>
      </c>
      <c r="W2492">
        <v>147</v>
      </c>
      <c r="X2492">
        <v>283</v>
      </c>
      <c r="Y2492">
        <v>0</v>
      </c>
      <c r="Z2492">
        <v>44</v>
      </c>
      <c r="AA2492">
        <v>0</v>
      </c>
      <c r="AB2492">
        <v>0.80420613128866902</v>
      </c>
      <c r="AC2492">
        <v>1.4029004982979E-2</v>
      </c>
      <c r="AD2492">
        <v>1.00124439877152</v>
      </c>
      <c r="AE2492">
        <v>0.46105090063690302</v>
      </c>
      <c r="AF2492">
        <v>439.07382550335598</v>
      </c>
      <c r="AG2492">
        <f>IFERROR(AH2492*0.1, "N/A")</f>
        <v>7.6080536912751704</v>
      </c>
      <c r="AH2492">
        <v>76.080536912751697</v>
      </c>
      <c r="AI2492">
        <v>167.47084753305299</v>
      </c>
      <c r="AJ2492">
        <v>49.919463087248303</v>
      </c>
      <c r="AK2492">
        <v>28</v>
      </c>
    </row>
    <row r="2493" spans="1:37" x14ac:dyDescent="0.3">
      <c r="A2493">
        <v>2492</v>
      </c>
      <c r="B2493">
        <v>31</v>
      </c>
      <c r="C2493">
        <v>26.059999000000001</v>
      </c>
      <c r="D2493">
        <v>13.78</v>
      </c>
      <c r="E2493" t="s">
        <v>4335</v>
      </c>
      <c r="F2493" t="s">
        <v>4336</v>
      </c>
      <c r="G2493" t="s">
        <v>39</v>
      </c>
      <c r="H2493">
        <v>1987</v>
      </c>
      <c r="I2493">
        <v>26.100000381469702</v>
      </c>
      <c r="J2493">
        <v>17</v>
      </c>
      <c r="K2493">
        <v>58</v>
      </c>
      <c r="L2493">
        <v>35.569999694824197</v>
      </c>
      <c r="M2493">
        <v>39.200000762939503</v>
      </c>
      <c r="N2493">
        <v>10.300000190734901</v>
      </c>
      <c r="O2493">
        <v>28.899999618530298</v>
      </c>
      <c r="P2493">
        <v>28.100000381469702</v>
      </c>
      <c r="Q2493">
        <v>22.5</v>
      </c>
      <c r="R2493">
        <v>30</v>
      </c>
      <c r="S2493">
        <v>20.799999237060501</v>
      </c>
      <c r="T2493">
        <v>260</v>
      </c>
      <c r="U2493">
        <v>118</v>
      </c>
      <c r="V2493">
        <v>0</v>
      </c>
      <c r="W2493">
        <v>167</v>
      </c>
      <c r="X2493">
        <v>234</v>
      </c>
      <c r="Y2493">
        <v>0</v>
      </c>
      <c r="Z2493">
        <v>100</v>
      </c>
      <c r="AA2493">
        <v>0</v>
      </c>
      <c r="AB2493">
        <v>1.60725351282068</v>
      </c>
      <c r="AC2493">
        <v>0.55057282164862797</v>
      </c>
      <c r="AD2493">
        <v>2.6197226063625201</v>
      </c>
      <c r="AE2493">
        <v>0.197528511285782</v>
      </c>
      <c r="AF2493">
        <v>734.09459459459504</v>
      </c>
      <c r="AG2493">
        <f>IFERROR(AH2493*0.1, "N/A")</f>
        <v>7.9479729729729698</v>
      </c>
      <c r="AH2493">
        <v>79.479729729729698</v>
      </c>
      <c r="AI2493">
        <v>173.65072119558201</v>
      </c>
      <c r="AJ2493">
        <v>0.76013513513513498</v>
      </c>
      <c r="AK2493">
        <v>95.263513513513502</v>
      </c>
    </row>
    <row r="2494" spans="1:37" x14ac:dyDescent="0.3">
      <c r="A2494">
        <v>2493</v>
      </c>
      <c r="B2494">
        <v>80.400002000000001</v>
      </c>
      <c r="C2494">
        <v>33.07</v>
      </c>
      <c r="D2494">
        <v>13.83</v>
      </c>
      <c r="E2494" t="s">
        <v>4337</v>
      </c>
      <c r="F2494" t="s">
        <v>4338</v>
      </c>
      <c r="G2494" t="s">
        <v>37</v>
      </c>
      <c r="H2494">
        <v>1987</v>
      </c>
      <c r="I2494">
        <v>28.5</v>
      </c>
      <c r="J2494">
        <v>16.100000381469702</v>
      </c>
      <c r="K2494">
        <v>62</v>
      </c>
      <c r="L2494">
        <v>25.680000305175799</v>
      </c>
      <c r="M2494">
        <v>40.900001525878899</v>
      </c>
      <c r="N2494">
        <v>15.199999809265099</v>
      </c>
      <c r="O2494">
        <v>25.700000762939499</v>
      </c>
      <c r="P2494">
        <v>28.399999618530298</v>
      </c>
      <c r="Q2494">
        <v>26</v>
      </c>
      <c r="R2494">
        <v>31.799999237060501</v>
      </c>
      <c r="S2494">
        <v>24.799999237060501</v>
      </c>
      <c r="T2494">
        <v>317</v>
      </c>
      <c r="U2494">
        <v>127</v>
      </c>
      <c r="V2494">
        <v>0</v>
      </c>
      <c r="W2494">
        <v>153</v>
      </c>
      <c r="X2494">
        <v>272</v>
      </c>
      <c r="Y2494">
        <v>0</v>
      </c>
      <c r="Z2494">
        <v>38</v>
      </c>
      <c r="AA2494">
        <v>0</v>
      </c>
      <c r="AB2494">
        <v>0.25419509170839499</v>
      </c>
      <c r="AC2494">
        <v>0.439488060633346</v>
      </c>
      <c r="AD2494">
        <v>2.6016306857134701</v>
      </c>
      <c r="AE2494">
        <v>0.71413731575012196</v>
      </c>
      <c r="AF2494">
        <v>430.38758389261801</v>
      </c>
      <c r="AG2494">
        <f>IFERROR(AH2494*0.1, "N/A")</f>
        <v>7.723657718120811</v>
      </c>
      <c r="AH2494">
        <v>77.236577181208105</v>
      </c>
      <c r="AI2494">
        <v>226.30073780341399</v>
      </c>
      <c r="AJ2494">
        <v>53</v>
      </c>
      <c r="AK2494">
        <v>26.167785234899299</v>
      </c>
    </row>
    <row r="2495" spans="1:37" x14ac:dyDescent="0.3">
      <c r="A2495">
        <v>2494</v>
      </c>
      <c r="B2495">
        <v>76.900002000000001</v>
      </c>
      <c r="C2495">
        <v>33.659999999999997</v>
      </c>
      <c r="D2495">
        <v>13.84</v>
      </c>
      <c r="E2495" t="s">
        <v>4339</v>
      </c>
      <c r="F2495" t="s">
        <v>4340</v>
      </c>
      <c r="G2495" t="s">
        <v>37</v>
      </c>
      <c r="H2495">
        <v>1987</v>
      </c>
      <c r="I2495">
        <v>28.5</v>
      </c>
      <c r="J2495">
        <v>16.899999618530298</v>
      </c>
      <c r="K2495">
        <v>64</v>
      </c>
      <c r="L2495">
        <v>23.940000534057599</v>
      </c>
      <c r="M2495">
        <v>41.200000762939503</v>
      </c>
      <c r="N2495">
        <v>14.8999996185303</v>
      </c>
      <c r="O2495">
        <v>26.299999237060501</v>
      </c>
      <c r="P2495">
        <v>28.100000381469702</v>
      </c>
      <c r="Q2495">
        <v>26.299999237060501</v>
      </c>
      <c r="R2495">
        <v>31.799999237060501</v>
      </c>
      <c r="S2495">
        <v>25.299999237060501</v>
      </c>
      <c r="T2495">
        <v>424</v>
      </c>
      <c r="U2495">
        <v>150</v>
      </c>
      <c r="V2495">
        <v>0</v>
      </c>
      <c r="W2495">
        <v>138</v>
      </c>
      <c r="X2495">
        <v>335</v>
      </c>
      <c r="Y2495">
        <v>0</v>
      </c>
      <c r="Z2495">
        <v>71</v>
      </c>
      <c r="AA2495">
        <v>0</v>
      </c>
      <c r="AB2495">
        <v>0.15631206095719499</v>
      </c>
      <c r="AC2495">
        <v>1.822793303261E-2</v>
      </c>
      <c r="AD2495">
        <v>1.1029966013772201</v>
      </c>
      <c r="AE2495">
        <v>0.70461255311965898</v>
      </c>
      <c r="AF2495">
        <v>418.09075630252102</v>
      </c>
      <c r="AG2495">
        <f>IFERROR(AH2495*0.1, "N/A")</f>
        <v>7.8000000000000007</v>
      </c>
      <c r="AH2495">
        <v>78</v>
      </c>
      <c r="AI2495">
        <v>188.907935775629</v>
      </c>
      <c r="AJ2495">
        <v>58</v>
      </c>
      <c r="AK2495">
        <v>17.994957983193299</v>
      </c>
    </row>
    <row r="2496" spans="1:37" x14ac:dyDescent="0.3">
      <c r="A2496">
        <v>2495</v>
      </c>
      <c r="B2496">
        <v>63.900002000000001</v>
      </c>
      <c r="C2496">
        <v>32.970001000000003</v>
      </c>
      <c r="D2496">
        <v>13.95</v>
      </c>
      <c r="E2496" t="s">
        <v>4341</v>
      </c>
      <c r="F2496" t="s">
        <v>4342</v>
      </c>
      <c r="G2496" t="s">
        <v>37</v>
      </c>
      <c r="H2496">
        <v>1987</v>
      </c>
      <c r="I2496">
        <v>28.600000381469702</v>
      </c>
      <c r="J2496">
        <v>16</v>
      </c>
      <c r="K2496">
        <v>61.5649241146712</v>
      </c>
      <c r="L2496">
        <v>26.337403128561199</v>
      </c>
      <c r="M2496">
        <v>41.143507058463598</v>
      </c>
      <c r="N2496">
        <v>15.300000190734901</v>
      </c>
      <c r="O2496">
        <v>25.8435069915617</v>
      </c>
      <c r="P2496">
        <v>28.600000381469702</v>
      </c>
      <c r="Q2496">
        <v>26</v>
      </c>
      <c r="R2496">
        <v>31.899999618530298</v>
      </c>
      <c r="S2496">
        <v>24.799999237060501</v>
      </c>
      <c r="T2496">
        <v>296.87015177065803</v>
      </c>
      <c r="U2496">
        <v>122.435075885329</v>
      </c>
      <c r="V2496">
        <v>0</v>
      </c>
      <c r="W2496">
        <v>158.43507588532901</v>
      </c>
      <c r="X2496">
        <v>258.43507588532901</v>
      </c>
      <c r="Y2496">
        <v>0</v>
      </c>
      <c r="Z2496">
        <v>33.4350758853288</v>
      </c>
      <c r="AA2496">
        <v>0</v>
      </c>
      <c r="AB2496">
        <v>0.54940543729579505</v>
      </c>
      <c r="AC2496">
        <v>1.7630601993198101</v>
      </c>
      <c r="AD2496">
        <v>2.46357194830555</v>
      </c>
      <c r="AE2496">
        <v>0.47468781471252403</v>
      </c>
      <c r="AF2496">
        <v>415.77065767285001</v>
      </c>
      <c r="AG2496">
        <f>IFERROR(AH2496*0.1, "N/A")</f>
        <v>7.6000000000000005</v>
      </c>
      <c r="AH2496">
        <v>76</v>
      </c>
      <c r="AI2496">
        <v>183.382984245004</v>
      </c>
      <c r="AJ2496">
        <v>49.001686340640802</v>
      </c>
      <c r="AK2496">
        <v>27</v>
      </c>
    </row>
    <row r="2497" spans="1:37" x14ac:dyDescent="0.3">
      <c r="A2497">
        <v>2496</v>
      </c>
      <c r="B2497">
        <v>15</v>
      </c>
      <c r="C2497">
        <v>33.860000999999997</v>
      </c>
      <c r="D2497">
        <v>14.01</v>
      </c>
      <c r="E2497" t="s">
        <v>4343</v>
      </c>
      <c r="F2497" t="s">
        <v>4344</v>
      </c>
      <c r="G2497" t="s">
        <v>37</v>
      </c>
      <c r="H2497">
        <v>1987</v>
      </c>
      <c r="I2497">
        <v>28.5</v>
      </c>
      <c r="J2497">
        <v>16.899999618530298</v>
      </c>
      <c r="K2497">
        <v>64</v>
      </c>
      <c r="L2497">
        <v>24.2399997711182</v>
      </c>
      <c r="M2497">
        <v>41.099998474121101</v>
      </c>
      <c r="N2497">
        <v>14.8999996185303</v>
      </c>
      <c r="O2497">
        <v>26.200000762939499</v>
      </c>
      <c r="P2497">
        <v>28.100000381469702</v>
      </c>
      <c r="Q2497">
        <v>26.299999237060501</v>
      </c>
      <c r="R2497">
        <v>31.899999618530298</v>
      </c>
      <c r="S2497">
        <v>25.200000762939499</v>
      </c>
      <c r="T2497">
        <v>418</v>
      </c>
      <c r="U2497">
        <v>145</v>
      </c>
      <c r="V2497">
        <v>0</v>
      </c>
      <c r="W2497">
        <v>137</v>
      </c>
      <c r="X2497">
        <v>329</v>
      </c>
      <c r="Y2497">
        <v>0</v>
      </c>
      <c r="Z2497">
        <v>69</v>
      </c>
      <c r="AA2497">
        <v>0</v>
      </c>
      <c r="AB2497">
        <v>2.3227267795138999E-2</v>
      </c>
      <c r="AC2497">
        <v>2.4001193938382001E-2</v>
      </c>
      <c r="AD2497">
        <v>0.97279235269084097</v>
      </c>
      <c r="AE2497">
        <v>0.30448714154537299</v>
      </c>
      <c r="AF2497">
        <v>415.79461279461299</v>
      </c>
      <c r="AG2497">
        <f>IFERROR(AH2497*0.1, "N/A")</f>
        <v>7.8000000000000007</v>
      </c>
      <c r="AH2497">
        <v>78</v>
      </c>
      <c r="AI2497">
        <v>172.14548086558099</v>
      </c>
      <c r="AJ2497">
        <v>49.964646464646499</v>
      </c>
      <c r="AK2497">
        <v>29.380471380471398</v>
      </c>
    </row>
    <row r="2498" spans="1:37" x14ac:dyDescent="0.3">
      <c r="A2498">
        <v>2497</v>
      </c>
      <c r="B2498">
        <v>7</v>
      </c>
      <c r="C2498">
        <v>35.400002000000001</v>
      </c>
      <c r="D2498">
        <v>14.033300000000001</v>
      </c>
      <c r="E2498" t="s">
        <v>4345</v>
      </c>
      <c r="F2498" t="s">
        <v>4346</v>
      </c>
      <c r="G2498" t="s">
        <v>39</v>
      </c>
      <c r="H2498">
        <v>1987</v>
      </c>
      <c r="I2498">
        <v>28.564755727629599</v>
      </c>
      <c r="J2498">
        <v>15.6000003814697</v>
      </c>
      <c r="K2498">
        <v>65</v>
      </c>
      <c r="L2498">
        <v>21.2937430820819</v>
      </c>
      <c r="M2498">
        <v>41</v>
      </c>
      <c r="N2498">
        <v>17</v>
      </c>
      <c r="O2498">
        <v>24</v>
      </c>
      <c r="P2498">
        <v>26.916357185145099</v>
      </c>
      <c r="Q2498">
        <v>27.6647561090994</v>
      </c>
      <c r="R2498">
        <v>31.513153507174799</v>
      </c>
      <c r="S2498">
        <v>26.5</v>
      </c>
      <c r="T2498">
        <v>580.00168634064096</v>
      </c>
      <c r="U2498">
        <v>189.637436762226</v>
      </c>
      <c r="V2498">
        <v>0</v>
      </c>
      <c r="W2498">
        <v>134.86846543001701</v>
      </c>
      <c r="X2498">
        <v>446.14333895446902</v>
      </c>
      <c r="Y2498">
        <v>0</v>
      </c>
      <c r="Z2498">
        <v>90.330522765598602</v>
      </c>
      <c r="AA2498">
        <v>0</v>
      </c>
      <c r="AB2498">
        <v>9.37555209540999</v>
      </c>
      <c r="AC2498">
        <v>3.1399419281511999E-2</v>
      </c>
      <c r="AD2498">
        <v>3.1975186811932801</v>
      </c>
      <c r="AE2498">
        <v>0.688623547554016</v>
      </c>
      <c r="AF2498">
        <v>620.50252951096104</v>
      </c>
      <c r="AG2498">
        <f>IFERROR(AH2498*0.1, "N/A")</f>
        <v>7.5416526138279911</v>
      </c>
      <c r="AH2498">
        <v>75.416526138279906</v>
      </c>
      <c r="AI2498">
        <v>240.50751869754899</v>
      </c>
      <c r="AJ2498">
        <v>51.404721753794298</v>
      </c>
      <c r="AK2498">
        <v>25</v>
      </c>
    </row>
    <row r="2499" spans="1:37" x14ac:dyDescent="0.3">
      <c r="A2499">
        <v>2498</v>
      </c>
      <c r="B2499">
        <v>73.300003000000004</v>
      </c>
      <c r="C2499">
        <v>32.860000999999997</v>
      </c>
      <c r="D2499">
        <v>14.06</v>
      </c>
      <c r="E2499" t="s">
        <v>4347</v>
      </c>
      <c r="F2499" t="s">
        <v>4348</v>
      </c>
      <c r="G2499" t="s">
        <v>37</v>
      </c>
      <c r="H2499">
        <v>1987</v>
      </c>
      <c r="I2499">
        <v>28.700000762939499</v>
      </c>
      <c r="J2499">
        <v>15.800000190734901</v>
      </c>
      <c r="K2499">
        <v>61</v>
      </c>
      <c r="L2499">
        <v>27.2700004577637</v>
      </c>
      <c r="M2499">
        <v>41.200000762939503</v>
      </c>
      <c r="N2499">
        <v>15.300000190734901</v>
      </c>
      <c r="O2499">
        <v>25.899999618530298</v>
      </c>
      <c r="P2499">
        <v>28.899999618530298</v>
      </c>
      <c r="Q2499">
        <v>25.899999618530298</v>
      </c>
      <c r="R2499">
        <v>32</v>
      </c>
      <c r="S2499">
        <v>24.700000762939499</v>
      </c>
      <c r="T2499">
        <v>279</v>
      </c>
      <c r="U2499">
        <v>117</v>
      </c>
      <c r="V2499">
        <v>0</v>
      </c>
      <c r="W2499">
        <v>156</v>
      </c>
      <c r="X2499">
        <v>244</v>
      </c>
      <c r="Y2499">
        <v>0</v>
      </c>
      <c r="Z2499">
        <v>31</v>
      </c>
      <c r="AA2499">
        <v>0</v>
      </c>
      <c r="AB2499">
        <v>0.35892401801215301</v>
      </c>
      <c r="AC2499">
        <v>0.80717319644586205</v>
      </c>
      <c r="AD2499">
        <v>1.6659124076165699</v>
      </c>
      <c r="AE2499">
        <v>0.73651695251464799</v>
      </c>
      <c r="AF2499">
        <v>401.116161616162</v>
      </c>
      <c r="AG2499">
        <f>IFERROR(AH2499*0.1, "N/A")</f>
        <v>7.7212121212121207</v>
      </c>
      <c r="AH2499">
        <v>77.212121212121204</v>
      </c>
      <c r="AI2499">
        <v>266.73441561304003</v>
      </c>
      <c r="AJ2499">
        <v>53.323232323232297</v>
      </c>
      <c r="AK2499">
        <v>22</v>
      </c>
    </row>
    <row r="2500" spans="1:37" x14ac:dyDescent="0.3">
      <c r="A2500">
        <v>2499</v>
      </c>
      <c r="B2500">
        <v>31.5</v>
      </c>
      <c r="C2500">
        <v>32.779998999999997</v>
      </c>
      <c r="D2500">
        <v>14.25</v>
      </c>
      <c r="E2500" t="s">
        <v>4349</v>
      </c>
      <c r="F2500" t="s">
        <v>4350</v>
      </c>
      <c r="G2500" t="s">
        <v>37</v>
      </c>
      <c r="H2500">
        <v>1987</v>
      </c>
      <c r="I2500">
        <v>28.700000762939499</v>
      </c>
      <c r="J2500">
        <v>15.800000190734901</v>
      </c>
      <c r="K2500">
        <v>60</v>
      </c>
      <c r="L2500">
        <v>28.206851747300899</v>
      </c>
      <c r="M2500">
        <v>41.253703647189703</v>
      </c>
      <c r="N2500">
        <v>15.199999809265099</v>
      </c>
      <c r="O2500">
        <v>26.053703908567101</v>
      </c>
      <c r="P2500">
        <v>29.146296854372402</v>
      </c>
      <c r="Q2500">
        <v>25.799999237060501</v>
      </c>
      <c r="R2500">
        <v>32.099998474121101</v>
      </c>
      <c r="S2500">
        <v>24.5</v>
      </c>
      <c r="T2500">
        <v>260.46296296296299</v>
      </c>
      <c r="U2500">
        <v>108.462962962963</v>
      </c>
      <c r="V2500">
        <v>0</v>
      </c>
      <c r="W2500">
        <v>159.46296296296299</v>
      </c>
      <c r="X2500">
        <v>229.46296296296299</v>
      </c>
      <c r="Y2500">
        <v>0</v>
      </c>
      <c r="Z2500">
        <v>27</v>
      </c>
      <c r="AA2500">
        <v>0</v>
      </c>
      <c r="AB2500">
        <v>1.07339991303004</v>
      </c>
      <c r="AC2500">
        <v>1.2141757362494E-2</v>
      </c>
      <c r="AD2500">
        <v>1.89638384303661</v>
      </c>
      <c r="AE2500">
        <v>0.77985870838165305</v>
      </c>
      <c r="AF2500">
        <v>401.53198653198598</v>
      </c>
      <c r="AG2500">
        <f>IFERROR(AH2500*0.1, "N/A")</f>
        <v>7.8124579124579103</v>
      </c>
      <c r="AH2500">
        <v>78.1245791245791</v>
      </c>
      <c r="AI2500">
        <v>89.279393847943993</v>
      </c>
      <c r="AJ2500">
        <v>49.1245791245791</v>
      </c>
      <c r="AK2500">
        <v>27.1245791245791</v>
      </c>
    </row>
    <row r="2501" spans="1:37" x14ac:dyDescent="0.3">
      <c r="A2501">
        <v>2500</v>
      </c>
      <c r="B2501">
        <v>18.700001</v>
      </c>
      <c r="C2501">
        <v>33.616698999999997</v>
      </c>
      <c r="D2501">
        <v>14.2667</v>
      </c>
      <c r="E2501" t="s">
        <v>4351</v>
      </c>
      <c r="F2501" t="s">
        <v>4352</v>
      </c>
      <c r="G2501" t="s">
        <v>37</v>
      </c>
      <c r="H2501">
        <v>1987</v>
      </c>
      <c r="I2501">
        <v>28.399999618530298</v>
      </c>
      <c r="J2501">
        <v>16.799999237060501</v>
      </c>
      <c r="K2501">
        <v>62</v>
      </c>
      <c r="L2501">
        <v>26.603661836987801</v>
      </c>
      <c r="M2501">
        <v>41.211539048414998</v>
      </c>
      <c r="N2501">
        <v>14.388461223015399</v>
      </c>
      <c r="O2501">
        <v>26.823076248168999</v>
      </c>
      <c r="P2501">
        <v>28.313042765078301</v>
      </c>
      <c r="Q2501">
        <v>25.888461112976099</v>
      </c>
      <c r="R2501">
        <v>31.799999237060501</v>
      </c>
      <c r="S2501">
        <v>24.588461875915499</v>
      </c>
      <c r="T2501">
        <v>353.79264214046799</v>
      </c>
      <c r="U2501">
        <v>127</v>
      </c>
      <c r="V2501">
        <v>0</v>
      </c>
      <c r="W2501">
        <v>143</v>
      </c>
      <c r="X2501">
        <v>291.33110367892999</v>
      </c>
      <c r="Y2501">
        <v>0</v>
      </c>
      <c r="Z2501">
        <v>48</v>
      </c>
      <c r="AA2501">
        <v>0</v>
      </c>
      <c r="AB2501">
        <v>0.21755777314355099</v>
      </c>
      <c r="AC2501">
        <v>0.71906309760172504</v>
      </c>
      <c r="AD2501">
        <v>1.0280386755697699</v>
      </c>
      <c r="AE2501">
        <v>0.57200700044632002</v>
      </c>
      <c r="AF2501">
        <v>402.58695652173901</v>
      </c>
      <c r="AG2501">
        <f>IFERROR(AH2501*0.1, "N/A")</f>
        <v>8.0538461538461501</v>
      </c>
      <c r="AH2501">
        <v>80.538461538461505</v>
      </c>
      <c r="AI2501">
        <v>120.219402281337</v>
      </c>
      <c r="AJ2501">
        <v>49.824414715719101</v>
      </c>
      <c r="AK2501">
        <v>27.600334448160499</v>
      </c>
    </row>
    <row r="2502" spans="1:37" x14ac:dyDescent="0.3">
      <c r="A2502">
        <v>2501</v>
      </c>
      <c r="B2502">
        <v>64.5</v>
      </c>
      <c r="C2502">
        <v>32.840000000000003</v>
      </c>
      <c r="D2502">
        <v>14.42</v>
      </c>
      <c r="E2502" t="s">
        <v>4353</v>
      </c>
      <c r="F2502" t="s">
        <v>4354</v>
      </c>
      <c r="G2502" t="s">
        <v>37</v>
      </c>
      <c r="H2502">
        <v>1987</v>
      </c>
      <c r="I2502">
        <v>28.600000381469702</v>
      </c>
      <c r="J2502">
        <v>16.100000381469702</v>
      </c>
      <c r="K2502">
        <v>60</v>
      </c>
      <c r="L2502">
        <v>28.860000610351602</v>
      </c>
      <c r="M2502">
        <v>41.299999237060497</v>
      </c>
      <c r="N2502">
        <v>14.8999996185303</v>
      </c>
      <c r="O2502">
        <v>26.399999618530298</v>
      </c>
      <c r="P2502">
        <v>29.200000762939499</v>
      </c>
      <c r="Q2502">
        <v>25.600000381469702</v>
      </c>
      <c r="R2502">
        <v>32.099998474121101</v>
      </c>
      <c r="S2502">
        <v>24.299999237060501</v>
      </c>
      <c r="T2502">
        <v>256</v>
      </c>
      <c r="U2502">
        <v>105</v>
      </c>
      <c r="V2502">
        <v>0</v>
      </c>
      <c r="W2502">
        <v>157</v>
      </c>
      <c r="X2502">
        <v>226</v>
      </c>
      <c r="Y2502">
        <v>0</v>
      </c>
      <c r="Z2502">
        <v>25</v>
      </c>
      <c r="AA2502">
        <v>0</v>
      </c>
      <c r="AB2502">
        <v>0.12282429125485</v>
      </c>
      <c r="AC2502">
        <v>0.23133493210626599</v>
      </c>
      <c r="AD2502">
        <v>1.7879455436596099</v>
      </c>
      <c r="AE2502">
        <v>0.73495864868164096</v>
      </c>
      <c r="AF2502">
        <v>401.71644295302002</v>
      </c>
      <c r="AG2502">
        <f>IFERROR(AH2502*0.1, "N/A")</f>
        <v>7.8926174496644297</v>
      </c>
      <c r="AH2502">
        <v>78.926174496644293</v>
      </c>
      <c r="AI2502">
        <v>137.80203705346</v>
      </c>
      <c r="AJ2502">
        <v>55.640939597315402</v>
      </c>
      <c r="AK2502">
        <v>22.4194630872483</v>
      </c>
    </row>
    <row r="2503" spans="1:37" x14ac:dyDescent="0.3">
      <c r="A2503">
        <v>2502</v>
      </c>
      <c r="B2503">
        <v>19.200001</v>
      </c>
      <c r="C2503">
        <v>33.520000000000003</v>
      </c>
      <c r="D2503">
        <v>14.67</v>
      </c>
      <c r="E2503" t="s">
        <v>4355</v>
      </c>
      <c r="F2503" t="s">
        <v>4356</v>
      </c>
      <c r="G2503" t="s">
        <v>37</v>
      </c>
      <c r="H2503">
        <v>1987</v>
      </c>
      <c r="I2503">
        <v>28.299999237060501</v>
      </c>
      <c r="J2503">
        <v>17.100000381469702</v>
      </c>
      <c r="K2503">
        <v>61</v>
      </c>
      <c r="L2503">
        <v>29.4899997711182</v>
      </c>
      <c r="M2503">
        <v>41.400001525878899</v>
      </c>
      <c r="N2503">
        <v>13.6000003814697</v>
      </c>
      <c r="O2503">
        <v>27.799999237060501</v>
      </c>
      <c r="P2503">
        <v>28.799999237060501</v>
      </c>
      <c r="Q2503">
        <v>25.299999237060501</v>
      </c>
      <c r="R2503">
        <v>31.899999618530298</v>
      </c>
      <c r="S2503">
        <v>24</v>
      </c>
      <c r="T2503">
        <v>303</v>
      </c>
      <c r="U2503">
        <v>115</v>
      </c>
      <c r="V2503">
        <v>0</v>
      </c>
      <c r="W2503">
        <v>146</v>
      </c>
      <c r="X2503">
        <v>255</v>
      </c>
      <c r="Y2503">
        <v>0</v>
      </c>
      <c r="Z2503">
        <v>36</v>
      </c>
      <c r="AA2503">
        <v>0</v>
      </c>
      <c r="AB2503">
        <v>0.21006595688378299</v>
      </c>
      <c r="AC2503">
        <v>0.357216885899375</v>
      </c>
      <c r="AD2503">
        <v>1.5305901003764</v>
      </c>
      <c r="AE2503">
        <v>0.70446842908859297</v>
      </c>
      <c r="AF2503">
        <v>429.734899328859</v>
      </c>
      <c r="AG2503">
        <f>IFERROR(AH2503*0.1, "N/A")</f>
        <v>7.55352348993289</v>
      </c>
      <c r="AH2503">
        <v>75.535234899328898</v>
      </c>
      <c r="AI2503">
        <v>197.794267936041</v>
      </c>
      <c r="AJ2503">
        <v>22.295302013422798</v>
      </c>
      <c r="AK2503">
        <v>65.958053691275197</v>
      </c>
    </row>
    <row r="2504" spans="1:37" x14ac:dyDescent="0.3">
      <c r="A2504">
        <v>2503</v>
      </c>
      <c r="B2504">
        <v>65</v>
      </c>
      <c r="C2504">
        <v>33.259998000000003</v>
      </c>
      <c r="D2504">
        <v>14.76</v>
      </c>
      <c r="E2504" t="s">
        <v>4357</v>
      </c>
      <c r="F2504" t="s">
        <v>4358</v>
      </c>
      <c r="G2504" t="s">
        <v>37</v>
      </c>
      <c r="H2504">
        <v>1987</v>
      </c>
      <c r="I2504">
        <v>28.600000381469702</v>
      </c>
      <c r="J2504">
        <v>17.200000762939499</v>
      </c>
      <c r="K2504">
        <v>60</v>
      </c>
      <c r="L2504">
        <v>31.420000076293899</v>
      </c>
      <c r="M2504">
        <v>41.700000762939503</v>
      </c>
      <c r="N2504">
        <v>13.5</v>
      </c>
      <c r="O2504">
        <v>28.200000762939499</v>
      </c>
      <c r="P2504">
        <v>29.399999618530298</v>
      </c>
      <c r="Q2504">
        <v>25.100000381469702</v>
      </c>
      <c r="R2504">
        <v>32.200000762939503</v>
      </c>
      <c r="S2504">
        <v>24</v>
      </c>
      <c r="T2504">
        <v>253</v>
      </c>
      <c r="U2504">
        <v>102</v>
      </c>
      <c r="V2504">
        <v>0</v>
      </c>
      <c r="W2504">
        <v>150</v>
      </c>
      <c r="X2504">
        <v>220</v>
      </c>
      <c r="Y2504">
        <v>0</v>
      </c>
      <c r="Z2504">
        <v>24</v>
      </c>
      <c r="AA2504">
        <v>0</v>
      </c>
      <c r="AB2504">
        <v>0.25910565053083301</v>
      </c>
      <c r="AC2504">
        <v>6.3089992191786001E-2</v>
      </c>
      <c r="AD2504">
        <v>1.0320315406796099</v>
      </c>
      <c r="AE2504">
        <v>0.79497623443603505</v>
      </c>
      <c r="AF2504">
        <v>399.88146911519198</v>
      </c>
      <c r="AG2504">
        <f>IFERROR(AH2504*0.1, "N/A")</f>
        <v>7.7572621035058411</v>
      </c>
      <c r="AH2504">
        <v>77.572621035058404</v>
      </c>
      <c r="AI2504">
        <v>103.92565067781599</v>
      </c>
      <c r="AJ2504">
        <v>52.787979966610997</v>
      </c>
      <c r="AK2504">
        <v>22.020033388981599</v>
      </c>
    </row>
    <row r="2505" spans="1:37" x14ac:dyDescent="0.3">
      <c r="A2505">
        <v>2504</v>
      </c>
      <c r="B2505">
        <v>26.799999</v>
      </c>
      <c r="C2505">
        <v>33.150002000000001</v>
      </c>
      <c r="D2505">
        <v>14.7667</v>
      </c>
      <c r="E2505" t="s">
        <v>4359</v>
      </c>
      <c r="F2505" t="s">
        <v>4360</v>
      </c>
      <c r="G2505" t="s">
        <v>37</v>
      </c>
      <c r="H2505">
        <v>1987</v>
      </c>
      <c r="I2505">
        <v>28.595477751152</v>
      </c>
      <c r="J2505">
        <v>16.899999618530298</v>
      </c>
      <c r="K2505">
        <v>60</v>
      </c>
      <c r="L2505">
        <v>31.4413572627695</v>
      </c>
      <c r="M2505">
        <v>41.599998474121101</v>
      </c>
      <c r="N2505">
        <v>13.699999809265099</v>
      </c>
      <c r="O2505">
        <v>27.899999618530298</v>
      </c>
      <c r="P2505">
        <v>29.5</v>
      </c>
      <c r="Q2505">
        <v>25.100000381469702</v>
      </c>
      <c r="R2505">
        <v>32.200000762939503</v>
      </c>
      <c r="S2505">
        <v>23.899999618530298</v>
      </c>
      <c r="T2505">
        <v>244.93467336683401</v>
      </c>
      <c r="U2505">
        <v>99.137353433835798</v>
      </c>
      <c r="V2505">
        <v>0</v>
      </c>
      <c r="W2505">
        <v>155.608040201005</v>
      </c>
      <c r="X2505">
        <v>216.608040201005</v>
      </c>
      <c r="Y2505">
        <v>0</v>
      </c>
      <c r="Z2505">
        <v>21.326633165829101</v>
      </c>
      <c r="AA2505">
        <v>0</v>
      </c>
      <c r="AB2505">
        <v>0.47285765579198102</v>
      </c>
      <c r="AC2505">
        <v>1.0584568462867001E-2</v>
      </c>
      <c r="AD2505">
        <v>1.4288908448351101</v>
      </c>
      <c r="AE2505">
        <v>0.72568231821060203</v>
      </c>
      <c r="AF2505">
        <v>398.15410385259599</v>
      </c>
      <c r="AG2505">
        <f>IFERROR(AH2505*0.1, "N/A")</f>
        <v>7.7</v>
      </c>
      <c r="AH2505">
        <v>77</v>
      </c>
      <c r="AI2505">
        <v>97.568641879850105</v>
      </c>
      <c r="AJ2505">
        <v>46.378559463986598</v>
      </c>
      <c r="AK2505">
        <v>30</v>
      </c>
    </row>
    <row r="2506" spans="1:37" x14ac:dyDescent="0.3">
      <c r="A2506">
        <v>2505</v>
      </c>
      <c r="B2506">
        <v>21.4</v>
      </c>
      <c r="C2506">
        <v>33.116698999999997</v>
      </c>
      <c r="D2506">
        <v>14.816700000000001</v>
      </c>
      <c r="E2506" t="s">
        <v>4361</v>
      </c>
      <c r="F2506" t="s">
        <v>4362</v>
      </c>
      <c r="G2506" t="s">
        <v>37</v>
      </c>
      <c r="H2506">
        <v>1987</v>
      </c>
      <c r="I2506">
        <v>28.5</v>
      </c>
      <c r="J2506">
        <v>16.799999237060501</v>
      </c>
      <c r="K2506">
        <v>60</v>
      </c>
      <c r="L2506">
        <v>31.357545763502898</v>
      </c>
      <c r="M2506">
        <v>41.5</v>
      </c>
      <c r="N2506">
        <v>13.699999809265099</v>
      </c>
      <c r="O2506">
        <v>27.799999237060501</v>
      </c>
      <c r="P2506">
        <v>29.5</v>
      </c>
      <c r="Q2506">
        <v>25.042905005071301</v>
      </c>
      <c r="R2506">
        <v>32.099998474121101</v>
      </c>
      <c r="S2506">
        <v>23.876460296681799</v>
      </c>
      <c r="T2506">
        <v>232.15191986644399</v>
      </c>
      <c r="U2506">
        <v>92.574290484140207</v>
      </c>
      <c r="V2506">
        <v>0</v>
      </c>
      <c r="W2506">
        <v>155.14858096827999</v>
      </c>
      <c r="X2506">
        <v>207.14858096827999</v>
      </c>
      <c r="Y2506">
        <v>0</v>
      </c>
      <c r="Z2506">
        <v>18.574290484140199</v>
      </c>
      <c r="AA2506">
        <v>0</v>
      </c>
      <c r="AB2506">
        <v>0.36244046270150798</v>
      </c>
      <c r="AC2506">
        <v>2.1535349308585999E-2</v>
      </c>
      <c r="AD2506">
        <v>0.67308910263201605</v>
      </c>
      <c r="AE2506">
        <v>0.735728959507855</v>
      </c>
      <c r="AF2506">
        <v>397.34390651085101</v>
      </c>
      <c r="AG2506">
        <f>IFERROR(AH2506*0.1, "N/A")</f>
        <v>7.9764607679465804</v>
      </c>
      <c r="AH2506">
        <v>79.764607679465797</v>
      </c>
      <c r="AI2506">
        <v>159.00466429848899</v>
      </c>
      <c r="AJ2506">
        <v>45.519198664440701</v>
      </c>
      <c r="AK2506">
        <v>31.717863105175301</v>
      </c>
    </row>
    <row r="2507" spans="1:37" x14ac:dyDescent="0.3">
      <c r="A2507">
        <v>2506</v>
      </c>
      <c r="B2507">
        <v>67.599997999999999</v>
      </c>
      <c r="C2507">
        <v>33.400002000000001</v>
      </c>
      <c r="D2507">
        <v>14.85</v>
      </c>
      <c r="E2507" t="s">
        <v>4363</v>
      </c>
      <c r="F2507" t="s">
        <v>4364</v>
      </c>
      <c r="G2507" t="s">
        <v>37</v>
      </c>
      <c r="H2507">
        <v>1987</v>
      </c>
      <c r="I2507">
        <v>28.5</v>
      </c>
      <c r="J2507">
        <v>17.100000381469702</v>
      </c>
      <c r="K2507">
        <v>60.157453936348404</v>
      </c>
      <c r="L2507">
        <v>31.0614740445187</v>
      </c>
      <c r="M2507">
        <v>41.599998474121101</v>
      </c>
      <c r="N2507">
        <v>13.515745453698701</v>
      </c>
      <c r="O2507">
        <v>28.084254927770999</v>
      </c>
      <c r="P2507">
        <v>29.399999618530298</v>
      </c>
      <c r="Q2507">
        <v>25.100000381469702</v>
      </c>
      <c r="R2507">
        <v>32.099998474121101</v>
      </c>
      <c r="S2507">
        <v>23.915745072229001</v>
      </c>
      <c r="T2507">
        <v>246.345058626466</v>
      </c>
      <c r="U2507">
        <v>97.157453936348404</v>
      </c>
      <c r="V2507">
        <v>0</v>
      </c>
      <c r="W2507">
        <v>151.82077051926299</v>
      </c>
      <c r="X2507">
        <v>212.82077051926299</v>
      </c>
      <c r="Y2507">
        <v>0</v>
      </c>
      <c r="Z2507">
        <v>24.5242881072027</v>
      </c>
      <c r="AA2507">
        <v>0</v>
      </c>
      <c r="AB2507">
        <v>0.395995020267352</v>
      </c>
      <c r="AC2507">
        <v>2.5066566464789001E-2</v>
      </c>
      <c r="AD2507">
        <v>0.77158979924280202</v>
      </c>
      <c r="AE2507">
        <v>0.73660159111022905</v>
      </c>
      <c r="AF2507">
        <v>401.84254606365198</v>
      </c>
      <c r="AG2507">
        <f>IFERROR(AH2507*0.1, "N/A")</f>
        <v>7.82964824120603</v>
      </c>
      <c r="AH2507">
        <v>78.2964824120603</v>
      </c>
      <c r="AI2507">
        <v>146.96892876042</v>
      </c>
      <c r="AJ2507">
        <v>45.5929648241206</v>
      </c>
      <c r="AK2507">
        <v>30.814070351758801</v>
      </c>
    </row>
    <row r="2508" spans="1:37" x14ac:dyDescent="0.3">
      <c r="A2508">
        <v>2507</v>
      </c>
      <c r="B2508">
        <v>13.3</v>
      </c>
      <c r="C2508">
        <v>33.200001</v>
      </c>
      <c r="D2508">
        <v>14.85</v>
      </c>
      <c r="E2508" t="s">
        <v>4365</v>
      </c>
      <c r="F2508" t="s">
        <v>4366</v>
      </c>
      <c r="G2508" t="s">
        <v>37</v>
      </c>
      <c r="H2508">
        <v>1987</v>
      </c>
      <c r="I2508">
        <v>28.5</v>
      </c>
      <c r="J2508">
        <v>16.899999618530298</v>
      </c>
      <c r="K2508">
        <v>60</v>
      </c>
      <c r="L2508">
        <v>31.651959462381502</v>
      </c>
      <c r="M2508">
        <v>41.5</v>
      </c>
      <c r="N2508">
        <v>13.6000003814697</v>
      </c>
      <c r="O2508">
        <v>27.899999618530298</v>
      </c>
      <c r="P2508">
        <v>29.5</v>
      </c>
      <c r="Q2508">
        <v>25</v>
      </c>
      <c r="R2508">
        <v>32.099998474121101</v>
      </c>
      <c r="S2508">
        <v>23.799999237060501</v>
      </c>
      <c r="T2508">
        <v>226.849246231156</v>
      </c>
      <c r="U2508">
        <v>90.524288107202693</v>
      </c>
      <c r="V2508">
        <v>0</v>
      </c>
      <c r="W2508">
        <v>154.053601340033</v>
      </c>
      <c r="X2508">
        <v>201.04857621440499</v>
      </c>
      <c r="Y2508">
        <v>0</v>
      </c>
      <c r="Z2508">
        <v>18.800670016750399</v>
      </c>
      <c r="AA2508">
        <v>0</v>
      </c>
      <c r="AB2508">
        <v>0.61222857246846196</v>
      </c>
      <c r="AC2508">
        <v>8.2677888139530004E-3</v>
      </c>
      <c r="AD2508">
        <v>1.20106750527019</v>
      </c>
      <c r="AE2508">
        <v>0.77753633260726895</v>
      </c>
      <c r="AF2508">
        <v>399.72361809045202</v>
      </c>
      <c r="AG2508">
        <f>IFERROR(AH2508*0.1, "N/A")</f>
        <v>7.7437185929648296</v>
      </c>
      <c r="AH2508">
        <v>77.437185929648294</v>
      </c>
      <c r="AI2508">
        <v>204.24957658777299</v>
      </c>
      <c r="AJ2508">
        <v>46.874371859296502</v>
      </c>
      <c r="AK2508">
        <v>28.562814070351799</v>
      </c>
    </row>
    <row r="2509" spans="1:37" x14ac:dyDescent="0.3">
      <c r="A2509">
        <v>2508</v>
      </c>
      <c r="B2509">
        <v>16.299999</v>
      </c>
      <c r="C2509">
        <v>33.470001000000003</v>
      </c>
      <c r="D2509">
        <v>14.89</v>
      </c>
      <c r="E2509" t="s">
        <v>4367</v>
      </c>
      <c r="F2509" t="s">
        <v>4368</v>
      </c>
      <c r="G2509" t="s">
        <v>37</v>
      </c>
      <c r="H2509">
        <v>1987</v>
      </c>
      <c r="I2509">
        <v>28.399999618530298</v>
      </c>
      <c r="J2509">
        <v>17.100000381469702</v>
      </c>
      <c r="K2509">
        <v>61</v>
      </c>
      <c r="L2509">
        <v>31.180000305175799</v>
      </c>
      <c r="M2509">
        <v>41.5</v>
      </c>
      <c r="N2509">
        <v>13.5</v>
      </c>
      <c r="O2509">
        <v>28</v>
      </c>
      <c r="P2509">
        <v>29.299999237060501</v>
      </c>
      <c r="Q2509">
        <v>25.100000381469702</v>
      </c>
      <c r="R2509">
        <v>32.099998474121101</v>
      </c>
      <c r="S2509">
        <v>23.799999237060501</v>
      </c>
      <c r="T2509">
        <v>249</v>
      </c>
      <c r="U2509">
        <v>98</v>
      </c>
      <c r="V2509">
        <v>0</v>
      </c>
      <c r="W2509">
        <v>153</v>
      </c>
      <c r="X2509">
        <v>215</v>
      </c>
      <c r="Y2509">
        <v>0</v>
      </c>
      <c r="Z2509">
        <v>25</v>
      </c>
      <c r="AA2509">
        <v>0</v>
      </c>
      <c r="AB2509">
        <v>0.27742147286201402</v>
      </c>
      <c r="AC2509">
        <v>0.66161683245708403</v>
      </c>
      <c r="AD2509">
        <v>0.58423057318132399</v>
      </c>
      <c r="AE2509">
        <v>0.68153452873230003</v>
      </c>
      <c r="AF2509">
        <v>412.24247491638801</v>
      </c>
      <c r="AG2509">
        <f>IFERROR(AH2509*0.1, "N/A")</f>
        <v>7.7317725752508402</v>
      </c>
      <c r="AH2509">
        <v>77.317725752508395</v>
      </c>
      <c r="AI2509">
        <v>152.69541591784599</v>
      </c>
      <c r="AJ2509">
        <v>34.523411371237501</v>
      </c>
      <c r="AK2509">
        <v>47</v>
      </c>
    </row>
    <row r="2510" spans="1:37" x14ac:dyDescent="0.3">
      <c r="A2510">
        <v>2509</v>
      </c>
      <c r="B2510">
        <v>65.300003000000004</v>
      </c>
      <c r="C2510">
        <v>33.169998</v>
      </c>
      <c r="D2510">
        <v>14.98</v>
      </c>
      <c r="E2510" t="s">
        <v>4369</v>
      </c>
      <c r="F2510" t="s">
        <v>4370</v>
      </c>
      <c r="G2510" t="s">
        <v>37</v>
      </c>
      <c r="H2510">
        <v>1987</v>
      </c>
      <c r="I2510">
        <v>28.399999618530298</v>
      </c>
      <c r="J2510">
        <v>16.700000762939499</v>
      </c>
      <c r="K2510">
        <v>60</v>
      </c>
      <c r="L2510">
        <v>32.099998474121101</v>
      </c>
      <c r="M2510">
        <v>41.200000762939503</v>
      </c>
      <c r="N2510">
        <v>13.6000003814697</v>
      </c>
      <c r="O2510">
        <v>27.600000381469702</v>
      </c>
      <c r="P2510">
        <v>29.600000381469702</v>
      </c>
      <c r="Q2510">
        <v>24.700000762939499</v>
      </c>
      <c r="R2510">
        <v>31.899999618530298</v>
      </c>
      <c r="S2510">
        <v>23.600000381469702</v>
      </c>
      <c r="T2510">
        <v>199</v>
      </c>
      <c r="U2510">
        <v>78</v>
      </c>
      <c r="V2510">
        <v>0</v>
      </c>
      <c r="W2510">
        <v>157</v>
      </c>
      <c r="X2510">
        <v>179</v>
      </c>
      <c r="Y2510">
        <v>0</v>
      </c>
      <c r="Z2510">
        <v>15</v>
      </c>
      <c r="AA2510">
        <v>0</v>
      </c>
      <c r="AB2510">
        <v>0.84648688581077502</v>
      </c>
      <c r="AC2510">
        <v>9.851923636021E-3</v>
      </c>
      <c r="AD2510">
        <v>1.37399934815324</v>
      </c>
      <c r="AE2510">
        <v>0.74666047096252397</v>
      </c>
      <c r="AF2510">
        <v>398.08361204013403</v>
      </c>
      <c r="AG2510">
        <f>IFERROR(AH2510*0.1, "N/A")</f>
        <v>8.2000000000000011</v>
      </c>
      <c r="AH2510">
        <v>82</v>
      </c>
      <c r="AI2510">
        <v>206.56028019066201</v>
      </c>
      <c r="AJ2510">
        <v>52.269230769230802</v>
      </c>
      <c r="AK2510">
        <v>25.730769230769202</v>
      </c>
    </row>
    <row r="2511" spans="1:37" x14ac:dyDescent="0.3">
      <c r="A2511">
        <v>2510</v>
      </c>
      <c r="B2511">
        <v>49.400002000000001</v>
      </c>
      <c r="C2511">
        <v>33</v>
      </c>
      <c r="D2511">
        <v>15.05</v>
      </c>
      <c r="E2511" t="s">
        <v>4371</v>
      </c>
      <c r="F2511" t="s">
        <v>4372</v>
      </c>
      <c r="G2511" t="s">
        <v>37</v>
      </c>
      <c r="H2511">
        <v>1987</v>
      </c>
      <c r="I2511">
        <v>28.299999237060501</v>
      </c>
      <c r="J2511">
        <v>16.299999237060501</v>
      </c>
      <c r="K2511">
        <v>59.013400335008399</v>
      </c>
      <c r="L2511">
        <v>32.562796166194701</v>
      </c>
      <c r="M2511">
        <v>40.9986599869464</v>
      </c>
      <c r="N2511">
        <v>13.800000190734901</v>
      </c>
      <c r="O2511">
        <v>27.1986607243268</v>
      </c>
      <c r="P2511">
        <v>29.638526491583701</v>
      </c>
      <c r="Q2511">
        <v>24.600000381469702</v>
      </c>
      <c r="R2511">
        <v>31.799999237060501</v>
      </c>
      <c r="S2511">
        <v>23.399999618530298</v>
      </c>
      <c r="T2511">
        <v>215.837520938023</v>
      </c>
      <c r="U2511">
        <v>82</v>
      </c>
      <c r="V2511">
        <v>0</v>
      </c>
      <c r="W2511">
        <v>149.46231155778901</v>
      </c>
      <c r="X2511">
        <v>188</v>
      </c>
      <c r="Y2511">
        <v>0</v>
      </c>
      <c r="Z2511">
        <v>21.837520938023399</v>
      </c>
      <c r="AA2511">
        <v>0</v>
      </c>
      <c r="AB2511">
        <v>0.38090405232542901</v>
      </c>
      <c r="AC2511">
        <v>2.2483957135797001E-2</v>
      </c>
      <c r="AD2511">
        <v>2.16926523429066</v>
      </c>
      <c r="AE2511">
        <v>0.74475077768067</v>
      </c>
      <c r="AF2511">
        <v>396.36515912897801</v>
      </c>
      <c r="AG2511">
        <f>IFERROR(AH2511*0.1, "N/A")</f>
        <v>8.1914572864321595</v>
      </c>
      <c r="AH2511">
        <v>81.914572864321599</v>
      </c>
      <c r="AI2511">
        <v>192.82994308343899</v>
      </c>
      <c r="AJ2511">
        <v>50.169179229480697</v>
      </c>
      <c r="AK2511">
        <v>26.088777219430501</v>
      </c>
    </row>
    <row r="2512" spans="1:37" x14ac:dyDescent="0.3">
      <c r="A2512">
        <v>2511</v>
      </c>
      <c r="B2512">
        <v>20.399999999999999</v>
      </c>
      <c r="C2512">
        <v>33.169701000000003</v>
      </c>
      <c r="D2512">
        <v>15.101900000000001</v>
      </c>
      <c r="E2512" t="s">
        <v>4373</v>
      </c>
      <c r="F2512" t="s">
        <v>4374</v>
      </c>
      <c r="G2512" t="s">
        <v>37</v>
      </c>
      <c r="H2512">
        <v>1987</v>
      </c>
      <c r="I2512">
        <v>28.299999237060501</v>
      </c>
      <c r="J2512">
        <v>16.5</v>
      </c>
      <c r="K2512">
        <v>60</v>
      </c>
      <c r="L2512">
        <v>32.740001678466797</v>
      </c>
      <c r="M2512">
        <v>41</v>
      </c>
      <c r="N2512">
        <v>13.699999809265099</v>
      </c>
      <c r="O2512">
        <v>27.299999237060501</v>
      </c>
      <c r="P2512">
        <v>29.700000762939499</v>
      </c>
      <c r="Q2512">
        <v>24.600000381469702</v>
      </c>
      <c r="R2512">
        <v>31.899999618530298</v>
      </c>
      <c r="S2512">
        <v>23.399999618530298</v>
      </c>
      <c r="T2512">
        <v>193</v>
      </c>
      <c r="U2512">
        <v>75</v>
      </c>
      <c r="V2512">
        <v>0</v>
      </c>
      <c r="W2512">
        <v>151</v>
      </c>
      <c r="X2512">
        <v>172</v>
      </c>
      <c r="Y2512">
        <v>0</v>
      </c>
      <c r="Z2512">
        <v>81</v>
      </c>
      <c r="AA2512">
        <v>0</v>
      </c>
      <c r="AB2512">
        <v>0.78380889128365006</v>
      </c>
      <c r="AC2512">
        <v>0.41915475156388299</v>
      </c>
      <c r="AD2512">
        <v>2.70702114726148</v>
      </c>
      <c r="AE2512">
        <v>0.82271939516067505</v>
      </c>
      <c r="AF2512">
        <v>393.121869782972</v>
      </c>
      <c r="AG2512">
        <f>IFERROR(AH2512*0.1, "N/A")</f>
        <v>8.6227045075125215</v>
      </c>
      <c r="AH2512">
        <v>86.227045075125204</v>
      </c>
      <c r="AI2512">
        <v>209.50493620552501</v>
      </c>
      <c r="AJ2512">
        <v>32.454090150250401</v>
      </c>
      <c r="AK2512">
        <v>45.545909849749599</v>
      </c>
    </row>
    <row r="2513" spans="1:37" x14ac:dyDescent="0.3">
      <c r="A2513">
        <v>2512</v>
      </c>
      <c r="B2513">
        <v>61.5</v>
      </c>
      <c r="C2513">
        <v>33.0989</v>
      </c>
      <c r="D2513">
        <v>15.175800000000001</v>
      </c>
      <c r="E2513" t="s">
        <v>4375</v>
      </c>
      <c r="F2513" t="s">
        <v>4376</v>
      </c>
      <c r="G2513" t="s">
        <v>37</v>
      </c>
      <c r="H2513">
        <v>1987</v>
      </c>
      <c r="I2513">
        <v>28.393011239126398</v>
      </c>
      <c r="J2513">
        <v>16.299999237060501</v>
      </c>
      <c r="K2513">
        <v>59</v>
      </c>
      <c r="L2513">
        <v>33.064194214324203</v>
      </c>
      <c r="M2513">
        <v>41</v>
      </c>
      <c r="N2513">
        <v>13.800000190734901</v>
      </c>
      <c r="O2513">
        <v>27.200000762939499</v>
      </c>
      <c r="P2513">
        <v>29.799999237060501</v>
      </c>
      <c r="Q2513">
        <v>24.593012002065901</v>
      </c>
      <c r="R2513">
        <v>31.899999618530298</v>
      </c>
      <c r="S2513">
        <v>23.399999618530298</v>
      </c>
      <c r="T2513">
        <v>201</v>
      </c>
      <c r="U2513">
        <v>78</v>
      </c>
      <c r="V2513">
        <v>0</v>
      </c>
      <c r="W2513">
        <v>156</v>
      </c>
      <c r="X2513">
        <v>177</v>
      </c>
      <c r="Y2513">
        <v>0</v>
      </c>
      <c r="Z2513">
        <v>86</v>
      </c>
      <c r="AA2513">
        <v>0</v>
      </c>
      <c r="AB2513">
        <v>4.7938337024555402</v>
      </c>
      <c r="AC2513">
        <v>1.1607077451556E-2</v>
      </c>
      <c r="AD2513">
        <v>1.0634520853716201</v>
      </c>
      <c r="AE2513">
        <v>0.79703014831177998</v>
      </c>
      <c r="AF2513">
        <v>395.11314475873502</v>
      </c>
      <c r="AG2513">
        <f>IFERROR(AH2513*0.1, "N/A")</f>
        <v>8.8000000000000007</v>
      </c>
      <c r="AH2513">
        <v>88</v>
      </c>
      <c r="AI2513">
        <v>133.420199345035</v>
      </c>
      <c r="AJ2513">
        <v>36.512479201331097</v>
      </c>
      <c r="AK2513">
        <v>41.239600665557397</v>
      </c>
    </row>
    <row r="2514" spans="1:37" x14ac:dyDescent="0.3">
      <c r="A2514">
        <v>2513</v>
      </c>
      <c r="B2514">
        <v>12</v>
      </c>
      <c r="C2514">
        <v>36.398899</v>
      </c>
      <c r="D2514">
        <v>15.4558</v>
      </c>
      <c r="E2514" t="s">
        <v>4377</v>
      </c>
      <c r="F2514" t="s">
        <v>4378</v>
      </c>
      <c r="G2514" t="s">
        <v>39</v>
      </c>
      <c r="H2514">
        <v>1987</v>
      </c>
      <c r="I2514">
        <v>29.200000762939499</v>
      </c>
      <c r="J2514">
        <v>15.6000003814697</v>
      </c>
      <c r="K2514">
        <v>61</v>
      </c>
      <c r="L2514">
        <v>25.329999923706101</v>
      </c>
      <c r="M2514">
        <v>41.799999237060497</v>
      </c>
      <c r="N2514">
        <v>16.299999237060501</v>
      </c>
      <c r="O2514">
        <v>25.5</v>
      </c>
      <c r="P2514">
        <v>29.200000762939499</v>
      </c>
      <c r="Q2514">
        <v>26.700000762939499</v>
      </c>
      <c r="R2514">
        <v>32.5</v>
      </c>
      <c r="S2514">
        <v>25.600000381469702</v>
      </c>
      <c r="T2514">
        <v>264</v>
      </c>
      <c r="U2514">
        <v>91</v>
      </c>
      <c r="V2514">
        <v>0</v>
      </c>
      <c r="W2514">
        <v>136</v>
      </c>
      <c r="X2514">
        <v>215</v>
      </c>
      <c r="Y2514">
        <v>0</v>
      </c>
      <c r="Z2514">
        <v>38</v>
      </c>
      <c r="AA2514">
        <v>0</v>
      </c>
      <c r="AB2514">
        <v>0.138232044863183</v>
      </c>
      <c r="AC2514">
        <v>0.27170447574521001</v>
      </c>
      <c r="AD2514">
        <v>0.75668982104188398</v>
      </c>
      <c r="AE2514">
        <v>0.76933789253234897</v>
      </c>
      <c r="AF2514">
        <v>506.56260434056799</v>
      </c>
      <c r="AG2514">
        <f>IFERROR(AH2514*0.1, "N/A")</f>
        <v>8.1</v>
      </c>
      <c r="AH2514">
        <v>81</v>
      </c>
      <c r="AI2514">
        <v>103.802012149002</v>
      </c>
      <c r="AJ2514">
        <v>24.255425709515901</v>
      </c>
      <c r="AK2514">
        <v>55.744574290484103</v>
      </c>
    </row>
    <row r="2515" spans="1:37" x14ac:dyDescent="0.3">
      <c r="A2515">
        <v>2514</v>
      </c>
      <c r="B2515">
        <v>24</v>
      </c>
      <c r="C2515">
        <v>32.5336</v>
      </c>
      <c r="D2515">
        <v>15.668100000000001</v>
      </c>
      <c r="E2515" t="s">
        <v>4379</v>
      </c>
      <c r="F2515" t="s">
        <v>4380</v>
      </c>
      <c r="G2515" t="s">
        <v>39</v>
      </c>
      <c r="H2515">
        <v>1987</v>
      </c>
      <c r="I2515">
        <v>28.799999237060501</v>
      </c>
      <c r="J2515">
        <v>14.8999996185303</v>
      </c>
      <c r="K2515">
        <v>56</v>
      </c>
      <c r="L2515">
        <v>36.149052358109998</v>
      </c>
      <c r="M2515">
        <v>40.900001525878899</v>
      </c>
      <c r="N2515">
        <v>14.699999809265099</v>
      </c>
      <c r="O2515">
        <v>26.200000762939499</v>
      </c>
      <c r="P2515">
        <v>30.869051081170301</v>
      </c>
      <c r="Q2515">
        <v>24.569051844109701</v>
      </c>
      <c r="R2515">
        <v>32.599998474121101</v>
      </c>
      <c r="S2515">
        <v>23.299999237060501</v>
      </c>
      <c r="T2515">
        <v>123.690515806988</v>
      </c>
      <c r="U2515">
        <v>58.690515806988401</v>
      </c>
      <c r="V2515">
        <v>0</v>
      </c>
      <c r="W2515">
        <v>164.381031613977</v>
      </c>
      <c r="X2515">
        <v>114.690515806988</v>
      </c>
      <c r="Y2515">
        <v>0</v>
      </c>
      <c r="Z2515">
        <v>43</v>
      </c>
      <c r="AA2515">
        <v>0</v>
      </c>
      <c r="AB2515">
        <v>3.5429198000077999</v>
      </c>
      <c r="AC2515">
        <v>2.3927688285609001E-2</v>
      </c>
      <c r="AD2515">
        <v>0.80830849193891996</v>
      </c>
      <c r="AE2515">
        <v>0.87283462285995495</v>
      </c>
      <c r="AF2515">
        <v>381.65557404326103</v>
      </c>
      <c r="AG2515">
        <f>IFERROR(AH2515*0.1, "N/A")</f>
        <v>8.1748752079866911</v>
      </c>
      <c r="AH2515">
        <v>81.748752079866904</v>
      </c>
      <c r="AI2515">
        <v>93.259730156566903</v>
      </c>
      <c r="AJ2515">
        <v>29.217970049916801</v>
      </c>
      <c r="AK2515">
        <v>51.603993344426001</v>
      </c>
    </row>
    <row r="2516" spans="1:37" x14ac:dyDescent="0.3">
      <c r="A2516">
        <v>2515</v>
      </c>
      <c r="B2516">
        <v>21</v>
      </c>
      <c r="C2516">
        <v>32.830002</v>
      </c>
      <c r="D2516">
        <v>15.73</v>
      </c>
      <c r="E2516" t="s">
        <v>4381</v>
      </c>
      <c r="F2516" t="s">
        <v>4382</v>
      </c>
      <c r="G2516" t="s">
        <v>39</v>
      </c>
      <c r="H2516">
        <v>1987</v>
      </c>
      <c r="I2516">
        <v>28.899999618530298</v>
      </c>
      <c r="J2516">
        <v>15.199999809265099</v>
      </c>
      <c r="K2516">
        <v>56</v>
      </c>
      <c r="L2516">
        <v>36.290000915527301</v>
      </c>
      <c r="M2516">
        <v>41.299999237060497</v>
      </c>
      <c r="N2516">
        <v>14.6000003814697</v>
      </c>
      <c r="O2516">
        <v>26.700000762939499</v>
      </c>
      <c r="P2516">
        <v>31</v>
      </c>
      <c r="Q2516">
        <v>24.700000762939499</v>
      </c>
      <c r="R2516">
        <v>32.700000762939503</v>
      </c>
      <c r="S2516">
        <v>23.399999618530298</v>
      </c>
      <c r="T2516">
        <v>139</v>
      </c>
      <c r="U2516">
        <v>63</v>
      </c>
      <c r="V2516">
        <v>0</v>
      </c>
      <c r="W2516">
        <v>164</v>
      </c>
      <c r="X2516">
        <v>126</v>
      </c>
      <c r="Y2516">
        <v>0</v>
      </c>
      <c r="Z2516">
        <v>51</v>
      </c>
      <c r="AA2516">
        <v>0</v>
      </c>
      <c r="AB2516">
        <v>0.208684497763199</v>
      </c>
      <c r="AC2516">
        <v>0.32152424682901898</v>
      </c>
      <c r="AD2516">
        <v>2.1738991986133001</v>
      </c>
      <c r="AE2516">
        <v>0.312418017542621</v>
      </c>
      <c r="AF2516">
        <v>414.94824707846402</v>
      </c>
      <c r="AG2516">
        <f>IFERROR(AH2516*0.1, "N/A")</f>
        <v>8.2000000000000011</v>
      </c>
      <c r="AH2516">
        <v>82</v>
      </c>
      <c r="AI2516">
        <v>91.830687126452602</v>
      </c>
      <c r="AJ2516">
        <v>13.20367278798</v>
      </c>
      <c r="AK2516">
        <v>74</v>
      </c>
    </row>
    <row r="2517" spans="1:37" x14ac:dyDescent="0.3">
      <c r="A2517">
        <v>2516</v>
      </c>
      <c r="B2517">
        <v>28</v>
      </c>
      <c r="C2517">
        <v>32.849997999999999</v>
      </c>
      <c r="D2517">
        <v>15.89</v>
      </c>
      <c r="E2517" t="s">
        <v>4383</v>
      </c>
      <c r="F2517" t="s">
        <v>4384</v>
      </c>
      <c r="G2517" t="s">
        <v>39</v>
      </c>
      <c r="H2517">
        <v>1987</v>
      </c>
      <c r="I2517">
        <v>28.600000381469702</v>
      </c>
      <c r="J2517">
        <v>15.199999809265099</v>
      </c>
      <c r="K2517">
        <v>56</v>
      </c>
      <c r="L2517">
        <v>36.759998321533203</v>
      </c>
      <c r="M2517">
        <v>41</v>
      </c>
      <c r="N2517">
        <v>14.300000190734901</v>
      </c>
      <c r="O2517">
        <v>26.700000762939499</v>
      </c>
      <c r="P2517">
        <v>30.7831941690302</v>
      </c>
      <c r="Q2517">
        <v>24.299999237060501</v>
      </c>
      <c r="R2517">
        <v>32.5</v>
      </c>
      <c r="S2517">
        <v>23.100000381469702</v>
      </c>
      <c r="T2517">
        <v>128</v>
      </c>
      <c r="U2517">
        <v>60</v>
      </c>
      <c r="V2517">
        <v>0</v>
      </c>
      <c r="W2517">
        <v>167</v>
      </c>
      <c r="X2517">
        <v>117</v>
      </c>
      <c r="Y2517">
        <v>0</v>
      </c>
      <c r="Z2517">
        <v>44</v>
      </c>
      <c r="AA2517">
        <v>0</v>
      </c>
      <c r="AB2517">
        <v>8.1201372448100795</v>
      </c>
      <c r="AC2517">
        <v>1.4853169978867001E-2</v>
      </c>
      <c r="AD2517">
        <v>1.6174130003384899</v>
      </c>
      <c r="AE2517">
        <v>0.30472707748413103</v>
      </c>
      <c r="AF2517">
        <v>454.34608985025</v>
      </c>
      <c r="AG2517">
        <f>IFERROR(AH2517*0.1, "N/A")</f>
        <v>8.0168053244592308</v>
      </c>
      <c r="AH2517">
        <v>80.168053244592301</v>
      </c>
      <c r="AI2517">
        <v>16.3170043942139</v>
      </c>
      <c r="AJ2517">
        <v>22</v>
      </c>
      <c r="AK2517">
        <v>68</v>
      </c>
    </row>
    <row r="2518" spans="1:37" x14ac:dyDescent="0.3">
      <c r="A2518">
        <v>2517</v>
      </c>
      <c r="B2518">
        <v>16</v>
      </c>
      <c r="C2518">
        <v>32.531897999999998</v>
      </c>
      <c r="D2518">
        <v>15.663600000000001</v>
      </c>
      <c r="E2518" t="s">
        <v>4385</v>
      </c>
      <c r="F2518" t="s">
        <v>4386</v>
      </c>
      <c r="G2518" t="s">
        <v>39</v>
      </c>
      <c r="H2518">
        <v>1962</v>
      </c>
      <c r="I2518">
        <v>28.799999237060501</v>
      </c>
      <c r="J2518">
        <v>14.8999996185303</v>
      </c>
      <c r="K2518">
        <v>56</v>
      </c>
      <c r="L2518">
        <v>36.279998779296903</v>
      </c>
      <c r="M2518">
        <v>41</v>
      </c>
      <c r="N2518">
        <v>14.800000190734901</v>
      </c>
      <c r="O2518">
        <v>26.200000762939499</v>
      </c>
      <c r="P2518">
        <v>30.899999618530298</v>
      </c>
      <c r="Q2518">
        <v>24.600000381469702</v>
      </c>
      <c r="R2518">
        <v>32.700000762939503</v>
      </c>
      <c r="S2518">
        <v>23.299999237060501</v>
      </c>
      <c r="T2518">
        <v>125</v>
      </c>
      <c r="U2518">
        <v>59</v>
      </c>
      <c r="V2518">
        <v>0</v>
      </c>
      <c r="W2518">
        <v>166</v>
      </c>
      <c r="X2518">
        <v>116</v>
      </c>
      <c r="Y2518">
        <v>0</v>
      </c>
      <c r="Z2518">
        <v>44</v>
      </c>
      <c r="AA2518">
        <v>0</v>
      </c>
      <c r="AB2518">
        <v>3.7616853476756802</v>
      </c>
      <c r="AC2518">
        <v>2.9435519234062998E-2</v>
      </c>
      <c r="AD2518">
        <v>0.70072039492292404</v>
      </c>
      <c r="AE2518">
        <v>0.90973903458707595</v>
      </c>
      <c r="AF2518">
        <v>381.71144278606999</v>
      </c>
      <c r="AG2518">
        <f>IFERROR(AH2518*0.1, "N/A")</f>
        <v>8.1096185737976807</v>
      </c>
      <c r="AH2518">
        <v>81.096185737976796</v>
      </c>
      <c r="AI2518">
        <v>252.36599615043301</v>
      </c>
      <c r="AJ2518">
        <v>26.0812603648425</v>
      </c>
      <c r="AK2518">
        <v>55.648424543946902</v>
      </c>
    </row>
    <row r="2519" spans="1:37" x14ac:dyDescent="0.3">
      <c r="A2519">
        <v>2518</v>
      </c>
      <c r="B2519">
        <v>0.4</v>
      </c>
      <c r="C2519">
        <v>32.532200000000003</v>
      </c>
      <c r="D2519">
        <v>15.55</v>
      </c>
      <c r="E2519" t="s">
        <v>4387</v>
      </c>
      <c r="F2519" t="s">
        <v>4388</v>
      </c>
      <c r="G2519" t="s">
        <v>37</v>
      </c>
      <c r="H2519">
        <v>1983</v>
      </c>
      <c r="I2519">
        <v>29.600000381469702</v>
      </c>
      <c r="J2519">
        <v>14.8999996185303</v>
      </c>
      <c r="K2519">
        <v>55</v>
      </c>
      <c r="L2519">
        <v>36.486593453434402</v>
      </c>
      <c r="M2519">
        <v>42.0647736359916</v>
      </c>
      <c r="N2519">
        <v>15.300000190734901</v>
      </c>
      <c r="O2519">
        <v>26.764774398931099</v>
      </c>
      <c r="P2519">
        <v>31.464774489999801</v>
      </c>
      <c r="Q2519">
        <v>25.399999618530298</v>
      </c>
      <c r="R2519">
        <v>33.364775344008002</v>
      </c>
      <c r="S2519">
        <v>24</v>
      </c>
      <c r="T2519">
        <v>139</v>
      </c>
      <c r="U2519">
        <v>63</v>
      </c>
      <c r="V2519">
        <v>0</v>
      </c>
      <c r="W2519">
        <v>164</v>
      </c>
      <c r="X2519">
        <v>126</v>
      </c>
      <c r="Y2519">
        <v>0</v>
      </c>
      <c r="Z2519">
        <v>52</v>
      </c>
      <c r="AA2519">
        <v>0</v>
      </c>
      <c r="AB2519">
        <v>0.422370719591246</v>
      </c>
      <c r="AC2519">
        <v>0.98326783013904795</v>
      </c>
      <c r="AD2519">
        <v>1.27633950666514</v>
      </c>
      <c r="AE2519">
        <v>0.938922887950986</v>
      </c>
      <c r="AF2519">
        <v>382.674457429048</v>
      </c>
      <c r="AG2519">
        <f>IFERROR(AH2519*0.1, "N/A")</f>
        <v>8.4120200333889805</v>
      </c>
      <c r="AH2519">
        <v>84.120200333889798</v>
      </c>
      <c r="AI2519">
        <v>217.511215235435</v>
      </c>
      <c r="AJ2519">
        <v>22</v>
      </c>
      <c r="AK2519">
        <v>65.879799666110202</v>
      </c>
    </row>
    <row r="2520" spans="1:37" x14ac:dyDescent="0.3">
      <c r="A2520">
        <v>2519</v>
      </c>
      <c r="B2520">
        <v>45</v>
      </c>
      <c r="C2520">
        <v>32.856098000000003</v>
      </c>
      <c r="D2520">
        <v>14.9811</v>
      </c>
      <c r="E2520" t="s">
        <v>4389</v>
      </c>
      <c r="F2520" t="s">
        <v>4390</v>
      </c>
      <c r="G2520" t="s">
        <v>37</v>
      </c>
      <c r="H2520">
        <v>1991</v>
      </c>
      <c r="I2520">
        <v>28.5</v>
      </c>
      <c r="J2520">
        <v>16.100000381469702</v>
      </c>
      <c r="K2520">
        <v>60</v>
      </c>
      <c r="L2520">
        <v>32.080001831054702</v>
      </c>
      <c r="M2520">
        <v>41.099998474121101</v>
      </c>
      <c r="N2520">
        <v>14.300000190734901</v>
      </c>
      <c r="O2520">
        <v>26.799999237060501</v>
      </c>
      <c r="P2520">
        <v>29.799999237060501</v>
      </c>
      <c r="Q2520">
        <v>24.899999618530298</v>
      </c>
      <c r="R2520">
        <v>32</v>
      </c>
      <c r="S2520">
        <v>23.700000762939499</v>
      </c>
      <c r="T2520">
        <v>211</v>
      </c>
      <c r="U2520">
        <v>82</v>
      </c>
      <c r="V2520">
        <v>0</v>
      </c>
      <c r="W2520">
        <v>156</v>
      </c>
      <c r="X2520">
        <v>187</v>
      </c>
      <c r="Y2520">
        <v>0</v>
      </c>
      <c r="Z2520">
        <v>19</v>
      </c>
      <c r="AA2520">
        <v>0</v>
      </c>
      <c r="AB2520">
        <v>0.344902382470132</v>
      </c>
      <c r="AC2520">
        <v>1.4801425486181E-2</v>
      </c>
      <c r="AD2520">
        <v>1.0431159963591901</v>
      </c>
      <c r="AE2520">
        <v>0.76276996866092495</v>
      </c>
      <c r="AF2520">
        <v>393.94991652754601</v>
      </c>
      <c r="AG2520">
        <f>IFERROR(AH2520*0.1, "N/A")</f>
        <v>8.7921535893155198</v>
      </c>
      <c r="AH2520">
        <v>87.921535893155195</v>
      </c>
      <c r="AI2520">
        <v>325.993909323156</v>
      </c>
      <c r="AJ2520">
        <v>39.547579298831401</v>
      </c>
      <c r="AK2520">
        <v>38.375626043405703</v>
      </c>
    </row>
    <row r="2521" spans="1:37" x14ac:dyDescent="0.3">
      <c r="A2521">
        <v>2520</v>
      </c>
      <c r="B2521">
        <v>72.699996999999996</v>
      </c>
      <c r="C2521">
        <v>33.307301000000002</v>
      </c>
      <c r="D2521">
        <v>14.7918</v>
      </c>
      <c r="E2521" t="s">
        <v>4391</v>
      </c>
      <c r="F2521" t="s">
        <v>4392</v>
      </c>
      <c r="G2521" t="s">
        <v>37</v>
      </c>
      <c r="H2521">
        <v>1976</v>
      </c>
      <c r="I2521">
        <v>28.600000381469702</v>
      </c>
      <c r="J2521">
        <v>17.200000762939499</v>
      </c>
      <c r="K2521">
        <v>60</v>
      </c>
      <c r="L2521">
        <v>31.298039901196699</v>
      </c>
      <c r="M2521">
        <v>41.799999237060497</v>
      </c>
      <c r="N2521">
        <v>13.6000003814697</v>
      </c>
      <c r="O2521">
        <v>28.200000762939499</v>
      </c>
      <c r="P2521">
        <v>29.399999618530298</v>
      </c>
      <c r="Q2521">
        <v>25.200000762939499</v>
      </c>
      <c r="R2521">
        <v>32.236683620280402</v>
      </c>
      <c r="S2521">
        <v>24</v>
      </c>
      <c r="T2521">
        <v>244.73366834170901</v>
      </c>
      <c r="U2521">
        <v>98.366834170854304</v>
      </c>
      <c r="V2521">
        <v>0</v>
      </c>
      <c r="W2521">
        <v>152.36683417085399</v>
      </c>
      <c r="X2521">
        <v>212.73366834170901</v>
      </c>
      <c r="Y2521">
        <v>0</v>
      </c>
      <c r="Z2521">
        <v>23</v>
      </c>
      <c r="AA2521">
        <v>0</v>
      </c>
      <c r="AB2521">
        <v>4.6346706984630197</v>
      </c>
      <c r="AC2521">
        <v>9.5998224158030006E-3</v>
      </c>
      <c r="AD2521">
        <v>1.3529859557623001</v>
      </c>
      <c r="AE2521">
        <v>0.74088970939917398</v>
      </c>
      <c r="AF2521">
        <v>396.80904522613099</v>
      </c>
      <c r="AG2521">
        <f>IFERROR(AH2521*0.1, "N/A")</f>
        <v>7.7953098827470697</v>
      </c>
      <c r="AH2521">
        <v>77.953098827470697</v>
      </c>
      <c r="AI2521">
        <v>191.29608368993399</v>
      </c>
      <c r="AJ2521">
        <v>44</v>
      </c>
      <c r="AK2521">
        <v>34</v>
      </c>
    </row>
    <row r="2522" spans="1:37" x14ac:dyDescent="0.3">
      <c r="A2522">
        <v>2521</v>
      </c>
      <c r="B2522">
        <v>24.9</v>
      </c>
      <c r="C2522">
        <v>34.250197999999997</v>
      </c>
      <c r="D2522">
        <v>13.8908</v>
      </c>
      <c r="E2522" t="s">
        <v>4393</v>
      </c>
      <c r="F2522" t="s">
        <v>4394</v>
      </c>
      <c r="G2522" t="s">
        <v>39</v>
      </c>
      <c r="H2522">
        <v>1994</v>
      </c>
      <c r="I2522">
        <v>28.700000762939499</v>
      </c>
      <c r="J2522">
        <v>16.700000762939499</v>
      </c>
      <c r="K2522">
        <v>65</v>
      </c>
      <c r="L2522">
        <v>21.986994031313301</v>
      </c>
      <c r="M2522">
        <v>41.200000762939503</v>
      </c>
      <c r="N2522">
        <v>15.699999809265099</v>
      </c>
      <c r="O2522">
        <v>25.5</v>
      </c>
      <c r="P2522">
        <v>28</v>
      </c>
      <c r="Q2522">
        <v>26.899999618530298</v>
      </c>
      <c r="R2522">
        <v>31.799999237060501</v>
      </c>
      <c r="S2522">
        <v>25.799999237060501</v>
      </c>
      <c r="T2522">
        <v>481.21452702702697</v>
      </c>
      <c r="U2522">
        <v>162.59459459459501</v>
      </c>
      <c r="V2522">
        <v>0</v>
      </c>
      <c r="W2522">
        <v>130.59459459459501</v>
      </c>
      <c r="X2522">
        <v>369.59459459459498</v>
      </c>
      <c r="Y2522">
        <v>0</v>
      </c>
      <c r="Z2522">
        <v>85.619932432432407</v>
      </c>
      <c r="AA2522">
        <v>0</v>
      </c>
      <c r="AB2522">
        <v>0.38598452387629301</v>
      </c>
      <c r="AC2522">
        <v>0.77173358694543204</v>
      </c>
      <c r="AD2522">
        <v>0.84755244891385795</v>
      </c>
      <c r="AE2522">
        <v>0.52306562742671403</v>
      </c>
      <c r="AF2522">
        <v>425.36317567567602</v>
      </c>
      <c r="AG2522">
        <f>IFERROR(AH2522*0.1, "N/A")</f>
        <v>7.4243243243243207</v>
      </c>
      <c r="AH2522">
        <v>74.243243243243199</v>
      </c>
      <c r="AI2522">
        <v>121.69334019841401</v>
      </c>
      <c r="AJ2522">
        <v>50.1908783783784</v>
      </c>
      <c r="AK2522">
        <v>23.929054054054099</v>
      </c>
    </row>
    <row r="2523" spans="1:37" x14ac:dyDescent="0.3">
      <c r="A2523">
        <v>2522</v>
      </c>
      <c r="B2523">
        <v>44.900002000000001</v>
      </c>
      <c r="C2523">
        <v>34.055900999999999</v>
      </c>
      <c r="D2523">
        <v>14.0192</v>
      </c>
      <c r="E2523" t="s">
        <v>4395</v>
      </c>
      <c r="F2523" t="s">
        <v>4396</v>
      </c>
      <c r="G2523" t="s">
        <v>39</v>
      </c>
      <c r="H2523">
        <v>1994</v>
      </c>
      <c r="I2523">
        <v>28.600000381469702</v>
      </c>
      <c r="J2523">
        <v>16.799999237060501</v>
      </c>
      <c r="K2523">
        <v>64</v>
      </c>
      <c r="L2523">
        <v>23.409999847412099</v>
      </c>
      <c r="M2523">
        <v>41.099998474121101</v>
      </c>
      <c r="N2523">
        <v>15.199999809265099</v>
      </c>
      <c r="O2523">
        <v>25.899999618530298</v>
      </c>
      <c r="P2523">
        <v>28.100000381469702</v>
      </c>
      <c r="Q2523">
        <v>26.5</v>
      </c>
      <c r="R2523">
        <v>31.799999237060501</v>
      </c>
      <c r="S2523">
        <v>25.399999618530298</v>
      </c>
      <c r="T2523">
        <v>439</v>
      </c>
      <c r="U2523">
        <v>151</v>
      </c>
      <c r="V2523">
        <v>0</v>
      </c>
      <c r="W2523">
        <v>135</v>
      </c>
      <c r="X2523">
        <v>342</v>
      </c>
      <c r="Y2523">
        <v>0</v>
      </c>
      <c r="Z2523">
        <v>75</v>
      </c>
      <c r="AA2523">
        <v>0</v>
      </c>
      <c r="AB2523">
        <v>0.83731027811515202</v>
      </c>
      <c r="AC2523">
        <v>1.9008981633712001E-2</v>
      </c>
      <c r="AD2523">
        <v>0.90142908777509401</v>
      </c>
      <c r="AE2523">
        <v>0.59640049934387196</v>
      </c>
      <c r="AF2523">
        <v>421.12941176470599</v>
      </c>
      <c r="AG2523">
        <f>IFERROR(AH2523*0.1, "N/A")</f>
        <v>7.6388235294117708</v>
      </c>
      <c r="AH2523">
        <v>76.388235294117706</v>
      </c>
      <c r="AI2523">
        <v>194.270404347652</v>
      </c>
      <c r="AJ2523">
        <v>50.989915966386597</v>
      </c>
      <c r="AK2523">
        <v>24.020168067226901</v>
      </c>
    </row>
    <row r="2524" spans="1:37" x14ac:dyDescent="0.3">
      <c r="A2524">
        <v>2523</v>
      </c>
      <c r="B2524">
        <v>23.9</v>
      </c>
      <c r="C2524">
        <v>33.925097999999998</v>
      </c>
      <c r="D2524">
        <v>14.295400000000001</v>
      </c>
      <c r="E2524" t="s">
        <v>4397</v>
      </c>
      <c r="F2524" t="s">
        <v>4398</v>
      </c>
      <c r="G2524" t="s">
        <v>39</v>
      </c>
      <c r="H2524">
        <v>1994</v>
      </c>
      <c r="I2524">
        <v>28.5</v>
      </c>
      <c r="J2524">
        <v>16.899999618530298</v>
      </c>
      <c r="K2524">
        <v>63</v>
      </c>
      <c r="L2524">
        <v>25.5481990114206</v>
      </c>
      <c r="M2524">
        <v>41.200000762939503</v>
      </c>
      <c r="N2524">
        <v>14.6000003814697</v>
      </c>
      <c r="O2524">
        <v>26.600000381469702</v>
      </c>
      <c r="P2524">
        <v>28.299999237060501</v>
      </c>
      <c r="Q2524">
        <v>26.100000381469702</v>
      </c>
      <c r="R2524">
        <v>31.869528121819801</v>
      </c>
      <c r="S2524">
        <v>24.899999618530298</v>
      </c>
      <c r="T2524">
        <v>385</v>
      </c>
      <c r="U2524">
        <v>136</v>
      </c>
      <c r="V2524">
        <v>0</v>
      </c>
      <c r="W2524">
        <v>136</v>
      </c>
      <c r="X2524">
        <v>307</v>
      </c>
      <c r="Y2524">
        <v>0</v>
      </c>
      <c r="Z2524">
        <v>60</v>
      </c>
      <c r="AA2524">
        <v>0</v>
      </c>
      <c r="AB2524">
        <v>0.45151296288076098</v>
      </c>
      <c r="AC2524">
        <v>2.5143743746660001E-2</v>
      </c>
      <c r="AD2524">
        <v>0.39065510516214902</v>
      </c>
      <c r="AE2524">
        <v>0.58262962102890004</v>
      </c>
      <c r="AF2524">
        <v>416.06734006734001</v>
      </c>
      <c r="AG2524">
        <f>IFERROR(AH2524*0.1, "N/A")</f>
        <v>7.7096852300242107</v>
      </c>
      <c r="AH2524">
        <v>77.096852300242105</v>
      </c>
      <c r="AI2524">
        <v>85.586535135904995</v>
      </c>
      <c r="AJ2524">
        <v>49.903147699757902</v>
      </c>
      <c r="AK2524">
        <v>28</v>
      </c>
    </row>
    <row r="2525" spans="1:37" x14ac:dyDescent="0.3">
      <c r="A2525">
        <v>2524</v>
      </c>
      <c r="B2525">
        <v>32.900002000000001</v>
      </c>
      <c r="C2525">
        <v>33.888801999999998</v>
      </c>
      <c r="D2525">
        <v>14.3484</v>
      </c>
      <c r="E2525" t="s">
        <v>4399</v>
      </c>
      <c r="F2525" t="s">
        <v>4400</v>
      </c>
      <c r="G2525" t="s">
        <v>39</v>
      </c>
      <c r="H2525">
        <v>1994</v>
      </c>
      <c r="I2525">
        <v>28.399999618530298</v>
      </c>
      <c r="J2525">
        <v>16.899999618530298</v>
      </c>
      <c r="K2525">
        <v>63</v>
      </c>
      <c r="L2525">
        <v>25.9799995422363</v>
      </c>
      <c r="M2525">
        <v>41.200000762939503</v>
      </c>
      <c r="N2525">
        <v>14.5</v>
      </c>
      <c r="O2525">
        <v>26.700000762939499</v>
      </c>
      <c r="P2525">
        <v>28.299999237060501</v>
      </c>
      <c r="Q2525">
        <v>26</v>
      </c>
      <c r="R2525">
        <v>31.799999237060501</v>
      </c>
      <c r="S2525">
        <v>24.700000762939499</v>
      </c>
      <c r="T2525">
        <v>375</v>
      </c>
      <c r="U2525">
        <v>133</v>
      </c>
      <c r="V2525">
        <v>0</v>
      </c>
      <c r="W2525">
        <v>138</v>
      </c>
      <c r="X2525">
        <v>301</v>
      </c>
      <c r="Y2525">
        <v>0</v>
      </c>
      <c r="Z2525">
        <v>57</v>
      </c>
      <c r="AA2525">
        <v>0</v>
      </c>
      <c r="AB2525">
        <v>7.4920397414904E-2</v>
      </c>
      <c r="AC2525">
        <v>4.6585346582762703</v>
      </c>
      <c r="AD2525">
        <v>0.87688933799563795</v>
      </c>
      <c r="AE2525">
        <v>0.52086979150772095</v>
      </c>
      <c r="AF2525">
        <v>415.52020202020202</v>
      </c>
      <c r="AG2525">
        <f>IFERROR(AH2525*0.1, "N/A")</f>
        <v>7.7210437710437709</v>
      </c>
      <c r="AH2525">
        <v>77.210437710437702</v>
      </c>
      <c r="AI2525">
        <v>127.07642596980099</v>
      </c>
      <c r="AJ2525">
        <v>52.789562289562298</v>
      </c>
      <c r="AK2525">
        <v>23.210437710437699</v>
      </c>
    </row>
    <row r="2526" spans="1:37" x14ac:dyDescent="0.3">
      <c r="A2526">
        <v>2525</v>
      </c>
      <c r="B2526">
        <v>51.5</v>
      </c>
      <c r="C2526">
        <v>30.437798999999998</v>
      </c>
      <c r="D2526">
        <v>5.3578900000000003</v>
      </c>
      <c r="E2526" t="s">
        <v>4401</v>
      </c>
      <c r="F2526" t="s">
        <v>4402</v>
      </c>
      <c r="G2526" t="s">
        <v>37</v>
      </c>
      <c r="H2526">
        <v>2007</v>
      </c>
      <c r="I2526">
        <v>26.299999237060501</v>
      </c>
      <c r="J2526">
        <v>13.1000003814697</v>
      </c>
      <c r="K2526">
        <v>73</v>
      </c>
      <c r="L2526">
        <v>10.8645612683213</v>
      </c>
      <c r="M2526">
        <v>35.799999237060497</v>
      </c>
      <c r="N2526">
        <v>18</v>
      </c>
      <c r="O2526">
        <v>17.799999237060501</v>
      </c>
      <c r="P2526">
        <v>24.910876853005899</v>
      </c>
      <c r="Q2526">
        <v>26.710877789949102</v>
      </c>
      <c r="R2526">
        <v>27.799999237060501</v>
      </c>
      <c r="S2526">
        <v>24.899999618530298</v>
      </c>
      <c r="T2526">
        <v>1122.3473684210501</v>
      </c>
      <c r="U2526">
        <v>175.891228070175</v>
      </c>
      <c r="V2526">
        <v>4</v>
      </c>
      <c r="W2526">
        <v>69</v>
      </c>
      <c r="X2526">
        <v>488.78245614035097</v>
      </c>
      <c r="Y2526">
        <v>19</v>
      </c>
      <c r="Z2526">
        <v>166.891228070175</v>
      </c>
      <c r="AA2526">
        <v>485.89122807017498</v>
      </c>
      <c r="AB2526">
        <v>18.5559324030291</v>
      </c>
      <c r="AC2526">
        <v>1.7530210193639002E-2</v>
      </c>
      <c r="AD2526">
        <v>1.3222318055859801</v>
      </c>
      <c r="AE2526">
        <v>0.56705290079116799</v>
      </c>
      <c r="AF2526">
        <v>596.03333333333296</v>
      </c>
      <c r="AG2526">
        <f>IFERROR(AH2526*0.1, "N/A")</f>
        <v>5.9735087719298203</v>
      </c>
      <c r="AH2526">
        <v>59.7350877192982</v>
      </c>
      <c r="AI2526">
        <v>25.4569023935418</v>
      </c>
      <c r="AJ2526">
        <v>24.470175438596499</v>
      </c>
      <c r="AK2526">
        <v>57.670175438596502</v>
      </c>
    </row>
    <row r="2527" spans="1:37" x14ac:dyDescent="0.3">
      <c r="A2527">
        <v>2526</v>
      </c>
      <c r="B2527">
        <v>0</v>
      </c>
      <c r="C2527">
        <v>30.437798999999998</v>
      </c>
      <c r="D2527">
        <v>5.3578900000000003</v>
      </c>
      <c r="E2527" t="s">
        <v>4401</v>
      </c>
      <c r="F2527" t="s">
        <v>4403</v>
      </c>
      <c r="G2527" t="s">
        <v>39</v>
      </c>
      <c r="H2527">
        <v>2007</v>
      </c>
      <c r="I2527">
        <v>26.299999237060501</v>
      </c>
      <c r="J2527">
        <v>13.1000003814697</v>
      </c>
      <c r="K2527">
        <v>73</v>
      </c>
      <c r="L2527">
        <v>10.8645612683213</v>
      </c>
      <c r="M2527">
        <v>35.799999237060497</v>
      </c>
      <c r="N2527">
        <v>18</v>
      </c>
      <c r="O2527">
        <v>17.799999237060501</v>
      </c>
      <c r="P2527">
        <v>24.910876853005899</v>
      </c>
      <c r="Q2527">
        <v>26.710877789949102</v>
      </c>
      <c r="R2527">
        <v>27.799999237060501</v>
      </c>
      <c r="S2527">
        <v>24.899999618530298</v>
      </c>
      <c r="T2527">
        <v>1122.3473684210501</v>
      </c>
      <c r="U2527">
        <v>175.891228070175</v>
      </c>
      <c r="V2527">
        <v>4</v>
      </c>
      <c r="W2527">
        <v>69</v>
      </c>
      <c r="X2527">
        <v>488.78245614035097</v>
      </c>
      <c r="Y2527">
        <v>19</v>
      </c>
      <c r="Z2527">
        <v>166.891228070175</v>
      </c>
      <c r="AA2527">
        <v>485.89122807017498</v>
      </c>
      <c r="AB2527">
        <v>18.5559324030291</v>
      </c>
      <c r="AC2527">
        <v>1.7530210193639002E-2</v>
      </c>
      <c r="AD2527">
        <v>1.3222318055859801</v>
      </c>
      <c r="AE2527">
        <v>0.56705290079116799</v>
      </c>
      <c r="AF2527">
        <v>596.03333333333296</v>
      </c>
      <c r="AG2527">
        <f>IFERROR(AH2527*0.1, "N/A")</f>
        <v>5.9735087719298203</v>
      </c>
      <c r="AH2527">
        <v>59.7350877192982</v>
      </c>
      <c r="AI2527">
        <v>25.4569023935418</v>
      </c>
      <c r="AJ2527">
        <v>24.470175438596499</v>
      </c>
      <c r="AK2527">
        <v>57.670175438596502</v>
      </c>
    </row>
    <row r="2528" spans="1:37" x14ac:dyDescent="0.3">
      <c r="A2528">
        <v>2527</v>
      </c>
      <c r="B2528">
        <v>70</v>
      </c>
      <c r="C2528">
        <v>30.246400999999999</v>
      </c>
      <c r="D2528">
        <v>7.7246100000000002</v>
      </c>
      <c r="E2528" t="s">
        <v>4404</v>
      </c>
      <c r="F2528" t="s">
        <v>4405</v>
      </c>
      <c r="G2528" t="s">
        <v>37</v>
      </c>
      <c r="H2528">
        <v>2007</v>
      </c>
      <c r="I2528">
        <v>27.200000762939499</v>
      </c>
      <c r="J2528">
        <v>13.300000190734901</v>
      </c>
      <c r="K2528">
        <v>70</v>
      </c>
      <c r="L2528">
        <v>11.5200004577637</v>
      </c>
      <c r="M2528">
        <v>37</v>
      </c>
      <c r="N2528">
        <v>18.100000381469702</v>
      </c>
      <c r="O2528">
        <v>18.899999618530298</v>
      </c>
      <c r="P2528">
        <v>26.100000381469702</v>
      </c>
      <c r="Q2528">
        <v>26.799999237060501</v>
      </c>
      <c r="R2528">
        <v>28.899999618530298</v>
      </c>
      <c r="S2528">
        <v>26</v>
      </c>
      <c r="T2528">
        <v>862.51041666666697</v>
      </c>
      <c r="U2528">
        <v>182.510416666667</v>
      </c>
      <c r="V2528">
        <v>0</v>
      </c>
      <c r="W2528">
        <v>94</v>
      </c>
      <c r="X2528">
        <v>498.51041666666703</v>
      </c>
      <c r="Y2528">
        <v>1</v>
      </c>
      <c r="Z2528">
        <v>153</v>
      </c>
      <c r="AA2528">
        <v>483.51041666666703</v>
      </c>
      <c r="AB2528">
        <v>0.20260673099094001</v>
      </c>
      <c r="AC2528">
        <v>3.7608439650891001E-2</v>
      </c>
      <c r="AD2528">
        <v>1.0717751661108601</v>
      </c>
      <c r="AE2528">
        <v>0.45785689353942899</v>
      </c>
      <c r="AF2528">
        <v>400.128472222222</v>
      </c>
      <c r="AG2528">
        <f>IFERROR(AH2528*0.1, "N/A")</f>
        <v>6.0489583333333306</v>
      </c>
      <c r="AH2528">
        <v>60.4895833333333</v>
      </c>
      <c r="AI2528">
        <v>139.82018964820401</v>
      </c>
      <c r="AJ2528">
        <v>32.9791666666667</v>
      </c>
      <c r="AK2528">
        <v>45.0208333333333</v>
      </c>
    </row>
    <row r="2529" spans="1:37" x14ac:dyDescent="0.3">
      <c r="A2529">
        <v>2528</v>
      </c>
      <c r="B2529">
        <v>73</v>
      </c>
      <c r="C2529">
        <v>30.246400999999999</v>
      </c>
      <c r="D2529">
        <v>7.7246100000000002</v>
      </c>
      <c r="E2529" t="s">
        <v>4404</v>
      </c>
      <c r="F2529" t="s">
        <v>4406</v>
      </c>
      <c r="G2529" t="s">
        <v>39</v>
      </c>
      <c r="H2529">
        <v>2007</v>
      </c>
      <c r="I2529">
        <v>27.200000762939499</v>
      </c>
      <c r="J2529">
        <v>13.300000190734901</v>
      </c>
      <c r="K2529">
        <v>70</v>
      </c>
      <c r="L2529">
        <v>11.5200004577637</v>
      </c>
      <c r="M2529">
        <v>37</v>
      </c>
      <c r="N2529">
        <v>18.100000381469702</v>
      </c>
      <c r="O2529">
        <v>18.899999618530298</v>
      </c>
      <c r="P2529">
        <v>26.100000381469702</v>
      </c>
      <c r="Q2529">
        <v>26.799999237060501</v>
      </c>
      <c r="R2529">
        <v>28.899999618530298</v>
      </c>
      <c r="S2529">
        <v>26</v>
      </c>
      <c r="T2529">
        <v>862.51041666666697</v>
      </c>
      <c r="U2529">
        <v>182.510416666667</v>
      </c>
      <c r="V2529">
        <v>0</v>
      </c>
      <c r="W2529">
        <v>94</v>
      </c>
      <c r="X2529">
        <v>498.51041666666703</v>
      </c>
      <c r="Y2529">
        <v>1</v>
      </c>
      <c r="Z2529">
        <v>153</v>
      </c>
      <c r="AA2529">
        <v>483.51041666666703</v>
      </c>
      <c r="AB2529">
        <v>0.20260673099094001</v>
      </c>
      <c r="AC2529">
        <v>3.7608439650891001E-2</v>
      </c>
      <c r="AD2529">
        <v>1.0717751661108601</v>
      </c>
      <c r="AE2529">
        <v>0.45785689353942899</v>
      </c>
      <c r="AF2529">
        <v>400.128472222222</v>
      </c>
      <c r="AG2529">
        <f>IFERROR(AH2529*0.1, "N/A")</f>
        <v>6.0489583333333306</v>
      </c>
      <c r="AH2529">
        <v>60.4895833333333</v>
      </c>
      <c r="AI2529">
        <v>139.82018964820401</v>
      </c>
      <c r="AJ2529">
        <v>32.9791666666667</v>
      </c>
      <c r="AK2529">
        <v>45.0208333333333</v>
      </c>
    </row>
    <row r="2530" spans="1:37" x14ac:dyDescent="0.3">
      <c r="A2530">
        <v>2529</v>
      </c>
      <c r="B2530">
        <v>47</v>
      </c>
      <c r="C2530">
        <v>33.400002000000001</v>
      </c>
      <c r="D2530">
        <v>13.933299999999999</v>
      </c>
      <c r="E2530" t="s">
        <v>4407</v>
      </c>
      <c r="F2530" t="s">
        <v>4408</v>
      </c>
      <c r="G2530" t="s">
        <v>37</v>
      </c>
      <c r="H2530">
        <v>1996</v>
      </c>
      <c r="I2530">
        <v>28.5</v>
      </c>
      <c r="J2530">
        <v>16.6245382902001</v>
      </c>
      <c r="K2530">
        <v>63</v>
      </c>
      <c r="L2530">
        <v>25.079983116598701</v>
      </c>
      <c r="M2530">
        <v>41.099998474121101</v>
      </c>
      <c r="N2530">
        <v>14.800000190734901</v>
      </c>
      <c r="O2530">
        <v>26.299999237060501</v>
      </c>
      <c r="P2530">
        <v>28.2836969648089</v>
      </c>
      <c r="Q2530">
        <v>26.100000381469702</v>
      </c>
      <c r="R2530">
        <v>31.799999237060501</v>
      </c>
      <c r="S2530">
        <v>24.899999618530298</v>
      </c>
      <c r="T2530">
        <v>346.65378151260501</v>
      </c>
      <c r="U2530">
        <v>132</v>
      </c>
      <c r="V2530">
        <v>0</v>
      </c>
      <c r="W2530">
        <v>150.61008403361299</v>
      </c>
      <c r="X2530">
        <v>294.24537815126098</v>
      </c>
      <c r="Y2530">
        <v>0</v>
      </c>
      <c r="Z2530">
        <v>42.408403361344497</v>
      </c>
      <c r="AA2530">
        <v>0</v>
      </c>
      <c r="AB2530">
        <v>0.29850043288799899</v>
      </c>
      <c r="AC2530">
        <v>3.3637232225419998E-2</v>
      </c>
      <c r="AD2530">
        <v>1.8480823560923101</v>
      </c>
      <c r="AE2530">
        <v>0.72887873649597201</v>
      </c>
      <c r="AF2530">
        <v>424.013445378151</v>
      </c>
      <c r="AG2530">
        <f>IFERROR(AH2530*0.1, "N/A")</f>
        <v>7.6608403361344504</v>
      </c>
      <c r="AH2530">
        <v>76.6084033613445</v>
      </c>
      <c r="AI2530">
        <v>116.336261371003</v>
      </c>
      <c r="AJ2530">
        <v>42.729411764705901</v>
      </c>
      <c r="AK2530">
        <v>35.146218487394997</v>
      </c>
    </row>
    <row r="2531" spans="1:37" x14ac:dyDescent="0.3">
      <c r="A2531">
        <v>2530</v>
      </c>
      <c r="B2531">
        <v>50.400002000000001</v>
      </c>
      <c r="C2531">
        <v>32.667197999999999</v>
      </c>
      <c r="D2531">
        <v>14.2317</v>
      </c>
      <c r="E2531" t="s">
        <v>4409</v>
      </c>
      <c r="F2531" t="s">
        <v>4410</v>
      </c>
      <c r="G2531" t="s">
        <v>37</v>
      </c>
      <c r="H2531">
        <v>1990</v>
      </c>
      <c r="I2531">
        <v>28.799999237060501</v>
      </c>
      <c r="J2531">
        <v>15.6000003814697</v>
      </c>
      <c r="K2531">
        <v>60</v>
      </c>
      <c r="L2531">
        <v>27.969982449562099</v>
      </c>
      <c r="M2531">
        <v>41.200000762939503</v>
      </c>
      <c r="N2531">
        <v>15.400168253237601</v>
      </c>
      <c r="O2531">
        <v>25.7998306055696</v>
      </c>
      <c r="P2531">
        <v>29.299999237060501</v>
      </c>
      <c r="Q2531">
        <v>25.799999237060501</v>
      </c>
      <c r="R2531">
        <v>32.099998474121101</v>
      </c>
      <c r="S2531">
        <v>24.600000381469702</v>
      </c>
      <c r="T2531">
        <v>253</v>
      </c>
      <c r="U2531">
        <v>105</v>
      </c>
      <c r="V2531">
        <v>0</v>
      </c>
      <c r="W2531">
        <v>154</v>
      </c>
      <c r="X2531">
        <v>222</v>
      </c>
      <c r="Y2531">
        <v>0</v>
      </c>
      <c r="Z2531">
        <v>26</v>
      </c>
      <c r="AA2531">
        <v>0</v>
      </c>
      <c r="AB2531">
        <v>0.15614645637911001</v>
      </c>
      <c r="AC2531">
        <v>4.0292252825720999E-2</v>
      </c>
      <c r="AD2531">
        <v>1.35777597463553</v>
      </c>
      <c r="AE2531">
        <v>0.72439710356131803</v>
      </c>
      <c r="AF2531">
        <v>396.62900505902201</v>
      </c>
      <c r="AG2531">
        <f>IFERROR(AH2531*0.1, "N/A")</f>
        <v>8.1</v>
      </c>
      <c r="AH2531">
        <v>81</v>
      </c>
      <c r="AI2531">
        <v>270.907733241784</v>
      </c>
      <c r="AJ2531">
        <v>47.998313659359198</v>
      </c>
      <c r="AK2531">
        <v>29.005059021922399</v>
      </c>
    </row>
    <row r="2532" spans="1:37" x14ac:dyDescent="0.3">
      <c r="A2532">
        <v>2531</v>
      </c>
      <c r="B2532">
        <v>0</v>
      </c>
      <c r="C2532">
        <v>32.667197999999999</v>
      </c>
      <c r="D2532">
        <v>14.2317</v>
      </c>
      <c r="E2532" t="s">
        <v>4409</v>
      </c>
      <c r="F2532" t="s">
        <v>4411</v>
      </c>
      <c r="G2532" t="s">
        <v>39</v>
      </c>
      <c r="H2532">
        <v>1990</v>
      </c>
      <c r="I2532">
        <v>28.799999237060501</v>
      </c>
      <c r="J2532">
        <v>15.6000003814697</v>
      </c>
      <c r="K2532">
        <v>60</v>
      </c>
      <c r="L2532">
        <v>27.969982449562099</v>
      </c>
      <c r="M2532">
        <v>41.200000762939503</v>
      </c>
      <c r="N2532">
        <v>15.400168253237601</v>
      </c>
      <c r="O2532">
        <v>25.7998306055696</v>
      </c>
      <c r="P2532">
        <v>29.299999237060501</v>
      </c>
      <c r="Q2532">
        <v>25.799999237060501</v>
      </c>
      <c r="R2532">
        <v>32.099998474121101</v>
      </c>
      <c r="S2532">
        <v>24.600000381469702</v>
      </c>
      <c r="T2532">
        <v>253</v>
      </c>
      <c r="U2532">
        <v>105</v>
      </c>
      <c r="V2532">
        <v>0</v>
      </c>
      <c r="W2532">
        <v>154</v>
      </c>
      <c r="X2532">
        <v>222</v>
      </c>
      <c r="Y2532">
        <v>0</v>
      </c>
      <c r="Z2532">
        <v>26</v>
      </c>
      <c r="AA2532">
        <v>0</v>
      </c>
      <c r="AB2532">
        <v>0.15614645637911001</v>
      </c>
      <c r="AC2532">
        <v>4.0292252825720999E-2</v>
      </c>
      <c r="AD2532">
        <v>1.35777597463553</v>
      </c>
      <c r="AE2532">
        <v>0.72439710356131803</v>
      </c>
      <c r="AF2532">
        <v>396.62900505902201</v>
      </c>
      <c r="AG2532">
        <f>IFERROR(AH2532*0.1, "N/A")</f>
        <v>8.1</v>
      </c>
      <c r="AH2532">
        <v>81</v>
      </c>
      <c r="AI2532">
        <v>270.907733241784</v>
      </c>
      <c r="AJ2532">
        <v>47.998313659359198</v>
      </c>
      <c r="AK2532">
        <v>29.005059021922399</v>
      </c>
    </row>
    <row r="2533" spans="1:37" x14ac:dyDescent="0.3">
      <c r="A2533">
        <v>2532</v>
      </c>
      <c r="B2533">
        <v>75</v>
      </c>
      <c r="C2533">
        <v>33.177501999999997</v>
      </c>
      <c r="D2533">
        <v>14.8795</v>
      </c>
      <c r="E2533" t="s">
        <v>4412</v>
      </c>
      <c r="F2533" t="s">
        <v>4413</v>
      </c>
      <c r="G2533" t="s">
        <v>37</v>
      </c>
      <c r="H2533">
        <v>1980</v>
      </c>
      <c r="I2533">
        <v>28.5</v>
      </c>
      <c r="J2533">
        <v>16.899999618530298</v>
      </c>
      <c r="K2533">
        <v>60</v>
      </c>
      <c r="L2533">
        <v>31.819999694824201</v>
      </c>
      <c r="M2533">
        <v>41.5</v>
      </c>
      <c r="N2533">
        <v>13.699999809265099</v>
      </c>
      <c r="O2533">
        <v>27.799999237060501</v>
      </c>
      <c r="P2533">
        <v>29.5</v>
      </c>
      <c r="Q2533">
        <v>24.899999618530298</v>
      </c>
      <c r="R2533">
        <v>32.099998474121101</v>
      </c>
      <c r="S2533">
        <v>23.799999237060501</v>
      </c>
      <c r="T2533">
        <v>218</v>
      </c>
      <c r="U2533">
        <v>87</v>
      </c>
      <c r="V2533">
        <v>0</v>
      </c>
      <c r="W2533">
        <v>154</v>
      </c>
      <c r="X2533">
        <v>195</v>
      </c>
      <c r="Y2533">
        <v>0</v>
      </c>
      <c r="Z2533">
        <v>17</v>
      </c>
      <c r="AA2533">
        <v>0</v>
      </c>
      <c r="AB2533">
        <v>0.67687088600554801</v>
      </c>
      <c r="AC2533">
        <v>3.6459346886855003E-2</v>
      </c>
      <c r="AD2533">
        <v>0.37643385367776899</v>
      </c>
      <c r="AE2533">
        <v>0.74185961484909102</v>
      </c>
      <c r="AF2533">
        <v>398.90954773869402</v>
      </c>
      <c r="AG2533">
        <f>IFERROR(AH2533*0.1, "N/A")</f>
        <v>7.8474036850921296</v>
      </c>
      <c r="AH2533">
        <v>78.474036850921294</v>
      </c>
      <c r="AI2533">
        <v>86.811075309612804</v>
      </c>
      <c r="AJ2533">
        <v>52</v>
      </c>
      <c r="AK2533">
        <v>24.0519262981575</v>
      </c>
    </row>
    <row r="2534" spans="1:37" x14ac:dyDescent="0.3">
      <c r="A2534">
        <v>2533</v>
      </c>
      <c r="B2534">
        <v>2.2999999999999998</v>
      </c>
      <c r="C2534">
        <v>33.177501999999997</v>
      </c>
      <c r="D2534">
        <v>14.8795</v>
      </c>
      <c r="E2534" t="s">
        <v>4412</v>
      </c>
      <c r="F2534" t="s">
        <v>4414</v>
      </c>
      <c r="G2534" t="s">
        <v>39</v>
      </c>
      <c r="H2534">
        <v>1980</v>
      </c>
      <c r="I2534">
        <v>28.5</v>
      </c>
      <c r="J2534">
        <v>16.899999618530298</v>
      </c>
      <c r="K2534">
        <v>60</v>
      </c>
      <c r="L2534">
        <v>31.819999694824201</v>
      </c>
      <c r="M2534">
        <v>41.5</v>
      </c>
      <c r="N2534">
        <v>13.699999809265099</v>
      </c>
      <c r="O2534">
        <v>27.799999237060501</v>
      </c>
      <c r="P2534">
        <v>29.5</v>
      </c>
      <c r="Q2534">
        <v>24.899999618530298</v>
      </c>
      <c r="R2534">
        <v>32.099998474121101</v>
      </c>
      <c r="S2534">
        <v>23.799999237060501</v>
      </c>
      <c r="T2534">
        <v>218</v>
      </c>
      <c r="U2534">
        <v>87</v>
      </c>
      <c r="V2534">
        <v>0</v>
      </c>
      <c r="W2534">
        <v>154</v>
      </c>
      <c r="X2534">
        <v>195</v>
      </c>
      <c r="Y2534">
        <v>0</v>
      </c>
      <c r="Z2534">
        <v>17</v>
      </c>
      <c r="AA2534">
        <v>0</v>
      </c>
      <c r="AB2534">
        <v>0.67687088600554801</v>
      </c>
      <c r="AC2534">
        <v>3.6459346886855003E-2</v>
      </c>
      <c r="AD2534">
        <v>0.37643385367776899</v>
      </c>
      <c r="AE2534">
        <v>0.74185961484909102</v>
      </c>
      <c r="AF2534">
        <v>398.90954773869402</v>
      </c>
      <c r="AG2534">
        <f>IFERROR(AH2534*0.1, "N/A")</f>
        <v>7.8474036850921296</v>
      </c>
      <c r="AH2534">
        <v>78.474036850921294</v>
      </c>
      <c r="AI2534">
        <v>86.811075309612804</v>
      </c>
      <c r="AJ2534">
        <v>52</v>
      </c>
      <c r="AK2534">
        <v>24.0519262981575</v>
      </c>
    </row>
    <row r="2535" spans="1:37" x14ac:dyDescent="0.3">
      <c r="A2535">
        <v>2534</v>
      </c>
      <c r="B2535">
        <v>0.25</v>
      </c>
      <c r="C2535">
        <v>32.715499999999999</v>
      </c>
      <c r="D2535">
        <v>13.054399999999999</v>
      </c>
      <c r="E2535" t="s">
        <v>4415</v>
      </c>
      <c r="F2535" t="s">
        <v>4416</v>
      </c>
      <c r="G2535" t="s">
        <v>37</v>
      </c>
      <c r="H2535">
        <v>1993</v>
      </c>
      <c r="I2535">
        <v>28.399999618530298</v>
      </c>
      <c r="J2535">
        <v>14.8999996185303</v>
      </c>
      <c r="K2535">
        <v>61</v>
      </c>
      <c r="L2535">
        <v>23.690000534057599</v>
      </c>
      <c r="M2535">
        <v>40.400001525878899</v>
      </c>
      <c r="N2535">
        <v>16.200000762939499</v>
      </c>
      <c r="O2535">
        <v>24.200000762939499</v>
      </c>
      <c r="P2535">
        <v>28</v>
      </c>
      <c r="Q2535">
        <v>26.200000762939499</v>
      </c>
      <c r="R2535">
        <v>31.600000381469702</v>
      </c>
      <c r="S2535">
        <v>25.200000762939499</v>
      </c>
      <c r="T2535">
        <v>353</v>
      </c>
      <c r="U2535">
        <v>126</v>
      </c>
      <c r="V2535">
        <v>0</v>
      </c>
      <c r="W2535">
        <v>138</v>
      </c>
      <c r="X2535">
        <v>283</v>
      </c>
      <c r="Y2535">
        <v>0</v>
      </c>
      <c r="Z2535">
        <v>57</v>
      </c>
      <c r="AA2535">
        <v>0</v>
      </c>
      <c r="AB2535">
        <v>2.3125296899827901</v>
      </c>
      <c r="AC2535">
        <v>8.6701015484029996E-3</v>
      </c>
      <c r="AD2535">
        <v>1.3392507817785599</v>
      </c>
      <c r="AE2535">
        <v>0.46373756356158502</v>
      </c>
      <c r="AF2535">
        <v>388.94915254237299</v>
      </c>
      <c r="AG2535">
        <f>IFERROR(AH2535*0.1, "N/A")</f>
        <v>7.6000000000000005</v>
      </c>
      <c r="AH2535">
        <v>76</v>
      </c>
      <c r="AI2535">
        <v>176.49403533935501</v>
      </c>
      <c r="AJ2535">
        <v>24.966101694915299</v>
      </c>
      <c r="AK2535">
        <v>57.952542372881403</v>
      </c>
    </row>
    <row r="2536" spans="1:37" x14ac:dyDescent="0.3">
      <c r="A2536">
        <v>2535</v>
      </c>
      <c r="B2536">
        <v>41.900002000000001</v>
      </c>
      <c r="C2536">
        <v>32.715499999999999</v>
      </c>
      <c r="D2536">
        <v>13.054399999999999</v>
      </c>
      <c r="E2536" t="s">
        <v>4415</v>
      </c>
      <c r="F2536" t="s">
        <v>4417</v>
      </c>
      <c r="G2536" t="s">
        <v>39</v>
      </c>
      <c r="H2536">
        <v>1993</v>
      </c>
      <c r="I2536">
        <v>28.399999618530298</v>
      </c>
      <c r="J2536">
        <v>14.8999996185303</v>
      </c>
      <c r="K2536">
        <v>61</v>
      </c>
      <c r="L2536">
        <v>23.690000534057599</v>
      </c>
      <c r="M2536">
        <v>40.400001525878899</v>
      </c>
      <c r="N2536">
        <v>16.200000762939499</v>
      </c>
      <c r="O2536">
        <v>24.200000762939499</v>
      </c>
      <c r="P2536">
        <v>28</v>
      </c>
      <c r="Q2536">
        <v>26.200000762939499</v>
      </c>
      <c r="R2536">
        <v>31.600000381469702</v>
      </c>
      <c r="S2536">
        <v>25.200000762939499</v>
      </c>
      <c r="T2536">
        <v>353</v>
      </c>
      <c r="U2536">
        <v>126</v>
      </c>
      <c r="V2536">
        <v>0</v>
      </c>
      <c r="W2536">
        <v>138</v>
      </c>
      <c r="X2536">
        <v>283</v>
      </c>
      <c r="Y2536">
        <v>0</v>
      </c>
      <c r="Z2536">
        <v>57</v>
      </c>
      <c r="AA2536">
        <v>0</v>
      </c>
      <c r="AB2536">
        <v>2.3125296899827901</v>
      </c>
      <c r="AC2536">
        <v>8.6701015484029996E-3</v>
      </c>
      <c r="AD2536">
        <v>1.3392507817785599</v>
      </c>
      <c r="AE2536">
        <v>0.46373756356158502</v>
      </c>
      <c r="AF2536">
        <v>388.94915254237299</v>
      </c>
      <c r="AG2536">
        <f>IFERROR(AH2536*0.1, "N/A")</f>
        <v>7.6000000000000005</v>
      </c>
      <c r="AH2536">
        <v>76</v>
      </c>
      <c r="AI2536">
        <v>176.49403533935501</v>
      </c>
      <c r="AJ2536">
        <v>24.966101694915299</v>
      </c>
      <c r="AK2536">
        <v>57.952542372881403</v>
      </c>
    </row>
    <row r="2537" spans="1:37" x14ac:dyDescent="0.3">
      <c r="A2537">
        <v>2536</v>
      </c>
      <c r="B2537">
        <v>62.799999</v>
      </c>
      <c r="C2537">
        <v>33.432301000000002</v>
      </c>
      <c r="D2537">
        <v>14.26</v>
      </c>
      <c r="E2537" t="s">
        <v>4418</v>
      </c>
      <c r="F2537" t="s">
        <v>4419</v>
      </c>
      <c r="G2537" t="s">
        <v>37</v>
      </c>
      <c r="H2537">
        <v>1993</v>
      </c>
      <c r="I2537">
        <v>28.399999618530298</v>
      </c>
      <c r="J2537">
        <v>16.799999237060501</v>
      </c>
      <c r="K2537">
        <v>61</v>
      </c>
      <c r="L2537">
        <v>27.639999389648398</v>
      </c>
      <c r="M2537">
        <v>41.400001525878899</v>
      </c>
      <c r="N2537">
        <v>14.199999809265099</v>
      </c>
      <c r="O2537">
        <v>27.200000762939499</v>
      </c>
      <c r="P2537">
        <v>28.5</v>
      </c>
      <c r="Q2537">
        <v>25.799999237060501</v>
      </c>
      <c r="R2537">
        <v>31.899999618530298</v>
      </c>
      <c r="S2537">
        <v>24.399999618530298</v>
      </c>
      <c r="T2537">
        <v>330</v>
      </c>
      <c r="U2537">
        <v>124</v>
      </c>
      <c r="V2537">
        <v>0</v>
      </c>
      <c r="W2537">
        <v>147</v>
      </c>
      <c r="X2537">
        <v>277</v>
      </c>
      <c r="Y2537">
        <v>0</v>
      </c>
      <c r="Z2537">
        <v>42</v>
      </c>
      <c r="AA2537">
        <v>0</v>
      </c>
      <c r="AB2537">
        <v>1.2828433253184099</v>
      </c>
      <c r="AC2537">
        <v>64.503952177930202</v>
      </c>
      <c r="AD2537">
        <v>1.3066905801536699</v>
      </c>
      <c r="AE2537">
        <v>0.77757404852314205</v>
      </c>
      <c r="AF2537">
        <v>413.67058823529402</v>
      </c>
      <c r="AG2537">
        <f>IFERROR(AH2537*0.1, "N/A")</f>
        <v>7.8000000000000007</v>
      </c>
      <c r="AH2537">
        <v>78</v>
      </c>
      <c r="AI2537">
        <v>104.537633020738</v>
      </c>
      <c r="AJ2537">
        <v>53.366386554621897</v>
      </c>
      <c r="AK2537">
        <v>21.633613445378199</v>
      </c>
    </row>
    <row r="2538" spans="1:37" x14ac:dyDescent="0.3">
      <c r="A2538">
        <v>2537</v>
      </c>
      <c r="B2538">
        <v>7</v>
      </c>
      <c r="C2538">
        <v>33.432301000000002</v>
      </c>
      <c r="D2538">
        <v>14.26</v>
      </c>
      <c r="E2538" t="s">
        <v>4418</v>
      </c>
      <c r="F2538" t="s">
        <v>4420</v>
      </c>
      <c r="G2538" t="s">
        <v>39</v>
      </c>
      <c r="H2538">
        <v>1993</v>
      </c>
      <c r="I2538">
        <v>28.399999618530298</v>
      </c>
      <c r="J2538">
        <v>16.799999237060501</v>
      </c>
      <c r="K2538">
        <v>61</v>
      </c>
      <c r="L2538">
        <v>27.639999389648398</v>
      </c>
      <c r="M2538">
        <v>41.400001525878899</v>
      </c>
      <c r="N2538">
        <v>14.199999809265099</v>
      </c>
      <c r="O2538">
        <v>27.200000762939499</v>
      </c>
      <c r="P2538">
        <v>28.5</v>
      </c>
      <c r="Q2538">
        <v>25.799999237060501</v>
      </c>
      <c r="R2538">
        <v>31.899999618530298</v>
      </c>
      <c r="S2538">
        <v>24.399999618530298</v>
      </c>
      <c r="T2538">
        <v>330</v>
      </c>
      <c r="U2538">
        <v>124</v>
      </c>
      <c r="V2538">
        <v>0</v>
      </c>
      <c r="W2538">
        <v>147</v>
      </c>
      <c r="X2538">
        <v>277</v>
      </c>
      <c r="Y2538">
        <v>0</v>
      </c>
      <c r="Z2538">
        <v>42</v>
      </c>
      <c r="AA2538">
        <v>0</v>
      </c>
      <c r="AB2538">
        <v>1.2828433253184099</v>
      </c>
      <c r="AC2538">
        <v>64.503952177930202</v>
      </c>
      <c r="AD2538">
        <v>1.3066905801536699</v>
      </c>
      <c r="AE2538">
        <v>0.77757404852314205</v>
      </c>
      <c r="AF2538">
        <v>413.67058823529402</v>
      </c>
      <c r="AG2538">
        <f>IFERROR(AH2538*0.1, "N/A")</f>
        <v>7.8000000000000007</v>
      </c>
      <c r="AH2538">
        <v>78</v>
      </c>
      <c r="AI2538">
        <v>104.537633020738</v>
      </c>
      <c r="AJ2538">
        <v>53.366386554621897</v>
      </c>
      <c r="AK2538">
        <v>21.633613445378199</v>
      </c>
    </row>
    <row r="2539" spans="1:37" x14ac:dyDescent="0.3">
      <c r="A2539">
        <v>2538</v>
      </c>
      <c r="B2539">
        <v>32.099997999999999</v>
      </c>
      <c r="C2539">
        <v>33.768298999999999</v>
      </c>
      <c r="D2539">
        <v>17.350401000000002</v>
      </c>
      <c r="E2539" t="s">
        <v>4421</v>
      </c>
      <c r="F2539" t="s">
        <v>4422</v>
      </c>
      <c r="G2539" t="s">
        <v>37</v>
      </c>
      <c r="H2539">
        <v>1993</v>
      </c>
      <c r="I2539">
        <v>29.321345788113199</v>
      </c>
      <c r="J2539">
        <v>15.300000190734901</v>
      </c>
      <c r="K2539">
        <v>54.786535303776702</v>
      </c>
      <c r="L2539">
        <v>42.546287743328797</v>
      </c>
      <c r="M2539">
        <v>42.042693102105297</v>
      </c>
      <c r="N2539">
        <v>14.300000190734901</v>
      </c>
      <c r="O2539">
        <v>27.7426934578932</v>
      </c>
      <c r="P2539">
        <v>32.842692339165801</v>
      </c>
      <c r="Q2539">
        <v>24.1213469325224</v>
      </c>
      <c r="R2539">
        <v>33.642691576226397</v>
      </c>
      <c r="S2539">
        <v>23.0426931021053</v>
      </c>
      <c r="T2539">
        <v>67</v>
      </c>
      <c r="U2539">
        <v>32</v>
      </c>
      <c r="V2539">
        <v>0</v>
      </c>
      <c r="W2539">
        <v>169</v>
      </c>
      <c r="X2539">
        <v>61</v>
      </c>
      <c r="Y2539">
        <v>0</v>
      </c>
      <c r="Z2539">
        <v>27</v>
      </c>
      <c r="AA2539">
        <v>0</v>
      </c>
      <c r="AB2539">
        <v>1.5884935100286099</v>
      </c>
      <c r="AC2539">
        <v>5.063280751944E-2</v>
      </c>
      <c r="AD2539">
        <v>1.11742701054794</v>
      </c>
      <c r="AE2539">
        <v>0.66620745535554504</v>
      </c>
      <c r="AF2539">
        <v>355.100164203612</v>
      </c>
      <c r="AG2539">
        <f>IFERROR(AH2539*0.1, "N/A")</f>
        <v>8.2114942528735604</v>
      </c>
      <c r="AH2539">
        <v>82.114942528735597</v>
      </c>
      <c r="AI2539">
        <v>103.913402663859</v>
      </c>
      <c r="AJ2539">
        <v>19.4088669950739</v>
      </c>
      <c r="AK2539">
        <v>68.894909688013101</v>
      </c>
    </row>
    <row r="2540" spans="1:37" x14ac:dyDescent="0.3">
      <c r="A2540">
        <v>2539</v>
      </c>
      <c r="B2540">
        <v>0</v>
      </c>
      <c r="C2540">
        <v>33.768298999999999</v>
      </c>
      <c r="D2540">
        <v>17.350401000000002</v>
      </c>
      <c r="E2540" t="s">
        <v>4421</v>
      </c>
      <c r="F2540" t="s">
        <v>4423</v>
      </c>
      <c r="G2540" t="s">
        <v>39</v>
      </c>
      <c r="H2540">
        <v>1993</v>
      </c>
      <c r="I2540">
        <v>29.321345788113199</v>
      </c>
      <c r="J2540">
        <v>15.300000190734901</v>
      </c>
      <c r="K2540">
        <v>54.786535303776702</v>
      </c>
      <c r="L2540">
        <v>42.546287743328797</v>
      </c>
      <c r="M2540">
        <v>42.042693102105297</v>
      </c>
      <c r="N2540">
        <v>14.300000190734901</v>
      </c>
      <c r="O2540">
        <v>27.7426934578932</v>
      </c>
      <c r="P2540">
        <v>32.842692339165801</v>
      </c>
      <c r="Q2540">
        <v>24.1213469325224</v>
      </c>
      <c r="R2540">
        <v>33.642691576226397</v>
      </c>
      <c r="S2540">
        <v>23.0426931021053</v>
      </c>
      <c r="T2540">
        <v>67</v>
      </c>
      <c r="U2540">
        <v>32</v>
      </c>
      <c r="V2540">
        <v>0</v>
      </c>
      <c r="W2540">
        <v>169</v>
      </c>
      <c r="X2540">
        <v>61</v>
      </c>
      <c r="Y2540">
        <v>0</v>
      </c>
      <c r="Z2540">
        <v>27</v>
      </c>
      <c r="AA2540">
        <v>0</v>
      </c>
      <c r="AB2540">
        <v>1.5884935100286099</v>
      </c>
      <c r="AC2540">
        <v>5.063280751944E-2</v>
      </c>
      <c r="AD2540">
        <v>1.11742701054794</v>
      </c>
      <c r="AE2540">
        <v>0.66620745535554504</v>
      </c>
      <c r="AF2540">
        <v>355.100164203612</v>
      </c>
      <c r="AG2540">
        <f>IFERROR(AH2540*0.1, "N/A")</f>
        <v>8.2114942528735604</v>
      </c>
      <c r="AH2540">
        <v>82.114942528735597</v>
      </c>
      <c r="AI2540">
        <v>103.913402663859</v>
      </c>
      <c r="AJ2540">
        <v>19.4088669950739</v>
      </c>
      <c r="AK2540">
        <v>68.894909688013101</v>
      </c>
    </row>
    <row r="2541" spans="1:37" x14ac:dyDescent="0.3">
      <c r="A2541">
        <v>2540</v>
      </c>
      <c r="B2541">
        <v>43</v>
      </c>
      <c r="C2541">
        <v>33.845199999999998</v>
      </c>
      <c r="D2541">
        <v>17.413699999999999</v>
      </c>
      <c r="E2541" t="s">
        <v>4424</v>
      </c>
      <c r="F2541" t="s">
        <v>4425</v>
      </c>
      <c r="G2541" t="s">
        <v>37</v>
      </c>
      <c r="H2541">
        <v>1993</v>
      </c>
      <c r="I2541">
        <v>29.299999237060501</v>
      </c>
      <c r="J2541">
        <v>15.3999996185303</v>
      </c>
      <c r="K2541">
        <v>55</v>
      </c>
      <c r="L2541">
        <v>42.569999694824197</v>
      </c>
      <c r="M2541">
        <v>42.099998474121101</v>
      </c>
      <c r="N2541">
        <v>14.300000190734901</v>
      </c>
      <c r="O2541">
        <v>27.799999237060501</v>
      </c>
      <c r="P2541">
        <v>32.900001525878899</v>
      </c>
      <c r="Q2541">
        <v>24.100000381469702</v>
      </c>
      <c r="R2541">
        <v>33.700000762939503</v>
      </c>
      <c r="S2541">
        <v>23.100000381469702</v>
      </c>
      <c r="T2541">
        <v>65</v>
      </c>
      <c r="U2541">
        <v>30</v>
      </c>
      <c r="V2541">
        <v>0</v>
      </c>
      <c r="W2541">
        <v>162</v>
      </c>
      <c r="X2541">
        <v>59</v>
      </c>
      <c r="Y2541">
        <v>0</v>
      </c>
      <c r="Z2541">
        <v>27</v>
      </c>
      <c r="AA2541">
        <v>0</v>
      </c>
      <c r="AB2541">
        <v>1.28652135949386</v>
      </c>
      <c r="AC2541">
        <v>1.1922949709084E-2</v>
      </c>
      <c r="AD2541">
        <v>0.61874110486946599</v>
      </c>
      <c r="AE2541">
        <v>0.71650063991546598</v>
      </c>
      <c r="AF2541">
        <v>353.81907894736798</v>
      </c>
      <c r="AG2541">
        <f>IFERROR(AH2541*0.1, "N/A")</f>
        <v>8.0934210526315802</v>
      </c>
      <c r="AH2541">
        <v>80.934210526315795</v>
      </c>
      <c r="AI2541">
        <v>172.748387612795</v>
      </c>
      <c r="AJ2541">
        <v>36.697368421052602</v>
      </c>
      <c r="AK2541">
        <v>42.871710526315802</v>
      </c>
    </row>
    <row r="2542" spans="1:37" x14ac:dyDescent="0.3">
      <c r="A2542">
        <v>2541</v>
      </c>
      <c r="B2542">
        <v>0</v>
      </c>
      <c r="C2542">
        <v>33.845199999999998</v>
      </c>
      <c r="D2542">
        <v>17.413699999999999</v>
      </c>
      <c r="E2542" t="s">
        <v>4424</v>
      </c>
      <c r="F2542" t="s">
        <v>4426</v>
      </c>
      <c r="G2542" t="s">
        <v>39</v>
      </c>
      <c r="H2542">
        <v>1993</v>
      </c>
      <c r="I2542">
        <v>29.299999237060501</v>
      </c>
      <c r="J2542">
        <v>15.3999996185303</v>
      </c>
      <c r="K2542">
        <v>55</v>
      </c>
      <c r="L2542">
        <v>42.569999694824197</v>
      </c>
      <c r="M2542">
        <v>42.099998474121101</v>
      </c>
      <c r="N2542">
        <v>14.300000190734901</v>
      </c>
      <c r="O2542">
        <v>27.799999237060501</v>
      </c>
      <c r="P2542">
        <v>32.900001525878899</v>
      </c>
      <c r="Q2542">
        <v>24.100000381469702</v>
      </c>
      <c r="R2542">
        <v>33.700000762939503</v>
      </c>
      <c r="S2542">
        <v>23.100000381469702</v>
      </c>
      <c r="T2542">
        <v>65</v>
      </c>
      <c r="U2542">
        <v>30</v>
      </c>
      <c r="V2542">
        <v>0</v>
      </c>
      <c r="W2542">
        <v>162</v>
      </c>
      <c r="X2542">
        <v>59</v>
      </c>
      <c r="Y2542">
        <v>0</v>
      </c>
      <c r="Z2542">
        <v>27</v>
      </c>
      <c r="AA2542">
        <v>0</v>
      </c>
      <c r="AB2542">
        <v>1.28652135949386</v>
      </c>
      <c r="AC2542">
        <v>1.1922949709084E-2</v>
      </c>
      <c r="AD2542">
        <v>0.61874110486946599</v>
      </c>
      <c r="AE2542">
        <v>0.71650063991546598</v>
      </c>
      <c r="AF2542">
        <v>353.81907894736798</v>
      </c>
      <c r="AG2542">
        <f>IFERROR(AH2542*0.1, "N/A")</f>
        <v>8.0934210526315802</v>
      </c>
      <c r="AH2542">
        <v>80.934210526315795</v>
      </c>
      <c r="AI2542">
        <v>172.748387612795</v>
      </c>
      <c r="AJ2542">
        <v>36.697368421052602</v>
      </c>
      <c r="AK2542">
        <v>42.871710526315802</v>
      </c>
    </row>
    <row r="2543" spans="1:37" x14ac:dyDescent="0.3">
      <c r="A2543">
        <v>2542</v>
      </c>
      <c r="B2543">
        <v>51</v>
      </c>
      <c r="C2543">
        <v>33.864601</v>
      </c>
      <c r="D2543">
        <v>17.4452</v>
      </c>
      <c r="E2543" t="s">
        <v>4427</v>
      </c>
      <c r="F2543" t="s">
        <v>4428</v>
      </c>
      <c r="G2543" t="s">
        <v>37</v>
      </c>
      <c r="H2543">
        <v>1993</v>
      </c>
      <c r="I2543">
        <v>29.299999237060501</v>
      </c>
      <c r="J2543">
        <v>15.3999996185303</v>
      </c>
      <c r="K2543">
        <v>55</v>
      </c>
      <c r="L2543">
        <v>42.470001220703097</v>
      </c>
      <c r="M2543">
        <v>42.200000762939503</v>
      </c>
      <c r="N2543">
        <v>14.300000190734901</v>
      </c>
      <c r="O2543">
        <v>27.899999618530298</v>
      </c>
      <c r="P2543">
        <v>32.900001525878899</v>
      </c>
      <c r="Q2543">
        <v>24.200000762939499</v>
      </c>
      <c r="R2543">
        <v>33.700000762939503</v>
      </c>
      <c r="S2543">
        <v>23.100000381469702</v>
      </c>
      <c r="T2543">
        <v>63</v>
      </c>
      <c r="U2543">
        <v>29</v>
      </c>
      <c r="V2543">
        <v>0</v>
      </c>
      <c r="W2543">
        <v>155</v>
      </c>
      <c r="X2543">
        <v>57</v>
      </c>
      <c r="Y2543">
        <v>0</v>
      </c>
      <c r="Z2543">
        <v>26</v>
      </c>
      <c r="AA2543">
        <v>0</v>
      </c>
      <c r="AB2543">
        <v>0.820815139520364</v>
      </c>
      <c r="AC2543">
        <v>9.8479723557830003E-3</v>
      </c>
      <c r="AD2543">
        <v>1.50741278734363</v>
      </c>
      <c r="AE2543">
        <v>0.70870256541205201</v>
      </c>
      <c r="AF2543">
        <v>354.1</v>
      </c>
      <c r="AG2543">
        <f>IFERROR(AH2543*0.1, "N/A")</f>
        <v>8.3516393442623009</v>
      </c>
      <c r="AH2543">
        <v>83.516393442622999</v>
      </c>
      <c r="AI2543">
        <v>180.91285429157199</v>
      </c>
      <c r="AJ2543">
        <v>32.854098360655698</v>
      </c>
      <c r="AK2543">
        <v>47.2508196721312</v>
      </c>
    </row>
    <row r="2544" spans="1:37" x14ac:dyDescent="0.3">
      <c r="A2544">
        <v>2543</v>
      </c>
      <c r="B2544">
        <v>0</v>
      </c>
      <c r="C2544">
        <v>33.864601</v>
      </c>
      <c r="D2544">
        <v>17.4452</v>
      </c>
      <c r="E2544" t="s">
        <v>4427</v>
      </c>
      <c r="F2544" t="s">
        <v>4429</v>
      </c>
      <c r="G2544" t="s">
        <v>39</v>
      </c>
      <c r="H2544">
        <v>1993</v>
      </c>
      <c r="I2544">
        <v>29.299999237060501</v>
      </c>
      <c r="J2544">
        <v>15.3999996185303</v>
      </c>
      <c r="K2544">
        <v>55</v>
      </c>
      <c r="L2544">
        <v>42.470001220703097</v>
      </c>
      <c r="M2544">
        <v>42.200000762939503</v>
      </c>
      <c r="N2544">
        <v>14.300000190734901</v>
      </c>
      <c r="O2544">
        <v>27.899999618530298</v>
      </c>
      <c r="P2544">
        <v>32.900001525878899</v>
      </c>
      <c r="Q2544">
        <v>24.200000762939499</v>
      </c>
      <c r="R2544">
        <v>33.700000762939503</v>
      </c>
      <c r="S2544">
        <v>23.100000381469702</v>
      </c>
      <c r="T2544">
        <v>63</v>
      </c>
      <c r="U2544">
        <v>29</v>
      </c>
      <c r="V2544">
        <v>0</v>
      </c>
      <c r="W2544">
        <v>155</v>
      </c>
      <c r="X2544">
        <v>57</v>
      </c>
      <c r="Y2544">
        <v>0</v>
      </c>
      <c r="Z2544">
        <v>26</v>
      </c>
      <c r="AA2544">
        <v>0</v>
      </c>
      <c r="AB2544">
        <v>0.820815139520364</v>
      </c>
      <c r="AC2544">
        <v>9.8479723557830003E-3</v>
      </c>
      <c r="AD2544">
        <v>1.50741278734363</v>
      </c>
      <c r="AE2544">
        <v>0.70870256541205201</v>
      </c>
      <c r="AF2544">
        <v>354.1</v>
      </c>
      <c r="AG2544">
        <f>IFERROR(AH2544*0.1, "N/A")</f>
        <v>8.3516393442623009</v>
      </c>
      <c r="AH2544">
        <v>83.516393442622999</v>
      </c>
      <c r="AI2544">
        <v>180.91285429157199</v>
      </c>
      <c r="AJ2544">
        <v>32.854098360655698</v>
      </c>
      <c r="AK2544">
        <v>47.2508196721312</v>
      </c>
    </row>
    <row r="2545" spans="1:37" x14ac:dyDescent="0.3">
      <c r="A2545">
        <v>2544</v>
      </c>
      <c r="B2545">
        <v>39.900002000000001</v>
      </c>
      <c r="C2545">
        <v>33.865101000000003</v>
      </c>
      <c r="D2545">
        <v>17.528299000000001</v>
      </c>
      <c r="E2545" t="s">
        <v>4430</v>
      </c>
      <c r="F2545" t="s">
        <v>4431</v>
      </c>
      <c r="G2545" t="s">
        <v>37</v>
      </c>
      <c r="H2545">
        <v>1993</v>
      </c>
      <c r="I2545">
        <v>29.5</v>
      </c>
      <c r="J2545">
        <v>15.3999996185303</v>
      </c>
      <c r="K2545">
        <v>55</v>
      </c>
      <c r="L2545">
        <v>43.299999237060497</v>
      </c>
      <c r="M2545">
        <v>42.400001525878899</v>
      </c>
      <c r="N2545">
        <v>14.3999996185303</v>
      </c>
      <c r="O2545">
        <v>28</v>
      </c>
      <c r="P2545">
        <v>33.099998474121101</v>
      </c>
      <c r="Q2545">
        <v>24.200000762939499</v>
      </c>
      <c r="R2545">
        <v>33.900001525878899</v>
      </c>
      <c r="S2545">
        <v>23.100000381469702</v>
      </c>
      <c r="T2545">
        <v>61</v>
      </c>
      <c r="U2545">
        <v>27</v>
      </c>
      <c r="V2545">
        <v>0</v>
      </c>
      <c r="W2545">
        <v>146</v>
      </c>
      <c r="X2545">
        <v>54</v>
      </c>
      <c r="Y2545">
        <v>0</v>
      </c>
      <c r="Z2545">
        <v>25</v>
      </c>
      <c r="AA2545">
        <v>0</v>
      </c>
      <c r="AB2545">
        <v>2.1212901913007598</v>
      </c>
      <c r="AC2545">
        <v>1.120279282301E-2</v>
      </c>
      <c r="AD2545">
        <v>1.7527585337868301</v>
      </c>
      <c r="AE2545">
        <v>0.70565399005643303</v>
      </c>
      <c r="AF2545">
        <v>352.67103109656301</v>
      </c>
      <c r="AG2545">
        <f>IFERROR(AH2545*0.1, "N/A")</f>
        <v>8.2819967266775816</v>
      </c>
      <c r="AH2545">
        <v>82.819967266775805</v>
      </c>
      <c r="AI2545">
        <v>184.94226106059901</v>
      </c>
      <c r="AJ2545">
        <v>28.489361702127699</v>
      </c>
      <c r="AK2545">
        <v>53.011456628477902</v>
      </c>
    </row>
    <row r="2546" spans="1:37" x14ac:dyDescent="0.3">
      <c r="A2546">
        <v>2545</v>
      </c>
      <c r="B2546">
        <v>0</v>
      </c>
      <c r="C2546">
        <v>33.865101000000003</v>
      </c>
      <c r="D2546">
        <v>17.528299000000001</v>
      </c>
      <c r="E2546" t="s">
        <v>4430</v>
      </c>
      <c r="F2546" t="s">
        <v>4432</v>
      </c>
      <c r="G2546" t="s">
        <v>39</v>
      </c>
      <c r="H2546">
        <v>1993</v>
      </c>
      <c r="I2546">
        <v>29.5</v>
      </c>
      <c r="J2546">
        <v>15.3999996185303</v>
      </c>
      <c r="K2546">
        <v>55</v>
      </c>
      <c r="L2546">
        <v>43.299999237060497</v>
      </c>
      <c r="M2546">
        <v>42.400001525878899</v>
      </c>
      <c r="N2546">
        <v>14.3999996185303</v>
      </c>
      <c r="O2546">
        <v>28</v>
      </c>
      <c r="P2546">
        <v>33.099998474121101</v>
      </c>
      <c r="Q2546">
        <v>24.200000762939499</v>
      </c>
      <c r="R2546">
        <v>33.900001525878899</v>
      </c>
      <c r="S2546">
        <v>23.100000381469702</v>
      </c>
      <c r="T2546">
        <v>61</v>
      </c>
      <c r="U2546">
        <v>27</v>
      </c>
      <c r="V2546">
        <v>0</v>
      </c>
      <c r="W2546">
        <v>146</v>
      </c>
      <c r="X2546">
        <v>54</v>
      </c>
      <c r="Y2546">
        <v>0</v>
      </c>
      <c r="Z2546">
        <v>25</v>
      </c>
      <c r="AA2546">
        <v>0</v>
      </c>
      <c r="AB2546">
        <v>2.1212901913007598</v>
      </c>
      <c r="AC2546">
        <v>1.120279282301E-2</v>
      </c>
      <c r="AD2546">
        <v>1.7527585337868301</v>
      </c>
      <c r="AE2546">
        <v>0.70565399005643303</v>
      </c>
      <c r="AF2546">
        <v>352.67103109656301</v>
      </c>
      <c r="AG2546">
        <f>IFERROR(AH2546*0.1, "N/A")</f>
        <v>8.2819967266775816</v>
      </c>
      <c r="AH2546">
        <v>82.819967266775805</v>
      </c>
      <c r="AI2546">
        <v>184.94226106059901</v>
      </c>
      <c r="AJ2546">
        <v>28.489361702127699</v>
      </c>
      <c r="AK2546">
        <v>53.011456628477902</v>
      </c>
    </row>
    <row r="2547" spans="1:37" x14ac:dyDescent="0.3">
      <c r="A2547">
        <v>2546</v>
      </c>
      <c r="B2547">
        <v>17.899999999999999</v>
      </c>
      <c r="C2547">
        <v>33.926600999999998</v>
      </c>
      <c r="D2547">
        <v>17.600100000000001</v>
      </c>
      <c r="E2547" t="s">
        <v>4433</v>
      </c>
      <c r="F2547" t="s">
        <v>4434</v>
      </c>
      <c r="G2547" t="s">
        <v>37</v>
      </c>
      <c r="H2547">
        <v>1993</v>
      </c>
      <c r="I2547">
        <v>29.5756581833488</v>
      </c>
      <c r="J2547">
        <v>15.3756576525538</v>
      </c>
      <c r="K2547">
        <v>54</v>
      </c>
      <c r="L2547">
        <v>43.487566947936998</v>
      </c>
      <c r="M2547">
        <v>42.599998474121101</v>
      </c>
      <c r="N2547">
        <v>14.5</v>
      </c>
      <c r="O2547">
        <v>28.100000381469702</v>
      </c>
      <c r="P2547">
        <v>33.175658100529702</v>
      </c>
      <c r="Q2547">
        <v>24.299999237060501</v>
      </c>
      <c r="R2547">
        <v>34</v>
      </c>
      <c r="S2547">
        <v>23.200000762939499</v>
      </c>
      <c r="T2547">
        <v>58.243421052631597</v>
      </c>
      <c r="U2547">
        <v>25</v>
      </c>
      <c r="V2547">
        <v>0</v>
      </c>
      <c r="W2547">
        <v>161.730263157895</v>
      </c>
      <c r="X2547">
        <v>51.243421052631597</v>
      </c>
      <c r="Y2547">
        <v>0</v>
      </c>
      <c r="Z2547">
        <v>23.2434210526316</v>
      </c>
      <c r="AA2547">
        <v>0</v>
      </c>
      <c r="AB2547">
        <v>1.5345312921624401</v>
      </c>
      <c r="AC2547">
        <v>1.4124072651612E-2</v>
      </c>
      <c r="AD2547">
        <v>0.63019117639449096</v>
      </c>
      <c r="AE2547">
        <v>0.72202968597412098</v>
      </c>
      <c r="AF2547">
        <v>351.54111842105198</v>
      </c>
      <c r="AG2547">
        <f>IFERROR(AH2547*0.1, "N/A")</f>
        <v>8.3552631578947398</v>
      </c>
      <c r="AH2547">
        <v>83.552631578947398</v>
      </c>
      <c r="AI2547">
        <v>170.11652735659899</v>
      </c>
      <c r="AJ2547">
        <v>23.473684210526301</v>
      </c>
      <c r="AK2547">
        <v>56.526315789473699</v>
      </c>
    </row>
    <row r="2548" spans="1:37" x14ac:dyDescent="0.3">
      <c r="A2548">
        <v>2547</v>
      </c>
      <c r="B2548">
        <v>0</v>
      </c>
      <c r="C2548">
        <v>33.926600999999998</v>
      </c>
      <c r="D2548">
        <v>17.600100000000001</v>
      </c>
      <c r="E2548" t="s">
        <v>4433</v>
      </c>
      <c r="F2548" t="s">
        <v>4435</v>
      </c>
      <c r="G2548" t="s">
        <v>39</v>
      </c>
      <c r="H2548">
        <v>1993</v>
      </c>
      <c r="I2548">
        <v>29.5756581833488</v>
      </c>
      <c r="J2548">
        <v>15.3756576525538</v>
      </c>
      <c r="K2548">
        <v>54</v>
      </c>
      <c r="L2548">
        <v>43.487566947936998</v>
      </c>
      <c r="M2548">
        <v>42.599998474121101</v>
      </c>
      <c r="N2548">
        <v>14.5</v>
      </c>
      <c r="O2548">
        <v>28.100000381469702</v>
      </c>
      <c r="P2548">
        <v>33.175658100529702</v>
      </c>
      <c r="Q2548">
        <v>24.299999237060501</v>
      </c>
      <c r="R2548">
        <v>34</v>
      </c>
      <c r="S2548">
        <v>23.200000762939499</v>
      </c>
      <c r="T2548">
        <v>58.243421052631597</v>
      </c>
      <c r="U2548">
        <v>25</v>
      </c>
      <c r="V2548">
        <v>0</v>
      </c>
      <c r="W2548">
        <v>161.730263157895</v>
      </c>
      <c r="X2548">
        <v>51.243421052631597</v>
      </c>
      <c r="Y2548">
        <v>0</v>
      </c>
      <c r="Z2548">
        <v>23.2434210526316</v>
      </c>
      <c r="AA2548">
        <v>0</v>
      </c>
      <c r="AB2548">
        <v>1.5345312921624401</v>
      </c>
      <c r="AC2548">
        <v>1.4124072651612E-2</v>
      </c>
      <c r="AD2548">
        <v>0.63019117639449096</v>
      </c>
      <c r="AE2548">
        <v>0.72202968597412098</v>
      </c>
      <c r="AF2548">
        <v>351.54111842105198</v>
      </c>
      <c r="AG2548">
        <f>IFERROR(AH2548*0.1, "N/A")</f>
        <v>8.3552631578947398</v>
      </c>
      <c r="AH2548">
        <v>83.552631578947398</v>
      </c>
      <c r="AI2548">
        <v>170.11652735659899</v>
      </c>
      <c r="AJ2548">
        <v>23.473684210526301</v>
      </c>
      <c r="AK2548">
        <v>56.526315789473699</v>
      </c>
    </row>
    <row r="2549" spans="1:37" x14ac:dyDescent="0.3">
      <c r="A2549">
        <v>2548</v>
      </c>
      <c r="B2549">
        <v>33.299999</v>
      </c>
      <c r="C2549">
        <v>32.796700000000001</v>
      </c>
      <c r="D2549">
        <v>14.2044</v>
      </c>
      <c r="E2549" t="s">
        <v>4436</v>
      </c>
      <c r="F2549" t="s">
        <v>4437</v>
      </c>
      <c r="G2549" t="s">
        <v>37</v>
      </c>
      <c r="H2549">
        <v>1995</v>
      </c>
      <c r="I2549">
        <v>28.700000762939499</v>
      </c>
      <c r="J2549">
        <v>15.800000190734901</v>
      </c>
      <c r="K2549">
        <v>61</v>
      </c>
      <c r="L2549">
        <v>27.629999160766602</v>
      </c>
      <c r="M2549">
        <v>41.200000762939503</v>
      </c>
      <c r="N2549">
        <v>15.300000190734901</v>
      </c>
      <c r="O2549">
        <v>25.899999618530298</v>
      </c>
      <c r="P2549">
        <v>29.200000762939499</v>
      </c>
      <c r="Q2549">
        <v>25.899999618530298</v>
      </c>
      <c r="R2549">
        <v>32</v>
      </c>
      <c r="S2549">
        <v>24.600000381469702</v>
      </c>
      <c r="T2549">
        <v>265</v>
      </c>
      <c r="U2549">
        <v>111</v>
      </c>
      <c r="V2549">
        <v>0</v>
      </c>
      <c r="W2549">
        <v>156</v>
      </c>
      <c r="X2549">
        <v>233</v>
      </c>
      <c r="Y2549">
        <v>0</v>
      </c>
      <c r="Z2549">
        <v>28</v>
      </c>
      <c r="AA2549">
        <v>0</v>
      </c>
      <c r="AB2549">
        <v>0.65228015034138698</v>
      </c>
      <c r="AC2549">
        <v>1.258361519103E-2</v>
      </c>
      <c r="AD2549">
        <v>0.60694725087710799</v>
      </c>
      <c r="AE2549">
        <v>0.73386609554290805</v>
      </c>
      <c r="AF2549">
        <v>399.47058823529397</v>
      </c>
      <c r="AG2549">
        <f>IFERROR(AH2549*0.1, "N/A")</f>
        <v>7.7932773109243705</v>
      </c>
      <c r="AH2549">
        <v>77.932773109243698</v>
      </c>
      <c r="AI2549">
        <v>173.93321313938199</v>
      </c>
      <c r="AJ2549">
        <v>46.321008403361297</v>
      </c>
      <c r="AK2549">
        <v>30.742857142857101</v>
      </c>
    </row>
    <row r="2550" spans="1:37" x14ac:dyDescent="0.3">
      <c r="A2550">
        <v>2549</v>
      </c>
      <c r="B2550">
        <v>40.599997999999999</v>
      </c>
      <c r="C2550">
        <v>32.765498999999998</v>
      </c>
      <c r="D2550">
        <v>14.2783</v>
      </c>
      <c r="E2550" t="s">
        <v>4438</v>
      </c>
      <c r="F2550" t="s">
        <v>4439</v>
      </c>
      <c r="G2550" t="s">
        <v>37</v>
      </c>
      <c r="H2550">
        <v>1995</v>
      </c>
      <c r="I2550">
        <v>28.700000762939499</v>
      </c>
      <c r="J2550">
        <v>15.800000190734901</v>
      </c>
      <c r="K2550">
        <v>60</v>
      </c>
      <c r="L2550">
        <v>28.569999694824201</v>
      </c>
      <c r="M2550">
        <v>41.299999237060497</v>
      </c>
      <c r="N2550">
        <v>15.199999809265099</v>
      </c>
      <c r="O2550">
        <v>26.100000381469702</v>
      </c>
      <c r="P2550">
        <v>29.200000762939499</v>
      </c>
      <c r="Q2550">
        <v>25.799999237060501</v>
      </c>
      <c r="R2550">
        <v>32.099998474121101</v>
      </c>
      <c r="S2550">
        <v>24.5</v>
      </c>
      <c r="T2550">
        <v>257</v>
      </c>
      <c r="U2550">
        <v>107</v>
      </c>
      <c r="V2550">
        <v>0</v>
      </c>
      <c r="W2550">
        <v>157</v>
      </c>
      <c r="X2550">
        <v>226</v>
      </c>
      <c r="Y2550">
        <v>0</v>
      </c>
      <c r="Z2550">
        <v>27</v>
      </c>
      <c r="AA2550">
        <v>0</v>
      </c>
      <c r="AB2550">
        <v>0.69293546837187003</v>
      </c>
      <c r="AC2550">
        <v>8.5819071999149992E-3</v>
      </c>
      <c r="AD2550">
        <v>1.2593315387213699</v>
      </c>
      <c r="AE2550">
        <v>0.77459840190531004</v>
      </c>
      <c r="AF2550">
        <v>401.36868686868701</v>
      </c>
      <c r="AG2550">
        <f>IFERROR(AH2550*0.1, "N/A")</f>
        <v>7.9809764309764306</v>
      </c>
      <c r="AH2550">
        <v>79.809764309764304</v>
      </c>
      <c r="AI2550">
        <v>217.565093705148</v>
      </c>
      <c r="AJ2550">
        <v>37.619528619528602</v>
      </c>
      <c r="AK2550">
        <v>39</v>
      </c>
    </row>
    <row r="2551" spans="1:37" x14ac:dyDescent="0.3">
      <c r="A2551">
        <v>2550</v>
      </c>
      <c r="B2551">
        <v>52.599997999999999</v>
      </c>
      <c r="C2551">
        <v>32.738300000000002</v>
      </c>
      <c r="D2551">
        <v>14.3088</v>
      </c>
      <c r="E2551" t="s">
        <v>4440</v>
      </c>
      <c r="F2551" t="s">
        <v>4441</v>
      </c>
      <c r="G2551" t="s">
        <v>37</v>
      </c>
      <c r="H2551">
        <v>1995</v>
      </c>
      <c r="I2551">
        <v>28.700000762939499</v>
      </c>
      <c r="J2551">
        <v>15.800000190734901</v>
      </c>
      <c r="K2551">
        <v>60</v>
      </c>
      <c r="L2551">
        <v>28.6342373884703</v>
      </c>
      <c r="M2551">
        <v>41.299999237060497</v>
      </c>
      <c r="N2551">
        <v>15.199999809265099</v>
      </c>
      <c r="O2551">
        <v>26.100000381469702</v>
      </c>
      <c r="P2551">
        <v>29.285594096734901</v>
      </c>
      <c r="Q2551">
        <v>25.700000762939499</v>
      </c>
      <c r="R2551">
        <v>32.099998474121101</v>
      </c>
      <c r="S2551">
        <v>24.399999618530298</v>
      </c>
      <c r="T2551">
        <v>253</v>
      </c>
      <c r="U2551">
        <v>105</v>
      </c>
      <c r="V2551">
        <v>0</v>
      </c>
      <c r="W2551">
        <v>155</v>
      </c>
      <c r="X2551">
        <v>223</v>
      </c>
      <c r="Y2551">
        <v>0</v>
      </c>
      <c r="Z2551">
        <v>25</v>
      </c>
      <c r="AA2551">
        <v>0</v>
      </c>
      <c r="AB2551">
        <v>0.63719430281289302</v>
      </c>
      <c r="AC2551">
        <v>8.2877397449869997E-3</v>
      </c>
      <c r="AD2551">
        <v>1.37772927561797</v>
      </c>
      <c r="AE2551">
        <v>0.72562251937649003</v>
      </c>
      <c r="AF2551">
        <v>400.63484087102199</v>
      </c>
      <c r="AG2551">
        <f>IFERROR(AH2551*0.1, "N/A")</f>
        <v>7.9663316582914607</v>
      </c>
      <c r="AH2551">
        <v>79.663316582914604</v>
      </c>
      <c r="AI2551">
        <v>96.312502261981294</v>
      </c>
      <c r="AJ2551">
        <v>42.998324958124002</v>
      </c>
      <c r="AK2551">
        <v>35.001675041876098</v>
      </c>
    </row>
    <row r="2552" spans="1:37" x14ac:dyDescent="0.3">
      <c r="A2552">
        <v>2551</v>
      </c>
      <c r="B2552">
        <v>53.5</v>
      </c>
      <c r="C2552">
        <v>32.805301999999998</v>
      </c>
      <c r="D2552">
        <v>14.312099999999999</v>
      </c>
      <c r="E2552" t="s">
        <v>4442</v>
      </c>
      <c r="F2552" t="s">
        <v>4443</v>
      </c>
      <c r="G2552" t="s">
        <v>37</v>
      </c>
      <c r="H2552">
        <v>1995</v>
      </c>
      <c r="I2552">
        <v>28.700000762939499</v>
      </c>
      <c r="J2552">
        <v>15.8999996185303</v>
      </c>
      <c r="K2552">
        <v>60</v>
      </c>
      <c r="L2552">
        <v>28.5</v>
      </c>
      <c r="M2552">
        <v>41.299999237060497</v>
      </c>
      <c r="N2552">
        <v>15.1000003814697</v>
      </c>
      <c r="O2552">
        <v>26.200000762939499</v>
      </c>
      <c r="P2552">
        <v>29.200000762939499</v>
      </c>
      <c r="Q2552">
        <v>25.700000762939499</v>
      </c>
      <c r="R2552">
        <v>32.099998474121101</v>
      </c>
      <c r="S2552">
        <v>24.5</v>
      </c>
      <c r="T2552">
        <v>259</v>
      </c>
      <c r="U2552">
        <v>107</v>
      </c>
      <c r="V2552">
        <v>0</v>
      </c>
      <c r="W2552">
        <v>158</v>
      </c>
      <c r="X2552">
        <v>228</v>
      </c>
      <c r="Y2552">
        <v>0</v>
      </c>
      <c r="Z2552">
        <v>27</v>
      </c>
      <c r="AA2552">
        <v>0</v>
      </c>
      <c r="AB2552">
        <v>0.26547390202480498</v>
      </c>
      <c r="AC2552">
        <v>2.4095576280032002E-2</v>
      </c>
      <c r="AD2552">
        <v>1.77965724468231</v>
      </c>
      <c r="AE2552">
        <v>0.72560882568359397</v>
      </c>
      <c r="AF2552">
        <v>399.276094276094</v>
      </c>
      <c r="AG2552">
        <f>IFERROR(AH2552*0.1, "N/A")</f>
        <v>8.0474747474747499</v>
      </c>
      <c r="AH2552">
        <v>80.474747474747502</v>
      </c>
      <c r="AI2552">
        <v>207.847224559848</v>
      </c>
      <c r="AJ2552">
        <v>46.262626262626299</v>
      </c>
      <c r="AK2552">
        <v>32.106060606060602</v>
      </c>
    </row>
    <row r="2553" spans="1:37" x14ac:dyDescent="0.3">
      <c r="A2553">
        <v>2552</v>
      </c>
      <c r="B2553">
        <v>63.799999</v>
      </c>
      <c r="C2553">
        <v>32.920299999999997</v>
      </c>
      <c r="D2553">
        <v>15.1608</v>
      </c>
      <c r="E2553" t="s">
        <v>4444</v>
      </c>
      <c r="F2553" t="s">
        <v>4445</v>
      </c>
      <c r="G2553" t="s">
        <v>37</v>
      </c>
      <c r="H2553">
        <v>1972</v>
      </c>
      <c r="I2553">
        <v>28.5</v>
      </c>
      <c r="J2553">
        <v>16</v>
      </c>
      <c r="K2553">
        <v>59</v>
      </c>
      <c r="L2553">
        <v>33.259998321533203</v>
      </c>
      <c r="M2553">
        <v>41.099998474121101</v>
      </c>
      <c r="N2553">
        <v>14.199999809265099</v>
      </c>
      <c r="O2553">
        <v>26.899999618530298</v>
      </c>
      <c r="P2553">
        <v>30</v>
      </c>
      <c r="Q2553">
        <v>24.799999237060501</v>
      </c>
      <c r="R2553">
        <v>32.099998474121101</v>
      </c>
      <c r="S2553">
        <v>23.5</v>
      </c>
      <c r="T2553">
        <v>205</v>
      </c>
      <c r="U2553">
        <v>82</v>
      </c>
      <c r="V2553">
        <v>0</v>
      </c>
      <c r="W2553">
        <v>154</v>
      </c>
      <c r="X2553">
        <v>183</v>
      </c>
      <c r="Y2553">
        <v>0</v>
      </c>
      <c r="Z2553">
        <v>86</v>
      </c>
      <c r="AA2553">
        <v>0</v>
      </c>
      <c r="AB2553">
        <v>0.26489911031563501</v>
      </c>
      <c r="AC2553">
        <v>9.4378453564136003E-2</v>
      </c>
      <c r="AD2553">
        <v>0.78916511398095301</v>
      </c>
      <c r="AE2553">
        <v>0.68503236770629905</v>
      </c>
      <c r="AF2553">
        <v>393.59698996655499</v>
      </c>
      <c r="AG2553">
        <f>IFERROR(AH2553*0.1, "N/A")</f>
        <v>8.8000000000000007</v>
      </c>
      <c r="AH2553">
        <v>88</v>
      </c>
      <c r="AI2553">
        <v>211.61256987913001</v>
      </c>
      <c r="AJ2553">
        <v>33</v>
      </c>
      <c r="AK2553">
        <v>43.294314381270901</v>
      </c>
    </row>
    <row r="2554" spans="1:37" x14ac:dyDescent="0.3">
      <c r="A2554">
        <v>2553</v>
      </c>
      <c r="B2554">
        <v>5.2</v>
      </c>
      <c r="C2554">
        <v>32.920299999999997</v>
      </c>
      <c r="D2554">
        <v>15.1608</v>
      </c>
      <c r="E2554" t="s">
        <v>4444</v>
      </c>
      <c r="F2554" t="s">
        <v>4446</v>
      </c>
      <c r="G2554" t="s">
        <v>39</v>
      </c>
      <c r="H2554">
        <v>1972</v>
      </c>
      <c r="I2554">
        <v>28.5</v>
      </c>
      <c r="J2554">
        <v>16</v>
      </c>
      <c r="K2554">
        <v>59</v>
      </c>
      <c r="L2554">
        <v>33.259998321533203</v>
      </c>
      <c r="M2554">
        <v>41.099998474121101</v>
      </c>
      <c r="N2554">
        <v>14.199999809265099</v>
      </c>
      <c r="O2554">
        <v>26.899999618530298</v>
      </c>
      <c r="P2554">
        <v>30</v>
      </c>
      <c r="Q2554">
        <v>24.799999237060501</v>
      </c>
      <c r="R2554">
        <v>32.099998474121101</v>
      </c>
      <c r="S2554">
        <v>23.5</v>
      </c>
      <c r="T2554">
        <v>205</v>
      </c>
      <c r="U2554">
        <v>82</v>
      </c>
      <c r="V2554">
        <v>0</v>
      </c>
      <c r="W2554">
        <v>154</v>
      </c>
      <c r="X2554">
        <v>183</v>
      </c>
      <c r="Y2554">
        <v>0</v>
      </c>
      <c r="Z2554">
        <v>86</v>
      </c>
      <c r="AA2554">
        <v>0</v>
      </c>
      <c r="AB2554">
        <v>0.26489911031563501</v>
      </c>
      <c r="AC2554">
        <v>9.4378453564136003E-2</v>
      </c>
      <c r="AD2554">
        <v>0.78916511398095301</v>
      </c>
      <c r="AE2554">
        <v>0.68503236770629905</v>
      </c>
      <c r="AF2554">
        <v>393.59698996655499</v>
      </c>
      <c r="AG2554">
        <f>IFERROR(AH2554*0.1, "N/A")</f>
        <v>8.8000000000000007</v>
      </c>
      <c r="AH2554">
        <v>88</v>
      </c>
      <c r="AI2554">
        <v>211.61256987913001</v>
      </c>
      <c r="AJ2554">
        <v>33</v>
      </c>
      <c r="AK2554">
        <v>43.294314381270901</v>
      </c>
    </row>
    <row r="2555" spans="1:37" x14ac:dyDescent="0.3">
      <c r="A2555">
        <v>2554</v>
      </c>
      <c r="B2555">
        <v>70</v>
      </c>
      <c r="C2555">
        <v>32.892502</v>
      </c>
      <c r="D2555">
        <v>14.1069</v>
      </c>
      <c r="E2555" t="s">
        <v>4447</v>
      </c>
      <c r="F2555" t="s">
        <v>4448</v>
      </c>
      <c r="G2555" t="s">
        <v>37</v>
      </c>
      <c r="H2555">
        <v>2007</v>
      </c>
      <c r="I2555">
        <v>28.700000762939499</v>
      </c>
      <c r="J2555">
        <v>15.8999996185303</v>
      </c>
      <c r="K2555">
        <v>60.031932773109197</v>
      </c>
      <c r="L2555">
        <v>27.632974201490899</v>
      </c>
      <c r="M2555">
        <v>41.299999237060497</v>
      </c>
      <c r="N2555">
        <v>15.203193098757399</v>
      </c>
      <c r="O2555">
        <v>26.0968070919774</v>
      </c>
      <c r="P2555">
        <v>29</v>
      </c>
      <c r="Q2555">
        <v>25.899999618530298</v>
      </c>
      <c r="R2555">
        <v>32.099998474121101</v>
      </c>
      <c r="S2555">
        <v>24.603193670962</v>
      </c>
      <c r="T2555">
        <v>277.93613445378202</v>
      </c>
      <c r="U2555">
        <v>116.96806722689099</v>
      </c>
      <c r="V2555">
        <v>0</v>
      </c>
      <c r="W2555">
        <v>156.93613445378099</v>
      </c>
      <c r="X2555">
        <v>243.93613445378199</v>
      </c>
      <c r="Y2555">
        <v>0</v>
      </c>
      <c r="Z2555">
        <v>30</v>
      </c>
      <c r="AA2555">
        <v>0</v>
      </c>
      <c r="AB2555">
        <v>0.629587792148109</v>
      </c>
      <c r="AC2555">
        <v>1.1696694705228E-2</v>
      </c>
      <c r="AD2555">
        <v>1.2592395760432</v>
      </c>
      <c r="AE2555">
        <v>0.73979235837439505</v>
      </c>
      <c r="AF2555">
        <v>402.00504201680701</v>
      </c>
      <c r="AG2555">
        <f>IFERROR(AH2555*0.1, "N/A")</f>
        <v>7.9968067226890698</v>
      </c>
      <c r="AH2555">
        <v>79.968067226890696</v>
      </c>
      <c r="AI2555">
        <v>106.871663348414</v>
      </c>
      <c r="AJ2555">
        <v>39.699159663865601</v>
      </c>
      <c r="AK2555">
        <v>38.013445378151303</v>
      </c>
    </row>
    <row r="2556" spans="1:37" x14ac:dyDescent="0.3">
      <c r="A2556">
        <v>2555</v>
      </c>
      <c r="B2556">
        <v>46.200001</v>
      </c>
      <c r="C2556">
        <v>32.974499999999999</v>
      </c>
      <c r="D2556">
        <v>14.879200000000001</v>
      </c>
      <c r="E2556" t="s">
        <v>4449</v>
      </c>
      <c r="F2556" t="s">
        <v>4450</v>
      </c>
      <c r="G2556" t="s">
        <v>37</v>
      </c>
      <c r="H2556">
        <v>1989</v>
      </c>
      <c r="I2556">
        <v>28.399999618530298</v>
      </c>
      <c r="J2556">
        <v>16.399999618530298</v>
      </c>
      <c r="K2556">
        <v>60</v>
      </c>
      <c r="L2556">
        <v>31.639999389648398</v>
      </c>
      <c r="M2556">
        <v>41.200000762939503</v>
      </c>
      <c r="N2556">
        <v>14.1000003814697</v>
      </c>
      <c r="O2556">
        <v>27.100000381469702</v>
      </c>
      <c r="P2556">
        <v>29.5</v>
      </c>
      <c r="Q2556">
        <v>25</v>
      </c>
      <c r="R2556">
        <v>32</v>
      </c>
      <c r="S2556">
        <v>23.799999237060501</v>
      </c>
      <c r="T2556">
        <v>222</v>
      </c>
      <c r="U2556">
        <v>84</v>
      </c>
      <c r="V2556">
        <v>0</v>
      </c>
      <c r="W2556">
        <v>154</v>
      </c>
      <c r="X2556">
        <v>197</v>
      </c>
      <c r="Y2556">
        <v>0</v>
      </c>
      <c r="Z2556">
        <v>19</v>
      </c>
      <c r="AA2556">
        <v>0</v>
      </c>
      <c r="AB2556">
        <v>0.205537064390965</v>
      </c>
      <c r="AC2556">
        <v>1.8665852597673002E-2</v>
      </c>
      <c r="AD2556">
        <v>1.34233677846503</v>
      </c>
      <c r="AE2556">
        <v>0.77514731884002697</v>
      </c>
      <c r="AF2556">
        <v>397.51758793969901</v>
      </c>
      <c r="AG2556">
        <f>IFERROR(AH2556*0.1, "N/A")</f>
        <v>8.3000000000000007</v>
      </c>
      <c r="AH2556">
        <v>83</v>
      </c>
      <c r="AI2556">
        <v>161.68590779520201</v>
      </c>
      <c r="AJ2556">
        <v>48</v>
      </c>
      <c r="AK2556">
        <v>30</v>
      </c>
    </row>
    <row r="2557" spans="1:37" x14ac:dyDescent="0.3">
      <c r="A2557">
        <v>2556</v>
      </c>
      <c r="B2557">
        <v>1.5</v>
      </c>
      <c r="C2557">
        <v>32.974499999999999</v>
      </c>
      <c r="D2557">
        <v>14.879200000000001</v>
      </c>
      <c r="E2557" t="s">
        <v>4449</v>
      </c>
      <c r="F2557" t="s">
        <v>4451</v>
      </c>
      <c r="G2557" t="s">
        <v>39</v>
      </c>
      <c r="H2557">
        <v>1989</v>
      </c>
      <c r="I2557">
        <v>28.399999618530298</v>
      </c>
      <c r="J2557">
        <v>16.399999618530298</v>
      </c>
      <c r="K2557">
        <v>60</v>
      </c>
      <c r="L2557">
        <v>31.639999389648398</v>
      </c>
      <c r="M2557">
        <v>41.200000762939503</v>
      </c>
      <c r="N2557">
        <v>14.1000003814697</v>
      </c>
      <c r="O2557">
        <v>27.100000381469702</v>
      </c>
      <c r="P2557">
        <v>29.5</v>
      </c>
      <c r="Q2557">
        <v>25</v>
      </c>
      <c r="R2557">
        <v>32</v>
      </c>
      <c r="S2557">
        <v>23.799999237060501</v>
      </c>
      <c r="T2557">
        <v>222</v>
      </c>
      <c r="U2557">
        <v>84</v>
      </c>
      <c r="V2557">
        <v>0</v>
      </c>
      <c r="W2557">
        <v>154</v>
      </c>
      <c r="X2557">
        <v>197</v>
      </c>
      <c r="Y2557">
        <v>0</v>
      </c>
      <c r="Z2557">
        <v>19</v>
      </c>
      <c r="AA2557">
        <v>0</v>
      </c>
      <c r="AB2557">
        <v>0.205537064390965</v>
      </c>
      <c r="AC2557">
        <v>1.8665852597673002E-2</v>
      </c>
      <c r="AD2557">
        <v>1.34233677846503</v>
      </c>
      <c r="AE2557">
        <v>0.77514731884002697</v>
      </c>
      <c r="AF2557">
        <v>397.51758793969901</v>
      </c>
      <c r="AG2557">
        <f>IFERROR(AH2557*0.1, "N/A")</f>
        <v>8.3000000000000007</v>
      </c>
      <c r="AH2557">
        <v>83</v>
      </c>
      <c r="AI2557">
        <v>161.68590779520201</v>
      </c>
      <c r="AJ2557">
        <v>48</v>
      </c>
      <c r="AK2557">
        <v>30</v>
      </c>
    </row>
    <row r="2558" spans="1:37" x14ac:dyDescent="0.3">
      <c r="A2558">
        <v>2557</v>
      </c>
      <c r="B2558">
        <v>8.1999999999999993</v>
      </c>
      <c r="C2558">
        <v>31.6</v>
      </c>
      <c r="D2558">
        <v>4.8499999999999996</v>
      </c>
      <c r="E2558" t="s">
        <v>4452</v>
      </c>
      <c r="F2558" t="s">
        <v>4453</v>
      </c>
      <c r="G2558" t="s">
        <v>37</v>
      </c>
      <c r="H2558">
        <v>1994</v>
      </c>
      <c r="I2558">
        <v>27.473555065495699</v>
      </c>
      <c r="J2558">
        <v>13.273555256230599</v>
      </c>
      <c r="K2558">
        <v>72.735551663747799</v>
      </c>
      <c r="L2558">
        <v>13.1610331293163</v>
      </c>
      <c r="M2558">
        <v>37.396322814888002</v>
      </c>
      <c r="N2558">
        <v>19.273554806951498</v>
      </c>
      <c r="O2558">
        <v>18.122767543625699</v>
      </c>
      <c r="P2558">
        <v>25.8472848815384</v>
      </c>
      <c r="Q2558">
        <v>28.296321969107399</v>
      </c>
      <c r="R2558">
        <v>29.273554806951498</v>
      </c>
      <c r="S2558">
        <v>25.8472848815384</v>
      </c>
      <c r="T2558">
        <v>935.271453590193</v>
      </c>
      <c r="U2558">
        <v>146.054290718039</v>
      </c>
      <c r="V2558">
        <v>4</v>
      </c>
      <c r="W2558">
        <v>67</v>
      </c>
      <c r="X2558">
        <v>393.63572679509599</v>
      </c>
      <c r="Y2558">
        <v>18</v>
      </c>
      <c r="Z2558">
        <v>137.03677758318699</v>
      </c>
      <c r="AA2558">
        <v>392.72504378283702</v>
      </c>
      <c r="AB2558">
        <v>20.854822001816299</v>
      </c>
      <c r="AC2558">
        <v>8.5178607301670001E-3</v>
      </c>
      <c r="AD2558">
        <v>2.3155662128261398</v>
      </c>
      <c r="AE2558">
        <v>0.82127457857132002</v>
      </c>
      <c r="AF2558">
        <v>496.21541155866902</v>
      </c>
      <c r="AG2558">
        <f>IFERROR(AH2558*0.1, "N/A")</f>
        <v>6.7</v>
      </c>
      <c r="AH2558">
        <v>67</v>
      </c>
      <c r="AI2558">
        <v>174.73264097624599</v>
      </c>
      <c r="AJ2558">
        <v>28.4728546409807</v>
      </c>
      <c r="AK2558">
        <v>50.054290718038501</v>
      </c>
    </row>
    <row r="2559" spans="1:37" x14ac:dyDescent="0.3">
      <c r="A2559">
        <v>2558</v>
      </c>
      <c r="B2559">
        <v>26.9</v>
      </c>
      <c r="C2559">
        <v>32.985500000000002</v>
      </c>
      <c r="D2559">
        <v>12.940300000000001</v>
      </c>
      <c r="E2559" t="s">
        <v>4454</v>
      </c>
      <c r="F2559" t="s">
        <v>4455</v>
      </c>
      <c r="G2559" t="s">
        <v>37</v>
      </c>
      <c r="H2559">
        <v>1996</v>
      </c>
      <c r="I2559">
        <v>28.200000762939499</v>
      </c>
      <c r="J2559">
        <v>15.300000190734901</v>
      </c>
      <c r="K2559">
        <v>62</v>
      </c>
      <c r="L2559">
        <v>23.0200004577637</v>
      </c>
      <c r="M2559">
        <v>40.5</v>
      </c>
      <c r="N2559">
        <v>15.8999996185303</v>
      </c>
      <c r="O2559">
        <v>24.600000381469702</v>
      </c>
      <c r="P2559">
        <v>27.5</v>
      </c>
      <c r="Q2559">
        <v>26.299999237060501</v>
      </c>
      <c r="R2559">
        <v>31.399999618530298</v>
      </c>
      <c r="S2559">
        <v>25.200000762939499</v>
      </c>
      <c r="T2559">
        <v>372</v>
      </c>
      <c r="U2559">
        <v>129</v>
      </c>
      <c r="V2559">
        <v>0</v>
      </c>
      <c r="W2559">
        <v>133</v>
      </c>
      <c r="X2559">
        <v>292</v>
      </c>
      <c r="Y2559">
        <v>0</v>
      </c>
      <c r="Z2559">
        <v>64</v>
      </c>
      <c r="AA2559">
        <v>0</v>
      </c>
      <c r="AB2559">
        <v>0.604915754904366</v>
      </c>
      <c r="AC2559">
        <v>0.60698113129086795</v>
      </c>
      <c r="AD2559">
        <v>1.4456534656887301</v>
      </c>
      <c r="AE2559">
        <v>0.62197583913803101</v>
      </c>
      <c r="AF2559">
        <v>400.72156196944002</v>
      </c>
      <c r="AG2559">
        <f>IFERROR(AH2559*0.1, "N/A")</f>
        <v>7.3003395585738504</v>
      </c>
      <c r="AH2559">
        <v>73.003395585738502</v>
      </c>
      <c r="AI2559">
        <v>186.53406774653601</v>
      </c>
      <c r="AJ2559">
        <v>50.713073005093399</v>
      </c>
      <c r="AK2559">
        <v>26.013582342954201</v>
      </c>
    </row>
    <row r="2560" spans="1:37" x14ac:dyDescent="0.3">
      <c r="A2560">
        <v>2559</v>
      </c>
      <c r="B2560">
        <v>25.1</v>
      </c>
      <c r="C2560">
        <v>32.985500000000002</v>
      </c>
      <c r="D2560">
        <v>12.940300000000001</v>
      </c>
      <c r="E2560" t="s">
        <v>4454</v>
      </c>
      <c r="F2560" t="s">
        <v>4456</v>
      </c>
      <c r="G2560" t="s">
        <v>39</v>
      </c>
      <c r="H2560">
        <v>1996</v>
      </c>
      <c r="I2560">
        <v>28.200000762939499</v>
      </c>
      <c r="J2560">
        <v>15.300000190734901</v>
      </c>
      <c r="K2560">
        <v>62</v>
      </c>
      <c r="L2560">
        <v>23.0200004577637</v>
      </c>
      <c r="M2560">
        <v>40.5</v>
      </c>
      <c r="N2560">
        <v>15.8999996185303</v>
      </c>
      <c r="O2560">
        <v>24.600000381469702</v>
      </c>
      <c r="P2560">
        <v>27.5</v>
      </c>
      <c r="Q2560">
        <v>26.299999237060501</v>
      </c>
      <c r="R2560">
        <v>31.399999618530298</v>
      </c>
      <c r="S2560">
        <v>25.200000762939499</v>
      </c>
      <c r="T2560">
        <v>372</v>
      </c>
      <c r="U2560">
        <v>129</v>
      </c>
      <c r="V2560">
        <v>0</v>
      </c>
      <c r="W2560">
        <v>133</v>
      </c>
      <c r="X2560">
        <v>292</v>
      </c>
      <c r="Y2560">
        <v>0</v>
      </c>
      <c r="Z2560">
        <v>64</v>
      </c>
      <c r="AA2560">
        <v>0</v>
      </c>
      <c r="AB2560">
        <v>0.604915754904366</v>
      </c>
      <c r="AC2560">
        <v>0.60698113129086795</v>
      </c>
      <c r="AD2560">
        <v>1.4456534656887301</v>
      </c>
      <c r="AE2560">
        <v>0.62197583913803101</v>
      </c>
      <c r="AF2560">
        <v>400.72156196944002</v>
      </c>
      <c r="AG2560">
        <f>IFERROR(AH2560*0.1, "N/A")</f>
        <v>7.3003395585738504</v>
      </c>
      <c r="AH2560">
        <v>73.003395585738502</v>
      </c>
      <c r="AI2560">
        <v>186.53406774653601</v>
      </c>
      <c r="AJ2560">
        <v>50.713073005093399</v>
      </c>
      <c r="AK2560">
        <v>26.013582342954201</v>
      </c>
    </row>
    <row r="2561" spans="1:37" x14ac:dyDescent="0.3">
      <c r="A2561">
        <v>2560</v>
      </c>
      <c r="B2561">
        <v>5.5</v>
      </c>
      <c r="C2561">
        <v>32.666697999999997</v>
      </c>
      <c r="D2561">
        <v>13.166700000000001</v>
      </c>
      <c r="E2561" t="s">
        <v>4457</v>
      </c>
      <c r="F2561" t="s">
        <v>4458</v>
      </c>
      <c r="G2561" t="s">
        <v>37</v>
      </c>
      <c r="H2561">
        <v>1996</v>
      </c>
      <c r="I2561">
        <v>28.559259485315401</v>
      </c>
      <c r="J2561">
        <v>14.800000190734901</v>
      </c>
      <c r="K2561">
        <v>61</v>
      </c>
      <c r="L2561">
        <v>23.938450970633699</v>
      </c>
      <c r="M2561">
        <v>40.4932660960188</v>
      </c>
      <c r="N2561">
        <v>16.446632793054</v>
      </c>
      <c r="O2561">
        <v>24.046633174523802</v>
      </c>
      <c r="P2561">
        <v>28.159259866785099</v>
      </c>
      <c r="Q2561">
        <v>26.346632411584299</v>
      </c>
      <c r="R2561">
        <v>31.739899015587199</v>
      </c>
      <c r="S2561">
        <v>25.2466330480094</v>
      </c>
      <c r="T2561">
        <v>345.747474747475</v>
      </c>
      <c r="U2561">
        <v>124.53367003367001</v>
      </c>
      <c r="V2561">
        <v>0</v>
      </c>
      <c r="W2561">
        <v>141.34006734006701</v>
      </c>
      <c r="X2561">
        <v>278.87373737373701</v>
      </c>
      <c r="Y2561">
        <v>0</v>
      </c>
      <c r="Z2561">
        <v>54.873737373737399</v>
      </c>
      <c r="AA2561">
        <v>0</v>
      </c>
      <c r="AB2561">
        <v>1.32002201786748</v>
      </c>
      <c r="AC2561">
        <v>2.8347170215588999E-2</v>
      </c>
      <c r="AD2561">
        <v>1.14725322956188</v>
      </c>
      <c r="AE2561">
        <v>0.75405372864870901</v>
      </c>
      <c r="AF2561">
        <v>387.03703703703701</v>
      </c>
      <c r="AG2561">
        <f>IFERROR(AH2561*0.1, "N/A")</f>
        <v>7.4203703703703701</v>
      </c>
      <c r="AH2561">
        <v>74.203703703703695</v>
      </c>
      <c r="AI2561">
        <v>102.63092681936099</v>
      </c>
      <c r="AJ2561">
        <v>32.622895622895598</v>
      </c>
      <c r="AK2561">
        <v>45.754208754208697</v>
      </c>
    </row>
    <row r="2562" spans="1:37" x14ac:dyDescent="0.3">
      <c r="A2562">
        <v>2561</v>
      </c>
      <c r="B2562">
        <v>31.700001</v>
      </c>
      <c r="C2562">
        <v>32.666697999999997</v>
      </c>
      <c r="D2562">
        <v>13.166700000000001</v>
      </c>
      <c r="E2562" t="s">
        <v>4457</v>
      </c>
      <c r="F2562" t="s">
        <v>4459</v>
      </c>
      <c r="G2562" t="s">
        <v>39</v>
      </c>
      <c r="H2562">
        <v>1996</v>
      </c>
      <c r="I2562">
        <v>28.559259485315401</v>
      </c>
      <c r="J2562">
        <v>14.800000190734901</v>
      </c>
      <c r="K2562">
        <v>61</v>
      </c>
      <c r="L2562">
        <v>23.938450970633699</v>
      </c>
      <c r="M2562">
        <v>40.4932660960188</v>
      </c>
      <c r="N2562">
        <v>16.446632793054</v>
      </c>
      <c r="O2562">
        <v>24.046633174523802</v>
      </c>
      <c r="P2562">
        <v>28.159259866785099</v>
      </c>
      <c r="Q2562">
        <v>26.346632411584299</v>
      </c>
      <c r="R2562">
        <v>31.739899015587199</v>
      </c>
      <c r="S2562">
        <v>25.2466330480094</v>
      </c>
      <c r="T2562">
        <v>345.747474747475</v>
      </c>
      <c r="U2562">
        <v>124.53367003367001</v>
      </c>
      <c r="V2562">
        <v>0</v>
      </c>
      <c r="W2562">
        <v>141.34006734006701</v>
      </c>
      <c r="X2562">
        <v>278.87373737373701</v>
      </c>
      <c r="Y2562">
        <v>0</v>
      </c>
      <c r="Z2562">
        <v>54.873737373737399</v>
      </c>
      <c r="AA2562">
        <v>0</v>
      </c>
      <c r="AB2562">
        <v>1.32002201786748</v>
      </c>
      <c r="AC2562">
        <v>2.8347170215588999E-2</v>
      </c>
      <c r="AD2562">
        <v>1.14725322956188</v>
      </c>
      <c r="AE2562">
        <v>0.75405372864870901</v>
      </c>
      <c r="AF2562">
        <v>387.03703703703701</v>
      </c>
      <c r="AG2562">
        <f>IFERROR(AH2562*0.1, "N/A")</f>
        <v>7.4203703703703701</v>
      </c>
      <c r="AH2562">
        <v>74.203703703703695</v>
      </c>
      <c r="AI2562">
        <v>102.63092681936099</v>
      </c>
      <c r="AJ2562">
        <v>32.622895622895598</v>
      </c>
      <c r="AK2562">
        <v>45.754208754208697</v>
      </c>
    </row>
    <row r="2563" spans="1:37" x14ac:dyDescent="0.3">
      <c r="A2563">
        <v>2562</v>
      </c>
      <c r="B2563">
        <v>5.9</v>
      </c>
      <c r="C2563">
        <v>32.316398999999997</v>
      </c>
      <c r="D2563">
        <v>14.000500000000001</v>
      </c>
      <c r="E2563" t="s">
        <v>4460</v>
      </c>
      <c r="F2563" t="s">
        <v>4461</v>
      </c>
      <c r="G2563" t="s">
        <v>37</v>
      </c>
      <c r="H2563">
        <v>1996</v>
      </c>
      <c r="I2563">
        <v>28.899999618530298</v>
      </c>
      <c r="J2563">
        <v>14.7912163734436</v>
      </c>
      <c r="K2563">
        <v>59</v>
      </c>
      <c r="L2563">
        <v>27.982972918329999</v>
      </c>
      <c r="M2563">
        <v>41.099998474121101</v>
      </c>
      <c r="N2563">
        <v>16.236486692686299</v>
      </c>
      <c r="O2563">
        <v>24.863512992858901</v>
      </c>
      <c r="P2563">
        <v>29.472297191619901</v>
      </c>
      <c r="Q2563">
        <v>26</v>
      </c>
      <c r="R2563">
        <v>32.099998474121101</v>
      </c>
      <c r="S2563">
        <v>24.700000762939499</v>
      </c>
      <c r="T2563">
        <v>249</v>
      </c>
      <c r="U2563">
        <v>106</v>
      </c>
      <c r="V2563">
        <v>0</v>
      </c>
      <c r="W2563">
        <v>159</v>
      </c>
      <c r="X2563">
        <v>218</v>
      </c>
      <c r="Y2563">
        <v>0</v>
      </c>
      <c r="Z2563">
        <v>26</v>
      </c>
      <c r="AA2563">
        <v>0</v>
      </c>
      <c r="AB2563">
        <v>0.52449056264516503</v>
      </c>
      <c r="AC2563">
        <v>4.9484654365900001E-2</v>
      </c>
      <c r="AD2563">
        <v>0.61601126697417896</v>
      </c>
      <c r="AE2563">
        <v>0.66741830311917005</v>
      </c>
      <c r="AF2563">
        <v>384.81081081081101</v>
      </c>
      <c r="AG2563">
        <f>IFERROR(AH2563*0.1, "N/A")</f>
        <v>8.480912162162161</v>
      </c>
      <c r="AH2563">
        <v>84.8091216216216</v>
      </c>
      <c r="AI2563">
        <v>201.30593191610799</v>
      </c>
      <c r="AJ2563">
        <v>28.383445945945901</v>
      </c>
      <c r="AK2563">
        <v>53.2516891891892</v>
      </c>
    </row>
    <row r="2564" spans="1:37" x14ac:dyDescent="0.3">
      <c r="A2564">
        <v>2563</v>
      </c>
      <c r="B2564">
        <v>34.900002000000001</v>
      </c>
      <c r="C2564">
        <v>32.316398999999997</v>
      </c>
      <c r="D2564">
        <v>14.000500000000001</v>
      </c>
      <c r="E2564" t="s">
        <v>4460</v>
      </c>
      <c r="F2564" t="s">
        <v>4462</v>
      </c>
      <c r="G2564" t="s">
        <v>39</v>
      </c>
      <c r="H2564">
        <v>1996</v>
      </c>
      <c r="I2564">
        <v>28.899999618530298</v>
      </c>
      <c r="J2564">
        <v>14.7912163734436</v>
      </c>
      <c r="K2564">
        <v>59</v>
      </c>
      <c r="L2564">
        <v>27.982972918329999</v>
      </c>
      <c r="M2564">
        <v>41.099998474121101</v>
      </c>
      <c r="N2564">
        <v>16.236486692686299</v>
      </c>
      <c r="O2564">
        <v>24.863512992858901</v>
      </c>
      <c r="P2564">
        <v>29.472297191619901</v>
      </c>
      <c r="Q2564">
        <v>26</v>
      </c>
      <c r="R2564">
        <v>32.099998474121101</v>
      </c>
      <c r="S2564">
        <v>24.700000762939499</v>
      </c>
      <c r="T2564">
        <v>249</v>
      </c>
      <c r="U2564">
        <v>106</v>
      </c>
      <c r="V2564">
        <v>0</v>
      </c>
      <c r="W2564">
        <v>159</v>
      </c>
      <c r="X2564">
        <v>218</v>
      </c>
      <c r="Y2564">
        <v>0</v>
      </c>
      <c r="Z2564">
        <v>26</v>
      </c>
      <c r="AA2564">
        <v>0</v>
      </c>
      <c r="AB2564">
        <v>0.52449056264516503</v>
      </c>
      <c r="AC2564">
        <v>4.9484654365900001E-2</v>
      </c>
      <c r="AD2564">
        <v>0.61601126697417896</v>
      </c>
      <c r="AE2564">
        <v>0.66741830311917005</v>
      </c>
      <c r="AF2564">
        <v>384.81081081081101</v>
      </c>
      <c r="AG2564">
        <f>IFERROR(AH2564*0.1, "N/A")</f>
        <v>8.480912162162161</v>
      </c>
      <c r="AH2564">
        <v>84.8091216216216</v>
      </c>
      <c r="AI2564">
        <v>201.30593191610799</v>
      </c>
      <c r="AJ2564">
        <v>28.383445945945901</v>
      </c>
      <c r="AK2564">
        <v>53.2516891891892</v>
      </c>
    </row>
    <row r="2565" spans="1:37" x14ac:dyDescent="0.3">
      <c r="A2565">
        <v>2564</v>
      </c>
      <c r="B2565">
        <v>23.799999</v>
      </c>
      <c r="C2565">
        <v>32.447701000000002</v>
      </c>
      <c r="D2565">
        <v>14.3123</v>
      </c>
      <c r="E2565" t="s">
        <v>4463</v>
      </c>
      <c r="F2565" t="s">
        <v>4464</v>
      </c>
      <c r="G2565" t="s">
        <v>37</v>
      </c>
      <c r="H2565">
        <v>1996</v>
      </c>
      <c r="I2565">
        <v>28.799999237060501</v>
      </c>
      <c r="J2565">
        <v>15.300000190734901</v>
      </c>
      <c r="K2565">
        <v>60</v>
      </c>
      <c r="L2565">
        <v>28.370000839233398</v>
      </c>
      <c r="M2565">
        <v>41.099998474121101</v>
      </c>
      <c r="N2565">
        <v>15.699999809265099</v>
      </c>
      <c r="O2565">
        <v>25.399999618530298</v>
      </c>
      <c r="P2565">
        <v>29.5</v>
      </c>
      <c r="Q2565">
        <v>25.799999237060501</v>
      </c>
      <c r="R2565">
        <v>32.099998474121101</v>
      </c>
      <c r="S2565">
        <v>24.600000381469702</v>
      </c>
      <c r="T2565">
        <v>231</v>
      </c>
      <c r="U2565">
        <v>96</v>
      </c>
      <c r="V2565">
        <v>0</v>
      </c>
      <c r="W2565">
        <v>155</v>
      </c>
      <c r="X2565">
        <v>203</v>
      </c>
      <c r="Y2565">
        <v>0</v>
      </c>
      <c r="Z2565">
        <v>23</v>
      </c>
      <c r="AA2565">
        <v>0</v>
      </c>
      <c r="AB2565">
        <v>0.179674113297663</v>
      </c>
      <c r="AC2565">
        <v>0.28719497677877898</v>
      </c>
      <c r="AD2565">
        <v>0.91853126778322103</v>
      </c>
      <c r="AE2565">
        <v>0.70765841007232699</v>
      </c>
      <c r="AF2565">
        <v>390.42521008403401</v>
      </c>
      <c r="AG2565">
        <f>IFERROR(AH2565*0.1, "N/A")</f>
        <v>8.4121008403361301</v>
      </c>
      <c r="AH2565">
        <v>84.121008403361301</v>
      </c>
      <c r="AI2565">
        <v>202.449746986197</v>
      </c>
      <c r="AJ2565">
        <v>37.826890756302497</v>
      </c>
      <c r="AK2565">
        <v>37.868907563025203</v>
      </c>
    </row>
    <row r="2566" spans="1:37" x14ac:dyDescent="0.3">
      <c r="A2566">
        <v>2565</v>
      </c>
      <c r="B2566">
        <v>0.1</v>
      </c>
      <c r="C2566">
        <v>32.447701000000002</v>
      </c>
      <c r="D2566">
        <v>14.3123</v>
      </c>
      <c r="E2566" t="s">
        <v>4463</v>
      </c>
      <c r="F2566" t="s">
        <v>4465</v>
      </c>
      <c r="G2566" t="s">
        <v>39</v>
      </c>
      <c r="H2566">
        <v>1996</v>
      </c>
      <c r="I2566">
        <v>28.799999237060501</v>
      </c>
      <c r="J2566">
        <v>15.300000190734901</v>
      </c>
      <c r="K2566">
        <v>60</v>
      </c>
      <c r="L2566">
        <v>28.370000839233398</v>
      </c>
      <c r="M2566">
        <v>41.099998474121101</v>
      </c>
      <c r="N2566">
        <v>15.699999809265099</v>
      </c>
      <c r="O2566">
        <v>25.399999618530298</v>
      </c>
      <c r="P2566">
        <v>29.5</v>
      </c>
      <c r="Q2566">
        <v>25.799999237060501</v>
      </c>
      <c r="R2566">
        <v>32.099998474121101</v>
      </c>
      <c r="S2566">
        <v>24.600000381469702</v>
      </c>
      <c r="T2566">
        <v>231</v>
      </c>
      <c r="U2566">
        <v>96</v>
      </c>
      <c r="V2566">
        <v>0</v>
      </c>
      <c r="W2566">
        <v>155</v>
      </c>
      <c r="X2566">
        <v>203</v>
      </c>
      <c r="Y2566">
        <v>0</v>
      </c>
      <c r="Z2566">
        <v>23</v>
      </c>
      <c r="AA2566">
        <v>0</v>
      </c>
      <c r="AB2566">
        <v>0.179674113297663</v>
      </c>
      <c r="AC2566">
        <v>0.28719497677877898</v>
      </c>
      <c r="AD2566">
        <v>0.91853126778322103</v>
      </c>
      <c r="AE2566">
        <v>0.70765841007232699</v>
      </c>
      <c r="AF2566">
        <v>390.42521008403401</v>
      </c>
      <c r="AG2566">
        <f>IFERROR(AH2566*0.1, "N/A")</f>
        <v>8.4121008403361301</v>
      </c>
      <c r="AH2566">
        <v>84.121008403361301</v>
      </c>
      <c r="AI2566">
        <v>202.449746986197</v>
      </c>
      <c r="AJ2566">
        <v>37.826890756302497</v>
      </c>
      <c r="AK2566">
        <v>37.868907563025203</v>
      </c>
    </row>
    <row r="2567" spans="1:37" x14ac:dyDescent="0.3">
      <c r="A2567">
        <v>2566</v>
      </c>
      <c r="B2567">
        <v>48.400002000000001</v>
      </c>
      <c r="C2567">
        <v>32.616298999999998</v>
      </c>
      <c r="D2567">
        <v>12.6427</v>
      </c>
      <c r="E2567" t="s">
        <v>4466</v>
      </c>
      <c r="F2567" t="s">
        <v>4467</v>
      </c>
      <c r="G2567" t="s">
        <v>39</v>
      </c>
      <c r="H2567">
        <v>1996</v>
      </c>
      <c r="I2567">
        <v>28</v>
      </c>
      <c r="J2567">
        <v>14.699999809265099</v>
      </c>
      <c r="K2567">
        <v>61</v>
      </c>
      <c r="L2567">
        <v>22.366949986603299</v>
      </c>
      <c r="M2567">
        <v>39.900001525878899</v>
      </c>
      <c r="N2567">
        <v>16</v>
      </c>
      <c r="O2567">
        <v>23.899999618530298</v>
      </c>
      <c r="P2567">
        <v>27.401694540250102</v>
      </c>
      <c r="Q2567">
        <v>26.100000381469702</v>
      </c>
      <c r="R2567">
        <v>31</v>
      </c>
      <c r="S2567">
        <v>25</v>
      </c>
      <c r="T2567">
        <v>358.97288135593197</v>
      </c>
      <c r="U2567">
        <v>124</v>
      </c>
      <c r="V2567">
        <v>0</v>
      </c>
      <c r="W2567">
        <v>135.93220338983099</v>
      </c>
      <c r="X2567">
        <v>281.91186440678001</v>
      </c>
      <c r="Y2567">
        <v>0</v>
      </c>
      <c r="Z2567">
        <v>59.061016949152503</v>
      </c>
      <c r="AA2567">
        <v>0</v>
      </c>
      <c r="AB2567">
        <v>0.44950189105534899</v>
      </c>
      <c r="AC2567">
        <v>1.1654183088597E-2</v>
      </c>
      <c r="AD2567">
        <v>1.29645613027831</v>
      </c>
      <c r="AE2567">
        <v>0.247913122177124</v>
      </c>
      <c r="AF2567">
        <v>394.21694915254199</v>
      </c>
      <c r="AG2567">
        <f>IFERROR(AH2567*0.1, "N/A")</f>
        <v>7.4755932203389808</v>
      </c>
      <c r="AH2567">
        <v>74.755932203389804</v>
      </c>
      <c r="AI2567">
        <v>156.30593030897199</v>
      </c>
      <c r="AJ2567">
        <v>32.357627118644103</v>
      </c>
      <c r="AK2567">
        <v>47.242372881355898</v>
      </c>
    </row>
    <row r="2568" spans="1:37" x14ac:dyDescent="0.3">
      <c r="A2568">
        <v>2567</v>
      </c>
      <c r="B2568">
        <v>48.200001</v>
      </c>
      <c r="C2568">
        <v>32.8992</v>
      </c>
      <c r="D2568">
        <v>13.073700000000001</v>
      </c>
      <c r="E2568" t="s">
        <v>4468</v>
      </c>
      <c r="F2568" t="s">
        <v>4469</v>
      </c>
      <c r="G2568" t="s">
        <v>37</v>
      </c>
      <c r="H2568">
        <v>1996</v>
      </c>
      <c r="I2568">
        <v>28.399999618530298</v>
      </c>
      <c r="J2568">
        <v>15.199999809265099</v>
      </c>
      <c r="K2568">
        <v>62</v>
      </c>
      <c r="L2568">
        <v>22.922610234406001</v>
      </c>
      <c r="M2568">
        <v>40.5</v>
      </c>
      <c r="N2568">
        <v>16.0981359675779</v>
      </c>
      <c r="O2568">
        <v>24.4018640324221</v>
      </c>
      <c r="P2568">
        <v>27.799999237060501</v>
      </c>
      <c r="Q2568">
        <v>26.399999618530298</v>
      </c>
      <c r="R2568">
        <v>31.5</v>
      </c>
      <c r="S2568">
        <v>25.299999237060501</v>
      </c>
      <c r="T2568">
        <v>359.01864406779703</v>
      </c>
      <c r="U2568">
        <v>128</v>
      </c>
      <c r="V2568">
        <v>0</v>
      </c>
      <c r="W2568">
        <v>139.925423728814</v>
      </c>
      <c r="X2568">
        <v>286.01864406779703</v>
      </c>
      <c r="Y2568">
        <v>0</v>
      </c>
      <c r="Z2568">
        <v>59</v>
      </c>
      <c r="AA2568">
        <v>0</v>
      </c>
      <c r="AB2568">
        <v>2.5911880234540501</v>
      </c>
      <c r="AC2568">
        <v>1.6166998002425999E-2</v>
      </c>
      <c r="AD2568">
        <v>1.08902859374628</v>
      </c>
      <c r="AE2568">
        <v>0.52194821834564198</v>
      </c>
      <c r="AF2568">
        <v>390.08474576271198</v>
      </c>
      <c r="AG2568">
        <f>IFERROR(AH2568*0.1, "N/A")</f>
        <v>7.5235593220339005</v>
      </c>
      <c r="AH2568">
        <v>75.235593220338998</v>
      </c>
      <c r="AI2568">
        <v>165.83918407246199</v>
      </c>
      <c r="AJ2568">
        <v>34.510169491525403</v>
      </c>
      <c r="AK2568">
        <v>46.857627118644103</v>
      </c>
    </row>
    <row r="2569" spans="1:37" x14ac:dyDescent="0.3">
      <c r="A2569">
        <v>2568</v>
      </c>
      <c r="B2569">
        <v>10.7</v>
      </c>
      <c r="C2569">
        <v>33.5672</v>
      </c>
      <c r="D2569">
        <v>13.567500000000001</v>
      </c>
      <c r="E2569" t="s">
        <v>4470</v>
      </c>
      <c r="F2569" t="s">
        <v>4471</v>
      </c>
      <c r="G2569" t="s">
        <v>37</v>
      </c>
      <c r="H2569">
        <v>1967</v>
      </c>
      <c r="I2569">
        <v>28.598311185836799</v>
      </c>
      <c r="J2569">
        <v>16.899999618530298</v>
      </c>
      <c r="K2569">
        <v>64</v>
      </c>
      <c r="L2569">
        <v>22.890506158003902</v>
      </c>
      <c r="M2569">
        <v>41.498310836585802</v>
      </c>
      <c r="N2569">
        <v>15.098311185836801</v>
      </c>
      <c r="O2569">
        <v>26.399999618530298</v>
      </c>
      <c r="P2569">
        <v>27.899999618530298</v>
      </c>
      <c r="Q2569">
        <v>26.498310804367101</v>
      </c>
      <c r="R2569">
        <v>31.700000762939499</v>
      </c>
      <c r="S2569">
        <v>25.5</v>
      </c>
      <c r="T2569">
        <v>416.98310810810801</v>
      </c>
      <c r="U2569">
        <v>147</v>
      </c>
      <c r="V2569">
        <v>0</v>
      </c>
      <c r="W2569">
        <v>139</v>
      </c>
      <c r="X2569">
        <v>331</v>
      </c>
      <c r="Y2569">
        <v>0</v>
      </c>
      <c r="Z2569">
        <v>67.983108108108098</v>
      </c>
      <c r="AA2569">
        <v>0</v>
      </c>
      <c r="AB2569">
        <v>3.40271114658665</v>
      </c>
      <c r="AC2569">
        <v>8.4753991543580001E-2</v>
      </c>
      <c r="AD2569">
        <v>1.07369825264087</v>
      </c>
      <c r="AE2569">
        <v>0.63974385154811098</v>
      </c>
      <c r="AF2569">
        <v>424.79054054054097</v>
      </c>
      <c r="AG2569">
        <f>IFERROR(AH2569*0.1, "N/A")</f>
        <v>7.7934121621621602</v>
      </c>
      <c r="AH2569">
        <v>77.9341216216216</v>
      </c>
      <c r="AI2569">
        <v>134.43276688859299</v>
      </c>
      <c r="AJ2569">
        <v>48.917229729729698</v>
      </c>
      <c r="AK2569">
        <v>28.016891891891898</v>
      </c>
    </row>
    <row r="2570" spans="1:37" x14ac:dyDescent="0.3">
      <c r="A2570">
        <v>2569</v>
      </c>
      <c r="B2570">
        <v>2.7</v>
      </c>
      <c r="C2570">
        <v>33.5672</v>
      </c>
      <c r="D2570">
        <v>13.567500000000001</v>
      </c>
      <c r="E2570" t="s">
        <v>4470</v>
      </c>
      <c r="F2570" t="s">
        <v>4472</v>
      </c>
      <c r="G2570" t="s">
        <v>39</v>
      </c>
      <c r="H2570">
        <v>1967</v>
      </c>
      <c r="I2570">
        <v>28.598311185836799</v>
      </c>
      <c r="J2570">
        <v>16.899999618530298</v>
      </c>
      <c r="K2570">
        <v>64</v>
      </c>
      <c r="L2570">
        <v>22.890506158003902</v>
      </c>
      <c r="M2570">
        <v>41.498310836585802</v>
      </c>
      <c r="N2570">
        <v>15.098311185836801</v>
      </c>
      <c r="O2570">
        <v>26.399999618530298</v>
      </c>
      <c r="P2570">
        <v>27.899999618530298</v>
      </c>
      <c r="Q2570">
        <v>26.498310804367101</v>
      </c>
      <c r="R2570">
        <v>31.700000762939499</v>
      </c>
      <c r="S2570">
        <v>25.5</v>
      </c>
      <c r="T2570">
        <v>416.98310810810801</v>
      </c>
      <c r="U2570">
        <v>147</v>
      </c>
      <c r="V2570">
        <v>0</v>
      </c>
      <c r="W2570">
        <v>139</v>
      </c>
      <c r="X2570">
        <v>331</v>
      </c>
      <c r="Y2570">
        <v>0</v>
      </c>
      <c r="Z2570">
        <v>67.983108108108098</v>
      </c>
      <c r="AA2570">
        <v>0</v>
      </c>
      <c r="AB2570">
        <v>3.40271114658665</v>
      </c>
      <c r="AC2570">
        <v>8.4753991543580001E-2</v>
      </c>
      <c r="AD2570">
        <v>1.07369825264087</v>
      </c>
      <c r="AE2570">
        <v>0.63974385154811098</v>
      </c>
      <c r="AF2570">
        <v>424.79054054054097</v>
      </c>
      <c r="AG2570">
        <f>IFERROR(AH2570*0.1, "N/A")</f>
        <v>7.7934121621621602</v>
      </c>
      <c r="AH2570">
        <v>77.9341216216216</v>
      </c>
      <c r="AI2570">
        <v>134.43276688859299</v>
      </c>
      <c r="AJ2570">
        <v>48.917229729729698</v>
      </c>
      <c r="AK2570">
        <v>28.016891891891898</v>
      </c>
    </row>
    <row r="2571" spans="1:37" x14ac:dyDescent="0.3">
      <c r="A2571">
        <v>2570</v>
      </c>
      <c r="B2571">
        <v>100</v>
      </c>
      <c r="C2571">
        <v>33.581099999999999</v>
      </c>
      <c r="D2571">
        <v>13.955</v>
      </c>
      <c r="E2571" t="s">
        <v>4473</v>
      </c>
      <c r="F2571" t="s">
        <v>4474</v>
      </c>
      <c r="G2571" t="s">
        <v>37</v>
      </c>
      <c r="H2571">
        <v>1985</v>
      </c>
      <c r="I2571">
        <v>28.5</v>
      </c>
      <c r="J2571">
        <v>16.799999237060501</v>
      </c>
      <c r="K2571">
        <v>63</v>
      </c>
      <c r="L2571">
        <v>24.909999847412099</v>
      </c>
      <c r="M2571">
        <v>41.099998474121101</v>
      </c>
      <c r="N2571">
        <v>14.699999809265099</v>
      </c>
      <c r="O2571">
        <v>26.399999618530298</v>
      </c>
      <c r="P2571">
        <v>28.299999237060501</v>
      </c>
      <c r="Q2571">
        <v>26.100000381469702</v>
      </c>
      <c r="R2571">
        <v>31.799999237060501</v>
      </c>
      <c r="S2571">
        <v>25</v>
      </c>
      <c r="T2571">
        <v>370</v>
      </c>
      <c r="U2571">
        <v>133</v>
      </c>
      <c r="V2571">
        <v>0</v>
      </c>
      <c r="W2571">
        <v>142</v>
      </c>
      <c r="X2571">
        <v>298</v>
      </c>
      <c r="Y2571">
        <v>0</v>
      </c>
      <c r="Z2571">
        <v>56</v>
      </c>
      <c r="AA2571">
        <v>0</v>
      </c>
      <c r="AB2571">
        <v>3.20875698307949</v>
      </c>
      <c r="AC2571">
        <v>1.7327430159455998E-2</v>
      </c>
      <c r="AD2571">
        <v>0.54710868753568098</v>
      </c>
      <c r="AE2571">
        <v>0.65714026019228</v>
      </c>
      <c r="AF2571">
        <v>419.51346801346801</v>
      </c>
      <c r="AG2571">
        <f>IFERROR(AH2571*0.1, "N/A")</f>
        <v>7.306060606060611</v>
      </c>
      <c r="AH2571">
        <v>73.060606060606105</v>
      </c>
      <c r="AI2571">
        <v>121.795197817613</v>
      </c>
      <c r="AJ2571">
        <v>45.070707070707101</v>
      </c>
      <c r="AK2571">
        <v>32.505050505050498</v>
      </c>
    </row>
    <row r="2572" spans="1:37" x14ac:dyDescent="0.3">
      <c r="A2572">
        <v>2571</v>
      </c>
      <c r="B2572">
        <v>0</v>
      </c>
      <c r="C2572">
        <v>33.581099999999999</v>
      </c>
      <c r="D2572">
        <v>13.955</v>
      </c>
      <c r="E2572" t="s">
        <v>4473</v>
      </c>
      <c r="F2572" t="s">
        <v>4475</v>
      </c>
      <c r="G2572" t="s">
        <v>39</v>
      </c>
      <c r="H2572">
        <v>1985</v>
      </c>
      <c r="I2572">
        <v>28.5</v>
      </c>
      <c r="J2572">
        <v>16.799999237060501</v>
      </c>
      <c r="K2572">
        <v>63</v>
      </c>
      <c r="L2572">
        <v>24.909999847412099</v>
      </c>
      <c r="M2572">
        <v>41.099998474121101</v>
      </c>
      <c r="N2572">
        <v>14.699999809265099</v>
      </c>
      <c r="O2572">
        <v>26.399999618530298</v>
      </c>
      <c r="P2572">
        <v>28.299999237060501</v>
      </c>
      <c r="Q2572">
        <v>26.100000381469702</v>
      </c>
      <c r="R2572">
        <v>31.799999237060501</v>
      </c>
      <c r="S2572">
        <v>25</v>
      </c>
      <c r="T2572">
        <v>370</v>
      </c>
      <c r="U2572">
        <v>133</v>
      </c>
      <c r="V2572">
        <v>0</v>
      </c>
      <c r="W2572">
        <v>142</v>
      </c>
      <c r="X2572">
        <v>298</v>
      </c>
      <c r="Y2572">
        <v>0</v>
      </c>
      <c r="Z2572">
        <v>56</v>
      </c>
      <c r="AA2572">
        <v>0</v>
      </c>
      <c r="AB2572">
        <v>3.20875698307949</v>
      </c>
      <c r="AC2572">
        <v>1.7327430159455998E-2</v>
      </c>
      <c r="AD2572">
        <v>0.54710868753568098</v>
      </c>
      <c r="AE2572">
        <v>0.65714026019228</v>
      </c>
      <c r="AF2572">
        <v>419.51346801346801</v>
      </c>
      <c r="AG2572">
        <f>IFERROR(AH2572*0.1, "N/A")</f>
        <v>7.306060606060611</v>
      </c>
      <c r="AH2572">
        <v>73.060606060606105</v>
      </c>
      <c r="AI2572">
        <v>121.795197817613</v>
      </c>
      <c r="AJ2572">
        <v>45.070707070707101</v>
      </c>
      <c r="AK2572">
        <v>32.505050505050498</v>
      </c>
    </row>
    <row r="2573" spans="1:37" x14ac:dyDescent="0.3">
      <c r="A2573">
        <v>2572</v>
      </c>
      <c r="B2573">
        <v>90.900002000000001</v>
      </c>
      <c r="C2573">
        <v>33.567402000000001</v>
      </c>
      <c r="D2573">
        <v>14.2044</v>
      </c>
      <c r="E2573" t="s">
        <v>4476</v>
      </c>
      <c r="F2573" t="s">
        <v>4477</v>
      </c>
      <c r="G2573" t="s">
        <v>37</v>
      </c>
      <c r="H2573">
        <v>1985</v>
      </c>
      <c r="I2573">
        <v>28.399999618530298</v>
      </c>
      <c r="J2573">
        <v>16.799999237060501</v>
      </c>
      <c r="K2573">
        <v>62</v>
      </c>
      <c r="L2573">
        <v>26.399999618530298</v>
      </c>
      <c r="M2573">
        <v>41.200000762939503</v>
      </c>
      <c r="N2573">
        <v>14.3999996185303</v>
      </c>
      <c r="O2573">
        <v>26.799999237060501</v>
      </c>
      <c r="P2573">
        <v>28.399999618530298</v>
      </c>
      <c r="Q2573">
        <v>25.899999618530298</v>
      </c>
      <c r="R2573">
        <v>31.799999237060501</v>
      </c>
      <c r="S2573">
        <v>24.600000381469702</v>
      </c>
      <c r="T2573">
        <v>354</v>
      </c>
      <c r="U2573">
        <v>128</v>
      </c>
      <c r="V2573">
        <v>0</v>
      </c>
      <c r="W2573">
        <v>144</v>
      </c>
      <c r="X2573">
        <v>292</v>
      </c>
      <c r="Y2573">
        <v>0</v>
      </c>
      <c r="Z2573">
        <v>48</v>
      </c>
      <c r="AA2573">
        <v>0</v>
      </c>
      <c r="AB2573">
        <v>2.31629654058889</v>
      </c>
      <c r="AC2573">
        <v>1.2458196365345E-2</v>
      </c>
      <c r="AD2573">
        <v>0.65026813244619297</v>
      </c>
      <c r="AE2573">
        <v>0.59275390310447695</v>
      </c>
      <c r="AF2573">
        <v>412.07563025210101</v>
      </c>
      <c r="AG2573">
        <f>IFERROR(AH2573*0.1, "N/A")</f>
        <v>7.7127731092437006</v>
      </c>
      <c r="AH2573">
        <v>77.127731092437003</v>
      </c>
      <c r="AI2573">
        <v>187.71947899826401</v>
      </c>
      <c r="AJ2573">
        <v>48.510924369747897</v>
      </c>
      <c r="AK2573">
        <v>26.5529411764706</v>
      </c>
    </row>
    <row r="2574" spans="1:37" x14ac:dyDescent="0.3">
      <c r="A2574">
        <v>2573</v>
      </c>
      <c r="B2574">
        <v>0</v>
      </c>
      <c r="C2574">
        <v>33.567402000000001</v>
      </c>
      <c r="D2574">
        <v>14.2044</v>
      </c>
      <c r="E2574" t="s">
        <v>4476</v>
      </c>
      <c r="F2574" t="s">
        <v>4478</v>
      </c>
      <c r="G2574" t="s">
        <v>39</v>
      </c>
      <c r="H2574">
        <v>1985</v>
      </c>
      <c r="I2574">
        <v>28.399999618530298</v>
      </c>
      <c r="J2574">
        <v>16.799999237060501</v>
      </c>
      <c r="K2574">
        <v>62</v>
      </c>
      <c r="L2574">
        <v>26.399999618530298</v>
      </c>
      <c r="M2574">
        <v>41.200000762939503</v>
      </c>
      <c r="N2574">
        <v>14.3999996185303</v>
      </c>
      <c r="O2574">
        <v>26.799999237060501</v>
      </c>
      <c r="P2574">
        <v>28.399999618530298</v>
      </c>
      <c r="Q2574">
        <v>25.899999618530298</v>
      </c>
      <c r="R2574">
        <v>31.799999237060501</v>
      </c>
      <c r="S2574">
        <v>24.600000381469702</v>
      </c>
      <c r="T2574">
        <v>354</v>
      </c>
      <c r="U2574">
        <v>128</v>
      </c>
      <c r="V2574">
        <v>0</v>
      </c>
      <c r="W2574">
        <v>144</v>
      </c>
      <c r="X2574">
        <v>292</v>
      </c>
      <c r="Y2574">
        <v>0</v>
      </c>
      <c r="Z2574">
        <v>48</v>
      </c>
      <c r="AA2574">
        <v>0</v>
      </c>
      <c r="AB2574">
        <v>2.31629654058889</v>
      </c>
      <c r="AC2574">
        <v>1.2458196365345E-2</v>
      </c>
      <c r="AD2574">
        <v>0.65026813244619297</v>
      </c>
      <c r="AE2574">
        <v>0.59275390310447695</v>
      </c>
      <c r="AF2574">
        <v>412.07563025210101</v>
      </c>
      <c r="AG2574">
        <f>IFERROR(AH2574*0.1, "N/A")</f>
        <v>7.7127731092437006</v>
      </c>
      <c r="AH2574">
        <v>77.127731092437003</v>
      </c>
      <c r="AI2574">
        <v>187.71947899826401</v>
      </c>
      <c r="AJ2574">
        <v>48.510924369747897</v>
      </c>
      <c r="AK2574">
        <v>26.5529411764706</v>
      </c>
    </row>
    <row r="2575" spans="1:37" x14ac:dyDescent="0.3">
      <c r="A2575">
        <v>2574</v>
      </c>
      <c r="B2575">
        <v>85</v>
      </c>
      <c r="C2575">
        <v>33.444598999999997</v>
      </c>
      <c r="D2575">
        <v>14.381500000000001</v>
      </c>
      <c r="E2575" t="s">
        <v>4479</v>
      </c>
      <c r="F2575" t="s">
        <v>4480</v>
      </c>
      <c r="G2575" t="s">
        <v>37</v>
      </c>
      <c r="H2575">
        <v>1985</v>
      </c>
      <c r="I2575">
        <v>28.399999618530298</v>
      </c>
      <c r="J2575">
        <v>16.799999237060501</v>
      </c>
      <c r="K2575">
        <v>61</v>
      </c>
      <c r="L2575">
        <v>28.149999618530298</v>
      </c>
      <c r="M2575">
        <v>41.400001525878899</v>
      </c>
      <c r="N2575">
        <v>14</v>
      </c>
      <c r="O2575">
        <v>27.399999618530298</v>
      </c>
      <c r="P2575">
        <v>28.700000762939499</v>
      </c>
      <c r="Q2575">
        <v>25.700000762939499</v>
      </c>
      <c r="R2575">
        <v>32</v>
      </c>
      <c r="S2575">
        <v>24.299999237060501</v>
      </c>
      <c r="T2575">
        <v>327</v>
      </c>
      <c r="U2575">
        <v>122</v>
      </c>
      <c r="V2575">
        <v>0</v>
      </c>
      <c r="W2575">
        <v>144</v>
      </c>
      <c r="X2575">
        <v>272</v>
      </c>
      <c r="Y2575">
        <v>0</v>
      </c>
      <c r="Z2575">
        <v>42</v>
      </c>
      <c r="AA2575">
        <v>0</v>
      </c>
      <c r="AB2575">
        <v>0.74085113781840894</v>
      </c>
      <c r="AC2575">
        <v>8.3686664684860003E-3</v>
      </c>
      <c r="AD2575">
        <v>1.07302752382615</v>
      </c>
      <c r="AE2575">
        <v>0.78689563274383501</v>
      </c>
      <c r="AF2575">
        <v>411.44201680672302</v>
      </c>
      <c r="AG2575">
        <f>IFERROR(AH2575*0.1, "N/A")</f>
        <v>8</v>
      </c>
      <c r="AH2575">
        <v>80</v>
      </c>
      <c r="AI2575">
        <v>143.434042755896</v>
      </c>
      <c r="AJ2575">
        <v>51</v>
      </c>
      <c r="AK2575">
        <v>28</v>
      </c>
    </row>
    <row r="2576" spans="1:37" x14ac:dyDescent="0.3">
      <c r="A2576">
        <v>2575</v>
      </c>
      <c r="B2576">
        <v>0</v>
      </c>
      <c r="C2576">
        <v>33.444598999999997</v>
      </c>
      <c r="D2576">
        <v>14.381500000000001</v>
      </c>
      <c r="E2576" t="s">
        <v>4479</v>
      </c>
      <c r="F2576" t="s">
        <v>4481</v>
      </c>
      <c r="G2576" t="s">
        <v>39</v>
      </c>
      <c r="H2576">
        <v>1985</v>
      </c>
      <c r="I2576">
        <v>28.399999618530298</v>
      </c>
      <c r="J2576">
        <v>16.799999237060501</v>
      </c>
      <c r="K2576">
        <v>61</v>
      </c>
      <c r="L2576">
        <v>28.149999618530298</v>
      </c>
      <c r="M2576">
        <v>41.400001525878899</v>
      </c>
      <c r="N2576">
        <v>14</v>
      </c>
      <c r="O2576">
        <v>27.399999618530298</v>
      </c>
      <c r="P2576">
        <v>28.700000762939499</v>
      </c>
      <c r="Q2576">
        <v>25.700000762939499</v>
      </c>
      <c r="R2576">
        <v>32</v>
      </c>
      <c r="S2576">
        <v>24.299999237060501</v>
      </c>
      <c r="T2576">
        <v>327</v>
      </c>
      <c r="U2576">
        <v>122</v>
      </c>
      <c r="V2576">
        <v>0</v>
      </c>
      <c r="W2576">
        <v>144</v>
      </c>
      <c r="X2576">
        <v>272</v>
      </c>
      <c r="Y2576">
        <v>0</v>
      </c>
      <c r="Z2576">
        <v>42</v>
      </c>
      <c r="AA2576">
        <v>0</v>
      </c>
      <c r="AB2576">
        <v>0.74085113781840894</v>
      </c>
      <c r="AC2576">
        <v>8.3686664684860003E-3</v>
      </c>
      <c r="AD2576">
        <v>1.07302752382615</v>
      </c>
      <c r="AE2576">
        <v>0.78689563274383501</v>
      </c>
      <c r="AF2576">
        <v>411.44201680672302</v>
      </c>
      <c r="AG2576">
        <f>IFERROR(AH2576*0.1, "N/A")</f>
        <v>8</v>
      </c>
      <c r="AH2576">
        <v>80</v>
      </c>
      <c r="AI2576">
        <v>143.434042755896</v>
      </c>
      <c r="AJ2576">
        <v>51</v>
      </c>
      <c r="AK2576">
        <v>28</v>
      </c>
    </row>
    <row r="2577" spans="1:37" x14ac:dyDescent="0.3">
      <c r="A2577">
        <v>2576</v>
      </c>
      <c r="B2577">
        <v>83.300003000000004</v>
      </c>
      <c r="C2577">
        <v>33.240699999999997</v>
      </c>
      <c r="D2577">
        <v>14.797800000000001</v>
      </c>
      <c r="E2577" t="s">
        <v>4482</v>
      </c>
      <c r="F2577" t="s">
        <v>4483</v>
      </c>
      <c r="G2577" t="s">
        <v>37</v>
      </c>
      <c r="H2577">
        <v>1985</v>
      </c>
      <c r="I2577">
        <v>28.5</v>
      </c>
      <c r="J2577">
        <v>17.100000381469702</v>
      </c>
      <c r="K2577">
        <v>60</v>
      </c>
      <c r="L2577">
        <v>31.4032996862977</v>
      </c>
      <c r="M2577">
        <v>41.599998474121101</v>
      </c>
      <c r="N2577">
        <v>13.5</v>
      </c>
      <c r="O2577">
        <v>28.100000381469702</v>
      </c>
      <c r="P2577">
        <v>29.399999618530298</v>
      </c>
      <c r="Q2577">
        <v>25.100000381469702</v>
      </c>
      <c r="R2577">
        <v>32.200000762939503</v>
      </c>
      <c r="S2577">
        <v>23.899999618530298</v>
      </c>
      <c r="T2577">
        <v>242.08375209380199</v>
      </c>
      <c r="U2577">
        <v>98</v>
      </c>
      <c r="V2577">
        <v>0</v>
      </c>
      <c r="W2577">
        <v>152</v>
      </c>
      <c r="X2577">
        <v>212</v>
      </c>
      <c r="Y2577">
        <v>0</v>
      </c>
      <c r="Z2577">
        <v>22.0837520938023</v>
      </c>
      <c r="AA2577">
        <v>0</v>
      </c>
      <c r="AB2577">
        <v>0.57654938306441095</v>
      </c>
      <c r="AC2577">
        <v>3.5267584295740999E-2</v>
      </c>
      <c r="AD2577">
        <v>0.56083155007817598</v>
      </c>
      <c r="AE2577">
        <v>0.78067594766616799</v>
      </c>
      <c r="AF2577">
        <v>400.41541038525997</v>
      </c>
      <c r="AG2577">
        <f>IFERROR(AH2577*0.1, "N/A")</f>
        <v>8.1075376884422106</v>
      </c>
      <c r="AH2577">
        <v>81.075376884422099</v>
      </c>
      <c r="AI2577">
        <v>44.184493839640901</v>
      </c>
      <c r="AJ2577">
        <v>45.184254606365201</v>
      </c>
      <c r="AK2577">
        <v>31.7989949748744</v>
      </c>
    </row>
    <row r="2578" spans="1:37" x14ac:dyDescent="0.3">
      <c r="A2578">
        <v>2577</v>
      </c>
      <c r="B2578">
        <v>0</v>
      </c>
      <c r="C2578">
        <v>33.240699999999997</v>
      </c>
      <c r="D2578">
        <v>14.797800000000001</v>
      </c>
      <c r="E2578" t="s">
        <v>4482</v>
      </c>
      <c r="F2578" t="s">
        <v>4484</v>
      </c>
      <c r="G2578" t="s">
        <v>39</v>
      </c>
      <c r="H2578">
        <v>1985</v>
      </c>
      <c r="I2578">
        <v>28.5</v>
      </c>
      <c r="J2578">
        <v>17.100000381469702</v>
      </c>
      <c r="K2578">
        <v>60</v>
      </c>
      <c r="L2578">
        <v>31.4032996862977</v>
      </c>
      <c r="M2578">
        <v>41.599998474121101</v>
      </c>
      <c r="N2578">
        <v>13.5</v>
      </c>
      <c r="O2578">
        <v>28.100000381469702</v>
      </c>
      <c r="P2578">
        <v>29.399999618530298</v>
      </c>
      <c r="Q2578">
        <v>25.100000381469702</v>
      </c>
      <c r="R2578">
        <v>32.200000762939503</v>
      </c>
      <c r="S2578">
        <v>23.899999618530298</v>
      </c>
      <c r="T2578">
        <v>242.08375209380199</v>
      </c>
      <c r="U2578">
        <v>98</v>
      </c>
      <c r="V2578">
        <v>0</v>
      </c>
      <c r="W2578">
        <v>152</v>
      </c>
      <c r="X2578">
        <v>212</v>
      </c>
      <c r="Y2578">
        <v>0</v>
      </c>
      <c r="Z2578">
        <v>22.0837520938023</v>
      </c>
      <c r="AA2578">
        <v>0</v>
      </c>
      <c r="AB2578">
        <v>0.57654938306441095</v>
      </c>
      <c r="AC2578">
        <v>3.5267584295740999E-2</v>
      </c>
      <c r="AD2578">
        <v>0.56083155007817598</v>
      </c>
      <c r="AE2578">
        <v>0.78067594766616799</v>
      </c>
      <c r="AF2578">
        <v>400.41541038525997</v>
      </c>
      <c r="AG2578">
        <f>IFERROR(AH2578*0.1, "N/A")</f>
        <v>8.1075376884422106</v>
      </c>
      <c r="AH2578">
        <v>81.075376884422099</v>
      </c>
      <c r="AI2578">
        <v>44.184493839640901</v>
      </c>
      <c r="AJ2578">
        <v>45.184254606365201</v>
      </c>
      <c r="AK2578">
        <v>31.7989949748744</v>
      </c>
    </row>
    <row r="2579" spans="1:37" x14ac:dyDescent="0.3">
      <c r="A2579">
        <v>2578</v>
      </c>
      <c r="B2579">
        <v>51.599997999999999</v>
      </c>
      <c r="C2579">
        <v>32.729098999999998</v>
      </c>
      <c r="D2579">
        <v>14.438800000000001</v>
      </c>
      <c r="E2579" t="s">
        <v>4485</v>
      </c>
      <c r="F2579" t="s">
        <v>4486</v>
      </c>
      <c r="G2579" t="s">
        <v>37</v>
      </c>
      <c r="H2579">
        <v>1992</v>
      </c>
      <c r="I2579">
        <v>28.700000762939499</v>
      </c>
      <c r="J2579">
        <v>15.800000190734901</v>
      </c>
      <c r="K2579">
        <v>60</v>
      </c>
      <c r="L2579">
        <v>28.809999465942401</v>
      </c>
      <c r="M2579">
        <v>41.200000762939503</v>
      </c>
      <c r="N2579">
        <v>15.1000003814697</v>
      </c>
      <c r="O2579">
        <v>26.100000381469702</v>
      </c>
      <c r="P2579">
        <v>29.299999237060501</v>
      </c>
      <c r="Q2579">
        <v>25.600000381469702</v>
      </c>
      <c r="R2579">
        <v>32.099998474121101</v>
      </c>
      <c r="S2579">
        <v>24.399999618530298</v>
      </c>
      <c r="T2579">
        <v>244</v>
      </c>
      <c r="U2579">
        <v>100</v>
      </c>
      <c r="V2579">
        <v>0</v>
      </c>
      <c r="W2579">
        <v>156</v>
      </c>
      <c r="X2579">
        <v>216</v>
      </c>
      <c r="Y2579">
        <v>0</v>
      </c>
      <c r="Z2579">
        <v>23</v>
      </c>
      <c r="AA2579">
        <v>0</v>
      </c>
      <c r="AB2579">
        <v>0.44125458688447</v>
      </c>
      <c r="AC2579">
        <v>2.12653716446E-2</v>
      </c>
      <c r="AD2579">
        <v>1.17592176102629</v>
      </c>
      <c r="AE2579">
        <v>0.73502641916275002</v>
      </c>
      <c r="AF2579">
        <v>399.084175084175</v>
      </c>
      <c r="AG2579">
        <f>IFERROR(AH2579*0.1, "N/A")</f>
        <v>8.3437710437710404</v>
      </c>
      <c r="AH2579">
        <v>83.437710437710393</v>
      </c>
      <c r="AI2579">
        <v>93.738015544133603</v>
      </c>
      <c r="AJ2579">
        <v>43.557239057239101</v>
      </c>
      <c r="AK2579">
        <v>32.872053872053897</v>
      </c>
    </row>
    <row r="2580" spans="1:37" x14ac:dyDescent="0.3">
      <c r="A2580">
        <v>2579</v>
      </c>
      <c r="B2580">
        <v>0</v>
      </c>
      <c r="C2580">
        <v>32.729098999999998</v>
      </c>
      <c r="D2580">
        <v>14.438800000000001</v>
      </c>
      <c r="E2580" t="s">
        <v>4485</v>
      </c>
      <c r="F2580" t="s">
        <v>4487</v>
      </c>
      <c r="G2580" t="s">
        <v>39</v>
      </c>
      <c r="H2580">
        <v>1992</v>
      </c>
      <c r="I2580">
        <v>28.700000762939499</v>
      </c>
      <c r="J2580">
        <v>15.800000190734901</v>
      </c>
      <c r="K2580">
        <v>60</v>
      </c>
      <c r="L2580">
        <v>28.809999465942401</v>
      </c>
      <c r="M2580">
        <v>41.200000762939503</v>
      </c>
      <c r="N2580">
        <v>15.1000003814697</v>
      </c>
      <c r="O2580">
        <v>26.100000381469702</v>
      </c>
      <c r="P2580">
        <v>29.299999237060501</v>
      </c>
      <c r="Q2580">
        <v>25.600000381469702</v>
      </c>
      <c r="R2580">
        <v>32.099998474121101</v>
      </c>
      <c r="S2580">
        <v>24.399999618530298</v>
      </c>
      <c r="T2580">
        <v>244</v>
      </c>
      <c r="U2580">
        <v>100</v>
      </c>
      <c r="V2580">
        <v>0</v>
      </c>
      <c r="W2580">
        <v>156</v>
      </c>
      <c r="X2580">
        <v>216</v>
      </c>
      <c r="Y2580">
        <v>0</v>
      </c>
      <c r="Z2580">
        <v>23</v>
      </c>
      <c r="AA2580">
        <v>0</v>
      </c>
      <c r="AB2580">
        <v>0.44125458688447</v>
      </c>
      <c r="AC2580">
        <v>2.12653716446E-2</v>
      </c>
      <c r="AD2580">
        <v>1.17592176102629</v>
      </c>
      <c r="AE2580">
        <v>0.73502641916275002</v>
      </c>
      <c r="AF2580">
        <v>399.084175084175</v>
      </c>
      <c r="AG2580">
        <f>IFERROR(AH2580*0.1, "N/A")</f>
        <v>8.3437710437710404</v>
      </c>
      <c r="AH2580">
        <v>83.437710437710393</v>
      </c>
      <c r="AI2580">
        <v>93.738015544133603</v>
      </c>
      <c r="AJ2580">
        <v>43.557239057239101</v>
      </c>
      <c r="AK2580">
        <v>32.872053872053897</v>
      </c>
    </row>
    <row r="2581" spans="1:37" x14ac:dyDescent="0.3">
      <c r="A2581">
        <v>2580</v>
      </c>
      <c r="B2581">
        <v>85.199996999999996</v>
      </c>
      <c r="C2581">
        <v>33.093398999999998</v>
      </c>
      <c r="D2581">
        <v>15.1485</v>
      </c>
      <c r="E2581" t="s">
        <v>4488</v>
      </c>
      <c r="F2581" t="s">
        <v>4489</v>
      </c>
      <c r="G2581" t="s">
        <v>37</v>
      </c>
      <c r="H2581">
        <v>1982</v>
      </c>
      <c r="I2581">
        <v>28.299999237060501</v>
      </c>
      <c r="J2581">
        <v>16.299999237060501</v>
      </c>
      <c r="K2581">
        <v>59</v>
      </c>
      <c r="L2581">
        <v>33.150001525878899</v>
      </c>
      <c r="M2581">
        <v>41</v>
      </c>
      <c r="N2581">
        <v>13.800000190734901</v>
      </c>
      <c r="O2581">
        <v>27.200000762939499</v>
      </c>
      <c r="P2581">
        <v>29.700000762939499</v>
      </c>
      <c r="Q2581">
        <v>24.5</v>
      </c>
      <c r="R2581">
        <v>31.899999618530298</v>
      </c>
      <c r="S2581">
        <v>23.299999237060501</v>
      </c>
      <c r="T2581">
        <v>202</v>
      </c>
      <c r="U2581">
        <v>78</v>
      </c>
      <c r="V2581">
        <v>0</v>
      </c>
      <c r="W2581">
        <v>157</v>
      </c>
      <c r="X2581">
        <v>178</v>
      </c>
      <c r="Y2581">
        <v>0</v>
      </c>
      <c r="Z2581">
        <v>87</v>
      </c>
      <c r="AA2581">
        <v>0</v>
      </c>
      <c r="AB2581">
        <v>0.74389989786036603</v>
      </c>
      <c r="AC2581">
        <v>1.882869262211E-2</v>
      </c>
      <c r="AD2581">
        <v>0.46584359269110298</v>
      </c>
      <c r="AE2581">
        <v>0.69121837615966797</v>
      </c>
      <c r="AF2581">
        <v>394.011686143573</v>
      </c>
      <c r="AG2581">
        <f>IFERROR(AH2581*0.1, "N/A")</f>
        <v>8.4504173622704499</v>
      </c>
      <c r="AH2581">
        <v>84.504173622704499</v>
      </c>
      <c r="AI2581">
        <v>97.423394765201095</v>
      </c>
      <c r="AJ2581">
        <v>32.7479131886478</v>
      </c>
      <c r="AK2581">
        <v>41.452420701168599</v>
      </c>
    </row>
    <row r="2582" spans="1:37" x14ac:dyDescent="0.3">
      <c r="A2582">
        <v>2581</v>
      </c>
      <c r="B2582">
        <v>73.5</v>
      </c>
      <c r="C2582">
        <v>33.093398999999998</v>
      </c>
      <c r="D2582">
        <v>15.1485</v>
      </c>
      <c r="E2582" t="s">
        <v>4488</v>
      </c>
      <c r="F2582" t="s">
        <v>4490</v>
      </c>
      <c r="G2582" t="s">
        <v>39</v>
      </c>
      <c r="H2582">
        <v>1982</v>
      </c>
      <c r="I2582">
        <v>28.299999237060501</v>
      </c>
      <c r="J2582">
        <v>16.299999237060501</v>
      </c>
      <c r="K2582">
        <v>59</v>
      </c>
      <c r="L2582">
        <v>33.150001525878899</v>
      </c>
      <c r="M2582">
        <v>41</v>
      </c>
      <c r="N2582">
        <v>13.800000190734901</v>
      </c>
      <c r="O2582">
        <v>27.200000762939499</v>
      </c>
      <c r="P2582">
        <v>29.700000762939499</v>
      </c>
      <c r="Q2582">
        <v>24.5</v>
      </c>
      <c r="R2582">
        <v>31.899999618530298</v>
      </c>
      <c r="S2582">
        <v>23.299999237060501</v>
      </c>
      <c r="T2582">
        <v>202</v>
      </c>
      <c r="U2582">
        <v>78</v>
      </c>
      <c r="V2582">
        <v>0</v>
      </c>
      <c r="W2582">
        <v>157</v>
      </c>
      <c r="X2582">
        <v>178</v>
      </c>
      <c r="Y2582">
        <v>0</v>
      </c>
      <c r="Z2582">
        <v>87</v>
      </c>
      <c r="AA2582">
        <v>0</v>
      </c>
      <c r="AB2582">
        <v>0.74389989786036603</v>
      </c>
      <c r="AC2582">
        <v>1.882869262211E-2</v>
      </c>
      <c r="AD2582">
        <v>0.46584359269110298</v>
      </c>
      <c r="AE2582">
        <v>0.69121837615966797</v>
      </c>
      <c r="AF2582">
        <v>394.011686143573</v>
      </c>
      <c r="AG2582">
        <f>IFERROR(AH2582*0.1, "N/A")</f>
        <v>8.4504173622704499</v>
      </c>
      <c r="AH2582">
        <v>84.504173622704499</v>
      </c>
      <c r="AI2582">
        <v>97.423394765201095</v>
      </c>
      <c r="AJ2582">
        <v>32.7479131886478</v>
      </c>
      <c r="AK2582">
        <v>41.452420701168599</v>
      </c>
    </row>
    <row r="2583" spans="1:37" x14ac:dyDescent="0.3">
      <c r="A2583">
        <v>2582</v>
      </c>
      <c r="B2583">
        <v>55</v>
      </c>
      <c r="C2583">
        <v>33.1633</v>
      </c>
      <c r="D2583">
        <v>14.859500000000001</v>
      </c>
      <c r="E2583" t="s">
        <v>4491</v>
      </c>
      <c r="F2583" t="s">
        <v>4492</v>
      </c>
      <c r="G2583" t="s">
        <v>37</v>
      </c>
      <c r="H2583">
        <v>1982</v>
      </c>
      <c r="I2583">
        <v>28.5</v>
      </c>
      <c r="J2583">
        <v>16.799999237060501</v>
      </c>
      <c r="K2583">
        <v>60</v>
      </c>
      <c r="L2583">
        <v>31.7600002288818</v>
      </c>
      <c r="M2583">
        <v>41.5</v>
      </c>
      <c r="N2583">
        <v>13.699999809265099</v>
      </c>
      <c r="O2583">
        <v>27.799999237060501</v>
      </c>
      <c r="P2583">
        <v>29.5</v>
      </c>
      <c r="Q2583">
        <v>25</v>
      </c>
      <c r="R2583">
        <v>32.099998474121101</v>
      </c>
      <c r="S2583">
        <v>23.799999237060501</v>
      </c>
      <c r="T2583">
        <v>222</v>
      </c>
      <c r="U2583">
        <v>89</v>
      </c>
      <c r="V2583">
        <v>0</v>
      </c>
      <c r="W2583">
        <v>157</v>
      </c>
      <c r="X2583">
        <v>199</v>
      </c>
      <c r="Y2583">
        <v>0</v>
      </c>
      <c r="Z2583">
        <v>17</v>
      </c>
      <c r="AA2583">
        <v>0</v>
      </c>
      <c r="AB2583">
        <v>0.23618192688703901</v>
      </c>
      <c r="AC2583">
        <v>4.3471260791897199</v>
      </c>
      <c r="AD2583">
        <v>0.72216072833318401</v>
      </c>
      <c r="AE2583">
        <v>0.70475876331329301</v>
      </c>
      <c r="AF2583">
        <v>398.47906197654902</v>
      </c>
      <c r="AG2583">
        <f>IFERROR(AH2583*0.1, "N/A")</f>
        <v>8.1631490787269705</v>
      </c>
      <c r="AH2583">
        <v>81.631490787269698</v>
      </c>
      <c r="AI2583">
        <v>68.166864852010704</v>
      </c>
      <c r="AJ2583">
        <v>48.815745393634799</v>
      </c>
      <c r="AK2583">
        <v>26.184254606365201</v>
      </c>
    </row>
    <row r="2584" spans="1:37" x14ac:dyDescent="0.3">
      <c r="A2584">
        <v>2583</v>
      </c>
      <c r="B2584">
        <v>0</v>
      </c>
      <c r="C2584">
        <v>33.1633</v>
      </c>
      <c r="D2584">
        <v>14.859500000000001</v>
      </c>
      <c r="E2584" t="s">
        <v>4491</v>
      </c>
      <c r="F2584" t="s">
        <v>4493</v>
      </c>
      <c r="G2584" t="s">
        <v>39</v>
      </c>
      <c r="H2584">
        <v>1982</v>
      </c>
      <c r="I2584">
        <v>28.5</v>
      </c>
      <c r="J2584">
        <v>16.799999237060501</v>
      </c>
      <c r="K2584">
        <v>60</v>
      </c>
      <c r="L2584">
        <v>31.7600002288818</v>
      </c>
      <c r="M2584">
        <v>41.5</v>
      </c>
      <c r="N2584">
        <v>13.699999809265099</v>
      </c>
      <c r="O2584">
        <v>27.799999237060501</v>
      </c>
      <c r="P2584">
        <v>29.5</v>
      </c>
      <c r="Q2584">
        <v>25</v>
      </c>
      <c r="R2584">
        <v>32.099998474121101</v>
      </c>
      <c r="S2584">
        <v>23.799999237060501</v>
      </c>
      <c r="T2584">
        <v>222</v>
      </c>
      <c r="U2584">
        <v>89</v>
      </c>
      <c r="V2584">
        <v>0</v>
      </c>
      <c r="W2584">
        <v>157</v>
      </c>
      <c r="X2584">
        <v>199</v>
      </c>
      <c r="Y2584">
        <v>0</v>
      </c>
      <c r="Z2584">
        <v>17</v>
      </c>
      <c r="AA2584">
        <v>0</v>
      </c>
      <c r="AB2584">
        <v>0.23618192688703901</v>
      </c>
      <c r="AC2584">
        <v>4.3471260791897199</v>
      </c>
      <c r="AD2584">
        <v>0.72216072833318401</v>
      </c>
      <c r="AE2584">
        <v>0.70475876331329301</v>
      </c>
      <c r="AF2584">
        <v>398.47906197654902</v>
      </c>
      <c r="AG2584">
        <f>IFERROR(AH2584*0.1, "N/A")</f>
        <v>8.1631490787269705</v>
      </c>
      <c r="AH2584">
        <v>81.631490787269698</v>
      </c>
      <c r="AI2584">
        <v>68.166864852010704</v>
      </c>
      <c r="AJ2584">
        <v>48.815745393634799</v>
      </c>
      <c r="AK2584">
        <v>26.184254606365201</v>
      </c>
    </row>
    <row r="2585" spans="1:37" x14ac:dyDescent="0.3">
      <c r="A2585">
        <v>2584</v>
      </c>
      <c r="B2585">
        <v>22.700001</v>
      </c>
      <c r="C2585">
        <v>33.160702000000001</v>
      </c>
      <c r="D2585">
        <v>14.860200000000001</v>
      </c>
      <c r="E2585" t="s">
        <v>4494</v>
      </c>
      <c r="F2585" t="s">
        <v>4495</v>
      </c>
      <c r="G2585" t="s">
        <v>37</v>
      </c>
      <c r="H2585">
        <v>1982</v>
      </c>
      <c r="I2585">
        <v>28.5</v>
      </c>
      <c r="J2585">
        <v>16.799999237060501</v>
      </c>
      <c r="K2585">
        <v>60</v>
      </c>
      <c r="L2585">
        <v>31.7600002288818</v>
      </c>
      <c r="M2585">
        <v>41.5</v>
      </c>
      <c r="N2585">
        <v>13.699999809265099</v>
      </c>
      <c r="O2585">
        <v>27.799999237060501</v>
      </c>
      <c r="P2585">
        <v>29.5</v>
      </c>
      <c r="Q2585">
        <v>25</v>
      </c>
      <c r="R2585">
        <v>32.099998474121101</v>
      </c>
      <c r="S2585">
        <v>23.799999237060501</v>
      </c>
      <c r="T2585">
        <v>222</v>
      </c>
      <c r="U2585">
        <v>89</v>
      </c>
      <c r="V2585">
        <v>0</v>
      </c>
      <c r="W2585">
        <v>157</v>
      </c>
      <c r="X2585">
        <v>199</v>
      </c>
      <c r="Y2585">
        <v>0</v>
      </c>
      <c r="Z2585">
        <v>17</v>
      </c>
      <c r="AA2585">
        <v>0</v>
      </c>
      <c r="AB2585">
        <v>0.33937065086173102</v>
      </c>
      <c r="AC2585">
        <v>5.93115002664128</v>
      </c>
      <c r="AD2585">
        <v>0.57206620872519898</v>
      </c>
      <c r="AE2585">
        <v>0.62921357154846203</v>
      </c>
      <c r="AF2585">
        <v>398.174204355109</v>
      </c>
      <c r="AG2585">
        <f>IFERROR(AH2585*0.1, "N/A")</f>
        <v>8.0539363484087101</v>
      </c>
      <c r="AH2585">
        <v>80.539363484087104</v>
      </c>
      <c r="AI2585">
        <v>119.978328634546</v>
      </c>
      <c r="AJ2585">
        <v>49.730318257956498</v>
      </c>
      <c r="AK2585">
        <v>26.304857621440501</v>
      </c>
    </row>
    <row r="2586" spans="1:37" x14ac:dyDescent="0.3">
      <c r="A2586">
        <v>2585</v>
      </c>
      <c r="B2586">
        <v>18.200001</v>
      </c>
      <c r="C2586">
        <v>33.160702000000001</v>
      </c>
      <c r="D2586">
        <v>14.860200000000001</v>
      </c>
      <c r="E2586" t="s">
        <v>4494</v>
      </c>
      <c r="F2586" t="s">
        <v>4496</v>
      </c>
      <c r="G2586" t="s">
        <v>39</v>
      </c>
      <c r="H2586">
        <v>1982</v>
      </c>
      <c r="I2586">
        <v>28.5</v>
      </c>
      <c r="J2586">
        <v>16.799999237060501</v>
      </c>
      <c r="K2586">
        <v>60</v>
      </c>
      <c r="L2586">
        <v>31.7600002288818</v>
      </c>
      <c r="M2586">
        <v>41.5</v>
      </c>
      <c r="N2586">
        <v>13.699999809265099</v>
      </c>
      <c r="O2586">
        <v>27.799999237060501</v>
      </c>
      <c r="P2586">
        <v>29.5</v>
      </c>
      <c r="Q2586">
        <v>25</v>
      </c>
      <c r="R2586">
        <v>32.099998474121101</v>
      </c>
      <c r="S2586">
        <v>23.799999237060501</v>
      </c>
      <c r="T2586">
        <v>222</v>
      </c>
      <c r="U2586">
        <v>89</v>
      </c>
      <c r="V2586">
        <v>0</v>
      </c>
      <c r="W2586">
        <v>157</v>
      </c>
      <c r="X2586">
        <v>199</v>
      </c>
      <c r="Y2586">
        <v>0</v>
      </c>
      <c r="Z2586">
        <v>17</v>
      </c>
      <c r="AA2586">
        <v>0</v>
      </c>
      <c r="AB2586">
        <v>0.33937065086173102</v>
      </c>
      <c r="AC2586">
        <v>5.93115002664128</v>
      </c>
      <c r="AD2586">
        <v>0.57206620872519898</v>
      </c>
      <c r="AE2586">
        <v>0.62921357154846203</v>
      </c>
      <c r="AF2586">
        <v>398.174204355109</v>
      </c>
      <c r="AG2586">
        <f>IFERROR(AH2586*0.1, "N/A")</f>
        <v>8.0539363484087101</v>
      </c>
      <c r="AH2586">
        <v>80.539363484087104</v>
      </c>
      <c r="AI2586">
        <v>119.978328634546</v>
      </c>
      <c r="AJ2586">
        <v>49.730318257956498</v>
      </c>
      <c r="AK2586">
        <v>26.304857621440501</v>
      </c>
    </row>
    <row r="2587" spans="1:37" x14ac:dyDescent="0.3">
      <c r="A2587">
        <v>2586</v>
      </c>
      <c r="B2587">
        <v>21.4</v>
      </c>
      <c r="C2587">
        <v>33.164799000000002</v>
      </c>
      <c r="D2587">
        <v>14.8604</v>
      </c>
      <c r="E2587" t="s">
        <v>4497</v>
      </c>
      <c r="F2587" t="s">
        <v>4498</v>
      </c>
      <c r="G2587" t="s">
        <v>37</v>
      </c>
      <c r="H2587">
        <v>1982</v>
      </c>
      <c r="I2587">
        <v>28.5</v>
      </c>
      <c r="J2587">
        <v>16.799999237060501</v>
      </c>
      <c r="K2587">
        <v>60</v>
      </c>
      <c r="L2587">
        <v>31.7600002288818</v>
      </c>
      <c r="M2587">
        <v>41.5</v>
      </c>
      <c r="N2587">
        <v>13.699999809265099</v>
      </c>
      <c r="O2587">
        <v>27.799999237060501</v>
      </c>
      <c r="P2587">
        <v>29.5</v>
      </c>
      <c r="Q2587">
        <v>25</v>
      </c>
      <c r="R2587">
        <v>32.099998474121101</v>
      </c>
      <c r="S2587">
        <v>23.799999237060501</v>
      </c>
      <c r="T2587">
        <v>222</v>
      </c>
      <c r="U2587">
        <v>89</v>
      </c>
      <c r="V2587">
        <v>0</v>
      </c>
      <c r="W2587">
        <v>157</v>
      </c>
      <c r="X2587">
        <v>199</v>
      </c>
      <c r="Y2587">
        <v>0</v>
      </c>
      <c r="Z2587">
        <v>17</v>
      </c>
      <c r="AA2587">
        <v>0</v>
      </c>
      <c r="AB2587">
        <v>0.43014679721851401</v>
      </c>
      <c r="AC2587">
        <v>1.0884718722984001E-2</v>
      </c>
      <c r="AD2587">
        <v>0.72982085784476003</v>
      </c>
      <c r="AE2587">
        <v>0.70475876331329301</v>
      </c>
      <c r="AF2587">
        <v>397.763819095477</v>
      </c>
      <c r="AG2587">
        <f>IFERROR(AH2587*0.1, "N/A")</f>
        <v>8.02378559463987</v>
      </c>
      <c r="AH2587">
        <v>80.237855946398696</v>
      </c>
      <c r="AI2587">
        <v>84.884456001933501</v>
      </c>
      <c r="AJ2587">
        <v>48.085427135678401</v>
      </c>
      <c r="AK2587">
        <v>27.304857621440501</v>
      </c>
    </row>
    <row r="2588" spans="1:37" x14ac:dyDescent="0.3">
      <c r="A2588">
        <v>2587</v>
      </c>
      <c r="B2588">
        <v>0</v>
      </c>
      <c r="C2588">
        <v>33.164799000000002</v>
      </c>
      <c r="D2588">
        <v>14.8604</v>
      </c>
      <c r="E2588" t="s">
        <v>4497</v>
      </c>
      <c r="F2588" t="s">
        <v>4499</v>
      </c>
      <c r="G2588" t="s">
        <v>39</v>
      </c>
      <c r="H2588">
        <v>1982</v>
      </c>
      <c r="I2588">
        <v>28.5</v>
      </c>
      <c r="J2588">
        <v>16.799999237060501</v>
      </c>
      <c r="K2588">
        <v>60</v>
      </c>
      <c r="L2588">
        <v>31.7600002288818</v>
      </c>
      <c r="M2588">
        <v>41.5</v>
      </c>
      <c r="N2588">
        <v>13.699999809265099</v>
      </c>
      <c r="O2588">
        <v>27.799999237060501</v>
      </c>
      <c r="P2588">
        <v>29.5</v>
      </c>
      <c r="Q2588">
        <v>25</v>
      </c>
      <c r="R2588">
        <v>32.099998474121101</v>
      </c>
      <c r="S2588">
        <v>23.799999237060501</v>
      </c>
      <c r="T2588">
        <v>222</v>
      </c>
      <c r="U2588">
        <v>89</v>
      </c>
      <c r="V2588">
        <v>0</v>
      </c>
      <c r="W2588">
        <v>157</v>
      </c>
      <c r="X2588">
        <v>199</v>
      </c>
      <c r="Y2588">
        <v>0</v>
      </c>
      <c r="Z2588">
        <v>17</v>
      </c>
      <c r="AA2588">
        <v>0</v>
      </c>
      <c r="AB2588">
        <v>0.43014679721851401</v>
      </c>
      <c r="AC2588">
        <v>1.0884718722984001E-2</v>
      </c>
      <c r="AD2588">
        <v>0.72982085784476003</v>
      </c>
      <c r="AE2588">
        <v>0.70475876331329301</v>
      </c>
      <c r="AF2588">
        <v>397.763819095477</v>
      </c>
      <c r="AG2588">
        <f>IFERROR(AH2588*0.1, "N/A")</f>
        <v>8.02378559463987</v>
      </c>
      <c r="AH2588">
        <v>80.237855946398696</v>
      </c>
      <c r="AI2588">
        <v>84.884456001933501</v>
      </c>
      <c r="AJ2588">
        <v>48.085427135678401</v>
      </c>
      <c r="AK2588">
        <v>27.304857621440501</v>
      </c>
    </row>
    <row r="2589" spans="1:37" x14ac:dyDescent="0.3">
      <c r="A2589">
        <v>2588</v>
      </c>
      <c r="B2589">
        <v>0</v>
      </c>
      <c r="C2589">
        <v>32.926399000000004</v>
      </c>
      <c r="D2589">
        <v>15.0609</v>
      </c>
      <c r="E2589" t="s">
        <v>4500</v>
      </c>
      <c r="F2589" t="s">
        <v>4501</v>
      </c>
      <c r="G2589" t="s">
        <v>37</v>
      </c>
      <c r="H2589">
        <v>1985</v>
      </c>
      <c r="I2589">
        <v>28.399999618530298</v>
      </c>
      <c r="J2589">
        <v>16.100000381469702</v>
      </c>
      <c r="K2589">
        <v>59</v>
      </c>
      <c r="L2589">
        <v>32.389999389648402</v>
      </c>
      <c r="M2589">
        <v>41</v>
      </c>
      <c r="N2589">
        <v>14.1000003814697</v>
      </c>
      <c r="O2589">
        <v>26.899999618530298</v>
      </c>
      <c r="P2589">
        <v>29.799999237060501</v>
      </c>
      <c r="Q2589">
        <v>24.700000762939499</v>
      </c>
      <c r="R2589">
        <v>31.899999618530298</v>
      </c>
      <c r="S2589">
        <v>23.600000381469702</v>
      </c>
      <c r="T2589">
        <v>212</v>
      </c>
      <c r="U2589">
        <v>83</v>
      </c>
      <c r="V2589">
        <v>0</v>
      </c>
      <c r="W2589">
        <v>158</v>
      </c>
      <c r="X2589">
        <v>188</v>
      </c>
      <c r="Y2589">
        <v>0</v>
      </c>
      <c r="Z2589">
        <v>19</v>
      </c>
      <c r="AA2589">
        <v>0</v>
      </c>
      <c r="AB2589">
        <v>0.23930802871550999</v>
      </c>
      <c r="AC2589">
        <v>9.3648347561330007E-3</v>
      </c>
      <c r="AD2589">
        <v>0.78430325844415405</v>
      </c>
      <c r="AE2589">
        <v>0.78762143850326505</v>
      </c>
      <c r="AF2589">
        <v>394.24414715719098</v>
      </c>
      <c r="AG2589">
        <f>IFERROR(AH2589*0.1, "N/A")</f>
        <v>8.7155518394648794</v>
      </c>
      <c r="AH2589">
        <v>87.155518394648794</v>
      </c>
      <c r="AI2589">
        <v>72.120962366212595</v>
      </c>
      <c r="AJ2589">
        <v>42.311036789297702</v>
      </c>
      <c r="AK2589">
        <v>32.844481605351199</v>
      </c>
    </row>
    <row r="2590" spans="1:37" x14ac:dyDescent="0.3">
      <c r="A2590">
        <v>2589</v>
      </c>
      <c r="B2590">
        <v>0</v>
      </c>
      <c r="C2590">
        <v>32.926399000000004</v>
      </c>
      <c r="D2590">
        <v>15.0609</v>
      </c>
      <c r="E2590" t="s">
        <v>4500</v>
      </c>
      <c r="F2590" t="s">
        <v>4502</v>
      </c>
      <c r="G2590" t="s">
        <v>39</v>
      </c>
      <c r="H2590">
        <v>1985</v>
      </c>
      <c r="I2590">
        <v>28.399999618530298</v>
      </c>
      <c r="J2590">
        <v>16.100000381469702</v>
      </c>
      <c r="K2590">
        <v>59</v>
      </c>
      <c r="L2590">
        <v>32.389999389648402</v>
      </c>
      <c r="M2590">
        <v>41</v>
      </c>
      <c r="N2590">
        <v>14.1000003814697</v>
      </c>
      <c r="O2590">
        <v>26.899999618530298</v>
      </c>
      <c r="P2590">
        <v>29.799999237060501</v>
      </c>
      <c r="Q2590">
        <v>24.700000762939499</v>
      </c>
      <c r="R2590">
        <v>31.899999618530298</v>
      </c>
      <c r="S2590">
        <v>23.600000381469702</v>
      </c>
      <c r="T2590">
        <v>212</v>
      </c>
      <c r="U2590">
        <v>83</v>
      </c>
      <c r="V2590">
        <v>0</v>
      </c>
      <c r="W2590">
        <v>158</v>
      </c>
      <c r="X2590">
        <v>188</v>
      </c>
      <c r="Y2590">
        <v>0</v>
      </c>
      <c r="Z2590">
        <v>19</v>
      </c>
      <c r="AA2590">
        <v>0</v>
      </c>
      <c r="AB2590">
        <v>0.23930802871550999</v>
      </c>
      <c r="AC2590">
        <v>9.3648347561330007E-3</v>
      </c>
      <c r="AD2590">
        <v>0.78430325844415405</v>
      </c>
      <c r="AE2590">
        <v>0.78762143850326505</v>
      </c>
      <c r="AF2590">
        <v>394.24414715719098</v>
      </c>
      <c r="AG2590">
        <f>IFERROR(AH2590*0.1, "N/A")</f>
        <v>8.7155518394648794</v>
      </c>
      <c r="AH2590">
        <v>87.155518394648794</v>
      </c>
      <c r="AI2590">
        <v>72.120962366212595</v>
      </c>
      <c r="AJ2590">
        <v>42.311036789297702</v>
      </c>
      <c r="AK2590">
        <v>32.844481605351199</v>
      </c>
    </row>
    <row r="2591" spans="1:37" x14ac:dyDescent="0.3">
      <c r="A2591">
        <v>2590</v>
      </c>
      <c r="B2591">
        <v>46.150002000000001</v>
      </c>
      <c r="C2591">
        <v>32.9114</v>
      </c>
      <c r="D2591">
        <v>15.070499999999999</v>
      </c>
      <c r="E2591" t="s">
        <v>4503</v>
      </c>
      <c r="F2591" t="s">
        <v>4504</v>
      </c>
      <c r="G2591" t="s">
        <v>37</v>
      </c>
      <c r="H2591">
        <v>1985</v>
      </c>
      <c r="I2591">
        <v>28.5</v>
      </c>
      <c r="J2591">
        <v>16.100000381469702</v>
      </c>
      <c r="K2591">
        <v>59</v>
      </c>
      <c r="L2591">
        <v>32.220001220703097</v>
      </c>
      <c r="M2591">
        <v>41</v>
      </c>
      <c r="N2591">
        <v>14.1000003814697</v>
      </c>
      <c r="O2591">
        <v>26.899999618530298</v>
      </c>
      <c r="P2591">
        <v>29.799999237060501</v>
      </c>
      <c r="Q2591">
        <v>24.799999237060501</v>
      </c>
      <c r="R2591">
        <v>31.899999618530298</v>
      </c>
      <c r="S2591">
        <v>23.600000381469702</v>
      </c>
      <c r="T2591">
        <v>210</v>
      </c>
      <c r="U2591">
        <v>82</v>
      </c>
      <c r="V2591">
        <v>0</v>
      </c>
      <c r="W2591">
        <v>156</v>
      </c>
      <c r="X2591">
        <v>186</v>
      </c>
      <c r="Y2591">
        <v>0</v>
      </c>
      <c r="Z2591">
        <v>19</v>
      </c>
      <c r="AA2591">
        <v>0</v>
      </c>
      <c r="AB2591">
        <v>0.59314949775619197</v>
      </c>
      <c r="AC2591">
        <v>2.8452326596581E-2</v>
      </c>
      <c r="AD2591">
        <v>0.76176339587240305</v>
      </c>
      <c r="AE2591">
        <v>0.78292232751846302</v>
      </c>
      <c r="AF2591">
        <v>394.54347826087002</v>
      </c>
      <c r="AG2591">
        <f>IFERROR(AH2591*0.1, "N/A")</f>
        <v>9.0386287625418102</v>
      </c>
      <c r="AH2591">
        <v>90.386287625418106</v>
      </c>
      <c r="AI2591">
        <v>144.051460103446</v>
      </c>
      <c r="AJ2591">
        <v>40.911371237458198</v>
      </c>
      <c r="AK2591">
        <v>34.1688963210702</v>
      </c>
    </row>
    <row r="2592" spans="1:37" x14ac:dyDescent="0.3">
      <c r="A2592">
        <v>2591</v>
      </c>
      <c r="B2592">
        <v>46.150002000000001</v>
      </c>
      <c r="C2592">
        <v>32.9114</v>
      </c>
      <c r="D2592">
        <v>15.070499999999999</v>
      </c>
      <c r="E2592" t="s">
        <v>4503</v>
      </c>
      <c r="F2592" t="s">
        <v>4505</v>
      </c>
      <c r="G2592" t="s">
        <v>39</v>
      </c>
      <c r="H2592">
        <v>1985</v>
      </c>
      <c r="I2592">
        <v>28.5</v>
      </c>
      <c r="J2592">
        <v>16.100000381469702</v>
      </c>
      <c r="K2592">
        <v>59</v>
      </c>
      <c r="L2592">
        <v>32.220001220703097</v>
      </c>
      <c r="M2592">
        <v>41</v>
      </c>
      <c r="N2592">
        <v>14.1000003814697</v>
      </c>
      <c r="O2592">
        <v>26.899999618530298</v>
      </c>
      <c r="P2592">
        <v>29.799999237060501</v>
      </c>
      <c r="Q2592">
        <v>24.799999237060501</v>
      </c>
      <c r="R2592">
        <v>31.899999618530298</v>
      </c>
      <c r="S2592">
        <v>23.600000381469702</v>
      </c>
      <c r="T2592">
        <v>210</v>
      </c>
      <c r="U2592">
        <v>82</v>
      </c>
      <c r="V2592">
        <v>0</v>
      </c>
      <c r="W2592">
        <v>156</v>
      </c>
      <c r="X2592">
        <v>186</v>
      </c>
      <c r="Y2592">
        <v>0</v>
      </c>
      <c r="Z2592">
        <v>19</v>
      </c>
      <c r="AA2592">
        <v>0</v>
      </c>
      <c r="AB2592">
        <v>0.59314949775619197</v>
      </c>
      <c r="AC2592">
        <v>2.8452326596581E-2</v>
      </c>
      <c r="AD2592">
        <v>0.76176339587240305</v>
      </c>
      <c r="AE2592">
        <v>0.78292232751846302</v>
      </c>
      <c r="AF2592">
        <v>394.54347826087002</v>
      </c>
      <c r="AG2592">
        <f>IFERROR(AH2592*0.1, "N/A")</f>
        <v>9.0386287625418102</v>
      </c>
      <c r="AH2592">
        <v>90.386287625418106</v>
      </c>
      <c r="AI2592">
        <v>144.051460103446</v>
      </c>
      <c r="AJ2592">
        <v>40.911371237458198</v>
      </c>
      <c r="AK2592">
        <v>34.1688963210702</v>
      </c>
    </row>
    <row r="2593" spans="1:37" x14ac:dyDescent="0.3">
      <c r="A2593">
        <v>2592</v>
      </c>
      <c r="B2593">
        <v>100</v>
      </c>
      <c r="C2593">
        <v>33.094002000000003</v>
      </c>
      <c r="D2593">
        <v>15.0937</v>
      </c>
      <c r="E2593" t="s">
        <v>4506</v>
      </c>
      <c r="F2593" t="s">
        <v>4507</v>
      </c>
      <c r="G2593" t="s">
        <v>37</v>
      </c>
      <c r="H2593">
        <v>1985</v>
      </c>
      <c r="I2593">
        <v>28.200000762939499</v>
      </c>
      <c r="J2593">
        <v>16.399999618530298</v>
      </c>
      <c r="K2593">
        <v>60</v>
      </c>
      <c r="L2593">
        <v>32.650001525878899</v>
      </c>
      <c r="M2593">
        <v>40.900001525878899</v>
      </c>
      <c r="N2593">
        <v>13.699999809265099</v>
      </c>
      <c r="O2593">
        <v>27.200000762939499</v>
      </c>
      <c r="P2593">
        <v>29.600000381469702</v>
      </c>
      <c r="Q2593">
        <v>24.5</v>
      </c>
      <c r="R2593">
        <v>31.799999237060501</v>
      </c>
      <c r="S2593">
        <v>23.399999618530298</v>
      </c>
      <c r="T2593">
        <v>205</v>
      </c>
      <c r="U2593">
        <v>78</v>
      </c>
      <c r="V2593">
        <v>0</v>
      </c>
      <c r="W2593">
        <v>149</v>
      </c>
      <c r="X2593">
        <v>180</v>
      </c>
      <c r="Y2593">
        <v>0</v>
      </c>
      <c r="Z2593">
        <v>88</v>
      </c>
      <c r="AA2593">
        <v>0</v>
      </c>
      <c r="AB2593">
        <v>0.57089248708259299</v>
      </c>
      <c r="AC2593">
        <v>8.728127610437E-3</v>
      </c>
      <c r="AD2593">
        <v>0.70076324897865006</v>
      </c>
      <c r="AE2593">
        <v>0.78704363107681297</v>
      </c>
      <c r="AF2593">
        <v>395.453177257525</v>
      </c>
      <c r="AG2593">
        <f>IFERROR(AH2593*0.1, "N/A")</f>
        <v>8.643143812709031</v>
      </c>
      <c r="AH2593">
        <v>86.431438127090303</v>
      </c>
      <c r="AI2593">
        <v>169.79991583680601</v>
      </c>
      <c r="AJ2593">
        <v>40.137123745819402</v>
      </c>
      <c r="AK2593">
        <v>36</v>
      </c>
    </row>
    <row r="2594" spans="1:37" x14ac:dyDescent="0.3">
      <c r="A2594">
        <v>2593</v>
      </c>
      <c r="B2594">
        <v>100</v>
      </c>
      <c r="C2594">
        <v>33.094002000000003</v>
      </c>
      <c r="D2594">
        <v>15.0937</v>
      </c>
      <c r="E2594" t="s">
        <v>4506</v>
      </c>
      <c r="F2594" t="s">
        <v>4508</v>
      </c>
      <c r="G2594" t="s">
        <v>39</v>
      </c>
      <c r="H2594">
        <v>1985</v>
      </c>
      <c r="I2594">
        <v>28.200000762939499</v>
      </c>
      <c r="J2594">
        <v>16.399999618530298</v>
      </c>
      <c r="K2594">
        <v>60</v>
      </c>
      <c r="L2594">
        <v>32.650001525878899</v>
      </c>
      <c r="M2594">
        <v>40.900001525878899</v>
      </c>
      <c r="N2594">
        <v>13.699999809265099</v>
      </c>
      <c r="O2594">
        <v>27.200000762939499</v>
      </c>
      <c r="P2594">
        <v>29.600000381469702</v>
      </c>
      <c r="Q2594">
        <v>24.5</v>
      </c>
      <c r="R2594">
        <v>31.799999237060501</v>
      </c>
      <c r="S2594">
        <v>23.399999618530298</v>
      </c>
      <c r="T2594">
        <v>205</v>
      </c>
      <c r="U2594">
        <v>78</v>
      </c>
      <c r="V2594">
        <v>0</v>
      </c>
      <c r="W2594">
        <v>149</v>
      </c>
      <c r="X2594">
        <v>180</v>
      </c>
      <c r="Y2594">
        <v>0</v>
      </c>
      <c r="Z2594">
        <v>88</v>
      </c>
      <c r="AA2594">
        <v>0</v>
      </c>
      <c r="AB2594">
        <v>0.57089248708259299</v>
      </c>
      <c r="AC2594">
        <v>8.728127610437E-3</v>
      </c>
      <c r="AD2594">
        <v>0.70076324897865006</v>
      </c>
      <c r="AE2594">
        <v>0.78704363107681297</v>
      </c>
      <c r="AF2594">
        <v>395.453177257525</v>
      </c>
      <c r="AG2594">
        <f>IFERROR(AH2594*0.1, "N/A")</f>
        <v>8.643143812709031</v>
      </c>
      <c r="AH2594">
        <v>86.431438127090303</v>
      </c>
      <c r="AI2594">
        <v>169.79991583680601</v>
      </c>
      <c r="AJ2594">
        <v>40.137123745819402</v>
      </c>
      <c r="AK2594">
        <v>36</v>
      </c>
    </row>
    <row r="2595" spans="1:37" x14ac:dyDescent="0.3">
      <c r="A2595">
        <v>2594</v>
      </c>
      <c r="B2595">
        <v>9.09</v>
      </c>
      <c r="C2595">
        <v>33.0867</v>
      </c>
      <c r="D2595">
        <v>15.110300000000001</v>
      </c>
      <c r="E2595" t="s">
        <v>4509</v>
      </c>
      <c r="F2595" t="s">
        <v>4510</v>
      </c>
      <c r="G2595" t="s">
        <v>37</v>
      </c>
      <c r="H2595">
        <v>1985</v>
      </c>
      <c r="I2595">
        <v>28.200000762939499</v>
      </c>
      <c r="J2595">
        <v>16.299999237060501</v>
      </c>
      <c r="K2595">
        <v>60</v>
      </c>
      <c r="L2595">
        <v>32.639999389648402</v>
      </c>
      <c r="M2595">
        <v>40.900001525878899</v>
      </c>
      <c r="N2595">
        <v>13.800000190734901</v>
      </c>
      <c r="O2595">
        <v>27.100000381469702</v>
      </c>
      <c r="P2595">
        <v>29.700000762939499</v>
      </c>
      <c r="Q2595">
        <v>24.5</v>
      </c>
      <c r="R2595">
        <v>31.700000762939499</v>
      </c>
      <c r="S2595">
        <v>23.399999618530298</v>
      </c>
      <c r="T2595">
        <v>207</v>
      </c>
      <c r="U2595">
        <v>79</v>
      </c>
      <c r="V2595">
        <v>0</v>
      </c>
      <c r="W2595">
        <v>151</v>
      </c>
      <c r="X2595">
        <v>181</v>
      </c>
      <c r="Y2595">
        <v>0</v>
      </c>
      <c r="Z2595">
        <v>21</v>
      </c>
      <c r="AA2595">
        <v>0</v>
      </c>
      <c r="AB2595">
        <v>0.467059744640338</v>
      </c>
      <c r="AC2595">
        <v>9.6665027622990004E-3</v>
      </c>
      <c r="AD2595">
        <v>0.944064522766349</v>
      </c>
      <c r="AE2595">
        <v>0.78645503520965598</v>
      </c>
      <c r="AF2595">
        <v>395.52006688963201</v>
      </c>
      <c r="AG2595">
        <f>IFERROR(AH2595*0.1, "N/A")</f>
        <v>8.3923076923076909</v>
      </c>
      <c r="AH2595">
        <v>83.923076923076906</v>
      </c>
      <c r="AI2595">
        <v>91.560569648359902</v>
      </c>
      <c r="AJ2595">
        <v>47.884615384615401</v>
      </c>
      <c r="AK2595">
        <v>28.076923076923102</v>
      </c>
    </row>
    <row r="2596" spans="1:37" x14ac:dyDescent="0.3">
      <c r="A2596">
        <v>2595</v>
      </c>
      <c r="B2596">
        <v>9.09</v>
      </c>
      <c r="C2596">
        <v>33.0867</v>
      </c>
      <c r="D2596">
        <v>15.110300000000001</v>
      </c>
      <c r="E2596" t="s">
        <v>4509</v>
      </c>
      <c r="F2596" t="s">
        <v>4511</v>
      </c>
      <c r="G2596" t="s">
        <v>39</v>
      </c>
      <c r="H2596">
        <v>1985</v>
      </c>
      <c r="I2596">
        <v>28.200000762939499</v>
      </c>
      <c r="J2596">
        <v>16.299999237060501</v>
      </c>
      <c r="K2596">
        <v>60</v>
      </c>
      <c r="L2596">
        <v>32.639999389648402</v>
      </c>
      <c r="M2596">
        <v>40.900001525878899</v>
      </c>
      <c r="N2596">
        <v>13.800000190734901</v>
      </c>
      <c r="O2596">
        <v>27.100000381469702</v>
      </c>
      <c r="P2596">
        <v>29.700000762939499</v>
      </c>
      <c r="Q2596">
        <v>24.5</v>
      </c>
      <c r="R2596">
        <v>31.700000762939499</v>
      </c>
      <c r="S2596">
        <v>23.399999618530298</v>
      </c>
      <c r="T2596">
        <v>207</v>
      </c>
      <c r="U2596">
        <v>79</v>
      </c>
      <c r="V2596">
        <v>0</v>
      </c>
      <c r="W2596">
        <v>151</v>
      </c>
      <c r="X2596">
        <v>181</v>
      </c>
      <c r="Y2596">
        <v>0</v>
      </c>
      <c r="Z2596">
        <v>21</v>
      </c>
      <c r="AA2596">
        <v>0</v>
      </c>
      <c r="AB2596">
        <v>0.467059744640338</v>
      </c>
      <c r="AC2596">
        <v>9.6665027622990004E-3</v>
      </c>
      <c r="AD2596">
        <v>0.944064522766349</v>
      </c>
      <c r="AE2596">
        <v>0.78645503520965598</v>
      </c>
      <c r="AF2596">
        <v>395.52006688963201</v>
      </c>
      <c r="AG2596">
        <f>IFERROR(AH2596*0.1, "N/A")</f>
        <v>8.3923076923076909</v>
      </c>
      <c r="AH2596">
        <v>83.923076923076906</v>
      </c>
      <c r="AI2596">
        <v>91.560569648359902</v>
      </c>
      <c r="AJ2596">
        <v>47.884615384615401</v>
      </c>
      <c r="AK2596">
        <v>28.076923076923102</v>
      </c>
    </row>
    <row r="2597" spans="1:37" x14ac:dyDescent="0.3">
      <c r="A2597">
        <v>2596</v>
      </c>
      <c r="B2597">
        <v>10.75</v>
      </c>
      <c r="C2597">
        <v>33.017502</v>
      </c>
      <c r="D2597">
        <v>15.156599999999999</v>
      </c>
      <c r="E2597" t="s">
        <v>4512</v>
      </c>
      <c r="F2597" t="s">
        <v>4513</v>
      </c>
      <c r="G2597" t="s">
        <v>37</v>
      </c>
      <c r="H2597">
        <v>1985</v>
      </c>
      <c r="I2597">
        <v>28.300500073695599</v>
      </c>
      <c r="J2597">
        <v>16.200000762939499</v>
      </c>
      <c r="K2597">
        <v>60</v>
      </c>
      <c r="L2597">
        <v>33.090050227653997</v>
      </c>
      <c r="M2597">
        <v>40.900001525878899</v>
      </c>
      <c r="N2597">
        <v>13.8999996185303</v>
      </c>
      <c r="O2597">
        <v>27</v>
      </c>
      <c r="P2597">
        <v>29.899999618530298</v>
      </c>
      <c r="Q2597">
        <v>24.500500836635101</v>
      </c>
      <c r="R2597">
        <v>31.899999618530298</v>
      </c>
      <c r="S2597">
        <v>23.399999618530298</v>
      </c>
      <c r="T2597">
        <v>207.994991652755</v>
      </c>
      <c r="U2597">
        <v>81</v>
      </c>
      <c r="V2597">
        <v>0</v>
      </c>
      <c r="W2597">
        <v>153</v>
      </c>
      <c r="X2597">
        <v>183</v>
      </c>
      <c r="Y2597">
        <v>0</v>
      </c>
      <c r="Z2597">
        <v>89</v>
      </c>
      <c r="AA2597">
        <v>0</v>
      </c>
      <c r="AB2597">
        <v>0.44591745112296499</v>
      </c>
      <c r="AC2597">
        <v>2.0316564557274999E-2</v>
      </c>
      <c r="AD2597">
        <v>1.0489577472906499</v>
      </c>
      <c r="AE2597">
        <v>0.70761796916665498</v>
      </c>
      <c r="AF2597">
        <v>394.27378964941602</v>
      </c>
      <c r="AG2597">
        <f>IFERROR(AH2597*0.1, "N/A")</f>
        <v>8.5078464106844809</v>
      </c>
      <c r="AH2597">
        <v>85.078464106844805</v>
      </c>
      <c r="AI2597">
        <v>245.85004640302199</v>
      </c>
      <c r="AJ2597">
        <v>35.025041736227102</v>
      </c>
      <c r="AK2597">
        <v>43.916527545909901</v>
      </c>
    </row>
    <row r="2598" spans="1:37" x14ac:dyDescent="0.3">
      <c r="A2598">
        <v>2597</v>
      </c>
      <c r="B2598">
        <v>4.84</v>
      </c>
      <c r="C2598">
        <v>33.017502</v>
      </c>
      <c r="D2598">
        <v>15.156599999999999</v>
      </c>
      <c r="E2598" t="s">
        <v>4512</v>
      </c>
      <c r="F2598" t="s">
        <v>4514</v>
      </c>
      <c r="G2598" t="s">
        <v>39</v>
      </c>
      <c r="H2598">
        <v>1985</v>
      </c>
      <c r="I2598">
        <v>28.300500073695599</v>
      </c>
      <c r="J2598">
        <v>16.200000762939499</v>
      </c>
      <c r="K2598">
        <v>60</v>
      </c>
      <c r="L2598">
        <v>33.090050227653997</v>
      </c>
      <c r="M2598">
        <v>40.900001525878899</v>
      </c>
      <c r="N2598">
        <v>13.8999996185303</v>
      </c>
      <c r="O2598">
        <v>27</v>
      </c>
      <c r="P2598">
        <v>29.899999618530298</v>
      </c>
      <c r="Q2598">
        <v>24.500500836635101</v>
      </c>
      <c r="R2598">
        <v>31.899999618530298</v>
      </c>
      <c r="S2598">
        <v>23.399999618530298</v>
      </c>
      <c r="T2598">
        <v>207.994991652755</v>
      </c>
      <c r="U2598">
        <v>81</v>
      </c>
      <c r="V2598">
        <v>0</v>
      </c>
      <c r="W2598">
        <v>153</v>
      </c>
      <c r="X2598">
        <v>183</v>
      </c>
      <c r="Y2598">
        <v>0</v>
      </c>
      <c r="Z2598">
        <v>89</v>
      </c>
      <c r="AA2598">
        <v>0</v>
      </c>
      <c r="AB2598">
        <v>0.44591745112296499</v>
      </c>
      <c r="AC2598">
        <v>2.0316564557274999E-2</v>
      </c>
      <c r="AD2598">
        <v>1.0489577472906499</v>
      </c>
      <c r="AE2598">
        <v>0.70761796916665498</v>
      </c>
      <c r="AF2598">
        <v>394.27378964941602</v>
      </c>
      <c r="AG2598">
        <f>IFERROR(AH2598*0.1, "N/A")</f>
        <v>8.5078464106844809</v>
      </c>
      <c r="AH2598">
        <v>85.078464106844805</v>
      </c>
      <c r="AI2598">
        <v>245.85004640302199</v>
      </c>
      <c r="AJ2598">
        <v>35.025041736227102</v>
      </c>
      <c r="AK2598">
        <v>43.916527545909901</v>
      </c>
    </row>
    <row r="2599" spans="1:37" x14ac:dyDescent="0.3">
      <c r="A2599">
        <v>2598</v>
      </c>
      <c r="B2599">
        <v>52.799999</v>
      </c>
      <c r="C2599">
        <v>33.310200000000002</v>
      </c>
      <c r="D2599">
        <v>14.648400000000001</v>
      </c>
      <c r="E2599" t="s">
        <v>4515</v>
      </c>
      <c r="F2599" t="s">
        <v>4516</v>
      </c>
      <c r="G2599" t="s">
        <v>37</v>
      </c>
      <c r="H2599">
        <v>1982</v>
      </c>
      <c r="I2599">
        <v>28.5</v>
      </c>
      <c r="J2599">
        <v>17.100000381469702</v>
      </c>
      <c r="K2599">
        <v>60</v>
      </c>
      <c r="L2599">
        <v>30.2399997711182</v>
      </c>
      <c r="M2599">
        <v>41.700000762939503</v>
      </c>
      <c r="N2599">
        <v>13.6000003814697</v>
      </c>
      <c r="O2599">
        <v>28.100000381469702</v>
      </c>
      <c r="P2599">
        <v>29.200000762939499</v>
      </c>
      <c r="Q2599">
        <v>25.299999237060501</v>
      </c>
      <c r="R2599">
        <v>32.200000762939503</v>
      </c>
      <c r="S2599">
        <v>24.100000381469702</v>
      </c>
      <c r="T2599">
        <v>294</v>
      </c>
      <c r="U2599">
        <v>118</v>
      </c>
      <c r="V2599">
        <v>0</v>
      </c>
      <c r="W2599">
        <v>154</v>
      </c>
      <c r="X2599">
        <v>255</v>
      </c>
      <c r="Y2599">
        <v>0</v>
      </c>
      <c r="Z2599">
        <v>30</v>
      </c>
      <c r="AA2599">
        <v>0</v>
      </c>
      <c r="AB2599">
        <v>0.79312574143377701</v>
      </c>
      <c r="AC2599">
        <v>1.0566311707133E-2</v>
      </c>
      <c r="AD2599">
        <v>0.87106125706794302</v>
      </c>
      <c r="AE2599">
        <v>0.78066218059335002</v>
      </c>
      <c r="AF2599">
        <v>405.510067114094</v>
      </c>
      <c r="AG2599">
        <f>IFERROR(AH2599*0.1, "N/A")</f>
        <v>7.9</v>
      </c>
      <c r="AH2599">
        <v>79</v>
      </c>
      <c r="AI2599">
        <v>114.197245207409</v>
      </c>
      <c r="AJ2599">
        <v>51.3087248322148</v>
      </c>
      <c r="AK2599">
        <v>26.125838926174499</v>
      </c>
    </row>
    <row r="2600" spans="1:37" x14ac:dyDescent="0.3">
      <c r="A2600">
        <v>2599</v>
      </c>
      <c r="B2600">
        <v>78.699996999999996</v>
      </c>
      <c r="C2600">
        <v>33.282100999999997</v>
      </c>
      <c r="D2600">
        <v>14.6806</v>
      </c>
      <c r="E2600" t="s">
        <v>4517</v>
      </c>
      <c r="F2600" t="s">
        <v>4518</v>
      </c>
      <c r="G2600" t="s">
        <v>37</v>
      </c>
      <c r="H2600">
        <v>1982</v>
      </c>
      <c r="I2600">
        <v>28.600000381469702</v>
      </c>
      <c r="J2600">
        <v>17.100000381469702</v>
      </c>
      <c r="K2600">
        <v>60</v>
      </c>
      <c r="L2600">
        <v>30.440000534057599</v>
      </c>
      <c r="M2600">
        <v>41.700000762939503</v>
      </c>
      <c r="N2600">
        <v>13.6000003814697</v>
      </c>
      <c r="O2600">
        <v>28.100000381469702</v>
      </c>
      <c r="P2600">
        <v>29.299999237060501</v>
      </c>
      <c r="Q2600">
        <v>25.299999237060501</v>
      </c>
      <c r="R2600">
        <v>32.200000762939503</v>
      </c>
      <c r="S2600">
        <v>24.100000381469702</v>
      </c>
      <c r="T2600">
        <v>279</v>
      </c>
      <c r="U2600">
        <v>113</v>
      </c>
      <c r="V2600">
        <v>0</v>
      </c>
      <c r="W2600">
        <v>153</v>
      </c>
      <c r="X2600">
        <v>243</v>
      </c>
      <c r="Y2600">
        <v>0</v>
      </c>
      <c r="Z2600">
        <v>28</v>
      </c>
      <c r="AA2600">
        <v>0</v>
      </c>
      <c r="AB2600">
        <v>1.34338199992475</v>
      </c>
      <c r="AC2600">
        <v>9.7986668554230008E-3</v>
      </c>
      <c r="AD2600">
        <v>0.77752975747613295</v>
      </c>
      <c r="AE2600">
        <v>0.78446614742279097</v>
      </c>
      <c r="AF2600">
        <v>403.15242881071998</v>
      </c>
      <c r="AG2600">
        <f>IFERROR(AH2600*0.1, "N/A")</f>
        <v>8.3000000000000007</v>
      </c>
      <c r="AH2600">
        <v>83</v>
      </c>
      <c r="AI2600">
        <v>172.88148612273201</v>
      </c>
      <c r="AJ2600">
        <v>42.658291457286403</v>
      </c>
      <c r="AK2600">
        <v>33.561139028475701</v>
      </c>
    </row>
    <row r="2601" spans="1:37" x14ac:dyDescent="0.3">
      <c r="A2601">
        <v>2600</v>
      </c>
      <c r="B2601">
        <v>89.099997999999999</v>
      </c>
      <c r="C2601">
        <v>33.137797999999997</v>
      </c>
      <c r="D2601">
        <v>14.917899999999999</v>
      </c>
      <c r="E2601" t="s">
        <v>4519</v>
      </c>
      <c r="F2601" t="s">
        <v>4520</v>
      </c>
      <c r="G2601" t="s">
        <v>37</v>
      </c>
      <c r="H2601">
        <v>1982</v>
      </c>
      <c r="I2601">
        <v>28.399999618530298</v>
      </c>
      <c r="J2601">
        <v>16.700000762939499</v>
      </c>
      <c r="K2601">
        <v>60</v>
      </c>
      <c r="L2601">
        <v>31.879999160766602</v>
      </c>
      <c r="M2601">
        <v>41.299999237060497</v>
      </c>
      <c r="N2601">
        <v>13.699999809265099</v>
      </c>
      <c r="O2601">
        <v>27.600000381469702</v>
      </c>
      <c r="P2601">
        <v>29.399999618530298</v>
      </c>
      <c r="Q2601">
        <v>24.799999237060501</v>
      </c>
      <c r="R2601">
        <v>31.899999618530298</v>
      </c>
      <c r="S2601">
        <v>23.600000381469702</v>
      </c>
      <c r="T2601">
        <v>210</v>
      </c>
      <c r="U2601">
        <v>83</v>
      </c>
      <c r="V2601">
        <v>0</v>
      </c>
      <c r="W2601">
        <v>157</v>
      </c>
      <c r="X2601">
        <v>189</v>
      </c>
      <c r="Y2601">
        <v>0</v>
      </c>
      <c r="Z2601">
        <v>15</v>
      </c>
      <c r="AA2601">
        <v>0</v>
      </c>
      <c r="AB2601">
        <v>0.56678259932754804</v>
      </c>
      <c r="AC2601">
        <v>1.3063545457568999E-2</v>
      </c>
      <c r="AD2601">
        <v>0.95204950619063899</v>
      </c>
      <c r="AE2601">
        <v>0.79380774497985795</v>
      </c>
      <c r="AF2601">
        <v>397.994966442953</v>
      </c>
      <c r="AG2601">
        <f>IFERROR(AH2601*0.1, "N/A")</f>
        <v>8.5959731543624205</v>
      </c>
      <c r="AH2601">
        <v>85.959731543624201</v>
      </c>
      <c r="AI2601">
        <v>155.26940569781601</v>
      </c>
      <c r="AJ2601">
        <v>44.827181208053702</v>
      </c>
      <c r="AK2601">
        <v>32.942953020134198</v>
      </c>
    </row>
    <row r="2602" spans="1:37" x14ac:dyDescent="0.3">
      <c r="A2602">
        <v>2601</v>
      </c>
      <c r="B2602">
        <v>85.900002000000001</v>
      </c>
      <c r="C2602">
        <v>33.159500000000001</v>
      </c>
      <c r="D2602">
        <v>15.0268</v>
      </c>
      <c r="E2602" t="s">
        <v>4521</v>
      </c>
      <c r="F2602" t="s">
        <v>4522</v>
      </c>
      <c r="G2602" t="s">
        <v>37</v>
      </c>
      <c r="H2602">
        <v>1982</v>
      </c>
      <c r="I2602">
        <v>28.299999237060501</v>
      </c>
      <c r="J2602">
        <v>16.600000381469702</v>
      </c>
      <c r="K2602">
        <v>60</v>
      </c>
      <c r="L2602">
        <v>32.340000152587898</v>
      </c>
      <c r="M2602">
        <v>41.099998474121101</v>
      </c>
      <c r="N2602">
        <v>13.699999809265099</v>
      </c>
      <c r="O2602">
        <v>27.399999618530298</v>
      </c>
      <c r="P2602">
        <v>29.600000381469702</v>
      </c>
      <c r="Q2602">
        <v>24.700000762939499</v>
      </c>
      <c r="R2602">
        <v>31.799999237060501</v>
      </c>
      <c r="S2602">
        <v>23.5</v>
      </c>
      <c r="T2602">
        <v>193</v>
      </c>
      <c r="U2602">
        <v>75</v>
      </c>
      <c r="V2602">
        <v>0</v>
      </c>
      <c r="W2602">
        <v>152</v>
      </c>
      <c r="X2602">
        <v>173</v>
      </c>
      <c r="Y2602">
        <v>0</v>
      </c>
      <c r="Z2602">
        <v>15</v>
      </c>
      <c r="AA2602">
        <v>0</v>
      </c>
      <c r="AB2602">
        <v>1.20150919868074</v>
      </c>
      <c r="AC2602">
        <v>2.6962430883379001E-2</v>
      </c>
      <c r="AD2602">
        <v>1.0385314789359701</v>
      </c>
      <c r="AE2602">
        <v>0.79809849986647896</v>
      </c>
      <c r="AF2602">
        <v>397.06010016694501</v>
      </c>
      <c r="AG2602">
        <f>IFERROR(AH2602*0.1, "N/A")</f>
        <v>8.9</v>
      </c>
      <c r="AH2602">
        <v>89</v>
      </c>
      <c r="AI2602">
        <v>170.147498657787</v>
      </c>
      <c r="AJ2602">
        <v>36</v>
      </c>
      <c r="AK2602">
        <v>40.9532554257095</v>
      </c>
    </row>
    <row r="2603" spans="1:37" x14ac:dyDescent="0.3">
      <c r="A2603">
        <v>2602</v>
      </c>
      <c r="B2603">
        <v>80.5</v>
      </c>
      <c r="C2603">
        <v>32.964699000000003</v>
      </c>
      <c r="D2603">
        <v>15.0822</v>
      </c>
      <c r="E2603" t="s">
        <v>4523</v>
      </c>
      <c r="F2603" t="s">
        <v>4524</v>
      </c>
      <c r="G2603" t="s">
        <v>37</v>
      </c>
      <c r="H2603">
        <v>1982</v>
      </c>
      <c r="I2603">
        <v>28.399999618530298</v>
      </c>
      <c r="J2603">
        <v>16.200000762939499</v>
      </c>
      <c r="K2603">
        <v>60</v>
      </c>
      <c r="L2603">
        <v>32.389999389648402</v>
      </c>
      <c r="M2603">
        <v>40.900001525878899</v>
      </c>
      <c r="N2603">
        <v>14</v>
      </c>
      <c r="O2603">
        <v>26.899999618530298</v>
      </c>
      <c r="P2603">
        <v>29.799999237060501</v>
      </c>
      <c r="Q2603">
        <v>24.700000762939499</v>
      </c>
      <c r="R2603">
        <v>31.799999237060501</v>
      </c>
      <c r="S2603">
        <v>23.5</v>
      </c>
      <c r="T2603">
        <v>213</v>
      </c>
      <c r="U2603">
        <v>82</v>
      </c>
      <c r="V2603">
        <v>0</v>
      </c>
      <c r="W2603">
        <v>156</v>
      </c>
      <c r="X2603">
        <v>187</v>
      </c>
      <c r="Y2603">
        <v>0</v>
      </c>
      <c r="Z2603">
        <v>20</v>
      </c>
      <c r="AA2603">
        <v>0</v>
      </c>
      <c r="AB2603">
        <v>0.44725601477439297</v>
      </c>
      <c r="AC2603">
        <v>3.8182319165323997E-2</v>
      </c>
      <c r="AD2603">
        <v>0.80014740602055601</v>
      </c>
      <c r="AE2603">
        <v>0.80337780714035001</v>
      </c>
      <c r="AF2603">
        <v>394.13567839196003</v>
      </c>
      <c r="AG2603">
        <f>IFERROR(AH2603*0.1, "N/A")</f>
        <v>8.8609715242881091</v>
      </c>
      <c r="AH2603">
        <v>88.609715242881094</v>
      </c>
      <c r="AI2603">
        <v>163.273033448799</v>
      </c>
      <c r="AJ2603">
        <v>36.217755443886098</v>
      </c>
      <c r="AK2603">
        <v>39.757118927973202</v>
      </c>
    </row>
    <row r="2604" spans="1:37" x14ac:dyDescent="0.3">
      <c r="A2604">
        <v>2603</v>
      </c>
      <c r="B2604">
        <v>87.900002000000001</v>
      </c>
      <c r="C2604">
        <v>33.038798999999997</v>
      </c>
      <c r="D2604">
        <v>15.089499999999999</v>
      </c>
      <c r="E2604" t="s">
        <v>4525</v>
      </c>
      <c r="F2604" t="s">
        <v>4526</v>
      </c>
      <c r="G2604" t="s">
        <v>37</v>
      </c>
      <c r="H2604">
        <v>1982</v>
      </c>
      <c r="I2604">
        <v>28.200000762939499</v>
      </c>
      <c r="J2604">
        <v>16.299999237060501</v>
      </c>
      <c r="K2604">
        <v>60</v>
      </c>
      <c r="L2604">
        <v>32.869998931884801</v>
      </c>
      <c r="M2604">
        <v>40.900001525878899</v>
      </c>
      <c r="N2604">
        <v>13.800000190734901</v>
      </c>
      <c r="O2604">
        <v>27.100000381469702</v>
      </c>
      <c r="P2604">
        <v>29.700000762939499</v>
      </c>
      <c r="Q2604">
        <v>24.5</v>
      </c>
      <c r="R2604">
        <v>31.799999237060501</v>
      </c>
      <c r="S2604">
        <v>23.299999237060501</v>
      </c>
      <c r="T2604">
        <v>217</v>
      </c>
      <c r="U2604">
        <v>82</v>
      </c>
      <c r="V2604">
        <v>0</v>
      </c>
      <c r="W2604">
        <v>148</v>
      </c>
      <c r="X2604">
        <v>188</v>
      </c>
      <c r="Y2604">
        <v>0</v>
      </c>
      <c r="Z2604">
        <v>95</v>
      </c>
      <c r="AA2604">
        <v>0</v>
      </c>
      <c r="AB2604">
        <v>1.6416412302397002E-2</v>
      </c>
      <c r="AC2604">
        <v>2.5519157554782699</v>
      </c>
      <c r="AD2604">
        <v>0.59044351619691704</v>
      </c>
      <c r="AE2604">
        <v>0.79275582603473804</v>
      </c>
      <c r="AF2604">
        <v>395.51423785594602</v>
      </c>
      <c r="AG2604">
        <f>IFERROR(AH2604*0.1, "N/A")</f>
        <v>8.8090452261306496</v>
      </c>
      <c r="AH2604">
        <v>88.090452261306496</v>
      </c>
      <c r="AI2604">
        <v>149.45881623439101</v>
      </c>
      <c r="AJ2604">
        <v>38.417085427135703</v>
      </c>
      <c r="AK2604">
        <v>38.145728643216103</v>
      </c>
    </row>
    <row r="2605" spans="1:37" x14ac:dyDescent="0.3">
      <c r="A2605">
        <v>2604</v>
      </c>
      <c r="B2605">
        <v>87.099997999999999</v>
      </c>
      <c r="C2605">
        <v>32.976700000000001</v>
      </c>
      <c r="D2605">
        <v>15.091699999999999</v>
      </c>
      <c r="E2605" t="s">
        <v>4527</v>
      </c>
      <c r="F2605" t="s">
        <v>4528</v>
      </c>
      <c r="G2605" t="s">
        <v>37</v>
      </c>
      <c r="H2605">
        <v>1982</v>
      </c>
      <c r="I2605">
        <v>28.299999237060501</v>
      </c>
      <c r="J2605">
        <v>16.200000762939499</v>
      </c>
      <c r="K2605">
        <v>60</v>
      </c>
      <c r="L2605">
        <v>32.829633248646999</v>
      </c>
      <c r="M2605">
        <v>40.900001525878899</v>
      </c>
      <c r="N2605">
        <v>13.8999996185303</v>
      </c>
      <c r="O2605">
        <v>27</v>
      </c>
      <c r="P2605">
        <v>29.799999237060501</v>
      </c>
      <c r="Q2605">
        <v>24.600000381469702</v>
      </c>
      <c r="R2605">
        <v>31.799999237060501</v>
      </c>
      <c r="S2605">
        <v>23.399999618530298</v>
      </c>
      <c r="T2605">
        <v>214</v>
      </c>
      <c r="U2605">
        <v>82</v>
      </c>
      <c r="V2605">
        <v>0</v>
      </c>
      <c r="W2605">
        <v>156</v>
      </c>
      <c r="X2605">
        <v>187</v>
      </c>
      <c r="Y2605">
        <v>0</v>
      </c>
      <c r="Z2605">
        <v>21</v>
      </c>
      <c r="AA2605">
        <v>0</v>
      </c>
      <c r="AB2605">
        <v>9.1977539062500002E-2</v>
      </c>
      <c r="AC2605">
        <v>0.23688969263186099</v>
      </c>
      <c r="AD2605">
        <v>0.63156419982512801</v>
      </c>
      <c r="AE2605">
        <v>0.80003553628921498</v>
      </c>
      <c r="AF2605">
        <v>395.14</v>
      </c>
      <c r="AG2605">
        <f>IFERROR(AH2605*0.1, "N/A")</f>
        <v>9.0158333333333314</v>
      </c>
      <c r="AH2605">
        <v>90.158333333333303</v>
      </c>
      <c r="AI2605">
        <v>152.547216097514</v>
      </c>
      <c r="AJ2605">
        <v>36</v>
      </c>
      <c r="AK2605">
        <v>39</v>
      </c>
    </row>
    <row r="2606" spans="1:37" x14ac:dyDescent="0.3">
      <c r="A2606">
        <v>2605</v>
      </c>
      <c r="B2606">
        <v>30.1</v>
      </c>
      <c r="C2606">
        <v>33.197899</v>
      </c>
      <c r="D2606">
        <v>14.77</v>
      </c>
      <c r="E2606" t="s">
        <v>4529</v>
      </c>
      <c r="F2606" t="s">
        <v>4530</v>
      </c>
      <c r="G2606" t="s">
        <v>37</v>
      </c>
      <c r="H2606">
        <v>1982</v>
      </c>
      <c r="I2606">
        <v>28.5</v>
      </c>
      <c r="J2606">
        <v>17</v>
      </c>
      <c r="K2606">
        <v>60</v>
      </c>
      <c r="L2606">
        <v>31.389999389648398</v>
      </c>
      <c r="M2606">
        <v>41.599998474121101</v>
      </c>
      <c r="N2606">
        <v>13.6000003814697</v>
      </c>
      <c r="O2606">
        <v>28</v>
      </c>
      <c r="P2606">
        <v>29.399999618530298</v>
      </c>
      <c r="Q2606">
        <v>25.100000381469702</v>
      </c>
      <c r="R2606">
        <v>32.099998474121101</v>
      </c>
      <c r="S2606">
        <v>23.899999618530298</v>
      </c>
      <c r="T2606">
        <v>247</v>
      </c>
      <c r="U2606">
        <v>100</v>
      </c>
      <c r="V2606">
        <v>0</v>
      </c>
      <c r="W2606">
        <v>156</v>
      </c>
      <c r="X2606">
        <v>217</v>
      </c>
      <c r="Y2606">
        <v>0</v>
      </c>
      <c r="Z2606">
        <v>22</v>
      </c>
      <c r="AA2606">
        <v>0</v>
      </c>
      <c r="AB2606">
        <v>1.27555174963359</v>
      </c>
      <c r="AC2606">
        <v>3.2625974742524003E-2</v>
      </c>
      <c r="AD2606">
        <v>0.88149055429239798</v>
      </c>
      <c r="AE2606">
        <v>0.78416528074785297</v>
      </c>
      <c r="AF2606">
        <v>402.026800670017</v>
      </c>
      <c r="AG2606">
        <f>IFERROR(AH2606*0.1, "N/A")</f>
        <v>8.0271356783919607</v>
      </c>
      <c r="AH2606">
        <v>80.2713567839196</v>
      </c>
      <c r="AI2606">
        <v>200.91955308259199</v>
      </c>
      <c r="AJ2606">
        <v>47.345058626465701</v>
      </c>
      <c r="AK2606">
        <v>29.964824120603001</v>
      </c>
    </row>
    <row r="2607" spans="1:37" x14ac:dyDescent="0.3">
      <c r="A2607">
        <v>2606</v>
      </c>
      <c r="B2607">
        <v>36.400002000000001</v>
      </c>
      <c r="C2607">
        <v>33.014702</v>
      </c>
      <c r="D2607">
        <v>15.0992</v>
      </c>
      <c r="E2607" t="s">
        <v>4531</v>
      </c>
      <c r="F2607" t="s">
        <v>4532</v>
      </c>
      <c r="G2607" t="s">
        <v>37</v>
      </c>
      <c r="H2607">
        <v>1982</v>
      </c>
      <c r="I2607">
        <v>28.299999237060501</v>
      </c>
      <c r="J2607">
        <v>16.200000762939499</v>
      </c>
      <c r="K2607">
        <v>60</v>
      </c>
      <c r="L2607">
        <v>32.493001174926803</v>
      </c>
      <c r="M2607">
        <v>40.809999465942397</v>
      </c>
      <c r="N2607">
        <v>13.8999996185303</v>
      </c>
      <c r="O2607">
        <v>26.909999656677201</v>
      </c>
      <c r="P2607">
        <v>29.700000762939499</v>
      </c>
      <c r="Q2607">
        <v>24.5</v>
      </c>
      <c r="R2607">
        <v>31.710000610351599</v>
      </c>
      <c r="S2607">
        <v>23.399999618530298</v>
      </c>
      <c r="T2607">
        <v>216.8</v>
      </c>
      <c r="U2607">
        <v>82</v>
      </c>
      <c r="V2607">
        <v>0</v>
      </c>
      <c r="W2607">
        <v>148.80000000000001</v>
      </c>
      <c r="X2607">
        <v>187.9</v>
      </c>
      <c r="Y2607">
        <v>0</v>
      </c>
      <c r="Z2607">
        <v>22.9</v>
      </c>
      <c r="AA2607">
        <v>0</v>
      </c>
      <c r="AB2607">
        <v>0.15250930786132799</v>
      </c>
      <c r="AC2607">
        <v>0.16424611358437699</v>
      </c>
      <c r="AD2607">
        <v>1.4302959614992099</v>
      </c>
      <c r="AE2607">
        <v>0.79013536175092103</v>
      </c>
      <c r="AF2607">
        <v>393.90666666666698</v>
      </c>
      <c r="AG2607">
        <f>IFERROR(AH2607*0.1, "N/A")</f>
        <v>8.9</v>
      </c>
      <c r="AH2607">
        <v>89</v>
      </c>
      <c r="AI2607">
        <v>188.744911155701</v>
      </c>
      <c r="AJ2607">
        <v>37.641666666666701</v>
      </c>
      <c r="AK2607">
        <v>40.516666666666701</v>
      </c>
    </row>
    <row r="2608" spans="1:37" x14ac:dyDescent="0.3">
      <c r="A2608">
        <v>2607</v>
      </c>
      <c r="B2608">
        <v>59</v>
      </c>
      <c r="C2608">
        <v>33.006698999999998</v>
      </c>
      <c r="D2608">
        <v>15.126799999999999</v>
      </c>
      <c r="E2608" t="s">
        <v>4533</v>
      </c>
      <c r="F2608" t="s">
        <v>4534</v>
      </c>
      <c r="G2608" t="s">
        <v>37</v>
      </c>
      <c r="H2608">
        <v>1982</v>
      </c>
      <c r="I2608">
        <v>28.299999237060501</v>
      </c>
      <c r="J2608">
        <v>16.200000762939499</v>
      </c>
      <c r="K2608">
        <v>60</v>
      </c>
      <c r="L2608">
        <v>32.810001373291001</v>
      </c>
      <c r="M2608">
        <v>40.900001525878899</v>
      </c>
      <c r="N2608">
        <v>13.8999996185303</v>
      </c>
      <c r="O2608">
        <v>27</v>
      </c>
      <c r="P2608">
        <v>29.799999237060501</v>
      </c>
      <c r="Q2608">
        <v>24.600000381469702</v>
      </c>
      <c r="R2608">
        <v>31.799999237060501</v>
      </c>
      <c r="S2608">
        <v>23.399999618530298</v>
      </c>
      <c r="T2608">
        <v>212</v>
      </c>
      <c r="U2608">
        <v>81</v>
      </c>
      <c r="V2608">
        <v>0</v>
      </c>
      <c r="W2608">
        <v>154</v>
      </c>
      <c r="X2608">
        <v>184</v>
      </c>
      <c r="Y2608">
        <v>0</v>
      </c>
      <c r="Z2608">
        <v>92</v>
      </c>
      <c r="AA2608">
        <v>0</v>
      </c>
      <c r="AB2608">
        <v>0.10017389899132199</v>
      </c>
      <c r="AC2608">
        <v>79.783775401143899</v>
      </c>
      <c r="AD2608">
        <v>0.85898158824283799</v>
      </c>
      <c r="AE2608">
        <v>0.78647994995117199</v>
      </c>
      <c r="AF2608">
        <v>394.05201342281902</v>
      </c>
      <c r="AG2608">
        <f>IFERROR(AH2608*0.1, "N/A")</f>
        <v>8.7991610738255002</v>
      </c>
      <c r="AH2608">
        <v>87.991610738255005</v>
      </c>
      <c r="AI2608">
        <v>213.08295269140501</v>
      </c>
      <c r="AJ2608">
        <v>40.974832214765101</v>
      </c>
      <c r="AK2608">
        <v>35.016778523489897</v>
      </c>
    </row>
    <row r="2609" spans="1:37" x14ac:dyDescent="0.3">
      <c r="A2609">
        <v>2608</v>
      </c>
      <c r="B2609">
        <v>72.900002000000001</v>
      </c>
      <c r="C2609">
        <v>33.204498000000001</v>
      </c>
      <c r="D2609">
        <v>14.8055</v>
      </c>
      <c r="E2609" t="s">
        <v>4535</v>
      </c>
      <c r="F2609" t="s">
        <v>4536</v>
      </c>
      <c r="G2609" t="s">
        <v>37</v>
      </c>
      <c r="H2609">
        <v>1982</v>
      </c>
      <c r="I2609">
        <v>28.5</v>
      </c>
      <c r="J2609">
        <v>17</v>
      </c>
      <c r="K2609">
        <v>60</v>
      </c>
      <c r="L2609">
        <v>31.680000305175799</v>
      </c>
      <c r="M2609">
        <v>41.599998474121101</v>
      </c>
      <c r="N2609">
        <v>13.6000003814697</v>
      </c>
      <c r="O2609">
        <v>28</v>
      </c>
      <c r="P2609">
        <v>29.5</v>
      </c>
      <c r="Q2609">
        <v>25</v>
      </c>
      <c r="R2609">
        <v>32.200000762939503</v>
      </c>
      <c r="S2609">
        <v>23.899999618530298</v>
      </c>
      <c r="T2609">
        <v>238</v>
      </c>
      <c r="U2609">
        <v>96</v>
      </c>
      <c r="V2609">
        <v>0</v>
      </c>
      <c r="W2609">
        <v>158</v>
      </c>
      <c r="X2609">
        <v>210</v>
      </c>
      <c r="Y2609">
        <v>0</v>
      </c>
      <c r="Z2609">
        <v>21</v>
      </c>
      <c r="AA2609">
        <v>0</v>
      </c>
      <c r="AB2609">
        <v>1.00953827414624</v>
      </c>
      <c r="AC2609">
        <v>8.5183782425140003E-3</v>
      </c>
      <c r="AD2609">
        <v>0.65659444647090504</v>
      </c>
      <c r="AE2609">
        <v>0.78650838136672996</v>
      </c>
      <c r="AF2609">
        <v>399.84615384615398</v>
      </c>
      <c r="AG2609">
        <f>IFERROR(AH2609*0.1, "N/A")</f>
        <v>7.9207357859531804</v>
      </c>
      <c r="AH2609">
        <v>79.207357859531797</v>
      </c>
      <c r="AI2609">
        <v>70.672806704722106</v>
      </c>
      <c r="AJ2609">
        <v>51.237458193979897</v>
      </c>
      <c r="AK2609">
        <v>24.3311036789298</v>
      </c>
    </row>
    <row r="2610" spans="1:37" x14ac:dyDescent="0.3">
      <c r="A2610">
        <v>2609</v>
      </c>
      <c r="B2610">
        <v>41.900002000000001</v>
      </c>
      <c r="C2610">
        <v>33.222000000000001</v>
      </c>
      <c r="D2610">
        <v>14.8071</v>
      </c>
      <c r="E2610" t="s">
        <v>4537</v>
      </c>
      <c r="F2610" t="s">
        <v>4538</v>
      </c>
      <c r="G2610" t="s">
        <v>37</v>
      </c>
      <c r="H2610">
        <v>1982</v>
      </c>
      <c r="I2610">
        <v>28.5</v>
      </c>
      <c r="J2610">
        <v>17.100000381469702</v>
      </c>
      <c r="K2610">
        <v>61</v>
      </c>
      <c r="L2610">
        <v>31.620000839233398</v>
      </c>
      <c r="M2610">
        <v>41.599998474121101</v>
      </c>
      <c r="N2610">
        <v>13.6000003814697</v>
      </c>
      <c r="O2610">
        <v>28</v>
      </c>
      <c r="P2610">
        <v>29.5</v>
      </c>
      <c r="Q2610">
        <v>25</v>
      </c>
      <c r="R2610">
        <v>32.200000762939503</v>
      </c>
      <c r="S2610">
        <v>23.899999618530298</v>
      </c>
      <c r="T2610">
        <v>239</v>
      </c>
      <c r="U2610">
        <v>96</v>
      </c>
      <c r="V2610">
        <v>0</v>
      </c>
      <c r="W2610">
        <v>158</v>
      </c>
      <c r="X2610">
        <v>210</v>
      </c>
      <c r="Y2610">
        <v>0</v>
      </c>
      <c r="Z2610">
        <v>21</v>
      </c>
      <c r="AA2610">
        <v>0</v>
      </c>
      <c r="AB2610">
        <v>0.84446731669790798</v>
      </c>
      <c r="AC2610">
        <v>9.7401555840100004E-3</v>
      </c>
      <c r="AD2610">
        <v>0.585617388604871</v>
      </c>
      <c r="AE2610">
        <v>0.78713667392730702</v>
      </c>
      <c r="AF2610">
        <v>400.929530201342</v>
      </c>
      <c r="AG2610">
        <f>IFERROR(AH2610*0.1, "N/A")</f>
        <v>7.9031879194630905</v>
      </c>
      <c r="AH2610">
        <v>79.031879194630903</v>
      </c>
      <c r="AI2610">
        <v>202.12506481144999</v>
      </c>
      <c r="AJ2610">
        <v>50.031879194630903</v>
      </c>
      <c r="AK2610">
        <v>26.9681208053691</v>
      </c>
    </row>
    <row r="2611" spans="1:37" x14ac:dyDescent="0.3">
      <c r="A2611">
        <v>2610</v>
      </c>
      <c r="B2611">
        <v>58.700001</v>
      </c>
      <c r="C2611">
        <v>33.109901000000001</v>
      </c>
      <c r="D2611">
        <v>14.825100000000001</v>
      </c>
      <c r="E2611" t="s">
        <v>4539</v>
      </c>
      <c r="F2611" t="s">
        <v>4540</v>
      </c>
      <c r="G2611" t="s">
        <v>37</v>
      </c>
      <c r="H2611">
        <v>1982</v>
      </c>
      <c r="I2611">
        <v>28.5</v>
      </c>
      <c r="J2611">
        <v>16.799999237060501</v>
      </c>
      <c r="K2611">
        <v>60</v>
      </c>
      <c r="L2611">
        <v>31.629999160766602</v>
      </c>
      <c r="M2611">
        <v>41.5</v>
      </c>
      <c r="N2611">
        <v>13.699999809265099</v>
      </c>
      <c r="O2611">
        <v>27.799999237060501</v>
      </c>
      <c r="P2611">
        <v>29.5</v>
      </c>
      <c r="Q2611">
        <v>25</v>
      </c>
      <c r="R2611">
        <v>32.099998474121101</v>
      </c>
      <c r="S2611">
        <v>23.799999237060501</v>
      </c>
      <c r="T2611">
        <v>229.31939799331099</v>
      </c>
      <c r="U2611">
        <v>91.319397993311</v>
      </c>
      <c r="V2611">
        <v>0</v>
      </c>
      <c r="W2611">
        <v>153.31939799331099</v>
      </c>
      <c r="X2611">
        <v>205.31939799331099</v>
      </c>
      <c r="Y2611">
        <v>0</v>
      </c>
      <c r="Z2611">
        <v>18</v>
      </c>
      <c r="AA2611">
        <v>0</v>
      </c>
      <c r="AB2611">
        <v>0.23944898114156599</v>
      </c>
      <c r="AC2611">
        <v>4.2657177943586998E-2</v>
      </c>
      <c r="AD2611">
        <v>0.63558495234087597</v>
      </c>
      <c r="AE2611">
        <v>0.78011965751647905</v>
      </c>
      <c r="AF2611">
        <v>398.69899665551799</v>
      </c>
      <c r="AG2611">
        <f>IFERROR(AH2611*0.1, "N/A")</f>
        <v>7.9</v>
      </c>
      <c r="AH2611">
        <v>79</v>
      </c>
      <c r="AI2611">
        <v>65.448450643482005</v>
      </c>
      <c r="AJ2611">
        <v>42.660535117056902</v>
      </c>
      <c r="AK2611">
        <v>34</v>
      </c>
    </row>
    <row r="2612" spans="1:37" x14ac:dyDescent="0.3">
      <c r="A2612">
        <v>2611</v>
      </c>
      <c r="B2612">
        <v>2.6</v>
      </c>
      <c r="C2612">
        <v>33.120601999999998</v>
      </c>
      <c r="D2612">
        <v>15.068099999999999</v>
      </c>
      <c r="E2612" t="s">
        <v>4541</v>
      </c>
      <c r="F2612" t="s">
        <v>4542</v>
      </c>
      <c r="G2612" t="s">
        <v>37</v>
      </c>
      <c r="H2612">
        <v>1982</v>
      </c>
      <c r="I2612">
        <v>28.200000762939499</v>
      </c>
      <c r="J2612">
        <v>16.399999618530298</v>
      </c>
      <c r="K2612">
        <v>60</v>
      </c>
      <c r="L2612">
        <v>32.430000305175803</v>
      </c>
      <c r="M2612">
        <v>40.900001525878899</v>
      </c>
      <c r="N2612">
        <v>13.699999809265099</v>
      </c>
      <c r="O2612">
        <v>27.200000762939499</v>
      </c>
      <c r="P2612">
        <v>29.600000381469702</v>
      </c>
      <c r="Q2612">
        <v>24.600000381469702</v>
      </c>
      <c r="R2612">
        <v>31.700000762939499</v>
      </c>
      <c r="S2612">
        <v>23.399999618530298</v>
      </c>
      <c r="T2612">
        <v>199</v>
      </c>
      <c r="U2612">
        <v>76</v>
      </c>
      <c r="V2612">
        <v>0</v>
      </c>
      <c r="W2612">
        <v>155</v>
      </c>
      <c r="X2612">
        <v>177</v>
      </c>
      <c r="Y2612">
        <v>0</v>
      </c>
      <c r="Z2612">
        <v>85</v>
      </c>
      <c r="AA2612">
        <v>0</v>
      </c>
      <c r="AB2612">
        <v>0.48248382568359399</v>
      </c>
      <c r="AC2612">
        <v>1.9382508170481001E-2</v>
      </c>
      <c r="AD2612">
        <v>1.5864306251208</v>
      </c>
      <c r="AE2612">
        <v>0.786407470703125</v>
      </c>
      <c r="AF2612">
        <v>394.27833333333302</v>
      </c>
      <c r="AG2612">
        <f>IFERROR(AH2612*0.1, "N/A")</f>
        <v>8.6850000000000005</v>
      </c>
      <c r="AH2612">
        <v>86.85</v>
      </c>
      <c r="AI2612">
        <v>251.06371322631799</v>
      </c>
      <c r="AJ2612">
        <v>38.590000000000003</v>
      </c>
      <c r="AK2612">
        <v>38.53</v>
      </c>
    </row>
    <row r="2613" spans="1:37" x14ac:dyDescent="0.3">
      <c r="A2613">
        <v>2612</v>
      </c>
      <c r="B2613">
        <v>16</v>
      </c>
      <c r="C2613">
        <v>33.337699999999998</v>
      </c>
      <c r="D2613">
        <v>14.576499999999999</v>
      </c>
      <c r="E2613" t="s">
        <v>4543</v>
      </c>
      <c r="F2613" t="s">
        <v>4544</v>
      </c>
      <c r="G2613" t="s">
        <v>37</v>
      </c>
      <c r="H2613">
        <v>1982</v>
      </c>
      <c r="I2613">
        <v>28.5</v>
      </c>
      <c r="J2613">
        <v>17</v>
      </c>
      <c r="K2613">
        <v>60</v>
      </c>
      <c r="L2613">
        <v>29.7700004577637</v>
      </c>
      <c r="M2613">
        <v>41.599998474121101</v>
      </c>
      <c r="N2613">
        <v>13.699999809265099</v>
      </c>
      <c r="O2613">
        <v>27.899999618530298</v>
      </c>
      <c r="P2613">
        <v>29.100000381469702</v>
      </c>
      <c r="Q2613">
        <v>25.399999618530298</v>
      </c>
      <c r="R2613">
        <v>32.099998474121101</v>
      </c>
      <c r="S2613">
        <v>24.100000381469702</v>
      </c>
      <c r="T2613">
        <v>312</v>
      </c>
      <c r="U2613">
        <v>124</v>
      </c>
      <c r="V2613">
        <v>0</v>
      </c>
      <c r="W2613">
        <v>150</v>
      </c>
      <c r="X2613">
        <v>269</v>
      </c>
      <c r="Y2613">
        <v>0</v>
      </c>
      <c r="Z2613">
        <v>33</v>
      </c>
      <c r="AA2613">
        <v>0</v>
      </c>
      <c r="AB2613">
        <v>1.2974759300283101</v>
      </c>
      <c r="AC2613">
        <v>1.91671389652E-2</v>
      </c>
      <c r="AD2613">
        <v>1.05092212967825</v>
      </c>
      <c r="AE2613">
        <v>0.65519171653177899</v>
      </c>
      <c r="AF2613">
        <v>405.87248322147701</v>
      </c>
      <c r="AG2613">
        <f>IFERROR(AH2613*0.1, "N/A")</f>
        <v>7.9959731543624208</v>
      </c>
      <c r="AH2613">
        <v>79.959731543624201</v>
      </c>
      <c r="AI2613">
        <v>171.16190245327499</v>
      </c>
      <c r="AJ2613">
        <v>41.620805369127503</v>
      </c>
      <c r="AK2613">
        <v>36.902684563758399</v>
      </c>
    </row>
    <row r="2614" spans="1:37" x14ac:dyDescent="0.3">
      <c r="A2614">
        <v>2613</v>
      </c>
      <c r="B2614">
        <v>16.5</v>
      </c>
      <c r="C2614">
        <v>33.237499</v>
      </c>
      <c r="D2614">
        <v>14.627800000000001</v>
      </c>
      <c r="E2614" t="s">
        <v>4545</v>
      </c>
      <c r="F2614" t="s">
        <v>4546</v>
      </c>
      <c r="G2614" t="s">
        <v>37</v>
      </c>
      <c r="H2614">
        <v>1982</v>
      </c>
      <c r="I2614">
        <v>28.600000381469702</v>
      </c>
      <c r="J2614">
        <v>17</v>
      </c>
      <c r="K2614">
        <v>60</v>
      </c>
      <c r="L2614">
        <v>30.370000839233398</v>
      </c>
      <c r="M2614">
        <v>41.700000762939503</v>
      </c>
      <c r="N2614">
        <v>13.699999809265099</v>
      </c>
      <c r="O2614">
        <v>28</v>
      </c>
      <c r="P2614">
        <v>29.200000762939499</v>
      </c>
      <c r="Q2614">
        <v>25.299999237060501</v>
      </c>
      <c r="R2614">
        <v>32.200000762939503</v>
      </c>
      <c r="S2614">
        <v>24.100000381469702</v>
      </c>
      <c r="T2614">
        <v>291</v>
      </c>
      <c r="U2614">
        <v>118</v>
      </c>
      <c r="V2614">
        <v>0</v>
      </c>
      <c r="W2614">
        <v>153</v>
      </c>
      <c r="X2614">
        <v>253</v>
      </c>
      <c r="Y2614">
        <v>0</v>
      </c>
      <c r="Z2614">
        <v>30</v>
      </c>
      <c r="AA2614">
        <v>0</v>
      </c>
      <c r="AB2614">
        <v>1.22659587541153</v>
      </c>
      <c r="AC2614">
        <v>1.1362321758923001E-2</v>
      </c>
      <c r="AD2614">
        <v>0.90406111929328903</v>
      </c>
      <c r="AE2614">
        <v>0.78286892175674405</v>
      </c>
      <c r="AF2614">
        <v>404.00668896321099</v>
      </c>
      <c r="AG2614">
        <f>IFERROR(AH2614*0.1, "N/A")</f>
        <v>8.3000000000000007</v>
      </c>
      <c r="AH2614">
        <v>83</v>
      </c>
      <c r="AI2614">
        <v>158.080648039496</v>
      </c>
      <c r="AJ2614">
        <v>40.633779264213999</v>
      </c>
      <c r="AK2614">
        <v>36.366220735786001</v>
      </c>
    </row>
    <row r="2615" spans="1:37" x14ac:dyDescent="0.3">
      <c r="A2615">
        <v>2614</v>
      </c>
      <c r="B2615">
        <v>2.7</v>
      </c>
      <c r="C2615">
        <v>33.352500999999997</v>
      </c>
      <c r="D2615">
        <v>14.726000000000001</v>
      </c>
      <c r="E2615" t="s">
        <v>4547</v>
      </c>
      <c r="F2615" t="s">
        <v>4548</v>
      </c>
      <c r="G2615" t="s">
        <v>37</v>
      </c>
      <c r="H2615">
        <v>1982</v>
      </c>
      <c r="I2615">
        <v>28.600000381469702</v>
      </c>
      <c r="J2615">
        <v>17.200000762939499</v>
      </c>
      <c r="K2615">
        <v>60</v>
      </c>
      <c r="L2615">
        <v>30.899999618530298</v>
      </c>
      <c r="M2615">
        <v>41.799999237060497</v>
      </c>
      <c r="N2615">
        <v>13.6000003814697</v>
      </c>
      <c r="O2615">
        <v>28.200000762939499</v>
      </c>
      <c r="P2615">
        <v>29.299999237060501</v>
      </c>
      <c r="Q2615">
        <v>25.299999237060501</v>
      </c>
      <c r="R2615">
        <v>32.299999237060497</v>
      </c>
      <c r="S2615">
        <v>24.100000381469702</v>
      </c>
      <c r="T2615">
        <v>269</v>
      </c>
      <c r="U2615">
        <v>107</v>
      </c>
      <c r="V2615">
        <v>0</v>
      </c>
      <c r="W2615">
        <v>152</v>
      </c>
      <c r="X2615">
        <v>233</v>
      </c>
      <c r="Y2615">
        <v>0</v>
      </c>
      <c r="Z2615">
        <v>27</v>
      </c>
      <c r="AA2615">
        <v>0</v>
      </c>
      <c r="AB2615">
        <v>3.2580425083237201</v>
      </c>
      <c r="AC2615">
        <v>2.344316094895E-2</v>
      </c>
      <c r="AD2615">
        <v>1.1927576177072201</v>
      </c>
      <c r="AE2615">
        <v>0.69421079604817704</v>
      </c>
      <c r="AF2615">
        <v>402.15100671140902</v>
      </c>
      <c r="AG2615">
        <f>IFERROR(AH2615*0.1, "N/A")</f>
        <v>7.8994966442953007</v>
      </c>
      <c r="AH2615">
        <v>78.994966442953</v>
      </c>
      <c r="AI2615">
        <v>121.72553136684699</v>
      </c>
      <c r="AJ2615">
        <v>41.424496644295303</v>
      </c>
      <c r="AK2615">
        <v>39.005033557047</v>
      </c>
    </row>
    <row r="2616" spans="1:37" x14ac:dyDescent="0.3">
      <c r="A2616">
        <v>2615</v>
      </c>
      <c r="B2616">
        <v>35.400002000000001</v>
      </c>
      <c r="C2616">
        <v>33.243800999999998</v>
      </c>
      <c r="D2616">
        <v>14.750299999999999</v>
      </c>
      <c r="E2616" t="s">
        <v>4549</v>
      </c>
      <c r="F2616" t="s">
        <v>4550</v>
      </c>
      <c r="G2616" t="s">
        <v>37</v>
      </c>
      <c r="H2616">
        <v>1982</v>
      </c>
      <c r="I2616">
        <v>28.551342477734501</v>
      </c>
      <c r="J2616">
        <v>17.151342859204199</v>
      </c>
      <c r="K2616">
        <v>60</v>
      </c>
      <c r="L2616">
        <v>31.505671270741701</v>
      </c>
      <c r="M2616">
        <v>41.751342261397603</v>
      </c>
      <c r="N2616">
        <v>13.5</v>
      </c>
      <c r="O2616">
        <v>28.2513422613976</v>
      </c>
      <c r="P2616">
        <v>29.399999618530298</v>
      </c>
      <c r="Q2616">
        <v>25.100000381469702</v>
      </c>
      <c r="R2616">
        <v>32.251342261397603</v>
      </c>
      <c r="S2616">
        <v>23.899999618530298</v>
      </c>
      <c r="T2616">
        <v>255.540268456376</v>
      </c>
      <c r="U2616">
        <v>103.51342281879199</v>
      </c>
      <c r="V2616">
        <v>0</v>
      </c>
      <c r="W2616">
        <v>153.02684563758399</v>
      </c>
      <c r="X2616">
        <v>223.02684563758399</v>
      </c>
      <c r="Y2616">
        <v>0</v>
      </c>
      <c r="Z2616">
        <v>24.513422818791899</v>
      </c>
      <c r="AA2616">
        <v>0</v>
      </c>
      <c r="AB2616">
        <v>1.9364156531007499</v>
      </c>
      <c r="AC2616">
        <v>2.8617306392101999E-2</v>
      </c>
      <c r="AD2616">
        <v>0.577076734162417</v>
      </c>
      <c r="AE2616">
        <v>0.78885499883018095</v>
      </c>
      <c r="AF2616">
        <v>401.760067114094</v>
      </c>
      <c r="AG2616">
        <f>IFERROR(AH2616*0.1, "N/A")</f>
        <v>8.2000000000000011</v>
      </c>
      <c r="AH2616">
        <v>82</v>
      </c>
      <c r="AI2616">
        <v>154.365976045596</v>
      </c>
      <c r="AJ2616">
        <v>47.380872483221502</v>
      </c>
      <c r="AK2616">
        <v>29.238255033557</v>
      </c>
    </row>
    <row r="2617" spans="1:37" x14ac:dyDescent="0.3">
      <c r="A2617">
        <v>2616</v>
      </c>
      <c r="B2617">
        <v>9.4</v>
      </c>
      <c r="C2617">
        <v>33.185001</v>
      </c>
      <c r="D2617">
        <v>14.7904</v>
      </c>
      <c r="E2617" t="s">
        <v>4551</v>
      </c>
      <c r="F2617" t="s">
        <v>4552</v>
      </c>
      <c r="G2617" t="s">
        <v>37</v>
      </c>
      <c r="H2617">
        <v>1982</v>
      </c>
      <c r="I2617">
        <v>28.5</v>
      </c>
      <c r="J2617">
        <v>17</v>
      </c>
      <c r="K2617">
        <v>60</v>
      </c>
      <c r="L2617">
        <v>31.409999847412099</v>
      </c>
      <c r="M2617">
        <v>41.599998474121101</v>
      </c>
      <c r="N2617">
        <v>13.6000003814697</v>
      </c>
      <c r="O2617">
        <v>28</v>
      </c>
      <c r="P2617">
        <v>29.5</v>
      </c>
      <c r="Q2617">
        <v>25</v>
      </c>
      <c r="R2617">
        <v>32.099998474121101</v>
      </c>
      <c r="S2617">
        <v>23.899999618530298</v>
      </c>
      <c r="T2617">
        <v>242</v>
      </c>
      <c r="U2617">
        <v>98</v>
      </c>
      <c r="V2617">
        <v>0</v>
      </c>
      <c r="W2617">
        <v>153</v>
      </c>
      <c r="X2617">
        <v>214</v>
      </c>
      <c r="Y2617">
        <v>0</v>
      </c>
      <c r="Z2617">
        <v>21</v>
      </c>
      <c r="AA2617">
        <v>0</v>
      </c>
      <c r="AB2617">
        <v>1.71153468511575</v>
      </c>
      <c r="AC2617">
        <v>8.4083418402329992E-3</v>
      </c>
      <c r="AD2617">
        <v>0.97445623701232698</v>
      </c>
      <c r="AE2617">
        <v>0.79946422576904297</v>
      </c>
      <c r="AF2617">
        <v>401.86622073578599</v>
      </c>
      <c r="AG2617">
        <f>IFERROR(AH2617*0.1, "N/A")</f>
        <v>7.9620401337792703</v>
      </c>
      <c r="AH2617">
        <v>79.6204013377927</v>
      </c>
      <c r="AI2617">
        <v>116.94646017527501</v>
      </c>
      <c r="AJ2617">
        <v>46.7709030100334</v>
      </c>
      <c r="AK2617">
        <v>30.234113712374601</v>
      </c>
    </row>
    <row r="2618" spans="1:37" x14ac:dyDescent="0.3">
      <c r="A2618">
        <v>2617</v>
      </c>
      <c r="B2618">
        <v>24.299999</v>
      </c>
      <c r="C2618">
        <v>33.208500000000001</v>
      </c>
      <c r="D2618">
        <v>14.8207</v>
      </c>
      <c r="E2618" t="s">
        <v>4553</v>
      </c>
      <c r="F2618" t="s">
        <v>4554</v>
      </c>
      <c r="G2618" t="s">
        <v>37</v>
      </c>
      <c r="H2618">
        <v>1982</v>
      </c>
      <c r="I2618">
        <v>28.5</v>
      </c>
      <c r="J2618">
        <v>17</v>
      </c>
      <c r="K2618">
        <v>60</v>
      </c>
      <c r="L2618">
        <v>31.6653268357218</v>
      </c>
      <c r="M2618">
        <v>41.599998474121101</v>
      </c>
      <c r="N2618">
        <v>13.6000003814697</v>
      </c>
      <c r="O2618">
        <v>28</v>
      </c>
      <c r="P2618">
        <v>29.5</v>
      </c>
      <c r="Q2618">
        <v>25</v>
      </c>
      <c r="R2618">
        <v>32.200000762939503</v>
      </c>
      <c r="S2618">
        <v>23.899999618530298</v>
      </c>
      <c r="T2618">
        <v>234</v>
      </c>
      <c r="U2618">
        <v>94</v>
      </c>
      <c r="V2618">
        <v>0</v>
      </c>
      <c r="W2618">
        <v>155</v>
      </c>
      <c r="X2618">
        <v>207</v>
      </c>
      <c r="Y2618">
        <v>0</v>
      </c>
      <c r="Z2618">
        <v>20</v>
      </c>
      <c r="AA2618">
        <v>0</v>
      </c>
      <c r="AB2618">
        <v>1.26601273170867</v>
      </c>
      <c r="AC2618">
        <v>8.2689021297509997E-3</v>
      </c>
      <c r="AD2618">
        <v>0.78318040524695198</v>
      </c>
      <c r="AE2618">
        <v>0.66578918695449796</v>
      </c>
      <c r="AF2618">
        <v>400.99664991624797</v>
      </c>
      <c r="AG2618">
        <f>IFERROR(AH2618*0.1, "N/A")</f>
        <v>8.1807370184254591</v>
      </c>
      <c r="AH2618">
        <v>81.807370184254594</v>
      </c>
      <c r="AI2618">
        <v>179.05839863174899</v>
      </c>
      <c r="AJ2618">
        <v>46.587939698492498</v>
      </c>
      <c r="AK2618">
        <v>30</v>
      </c>
    </row>
    <row r="2619" spans="1:37" x14ac:dyDescent="0.3">
      <c r="A2619">
        <v>2618</v>
      </c>
      <c r="B2619">
        <v>9.5</v>
      </c>
      <c r="C2619">
        <v>33.183998000000003</v>
      </c>
      <c r="D2619">
        <v>14.9023</v>
      </c>
      <c r="E2619" t="s">
        <v>4555</v>
      </c>
      <c r="F2619" t="s">
        <v>4556</v>
      </c>
      <c r="G2619" t="s">
        <v>37</v>
      </c>
      <c r="H2619">
        <v>1982</v>
      </c>
      <c r="I2619">
        <v>28.399999618530298</v>
      </c>
      <c r="J2619">
        <v>16.799999237060501</v>
      </c>
      <c r="K2619">
        <v>60</v>
      </c>
      <c r="L2619">
        <v>31.732981185018499</v>
      </c>
      <c r="M2619">
        <v>41.299999237060497</v>
      </c>
      <c r="N2619">
        <v>13.6000003814697</v>
      </c>
      <c r="O2619">
        <v>27.700000762939499</v>
      </c>
      <c r="P2619">
        <v>29.429815477662</v>
      </c>
      <c r="Q2619">
        <v>24.899999618530298</v>
      </c>
      <c r="R2619">
        <v>32</v>
      </c>
      <c r="S2619">
        <v>23.700000762939499</v>
      </c>
      <c r="T2619">
        <v>213</v>
      </c>
      <c r="U2619">
        <v>85</v>
      </c>
      <c r="V2619">
        <v>0</v>
      </c>
      <c r="W2619">
        <v>159</v>
      </c>
      <c r="X2619">
        <v>191</v>
      </c>
      <c r="Y2619">
        <v>0</v>
      </c>
      <c r="Z2619">
        <v>16</v>
      </c>
      <c r="AA2619">
        <v>0</v>
      </c>
      <c r="AB2619">
        <v>0.67404747328766201</v>
      </c>
      <c r="AC2619">
        <v>1.9563942387936999E-2</v>
      </c>
      <c r="AD2619">
        <v>1.11306551008967</v>
      </c>
      <c r="AE2619">
        <v>0.80384230613708496</v>
      </c>
      <c r="AF2619">
        <v>401.81239530988302</v>
      </c>
      <c r="AG2619">
        <f>IFERROR(AH2619*0.1, "N/A")</f>
        <v>7.8023450586264707</v>
      </c>
      <c r="AH2619">
        <v>78.023450586264701</v>
      </c>
      <c r="AI2619">
        <v>214.28127858786499</v>
      </c>
      <c r="AJ2619">
        <v>52.023450586264701</v>
      </c>
      <c r="AK2619">
        <v>25.976549413735299</v>
      </c>
    </row>
    <row r="2620" spans="1:37" x14ac:dyDescent="0.3">
      <c r="A2620">
        <v>2619</v>
      </c>
      <c r="B2620">
        <v>36.5</v>
      </c>
      <c r="C2620">
        <v>33.076500000000003</v>
      </c>
      <c r="D2620">
        <v>14.9306</v>
      </c>
      <c r="E2620" t="s">
        <v>4557</v>
      </c>
      <c r="F2620" t="s">
        <v>4558</v>
      </c>
      <c r="G2620" t="s">
        <v>37</v>
      </c>
      <c r="H2620">
        <v>1982</v>
      </c>
      <c r="I2620">
        <v>28.399999618530298</v>
      </c>
      <c r="J2620">
        <v>16.600000381469702</v>
      </c>
      <c r="K2620">
        <v>60</v>
      </c>
      <c r="L2620">
        <v>32</v>
      </c>
      <c r="M2620">
        <v>41.200000762939503</v>
      </c>
      <c r="N2620">
        <v>13.800000190734901</v>
      </c>
      <c r="O2620">
        <v>27.399999618530298</v>
      </c>
      <c r="P2620">
        <v>29.600000381469702</v>
      </c>
      <c r="Q2620">
        <v>24.799999237060501</v>
      </c>
      <c r="R2620">
        <v>31.899999618530298</v>
      </c>
      <c r="S2620">
        <v>23.600000381469702</v>
      </c>
      <c r="T2620">
        <v>210</v>
      </c>
      <c r="U2620">
        <v>82</v>
      </c>
      <c r="V2620">
        <v>0</v>
      </c>
      <c r="W2620">
        <v>158</v>
      </c>
      <c r="X2620">
        <v>190</v>
      </c>
      <c r="Y2620">
        <v>0</v>
      </c>
      <c r="Z2620">
        <v>15</v>
      </c>
      <c r="AA2620">
        <v>0</v>
      </c>
      <c r="AB2620">
        <v>0.51741986298680898</v>
      </c>
      <c r="AC2620">
        <v>2.4669768114011E-2</v>
      </c>
      <c r="AD2620">
        <v>0.783299179033219</v>
      </c>
      <c r="AE2620">
        <v>0.79078966379165605</v>
      </c>
      <c r="AF2620">
        <v>398.938023450586</v>
      </c>
      <c r="AG2620">
        <f>IFERROR(AH2620*0.1, "N/A")</f>
        <v>8.9</v>
      </c>
      <c r="AH2620">
        <v>89</v>
      </c>
      <c r="AI2620">
        <v>179.63827285894399</v>
      </c>
      <c r="AJ2620">
        <v>46.787269681742004</v>
      </c>
      <c r="AK2620">
        <v>28.212730318258</v>
      </c>
    </row>
    <row r="2621" spans="1:37" x14ac:dyDescent="0.3">
      <c r="A2621">
        <v>2620</v>
      </c>
      <c r="B2621">
        <v>54.700001</v>
      </c>
      <c r="C2621">
        <v>33.016601999999999</v>
      </c>
      <c r="D2621">
        <v>14.9459</v>
      </c>
      <c r="E2621" t="s">
        <v>4559</v>
      </c>
      <c r="F2621" t="s">
        <v>4560</v>
      </c>
      <c r="G2621" t="s">
        <v>37</v>
      </c>
      <c r="H2621">
        <v>1982</v>
      </c>
      <c r="I2621">
        <v>28.399999618530298</v>
      </c>
      <c r="J2621">
        <v>16.444127303641899</v>
      </c>
      <c r="K2621">
        <v>60</v>
      </c>
      <c r="L2621">
        <v>32.062350420343797</v>
      </c>
      <c r="M2621">
        <v>41.099998474121101</v>
      </c>
      <c r="N2621">
        <v>13.8999996185303</v>
      </c>
      <c r="O2621">
        <v>27.200000762939499</v>
      </c>
      <c r="P2621">
        <v>29.600000381469702</v>
      </c>
      <c r="Q2621">
        <v>24.799999237060501</v>
      </c>
      <c r="R2621">
        <v>31.899999618530298</v>
      </c>
      <c r="S2621">
        <v>23.600000381469702</v>
      </c>
      <c r="T2621">
        <v>214.55872483221501</v>
      </c>
      <c r="U2621">
        <v>82</v>
      </c>
      <c r="V2621">
        <v>0</v>
      </c>
      <c r="W2621">
        <v>158.55872483221501</v>
      </c>
      <c r="X2621">
        <v>190.55872483221501</v>
      </c>
      <c r="Y2621">
        <v>0</v>
      </c>
      <c r="Z2621">
        <v>18</v>
      </c>
      <c r="AA2621">
        <v>0</v>
      </c>
      <c r="AB2621">
        <v>0.32852889707424499</v>
      </c>
      <c r="AC2621">
        <v>0.102291143299299</v>
      </c>
      <c r="AD2621">
        <v>0.99995053054502303</v>
      </c>
      <c r="AE2621">
        <v>0.58779086142578396</v>
      </c>
      <c r="AF2621">
        <v>397.17785234899299</v>
      </c>
      <c r="AG2621">
        <f>IFERROR(AH2621*0.1, "N/A")</f>
        <v>8.8437919463087198</v>
      </c>
      <c r="AH2621">
        <v>88.437919463087198</v>
      </c>
      <c r="AI2621">
        <v>127.813439724429</v>
      </c>
      <c r="AJ2621">
        <v>33.419463087248303</v>
      </c>
      <c r="AK2621">
        <v>43.583892617449699</v>
      </c>
    </row>
    <row r="2622" spans="1:37" x14ac:dyDescent="0.3">
      <c r="A2622">
        <v>2621</v>
      </c>
      <c r="B2622">
        <v>17.299999</v>
      </c>
      <c r="C2622">
        <v>33.087898000000003</v>
      </c>
      <c r="D2622">
        <v>14.976000000000001</v>
      </c>
      <c r="E2622" t="s">
        <v>4561</v>
      </c>
      <c r="F2622" t="s">
        <v>4562</v>
      </c>
      <c r="G2622" t="s">
        <v>37</v>
      </c>
      <c r="H2622">
        <v>1982</v>
      </c>
      <c r="I2622">
        <v>28.299999237060501</v>
      </c>
      <c r="J2622">
        <v>16.5</v>
      </c>
      <c r="K2622">
        <v>60</v>
      </c>
      <c r="L2622">
        <v>32.299999237060497</v>
      </c>
      <c r="M2622">
        <v>41.099998474121101</v>
      </c>
      <c r="N2622">
        <v>13.699999809265099</v>
      </c>
      <c r="O2622">
        <v>27.399999618530298</v>
      </c>
      <c r="P2622">
        <v>29.600000381469702</v>
      </c>
      <c r="Q2622">
        <v>24.700000762939499</v>
      </c>
      <c r="R2622">
        <v>31.899999618530298</v>
      </c>
      <c r="S2622">
        <v>23.5</v>
      </c>
      <c r="T2622">
        <v>204</v>
      </c>
      <c r="U2622">
        <v>78</v>
      </c>
      <c r="V2622">
        <v>0</v>
      </c>
      <c r="W2622">
        <v>152</v>
      </c>
      <c r="X2622">
        <v>183</v>
      </c>
      <c r="Y2622">
        <v>0</v>
      </c>
      <c r="Z2622">
        <v>16</v>
      </c>
      <c r="AA2622">
        <v>0</v>
      </c>
      <c r="AB2622">
        <v>1.0852681068918799</v>
      </c>
      <c r="AC2622">
        <v>1.4076244438587999E-2</v>
      </c>
      <c r="AD2622">
        <v>1.0809729795160401</v>
      </c>
      <c r="AE2622">
        <v>0.79019957780838002</v>
      </c>
      <c r="AF2622">
        <v>397.06365159129001</v>
      </c>
      <c r="AG2622">
        <f>IFERROR(AH2622*0.1, "N/A")</f>
        <v>8.6</v>
      </c>
      <c r="AH2622">
        <v>86</v>
      </c>
      <c r="AI2622">
        <v>247.824005893726</v>
      </c>
      <c r="AJ2622">
        <v>42.284757118927999</v>
      </c>
      <c r="AK2622">
        <v>34.467336683417102</v>
      </c>
    </row>
    <row r="2623" spans="1:37" x14ac:dyDescent="0.3">
      <c r="A2623">
        <v>2622</v>
      </c>
      <c r="B2623">
        <v>32.299999</v>
      </c>
      <c r="C2623">
        <v>33.105099000000003</v>
      </c>
      <c r="D2623">
        <v>14.9991</v>
      </c>
      <c r="E2623" t="s">
        <v>4563</v>
      </c>
      <c r="F2623" t="s">
        <v>4564</v>
      </c>
      <c r="G2623" t="s">
        <v>37</v>
      </c>
      <c r="H2623">
        <v>1982</v>
      </c>
      <c r="I2623">
        <v>28.299999237060501</v>
      </c>
      <c r="J2623">
        <v>16.5</v>
      </c>
      <c r="K2623">
        <v>60</v>
      </c>
      <c r="L2623">
        <v>32.330001831054702</v>
      </c>
      <c r="M2623">
        <v>41.099998474121101</v>
      </c>
      <c r="N2623">
        <v>13.699999809265099</v>
      </c>
      <c r="O2623">
        <v>27.399999618530298</v>
      </c>
      <c r="P2623">
        <v>29.600000381469702</v>
      </c>
      <c r="Q2623">
        <v>24.600000381469702</v>
      </c>
      <c r="R2623">
        <v>31.899999618530298</v>
      </c>
      <c r="S2623">
        <v>23.5</v>
      </c>
      <c r="T2623">
        <v>199</v>
      </c>
      <c r="U2623">
        <v>77</v>
      </c>
      <c r="V2623">
        <v>0</v>
      </c>
      <c r="W2623">
        <v>157</v>
      </c>
      <c r="X2623">
        <v>179</v>
      </c>
      <c r="Y2623">
        <v>0</v>
      </c>
      <c r="Z2623">
        <v>15</v>
      </c>
      <c r="AA2623">
        <v>0</v>
      </c>
      <c r="AB2623">
        <v>1.01738813011144</v>
      </c>
      <c r="AC2623">
        <v>8.2621853082229992E-3</v>
      </c>
      <c r="AD2623">
        <v>1.06776538326788</v>
      </c>
      <c r="AE2623">
        <v>0.64064139127731301</v>
      </c>
      <c r="AF2623">
        <v>398.03846153846098</v>
      </c>
      <c r="AG2623">
        <f>IFERROR(AH2623*0.1, "N/A")</f>
        <v>8.9</v>
      </c>
      <c r="AH2623">
        <v>89</v>
      </c>
      <c r="AI2623">
        <v>220.292463487606</v>
      </c>
      <c r="AJ2623">
        <v>36.374581939799299</v>
      </c>
      <c r="AK2623">
        <v>40.083612040133801</v>
      </c>
    </row>
    <row r="2624" spans="1:37" x14ac:dyDescent="0.3">
      <c r="A2624">
        <v>2623</v>
      </c>
      <c r="B2624">
        <v>18.600000000000001</v>
      </c>
      <c r="C2624">
        <v>33.016998000000001</v>
      </c>
      <c r="D2624">
        <v>15.011699999999999</v>
      </c>
      <c r="E2624" t="s">
        <v>4565</v>
      </c>
      <c r="F2624" t="s">
        <v>4566</v>
      </c>
      <c r="G2624" t="s">
        <v>37</v>
      </c>
      <c r="H2624">
        <v>1982</v>
      </c>
      <c r="I2624">
        <v>28.299999237060501</v>
      </c>
      <c r="J2624">
        <v>16.299999237060501</v>
      </c>
      <c r="K2624">
        <v>59.227424749163902</v>
      </c>
      <c r="L2624">
        <v>32.333143202357498</v>
      </c>
      <c r="M2624">
        <v>41</v>
      </c>
      <c r="N2624">
        <v>13.822742535517801</v>
      </c>
      <c r="O2624">
        <v>27.177258201267399</v>
      </c>
      <c r="P2624">
        <v>29.600000381469702</v>
      </c>
      <c r="Q2624">
        <v>24.622742943141802</v>
      </c>
      <c r="R2624">
        <v>31.799999237060501</v>
      </c>
      <c r="S2624">
        <v>23.5</v>
      </c>
      <c r="T2624">
        <v>214</v>
      </c>
      <c r="U2624">
        <v>82</v>
      </c>
      <c r="V2624">
        <v>0</v>
      </c>
      <c r="W2624">
        <v>157</v>
      </c>
      <c r="X2624">
        <v>188</v>
      </c>
      <c r="Y2624">
        <v>0</v>
      </c>
      <c r="Z2624">
        <v>20</v>
      </c>
      <c r="AA2624">
        <v>0</v>
      </c>
      <c r="AB2624">
        <v>0.33292968137607098</v>
      </c>
      <c r="AC2624">
        <v>8.7037936887120002E-3</v>
      </c>
      <c r="AD2624">
        <v>1.0970806983801</v>
      </c>
      <c r="AE2624">
        <v>0.79252884659081402</v>
      </c>
      <c r="AF2624">
        <v>397.44147157190599</v>
      </c>
      <c r="AG2624">
        <f>IFERROR(AH2624*0.1, "N/A")</f>
        <v>8.3792642140468203</v>
      </c>
      <c r="AH2624">
        <v>83.792642140468203</v>
      </c>
      <c r="AI2624">
        <v>161.13234535587301</v>
      </c>
      <c r="AJ2624">
        <v>45.712374581939798</v>
      </c>
      <c r="AK2624">
        <v>28.478260869565201</v>
      </c>
    </row>
    <row r="2625" spans="1:37" x14ac:dyDescent="0.3">
      <c r="A2625">
        <v>2624</v>
      </c>
      <c r="B2625">
        <v>14.4</v>
      </c>
      <c r="C2625">
        <v>33.095599999999997</v>
      </c>
      <c r="D2625">
        <v>15.013999999999999</v>
      </c>
      <c r="E2625" t="s">
        <v>4567</v>
      </c>
      <c r="F2625" t="s">
        <v>4568</v>
      </c>
      <c r="G2625" t="s">
        <v>37</v>
      </c>
      <c r="H2625">
        <v>1982</v>
      </c>
      <c r="I2625">
        <v>28.299999237060501</v>
      </c>
      <c r="J2625">
        <v>16.5</v>
      </c>
      <c r="K2625">
        <v>60</v>
      </c>
      <c r="L2625">
        <v>32.790000915527301</v>
      </c>
      <c r="M2625">
        <v>41.099998474121101</v>
      </c>
      <c r="N2625">
        <v>13.6000003814697</v>
      </c>
      <c r="O2625">
        <v>27.5</v>
      </c>
      <c r="P2625">
        <v>29.600000381469702</v>
      </c>
      <c r="Q2625">
        <v>24.600000381469702</v>
      </c>
      <c r="R2625">
        <v>31.899999618530298</v>
      </c>
      <c r="S2625">
        <v>23.399999618530298</v>
      </c>
      <c r="T2625">
        <v>201</v>
      </c>
      <c r="U2625">
        <v>77</v>
      </c>
      <c r="V2625">
        <v>0</v>
      </c>
      <c r="W2625">
        <v>158</v>
      </c>
      <c r="X2625">
        <v>180</v>
      </c>
      <c r="Y2625">
        <v>0</v>
      </c>
      <c r="Z2625">
        <v>16</v>
      </c>
      <c r="AA2625">
        <v>0</v>
      </c>
      <c r="AB2625">
        <v>0.39017678259216398</v>
      </c>
      <c r="AC2625">
        <v>1.6262051347214999E-2</v>
      </c>
      <c r="AD2625">
        <v>1.0958394585750699</v>
      </c>
      <c r="AE2625">
        <v>0.70265090465545699</v>
      </c>
      <c r="AF2625">
        <v>397.76705490848599</v>
      </c>
      <c r="AG2625">
        <f>IFERROR(AH2625*0.1, "N/A")</f>
        <v>8.8540765391015004</v>
      </c>
      <c r="AH2625">
        <v>88.540765391015</v>
      </c>
      <c r="AI2625">
        <v>216.50945195659801</v>
      </c>
      <c r="AJ2625">
        <v>37.575707154742098</v>
      </c>
      <c r="AK2625">
        <v>40.883527454242902</v>
      </c>
    </row>
    <row r="2626" spans="1:37" x14ac:dyDescent="0.3">
      <c r="A2626">
        <v>2625</v>
      </c>
      <c r="B2626">
        <v>36</v>
      </c>
      <c r="C2626">
        <v>33.072398999999997</v>
      </c>
      <c r="D2626">
        <v>15.0319</v>
      </c>
      <c r="E2626" t="s">
        <v>4569</v>
      </c>
      <c r="F2626" t="s">
        <v>4570</v>
      </c>
      <c r="G2626" t="s">
        <v>37</v>
      </c>
      <c r="H2626">
        <v>1982</v>
      </c>
      <c r="I2626">
        <v>28.200000762939499</v>
      </c>
      <c r="J2626">
        <v>16.5</v>
      </c>
      <c r="K2626">
        <v>60</v>
      </c>
      <c r="L2626">
        <v>32.599998474121101</v>
      </c>
      <c r="M2626">
        <v>40.900001525878899</v>
      </c>
      <c r="N2626">
        <v>13.699999809265099</v>
      </c>
      <c r="O2626">
        <v>27.200000762939499</v>
      </c>
      <c r="P2626">
        <v>29.600000381469702</v>
      </c>
      <c r="Q2626">
        <v>24.5</v>
      </c>
      <c r="R2626">
        <v>31.700000762939499</v>
      </c>
      <c r="S2626">
        <v>23.399999618530298</v>
      </c>
      <c r="T2626">
        <v>208</v>
      </c>
      <c r="U2626">
        <v>79</v>
      </c>
      <c r="V2626">
        <v>0</v>
      </c>
      <c r="W2626">
        <v>153</v>
      </c>
      <c r="X2626">
        <v>184</v>
      </c>
      <c r="Y2626">
        <v>0</v>
      </c>
      <c r="Z2626">
        <v>18</v>
      </c>
      <c r="AA2626">
        <v>0</v>
      </c>
      <c r="AB2626">
        <v>0.53646999327074596</v>
      </c>
      <c r="AC2626">
        <v>2.5157698895E-2</v>
      </c>
      <c r="AD2626">
        <v>0.62133696550080797</v>
      </c>
      <c r="AE2626">
        <v>0.73659784653607496</v>
      </c>
      <c r="AF2626">
        <v>397.06554621848699</v>
      </c>
      <c r="AG2626">
        <f>IFERROR(AH2626*0.1, "N/A")</f>
        <v>8.6</v>
      </c>
      <c r="AH2626">
        <v>86</v>
      </c>
      <c r="AI2626">
        <v>47.023927243016303</v>
      </c>
      <c r="AJ2626">
        <v>38.275630252100797</v>
      </c>
      <c r="AK2626">
        <v>37.724369747899203</v>
      </c>
    </row>
    <row r="2627" spans="1:37" x14ac:dyDescent="0.3">
      <c r="A2627">
        <v>2626</v>
      </c>
      <c r="B2627">
        <v>46.200001</v>
      </c>
      <c r="C2627">
        <v>32.936298000000001</v>
      </c>
      <c r="D2627">
        <v>15.037699999999999</v>
      </c>
      <c r="E2627" t="s">
        <v>4571</v>
      </c>
      <c r="F2627" t="s">
        <v>4572</v>
      </c>
      <c r="G2627" t="s">
        <v>37</v>
      </c>
      <c r="H2627">
        <v>1982</v>
      </c>
      <c r="I2627">
        <v>28.399999618530298</v>
      </c>
      <c r="J2627">
        <v>16.200000762939499</v>
      </c>
      <c r="K2627">
        <v>60</v>
      </c>
      <c r="L2627">
        <v>32.700000762939503</v>
      </c>
      <c r="M2627">
        <v>41</v>
      </c>
      <c r="N2627">
        <v>14</v>
      </c>
      <c r="O2627">
        <v>27</v>
      </c>
      <c r="P2627">
        <v>29.799999237060501</v>
      </c>
      <c r="Q2627">
        <v>24.700000762939499</v>
      </c>
      <c r="R2627">
        <v>31.899999618530298</v>
      </c>
      <c r="S2627">
        <v>23.5</v>
      </c>
      <c r="T2627">
        <v>213</v>
      </c>
      <c r="U2627">
        <v>83</v>
      </c>
      <c r="V2627">
        <v>0</v>
      </c>
      <c r="W2627">
        <v>157</v>
      </c>
      <c r="X2627">
        <v>188</v>
      </c>
      <c r="Y2627">
        <v>0</v>
      </c>
      <c r="Z2627">
        <v>19</v>
      </c>
      <c r="AA2627">
        <v>0</v>
      </c>
      <c r="AB2627">
        <v>0.63777972065086697</v>
      </c>
      <c r="AC2627">
        <v>2.8760641993935999E-2</v>
      </c>
      <c r="AD2627">
        <v>0.83740994822620196</v>
      </c>
      <c r="AE2627">
        <v>0.78160275304596605</v>
      </c>
      <c r="AF2627">
        <v>394.39464882943201</v>
      </c>
      <c r="AG2627">
        <f>IFERROR(AH2627*0.1, "N/A")</f>
        <v>8.6742474916388002</v>
      </c>
      <c r="AH2627">
        <v>86.742474916388005</v>
      </c>
      <c r="AI2627">
        <v>110.353243990487</v>
      </c>
      <c r="AJ2627">
        <v>40.386287625418099</v>
      </c>
      <c r="AK2627">
        <v>33.742474916387998</v>
      </c>
    </row>
    <row r="2628" spans="1:37" x14ac:dyDescent="0.3">
      <c r="A2628">
        <v>2627</v>
      </c>
      <c r="B2628">
        <v>25</v>
      </c>
      <c r="C2628">
        <v>33.093899</v>
      </c>
      <c r="D2628">
        <v>15.062900000000001</v>
      </c>
      <c r="E2628" t="s">
        <v>4573</v>
      </c>
      <c r="F2628" t="s">
        <v>4574</v>
      </c>
      <c r="G2628" t="s">
        <v>37</v>
      </c>
      <c r="H2628">
        <v>1982</v>
      </c>
      <c r="I2628">
        <v>28.200000762939499</v>
      </c>
      <c r="J2628">
        <v>16.399999618530298</v>
      </c>
      <c r="K2628">
        <v>60</v>
      </c>
      <c r="L2628">
        <v>32.840000152587898</v>
      </c>
      <c r="M2628">
        <v>40.900001525878899</v>
      </c>
      <c r="N2628">
        <v>13.699999809265099</v>
      </c>
      <c r="O2628">
        <v>27.200000762939499</v>
      </c>
      <c r="P2628">
        <v>29.600000381469702</v>
      </c>
      <c r="Q2628">
        <v>24.5</v>
      </c>
      <c r="R2628">
        <v>31.700000762939499</v>
      </c>
      <c r="S2628">
        <v>23.299999237060501</v>
      </c>
      <c r="T2628">
        <v>204</v>
      </c>
      <c r="U2628">
        <v>78</v>
      </c>
      <c r="V2628">
        <v>0</v>
      </c>
      <c r="W2628">
        <v>150</v>
      </c>
      <c r="X2628">
        <v>180</v>
      </c>
      <c r="Y2628">
        <v>0</v>
      </c>
      <c r="Z2628">
        <v>19</v>
      </c>
      <c r="AA2628">
        <v>0</v>
      </c>
      <c r="AB2628">
        <v>1.28053811092505</v>
      </c>
      <c r="AC2628">
        <v>1.2306497877638999E-2</v>
      </c>
      <c r="AD2628">
        <v>0.76449611633015901</v>
      </c>
      <c r="AE2628">
        <v>0.78554919282061897</v>
      </c>
      <c r="AF2628">
        <v>395.24161073825502</v>
      </c>
      <c r="AG2628">
        <f>IFERROR(AH2628*0.1, "N/A")</f>
        <v>8.6390939597315395</v>
      </c>
      <c r="AH2628">
        <v>86.390939597315395</v>
      </c>
      <c r="AI2628">
        <v>75.898122262634701</v>
      </c>
      <c r="AJ2628">
        <v>37.043624161073801</v>
      </c>
      <c r="AK2628">
        <v>36.478187919463103</v>
      </c>
    </row>
    <row r="2629" spans="1:37" x14ac:dyDescent="0.3">
      <c r="A2629">
        <v>2628</v>
      </c>
      <c r="B2629">
        <v>62.900002000000001</v>
      </c>
      <c r="C2629">
        <v>32.997002000000002</v>
      </c>
      <c r="D2629">
        <v>14.248699999999999</v>
      </c>
      <c r="E2629" t="s">
        <v>4575</v>
      </c>
      <c r="F2629" t="s">
        <v>4576</v>
      </c>
      <c r="G2629" t="s">
        <v>37</v>
      </c>
      <c r="H2629">
        <v>1988</v>
      </c>
      <c r="I2629">
        <v>28.600000381469702</v>
      </c>
      <c r="J2629">
        <v>16.200000762939499</v>
      </c>
      <c r="K2629">
        <v>61</v>
      </c>
      <c r="L2629">
        <v>27.690000534057599</v>
      </c>
      <c r="M2629">
        <v>41.200000762939503</v>
      </c>
      <c r="N2629">
        <v>14.800000190734901</v>
      </c>
      <c r="O2629">
        <v>26.399999618530298</v>
      </c>
      <c r="P2629">
        <v>28.899999618530298</v>
      </c>
      <c r="Q2629">
        <v>25.700000762939499</v>
      </c>
      <c r="R2629">
        <v>31.899999618530298</v>
      </c>
      <c r="S2629">
        <v>24.5</v>
      </c>
      <c r="T2629">
        <v>279</v>
      </c>
      <c r="U2629">
        <v>118</v>
      </c>
      <c r="V2629">
        <v>0</v>
      </c>
      <c r="W2629">
        <v>158</v>
      </c>
      <c r="X2629">
        <v>246</v>
      </c>
      <c r="Y2629">
        <v>0</v>
      </c>
      <c r="Z2629">
        <v>29</v>
      </c>
      <c r="AA2629">
        <v>0</v>
      </c>
      <c r="AB2629">
        <v>1.49679247431394</v>
      </c>
      <c r="AC2629">
        <v>0.14697663164815</v>
      </c>
      <c r="AD2629">
        <v>1.4089767758585801</v>
      </c>
      <c r="AE2629">
        <v>0.71126329898834195</v>
      </c>
      <c r="AF2629">
        <v>415.49747899159701</v>
      </c>
      <c r="AG2629">
        <f>IFERROR(AH2629*0.1, "N/A")</f>
        <v>7.4</v>
      </c>
      <c r="AH2629">
        <v>74</v>
      </c>
      <c r="AI2629">
        <v>173.00716715259699</v>
      </c>
      <c r="AJ2629">
        <v>33</v>
      </c>
      <c r="AK2629">
        <v>48.779831932773099</v>
      </c>
    </row>
    <row r="2630" spans="1:37" x14ac:dyDescent="0.3">
      <c r="A2630">
        <v>2629</v>
      </c>
      <c r="B2630">
        <v>0</v>
      </c>
      <c r="C2630">
        <v>33.243800999999998</v>
      </c>
      <c r="D2630">
        <v>14.750299999999999</v>
      </c>
      <c r="E2630" t="s">
        <v>4549</v>
      </c>
      <c r="F2630" t="s">
        <v>4577</v>
      </c>
      <c r="G2630" t="s">
        <v>39</v>
      </c>
      <c r="H2630">
        <v>1989</v>
      </c>
      <c r="I2630">
        <v>28.551342477734501</v>
      </c>
      <c r="J2630">
        <v>17.151342859204199</v>
      </c>
      <c r="K2630">
        <v>60</v>
      </c>
      <c r="L2630">
        <v>31.505671270741701</v>
      </c>
      <c r="M2630">
        <v>41.751342261397603</v>
      </c>
      <c r="N2630">
        <v>13.5</v>
      </c>
      <c r="O2630">
        <v>28.2513422613976</v>
      </c>
      <c r="P2630">
        <v>29.399999618530298</v>
      </c>
      <c r="Q2630">
        <v>25.100000381469702</v>
      </c>
      <c r="R2630">
        <v>32.251342261397603</v>
      </c>
      <c r="S2630">
        <v>23.899999618530298</v>
      </c>
      <c r="T2630">
        <v>255.540268456376</v>
      </c>
      <c r="U2630">
        <v>103.51342281879199</v>
      </c>
      <c r="V2630">
        <v>0</v>
      </c>
      <c r="W2630">
        <v>153.02684563758399</v>
      </c>
      <c r="X2630">
        <v>223.02684563758399</v>
      </c>
      <c r="Y2630">
        <v>0</v>
      </c>
      <c r="Z2630">
        <v>24.513422818791899</v>
      </c>
      <c r="AA2630">
        <v>0</v>
      </c>
      <c r="AB2630">
        <v>1.9364156531007499</v>
      </c>
      <c r="AC2630">
        <v>2.8617306392101999E-2</v>
      </c>
      <c r="AD2630">
        <v>0.577076734162417</v>
      </c>
      <c r="AE2630">
        <v>0.78885499883018095</v>
      </c>
      <c r="AF2630">
        <v>401.760067114094</v>
      </c>
      <c r="AG2630">
        <f>IFERROR(AH2630*0.1, "N/A")</f>
        <v>8.2000000000000011</v>
      </c>
      <c r="AH2630">
        <v>82</v>
      </c>
      <c r="AI2630">
        <v>154.365976045596</v>
      </c>
      <c r="AJ2630">
        <v>47.380872483221502</v>
      </c>
      <c r="AK2630">
        <v>29.238255033557</v>
      </c>
    </row>
    <row r="2631" spans="1:37" x14ac:dyDescent="0.3">
      <c r="A2631">
        <v>2630</v>
      </c>
      <c r="B2631">
        <v>20.299999</v>
      </c>
      <c r="C2631">
        <v>32.823898</v>
      </c>
      <c r="D2631">
        <v>14.372999999999999</v>
      </c>
      <c r="E2631" t="s">
        <v>4578</v>
      </c>
      <c r="F2631" t="s">
        <v>4579</v>
      </c>
      <c r="G2631" t="s">
        <v>37</v>
      </c>
      <c r="H2631">
        <v>1989</v>
      </c>
      <c r="I2631">
        <v>28.700000762939499</v>
      </c>
      <c r="J2631">
        <v>16</v>
      </c>
      <c r="K2631">
        <v>60</v>
      </c>
      <c r="L2631">
        <v>28.809999465942401</v>
      </c>
      <c r="M2631">
        <v>41.299999237060497</v>
      </c>
      <c r="N2631">
        <v>14.8999996185303</v>
      </c>
      <c r="O2631">
        <v>26.399999618530298</v>
      </c>
      <c r="P2631">
        <v>29.200000762939499</v>
      </c>
      <c r="Q2631">
        <v>25.600000381469702</v>
      </c>
      <c r="R2631">
        <v>32.099998474121101</v>
      </c>
      <c r="S2631">
        <v>24.399999618530298</v>
      </c>
      <c r="T2631">
        <v>258</v>
      </c>
      <c r="U2631">
        <v>106</v>
      </c>
      <c r="V2631">
        <v>0</v>
      </c>
      <c r="W2631">
        <v>157</v>
      </c>
      <c r="X2631">
        <v>227</v>
      </c>
      <c r="Y2631">
        <v>0</v>
      </c>
      <c r="Z2631">
        <v>26</v>
      </c>
      <c r="AA2631">
        <v>0</v>
      </c>
      <c r="AB2631">
        <v>0.48015690651260501</v>
      </c>
      <c r="AC2631">
        <v>1.2156613410583999E-2</v>
      </c>
      <c r="AD2631">
        <v>1.9574980304521701</v>
      </c>
      <c r="AE2631">
        <v>0.72488641738891602</v>
      </c>
      <c r="AF2631">
        <v>402.32268907563002</v>
      </c>
      <c r="AG2631">
        <f>IFERROR(AH2631*0.1, "N/A")</f>
        <v>7.8000000000000007</v>
      </c>
      <c r="AH2631">
        <v>78</v>
      </c>
      <c r="AI2631">
        <v>256.24958072950898</v>
      </c>
      <c r="AJ2631">
        <v>45</v>
      </c>
      <c r="AK2631">
        <v>30</v>
      </c>
    </row>
    <row r="2632" spans="1:37" x14ac:dyDescent="0.3">
      <c r="A2632">
        <v>2631</v>
      </c>
      <c r="B2632">
        <v>6.8</v>
      </c>
      <c r="C2632">
        <v>32.823898</v>
      </c>
      <c r="D2632">
        <v>14.372999999999999</v>
      </c>
      <c r="E2632" t="s">
        <v>4578</v>
      </c>
      <c r="F2632" t="s">
        <v>4580</v>
      </c>
      <c r="G2632" t="s">
        <v>39</v>
      </c>
      <c r="H2632">
        <v>1989</v>
      </c>
      <c r="I2632">
        <v>28.700000762939499</v>
      </c>
      <c r="J2632">
        <v>16</v>
      </c>
      <c r="K2632">
        <v>60</v>
      </c>
      <c r="L2632">
        <v>28.809999465942401</v>
      </c>
      <c r="M2632">
        <v>41.299999237060497</v>
      </c>
      <c r="N2632">
        <v>14.8999996185303</v>
      </c>
      <c r="O2632">
        <v>26.399999618530298</v>
      </c>
      <c r="P2632">
        <v>29.200000762939499</v>
      </c>
      <c r="Q2632">
        <v>25.600000381469702</v>
      </c>
      <c r="R2632">
        <v>32.099998474121101</v>
      </c>
      <c r="S2632">
        <v>24.399999618530298</v>
      </c>
      <c r="T2632">
        <v>258</v>
      </c>
      <c r="U2632">
        <v>106</v>
      </c>
      <c r="V2632">
        <v>0</v>
      </c>
      <c r="W2632">
        <v>157</v>
      </c>
      <c r="X2632">
        <v>227</v>
      </c>
      <c r="Y2632">
        <v>0</v>
      </c>
      <c r="Z2632">
        <v>26</v>
      </c>
      <c r="AA2632">
        <v>0</v>
      </c>
      <c r="AB2632">
        <v>0.48015690651260501</v>
      </c>
      <c r="AC2632">
        <v>1.2156613410583999E-2</v>
      </c>
      <c r="AD2632">
        <v>1.9574980304521701</v>
      </c>
      <c r="AE2632">
        <v>0.72488641738891602</v>
      </c>
      <c r="AF2632">
        <v>402.32268907563002</v>
      </c>
      <c r="AG2632">
        <f>IFERROR(AH2632*0.1, "N/A")</f>
        <v>7.8000000000000007</v>
      </c>
      <c r="AH2632">
        <v>78</v>
      </c>
      <c r="AI2632">
        <v>256.24958072950898</v>
      </c>
      <c r="AJ2632">
        <v>45</v>
      </c>
      <c r="AK2632">
        <v>30</v>
      </c>
    </row>
    <row r="2633" spans="1:37" x14ac:dyDescent="0.3">
      <c r="A2633">
        <v>2632</v>
      </c>
      <c r="B2633">
        <v>10.5</v>
      </c>
      <c r="C2633">
        <v>34.310799000000003</v>
      </c>
      <c r="D2633">
        <v>13.795999999999999</v>
      </c>
      <c r="E2633" t="s">
        <v>4581</v>
      </c>
      <c r="F2633" t="s">
        <v>4582</v>
      </c>
      <c r="G2633" t="s">
        <v>37</v>
      </c>
      <c r="H2633">
        <v>1989</v>
      </c>
      <c r="I2633">
        <v>28.700000762939499</v>
      </c>
      <c r="J2633">
        <v>16.600000381469702</v>
      </c>
      <c r="K2633">
        <v>65</v>
      </c>
      <c r="L2633">
        <v>21.440000534057599</v>
      </c>
      <c r="M2633">
        <v>41.299999237060497</v>
      </c>
      <c r="N2633">
        <v>15.8999996185303</v>
      </c>
      <c r="O2633">
        <v>25.399999618530298</v>
      </c>
      <c r="P2633">
        <v>27.899999618530298</v>
      </c>
      <c r="Q2633">
        <v>27</v>
      </c>
      <c r="R2633">
        <v>31.700000762939499</v>
      </c>
      <c r="S2633">
        <v>26</v>
      </c>
      <c r="T2633">
        <v>505</v>
      </c>
      <c r="U2633">
        <v>168</v>
      </c>
      <c r="V2633">
        <v>0</v>
      </c>
      <c r="W2633">
        <v>129</v>
      </c>
      <c r="X2633">
        <v>384</v>
      </c>
      <c r="Y2633">
        <v>0</v>
      </c>
      <c r="Z2633">
        <v>91</v>
      </c>
      <c r="AA2633">
        <v>0</v>
      </c>
      <c r="AB2633">
        <v>0.306572579048775</v>
      </c>
      <c r="AC2633">
        <v>4.0197121040781998E-2</v>
      </c>
      <c r="AD2633">
        <v>1.4213668427153201</v>
      </c>
      <c r="AE2633">
        <v>0.58248639106750499</v>
      </c>
      <c r="AF2633">
        <v>424.15202702702697</v>
      </c>
      <c r="AG2633">
        <f>IFERROR(AH2633*0.1, "N/A")</f>
        <v>7.6278716216216198</v>
      </c>
      <c r="AH2633">
        <v>76.278716216216196</v>
      </c>
      <c r="AI2633">
        <v>108.37307689641</v>
      </c>
      <c r="AJ2633">
        <v>58.086148648648702</v>
      </c>
      <c r="AK2633">
        <v>16.1283783783784</v>
      </c>
    </row>
    <row r="2634" spans="1:37" x14ac:dyDescent="0.3">
      <c r="A2634">
        <v>2633</v>
      </c>
      <c r="B2634">
        <v>0.6</v>
      </c>
      <c r="C2634">
        <v>34.310799000000003</v>
      </c>
      <c r="D2634">
        <v>13.795999999999999</v>
      </c>
      <c r="E2634" t="s">
        <v>4581</v>
      </c>
      <c r="F2634" t="s">
        <v>4583</v>
      </c>
      <c r="G2634" t="s">
        <v>39</v>
      </c>
      <c r="H2634">
        <v>1989</v>
      </c>
      <c r="I2634">
        <v>28.700000762939499</v>
      </c>
      <c r="J2634">
        <v>16.600000381469702</v>
      </c>
      <c r="K2634">
        <v>65</v>
      </c>
      <c r="L2634">
        <v>21.440000534057599</v>
      </c>
      <c r="M2634">
        <v>41.299999237060497</v>
      </c>
      <c r="N2634">
        <v>15.8999996185303</v>
      </c>
      <c r="O2634">
        <v>25.399999618530298</v>
      </c>
      <c r="P2634">
        <v>27.899999618530298</v>
      </c>
      <c r="Q2634">
        <v>27</v>
      </c>
      <c r="R2634">
        <v>31.700000762939499</v>
      </c>
      <c r="S2634">
        <v>26</v>
      </c>
      <c r="T2634">
        <v>505</v>
      </c>
      <c r="U2634">
        <v>168</v>
      </c>
      <c r="V2634">
        <v>0</v>
      </c>
      <c r="W2634">
        <v>129</v>
      </c>
      <c r="X2634">
        <v>384</v>
      </c>
      <c r="Y2634">
        <v>0</v>
      </c>
      <c r="Z2634">
        <v>91</v>
      </c>
      <c r="AA2634">
        <v>0</v>
      </c>
      <c r="AB2634">
        <v>0.306572579048775</v>
      </c>
      <c r="AC2634">
        <v>4.0197121040781998E-2</v>
      </c>
      <c r="AD2634">
        <v>1.4213668427153201</v>
      </c>
      <c r="AE2634">
        <v>0.58248639106750499</v>
      </c>
      <c r="AF2634">
        <v>424.15202702702697</v>
      </c>
      <c r="AG2634">
        <f>IFERROR(AH2634*0.1, "N/A")</f>
        <v>7.6278716216216198</v>
      </c>
      <c r="AH2634">
        <v>76.278716216216196</v>
      </c>
      <c r="AI2634">
        <v>108.37307689641</v>
      </c>
      <c r="AJ2634">
        <v>58.086148648648702</v>
      </c>
      <c r="AK2634">
        <v>16.1283783783784</v>
      </c>
    </row>
    <row r="2635" spans="1:37" x14ac:dyDescent="0.3">
      <c r="A2635">
        <v>2634</v>
      </c>
      <c r="B2635">
        <v>2.1</v>
      </c>
      <c r="C2635">
        <v>34.251201999999999</v>
      </c>
      <c r="D2635">
        <v>13.8164</v>
      </c>
      <c r="E2635" t="s">
        <v>4584</v>
      </c>
      <c r="F2635" t="s">
        <v>4585</v>
      </c>
      <c r="G2635" t="s">
        <v>37</v>
      </c>
      <c r="H2635">
        <v>1989</v>
      </c>
      <c r="I2635">
        <v>28.700000762939499</v>
      </c>
      <c r="J2635">
        <v>16.600000381469702</v>
      </c>
      <c r="K2635">
        <v>65</v>
      </c>
      <c r="L2635">
        <v>21.601245456271698</v>
      </c>
      <c r="M2635">
        <v>41.200000762939503</v>
      </c>
      <c r="N2635">
        <v>15.800000190734901</v>
      </c>
      <c r="O2635">
        <v>25.399999618530298</v>
      </c>
      <c r="P2635">
        <v>27.899999618530298</v>
      </c>
      <c r="Q2635">
        <v>27</v>
      </c>
      <c r="R2635">
        <v>31.7097649237122</v>
      </c>
      <c r="S2635">
        <v>25.899999618530298</v>
      </c>
      <c r="T2635">
        <v>493.80471380471403</v>
      </c>
      <c r="U2635">
        <v>165</v>
      </c>
      <c r="V2635">
        <v>0</v>
      </c>
      <c r="W2635">
        <v>129.90235690235701</v>
      </c>
      <c r="X2635">
        <v>377.80471380471403</v>
      </c>
      <c r="Y2635">
        <v>0</v>
      </c>
      <c r="Z2635">
        <v>88</v>
      </c>
      <c r="AA2635">
        <v>0</v>
      </c>
      <c r="AB2635">
        <v>0.54157835064512305</v>
      </c>
      <c r="AC2635">
        <v>1.3338791601586001E-2</v>
      </c>
      <c r="AD2635">
        <v>0.72753096123536398</v>
      </c>
      <c r="AE2635">
        <v>0.54881403366925297</v>
      </c>
      <c r="AF2635">
        <v>425.752525252525</v>
      </c>
      <c r="AG2635">
        <f>IFERROR(AH2635*0.1, "N/A")</f>
        <v>7.5782828282828305</v>
      </c>
      <c r="AH2635">
        <v>75.782828282828305</v>
      </c>
      <c r="AI2635">
        <v>127.61168149183899</v>
      </c>
      <c r="AJ2635">
        <v>51.496632996632997</v>
      </c>
      <c r="AK2635">
        <v>24.740740740740701</v>
      </c>
    </row>
    <row r="2636" spans="1:37" x14ac:dyDescent="0.3">
      <c r="A2636">
        <v>2635</v>
      </c>
      <c r="B2636">
        <v>0</v>
      </c>
      <c r="C2636">
        <v>34.251201999999999</v>
      </c>
      <c r="D2636">
        <v>13.8164</v>
      </c>
      <c r="E2636" t="s">
        <v>4584</v>
      </c>
      <c r="F2636" t="s">
        <v>4586</v>
      </c>
      <c r="G2636" t="s">
        <v>39</v>
      </c>
      <c r="H2636">
        <v>1989</v>
      </c>
      <c r="I2636">
        <v>28.700000762939499</v>
      </c>
      <c r="J2636">
        <v>16.600000381469702</v>
      </c>
      <c r="K2636">
        <v>65</v>
      </c>
      <c r="L2636">
        <v>21.601245456271698</v>
      </c>
      <c r="M2636">
        <v>41.200000762939503</v>
      </c>
      <c r="N2636">
        <v>15.800000190734901</v>
      </c>
      <c r="O2636">
        <v>25.399999618530298</v>
      </c>
      <c r="P2636">
        <v>27.899999618530298</v>
      </c>
      <c r="Q2636">
        <v>27</v>
      </c>
      <c r="R2636">
        <v>31.7097649237122</v>
      </c>
      <c r="S2636">
        <v>25.899999618530298</v>
      </c>
      <c r="T2636">
        <v>493.80471380471403</v>
      </c>
      <c r="U2636">
        <v>165</v>
      </c>
      <c r="V2636">
        <v>0</v>
      </c>
      <c r="W2636">
        <v>129.90235690235701</v>
      </c>
      <c r="X2636">
        <v>377.80471380471403</v>
      </c>
      <c r="Y2636">
        <v>0</v>
      </c>
      <c r="Z2636">
        <v>88</v>
      </c>
      <c r="AA2636">
        <v>0</v>
      </c>
      <c r="AB2636">
        <v>0.54157835064512305</v>
      </c>
      <c r="AC2636">
        <v>1.3338791601586001E-2</v>
      </c>
      <c r="AD2636">
        <v>0.72753096123536398</v>
      </c>
      <c r="AE2636">
        <v>0.54881403366925297</v>
      </c>
      <c r="AF2636">
        <v>425.752525252525</v>
      </c>
      <c r="AG2636">
        <f>IFERROR(AH2636*0.1, "N/A")</f>
        <v>7.5782828282828305</v>
      </c>
      <c r="AH2636">
        <v>75.782828282828305</v>
      </c>
      <c r="AI2636">
        <v>127.61168149183899</v>
      </c>
      <c r="AJ2636">
        <v>51.496632996632997</v>
      </c>
      <c r="AK2636">
        <v>24.740740740740701</v>
      </c>
    </row>
    <row r="2637" spans="1:37" x14ac:dyDescent="0.3">
      <c r="A2637">
        <v>2636</v>
      </c>
      <c r="B2637">
        <v>6.8</v>
      </c>
      <c r="C2637">
        <v>34.264400000000002</v>
      </c>
      <c r="D2637">
        <v>13.852</v>
      </c>
      <c r="E2637" t="s">
        <v>4587</v>
      </c>
      <c r="F2637" t="s">
        <v>4588</v>
      </c>
      <c r="G2637" t="s">
        <v>37</v>
      </c>
      <c r="H2637">
        <v>1989</v>
      </c>
      <c r="I2637">
        <v>28.700000762939499</v>
      </c>
      <c r="J2637">
        <v>16.600000381469702</v>
      </c>
      <c r="K2637">
        <v>65</v>
      </c>
      <c r="L2637">
        <v>22.0100002288818</v>
      </c>
      <c r="M2637">
        <v>41.200000762939503</v>
      </c>
      <c r="N2637">
        <v>15.699999809265099</v>
      </c>
      <c r="O2637">
        <v>25.5</v>
      </c>
      <c r="P2637">
        <v>27.899999618530298</v>
      </c>
      <c r="Q2637">
        <v>26.899999618530298</v>
      </c>
      <c r="R2637">
        <v>31.799999237060501</v>
      </c>
      <c r="S2637">
        <v>25.799999237060501</v>
      </c>
      <c r="T2637">
        <v>489</v>
      </c>
      <c r="U2637">
        <v>164</v>
      </c>
      <c r="V2637">
        <v>0</v>
      </c>
      <c r="W2637">
        <v>132</v>
      </c>
      <c r="X2637">
        <v>374</v>
      </c>
      <c r="Y2637">
        <v>0</v>
      </c>
      <c r="Z2637">
        <v>87</v>
      </c>
      <c r="AA2637">
        <v>0</v>
      </c>
      <c r="AB2637">
        <v>0.62913246026344205</v>
      </c>
      <c r="AC2637">
        <v>8.3040394820270008E-3</v>
      </c>
      <c r="AD2637">
        <v>0.93363419265458103</v>
      </c>
      <c r="AE2637">
        <v>0.51272732019424405</v>
      </c>
      <c r="AF2637">
        <v>426.24410774410802</v>
      </c>
      <c r="AG2637">
        <f>IFERROR(AH2637*0.1, "N/A")</f>
        <v>7.5476430976431006</v>
      </c>
      <c r="AH2637">
        <v>75.476430976431004</v>
      </c>
      <c r="AI2637">
        <v>132.31305705176501</v>
      </c>
      <c r="AJ2637">
        <v>53.523569023569003</v>
      </c>
      <c r="AK2637">
        <v>20.476430976431001</v>
      </c>
    </row>
    <row r="2638" spans="1:37" x14ac:dyDescent="0.3">
      <c r="A2638">
        <v>2637</v>
      </c>
      <c r="B2638">
        <v>2.1</v>
      </c>
      <c r="C2638">
        <v>34.264400000000002</v>
      </c>
      <c r="D2638">
        <v>13.852</v>
      </c>
      <c r="E2638" t="s">
        <v>4587</v>
      </c>
      <c r="F2638" t="s">
        <v>4589</v>
      </c>
      <c r="G2638" t="s">
        <v>39</v>
      </c>
      <c r="H2638">
        <v>1989</v>
      </c>
      <c r="I2638">
        <v>28.700000762939499</v>
      </c>
      <c r="J2638">
        <v>16.600000381469702</v>
      </c>
      <c r="K2638">
        <v>65</v>
      </c>
      <c r="L2638">
        <v>22.0100002288818</v>
      </c>
      <c r="M2638">
        <v>41.200000762939503</v>
      </c>
      <c r="N2638">
        <v>15.699999809265099</v>
      </c>
      <c r="O2638">
        <v>25.5</v>
      </c>
      <c r="P2638">
        <v>27.899999618530298</v>
      </c>
      <c r="Q2638">
        <v>26.899999618530298</v>
      </c>
      <c r="R2638">
        <v>31.799999237060501</v>
      </c>
      <c r="S2638">
        <v>25.799999237060501</v>
      </c>
      <c r="T2638">
        <v>489</v>
      </c>
      <c r="U2638">
        <v>164</v>
      </c>
      <c r="V2638">
        <v>0</v>
      </c>
      <c r="W2638">
        <v>132</v>
      </c>
      <c r="X2638">
        <v>374</v>
      </c>
      <c r="Y2638">
        <v>0</v>
      </c>
      <c r="Z2638">
        <v>87</v>
      </c>
      <c r="AA2638">
        <v>0</v>
      </c>
      <c r="AB2638">
        <v>0.62913246026344205</v>
      </c>
      <c r="AC2638">
        <v>8.3040394820270008E-3</v>
      </c>
      <c r="AD2638">
        <v>0.93363419265458103</v>
      </c>
      <c r="AE2638">
        <v>0.51272732019424405</v>
      </c>
      <c r="AF2638">
        <v>426.24410774410802</v>
      </c>
      <c r="AG2638">
        <f>IFERROR(AH2638*0.1, "N/A")</f>
        <v>7.5476430976431006</v>
      </c>
      <c r="AH2638">
        <v>75.476430976431004</v>
      </c>
      <c r="AI2638">
        <v>132.31305705176501</v>
      </c>
      <c r="AJ2638">
        <v>53.523569023569003</v>
      </c>
      <c r="AK2638">
        <v>20.476430976431001</v>
      </c>
    </row>
    <row r="2639" spans="1:37" x14ac:dyDescent="0.3">
      <c r="A2639">
        <v>2638</v>
      </c>
      <c r="B2639">
        <v>3.9</v>
      </c>
      <c r="C2639">
        <v>34.200802000000003</v>
      </c>
      <c r="D2639">
        <v>13.864800000000001</v>
      </c>
      <c r="E2639" t="s">
        <v>4590</v>
      </c>
      <c r="F2639" t="s">
        <v>4591</v>
      </c>
      <c r="G2639" t="s">
        <v>37</v>
      </c>
      <c r="H2639">
        <v>1989</v>
      </c>
      <c r="I2639">
        <v>28.700000762939499</v>
      </c>
      <c r="J2639">
        <v>16.700000762939499</v>
      </c>
      <c r="K2639">
        <v>65</v>
      </c>
      <c r="L2639">
        <v>22.069999694824201</v>
      </c>
      <c r="M2639">
        <v>41.200000762939503</v>
      </c>
      <c r="N2639">
        <v>15.6000003814697</v>
      </c>
      <c r="O2639">
        <v>25.600000381469702</v>
      </c>
      <c r="P2639">
        <v>28</v>
      </c>
      <c r="Q2639">
        <v>26.899999618530298</v>
      </c>
      <c r="R2639">
        <v>31.799999237060501</v>
      </c>
      <c r="S2639">
        <v>25.799999237060501</v>
      </c>
      <c r="T2639">
        <v>479</v>
      </c>
      <c r="U2639">
        <v>162</v>
      </c>
      <c r="V2639">
        <v>0</v>
      </c>
      <c r="W2639">
        <v>133</v>
      </c>
      <c r="X2639">
        <v>368</v>
      </c>
      <c r="Y2639">
        <v>0</v>
      </c>
      <c r="Z2639">
        <v>85</v>
      </c>
      <c r="AA2639">
        <v>0</v>
      </c>
      <c r="AB2639">
        <v>0.91379580513796799</v>
      </c>
      <c r="AC2639">
        <v>2.9705712189176999E-2</v>
      </c>
      <c r="AD2639">
        <v>0.91431048582700003</v>
      </c>
      <c r="AE2639">
        <v>0.61469715020873295</v>
      </c>
      <c r="AF2639">
        <v>422.69865319865301</v>
      </c>
      <c r="AG2639">
        <f>IFERROR(AH2639*0.1, "N/A")</f>
        <v>7.5</v>
      </c>
      <c r="AH2639">
        <v>75</v>
      </c>
      <c r="AI2639">
        <v>82.241335454613306</v>
      </c>
      <c r="AJ2639">
        <v>52.0976430976431</v>
      </c>
      <c r="AK2639">
        <v>22.9511784511784</v>
      </c>
    </row>
    <row r="2640" spans="1:37" x14ac:dyDescent="0.3">
      <c r="A2640">
        <v>2639</v>
      </c>
      <c r="B2640">
        <v>0</v>
      </c>
      <c r="C2640">
        <v>34.200802000000003</v>
      </c>
      <c r="D2640">
        <v>13.864800000000001</v>
      </c>
      <c r="E2640" t="s">
        <v>4590</v>
      </c>
      <c r="F2640" t="s">
        <v>4592</v>
      </c>
      <c r="G2640" t="s">
        <v>39</v>
      </c>
      <c r="H2640">
        <v>1989</v>
      </c>
      <c r="I2640">
        <v>28.700000762939499</v>
      </c>
      <c r="J2640">
        <v>16.700000762939499</v>
      </c>
      <c r="K2640">
        <v>65</v>
      </c>
      <c r="L2640">
        <v>22.069999694824201</v>
      </c>
      <c r="M2640">
        <v>41.200000762939503</v>
      </c>
      <c r="N2640">
        <v>15.6000003814697</v>
      </c>
      <c r="O2640">
        <v>25.600000381469702</v>
      </c>
      <c r="P2640">
        <v>28</v>
      </c>
      <c r="Q2640">
        <v>26.899999618530298</v>
      </c>
      <c r="R2640">
        <v>31.799999237060501</v>
      </c>
      <c r="S2640">
        <v>25.799999237060501</v>
      </c>
      <c r="T2640">
        <v>479</v>
      </c>
      <c r="U2640">
        <v>162</v>
      </c>
      <c r="V2640">
        <v>0</v>
      </c>
      <c r="W2640">
        <v>133</v>
      </c>
      <c r="X2640">
        <v>368</v>
      </c>
      <c r="Y2640">
        <v>0</v>
      </c>
      <c r="Z2640">
        <v>85</v>
      </c>
      <c r="AA2640">
        <v>0</v>
      </c>
      <c r="AB2640">
        <v>0.91379580513796799</v>
      </c>
      <c r="AC2640">
        <v>2.9705712189176999E-2</v>
      </c>
      <c r="AD2640">
        <v>0.91431048582700003</v>
      </c>
      <c r="AE2640">
        <v>0.61469715020873295</v>
      </c>
      <c r="AF2640">
        <v>422.69865319865301</v>
      </c>
      <c r="AG2640">
        <f>IFERROR(AH2640*0.1, "N/A")</f>
        <v>7.5</v>
      </c>
      <c r="AH2640">
        <v>75</v>
      </c>
      <c r="AI2640">
        <v>82.241335454613306</v>
      </c>
      <c r="AJ2640">
        <v>52.0976430976431</v>
      </c>
      <c r="AK2640">
        <v>22.9511784511784</v>
      </c>
    </row>
    <row r="2641" spans="1:37" x14ac:dyDescent="0.3">
      <c r="A2641">
        <v>2640</v>
      </c>
      <c r="B2641">
        <v>5.6</v>
      </c>
      <c r="C2641">
        <v>34.250197999999997</v>
      </c>
      <c r="D2641">
        <v>13.8908</v>
      </c>
      <c r="E2641" t="s">
        <v>4393</v>
      </c>
      <c r="F2641" t="s">
        <v>4593</v>
      </c>
      <c r="G2641" t="s">
        <v>37</v>
      </c>
      <c r="H2641">
        <v>1989</v>
      </c>
      <c r="I2641">
        <v>28.700000762939499</v>
      </c>
      <c r="J2641">
        <v>16.700000762939499</v>
      </c>
      <c r="K2641">
        <v>65</v>
      </c>
      <c r="L2641">
        <v>21.986994031313301</v>
      </c>
      <c r="M2641">
        <v>41.200000762939503</v>
      </c>
      <c r="N2641">
        <v>15.699999809265099</v>
      </c>
      <c r="O2641">
        <v>25.5</v>
      </c>
      <c r="P2641">
        <v>28</v>
      </c>
      <c r="Q2641">
        <v>26.899999618530298</v>
      </c>
      <c r="R2641">
        <v>31.799999237060501</v>
      </c>
      <c r="S2641">
        <v>25.799999237060501</v>
      </c>
      <c r="T2641">
        <v>481.21452702702697</v>
      </c>
      <c r="U2641">
        <v>162.59459459459501</v>
      </c>
      <c r="V2641">
        <v>0</v>
      </c>
      <c r="W2641">
        <v>130.59459459459501</v>
      </c>
      <c r="X2641">
        <v>369.59459459459498</v>
      </c>
      <c r="Y2641">
        <v>0</v>
      </c>
      <c r="Z2641">
        <v>85.619932432432407</v>
      </c>
      <c r="AA2641">
        <v>0</v>
      </c>
      <c r="AB2641">
        <v>0.38598452387629301</v>
      </c>
      <c r="AC2641">
        <v>0.77173358694543204</v>
      </c>
      <c r="AD2641">
        <v>0.84755244891385795</v>
      </c>
      <c r="AE2641">
        <v>0.52306562742671403</v>
      </c>
      <c r="AF2641">
        <v>425.36317567567602</v>
      </c>
      <c r="AG2641">
        <f>IFERROR(AH2641*0.1, "N/A")</f>
        <v>7.4243243243243207</v>
      </c>
      <c r="AH2641">
        <v>74.243243243243199</v>
      </c>
      <c r="AI2641">
        <v>121.69334019841401</v>
      </c>
      <c r="AJ2641">
        <v>50.1908783783784</v>
      </c>
      <c r="AK2641">
        <v>23.929054054054099</v>
      </c>
    </row>
    <row r="2642" spans="1:37" x14ac:dyDescent="0.3">
      <c r="A2642">
        <v>2641</v>
      </c>
      <c r="B2642">
        <v>75.699996999999996</v>
      </c>
      <c r="C2642">
        <v>32.759998000000003</v>
      </c>
      <c r="D2642">
        <v>13.9186</v>
      </c>
      <c r="E2642" t="s">
        <v>4594</v>
      </c>
      <c r="F2642" t="s">
        <v>4595</v>
      </c>
      <c r="G2642" t="s">
        <v>37</v>
      </c>
      <c r="H2642">
        <v>1989</v>
      </c>
      <c r="I2642">
        <v>28.700000762939499</v>
      </c>
      <c r="J2642">
        <v>15.5</v>
      </c>
      <c r="K2642">
        <v>60</v>
      </c>
      <c r="L2642">
        <v>26.7399997711182</v>
      </c>
      <c r="M2642">
        <v>41.099998474121101</v>
      </c>
      <c r="N2642">
        <v>15.6000003814697</v>
      </c>
      <c r="O2642">
        <v>25.5</v>
      </c>
      <c r="P2642">
        <v>28.899999618530298</v>
      </c>
      <c r="Q2642">
        <v>26</v>
      </c>
      <c r="R2642">
        <v>32</v>
      </c>
      <c r="S2642">
        <v>24.799999237060501</v>
      </c>
      <c r="T2642">
        <v>282</v>
      </c>
      <c r="U2642">
        <v>118</v>
      </c>
      <c r="V2642">
        <v>0</v>
      </c>
      <c r="W2642">
        <v>157</v>
      </c>
      <c r="X2642">
        <v>246</v>
      </c>
      <c r="Y2642">
        <v>0</v>
      </c>
      <c r="Z2642">
        <v>31</v>
      </c>
      <c r="AA2642">
        <v>0</v>
      </c>
      <c r="AB2642">
        <v>0.67782520967371296</v>
      </c>
      <c r="AC2642">
        <v>3.3848545359088003E-2</v>
      </c>
      <c r="AD2642">
        <v>1.2684776925239201</v>
      </c>
      <c r="AE2642">
        <v>0.75506516695022596</v>
      </c>
      <c r="AF2642">
        <v>397.87899159663903</v>
      </c>
      <c r="AG2642">
        <f>IFERROR(AH2642*0.1, "N/A")</f>
        <v>7.7</v>
      </c>
      <c r="AH2642">
        <v>77</v>
      </c>
      <c r="AI2642">
        <v>137.606024695645</v>
      </c>
      <c r="AJ2642">
        <v>51.932773109243698</v>
      </c>
      <c r="AK2642">
        <v>26.033613445378201</v>
      </c>
    </row>
    <row r="2643" spans="1:37" x14ac:dyDescent="0.3">
      <c r="A2643">
        <v>2642</v>
      </c>
      <c r="B2643">
        <v>6.1</v>
      </c>
      <c r="C2643">
        <v>32.759998000000003</v>
      </c>
      <c r="D2643">
        <v>13.9186</v>
      </c>
      <c r="E2643" t="s">
        <v>4594</v>
      </c>
      <c r="F2643" t="s">
        <v>4596</v>
      </c>
      <c r="G2643" t="s">
        <v>39</v>
      </c>
      <c r="H2643">
        <v>1989</v>
      </c>
      <c r="I2643">
        <v>28.700000762939499</v>
      </c>
      <c r="J2643">
        <v>15.5</v>
      </c>
      <c r="K2643">
        <v>60</v>
      </c>
      <c r="L2643">
        <v>26.7399997711182</v>
      </c>
      <c r="M2643">
        <v>41.099998474121101</v>
      </c>
      <c r="N2643">
        <v>15.6000003814697</v>
      </c>
      <c r="O2643">
        <v>25.5</v>
      </c>
      <c r="P2643">
        <v>28.899999618530298</v>
      </c>
      <c r="Q2643">
        <v>26</v>
      </c>
      <c r="R2643">
        <v>32</v>
      </c>
      <c r="S2643">
        <v>24.799999237060501</v>
      </c>
      <c r="T2643">
        <v>282</v>
      </c>
      <c r="U2643">
        <v>118</v>
      </c>
      <c r="V2643">
        <v>0</v>
      </c>
      <c r="W2643">
        <v>157</v>
      </c>
      <c r="X2643">
        <v>246</v>
      </c>
      <c r="Y2643">
        <v>0</v>
      </c>
      <c r="Z2643">
        <v>31</v>
      </c>
      <c r="AA2643">
        <v>0</v>
      </c>
      <c r="AB2643">
        <v>0.67782520967371296</v>
      </c>
      <c r="AC2643">
        <v>3.3848545359088003E-2</v>
      </c>
      <c r="AD2643">
        <v>1.2684776925239201</v>
      </c>
      <c r="AE2643">
        <v>0.75506516695022596</v>
      </c>
      <c r="AF2643">
        <v>397.87899159663903</v>
      </c>
      <c r="AG2643">
        <f>IFERROR(AH2643*0.1, "N/A")</f>
        <v>7.7</v>
      </c>
      <c r="AH2643">
        <v>77</v>
      </c>
      <c r="AI2643">
        <v>137.606024695645</v>
      </c>
      <c r="AJ2643">
        <v>51.932773109243698</v>
      </c>
      <c r="AK2643">
        <v>26.033613445378201</v>
      </c>
    </row>
    <row r="2644" spans="1:37" x14ac:dyDescent="0.3">
      <c r="A2644">
        <v>2643</v>
      </c>
      <c r="B2644">
        <v>0</v>
      </c>
      <c r="C2644">
        <v>34.152500000000003</v>
      </c>
      <c r="D2644">
        <v>13.921799999999999</v>
      </c>
      <c r="E2644" t="s">
        <v>4597</v>
      </c>
      <c r="F2644" t="s">
        <v>4598</v>
      </c>
      <c r="G2644" t="s">
        <v>37</v>
      </c>
      <c r="H2644">
        <v>1989</v>
      </c>
      <c r="I2644">
        <v>28.600000381469702</v>
      </c>
      <c r="J2644">
        <v>16.799999237060501</v>
      </c>
      <c r="K2644">
        <v>65</v>
      </c>
      <c r="L2644">
        <v>22.870000839233398</v>
      </c>
      <c r="M2644">
        <v>41.200000762939503</v>
      </c>
      <c r="N2644">
        <v>15.3999996185303</v>
      </c>
      <c r="O2644">
        <v>25.799999237060501</v>
      </c>
      <c r="P2644">
        <v>28</v>
      </c>
      <c r="Q2644">
        <v>26.700000762939499</v>
      </c>
      <c r="R2644">
        <v>31.799999237060501</v>
      </c>
      <c r="S2644">
        <v>25.600000381469702</v>
      </c>
      <c r="T2644">
        <v>464</v>
      </c>
      <c r="U2644">
        <v>158</v>
      </c>
      <c r="V2644">
        <v>0</v>
      </c>
      <c r="W2644">
        <v>134</v>
      </c>
      <c r="X2644">
        <v>359</v>
      </c>
      <c r="Y2644">
        <v>0</v>
      </c>
      <c r="Z2644">
        <v>81</v>
      </c>
      <c r="AA2644">
        <v>0</v>
      </c>
      <c r="AB2644">
        <v>1.0811909303826801</v>
      </c>
      <c r="AC2644">
        <v>1.3198093850544001E-2</v>
      </c>
      <c r="AD2644">
        <v>0.86404368968333201</v>
      </c>
      <c r="AE2644">
        <v>0.56753326755458999</v>
      </c>
      <c r="AF2644">
        <v>424.20847457627099</v>
      </c>
      <c r="AG2644">
        <f>IFERROR(AH2644*0.1, "N/A")</f>
        <v>7.4967796610169506</v>
      </c>
      <c r="AH2644">
        <v>74.967796610169501</v>
      </c>
      <c r="AI2644">
        <v>159.776782226563</v>
      </c>
      <c r="AJ2644">
        <v>52.459322033898303</v>
      </c>
      <c r="AK2644">
        <v>24.722033898305099</v>
      </c>
    </row>
    <row r="2645" spans="1:37" x14ac:dyDescent="0.3">
      <c r="A2645">
        <v>2644</v>
      </c>
      <c r="B2645">
        <v>0.8</v>
      </c>
      <c r="C2645">
        <v>34.152500000000003</v>
      </c>
      <c r="D2645">
        <v>13.921799999999999</v>
      </c>
      <c r="E2645" t="s">
        <v>4597</v>
      </c>
      <c r="F2645" t="s">
        <v>4599</v>
      </c>
      <c r="G2645" t="s">
        <v>39</v>
      </c>
      <c r="H2645">
        <v>1989</v>
      </c>
      <c r="I2645">
        <v>28.600000381469702</v>
      </c>
      <c r="J2645">
        <v>16.799999237060501</v>
      </c>
      <c r="K2645">
        <v>65</v>
      </c>
      <c r="L2645">
        <v>22.870000839233398</v>
      </c>
      <c r="M2645">
        <v>41.200000762939503</v>
      </c>
      <c r="N2645">
        <v>15.3999996185303</v>
      </c>
      <c r="O2645">
        <v>25.799999237060501</v>
      </c>
      <c r="P2645">
        <v>28</v>
      </c>
      <c r="Q2645">
        <v>26.700000762939499</v>
      </c>
      <c r="R2645">
        <v>31.799999237060501</v>
      </c>
      <c r="S2645">
        <v>25.600000381469702</v>
      </c>
      <c r="T2645">
        <v>464</v>
      </c>
      <c r="U2645">
        <v>158</v>
      </c>
      <c r="V2645">
        <v>0</v>
      </c>
      <c r="W2645">
        <v>134</v>
      </c>
      <c r="X2645">
        <v>359</v>
      </c>
      <c r="Y2645">
        <v>0</v>
      </c>
      <c r="Z2645">
        <v>81</v>
      </c>
      <c r="AA2645">
        <v>0</v>
      </c>
      <c r="AB2645">
        <v>1.0811909303826801</v>
      </c>
      <c r="AC2645">
        <v>1.3198093850544001E-2</v>
      </c>
      <c r="AD2645">
        <v>0.86404368968333201</v>
      </c>
      <c r="AE2645">
        <v>0.56753326755458999</v>
      </c>
      <c r="AF2645">
        <v>424.20847457627099</v>
      </c>
      <c r="AG2645">
        <f>IFERROR(AH2645*0.1, "N/A")</f>
        <v>7.4967796610169506</v>
      </c>
      <c r="AH2645">
        <v>74.967796610169501</v>
      </c>
      <c r="AI2645">
        <v>159.776782226563</v>
      </c>
      <c r="AJ2645">
        <v>52.459322033898303</v>
      </c>
      <c r="AK2645">
        <v>24.722033898305099</v>
      </c>
    </row>
    <row r="2646" spans="1:37" x14ac:dyDescent="0.3">
      <c r="A2646">
        <v>2645</v>
      </c>
      <c r="B2646">
        <v>6.4</v>
      </c>
      <c r="C2646">
        <v>34.225299999999997</v>
      </c>
      <c r="D2646">
        <v>13.923999999999999</v>
      </c>
      <c r="E2646" t="s">
        <v>4600</v>
      </c>
      <c r="F2646" t="s">
        <v>4601</v>
      </c>
      <c r="G2646" t="s">
        <v>37</v>
      </c>
      <c r="H2646">
        <v>1989</v>
      </c>
      <c r="I2646">
        <v>28.700000762939499</v>
      </c>
      <c r="J2646">
        <v>16.700000762939499</v>
      </c>
      <c r="K2646">
        <v>64</v>
      </c>
      <c r="L2646">
        <v>22.611627021892001</v>
      </c>
      <c r="M2646">
        <v>41.200000762939503</v>
      </c>
      <c r="N2646">
        <v>15.5</v>
      </c>
      <c r="O2646">
        <v>25.700000762939499</v>
      </c>
      <c r="P2646">
        <v>28</v>
      </c>
      <c r="Q2646">
        <v>26.799999237060501</v>
      </c>
      <c r="R2646">
        <v>31.799999237060501</v>
      </c>
      <c r="S2646">
        <v>25.700000762939499</v>
      </c>
      <c r="T2646">
        <v>471.80704697986602</v>
      </c>
      <c r="U2646">
        <v>160.80704697986599</v>
      </c>
      <c r="V2646">
        <v>0</v>
      </c>
      <c r="W2646">
        <v>132</v>
      </c>
      <c r="X2646">
        <v>363.80704697986602</v>
      </c>
      <c r="Y2646">
        <v>0</v>
      </c>
      <c r="Z2646">
        <v>83</v>
      </c>
      <c r="AA2646">
        <v>0</v>
      </c>
      <c r="AB2646">
        <v>0.13170854197252499</v>
      </c>
      <c r="AC2646">
        <v>4.3233430771901</v>
      </c>
      <c r="AD2646">
        <v>1.66700505330259</v>
      </c>
      <c r="AE2646">
        <v>0.63685596809291201</v>
      </c>
      <c r="AF2646">
        <v>422.43791946308698</v>
      </c>
      <c r="AG2646">
        <f>IFERROR(AH2646*0.1, "N/A")</f>
        <v>7.5057046979865802</v>
      </c>
      <c r="AH2646">
        <v>75.057046979865802</v>
      </c>
      <c r="AI2646">
        <v>236.55629041530901</v>
      </c>
      <c r="AJ2646">
        <v>49.271812080536897</v>
      </c>
      <c r="AK2646">
        <v>28.241610738255002</v>
      </c>
    </row>
    <row r="2647" spans="1:37" x14ac:dyDescent="0.3">
      <c r="A2647">
        <v>2646</v>
      </c>
      <c r="B2647">
        <v>0</v>
      </c>
      <c r="C2647">
        <v>34.225299999999997</v>
      </c>
      <c r="D2647">
        <v>13.923999999999999</v>
      </c>
      <c r="E2647" t="s">
        <v>4600</v>
      </c>
      <c r="F2647" t="s">
        <v>4602</v>
      </c>
      <c r="G2647" t="s">
        <v>39</v>
      </c>
      <c r="H2647">
        <v>1989</v>
      </c>
      <c r="I2647">
        <v>28.700000762939499</v>
      </c>
      <c r="J2647">
        <v>16.700000762939499</v>
      </c>
      <c r="K2647">
        <v>64</v>
      </c>
      <c r="L2647">
        <v>22.611627021892001</v>
      </c>
      <c r="M2647">
        <v>41.200000762939503</v>
      </c>
      <c r="N2647">
        <v>15.5</v>
      </c>
      <c r="O2647">
        <v>25.700000762939499</v>
      </c>
      <c r="P2647">
        <v>28</v>
      </c>
      <c r="Q2647">
        <v>26.799999237060501</v>
      </c>
      <c r="R2647">
        <v>31.799999237060501</v>
      </c>
      <c r="S2647">
        <v>25.700000762939499</v>
      </c>
      <c r="T2647">
        <v>471.80704697986602</v>
      </c>
      <c r="U2647">
        <v>160.80704697986599</v>
      </c>
      <c r="V2647">
        <v>0</v>
      </c>
      <c r="W2647">
        <v>132</v>
      </c>
      <c r="X2647">
        <v>363.80704697986602</v>
      </c>
      <c r="Y2647">
        <v>0</v>
      </c>
      <c r="Z2647">
        <v>83</v>
      </c>
      <c r="AA2647">
        <v>0</v>
      </c>
      <c r="AB2647">
        <v>0.13170854197252499</v>
      </c>
      <c r="AC2647">
        <v>4.3233430771901</v>
      </c>
      <c r="AD2647">
        <v>1.66700505330259</v>
      </c>
      <c r="AE2647">
        <v>0.63685596809291201</v>
      </c>
      <c r="AF2647">
        <v>422.43791946308698</v>
      </c>
      <c r="AG2647">
        <f>IFERROR(AH2647*0.1, "N/A")</f>
        <v>7.5057046979865802</v>
      </c>
      <c r="AH2647">
        <v>75.057046979865802</v>
      </c>
      <c r="AI2647">
        <v>236.55629041530901</v>
      </c>
      <c r="AJ2647">
        <v>49.271812080536897</v>
      </c>
      <c r="AK2647">
        <v>28.241610738255002</v>
      </c>
    </row>
    <row r="2648" spans="1:37" x14ac:dyDescent="0.3">
      <c r="A2648">
        <v>2647</v>
      </c>
      <c r="B2648">
        <v>17.299999</v>
      </c>
      <c r="C2648">
        <v>34.086601000000002</v>
      </c>
      <c r="D2648">
        <v>13.940300000000001</v>
      </c>
      <c r="E2648" t="s">
        <v>4603</v>
      </c>
      <c r="F2648" t="s">
        <v>4604</v>
      </c>
      <c r="G2648" t="s">
        <v>37</v>
      </c>
      <c r="H2648">
        <v>1989</v>
      </c>
      <c r="I2648">
        <v>28.600000381469702</v>
      </c>
      <c r="J2648">
        <v>16.799999237060501</v>
      </c>
      <c r="K2648">
        <v>65</v>
      </c>
      <c r="L2648">
        <v>22.860000610351602</v>
      </c>
      <c r="M2648">
        <v>41.099998474121101</v>
      </c>
      <c r="N2648">
        <v>15.300000190734901</v>
      </c>
      <c r="O2648">
        <v>25.799999237060501</v>
      </c>
      <c r="P2648">
        <v>28</v>
      </c>
      <c r="Q2648">
        <v>26.700000762939499</v>
      </c>
      <c r="R2648">
        <v>31.700000762939499</v>
      </c>
      <c r="S2648">
        <v>25.5</v>
      </c>
      <c r="T2648">
        <v>455</v>
      </c>
      <c r="U2648">
        <v>156</v>
      </c>
      <c r="V2648">
        <v>0</v>
      </c>
      <c r="W2648">
        <v>135</v>
      </c>
      <c r="X2648">
        <v>353</v>
      </c>
      <c r="Y2648">
        <v>0</v>
      </c>
      <c r="Z2648">
        <v>79</v>
      </c>
      <c r="AA2648">
        <v>0</v>
      </c>
      <c r="AB2648">
        <v>1.1057400116430001</v>
      </c>
      <c r="AC2648">
        <v>8.4269064938740004E-3</v>
      </c>
      <c r="AD2648">
        <v>0.69262841178031997</v>
      </c>
      <c r="AE2648">
        <v>0.58369326591491699</v>
      </c>
      <c r="AF2648">
        <v>421.51602023608802</v>
      </c>
      <c r="AG2648">
        <f>IFERROR(AH2648*0.1, "N/A")</f>
        <v>7.4065767284991599</v>
      </c>
      <c r="AH2648">
        <v>74.065767284991594</v>
      </c>
      <c r="AI2648">
        <v>196.006218393979</v>
      </c>
      <c r="AJ2648">
        <v>54.934232715008399</v>
      </c>
      <c r="AK2648">
        <v>20.131534569983099</v>
      </c>
    </row>
    <row r="2649" spans="1:37" x14ac:dyDescent="0.3">
      <c r="A2649">
        <v>2648</v>
      </c>
      <c r="B2649">
        <v>0</v>
      </c>
      <c r="C2649">
        <v>34.086601000000002</v>
      </c>
      <c r="D2649">
        <v>13.940300000000001</v>
      </c>
      <c r="E2649" t="s">
        <v>4603</v>
      </c>
      <c r="F2649" t="s">
        <v>4605</v>
      </c>
      <c r="G2649" t="s">
        <v>39</v>
      </c>
      <c r="H2649">
        <v>1989</v>
      </c>
      <c r="I2649">
        <v>28.600000381469702</v>
      </c>
      <c r="J2649">
        <v>16.799999237060501</v>
      </c>
      <c r="K2649">
        <v>65</v>
      </c>
      <c r="L2649">
        <v>22.860000610351602</v>
      </c>
      <c r="M2649">
        <v>41.099998474121101</v>
      </c>
      <c r="N2649">
        <v>15.300000190734901</v>
      </c>
      <c r="O2649">
        <v>25.799999237060501</v>
      </c>
      <c r="P2649">
        <v>28</v>
      </c>
      <c r="Q2649">
        <v>26.700000762939499</v>
      </c>
      <c r="R2649">
        <v>31.700000762939499</v>
      </c>
      <c r="S2649">
        <v>25.5</v>
      </c>
      <c r="T2649">
        <v>455</v>
      </c>
      <c r="U2649">
        <v>156</v>
      </c>
      <c r="V2649">
        <v>0</v>
      </c>
      <c r="W2649">
        <v>135</v>
      </c>
      <c r="X2649">
        <v>353</v>
      </c>
      <c r="Y2649">
        <v>0</v>
      </c>
      <c r="Z2649">
        <v>79</v>
      </c>
      <c r="AA2649">
        <v>0</v>
      </c>
      <c r="AB2649">
        <v>1.1057400116430001</v>
      </c>
      <c r="AC2649">
        <v>8.4269064938740004E-3</v>
      </c>
      <c r="AD2649">
        <v>0.69262841178031997</v>
      </c>
      <c r="AE2649">
        <v>0.58369326591491699</v>
      </c>
      <c r="AF2649">
        <v>421.51602023608802</v>
      </c>
      <c r="AG2649">
        <f>IFERROR(AH2649*0.1, "N/A")</f>
        <v>7.4065767284991599</v>
      </c>
      <c r="AH2649">
        <v>74.065767284991594</v>
      </c>
      <c r="AI2649">
        <v>196.006218393979</v>
      </c>
      <c r="AJ2649">
        <v>54.934232715008399</v>
      </c>
      <c r="AK2649">
        <v>20.131534569983099</v>
      </c>
    </row>
    <row r="2650" spans="1:37" x14ac:dyDescent="0.3">
      <c r="A2650">
        <v>2649</v>
      </c>
      <c r="B2650">
        <v>3.1</v>
      </c>
      <c r="C2650">
        <v>34.212398999999998</v>
      </c>
      <c r="D2650">
        <v>13.960800000000001</v>
      </c>
      <c r="E2650" t="s">
        <v>4606</v>
      </c>
      <c r="F2650" t="s">
        <v>4607</v>
      </c>
      <c r="G2650" t="s">
        <v>37</v>
      </c>
      <c r="H2650">
        <v>1989</v>
      </c>
      <c r="I2650">
        <v>28.700000762939499</v>
      </c>
      <c r="J2650">
        <v>16.700000762939499</v>
      </c>
      <c r="K2650">
        <v>64</v>
      </c>
      <c r="L2650">
        <v>22.610000610351602</v>
      </c>
      <c r="M2650">
        <v>41.200000762939503</v>
      </c>
      <c r="N2650">
        <v>15.5</v>
      </c>
      <c r="O2650">
        <v>25.700000762939499</v>
      </c>
      <c r="P2650">
        <v>28</v>
      </c>
      <c r="Q2650">
        <v>26.700000762939499</v>
      </c>
      <c r="R2650">
        <v>31.799999237060501</v>
      </c>
      <c r="S2650">
        <v>25.600000381469702</v>
      </c>
      <c r="T2650">
        <v>465</v>
      </c>
      <c r="U2650">
        <v>159</v>
      </c>
      <c r="V2650">
        <v>0</v>
      </c>
      <c r="W2650">
        <v>134</v>
      </c>
      <c r="X2650">
        <v>359</v>
      </c>
      <c r="Y2650">
        <v>0</v>
      </c>
      <c r="Z2650">
        <v>81</v>
      </c>
      <c r="AA2650">
        <v>0</v>
      </c>
      <c r="AB2650">
        <v>0.36633896747422201</v>
      </c>
      <c r="AC2650">
        <v>1.3693974616777E-2</v>
      </c>
      <c r="AD2650">
        <v>0.75935007516382502</v>
      </c>
      <c r="AE2650">
        <v>0.54184424877166704</v>
      </c>
      <c r="AF2650">
        <v>424.31481481481501</v>
      </c>
      <c r="AG2650">
        <f>IFERROR(AH2650*0.1, "N/A")</f>
        <v>7.5437710437710512</v>
      </c>
      <c r="AH2650">
        <v>75.437710437710507</v>
      </c>
      <c r="AI2650">
        <v>82.510061437433393</v>
      </c>
      <c r="AJ2650">
        <v>51.430976430976401</v>
      </c>
      <c r="AK2650">
        <v>24.569023569023599</v>
      </c>
    </row>
    <row r="2651" spans="1:37" x14ac:dyDescent="0.3">
      <c r="A2651">
        <v>2650</v>
      </c>
      <c r="B2651">
        <v>2.1</v>
      </c>
      <c r="C2651">
        <v>34.212398999999998</v>
      </c>
      <c r="D2651">
        <v>13.960800000000001</v>
      </c>
      <c r="E2651" t="s">
        <v>4606</v>
      </c>
      <c r="F2651" t="s">
        <v>4608</v>
      </c>
      <c r="G2651" t="s">
        <v>39</v>
      </c>
      <c r="H2651">
        <v>1989</v>
      </c>
      <c r="I2651">
        <v>28.700000762939499</v>
      </c>
      <c r="J2651">
        <v>16.700000762939499</v>
      </c>
      <c r="K2651">
        <v>64</v>
      </c>
      <c r="L2651">
        <v>22.610000610351602</v>
      </c>
      <c r="M2651">
        <v>41.200000762939503</v>
      </c>
      <c r="N2651">
        <v>15.5</v>
      </c>
      <c r="O2651">
        <v>25.700000762939499</v>
      </c>
      <c r="P2651">
        <v>28</v>
      </c>
      <c r="Q2651">
        <v>26.700000762939499</v>
      </c>
      <c r="R2651">
        <v>31.799999237060501</v>
      </c>
      <c r="S2651">
        <v>25.600000381469702</v>
      </c>
      <c r="T2651">
        <v>465</v>
      </c>
      <c r="U2651">
        <v>159</v>
      </c>
      <c r="V2651">
        <v>0</v>
      </c>
      <c r="W2651">
        <v>134</v>
      </c>
      <c r="X2651">
        <v>359</v>
      </c>
      <c r="Y2651">
        <v>0</v>
      </c>
      <c r="Z2651">
        <v>81</v>
      </c>
      <c r="AA2651">
        <v>0</v>
      </c>
      <c r="AB2651">
        <v>0.36633896747422201</v>
      </c>
      <c r="AC2651">
        <v>1.3693974616777E-2</v>
      </c>
      <c r="AD2651">
        <v>0.75935007516382502</v>
      </c>
      <c r="AE2651">
        <v>0.54184424877166704</v>
      </c>
      <c r="AF2651">
        <v>424.31481481481501</v>
      </c>
      <c r="AG2651">
        <f>IFERROR(AH2651*0.1, "N/A")</f>
        <v>7.5437710437710512</v>
      </c>
      <c r="AH2651">
        <v>75.437710437710507</v>
      </c>
      <c r="AI2651">
        <v>82.510061437433393</v>
      </c>
      <c r="AJ2651">
        <v>51.430976430976401</v>
      </c>
      <c r="AK2651">
        <v>24.569023569023599</v>
      </c>
    </row>
    <row r="2652" spans="1:37" x14ac:dyDescent="0.3">
      <c r="A2652">
        <v>2651</v>
      </c>
      <c r="B2652">
        <v>3.7</v>
      </c>
      <c r="C2652">
        <v>34.139000000000003</v>
      </c>
      <c r="D2652">
        <v>13.9613</v>
      </c>
      <c r="E2652" t="s">
        <v>4609</v>
      </c>
      <c r="F2652" t="s">
        <v>4610</v>
      </c>
      <c r="G2652" t="s">
        <v>37</v>
      </c>
      <c r="H2652">
        <v>1989</v>
      </c>
      <c r="I2652">
        <v>28.700000762939499</v>
      </c>
      <c r="J2652">
        <v>16.700000762939499</v>
      </c>
      <c r="K2652">
        <v>64</v>
      </c>
      <c r="L2652">
        <v>22.840000152587901</v>
      </c>
      <c r="M2652">
        <v>41.099998474121101</v>
      </c>
      <c r="N2652">
        <v>15.3999996185303</v>
      </c>
      <c r="O2652">
        <v>25.700000762939499</v>
      </c>
      <c r="P2652">
        <v>28.100000381469702</v>
      </c>
      <c r="Q2652">
        <v>26.700000762939499</v>
      </c>
      <c r="R2652">
        <v>31.799999237060501</v>
      </c>
      <c r="S2652">
        <v>25.600000381469702</v>
      </c>
      <c r="T2652">
        <v>456</v>
      </c>
      <c r="U2652">
        <v>156</v>
      </c>
      <c r="V2652">
        <v>0</v>
      </c>
      <c r="W2652">
        <v>131</v>
      </c>
      <c r="X2652">
        <v>353</v>
      </c>
      <c r="Y2652">
        <v>0</v>
      </c>
      <c r="Z2652">
        <v>79</v>
      </c>
      <c r="AA2652">
        <v>0</v>
      </c>
      <c r="AB2652">
        <v>0.359450881545608</v>
      </c>
      <c r="AC2652">
        <v>0.16879364646140599</v>
      </c>
      <c r="AD2652">
        <v>0.949406584372392</v>
      </c>
      <c r="AE2652">
        <v>0.50203329324722301</v>
      </c>
      <c r="AF2652">
        <v>421.98479729729701</v>
      </c>
      <c r="AG2652">
        <f>IFERROR(AH2652*0.1, "N/A")</f>
        <v>7.339864864864861</v>
      </c>
      <c r="AH2652">
        <v>73.398648648648603</v>
      </c>
      <c r="AI2652">
        <v>228.86604764010499</v>
      </c>
      <c r="AJ2652">
        <v>53.726351351351298</v>
      </c>
      <c r="AK2652">
        <v>21.743243243243199</v>
      </c>
    </row>
    <row r="2653" spans="1:37" x14ac:dyDescent="0.3">
      <c r="A2653">
        <v>2652</v>
      </c>
      <c r="B2653">
        <v>3.7</v>
      </c>
      <c r="C2653">
        <v>34.139000000000003</v>
      </c>
      <c r="D2653">
        <v>13.9613</v>
      </c>
      <c r="E2653" t="s">
        <v>4609</v>
      </c>
      <c r="F2653" t="s">
        <v>4611</v>
      </c>
      <c r="G2653" t="s">
        <v>39</v>
      </c>
      <c r="H2653">
        <v>1989</v>
      </c>
      <c r="I2653">
        <v>28.700000762939499</v>
      </c>
      <c r="J2653">
        <v>16.700000762939499</v>
      </c>
      <c r="K2653">
        <v>64</v>
      </c>
      <c r="L2653">
        <v>22.840000152587901</v>
      </c>
      <c r="M2653">
        <v>41.099998474121101</v>
      </c>
      <c r="N2653">
        <v>15.3999996185303</v>
      </c>
      <c r="O2653">
        <v>25.700000762939499</v>
      </c>
      <c r="P2653">
        <v>28.100000381469702</v>
      </c>
      <c r="Q2653">
        <v>26.700000762939499</v>
      </c>
      <c r="R2653">
        <v>31.799999237060501</v>
      </c>
      <c r="S2653">
        <v>25.600000381469702</v>
      </c>
      <c r="T2653">
        <v>456</v>
      </c>
      <c r="U2653">
        <v>156</v>
      </c>
      <c r="V2653">
        <v>0</v>
      </c>
      <c r="W2653">
        <v>131</v>
      </c>
      <c r="X2653">
        <v>353</v>
      </c>
      <c r="Y2653">
        <v>0</v>
      </c>
      <c r="Z2653">
        <v>79</v>
      </c>
      <c r="AA2653">
        <v>0</v>
      </c>
      <c r="AB2653">
        <v>0.359450881545608</v>
      </c>
      <c r="AC2653">
        <v>0.16879364646140599</v>
      </c>
      <c r="AD2653">
        <v>0.949406584372392</v>
      </c>
      <c r="AE2653">
        <v>0.50203329324722301</v>
      </c>
      <c r="AF2653">
        <v>421.98479729729701</v>
      </c>
      <c r="AG2653">
        <f>IFERROR(AH2653*0.1, "N/A")</f>
        <v>7.339864864864861</v>
      </c>
      <c r="AH2653">
        <v>73.398648648648603</v>
      </c>
      <c r="AI2653">
        <v>228.86604764010499</v>
      </c>
      <c r="AJ2653">
        <v>53.726351351351298</v>
      </c>
      <c r="AK2653">
        <v>21.743243243243199</v>
      </c>
    </row>
    <row r="2654" spans="1:37" x14ac:dyDescent="0.3">
      <c r="A2654">
        <v>2653</v>
      </c>
      <c r="B2654">
        <v>0</v>
      </c>
      <c r="C2654">
        <v>33.4375</v>
      </c>
      <c r="D2654">
        <v>13.993399999999999</v>
      </c>
      <c r="E2654" t="s">
        <v>4612</v>
      </c>
      <c r="F2654" t="s">
        <v>4613</v>
      </c>
      <c r="G2654" t="s">
        <v>37</v>
      </c>
      <c r="H2654">
        <v>1989</v>
      </c>
      <c r="I2654">
        <v>28.5</v>
      </c>
      <c r="J2654">
        <v>16.700000762939499</v>
      </c>
      <c r="K2654">
        <v>63</v>
      </c>
      <c r="L2654">
        <v>25.719999313354499</v>
      </c>
      <c r="M2654">
        <v>41.200000762939503</v>
      </c>
      <c r="N2654">
        <v>14.699999809265099</v>
      </c>
      <c r="O2654">
        <v>26.5</v>
      </c>
      <c r="P2654">
        <v>28.299999237060501</v>
      </c>
      <c r="Q2654">
        <v>26.100000381469702</v>
      </c>
      <c r="R2654">
        <v>31.899999618530298</v>
      </c>
      <c r="S2654">
        <v>24.899999618530298</v>
      </c>
      <c r="T2654">
        <v>348</v>
      </c>
      <c r="U2654">
        <v>130</v>
      </c>
      <c r="V2654">
        <v>0</v>
      </c>
      <c r="W2654">
        <v>145</v>
      </c>
      <c r="X2654">
        <v>293</v>
      </c>
      <c r="Y2654">
        <v>0</v>
      </c>
      <c r="Z2654">
        <v>44</v>
      </c>
      <c r="AA2654">
        <v>0</v>
      </c>
      <c r="AB2654">
        <v>2.5712554675190402</v>
      </c>
      <c r="AC2654">
        <v>3.3991286922402997E-2</v>
      </c>
      <c r="AD2654">
        <v>1.0107599627070101</v>
      </c>
      <c r="AE2654">
        <v>0.61368292570114102</v>
      </c>
      <c r="AF2654">
        <v>417.23529411764702</v>
      </c>
      <c r="AG2654">
        <f>IFERROR(AH2654*0.1, "N/A")</f>
        <v>7.7788235294117598</v>
      </c>
      <c r="AH2654">
        <v>77.788235294117598</v>
      </c>
      <c r="AI2654">
        <v>262.44869761747498</v>
      </c>
      <c r="AJ2654">
        <v>36.450420168067197</v>
      </c>
      <c r="AK2654">
        <v>43.564705882352897</v>
      </c>
    </row>
    <row r="2655" spans="1:37" x14ac:dyDescent="0.3">
      <c r="A2655">
        <v>2654</v>
      </c>
      <c r="B2655">
        <v>0</v>
      </c>
      <c r="C2655">
        <v>33.4375</v>
      </c>
      <c r="D2655">
        <v>13.993399999999999</v>
      </c>
      <c r="E2655" t="s">
        <v>4612</v>
      </c>
      <c r="F2655" t="s">
        <v>4614</v>
      </c>
      <c r="G2655" t="s">
        <v>39</v>
      </c>
      <c r="H2655">
        <v>1989</v>
      </c>
      <c r="I2655">
        <v>28.5</v>
      </c>
      <c r="J2655">
        <v>16.700000762939499</v>
      </c>
      <c r="K2655">
        <v>63</v>
      </c>
      <c r="L2655">
        <v>25.719999313354499</v>
      </c>
      <c r="M2655">
        <v>41.200000762939503</v>
      </c>
      <c r="N2655">
        <v>14.699999809265099</v>
      </c>
      <c r="O2655">
        <v>26.5</v>
      </c>
      <c r="P2655">
        <v>28.299999237060501</v>
      </c>
      <c r="Q2655">
        <v>26.100000381469702</v>
      </c>
      <c r="R2655">
        <v>31.899999618530298</v>
      </c>
      <c r="S2655">
        <v>24.899999618530298</v>
      </c>
      <c r="T2655">
        <v>348</v>
      </c>
      <c r="U2655">
        <v>130</v>
      </c>
      <c r="V2655">
        <v>0</v>
      </c>
      <c r="W2655">
        <v>145</v>
      </c>
      <c r="X2655">
        <v>293</v>
      </c>
      <c r="Y2655">
        <v>0</v>
      </c>
      <c r="Z2655">
        <v>44</v>
      </c>
      <c r="AA2655">
        <v>0</v>
      </c>
      <c r="AB2655">
        <v>2.5712554675190402</v>
      </c>
      <c r="AC2655">
        <v>3.3991286922402997E-2</v>
      </c>
      <c r="AD2655">
        <v>1.0107599627070101</v>
      </c>
      <c r="AE2655">
        <v>0.61368292570114102</v>
      </c>
      <c r="AF2655">
        <v>417.23529411764702</v>
      </c>
      <c r="AG2655">
        <f>IFERROR(AH2655*0.1, "N/A")</f>
        <v>7.7788235294117598</v>
      </c>
      <c r="AH2655">
        <v>77.788235294117598</v>
      </c>
      <c r="AI2655">
        <v>262.44869761747498</v>
      </c>
      <c r="AJ2655">
        <v>36.450420168067197</v>
      </c>
      <c r="AK2655">
        <v>43.564705882352897</v>
      </c>
    </row>
    <row r="2656" spans="1:37" x14ac:dyDescent="0.3">
      <c r="A2656">
        <v>2655</v>
      </c>
      <c r="B2656">
        <v>4.2</v>
      </c>
      <c r="C2656">
        <v>34.096401</v>
      </c>
      <c r="D2656">
        <v>14.007400000000001</v>
      </c>
      <c r="E2656" t="s">
        <v>4615</v>
      </c>
      <c r="F2656" t="s">
        <v>4616</v>
      </c>
      <c r="G2656" t="s">
        <v>37</v>
      </c>
      <c r="H2656">
        <v>1989</v>
      </c>
      <c r="I2656">
        <v>28.600000381469702</v>
      </c>
      <c r="J2656">
        <v>16.799999237060501</v>
      </c>
      <c r="K2656">
        <v>65</v>
      </c>
      <c r="L2656">
        <v>23.299999237060501</v>
      </c>
      <c r="M2656">
        <v>41.099998474121101</v>
      </c>
      <c r="N2656">
        <v>15.300000190734901</v>
      </c>
      <c r="O2656">
        <v>25.799999237060501</v>
      </c>
      <c r="P2656">
        <v>28.100000381469702</v>
      </c>
      <c r="Q2656">
        <v>26.600000381469702</v>
      </c>
      <c r="R2656">
        <v>31.799999237060501</v>
      </c>
      <c r="S2656">
        <v>25.5</v>
      </c>
      <c r="T2656">
        <v>446</v>
      </c>
      <c r="U2656">
        <v>153</v>
      </c>
      <c r="V2656">
        <v>0</v>
      </c>
      <c r="W2656">
        <v>132</v>
      </c>
      <c r="X2656">
        <v>346</v>
      </c>
      <c r="Y2656">
        <v>0</v>
      </c>
      <c r="Z2656">
        <v>77</v>
      </c>
      <c r="AA2656">
        <v>0</v>
      </c>
      <c r="AB2656">
        <v>0.19530603745404401</v>
      </c>
      <c r="AC2656">
        <v>0.15146466668601299</v>
      </c>
      <c r="AD2656">
        <v>0.45943791986513499</v>
      </c>
      <c r="AE2656">
        <v>0.62066048383712802</v>
      </c>
      <c r="AF2656">
        <v>419.50924369747901</v>
      </c>
      <c r="AG2656">
        <f>IFERROR(AH2656*0.1, "N/A")</f>
        <v>7.6507563025210104</v>
      </c>
      <c r="AH2656">
        <v>76.507563025210104</v>
      </c>
      <c r="AI2656">
        <v>137.390358214819</v>
      </c>
      <c r="AJ2656">
        <v>47.489075630252103</v>
      </c>
      <c r="AK2656">
        <v>28.527731092437001</v>
      </c>
    </row>
    <row r="2657" spans="1:37" x14ac:dyDescent="0.3">
      <c r="A2657">
        <v>2656</v>
      </c>
      <c r="B2657">
        <v>2.1</v>
      </c>
      <c r="C2657">
        <v>34.096401</v>
      </c>
      <c r="D2657">
        <v>14.007400000000001</v>
      </c>
      <c r="E2657" t="s">
        <v>4615</v>
      </c>
      <c r="F2657" t="s">
        <v>4617</v>
      </c>
      <c r="G2657" t="s">
        <v>39</v>
      </c>
      <c r="H2657">
        <v>1989</v>
      </c>
      <c r="I2657">
        <v>28.600000381469702</v>
      </c>
      <c r="J2657">
        <v>16.799999237060501</v>
      </c>
      <c r="K2657">
        <v>65</v>
      </c>
      <c r="L2657">
        <v>23.299999237060501</v>
      </c>
      <c r="M2657">
        <v>41.099998474121101</v>
      </c>
      <c r="N2657">
        <v>15.300000190734901</v>
      </c>
      <c r="O2657">
        <v>25.799999237060501</v>
      </c>
      <c r="P2657">
        <v>28.100000381469702</v>
      </c>
      <c r="Q2657">
        <v>26.600000381469702</v>
      </c>
      <c r="R2657">
        <v>31.799999237060501</v>
      </c>
      <c r="S2657">
        <v>25.5</v>
      </c>
      <c r="T2657">
        <v>446</v>
      </c>
      <c r="U2657">
        <v>153</v>
      </c>
      <c r="V2657">
        <v>0</v>
      </c>
      <c r="W2657">
        <v>132</v>
      </c>
      <c r="X2657">
        <v>346</v>
      </c>
      <c r="Y2657">
        <v>0</v>
      </c>
      <c r="Z2657">
        <v>77</v>
      </c>
      <c r="AA2657">
        <v>0</v>
      </c>
      <c r="AB2657">
        <v>0.19530603745404401</v>
      </c>
      <c r="AC2657">
        <v>0.15146466668601299</v>
      </c>
      <c r="AD2657">
        <v>0.45943791986513499</v>
      </c>
      <c r="AE2657">
        <v>0.62066048383712802</v>
      </c>
      <c r="AF2657">
        <v>419.50924369747901</v>
      </c>
      <c r="AG2657">
        <f>IFERROR(AH2657*0.1, "N/A")</f>
        <v>7.6507563025210104</v>
      </c>
      <c r="AH2657">
        <v>76.507563025210104</v>
      </c>
      <c r="AI2657">
        <v>137.390358214819</v>
      </c>
      <c r="AJ2657">
        <v>47.489075630252103</v>
      </c>
      <c r="AK2657">
        <v>28.527731092437001</v>
      </c>
    </row>
    <row r="2658" spans="1:37" x14ac:dyDescent="0.3">
      <c r="A2658">
        <v>2657</v>
      </c>
      <c r="B2658">
        <v>12</v>
      </c>
      <c r="C2658">
        <v>34.211601000000002</v>
      </c>
      <c r="D2658">
        <v>14.010400000000001</v>
      </c>
      <c r="E2658" t="s">
        <v>4618</v>
      </c>
      <c r="F2658" t="s">
        <v>4619</v>
      </c>
      <c r="G2658" t="s">
        <v>37</v>
      </c>
      <c r="H2658">
        <v>1989</v>
      </c>
      <c r="I2658">
        <v>28.600000381469702</v>
      </c>
      <c r="J2658">
        <v>16.700000762939499</v>
      </c>
      <c r="K2658">
        <v>64</v>
      </c>
      <c r="L2658">
        <v>22.780000686645501</v>
      </c>
      <c r="M2658">
        <v>41.099998474121101</v>
      </c>
      <c r="N2658">
        <v>15.3999996185303</v>
      </c>
      <c r="O2658">
        <v>25.700000762939499</v>
      </c>
      <c r="P2658">
        <v>28</v>
      </c>
      <c r="Q2658">
        <v>26.700000762939499</v>
      </c>
      <c r="R2658">
        <v>31.799999237060501</v>
      </c>
      <c r="S2658">
        <v>25.600000381469702</v>
      </c>
      <c r="T2658">
        <v>456</v>
      </c>
      <c r="U2658">
        <v>157</v>
      </c>
      <c r="V2658">
        <v>0</v>
      </c>
      <c r="W2658">
        <v>132</v>
      </c>
      <c r="X2658">
        <v>353</v>
      </c>
      <c r="Y2658">
        <v>0</v>
      </c>
      <c r="Z2658">
        <v>79</v>
      </c>
      <c r="AA2658">
        <v>0</v>
      </c>
      <c r="AB2658">
        <v>0.38051400912010103</v>
      </c>
      <c r="AC2658">
        <v>2.9114832976928001E-2</v>
      </c>
      <c r="AD2658">
        <v>1.2898694543515199</v>
      </c>
      <c r="AE2658">
        <v>0.54442363977432295</v>
      </c>
      <c r="AF2658">
        <v>425.20508474576297</v>
      </c>
      <c r="AG2658">
        <f>IFERROR(AH2658*0.1, "N/A")</f>
        <v>7.5</v>
      </c>
      <c r="AH2658">
        <v>75</v>
      </c>
      <c r="AI2658">
        <v>178.559343021199</v>
      </c>
      <c r="AJ2658">
        <v>50.991525423728802</v>
      </c>
      <c r="AK2658">
        <v>25.0254237288136</v>
      </c>
    </row>
    <row r="2659" spans="1:37" x14ac:dyDescent="0.3">
      <c r="A2659">
        <v>2658</v>
      </c>
      <c r="B2659">
        <v>0.9</v>
      </c>
      <c r="C2659">
        <v>34.211601000000002</v>
      </c>
      <c r="D2659">
        <v>14.010400000000001</v>
      </c>
      <c r="E2659" t="s">
        <v>4618</v>
      </c>
      <c r="F2659" t="s">
        <v>4620</v>
      </c>
      <c r="G2659" t="s">
        <v>39</v>
      </c>
      <c r="H2659">
        <v>1989</v>
      </c>
      <c r="I2659">
        <v>28.600000381469702</v>
      </c>
      <c r="J2659">
        <v>16.700000762939499</v>
      </c>
      <c r="K2659">
        <v>64</v>
      </c>
      <c r="L2659">
        <v>22.780000686645501</v>
      </c>
      <c r="M2659">
        <v>41.099998474121101</v>
      </c>
      <c r="N2659">
        <v>15.3999996185303</v>
      </c>
      <c r="O2659">
        <v>25.700000762939499</v>
      </c>
      <c r="P2659">
        <v>28</v>
      </c>
      <c r="Q2659">
        <v>26.700000762939499</v>
      </c>
      <c r="R2659">
        <v>31.799999237060501</v>
      </c>
      <c r="S2659">
        <v>25.600000381469702</v>
      </c>
      <c r="T2659">
        <v>456</v>
      </c>
      <c r="U2659">
        <v>157</v>
      </c>
      <c r="V2659">
        <v>0</v>
      </c>
      <c r="W2659">
        <v>132</v>
      </c>
      <c r="X2659">
        <v>353</v>
      </c>
      <c r="Y2659">
        <v>0</v>
      </c>
      <c r="Z2659">
        <v>79</v>
      </c>
      <c r="AA2659">
        <v>0</v>
      </c>
      <c r="AB2659">
        <v>0.38051400912010103</v>
      </c>
      <c r="AC2659">
        <v>2.9114832976928001E-2</v>
      </c>
      <c r="AD2659">
        <v>1.2898694543515199</v>
      </c>
      <c r="AE2659">
        <v>0.54442363977432295</v>
      </c>
      <c r="AF2659">
        <v>425.20508474576297</v>
      </c>
      <c r="AG2659">
        <f>IFERROR(AH2659*0.1, "N/A")</f>
        <v>7.5</v>
      </c>
      <c r="AH2659">
        <v>75</v>
      </c>
      <c r="AI2659">
        <v>178.559343021199</v>
      </c>
      <c r="AJ2659">
        <v>50.991525423728802</v>
      </c>
      <c r="AK2659">
        <v>25.0254237288136</v>
      </c>
    </row>
    <row r="2660" spans="1:37" x14ac:dyDescent="0.3">
      <c r="A2660">
        <v>2659</v>
      </c>
      <c r="B2660">
        <v>5.7</v>
      </c>
      <c r="C2660">
        <v>34.174801000000002</v>
      </c>
      <c r="D2660">
        <v>14.011900000000001</v>
      </c>
      <c r="E2660" t="s">
        <v>4621</v>
      </c>
      <c r="F2660" t="s">
        <v>4622</v>
      </c>
      <c r="G2660" t="s">
        <v>37</v>
      </c>
      <c r="H2660">
        <v>1989</v>
      </c>
      <c r="I2660">
        <v>28.600000381469702</v>
      </c>
      <c r="J2660">
        <v>16.7327733721052</v>
      </c>
      <c r="K2660">
        <v>64.327731092437006</v>
      </c>
      <c r="L2660">
        <v>22.922100996770801</v>
      </c>
      <c r="M2660">
        <v>41.099998474121101</v>
      </c>
      <c r="N2660">
        <v>15.3999996185303</v>
      </c>
      <c r="O2660">
        <v>25.700000762939499</v>
      </c>
      <c r="P2660">
        <v>28.067227147206498</v>
      </c>
      <c r="Q2660">
        <v>26.6672275286763</v>
      </c>
      <c r="R2660">
        <v>31.799999237060501</v>
      </c>
      <c r="S2660">
        <v>25.567227147206498</v>
      </c>
      <c r="T2660">
        <v>451.67226890756302</v>
      </c>
      <c r="U2660">
        <v>155.67226890756299</v>
      </c>
      <c r="V2660">
        <v>0</v>
      </c>
      <c r="W2660">
        <v>134</v>
      </c>
      <c r="X2660">
        <v>350.67226890756302</v>
      </c>
      <c r="Y2660">
        <v>0</v>
      </c>
      <c r="Z2660">
        <v>78</v>
      </c>
      <c r="AA2660">
        <v>0</v>
      </c>
      <c r="AB2660">
        <v>0.56067120207457999</v>
      </c>
      <c r="AC2660">
        <v>9.8325398179290001E-3</v>
      </c>
      <c r="AD2660">
        <v>1.5573917679426099</v>
      </c>
      <c r="AE2660">
        <v>0.61742913722991899</v>
      </c>
      <c r="AF2660">
        <v>423.82521008403398</v>
      </c>
      <c r="AG2660">
        <f>IFERROR(AH2660*0.1, "N/A")</f>
        <v>7.5015126050420209</v>
      </c>
      <c r="AH2660">
        <v>75.015126050420207</v>
      </c>
      <c r="AI2660">
        <v>153.76958925904299</v>
      </c>
      <c r="AJ2660">
        <v>49.0151260504202</v>
      </c>
      <c r="AK2660">
        <v>29.156302521008399</v>
      </c>
    </row>
    <row r="2661" spans="1:37" x14ac:dyDescent="0.3">
      <c r="A2661">
        <v>2660</v>
      </c>
      <c r="B2661">
        <v>0</v>
      </c>
      <c r="C2661">
        <v>34.174801000000002</v>
      </c>
      <c r="D2661">
        <v>14.011900000000001</v>
      </c>
      <c r="E2661" t="s">
        <v>4621</v>
      </c>
      <c r="F2661" t="s">
        <v>4623</v>
      </c>
      <c r="G2661" t="s">
        <v>39</v>
      </c>
      <c r="H2661">
        <v>1989</v>
      </c>
      <c r="I2661">
        <v>28.600000381469702</v>
      </c>
      <c r="J2661">
        <v>16.7327733721052</v>
      </c>
      <c r="K2661">
        <v>64.327731092437006</v>
      </c>
      <c r="L2661">
        <v>22.922100996770801</v>
      </c>
      <c r="M2661">
        <v>41.099998474121101</v>
      </c>
      <c r="N2661">
        <v>15.3999996185303</v>
      </c>
      <c r="O2661">
        <v>25.700000762939499</v>
      </c>
      <c r="P2661">
        <v>28.067227147206498</v>
      </c>
      <c r="Q2661">
        <v>26.6672275286763</v>
      </c>
      <c r="R2661">
        <v>31.799999237060501</v>
      </c>
      <c r="S2661">
        <v>25.567227147206498</v>
      </c>
      <c r="T2661">
        <v>451.67226890756302</v>
      </c>
      <c r="U2661">
        <v>155.67226890756299</v>
      </c>
      <c r="V2661">
        <v>0</v>
      </c>
      <c r="W2661">
        <v>134</v>
      </c>
      <c r="X2661">
        <v>350.67226890756302</v>
      </c>
      <c r="Y2661">
        <v>0</v>
      </c>
      <c r="Z2661">
        <v>78</v>
      </c>
      <c r="AA2661">
        <v>0</v>
      </c>
      <c r="AB2661">
        <v>0.56067120207457999</v>
      </c>
      <c r="AC2661">
        <v>9.8325398179290001E-3</v>
      </c>
      <c r="AD2661">
        <v>1.5573917679426099</v>
      </c>
      <c r="AE2661">
        <v>0.61742913722991899</v>
      </c>
      <c r="AF2661">
        <v>423.82521008403398</v>
      </c>
      <c r="AG2661">
        <f>IFERROR(AH2661*0.1, "N/A")</f>
        <v>7.5015126050420209</v>
      </c>
      <c r="AH2661">
        <v>75.015126050420207</v>
      </c>
      <c r="AI2661">
        <v>153.76958925904299</v>
      </c>
      <c r="AJ2661">
        <v>49.0151260504202</v>
      </c>
      <c r="AK2661">
        <v>29.156302521008399</v>
      </c>
    </row>
    <row r="2662" spans="1:37" x14ac:dyDescent="0.3">
      <c r="A2662">
        <v>2661</v>
      </c>
      <c r="B2662">
        <v>8.5</v>
      </c>
      <c r="C2662">
        <v>34.133999000000003</v>
      </c>
      <c r="D2662">
        <v>14.0122</v>
      </c>
      <c r="E2662" t="s">
        <v>4624</v>
      </c>
      <c r="F2662" t="s">
        <v>4625</v>
      </c>
      <c r="G2662" t="s">
        <v>37</v>
      </c>
      <c r="H2662">
        <v>1989</v>
      </c>
      <c r="I2662">
        <v>28.600000381469702</v>
      </c>
      <c r="J2662">
        <v>16.799999237060501</v>
      </c>
      <c r="K2662">
        <v>65</v>
      </c>
      <c r="L2662">
        <v>23.397841104568599</v>
      </c>
      <c r="M2662">
        <v>41.099998474121101</v>
      </c>
      <c r="N2662">
        <v>15.300000190734901</v>
      </c>
      <c r="O2662">
        <v>25.799999237060501</v>
      </c>
      <c r="P2662">
        <v>28</v>
      </c>
      <c r="Q2662">
        <v>26.600000381469702</v>
      </c>
      <c r="R2662">
        <v>31.897301463212401</v>
      </c>
      <c r="S2662">
        <v>25.5</v>
      </c>
      <c r="T2662">
        <v>448</v>
      </c>
      <c r="U2662">
        <v>154</v>
      </c>
      <c r="V2662">
        <v>0</v>
      </c>
      <c r="W2662">
        <v>133</v>
      </c>
      <c r="X2662">
        <v>348</v>
      </c>
      <c r="Y2662">
        <v>0</v>
      </c>
      <c r="Z2662">
        <v>77</v>
      </c>
      <c r="AA2662">
        <v>0</v>
      </c>
      <c r="AB2662">
        <v>0.50238078279800802</v>
      </c>
      <c r="AC2662">
        <v>0.11287443123406</v>
      </c>
      <c r="AD2662">
        <v>1.28458118137179</v>
      </c>
      <c r="AE2662">
        <v>0.64878624677658103</v>
      </c>
      <c r="AF2662">
        <v>421.01517706576698</v>
      </c>
      <c r="AG2662">
        <f>IFERROR(AH2662*0.1, "N/A")</f>
        <v>7.4263069139966209</v>
      </c>
      <c r="AH2662">
        <v>74.263069139966206</v>
      </c>
      <c r="AI2662">
        <v>203.186364609717</v>
      </c>
      <c r="AJ2662">
        <v>54</v>
      </c>
      <c r="AK2662">
        <v>22.973018549747</v>
      </c>
    </row>
    <row r="2663" spans="1:37" x14ac:dyDescent="0.3">
      <c r="A2663">
        <v>2662</v>
      </c>
      <c r="B2663">
        <v>1.1000000000000001</v>
      </c>
      <c r="C2663">
        <v>34.133999000000003</v>
      </c>
      <c r="D2663">
        <v>14.0122</v>
      </c>
      <c r="E2663" t="s">
        <v>4624</v>
      </c>
      <c r="F2663" t="s">
        <v>4626</v>
      </c>
      <c r="G2663" t="s">
        <v>39</v>
      </c>
      <c r="H2663">
        <v>1989</v>
      </c>
      <c r="I2663">
        <v>28.600000381469702</v>
      </c>
      <c r="J2663">
        <v>16.799999237060501</v>
      </c>
      <c r="K2663">
        <v>65</v>
      </c>
      <c r="L2663">
        <v>23.397841104568599</v>
      </c>
      <c r="M2663">
        <v>41.099998474121101</v>
      </c>
      <c r="N2663">
        <v>15.300000190734901</v>
      </c>
      <c r="O2663">
        <v>25.799999237060501</v>
      </c>
      <c r="P2663">
        <v>28</v>
      </c>
      <c r="Q2663">
        <v>26.600000381469702</v>
      </c>
      <c r="R2663">
        <v>31.897301463212401</v>
      </c>
      <c r="S2663">
        <v>25.5</v>
      </c>
      <c r="T2663">
        <v>448</v>
      </c>
      <c r="U2663">
        <v>154</v>
      </c>
      <c r="V2663">
        <v>0</v>
      </c>
      <c r="W2663">
        <v>133</v>
      </c>
      <c r="X2663">
        <v>348</v>
      </c>
      <c r="Y2663">
        <v>0</v>
      </c>
      <c r="Z2663">
        <v>77</v>
      </c>
      <c r="AA2663">
        <v>0</v>
      </c>
      <c r="AB2663">
        <v>0.50238078279800802</v>
      </c>
      <c r="AC2663">
        <v>0.11287443123406</v>
      </c>
      <c r="AD2663">
        <v>1.28458118137179</v>
      </c>
      <c r="AE2663">
        <v>0.64878624677658103</v>
      </c>
      <c r="AF2663">
        <v>421.01517706576698</v>
      </c>
      <c r="AG2663">
        <f>IFERROR(AH2663*0.1, "N/A")</f>
        <v>7.4263069139966209</v>
      </c>
      <c r="AH2663">
        <v>74.263069139966206</v>
      </c>
      <c r="AI2663">
        <v>203.186364609717</v>
      </c>
      <c r="AJ2663">
        <v>54</v>
      </c>
      <c r="AK2663">
        <v>22.973018549747</v>
      </c>
    </row>
    <row r="2664" spans="1:37" x14ac:dyDescent="0.3">
      <c r="A2664">
        <v>2663</v>
      </c>
      <c r="B2664">
        <v>8.9</v>
      </c>
      <c r="C2664">
        <v>34.055900999999999</v>
      </c>
      <c r="D2664">
        <v>14.0192</v>
      </c>
      <c r="E2664" t="s">
        <v>4395</v>
      </c>
      <c r="F2664" t="s">
        <v>4627</v>
      </c>
      <c r="G2664" t="s">
        <v>37</v>
      </c>
      <c r="H2664">
        <v>1989</v>
      </c>
      <c r="I2664">
        <v>28.600000381469702</v>
      </c>
      <c r="J2664">
        <v>16.799999237060501</v>
      </c>
      <c r="K2664">
        <v>64</v>
      </c>
      <c r="L2664">
        <v>23.409999847412099</v>
      </c>
      <c r="M2664">
        <v>41.099998474121101</v>
      </c>
      <c r="N2664">
        <v>15.199999809265099</v>
      </c>
      <c r="O2664">
        <v>25.899999618530298</v>
      </c>
      <c r="P2664">
        <v>28.100000381469702</v>
      </c>
      <c r="Q2664">
        <v>26.5</v>
      </c>
      <c r="R2664">
        <v>31.799999237060501</v>
      </c>
      <c r="S2664">
        <v>25.399999618530298</v>
      </c>
      <c r="T2664">
        <v>439</v>
      </c>
      <c r="U2664">
        <v>151</v>
      </c>
      <c r="V2664">
        <v>0</v>
      </c>
      <c r="W2664">
        <v>135</v>
      </c>
      <c r="X2664">
        <v>342</v>
      </c>
      <c r="Y2664">
        <v>0</v>
      </c>
      <c r="Z2664">
        <v>75</v>
      </c>
      <c r="AA2664">
        <v>0</v>
      </c>
      <c r="AB2664">
        <v>0.83731027811515202</v>
      </c>
      <c r="AC2664">
        <v>1.9008981633712001E-2</v>
      </c>
      <c r="AD2664">
        <v>0.90142908777509401</v>
      </c>
      <c r="AE2664">
        <v>0.59640049934387196</v>
      </c>
      <c r="AF2664">
        <v>421.12941176470599</v>
      </c>
      <c r="AG2664">
        <f>IFERROR(AH2664*0.1, "N/A")</f>
        <v>7.6388235294117708</v>
      </c>
      <c r="AH2664">
        <v>76.388235294117706</v>
      </c>
      <c r="AI2664">
        <v>194.270404347652</v>
      </c>
      <c r="AJ2664">
        <v>50.989915966386597</v>
      </c>
      <c r="AK2664">
        <v>24.020168067226901</v>
      </c>
    </row>
    <row r="2665" spans="1:37" x14ac:dyDescent="0.3">
      <c r="A2665">
        <v>2664</v>
      </c>
      <c r="B2665">
        <v>0</v>
      </c>
      <c r="C2665">
        <v>32.803398000000001</v>
      </c>
      <c r="D2665">
        <v>14.0357</v>
      </c>
      <c r="E2665" t="s">
        <v>4628</v>
      </c>
      <c r="F2665" t="s">
        <v>4629</v>
      </c>
      <c r="G2665" t="s">
        <v>37</v>
      </c>
      <c r="H2665">
        <v>1989</v>
      </c>
      <c r="I2665">
        <v>28.700000762939499</v>
      </c>
      <c r="J2665">
        <v>15.699999809265099</v>
      </c>
      <c r="K2665">
        <v>60</v>
      </c>
      <c r="L2665">
        <v>27.399999618530298</v>
      </c>
      <c r="M2665">
        <v>41.200000762939503</v>
      </c>
      <c r="N2665">
        <v>15.3999996185303</v>
      </c>
      <c r="O2665">
        <v>25.799999237060501</v>
      </c>
      <c r="P2665">
        <v>28.899999618530298</v>
      </c>
      <c r="Q2665">
        <v>25.899999618530298</v>
      </c>
      <c r="R2665">
        <v>32.099998474121101</v>
      </c>
      <c r="S2665">
        <v>24.700000762939499</v>
      </c>
      <c r="T2665">
        <v>277</v>
      </c>
      <c r="U2665">
        <v>116</v>
      </c>
      <c r="V2665">
        <v>0</v>
      </c>
      <c r="W2665">
        <v>155</v>
      </c>
      <c r="X2665">
        <v>241</v>
      </c>
      <c r="Y2665">
        <v>0</v>
      </c>
      <c r="Z2665">
        <v>31</v>
      </c>
      <c r="AA2665">
        <v>0</v>
      </c>
      <c r="AB2665">
        <v>0.29393406106968101</v>
      </c>
      <c r="AC2665">
        <v>0.97476159732142897</v>
      </c>
      <c r="AD2665">
        <v>1.6638412852881299</v>
      </c>
      <c r="AE2665">
        <v>0.73460071556495898</v>
      </c>
      <c r="AF2665">
        <v>399.90909090909099</v>
      </c>
      <c r="AG2665">
        <f>IFERROR(AH2665*0.1, "N/A")</f>
        <v>7.779629629629631</v>
      </c>
      <c r="AH2665">
        <v>77.796296296296305</v>
      </c>
      <c r="AI2665">
        <v>213.20731579815899</v>
      </c>
      <c r="AJ2665">
        <v>46</v>
      </c>
      <c r="AK2665">
        <v>32</v>
      </c>
    </row>
    <row r="2666" spans="1:37" x14ac:dyDescent="0.3">
      <c r="A2666">
        <v>2665</v>
      </c>
      <c r="B2666">
        <v>0</v>
      </c>
      <c r="C2666">
        <v>32.803398000000001</v>
      </c>
      <c r="D2666">
        <v>14.0357</v>
      </c>
      <c r="E2666" t="s">
        <v>4628</v>
      </c>
      <c r="F2666" t="s">
        <v>4630</v>
      </c>
      <c r="G2666" t="s">
        <v>39</v>
      </c>
      <c r="H2666">
        <v>1989</v>
      </c>
      <c r="I2666">
        <v>28.700000762939499</v>
      </c>
      <c r="J2666">
        <v>15.699999809265099</v>
      </c>
      <c r="K2666">
        <v>60</v>
      </c>
      <c r="L2666">
        <v>27.399999618530298</v>
      </c>
      <c r="M2666">
        <v>41.200000762939503</v>
      </c>
      <c r="N2666">
        <v>15.3999996185303</v>
      </c>
      <c r="O2666">
        <v>25.799999237060501</v>
      </c>
      <c r="P2666">
        <v>28.899999618530298</v>
      </c>
      <c r="Q2666">
        <v>25.899999618530298</v>
      </c>
      <c r="R2666">
        <v>32.099998474121101</v>
      </c>
      <c r="S2666">
        <v>24.700000762939499</v>
      </c>
      <c r="T2666">
        <v>277</v>
      </c>
      <c r="U2666">
        <v>116</v>
      </c>
      <c r="V2666">
        <v>0</v>
      </c>
      <c r="W2666">
        <v>155</v>
      </c>
      <c r="X2666">
        <v>241</v>
      </c>
      <c r="Y2666">
        <v>0</v>
      </c>
      <c r="Z2666">
        <v>31</v>
      </c>
      <c r="AA2666">
        <v>0</v>
      </c>
      <c r="AB2666">
        <v>0.29393406106968101</v>
      </c>
      <c r="AC2666">
        <v>0.97476159732142897</v>
      </c>
      <c r="AD2666">
        <v>1.6638412852881299</v>
      </c>
      <c r="AE2666">
        <v>0.73460071556495898</v>
      </c>
      <c r="AF2666">
        <v>399.90909090909099</v>
      </c>
      <c r="AG2666">
        <f>IFERROR(AH2666*0.1, "N/A")</f>
        <v>7.779629629629631</v>
      </c>
      <c r="AH2666">
        <v>77.796296296296305</v>
      </c>
      <c r="AI2666">
        <v>213.20731579815899</v>
      </c>
      <c r="AJ2666">
        <v>46</v>
      </c>
      <c r="AK2666">
        <v>32</v>
      </c>
    </row>
    <row r="2667" spans="1:37" x14ac:dyDescent="0.3">
      <c r="A2667">
        <v>2666</v>
      </c>
      <c r="B2667">
        <v>4.5999999999999996</v>
      </c>
      <c r="C2667">
        <v>34.162300000000002</v>
      </c>
      <c r="D2667">
        <v>14.067500000000001</v>
      </c>
      <c r="E2667" t="s">
        <v>4631</v>
      </c>
      <c r="F2667" t="s">
        <v>4632</v>
      </c>
      <c r="G2667" t="s">
        <v>37</v>
      </c>
      <c r="H2667">
        <v>1989</v>
      </c>
      <c r="I2667">
        <v>28.600000381469702</v>
      </c>
      <c r="J2667">
        <v>16.799999237060501</v>
      </c>
      <c r="K2667">
        <v>65</v>
      </c>
      <c r="L2667">
        <v>23.210099927116801</v>
      </c>
      <c r="M2667">
        <v>41.099998474121101</v>
      </c>
      <c r="N2667">
        <v>15.300000190734901</v>
      </c>
      <c r="O2667">
        <v>25.799999237060501</v>
      </c>
      <c r="P2667">
        <v>28.100000381469702</v>
      </c>
      <c r="Q2667">
        <v>26.6998326950714</v>
      </c>
      <c r="R2667">
        <v>31.799999237060501</v>
      </c>
      <c r="S2667">
        <v>25.5</v>
      </c>
      <c r="T2667">
        <v>442</v>
      </c>
      <c r="U2667">
        <v>153</v>
      </c>
      <c r="V2667">
        <v>0</v>
      </c>
      <c r="W2667">
        <v>135</v>
      </c>
      <c r="X2667">
        <v>344</v>
      </c>
      <c r="Y2667">
        <v>0</v>
      </c>
      <c r="Z2667">
        <v>76</v>
      </c>
      <c r="AA2667">
        <v>0</v>
      </c>
      <c r="AB2667">
        <v>0.26503270253413902</v>
      </c>
      <c r="AC2667">
        <v>0.97738062696641004</v>
      </c>
      <c r="AD2667">
        <v>1.3040636766357601</v>
      </c>
      <c r="AE2667">
        <v>0.703027027394591</v>
      </c>
      <c r="AF2667">
        <v>420.44201680672302</v>
      </c>
      <c r="AG2667">
        <f>IFERROR(AH2667*0.1, "N/A")</f>
        <v>7.5514285714285707</v>
      </c>
      <c r="AH2667">
        <v>75.514285714285705</v>
      </c>
      <c r="AI2667">
        <v>186.45418466519899</v>
      </c>
      <c r="AJ2667">
        <v>56.354621848739498</v>
      </c>
      <c r="AK2667">
        <v>22.4756302521008</v>
      </c>
    </row>
    <row r="2668" spans="1:37" x14ac:dyDescent="0.3">
      <c r="A2668">
        <v>2667</v>
      </c>
      <c r="B2668">
        <v>0.5</v>
      </c>
      <c r="C2668">
        <v>34.162300000000002</v>
      </c>
      <c r="D2668">
        <v>14.067500000000001</v>
      </c>
      <c r="E2668" t="s">
        <v>4631</v>
      </c>
      <c r="F2668" t="s">
        <v>4633</v>
      </c>
      <c r="G2668" t="s">
        <v>39</v>
      </c>
      <c r="H2668">
        <v>1989</v>
      </c>
      <c r="I2668">
        <v>28.600000381469702</v>
      </c>
      <c r="J2668">
        <v>16.799999237060501</v>
      </c>
      <c r="K2668">
        <v>65</v>
      </c>
      <c r="L2668">
        <v>23.210099927116801</v>
      </c>
      <c r="M2668">
        <v>41.099998474121101</v>
      </c>
      <c r="N2668">
        <v>15.300000190734901</v>
      </c>
      <c r="O2668">
        <v>25.799999237060501</v>
      </c>
      <c r="P2668">
        <v>28.100000381469702</v>
      </c>
      <c r="Q2668">
        <v>26.6998326950714</v>
      </c>
      <c r="R2668">
        <v>31.799999237060501</v>
      </c>
      <c r="S2668">
        <v>25.5</v>
      </c>
      <c r="T2668">
        <v>442</v>
      </c>
      <c r="U2668">
        <v>153</v>
      </c>
      <c r="V2668">
        <v>0</v>
      </c>
      <c r="W2668">
        <v>135</v>
      </c>
      <c r="X2668">
        <v>344</v>
      </c>
      <c r="Y2668">
        <v>0</v>
      </c>
      <c r="Z2668">
        <v>76</v>
      </c>
      <c r="AA2668">
        <v>0</v>
      </c>
      <c r="AB2668">
        <v>0.26503270253413902</v>
      </c>
      <c r="AC2668">
        <v>0.97738062696641004</v>
      </c>
      <c r="AD2668">
        <v>1.3040636766357601</v>
      </c>
      <c r="AE2668">
        <v>0.703027027394591</v>
      </c>
      <c r="AF2668">
        <v>420.44201680672302</v>
      </c>
      <c r="AG2668">
        <f>IFERROR(AH2668*0.1, "N/A")</f>
        <v>7.5514285714285707</v>
      </c>
      <c r="AH2668">
        <v>75.514285714285705</v>
      </c>
      <c r="AI2668">
        <v>186.45418466519899</v>
      </c>
      <c r="AJ2668">
        <v>56.354621848739498</v>
      </c>
      <c r="AK2668">
        <v>22.4756302521008</v>
      </c>
    </row>
    <row r="2669" spans="1:37" x14ac:dyDescent="0.3">
      <c r="A2669">
        <v>2668</v>
      </c>
      <c r="B2669">
        <v>0</v>
      </c>
      <c r="C2669">
        <v>34.092098</v>
      </c>
      <c r="D2669">
        <v>14.077</v>
      </c>
      <c r="E2669" t="s">
        <v>4634</v>
      </c>
      <c r="F2669" t="s">
        <v>4635</v>
      </c>
      <c r="G2669" t="s">
        <v>37</v>
      </c>
      <c r="H2669">
        <v>1989</v>
      </c>
      <c r="I2669">
        <v>28.600000381469702</v>
      </c>
      <c r="J2669">
        <v>16.799999237060501</v>
      </c>
      <c r="K2669">
        <v>64</v>
      </c>
      <c r="L2669">
        <v>23.396222129037</v>
      </c>
      <c r="M2669">
        <v>41.099998474121101</v>
      </c>
      <c r="N2669">
        <v>15.199999809265099</v>
      </c>
      <c r="O2669">
        <v>25.899999618530298</v>
      </c>
      <c r="P2669">
        <v>28.100000381469702</v>
      </c>
      <c r="Q2669">
        <v>26.5</v>
      </c>
      <c r="R2669">
        <v>31.799999237060501</v>
      </c>
      <c r="S2669">
        <v>25.399999618530298</v>
      </c>
      <c r="T2669">
        <v>434.24451939291703</v>
      </c>
      <c r="U2669">
        <v>150</v>
      </c>
      <c r="V2669">
        <v>0</v>
      </c>
      <c r="W2669">
        <v>133</v>
      </c>
      <c r="X2669">
        <v>339</v>
      </c>
      <c r="Y2669">
        <v>0</v>
      </c>
      <c r="Z2669">
        <v>73.622259696458698</v>
      </c>
      <c r="AA2669">
        <v>0</v>
      </c>
      <c r="AB2669">
        <v>0.124796669559575</v>
      </c>
      <c r="AC2669">
        <v>0.35399645852147998</v>
      </c>
      <c r="AD2669">
        <v>0.80220621140771098</v>
      </c>
      <c r="AE2669">
        <v>0.43442973494529702</v>
      </c>
      <c r="AF2669">
        <v>419.566610455312</v>
      </c>
      <c r="AG2669">
        <f>IFERROR(AH2669*0.1, "N/A")</f>
        <v>7.6930860033726809</v>
      </c>
      <c r="AH2669">
        <v>76.930860033726802</v>
      </c>
      <c r="AI2669">
        <v>151.51251113274</v>
      </c>
      <c r="AJ2669">
        <v>49.930860033726802</v>
      </c>
      <c r="AK2669">
        <v>28</v>
      </c>
    </row>
    <row r="2670" spans="1:37" x14ac:dyDescent="0.3">
      <c r="A2670">
        <v>2669</v>
      </c>
      <c r="B2670">
        <v>12.5</v>
      </c>
      <c r="C2670">
        <v>34.092098</v>
      </c>
      <c r="D2670">
        <v>14.077</v>
      </c>
      <c r="E2670" t="s">
        <v>4634</v>
      </c>
      <c r="F2670" t="s">
        <v>4636</v>
      </c>
      <c r="G2670" t="s">
        <v>39</v>
      </c>
      <c r="H2670">
        <v>1989</v>
      </c>
      <c r="I2670">
        <v>28.600000381469702</v>
      </c>
      <c r="J2670">
        <v>16.799999237060501</v>
      </c>
      <c r="K2670">
        <v>64</v>
      </c>
      <c r="L2670">
        <v>23.396222129037</v>
      </c>
      <c r="M2670">
        <v>41.099998474121101</v>
      </c>
      <c r="N2670">
        <v>15.199999809265099</v>
      </c>
      <c r="O2670">
        <v>25.899999618530298</v>
      </c>
      <c r="P2670">
        <v>28.100000381469702</v>
      </c>
      <c r="Q2670">
        <v>26.5</v>
      </c>
      <c r="R2670">
        <v>31.799999237060501</v>
      </c>
      <c r="S2670">
        <v>25.399999618530298</v>
      </c>
      <c r="T2670">
        <v>434.24451939291703</v>
      </c>
      <c r="U2670">
        <v>150</v>
      </c>
      <c r="V2670">
        <v>0</v>
      </c>
      <c r="W2670">
        <v>133</v>
      </c>
      <c r="X2670">
        <v>339</v>
      </c>
      <c r="Y2670">
        <v>0</v>
      </c>
      <c r="Z2670">
        <v>73.622259696458698</v>
      </c>
      <c r="AA2670">
        <v>0</v>
      </c>
      <c r="AB2670">
        <v>0.124796669559575</v>
      </c>
      <c r="AC2670">
        <v>0.35399645852147998</v>
      </c>
      <c r="AD2670">
        <v>0.80220621140771098</v>
      </c>
      <c r="AE2670">
        <v>0.43442973494529702</v>
      </c>
      <c r="AF2670">
        <v>419.566610455312</v>
      </c>
      <c r="AG2670">
        <f>IFERROR(AH2670*0.1, "N/A")</f>
        <v>7.6930860033726809</v>
      </c>
      <c r="AH2670">
        <v>76.930860033726802</v>
      </c>
      <c r="AI2670">
        <v>151.51251113274</v>
      </c>
      <c r="AJ2670">
        <v>49.930860033726802</v>
      </c>
      <c r="AK2670">
        <v>28</v>
      </c>
    </row>
    <row r="2671" spans="1:37" x14ac:dyDescent="0.3">
      <c r="A2671">
        <v>2670</v>
      </c>
      <c r="B2671">
        <v>5.7</v>
      </c>
      <c r="C2671">
        <v>34.017200000000003</v>
      </c>
      <c r="D2671">
        <v>14.0855</v>
      </c>
      <c r="E2671" t="s">
        <v>4637</v>
      </c>
      <c r="F2671" t="s">
        <v>4638</v>
      </c>
      <c r="G2671" t="s">
        <v>37</v>
      </c>
      <c r="H2671">
        <v>1989</v>
      </c>
      <c r="I2671">
        <v>28.600000381469702</v>
      </c>
      <c r="J2671">
        <v>16.799999237060501</v>
      </c>
      <c r="K2671">
        <v>64</v>
      </c>
      <c r="L2671">
        <v>23.8096964287035</v>
      </c>
      <c r="M2671">
        <v>41.099998474121101</v>
      </c>
      <c r="N2671">
        <v>15.1000003814697</v>
      </c>
      <c r="O2671">
        <v>26</v>
      </c>
      <c r="P2671">
        <v>28.100000381469702</v>
      </c>
      <c r="Q2671">
        <v>26.5</v>
      </c>
      <c r="R2671">
        <v>31.799999237060501</v>
      </c>
      <c r="S2671">
        <v>25.299999237060501</v>
      </c>
      <c r="T2671">
        <v>424.93939393939399</v>
      </c>
      <c r="U2671">
        <v>147.969696969697</v>
      </c>
      <c r="V2671">
        <v>0</v>
      </c>
      <c r="W2671">
        <v>135</v>
      </c>
      <c r="X2671">
        <v>332.969696969697</v>
      </c>
      <c r="Y2671">
        <v>0</v>
      </c>
      <c r="Z2671">
        <v>70.969696969696997</v>
      </c>
      <c r="AA2671">
        <v>0</v>
      </c>
      <c r="AB2671">
        <v>0.16819208318536899</v>
      </c>
      <c r="AC2671">
        <v>0.11681151653793601</v>
      </c>
      <c r="AD2671">
        <v>0.355320000939498</v>
      </c>
      <c r="AE2671">
        <v>0.568073511123657</v>
      </c>
      <c r="AF2671">
        <v>422.07912457912499</v>
      </c>
      <c r="AG2671">
        <f>IFERROR(AH2671*0.1, "N/A")</f>
        <v>7.7</v>
      </c>
      <c r="AH2671">
        <v>77</v>
      </c>
      <c r="AI2671">
        <v>129.77990224305199</v>
      </c>
      <c r="AJ2671">
        <v>52.090909090909101</v>
      </c>
      <c r="AK2671">
        <v>24.909090909090899</v>
      </c>
    </row>
    <row r="2672" spans="1:37" x14ac:dyDescent="0.3">
      <c r="A2672">
        <v>2671</v>
      </c>
      <c r="B2672">
        <v>0.3</v>
      </c>
      <c r="C2672">
        <v>34.017200000000003</v>
      </c>
      <c r="D2672">
        <v>14.0855</v>
      </c>
      <c r="E2672" t="s">
        <v>4637</v>
      </c>
      <c r="F2672" t="s">
        <v>4639</v>
      </c>
      <c r="G2672" t="s">
        <v>39</v>
      </c>
      <c r="H2672">
        <v>1989</v>
      </c>
      <c r="I2672">
        <v>28.600000381469702</v>
      </c>
      <c r="J2672">
        <v>16.799999237060501</v>
      </c>
      <c r="K2672">
        <v>64</v>
      </c>
      <c r="L2672">
        <v>23.8096964287035</v>
      </c>
      <c r="M2672">
        <v>41.099998474121101</v>
      </c>
      <c r="N2672">
        <v>15.1000003814697</v>
      </c>
      <c r="O2672">
        <v>26</v>
      </c>
      <c r="P2672">
        <v>28.100000381469702</v>
      </c>
      <c r="Q2672">
        <v>26.5</v>
      </c>
      <c r="R2672">
        <v>31.799999237060501</v>
      </c>
      <c r="S2672">
        <v>25.299999237060501</v>
      </c>
      <c r="T2672">
        <v>424.93939393939399</v>
      </c>
      <c r="U2672">
        <v>147.969696969697</v>
      </c>
      <c r="V2672">
        <v>0</v>
      </c>
      <c r="W2672">
        <v>135</v>
      </c>
      <c r="X2672">
        <v>332.969696969697</v>
      </c>
      <c r="Y2672">
        <v>0</v>
      </c>
      <c r="Z2672">
        <v>70.969696969696997</v>
      </c>
      <c r="AA2672">
        <v>0</v>
      </c>
      <c r="AB2672">
        <v>0.16819208318536899</v>
      </c>
      <c r="AC2672">
        <v>0.11681151653793601</v>
      </c>
      <c r="AD2672">
        <v>0.355320000939498</v>
      </c>
      <c r="AE2672">
        <v>0.568073511123657</v>
      </c>
      <c r="AF2672">
        <v>422.07912457912499</v>
      </c>
      <c r="AG2672">
        <f>IFERROR(AH2672*0.1, "N/A")</f>
        <v>7.7</v>
      </c>
      <c r="AH2672">
        <v>77</v>
      </c>
      <c r="AI2672">
        <v>129.77990224305199</v>
      </c>
      <c r="AJ2672">
        <v>52.090909090909101</v>
      </c>
      <c r="AK2672">
        <v>24.909090909090899</v>
      </c>
    </row>
    <row r="2673" spans="1:37" x14ac:dyDescent="0.3">
      <c r="A2673">
        <v>2672</v>
      </c>
      <c r="B2673">
        <v>78.599997999999999</v>
      </c>
      <c r="C2673">
        <v>33.618899999999996</v>
      </c>
      <c r="D2673">
        <v>14.1031</v>
      </c>
      <c r="E2673" t="s">
        <v>4640</v>
      </c>
      <c r="F2673" t="s">
        <v>4641</v>
      </c>
      <c r="G2673" t="s">
        <v>37</v>
      </c>
      <c r="H2673">
        <v>1989</v>
      </c>
      <c r="I2673">
        <v>28.5</v>
      </c>
      <c r="J2673">
        <v>16.799999237060501</v>
      </c>
      <c r="K2673">
        <v>63</v>
      </c>
      <c r="L2673">
        <v>25.5100002288818</v>
      </c>
      <c r="M2673">
        <v>41.200000762939503</v>
      </c>
      <c r="N2673">
        <v>14.6000003814697</v>
      </c>
      <c r="O2673">
        <v>26.600000381469702</v>
      </c>
      <c r="P2673">
        <v>28.299999237060501</v>
      </c>
      <c r="Q2673">
        <v>26</v>
      </c>
      <c r="R2673">
        <v>31.799999237060501</v>
      </c>
      <c r="S2673">
        <v>24.899999618530298</v>
      </c>
      <c r="T2673">
        <v>367</v>
      </c>
      <c r="U2673">
        <v>131</v>
      </c>
      <c r="V2673">
        <v>0</v>
      </c>
      <c r="W2673">
        <v>141</v>
      </c>
      <c r="X2673">
        <v>298</v>
      </c>
      <c r="Y2673">
        <v>0</v>
      </c>
      <c r="Z2673">
        <v>54</v>
      </c>
      <c r="AA2673">
        <v>0</v>
      </c>
      <c r="AB2673">
        <v>6.3345637993524502</v>
      </c>
      <c r="AC2673">
        <v>1.1927771255461E-2</v>
      </c>
      <c r="AD2673">
        <v>1.0613219319974001</v>
      </c>
      <c r="AE2673">
        <v>0.74867087602615401</v>
      </c>
      <c r="AF2673">
        <v>414.770134228188</v>
      </c>
      <c r="AG2673">
        <f>IFERROR(AH2673*0.1, "N/A")</f>
        <v>8.0738255033557103</v>
      </c>
      <c r="AH2673">
        <v>80.738255033557095</v>
      </c>
      <c r="AI2673">
        <v>121.45707077948001</v>
      </c>
      <c r="AJ2673">
        <v>50.857382550335601</v>
      </c>
      <c r="AK2673">
        <v>20.890939597315398</v>
      </c>
    </row>
    <row r="2674" spans="1:37" x14ac:dyDescent="0.3">
      <c r="A2674">
        <v>2673</v>
      </c>
      <c r="B2674">
        <v>0</v>
      </c>
      <c r="C2674">
        <v>33.618899999999996</v>
      </c>
      <c r="D2674">
        <v>14.1031</v>
      </c>
      <c r="E2674" t="s">
        <v>4640</v>
      </c>
      <c r="F2674" t="s">
        <v>4642</v>
      </c>
      <c r="G2674" t="s">
        <v>39</v>
      </c>
      <c r="H2674">
        <v>1989</v>
      </c>
      <c r="I2674">
        <v>28.5</v>
      </c>
      <c r="J2674">
        <v>16.799999237060501</v>
      </c>
      <c r="K2674">
        <v>63</v>
      </c>
      <c r="L2674">
        <v>25.5100002288818</v>
      </c>
      <c r="M2674">
        <v>41.200000762939503</v>
      </c>
      <c r="N2674">
        <v>14.6000003814697</v>
      </c>
      <c r="O2674">
        <v>26.600000381469702</v>
      </c>
      <c r="P2674">
        <v>28.299999237060501</v>
      </c>
      <c r="Q2674">
        <v>26</v>
      </c>
      <c r="R2674">
        <v>31.799999237060501</v>
      </c>
      <c r="S2674">
        <v>24.899999618530298</v>
      </c>
      <c r="T2674">
        <v>367</v>
      </c>
      <c r="U2674">
        <v>131</v>
      </c>
      <c r="V2674">
        <v>0</v>
      </c>
      <c r="W2674">
        <v>141</v>
      </c>
      <c r="X2674">
        <v>298</v>
      </c>
      <c r="Y2674">
        <v>0</v>
      </c>
      <c r="Z2674">
        <v>54</v>
      </c>
      <c r="AA2674">
        <v>0</v>
      </c>
      <c r="AB2674">
        <v>6.3345637993524502</v>
      </c>
      <c r="AC2674">
        <v>1.1927771255461E-2</v>
      </c>
      <c r="AD2674">
        <v>1.0613219319974001</v>
      </c>
      <c r="AE2674">
        <v>0.74867087602615401</v>
      </c>
      <c r="AF2674">
        <v>414.770134228188</v>
      </c>
      <c r="AG2674">
        <f>IFERROR(AH2674*0.1, "N/A")</f>
        <v>8.0738255033557103</v>
      </c>
      <c r="AH2674">
        <v>80.738255033557095</v>
      </c>
      <c r="AI2674">
        <v>121.45707077948001</v>
      </c>
      <c r="AJ2674">
        <v>50.857382550335601</v>
      </c>
      <c r="AK2674">
        <v>20.890939597315398</v>
      </c>
    </row>
    <row r="2675" spans="1:37" x14ac:dyDescent="0.3">
      <c r="A2675">
        <v>2674</v>
      </c>
      <c r="B2675">
        <v>4.2</v>
      </c>
      <c r="C2675">
        <v>34.090598999999997</v>
      </c>
      <c r="D2675">
        <v>14.108599999999999</v>
      </c>
      <c r="E2675" t="s">
        <v>4643</v>
      </c>
      <c r="F2675" t="s">
        <v>4644</v>
      </c>
      <c r="G2675" t="s">
        <v>37</v>
      </c>
      <c r="H2675">
        <v>1989</v>
      </c>
      <c r="I2675">
        <v>28.600000381469702</v>
      </c>
      <c r="J2675">
        <v>16.799999237060501</v>
      </c>
      <c r="K2675">
        <v>64</v>
      </c>
      <c r="L2675">
        <v>23.888590095827201</v>
      </c>
      <c r="M2675">
        <v>41.099998474121101</v>
      </c>
      <c r="N2675">
        <v>15.1000003814697</v>
      </c>
      <c r="O2675">
        <v>26</v>
      </c>
      <c r="P2675">
        <v>28.107047388217602</v>
      </c>
      <c r="Q2675">
        <v>26.4929529932521</v>
      </c>
      <c r="R2675">
        <v>31.799999237060501</v>
      </c>
      <c r="S2675">
        <v>25.299999237060501</v>
      </c>
      <c r="T2675">
        <v>428.14093959731503</v>
      </c>
      <c r="U2675">
        <v>149</v>
      </c>
      <c r="V2675">
        <v>0</v>
      </c>
      <c r="W2675">
        <v>136</v>
      </c>
      <c r="X2675">
        <v>335.070469798658</v>
      </c>
      <c r="Y2675">
        <v>0</v>
      </c>
      <c r="Z2675">
        <v>72.070469798657697</v>
      </c>
      <c r="AA2675">
        <v>0</v>
      </c>
      <c r="AB2675">
        <v>7.3939631417293699</v>
      </c>
      <c r="AC2675">
        <v>1.1050675515923E-2</v>
      </c>
      <c r="AD2675">
        <v>6.62266638614987</v>
      </c>
      <c r="AE2675">
        <v>0.47765339255932998</v>
      </c>
      <c r="AF2675">
        <v>433.36073825503399</v>
      </c>
      <c r="AG2675">
        <f>IFERROR(AH2675*0.1, "N/A")</f>
        <v>7.6000000000000005</v>
      </c>
      <c r="AH2675">
        <v>76</v>
      </c>
      <c r="AI2675">
        <v>159.88052626744201</v>
      </c>
      <c r="AJ2675">
        <v>36</v>
      </c>
      <c r="AK2675">
        <v>42</v>
      </c>
    </row>
    <row r="2676" spans="1:37" x14ac:dyDescent="0.3">
      <c r="A2676">
        <v>2675</v>
      </c>
      <c r="B2676">
        <v>2.4</v>
      </c>
      <c r="C2676">
        <v>34.090598999999997</v>
      </c>
      <c r="D2676">
        <v>14.108599999999999</v>
      </c>
      <c r="E2676" t="s">
        <v>4643</v>
      </c>
      <c r="F2676" t="s">
        <v>4645</v>
      </c>
      <c r="G2676" t="s">
        <v>39</v>
      </c>
      <c r="H2676">
        <v>1989</v>
      </c>
      <c r="I2676">
        <v>28.600000381469702</v>
      </c>
      <c r="J2676">
        <v>16.799999237060501</v>
      </c>
      <c r="K2676">
        <v>64</v>
      </c>
      <c r="L2676">
        <v>23.888590095827201</v>
      </c>
      <c r="M2676">
        <v>41.099998474121101</v>
      </c>
      <c r="N2676">
        <v>15.1000003814697</v>
      </c>
      <c r="O2676">
        <v>26</v>
      </c>
      <c r="P2676">
        <v>28.107047388217602</v>
      </c>
      <c r="Q2676">
        <v>26.4929529932521</v>
      </c>
      <c r="R2676">
        <v>31.799999237060501</v>
      </c>
      <c r="S2676">
        <v>25.299999237060501</v>
      </c>
      <c r="T2676">
        <v>428.14093959731503</v>
      </c>
      <c r="U2676">
        <v>149</v>
      </c>
      <c r="V2676">
        <v>0</v>
      </c>
      <c r="W2676">
        <v>136</v>
      </c>
      <c r="X2676">
        <v>335.070469798658</v>
      </c>
      <c r="Y2676">
        <v>0</v>
      </c>
      <c r="Z2676">
        <v>72.070469798657697</v>
      </c>
      <c r="AA2676">
        <v>0</v>
      </c>
      <c r="AB2676">
        <v>7.3939631417293699</v>
      </c>
      <c r="AC2676">
        <v>1.1050675515923E-2</v>
      </c>
      <c r="AD2676">
        <v>6.62266638614987</v>
      </c>
      <c r="AE2676">
        <v>0.47765339255932998</v>
      </c>
      <c r="AF2676">
        <v>433.36073825503399</v>
      </c>
      <c r="AG2676">
        <f>IFERROR(AH2676*0.1, "N/A")</f>
        <v>7.6000000000000005</v>
      </c>
      <c r="AH2676">
        <v>76</v>
      </c>
      <c r="AI2676">
        <v>159.88052626744201</v>
      </c>
      <c r="AJ2676">
        <v>36</v>
      </c>
      <c r="AK2676">
        <v>42</v>
      </c>
    </row>
    <row r="2677" spans="1:37" x14ac:dyDescent="0.3">
      <c r="A2677">
        <v>2676</v>
      </c>
      <c r="B2677">
        <v>12.5</v>
      </c>
      <c r="C2677">
        <v>33.956501000000003</v>
      </c>
      <c r="D2677">
        <v>14.116199999999999</v>
      </c>
      <c r="E2677" t="s">
        <v>4646</v>
      </c>
      <c r="F2677" t="s">
        <v>4647</v>
      </c>
      <c r="G2677" t="s">
        <v>37</v>
      </c>
      <c r="H2677">
        <v>1989</v>
      </c>
      <c r="I2677">
        <v>28.5005059041221</v>
      </c>
      <c r="J2677">
        <v>16.899999618530298</v>
      </c>
      <c r="K2677">
        <v>64</v>
      </c>
      <c r="L2677">
        <v>23.990606857994599</v>
      </c>
      <c r="M2677">
        <v>41.099998474121101</v>
      </c>
      <c r="N2677">
        <v>14.9005055226524</v>
      </c>
      <c r="O2677">
        <v>26.1994948588173</v>
      </c>
      <c r="P2677">
        <v>28.200000762939499</v>
      </c>
      <c r="Q2677">
        <v>26.399999618530298</v>
      </c>
      <c r="R2677">
        <v>31.799999237060501</v>
      </c>
      <c r="S2677">
        <v>25.200000762939499</v>
      </c>
      <c r="T2677">
        <v>412.99494097807798</v>
      </c>
      <c r="U2677">
        <v>144</v>
      </c>
      <c r="V2677">
        <v>0</v>
      </c>
      <c r="W2677">
        <v>136</v>
      </c>
      <c r="X2677">
        <v>325</v>
      </c>
      <c r="Y2677">
        <v>0</v>
      </c>
      <c r="Z2677">
        <v>67.994940978077594</v>
      </c>
      <c r="AA2677">
        <v>0</v>
      </c>
      <c r="AB2677">
        <v>3.8509218881745402</v>
      </c>
      <c r="AC2677">
        <v>6.5909527342697005E-2</v>
      </c>
      <c r="AD2677">
        <v>0.89583939163117998</v>
      </c>
      <c r="AE2677">
        <v>0.48273678392825198</v>
      </c>
      <c r="AF2677">
        <v>416.29173693086</v>
      </c>
      <c r="AG2677">
        <f>IFERROR(AH2677*0.1, "N/A")</f>
        <v>7.7720067453625603</v>
      </c>
      <c r="AH2677">
        <v>77.720067453625603</v>
      </c>
      <c r="AI2677">
        <v>251.72352870278601</v>
      </c>
      <c r="AJ2677">
        <v>52.102866779089403</v>
      </c>
      <c r="AK2677">
        <v>23.374367622259701</v>
      </c>
    </row>
    <row r="2678" spans="1:37" x14ac:dyDescent="0.3">
      <c r="A2678">
        <v>2677</v>
      </c>
      <c r="B2678">
        <v>0</v>
      </c>
      <c r="C2678">
        <v>33.956501000000003</v>
      </c>
      <c r="D2678">
        <v>14.116199999999999</v>
      </c>
      <c r="E2678" t="s">
        <v>4646</v>
      </c>
      <c r="F2678" t="s">
        <v>4648</v>
      </c>
      <c r="G2678" t="s">
        <v>39</v>
      </c>
      <c r="H2678">
        <v>1989</v>
      </c>
      <c r="I2678">
        <v>28.5005059041221</v>
      </c>
      <c r="J2678">
        <v>16.899999618530298</v>
      </c>
      <c r="K2678">
        <v>64</v>
      </c>
      <c r="L2678">
        <v>23.990606857994599</v>
      </c>
      <c r="M2678">
        <v>41.099998474121101</v>
      </c>
      <c r="N2678">
        <v>14.9005055226524</v>
      </c>
      <c r="O2678">
        <v>26.1994948588173</v>
      </c>
      <c r="P2678">
        <v>28.200000762939499</v>
      </c>
      <c r="Q2678">
        <v>26.399999618530298</v>
      </c>
      <c r="R2678">
        <v>31.799999237060501</v>
      </c>
      <c r="S2678">
        <v>25.200000762939499</v>
      </c>
      <c r="T2678">
        <v>412.99494097807798</v>
      </c>
      <c r="U2678">
        <v>144</v>
      </c>
      <c r="V2678">
        <v>0</v>
      </c>
      <c r="W2678">
        <v>136</v>
      </c>
      <c r="X2678">
        <v>325</v>
      </c>
      <c r="Y2678">
        <v>0</v>
      </c>
      <c r="Z2678">
        <v>67.994940978077594</v>
      </c>
      <c r="AA2678">
        <v>0</v>
      </c>
      <c r="AB2678">
        <v>3.8509218881745402</v>
      </c>
      <c r="AC2678">
        <v>6.5909527342697005E-2</v>
      </c>
      <c r="AD2678">
        <v>0.89583939163117998</v>
      </c>
      <c r="AE2678">
        <v>0.48273678392825198</v>
      </c>
      <c r="AF2678">
        <v>416.29173693086</v>
      </c>
      <c r="AG2678">
        <f>IFERROR(AH2678*0.1, "N/A")</f>
        <v>7.7720067453625603</v>
      </c>
      <c r="AH2678">
        <v>77.720067453625603</v>
      </c>
      <c r="AI2678">
        <v>251.72352870278601</v>
      </c>
      <c r="AJ2678">
        <v>52.102866779089403</v>
      </c>
      <c r="AK2678">
        <v>23.374367622259701</v>
      </c>
    </row>
    <row r="2679" spans="1:37" x14ac:dyDescent="0.3">
      <c r="A2679">
        <v>2678</v>
      </c>
      <c r="B2679">
        <v>5.0999999999999996</v>
      </c>
      <c r="C2679">
        <v>34.023800000000001</v>
      </c>
      <c r="D2679">
        <v>14.138999999999999</v>
      </c>
      <c r="E2679" t="s">
        <v>4649</v>
      </c>
      <c r="F2679" t="s">
        <v>4650</v>
      </c>
      <c r="G2679" t="s">
        <v>37</v>
      </c>
      <c r="H2679">
        <v>1989</v>
      </c>
      <c r="I2679">
        <v>28.599832030659201</v>
      </c>
      <c r="J2679">
        <v>16.899999618530298</v>
      </c>
      <c r="K2679">
        <v>64</v>
      </c>
      <c r="L2679">
        <v>24.019815271551</v>
      </c>
      <c r="M2679">
        <v>41.099998474121101</v>
      </c>
      <c r="N2679">
        <v>14.8999996185303</v>
      </c>
      <c r="O2679">
        <v>26.200000762939499</v>
      </c>
      <c r="P2679">
        <v>28.200000762939499</v>
      </c>
      <c r="Q2679">
        <v>26.399999618530298</v>
      </c>
      <c r="R2679">
        <v>31.799999237060501</v>
      </c>
      <c r="S2679">
        <v>25.200000762939499</v>
      </c>
      <c r="T2679">
        <v>416.00336700336698</v>
      </c>
      <c r="U2679">
        <v>145.001683501684</v>
      </c>
      <c r="V2679">
        <v>0</v>
      </c>
      <c r="W2679">
        <v>137</v>
      </c>
      <c r="X2679">
        <v>327.00336700336698</v>
      </c>
      <c r="Y2679">
        <v>0</v>
      </c>
      <c r="Z2679">
        <v>69</v>
      </c>
      <c r="AA2679">
        <v>0</v>
      </c>
      <c r="AB2679">
        <v>0.53991144353693199</v>
      </c>
      <c r="AC2679">
        <v>0.10058662434255899</v>
      </c>
      <c r="AD2679">
        <v>1.1199457331337901</v>
      </c>
      <c r="AE2679">
        <v>0.54339367151260398</v>
      </c>
      <c r="AF2679">
        <v>420.23569023569002</v>
      </c>
      <c r="AG2679">
        <f>IFERROR(AH2679*0.1, "N/A")</f>
        <v>7.5</v>
      </c>
      <c r="AH2679">
        <v>75</v>
      </c>
      <c r="AI2679">
        <v>157.79153277978301</v>
      </c>
      <c r="AJ2679">
        <v>49.001683501683502</v>
      </c>
      <c r="AK2679">
        <v>27.838383838383798</v>
      </c>
    </row>
    <row r="2680" spans="1:37" x14ac:dyDescent="0.3">
      <c r="A2680">
        <v>2679</v>
      </c>
      <c r="B2680">
        <v>15.8</v>
      </c>
      <c r="C2680">
        <v>34.023800000000001</v>
      </c>
      <c r="D2680">
        <v>14.138999999999999</v>
      </c>
      <c r="E2680" t="s">
        <v>4649</v>
      </c>
      <c r="F2680" t="s">
        <v>4651</v>
      </c>
      <c r="G2680" t="s">
        <v>39</v>
      </c>
      <c r="H2680">
        <v>1989</v>
      </c>
      <c r="I2680">
        <v>28.599832030659201</v>
      </c>
      <c r="J2680">
        <v>16.899999618530298</v>
      </c>
      <c r="K2680">
        <v>64</v>
      </c>
      <c r="L2680">
        <v>24.019815271551</v>
      </c>
      <c r="M2680">
        <v>41.099998474121101</v>
      </c>
      <c r="N2680">
        <v>14.8999996185303</v>
      </c>
      <c r="O2680">
        <v>26.200000762939499</v>
      </c>
      <c r="P2680">
        <v>28.200000762939499</v>
      </c>
      <c r="Q2680">
        <v>26.399999618530298</v>
      </c>
      <c r="R2680">
        <v>31.799999237060501</v>
      </c>
      <c r="S2680">
        <v>25.200000762939499</v>
      </c>
      <c r="T2680">
        <v>416.00336700336698</v>
      </c>
      <c r="U2680">
        <v>145.001683501684</v>
      </c>
      <c r="V2680">
        <v>0</v>
      </c>
      <c r="W2680">
        <v>137</v>
      </c>
      <c r="X2680">
        <v>327.00336700336698</v>
      </c>
      <c r="Y2680">
        <v>0</v>
      </c>
      <c r="Z2680">
        <v>69</v>
      </c>
      <c r="AA2680">
        <v>0</v>
      </c>
      <c r="AB2680">
        <v>0.53991144353693199</v>
      </c>
      <c r="AC2680">
        <v>0.10058662434255899</v>
      </c>
      <c r="AD2680">
        <v>1.1199457331337901</v>
      </c>
      <c r="AE2680">
        <v>0.54339367151260398</v>
      </c>
      <c r="AF2680">
        <v>420.23569023569002</v>
      </c>
      <c r="AG2680">
        <f>IFERROR(AH2680*0.1, "N/A")</f>
        <v>7.5</v>
      </c>
      <c r="AH2680">
        <v>75</v>
      </c>
      <c r="AI2680">
        <v>157.79153277978301</v>
      </c>
      <c r="AJ2680">
        <v>49.001683501683502</v>
      </c>
      <c r="AK2680">
        <v>27.838383838383798</v>
      </c>
    </row>
    <row r="2681" spans="1:37" x14ac:dyDescent="0.3">
      <c r="A2681">
        <v>2680</v>
      </c>
      <c r="B2681">
        <v>18.399999999999999</v>
      </c>
      <c r="C2681">
        <v>33.928600000000003</v>
      </c>
      <c r="D2681">
        <v>14.192500000000001</v>
      </c>
      <c r="E2681" t="s">
        <v>4652</v>
      </c>
      <c r="F2681" t="s">
        <v>4653</v>
      </c>
      <c r="G2681" t="s">
        <v>37</v>
      </c>
      <c r="H2681">
        <v>1989</v>
      </c>
      <c r="I2681">
        <v>28.5</v>
      </c>
      <c r="J2681">
        <v>16.899999618530298</v>
      </c>
      <c r="K2681">
        <v>64</v>
      </c>
      <c r="L2681">
        <v>24.579999923706101</v>
      </c>
      <c r="M2681">
        <v>41.099998474121101</v>
      </c>
      <c r="N2681">
        <v>14.800000190734901</v>
      </c>
      <c r="O2681">
        <v>26.299999237060501</v>
      </c>
      <c r="P2681">
        <v>28.299999237060501</v>
      </c>
      <c r="Q2681">
        <v>26.299999237060501</v>
      </c>
      <c r="R2681">
        <v>31.799999237060501</v>
      </c>
      <c r="S2681">
        <v>25.100000381469702</v>
      </c>
      <c r="T2681">
        <v>400</v>
      </c>
      <c r="U2681">
        <v>140</v>
      </c>
      <c r="V2681">
        <v>0</v>
      </c>
      <c r="W2681">
        <v>136</v>
      </c>
      <c r="X2681">
        <v>317</v>
      </c>
      <c r="Y2681">
        <v>0</v>
      </c>
      <c r="Z2681">
        <v>64</v>
      </c>
      <c r="AA2681">
        <v>0</v>
      </c>
      <c r="AB2681">
        <v>1.26694350274617</v>
      </c>
      <c r="AC2681">
        <v>27.369685276062999</v>
      </c>
      <c r="AD2681">
        <v>1.8300442543605799</v>
      </c>
      <c r="AE2681">
        <v>0.421236783266068</v>
      </c>
      <c r="AF2681">
        <v>411.14429530201301</v>
      </c>
      <c r="AG2681">
        <f>IFERROR(AH2681*0.1, "N/A")</f>
        <v>7.7994966442953002</v>
      </c>
      <c r="AH2681">
        <v>77.994966442953</v>
      </c>
      <c r="AI2681">
        <v>161.52014285606</v>
      </c>
      <c r="AJ2681">
        <v>53.3087248322148</v>
      </c>
      <c r="AK2681">
        <v>23.0956375838926</v>
      </c>
    </row>
    <row r="2682" spans="1:37" x14ac:dyDescent="0.3">
      <c r="A2682">
        <v>2681</v>
      </c>
      <c r="B2682">
        <v>0</v>
      </c>
      <c r="C2682">
        <v>33.928600000000003</v>
      </c>
      <c r="D2682">
        <v>14.192500000000001</v>
      </c>
      <c r="E2682" t="s">
        <v>4652</v>
      </c>
      <c r="F2682" t="s">
        <v>4654</v>
      </c>
      <c r="G2682" t="s">
        <v>39</v>
      </c>
      <c r="H2682">
        <v>1989</v>
      </c>
      <c r="I2682">
        <v>28.5</v>
      </c>
      <c r="J2682">
        <v>16.899999618530298</v>
      </c>
      <c r="K2682">
        <v>64</v>
      </c>
      <c r="L2682">
        <v>24.579999923706101</v>
      </c>
      <c r="M2682">
        <v>41.099998474121101</v>
      </c>
      <c r="N2682">
        <v>14.800000190734901</v>
      </c>
      <c r="O2682">
        <v>26.299999237060501</v>
      </c>
      <c r="P2682">
        <v>28.299999237060501</v>
      </c>
      <c r="Q2682">
        <v>26.299999237060501</v>
      </c>
      <c r="R2682">
        <v>31.799999237060501</v>
      </c>
      <c r="S2682">
        <v>25.100000381469702</v>
      </c>
      <c r="T2682">
        <v>400</v>
      </c>
      <c r="U2682">
        <v>140</v>
      </c>
      <c r="V2682">
        <v>0</v>
      </c>
      <c r="W2682">
        <v>136</v>
      </c>
      <c r="X2682">
        <v>317</v>
      </c>
      <c r="Y2682">
        <v>0</v>
      </c>
      <c r="Z2682">
        <v>64</v>
      </c>
      <c r="AA2682">
        <v>0</v>
      </c>
      <c r="AB2682">
        <v>1.26694350274617</v>
      </c>
      <c r="AC2682">
        <v>27.369685276062999</v>
      </c>
      <c r="AD2682">
        <v>1.8300442543605799</v>
      </c>
      <c r="AE2682">
        <v>0.421236783266068</v>
      </c>
      <c r="AF2682">
        <v>411.14429530201301</v>
      </c>
      <c r="AG2682">
        <f>IFERROR(AH2682*0.1, "N/A")</f>
        <v>7.7994966442953002</v>
      </c>
      <c r="AH2682">
        <v>77.994966442953</v>
      </c>
      <c r="AI2682">
        <v>161.52014285606</v>
      </c>
      <c r="AJ2682">
        <v>53.3087248322148</v>
      </c>
      <c r="AK2682">
        <v>23.0956375838926</v>
      </c>
    </row>
    <row r="2683" spans="1:37" x14ac:dyDescent="0.3">
      <c r="A2683">
        <v>2682</v>
      </c>
      <c r="B2683">
        <v>2.5</v>
      </c>
      <c r="C2683">
        <v>33.839401000000002</v>
      </c>
      <c r="D2683">
        <v>14.202199999999999</v>
      </c>
      <c r="E2683" t="s">
        <v>4655</v>
      </c>
      <c r="F2683" t="s">
        <v>4656</v>
      </c>
      <c r="G2683" t="s">
        <v>37</v>
      </c>
      <c r="H2683">
        <v>1989</v>
      </c>
      <c r="I2683">
        <v>28.5</v>
      </c>
      <c r="J2683">
        <v>16.899999618530298</v>
      </c>
      <c r="K2683">
        <v>63</v>
      </c>
      <c r="L2683">
        <v>24.9799995422363</v>
      </c>
      <c r="M2683">
        <v>41.099998474121101</v>
      </c>
      <c r="N2683">
        <v>14.6000003814697</v>
      </c>
      <c r="O2683">
        <v>26.5</v>
      </c>
      <c r="P2683">
        <v>28.299999237060501</v>
      </c>
      <c r="Q2683">
        <v>26.100000381469702</v>
      </c>
      <c r="R2683">
        <v>31.799999237060501</v>
      </c>
      <c r="S2683">
        <v>24.899999618530298</v>
      </c>
      <c r="T2683">
        <v>388</v>
      </c>
      <c r="U2683">
        <v>136</v>
      </c>
      <c r="V2683">
        <v>0</v>
      </c>
      <c r="W2683">
        <v>137</v>
      </c>
      <c r="X2683">
        <v>310</v>
      </c>
      <c r="Y2683">
        <v>0</v>
      </c>
      <c r="Z2683">
        <v>60</v>
      </c>
      <c r="AA2683">
        <v>0</v>
      </c>
      <c r="AB2683">
        <v>0.93770571108217604</v>
      </c>
      <c r="AC2683">
        <v>0.47216962551955199</v>
      </c>
      <c r="AD2683">
        <v>1.4960619641674899</v>
      </c>
      <c r="AE2683">
        <v>0.65287744998931896</v>
      </c>
      <c r="AF2683">
        <v>413.85858585858603</v>
      </c>
      <c r="AG2683">
        <f>IFERROR(AH2683*0.1, "N/A")</f>
        <v>7.8442760942761005</v>
      </c>
      <c r="AH2683">
        <v>78.442760942760998</v>
      </c>
      <c r="AI2683">
        <v>203.85354832607501</v>
      </c>
      <c r="AJ2683">
        <v>47.212121212121197</v>
      </c>
      <c r="AK2683">
        <v>29.180134680134699</v>
      </c>
    </row>
    <row r="2684" spans="1:37" x14ac:dyDescent="0.3">
      <c r="A2684">
        <v>2683</v>
      </c>
      <c r="B2684">
        <v>0</v>
      </c>
      <c r="C2684">
        <v>33.839401000000002</v>
      </c>
      <c r="D2684">
        <v>14.202199999999999</v>
      </c>
      <c r="E2684" t="s">
        <v>4655</v>
      </c>
      <c r="F2684" t="s">
        <v>4657</v>
      </c>
      <c r="G2684" t="s">
        <v>39</v>
      </c>
      <c r="H2684">
        <v>1989</v>
      </c>
      <c r="I2684">
        <v>28.5</v>
      </c>
      <c r="J2684">
        <v>16.899999618530298</v>
      </c>
      <c r="K2684">
        <v>63</v>
      </c>
      <c r="L2684">
        <v>24.9799995422363</v>
      </c>
      <c r="M2684">
        <v>41.099998474121101</v>
      </c>
      <c r="N2684">
        <v>14.6000003814697</v>
      </c>
      <c r="O2684">
        <v>26.5</v>
      </c>
      <c r="P2684">
        <v>28.299999237060501</v>
      </c>
      <c r="Q2684">
        <v>26.100000381469702</v>
      </c>
      <c r="R2684">
        <v>31.799999237060501</v>
      </c>
      <c r="S2684">
        <v>24.899999618530298</v>
      </c>
      <c r="T2684">
        <v>388</v>
      </c>
      <c r="U2684">
        <v>136</v>
      </c>
      <c r="V2684">
        <v>0</v>
      </c>
      <c r="W2684">
        <v>137</v>
      </c>
      <c r="X2684">
        <v>310</v>
      </c>
      <c r="Y2684">
        <v>0</v>
      </c>
      <c r="Z2684">
        <v>60</v>
      </c>
      <c r="AA2684">
        <v>0</v>
      </c>
      <c r="AB2684">
        <v>0.93770571108217604</v>
      </c>
      <c r="AC2684">
        <v>0.47216962551955199</v>
      </c>
      <c r="AD2684">
        <v>1.4960619641674899</v>
      </c>
      <c r="AE2684">
        <v>0.65287744998931896</v>
      </c>
      <c r="AF2684">
        <v>413.85858585858603</v>
      </c>
      <c r="AG2684">
        <f>IFERROR(AH2684*0.1, "N/A")</f>
        <v>7.8442760942761005</v>
      </c>
      <c r="AH2684">
        <v>78.442760942760998</v>
      </c>
      <c r="AI2684">
        <v>203.85354832607501</v>
      </c>
      <c r="AJ2684">
        <v>47.212121212121197</v>
      </c>
      <c r="AK2684">
        <v>29.180134680134699</v>
      </c>
    </row>
    <row r="2685" spans="1:37" x14ac:dyDescent="0.3">
      <c r="A2685">
        <v>2684</v>
      </c>
      <c r="B2685">
        <v>12.2</v>
      </c>
      <c r="C2685">
        <v>33.885798999999999</v>
      </c>
      <c r="D2685">
        <v>14.2133</v>
      </c>
      <c r="E2685" t="s">
        <v>4658</v>
      </c>
      <c r="F2685" t="s">
        <v>4659</v>
      </c>
      <c r="G2685" t="s">
        <v>37</v>
      </c>
      <c r="H2685">
        <v>1989</v>
      </c>
      <c r="I2685">
        <v>28.5</v>
      </c>
      <c r="J2685">
        <v>16.899999618530298</v>
      </c>
      <c r="K2685">
        <v>64</v>
      </c>
      <c r="L2685">
        <v>25.0100002288818</v>
      </c>
      <c r="M2685">
        <v>41.099998474121101</v>
      </c>
      <c r="N2685">
        <v>14.699999809265099</v>
      </c>
      <c r="O2685">
        <v>26.399999618530298</v>
      </c>
      <c r="P2685">
        <v>28.299999237060501</v>
      </c>
      <c r="Q2685">
        <v>26.200000762939499</v>
      </c>
      <c r="R2685">
        <v>31.799999237060501</v>
      </c>
      <c r="S2685">
        <v>24.899999618530298</v>
      </c>
      <c r="T2685">
        <v>392</v>
      </c>
      <c r="U2685">
        <v>138</v>
      </c>
      <c r="V2685">
        <v>0</v>
      </c>
      <c r="W2685">
        <v>139</v>
      </c>
      <c r="X2685">
        <v>313</v>
      </c>
      <c r="Y2685">
        <v>0</v>
      </c>
      <c r="Z2685">
        <v>61</v>
      </c>
      <c r="AA2685">
        <v>0</v>
      </c>
      <c r="AB2685">
        <v>0.39898666201715299</v>
      </c>
      <c r="AC2685">
        <v>1.1241376279062999E-2</v>
      </c>
      <c r="AD2685">
        <v>1.0970926042551901</v>
      </c>
      <c r="AE2685">
        <v>0.64301627874374401</v>
      </c>
      <c r="AF2685">
        <v>415.69983136593601</v>
      </c>
      <c r="AG2685">
        <f>IFERROR(AH2685*0.1, "N/A")</f>
        <v>7.6973018549747101</v>
      </c>
      <c r="AH2685">
        <v>76.973018549747096</v>
      </c>
      <c r="AI2685">
        <v>234.500676442962</v>
      </c>
      <c r="AJ2685">
        <v>49.860033726812802</v>
      </c>
      <c r="AK2685">
        <v>27.139966273187198</v>
      </c>
    </row>
    <row r="2686" spans="1:37" x14ac:dyDescent="0.3">
      <c r="A2686">
        <v>2685</v>
      </c>
      <c r="B2686">
        <v>0</v>
      </c>
      <c r="C2686">
        <v>33.885798999999999</v>
      </c>
      <c r="D2686">
        <v>14.2133</v>
      </c>
      <c r="E2686" t="s">
        <v>4658</v>
      </c>
      <c r="F2686" t="s">
        <v>4660</v>
      </c>
      <c r="G2686" t="s">
        <v>39</v>
      </c>
      <c r="H2686">
        <v>1989</v>
      </c>
      <c r="I2686">
        <v>28.5</v>
      </c>
      <c r="J2686">
        <v>16.899999618530298</v>
      </c>
      <c r="K2686">
        <v>64</v>
      </c>
      <c r="L2686">
        <v>25.0100002288818</v>
      </c>
      <c r="M2686">
        <v>41.099998474121101</v>
      </c>
      <c r="N2686">
        <v>14.699999809265099</v>
      </c>
      <c r="O2686">
        <v>26.399999618530298</v>
      </c>
      <c r="P2686">
        <v>28.299999237060501</v>
      </c>
      <c r="Q2686">
        <v>26.200000762939499</v>
      </c>
      <c r="R2686">
        <v>31.799999237060501</v>
      </c>
      <c r="S2686">
        <v>24.899999618530298</v>
      </c>
      <c r="T2686">
        <v>392</v>
      </c>
      <c r="U2686">
        <v>138</v>
      </c>
      <c r="V2686">
        <v>0</v>
      </c>
      <c r="W2686">
        <v>139</v>
      </c>
      <c r="X2686">
        <v>313</v>
      </c>
      <c r="Y2686">
        <v>0</v>
      </c>
      <c r="Z2686">
        <v>61</v>
      </c>
      <c r="AA2686">
        <v>0</v>
      </c>
      <c r="AB2686">
        <v>0.39898666201715299</v>
      </c>
      <c r="AC2686">
        <v>1.1241376279062999E-2</v>
      </c>
      <c r="AD2686">
        <v>1.0970926042551901</v>
      </c>
      <c r="AE2686">
        <v>0.64301627874374401</v>
      </c>
      <c r="AF2686">
        <v>415.69983136593601</v>
      </c>
      <c r="AG2686">
        <f>IFERROR(AH2686*0.1, "N/A")</f>
        <v>7.6973018549747101</v>
      </c>
      <c r="AH2686">
        <v>76.973018549747096</v>
      </c>
      <c r="AI2686">
        <v>234.500676442962</v>
      </c>
      <c r="AJ2686">
        <v>49.860033726812802</v>
      </c>
      <c r="AK2686">
        <v>27.139966273187198</v>
      </c>
    </row>
    <row r="2687" spans="1:37" x14ac:dyDescent="0.3">
      <c r="A2687">
        <v>2686</v>
      </c>
      <c r="B2687">
        <v>90.800003000000004</v>
      </c>
      <c r="C2687">
        <v>32.692000999999998</v>
      </c>
      <c r="D2687">
        <v>14.2211</v>
      </c>
      <c r="E2687" t="s">
        <v>4661</v>
      </c>
      <c r="F2687" t="s">
        <v>4662</v>
      </c>
      <c r="G2687" t="s">
        <v>37</v>
      </c>
      <c r="H2687">
        <v>1989</v>
      </c>
      <c r="I2687">
        <v>28.799999237060501</v>
      </c>
      <c r="J2687">
        <v>15.6000003814697</v>
      </c>
      <c r="K2687">
        <v>60</v>
      </c>
      <c r="L2687">
        <v>27.978979451999201</v>
      </c>
      <c r="M2687">
        <v>41.200000762939503</v>
      </c>
      <c r="N2687">
        <v>15.3999996185303</v>
      </c>
      <c r="O2687">
        <v>25.799999237060501</v>
      </c>
      <c r="P2687">
        <v>29.210201276185899</v>
      </c>
      <c r="Q2687">
        <v>25.799999237060501</v>
      </c>
      <c r="R2687">
        <v>32.099998474121101</v>
      </c>
      <c r="S2687">
        <v>24.600000381469702</v>
      </c>
      <c r="T2687">
        <v>255.795986622074</v>
      </c>
      <c r="U2687">
        <v>106.897993311037</v>
      </c>
      <c r="V2687">
        <v>0</v>
      </c>
      <c r="W2687">
        <v>156.795986622074</v>
      </c>
      <c r="X2687">
        <v>224.795986622074</v>
      </c>
      <c r="Y2687">
        <v>0</v>
      </c>
      <c r="Z2687">
        <v>26</v>
      </c>
      <c r="AA2687">
        <v>0</v>
      </c>
      <c r="AB2687">
        <v>0.43494586242879901</v>
      </c>
      <c r="AC2687">
        <v>9.2059817806779999E-3</v>
      </c>
      <c r="AD2687">
        <v>1.72072606800392</v>
      </c>
      <c r="AE2687">
        <v>0.72647613286972001</v>
      </c>
      <c r="AF2687">
        <v>400.87792642140499</v>
      </c>
      <c r="AG2687">
        <f>IFERROR(AH2687*0.1, "N/A")</f>
        <v>8.2591973244147194</v>
      </c>
      <c r="AH2687">
        <v>82.591973244147198</v>
      </c>
      <c r="AI2687">
        <v>158.03381307468001</v>
      </c>
      <c r="AJ2687">
        <v>41.102006688963201</v>
      </c>
      <c r="AK2687">
        <v>36</v>
      </c>
    </row>
    <row r="2688" spans="1:37" x14ac:dyDescent="0.3">
      <c r="A2688">
        <v>2687</v>
      </c>
      <c r="B2688">
        <v>2.6</v>
      </c>
      <c r="C2688">
        <v>32.692000999999998</v>
      </c>
      <c r="D2688">
        <v>14.2211</v>
      </c>
      <c r="E2688" t="s">
        <v>4661</v>
      </c>
      <c r="F2688" t="s">
        <v>4663</v>
      </c>
      <c r="G2688" t="s">
        <v>39</v>
      </c>
      <c r="H2688">
        <v>1989</v>
      </c>
      <c r="I2688">
        <v>28.799999237060501</v>
      </c>
      <c r="J2688">
        <v>15.6000003814697</v>
      </c>
      <c r="K2688">
        <v>60</v>
      </c>
      <c r="L2688">
        <v>27.978979451999201</v>
      </c>
      <c r="M2688">
        <v>41.200000762939503</v>
      </c>
      <c r="N2688">
        <v>15.3999996185303</v>
      </c>
      <c r="O2688">
        <v>25.799999237060501</v>
      </c>
      <c r="P2688">
        <v>29.210201276185899</v>
      </c>
      <c r="Q2688">
        <v>25.799999237060501</v>
      </c>
      <c r="R2688">
        <v>32.099998474121101</v>
      </c>
      <c r="S2688">
        <v>24.600000381469702</v>
      </c>
      <c r="T2688">
        <v>255.795986622074</v>
      </c>
      <c r="U2688">
        <v>106.897993311037</v>
      </c>
      <c r="V2688">
        <v>0</v>
      </c>
      <c r="W2688">
        <v>156.795986622074</v>
      </c>
      <c r="X2688">
        <v>224.795986622074</v>
      </c>
      <c r="Y2688">
        <v>0</v>
      </c>
      <c r="Z2688">
        <v>26</v>
      </c>
      <c r="AA2688">
        <v>0</v>
      </c>
      <c r="AB2688">
        <v>0.43494586242879901</v>
      </c>
      <c r="AC2688">
        <v>9.2059817806779999E-3</v>
      </c>
      <c r="AD2688">
        <v>1.72072606800392</v>
      </c>
      <c r="AE2688">
        <v>0.72647613286972001</v>
      </c>
      <c r="AF2688">
        <v>400.87792642140499</v>
      </c>
      <c r="AG2688">
        <f>IFERROR(AH2688*0.1, "N/A")</f>
        <v>8.2591973244147194</v>
      </c>
      <c r="AH2688">
        <v>82.591973244147198</v>
      </c>
      <c r="AI2688">
        <v>158.03381307468001</v>
      </c>
      <c r="AJ2688">
        <v>41.102006688963201</v>
      </c>
      <c r="AK2688">
        <v>36</v>
      </c>
    </row>
    <row r="2689" spans="1:37" x14ac:dyDescent="0.3">
      <c r="A2689">
        <v>2688</v>
      </c>
      <c r="B2689">
        <v>13.8</v>
      </c>
      <c r="C2689">
        <v>34.003700000000002</v>
      </c>
      <c r="D2689">
        <v>14.2242</v>
      </c>
      <c r="E2689" t="s">
        <v>4664</v>
      </c>
      <c r="F2689" t="s">
        <v>4665</v>
      </c>
      <c r="G2689" t="s">
        <v>37</v>
      </c>
      <c r="H2689">
        <v>1989</v>
      </c>
      <c r="I2689">
        <v>28.5</v>
      </c>
      <c r="J2689">
        <v>16.899999618530298</v>
      </c>
      <c r="K2689">
        <v>64</v>
      </c>
      <c r="L2689">
        <v>24.5200004577637</v>
      </c>
      <c r="M2689">
        <v>41.099998474121101</v>
      </c>
      <c r="N2689">
        <v>14.8999996185303</v>
      </c>
      <c r="O2689">
        <v>26.200000762939499</v>
      </c>
      <c r="P2689">
        <v>28.299999237060501</v>
      </c>
      <c r="Q2689">
        <v>26.299999237060501</v>
      </c>
      <c r="R2689">
        <v>31.799999237060501</v>
      </c>
      <c r="S2689">
        <v>25.100000381469702</v>
      </c>
      <c r="T2689">
        <v>402.92411467116398</v>
      </c>
      <c r="U2689">
        <v>141.92411467116401</v>
      </c>
      <c r="V2689">
        <v>0</v>
      </c>
      <c r="W2689">
        <v>137</v>
      </c>
      <c r="X2689">
        <v>318.92411467116398</v>
      </c>
      <c r="Y2689">
        <v>0</v>
      </c>
      <c r="Z2689">
        <v>65</v>
      </c>
      <c r="AA2689">
        <v>0</v>
      </c>
      <c r="AB2689">
        <v>0.905559160255059</v>
      </c>
      <c r="AC2689">
        <v>4.3746828348147998E-2</v>
      </c>
      <c r="AD2689">
        <v>0.79853970526040696</v>
      </c>
      <c r="AE2689">
        <v>0.530556660076418</v>
      </c>
      <c r="AF2689">
        <v>420.40978077571702</v>
      </c>
      <c r="AG2689">
        <f>IFERROR(AH2689*0.1, "N/A")</f>
        <v>7.6559865092748698</v>
      </c>
      <c r="AH2689">
        <v>76.559865092748694</v>
      </c>
      <c r="AI2689">
        <v>177.46173867648599</v>
      </c>
      <c r="AJ2689">
        <v>50.802698145025303</v>
      </c>
      <c r="AK2689">
        <v>26.143338954468799</v>
      </c>
    </row>
    <row r="2690" spans="1:37" x14ac:dyDescent="0.3">
      <c r="A2690">
        <v>2689</v>
      </c>
      <c r="B2690">
        <v>0</v>
      </c>
      <c r="C2690">
        <v>34.003700000000002</v>
      </c>
      <c r="D2690">
        <v>14.2242</v>
      </c>
      <c r="E2690" t="s">
        <v>4664</v>
      </c>
      <c r="F2690" t="s">
        <v>4666</v>
      </c>
      <c r="G2690" t="s">
        <v>39</v>
      </c>
      <c r="H2690">
        <v>1989</v>
      </c>
      <c r="I2690">
        <v>28.5</v>
      </c>
      <c r="J2690">
        <v>16.899999618530298</v>
      </c>
      <c r="K2690">
        <v>64</v>
      </c>
      <c r="L2690">
        <v>24.5200004577637</v>
      </c>
      <c r="M2690">
        <v>41.099998474121101</v>
      </c>
      <c r="N2690">
        <v>14.8999996185303</v>
      </c>
      <c r="O2690">
        <v>26.200000762939499</v>
      </c>
      <c r="P2690">
        <v>28.299999237060501</v>
      </c>
      <c r="Q2690">
        <v>26.299999237060501</v>
      </c>
      <c r="R2690">
        <v>31.799999237060501</v>
      </c>
      <c r="S2690">
        <v>25.100000381469702</v>
      </c>
      <c r="T2690">
        <v>402.92411467116398</v>
      </c>
      <c r="U2690">
        <v>141.92411467116401</v>
      </c>
      <c r="V2690">
        <v>0</v>
      </c>
      <c r="W2690">
        <v>137</v>
      </c>
      <c r="X2690">
        <v>318.92411467116398</v>
      </c>
      <c r="Y2690">
        <v>0</v>
      </c>
      <c r="Z2690">
        <v>65</v>
      </c>
      <c r="AA2690">
        <v>0</v>
      </c>
      <c r="AB2690">
        <v>0.905559160255059</v>
      </c>
      <c r="AC2690">
        <v>4.3746828348147998E-2</v>
      </c>
      <c r="AD2690">
        <v>0.79853970526040696</v>
      </c>
      <c r="AE2690">
        <v>0.530556660076418</v>
      </c>
      <c r="AF2690">
        <v>420.40978077571702</v>
      </c>
      <c r="AG2690">
        <f>IFERROR(AH2690*0.1, "N/A")</f>
        <v>7.6559865092748698</v>
      </c>
      <c r="AH2690">
        <v>76.559865092748694</v>
      </c>
      <c r="AI2690">
        <v>177.46173867648599</v>
      </c>
      <c r="AJ2690">
        <v>50.802698145025303</v>
      </c>
      <c r="AK2690">
        <v>26.143338954468799</v>
      </c>
    </row>
    <row r="2691" spans="1:37" x14ac:dyDescent="0.3">
      <c r="A2691">
        <v>2690</v>
      </c>
      <c r="B2691">
        <v>91.300003000000004</v>
      </c>
      <c r="C2691">
        <v>32.723300999999999</v>
      </c>
      <c r="D2691">
        <v>14.2308</v>
      </c>
      <c r="E2691" t="s">
        <v>4667</v>
      </c>
      <c r="F2691" t="s">
        <v>4668</v>
      </c>
      <c r="G2691" t="s">
        <v>37</v>
      </c>
      <c r="H2691">
        <v>1989</v>
      </c>
      <c r="I2691">
        <v>28.700000762939499</v>
      </c>
      <c r="J2691">
        <v>15.699999809265099</v>
      </c>
      <c r="K2691">
        <v>60</v>
      </c>
      <c r="L2691">
        <v>28.040000915527301</v>
      </c>
      <c r="M2691">
        <v>41.200000762939503</v>
      </c>
      <c r="N2691">
        <v>15.300000190734901</v>
      </c>
      <c r="O2691">
        <v>25.899999618530298</v>
      </c>
      <c r="P2691">
        <v>29.200000762939499</v>
      </c>
      <c r="Q2691">
        <v>25.799999237060501</v>
      </c>
      <c r="R2691">
        <v>32</v>
      </c>
      <c r="S2691">
        <v>24.5</v>
      </c>
      <c r="T2691">
        <v>256</v>
      </c>
      <c r="U2691">
        <v>107</v>
      </c>
      <c r="V2691">
        <v>0</v>
      </c>
      <c r="W2691">
        <v>157</v>
      </c>
      <c r="X2691">
        <v>225</v>
      </c>
      <c r="Y2691">
        <v>0</v>
      </c>
      <c r="Z2691">
        <v>27</v>
      </c>
      <c r="AA2691">
        <v>0</v>
      </c>
      <c r="AB2691">
        <v>0.92412578717854099</v>
      </c>
      <c r="AC2691">
        <v>8.2905663076859992E-3</v>
      </c>
      <c r="AD2691">
        <v>1.2044637861078999</v>
      </c>
      <c r="AE2691">
        <v>0.72559827566146895</v>
      </c>
      <c r="AF2691">
        <v>397.54974704890401</v>
      </c>
      <c r="AG2691">
        <f>IFERROR(AH2691*0.1, "N/A")</f>
        <v>8.1895446880269809</v>
      </c>
      <c r="AH2691">
        <v>81.895446880269802</v>
      </c>
      <c r="AI2691">
        <v>143.84337857842999</v>
      </c>
      <c r="AJ2691">
        <v>43.969645868465399</v>
      </c>
      <c r="AK2691">
        <v>33.0826306913997</v>
      </c>
    </row>
    <row r="2692" spans="1:37" x14ac:dyDescent="0.3">
      <c r="A2692">
        <v>2691</v>
      </c>
      <c r="B2692">
        <v>0.5</v>
      </c>
      <c r="C2692">
        <v>32.723300999999999</v>
      </c>
      <c r="D2692">
        <v>14.2308</v>
      </c>
      <c r="E2692" t="s">
        <v>4667</v>
      </c>
      <c r="F2692" t="s">
        <v>4669</v>
      </c>
      <c r="G2692" t="s">
        <v>39</v>
      </c>
      <c r="H2692">
        <v>1989</v>
      </c>
      <c r="I2692">
        <v>28.700000762939499</v>
      </c>
      <c r="J2692">
        <v>15.699999809265099</v>
      </c>
      <c r="K2692">
        <v>60</v>
      </c>
      <c r="L2692">
        <v>28.040000915527301</v>
      </c>
      <c r="M2692">
        <v>41.200000762939503</v>
      </c>
      <c r="N2692">
        <v>15.300000190734901</v>
      </c>
      <c r="O2692">
        <v>25.899999618530298</v>
      </c>
      <c r="P2692">
        <v>29.200000762939499</v>
      </c>
      <c r="Q2692">
        <v>25.799999237060501</v>
      </c>
      <c r="R2692">
        <v>32</v>
      </c>
      <c r="S2692">
        <v>24.5</v>
      </c>
      <c r="T2692">
        <v>256</v>
      </c>
      <c r="U2692">
        <v>107</v>
      </c>
      <c r="V2692">
        <v>0</v>
      </c>
      <c r="W2692">
        <v>157</v>
      </c>
      <c r="X2692">
        <v>225</v>
      </c>
      <c r="Y2692">
        <v>0</v>
      </c>
      <c r="Z2692">
        <v>27</v>
      </c>
      <c r="AA2692">
        <v>0</v>
      </c>
      <c r="AB2692">
        <v>0.92412578717854099</v>
      </c>
      <c r="AC2692">
        <v>8.2905663076859992E-3</v>
      </c>
      <c r="AD2692">
        <v>1.2044637861078999</v>
      </c>
      <c r="AE2692">
        <v>0.72559827566146895</v>
      </c>
      <c r="AF2692">
        <v>397.54974704890401</v>
      </c>
      <c r="AG2692">
        <f>IFERROR(AH2692*0.1, "N/A")</f>
        <v>8.1895446880269809</v>
      </c>
      <c r="AH2692">
        <v>81.895446880269802</v>
      </c>
      <c r="AI2692">
        <v>143.84337857842999</v>
      </c>
      <c r="AJ2692">
        <v>43.969645868465399</v>
      </c>
      <c r="AK2692">
        <v>33.0826306913997</v>
      </c>
    </row>
    <row r="2693" spans="1:37" x14ac:dyDescent="0.3">
      <c r="A2693">
        <v>2692</v>
      </c>
      <c r="B2693">
        <v>16.899999999999999</v>
      </c>
      <c r="C2693">
        <v>33.838799000000002</v>
      </c>
      <c r="D2693">
        <v>14.233499999999999</v>
      </c>
      <c r="E2693" t="s">
        <v>4670</v>
      </c>
      <c r="F2693" t="s">
        <v>4671</v>
      </c>
      <c r="G2693" t="s">
        <v>37</v>
      </c>
      <c r="H2693">
        <v>1989</v>
      </c>
      <c r="I2693">
        <v>28.399999618530298</v>
      </c>
      <c r="J2693">
        <v>16.899999618530298</v>
      </c>
      <c r="K2693">
        <v>63.9444444444444</v>
      </c>
      <c r="L2693">
        <v>25.1072225570679</v>
      </c>
      <c r="M2693">
        <v>41.099998474121101</v>
      </c>
      <c r="N2693">
        <v>14.694444285498699</v>
      </c>
      <c r="O2693">
        <v>26.405555195278598</v>
      </c>
      <c r="P2693">
        <v>28.200000762939499</v>
      </c>
      <c r="Q2693">
        <v>26.100000381469702</v>
      </c>
      <c r="R2693">
        <v>31.799999237060501</v>
      </c>
      <c r="S2693">
        <v>24.899999618530298</v>
      </c>
      <c r="T2693">
        <v>383.222222222222</v>
      </c>
      <c r="U2693">
        <v>135.055555555556</v>
      </c>
      <c r="V2693">
        <v>0</v>
      </c>
      <c r="W2693">
        <v>140.777777777778</v>
      </c>
      <c r="X2693">
        <v>307.11111111111097</v>
      </c>
      <c r="Y2693">
        <v>0</v>
      </c>
      <c r="Z2693">
        <v>59.0555555555556</v>
      </c>
      <c r="AA2693">
        <v>0</v>
      </c>
      <c r="AB2693">
        <v>0.89798292166456195</v>
      </c>
      <c r="AC2693">
        <v>8.7929321829269998E-3</v>
      </c>
      <c r="AD2693">
        <v>1.0563875179900899</v>
      </c>
      <c r="AE2693">
        <v>0.604579301193507</v>
      </c>
      <c r="AF2693">
        <v>414.031986531987</v>
      </c>
      <c r="AG2693">
        <f>IFERROR(AH2693*0.1, "N/A")</f>
        <v>7.8863636363636402</v>
      </c>
      <c r="AH2693">
        <v>78.863636363636402</v>
      </c>
      <c r="AI2693">
        <v>160.514158114038</v>
      </c>
      <c r="AJ2693">
        <v>53.030303030303003</v>
      </c>
      <c r="AK2693">
        <v>21.089225589225599</v>
      </c>
    </row>
    <row r="2694" spans="1:37" x14ac:dyDescent="0.3">
      <c r="A2694">
        <v>2693</v>
      </c>
      <c r="B2694">
        <v>0.7</v>
      </c>
      <c r="C2694">
        <v>33.838799000000002</v>
      </c>
      <c r="D2694">
        <v>14.233499999999999</v>
      </c>
      <c r="E2694" t="s">
        <v>4670</v>
      </c>
      <c r="F2694" t="s">
        <v>4672</v>
      </c>
      <c r="G2694" t="s">
        <v>39</v>
      </c>
      <c r="H2694">
        <v>1989</v>
      </c>
      <c r="I2694">
        <v>28.399999618530298</v>
      </c>
      <c r="J2694">
        <v>16.899999618530298</v>
      </c>
      <c r="K2694">
        <v>63.9444444444444</v>
      </c>
      <c r="L2694">
        <v>25.1072225570679</v>
      </c>
      <c r="M2694">
        <v>41.099998474121101</v>
      </c>
      <c r="N2694">
        <v>14.694444285498699</v>
      </c>
      <c r="O2694">
        <v>26.405555195278598</v>
      </c>
      <c r="P2694">
        <v>28.200000762939499</v>
      </c>
      <c r="Q2694">
        <v>26.100000381469702</v>
      </c>
      <c r="R2694">
        <v>31.799999237060501</v>
      </c>
      <c r="S2694">
        <v>24.899999618530298</v>
      </c>
      <c r="T2694">
        <v>383.222222222222</v>
      </c>
      <c r="U2694">
        <v>135.055555555556</v>
      </c>
      <c r="V2694">
        <v>0</v>
      </c>
      <c r="W2694">
        <v>140.777777777778</v>
      </c>
      <c r="X2694">
        <v>307.11111111111097</v>
      </c>
      <c r="Y2694">
        <v>0</v>
      </c>
      <c r="Z2694">
        <v>59.0555555555556</v>
      </c>
      <c r="AA2694">
        <v>0</v>
      </c>
      <c r="AB2694">
        <v>0.89798292166456195</v>
      </c>
      <c r="AC2694">
        <v>8.7929321829269998E-3</v>
      </c>
      <c r="AD2694">
        <v>1.0563875179900899</v>
      </c>
      <c r="AE2694">
        <v>0.604579301193507</v>
      </c>
      <c r="AF2694">
        <v>414.031986531987</v>
      </c>
      <c r="AG2694">
        <f>IFERROR(AH2694*0.1, "N/A")</f>
        <v>7.8863636363636402</v>
      </c>
      <c r="AH2694">
        <v>78.863636363636402</v>
      </c>
      <c r="AI2694">
        <v>160.514158114038</v>
      </c>
      <c r="AJ2694">
        <v>53.030303030303003</v>
      </c>
      <c r="AK2694">
        <v>21.089225589225599</v>
      </c>
    </row>
    <row r="2695" spans="1:37" x14ac:dyDescent="0.3">
      <c r="A2695">
        <v>2694</v>
      </c>
      <c r="B2695">
        <v>86.5</v>
      </c>
      <c r="C2695">
        <v>33.337600999999999</v>
      </c>
      <c r="D2695">
        <v>14.238799999999999</v>
      </c>
      <c r="E2695" t="s">
        <v>4673</v>
      </c>
      <c r="F2695" t="s">
        <v>4674</v>
      </c>
      <c r="G2695" t="s">
        <v>37</v>
      </c>
      <c r="H2695">
        <v>1989</v>
      </c>
      <c r="I2695">
        <v>28.5</v>
      </c>
      <c r="J2695">
        <v>16.700000762939499</v>
      </c>
      <c r="K2695">
        <v>61</v>
      </c>
      <c r="L2695">
        <v>27.309999465942401</v>
      </c>
      <c r="M2695">
        <v>41.299999237060497</v>
      </c>
      <c r="N2695">
        <v>14.300000190734901</v>
      </c>
      <c r="O2695">
        <v>27</v>
      </c>
      <c r="P2695">
        <v>28.700000762939499</v>
      </c>
      <c r="Q2695">
        <v>25.799999237060501</v>
      </c>
      <c r="R2695">
        <v>31.899999618530298</v>
      </c>
      <c r="S2695">
        <v>24.5</v>
      </c>
      <c r="T2695">
        <v>324</v>
      </c>
      <c r="U2695">
        <v>126</v>
      </c>
      <c r="V2695">
        <v>0</v>
      </c>
      <c r="W2695">
        <v>148</v>
      </c>
      <c r="X2695">
        <v>276</v>
      </c>
      <c r="Y2695">
        <v>0</v>
      </c>
      <c r="Z2695">
        <v>39</v>
      </c>
      <c r="AA2695">
        <v>0</v>
      </c>
      <c r="AB2695">
        <v>0.88683865521405203</v>
      </c>
      <c r="AC2695">
        <v>8.2903004399300009E-3</v>
      </c>
      <c r="AD2695">
        <v>0.92765254497125305</v>
      </c>
      <c r="AE2695">
        <v>0.75063109397888195</v>
      </c>
      <c r="AF2695">
        <v>410.88344594594599</v>
      </c>
      <c r="AG2695">
        <f>IFERROR(AH2695*0.1, "N/A")</f>
        <v>7.9631756756756804</v>
      </c>
      <c r="AH2695">
        <v>79.631756756756801</v>
      </c>
      <c r="AI2695">
        <v>170.034615484444</v>
      </c>
      <c r="AJ2695">
        <v>52.206081081081102</v>
      </c>
      <c r="AK2695">
        <v>24.3158783783784</v>
      </c>
    </row>
    <row r="2696" spans="1:37" x14ac:dyDescent="0.3">
      <c r="A2696">
        <v>2695</v>
      </c>
      <c r="B2696">
        <v>0</v>
      </c>
      <c r="C2696">
        <v>33.337600999999999</v>
      </c>
      <c r="D2696">
        <v>14.238799999999999</v>
      </c>
      <c r="E2696" t="s">
        <v>4673</v>
      </c>
      <c r="F2696" t="s">
        <v>4675</v>
      </c>
      <c r="G2696" t="s">
        <v>39</v>
      </c>
      <c r="H2696">
        <v>1989</v>
      </c>
      <c r="I2696">
        <v>28.5</v>
      </c>
      <c r="J2696">
        <v>16.700000762939499</v>
      </c>
      <c r="K2696">
        <v>61</v>
      </c>
      <c r="L2696">
        <v>27.309999465942401</v>
      </c>
      <c r="M2696">
        <v>41.299999237060497</v>
      </c>
      <c r="N2696">
        <v>14.300000190734901</v>
      </c>
      <c r="O2696">
        <v>27</v>
      </c>
      <c r="P2696">
        <v>28.700000762939499</v>
      </c>
      <c r="Q2696">
        <v>25.799999237060501</v>
      </c>
      <c r="R2696">
        <v>31.899999618530298</v>
      </c>
      <c r="S2696">
        <v>24.5</v>
      </c>
      <c r="T2696">
        <v>324</v>
      </c>
      <c r="U2696">
        <v>126</v>
      </c>
      <c r="V2696">
        <v>0</v>
      </c>
      <c r="W2696">
        <v>148</v>
      </c>
      <c r="X2696">
        <v>276</v>
      </c>
      <c r="Y2696">
        <v>0</v>
      </c>
      <c r="Z2696">
        <v>39</v>
      </c>
      <c r="AA2696">
        <v>0</v>
      </c>
      <c r="AB2696">
        <v>0.88683865521405203</v>
      </c>
      <c r="AC2696">
        <v>8.2903004399300009E-3</v>
      </c>
      <c r="AD2696">
        <v>0.92765254497125305</v>
      </c>
      <c r="AE2696">
        <v>0.75063109397888195</v>
      </c>
      <c r="AF2696">
        <v>410.88344594594599</v>
      </c>
      <c r="AG2696">
        <f>IFERROR(AH2696*0.1, "N/A")</f>
        <v>7.9631756756756804</v>
      </c>
      <c r="AH2696">
        <v>79.631756756756801</v>
      </c>
      <c r="AI2696">
        <v>170.034615484444</v>
      </c>
      <c r="AJ2696">
        <v>52.206081081081102</v>
      </c>
      <c r="AK2696">
        <v>24.3158783783784</v>
      </c>
    </row>
    <row r="2697" spans="1:37" x14ac:dyDescent="0.3">
      <c r="A2697">
        <v>2696</v>
      </c>
      <c r="B2697">
        <v>8.6999999999999993</v>
      </c>
      <c r="C2697">
        <v>33.959598999999997</v>
      </c>
      <c r="D2697">
        <v>14.253299999999999</v>
      </c>
      <c r="E2697" t="s">
        <v>4676</v>
      </c>
      <c r="F2697" t="s">
        <v>4677</v>
      </c>
      <c r="G2697" t="s">
        <v>37</v>
      </c>
      <c r="H2697">
        <v>1989</v>
      </c>
      <c r="I2697">
        <v>28.5</v>
      </c>
      <c r="J2697">
        <v>16.899999618530298</v>
      </c>
      <c r="K2697">
        <v>64</v>
      </c>
      <c r="L2697">
        <v>25.040000915527301</v>
      </c>
      <c r="M2697">
        <v>41.200000762939503</v>
      </c>
      <c r="N2697">
        <v>14.800000190734901</v>
      </c>
      <c r="O2697">
        <v>26.399999618530298</v>
      </c>
      <c r="P2697">
        <v>28.200000762939499</v>
      </c>
      <c r="Q2697">
        <v>26.200000762939499</v>
      </c>
      <c r="R2697">
        <v>31.799999237060501</v>
      </c>
      <c r="S2697">
        <v>25</v>
      </c>
      <c r="T2697">
        <v>394</v>
      </c>
      <c r="U2697">
        <v>139</v>
      </c>
      <c r="V2697">
        <v>0</v>
      </c>
      <c r="W2697">
        <v>139</v>
      </c>
      <c r="X2697">
        <v>314</v>
      </c>
      <c r="Y2697">
        <v>0</v>
      </c>
      <c r="Z2697">
        <v>62</v>
      </c>
      <c r="AA2697">
        <v>0</v>
      </c>
      <c r="AB2697">
        <v>0.420117867959512</v>
      </c>
      <c r="AC2697">
        <v>2.4617292128528E-2</v>
      </c>
      <c r="AD2697">
        <v>1.32888802855804</v>
      </c>
      <c r="AE2697">
        <v>0.54621331554812302</v>
      </c>
      <c r="AF2697">
        <v>418.96452702702697</v>
      </c>
      <c r="AG2697">
        <f>IFERROR(AH2697*0.1, "N/A")</f>
        <v>7.5584459459459401</v>
      </c>
      <c r="AH2697">
        <v>75.584459459459396</v>
      </c>
      <c r="AI2697">
        <v>123.265706809791</v>
      </c>
      <c r="AJ2697">
        <v>47.292229729729698</v>
      </c>
      <c r="AK2697">
        <v>29.292229729729701</v>
      </c>
    </row>
    <row r="2698" spans="1:37" x14ac:dyDescent="0.3">
      <c r="A2698">
        <v>2697</v>
      </c>
      <c r="B2698">
        <v>0</v>
      </c>
      <c r="C2698">
        <v>33.959598999999997</v>
      </c>
      <c r="D2698">
        <v>14.253299999999999</v>
      </c>
      <c r="E2698" t="s">
        <v>4676</v>
      </c>
      <c r="F2698" t="s">
        <v>4678</v>
      </c>
      <c r="G2698" t="s">
        <v>39</v>
      </c>
      <c r="H2698">
        <v>1989</v>
      </c>
      <c r="I2698">
        <v>28.5</v>
      </c>
      <c r="J2698">
        <v>16.899999618530298</v>
      </c>
      <c r="K2698">
        <v>64</v>
      </c>
      <c r="L2698">
        <v>25.040000915527301</v>
      </c>
      <c r="M2698">
        <v>41.200000762939503</v>
      </c>
      <c r="N2698">
        <v>14.800000190734901</v>
      </c>
      <c r="O2698">
        <v>26.399999618530298</v>
      </c>
      <c r="P2698">
        <v>28.200000762939499</v>
      </c>
      <c r="Q2698">
        <v>26.200000762939499</v>
      </c>
      <c r="R2698">
        <v>31.799999237060501</v>
      </c>
      <c r="S2698">
        <v>25</v>
      </c>
      <c r="T2698">
        <v>394</v>
      </c>
      <c r="U2698">
        <v>139</v>
      </c>
      <c r="V2698">
        <v>0</v>
      </c>
      <c r="W2698">
        <v>139</v>
      </c>
      <c r="X2698">
        <v>314</v>
      </c>
      <c r="Y2698">
        <v>0</v>
      </c>
      <c r="Z2698">
        <v>62</v>
      </c>
      <c r="AA2698">
        <v>0</v>
      </c>
      <c r="AB2698">
        <v>0.420117867959512</v>
      </c>
      <c r="AC2698">
        <v>2.4617292128528E-2</v>
      </c>
      <c r="AD2698">
        <v>1.32888802855804</v>
      </c>
      <c r="AE2698">
        <v>0.54621331554812302</v>
      </c>
      <c r="AF2698">
        <v>418.96452702702697</v>
      </c>
      <c r="AG2698">
        <f>IFERROR(AH2698*0.1, "N/A")</f>
        <v>7.5584459459459401</v>
      </c>
      <c r="AH2698">
        <v>75.584459459459396</v>
      </c>
      <c r="AI2698">
        <v>123.265706809791</v>
      </c>
      <c r="AJ2698">
        <v>47.292229729729698</v>
      </c>
      <c r="AK2698">
        <v>29.292229729729701</v>
      </c>
    </row>
    <row r="2699" spans="1:37" x14ac:dyDescent="0.3">
      <c r="A2699">
        <v>2698</v>
      </c>
      <c r="B2699">
        <v>36.799999</v>
      </c>
      <c r="C2699">
        <v>33.724601999999997</v>
      </c>
      <c r="D2699">
        <v>14.270899999999999</v>
      </c>
      <c r="E2699" t="s">
        <v>4679</v>
      </c>
      <c r="F2699" t="s">
        <v>4680</v>
      </c>
      <c r="G2699" t="s">
        <v>37</v>
      </c>
      <c r="H2699">
        <v>1989</v>
      </c>
      <c r="I2699">
        <v>28.399999618530298</v>
      </c>
      <c r="J2699">
        <v>16.899999618530298</v>
      </c>
      <c r="K2699">
        <v>63</v>
      </c>
      <c r="L2699">
        <v>26.088686307271299</v>
      </c>
      <c r="M2699">
        <v>41.245286267213203</v>
      </c>
      <c r="N2699">
        <v>14.4452859865696</v>
      </c>
      <c r="O2699">
        <v>26.799999237060501</v>
      </c>
      <c r="P2699">
        <v>28.354713250490999</v>
      </c>
      <c r="Q2699">
        <v>25.945285986569601</v>
      </c>
      <c r="R2699">
        <v>31.799999237060501</v>
      </c>
      <c r="S2699">
        <v>24.700000762939499</v>
      </c>
      <c r="T2699">
        <v>368.09427609427598</v>
      </c>
      <c r="U2699">
        <v>130.54713804713799</v>
      </c>
      <c r="V2699">
        <v>0</v>
      </c>
      <c r="W2699">
        <v>141.54713804713799</v>
      </c>
      <c r="X2699">
        <v>298.09427609427598</v>
      </c>
      <c r="Y2699">
        <v>0</v>
      </c>
      <c r="Z2699">
        <v>54</v>
      </c>
      <c r="AA2699">
        <v>0</v>
      </c>
      <c r="AB2699">
        <v>4.4979685259989202</v>
      </c>
      <c r="AC2699">
        <v>1.3550116470466E-2</v>
      </c>
      <c r="AD2699">
        <v>0.77995045889507697</v>
      </c>
      <c r="AE2699">
        <v>0.694533055478876</v>
      </c>
      <c r="AF2699">
        <v>410.26094276094301</v>
      </c>
      <c r="AG2699">
        <f>IFERROR(AH2699*0.1, "N/A")</f>
        <v>7.8000000000000007</v>
      </c>
      <c r="AH2699">
        <v>78</v>
      </c>
      <c r="AI2699">
        <v>124.99483536229</v>
      </c>
      <c r="AJ2699">
        <v>40.641414141414103</v>
      </c>
      <c r="AK2699">
        <v>36.452861952862001</v>
      </c>
    </row>
    <row r="2700" spans="1:37" x14ac:dyDescent="0.3">
      <c r="A2700">
        <v>2699</v>
      </c>
      <c r="B2700">
        <v>0</v>
      </c>
      <c r="C2700">
        <v>33.724601999999997</v>
      </c>
      <c r="D2700">
        <v>14.270899999999999</v>
      </c>
      <c r="E2700" t="s">
        <v>4679</v>
      </c>
      <c r="F2700" t="s">
        <v>4681</v>
      </c>
      <c r="G2700" t="s">
        <v>39</v>
      </c>
      <c r="H2700">
        <v>1989</v>
      </c>
      <c r="I2700">
        <v>28.399999618530298</v>
      </c>
      <c r="J2700">
        <v>16.899999618530298</v>
      </c>
      <c r="K2700">
        <v>63</v>
      </c>
      <c r="L2700">
        <v>26.088686307271299</v>
      </c>
      <c r="M2700">
        <v>41.245286267213203</v>
      </c>
      <c r="N2700">
        <v>14.4452859865696</v>
      </c>
      <c r="O2700">
        <v>26.799999237060501</v>
      </c>
      <c r="P2700">
        <v>28.354713250490999</v>
      </c>
      <c r="Q2700">
        <v>25.945285986569601</v>
      </c>
      <c r="R2700">
        <v>31.799999237060501</v>
      </c>
      <c r="S2700">
        <v>24.700000762939499</v>
      </c>
      <c r="T2700">
        <v>368.09427609427598</v>
      </c>
      <c r="U2700">
        <v>130.54713804713799</v>
      </c>
      <c r="V2700">
        <v>0</v>
      </c>
      <c r="W2700">
        <v>141.54713804713799</v>
      </c>
      <c r="X2700">
        <v>298.09427609427598</v>
      </c>
      <c r="Y2700">
        <v>0</v>
      </c>
      <c r="Z2700">
        <v>54</v>
      </c>
      <c r="AA2700">
        <v>0</v>
      </c>
      <c r="AB2700">
        <v>4.4979685259989202</v>
      </c>
      <c r="AC2700">
        <v>1.3550116470466E-2</v>
      </c>
      <c r="AD2700">
        <v>0.77995045889507697</v>
      </c>
      <c r="AE2700">
        <v>0.694533055478876</v>
      </c>
      <c r="AF2700">
        <v>410.26094276094301</v>
      </c>
      <c r="AG2700">
        <f>IFERROR(AH2700*0.1, "N/A")</f>
        <v>7.8000000000000007</v>
      </c>
      <c r="AH2700">
        <v>78</v>
      </c>
      <c r="AI2700">
        <v>124.99483536229</v>
      </c>
      <c r="AJ2700">
        <v>40.641414141414103</v>
      </c>
      <c r="AK2700">
        <v>36.452861952862001</v>
      </c>
    </row>
    <row r="2701" spans="1:37" x14ac:dyDescent="0.3">
      <c r="A2701">
        <v>2700</v>
      </c>
      <c r="B2701">
        <v>65.900002000000001</v>
      </c>
      <c r="C2701">
        <v>33.362099000000001</v>
      </c>
      <c r="D2701">
        <v>14.271000000000001</v>
      </c>
      <c r="E2701" t="s">
        <v>4682</v>
      </c>
      <c r="F2701" t="s">
        <v>4683</v>
      </c>
      <c r="G2701" t="s">
        <v>37</v>
      </c>
      <c r="H2701">
        <v>1989</v>
      </c>
      <c r="I2701">
        <v>28.5</v>
      </c>
      <c r="J2701">
        <v>16.700000762939499</v>
      </c>
      <c r="K2701">
        <v>61</v>
      </c>
      <c r="L2701">
        <v>27.299999237060501</v>
      </c>
      <c r="M2701">
        <v>41.299999237060497</v>
      </c>
      <c r="N2701">
        <v>14.300000190734901</v>
      </c>
      <c r="O2701">
        <v>27</v>
      </c>
      <c r="P2701">
        <v>28.600000381469702</v>
      </c>
      <c r="Q2701">
        <v>25.899999618530298</v>
      </c>
      <c r="R2701">
        <v>31.899999618530298</v>
      </c>
      <c r="S2701">
        <v>24.5</v>
      </c>
      <c r="T2701">
        <v>324</v>
      </c>
      <c r="U2701">
        <v>125</v>
      </c>
      <c r="V2701">
        <v>0</v>
      </c>
      <c r="W2701">
        <v>146</v>
      </c>
      <c r="X2701">
        <v>274</v>
      </c>
      <c r="Y2701">
        <v>0</v>
      </c>
      <c r="Z2701">
        <v>40</v>
      </c>
      <c r="AA2701">
        <v>0</v>
      </c>
      <c r="AB2701">
        <v>0.48288506629483002</v>
      </c>
      <c r="AC2701">
        <v>9.5686691144369999E-3</v>
      </c>
      <c r="AD2701">
        <v>1.8195895872660099</v>
      </c>
      <c r="AE2701">
        <v>0.77710473337429498</v>
      </c>
      <c r="AF2701">
        <v>410.55872483221498</v>
      </c>
      <c r="AG2701">
        <f>IFERROR(AH2701*0.1, "N/A")</f>
        <v>7.6833892617449706</v>
      </c>
      <c r="AH2701">
        <v>76.833892617449706</v>
      </c>
      <c r="AI2701">
        <v>136.46369989766399</v>
      </c>
      <c r="AJ2701">
        <v>52.501677852348998</v>
      </c>
      <c r="AK2701">
        <v>23.6644295302013</v>
      </c>
    </row>
    <row r="2702" spans="1:37" x14ac:dyDescent="0.3">
      <c r="A2702">
        <v>2701</v>
      </c>
      <c r="B2702">
        <v>2.2000000000000002</v>
      </c>
      <c r="C2702">
        <v>33.362099000000001</v>
      </c>
      <c r="D2702">
        <v>14.271000000000001</v>
      </c>
      <c r="E2702" t="s">
        <v>4682</v>
      </c>
      <c r="F2702" t="s">
        <v>4684</v>
      </c>
      <c r="G2702" t="s">
        <v>39</v>
      </c>
      <c r="H2702">
        <v>1989</v>
      </c>
      <c r="I2702">
        <v>28.5</v>
      </c>
      <c r="J2702">
        <v>16.700000762939499</v>
      </c>
      <c r="K2702">
        <v>61</v>
      </c>
      <c r="L2702">
        <v>27.299999237060501</v>
      </c>
      <c r="M2702">
        <v>41.299999237060497</v>
      </c>
      <c r="N2702">
        <v>14.300000190734901</v>
      </c>
      <c r="O2702">
        <v>27</v>
      </c>
      <c r="P2702">
        <v>28.600000381469702</v>
      </c>
      <c r="Q2702">
        <v>25.899999618530298</v>
      </c>
      <c r="R2702">
        <v>31.899999618530298</v>
      </c>
      <c r="S2702">
        <v>24.5</v>
      </c>
      <c r="T2702">
        <v>324</v>
      </c>
      <c r="U2702">
        <v>125</v>
      </c>
      <c r="V2702">
        <v>0</v>
      </c>
      <c r="W2702">
        <v>146</v>
      </c>
      <c r="X2702">
        <v>274</v>
      </c>
      <c r="Y2702">
        <v>0</v>
      </c>
      <c r="Z2702">
        <v>40</v>
      </c>
      <c r="AA2702">
        <v>0</v>
      </c>
      <c r="AB2702">
        <v>0.48288506629483002</v>
      </c>
      <c r="AC2702">
        <v>9.5686691144369999E-3</v>
      </c>
      <c r="AD2702">
        <v>1.8195895872660099</v>
      </c>
      <c r="AE2702">
        <v>0.77710473337429498</v>
      </c>
      <c r="AF2702">
        <v>410.55872483221498</v>
      </c>
      <c r="AG2702">
        <f>IFERROR(AH2702*0.1, "N/A")</f>
        <v>7.6833892617449706</v>
      </c>
      <c r="AH2702">
        <v>76.833892617449706</v>
      </c>
      <c r="AI2702">
        <v>136.46369989766399</v>
      </c>
      <c r="AJ2702">
        <v>52.501677852348998</v>
      </c>
      <c r="AK2702">
        <v>23.6644295302013</v>
      </c>
    </row>
    <row r="2703" spans="1:37" x14ac:dyDescent="0.3">
      <c r="A2703">
        <v>2702</v>
      </c>
      <c r="B2703">
        <v>24.4</v>
      </c>
      <c r="C2703">
        <v>33.894900999999997</v>
      </c>
      <c r="D2703">
        <v>14.271100000000001</v>
      </c>
      <c r="E2703" t="s">
        <v>4685</v>
      </c>
      <c r="F2703" t="s">
        <v>4686</v>
      </c>
      <c r="G2703" t="s">
        <v>37</v>
      </c>
      <c r="H2703">
        <v>1989</v>
      </c>
      <c r="I2703">
        <v>28.5</v>
      </c>
      <c r="J2703">
        <v>16.899999618530298</v>
      </c>
      <c r="K2703">
        <v>63</v>
      </c>
      <c r="L2703">
        <v>25.409999847412099</v>
      </c>
      <c r="M2703">
        <v>41.200000762939503</v>
      </c>
      <c r="N2703">
        <v>14.6000003814697</v>
      </c>
      <c r="O2703">
        <v>26.600000381469702</v>
      </c>
      <c r="P2703">
        <v>28.299999237060501</v>
      </c>
      <c r="Q2703">
        <v>26.100000381469702</v>
      </c>
      <c r="R2703">
        <v>31.799999237060501</v>
      </c>
      <c r="S2703">
        <v>24.899999618530298</v>
      </c>
      <c r="T2703">
        <v>386</v>
      </c>
      <c r="U2703">
        <v>136</v>
      </c>
      <c r="V2703">
        <v>0</v>
      </c>
      <c r="W2703">
        <v>137</v>
      </c>
      <c r="X2703">
        <v>308</v>
      </c>
      <c r="Y2703">
        <v>0</v>
      </c>
      <c r="Z2703">
        <v>60</v>
      </c>
      <c r="AA2703">
        <v>0</v>
      </c>
      <c r="AB2703">
        <v>0.657964760734008</v>
      </c>
      <c r="AC2703">
        <v>9.8580972180770006E-3</v>
      </c>
      <c r="AD2703">
        <v>1.1354235632335701</v>
      </c>
      <c r="AE2703">
        <v>0.66155134373573798</v>
      </c>
      <c r="AF2703">
        <v>416.348408710218</v>
      </c>
      <c r="AG2703">
        <f>IFERROR(AH2703*0.1, "N/A")</f>
        <v>7.7</v>
      </c>
      <c r="AH2703">
        <v>77</v>
      </c>
      <c r="AI2703">
        <v>228.82416846244999</v>
      </c>
      <c r="AJ2703">
        <v>48</v>
      </c>
      <c r="AK2703">
        <v>28</v>
      </c>
    </row>
    <row r="2704" spans="1:37" x14ac:dyDescent="0.3">
      <c r="A2704">
        <v>2703</v>
      </c>
      <c r="B2704">
        <v>0</v>
      </c>
      <c r="C2704">
        <v>33.894900999999997</v>
      </c>
      <c r="D2704">
        <v>14.271100000000001</v>
      </c>
      <c r="E2704" t="s">
        <v>4685</v>
      </c>
      <c r="F2704" t="s">
        <v>4687</v>
      </c>
      <c r="G2704" t="s">
        <v>39</v>
      </c>
      <c r="H2704">
        <v>1989</v>
      </c>
      <c r="I2704">
        <v>28.5</v>
      </c>
      <c r="J2704">
        <v>16.899999618530298</v>
      </c>
      <c r="K2704">
        <v>63</v>
      </c>
      <c r="L2704">
        <v>25.409999847412099</v>
      </c>
      <c r="M2704">
        <v>41.200000762939503</v>
      </c>
      <c r="N2704">
        <v>14.6000003814697</v>
      </c>
      <c r="O2704">
        <v>26.600000381469702</v>
      </c>
      <c r="P2704">
        <v>28.299999237060501</v>
      </c>
      <c r="Q2704">
        <v>26.100000381469702</v>
      </c>
      <c r="R2704">
        <v>31.799999237060501</v>
      </c>
      <c r="S2704">
        <v>24.899999618530298</v>
      </c>
      <c r="T2704">
        <v>386</v>
      </c>
      <c r="U2704">
        <v>136</v>
      </c>
      <c r="V2704">
        <v>0</v>
      </c>
      <c r="W2704">
        <v>137</v>
      </c>
      <c r="X2704">
        <v>308</v>
      </c>
      <c r="Y2704">
        <v>0</v>
      </c>
      <c r="Z2704">
        <v>60</v>
      </c>
      <c r="AA2704">
        <v>0</v>
      </c>
      <c r="AB2704">
        <v>0.657964760734008</v>
      </c>
      <c r="AC2704">
        <v>9.8580972180770006E-3</v>
      </c>
      <c r="AD2704">
        <v>1.1354235632335701</v>
      </c>
      <c r="AE2704">
        <v>0.66155134373573798</v>
      </c>
      <c r="AF2704">
        <v>416.348408710218</v>
      </c>
      <c r="AG2704">
        <f>IFERROR(AH2704*0.1, "N/A")</f>
        <v>7.7</v>
      </c>
      <c r="AH2704">
        <v>77</v>
      </c>
      <c r="AI2704">
        <v>228.82416846244999</v>
      </c>
      <c r="AJ2704">
        <v>48</v>
      </c>
      <c r="AK2704">
        <v>28</v>
      </c>
    </row>
    <row r="2705" spans="1:37" x14ac:dyDescent="0.3">
      <c r="A2705">
        <v>2704</v>
      </c>
      <c r="B2705">
        <v>5.9</v>
      </c>
      <c r="C2705">
        <v>33.925097999999998</v>
      </c>
      <c r="D2705">
        <v>14.295400000000001</v>
      </c>
      <c r="E2705" t="s">
        <v>4397</v>
      </c>
      <c r="F2705" t="s">
        <v>4688</v>
      </c>
      <c r="G2705" t="s">
        <v>37</v>
      </c>
      <c r="H2705">
        <v>1989</v>
      </c>
      <c r="I2705">
        <v>28.5</v>
      </c>
      <c r="J2705">
        <v>16.899999618530298</v>
      </c>
      <c r="K2705">
        <v>63</v>
      </c>
      <c r="L2705">
        <v>25.5481990114206</v>
      </c>
      <c r="M2705">
        <v>41.200000762939503</v>
      </c>
      <c r="N2705">
        <v>14.6000003814697</v>
      </c>
      <c r="O2705">
        <v>26.600000381469702</v>
      </c>
      <c r="P2705">
        <v>28.299999237060501</v>
      </c>
      <c r="Q2705">
        <v>26.100000381469702</v>
      </c>
      <c r="R2705">
        <v>31.869528121819801</v>
      </c>
      <c r="S2705">
        <v>24.899999618530298</v>
      </c>
      <c r="T2705">
        <v>385</v>
      </c>
      <c r="U2705">
        <v>136</v>
      </c>
      <c r="V2705">
        <v>0</v>
      </c>
      <c r="W2705">
        <v>136</v>
      </c>
      <c r="X2705">
        <v>307</v>
      </c>
      <c r="Y2705">
        <v>0</v>
      </c>
      <c r="Z2705">
        <v>60</v>
      </c>
      <c r="AA2705">
        <v>0</v>
      </c>
      <c r="AB2705">
        <v>0.45151296288076098</v>
      </c>
      <c r="AC2705">
        <v>2.5143743746660001E-2</v>
      </c>
      <c r="AD2705">
        <v>0.39065510516214902</v>
      </c>
      <c r="AE2705">
        <v>0.58262962102890004</v>
      </c>
      <c r="AF2705">
        <v>416.06734006734001</v>
      </c>
      <c r="AG2705">
        <f>IFERROR(AH2705*0.1, "N/A")</f>
        <v>7.7096852300242107</v>
      </c>
      <c r="AH2705">
        <v>77.096852300242105</v>
      </c>
      <c r="AI2705">
        <v>85.586535135904995</v>
      </c>
      <c r="AJ2705">
        <v>49.903147699757902</v>
      </c>
      <c r="AK2705">
        <v>28</v>
      </c>
    </row>
    <row r="2706" spans="1:37" x14ac:dyDescent="0.3">
      <c r="A2706">
        <v>2705</v>
      </c>
      <c r="B2706">
        <v>35.799999</v>
      </c>
      <c r="C2706">
        <v>33.800998999999997</v>
      </c>
      <c r="D2706">
        <v>14.304</v>
      </c>
      <c r="E2706" t="s">
        <v>4689</v>
      </c>
      <c r="F2706" t="s">
        <v>4690</v>
      </c>
      <c r="G2706" t="s">
        <v>37</v>
      </c>
      <c r="H2706">
        <v>1989</v>
      </c>
      <c r="I2706">
        <v>28.399999618530298</v>
      </c>
      <c r="J2706">
        <v>16.899999618530298</v>
      </c>
      <c r="K2706">
        <v>63</v>
      </c>
      <c r="L2706">
        <v>25.969999313354499</v>
      </c>
      <c r="M2706">
        <v>41.200000762939503</v>
      </c>
      <c r="N2706">
        <v>14.5</v>
      </c>
      <c r="O2706">
        <v>26.700000762939499</v>
      </c>
      <c r="P2706">
        <v>28.399999618530298</v>
      </c>
      <c r="Q2706">
        <v>26</v>
      </c>
      <c r="R2706">
        <v>31.799999237060501</v>
      </c>
      <c r="S2706">
        <v>24.700000762939499</v>
      </c>
      <c r="T2706">
        <v>374</v>
      </c>
      <c r="U2706">
        <v>132</v>
      </c>
      <c r="V2706">
        <v>0</v>
      </c>
      <c r="W2706">
        <v>138</v>
      </c>
      <c r="X2706">
        <v>301</v>
      </c>
      <c r="Y2706">
        <v>0</v>
      </c>
      <c r="Z2706">
        <v>56</v>
      </c>
      <c r="AA2706">
        <v>0</v>
      </c>
      <c r="AB2706">
        <v>0.333733526652291</v>
      </c>
      <c r="AC2706">
        <v>3.7657332622239997E-2</v>
      </c>
      <c r="AD2706">
        <v>1.05619231426476</v>
      </c>
      <c r="AE2706">
        <v>0.717104852199554</v>
      </c>
      <c r="AF2706">
        <v>413.62416107382597</v>
      </c>
      <c r="AG2706">
        <f>IFERROR(AH2706*0.1, "N/A")</f>
        <v>7.9</v>
      </c>
      <c r="AH2706">
        <v>79</v>
      </c>
      <c r="AI2706">
        <v>183.46401352850401</v>
      </c>
      <c r="AJ2706">
        <v>51</v>
      </c>
      <c r="AK2706">
        <v>25</v>
      </c>
    </row>
    <row r="2707" spans="1:37" x14ac:dyDescent="0.3">
      <c r="A2707">
        <v>2706</v>
      </c>
      <c r="B2707">
        <v>0</v>
      </c>
      <c r="C2707">
        <v>33.800998999999997</v>
      </c>
      <c r="D2707">
        <v>14.304</v>
      </c>
      <c r="E2707" t="s">
        <v>4689</v>
      </c>
      <c r="F2707" t="s">
        <v>4691</v>
      </c>
      <c r="G2707" t="s">
        <v>39</v>
      </c>
      <c r="H2707">
        <v>1989</v>
      </c>
      <c r="I2707">
        <v>28.399999618530298</v>
      </c>
      <c r="J2707">
        <v>16.899999618530298</v>
      </c>
      <c r="K2707">
        <v>63</v>
      </c>
      <c r="L2707">
        <v>25.969999313354499</v>
      </c>
      <c r="M2707">
        <v>41.200000762939503</v>
      </c>
      <c r="N2707">
        <v>14.5</v>
      </c>
      <c r="O2707">
        <v>26.700000762939499</v>
      </c>
      <c r="P2707">
        <v>28.399999618530298</v>
      </c>
      <c r="Q2707">
        <v>26</v>
      </c>
      <c r="R2707">
        <v>31.799999237060501</v>
      </c>
      <c r="S2707">
        <v>24.700000762939499</v>
      </c>
      <c r="T2707">
        <v>374</v>
      </c>
      <c r="U2707">
        <v>132</v>
      </c>
      <c r="V2707">
        <v>0</v>
      </c>
      <c r="W2707">
        <v>138</v>
      </c>
      <c r="X2707">
        <v>301</v>
      </c>
      <c r="Y2707">
        <v>0</v>
      </c>
      <c r="Z2707">
        <v>56</v>
      </c>
      <c r="AA2707">
        <v>0</v>
      </c>
      <c r="AB2707">
        <v>0.333733526652291</v>
      </c>
      <c r="AC2707">
        <v>3.7657332622239997E-2</v>
      </c>
      <c r="AD2707">
        <v>1.05619231426476</v>
      </c>
      <c r="AE2707">
        <v>0.717104852199554</v>
      </c>
      <c r="AF2707">
        <v>413.62416107382597</v>
      </c>
      <c r="AG2707">
        <f>IFERROR(AH2707*0.1, "N/A")</f>
        <v>7.9</v>
      </c>
      <c r="AH2707">
        <v>79</v>
      </c>
      <c r="AI2707">
        <v>183.46401352850401</v>
      </c>
      <c r="AJ2707">
        <v>51</v>
      </c>
      <c r="AK2707">
        <v>25</v>
      </c>
    </row>
    <row r="2708" spans="1:37" x14ac:dyDescent="0.3">
      <c r="A2708">
        <v>2707</v>
      </c>
      <c r="B2708">
        <v>7.6</v>
      </c>
      <c r="C2708">
        <v>33.964699000000003</v>
      </c>
      <c r="D2708">
        <v>14.318199999999999</v>
      </c>
      <c r="E2708" t="s">
        <v>4692</v>
      </c>
      <c r="F2708" t="s">
        <v>4693</v>
      </c>
      <c r="G2708" t="s">
        <v>37</v>
      </c>
      <c r="H2708">
        <v>1989</v>
      </c>
      <c r="I2708">
        <v>28.5</v>
      </c>
      <c r="J2708">
        <v>16.899999618530298</v>
      </c>
      <c r="K2708">
        <v>63</v>
      </c>
      <c r="L2708">
        <v>25.5100002288818</v>
      </c>
      <c r="M2708">
        <v>41.200000762939503</v>
      </c>
      <c r="N2708">
        <v>14.6000003814697</v>
      </c>
      <c r="O2708">
        <v>26.600000381469702</v>
      </c>
      <c r="P2708">
        <v>28.299999237060501</v>
      </c>
      <c r="Q2708">
        <v>26.100000381469702</v>
      </c>
      <c r="R2708">
        <v>31.799999237060501</v>
      </c>
      <c r="S2708">
        <v>24.899999618530298</v>
      </c>
      <c r="T2708">
        <v>385</v>
      </c>
      <c r="U2708">
        <v>136</v>
      </c>
      <c r="V2708">
        <v>0</v>
      </c>
      <c r="W2708">
        <v>136</v>
      </c>
      <c r="X2708">
        <v>307</v>
      </c>
      <c r="Y2708">
        <v>0</v>
      </c>
      <c r="Z2708">
        <v>60</v>
      </c>
      <c r="AA2708">
        <v>0</v>
      </c>
      <c r="AB2708">
        <v>0.90115788007023401</v>
      </c>
      <c r="AC2708">
        <v>9.8500546971049992E-3</v>
      </c>
      <c r="AD2708">
        <v>0.78515294144049197</v>
      </c>
      <c r="AE2708">
        <v>0.615273118019104</v>
      </c>
      <c r="AF2708">
        <v>419.43097643097599</v>
      </c>
      <c r="AG2708">
        <f>IFERROR(AH2708*0.1, "N/A")</f>
        <v>7.6727272727272711</v>
      </c>
      <c r="AH2708">
        <v>76.727272727272705</v>
      </c>
      <c r="AI2708">
        <v>34.447836307564202</v>
      </c>
      <c r="AJ2708">
        <v>48.038720538720497</v>
      </c>
      <c r="AK2708">
        <v>28.5976430976431</v>
      </c>
    </row>
    <row r="2709" spans="1:37" x14ac:dyDescent="0.3">
      <c r="A2709">
        <v>2708</v>
      </c>
      <c r="B2709">
        <v>0</v>
      </c>
      <c r="C2709">
        <v>33.964699000000003</v>
      </c>
      <c r="D2709">
        <v>14.318199999999999</v>
      </c>
      <c r="E2709" t="s">
        <v>4692</v>
      </c>
      <c r="F2709" t="s">
        <v>4694</v>
      </c>
      <c r="G2709" t="s">
        <v>39</v>
      </c>
      <c r="H2709">
        <v>1989</v>
      </c>
      <c r="I2709">
        <v>28.5</v>
      </c>
      <c r="J2709">
        <v>16.899999618530298</v>
      </c>
      <c r="K2709">
        <v>63</v>
      </c>
      <c r="L2709">
        <v>25.5100002288818</v>
      </c>
      <c r="M2709">
        <v>41.200000762939503</v>
      </c>
      <c r="N2709">
        <v>14.6000003814697</v>
      </c>
      <c r="O2709">
        <v>26.600000381469702</v>
      </c>
      <c r="P2709">
        <v>28.299999237060501</v>
      </c>
      <c r="Q2709">
        <v>26.100000381469702</v>
      </c>
      <c r="R2709">
        <v>31.799999237060501</v>
      </c>
      <c r="S2709">
        <v>24.899999618530298</v>
      </c>
      <c r="T2709">
        <v>385</v>
      </c>
      <c r="U2709">
        <v>136</v>
      </c>
      <c r="V2709">
        <v>0</v>
      </c>
      <c r="W2709">
        <v>136</v>
      </c>
      <c r="X2709">
        <v>307</v>
      </c>
      <c r="Y2709">
        <v>0</v>
      </c>
      <c r="Z2709">
        <v>60</v>
      </c>
      <c r="AA2709">
        <v>0</v>
      </c>
      <c r="AB2709">
        <v>0.90115788007023401</v>
      </c>
      <c r="AC2709">
        <v>9.8500546971049992E-3</v>
      </c>
      <c r="AD2709">
        <v>0.78515294144049197</v>
      </c>
      <c r="AE2709">
        <v>0.615273118019104</v>
      </c>
      <c r="AF2709">
        <v>419.43097643097599</v>
      </c>
      <c r="AG2709">
        <f>IFERROR(AH2709*0.1, "N/A")</f>
        <v>7.6727272727272711</v>
      </c>
      <c r="AH2709">
        <v>76.727272727272705</v>
      </c>
      <c r="AI2709">
        <v>34.447836307564202</v>
      </c>
      <c r="AJ2709">
        <v>48.038720538720497</v>
      </c>
      <c r="AK2709">
        <v>28.5976430976431</v>
      </c>
    </row>
    <row r="2710" spans="1:37" x14ac:dyDescent="0.3">
      <c r="A2710">
        <v>2709</v>
      </c>
      <c r="B2710">
        <v>10.9</v>
      </c>
      <c r="C2710">
        <v>33.842201000000003</v>
      </c>
      <c r="D2710">
        <v>14.3285</v>
      </c>
      <c r="E2710" t="s">
        <v>4695</v>
      </c>
      <c r="F2710" t="s">
        <v>4696</v>
      </c>
      <c r="G2710" t="s">
        <v>37</v>
      </c>
      <c r="H2710">
        <v>1989</v>
      </c>
      <c r="I2710">
        <v>28.399999618530298</v>
      </c>
      <c r="J2710">
        <v>16.899999618530298</v>
      </c>
      <c r="K2710">
        <v>63</v>
      </c>
      <c r="L2710">
        <v>25.940000534057599</v>
      </c>
      <c r="M2710">
        <v>41.200000762939503</v>
      </c>
      <c r="N2710">
        <v>14.5</v>
      </c>
      <c r="O2710">
        <v>26.700000762939499</v>
      </c>
      <c r="P2710">
        <v>28.299999237060501</v>
      </c>
      <c r="Q2710">
        <v>26</v>
      </c>
      <c r="R2710">
        <v>31.799999237060501</v>
      </c>
      <c r="S2710">
        <v>24.700000762939499</v>
      </c>
      <c r="T2710">
        <v>374</v>
      </c>
      <c r="U2710">
        <v>132</v>
      </c>
      <c r="V2710">
        <v>0</v>
      </c>
      <c r="W2710">
        <v>138</v>
      </c>
      <c r="X2710">
        <v>301</v>
      </c>
      <c r="Y2710">
        <v>0</v>
      </c>
      <c r="Z2710">
        <v>56</v>
      </c>
      <c r="AA2710">
        <v>0</v>
      </c>
      <c r="AB2710">
        <v>0.636033440278435</v>
      </c>
      <c r="AC2710">
        <v>1.0296046614697E-2</v>
      </c>
      <c r="AD2710">
        <v>1.29797655745388</v>
      </c>
      <c r="AE2710">
        <v>0.52618587017059304</v>
      </c>
      <c r="AF2710">
        <v>416.04377104377102</v>
      </c>
      <c r="AG2710">
        <f>IFERROR(AH2710*0.1, "N/A")</f>
        <v>7.6188552188552201</v>
      </c>
      <c r="AH2710">
        <v>76.188552188552194</v>
      </c>
      <c r="AI2710">
        <v>75.147707197401303</v>
      </c>
      <c r="AJ2710">
        <v>47.993265993266</v>
      </c>
      <c r="AK2710">
        <v>30.005050505050502</v>
      </c>
    </row>
    <row r="2711" spans="1:37" x14ac:dyDescent="0.3">
      <c r="A2711">
        <v>2710</v>
      </c>
      <c r="B2711">
        <v>5.4</v>
      </c>
      <c r="C2711">
        <v>33.842201000000003</v>
      </c>
      <c r="D2711">
        <v>14.3285</v>
      </c>
      <c r="E2711" t="s">
        <v>4695</v>
      </c>
      <c r="F2711" t="s">
        <v>4697</v>
      </c>
      <c r="G2711" t="s">
        <v>39</v>
      </c>
      <c r="H2711">
        <v>1989</v>
      </c>
      <c r="I2711">
        <v>28.399999618530298</v>
      </c>
      <c r="J2711">
        <v>16.899999618530298</v>
      </c>
      <c r="K2711">
        <v>63</v>
      </c>
      <c r="L2711">
        <v>25.940000534057599</v>
      </c>
      <c r="M2711">
        <v>41.200000762939503</v>
      </c>
      <c r="N2711">
        <v>14.5</v>
      </c>
      <c r="O2711">
        <v>26.700000762939499</v>
      </c>
      <c r="P2711">
        <v>28.299999237060501</v>
      </c>
      <c r="Q2711">
        <v>26</v>
      </c>
      <c r="R2711">
        <v>31.799999237060501</v>
      </c>
      <c r="S2711">
        <v>24.700000762939499</v>
      </c>
      <c r="T2711">
        <v>374</v>
      </c>
      <c r="U2711">
        <v>132</v>
      </c>
      <c r="V2711">
        <v>0</v>
      </c>
      <c r="W2711">
        <v>138</v>
      </c>
      <c r="X2711">
        <v>301</v>
      </c>
      <c r="Y2711">
        <v>0</v>
      </c>
      <c r="Z2711">
        <v>56</v>
      </c>
      <c r="AA2711">
        <v>0</v>
      </c>
      <c r="AB2711">
        <v>0.636033440278435</v>
      </c>
      <c r="AC2711">
        <v>1.0296046614697E-2</v>
      </c>
      <c r="AD2711">
        <v>1.29797655745388</v>
      </c>
      <c r="AE2711">
        <v>0.52618587017059304</v>
      </c>
      <c r="AF2711">
        <v>416.04377104377102</v>
      </c>
      <c r="AG2711">
        <f>IFERROR(AH2711*0.1, "N/A")</f>
        <v>7.6188552188552201</v>
      </c>
      <c r="AH2711">
        <v>76.188552188552194</v>
      </c>
      <c r="AI2711">
        <v>75.147707197401303</v>
      </c>
      <c r="AJ2711">
        <v>47.993265993266</v>
      </c>
      <c r="AK2711">
        <v>30.005050505050502</v>
      </c>
    </row>
    <row r="2712" spans="1:37" x14ac:dyDescent="0.3">
      <c r="A2712">
        <v>2711</v>
      </c>
      <c r="B2712">
        <v>84.199996999999996</v>
      </c>
      <c r="C2712">
        <v>32.648102000000002</v>
      </c>
      <c r="D2712">
        <v>14.3421</v>
      </c>
      <c r="E2712" t="s">
        <v>4698</v>
      </c>
      <c r="F2712" t="s">
        <v>4699</v>
      </c>
      <c r="G2712" t="s">
        <v>37</v>
      </c>
      <c r="H2712">
        <v>1989</v>
      </c>
      <c r="I2712">
        <v>28.700000762939499</v>
      </c>
      <c r="J2712">
        <v>15.6000003814697</v>
      </c>
      <c r="K2712">
        <v>60</v>
      </c>
      <c r="L2712">
        <v>28.472680855762299</v>
      </c>
      <c r="M2712">
        <v>41.200000762939503</v>
      </c>
      <c r="N2712">
        <v>15.300000190734901</v>
      </c>
      <c r="O2712">
        <v>25.899999618530298</v>
      </c>
      <c r="P2712">
        <v>29.389544266673401</v>
      </c>
      <c r="Q2712">
        <v>25.700000762939499</v>
      </c>
      <c r="R2712">
        <v>32.099998474121101</v>
      </c>
      <c r="S2712">
        <v>24.5</v>
      </c>
      <c r="T2712">
        <v>243.10455311973001</v>
      </c>
      <c r="U2712">
        <v>100.10455311973</v>
      </c>
      <c r="V2712">
        <v>0</v>
      </c>
      <c r="W2712">
        <v>155.10455311973001</v>
      </c>
      <c r="X2712">
        <v>214.10455311973001</v>
      </c>
      <c r="Y2712">
        <v>0</v>
      </c>
      <c r="Z2712">
        <v>24</v>
      </c>
      <c r="AA2712">
        <v>0</v>
      </c>
      <c r="AB2712">
        <v>0.24552323082446301</v>
      </c>
      <c r="AC2712">
        <v>7.5249035944800993E-2</v>
      </c>
      <c r="AD2712">
        <v>1.0220151241573501</v>
      </c>
      <c r="AE2712">
        <v>0.72731947798351004</v>
      </c>
      <c r="AF2712">
        <v>396.15851602023599</v>
      </c>
      <c r="AG2712">
        <f>IFERROR(AH2712*0.1, "N/A")</f>
        <v>8.7861720067453604</v>
      </c>
      <c r="AH2712">
        <v>87.861720067453604</v>
      </c>
      <c r="AI2712">
        <v>169.11239572560399</v>
      </c>
      <c r="AJ2712">
        <v>39.966273187183802</v>
      </c>
      <c r="AK2712">
        <v>37.981450252951099</v>
      </c>
    </row>
    <row r="2713" spans="1:37" x14ac:dyDescent="0.3">
      <c r="A2713">
        <v>2712</v>
      </c>
      <c r="B2713">
        <v>0</v>
      </c>
      <c r="C2713">
        <v>32.648102000000002</v>
      </c>
      <c r="D2713">
        <v>14.3421</v>
      </c>
      <c r="E2713" t="s">
        <v>4698</v>
      </c>
      <c r="F2713" t="s">
        <v>4700</v>
      </c>
      <c r="G2713" t="s">
        <v>39</v>
      </c>
      <c r="H2713">
        <v>1989</v>
      </c>
      <c r="I2713">
        <v>28.700000762939499</v>
      </c>
      <c r="J2713">
        <v>15.6000003814697</v>
      </c>
      <c r="K2713">
        <v>60</v>
      </c>
      <c r="L2713">
        <v>28.472680855762299</v>
      </c>
      <c r="M2713">
        <v>41.200000762939503</v>
      </c>
      <c r="N2713">
        <v>15.300000190734901</v>
      </c>
      <c r="O2713">
        <v>25.899999618530298</v>
      </c>
      <c r="P2713">
        <v>29.389544266673401</v>
      </c>
      <c r="Q2713">
        <v>25.700000762939499</v>
      </c>
      <c r="R2713">
        <v>32.099998474121101</v>
      </c>
      <c r="S2713">
        <v>24.5</v>
      </c>
      <c r="T2713">
        <v>243.10455311973001</v>
      </c>
      <c r="U2713">
        <v>100.10455311973</v>
      </c>
      <c r="V2713">
        <v>0</v>
      </c>
      <c r="W2713">
        <v>155.10455311973001</v>
      </c>
      <c r="X2713">
        <v>214.10455311973001</v>
      </c>
      <c r="Y2713">
        <v>0</v>
      </c>
      <c r="Z2713">
        <v>24</v>
      </c>
      <c r="AA2713">
        <v>0</v>
      </c>
      <c r="AB2713">
        <v>0.24552323082446301</v>
      </c>
      <c r="AC2713">
        <v>7.5249035944800993E-2</v>
      </c>
      <c r="AD2713">
        <v>1.0220151241573501</v>
      </c>
      <c r="AE2713">
        <v>0.72731947798351004</v>
      </c>
      <c r="AF2713">
        <v>396.15851602023599</v>
      </c>
      <c r="AG2713">
        <f>IFERROR(AH2713*0.1, "N/A")</f>
        <v>8.7861720067453604</v>
      </c>
      <c r="AH2713">
        <v>87.861720067453604</v>
      </c>
      <c r="AI2713">
        <v>169.11239572560399</v>
      </c>
      <c r="AJ2713">
        <v>39.966273187183802</v>
      </c>
      <c r="AK2713">
        <v>37.981450252951099</v>
      </c>
    </row>
    <row r="2714" spans="1:37" x14ac:dyDescent="0.3">
      <c r="A2714">
        <v>2713</v>
      </c>
      <c r="B2714">
        <v>20.5</v>
      </c>
      <c r="C2714">
        <v>33.888801999999998</v>
      </c>
      <c r="D2714">
        <v>14.3484</v>
      </c>
      <c r="E2714" t="s">
        <v>4399</v>
      </c>
      <c r="F2714" t="s">
        <v>4701</v>
      </c>
      <c r="G2714" t="s">
        <v>37</v>
      </c>
      <c r="H2714">
        <v>1989</v>
      </c>
      <c r="I2714">
        <v>28.399999618530298</v>
      </c>
      <c r="J2714">
        <v>16.899999618530298</v>
      </c>
      <c r="K2714">
        <v>63</v>
      </c>
      <c r="L2714">
        <v>25.9799995422363</v>
      </c>
      <c r="M2714">
        <v>41.200000762939503</v>
      </c>
      <c r="N2714">
        <v>14.5</v>
      </c>
      <c r="O2714">
        <v>26.700000762939499</v>
      </c>
      <c r="P2714">
        <v>28.299999237060501</v>
      </c>
      <c r="Q2714">
        <v>26</v>
      </c>
      <c r="R2714">
        <v>31.799999237060501</v>
      </c>
      <c r="S2714">
        <v>24.700000762939499</v>
      </c>
      <c r="T2714">
        <v>375</v>
      </c>
      <c r="U2714">
        <v>133</v>
      </c>
      <c r="V2714">
        <v>0</v>
      </c>
      <c r="W2714">
        <v>138</v>
      </c>
      <c r="X2714">
        <v>301</v>
      </c>
      <c r="Y2714">
        <v>0</v>
      </c>
      <c r="Z2714">
        <v>57</v>
      </c>
      <c r="AA2714">
        <v>0</v>
      </c>
      <c r="AB2714">
        <v>7.4920397414904E-2</v>
      </c>
      <c r="AC2714">
        <v>4.6585346582762703</v>
      </c>
      <c r="AD2714">
        <v>0.87688933799563795</v>
      </c>
      <c r="AE2714">
        <v>0.52086979150772095</v>
      </c>
      <c r="AF2714">
        <v>415.52020202020202</v>
      </c>
      <c r="AG2714">
        <f>IFERROR(AH2714*0.1, "N/A")</f>
        <v>7.7210437710437709</v>
      </c>
      <c r="AH2714">
        <v>77.210437710437702</v>
      </c>
      <c r="AI2714">
        <v>127.07642596980099</v>
      </c>
      <c r="AJ2714">
        <v>52.789562289562298</v>
      </c>
      <c r="AK2714">
        <v>23.210437710437699</v>
      </c>
    </row>
    <row r="2715" spans="1:37" x14ac:dyDescent="0.3">
      <c r="A2715">
        <v>2714</v>
      </c>
      <c r="B2715">
        <v>11.1</v>
      </c>
      <c r="C2715">
        <v>33.810200000000002</v>
      </c>
      <c r="D2715">
        <v>14.3507</v>
      </c>
      <c r="E2715" t="s">
        <v>4702</v>
      </c>
      <c r="F2715" t="s">
        <v>4703</v>
      </c>
      <c r="G2715" t="s">
        <v>37</v>
      </c>
      <c r="H2715">
        <v>1989</v>
      </c>
      <c r="I2715">
        <v>28.399999618530298</v>
      </c>
      <c r="J2715">
        <v>16.899999618530298</v>
      </c>
      <c r="K2715">
        <v>63</v>
      </c>
      <c r="L2715">
        <v>26.159999847412099</v>
      </c>
      <c r="M2715">
        <v>41.200000762939503</v>
      </c>
      <c r="N2715">
        <v>14.3999996185303</v>
      </c>
      <c r="O2715">
        <v>26.799999237060501</v>
      </c>
      <c r="P2715">
        <v>28.299999237060501</v>
      </c>
      <c r="Q2715">
        <v>25.899999618530298</v>
      </c>
      <c r="R2715">
        <v>31.799999237060501</v>
      </c>
      <c r="S2715">
        <v>24.600000381469702</v>
      </c>
      <c r="T2715">
        <v>368</v>
      </c>
      <c r="U2715">
        <v>131</v>
      </c>
      <c r="V2715">
        <v>0</v>
      </c>
      <c r="W2715">
        <v>141</v>
      </c>
      <c r="X2715">
        <v>298</v>
      </c>
      <c r="Y2715">
        <v>0</v>
      </c>
      <c r="Z2715">
        <v>54</v>
      </c>
      <c r="AA2715">
        <v>0</v>
      </c>
      <c r="AB2715">
        <v>0.184095833169755</v>
      </c>
      <c r="AC2715">
        <v>0.698179127885594</v>
      </c>
      <c r="AD2715">
        <v>1.07447505915784</v>
      </c>
      <c r="AE2715">
        <v>0.71536855062647697</v>
      </c>
      <c r="AF2715">
        <v>415.70184254606397</v>
      </c>
      <c r="AG2715">
        <f>IFERROR(AH2715*0.1, "N/A")</f>
        <v>7.9919597989949809</v>
      </c>
      <c r="AH2715">
        <v>79.919597989949807</v>
      </c>
      <c r="AI2715">
        <v>193.333891416515</v>
      </c>
      <c r="AJ2715">
        <v>55.939698492462298</v>
      </c>
      <c r="AK2715">
        <v>22.979899497487398</v>
      </c>
    </row>
    <row r="2716" spans="1:37" x14ac:dyDescent="0.3">
      <c r="A2716">
        <v>2715</v>
      </c>
      <c r="B2716">
        <v>0</v>
      </c>
      <c r="C2716">
        <v>33.810200000000002</v>
      </c>
      <c r="D2716">
        <v>14.3507</v>
      </c>
      <c r="E2716" t="s">
        <v>4702</v>
      </c>
      <c r="F2716" t="s">
        <v>4704</v>
      </c>
      <c r="G2716" t="s">
        <v>39</v>
      </c>
      <c r="H2716">
        <v>1989</v>
      </c>
      <c r="I2716">
        <v>28.399999618530298</v>
      </c>
      <c r="J2716">
        <v>16.899999618530298</v>
      </c>
      <c r="K2716">
        <v>63</v>
      </c>
      <c r="L2716">
        <v>26.159999847412099</v>
      </c>
      <c r="M2716">
        <v>41.200000762939503</v>
      </c>
      <c r="N2716">
        <v>14.3999996185303</v>
      </c>
      <c r="O2716">
        <v>26.799999237060501</v>
      </c>
      <c r="P2716">
        <v>28.299999237060501</v>
      </c>
      <c r="Q2716">
        <v>25.899999618530298</v>
      </c>
      <c r="R2716">
        <v>31.799999237060501</v>
      </c>
      <c r="S2716">
        <v>24.600000381469702</v>
      </c>
      <c r="T2716">
        <v>368</v>
      </c>
      <c r="U2716">
        <v>131</v>
      </c>
      <c r="V2716">
        <v>0</v>
      </c>
      <c r="W2716">
        <v>141</v>
      </c>
      <c r="X2716">
        <v>298</v>
      </c>
      <c r="Y2716">
        <v>0</v>
      </c>
      <c r="Z2716">
        <v>54</v>
      </c>
      <c r="AA2716">
        <v>0</v>
      </c>
      <c r="AB2716">
        <v>0.184095833169755</v>
      </c>
      <c r="AC2716">
        <v>0.698179127885594</v>
      </c>
      <c r="AD2716">
        <v>1.07447505915784</v>
      </c>
      <c r="AE2716">
        <v>0.71536855062647697</v>
      </c>
      <c r="AF2716">
        <v>415.70184254606397</v>
      </c>
      <c r="AG2716">
        <f>IFERROR(AH2716*0.1, "N/A")</f>
        <v>7.9919597989949809</v>
      </c>
      <c r="AH2716">
        <v>79.919597989949807</v>
      </c>
      <c r="AI2716">
        <v>193.333891416515</v>
      </c>
      <c r="AJ2716">
        <v>55.939698492462298</v>
      </c>
      <c r="AK2716">
        <v>22.979899497487398</v>
      </c>
    </row>
    <row r="2717" spans="1:37" x14ac:dyDescent="0.3">
      <c r="A2717">
        <v>2716</v>
      </c>
      <c r="B2717">
        <v>4.3</v>
      </c>
      <c r="C2717">
        <v>33.942402000000001</v>
      </c>
      <c r="D2717">
        <v>14.357900000000001</v>
      </c>
      <c r="E2717" t="s">
        <v>4705</v>
      </c>
      <c r="F2717" t="s">
        <v>4706</v>
      </c>
      <c r="G2717" t="s">
        <v>37</v>
      </c>
      <c r="H2717">
        <v>1989</v>
      </c>
      <c r="I2717">
        <v>28.399999618530298</v>
      </c>
      <c r="J2717">
        <v>16.899999618530298</v>
      </c>
      <c r="K2717">
        <v>63</v>
      </c>
      <c r="L2717">
        <v>25.653529851576899</v>
      </c>
      <c r="M2717">
        <v>41.200000762939503</v>
      </c>
      <c r="N2717">
        <v>14.584706205480201</v>
      </c>
      <c r="O2717">
        <v>26.615294557459201</v>
      </c>
      <c r="P2717">
        <v>28.299999237060501</v>
      </c>
      <c r="Q2717">
        <v>25.984705824010501</v>
      </c>
      <c r="R2717">
        <v>31.799999237060501</v>
      </c>
      <c r="S2717">
        <v>24.784705352783199</v>
      </c>
      <c r="T2717">
        <v>379.69411764705899</v>
      </c>
      <c r="U2717">
        <v>134.84705882352901</v>
      </c>
      <c r="V2717">
        <v>0</v>
      </c>
      <c r="W2717">
        <v>139</v>
      </c>
      <c r="X2717">
        <v>303.84705882352898</v>
      </c>
      <c r="Y2717">
        <v>0</v>
      </c>
      <c r="Z2717">
        <v>58.847058823529402</v>
      </c>
      <c r="AA2717">
        <v>0</v>
      </c>
      <c r="AB2717">
        <v>0.16571147501969499</v>
      </c>
      <c r="AC2717">
        <v>1.00548060657378</v>
      </c>
      <c r="AD2717">
        <v>0.53872546608708505</v>
      </c>
      <c r="AE2717">
        <v>0.55769890546798695</v>
      </c>
      <c r="AF2717">
        <v>419.82857142857102</v>
      </c>
      <c r="AG2717">
        <f>IFERROR(AH2717*0.1, "N/A")</f>
        <v>7.75210084033613</v>
      </c>
      <c r="AH2717">
        <v>77.521008403361293</v>
      </c>
      <c r="AI2717">
        <v>105.124554033039</v>
      </c>
      <c r="AJ2717">
        <v>48.245378151260503</v>
      </c>
      <c r="AK2717">
        <v>26.7546218487395</v>
      </c>
    </row>
    <row r="2718" spans="1:37" x14ac:dyDescent="0.3">
      <c r="A2718">
        <v>2717</v>
      </c>
      <c r="B2718">
        <v>6.9</v>
      </c>
      <c r="C2718">
        <v>33.942402000000001</v>
      </c>
      <c r="D2718">
        <v>14.357900000000001</v>
      </c>
      <c r="E2718" t="s">
        <v>4705</v>
      </c>
      <c r="F2718" t="s">
        <v>4707</v>
      </c>
      <c r="G2718" t="s">
        <v>39</v>
      </c>
      <c r="H2718">
        <v>1989</v>
      </c>
      <c r="I2718">
        <v>28.399999618530298</v>
      </c>
      <c r="J2718">
        <v>16.899999618530298</v>
      </c>
      <c r="K2718">
        <v>63</v>
      </c>
      <c r="L2718">
        <v>25.653529851576899</v>
      </c>
      <c r="M2718">
        <v>41.200000762939503</v>
      </c>
      <c r="N2718">
        <v>14.584706205480201</v>
      </c>
      <c r="O2718">
        <v>26.615294557459201</v>
      </c>
      <c r="P2718">
        <v>28.299999237060501</v>
      </c>
      <c r="Q2718">
        <v>25.984705824010501</v>
      </c>
      <c r="R2718">
        <v>31.799999237060501</v>
      </c>
      <c r="S2718">
        <v>24.784705352783199</v>
      </c>
      <c r="T2718">
        <v>379.69411764705899</v>
      </c>
      <c r="U2718">
        <v>134.84705882352901</v>
      </c>
      <c r="V2718">
        <v>0</v>
      </c>
      <c r="W2718">
        <v>139</v>
      </c>
      <c r="X2718">
        <v>303.84705882352898</v>
      </c>
      <c r="Y2718">
        <v>0</v>
      </c>
      <c r="Z2718">
        <v>58.847058823529402</v>
      </c>
      <c r="AA2718">
        <v>0</v>
      </c>
      <c r="AB2718">
        <v>0.16571147501969499</v>
      </c>
      <c r="AC2718">
        <v>1.00548060657378</v>
      </c>
      <c r="AD2718">
        <v>0.53872546608708505</v>
      </c>
      <c r="AE2718">
        <v>0.55769890546798695</v>
      </c>
      <c r="AF2718">
        <v>419.82857142857102</v>
      </c>
      <c r="AG2718">
        <f>IFERROR(AH2718*0.1, "N/A")</f>
        <v>7.75210084033613</v>
      </c>
      <c r="AH2718">
        <v>77.521008403361293</v>
      </c>
      <c r="AI2718">
        <v>105.124554033039</v>
      </c>
      <c r="AJ2718">
        <v>48.245378151260503</v>
      </c>
      <c r="AK2718">
        <v>26.7546218487395</v>
      </c>
    </row>
    <row r="2719" spans="1:37" x14ac:dyDescent="0.3">
      <c r="A2719">
        <v>2718</v>
      </c>
      <c r="B2719">
        <v>50.900002000000001</v>
      </c>
      <c r="C2719">
        <v>33.836497999999999</v>
      </c>
      <c r="D2719">
        <v>14.408099999999999</v>
      </c>
      <c r="E2719" t="s">
        <v>4708</v>
      </c>
      <c r="F2719" t="s">
        <v>4709</v>
      </c>
      <c r="G2719" t="s">
        <v>37</v>
      </c>
      <c r="H2719">
        <v>1989</v>
      </c>
      <c r="I2719">
        <v>28.399999618530298</v>
      </c>
      <c r="J2719">
        <v>16.899999618530298</v>
      </c>
      <c r="K2719">
        <v>62.535234899328898</v>
      </c>
      <c r="L2719">
        <v>26.608170688552299</v>
      </c>
      <c r="M2719">
        <v>41.246476563831301</v>
      </c>
      <c r="N2719">
        <v>14.3999996185303</v>
      </c>
      <c r="O2719">
        <v>26.846475924421501</v>
      </c>
      <c r="P2719">
        <v>28.399999618530298</v>
      </c>
      <c r="Q2719">
        <v>25.899999618530298</v>
      </c>
      <c r="R2719">
        <v>31.799999237060501</v>
      </c>
      <c r="S2719">
        <v>24.600000381469702</v>
      </c>
      <c r="T2719">
        <v>364.464765100671</v>
      </c>
      <c r="U2719">
        <v>129.464765100671</v>
      </c>
      <c r="V2719">
        <v>0</v>
      </c>
      <c r="W2719">
        <v>139.464765100671</v>
      </c>
      <c r="X2719">
        <v>294.464765100671</v>
      </c>
      <c r="Y2719">
        <v>0</v>
      </c>
      <c r="Z2719">
        <v>54</v>
      </c>
      <c r="AA2719">
        <v>0</v>
      </c>
      <c r="AB2719">
        <v>0.26811013445758197</v>
      </c>
      <c r="AC2719">
        <v>2.17111195647E-2</v>
      </c>
      <c r="AD2719">
        <v>1.6319152608813901</v>
      </c>
      <c r="AE2719">
        <v>0.58934020996093806</v>
      </c>
      <c r="AF2719">
        <v>417.239932885906</v>
      </c>
      <c r="AG2719">
        <f>IFERROR(AH2719*0.1, "N/A")</f>
        <v>8</v>
      </c>
      <c r="AH2719">
        <v>80</v>
      </c>
      <c r="AI2719">
        <v>204.40580035216101</v>
      </c>
      <c r="AJ2719">
        <v>44</v>
      </c>
      <c r="AK2719">
        <v>34</v>
      </c>
    </row>
    <row r="2720" spans="1:37" x14ac:dyDescent="0.3">
      <c r="A2720">
        <v>2719</v>
      </c>
      <c r="B2720">
        <v>0.9</v>
      </c>
      <c r="C2720">
        <v>33.836497999999999</v>
      </c>
      <c r="D2720">
        <v>14.408099999999999</v>
      </c>
      <c r="E2720" t="s">
        <v>4708</v>
      </c>
      <c r="F2720" t="s">
        <v>4710</v>
      </c>
      <c r="G2720" t="s">
        <v>39</v>
      </c>
      <c r="H2720">
        <v>1989</v>
      </c>
      <c r="I2720">
        <v>28.399999618530298</v>
      </c>
      <c r="J2720">
        <v>16.899999618530298</v>
      </c>
      <c r="K2720">
        <v>62.535234899328898</v>
      </c>
      <c r="L2720">
        <v>26.608170688552299</v>
      </c>
      <c r="M2720">
        <v>41.246476563831301</v>
      </c>
      <c r="N2720">
        <v>14.3999996185303</v>
      </c>
      <c r="O2720">
        <v>26.846475924421501</v>
      </c>
      <c r="P2720">
        <v>28.399999618530298</v>
      </c>
      <c r="Q2720">
        <v>25.899999618530298</v>
      </c>
      <c r="R2720">
        <v>31.799999237060501</v>
      </c>
      <c r="S2720">
        <v>24.600000381469702</v>
      </c>
      <c r="T2720">
        <v>364.464765100671</v>
      </c>
      <c r="U2720">
        <v>129.464765100671</v>
      </c>
      <c r="V2720">
        <v>0</v>
      </c>
      <c r="W2720">
        <v>139.464765100671</v>
      </c>
      <c r="X2720">
        <v>294.464765100671</v>
      </c>
      <c r="Y2720">
        <v>0</v>
      </c>
      <c r="Z2720">
        <v>54</v>
      </c>
      <c r="AA2720">
        <v>0</v>
      </c>
      <c r="AB2720">
        <v>0.26811013445758197</v>
      </c>
      <c r="AC2720">
        <v>2.17111195647E-2</v>
      </c>
      <c r="AD2720">
        <v>1.6319152608813901</v>
      </c>
      <c r="AE2720">
        <v>0.58934020996093806</v>
      </c>
      <c r="AF2720">
        <v>417.239932885906</v>
      </c>
      <c r="AG2720">
        <f>IFERROR(AH2720*0.1, "N/A")</f>
        <v>8</v>
      </c>
      <c r="AH2720">
        <v>80</v>
      </c>
      <c r="AI2720">
        <v>204.40580035216101</v>
      </c>
      <c r="AJ2720">
        <v>44</v>
      </c>
      <c r="AK2720">
        <v>34</v>
      </c>
    </row>
    <row r="2721" spans="1:37" x14ac:dyDescent="0.3">
      <c r="A2721">
        <v>2720</v>
      </c>
      <c r="B2721">
        <v>5.9</v>
      </c>
      <c r="C2721">
        <v>33.728099999999998</v>
      </c>
      <c r="D2721">
        <v>14.4108</v>
      </c>
      <c r="E2721" t="s">
        <v>4711</v>
      </c>
      <c r="F2721" t="s">
        <v>4712</v>
      </c>
      <c r="G2721" t="s">
        <v>37</v>
      </c>
      <c r="H2721">
        <v>1989</v>
      </c>
      <c r="I2721">
        <v>28.299999237060501</v>
      </c>
      <c r="J2721">
        <v>16.899999618530298</v>
      </c>
      <c r="K2721">
        <v>62</v>
      </c>
      <c r="L2721">
        <v>26.909999847412099</v>
      </c>
      <c r="M2721">
        <v>41.200000762939503</v>
      </c>
      <c r="N2721">
        <v>14.199999809265099</v>
      </c>
      <c r="O2721">
        <v>27</v>
      </c>
      <c r="P2721">
        <v>28.399999618530298</v>
      </c>
      <c r="Q2721">
        <v>25.700000762939499</v>
      </c>
      <c r="R2721">
        <v>31.799999237060501</v>
      </c>
      <c r="S2721">
        <v>24.399999618530298</v>
      </c>
      <c r="T2721">
        <v>356</v>
      </c>
      <c r="U2721">
        <v>127</v>
      </c>
      <c r="V2721">
        <v>0</v>
      </c>
      <c r="W2721">
        <v>142</v>
      </c>
      <c r="X2721">
        <v>290</v>
      </c>
      <c r="Y2721">
        <v>0</v>
      </c>
      <c r="Z2721">
        <v>50</v>
      </c>
      <c r="AA2721">
        <v>0</v>
      </c>
      <c r="AB2721">
        <v>1.12092265731326</v>
      </c>
      <c r="AC2721">
        <v>9.0431980305106005E-2</v>
      </c>
      <c r="AD2721">
        <v>1.2417155294562101</v>
      </c>
      <c r="AE2721">
        <v>0.48851513862609902</v>
      </c>
      <c r="AF2721">
        <v>417.53601340033498</v>
      </c>
      <c r="AG2721">
        <f>IFERROR(AH2721*0.1, "N/A")</f>
        <v>7.7</v>
      </c>
      <c r="AH2721">
        <v>77</v>
      </c>
      <c r="AI2721">
        <v>187.34068883643499</v>
      </c>
      <c r="AJ2721">
        <v>41</v>
      </c>
      <c r="AK2721">
        <v>37.003350083752103</v>
      </c>
    </row>
    <row r="2722" spans="1:37" x14ac:dyDescent="0.3">
      <c r="A2722">
        <v>2721</v>
      </c>
      <c r="B2722">
        <v>0</v>
      </c>
      <c r="C2722">
        <v>33.728099999999998</v>
      </c>
      <c r="D2722">
        <v>14.4108</v>
      </c>
      <c r="E2722" t="s">
        <v>4711</v>
      </c>
      <c r="F2722" t="s">
        <v>4713</v>
      </c>
      <c r="G2722" t="s">
        <v>39</v>
      </c>
      <c r="H2722">
        <v>1989</v>
      </c>
      <c r="I2722">
        <v>28.299999237060501</v>
      </c>
      <c r="J2722">
        <v>16.899999618530298</v>
      </c>
      <c r="K2722">
        <v>62</v>
      </c>
      <c r="L2722">
        <v>26.909999847412099</v>
      </c>
      <c r="M2722">
        <v>41.200000762939503</v>
      </c>
      <c r="N2722">
        <v>14.199999809265099</v>
      </c>
      <c r="O2722">
        <v>27</v>
      </c>
      <c r="P2722">
        <v>28.399999618530298</v>
      </c>
      <c r="Q2722">
        <v>25.700000762939499</v>
      </c>
      <c r="R2722">
        <v>31.799999237060501</v>
      </c>
      <c r="S2722">
        <v>24.399999618530298</v>
      </c>
      <c r="T2722">
        <v>356</v>
      </c>
      <c r="U2722">
        <v>127</v>
      </c>
      <c r="V2722">
        <v>0</v>
      </c>
      <c r="W2722">
        <v>142</v>
      </c>
      <c r="X2722">
        <v>290</v>
      </c>
      <c r="Y2722">
        <v>0</v>
      </c>
      <c r="Z2722">
        <v>50</v>
      </c>
      <c r="AA2722">
        <v>0</v>
      </c>
      <c r="AB2722">
        <v>1.12092265731326</v>
      </c>
      <c r="AC2722">
        <v>9.0431980305106005E-2</v>
      </c>
      <c r="AD2722">
        <v>1.2417155294562101</v>
      </c>
      <c r="AE2722">
        <v>0.48851513862609902</v>
      </c>
      <c r="AF2722">
        <v>417.53601340033498</v>
      </c>
      <c r="AG2722">
        <f>IFERROR(AH2722*0.1, "N/A")</f>
        <v>7.7</v>
      </c>
      <c r="AH2722">
        <v>77</v>
      </c>
      <c r="AI2722">
        <v>187.34068883643499</v>
      </c>
      <c r="AJ2722">
        <v>41</v>
      </c>
      <c r="AK2722">
        <v>37.003350083752103</v>
      </c>
    </row>
    <row r="2723" spans="1:37" x14ac:dyDescent="0.3">
      <c r="A2723">
        <v>2722</v>
      </c>
      <c r="B2723">
        <v>15.8</v>
      </c>
      <c r="C2723">
        <v>33.923698000000002</v>
      </c>
      <c r="D2723">
        <v>14.412100000000001</v>
      </c>
      <c r="E2723" t="s">
        <v>4714</v>
      </c>
      <c r="F2723" t="s">
        <v>4715</v>
      </c>
      <c r="G2723" t="s">
        <v>37</v>
      </c>
      <c r="H2723">
        <v>1989</v>
      </c>
      <c r="I2723">
        <v>28.399999618530298</v>
      </c>
      <c r="J2723">
        <v>16.899999618530298</v>
      </c>
      <c r="K2723">
        <v>63</v>
      </c>
      <c r="L2723">
        <v>26.299999237060501</v>
      </c>
      <c r="M2723">
        <v>41.200000762939503</v>
      </c>
      <c r="N2723">
        <v>14.5</v>
      </c>
      <c r="O2723">
        <v>26.700000762939499</v>
      </c>
      <c r="P2723">
        <v>28.399999618530298</v>
      </c>
      <c r="Q2723">
        <v>25.899999618530298</v>
      </c>
      <c r="R2723">
        <v>31.799999237060501</v>
      </c>
      <c r="S2723">
        <v>24.700000762939499</v>
      </c>
      <c r="T2723">
        <v>368</v>
      </c>
      <c r="U2723">
        <v>132</v>
      </c>
      <c r="V2723">
        <v>0</v>
      </c>
      <c r="W2723">
        <v>141</v>
      </c>
      <c r="X2723">
        <v>297</v>
      </c>
      <c r="Y2723">
        <v>0</v>
      </c>
      <c r="Z2723">
        <v>55</v>
      </c>
      <c r="AA2723">
        <v>0</v>
      </c>
      <c r="AB2723">
        <v>6.0305188049623003E-2</v>
      </c>
      <c r="AC2723">
        <v>0.75137965259309103</v>
      </c>
      <c r="AD2723">
        <v>1.87842280101936</v>
      </c>
      <c r="AE2723">
        <v>0.46603891253471402</v>
      </c>
      <c r="AF2723">
        <v>418.88274706867702</v>
      </c>
      <c r="AG2723">
        <f>IFERROR(AH2723*0.1, "N/A")</f>
        <v>7.8000000000000007</v>
      </c>
      <c r="AH2723">
        <v>78</v>
      </c>
      <c r="AI2723">
        <v>232.44187068459999</v>
      </c>
      <c r="AJ2723">
        <v>52.852596314907899</v>
      </c>
      <c r="AK2723">
        <v>24.9447236180904</v>
      </c>
    </row>
    <row r="2724" spans="1:37" x14ac:dyDescent="0.3">
      <c r="A2724">
        <v>2723</v>
      </c>
      <c r="B2724">
        <v>0.9</v>
      </c>
      <c r="C2724">
        <v>33.923698000000002</v>
      </c>
      <c r="D2724">
        <v>14.412100000000001</v>
      </c>
      <c r="E2724" t="s">
        <v>4714</v>
      </c>
      <c r="F2724" t="s">
        <v>4716</v>
      </c>
      <c r="G2724" t="s">
        <v>39</v>
      </c>
      <c r="H2724">
        <v>1989</v>
      </c>
      <c r="I2724">
        <v>28.399999618530298</v>
      </c>
      <c r="J2724">
        <v>16.899999618530298</v>
      </c>
      <c r="K2724">
        <v>63</v>
      </c>
      <c r="L2724">
        <v>26.299999237060501</v>
      </c>
      <c r="M2724">
        <v>41.200000762939503</v>
      </c>
      <c r="N2724">
        <v>14.5</v>
      </c>
      <c r="O2724">
        <v>26.700000762939499</v>
      </c>
      <c r="P2724">
        <v>28.399999618530298</v>
      </c>
      <c r="Q2724">
        <v>25.899999618530298</v>
      </c>
      <c r="R2724">
        <v>31.799999237060501</v>
      </c>
      <c r="S2724">
        <v>24.700000762939499</v>
      </c>
      <c r="T2724">
        <v>368</v>
      </c>
      <c r="U2724">
        <v>132</v>
      </c>
      <c r="V2724">
        <v>0</v>
      </c>
      <c r="W2724">
        <v>141</v>
      </c>
      <c r="X2724">
        <v>297</v>
      </c>
      <c r="Y2724">
        <v>0</v>
      </c>
      <c r="Z2724">
        <v>55</v>
      </c>
      <c r="AA2724">
        <v>0</v>
      </c>
      <c r="AB2724">
        <v>6.0305188049623003E-2</v>
      </c>
      <c r="AC2724">
        <v>0.75137965259309103</v>
      </c>
      <c r="AD2724">
        <v>1.87842280101936</v>
      </c>
      <c r="AE2724">
        <v>0.46603891253471402</v>
      </c>
      <c r="AF2724">
        <v>418.88274706867702</v>
      </c>
      <c r="AG2724">
        <f>IFERROR(AH2724*0.1, "N/A")</f>
        <v>7.8000000000000007</v>
      </c>
      <c r="AH2724">
        <v>78</v>
      </c>
      <c r="AI2724">
        <v>232.44187068459999</v>
      </c>
      <c r="AJ2724">
        <v>52.852596314907899</v>
      </c>
      <c r="AK2724">
        <v>24.9447236180904</v>
      </c>
    </row>
    <row r="2725" spans="1:37" x14ac:dyDescent="0.3">
      <c r="A2725">
        <v>2724</v>
      </c>
      <c r="B2725">
        <v>12.6</v>
      </c>
      <c r="C2725">
        <v>33.878399000000002</v>
      </c>
      <c r="D2725">
        <v>14.4153</v>
      </c>
      <c r="E2725" t="s">
        <v>4717</v>
      </c>
      <c r="F2725" t="s">
        <v>4718</v>
      </c>
      <c r="G2725" t="s">
        <v>37</v>
      </c>
      <c r="H2725">
        <v>1989</v>
      </c>
      <c r="I2725">
        <v>28.399999618530298</v>
      </c>
      <c r="J2725">
        <v>16.899999618530298</v>
      </c>
      <c r="K2725">
        <v>63</v>
      </c>
      <c r="L2725">
        <v>26.350000381469702</v>
      </c>
      <c r="M2725">
        <v>41.200000762939503</v>
      </c>
      <c r="N2725">
        <v>14.3999996185303</v>
      </c>
      <c r="O2725">
        <v>26.799999237060501</v>
      </c>
      <c r="P2725">
        <v>28.399999618530298</v>
      </c>
      <c r="Q2725">
        <v>25.899999618530298</v>
      </c>
      <c r="R2725">
        <v>31.799999237060501</v>
      </c>
      <c r="S2725">
        <v>24.600000381469702</v>
      </c>
      <c r="T2725">
        <v>365</v>
      </c>
      <c r="U2725">
        <v>131</v>
      </c>
      <c r="V2725">
        <v>0</v>
      </c>
      <c r="W2725">
        <v>140</v>
      </c>
      <c r="X2725">
        <v>295</v>
      </c>
      <c r="Y2725">
        <v>0</v>
      </c>
      <c r="Z2725">
        <v>54</v>
      </c>
      <c r="AA2725">
        <v>0</v>
      </c>
      <c r="AB2725">
        <v>0.853376452554792</v>
      </c>
      <c r="AC2725">
        <v>4.4768973706828002E-2</v>
      </c>
      <c r="AD2725">
        <v>0.51226720683926696</v>
      </c>
      <c r="AE2725">
        <v>0.612673580646515</v>
      </c>
      <c r="AF2725">
        <v>418.84563758389299</v>
      </c>
      <c r="AG2725">
        <f>IFERROR(AH2725*0.1, "N/A")</f>
        <v>7.9031879194630905</v>
      </c>
      <c r="AH2725">
        <v>79.031879194630903</v>
      </c>
      <c r="AI2725">
        <v>115.912208352313</v>
      </c>
      <c r="AJ2725">
        <v>45.9362416107383</v>
      </c>
      <c r="AK2725">
        <v>33</v>
      </c>
    </row>
    <row r="2726" spans="1:37" x14ac:dyDescent="0.3">
      <c r="A2726">
        <v>2725</v>
      </c>
      <c r="B2726">
        <v>19.5</v>
      </c>
      <c r="C2726">
        <v>33.878399000000002</v>
      </c>
      <c r="D2726">
        <v>14.4153</v>
      </c>
      <c r="E2726" t="s">
        <v>4717</v>
      </c>
      <c r="F2726" t="s">
        <v>4719</v>
      </c>
      <c r="G2726" t="s">
        <v>39</v>
      </c>
      <c r="H2726">
        <v>1989</v>
      </c>
      <c r="I2726">
        <v>28.399999618530298</v>
      </c>
      <c r="J2726">
        <v>16.899999618530298</v>
      </c>
      <c r="K2726">
        <v>63</v>
      </c>
      <c r="L2726">
        <v>26.350000381469702</v>
      </c>
      <c r="M2726">
        <v>41.200000762939503</v>
      </c>
      <c r="N2726">
        <v>14.3999996185303</v>
      </c>
      <c r="O2726">
        <v>26.799999237060501</v>
      </c>
      <c r="P2726">
        <v>28.399999618530298</v>
      </c>
      <c r="Q2726">
        <v>25.899999618530298</v>
      </c>
      <c r="R2726">
        <v>31.799999237060501</v>
      </c>
      <c r="S2726">
        <v>24.600000381469702</v>
      </c>
      <c r="T2726">
        <v>365</v>
      </c>
      <c r="U2726">
        <v>131</v>
      </c>
      <c r="V2726">
        <v>0</v>
      </c>
      <c r="W2726">
        <v>140</v>
      </c>
      <c r="X2726">
        <v>295</v>
      </c>
      <c r="Y2726">
        <v>0</v>
      </c>
      <c r="Z2726">
        <v>54</v>
      </c>
      <c r="AA2726">
        <v>0</v>
      </c>
      <c r="AB2726">
        <v>0.853376452554792</v>
      </c>
      <c r="AC2726">
        <v>4.4768973706828002E-2</v>
      </c>
      <c r="AD2726">
        <v>0.51226720683926696</v>
      </c>
      <c r="AE2726">
        <v>0.612673580646515</v>
      </c>
      <c r="AF2726">
        <v>418.84563758389299</v>
      </c>
      <c r="AG2726">
        <f>IFERROR(AH2726*0.1, "N/A")</f>
        <v>7.9031879194630905</v>
      </c>
      <c r="AH2726">
        <v>79.031879194630903</v>
      </c>
      <c r="AI2726">
        <v>115.912208352313</v>
      </c>
      <c r="AJ2726">
        <v>45.9362416107383</v>
      </c>
      <c r="AK2726">
        <v>33</v>
      </c>
    </row>
    <row r="2727" spans="1:37" x14ac:dyDescent="0.3">
      <c r="A2727">
        <v>2726</v>
      </c>
      <c r="B2727">
        <v>16.700001</v>
      </c>
      <c r="C2727">
        <v>33.400500999999998</v>
      </c>
      <c r="D2727">
        <v>14.4193</v>
      </c>
      <c r="E2727" t="s">
        <v>4720</v>
      </c>
      <c r="F2727" t="s">
        <v>4721</v>
      </c>
      <c r="G2727" t="s">
        <v>37</v>
      </c>
      <c r="H2727">
        <v>1989</v>
      </c>
      <c r="I2727">
        <v>28.399999618530298</v>
      </c>
      <c r="J2727">
        <v>16.799999237060501</v>
      </c>
      <c r="K2727">
        <v>61</v>
      </c>
      <c r="L2727">
        <v>28.697676043047998</v>
      </c>
      <c r="M2727">
        <v>41.5</v>
      </c>
      <c r="N2727">
        <v>14</v>
      </c>
      <c r="O2727">
        <v>27.5</v>
      </c>
      <c r="P2727">
        <v>28.728930087392499</v>
      </c>
      <c r="Q2727">
        <v>25.600000381469702</v>
      </c>
      <c r="R2727">
        <v>32.071069149667998</v>
      </c>
      <c r="S2727">
        <v>24.299999237060501</v>
      </c>
      <c r="T2727">
        <v>320.71070234113699</v>
      </c>
      <c r="U2727">
        <v>124</v>
      </c>
      <c r="V2727">
        <v>0</v>
      </c>
      <c r="W2727">
        <v>150</v>
      </c>
      <c r="X2727">
        <v>271</v>
      </c>
      <c r="Y2727">
        <v>0</v>
      </c>
      <c r="Z2727">
        <v>38.7107023411371</v>
      </c>
      <c r="AA2727">
        <v>0</v>
      </c>
      <c r="AB2727">
        <v>0.61656347166335701</v>
      </c>
      <c r="AC2727">
        <v>1.199620469383E-2</v>
      </c>
      <c r="AD2727">
        <v>0.51141564363619996</v>
      </c>
      <c r="AE2727">
        <v>0.78486919403076205</v>
      </c>
      <c r="AF2727">
        <v>409.11705685618699</v>
      </c>
      <c r="AG2727">
        <f>IFERROR(AH2727*0.1, "N/A")</f>
        <v>7.6558528428093702</v>
      </c>
      <c r="AH2727">
        <v>76.558528428093695</v>
      </c>
      <c r="AI2727">
        <v>208.813415329592</v>
      </c>
      <c r="AJ2727">
        <v>52.749163879598697</v>
      </c>
      <c r="AK2727">
        <v>25.520066889632101</v>
      </c>
    </row>
    <row r="2728" spans="1:37" x14ac:dyDescent="0.3">
      <c r="A2728">
        <v>2727</v>
      </c>
      <c r="B2728">
        <v>0</v>
      </c>
      <c r="C2728">
        <v>33.400500999999998</v>
      </c>
      <c r="D2728">
        <v>14.4193</v>
      </c>
      <c r="E2728" t="s">
        <v>4720</v>
      </c>
      <c r="F2728" t="s">
        <v>4722</v>
      </c>
      <c r="G2728" t="s">
        <v>39</v>
      </c>
      <c r="H2728">
        <v>1989</v>
      </c>
      <c r="I2728">
        <v>28.399999618530298</v>
      </c>
      <c r="J2728">
        <v>16.799999237060501</v>
      </c>
      <c r="K2728">
        <v>61</v>
      </c>
      <c r="L2728">
        <v>28.697676043047998</v>
      </c>
      <c r="M2728">
        <v>41.5</v>
      </c>
      <c r="N2728">
        <v>14</v>
      </c>
      <c r="O2728">
        <v>27.5</v>
      </c>
      <c r="P2728">
        <v>28.728930087392499</v>
      </c>
      <c r="Q2728">
        <v>25.600000381469702</v>
      </c>
      <c r="R2728">
        <v>32.071069149667998</v>
      </c>
      <c r="S2728">
        <v>24.299999237060501</v>
      </c>
      <c r="T2728">
        <v>320.71070234113699</v>
      </c>
      <c r="U2728">
        <v>124</v>
      </c>
      <c r="V2728">
        <v>0</v>
      </c>
      <c r="W2728">
        <v>150</v>
      </c>
      <c r="X2728">
        <v>271</v>
      </c>
      <c r="Y2728">
        <v>0</v>
      </c>
      <c r="Z2728">
        <v>38.7107023411371</v>
      </c>
      <c r="AA2728">
        <v>0</v>
      </c>
      <c r="AB2728">
        <v>0.61656347166335701</v>
      </c>
      <c r="AC2728">
        <v>1.199620469383E-2</v>
      </c>
      <c r="AD2728">
        <v>0.51141564363619996</v>
      </c>
      <c r="AE2728">
        <v>0.78486919403076205</v>
      </c>
      <c r="AF2728">
        <v>409.11705685618699</v>
      </c>
      <c r="AG2728">
        <f>IFERROR(AH2728*0.1, "N/A")</f>
        <v>7.6558528428093702</v>
      </c>
      <c r="AH2728">
        <v>76.558528428093695</v>
      </c>
      <c r="AI2728">
        <v>208.813415329592</v>
      </c>
      <c r="AJ2728">
        <v>52.749163879598697</v>
      </c>
      <c r="AK2728">
        <v>25.520066889632101</v>
      </c>
    </row>
    <row r="2729" spans="1:37" x14ac:dyDescent="0.3">
      <c r="A2729">
        <v>2728</v>
      </c>
      <c r="B2729">
        <v>12.3</v>
      </c>
      <c r="C2729">
        <v>33.779099000000002</v>
      </c>
      <c r="D2729">
        <v>14.436500000000001</v>
      </c>
      <c r="E2729" t="s">
        <v>4723</v>
      </c>
      <c r="F2729" t="s">
        <v>4724</v>
      </c>
      <c r="G2729" t="s">
        <v>37</v>
      </c>
      <c r="H2729">
        <v>1989</v>
      </c>
      <c r="I2729">
        <v>28.399999618530298</v>
      </c>
      <c r="J2729">
        <v>16.899999618530298</v>
      </c>
      <c r="K2729">
        <v>62</v>
      </c>
      <c r="L2729">
        <v>26.9899997711182</v>
      </c>
      <c r="M2729">
        <v>41.299999237060497</v>
      </c>
      <c r="N2729">
        <v>14.300000190734901</v>
      </c>
      <c r="O2729">
        <v>27</v>
      </c>
      <c r="P2729">
        <v>28.399999618530298</v>
      </c>
      <c r="Q2729">
        <v>25.799999237060501</v>
      </c>
      <c r="R2729">
        <v>31.799999237060501</v>
      </c>
      <c r="S2729">
        <v>24.5</v>
      </c>
      <c r="T2729">
        <v>356</v>
      </c>
      <c r="U2729">
        <v>127</v>
      </c>
      <c r="V2729">
        <v>0</v>
      </c>
      <c r="W2729">
        <v>142</v>
      </c>
      <c r="X2729">
        <v>289</v>
      </c>
      <c r="Y2729">
        <v>0</v>
      </c>
      <c r="Z2729">
        <v>51</v>
      </c>
      <c r="AA2729">
        <v>0</v>
      </c>
      <c r="AB2729">
        <v>1.4944377346873701</v>
      </c>
      <c r="AC2729">
        <v>2.8991137703359999E-2</v>
      </c>
      <c r="AD2729">
        <v>0.61451145203827995</v>
      </c>
      <c r="AE2729">
        <v>0.513128042221069</v>
      </c>
      <c r="AF2729">
        <v>414.03367003366998</v>
      </c>
      <c r="AG2729">
        <f>IFERROR(AH2729*0.1, "N/A")</f>
        <v>7.65117845117845</v>
      </c>
      <c r="AH2729">
        <v>76.511784511784498</v>
      </c>
      <c r="AI2729">
        <v>167.82317398533701</v>
      </c>
      <c r="AJ2729">
        <v>46.9023569023569</v>
      </c>
      <c r="AK2729">
        <v>30.252525252525299</v>
      </c>
    </row>
    <row r="2730" spans="1:37" x14ac:dyDescent="0.3">
      <c r="A2730">
        <v>2729</v>
      </c>
      <c r="B2730">
        <v>1.8</v>
      </c>
      <c r="C2730">
        <v>33.779099000000002</v>
      </c>
      <c r="D2730">
        <v>14.436500000000001</v>
      </c>
      <c r="E2730" t="s">
        <v>4723</v>
      </c>
      <c r="F2730" t="s">
        <v>4725</v>
      </c>
      <c r="G2730" t="s">
        <v>39</v>
      </c>
      <c r="H2730">
        <v>1989</v>
      </c>
      <c r="I2730">
        <v>28.399999618530298</v>
      </c>
      <c r="J2730">
        <v>16.899999618530298</v>
      </c>
      <c r="K2730">
        <v>62</v>
      </c>
      <c r="L2730">
        <v>26.9899997711182</v>
      </c>
      <c r="M2730">
        <v>41.299999237060497</v>
      </c>
      <c r="N2730">
        <v>14.300000190734901</v>
      </c>
      <c r="O2730">
        <v>27</v>
      </c>
      <c r="P2730">
        <v>28.399999618530298</v>
      </c>
      <c r="Q2730">
        <v>25.799999237060501</v>
      </c>
      <c r="R2730">
        <v>31.799999237060501</v>
      </c>
      <c r="S2730">
        <v>24.5</v>
      </c>
      <c r="T2730">
        <v>356</v>
      </c>
      <c r="U2730">
        <v>127</v>
      </c>
      <c r="V2730">
        <v>0</v>
      </c>
      <c r="W2730">
        <v>142</v>
      </c>
      <c r="X2730">
        <v>289</v>
      </c>
      <c r="Y2730">
        <v>0</v>
      </c>
      <c r="Z2730">
        <v>51</v>
      </c>
      <c r="AA2730">
        <v>0</v>
      </c>
      <c r="AB2730">
        <v>1.4944377346873701</v>
      </c>
      <c r="AC2730">
        <v>2.8991137703359999E-2</v>
      </c>
      <c r="AD2730">
        <v>0.61451145203827995</v>
      </c>
      <c r="AE2730">
        <v>0.513128042221069</v>
      </c>
      <c r="AF2730">
        <v>414.03367003366998</v>
      </c>
      <c r="AG2730">
        <f>IFERROR(AH2730*0.1, "N/A")</f>
        <v>7.65117845117845</v>
      </c>
      <c r="AH2730">
        <v>76.511784511784498</v>
      </c>
      <c r="AI2730">
        <v>167.82317398533701</v>
      </c>
      <c r="AJ2730">
        <v>46.9023569023569</v>
      </c>
      <c r="AK2730">
        <v>30.252525252525299</v>
      </c>
    </row>
    <row r="2731" spans="1:37" x14ac:dyDescent="0.3">
      <c r="A2731">
        <v>2730</v>
      </c>
      <c r="B2731">
        <v>89.300003000000004</v>
      </c>
      <c r="C2731">
        <v>32.698898</v>
      </c>
      <c r="D2731">
        <v>14.4421</v>
      </c>
      <c r="E2731" t="s">
        <v>4726</v>
      </c>
      <c r="F2731" t="s">
        <v>4727</v>
      </c>
      <c r="G2731" t="s">
        <v>37</v>
      </c>
      <c r="H2731">
        <v>1989</v>
      </c>
      <c r="I2731">
        <v>28.700000762939499</v>
      </c>
      <c r="J2731">
        <v>15.800000190734901</v>
      </c>
      <c r="K2731">
        <v>60</v>
      </c>
      <c r="L2731">
        <v>29.087454078584901</v>
      </c>
      <c r="M2731">
        <v>41.200335766202798</v>
      </c>
      <c r="N2731">
        <v>15.1000003814697</v>
      </c>
      <c r="O2731">
        <v>26.100335391122901</v>
      </c>
      <c r="P2731">
        <v>29.399664608877099</v>
      </c>
      <c r="Q2731">
        <v>25.600000381469702</v>
      </c>
      <c r="R2731">
        <v>32.099998474121101</v>
      </c>
      <c r="S2731">
        <v>24.302846819112499</v>
      </c>
      <c r="T2731">
        <v>241</v>
      </c>
      <c r="U2731">
        <v>98</v>
      </c>
      <c r="V2731">
        <v>0</v>
      </c>
      <c r="W2731">
        <v>154</v>
      </c>
      <c r="X2731">
        <v>213</v>
      </c>
      <c r="Y2731">
        <v>0</v>
      </c>
      <c r="Z2731">
        <v>23</v>
      </c>
      <c r="AA2731">
        <v>0</v>
      </c>
      <c r="AB2731">
        <v>0.71575856168865204</v>
      </c>
      <c r="AC2731">
        <v>8.2829220507490003E-3</v>
      </c>
      <c r="AD2731">
        <v>0.774056157973943</v>
      </c>
      <c r="AE2731">
        <v>0.51403759711950903</v>
      </c>
      <c r="AF2731">
        <v>398.83417085427101</v>
      </c>
      <c r="AG2731">
        <f>IFERROR(AH2731*0.1, "N/A")</f>
        <v>8.7971524288107208</v>
      </c>
      <c r="AH2731">
        <v>87.971524288107204</v>
      </c>
      <c r="AI2731">
        <v>187.948091133156</v>
      </c>
      <c r="AJ2731">
        <v>40.028475711892803</v>
      </c>
      <c r="AK2731">
        <v>35</v>
      </c>
    </row>
    <row r="2732" spans="1:37" x14ac:dyDescent="0.3">
      <c r="A2732">
        <v>2731</v>
      </c>
      <c r="B2732">
        <v>50.5</v>
      </c>
      <c r="C2732">
        <v>32.698898</v>
      </c>
      <c r="D2732">
        <v>14.4421</v>
      </c>
      <c r="E2732" t="s">
        <v>4726</v>
      </c>
      <c r="F2732" t="s">
        <v>4728</v>
      </c>
      <c r="G2732" t="s">
        <v>39</v>
      </c>
      <c r="H2732">
        <v>1989</v>
      </c>
      <c r="I2732">
        <v>28.700000762939499</v>
      </c>
      <c r="J2732">
        <v>15.800000190734901</v>
      </c>
      <c r="K2732">
        <v>60</v>
      </c>
      <c r="L2732">
        <v>29.087454078584901</v>
      </c>
      <c r="M2732">
        <v>41.200335766202798</v>
      </c>
      <c r="N2732">
        <v>15.1000003814697</v>
      </c>
      <c r="O2732">
        <v>26.100335391122901</v>
      </c>
      <c r="P2732">
        <v>29.399664608877099</v>
      </c>
      <c r="Q2732">
        <v>25.600000381469702</v>
      </c>
      <c r="R2732">
        <v>32.099998474121101</v>
      </c>
      <c r="S2732">
        <v>24.302846819112499</v>
      </c>
      <c r="T2732">
        <v>241</v>
      </c>
      <c r="U2732">
        <v>98</v>
      </c>
      <c r="V2732">
        <v>0</v>
      </c>
      <c r="W2732">
        <v>154</v>
      </c>
      <c r="X2732">
        <v>213</v>
      </c>
      <c r="Y2732">
        <v>0</v>
      </c>
      <c r="Z2732">
        <v>23</v>
      </c>
      <c r="AA2732">
        <v>0</v>
      </c>
      <c r="AB2732">
        <v>0.71575856168865204</v>
      </c>
      <c r="AC2732">
        <v>8.2829220507490003E-3</v>
      </c>
      <c r="AD2732">
        <v>0.774056157973943</v>
      </c>
      <c r="AE2732">
        <v>0.51403759711950903</v>
      </c>
      <c r="AF2732">
        <v>398.83417085427101</v>
      </c>
      <c r="AG2732">
        <f>IFERROR(AH2732*0.1, "N/A")</f>
        <v>8.7971524288107208</v>
      </c>
      <c r="AH2732">
        <v>87.971524288107204</v>
      </c>
      <c r="AI2732">
        <v>187.948091133156</v>
      </c>
      <c r="AJ2732">
        <v>40.028475711892803</v>
      </c>
      <c r="AK2732">
        <v>35</v>
      </c>
    </row>
    <row r="2733" spans="1:37" x14ac:dyDescent="0.3">
      <c r="A2733">
        <v>2732</v>
      </c>
      <c r="B2733">
        <v>13.5</v>
      </c>
      <c r="C2733">
        <v>33.887000999999998</v>
      </c>
      <c r="D2733">
        <v>14.448700000000001</v>
      </c>
      <c r="E2733" t="s">
        <v>4729</v>
      </c>
      <c r="F2733" t="s">
        <v>4730</v>
      </c>
      <c r="G2733" t="s">
        <v>37</v>
      </c>
      <c r="H2733">
        <v>1989</v>
      </c>
      <c r="I2733">
        <v>28.399999618530298</v>
      </c>
      <c r="J2733">
        <v>16.899999618530298</v>
      </c>
      <c r="K2733">
        <v>63</v>
      </c>
      <c r="L2733">
        <v>26.180000305175799</v>
      </c>
      <c r="M2733">
        <v>41.200000762939503</v>
      </c>
      <c r="N2733">
        <v>14.3999996185303</v>
      </c>
      <c r="O2733">
        <v>26.799999237060501</v>
      </c>
      <c r="P2733">
        <v>28.5</v>
      </c>
      <c r="Q2733">
        <v>25.899999618530298</v>
      </c>
      <c r="R2733">
        <v>31.799999237060501</v>
      </c>
      <c r="S2733">
        <v>24.600000381469702</v>
      </c>
      <c r="T2733">
        <v>363</v>
      </c>
      <c r="U2733">
        <v>130</v>
      </c>
      <c r="V2733">
        <v>0</v>
      </c>
      <c r="W2733">
        <v>139</v>
      </c>
      <c r="X2733">
        <v>293</v>
      </c>
      <c r="Y2733">
        <v>0</v>
      </c>
      <c r="Z2733">
        <v>54</v>
      </c>
      <c r="AA2733">
        <v>0</v>
      </c>
      <c r="AB2733">
        <v>0.228961171416981</v>
      </c>
      <c r="AC2733">
        <v>1.4359386555127E-2</v>
      </c>
      <c r="AD2733">
        <v>1.1107896764074701</v>
      </c>
      <c r="AE2733">
        <v>0.56658816337585405</v>
      </c>
      <c r="AF2733">
        <v>419.94137353433803</v>
      </c>
      <c r="AG2733">
        <f>IFERROR(AH2733*0.1, "N/A")</f>
        <v>7.9</v>
      </c>
      <c r="AH2733">
        <v>79</v>
      </c>
      <c r="AI2733">
        <v>33.9370263130022</v>
      </c>
      <c r="AJ2733">
        <v>45.321608040200999</v>
      </c>
      <c r="AK2733">
        <v>30.6884422110553</v>
      </c>
    </row>
    <row r="2734" spans="1:37" x14ac:dyDescent="0.3">
      <c r="A2734">
        <v>2733</v>
      </c>
      <c r="B2734">
        <v>1</v>
      </c>
      <c r="C2734">
        <v>33.887000999999998</v>
      </c>
      <c r="D2734">
        <v>14.448700000000001</v>
      </c>
      <c r="E2734" t="s">
        <v>4729</v>
      </c>
      <c r="F2734" t="s">
        <v>4731</v>
      </c>
      <c r="G2734" t="s">
        <v>39</v>
      </c>
      <c r="H2734">
        <v>1989</v>
      </c>
      <c r="I2734">
        <v>28.399999618530298</v>
      </c>
      <c r="J2734">
        <v>16.899999618530298</v>
      </c>
      <c r="K2734">
        <v>63</v>
      </c>
      <c r="L2734">
        <v>26.180000305175799</v>
      </c>
      <c r="M2734">
        <v>41.200000762939503</v>
      </c>
      <c r="N2734">
        <v>14.3999996185303</v>
      </c>
      <c r="O2734">
        <v>26.799999237060501</v>
      </c>
      <c r="P2734">
        <v>28.5</v>
      </c>
      <c r="Q2734">
        <v>25.899999618530298</v>
      </c>
      <c r="R2734">
        <v>31.799999237060501</v>
      </c>
      <c r="S2734">
        <v>24.600000381469702</v>
      </c>
      <c r="T2734">
        <v>363</v>
      </c>
      <c r="U2734">
        <v>130</v>
      </c>
      <c r="V2734">
        <v>0</v>
      </c>
      <c r="W2734">
        <v>139</v>
      </c>
      <c r="X2734">
        <v>293</v>
      </c>
      <c r="Y2734">
        <v>0</v>
      </c>
      <c r="Z2734">
        <v>54</v>
      </c>
      <c r="AA2734">
        <v>0</v>
      </c>
      <c r="AB2734">
        <v>0.228961171416981</v>
      </c>
      <c r="AC2734">
        <v>1.4359386555127E-2</v>
      </c>
      <c r="AD2734">
        <v>1.1107896764074701</v>
      </c>
      <c r="AE2734">
        <v>0.56658816337585405</v>
      </c>
      <c r="AF2734">
        <v>419.94137353433803</v>
      </c>
      <c r="AG2734">
        <f>IFERROR(AH2734*0.1, "N/A")</f>
        <v>7.9</v>
      </c>
      <c r="AH2734">
        <v>79</v>
      </c>
      <c r="AI2734">
        <v>33.9370263130022</v>
      </c>
      <c r="AJ2734">
        <v>45.321608040200999</v>
      </c>
      <c r="AK2734">
        <v>30.6884422110553</v>
      </c>
    </row>
    <row r="2735" spans="1:37" x14ac:dyDescent="0.3">
      <c r="A2735">
        <v>2734</v>
      </c>
      <c r="B2735">
        <v>96.599997999999999</v>
      </c>
      <c r="C2735">
        <v>32.910499999999999</v>
      </c>
      <c r="D2735">
        <v>14.4518</v>
      </c>
      <c r="E2735" t="s">
        <v>4732</v>
      </c>
      <c r="F2735" t="s">
        <v>4733</v>
      </c>
      <c r="G2735" t="s">
        <v>37</v>
      </c>
      <c r="H2735">
        <v>1989</v>
      </c>
      <c r="I2735">
        <v>28.600000381469702</v>
      </c>
      <c r="J2735">
        <v>16.200000762939499</v>
      </c>
      <c r="K2735">
        <v>60</v>
      </c>
      <c r="L2735">
        <v>29.069999694824201</v>
      </c>
      <c r="M2735">
        <v>41.400001525878899</v>
      </c>
      <c r="N2735">
        <v>14.6000003814697</v>
      </c>
      <c r="O2735">
        <v>26.799999237060501</v>
      </c>
      <c r="P2735">
        <v>29.200000762939499</v>
      </c>
      <c r="Q2735">
        <v>25.5</v>
      </c>
      <c r="R2735">
        <v>32.099998474121101</v>
      </c>
      <c r="S2735">
        <v>24.299999237060501</v>
      </c>
      <c r="T2735">
        <v>263</v>
      </c>
      <c r="U2735">
        <v>107</v>
      </c>
      <c r="V2735">
        <v>0</v>
      </c>
      <c r="W2735">
        <v>160</v>
      </c>
      <c r="X2735">
        <v>232</v>
      </c>
      <c r="Y2735">
        <v>0</v>
      </c>
      <c r="Z2735">
        <v>26</v>
      </c>
      <c r="AA2735">
        <v>0</v>
      </c>
      <c r="AB2735">
        <v>0.91932121725643401</v>
      </c>
      <c r="AC2735">
        <v>8.7001607369849993E-3</v>
      </c>
      <c r="AD2735">
        <v>1.0681332401868699</v>
      </c>
      <c r="AE2735">
        <v>0.75852678122640704</v>
      </c>
      <c r="AF2735">
        <v>402.99663865546199</v>
      </c>
      <c r="AG2735">
        <f>IFERROR(AH2735*0.1, "N/A")</f>
        <v>7.9734453781512604</v>
      </c>
      <c r="AH2735">
        <v>79.734453781512599</v>
      </c>
      <c r="AI2735">
        <v>211.07640988646401</v>
      </c>
      <c r="AJ2735">
        <v>45.235294117647101</v>
      </c>
      <c r="AK2735">
        <v>32.223529411764702</v>
      </c>
    </row>
    <row r="2736" spans="1:37" x14ac:dyDescent="0.3">
      <c r="A2736">
        <v>2735</v>
      </c>
      <c r="B2736">
        <v>64.400002000000001</v>
      </c>
      <c r="C2736">
        <v>32.910499999999999</v>
      </c>
      <c r="D2736">
        <v>14.4518</v>
      </c>
      <c r="E2736" t="s">
        <v>4732</v>
      </c>
      <c r="F2736" t="s">
        <v>4734</v>
      </c>
      <c r="G2736" t="s">
        <v>39</v>
      </c>
      <c r="H2736">
        <v>1989</v>
      </c>
      <c r="I2736">
        <v>28.600000381469702</v>
      </c>
      <c r="J2736">
        <v>16.200000762939499</v>
      </c>
      <c r="K2736">
        <v>60</v>
      </c>
      <c r="L2736">
        <v>29.069999694824201</v>
      </c>
      <c r="M2736">
        <v>41.400001525878899</v>
      </c>
      <c r="N2736">
        <v>14.6000003814697</v>
      </c>
      <c r="O2736">
        <v>26.799999237060501</v>
      </c>
      <c r="P2736">
        <v>29.200000762939499</v>
      </c>
      <c r="Q2736">
        <v>25.5</v>
      </c>
      <c r="R2736">
        <v>32.099998474121101</v>
      </c>
      <c r="S2736">
        <v>24.299999237060501</v>
      </c>
      <c r="T2736">
        <v>263</v>
      </c>
      <c r="U2736">
        <v>107</v>
      </c>
      <c r="V2736">
        <v>0</v>
      </c>
      <c r="W2736">
        <v>160</v>
      </c>
      <c r="X2736">
        <v>232</v>
      </c>
      <c r="Y2736">
        <v>0</v>
      </c>
      <c r="Z2736">
        <v>26</v>
      </c>
      <c r="AA2736">
        <v>0</v>
      </c>
      <c r="AB2736">
        <v>0.91932121725643401</v>
      </c>
      <c r="AC2736">
        <v>8.7001607369849993E-3</v>
      </c>
      <c r="AD2736">
        <v>1.0681332401868699</v>
      </c>
      <c r="AE2736">
        <v>0.75852678122640704</v>
      </c>
      <c r="AF2736">
        <v>402.99663865546199</v>
      </c>
      <c r="AG2736">
        <f>IFERROR(AH2736*0.1, "N/A")</f>
        <v>7.9734453781512604</v>
      </c>
      <c r="AH2736">
        <v>79.734453781512599</v>
      </c>
      <c r="AI2736">
        <v>211.07640988646401</v>
      </c>
      <c r="AJ2736">
        <v>45.235294117647101</v>
      </c>
      <c r="AK2736">
        <v>32.223529411764702</v>
      </c>
    </row>
    <row r="2737" spans="1:37" x14ac:dyDescent="0.3">
      <c r="A2737">
        <v>2736</v>
      </c>
      <c r="B2737">
        <v>9.4</v>
      </c>
      <c r="C2737">
        <v>33.655399000000003</v>
      </c>
      <c r="D2737">
        <v>14.482200000000001</v>
      </c>
      <c r="E2737" t="s">
        <v>4735</v>
      </c>
      <c r="F2737" t="s">
        <v>4736</v>
      </c>
      <c r="G2737" t="s">
        <v>37</v>
      </c>
      <c r="H2737">
        <v>1989</v>
      </c>
      <c r="I2737">
        <v>28.299999237060501</v>
      </c>
      <c r="J2737">
        <v>16.899999618530298</v>
      </c>
      <c r="K2737">
        <v>61</v>
      </c>
      <c r="L2737">
        <v>27.920000076293899</v>
      </c>
      <c r="M2737">
        <v>41.299999237060497</v>
      </c>
      <c r="N2737">
        <v>14</v>
      </c>
      <c r="O2737">
        <v>27.299999237060501</v>
      </c>
      <c r="P2737">
        <v>28.5</v>
      </c>
      <c r="Q2737">
        <v>25.5</v>
      </c>
      <c r="R2737">
        <v>31.799999237060501</v>
      </c>
      <c r="S2737">
        <v>24.200000762939499</v>
      </c>
      <c r="T2737">
        <v>342</v>
      </c>
      <c r="U2737">
        <v>123</v>
      </c>
      <c r="V2737">
        <v>0</v>
      </c>
      <c r="W2737">
        <v>143</v>
      </c>
      <c r="X2737">
        <v>281</v>
      </c>
      <c r="Y2737">
        <v>0</v>
      </c>
      <c r="Z2737">
        <v>46</v>
      </c>
      <c r="AA2737">
        <v>0</v>
      </c>
      <c r="AB2737">
        <v>0.64657510984283395</v>
      </c>
      <c r="AC2737">
        <v>2.358197604916E-2</v>
      </c>
      <c r="AD2737">
        <v>1.1638646949475699</v>
      </c>
      <c r="AE2737">
        <v>0.65112417936325095</v>
      </c>
      <c r="AF2737">
        <v>410.01675041876098</v>
      </c>
      <c r="AG2737">
        <f>IFERROR(AH2737*0.1, "N/A")</f>
        <v>7.6819095477386901</v>
      </c>
      <c r="AH2737">
        <v>76.819095477386895</v>
      </c>
      <c r="AI2737">
        <v>275.72520469780602</v>
      </c>
      <c r="AJ2737">
        <v>52</v>
      </c>
      <c r="AK2737">
        <v>24.819095477386899</v>
      </c>
    </row>
    <row r="2738" spans="1:37" x14ac:dyDescent="0.3">
      <c r="A2738">
        <v>2737</v>
      </c>
      <c r="B2738">
        <v>0.2</v>
      </c>
      <c r="C2738">
        <v>33.655399000000003</v>
      </c>
      <c r="D2738">
        <v>14.482200000000001</v>
      </c>
      <c r="E2738" t="s">
        <v>4735</v>
      </c>
      <c r="F2738" t="s">
        <v>4737</v>
      </c>
      <c r="G2738" t="s">
        <v>39</v>
      </c>
      <c r="H2738">
        <v>1989</v>
      </c>
      <c r="I2738">
        <v>28.299999237060501</v>
      </c>
      <c r="J2738">
        <v>16.899999618530298</v>
      </c>
      <c r="K2738">
        <v>61</v>
      </c>
      <c r="L2738">
        <v>27.920000076293899</v>
      </c>
      <c r="M2738">
        <v>41.299999237060497</v>
      </c>
      <c r="N2738">
        <v>14</v>
      </c>
      <c r="O2738">
        <v>27.299999237060501</v>
      </c>
      <c r="P2738">
        <v>28.5</v>
      </c>
      <c r="Q2738">
        <v>25.5</v>
      </c>
      <c r="R2738">
        <v>31.799999237060501</v>
      </c>
      <c r="S2738">
        <v>24.200000762939499</v>
      </c>
      <c r="T2738">
        <v>342</v>
      </c>
      <c r="U2738">
        <v>123</v>
      </c>
      <c r="V2738">
        <v>0</v>
      </c>
      <c r="W2738">
        <v>143</v>
      </c>
      <c r="X2738">
        <v>281</v>
      </c>
      <c r="Y2738">
        <v>0</v>
      </c>
      <c r="Z2738">
        <v>46</v>
      </c>
      <c r="AA2738">
        <v>0</v>
      </c>
      <c r="AB2738">
        <v>0.64657510984283395</v>
      </c>
      <c r="AC2738">
        <v>2.358197604916E-2</v>
      </c>
      <c r="AD2738">
        <v>1.1638646949475699</v>
      </c>
      <c r="AE2738">
        <v>0.65112417936325095</v>
      </c>
      <c r="AF2738">
        <v>410.01675041876098</v>
      </c>
      <c r="AG2738">
        <f>IFERROR(AH2738*0.1, "N/A")</f>
        <v>7.6819095477386901</v>
      </c>
      <c r="AH2738">
        <v>76.819095477386895</v>
      </c>
      <c r="AI2738">
        <v>275.72520469780602</v>
      </c>
      <c r="AJ2738">
        <v>52</v>
      </c>
      <c r="AK2738">
        <v>24.819095477386899</v>
      </c>
    </row>
    <row r="2739" spans="1:37" x14ac:dyDescent="0.3">
      <c r="A2739">
        <v>2738</v>
      </c>
      <c r="B2739">
        <v>11.8</v>
      </c>
      <c r="C2739">
        <v>33.718601</v>
      </c>
      <c r="D2739">
        <v>14.5075</v>
      </c>
      <c r="E2739" t="s">
        <v>4738</v>
      </c>
      <c r="F2739" t="s">
        <v>4739</v>
      </c>
      <c r="G2739" t="s">
        <v>37</v>
      </c>
      <c r="H2739">
        <v>1989</v>
      </c>
      <c r="I2739">
        <v>28.299999237060501</v>
      </c>
      <c r="J2739">
        <v>17</v>
      </c>
      <c r="K2739">
        <v>62</v>
      </c>
      <c r="L2739">
        <v>27.719999313354499</v>
      </c>
      <c r="M2739">
        <v>41.299999237060497</v>
      </c>
      <c r="N2739">
        <v>14.1000003814697</v>
      </c>
      <c r="O2739">
        <v>27.200000762939499</v>
      </c>
      <c r="P2739">
        <v>28.600000381469702</v>
      </c>
      <c r="Q2739">
        <v>25.600000381469702</v>
      </c>
      <c r="R2739">
        <v>31.799999237060501</v>
      </c>
      <c r="S2739">
        <v>24.299999237060501</v>
      </c>
      <c r="T2739">
        <v>342</v>
      </c>
      <c r="U2739">
        <v>123</v>
      </c>
      <c r="V2739">
        <v>0</v>
      </c>
      <c r="W2739">
        <v>142</v>
      </c>
      <c r="X2739">
        <v>280</v>
      </c>
      <c r="Y2739">
        <v>0</v>
      </c>
      <c r="Z2739">
        <v>47</v>
      </c>
      <c r="AA2739">
        <v>0</v>
      </c>
      <c r="AB2739">
        <v>1.5926028164950301</v>
      </c>
      <c r="AC2739">
        <v>8.9914728150470007E-3</v>
      </c>
      <c r="AD2739">
        <v>0.85674463428230796</v>
      </c>
      <c r="AE2739">
        <v>0.60248714685440097</v>
      </c>
      <c r="AF2739">
        <v>414.13468013468002</v>
      </c>
      <c r="AG2739">
        <f>IFERROR(AH2739*0.1, "N/A")</f>
        <v>7.7</v>
      </c>
      <c r="AH2739">
        <v>77</v>
      </c>
      <c r="AI2739">
        <v>173.15063402708901</v>
      </c>
      <c r="AJ2739">
        <v>45.7912457912458</v>
      </c>
      <c r="AK2739">
        <v>31.297979797979799</v>
      </c>
    </row>
    <row r="2740" spans="1:37" x14ac:dyDescent="0.3">
      <c r="A2740">
        <v>2739</v>
      </c>
      <c r="B2740">
        <v>1.6</v>
      </c>
      <c r="C2740">
        <v>33.718601</v>
      </c>
      <c r="D2740">
        <v>14.5075</v>
      </c>
      <c r="E2740" t="s">
        <v>4738</v>
      </c>
      <c r="F2740" t="s">
        <v>4740</v>
      </c>
      <c r="G2740" t="s">
        <v>39</v>
      </c>
      <c r="H2740">
        <v>1989</v>
      </c>
      <c r="I2740">
        <v>28.299999237060501</v>
      </c>
      <c r="J2740">
        <v>17</v>
      </c>
      <c r="K2740">
        <v>62</v>
      </c>
      <c r="L2740">
        <v>27.719999313354499</v>
      </c>
      <c r="M2740">
        <v>41.299999237060497</v>
      </c>
      <c r="N2740">
        <v>14.1000003814697</v>
      </c>
      <c r="O2740">
        <v>27.200000762939499</v>
      </c>
      <c r="P2740">
        <v>28.600000381469702</v>
      </c>
      <c r="Q2740">
        <v>25.600000381469702</v>
      </c>
      <c r="R2740">
        <v>31.799999237060501</v>
      </c>
      <c r="S2740">
        <v>24.299999237060501</v>
      </c>
      <c r="T2740">
        <v>342</v>
      </c>
      <c r="U2740">
        <v>123</v>
      </c>
      <c r="V2740">
        <v>0</v>
      </c>
      <c r="W2740">
        <v>142</v>
      </c>
      <c r="X2740">
        <v>280</v>
      </c>
      <c r="Y2740">
        <v>0</v>
      </c>
      <c r="Z2740">
        <v>47</v>
      </c>
      <c r="AA2740">
        <v>0</v>
      </c>
      <c r="AB2740">
        <v>1.5926028164950301</v>
      </c>
      <c r="AC2740">
        <v>8.9914728150470007E-3</v>
      </c>
      <c r="AD2740">
        <v>0.85674463428230796</v>
      </c>
      <c r="AE2740">
        <v>0.60248714685440097</v>
      </c>
      <c r="AF2740">
        <v>414.13468013468002</v>
      </c>
      <c r="AG2740">
        <f>IFERROR(AH2740*0.1, "N/A")</f>
        <v>7.7</v>
      </c>
      <c r="AH2740">
        <v>77</v>
      </c>
      <c r="AI2740">
        <v>173.15063402708901</v>
      </c>
      <c r="AJ2740">
        <v>45.7912457912458</v>
      </c>
      <c r="AK2740">
        <v>31.297979797979799</v>
      </c>
    </row>
    <row r="2741" spans="1:37" x14ac:dyDescent="0.3">
      <c r="A2741">
        <v>2740</v>
      </c>
      <c r="B2741">
        <v>2.5</v>
      </c>
      <c r="C2741">
        <v>33.588200000000001</v>
      </c>
      <c r="D2741">
        <v>14.5083</v>
      </c>
      <c r="E2741" t="s">
        <v>4741</v>
      </c>
      <c r="F2741" t="s">
        <v>4742</v>
      </c>
      <c r="G2741" t="s">
        <v>37</v>
      </c>
      <c r="H2741">
        <v>1989</v>
      </c>
      <c r="I2741">
        <v>28.299999237060501</v>
      </c>
      <c r="J2741">
        <v>16.920875119039099</v>
      </c>
      <c r="K2741">
        <v>61.2087542087542</v>
      </c>
      <c r="L2741">
        <v>28.244174950853299</v>
      </c>
      <c r="M2741">
        <v>41.299999237060497</v>
      </c>
      <c r="N2741">
        <v>13.8999996185303</v>
      </c>
      <c r="O2741">
        <v>27.399999618530298</v>
      </c>
      <c r="P2741">
        <v>28.620875881978598</v>
      </c>
      <c r="Q2741">
        <v>25.5</v>
      </c>
      <c r="R2741">
        <v>31.799999237060501</v>
      </c>
      <c r="S2741">
        <v>24.200000762939499</v>
      </c>
      <c r="T2741">
        <v>336.16498316498303</v>
      </c>
      <c r="U2741">
        <v>121.791245791246</v>
      </c>
      <c r="V2741">
        <v>0</v>
      </c>
      <c r="W2741">
        <v>141.835016835017</v>
      </c>
      <c r="X2741">
        <v>276.58249158249203</v>
      </c>
      <c r="Y2741">
        <v>0</v>
      </c>
      <c r="Z2741">
        <v>44.582491582491599</v>
      </c>
      <c r="AA2741">
        <v>0</v>
      </c>
      <c r="AB2741">
        <v>1.7964740586200501</v>
      </c>
      <c r="AC2741">
        <v>137.624653866632</v>
      </c>
      <c r="AD2741">
        <v>1.06470510263234</v>
      </c>
      <c r="AE2741">
        <v>0.71185761690139804</v>
      </c>
      <c r="AF2741">
        <v>405.616161616162</v>
      </c>
      <c r="AG2741">
        <f>IFERROR(AH2741*0.1, "N/A")</f>
        <v>7.8097643097643106</v>
      </c>
      <c r="AH2741">
        <v>78.0976430976431</v>
      </c>
      <c r="AI2741">
        <v>254.48046836467699</v>
      </c>
      <c r="AJ2741">
        <v>45.9023569023569</v>
      </c>
      <c r="AK2741">
        <v>31.195286195286201</v>
      </c>
    </row>
    <row r="2742" spans="1:37" x14ac:dyDescent="0.3">
      <c r="A2742">
        <v>2741</v>
      </c>
      <c r="B2742">
        <v>0</v>
      </c>
      <c r="C2742">
        <v>33.588200000000001</v>
      </c>
      <c r="D2742">
        <v>14.5083</v>
      </c>
      <c r="E2742" t="s">
        <v>4741</v>
      </c>
      <c r="F2742" t="s">
        <v>4743</v>
      </c>
      <c r="G2742" t="s">
        <v>39</v>
      </c>
      <c r="H2742">
        <v>1989</v>
      </c>
      <c r="I2742">
        <v>28.299999237060501</v>
      </c>
      <c r="J2742">
        <v>16.920875119039099</v>
      </c>
      <c r="K2742">
        <v>61.2087542087542</v>
      </c>
      <c r="L2742">
        <v>28.244174950853299</v>
      </c>
      <c r="M2742">
        <v>41.299999237060497</v>
      </c>
      <c r="N2742">
        <v>13.8999996185303</v>
      </c>
      <c r="O2742">
        <v>27.399999618530298</v>
      </c>
      <c r="P2742">
        <v>28.620875881978598</v>
      </c>
      <c r="Q2742">
        <v>25.5</v>
      </c>
      <c r="R2742">
        <v>31.799999237060501</v>
      </c>
      <c r="S2742">
        <v>24.200000762939499</v>
      </c>
      <c r="T2742">
        <v>336.16498316498303</v>
      </c>
      <c r="U2742">
        <v>121.791245791246</v>
      </c>
      <c r="V2742">
        <v>0</v>
      </c>
      <c r="W2742">
        <v>141.835016835017</v>
      </c>
      <c r="X2742">
        <v>276.58249158249203</v>
      </c>
      <c r="Y2742">
        <v>0</v>
      </c>
      <c r="Z2742">
        <v>44.582491582491599</v>
      </c>
      <c r="AA2742">
        <v>0</v>
      </c>
      <c r="AB2742">
        <v>1.7964740586200501</v>
      </c>
      <c r="AC2742">
        <v>137.624653866632</v>
      </c>
      <c r="AD2742">
        <v>1.06470510263234</v>
      </c>
      <c r="AE2742">
        <v>0.71185761690139804</v>
      </c>
      <c r="AF2742">
        <v>405.616161616162</v>
      </c>
      <c r="AG2742">
        <f>IFERROR(AH2742*0.1, "N/A")</f>
        <v>7.8097643097643106</v>
      </c>
      <c r="AH2742">
        <v>78.0976430976431</v>
      </c>
      <c r="AI2742">
        <v>254.48046836467699</v>
      </c>
      <c r="AJ2742">
        <v>45.9023569023569</v>
      </c>
      <c r="AK2742">
        <v>31.195286195286201</v>
      </c>
    </row>
    <row r="2743" spans="1:37" x14ac:dyDescent="0.3">
      <c r="A2743">
        <v>2742</v>
      </c>
      <c r="B2743">
        <v>5.0999999999999996</v>
      </c>
      <c r="C2743">
        <v>33.667400000000001</v>
      </c>
      <c r="D2743">
        <v>14.5303</v>
      </c>
      <c r="E2743" t="s">
        <v>4744</v>
      </c>
      <c r="F2743" t="s">
        <v>4745</v>
      </c>
      <c r="G2743" t="s">
        <v>37</v>
      </c>
      <c r="H2743">
        <v>1989</v>
      </c>
      <c r="I2743">
        <v>28.299999237060501</v>
      </c>
      <c r="J2743">
        <v>16.899999618530298</v>
      </c>
      <c r="K2743">
        <v>61</v>
      </c>
      <c r="L2743">
        <v>27.917575373794101</v>
      </c>
      <c r="M2743">
        <v>41.299999237060497</v>
      </c>
      <c r="N2743">
        <v>14</v>
      </c>
      <c r="O2743">
        <v>27.299999237060501</v>
      </c>
      <c r="P2743">
        <v>28.600000381469702</v>
      </c>
      <c r="Q2743">
        <v>25.600000381469702</v>
      </c>
      <c r="R2743">
        <v>31.799999237060501</v>
      </c>
      <c r="S2743">
        <v>24.2787874395197</v>
      </c>
      <c r="T2743">
        <v>337.78787878787898</v>
      </c>
      <c r="U2743">
        <v>122</v>
      </c>
      <c r="V2743">
        <v>0</v>
      </c>
      <c r="W2743">
        <v>141</v>
      </c>
      <c r="X2743">
        <v>277</v>
      </c>
      <c r="Y2743">
        <v>0</v>
      </c>
      <c r="Z2743">
        <v>45.787878787878803</v>
      </c>
      <c r="AA2743">
        <v>0</v>
      </c>
      <c r="AB2743">
        <v>1.3326769485216701</v>
      </c>
      <c r="AC2743">
        <v>1.5541789959175E-2</v>
      </c>
      <c r="AD2743">
        <v>1.00083801300839</v>
      </c>
      <c r="AE2743">
        <v>0.71539921290946695</v>
      </c>
      <c r="AF2743">
        <v>415.74242424242402</v>
      </c>
      <c r="AG2743">
        <f>IFERROR(AH2743*0.1, "N/A")</f>
        <v>7.7781144781144809</v>
      </c>
      <c r="AH2743">
        <v>77.781144781144803</v>
      </c>
      <c r="AI2743">
        <v>133.421817175868</v>
      </c>
      <c r="AJ2743">
        <v>43.516835016835003</v>
      </c>
      <c r="AK2743">
        <v>35.442760942760899</v>
      </c>
    </row>
    <row r="2744" spans="1:37" x14ac:dyDescent="0.3">
      <c r="A2744">
        <v>2743</v>
      </c>
      <c r="B2744">
        <v>0</v>
      </c>
      <c r="C2744">
        <v>33.667400000000001</v>
      </c>
      <c r="D2744">
        <v>14.5303</v>
      </c>
      <c r="E2744" t="s">
        <v>4744</v>
      </c>
      <c r="F2744" t="s">
        <v>4746</v>
      </c>
      <c r="G2744" t="s">
        <v>39</v>
      </c>
      <c r="H2744">
        <v>1989</v>
      </c>
      <c r="I2744">
        <v>28.299999237060501</v>
      </c>
      <c r="J2744">
        <v>16.899999618530298</v>
      </c>
      <c r="K2744">
        <v>61</v>
      </c>
      <c r="L2744">
        <v>27.917575373794101</v>
      </c>
      <c r="M2744">
        <v>41.299999237060497</v>
      </c>
      <c r="N2744">
        <v>14</v>
      </c>
      <c r="O2744">
        <v>27.299999237060501</v>
      </c>
      <c r="P2744">
        <v>28.600000381469702</v>
      </c>
      <c r="Q2744">
        <v>25.600000381469702</v>
      </c>
      <c r="R2744">
        <v>31.799999237060501</v>
      </c>
      <c r="S2744">
        <v>24.2787874395197</v>
      </c>
      <c r="T2744">
        <v>337.78787878787898</v>
      </c>
      <c r="U2744">
        <v>122</v>
      </c>
      <c r="V2744">
        <v>0</v>
      </c>
      <c r="W2744">
        <v>141</v>
      </c>
      <c r="X2744">
        <v>277</v>
      </c>
      <c r="Y2744">
        <v>0</v>
      </c>
      <c r="Z2744">
        <v>45.787878787878803</v>
      </c>
      <c r="AA2744">
        <v>0</v>
      </c>
      <c r="AB2744">
        <v>1.3326769485216701</v>
      </c>
      <c r="AC2744">
        <v>1.5541789959175E-2</v>
      </c>
      <c r="AD2744">
        <v>1.00083801300839</v>
      </c>
      <c r="AE2744">
        <v>0.71539921290946695</v>
      </c>
      <c r="AF2744">
        <v>415.74242424242402</v>
      </c>
      <c r="AG2744">
        <f>IFERROR(AH2744*0.1, "N/A")</f>
        <v>7.7781144781144809</v>
      </c>
      <c r="AH2744">
        <v>77.781144781144803</v>
      </c>
      <c r="AI2744">
        <v>133.421817175868</v>
      </c>
      <c r="AJ2744">
        <v>43.516835016835003</v>
      </c>
      <c r="AK2744">
        <v>35.442760942760899</v>
      </c>
    </row>
    <row r="2745" spans="1:37" x14ac:dyDescent="0.3">
      <c r="A2745">
        <v>2744</v>
      </c>
      <c r="B2745">
        <v>79.599997999999999</v>
      </c>
      <c r="C2745">
        <v>32.466999000000001</v>
      </c>
      <c r="D2745">
        <v>14.5327</v>
      </c>
      <c r="E2745" t="s">
        <v>4747</v>
      </c>
      <c r="F2745" t="s">
        <v>4748</v>
      </c>
      <c r="G2745" t="s">
        <v>37</v>
      </c>
      <c r="H2745">
        <v>1989</v>
      </c>
      <c r="I2745">
        <v>28.700000762939499</v>
      </c>
      <c r="J2745">
        <v>15.3999996185303</v>
      </c>
      <c r="K2745">
        <v>60</v>
      </c>
      <c r="L2745">
        <v>29.231842715137201</v>
      </c>
      <c r="M2745">
        <v>41</v>
      </c>
      <c r="N2745">
        <v>15.3999996185303</v>
      </c>
      <c r="O2745">
        <v>25.600000381469702</v>
      </c>
      <c r="P2745">
        <v>29.5</v>
      </c>
      <c r="Q2745">
        <v>25.600000381469702</v>
      </c>
      <c r="R2745">
        <v>32.0892783696927</v>
      </c>
      <c r="S2745">
        <v>24.299999237060501</v>
      </c>
      <c r="T2745">
        <v>212.89279731993301</v>
      </c>
      <c r="U2745">
        <v>87</v>
      </c>
      <c r="V2745">
        <v>0</v>
      </c>
      <c r="W2745">
        <v>159.89279731993301</v>
      </c>
      <c r="X2745">
        <v>189.89279731993301</v>
      </c>
      <c r="Y2745">
        <v>0</v>
      </c>
      <c r="Z2745">
        <v>18</v>
      </c>
      <c r="AA2745">
        <v>0</v>
      </c>
      <c r="AB2745">
        <v>0.63685288421273001</v>
      </c>
      <c r="AC2745">
        <v>4.2396345420723E-2</v>
      </c>
      <c r="AD2745">
        <v>1.1340626660902899</v>
      </c>
      <c r="AE2745">
        <v>0.55981630086898804</v>
      </c>
      <c r="AF2745">
        <v>393.79564489112198</v>
      </c>
      <c r="AG2745">
        <f>IFERROR(AH2745*0.1, "N/A")</f>
        <v>8.8172529313232797</v>
      </c>
      <c r="AH2745">
        <v>88.172529313232801</v>
      </c>
      <c r="AI2745">
        <v>123.756503847975</v>
      </c>
      <c r="AJ2745">
        <v>34.371859296482398</v>
      </c>
      <c r="AK2745">
        <v>42.520938023450597</v>
      </c>
    </row>
    <row r="2746" spans="1:37" x14ac:dyDescent="0.3">
      <c r="A2746">
        <v>2745</v>
      </c>
      <c r="B2746">
        <v>23.299999</v>
      </c>
      <c r="C2746">
        <v>32.466999000000001</v>
      </c>
      <c r="D2746">
        <v>14.5327</v>
      </c>
      <c r="E2746" t="s">
        <v>4747</v>
      </c>
      <c r="F2746" t="s">
        <v>4749</v>
      </c>
      <c r="G2746" t="s">
        <v>39</v>
      </c>
      <c r="H2746">
        <v>1989</v>
      </c>
      <c r="I2746">
        <v>28.700000762939499</v>
      </c>
      <c r="J2746">
        <v>15.3999996185303</v>
      </c>
      <c r="K2746">
        <v>60</v>
      </c>
      <c r="L2746">
        <v>29.231842715137201</v>
      </c>
      <c r="M2746">
        <v>41</v>
      </c>
      <c r="N2746">
        <v>15.3999996185303</v>
      </c>
      <c r="O2746">
        <v>25.600000381469702</v>
      </c>
      <c r="P2746">
        <v>29.5</v>
      </c>
      <c r="Q2746">
        <v>25.600000381469702</v>
      </c>
      <c r="R2746">
        <v>32.0892783696927</v>
      </c>
      <c r="S2746">
        <v>24.299999237060501</v>
      </c>
      <c r="T2746">
        <v>212.89279731993301</v>
      </c>
      <c r="U2746">
        <v>87</v>
      </c>
      <c r="V2746">
        <v>0</v>
      </c>
      <c r="W2746">
        <v>159.89279731993301</v>
      </c>
      <c r="X2746">
        <v>189.89279731993301</v>
      </c>
      <c r="Y2746">
        <v>0</v>
      </c>
      <c r="Z2746">
        <v>18</v>
      </c>
      <c r="AA2746">
        <v>0</v>
      </c>
      <c r="AB2746">
        <v>0.63685288421273001</v>
      </c>
      <c r="AC2746">
        <v>4.2396345420723E-2</v>
      </c>
      <c r="AD2746">
        <v>1.1340626660902899</v>
      </c>
      <c r="AE2746">
        <v>0.55981630086898804</v>
      </c>
      <c r="AF2746">
        <v>393.79564489112198</v>
      </c>
      <c r="AG2746">
        <f>IFERROR(AH2746*0.1, "N/A")</f>
        <v>8.8172529313232797</v>
      </c>
      <c r="AH2746">
        <v>88.172529313232801</v>
      </c>
      <c r="AI2746">
        <v>123.756503847975</v>
      </c>
      <c r="AJ2746">
        <v>34.371859296482398</v>
      </c>
      <c r="AK2746">
        <v>42.520938023450597</v>
      </c>
    </row>
    <row r="2747" spans="1:37" x14ac:dyDescent="0.3">
      <c r="A2747">
        <v>2746</v>
      </c>
      <c r="B2747">
        <v>0</v>
      </c>
      <c r="C2747">
        <v>33.450400999999999</v>
      </c>
      <c r="D2747">
        <v>14.5352</v>
      </c>
      <c r="E2747" t="s">
        <v>4750</v>
      </c>
      <c r="F2747" t="s">
        <v>4751</v>
      </c>
      <c r="G2747" t="s">
        <v>37</v>
      </c>
      <c r="H2747">
        <v>1989</v>
      </c>
      <c r="I2747">
        <v>28.399999618530298</v>
      </c>
      <c r="J2747">
        <v>17</v>
      </c>
      <c r="K2747">
        <v>61</v>
      </c>
      <c r="L2747">
        <v>29.265435218811</v>
      </c>
      <c r="M2747">
        <v>41.599998474121101</v>
      </c>
      <c r="N2747">
        <v>13.802174091339101</v>
      </c>
      <c r="O2747">
        <v>27.797825357188302</v>
      </c>
      <c r="P2747">
        <v>28.899999618530298</v>
      </c>
      <c r="Q2747">
        <v>25.5</v>
      </c>
      <c r="R2747">
        <v>32.097824594248898</v>
      </c>
      <c r="S2747">
        <v>24.200000762939499</v>
      </c>
      <c r="T2747">
        <v>318</v>
      </c>
      <c r="U2747">
        <v>121</v>
      </c>
      <c r="V2747">
        <v>0</v>
      </c>
      <c r="W2747">
        <v>148</v>
      </c>
      <c r="X2747">
        <v>268</v>
      </c>
      <c r="Y2747">
        <v>0</v>
      </c>
      <c r="Z2747">
        <v>38</v>
      </c>
      <c r="AA2747">
        <v>0</v>
      </c>
      <c r="AB2747">
        <v>6.3864554210650102</v>
      </c>
      <c r="AC2747">
        <v>8.7087072266960001E-3</v>
      </c>
      <c r="AD2747">
        <v>0.82876948768079906</v>
      </c>
      <c r="AE2747">
        <v>0.80328039879782898</v>
      </c>
      <c r="AF2747">
        <v>406.16053511705701</v>
      </c>
      <c r="AG2747">
        <f>IFERROR(AH2747*0.1, "N/A")</f>
        <v>7.8871237458194008</v>
      </c>
      <c r="AH2747">
        <v>78.871237458194003</v>
      </c>
      <c r="AI2747">
        <v>151.30214167438601</v>
      </c>
      <c r="AJ2747">
        <v>41.859531772575302</v>
      </c>
      <c r="AK2747">
        <v>37.140468227424797</v>
      </c>
    </row>
    <row r="2748" spans="1:37" x14ac:dyDescent="0.3">
      <c r="A2748">
        <v>2747</v>
      </c>
      <c r="B2748">
        <v>0</v>
      </c>
      <c r="C2748">
        <v>33.450400999999999</v>
      </c>
      <c r="D2748">
        <v>14.5352</v>
      </c>
      <c r="E2748" t="s">
        <v>4750</v>
      </c>
      <c r="F2748" t="s">
        <v>4752</v>
      </c>
      <c r="G2748" t="s">
        <v>39</v>
      </c>
      <c r="H2748">
        <v>1989</v>
      </c>
      <c r="I2748">
        <v>28.399999618530298</v>
      </c>
      <c r="J2748">
        <v>17</v>
      </c>
      <c r="K2748">
        <v>61</v>
      </c>
      <c r="L2748">
        <v>29.265435218811</v>
      </c>
      <c r="M2748">
        <v>41.599998474121101</v>
      </c>
      <c r="N2748">
        <v>13.802174091339101</v>
      </c>
      <c r="O2748">
        <v>27.797825357188302</v>
      </c>
      <c r="P2748">
        <v>28.899999618530298</v>
      </c>
      <c r="Q2748">
        <v>25.5</v>
      </c>
      <c r="R2748">
        <v>32.097824594248898</v>
      </c>
      <c r="S2748">
        <v>24.200000762939499</v>
      </c>
      <c r="T2748">
        <v>318</v>
      </c>
      <c r="U2748">
        <v>121</v>
      </c>
      <c r="V2748">
        <v>0</v>
      </c>
      <c r="W2748">
        <v>148</v>
      </c>
      <c r="X2748">
        <v>268</v>
      </c>
      <c r="Y2748">
        <v>0</v>
      </c>
      <c r="Z2748">
        <v>38</v>
      </c>
      <c r="AA2748">
        <v>0</v>
      </c>
      <c r="AB2748">
        <v>6.3864554210650102</v>
      </c>
      <c r="AC2748">
        <v>8.7087072266960001E-3</v>
      </c>
      <c r="AD2748">
        <v>0.82876948768079906</v>
      </c>
      <c r="AE2748">
        <v>0.80328039879782898</v>
      </c>
      <c r="AF2748">
        <v>406.16053511705701</v>
      </c>
      <c r="AG2748">
        <f>IFERROR(AH2748*0.1, "N/A")</f>
        <v>7.8871237458194008</v>
      </c>
      <c r="AH2748">
        <v>78.871237458194003</v>
      </c>
      <c r="AI2748">
        <v>151.30214167438601</v>
      </c>
      <c r="AJ2748">
        <v>41.859531772575302</v>
      </c>
      <c r="AK2748">
        <v>37.140468227424797</v>
      </c>
    </row>
    <row r="2749" spans="1:37" x14ac:dyDescent="0.3">
      <c r="A2749">
        <v>2748</v>
      </c>
      <c r="B2749">
        <v>35.299999</v>
      </c>
      <c r="C2749">
        <v>33.186698999999997</v>
      </c>
      <c r="D2749">
        <v>14.537800000000001</v>
      </c>
      <c r="E2749" t="s">
        <v>4753</v>
      </c>
      <c r="F2749" t="s">
        <v>4754</v>
      </c>
      <c r="G2749" t="s">
        <v>37</v>
      </c>
      <c r="H2749">
        <v>1989</v>
      </c>
      <c r="I2749">
        <v>28.5</v>
      </c>
      <c r="J2749">
        <v>16.799999237060501</v>
      </c>
      <c r="K2749">
        <v>60</v>
      </c>
      <c r="L2749">
        <v>29.639999389648398</v>
      </c>
      <c r="M2749">
        <v>41.5</v>
      </c>
      <c r="N2749">
        <v>13.8999996185303</v>
      </c>
      <c r="O2749">
        <v>27.600000381469702</v>
      </c>
      <c r="P2749">
        <v>29.100000381469702</v>
      </c>
      <c r="Q2749">
        <v>25.399999618530298</v>
      </c>
      <c r="R2749">
        <v>32.099998474121101</v>
      </c>
      <c r="S2749">
        <v>24.200000762939499</v>
      </c>
      <c r="T2749">
        <v>297</v>
      </c>
      <c r="U2749">
        <v>120</v>
      </c>
      <c r="V2749">
        <v>0</v>
      </c>
      <c r="W2749">
        <v>156</v>
      </c>
      <c r="X2749">
        <v>258</v>
      </c>
      <c r="Y2749">
        <v>0</v>
      </c>
      <c r="Z2749">
        <v>31</v>
      </c>
      <c r="AA2749">
        <v>0</v>
      </c>
      <c r="AB2749">
        <v>0.65595152070574203</v>
      </c>
      <c r="AC2749">
        <v>1.5185841841239001E-2</v>
      </c>
      <c r="AD2749">
        <v>1.2786282700310201</v>
      </c>
      <c r="AE2749">
        <v>0.762537181377411</v>
      </c>
      <c r="AF2749">
        <v>403.99832495812399</v>
      </c>
      <c r="AG2749">
        <f>IFERROR(AH2749*0.1, "N/A")</f>
        <v>7.74103852596315</v>
      </c>
      <c r="AH2749">
        <v>77.410385259631497</v>
      </c>
      <c r="AI2749">
        <v>172.137146660631</v>
      </c>
      <c r="AJ2749">
        <v>47.100502512562798</v>
      </c>
      <c r="AK2749">
        <v>28.991624790619799</v>
      </c>
    </row>
    <row r="2750" spans="1:37" x14ac:dyDescent="0.3">
      <c r="A2750">
        <v>2749</v>
      </c>
      <c r="B2750">
        <v>0.5</v>
      </c>
      <c r="C2750">
        <v>33.186698999999997</v>
      </c>
      <c r="D2750">
        <v>14.537800000000001</v>
      </c>
      <c r="E2750" t="s">
        <v>4753</v>
      </c>
      <c r="F2750" t="s">
        <v>4755</v>
      </c>
      <c r="G2750" t="s">
        <v>39</v>
      </c>
      <c r="H2750">
        <v>1989</v>
      </c>
      <c r="I2750">
        <v>28.5</v>
      </c>
      <c r="J2750">
        <v>16.799999237060501</v>
      </c>
      <c r="K2750">
        <v>60</v>
      </c>
      <c r="L2750">
        <v>29.639999389648398</v>
      </c>
      <c r="M2750">
        <v>41.5</v>
      </c>
      <c r="N2750">
        <v>13.8999996185303</v>
      </c>
      <c r="O2750">
        <v>27.600000381469702</v>
      </c>
      <c r="P2750">
        <v>29.100000381469702</v>
      </c>
      <c r="Q2750">
        <v>25.399999618530298</v>
      </c>
      <c r="R2750">
        <v>32.099998474121101</v>
      </c>
      <c r="S2750">
        <v>24.200000762939499</v>
      </c>
      <c r="T2750">
        <v>297</v>
      </c>
      <c r="U2750">
        <v>120</v>
      </c>
      <c r="V2750">
        <v>0</v>
      </c>
      <c r="W2750">
        <v>156</v>
      </c>
      <c r="X2750">
        <v>258</v>
      </c>
      <c r="Y2750">
        <v>0</v>
      </c>
      <c r="Z2750">
        <v>31</v>
      </c>
      <c r="AA2750">
        <v>0</v>
      </c>
      <c r="AB2750">
        <v>0.65595152070574203</v>
      </c>
      <c r="AC2750">
        <v>1.5185841841239001E-2</v>
      </c>
      <c r="AD2750">
        <v>1.2786282700310201</v>
      </c>
      <c r="AE2750">
        <v>0.762537181377411</v>
      </c>
      <c r="AF2750">
        <v>403.99832495812399</v>
      </c>
      <c r="AG2750">
        <f>IFERROR(AH2750*0.1, "N/A")</f>
        <v>7.74103852596315</v>
      </c>
      <c r="AH2750">
        <v>77.410385259631497</v>
      </c>
      <c r="AI2750">
        <v>172.137146660631</v>
      </c>
      <c r="AJ2750">
        <v>47.100502512562798</v>
      </c>
      <c r="AK2750">
        <v>28.991624790619799</v>
      </c>
    </row>
    <row r="2751" spans="1:37" x14ac:dyDescent="0.3">
      <c r="A2751">
        <v>2750</v>
      </c>
      <c r="B2751">
        <v>0</v>
      </c>
      <c r="C2751">
        <v>33.066699999999997</v>
      </c>
      <c r="D2751">
        <v>14.538399999999999</v>
      </c>
      <c r="E2751" t="s">
        <v>4756</v>
      </c>
      <c r="F2751" t="s">
        <v>4757</v>
      </c>
      <c r="G2751" t="s">
        <v>37</v>
      </c>
      <c r="H2751">
        <v>1989</v>
      </c>
      <c r="I2751">
        <v>28.572390848538699</v>
      </c>
      <c r="J2751">
        <v>16.600000381469702</v>
      </c>
      <c r="K2751">
        <v>60</v>
      </c>
      <c r="L2751">
        <v>30.084847992919499</v>
      </c>
      <c r="M2751">
        <v>41.5</v>
      </c>
      <c r="N2751">
        <v>14.1000003814697</v>
      </c>
      <c r="O2751">
        <v>27.399999618530298</v>
      </c>
      <c r="P2751">
        <v>29.272390230737599</v>
      </c>
      <c r="Q2751">
        <v>25.399999618530298</v>
      </c>
      <c r="R2751">
        <v>32.200000762939503</v>
      </c>
      <c r="S2751">
        <v>24.100000381469702</v>
      </c>
      <c r="T2751">
        <v>279.276094276094</v>
      </c>
      <c r="U2751">
        <v>112</v>
      </c>
      <c r="V2751">
        <v>0</v>
      </c>
      <c r="W2751">
        <v>154</v>
      </c>
      <c r="X2751">
        <v>244</v>
      </c>
      <c r="Y2751">
        <v>0</v>
      </c>
      <c r="Z2751">
        <v>28.276094276094302</v>
      </c>
      <c r="AA2751">
        <v>0</v>
      </c>
      <c r="AB2751">
        <v>1.41027338817866</v>
      </c>
      <c r="AC2751">
        <v>9.0599362487570004E-3</v>
      </c>
      <c r="AD2751">
        <v>0.45795135124765302</v>
      </c>
      <c r="AE2751">
        <v>0.70087736845016502</v>
      </c>
      <c r="AF2751">
        <v>404.39393939393898</v>
      </c>
      <c r="AG2751">
        <f>IFERROR(AH2751*0.1, "N/A")</f>
        <v>7.9808080808080808</v>
      </c>
      <c r="AH2751">
        <v>79.808080808080803</v>
      </c>
      <c r="AI2751">
        <v>114.655983973031</v>
      </c>
      <c r="AJ2751">
        <v>44.602693602693599</v>
      </c>
      <c r="AK2751">
        <v>33.932659932659902</v>
      </c>
    </row>
    <row r="2752" spans="1:37" x14ac:dyDescent="0.3">
      <c r="A2752">
        <v>2751</v>
      </c>
      <c r="B2752">
        <v>0</v>
      </c>
      <c r="C2752">
        <v>33.066699999999997</v>
      </c>
      <c r="D2752">
        <v>14.538399999999999</v>
      </c>
      <c r="E2752" t="s">
        <v>4756</v>
      </c>
      <c r="F2752" t="s">
        <v>4758</v>
      </c>
      <c r="G2752" t="s">
        <v>39</v>
      </c>
      <c r="H2752">
        <v>1989</v>
      </c>
      <c r="I2752">
        <v>28.572390848538699</v>
      </c>
      <c r="J2752">
        <v>16.600000381469702</v>
      </c>
      <c r="K2752">
        <v>60</v>
      </c>
      <c r="L2752">
        <v>30.084847992919499</v>
      </c>
      <c r="M2752">
        <v>41.5</v>
      </c>
      <c r="N2752">
        <v>14.1000003814697</v>
      </c>
      <c r="O2752">
        <v>27.399999618530298</v>
      </c>
      <c r="P2752">
        <v>29.272390230737599</v>
      </c>
      <c r="Q2752">
        <v>25.399999618530298</v>
      </c>
      <c r="R2752">
        <v>32.200000762939503</v>
      </c>
      <c r="S2752">
        <v>24.100000381469702</v>
      </c>
      <c r="T2752">
        <v>279.276094276094</v>
      </c>
      <c r="U2752">
        <v>112</v>
      </c>
      <c r="V2752">
        <v>0</v>
      </c>
      <c r="W2752">
        <v>154</v>
      </c>
      <c r="X2752">
        <v>244</v>
      </c>
      <c r="Y2752">
        <v>0</v>
      </c>
      <c r="Z2752">
        <v>28.276094276094302</v>
      </c>
      <c r="AA2752">
        <v>0</v>
      </c>
      <c r="AB2752">
        <v>1.41027338817866</v>
      </c>
      <c r="AC2752">
        <v>9.0599362487570004E-3</v>
      </c>
      <c r="AD2752">
        <v>0.45795135124765302</v>
      </c>
      <c r="AE2752">
        <v>0.70087736845016502</v>
      </c>
      <c r="AF2752">
        <v>404.39393939393898</v>
      </c>
      <c r="AG2752">
        <f>IFERROR(AH2752*0.1, "N/A")</f>
        <v>7.9808080808080808</v>
      </c>
      <c r="AH2752">
        <v>79.808080808080803</v>
      </c>
      <c r="AI2752">
        <v>114.655983973031</v>
      </c>
      <c r="AJ2752">
        <v>44.602693602693599</v>
      </c>
      <c r="AK2752">
        <v>33.932659932659902</v>
      </c>
    </row>
    <row r="2753" spans="1:37" x14ac:dyDescent="0.3">
      <c r="A2753">
        <v>2752</v>
      </c>
      <c r="B2753">
        <v>43.400002000000001</v>
      </c>
      <c r="C2753">
        <v>33.291198999999999</v>
      </c>
      <c r="D2753">
        <v>14.6119</v>
      </c>
      <c r="E2753" t="s">
        <v>4759</v>
      </c>
      <c r="F2753" t="s">
        <v>4760</v>
      </c>
      <c r="G2753" t="s">
        <v>37</v>
      </c>
      <c r="H2753">
        <v>1989</v>
      </c>
      <c r="I2753">
        <v>28.600000381469702</v>
      </c>
      <c r="J2753">
        <v>17</v>
      </c>
      <c r="K2753">
        <v>60</v>
      </c>
      <c r="L2753">
        <v>30.301443298391</v>
      </c>
      <c r="M2753">
        <v>41.700000762939503</v>
      </c>
      <c r="N2753">
        <v>13.778188026991501</v>
      </c>
      <c r="O2753">
        <v>27.9218117822737</v>
      </c>
      <c r="P2753">
        <v>29.200000762939499</v>
      </c>
      <c r="Q2753">
        <v>25.399999618530298</v>
      </c>
      <c r="R2753">
        <v>32.200000762939503</v>
      </c>
      <c r="S2753">
        <v>24.100000381469702</v>
      </c>
      <c r="T2753">
        <v>305</v>
      </c>
      <c r="U2753">
        <v>122</v>
      </c>
      <c r="V2753">
        <v>0</v>
      </c>
      <c r="W2753">
        <v>154</v>
      </c>
      <c r="X2753">
        <v>265</v>
      </c>
      <c r="Y2753">
        <v>0</v>
      </c>
      <c r="Z2753">
        <v>31</v>
      </c>
      <c r="AA2753">
        <v>0</v>
      </c>
      <c r="AB2753">
        <v>0.63759229007183305</v>
      </c>
      <c r="AC2753">
        <v>8.2766822658029999E-3</v>
      </c>
      <c r="AD2753">
        <v>0.744653951301671</v>
      </c>
      <c r="AE2753">
        <v>0.73810827732086204</v>
      </c>
      <c r="AF2753">
        <v>404.94630872483202</v>
      </c>
      <c r="AG2753">
        <f>IFERROR(AH2753*0.1, "N/A")</f>
        <v>8.0167785234899309</v>
      </c>
      <c r="AH2753">
        <v>80.167785234899299</v>
      </c>
      <c r="AI2753">
        <v>225.65922571988699</v>
      </c>
      <c r="AJ2753">
        <v>48.828859060402699</v>
      </c>
      <c r="AK2753">
        <v>29.171140939597301</v>
      </c>
    </row>
    <row r="2754" spans="1:37" x14ac:dyDescent="0.3">
      <c r="A2754">
        <v>2753</v>
      </c>
      <c r="B2754">
        <v>15.1</v>
      </c>
      <c r="C2754">
        <v>33.291198999999999</v>
      </c>
      <c r="D2754">
        <v>14.6119</v>
      </c>
      <c r="E2754" t="s">
        <v>4759</v>
      </c>
      <c r="F2754" t="s">
        <v>4761</v>
      </c>
      <c r="G2754" t="s">
        <v>39</v>
      </c>
      <c r="H2754">
        <v>1989</v>
      </c>
      <c r="I2754">
        <v>28.600000381469702</v>
      </c>
      <c r="J2754">
        <v>17</v>
      </c>
      <c r="K2754">
        <v>60</v>
      </c>
      <c r="L2754">
        <v>30.301443298391</v>
      </c>
      <c r="M2754">
        <v>41.700000762939503</v>
      </c>
      <c r="N2754">
        <v>13.778188026991501</v>
      </c>
      <c r="O2754">
        <v>27.9218117822737</v>
      </c>
      <c r="P2754">
        <v>29.200000762939499</v>
      </c>
      <c r="Q2754">
        <v>25.399999618530298</v>
      </c>
      <c r="R2754">
        <v>32.200000762939503</v>
      </c>
      <c r="S2754">
        <v>24.100000381469702</v>
      </c>
      <c r="T2754">
        <v>305</v>
      </c>
      <c r="U2754">
        <v>122</v>
      </c>
      <c r="V2754">
        <v>0</v>
      </c>
      <c r="W2754">
        <v>154</v>
      </c>
      <c r="X2754">
        <v>265</v>
      </c>
      <c r="Y2754">
        <v>0</v>
      </c>
      <c r="Z2754">
        <v>31</v>
      </c>
      <c r="AA2754">
        <v>0</v>
      </c>
      <c r="AB2754">
        <v>0.63759229007183305</v>
      </c>
      <c r="AC2754">
        <v>8.2766822658029999E-3</v>
      </c>
      <c r="AD2754">
        <v>0.744653951301671</v>
      </c>
      <c r="AE2754">
        <v>0.73810827732086204</v>
      </c>
      <c r="AF2754">
        <v>404.94630872483202</v>
      </c>
      <c r="AG2754">
        <f>IFERROR(AH2754*0.1, "N/A")</f>
        <v>8.0167785234899309</v>
      </c>
      <c r="AH2754">
        <v>80.167785234899299</v>
      </c>
      <c r="AI2754">
        <v>225.65922571988699</v>
      </c>
      <c r="AJ2754">
        <v>48.828859060402699</v>
      </c>
      <c r="AK2754">
        <v>29.171140939597301</v>
      </c>
    </row>
    <row r="2755" spans="1:37" x14ac:dyDescent="0.3">
      <c r="A2755">
        <v>2754</v>
      </c>
      <c r="B2755">
        <v>0</v>
      </c>
      <c r="C2755">
        <v>33.235802</v>
      </c>
      <c r="D2755">
        <v>14.6274</v>
      </c>
      <c r="E2755" t="s">
        <v>4762</v>
      </c>
      <c r="F2755" t="s">
        <v>4763</v>
      </c>
      <c r="G2755" t="s">
        <v>37</v>
      </c>
      <c r="H2755">
        <v>1989</v>
      </c>
      <c r="I2755">
        <v>28.600000381469702</v>
      </c>
      <c r="J2755">
        <v>17</v>
      </c>
      <c r="K2755">
        <v>60</v>
      </c>
      <c r="L2755">
        <v>30.370000839233398</v>
      </c>
      <c r="M2755">
        <v>41.700000762939503</v>
      </c>
      <c r="N2755">
        <v>13.699999809265099</v>
      </c>
      <c r="O2755">
        <v>28</v>
      </c>
      <c r="P2755">
        <v>29.200000762939499</v>
      </c>
      <c r="Q2755">
        <v>25.299999237060501</v>
      </c>
      <c r="R2755">
        <v>32.200000762939503</v>
      </c>
      <c r="S2755">
        <v>24.100000381469702</v>
      </c>
      <c r="T2755">
        <v>291</v>
      </c>
      <c r="U2755">
        <v>118</v>
      </c>
      <c r="V2755">
        <v>0</v>
      </c>
      <c r="W2755">
        <v>153</v>
      </c>
      <c r="X2755">
        <v>253</v>
      </c>
      <c r="Y2755">
        <v>0</v>
      </c>
      <c r="Z2755">
        <v>30</v>
      </c>
      <c r="AA2755">
        <v>0</v>
      </c>
      <c r="AB2755">
        <v>1.54016908276983</v>
      </c>
      <c r="AC2755">
        <v>8.3595665187390002E-3</v>
      </c>
      <c r="AD2755">
        <v>0.53064648343735399</v>
      </c>
      <c r="AE2755">
        <v>0.78286892175674405</v>
      </c>
      <c r="AF2755">
        <v>404.68739495798297</v>
      </c>
      <c r="AG2755">
        <f>IFERROR(AH2755*0.1, "N/A")</f>
        <v>8.2979831932773092</v>
      </c>
      <c r="AH2755">
        <v>82.979831932773095</v>
      </c>
      <c r="AI2755">
        <v>37.786436526514898</v>
      </c>
      <c r="AJ2755">
        <v>40.084033613445399</v>
      </c>
      <c r="AK2755">
        <v>36.915966386554601</v>
      </c>
    </row>
    <row r="2756" spans="1:37" x14ac:dyDescent="0.3">
      <c r="A2756">
        <v>2755</v>
      </c>
      <c r="B2756">
        <v>0</v>
      </c>
      <c r="C2756">
        <v>33.235802</v>
      </c>
      <c r="D2756">
        <v>14.6274</v>
      </c>
      <c r="E2756" t="s">
        <v>4762</v>
      </c>
      <c r="F2756" t="s">
        <v>4764</v>
      </c>
      <c r="G2756" t="s">
        <v>39</v>
      </c>
      <c r="H2756">
        <v>1989</v>
      </c>
      <c r="I2756">
        <v>28.600000381469702</v>
      </c>
      <c r="J2756">
        <v>17</v>
      </c>
      <c r="K2756">
        <v>60</v>
      </c>
      <c r="L2756">
        <v>30.370000839233398</v>
      </c>
      <c r="M2756">
        <v>41.700000762939503</v>
      </c>
      <c r="N2756">
        <v>13.699999809265099</v>
      </c>
      <c r="O2756">
        <v>28</v>
      </c>
      <c r="P2756">
        <v>29.200000762939499</v>
      </c>
      <c r="Q2756">
        <v>25.299999237060501</v>
      </c>
      <c r="R2756">
        <v>32.200000762939503</v>
      </c>
      <c r="S2756">
        <v>24.100000381469702</v>
      </c>
      <c r="T2756">
        <v>291</v>
      </c>
      <c r="U2756">
        <v>118</v>
      </c>
      <c r="V2756">
        <v>0</v>
      </c>
      <c r="W2756">
        <v>153</v>
      </c>
      <c r="X2756">
        <v>253</v>
      </c>
      <c r="Y2756">
        <v>0</v>
      </c>
      <c r="Z2756">
        <v>30</v>
      </c>
      <c r="AA2756">
        <v>0</v>
      </c>
      <c r="AB2756">
        <v>1.54016908276983</v>
      </c>
      <c r="AC2756">
        <v>8.3595665187390002E-3</v>
      </c>
      <c r="AD2756">
        <v>0.53064648343735399</v>
      </c>
      <c r="AE2756">
        <v>0.78286892175674405</v>
      </c>
      <c r="AF2756">
        <v>404.68739495798297</v>
      </c>
      <c r="AG2756">
        <f>IFERROR(AH2756*0.1, "N/A")</f>
        <v>8.2979831932773092</v>
      </c>
      <c r="AH2756">
        <v>82.979831932773095</v>
      </c>
      <c r="AI2756">
        <v>37.786436526514898</v>
      </c>
      <c r="AJ2756">
        <v>40.084033613445399</v>
      </c>
      <c r="AK2756">
        <v>36.915966386554601</v>
      </c>
    </row>
    <row r="2757" spans="1:37" x14ac:dyDescent="0.3">
      <c r="A2757">
        <v>2756</v>
      </c>
      <c r="B2757">
        <v>81.300003000000004</v>
      </c>
      <c r="C2757">
        <v>33.110401000000003</v>
      </c>
      <c r="D2757">
        <v>14.8443</v>
      </c>
      <c r="E2757" t="s">
        <v>4765</v>
      </c>
      <c r="F2757" t="s">
        <v>4766</v>
      </c>
      <c r="G2757" t="s">
        <v>37</v>
      </c>
      <c r="H2757">
        <v>1989</v>
      </c>
      <c r="I2757">
        <v>28.5</v>
      </c>
      <c r="J2757">
        <v>16.700000762939499</v>
      </c>
      <c r="K2757">
        <v>60</v>
      </c>
      <c r="L2757">
        <v>31.319999694824201</v>
      </c>
      <c r="M2757">
        <v>41.400001525878899</v>
      </c>
      <c r="N2757">
        <v>13.800000190734901</v>
      </c>
      <c r="O2757">
        <v>27.600000381469702</v>
      </c>
      <c r="P2757">
        <v>29.399999618530298</v>
      </c>
      <c r="Q2757">
        <v>25</v>
      </c>
      <c r="R2757">
        <v>32</v>
      </c>
      <c r="S2757">
        <v>23.799999237060501</v>
      </c>
      <c r="T2757">
        <v>225</v>
      </c>
      <c r="U2757">
        <v>89</v>
      </c>
      <c r="V2757">
        <v>0</v>
      </c>
      <c r="W2757">
        <v>158</v>
      </c>
      <c r="X2757">
        <v>201</v>
      </c>
      <c r="Y2757">
        <v>0</v>
      </c>
      <c r="Z2757">
        <v>18</v>
      </c>
      <c r="AA2757">
        <v>0</v>
      </c>
      <c r="AB2757">
        <v>0.48447490813139099</v>
      </c>
      <c r="AC2757">
        <v>8.8339482787029994E-3</v>
      </c>
      <c r="AD2757">
        <v>0.37983692508309003</v>
      </c>
      <c r="AE2757">
        <v>0.77252036333084095</v>
      </c>
      <c r="AF2757">
        <v>398.35559265442402</v>
      </c>
      <c r="AG2757">
        <f>IFERROR(AH2757*0.1, "N/A")</f>
        <v>8.4165275459098492</v>
      </c>
      <c r="AH2757">
        <v>84.165275459098496</v>
      </c>
      <c r="AI2757">
        <v>72.508203802602296</v>
      </c>
      <c r="AJ2757">
        <v>42.909849749582598</v>
      </c>
      <c r="AK2757">
        <v>33.320534223706197</v>
      </c>
    </row>
    <row r="2758" spans="1:37" x14ac:dyDescent="0.3">
      <c r="A2758">
        <v>2757</v>
      </c>
      <c r="B2758">
        <v>0</v>
      </c>
      <c r="C2758">
        <v>33.110401000000003</v>
      </c>
      <c r="D2758">
        <v>14.8443</v>
      </c>
      <c r="E2758" t="s">
        <v>4765</v>
      </c>
      <c r="F2758" t="s">
        <v>4767</v>
      </c>
      <c r="G2758" t="s">
        <v>39</v>
      </c>
      <c r="H2758">
        <v>1989</v>
      </c>
      <c r="I2758">
        <v>28.5</v>
      </c>
      <c r="J2758">
        <v>16.700000762939499</v>
      </c>
      <c r="K2758">
        <v>60</v>
      </c>
      <c r="L2758">
        <v>31.319999694824201</v>
      </c>
      <c r="M2758">
        <v>41.400001525878899</v>
      </c>
      <c r="N2758">
        <v>13.800000190734901</v>
      </c>
      <c r="O2758">
        <v>27.600000381469702</v>
      </c>
      <c r="P2758">
        <v>29.399999618530298</v>
      </c>
      <c r="Q2758">
        <v>25</v>
      </c>
      <c r="R2758">
        <v>32</v>
      </c>
      <c r="S2758">
        <v>23.799999237060501</v>
      </c>
      <c r="T2758">
        <v>225</v>
      </c>
      <c r="U2758">
        <v>89</v>
      </c>
      <c r="V2758">
        <v>0</v>
      </c>
      <c r="W2758">
        <v>158</v>
      </c>
      <c r="X2758">
        <v>201</v>
      </c>
      <c r="Y2758">
        <v>0</v>
      </c>
      <c r="Z2758">
        <v>18</v>
      </c>
      <c r="AA2758">
        <v>0</v>
      </c>
      <c r="AB2758">
        <v>0.48447490813139099</v>
      </c>
      <c r="AC2758">
        <v>8.8339482787029994E-3</v>
      </c>
      <c r="AD2758">
        <v>0.37983692508309003</v>
      </c>
      <c r="AE2758">
        <v>0.77252036333084095</v>
      </c>
      <c r="AF2758">
        <v>398.35559265442402</v>
      </c>
      <c r="AG2758">
        <f>IFERROR(AH2758*0.1, "N/A")</f>
        <v>8.4165275459098492</v>
      </c>
      <c r="AH2758">
        <v>84.165275459098496</v>
      </c>
      <c r="AI2758">
        <v>72.508203802602296</v>
      </c>
      <c r="AJ2758">
        <v>42.909849749582598</v>
      </c>
      <c r="AK2758">
        <v>33.320534223706197</v>
      </c>
    </row>
    <row r="2759" spans="1:37" x14ac:dyDescent="0.3">
      <c r="A2759">
        <v>2758</v>
      </c>
      <c r="B2759">
        <v>36</v>
      </c>
      <c r="C2759">
        <v>33.026901000000002</v>
      </c>
      <c r="D2759">
        <v>14.994199999999999</v>
      </c>
      <c r="E2759" t="s">
        <v>4768</v>
      </c>
      <c r="F2759" t="s">
        <v>4769</v>
      </c>
      <c r="G2759" t="s">
        <v>37</v>
      </c>
      <c r="H2759">
        <v>1989</v>
      </c>
      <c r="I2759">
        <v>28.299999237060501</v>
      </c>
      <c r="J2759">
        <v>16.399999618530298</v>
      </c>
      <c r="K2759">
        <v>60</v>
      </c>
      <c r="L2759">
        <v>32.340000152587898</v>
      </c>
      <c r="M2759">
        <v>41</v>
      </c>
      <c r="N2759">
        <v>13.800000190734901</v>
      </c>
      <c r="O2759">
        <v>27.200000762939499</v>
      </c>
      <c r="P2759">
        <v>29.600000381469702</v>
      </c>
      <c r="Q2759">
        <v>24.700000762939499</v>
      </c>
      <c r="R2759">
        <v>31.799999237060501</v>
      </c>
      <c r="S2759">
        <v>23.5</v>
      </c>
      <c r="T2759">
        <v>211</v>
      </c>
      <c r="U2759">
        <v>81</v>
      </c>
      <c r="V2759">
        <v>0</v>
      </c>
      <c r="W2759">
        <v>156</v>
      </c>
      <c r="X2759">
        <v>187</v>
      </c>
      <c r="Y2759">
        <v>0</v>
      </c>
      <c r="Z2759">
        <v>18</v>
      </c>
      <c r="AA2759">
        <v>0</v>
      </c>
      <c r="AB2759">
        <v>0.57542327574662899</v>
      </c>
      <c r="AC2759">
        <v>8.4419843217479994E-3</v>
      </c>
      <c r="AD2759">
        <v>0.89279846343707103</v>
      </c>
      <c r="AE2759">
        <v>0.79157000291706303</v>
      </c>
      <c r="AF2759">
        <v>398.00167224080298</v>
      </c>
      <c r="AG2759">
        <f>IFERROR(AH2759*0.1, "N/A")</f>
        <v>8.8369565217391308</v>
      </c>
      <c r="AH2759">
        <v>88.369565217391298</v>
      </c>
      <c r="AI2759">
        <v>152.03383092975901</v>
      </c>
      <c r="AJ2759">
        <v>46.2826086956522</v>
      </c>
      <c r="AK2759">
        <v>29.956521739130402</v>
      </c>
    </row>
    <row r="2760" spans="1:37" x14ac:dyDescent="0.3">
      <c r="A2760">
        <v>2759</v>
      </c>
      <c r="B2760">
        <v>4</v>
      </c>
      <c r="C2760">
        <v>33.026901000000002</v>
      </c>
      <c r="D2760">
        <v>14.994199999999999</v>
      </c>
      <c r="E2760" t="s">
        <v>4768</v>
      </c>
      <c r="F2760" t="s">
        <v>4770</v>
      </c>
      <c r="G2760" t="s">
        <v>39</v>
      </c>
      <c r="H2760">
        <v>1989</v>
      </c>
      <c r="I2760">
        <v>28.299999237060501</v>
      </c>
      <c r="J2760">
        <v>16.399999618530298</v>
      </c>
      <c r="K2760">
        <v>60</v>
      </c>
      <c r="L2760">
        <v>32.340000152587898</v>
      </c>
      <c r="M2760">
        <v>41</v>
      </c>
      <c r="N2760">
        <v>13.800000190734901</v>
      </c>
      <c r="O2760">
        <v>27.200000762939499</v>
      </c>
      <c r="P2760">
        <v>29.600000381469702</v>
      </c>
      <c r="Q2760">
        <v>24.700000762939499</v>
      </c>
      <c r="R2760">
        <v>31.799999237060501</v>
      </c>
      <c r="S2760">
        <v>23.5</v>
      </c>
      <c r="T2760">
        <v>211</v>
      </c>
      <c r="U2760">
        <v>81</v>
      </c>
      <c r="V2760">
        <v>0</v>
      </c>
      <c r="W2760">
        <v>156</v>
      </c>
      <c r="X2760">
        <v>187</v>
      </c>
      <c r="Y2760">
        <v>0</v>
      </c>
      <c r="Z2760">
        <v>18</v>
      </c>
      <c r="AA2760">
        <v>0</v>
      </c>
      <c r="AB2760">
        <v>0.57542327574662899</v>
      </c>
      <c r="AC2760">
        <v>8.4419843217479994E-3</v>
      </c>
      <c r="AD2760">
        <v>0.89279846343707103</v>
      </c>
      <c r="AE2760">
        <v>0.79157000291706303</v>
      </c>
      <c r="AF2760">
        <v>398.00167224080298</v>
      </c>
      <c r="AG2760">
        <f>IFERROR(AH2760*0.1, "N/A")</f>
        <v>8.8369565217391308</v>
      </c>
      <c r="AH2760">
        <v>88.369565217391298</v>
      </c>
      <c r="AI2760">
        <v>152.03383092975901</v>
      </c>
      <c r="AJ2760">
        <v>46.2826086956522</v>
      </c>
      <c r="AK2760">
        <v>29.956521739130402</v>
      </c>
    </row>
    <row r="2761" spans="1:37" x14ac:dyDescent="0.3">
      <c r="A2761">
        <v>2760</v>
      </c>
      <c r="B2761">
        <v>0</v>
      </c>
      <c r="C2761">
        <v>33.441699999999997</v>
      </c>
      <c r="D2761">
        <v>15.0183</v>
      </c>
      <c r="E2761" t="s">
        <v>4771</v>
      </c>
      <c r="F2761" t="s">
        <v>4772</v>
      </c>
      <c r="G2761" t="s">
        <v>37</v>
      </c>
      <c r="H2761">
        <v>1989</v>
      </c>
      <c r="I2761">
        <v>28.439195747950599</v>
      </c>
      <c r="J2761">
        <v>16.899999618530298</v>
      </c>
      <c r="K2761">
        <v>61</v>
      </c>
      <c r="L2761">
        <v>31.527035047061499</v>
      </c>
      <c r="M2761">
        <v>41.400001525878899</v>
      </c>
      <c r="N2761">
        <v>13.699999809265099</v>
      </c>
      <c r="O2761">
        <v>27.700000762939499</v>
      </c>
      <c r="P2761">
        <v>29.5</v>
      </c>
      <c r="Q2761">
        <v>25</v>
      </c>
      <c r="R2761">
        <v>32</v>
      </c>
      <c r="S2761">
        <v>23.799999237060501</v>
      </c>
      <c r="T2761">
        <v>224.608040201005</v>
      </c>
      <c r="U2761">
        <v>88.608040201004997</v>
      </c>
      <c r="V2761">
        <v>0</v>
      </c>
      <c r="W2761">
        <v>153.608040201005</v>
      </c>
      <c r="X2761">
        <v>195.608040201005</v>
      </c>
      <c r="Y2761">
        <v>0</v>
      </c>
      <c r="Z2761">
        <v>21</v>
      </c>
      <c r="AA2761">
        <v>0</v>
      </c>
      <c r="AB2761">
        <v>0.42545506462978999</v>
      </c>
      <c r="AC2761">
        <v>135.03021603259401</v>
      </c>
      <c r="AD2761">
        <v>1.40030540124056</v>
      </c>
      <c r="AE2761">
        <v>0.71511879228866704</v>
      </c>
      <c r="AF2761">
        <v>400.94137353433803</v>
      </c>
      <c r="AG2761">
        <f>IFERROR(AH2761*0.1, "N/A")</f>
        <v>8.5430485762144102</v>
      </c>
      <c r="AH2761">
        <v>85.430485762144102</v>
      </c>
      <c r="AI2761">
        <v>281.80284494371301</v>
      </c>
      <c r="AJ2761">
        <v>40</v>
      </c>
      <c r="AK2761">
        <v>40.715242881072001</v>
      </c>
    </row>
    <row r="2762" spans="1:37" x14ac:dyDescent="0.3">
      <c r="A2762">
        <v>2761</v>
      </c>
      <c r="B2762">
        <v>0</v>
      </c>
      <c r="C2762">
        <v>33.441699999999997</v>
      </c>
      <c r="D2762">
        <v>15.0183</v>
      </c>
      <c r="E2762" t="s">
        <v>4771</v>
      </c>
      <c r="F2762" t="s">
        <v>4773</v>
      </c>
      <c r="G2762" t="s">
        <v>39</v>
      </c>
      <c r="H2762">
        <v>1989</v>
      </c>
      <c r="I2762">
        <v>28.439195747950599</v>
      </c>
      <c r="J2762">
        <v>16.899999618530298</v>
      </c>
      <c r="K2762">
        <v>61</v>
      </c>
      <c r="L2762">
        <v>31.527035047061499</v>
      </c>
      <c r="M2762">
        <v>41.400001525878899</v>
      </c>
      <c r="N2762">
        <v>13.699999809265099</v>
      </c>
      <c r="O2762">
        <v>27.700000762939499</v>
      </c>
      <c r="P2762">
        <v>29.5</v>
      </c>
      <c r="Q2762">
        <v>25</v>
      </c>
      <c r="R2762">
        <v>32</v>
      </c>
      <c r="S2762">
        <v>23.799999237060501</v>
      </c>
      <c r="T2762">
        <v>224.608040201005</v>
      </c>
      <c r="U2762">
        <v>88.608040201004997</v>
      </c>
      <c r="V2762">
        <v>0</v>
      </c>
      <c r="W2762">
        <v>153.608040201005</v>
      </c>
      <c r="X2762">
        <v>195.608040201005</v>
      </c>
      <c r="Y2762">
        <v>0</v>
      </c>
      <c r="Z2762">
        <v>21</v>
      </c>
      <c r="AA2762">
        <v>0</v>
      </c>
      <c r="AB2762">
        <v>0.42545506462978999</v>
      </c>
      <c r="AC2762">
        <v>135.03021603259401</v>
      </c>
      <c r="AD2762">
        <v>1.40030540124056</v>
      </c>
      <c r="AE2762">
        <v>0.71511879228866704</v>
      </c>
      <c r="AF2762">
        <v>400.94137353433803</v>
      </c>
      <c r="AG2762">
        <f>IFERROR(AH2762*0.1, "N/A")</f>
        <v>8.5430485762144102</v>
      </c>
      <c r="AH2762">
        <v>85.430485762144102</v>
      </c>
      <c r="AI2762">
        <v>281.80284494371301</v>
      </c>
      <c r="AJ2762">
        <v>40</v>
      </c>
      <c r="AK2762">
        <v>40.715242881072001</v>
      </c>
    </row>
    <row r="2763" spans="1:37" x14ac:dyDescent="0.3">
      <c r="A2763">
        <v>2762</v>
      </c>
      <c r="B2763">
        <v>44.700001</v>
      </c>
      <c r="C2763">
        <v>33.383899999999997</v>
      </c>
      <c r="D2763">
        <v>15.0672</v>
      </c>
      <c r="E2763" t="s">
        <v>4774</v>
      </c>
      <c r="F2763" t="s">
        <v>4775</v>
      </c>
      <c r="G2763" t="s">
        <v>37</v>
      </c>
      <c r="H2763">
        <v>1989</v>
      </c>
      <c r="I2763">
        <v>28.399999618530298</v>
      </c>
      <c r="J2763">
        <v>16.799999237060501</v>
      </c>
      <c r="K2763">
        <v>60</v>
      </c>
      <c r="L2763">
        <v>31.715091226088902</v>
      </c>
      <c r="M2763">
        <v>41.299999237060497</v>
      </c>
      <c r="N2763">
        <v>13.699999809265099</v>
      </c>
      <c r="O2763">
        <v>27.600000381469702</v>
      </c>
      <c r="P2763">
        <v>29.5026800772253</v>
      </c>
      <c r="Q2763">
        <v>24.899999618530298</v>
      </c>
      <c r="R2763">
        <v>32</v>
      </c>
      <c r="S2763">
        <v>23.700000762939499</v>
      </c>
      <c r="T2763">
        <v>213.973199329983</v>
      </c>
      <c r="U2763">
        <v>84</v>
      </c>
      <c r="V2763">
        <v>0</v>
      </c>
      <c r="W2763">
        <v>154.973199329983</v>
      </c>
      <c r="X2763">
        <v>186.973199329983</v>
      </c>
      <c r="Y2763">
        <v>0</v>
      </c>
      <c r="Z2763">
        <v>20</v>
      </c>
      <c r="AA2763">
        <v>0</v>
      </c>
      <c r="AB2763">
        <v>0.37907263981037997</v>
      </c>
      <c r="AC2763">
        <v>8.2596173803240001E-3</v>
      </c>
      <c r="AD2763">
        <v>1.1064142280287901</v>
      </c>
      <c r="AE2763">
        <v>0.59979557991027799</v>
      </c>
      <c r="AF2763">
        <v>402.29648241206002</v>
      </c>
      <c r="AG2763">
        <f>IFERROR(AH2763*0.1, "N/A")</f>
        <v>8.3946398659966501</v>
      </c>
      <c r="AH2763">
        <v>83.946398659966505</v>
      </c>
      <c r="AI2763">
        <v>156.32216399558601</v>
      </c>
      <c r="AJ2763">
        <v>38</v>
      </c>
      <c r="AK2763">
        <v>43.946398659966498</v>
      </c>
    </row>
    <row r="2764" spans="1:37" x14ac:dyDescent="0.3">
      <c r="A2764">
        <v>2763</v>
      </c>
      <c r="B2764">
        <v>34.099997999999999</v>
      </c>
      <c r="C2764">
        <v>33.383899999999997</v>
      </c>
      <c r="D2764">
        <v>15.0672</v>
      </c>
      <c r="E2764" t="s">
        <v>4774</v>
      </c>
      <c r="F2764" t="s">
        <v>4776</v>
      </c>
      <c r="G2764" t="s">
        <v>39</v>
      </c>
      <c r="H2764">
        <v>1989</v>
      </c>
      <c r="I2764">
        <v>28.399999618530298</v>
      </c>
      <c r="J2764">
        <v>16.799999237060501</v>
      </c>
      <c r="K2764">
        <v>60</v>
      </c>
      <c r="L2764">
        <v>31.715091226088902</v>
      </c>
      <c r="M2764">
        <v>41.299999237060497</v>
      </c>
      <c r="N2764">
        <v>13.699999809265099</v>
      </c>
      <c r="O2764">
        <v>27.600000381469702</v>
      </c>
      <c r="P2764">
        <v>29.5026800772253</v>
      </c>
      <c r="Q2764">
        <v>24.899999618530298</v>
      </c>
      <c r="R2764">
        <v>32</v>
      </c>
      <c r="S2764">
        <v>23.700000762939499</v>
      </c>
      <c r="T2764">
        <v>213.973199329983</v>
      </c>
      <c r="U2764">
        <v>84</v>
      </c>
      <c r="V2764">
        <v>0</v>
      </c>
      <c r="W2764">
        <v>154.973199329983</v>
      </c>
      <c r="X2764">
        <v>186.973199329983</v>
      </c>
      <c r="Y2764">
        <v>0</v>
      </c>
      <c r="Z2764">
        <v>20</v>
      </c>
      <c r="AA2764">
        <v>0</v>
      </c>
      <c r="AB2764">
        <v>0.37907263981037997</v>
      </c>
      <c r="AC2764">
        <v>8.2596173803240001E-3</v>
      </c>
      <c r="AD2764">
        <v>1.1064142280287901</v>
      </c>
      <c r="AE2764">
        <v>0.59979557991027799</v>
      </c>
      <c r="AF2764">
        <v>402.29648241206002</v>
      </c>
      <c r="AG2764">
        <f>IFERROR(AH2764*0.1, "N/A")</f>
        <v>8.3946398659966501</v>
      </c>
      <c r="AH2764">
        <v>83.946398659966505</v>
      </c>
      <c r="AI2764">
        <v>156.32216399558601</v>
      </c>
      <c r="AJ2764">
        <v>38</v>
      </c>
      <c r="AK2764">
        <v>43.946398659966498</v>
      </c>
    </row>
    <row r="2765" spans="1:37" x14ac:dyDescent="0.3">
      <c r="A2765">
        <v>2764</v>
      </c>
      <c r="B2765">
        <v>0</v>
      </c>
      <c r="C2765">
        <v>33.158797999999997</v>
      </c>
      <c r="D2765">
        <v>15.11</v>
      </c>
      <c r="E2765" t="s">
        <v>4777</v>
      </c>
      <c r="F2765" t="s">
        <v>4778</v>
      </c>
      <c r="G2765" t="s">
        <v>37</v>
      </c>
      <c r="H2765">
        <v>1989</v>
      </c>
      <c r="I2765">
        <v>28.299999237060501</v>
      </c>
      <c r="J2765">
        <v>16.5</v>
      </c>
      <c r="K2765">
        <v>60</v>
      </c>
      <c r="L2765">
        <v>32.593700866699201</v>
      </c>
      <c r="M2765">
        <v>41</v>
      </c>
      <c r="N2765">
        <v>13.7665000629425</v>
      </c>
      <c r="O2765">
        <v>27.23350025177</v>
      </c>
      <c r="P2765">
        <v>29.700000762939499</v>
      </c>
      <c r="Q2765">
        <v>24.600000381469702</v>
      </c>
      <c r="R2765">
        <v>31.799999237060501</v>
      </c>
      <c r="S2765">
        <v>23.399999618530298</v>
      </c>
      <c r="T2765">
        <v>194.67</v>
      </c>
      <c r="U2765">
        <v>75.334999999999994</v>
      </c>
      <c r="V2765">
        <v>0</v>
      </c>
      <c r="W2765">
        <v>151.66999999999999</v>
      </c>
      <c r="X2765">
        <v>172.67</v>
      </c>
      <c r="Y2765">
        <v>0</v>
      </c>
      <c r="Z2765">
        <v>82.334999999999994</v>
      </c>
      <c r="AA2765">
        <v>0</v>
      </c>
      <c r="AB2765">
        <v>0.82018127441406197</v>
      </c>
      <c r="AC2765">
        <v>0.24152433154794101</v>
      </c>
      <c r="AD2765">
        <v>0.79573659489552195</v>
      </c>
      <c r="AE2765">
        <v>0.74342805147170998</v>
      </c>
      <c r="AF2765">
        <v>393.01</v>
      </c>
      <c r="AG2765">
        <f>IFERROR(AH2765*0.1, "N/A")</f>
        <v>8.5736666666666697</v>
      </c>
      <c r="AH2765">
        <v>85.736666666666693</v>
      </c>
      <c r="AI2765">
        <v>119.015745328267</v>
      </c>
      <c r="AJ2765">
        <v>33.036666666666697</v>
      </c>
      <c r="AK2765">
        <v>42.373333333333299</v>
      </c>
    </row>
    <row r="2766" spans="1:37" x14ac:dyDescent="0.3">
      <c r="A2766">
        <v>2765</v>
      </c>
      <c r="B2766">
        <v>0</v>
      </c>
      <c r="C2766">
        <v>33.158797999999997</v>
      </c>
      <c r="D2766">
        <v>15.11</v>
      </c>
      <c r="E2766" t="s">
        <v>4777</v>
      </c>
      <c r="F2766" t="s">
        <v>4779</v>
      </c>
      <c r="G2766" t="s">
        <v>39</v>
      </c>
      <c r="H2766">
        <v>1989</v>
      </c>
      <c r="I2766">
        <v>28.299999237060501</v>
      </c>
      <c r="J2766">
        <v>16.5</v>
      </c>
      <c r="K2766">
        <v>60</v>
      </c>
      <c r="L2766">
        <v>32.593700866699201</v>
      </c>
      <c r="M2766">
        <v>41</v>
      </c>
      <c r="N2766">
        <v>13.7665000629425</v>
      </c>
      <c r="O2766">
        <v>27.23350025177</v>
      </c>
      <c r="P2766">
        <v>29.700000762939499</v>
      </c>
      <c r="Q2766">
        <v>24.600000381469702</v>
      </c>
      <c r="R2766">
        <v>31.799999237060501</v>
      </c>
      <c r="S2766">
        <v>23.399999618530298</v>
      </c>
      <c r="T2766">
        <v>194.67</v>
      </c>
      <c r="U2766">
        <v>75.334999999999994</v>
      </c>
      <c r="V2766">
        <v>0</v>
      </c>
      <c r="W2766">
        <v>151.66999999999999</v>
      </c>
      <c r="X2766">
        <v>172.67</v>
      </c>
      <c r="Y2766">
        <v>0</v>
      </c>
      <c r="Z2766">
        <v>82.334999999999994</v>
      </c>
      <c r="AA2766">
        <v>0</v>
      </c>
      <c r="AB2766">
        <v>0.82018127441406197</v>
      </c>
      <c r="AC2766">
        <v>0.24152433154794101</v>
      </c>
      <c r="AD2766">
        <v>0.79573659489552195</v>
      </c>
      <c r="AE2766">
        <v>0.74342805147170998</v>
      </c>
      <c r="AF2766">
        <v>393.01</v>
      </c>
      <c r="AG2766">
        <f>IFERROR(AH2766*0.1, "N/A")</f>
        <v>8.5736666666666697</v>
      </c>
      <c r="AH2766">
        <v>85.736666666666693</v>
      </c>
      <c r="AI2766">
        <v>119.015745328267</v>
      </c>
      <c r="AJ2766">
        <v>33.036666666666697</v>
      </c>
      <c r="AK2766">
        <v>42.373333333333299</v>
      </c>
    </row>
    <row r="2767" spans="1:37" x14ac:dyDescent="0.3">
      <c r="A2767">
        <v>2766</v>
      </c>
      <c r="B2767">
        <v>72</v>
      </c>
      <c r="C2767">
        <v>34.020000000000003</v>
      </c>
      <c r="D2767">
        <v>13.14</v>
      </c>
      <c r="E2767" t="s">
        <v>4780</v>
      </c>
      <c r="F2767" t="s">
        <v>4781</v>
      </c>
      <c r="G2767" t="s">
        <v>39</v>
      </c>
      <c r="H2767">
        <v>1967</v>
      </c>
      <c r="I2767">
        <v>28.5</v>
      </c>
      <c r="J2767">
        <v>16.200000762939499</v>
      </c>
      <c r="K2767">
        <v>64</v>
      </c>
      <c r="L2767">
        <v>21.0100002288818</v>
      </c>
      <c r="M2767">
        <v>41.200000762939503</v>
      </c>
      <c r="N2767">
        <v>16.200000762939499</v>
      </c>
      <c r="O2767">
        <v>25</v>
      </c>
      <c r="P2767">
        <v>27.100000381469702</v>
      </c>
      <c r="Q2767">
        <v>27.299999237060501</v>
      </c>
      <c r="R2767">
        <v>31.399999618530298</v>
      </c>
      <c r="S2767">
        <v>26.100000381469702</v>
      </c>
      <c r="T2767">
        <v>520</v>
      </c>
      <c r="U2767">
        <v>175</v>
      </c>
      <c r="V2767">
        <v>0</v>
      </c>
      <c r="W2767">
        <v>135</v>
      </c>
      <c r="X2767">
        <v>402</v>
      </c>
      <c r="Y2767">
        <v>0</v>
      </c>
      <c r="Z2767">
        <v>96</v>
      </c>
      <c r="AA2767">
        <v>0</v>
      </c>
      <c r="AB2767">
        <v>0.58142172323690899</v>
      </c>
      <c r="AC2767">
        <v>1.9512603229314002E-2</v>
      </c>
      <c r="AD2767">
        <v>1.10466557101825</v>
      </c>
      <c r="AE2767">
        <v>0.70388609170913696</v>
      </c>
      <c r="AF2767">
        <v>434.41385135135101</v>
      </c>
      <c r="AG2767">
        <f>IFERROR(AH2767*0.1, "N/A")</f>
        <v>7.7113175675675709</v>
      </c>
      <c r="AH2767">
        <v>77.113175675675706</v>
      </c>
      <c r="AI2767">
        <v>156.05498916394001</v>
      </c>
      <c r="AJ2767">
        <v>55.113175675675699</v>
      </c>
      <c r="AK2767">
        <v>23.773648648648599</v>
      </c>
    </row>
    <row r="2768" spans="1:37" x14ac:dyDescent="0.3">
      <c r="A2768">
        <v>2767</v>
      </c>
      <c r="B2768">
        <v>8</v>
      </c>
      <c r="C2768">
        <v>34.020000000000003</v>
      </c>
      <c r="D2768">
        <v>13.14</v>
      </c>
      <c r="E2768" t="s">
        <v>4780</v>
      </c>
      <c r="F2768" t="s">
        <v>4782</v>
      </c>
      <c r="G2768" t="s">
        <v>37</v>
      </c>
      <c r="H2768">
        <v>1967</v>
      </c>
      <c r="I2768">
        <v>28.5</v>
      </c>
      <c r="J2768">
        <v>16.200000762939499</v>
      </c>
      <c r="K2768">
        <v>64</v>
      </c>
      <c r="L2768">
        <v>21.0100002288818</v>
      </c>
      <c r="M2768">
        <v>41.200000762939503</v>
      </c>
      <c r="N2768">
        <v>16.200000762939499</v>
      </c>
      <c r="O2768">
        <v>25</v>
      </c>
      <c r="P2768">
        <v>27.100000381469702</v>
      </c>
      <c r="Q2768">
        <v>27.299999237060501</v>
      </c>
      <c r="R2768">
        <v>31.399999618530298</v>
      </c>
      <c r="S2768">
        <v>26.100000381469702</v>
      </c>
      <c r="T2768">
        <v>520</v>
      </c>
      <c r="U2768">
        <v>175</v>
      </c>
      <c r="V2768">
        <v>0</v>
      </c>
      <c r="W2768">
        <v>135</v>
      </c>
      <c r="X2768">
        <v>402</v>
      </c>
      <c r="Y2768">
        <v>0</v>
      </c>
      <c r="Z2768">
        <v>96</v>
      </c>
      <c r="AA2768">
        <v>0</v>
      </c>
      <c r="AB2768">
        <v>0.58142172323690899</v>
      </c>
      <c r="AC2768">
        <v>1.9512603229314002E-2</v>
      </c>
      <c r="AD2768">
        <v>1.10466557101825</v>
      </c>
      <c r="AE2768">
        <v>0.70388609170913696</v>
      </c>
      <c r="AF2768">
        <v>434.41385135135101</v>
      </c>
      <c r="AG2768">
        <f>IFERROR(AH2768*0.1, "N/A")</f>
        <v>7.7113175675675709</v>
      </c>
      <c r="AH2768">
        <v>77.113175675675706</v>
      </c>
      <c r="AI2768">
        <v>156.05498916394001</v>
      </c>
      <c r="AJ2768">
        <v>55.113175675675699</v>
      </c>
      <c r="AK2768">
        <v>23.773648648648599</v>
      </c>
    </row>
    <row r="2769" spans="1:37" x14ac:dyDescent="0.3">
      <c r="A2769">
        <v>2768</v>
      </c>
      <c r="B2769">
        <v>5.3</v>
      </c>
      <c r="C2769">
        <v>33.498900999999996</v>
      </c>
      <c r="D2769">
        <v>14.4056</v>
      </c>
      <c r="E2769" t="s">
        <v>4783</v>
      </c>
      <c r="F2769" t="s">
        <v>4784</v>
      </c>
      <c r="G2769" t="s">
        <v>39</v>
      </c>
      <c r="H2769">
        <v>1967</v>
      </c>
      <c r="I2769">
        <v>28.299999237060501</v>
      </c>
      <c r="J2769">
        <v>16.799999237060501</v>
      </c>
      <c r="K2769">
        <v>61</v>
      </c>
      <c r="L2769">
        <v>27.909999847412099</v>
      </c>
      <c r="M2769">
        <v>41.400001525878899</v>
      </c>
      <c r="N2769">
        <v>14.1000003814697</v>
      </c>
      <c r="O2769">
        <v>27.299999237060501</v>
      </c>
      <c r="P2769">
        <v>28.5</v>
      </c>
      <c r="Q2769">
        <v>25.700000762939499</v>
      </c>
      <c r="R2769">
        <v>31.899999618530298</v>
      </c>
      <c r="S2769">
        <v>24.299999237060501</v>
      </c>
      <c r="T2769">
        <v>332</v>
      </c>
      <c r="U2769">
        <v>121</v>
      </c>
      <c r="V2769">
        <v>0</v>
      </c>
      <c r="W2769">
        <v>145</v>
      </c>
      <c r="X2769">
        <v>274</v>
      </c>
      <c r="Y2769">
        <v>0</v>
      </c>
      <c r="Z2769">
        <v>43</v>
      </c>
      <c r="AA2769">
        <v>0</v>
      </c>
      <c r="AB2769">
        <v>3.15401803211225</v>
      </c>
      <c r="AC2769">
        <v>8.4422349889317003E-2</v>
      </c>
      <c r="AD2769">
        <v>0.90731292604203995</v>
      </c>
      <c r="AE2769">
        <v>0.78455781617690901</v>
      </c>
      <c r="AF2769">
        <v>410.87458193979899</v>
      </c>
      <c r="AG2769">
        <f>IFERROR(AH2769*0.1, "N/A")</f>
        <v>7.9021739130434803</v>
      </c>
      <c r="AH2769">
        <v>79.021739130434796</v>
      </c>
      <c r="AI2769">
        <v>199.94899854373</v>
      </c>
      <c r="AJ2769">
        <v>47.020066889632098</v>
      </c>
      <c r="AK2769">
        <v>30.001672240802701</v>
      </c>
    </row>
    <row r="2770" spans="1:37" x14ac:dyDescent="0.3">
      <c r="A2770">
        <v>2769</v>
      </c>
      <c r="B2770">
        <v>0</v>
      </c>
      <c r="C2770">
        <v>33.498900999999996</v>
      </c>
      <c r="D2770">
        <v>14.4056</v>
      </c>
      <c r="E2770" t="s">
        <v>4783</v>
      </c>
      <c r="F2770" t="s">
        <v>4785</v>
      </c>
      <c r="G2770" t="s">
        <v>37</v>
      </c>
      <c r="H2770">
        <v>1967</v>
      </c>
      <c r="I2770">
        <v>28.299999237060501</v>
      </c>
      <c r="J2770">
        <v>16.799999237060501</v>
      </c>
      <c r="K2770">
        <v>61</v>
      </c>
      <c r="L2770">
        <v>27.909999847412099</v>
      </c>
      <c r="M2770">
        <v>41.400001525878899</v>
      </c>
      <c r="N2770">
        <v>14.1000003814697</v>
      </c>
      <c r="O2770">
        <v>27.299999237060501</v>
      </c>
      <c r="P2770">
        <v>28.5</v>
      </c>
      <c r="Q2770">
        <v>25.700000762939499</v>
      </c>
      <c r="R2770">
        <v>31.899999618530298</v>
      </c>
      <c r="S2770">
        <v>24.299999237060501</v>
      </c>
      <c r="T2770">
        <v>332</v>
      </c>
      <c r="U2770">
        <v>121</v>
      </c>
      <c r="V2770">
        <v>0</v>
      </c>
      <c r="W2770">
        <v>145</v>
      </c>
      <c r="X2770">
        <v>274</v>
      </c>
      <c r="Y2770">
        <v>0</v>
      </c>
      <c r="Z2770">
        <v>43</v>
      </c>
      <c r="AA2770">
        <v>0</v>
      </c>
      <c r="AB2770">
        <v>3.15401803211225</v>
      </c>
      <c r="AC2770">
        <v>8.4422349889317003E-2</v>
      </c>
      <c r="AD2770">
        <v>0.90731292604203995</v>
      </c>
      <c r="AE2770">
        <v>0.78455781617690901</v>
      </c>
      <c r="AF2770">
        <v>410.87458193979899</v>
      </c>
      <c r="AG2770">
        <f>IFERROR(AH2770*0.1, "N/A")</f>
        <v>7.9021739130434803</v>
      </c>
      <c r="AH2770">
        <v>79.021739130434796</v>
      </c>
      <c r="AI2770">
        <v>199.94899854373</v>
      </c>
      <c r="AJ2770">
        <v>47.020066889632098</v>
      </c>
      <c r="AK2770">
        <v>30.001672240802701</v>
      </c>
    </row>
    <row r="2771" spans="1:37" x14ac:dyDescent="0.3">
      <c r="A2771">
        <v>2770</v>
      </c>
      <c r="B2771">
        <v>9.8000000000000007</v>
      </c>
      <c r="C2771">
        <v>33.370097999999999</v>
      </c>
      <c r="D2771">
        <v>14.323700000000001</v>
      </c>
      <c r="E2771" t="s">
        <v>4786</v>
      </c>
      <c r="F2771" t="s">
        <v>4787</v>
      </c>
      <c r="G2771" t="s">
        <v>39</v>
      </c>
      <c r="H2771">
        <v>1967</v>
      </c>
      <c r="I2771">
        <v>28.399999618530298</v>
      </c>
      <c r="J2771">
        <v>16.700000762939499</v>
      </c>
      <c r="K2771">
        <v>61</v>
      </c>
      <c r="L2771">
        <v>28.219999313354499</v>
      </c>
      <c r="M2771">
        <v>41.400001525878899</v>
      </c>
      <c r="N2771">
        <v>14.1000003814697</v>
      </c>
      <c r="O2771">
        <v>27.299999237060501</v>
      </c>
      <c r="P2771">
        <v>28.600000381469702</v>
      </c>
      <c r="Q2771">
        <v>25.700000762939499</v>
      </c>
      <c r="R2771">
        <v>32</v>
      </c>
      <c r="S2771">
        <v>24.299999237060501</v>
      </c>
      <c r="T2771">
        <v>322</v>
      </c>
      <c r="U2771">
        <v>124</v>
      </c>
      <c r="V2771">
        <v>0</v>
      </c>
      <c r="W2771">
        <v>150</v>
      </c>
      <c r="X2771">
        <v>272</v>
      </c>
      <c r="Y2771">
        <v>0</v>
      </c>
      <c r="Z2771">
        <v>40</v>
      </c>
      <c r="AA2771">
        <v>0</v>
      </c>
      <c r="AB2771">
        <v>0.79814155668673603</v>
      </c>
      <c r="AC2771">
        <v>1.2032535530212E-2</v>
      </c>
      <c r="AD2771">
        <v>1.3294465984099999</v>
      </c>
      <c r="AE2771">
        <v>0.77269120913934897</v>
      </c>
      <c r="AF2771">
        <v>411.11635750421601</v>
      </c>
      <c r="AG2771">
        <f>IFERROR(AH2771*0.1, "N/A")</f>
        <v>7.710792580101181</v>
      </c>
      <c r="AH2771">
        <v>77.107925801011802</v>
      </c>
      <c r="AI2771">
        <v>243.45043879697101</v>
      </c>
      <c r="AJ2771">
        <v>52.890387858347403</v>
      </c>
      <c r="AK2771">
        <v>24.109612141652601</v>
      </c>
    </row>
    <row r="2772" spans="1:37" x14ac:dyDescent="0.3">
      <c r="A2772">
        <v>2771</v>
      </c>
      <c r="B2772">
        <v>36.599997999999999</v>
      </c>
      <c r="C2772">
        <v>33.370097999999999</v>
      </c>
      <c r="D2772">
        <v>14.323700000000001</v>
      </c>
      <c r="E2772" t="s">
        <v>4786</v>
      </c>
      <c r="F2772" t="s">
        <v>4788</v>
      </c>
      <c r="G2772" t="s">
        <v>37</v>
      </c>
      <c r="H2772">
        <v>1967</v>
      </c>
      <c r="I2772">
        <v>28.399999618530298</v>
      </c>
      <c r="J2772">
        <v>16.700000762939499</v>
      </c>
      <c r="K2772">
        <v>61</v>
      </c>
      <c r="L2772">
        <v>28.219999313354499</v>
      </c>
      <c r="M2772">
        <v>41.400001525878899</v>
      </c>
      <c r="N2772">
        <v>14.1000003814697</v>
      </c>
      <c r="O2772">
        <v>27.299999237060501</v>
      </c>
      <c r="P2772">
        <v>28.600000381469702</v>
      </c>
      <c r="Q2772">
        <v>25.700000762939499</v>
      </c>
      <c r="R2772">
        <v>32</v>
      </c>
      <c r="S2772">
        <v>24.299999237060501</v>
      </c>
      <c r="T2772">
        <v>322</v>
      </c>
      <c r="U2772">
        <v>124</v>
      </c>
      <c r="V2772">
        <v>0</v>
      </c>
      <c r="W2772">
        <v>150</v>
      </c>
      <c r="X2772">
        <v>272</v>
      </c>
      <c r="Y2772">
        <v>0</v>
      </c>
      <c r="Z2772">
        <v>40</v>
      </c>
      <c r="AA2772">
        <v>0</v>
      </c>
      <c r="AB2772">
        <v>0.79814155668673603</v>
      </c>
      <c r="AC2772">
        <v>1.2032535530212E-2</v>
      </c>
      <c r="AD2772">
        <v>1.3294465984099999</v>
      </c>
      <c r="AE2772">
        <v>0.77269120913934897</v>
      </c>
      <c r="AF2772">
        <v>411.11635750421601</v>
      </c>
      <c r="AG2772">
        <f>IFERROR(AH2772*0.1, "N/A")</f>
        <v>7.710792580101181</v>
      </c>
      <c r="AH2772">
        <v>77.107925801011802</v>
      </c>
      <c r="AI2772">
        <v>243.45043879697101</v>
      </c>
      <c r="AJ2772">
        <v>52.890387858347403</v>
      </c>
      <c r="AK2772">
        <v>24.109612141652601</v>
      </c>
    </row>
    <row r="2773" spans="1:37" x14ac:dyDescent="0.3">
      <c r="A2773">
        <v>2772</v>
      </c>
      <c r="B2773">
        <v>80.599997999999999</v>
      </c>
      <c r="C2773">
        <v>25.152999999999999</v>
      </c>
      <c r="D2773">
        <v>11.2326</v>
      </c>
      <c r="E2773" t="s">
        <v>4789</v>
      </c>
      <c r="F2773" t="s">
        <v>4790</v>
      </c>
      <c r="G2773" t="s">
        <v>39</v>
      </c>
      <c r="H2773">
        <v>2009</v>
      </c>
      <c r="I2773">
        <v>27.600000381469702</v>
      </c>
      <c r="J2773">
        <v>17.100000381469702</v>
      </c>
      <c r="K2773">
        <v>64</v>
      </c>
      <c r="L2773">
        <v>22.020205234098</v>
      </c>
      <c r="M2773">
        <v>40.200000762939503</v>
      </c>
      <c r="N2773">
        <v>13.800000190734901</v>
      </c>
      <c r="O2773">
        <v>26.399999618530298</v>
      </c>
      <c r="P2773">
        <v>27.100000381469702</v>
      </c>
      <c r="Q2773">
        <v>26.200000762939499</v>
      </c>
      <c r="R2773">
        <v>30.5003412982303</v>
      </c>
      <c r="S2773">
        <v>24.700000762939499</v>
      </c>
      <c r="T2773">
        <v>542.98976109215005</v>
      </c>
      <c r="U2773">
        <v>157.996587030717</v>
      </c>
      <c r="V2773">
        <v>0</v>
      </c>
      <c r="W2773">
        <v>122</v>
      </c>
      <c r="X2773">
        <v>395.99658703071702</v>
      </c>
      <c r="Y2773">
        <v>0</v>
      </c>
      <c r="Z2773">
        <v>112.993174061433</v>
      </c>
      <c r="AA2773">
        <v>0</v>
      </c>
      <c r="AB2773">
        <v>1.75017237744641</v>
      </c>
      <c r="AC2773">
        <v>1.1994137593987E-2</v>
      </c>
      <c r="AD2773">
        <v>1.9460905931712</v>
      </c>
      <c r="AE2773">
        <v>0.67482468434974996</v>
      </c>
      <c r="AF2773">
        <v>480.331058020478</v>
      </c>
      <c r="AG2773">
        <f>IFERROR(AH2773*0.1, "N/A")</f>
        <v>7.0151877133105804</v>
      </c>
      <c r="AH2773">
        <v>70.151877133105799</v>
      </c>
      <c r="AI2773">
        <v>139.443968509244</v>
      </c>
      <c r="AJ2773">
        <v>10.581911262798601</v>
      </c>
      <c r="AK2773">
        <v>78.848122866894201</v>
      </c>
    </row>
    <row r="2774" spans="1:37" x14ac:dyDescent="0.3">
      <c r="A2774">
        <v>2773</v>
      </c>
      <c r="B2774">
        <v>0</v>
      </c>
      <c r="C2774">
        <v>25.152999999999999</v>
      </c>
      <c r="D2774">
        <v>11.2326</v>
      </c>
      <c r="E2774" t="s">
        <v>4789</v>
      </c>
      <c r="F2774" t="s">
        <v>4791</v>
      </c>
      <c r="G2774" t="s">
        <v>37</v>
      </c>
      <c r="H2774">
        <v>2009</v>
      </c>
      <c r="I2774">
        <v>27.600000381469702</v>
      </c>
      <c r="J2774">
        <v>17.100000381469702</v>
      </c>
      <c r="K2774">
        <v>64</v>
      </c>
      <c r="L2774">
        <v>22.020205234098</v>
      </c>
      <c r="M2774">
        <v>40.200000762939503</v>
      </c>
      <c r="N2774">
        <v>13.800000190734901</v>
      </c>
      <c r="O2774">
        <v>26.399999618530298</v>
      </c>
      <c r="P2774">
        <v>27.100000381469702</v>
      </c>
      <c r="Q2774">
        <v>26.200000762939499</v>
      </c>
      <c r="R2774">
        <v>30.5003412982303</v>
      </c>
      <c r="S2774">
        <v>24.700000762939499</v>
      </c>
      <c r="T2774">
        <v>542.98976109215005</v>
      </c>
      <c r="U2774">
        <v>157.996587030717</v>
      </c>
      <c r="V2774">
        <v>0</v>
      </c>
      <c r="W2774">
        <v>122</v>
      </c>
      <c r="X2774">
        <v>395.99658703071702</v>
      </c>
      <c r="Y2774">
        <v>0</v>
      </c>
      <c r="Z2774">
        <v>112.993174061433</v>
      </c>
      <c r="AA2774">
        <v>0</v>
      </c>
      <c r="AB2774">
        <v>1.75017237744641</v>
      </c>
      <c r="AC2774">
        <v>1.1994137593987E-2</v>
      </c>
      <c r="AD2774">
        <v>1.9460905931712</v>
      </c>
      <c r="AE2774">
        <v>0.67482468434974996</v>
      </c>
      <c r="AF2774">
        <v>480.331058020478</v>
      </c>
      <c r="AG2774">
        <f>IFERROR(AH2774*0.1, "N/A")</f>
        <v>7.0151877133105804</v>
      </c>
      <c r="AH2774">
        <v>70.151877133105799</v>
      </c>
      <c r="AI2774">
        <v>139.443968509244</v>
      </c>
      <c r="AJ2774">
        <v>10.581911262798601</v>
      </c>
      <c r="AK2774">
        <v>78.848122866894201</v>
      </c>
    </row>
    <row r="2775" spans="1:37" x14ac:dyDescent="0.3">
      <c r="A2775">
        <v>2774</v>
      </c>
      <c r="B2775">
        <v>17.299999</v>
      </c>
      <c r="C2775">
        <v>35.559897999999997</v>
      </c>
      <c r="D2775">
        <v>15.4735</v>
      </c>
      <c r="E2775" t="s">
        <v>4792</v>
      </c>
      <c r="F2775" t="s">
        <v>4793</v>
      </c>
      <c r="G2775" t="s">
        <v>37</v>
      </c>
      <c r="H2775">
        <v>2010</v>
      </c>
      <c r="I2775">
        <v>28.700000762939499</v>
      </c>
      <c r="J2775">
        <v>17.700000762939499</v>
      </c>
      <c r="K2775">
        <v>63</v>
      </c>
      <c r="L2775">
        <v>28.389999389648398</v>
      </c>
      <c r="M2775">
        <v>42.200000762939503</v>
      </c>
      <c r="N2775">
        <v>14.199999809265099</v>
      </c>
      <c r="O2775">
        <v>28</v>
      </c>
      <c r="P2775">
        <v>29.5</v>
      </c>
      <c r="Q2775">
        <v>25.5</v>
      </c>
      <c r="R2775">
        <v>32</v>
      </c>
      <c r="S2775">
        <v>24.5</v>
      </c>
      <c r="T2775">
        <v>237</v>
      </c>
      <c r="U2775">
        <v>91</v>
      </c>
      <c r="V2775">
        <v>0</v>
      </c>
      <c r="W2775">
        <v>150</v>
      </c>
      <c r="X2775">
        <v>196</v>
      </c>
      <c r="Y2775">
        <v>0</v>
      </c>
      <c r="Z2775">
        <v>34</v>
      </c>
      <c r="AA2775">
        <v>0</v>
      </c>
      <c r="AB2775">
        <v>0.88349288940429704</v>
      </c>
      <c r="AC2775">
        <v>9.4888092841331997E-2</v>
      </c>
      <c r="AD2775">
        <v>1.26260067264239</v>
      </c>
      <c r="AE2775">
        <v>0.60303115844726596</v>
      </c>
      <c r="AF2775">
        <v>443.636666666667</v>
      </c>
      <c r="AG2775">
        <f>IFERROR(AH2775*0.1, "N/A")</f>
        <v>8.2000000000000011</v>
      </c>
      <c r="AH2775">
        <v>82</v>
      </c>
      <c r="AI2775">
        <v>192.53497601826999</v>
      </c>
      <c r="AJ2775">
        <v>46</v>
      </c>
      <c r="AK2775">
        <v>26</v>
      </c>
    </row>
    <row r="2776" spans="1:37" x14ac:dyDescent="0.3">
      <c r="A2776">
        <v>2775</v>
      </c>
      <c r="B2776">
        <v>0.7</v>
      </c>
      <c r="C2776">
        <v>32.4833</v>
      </c>
      <c r="D2776">
        <v>15.65</v>
      </c>
      <c r="E2776" t="s">
        <v>4794</v>
      </c>
      <c r="F2776" t="s">
        <v>4795</v>
      </c>
      <c r="G2776" t="s">
        <v>37</v>
      </c>
      <c r="H2776">
        <v>2009</v>
      </c>
      <c r="I2776">
        <v>28.9822553220278</v>
      </c>
      <c r="J2776">
        <v>14.8999996185303</v>
      </c>
      <c r="K2776">
        <v>56</v>
      </c>
      <c r="L2776">
        <v>35.9637812903864</v>
      </c>
      <c r="M2776">
        <v>41.182255746515601</v>
      </c>
      <c r="N2776">
        <v>14.966832524706099</v>
      </c>
      <c r="O2776">
        <v>26.215423413177</v>
      </c>
      <c r="P2776">
        <v>31</v>
      </c>
      <c r="Q2776">
        <v>24.7822548975399</v>
      </c>
      <c r="R2776">
        <v>32.7822548975399</v>
      </c>
      <c r="S2776">
        <v>23.484577055594201</v>
      </c>
      <c r="T2776">
        <v>124.822553897181</v>
      </c>
      <c r="U2776">
        <v>59</v>
      </c>
      <c r="V2776">
        <v>0</v>
      </c>
      <c r="W2776">
        <v>165.822553897181</v>
      </c>
      <c r="X2776">
        <v>115.822553897181</v>
      </c>
      <c r="Y2776">
        <v>0</v>
      </c>
      <c r="Z2776">
        <v>43.822553897180804</v>
      </c>
      <c r="AA2776">
        <v>0</v>
      </c>
      <c r="AB2776">
        <v>0.69885127382294299</v>
      </c>
      <c r="AC2776">
        <v>1.3181929230987001E-2</v>
      </c>
      <c r="AD2776">
        <v>0.53447939477749695</v>
      </c>
      <c r="AE2776">
        <v>0.90648525953292802</v>
      </c>
      <c r="AF2776">
        <v>388.69485903814302</v>
      </c>
      <c r="AG2776">
        <f>IFERROR(AH2776*0.1, "N/A")</f>
        <v>8.1132669983416204</v>
      </c>
      <c r="AH2776">
        <v>81.132669983416207</v>
      </c>
      <c r="AI2776">
        <v>65.780543401664403</v>
      </c>
      <c r="AJ2776">
        <v>23.865671641791</v>
      </c>
      <c r="AK2776">
        <v>62.001658374792697</v>
      </c>
    </row>
    <row r="2777" spans="1:37" x14ac:dyDescent="0.3">
      <c r="A2777">
        <v>2776</v>
      </c>
      <c r="B2777">
        <v>0</v>
      </c>
      <c r="C2777">
        <v>42.545399000000003</v>
      </c>
      <c r="D2777">
        <v>-0.35817300000000002</v>
      </c>
      <c r="E2777" t="s">
        <v>4796</v>
      </c>
      <c r="F2777" t="s">
        <v>4797</v>
      </c>
      <c r="G2777" t="s">
        <v>37</v>
      </c>
      <c r="H2777">
        <v>1988</v>
      </c>
      <c r="I2777">
        <v>26.927336583482301</v>
      </c>
      <c r="J2777">
        <v>6.5726630700328403</v>
      </c>
      <c r="K2777">
        <v>70</v>
      </c>
      <c r="L2777">
        <v>8.37079364366212</v>
      </c>
      <c r="M2777">
        <v>31.972663035048001</v>
      </c>
      <c r="N2777">
        <v>22.700000762939499</v>
      </c>
      <c r="O2777">
        <v>9.2726632257828197</v>
      </c>
      <c r="P2777">
        <v>26.299999237060501</v>
      </c>
      <c r="Q2777">
        <v>27.399999618530298</v>
      </c>
      <c r="R2777">
        <v>27.8726626535782</v>
      </c>
      <c r="S2777">
        <v>25.799999237060501</v>
      </c>
      <c r="T2777">
        <v>367.27336860670198</v>
      </c>
      <c r="U2777">
        <v>99</v>
      </c>
      <c r="V2777">
        <v>0</v>
      </c>
      <c r="W2777">
        <v>112</v>
      </c>
      <c r="X2777">
        <v>258</v>
      </c>
      <c r="Y2777">
        <v>1</v>
      </c>
      <c r="Z2777">
        <v>107.20987654321</v>
      </c>
      <c r="AA2777">
        <v>183</v>
      </c>
      <c r="AB2777">
        <v>8.9015875686833894</v>
      </c>
      <c r="AC2777">
        <v>1.5602932571116E-2</v>
      </c>
      <c r="AD2777">
        <v>1.8376274566171</v>
      </c>
      <c r="AE2777">
        <v>0.74649620056152299</v>
      </c>
      <c r="AF2777">
        <v>10.058201058201099</v>
      </c>
      <c r="AG2777">
        <f>IFERROR(AH2777*0.1, "N/A")</f>
        <v>7.0091710758377408</v>
      </c>
      <c r="AH2777">
        <v>70.091710758377403</v>
      </c>
      <c r="AI2777">
        <v>76.007206783933796</v>
      </c>
      <c r="AJ2777">
        <v>24.045855379188701</v>
      </c>
      <c r="AK2777">
        <v>53</v>
      </c>
    </row>
    <row r="2778" spans="1:37" x14ac:dyDescent="0.3">
      <c r="A2778">
        <v>2777</v>
      </c>
      <c r="B2778">
        <v>70</v>
      </c>
      <c r="C2778">
        <v>42.572899</v>
      </c>
      <c r="D2778">
        <v>-7.3402999999999996E-2</v>
      </c>
      <c r="E2778" t="s">
        <v>4798</v>
      </c>
      <c r="F2778" t="s">
        <v>4799</v>
      </c>
      <c r="G2778" t="s">
        <v>39</v>
      </c>
      <c r="H2778">
        <v>1980</v>
      </c>
      <c r="I2778">
        <v>27.100000381469702</v>
      </c>
      <c r="J2778">
        <v>8.6000003814697301</v>
      </c>
      <c r="K2778">
        <v>82</v>
      </c>
      <c r="L2778">
        <v>6.75</v>
      </c>
      <c r="M2778">
        <v>32.5</v>
      </c>
      <c r="N2778">
        <v>22.100000381469702</v>
      </c>
      <c r="O2778">
        <v>10.3999996185303</v>
      </c>
      <c r="P2778">
        <v>27.100000381469702</v>
      </c>
      <c r="Q2778">
        <v>27.600000381469702</v>
      </c>
      <c r="R2778">
        <v>27.799999237060501</v>
      </c>
      <c r="S2778">
        <v>26</v>
      </c>
      <c r="T2778">
        <v>441</v>
      </c>
      <c r="U2778">
        <v>111</v>
      </c>
      <c r="V2778">
        <v>0</v>
      </c>
      <c r="W2778">
        <v>94</v>
      </c>
      <c r="X2778">
        <v>263</v>
      </c>
      <c r="Y2778">
        <v>5</v>
      </c>
      <c r="Z2778">
        <v>64</v>
      </c>
      <c r="AA2778">
        <v>179</v>
      </c>
      <c r="AB2778">
        <v>2.9096829328738498</v>
      </c>
      <c r="AC2778">
        <v>9.9173118294750007E-3</v>
      </c>
      <c r="AD2778">
        <v>1.50421301516848</v>
      </c>
      <c r="AE2778">
        <v>0.45160675048828097</v>
      </c>
      <c r="AF2778">
        <v>9.6197183098591506</v>
      </c>
      <c r="AG2778">
        <f>IFERROR(AH2778*0.1, "N/A")</f>
        <v>7.2366197183098606</v>
      </c>
      <c r="AH2778">
        <v>72.366197183098606</v>
      </c>
      <c r="AI2778">
        <v>131.02272010857001</v>
      </c>
      <c r="AJ2778">
        <v>36.757042253521099</v>
      </c>
      <c r="AK2778">
        <v>35.700704225352098</v>
      </c>
    </row>
    <row r="2779" spans="1:37" x14ac:dyDescent="0.3">
      <c r="A2779">
        <v>2778</v>
      </c>
      <c r="B2779">
        <v>83.400002000000001</v>
      </c>
      <c r="C2779">
        <v>45.500799999999998</v>
      </c>
      <c r="D2779">
        <v>2.78</v>
      </c>
      <c r="E2779" t="s">
        <v>4800</v>
      </c>
      <c r="F2779" t="s">
        <v>4801</v>
      </c>
      <c r="G2779" t="s">
        <v>39</v>
      </c>
      <c r="H2779">
        <v>1966</v>
      </c>
      <c r="I2779">
        <v>27.399999618530298</v>
      </c>
      <c r="J2779">
        <v>11</v>
      </c>
      <c r="K2779">
        <v>75</v>
      </c>
      <c r="L2779">
        <v>11.3999996185303</v>
      </c>
      <c r="M2779">
        <v>35.400001525878899</v>
      </c>
      <c r="N2779">
        <v>20.899999618530298</v>
      </c>
      <c r="O2779">
        <v>14.5</v>
      </c>
      <c r="P2779">
        <v>28.799999237060501</v>
      </c>
      <c r="Q2779">
        <v>27.600000381469702</v>
      </c>
      <c r="R2779">
        <v>28.899999618530298</v>
      </c>
      <c r="S2779">
        <v>25.899999618530298</v>
      </c>
      <c r="T2779">
        <v>483</v>
      </c>
      <c r="U2779">
        <v>93</v>
      </c>
      <c r="V2779">
        <v>1</v>
      </c>
      <c r="W2779">
        <v>86</v>
      </c>
      <c r="X2779">
        <v>211</v>
      </c>
      <c r="Y2779">
        <v>27</v>
      </c>
      <c r="Z2779">
        <v>119</v>
      </c>
      <c r="AA2779">
        <v>66</v>
      </c>
      <c r="AB2779">
        <v>1.81704289548636</v>
      </c>
      <c r="AC2779">
        <v>1.2319328004791999E-2</v>
      </c>
      <c r="AD2779">
        <v>0.84673090737398105</v>
      </c>
      <c r="AE2779">
        <v>0.88924878835678101</v>
      </c>
      <c r="AF2779">
        <v>104.764499121265</v>
      </c>
      <c r="AG2779">
        <f>IFERROR(AH2779*0.1, "N/A")</f>
        <v>7.4</v>
      </c>
      <c r="AH2779">
        <v>74</v>
      </c>
      <c r="AI2779">
        <v>177.78332189683999</v>
      </c>
      <c r="AJ2779">
        <v>39</v>
      </c>
      <c r="AK2779">
        <v>26</v>
      </c>
    </row>
    <row r="2780" spans="1:37" x14ac:dyDescent="0.3">
      <c r="A2780">
        <v>2779</v>
      </c>
      <c r="B2780">
        <v>76</v>
      </c>
      <c r="C2780">
        <v>45.500799999999998</v>
      </c>
      <c r="D2780">
        <v>2.79</v>
      </c>
      <c r="E2780" t="s">
        <v>4802</v>
      </c>
      <c r="F2780" t="s">
        <v>4803</v>
      </c>
      <c r="G2780" t="s">
        <v>39</v>
      </c>
      <c r="H2780">
        <v>1966</v>
      </c>
      <c r="I2780">
        <v>27.399999618530298</v>
      </c>
      <c r="J2780">
        <v>11</v>
      </c>
      <c r="K2780">
        <v>75</v>
      </c>
      <c r="L2780">
        <v>11.5100002288818</v>
      </c>
      <c r="M2780">
        <v>35.5</v>
      </c>
      <c r="N2780">
        <v>20.899999618530298</v>
      </c>
      <c r="O2780">
        <v>14.6000003814697</v>
      </c>
      <c r="P2780">
        <v>28.799999237060501</v>
      </c>
      <c r="Q2780">
        <v>27.600000381469702</v>
      </c>
      <c r="R2780">
        <v>28.799999237060501</v>
      </c>
      <c r="S2780">
        <v>25.899999618530298</v>
      </c>
      <c r="T2780">
        <v>481</v>
      </c>
      <c r="U2780">
        <v>93</v>
      </c>
      <c r="V2780">
        <v>1</v>
      </c>
      <c r="W2780">
        <v>87</v>
      </c>
      <c r="X2780">
        <v>211</v>
      </c>
      <c r="Y2780">
        <v>26</v>
      </c>
      <c r="Z2780">
        <v>119</v>
      </c>
      <c r="AA2780">
        <v>65</v>
      </c>
      <c r="AB2780">
        <v>0.195788868686609</v>
      </c>
      <c r="AC2780">
        <v>1.9065918935691599</v>
      </c>
      <c r="AD2780">
        <v>1.5053068261920399</v>
      </c>
      <c r="AE2780">
        <v>0.81541138887405396</v>
      </c>
      <c r="AF2780">
        <v>101.863157894737</v>
      </c>
      <c r="AG2780">
        <f>IFERROR(AH2780*0.1, "N/A")</f>
        <v>7.6000000000000005</v>
      </c>
      <c r="AH2780">
        <v>76</v>
      </c>
      <c r="AI2780">
        <v>208.327886283607</v>
      </c>
      <c r="AJ2780">
        <v>48</v>
      </c>
      <c r="AK2780">
        <v>25</v>
      </c>
    </row>
    <row r="2781" spans="1:37" x14ac:dyDescent="0.3">
      <c r="A2781">
        <v>2780</v>
      </c>
      <c r="B2781">
        <v>60.700001</v>
      </c>
      <c r="C2781">
        <v>44.768613999999999</v>
      </c>
      <c r="D2781">
        <v>1.7174670000000001</v>
      </c>
      <c r="E2781" t="s">
        <v>4804</v>
      </c>
      <c r="F2781" t="s">
        <v>4805</v>
      </c>
      <c r="G2781" t="s">
        <v>39</v>
      </c>
      <c r="H2781">
        <v>1981</v>
      </c>
      <c r="I2781">
        <v>26.000352735031601</v>
      </c>
      <c r="J2781">
        <v>7.79929472235355</v>
      </c>
      <c r="K2781">
        <v>75</v>
      </c>
      <c r="L2781">
        <v>8.4995767199803893</v>
      </c>
      <c r="M2781">
        <v>31.600000381469702</v>
      </c>
      <c r="N2781">
        <v>21.201058961306501</v>
      </c>
      <c r="O2781">
        <v>10.398941420163201</v>
      </c>
      <c r="P2781">
        <v>26.500705470063298</v>
      </c>
      <c r="Q2781">
        <v>26.300351972092201</v>
      </c>
      <c r="R2781">
        <v>27.000705470063298</v>
      </c>
      <c r="S2781">
        <v>24.800704707123799</v>
      </c>
      <c r="T2781">
        <v>367.86948853615502</v>
      </c>
      <c r="U2781">
        <v>75.992945326278701</v>
      </c>
      <c r="V2781">
        <v>0</v>
      </c>
      <c r="W2781">
        <v>84.010582010581999</v>
      </c>
      <c r="X2781">
        <v>200.93650793650801</v>
      </c>
      <c r="Y2781">
        <v>1.9964726631393299</v>
      </c>
      <c r="Z2781">
        <v>125.94356261022899</v>
      </c>
      <c r="AA2781">
        <v>96.968253968254004</v>
      </c>
      <c r="AB2781">
        <v>1.62134071969061</v>
      </c>
      <c r="AC2781">
        <v>0.66149383658835603</v>
      </c>
      <c r="AD2781">
        <v>3.5367784941638001</v>
      </c>
      <c r="AE2781">
        <v>0.65298563241958596</v>
      </c>
      <c r="AF2781">
        <v>28.1957671957672</v>
      </c>
      <c r="AG2781">
        <f>IFERROR(AH2781*0.1, "N/A")</f>
        <v>6.8301587301587308</v>
      </c>
      <c r="AH2781">
        <v>68.301587301587304</v>
      </c>
      <c r="AI2781">
        <v>128.86288925789901</v>
      </c>
      <c r="AJ2781">
        <v>21.291005291005298</v>
      </c>
      <c r="AK2781">
        <v>60.3386243386243</v>
      </c>
    </row>
    <row r="2782" spans="1:37" x14ac:dyDescent="0.3">
      <c r="A2782">
        <v>2781</v>
      </c>
      <c r="B2782">
        <v>43.200001</v>
      </c>
      <c r="C2782">
        <v>42.750599000000001</v>
      </c>
      <c r="D2782">
        <v>7.2221999999999995E-2</v>
      </c>
      <c r="E2782" t="s">
        <v>4806</v>
      </c>
      <c r="F2782" t="s">
        <v>4807</v>
      </c>
      <c r="G2782" t="s">
        <v>39</v>
      </c>
      <c r="H2782">
        <v>1987</v>
      </c>
      <c r="I2782">
        <v>27.600000381469702</v>
      </c>
      <c r="J2782">
        <v>9</v>
      </c>
      <c r="K2782">
        <v>74.968253968254004</v>
      </c>
      <c r="L2782">
        <v>9.8780953392149904</v>
      </c>
      <c r="M2782">
        <v>33.703175317673498</v>
      </c>
      <c r="N2782">
        <v>21.700000762939499</v>
      </c>
      <c r="O2782">
        <v>12.0031746152848</v>
      </c>
      <c r="P2782">
        <v>27.903174233815001</v>
      </c>
      <c r="Q2782">
        <v>28.299999237060501</v>
      </c>
      <c r="R2782">
        <v>28.600000381469702</v>
      </c>
      <c r="S2782">
        <v>26.100000381469702</v>
      </c>
      <c r="T2782">
        <v>509.87301587301602</v>
      </c>
      <c r="U2782">
        <v>117</v>
      </c>
      <c r="V2782">
        <v>1</v>
      </c>
      <c r="W2782">
        <v>89.968253968254004</v>
      </c>
      <c r="X2782">
        <v>310.90476190476198</v>
      </c>
      <c r="Y2782">
        <v>10</v>
      </c>
      <c r="Z2782">
        <v>100.93650793650799</v>
      </c>
      <c r="AA2782">
        <v>107</v>
      </c>
      <c r="AB2782">
        <v>4.63386234740942</v>
      </c>
      <c r="AC2782">
        <v>3.4462760128671999E-2</v>
      </c>
      <c r="AD2782">
        <v>1.75180086299015</v>
      </c>
      <c r="AE2782">
        <v>0.416832114233121</v>
      </c>
      <c r="AF2782">
        <v>12.493827160493799</v>
      </c>
      <c r="AG2782">
        <f>IFERROR(AH2782*0.1, "N/A")</f>
        <v>7.22239858906525</v>
      </c>
      <c r="AH2782">
        <v>72.2239858906525</v>
      </c>
      <c r="AI2782">
        <v>166.79671344387</v>
      </c>
      <c r="AJ2782">
        <v>33.807760141093503</v>
      </c>
      <c r="AK2782">
        <v>38.2239858906526</v>
      </c>
    </row>
    <row r="2783" spans="1:37" x14ac:dyDescent="0.3">
      <c r="A2783">
        <v>2782</v>
      </c>
      <c r="B2783">
        <v>0</v>
      </c>
      <c r="C2783">
        <v>42.459999000000003</v>
      </c>
      <c r="D2783">
        <v>0.19</v>
      </c>
      <c r="E2783" t="s">
        <v>4808</v>
      </c>
      <c r="F2783" t="s">
        <v>4809</v>
      </c>
      <c r="G2783" t="s">
        <v>39</v>
      </c>
      <c r="H2783">
        <v>1987</v>
      </c>
      <c r="I2783">
        <v>27.600000381469702</v>
      </c>
      <c r="J2783">
        <v>10.699999809265099</v>
      </c>
      <c r="K2783">
        <v>75</v>
      </c>
      <c r="L2783">
        <v>11.5</v>
      </c>
      <c r="M2783">
        <v>35.099998474121101</v>
      </c>
      <c r="N2783">
        <v>21</v>
      </c>
      <c r="O2783">
        <v>14.1000003814697</v>
      </c>
      <c r="P2783">
        <v>27.700000762939499</v>
      </c>
      <c r="Q2783">
        <v>28.700000762939499</v>
      </c>
      <c r="R2783">
        <v>29</v>
      </c>
      <c r="S2783">
        <v>26</v>
      </c>
      <c r="T2783">
        <v>510</v>
      </c>
      <c r="U2783">
        <v>119</v>
      </c>
      <c r="V2783">
        <v>1</v>
      </c>
      <c r="W2783">
        <v>82</v>
      </c>
      <c r="X2783">
        <v>283</v>
      </c>
      <c r="Y2783">
        <v>14</v>
      </c>
      <c r="Z2783">
        <v>105</v>
      </c>
      <c r="AA2783">
        <v>144</v>
      </c>
      <c r="AB2783">
        <v>0.297530233124156</v>
      </c>
      <c r="AC2783">
        <v>9.6030956301740005E-3</v>
      </c>
      <c r="AD2783">
        <v>1.09238824505865</v>
      </c>
      <c r="AE2783">
        <v>0.15974114075749801</v>
      </c>
      <c r="AF2783">
        <v>19.705467372133999</v>
      </c>
      <c r="AG2783">
        <f>IFERROR(AH2783*0.1, "N/A")</f>
        <v>7.0368606701939997</v>
      </c>
      <c r="AH2783">
        <v>70.368606701939996</v>
      </c>
      <c r="AI2783">
        <v>119.86515608288001</v>
      </c>
      <c r="AJ2783">
        <v>33.195767195767203</v>
      </c>
      <c r="AK2783">
        <v>47.677248677248699</v>
      </c>
    </row>
    <row r="2784" spans="1:37" x14ac:dyDescent="0.3">
      <c r="A2784">
        <v>2783</v>
      </c>
      <c r="B2784">
        <v>85.699996999999996</v>
      </c>
      <c r="C2784">
        <v>42.8703</v>
      </c>
      <c r="D2784">
        <v>0.398258</v>
      </c>
      <c r="E2784" t="s">
        <v>4810</v>
      </c>
      <c r="F2784" t="s">
        <v>4811</v>
      </c>
      <c r="G2784" t="s">
        <v>39</v>
      </c>
      <c r="H2784">
        <v>1980</v>
      </c>
      <c r="I2784">
        <v>26.200000762939499</v>
      </c>
      <c r="J2784">
        <v>10.3999996185303</v>
      </c>
      <c r="K2784">
        <v>73</v>
      </c>
      <c r="L2784">
        <v>11.0900001525879</v>
      </c>
      <c r="M2784">
        <v>33.799999237060497</v>
      </c>
      <c r="N2784">
        <v>19.600000381469702</v>
      </c>
      <c r="O2784">
        <v>14.199999809265099</v>
      </c>
      <c r="P2784">
        <v>26.5</v>
      </c>
      <c r="Q2784">
        <v>27.200000762939499</v>
      </c>
      <c r="R2784">
        <v>27.600000381469702</v>
      </c>
      <c r="S2784">
        <v>24.700000762939499</v>
      </c>
      <c r="T2784">
        <v>498</v>
      </c>
      <c r="U2784">
        <v>106</v>
      </c>
      <c r="V2784">
        <v>1</v>
      </c>
      <c r="W2784">
        <v>82</v>
      </c>
      <c r="X2784">
        <v>279</v>
      </c>
      <c r="Y2784">
        <v>10</v>
      </c>
      <c r="Z2784">
        <v>98</v>
      </c>
      <c r="AA2784">
        <v>98</v>
      </c>
      <c r="AB2784">
        <v>2.6511420399107699</v>
      </c>
      <c r="AC2784">
        <v>9.10347668693E-3</v>
      </c>
      <c r="AD2784">
        <v>1.52001416955556</v>
      </c>
      <c r="AE2784">
        <v>0.46732759475708002</v>
      </c>
      <c r="AF2784">
        <v>21.891036906854101</v>
      </c>
      <c r="AG2784">
        <f>IFERROR(AH2784*0.1, "N/A")</f>
        <v>7.98101933216169</v>
      </c>
      <c r="AH2784">
        <v>79.810193321616893</v>
      </c>
      <c r="AI2784">
        <v>90.030839294038003</v>
      </c>
      <c r="AJ2784">
        <v>43.474516695957803</v>
      </c>
      <c r="AK2784">
        <v>31.335676625659101</v>
      </c>
    </row>
    <row r="2785" spans="1:37" x14ac:dyDescent="0.3">
      <c r="A2785">
        <v>2784</v>
      </c>
      <c r="B2785">
        <v>22.700001</v>
      </c>
      <c r="C2785">
        <v>42.720001000000003</v>
      </c>
      <c r="D2785">
        <v>0.42</v>
      </c>
      <c r="E2785" t="s">
        <v>4812</v>
      </c>
      <c r="F2785" t="s">
        <v>4813</v>
      </c>
      <c r="G2785" t="s">
        <v>39</v>
      </c>
      <c r="H2785">
        <v>1987</v>
      </c>
      <c r="I2785">
        <v>27.100000381469702</v>
      </c>
      <c r="J2785">
        <v>11.300000190734901</v>
      </c>
      <c r="K2785">
        <v>75</v>
      </c>
      <c r="L2785">
        <v>11.5900001525879</v>
      </c>
      <c r="M2785">
        <v>35</v>
      </c>
      <c r="N2785">
        <v>20.100000381469702</v>
      </c>
      <c r="O2785">
        <v>14.8999996185303</v>
      </c>
      <c r="P2785">
        <v>27.299999237060501</v>
      </c>
      <c r="Q2785">
        <v>28.200000762939499</v>
      </c>
      <c r="R2785">
        <v>28.5</v>
      </c>
      <c r="S2785">
        <v>25.399999618530298</v>
      </c>
      <c r="T2785">
        <v>590</v>
      </c>
      <c r="U2785">
        <v>138</v>
      </c>
      <c r="V2785">
        <v>1</v>
      </c>
      <c r="W2785">
        <v>86</v>
      </c>
      <c r="X2785">
        <v>334</v>
      </c>
      <c r="Y2785">
        <v>15</v>
      </c>
      <c r="Z2785">
        <v>132</v>
      </c>
      <c r="AA2785">
        <v>90</v>
      </c>
      <c r="AB2785">
        <v>1.38996576591277</v>
      </c>
      <c r="AC2785">
        <v>1.2550571931749001E-2</v>
      </c>
      <c r="AD2785">
        <v>0.68729423028482495</v>
      </c>
      <c r="AE2785">
        <v>0.69920590729780596</v>
      </c>
      <c r="AF2785">
        <v>22.9806338028169</v>
      </c>
      <c r="AG2785">
        <f>IFERROR(AH2785*0.1, "N/A")</f>
        <v>8</v>
      </c>
      <c r="AH2785">
        <v>80</v>
      </c>
      <c r="AI2785">
        <v>183.234610920221</v>
      </c>
      <c r="AJ2785">
        <v>38.191901408450697</v>
      </c>
      <c r="AK2785">
        <v>32.808098591549303</v>
      </c>
    </row>
    <row r="2786" spans="1:37" x14ac:dyDescent="0.3">
      <c r="A2786">
        <v>2785</v>
      </c>
      <c r="B2786">
        <v>20</v>
      </c>
      <c r="C2786">
        <v>42.772799999999997</v>
      </c>
      <c r="D2786">
        <v>0.49582999999999999</v>
      </c>
      <c r="E2786" t="s">
        <v>4814</v>
      </c>
      <c r="F2786" t="s">
        <v>4815</v>
      </c>
      <c r="G2786" t="s">
        <v>39</v>
      </c>
      <c r="H2786">
        <v>1956</v>
      </c>
      <c r="I2786">
        <v>27.200000762939499</v>
      </c>
      <c r="J2786">
        <v>11.3999996185303</v>
      </c>
      <c r="K2786">
        <v>75</v>
      </c>
      <c r="L2786">
        <v>11.8800001144409</v>
      </c>
      <c r="M2786">
        <v>35.299999237060497</v>
      </c>
      <c r="N2786">
        <v>20.200000762939499</v>
      </c>
      <c r="O2786">
        <v>15.1000003814697</v>
      </c>
      <c r="P2786">
        <v>27.600000381469702</v>
      </c>
      <c r="Q2786">
        <v>28.399999618530298</v>
      </c>
      <c r="R2786">
        <v>28.600000381469702</v>
      </c>
      <c r="S2786">
        <v>25.5</v>
      </c>
      <c r="T2786">
        <v>541</v>
      </c>
      <c r="U2786">
        <v>112</v>
      </c>
      <c r="V2786">
        <v>2</v>
      </c>
      <c r="W2786">
        <v>80</v>
      </c>
      <c r="X2786">
        <v>287</v>
      </c>
      <c r="Y2786">
        <v>11</v>
      </c>
      <c r="Z2786">
        <v>117</v>
      </c>
      <c r="AA2786">
        <v>89</v>
      </c>
      <c r="AB2786">
        <v>0.111442955446915</v>
      </c>
      <c r="AC2786">
        <v>0.20763902023965899</v>
      </c>
      <c r="AD2786">
        <v>2.0018199312854801</v>
      </c>
      <c r="AE2786">
        <v>0.70311584606976596</v>
      </c>
      <c r="AF2786">
        <v>24.121478873239401</v>
      </c>
      <c r="AG2786">
        <f>IFERROR(AH2786*0.1, "N/A")</f>
        <v>7.32288732394366</v>
      </c>
      <c r="AH2786">
        <v>73.228873239436595</v>
      </c>
      <c r="AI2786">
        <v>212.49210117568401</v>
      </c>
      <c r="AJ2786">
        <v>40</v>
      </c>
      <c r="AK2786">
        <v>33.114436619718298</v>
      </c>
    </row>
    <row r="2787" spans="1:37" x14ac:dyDescent="0.3">
      <c r="A2787">
        <v>2786</v>
      </c>
      <c r="B2787">
        <v>47.799999</v>
      </c>
      <c r="C2787">
        <v>42.772799999999997</v>
      </c>
      <c r="D2787">
        <v>0.49583300000000002</v>
      </c>
      <c r="E2787" t="s">
        <v>4816</v>
      </c>
      <c r="F2787" t="s">
        <v>4817</v>
      </c>
      <c r="G2787" t="s">
        <v>39</v>
      </c>
      <c r="H2787">
        <v>1987</v>
      </c>
      <c r="I2787">
        <v>27.200000762939499</v>
      </c>
      <c r="J2787">
        <v>11.3999996185303</v>
      </c>
      <c r="K2787">
        <v>75</v>
      </c>
      <c r="L2787">
        <v>11.8800001144409</v>
      </c>
      <c r="M2787">
        <v>35.299999237060497</v>
      </c>
      <c r="N2787">
        <v>20.200000762939499</v>
      </c>
      <c r="O2787">
        <v>15.1000003814697</v>
      </c>
      <c r="P2787">
        <v>27.600000381469702</v>
      </c>
      <c r="Q2787">
        <v>28.399999618530298</v>
      </c>
      <c r="R2787">
        <v>28.600000381469702</v>
      </c>
      <c r="S2787">
        <v>25.5</v>
      </c>
      <c r="T2787">
        <v>541</v>
      </c>
      <c r="U2787">
        <v>112</v>
      </c>
      <c r="V2787">
        <v>2</v>
      </c>
      <c r="W2787">
        <v>80</v>
      </c>
      <c r="X2787">
        <v>287</v>
      </c>
      <c r="Y2787">
        <v>11</v>
      </c>
      <c r="Z2787">
        <v>117</v>
      </c>
      <c r="AA2787">
        <v>89</v>
      </c>
      <c r="AB2787">
        <v>0.11177433396056199</v>
      </c>
      <c r="AC2787">
        <v>0.206417844801002</v>
      </c>
      <c r="AD2787">
        <v>1.99612061566753</v>
      </c>
      <c r="AE2787">
        <v>0.70312084726373802</v>
      </c>
      <c r="AF2787">
        <v>24.123022847100199</v>
      </c>
      <c r="AG2787">
        <f>IFERROR(AH2787*0.1, "N/A")</f>
        <v>7.3224956063268909</v>
      </c>
      <c r="AH2787">
        <v>73.224956063268905</v>
      </c>
      <c r="AI2787">
        <v>211.922525942221</v>
      </c>
      <c r="AJ2787">
        <v>40</v>
      </c>
      <c r="AK2787">
        <v>33.112478031634403</v>
      </c>
    </row>
    <row r="2788" spans="1:37" x14ac:dyDescent="0.3">
      <c r="A2788">
        <v>2787</v>
      </c>
      <c r="B2788">
        <v>51</v>
      </c>
      <c r="C2788">
        <v>42.705798999999999</v>
      </c>
      <c r="D2788">
        <v>0.61166699999999996</v>
      </c>
      <c r="E2788" t="s">
        <v>4818</v>
      </c>
      <c r="F2788" t="s">
        <v>4819</v>
      </c>
      <c r="G2788" t="s">
        <v>39</v>
      </c>
      <c r="H2788">
        <v>1987</v>
      </c>
      <c r="I2788">
        <v>27.600000381469702</v>
      </c>
      <c r="J2788">
        <v>11.8999996185303</v>
      </c>
      <c r="K2788">
        <v>74</v>
      </c>
      <c r="L2788">
        <v>12.539999961853001</v>
      </c>
      <c r="M2788">
        <v>36.099998474121101</v>
      </c>
      <c r="N2788">
        <v>20.200000762939499</v>
      </c>
      <c r="O2788">
        <v>15.8999996185303</v>
      </c>
      <c r="P2788">
        <v>27.899999618530298</v>
      </c>
      <c r="Q2788">
        <v>28.799999237060501</v>
      </c>
      <c r="R2788">
        <v>29</v>
      </c>
      <c r="S2788">
        <v>25.799999237060501</v>
      </c>
      <c r="T2788">
        <v>574</v>
      </c>
      <c r="U2788">
        <v>125</v>
      </c>
      <c r="V2788">
        <v>2</v>
      </c>
      <c r="W2788">
        <v>86</v>
      </c>
      <c r="X2788">
        <v>311</v>
      </c>
      <c r="Y2788">
        <v>11</v>
      </c>
      <c r="Z2788">
        <v>134</v>
      </c>
      <c r="AA2788">
        <v>82</v>
      </c>
      <c r="AB2788">
        <v>1.3676676969224899</v>
      </c>
      <c r="AC2788">
        <v>1.3319413737121E-2</v>
      </c>
      <c r="AD2788">
        <v>0.88478595934571302</v>
      </c>
      <c r="AE2788">
        <v>0.62605643272399902</v>
      </c>
      <c r="AF2788">
        <v>28.492932862190798</v>
      </c>
      <c r="AG2788">
        <f>IFERROR(AH2788*0.1, "N/A")</f>
        <v>7.79151943462898</v>
      </c>
      <c r="AH2788">
        <v>77.915194346289795</v>
      </c>
      <c r="AI2788">
        <v>154.45690789913499</v>
      </c>
      <c r="AJ2788">
        <v>41.199646643109503</v>
      </c>
      <c r="AK2788">
        <v>31.227915194346298</v>
      </c>
    </row>
    <row r="2789" spans="1:37" x14ac:dyDescent="0.3">
      <c r="A2789">
        <v>2788</v>
      </c>
      <c r="B2789">
        <v>16</v>
      </c>
      <c r="C2789">
        <v>42.745800000000003</v>
      </c>
      <c r="D2789">
        <v>0.64333300000000004</v>
      </c>
      <c r="E2789" t="s">
        <v>4820</v>
      </c>
      <c r="F2789" t="s">
        <v>4821</v>
      </c>
      <c r="G2789" t="s">
        <v>39</v>
      </c>
      <c r="H2789">
        <v>1987</v>
      </c>
      <c r="I2789">
        <v>27.5</v>
      </c>
      <c r="J2789">
        <v>11.699999809265099</v>
      </c>
      <c r="K2789">
        <v>74</v>
      </c>
      <c r="L2789">
        <v>12.1300001144409</v>
      </c>
      <c r="M2789">
        <v>35.900001525878899</v>
      </c>
      <c r="N2789">
        <v>20.200000762939499</v>
      </c>
      <c r="O2789">
        <v>15.699999809265099</v>
      </c>
      <c r="P2789">
        <v>27.799999237060501</v>
      </c>
      <c r="Q2789">
        <v>28.600000381469702</v>
      </c>
      <c r="R2789">
        <v>28.799999237060501</v>
      </c>
      <c r="S2789">
        <v>25.700000762939499</v>
      </c>
      <c r="T2789">
        <v>559</v>
      </c>
      <c r="U2789">
        <v>121</v>
      </c>
      <c r="V2789">
        <v>2</v>
      </c>
      <c r="W2789">
        <v>85</v>
      </c>
      <c r="X2789">
        <v>302</v>
      </c>
      <c r="Y2789">
        <v>10</v>
      </c>
      <c r="Z2789">
        <v>129</v>
      </c>
      <c r="AA2789">
        <v>82</v>
      </c>
      <c r="AB2789">
        <v>0.22288729103518201</v>
      </c>
      <c r="AC2789">
        <v>0.28528172371935301</v>
      </c>
      <c r="AD2789">
        <v>0.65305247042380599</v>
      </c>
      <c r="AE2789">
        <v>0.66512811183929399</v>
      </c>
      <c r="AF2789">
        <v>30.116197183098599</v>
      </c>
      <c r="AG2789">
        <f>IFERROR(AH2789*0.1, "N/A")</f>
        <v>7.3501760563380305</v>
      </c>
      <c r="AH2789">
        <v>73.501760563380302</v>
      </c>
      <c r="AI2789">
        <v>88.207770246855006</v>
      </c>
      <c r="AJ2789">
        <v>39.503521126760603</v>
      </c>
      <c r="AK2789">
        <v>38.003521126760603</v>
      </c>
    </row>
    <row r="2790" spans="1:37" x14ac:dyDescent="0.3">
      <c r="A2790">
        <v>2789</v>
      </c>
      <c r="B2790">
        <v>0</v>
      </c>
      <c r="C2790">
        <v>42.598300999999999</v>
      </c>
      <c r="D2790">
        <v>0.85694000000000004</v>
      </c>
      <c r="E2790" t="s">
        <v>4822</v>
      </c>
      <c r="F2790" t="s">
        <v>4823</v>
      </c>
      <c r="G2790" t="s">
        <v>37</v>
      </c>
      <c r="H2790">
        <v>1956</v>
      </c>
      <c r="I2790">
        <v>27.799999237060501</v>
      </c>
      <c r="J2790">
        <v>12.3999996185303</v>
      </c>
      <c r="K2790">
        <v>74</v>
      </c>
      <c r="L2790">
        <v>13.1499996185303</v>
      </c>
      <c r="M2790">
        <v>37</v>
      </c>
      <c r="N2790">
        <v>20.299999237060501</v>
      </c>
      <c r="O2790">
        <v>16.700000762939499</v>
      </c>
      <c r="P2790">
        <v>27.899999618530298</v>
      </c>
      <c r="Q2790">
        <v>29.200000762939499</v>
      </c>
      <c r="R2790">
        <v>29.399999618530298</v>
      </c>
      <c r="S2790">
        <v>26</v>
      </c>
      <c r="T2790">
        <v>557</v>
      </c>
      <c r="U2790">
        <v>125</v>
      </c>
      <c r="V2790">
        <v>3</v>
      </c>
      <c r="W2790">
        <v>85</v>
      </c>
      <c r="X2790">
        <v>284</v>
      </c>
      <c r="Y2790">
        <v>17</v>
      </c>
      <c r="Z2790">
        <v>139</v>
      </c>
      <c r="AA2790">
        <v>102</v>
      </c>
      <c r="AB2790">
        <v>2.2259668182908401</v>
      </c>
      <c r="AC2790">
        <v>37350.964324132699</v>
      </c>
      <c r="AD2790">
        <v>1.5157295226005101</v>
      </c>
      <c r="AE2790">
        <v>0.72931712865829501</v>
      </c>
      <c r="AF2790">
        <v>37.524561403508798</v>
      </c>
      <c r="AG2790">
        <f>IFERROR(AH2790*0.1, "N/A")</f>
        <v>7.3645614035087705</v>
      </c>
      <c r="AH2790">
        <v>73.645614035087704</v>
      </c>
      <c r="AI2790">
        <v>129.29263051350901</v>
      </c>
      <c r="AJ2790">
        <v>36.063157894736797</v>
      </c>
      <c r="AK2790">
        <v>37.614035087719301</v>
      </c>
    </row>
    <row r="2791" spans="1:37" x14ac:dyDescent="0.3">
      <c r="A2791">
        <v>2790</v>
      </c>
      <c r="B2791">
        <v>55</v>
      </c>
      <c r="C2791">
        <v>42.598300999999999</v>
      </c>
      <c r="D2791">
        <v>0.85694000000000004</v>
      </c>
      <c r="E2791" t="s">
        <v>4822</v>
      </c>
      <c r="F2791" t="s">
        <v>4824</v>
      </c>
      <c r="G2791" t="s">
        <v>39</v>
      </c>
      <c r="H2791">
        <v>1956</v>
      </c>
      <c r="I2791">
        <v>27.799999237060501</v>
      </c>
      <c r="J2791">
        <v>12.3999996185303</v>
      </c>
      <c r="K2791">
        <v>74</v>
      </c>
      <c r="L2791">
        <v>13.1499996185303</v>
      </c>
      <c r="M2791">
        <v>37</v>
      </c>
      <c r="N2791">
        <v>20.299999237060501</v>
      </c>
      <c r="O2791">
        <v>16.700000762939499</v>
      </c>
      <c r="P2791">
        <v>27.899999618530298</v>
      </c>
      <c r="Q2791">
        <v>29.200000762939499</v>
      </c>
      <c r="R2791">
        <v>29.399999618530298</v>
      </c>
      <c r="S2791">
        <v>26</v>
      </c>
      <c r="T2791">
        <v>557</v>
      </c>
      <c r="U2791">
        <v>125</v>
      </c>
      <c r="V2791">
        <v>3</v>
      </c>
      <c r="W2791">
        <v>85</v>
      </c>
      <c r="X2791">
        <v>284</v>
      </c>
      <c r="Y2791">
        <v>17</v>
      </c>
      <c r="Z2791">
        <v>139</v>
      </c>
      <c r="AA2791">
        <v>102</v>
      </c>
      <c r="AB2791">
        <v>2.2259668182908401</v>
      </c>
      <c r="AC2791">
        <v>37350.964324132699</v>
      </c>
      <c r="AD2791">
        <v>1.5157295226005101</v>
      </c>
      <c r="AE2791">
        <v>0.72931712865829501</v>
      </c>
      <c r="AF2791">
        <v>37.524561403508798</v>
      </c>
      <c r="AG2791">
        <f>IFERROR(AH2791*0.1, "N/A")</f>
        <v>7.3645614035087705</v>
      </c>
      <c r="AH2791">
        <v>73.645614035087704</v>
      </c>
      <c r="AI2791">
        <v>129.29263051350901</v>
      </c>
      <c r="AJ2791">
        <v>36.063157894736797</v>
      </c>
      <c r="AK2791">
        <v>37.614035087719301</v>
      </c>
    </row>
    <row r="2792" spans="1:37" x14ac:dyDescent="0.3">
      <c r="A2792">
        <v>2791</v>
      </c>
      <c r="B2792">
        <v>78</v>
      </c>
      <c r="C2792">
        <v>42.619999</v>
      </c>
      <c r="D2792">
        <v>0.96</v>
      </c>
      <c r="E2792" t="s">
        <v>4825</v>
      </c>
      <c r="F2792" t="s">
        <v>4826</v>
      </c>
      <c r="G2792" t="s">
        <v>39</v>
      </c>
      <c r="H2792">
        <v>1987</v>
      </c>
      <c r="I2792">
        <v>27.799999237060501</v>
      </c>
      <c r="J2792">
        <v>12.300000190734901</v>
      </c>
      <c r="K2792">
        <v>73</v>
      </c>
      <c r="L2792">
        <v>13.060000419616699</v>
      </c>
      <c r="M2792">
        <v>37</v>
      </c>
      <c r="N2792">
        <v>20.299999237060501</v>
      </c>
      <c r="O2792">
        <v>16.700000762939499</v>
      </c>
      <c r="P2792">
        <v>28</v>
      </c>
      <c r="Q2792">
        <v>29.200000762939499</v>
      </c>
      <c r="R2792">
        <v>29.399999618530298</v>
      </c>
      <c r="S2792">
        <v>26</v>
      </c>
      <c r="T2792">
        <v>546</v>
      </c>
      <c r="U2792">
        <v>125</v>
      </c>
      <c r="V2792">
        <v>3</v>
      </c>
      <c r="W2792">
        <v>86</v>
      </c>
      <c r="X2792">
        <v>278</v>
      </c>
      <c r="Y2792">
        <v>16</v>
      </c>
      <c r="Z2792">
        <v>138</v>
      </c>
      <c r="AA2792">
        <v>97</v>
      </c>
      <c r="AB2792">
        <v>2.8072305305924998</v>
      </c>
      <c r="AC2792">
        <v>371.09344638941201</v>
      </c>
      <c r="AD2792">
        <v>2.4549966899175502</v>
      </c>
      <c r="AE2792">
        <v>0.73712593317031905</v>
      </c>
      <c r="AF2792">
        <v>44.232804232804199</v>
      </c>
      <c r="AG2792">
        <f>IFERROR(AH2792*0.1, "N/A")</f>
        <v>6.8370370370370397</v>
      </c>
      <c r="AH2792">
        <v>68.370370370370395</v>
      </c>
      <c r="AI2792">
        <v>103.156580452356</v>
      </c>
      <c r="AJ2792">
        <v>33.936507936507901</v>
      </c>
      <c r="AK2792">
        <v>38.126984126984098</v>
      </c>
    </row>
    <row r="2793" spans="1:37" x14ac:dyDescent="0.3">
      <c r="A2793">
        <v>2792</v>
      </c>
      <c r="B2793">
        <v>76.900002000000001</v>
      </c>
      <c r="C2793">
        <v>44.400002000000001</v>
      </c>
      <c r="D2793">
        <v>1.6166700000000001</v>
      </c>
      <c r="E2793" t="s">
        <v>4827</v>
      </c>
      <c r="F2793" t="s">
        <v>4828</v>
      </c>
      <c r="G2793" t="s">
        <v>39</v>
      </c>
      <c r="H2793">
        <v>1987</v>
      </c>
      <c r="I2793">
        <v>26.299999237060501</v>
      </c>
      <c r="J2793">
        <v>7.5999999046325701</v>
      </c>
      <c r="K2793">
        <v>73</v>
      </c>
      <c r="L2793">
        <v>8.7148419585026495</v>
      </c>
      <c r="M2793">
        <v>31.799999237060501</v>
      </c>
      <c r="N2793">
        <v>21.399999618530298</v>
      </c>
      <c r="O2793">
        <v>10.3999996185303</v>
      </c>
      <c r="P2793">
        <v>26.799999237060501</v>
      </c>
      <c r="Q2793">
        <v>26.600000381469702</v>
      </c>
      <c r="R2793">
        <v>27.399999618530298</v>
      </c>
      <c r="S2793">
        <v>25.026936722473401</v>
      </c>
      <c r="T2793">
        <v>408.76232394366201</v>
      </c>
      <c r="U2793">
        <v>89.154929577464799</v>
      </c>
      <c r="V2793">
        <v>0</v>
      </c>
      <c r="W2793">
        <v>86.154929577464799</v>
      </c>
      <c r="X2793">
        <v>239.04049295774601</v>
      </c>
      <c r="Y2793">
        <v>1</v>
      </c>
      <c r="Z2793">
        <v>164.30985915493</v>
      </c>
      <c r="AA2793">
        <v>92</v>
      </c>
      <c r="AB2793">
        <v>0.121301993517809</v>
      </c>
      <c r="AC2793">
        <v>3.2815147761491601</v>
      </c>
      <c r="AD2793">
        <v>0.82523536514228502</v>
      </c>
      <c r="AE2793">
        <v>0.68064242601394698</v>
      </c>
      <c r="AF2793">
        <v>62.167253521126803</v>
      </c>
      <c r="AG2793">
        <f>IFERROR(AH2793*0.1, "N/A")</f>
        <v>7.6000000000000005</v>
      </c>
      <c r="AH2793">
        <v>76</v>
      </c>
      <c r="AI2793">
        <v>75.8110426244601</v>
      </c>
      <c r="AJ2793">
        <v>44.491197183098599</v>
      </c>
      <c r="AK2793">
        <v>24.505281690140801</v>
      </c>
    </row>
    <row r="2794" spans="1:37" x14ac:dyDescent="0.3">
      <c r="A2794">
        <v>2793</v>
      </c>
      <c r="B2794">
        <v>15.4</v>
      </c>
      <c r="C2794">
        <v>42.450802000000003</v>
      </c>
      <c r="D2794">
        <v>1.6371100000000001</v>
      </c>
      <c r="E2794" t="s">
        <v>4829</v>
      </c>
      <c r="F2794" t="s">
        <v>4830</v>
      </c>
      <c r="G2794" t="s">
        <v>39</v>
      </c>
      <c r="H2794">
        <v>1980</v>
      </c>
      <c r="I2794">
        <v>28.399999618530298</v>
      </c>
      <c r="J2794">
        <v>12.800000190734901</v>
      </c>
      <c r="K2794">
        <v>73</v>
      </c>
      <c r="L2794">
        <v>12.439999580383301</v>
      </c>
      <c r="M2794">
        <v>38.099998474121101</v>
      </c>
      <c r="N2794">
        <v>20.799999237060501</v>
      </c>
      <c r="O2794">
        <v>17.299999237060501</v>
      </c>
      <c r="P2794">
        <v>28.299999237060501</v>
      </c>
      <c r="Q2794">
        <v>29.799999237060501</v>
      </c>
      <c r="R2794">
        <v>29.899999618530298</v>
      </c>
      <c r="S2794">
        <v>26.600000381469702</v>
      </c>
      <c r="T2794">
        <v>492</v>
      </c>
      <c r="U2794">
        <v>121</v>
      </c>
      <c r="V2794">
        <v>3</v>
      </c>
      <c r="W2794">
        <v>94</v>
      </c>
      <c r="X2794">
        <v>231</v>
      </c>
      <c r="Y2794">
        <v>23</v>
      </c>
      <c r="Z2794">
        <v>141</v>
      </c>
      <c r="AA2794">
        <v>54</v>
      </c>
      <c r="AB2794">
        <v>3.8746912709857999</v>
      </c>
      <c r="AC2794">
        <v>0.309203628493188</v>
      </c>
      <c r="AD2794">
        <v>1.1423938016166599</v>
      </c>
      <c r="AE2794">
        <v>0.71275605751047599</v>
      </c>
      <c r="AF2794">
        <v>69.100175746924407</v>
      </c>
      <c r="AG2794">
        <f>IFERROR(AH2794*0.1, "N/A")</f>
        <v>7.282425307557121</v>
      </c>
      <c r="AH2794">
        <v>72.824253075571207</v>
      </c>
      <c r="AI2794">
        <v>241.39206367050201</v>
      </c>
      <c r="AJ2794">
        <v>27.351493848857601</v>
      </c>
      <c r="AK2794">
        <v>48.6485061511423</v>
      </c>
    </row>
    <row r="2795" spans="1:37" x14ac:dyDescent="0.3">
      <c r="A2795">
        <v>2794</v>
      </c>
      <c r="B2795">
        <v>62.099997999999999</v>
      </c>
      <c r="C2795">
        <v>44.583302000000003</v>
      </c>
      <c r="D2795">
        <v>1.6666700000000001</v>
      </c>
      <c r="E2795" t="s">
        <v>4831</v>
      </c>
      <c r="F2795" t="s">
        <v>4832</v>
      </c>
      <c r="G2795" t="s">
        <v>39</v>
      </c>
      <c r="H2795">
        <v>1987</v>
      </c>
      <c r="I2795">
        <v>26.100000381469702</v>
      </c>
      <c r="J2795">
        <v>7.6999998092651403</v>
      </c>
      <c r="K2795">
        <v>73.755281690140805</v>
      </c>
      <c r="L2795">
        <v>8.7237144406412703</v>
      </c>
      <c r="M2795">
        <v>31.700000762939499</v>
      </c>
      <c r="N2795">
        <v>21.275527779485099</v>
      </c>
      <c r="O2795">
        <v>10.424471542868799</v>
      </c>
      <c r="P2795">
        <v>26.600000381469702</v>
      </c>
      <c r="Q2795">
        <v>26.5</v>
      </c>
      <c r="R2795">
        <v>27.200000762939499</v>
      </c>
      <c r="S2795">
        <v>24.899999618530298</v>
      </c>
      <c r="T2795">
        <v>383.75</v>
      </c>
      <c r="U2795">
        <v>79.422535211267601</v>
      </c>
      <c r="V2795">
        <v>0</v>
      </c>
      <c r="W2795">
        <v>85.154929577464799</v>
      </c>
      <c r="X2795">
        <v>217.32746478873199</v>
      </c>
      <c r="Y2795">
        <v>2</v>
      </c>
      <c r="Z2795">
        <v>143.32746478873199</v>
      </c>
      <c r="AA2795">
        <v>94</v>
      </c>
      <c r="AB2795">
        <v>0.21232073071976801</v>
      </c>
      <c r="AC2795">
        <v>0.10922578554994</v>
      </c>
      <c r="AD2795">
        <v>0.78158899281226402</v>
      </c>
      <c r="AE2795">
        <v>0.73097906534520696</v>
      </c>
      <c r="AF2795">
        <v>68.132042253521107</v>
      </c>
      <c r="AG2795">
        <f>IFERROR(AH2795*0.1, "N/A")</f>
        <v>7.2283450704225309</v>
      </c>
      <c r="AH2795">
        <v>72.283450704225302</v>
      </c>
      <c r="AI2795">
        <v>144.346731078457</v>
      </c>
      <c r="AJ2795">
        <v>35.855633802816897</v>
      </c>
      <c r="AK2795">
        <v>33.577464788732399</v>
      </c>
    </row>
    <row r="2796" spans="1:37" x14ac:dyDescent="0.3">
      <c r="A2796">
        <v>2795</v>
      </c>
      <c r="B2796">
        <v>68.300003000000004</v>
      </c>
      <c r="C2796">
        <v>44.497199999999999</v>
      </c>
      <c r="D2796">
        <v>1.6902999999999999</v>
      </c>
      <c r="E2796" t="s">
        <v>4833</v>
      </c>
      <c r="F2796" t="s">
        <v>4834</v>
      </c>
      <c r="G2796" t="s">
        <v>39</v>
      </c>
      <c r="H2796">
        <v>1981</v>
      </c>
      <c r="I2796">
        <v>26.299999237060501</v>
      </c>
      <c r="J2796">
        <v>7.9000000953674299</v>
      </c>
      <c r="K2796">
        <v>73</v>
      </c>
      <c r="L2796">
        <v>9.1999998092651403</v>
      </c>
      <c r="M2796">
        <v>32</v>
      </c>
      <c r="N2796">
        <v>21.299999237060501</v>
      </c>
      <c r="O2796">
        <v>10.699999809265099</v>
      </c>
      <c r="P2796">
        <v>26.799999237060501</v>
      </c>
      <c r="Q2796">
        <v>26.700000762939499</v>
      </c>
      <c r="R2796">
        <v>27.399999618530298</v>
      </c>
      <c r="S2796">
        <v>25</v>
      </c>
      <c r="T2796">
        <v>400</v>
      </c>
      <c r="U2796">
        <v>87</v>
      </c>
      <c r="V2796">
        <v>0</v>
      </c>
      <c r="W2796">
        <v>86</v>
      </c>
      <c r="X2796">
        <v>230</v>
      </c>
      <c r="Y2796">
        <v>1</v>
      </c>
      <c r="Z2796">
        <v>158</v>
      </c>
      <c r="AA2796">
        <v>93</v>
      </c>
      <c r="AB2796">
        <v>0.82196786407846101</v>
      </c>
      <c r="AC2796">
        <v>1.3980074014731E-2</v>
      </c>
      <c r="AD2796">
        <v>0.81851967420226002</v>
      </c>
      <c r="AE2796">
        <v>0.56001842021942105</v>
      </c>
      <c r="AF2796">
        <v>65.657293497363796</v>
      </c>
      <c r="AG2796">
        <f>IFERROR(AH2796*0.1, "N/A")</f>
        <v>7.5492091388400695</v>
      </c>
      <c r="AH2796">
        <v>75.492091388400695</v>
      </c>
      <c r="AI2796">
        <v>240.73905840238501</v>
      </c>
      <c r="AJ2796">
        <v>42.246045694200298</v>
      </c>
      <c r="AK2796">
        <v>28.246045694200401</v>
      </c>
    </row>
    <row r="2797" spans="1:37" x14ac:dyDescent="0.3">
      <c r="A2797">
        <v>2796</v>
      </c>
      <c r="B2797">
        <v>65.699996999999996</v>
      </c>
      <c r="C2797">
        <v>44.417400000000001</v>
      </c>
      <c r="D2797">
        <v>1.6914199999999999</v>
      </c>
      <c r="E2797" t="s">
        <v>4835</v>
      </c>
      <c r="F2797" t="s">
        <v>4836</v>
      </c>
      <c r="G2797" t="s">
        <v>39</v>
      </c>
      <c r="H2797">
        <v>1981</v>
      </c>
      <c r="I2797">
        <v>26.399999618530298</v>
      </c>
      <c r="J2797">
        <v>7.9000000953674299</v>
      </c>
      <c r="K2797">
        <v>73</v>
      </c>
      <c r="L2797">
        <v>9.0207581848063807</v>
      </c>
      <c r="M2797">
        <v>32.099998474121101</v>
      </c>
      <c r="N2797">
        <v>21.399999618530298</v>
      </c>
      <c r="O2797">
        <v>10.699999809265099</v>
      </c>
      <c r="P2797">
        <v>26.842503808373099</v>
      </c>
      <c r="Q2797">
        <v>26.799999237060501</v>
      </c>
      <c r="R2797">
        <v>27.5</v>
      </c>
      <c r="S2797">
        <v>25.100000381469702</v>
      </c>
      <c r="T2797">
        <v>411</v>
      </c>
      <c r="U2797">
        <v>92.425044091710802</v>
      </c>
      <c r="V2797">
        <v>0</v>
      </c>
      <c r="W2797">
        <v>87</v>
      </c>
      <c r="X2797">
        <v>239.42504409171099</v>
      </c>
      <c r="Y2797">
        <v>1</v>
      </c>
      <c r="Z2797">
        <v>168.42504409171099</v>
      </c>
      <c r="AA2797">
        <v>90.574955908289198</v>
      </c>
      <c r="AB2797">
        <v>0.81834339632979602</v>
      </c>
      <c r="AC2797">
        <v>9.6291873581060006E-3</v>
      </c>
      <c r="AD2797">
        <v>1.10803864136785</v>
      </c>
      <c r="AE2797">
        <v>0.34188485145568798</v>
      </c>
      <c r="AF2797">
        <v>64.354497354497397</v>
      </c>
      <c r="AG2797">
        <f>IFERROR(AH2797*0.1, "N/A")</f>
        <v>7.7003527336860706</v>
      </c>
      <c r="AH2797">
        <v>77.003527336860699</v>
      </c>
      <c r="AI2797">
        <v>126.920059580862</v>
      </c>
      <c r="AJ2797">
        <v>46</v>
      </c>
      <c r="AK2797">
        <v>18</v>
      </c>
    </row>
    <row r="2798" spans="1:37" x14ac:dyDescent="0.3">
      <c r="A2798">
        <v>2797</v>
      </c>
      <c r="B2798">
        <v>74.199996999999996</v>
      </c>
      <c r="C2798">
        <v>44.683300000000003</v>
      </c>
      <c r="D2798">
        <v>1.7</v>
      </c>
      <c r="E2798" t="s">
        <v>4837</v>
      </c>
      <c r="F2798" t="s">
        <v>4838</v>
      </c>
      <c r="G2798" t="s">
        <v>39</v>
      </c>
      <c r="H2798">
        <v>1987</v>
      </c>
      <c r="I2798">
        <v>25.988028123345199</v>
      </c>
      <c r="J2798">
        <v>7.8000001907348597</v>
      </c>
      <c r="K2798">
        <v>74.049295774647902</v>
      </c>
      <c r="L2798">
        <v>8.7982746648116894</v>
      </c>
      <c r="M2798">
        <v>31.683099290015001</v>
      </c>
      <c r="N2798">
        <v>21.188028886284599</v>
      </c>
      <c r="O2798">
        <v>10.4950704037304</v>
      </c>
      <c r="P2798">
        <v>26.495070403730399</v>
      </c>
      <c r="Q2798">
        <v>26.388027741875401</v>
      </c>
      <c r="R2798">
        <v>27.088028504814901</v>
      </c>
      <c r="S2798">
        <v>24.7880275887503</v>
      </c>
      <c r="T2798">
        <v>372.05281690140799</v>
      </c>
      <c r="U2798">
        <v>75</v>
      </c>
      <c r="V2798">
        <v>0</v>
      </c>
      <c r="W2798">
        <v>85.183098591549296</v>
      </c>
      <c r="X2798">
        <v>206.76760563380299</v>
      </c>
      <c r="Y2798">
        <v>2</v>
      </c>
      <c r="Z2798">
        <v>132.76760563380299</v>
      </c>
      <c r="AA2798">
        <v>97.929577464788693</v>
      </c>
      <c r="AB2798">
        <v>0.79154722455521698</v>
      </c>
      <c r="AC2798">
        <v>2.3597403434236401</v>
      </c>
      <c r="AD2798">
        <v>0.71230180593023795</v>
      </c>
      <c r="AE2798">
        <v>0.42953622341156</v>
      </c>
      <c r="AF2798">
        <v>64.436619718309899</v>
      </c>
      <c r="AG2798">
        <f>IFERROR(AH2798*0.1, "N/A")</f>
        <v>6.9936619718309903</v>
      </c>
      <c r="AH2798">
        <v>69.936619718309899</v>
      </c>
      <c r="AI2798">
        <v>264.24977713571502</v>
      </c>
      <c r="AJ2798">
        <v>27.503521126760599</v>
      </c>
      <c r="AK2798">
        <v>50.207746478873197</v>
      </c>
    </row>
    <row r="2799" spans="1:37" x14ac:dyDescent="0.3">
      <c r="A2799">
        <v>2798</v>
      </c>
      <c r="B2799">
        <v>26.700001</v>
      </c>
      <c r="C2799">
        <v>44.770401</v>
      </c>
      <c r="D2799">
        <v>1.7159800000000001</v>
      </c>
      <c r="E2799" t="s">
        <v>4839</v>
      </c>
      <c r="F2799" t="s">
        <v>4840</v>
      </c>
      <c r="G2799" t="s">
        <v>39</v>
      </c>
      <c r="H2799">
        <v>1987</v>
      </c>
      <c r="I2799">
        <v>26.095430944003599</v>
      </c>
      <c r="J2799">
        <v>7.6091387577760798</v>
      </c>
      <c r="K2799">
        <v>75</v>
      </c>
      <c r="L2799">
        <v>8.3854834132538105</v>
      </c>
      <c r="M2799">
        <v>31.600000381469702</v>
      </c>
      <c r="N2799">
        <v>21.486291774756499</v>
      </c>
      <c r="O2799">
        <v>10.113708606713301</v>
      </c>
      <c r="P2799">
        <v>26.690861888007198</v>
      </c>
      <c r="Q2799">
        <v>26.395430181064199</v>
      </c>
      <c r="R2799">
        <v>27.190861888007198</v>
      </c>
      <c r="S2799">
        <v>24.990861125067799</v>
      </c>
      <c r="T2799">
        <v>332.69068541300499</v>
      </c>
      <c r="U2799">
        <v>74.091388400702996</v>
      </c>
      <c r="V2799">
        <v>0</v>
      </c>
      <c r="W2799">
        <v>86.862917398945498</v>
      </c>
      <c r="X2799">
        <v>183.82249560632701</v>
      </c>
      <c r="Y2799">
        <v>1.04569420035149</v>
      </c>
      <c r="Z2799">
        <v>110.731107205624</v>
      </c>
      <c r="AA2799">
        <v>88.411247803163505</v>
      </c>
      <c r="AB2799">
        <v>17.569420532937201</v>
      </c>
      <c r="AC2799">
        <v>7.0259522499356006E-2</v>
      </c>
      <c r="AD2799">
        <v>1.37272861531832</v>
      </c>
      <c r="AE2799">
        <v>0.65298563241958596</v>
      </c>
      <c r="AF2799">
        <v>16.8066783831283</v>
      </c>
      <c r="AG2799">
        <f>IFERROR(AH2799*0.1, "N/A")</f>
        <v>6.9971880492091403</v>
      </c>
      <c r="AH2799">
        <v>69.971880492091401</v>
      </c>
      <c r="AI2799">
        <v>129.74998291766499</v>
      </c>
      <c r="AJ2799">
        <v>22.968365553602801</v>
      </c>
      <c r="AK2799">
        <v>57.3796133567662</v>
      </c>
    </row>
    <row r="2800" spans="1:37" x14ac:dyDescent="0.3">
      <c r="A2800">
        <v>2799</v>
      </c>
      <c r="B2800">
        <v>56</v>
      </c>
      <c r="C2800">
        <v>44.466202000000003</v>
      </c>
      <c r="D2800">
        <v>1.7264200000000001</v>
      </c>
      <c r="E2800" t="s">
        <v>4841</v>
      </c>
      <c r="F2800" t="s">
        <v>4842</v>
      </c>
      <c r="G2800" t="s">
        <v>39</v>
      </c>
      <c r="H2800">
        <v>1981</v>
      </c>
      <c r="I2800">
        <v>26.399999618530298</v>
      </c>
      <c r="J2800">
        <v>8.1000003814697301</v>
      </c>
      <c r="K2800">
        <v>74</v>
      </c>
      <c r="L2800">
        <v>9.2432394430671003</v>
      </c>
      <c r="M2800">
        <v>32.299999237060497</v>
      </c>
      <c r="N2800">
        <v>21.399999618530298</v>
      </c>
      <c r="O2800">
        <v>10.8999996185303</v>
      </c>
      <c r="P2800">
        <v>26.8830981456058</v>
      </c>
      <c r="Q2800">
        <v>26.899999618530298</v>
      </c>
      <c r="R2800">
        <v>27.583098908545299</v>
      </c>
      <c r="S2800">
        <v>25.183099290015001</v>
      </c>
      <c r="T2800">
        <v>410</v>
      </c>
      <c r="U2800">
        <v>92</v>
      </c>
      <c r="V2800">
        <v>0</v>
      </c>
      <c r="W2800">
        <v>86</v>
      </c>
      <c r="X2800">
        <v>236</v>
      </c>
      <c r="Y2800">
        <v>2</v>
      </c>
      <c r="Z2800">
        <v>166.83098591549299</v>
      </c>
      <c r="AA2800">
        <v>144.16901408450701</v>
      </c>
      <c r="AB2800">
        <v>0.96531377711766198</v>
      </c>
      <c r="AC2800">
        <v>0.77088940332965095</v>
      </c>
      <c r="AD2800">
        <v>1.2385940360771099</v>
      </c>
      <c r="AE2800">
        <v>0.30582234263420099</v>
      </c>
      <c r="AF2800">
        <v>64.070422535211307</v>
      </c>
      <c r="AG2800">
        <f>IFERROR(AH2800*0.1, "N/A")</f>
        <v>7.7947183098591601</v>
      </c>
      <c r="AH2800">
        <v>77.947183098591594</v>
      </c>
      <c r="AI2800">
        <v>227.79936234380199</v>
      </c>
      <c r="AJ2800">
        <v>46.8204225352113</v>
      </c>
      <c r="AK2800">
        <v>18.0897887323944</v>
      </c>
    </row>
    <row r="2801" spans="1:37" x14ac:dyDescent="0.3">
      <c r="A2801">
        <v>2800</v>
      </c>
      <c r="B2801">
        <v>42.299999</v>
      </c>
      <c r="C2801">
        <v>44.465899999999998</v>
      </c>
      <c r="D2801">
        <v>1.72722</v>
      </c>
      <c r="E2801" t="s">
        <v>4843</v>
      </c>
      <c r="F2801" t="s">
        <v>4844</v>
      </c>
      <c r="G2801" t="s">
        <v>39</v>
      </c>
      <c r="H2801">
        <v>1980</v>
      </c>
      <c r="I2801">
        <v>26.399999618530298</v>
      </c>
      <c r="J2801">
        <v>8.1000003814697301</v>
      </c>
      <c r="K2801">
        <v>74</v>
      </c>
      <c r="L2801">
        <v>9.2494366202555902</v>
      </c>
      <c r="M2801">
        <v>32.299999237060497</v>
      </c>
      <c r="N2801">
        <v>21.399999618530298</v>
      </c>
      <c r="O2801">
        <v>10.8999996185303</v>
      </c>
      <c r="P2801">
        <v>26.898591162453201</v>
      </c>
      <c r="Q2801">
        <v>26.899999618530298</v>
      </c>
      <c r="R2801">
        <v>27.5985919253927</v>
      </c>
      <c r="S2801">
        <v>25.198592306862398</v>
      </c>
      <c r="T2801">
        <v>410</v>
      </c>
      <c r="U2801">
        <v>92</v>
      </c>
      <c r="V2801">
        <v>0</v>
      </c>
      <c r="W2801">
        <v>86</v>
      </c>
      <c r="X2801">
        <v>236</v>
      </c>
      <c r="Y2801">
        <v>2</v>
      </c>
      <c r="Z2801">
        <v>166.98591549295799</v>
      </c>
      <c r="AA2801">
        <v>144.01408450704201</v>
      </c>
      <c r="AB2801">
        <v>1.16707451242796</v>
      </c>
      <c r="AC2801">
        <v>0.14195448783075501</v>
      </c>
      <c r="AD2801">
        <v>1.5276165936194701</v>
      </c>
      <c r="AE2801">
        <v>0.30582234263420099</v>
      </c>
      <c r="AF2801">
        <v>65.434859154929597</v>
      </c>
      <c r="AG2801">
        <f>IFERROR(AH2801*0.1, "N/A")</f>
        <v>7.7985915492957805</v>
      </c>
      <c r="AH2801">
        <v>77.985915492957801</v>
      </c>
      <c r="AI2801">
        <v>160.71337250588601</v>
      </c>
      <c r="AJ2801">
        <v>47.014084507042199</v>
      </c>
      <c r="AK2801">
        <v>17.966549295774598</v>
      </c>
    </row>
    <row r="2802" spans="1:37" x14ac:dyDescent="0.3">
      <c r="A2802">
        <v>2801</v>
      </c>
      <c r="B2802">
        <v>51.5</v>
      </c>
      <c r="C2802">
        <v>44.442698999999998</v>
      </c>
      <c r="D2802">
        <v>1.7276499999999999</v>
      </c>
      <c r="E2802" t="s">
        <v>4845</v>
      </c>
      <c r="F2802" t="s">
        <v>4846</v>
      </c>
      <c r="G2802" t="s">
        <v>39</v>
      </c>
      <c r="H2802">
        <v>1981</v>
      </c>
      <c r="I2802">
        <v>26.5</v>
      </c>
      <c r="J2802">
        <v>8.1000003814697301</v>
      </c>
      <c r="K2802">
        <v>74</v>
      </c>
      <c r="L2802">
        <v>9.3100004196166992</v>
      </c>
      <c r="M2802">
        <v>32.299999237060497</v>
      </c>
      <c r="N2802">
        <v>21.399999618530298</v>
      </c>
      <c r="O2802">
        <v>10.8999996185303</v>
      </c>
      <c r="P2802">
        <v>27</v>
      </c>
      <c r="Q2802">
        <v>26.899999618530298</v>
      </c>
      <c r="R2802">
        <v>27.600000381469702</v>
      </c>
      <c r="S2802">
        <v>25.200000762939499</v>
      </c>
      <c r="T2802">
        <v>415</v>
      </c>
      <c r="U2802">
        <v>94</v>
      </c>
      <c r="V2802">
        <v>0</v>
      </c>
      <c r="W2802">
        <v>87</v>
      </c>
      <c r="X2802">
        <v>239</v>
      </c>
      <c r="Y2802">
        <v>2</v>
      </c>
      <c r="Z2802">
        <v>170</v>
      </c>
      <c r="AA2802">
        <v>144</v>
      </c>
      <c r="AB2802">
        <v>0.33989517131463498</v>
      </c>
      <c r="AC2802">
        <v>2.8974232138453702</v>
      </c>
      <c r="AD2802">
        <v>0.45528037497783602</v>
      </c>
      <c r="AE2802">
        <v>0.28447780013084401</v>
      </c>
      <c r="AF2802">
        <v>63.349736379613397</v>
      </c>
      <c r="AG2802">
        <f>IFERROR(AH2802*0.1, "N/A")</f>
        <v>7.8045694200351505</v>
      </c>
      <c r="AH2802">
        <v>78.045694200351505</v>
      </c>
      <c r="AI2802">
        <v>154.35866387070601</v>
      </c>
      <c r="AJ2802">
        <v>45.091388400703003</v>
      </c>
      <c r="AK2802">
        <v>18.862917398945498</v>
      </c>
    </row>
    <row r="2803" spans="1:37" x14ac:dyDescent="0.3">
      <c r="A2803">
        <v>2802</v>
      </c>
      <c r="B2803">
        <v>54.599997999999999</v>
      </c>
      <c r="C2803">
        <v>44.469002000000003</v>
      </c>
      <c r="D2803">
        <v>1.7347300000000001</v>
      </c>
      <c r="E2803" t="s">
        <v>4847</v>
      </c>
      <c r="F2803" t="s">
        <v>4848</v>
      </c>
      <c r="G2803" t="s">
        <v>39</v>
      </c>
      <c r="H2803">
        <v>1981</v>
      </c>
      <c r="I2803">
        <v>26.399999618530298</v>
      </c>
      <c r="J2803">
        <v>8.1000003814697301</v>
      </c>
      <c r="K2803">
        <v>74</v>
      </c>
      <c r="L2803">
        <v>9.4099998474121094</v>
      </c>
      <c r="M2803">
        <v>32.299999237060497</v>
      </c>
      <c r="N2803">
        <v>21.399999618530298</v>
      </c>
      <c r="O2803">
        <v>10.8999996185303</v>
      </c>
      <c r="P2803">
        <v>27</v>
      </c>
      <c r="Q2803">
        <v>26.899999618530298</v>
      </c>
      <c r="R2803">
        <v>27.600000381469702</v>
      </c>
      <c r="S2803">
        <v>25.200000762939499</v>
      </c>
      <c r="T2803">
        <v>411</v>
      </c>
      <c r="U2803">
        <v>92</v>
      </c>
      <c r="V2803">
        <v>0</v>
      </c>
      <c r="W2803">
        <v>86</v>
      </c>
      <c r="X2803">
        <v>236</v>
      </c>
      <c r="Y2803">
        <v>2</v>
      </c>
      <c r="Z2803">
        <v>167</v>
      </c>
      <c r="AA2803">
        <v>144</v>
      </c>
      <c r="AB2803">
        <v>0.64666572704649805</v>
      </c>
      <c r="AC2803">
        <v>6.5108610261656503</v>
      </c>
      <c r="AD2803">
        <v>0.88325428764025304</v>
      </c>
      <c r="AE2803">
        <v>0.28510616128904798</v>
      </c>
      <c r="AF2803">
        <v>67.178947368421007</v>
      </c>
      <c r="AG2803">
        <f>IFERROR(AH2803*0.1, "N/A")</f>
        <v>7.8010526315789512</v>
      </c>
      <c r="AH2803">
        <v>78.010526315789505</v>
      </c>
      <c r="AI2803">
        <v>108.655083532501</v>
      </c>
      <c r="AJ2803">
        <v>47.484210526315799</v>
      </c>
      <c r="AK2803">
        <v>21.294736842105301</v>
      </c>
    </row>
    <row r="2804" spans="1:37" x14ac:dyDescent="0.3">
      <c r="A2804">
        <v>2803</v>
      </c>
      <c r="B2804">
        <v>62.200001</v>
      </c>
      <c r="C2804">
        <v>44.485599999999998</v>
      </c>
      <c r="D2804">
        <v>1.74899</v>
      </c>
      <c r="E2804" t="s">
        <v>4849</v>
      </c>
      <c r="F2804" t="s">
        <v>4850</v>
      </c>
      <c r="G2804" t="s">
        <v>39</v>
      </c>
      <c r="H2804">
        <v>1981</v>
      </c>
      <c r="I2804">
        <v>26.399999618530298</v>
      </c>
      <c r="J2804">
        <v>8.1000003814697301</v>
      </c>
      <c r="K2804">
        <v>72</v>
      </c>
      <c r="L2804">
        <v>9.5799999237060494</v>
      </c>
      <c r="M2804">
        <v>32.400001525878899</v>
      </c>
      <c r="N2804">
        <v>21.299999237060501</v>
      </c>
      <c r="O2804">
        <v>11.1000003814697</v>
      </c>
      <c r="P2804">
        <v>26.899999618530298</v>
      </c>
      <c r="Q2804">
        <v>26.899999618530298</v>
      </c>
      <c r="R2804">
        <v>27.700000762939499</v>
      </c>
      <c r="S2804">
        <v>25.100000381469702</v>
      </c>
      <c r="T2804">
        <v>411</v>
      </c>
      <c r="U2804">
        <v>92</v>
      </c>
      <c r="V2804">
        <v>0</v>
      </c>
      <c r="W2804">
        <v>85</v>
      </c>
      <c r="X2804">
        <v>235</v>
      </c>
      <c r="Y2804">
        <v>2</v>
      </c>
      <c r="Z2804">
        <v>166</v>
      </c>
      <c r="AA2804">
        <v>144</v>
      </c>
      <c r="AB2804">
        <v>0.279999957168311</v>
      </c>
      <c r="AC2804">
        <v>0.72225018104440297</v>
      </c>
      <c r="AD2804">
        <v>0.82790074923582202</v>
      </c>
      <c r="AE2804">
        <v>0.33644847880329998</v>
      </c>
      <c r="AF2804">
        <v>67.508771929824505</v>
      </c>
      <c r="AG2804">
        <f>IFERROR(AH2804*0.1, "N/A")</f>
        <v>7.6449122807017504</v>
      </c>
      <c r="AH2804">
        <v>76.449122807017503</v>
      </c>
      <c r="AI2804">
        <v>284.29697137129898</v>
      </c>
      <c r="AJ2804">
        <v>45.585964912280701</v>
      </c>
      <c r="AK2804">
        <v>21.926315789473701</v>
      </c>
    </row>
    <row r="2805" spans="1:37" x14ac:dyDescent="0.3">
      <c r="A2805">
        <v>2804</v>
      </c>
      <c r="B2805">
        <v>45.900002000000001</v>
      </c>
      <c r="C2805">
        <v>44.563899999999997</v>
      </c>
      <c r="D2805">
        <v>1.7629999999999999</v>
      </c>
      <c r="E2805" t="s">
        <v>4851</v>
      </c>
      <c r="F2805" t="s">
        <v>4852</v>
      </c>
      <c r="G2805" t="s">
        <v>39</v>
      </c>
      <c r="H2805">
        <v>1981</v>
      </c>
      <c r="I2805">
        <v>26.399999618530298</v>
      </c>
      <c r="J2805">
        <v>8.1999998092651403</v>
      </c>
      <c r="K2805">
        <v>73</v>
      </c>
      <c r="L2805">
        <v>9.1899995803833008</v>
      </c>
      <c r="M2805">
        <v>32.400001525878899</v>
      </c>
      <c r="N2805">
        <v>21.299999237060501</v>
      </c>
      <c r="O2805">
        <v>11.1000003814697</v>
      </c>
      <c r="P2805">
        <v>26.899999618530298</v>
      </c>
      <c r="Q2805">
        <v>26.899999618530298</v>
      </c>
      <c r="R2805">
        <v>27.600000381469702</v>
      </c>
      <c r="S2805">
        <v>25.100000381469702</v>
      </c>
      <c r="T2805">
        <v>406</v>
      </c>
      <c r="U2805">
        <v>88</v>
      </c>
      <c r="V2805">
        <v>0</v>
      </c>
      <c r="W2805">
        <v>85</v>
      </c>
      <c r="X2805">
        <v>228</v>
      </c>
      <c r="Y2805">
        <v>2</v>
      </c>
      <c r="Z2805">
        <v>159</v>
      </c>
      <c r="AA2805">
        <v>95</v>
      </c>
      <c r="AB2805">
        <v>0.69912025050113102</v>
      </c>
      <c r="AC2805">
        <v>2.0610248848076999E-2</v>
      </c>
      <c r="AD2805">
        <v>0.58785621142178202</v>
      </c>
      <c r="AE2805">
        <v>0.423263669013977</v>
      </c>
      <c r="AF2805">
        <v>66.698245614035102</v>
      </c>
      <c r="AG2805">
        <f>IFERROR(AH2805*0.1, "N/A")</f>
        <v>7.3449122807017506</v>
      </c>
      <c r="AH2805">
        <v>73.449122807017503</v>
      </c>
      <c r="AI2805">
        <v>214.88835186874701</v>
      </c>
      <c r="AJ2805">
        <v>40.526315789473699</v>
      </c>
      <c r="AK2805">
        <v>30.796491228070199</v>
      </c>
    </row>
    <row r="2806" spans="1:37" x14ac:dyDescent="0.3">
      <c r="A2806">
        <v>2805</v>
      </c>
      <c r="B2806">
        <v>53.400002000000001</v>
      </c>
      <c r="C2806">
        <v>44.501099000000004</v>
      </c>
      <c r="D2806">
        <v>1.76814</v>
      </c>
      <c r="E2806" t="s">
        <v>4853</v>
      </c>
      <c r="F2806" t="s">
        <v>4854</v>
      </c>
      <c r="G2806" t="s">
        <v>39</v>
      </c>
      <c r="H2806">
        <v>1981</v>
      </c>
      <c r="I2806">
        <v>26.399999618530298</v>
      </c>
      <c r="J2806">
        <v>8.3000001907348597</v>
      </c>
      <c r="K2806">
        <v>74</v>
      </c>
      <c r="L2806">
        <v>9.3500003814697301</v>
      </c>
      <c r="M2806">
        <v>32.5</v>
      </c>
      <c r="N2806">
        <v>21.399999618530298</v>
      </c>
      <c r="O2806">
        <v>11.1000003814697</v>
      </c>
      <c r="P2806">
        <v>26.899999618530298</v>
      </c>
      <c r="Q2806">
        <v>26.899999618530298</v>
      </c>
      <c r="R2806">
        <v>27.600000381469702</v>
      </c>
      <c r="S2806">
        <v>25.200000762939499</v>
      </c>
      <c r="T2806">
        <v>414</v>
      </c>
      <c r="U2806">
        <v>93</v>
      </c>
      <c r="V2806">
        <v>0</v>
      </c>
      <c r="W2806">
        <v>86</v>
      </c>
      <c r="X2806">
        <v>236</v>
      </c>
      <c r="Y2806">
        <v>2</v>
      </c>
      <c r="Z2806">
        <v>168</v>
      </c>
      <c r="AA2806">
        <v>92</v>
      </c>
      <c r="AB2806">
        <v>0.57324128755381398</v>
      </c>
      <c r="AC2806">
        <v>2.5366053448360399</v>
      </c>
      <c r="AD2806">
        <v>0.68570016660320898</v>
      </c>
      <c r="AE2806">
        <v>0.60960286855697599</v>
      </c>
      <c r="AF2806">
        <v>67.413732394366207</v>
      </c>
      <c r="AG2806">
        <f>IFERROR(AH2806*0.1, "N/A")</f>
        <v>7.7933098591549301</v>
      </c>
      <c r="AH2806">
        <v>77.933098591549296</v>
      </c>
      <c r="AI2806">
        <v>213.98644181372401</v>
      </c>
      <c r="AJ2806">
        <v>47.757042253521099</v>
      </c>
      <c r="AK2806">
        <v>18.0193661971831</v>
      </c>
    </row>
    <row r="2807" spans="1:37" x14ac:dyDescent="0.3">
      <c r="A2807">
        <v>2806</v>
      </c>
      <c r="B2807">
        <v>38</v>
      </c>
      <c r="C2807">
        <v>44.569302</v>
      </c>
      <c r="D2807">
        <v>1.7690600000000001</v>
      </c>
      <c r="E2807" t="s">
        <v>4855</v>
      </c>
      <c r="F2807" t="s">
        <v>4856</v>
      </c>
      <c r="G2807" t="s">
        <v>39</v>
      </c>
      <c r="H2807">
        <v>1981</v>
      </c>
      <c r="I2807">
        <v>26.399999618530298</v>
      </c>
      <c r="J2807">
        <v>8.1999998092651403</v>
      </c>
      <c r="K2807">
        <v>73</v>
      </c>
      <c r="L2807">
        <v>9.2799997329711896</v>
      </c>
      <c r="M2807">
        <v>32.400001525878899</v>
      </c>
      <c r="N2807">
        <v>21.299999237060501</v>
      </c>
      <c r="O2807">
        <v>11.1000003814697</v>
      </c>
      <c r="P2807">
        <v>26.899999618530298</v>
      </c>
      <c r="Q2807">
        <v>26.799999237060501</v>
      </c>
      <c r="R2807">
        <v>27.600000381469702</v>
      </c>
      <c r="S2807">
        <v>25.100000381469702</v>
      </c>
      <c r="T2807">
        <v>408</v>
      </c>
      <c r="U2807">
        <v>88</v>
      </c>
      <c r="V2807">
        <v>0</v>
      </c>
      <c r="W2807">
        <v>83</v>
      </c>
      <c r="X2807">
        <v>229</v>
      </c>
      <c r="Y2807">
        <v>3</v>
      </c>
      <c r="Z2807">
        <v>161</v>
      </c>
      <c r="AA2807">
        <v>95</v>
      </c>
      <c r="AB2807">
        <v>1.76942269538115</v>
      </c>
      <c r="AC2807">
        <v>1.2568040909687999E-2</v>
      </c>
      <c r="AD2807">
        <v>0.81262289985411995</v>
      </c>
      <c r="AE2807">
        <v>0.54258507490158103</v>
      </c>
      <c r="AF2807">
        <v>68.344463971880501</v>
      </c>
      <c r="AG2807">
        <f>IFERROR(AH2807*0.1, "N/A")</f>
        <v>7.4841827768014104</v>
      </c>
      <c r="AH2807">
        <v>74.841827768014099</v>
      </c>
      <c r="AI2807">
        <v>179.08653047424201</v>
      </c>
      <c r="AJ2807">
        <v>40.395430579964902</v>
      </c>
      <c r="AK2807">
        <v>33.892794376098401</v>
      </c>
    </row>
    <row r="2808" spans="1:37" x14ac:dyDescent="0.3">
      <c r="A2808">
        <v>2807</v>
      </c>
      <c r="B2808">
        <v>31.6</v>
      </c>
      <c r="C2808">
        <v>44.548000000000002</v>
      </c>
      <c r="D2808">
        <v>1.7844599999999999</v>
      </c>
      <c r="E2808" t="s">
        <v>4857</v>
      </c>
      <c r="F2808" t="s">
        <v>4858</v>
      </c>
      <c r="G2808" t="s">
        <v>39</v>
      </c>
      <c r="H2808">
        <v>1981</v>
      </c>
      <c r="I2808">
        <v>26.399999618530298</v>
      </c>
      <c r="J2808">
        <v>8.3000001907348597</v>
      </c>
      <c r="K2808">
        <v>73</v>
      </c>
      <c r="L2808">
        <v>9.5100002288818395</v>
      </c>
      <c r="M2808">
        <v>32.599998474121101</v>
      </c>
      <c r="N2808">
        <v>21.299999237060501</v>
      </c>
      <c r="O2808">
        <v>11.300000190734901</v>
      </c>
      <c r="P2808">
        <v>26.899999618530298</v>
      </c>
      <c r="Q2808">
        <v>27</v>
      </c>
      <c r="R2808">
        <v>27.600000381469702</v>
      </c>
      <c r="S2808">
        <v>25.100000381469702</v>
      </c>
      <c r="T2808">
        <v>413</v>
      </c>
      <c r="U2808">
        <v>91</v>
      </c>
      <c r="V2808">
        <v>0</v>
      </c>
      <c r="W2808">
        <v>85</v>
      </c>
      <c r="X2808">
        <v>233</v>
      </c>
      <c r="Y2808">
        <v>3</v>
      </c>
      <c r="Z2808">
        <v>166</v>
      </c>
      <c r="AA2808">
        <v>146</v>
      </c>
      <c r="AB2808">
        <v>2.2911972798092299</v>
      </c>
      <c r="AC2808">
        <v>1.4319880157184E-2</v>
      </c>
      <c r="AD2808">
        <v>0.94540432956017295</v>
      </c>
      <c r="AE2808">
        <v>0.41249809445629698</v>
      </c>
      <c r="AF2808">
        <v>68.834507042253506</v>
      </c>
      <c r="AG2808">
        <f>IFERROR(AH2808*0.1, "N/A")</f>
        <v>7.7130281690140912</v>
      </c>
      <c r="AH2808">
        <v>77.130281690140905</v>
      </c>
      <c r="AI2808">
        <v>89.099951462006899</v>
      </c>
      <c r="AJ2808">
        <v>44.971830985915503</v>
      </c>
      <c r="AK2808">
        <v>27.9489436619718</v>
      </c>
    </row>
    <row r="2809" spans="1:37" x14ac:dyDescent="0.3">
      <c r="A2809">
        <v>2808</v>
      </c>
      <c r="B2809">
        <v>60.700001</v>
      </c>
      <c r="C2809">
        <v>44.700001</v>
      </c>
      <c r="D2809">
        <v>1.8</v>
      </c>
      <c r="E2809" t="s">
        <v>4859</v>
      </c>
      <c r="F2809" t="s">
        <v>4860</v>
      </c>
      <c r="G2809" t="s">
        <v>39</v>
      </c>
      <c r="H2809">
        <v>1987</v>
      </c>
      <c r="I2809">
        <v>26.299999237060501</v>
      </c>
      <c r="J2809">
        <v>8.3999996185302699</v>
      </c>
      <c r="K2809">
        <v>73.673721340387999</v>
      </c>
      <c r="L2809">
        <v>9.5381304910784301</v>
      </c>
      <c r="M2809">
        <v>32.532627368099497</v>
      </c>
      <c r="N2809">
        <v>21.200000762939499</v>
      </c>
      <c r="O2809">
        <v>11.3326278699979</v>
      </c>
      <c r="P2809">
        <v>26.799999237060501</v>
      </c>
      <c r="Q2809">
        <v>26.899999618530298</v>
      </c>
      <c r="R2809">
        <v>27.532627990426601</v>
      </c>
      <c r="S2809">
        <v>25</v>
      </c>
      <c r="T2809">
        <v>418.125220458554</v>
      </c>
      <c r="U2809">
        <v>84.326278659612001</v>
      </c>
      <c r="V2809">
        <v>0</v>
      </c>
      <c r="W2809">
        <v>82.881834215167601</v>
      </c>
      <c r="X2809">
        <v>227.562610229277</v>
      </c>
      <c r="Y2809">
        <v>3</v>
      </c>
      <c r="Z2809">
        <v>157.770723104056</v>
      </c>
      <c r="AA2809">
        <v>159.47442680776001</v>
      </c>
      <c r="AB2809">
        <v>1.8682553864871001</v>
      </c>
      <c r="AC2809">
        <v>0.86723239917630002</v>
      </c>
      <c r="AD2809">
        <v>2.51001822380793</v>
      </c>
      <c r="AE2809">
        <v>0.73712015151977495</v>
      </c>
      <c r="AF2809">
        <v>73.987654320987701</v>
      </c>
      <c r="AG2809">
        <f>IFERROR(AH2809*0.1, "N/A")</f>
        <v>7.0026455026454997</v>
      </c>
      <c r="AH2809">
        <v>70.026455026454997</v>
      </c>
      <c r="AI2809">
        <v>223.939161552954</v>
      </c>
      <c r="AJ2809">
        <v>32.148148148148103</v>
      </c>
      <c r="AK2809">
        <v>39.617283950617299</v>
      </c>
    </row>
    <row r="2810" spans="1:37" x14ac:dyDescent="0.3">
      <c r="A2810">
        <v>2809</v>
      </c>
      <c r="B2810">
        <v>76.5</v>
      </c>
      <c r="C2810">
        <v>44.696499000000003</v>
      </c>
      <c r="D2810">
        <v>1.80803</v>
      </c>
      <c r="E2810" t="s">
        <v>4861</v>
      </c>
      <c r="F2810" t="s">
        <v>4862</v>
      </c>
      <c r="G2810" t="s">
        <v>39</v>
      </c>
      <c r="H2810">
        <v>1975</v>
      </c>
      <c r="I2810">
        <v>26.328244958844099</v>
      </c>
      <c r="J2810">
        <v>8.4282453403138309</v>
      </c>
      <c r="K2810">
        <v>73</v>
      </c>
      <c r="L2810">
        <v>9.8806144547044195</v>
      </c>
      <c r="M2810">
        <v>32.628244734646998</v>
      </c>
      <c r="N2810">
        <v>21.200000762939499</v>
      </c>
      <c r="O2810">
        <v>11.428245340313801</v>
      </c>
      <c r="P2810">
        <v>26.828244958844099</v>
      </c>
      <c r="Q2810">
        <v>26.928245340313801</v>
      </c>
      <c r="R2810">
        <v>27.6282461032533</v>
      </c>
      <c r="S2810">
        <v>25</v>
      </c>
      <c r="T2810">
        <v>420.97719298245602</v>
      </c>
      <c r="U2810">
        <v>85.282456140350902</v>
      </c>
      <c r="V2810">
        <v>0</v>
      </c>
      <c r="W2810">
        <v>82.717543859649098</v>
      </c>
      <c r="X2810">
        <v>228.84736842105301</v>
      </c>
      <c r="Y2810">
        <v>3.2824561403508801</v>
      </c>
      <c r="Z2810">
        <v>160.12982456140301</v>
      </c>
      <c r="AA2810">
        <v>159.282456140351</v>
      </c>
      <c r="AB2810">
        <v>2.0807008575974799</v>
      </c>
      <c r="AC2810">
        <v>1.2320894228393E-2</v>
      </c>
      <c r="AD2810">
        <v>0.64712914385293696</v>
      </c>
      <c r="AE2810">
        <v>0.741679906845093</v>
      </c>
      <c r="AF2810">
        <v>71.880701754385996</v>
      </c>
      <c r="AG2810">
        <f>IFERROR(AH2810*0.1, "N/A")</f>
        <v>7.2982456140350909</v>
      </c>
      <c r="AH2810">
        <v>72.982456140350905</v>
      </c>
      <c r="AI2810">
        <v>178.05718512953399</v>
      </c>
      <c r="AJ2810">
        <v>33.052631578947398</v>
      </c>
      <c r="AK2810">
        <v>36.143859649122803</v>
      </c>
    </row>
    <row r="2811" spans="1:37" x14ac:dyDescent="0.3">
      <c r="A2811">
        <v>2810</v>
      </c>
      <c r="B2811">
        <v>54.5</v>
      </c>
      <c r="C2811">
        <v>44.696097999999999</v>
      </c>
      <c r="D2811">
        <v>1.8089500000000001</v>
      </c>
      <c r="E2811" t="s">
        <v>4863</v>
      </c>
      <c r="F2811" t="s">
        <v>4864</v>
      </c>
      <c r="G2811" t="s">
        <v>39</v>
      </c>
      <c r="H2811">
        <v>1956</v>
      </c>
      <c r="I2811">
        <v>26.396139954684099</v>
      </c>
      <c r="J2811">
        <v>8.4961403361538004</v>
      </c>
      <c r="K2811">
        <v>73</v>
      </c>
      <c r="L2811">
        <v>10.0503512968097</v>
      </c>
      <c r="M2811">
        <v>32.696141025476301</v>
      </c>
      <c r="N2811">
        <v>21.200000762939499</v>
      </c>
      <c r="O2811">
        <v>11.4961403361538</v>
      </c>
      <c r="P2811">
        <v>26.896139954684099</v>
      </c>
      <c r="Q2811">
        <v>26.9961403361538</v>
      </c>
      <c r="R2811">
        <v>27.6961410990933</v>
      </c>
      <c r="S2811">
        <v>25</v>
      </c>
      <c r="T2811">
        <v>425.72982456140397</v>
      </c>
      <c r="U2811">
        <v>85.961403508771895</v>
      </c>
      <c r="V2811">
        <v>0</v>
      </c>
      <c r="W2811">
        <v>82.038596491228105</v>
      </c>
      <c r="X2811">
        <v>230.884210526316</v>
      </c>
      <c r="Y2811">
        <v>3.9614035087719301</v>
      </c>
      <c r="Z2811">
        <v>162.845614035088</v>
      </c>
      <c r="AA2811">
        <v>159.96140350877201</v>
      </c>
      <c r="AB2811">
        <v>1.77807158085338</v>
      </c>
      <c r="AC2811">
        <v>3.6542980997054997E-2</v>
      </c>
      <c r="AD2811">
        <v>0.62667434895247698</v>
      </c>
      <c r="AE2811">
        <v>0.741679906845093</v>
      </c>
      <c r="AF2811">
        <v>72.501754385964901</v>
      </c>
      <c r="AG2811">
        <f>IFERROR(AH2811*0.1, "N/A")</f>
        <v>7.1749122807017507</v>
      </c>
      <c r="AH2811">
        <v>71.7491228070175</v>
      </c>
      <c r="AI2811">
        <v>250.31088795578299</v>
      </c>
      <c r="AJ2811">
        <v>34.696491228070201</v>
      </c>
      <c r="AK2811">
        <v>35.687719298245597</v>
      </c>
    </row>
    <row r="2812" spans="1:37" x14ac:dyDescent="0.3">
      <c r="A2812">
        <v>2811</v>
      </c>
      <c r="B2812">
        <v>4.9000000000000004</v>
      </c>
      <c r="C2812">
        <v>44.299999</v>
      </c>
      <c r="D2812">
        <v>1.81</v>
      </c>
      <c r="E2812" t="s">
        <v>4865</v>
      </c>
      <c r="F2812" t="s">
        <v>4866</v>
      </c>
      <c r="G2812" t="s">
        <v>39</v>
      </c>
      <c r="H2812">
        <v>1987</v>
      </c>
      <c r="I2812">
        <v>26.799999237060501</v>
      </c>
      <c r="J2812">
        <v>8.5</v>
      </c>
      <c r="K2812">
        <v>73</v>
      </c>
      <c r="L2812">
        <v>9.5383978125075206</v>
      </c>
      <c r="M2812">
        <v>33</v>
      </c>
      <c r="N2812">
        <v>21.5</v>
      </c>
      <c r="O2812">
        <v>11.5</v>
      </c>
      <c r="P2812">
        <v>27.299999237060501</v>
      </c>
      <c r="Q2812">
        <v>27.283978354763001</v>
      </c>
      <c r="R2812">
        <v>28</v>
      </c>
      <c r="S2812">
        <v>25.5</v>
      </c>
      <c r="T2812">
        <v>443.83978873239403</v>
      </c>
      <c r="U2812">
        <v>110</v>
      </c>
      <c r="V2812">
        <v>0</v>
      </c>
      <c r="W2812">
        <v>90.320422535211193</v>
      </c>
      <c r="X2812">
        <v>260.83978873239403</v>
      </c>
      <c r="Y2812">
        <v>2</v>
      </c>
      <c r="Z2812">
        <v>198.839788732394</v>
      </c>
      <c r="AA2812">
        <v>130</v>
      </c>
      <c r="AB2812">
        <v>0.11390933184556599</v>
      </c>
      <c r="AC2812">
        <v>0.412231040984051</v>
      </c>
      <c r="AD2812">
        <v>0.79123768325842603</v>
      </c>
      <c r="AE2812">
        <v>0.69446778297424305</v>
      </c>
      <c r="AF2812">
        <v>63.450704225352098</v>
      </c>
      <c r="AG2812">
        <f>IFERROR(AH2812*0.1, "N/A")</f>
        <v>7.1774647887323901</v>
      </c>
      <c r="AH2812">
        <v>71.774647887323894</v>
      </c>
      <c r="AI2812">
        <v>198.151134679015</v>
      </c>
      <c r="AJ2812">
        <v>36.559859154929597</v>
      </c>
      <c r="AK2812">
        <v>40.549295774647902</v>
      </c>
    </row>
    <row r="2813" spans="1:37" x14ac:dyDescent="0.3">
      <c r="A2813">
        <v>2812</v>
      </c>
      <c r="B2813">
        <v>87.099997999999999</v>
      </c>
      <c r="C2813">
        <v>44.700001</v>
      </c>
      <c r="D2813">
        <v>1.85</v>
      </c>
      <c r="E2813" t="s">
        <v>4867</v>
      </c>
      <c r="F2813" t="s">
        <v>4868</v>
      </c>
      <c r="G2813" t="s">
        <v>39</v>
      </c>
      <c r="H2813">
        <v>1990</v>
      </c>
      <c r="I2813">
        <v>26.5</v>
      </c>
      <c r="J2813">
        <v>8.6816900548800593</v>
      </c>
      <c r="K2813">
        <v>73.767605633802802</v>
      </c>
      <c r="L2813">
        <v>9.7526057807492492</v>
      </c>
      <c r="M2813">
        <v>33</v>
      </c>
      <c r="N2813">
        <v>21.295069734815101</v>
      </c>
      <c r="O2813">
        <v>11.7049294055348</v>
      </c>
      <c r="P2813">
        <v>27</v>
      </c>
      <c r="Q2813">
        <v>27.100000381469702</v>
      </c>
      <c r="R2813">
        <v>27.718310342708101</v>
      </c>
      <c r="S2813">
        <v>25.195071166669798</v>
      </c>
      <c r="T2813">
        <v>443.02112676056299</v>
      </c>
      <c r="U2813">
        <v>90.816901408450704</v>
      </c>
      <c r="V2813">
        <v>0</v>
      </c>
      <c r="W2813">
        <v>81.690140845070403</v>
      </c>
      <c r="X2813">
        <v>239.17605633802799</v>
      </c>
      <c r="Y2813">
        <v>4</v>
      </c>
      <c r="Z2813">
        <v>172.99295774647899</v>
      </c>
      <c r="AA2813">
        <v>159.035211267606</v>
      </c>
      <c r="AB2813">
        <v>0.57182988986163097</v>
      </c>
      <c r="AC2813">
        <v>8.3825467705306994E-2</v>
      </c>
      <c r="AD2813">
        <v>1.24774968078439</v>
      </c>
      <c r="AE2813">
        <v>0.70479273796081499</v>
      </c>
      <c r="AF2813">
        <v>70.021126760563405</v>
      </c>
      <c r="AG2813">
        <f>IFERROR(AH2813*0.1, "N/A")</f>
        <v>7.1281690140845102</v>
      </c>
      <c r="AH2813">
        <v>71.2816901408451</v>
      </c>
      <c r="AI2813">
        <v>163.42691786860101</v>
      </c>
      <c r="AJ2813">
        <v>35.204225352112701</v>
      </c>
      <c r="AK2813">
        <v>35.514084507042298</v>
      </c>
    </row>
    <row r="2814" spans="1:37" x14ac:dyDescent="0.3">
      <c r="A2814">
        <v>2813</v>
      </c>
      <c r="B2814">
        <v>63.400002000000001</v>
      </c>
      <c r="C2814">
        <v>44.733299000000002</v>
      </c>
      <c r="D2814">
        <v>1.9</v>
      </c>
      <c r="E2814" t="s">
        <v>4869</v>
      </c>
      <c r="F2814" t="s">
        <v>4870</v>
      </c>
      <c r="G2814" t="s">
        <v>39</v>
      </c>
      <c r="H2814">
        <v>1987</v>
      </c>
      <c r="I2814">
        <v>26.600000381469702</v>
      </c>
      <c r="J2814">
        <v>8.8999996185302699</v>
      </c>
      <c r="K2814">
        <v>73.433333333333294</v>
      </c>
      <c r="L2814">
        <v>10.183473881504</v>
      </c>
      <c r="M2814">
        <v>33.299999237060497</v>
      </c>
      <c r="N2814">
        <v>21.243333435058599</v>
      </c>
      <c r="O2814">
        <v>12.056666882832801</v>
      </c>
      <c r="P2814">
        <v>27.100000381469702</v>
      </c>
      <c r="Q2814">
        <v>27.299999237060501</v>
      </c>
      <c r="R2814">
        <v>27.9763156991256</v>
      </c>
      <c r="S2814">
        <v>25.243333435058599</v>
      </c>
      <c r="T2814">
        <v>461.04035087719302</v>
      </c>
      <c r="U2814">
        <v>94.566666666666706</v>
      </c>
      <c r="V2814">
        <v>0</v>
      </c>
      <c r="W2814">
        <v>80.743859649122797</v>
      </c>
      <c r="X2814">
        <v>246.31052631579001</v>
      </c>
      <c r="Y2814">
        <v>6</v>
      </c>
      <c r="Z2814">
        <v>182.31052631578899</v>
      </c>
      <c r="AA2814">
        <v>158.670175438597</v>
      </c>
      <c r="AB2814">
        <v>0.47894522683662299</v>
      </c>
      <c r="AC2814">
        <v>7.4671112321186006E-2</v>
      </c>
      <c r="AD2814">
        <v>1.1624837415260201</v>
      </c>
      <c r="AE2814">
        <v>0.69753439520534699</v>
      </c>
      <c r="AF2814">
        <v>71.885964912280699</v>
      </c>
      <c r="AG2814">
        <f>IFERROR(AH2814*0.1, "N/A")</f>
        <v>7.5415789473684205</v>
      </c>
      <c r="AH2814">
        <v>75.4157894736842</v>
      </c>
      <c r="AI2814">
        <v>140.60348220289799</v>
      </c>
      <c r="AJ2814">
        <v>43.828070175438597</v>
      </c>
      <c r="AK2814">
        <v>24.170175438596502</v>
      </c>
    </row>
    <row r="2815" spans="1:37" x14ac:dyDescent="0.3">
      <c r="A2815">
        <v>2814</v>
      </c>
      <c r="B2815">
        <v>22.200001</v>
      </c>
      <c r="C2815">
        <v>44.999099999999999</v>
      </c>
      <c r="D2815">
        <v>2.0083000000000002</v>
      </c>
      <c r="E2815" t="s">
        <v>4871</v>
      </c>
      <c r="F2815" t="s">
        <v>4872</v>
      </c>
      <c r="G2815" t="s">
        <v>39</v>
      </c>
      <c r="H2815">
        <v>1975</v>
      </c>
      <c r="I2815">
        <v>26.899999618530298</v>
      </c>
      <c r="J2815">
        <v>9</v>
      </c>
      <c r="K2815">
        <v>75</v>
      </c>
      <c r="L2815">
        <v>9.1640418426433197</v>
      </c>
      <c r="M2815">
        <v>33.5</v>
      </c>
      <c r="N2815">
        <v>21.600000381469702</v>
      </c>
      <c r="O2815">
        <v>11.8999996185303</v>
      </c>
      <c r="P2815">
        <v>27.5</v>
      </c>
      <c r="Q2815">
        <v>27.5</v>
      </c>
      <c r="R2815">
        <v>28.200000762939499</v>
      </c>
      <c r="S2815">
        <v>25.799999237060501</v>
      </c>
      <c r="T2815">
        <v>485.24428822495599</v>
      </c>
      <c r="U2815">
        <v>91</v>
      </c>
      <c r="V2815">
        <v>0</v>
      </c>
      <c r="W2815">
        <v>79</v>
      </c>
      <c r="X2815">
        <v>246</v>
      </c>
      <c r="Y2815">
        <v>7</v>
      </c>
      <c r="Z2815">
        <v>181.24428822495599</v>
      </c>
      <c r="AA2815">
        <v>109.68014059754</v>
      </c>
      <c r="AB2815">
        <v>0.60667612514931601</v>
      </c>
      <c r="AC2815">
        <v>1.0899840158481E-2</v>
      </c>
      <c r="AD2815">
        <v>1.23385225301887</v>
      </c>
      <c r="AE2815">
        <v>0.70321107968714203</v>
      </c>
      <c r="AF2815">
        <v>77.506151142354994</v>
      </c>
      <c r="AG2815">
        <f>IFERROR(AH2815*0.1, "N/A")</f>
        <v>7.2342706502636211</v>
      </c>
      <c r="AH2815">
        <v>72.342706502636204</v>
      </c>
      <c r="AI2815">
        <v>123.160602924903</v>
      </c>
      <c r="AJ2815">
        <v>36</v>
      </c>
      <c r="AK2815">
        <v>37</v>
      </c>
    </row>
    <row r="2816" spans="1:37" x14ac:dyDescent="0.3">
      <c r="A2816">
        <v>2815</v>
      </c>
      <c r="B2816">
        <v>41.700001</v>
      </c>
      <c r="C2816">
        <v>44.779998999999997</v>
      </c>
      <c r="D2816">
        <v>2.02</v>
      </c>
      <c r="E2816" t="s">
        <v>4873</v>
      </c>
      <c r="F2816" t="s">
        <v>4874</v>
      </c>
      <c r="G2816" t="s">
        <v>39</v>
      </c>
      <c r="H2816">
        <v>1987</v>
      </c>
      <c r="I2816">
        <v>27</v>
      </c>
      <c r="J2816">
        <v>9.3000001907348597</v>
      </c>
      <c r="K2816">
        <v>74</v>
      </c>
      <c r="L2816">
        <v>10.1499996185303</v>
      </c>
      <c r="M2816">
        <v>33.900001525878899</v>
      </c>
      <c r="N2816">
        <v>21.399999618530298</v>
      </c>
      <c r="O2816">
        <v>12.5</v>
      </c>
      <c r="P2816">
        <v>27.5</v>
      </c>
      <c r="Q2816">
        <v>27.700000762939499</v>
      </c>
      <c r="R2816">
        <v>28.299999237060501</v>
      </c>
      <c r="S2816">
        <v>25.600000381469702</v>
      </c>
      <c r="T2816">
        <v>480</v>
      </c>
      <c r="U2816">
        <v>103</v>
      </c>
      <c r="V2816">
        <v>0</v>
      </c>
      <c r="W2816">
        <v>81</v>
      </c>
      <c r="X2816">
        <v>254</v>
      </c>
      <c r="Y2816">
        <v>7</v>
      </c>
      <c r="Z2816">
        <v>197</v>
      </c>
      <c r="AA2816">
        <v>144</v>
      </c>
      <c r="AB2816">
        <v>0.117748709680326</v>
      </c>
      <c r="AC2816">
        <v>0.81659162331778401</v>
      </c>
      <c r="AD2816">
        <v>0.77214836775732798</v>
      </c>
      <c r="AE2816">
        <v>0.69538503885269198</v>
      </c>
      <c r="AF2816">
        <v>72.177504393673104</v>
      </c>
      <c r="AG2816">
        <f>IFERROR(AH2816*0.1, "N/A")</f>
        <v>7.7462214411247805</v>
      </c>
      <c r="AH2816">
        <v>77.4622144112478</v>
      </c>
      <c r="AI2816">
        <v>167.70417713238999</v>
      </c>
      <c r="AJ2816">
        <v>38.991212653778597</v>
      </c>
      <c r="AK2816">
        <v>32.739894551845303</v>
      </c>
    </row>
    <row r="2817" spans="1:37" x14ac:dyDescent="0.3">
      <c r="A2817">
        <v>2816</v>
      </c>
      <c r="B2817">
        <v>40</v>
      </c>
      <c r="C2817">
        <v>44.859797999999998</v>
      </c>
      <c r="D2817">
        <v>2.0285500000000001</v>
      </c>
      <c r="E2817" t="s">
        <v>4875</v>
      </c>
      <c r="F2817" t="s">
        <v>4876</v>
      </c>
      <c r="G2817" t="s">
        <v>39</v>
      </c>
      <c r="H2817">
        <v>1980</v>
      </c>
      <c r="I2817">
        <v>27</v>
      </c>
      <c r="J2817">
        <v>9.3000001907348597</v>
      </c>
      <c r="K2817">
        <v>75</v>
      </c>
      <c r="L2817">
        <v>9.9700002670288104</v>
      </c>
      <c r="M2817">
        <v>33.900001525878899</v>
      </c>
      <c r="N2817">
        <v>21.5</v>
      </c>
      <c r="O2817">
        <v>12.3999996185303</v>
      </c>
      <c r="P2817">
        <v>27.5</v>
      </c>
      <c r="Q2817">
        <v>27.600000381469702</v>
      </c>
      <c r="R2817">
        <v>28.299999237060501</v>
      </c>
      <c r="S2817">
        <v>25.700000762939499</v>
      </c>
      <c r="T2817">
        <v>484</v>
      </c>
      <c r="U2817">
        <v>100</v>
      </c>
      <c r="V2817">
        <v>0</v>
      </c>
      <c r="W2817">
        <v>80</v>
      </c>
      <c r="X2817">
        <v>252</v>
      </c>
      <c r="Y2817">
        <v>7</v>
      </c>
      <c r="Z2817">
        <v>193</v>
      </c>
      <c r="AA2817">
        <v>146</v>
      </c>
      <c r="AB2817">
        <v>0.51054461433933596</v>
      </c>
      <c r="AC2817">
        <v>9.413381619461E-3</v>
      </c>
      <c r="AD2817">
        <v>1.2632232668739201</v>
      </c>
      <c r="AE2817">
        <v>0.70187681913375899</v>
      </c>
      <c r="AF2817">
        <v>78.931458699472799</v>
      </c>
      <c r="AG2817">
        <f>IFERROR(AH2817*0.1, "N/A")</f>
        <v>7.7019332161687206</v>
      </c>
      <c r="AH2817">
        <v>77.019332161687203</v>
      </c>
      <c r="AI2817">
        <v>24.543640887590598</v>
      </c>
      <c r="AJ2817">
        <v>42.5307557117751</v>
      </c>
      <c r="AK2817">
        <v>24.564147627416499</v>
      </c>
    </row>
    <row r="2818" spans="1:37" x14ac:dyDescent="0.3">
      <c r="A2818">
        <v>2817</v>
      </c>
      <c r="B2818">
        <v>90.900002000000001</v>
      </c>
      <c r="C2818">
        <v>44.873798000000001</v>
      </c>
      <c r="D2818">
        <v>2.0497299999999998</v>
      </c>
      <c r="E2818" t="s">
        <v>4877</v>
      </c>
      <c r="F2818" t="s">
        <v>4878</v>
      </c>
      <c r="G2818" t="s">
        <v>39</v>
      </c>
      <c r="H2818">
        <v>1975</v>
      </c>
      <c r="I2818">
        <v>27</v>
      </c>
      <c r="J2818">
        <v>9.3999996185302699</v>
      </c>
      <c r="K2818">
        <v>74.676625659050998</v>
      </c>
      <c r="L2818">
        <v>9.9243763318589799</v>
      </c>
      <c r="M2818">
        <v>34.032336940664798</v>
      </c>
      <c r="N2818">
        <v>21.467662442547599</v>
      </c>
      <c r="O2818">
        <v>12.564674806511</v>
      </c>
      <c r="P2818">
        <v>27.5</v>
      </c>
      <c r="Q2818">
        <v>27.700000762939499</v>
      </c>
      <c r="R2818">
        <v>28.332336794513001</v>
      </c>
      <c r="S2818">
        <v>25.700000762939499</v>
      </c>
      <c r="T2818">
        <v>487.67662565905101</v>
      </c>
      <c r="U2818">
        <v>101</v>
      </c>
      <c r="V2818">
        <v>0</v>
      </c>
      <c r="W2818">
        <v>81</v>
      </c>
      <c r="X2818">
        <v>253.67662565905101</v>
      </c>
      <c r="Y2818">
        <v>7</v>
      </c>
      <c r="Z2818">
        <v>195</v>
      </c>
      <c r="AA2818">
        <v>144.353251318102</v>
      </c>
      <c r="AB2818">
        <v>0.208436292168964</v>
      </c>
      <c r="AC2818">
        <v>770.50401363225899</v>
      </c>
      <c r="AD2818">
        <v>0.803100251355364</v>
      </c>
      <c r="AE2818">
        <v>0.69559430636085795</v>
      </c>
      <c r="AF2818">
        <v>78.105448154657296</v>
      </c>
      <c r="AG2818">
        <f>IFERROR(AH2818*0.1, "N/A")</f>
        <v>7.7915641476274207</v>
      </c>
      <c r="AH2818">
        <v>77.915641476274203</v>
      </c>
      <c r="AI2818">
        <v>128.65413913827399</v>
      </c>
      <c r="AJ2818">
        <v>45.915641476274203</v>
      </c>
      <c r="AK2818">
        <v>17.140597539543101</v>
      </c>
    </row>
    <row r="2819" spans="1:37" x14ac:dyDescent="0.3">
      <c r="A2819">
        <v>2818</v>
      </c>
      <c r="B2819">
        <v>78.400002000000001</v>
      </c>
      <c r="C2819">
        <v>45.025002000000001</v>
      </c>
      <c r="D2819">
        <v>2.1234899999999999</v>
      </c>
      <c r="E2819" t="s">
        <v>4879</v>
      </c>
      <c r="F2819" t="s">
        <v>4880</v>
      </c>
      <c r="G2819" t="s">
        <v>39</v>
      </c>
      <c r="H2819">
        <v>1975</v>
      </c>
      <c r="I2819">
        <v>27.299999237060501</v>
      </c>
      <c r="J2819">
        <v>9.6000003814697301</v>
      </c>
      <c r="K2819">
        <v>75</v>
      </c>
      <c r="L2819">
        <v>9.43588720432275</v>
      </c>
      <c r="M2819">
        <v>34.400001525878899</v>
      </c>
      <c r="N2819">
        <v>21.620562850067198</v>
      </c>
      <c r="O2819">
        <v>12.7794377221374</v>
      </c>
      <c r="P2819">
        <v>27.700000762939499</v>
      </c>
      <c r="Q2819">
        <v>28</v>
      </c>
      <c r="R2819">
        <v>28.5</v>
      </c>
      <c r="S2819">
        <v>26.100000381469702</v>
      </c>
      <c r="T2819">
        <v>505</v>
      </c>
      <c r="U2819">
        <v>96.794376098418297</v>
      </c>
      <c r="V2819">
        <v>1</v>
      </c>
      <c r="W2819">
        <v>78.794376098418297</v>
      </c>
      <c r="X2819">
        <v>251</v>
      </c>
      <c r="Y2819">
        <v>10</v>
      </c>
      <c r="Z2819">
        <v>193.79437609841801</v>
      </c>
      <c r="AA2819">
        <v>136.20562390158199</v>
      </c>
      <c r="AB2819">
        <v>0.91669843569790799</v>
      </c>
      <c r="AC2819">
        <v>8.7672908445049994E-3</v>
      </c>
      <c r="AD2819">
        <v>0.95367550153304903</v>
      </c>
      <c r="AE2819">
        <v>0.70150268077850297</v>
      </c>
      <c r="AF2819">
        <v>81.780316344463998</v>
      </c>
      <c r="AG2819">
        <f>IFERROR(AH2819*0.1, "N/A")</f>
        <v>7.6794376098418304</v>
      </c>
      <c r="AH2819">
        <v>76.794376098418297</v>
      </c>
      <c r="AI2819">
        <v>119.779891672788</v>
      </c>
      <c r="AJ2819">
        <v>45.794376098418297</v>
      </c>
      <c r="AK2819">
        <v>22.411247803163398</v>
      </c>
    </row>
    <row r="2820" spans="1:37" x14ac:dyDescent="0.3">
      <c r="A2820">
        <v>2819</v>
      </c>
      <c r="B2820">
        <v>9.4</v>
      </c>
      <c r="C2820">
        <v>45.116698999999997</v>
      </c>
      <c r="D2820">
        <v>2.15</v>
      </c>
      <c r="E2820" t="s">
        <v>4881</v>
      </c>
      <c r="F2820" t="s">
        <v>4882</v>
      </c>
      <c r="G2820" t="s">
        <v>39</v>
      </c>
      <c r="H2820">
        <v>1987</v>
      </c>
      <c r="I2820">
        <v>27.378696720365099</v>
      </c>
      <c r="J2820">
        <v>9.7570422803851908</v>
      </c>
      <c r="K2820">
        <v>76.570422535211307</v>
      </c>
      <c r="L2820">
        <v>9.1952992224357502</v>
      </c>
      <c r="M2820">
        <v>34.400001525878899</v>
      </c>
      <c r="N2820">
        <v>21.700000762939499</v>
      </c>
      <c r="O2820">
        <v>12.699999809265099</v>
      </c>
      <c r="P2820">
        <v>27.799999237060501</v>
      </c>
      <c r="Q2820">
        <v>28.078697483304499</v>
      </c>
      <c r="R2820">
        <v>28.578697483304499</v>
      </c>
      <c r="S2820">
        <v>26.221655362088899</v>
      </c>
      <c r="T2820">
        <v>500.70246478873202</v>
      </c>
      <c r="U2820">
        <v>91.570422535211307</v>
      </c>
      <c r="V2820">
        <v>0</v>
      </c>
      <c r="W2820">
        <v>80</v>
      </c>
      <c r="X2820">
        <v>246.74295774647899</v>
      </c>
      <c r="Y2820">
        <v>8</v>
      </c>
      <c r="Z2820">
        <v>115.48943661971801</v>
      </c>
      <c r="AA2820">
        <v>134.60211267605601</v>
      </c>
      <c r="AB2820">
        <v>1.1297562424565699</v>
      </c>
      <c r="AC2820">
        <v>1.4482234734189E-2</v>
      </c>
      <c r="AD2820">
        <v>1.1729580053771</v>
      </c>
      <c r="AE2820">
        <v>0.85153930476853501</v>
      </c>
      <c r="AF2820">
        <v>85.619718309859195</v>
      </c>
      <c r="AG2820">
        <f>IFERROR(AH2820*0.1, "N/A")</f>
        <v>7.4771126760563407</v>
      </c>
      <c r="AH2820">
        <v>74.771126760563405</v>
      </c>
      <c r="AI2820">
        <v>238.16621198788499</v>
      </c>
      <c r="AJ2820">
        <v>41.742957746478901</v>
      </c>
      <c r="AK2820">
        <v>21.771126760563401</v>
      </c>
    </row>
    <row r="2821" spans="1:37" x14ac:dyDescent="0.3">
      <c r="A2821">
        <v>2820</v>
      </c>
      <c r="B2821">
        <v>21</v>
      </c>
      <c r="C2821">
        <v>45.383301000000003</v>
      </c>
      <c r="D2821">
        <v>2.35</v>
      </c>
      <c r="E2821" t="s">
        <v>4883</v>
      </c>
      <c r="F2821" t="s">
        <v>4884</v>
      </c>
      <c r="G2821" t="s">
        <v>39</v>
      </c>
      <c r="H2821">
        <v>1987</v>
      </c>
      <c r="I2821">
        <v>27.5585239490851</v>
      </c>
      <c r="J2821">
        <v>9.2520210973407799</v>
      </c>
      <c r="K2821">
        <v>75</v>
      </c>
      <c r="L2821">
        <v>10.1604216915861</v>
      </c>
      <c r="M2821">
        <v>34.452021821731002</v>
      </c>
      <c r="N2821">
        <v>22.200000762939499</v>
      </c>
      <c r="O2821">
        <v>12.252021097340799</v>
      </c>
      <c r="P2821">
        <v>27.8565899626023</v>
      </c>
      <c r="Q2821">
        <v>28.552021288075601</v>
      </c>
      <c r="R2821">
        <v>29.008611632147598</v>
      </c>
      <c r="S2821">
        <v>26.308610869208199</v>
      </c>
      <c r="T2821">
        <v>520.73813708260104</v>
      </c>
      <c r="U2821">
        <v>107.93497363796099</v>
      </c>
      <c r="V2821">
        <v>1</v>
      </c>
      <c r="W2821">
        <v>85.086115992970093</v>
      </c>
      <c r="X2821">
        <v>261.45518453427098</v>
      </c>
      <c r="Y2821">
        <v>11.9138840070299</v>
      </c>
      <c r="Z2821">
        <v>101.520210896309</v>
      </c>
      <c r="AA2821">
        <v>88.175746924428793</v>
      </c>
      <c r="AB2821">
        <v>1.9485057971599</v>
      </c>
      <c r="AC2821">
        <v>2.8489417427583999E-2</v>
      </c>
      <c r="AD2821">
        <v>0.79595823593843595</v>
      </c>
      <c r="AE2821">
        <v>0.72842419147491499</v>
      </c>
      <c r="AF2821">
        <v>93.439367311072004</v>
      </c>
      <c r="AG2821">
        <f>IFERROR(AH2821*0.1, "N/A")</f>
        <v>7.3848857644991206</v>
      </c>
      <c r="AH2821">
        <v>73.848857644991199</v>
      </c>
      <c r="AI2821">
        <v>145.07079543128799</v>
      </c>
      <c r="AJ2821">
        <v>28.151142355008801</v>
      </c>
      <c r="AK2821">
        <v>50.244288224956101</v>
      </c>
    </row>
    <row r="2822" spans="1:37" x14ac:dyDescent="0.3">
      <c r="A2822">
        <v>2821</v>
      </c>
      <c r="B2822">
        <v>68</v>
      </c>
      <c r="C2822">
        <v>45.355099000000003</v>
      </c>
      <c r="D2822">
        <v>2.3688199999999999</v>
      </c>
      <c r="E2822" t="s">
        <v>4885</v>
      </c>
      <c r="F2822" t="s">
        <v>4886</v>
      </c>
      <c r="G2822" t="s">
        <v>39</v>
      </c>
      <c r="H2822">
        <v>1975</v>
      </c>
      <c r="I2822">
        <v>27.600000381469702</v>
      </c>
      <c r="J2822">
        <v>9.5</v>
      </c>
      <c r="K2822">
        <v>75</v>
      </c>
      <c r="L2822">
        <v>10.4899997711182</v>
      </c>
      <c r="M2822">
        <v>34.700000762939503</v>
      </c>
      <c r="N2822">
        <v>22.100000381469702</v>
      </c>
      <c r="O2822">
        <v>12.6000003814697</v>
      </c>
      <c r="P2822">
        <v>27.899999618530298</v>
      </c>
      <c r="Q2822">
        <v>28.600000381469702</v>
      </c>
      <c r="R2822">
        <v>29.100000381469702</v>
      </c>
      <c r="S2822">
        <v>26.299999237060501</v>
      </c>
      <c r="T2822">
        <v>521</v>
      </c>
      <c r="U2822">
        <v>107</v>
      </c>
      <c r="V2822">
        <v>1</v>
      </c>
      <c r="W2822">
        <v>85</v>
      </c>
      <c r="X2822">
        <v>261</v>
      </c>
      <c r="Y2822">
        <v>12</v>
      </c>
      <c r="Z2822">
        <v>104</v>
      </c>
      <c r="AA2822">
        <v>107</v>
      </c>
      <c r="AB2822">
        <v>0.31716353755490001</v>
      </c>
      <c r="AC2822">
        <v>2.5188324535869E-2</v>
      </c>
      <c r="AD2822">
        <v>0.77607073910182101</v>
      </c>
      <c r="AE2822">
        <v>0.68851655721664395</v>
      </c>
      <c r="AF2822">
        <v>90.791593695271501</v>
      </c>
      <c r="AG2822">
        <f>IFERROR(AH2822*0.1, "N/A")</f>
        <v>7.8000000000000007</v>
      </c>
      <c r="AH2822">
        <v>78</v>
      </c>
      <c r="AI2822">
        <v>113.479790839548</v>
      </c>
      <c r="AJ2822">
        <v>44</v>
      </c>
      <c r="AK2822">
        <v>22</v>
      </c>
    </row>
    <row r="2823" spans="1:37" x14ac:dyDescent="0.3">
      <c r="A2823">
        <v>2822</v>
      </c>
      <c r="B2823">
        <v>53.799999</v>
      </c>
      <c r="C2823">
        <v>45.342300000000002</v>
      </c>
      <c r="D2823">
        <v>2.4175900000000001</v>
      </c>
      <c r="E2823" t="s">
        <v>4887</v>
      </c>
      <c r="F2823" t="s">
        <v>4888</v>
      </c>
      <c r="G2823" t="s">
        <v>39</v>
      </c>
      <c r="H2823">
        <v>1975</v>
      </c>
      <c r="I2823">
        <v>27.700000762939499</v>
      </c>
      <c r="J2823">
        <v>9.6999998092651403</v>
      </c>
      <c r="K2823">
        <v>74</v>
      </c>
      <c r="L2823">
        <v>10.907310918261601</v>
      </c>
      <c r="M2823">
        <v>35</v>
      </c>
      <c r="N2823">
        <v>22</v>
      </c>
      <c r="O2823">
        <v>13</v>
      </c>
      <c r="P2823">
        <v>28</v>
      </c>
      <c r="Q2823">
        <v>28.700000762939499</v>
      </c>
      <c r="R2823">
        <v>29.200000762939499</v>
      </c>
      <c r="S2823">
        <v>26.299999237060501</v>
      </c>
      <c r="T2823">
        <v>520</v>
      </c>
      <c r="U2823">
        <v>106</v>
      </c>
      <c r="V2823">
        <v>1</v>
      </c>
      <c r="W2823">
        <v>85</v>
      </c>
      <c r="X2823">
        <v>257.01581722319901</v>
      </c>
      <c r="Y2823">
        <v>13</v>
      </c>
      <c r="Z2823">
        <v>108.01581722319899</v>
      </c>
      <c r="AA2823">
        <v>100</v>
      </c>
      <c r="AB2823">
        <v>0.32109040325680999</v>
      </c>
      <c r="AC2823">
        <v>0.17580649428894499</v>
      </c>
      <c r="AD2823">
        <v>0.76249844097714004</v>
      </c>
      <c r="AE2823">
        <v>0.72868778018415103</v>
      </c>
      <c r="AF2823">
        <v>88.862917398945498</v>
      </c>
      <c r="AG2823">
        <f>IFERROR(AH2823*0.1, "N/A")</f>
        <v>7.5015817223198598</v>
      </c>
      <c r="AH2823">
        <v>75.015817223198596</v>
      </c>
      <c r="AI2823">
        <v>187.47953300274901</v>
      </c>
      <c r="AJ2823">
        <v>37.184534270650303</v>
      </c>
      <c r="AK2823">
        <v>30.887521968365601</v>
      </c>
    </row>
    <row r="2824" spans="1:37" x14ac:dyDescent="0.3">
      <c r="A2824">
        <v>2823</v>
      </c>
      <c r="B2824">
        <v>55.200001</v>
      </c>
      <c r="C2824">
        <v>42.311199000000002</v>
      </c>
      <c r="D2824">
        <v>2.4879600000000002</v>
      </c>
      <c r="E2824" t="s">
        <v>4889</v>
      </c>
      <c r="F2824" t="s">
        <v>4890</v>
      </c>
      <c r="G2824" t="s">
        <v>39</v>
      </c>
      <c r="H2824">
        <v>1980</v>
      </c>
      <c r="I2824">
        <v>29.100000381469702</v>
      </c>
      <c r="J2824">
        <v>13.6000003814697</v>
      </c>
      <c r="K2824">
        <v>75</v>
      </c>
      <c r="L2824">
        <v>12.0200004577637</v>
      </c>
      <c r="M2824">
        <v>39.400001525878899</v>
      </c>
      <c r="N2824">
        <v>21.299999237060501</v>
      </c>
      <c r="O2824">
        <v>18.100000381469702</v>
      </c>
      <c r="P2824">
        <v>30.100000381469702</v>
      </c>
      <c r="Q2824">
        <v>27.700000762939499</v>
      </c>
      <c r="R2824">
        <v>30.600000381469702</v>
      </c>
      <c r="S2824">
        <v>27.5</v>
      </c>
      <c r="T2824">
        <v>426</v>
      </c>
      <c r="U2824">
        <v>110</v>
      </c>
      <c r="V2824">
        <v>3</v>
      </c>
      <c r="W2824">
        <v>106</v>
      </c>
      <c r="X2824">
        <v>200</v>
      </c>
      <c r="Y2824">
        <v>21</v>
      </c>
      <c r="Z2824">
        <v>138</v>
      </c>
      <c r="AA2824">
        <v>23</v>
      </c>
      <c r="AB2824">
        <v>12.365904863354199</v>
      </c>
      <c r="AC2824">
        <v>9.8607294222169996E-3</v>
      </c>
      <c r="AD2824">
        <v>1.27440144820875</v>
      </c>
      <c r="AE2824">
        <v>0.65213316679000899</v>
      </c>
      <c r="AF2824">
        <v>108.103690685413</v>
      </c>
      <c r="AG2824">
        <f>IFERROR(AH2824*0.1, "N/A")</f>
        <v>7.1590509666080813</v>
      </c>
      <c r="AH2824">
        <v>71.590509666080806</v>
      </c>
      <c r="AI2824">
        <v>162.339328102152</v>
      </c>
      <c r="AJ2824">
        <v>25.985940246045701</v>
      </c>
      <c r="AK2824">
        <v>53.217926186291699</v>
      </c>
    </row>
    <row r="2825" spans="1:37" x14ac:dyDescent="0.3">
      <c r="A2825">
        <v>2824</v>
      </c>
      <c r="B2825">
        <v>100</v>
      </c>
      <c r="C2825">
        <v>45.588298999999999</v>
      </c>
      <c r="D2825">
        <v>2.76654</v>
      </c>
      <c r="E2825" t="s">
        <v>4891</v>
      </c>
      <c r="F2825" t="s">
        <v>4892</v>
      </c>
      <c r="G2825" t="s">
        <v>39</v>
      </c>
      <c r="H2825">
        <v>1975</v>
      </c>
      <c r="I2825">
        <v>27.2714031821803</v>
      </c>
      <c r="J2825">
        <v>10.800000190734901</v>
      </c>
      <c r="K2825">
        <v>75.714035087719296</v>
      </c>
      <c r="L2825">
        <v>10.911473428157301</v>
      </c>
      <c r="M2825">
        <v>35.1285956198709</v>
      </c>
      <c r="N2825">
        <v>20.899999618530298</v>
      </c>
      <c r="O2825">
        <v>14.2285964095802</v>
      </c>
      <c r="P2825">
        <v>27.899999618530298</v>
      </c>
      <c r="Q2825">
        <v>27.5</v>
      </c>
      <c r="R2825">
        <v>28.628596981784799</v>
      </c>
      <c r="S2825">
        <v>25.799999237060501</v>
      </c>
      <c r="T2825">
        <v>482</v>
      </c>
      <c r="U2825">
        <v>95</v>
      </c>
      <c r="V2825">
        <v>1</v>
      </c>
      <c r="W2825">
        <v>85</v>
      </c>
      <c r="X2825">
        <v>209.714035087719</v>
      </c>
      <c r="Y2825">
        <v>28</v>
      </c>
      <c r="Z2825">
        <v>113.285964912281</v>
      </c>
      <c r="AA2825">
        <v>62.852631578947403</v>
      </c>
      <c r="AB2825">
        <v>0.30104854650664697</v>
      </c>
      <c r="AC2825">
        <v>2.7171902631393002E-2</v>
      </c>
      <c r="AD2825">
        <v>0.96786505935484901</v>
      </c>
      <c r="AE2825">
        <v>0.72298278097520796</v>
      </c>
      <c r="AF2825">
        <v>100.585964912281</v>
      </c>
      <c r="AG2825">
        <f>IFERROR(AH2825*0.1, "N/A")</f>
        <v>8.0103508771929803</v>
      </c>
      <c r="AH2825">
        <v>80.103508771929796</v>
      </c>
      <c r="AI2825">
        <v>205.636009564316</v>
      </c>
      <c r="AJ2825">
        <v>41.984210526315799</v>
      </c>
      <c r="AK2825">
        <v>25.150877192982499</v>
      </c>
    </row>
    <row r="2826" spans="1:37" x14ac:dyDescent="0.3">
      <c r="A2826">
        <v>2825</v>
      </c>
      <c r="B2826">
        <v>54.799999</v>
      </c>
      <c r="C2826">
        <v>45.516700999999998</v>
      </c>
      <c r="D2826">
        <v>2.76667</v>
      </c>
      <c r="E2826" t="s">
        <v>4893</v>
      </c>
      <c r="F2826" t="s">
        <v>4894</v>
      </c>
      <c r="G2826" t="s">
        <v>39</v>
      </c>
      <c r="H2826">
        <v>1987</v>
      </c>
      <c r="I2826">
        <v>27.399999618530298</v>
      </c>
      <c r="J2826">
        <v>10.939298014055201</v>
      </c>
      <c r="K2826">
        <v>75.392982456140302</v>
      </c>
      <c r="L2826">
        <v>11.2564387271279</v>
      </c>
      <c r="M2826">
        <v>35.380351953339201</v>
      </c>
      <c r="N2826">
        <v>21</v>
      </c>
      <c r="O2826">
        <v>14.3803506081564</v>
      </c>
      <c r="P2826">
        <v>27.980350802237499</v>
      </c>
      <c r="Q2826">
        <v>27.600000381469702</v>
      </c>
      <c r="R2826">
        <v>28.852455577515698</v>
      </c>
      <c r="S2826">
        <v>25.9196488162927</v>
      </c>
      <c r="T2826">
        <v>483</v>
      </c>
      <c r="U2826">
        <v>93</v>
      </c>
      <c r="V2826">
        <v>1</v>
      </c>
      <c r="W2826">
        <v>86.607017543859598</v>
      </c>
      <c r="X2826">
        <v>211</v>
      </c>
      <c r="Y2826">
        <v>27</v>
      </c>
      <c r="Z2826">
        <v>117</v>
      </c>
      <c r="AA2826">
        <v>66.392982456140302</v>
      </c>
      <c r="AB2826">
        <v>1.6105246292917399</v>
      </c>
      <c r="AC2826">
        <v>1.6926388810144001E-2</v>
      </c>
      <c r="AD2826">
        <v>0.98380813535891098</v>
      </c>
      <c r="AE2826">
        <v>0.76712878649694904</v>
      </c>
      <c r="AF2826">
        <v>103.384210526316</v>
      </c>
      <c r="AG2826">
        <f>IFERROR(AH2826*0.1, "N/A")</f>
        <v>7.6000000000000005</v>
      </c>
      <c r="AH2826">
        <v>76</v>
      </c>
      <c r="AI2826">
        <v>194.67485766494499</v>
      </c>
      <c r="AJ2826">
        <v>42.991228070175403</v>
      </c>
      <c r="AK2826">
        <v>25.0842105263158</v>
      </c>
    </row>
    <row r="2827" spans="1:37" x14ac:dyDescent="0.3">
      <c r="A2827">
        <v>2826</v>
      </c>
      <c r="B2827">
        <v>9.1</v>
      </c>
      <c r="C2827">
        <v>45.497601000000003</v>
      </c>
      <c r="D2827">
        <v>2.7749600000000001</v>
      </c>
      <c r="E2827" t="s">
        <v>4895</v>
      </c>
      <c r="F2827" t="s">
        <v>4896</v>
      </c>
      <c r="G2827" t="s">
        <v>39</v>
      </c>
      <c r="H2827">
        <v>1975</v>
      </c>
      <c r="I2827">
        <v>27.399999618530298</v>
      </c>
      <c r="J2827">
        <v>11</v>
      </c>
      <c r="K2827">
        <v>75.431578947368394</v>
      </c>
      <c r="L2827">
        <v>11.4413684443424</v>
      </c>
      <c r="M2827">
        <v>35.400001525878899</v>
      </c>
      <c r="N2827">
        <v>20.9431576779014</v>
      </c>
      <c r="O2827">
        <v>14.4568419406289</v>
      </c>
      <c r="P2827">
        <v>27.9431576779014</v>
      </c>
      <c r="Q2827">
        <v>27.600000381469702</v>
      </c>
      <c r="R2827">
        <v>28.899999618530298</v>
      </c>
      <c r="S2827">
        <v>25.9431576779014</v>
      </c>
      <c r="T2827">
        <v>483.86315789473701</v>
      </c>
      <c r="U2827">
        <v>94</v>
      </c>
      <c r="V2827">
        <v>1</v>
      </c>
      <c r="W2827">
        <v>87</v>
      </c>
      <c r="X2827">
        <v>211.431578947368</v>
      </c>
      <c r="Y2827">
        <v>27</v>
      </c>
      <c r="Z2827">
        <v>119</v>
      </c>
      <c r="AA2827">
        <v>66.431578947368394</v>
      </c>
      <c r="AB2827">
        <v>3.8915807088216101</v>
      </c>
      <c r="AC2827">
        <v>1.6102439642214E-2</v>
      </c>
      <c r="AD2827">
        <v>1.4328502831751799</v>
      </c>
      <c r="AE2827">
        <v>0.85468124402196799</v>
      </c>
      <c r="AF2827">
        <v>104.95438596491201</v>
      </c>
      <c r="AG2827">
        <f>IFERROR(AH2827*0.1, "N/A")</f>
        <v>7.8173684210526311</v>
      </c>
      <c r="AH2827">
        <v>78.173684210526304</v>
      </c>
      <c r="AI2827">
        <v>261.95888670536499</v>
      </c>
      <c r="AJ2827">
        <v>35.550877192982497</v>
      </c>
      <c r="AK2827">
        <v>29.898245614035101</v>
      </c>
    </row>
    <row r="2828" spans="1:37" x14ac:dyDescent="0.3">
      <c r="A2828">
        <v>2827</v>
      </c>
      <c r="B2828">
        <v>46.599997999999999</v>
      </c>
      <c r="C2828">
        <v>45.499298000000003</v>
      </c>
      <c r="D2828">
        <v>2.7807400000000002</v>
      </c>
      <c r="E2828" t="s">
        <v>4897</v>
      </c>
      <c r="F2828" t="s">
        <v>4898</v>
      </c>
      <c r="G2828" t="s">
        <v>39</v>
      </c>
      <c r="H2828">
        <v>1968</v>
      </c>
      <c r="I2828">
        <v>27.399999618530298</v>
      </c>
      <c r="J2828">
        <v>11</v>
      </c>
      <c r="K2828">
        <v>75</v>
      </c>
      <c r="L2828">
        <v>11.440245817751</v>
      </c>
      <c r="M2828">
        <v>35.400001525878899</v>
      </c>
      <c r="N2828">
        <v>20.899999618530298</v>
      </c>
      <c r="O2828">
        <v>14.5</v>
      </c>
      <c r="P2828">
        <v>28.0755707216179</v>
      </c>
      <c r="Q2828">
        <v>27.600000381469702</v>
      </c>
      <c r="R2828">
        <v>28.899999618530298</v>
      </c>
      <c r="S2828">
        <v>25.899999618530298</v>
      </c>
      <c r="T2828">
        <v>483</v>
      </c>
      <c r="U2828">
        <v>93.804920913884004</v>
      </c>
      <c r="V2828">
        <v>1</v>
      </c>
      <c r="W2828">
        <v>86.804920913884004</v>
      </c>
      <c r="X2828">
        <v>211</v>
      </c>
      <c r="Y2828">
        <v>27</v>
      </c>
      <c r="Z2828">
        <v>119</v>
      </c>
      <c r="AA2828">
        <v>66</v>
      </c>
      <c r="AB2828">
        <v>1.58435637837764</v>
      </c>
      <c r="AC2828">
        <v>8.6580348530090005E-3</v>
      </c>
      <c r="AD2828">
        <v>0.57544472818843895</v>
      </c>
      <c r="AE2828">
        <v>0.88924878835678101</v>
      </c>
      <c r="AF2828">
        <v>104.38137082601099</v>
      </c>
      <c r="AG2828">
        <f>IFERROR(AH2828*0.1, "N/A")</f>
        <v>7.6414762741651998</v>
      </c>
      <c r="AH2828">
        <v>76.414762741651998</v>
      </c>
      <c r="AI2828">
        <v>77.676323004053799</v>
      </c>
      <c r="AJ2828">
        <v>35.780316344463998</v>
      </c>
      <c r="AK2828">
        <v>31.2759226713532</v>
      </c>
    </row>
    <row r="2829" spans="1:37" x14ac:dyDescent="0.3">
      <c r="A2829">
        <v>2828</v>
      </c>
      <c r="B2829">
        <v>0</v>
      </c>
      <c r="C2829">
        <v>45.499298000000003</v>
      </c>
      <c r="D2829">
        <v>2.7807400000000002</v>
      </c>
      <c r="E2829" t="s">
        <v>4897</v>
      </c>
      <c r="F2829" t="s">
        <v>4899</v>
      </c>
      <c r="G2829" t="s">
        <v>37</v>
      </c>
      <c r="H2829">
        <v>1968</v>
      </c>
      <c r="I2829">
        <v>27.399999618530298</v>
      </c>
      <c r="J2829">
        <v>11</v>
      </c>
      <c r="K2829">
        <v>75</v>
      </c>
      <c r="L2829">
        <v>11.440245817751</v>
      </c>
      <c r="M2829">
        <v>35.400001525878899</v>
      </c>
      <c r="N2829">
        <v>20.899999618530298</v>
      </c>
      <c r="O2829">
        <v>14.5</v>
      </c>
      <c r="P2829">
        <v>28.0755707216179</v>
      </c>
      <c r="Q2829">
        <v>27.600000381469702</v>
      </c>
      <c r="R2829">
        <v>28.899999618530298</v>
      </c>
      <c r="S2829">
        <v>25.899999618530298</v>
      </c>
      <c r="T2829">
        <v>483</v>
      </c>
      <c r="U2829">
        <v>93.804920913884004</v>
      </c>
      <c r="V2829">
        <v>1</v>
      </c>
      <c r="W2829">
        <v>86.804920913884004</v>
      </c>
      <c r="X2829">
        <v>211</v>
      </c>
      <c r="Y2829">
        <v>27</v>
      </c>
      <c r="Z2829">
        <v>119</v>
      </c>
      <c r="AA2829">
        <v>66</v>
      </c>
      <c r="AB2829">
        <v>1.58435637837764</v>
      </c>
      <c r="AC2829">
        <v>8.6580348530090005E-3</v>
      </c>
      <c r="AD2829">
        <v>0.57544472818843895</v>
      </c>
      <c r="AE2829">
        <v>0.88924878835678101</v>
      </c>
      <c r="AF2829">
        <v>104.38137082601099</v>
      </c>
      <c r="AG2829">
        <f>IFERROR(AH2829*0.1, "N/A")</f>
        <v>7.6414762741651998</v>
      </c>
      <c r="AH2829">
        <v>76.414762741651998</v>
      </c>
      <c r="AI2829">
        <v>77.676323004053799</v>
      </c>
      <c r="AJ2829">
        <v>35.780316344463998</v>
      </c>
      <c r="AK2829">
        <v>31.2759226713532</v>
      </c>
    </row>
    <row r="2830" spans="1:37" x14ac:dyDescent="0.3">
      <c r="A2830">
        <v>2829</v>
      </c>
      <c r="B2830">
        <v>0</v>
      </c>
      <c r="C2830">
        <v>45.499099999999999</v>
      </c>
      <c r="D2830">
        <v>2.7808799999999998</v>
      </c>
      <c r="E2830" t="s">
        <v>4900</v>
      </c>
      <c r="F2830" t="s">
        <v>4901</v>
      </c>
      <c r="G2830" t="s">
        <v>37</v>
      </c>
      <c r="H2830">
        <v>1956</v>
      </c>
      <c r="I2830">
        <v>27.399999618530298</v>
      </c>
      <c r="J2830">
        <v>11</v>
      </c>
      <c r="K2830">
        <v>75</v>
      </c>
      <c r="L2830">
        <v>11.446737010222501</v>
      </c>
      <c r="M2830">
        <v>35.400001525878899</v>
      </c>
      <c r="N2830">
        <v>20.899999618530298</v>
      </c>
      <c r="O2830">
        <v>14.5</v>
      </c>
      <c r="P2830">
        <v>27.958729752367301</v>
      </c>
      <c r="Q2830">
        <v>27.600000381469702</v>
      </c>
      <c r="R2830">
        <v>28.899999618530298</v>
      </c>
      <c r="S2830">
        <v>25.899999618530298</v>
      </c>
      <c r="T2830">
        <v>483</v>
      </c>
      <c r="U2830">
        <v>93.934744268077594</v>
      </c>
      <c r="V2830">
        <v>1</v>
      </c>
      <c r="W2830">
        <v>86.934744268077594</v>
      </c>
      <c r="X2830">
        <v>211</v>
      </c>
      <c r="Y2830">
        <v>27</v>
      </c>
      <c r="Z2830">
        <v>119</v>
      </c>
      <c r="AA2830">
        <v>66</v>
      </c>
      <c r="AB2830">
        <v>1.49382511522404</v>
      </c>
      <c r="AC2830">
        <v>9.0349117339949998E-3</v>
      </c>
      <c r="AD2830">
        <v>0.69383068637662904</v>
      </c>
      <c r="AE2830">
        <v>0.88924878835678101</v>
      </c>
      <c r="AF2830">
        <v>104.439153439153</v>
      </c>
      <c r="AG2830">
        <f>IFERROR(AH2830*0.1, "N/A")</f>
        <v>7.6804232804232804</v>
      </c>
      <c r="AH2830">
        <v>76.804232804232797</v>
      </c>
      <c r="AI2830">
        <v>80.525526716175094</v>
      </c>
      <c r="AJ2830">
        <v>35.261022927689602</v>
      </c>
      <c r="AK2830">
        <v>32.379188712522001</v>
      </c>
    </row>
    <row r="2831" spans="1:37" x14ac:dyDescent="0.3">
      <c r="A2831">
        <v>2830</v>
      </c>
      <c r="B2831">
        <v>35</v>
      </c>
      <c r="C2831">
        <v>45.499099999999999</v>
      </c>
      <c r="D2831">
        <v>2.7808799999999998</v>
      </c>
      <c r="E2831" t="s">
        <v>4900</v>
      </c>
      <c r="F2831" t="s">
        <v>4902</v>
      </c>
      <c r="G2831" t="s">
        <v>39</v>
      </c>
      <c r="H2831">
        <v>1956</v>
      </c>
      <c r="I2831">
        <v>27.399999618530298</v>
      </c>
      <c r="J2831">
        <v>11</v>
      </c>
      <c r="K2831">
        <v>75</v>
      </c>
      <c r="L2831">
        <v>11.446737010222501</v>
      </c>
      <c r="M2831">
        <v>35.400001525878899</v>
      </c>
      <c r="N2831">
        <v>20.899999618530298</v>
      </c>
      <c r="O2831">
        <v>14.5</v>
      </c>
      <c r="P2831">
        <v>27.958729752367301</v>
      </c>
      <c r="Q2831">
        <v>27.600000381469702</v>
      </c>
      <c r="R2831">
        <v>28.899999618530298</v>
      </c>
      <c r="S2831">
        <v>25.899999618530298</v>
      </c>
      <c r="T2831">
        <v>483</v>
      </c>
      <c r="U2831">
        <v>93.934744268077594</v>
      </c>
      <c r="V2831">
        <v>1</v>
      </c>
      <c r="W2831">
        <v>86.934744268077594</v>
      </c>
      <c r="X2831">
        <v>211</v>
      </c>
      <c r="Y2831">
        <v>27</v>
      </c>
      <c r="Z2831">
        <v>119</v>
      </c>
      <c r="AA2831">
        <v>66</v>
      </c>
      <c r="AB2831">
        <v>1.49382511522404</v>
      </c>
      <c r="AC2831">
        <v>9.0349117339949998E-3</v>
      </c>
      <c r="AD2831">
        <v>0.69383068637662904</v>
      </c>
      <c r="AE2831">
        <v>0.88924878835678101</v>
      </c>
      <c r="AF2831">
        <v>104.439153439153</v>
      </c>
      <c r="AG2831">
        <f>IFERROR(AH2831*0.1, "N/A")</f>
        <v>7.6804232804232804</v>
      </c>
      <c r="AH2831">
        <v>76.804232804232797</v>
      </c>
      <c r="AI2831">
        <v>80.525526716175094</v>
      </c>
      <c r="AJ2831">
        <v>35.261022927689602</v>
      </c>
      <c r="AK2831">
        <v>32.379188712522001</v>
      </c>
    </row>
    <row r="2832" spans="1:37" x14ac:dyDescent="0.3">
      <c r="A2832">
        <v>2831</v>
      </c>
      <c r="B2832">
        <v>1.3</v>
      </c>
      <c r="C2832">
        <v>44.083302000000003</v>
      </c>
      <c r="D2832">
        <v>2.7833299999999999</v>
      </c>
      <c r="E2832" t="s">
        <v>4903</v>
      </c>
      <c r="F2832" t="s">
        <v>4904</v>
      </c>
      <c r="G2832" t="s">
        <v>39</v>
      </c>
      <c r="H2832">
        <v>1987</v>
      </c>
      <c r="I2832">
        <v>28.5</v>
      </c>
      <c r="J2832">
        <v>11.5</v>
      </c>
      <c r="K2832">
        <v>75</v>
      </c>
      <c r="L2832">
        <v>9.4750176449896593</v>
      </c>
      <c r="M2832">
        <v>36.400001525878899</v>
      </c>
      <c r="N2832">
        <v>21.200000762939499</v>
      </c>
      <c r="O2832">
        <v>15.199999809265099</v>
      </c>
      <c r="P2832">
        <v>28.799999237060501</v>
      </c>
      <c r="Q2832">
        <v>28.1963035657372</v>
      </c>
      <c r="R2832">
        <v>29.399999618530298</v>
      </c>
      <c r="S2832">
        <v>27.4160208064066</v>
      </c>
      <c r="T2832">
        <v>557.67957746478896</v>
      </c>
      <c r="U2832">
        <v>194.408450704225</v>
      </c>
      <c r="V2832">
        <v>0</v>
      </c>
      <c r="W2832">
        <v>127.24823943662</v>
      </c>
      <c r="X2832">
        <v>333.81690140845097</v>
      </c>
      <c r="Y2832">
        <v>8.8257042253521103</v>
      </c>
      <c r="Z2832">
        <v>326.81690140845097</v>
      </c>
      <c r="AA2832">
        <v>40</v>
      </c>
      <c r="AB2832">
        <v>6.3077432874222898</v>
      </c>
      <c r="AC2832">
        <v>1.0131330844212E-2</v>
      </c>
      <c r="AD2832">
        <v>1.61879449243277</v>
      </c>
      <c r="AE2832">
        <v>0.59796757471393502</v>
      </c>
      <c r="AF2832">
        <v>192.658450704225</v>
      </c>
      <c r="AG2832">
        <f>IFERROR(AH2832*0.1, "N/A")</f>
        <v>8</v>
      </c>
      <c r="AH2832">
        <v>80</v>
      </c>
      <c r="AI2832">
        <v>128.12010377561501</v>
      </c>
      <c r="AJ2832">
        <v>37.255281690140798</v>
      </c>
      <c r="AK2832">
        <v>38</v>
      </c>
    </row>
    <row r="2833" spans="1:37" x14ac:dyDescent="0.3">
      <c r="A2833">
        <v>2832</v>
      </c>
      <c r="B2833">
        <v>84.699996999999996</v>
      </c>
      <c r="C2833">
        <v>45.512000999999998</v>
      </c>
      <c r="D2833">
        <v>2.79874</v>
      </c>
      <c r="E2833" t="s">
        <v>4905</v>
      </c>
      <c r="F2833" t="s">
        <v>4906</v>
      </c>
      <c r="G2833" t="s">
        <v>39</v>
      </c>
      <c r="H2833">
        <v>1980</v>
      </c>
      <c r="I2833">
        <v>27.299999237060501</v>
      </c>
      <c r="J2833">
        <v>11</v>
      </c>
      <c r="K2833">
        <v>75</v>
      </c>
      <c r="L2833">
        <v>11.420000076293899</v>
      </c>
      <c r="M2833">
        <v>35.400001525878899</v>
      </c>
      <c r="N2833">
        <v>20.799999237060501</v>
      </c>
      <c r="O2833">
        <v>14.6000003814697</v>
      </c>
      <c r="P2833">
        <v>28.700000762939499</v>
      </c>
      <c r="Q2833">
        <v>27.600000381469702</v>
      </c>
      <c r="R2833">
        <v>28.799999237060501</v>
      </c>
      <c r="S2833">
        <v>25.799999237060501</v>
      </c>
      <c r="T2833">
        <v>480</v>
      </c>
      <c r="U2833">
        <v>93</v>
      </c>
      <c r="V2833">
        <v>1</v>
      </c>
      <c r="W2833">
        <v>86</v>
      </c>
      <c r="X2833">
        <v>211</v>
      </c>
      <c r="Y2833">
        <v>26</v>
      </c>
      <c r="Z2833">
        <v>119</v>
      </c>
      <c r="AA2833">
        <v>65</v>
      </c>
      <c r="AB2833">
        <v>0.81584531488552903</v>
      </c>
      <c r="AC2833">
        <v>5.5481113408181001E-2</v>
      </c>
      <c r="AD2833">
        <v>1.1043169861528199</v>
      </c>
      <c r="AE2833">
        <v>0.77520859241485596</v>
      </c>
      <c r="AF2833">
        <v>106.36443661971801</v>
      </c>
      <c r="AG2833">
        <f>IFERROR(AH2833*0.1, "N/A")</f>
        <v>7.5373239436619706</v>
      </c>
      <c r="AH2833">
        <v>75.373239436619698</v>
      </c>
      <c r="AI2833">
        <v>183.52104421400699</v>
      </c>
      <c r="AJ2833">
        <v>44.223591549295797</v>
      </c>
      <c r="AK2833">
        <v>25.181338028169002</v>
      </c>
    </row>
    <row r="2834" spans="1:37" x14ac:dyDescent="0.3">
      <c r="A2834">
        <v>2833</v>
      </c>
      <c r="B2834">
        <v>83.900002000000001</v>
      </c>
      <c r="C2834">
        <v>45.520099999999999</v>
      </c>
      <c r="D2834">
        <v>2.8136999999999999</v>
      </c>
      <c r="E2834" t="s">
        <v>4907</v>
      </c>
      <c r="F2834" t="s">
        <v>4908</v>
      </c>
      <c r="G2834" t="s">
        <v>39</v>
      </c>
      <c r="H2834">
        <v>1980</v>
      </c>
      <c r="I2834">
        <v>27.200000762939499</v>
      </c>
      <c r="J2834">
        <v>11.1000003814697</v>
      </c>
      <c r="K2834">
        <v>76</v>
      </c>
      <c r="L2834">
        <v>11.189999580383301</v>
      </c>
      <c r="M2834">
        <v>35.299999237060497</v>
      </c>
      <c r="N2834">
        <v>20.799999237060501</v>
      </c>
      <c r="O2834">
        <v>14.5</v>
      </c>
      <c r="P2834">
        <v>28.600000381469702</v>
      </c>
      <c r="Q2834">
        <v>27.5</v>
      </c>
      <c r="R2834">
        <v>28.700000762939499</v>
      </c>
      <c r="S2834">
        <v>25.799999237060501</v>
      </c>
      <c r="T2834">
        <v>475</v>
      </c>
      <c r="U2834">
        <v>94</v>
      </c>
      <c r="V2834">
        <v>1</v>
      </c>
      <c r="W2834">
        <v>88</v>
      </c>
      <c r="X2834">
        <v>210</v>
      </c>
      <c r="Y2834">
        <v>24</v>
      </c>
      <c r="Z2834">
        <v>120</v>
      </c>
      <c r="AA2834">
        <v>64</v>
      </c>
      <c r="AB2834">
        <v>4.4814781899611002E-2</v>
      </c>
      <c r="AC2834">
        <v>0.48725312129350501</v>
      </c>
      <c r="AD2834">
        <v>0.48628808529180101</v>
      </c>
      <c r="AE2834">
        <v>0.74237573146820102</v>
      </c>
      <c r="AF2834">
        <v>103.957820738137</v>
      </c>
      <c r="AG2834">
        <f>IFERROR(AH2834*0.1, "N/A")</f>
        <v>7.9</v>
      </c>
      <c r="AH2834">
        <v>79</v>
      </c>
      <c r="AI2834">
        <v>127.741507545297</v>
      </c>
      <c r="AJ2834">
        <v>47.325131810193298</v>
      </c>
      <c r="AK2834">
        <v>20.674868189806698</v>
      </c>
    </row>
    <row r="2835" spans="1:37" x14ac:dyDescent="0.3">
      <c r="A2835">
        <v>2834</v>
      </c>
      <c r="B2835">
        <v>80.400002000000001</v>
      </c>
      <c r="C2835">
        <v>45.535598999999998</v>
      </c>
      <c r="D2835">
        <v>2.8211599999999999</v>
      </c>
      <c r="E2835" t="s">
        <v>4909</v>
      </c>
      <c r="F2835" t="s">
        <v>4910</v>
      </c>
      <c r="G2835" t="s">
        <v>39</v>
      </c>
      <c r="H2835">
        <v>1980</v>
      </c>
      <c r="I2835">
        <v>27.200000762939499</v>
      </c>
      <c r="J2835">
        <v>11.1000003814697</v>
      </c>
      <c r="K2835">
        <v>76</v>
      </c>
      <c r="L2835">
        <v>11.1000003814697</v>
      </c>
      <c r="M2835">
        <v>35.299999237060497</v>
      </c>
      <c r="N2835">
        <v>20.700000762939499</v>
      </c>
      <c r="O2835">
        <v>14.6000003814697</v>
      </c>
      <c r="P2835">
        <v>28.5</v>
      </c>
      <c r="Q2835">
        <v>27.5</v>
      </c>
      <c r="R2835">
        <v>28.600000381469702</v>
      </c>
      <c r="S2835">
        <v>25.700000762939499</v>
      </c>
      <c r="T2835">
        <v>473</v>
      </c>
      <c r="U2835">
        <v>94</v>
      </c>
      <c r="V2835">
        <v>1</v>
      </c>
      <c r="W2835">
        <v>88</v>
      </c>
      <c r="X2835">
        <v>210</v>
      </c>
      <c r="Y2835">
        <v>24</v>
      </c>
      <c r="Z2835">
        <v>120</v>
      </c>
      <c r="AA2835">
        <v>63</v>
      </c>
      <c r="AB2835">
        <v>3.79068713196552</v>
      </c>
      <c r="AC2835">
        <v>1.0218238852498999E-2</v>
      </c>
      <c r="AD2835">
        <v>1.78052841318094</v>
      </c>
      <c r="AE2835">
        <v>0.75033164024353005</v>
      </c>
      <c r="AF2835">
        <v>107.212653778559</v>
      </c>
      <c r="AG2835">
        <f>IFERROR(AH2835*0.1, "N/A")</f>
        <v>7.7</v>
      </c>
      <c r="AH2835">
        <v>77</v>
      </c>
      <c r="AI2835">
        <v>170.43926953682799</v>
      </c>
      <c r="AJ2835">
        <v>39.486818980667799</v>
      </c>
      <c r="AK2835">
        <v>33.513181019332201</v>
      </c>
    </row>
    <row r="2836" spans="1:37" x14ac:dyDescent="0.3">
      <c r="A2836">
        <v>2835</v>
      </c>
      <c r="B2836">
        <v>100</v>
      </c>
      <c r="C2836">
        <v>45.480099000000003</v>
      </c>
      <c r="D2836">
        <v>2.8642300000000001</v>
      </c>
      <c r="E2836" t="s">
        <v>4911</v>
      </c>
      <c r="F2836" t="s">
        <v>4912</v>
      </c>
      <c r="G2836" t="s">
        <v>39</v>
      </c>
      <c r="H2836">
        <v>1975</v>
      </c>
      <c r="I2836">
        <v>27.200000762939499</v>
      </c>
      <c r="J2836">
        <v>11.199999809265099</v>
      </c>
      <c r="K2836">
        <v>76</v>
      </c>
      <c r="L2836">
        <v>10.699999809265099</v>
      </c>
      <c r="M2836">
        <v>35.299999237060497</v>
      </c>
      <c r="N2836">
        <v>20.600000381469702</v>
      </c>
      <c r="O2836">
        <v>14.699999809265099</v>
      </c>
      <c r="P2836">
        <v>27.700000762939499</v>
      </c>
      <c r="Q2836">
        <v>27.600000381469702</v>
      </c>
      <c r="R2836">
        <v>28.5</v>
      </c>
      <c r="S2836">
        <v>25.700000762939499</v>
      </c>
      <c r="T2836">
        <v>461</v>
      </c>
      <c r="U2836">
        <v>102</v>
      </c>
      <c r="V2836">
        <v>1</v>
      </c>
      <c r="W2836">
        <v>92</v>
      </c>
      <c r="X2836">
        <v>210</v>
      </c>
      <c r="Y2836">
        <v>20</v>
      </c>
      <c r="Z2836">
        <v>125</v>
      </c>
      <c r="AA2836">
        <v>60</v>
      </c>
      <c r="AB2836">
        <v>0.24666470979389399</v>
      </c>
      <c r="AC2836">
        <v>6.6022250976151997E-2</v>
      </c>
      <c r="AD2836">
        <v>1.49204106858948</v>
      </c>
      <c r="AE2836">
        <v>0.70428991736027202</v>
      </c>
      <c r="AF2836">
        <v>106.89824561403501</v>
      </c>
      <c r="AG2836">
        <f>IFERROR(AH2836*0.1, "N/A")</f>
        <v>7.8856140350877197</v>
      </c>
      <c r="AH2836">
        <v>78.856140350877197</v>
      </c>
      <c r="AI2836">
        <v>245.54336083395401</v>
      </c>
      <c r="AJ2836">
        <v>30.2228070175439</v>
      </c>
      <c r="AK2836">
        <v>45.905263157894701</v>
      </c>
    </row>
    <row r="2837" spans="1:37" x14ac:dyDescent="0.3">
      <c r="A2837">
        <v>2836</v>
      </c>
      <c r="B2837">
        <v>21.1</v>
      </c>
      <c r="C2837">
        <v>45.527099999999997</v>
      </c>
      <c r="D2837">
        <v>2.8687299999999998</v>
      </c>
      <c r="E2837" t="s">
        <v>4913</v>
      </c>
      <c r="F2837" t="s">
        <v>4914</v>
      </c>
      <c r="G2837" t="s">
        <v>39</v>
      </c>
      <c r="H2837">
        <v>1980</v>
      </c>
      <c r="I2837">
        <v>27.100000381469702</v>
      </c>
      <c r="J2837">
        <v>11.199999809265099</v>
      </c>
      <c r="K2837">
        <v>76</v>
      </c>
      <c r="L2837">
        <v>10.439999580383301</v>
      </c>
      <c r="M2837">
        <v>35.200000762939503</v>
      </c>
      <c r="N2837">
        <v>20.5</v>
      </c>
      <c r="O2837">
        <v>14.699999809265099</v>
      </c>
      <c r="P2837">
        <v>28.299999237060501</v>
      </c>
      <c r="Q2837">
        <v>27.5</v>
      </c>
      <c r="R2837">
        <v>28.399999618530298</v>
      </c>
      <c r="S2837">
        <v>25.700000762939499</v>
      </c>
      <c r="T2837">
        <v>457</v>
      </c>
      <c r="U2837">
        <v>96</v>
      </c>
      <c r="V2837">
        <v>1</v>
      </c>
      <c r="W2837">
        <v>89</v>
      </c>
      <c r="X2837">
        <v>206</v>
      </c>
      <c r="Y2837">
        <v>21</v>
      </c>
      <c r="Z2837">
        <v>121</v>
      </c>
      <c r="AA2837">
        <v>59</v>
      </c>
      <c r="AB2837">
        <v>0.87052627028080498</v>
      </c>
      <c r="AC2837">
        <v>31834.621968812</v>
      </c>
      <c r="AD2837">
        <v>0.82589676123962097</v>
      </c>
      <c r="AE2837">
        <v>0.75236600637435902</v>
      </c>
      <c r="AF2837">
        <v>108.273684210526</v>
      </c>
      <c r="AG2837">
        <f>IFERROR(AH2837*0.1, "N/A")</f>
        <v>7.4735087719298212</v>
      </c>
      <c r="AH2837">
        <v>74.735087719298207</v>
      </c>
      <c r="AI2837">
        <v>164.34579103704101</v>
      </c>
      <c r="AJ2837">
        <v>36.8894736842105</v>
      </c>
      <c r="AK2837">
        <v>31.8894736842105</v>
      </c>
    </row>
    <row r="2838" spans="1:37" x14ac:dyDescent="0.3">
      <c r="A2838">
        <v>2837</v>
      </c>
      <c r="B2838">
        <v>42.5</v>
      </c>
      <c r="C2838">
        <v>45.535702000000001</v>
      </c>
      <c r="D2838">
        <v>2.97275</v>
      </c>
      <c r="E2838" t="s">
        <v>4915</v>
      </c>
      <c r="F2838" t="s">
        <v>4916</v>
      </c>
      <c r="G2838" t="s">
        <v>39</v>
      </c>
      <c r="H2838">
        <v>1968</v>
      </c>
      <c r="I2838">
        <v>27</v>
      </c>
      <c r="J2838">
        <v>11.3999996185303</v>
      </c>
      <c r="K2838">
        <v>77</v>
      </c>
      <c r="L2838">
        <v>10</v>
      </c>
      <c r="M2838">
        <v>35.099998474121101</v>
      </c>
      <c r="N2838">
        <v>20.299999237060501</v>
      </c>
      <c r="O2838">
        <v>14.800000190734901</v>
      </c>
      <c r="P2838">
        <v>27.899999618530298</v>
      </c>
      <c r="Q2838">
        <v>27.5</v>
      </c>
      <c r="R2838">
        <v>28</v>
      </c>
      <c r="S2838">
        <v>25.5</v>
      </c>
      <c r="T2838">
        <v>432</v>
      </c>
      <c r="U2838">
        <v>83</v>
      </c>
      <c r="V2838">
        <v>3</v>
      </c>
      <c r="W2838">
        <v>86</v>
      </c>
      <c r="X2838">
        <v>195</v>
      </c>
      <c r="Y2838">
        <v>25</v>
      </c>
      <c r="Z2838">
        <v>115</v>
      </c>
      <c r="AA2838">
        <v>43</v>
      </c>
      <c r="AB2838">
        <v>1.40281513375296</v>
      </c>
      <c r="AC2838">
        <v>1.4818786876276E-2</v>
      </c>
      <c r="AD2838">
        <v>0.63774142466800299</v>
      </c>
      <c r="AE2838">
        <v>0.74395084569991499</v>
      </c>
      <c r="AF2838">
        <v>111.57042253521099</v>
      </c>
      <c r="AG2838">
        <f>IFERROR(AH2838*0.1, "N/A")</f>
        <v>7.813204225352111</v>
      </c>
      <c r="AH2838">
        <v>78.132042253521107</v>
      </c>
      <c r="AI2838">
        <v>121.22314654605501</v>
      </c>
      <c r="AJ2838">
        <v>34.440140845070403</v>
      </c>
      <c r="AK2838">
        <v>37.737676056338003</v>
      </c>
    </row>
    <row r="2839" spans="1:37" x14ac:dyDescent="0.3">
      <c r="A2839">
        <v>2838</v>
      </c>
      <c r="B2839">
        <v>0</v>
      </c>
      <c r="C2839">
        <v>45.535702000000001</v>
      </c>
      <c r="D2839">
        <v>2.97275</v>
      </c>
      <c r="E2839" t="s">
        <v>4915</v>
      </c>
      <c r="F2839" t="s">
        <v>4917</v>
      </c>
      <c r="G2839" t="s">
        <v>37</v>
      </c>
      <c r="H2839">
        <v>1968</v>
      </c>
      <c r="I2839">
        <v>27</v>
      </c>
      <c r="J2839">
        <v>11.3999996185303</v>
      </c>
      <c r="K2839">
        <v>77</v>
      </c>
      <c r="L2839">
        <v>10</v>
      </c>
      <c r="M2839">
        <v>35.099998474121101</v>
      </c>
      <c r="N2839">
        <v>20.299999237060501</v>
      </c>
      <c r="O2839">
        <v>14.800000190734901</v>
      </c>
      <c r="P2839">
        <v>27.899999618530298</v>
      </c>
      <c r="Q2839">
        <v>27.5</v>
      </c>
      <c r="R2839">
        <v>28</v>
      </c>
      <c r="S2839">
        <v>25.5</v>
      </c>
      <c r="T2839">
        <v>432</v>
      </c>
      <c r="U2839">
        <v>83</v>
      </c>
      <c r="V2839">
        <v>3</v>
      </c>
      <c r="W2839">
        <v>86</v>
      </c>
      <c r="X2839">
        <v>195</v>
      </c>
      <c r="Y2839">
        <v>25</v>
      </c>
      <c r="Z2839">
        <v>115</v>
      </c>
      <c r="AA2839">
        <v>43</v>
      </c>
      <c r="AB2839">
        <v>1.40281513375296</v>
      </c>
      <c r="AC2839">
        <v>1.4818786876276E-2</v>
      </c>
      <c r="AD2839">
        <v>0.63774142466800299</v>
      </c>
      <c r="AE2839">
        <v>0.74395084569991499</v>
      </c>
      <c r="AF2839">
        <v>111.57042253521099</v>
      </c>
      <c r="AG2839">
        <f>IFERROR(AH2839*0.1, "N/A")</f>
        <v>7.813204225352111</v>
      </c>
      <c r="AH2839">
        <v>78.132042253521107</v>
      </c>
      <c r="AI2839">
        <v>121.22314654605501</v>
      </c>
      <c r="AJ2839">
        <v>34.440140845070403</v>
      </c>
      <c r="AK2839">
        <v>37.737676056338003</v>
      </c>
    </row>
    <row r="2840" spans="1:37" x14ac:dyDescent="0.3">
      <c r="A2840">
        <v>2839</v>
      </c>
      <c r="B2840">
        <v>33.299999</v>
      </c>
      <c r="C2840">
        <v>43.450001</v>
      </c>
      <c r="D2840">
        <v>3</v>
      </c>
      <c r="E2840" t="s">
        <v>4918</v>
      </c>
      <c r="F2840" t="s">
        <v>4919</v>
      </c>
      <c r="G2840" t="s">
        <v>39</v>
      </c>
      <c r="H2840">
        <v>1987</v>
      </c>
      <c r="I2840">
        <v>26.399999618530298</v>
      </c>
      <c r="J2840">
        <v>12.3999996185303</v>
      </c>
      <c r="K2840">
        <v>73</v>
      </c>
      <c r="L2840">
        <v>12.612280367131801</v>
      </c>
      <c r="M2840">
        <v>36.200000762939503</v>
      </c>
      <c r="N2840">
        <v>19.399999618530298</v>
      </c>
      <c r="O2840">
        <v>16.799999237060501</v>
      </c>
      <c r="P2840">
        <v>27.5</v>
      </c>
      <c r="Q2840">
        <v>27.200000762939499</v>
      </c>
      <c r="R2840">
        <v>28.100000381469702</v>
      </c>
      <c r="S2840">
        <v>24.700000762939499</v>
      </c>
      <c r="T2840">
        <v>563.56666666666695</v>
      </c>
      <c r="U2840">
        <v>163</v>
      </c>
      <c r="V2840">
        <v>3</v>
      </c>
      <c r="W2840">
        <v>111.866666666667</v>
      </c>
      <c r="X2840">
        <v>290</v>
      </c>
      <c r="Y2840">
        <v>17</v>
      </c>
      <c r="Z2840">
        <v>190</v>
      </c>
      <c r="AA2840">
        <v>38</v>
      </c>
      <c r="AB2840">
        <v>1.1380616305167199</v>
      </c>
      <c r="AC2840">
        <v>6.4352403259264002E-2</v>
      </c>
      <c r="AD2840">
        <v>0.74845403934779897</v>
      </c>
      <c r="AE2840">
        <v>0.67781975509827597</v>
      </c>
      <c r="AF2840">
        <v>487.6</v>
      </c>
      <c r="AG2840">
        <f>IFERROR(AH2840*0.1, "N/A")</f>
        <v>7.9075438596491203</v>
      </c>
      <c r="AH2840">
        <v>79.075438596491196</v>
      </c>
      <c r="AI2840">
        <v>213.75151509067501</v>
      </c>
      <c r="AJ2840">
        <v>34.087719298245602</v>
      </c>
      <c r="AK2840">
        <v>42.9</v>
      </c>
    </row>
    <row r="2841" spans="1:37" x14ac:dyDescent="0.3">
      <c r="A2841">
        <v>2840</v>
      </c>
      <c r="B2841">
        <v>32</v>
      </c>
      <c r="C2841">
        <v>45.166697999999997</v>
      </c>
      <c r="D2841">
        <v>3.0833300000000001</v>
      </c>
      <c r="E2841" t="s">
        <v>4920</v>
      </c>
      <c r="F2841" t="s">
        <v>4921</v>
      </c>
      <c r="G2841" t="s">
        <v>39</v>
      </c>
      <c r="H2841">
        <v>1968</v>
      </c>
      <c r="I2841">
        <v>28.058070396958701</v>
      </c>
      <c r="J2841">
        <v>11.8770172938966</v>
      </c>
      <c r="K2841">
        <v>77</v>
      </c>
      <c r="L2841">
        <v>10.451982345915701</v>
      </c>
      <c r="M2841">
        <v>36.677017780772402</v>
      </c>
      <c r="N2841">
        <v>21.299999237060501</v>
      </c>
      <c r="O2841">
        <v>15.3770172938966</v>
      </c>
      <c r="P2841">
        <v>28.906491671110501</v>
      </c>
      <c r="Q2841">
        <v>28.390525898180499</v>
      </c>
      <c r="R2841">
        <v>29.277017131604602</v>
      </c>
      <c r="S2841">
        <v>26.519298319231002</v>
      </c>
      <c r="T2841">
        <v>446.22982456140397</v>
      </c>
      <c r="U2841">
        <v>111.226315789474</v>
      </c>
      <c r="V2841">
        <v>2</v>
      </c>
      <c r="W2841">
        <v>97.226315789473702</v>
      </c>
      <c r="X2841">
        <v>214.45614035087701</v>
      </c>
      <c r="Y2841">
        <v>19</v>
      </c>
      <c r="Z2841">
        <v>129</v>
      </c>
      <c r="AA2841">
        <v>54.229824561403497</v>
      </c>
      <c r="AB2841">
        <v>0.88807037085817597</v>
      </c>
      <c r="AC2841">
        <v>2.2013192669602999E-2</v>
      </c>
      <c r="AD2841">
        <v>1.0092855219255401</v>
      </c>
      <c r="AE2841">
        <v>0.704736888408661</v>
      </c>
      <c r="AF2841">
        <v>109.95614035087701</v>
      </c>
      <c r="AG2841">
        <f>IFERROR(AH2841*0.1, "N/A")</f>
        <v>7.3773684210526298</v>
      </c>
      <c r="AH2841">
        <v>73.773684210526298</v>
      </c>
      <c r="AI2841">
        <v>201.759293265092</v>
      </c>
      <c r="AJ2841">
        <v>24.226315789473698</v>
      </c>
      <c r="AK2841">
        <v>56.773684210526298</v>
      </c>
    </row>
    <row r="2842" spans="1:37" x14ac:dyDescent="0.3">
      <c r="A2842">
        <v>2841</v>
      </c>
      <c r="B2842">
        <v>0</v>
      </c>
      <c r="C2842">
        <v>45.166697999999997</v>
      </c>
      <c r="D2842">
        <v>3.0833300000000001</v>
      </c>
      <c r="E2842" t="s">
        <v>4920</v>
      </c>
      <c r="F2842" t="s">
        <v>4922</v>
      </c>
      <c r="G2842" t="s">
        <v>37</v>
      </c>
      <c r="H2842">
        <v>1968</v>
      </c>
      <c r="I2842">
        <v>28.058070396958701</v>
      </c>
      <c r="J2842">
        <v>11.8770172938966</v>
      </c>
      <c r="K2842">
        <v>77</v>
      </c>
      <c r="L2842">
        <v>10.451982345915701</v>
      </c>
      <c r="M2842">
        <v>36.677017780772402</v>
      </c>
      <c r="N2842">
        <v>21.299999237060501</v>
      </c>
      <c r="O2842">
        <v>15.3770172938966</v>
      </c>
      <c r="P2842">
        <v>28.906491671110501</v>
      </c>
      <c r="Q2842">
        <v>28.390525898180499</v>
      </c>
      <c r="R2842">
        <v>29.277017131604602</v>
      </c>
      <c r="S2842">
        <v>26.519298319231002</v>
      </c>
      <c r="T2842">
        <v>446.22982456140397</v>
      </c>
      <c r="U2842">
        <v>111.226315789474</v>
      </c>
      <c r="V2842">
        <v>2</v>
      </c>
      <c r="W2842">
        <v>97.226315789473702</v>
      </c>
      <c r="X2842">
        <v>214.45614035087701</v>
      </c>
      <c r="Y2842">
        <v>19</v>
      </c>
      <c r="Z2842">
        <v>129</v>
      </c>
      <c r="AA2842">
        <v>54.229824561403497</v>
      </c>
      <c r="AB2842">
        <v>0.88807037085817597</v>
      </c>
      <c r="AC2842">
        <v>2.2013192669602999E-2</v>
      </c>
      <c r="AD2842">
        <v>1.0092855219255401</v>
      </c>
      <c r="AE2842">
        <v>0.704736888408661</v>
      </c>
      <c r="AF2842">
        <v>109.95614035087701</v>
      </c>
      <c r="AG2842">
        <f>IFERROR(AH2842*0.1, "N/A")</f>
        <v>7.3773684210526298</v>
      </c>
      <c r="AH2842">
        <v>73.773684210526298</v>
      </c>
      <c r="AI2842">
        <v>201.759293265092</v>
      </c>
      <c r="AJ2842">
        <v>24.226315789473698</v>
      </c>
      <c r="AK2842">
        <v>56.773684210526298</v>
      </c>
    </row>
    <row r="2843" spans="1:37" x14ac:dyDescent="0.3">
      <c r="A2843">
        <v>2842</v>
      </c>
      <c r="B2843">
        <v>0</v>
      </c>
      <c r="C2843">
        <v>43.650002000000001</v>
      </c>
      <c r="D2843">
        <v>3.1166700000000001</v>
      </c>
      <c r="E2843" t="s">
        <v>4923</v>
      </c>
      <c r="F2843" t="s">
        <v>4924</v>
      </c>
      <c r="G2843" t="s">
        <v>39</v>
      </c>
      <c r="H2843">
        <v>1987</v>
      </c>
      <c r="I2843">
        <v>26.415113911687399</v>
      </c>
      <c r="J2843">
        <v>12.199999809265099</v>
      </c>
      <c r="K2843">
        <v>73</v>
      </c>
      <c r="L2843">
        <v>12.541177312183899</v>
      </c>
      <c r="M2843">
        <v>36.115113055559398</v>
      </c>
      <c r="N2843">
        <v>19.596133934383001</v>
      </c>
      <c r="O2843">
        <v>16.518980740243801</v>
      </c>
      <c r="P2843">
        <v>27.6056243045049</v>
      </c>
      <c r="Q2843">
        <v>27.230229060972501</v>
      </c>
      <c r="R2843">
        <v>28.115114674626799</v>
      </c>
      <c r="S2843">
        <v>24.815113530217701</v>
      </c>
      <c r="T2843">
        <v>565.64147627416503</v>
      </c>
      <c r="U2843">
        <v>163.56942003514899</v>
      </c>
      <c r="V2843">
        <v>2.9437609841827799</v>
      </c>
      <c r="W2843">
        <v>112.263620386643</v>
      </c>
      <c r="X2843">
        <v>288.56942003514899</v>
      </c>
      <c r="Y2843">
        <v>14.9437609841828</v>
      </c>
      <c r="Z2843">
        <v>189.41827768014099</v>
      </c>
      <c r="AA2843">
        <v>40.567662565905103</v>
      </c>
      <c r="AB2843">
        <v>13.8390157528627</v>
      </c>
      <c r="AC2843">
        <v>8.5354673157339994E-3</v>
      </c>
      <c r="AD2843">
        <v>0.95139725996027502</v>
      </c>
      <c r="AE2843">
        <v>0.69201340155777502</v>
      </c>
      <c r="AF2843">
        <v>446.50615114235501</v>
      </c>
      <c r="AG2843">
        <f>IFERROR(AH2843*0.1, "N/A")</f>
        <v>7.7664323374340896</v>
      </c>
      <c r="AH2843">
        <v>77.664323374340896</v>
      </c>
      <c r="AI2843">
        <v>224.705465038548</v>
      </c>
      <c r="AJ2843">
        <v>30.469244288224999</v>
      </c>
      <c r="AK2843">
        <v>45.346221441124797</v>
      </c>
    </row>
    <row r="2844" spans="1:37" x14ac:dyDescent="0.3">
      <c r="A2844">
        <v>2843</v>
      </c>
      <c r="B2844">
        <v>0</v>
      </c>
      <c r="C2844">
        <v>46.616698999999997</v>
      </c>
      <c r="D2844">
        <v>4.6833299999999998</v>
      </c>
      <c r="E2844" t="s">
        <v>4925</v>
      </c>
      <c r="F2844" t="s">
        <v>4926</v>
      </c>
      <c r="G2844" t="s">
        <v>39</v>
      </c>
      <c r="H2844">
        <v>1987</v>
      </c>
      <c r="I2844">
        <v>28.2149128160979</v>
      </c>
      <c r="J2844">
        <v>13.5</v>
      </c>
      <c r="K2844">
        <v>77.291228070175407</v>
      </c>
      <c r="L2844">
        <v>9.8451576400221406</v>
      </c>
      <c r="M2844">
        <v>37.299999237060497</v>
      </c>
      <c r="N2844">
        <v>19.929122536642499</v>
      </c>
      <c r="O2844">
        <v>17.370876700417998</v>
      </c>
      <c r="P2844">
        <v>29.600000381469702</v>
      </c>
      <c r="Q2844">
        <v>27.899999618530298</v>
      </c>
      <c r="R2844">
        <v>29.600000381469702</v>
      </c>
      <c r="S2844">
        <v>27.200000762939499</v>
      </c>
      <c r="T2844">
        <v>206</v>
      </c>
      <c r="U2844">
        <v>51</v>
      </c>
      <c r="V2844">
        <v>1</v>
      </c>
      <c r="W2844">
        <v>112</v>
      </c>
      <c r="X2844">
        <v>110</v>
      </c>
      <c r="Y2844">
        <v>5</v>
      </c>
      <c r="Z2844">
        <v>110</v>
      </c>
      <c r="AA2844">
        <v>33</v>
      </c>
      <c r="AB2844">
        <v>2.0345519216437098</v>
      </c>
      <c r="AC2844">
        <v>1.0926381536155E-2</v>
      </c>
      <c r="AD2844">
        <v>1.70849995403959</v>
      </c>
      <c r="AE2844">
        <v>0.452868431806564</v>
      </c>
      <c r="AF2844">
        <v>150.76140350877199</v>
      </c>
      <c r="AG2844">
        <f>IFERROR(AH2844*0.1, "N/A")</f>
        <v>7.1142105263157909</v>
      </c>
      <c r="AH2844">
        <v>71.142105263157902</v>
      </c>
      <c r="AI2844">
        <v>198.21772289610701</v>
      </c>
      <c r="AJ2844">
        <v>27.563157894736801</v>
      </c>
      <c r="AK2844">
        <v>48.552631578947398</v>
      </c>
    </row>
    <row r="2845" spans="1:37" x14ac:dyDescent="0.3">
      <c r="A2845">
        <v>2844</v>
      </c>
      <c r="B2845">
        <v>0</v>
      </c>
      <c r="C2845">
        <v>45.209999000000003</v>
      </c>
      <c r="D2845">
        <v>4.7041700000000004</v>
      </c>
      <c r="E2845" t="s">
        <v>4927</v>
      </c>
      <c r="F2845" t="s">
        <v>4928</v>
      </c>
      <c r="G2845" t="s">
        <v>39</v>
      </c>
      <c r="H2845">
        <v>1980</v>
      </c>
      <c r="I2845">
        <v>28.600000381469702</v>
      </c>
      <c r="J2845">
        <v>12.3999996185303</v>
      </c>
      <c r="K2845">
        <v>81</v>
      </c>
      <c r="L2845">
        <v>7.5199999809265101</v>
      </c>
      <c r="M2845">
        <v>36.799999237060497</v>
      </c>
      <c r="N2845">
        <v>21.600000381469702</v>
      </c>
      <c r="O2845">
        <v>15.199999809265099</v>
      </c>
      <c r="P2845">
        <v>29.700000762939499</v>
      </c>
      <c r="Q2845">
        <v>27.899999618530298</v>
      </c>
      <c r="R2845">
        <v>29.700000762939499</v>
      </c>
      <c r="S2845">
        <v>27.899999618530298</v>
      </c>
      <c r="T2845">
        <v>272</v>
      </c>
      <c r="U2845">
        <v>70</v>
      </c>
      <c r="V2845">
        <v>0</v>
      </c>
      <c r="W2845">
        <v>122</v>
      </c>
      <c r="X2845">
        <v>143</v>
      </c>
      <c r="Y2845">
        <v>6</v>
      </c>
      <c r="Z2845">
        <v>143</v>
      </c>
      <c r="AA2845">
        <v>6</v>
      </c>
      <c r="AB2845">
        <v>0.31719911809553197</v>
      </c>
      <c r="AC2845">
        <v>1357.0297644274999</v>
      </c>
      <c r="AD2845">
        <v>1.63922436718355</v>
      </c>
      <c r="AE2845">
        <v>0.34289935231208801</v>
      </c>
      <c r="AF2845">
        <v>181.69824561403499</v>
      </c>
      <c r="AG2845">
        <f>IFERROR(AH2845*0.1, "N/A")</f>
        <v>7.9610526315789407</v>
      </c>
      <c r="AH2845">
        <v>79.6105263157894</v>
      </c>
      <c r="AI2845">
        <v>207.87891580682</v>
      </c>
      <c r="AJ2845">
        <v>32.612280701754401</v>
      </c>
      <c r="AK2845">
        <v>45.331578947368399</v>
      </c>
    </row>
    <row r="2846" spans="1:37" x14ac:dyDescent="0.3">
      <c r="A2846">
        <v>2845</v>
      </c>
      <c r="B2846">
        <v>0</v>
      </c>
      <c r="C2846">
        <v>47.433300000000003</v>
      </c>
      <c r="D2846">
        <v>6.7833300000000003</v>
      </c>
      <c r="E2846" t="s">
        <v>4929</v>
      </c>
      <c r="F2846" t="s">
        <v>4930</v>
      </c>
      <c r="G2846" t="s">
        <v>39</v>
      </c>
      <c r="H2846">
        <v>1987</v>
      </c>
      <c r="I2846">
        <v>27.299999237060501</v>
      </c>
      <c r="J2846">
        <v>12.699999809265099</v>
      </c>
      <c r="K2846">
        <v>69.912891986062704</v>
      </c>
      <c r="L2846">
        <v>11.958954578492699</v>
      </c>
      <c r="M2846">
        <v>36</v>
      </c>
      <c r="N2846">
        <v>17.891288783907498</v>
      </c>
      <c r="O2846">
        <v>18.108711216092502</v>
      </c>
      <c r="P2846">
        <v>28.700000762939499</v>
      </c>
      <c r="Q2846">
        <v>25.685191659561799</v>
      </c>
      <c r="R2846">
        <v>28.700000762939499</v>
      </c>
      <c r="S2846">
        <v>25.5</v>
      </c>
      <c r="T2846">
        <v>147.92334494773499</v>
      </c>
      <c r="U2846">
        <v>55</v>
      </c>
      <c r="V2846">
        <v>0</v>
      </c>
      <c r="W2846">
        <v>141.35888501742201</v>
      </c>
      <c r="X2846">
        <v>85.641114982578401</v>
      </c>
      <c r="Y2846">
        <v>1</v>
      </c>
      <c r="Z2846">
        <v>85.641114982578401</v>
      </c>
      <c r="AA2846">
        <v>1</v>
      </c>
      <c r="AB2846">
        <v>1.5177531491588601</v>
      </c>
      <c r="AC2846">
        <v>0.203534676766393</v>
      </c>
      <c r="AD2846">
        <v>0.88914489351498505</v>
      </c>
      <c r="AE2846">
        <v>0.68572605793276697</v>
      </c>
      <c r="AF2846">
        <v>286.473867595819</v>
      </c>
      <c r="AG2846">
        <f>IFERROR(AH2846*0.1, "N/A")</f>
        <v>6.9722996515679405</v>
      </c>
      <c r="AH2846">
        <v>69.722996515679398</v>
      </c>
      <c r="AI2846">
        <v>77.208725753146197</v>
      </c>
      <c r="AJ2846">
        <v>18.421602787456401</v>
      </c>
      <c r="AK2846">
        <v>59.5783972125435</v>
      </c>
    </row>
    <row r="2847" spans="1:37" x14ac:dyDescent="0.3">
      <c r="A2847">
        <v>2846</v>
      </c>
      <c r="B2847">
        <v>0</v>
      </c>
      <c r="C2847">
        <v>45.066699999999997</v>
      </c>
      <c r="D2847">
        <v>9.4</v>
      </c>
      <c r="E2847" t="s">
        <v>4931</v>
      </c>
      <c r="F2847" t="s">
        <v>4932</v>
      </c>
      <c r="G2847" t="s">
        <v>39</v>
      </c>
      <c r="H2847">
        <v>1987</v>
      </c>
      <c r="I2847">
        <v>22.9234884818807</v>
      </c>
      <c r="J2847">
        <v>12.8999996185303</v>
      </c>
      <c r="K2847">
        <v>65.224525043177906</v>
      </c>
      <c r="L2847">
        <v>22.84948165182</v>
      </c>
      <c r="M2847">
        <v>31.9234884818807</v>
      </c>
      <c r="N2847">
        <v>12.345941205922401</v>
      </c>
      <c r="O2847">
        <v>19.577547791502401</v>
      </c>
      <c r="P2847">
        <v>24.700000762939499</v>
      </c>
      <c r="Q2847">
        <v>19.723489178276999</v>
      </c>
      <c r="R2847">
        <v>25.023488863350401</v>
      </c>
      <c r="S2847">
        <v>19.723489178276999</v>
      </c>
      <c r="T2847">
        <v>269.784110535406</v>
      </c>
      <c r="U2847">
        <v>57</v>
      </c>
      <c r="V2847">
        <v>2</v>
      </c>
      <c r="W2847">
        <v>80.253886010362706</v>
      </c>
      <c r="X2847">
        <v>130.765112262522</v>
      </c>
      <c r="Y2847">
        <v>6</v>
      </c>
      <c r="Z2847">
        <v>64.993091537132997</v>
      </c>
      <c r="AA2847">
        <v>10.1727115716753</v>
      </c>
      <c r="AB2847">
        <v>5.6231780109833798</v>
      </c>
      <c r="AC2847">
        <v>2.2377642775549999E-2</v>
      </c>
      <c r="AD2847">
        <v>1.5168883557558499</v>
      </c>
      <c r="AE2847">
        <v>0.18182912468910201</v>
      </c>
      <c r="AF2847">
        <v>1044.9274611399001</v>
      </c>
      <c r="AG2847">
        <f>IFERROR(AH2847*0.1, "N/A")</f>
        <v>8.1521588946459413</v>
      </c>
      <c r="AH2847">
        <v>81.521588946459403</v>
      </c>
      <c r="AI2847">
        <v>137.077005705891</v>
      </c>
      <c r="AJ2847">
        <v>16.521588946459399</v>
      </c>
      <c r="AK2847">
        <v>72.478411053540597</v>
      </c>
    </row>
    <row r="2848" spans="1:37" x14ac:dyDescent="0.3">
      <c r="A2848">
        <v>2847</v>
      </c>
      <c r="B2848">
        <v>0</v>
      </c>
      <c r="C2848">
        <v>45.536900000000003</v>
      </c>
      <c r="D2848">
        <v>9.5241699999999998</v>
      </c>
      <c r="E2848" t="s">
        <v>4933</v>
      </c>
      <c r="F2848" t="s">
        <v>4934</v>
      </c>
      <c r="G2848" t="s">
        <v>37</v>
      </c>
      <c r="H2848">
        <v>1988</v>
      </c>
      <c r="I2848">
        <v>22.993782359701399</v>
      </c>
      <c r="J2848">
        <v>12.800000190734901</v>
      </c>
      <c r="K2848">
        <v>67</v>
      </c>
      <c r="L2848">
        <v>21.012487213846299</v>
      </c>
      <c r="M2848">
        <v>31.600000381469702</v>
      </c>
      <c r="N2848">
        <v>12.699999809265099</v>
      </c>
      <c r="O2848">
        <v>18.899999618530298</v>
      </c>
      <c r="P2848">
        <v>24.600000381469702</v>
      </c>
      <c r="Q2848">
        <v>20</v>
      </c>
      <c r="R2848">
        <v>24.899999618530298</v>
      </c>
      <c r="S2848">
        <v>19.993782359701399</v>
      </c>
      <c r="T2848">
        <v>222.12435233160599</v>
      </c>
      <c r="U2848">
        <v>59</v>
      </c>
      <c r="V2848">
        <v>0</v>
      </c>
      <c r="W2848">
        <v>97.062176165803095</v>
      </c>
      <c r="X2848">
        <v>123</v>
      </c>
      <c r="Y2848">
        <v>2</v>
      </c>
      <c r="Z2848">
        <v>56.124352331606197</v>
      </c>
      <c r="AA2848">
        <v>11</v>
      </c>
      <c r="AB2848">
        <v>4.50427773167638</v>
      </c>
      <c r="AC2848">
        <v>3.8025544727918997E-2</v>
      </c>
      <c r="AD2848">
        <v>0.54106570226952599</v>
      </c>
      <c r="AE2848">
        <v>0.82827115058898904</v>
      </c>
      <c r="AF2848">
        <v>1039.77892918826</v>
      </c>
      <c r="AG2848">
        <f>IFERROR(AH2848*0.1, "N/A")</f>
        <v>7.9291882556131306</v>
      </c>
      <c r="AH2848">
        <v>79.291882556131299</v>
      </c>
      <c r="AI2848">
        <v>99.468258134647598</v>
      </c>
      <c r="AJ2848">
        <v>24.0759930915371</v>
      </c>
      <c r="AK2848">
        <v>57.632124352331601</v>
      </c>
    </row>
    <row r="2849" spans="1:37" x14ac:dyDescent="0.3">
      <c r="A2849">
        <v>2848</v>
      </c>
      <c r="B2849">
        <v>0</v>
      </c>
      <c r="C2849">
        <v>44.064999</v>
      </c>
      <c r="D2849">
        <v>9.56</v>
      </c>
      <c r="E2849" t="s">
        <v>4935</v>
      </c>
      <c r="F2849" t="s">
        <v>4936</v>
      </c>
      <c r="G2849" t="s">
        <v>37</v>
      </c>
      <c r="H2849">
        <v>1956</v>
      </c>
      <c r="I2849">
        <v>22</v>
      </c>
      <c r="J2849">
        <v>12.800000190734901</v>
      </c>
      <c r="K2849">
        <v>65</v>
      </c>
      <c r="L2849">
        <v>23.129999160766602</v>
      </c>
      <c r="M2849">
        <v>31.299999237060501</v>
      </c>
      <c r="N2849">
        <v>11.699999809265099</v>
      </c>
      <c r="O2849">
        <v>19.600000381469702</v>
      </c>
      <c r="P2849">
        <v>23.899999618530298</v>
      </c>
      <c r="Q2849">
        <v>18.700000762939499</v>
      </c>
      <c r="R2849">
        <v>24.299999237060501</v>
      </c>
      <c r="S2849">
        <v>18.700000762939499</v>
      </c>
      <c r="T2849">
        <v>408</v>
      </c>
      <c r="U2849">
        <v>67</v>
      </c>
      <c r="V2849">
        <v>2</v>
      </c>
      <c r="W2849">
        <v>72</v>
      </c>
      <c r="X2849">
        <v>182</v>
      </c>
      <c r="Y2849">
        <v>10</v>
      </c>
      <c r="Z2849">
        <v>146</v>
      </c>
      <c r="AA2849">
        <v>10</v>
      </c>
      <c r="AB2849">
        <v>2.4451285497540001</v>
      </c>
      <c r="AC2849">
        <v>6.4811095113586001E-2</v>
      </c>
      <c r="AD2849">
        <v>2.1877321657631201</v>
      </c>
      <c r="AE2849">
        <v>0.86697775125503496</v>
      </c>
      <c r="AF2849">
        <v>1257.7058823529401</v>
      </c>
      <c r="AG2849">
        <f>IFERROR(AH2849*0.1, "N/A")</f>
        <v>8.0378892733564005</v>
      </c>
      <c r="AH2849">
        <v>80.378892733564001</v>
      </c>
      <c r="AI2849">
        <v>188.12233113747601</v>
      </c>
      <c r="AJ2849">
        <v>30.756055363321799</v>
      </c>
      <c r="AK2849">
        <v>50.4913494809689</v>
      </c>
    </row>
    <row r="2850" spans="1:37" x14ac:dyDescent="0.3">
      <c r="A2850">
        <v>2849</v>
      </c>
      <c r="B2850">
        <v>0</v>
      </c>
      <c r="C2850">
        <v>44.064999</v>
      </c>
      <c r="D2850">
        <v>9.56</v>
      </c>
      <c r="E2850" t="s">
        <v>4935</v>
      </c>
      <c r="F2850" t="s">
        <v>4937</v>
      </c>
      <c r="G2850" t="s">
        <v>39</v>
      </c>
      <c r="H2850">
        <v>1956</v>
      </c>
      <c r="I2850">
        <v>22</v>
      </c>
      <c r="J2850">
        <v>12.800000190734901</v>
      </c>
      <c r="K2850">
        <v>65</v>
      </c>
      <c r="L2850">
        <v>23.129999160766602</v>
      </c>
      <c r="M2850">
        <v>31.299999237060501</v>
      </c>
      <c r="N2850">
        <v>11.699999809265099</v>
      </c>
      <c r="O2850">
        <v>19.600000381469702</v>
      </c>
      <c r="P2850">
        <v>23.899999618530298</v>
      </c>
      <c r="Q2850">
        <v>18.700000762939499</v>
      </c>
      <c r="R2850">
        <v>24.299999237060501</v>
      </c>
      <c r="S2850">
        <v>18.700000762939499</v>
      </c>
      <c r="T2850">
        <v>408</v>
      </c>
      <c r="U2850">
        <v>67</v>
      </c>
      <c r="V2850">
        <v>2</v>
      </c>
      <c r="W2850">
        <v>72</v>
      </c>
      <c r="X2850">
        <v>182</v>
      </c>
      <c r="Y2850">
        <v>10</v>
      </c>
      <c r="Z2850">
        <v>146</v>
      </c>
      <c r="AA2850">
        <v>10</v>
      </c>
      <c r="AB2850">
        <v>2.4451285497540001</v>
      </c>
      <c r="AC2850">
        <v>6.4811095113586001E-2</v>
      </c>
      <c r="AD2850">
        <v>2.1877321657631201</v>
      </c>
      <c r="AE2850">
        <v>0.86697775125503496</v>
      </c>
      <c r="AF2850">
        <v>1257.7058823529401</v>
      </c>
      <c r="AG2850">
        <f>IFERROR(AH2850*0.1, "N/A")</f>
        <v>8.0378892733564005</v>
      </c>
      <c r="AH2850">
        <v>80.378892733564001</v>
      </c>
      <c r="AI2850">
        <v>188.12233113747601</v>
      </c>
      <c r="AJ2850">
        <v>30.756055363321799</v>
      </c>
      <c r="AK2850">
        <v>50.4913494809689</v>
      </c>
    </row>
    <row r="2851" spans="1:37" x14ac:dyDescent="0.3">
      <c r="A2851">
        <v>2850</v>
      </c>
      <c r="B2851">
        <v>0</v>
      </c>
      <c r="C2851">
        <v>45.191699999999997</v>
      </c>
      <c r="D2851">
        <v>9.9291699999999992</v>
      </c>
      <c r="E2851" t="s">
        <v>4938</v>
      </c>
      <c r="F2851" t="s">
        <v>4939</v>
      </c>
      <c r="G2851" t="s">
        <v>37</v>
      </c>
      <c r="H2851">
        <v>1956</v>
      </c>
      <c r="I2851">
        <v>19.135739349417701</v>
      </c>
      <c r="J2851">
        <v>12.5</v>
      </c>
      <c r="K2851">
        <v>60</v>
      </c>
      <c r="L2851">
        <v>28.453607729620099</v>
      </c>
      <c r="M2851">
        <v>28.571477935895899</v>
      </c>
      <c r="N2851">
        <v>7.9357388928993498</v>
      </c>
      <c r="O2851">
        <v>20.635739349417701</v>
      </c>
      <c r="P2851">
        <v>21.071477935895899</v>
      </c>
      <c r="Q2851">
        <v>15.235738777213101</v>
      </c>
      <c r="R2851">
        <v>22.071477935895899</v>
      </c>
      <c r="S2851">
        <v>15.235738777213101</v>
      </c>
      <c r="T2851">
        <v>464.21305841924402</v>
      </c>
      <c r="U2851">
        <v>75.642611683848799</v>
      </c>
      <c r="V2851">
        <v>5</v>
      </c>
      <c r="W2851">
        <v>61</v>
      </c>
      <c r="X2851">
        <v>183.642611683849</v>
      </c>
      <c r="Y2851">
        <v>27.642611683848799</v>
      </c>
      <c r="Z2851">
        <v>116.642611683849</v>
      </c>
      <c r="AA2851">
        <v>36.642611683848799</v>
      </c>
      <c r="AB2851">
        <v>11.1631092189514</v>
      </c>
      <c r="AC2851">
        <v>5.0490210728905E-2</v>
      </c>
      <c r="AD2851">
        <v>1.52766924430824</v>
      </c>
      <c r="AE2851">
        <v>0.42788800597190901</v>
      </c>
      <c r="AF2851">
        <v>1426.9312714776599</v>
      </c>
      <c r="AG2851">
        <f>IFERROR(AH2851*0.1, "N/A")</f>
        <v>8</v>
      </c>
      <c r="AH2851">
        <v>80</v>
      </c>
      <c r="AI2851">
        <v>178.70275129075699</v>
      </c>
      <c r="AJ2851">
        <v>29.786941580756</v>
      </c>
      <c r="AK2851">
        <v>51.570446735395201</v>
      </c>
    </row>
    <row r="2852" spans="1:37" x14ac:dyDescent="0.3">
      <c r="A2852">
        <v>2851</v>
      </c>
      <c r="B2852">
        <v>0</v>
      </c>
      <c r="C2852">
        <v>45.191699999999997</v>
      </c>
      <c r="D2852">
        <v>9.9291699999999992</v>
      </c>
      <c r="E2852" t="s">
        <v>4938</v>
      </c>
      <c r="F2852" t="s">
        <v>4940</v>
      </c>
      <c r="G2852" t="s">
        <v>39</v>
      </c>
      <c r="H2852">
        <v>1956</v>
      </c>
      <c r="I2852">
        <v>19.135739349417701</v>
      </c>
      <c r="J2852">
        <v>12.5</v>
      </c>
      <c r="K2852">
        <v>60</v>
      </c>
      <c r="L2852">
        <v>28.453607729620099</v>
      </c>
      <c r="M2852">
        <v>28.571477935895899</v>
      </c>
      <c r="N2852">
        <v>7.9357388928993498</v>
      </c>
      <c r="O2852">
        <v>20.635739349417701</v>
      </c>
      <c r="P2852">
        <v>21.071477935895899</v>
      </c>
      <c r="Q2852">
        <v>15.235738777213101</v>
      </c>
      <c r="R2852">
        <v>22.071477935895899</v>
      </c>
      <c r="S2852">
        <v>15.235738777213101</v>
      </c>
      <c r="T2852">
        <v>464.21305841924402</v>
      </c>
      <c r="U2852">
        <v>75.642611683848799</v>
      </c>
      <c r="V2852">
        <v>5</v>
      </c>
      <c r="W2852">
        <v>61</v>
      </c>
      <c r="X2852">
        <v>183.642611683849</v>
      </c>
      <c r="Y2852">
        <v>27.642611683848799</v>
      </c>
      <c r="Z2852">
        <v>116.642611683849</v>
      </c>
      <c r="AA2852">
        <v>36.642611683848799</v>
      </c>
      <c r="AB2852">
        <v>11.1631092189514</v>
      </c>
      <c r="AC2852">
        <v>5.0490210728905E-2</v>
      </c>
      <c r="AD2852">
        <v>1.52766924430824</v>
      </c>
      <c r="AE2852">
        <v>0.42788800597190901</v>
      </c>
      <c r="AF2852">
        <v>1426.9312714776599</v>
      </c>
      <c r="AG2852">
        <f>IFERROR(AH2852*0.1, "N/A")</f>
        <v>8</v>
      </c>
      <c r="AH2852">
        <v>80</v>
      </c>
      <c r="AI2852">
        <v>178.70275129075699</v>
      </c>
      <c r="AJ2852">
        <v>29.786941580756</v>
      </c>
      <c r="AK2852">
        <v>51.570446735395201</v>
      </c>
    </row>
    <row r="2853" spans="1:37" x14ac:dyDescent="0.3">
      <c r="A2853">
        <v>2852</v>
      </c>
      <c r="B2853">
        <v>0</v>
      </c>
      <c r="C2853">
        <v>45.016399</v>
      </c>
      <c r="D2853">
        <v>10.435600000000001</v>
      </c>
      <c r="E2853" t="s">
        <v>4941</v>
      </c>
      <c r="F2853" t="s">
        <v>4942</v>
      </c>
      <c r="G2853" t="s">
        <v>37</v>
      </c>
      <c r="H2853">
        <v>1956</v>
      </c>
      <c r="I2853">
        <v>30.200000762939499</v>
      </c>
      <c r="J2853">
        <v>9.3999996185302699</v>
      </c>
      <c r="K2853">
        <v>43</v>
      </c>
      <c r="L2853">
        <v>43.360479838227597</v>
      </c>
      <c r="M2853">
        <v>42.099998474121101</v>
      </c>
      <c r="N2853">
        <v>20.4469176057267</v>
      </c>
      <c r="O2853">
        <v>21.653082775743002</v>
      </c>
      <c r="P2853">
        <v>35.599998474121101</v>
      </c>
      <c r="Q2853">
        <v>27.100000381469702</v>
      </c>
      <c r="R2853">
        <v>36.153081880856902</v>
      </c>
      <c r="S2853">
        <v>25.246917855249698</v>
      </c>
      <c r="T2853">
        <v>11</v>
      </c>
      <c r="U2853">
        <v>3</v>
      </c>
      <c r="V2853">
        <v>0</v>
      </c>
      <c r="W2853">
        <v>104</v>
      </c>
      <c r="X2853">
        <v>7</v>
      </c>
      <c r="Y2853">
        <v>0</v>
      </c>
      <c r="Z2853">
        <v>4</v>
      </c>
      <c r="AA2853">
        <v>1</v>
      </c>
      <c r="AB2853">
        <v>7.7272263651024797</v>
      </c>
      <c r="AC2853">
        <v>2.3485464764733E-2</v>
      </c>
      <c r="AD2853">
        <v>0.69964817686848402</v>
      </c>
      <c r="AE2853">
        <v>0.514912009239197</v>
      </c>
      <c r="AF2853">
        <v>14.4931506849315</v>
      </c>
      <c r="AG2853">
        <f>IFERROR(AH2853*0.1, "N/A")</f>
        <v>7.7462328767123303</v>
      </c>
      <c r="AH2853">
        <v>77.462328767123296</v>
      </c>
      <c r="AI2853">
        <v>106.273536708257</v>
      </c>
      <c r="AJ2853">
        <v>13.082191780821899</v>
      </c>
      <c r="AK2853">
        <v>67.537671232876704</v>
      </c>
    </row>
    <row r="2854" spans="1:37" x14ac:dyDescent="0.3">
      <c r="A2854">
        <v>2853</v>
      </c>
      <c r="B2854">
        <v>0</v>
      </c>
      <c r="C2854">
        <v>45.016399</v>
      </c>
      <c r="D2854">
        <v>10.435600000000001</v>
      </c>
      <c r="E2854" t="s">
        <v>4941</v>
      </c>
      <c r="F2854" t="s">
        <v>4943</v>
      </c>
      <c r="G2854" t="s">
        <v>39</v>
      </c>
      <c r="H2854">
        <v>1956</v>
      </c>
      <c r="I2854">
        <v>30.200000762939499</v>
      </c>
      <c r="J2854">
        <v>9.3999996185302699</v>
      </c>
      <c r="K2854">
        <v>43</v>
      </c>
      <c r="L2854">
        <v>43.360479838227597</v>
      </c>
      <c r="M2854">
        <v>42.099998474121101</v>
      </c>
      <c r="N2854">
        <v>20.4469176057267</v>
      </c>
      <c r="O2854">
        <v>21.653082775743002</v>
      </c>
      <c r="P2854">
        <v>35.599998474121101</v>
      </c>
      <c r="Q2854">
        <v>27.100000381469702</v>
      </c>
      <c r="R2854">
        <v>36.153081880856902</v>
      </c>
      <c r="S2854">
        <v>25.246917855249698</v>
      </c>
      <c r="T2854">
        <v>11</v>
      </c>
      <c r="U2854">
        <v>3</v>
      </c>
      <c r="V2854">
        <v>0</v>
      </c>
      <c r="W2854">
        <v>104</v>
      </c>
      <c r="X2854">
        <v>7</v>
      </c>
      <c r="Y2854">
        <v>0</v>
      </c>
      <c r="Z2854">
        <v>4</v>
      </c>
      <c r="AA2854">
        <v>1</v>
      </c>
      <c r="AB2854">
        <v>7.7272263651024797</v>
      </c>
      <c r="AC2854">
        <v>2.3485464764733E-2</v>
      </c>
      <c r="AD2854">
        <v>0.69964817686848402</v>
      </c>
      <c r="AE2854">
        <v>0.514912009239197</v>
      </c>
      <c r="AF2854">
        <v>14.4931506849315</v>
      </c>
      <c r="AG2854">
        <f>IFERROR(AH2854*0.1, "N/A")</f>
        <v>7.7462328767123303</v>
      </c>
      <c r="AH2854">
        <v>77.462328767123296</v>
      </c>
      <c r="AI2854">
        <v>106.273536708257</v>
      </c>
      <c r="AJ2854">
        <v>13.082191780821899</v>
      </c>
      <c r="AK2854">
        <v>67.537671232876704</v>
      </c>
    </row>
    <row r="2855" spans="1:37" x14ac:dyDescent="0.3">
      <c r="A2855">
        <v>2854</v>
      </c>
      <c r="B2855">
        <v>14</v>
      </c>
      <c r="C2855">
        <v>45.116717000000001</v>
      </c>
      <c r="D2855">
        <v>2.1426219999999998</v>
      </c>
      <c r="E2855" t="s">
        <v>4944</v>
      </c>
      <c r="F2855" t="s">
        <v>4945</v>
      </c>
      <c r="G2855" t="s">
        <v>39</v>
      </c>
      <c r="H2855">
        <v>1975</v>
      </c>
      <c r="I2855">
        <v>27.299999237060501</v>
      </c>
      <c r="J2855">
        <v>9.6999998092651403</v>
      </c>
      <c r="K2855">
        <v>76</v>
      </c>
      <c r="L2855">
        <v>9.0354753833421508</v>
      </c>
      <c r="M2855">
        <v>34.400001525878899</v>
      </c>
      <c r="N2855">
        <v>21.700000762939499</v>
      </c>
      <c r="O2855">
        <v>12.699999809265099</v>
      </c>
      <c r="P2855">
        <v>27.799999237060501</v>
      </c>
      <c r="Q2855">
        <v>28</v>
      </c>
      <c r="R2855">
        <v>28.5</v>
      </c>
      <c r="S2855">
        <v>26.200000762939499</v>
      </c>
      <c r="T2855">
        <v>500.45422535211299</v>
      </c>
      <c r="U2855">
        <v>91</v>
      </c>
      <c r="V2855">
        <v>0</v>
      </c>
      <c r="W2855">
        <v>80</v>
      </c>
      <c r="X2855">
        <v>246.72711267605601</v>
      </c>
      <c r="Y2855">
        <v>8</v>
      </c>
      <c r="Z2855">
        <v>184.72711267605601</v>
      </c>
      <c r="AA2855">
        <v>135.72711267605601</v>
      </c>
      <c r="AB2855">
        <v>1.13151726252596</v>
      </c>
      <c r="AC2855">
        <v>9260.3856633803007</v>
      </c>
      <c r="AD2855">
        <v>1.01275004950208</v>
      </c>
      <c r="AE2855">
        <v>0.87192128756096698</v>
      </c>
      <c r="AF2855">
        <v>86.286971830985905</v>
      </c>
      <c r="AG2855">
        <f>IFERROR(AH2855*0.1, "N/A")</f>
        <v>7.4295774647887303</v>
      </c>
      <c r="AH2855">
        <v>74.295774647887299</v>
      </c>
      <c r="AI2855">
        <v>67.574791122490296</v>
      </c>
      <c r="AJ2855">
        <v>43.441901408450697</v>
      </c>
      <c r="AK2855">
        <v>23.841549295774701</v>
      </c>
    </row>
    <row r="2856" spans="1:37" x14ac:dyDescent="0.3">
      <c r="A2856">
        <v>2855</v>
      </c>
      <c r="B2856">
        <v>86.699996999999996</v>
      </c>
      <c r="C2856">
        <v>45.500900000000001</v>
      </c>
      <c r="D2856">
        <v>2.79</v>
      </c>
      <c r="E2856" t="s">
        <v>4946</v>
      </c>
      <c r="F2856" t="s">
        <v>4947</v>
      </c>
      <c r="G2856" t="s">
        <v>39</v>
      </c>
      <c r="H2856">
        <v>1975</v>
      </c>
      <c r="I2856">
        <v>27.399999618530298</v>
      </c>
      <c r="J2856">
        <v>11</v>
      </c>
      <c r="K2856">
        <v>75</v>
      </c>
      <c r="L2856">
        <v>11.5100002288818</v>
      </c>
      <c r="M2856">
        <v>35.5</v>
      </c>
      <c r="N2856">
        <v>20.899999618530298</v>
      </c>
      <c r="O2856">
        <v>14.6000003814697</v>
      </c>
      <c r="P2856">
        <v>28.799999237060501</v>
      </c>
      <c r="Q2856">
        <v>27.600000381469702</v>
      </c>
      <c r="R2856">
        <v>28.799999237060501</v>
      </c>
      <c r="S2856">
        <v>25.899999618530298</v>
      </c>
      <c r="T2856">
        <v>481</v>
      </c>
      <c r="U2856">
        <v>93</v>
      </c>
      <c r="V2856">
        <v>1</v>
      </c>
      <c r="W2856">
        <v>87</v>
      </c>
      <c r="X2856">
        <v>211</v>
      </c>
      <c r="Y2856">
        <v>26</v>
      </c>
      <c r="Z2856">
        <v>119</v>
      </c>
      <c r="AA2856">
        <v>65</v>
      </c>
      <c r="AB2856">
        <v>0.18420980353104399</v>
      </c>
      <c r="AC2856">
        <v>2.01307620288837</v>
      </c>
      <c r="AD2856">
        <v>1.53932619920948</v>
      </c>
      <c r="AE2856">
        <v>0.81541138887405396</v>
      </c>
      <c r="AF2856">
        <v>101.966666666667</v>
      </c>
      <c r="AG2856">
        <f>IFERROR(AH2856*0.1, "N/A")</f>
        <v>7.6000000000000005</v>
      </c>
      <c r="AH2856">
        <v>76</v>
      </c>
      <c r="AI2856">
        <v>221.32208509277899</v>
      </c>
      <c r="AJ2856">
        <v>48</v>
      </c>
      <c r="AK2856">
        <v>25</v>
      </c>
    </row>
    <row r="2857" spans="1:37" x14ac:dyDescent="0.3">
      <c r="A2857">
        <v>2856</v>
      </c>
      <c r="B2857">
        <v>3.4</v>
      </c>
      <c r="C2857">
        <v>-11.740994000000001</v>
      </c>
      <c r="D2857">
        <v>7.9551780000000001</v>
      </c>
      <c r="E2857">
        <f>-11.740994-7.955178</f>
        <v>-19.696172000000001</v>
      </c>
      <c r="F2857" t="s">
        <v>4948</v>
      </c>
      <c r="G2857" t="s">
        <v>39</v>
      </c>
      <c r="H2857">
        <v>1994</v>
      </c>
      <c r="I2857">
        <v>26.200000762939499</v>
      </c>
      <c r="J2857">
        <v>9.6000003814697301</v>
      </c>
      <c r="K2857">
        <v>68</v>
      </c>
      <c r="L2857">
        <v>9.3800001144409197</v>
      </c>
      <c r="M2857">
        <v>33.900001525878899</v>
      </c>
      <c r="N2857">
        <v>19.899999618530298</v>
      </c>
      <c r="O2857">
        <v>14</v>
      </c>
      <c r="P2857">
        <v>25</v>
      </c>
      <c r="Q2857">
        <v>26.200000762939499</v>
      </c>
      <c r="R2857">
        <v>27.399999618530298</v>
      </c>
      <c r="S2857">
        <v>25</v>
      </c>
      <c r="T2857">
        <v>2690</v>
      </c>
      <c r="U2857">
        <v>517</v>
      </c>
      <c r="V2857">
        <v>7</v>
      </c>
      <c r="W2857">
        <v>79</v>
      </c>
      <c r="X2857">
        <v>1386</v>
      </c>
      <c r="Y2857">
        <v>49</v>
      </c>
      <c r="Z2857">
        <v>177</v>
      </c>
      <c r="AA2857">
        <v>1386</v>
      </c>
      <c r="AB2857">
        <v>12.319927870091</v>
      </c>
      <c r="AC2857">
        <v>9.1716056783240005E-3</v>
      </c>
      <c r="AD2857">
        <v>1.38102774520887</v>
      </c>
      <c r="AE2857">
        <v>0.95240799785693397</v>
      </c>
      <c r="AF2857">
        <v>92.634315424610094</v>
      </c>
      <c r="AG2857">
        <f>IFERROR(AH2857*0.1, "N/A")</f>
        <v>4.8656845753899507</v>
      </c>
      <c r="AH2857">
        <v>48.656845753899503</v>
      </c>
      <c r="AI2857">
        <v>132.627736308133</v>
      </c>
      <c r="AJ2857">
        <v>25.268630849220099</v>
      </c>
      <c r="AK2857">
        <v>53.731369150779898</v>
      </c>
    </row>
    <row r="2858" spans="1:37" x14ac:dyDescent="0.3">
      <c r="A2858">
        <v>2857</v>
      </c>
      <c r="B2858">
        <v>8.6999999999999993</v>
      </c>
      <c r="C2858">
        <v>-12.502000000000001</v>
      </c>
      <c r="D2858">
        <v>7.5250000000000004</v>
      </c>
      <c r="E2858">
        <f>-12.502-7.525</f>
        <v>-20.027000000000001</v>
      </c>
      <c r="F2858" t="s">
        <v>4949</v>
      </c>
      <c r="G2858" t="s">
        <v>39</v>
      </c>
      <c r="H2858">
        <v>1987</v>
      </c>
      <c r="I2858">
        <v>26.600000381469702</v>
      </c>
      <c r="J2858">
        <v>7.0999999046325701</v>
      </c>
      <c r="K2858">
        <v>71</v>
      </c>
      <c r="L2858">
        <v>9.9616171894902799</v>
      </c>
      <c r="M2858">
        <v>32.5</v>
      </c>
      <c r="N2858">
        <v>22.600000381469702</v>
      </c>
      <c r="O2858">
        <v>9.8999996185302699</v>
      </c>
      <c r="P2858">
        <v>25.200000762939499</v>
      </c>
      <c r="Q2858">
        <v>27.399999618530298</v>
      </c>
      <c r="R2858">
        <v>27.864521222321901</v>
      </c>
      <c r="S2858">
        <v>25.200000762939499</v>
      </c>
      <c r="T2858">
        <v>3588.7426086956498</v>
      </c>
      <c r="U2858">
        <v>768.58086956521697</v>
      </c>
      <c r="V2858">
        <v>9</v>
      </c>
      <c r="W2858">
        <v>90.6452173913043</v>
      </c>
      <c r="X2858">
        <v>2059.51652173913</v>
      </c>
      <c r="Y2858">
        <v>67</v>
      </c>
      <c r="Z2858">
        <v>161</v>
      </c>
      <c r="AA2858">
        <v>2059.51652173913</v>
      </c>
      <c r="AB2858">
        <v>6.5347825597680096</v>
      </c>
      <c r="AC2858">
        <v>1.0288763695761E-2</v>
      </c>
      <c r="AD2858">
        <v>0.58701656030572003</v>
      </c>
      <c r="AE2858">
        <v>0.43705517053604098</v>
      </c>
      <c r="AF2858">
        <v>10.325217391304299</v>
      </c>
      <c r="AG2858">
        <f>IFERROR(AH2858*0.1, "N/A")</f>
        <v>4.0238260869565208</v>
      </c>
      <c r="AH2858">
        <v>40.238260869565202</v>
      </c>
      <c r="AI2858">
        <v>115.648424841839</v>
      </c>
      <c r="AJ2858">
        <v>30.8573913043478</v>
      </c>
      <c r="AK2858">
        <v>43.203478260869602</v>
      </c>
    </row>
    <row r="2859" spans="1:37" x14ac:dyDescent="0.3">
      <c r="A2859">
        <v>2858</v>
      </c>
      <c r="B2859">
        <v>0.5</v>
      </c>
      <c r="C2859">
        <v>-12.502000000000001</v>
      </c>
      <c r="D2859">
        <v>7.5250000000000004</v>
      </c>
      <c r="E2859">
        <f>-12.502-7.525</f>
        <v>-20.027000000000001</v>
      </c>
      <c r="F2859" t="s">
        <v>4950</v>
      </c>
      <c r="G2859" t="s">
        <v>37</v>
      </c>
      <c r="H2859">
        <v>1987</v>
      </c>
      <c r="I2859">
        <v>26.600000381469702</v>
      </c>
      <c r="J2859">
        <v>7.0999999046325701</v>
      </c>
      <c r="K2859">
        <v>71</v>
      </c>
      <c r="L2859">
        <v>9.9616171894902799</v>
      </c>
      <c r="M2859">
        <v>32.5</v>
      </c>
      <c r="N2859">
        <v>22.600000381469702</v>
      </c>
      <c r="O2859">
        <v>9.8999996185302699</v>
      </c>
      <c r="P2859">
        <v>25.200000762939499</v>
      </c>
      <c r="Q2859">
        <v>27.399999618530298</v>
      </c>
      <c r="R2859">
        <v>27.864521222321901</v>
      </c>
      <c r="S2859">
        <v>25.200000762939499</v>
      </c>
      <c r="T2859">
        <v>3588.7426086956498</v>
      </c>
      <c r="U2859">
        <v>768.58086956521697</v>
      </c>
      <c r="V2859">
        <v>9</v>
      </c>
      <c r="W2859">
        <v>90.6452173913043</v>
      </c>
      <c r="X2859">
        <v>2059.51652173913</v>
      </c>
      <c r="Y2859">
        <v>67</v>
      </c>
      <c r="Z2859">
        <v>161</v>
      </c>
      <c r="AA2859">
        <v>2059.51652173913</v>
      </c>
      <c r="AB2859">
        <v>6.5347825597680096</v>
      </c>
      <c r="AC2859">
        <v>1.0288763695761E-2</v>
      </c>
      <c r="AD2859">
        <v>0.58701656030572003</v>
      </c>
      <c r="AE2859">
        <v>0.43705517053604098</v>
      </c>
      <c r="AF2859">
        <v>10.325217391304299</v>
      </c>
      <c r="AG2859">
        <f>IFERROR(AH2859*0.1, "N/A")</f>
        <v>4.0238260869565208</v>
      </c>
      <c r="AH2859">
        <v>40.238260869565202</v>
      </c>
      <c r="AI2859">
        <v>115.648424841839</v>
      </c>
      <c r="AJ2859">
        <v>30.8573913043478</v>
      </c>
      <c r="AK2859">
        <v>43.203478260869602</v>
      </c>
    </row>
    <row r="2860" spans="1:37" x14ac:dyDescent="0.3">
      <c r="A2860">
        <v>2859</v>
      </c>
      <c r="B2860">
        <v>64.300003000000004</v>
      </c>
      <c r="C2860">
        <v>-12.268000000000001</v>
      </c>
      <c r="D2860">
        <v>7.548</v>
      </c>
      <c r="E2860">
        <f>-12.268-7.548</f>
        <v>-19.816000000000003</v>
      </c>
      <c r="F2860" t="s">
        <v>4951</v>
      </c>
      <c r="G2860" t="s">
        <v>39</v>
      </c>
      <c r="H2860">
        <v>1987</v>
      </c>
      <c r="I2860">
        <v>26.799999237060501</v>
      </c>
      <c r="J2860">
        <v>7.6999998092651403</v>
      </c>
      <c r="K2860">
        <v>71</v>
      </c>
      <c r="L2860">
        <v>9.6000003814697301</v>
      </c>
      <c r="M2860">
        <v>33.099998474121101</v>
      </c>
      <c r="N2860">
        <v>22.299999237060501</v>
      </c>
      <c r="O2860">
        <v>10.800000190734901</v>
      </c>
      <c r="P2860">
        <v>25.399999618530298</v>
      </c>
      <c r="Q2860">
        <v>27.399999618530298</v>
      </c>
      <c r="R2860">
        <v>28</v>
      </c>
      <c r="S2860">
        <v>25.399999618530298</v>
      </c>
      <c r="T2860">
        <v>3367</v>
      </c>
      <c r="U2860">
        <v>679</v>
      </c>
      <c r="V2860">
        <v>12</v>
      </c>
      <c r="W2860">
        <v>86</v>
      </c>
      <c r="X2860">
        <v>1888</v>
      </c>
      <c r="Y2860">
        <v>82</v>
      </c>
      <c r="Z2860">
        <v>176</v>
      </c>
      <c r="AA2860">
        <v>1888</v>
      </c>
      <c r="AB2860">
        <v>0.34191312458204198</v>
      </c>
      <c r="AC2860">
        <v>1728.9765188691999</v>
      </c>
      <c r="AD2860">
        <v>1.62595977492954</v>
      </c>
      <c r="AE2860">
        <v>0.20664481818676</v>
      </c>
      <c r="AF2860">
        <v>1.4139130434782601</v>
      </c>
      <c r="AG2860">
        <f>IFERROR(AH2860*0.1, "N/A")</f>
        <v>5</v>
      </c>
      <c r="AH2860">
        <v>50</v>
      </c>
      <c r="AI2860">
        <v>173.39819089143199</v>
      </c>
      <c r="AJ2860">
        <v>31</v>
      </c>
      <c r="AK2860">
        <v>45</v>
      </c>
    </row>
    <row r="2861" spans="1:37" x14ac:dyDescent="0.3">
      <c r="A2861">
        <v>2860</v>
      </c>
      <c r="B2861">
        <v>7.8</v>
      </c>
      <c r="C2861">
        <v>-11.154</v>
      </c>
      <c r="D2861">
        <v>7.5789999999999997</v>
      </c>
      <c r="E2861">
        <f>-11.154-7.579</f>
        <v>-18.733000000000001</v>
      </c>
      <c r="F2861" t="s">
        <v>4952</v>
      </c>
      <c r="G2861" t="s">
        <v>39</v>
      </c>
      <c r="H2861">
        <v>1987</v>
      </c>
      <c r="I2861">
        <v>26.100000381469702</v>
      </c>
      <c r="J2861">
        <v>9.6999998092651403</v>
      </c>
      <c r="K2861">
        <v>74</v>
      </c>
      <c r="L2861">
        <v>8.3800001144409197</v>
      </c>
      <c r="M2861">
        <v>33.200000762939503</v>
      </c>
      <c r="N2861">
        <v>20.200000762939499</v>
      </c>
      <c r="O2861">
        <v>13</v>
      </c>
      <c r="P2861">
        <v>24.899999618530298</v>
      </c>
      <c r="Q2861">
        <v>26.100000381469702</v>
      </c>
      <c r="R2861">
        <v>27.100000381469702</v>
      </c>
      <c r="S2861">
        <v>24.899999618530298</v>
      </c>
      <c r="T2861">
        <v>2705</v>
      </c>
      <c r="U2861">
        <v>458</v>
      </c>
      <c r="V2861">
        <v>15</v>
      </c>
      <c r="W2861">
        <v>68</v>
      </c>
      <c r="X2861">
        <v>1277</v>
      </c>
      <c r="Y2861">
        <v>100</v>
      </c>
      <c r="Z2861">
        <v>282</v>
      </c>
      <c r="AA2861">
        <v>1277</v>
      </c>
      <c r="AB2861">
        <v>13.132756648578701</v>
      </c>
      <c r="AC2861">
        <v>1.1708028663196E-2</v>
      </c>
      <c r="AD2861">
        <v>2.19099687813467</v>
      </c>
      <c r="AE2861">
        <v>0.45649152620328798</v>
      </c>
      <c r="AF2861">
        <v>138.17421602787499</v>
      </c>
      <c r="AG2861">
        <f>IFERROR(AH2861*0.1, "N/A")</f>
        <v>5.1000000000000005</v>
      </c>
      <c r="AH2861">
        <v>51</v>
      </c>
      <c r="AI2861">
        <v>180.057380144604</v>
      </c>
      <c r="AJ2861">
        <v>20.8257839721254</v>
      </c>
      <c r="AK2861">
        <v>57.3484320557491</v>
      </c>
    </row>
    <row r="2862" spans="1:37" x14ac:dyDescent="0.3">
      <c r="A2862">
        <v>2861</v>
      </c>
      <c r="B2862">
        <v>2.5</v>
      </c>
      <c r="C2862">
        <v>-11.154</v>
      </c>
      <c r="D2862">
        <v>7.5789999999999997</v>
      </c>
      <c r="E2862">
        <f>-11.154-7.579</f>
        <v>-18.733000000000001</v>
      </c>
      <c r="F2862" t="s">
        <v>4953</v>
      </c>
      <c r="G2862" t="s">
        <v>37</v>
      </c>
      <c r="H2862">
        <v>1987</v>
      </c>
      <c r="I2862">
        <v>26.100000381469702</v>
      </c>
      <c r="J2862">
        <v>9.6999998092651403</v>
      </c>
      <c r="K2862">
        <v>74</v>
      </c>
      <c r="L2862">
        <v>8.3800001144409197</v>
      </c>
      <c r="M2862">
        <v>33.200000762939503</v>
      </c>
      <c r="N2862">
        <v>20.200000762939499</v>
      </c>
      <c r="O2862">
        <v>13</v>
      </c>
      <c r="P2862">
        <v>24.899999618530298</v>
      </c>
      <c r="Q2862">
        <v>26.100000381469702</v>
      </c>
      <c r="R2862">
        <v>27.100000381469702</v>
      </c>
      <c r="S2862">
        <v>24.899999618530298</v>
      </c>
      <c r="T2862">
        <v>2705</v>
      </c>
      <c r="U2862">
        <v>458</v>
      </c>
      <c r="V2862">
        <v>15</v>
      </c>
      <c r="W2862">
        <v>68</v>
      </c>
      <c r="X2862">
        <v>1277</v>
      </c>
      <c r="Y2862">
        <v>100</v>
      </c>
      <c r="Z2862">
        <v>282</v>
      </c>
      <c r="AA2862">
        <v>1277</v>
      </c>
      <c r="AB2862">
        <v>13.132756648578701</v>
      </c>
      <c r="AC2862">
        <v>1.1708028663196E-2</v>
      </c>
      <c r="AD2862">
        <v>2.19099687813467</v>
      </c>
      <c r="AE2862">
        <v>0.45649152620328798</v>
      </c>
      <c r="AF2862">
        <v>138.17421602787499</v>
      </c>
      <c r="AG2862">
        <f>IFERROR(AH2862*0.1, "N/A")</f>
        <v>5.1000000000000005</v>
      </c>
      <c r="AH2862">
        <v>51</v>
      </c>
      <c r="AI2862">
        <v>180.057380144604</v>
      </c>
      <c r="AJ2862">
        <v>20.8257839721254</v>
      </c>
      <c r="AK2862">
        <v>57.3484320557491</v>
      </c>
    </row>
    <row r="2863" spans="1:37" x14ac:dyDescent="0.3">
      <c r="A2863">
        <v>2862</v>
      </c>
      <c r="B2863">
        <v>54.5</v>
      </c>
      <c r="C2863">
        <v>-11.064</v>
      </c>
      <c r="D2863">
        <v>7.694</v>
      </c>
      <c r="E2863">
        <f>-11.064-7.694</f>
        <v>-18.757999999999999</v>
      </c>
      <c r="F2863" t="s">
        <v>4954</v>
      </c>
      <c r="G2863" t="s">
        <v>39</v>
      </c>
      <c r="H2863">
        <v>1987</v>
      </c>
      <c r="I2863">
        <v>25.899999618530298</v>
      </c>
      <c r="J2863">
        <v>9.8999996185302699</v>
      </c>
      <c r="K2863">
        <v>74</v>
      </c>
      <c r="L2863">
        <v>7.96000003814697</v>
      </c>
      <c r="M2863">
        <v>33.099998474121101</v>
      </c>
      <c r="N2863">
        <v>19.799999237060501</v>
      </c>
      <c r="O2863">
        <v>13.300000190734901</v>
      </c>
      <c r="P2863">
        <v>24.700000762939499</v>
      </c>
      <c r="Q2863">
        <v>25.899999618530298</v>
      </c>
      <c r="R2863">
        <v>26.799999237060501</v>
      </c>
      <c r="S2863">
        <v>24.700000762939499</v>
      </c>
      <c r="T2863">
        <v>2676</v>
      </c>
      <c r="U2863">
        <v>443</v>
      </c>
      <c r="V2863">
        <v>16</v>
      </c>
      <c r="W2863">
        <v>67</v>
      </c>
      <c r="X2863">
        <v>1254</v>
      </c>
      <c r="Y2863">
        <v>103</v>
      </c>
      <c r="Z2863">
        <v>291</v>
      </c>
      <c r="AA2863">
        <v>1254</v>
      </c>
      <c r="AB2863">
        <v>10.7048654821184</v>
      </c>
      <c r="AC2863">
        <v>8.8254479859539992E-3</v>
      </c>
      <c r="AD2863">
        <v>5.5637427820927599</v>
      </c>
      <c r="AE2863">
        <v>0.30447248566067903</v>
      </c>
      <c r="AF2863">
        <v>180.904513888889</v>
      </c>
      <c r="AG2863">
        <f>IFERROR(AH2863*0.1, "N/A")</f>
        <v>5.0163194444444406</v>
      </c>
      <c r="AH2863">
        <v>50.1631944444444</v>
      </c>
      <c r="AI2863">
        <v>228.65769049856399</v>
      </c>
      <c r="AJ2863">
        <v>22.9184027777778</v>
      </c>
      <c r="AK2863">
        <v>59.9184027777778</v>
      </c>
    </row>
    <row r="2864" spans="1:37" x14ac:dyDescent="0.3">
      <c r="A2864">
        <v>2863</v>
      </c>
      <c r="B2864">
        <v>18.399999999999999</v>
      </c>
      <c r="C2864">
        <v>-11.865</v>
      </c>
      <c r="D2864">
        <v>7.766</v>
      </c>
      <c r="E2864">
        <f>-11.865-7.766</f>
        <v>-19.631</v>
      </c>
      <c r="F2864" t="s">
        <v>4955</v>
      </c>
      <c r="G2864" t="s">
        <v>39</v>
      </c>
      <c r="H2864">
        <v>1987</v>
      </c>
      <c r="I2864">
        <v>26.700000762939499</v>
      </c>
      <c r="J2864">
        <v>9</v>
      </c>
      <c r="K2864">
        <v>68.996533795493903</v>
      </c>
      <c r="L2864">
        <v>9.3012826860054307</v>
      </c>
      <c r="M2864">
        <v>33.900001525878899</v>
      </c>
      <c r="N2864">
        <v>20.8996529967574</v>
      </c>
      <c r="O2864">
        <v>13.0003466217729</v>
      </c>
      <c r="P2864">
        <v>25.499653378227102</v>
      </c>
      <c r="Q2864">
        <v>26.600000381469702</v>
      </c>
      <c r="R2864">
        <v>27.899999618530298</v>
      </c>
      <c r="S2864">
        <v>25.499653378227102</v>
      </c>
      <c r="T2864">
        <v>2811.97920277296</v>
      </c>
      <c r="U2864">
        <v>524</v>
      </c>
      <c r="V2864">
        <v>11</v>
      </c>
      <c r="W2864">
        <v>79.003466204506097</v>
      </c>
      <c r="X2864">
        <v>1487.98613518198</v>
      </c>
      <c r="Y2864">
        <v>70.996533795493903</v>
      </c>
      <c r="Z2864">
        <v>183.71403812825</v>
      </c>
      <c r="AA2864">
        <v>1487.98613518198</v>
      </c>
      <c r="AB2864">
        <v>2.39514787234301</v>
      </c>
      <c r="AC2864">
        <v>8.5003626221339997E-3</v>
      </c>
      <c r="AD2864">
        <v>1.3393312911640201</v>
      </c>
      <c r="AE2864">
        <v>0.24380174160416901</v>
      </c>
      <c r="AF2864">
        <v>27.641247833622199</v>
      </c>
      <c r="AG2864">
        <f>IFERROR(AH2864*0.1, "N/A")</f>
        <v>5.1197573656845803</v>
      </c>
      <c r="AH2864">
        <v>51.197573656845798</v>
      </c>
      <c r="AI2864">
        <v>127.28903617726699</v>
      </c>
      <c r="AJ2864">
        <v>27.939341421143801</v>
      </c>
      <c r="AK2864">
        <v>49.197573656845798</v>
      </c>
    </row>
    <row r="2865" spans="1:37" x14ac:dyDescent="0.3">
      <c r="A2865">
        <v>2864</v>
      </c>
      <c r="B2865">
        <v>0.3</v>
      </c>
      <c r="C2865">
        <v>-11.865</v>
      </c>
      <c r="D2865">
        <v>7.766</v>
      </c>
      <c r="E2865">
        <f>-11.865-7.766</f>
        <v>-19.631</v>
      </c>
      <c r="F2865" t="s">
        <v>4956</v>
      </c>
      <c r="G2865" t="s">
        <v>37</v>
      </c>
      <c r="H2865">
        <v>1987</v>
      </c>
      <c r="I2865">
        <v>26.700000762939499</v>
      </c>
      <c r="J2865">
        <v>9</v>
      </c>
      <c r="K2865">
        <v>68.996533795493903</v>
      </c>
      <c r="L2865">
        <v>9.3012826860054307</v>
      </c>
      <c r="M2865">
        <v>33.900001525878899</v>
      </c>
      <c r="N2865">
        <v>20.8996529967574</v>
      </c>
      <c r="O2865">
        <v>13.0003466217729</v>
      </c>
      <c r="P2865">
        <v>25.499653378227102</v>
      </c>
      <c r="Q2865">
        <v>26.600000381469702</v>
      </c>
      <c r="R2865">
        <v>27.899999618530298</v>
      </c>
      <c r="S2865">
        <v>25.499653378227102</v>
      </c>
      <c r="T2865">
        <v>2811.97920277296</v>
      </c>
      <c r="U2865">
        <v>524</v>
      </c>
      <c r="V2865">
        <v>11</v>
      </c>
      <c r="W2865">
        <v>79.003466204506097</v>
      </c>
      <c r="X2865">
        <v>1487.98613518198</v>
      </c>
      <c r="Y2865">
        <v>70.996533795493903</v>
      </c>
      <c r="Z2865">
        <v>183.71403812825</v>
      </c>
      <c r="AA2865">
        <v>1487.98613518198</v>
      </c>
      <c r="AB2865">
        <v>2.39514787234301</v>
      </c>
      <c r="AC2865">
        <v>8.5003626221339997E-3</v>
      </c>
      <c r="AD2865">
        <v>1.3393312911640201</v>
      </c>
      <c r="AE2865">
        <v>0.24380174160416901</v>
      </c>
      <c r="AF2865">
        <v>27.641247833622199</v>
      </c>
      <c r="AG2865">
        <f>IFERROR(AH2865*0.1, "N/A")</f>
        <v>5.1197573656845803</v>
      </c>
      <c r="AH2865">
        <v>51.197573656845798</v>
      </c>
      <c r="AI2865">
        <v>127.28903617726699</v>
      </c>
      <c r="AJ2865">
        <v>27.939341421143801</v>
      </c>
      <c r="AK2865">
        <v>49.197573656845798</v>
      </c>
    </row>
    <row r="2866" spans="1:37" x14ac:dyDescent="0.3">
      <c r="A2866">
        <v>2865</v>
      </c>
      <c r="B2866">
        <v>7.3</v>
      </c>
      <c r="C2866">
        <v>-12.05</v>
      </c>
      <c r="D2866">
        <v>7.8</v>
      </c>
      <c r="E2866">
        <f>-12.05-7.8</f>
        <v>-19.850000000000001</v>
      </c>
      <c r="F2866" t="s">
        <v>4957</v>
      </c>
      <c r="G2866" t="s">
        <v>39</v>
      </c>
      <c r="H2866">
        <v>1987</v>
      </c>
      <c r="I2866">
        <v>26.5761742036239</v>
      </c>
      <c r="J2866">
        <v>8.6000003814697301</v>
      </c>
      <c r="K2866">
        <v>67.276521739130402</v>
      </c>
      <c r="L2866">
        <v>9.8698782862787695</v>
      </c>
      <c r="M2866">
        <v>33.624695600426698</v>
      </c>
      <c r="N2866">
        <v>20.930956258359199</v>
      </c>
      <c r="O2866">
        <v>12.693739179528301</v>
      </c>
      <c r="P2866">
        <v>25.299999237060501</v>
      </c>
      <c r="Q2866">
        <v>26.5761742036239</v>
      </c>
      <c r="R2866">
        <v>27.876173440684401</v>
      </c>
      <c r="S2866">
        <v>25.299999237060501</v>
      </c>
      <c r="T2866">
        <v>2837.2486956521702</v>
      </c>
      <c r="U2866">
        <v>542.76695652173896</v>
      </c>
      <c r="V2866">
        <v>9</v>
      </c>
      <c r="W2866">
        <v>81.761739130434805</v>
      </c>
      <c r="X2866">
        <v>1528.70086956522</v>
      </c>
      <c r="Y2866">
        <v>64.547826086956505</v>
      </c>
      <c r="Z2866">
        <v>229.47826086956499</v>
      </c>
      <c r="AA2866">
        <v>1528.70086956522</v>
      </c>
      <c r="AB2866">
        <v>25.9949571161685</v>
      </c>
      <c r="AC2866">
        <v>1.028224143807E-2</v>
      </c>
      <c r="AD2866">
        <v>2.7760838740804901</v>
      </c>
      <c r="AE2866">
        <v>0.25528454780578602</v>
      </c>
      <c r="AF2866">
        <v>66.829565217391306</v>
      </c>
      <c r="AG2866">
        <f>IFERROR(AH2866*0.1, "N/A")</f>
        <v>4.9980869565217398</v>
      </c>
      <c r="AH2866">
        <v>49.980869565217397</v>
      </c>
      <c r="AI2866">
        <v>189.248310838782</v>
      </c>
      <c r="AJ2866">
        <v>24.490434782608698</v>
      </c>
      <c r="AK2866">
        <v>54.509565217391298</v>
      </c>
    </row>
    <row r="2867" spans="1:37" x14ac:dyDescent="0.3">
      <c r="A2867">
        <v>2866</v>
      </c>
      <c r="B2867">
        <v>0</v>
      </c>
      <c r="C2867">
        <v>-12.05</v>
      </c>
      <c r="D2867">
        <v>7.8</v>
      </c>
      <c r="E2867">
        <f>-12.05-7.8</f>
        <v>-19.850000000000001</v>
      </c>
      <c r="F2867" t="s">
        <v>4958</v>
      </c>
      <c r="G2867" t="s">
        <v>37</v>
      </c>
      <c r="H2867">
        <v>1987</v>
      </c>
      <c r="I2867">
        <v>26.5761742036239</v>
      </c>
      <c r="J2867">
        <v>8.6000003814697301</v>
      </c>
      <c r="K2867">
        <v>67.276521739130402</v>
      </c>
      <c r="L2867">
        <v>9.8698782862787695</v>
      </c>
      <c r="M2867">
        <v>33.624695600426698</v>
      </c>
      <c r="N2867">
        <v>20.930956258359199</v>
      </c>
      <c r="O2867">
        <v>12.693739179528301</v>
      </c>
      <c r="P2867">
        <v>25.299999237060501</v>
      </c>
      <c r="Q2867">
        <v>26.5761742036239</v>
      </c>
      <c r="R2867">
        <v>27.876173440684401</v>
      </c>
      <c r="S2867">
        <v>25.299999237060501</v>
      </c>
      <c r="T2867">
        <v>2837.2486956521702</v>
      </c>
      <c r="U2867">
        <v>542.76695652173896</v>
      </c>
      <c r="V2867">
        <v>9</v>
      </c>
      <c r="W2867">
        <v>81.761739130434805</v>
      </c>
      <c r="X2867">
        <v>1528.70086956522</v>
      </c>
      <c r="Y2867">
        <v>64.547826086956505</v>
      </c>
      <c r="Z2867">
        <v>229.47826086956499</v>
      </c>
      <c r="AA2867">
        <v>1528.70086956522</v>
      </c>
      <c r="AB2867">
        <v>25.9949571161685</v>
      </c>
      <c r="AC2867">
        <v>1.028224143807E-2</v>
      </c>
      <c r="AD2867">
        <v>2.7760838740804901</v>
      </c>
      <c r="AE2867">
        <v>0.25528454780578602</v>
      </c>
      <c r="AF2867">
        <v>66.829565217391306</v>
      </c>
      <c r="AG2867">
        <f>IFERROR(AH2867*0.1, "N/A")</f>
        <v>4.9980869565217398</v>
      </c>
      <c r="AH2867">
        <v>49.980869565217397</v>
      </c>
      <c r="AI2867">
        <v>189.248310838782</v>
      </c>
      <c r="AJ2867">
        <v>24.490434782608698</v>
      </c>
      <c r="AK2867">
        <v>54.509565217391298</v>
      </c>
    </row>
    <row r="2868" spans="1:37" x14ac:dyDescent="0.3">
      <c r="A2868">
        <v>2867</v>
      </c>
      <c r="B2868">
        <v>54.5</v>
      </c>
      <c r="C2868">
        <v>-10.951000000000001</v>
      </c>
      <c r="D2868">
        <v>7.8150000000000004</v>
      </c>
      <c r="E2868">
        <f>-10.951-7.815</f>
        <v>-18.766000000000002</v>
      </c>
      <c r="F2868" t="s">
        <v>4959</v>
      </c>
      <c r="G2868" t="s">
        <v>39</v>
      </c>
      <c r="H2868">
        <v>1987</v>
      </c>
      <c r="I2868">
        <v>25.899999618530298</v>
      </c>
      <c r="J2868">
        <v>10.1000003814697</v>
      </c>
      <c r="K2868">
        <v>72</v>
      </c>
      <c r="L2868">
        <v>8.3000001907348597</v>
      </c>
      <c r="M2868">
        <v>33.5</v>
      </c>
      <c r="N2868">
        <v>19.5</v>
      </c>
      <c r="O2868">
        <v>14</v>
      </c>
      <c r="P2868">
        <v>24.899999618530298</v>
      </c>
      <c r="Q2868">
        <v>25.899999618530298</v>
      </c>
      <c r="R2868">
        <v>27</v>
      </c>
      <c r="S2868">
        <v>24.899999618530298</v>
      </c>
      <c r="T2868">
        <v>2601</v>
      </c>
      <c r="U2868">
        <v>422</v>
      </c>
      <c r="V2868">
        <v>15</v>
      </c>
      <c r="W2868">
        <v>66</v>
      </c>
      <c r="X2868">
        <v>1195</v>
      </c>
      <c r="Y2868">
        <v>99</v>
      </c>
      <c r="Z2868">
        <v>293</v>
      </c>
      <c r="AA2868">
        <v>1195</v>
      </c>
      <c r="AB2868">
        <v>8.7551286514945694</v>
      </c>
      <c r="AC2868">
        <v>9.0887162996380003E-3</v>
      </c>
      <c r="AD2868">
        <v>2.31297788827316</v>
      </c>
      <c r="AE2868">
        <v>0.26471123099327099</v>
      </c>
      <c r="AF2868">
        <v>181.394782608696</v>
      </c>
      <c r="AG2868">
        <f>IFERROR(AH2868*0.1, "N/A")</f>
        <v>5</v>
      </c>
      <c r="AH2868">
        <v>50</v>
      </c>
      <c r="AI2868">
        <v>243.650956898565</v>
      </c>
      <c r="AJ2868">
        <v>25.7495652173913</v>
      </c>
      <c r="AK2868">
        <v>57.2504347826087</v>
      </c>
    </row>
    <row r="2869" spans="1:37" x14ac:dyDescent="0.3">
      <c r="A2869">
        <v>2868</v>
      </c>
      <c r="B2869">
        <v>25</v>
      </c>
      <c r="C2869">
        <v>-12.068</v>
      </c>
      <c r="D2869">
        <v>7.8380000000000001</v>
      </c>
      <c r="E2869">
        <f>-12.068-7.838</f>
        <v>-19.905999999999999</v>
      </c>
      <c r="F2869" t="s">
        <v>4960</v>
      </c>
      <c r="G2869" t="s">
        <v>39</v>
      </c>
      <c r="H2869">
        <v>1987</v>
      </c>
      <c r="I2869">
        <v>26.5</v>
      </c>
      <c r="J2869">
        <v>8.6000003814697301</v>
      </c>
      <c r="K2869">
        <v>67</v>
      </c>
      <c r="L2869">
        <v>9.8299999237060494</v>
      </c>
      <c r="M2869">
        <v>33.5</v>
      </c>
      <c r="N2869">
        <v>20.799999237060501</v>
      </c>
      <c r="O2869">
        <v>12.699999809265099</v>
      </c>
      <c r="P2869">
        <v>25.299999237060501</v>
      </c>
      <c r="Q2869">
        <v>26.5</v>
      </c>
      <c r="R2869">
        <v>27.799999237060501</v>
      </c>
      <c r="S2869">
        <v>25.299999237060501</v>
      </c>
      <c r="T2869">
        <v>2809</v>
      </c>
      <c r="U2869">
        <v>542</v>
      </c>
      <c r="V2869">
        <v>8</v>
      </c>
      <c r="W2869">
        <v>82</v>
      </c>
      <c r="X2869">
        <v>1514</v>
      </c>
      <c r="Y2869">
        <v>59</v>
      </c>
      <c r="Z2869">
        <v>169</v>
      </c>
      <c r="AA2869">
        <v>1514</v>
      </c>
      <c r="AB2869">
        <v>12.875522633393601</v>
      </c>
      <c r="AC2869">
        <v>1.2880821848133E-2</v>
      </c>
      <c r="AD2869">
        <v>3.6793728712946199</v>
      </c>
      <c r="AE2869">
        <v>0.25640736489246302</v>
      </c>
      <c r="AF2869">
        <v>58.9895833333333</v>
      </c>
      <c r="AG2869">
        <f>IFERROR(AH2869*0.1, "N/A")</f>
        <v>5.4953125000000007</v>
      </c>
      <c r="AH2869">
        <v>54.953125</v>
      </c>
      <c r="AI2869">
        <v>322.26947069168102</v>
      </c>
      <c r="AJ2869">
        <v>28</v>
      </c>
      <c r="AK2869">
        <v>52.953125</v>
      </c>
    </row>
    <row r="2870" spans="1:37" x14ac:dyDescent="0.3">
      <c r="A2870">
        <v>2869</v>
      </c>
      <c r="B2870">
        <v>0</v>
      </c>
      <c r="C2870">
        <v>-11.302</v>
      </c>
      <c r="D2870">
        <v>7.9180000000000001</v>
      </c>
      <c r="E2870">
        <f>-11.302-7.918</f>
        <v>-19.22</v>
      </c>
      <c r="F2870" t="s">
        <v>4961</v>
      </c>
      <c r="G2870" t="s">
        <v>39</v>
      </c>
      <c r="H2870">
        <v>1987</v>
      </c>
      <c r="I2870">
        <v>26</v>
      </c>
      <c r="J2870">
        <v>10</v>
      </c>
      <c r="K2870">
        <v>71</v>
      </c>
      <c r="L2870">
        <v>8.8100004196166992</v>
      </c>
      <c r="M2870">
        <v>33.599998474121101</v>
      </c>
      <c r="N2870">
        <v>19.600000381469702</v>
      </c>
      <c r="O2870">
        <v>14</v>
      </c>
      <c r="P2870">
        <v>24.799999237060501</v>
      </c>
      <c r="Q2870">
        <v>26</v>
      </c>
      <c r="R2870">
        <v>27.100000381469702</v>
      </c>
      <c r="S2870">
        <v>24.799999237060501</v>
      </c>
      <c r="T2870">
        <v>2734</v>
      </c>
      <c r="U2870">
        <v>504</v>
      </c>
      <c r="V2870">
        <v>12</v>
      </c>
      <c r="W2870">
        <v>71</v>
      </c>
      <c r="X2870">
        <v>1340</v>
      </c>
      <c r="Y2870">
        <v>84</v>
      </c>
      <c r="Z2870">
        <v>262</v>
      </c>
      <c r="AA2870">
        <v>1340</v>
      </c>
      <c r="AB2870">
        <v>10.7198651675979</v>
      </c>
      <c r="AC2870">
        <v>1.5254135157601E-2</v>
      </c>
      <c r="AD2870">
        <v>3.6451831993741002</v>
      </c>
      <c r="AE2870">
        <v>0.30618360368632302</v>
      </c>
      <c r="AF2870">
        <v>142.15679442508701</v>
      </c>
      <c r="AG2870">
        <f>IFERROR(AH2870*0.1, "N/A")</f>
        <v>5.2135888501742205</v>
      </c>
      <c r="AH2870">
        <v>52.135888501742201</v>
      </c>
      <c r="AI2870">
        <v>253.764001268128</v>
      </c>
      <c r="AJ2870">
        <v>22.400696864111499</v>
      </c>
      <c r="AK2870">
        <v>60.735191637630699</v>
      </c>
    </row>
    <row r="2871" spans="1:37" x14ac:dyDescent="0.3">
      <c r="A2871">
        <v>2870</v>
      </c>
      <c r="B2871">
        <v>30.700001</v>
      </c>
      <c r="C2871">
        <v>-11.7384</v>
      </c>
      <c r="D2871">
        <v>7.9581099999999996</v>
      </c>
      <c r="E2871">
        <f>-11.7384-7.95811</f>
        <v>-19.69651</v>
      </c>
      <c r="F2871" t="s">
        <v>4962</v>
      </c>
      <c r="G2871" t="s">
        <v>39</v>
      </c>
      <c r="H2871">
        <v>1956</v>
      </c>
      <c r="I2871">
        <v>26.200000762939499</v>
      </c>
      <c r="J2871">
        <v>9.6000003814697301</v>
      </c>
      <c r="K2871">
        <v>68</v>
      </c>
      <c r="L2871">
        <v>9.5040033528874996</v>
      </c>
      <c r="M2871">
        <v>33.900001525878899</v>
      </c>
      <c r="N2871">
        <v>19.8540722336265</v>
      </c>
      <c r="O2871">
        <v>14.0459273849038</v>
      </c>
      <c r="P2871">
        <v>24.954072615096202</v>
      </c>
      <c r="Q2871">
        <v>26.200000762939499</v>
      </c>
      <c r="R2871">
        <v>27.399999618530298</v>
      </c>
      <c r="S2871">
        <v>24.954072615096202</v>
      </c>
      <c r="T2871">
        <v>2690</v>
      </c>
      <c r="U2871">
        <v>517.45927209705405</v>
      </c>
      <c r="V2871">
        <v>7</v>
      </c>
      <c r="W2871">
        <v>79</v>
      </c>
      <c r="X2871">
        <v>1386</v>
      </c>
      <c r="Y2871">
        <v>49</v>
      </c>
      <c r="Z2871">
        <v>176.540727902946</v>
      </c>
      <c r="AA2871">
        <v>1386</v>
      </c>
      <c r="AB2871">
        <v>1.2140392521638399</v>
      </c>
      <c r="AC2871">
        <v>0.24925896982812501</v>
      </c>
      <c r="AD2871">
        <v>2.8618406472627602</v>
      </c>
      <c r="AE2871">
        <v>0.94469812259310504</v>
      </c>
      <c r="AF2871">
        <v>88.544194107452299</v>
      </c>
      <c r="AG2871">
        <f>IFERROR(AH2871*0.1, "N/A")</f>
        <v>5.5956672443674202</v>
      </c>
      <c r="AH2871">
        <v>55.956672443674201</v>
      </c>
      <c r="AI2871">
        <v>105.973228124027</v>
      </c>
      <c r="AJ2871">
        <v>28.9913344887348</v>
      </c>
      <c r="AK2871">
        <v>51.0086655112652</v>
      </c>
    </row>
    <row r="2872" spans="1:37" x14ac:dyDescent="0.3">
      <c r="A2872">
        <v>2871</v>
      </c>
      <c r="B2872">
        <v>25</v>
      </c>
      <c r="C2872">
        <v>-11.738300000000001</v>
      </c>
      <c r="D2872">
        <v>7.9647199999999998</v>
      </c>
      <c r="E2872">
        <f>-11.7383-7.96472</f>
        <v>-19.703020000000002</v>
      </c>
      <c r="F2872" t="s">
        <v>4963</v>
      </c>
      <c r="G2872" t="s">
        <v>39</v>
      </c>
      <c r="H2872">
        <v>1987</v>
      </c>
      <c r="I2872">
        <v>26.200000762939499</v>
      </c>
      <c r="J2872">
        <v>9.6000003814697301</v>
      </c>
      <c r="K2872">
        <v>68</v>
      </c>
      <c r="L2872">
        <v>9.6499996185302699</v>
      </c>
      <c r="M2872">
        <v>33.900001525878899</v>
      </c>
      <c r="N2872">
        <v>19.799999237060501</v>
      </c>
      <c r="O2872">
        <v>14.1000003814697</v>
      </c>
      <c r="P2872">
        <v>24.899999618530298</v>
      </c>
      <c r="Q2872">
        <v>26.200000762939499</v>
      </c>
      <c r="R2872">
        <v>27.399999618530298</v>
      </c>
      <c r="S2872">
        <v>24.899999618530298</v>
      </c>
      <c r="T2872">
        <v>2690</v>
      </c>
      <c r="U2872">
        <v>518</v>
      </c>
      <c r="V2872">
        <v>7</v>
      </c>
      <c r="W2872">
        <v>79</v>
      </c>
      <c r="X2872">
        <v>1386</v>
      </c>
      <c r="Y2872">
        <v>49</v>
      </c>
      <c r="Z2872">
        <v>176</v>
      </c>
      <c r="AA2872">
        <v>1386</v>
      </c>
      <c r="AB2872">
        <v>9.0177095598644694</v>
      </c>
      <c r="AC2872">
        <v>1.1759765816451001E-2</v>
      </c>
      <c r="AD2872">
        <v>2.94090542611149</v>
      </c>
      <c r="AE2872">
        <v>0.94258195161819502</v>
      </c>
      <c r="AF2872">
        <v>97.7135416666667</v>
      </c>
      <c r="AG2872">
        <f>IFERROR(AH2872*0.1, "N/A")</f>
        <v>5.8000000000000007</v>
      </c>
      <c r="AH2872">
        <v>58</v>
      </c>
      <c r="AI2872">
        <v>70.000266532103197</v>
      </c>
      <c r="AJ2872">
        <v>25</v>
      </c>
      <c r="AK2872">
        <v>53</v>
      </c>
    </row>
    <row r="2873" spans="1:37" x14ac:dyDescent="0.3">
      <c r="A2873">
        <v>2872</v>
      </c>
      <c r="B2873">
        <v>0</v>
      </c>
      <c r="C2873">
        <v>-11.738300000000001</v>
      </c>
      <c r="D2873">
        <v>7.9647199999999998</v>
      </c>
      <c r="E2873">
        <f>-11.7383-7.96472</f>
        <v>-19.703020000000002</v>
      </c>
      <c r="F2873" t="s">
        <v>4964</v>
      </c>
      <c r="G2873" t="s">
        <v>37</v>
      </c>
      <c r="H2873">
        <v>1987</v>
      </c>
      <c r="I2873">
        <v>26.200000762939499</v>
      </c>
      <c r="J2873">
        <v>9.6000003814697301</v>
      </c>
      <c r="K2873">
        <v>68</v>
      </c>
      <c r="L2873">
        <v>9.6499996185302699</v>
      </c>
      <c r="M2873">
        <v>33.900001525878899</v>
      </c>
      <c r="N2873">
        <v>19.799999237060501</v>
      </c>
      <c r="O2873">
        <v>14.1000003814697</v>
      </c>
      <c r="P2873">
        <v>24.899999618530298</v>
      </c>
      <c r="Q2873">
        <v>26.200000762939499</v>
      </c>
      <c r="R2873">
        <v>27.399999618530298</v>
      </c>
      <c r="S2873">
        <v>24.899999618530298</v>
      </c>
      <c r="T2873">
        <v>2690</v>
      </c>
      <c r="U2873">
        <v>518</v>
      </c>
      <c r="V2873">
        <v>7</v>
      </c>
      <c r="W2873">
        <v>79</v>
      </c>
      <c r="X2873">
        <v>1386</v>
      </c>
      <c r="Y2873">
        <v>49</v>
      </c>
      <c r="Z2873">
        <v>176</v>
      </c>
      <c r="AA2873">
        <v>1386</v>
      </c>
      <c r="AB2873">
        <v>9.0177095598644694</v>
      </c>
      <c r="AC2873">
        <v>1.1759765816451001E-2</v>
      </c>
      <c r="AD2873">
        <v>2.94090542611149</v>
      </c>
      <c r="AE2873">
        <v>0.94258195161819502</v>
      </c>
      <c r="AF2873">
        <v>97.7135416666667</v>
      </c>
      <c r="AG2873">
        <f>IFERROR(AH2873*0.1, "N/A")</f>
        <v>5.8000000000000007</v>
      </c>
      <c r="AH2873">
        <v>58</v>
      </c>
      <c r="AI2873">
        <v>70.000266532103197</v>
      </c>
      <c r="AJ2873">
        <v>25</v>
      </c>
      <c r="AK2873">
        <v>53</v>
      </c>
    </row>
    <row r="2874" spans="1:37" x14ac:dyDescent="0.3">
      <c r="A2874">
        <v>2873</v>
      </c>
      <c r="B2874">
        <v>0.46</v>
      </c>
      <c r="C2874">
        <v>-12.513400000000001</v>
      </c>
      <c r="D2874">
        <v>7.9766399999999997</v>
      </c>
      <c r="E2874">
        <f>-12.5134-7.97664</f>
        <v>-20.49004</v>
      </c>
      <c r="F2874" t="s">
        <v>4965</v>
      </c>
      <c r="G2874" t="s">
        <v>39</v>
      </c>
      <c r="H2874">
        <v>1994</v>
      </c>
      <c r="I2874">
        <v>26.100000381469702</v>
      </c>
      <c r="J2874">
        <v>7.8000001907348597</v>
      </c>
      <c r="K2874">
        <v>68</v>
      </c>
      <c r="L2874">
        <v>9.8599996566772496</v>
      </c>
      <c r="M2874">
        <v>32.400001525878899</v>
      </c>
      <c r="N2874">
        <v>21</v>
      </c>
      <c r="O2874">
        <v>11.3999996185303</v>
      </c>
      <c r="P2874">
        <v>24.899999618530298</v>
      </c>
      <c r="Q2874">
        <v>26.600000381469702</v>
      </c>
      <c r="R2874">
        <v>27.5</v>
      </c>
      <c r="S2874">
        <v>24.899999618530298</v>
      </c>
      <c r="T2874">
        <v>2949</v>
      </c>
      <c r="U2874">
        <v>616</v>
      </c>
      <c r="V2874">
        <v>6</v>
      </c>
      <c r="W2874">
        <v>85</v>
      </c>
      <c r="X2874">
        <v>1658</v>
      </c>
      <c r="Y2874">
        <v>59</v>
      </c>
      <c r="Z2874">
        <v>381</v>
      </c>
      <c r="AA2874">
        <v>1658</v>
      </c>
      <c r="AB2874">
        <v>12.1857879744452</v>
      </c>
      <c r="AC2874">
        <v>2.0029727104838E-2</v>
      </c>
      <c r="AD2874">
        <v>1.9988370218558</v>
      </c>
      <c r="AE2874">
        <v>0.19321377505669399</v>
      </c>
      <c r="AF2874">
        <v>23.344887348353598</v>
      </c>
      <c r="AG2874">
        <f>IFERROR(AH2874*0.1, "N/A")</f>
        <v>5.2</v>
      </c>
      <c r="AH2874">
        <v>52</v>
      </c>
      <c r="AI2874">
        <v>211.26215749968699</v>
      </c>
      <c r="AJ2874">
        <v>26.8006932409012</v>
      </c>
      <c r="AK2874">
        <v>53.204506065857899</v>
      </c>
    </row>
    <row r="2875" spans="1:37" x14ac:dyDescent="0.3">
      <c r="A2875">
        <v>2874</v>
      </c>
      <c r="B2875">
        <v>0.46</v>
      </c>
      <c r="C2875">
        <v>-12.513400000000001</v>
      </c>
      <c r="D2875">
        <v>7.9766399999999997</v>
      </c>
      <c r="E2875">
        <f>-12.5134-7.97664</f>
        <v>-20.49004</v>
      </c>
      <c r="F2875" t="s">
        <v>4966</v>
      </c>
      <c r="G2875" t="s">
        <v>37</v>
      </c>
      <c r="H2875">
        <v>1994</v>
      </c>
      <c r="I2875">
        <v>26.100000381469702</v>
      </c>
      <c r="J2875">
        <v>7.8000001907348597</v>
      </c>
      <c r="K2875">
        <v>68</v>
      </c>
      <c r="L2875">
        <v>9.8599996566772496</v>
      </c>
      <c r="M2875">
        <v>32.400001525878899</v>
      </c>
      <c r="N2875">
        <v>21</v>
      </c>
      <c r="O2875">
        <v>11.3999996185303</v>
      </c>
      <c r="P2875">
        <v>24.899999618530298</v>
      </c>
      <c r="Q2875">
        <v>26.600000381469702</v>
      </c>
      <c r="R2875">
        <v>27.5</v>
      </c>
      <c r="S2875">
        <v>24.899999618530298</v>
      </c>
      <c r="T2875">
        <v>2949</v>
      </c>
      <c r="U2875">
        <v>616</v>
      </c>
      <c r="V2875">
        <v>6</v>
      </c>
      <c r="W2875">
        <v>85</v>
      </c>
      <c r="X2875">
        <v>1658</v>
      </c>
      <c r="Y2875">
        <v>59</v>
      </c>
      <c r="Z2875">
        <v>381</v>
      </c>
      <c r="AA2875">
        <v>1658</v>
      </c>
      <c r="AB2875">
        <v>12.1857879744452</v>
      </c>
      <c r="AC2875">
        <v>2.0029727104838E-2</v>
      </c>
      <c r="AD2875">
        <v>1.9988370218558</v>
      </c>
      <c r="AE2875">
        <v>0.19321377505669399</v>
      </c>
      <c r="AF2875">
        <v>23.344887348353598</v>
      </c>
      <c r="AG2875">
        <f>IFERROR(AH2875*0.1, "N/A")</f>
        <v>5.2</v>
      </c>
      <c r="AH2875">
        <v>52</v>
      </c>
      <c r="AI2875">
        <v>211.26215749968699</v>
      </c>
      <c r="AJ2875">
        <v>26.8006932409012</v>
      </c>
      <c r="AK2875">
        <v>53.204506065857899</v>
      </c>
    </row>
    <row r="2876" spans="1:37" x14ac:dyDescent="0.3">
      <c r="A2876">
        <v>2875</v>
      </c>
      <c r="B2876">
        <v>60</v>
      </c>
      <c r="C2876">
        <v>-10.751099999999999</v>
      </c>
      <c r="D2876">
        <v>7.99444</v>
      </c>
      <c r="E2876">
        <f>-10.7511-7.99444</f>
        <v>-18.745539999999998</v>
      </c>
      <c r="F2876" t="s">
        <v>4967</v>
      </c>
      <c r="G2876" t="s">
        <v>39</v>
      </c>
      <c r="H2876">
        <v>1987</v>
      </c>
      <c r="I2876">
        <v>26</v>
      </c>
      <c r="J2876">
        <v>10.8999996185303</v>
      </c>
      <c r="K2876">
        <v>69</v>
      </c>
      <c r="L2876">
        <v>8.4799995422363299</v>
      </c>
      <c r="M2876">
        <v>34</v>
      </c>
      <c r="N2876">
        <v>18.299999237060501</v>
      </c>
      <c r="O2876">
        <v>15.699999809265099</v>
      </c>
      <c r="P2876">
        <v>25.100000381469702</v>
      </c>
      <c r="Q2876">
        <v>25.600000381469702</v>
      </c>
      <c r="R2876">
        <v>27.100000381469702</v>
      </c>
      <c r="S2876">
        <v>25.100000381469702</v>
      </c>
      <c r="T2876">
        <v>2531</v>
      </c>
      <c r="U2876">
        <v>398</v>
      </c>
      <c r="V2876">
        <v>13</v>
      </c>
      <c r="W2876">
        <v>64</v>
      </c>
      <c r="X2876">
        <v>1116</v>
      </c>
      <c r="Y2876">
        <v>95</v>
      </c>
      <c r="Z2876">
        <v>514</v>
      </c>
      <c r="AA2876">
        <v>1116</v>
      </c>
      <c r="AB2876">
        <v>2.0611759760970698</v>
      </c>
      <c r="AC2876">
        <v>5.0567912139947602</v>
      </c>
      <c r="AD2876">
        <v>3.1427651259473501</v>
      </c>
      <c r="AE2876">
        <v>0.36057958006858798</v>
      </c>
      <c r="AF2876">
        <v>204.07452339688001</v>
      </c>
      <c r="AG2876">
        <f>IFERROR(AH2876*0.1, "N/A")</f>
        <v>5.4103986135182005</v>
      </c>
      <c r="AH2876">
        <v>54.103986135181998</v>
      </c>
      <c r="AI2876">
        <v>259.21783341485502</v>
      </c>
      <c r="AJ2876">
        <v>21.892547660312001</v>
      </c>
      <c r="AK2876">
        <v>60</v>
      </c>
    </row>
    <row r="2877" spans="1:37" x14ac:dyDescent="0.3">
      <c r="A2877">
        <v>2876</v>
      </c>
      <c r="B2877">
        <v>1.1000000000000001</v>
      </c>
      <c r="C2877">
        <v>-12.447800000000001</v>
      </c>
      <c r="D2877">
        <v>8.0896799999999995</v>
      </c>
      <c r="E2877">
        <f>-12.4478-8.08968</f>
        <v>-20.537480000000002</v>
      </c>
      <c r="F2877" t="s">
        <v>4968</v>
      </c>
      <c r="G2877" t="s">
        <v>39</v>
      </c>
      <c r="H2877">
        <v>1994</v>
      </c>
      <c r="I2877">
        <v>25.899999618530298</v>
      </c>
      <c r="J2877">
        <v>8.1999998092651403</v>
      </c>
      <c r="K2877">
        <v>69</v>
      </c>
      <c r="L2877">
        <v>9.4899997711181605</v>
      </c>
      <c r="M2877">
        <v>32.5</v>
      </c>
      <c r="N2877">
        <v>20.700000762939499</v>
      </c>
      <c r="O2877">
        <v>11.800000190734901</v>
      </c>
      <c r="P2877">
        <v>24.799999237060501</v>
      </c>
      <c r="Q2877">
        <v>25.799999237060501</v>
      </c>
      <c r="R2877">
        <v>27.200000762939499</v>
      </c>
      <c r="S2877">
        <v>24.799999237060501</v>
      </c>
      <c r="T2877">
        <v>2763</v>
      </c>
      <c r="U2877">
        <v>591</v>
      </c>
      <c r="V2877">
        <v>5</v>
      </c>
      <c r="W2877">
        <v>85</v>
      </c>
      <c r="X2877">
        <v>1527</v>
      </c>
      <c r="Y2877">
        <v>52</v>
      </c>
      <c r="Z2877">
        <v>358</v>
      </c>
      <c r="AA2877">
        <v>1527</v>
      </c>
      <c r="AB2877">
        <v>10.839861904521101</v>
      </c>
      <c r="AC2877">
        <v>8.5818333247840006E-3</v>
      </c>
      <c r="AD2877">
        <v>1.4605194456242601</v>
      </c>
      <c r="AE2877">
        <v>0.19380235948327099</v>
      </c>
      <c r="AF2877">
        <v>71.214904679376104</v>
      </c>
      <c r="AG2877">
        <f>IFERROR(AH2877*0.1, "N/A")</f>
        <v>5.2353552859618704</v>
      </c>
      <c r="AH2877">
        <v>52.353552859618702</v>
      </c>
      <c r="AI2877">
        <v>100.118847709801</v>
      </c>
      <c r="AJ2877">
        <v>24.353552859618699</v>
      </c>
      <c r="AK2877">
        <v>55.939341421143801</v>
      </c>
    </row>
    <row r="2878" spans="1:37" x14ac:dyDescent="0.3">
      <c r="A2878">
        <v>2877</v>
      </c>
      <c r="B2878">
        <v>0</v>
      </c>
      <c r="C2878">
        <v>-12.447800000000001</v>
      </c>
      <c r="D2878">
        <v>8.0896799999999995</v>
      </c>
      <c r="E2878">
        <f>-12.4478-8.08968</f>
        <v>-20.537480000000002</v>
      </c>
      <c r="F2878" t="s">
        <v>4969</v>
      </c>
      <c r="G2878" t="s">
        <v>37</v>
      </c>
      <c r="H2878">
        <v>1994</v>
      </c>
      <c r="I2878">
        <v>25.899999618530298</v>
      </c>
      <c r="J2878">
        <v>8.1999998092651403</v>
      </c>
      <c r="K2878">
        <v>69</v>
      </c>
      <c r="L2878">
        <v>9.4899997711181605</v>
      </c>
      <c r="M2878">
        <v>32.5</v>
      </c>
      <c r="N2878">
        <v>20.700000762939499</v>
      </c>
      <c r="O2878">
        <v>11.800000190734901</v>
      </c>
      <c r="P2878">
        <v>24.799999237060501</v>
      </c>
      <c r="Q2878">
        <v>25.799999237060501</v>
      </c>
      <c r="R2878">
        <v>27.200000762939499</v>
      </c>
      <c r="S2878">
        <v>24.799999237060501</v>
      </c>
      <c r="T2878">
        <v>2763</v>
      </c>
      <c r="U2878">
        <v>591</v>
      </c>
      <c r="V2878">
        <v>5</v>
      </c>
      <c r="W2878">
        <v>85</v>
      </c>
      <c r="X2878">
        <v>1527</v>
      </c>
      <c r="Y2878">
        <v>52</v>
      </c>
      <c r="Z2878">
        <v>358</v>
      </c>
      <c r="AA2878">
        <v>1527</v>
      </c>
      <c r="AB2878">
        <v>10.839861904521101</v>
      </c>
      <c r="AC2878">
        <v>8.5818333247840006E-3</v>
      </c>
      <c r="AD2878">
        <v>1.4605194456242601</v>
      </c>
      <c r="AE2878">
        <v>0.19380235948327099</v>
      </c>
      <c r="AF2878">
        <v>71.214904679376104</v>
      </c>
      <c r="AG2878">
        <f>IFERROR(AH2878*0.1, "N/A")</f>
        <v>5.2353552859618704</v>
      </c>
      <c r="AH2878">
        <v>52.353552859618702</v>
      </c>
      <c r="AI2878">
        <v>100.118847709801</v>
      </c>
      <c r="AJ2878">
        <v>24.353552859618699</v>
      </c>
      <c r="AK2878">
        <v>55.939341421143801</v>
      </c>
    </row>
    <row r="2879" spans="1:37" x14ac:dyDescent="0.3">
      <c r="A2879">
        <v>2878</v>
      </c>
      <c r="B2879">
        <v>2.7</v>
      </c>
      <c r="C2879">
        <v>-12.0756</v>
      </c>
      <c r="D2879">
        <v>8.1118000000000006</v>
      </c>
      <c r="E2879">
        <f>-12.0756-8.1118</f>
        <v>-20.1874</v>
      </c>
      <c r="F2879" t="s">
        <v>4970</v>
      </c>
      <c r="G2879" t="s">
        <v>39</v>
      </c>
      <c r="H2879">
        <v>1971</v>
      </c>
      <c r="I2879">
        <v>26.399999618530298</v>
      </c>
      <c r="J2879">
        <v>9.1999998092651403</v>
      </c>
      <c r="K2879">
        <v>67</v>
      </c>
      <c r="L2879">
        <v>9.6432927576260106</v>
      </c>
      <c r="M2879">
        <v>33.900001525878899</v>
      </c>
      <c r="N2879">
        <v>20.200000762939499</v>
      </c>
      <c r="O2879">
        <v>13.699999809265099</v>
      </c>
      <c r="P2879">
        <v>25.299999237060501</v>
      </c>
      <c r="Q2879">
        <v>26.314557351520602</v>
      </c>
      <c r="R2879">
        <v>27.799999237060501</v>
      </c>
      <c r="S2879">
        <v>25.299999237060501</v>
      </c>
      <c r="T2879">
        <v>2627</v>
      </c>
      <c r="U2879">
        <v>535</v>
      </c>
      <c r="V2879">
        <v>3</v>
      </c>
      <c r="W2879">
        <v>85</v>
      </c>
      <c r="X2879">
        <v>1427</v>
      </c>
      <c r="Y2879">
        <v>27</v>
      </c>
      <c r="Z2879">
        <v>142</v>
      </c>
      <c r="AA2879">
        <v>1427</v>
      </c>
      <c r="AB2879">
        <v>19.331543008417601</v>
      </c>
      <c r="AC2879">
        <v>1.6810675990966001E-2</v>
      </c>
      <c r="AD2879">
        <v>1.95887283291313</v>
      </c>
      <c r="AE2879">
        <v>0.439202129840851</v>
      </c>
      <c r="AF2879">
        <v>63.292894280762603</v>
      </c>
      <c r="AG2879">
        <f>IFERROR(AH2879*0.1, "N/A")</f>
        <v>5.0908145580589306</v>
      </c>
      <c r="AH2879">
        <v>50.908145580589299</v>
      </c>
      <c r="AI2879">
        <v>136.21814879842199</v>
      </c>
      <c r="AJ2879">
        <v>24.766031195840501</v>
      </c>
      <c r="AK2879">
        <v>50.518197573656799</v>
      </c>
    </row>
    <row r="2880" spans="1:37" x14ac:dyDescent="0.3">
      <c r="A2880">
        <v>2879</v>
      </c>
      <c r="B2880">
        <v>10</v>
      </c>
      <c r="C2880">
        <v>-11.302</v>
      </c>
      <c r="D2880">
        <v>8.1519999999999992</v>
      </c>
      <c r="E2880">
        <f>-11.302-8.152</f>
        <v>-19.454000000000001</v>
      </c>
      <c r="F2880" t="s">
        <v>4971</v>
      </c>
      <c r="G2880" t="s">
        <v>39</v>
      </c>
      <c r="H2880">
        <v>1987</v>
      </c>
      <c r="I2880">
        <v>26</v>
      </c>
      <c r="J2880">
        <v>10.5</v>
      </c>
      <c r="K2880">
        <v>68</v>
      </c>
      <c r="L2880">
        <v>9.3800001144409197</v>
      </c>
      <c r="M2880">
        <v>34.200000762939503</v>
      </c>
      <c r="N2880">
        <v>18.799999237060501</v>
      </c>
      <c r="O2880">
        <v>15.3999996185303</v>
      </c>
      <c r="P2880">
        <v>24.899999618530298</v>
      </c>
      <c r="Q2880">
        <v>25.799999237060501</v>
      </c>
      <c r="R2880">
        <v>27.299999237060501</v>
      </c>
      <c r="S2880">
        <v>24.899999618530298</v>
      </c>
      <c r="T2880">
        <v>2726</v>
      </c>
      <c r="U2880">
        <v>505</v>
      </c>
      <c r="V2880">
        <v>9</v>
      </c>
      <c r="W2880">
        <v>72</v>
      </c>
      <c r="X2880">
        <v>1331</v>
      </c>
      <c r="Y2880">
        <v>74</v>
      </c>
      <c r="Z2880">
        <v>481</v>
      </c>
      <c r="AA2880">
        <v>1331</v>
      </c>
      <c r="AB2880">
        <v>4.7433944808112303</v>
      </c>
      <c r="AC2880">
        <v>0.36522895405101302</v>
      </c>
      <c r="AD2880">
        <v>2.62710380466241</v>
      </c>
      <c r="AE2880">
        <v>0.26635894179344199</v>
      </c>
      <c r="AF2880">
        <v>140.118055555556</v>
      </c>
      <c r="AG2880">
        <f>IFERROR(AH2880*0.1, "N/A")</f>
        <v>5.1000000000000005</v>
      </c>
      <c r="AH2880">
        <v>51</v>
      </c>
      <c r="AI2880">
        <v>93.498745520909694</v>
      </c>
      <c r="AJ2880">
        <v>23.8107638888889</v>
      </c>
      <c r="AK2880">
        <v>50.4895833333333</v>
      </c>
    </row>
    <row r="2881" spans="1:37" x14ac:dyDescent="0.3">
      <c r="A2881">
        <v>2880</v>
      </c>
      <c r="B2881">
        <v>0</v>
      </c>
      <c r="C2881">
        <v>-11.302</v>
      </c>
      <c r="D2881">
        <v>8.1519999999999992</v>
      </c>
      <c r="E2881">
        <f>-11.302-8.152</f>
        <v>-19.454000000000001</v>
      </c>
      <c r="F2881" t="s">
        <v>4972</v>
      </c>
      <c r="G2881" t="s">
        <v>37</v>
      </c>
      <c r="H2881">
        <v>1987</v>
      </c>
      <c r="I2881">
        <v>26</v>
      </c>
      <c r="J2881">
        <v>10.5</v>
      </c>
      <c r="K2881">
        <v>68</v>
      </c>
      <c r="L2881">
        <v>9.3800001144409197</v>
      </c>
      <c r="M2881">
        <v>34.200000762939503</v>
      </c>
      <c r="N2881">
        <v>18.799999237060501</v>
      </c>
      <c r="O2881">
        <v>15.3999996185303</v>
      </c>
      <c r="P2881">
        <v>24.899999618530298</v>
      </c>
      <c r="Q2881">
        <v>25.799999237060501</v>
      </c>
      <c r="R2881">
        <v>27.299999237060501</v>
      </c>
      <c r="S2881">
        <v>24.899999618530298</v>
      </c>
      <c r="T2881">
        <v>2726</v>
      </c>
      <c r="U2881">
        <v>505</v>
      </c>
      <c r="V2881">
        <v>9</v>
      </c>
      <c r="W2881">
        <v>72</v>
      </c>
      <c r="X2881">
        <v>1331</v>
      </c>
      <c r="Y2881">
        <v>74</v>
      </c>
      <c r="Z2881">
        <v>481</v>
      </c>
      <c r="AA2881">
        <v>1331</v>
      </c>
      <c r="AB2881">
        <v>4.7433944808112303</v>
      </c>
      <c r="AC2881">
        <v>0.36522895405101302</v>
      </c>
      <c r="AD2881">
        <v>2.62710380466241</v>
      </c>
      <c r="AE2881">
        <v>0.26635894179344199</v>
      </c>
      <c r="AF2881">
        <v>140.118055555556</v>
      </c>
      <c r="AG2881">
        <f>IFERROR(AH2881*0.1, "N/A")</f>
        <v>5.1000000000000005</v>
      </c>
      <c r="AH2881">
        <v>51</v>
      </c>
      <c r="AI2881">
        <v>93.498745520909694</v>
      </c>
      <c r="AJ2881">
        <v>23.8107638888889</v>
      </c>
      <c r="AK2881">
        <v>50.4895833333333</v>
      </c>
    </row>
    <row r="2882" spans="1:37" x14ac:dyDescent="0.3">
      <c r="A2882">
        <v>2881</v>
      </c>
      <c r="B2882">
        <v>73.300003000000004</v>
      </c>
      <c r="C2882">
        <v>-11.3506</v>
      </c>
      <c r="D2882">
        <v>8.1545100000000001</v>
      </c>
      <c r="E2882">
        <f>-11.3506-8.15451</f>
        <v>-19.505110000000002</v>
      </c>
      <c r="F2882" t="s">
        <v>4973</v>
      </c>
      <c r="G2882" t="s">
        <v>39</v>
      </c>
      <c r="H2882">
        <v>1952</v>
      </c>
      <c r="I2882">
        <v>26</v>
      </c>
      <c r="J2882">
        <v>10.3999996185303</v>
      </c>
      <c r="K2882">
        <v>68</v>
      </c>
      <c r="L2882">
        <v>9.2407117701239105</v>
      </c>
      <c r="M2882">
        <v>34.099998474121101</v>
      </c>
      <c r="N2882">
        <v>18.899999618530298</v>
      </c>
      <c r="O2882">
        <v>15.199999809265099</v>
      </c>
      <c r="P2882">
        <v>24.899999618530298</v>
      </c>
      <c r="Q2882">
        <v>25.899999618530298</v>
      </c>
      <c r="R2882">
        <v>27.200000762939499</v>
      </c>
      <c r="S2882">
        <v>24.899999618530298</v>
      </c>
      <c r="T2882">
        <v>2730.1857638888901</v>
      </c>
      <c r="U2882">
        <v>510</v>
      </c>
      <c r="V2882">
        <v>9</v>
      </c>
      <c r="W2882">
        <v>73</v>
      </c>
      <c r="X2882">
        <v>1344.8142361111099</v>
      </c>
      <c r="Y2882">
        <v>72</v>
      </c>
      <c r="Z2882">
        <v>471.371527777778</v>
      </c>
      <c r="AA2882">
        <v>1344.8142361111099</v>
      </c>
      <c r="AB2882">
        <v>16.004862334993099</v>
      </c>
      <c r="AC2882">
        <v>1.097564337801E-2</v>
      </c>
      <c r="AD2882">
        <v>3.4834414015834501</v>
      </c>
      <c r="AE2882">
        <v>0.28983891118938698</v>
      </c>
      <c r="AF2882">
        <v>143.895833333333</v>
      </c>
      <c r="AG2882">
        <f>IFERROR(AH2882*0.1, "N/A")</f>
        <v>5.3628472222222205</v>
      </c>
      <c r="AH2882">
        <v>53.6284722222222</v>
      </c>
      <c r="AI2882">
        <v>160.45224052005301</v>
      </c>
      <c r="AJ2882">
        <v>27.2569444444444</v>
      </c>
      <c r="AK2882">
        <v>53.1857638888889</v>
      </c>
    </row>
    <row r="2883" spans="1:37" x14ac:dyDescent="0.3">
      <c r="A2883">
        <v>2882</v>
      </c>
      <c r="B2883">
        <v>69.800003000000004</v>
      </c>
      <c r="C2883">
        <v>-11.334</v>
      </c>
      <c r="D2883">
        <v>8.1656399999999998</v>
      </c>
      <c r="E2883">
        <f>-11.334-8.16564</f>
        <v>-19.499639999999999</v>
      </c>
      <c r="F2883" t="s">
        <v>4974</v>
      </c>
      <c r="G2883" t="s">
        <v>39</v>
      </c>
      <c r="H2883">
        <v>1952</v>
      </c>
      <c r="I2883">
        <v>26</v>
      </c>
      <c r="J2883">
        <v>10.3999996185303</v>
      </c>
      <c r="K2883">
        <v>67</v>
      </c>
      <c r="L2883">
        <v>9.3000001907348597</v>
      </c>
      <c r="M2883">
        <v>34.200000762939503</v>
      </c>
      <c r="N2883">
        <v>18.799999237060501</v>
      </c>
      <c r="O2883">
        <v>15.3999996185303</v>
      </c>
      <c r="P2883">
        <v>24.899999618530298</v>
      </c>
      <c r="Q2883">
        <v>25.799999237060501</v>
      </c>
      <c r="R2883">
        <v>27.200000762939499</v>
      </c>
      <c r="S2883">
        <v>24.899999618530298</v>
      </c>
      <c r="T2883">
        <v>2731</v>
      </c>
      <c r="U2883">
        <v>509</v>
      </c>
      <c r="V2883">
        <v>9</v>
      </c>
      <c r="W2883">
        <v>72</v>
      </c>
      <c r="X2883">
        <v>1342</v>
      </c>
      <c r="Y2883">
        <v>72</v>
      </c>
      <c r="Z2883">
        <v>475</v>
      </c>
      <c r="AA2883">
        <v>1342</v>
      </c>
      <c r="AB2883">
        <v>10.458829965558399</v>
      </c>
      <c r="AC2883">
        <v>1.1976923972407001E-2</v>
      </c>
      <c r="AD2883">
        <v>4.1839151976430298</v>
      </c>
      <c r="AE2883">
        <v>0.27853998541831998</v>
      </c>
      <c r="AF2883">
        <v>138.138408304498</v>
      </c>
      <c r="AG2883">
        <f>IFERROR(AH2883*0.1, "N/A")</f>
        <v>5.2524221453287199</v>
      </c>
      <c r="AH2883">
        <v>52.524221453287197</v>
      </c>
      <c r="AI2883">
        <v>263.92720174294402</v>
      </c>
      <c r="AJ2883">
        <v>25</v>
      </c>
      <c r="AK2883">
        <v>51.951557093425599</v>
      </c>
    </row>
    <row r="2884" spans="1:37" x14ac:dyDescent="0.3">
      <c r="A2884">
        <v>2883</v>
      </c>
      <c r="B2884">
        <v>51.599997999999999</v>
      </c>
      <c r="C2884">
        <v>-11.083299999999999</v>
      </c>
      <c r="D2884">
        <v>8.1666699999999999</v>
      </c>
      <c r="E2884">
        <f>-11.0833-8.16667</f>
        <v>-19.249969999999998</v>
      </c>
      <c r="F2884" t="s">
        <v>4975</v>
      </c>
      <c r="G2884" t="s">
        <v>39</v>
      </c>
      <c r="H2884">
        <v>1987</v>
      </c>
      <c r="I2884">
        <v>25.336914931880699</v>
      </c>
      <c r="J2884">
        <v>10.800000190734901</v>
      </c>
      <c r="K2884">
        <v>67.164644714038104</v>
      </c>
      <c r="L2884">
        <v>9.4330155721363607</v>
      </c>
      <c r="M2884">
        <v>33.614211189891499</v>
      </c>
      <c r="N2884">
        <v>17.6948006892741</v>
      </c>
      <c r="O2884">
        <v>15.9194105948278</v>
      </c>
      <c r="P2884">
        <v>24.2142115085542</v>
      </c>
      <c r="Q2884">
        <v>25.178336155063398</v>
      </c>
      <c r="R2884">
        <v>26.561871986455301</v>
      </c>
      <c r="S2884">
        <v>24.2142115085542</v>
      </c>
      <c r="T2884">
        <v>2710.8596187174999</v>
      </c>
      <c r="U2884">
        <v>476.56845753899501</v>
      </c>
      <c r="V2884">
        <v>10.249566724436701</v>
      </c>
      <c r="W2884">
        <v>66</v>
      </c>
      <c r="X2884">
        <v>1260.5684575389901</v>
      </c>
      <c r="Y2884">
        <v>88.857885615251305</v>
      </c>
      <c r="Z2884">
        <v>535.45580589254803</v>
      </c>
      <c r="AA2884">
        <v>1260.5684575389901</v>
      </c>
      <c r="AB2884">
        <v>16.3878723620542</v>
      </c>
      <c r="AC2884">
        <v>1.234965781444E-2</v>
      </c>
      <c r="AD2884">
        <v>4.1722981710781104</v>
      </c>
      <c r="AE2884">
        <v>0.32920446991920499</v>
      </c>
      <c r="AF2884">
        <v>261.42114384748697</v>
      </c>
      <c r="AG2884">
        <f>IFERROR(AH2884*0.1, "N/A")</f>
        <v>5.1991334488734804</v>
      </c>
      <c r="AH2884">
        <v>51.9913344887348</v>
      </c>
      <c r="AI2884">
        <v>229.57893348442599</v>
      </c>
      <c r="AJ2884">
        <v>27</v>
      </c>
      <c r="AK2884">
        <v>54</v>
      </c>
    </row>
    <row r="2885" spans="1:37" x14ac:dyDescent="0.3">
      <c r="A2885">
        <v>2884</v>
      </c>
      <c r="B2885">
        <v>51.599997999999999</v>
      </c>
      <c r="C2885">
        <v>-10.685</v>
      </c>
      <c r="D2885">
        <v>8.1669999999999998</v>
      </c>
      <c r="E2885">
        <f>-10.685-8.167</f>
        <v>-18.852</v>
      </c>
      <c r="F2885" t="s">
        <v>4976</v>
      </c>
      <c r="G2885" t="s">
        <v>39</v>
      </c>
      <c r="H2885">
        <v>1987</v>
      </c>
      <c r="I2885">
        <v>25.200000762939499</v>
      </c>
      <c r="J2885">
        <v>11.800000190734901</v>
      </c>
      <c r="K2885">
        <v>69</v>
      </c>
      <c r="L2885">
        <v>8.6115221828737898</v>
      </c>
      <c r="M2885">
        <v>33.900001525878899</v>
      </c>
      <c r="N2885">
        <v>16.799999237060501</v>
      </c>
      <c r="O2885">
        <v>17.100000381469702</v>
      </c>
      <c r="P2885">
        <v>24.700000762939499</v>
      </c>
      <c r="Q2885">
        <v>24.899999618530298</v>
      </c>
      <c r="R2885">
        <v>26.299999237060501</v>
      </c>
      <c r="S2885">
        <v>24.299999237060501</v>
      </c>
      <c r="T2885">
        <v>2640.6955017301002</v>
      </c>
      <c r="U2885">
        <v>426.84775086505198</v>
      </c>
      <c r="V2885">
        <v>14</v>
      </c>
      <c r="W2885">
        <v>63.1522491349481</v>
      </c>
      <c r="X2885">
        <v>1176.8477508650501</v>
      </c>
      <c r="Y2885">
        <v>98</v>
      </c>
      <c r="Z2885">
        <v>507.57093425605501</v>
      </c>
      <c r="AA2885">
        <v>1164.8477508650501</v>
      </c>
      <c r="AB2885">
        <v>41.940826891202803</v>
      </c>
      <c r="AC2885">
        <v>1.2123298583146E-2</v>
      </c>
      <c r="AD2885">
        <v>10.850906692161701</v>
      </c>
      <c r="AE2885">
        <v>0.23047194235465099</v>
      </c>
      <c r="AF2885">
        <v>355.80622837370203</v>
      </c>
      <c r="AG2885">
        <f>IFERROR(AH2885*0.1, "N/A")</f>
        <v>5.1723183391003502</v>
      </c>
      <c r="AH2885">
        <v>51.723183391003502</v>
      </c>
      <c r="AI2885">
        <v>140.547699418447</v>
      </c>
      <c r="AJ2885">
        <v>29.027681660899699</v>
      </c>
      <c r="AK2885">
        <v>52.3217993079585</v>
      </c>
    </row>
    <row r="2886" spans="1:37" x14ac:dyDescent="0.3">
      <c r="A2886">
        <v>2885</v>
      </c>
      <c r="B2886">
        <v>0</v>
      </c>
      <c r="C2886">
        <v>-10.749000000000001</v>
      </c>
      <c r="D2886">
        <v>8.1690000000000005</v>
      </c>
      <c r="E2886">
        <f>-10.749-8.169</f>
        <v>-18.917999999999999</v>
      </c>
      <c r="F2886" t="s">
        <v>4977</v>
      </c>
      <c r="G2886" t="s">
        <v>39</v>
      </c>
      <c r="H2886">
        <v>1987</v>
      </c>
      <c r="I2886">
        <v>26</v>
      </c>
      <c r="J2886">
        <v>11.6000003814697</v>
      </c>
      <c r="K2886">
        <v>67</v>
      </c>
      <c r="L2886">
        <v>9.5299997329711896</v>
      </c>
      <c r="M2886">
        <v>34.599998474121101</v>
      </c>
      <c r="N2886">
        <v>17.299999237060501</v>
      </c>
      <c r="O2886">
        <v>17.299999237060501</v>
      </c>
      <c r="P2886">
        <v>25.399999618530298</v>
      </c>
      <c r="Q2886">
        <v>25.399999618530298</v>
      </c>
      <c r="R2886">
        <v>27.299999237060501</v>
      </c>
      <c r="S2886">
        <v>25.200000762939499</v>
      </c>
      <c r="T2886">
        <v>2593</v>
      </c>
      <c r="U2886">
        <v>407</v>
      </c>
      <c r="V2886">
        <v>12</v>
      </c>
      <c r="W2886">
        <v>63</v>
      </c>
      <c r="X2886">
        <v>1141</v>
      </c>
      <c r="Y2886">
        <v>93</v>
      </c>
      <c r="Z2886">
        <v>534</v>
      </c>
      <c r="AA2886">
        <v>1134</v>
      </c>
      <c r="AB2886">
        <v>4.6875300415673804</v>
      </c>
      <c r="AC2886">
        <v>4.5731467835644003E-2</v>
      </c>
      <c r="AD2886">
        <v>4.2408749538649699</v>
      </c>
      <c r="AE2886">
        <v>0.32416290044784501</v>
      </c>
      <c r="AF2886">
        <v>187.27209705372599</v>
      </c>
      <c r="AG2886">
        <f>IFERROR(AH2886*0.1, "N/A")</f>
        <v>5.1029462738301605</v>
      </c>
      <c r="AH2886">
        <v>51.029462738301604</v>
      </c>
      <c r="AI2886">
        <v>93.885883106516005</v>
      </c>
      <c r="AJ2886">
        <v>23</v>
      </c>
      <c r="AK2886">
        <v>56</v>
      </c>
    </row>
    <row r="2887" spans="1:37" x14ac:dyDescent="0.3">
      <c r="A2887">
        <v>2886</v>
      </c>
      <c r="B2887">
        <v>88.900002000000001</v>
      </c>
      <c r="C2887">
        <v>-11.351000000000001</v>
      </c>
      <c r="D2887">
        <v>8.1718399999999995</v>
      </c>
      <c r="E2887">
        <f>-11.351-8.17184</f>
        <v>-19.522840000000002</v>
      </c>
      <c r="F2887" t="s">
        <v>4978</v>
      </c>
      <c r="G2887" t="s">
        <v>39</v>
      </c>
      <c r="H2887">
        <v>1952</v>
      </c>
      <c r="I2887">
        <v>26</v>
      </c>
      <c r="J2887">
        <v>10.5</v>
      </c>
      <c r="K2887">
        <v>68</v>
      </c>
      <c r="L2887">
        <v>9.3799137583256602</v>
      </c>
      <c r="M2887">
        <v>34.200000762939503</v>
      </c>
      <c r="N2887">
        <v>18.799999237060501</v>
      </c>
      <c r="O2887">
        <v>15.3999996185303</v>
      </c>
      <c r="P2887">
        <v>24.899826906299801</v>
      </c>
      <c r="Q2887">
        <v>25.899826906299801</v>
      </c>
      <c r="R2887">
        <v>27.2998265281242</v>
      </c>
      <c r="S2887">
        <v>24.899826906299801</v>
      </c>
      <c r="T2887">
        <v>2731.0034542314302</v>
      </c>
      <c r="U2887">
        <v>510</v>
      </c>
      <c r="V2887">
        <v>9</v>
      </c>
      <c r="W2887">
        <v>73</v>
      </c>
      <c r="X2887">
        <v>1345</v>
      </c>
      <c r="Y2887">
        <v>72</v>
      </c>
      <c r="Z2887">
        <v>471.00518134715003</v>
      </c>
      <c r="AA2887">
        <v>1345</v>
      </c>
      <c r="AB2887">
        <v>3.44973707446163</v>
      </c>
      <c r="AC2887">
        <v>2.9831554531561999E-2</v>
      </c>
      <c r="AD2887">
        <v>1.79903141050141</v>
      </c>
      <c r="AE2887">
        <v>0.27534384281730001</v>
      </c>
      <c r="AF2887">
        <v>133.34542314335101</v>
      </c>
      <c r="AG2887">
        <f>IFERROR(AH2887*0.1, "N/A")</f>
        <v>5.0599309153713303</v>
      </c>
      <c r="AH2887">
        <v>50.5993091537133</v>
      </c>
      <c r="AI2887">
        <v>159.06505050066201</v>
      </c>
      <c r="AJ2887">
        <v>23.597582037996499</v>
      </c>
      <c r="AK2887">
        <v>55.601036269430097</v>
      </c>
    </row>
    <row r="2888" spans="1:37" x14ac:dyDescent="0.3">
      <c r="A2888">
        <v>2887</v>
      </c>
      <c r="B2888">
        <v>1.3</v>
      </c>
      <c r="C2888">
        <v>-12.494300000000001</v>
      </c>
      <c r="D2888">
        <v>8.1728199999999998</v>
      </c>
      <c r="E2888">
        <f>-12.4943-8.17282</f>
        <v>-20.667120000000001</v>
      </c>
      <c r="F2888" t="s">
        <v>4979</v>
      </c>
      <c r="G2888" t="s">
        <v>39</v>
      </c>
      <c r="H2888">
        <v>1994</v>
      </c>
      <c r="I2888">
        <v>26</v>
      </c>
      <c r="J2888">
        <v>8.3000001907348597</v>
      </c>
      <c r="K2888">
        <v>70</v>
      </c>
      <c r="L2888">
        <v>9.3599996566772496</v>
      </c>
      <c r="M2888">
        <v>32.700000762939503</v>
      </c>
      <c r="N2888">
        <v>20.899999618530298</v>
      </c>
      <c r="O2888">
        <v>11.800000190734901</v>
      </c>
      <c r="P2888">
        <v>24.799999237060501</v>
      </c>
      <c r="Q2888">
        <v>26.600000381469702</v>
      </c>
      <c r="R2888">
        <v>27.299999237060501</v>
      </c>
      <c r="S2888">
        <v>24.799999237060501</v>
      </c>
      <c r="T2888">
        <v>2731</v>
      </c>
      <c r="U2888">
        <v>615</v>
      </c>
      <c r="V2888">
        <v>6</v>
      </c>
      <c r="W2888">
        <v>87</v>
      </c>
      <c r="X2888">
        <v>1523</v>
      </c>
      <c r="Y2888">
        <v>51</v>
      </c>
      <c r="Z2888">
        <v>336</v>
      </c>
      <c r="AA2888">
        <v>1523</v>
      </c>
      <c r="AB2888">
        <v>17.209170107197998</v>
      </c>
      <c r="AC2888">
        <v>8.462762661523E-3</v>
      </c>
      <c r="AD2888">
        <v>1.3402079129301601</v>
      </c>
      <c r="AE2888">
        <v>0.189649477601051</v>
      </c>
      <c r="AF2888">
        <v>56.899653979238799</v>
      </c>
      <c r="AG2888">
        <f>IFERROR(AH2888*0.1, "N/A")</f>
        <v>5.5640138408304507</v>
      </c>
      <c r="AH2888">
        <v>55.640138408304502</v>
      </c>
      <c r="AI2888">
        <v>269.82610059692001</v>
      </c>
      <c r="AJ2888">
        <v>24.089965397923901</v>
      </c>
      <c r="AK2888">
        <v>57.910034602076102</v>
      </c>
    </row>
    <row r="2889" spans="1:37" x14ac:dyDescent="0.3">
      <c r="A2889">
        <v>2888</v>
      </c>
      <c r="B2889">
        <v>0</v>
      </c>
      <c r="C2889">
        <v>-12.494300000000001</v>
      </c>
      <c r="D2889">
        <v>8.1728199999999998</v>
      </c>
      <c r="E2889">
        <f>-12.4943-8.17282</f>
        <v>-20.667120000000001</v>
      </c>
      <c r="F2889" t="s">
        <v>4980</v>
      </c>
      <c r="G2889" t="s">
        <v>37</v>
      </c>
      <c r="H2889">
        <v>1994</v>
      </c>
      <c r="I2889">
        <v>26</v>
      </c>
      <c r="J2889">
        <v>8.3000001907348597</v>
      </c>
      <c r="K2889">
        <v>70</v>
      </c>
      <c r="L2889">
        <v>9.3599996566772496</v>
      </c>
      <c r="M2889">
        <v>32.700000762939503</v>
      </c>
      <c r="N2889">
        <v>20.899999618530298</v>
      </c>
      <c r="O2889">
        <v>11.800000190734901</v>
      </c>
      <c r="P2889">
        <v>24.799999237060501</v>
      </c>
      <c r="Q2889">
        <v>26.600000381469702</v>
      </c>
      <c r="R2889">
        <v>27.299999237060501</v>
      </c>
      <c r="S2889">
        <v>24.799999237060501</v>
      </c>
      <c r="T2889">
        <v>2731</v>
      </c>
      <c r="U2889">
        <v>615</v>
      </c>
      <c r="V2889">
        <v>6</v>
      </c>
      <c r="W2889">
        <v>87</v>
      </c>
      <c r="X2889">
        <v>1523</v>
      </c>
      <c r="Y2889">
        <v>51</v>
      </c>
      <c r="Z2889">
        <v>336</v>
      </c>
      <c r="AA2889">
        <v>1523</v>
      </c>
      <c r="AB2889">
        <v>17.209170107197998</v>
      </c>
      <c r="AC2889">
        <v>8.462762661523E-3</v>
      </c>
      <c r="AD2889">
        <v>1.3402079129301601</v>
      </c>
      <c r="AE2889">
        <v>0.189649477601051</v>
      </c>
      <c r="AF2889">
        <v>56.899653979238799</v>
      </c>
      <c r="AG2889">
        <f>IFERROR(AH2889*0.1, "N/A")</f>
        <v>5.5640138408304507</v>
      </c>
      <c r="AH2889">
        <v>55.640138408304502</v>
      </c>
      <c r="AI2889">
        <v>269.82610059692001</v>
      </c>
      <c r="AJ2889">
        <v>24.089965397923901</v>
      </c>
      <c r="AK2889">
        <v>57.910034602076102</v>
      </c>
    </row>
    <row r="2890" spans="1:37" x14ac:dyDescent="0.3">
      <c r="A2890">
        <v>2889</v>
      </c>
      <c r="B2890">
        <v>71.400002000000001</v>
      </c>
      <c r="C2890">
        <v>-11.3058</v>
      </c>
      <c r="D2890">
        <v>8.1730300000000007</v>
      </c>
      <c r="E2890">
        <f>-11.3058-8.17303</f>
        <v>-19.478830000000002</v>
      </c>
      <c r="F2890" t="s">
        <v>4981</v>
      </c>
      <c r="G2890" t="s">
        <v>39</v>
      </c>
      <c r="H2890">
        <v>1952</v>
      </c>
      <c r="I2890">
        <v>26</v>
      </c>
      <c r="J2890">
        <v>10.5</v>
      </c>
      <c r="K2890">
        <v>68</v>
      </c>
      <c r="L2890">
        <v>9.1300001144409197</v>
      </c>
      <c r="M2890">
        <v>34.099998474121101</v>
      </c>
      <c r="N2890">
        <v>18.700000762939499</v>
      </c>
      <c r="O2890">
        <v>15.3999996185303</v>
      </c>
      <c r="P2890">
        <v>24.899999618530298</v>
      </c>
      <c r="Q2890">
        <v>25.899999618530298</v>
      </c>
      <c r="R2890">
        <v>27.200000762939499</v>
      </c>
      <c r="S2890">
        <v>24.899999618530298</v>
      </c>
      <c r="T2890">
        <v>2727</v>
      </c>
      <c r="U2890">
        <v>505</v>
      </c>
      <c r="V2890">
        <v>9</v>
      </c>
      <c r="W2890">
        <v>72</v>
      </c>
      <c r="X2890">
        <v>1332</v>
      </c>
      <c r="Y2890">
        <v>74</v>
      </c>
      <c r="Z2890">
        <v>481</v>
      </c>
      <c r="AA2890">
        <v>1332</v>
      </c>
      <c r="AB2890">
        <v>8.9486119217342797</v>
      </c>
      <c r="AC2890">
        <v>1.0152366744781E-2</v>
      </c>
      <c r="AD2890">
        <v>2.6480960208508701</v>
      </c>
      <c r="AE2890">
        <v>0.30051665659993898</v>
      </c>
      <c r="AF2890">
        <v>149.805555555556</v>
      </c>
      <c r="AG2890">
        <f>IFERROR(AH2890*0.1, "N/A")</f>
        <v>5.2581597222222207</v>
      </c>
      <c r="AH2890">
        <v>52.5815972222222</v>
      </c>
      <c r="AI2890">
        <v>143.215765648418</v>
      </c>
      <c r="AJ2890">
        <v>28.3697916666667</v>
      </c>
      <c r="AK2890">
        <v>48.1545138888889</v>
      </c>
    </row>
    <row r="2891" spans="1:37" x14ac:dyDescent="0.3">
      <c r="A2891">
        <v>2890</v>
      </c>
      <c r="B2891">
        <v>64</v>
      </c>
      <c r="C2891">
        <v>-11.333</v>
      </c>
      <c r="D2891">
        <v>8.1829999999999998</v>
      </c>
      <c r="E2891">
        <f>-11.333-8.183</f>
        <v>-19.515999999999998</v>
      </c>
      <c r="F2891" t="s">
        <v>4982</v>
      </c>
      <c r="G2891" t="s">
        <v>39</v>
      </c>
      <c r="H2891">
        <v>1987</v>
      </c>
      <c r="I2891">
        <v>26</v>
      </c>
      <c r="J2891">
        <v>10.5</v>
      </c>
      <c r="K2891">
        <v>67</v>
      </c>
      <c r="L2891">
        <v>9.3957464529408394</v>
      </c>
      <c r="M2891">
        <v>34.200000762939503</v>
      </c>
      <c r="N2891">
        <v>18.700000762939499</v>
      </c>
      <c r="O2891">
        <v>15.5</v>
      </c>
      <c r="P2891">
        <v>24.864061981439601</v>
      </c>
      <c r="Q2891">
        <v>25.806249260902401</v>
      </c>
      <c r="R2891">
        <v>27.236284931500801</v>
      </c>
      <c r="S2891">
        <v>24.864061981439601</v>
      </c>
      <c r="T2891">
        <v>2729.4322916666702</v>
      </c>
      <c r="U2891">
        <v>507.428819444444</v>
      </c>
      <c r="V2891">
        <v>9</v>
      </c>
      <c r="W2891">
        <v>72</v>
      </c>
      <c r="X2891">
        <v>1339.7291666666699</v>
      </c>
      <c r="Y2891">
        <v>72</v>
      </c>
      <c r="Z2891">
        <v>475.637152777778</v>
      </c>
      <c r="AA2891">
        <v>1339.7291666666699</v>
      </c>
      <c r="AB2891">
        <v>4.7843716409471302</v>
      </c>
      <c r="AC2891">
        <v>2.4153378986133001E-2</v>
      </c>
      <c r="AD2891">
        <v>3.44236885331985</v>
      </c>
      <c r="AE2891">
        <v>0.32931444856027797</v>
      </c>
      <c r="AF2891">
        <v>141.654513888889</v>
      </c>
      <c r="AG2891">
        <f>IFERROR(AH2891*0.1, "N/A")</f>
        <v>5.1920138888888907</v>
      </c>
      <c r="AH2891">
        <v>51.9201388888889</v>
      </c>
      <c r="AI2891">
        <v>152.828115900358</v>
      </c>
      <c r="AJ2891">
        <v>23.2829861111111</v>
      </c>
      <c r="AK2891">
        <v>53.7065972222222</v>
      </c>
    </row>
    <row r="2892" spans="1:37" x14ac:dyDescent="0.3">
      <c r="A2892">
        <v>2891</v>
      </c>
      <c r="B2892">
        <v>93.300003000000004</v>
      </c>
      <c r="C2892">
        <v>-11.311999999999999</v>
      </c>
      <c r="D2892">
        <v>8.1833100000000005</v>
      </c>
      <c r="E2892">
        <f>-11.312-8.18331</f>
        <v>-19.49531</v>
      </c>
      <c r="F2892" t="s">
        <v>4983</v>
      </c>
      <c r="G2892" t="s">
        <v>39</v>
      </c>
      <c r="H2892">
        <v>1952</v>
      </c>
      <c r="I2892">
        <v>26</v>
      </c>
      <c r="J2892">
        <v>10.5241320365005</v>
      </c>
      <c r="K2892">
        <v>67.7586805555555</v>
      </c>
      <c r="L2892">
        <v>9.2748267269796791</v>
      </c>
      <c r="M2892">
        <v>34.124130970901902</v>
      </c>
      <c r="N2892">
        <v>18.6758687264389</v>
      </c>
      <c r="O2892">
        <v>15.448263691531301</v>
      </c>
      <c r="P2892">
        <v>24.899999618530298</v>
      </c>
      <c r="Q2892">
        <v>25.875867582029802</v>
      </c>
      <c r="R2892">
        <v>27.200000762939499</v>
      </c>
      <c r="S2892">
        <v>24.899999618530298</v>
      </c>
      <c r="T2892">
        <v>2729.2760416666702</v>
      </c>
      <c r="U2892">
        <v>505.758680555556</v>
      </c>
      <c r="V2892">
        <v>9</v>
      </c>
      <c r="W2892">
        <v>72</v>
      </c>
      <c r="X2892">
        <v>1333.75868055556</v>
      </c>
      <c r="Y2892">
        <v>74</v>
      </c>
      <c r="Z2892">
        <v>480.51736111111097</v>
      </c>
      <c r="AA2892">
        <v>1333.75868055556</v>
      </c>
      <c r="AB2892">
        <v>10.435070991516101</v>
      </c>
      <c r="AC2892">
        <v>4.2665207784416001E-2</v>
      </c>
      <c r="AD2892">
        <v>3.01467548434933</v>
      </c>
      <c r="AE2892">
        <v>0.46065127849578902</v>
      </c>
      <c r="AF2892">
        <v>149.720486111111</v>
      </c>
      <c r="AG2892">
        <f>IFERROR(AH2892*0.1, "N/A")</f>
        <v>5.27482638888889</v>
      </c>
      <c r="AH2892">
        <v>52.7482638888889</v>
      </c>
      <c r="AI2892">
        <v>256.17230608728198</v>
      </c>
      <c r="AJ2892">
        <v>27.0711805555556</v>
      </c>
      <c r="AK2892">
        <v>50.78125</v>
      </c>
    </row>
    <row r="2893" spans="1:37" x14ac:dyDescent="0.3">
      <c r="A2893">
        <v>2892</v>
      </c>
      <c r="B2893">
        <v>93</v>
      </c>
      <c r="C2893">
        <v>-11.340999999999999</v>
      </c>
      <c r="D2893">
        <v>8.1874699999999994</v>
      </c>
      <c r="E2893">
        <f>-11.341-8.18747</f>
        <v>-19.528469999999999</v>
      </c>
      <c r="F2893" t="s">
        <v>4984</v>
      </c>
      <c r="G2893" t="s">
        <v>39</v>
      </c>
      <c r="H2893">
        <v>1952</v>
      </c>
      <c r="I2893">
        <v>26</v>
      </c>
      <c r="J2893">
        <v>10.5</v>
      </c>
      <c r="K2893">
        <v>67.291161178509498</v>
      </c>
      <c r="L2893">
        <v>9.4725302559044398</v>
      </c>
      <c r="M2893">
        <v>34.170883978673501</v>
      </c>
      <c r="N2893">
        <v>18.700000762939499</v>
      </c>
      <c r="O2893">
        <v>15.470883771079899</v>
      </c>
      <c r="P2893">
        <v>24.8708833896101</v>
      </c>
      <c r="Q2893">
        <v>25.829115465980699</v>
      </c>
      <c r="R2893">
        <v>27.270883563486301</v>
      </c>
      <c r="S2893">
        <v>24.8708833896101</v>
      </c>
      <c r="T2893">
        <v>2732.5823223570201</v>
      </c>
      <c r="U2893">
        <v>509.29116117850901</v>
      </c>
      <c r="V2893">
        <v>9</v>
      </c>
      <c r="W2893">
        <v>72.291161178509498</v>
      </c>
      <c r="X2893">
        <v>1342.8734835355301</v>
      </c>
      <c r="Y2893">
        <v>72</v>
      </c>
      <c r="Z2893">
        <v>474.70883882149002</v>
      </c>
      <c r="AA2893">
        <v>1342.8734835355301</v>
      </c>
      <c r="AB2893">
        <v>11.129459718277801</v>
      </c>
      <c r="AC2893">
        <v>9.0784459831629999E-3</v>
      </c>
      <c r="AD2893">
        <v>1.9614799643513201</v>
      </c>
      <c r="AE2893">
        <v>0.38358175754547102</v>
      </c>
      <c r="AF2893">
        <v>145.66897746967101</v>
      </c>
      <c r="AG2893">
        <f>IFERROR(AH2893*0.1, "N/A")</f>
        <v>4.9000000000000004</v>
      </c>
      <c r="AH2893">
        <v>49</v>
      </c>
      <c r="AI2893">
        <v>84.633030063358106</v>
      </c>
      <c r="AJ2893">
        <v>19</v>
      </c>
      <c r="AK2893">
        <v>56</v>
      </c>
    </row>
    <row r="2894" spans="1:37" x14ac:dyDescent="0.3">
      <c r="A2894">
        <v>2893</v>
      </c>
      <c r="B2894">
        <v>0</v>
      </c>
      <c r="C2894">
        <v>-12.134</v>
      </c>
      <c r="D2894">
        <v>8.1989999999999998</v>
      </c>
      <c r="E2894">
        <f>-12.134-8.199</f>
        <v>-20.332999999999998</v>
      </c>
      <c r="F2894" t="s">
        <v>4985</v>
      </c>
      <c r="G2894" t="s">
        <v>39</v>
      </c>
      <c r="H2894">
        <v>1987</v>
      </c>
      <c r="I2894">
        <v>26.414137603496702</v>
      </c>
      <c r="J2894">
        <v>9.1999998092651403</v>
      </c>
      <c r="K2894">
        <v>66</v>
      </c>
      <c r="L2894">
        <v>9.7832584529087505</v>
      </c>
      <c r="M2894">
        <v>34</v>
      </c>
      <c r="N2894">
        <v>20.100000381469702</v>
      </c>
      <c r="O2894">
        <v>13.8999996185303</v>
      </c>
      <c r="P2894">
        <v>25.299999237060501</v>
      </c>
      <c r="Q2894">
        <v>26.299999237060501</v>
      </c>
      <c r="R2894">
        <v>27.814137222027</v>
      </c>
      <c r="S2894">
        <v>25.299999237060501</v>
      </c>
      <c r="T2894">
        <v>2705.4810344827602</v>
      </c>
      <c r="U2894">
        <v>572.87931034482801</v>
      </c>
      <c r="V2894">
        <v>3</v>
      </c>
      <c r="W2894">
        <v>87</v>
      </c>
      <c r="X2894">
        <v>1512.6224137930999</v>
      </c>
      <c r="Y2894">
        <v>28.005172413793101</v>
      </c>
      <c r="Z2894">
        <v>127.99482758620699</v>
      </c>
      <c r="AA2894">
        <v>1512.6224137930999</v>
      </c>
      <c r="AB2894">
        <v>2.55068953941608</v>
      </c>
      <c r="AC2894">
        <v>5.7791257450549999E-2</v>
      </c>
      <c r="AD2894">
        <v>0.92988928135099103</v>
      </c>
      <c r="AE2894">
        <v>0.32945442199706998</v>
      </c>
      <c r="AF2894">
        <v>54.827586206896598</v>
      </c>
      <c r="AG2894">
        <f>IFERROR(AH2894*0.1, "N/A")</f>
        <v>4.92655172413793</v>
      </c>
      <c r="AH2894">
        <v>49.2655172413793</v>
      </c>
      <c r="AI2894">
        <v>238.57784060774199</v>
      </c>
      <c r="AJ2894">
        <v>27.003448275862102</v>
      </c>
      <c r="AK2894">
        <v>50.262068965517301</v>
      </c>
    </row>
    <row r="2895" spans="1:37" x14ac:dyDescent="0.3">
      <c r="A2895">
        <v>2894</v>
      </c>
      <c r="B2895">
        <v>10.199999999999999</v>
      </c>
      <c r="C2895">
        <v>-10.373100000000001</v>
      </c>
      <c r="D2895">
        <v>8.2025000000000006</v>
      </c>
      <c r="E2895">
        <f>-10.3731-8.2025</f>
        <v>-18.575600000000001</v>
      </c>
      <c r="F2895" t="s">
        <v>4986</v>
      </c>
      <c r="G2895" t="s">
        <v>39</v>
      </c>
      <c r="H2895">
        <v>1987</v>
      </c>
      <c r="I2895">
        <v>25</v>
      </c>
      <c r="J2895">
        <v>13.199999809265099</v>
      </c>
      <c r="K2895">
        <v>72</v>
      </c>
      <c r="L2895">
        <v>9.0900001525878906</v>
      </c>
      <c r="M2895">
        <v>34.099998474121101</v>
      </c>
      <c r="N2895">
        <v>15.8999996185303</v>
      </c>
      <c r="O2895">
        <v>18.200000762939499</v>
      </c>
      <c r="P2895">
        <v>24.600000381469702</v>
      </c>
      <c r="Q2895">
        <v>24.799999237060501</v>
      </c>
      <c r="R2895">
        <v>25.899999618530298</v>
      </c>
      <c r="S2895">
        <v>23.899999618530298</v>
      </c>
      <c r="T2895">
        <v>2631</v>
      </c>
      <c r="U2895">
        <v>442</v>
      </c>
      <c r="V2895">
        <v>16</v>
      </c>
      <c r="W2895">
        <v>63</v>
      </c>
      <c r="X2895">
        <v>1170</v>
      </c>
      <c r="Y2895">
        <v>106</v>
      </c>
      <c r="Z2895">
        <v>533</v>
      </c>
      <c r="AA2895">
        <v>1164</v>
      </c>
      <c r="AB2895">
        <v>75.5390291889303</v>
      </c>
      <c r="AC2895">
        <v>1.268590391583E-2</v>
      </c>
      <c r="AD2895">
        <v>14.3562023112605</v>
      </c>
      <c r="AE2895">
        <v>0.262778490781784</v>
      </c>
      <c r="AF2895">
        <v>405.86010362694299</v>
      </c>
      <c r="AG2895">
        <f>IFERROR(AH2895*0.1, "N/A")</f>
        <v>4.8000000000000007</v>
      </c>
      <c r="AH2895">
        <v>48</v>
      </c>
      <c r="AI2895">
        <v>299.27939488438898</v>
      </c>
      <c r="AJ2895">
        <v>29.708117443868701</v>
      </c>
      <c r="AK2895">
        <v>53.291882556131299</v>
      </c>
    </row>
    <row r="2896" spans="1:37" x14ac:dyDescent="0.3">
      <c r="A2896">
        <v>2895</v>
      </c>
      <c r="B2896">
        <v>2.2999999999999998</v>
      </c>
      <c r="C2896">
        <v>-10.373100000000001</v>
      </c>
      <c r="D2896">
        <v>8.2025000000000006</v>
      </c>
      <c r="E2896">
        <f>-10.3731-8.2025</f>
        <v>-18.575600000000001</v>
      </c>
      <c r="F2896" t="s">
        <v>4987</v>
      </c>
      <c r="G2896" t="s">
        <v>37</v>
      </c>
      <c r="H2896">
        <v>1987</v>
      </c>
      <c r="I2896">
        <v>25</v>
      </c>
      <c r="J2896">
        <v>13.199999809265099</v>
      </c>
      <c r="K2896">
        <v>72</v>
      </c>
      <c r="L2896">
        <v>9.0900001525878906</v>
      </c>
      <c r="M2896">
        <v>34.099998474121101</v>
      </c>
      <c r="N2896">
        <v>15.8999996185303</v>
      </c>
      <c r="O2896">
        <v>18.200000762939499</v>
      </c>
      <c r="P2896">
        <v>24.600000381469702</v>
      </c>
      <c r="Q2896">
        <v>24.799999237060501</v>
      </c>
      <c r="R2896">
        <v>25.899999618530298</v>
      </c>
      <c r="S2896">
        <v>23.899999618530298</v>
      </c>
      <c r="T2896">
        <v>2631</v>
      </c>
      <c r="U2896">
        <v>442</v>
      </c>
      <c r="V2896">
        <v>16</v>
      </c>
      <c r="W2896">
        <v>63</v>
      </c>
      <c r="X2896">
        <v>1170</v>
      </c>
      <c r="Y2896">
        <v>106</v>
      </c>
      <c r="Z2896">
        <v>533</v>
      </c>
      <c r="AA2896">
        <v>1164</v>
      </c>
      <c r="AB2896">
        <v>75.5390291889303</v>
      </c>
      <c r="AC2896">
        <v>1.268590391583E-2</v>
      </c>
      <c r="AD2896">
        <v>14.3562023112605</v>
      </c>
      <c r="AE2896">
        <v>0.262778490781784</v>
      </c>
      <c r="AF2896">
        <v>405.86010362694299</v>
      </c>
      <c r="AG2896">
        <f>IFERROR(AH2896*0.1, "N/A")</f>
        <v>4.8000000000000007</v>
      </c>
      <c r="AH2896">
        <v>48</v>
      </c>
      <c r="AI2896">
        <v>299.27939488438898</v>
      </c>
      <c r="AJ2896">
        <v>29.708117443868701</v>
      </c>
      <c r="AK2896">
        <v>53.291882556131299</v>
      </c>
    </row>
    <row r="2897" spans="1:37" x14ac:dyDescent="0.3">
      <c r="A2897">
        <v>2896</v>
      </c>
      <c r="B2897">
        <v>95.199996999999996</v>
      </c>
      <c r="C2897">
        <v>-11.3117</v>
      </c>
      <c r="D2897">
        <v>8.2037300000000002</v>
      </c>
      <c r="E2897">
        <f>-11.3117-8.20373</f>
        <v>-19.515430000000002</v>
      </c>
      <c r="F2897" t="s">
        <v>4988</v>
      </c>
      <c r="G2897" t="s">
        <v>39</v>
      </c>
      <c r="H2897">
        <v>1952</v>
      </c>
      <c r="I2897">
        <v>25.799999237060501</v>
      </c>
      <c r="J2897">
        <v>10.6000003814697</v>
      </c>
      <c r="K2897">
        <v>68</v>
      </c>
      <c r="L2897">
        <v>9.3999996185302699</v>
      </c>
      <c r="M2897">
        <v>34</v>
      </c>
      <c r="N2897">
        <v>18.5</v>
      </c>
      <c r="O2897">
        <v>15.5</v>
      </c>
      <c r="P2897">
        <v>24.700000762939499</v>
      </c>
      <c r="Q2897">
        <v>25.600000381469702</v>
      </c>
      <c r="R2897">
        <v>27.100000381469702</v>
      </c>
      <c r="S2897">
        <v>24.700000762939499</v>
      </c>
      <c r="T2897">
        <v>2735</v>
      </c>
      <c r="U2897">
        <v>507</v>
      </c>
      <c r="V2897">
        <v>9</v>
      </c>
      <c r="W2897">
        <v>72</v>
      </c>
      <c r="X2897">
        <v>1337</v>
      </c>
      <c r="Y2897">
        <v>74</v>
      </c>
      <c r="Z2897">
        <v>482</v>
      </c>
      <c r="AA2897">
        <v>1337</v>
      </c>
      <c r="AB2897">
        <v>0.63512043144463703</v>
      </c>
      <c r="AC2897">
        <v>0.32523339553526698</v>
      </c>
      <c r="AD2897">
        <v>3.90132142206377</v>
      </c>
      <c r="AE2897">
        <v>0.464840948581696</v>
      </c>
      <c r="AF2897">
        <v>164.90830449827001</v>
      </c>
      <c r="AG2897">
        <f>IFERROR(AH2897*0.1, "N/A")</f>
        <v>5.4301038062283702</v>
      </c>
      <c r="AH2897">
        <v>54.301038062283702</v>
      </c>
      <c r="AI2897">
        <v>128.56679335927501</v>
      </c>
      <c r="AJ2897">
        <v>30.698961937716302</v>
      </c>
      <c r="AK2897">
        <v>47.769896193771601</v>
      </c>
    </row>
    <row r="2898" spans="1:37" x14ac:dyDescent="0.3">
      <c r="A2898">
        <v>2897</v>
      </c>
      <c r="B2898">
        <v>48.400002000000001</v>
      </c>
      <c r="C2898">
        <v>-11.3596</v>
      </c>
      <c r="D2898">
        <v>8.2048100000000002</v>
      </c>
      <c r="E2898">
        <f>-11.3596-8.20481</f>
        <v>-19.564410000000002</v>
      </c>
      <c r="F2898" t="s">
        <v>4989</v>
      </c>
      <c r="G2898" t="s">
        <v>39</v>
      </c>
      <c r="H2898">
        <v>1952</v>
      </c>
      <c r="I2898">
        <v>26</v>
      </c>
      <c r="J2898">
        <v>10.5</v>
      </c>
      <c r="K2898">
        <v>67</v>
      </c>
      <c r="L2898">
        <v>9.3599996566772496</v>
      </c>
      <c r="M2898">
        <v>34.200000762939503</v>
      </c>
      <c r="N2898">
        <v>18.700000762939499</v>
      </c>
      <c r="O2898">
        <v>15.5</v>
      </c>
      <c r="P2898">
        <v>24.899999618530298</v>
      </c>
      <c r="Q2898">
        <v>25.799999237060501</v>
      </c>
      <c r="R2898">
        <v>27.299999237060501</v>
      </c>
      <c r="S2898">
        <v>24.899999618530298</v>
      </c>
      <c r="T2898">
        <v>2735</v>
      </c>
      <c r="U2898">
        <v>511</v>
      </c>
      <c r="V2898">
        <v>9</v>
      </c>
      <c r="W2898">
        <v>73</v>
      </c>
      <c r="X2898">
        <v>1349</v>
      </c>
      <c r="Y2898">
        <v>70</v>
      </c>
      <c r="Z2898">
        <v>470</v>
      </c>
      <c r="AA2898">
        <v>1349</v>
      </c>
      <c r="AB2898">
        <v>16.3553046981148</v>
      </c>
      <c r="AC2898">
        <v>1.0257524726506999E-2</v>
      </c>
      <c r="AD2898">
        <v>1.14290990933128</v>
      </c>
      <c r="AE2898">
        <v>0.38571354446203798</v>
      </c>
      <c r="AF2898">
        <v>144.76347826086999</v>
      </c>
      <c r="AG2898">
        <f>IFERROR(AH2898*0.1, "N/A")</f>
        <v>5.22121739130435</v>
      </c>
      <c r="AH2898">
        <v>52.2121739130435</v>
      </c>
      <c r="AI2898">
        <v>173.84449887483001</v>
      </c>
      <c r="AJ2898">
        <v>24.8939130434783</v>
      </c>
      <c r="AK2898">
        <v>55.5008695652174</v>
      </c>
    </row>
    <row r="2899" spans="1:37" x14ac:dyDescent="0.3">
      <c r="A2899">
        <v>2898</v>
      </c>
      <c r="B2899">
        <v>11.1</v>
      </c>
      <c r="C2899">
        <v>-11.052899999999999</v>
      </c>
      <c r="D2899">
        <v>8.2111599999999996</v>
      </c>
      <c r="E2899">
        <f>-11.0529-8.21116</f>
        <v>-19.264060000000001</v>
      </c>
      <c r="F2899" t="s">
        <v>4990</v>
      </c>
      <c r="G2899" t="s">
        <v>39</v>
      </c>
      <c r="H2899">
        <v>1987</v>
      </c>
      <c r="I2899">
        <v>25.700000762939499</v>
      </c>
      <c r="J2899">
        <v>11</v>
      </c>
      <c r="K2899">
        <v>67</v>
      </c>
      <c r="L2899">
        <v>9.3800001144409197</v>
      </c>
      <c r="M2899">
        <v>34.099998474121101</v>
      </c>
      <c r="N2899">
        <v>17.700000762939499</v>
      </c>
      <c r="O2899">
        <v>16.399999618530298</v>
      </c>
      <c r="P2899">
        <v>24.700000762939499</v>
      </c>
      <c r="Q2899">
        <v>25.399999618530298</v>
      </c>
      <c r="R2899">
        <v>27</v>
      </c>
      <c r="S2899">
        <v>24.700000762939499</v>
      </c>
      <c r="T2899">
        <v>2671</v>
      </c>
      <c r="U2899">
        <v>456</v>
      </c>
      <c r="V2899">
        <v>10</v>
      </c>
      <c r="W2899">
        <v>66</v>
      </c>
      <c r="X2899">
        <v>1230</v>
      </c>
      <c r="Y2899">
        <v>87</v>
      </c>
      <c r="Z2899">
        <v>526</v>
      </c>
      <c r="AA2899">
        <v>1230</v>
      </c>
      <c r="AB2899">
        <v>9.4734445412953701</v>
      </c>
      <c r="AC2899">
        <v>9.3581084090850006E-3</v>
      </c>
      <c r="AD2899">
        <v>2.21896247244957</v>
      </c>
      <c r="AE2899">
        <v>0.79788607358932495</v>
      </c>
      <c r="AF2899">
        <v>213.930555555556</v>
      </c>
      <c r="AG2899">
        <f>IFERROR(AH2899*0.1, "N/A")</f>
        <v>5.1479166666666707</v>
      </c>
      <c r="AH2899">
        <v>51.4791666666667</v>
      </c>
      <c r="AI2899">
        <v>285.53089741865801</v>
      </c>
      <c r="AJ2899">
        <v>24</v>
      </c>
      <c r="AK2899">
        <v>54.2395833333333</v>
      </c>
    </row>
    <row r="2900" spans="1:37" x14ac:dyDescent="0.3">
      <c r="A2900">
        <v>2899</v>
      </c>
      <c r="B2900">
        <v>0.2</v>
      </c>
      <c r="C2900">
        <v>-11.052899999999999</v>
      </c>
      <c r="D2900">
        <v>8.2111599999999996</v>
      </c>
      <c r="E2900">
        <f>-11.0529-8.21116</f>
        <v>-19.264060000000001</v>
      </c>
      <c r="F2900" t="s">
        <v>4991</v>
      </c>
      <c r="G2900" t="s">
        <v>37</v>
      </c>
      <c r="H2900">
        <v>1987</v>
      </c>
      <c r="I2900">
        <v>25.700000762939499</v>
      </c>
      <c r="J2900">
        <v>11</v>
      </c>
      <c r="K2900">
        <v>67</v>
      </c>
      <c r="L2900">
        <v>9.3800001144409197</v>
      </c>
      <c r="M2900">
        <v>34.099998474121101</v>
      </c>
      <c r="N2900">
        <v>17.700000762939499</v>
      </c>
      <c r="O2900">
        <v>16.399999618530298</v>
      </c>
      <c r="P2900">
        <v>24.700000762939499</v>
      </c>
      <c r="Q2900">
        <v>25.399999618530298</v>
      </c>
      <c r="R2900">
        <v>27</v>
      </c>
      <c r="S2900">
        <v>24.700000762939499</v>
      </c>
      <c r="T2900">
        <v>2671</v>
      </c>
      <c r="U2900">
        <v>456</v>
      </c>
      <c r="V2900">
        <v>10</v>
      </c>
      <c r="W2900">
        <v>66</v>
      </c>
      <c r="X2900">
        <v>1230</v>
      </c>
      <c r="Y2900">
        <v>87</v>
      </c>
      <c r="Z2900">
        <v>526</v>
      </c>
      <c r="AA2900">
        <v>1230</v>
      </c>
      <c r="AB2900">
        <v>9.4734445412953701</v>
      </c>
      <c r="AC2900">
        <v>9.3581084090850006E-3</v>
      </c>
      <c r="AD2900">
        <v>2.21896247244957</v>
      </c>
      <c r="AE2900">
        <v>0.79788607358932495</v>
      </c>
      <c r="AF2900">
        <v>213.930555555556</v>
      </c>
      <c r="AG2900">
        <f>IFERROR(AH2900*0.1, "N/A")</f>
        <v>5.1479166666666707</v>
      </c>
      <c r="AH2900">
        <v>51.4791666666667</v>
      </c>
      <c r="AI2900">
        <v>285.53089741865801</v>
      </c>
      <c r="AJ2900">
        <v>24</v>
      </c>
      <c r="AK2900">
        <v>54.2395833333333</v>
      </c>
    </row>
    <row r="2901" spans="1:37" x14ac:dyDescent="0.3">
      <c r="A2901">
        <v>2900</v>
      </c>
      <c r="B2901">
        <v>0</v>
      </c>
      <c r="C2901">
        <v>-12.382999999999999</v>
      </c>
      <c r="D2901">
        <v>8.218</v>
      </c>
      <c r="E2901">
        <f>-12.383-8.218</f>
        <v>-20.600999999999999</v>
      </c>
      <c r="F2901" t="s">
        <v>4992</v>
      </c>
      <c r="G2901" t="s">
        <v>39</v>
      </c>
      <c r="H2901">
        <v>1987</v>
      </c>
      <c r="I2901">
        <v>26.175000667572</v>
      </c>
      <c r="J2901">
        <v>8.6999998092651403</v>
      </c>
      <c r="K2901">
        <v>68.25</v>
      </c>
      <c r="L2901">
        <v>9.5500001907348597</v>
      </c>
      <c r="M2901">
        <v>33.249999046325698</v>
      </c>
      <c r="N2901">
        <v>20.575000286102298</v>
      </c>
      <c r="O2901">
        <v>12.6749999523163</v>
      </c>
      <c r="P2901">
        <v>25.050000190734899</v>
      </c>
      <c r="Q2901">
        <v>26.175000667572</v>
      </c>
      <c r="R2901">
        <v>27.4749999046326</v>
      </c>
      <c r="S2901">
        <v>25.050000190734899</v>
      </c>
      <c r="T2901">
        <v>2724</v>
      </c>
      <c r="U2901">
        <v>598.5</v>
      </c>
      <c r="V2901">
        <v>5</v>
      </c>
      <c r="W2901">
        <v>87</v>
      </c>
      <c r="X2901">
        <v>1529.5</v>
      </c>
      <c r="Y2901">
        <v>42.25</v>
      </c>
      <c r="Z2901">
        <v>329.25</v>
      </c>
      <c r="AA2901">
        <v>1529.5</v>
      </c>
      <c r="AB2901">
        <v>4.8135419090588902</v>
      </c>
      <c r="AC2901">
        <v>0.26323968935887199</v>
      </c>
      <c r="AD2901">
        <v>2.51607878299223</v>
      </c>
      <c r="AE2901">
        <v>0.194467633962631</v>
      </c>
      <c r="AF2901">
        <v>48.3975694444444</v>
      </c>
      <c r="AG2901">
        <f>IFERROR(AH2901*0.1, "N/A")</f>
        <v>5.4131944444444402</v>
      </c>
      <c r="AH2901">
        <v>54.1319444444444</v>
      </c>
      <c r="AI2901">
        <v>95.412073493003803</v>
      </c>
      <c r="AJ2901">
        <v>27.5694444444444</v>
      </c>
      <c r="AK2901">
        <v>51.9444444444444</v>
      </c>
    </row>
    <row r="2902" spans="1:37" x14ac:dyDescent="0.3">
      <c r="A2902">
        <v>2901</v>
      </c>
      <c r="B2902">
        <v>0</v>
      </c>
      <c r="C2902">
        <v>-12.382999999999999</v>
      </c>
      <c r="D2902">
        <v>8.218</v>
      </c>
      <c r="E2902">
        <f>-12.383-8.218</f>
        <v>-20.600999999999999</v>
      </c>
      <c r="F2902" t="s">
        <v>4993</v>
      </c>
      <c r="G2902" t="s">
        <v>37</v>
      </c>
      <c r="H2902">
        <v>1987</v>
      </c>
      <c r="I2902">
        <v>26.175000667572</v>
      </c>
      <c r="J2902">
        <v>8.6999998092651403</v>
      </c>
      <c r="K2902">
        <v>68.25</v>
      </c>
      <c r="L2902">
        <v>9.5500001907348597</v>
      </c>
      <c r="M2902">
        <v>33.249999046325698</v>
      </c>
      <c r="N2902">
        <v>20.575000286102298</v>
      </c>
      <c r="O2902">
        <v>12.6749999523163</v>
      </c>
      <c r="P2902">
        <v>25.050000190734899</v>
      </c>
      <c r="Q2902">
        <v>26.175000667572</v>
      </c>
      <c r="R2902">
        <v>27.4749999046326</v>
      </c>
      <c r="S2902">
        <v>25.050000190734899</v>
      </c>
      <c r="T2902">
        <v>2724</v>
      </c>
      <c r="U2902">
        <v>598.5</v>
      </c>
      <c r="V2902">
        <v>5</v>
      </c>
      <c r="W2902">
        <v>87</v>
      </c>
      <c r="X2902">
        <v>1529.5</v>
      </c>
      <c r="Y2902">
        <v>42.25</v>
      </c>
      <c r="Z2902">
        <v>329.25</v>
      </c>
      <c r="AA2902">
        <v>1529.5</v>
      </c>
      <c r="AB2902">
        <v>4.8135419090588902</v>
      </c>
      <c r="AC2902">
        <v>0.26323968935887199</v>
      </c>
      <c r="AD2902">
        <v>2.51607878299223</v>
      </c>
      <c r="AE2902">
        <v>0.194467633962631</v>
      </c>
      <c r="AF2902">
        <v>48.3975694444444</v>
      </c>
      <c r="AG2902">
        <f>IFERROR(AH2902*0.1, "N/A")</f>
        <v>5.4131944444444402</v>
      </c>
      <c r="AH2902">
        <v>54.1319444444444</v>
      </c>
      <c r="AI2902">
        <v>95.412073493003803</v>
      </c>
      <c r="AJ2902">
        <v>27.5694444444444</v>
      </c>
      <c r="AK2902">
        <v>51.9444444444444</v>
      </c>
    </row>
    <row r="2903" spans="1:37" x14ac:dyDescent="0.3">
      <c r="A2903">
        <v>2902</v>
      </c>
      <c r="B2903">
        <v>57.900002000000001</v>
      </c>
      <c r="C2903">
        <v>-11.338699999999999</v>
      </c>
      <c r="D2903">
        <v>8.2199299999999997</v>
      </c>
      <c r="E2903">
        <f>-11.3387-8.21993</f>
        <v>-19.558630000000001</v>
      </c>
      <c r="F2903" t="s">
        <v>4994</v>
      </c>
      <c r="G2903" t="s">
        <v>39</v>
      </c>
      <c r="H2903">
        <v>1952</v>
      </c>
      <c r="I2903">
        <v>26</v>
      </c>
      <c r="J2903">
        <v>10.6000003814697</v>
      </c>
      <c r="K2903">
        <v>67</v>
      </c>
      <c r="L2903">
        <v>9.1599998474121094</v>
      </c>
      <c r="M2903">
        <v>34.200000762939503</v>
      </c>
      <c r="N2903">
        <v>18.600000381469702</v>
      </c>
      <c r="O2903">
        <v>15.6000003814697</v>
      </c>
      <c r="P2903">
        <v>25</v>
      </c>
      <c r="Q2903">
        <v>25.799999237060501</v>
      </c>
      <c r="R2903">
        <v>27.299999237060501</v>
      </c>
      <c r="S2903">
        <v>25</v>
      </c>
      <c r="T2903">
        <v>2731</v>
      </c>
      <c r="U2903">
        <v>507</v>
      </c>
      <c r="V2903">
        <v>9</v>
      </c>
      <c r="W2903">
        <v>72</v>
      </c>
      <c r="X2903">
        <v>1341</v>
      </c>
      <c r="Y2903">
        <v>72</v>
      </c>
      <c r="Z2903">
        <v>473</v>
      </c>
      <c r="AA2903">
        <v>1341</v>
      </c>
      <c r="AB2903">
        <v>9.4748656010090606</v>
      </c>
      <c r="AC2903">
        <v>8.4617787123089996E-3</v>
      </c>
      <c r="AD2903">
        <v>1.5795801803598799</v>
      </c>
      <c r="AE2903">
        <v>0.41658401489257801</v>
      </c>
      <c r="AF2903">
        <v>139.18370883882201</v>
      </c>
      <c r="AG2903">
        <f>IFERROR(AH2903*0.1, "N/A")</f>
        <v>5.2913344887348401</v>
      </c>
      <c r="AH2903">
        <v>52.913344887348401</v>
      </c>
      <c r="AI2903">
        <v>173.269359714237</v>
      </c>
      <c r="AJ2903">
        <v>25.086655112651599</v>
      </c>
      <c r="AK2903">
        <v>49.965337954939301</v>
      </c>
    </row>
    <row r="2904" spans="1:37" x14ac:dyDescent="0.3">
      <c r="A2904">
        <v>2903</v>
      </c>
      <c r="B2904">
        <v>0</v>
      </c>
      <c r="C2904">
        <v>-12.331799999999999</v>
      </c>
      <c r="D2904">
        <v>8.2454099999999997</v>
      </c>
      <c r="E2904">
        <f>-12.3318-8.24541</f>
        <v>-20.577210000000001</v>
      </c>
      <c r="F2904" t="s">
        <v>4995</v>
      </c>
      <c r="G2904" t="s">
        <v>39</v>
      </c>
      <c r="H2904">
        <v>1994</v>
      </c>
      <c r="I2904">
        <v>26.200000762939499</v>
      </c>
      <c r="J2904">
        <v>8.8999996185302699</v>
      </c>
      <c r="K2904">
        <v>68</v>
      </c>
      <c r="L2904">
        <v>9.3100004196166992</v>
      </c>
      <c r="M2904">
        <v>33.400001525878899</v>
      </c>
      <c r="N2904">
        <v>20.5</v>
      </c>
      <c r="O2904">
        <v>12.8999996185303</v>
      </c>
      <c r="P2904">
        <v>25.100000381469702</v>
      </c>
      <c r="Q2904">
        <v>26.200000762939499</v>
      </c>
      <c r="R2904">
        <v>27.5</v>
      </c>
      <c r="S2904">
        <v>25.100000381469702</v>
      </c>
      <c r="T2904">
        <v>2747</v>
      </c>
      <c r="U2904">
        <v>605</v>
      </c>
      <c r="V2904">
        <v>4</v>
      </c>
      <c r="W2904">
        <v>89</v>
      </c>
      <c r="X2904">
        <v>1559</v>
      </c>
      <c r="Y2904">
        <v>37</v>
      </c>
      <c r="Z2904">
        <v>324</v>
      </c>
      <c r="AA2904">
        <v>1559</v>
      </c>
      <c r="AB2904">
        <v>11.89999891652</v>
      </c>
      <c r="AC2904">
        <v>1.1722340445783999E-2</v>
      </c>
      <c r="AD2904">
        <v>1.2246973467990701</v>
      </c>
      <c r="AE2904">
        <v>0.44167649745941201</v>
      </c>
      <c r="AF2904">
        <v>56.4166666666667</v>
      </c>
      <c r="AG2904">
        <f>IFERROR(AH2904*0.1, "N/A")</f>
        <v>5.0083333333333302</v>
      </c>
      <c r="AH2904">
        <v>50.0833333333333</v>
      </c>
      <c r="AI2904">
        <v>193.950824472639</v>
      </c>
      <c r="AJ2904">
        <v>27</v>
      </c>
      <c r="AK2904">
        <v>49.9305555555556</v>
      </c>
    </row>
    <row r="2905" spans="1:37" x14ac:dyDescent="0.3">
      <c r="A2905">
        <v>2904</v>
      </c>
      <c r="B2905">
        <v>0.5</v>
      </c>
      <c r="C2905">
        <v>-12.331799999999999</v>
      </c>
      <c r="D2905">
        <v>8.2454099999999997</v>
      </c>
      <c r="E2905">
        <f>-12.3318-8.24541</f>
        <v>-20.577210000000001</v>
      </c>
      <c r="F2905" t="s">
        <v>4996</v>
      </c>
      <c r="G2905" t="s">
        <v>37</v>
      </c>
      <c r="H2905">
        <v>1994</v>
      </c>
      <c r="I2905">
        <v>26.200000762939499</v>
      </c>
      <c r="J2905">
        <v>8.8999996185302699</v>
      </c>
      <c r="K2905">
        <v>68</v>
      </c>
      <c r="L2905">
        <v>9.3100004196166992</v>
      </c>
      <c r="M2905">
        <v>33.400001525878899</v>
      </c>
      <c r="N2905">
        <v>20.5</v>
      </c>
      <c r="O2905">
        <v>12.8999996185303</v>
      </c>
      <c r="P2905">
        <v>25.100000381469702</v>
      </c>
      <c r="Q2905">
        <v>26.200000762939499</v>
      </c>
      <c r="R2905">
        <v>27.5</v>
      </c>
      <c r="S2905">
        <v>25.100000381469702</v>
      </c>
      <c r="T2905">
        <v>2747</v>
      </c>
      <c r="U2905">
        <v>605</v>
      </c>
      <c r="V2905">
        <v>4</v>
      </c>
      <c r="W2905">
        <v>89</v>
      </c>
      <c r="X2905">
        <v>1559</v>
      </c>
      <c r="Y2905">
        <v>37</v>
      </c>
      <c r="Z2905">
        <v>324</v>
      </c>
      <c r="AA2905">
        <v>1559</v>
      </c>
      <c r="AB2905">
        <v>11.89999891652</v>
      </c>
      <c r="AC2905">
        <v>1.1722340445783999E-2</v>
      </c>
      <c r="AD2905">
        <v>1.2246973467990701</v>
      </c>
      <c r="AE2905">
        <v>0.44167649745941201</v>
      </c>
      <c r="AF2905">
        <v>56.4166666666667</v>
      </c>
      <c r="AG2905">
        <f>IFERROR(AH2905*0.1, "N/A")</f>
        <v>5.0083333333333302</v>
      </c>
      <c r="AH2905">
        <v>50.0833333333333</v>
      </c>
      <c r="AI2905">
        <v>193.950824472639</v>
      </c>
      <c r="AJ2905">
        <v>27</v>
      </c>
      <c r="AK2905">
        <v>49.9305555555556</v>
      </c>
    </row>
    <row r="2906" spans="1:37" x14ac:dyDescent="0.3">
      <c r="A2906">
        <v>2905</v>
      </c>
      <c r="B2906">
        <v>5.4</v>
      </c>
      <c r="C2906">
        <v>-10.966699999999999</v>
      </c>
      <c r="D2906">
        <v>8.25</v>
      </c>
      <c r="E2906">
        <f>-10.9667-8.25</f>
        <v>-19.216699999999999</v>
      </c>
      <c r="F2906" t="s">
        <v>4997</v>
      </c>
      <c r="G2906" t="s">
        <v>37</v>
      </c>
      <c r="H2906">
        <v>1995</v>
      </c>
      <c r="I2906">
        <v>25.857439265531699</v>
      </c>
      <c r="J2906">
        <v>11.300000190734901</v>
      </c>
      <c r="K2906">
        <v>66</v>
      </c>
      <c r="L2906">
        <v>9.7914358851818903</v>
      </c>
      <c r="M2906">
        <v>34.398096988770398</v>
      </c>
      <c r="N2906">
        <v>17.342906338120802</v>
      </c>
      <c r="O2906">
        <v>17.055190521953001</v>
      </c>
      <c r="P2906">
        <v>25.101556989148399</v>
      </c>
      <c r="Q2906">
        <v>25.3238751236543</v>
      </c>
      <c r="R2906">
        <v>27.183217560131201</v>
      </c>
      <c r="S2906">
        <v>24.902249125048399</v>
      </c>
      <c r="T2906">
        <v>2628.1816608996501</v>
      </c>
      <c r="U2906">
        <v>427.12629757785498</v>
      </c>
      <c r="V2906">
        <v>10.1903114186851</v>
      </c>
      <c r="W2906">
        <v>65</v>
      </c>
      <c r="X2906">
        <v>1185.48788927336</v>
      </c>
      <c r="Y2906">
        <v>87.570934256055395</v>
      </c>
      <c r="Z2906">
        <v>524.16782006920403</v>
      </c>
      <c r="AA2906">
        <v>1184.6332179930801</v>
      </c>
      <c r="AB2906">
        <v>60.741000165576402</v>
      </c>
      <c r="AC2906">
        <v>1.6029324525948001E-2</v>
      </c>
      <c r="AD2906">
        <v>19.232324372525898</v>
      </c>
      <c r="AE2906">
        <v>0.28818053007125899</v>
      </c>
      <c r="AF2906">
        <v>230.084775086505</v>
      </c>
      <c r="AG2906">
        <f>IFERROR(AH2906*0.1, "N/A")</f>
        <v>4.9896193771626303</v>
      </c>
      <c r="AH2906">
        <v>49.896193771626301</v>
      </c>
      <c r="AI2906">
        <v>278.77226539796601</v>
      </c>
      <c r="AJ2906">
        <v>25.896193771626301</v>
      </c>
      <c r="AK2906">
        <v>50.124567474048398</v>
      </c>
    </row>
    <row r="2907" spans="1:37" x14ac:dyDescent="0.3">
      <c r="A2907">
        <v>2906</v>
      </c>
      <c r="B2907">
        <v>0</v>
      </c>
      <c r="C2907">
        <v>-12.281000000000001</v>
      </c>
      <c r="D2907">
        <v>8.2606999999999999</v>
      </c>
      <c r="E2907">
        <f>-12.281-8.2607</f>
        <v>-20.541699999999999</v>
      </c>
      <c r="F2907" t="s">
        <v>4998</v>
      </c>
      <c r="G2907" t="s">
        <v>39</v>
      </c>
      <c r="H2907">
        <v>1994</v>
      </c>
      <c r="I2907">
        <v>26.299999237060501</v>
      </c>
      <c r="J2907">
        <v>9.1000003814697301</v>
      </c>
      <c r="K2907">
        <v>68</v>
      </c>
      <c r="L2907">
        <v>9.8900003433227504</v>
      </c>
      <c r="M2907">
        <v>33.599998474121101</v>
      </c>
      <c r="N2907">
        <v>20.299999237060501</v>
      </c>
      <c r="O2907">
        <v>13.300000190734901</v>
      </c>
      <c r="P2907">
        <v>25.100000381469702</v>
      </c>
      <c r="Q2907">
        <v>26.200000762939499</v>
      </c>
      <c r="R2907">
        <v>27.700000762939499</v>
      </c>
      <c r="S2907">
        <v>25.100000381469702</v>
      </c>
      <c r="T2907">
        <v>2772</v>
      </c>
      <c r="U2907">
        <v>612</v>
      </c>
      <c r="V2907">
        <v>4</v>
      </c>
      <c r="W2907">
        <v>89</v>
      </c>
      <c r="X2907">
        <v>1588</v>
      </c>
      <c r="Y2907">
        <v>34</v>
      </c>
      <c r="Z2907">
        <v>318</v>
      </c>
      <c r="AA2907">
        <v>1588</v>
      </c>
      <c r="AB2907">
        <v>11.2580870056152</v>
      </c>
      <c r="AC2907">
        <v>1.1948297226235E-2</v>
      </c>
      <c r="AD2907">
        <v>2.2713207178530501</v>
      </c>
      <c r="AE2907">
        <v>0.27525670968967902</v>
      </c>
      <c r="AF2907">
        <v>63.260869565217398</v>
      </c>
      <c r="AG2907">
        <f>IFERROR(AH2907*0.1, "N/A")</f>
        <v>5.4240000000000004</v>
      </c>
      <c r="AH2907">
        <v>54.24</v>
      </c>
      <c r="AI2907">
        <v>36.4569268035889</v>
      </c>
      <c r="AJ2907">
        <v>25.7826086956522</v>
      </c>
      <c r="AK2907">
        <v>50.848695652173902</v>
      </c>
    </row>
    <row r="2908" spans="1:37" x14ac:dyDescent="0.3">
      <c r="A2908">
        <v>2907</v>
      </c>
      <c r="B2908">
        <v>0.5</v>
      </c>
      <c r="C2908">
        <v>-12.281000000000001</v>
      </c>
      <c r="D2908">
        <v>8.2606999999999999</v>
      </c>
      <c r="E2908">
        <f>-12.281-8.2607</f>
        <v>-20.541699999999999</v>
      </c>
      <c r="F2908" t="s">
        <v>4999</v>
      </c>
      <c r="G2908" t="s">
        <v>37</v>
      </c>
      <c r="H2908">
        <v>1994</v>
      </c>
      <c r="I2908">
        <v>26.299999237060501</v>
      </c>
      <c r="J2908">
        <v>9.1000003814697301</v>
      </c>
      <c r="K2908">
        <v>68</v>
      </c>
      <c r="L2908">
        <v>9.8900003433227504</v>
      </c>
      <c r="M2908">
        <v>33.599998474121101</v>
      </c>
      <c r="N2908">
        <v>20.299999237060501</v>
      </c>
      <c r="O2908">
        <v>13.300000190734901</v>
      </c>
      <c r="P2908">
        <v>25.100000381469702</v>
      </c>
      <c r="Q2908">
        <v>26.200000762939499</v>
      </c>
      <c r="R2908">
        <v>27.700000762939499</v>
      </c>
      <c r="S2908">
        <v>25.100000381469702</v>
      </c>
      <c r="T2908">
        <v>2772</v>
      </c>
      <c r="U2908">
        <v>612</v>
      </c>
      <c r="V2908">
        <v>4</v>
      </c>
      <c r="W2908">
        <v>89</v>
      </c>
      <c r="X2908">
        <v>1588</v>
      </c>
      <c r="Y2908">
        <v>34</v>
      </c>
      <c r="Z2908">
        <v>318</v>
      </c>
      <c r="AA2908">
        <v>1588</v>
      </c>
      <c r="AB2908">
        <v>11.2580870056152</v>
      </c>
      <c r="AC2908">
        <v>1.1948297226235E-2</v>
      </c>
      <c r="AD2908">
        <v>2.2713207178530501</v>
      </c>
      <c r="AE2908">
        <v>0.27525670968967902</v>
      </c>
      <c r="AF2908">
        <v>63.260869565217398</v>
      </c>
      <c r="AG2908">
        <f>IFERROR(AH2908*0.1, "N/A")</f>
        <v>5.4240000000000004</v>
      </c>
      <c r="AH2908">
        <v>54.24</v>
      </c>
      <c r="AI2908">
        <v>36.4569268035889</v>
      </c>
      <c r="AJ2908">
        <v>25.7826086956522</v>
      </c>
      <c r="AK2908">
        <v>50.848695652173902</v>
      </c>
    </row>
    <row r="2909" spans="1:37" x14ac:dyDescent="0.3">
      <c r="A2909">
        <v>2908</v>
      </c>
      <c r="B2909">
        <v>43.299999</v>
      </c>
      <c r="C2909">
        <v>-10.577999999999999</v>
      </c>
      <c r="D2909">
        <v>8.2739999999999991</v>
      </c>
      <c r="E2909">
        <f>-10.578-8.274</f>
        <v>-18.851999999999997</v>
      </c>
      <c r="F2909" t="s">
        <v>5000</v>
      </c>
      <c r="G2909" t="s">
        <v>39</v>
      </c>
      <c r="H2909">
        <v>1987</v>
      </c>
      <c r="I2909">
        <v>25.299999237060501</v>
      </c>
      <c r="J2909">
        <v>12.6000003814697</v>
      </c>
      <c r="K2909">
        <v>71</v>
      </c>
      <c r="L2909">
        <v>8.0699996948242205</v>
      </c>
      <c r="M2909">
        <v>34.299999237060497</v>
      </c>
      <c r="N2909">
        <v>16.600000381469702</v>
      </c>
      <c r="O2909">
        <v>17.700000762939499</v>
      </c>
      <c r="P2909">
        <v>24.700000762939499</v>
      </c>
      <c r="Q2909">
        <v>25</v>
      </c>
      <c r="R2909">
        <v>26.299999237060501</v>
      </c>
      <c r="S2909">
        <v>24.299999237060501</v>
      </c>
      <c r="T2909">
        <v>2677</v>
      </c>
      <c r="U2909">
        <v>440</v>
      </c>
      <c r="V2909">
        <v>15</v>
      </c>
      <c r="W2909">
        <v>64</v>
      </c>
      <c r="X2909">
        <v>1199</v>
      </c>
      <c r="Y2909">
        <v>94</v>
      </c>
      <c r="Z2909">
        <v>323</v>
      </c>
      <c r="AA2909">
        <v>1180</v>
      </c>
      <c r="AB2909">
        <v>8.1168014895957192</v>
      </c>
      <c r="AC2909">
        <v>3.3974339105962002E-2</v>
      </c>
      <c r="AD2909">
        <v>5.8532491402642499</v>
      </c>
      <c r="AE2909">
        <v>0.75614297389984098</v>
      </c>
      <c r="AF2909">
        <v>310.17647058823502</v>
      </c>
      <c r="AG2909">
        <f>IFERROR(AH2909*0.1, "N/A")</f>
        <v>5.2</v>
      </c>
      <c r="AH2909">
        <v>52</v>
      </c>
      <c r="AI2909">
        <v>223.76143768666901</v>
      </c>
      <c r="AJ2909">
        <v>21.2128027681661</v>
      </c>
      <c r="AK2909">
        <v>60</v>
      </c>
    </row>
    <row r="2910" spans="1:37" x14ac:dyDescent="0.3">
      <c r="A2910">
        <v>2909</v>
      </c>
      <c r="B2910">
        <v>35</v>
      </c>
      <c r="C2910">
        <v>-10.577999999999999</v>
      </c>
      <c r="D2910">
        <v>8.2739999999999991</v>
      </c>
      <c r="E2910">
        <f>-10.578-8.274</f>
        <v>-18.851999999999997</v>
      </c>
      <c r="F2910" t="s">
        <v>5001</v>
      </c>
      <c r="G2910" t="s">
        <v>37</v>
      </c>
      <c r="H2910">
        <v>1987</v>
      </c>
      <c r="I2910">
        <v>25.299999237060501</v>
      </c>
      <c r="J2910">
        <v>12.6000003814697</v>
      </c>
      <c r="K2910">
        <v>71</v>
      </c>
      <c r="L2910">
        <v>8.0699996948242205</v>
      </c>
      <c r="M2910">
        <v>34.299999237060497</v>
      </c>
      <c r="N2910">
        <v>16.600000381469702</v>
      </c>
      <c r="O2910">
        <v>17.700000762939499</v>
      </c>
      <c r="P2910">
        <v>24.700000762939499</v>
      </c>
      <c r="Q2910">
        <v>25</v>
      </c>
      <c r="R2910">
        <v>26.299999237060501</v>
      </c>
      <c r="S2910">
        <v>24.299999237060501</v>
      </c>
      <c r="T2910">
        <v>2677</v>
      </c>
      <c r="U2910">
        <v>440</v>
      </c>
      <c r="V2910">
        <v>15</v>
      </c>
      <c r="W2910">
        <v>64</v>
      </c>
      <c r="X2910">
        <v>1199</v>
      </c>
      <c r="Y2910">
        <v>94</v>
      </c>
      <c r="Z2910">
        <v>323</v>
      </c>
      <c r="AA2910">
        <v>1180</v>
      </c>
      <c r="AB2910">
        <v>8.1168014895957192</v>
      </c>
      <c r="AC2910">
        <v>3.3974339105962002E-2</v>
      </c>
      <c r="AD2910">
        <v>5.8532491402642499</v>
      </c>
      <c r="AE2910">
        <v>0.75614297389984098</v>
      </c>
      <c r="AF2910">
        <v>310.17647058823502</v>
      </c>
      <c r="AG2910">
        <f>IFERROR(AH2910*0.1, "N/A")</f>
        <v>5.2</v>
      </c>
      <c r="AH2910">
        <v>52</v>
      </c>
      <c r="AI2910">
        <v>223.76143768666901</v>
      </c>
      <c r="AJ2910">
        <v>21.2128027681661</v>
      </c>
      <c r="AK2910">
        <v>60</v>
      </c>
    </row>
    <row r="2911" spans="1:37" x14ac:dyDescent="0.3">
      <c r="A2911">
        <v>2910</v>
      </c>
      <c r="B2911">
        <v>0</v>
      </c>
      <c r="C2911">
        <v>-10.500999999999999</v>
      </c>
      <c r="D2911">
        <v>8.3179999999999996</v>
      </c>
      <c r="E2911">
        <f>-10.501-8.318</f>
        <v>-18.818999999999999</v>
      </c>
      <c r="F2911" t="s">
        <v>5002</v>
      </c>
      <c r="G2911" t="s">
        <v>39</v>
      </c>
      <c r="H2911">
        <v>1987</v>
      </c>
      <c r="I2911">
        <v>25.299999237060501</v>
      </c>
      <c r="J2911">
        <v>13.1000003814697</v>
      </c>
      <c r="K2911">
        <v>70.942807625649905</v>
      </c>
      <c r="L2911">
        <v>8.6102949717635706</v>
      </c>
      <c r="M2911">
        <v>34.6057178424591</v>
      </c>
      <c r="N2911">
        <v>16.1942815036873</v>
      </c>
      <c r="O2911">
        <v>18.411438137034601</v>
      </c>
      <c r="P2911">
        <v>24.799999237060501</v>
      </c>
      <c r="Q2911">
        <v>24.994280740747801</v>
      </c>
      <c r="R2911">
        <v>26.299999237060501</v>
      </c>
      <c r="S2911">
        <v>24.299999237060501</v>
      </c>
      <c r="T2911">
        <v>2647.8856152512999</v>
      </c>
      <c r="U2911">
        <v>441</v>
      </c>
      <c r="V2911">
        <v>15</v>
      </c>
      <c r="W2911">
        <v>64</v>
      </c>
      <c r="X2911">
        <v>1183.9428076256499</v>
      </c>
      <c r="Y2911">
        <v>94</v>
      </c>
      <c r="Z2911">
        <v>330.467937608319</v>
      </c>
      <c r="AA2911">
        <v>1168.9428076256499</v>
      </c>
      <c r="AB2911">
        <v>22.5745141940059</v>
      </c>
      <c r="AC2911">
        <v>2.6728002641808E-2</v>
      </c>
      <c r="AD2911">
        <v>3.8628070819315901</v>
      </c>
      <c r="AE2911">
        <v>0.25516206026077298</v>
      </c>
      <c r="AF2911">
        <v>355.36568457538999</v>
      </c>
      <c r="AG2911">
        <f>IFERROR(AH2911*0.1, "N/A")</f>
        <v>5.1102253032928902</v>
      </c>
      <c r="AH2911">
        <v>51.1022530329289</v>
      </c>
      <c r="AI2911">
        <v>267.24777552242699</v>
      </c>
      <c r="AJ2911">
        <v>23.4783362218371</v>
      </c>
      <c r="AK2911">
        <v>60.362218370883902</v>
      </c>
    </row>
    <row r="2912" spans="1:37" x14ac:dyDescent="0.3">
      <c r="A2912">
        <v>2911</v>
      </c>
      <c r="B2912">
        <v>4.9000000000000004</v>
      </c>
      <c r="C2912">
        <v>-11.216699999999999</v>
      </c>
      <c r="D2912">
        <v>8.3666699999999992</v>
      </c>
      <c r="E2912">
        <f>-11.2167-8.36667</f>
        <v>-19.583369999999999</v>
      </c>
      <c r="F2912" t="s">
        <v>5003</v>
      </c>
      <c r="G2912" t="s">
        <v>37</v>
      </c>
      <c r="H2912">
        <v>1995</v>
      </c>
      <c r="I2912">
        <v>25.474093165422399</v>
      </c>
      <c r="J2912">
        <v>11.199999809265099</v>
      </c>
      <c r="K2912">
        <v>66.683937823834199</v>
      </c>
      <c r="L2912">
        <v>9.1698792149571808</v>
      </c>
      <c r="M2912">
        <v>33.999135836006701</v>
      </c>
      <c r="N2912">
        <v>17.267529647379099</v>
      </c>
      <c r="O2912">
        <v>16.731606498283401</v>
      </c>
      <c r="P2912">
        <v>24.474093165422399</v>
      </c>
      <c r="Q2912">
        <v>25.074093546892101</v>
      </c>
      <c r="R2912">
        <v>26.699136598946101</v>
      </c>
      <c r="S2912">
        <v>24.474093165422399</v>
      </c>
      <c r="T2912">
        <v>2714.4300518134701</v>
      </c>
      <c r="U2912">
        <v>476.22797927461102</v>
      </c>
      <c r="V2912">
        <v>9.6839378238341993</v>
      </c>
      <c r="W2912">
        <v>69.316062176165801</v>
      </c>
      <c r="X2912">
        <v>1297.57512953368</v>
      </c>
      <c r="Y2912">
        <v>80.530224525043195</v>
      </c>
      <c r="Z2912">
        <v>494.23661485319502</v>
      </c>
      <c r="AA2912">
        <v>1297.57512953368</v>
      </c>
      <c r="AB2912">
        <v>16.133339995547299</v>
      </c>
      <c r="AC2912">
        <v>9.0722578669380008E-3</v>
      </c>
      <c r="AD2912">
        <v>5.99278038606331</v>
      </c>
      <c r="AE2912">
        <v>0.195811604048304</v>
      </c>
      <c r="AF2912">
        <v>282.44732297063899</v>
      </c>
      <c r="AG2912">
        <f>IFERROR(AH2912*0.1, "N/A")</f>
        <v>5.1000000000000005</v>
      </c>
      <c r="AH2912">
        <v>51</v>
      </c>
      <c r="AI2912">
        <v>254.42728499180299</v>
      </c>
      <c r="AJ2912">
        <v>29.967184801381698</v>
      </c>
      <c r="AK2912">
        <v>52.7720207253886</v>
      </c>
    </row>
    <row r="2913" spans="1:37" x14ac:dyDescent="0.3">
      <c r="A2913">
        <v>2912</v>
      </c>
      <c r="B2913">
        <v>4.9000000000000004</v>
      </c>
      <c r="C2913">
        <v>-11.059200000000001</v>
      </c>
      <c r="D2913">
        <v>8.3741699999999994</v>
      </c>
      <c r="E2913">
        <f>-11.0592-8.37417</f>
        <v>-19.43337</v>
      </c>
      <c r="F2913" t="s">
        <v>5004</v>
      </c>
      <c r="G2913" t="s">
        <v>37</v>
      </c>
      <c r="H2913">
        <v>1995</v>
      </c>
      <c r="I2913">
        <v>25.700517996426299</v>
      </c>
      <c r="J2913">
        <v>11.5</v>
      </c>
      <c r="K2913">
        <v>66</v>
      </c>
      <c r="L2913">
        <v>9.5196901107656604</v>
      </c>
      <c r="M2913">
        <v>34.400518759365703</v>
      </c>
      <c r="N2913">
        <v>17.000517243352402</v>
      </c>
      <c r="O2913">
        <v>17.399999618530298</v>
      </c>
      <c r="P2913">
        <v>24.800516480412998</v>
      </c>
      <c r="Q2913">
        <v>25.100517624822199</v>
      </c>
      <c r="R2913">
        <v>27.000517243352402</v>
      </c>
      <c r="S2913">
        <v>24.800516480412998</v>
      </c>
      <c r="T2913">
        <v>2652.9689655172401</v>
      </c>
      <c r="U2913">
        <v>442</v>
      </c>
      <c r="V2913">
        <v>10</v>
      </c>
      <c r="W2913">
        <v>67</v>
      </c>
      <c r="X2913">
        <v>1225.99482758621</v>
      </c>
      <c r="Y2913">
        <v>84.994827586206895</v>
      </c>
      <c r="Z2913">
        <v>508.98448275862103</v>
      </c>
      <c r="AA2913">
        <v>1225.99482758621</v>
      </c>
      <c r="AB2913">
        <v>5.0736225785880196</v>
      </c>
      <c r="AC2913">
        <v>2.3784850814331602</v>
      </c>
      <c r="AD2913">
        <v>3.3682911708437202</v>
      </c>
      <c r="AE2913">
        <v>0.26177400350570701</v>
      </c>
      <c r="AF2913">
        <v>238.944827586207</v>
      </c>
      <c r="AG2913">
        <f>IFERROR(AH2913*0.1, "N/A")</f>
        <v>5.0846551724137905</v>
      </c>
      <c r="AH2913">
        <v>50.846551724137903</v>
      </c>
      <c r="AI2913">
        <v>149.77704355305599</v>
      </c>
      <c r="AJ2913">
        <v>26.579310344827601</v>
      </c>
      <c r="AK2913">
        <v>50.841379310344799</v>
      </c>
    </row>
    <row r="2914" spans="1:37" x14ac:dyDescent="0.3">
      <c r="A2914">
        <v>2913</v>
      </c>
      <c r="B2914">
        <v>19.100000000000001</v>
      </c>
      <c r="C2914">
        <v>-10.85</v>
      </c>
      <c r="D2914">
        <v>8.3833000000000002</v>
      </c>
      <c r="E2914">
        <f>-10.85-8.3833</f>
        <v>-19.2333</v>
      </c>
      <c r="F2914" t="s">
        <v>5005</v>
      </c>
      <c r="G2914" t="s">
        <v>39</v>
      </c>
      <c r="H2914">
        <v>1987</v>
      </c>
      <c r="I2914">
        <v>25.8837365807134</v>
      </c>
      <c r="J2914">
        <v>12.126816837020399</v>
      </c>
      <c r="K2914">
        <v>65.837370242214504</v>
      </c>
      <c r="L2914">
        <v>9.7571281116314008</v>
      </c>
      <c r="M2914">
        <v>34.937717213350197</v>
      </c>
      <c r="N2914">
        <v>16.640657464525699</v>
      </c>
      <c r="O2914">
        <v>18.297058927146601</v>
      </c>
      <c r="P2914">
        <v>25.3377156439124</v>
      </c>
      <c r="Q2914">
        <v>25.194636701300102</v>
      </c>
      <c r="R2914">
        <v>27.237716450410701</v>
      </c>
      <c r="S2914">
        <v>25.0837373436528</v>
      </c>
      <c r="T2914">
        <v>2595.0865051903102</v>
      </c>
      <c r="U2914">
        <v>427.05363321799302</v>
      </c>
      <c r="V2914">
        <v>11</v>
      </c>
      <c r="W2914">
        <v>65</v>
      </c>
      <c r="X2914">
        <v>1164.4083044982699</v>
      </c>
      <c r="Y2914">
        <v>87</v>
      </c>
      <c r="Z2914">
        <v>516.10899653979197</v>
      </c>
      <c r="AA2914">
        <v>1159.4083044982699</v>
      </c>
      <c r="AB2914">
        <v>10.879757653470699</v>
      </c>
      <c r="AC2914">
        <v>1.7575177831324E-2</v>
      </c>
      <c r="AD2914">
        <v>3.6168049196470999</v>
      </c>
      <c r="AE2914">
        <v>0.22547538578510301</v>
      </c>
      <c r="AF2914">
        <v>237.20415224913501</v>
      </c>
      <c r="AG2914">
        <f>IFERROR(AH2914*0.1, "N/A")</f>
        <v>5.2377162629757805</v>
      </c>
      <c r="AH2914">
        <v>52.377162629757798</v>
      </c>
      <c r="AI2914">
        <v>137.09292160351001</v>
      </c>
      <c r="AJ2914">
        <v>30.2456747404844</v>
      </c>
      <c r="AK2914">
        <v>50.377162629757798</v>
      </c>
    </row>
    <row r="2915" spans="1:37" x14ac:dyDescent="0.3">
      <c r="A2915">
        <v>2914</v>
      </c>
      <c r="B2915">
        <v>0.6</v>
      </c>
      <c r="C2915">
        <v>-10.85</v>
      </c>
      <c r="D2915">
        <v>8.3833000000000002</v>
      </c>
      <c r="E2915">
        <f>-10.85-8.3833</f>
        <v>-19.2333</v>
      </c>
      <c r="F2915" t="s">
        <v>5006</v>
      </c>
      <c r="G2915" t="s">
        <v>37</v>
      </c>
      <c r="H2915">
        <v>1987</v>
      </c>
      <c r="I2915">
        <v>25.8837365807134</v>
      </c>
      <c r="J2915">
        <v>12.126816837020399</v>
      </c>
      <c r="K2915">
        <v>65.837370242214504</v>
      </c>
      <c r="L2915">
        <v>9.7571281116314008</v>
      </c>
      <c r="M2915">
        <v>34.937717213350197</v>
      </c>
      <c r="N2915">
        <v>16.640657464525699</v>
      </c>
      <c r="O2915">
        <v>18.297058927146601</v>
      </c>
      <c r="P2915">
        <v>25.3377156439124</v>
      </c>
      <c r="Q2915">
        <v>25.194636701300102</v>
      </c>
      <c r="R2915">
        <v>27.237716450410701</v>
      </c>
      <c r="S2915">
        <v>25.0837373436528</v>
      </c>
      <c r="T2915">
        <v>2595.0865051903102</v>
      </c>
      <c r="U2915">
        <v>427.05363321799302</v>
      </c>
      <c r="V2915">
        <v>11</v>
      </c>
      <c r="W2915">
        <v>65</v>
      </c>
      <c r="X2915">
        <v>1164.4083044982699</v>
      </c>
      <c r="Y2915">
        <v>87</v>
      </c>
      <c r="Z2915">
        <v>516.10899653979197</v>
      </c>
      <c r="AA2915">
        <v>1159.4083044982699</v>
      </c>
      <c r="AB2915">
        <v>10.879757653470699</v>
      </c>
      <c r="AC2915">
        <v>1.7575177831324E-2</v>
      </c>
      <c r="AD2915">
        <v>3.6168049196470999</v>
      </c>
      <c r="AE2915">
        <v>0.22547538578510301</v>
      </c>
      <c r="AF2915">
        <v>237.20415224913501</v>
      </c>
      <c r="AG2915">
        <f>IFERROR(AH2915*0.1, "N/A")</f>
        <v>5.2377162629757805</v>
      </c>
      <c r="AH2915">
        <v>52.377162629757798</v>
      </c>
      <c r="AI2915">
        <v>137.09292160351001</v>
      </c>
      <c r="AJ2915">
        <v>30.2456747404844</v>
      </c>
      <c r="AK2915">
        <v>50.377162629757798</v>
      </c>
    </row>
    <row r="2916" spans="1:37" x14ac:dyDescent="0.3">
      <c r="A2916">
        <v>2915</v>
      </c>
      <c r="B2916">
        <v>7.4</v>
      </c>
      <c r="C2916">
        <v>-11.157500000000001</v>
      </c>
      <c r="D2916">
        <v>8.42056</v>
      </c>
      <c r="E2916">
        <f>-11.1575-8.42056</f>
        <v>-19.578060000000001</v>
      </c>
      <c r="F2916" t="s">
        <v>5007</v>
      </c>
      <c r="G2916" t="s">
        <v>37</v>
      </c>
      <c r="H2916">
        <v>1995</v>
      </c>
      <c r="I2916">
        <v>24.688256331264199</v>
      </c>
      <c r="J2916">
        <v>11.488255568324799</v>
      </c>
      <c r="K2916">
        <v>66</v>
      </c>
      <c r="L2916">
        <v>8.9676513358924907</v>
      </c>
      <c r="M2916">
        <v>33.388256870197303</v>
      </c>
      <c r="N2916">
        <v>16.111744813144899</v>
      </c>
      <c r="O2916">
        <v>17.276510597716499</v>
      </c>
      <c r="P2916">
        <v>23.788255029391699</v>
      </c>
      <c r="Q2916">
        <v>24.200000762939499</v>
      </c>
      <c r="R2916">
        <v>25.899999618530298</v>
      </c>
      <c r="S2916">
        <v>23.788255029391699</v>
      </c>
      <c r="T2916">
        <v>2684.46977547496</v>
      </c>
      <c r="U2916">
        <v>460.11744386873897</v>
      </c>
      <c r="V2916">
        <v>11</v>
      </c>
      <c r="W2916">
        <v>68</v>
      </c>
      <c r="X2916">
        <v>1268.46977547496</v>
      </c>
      <c r="Y2916">
        <v>85.882556131260799</v>
      </c>
      <c r="Z2916">
        <v>495</v>
      </c>
      <c r="AA2916">
        <v>1268.46977547496</v>
      </c>
      <c r="AB2916">
        <v>9.57531464202828</v>
      </c>
      <c r="AC2916">
        <v>0.12534207803083</v>
      </c>
      <c r="AD2916">
        <v>4.4476903234326999</v>
      </c>
      <c r="AE2916">
        <v>0.20051200687885301</v>
      </c>
      <c r="AF2916">
        <v>452.24179620034499</v>
      </c>
      <c r="AG2916">
        <f>IFERROR(AH2916*0.1, "N/A")</f>
        <v>5</v>
      </c>
      <c r="AH2916">
        <v>50</v>
      </c>
      <c r="AI2916">
        <v>197.338196565038</v>
      </c>
      <c r="AJ2916">
        <v>31.338514680483598</v>
      </c>
      <c r="AK2916">
        <v>50.813471502590701</v>
      </c>
    </row>
    <row r="2917" spans="1:37" x14ac:dyDescent="0.3">
      <c r="A2917">
        <v>2916</v>
      </c>
      <c r="B2917">
        <v>11.3</v>
      </c>
      <c r="C2917">
        <v>-11.532</v>
      </c>
      <c r="D2917">
        <v>8.4309999999999992</v>
      </c>
      <c r="E2917">
        <f>-11.532-8.431</f>
        <v>-19.963000000000001</v>
      </c>
      <c r="F2917" t="s">
        <v>5008</v>
      </c>
      <c r="G2917" t="s">
        <v>39</v>
      </c>
      <c r="H2917">
        <v>1987</v>
      </c>
      <c r="I2917">
        <v>25.200000762939499</v>
      </c>
      <c r="J2917">
        <v>10.699999809265099</v>
      </c>
      <c r="K2917">
        <v>66</v>
      </c>
      <c r="L2917">
        <v>9.1099996566772496</v>
      </c>
      <c r="M2917">
        <v>33.700000762939503</v>
      </c>
      <c r="N2917">
        <v>17.600000381469702</v>
      </c>
      <c r="O2917">
        <v>16.100000381469702</v>
      </c>
      <c r="P2917">
        <v>24.200000762939499</v>
      </c>
      <c r="Q2917">
        <v>25</v>
      </c>
      <c r="R2917">
        <v>26.5</v>
      </c>
      <c r="S2917">
        <v>24.200000762939499</v>
      </c>
      <c r="T2917">
        <v>2829</v>
      </c>
      <c r="U2917">
        <v>544</v>
      </c>
      <c r="V2917">
        <v>8</v>
      </c>
      <c r="W2917">
        <v>77</v>
      </c>
      <c r="X2917">
        <v>1446</v>
      </c>
      <c r="Y2917">
        <v>63</v>
      </c>
      <c r="Z2917">
        <v>443</v>
      </c>
      <c r="AA2917">
        <v>1446</v>
      </c>
      <c r="AB2917">
        <v>6.9165947726028598</v>
      </c>
      <c r="AC2917">
        <v>0.71440062671094196</v>
      </c>
      <c r="AD2917">
        <v>5.0390906750537097</v>
      </c>
      <c r="AE2917">
        <v>0.246459256303352</v>
      </c>
      <c r="AF2917">
        <v>306.44463667820099</v>
      </c>
      <c r="AG2917">
        <f>IFERROR(AH2917*0.1, "N/A")</f>
        <v>5.0768166089965403</v>
      </c>
      <c r="AH2917">
        <v>50.768166089965398</v>
      </c>
      <c r="AI2917">
        <v>203.709428279045</v>
      </c>
      <c r="AJ2917">
        <v>25</v>
      </c>
      <c r="AK2917">
        <v>57.897923875432497</v>
      </c>
    </row>
    <row r="2918" spans="1:37" x14ac:dyDescent="0.3">
      <c r="A2918">
        <v>2917</v>
      </c>
      <c r="B2918">
        <v>0.7</v>
      </c>
      <c r="C2918">
        <v>-11.532</v>
      </c>
      <c r="D2918">
        <v>8.4309999999999992</v>
      </c>
      <c r="E2918">
        <f>-11.532-8.431</f>
        <v>-19.963000000000001</v>
      </c>
      <c r="F2918" t="s">
        <v>5009</v>
      </c>
      <c r="G2918" t="s">
        <v>37</v>
      </c>
      <c r="H2918">
        <v>1987</v>
      </c>
      <c r="I2918">
        <v>25.200000762939499</v>
      </c>
      <c r="J2918">
        <v>10.699999809265099</v>
      </c>
      <c r="K2918">
        <v>66</v>
      </c>
      <c r="L2918">
        <v>9.1099996566772496</v>
      </c>
      <c r="M2918">
        <v>33.700000762939503</v>
      </c>
      <c r="N2918">
        <v>17.600000381469702</v>
      </c>
      <c r="O2918">
        <v>16.100000381469702</v>
      </c>
      <c r="P2918">
        <v>24.200000762939499</v>
      </c>
      <c r="Q2918">
        <v>25</v>
      </c>
      <c r="R2918">
        <v>26.5</v>
      </c>
      <c r="S2918">
        <v>24.200000762939499</v>
      </c>
      <c r="T2918">
        <v>2829</v>
      </c>
      <c r="U2918">
        <v>544</v>
      </c>
      <c r="V2918">
        <v>8</v>
      </c>
      <c r="W2918">
        <v>77</v>
      </c>
      <c r="X2918">
        <v>1446</v>
      </c>
      <c r="Y2918">
        <v>63</v>
      </c>
      <c r="Z2918">
        <v>443</v>
      </c>
      <c r="AA2918">
        <v>1446</v>
      </c>
      <c r="AB2918">
        <v>6.9165947726028598</v>
      </c>
      <c r="AC2918">
        <v>0.71440062671094196</v>
      </c>
      <c r="AD2918">
        <v>5.0390906750537097</v>
      </c>
      <c r="AE2918">
        <v>0.246459256303352</v>
      </c>
      <c r="AF2918">
        <v>306.44463667820099</v>
      </c>
      <c r="AG2918">
        <f>IFERROR(AH2918*0.1, "N/A")</f>
        <v>5.0768166089965403</v>
      </c>
      <c r="AH2918">
        <v>50.768166089965398</v>
      </c>
      <c r="AI2918">
        <v>203.709428279045</v>
      </c>
      <c r="AJ2918">
        <v>25</v>
      </c>
      <c r="AK2918">
        <v>57.897923875432497</v>
      </c>
    </row>
    <row r="2919" spans="1:37" x14ac:dyDescent="0.3">
      <c r="A2919">
        <v>2918</v>
      </c>
      <c r="B2919">
        <v>41</v>
      </c>
      <c r="C2919">
        <v>-10.853</v>
      </c>
      <c r="D2919">
        <v>8.4320000000000004</v>
      </c>
      <c r="E2919">
        <f>-10.853-8.432</f>
        <v>-19.285</v>
      </c>
      <c r="F2919" t="s">
        <v>5010</v>
      </c>
      <c r="G2919" t="s">
        <v>39</v>
      </c>
      <c r="H2919">
        <v>1987</v>
      </c>
      <c r="I2919">
        <v>25.899999618530298</v>
      </c>
      <c r="J2919">
        <v>12.300000190734901</v>
      </c>
      <c r="K2919">
        <v>66</v>
      </c>
      <c r="L2919">
        <v>9.6700000762939506</v>
      </c>
      <c r="M2919">
        <v>35</v>
      </c>
      <c r="N2919">
        <v>16.5</v>
      </c>
      <c r="O2919">
        <v>18.5</v>
      </c>
      <c r="P2919">
        <v>25.299999237060501</v>
      </c>
      <c r="Q2919">
        <v>25.200000762939499</v>
      </c>
      <c r="R2919">
        <v>27.200000762939499</v>
      </c>
      <c r="S2919">
        <v>25</v>
      </c>
      <c r="T2919">
        <v>2585</v>
      </c>
      <c r="U2919">
        <v>430</v>
      </c>
      <c r="V2919">
        <v>11</v>
      </c>
      <c r="W2919">
        <v>65</v>
      </c>
      <c r="X2919">
        <v>1162</v>
      </c>
      <c r="Y2919">
        <v>86</v>
      </c>
      <c r="Z2919">
        <v>511</v>
      </c>
      <c r="AA2919">
        <v>1159</v>
      </c>
      <c r="AB2919">
        <v>18.1311986725906</v>
      </c>
      <c r="AC2919">
        <v>1.0761176361221E-2</v>
      </c>
      <c r="AD2919">
        <v>4.55169911877862</v>
      </c>
      <c r="AE2919">
        <v>0.27832128331065198</v>
      </c>
      <c r="AF2919">
        <v>257.43793103448297</v>
      </c>
      <c r="AG2919">
        <f>IFERROR(AH2919*0.1, "N/A")</f>
        <v>5.3141379310344803</v>
      </c>
      <c r="AH2919">
        <v>53.141379310344803</v>
      </c>
      <c r="AI2919">
        <v>94.820793191317904</v>
      </c>
      <c r="AJ2919">
        <v>24.1327586206897</v>
      </c>
      <c r="AK2919">
        <v>56.1327586206897</v>
      </c>
    </row>
    <row r="2920" spans="1:37" x14ac:dyDescent="0.3">
      <c r="A2920">
        <v>2919</v>
      </c>
      <c r="B2920">
        <v>9.9</v>
      </c>
      <c r="C2920">
        <v>-10.853</v>
      </c>
      <c r="D2920">
        <v>8.4320000000000004</v>
      </c>
      <c r="E2920">
        <f>-10.853-8.432</f>
        <v>-19.285</v>
      </c>
      <c r="F2920" t="s">
        <v>5011</v>
      </c>
      <c r="G2920" t="s">
        <v>37</v>
      </c>
      <c r="H2920">
        <v>1987</v>
      </c>
      <c r="I2920">
        <v>25.899999618530298</v>
      </c>
      <c r="J2920">
        <v>12.300000190734901</v>
      </c>
      <c r="K2920">
        <v>66</v>
      </c>
      <c r="L2920">
        <v>9.6700000762939506</v>
      </c>
      <c r="M2920">
        <v>35</v>
      </c>
      <c r="N2920">
        <v>16.5</v>
      </c>
      <c r="O2920">
        <v>18.5</v>
      </c>
      <c r="P2920">
        <v>25.299999237060501</v>
      </c>
      <c r="Q2920">
        <v>25.200000762939499</v>
      </c>
      <c r="R2920">
        <v>27.200000762939499</v>
      </c>
      <c r="S2920">
        <v>25</v>
      </c>
      <c r="T2920">
        <v>2585</v>
      </c>
      <c r="U2920">
        <v>430</v>
      </c>
      <c r="V2920">
        <v>11</v>
      </c>
      <c r="W2920">
        <v>65</v>
      </c>
      <c r="X2920">
        <v>1162</v>
      </c>
      <c r="Y2920">
        <v>86</v>
      </c>
      <c r="Z2920">
        <v>511</v>
      </c>
      <c r="AA2920">
        <v>1159</v>
      </c>
      <c r="AB2920">
        <v>18.1311986725906</v>
      </c>
      <c r="AC2920">
        <v>1.0761176361221E-2</v>
      </c>
      <c r="AD2920">
        <v>4.55169911877862</v>
      </c>
      <c r="AE2920">
        <v>0.27832128331065198</v>
      </c>
      <c r="AF2920">
        <v>257.43793103448297</v>
      </c>
      <c r="AG2920">
        <f>IFERROR(AH2920*0.1, "N/A")</f>
        <v>5.3141379310344803</v>
      </c>
      <c r="AH2920">
        <v>53.141379310344803</v>
      </c>
      <c r="AI2920">
        <v>94.820793191317904</v>
      </c>
      <c r="AJ2920">
        <v>24.1327586206897</v>
      </c>
      <c r="AK2920">
        <v>56.1327586206897</v>
      </c>
    </row>
    <row r="2921" spans="1:37" x14ac:dyDescent="0.3">
      <c r="A2921">
        <v>2920</v>
      </c>
      <c r="B2921">
        <v>38</v>
      </c>
      <c r="C2921">
        <v>-13.1694</v>
      </c>
      <c r="D2921">
        <v>8.4486100000000004</v>
      </c>
      <c r="E2921">
        <f>-13.1694-8.44861</f>
        <v>-21.618009999999998</v>
      </c>
      <c r="F2921" t="s">
        <v>5012</v>
      </c>
      <c r="G2921" t="s">
        <v>37</v>
      </c>
      <c r="H2921">
        <v>2007</v>
      </c>
      <c r="I2921">
        <v>26.100000381469702</v>
      </c>
      <c r="J2921">
        <v>6.1999998092651403</v>
      </c>
      <c r="K2921">
        <v>77</v>
      </c>
      <c r="L2921">
        <v>6.8400001525878897</v>
      </c>
      <c r="M2921">
        <v>30.5</v>
      </c>
      <c r="N2921">
        <v>22.5</v>
      </c>
      <c r="O2921">
        <v>8</v>
      </c>
      <c r="P2921">
        <v>25.100000381469702</v>
      </c>
      <c r="Q2921">
        <v>26.399999618530298</v>
      </c>
      <c r="R2921">
        <v>26.899999618530298</v>
      </c>
      <c r="S2921">
        <v>25.100000381469702</v>
      </c>
      <c r="T2921">
        <v>3658</v>
      </c>
      <c r="U2921">
        <v>921</v>
      </c>
      <c r="V2921">
        <v>7</v>
      </c>
      <c r="W2921">
        <v>108</v>
      </c>
      <c r="X2921">
        <v>2465</v>
      </c>
      <c r="Y2921">
        <v>33</v>
      </c>
      <c r="Z2921">
        <v>282</v>
      </c>
      <c r="AA2921">
        <v>2465</v>
      </c>
      <c r="AB2921">
        <v>30.437995910644499</v>
      </c>
      <c r="AC2921">
        <v>1.2561241687567001E-2</v>
      </c>
      <c r="AD2921">
        <v>2.8321816966529498</v>
      </c>
      <c r="AE2921">
        <v>0.91285991668701205</v>
      </c>
      <c r="AF2921">
        <v>49.7046632124352</v>
      </c>
      <c r="AG2921">
        <f>IFERROR(AH2921*0.1, "N/A")</f>
        <v>6</v>
      </c>
      <c r="AH2921">
        <v>60</v>
      </c>
      <c r="AI2921">
        <v>75.076254269825597</v>
      </c>
      <c r="AJ2921">
        <v>25</v>
      </c>
      <c r="AK2921">
        <v>54</v>
      </c>
    </row>
    <row r="2922" spans="1:37" x14ac:dyDescent="0.3">
      <c r="A2922">
        <v>2921</v>
      </c>
      <c r="B2922">
        <v>9.3000000000000007</v>
      </c>
      <c r="C2922">
        <v>-13.1694</v>
      </c>
      <c r="D2922">
        <v>8.4486100000000004</v>
      </c>
      <c r="E2922">
        <f>-13.1694-8.44861</f>
        <v>-21.618009999999998</v>
      </c>
      <c r="F2922" t="s">
        <v>5013</v>
      </c>
      <c r="G2922" t="s">
        <v>39</v>
      </c>
      <c r="H2922">
        <v>2007</v>
      </c>
      <c r="I2922">
        <v>26.100000381469702</v>
      </c>
      <c r="J2922">
        <v>6.1999998092651403</v>
      </c>
      <c r="K2922">
        <v>77</v>
      </c>
      <c r="L2922">
        <v>6.8400001525878897</v>
      </c>
      <c r="M2922">
        <v>30.5</v>
      </c>
      <c r="N2922">
        <v>22.5</v>
      </c>
      <c r="O2922">
        <v>8</v>
      </c>
      <c r="P2922">
        <v>25.100000381469702</v>
      </c>
      <c r="Q2922">
        <v>26.399999618530298</v>
      </c>
      <c r="R2922">
        <v>26.899999618530298</v>
      </c>
      <c r="S2922">
        <v>25.100000381469702</v>
      </c>
      <c r="T2922">
        <v>3658</v>
      </c>
      <c r="U2922">
        <v>921</v>
      </c>
      <c r="V2922">
        <v>7</v>
      </c>
      <c r="W2922">
        <v>108</v>
      </c>
      <c r="X2922">
        <v>2465</v>
      </c>
      <c r="Y2922">
        <v>33</v>
      </c>
      <c r="Z2922">
        <v>282</v>
      </c>
      <c r="AA2922">
        <v>2465</v>
      </c>
      <c r="AB2922">
        <v>30.437995910644499</v>
      </c>
      <c r="AC2922">
        <v>1.2561241687567001E-2</v>
      </c>
      <c r="AD2922">
        <v>2.8321816966529498</v>
      </c>
      <c r="AE2922">
        <v>0.91285991668701205</v>
      </c>
      <c r="AF2922">
        <v>49.7046632124352</v>
      </c>
      <c r="AG2922">
        <f>IFERROR(AH2922*0.1, "N/A")</f>
        <v>6</v>
      </c>
      <c r="AH2922">
        <v>60</v>
      </c>
      <c r="AI2922">
        <v>75.076254269825597</v>
      </c>
      <c r="AJ2922">
        <v>25</v>
      </c>
      <c r="AK2922">
        <v>54</v>
      </c>
    </row>
    <row r="2923" spans="1:37" x14ac:dyDescent="0.3">
      <c r="A2923">
        <v>2922</v>
      </c>
      <c r="B2923">
        <v>60</v>
      </c>
      <c r="C2923">
        <v>-10.936999999999999</v>
      </c>
      <c r="D2923">
        <v>8.4659999999999993</v>
      </c>
      <c r="E2923">
        <f>-10.937-8.466</f>
        <v>-19.402999999999999</v>
      </c>
      <c r="F2923" t="s">
        <v>5014</v>
      </c>
      <c r="G2923" t="s">
        <v>39</v>
      </c>
      <c r="H2923">
        <v>1987</v>
      </c>
      <c r="I2923">
        <v>25.700000762939499</v>
      </c>
      <c r="J2923">
        <v>12.199999809265099</v>
      </c>
      <c r="K2923">
        <v>65.922010398613494</v>
      </c>
      <c r="L2923">
        <v>9.7367417618141605</v>
      </c>
      <c r="M2923">
        <v>34.799999237060497</v>
      </c>
      <c r="N2923">
        <v>16.392200628641</v>
      </c>
      <c r="O2923">
        <v>18.407798608419601</v>
      </c>
      <c r="P2923">
        <v>24.899999618530298</v>
      </c>
      <c r="Q2923">
        <v>24.899999618530298</v>
      </c>
      <c r="R2923">
        <v>27</v>
      </c>
      <c r="S2923">
        <v>24.899999618530298</v>
      </c>
      <c r="T2923">
        <v>2587.7660311958398</v>
      </c>
      <c r="U2923">
        <v>437.07798960138598</v>
      </c>
      <c r="V2923">
        <v>11</v>
      </c>
      <c r="W2923">
        <v>66</v>
      </c>
      <c r="X2923">
        <v>1175.9220103986099</v>
      </c>
      <c r="Y2923">
        <v>87</v>
      </c>
      <c r="Z2923">
        <v>500.84402079722702</v>
      </c>
      <c r="AA2923">
        <v>232</v>
      </c>
      <c r="AB2923">
        <v>14.202949669373499</v>
      </c>
      <c r="AC2923">
        <v>2.2028100767222999E-2</v>
      </c>
      <c r="AD2923">
        <v>6.7886809476326802</v>
      </c>
      <c r="AE2923">
        <v>0.19929862921118099</v>
      </c>
      <c r="AF2923">
        <v>324.324090121317</v>
      </c>
      <c r="AG2923">
        <f>IFERROR(AH2923*0.1, "N/A")</f>
        <v>5.0480069324090104</v>
      </c>
      <c r="AH2923">
        <v>50.480069324090103</v>
      </c>
      <c r="AI2923">
        <v>85.639380481462098</v>
      </c>
      <c r="AJ2923">
        <v>30.7798960138648</v>
      </c>
      <c r="AK2923">
        <v>49.740034662045097</v>
      </c>
    </row>
    <row r="2924" spans="1:37" x14ac:dyDescent="0.3">
      <c r="A2924">
        <v>2923</v>
      </c>
      <c r="B2924">
        <v>0</v>
      </c>
      <c r="C2924">
        <v>-10.9833</v>
      </c>
      <c r="D2924">
        <v>8.4666700000000006</v>
      </c>
      <c r="E2924">
        <f>-10.9833-8.46667</f>
        <v>-19.44997</v>
      </c>
      <c r="F2924" t="s">
        <v>5015</v>
      </c>
      <c r="G2924" t="s">
        <v>39</v>
      </c>
      <c r="H2924">
        <v>1987</v>
      </c>
      <c r="I2924">
        <v>25.399999618530298</v>
      </c>
      <c r="J2924">
        <v>12.093771984007899</v>
      </c>
      <c r="K2924">
        <v>66</v>
      </c>
      <c r="L2924">
        <v>9.3806228060210906</v>
      </c>
      <c r="M2924">
        <v>34.438236236572301</v>
      </c>
      <c r="N2924">
        <v>16.199134859659299</v>
      </c>
      <c r="O2924">
        <v>18.239100393539498</v>
      </c>
      <c r="P2924">
        <v>24.638235821443399</v>
      </c>
      <c r="Q2924">
        <v>24.744463752297801</v>
      </c>
      <c r="R2924">
        <v>26.738235473632798</v>
      </c>
      <c r="S2924">
        <v>24.628028170047699</v>
      </c>
      <c r="T2924">
        <v>2596.0449826989602</v>
      </c>
      <c r="U2924">
        <v>443.10207612456702</v>
      </c>
      <c r="V2924">
        <v>11</v>
      </c>
      <c r="W2924">
        <v>66</v>
      </c>
      <c r="X2924">
        <v>1188.3200692041501</v>
      </c>
      <c r="Y2924">
        <v>88.546712802768198</v>
      </c>
      <c r="Z2924">
        <v>496.34256055363301</v>
      </c>
      <c r="AA2924">
        <v>657.74394463667795</v>
      </c>
      <c r="AB2924">
        <v>7.48998210339398</v>
      </c>
      <c r="AC2924">
        <v>13.9795850658512</v>
      </c>
      <c r="AD2924">
        <v>4.1765763083131304</v>
      </c>
      <c r="AE2924">
        <v>0.223145246505737</v>
      </c>
      <c r="AF2924">
        <v>352.34429065743899</v>
      </c>
      <c r="AG2924">
        <f>IFERROR(AH2924*0.1, "N/A")</f>
        <v>5.0835640138408307</v>
      </c>
      <c r="AH2924">
        <v>50.835640138408301</v>
      </c>
      <c r="AI2924">
        <v>127.727427149314</v>
      </c>
      <c r="AJ2924">
        <v>32.671280276816603</v>
      </c>
      <c r="AK2924">
        <v>49.328719723183397</v>
      </c>
    </row>
    <row r="2925" spans="1:37" x14ac:dyDescent="0.3">
      <c r="A2925">
        <v>2924</v>
      </c>
      <c r="B2925">
        <v>3.6</v>
      </c>
      <c r="C2925">
        <v>-13.2006</v>
      </c>
      <c r="D2925">
        <v>8.4755299999999991</v>
      </c>
      <c r="E2925">
        <f>-13.2006-8.47553</f>
        <v>-21.676130000000001</v>
      </c>
      <c r="F2925" t="s">
        <v>5016</v>
      </c>
      <c r="G2925" t="s">
        <v>37</v>
      </c>
      <c r="H2925">
        <v>2007</v>
      </c>
      <c r="I2925">
        <v>26.201563258965798</v>
      </c>
      <c r="J2925">
        <v>6</v>
      </c>
      <c r="K2925">
        <v>74.9947916666667</v>
      </c>
      <c r="L2925">
        <v>6.93197899560134</v>
      </c>
      <c r="M2925">
        <v>30.6015628774961</v>
      </c>
      <c r="N2925">
        <v>22.601042042175902</v>
      </c>
      <c r="O2925">
        <v>8.0005208353201507</v>
      </c>
      <c r="P2925">
        <v>25.201042423645699</v>
      </c>
      <c r="Q2925">
        <v>26.402082949876799</v>
      </c>
      <c r="R2925">
        <v>27.1015628774961</v>
      </c>
      <c r="S2925">
        <v>25.201042423645699</v>
      </c>
      <c r="T2925">
        <v>3517.515625</v>
      </c>
      <c r="U2925">
        <v>881.875</v>
      </c>
      <c r="V2925">
        <v>6.9947916666666696</v>
      </c>
      <c r="W2925">
        <v>107</v>
      </c>
      <c r="X2925">
        <v>2365.6875</v>
      </c>
      <c r="Y2925">
        <v>31.984375</v>
      </c>
      <c r="Z2925">
        <v>274.91145833333297</v>
      </c>
      <c r="AA2925">
        <v>2365.6875</v>
      </c>
      <c r="AB2925">
        <v>56.115972465939002</v>
      </c>
      <c r="AC2925">
        <v>3.078649969474E-2</v>
      </c>
      <c r="AD2925">
        <v>14.305784279273601</v>
      </c>
      <c r="AE2925">
        <v>0.863902628421783</v>
      </c>
      <c r="AF2925">
        <v>73.0972222222222</v>
      </c>
      <c r="AG2925">
        <f>IFERROR(AH2925*0.1, "N/A")</f>
        <v>5.9994791666666707</v>
      </c>
      <c r="AH2925">
        <v>59.9947916666667</v>
      </c>
      <c r="AI2925">
        <v>67.320937414964007</v>
      </c>
      <c r="AJ2925">
        <v>24.9947916666667</v>
      </c>
      <c r="AK2925">
        <v>53.0104166666667</v>
      </c>
    </row>
    <row r="2926" spans="1:37" x14ac:dyDescent="0.3">
      <c r="A2926">
        <v>2925</v>
      </c>
      <c r="B2926">
        <v>8.1999999999999993</v>
      </c>
      <c r="C2926">
        <v>-13.2006</v>
      </c>
      <c r="D2926">
        <v>8.4755299999999991</v>
      </c>
      <c r="E2926">
        <f>-13.2006-8.47553</f>
        <v>-21.676130000000001</v>
      </c>
      <c r="F2926" t="s">
        <v>5017</v>
      </c>
      <c r="G2926" t="s">
        <v>39</v>
      </c>
      <c r="H2926">
        <v>2007</v>
      </c>
      <c r="I2926">
        <v>26.201563258965798</v>
      </c>
      <c r="J2926">
        <v>6</v>
      </c>
      <c r="K2926">
        <v>74.9947916666667</v>
      </c>
      <c r="L2926">
        <v>6.93197899560134</v>
      </c>
      <c r="M2926">
        <v>30.6015628774961</v>
      </c>
      <c r="N2926">
        <v>22.601042042175902</v>
      </c>
      <c r="O2926">
        <v>8.0005208353201507</v>
      </c>
      <c r="P2926">
        <v>25.201042423645699</v>
      </c>
      <c r="Q2926">
        <v>26.402082949876799</v>
      </c>
      <c r="R2926">
        <v>27.1015628774961</v>
      </c>
      <c r="S2926">
        <v>25.201042423645699</v>
      </c>
      <c r="T2926">
        <v>3517.515625</v>
      </c>
      <c r="U2926">
        <v>881.875</v>
      </c>
      <c r="V2926">
        <v>6.9947916666666696</v>
      </c>
      <c r="W2926">
        <v>107</v>
      </c>
      <c r="X2926">
        <v>2365.6875</v>
      </c>
      <c r="Y2926">
        <v>31.984375</v>
      </c>
      <c r="Z2926">
        <v>274.91145833333297</v>
      </c>
      <c r="AA2926">
        <v>2365.6875</v>
      </c>
      <c r="AB2926">
        <v>56.115972465939002</v>
      </c>
      <c r="AC2926">
        <v>3.078649969474E-2</v>
      </c>
      <c r="AD2926">
        <v>14.305784279273601</v>
      </c>
      <c r="AE2926">
        <v>0.863902628421783</v>
      </c>
      <c r="AF2926">
        <v>73.0972222222222</v>
      </c>
      <c r="AG2926">
        <f>IFERROR(AH2926*0.1, "N/A")</f>
        <v>5.9994791666666707</v>
      </c>
      <c r="AH2926">
        <v>59.9947916666667</v>
      </c>
      <c r="AI2926">
        <v>67.320937414964007</v>
      </c>
      <c r="AJ2926">
        <v>24.9947916666667</v>
      </c>
      <c r="AK2926">
        <v>53.0104166666667</v>
      </c>
    </row>
    <row r="2927" spans="1:37" x14ac:dyDescent="0.3">
      <c r="A2927">
        <v>2926</v>
      </c>
      <c r="B2927">
        <v>14.1</v>
      </c>
      <c r="C2927">
        <v>-13.2028</v>
      </c>
      <c r="D2927">
        <v>8.4805100000000007</v>
      </c>
      <c r="E2927">
        <f>-13.2028-8.48051</f>
        <v>-21.683309999999999</v>
      </c>
      <c r="F2927" t="s">
        <v>5018</v>
      </c>
      <c r="G2927" t="s">
        <v>37</v>
      </c>
      <c r="H2927">
        <v>2007</v>
      </c>
      <c r="I2927">
        <v>26.200000762939499</v>
      </c>
      <c r="J2927">
        <v>6</v>
      </c>
      <c r="K2927">
        <v>75</v>
      </c>
      <c r="L2927">
        <v>6.9299998283386204</v>
      </c>
      <c r="M2927">
        <v>30.600000381469702</v>
      </c>
      <c r="N2927">
        <v>22.600000381469702</v>
      </c>
      <c r="O2927">
        <v>8</v>
      </c>
      <c r="P2927">
        <v>25.200000762939499</v>
      </c>
      <c r="Q2927">
        <v>26.399999618530298</v>
      </c>
      <c r="R2927">
        <v>27.100000381469702</v>
      </c>
      <c r="S2927">
        <v>25.200000762939499</v>
      </c>
      <c r="T2927">
        <v>3518</v>
      </c>
      <c r="U2927">
        <v>882</v>
      </c>
      <c r="V2927">
        <v>7</v>
      </c>
      <c r="W2927">
        <v>107</v>
      </c>
      <c r="X2927">
        <v>2366</v>
      </c>
      <c r="Y2927">
        <v>32</v>
      </c>
      <c r="Z2927">
        <v>275</v>
      </c>
      <c r="AA2927">
        <v>2366</v>
      </c>
      <c r="AB2927">
        <v>7.7436035568649704</v>
      </c>
      <c r="AC2927">
        <v>2.0950187261106999E-2</v>
      </c>
      <c r="AD2927">
        <v>7.7057923876685201</v>
      </c>
      <c r="AE2927">
        <v>0.87485402822494496</v>
      </c>
      <c r="AF2927">
        <v>29.500860585197898</v>
      </c>
      <c r="AG2927">
        <f>IFERROR(AH2927*0.1, "N/A")</f>
        <v>6.1439252336448602</v>
      </c>
      <c r="AH2927">
        <v>61.439252336448597</v>
      </c>
      <c r="AI2927">
        <v>32.663216533431097</v>
      </c>
      <c r="AJ2927">
        <v>21.595794392523398</v>
      </c>
      <c r="AK2927">
        <v>54.264018691588802</v>
      </c>
    </row>
    <row r="2928" spans="1:37" x14ac:dyDescent="0.3">
      <c r="A2928">
        <v>2927</v>
      </c>
      <c r="B2928">
        <v>16.899999999999999</v>
      </c>
      <c r="C2928">
        <v>-13.2028</v>
      </c>
      <c r="D2928">
        <v>8.4805100000000007</v>
      </c>
      <c r="E2928">
        <f>-13.2028-8.48051</f>
        <v>-21.683309999999999</v>
      </c>
      <c r="F2928" t="s">
        <v>5019</v>
      </c>
      <c r="G2928" t="s">
        <v>39</v>
      </c>
      <c r="H2928">
        <v>2007</v>
      </c>
      <c r="I2928">
        <v>26.200000762939499</v>
      </c>
      <c r="J2928">
        <v>6</v>
      </c>
      <c r="K2928">
        <v>75</v>
      </c>
      <c r="L2928">
        <v>6.9299998283386204</v>
      </c>
      <c r="M2928">
        <v>30.600000381469702</v>
      </c>
      <c r="N2928">
        <v>22.600000381469702</v>
      </c>
      <c r="O2928">
        <v>8</v>
      </c>
      <c r="P2928">
        <v>25.200000762939499</v>
      </c>
      <c r="Q2928">
        <v>26.399999618530298</v>
      </c>
      <c r="R2928">
        <v>27.100000381469702</v>
      </c>
      <c r="S2928">
        <v>25.200000762939499</v>
      </c>
      <c r="T2928">
        <v>3518</v>
      </c>
      <c r="U2928">
        <v>882</v>
      </c>
      <c r="V2928">
        <v>7</v>
      </c>
      <c r="W2928">
        <v>107</v>
      </c>
      <c r="X2928">
        <v>2366</v>
      </c>
      <c r="Y2928">
        <v>32</v>
      </c>
      <c r="Z2928">
        <v>275</v>
      </c>
      <c r="AA2928">
        <v>2366</v>
      </c>
      <c r="AB2928">
        <v>7.7436035568649704</v>
      </c>
      <c r="AC2928">
        <v>2.0950187261106999E-2</v>
      </c>
      <c r="AD2928">
        <v>7.7057923876685201</v>
      </c>
      <c r="AE2928">
        <v>0.87485402822494496</v>
      </c>
      <c r="AF2928">
        <v>29.500860585197898</v>
      </c>
      <c r="AG2928">
        <f>IFERROR(AH2928*0.1, "N/A")</f>
        <v>6.1439252336448602</v>
      </c>
      <c r="AH2928">
        <v>61.439252336448597</v>
      </c>
      <c r="AI2928">
        <v>32.663216533431097</v>
      </c>
      <c r="AJ2928">
        <v>21.595794392523398</v>
      </c>
      <c r="AK2928">
        <v>54.264018691588802</v>
      </c>
    </row>
    <row r="2929" spans="1:37" x14ac:dyDescent="0.3">
      <c r="A2929">
        <v>2928</v>
      </c>
      <c r="B2929">
        <v>19</v>
      </c>
      <c r="C2929">
        <v>-13.229900000000001</v>
      </c>
      <c r="D2929">
        <v>8.4822299999999995</v>
      </c>
      <c r="E2929">
        <f>-13.2299-8.48223</f>
        <v>-21.712130000000002</v>
      </c>
      <c r="F2929" t="s">
        <v>5020</v>
      </c>
      <c r="G2929" t="s">
        <v>37</v>
      </c>
      <c r="H2929">
        <v>2007</v>
      </c>
      <c r="I2929">
        <v>26</v>
      </c>
      <c r="J2929">
        <v>6</v>
      </c>
      <c r="K2929">
        <v>75</v>
      </c>
      <c r="L2929">
        <v>7.0999999046325701</v>
      </c>
      <c r="M2929">
        <v>30.299999237060501</v>
      </c>
      <c r="N2929">
        <v>22.299999237060501</v>
      </c>
      <c r="O2929">
        <v>8</v>
      </c>
      <c r="P2929">
        <v>24.899999618530298</v>
      </c>
      <c r="Q2929">
        <v>26.200000762939499</v>
      </c>
      <c r="R2929">
        <v>26.899999618530298</v>
      </c>
      <c r="S2929">
        <v>24.899999618530298</v>
      </c>
      <c r="T2929">
        <v>3647</v>
      </c>
      <c r="U2929">
        <v>924</v>
      </c>
      <c r="V2929">
        <v>7</v>
      </c>
      <c r="W2929">
        <v>108</v>
      </c>
      <c r="X2929">
        <v>2463</v>
      </c>
      <c r="Y2929">
        <v>33</v>
      </c>
      <c r="Z2929">
        <v>287</v>
      </c>
      <c r="AA2929">
        <v>2463</v>
      </c>
      <c r="AB2929">
        <v>24.055189944468601</v>
      </c>
      <c r="AC2929">
        <v>3.2274074195062001E-2</v>
      </c>
      <c r="AD2929">
        <v>6.4171823547785696</v>
      </c>
      <c r="AE2929">
        <v>0.862557113170624</v>
      </c>
      <c r="AF2929">
        <v>61.782006920415199</v>
      </c>
      <c r="AG2929">
        <f>IFERROR(AH2929*0.1, "N/A")</f>
        <v>6.1048442906574403</v>
      </c>
      <c r="AH2929">
        <v>61.048442906574401</v>
      </c>
      <c r="AI2929">
        <v>62.371119053718502</v>
      </c>
      <c r="AJ2929">
        <v>25.968858131487899</v>
      </c>
      <c r="AK2929">
        <v>51.252595155709301</v>
      </c>
    </row>
    <row r="2930" spans="1:37" x14ac:dyDescent="0.3">
      <c r="A2930">
        <v>2929</v>
      </c>
      <c r="B2930">
        <v>6.5</v>
      </c>
      <c r="C2930">
        <v>-13.229900000000001</v>
      </c>
      <c r="D2930">
        <v>8.4822299999999995</v>
      </c>
      <c r="E2930">
        <f>-13.2299-8.48223</f>
        <v>-21.712130000000002</v>
      </c>
      <c r="F2930" t="s">
        <v>5021</v>
      </c>
      <c r="G2930" t="s">
        <v>39</v>
      </c>
      <c r="H2930">
        <v>2007</v>
      </c>
      <c r="I2930">
        <v>26</v>
      </c>
      <c r="J2930">
        <v>6</v>
      </c>
      <c r="K2930">
        <v>75</v>
      </c>
      <c r="L2930">
        <v>7.0999999046325701</v>
      </c>
      <c r="M2930">
        <v>30.299999237060501</v>
      </c>
      <c r="N2930">
        <v>22.299999237060501</v>
      </c>
      <c r="O2930">
        <v>8</v>
      </c>
      <c r="P2930">
        <v>24.899999618530298</v>
      </c>
      <c r="Q2930">
        <v>26.200000762939499</v>
      </c>
      <c r="R2930">
        <v>26.899999618530298</v>
      </c>
      <c r="S2930">
        <v>24.899999618530298</v>
      </c>
      <c r="T2930">
        <v>3647</v>
      </c>
      <c r="U2930">
        <v>924</v>
      </c>
      <c r="V2930">
        <v>7</v>
      </c>
      <c r="W2930">
        <v>108</v>
      </c>
      <c r="X2930">
        <v>2463</v>
      </c>
      <c r="Y2930">
        <v>33</v>
      </c>
      <c r="Z2930">
        <v>287</v>
      </c>
      <c r="AA2930">
        <v>2463</v>
      </c>
      <c r="AB2930">
        <v>24.055189944468601</v>
      </c>
      <c r="AC2930">
        <v>3.2274074195062001E-2</v>
      </c>
      <c r="AD2930">
        <v>6.4171823547785696</v>
      </c>
      <c r="AE2930">
        <v>0.862557113170624</v>
      </c>
      <c r="AF2930">
        <v>61.782006920415199</v>
      </c>
      <c r="AG2930">
        <f>IFERROR(AH2930*0.1, "N/A")</f>
        <v>6.1048442906574403</v>
      </c>
      <c r="AH2930">
        <v>61.048442906574401</v>
      </c>
      <c r="AI2930">
        <v>62.371119053718502</v>
      </c>
      <c r="AJ2930">
        <v>25.968858131487899</v>
      </c>
      <c r="AK2930">
        <v>51.252595155709301</v>
      </c>
    </row>
    <row r="2931" spans="1:37" x14ac:dyDescent="0.3">
      <c r="A2931">
        <v>2930</v>
      </c>
      <c r="B2931">
        <v>0.6</v>
      </c>
      <c r="C2931">
        <v>-13.237</v>
      </c>
      <c r="D2931">
        <v>8.4860000000000007</v>
      </c>
      <c r="E2931">
        <f>-13.237-8.486</f>
        <v>-21.722999999999999</v>
      </c>
      <c r="F2931" t="s">
        <v>5022</v>
      </c>
      <c r="G2931" t="s">
        <v>39</v>
      </c>
      <c r="H2931">
        <v>1987</v>
      </c>
      <c r="I2931">
        <v>26.600000381469702</v>
      </c>
      <c r="J2931">
        <v>5.9000000953674299</v>
      </c>
      <c r="K2931">
        <v>73</v>
      </c>
      <c r="L2931">
        <v>7.53999996185303</v>
      </c>
      <c r="M2931">
        <v>30.899999618530298</v>
      </c>
      <c r="N2931">
        <v>22.899999618530298</v>
      </c>
      <c r="O2931">
        <v>8</v>
      </c>
      <c r="P2931">
        <v>25.5</v>
      </c>
      <c r="Q2931">
        <v>26.899999618530298</v>
      </c>
      <c r="R2931">
        <v>27.600000381469702</v>
      </c>
      <c r="S2931">
        <v>25.5</v>
      </c>
      <c r="T2931">
        <v>3443</v>
      </c>
      <c r="U2931">
        <v>877</v>
      </c>
      <c r="V2931">
        <v>7</v>
      </c>
      <c r="W2931">
        <v>109</v>
      </c>
      <c r="X2931">
        <v>2339</v>
      </c>
      <c r="Y2931">
        <v>30</v>
      </c>
      <c r="Z2931">
        <v>251</v>
      </c>
      <c r="AA2931">
        <v>2339</v>
      </c>
      <c r="AB2931">
        <v>28.464879953324999</v>
      </c>
      <c r="AC2931">
        <v>4.4753289855629999E-2</v>
      </c>
      <c r="AD2931">
        <v>3.7312162169948202</v>
      </c>
      <c r="AE2931">
        <v>0.87317257851465302</v>
      </c>
      <c r="AF2931">
        <v>32.147058823529399</v>
      </c>
      <c r="AG2931">
        <f>IFERROR(AH2931*0.1, "N/A")</f>
        <v>6.5031141868512101</v>
      </c>
      <c r="AH2931">
        <v>65.031141868512094</v>
      </c>
      <c r="AI2931">
        <v>302.55600128701798</v>
      </c>
      <c r="AJ2931">
        <v>26.647058823529399</v>
      </c>
      <c r="AK2931">
        <v>49.301038062283702</v>
      </c>
    </row>
    <row r="2932" spans="1:37" x14ac:dyDescent="0.3">
      <c r="A2932">
        <v>2931</v>
      </c>
      <c r="B2932">
        <v>0</v>
      </c>
      <c r="C2932">
        <v>-13.237</v>
      </c>
      <c r="D2932">
        <v>8.4860000000000007</v>
      </c>
      <c r="E2932">
        <f>-13.237-8.486</f>
        <v>-21.722999999999999</v>
      </c>
      <c r="F2932" t="s">
        <v>5023</v>
      </c>
      <c r="G2932" t="s">
        <v>37</v>
      </c>
      <c r="H2932">
        <v>1987</v>
      </c>
      <c r="I2932">
        <v>26.600000381469702</v>
      </c>
      <c r="J2932">
        <v>5.9000000953674299</v>
      </c>
      <c r="K2932">
        <v>73</v>
      </c>
      <c r="L2932">
        <v>7.53999996185303</v>
      </c>
      <c r="M2932">
        <v>30.899999618530298</v>
      </c>
      <c r="N2932">
        <v>22.899999618530298</v>
      </c>
      <c r="O2932">
        <v>8</v>
      </c>
      <c r="P2932">
        <v>25.5</v>
      </c>
      <c r="Q2932">
        <v>26.899999618530298</v>
      </c>
      <c r="R2932">
        <v>27.600000381469702</v>
      </c>
      <c r="S2932">
        <v>25.5</v>
      </c>
      <c r="T2932">
        <v>3443</v>
      </c>
      <c r="U2932">
        <v>877</v>
      </c>
      <c r="V2932">
        <v>7</v>
      </c>
      <c r="W2932">
        <v>109</v>
      </c>
      <c r="X2932">
        <v>2339</v>
      </c>
      <c r="Y2932">
        <v>30</v>
      </c>
      <c r="Z2932">
        <v>251</v>
      </c>
      <c r="AA2932">
        <v>2339</v>
      </c>
      <c r="AB2932">
        <v>28.464879953324999</v>
      </c>
      <c r="AC2932">
        <v>4.4753289855629999E-2</v>
      </c>
      <c r="AD2932">
        <v>3.7312162169948202</v>
      </c>
      <c r="AE2932">
        <v>0.87317257851465302</v>
      </c>
      <c r="AF2932">
        <v>32.147058823529399</v>
      </c>
      <c r="AG2932">
        <f>IFERROR(AH2932*0.1, "N/A")</f>
        <v>6.5031141868512101</v>
      </c>
      <c r="AH2932">
        <v>65.031141868512094</v>
      </c>
      <c r="AI2932">
        <v>302.55600128701798</v>
      </c>
      <c r="AJ2932">
        <v>26.647058823529399</v>
      </c>
      <c r="AK2932">
        <v>49.301038062283702</v>
      </c>
    </row>
    <row r="2933" spans="1:37" x14ac:dyDescent="0.3">
      <c r="A2933">
        <v>2932</v>
      </c>
      <c r="B2933">
        <v>7</v>
      </c>
      <c r="C2933">
        <v>-13.2119</v>
      </c>
      <c r="D2933">
        <v>8.4860699999999998</v>
      </c>
      <c r="E2933">
        <f>-13.2119-8.48607</f>
        <v>-21.697969999999998</v>
      </c>
      <c r="F2933" t="s">
        <v>5024</v>
      </c>
      <c r="G2933" t="s">
        <v>37</v>
      </c>
      <c r="H2933">
        <v>2007</v>
      </c>
      <c r="I2933">
        <v>26.399999618530298</v>
      </c>
      <c r="J2933">
        <v>6</v>
      </c>
      <c r="K2933">
        <v>75</v>
      </c>
      <c r="L2933">
        <v>6.9299998283386204</v>
      </c>
      <c r="M2933">
        <v>30.700000762939499</v>
      </c>
      <c r="N2933">
        <v>22.799999237060501</v>
      </c>
      <c r="O2933">
        <v>7.9000000953674299</v>
      </c>
      <c r="P2933">
        <v>25.399999618530298</v>
      </c>
      <c r="Q2933">
        <v>26.700000762939499</v>
      </c>
      <c r="R2933">
        <v>27.299999237060501</v>
      </c>
      <c r="S2933">
        <v>25.399999618530298</v>
      </c>
      <c r="T2933">
        <v>3428</v>
      </c>
      <c r="U2933">
        <v>862</v>
      </c>
      <c r="V2933">
        <v>6</v>
      </c>
      <c r="W2933">
        <v>107</v>
      </c>
      <c r="X2933">
        <v>2311</v>
      </c>
      <c r="Y2933">
        <v>30</v>
      </c>
      <c r="Z2933">
        <v>261</v>
      </c>
      <c r="AA2933">
        <v>2311</v>
      </c>
      <c r="AB2933">
        <v>24.759723275899901</v>
      </c>
      <c r="AC2933">
        <v>6.3098308533274999E-2</v>
      </c>
      <c r="AD2933">
        <v>1.75720575493243</v>
      </c>
      <c r="AE2933">
        <v>0.84286183056732</v>
      </c>
      <c r="AF2933">
        <v>27.3142361111111</v>
      </c>
      <c r="AG2933">
        <f>IFERROR(AH2933*0.1, "N/A")</f>
        <v>6.2864583333333304</v>
      </c>
      <c r="AH2933">
        <v>62.8645833333333</v>
      </c>
      <c r="AI2933">
        <v>42.978462477525099</v>
      </c>
      <c r="AJ2933">
        <v>22.9583333333333</v>
      </c>
      <c r="AK2933">
        <v>53.4427083333333</v>
      </c>
    </row>
    <row r="2934" spans="1:37" x14ac:dyDescent="0.3">
      <c r="A2934">
        <v>2933</v>
      </c>
      <c r="B2934">
        <v>5.2</v>
      </c>
      <c r="C2934">
        <v>-13.2119</v>
      </c>
      <c r="D2934">
        <v>8.4860699999999998</v>
      </c>
      <c r="E2934">
        <f>-13.2119-8.48607</f>
        <v>-21.697969999999998</v>
      </c>
      <c r="F2934" t="s">
        <v>5025</v>
      </c>
      <c r="G2934" t="s">
        <v>39</v>
      </c>
      <c r="H2934">
        <v>2007</v>
      </c>
      <c r="I2934">
        <v>26.399999618530298</v>
      </c>
      <c r="J2934">
        <v>6</v>
      </c>
      <c r="K2934">
        <v>75</v>
      </c>
      <c r="L2934">
        <v>6.9299998283386204</v>
      </c>
      <c r="M2934">
        <v>30.700000762939499</v>
      </c>
      <c r="N2934">
        <v>22.799999237060501</v>
      </c>
      <c r="O2934">
        <v>7.9000000953674299</v>
      </c>
      <c r="P2934">
        <v>25.399999618530298</v>
      </c>
      <c r="Q2934">
        <v>26.700000762939499</v>
      </c>
      <c r="R2934">
        <v>27.299999237060501</v>
      </c>
      <c r="S2934">
        <v>25.399999618530298</v>
      </c>
      <c r="T2934">
        <v>3428</v>
      </c>
      <c r="U2934">
        <v>862</v>
      </c>
      <c r="V2934">
        <v>6</v>
      </c>
      <c r="W2934">
        <v>107</v>
      </c>
      <c r="X2934">
        <v>2311</v>
      </c>
      <c r="Y2934">
        <v>30</v>
      </c>
      <c r="Z2934">
        <v>261</v>
      </c>
      <c r="AA2934">
        <v>2311</v>
      </c>
      <c r="AB2934">
        <v>24.759723275899901</v>
      </c>
      <c r="AC2934">
        <v>6.3098308533274999E-2</v>
      </c>
      <c r="AD2934">
        <v>1.75720575493243</v>
      </c>
      <c r="AE2934">
        <v>0.84286183056732</v>
      </c>
      <c r="AF2934">
        <v>27.3142361111111</v>
      </c>
      <c r="AG2934">
        <f>IFERROR(AH2934*0.1, "N/A")</f>
        <v>6.2864583333333304</v>
      </c>
      <c r="AH2934">
        <v>62.8645833333333</v>
      </c>
      <c r="AI2934">
        <v>42.978462477525099</v>
      </c>
      <c r="AJ2934">
        <v>22.9583333333333</v>
      </c>
      <c r="AK2934">
        <v>53.4427083333333</v>
      </c>
    </row>
    <row r="2935" spans="1:37" x14ac:dyDescent="0.3">
      <c r="A2935">
        <v>2934</v>
      </c>
      <c r="B2935">
        <v>11.8</v>
      </c>
      <c r="C2935">
        <v>-11.837</v>
      </c>
      <c r="D2935">
        <v>8.5180000000000007</v>
      </c>
      <c r="E2935">
        <f>-11.837-8.518</f>
        <v>-20.355</v>
      </c>
      <c r="F2935" t="s">
        <v>5026</v>
      </c>
      <c r="G2935" t="s">
        <v>39</v>
      </c>
      <c r="H2935">
        <v>1987</v>
      </c>
      <c r="I2935">
        <v>26.700000762939499</v>
      </c>
      <c r="J2935">
        <v>10.3999996185303</v>
      </c>
      <c r="K2935">
        <v>65</v>
      </c>
      <c r="L2935">
        <v>9.5799999237060494</v>
      </c>
      <c r="M2935">
        <v>35</v>
      </c>
      <c r="N2935">
        <v>19.100000381469702</v>
      </c>
      <c r="O2935">
        <v>15.8999996185303</v>
      </c>
      <c r="P2935">
        <v>25.600000381469702</v>
      </c>
      <c r="Q2935">
        <v>26.399999618530298</v>
      </c>
      <c r="R2935">
        <v>28</v>
      </c>
      <c r="S2935">
        <v>25.600000381469702</v>
      </c>
      <c r="T2935">
        <v>2983</v>
      </c>
      <c r="U2935">
        <v>626</v>
      </c>
      <c r="V2935">
        <v>5</v>
      </c>
      <c r="W2935">
        <v>86</v>
      </c>
      <c r="X2935">
        <v>1639</v>
      </c>
      <c r="Y2935">
        <v>45</v>
      </c>
      <c r="Z2935">
        <v>371</v>
      </c>
      <c r="AA2935">
        <v>1639</v>
      </c>
      <c r="AB2935">
        <v>1.28979238754325</v>
      </c>
      <c r="AC2935">
        <v>0.21557073241944</v>
      </c>
      <c r="AD2935">
        <v>1.7038847672073101</v>
      </c>
      <c r="AE2935">
        <v>0.23745961487293199</v>
      </c>
      <c r="AF2935">
        <v>88.444636678200695</v>
      </c>
      <c r="AG2935">
        <f>IFERROR(AH2935*0.1, "N/A")</f>
        <v>5.1525951557093403</v>
      </c>
      <c r="AH2935">
        <v>51.5259515570934</v>
      </c>
      <c r="AI2935">
        <v>146.31643594920001</v>
      </c>
      <c r="AJ2935">
        <v>29.7214532871972</v>
      </c>
      <c r="AK2935">
        <v>47.467128027681703</v>
      </c>
    </row>
    <row r="2936" spans="1:37" x14ac:dyDescent="0.3">
      <c r="A2936">
        <v>2935</v>
      </c>
      <c r="B2936">
        <v>0.1</v>
      </c>
      <c r="C2936">
        <v>-12.416700000000001</v>
      </c>
      <c r="D2936">
        <v>8.5667000000000009</v>
      </c>
      <c r="E2936">
        <f>-12.4167-8.5667</f>
        <v>-20.983400000000003</v>
      </c>
      <c r="F2936" t="s">
        <v>5027</v>
      </c>
      <c r="G2936" t="s">
        <v>39</v>
      </c>
      <c r="H2936">
        <v>1987</v>
      </c>
      <c r="I2936">
        <v>26.494973984293502</v>
      </c>
      <c r="J2936">
        <v>9.5861355105553798</v>
      </c>
      <c r="K2936">
        <v>66.861351819757402</v>
      </c>
      <c r="L2936">
        <v>10.0179721908305</v>
      </c>
      <c r="M2936">
        <v>34.294973317217398</v>
      </c>
      <c r="N2936">
        <v>20.008838855207902</v>
      </c>
      <c r="O2936">
        <v>14.286135319820501</v>
      </c>
      <c r="P2936">
        <v>25.281108710753401</v>
      </c>
      <c r="Q2936">
        <v>26.308838188131698</v>
      </c>
      <c r="R2936">
        <v>27.851645881216498</v>
      </c>
      <c r="S2936">
        <v>25.281108710753401</v>
      </c>
      <c r="T2936">
        <v>2837.8544194107499</v>
      </c>
      <c r="U2936">
        <v>620.11785095320602</v>
      </c>
      <c r="V2936">
        <v>6</v>
      </c>
      <c r="W2936">
        <v>89</v>
      </c>
      <c r="X2936">
        <v>1615.97573656846</v>
      </c>
      <c r="Y2936">
        <v>38</v>
      </c>
      <c r="Z2936">
        <v>311.86135181975698</v>
      </c>
      <c r="AA2936">
        <v>1615.97573656846</v>
      </c>
      <c r="AB2936">
        <v>1.1355272091447399</v>
      </c>
      <c r="AC2936">
        <v>1.0353124976623</v>
      </c>
      <c r="AD2936">
        <v>2.7118185322660699</v>
      </c>
      <c r="AE2936">
        <v>0.25773732263459298</v>
      </c>
      <c r="AF2936">
        <v>63.282495667244397</v>
      </c>
      <c r="AG2936">
        <f>IFERROR(AH2936*0.1, "N/A")</f>
        <v>5.2</v>
      </c>
      <c r="AH2936">
        <v>52</v>
      </c>
      <c r="AI2936">
        <v>190.298640074308</v>
      </c>
      <c r="AJ2936">
        <v>25</v>
      </c>
      <c r="AK2936">
        <v>56.655112651646498</v>
      </c>
    </row>
    <row r="2937" spans="1:37" x14ac:dyDescent="0.3">
      <c r="A2937">
        <v>2936</v>
      </c>
      <c r="B2937">
        <v>0</v>
      </c>
      <c r="C2937">
        <v>-12.416700000000001</v>
      </c>
      <c r="D2937">
        <v>8.5667000000000009</v>
      </c>
      <c r="E2937">
        <f>-12.4167-8.5667</f>
        <v>-20.983400000000003</v>
      </c>
      <c r="F2937" t="s">
        <v>5028</v>
      </c>
      <c r="G2937" t="s">
        <v>37</v>
      </c>
      <c r="H2937">
        <v>1987</v>
      </c>
      <c r="I2937">
        <v>26.494973984293502</v>
      </c>
      <c r="J2937">
        <v>9.5861355105553798</v>
      </c>
      <c r="K2937">
        <v>66.861351819757402</v>
      </c>
      <c r="L2937">
        <v>10.0179721908305</v>
      </c>
      <c r="M2937">
        <v>34.294973317217398</v>
      </c>
      <c r="N2937">
        <v>20.008838855207902</v>
      </c>
      <c r="O2937">
        <v>14.286135319820501</v>
      </c>
      <c r="P2937">
        <v>25.281108710753401</v>
      </c>
      <c r="Q2937">
        <v>26.308838188131698</v>
      </c>
      <c r="R2937">
        <v>27.851645881216498</v>
      </c>
      <c r="S2937">
        <v>25.281108710753401</v>
      </c>
      <c r="T2937">
        <v>2837.8544194107499</v>
      </c>
      <c r="U2937">
        <v>620.11785095320602</v>
      </c>
      <c r="V2937">
        <v>6</v>
      </c>
      <c r="W2937">
        <v>89</v>
      </c>
      <c r="X2937">
        <v>1615.97573656846</v>
      </c>
      <c r="Y2937">
        <v>38</v>
      </c>
      <c r="Z2937">
        <v>311.86135181975698</v>
      </c>
      <c r="AA2937">
        <v>1615.97573656846</v>
      </c>
      <c r="AB2937">
        <v>1.1355272091447399</v>
      </c>
      <c r="AC2937">
        <v>1.0353124976623</v>
      </c>
      <c r="AD2937">
        <v>2.7118185322660699</v>
      </c>
      <c r="AE2937">
        <v>0.25773732263459298</v>
      </c>
      <c r="AF2937">
        <v>63.282495667244397</v>
      </c>
      <c r="AG2937">
        <f>IFERROR(AH2937*0.1, "N/A")</f>
        <v>5.2</v>
      </c>
      <c r="AH2937">
        <v>52</v>
      </c>
      <c r="AI2937">
        <v>190.298640074308</v>
      </c>
      <c r="AJ2937">
        <v>25</v>
      </c>
      <c r="AK2937">
        <v>56.655112651646498</v>
      </c>
    </row>
    <row r="2938" spans="1:37" x14ac:dyDescent="0.3">
      <c r="A2938">
        <v>2937</v>
      </c>
      <c r="B2938">
        <v>42</v>
      </c>
      <c r="C2938">
        <v>-11.054</v>
      </c>
      <c r="D2938">
        <v>8.6150000000000002</v>
      </c>
      <c r="E2938">
        <f>-11.054-8.615</f>
        <v>-19.669</v>
      </c>
      <c r="F2938" t="s">
        <v>5029</v>
      </c>
      <c r="G2938" t="s">
        <v>39</v>
      </c>
      <c r="H2938">
        <v>1987</v>
      </c>
      <c r="I2938">
        <v>25.600000381469702</v>
      </c>
      <c r="J2938">
        <v>12.300000190734901</v>
      </c>
      <c r="K2938">
        <v>65</v>
      </c>
      <c r="L2938">
        <v>9.9700002670288104</v>
      </c>
      <c r="M2938">
        <v>34.799999237060497</v>
      </c>
      <c r="N2938">
        <v>15.8999996185303</v>
      </c>
      <c r="O2938">
        <v>18.899999618530298</v>
      </c>
      <c r="P2938">
        <v>24.899999618530298</v>
      </c>
      <c r="Q2938">
        <v>24.600000381469702</v>
      </c>
      <c r="R2938">
        <v>26.899999618530298</v>
      </c>
      <c r="S2938">
        <v>24.600000381469702</v>
      </c>
      <c r="T2938">
        <v>2552</v>
      </c>
      <c r="U2938">
        <v>447</v>
      </c>
      <c r="V2938">
        <v>11</v>
      </c>
      <c r="W2938">
        <v>68</v>
      </c>
      <c r="X2938">
        <v>1185</v>
      </c>
      <c r="Y2938">
        <v>85</v>
      </c>
      <c r="Z2938">
        <v>468</v>
      </c>
      <c r="AA2938">
        <v>222</v>
      </c>
      <c r="AB2938">
        <v>5.9493940277364104</v>
      </c>
      <c r="AC2938">
        <v>9.7015374535420001E-2</v>
      </c>
      <c r="AD2938">
        <v>3.7291756771259501</v>
      </c>
      <c r="AE2938">
        <v>0.34272888679851499</v>
      </c>
      <c r="AF2938">
        <v>385.66897746967101</v>
      </c>
      <c r="AG2938">
        <f>IFERROR(AH2938*0.1, "N/A")</f>
        <v>5.3675909878682901</v>
      </c>
      <c r="AH2938">
        <v>53.675909878682901</v>
      </c>
      <c r="AI2938">
        <v>133.18148490832999</v>
      </c>
      <c r="AJ2938">
        <v>27.055459272097099</v>
      </c>
      <c r="AK2938">
        <v>51.965337954939301</v>
      </c>
    </row>
    <row r="2939" spans="1:37" x14ac:dyDescent="0.3">
      <c r="A2939">
        <v>2938</v>
      </c>
      <c r="B2939">
        <v>12.6</v>
      </c>
      <c r="C2939">
        <v>-11.054</v>
      </c>
      <c r="D2939">
        <v>8.6150000000000002</v>
      </c>
      <c r="E2939">
        <f>-11.054-8.615</f>
        <v>-19.669</v>
      </c>
      <c r="F2939" t="s">
        <v>5030</v>
      </c>
      <c r="G2939" t="s">
        <v>37</v>
      </c>
      <c r="H2939">
        <v>1987</v>
      </c>
      <c r="I2939">
        <v>25.600000381469702</v>
      </c>
      <c r="J2939">
        <v>12.300000190734901</v>
      </c>
      <c r="K2939">
        <v>65</v>
      </c>
      <c r="L2939">
        <v>9.9700002670288104</v>
      </c>
      <c r="M2939">
        <v>34.799999237060497</v>
      </c>
      <c r="N2939">
        <v>15.8999996185303</v>
      </c>
      <c r="O2939">
        <v>18.899999618530298</v>
      </c>
      <c r="P2939">
        <v>24.899999618530298</v>
      </c>
      <c r="Q2939">
        <v>24.600000381469702</v>
      </c>
      <c r="R2939">
        <v>26.899999618530298</v>
      </c>
      <c r="S2939">
        <v>24.600000381469702</v>
      </c>
      <c r="T2939">
        <v>2552</v>
      </c>
      <c r="U2939">
        <v>447</v>
      </c>
      <c r="V2939">
        <v>11</v>
      </c>
      <c r="W2939">
        <v>68</v>
      </c>
      <c r="X2939">
        <v>1185</v>
      </c>
      <c r="Y2939">
        <v>85</v>
      </c>
      <c r="Z2939">
        <v>468</v>
      </c>
      <c r="AA2939">
        <v>222</v>
      </c>
      <c r="AB2939">
        <v>5.9493940277364104</v>
      </c>
      <c r="AC2939">
        <v>9.7015374535420001E-2</v>
      </c>
      <c r="AD2939">
        <v>3.7291756771259501</v>
      </c>
      <c r="AE2939">
        <v>0.34272888679851499</v>
      </c>
      <c r="AF2939">
        <v>385.66897746967101</v>
      </c>
      <c r="AG2939">
        <f>IFERROR(AH2939*0.1, "N/A")</f>
        <v>5.3675909878682901</v>
      </c>
      <c r="AH2939">
        <v>53.675909878682901</v>
      </c>
      <c r="AI2939">
        <v>133.18148490832999</v>
      </c>
      <c r="AJ2939">
        <v>27.055459272097099</v>
      </c>
      <c r="AK2939">
        <v>51.965337954939301</v>
      </c>
    </row>
    <row r="2940" spans="1:37" x14ac:dyDescent="0.3">
      <c r="A2940">
        <v>2939</v>
      </c>
      <c r="B2940">
        <v>27.5</v>
      </c>
      <c r="C2940">
        <v>-11.05</v>
      </c>
      <c r="D2940">
        <v>8.6166699999999992</v>
      </c>
      <c r="E2940">
        <f>-11.05-8.61667</f>
        <v>-19.66667</v>
      </c>
      <c r="F2940" t="s">
        <v>5031</v>
      </c>
      <c r="G2940" t="s">
        <v>37</v>
      </c>
      <c r="H2940">
        <v>1989</v>
      </c>
      <c r="I2940">
        <v>25.600000381469702</v>
      </c>
      <c r="J2940">
        <v>12.384401787505</v>
      </c>
      <c r="K2940">
        <v>65</v>
      </c>
      <c r="L2940">
        <v>10.0433273216261</v>
      </c>
      <c r="M2940">
        <v>34.8844032485935</v>
      </c>
      <c r="N2940">
        <v>15.8999996185303</v>
      </c>
      <c r="O2940">
        <v>18.984402020221399</v>
      </c>
      <c r="P2940">
        <v>24.899999618530298</v>
      </c>
      <c r="Q2940">
        <v>24.6663784509722</v>
      </c>
      <c r="R2940">
        <v>26.984402020221399</v>
      </c>
      <c r="S2940">
        <v>24.600000381469702</v>
      </c>
      <c r="T2940">
        <v>2547.9029462738299</v>
      </c>
      <c r="U2940">
        <v>446.63951473136899</v>
      </c>
      <c r="V2940">
        <v>11</v>
      </c>
      <c r="W2940">
        <v>68</v>
      </c>
      <c r="X2940">
        <v>1182.6481802426299</v>
      </c>
      <c r="Y2940">
        <v>84.7625649913345</v>
      </c>
      <c r="Z2940">
        <v>468</v>
      </c>
      <c r="AA2940">
        <v>220.61525129982701</v>
      </c>
      <c r="AB2940">
        <v>2.9043356963212199</v>
      </c>
      <c r="AC2940">
        <v>0.37685090505826302</v>
      </c>
      <c r="AD2940">
        <v>3.0756097587803599</v>
      </c>
      <c r="AE2940">
        <v>0.48281878232955899</v>
      </c>
      <c r="AF2940">
        <v>381.27729636048502</v>
      </c>
      <c r="AG2940">
        <f>IFERROR(AH2940*0.1, "N/A")</f>
        <v>5.2336221837088406</v>
      </c>
      <c r="AH2940">
        <v>52.336221837088402</v>
      </c>
      <c r="AI2940">
        <v>183.02925710165701</v>
      </c>
      <c r="AJ2940">
        <v>26</v>
      </c>
      <c r="AK2940">
        <v>52.663778162911598</v>
      </c>
    </row>
    <row r="2941" spans="1:37" x14ac:dyDescent="0.3">
      <c r="A2941">
        <v>2940</v>
      </c>
      <c r="B2941">
        <v>26.799999</v>
      </c>
      <c r="C2941">
        <v>-11.05</v>
      </c>
      <c r="D2941">
        <v>8.6166699999999992</v>
      </c>
      <c r="E2941">
        <f>-11.05-8.61667</f>
        <v>-19.66667</v>
      </c>
      <c r="F2941" t="s">
        <v>5032</v>
      </c>
      <c r="G2941" t="s">
        <v>39</v>
      </c>
      <c r="H2941">
        <v>1989</v>
      </c>
      <c r="I2941">
        <v>25.600000381469702</v>
      </c>
      <c r="J2941">
        <v>12.384401787505</v>
      </c>
      <c r="K2941">
        <v>65</v>
      </c>
      <c r="L2941">
        <v>10.0433273216261</v>
      </c>
      <c r="M2941">
        <v>34.8844032485935</v>
      </c>
      <c r="N2941">
        <v>15.8999996185303</v>
      </c>
      <c r="O2941">
        <v>18.984402020221399</v>
      </c>
      <c r="P2941">
        <v>24.899999618530298</v>
      </c>
      <c r="Q2941">
        <v>24.6663784509722</v>
      </c>
      <c r="R2941">
        <v>26.984402020221399</v>
      </c>
      <c r="S2941">
        <v>24.600000381469702</v>
      </c>
      <c r="T2941">
        <v>2547.9029462738299</v>
      </c>
      <c r="U2941">
        <v>446.63951473136899</v>
      </c>
      <c r="V2941">
        <v>11</v>
      </c>
      <c r="W2941">
        <v>68</v>
      </c>
      <c r="X2941">
        <v>1182.6481802426299</v>
      </c>
      <c r="Y2941">
        <v>84.7625649913345</v>
      </c>
      <c r="Z2941">
        <v>468</v>
      </c>
      <c r="AA2941">
        <v>220.61525129982701</v>
      </c>
      <c r="AB2941">
        <v>2.9043356963212199</v>
      </c>
      <c r="AC2941">
        <v>0.37685090505826302</v>
      </c>
      <c r="AD2941">
        <v>3.0756097587803599</v>
      </c>
      <c r="AE2941">
        <v>0.48281878232955899</v>
      </c>
      <c r="AF2941">
        <v>381.27729636048502</v>
      </c>
      <c r="AG2941">
        <f>IFERROR(AH2941*0.1, "N/A")</f>
        <v>5.2336221837088406</v>
      </c>
      <c r="AH2941">
        <v>52.336221837088402</v>
      </c>
      <c r="AI2941">
        <v>183.02925710165701</v>
      </c>
      <c r="AJ2941">
        <v>26</v>
      </c>
      <c r="AK2941">
        <v>52.663778162911598</v>
      </c>
    </row>
    <row r="2942" spans="1:37" x14ac:dyDescent="0.3">
      <c r="A2942">
        <v>2941</v>
      </c>
      <c r="B2942">
        <v>20</v>
      </c>
      <c r="C2942">
        <v>-11.66</v>
      </c>
      <c r="D2942">
        <v>8.6229999999999993</v>
      </c>
      <c r="E2942">
        <f>-11.66-8.623</f>
        <v>-20.283000000000001</v>
      </c>
      <c r="F2942" t="s">
        <v>5033</v>
      </c>
      <c r="G2942" t="s">
        <v>39</v>
      </c>
      <c r="H2942">
        <v>1987</v>
      </c>
      <c r="I2942">
        <v>25.5</v>
      </c>
      <c r="J2942">
        <v>10.800000190734901</v>
      </c>
      <c r="K2942">
        <v>65</v>
      </c>
      <c r="L2942">
        <v>9.7100000381469709</v>
      </c>
      <c r="M2942">
        <v>34.099998474121101</v>
      </c>
      <c r="N2942">
        <v>17.5</v>
      </c>
      <c r="O2942">
        <v>16.600000381469702</v>
      </c>
      <c r="P2942">
        <v>24.399999618530298</v>
      </c>
      <c r="Q2942">
        <v>25.100000381469702</v>
      </c>
      <c r="R2942">
        <v>26.799999237060501</v>
      </c>
      <c r="S2942">
        <v>24.399999618530298</v>
      </c>
      <c r="T2942">
        <v>2942</v>
      </c>
      <c r="U2942">
        <v>592</v>
      </c>
      <c r="V2942">
        <v>7</v>
      </c>
      <c r="W2942">
        <v>81</v>
      </c>
      <c r="X2942">
        <v>1556</v>
      </c>
      <c r="Y2942">
        <v>58</v>
      </c>
      <c r="Z2942">
        <v>416</v>
      </c>
      <c r="AA2942">
        <v>1556</v>
      </c>
      <c r="AB2942">
        <v>14.232077131600199</v>
      </c>
      <c r="AC2942">
        <v>2.9294572504045002E-2</v>
      </c>
      <c r="AD2942">
        <v>4.0584353586723099</v>
      </c>
      <c r="AE2942">
        <v>0.39407324790954601</v>
      </c>
      <c r="AF2942">
        <v>292.55</v>
      </c>
      <c r="AG2942">
        <f>IFERROR(AH2942*0.1, "N/A")</f>
        <v>4.9005172413793101</v>
      </c>
      <c r="AH2942">
        <v>49.005172413793098</v>
      </c>
      <c r="AI2942">
        <v>226.333916565468</v>
      </c>
      <c r="AJ2942">
        <v>32.375862068965503</v>
      </c>
      <c r="AK2942">
        <v>48.370689655172399</v>
      </c>
    </row>
    <row r="2943" spans="1:37" x14ac:dyDescent="0.3">
      <c r="A2943">
        <v>2942</v>
      </c>
      <c r="B2943">
        <v>75</v>
      </c>
      <c r="C2943">
        <v>-10.9833</v>
      </c>
      <c r="D2943">
        <v>8.6519999999999992</v>
      </c>
      <c r="E2943">
        <f>-10.9833-8.652</f>
        <v>-19.635300000000001</v>
      </c>
      <c r="F2943" t="s">
        <v>5034</v>
      </c>
      <c r="G2943" t="s">
        <v>39</v>
      </c>
      <c r="H2943">
        <v>1987</v>
      </c>
      <c r="I2943">
        <v>25.5162349496687</v>
      </c>
      <c r="J2943">
        <v>12.699999809265099</v>
      </c>
      <c r="K2943">
        <v>65</v>
      </c>
      <c r="L2943">
        <v>10.165388881439601</v>
      </c>
      <c r="M2943">
        <v>35</v>
      </c>
      <c r="N2943">
        <v>15.5162349496687</v>
      </c>
      <c r="O2943">
        <v>19.4837650503313</v>
      </c>
      <c r="P2943">
        <v>24.899999618530298</v>
      </c>
      <c r="Q2943">
        <v>24.600000381469702</v>
      </c>
      <c r="R2943">
        <v>27</v>
      </c>
      <c r="S2943">
        <v>24.5162349496687</v>
      </c>
      <c r="T2943">
        <v>2513.1623488773698</v>
      </c>
      <c r="U2943">
        <v>440</v>
      </c>
      <c r="V2943">
        <v>11</v>
      </c>
      <c r="W2943">
        <v>68</v>
      </c>
      <c r="X2943">
        <v>1159.1623488773701</v>
      </c>
      <c r="Y2943">
        <v>82</v>
      </c>
      <c r="Z2943">
        <v>466</v>
      </c>
      <c r="AA2943">
        <v>216</v>
      </c>
      <c r="AB2943">
        <v>27.004483395907499</v>
      </c>
      <c r="AC2943">
        <v>3.6174962022028002E-2</v>
      </c>
      <c r="AD2943">
        <v>4.5410037641904104</v>
      </c>
      <c r="AE2943">
        <v>0.70585167407989502</v>
      </c>
      <c r="AF2943">
        <v>392.33333333333297</v>
      </c>
      <c r="AG2943">
        <f>IFERROR(AH2943*0.1, "N/A")</f>
        <v>5.3837651122625205</v>
      </c>
      <c r="AH2943">
        <v>53.837651122625203</v>
      </c>
      <c r="AI2943">
        <v>253.256317454916</v>
      </c>
      <c r="AJ2943">
        <v>25.633851468048402</v>
      </c>
      <c r="AK2943">
        <v>53.699481865285001</v>
      </c>
    </row>
    <row r="2944" spans="1:37" x14ac:dyDescent="0.3">
      <c r="A2944">
        <v>2943</v>
      </c>
      <c r="B2944">
        <v>0</v>
      </c>
      <c r="C2944">
        <v>-10.9833</v>
      </c>
      <c r="D2944">
        <v>8.6519999999999992</v>
      </c>
      <c r="E2944">
        <f>-10.9833-8.652</f>
        <v>-19.635300000000001</v>
      </c>
      <c r="F2944" t="s">
        <v>5035</v>
      </c>
      <c r="G2944" t="s">
        <v>37</v>
      </c>
      <c r="H2944">
        <v>1987</v>
      </c>
      <c r="I2944">
        <v>25.5162349496687</v>
      </c>
      <c r="J2944">
        <v>12.699999809265099</v>
      </c>
      <c r="K2944">
        <v>65</v>
      </c>
      <c r="L2944">
        <v>10.165388881439601</v>
      </c>
      <c r="M2944">
        <v>35</v>
      </c>
      <c r="N2944">
        <v>15.5162349496687</v>
      </c>
      <c r="O2944">
        <v>19.4837650503313</v>
      </c>
      <c r="P2944">
        <v>24.899999618530298</v>
      </c>
      <c r="Q2944">
        <v>24.600000381469702</v>
      </c>
      <c r="R2944">
        <v>27</v>
      </c>
      <c r="S2944">
        <v>24.5162349496687</v>
      </c>
      <c r="T2944">
        <v>2513.1623488773698</v>
      </c>
      <c r="U2944">
        <v>440</v>
      </c>
      <c r="V2944">
        <v>11</v>
      </c>
      <c r="W2944">
        <v>68</v>
      </c>
      <c r="X2944">
        <v>1159.1623488773701</v>
      </c>
      <c r="Y2944">
        <v>82</v>
      </c>
      <c r="Z2944">
        <v>466</v>
      </c>
      <c r="AA2944">
        <v>216</v>
      </c>
      <c r="AB2944">
        <v>27.004483395907499</v>
      </c>
      <c r="AC2944">
        <v>3.6174962022028002E-2</v>
      </c>
      <c r="AD2944">
        <v>4.5410037641904104</v>
      </c>
      <c r="AE2944">
        <v>0.70585167407989502</v>
      </c>
      <c r="AF2944">
        <v>392.33333333333297</v>
      </c>
      <c r="AG2944">
        <f>IFERROR(AH2944*0.1, "N/A")</f>
        <v>5.3837651122625205</v>
      </c>
      <c r="AH2944">
        <v>53.837651122625203</v>
      </c>
      <c r="AI2944">
        <v>253.256317454916</v>
      </c>
      <c r="AJ2944">
        <v>25.633851468048402</v>
      </c>
      <c r="AK2944">
        <v>53.699481865285001</v>
      </c>
    </row>
    <row r="2945" spans="1:37" x14ac:dyDescent="0.3">
      <c r="A2945">
        <v>2944</v>
      </c>
      <c r="B2945">
        <v>38.099997999999999</v>
      </c>
      <c r="C2945">
        <v>-12.452</v>
      </c>
      <c r="D2945">
        <v>8.6669999999999998</v>
      </c>
      <c r="E2945">
        <f>-12.452-8.667</f>
        <v>-21.119</v>
      </c>
      <c r="F2945" t="s">
        <v>5036</v>
      </c>
      <c r="G2945" t="s">
        <v>39</v>
      </c>
      <c r="H2945">
        <v>1987</v>
      </c>
      <c r="I2945">
        <v>26.799999237060501</v>
      </c>
      <c r="J2945">
        <v>9.8558057639586494</v>
      </c>
      <c r="K2945">
        <v>66</v>
      </c>
      <c r="L2945">
        <v>10.7402249688292</v>
      </c>
      <c r="M2945">
        <v>34.855806406903703</v>
      </c>
      <c r="N2945">
        <v>20</v>
      </c>
      <c r="O2945">
        <v>14.8558057639586</v>
      </c>
      <c r="P2945">
        <v>25.399999618530298</v>
      </c>
      <c r="Q2945">
        <v>26.5558061054302</v>
      </c>
      <c r="R2945">
        <v>28.155806486900001</v>
      </c>
      <c r="S2945">
        <v>25.399999618530298</v>
      </c>
      <c r="T2945">
        <v>2796.4419410745199</v>
      </c>
      <c r="U2945">
        <v>593.88388214904705</v>
      </c>
      <c r="V2945">
        <v>6</v>
      </c>
      <c r="W2945">
        <v>87</v>
      </c>
      <c r="X2945">
        <v>1556.3258232235701</v>
      </c>
      <c r="Y2945">
        <v>37</v>
      </c>
      <c r="Z2945">
        <v>318.55805892547698</v>
      </c>
      <c r="AA2945">
        <v>1556.3258232235701</v>
      </c>
      <c r="AB2945">
        <v>3.6296351877407602</v>
      </c>
      <c r="AC2945">
        <v>9.6387014961579996E-3</v>
      </c>
      <c r="AD2945">
        <v>2.1430065599326702</v>
      </c>
      <c r="AE2945">
        <v>0.28620981777561399</v>
      </c>
      <c r="AF2945">
        <v>47.006932409012101</v>
      </c>
      <c r="AG2945">
        <f>IFERROR(AH2945*0.1, "N/A")</f>
        <v>4.7133448873483506</v>
      </c>
      <c r="AH2945">
        <v>47.133448873483502</v>
      </c>
      <c r="AI2945">
        <v>250.91366899777901</v>
      </c>
      <c r="AJ2945">
        <v>30.866551126516502</v>
      </c>
      <c r="AK2945">
        <v>40.400346620450598</v>
      </c>
    </row>
    <row r="2946" spans="1:37" x14ac:dyDescent="0.3">
      <c r="A2946">
        <v>2945</v>
      </c>
      <c r="B2946">
        <v>25</v>
      </c>
      <c r="C2946">
        <v>-12.533300000000001</v>
      </c>
      <c r="D2946">
        <v>8.6833299999999998</v>
      </c>
      <c r="E2946">
        <f>-12.5333-8.68333</f>
        <v>-21.216630000000002</v>
      </c>
      <c r="F2946" t="s">
        <v>5037</v>
      </c>
      <c r="G2946" t="s">
        <v>37</v>
      </c>
      <c r="H2946">
        <v>1987</v>
      </c>
      <c r="I2946">
        <v>26.7153718582707</v>
      </c>
      <c r="J2946">
        <v>9.6999998092651403</v>
      </c>
      <c r="K2946">
        <v>66.157167530224498</v>
      </c>
      <c r="L2946">
        <v>10.259948219865899</v>
      </c>
      <c r="M2946">
        <v>34.5996536426182</v>
      </c>
      <c r="N2946">
        <v>20.115371769985799</v>
      </c>
      <c r="O2946">
        <v>14.4842831870229</v>
      </c>
      <c r="P2946">
        <v>25.415716431507398</v>
      </c>
      <c r="Q2946">
        <v>26.5</v>
      </c>
      <c r="R2946">
        <v>28.065976072057701</v>
      </c>
      <c r="S2946">
        <v>25.415716431507398</v>
      </c>
      <c r="T2946">
        <v>2759.0984455958601</v>
      </c>
      <c r="U2946">
        <v>588.00345423143403</v>
      </c>
      <c r="V2946">
        <v>6</v>
      </c>
      <c r="W2946">
        <v>87</v>
      </c>
      <c r="X2946">
        <v>1531.5544041450801</v>
      </c>
      <c r="Y2946">
        <v>37</v>
      </c>
      <c r="Z2946">
        <v>315.84283246977498</v>
      </c>
      <c r="AA2946">
        <v>1531.5544041450801</v>
      </c>
      <c r="AB2946">
        <v>18.697408396139501</v>
      </c>
      <c r="AC2946">
        <v>1.3809002263533E-2</v>
      </c>
      <c r="AD2946">
        <v>1.8166883125618101</v>
      </c>
      <c r="AE2946">
        <v>0.86882269382476796</v>
      </c>
      <c r="AF2946">
        <v>60.4680483592401</v>
      </c>
      <c r="AG2946">
        <f>IFERROR(AH2946*0.1, "N/A")</f>
        <v>5.2</v>
      </c>
      <c r="AH2946">
        <v>52</v>
      </c>
      <c r="AI2946">
        <v>229.30408263000601</v>
      </c>
      <c r="AJ2946">
        <v>26</v>
      </c>
      <c r="AK2946">
        <v>48.518134715025901</v>
      </c>
    </row>
    <row r="2947" spans="1:37" x14ac:dyDescent="0.3">
      <c r="A2947">
        <v>2946</v>
      </c>
      <c r="B2947">
        <v>0</v>
      </c>
      <c r="C2947">
        <v>-12.533300000000001</v>
      </c>
      <c r="D2947">
        <v>8.6833299999999998</v>
      </c>
      <c r="E2947">
        <f>-12.5333-8.68333</f>
        <v>-21.216630000000002</v>
      </c>
      <c r="F2947" t="s">
        <v>5038</v>
      </c>
      <c r="G2947" t="s">
        <v>39</v>
      </c>
      <c r="H2947">
        <v>1987</v>
      </c>
      <c r="I2947">
        <v>26.7153718582707</v>
      </c>
      <c r="J2947">
        <v>9.6999998092651403</v>
      </c>
      <c r="K2947">
        <v>66.157167530224498</v>
      </c>
      <c r="L2947">
        <v>10.259948219865899</v>
      </c>
      <c r="M2947">
        <v>34.5996536426182</v>
      </c>
      <c r="N2947">
        <v>20.115371769985799</v>
      </c>
      <c r="O2947">
        <v>14.4842831870229</v>
      </c>
      <c r="P2947">
        <v>25.415716431507398</v>
      </c>
      <c r="Q2947">
        <v>26.5</v>
      </c>
      <c r="R2947">
        <v>28.065976072057701</v>
      </c>
      <c r="S2947">
        <v>25.415716431507398</v>
      </c>
      <c r="T2947">
        <v>2759.0984455958601</v>
      </c>
      <c r="U2947">
        <v>588.00345423143403</v>
      </c>
      <c r="V2947">
        <v>6</v>
      </c>
      <c r="W2947">
        <v>87</v>
      </c>
      <c r="X2947">
        <v>1531.5544041450801</v>
      </c>
      <c r="Y2947">
        <v>37</v>
      </c>
      <c r="Z2947">
        <v>315.84283246977498</v>
      </c>
      <c r="AA2947">
        <v>1531.5544041450801</v>
      </c>
      <c r="AB2947">
        <v>18.697408396139501</v>
      </c>
      <c r="AC2947">
        <v>1.3809002263533E-2</v>
      </c>
      <c r="AD2947">
        <v>1.8166883125618101</v>
      </c>
      <c r="AE2947">
        <v>0.86882269382476796</v>
      </c>
      <c r="AF2947">
        <v>60.4680483592401</v>
      </c>
      <c r="AG2947">
        <f>IFERROR(AH2947*0.1, "N/A")</f>
        <v>5.2</v>
      </c>
      <c r="AH2947">
        <v>52</v>
      </c>
      <c r="AI2947">
        <v>229.30408263000601</v>
      </c>
      <c r="AJ2947">
        <v>26</v>
      </c>
      <c r="AK2947">
        <v>48.518134715025901</v>
      </c>
    </row>
    <row r="2948" spans="1:37" x14ac:dyDescent="0.3">
      <c r="A2948">
        <v>2947</v>
      </c>
      <c r="B2948">
        <v>15.3</v>
      </c>
      <c r="C2948">
        <v>-11.951000000000001</v>
      </c>
      <c r="D2948">
        <v>8.718</v>
      </c>
      <c r="E2948">
        <f>-11.951-8.718</f>
        <v>-20.669</v>
      </c>
      <c r="F2948" t="s">
        <v>5039</v>
      </c>
      <c r="G2948" t="s">
        <v>39</v>
      </c>
      <c r="H2948">
        <v>1987</v>
      </c>
      <c r="I2948">
        <v>26.801550967117802</v>
      </c>
      <c r="J2948">
        <v>10.6000003814697</v>
      </c>
      <c r="K2948">
        <v>63</v>
      </c>
      <c r="L2948">
        <v>10.510776093910501</v>
      </c>
      <c r="M2948">
        <v>35.5</v>
      </c>
      <c r="N2948">
        <v>18.701552463399999</v>
      </c>
      <c r="O2948">
        <v>16.798447536600001</v>
      </c>
      <c r="P2948">
        <v>25.700000762939499</v>
      </c>
      <c r="Q2948">
        <v>26.399999618530298</v>
      </c>
      <c r="R2948">
        <v>28.299999237060501</v>
      </c>
      <c r="S2948">
        <v>25.700000762939499</v>
      </c>
      <c r="T2948">
        <v>3093.0310344827599</v>
      </c>
      <c r="U2948">
        <v>663.01551724137903</v>
      </c>
      <c r="V2948">
        <v>5</v>
      </c>
      <c r="W2948">
        <v>87.9844827586207</v>
      </c>
      <c r="X2948">
        <v>1724.9844827586201</v>
      </c>
      <c r="Y2948">
        <v>46</v>
      </c>
      <c r="Z2948">
        <v>356.046551724138</v>
      </c>
      <c r="AA2948">
        <v>1724.9844827586201</v>
      </c>
      <c r="AB2948">
        <v>8.9334440823259005</v>
      </c>
      <c r="AC2948">
        <v>1.1234067828426999E-2</v>
      </c>
      <c r="AD2948">
        <v>2.14614643762852</v>
      </c>
      <c r="AE2948">
        <v>0.51783359050750699</v>
      </c>
      <c r="AF2948">
        <v>92.089655172413799</v>
      </c>
      <c r="AG2948">
        <f>IFERROR(AH2948*0.1, "N/A")</f>
        <v>5.3937931034482807</v>
      </c>
      <c r="AH2948">
        <v>53.937931034482801</v>
      </c>
      <c r="AI2948">
        <v>325.63376944640601</v>
      </c>
      <c r="AJ2948">
        <v>27.3741379310345</v>
      </c>
      <c r="AK2948">
        <v>49.4413793103448</v>
      </c>
    </row>
    <row r="2949" spans="1:37" x14ac:dyDescent="0.3">
      <c r="A2949">
        <v>2948</v>
      </c>
      <c r="B2949">
        <v>2.9</v>
      </c>
      <c r="C2949">
        <v>-11.951000000000001</v>
      </c>
      <c r="D2949">
        <v>8.718</v>
      </c>
      <c r="E2949">
        <f>-11.951-8.718</f>
        <v>-20.669</v>
      </c>
      <c r="F2949" t="s">
        <v>5040</v>
      </c>
      <c r="G2949" t="s">
        <v>37</v>
      </c>
      <c r="H2949">
        <v>1987</v>
      </c>
      <c r="I2949">
        <v>26.801550967117802</v>
      </c>
      <c r="J2949">
        <v>10.6000003814697</v>
      </c>
      <c r="K2949">
        <v>63</v>
      </c>
      <c r="L2949">
        <v>10.510776093910501</v>
      </c>
      <c r="M2949">
        <v>35.5</v>
      </c>
      <c r="N2949">
        <v>18.701552463399999</v>
      </c>
      <c r="O2949">
        <v>16.798447536600001</v>
      </c>
      <c r="P2949">
        <v>25.700000762939499</v>
      </c>
      <c r="Q2949">
        <v>26.399999618530298</v>
      </c>
      <c r="R2949">
        <v>28.299999237060501</v>
      </c>
      <c r="S2949">
        <v>25.700000762939499</v>
      </c>
      <c r="T2949">
        <v>3093.0310344827599</v>
      </c>
      <c r="U2949">
        <v>663.01551724137903</v>
      </c>
      <c r="V2949">
        <v>5</v>
      </c>
      <c r="W2949">
        <v>87.9844827586207</v>
      </c>
      <c r="X2949">
        <v>1724.9844827586201</v>
      </c>
      <c r="Y2949">
        <v>46</v>
      </c>
      <c r="Z2949">
        <v>356.046551724138</v>
      </c>
      <c r="AA2949">
        <v>1724.9844827586201</v>
      </c>
      <c r="AB2949">
        <v>8.9334440823259005</v>
      </c>
      <c r="AC2949">
        <v>1.1234067828426999E-2</v>
      </c>
      <c r="AD2949">
        <v>2.14614643762852</v>
      </c>
      <c r="AE2949">
        <v>0.51783359050750699</v>
      </c>
      <c r="AF2949">
        <v>92.089655172413799</v>
      </c>
      <c r="AG2949">
        <f>IFERROR(AH2949*0.1, "N/A")</f>
        <v>5.3937931034482807</v>
      </c>
      <c r="AH2949">
        <v>53.937931034482801</v>
      </c>
      <c r="AI2949">
        <v>325.63376944640601</v>
      </c>
      <c r="AJ2949">
        <v>27.3741379310345</v>
      </c>
      <c r="AK2949">
        <v>49.4413793103448</v>
      </c>
    </row>
    <row r="2950" spans="1:37" x14ac:dyDescent="0.3">
      <c r="A2950">
        <v>2949</v>
      </c>
      <c r="B2950">
        <v>40</v>
      </c>
      <c r="C2950">
        <v>-11.951000000000001</v>
      </c>
      <c r="D2950">
        <v>8.7850000000000001</v>
      </c>
      <c r="E2950">
        <f>-11.951-8.785</f>
        <v>-20.736000000000001</v>
      </c>
      <c r="F2950" t="s">
        <v>5041</v>
      </c>
      <c r="G2950" t="s">
        <v>39</v>
      </c>
      <c r="H2950">
        <v>1987</v>
      </c>
      <c r="I2950">
        <v>26.798612776414199</v>
      </c>
      <c r="J2950">
        <v>10.699999809265099</v>
      </c>
      <c r="K2950">
        <v>62</v>
      </c>
      <c r="L2950">
        <v>10.7990296444819</v>
      </c>
      <c r="M2950">
        <v>35.5986120134747</v>
      </c>
      <c r="N2950">
        <v>18.5</v>
      </c>
      <c r="O2950">
        <v>17.0986138943783</v>
      </c>
      <c r="P2950">
        <v>25.600000381469702</v>
      </c>
      <c r="Q2950">
        <v>26.399999618530298</v>
      </c>
      <c r="R2950">
        <v>28.298612776414199</v>
      </c>
      <c r="S2950">
        <v>25.600000381469702</v>
      </c>
      <c r="T2950">
        <v>3095.0831889081501</v>
      </c>
      <c r="U2950">
        <v>666.027729636049</v>
      </c>
      <c r="V2950">
        <v>6</v>
      </c>
      <c r="W2950">
        <v>87</v>
      </c>
      <c r="X2950">
        <v>1721.04159445407</v>
      </c>
      <c r="Y2950">
        <v>48</v>
      </c>
      <c r="Z2950">
        <v>359.04159445407299</v>
      </c>
      <c r="AA2950">
        <v>1721.04159445407</v>
      </c>
      <c r="AB2950">
        <v>6.9379547753821598</v>
      </c>
      <c r="AC2950">
        <v>7.6295390650888001E-2</v>
      </c>
      <c r="AD2950">
        <v>4.3402336209857504</v>
      </c>
      <c r="AE2950">
        <v>0.23609972000122101</v>
      </c>
      <c r="AF2950">
        <v>100.968804159445</v>
      </c>
      <c r="AG2950">
        <f>IFERROR(AH2950*0.1, "N/A")</f>
        <v>5.2013864818024302</v>
      </c>
      <c r="AH2950">
        <v>52.013864818024302</v>
      </c>
      <c r="AI2950">
        <v>245.31730167911201</v>
      </c>
      <c r="AJ2950">
        <v>25.8180242634315</v>
      </c>
      <c r="AK2950">
        <v>56.195840554592699</v>
      </c>
    </row>
    <row r="2951" spans="1:37" x14ac:dyDescent="0.3">
      <c r="A2951">
        <v>2950</v>
      </c>
      <c r="B2951">
        <v>0</v>
      </c>
      <c r="C2951">
        <v>-12.045999999999999</v>
      </c>
      <c r="D2951">
        <v>8.8819999999999997</v>
      </c>
      <c r="E2951">
        <f>-12.046-8.882</f>
        <v>-20.927999999999997</v>
      </c>
      <c r="F2951" t="s">
        <v>5042</v>
      </c>
      <c r="G2951" t="s">
        <v>39</v>
      </c>
      <c r="H2951">
        <v>1987</v>
      </c>
      <c r="I2951">
        <v>26.899999618530298</v>
      </c>
      <c r="J2951">
        <v>10.800000190734901</v>
      </c>
      <c r="K2951">
        <v>61</v>
      </c>
      <c r="L2951">
        <v>12.300000190734901</v>
      </c>
      <c r="M2951">
        <v>36</v>
      </c>
      <c r="N2951">
        <v>18.299999237060501</v>
      </c>
      <c r="O2951">
        <v>17.700000762939499</v>
      </c>
      <c r="P2951">
        <v>25.600000381469702</v>
      </c>
      <c r="Q2951">
        <v>26.5</v>
      </c>
      <c r="R2951">
        <v>28.600000381469702</v>
      </c>
      <c r="S2951">
        <v>25.600000381469702</v>
      </c>
      <c r="T2951">
        <v>3034</v>
      </c>
      <c r="U2951">
        <v>637</v>
      </c>
      <c r="V2951">
        <v>6</v>
      </c>
      <c r="W2951">
        <v>87</v>
      </c>
      <c r="X2951">
        <v>1671</v>
      </c>
      <c r="Y2951">
        <v>41</v>
      </c>
      <c r="Z2951">
        <v>351</v>
      </c>
      <c r="AA2951">
        <v>1671</v>
      </c>
      <c r="AB2951">
        <v>5.64142096931021</v>
      </c>
      <c r="AC2951">
        <v>0.62437753136587704</v>
      </c>
      <c r="AD2951">
        <v>2.1634202405319698</v>
      </c>
      <c r="AE2951">
        <v>0.95017343449633895</v>
      </c>
      <c r="AF2951">
        <v>89.299826689774704</v>
      </c>
      <c r="AG2951">
        <f>IFERROR(AH2951*0.1, "N/A")</f>
        <v>5.4771230502599701</v>
      </c>
      <c r="AH2951">
        <v>54.7712305025997</v>
      </c>
      <c r="AI2951">
        <v>259.91509668624599</v>
      </c>
      <c r="AJ2951">
        <v>28.239168110918499</v>
      </c>
      <c r="AK2951">
        <v>47.112651646447098</v>
      </c>
    </row>
    <row r="2952" spans="1:37" x14ac:dyDescent="0.3">
      <c r="A2952">
        <v>2951</v>
      </c>
      <c r="B2952">
        <v>0</v>
      </c>
      <c r="C2952">
        <v>-11.903</v>
      </c>
      <c r="D2952">
        <v>9.1189999999999998</v>
      </c>
      <c r="E2952">
        <f>-11.903-9.119</f>
        <v>-21.021999999999998</v>
      </c>
      <c r="F2952" t="s">
        <v>5043</v>
      </c>
      <c r="G2952" t="s">
        <v>39</v>
      </c>
      <c r="H2952">
        <v>1987</v>
      </c>
      <c r="I2952">
        <v>26.299999237060501</v>
      </c>
      <c r="J2952">
        <v>11.1000003814697</v>
      </c>
      <c r="K2952">
        <v>62</v>
      </c>
      <c r="L2952">
        <v>12</v>
      </c>
      <c r="M2952">
        <v>35.700000762939503</v>
      </c>
      <c r="N2952">
        <v>17.799999237060501</v>
      </c>
      <c r="O2952">
        <v>17.899999618530298</v>
      </c>
      <c r="P2952">
        <v>25</v>
      </c>
      <c r="Q2952">
        <v>26</v>
      </c>
      <c r="R2952">
        <v>27.899999618530298</v>
      </c>
      <c r="S2952">
        <v>25</v>
      </c>
      <c r="T2952">
        <v>2798</v>
      </c>
      <c r="U2952">
        <v>566</v>
      </c>
      <c r="V2952">
        <v>7</v>
      </c>
      <c r="W2952">
        <v>84</v>
      </c>
      <c r="X2952">
        <v>1499</v>
      </c>
      <c r="Y2952">
        <v>43</v>
      </c>
      <c r="Z2952">
        <v>153</v>
      </c>
      <c r="AA2952">
        <v>1499</v>
      </c>
      <c r="AB2952">
        <v>13.361945234780499</v>
      </c>
      <c r="AC2952">
        <v>0.70737870655966795</v>
      </c>
      <c r="AD2952">
        <v>11.3722857587478</v>
      </c>
      <c r="AE2952">
        <v>0.30445197224616999</v>
      </c>
      <c r="AF2952">
        <v>180.22664359861599</v>
      </c>
      <c r="AG2952">
        <f>IFERROR(AH2952*0.1, "N/A")</f>
        <v>5.4</v>
      </c>
      <c r="AH2952">
        <v>54</v>
      </c>
      <c r="AI2952">
        <v>213.47969894673199</v>
      </c>
      <c r="AJ2952">
        <v>29.096885813148798</v>
      </c>
      <c r="AK2952">
        <v>50.806228373702403</v>
      </c>
    </row>
    <row r="2953" spans="1:37" x14ac:dyDescent="0.3">
      <c r="A2953">
        <v>2952</v>
      </c>
      <c r="B2953">
        <v>0</v>
      </c>
      <c r="C2953">
        <v>-11.7667</v>
      </c>
      <c r="D2953">
        <v>9.3833000000000002</v>
      </c>
      <c r="E2953">
        <f>-11.7667-9.3833</f>
        <v>-21.15</v>
      </c>
      <c r="F2953" t="s">
        <v>5044</v>
      </c>
      <c r="G2953" t="s">
        <v>39</v>
      </c>
      <c r="H2953">
        <v>1987</v>
      </c>
      <c r="I2953">
        <v>25.906217258828899</v>
      </c>
      <c r="J2953">
        <v>11.3999996185303</v>
      </c>
      <c r="K2953">
        <v>61</v>
      </c>
      <c r="L2953">
        <v>12.0748012753554</v>
      </c>
      <c r="M2953">
        <v>35.485319740413999</v>
      </c>
      <c r="N2953">
        <v>17.085319841875702</v>
      </c>
      <c r="O2953">
        <v>18.399999618530298</v>
      </c>
      <c r="P2953">
        <v>24.620898561362399</v>
      </c>
      <c r="Q2953">
        <v>25.570639302281698</v>
      </c>
      <c r="R2953">
        <v>27.585319841875702</v>
      </c>
      <c r="S2953">
        <v>24.620898561362399</v>
      </c>
      <c r="T2953">
        <v>2423.9240069084599</v>
      </c>
      <c r="U2953">
        <v>455.75302245250401</v>
      </c>
      <c r="V2953">
        <v>8</v>
      </c>
      <c r="W2953">
        <v>82</v>
      </c>
      <c r="X2953">
        <v>1257.8825561312599</v>
      </c>
      <c r="Y2953">
        <v>35.811744386873897</v>
      </c>
      <c r="Z2953">
        <v>144.81174438687401</v>
      </c>
      <c r="AA2953">
        <v>1257.8825561312599</v>
      </c>
      <c r="AB2953">
        <v>20.472541189770201</v>
      </c>
      <c r="AC2953">
        <v>1.7046291149496001E-2</v>
      </c>
      <c r="AD2953">
        <v>10.642142460548</v>
      </c>
      <c r="AE2953">
        <v>0.228197194442848</v>
      </c>
      <c r="AF2953">
        <v>312.79965457685699</v>
      </c>
      <c r="AG2953">
        <f>IFERROR(AH2953*0.1, "N/A")</f>
        <v>5.1832469775475003</v>
      </c>
      <c r="AH2953">
        <v>51.832469775474998</v>
      </c>
      <c r="AI2953">
        <v>234.78774687086801</v>
      </c>
      <c r="AJ2953">
        <v>27.664939550949899</v>
      </c>
      <c r="AK2953">
        <v>52.188255613126103</v>
      </c>
    </row>
    <row r="2954" spans="1:37" x14ac:dyDescent="0.3">
      <c r="A2954">
        <v>2953</v>
      </c>
      <c r="B2954">
        <v>0</v>
      </c>
      <c r="C2954">
        <v>-11.7667</v>
      </c>
      <c r="D2954">
        <v>9.3833000000000002</v>
      </c>
      <c r="E2954">
        <f>-11.7667-9.3833</f>
        <v>-21.15</v>
      </c>
      <c r="F2954" t="s">
        <v>5045</v>
      </c>
      <c r="G2954" t="s">
        <v>37</v>
      </c>
      <c r="H2954">
        <v>1987</v>
      </c>
      <c r="I2954">
        <v>25.906217258828899</v>
      </c>
      <c r="J2954">
        <v>11.3999996185303</v>
      </c>
      <c r="K2954">
        <v>61</v>
      </c>
      <c r="L2954">
        <v>12.0748012753554</v>
      </c>
      <c r="M2954">
        <v>35.485319740413999</v>
      </c>
      <c r="N2954">
        <v>17.085319841875702</v>
      </c>
      <c r="O2954">
        <v>18.399999618530298</v>
      </c>
      <c r="P2954">
        <v>24.620898561362399</v>
      </c>
      <c r="Q2954">
        <v>25.570639302281698</v>
      </c>
      <c r="R2954">
        <v>27.585319841875702</v>
      </c>
      <c r="S2954">
        <v>24.620898561362399</v>
      </c>
      <c r="T2954">
        <v>2423.9240069084599</v>
      </c>
      <c r="U2954">
        <v>455.75302245250401</v>
      </c>
      <c r="V2954">
        <v>8</v>
      </c>
      <c r="W2954">
        <v>82</v>
      </c>
      <c r="X2954">
        <v>1257.8825561312599</v>
      </c>
      <c r="Y2954">
        <v>35.811744386873897</v>
      </c>
      <c r="Z2954">
        <v>144.81174438687401</v>
      </c>
      <c r="AA2954">
        <v>1257.8825561312599</v>
      </c>
      <c r="AB2954">
        <v>20.472541189770201</v>
      </c>
      <c r="AC2954">
        <v>1.7046291149496001E-2</v>
      </c>
      <c r="AD2954">
        <v>10.642142460548</v>
      </c>
      <c r="AE2954">
        <v>0.228197194442848</v>
      </c>
      <c r="AF2954">
        <v>312.79965457685699</v>
      </c>
      <c r="AG2954">
        <f>IFERROR(AH2954*0.1, "N/A")</f>
        <v>5.1832469775475003</v>
      </c>
      <c r="AH2954">
        <v>51.832469775474998</v>
      </c>
      <c r="AI2954">
        <v>234.78774687086801</v>
      </c>
      <c r="AJ2954">
        <v>27.664939550949899</v>
      </c>
      <c r="AK2954">
        <v>52.188255613126103</v>
      </c>
    </row>
    <row r="2955" spans="1:37" x14ac:dyDescent="0.3">
      <c r="A2955">
        <v>2954</v>
      </c>
      <c r="B2955">
        <v>0</v>
      </c>
      <c r="C2955">
        <v>-12.244</v>
      </c>
      <c r="D2955">
        <v>9.4969999999999999</v>
      </c>
      <c r="E2955">
        <f>-12.244-9.497</f>
        <v>-21.741</v>
      </c>
      <c r="F2955" t="s">
        <v>5046</v>
      </c>
      <c r="G2955" t="s">
        <v>39</v>
      </c>
      <c r="H2955">
        <v>1987</v>
      </c>
      <c r="I2955">
        <v>27.399999618530298</v>
      </c>
      <c r="J2955">
        <v>11.1000003814697</v>
      </c>
      <c r="K2955">
        <v>62</v>
      </c>
      <c r="L2955">
        <v>13.710000038146999</v>
      </c>
      <c r="M2955">
        <v>37.099998474121101</v>
      </c>
      <c r="N2955">
        <v>19.200000762939499</v>
      </c>
      <c r="O2955">
        <v>17.899999618530298</v>
      </c>
      <c r="P2955">
        <v>25.799999237060501</v>
      </c>
      <c r="Q2955">
        <v>27.299999237060501</v>
      </c>
      <c r="R2955">
        <v>29.299999237060501</v>
      </c>
      <c r="S2955">
        <v>25.799999237060501</v>
      </c>
      <c r="T2955">
        <v>2481</v>
      </c>
      <c r="U2955">
        <v>505</v>
      </c>
      <c r="V2955">
        <v>5</v>
      </c>
      <c r="W2955">
        <v>87</v>
      </c>
      <c r="X2955">
        <v>1357</v>
      </c>
      <c r="Y2955">
        <v>26</v>
      </c>
      <c r="Z2955">
        <v>114</v>
      </c>
      <c r="AA2955">
        <v>1357</v>
      </c>
      <c r="AB2955">
        <v>15.1195185369778</v>
      </c>
      <c r="AC2955">
        <v>2.1279162210967002E-2</v>
      </c>
      <c r="AD2955">
        <v>2.94653966719211</v>
      </c>
      <c r="AE2955">
        <v>0.63815009593963601</v>
      </c>
      <c r="AF2955">
        <v>102.267702936097</v>
      </c>
      <c r="AG2955">
        <f>IFERROR(AH2955*0.1, "N/A")</f>
        <v>5.6000000000000005</v>
      </c>
      <c r="AH2955">
        <v>56</v>
      </c>
      <c r="AI2955">
        <v>318.83254272250099</v>
      </c>
      <c r="AJ2955">
        <v>28.4766839378238</v>
      </c>
      <c r="AK2955">
        <v>50.134715025906701</v>
      </c>
    </row>
    <row r="2956" spans="1:37" x14ac:dyDescent="0.3">
      <c r="A2956">
        <v>2955</v>
      </c>
      <c r="B2956">
        <v>0</v>
      </c>
      <c r="C2956">
        <v>-12.244</v>
      </c>
      <c r="D2956">
        <v>9.4969999999999999</v>
      </c>
      <c r="E2956">
        <f>-12.244-9.497</f>
        <v>-21.741</v>
      </c>
      <c r="F2956" t="s">
        <v>5047</v>
      </c>
      <c r="G2956" t="s">
        <v>37</v>
      </c>
      <c r="H2956">
        <v>1987</v>
      </c>
      <c r="I2956">
        <v>27.399999618530298</v>
      </c>
      <c r="J2956">
        <v>11.1000003814697</v>
      </c>
      <c r="K2956">
        <v>62</v>
      </c>
      <c r="L2956">
        <v>13.710000038146999</v>
      </c>
      <c r="M2956">
        <v>37.099998474121101</v>
      </c>
      <c r="N2956">
        <v>19.200000762939499</v>
      </c>
      <c r="O2956">
        <v>17.899999618530298</v>
      </c>
      <c r="P2956">
        <v>25.799999237060501</v>
      </c>
      <c r="Q2956">
        <v>27.299999237060501</v>
      </c>
      <c r="R2956">
        <v>29.299999237060501</v>
      </c>
      <c r="S2956">
        <v>25.799999237060501</v>
      </c>
      <c r="T2956">
        <v>2481</v>
      </c>
      <c r="U2956">
        <v>505</v>
      </c>
      <c r="V2956">
        <v>5</v>
      </c>
      <c r="W2956">
        <v>87</v>
      </c>
      <c r="X2956">
        <v>1357</v>
      </c>
      <c r="Y2956">
        <v>26</v>
      </c>
      <c r="Z2956">
        <v>114</v>
      </c>
      <c r="AA2956">
        <v>1357</v>
      </c>
      <c r="AB2956">
        <v>15.1195185369778</v>
      </c>
      <c r="AC2956">
        <v>2.1279162210967002E-2</v>
      </c>
      <c r="AD2956">
        <v>2.94653966719211</v>
      </c>
      <c r="AE2956">
        <v>0.63815009593963601</v>
      </c>
      <c r="AF2956">
        <v>102.267702936097</v>
      </c>
      <c r="AG2956">
        <f>IFERROR(AH2956*0.1, "N/A")</f>
        <v>5.6000000000000005</v>
      </c>
      <c r="AH2956">
        <v>56</v>
      </c>
      <c r="AI2956">
        <v>318.83254272250099</v>
      </c>
      <c r="AJ2956">
        <v>28.4766839378238</v>
      </c>
      <c r="AK2956">
        <v>50.134715025906701</v>
      </c>
    </row>
    <row r="2957" spans="1:37" x14ac:dyDescent="0.3">
      <c r="A2957">
        <v>2956</v>
      </c>
      <c r="B2957">
        <v>22.700001</v>
      </c>
      <c r="C2957">
        <v>-11.66</v>
      </c>
      <c r="D2957">
        <v>9.5839999999999996</v>
      </c>
      <c r="E2957">
        <f>-11.66-9.584</f>
        <v>-21.244</v>
      </c>
      <c r="F2957" t="s">
        <v>5048</v>
      </c>
      <c r="G2957" t="s">
        <v>39</v>
      </c>
      <c r="H2957">
        <v>1987</v>
      </c>
      <c r="I2957">
        <v>24.901034105235102</v>
      </c>
      <c r="J2957">
        <v>11.3999996185303</v>
      </c>
      <c r="K2957">
        <v>61</v>
      </c>
      <c r="L2957">
        <v>12.3807242541478</v>
      </c>
      <c r="M2957">
        <v>34.600515727339101</v>
      </c>
      <c r="N2957">
        <v>16.100517624822199</v>
      </c>
      <c r="O2957">
        <v>18.5</v>
      </c>
      <c r="P2957">
        <v>23.701035239778701</v>
      </c>
      <c r="Q2957">
        <v>24.600517624822199</v>
      </c>
      <c r="R2957">
        <v>26.701035239778701</v>
      </c>
      <c r="S2957">
        <v>23.701035239778701</v>
      </c>
      <c r="T2957">
        <v>2147.04655172414</v>
      </c>
      <c r="U2957">
        <v>388.00517241379299</v>
      </c>
      <c r="V2957">
        <v>9</v>
      </c>
      <c r="W2957">
        <v>82</v>
      </c>
      <c r="X2957">
        <v>1099.0206896551699</v>
      </c>
      <c r="Y2957">
        <v>30</v>
      </c>
      <c r="Z2957">
        <v>135.99482758620701</v>
      </c>
      <c r="AA2957">
        <v>1099.0206896551699</v>
      </c>
      <c r="AB2957">
        <v>114.349834784146</v>
      </c>
      <c r="AC2957">
        <v>2.3461217234104E-2</v>
      </c>
      <c r="AD2957">
        <v>6.0395210500421204</v>
      </c>
      <c r="AE2957">
        <v>0.36295208334922802</v>
      </c>
      <c r="AF2957">
        <v>468.25517241379299</v>
      </c>
      <c r="AG2957">
        <f>IFERROR(AH2957*0.1, "N/A")</f>
        <v>5.1120689655172402</v>
      </c>
      <c r="AH2957">
        <v>51.120689655172399</v>
      </c>
      <c r="AI2957">
        <v>63.522796308583203</v>
      </c>
      <c r="AJ2957">
        <v>29.127586206896598</v>
      </c>
      <c r="AK2957">
        <v>46.624137931034497</v>
      </c>
    </row>
    <row r="2958" spans="1:37" x14ac:dyDescent="0.3">
      <c r="A2958">
        <v>2957</v>
      </c>
      <c r="B2958">
        <v>40</v>
      </c>
      <c r="C2958">
        <v>-11.66</v>
      </c>
      <c r="D2958">
        <v>9.5839999999999996</v>
      </c>
      <c r="E2958">
        <f>-11.66-9.584</f>
        <v>-21.244</v>
      </c>
      <c r="F2958" t="s">
        <v>5049</v>
      </c>
      <c r="G2958" t="s">
        <v>37</v>
      </c>
      <c r="H2958">
        <v>1987</v>
      </c>
      <c r="I2958">
        <v>24.901034105235102</v>
      </c>
      <c r="J2958">
        <v>11.3999996185303</v>
      </c>
      <c r="K2958">
        <v>61</v>
      </c>
      <c r="L2958">
        <v>12.3807242541478</v>
      </c>
      <c r="M2958">
        <v>34.600515727339101</v>
      </c>
      <c r="N2958">
        <v>16.100517624822199</v>
      </c>
      <c r="O2958">
        <v>18.5</v>
      </c>
      <c r="P2958">
        <v>23.701035239778701</v>
      </c>
      <c r="Q2958">
        <v>24.600517624822199</v>
      </c>
      <c r="R2958">
        <v>26.701035239778701</v>
      </c>
      <c r="S2958">
        <v>23.701035239778701</v>
      </c>
      <c r="T2958">
        <v>2147.04655172414</v>
      </c>
      <c r="U2958">
        <v>388.00517241379299</v>
      </c>
      <c r="V2958">
        <v>9</v>
      </c>
      <c r="W2958">
        <v>82</v>
      </c>
      <c r="X2958">
        <v>1099.0206896551699</v>
      </c>
      <c r="Y2958">
        <v>30</v>
      </c>
      <c r="Z2958">
        <v>135.99482758620701</v>
      </c>
      <c r="AA2958">
        <v>1099.0206896551699</v>
      </c>
      <c r="AB2958">
        <v>114.349834784146</v>
      </c>
      <c r="AC2958">
        <v>2.3461217234104E-2</v>
      </c>
      <c r="AD2958">
        <v>6.0395210500421204</v>
      </c>
      <c r="AE2958">
        <v>0.36295208334922802</v>
      </c>
      <c r="AF2958">
        <v>468.25517241379299</v>
      </c>
      <c r="AG2958">
        <f>IFERROR(AH2958*0.1, "N/A")</f>
        <v>5.1120689655172402</v>
      </c>
      <c r="AH2958">
        <v>51.120689655172399</v>
      </c>
      <c r="AI2958">
        <v>63.522796308583203</v>
      </c>
      <c r="AJ2958">
        <v>29.127586206896598</v>
      </c>
      <c r="AK2958">
        <v>46.624137931034497</v>
      </c>
    </row>
    <row r="2959" spans="1:37" x14ac:dyDescent="0.3">
      <c r="A2959">
        <v>2958</v>
      </c>
      <c r="B2959">
        <v>0</v>
      </c>
      <c r="C2959">
        <v>-11.433299999999999</v>
      </c>
      <c r="D2959">
        <v>9.8666999999999998</v>
      </c>
      <c r="E2959">
        <f>-11.4333-9.8667</f>
        <v>-21.299999999999997</v>
      </c>
      <c r="F2959" t="s">
        <v>5050</v>
      </c>
      <c r="G2959" t="s">
        <v>39</v>
      </c>
      <c r="H2959">
        <v>1987</v>
      </c>
      <c r="I2959">
        <v>25.487779643572502</v>
      </c>
      <c r="J2959">
        <v>13.1874353372702</v>
      </c>
      <c r="K2959">
        <v>60</v>
      </c>
      <c r="L2959">
        <v>14.0669880783291</v>
      </c>
      <c r="M2959">
        <v>35.887436694409502</v>
      </c>
      <c r="N2959">
        <v>14.1874353372702</v>
      </c>
      <c r="O2959">
        <v>21.700000762939499</v>
      </c>
      <c r="P2959">
        <v>24.740964383964101</v>
      </c>
      <c r="Q2959">
        <v>24.187780399946298</v>
      </c>
      <c r="R2959">
        <v>27.533046597662999</v>
      </c>
      <c r="S2959">
        <v>23.9003438539226</v>
      </c>
      <c r="T2959">
        <v>1855.1032702237501</v>
      </c>
      <c r="U2959">
        <v>342.79862306368301</v>
      </c>
      <c r="V2959">
        <v>6</v>
      </c>
      <c r="W2959">
        <v>83</v>
      </c>
      <c r="X2959">
        <v>959.05335628227203</v>
      </c>
      <c r="Y2959">
        <v>22</v>
      </c>
      <c r="Z2959">
        <v>281</v>
      </c>
      <c r="AA2959">
        <v>92.125645438898502</v>
      </c>
      <c r="AB2959">
        <v>4.6905238140060304</v>
      </c>
      <c r="AC2959">
        <v>7.3458016066797596</v>
      </c>
      <c r="AD2959">
        <v>1.3426876981164</v>
      </c>
      <c r="AE2959">
        <v>0.23381506021995299</v>
      </c>
      <c r="AF2959">
        <v>363.36316695352798</v>
      </c>
      <c r="AG2959">
        <f>IFERROR(AH2959*0.1, "N/A")</f>
        <v>5.5</v>
      </c>
      <c r="AH2959">
        <v>55</v>
      </c>
      <c r="AI2959">
        <v>223.360095600253</v>
      </c>
      <c r="AJ2959">
        <v>29</v>
      </c>
      <c r="AK2959">
        <v>48</v>
      </c>
    </row>
    <row r="2960" spans="1:37" x14ac:dyDescent="0.3">
      <c r="A2960">
        <v>2959</v>
      </c>
      <c r="B2960">
        <v>0</v>
      </c>
      <c r="C2960">
        <v>-11.433299999999999</v>
      </c>
      <c r="D2960">
        <v>9.8666999999999998</v>
      </c>
      <c r="E2960">
        <f>-11.4333-9.8667</f>
        <v>-21.299999999999997</v>
      </c>
      <c r="F2960" t="s">
        <v>5051</v>
      </c>
      <c r="G2960" t="s">
        <v>37</v>
      </c>
      <c r="H2960">
        <v>1987</v>
      </c>
      <c r="I2960">
        <v>25.487779643572502</v>
      </c>
      <c r="J2960">
        <v>13.1874353372702</v>
      </c>
      <c r="K2960">
        <v>60</v>
      </c>
      <c r="L2960">
        <v>14.0669880783291</v>
      </c>
      <c r="M2960">
        <v>35.887436694409502</v>
      </c>
      <c r="N2960">
        <v>14.1874353372702</v>
      </c>
      <c r="O2960">
        <v>21.700000762939499</v>
      </c>
      <c r="P2960">
        <v>24.740964383964101</v>
      </c>
      <c r="Q2960">
        <v>24.187780399946298</v>
      </c>
      <c r="R2960">
        <v>27.533046597662999</v>
      </c>
      <c r="S2960">
        <v>23.9003438539226</v>
      </c>
      <c r="T2960">
        <v>1855.1032702237501</v>
      </c>
      <c r="U2960">
        <v>342.79862306368301</v>
      </c>
      <c r="V2960">
        <v>6</v>
      </c>
      <c r="W2960">
        <v>83</v>
      </c>
      <c r="X2960">
        <v>959.05335628227203</v>
      </c>
      <c r="Y2960">
        <v>22</v>
      </c>
      <c r="Z2960">
        <v>281</v>
      </c>
      <c r="AA2960">
        <v>92.125645438898502</v>
      </c>
      <c r="AB2960">
        <v>4.6905238140060304</v>
      </c>
      <c r="AC2960">
        <v>7.3458016066797596</v>
      </c>
      <c r="AD2960">
        <v>1.3426876981164</v>
      </c>
      <c r="AE2960">
        <v>0.23381506021995299</v>
      </c>
      <c r="AF2960">
        <v>363.36316695352798</v>
      </c>
      <c r="AG2960">
        <f>IFERROR(AH2960*0.1, "N/A")</f>
        <v>5.5</v>
      </c>
      <c r="AH2960">
        <v>55</v>
      </c>
      <c r="AI2960">
        <v>223.360095600253</v>
      </c>
      <c r="AJ2960">
        <v>29</v>
      </c>
      <c r="AK2960">
        <v>48</v>
      </c>
    </row>
    <row r="2961" spans="1:37" x14ac:dyDescent="0.3">
      <c r="A2961">
        <v>2960</v>
      </c>
      <c r="B2961">
        <v>8.1999999999999993</v>
      </c>
      <c r="C2961">
        <v>-10.89035</v>
      </c>
      <c r="D2961">
        <v>8.2473639999999993</v>
      </c>
      <c r="E2961">
        <f>-10.89035-8.247364</f>
        <v>-19.137713999999999</v>
      </c>
      <c r="F2961" t="s">
        <v>5052</v>
      </c>
      <c r="G2961" t="s">
        <v>39</v>
      </c>
      <c r="H2961">
        <v>1987</v>
      </c>
      <c r="I2961">
        <v>25.899999618530298</v>
      </c>
      <c r="J2961">
        <v>11.5</v>
      </c>
      <c r="K2961">
        <v>66</v>
      </c>
      <c r="L2961">
        <v>9.7399997711181605</v>
      </c>
      <c r="M2961">
        <v>34.5</v>
      </c>
      <c r="N2961">
        <v>17.100000381469702</v>
      </c>
      <c r="O2961">
        <v>17.399999618530298</v>
      </c>
      <c r="P2961">
        <v>25.299999237060501</v>
      </c>
      <c r="Q2961">
        <v>25.299999237060501</v>
      </c>
      <c r="R2961">
        <v>27.200000762939499</v>
      </c>
      <c r="S2961">
        <v>25</v>
      </c>
      <c r="T2961">
        <v>2605</v>
      </c>
      <c r="U2961">
        <v>417</v>
      </c>
      <c r="V2961">
        <v>10</v>
      </c>
      <c r="W2961">
        <v>64</v>
      </c>
      <c r="X2961">
        <v>1162</v>
      </c>
      <c r="Y2961">
        <v>88</v>
      </c>
      <c r="Z2961">
        <v>527</v>
      </c>
      <c r="AA2961">
        <v>1156</v>
      </c>
      <c r="AB2961">
        <v>124.683889696462</v>
      </c>
      <c r="AC2961">
        <v>1.0455530424129E-2</v>
      </c>
      <c r="AD2961">
        <v>16.522672755672801</v>
      </c>
      <c r="AE2961">
        <v>0.27351239323616</v>
      </c>
      <c r="AF2961">
        <v>307.625649913345</v>
      </c>
      <c r="AG2961">
        <f>IFERROR(AH2961*0.1, "N/A")</f>
        <v>5.2</v>
      </c>
      <c r="AH2961">
        <v>52</v>
      </c>
      <c r="AI2961">
        <v>158.439232388237</v>
      </c>
      <c r="AJ2961">
        <v>26.0849220103986</v>
      </c>
      <c r="AK2961">
        <v>55.3726169844021</v>
      </c>
    </row>
    <row r="2962" spans="1:37" x14ac:dyDescent="0.3">
      <c r="A2962">
        <v>2961</v>
      </c>
      <c r="B2962">
        <v>2.5</v>
      </c>
      <c r="C2962">
        <v>-10.89035</v>
      </c>
      <c r="D2962">
        <v>8.2473639999999993</v>
      </c>
      <c r="E2962">
        <f>-10.89035-8.247364</f>
        <v>-19.137713999999999</v>
      </c>
      <c r="F2962" t="s">
        <v>5053</v>
      </c>
      <c r="G2962" t="s">
        <v>37</v>
      </c>
      <c r="H2962">
        <v>1987</v>
      </c>
      <c r="I2962">
        <v>25.899999618530298</v>
      </c>
      <c r="J2962">
        <v>11.5</v>
      </c>
      <c r="K2962">
        <v>66</v>
      </c>
      <c r="L2962">
        <v>9.7399997711181605</v>
      </c>
      <c r="M2962">
        <v>34.5</v>
      </c>
      <c r="N2962">
        <v>17.100000381469702</v>
      </c>
      <c r="O2962">
        <v>17.399999618530298</v>
      </c>
      <c r="P2962">
        <v>25.299999237060501</v>
      </c>
      <c r="Q2962">
        <v>25.299999237060501</v>
      </c>
      <c r="R2962">
        <v>27.200000762939499</v>
      </c>
      <c r="S2962">
        <v>25</v>
      </c>
      <c r="T2962">
        <v>2605</v>
      </c>
      <c r="U2962">
        <v>417</v>
      </c>
      <c r="V2962">
        <v>10</v>
      </c>
      <c r="W2962">
        <v>64</v>
      </c>
      <c r="X2962">
        <v>1162</v>
      </c>
      <c r="Y2962">
        <v>88</v>
      </c>
      <c r="Z2962">
        <v>527</v>
      </c>
      <c r="AA2962">
        <v>1156</v>
      </c>
      <c r="AB2962">
        <v>124.683889696462</v>
      </c>
      <c r="AC2962">
        <v>1.0455530424129E-2</v>
      </c>
      <c r="AD2962">
        <v>16.522672755672801</v>
      </c>
      <c r="AE2962">
        <v>0.27351239323616</v>
      </c>
      <c r="AF2962">
        <v>307.625649913345</v>
      </c>
      <c r="AG2962">
        <f>IFERROR(AH2962*0.1, "N/A")</f>
        <v>5.2</v>
      </c>
      <c r="AH2962">
        <v>52</v>
      </c>
      <c r="AI2962">
        <v>158.439232388237</v>
      </c>
      <c r="AJ2962">
        <v>26.0849220103986</v>
      </c>
      <c r="AK2962">
        <v>55.3726169844021</v>
      </c>
    </row>
    <row r="2963" spans="1:37" x14ac:dyDescent="0.3">
      <c r="A2963">
        <v>2962</v>
      </c>
      <c r="B2963">
        <v>43.700001</v>
      </c>
      <c r="C2963">
        <v>-10.890359999999999</v>
      </c>
      <c r="D2963">
        <v>8.2473650000000003</v>
      </c>
      <c r="E2963">
        <f>-10.89036-8.247365</f>
        <v>-19.137725</v>
      </c>
      <c r="F2963" t="s">
        <v>5054</v>
      </c>
      <c r="G2963" t="s">
        <v>39</v>
      </c>
      <c r="H2963">
        <v>1987</v>
      </c>
      <c r="I2963">
        <v>25.899999618530298</v>
      </c>
      <c r="J2963">
        <v>11.5</v>
      </c>
      <c r="K2963">
        <v>66</v>
      </c>
      <c r="L2963">
        <v>9.7399997711181605</v>
      </c>
      <c r="M2963">
        <v>34.5</v>
      </c>
      <c r="N2963">
        <v>17.100000381469702</v>
      </c>
      <c r="O2963">
        <v>17.399999618530298</v>
      </c>
      <c r="P2963">
        <v>25.299999237060501</v>
      </c>
      <c r="Q2963">
        <v>25.299999237060501</v>
      </c>
      <c r="R2963">
        <v>27.200000762939499</v>
      </c>
      <c r="S2963">
        <v>25</v>
      </c>
      <c r="T2963">
        <v>2605</v>
      </c>
      <c r="U2963">
        <v>417</v>
      </c>
      <c r="V2963">
        <v>10</v>
      </c>
      <c r="W2963">
        <v>64</v>
      </c>
      <c r="X2963">
        <v>1162</v>
      </c>
      <c r="Y2963">
        <v>88</v>
      </c>
      <c r="Z2963">
        <v>527</v>
      </c>
      <c r="AA2963">
        <v>1156</v>
      </c>
      <c r="AB2963">
        <v>124.808167298635</v>
      </c>
      <c r="AC2963">
        <v>1.0414924029544999E-2</v>
      </c>
      <c r="AD2963">
        <v>16.457028865814198</v>
      </c>
      <c r="AE2963">
        <v>0.27351239323616</v>
      </c>
      <c r="AF2963">
        <v>307.866319444444</v>
      </c>
      <c r="AG2963">
        <f>IFERROR(AH2963*0.1, "N/A")</f>
        <v>5.2</v>
      </c>
      <c r="AH2963">
        <v>52</v>
      </c>
      <c r="AI2963">
        <v>159.06855086485501</v>
      </c>
      <c r="AJ2963">
        <v>26.0833333333333</v>
      </c>
      <c r="AK2963">
        <v>55.375</v>
      </c>
    </row>
    <row r="2964" spans="1:37" x14ac:dyDescent="0.3">
      <c r="A2964">
        <v>2963</v>
      </c>
      <c r="B2964">
        <v>43.700001</v>
      </c>
      <c r="C2964">
        <v>-10.890370000000001</v>
      </c>
      <c r="D2964">
        <v>8.2473659999999995</v>
      </c>
      <c r="E2964">
        <f>-10.89037-8.247366</f>
        <v>-19.137736</v>
      </c>
      <c r="F2964" t="s">
        <v>5055</v>
      </c>
      <c r="G2964" t="s">
        <v>39</v>
      </c>
      <c r="H2964">
        <v>1987</v>
      </c>
      <c r="I2964">
        <v>25.899999618530298</v>
      </c>
      <c r="J2964">
        <v>11.5</v>
      </c>
      <c r="K2964">
        <v>66</v>
      </c>
      <c r="L2964">
        <v>9.7399997711181605</v>
      </c>
      <c r="M2964">
        <v>34.5</v>
      </c>
      <c r="N2964">
        <v>17.100000381469702</v>
      </c>
      <c r="O2964">
        <v>17.399999618530298</v>
      </c>
      <c r="P2964">
        <v>25.299999237060501</v>
      </c>
      <c r="Q2964">
        <v>25.299999237060501</v>
      </c>
      <c r="R2964">
        <v>27.200000762939499</v>
      </c>
      <c r="S2964">
        <v>25</v>
      </c>
      <c r="T2964">
        <v>2605</v>
      </c>
      <c r="U2964">
        <v>417</v>
      </c>
      <c r="V2964">
        <v>10</v>
      </c>
      <c r="W2964">
        <v>64</v>
      </c>
      <c r="X2964">
        <v>1162</v>
      </c>
      <c r="Y2964">
        <v>88</v>
      </c>
      <c r="Z2964">
        <v>527</v>
      </c>
      <c r="AA2964">
        <v>1156</v>
      </c>
      <c r="AB2964">
        <v>124.93698676427201</v>
      </c>
      <c r="AC2964">
        <v>1.0385544870385E-2</v>
      </c>
      <c r="AD2964">
        <v>16.398880302906001</v>
      </c>
      <c r="AE2964">
        <v>0.27351239323616</v>
      </c>
      <c r="AF2964">
        <v>308.039930555556</v>
      </c>
      <c r="AG2964">
        <f>IFERROR(AH2964*0.1, "N/A")</f>
        <v>5.2</v>
      </c>
      <c r="AH2964">
        <v>52</v>
      </c>
      <c r="AI2964">
        <v>159.45980664094299</v>
      </c>
      <c r="AJ2964">
        <v>26.0833333333333</v>
      </c>
      <c r="AK2964">
        <v>55.375</v>
      </c>
    </row>
    <row r="2965" spans="1:37" x14ac:dyDescent="0.3">
      <c r="A2965">
        <v>2964</v>
      </c>
      <c r="B2965">
        <v>10.6</v>
      </c>
      <c r="C2965">
        <v>-10.89038</v>
      </c>
      <c r="D2965">
        <v>8.2473670000000006</v>
      </c>
      <c r="E2965">
        <f>-10.89038-8.247367</f>
        <v>-19.137747000000001</v>
      </c>
      <c r="F2965" t="s">
        <v>5056</v>
      </c>
      <c r="G2965" t="s">
        <v>37</v>
      </c>
      <c r="H2965">
        <v>1987</v>
      </c>
      <c r="I2965">
        <v>25.899999618530298</v>
      </c>
      <c r="J2965">
        <v>11.5</v>
      </c>
      <c r="K2965">
        <v>66</v>
      </c>
      <c r="L2965">
        <v>9.7399997711181605</v>
      </c>
      <c r="M2965">
        <v>34.5</v>
      </c>
      <c r="N2965">
        <v>17.100000381469702</v>
      </c>
      <c r="O2965">
        <v>17.399999618530298</v>
      </c>
      <c r="P2965">
        <v>25.299999237060501</v>
      </c>
      <c r="Q2965">
        <v>25.299999237060501</v>
      </c>
      <c r="R2965">
        <v>27.200000762939499</v>
      </c>
      <c r="S2965">
        <v>25</v>
      </c>
      <c r="T2965">
        <v>2605</v>
      </c>
      <c r="U2965">
        <v>417</v>
      </c>
      <c r="V2965">
        <v>10</v>
      </c>
      <c r="W2965">
        <v>64</v>
      </c>
      <c r="X2965">
        <v>1162</v>
      </c>
      <c r="Y2965">
        <v>88</v>
      </c>
      <c r="Z2965">
        <v>527</v>
      </c>
      <c r="AA2965">
        <v>1156</v>
      </c>
      <c r="AB2965">
        <v>124.995674834094</v>
      </c>
      <c r="AC2965">
        <v>1.0352881576871999E-2</v>
      </c>
      <c r="AD2965">
        <v>16.347470708281801</v>
      </c>
      <c r="AE2965">
        <v>0.27351239323616</v>
      </c>
      <c r="AF2965">
        <v>308.20277296360501</v>
      </c>
      <c r="AG2965">
        <f>IFERROR(AH2965*0.1, "N/A")</f>
        <v>5.2</v>
      </c>
      <c r="AH2965">
        <v>52</v>
      </c>
      <c r="AI2965">
        <v>159.967589208117</v>
      </c>
      <c r="AJ2965">
        <v>26.0849220103986</v>
      </c>
      <c r="AK2965">
        <v>55.3726169844021</v>
      </c>
    </row>
    <row r="2966" spans="1:37" x14ac:dyDescent="0.3">
      <c r="A2966">
        <v>2965</v>
      </c>
      <c r="B2966">
        <v>0</v>
      </c>
      <c r="C2966">
        <v>-12.183332999999999</v>
      </c>
      <c r="D2966">
        <v>12.55</v>
      </c>
      <c r="E2966">
        <f>-12.183333-12.55</f>
        <v>-24.733333000000002</v>
      </c>
      <c r="F2966" t="s">
        <v>5057</v>
      </c>
      <c r="G2966" t="s">
        <v>37</v>
      </c>
      <c r="H2966">
        <v>2008</v>
      </c>
      <c r="I2966">
        <v>28.477026939392101</v>
      </c>
      <c r="J2966">
        <v>13.1810809986011</v>
      </c>
      <c r="K2966">
        <v>57</v>
      </c>
      <c r="L2966">
        <v>24.120996478441601</v>
      </c>
      <c r="M2966">
        <v>40.0770258516879</v>
      </c>
      <c r="N2966">
        <v>17.1810817718506</v>
      </c>
      <c r="O2966">
        <v>22.895945549011198</v>
      </c>
      <c r="P2966">
        <v>26.697128824285599</v>
      </c>
      <c r="Q2966">
        <v>28.799999237060501</v>
      </c>
      <c r="R2966">
        <v>32.193074316591797</v>
      </c>
      <c r="S2966">
        <v>26.299999237060501</v>
      </c>
      <c r="T2966">
        <v>1203.1891891891901</v>
      </c>
      <c r="U2966">
        <v>317</v>
      </c>
      <c r="V2966">
        <v>0</v>
      </c>
      <c r="W2966">
        <v>118</v>
      </c>
      <c r="X2966">
        <v>858.18918918918905</v>
      </c>
      <c r="Y2966">
        <v>0</v>
      </c>
      <c r="Z2966">
        <v>57</v>
      </c>
      <c r="AA2966">
        <v>8</v>
      </c>
      <c r="AB2966">
        <v>10.709625437453001</v>
      </c>
      <c r="AC2966">
        <v>628.66525707566802</v>
      </c>
      <c r="AD2966">
        <v>2.5168335824399399</v>
      </c>
      <c r="AE2966">
        <v>0.47461099872315199</v>
      </c>
      <c r="AF2966">
        <v>117.454391891892</v>
      </c>
      <c r="AG2966">
        <f>IFERROR(AH2966*0.1, "N/A")</f>
        <v>6.9030405405405411</v>
      </c>
      <c r="AH2966">
        <v>69.030405405405403</v>
      </c>
      <c r="AI2966">
        <v>138.082196738269</v>
      </c>
      <c r="AJ2966">
        <v>32.834459459459502</v>
      </c>
      <c r="AK2966">
        <v>38.165540540540498</v>
      </c>
    </row>
    <row r="2967" spans="1:37" x14ac:dyDescent="0.3">
      <c r="A2967">
        <v>2966</v>
      </c>
      <c r="B2967">
        <v>96.099997999999999</v>
      </c>
      <c r="C2967">
        <v>-12.183334</v>
      </c>
      <c r="D2967">
        <v>12.56</v>
      </c>
      <c r="E2967">
        <f>-12.183334-12.56</f>
        <v>-24.743334000000001</v>
      </c>
      <c r="F2967" t="s">
        <v>5058</v>
      </c>
      <c r="G2967" t="s">
        <v>39</v>
      </c>
      <c r="H2967">
        <v>2008</v>
      </c>
      <c r="I2967">
        <v>28.5</v>
      </c>
      <c r="J2967">
        <v>13.199999809265099</v>
      </c>
      <c r="K2967">
        <v>57</v>
      </c>
      <c r="L2967">
        <v>23.826897756932102</v>
      </c>
      <c r="M2967">
        <v>40.099998474121101</v>
      </c>
      <c r="N2967">
        <v>17.1798311944735</v>
      </c>
      <c r="O2967">
        <v>22.920169186996201</v>
      </c>
      <c r="P2967">
        <v>26.700000762939499</v>
      </c>
      <c r="Q2967">
        <v>28.799999237060501</v>
      </c>
      <c r="R2967">
        <v>32.120168427289499</v>
      </c>
      <c r="S2967">
        <v>26.299999237060501</v>
      </c>
      <c r="T2967">
        <v>1197.2016949152501</v>
      </c>
      <c r="U2967">
        <v>316</v>
      </c>
      <c r="V2967">
        <v>0</v>
      </c>
      <c r="W2967">
        <v>119</v>
      </c>
      <c r="X2967">
        <v>856</v>
      </c>
      <c r="Y2967">
        <v>0</v>
      </c>
      <c r="Z2967">
        <v>55.201694915254201</v>
      </c>
      <c r="AA2967">
        <v>8</v>
      </c>
      <c r="AB2967">
        <v>5.8401697320453199</v>
      </c>
      <c r="AC2967">
        <v>2.9498477106503999E-2</v>
      </c>
      <c r="AD2967">
        <v>1.97546080088211</v>
      </c>
      <c r="AE2967">
        <v>0.49010998010635398</v>
      </c>
      <c r="AF2967">
        <v>119.059322033898</v>
      </c>
      <c r="AG2967">
        <f>IFERROR(AH2967*0.1, "N/A")</f>
        <v>6.6562711864406801</v>
      </c>
      <c r="AH2967">
        <v>66.562711864406793</v>
      </c>
      <c r="AI2967">
        <v>52.846066741620099</v>
      </c>
      <c r="AJ2967">
        <v>29.664406779661</v>
      </c>
      <c r="AK2967">
        <v>44</v>
      </c>
    </row>
    <row r="2968" spans="1:37" x14ac:dyDescent="0.3">
      <c r="A2968">
        <v>2967</v>
      </c>
      <c r="B2968">
        <v>0</v>
      </c>
      <c r="C2968">
        <v>-12.183335</v>
      </c>
      <c r="D2968">
        <v>12.57</v>
      </c>
      <c r="E2968">
        <f>-12.183335-12.57</f>
        <v>-24.753335</v>
      </c>
      <c r="F2968" t="s">
        <v>5059</v>
      </c>
      <c r="G2968" t="s">
        <v>37</v>
      </c>
      <c r="H2968">
        <v>2008</v>
      </c>
      <c r="I2968">
        <v>28.399999618530298</v>
      </c>
      <c r="J2968">
        <v>13.1000003814697</v>
      </c>
      <c r="K2968">
        <v>57</v>
      </c>
      <c r="L2968">
        <v>24.276271399805101</v>
      </c>
      <c r="M2968">
        <v>40</v>
      </c>
      <c r="N2968">
        <v>17.100000381469702</v>
      </c>
      <c r="O2968">
        <v>22.899999618530298</v>
      </c>
      <c r="P2968">
        <v>26.600000381469702</v>
      </c>
      <c r="Q2968">
        <v>28.799999237060501</v>
      </c>
      <c r="R2968">
        <v>32.120337922694297</v>
      </c>
      <c r="S2968">
        <v>26.1203394421076</v>
      </c>
      <c r="T2968">
        <v>1198.7966101694899</v>
      </c>
      <c r="U2968">
        <v>316</v>
      </c>
      <c r="V2968">
        <v>0</v>
      </c>
      <c r="W2968">
        <v>119</v>
      </c>
      <c r="X2968">
        <v>857</v>
      </c>
      <c r="Y2968">
        <v>0</v>
      </c>
      <c r="Z2968">
        <v>55</v>
      </c>
      <c r="AA2968">
        <v>8</v>
      </c>
      <c r="AB2968">
        <v>7.7020345655538298</v>
      </c>
      <c r="AC2968">
        <v>4.6261370167831002E-2</v>
      </c>
      <c r="AD2968">
        <v>2.01326526221583</v>
      </c>
      <c r="AE2968">
        <v>0.33510440587997398</v>
      </c>
      <c r="AF2968">
        <v>132.71694915254201</v>
      </c>
      <c r="AG2968">
        <f>IFERROR(AH2968*0.1, "N/A")</f>
        <v>6.9132203389830496</v>
      </c>
      <c r="AH2968">
        <v>69.132203389830494</v>
      </c>
      <c r="AI2968">
        <v>123.741222536766</v>
      </c>
      <c r="AJ2968">
        <v>29.484745762711899</v>
      </c>
      <c r="AK2968">
        <v>46.413559322033898</v>
      </c>
    </row>
    <row r="2969" spans="1:37" x14ac:dyDescent="0.3">
      <c r="A2969">
        <v>2968</v>
      </c>
      <c r="B2969">
        <v>0</v>
      </c>
      <c r="C2969">
        <v>-12.183336000000001</v>
      </c>
      <c r="D2969">
        <v>12.58</v>
      </c>
      <c r="E2969">
        <f>-12.183336-12.58</f>
        <v>-24.763336000000002</v>
      </c>
      <c r="F2969" t="s">
        <v>5060</v>
      </c>
      <c r="G2969" t="s">
        <v>37</v>
      </c>
      <c r="H2969">
        <v>2008</v>
      </c>
      <c r="I2969">
        <v>28.3203038830442</v>
      </c>
      <c r="J2969">
        <v>13.1000003814697</v>
      </c>
      <c r="K2969">
        <v>57</v>
      </c>
      <c r="L2969">
        <v>24.313147907934798</v>
      </c>
      <c r="M2969">
        <v>39.920305784583697</v>
      </c>
      <c r="N2969">
        <v>17.0203046459837</v>
      </c>
      <c r="O2969">
        <v>22.899999618530298</v>
      </c>
      <c r="P2969">
        <v>26.5203046459837</v>
      </c>
      <c r="Q2969">
        <v>28.720305021644201</v>
      </c>
      <c r="R2969">
        <v>32.020304258704797</v>
      </c>
      <c r="S2969">
        <v>26.060913550672201</v>
      </c>
      <c r="T2969">
        <v>1199.7817258883199</v>
      </c>
      <c r="U2969">
        <v>315.79695431472101</v>
      </c>
      <c r="V2969">
        <v>0</v>
      </c>
      <c r="W2969">
        <v>118.20304568527899</v>
      </c>
      <c r="X2969">
        <v>857.187817258883</v>
      </c>
      <c r="Y2969">
        <v>0</v>
      </c>
      <c r="Z2969">
        <v>55</v>
      </c>
      <c r="AA2969">
        <v>8</v>
      </c>
      <c r="AB2969">
        <v>7.40964643604259</v>
      </c>
      <c r="AC2969">
        <v>0.35692399515031298</v>
      </c>
      <c r="AD2969">
        <v>3.9364573995877401</v>
      </c>
      <c r="AE2969">
        <v>0.30609643459320102</v>
      </c>
      <c r="AF2969">
        <v>144.02199661590501</v>
      </c>
      <c r="AG2969">
        <f>IFERROR(AH2969*0.1, "N/A")</f>
        <v>6.5905245346869705</v>
      </c>
      <c r="AH2969">
        <v>65.905245346869705</v>
      </c>
      <c r="AI2969">
        <v>67.171038001523598</v>
      </c>
      <c r="AJ2969">
        <v>28.5211505922166</v>
      </c>
      <c r="AK2969">
        <v>46.7546531302877</v>
      </c>
    </row>
    <row r="2970" spans="1:37" x14ac:dyDescent="0.3">
      <c r="A2970">
        <v>2969</v>
      </c>
      <c r="B2970">
        <v>96.099997999999999</v>
      </c>
      <c r="C2970">
        <v>-12.183337</v>
      </c>
      <c r="D2970">
        <v>12.59</v>
      </c>
      <c r="E2970">
        <f>-12.183337-12.59</f>
        <v>-24.773336999999998</v>
      </c>
      <c r="F2970" t="s">
        <v>5061</v>
      </c>
      <c r="G2970" t="s">
        <v>39</v>
      </c>
      <c r="H2970">
        <v>2008</v>
      </c>
      <c r="I2970">
        <v>28.2198309688245</v>
      </c>
      <c r="J2970">
        <v>13.1000003814697</v>
      </c>
      <c r="K2970">
        <v>57</v>
      </c>
      <c r="L2970">
        <v>24.197677919420101</v>
      </c>
      <c r="M2970">
        <v>39.719830968824503</v>
      </c>
      <c r="N2970">
        <v>17</v>
      </c>
      <c r="O2970">
        <v>22.7198309688245</v>
      </c>
      <c r="P2970">
        <v>26.4198302026522</v>
      </c>
      <c r="Q2970">
        <v>28.619830965591699</v>
      </c>
      <c r="R2970">
        <v>31.9198302026522</v>
      </c>
      <c r="S2970">
        <v>26</v>
      </c>
      <c r="T2970">
        <v>1199.40508474576</v>
      </c>
      <c r="U2970">
        <v>315.80169491525402</v>
      </c>
      <c r="V2970">
        <v>0</v>
      </c>
      <c r="W2970">
        <v>118.198305084746</v>
      </c>
      <c r="X2970">
        <v>857.60338983050895</v>
      </c>
      <c r="Y2970">
        <v>0</v>
      </c>
      <c r="Z2970">
        <v>55</v>
      </c>
      <c r="AA2970">
        <v>8</v>
      </c>
      <c r="AB2970">
        <v>36.993221502788998</v>
      </c>
      <c r="AC2970">
        <v>1.3099462188528E-2</v>
      </c>
      <c r="AD2970">
        <v>0.98792823987492095</v>
      </c>
      <c r="AE2970">
        <v>0.22936414182186099</v>
      </c>
      <c r="AF2970">
        <v>168.84406779661001</v>
      </c>
      <c r="AG2970">
        <f>IFERROR(AH2970*0.1, "N/A")</f>
        <v>6.8923728813559295</v>
      </c>
      <c r="AH2970">
        <v>68.923728813559293</v>
      </c>
      <c r="AI2970">
        <v>210.689111845372</v>
      </c>
      <c r="AJ2970">
        <v>28.984745762711899</v>
      </c>
      <c r="AK2970">
        <v>44.015254237288097</v>
      </c>
    </row>
    <row r="2971" spans="1:37" x14ac:dyDescent="0.3">
      <c r="A2971">
        <v>2970</v>
      </c>
      <c r="B2971">
        <v>0.2</v>
      </c>
      <c r="C2971">
        <v>-15.84075</v>
      </c>
      <c r="D2971">
        <v>16.247568999999999</v>
      </c>
      <c r="E2971">
        <f>-15.84075-16.247569</f>
        <v>-32.088318999999998</v>
      </c>
      <c r="F2971" t="s">
        <v>5062</v>
      </c>
      <c r="G2971" t="s">
        <v>39</v>
      </c>
      <c r="H2971">
        <v>2003</v>
      </c>
      <c r="I2971">
        <v>27.200000762939499</v>
      </c>
      <c r="J2971">
        <v>14.6000003814697</v>
      </c>
      <c r="K2971">
        <v>66</v>
      </c>
      <c r="L2971">
        <v>22.9899997711182</v>
      </c>
      <c r="M2971">
        <v>36.900001525878899</v>
      </c>
      <c r="N2971">
        <v>14.800000190734901</v>
      </c>
      <c r="O2971">
        <v>22.100000381469702</v>
      </c>
      <c r="P2971">
        <v>29.100000381469702</v>
      </c>
      <c r="Q2971">
        <v>27.100000381469702</v>
      </c>
      <c r="R2971">
        <v>29.299999237060501</v>
      </c>
      <c r="S2971">
        <v>23.600000381469702</v>
      </c>
      <c r="T2971">
        <v>252</v>
      </c>
      <c r="U2971">
        <v>93</v>
      </c>
      <c r="V2971">
        <v>0</v>
      </c>
      <c r="W2971">
        <v>146</v>
      </c>
      <c r="X2971">
        <v>218</v>
      </c>
      <c r="Y2971">
        <v>0</v>
      </c>
      <c r="Z2971">
        <v>148</v>
      </c>
      <c r="AA2971">
        <v>3</v>
      </c>
      <c r="AB2971">
        <v>0</v>
      </c>
      <c r="AC2971">
        <v>0.102211297672254</v>
      </c>
      <c r="AD2971">
        <v>0</v>
      </c>
      <c r="AE2971" t="s">
        <v>729</v>
      </c>
      <c r="AF2971">
        <v>-2</v>
      </c>
      <c r="AG2971" t="str">
        <f>IFERROR(AH2971*0.1, "N/A")</f>
        <v>N/A</v>
      </c>
      <c r="AH2971" t="s">
        <v>729</v>
      </c>
      <c r="AI2971">
        <v>0</v>
      </c>
      <c r="AJ2971" t="s">
        <v>729</v>
      </c>
      <c r="AK2971" t="s">
        <v>729</v>
      </c>
    </row>
    <row r="2972" spans="1:37" x14ac:dyDescent="0.3">
      <c r="A2972">
        <v>2971</v>
      </c>
      <c r="B2972">
        <v>0</v>
      </c>
      <c r="C2972">
        <v>-16.811938999999999</v>
      </c>
      <c r="D2972">
        <v>14.952672</v>
      </c>
      <c r="E2972">
        <f>-16.811939-14.952672</f>
        <v>-31.764610999999999</v>
      </c>
      <c r="F2972" t="s">
        <v>5063</v>
      </c>
      <c r="G2972" t="s">
        <v>39</v>
      </c>
      <c r="H2972">
        <v>2001</v>
      </c>
      <c r="I2972">
        <v>25.600000381469702</v>
      </c>
      <c r="J2972">
        <v>12.800000190734901</v>
      </c>
      <c r="K2972">
        <v>69</v>
      </c>
      <c r="L2972">
        <v>16.149999618530298</v>
      </c>
      <c r="M2972">
        <v>33.400001525878899</v>
      </c>
      <c r="N2972">
        <v>14.8999996185303</v>
      </c>
      <c r="O2972">
        <v>18.5</v>
      </c>
      <c r="P2972">
        <v>27.100000381469702</v>
      </c>
      <c r="Q2972">
        <v>24.299999237060501</v>
      </c>
      <c r="R2972">
        <v>27.200000762939499</v>
      </c>
      <c r="S2972">
        <v>23.200000762939499</v>
      </c>
      <c r="T2972">
        <v>443</v>
      </c>
      <c r="U2972">
        <v>167</v>
      </c>
      <c r="V2972">
        <v>0</v>
      </c>
      <c r="W2972">
        <v>155</v>
      </c>
      <c r="X2972">
        <v>390</v>
      </c>
      <c r="Y2972">
        <v>0</v>
      </c>
      <c r="Z2972">
        <v>264</v>
      </c>
      <c r="AA2972">
        <v>1</v>
      </c>
      <c r="AB2972">
        <v>2.5243739413100599</v>
      </c>
      <c r="AC2972">
        <v>8.4295021914229992E-3</v>
      </c>
      <c r="AD2972">
        <v>0.84132646340161599</v>
      </c>
      <c r="AE2972">
        <v>0.925317943096161</v>
      </c>
      <c r="AF2972">
        <v>55.5843071786311</v>
      </c>
      <c r="AG2972">
        <f>IFERROR(AH2972*0.1, "N/A")</f>
        <v>6.5053422370617699</v>
      </c>
      <c r="AH2972">
        <v>65.053422370617696</v>
      </c>
      <c r="AI2972">
        <v>185.46289969366299</v>
      </c>
      <c r="AJ2972">
        <v>19</v>
      </c>
      <c r="AK2972">
        <v>67</v>
      </c>
    </row>
    <row r="2973" spans="1:37" x14ac:dyDescent="0.3">
      <c r="A2973">
        <v>2972</v>
      </c>
      <c r="B2973">
        <v>0</v>
      </c>
      <c r="C2973">
        <v>-16.81194</v>
      </c>
      <c r="D2973">
        <v>14.952673000000001</v>
      </c>
      <c r="E2973">
        <f>-16.81194-14.952673</f>
        <v>-31.764613000000001</v>
      </c>
      <c r="F2973" t="s">
        <v>5064</v>
      </c>
      <c r="G2973" t="s">
        <v>37</v>
      </c>
      <c r="H2973">
        <v>2001</v>
      </c>
      <c r="I2973">
        <v>25.600000381469702</v>
      </c>
      <c r="J2973">
        <v>12.800000190734901</v>
      </c>
      <c r="K2973">
        <v>69</v>
      </c>
      <c r="L2973">
        <v>16.149999618530298</v>
      </c>
      <c r="M2973">
        <v>33.400001525878899</v>
      </c>
      <c r="N2973">
        <v>14.8999996185303</v>
      </c>
      <c r="O2973">
        <v>18.5</v>
      </c>
      <c r="P2973">
        <v>27.100000381469702</v>
      </c>
      <c r="Q2973">
        <v>24.299999237060501</v>
      </c>
      <c r="R2973">
        <v>27.200000762939499</v>
      </c>
      <c r="S2973">
        <v>23.200000762939499</v>
      </c>
      <c r="T2973">
        <v>443</v>
      </c>
      <c r="U2973">
        <v>167</v>
      </c>
      <c r="V2973">
        <v>0</v>
      </c>
      <c r="W2973">
        <v>155</v>
      </c>
      <c r="X2973">
        <v>390</v>
      </c>
      <c r="Y2973">
        <v>0</v>
      </c>
      <c r="Z2973">
        <v>264</v>
      </c>
      <c r="AA2973">
        <v>1</v>
      </c>
      <c r="AB2973">
        <v>2.5243739413100599</v>
      </c>
      <c r="AC2973">
        <v>8.4295021914229992E-3</v>
      </c>
      <c r="AD2973">
        <v>0.84132646340161599</v>
      </c>
      <c r="AE2973">
        <v>0.925317943096161</v>
      </c>
      <c r="AF2973">
        <v>55.5843071786311</v>
      </c>
      <c r="AG2973">
        <f>IFERROR(AH2973*0.1, "N/A")</f>
        <v>6.5053422370617699</v>
      </c>
      <c r="AH2973">
        <v>65.053422370617696</v>
      </c>
      <c r="AI2973">
        <v>185.46289969366299</v>
      </c>
      <c r="AJ2973">
        <v>19</v>
      </c>
      <c r="AK2973">
        <v>67</v>
      </c>
    </row>
    <row r="2974" spans="1:37" x14ac:dyDescent="0.3">
      <c r="A2974">
        <v>2973</v>
      </c>
      <c r="B2974">
        <v>0</v>
      </c>
      <c r="C2974">
        <v>-16.811941000000001</v>
      </c>
      <c r="D2974">
        <v>14.952674</v>
      </c>
      <c r="E2974">
        <f>-16.811941-14.952674</f>
        <v>-31.764614999999999</v>
      </c>
      <c r="F2974" t="s">
        <v>5065</v>
      </c>
      <c r="G2974" t="s">
        <v>39</v>
      </c>
      <c r="H2974">
        <v>2001</v>
      </c>
      <c r="I2974">
        <v>25.600000381469702</v>
      </c>
      <c r="J2974">
        <v>12.800000190734901</v>
      </c>
      <c r="K2974">
        <v>69</v>
      </c>
      <c r="L2974">
        <v>16.149999618530298</v>
      </c>
      <c r="M2974">
        <v>33.400001525878899</v>
      </c>
      <c r="N2974">
        <v>14.8999996185303</v>
      </c>
      <c r="O2974">
        <v>18.5</v>
      </c>
      <c r="P2974">
        <v>27.100000381469702</v>
      </c>
      <c r="Q2974">
        <v>24.299999237060501</v>
      </c>
      <c r="R2974">
        <v>27.200000762939499</v>
      </c>
      <c r="S2974">
        <v>23.200000762939499</v>
      </c>
      <c r="T2974">
        <v>443</v>
      </c>
      <c r="U2974">
        <v>167</v>
      </c>
      <c r="V2974">
        <v>0</v>
      </c>
      <c r="W2974">
        <v>155</v>
      </c>
      <c r="X2974">
        <v>390</v>
      </c>
      <c r="Y2974">
        <v>0</v>
      </c>
      <c r="Z2974">
        <v>264</v>
      </c>
      <c r="AA2974">
        <v>1</v>
      </c>
      <c r="AB2974">
        <v>2.5243739413100599</v>
      </c>
      <c r="AC2974">
        <v>8.4295021914229992E-3</v>
      </c>
      <c r="AD2974">
        <v>0.84132646340161599</v>
      </c>
      <c r="AE2974">
        <v>0.925317943096161</v>
      </c>
      <c r="AF2974">
        <v>55.5843071786311</v>
      </c>
      <c r="AG2974">
        <f>IFERROR(AH2974*0.1, "N/A")</f>
        <v>6.5053422370617699</v>
      </c>
      <c r="AH2974">
        <v>65.053422370617696</v>
      </c>
      <c r="AI2974">
        <v>185.46289969366299</v>
      </c>
      <c r="AJ2974">
        <v>19</v>
      </c>
      <c r="AK2974">
        <v>67</v>
      </c>
    </row>
    <row r="2975" spans="1:37" x14ac:dyDescent="0.3">
      <c r="A2975">
        <v>2974</v>
      </c>
      <c r="B2975">
        <v>0</v>
      </c>
      <c r="C2975">
        <v>-16.811941999999998</v>
      </c>
      <c r="D2975">
        <v>14.952674999999999</v>
      </c>
      <c r="E2975">
        <f>-16.811942-14.952675</f>
        <v>-31.764616999999998</v>
      </c>
      <c r="F2975" t="s">
        <v>5066</v>
      </c>
      <c r="G2975" t="s">
        <v>39</v>
      </c>
      <c r="H2975">
        <v>2001</v>
      </c>
      <c r="I2975">
        <v>25.600000381469702</v>
      </c>
      <c r="J2975">
        <v>12.800000190734901</v>
      </c>
      <c r="K2975">
        <v>69</v>
      </c>
      <c r="L2975">
        <v>16.149999618530298</v>
      </c>
      <c r="M2975">
        <v>33.400001525878899</v>
      </c>
      <c r="N2975">
        <v>14.8999996185303</v>
      </c>
      <c r="O2975">
        <v>18.5</v>
      </c>
      <c r="P2975">
        <v>27.100000381469702</v>
      </c>
      <c r="Q2975">
        <v>24.299999237060501</v>
      </c>
      <c r="R2975">
        <v>27.200000762939499</v>
      </c>
      <c r="S2975">
        <v>23.200000762939499</v>
      </c>
      <c r="T2975">
        <v>443</v>
      </c>
      <c r="U2975">
        <v>167</v>
      </c>
      <c r="V2975">
        <v>0</v>
      </c>
      <c r="W2975">
        <v>155</v>
      </c>
      <c r="X2975">
        <v>390</v>
      </c>
      <c r="Y2975">
        <v>0</v>
      </c>
      <c r="Z2975">
        <v>264</v>
      </c>
      <c r="AA2975">
        <v>1</v>
      </c>
      <c r="AB2975">
        <v>2.5344999949137401</v>
      </c>
      <c r="AC2975">
        <v>8.4567723392200006E-3</v>
      </c>
      <c r="AD2975">
        <v>0.84051262915134395</v>
      </c>
      <c r="AE2975">
        <v>0.925317943096161</v>
      </c>
      <c r="AF2975">
        <v>55.591666666666697</v>
      </c>
      <c r="AG2975">
        <f>IFERROR(AH2975*0.1, "N/A")</f>
        <v>6.50566666666667</v>
      </c>
      <c r="AH2975">
        <v>65.0566666666667</v>
      </c>
      <c r="AI2975">
        <v>186.261928507487</v>
      </c>
      <c r="AJ2975">
        <v>19</v>
      </c>
      <c r="AK2975">
        <v>67</v>
      </c>
    </row>
    <row r="2976" spans="1:37" x14ac:dyDescent="0.3">
      <c r="A2976">
        <v>2975</v>
      </c>
      <c r="B2976">
        <v>0</v>
      </c>
      <c r="C2976">
        <v>-16.811942999999999</v>
      </c>
      <c r="D2976">
        <v>14.952676</v>
      </c>
      <c r="E2976">
        <f>-16.811943-14.952676</f>
        <v>-31.764619</v>
      </c>
      <c r="F2976" t="s">
        <v>5067</v>
      </c>
      <c r="G2976" t="s">
        <v>37</v>
      </c>
      <c r="H2976">
        <v>2001</v>
      </c>
      <c r="I2976">
        <v>25.600000381469702</v>
      </c>
      <c r="J2976">
        <v>12.800000190734901</v>
      </c>
      <c r="K2976">
        <v>69</v>
      </c>
      <c r="L2976">
        <v>16.149999618530298</v>
      </c>
      <c r="M2976">
        <v>33.400001525878899</v>
      </c>
      <c r="N2976">
        <v>14.8999996185303</v>
      </c>
      <c r="O2976">
        <v>18.5</v>
      </c>
      <c r="P2976">
        <v>27.100000381469702</v>
      </c>
      <c r="Q2976">
        <v>24.299999237060501</v>
      </c>
      <c r="R2976">
        <v>27.200000762939499</v>
      </c>
      <c r="S2976">
        <v>23.200000762939499</v>
      </c>
      <c r="T2976">
        <v>443</v>
      </c>
      <c r="U2976">
        <v>167</v>
      </c>
      <c r="V2976">
        <v>0</v>
      </c>
      <c r="W2976">
        <v>155</v>
      </c>
      <c r="X2976">
        <v>390</v>
      </c>
      <c r="Y2976">
        <v>0</v>
      </c>
      <c r="Z2976">
        <v>264</v>
      </c>
      <c r="AA2976">
        <v>1</v>
      </c>
      <c r="AB2976">
        <v>2.5344999949137401</v>
      </c>
      <c r="AC2976">
        <v>8.4567723392200006E-3</v>
      </c>
      <c r="AD2976">
        <v>0.84051262915134395</v>
      </c>
      <c r="AE2976">
        <v>0.925317943096161</v>
      </c>
      <c r="AF2976">
        <v>55.591666666666697</v>
      </c>
      <c r="AG2976">
        <f>IFERROR(AH2976*0.1, "N/A")</f>
        <v>6.50566666666667</v>
      </c>
      <c r="AH2976">
        <v>65.0566666666667</v>
      </c>
      <c r="AI2976">
        <v>186.261928507487</v>
      </c>
      <c r="AJ2976">
        <v>19</v>
      </c>
      <c r="AK2976">
        <v>67</v>
      </c>
    </row>
    <row r="2977" spans="1:37" x14ac:dyDescent="0.3">
      <c r="A2977">
        <v>2976</v>
      </c>
      <c r="B2977">
        <v>12</v>
      </c>
      <c r="C2977">
        <v>-15.954114000000001</v>
      </c>
      <c r="D2977">
        <v>14.896447</v>
      </c>
      <c r="E2977">
        <f>-15.954114-14.896447</f>
        <v>-30.850560999999999</v>
      </c>
      <c r="F2977" t="s">
        <v>5068</v>
      </c>
      <c r="G2977" t="s">
        <v>39</v>
      </c>
      <c r="H2977">
        <v>2004</v>
      </c>
      <c r="I2977">
        <v>26.799999237060501</v>
      </c>
      <c r="J2977">
        <v>15.699999809265099</v>
      </c>
      <c r="K2977">
        <v>66</v>
      </c>
      <c r="L2977">
        <v>18.930000305175799</v>
      </c>
      <c r="M2977">
        <v>37.799999237060497</v>
      </c>
      <c r="N2977">
        <v>14.199999809265099</v>
      </c>
      <c r="O2977">
        <v>23.600000381469702</v>
      </c>
      <c r="P2977">
        <v>27.600000381469702</v>
      </c>
      <c r="Q2977">
        <v>26.200000762939499</v>
      </c>
      <c r="R2977">
        <v>28.700000762939499</v>
      </c>
      <c r="S2977">
        <v>23.700000762939499</v>
      </c>
      <c r="T2977">
        <v>483</v>
      </c>
      <c r="U2977">
        <v>174</v>
      </c>
      <c r="V2977">
        <v>0</v>
      </c>
      <c r="W2977">
        <v>146</v>
      </c>
      <c r="X2977">
        <v>417</v>
      </c>
      <c r="Y2977">
        <v>0</v>
      </c>
      <c r="Z2977">
        <v>133</v>
      </c>
      <c r="AA2977">
        <v>2</v>
      </c>
      <c r="AB2977">
        <v>2.5696815989125299</v>
      </c>
      <c r="AC2977">
        <v>1.0024492215471E-2</v>
      </c>
      <c r="AD2977">
        <v>1.2040541563401499</v>
      </c>
      <c r="AE2977">
        <v>0.79413339800171701</v>
      </c>
      <c r="AF2977">
        <v>51.035175879397002</v>
      </c>
      <c r="AG2977">
        <f>IFERROR(AH2977*0.1, "N/A")</f>
        <v>5.8247906197654906</v>
      </c>
      <c r="AH2977">
        <v>58.247906197654899</v>
      </c>
      <c r="AI2977">
        <v>294.14434496881199</v>
      </c>
      <c r="AJ2977">
        <v>6.52093802345059</v>
      </c>
      <c r="AK2977">
        <v>83.958123953098806</v>
      </c>
    </row>
    <row r="2978" spans="1:37" x14ac:dyDescent="0.3">
      <c r="A2978">
        <v>2977</v>
      </c>
      <c r="B2978">
        <v>18</v>
      </c>
      <c r="C2978">
        <v>-16.167228000000001</v>
      </c>
      <c r="D2978">
        <v>14.088964000000001</v>
      </c>
      <c r="E2978">
        <f>-16.167228-14.088964</f>
        <v>-30.256192000000002</v>
      </c>
      <c r="F2978" t="s">
        <v>5069</v>
      </c>
      <c r="G2978" t="s">
        <v>39</v>
      </c>
      <c r="H2978">
        <v>2004</v>
      </c>
      <c r="I2978">
        <v>27.799999237060501</v>
      </c>
      <c r="J2978">
        <v>15.199999809265099</v>
      </c>
      <c r="K2978">
        <v>66</v>
      </c>
      <c r="L2978">
        <v>15.584545279994201</v>
      </c>
      <c r="M2978">
        <v>38.5</v>
      </c>
      <c r="N2978">
        <v>15.6696969523574</v>
      </c>
      <c r="O2978">
        <v>22.8303023829605</v>
      </c>
      <c r="P2978">
        <v>28.100000381469702</v>
      </c>
      <c r="Q2978">
        <v>27.799999237060501</v>
      </c>
      <c r="R2978">
        <v>29.5</v>
      </c>
      <c r="S2978">
        <v>25.399999618530298</v>
      </c>
      <c r="T2978">
        <v>632.30303030303003</v>
      </c>
      <c r="U2978">
        <v>224</v>
      </c>
      <c r="V2978">
        <v>0</v>
      </c>
      <c r="W2978">
        <v>144</v>
      </c>
      <c r="X2978">
        <v>535</v>
      </c>
      <c r="Y2978">
        <v>0</v>
      </c>
      <c r="Z2978">
        <v>46</v>
      </c>
      <c r="AA2978">
        <v>2</v>
      </c>
      <c r="AB2978">
        <v>1.8131313709297601</v>
      </c>
      <c r="AC2978">
        <v>1.1498740037639801</v>
      </c>
      <c r="AD2978">
        <v>1.6696324467357999</v>
      </c>
      <c r="AE2978">
        <v>0.75202119350433305</v>
      </c>
      <c r="AF2978">
        <v>8.5521885521885501</v>
      </c>
      <c r="AG2978">
        <f>IFERROR(AH2978*0.1, "N/A")</f>
        <v>5.8353535353535406</v>
      </c>
      <c r="AH2978">
        <v>58.353535353535399</v>
      </c>
      <c r="AI2978">
        <v>130.08795391108501</v>
      </c>
      <c r="AJ2978">
        <v>11.6767676767677</v>
      </c>
      <c r="AK2978">
        <v>76.7912457912458</v>
      </c>
    </row>
    <row r="2979" spans="1:37" x14ac:dyDescent="0.3">
      <c r="A2979">
        <v>2978</v>
      </c>
      <c r="B2979">
        <v>37.799999</v>
      </c>
      <c r="C2979">
        <v>-16.481816999999999</v>
      </c>
      <c r="D2979">
        <v>16.032630999999999</v>
      </c>
      <c r="E2979">
        <f>-16.481817-16.032631</f>
        <v>-32.514448000000002</v>
      </c>
      <c r="F2979" t="s">
        <v>5070</v>
      </c>
      <c r="G2979" t="s">
        <v>39</v>
      </c>
      <c r="H2979">
        <v>2004</v>
      </c>
      <c r="I2979">
        <v>24.700000762939499</v>
      </c>
      <c r="J2979">
        <v>10.214190180592199</v>
      </c>
      <c r="K2979">
        <v>60</v>
      </c>
      <c r="L2979">
        <v>23.6874957490644</v>
      </c>
      <c r="M2979">
        <v>32.200000762939503</v>
      </c>
      <c r="N2979">
        <v>15.199999809265099</v>
      </c>
      <c r="O2979">
        <v>17</v>
      </c>
      <c r="P2979">
        <v>27.600000381469702</v>
      </c>
      <c r="Q2979">
        <v>22.5141903713271</v>
      </c>
      <c r="R2979">
        <v>27.799999237060501</v>
      </c>
      <c r="S2979">
        <v>22.299999237060501</v>
      </c>
      <c r="T2979">
        <v>281.858096828047</v>
      </c>
      <c r="U2979">
        <v>105.858096828047</v>
      </c>
      <c r="V2979">
        <v>0</v>
      </c>
      <c r="W2979">
        <v>152.858096828047</v>
      </c>
      <c r="X2979">
        <v>242.858096828047</v>
      </c>
      <c r="Y2979">
        <v>0</v>
      </c>
      <c r="Z2979">
        <v>227.858096828047</v>
      </c>
      <c r="AA2979">
        <v>2.2838063439065102</v>
      </c>
      <c r="AB2979">
        <v>8.6811372951195995E-2</v>
      </c>
      <c r="AC2979">
        <v>3.062218230821E-2</v>
      </c>
      <c r="AD2979">
        <v>0.88739367409023096</v>
      </c>
      <c r="AE2979">
        <v>0.58905553817749001</v>
      </c>
      <c r="AF2979">
        <v>1.31218697829716</v>
      </c>
      <c r="AG2979">
        <f>IFERROR(AH2979*0.1, "N/A")</f>
        <v>6.890818030050081</v>
      </c>
      <c r="AH2979">
        <v>68.908180300500803</v>
      </c>
      <c r="AI2979">
        <v>167.89478048537899</v>
      </c>
      <c r="AJ2979">
        <v>24.709515859766299</v>
      </c>
      <c r="AK2979">
        <v>58.601001669449097</v>
      </c>
    </row>
    <row r="2980" spans="1:37" x14ac:dyDescent="0.3">
      <c r="A2980">
        <v>2979</v>
      </c>
      <c r="B2980">
        <v>0</v>
      </c>
      <c r="C2980">
        <v>-16.481818000000001</v>
      </c>
      <c r="D2980">
        <v>16.032632</v>
      </c>
      <c r="E2980">
        <f>-16.481818-16.032632</f>
        <v>-32.514449999999997</v>
      </c>
      <c r="F2980" t="s">
        <v>5071</v>
      </c>
      <c r="G2980" t="s">
        <v>39</v>
      </c>
      <c r="H2980">
        <v>2004</v>
      </c>
      <c r="I2980">
        <v>24.700000762939499</v>
      </c>
      <c r="J2980">
        <v>10.214190180592199</v>
      </c>
      <c r="K2980">
        <v>60</v>
      </c>
      <c r="L2980">
        <v>23.6874957490644</v>
      </c>
      <c r="M2980">
        <v>32.200000762939503</v>
      </c>
      <c r="N2980">
        <v>15.199999809265099</v>
      </c>
      <c r="O2980">
        <v>17</v>
      </c>
      <c r="P2980">
        <v>27.600000381469702</v>
      </c>
      <c r="Q2980">
        <v>22.5141903713271</v>
      </c>
      <c r="R2980">
        <v>27.799999237060501</v>
      </c>
      <c r="S2980">
        <v>22.299999237060501</v>
      </c>
      <c r="T2980">
        <v>281.858096828047</v>
      </c>
      <c r="U2980">
        <v>105.858096828047</v>
      </c>
      <c r="V2980">
        <v>0</v>
      </c>
      <c r="W2980">
        <v>152.858096828047</v>
      </c>
      <c r="X2980">
        <v>242.858096828047</v>
      </c>
      <c r="Y2980">
        <v>0</v>
      </c>
      <c r="Z2980">
        <v>227.858096828047</v>
      </c>
      <c r="AA2980">
        <v>2.2838063439065102</v>
      </c>
      <c r="AB2980">
        <v>8.6811372951195995E-2</v>
      </c>
      <c r="AC2980">
        <v>3.062218230821E-2</v>
      </c>
      <c r="AD2980">
        <v>0.88739367409023096</v>
      </c>
      <c r="AE2980">
        <v>0.58905553817749001</v>
      </c>
      <c r="AF2980">
        <v>1.31218697829716</v>
      </c>
      <c r="AG2980">
        <f>IFERROR(AH2980*0.1, "N/A")</f>
        <v>6.890818030050081</v>
      </c>
      <c r="AH2980">
        <v>68.908180300500803</v>
      </c>
      <c r="AI2980">
        <v>167.89478048537899</v>
      </c>
      <c r="AJ2980">
        <v>24.709515859766299</v>
      </c>
      <c r="AK2980">
        <v>58.601001669449097</v>
      </c>
    </row>
    <row r="2981" spans="1:37" x14ac:dyDescent="0.3">
      <c r="A2981">
        <v>2980</v>
      </c>
      <c r="B2981">
        <v>2</v>
      </c>
      <c r="C2981">
        <v>-16.266667000000002</v>
      </c>
      <c r="D2981">
        <v>12.583333</v>
      </c>
      <c r="E2981">
        <f>-16.266667-12.583333</f>
        <v>-28.85</v>
      </c>
      <c r="F2981" t="s">
        <v>5072</v>
      </c>
      <c r="G2981" t="s">
        <v>39</v>
      </c>
      <c r="H2981">
        <v>2004</v>
      </c>
      <c r="I2981">
        <v>26.799999237060501</v>
      </c>
      <c r="J2981">
        <v>13.4821731068687</v>
      </c>
      <c r="K2981">
        <v>62.468590831918497</v>
      </c>
      <c r="L2981">
        <v>12.937742092411099</v>
      </c>
      <c r="M2981">
        <v>36.653140607228302</v>
      </c>
      <c r="N2981">
        <v>15.217826702396399</v>
      </c>
      <c r="O2981">
        <v>21.435313844923702</v>
      </c>
      <c r="P2981">
        <v>26.899999618530298</v>
      </c>
      <c r="Q2981">
        <v>25.700000762939499</v>
      </c>
      <c r="R2981">
        <v>28.100000381469702</v>
      </c>
      <c r="S2981">
        <v>24.753140868881601</v>
      </c>
      <c r="T2981">
        <v>1260.4040747028901</v>
      </c>
      <c r="U2981">
        <v>426.70458404074702</v>
      </c>
      <c r="V2981">
        <v>0</v>
      </c>
      <c r="W2981">
        <v>139.29541595925301</v>
      </c>
      <c r="X2981">
        <v>1039.22920203735</v>
      </c>
      <c r="Y2981">
        <v>0</v>
      </c>
      <c r="Z2981">
        <v>108</v>
      </c>
      <c r="AA2981">
        <v>1</v>
      </c>
      <c r="AB2981">
        <v>1.9741934968984001</v>
      </c>
      <c r="AC2981">
        <v>2.2049481929904E-2</v>
      </c>
      <c r="AD2981">
        <v>0.87083021378071901</v>
      </c>
      <c r="AE2981">
        <v>0.91188883781433105</v>
      </c>
      <c r="AF2981">
        <v>5.0560271646859096</v>
      </c>
      <c r="AG2981">
        <f>IFERROR(AH2981*0.1, "N/A")</f>
        <v>5.5826825127334505</v>
      </c>
      <c r="AH2981">
        <v>55.826825127334502</v>
      </c>
      <c r="AI2981">
        <v>148.28680502821899</v>
      </c>
      <c r="AJ2981">
        <v>31.0271646859083</v>
      </c>
      <c r="AK2981">
        <v>52.073005093378598</v>
      </c>
    </row>
    <row r="2982" spans="1:37" x14ac:dyDescent="0.3">
      <c r="A2982">
        <v>2981</v>
      </c>
      <c r="B2982">
        <v>50</v>
      </c>
      <c r="C2982">
        <v>-16.266667999999999</v>
      </c>
      <c r="D2982">
        <v>12.583334000000001</v>
      </c>
      <c r="E2982">
        <f>-16.266668-12.583334</f>
        <v>-28.850002</v>
      </c>
      <c r="F2982" t="s">
        <v>5073</v>
      </c>
      <c r="G2982" t="s">
        <v>39</v>
      </c>
      <c r="H2982">
        <v>2004</v>
      </c>
      <c r="I2982">
        <v>26.799999237060501</v>
      </c>
      <c r="J2982">
        <v>13.4821731068687</v>
      </c>
      <c r="K2982">
        <v>62.468590831918497</v>
      </c>
      <c r="L2982">
        <v>12.937742092411099</v>
      </c>
      <c r="M2982">
        <v>36.653140607228302</v>
      </c>
      <c r="N2982">
        <v>15.217826702396399</v>
      </c>
      <c r="O2982">
        <v>21.435313844923702</v>
      </c>
      <c r="P2982">
        <v>26.899999618530298</v>
      </c>
      <c r="Q2982">
        <v>25.700000762939499</v>
      </c>
      <c r="R2982">
        <v>28.100000381469702</v>
      </c>
      <c r="S2982">
        <v>24.753140868881601</v>
      </c>
      <c r="T2982">
        <v>1260.4040747028901</v>
      </c>
      <c r="U2982">
        <v>426.70458404074702</v>
      </c>
      <c r="V2982">
        <v>0</v>
      </c>
      <c r="W2982">
        <v>139.29541595925301</v>
      </c>
      <c r="X2982">
        <v>1039.22920203735</v>
      </c>
      <c r="Y2982">
        <v>0</v>
      </c>
      <c r="Z2982">
        <v>108</v>
      </c>
      <c r="AA2982">
        <v>1</v>
      </c>
      <c r="AB2982">
        <v>1.9741934968984001</v>
      </c>
      <c r="AC2982">
        <v>2.2049481929904E-2</v>
      </c>
      <c r="AD2982">
        <v>0.87083021378071901</v>
      </c>
      <c r="AE2982">
        <v>0.91188883781433105</v>
      </c>
      <c r="AF2982">
        <v>5.0560271646859096</v>
      </c>
      <c r="AG2982">
        <f>IFERROR(AH2982*0.1, "N/A")</f>
        <v>5.5826825127334505</v>
      </c>
      <c r="AH2982">
        <v>55.826825127334502</v>
      </c>
      <c r="AI2982">
        <v>148.28680502821899</v>
      </c>
      <c r="AJ2982">
        <v>31.0271646859083</v>
      </c>
      <c r="AK2982">
        <v>52.073005093378598</v>
      </c>
    </row>
    <row r="2983" spans="1:37" x14ac:dyDescent="0.3">
      <c r="A2983">
        <v>2982</v>
      </c>
      <c r="B2983">
        <v>50</v>
      </c>
      <c r="C2983">
        <v>-16.266669</v>
      </c>
      <c r="D2983">
        <v>12.583335</v>
      </c>
      <c r="E2983">
        <f>-16.266669-12.583335</f>
        <v>-28.850003999999998</v>
      </c>
      <c r="F2983" t="s">
        <v>5074</v>
      </c>
      <c r="G2983" t="s">
        <v>39</v>
      </c>
      <c r="H2983">
        <v>2004</v>
      </c>
      <c r="I2983">
        <v>26.799999237060501</v>
      </c>
      <c r="J2983">
        <v>13.4821731068687</v>
      </c>
      <c r="K2983">
        <v>62.468590831918497</v>
      </c>
      <c r="L2983">
        <v>12.937742092411099</v>
      </c>
      <c r="M2983">
        <v>36.653140607228302</v>
      </c>
      <c r="N2983">
        <v>15.217826702396399</v>
      </c>
      <c r="O2983">
        <v>21.435313844923702</v>
      </c>
      <c r="P2983">
        <v>26.899999618530298</v>
      </c>
      <c r="Q2983">
        <v>25.700000762939499</v>
      </c>
      <c r="R2983">
        <v>28.100000381469702</v>
      </c>
      <c r="S2983">
        <v>24.753140868881601</v>
      </c>
      <c r="T2983">
        <v>1260.4040747028901</v>
      </c>
      <c r="U2983">
        <v>426.70458404074702</v>
      </c>
      <c r="V2983">
        <v>0</v>
      </c>
      <c r="W2983">
        <v>139.29541595925301</v>
      </c>
      <c r="X2983">
        <v>1039.22920203735</v>
      </c>
      <c r="Y2983">
        <v>0</v>
      </c>
      <c r="Z2983">
        <v>108</v>
      </c>
      <c r="AA2983">
        <v>1</v>
      </c>
      <c r="AB2983">
        <v>1.9741934968984001</v>
      </c>
      <c r="AC2983">
        <v>2.2049481929904E-2</v>
      </c>
      <c r="AD2983">
        <v>0.87083021378071901</v>
      </c>
      <c r="AE2983">
        <v>0.91188883781433105</v>
      </c>
      <c r="AF2983">
        <v>5.0560271646859096</v>
      </c>
      <c r="AG2983">
        <f>IFERROR(AH2983*0.1, "N/A")</f>
        <v>5.5826825127334505</v>
      </c>
      <c r="AH2983">
        <v>55.826825127334502</v>
      </c>
      <c r="AI2983">
        <v>148.28680502821899</v>
      </c>
      <c r="AJ2983">
        <v>31.0271646859083</v>
      </c>
      <c r="AK2983">
        <v>52.073005093378598</v>
      </c>
    </row>
    <row r="2984" spans="1:37" x14ac:dyDescent="0.3">
      <c r="A2984">
        <v>2983</v>
      </c>
      <c r="B2984">
        <v>2</v>
      </c>
      <c r="C2984">
        <v>-16.266670000000001</v>
      </c>
      <c r="D2984">
        <v>12.583335999999999</v>
      </c>
      <c r="E2984">
        <f>-16.26667-12.583336</f>
        <v>-28.850006</v>
      </c>
      <c r="F2984" t="s">
        <v>5075</v>
      </c>
      <c r="G2984" t="s">
        <v>39</v>
      </c>
      <c r="H2984">
        <v>2004</v>
      </c>
      <c r="I2984">
        <v>26.799999237060501</v>
      </c>
      <c r="J2984">
        <v>13.482033829769801</v>
      </c>
      <c r="K2984">
        <v>62.471186440677997</v>
      </c>
      <c r="L2984">
        <v>12.937356087312899</v>
      </c>
      <c r="M2984">
        <v>36.652881040411501</v>
      </c>
      <c r="N2984">
        <v>15.2179659794953</v>
      </c>
      <c r="O2984">
        <v>21.4349150059587</v>
      </c>
      <c r="P2984">
        <v>26.899999618530298</v>
      </c>
      <c r="Q2984">
        <v>25.700000762939499</v>
      </c>
      <c r="R2984">
        <v>28.100000381469702</v>
      </c>
      <c r="S2984">
        <v>24.752881311966199</v>
      </c>
      <c r="T2984">
        <v>1260.3915254237299</v>
      </c>
      <c r="U2984">
        <v>426.7</v>
      </c>
      <c r="V2984">
        <v>0</v>
      </c>
      <c r="W2984">
        <v>139.30000000000001</v>
      </c>
      <c r="X2984">
        <v>1039.22203389831</v>
      </c>
      <c r="Y2984">
        <v>0</v>
      </c>
      <c r="Z2984">
        <v>108</v>
      </c>
      <c r="AA2984">
        <v>1</v>
      </c>
      <c r="AB2984">
        <v>1.97406774496628</v>
      </c>
      <c r="AC2984">
        <v>2.2125282348528001E-2</v>
      </c>
      <c r="AD2984">
        <v>0.87045997259980601</v>
      </c>
      <c r="AE2984">
        <v>0.91188883781433105</v>
      </c>
      <c r="AF2984">
        <v>5.0542372881355897</v>
      </c>
      <c r="AG2984">
        <f>IFERROR(AH2984*0.1, "N/A")</f>
        <v>5.5840677966101708</v>
      </c>
      <c r="AH2984">
        <v>55.840677966101701</v>
      </c>
      <c r="AI2984">
        <v>148.57055014917401</v>
      </c>
      <c r="AJ2984">
        <v>31.020338983050902</v>
      </c>
      <c r="AK2984">
        <v>52.0694915254237</v>
      </c>
    </row>
    <row r="2985" spans="1:37" x14ac:dyDescent="0.3">
      <c r="A2985">
        <v>2984</v>
      </c>
      <c r="B2985">
        <v>0</v>
      </c>
      <c r="C2985">
        <v>-15.933332999999999</v>
      </c>
      <c r="D2985">
        <v>15.966666999999999</v>
      </c>
      <c r="E2985">
        <f>-15.933333-15.966667</f>
        <v>-31.9</v>
      </c>
      <c r="F2985" t="s">
        <v>5076</v>
      </c>
      <c r="G2985" t="s">
        <v>39</v>
      </c>
      <c r="H2985">
        <v>1996</v>
      </c>
      <c r="I2985">
        <v>26.399999618530298</v>
      </c>
      <c r="J2985">
        <v>13.8999996185303</v>
      </c>
      <c r="K2985">
        <v>68</v>
      </c>
      <c r="L2985">
        <v>20.6264348291046</v>
      </c>
      <c r="M2985">
        <v>35.027031096652998</v>
      </c>
      <c r="N2985">
        <v>14.627031735915301</v>
      </c>
      <c r="O2985">
        <v>20.399999618530298</v>
      </c>
      <c r="P2985">
        <v>28.299999237060501</v>
      </c>
      <c r="Q2985">
        <v>24.972968387761899</v>
      </c>
      <c r="R2985">
        <v>28.399999618530298</v>
      </c>
      <c r="S2985">
        <v>23.299999237060501</v>
      </c>
      <c r="T2985">
        <v>297.94527363184102</v>
      </c>
      <c r="U2985">
        <v>105.47263681592</v>
      </c>
      <c r="V2985">
        <v>0</v>
      </c>
      <c r="W2985">
        <v>150.47263681592</v>
      </c>
      <c r="X2985">
        <v>256.94527363184102</v>
      </c>
      <c r="Y2985">
        <v>1</v>
      </c>
      <c r="Z2985">
        <v>229.94527363184099</v>
      </c>
      <c r="AA2985">
        <v>3</v>
      </c>
      <c r="AB2985">
        <v>1.43316752281948</v>
      </c>
      <c r="AC2985">
        <v>2.3595531759891999E-2</v>
      </c>
      <c r="AD2985">
        <v>1.3512722154952601</v>
      </c>
      <c r="AE2985">
        <v>0.237798452377319</v>
      </c>
      <c r="AF2985">
        <v>-0.339966832504146</v>
      </c>
      <c r="AG2985" t="str">
        <f>IFERROR(AH2985*0.1, "N/A")</f>
        <v>N/A</v>
      </c>
      <c r="AH2985" t="s">
        <v>729</v>
      </c>
      <c r="AI2985">
        <v>269.867055889781</v>
      </c>
      <c r="AJ2985" t="s">
        <v>729</v>
      </c>
      <c r="AK2985" t="s">
        <v>729</v>
      </c>
    </row>
    <row r="2986" spans="1:37" x14ac:dyDescent="0.3">
      <c r="A2986">
        <v>2985</v>
      </c>
      <c r="B2986">
        <v>0</v>
      </c>
      <c r="C2986">
        <v>-15.933334</v>
      </c>
      <c r="D2986">
        <v>15.966668</v>
      </c>
      <c r="E2986">
        <f>-15.933334-15.966668</f>
        <v>-31.900002000000001</v>
      </c>
      <c r="F2986" t="s">
        <v>5077</v>
      </c>
      <c r="G2986" t="s">
        <v>37</v>
      </c>
      <c r="H2986">
        <v>1996</v>
      </c>
      <c r="I2986">
        <v>26.399999618530298</v>
      </c>
      <c r="J2986">
        <v>13.8999996185303</v>
      </c>
      <c r="K2986">
        <v>68</v>
      </c>
      <c r="L2986">
        <v>20.625066561414702</v>
      </c>
      <c r="M2986">
        <v>35.026820782794097</v>
      </c>
      <c r="N2986">
        <v>14.6268214200506</v>
      </c>
      <c r="O2986">
        <v>20.399999618530298</v>
      </c>
      <c r="P2986">
        <v>28.299999237060501</v>
      </c>
      <c r="Q2986">
        <v>24.9731787056323</v>
      </c>
      <c r="R2986">
        <v>28.399999618530298</v>
      </c>
      <c r="S2986">
        <v>23.299999237060501</v>
      </c>
      <c r="T2986">
        <v>297.94370860927103</v>
      </c>
      <c r="U2986">
        <v>105.471854304636</v>
      </c>
      <c r="V2986">
        <v>0</v>
      </c>
      <c r="W2986">
        <v>150.471854304636</v>
      </c>
      <c r="X2986">
        <v>256.94370860927199</v>
      </c>
      <c r="Y2986">
        <v>1</v>
      </c>
      <c r="Z2986">
        <v>229.94370860927199</v>
      </c>
      <c r="AA2986">
        <v>3</v>
      </c>
      <c r="AB2986">
        <v>1.42748347062938</v>
      </c>
      <c r="AC2986">
        <v>2.3692630542849001E-2</v>
      </c>
      <c r="AD2986">
        <v>1.34675873243651</v>
      </c>
      <c r="AE2986">
        <v>0.237798452377319</v>
      </c>
      <c r="AF2986">
        <v>-0.35430463576158899</v>
      </c>
      <c r="AG2986" t="str">
        <f>IFERROR(AH2986*0.1, "N/A")</f>
        <v>N/A</v>
      </c>
      <c r="AH2986" t="s">
        <v>729</v>
      </c>
      <c r="AI2986">
        <v>270</v>
      </c>
      <c r="AJ2986" t="s">
        <v>729</v>
      </c>
      <c r="AK2986" t="s">
        <v>729</v>
      </c>
    </row>
    <row r="2987" spans="1:37" x14ac:dyDescent="0.3">
      <c r="A2987">
        <v>2986</v>
      </c>
      <c r="B2987">
        <v>45.799999</v>
      </c>
      <c r="C2987">
        <v>-13.854958</v>
      </c>
      <c r="D2987">
        <v>16.071777999999998</v>
      </c>
      <c r="E2987">
        <f>-13.854958-16.071778</f>
        <v>-29.926735999999998</v>
      </c>
      <c r="F2987" t="s">
        <v>5078</v>
      </c>
      <c r="G2987" t="s">
        <v>39</v>
      </c>
      <c r="H2987">
        <v>1996</v>
      </c>
      <c r="I2987">
        <v>29.299999237060501</v>
      </c>
      <c r="J2987">
        <v>14.8999996185303</v>
      </c>
      <c r="K2987">
        <v>57</v>
      </c>
      <c r="L2987">
        <v>30.389999389648398</v>
      </c>
      <c r="M2987">
        <v>41.5</v>
      </c>
      <c r="N2987">
        <v>15.5</v>
      </c>
      <c r="O2987">
        <v>26</v>
      </c>
      <c r="P2987">
        <v>30.5</v>
      </c>
      <c r="Q2987">
        <v>26</v>
      </c>
      <c r="R2987">
        <v>32.700000762939503</v>
      </c>
      <c r="S2987">
        <v>24.799999237060501</v>
      </c>
      <c r="T2987">
        <v>285</v>
      </c>
      <c r="U2987">
        <v>101</v>
      </c>
      <c r="V2987">
        <v>0</v>
      </c>
      <c r="W2987">
        <v>149</v>
      </c>
      <c r="X2987">
        <v>251</v>
      </c>
      <c r="Y2987">
        <v>0</v>
      </c>
      <c r="Z2987">
        <v>87</v>
      </c>
      <c r="AA2987">
        <v>0</v>
      </c>
      <c r="AB2987">
        <v>2.5832223036756501</v>
      </c>
      <c r="AC2987">
        <v>6.2472272229587997E-2</v>
      </c>
      <c r="AD2987">
        <v>1.3409993791104999</v>
      </c>
      <c r="AE2987">
        <v>0.25546618305963498</v>
      </c>
      <c r="AF2987">
        <v>20.544850498338899</v>
      </c>
      <c r="AG2987">
        <f>IFERROR(AH2987*0.1, "N/A")</f>
        <v>6.6466777408637903</v>
      </c>
      <c r="AH2987">
        <v>66.466777408637896</v>
      </c>
      <c r="AI2987">
        <v>317.84571596316698</v>
      </c>
      <c r="AJ2987">
        <v>19.066445182724301</v>
      </c>
      <c r="AK2987">
        <v>62.867109634551497</v>
      </c>
    </row>
    <row r="2988" spans="1:37" x14ac:dyDescent="0.3">
      <c r="A2988">
        <v>2987</v>
      </c>
      <c r="B2988">
        <v>0</v>
      </c>
      <c r="C2988">
        <v>-13.854958</v>
      </c>
      <c r="D2988">
        <v>16.071777999999998</v>
      </c>
      <c r="E2988">
        <f>-13.854958-16.071778</f>
        <v>-29.926735999999998</v>
      </c>
      <c r="F2988" t="s">
        <v>5079</v>
      </c>
      <c r="G2988" t="s">
        <v>37</v>
      </c>
      <c r="H2988">
        <v>1996</v>
      </c>
      <c r="I2988">
        <v>29.299999237060501</v>
      </c>
      <c r="J2988">
        <v>14.8999996185303</v>
      </c>
      <c r="K2988">
        <v>57</v>
      </c>
      <c r="L2988">
        <v>30.389999389648398</v>
      </c>
      <c r="M2988">
        <v>41.5</v>
      </c>
      <c r="N2988">
        <v>15.5</v>
      </c>
      <c r="O2988">
        <v>26</v>
      </c>
      <c r="P2988">
        <v>30.5</v>
      </c>
      <c r="Q2988">
        <v>26</v>
      </c>
      <c r="R2988">
        <v>32.700000762939503</v>
      </c>
      <c r="S2988">
        <v>24.799999237060501</v>
      </c>
      <c r="T2988">
        <v>285</v>
      </c>
      <c r="U2988">
        <v>101</v>
      </c>
      <c r="V2988">
        <v>0</v>
      </c>
      <c r="W2988">
        <v>149</v>
      </c>
      <c r="X2988">
        <v>251</v>
      </c>
      <c r="Y2988">
        <v>0</v>
      </c>
      <c r="Z2988">
        <v>87</v>
      </c>
      <c r="AA2988">
        <v>0</v>
      </c>
      <c r="AB2988">
        <v>2.5832223036756501</v>
      </c>
      <c r="AC2988">
        <v>6.2472272229587997E-2</v>
      </c>
      <c r="AD2988">
        <v>1.3409993791104999</v>
      </c>
      <c r="AE2988">
        <v>0.25546618305963498</v>
      </c>
      <c r="AF2988">
        <v>20.544850498338899</v>
      </c>
      <c r="AG2988">
        <f>IFERROR(AH2988*0.1, "N/A")</f>
        <v>6.6466777408637903</v>
      </c>
      <c r="AH2988">
        <v>66.466777408637896</v>
      </c>
      <c r="AI2988">
        <v>317.84571596316698</v>
      </c>
      <c r="AJ2988">
        <v>19.066445182724301</v>
      </c>
      <c r="AK2988">
        <v>62.867109634551497</v>
      </c>
    </row>
    <row r="2989" spans="1:37" x14ac:dyDescent="0.3">
      <c r="A2989">
        <v>2988</v>
      </c>
      <c r="B2989">
        <v>26</v>
      </c>
      <c r="C2989">
        <v>-16.481819000000002</v>
      </c>
      <c r="D2989">
        <v>16.032633000000001</v>
      </c>
      <c r="E2989">
        <f>-16.481819-16.032633</f>
        <v>-32.514452000000006</v>
      </c>
      <c r="F2989" t="s">
        <v>5080</v>
      </c>
      <c r="G2989" t="s">
        <v>39</v>
      </c>
      <c r="H2989">
        <v>2003</v>
      </c>
      <c r="I2989">
        <v>24.700000762939499</v>
      </c>
      <c r="J2989">
        <v>10.214190180592199</v>
      </c>
      <c r="K2989">
        <v>60</v>
      </c>
      <c r="L2989">
        <v>23.6874957490644</v>
      </c>
      <c r="M2989">
        <v>32.200000762939503</v>
      </c>
      <c r="N2989">
        <v>15.199999809265099</v>
      </c>
      <c r="O2989">
        <v>17</v>
      </c>
      <c r="P2989">
        <v>27.600000381469702</v>
      </c>
      <c r="Q2989">
        <v>22.5141903713271</v>
      </c>
      <c r="R2989">
        <v>27.799999237060501</v>
      </c>
      <c r="S2989">
        <v>22.299999237060501</v>
      </c>
      <c r="T2989">
        <v>281.858096828047</v>
      </c>
      <c r="U2989">
        <v>105.858096828047</v>
      </c>
      <c r="V2989">
        <v>0</v>
      </c>
      <c r="W2989">
        <v>152.858096828047</v>
      </c>
      <c r="X2989">
        <v>242.858096828047</v>
      </c>
      <c r="Y2989">
        <v>0</v>
      </c>
      <c r="Z2989">
        <v>227.858096828047</v>
      </c>
      <c r="AA2989">
        <v>2.2838063439065102</v>
      </c>
      <c r="AB2989">
        <v>8.6811372951195995E-2</v>
      </c>
      <c r="AC2989">
        <v>3.062218230821E-2</v>
      </c>
      <c r="AD2989">
        <v>0.88739367409023096</v>
      </c>
      <c r="AE2989">
        <v>0.58905553817749001</v>
      </c>
      <c r="AF2989">
        <v>1.31218697829716</v>
      </c>
      <c r="AG2989">
        <f>IFERROR(AH2989*0.1, "N/A")</f>
        <v>6.890818030050081</v>
      </c>
      <c r="AH2989">
        <v>68.908180300500803</v>
      </c>
      <c r="AI2989">
        <v>167.89478048537899</v>
      </c>
      <c r="AJ2989">
        <v>24.709515859766299</v>
      </c>
      <c r="AK2989">
        <v>58.601001669449097</v>
      </c>
    </row>
    <row r="2990" spans="1:37" x14ac:dyDescent="0.3">
      <c r="A2990">
        <v>2989</v>
      </c>
      <c r="B2990">
        <v>26</v>
      </c>
      <c r="C2990">
        <v>-16.481819999999999</v>
      </c>
      <c r="D2990">
        <v>16.032634000000002</v>
      </c>
      <c r="E2990">
        <f>-16.48182-16.032634</f>
        <v>-32.514454000000001</v>
      </c>
      <c r="F2990" t="s">
        <v>5081</v>
      </c>
      <c r="G2990" t="s">
        <v>39</v>
      </c>
      <c r="H2990">
        <v>2003</v>
      </c>
      <c r="I2990">
        <v>24.700000762939499</v>
      </c>
      <c r="J2990">
        <v>10.2144757380303</v>
      </c>
      <c r="K2990">
        <v>60</v>
      </c>
      <c r="L2990">
        <v>23.686439193624</v>
      </c>
      <c r="M2990">
        <v>32.200000762939503</v>
      </c>
      <c r="N2990">
        <v>15.199999809265099</v>
      </c>
      <c r="O2990">
        <v>17</v>
      </c>
      <c r="P2990">
        <v>27.600000381469702</v>
      </c>
      <c r="Q2990">
        <v>22.514475928765201</v>
      </c>
      <c r="R2990">
        <v>27.799999237060501</v>
      </c>
      <c r="S2990">
        <v>22.299999237060501</v>
      </c>
      <c r="T2990">
        <v>281.85524126455903</v>
      </c>
      <c r="U2990">
        <v>105.855241264559</v>
      </c>
      <c r="V2990">
        <v>0</v>
      </c>
      <c r="W2990">
        <v>152.855241264559</v>
      </c>
      <c r="X2990">
        <v>242.855241264559</v>
      </c>
      <c r="Y2990">
        <v>0</v>
      </c>
      <c r="Z2990">
        <v>227.855241264559</v>
      </c>
      <c r="AA2990">
        <v>2.2895174708818602</v>
      </c>
      <c r="AB2990">
        <v>8.6522483190958996E-2</v>
      </c>
      <c r="AC2990">
        <v>3.0780200221995999E-2</v>
      </c>
      <c r="AD2990">
        <v>0.887531242929957</v>
      </c>
      <c r="AE2990">
        <v>0.58905553817749001</v>
      </c>
      <c r="AF2990">
        <v>1.3094841930116501</v>
      </c>
      <c r="AG2990">
        <f>IFERROR(AH2990*0.1, "N/A")</f>
        <v>6.8890183028286209</v>
      </c>
      <c r="AH2990">
        <v>68.890183028286202</v>
      </c>
      <c r="AI2990">
        <v>168.50450850247199</v>
      </c>
      <c r="AJ2990">
        <v>24.713810316139799</v>
      </c>
      <c r="AK2990">
        <v>58.600665557404298</v>
      </c>
    </row>
    <row r="2991" spans="1:37" x14ac:dyDescent="0.3">
      <c r="A2991">
        <v>2990</v>
      </c>
      <c r="B2991">
        <v>70</v>
      </c>
      <c r="C2991">
        <v>-16.481821</v>
      </c>
      <c r="D2991">
        <v>16.032634999999999</v>
      </c>
      <c r="E2991">
        <f>-16.481821-16.032635</f>
        <v>-32.514455999999996</v>
      </c>
      <c r="F2991" t="s">
        <v>5082</v>
      </c>
      <c r="G2991" t="s">
        <v>37</v>
      </c>
      <c r="H2991">
        <v>2003</v>
      </c>
      <c r="I2991">
        <v>24.700000762939499</v>
      </c>
      <c r="J2991">
        <v>10.214499864578199</v>
      </c>
      <c r="K2991">
        <v>60</v>
      </c>
      <c r="L2991">
        <v>23.6863499259949</v>
      </c>
      <c r="M2991">
        <v>32.200000762939503</v>
      </c>
      <c r="N2991">
        <v>15.199999809265099</v>
      </c>
      <c r="O2991">
        <v>17</v>
      </c>
      <c r="P2991">
        <v>27.600000381469702</v>
      </c>
      <c r="Q2991">
        <v>22.5145000553131</v>
      </c>
      <c r="R2991">
        <v>27.799999237060501</v>
      </c>
      <c r="S2991">
        <v>22.299999237060501</v>
      </c>
      <c r="T2991">
        <v>281.85500000000002</v>
      </c>
      <c r="U2991">
        <v>105.855</v>
      </c>
      <c r="V2991">
        <v>0</v>
      </c>
      <c r="W2991">
        <v>152.85499999999999</v>
      </c>
      <c r="X2991">
        <v>242.85499999999999</v>
      </c>
      <c r="Y2991">
        <v>0</v>
      </c>
      <c r="Z2991">
        <v>227.85499999999999</v>
      </c>
      <c r="AA2991">
        <v>2.29</v>
      </c>
      <c r="AB2991">
        <v>8.7500020861626004E-2</v>
      </c>
      <c r="AC2991">
        <v>3.0804094970226001E-2</v>
      </c>
      <c r="AD2991">
        <v>0.884178460538387</v>
      </c>
      <c r="AE2991">
        <v>0.58905553817749001</v>
      </c>
      <c r="AF2991">
        <v>1.3133333333333299</v>
      </c>
      <c r="AG2991">
        <f>IFERROR(AH2991*0.1, "N/A")</f>
        <v>6.8928333333333303</v>
      </c>
      <c r="AH2991">
        <v>68.928333333333299</v>
      </c>
      <c r="AI2991">
        <v>168.438062388102</v>
      </c>
      <c r="AJ2991">
        <v>24.7083333333333</v>
      </c>
      <c r="AK2991">
        <v>58.615000000000002</v>
      </c>
    </row>
    <row r="2992" spans="1:37" x14ac:dyDescent="0.3">
      <c r="A2992">
        <v>2991</v>
      </c>
      <c r="B2992">
        <v>74</v>
      </c>
      <c r="C2992">
        <v>-16.481822000000001</v>
      </c>
      <c r="D2992">
        <v>16.032636</v>
      </c>
      <c r="E2992">
        <f>-16.481822-16.032636</f>
        <v>-32.514458000000005</v>
      </c>
      <c r="F2992" t="s">
        <v>5083</v>
      </c>
      <c r="G2992" t="s">
        <v>39</v>
      </c>
      <c r="H2992">
        <v>2003</v>
      </c>
      <c r="I2992">
        <v>24.700000762939499</v>
      </c>
      <c r="J2992">
        <v>10.214499864578199</v>
      </c>
      <c r="K2992">
        <v>60</v>
      </c>
      <c r="L2992">
        <v>23.6863499259949</v>
      </c>
      <c r="M2992">
        <v>32.200000762939503</v>
      </c>
      <c r="N2992">
        <v>15.199999809265099</v>
      </c>
      <c r="O2992">
        <v>17</v>
      </c>
      <c r="P2992">
        <v>27.600000381469702</v>
      </c>
      <c r="Q2992">
        <v>22.5145000553131</v>
      </c>
      <c r="R2992">
        <v>27.799999237060501</v>
      </c>
      <c r="S2992">
        <v>22.299999237060501</v>
      </c>
      <c r="T2992">
        <v>281.85500000000002</v>
      </c>
      <c r="U2992">
        <v>105.855</v>
      </c>
      <c r="V2992">
        <v>0</v>
      </c>
      <c r="W2992">
        <v>152.85499999999999</v>
      </c>
      <c r="X2992">
        <v>242.85499999999999</v>
      </c>
      <c r="Y2992">
        <v>0</v>
      </c>
      <c r="Z2992">
        <v>227.85499999999999</v>
      </c>
      <c r="AA2992">
        <v>2.29</v>
      </c>
      <c r="AB2992">
        <v>8.7500020861626004E-2</v>
      </c>
      <c r="AC2992">
        <v>3.0804094970226001E-2</v>
      </c>
      <c r="AD2992">
        <v>0.884178460538387</v>
      </c>
      <c r="AE2992">
        <v>0.58905553817749001</v>
      </c>
      <c r="AF2992">
        <v>1.3133333333333299</v>
      </c>
      <c r="AG2992">
        <f>IFERROR(AH2992*0.1, "N/A")</f>
        <v>6.8928333333333303</v>
      </c>
      <c r="AH2992">
        <v>68.928333333333299</v>
      </c>
      <c r="AI2992">
        <v>168.438062388102</v>
      </c>
      <c r="AJ2992">
        <v>24.7083333333333</v>
      </c>
      <c r="AK2992">
        <v>58.615000000000002</v>
      </c>
    </row>
    <row r="2993" spans="1:37" x14ac:dyDescent="0.3">
      <c r="A2993">
        <v>2992</v>
      </c>
      <c r="B2993">
        <v>80</v>
      </c>
      <c r="C2993">
        <v>-16.481822999999999</v>
      </c>
      <c r="D2993">
        <v>16.032637000000001</v>
      </c>
      <c r="E2993">
        <f>-16.481823-16.032637</f>
        <v>-32.51446</v>
      </c>
      <c r="F2993" t="s">
        <v>5084</v>
      </c>
      <c r="G2993" t="s">
        <v>37</v>
      </c>
      <c r="H2993">
        <v>2003</v>
      </c>
      <c r="I2993">
        <v>24.700000762939499</v>
      </c>
      <c r="J2993">
        <v>10.214499864578199</v>
      </c>
      <c r="K2993">
        <v>60</v>
      </c>
      <c r="L2993">
        <v>23.6863499259949</v>
      </c>
      <c r="M2993">
        <v>32.200000762939503</v>
      </c>
      <c r="N2993">
        <v>15.199999809265099</v>
      </c>
      <c r="O2993">
        <v>17</v>
      </c>
      <c r="P2993">
        <v>27.600000381469702</v>
      </c>
      <c r="Q2993">
        <v>22.5145000553131</v>
      </c>
      <c r="R2993">
        <v>27.799999237060501</v>
      </c>
      <c r="S2993">
        <v>22.299999237060501</v>
      </c>
      <c r="T2993">
        <v>281.85500000000002</v>
      </c>
      <c r="U2993">
        <v>105.855</v>
      </c>
      <c r="V2993">
        <v>0</v>
      </c>
      <c r="W2993">
        <v>152.85499999999999</v>
      </c>
      <c r="X2993">
        <v>242.85499999999999</v>
      </c>
      <c r="Y2993">
        <v>0</v>
      </c>
      <c r="Z2993">
        <v>227.85499999999999</v>
      </c>
      <c r="AA2993">
        <v>2.29</v>
      </c>
      <c r="AB2993">
        <v>8.7500020861626004E-2</v>
      </c>
      <c r="AC2993">
        <v>3.0804094970226001E-2</v>
      </c>
      <c r="AD2993">
        <v>0.884178460538387</v>
      </c>
      <c r="AE2993">
        <v>0.58905553817749001</v>
      </c>
      <c r="AF2993">
        <v>1.3133333333333299</v>
      </c>
      <c r="AG2993">
        <f>IFERROR(AH2993*0.1, "N/A")</f>
        <v>6.8928333333333303</v>
      </c>
      <c r="AH2993">
        <v>68.928333333333299</v>
      </c>
      <c r="AI2993">
        <v>168.438062388102</v>
      </c>
      <c r="AJ2993">
        <v>24.7083333333333</v>
      </c>
      <c r="AK2993">
        <v>58.615000000000002</v>
      </c>
    </row>
    <row r="2994" spans="1:37" x14ac:dyDescent="0.3">
      <c r="A2994">
        <v>2993</v>
      </c>
      <c r="B2994">
        <v>78</v>
      </c>
      <c r="C2994">
        <v>-16.481824</v>
      </c>
      <c r="D2994">
        <v>16.032637999999999</v>
      </c>
      <c r="E2994">
        <f>-16.481824-16.032638</f>
        <v>-32.514461999999995</v>
      </c>
      <c r="F2994" t="s">
        <v>5085</v>
      </c>
      <c r="G2994" t="s">
        <v>37</v>
      </c>
      <c r="H2994">
        <v>2003</v>
      </c>
      <c r="I2994">
        <v>24.700000762939499</v>
      </c>
      <c r="J2994">
        <v>10.214808518001901</v>
      </c>
      <c r="K2994">
        <v>60</v>
      </c>
      <c r="L2994">
        <v>23.685207915980499</v>
      </c>
      <c r="M2994">
        <v>32.200000762939503</v>
      </c>
      <c r="N2994">
        <v>15.199999809265099</v>
      </c>
      <c r="O2994">
        <v>17</v>
      </c>
      <c r="P2994">
        <v>27.600000381469702</v>
      </c>
      <c r="Q2994">
        <v>22.514808708736801</v>
      </c>
      <c r="R2994">
        <v>27.799999237060501</v>
      </c>
      <c r="S2994">
        <v>22.299999237060501</v>
      </c>
      <c r="T2994">
        <v>281.85191347753698</v>
      </c>
      <c r="U2994">
        <v>105.851913477537</v>
      </c>
      <c r="V2994">
        <v>0</v>
      </c>
      <c r="W2994">
        <v>152.85191347753701</v>
      </c>
      <c r="X2994">
        <v>242.85191347753701</v>
      </c>
      <c r="Y2994">
        <v>0</v>
      </c>
      <c r="Z2994">
        <v>227.85191347753701</v>
      </c>
      <c r="AA2994">
        <v>2.2961730449251201</v>
      </c>
      <c r="AB2994">
        <v>8.6522483190958996E-2</v>
      </c>
      <c r="AC2994">
        <v>3.0999082201059999E-2</v>
      </c>
      <c r="AD2994">
        <v>0.88326937932143001</v>
      </c>
      <c r="AE2994">
        <v>0.58905553817749001</v>
      </c>
      <c r="AF2994">
        <v>1.3094841930116501</v>
      </c>
      <c r="AG2994">
        <f>IFERROR(AH2994*0.1, "N/A")</f>
        <v>6.890349417637271</v>
      </c>
      <c r="AH2994">
        <v>68.903494176372703</v>
      </c>
      <c r="AI2994">
        <v>168.84743701598401</v>
      </c>
      <c r="AJ2994">
        <v>24.715474209650601</v>
      </c>
      <c r="AK2994">
        <v>58.617304492512503</v>
      </c>
    </row>
    <row r="2995" spans="1:37" x14ac:dyDescent="0.3">
      <c r="A2995">
        <v>2994</v>
      </c>
      <c r="B2995">
        <v>78</v>
      </c>
      <c r="C2995">
        <v>-16.481825000000001</v>
      </c>
      <c r="D2995">
        <v>16.032639</v>
      </c>
      <c r="E2995">
        <f>-16.481825-16.032639</f>
        <v>-32.514464000000004</v>
      </c>
      <c r="F2995" t="s">
        <v>5086</v>
      </c>
      <c r="G2995" t="s">
        <v>37</v>
      </c>
      <c r="H2995">
        <v>2003</v>
      </c>
      <c r="I2995">
        <v>24.700000762939499</v>
      </c>
      <c r="J2995">
        <v>10.214808518001901</v>
      </c>
      <c r="K2995">
        <v>60</v>
      </c>
      <c r="L2995">
        <v>23.685207915980499</v>
      </c>
      <c r="M2995">
        <v>32.200000762939503</v>
      </c>
      <c r="N2995">
        <v>15.199999809265099</v>
      </c>
      <c r="O2995">
        <v>17</v>
      </c>
      <c r="P2995">
        <v>27.600000381469702</v>
      </c>
      <c r="Q2995">
        <v>22.514808708736801</v>
      </c>
      <c r="R2995">
        <v>27.799999237060501</v>
      </c>
      <c r="S2995">
        <v>22.299999237060501</v>
      </c>
      <c r="T2995">
        <v>281.85191347753698</v>
      </c>
      <c r="U2995">
        <v>105.851913477537</v>
      </c>
      <c r="V2995">
        <v>0</v>
      </c>
      <c r="W2995">
        <v>152.85191347753701</v>
      </c>
      <c r="X2995">
        <v>242.85191347753701</v>
      </c>
      <c r="Y2995">
        <v>0</v>
      </c>
      <c r="Z2995">
        <v>227.85191347753701</v>
      </c>
      <c r="AA2995">
        <v>2.2961730449251201</v>
      </c>
      <c r="AB2995">
        <v>8.6522483190958996E-2</v>
      </c>
      <c r="AC2995">
        <v>3.0999082201059999E-2</v>
      </c>
      <c r="AD2995">
        <v>0.88326937932143001</v>
      </c>
      <c r="AE2995">
        <v>0.58905553817749001</v>
      </c>
      <c r="AF2995">
        <v>1.3094841930116501</v>
      </c>
      <c r="AG2995">
        <f>IFERROR(AH2995*0.1, "N/A")</f>
        <v>6.890349417637271</v>
      </c>
      <c r="AH2995">
        <v>68.903494176372703</v>
      </c>
      <c r="AI2995">
        <v>168.84743701598401</v>
      </c>
      <c r="AJ2995">
        <v>24.715474209650601</v>
      </c>
      <c r="AK2995">
        <v>58.617304492512503</v>
      </c>
    </row>
    <row r="2996" spans="1:37" x14ac:dyDescent="0.3">
      <c r="A2996">
        <v>2995</v>
      </c>
      <c r="B2996">
        <v>50</v>
      </c>
      <c r="C2996">
        <v>-16.481826000000002</v>
      </c>
      <c r="D2996">
        <v>16.032640000000001</v>
      </c>
      <c r="E2996">
        <f>-16.481826-16.03264</f>
        <v>-32.514465999999999</v>
      </c>
      <c r="F2996" t="s">
        <v>5087</v>
      </c>
      <c r="G2996" t="s">
        <v>37</v>
      </c>
      <c r="H2996">
        <v>2003</v>
      </c>
      <c r="I2996">
        <v>24.700000762939499</v>
      </c>
      <c r="J2996">
        <v>10.214783918818</v>
      </c>
      <c r="K2996">
        <v>60</v>
      </c>
      <c r="L2996">
        <v>23.685298932351198</v>
      </c>
      <c r="M2996">
        <v>32.200000762939503</v>
      </c>
      <c r="N2996">
        <v>15.199999809265099</v>
      </c>
      <c r="O2996">
        <v>17</v>
      </c>
      <c r="P2996">
        <v>27.600000381469702</v>
      </c>
      <c r="Q2996">
        <v>22.514784109552799</v>
      </c>
      <c r="R2996">
        <v>27.799999237060501</v>
      </c>
      <c r="S2996">
        <v>22.299999237060501</v>
      </c>
      <c r="T2996">
        <v>281.85215946843903</v>
      </c>
      <c r="U2996">
        <v>105.852159468439</v>
      </c>
      <c r="V2996">
        <v>0</v>
      </c>
      <c r="W2996">
        <v>152.852159468439</v>
      </c>
      <c r="X2996">
        <v>242.852159468439</v>
      </c>
      <c r="Y2996">
        <v>0</v>
      </c>
      <c r="Z2996">
        <v>227.852159468439</v>
      </c>
      <c r="AA2996">
        <v>2.2956810631229199</v>
      </c>
      <c r="AB2996">
        <v>8.7209323117899001E-2</v>
      </c>
      <c r="AC2996">
        <v>3.1125135373238001E-2</v>
      </c>
      <c r="AD2996">
        <v>0.88112140068184097</v>
      </c>
      <c r="AE2996">
        <v>0.58905553817749001</v>
      </c>
      <c r="AF2996">
        <v>1.31395348837209</v>
      </c>
      <c r="AG2996">
        <f>IFERROR(AH2996*0.1, "N/A")</f>
        <v>6.8943521594684398</v>
      </c>
      <c r="AH2996">
        <v>68.943521594684398</v>
      </c>
      <c r="AI2996">
        <v>169.044972644692</v>
      </c>
      <c r="AJ2996">
        <v>24.712624584717599</v>
      </c>
      <c r="AK2996">
        <v>58.634551495016602</v>
      </c>
    </row>
    <row r="2997" spans="1:37" x14ac:dyDescent="0.3">
      <c r="A2997">
        <v>2996</v>
      </c>
      <c r="B2997">
        <v>72</v>
      </c>
      <c r="C2997">
        <v>-16.332560999999998</v>
      </c>
      <c r="D2997">
        <v>14.666456</v>
      </c>
      <c r="E2997">
        <f>-16.332561-14.666456</f>
        <v>-30.999016999999998</v>
      </c>
      <c r="F2997" t="s">
        <v>5088</v>
      </c>
      <c r="G2997" t="s">
        <v>39</v>
      </c>
      <c r="H2997">
        <v>2003</v>
      </c>
      <c r="I2997">
        <v>27.269346438460602</v>
      </c>
      <c r="J2997">
        <v>15.800000190734901</v>
      </c>
      <c r="K2997">
        <v>67</v>
      </c>
      <c r="L2997">
        <v>18.104873989495001</v>
      </c>
      <c r="M2997">
        <v>37.969347201400097</v>
      </c>
      <c r="N2997">
        <v>14.6000003814697</v>
      </c>
      <c r="O2997">
        <v>23.369346235265699</v>
      </c>
      <c r="P2997">
        <v>28.2634837695302</v>
      </c>
      <c r="Q2997">
        <v>26.600000381469702</v>
      </c>
      <c r="R2997">
        <v>29.069346998205098</v>
      </c>
      <c r="S2997">
        <v>24.4058622874607</v>
      </c>
      <c r="T2997">
        <v>556.810720268007</v>
      </c>
      <c r="U2997">
        <v>205.058626465662</v>
      </c>
      <c r="V2997">
        <v>0</v>
      </c>
      <c r="W2997">
        <v>149</v>
      </c>
      <c r="X2997">
        <v>481.810720268007</v>
      </c>
      <c r="Y2997">
        <v>0</v>
      </c>
      <c r="Z2997">
        <v>140</v>
      </c>
      <c r="AA2997">
        <v>2</v>
      </c>
      <c r="AB2997">
        <v>0.86448859529479305</v>
      </c>
      <c r="AC2997">
        <v>1.5689965516915001E-2</v>
      </c>
      <c r="AD2997">
        <v>0.97315280351606903</v>
      </c>
      <c r="AE2997">
        <v>0.72270415486203199</v>
      </c>
      <c r="AF2997">
        <v>21.443886097152401</v>
      </c>
      <c r="AG2997">
        <f>IFERROR(AH2997*0.1, "N/A")</f>
        <v>5.5686767169179205</v>
      </c>
      <c r="AH2997">
        <v>55.686767169179198</v>
      </c>
      <c r="AI2997">
        <v>208.70424989479901</v>
      </c>
      <c r="AJ2997">
        <v>7.8726968174204401</v>
      </c>
      <c r="AK2997">
        <v>86.254606365159106</v>
      </c>
    </row>
    <row r="2998" spans="1:37" x14ac:dyDescent="0.3">
      <c r="A2998">
        <v>2997</v>
      </c>
      <c r="B2998">
        <v>74</v>
      </c>
      <c r="C2998">
        <v>-16.064017</v>
      </c>
      <c r="D2998">
        <v>15.649289</v>
      </c>
      <c r="E2998">
        <f>-16.064017-15.649289</f>
        <v>-31.713305999999999</v>
      </c>
      <c r="F2998" t="s">
        <v>5089</v>
      </c>
      <c r="G2998" t="s">
        <v>39</v>
      </c>
      <c r="H2998">
        <v>2003</v>
      </c>
      <c r="I2998">
        <v>25.700000762939499</v>
      </c>
      <c r="J2998">
        <v>13.5</v>
      </c>
      <c r="K2998">
        <v>68</v>
      </c>
      <c r="L2998">
        <v>19.299999237060501</v>
      </c>
      <c r="M2998">
        <v>34</v>
      </c>
      <c r="N2998">
        <v>14.3999996185303</v>
      </c>
      <c r="O2998">
        <v>19.600000381469702</v>
      </c>
      <c r="P2998">
        <v>27.600000381469702</v>
      </c>
      <c r="Q2998">
        <v>25.100000381469702</v>
      </c>
      <c r="R2998">
        <v>27.600000381469702</v>
      </c>
      <c r="S2998">
        <v>22.899999618530298</v>
      </c>
      <c r="T2998">
        <v>356</v>
      </c>
      <c r="U2998">
        <v>132</v>
      </c>
      <c r="V2998">
        <v>0</v>
      </c>
      <c r="W2998">
        <v>153</v>
      </c>
      <c r="X2998">
        <v>311</v>
      </c>
      <c r="Y2998">
        <v>0</v>
      </c>
      <c r="Z2998">
        <v>277</v>
      </c>
      <c r="AA2998">
        <v>2</v>
      </c>
      <c r="AB2998">
        <v>2.4038265628148201</v>
      </c>
      <c r="AC2998">
        <v>1.0676603243623E-2</v>
      </c>
      <c r="AD2998">
        <v>1.3379406823889799</v>
      </c>
      <c r="AE2998">
        <v>0.41299422048094298</v>
      </c>
      <c r="AF2998">
        <v>36.146422628951797</v>
      </c>
      <c r="AG2998">
        <f>IFERROR(AH2998*0.1, "N/A")</f>
        <v>7.1595673876871899</v>
      </c>
      <c r="AH2998">
        <v>71.595673876871899</v>
      </c>
      <c r="AI2998">
        <v>215.20293039331401</v>
      </c>
      <c r="AJ2998">
        <v>6.9900166389351099</v>
      </c>
      <c r="AK2998">
        <v>84.547420965058194</v>
      </c>
    </row>
    <row r="2999" spans="1:37" x14ac:dyDescent="0.3">
      <c r="A2999">
        <v>2998</v>
      </c>
      <c r="B2999">
        <v>32</v>
      </c>
      <c r="C2999">
        <v>-16.064018000000001</v>
      </c>
      <c r="D2999">
        <v>15.649290000000001</v>
      </c>
      <c r="E2999">
        <f>-16.064018-15.64929</f>
        <v>-31.713308000000001</v>
      </c>
      <c r="F2999" t="s">
        <v>5090</v>
      </c>
      <c r="G2999" t="s">
        <v>39</v>
      </c>
      <c r="H2999">
        <v>2003</v>
      </c>
      <c r="I2999">
        <v>25.700000762939499</v>
      </c>
      <c r="J2999">
        <v>13.5</v>
      </c>
      <c r="K2999">
        <v>68</v>
      </c>
      <c r="L2999">
        <v>19.299999237060501</v>
      </c>
      <c r="M2999">
        <v>34</v>
      </c>
      <c r="N2999">
        <v>14.3999996185303</v>
      </c>
      <c r="O2999">
        <v>19.600000381469702</v>
      </c>
      <c r="P2999">
        <v>27.600000381469702</v>
      </c>
      <c r="Q2999">
        <v>25.100000381469702</v>
      </c>
      <c r="R2999">
        <v>27.600000381469702</v>
      </c>
      <c r="S2999">
        <v>22.899999618530298</v>
      </c>
      <c r="T2999">
        <v>356</v>
      </c>
      <c r="U2999">
        <v>132</v>
      </c>
      <c r="V2999">
        <v>0</v>
      </c>
      <c r="W2999">
        <v>153</v>
      </c>
      <c r="X2999">
        <v>311</v>
      </c>
      <c r="Y2999">
        <v>0</v>
      </c>
      <c r="Z2999">
        <v>277</v>
      </c>
      <c r="AA2999">
        <v>2</v>
      </c>
      <c r="AB2999">
        <v>2.4038265628148201</v>
      </c>
      <c r="AC2999">
        <v>1.0676603243623E-2</v>
      </c>
      <c r="AD2999">
        <v>1.3379406823889799</v>
      </c>
      <c r="AE2999">
        <v>0.41299422048094298</v>
      </c>
      <c r="AF2999">
        <v>36.146422628951797</v>
      </c>
      <c r="AG2999">
        <f>IFERROR(AH2999*0.1, "N/A")</f>
        <v>7.1595673876871899</v>
      </c>
      <c r="AH2999">
        <v>71.595673876871899</v>
      </c>
      <c r="AI2999">
        <v>215.20293039331401</v>
      </c>
      <c r="AJ2999">
        <v>6.9900166389351099</v>
      </c>
      <c r="AK2999">
        <v>84.547420965058194</v>
      </c>
    </row>
    <row r="3000" spans="1:37" x14ac:dyDescent="0.3">
      <c r="A3000">
        <v>2999</v>
      </c>
      <c r="B3000">
        <v>50</v>
      </c>
      <c r="C3000">
        <v>-16.064018999999998</v>
      </c>
      <c r="D3000">
        <v>15.649291</v>
      </c>
      <c r="E3000">
        <f>-16.064019-15.649291</f>
        <v>-31.71331</v>
      </c>
      <c r="F3000" t="s">
        <v>5091</v>
      </c>
      <c r="G3000" t="s">
        <v>37</v>
      </c>
      <c r="H3000">
        <v>2003</v>
      </c>
      <c r="I3000">
        <v>25.700000762939499</v>
      </c>
      <c r="J3000">
        <v>13.5</v>
      </c>
      <c r="K3000">
        <v>68</v>
      </c>
      <c r="L3000">
        <v>19.299999237060501</v>
      </c>
      <c r="M3000">
        <v>34</v>
      </c>
      <c r="N3000">
        <v>14.3999996185303</v>
      </c>
      <c r="O3000">
        <v>19.600000381469702</v>
      </c>
      <c r="P3000">
        <v>27.600000381469702</v>
      </c>
      <c r="Q3000">
        <v>25.100000381469702</v>
      </c>
      <c r="R3000">
        <v>27.600000381469702</v>
      </c>
      <c r="S3000">
        <v>22.899999618530298</v>
      </c>
      <c r="T3000">
        <v>356</v>
      </c>
      <c r="U3000">
        <v>132</v>
      </c>
      <c r="V3000">
        <v>0</v>
      </c>
      <c r="W3000">
        <v>153</v>
      </c>
      <c r="X3000">
        <v>311</v>
      </c>
      <c r="Y3000">
        <v>0</v>
      </c>
      <c r="Z3000">
        <v>277</v>
      </c>
      <c r="AA3000">
        <v>2</v>
      </c>
      <c r="AB3000">
        <v>2.4038265628148201</v>
      </c>
      <c r="AC3000">
        <v>1.0676603243623E-2</v>
      </c>
      <c r="AD3000">
        <v>1.3379406823889799</v>
      </c>
      <c r="AE3000">
        <v>0.41299422048094298</v>
      </c>
      <c r="AF3000">
        <v>36.146422628951797</v>
      </c>
      <c r="AG3000">
        <f>IFERROR(AH3000*0.1, "N/A")</f>
        <v>7.1595673876871899</v>
      </c>
      <c r="AH3000">
        <v>71.595673876871899</v>
      </c>
      <c r="AI3000">
        <v>215.20293039331401</v>
      </c>
      <c r="AJ3000">
        <v>6.9900166389351099</v>
      </c>
      <c r="AK3000">
        <v>84.547420965058194</v>
      </c>
    </row>
    <row r="3001" spans="1:37" x14ac:dyDescent="0.3">
      <c r="A3001">
        <v>3000</v>
      </c>
      <c r="B3001">
        <v>20</v>
      </c>
      <c r="C3001">
        <v>-15.933334</v>
      </c>
      <c r="D3001">
        <v>15.966668</v>
      </c>
      <c r="E3001">
        <f>-15.933334-15.966668</f>
        <v>-31.900002000000001</v>
      </c>
      <c r="F3001" t="s">
        <v>5092</v>
      </c>
      <c r="G3001" t="s">
        <v>39</v>
      </c>
      <c r="H3001">
        <v>2003</v>
      </c>
      <c r="I3001">
        <v>26.399999618530298</v>
      </c>
      <c r="J3001">
        <v>13.8999996185303</v>
      </c>
      <c r="K3001">
        <v>68</v>
      </c>
      <c r="L3001">
        <v>20.625066561414702</v>
      </c>
      <c r="M3001">
        <v>35.026820782794097</v>
      </c>
      <c r="N3001">
        <v>14.6268214200506</v>
      </c>
      <c r="O3001">
        <v>20.399999618530298</v>
      </c>
      <c r="P3001">
        <v>28.299999237060501</v>
      </c>
      <c r="Q3001">
        <v>24.9731787056323</v>
      </c>
      <c r="R3001">
        <v>28.399999618530298</v>
      </c>
      <c r="S3001">
        <v>23.299999237060501</v>
      </c>
      <c r="T3001">
        <v>297.94370860927103</v>
      </c>
      <c r="U3001">
        <v>105.471854304636</v>
      </c>
      <c r="V3001">
        <v>0</v>
      </c>
      <c r="W3001">
        <v>150.471854304636</v>
      </c>
      <c r="X3001">
        <v>256.94370860927199</v>
      </c>
      <c r="Y3001">
        <v>1</v>
      </c>
      <c r="Z3001">
        <v>229.94370860927199</v>
      </c>
      <c r="AA3001">
        <v>3</v>
      </c>
      <c r="AB3001">
        <v>1.42748347062938</v>
      </c>
      <c r="AC3001">
        <v>2.3692630542849001E-2</v>
      </c>
      <c r="AD3001">
        <v>1.34675873243651</v>
      </c>
      <c r="AE3001">
        <v>0.237798452377319</v>
      </c>
      <c r="AF3001">
        <v>-0.35430463576158899</v>
      </c>
      <c r="AG3001" t="str">
        <f>IFERROR(AH3001*0.1, "N/A")</f>
        <v>N/A</v>
      </c>
      <c r="AH3001" t="s">
        <v>729</v>
      </c>
      <c r="AI3001">
        <v>270</v>
      </c>
      <c r="AJ3001" t="s">
        <v>729</v>
      </c>
      <c r="AK3001" t="s">
        <v>729</v>
      </c>
    </row>
    <row r="3002" spans="1:37" x14ac:dyDescent="0.3">
      <c r="A3002">
        <v>3001</v>
      </c>
      <c r="B3002">
        <v>46</v>
      </c>
      <c r="C3002">
        <v>-15.933335</v>
      </c>
      <c r="D3002">
        <v>15.966669</v>
      </c>
      <c r="E3002">
        <f>-15.933335-15.966669</f>
        <v>-31.900003999999999</v>
      </c>
      <c r="F3002" t="s">
        <v>5093</v>
      </c>
      <c r="G3002" t="s">
        <v>37</v>
      </c>
      <c r="H3002">
        <v>2003</v>
      </c>
      <c r="I3002">
        <v>26.399999618530298</v>
      </c>
      <c r="J3002">
        <v>13.8999996185303</v>
      </c>
      <c r="K3002">
        <v>68</v>
      </c>
      <c r="L3002">
        <v>20.625066561414702</v>
      </c>
      <c r="M3002">
        <v>35.026820782794097</v>
      </c>
      <c r="N3002">
        <v>14.6268214200506</v>
      </c>
      <c r="O3002">
        <v>20.399999618530298</v>
      </c>
      <c r="P3002">
        <v>28.299999237060501</v>
      </c>
      <c r="Q3002">
        <v>24.9731787056323</v>
      </c>
      <c r="R3002">
        <v>28.399999618530298</v>
      </c>
      <c r="S3002">
        <v>23.299999237060501</v>
      </c>
      <c r="T3002">
        <v>297.94370860927103</v>
      </c>
      <c r="U3002">
        <v>105.471854304636</v>
      </c>
      <c r="V3002">
        <v>0</v>
      </c>
      <c r="W3002">
        <v>150.471854304636</v>
      </c>
      <c r="X3002">
        <v>256.94370860927199</v>
      </c>
      <c r="Y3002">
        <v>1</v>
      </c>
      <c r="Z3002">
        <v>229.94370860927199</v>
      </c>
      <c r="AA3002">
        <v>3</v>
      </c>
      <c r="AB3002">
        <v>1.42748347062938</v>
      </c>
      <c r="AC3002">
        <v>2.3692630542849001E-2</v>
      </c>
      <c r="AD3002">
        <v>1.34675873243651</v>
      </c>
      <c r="AE3002">
        <v>0.237798452377319</v>
      </c>
      <c r="AF3002">
        <v>-0.35430463576158899</v>
      </c>
      <c r="AG3002" t="str">
        <f>IFERROR(AH3002*0.1, "N/A")</f>
        <v>N/A</v>
      </c>
      <c r="AH3002" t="s">
        <v>729</v>
      </c>
      <c r="AI3002">
        <v>270</v>
      </c>
      <c r="AJ3002" t="s">
        <v>729</v>
      </c>
      <c r="AK3002" t="s">
        <v>729</v>
      </c>
    </row>
    <row r="3003" spans="1:37" x14ac:dyDescent="0.3">
      <c r="A3003">
        <v>3002</v>
      </c>
      <c r="B3003">
        <v>6</v>
      </c>
      <c r="C3003">
        <v>-16.433330999999999</v>
      </c>
      <c r="D3003">
        <v>15.366669</v>
      </c>
      <c r="E3003">
        <f>-16.433331-15.366669</f>
        <v>-31.799999999999997</v>
      </c>
      <c r="F3003" t="s">
        <v>5094</v>
      </c>
      <c r="G3003" t="s">
        <v>39</v>
      </c>
      <c r="H3003">
        <v>2003</v>
      </c>
      <c r="I3003">
        <v>25.399999618530298</v>
      </c>
      <c r="J3003">
        <v>12.8904996728897</v>
      </c>
      <c r="K3003">
        <v>69</v>
      </c>
      <c r="L3003">
        <v>18.252600218455001</v>
      </c>
      <c r="M3003">
        <v>33.104331906636602</v>
      </c>
      <c r="N3003">
        <v>14.6000003814697</v>
      </c>
      <c r="O3003">
        <v>18.5043333498637</v>
      </c>
      <c r="P3003">
        <v>27.263166465759301</v>
      </c>
      <c r="Q3003">
        <v>23.799999237060501</v>
      </c>
      <c r="R3003">
        <v>27.299999237060501</v>
      </c>
      <c r="S3003">
        <v>22.899999618530298</v>
      </c>
      <c r="T3003">
        <v>366.90499999999997</v>
      </c>
      <c r="U3003">
        <v>137</v>
      </c>
      <c r="V3003">
        <v>0</v>
      </c>
      <c r="W3003">
        <v>154</v>
      </c>
      <c r="X3003">
        <v>323.90499999999997</v>
      </c>
      <c r="Y3003">
        <v>0</v>
      </c>
      <c r="Z3003">
        <v>285</v>
      </c>
      <c r="AA3003">
        <v>2</v>
      </c>
      <c r="AB3003">
        <v>0.86283341725667295</v>
      </c>
      <c r="AC3003">
        <v>9.4578101175530008E-3</v>
      </c>
      <c r="AD3003">
        <v>0.89961568117141699</v>
      </c>
      <c r="AE3003">
        <v>0.40991866067051902</v>
      </c>
      <c r="AF3003">
        <v>40.89</v>
      </c>
      <c r="AG3003">
        <f>IFERROR(AH3003*0.1, "N/A")</f>
        <v>7.51216666666667</v>
      </c>
      <c r="AH3003">
        <v>75.121666666666698</v>
      </c>
      <c r="AI3003">
        <v>91.104335505167597</v>
      </c>
      <c r="AJ3003">
        <v>5.1550000000000002</v>
      </c>
      <c r="AK3003">
        <v>86.138333333333307</v>
      </c>
    </row>
    <row r="3004" spans="1:37" x14ac:dyDescent="0.3">
      <c r="A3004">
        <v>3003</v>
      </c>
      <c r="B3004">
        <v>6</v>
      </c>
      <c r="C3004">
        <v>-16.433332</v>
      </c>
      <c r="D3004">
        <v>15.366669999999999</v>
      </c>
      <c r="E3004">
        <f>-16.433332-15.36667</f>
        <v>-31.800001999999999</v>
      </c>
      <c r="F3004" t="s">
        <v>5095</v>
      </c>
      <c r="G3004" t="s">
        <v>39</v>
      </c>
      <c r="H3004">
        <v>2003</v>
      </c>
      <c r="I3004">
        <v>25.399999618530298</v>
      </c>
      <c r="J3004">
        <v>12.8904996728897</v>
      </c>
      <c r="K3004">
        <v>69</v>
      </c>
      <c r="L3004">
        <v>18.252600218455001</v>
      </c>
      <c r="M3004">
        <v>33.104331906636602</v>
      </c>
      <c r="N3004">
        <v>14.6000003814697</v>
      </c>
      <c r="O3004">
        <v>18.5043333498637</v>
      </c>
      <c r="P3004">
        <v>27.263166465759301</v>
      </c>
      <c r="Q3004">
        <v>23.799999237060501</v>
      </c>
      <c r="R3004">
        <v>27.299999237060501</v>
      </c>
      <c r="S3004">
        <v>22.899999618530298</v>
      </c>
      <c r="T3004">
        <v>366.90499999999997</v>
      </c>
      <c r="U3004">
        <v>137</v>
      </c>
      <c r="V3004">
        <v>0</v>
      </c>
      <c r="W3004">
        <v>154</v>
      </c>
      <c r="X3004">
        <v>323.90499999999997</v>
      </c>
      <c r="Y3004">
        <v>0</v>
      </c>
      <c r="Z3004">
        <v>285</v>
      </c>
      <c r="AA3004">
        <v>2</v>
      </c>
      <c r="AB3004">
        <v>0.86283341725667295</v>
      </c>
      <c r="AC3004">
        <v>9.4578101175530008E-3</v>
      </c>
      <c r="AD3004">
        <v>0.89961568117141699</v>
      </c>
      <c r="AE3004">
        <v>0.40991866067051902</v>
      </c>
      <c r="AF3004">
        <v>40.89</v>
      </c>
      <c r="AG3004">
        <f>IFERROR(AH3004*0.1, "N/A")</f>
        <v>7.51216666666667</v>
      </c>
      <c r="AH3004">
        <v>75.121666666666698</v>
      </c>
      <c r="AI3004">
        <v>91.104335505167597</v>
      </c>
      <c r="AJ3004">
        <v>5.1550000000000002</v>
      </c>
      <c r="AK3004">
        <v>86.138333333333307</v>
      </c>
    </row>
    <row r="3005" spans="1:37" x14ac:dyDescent="0.3">
      <c r="A3005">
        <v>3004</v>
      </c>
      <c r="B3005">
        <v>2</v>
      </c>
      <c r="C3005">
        <v>-15.908333000000001</v>
      </c>
      <c r="D3005">
        <v>14.791667</v>
      </c>
      <c r="E3005">
        <f>-15.908333-14.791667</f>
        <v>-30.700000000000003</v>
      </c>
      <c r="F3005" t="s">
        <v>5096</v>
      </c>
      <c r="G3005" t="s">
        <v>39</v>
      </c>
      <c r="H3005">
        <v>2003</v>
      </c>
      <c r="I3005">
        <v>26.799999237060501</v>
      </c>
      <c r="J3005">
        <v>15.8999996185303</v>
      </c>
      <c r="K3005">
        <v>66</v>
      </c>
      <c r="L3005">
        <v>19.0181804969036</v>
      </c>
      <c r="M3005">
        <v>38.200000762939503</v>
      </c>
      <c r="N3005">
        <v>14.199999809265099</v>
      </c>
      <c r="O3005">
        <v>24</v>
      </c>
      <c r="P3005">
        <v>27.571619638815601</v>
      </c>
      <c r="Q3005">
        <v>26.299999237060501</v>
      </c>
      <c r="R3005">
        <v>28.824039395544101</v>
      </c>
      <c r="S3005">
        <v>23.799999237060501</v>
      </c>
      <c r="T3005">
        <v>509.215358931553</v>
      </c>
      <c r="U3005">
        <v>186.475792988314</v>
      </c>
      <c r="V3005">
        <v>0</v>
      </c>
      <c r="W3005">
        <v>146.475792988314</v>
      </c>
      <c r="X3005">
        <v>438.215358931553</v>
      </c>
      <c r="Y3005">
        <v>0</v>
      </c>
      <c r="Z3005">
        <v>140.475792988314</v>
      </c>
      <c r="AA3005">
        <v>2</v>
      </c>
      <c r="AB3005">
        <v>0.64707962061606605</v>
      </c>
      <c r="AC3005">
        <v>0.25258279680733098</v>
      </c>
      <c r="AD3005">
        <v>0.899104602746852</v>
      </c>
      <c r="AE3005">
        <v>0.88179844617843595</v>
      </c>
      <c r="AF3005">
        <v>41.951585976627698</v>
      </c>
      <c r="AG3005">
        <f>IFERROR(AH3005*0.1, "N/A")</f>
        <v>6.7</v>
      </c>
      <c r="AH3005">
        <v>67</v>
      </c>
      <c r="AI3005">
        <v>112.42451897367999</v>
      </c>
      <c r="AJ3005">
        <v>21.547579298831401</v>
      </c>
      <c r="AK3005">
        <v>62.452420701168599</v>
      </c>
    </row>
    <row r="3006" spans="1:37" x14ac:dyDescent="0.3">
      <c r="A3006">
        <v>3005</v>
      </c>
      <c r="B3006">
        <v>2</v>
      </c>
      <c r="C3006">
        <v>-15.908334</v>
      </c>
      <c r="D3006">
        <v>14.791668</v>
      </c>
      <c r="E3006">
        <f>-15.908334-14.791668</f>
        <v>-30.700001999999998</v>
      </c>
      <c r="F3006" t="s">
        <v>5097</v>
      </c>
      <c r="G3006" t="s">
        <v>39</v>
      </c>
      <c r="H3006">
        <v>2003</v>
      </c>
      <c r="I3006">
        <v>26.799999237060501</v>
      </c>
      <c r="J3006">
        <v>15.8999996185303</v>
      </c>
      <c r="K3006">
        <v>66</v>
      </c>
      <c r="L3006">
        <v>19.0181804969036</v>
      </c>
      <c r="M3006">
        <v>38.200000762939503</v>
      </c>
      <c r="N3006">
        <v>14.199999809265099</v>
      </c>
      <c r="O3006">
        <v>24</v>
      </c>
      <c r="P3006">
        <v>27.571619638815601</v>
      </c>
      <c r="Q3006">
        <v>26.299999237060501</v>
      </c>
      <c r="R3006">
        <v>28.824039395544101</v>
      </c>
      <c r="S3006">
        <v>23.799999237060501</v>
      </c>
      <c r="T3006">
        <v>509.215358931553</v>
      </c>
      <c r="U3006">
        <v>186.475792988314</v>
      </c>
      <c r="V3006">
        <v>0</v>
      </c>
      <c r="W3006">
        <v>146.475792988314</v>
      </c>
      <c r="X3006">
        <v>438.215358931553</v>
      </c>
      <c r="Y3006">
        <v>0</v>
      </c>
      <c r="Z3006">
        <v>140.475792988314</v>
      </c>
      <c r="AA3006">
        <v>2</v>
      </c>
      <c r="AB3006">
        <v>0.64707962061606605</v>
      </c>
      <c r="AC3006">
        <v>0.25258279680733098</v>
      </c>
      <c r="AD3006">
        <v>0.899104602746852</v>
      </c>
      <c r="AE3006">
        <v>0.88179844617843595</v>
      </c>
      <c r="AF3006">
        <v>41.951585976627698</v>
      </c>
      <c r="AG3006">
        <f>IFERROR(AH3006*0.1, "N/A")</f>
        <v>6.7</v>
      </c>
      <c r="AH3006">
        <v>67</v>
      </c>
      <c r="AI3006">
        <v>112.42451897367999</v>
      </c>
      <c r="AJ3006">
        <v>21.547579298831401</v>
      </c>
      <c r="AK3006">
        <v>62.452420701168599</v>
      </c>
    </row>
    <row r="3007" spans="1:37" x14ac:dyDescent="0.3">
      <c r="A3007">
        <v>3006</v>
      </c>
      <c r="B3007">
        <v>28</v>
      </c>
      <c r="C3007">
        <v>-16.255666999999999</v>
      </c>
      <c r="D3007">
        <v>14.647856000000001</v>
      </c>
      <c r="E3007">
        <f>-16.255667-14.647856</f>
        <v>-30.903523</v>
      </c>
      <c r="F3007" t="s">
        <v>5098</v>
      </c>
      <c r="G3007" t="s">
        <v>39</v>
      </c>
      <c r="H3007">
        <v>2003</v>
      </c>
      <c r="I3007">
        <v>27.799999237060501</v>
      </c>
      <c r="J3007">
        <v>16</v>
      </c>
      <c r="K3007">
        <v>66</v>
      </c>
      <c r="L3007">
        <v>18.559999465942401</v>
      </c>
      <c r="M3007">
        <v>38.799999237060497</v>
      </c>
      <c r="N3007">
        <v>14.8999996185303</v>
      </c>
      <c r="O3007">
        <v>23.899999618530298</v>
      </c>
      <c r="P3007">
        <v>28.600000381469702</v>
      </c>
      <c r="Q3007">
        <v>27.200000762939499</v>
      </c>
      <c r="R3007">
        <v>29.600000381469702</v>
      </c>
      <c r="S3007">
        <v>24.899999618530298</v>
      </c>
      <c r="T3007">
        <v>546</v>
      </c>
      <c r="U3007">
        <v>197</v>
      </c>
      <c r="V3007">
        <v>0</v>
      </c>
      <c r="W3007">
        <v>147</v>
      </c>
      <c r="X3007">
        <v>470</v>
      </c>
      <c r="Y3007">
        <v>0</v>
      </c>
      <c r="Z3007">
        <v>143</v>
      </c>
      <c r="AA3007">
        <v>2</v>
      </c>
      <c r="AB3007">
        <v>2.5122483336685502</v>
      </c>
      <c r="AC3007">
        <v>8.3031220511599994E-3</v>
      </c>
      <c r="AD3007">
        <v>1.0572337667214</v>
      </c>
      <c r="AE3007">
        <v>0.79970175027847301</v>
      </c>
      <c r="AF3007">
        <v>13.75</v>
      </c>
      <c r="AG3007">
        <f>IFERROR(AH3007*0.1, "N/A")</f>
        <v>6.0432885906040301</v>
      </c>
      <c r="AH3007">
        <v>60.432885906040298</v>
      </c>
      <c r="AI3007">
        <v>204.255111668734</v>
      </c>
      <c r="AJ3007">
        <v>11.716442953020101</v>
      </c>
      <c r="AK3007">
        <v>72.417785234899299</v>
      </c>
    </row>
    <row r="3008" spans="1:37" x14ac:dyDescent="0.3">
      <c r="A3008">
        <v>3007</v>
      </c>
      <c r="B3008">
        <v>18</v>
      </c>
      <c r="C3008">
        <v>-16.255668</v>
      </c>
      <c r="D3008">
        <v>14.647857</v>
      </c>
      <c r="E3008">
        <f>-16.255668-14.647857</f>
        <v>-30.903525000000002</v>
      </c>
      <c r="F3008" t="s">
        <v>5099</v>
      </c>
      <c r="G3008" t="s">
        <v>39</v>
      </c>
      <c r="H3008">
        <v>2003</v>
      </c>
      <c r="I3008">
        <v>27.799999237060501</v>
      </c>
      <c r="J3008">
        <v>16</v>
      </c>
      <c r="K3008">
        <v>66</v>
      </c>
      <c r="L3008">
        <v>18.559999465942401</v>
      </c>
      <c r="M3008">
        <v>38.799999237060497</v>
      </c>
      <c r="N3008">
        <v>14.8999996185303</v>
      </c>
      <c r="O3008">
        <v>23.899999618530298</v>
      </c>
      <c r="P3008">
        <v>28.600000381469702</v>
      </c>
      <c r="Q3008">
        <v>27.200000762939499</v>
      </c>
      <c r="R3008">
        <v>29.600000381469702</v>
      </c>
      <c r="S3008">
        <v>24.899999618530298</v>
      </c>
      <c r="T3008">
        <v>546</v>
      </c>
      <c r="U3008">
        <v>197</v>
      </c>
      <c r="V3008">
        <v>0</v>
      </c>
      <c r="W3008">
        <v>147</v>
      </c>
      <c r="X3008">
        <v>470</v>
      </c>
      <c r="Y3008">
        <v>0</v>
      </c>
      <c r="Z3008">
        <v>143</v>
      </c>
      <c r="AA3008">
        <v>2</v>
      </c>
      <c r="AB3008">
        <v>2.5122483336685502</v>
      </c>
      <c r="AC3008">
        <v>8.3031220511599994E-3</v>
      </c>
      <c r="AD3008">
        <v>1.0572337667214</v>
      </c>
      <c r="AE3008">
        <v>0.79970175027847301</v>
      </c>
      <c r="AF3008">
        <v>13.75</v>
      </c>
      <c r="AG3008">
        <f>IFERROR(AH3008*0.1, "N/A")</f>
        <v>6.0432885906040301</v>
      </c>
      <c r="AH3008">
        <v>60.432885906040298</v>
      </c>
      <c r="AI3008">
        <v>204.255111668734</v>
      </c>
      <c r="AJ3008">
        <v>11.716442953020101</v>
      </c>
      <c r="AK3008">
        <v>72.417785234899299</v>
      </c>
    </row>
    <row r="3009" spans="1:37" x14ac:dyDescent="0.3">
      <c r="A3009">
        <v>3008</v>
      </c>
      <c r="B3009">
        <v>18</v>
      </c>
      <c r="C3009">
        <v>-16.255669000000001</v>
      </c>
      <c r="D3009">
        <v>14.647857999999999</v>
      </c>
      <c r="E3009">
        <f>-16.255669-14.647858</f>
        <v>-30.903527</v>
      </c>
      <c r="F3009" t="s">
        <v>5100</v>
      </c>
      <c r="G3009" t="s">
        <v>39</v>
      </c>
      <c r="H3009">
        <v>2003</v>
      </c>
      <c r="I3009">
        <v>27.799999237060501</v>
      </c>
      <c r="J3009">
        <v>16</v>
      </c>
      <c r="K3009">
        <v>66</v>
      </c>
      <c r="L3009">
        <v>18.559999465942401</v>
      </c>
      <c r="M3009">
        <v>38.799999237060497</v>
      </c>
      <c r="N3009">
        <v>14.8999996185303</v>
      </c>
      <c r="O3009">
        <v>23.899999618530298</v>
      </c>
      <c r="P3009">
        <v>28.600000381469702</v>
      </c>
      <c r="Q3009">
        <v>27.200000762939499</v>
      </c>
      <c r="R3009">
        <v>29.600000381469702</v>
      </c>
      <c r="S3009">
        <v>24.899999618530298</v>
      </c>
      <c r="T3009">
        <v>546</v>
      </c>
      <c r="U3009">
        <v>197</v>
      </c>
      <c r="V3009">
        <v>0</v>
      </c>
      <c r="W3009">
        <v>147</v>
      </c>
      <c r="X3009">
        <v>470</v>
      </c>
      <c r="Y3009">
        <v>0</v>
      </c>
      <c r="Z3009">
        <v>143</v>
      </c>
      <c r="AA3009">
        <v>2</v>
      </c>
      <c r="AB3009">
        <v>2.5097479106999301</v>
      </c>
      <c r="AC3009">
        <v>8.2892605706169995E-3</v>
      </c>
      <c r="AD3009">
        <v>1.0554999295403</v>
      </c>
      <c r="AE3009">
        <v>0.79970175027847301</v>
      </c>
      <c r="AF3009">
        <v>13.7394957983193</v>
      </c>
      <c r="AG3009">
        <f>IFERROR(AH3009*0.1, "N/A")</f>
        <v>6.0425210084033605</v>
      </c>
      <c r="AH3009">
        <v>60.425210084033601</v>
      </c>
      <c r="AI3009">
        <v>204.482693866121</v>
      </c>
      <c r="AJ3009">
        <v>11.712605042016801</v>
      </c>
      <c r="AK3009">
        <v>72.436974789915993</v>
      </c>
    </row>
    <row r="3010" spans="1:37" x14ac:dyDescent="0.3">
      <c r="A3010">
        <v>3009</v>
      </c>
      <c r="B3010">
        <v>20</v>
      </c>
      <c r="C3010">
        <v>-16.255669999999999</v>
      </c>
      <c r="D3010">
        <v>14.647859</v>
      </c>
      <c r="E3010">
        <f>-16.25567-14.647859</f>
        <v>-30.903528999999999</v>
      </c>
      <c r="F3010" t="s">
        <v>5101</v>
      </c>
      <c r="G3010" t="s">
        <v>39</v>
      </c>
      <c r="H3010">
        <v>2003</v>
      </c>
      <c r="I3010">
        <v>27.799999237060501</v>
      </c>
      <c r="J3010">
        <v>16</v>
      </c>
      <c r="K3010">
        <v>66</v>
      </c>
      <c r="L3010">
        <v>18.559999465942401</v>
      </c>
      <c r="M3010">
        <v>38.799999237060497</v>
      </c>
      <c r="N3010">
        <v>14.8999996185303</v>
      </c>
      <c r="O3010">
        <v>23.899999618530298</v>
      </c>
      <c r="P3010">
        <v>28.600000381469702</v>
      </c>
      <c r="Q3010">
        <v>27.200000762939499</v>
      </c>
      <c r="R3010">
        <v>29.600000381469702</v>
      </c>
      <c r="S3010">
        <v>24.899999618530298</v>
      </c>
      <c r="T3010">
        <v>546</v>
      </c>
      <c r="U3010">
        <v>197</v>
      </c>
      <c r="V3010">
        <v>0</v>
      </c>
      <c r="W3010">
        <v>147</v>
      </c>
      <c r="X3010">
        <v>470</v>
      </c>
      <c r="Y3010">
        <v>0</v>
      </c>
      <c r="Z3010">
        <v>143</v>
      </c>
      <c r="AA3010">
        <v>2</v>
      </c>
      <c r="AB3010">
        <v>2.5097479106999301</v>
      </c>
      <c r="AC3010">
        <v>8.2892605706169995E-3</v>
      </c>
      <c r="AD3010">
        <v>1.0554999295403</v>
      </c>
      <c r="AE3010">
        <v>0.79970175027847301</v>
      </c>
      <c r="AF3010">
        <v>13.7394957983193</v>
      </c>
      <c r="AG3010">
        <f>IFERROR(AH3010*0.1, "N/A")</f>
        <v>6.0425210084033605</v>
      </c>
      <c r="AH3010">
        <v>60.425210084033601</v>
      </c>
      <c r="AI3010">
        <v>204.482693866121</v>
      </c>
      <c r="AJ3010">
        <v>11.712605042016801</v>
      </c>
      <c r="AK3010">
        <v>72.436974789915993</v>
      </c>
    </row>
    <row r="3011" spans="1:37" x14ac:dyDescent="0.3">
      <c r="A3011">
        <v>3010</v>
      </c>
      <c r="B3011">
        <v>22</v>
      </c>
      <c r="C3011">
        <v>-16.255671</v>
      </c>
      <c r="D3011">
        <v>14.64786</v>
      </c>
      <c r="E3011">
        <f>-16.255671-14.64786</f>
        <v>-30.903531000000001</v>
      </c>
      <c r="F3011" t="s">
        <v>5102</v>
      </c>
      <c r="G3011" t="s">
        <v>39</v>
      </c>
      <c r="H3011">
        <v>2003</v>
      </c>
      <c r="I3011">
        <v>27.799999237060501</v>
      </c>
      <c r="J3011">
        <v>16</v>
      </c>
      <c r="K3011">
        <v>66</v>
      </c>
      <c r="L3011">
        <v>18.559999465942401</v>
      </c>
      <c r="M3011">
        <v>38.799999237060497</v>
      </c>
      <c r="N3011">
        <v>14.8999996185303</v>
      </c>
      <c r="O3011">
        <v>23.899999618530298</v>
      </c>
      <c r="P3011">
        <v>28.600000381469702</v>
      </c>
      <c r="Q3011">
        <v>27.200000762939499</v>
      </c>
      <c r="R3011">
        <v>29.600000381469702</v>
      </c>
      <c r="S3011">
        <v>24.899999618530298</v>
      </c>
      <c r="T3011">
        <v>546</v>
      </c>
      <c r="U3011">
        <v>197</v>
      </c>
      <c r="V3011">
        <v>0</v>
      </c>
      <c r="W3011">
        <v>147</v>
      </c>
      <c r="X3011">
        <v>470</v>
      </c>
      <c r="Y3011">
        <v>0</v>
      </c>
      <c r="Z3011">
        <v>143</v>
      </c>
      <c r="AA3011">
        <v>2</v>
      </c>
      <c r="AB3011">
        <v>2.51193278336725</v>
      </c>
      <c r="AC3011">
        <v>8.2892605017460003E-3</v>
      </c>
      <c r="AD3011">
        <v>1.0542722176103001</v>
      </c>
      <c r="AE3011">
        <v>0.79970175027847301</v>
      </c>
      <c r="AF3011">
        <v>13.744537815126</v>
      </c>
      <c r="AG3011">
        <f>IFERROR(AH3011*0.1, "N/A")</f>
        <v>6.0425210084033605</v>
      </c>
      <c r="AH3011">
        <v>60.425210084033601</v>
      </c>
      <c r="AI3011">
        <v>204.69205406894201</v>
      </c>
      <c r="AJ3011">
        <v>11.712605042016801</v>
      </c>
      <c r="AK3011">
        <v>72.436974789915993</v>
      </c>
    </row>
    <row r="3012" spans="1:37" x14ac:dyDescent="0.3">
      <c r="A3012">
        <v>3011</v>
      </c>
      <c r="B3012">
        <v>20</v>
      </c>
      <c r="C3012">
        <v>-16.255672000000001</v>
      </c>
      <c r="D3012">
        <v>14.647861000000001</v>
      </c>
      <c r="E3012">
        <f>-16.255672-14.647861</f>
        <v>-30.903533000000003</v>
      </c>
      <c r="F3012" t="s">
        <v>5103</v>
      </c>
      <c r="G3012" t="s">
        <v>39</v>
      </c>
      <c r="H3012">
        <v>2003</v>
      </c>
      <c r="I3012">
        <v>27.799999237060501</v>
      </c>
      <c r="J3012">
        <v>16</v>
      </c>
      <c r="K3012">
        <v>66</v>
      </c>
      <c r="L3012">
        <v>18.559999465942401</v>
      </c>
      <c r="M3012">
        <v>38.799999237060497</v>
      </c>
      <c r="N3012">
        <v>14.8999996185303</v>
      </c>
      <c r="O3012">
        <v>23.899999618530298</v>
      </c>
      <c r="P3012">
        <v>28.600000381469702</v>
      </c>
      <c r="Q3012">
        <v>27.200000762939499</v>
      </c>
      <c r="R3012">
        <v>29.600000381469702</v>
      </c>
      <c r="S3012">
        <v>24.899999618530298</v>
      </c>
      <c r="T3012">
        <v>546</v>
      </c>
      <c r="U3012">
        <v>197</v>
      </c>
      <c r="V3012">
        <v>0</v>
      </c>
      <c r="W3012">
        <v>147</v>
      </c>
      <c r="X3012">
        <v>470</v>
      </c>
      <c r="Y3012">
        <v>0</v>
      </c>
      <c r="Z3012">
        <v>143</v>
      </c>
      <c r="AA3012">
        <v>2</v>
      </c>
      <c r="AB3012">
        <v>2.51193278336725</v>
      </c>
      <c r="AC3012">
        <v>8.2892605017460003E-3</v>
      </c>
      <c r="AD3012">
        <v>1.0542722176103001</v>
      </c>
      <c r="AE3012">
        <v>0.79970175027847301</v>
      </c>
      <c r="AF3012">
        <v>13.744537815126</v>
      </c>
      <c r="AG3012">
        <f>IFERROR(AH3012*0.1, "N/A")</f>
        <v>6.0425210084033605</v>
      </c>
      <c r="AH3012">
        <v>60.425210084033601</v>
      </c>
      <c r="AI3012">
        <v>204.69205406894201</v>
      </c>
      <c r="AJ3012">
        <v>11.712605042016801</v>
      </c>
      <c r="AK3012">
        <v>72.436974789915993</v>
      </c>
    </row>
    <row r="3013" spans="1:37" x14ac:dyDescent="0.3">
      <c r="A3013">
        <v>3012</v>
      </c>
      <c r="B3013">
        <v>20</v>
      </c>
      <c r="C3013">
        <v>-16.255673000000002</v>
      </c>
      <c r="D3013">
        <v>14.647862</v>
      </c>
      <c r="E3013">
        <f>-16.255673-14.647862</f>
        <v>-30.903535000000002</v>
      </c>
      <c r="F3013" t="s">
        <v>5104</v>
      </c>
      <c r="G3013" t="s">
        <v>39</v>
      </c>
      <c r="H3013">
        <v>2003</v>
      </c>
      <c r="I3013">
        <v>27.799999237060501</v>
      </c>
      <c r="J3013">
        <v>16</v>
      </c>
      <c r="K3013">
        <v>66</v>
      </c>
      <c r="L3013">
        <v>18.559999465942401</v>
      </c>
      <c r="M3013">
        <v>38.799999237060497</v>
      </c>
      <c r="N3013">
        <v>14.8999996185303</v>
      </c>
      <c r="O3013">
        <v>23.899999618530298</v>
      </c>
      <c r="P3013">
        <v>28.600000381469702</v>
      </c>
      <c r="Q3013">
        <v>27.200000762939499</v>
      </c>
      <c r="R3013">
        <v>29.600000381469702</v>
      </c>
      <c r="S3013">
        <v>24.899999618530298</v>
      </c>
      <c r="T3013">
        <v>546</v>
      </c>
      <c r="U3013">
        <v>197</v>
      </c>
      <c r="V3013">
        <v>0</v>
      </c>
      <c r="W3013">
        <v>147</v>
      </c>
      <c r="X3013">
        <v>470</v>
      </c>
      <c r="Y3013">
        <v>0</v>
      </c>
      <c r="Z3013">
        <v>143</v>
      </c>
      <c r="AA3013">
        <v>2</v>
      </c>
      <c r="AB3013">
        <v>2.50942761970289</v>
      </c>
      <c r="AC3013">
        <v>8.2892839003489999E-3</v>
      </c>
      <c r="AD3013">
        <v>1.0540103812009001</v>
      </c>
      <c r="AE3013">
        <v>0.79970175027847301</v>
      </c>
      <c r="AF3013">
        <v>13.7356902356902</v>
      </c>
      <c r="AG3013">
        <f>IFERROR(AH3013*0.1, "N/A")</f>
        <v>6.0417508417508401</v>
      </c>
      <c r="AH3013">
        <v>60.417508417508401</v>
      </c>
      <c r="AI3013">
        <v>204.79182043621401</v>
      </c>
      <c r="AJ3013">
        <v>11.7087542087542</v>
      </c>
      <c r="AK3013">
        <v>72.456228956228998</v>
      </c>
    </row>
    <row r="3014" spans="1:37" x14ac:dyDescent="0.3">
      <c r="A3014">
        <v>3013</v>
      </c>
      <c r="B3014">
        <v>20</v>
      </c>
      <c r="C3014">
        <v>-16.255673999999999</v>
      </c>
      <c r="D3014">
        <v>14.647862999999999</v>
      </c>
      <c r="E3014">
        <f>-16.255674-14.647863</f>
        <v>-30.903537</v>
      </c>
      <c r="F3014" t="s">
        <v>5105</v>
      </c>
      <c r="G3014" t="s">
        <v>39</v>
      </c>
      <c r="H3014">
        <v>2003</v>
      </c>
      <c r="I3014">
        <v>27.799999237060501</v>
      </c>
      <c r="J3014">
        <v>16</v>
      </c>
      <c r="K3014">
        <v>66</v>
      </c>
      <c r="L3014">
        <v>18.559999465942401</v>
      </c>
      <c r="M3014">
        <v>38.799999237060497</v>
      </c>
      <c r="N3014">
        <v>14.8999996185303</v>
      </c>
      <c r="O3014">
        <v>23.899999618530298</v>
      </c>
      <c r="P3014">
        <v>28.600000381469702</v>
      </c>
      <c r="Q3014">
        <v>27.200000762939499</v>
      </c>
      <c r="R3014">
        <v>29.600000381469702</v>
      </c>
      <c r="S3014">
        <v>24.899999618530298</v>
      </c>
      <c r="T3014">
        <v>546</v>
      </c>
      <c r="U3014">
        <v>197</v>
      </c>
      <c r="V3014">
        <v>0</v>
      </c>
      <c r="W3014">
        <v>147</v>
      </c>
      <c r="X3014">
        <v>470</v>
      </c>
      <c r="Y3014">
        <v>0</v>
      </c>
      <c r="Z3014">
        <v>143</v>
      </c>
      <c r="AA3014">
        <v>2</v>
      </c>
      <c r="AB3014">
        <v>2.50942761970289</v>
      </c>
      <c r="AC3014">
        <v>8.2892839003489999E-3</v>
      </c>
      <c r="AD3014">
        <v>1.0540103812009001</v>
      </c>
      <c r="AE3014">
        <v>0.79970175027847301</v>
      </c>
      <c r="AF3014">
        <v>13.7356902356902</v>
      </c>
      <c r="AG3014">
        <f>IFERROR(AH3014*0.1, "N/A")</f>
        <v>6.0417508417508401</v>
      </c>
      <c r="AH3014">
        <v>60.417508417508401</v>
      </c>
      <c r="AI3014">
        <v>204.79182043621401</v>
      </c>
      <c r="AJ3014">
        <v>11.7087542087542</v>
      </c>
      <c r="AK3014">
        <v>72.456228956228998</v>
      </c>
    </row>
    <row r="3015" spans="1:37" x14ac:dyDescent="0.3">
      <c r="A3015">
        <v>3014</v>
      </c>
      <c r="B3015">
        <v>52</v>
      </c>
      <c r="C3015">
        <v>-16.255675</v>
      </c>
      <c r="D3015">
        <v>14.647864</v>
      </c>
      <c r="E3015">
        <f>-16.255675-14.647864</f>
        <v>-30.903539000000002</v>
      </c>
      <c r="F3015" t="s">
        <v>5106</v>
      </c>
      <c r="G3015" t="s">
        <v>39</v>
      </c>
      <c r="H3015">
        <v>2003</v>
      </c>
      <c r="I3015">
        <v>27.799999237060501</v>
      </c>
      <c r="J3015">
        <v>16</v>
      </c>
      <c r="K3015">
        <v>66</v>
      </c>
      <c r="L3015">
        <v>18.559999465942401</v>
      </c>
      <c r="M3015">
        <v>38.799999237060497</v>
      </c>
      <c r="N3015">
        <v>14.8999996185303</v>
      </c>
      <c r="O3015">
        <v>23.899999618530298</v>
      </c>
      <c r="P3015">
        <v>28.600000381469702</v>
      </c>
      <c r="Q3015">
        <v>27.200000762939499</v>
      </c>
      <c r="R3015">
        <v>29.600000381469702</v>
      </c>
      <c r="S3015">
        <v>24.899999618530298</v>
      </c>
      <c r="T3015">
        <v>546</v>
      </c>
      <c r="U3015">
        <v>197</v>
      </c>
      <c r="V3015">
        <v>0</v>
      </c>
      <c r="W3015">
        <v>147</v>
      </c>
      <c r="X3015">
        <v>470</v>
      </c>
      <c r="Y3015">
        <v>0</v>
      </c>
      <c r="Z3015">
        <v>143</v>
      </c>
      <c r="AA3015">
        <v>2</v>
      </c>
      <c r="AB3015">
        <v>2.5116161706070299</v>
      </c>
      <c r="AC3015">
        <v>8.2892838313619998E-3</v>
      </c>
      <c r="AD3015">
        <v>1.0527806024158</v>
      </c>
      <c r="AE3015">
        <v>0.79970175027847301</v>
      </c>
      <c r="AF3015">
        <v>13.7407407407407</v>
      </c>
      <c r="AG3015">
        <f>IFERROR(AH3015*0.1, "N/A")</f>
        <v>6.0417508417508401</v>
      </c>
      <c r="AH3015">
        <v>60.417508417508401</v>
      </c>
      <c r="AI3015">
        <v>205.00153309729001</v>
      </c>
      <c r="AJ3015">
        <v>11.7087542087542</v>
      </c>
      <c r="AK3015">
        <v>72.456228956228998</v>
      </c>
    </row>
    <row r="3016" spans="1:37" x14ac:dyDescent="0.3">
      <c r="A3016">
        <v>3015</v>
      </c>
      <c r="B3016">
        <v>54</v>
      </c>
      <c r="C3016">
        <v>-13.667222000000001</v>
      </c>
      <c r="D3016">
        <v>13.768889</v>
      </c>
      <c r="E3016">
        <f>-13.667222-13.768889</f>
        <v>-27.436111</v>
      </c>
      <c r="F3016" t="s">
        <v>5107</v>
      </c>
      <c r="G3016" t="s">
        <v>39</v>
      </c>
      <c r="H3016">
        <v>2003</v>
      </c>
      <c r="I3016">
        <v>28.600000381469702</v>
      </c>
      <c r="J3016">
        <v>14</v>
      </c>
      <c r="K3016">
        <v>59</v>
      </c>
      <c r="L3016">
        <v>23.379999160766602</v>
      </c>
      <c r="M3016">
        <v>40.299999237060497</v>
      </c>
      <c r="N3016">
        <v>16.700000762939499</v>
      </c>
      <c r="O3016">
        <v>23.600000381469702</v>
      </c>
      <c r="P3016">
        <v>27.299999237060501</v>
      </c>
      <c r="Q3016">
        <v>28</v>
      </c>
      <c r="R3016">
        <v>31.899999618530298</v>
      </c>
      <c r="S3016">
        <v>26</v>
      </c>
      <c r="T3016">
        <v>786</v>
      </c>
      <c r="U3016">
        <v>228</v>
      </c>
      <c r="V3016">
        <v>0</v>
      </c>
      <c r="W3016">
        <v>127</v>
      </c>
      <c r="X3016">
        <v>601</v>
      </c>
      <c r="Y3016">
        <v>1</v>
      </c>
      <c r="Z3016">
        <v>120</v>
      </c>
      <c r="AA3016">
        <v>3</v>
      </c>
      <c r="AB3016">
        <v>1.1121412409095699</v>
      </c>
      <c r="AC3016">
        <v>18.8827271279117</v>
      </c>
      <c r="AD3016">
        <v>1.4136925373873499</v>
      </c>
      <c r="AE3016">
        <v>0.83185757523242398</v>
      </c>
      <c r="AF3016">
        <v>27.2445193929174</v>
      </c>
      <c r="AG3016">
        <f>IFERROR(AH3016*0.1, "N/A")</f>
        <v>6.139629005059021</v>
      </c>
      <c r="AH3016">
        <v>61.396290050590203</v>
      </c>
      <c r="AI3016">
        <v>200.37582587874201</v>
      </c>
      <c r="AJ3016">
        <v>29.396290050590199</v>
      </c>
      <c r="AK3016">
        <v>47</v>
      </c>
    </row>
    <row r="3017" spans="1:37" x14ac:dyDescent="0.3">
      <c r="A3017">
        <v>3016</v>
      </c>
      <c r="B3017">
        <v>92</v>
      </c>
      <c r="C3017">
        <v>-12.716666999999999</v>
      </c>
      <c r="D3017">
        <v>14.183332999999999</v>
      </c>
      <c r="E3017">
        <f>-12.716667-14.183333</f>
        <v>-26.9</v>
      </c>
      <c r="F3017" t="s">
        <v>5108</v>
      </c>
      <c r="G3017" t="s">
        <v>39</v>
      </c>
      <c r="H3017">
        <v>2003</v>
      </c>
      <c r="I3017">
        <v>28.399999618530298</v>
      </c>
      <c r="J3017">
        <v>14.137605562579999</v>
      </c>
      <c r="K3017">
        <v>59</v>
      </c>
      <c r="L3017">
        <v>24.101449860288199</v>
      </c>
      <c r="M3017">
        <v>40.099998474121101</v>
      </c>
      <c r="N3017">
        <v>16.278751669203501</v>
      </c>
      <c r="O3017">
        <v>23.821247210189</v>
      </c>
      <c r="P3017">
        <v>27.299999237060501</v>
      </c>
      <c r="Q3017">
        <v>27.399999618530298</v>
      </c>
      <c r="R3017">
        <v>31.799999237060501</v>
      </c>
      <c r="S3017">
        <v>25.7163580175596</v>
      </c>
      <c r="T3017">
        <v>698.17369308600303</v>
      </c>
      <c r="U3017">
        <v>210</v>
      </c>
      <c r="V3017">
        <v>0</v>
      </c>
      <c r="W3017">
        <v>131</v>
      </c>
      <c r="X3017">
        <v>551.58684654300203</v>
      </c>
      <c r="Y3017">
        <v>0</v>
      </c>
      <c r="Z3017">
        <v>97.586846543001698</v>
      </c>
      <c r="AA3017">
        <v>3</v>
      </c>
      <c r="AB3017">
        <v>4.7205748598249899</v>
      </c>
      <c r="AC3017">
        <v>2.7701405235087E-2</v>
      </c>
      <c r="AD3017">
        <v>0.38171980714717602</v>
      </c>
      <c r="AE3017">
        <v>0.58729887008667003</v>
      </c>
      <c r="AF3017">
        <v>58.190556492411503</v>
      </c>
      <c r="AG3017">
        <f>IFERROR(AH3017*0.1, "N/A")</f>
        <v>6.0035413153457</v>
      </c>
      <c r="AH3017">
        <v>60.035413153457</v>
      </c>
      <c r="AI3017">
        <v>83.338906556719706</v>
      </c>
      <c r="AJ3017">
        <v>22.274873524451898</v>
      </c>
      <c r="AK3017">
        <v>54.138279932546403</v>
      </c>
    </row>
    <row r="3018" spans="1:37" x14ac:dyDescent="0.3">
      <c r="A3018">
        <v>3017</v>
      </c>
      <c r="B3018">
        <v>38</v>
      </c>
      <c r="C3018">
        <v>-12.716668</v>
      </c>
      <c r="D3018">
        <v>14.183334</v>
      </c>
      <c r="E3018">
        <f>-12.716668-14.183334</f>
        <v>-26.900002000000001</v>
      </c>
      <c r="F3018" t="s">
        <v>5109</v>
      </c>
      <c r="G3018" t="s">
        <v>39</v>
      </c>
      <c r="H3018">
        <v>2003</v>
      </c>
      <c r="I3018">
        <v>28.399999618530298</v>
      </c>
      <c r="J3018">
        <v>14.137605562579999</v>
      </c>
      <c r="K3018">
        <v>59</v>
      </c>
      <c r="L3018">
        <v>24.102006352570999</v>
      </c>
      <c r="M3018">
        <v>40.099998474121101</v>
      </c>
      <c r="N3018">
        <v>16.278583037712501</v>
      </c>
      <c r="O3018">
        <v>23.8214158448964</v>
      </c>
      <c r="P3018">
        <v>27.299999237060501</v>
      </c>
      <c r="Q3018">
        <v>27.399999618530298</v>
      </c>
      <c r="R3018">
        <v>31.799999237060501</v>
      </c>
      <c r="S3018">
        <v>25.716189386068699</v>
      </c>
      <c r="T3018">
        <v>698.18381112984798</v>
      </c>
      <c r="U3018">
        <v>210</v>
      </c>
      <c r="V3018">
        <v>0</v>
      </c>
      <c r="W3018">
        <v>131</v>
      </c>
      <c r="X3018">
        <v>551.59190556492399</v>
      </c>
      <c r="Y3018">
        <v>0</v>
      </c>
      <c r="Z3018">
        <v>97.591905564924105</v>
      </c>
      <c r="AA3018">
        <v>3</v>
      </c>
      <c r="AB3018">
        <v>4.7220925561091196</v>
      </c>
      <c r="AC3018">
        <v>2.7589536840519999E-2</v>
      </c>
      <c r="AD3018">
        <v>0.38345622966100601</v>
      </c>
      <c r="AE3018">
        <v>0.58729887008667003</v>
      </c>
      <c r="AF3018">
        <v>58.1939291736931</v>
      </c>
      <c r="AG3018">
        <f>IFERROR(AH3018*0.1, "N/A")</f>
        <v>6.0035413153457</v>
      </c>
      <c r="AH3018">
        <v>60.035413153457</v>
      </c>
      <c r="AI3018">
        <v>82.734814545758496</v>
      </c>
      <c r="AJ3018">
        <v>22.259696458684701</v>
      </c>
      <c r="AK3018">
        <v>54.148397976391202</v>
      </c>
    </row>
    <row r="3019" spans="1:37" x14ac:dyDescent="0.3">
      <c r="A3019">
        <v>3018</v>
      </c>
      <c r="B3019">
        <v>48</v>
      </c>
      <c r="C3019">
        <v>-12.716669</v>
      </c>
      <c r="D3019">
        <v>14.183335</v>
      </c>
      <c r="E3019">
        <f>-12.716669-14.183335</f>
        <v>-26.900003999999999</v>
      </c>
      <c r="F3019" t="s">
        <v>5110</v>
      </c>
      <c r="G3019" t="s">
        <v>39</v>
      </c>
      <c r="H3019">
        <v>2003</v>
      </c>
      <c r="I3019">
        <v>28.399999618530298</v>
      </c>
      <c r="J3019">
        <v>14.137605562579999</v>
      </c>
      <c r="K3019">
        <v>59</v>
      </c>
      <c r="L3019">
        <v>24.102006352570999</v>
      </c>
      <c r="M3019">
        <v>40.099998474121101</v>
      </c>
      <c r="N3019">
        <v>16.278583037712501</v>
      </c>
      <c r="O3019">
        <v>23.8214158448964</v>
      </c>
      <c r="P3019">
        <v>27.299999237060501</v>
      </c>
      <c r="Q3019">
        <v>27.399999618530298</v>
      </c>
      <c r="R3019">
        <v>31.799999237060501</v>
      </c>
      <c r="S3019">
        <v>25.716189386068699</v>
      </c>
      <c r="T3019">
        <v>698.18381112984798</v>
      </c>
      <c r="U3019">
        <v>210</v>
      </c>
      <c r="V3019">
        <v>0</v>
      </c>
      <c r="W3019">
        <v>131</v>
      </c>
      <c r="X3019">
        <v>551.59190556492399</v>
      </c>
      <c r="Y3019">
        <v>0</v>
      </c>
      <c r="Z3019">
        <v>97.591905564924105</v>
      </c>
      <c r="AA3019">
        <v>3</v>
      </c>
      <c r="AB3019">
        <v>4.7220925561091196</v>
      </c>
      <c r="AC3019">
        <v>2.7589536840519999E-2</v>
      </c>
      <c r="AD3019">
        <v>0.38345622966100601</v>
      </c>
      <c r="AE3019">
        <v>0.58729887008667003</v>
      </c>
      <c r="AF3019">
        <v>58.1939291736931</v>
      </c>
      <c r="AG3019">
        <f>IFERROR(AH3019*0.1, "N/A")</f>
        <v>6.0035413153457</v>
      </c>
      <c r="AH3019">
        <v>60.035413153457</v>
      </c>
      <c r="AI3019">
        <v>82.734814545758496</v>
      </c>
      <c r="AJ3019">
        <v>22.259696458684701</v>
      </c>
      <c r="AK3019">
        <v>54.148397976391202</v>
      </c>
    </row>
    <row r="3020" spans="1:37" x14ac:dyDescent="0.3">
      <c r="A3020">
        <v>3019</v>
      </c>
      <c r="B3020">
        <v>42</v>
      </c>
      <c r="C3020">
        <v>-12.716670000000001</v>
      </c>
      <c r="D3020">
        <v>14.183336000000001</v>
      </c>
      <c r="E3020">
        <f>-12.71667-14.183336</f>
        <v>-26.900006000000001</v>
      </c>
      <c r="F3020" t="s">
        <v>5111</v>
      </c>
      <c r="G3020" t="s">
        <v>39</v>
      </c>
      <c r="H3020">
        <v>2003</v>
      </c>
      <c r="I3020">
        <v>28.399999618530298</v>
      </c>
      <c r="J3020">
        <v>14.137605562579999</v>
      </c>
      <c r="K3020">
        <v>59</v>
      </c>
      <c r="L3020">
        <v>24.102006352570999</v>
      </c>
      <c r="M3020">
        <v>40.099998474121101</v>
      </c>
      <c r="N3020">
        <v>16.278583037712501</v>
      </c>
      <c r="O3020">
        <v>23.8214158448964</v>
      </c>
      <c r="P3020">
        <v>27.299999237060501</v>
      </c>
      <c r="Q3020">
        <v>27.399999618530298</v>
      </c>
      <c r="R3020">
        <v>31.799999237060501</v>
      </c>
      <c r="S3020">
        <v>25.716189386068699</v>
      </c>
      <c r="T3020">
        <v>698.18381112984798</v>
      </c>
      <c r="U3020">
        <v>210</v>
      </c>
      <c r="V3020">
        <v>0</v>
      </c>
      <c r="W3020">
        <v>131</v>
      </c>
      <c r="X3020">
        <v>551.59190556492399</v>
      </c>
      <c r="Y3020">
        <v>0</v>
      </c>
      <c r="Z3020">
        <v>97.591905564924105</v>
      </c>
      <c r="AA3020">
        <v>3</v>
      </c>
      <c r="AB3020">
        <v>4.7220925561091196</v>
      </c>
      <c r="AC3020">
        <v>2.7589536840519999E-2</v>
      </c>
      <c r="AD3020">
        <v>0.38345622966100601</v>
      </c>
      <c r="AE3020">
        <v>0.58729887008667003</v>
      </c>
      <c r="AF3020">
        <v>58.1939291736931</v>
      </c>
      <c r="AG3020">
        <f>IFERROR(AH3020*0.1, "N/A")</f>
        <v>6.0035413153457</v>
      </c>
      <c r="AH3020">
        <v>60.035413153457</v>
      </c>
      <c r="AI3020">
        <v>82.734814545758496</v>
      </c>
      <c r="AJ3020">
        <v>22.259696458684701</v>
      </c>
      <c r="AK3020">
        <v>54.148397976391202</v>
      </c>
    </row>
    <row r="3021" spans="1:37" x14ac:dyDescent="0.3">
      <c r="A3021">
        <v>3020</v>
      </c>
      <c r="B3021">
        <v>46</v>
      </c>
      <c r="C3021">
        <v>-12.716671</v>
      </c>
      <c r="D3021">
        <v>14.183337</v>
      </c>
      <c r="E3021">
        <f>-12.716671-14.183337</f>
        <v>-26.900008</v>
      </c>
      <c r="F3021" t="s">
        <v>5112</v>
      </c>
      <c r="G3021" t="s">
        <v>39</v>
      </c>
      <c r="H3021">
        <v>2003</v>
      </c>
      <c r="I3021">
        <v>28.399999618530298</v>
      </c>
      <c r="J3021">
        <v>14.138047301809401</v>
      </c>
      <c r="K3021">
        <v>59</v>
      </c>
      <c r="L3021">
        <v>24.1018851277001</v>
      </c>
      <c r="M3021">
        <v>40.099998474121101</v>
      </c>
      <c r="N3021">
        <v>16.278282396721099</v>
      </c>
      <c r="O3021">
        <v>23.821716491622201</v>
      </c>
      <c r="P3021">
        <v>27.299999237060501</v>
      </c>
      <c r="Q3021">
        <v>27.399999618530298</v>
      </c>
      <c r="R3021">
        <v>31.799999237060501</v>
      </c>
      <c r="S3021">
        <v>25.716330480093902</v>
      </c>
      <c r="T3021">
        <v>698.18518518518499</v>
      </c>
      <c r="U3021">
        <v>210</v>
      </c>
      <c r="V3021">
        <v>0</v>
      </c>
      <c r="W3021">
        <v>131</v>
      </c>
      <c r="X3021">
        <v>551.59259259259295</v>
      </c>
      <c r="Y3021">
        <v>0</v>
      </c>
      <c r="Z3021">
        <v>97.592592592592595</v>
      </c>
      <c r="AA3021">
        <v>3</v>
      </c>
      <c r="AB3021">
        <v>4.7222237185597002</v>
      </c>
      <c r="AC3021">
        <v>2.7584969425128999E-2</v>
      </c>
      <c r="AD3021">
        <v>0.384811732504103</v>
      </c>
      <c r="AE3021">
        <v>0.58729887008667003</v>
      </c>
      <c r="AF3021">
        <v>58.190235690235703</v>
      </c>
      <c r="AG3021">
        <f>IFERROR(AH3021*0.1, "N/A")</f>
        <v>6.0035353535353506</v>
      </c>
      <c r="AH3021">
        <v>60.035353535353501</v>
      </c>
      <c r="AI3021">
        <v>82.066720108391905</v>
      </c>
      <c r="AJ3021">
        <v>22.2575757575758</v>
      </c>
      <c r="AK3021">
        <v>54.149831649831697</v>
      </c>
    </row>
    <row r="3022" spans="1:37" x14ac:dyDescent="0.3">
      <c r="A3022">
        <v>3021</v>
      </c>
      <c r="B3022">
        <v>46</v>
      </c>
      <c r="C3022">
        <v>-12.716672000000001</v>
      </c>
      <c r="D3022">
        <v>14.183337999999999</v>
      </c>
      <c r="E3022">
        <f>-12.716672-14.183338</f>
        <v>-26.900010000000002</v>
      </c>
      <c r="F3022" t="s">
        <v>5113</v>
      </c>
      <c r="G3022" t="s">
        <v>39</v>
      </c>
      <c r="H3022">
        <v>2003</v>
      </c>
      <c r="I3022">
        <v>28.399999618530298</v>
      </c>
      <c r="J3022">
        <v>14.1379428287783</v>
      </c>
      <c r="K3022">
        <v>59</v>
      </c>
      <c r="L3022">
        <v>24.1022424392314</v>
      </c>
      <c r="M3022">
        <v>40.099998474121101</v>
      </c>
      <c r="N3022">
        <v>16.278245774730699</v>
      </c>
      <c r="O3022">
        <v>23.8217531143111</v>
      </c>
      <c r="P3022">
        <v>27.299999237060501</v>
      </c>
      <c r="Q3022">
        <v>27.399999618530298</v>
      </c>
      <c r="R3022">
        <v>31.799999237060501</v>
      </c>
      <c r="S3022">
        <v>25.716189386068699</v>
      </c>
      <c r="T3022">
        <v>698.19055649241102</v>
      </c>
      <c r="U3022">
        <v>210</v>
      </c>
      <c r="V3022">
        <v>0</v>
      </c>
      <c r="W3022">
        <v>131</v>
      </c>
      <c r="X3022">
        <v>551.59527824620602</v>
      </c>
      <c r="Y3022">
        <v>0</v>
      </c>
      <c r="Z3022">
        <v>97.595278246205694</v>
      </c>
      <c r="AA3022">
        <v>3</v>
      </c>
      <c r="AB3022">
        <v>4.7231043579204499</v>
      </c>
      <c r="AC3022">
        <v>2.7533602316566999E-2</v>
      </c>
      <c r="AD3022">
        <v>0.38433722450600499</v>
      </c>
      <c r="AE3022">
        <v>0.58729887008667003</v>
      </c>
      <c r="AF3022">
        <v>58.1939291736931</v>
      </c>
      <c r="AG3022">
        <f>IFERROR(AH3022*0.1, "N/A")</f>
        <v>6.0035413153457</v>
      </c>
      <c r="AH3022">
        <v>60.035413153457</v>
      </c>
      <c r="AI3022">
        <v>81.675410561778705</v>
      </c>
      <c r="AJ3022">
        <v>22.249578414839799</v>
      </c>
      <c r="AK3022">
        <v>54.155143338954502</v>
      </c>
    </row>
    <row r="3023" spans="1:37" x14ac:dyDescent="0.3">
      <c r="A3023">
        <v>3022</v>
      </c>
      <c r="B3023">
        <v>38</v>
      </c>
      <c r="C3023">
        <v>-12.189831</v>
      </c>
      <c r="D3023">
        <v>12.537564</v>
      </c>
      <c r="E3023">
        <f>-12.189831-12.537564</f>
        <v>-24.727395000000001</v>
      </c>
      <c r="F3023" t="s">
        <v>5114</v>
      </c>
      <c r="G3023" t="s">
        <v>39</v>
      </c>
      <c r="H3023">
        <v>2003</v>
      </c>
      <c r="I3023">
        <v>28.5</v>
      </c>
      <c r="J3023">
        <v>13.199999809265099</v>
      </c>
      <c r="K3023">
        <v>57</v>
      </c>
      <c r="L3023">
        <v>24.149999618530298</v>
      </c>
      <c r="M3023">
        <v>40.099998474121101</v>
      </c>
      <c r="N3023">
        <v>17.200000762939499</v>
      </c>
      <c r="O3023">
        <v>22.899999618530298</v>
      </c>
      <c r="P3023">
        <v>26.799999237060501</v>
      </c>
      <c r="Q3023">
        <v>28.799999237060501</v>
      </c>
      <c r="R3023">
        <v>32.299999237060497</v>
      </c>
      <c r="S3023">
        <v>26.299999237060501</v>
      </c>
      <c r="T3023">
        <v>1204</v>
      </c>
      <c r="U3023">
        <v>318</v>
      </c>
      <c r="V3023">
        <v>0</v>
      </c>
      <c r="W3023">
        <v>118</v>
      </c>
      <c r="X3023">
        <v>859</v>
      </c>
      <c r="Y3023">
        <v>0</v>
      </c>
      <c r="Z3023">
        <v>57</v>
      </c>
      <c r="AA3023">
        <v>8</v>
      </c>
      <c r="AB3023">
        <v>17.840065598285499</v>
      </c>
      <c r="AC3023">
        <v>5.0173197627852002E-2</v>
      </c>
      <c r="AD3023">
        <v>3.22419667365393</v>
      </c>
      <c r="AE3023">
        <v>0.21029701768238801</v>
      </c>
      <c r="AF3023">
        <v>127.385398981324</v>
      </c>
      <c r="AG3023">
        <f>IFERROR(AH3023*0.1, "N/A")</f>
        <v>6.4023769100169803</v>
      </c>
      <c r="AH3023">
        <v>64.023769100169801</v>
      </c>
      <c r="AI3023">
        <v>177.41134617000799</v>
      </c>
      <c r="AJ3023">
        <v>31.061120543293701</v>
      </c>
      <c r="AK3023">
        <v>40.047538200339602</v>
      </c>
    </row>
    <row r="3024" spans="1:37" x14ac:dyDescent="0.3">
      <c r="A3024">
        <v>3023</v>
      </c>
      <c r="B3024">
        <v>76</v>
      </c>
      <c r="C3024">
        <v>-16.440586</v>
      </c>
      <c r="D3024">
        <v>14.353828</v>
      </c>
      <c r="E3024">
        <f>-16.440586-14.353828</f>
        <v>-30.794414</v>
      </c>
      <c r="F3024" t="s">
        <v>5115</v>
      </c>
      <c r="G3024" t="s">
        <v>39</v>
      </c>
      <c r="H3024">
        <v>2003</v>
      </c>
      <c r="I3024">
        <v>26.899999618530298</v>
      </c>
      <c r="J3024">
        <v>14.8999996185303</v>
      </c>
      <c r="K3024">
        <v>67</v>
      </c>
      <c r="L3024">
        <v>16.719999313354499</v>
      </c>
      <c r="M3024">
        <v>36.799999237060497</v>
      </c>
      <c r="N3024">
        <v>14.699999809265099</v>
      </c>
      <c r="O3024">
        <v>22.100000381469702</v>
      </c>
      <c r="P3024">
        <v>27.700000762939499</v>
      </c>
      <c r="Q3024">
        <v>26.399999618530298</v>
      </c>
      <c r="R3024">
        <v>28.5</v>
      </c>
      <c r="S3024">
        <v>24.200000762939499</v>
      </c>
      <c r="T3024">
        <v>606</v>
      </c>
      <c r="U3024">
        <v>224</v>
      </c>
      <c r="V3024">
        <v>0</v>
      </c>
      <c r="W3024">
        <v>149</v>
      </c>
      <c r="X3024">
        <v>524</v>
      </c>
      <c r="Y3024">
        <v>0</v>
      </c>
      <c r="Z3024">
        <v>156</v>
      </c>
      <c r="AA3024">
        <v>2</v>
      </c>
      <c r="AB3024">
        <v>1.20418760005753</v>
      </c>
      <c r="AC3024">
        <v>0.64323274710432499</v>
      </c>
      <c r="AD3024">
        <v>2.1074167480021502</v>
      </c>
      <c r="AE3024">
        <v>0.74521243572235096</v>
      </c>
      <c r="AF3024">
        <v>3.5644891122278102</v>
      </c>
      <c r="AG3024">
        <f>IFERROR(AH3024*0.1, "N/A")</f>
        <v>5.6154103852596302</v>
      </c>
      <c r="AH3024">
        <v>56.1541038525963</v>
      </c>
      <c r="AI3024">
        <v>189.64867537864299</v>
      </c>
      <c r="AJ3024">
        <v>4.30820770519263</v>
      </c>
      <c r="AK3024">
        <v>84.614740368509203</v>
      </c>
    </row>
    <row r="3025" spans="1:37" x14ac:dyDescent="0.3">
      <c r="A3025">
        <v>3024</v>
      </c>
      <c r="B3025">
        <v>44</v>
      </c>
      <c r="C3025">
        <v>-16.440587000000001</v>
      </c>
      <c r="D3025">
        <v>14.353828999999999</v>
      </c>
      <c r="E3025">
        <f>-16.440587-14.353829</f>
        <v>-30.794415999999998</v>
      </c>
      <c r="F3025" t="s">
        <v>5116</v>
      </c>
      <c r="G3025" t="s">
        <v>39</v>
      </c>
      <c r="H3025">
        <v>2003</v>
      </c>
      <c r="I3025">
        <v>26.899999618530298</v>
      </c>
      <c r="J3025">
        <v>14.8999996185303</v>
      </c>
      <c r="K3025">
        <v>67</v>
      </c>
      <c r="L3025">
        <v>16.719999313354499</v>
      </c>
      <c r="M3025">
        <v>36.799999237060497</v>
      </c>
      <c r="N3025">
        <v>14.699999809265099</v>
      </c>
      <c r="O3025">
        <v>22.100000381469702</v>
      </c>
      <c r="P3025">
        <v>27.700000762939499</v>
      </c>
      <c r="Q3025">
        <v>26.399999618530298</v>
      </c>
      <c r="R3025">
        <v>28.5</v>
      </c>
      <c r="S3025">
        <v>24.200000762939499</v>
      </c>
      <c r="T3025">
        <v>606</v>
      </c>
      <c r="U3025">
        <v>224</v>
      </c>
      <c r="V3025">
        <v>0</v>
      </c>
      <c r="W3025">
        <v>149</v>
      </c>
      <c r="X3025">
        <v>524</v>
      </c>
      <c r="Y3025">
        <v>0</v>
      </c>
      <c r="Z3025">
        <v>156</v>
      </c>
      <c r="AA3025">
        <v>2</v>
      </c>
      <c r="AB3025">
        <v>1.20418760005753</v>
      </c>
      <c r="AC3025">
        <v>0.64323274710432499</v>
      </c>
      <c r="AD3025">
        <v>2.1074167480021502</v>
      </c>
      <c r="AE3025">
        <v>0.74521243572235096</v>
      </c>
      <c r="AF3025">
        <v>3.5644891122278102</v>
      </c>
      <c r="AG3025">
        <f>IFERROR(AH3025*0.1, "N/A")</f>
        <v>5.6154103852596302</v>
      </c>
      <c r="AH3025">
        <v>56.1541038525963</v>
      </c>
      <c r="AI3025">
        <v>189.64867537864299</v>
      </c>
      <c r="AJ3025">
        <v>4.30820770519263</v>
      </c>
      <c r="AK3025">
        <v>84.614740368509203</v>
      </c>
    </row>
    <row r="3026" spans="1:37" x14ac:dyDescent="0.3">
      <c r="A3026">
        <v>3025</v>
      </c>
      <c r="B3026">
        <v>64</v>
      </c>
      <c r="C3026">
        <v>-16.440588000000002</v>
      </c>
      <c r="D3026">
        <v>14.35383</v>
      </c>
      <c r="E3026">
        <f>-16.440588-14.35383</f>
        <v>-30.794418</v>
      </c>
      <c r="F3026" t="s">
        <v>5117</v>
      </c>
      <c r="G3026" t="s">
        <v>39</v>
      </c>
      <c r="H3026">
        <v>2003</v>
      </c>
      <c r="I3026">
        <v>26.899999618530298</v>
      </c>
      <c r="J3026">
        <v>14.8999996185303</v>
      </c>
      <c r="K3026">
        <v>67</v>
      </c>
      <c r="L3026">
        <v>16.719999313354499</v>
      </c>
      <c r="M3026">
        <v>36.799999237060497</v>
      </c>
      <c r="N3026">
        <v>14.699999809265099</v>
      </c>
      <c r="O3026">
        <v>22.100000381469702</v>
      </c>
      <c r="P3026">
        <v>27.700000762939499</v>
      </c>
      <c r="Q3026">
        <v>26.399999618530298</v>
      </c>
      <c r="R3026">
        <v>28.5</v>
      </c>
      <c r="S3026">
        <v>24.200000762939499</v>
      </c>
      <c r="T3026">
        <v>606</v>
      </c>
      <c r="U3026">
        <v>224</v>
      </c>
      <c r="V3026">
        <v>0</v>
      </c>
      <c r="W3026">
        <v>149</v>
      </c>
      <c r="X3026">
        <v>524</v>
      </c>
      <c r="Y3026">
        <v>0</v>
      </c>
      <c r="Z3026">
        <v>156</v>
      </c>
      <c r="AA3026">
        <v>2</v>
      </c>
      <c r="AB3026">
        <v>1.2072026757539001</v>
      </c>
      <c r="AC3026">
        <v>0.64038750555341295</v>
      </c>
      <c r="AD3026">
        <v>2.10671732872974</v>
      </c>
      <c r="AE3026">
        <v>0.74521243572235096</v>
      </c>
      <c r="AF3026">
        <v>3.5695142378559499</v>
      </c>
      <c r="AG3026">
        <f>IFERROR(AH3026*0.1, "N/A")</f>
        <v>5.6154103852596302</v>
      </c>
      <c r="AH3026">
        <v>56.1541038525963</v>
      </c>
      <c r="AI3026">
        <v>189.660419892226</v>
      </c>
      <c r="AJ3026">
        <v>4.30820770519263</v>
      </c>
      <c r="AK3026">
        <v>84.614740368509203</v>
      </c>
    </row>
    <row r="3027" spans="1:37" x14ac:dyDescent="0.3">
      <c r="A3027">
        <v>3026</v>
      </c>
      <c r="B3027">
        <v>52</v>
      </c>
      <c r="C3027">
        <v>-16.066763999999999</v>
      </c>
      <c r="D3027">
        <v>14.499961000000001</v>
      </c>
      <c r="E3027">
        <f>-16.066764-14.499961</f>
        <v>-30.566724999999998</v>
      </c>
      <c r="F3027" t="s">
        <v>5118</v>
      </c>
      <c r="G3027" t="s">
        <v>39</v>
      </c>
      <c r="H3027">
        <v>2003</v>
      </c>
      <c r="I3027">
        <v>27.5</v>
      </c>
      <c r="J3027">
        <v>16</v>
      </c>
      <c r="K3027">
        <v>66</v>
      </c>
      <c r="L3027">
        <v>18.309932432592099</v>
      </c>
      <c r="M3027">
        <v>39</v>
      </c>
      <c r="N3027">
        <v>14.800000190734901</v>
      </c>
      <c r="O3027">
        <v>24.200000762939499</v>
      </c>
      <c r="P3027">
        <v>28.122559390084099</v>
      </c>
      <c r="Q3027">
        <v>27.200000762939499</v>
      </c>
      <c r="R3027">
        <v>29.4052184936575</v>
      </c>
      <c r="S3027">
        <v>24.700000762939499</v>
      </c>
      <c r="T3027">
        <v>553.76936026936005</v>
      </c>
      <c r="U3027">
        <v>186.580808080808</v>
      </c>
      <c r="V3027">
        <v>0</v>
      </c>
      <c r="W3027">
        <v>142</v>
      </c>
      <c r="X3027">
        <v>471.49158249158302</v>
      </c>
      <c r="Y3027">
        <v>0</v>
      </c>
      <c r="Z3027">
        <v>125.555555555556</v>
      </c>
      <c r="AA3027">
        <v>2</v>
      </c>
      <c r="AB3027">
        <v>1.5782827608513099</v>
      </c>
      <c r="AC3027">
        <v>1.8624772323979001E-2</v>
      </c>
      <c r="AD3027">
        <v>0.68789695529424</v>
      </c>
      <c r="AE3027">
        <v>0.80733209848403897</v>
      </c>
      <c r="AF3027">
        <v>21.7390572390572</v>
      </c>
      <c r="AG3027">
        <f>IFERROR(AH3027*0.1, "N/A")</f>
        <v>5.5</v>
      </c>
      <c r="AH3027">
        <v>55</v>
      </c>
      <c r="AI3027">
        <v>164.50463239111099</v>
      </c>
      <c r="AJ3027">
        <v>9</v>
      </c>
      <c r="AK3027">
        <v>82.193602693602699</v>
      </c>
    </row>
    <row r="3028" spans="1:37" x14ac:dyDescent="0.3">
      <c r="A3028">
        <v>3027</v>
      </c>
      <c r="B3028">
        <v>50</v>
      </c>
      <c r="C3028">
        <v>-15.95</v>
      </c>
      <c r="D3028">
        <v>14.266667</v>
      </c>
      <c r="E3028">
        <f>-15.95-14.266667</f>
        <v>-30.216667000000001</v>
      </c>
      <c r="F3028" t="s">
        <v>5119</v>
      </c>
      <c r="G3028" t="s">
        <v>39</v>
      </c>
      <c r="H3028">
        <v>2003</v>
      </c>
      <c r="I3028">
        <v>27.799999237060501</v>
      </c>
      <c r="J3028">
        <v>15.8999996185303</v>
      </c>
      <c r="K3028">
        <v>65</v>
      </c>
      <c r="L3028">
        <v>17.206560064125998</v>
      </c>
      <c r="M3028">
        <v>39.278245774730699</v>
      </c>
      <c r="N3028">
        <v>15.178246139474901</v>
      </c>
      <c r="O3028">
        <v>24.100000381469702</v>
      </c>
      <c r="P3028">
        <v>28.100000381469702</v>
      </c>
      <c r="Q3028">
        <v>27.721754225269301</v>
      </c>
      <c r="R3028">
        <v>29.700000762939499</v>
      </c>
      <c r="S3028">
        <v>25.181282310421501</v>
      </c>
      <c r="T3028">
        <v>597.63406408094397</v>
      </c>
      <c r="U3028">
        <v>195.634064080944</v>
      </c>
      <c r="V3028">
        <v>0</v>
      </c>
      <c r="W3028">
        <v>140.634064080944</v>
      </c>
      <c r="X3028">
        <v>499.63406408094397</v>
      </c>
      <c r="Y3028">
        <v>1</v>
      </c>
      <c r="Z3028">
        <v>43</v>
      </c>
      <c r="AA3028">
        <v>4</v>
      </c>
      <c r="AB3028">
        <v>3.4865093745831501</v>
      </c>
      <c r="AC3028">
        <v>3.8328510327468999E-2</v>
      </c>
      <c r="AD3028">
        <v>0.33855580298534699</v>
      </c>
      <c r="AE3028">
        <v>0.82258009910583496</v>
      </c>
      <c r="AF3028">
        <v>18.571669477234401</v>
      </c>
      <c r="AG3028">
        <f>IFERROR(AH3028*0.1, "N/A")</f>
        <v>5.7730185497470501</v>
      </c>
      <c r="AH3028">
        <v>57.730185497470501</v>
      </c>
      <c r="AI3028">
        <v>74.939686760733494</v>
      </c>
      <c r="AJ3028">
        <v>10.7268128161889</v>
      </c>
      <c r="AK3028">
        <v>78.185497470488997</v>
      </c>
    </row>
    <row r="3029" spans="1:37" x14ac:dyDescent="0.3">
      <c r="A3029">
        <v>3028</v>
      </c>
      <c r="B3029">
        <v>50</v>
      </c>
      <c r="C3029">
        <v>-15.96</v>
      </c>
      <c r="D3029">
        <v>14.266667999999999</v>
      </c>
      <c r="E3029">
        <f>-15.96-14.266668</f>
        <v>-30.226668</v>
      </c>
      <c r="F3029" t="s">
        <v>5120</v>
      </c>
      <c r="G3029" t="s">
        <v>39</v>
      </c>
      <c r="H3029">
        <v>2003</v>
      </c>
      <c r="I3029">
        <v>27.799999237060501</v>
      </c>
      <c r="J3029">
        <v>15.8999996185303</v>
      </c>
      <c r="K3029">
        <v>66</v>
      </c>
      <c r="L3029">
        <v>17.032189288925998</v>
      </c>
      <c r="M3029">
        <v>39.200000762939503</v>
      </c>
      <c r="N3029">
        <v>15.199999809265099</v>
      </c>
      <c r="O3029">
        <v>24</v>
      </c>
      <c r="P3029">
        <v>28.100000381469702</v>
      </c>
      <c r="Q3029">
        <v>27.799999237060501</v>
      </c>
      <c r="R3029">
        <v>29.700000762939499</v>
      </c>
      <c r="S3029">
        <v>25.200000762939499</v>
      </c>
      <c r="T3029">
        <v>598.78114478114503</v>
      </c>
      <c r="U3029">
        <v>195.781144781145</v>
      </c>
      <c r="V3029">
        <v>0</v>
      </c>
      <c r="W3029">
        <v>141</v>
      </c>
      <c r="X3029">
        <v>500.78114478114497</v>
      </c>
      <c r="Y3029">
        <v>1</v>
      </c>
      <c r="Z3029">
        <v>43</v>
      </c>
      <c r="AA3029">
        <v>4</v>
      </c>
      <c r="AB3029">
        <v>3.9525249012391601</v>
      </c>
      <c r="AC3029">
        <v>4.2311554846765E-2</v>
      </c>
      <c r="AD3029">
        <v>0.755903278938447</v>
      </c>
      <c r="AE3029">
        <v>0.78430652618408203</v>
      </c>
      <c r="AF3029">
        <v>18.986531986532</v>
      </c>
      <c r="AG3029">
        <f>IFERROR(AH3029*0.1, "N/A")</f>
        <v>5.8535353535353503</v>
      </c>
      <c r="AH3029">
        <v>58.535353535353501</v>
      </c>
      <c r="AI3029">
        <v>166.29319379144999</v>
      </c>
      <c r="AJ3029">
        <v>7.1010101010101003</v>
      </c>
      <c r="AK3029">
        <v>84.983164983164997</v>
      </c>
    </row>
    <row r="3030" spans="1:37" x14ac:dyDescent="0.3">
      <c r="A3030">
        <v>3029</v>
      </c>
      <c r="B3030">
        <v>22</v>
      </c>
      <c r="C3030">
        <v>-15.97</v>
      </c>
      <c r="D3030">
        <v>14.266669</v>
      </c>
      <c r="E3030">
        <f>-15.97-14.266669</f>
        <v>-30.236668999999999</v>
      </c>
      <c r="F3030" t="s">
        <v>5121</v>
      </c>
      <c r="G3030" t="s">
        <v>39</v>
      </c>
      <c r="H3030">
        <v>2003</v>
      </c>
      <c r="I3030">
        <v>27.799999237060501</v>
      </c>
      <c r="J3030">
        <v>15.8999996185303</v>
      </c>
      <c r="K3030">
        <v>66</v>
      </c>
      <c r="L3030">
        <v>16.9397979198686</v>
      </c>
      <c r="M3030">
        <v>39.200000762939503</v>
      </c>
      <c r="N3030">
        <v>15.199999809265099</v>
      </c>
      <c r="O3030">
        <v>24</v>
      </c>
      <c r="P3030">
        <v>28.100000381469702</v>
      </c>
      <c r="Q3030">
        <v>27.799999237060501</v>
      </c>
      <c r="R3030">
        <v>29.700000762939499</v>
      </c>
      <c r="S3030">
        <v>25.277851924000199</v>
      </c>
      <c r="T3030">
        <v>598.55704697986596</v>
      </c>
      <c r="U3030">
        <v>195.77852348993301</v>
      </c>
      <c r="V3030">
        <v>0</v>
      </c>
      <c r="W3030">
        <v>141</v>
      </c>
      <c r="X3030">
        <v>500.77852348993298</v>
      </c>
      <c r="Y3030">
        <v>1</v>
      </c>
      <c r="Z3030">
        <v>42.778523489932901</v>
      </c>
      <c r="AA3030">
        <v>4</v>
      </c>
      <c r="AB3030">
        <v>3.3176170675546501</v>
      </c>
      <c r="AC3030">
        <v>6.7301016005580999E-2</v>
      </c>
      <c r="AD3030">
        <v>0.653460337211622</v>
      </c>
      <c r="AE3030">
        <v>0.75804251432418801</v>
      </c>
      <c r="AF3030">
        <v>13.1493288590604</v>
      </c>
      <c r="AG3030">
        <f>IFERROR(AH3030*0.1, "N/A")</f>
        <v>5.2911073825503401</v>
      </c>
      <c r="AH3030">
        <v>52.911073825503401</v>
      </c>
      <c r="AI3030">
        <v>216.558533508506</v>
      </c>
      <c r="AJ3030">
        <v>7.0889261744966499</v>
      </c>
      <c r="AK3030">
        <v>83.644295302013404</v>
      </c>
    </row>
    <row r="3031" spans="1:37" x14ac:dyDescent="0.3">
      <c r="A3031">
        <v>3030</v>
      </c>
      <c r="B3031">
        <v>26</v>
      </c>
      <c r="C3031">
        <v>-15.98</v>
      </c>
      <c r="D3031">
        <v>14.26667</v>
      </c>
      <c r="E3031">
        <f>-15.98-14.26667</f>
        <v>-30.246670000000002</v>
      </c>
      <c r="F3031" t="s">
        <v>5122</v>
      </c>
      <c r="G3031" t="s">
        <v>39</v>
      </c>
      <c r="H3031">
        <v>2003</v>
      </c>
      <c r="I3031">
        <v>27.877814659952101</v>
      </c>
      <c r="J3031">
        <v>15.8999996185303</v>
      </c>
      <c r="K3031">
        <v>65.221848739495798</v>
      </c>
      <c r="L3031">
        <v>16.895528927971299</v>
      </c>
      <c r="M3031">
        <v>39.255629319904202</v>
      </c>
      <c r="N3031">
        <v>15.199999809265099</v>
      </c>
      <c r="O3031">
        <v>24.055630464313399</v>
      </c>
      <c r="P3031">
        <v>28.177815804361298</v>
      </c>
      <c r="Q3031">
        <v>27.877814659952101</v>
      </c>
      <c r="R3031">
        <v>29.777814701625299</v>
      </c>
      <c r="S3031">
        <v>25.277814701625299</v>
      </c>
      <c r="T3031">
        <v>598.55630252100798</v>
      </c>
      <c r="U3031">
        <v>195.77815126050399</v>
      </c>
      <c r="V3031">
        <v>0</v>
      </c>
      <c r="W3031">
        <v>141</v>
      </c>
      <c r="X3031">
        <v>500.77815126050399</v>
      </c>
      <c r="Y3031">
        <v>1</v>
      </c>
      <c r="Z3031">
        <v>42.778151260504202</v>
      </c>
      <c r="AA3031">
        <v>4</v>
      </c>
      <c r="AB3031">
        <v>0.18638660527077</v>
      </c>
      <c r="AC3031">
        <v>4.3821758376763098</v>
      </c>
      <c r="AD3031">
        <v>2.1764180822532699</v>
      </c>
      <c r="AE3031">
        <v>0.74599480628967296</v>
      </c>
      <c r="AF3031">
        <v>7.2605042016806696</v>
      </c>
      <c r="AG3031">
        <f>IFERROR(AH3031*0.1, "N/A")</f>
        <v>5.6005042016806703</v>
      </c>
      <c r="AH3031">
        <v>56.005042016806698</v>
      </c>
      <c r="AI3031">
        <v>185.20633152553</v>
      </c>
      <c r="AJ3031">
        <v>8.1932773109243708</v>
      </c>
      <c r="AK3031">
        <v>82.707563025210106</v>
      </c>
    </row>
    <row r="3032" spans="1:37" x14ac:dyDescent="0.3">
      <c r="A3032">
        <v>3031</v>
      </c>
      <c r="B3032">
        <v>56</v>
      </c>
      <c r="C3032">
        <v>-16.075775</v>
      </c>
      <c r="D3032">
        <v>14.165208</v>
      </c>
      <c r="E3032">
        <f>-16.075775-14.165208</f>
        <v>-30.240983</v>
      </c>
      <c r="F3032" t="s">
        <v>5123</v>
      </c>
      <c r="G3032" t="s">
        <v>39</v>
      </c>
      <c r="H3032">
        <v>2003</v>
      </c>
      <c r="I3032">
        <v>28.100000381469702</v>
      </c>
      <c r="J3032">
        <v>15.699999809265099</v>
      </c>
      <c r="K3032">
        <v>66.826599326599293</v>
      </c>
      <c r="L3032">
        <v>15.9185520278083</v>
      </c>
      <c r="M3032">
        <v>39.117338938343799</v>
      </c>
      <c r="N3032">
        <v>15.6826598411457</v>
      </c>
      <c r="O3032">
        <v>23.4346798855046</v>
      </c>
      <c r="P3032">
        <v>28.299999237060501</v>
      </c>
      <c r="Q3032">
        <v>28.082660247982599</v>
      </c>
      <c r="R3032">
        <v>29.799999237060501</v>
      </c>
      <c r="S3032">
        <v>25.6826606294523</v>
      </c>
      <c r="T3032">
        <v>624</v>
      </c>
      <c r="U3032">
        <v>217</v>
      </c>
      <c r="V3032">
        <v>0</v>
      </c>
      <c r="W3032">
        <v>141</v>
      </c>
      <c r="X3032">
        <v>525</v>
      </c>
      <c r="Y3032">
        <v>1</v>
      </c>
      <c r="Z3032">
        <v>45</v>
      </c>
      <c r="AA3032">
        <v>3</v>
      </c>
      <c r="AB3032">
        <v>1.8132996960521099</v>
      </c>
      <c r="AC3032">
        <v>1.0331264300341E-2</v>
      </c>
      <c r="AD3032">
        <v>1.06168418751421</v>
      </c>
      <c r="AE3032">
        <v>0.91685223579406705</v>
      </c>
      <c r="AF3032">
        <v>8.8080808080808097</v>
      </c>
      <c r="AG3032">
        <f>IFERROR(AH3032*0.1, "N/A")</f>
        <v>6.5360269360269401</v>
      </c>
      <c r="AH3032">
        <v>65.360269360269399</v>
      </c>
      <c r="AI3032">
        <v>123.762970677129</v>
      </c>
      <c r="AJ3032">
        <v>19.449494949495001</v>
      </c>
      <c r="AK3032">
        <v>62.952861952862001</v>
      </c>
    </row>
    <row r="3033" spans="1:37" x14ac:dyDescent="0.3">
      <c r="A3033">
        <v>3032</v>
      </c>
      <c r="B3033">
        <v>78</v>
      </c>
      <c r="C3033">
        <v>-16.075776000000001</v>
      </c>
      <c r="D3033">
        <v>14.165209000000001</v>
      </c>
      <c r="E3033">
        <f>-16.075776-14.165209</f>
        <v>-30.240985000000002</v>
      </c>
      <c r="F3033" t="s">
        <v>5124</v>
      </c>
      <c r="G3033" t="s">
        <v>39</v>
      </c>
      <c r="H3033">
        <v>2003</v>
      </c>
      <c r="I3033">
        <v>28.100000381469702</v>
      </c>
      <c r="J3033">
        <v>15.699999809265099</v>
      </c>
      <c r="K3033">
        <v>66.826599326599293</v>
      </c>
      <c r="L3033">
        <v>15.9185520278083</v>
      </c>
      <c r="M3033">
        <v>39.117338938343799</v>
      </c>
      <c r="N3033">
        <v>15.6826598411457</v>
      </c>
      <c r="O3033">
        <v>23.4346798855046</v>
      </c>
      <c r="P3033">
        <v>28.299999237060501</v>
      </c>
      <c r="Q3033">
        <v>28.082660247982599</v>
      </c>
      <c r="R3033">
        <v>29.799999237060501</v>
      </c>
      <c r="S3033">
        <v>25.6826606294523</v>
      </c>
      <c r="T3033">
        <v>624</v>
      </c>
      <c r="U3033">
        <v>217</v>
      </c>
      <c r="V3033">
        <v>0</v>
      </c>
      <c r="W3033">
        <v>141</v>
      </c>
      <c r="X3033">
        <v>525</v>
      </c>
      <c r="Y3033">
        <v>1</v>
      </c>
      <c r="Z3033">
        <v>45</v>
      </c>
      <c r="AA3033">
        <v>3</v>
      </c>
      <c r="AB3033">
        <v>1.8132996960521099</v>
      </c>
      <c r="AC3033">
        <v>1.0331264300341E-2</v>
      </c>
      <c r="AD3033">
        <v>1.06168418751421</v>
      </c>
      <c r="AE3033">
        <v>0.91685223579406705</v>
      </c>
      <c r="AF3033">
        <v>8.8080808080808097</v>
      </c>
      <c r="AG3033">
        <f>IFERROR(AH3033*0.1, "N/A")</f>
        <v>6.5360269360269401</v>
      </c>
      <c r="AH3033">
        <v>65.360269360269399</v>
      </c>
      <c r="AI3033">
        <v>123.762970677129</v>
      </c>
      <c r="AJ3033">
        <v>19.449494949495001</v>
      </c>
      <c r="AK3033">
        <v>62.952861952862001</v>
      </c>
    </row>
    <row r="3034" spans="1:37" x14ac:dyDescent="0.3">
      <c r="A3034">
        <v>3033</v>
      </c>
      <c r="B3034">
        <v>78</v>
      </c>
      <c r="C3034">
        <v>-16.075776999999999</v>
      </c>
      <c r="D3034">
        <v>14.16521</v>
      </c>
      <c r="E3034">
        <f>-16.075777-14.16521</f>
        <v>-30.240986999999997</v>
      </c>
      <c r="F3034" t="s">
        <v>5125</v>
      </c>
      <c r="G3034" t="s">
        <v>39</v>
      </c>
      <c r="H3034">
        <v>2003</v>
      </c>
      <c r="I3034">
        <v>28.100000381469702</v>
      </c>
      <c r="J3034">
        <v>15.699999809265099</v>
      </c>
      <c r="K3034">
        <v>66.826599326599293</v>
      </c>
      <c r="L3034">
        <v>15.9185520278083</v>
      </c>
      <c r="M3034">
        <v>39.117338938343799</v>
      </c>
      <c r="N3034">
        <v>15.6826598411457</v>
      </c>
      <c r="O3034">
        <v>23.4346798855046</v>
      </c>
      <c r="P3034">
        <v>28.299999237060501</v>
      </c>
      <c r="Q3034">
        <v>28.082660247982599</v>
      </c>
      <c r="R3034">
        <v>29.799999237060501</v>
      </c>
      <c r="S3034">
        <v>25.6826606294523</v>
      </c>
      <c r="T3034">
        <v>624</v>
      </c>
      <c r="U3034">
        <v>217</v>
      </c>
      <c r="V3034">
        <v>0</v>
      </c>
      <c r="W3034">
        <v>141</v>
      </c>
      <c r="X3034">
        <v>525</v>
      </c>
      <c r="Y3034">
        <v>1</v>
      </c>
      <c r="Z3034">
        <v>45</v>
      </c>
      <c r="AA3034">
        <v>3</v>
      </c>
      <c r="AB3034">
        <v>1.8132996960521099</v>
      </c>
      <c r="AC3034">
        <v>1.0331264300341E-2</v>
      </c>
      <c r="AD3034">
        <v>1.06168418751421</v>
      </c>
      <c r="AE3034">
        <v>0.91685223579406705</v>
      </c>
      <c r="AF3034">
        <v>8.8080808080808097</v>
      </c>
      <c r="AG3034">
        <f>IFERROR(AH3034*0.1, "N/A")</f>
        <v>6.5360269360269401</v>
      </c>
      <c r="AH3034">
        <v>65.360269360269399</v>
      </c>
      <c r="AI3034">
        <v>123.762970677129</v>
      </c>
      <c r="AJ3034">
        <v>19.449494949495001</v>
      </c>
      <c r="AK3034">
        <v>62.952861952862001</v>
      </c>
    </row>
    <row r="3035" spans="1:37" x14ac:dyDescent="0.3">
      <c r="A3035">
        <v>3034</v>
      </c>
      <c r="B3035">
        <v>56</v>
      </c>
      <c r="C3035">
        <v>-16.075778</v>
      </c>
      <c r="D3035">
        <v>14.165210999999999</v>
      </c>
      <c r="E3035">
        <f>-16.075778-14.165211</f>
        <v>-30.240988999999999</v>
      </c>
      <c r="F3035" t="s">
        <v>5126</v>
      </c>
      <c r="G3035" t="s">
        <v>39</v>
      </c>
      <c r="H3035">
        <v>2003</v>
      </c>
      <c r="I3035">
        <v>28.100000381469702</v>
      </c>
      <c r="J3035">
        <v>15.699999809265099</v>
      </c>
      <c r="K3035">
        <v>66.826599326599293</v>
      </c>
      <c r="L3035">
        <v>15.9185520278083</v>
      </c>
      <c r="M3035">
        <v>39.117338938343799</v>
      </c>
      <c r="N3035">
        <v>15.6826598411457</v>
      </c>
      <c r="O3035">
        <v>23.4346798855046</v>
      </c>
      <c r="P3035">
        <v>28.299999237060501</v>
      </c>
      <c r="Q3035">
        <v>28.082660247982499</v>
      </c>
      <c r="R3035">
        <v>29.799999237060501</v>
      </c>
      <c r="S3035">
        <v>25.6826606294523</v>
      </c>
      <c r="T3035">
        <v>624</v>
      </c>
      <c r="U3035">
        <v>217</v>
      </c>
      <c r="V3035">
        <v>0</v>
      </c>
      <c r="W3035">
        <v>141</v>
      </c>
      <c r="X3035">
        <v>525</v>
      </c>
      <c r="Y3035">
        <v>1</v>
      </c>
      <c r="Z3035">
        <v>45</v>
      </c>
      <c r="AA3035">
        <v>3</v>
      </c>
      <c r="AB3035">
        <v>1.81245794521036</v>
      </c>
      <c r="AC3035">
        <v>1.0345225231816E-2</v>
      </c>
      <c r="AD3035">
        <v>1.06368373911389</v>
      </c>
      <c r="AE3035">
        <v>0.91685223579406705</v>
      </c>
      <c r="AF3035">
        <v>8.8114478114478096</v>
      </c>
      <c r="AG3035">
        <f>IFERROR(AH3035*0.1, "N/A")</f>
        <v>6.5346801346801406</v>
      </c>
      <c r="AH3035">
        <v>65.346801346801399</v>
      </c>
      <c r="AI3035">
        <v>123.064166059398</v>
      </c>
      <c r="AJ3035">
        <v>19.449494949495001</v>
      </c>
      <c r="AK3035">
        <v>62.959595959596001</v>
      </c>
    </row>
    <row r="3036" spans="1:37" x14ac:dyDescent="0.3">
      <c r="A3036">
        <v>3035</v>
      </c>
      <c r="B3036">
        <v>50</v>
      </c>
      <c r="C3036">
        <v>-16.075779000000001</v>
      </c>
      <c r="D3036">
        <v>14.165212</v>
      </c>
      <c r="E3036">
        <f>-16.075779-14.165212</f>
        <v>-30.240991000000001</v>
      </c>
      <c r="F3036" t="s">
        <v>5127</v>
      </c>
      <c r="G3036" t="s">
        <v>39</v>
      </c>
      <c r="H3036">
        <v>2003</v>
      </c>
      <c r="I3036">
        <v>28.100000381469702</v>
      </c>
      <c r="J3036">
        <v>15.699999809265099</v>
      </c>
      <c r="K3036">
        <v>66.826599326599293</v>
      </c>
      <c r="L3036">
        <v>15.9185520278083</v>
      </c>
      <c r="M3036">
        <v>39.117338938343799</v>
      </c>
      <c r="N3036">
        <v>15.6826598411457</v>
      </c>
      <c r="O3036">
        <v>23.4346798855046</v>
      </c>
      <c r="P3036">
        <v>28.299999237060501</v>
      </c>
      <c r="Q3036">
        <v>28.082660247982499</v>
      </c>
      <c r="R3036">
        <v>29.799999237060501</v>
      </c>
      <c r="S3036">
        <v>25.6826606294523</v>
      </c>
      <c r="T3036">
        <v>624</v>
      </c>
      <c r="U3036">
        <v>217</v>
      </c>
      <c r="V3036">
        <v>0</v>
      </c>
      <c r="W3036">
        <v>141</v>
      </c>
      <c r="X3036">
        <v>525</v>
      </c>
      <c r="Y3036">
        <v>1</v>
      </c>
      <c r="Z3036">
        <v>45</v>
      </c>
      <c r="AA3036">
        <v>3</v>
      </c>
      <c r="AB3036">
        <v>1.81245794521036</v>
      </c>
      <c r="AC3036">
        <v>1.0345225231816E-2</v>
      </c>
      <c r="AD3036">
        <v>1.06368373911389</v>
      </c>
      <c r="AE3036">
        <v>0.91685223579406705</v>
      </c>
      <c r="AF3036">
        <v>8.8114478114478096</v>
      </c>
      <c r="AG3036">
        <f>IFERROR(AH3036*0.1, "N/A")</f>
        <v>6.5346801346801406</v>
      </c>
      <c r="AH3036">
        <v>65.346801346801399</v>
      </c>
      <c r="AI3036">
        <v>123.064166059398</v>
      </c>
      <c r="AJ3036">
        <v>19.449494949495001</v>
      </c>
      <c r="AK3036">
        <v>62.959595959596001</v>
      </c>
    </row>
    <row r="3037" spans="1:37" x14ac:dyDescent="0.3">
      <c r="A3037">
        <v>3036</v>
      </c>
      <c r="B3037">
        <v>56</v>
      </c>
      <c r="C3037">
        <v>-16.075780000000002</v>
      </c>
      <c r="D3037">
        <v>14.165213</v>
      </c>
      <c r="E3037">
        <f>-16.07578-14.165213</f>
        <v>-30.240993000000003</v>
      </c>
      <c r="F3037" t="s">
        <v>5128</v>
      </c>
      <c r="G3037" t="s">
        <v>39</v>
      </c>
      <c r="H3037">
        <v>2003</v>
      </c>
      <c r="I3037">
        <v>28.100000381469702</v>
      </c>
      <c r="J3037">
        <v>15.699999809265099</v>
      </c>
      <c r="K3037">
        <v>66.828571428571394</v>
      </c>
      <c r="L3037">
        <v>15.9179998397827</v>
      </c>
      <c r="M3037">
        <v>39.117141723632798</v>
      </c>
      <c r="N3037">
        <v>15.682857050214499</v>
      </c>
      <c r="O3037">
        <v>23.434285463605601</v>
      </c>
      <c r="P3037">
        <v>28.299999237060501</v>
      </c>
      <c r="Q3037">
        <v>28.0828574589321</v>
      </c>
      <c r="R3037">
        <v>29.799999237060501</v>
      </c>
      <c r="S3037">
        <v>25.682857840401802</v>
      </c>
      <c r="T3037">
        <v>624</v>
      </c>
      <c r="U3037">
        <v>217</v>
      </c>
      <c r="V3037">
        <v>0</v>
      </c>
      <c r="W3037">
        <v>141</v>
      </c>
      <c r="X3037">
        <v>525</v>
      </c>
      <c r="Y3037">
        <v>1</v>
      </c>
      <c r="Z3037">
        <v>45</v>
      </c>
      <c r="AA3037">
        <v>3</v>
      </c>
      <c r="AB3037">
        <v>1.8136134780755599</v>
      </c>
      <c r="AC3037">
        <v>1.0355713669241999E-2</v>
      </c>
      <c r="AD3037">
        <v>1.0673400641489399</v>
      </c>
      <c r="AE3037">
        <v>0.91685223579406705</v>
      </c>
      <c r="AF3037">
        <v>8.8134453781512594</v>
      </c>
      <c r="AG3037">
        <f>IFERROR(AH3037*0.1, "N/A")</f>
        <v>6.53495798319328</v>
      </c>
      <c r="AH3037">
        <v>65.3495798319328</v>
      </c>
      <c r="AI3037">
        <v>123.09915429123301</v>
      </c>
      <c r="AJ3037">
        <v>19.443697478991599</v>
      </c>
      <c r="AK3037">
        <v>62.968067226890803</v>
      </c>
    </row>
    <row r="3038" spans="1:37" x14ac:dyDescent="0.3">
      <c r="A3038">
        <v>3037</v>
      </c>
      <c r="B3038">
        <v>56</v>
      </c>
      <c r="C3038">
        <v>-16.075780999999999</v>
      </c>
      <c r="D3038">
        <v>14.165214000000001</v>
      </c>
      <c r="E3038">
        <f>-16.075781-14.165214</f>
        <v>-30.240994999999998</v>
      </c>
      <c r="F3038" t="s">
        <v>5129</v>
      </c>
      <c r="G3038" t="s">
        <v>39</v>
      </c>
      <c r="H3038">
        <v>2003</v>
      </c>
      <c r="I3038">
        <v>28.100000381469702</v>
      </c>
      <c r="J3038">
        <v>15.699999809265099</v>
      </c>
      <c r="K3038">
        <v>66.828571428571394</v>
      </c>
      <c r="L3038">
        <v>15.9179998397827</v>
      </c>
      <c r="M3038">
        <v>39.117141723632798</v>
      </c>
      <c r="N3038">
        <v>15.682857050214499</v>
      </c>
      <c r="O3038">
        <v>23.434285463605601</v>
      </c>
      <c r="P3038">
        <v>28.299999237060501</v>
      </c>
      <c r="Q3038">
        <v>28.0828574589321</v>
      </c>
      <c r="R3038">
        <v>29.799999237060501</v>
      </c>
      <c r="S3038">
        <v>25.682857840401802</v>
      </c>
      <c r="T3038">
        <v>624</v>
      </c>
      <c r="U3038">
        <v>217</v>
      </c>
      <c r="V3038">
        <v>0</v>
      </c>
      <c r="W3038">
        <v>141</v>
      </c>
      <c r="X3038">
        <v>525</v>
      </c>
      <c r="Y3038">
        <v>1</v>
      </c>
      <c r="Z3038">
        <v>45</v>
      </c>
      <c r="AA3038">
        <v>3</v>
      </c>
      <c r="AB3038">
        <v>1.8136134780755599</v>
      </c>
      <c r="AC3038">
        <v>1.0355713669241999E-2</v>
      </c>
      <c r="AD3038">
        <v>1.0673400641489399</v>
      </c>
      <c r="AE3038">
        <v>0.91685223579406705</v>
      </c>
      <c r="AF3038">
        <v>8.8134453781512594</v>
      </c>
      <c r="AG3038">
        <f>IFERROR(AH3038*0.1, "N/A")</f>
        <v>6.53495798319328</v>
      </c>
      <c r="AH3038">
        <v>65.3495798319328</v>
      </c>
      <c r="AI3038">
        <v>123.09915429123301</v>
      </c>
      <c r="AJ3038">
        <v>19.443697478991599</v>
      </c>
      <c r="AK3038">
        <v>62.968067226890803</v>
      </c>
    </row>
    <row r="3039" spans="1:37" x14ac:dyDescent="0.3">
      <c r="A3039">
        <v>3038</v>
      </c>
      <c r="B3039">
        <v>58</v>
      </c>
      <c r="C3039">
        <v>-16.075782</v>
      </c>
      <c r="D3039">
        <v>14.165215</v>
      </c>
      <c r="E3039">
        <f>-16.075782-14.165215</f>
        <v>-30.240997</v>
      </c>
      <c r="F3039" t="s">
        <v>5130</v>
      </c>
      <c r="G3039" t="s">
        <v>39</v>
      </c>
      <c r="H3039">
        <v>2003</v>
      </c>
      <c r="I3039">
        <v>28.100000381469702</v>
      </c>
      <c r="J3039">
        <v>15.699999809265099</v>
      </c>
      <c r="K3039">
        <v>66.828571428571394</v>
      </c>
      <c r="L3039">
        <v>15.9179998397827</v>
      </c>
      <c r="M3039">
        <v>39.117141723632798</v>
      </c>
      <c r="N3039">
        <v>15.682857050214499</v>
      </c>
      <c r="O3039">
        <v>23.434285463605601</v>
      </c>
      <c r="P3039">
        <v>28.299999237060501</v>
      </c>
      <c r="Q3039">
        <v>28.0828574589321</v>
      </c>
      <c r="R3039">
        <v>29.799999237060501</v>
      </c>
      <c r="S3039">
        <v>25.682857840401802</v>
      </c>
      <c r="T3039">
        <v>624</v>
      </c>
      <c r="U3039">
        <v>217</v>
      </c>
      <c r="V3039">
        <v>0</v>
      </c>
      <c r="W3039">
        <v>141</v>
      </c>
      <c r="X3039">
        <v>525</v>
      </c>
      <c r="Y3039">
        <v>1</v>
      </c>
      <c r="Z3039">
        <v>45</v>
      </c>
      <c r="AA3039">
        <v>3</v>
      </c>
      <c r="AB3039">
        <v>1.8136134780755599</v>
      </c>
      <c r="AC3039">
        <v>1.0355713669241999E-2</v>
      </c>
      <c r="AD3039">
        <v>1.0673400641489399</v>
      </c>
      <c r="AE3039">
        <v>0.91685223579406705</v>
      </c>
      <c r="AF3039">
        <v>8.8134453781512594</v>
      </c>
      <c r="AG3039">
        <f>IFERROR(AH3039*0.1, "N/A")</f>
        <v>6.53495798319328</v>
      </c>
      <c r="AH3039">
        <v>65.3495798319328</v>
      </c>
      <c r="AI3039">
        <v>123.09915429123301</v>
      </c>
      <c r="AJ3039">
        <v>19.443697478991599</v>
      </c>
      <c r="AK3039">
        <v>62.968067226890803</v>
      </c>
    </row>
    <row r="3040" spans="1:37" x14ac:dyDescent="0.3">
      <c r="A3040">
        <v>3039</v>
      </c>
      <c r="B3040">
        <v>72</v>
      </c>
      <c r="C3040">
        <v>-16.075783000000001</v>
      </c>
      <c r="D3040">
        <v>14.165215999999999</v>
      </c>
      <c r="E3040">
        <f>-16.075783-14.165216</f>
        <v>-30.240999000000002</v>
      </c>
      <c r="F3040" t="s">
        <v>5131</v>
      </c>
      <c r="G3040" t="s">
        <v>39</v>
      </c>
      <c r="H3040">
        <v>2003</v>
      </c>
      <c r="I3040">
        <v>28.100000381469702</v>
      </c>
      <c r="J3040">
        <v>15.699999809265099</v>
      </c>
      <c r="K3040">
        <v>66.830252100840298</v>
      </c>
      <c r="L3040">
        <v>15.9175292519962</v>
      </c>
      <c r="M3040">
        <v>39.116973652559203</v>
      </c>
      <c r="N3040">
        <v>15.683025116479699</v>
      </c>
      <c r="O3040">
        <v>23.433949327869598</v>
      </c>
      <c r="P3040">
        <v>28.299999237060501</v>
      </c>
      <c r="Q3040">
        <v>28.0830255268001</v>
      </c>
      <c r="R3040">
        <v>29.799999237060501</v>
      </c>
      <c r="S3040">
        <v>25.683025908269801</v>
      </c>
      <c r="T3040">
        <v>624</v>
      </c>
      <c r="U3040">
        <v>217</v>
      </c>
      <c r="V3040">
        <v>0</v>
      </c>
      <c r="W3040">
        <v>141</v>
      </c>
      <c r="X3040">
        <v>525</v>
      </c>
      <c r="Y3040">
        <v>1</v>
      </c>
      <c r="Z3040">
        <v>45</v>
      </c>
      <c r="AA3040">
        <v>3</v>
      </c>
      <c r="AB3040">
        <v>1.8142857463419899</v>
      </c>
      <c r="AC3040">
        <v>1.0369651208968E-2</v>
      </c>
      <c r="AD3040">
        <v>1.0698241821858101</v>
      </c>
      <c r="AE3040">
        <v>0.91685223579406705</v>
      </c>
      <c r="AF3040">
        <v>8.8184873949579803</v>
      </c>
      <c r="AG3040">
        <f>IFERROR(AH3040*0.1, "N/A")</f>
        <v>6.5342857142857103</v>
      </c>
      <c r="AH3040">
        <v>65.342857142857099</v>
      </c>
      <c r="AI3040">
        <v>122.629901276917</v>
      </c>
      <c r="AJ3040">
        <v>19.438655462184901</v>
      </c>
      <c r="AK3040">
        <v>62.979831932773102</v>
      </c>
    </row>
    <row r="3041" spans="1:37" x14ac:dyDescent="0.3">
      <c r="A3041">
        <v>3040</v>
      </c>
      <c r="B3041">
        <v>82</v>
      </c>
      <c r="C3041">
        <v>-15.55</v>
      </c>
      <c r="D3041">
        <v>14.116667</v>
      </c>
      <c r="E3041">
        <f>-15.55-14.116667</f>
        <v>-29.666667</v>
      </c>
      <c r="F3041" t="s">
        <v>5132</v>
      </c>
      <c r="G3041" t="s">
        <v>39</v>
      </c>
      <c r="H3041">
        <v>2003</v>
      </c>
      <c r="I3041">
        <v>27.5</v>
      </c>
      <c r="J3041">
        <v>15.6000003814697</v>
      </c>
      <c r="K3041">
        <v>63.723618090452298</v>
      </c>
      <c r="L3041">
        <v>18.663969621386801</v>
      </c>
      <c r="M3041">
        <v>39.200000762939503</v>
      </c>
      <c r="N3041">
        <v>14.8723615857225</v>
      </c>
      <c r="O3041">
        <v>24.327637533446701</v>
      </c>
      <c r="P3041">
        <v>27.600000381469702</v>
      </c>
      <c r="Q3041">
        <v>27.8767164476353</v>
      </c>
      <c r="R3041">
        <v>29.799999237060501</v>
      </c>
      <c r="S3041">
        <v>24.799999237060501</v>
      </c>
      <c r="T3041">
        <v>593.27638190954804</v>
      </c>
      <c r="U3041">
        <v>193.27638190954801</v>
      </c>
      <c r="V3041">
        <v>0</v>
      </c>
      <c r="W3041">
        <v>137</v>
      </c>
      <c r="X3041">
        <v>486.27638190954798</v>
      </c>
      <c r="Y3041">
        <v>0</v>
      </c>
      <c r="Z3041">
        <v>53</v>
      </c>
      <c r="AA3041">
        <v>3</v>
      </c>
      <c r="AB3041">
        <v>0.96901148248158098</v>
      </c>
      <c r="AC3041">
        <v>0.11698811114383501</v>
      </c>
      <c r="AD3041">
        <v>1.0627340755271</v>
      </c>
      <c r="AE3041">
        <v>0.78942633374052795</v>
      </c>
      <c r="AF3041">
        <v>8.5309882747068695</v>
      </c>
      <c r="AG3041">
        <f>IFERROR(AH3041*0.1, "N/A")</f>
        <v>6.1899497487437207</v>
      </c>
      <c r="AH3041">
        <v>61.899497487437202</v>
      </c>
      <c r="AI3041">
        <v>154.13265083862501</v>
      </c>
      <c r="AJ3041">
        <v>14.360134003350099</v>
      </c>
      <c r="AK3041">
        <v>64.388609715242893</v>
      </c>
    </row>
    <row r="3042" spans="1:37" x14ac:dyDescent="0.3">
      <c r="A3042">
        <v>3041</v>
      </c>
      <c r="B3042">
        <v>26</v>
      </c>
      <c r="C3042">
        <v>-16.234563999999999</v>
      </c>
      <c r="D3042">
        <v>12.805092</v>
      </c>
      <c r="E3042">
        <f>-16.234564-12.805092</f>
        <v>-29.039656000000001</v>
      </c>
      <c r="F3042" t="s">
        <v>5133</v>
      </c>
      <c r="G3042" t="s">
        <v>39</v>
      </c>
      <c r="H3042">
        <v>2003</v>
      </c>
      <c r="I3042">
        <v>26.5</v>
      </c>
      <c r="J3042">
        <v>13.300000190734901</v>
      </c>
      <c r="K3042">
        <v>63</v>
      </c>
      <c r="L3042">
        <v>12.8599996566772</v>
      </c>
      <c r="M3042">
        <v>36</v>
      </c>
      <c r="N3042">
        <v>15</v>
      </c>
      <c r="O3042">
        <v>21</v>
      </c>
      <c r="P3042">
        <v>26.600000381469702</v>
      </c>
      <c r="Q3042">
        <v>25.299999237060501</v>
      </c>
      <c r="R3042">
        <v>27.700000762939499</v>
      </c>
      <c r="S3042">
        <v>24.399999618530298</v>
      </c>
      <c r="T3042">
        <v>1124</v>
      </c>
      <c r="U3042">
        <v>386</v>
      </c>
      <c r="V3042">
        <v>0</v>
      </c>
      <c r="W3042">
        <v>141</v>
      </c>
      <c r="X3042">
        <v>934</v>
      </c>
      <c r="Y3042">
        <v>0</v>
      </c>
      <c r="Z3042">
        <v>100</v>
      </c>
      <c r="AA3042">
        <v>1</v>
      </c>
      <c r="AB3042">
        <v>2.2459322363643301</v>
      </c>
      <c r="AC3042">
        <v>0.31662028981214901</v>
      </c>
      <c r="AD3042">
        <v>1.12020117963775</v>
      </c>
      <c r="AE3042">
        <v>0.875872226589817</v>
      </c>
      <c r="AF3042">
        <v>19.842372881355899</v>
      </c>
      <c r="AG3042">
        <f>IFERROR(AH3042*0.1, "N/A")</f>
        <v>5.0240677966101703</v>
      </c>
      <c r="AH3042">
        <v>50.2406779661017</v>
      </c>
      <c r="AI3042">
        <v>177.034618985451</v>
      </c>
      <c r="AJ3042">
        <v>24.935593220339001</v>
      </c>
      <c r="AK3042">
        <v>56.7915254237288</v>
      </c>
    </row>
    <row r="3043" spans="1:37" x14ac:dyDescent="0.3">
      <c r="A3043">
        <v>3042</v>
      </c>
      <c r="B3043">
        <v>12.8</v>
      </c>
      <c r="C3043">
        <v>-17.366033000000002</v>
      </c>
      <c r="D3043">
        <v>14.764502999999999</v>
      </c>
      <c r="E3043">
        <f>-17.366033-14.764503</f>
        <v>-32.130535999999999</v>
      </c>
      <c r="F3043" t="s">
        <v>5134</v>
      </c>
      <c r="G3043" t="s">
        <v>39</v>
      </c>
      <c r="H3043">
        <v>1973</v>
      </c>
      <c r="I3043">
        <v>25</v>
      </c>
      <c r="J3043">
        <v>8.4679528978847003</v>
      </c>
      <c r="K3043">
        <v>55.679530201342303</v>
      </c>
      <c r="L3043">
        <v>23.760503669713199</v>
      </c>
      <c r="M3043">
        <v>31.799999237060501</v>
      </c>
      <c r="N3043">
        <v>16.700000762939499</v>
      </c>
      <c r="O3043">
        <v>15.1000003814697</v>
      </c>
      <c r="P3043">
        <v>27.600000381469702</v>
      </c>
      <c r="Q3043">
        <v>22.9679528978847</v>
      </c>
      <c r="R3043">
        <v>27.767952746192901</v>
      </c>
      <c r="S3043">
        <v>22.067953279354398</v>
      </c>
      <c r="T3043">
        <v>471.35906040268401</v>
      </c>
      <c r="U3043">
        <v>188.359060402685</v>
      </c>
      <c r="V3043">
        <v>0</v>
      </c>
      <c r="W3043">
        <v>157</v>
      </c>
      <c r="X3043">
        <v>415.35906040268497</v>
      </c>
      <c r="Y3043">
        <v>0</v>
      </c>
      <c r="Z3043">
        <v>378.679530201342</v>
      </c>
      <c r="AA3043">
        <v>2</v>
      </c>
      <c r="AB3043">
        <v>1.59899342140095</v>
      </c>
      <c r="AC3043">
        <v>2.5201472003737999E-2</v>
      </c>
      <c r="AD3043">
        <v>1.48926571751601</v>
      </c>
      <c r="AE3043">
        <v>0.941899955272675</v>
      </c>
      <c r="AF3043">
        <v>11.701342281879199</v>
      </c>
      <c r="AG3043">
        <f>IFERROR(AH3043*0.1, "N/A")</f>
        <v>6.5963087248322099</v>
      </c>
      <c r="AH3043">
        <v>65.963087248322097</v>
      </c>
      <c r="AI3043">
        <v>114.474687064254</v>
      </c>
      <c r="AJ3043">
        <v>24</v>
      </c>
      <c r="AK3043">
        <v>58</v>
      </c>
    </row>
    <row r="3044" spans="1:37" x14ac:dyDescent="0.3">
      <c r="A3044">
        <v>3043</v>
      </c>
      <c r="B3044">
        <v>12.8</v>
      </c>
      <c r="C3044">
        <v>-17.366033999999999</v>
      </c>
      <c r="D3044">
        <v>14.764504000000001</v>
      </c>
      <c r="E3044">
        <f>-17.366034-14.764504</f>
        <v>-32.130538000000001</v>
      </c>
      <c r="F3044" t="s">
        <v>5135</v>
      </c>
      <c r="G3044" t="s">
        <v>39</v>
      </c>
      <c r="H3044">
        <v>1973</v>
      </c>
      <c r="I3044">
        <v>25</v>
      </c>
      <c r="J3044">
        <v>8.4676173261347998</v>
      </c>
      <c r="K3044">
        <v>55.6761744966443</v>
      </c>
      <c r="L3044">
        <v>23.761241922442501</v>
      </c>
      <c r="M3044">
        <v>31.799999237060501</v>
      </c>
      <c r="N3044">
        <v>16.700000762939499</v>
      </c>
      <c r="O3044">
        <v>15.1000003814697</v>
      </c>
      <c r="P3044">
        <v>27.600000381469702</v>
      </c>
      <c r="Q3044">
        <v>22.9676173261348</v>
      </c>
      <c r="R3044">
        <v>27.767617180843502</v>
      </c>
      <c r="S3044">
        <v>22.067617707604501</v>
      </c>
      <c r="T3044">
        <v>471.35234899328901</v>
      </c>
      <c r="U3044">
        <v>188.35234899328901</v>
      </c>
      <c r="V3044">
        <v>0</v>
      </c>
      <c r="W3044">
        <v>157</v>
      </c>
      <c r="X3044">
        <v>415.35234899328901</v>
      </c>
      <c r="Y3044">
        <v>0</v>
      </c>
      <c r="Z3044">
        <v>378.67617449664402</v>
      </c>
      <c r="AA3044">
        <v>2</v>
      </c>
      <c r="AB3044">
        <v>1.60234912609894</v>
      </c>
      <c r="AC3044">
        <v>2.4715763612044001E-2</v>
      </c>
      <c r="AD3044">
        <v>1.4898948175395099</v>
      </c>
      <c r="AE3044">
        <v>0.941899955272675</v>
      </c>
      <c r="AF3044">
        <v>11.7097315436242</v>
      </c>
      <c r="AG3044">
        <f>IFERROR(AH3044*0.1, "N/A")</f>
        <v>6.5963087248322196</v>
      </c>
      <c r="AH3044">
        <v>65.963087248322196</v>
      </c>
      <c r="AI3044">
        <v>114.246563200983</v>
      </c>
      <c r="AJ3044">
        <v>24</v>
      </c>
      <c r="AK3044">
        <v>58</v>
      </c>
    </row>
    <row r="3045" spans="1:37" x14ac:dyDescent="0.3">
      <c r="A3045">
        <v>3044</v>
      </c>
      <c r="B3045">
        <v>22.9</v>
      </c>
      <c r="C3045">
        <v>-16.234563999999999</v>
      </c>
      <c r="D3045">
        <v>14.656124999999999</v>
      </c>
      <c r="E3045">
        <f>-16.234564-14.656125</f>
        <v>-30.890688999999998</v>
      </c>
      <c r="F3045" t="s">
        <v>5136</v>
      </c>
      <c r="G3045" t="s">
        <v>39</v>
      </c>
      <c r="H3045">
        <v>1973</v>
      </c>
      <c r="I3045">
        <v>27.799999237060501</v>
      </c>
      <c r="J3045">
        <v>16</v>
      </c>
      <c r="K3045">
        <v>66</v>
      </c>
      <c r="L3045">
        <v>18.610000610351602</v>
      </c>
      <c r="M3045">
        <v>39</v>
      </c>
      <c r="N3045">
        <v>15.1000003814697</v>
      </c>
      <c r="O3045">
        <v>23.899999618530298</v>
      </c>
      <c r="P3045">
        <v>28.700000762939499</v>
      </c>
      <c r="Q3045">
        <v>27.299999237060501</v>
      </c>
      <c r="R3045">
        <v>29.700000762939499</v>
      </c>
      <c r="S3045">
        <v>25</v>
      </c>
      <c r="T3045">
        <v>540</v>
      </c>
      <c r="U3045">
        <v>195</v>
      </c>
      <c r="V3045">
        <v>0</v>
      </c>
      <c r="W3045">
        <v>146</v>
      </c>
      <c r="X3045">
        <v>466</v>
      </c>
      <c r="Y3045">
        <v>0</v>
      </c>
      <c r="Z3045">
        <v>141</v>
      </c>
      <c r="AA3045">
        <v>2</v>
      </c>
      <c r="AB3045">
        <v>1.76227017117661</v>
      </c>
      <c r="AC3045">
        <v>1.1645817353339E-2</v>
      </c>
      <c r="AD3045">
        <v>1.1461058106267199</v>
      </c>
      <c r="AE3045">
        <v>0.89300012061114298</v>
      </c>
      <c r="AF3045">
        <v>8.7295492487479098</v>
      </c>
      <c r="AG3045">
        <f>IFERROR(AH3045*0.1, "N/A")</f>
        <v>6.5066777963272102</v>
      </c>
      <c r="AH3045">
        <v>65.066777963272102</v>
      </c>
      <c r="AI3045">
        <v>170.08718296363099</v>
      </c>
      <c r="AJ3045">
        <v>23</v>
      </c>
      <c r="AK3045">
        <v>59</v>
      </c>
    </row>
    <row r="3046" spans="1:37" x14ac:dyDescent="0.3">
      <c r="A3046">
        <v>3045</v>
      </c>
      <c r="B3046">
        <v>4.0999999999999996</v>
      </c>
      <c r="C3046">
        <v>-14.618074999999999</v>
      </c>
      <c r="D3046">
        <v>16.649419000000002</v>
      </c>
      <c r="E3046">
        <f>-14.618075-16.649419</f>
        <v>-31.267493999999999</v>
      </c>
      <c r="F3046" t="s">
        <v>5137</v>
      </c>
      <c r="G3046" t="s">
        <v>39</v>
      </c>
      <c r="H3046">
        <v>1973</v>
      </c>
      <c r="I3046">
        <v>28.100000381469702</v>
      </c>
      <c r="J3046">
        <v>15.3999996185303</v>
      </c>
      <c r="K3046">
        <v>57</v>
      </c>
      <c r="L3046">
        <v>34.490001678466797</v>
      </c>
      <c r="M3046">
        <v>40.400001525878899</v>
      </c>
      <c r="N3046">
        <v>13.5</v>
      </c>
      <c r="O3046">
        <v>26.899999618530298</v>
      </c>
      <c r="P3046">
        <v>30.700000762939499</v>
      </c>
      <c r="Q3046">
        <v>28.799999237060501</v>
      </c>
      <c r="R3046">
        <v>31.600000381469702</v>
      </c>
      <c r="S3046">
        <v>22.899999618530298</v>
      </c>
      <c r="T3046">
        <v>234</v>
      </c>
      <c r="U3046">
        <v>97</v>
      </c>
      <c r="V3046">
        <v>0</v>
      </c>
      <c r="W3046">
        <v>151</v>
      </c>
      <c r="X3046">
        <v>203</v>
      </c>
      <c r="Y3046">
        <v>0</v>
      </c>
      <c r="Z3046">
        <v>61</v>
      </c>
      <c r="AA3046">
        <v>2</v>
      </c>
      <c r="AB3046">
        <v>0.23256202098751899</v>
      </c>
      <c r="AC3046">
        <v>2.9264619899528799</v>
      </c>
      <c r="AD3046">
        <v>1.24964917642026</v>
      </c>
      <c r="AE3046">
        <v>0.17551381886005399</v>
      </c>
      <c r="AF3046">
        <v>7.0727272727272696</v>
      </c>
      <c r="AG3046">
        <f>IFERROR(AH3046*0.1, "N/A")</f>
        <v>7.2791735537190112</v>
      </c>
      <c r="AH3046">
        <v>72.791735537190107</v>
      </c>
      <c r="AI3046">
        <v>164.75848577830399</v>
      </c>
      <c r="AJ3046">
        <v>21.7917355371901</v>
      </c>
      <c r="AK3046">
        <v>61.104132231405003</v>
      </c>
    </row>
    <row r="3047" spans="1:37" x14ac:dyDescent="0.3">
      <c r="A3047">
        <v>3046</v>
      </c>
      <c r="B3047">
        <v>50.700001</v>
      </c>
      <c r="C3047">
        <v>-15.876294</v>
      </c>
      <c r="D3047">
        <v>13.852157999999999</v>
      </c>
      <c r="E3047">
        <f>-15.876294-13.852158</f>
        <v>-29.728451999999997</v>
      </c>
      <c r="F3047" t="s">
        <v>5138</v>
      </c>
      <c r="G3047" t="s">
        <v>39</v>
      </c>
      <c r="H3047">
        <v>1973</v>
      </c>
      <c r="I3047">
        <v>27.5</v>
      </c>
      <c r="J3047">
        <v>15.1000003814697</v>
      </c>
      <c r="K3047">
        <v>63</v>
      </c>
      <c r="L3047">
        <v>17.959999084472699</v>
      </c>
      <c r="M3047">
        <v>38.799999237060497</v>
      </c>
      <c r="N3047">
        <v>15.199999809265099</v>
      </c>
      <c r="O3047">
        <v>23.600000381469702</v>
      </c>
      <c r="P3047">
        <v>27.600000381469702</v>
      </c>
      <c r="Q3047">
        <v>27.899999618530298</v>
      </c>
      <c r="R3047">
        <v>29.700000762939499</v>
      </c>
      <c r="S3047">
        <v>24.899999618530298</v>
      </c>
      <c r="T3047">
        <v>647</v>
      </c>
      <c r="U3047">
        <v>222</v>
      </c>
      <c r="V3047">
        <v>0</v>
      </c>
      <c r="W3047">
        <v>141</v>
      </c>
      <c r="X3047">
        <v>539</v>
      </c>
      <c r="Y3047">
        <v>0</v>
      </c>
      <c r="Z3047">
        <v>55</v>
      </c>
      <c r="AA3047">
        <v>2</v>
      </c>
      <c r="AB3047">
        <v>1.35168923880603</v>
      </c>
      <c r="AC3047">
        <v>9.0503013755723005E-2</v>
      </c>
      <c r="AD3047">
        <v>0.95633247897431695</v>
      </c>
      <c r="AE3047">
        <v>0.722819864749908</v>
      </c>
      <c r="AF3047">
        <v>27.956081081081098</v>
      </c>
      <c r="AG3047">
        <f>IFERROR(AH3047*0.1, "N/A")</f>
        <v>5.3978040540540597</v>
      </c>
      <c r="AH3047">
        <v>53.978040540540597</v>
      </c>
      <c r="AI3047">
        <v>157.98968389871999</v>
      </c>
      <c r="AJ3047">
        <v>7</v>
      </c>
      <c r="AK3047">
        <v>88</v>
      </c>
    </row>
    <row r="3048" spans="1:37" x14ac:dyDescent="0.3">
      <c r="A3048">
        <v>3047</v>
      </c>
      <c r="B3048">
        <v>18.100000000000001</v>
      </c>
      <c r="C3048">
        <v>-16.899999999999999</v>
      </c>
      <c r="D3048">
        <v>14.766667</v>
      </c>
      <c r="E3048">
        <f>-16.9-14.766667</f>
        <v>-31.666666999999997</v>
      </c>
      <c r="F3048" t="s">
        <v>5139</v>
      </c>
      <c r="G3048" t="s">
        <v>39</v>
      </c>
      <c r="H3048">
        <v>1973</v>
      </c>
      <c r="I3048">
        <v>25.799999237060501</v>
      </c>
      <c r="J3048">
        <v>12.699999809265099</v>
      </c>
      <c r="K3048">
        <v>69</v>
      </c>
      <c r="L3048">
        <v>14.886638328808701</v>
      </c>
      <c r="M3048">
        <v>33.5</v>
      </c>
      <c r="N3048">
        <v>15.199999809265099</v>
      </c>
      <c r="O3048">
        <v>18.299999237060501</v>
      </c>
      <c r="P3048">
        <v>27</v>
      </c>
      <c r="Q3048">
        <v>25.5</v>
      </c>
      <c r="R3048">
        <v>27.299999237060501</v>
      </c>
      <c r="S3048">
        <v>23.5</v>
      </c>
      <c r="T3048">
        <v>504.710924369748</v>
      </c>
      <c r="U3048">
        <v>193.35462184873899</v>
      </c>
      <c r="V3048">
        <v>0</v>
      </c>
      <c r="W3048">
        <v>151.35294117647101</v>
      </c>
      <c r="X3048">
        <v>437.02184873949602</v>
      </c>
      <c r="Y3048">
        <v>0</v>
      </c>
      <c r="Z3048">
        <v>302.02184873949602</v>
      </c>
      <c r="AA3048">
        <v>5.6672268907563002</v>
      </c>
      <c r="AB3048">
        <v>2.6954640300334001</v>
      </c>
      <c r="AC3048">
        <v>3.1679795071983999E-2</v>
      </c>
      <c r="AD3048">
        <v>1.88916277645015</v>
      </c>
      <c r="AE3048">
        <v>0.85941129922866799</v>
      </c>
      <c r="AF3048">
        <v>59.803361344537798</v>
      </c>
      <c r="AG3048">
        <f>IFERROR(AH3048*0.1, "N/A")</f>
        <v>6.1000000000000005</v>
      </c>
      <c r="AH3048">
        <v>61</v>
      </c>
      <c r="AI3048">
        <v>74.949343622031293</v>
      </c>
      <c r="AJ3048">
        <v>18.489075630252099</v>
      </c>
      <c r="AK3048">
        <v>67.510924369747897</v>
      </c>
    </row>
    <row r="3049" spans="1:37" x14ac:dyDescent="0.3">
      <c r="A3049">
        <v>3048</v>
      </c>
      <c r="B3049">
        <v>22.200001</v>
      </c>
      <c r="C3049">
        <v>-14.937511000000001</v>
      </c>
      <c r="D3049">
        <v>12.891044000000001</v>
      </c>
      <c r="E3049">
        <f>-14.937511-12.891044</f>
        <v>-27.828555000000001</v>
      </c>
      <c r="F3049" t="s">
        <v>5140</v>
      </c>
      <c r="G3049" t="s">
        <v>37</v>
      </c>
      <c r="H3049">
        <v>1964</v>
      </c>
      <c r="I3049">
        <v>27.294415565916701</v>
      </c>
      <c r="J3049">
        <v>14.6000003814697</v>
      </c>
      <c r="K3049">
        <v>55</v>
      </c>
      <c r="L3049">
        <v>22.529492847810499</v>
      </c>
      <c r="M3049">
        <v>39.294415565916701</v>
      </c>
      <c r="N3049">
        <v>13.1944160848705</v>
      </c>
      <c r="O3049">
        <v>26.100000381469702</v>
      </c>
      <c r="P3049">
        <v>26.994416222354499</v>
      </c>
      <c r="Q3049">
        <v>26</v>
      </c>
      <c r="R3049">
        <v>30.299999237060501</v>
      </c>
      <c r="S3049">
        <v>24.3944158408848</v>
      </c>
      <c r="T3049">
        <v>1063.7766497461901</v>
      </c>
      <c r="U3049">
        <v>312.94416243654803</v>
      </c>
      <c r="V3049">
        <v>0</v>
      </c>
      <c r="W3049">
        <v>129</v>
      </c>
      <c r="X3049">
        <v>823.83248730964499</v>
      </c>
      <c r="Y3049">
        <v>1</v>
      </c>
      <c r="Z3049">
        <v>135</v>
      </c>
      <c r="AA3049">
        <v>5</v>
      </c>
      <c r="AB3049">
        <v>3.6653130897612298</v>
      </c>
      <c r="AC3049">
        <v>452.30768930240203</v>
      </c>
      <c r="AD3049">
        <v>2.6521745914129999</v>
      </c>
      <c r="AE3049">
        <v>0.86617243895070795</v>
      </c>
      <c r="AF3049">
        <v>8.8341793570220002</v>
      </c>
      <c r="AG3049">
        <f>IFERROR(AH3049*0.1, "N/A")</f>
        <v>5.7460236886632803</v>
      </c>
      <c r="AH3049">
        <v>57.460236886632799</v>
      </c>
      <c r="AI3049">
        <v>227.239174631445</v>
      </c>
      <c r="AJ3049">
        <v>26.316412859560099</v>
      </c>
      <c r="AK3049">
        <v>47.829103214889997</v>
      </c>
    </row>
    <row r="3050" spans="1:37" x14ac:dyDescent="0.3">
      <c r="A3050">
        <v>3049</v>
      </c>
      <c r="B3050">
        <v>34</v>
      </c>
      <c r="C3050">
        <v>-16.720600000000001</v>
      </c>
      <c r="D3050">
        <v>12.355600000000001</v>
      </c>
      <c r="E3050">
        <f>-16.7206-12.3556</f>
        <v>-29.0762</v>
      </c>
      <c r="F3050" t="s">
        <v>5141</v>
      </c>
      <c r="G3050" t="s">
        <v>39</v>
      </c>
      <c r="H3050">
        <v>2003</v>
      </c>
      <c r="I3050">
        <v>26.200000762939499</v>
      </c>
      <c r="J3050">
        <v>11.699999809265099</v>
      </c>
      <c r="K3050">
        <v>62</v>
      </c>
      <c r="L3050">
        <v>11.6199998855591</v>
      </c>
      <c r="M3050">
        <v>34.599998474121101</v>
      </c>
      <c r="N3050">
        <v>16</v>
      </c>
      <c r="O3050">
        <v>18.600000381469702</v>
      </c>
      <c r="P3050">
        <v>26.5</v>
      </c>
      <c r="Q3050">
        <v>26.100000381469702</v>
      </c>
      <c r="R3050">
        <v>27.299999237060501</v>
      </c>
      <c r="S3050">
        <v>24.299999237060501</v>
      </c>
      <c r="T3050">
        <v>1312</v>
      </c>
      <c r="U3050">
        <v>464</v>
      </c>
      <c r="V3050">
        <v>0</v>
      </c>
      <c r="W3050">
        <v>144</v>
      </c>
      <c r="X3050">
        <v>1115</v>
      </c>
      <c r="Y3050">
        <v>0</v>
      </c>
      <c r="Z3050">
        <v>86</v>
      </c>
      <c r="AA3050">
        <v>2</v>
      </c>
      <c r="AB3050">
        <v>3.2598976356584499</v>
      </c>
      <c r="AC3050">
        <v>7.0478795898868005E-2</v>
      </c>
      <c r="AD3050">
        <v>1.21678825043167</v>
      </c>
      <c r="AE3050">
        <v>0.61764949326222296</v>
      </c>
      <c r="AF3050">
        <v>12.4846416382253</v>
      </c>
      <c r="AG3050">
        <f>IFERROR(AH3050*0.1, "N/A")</f>
        <v>5.5221843003413005</v>
      </c>
      <c r="AH3050">
        <v>55.221843003412999</v>
      </c>
      <c r="AI3050">
        <v>193.05924227457399</v>
      </c>
      <c r="AJ3050">
        <v>21.1774744027304</v>
      </c>
      <c r="AK3050">
        <v>59.822525597269603</v>
      </c>
    </row>
    <row r="3051" spans="1:37" x14ac:dyDescent="0.3">
      <c r="A3051">
        <v>3050</v>
      </c>
      <c r="B3051">
        <v>20</v>
      </c>
      <c r="C3051">
        <v>-12.3248</v>
      </c>
      <c r="D3051">
        <v>12.381600000000001</v>
      </c>
      <c r="E3051">
        <f>-12.3248-12.3816</f>
        <v>-24.706400000000002</v>
      </c>
      <c r="F3051" t="s">
        <v>5142</v>
      </c>
      <c r="G3051" t="s">
        <v>39</v>
      </c>
      <c r="H3051">
        <v>2004</v>
      </c>
      <c r="I3051">
        <v>27.700000762939499</v>
      </c>
      <c r="J3051">
        <v>13</v>
      </c>
      <c r="K3051">
        <v>58</v>
      </c>
      <c r="L3051">
        <v>22.8920036212293</v>
      </c>
      <c r="M3051">
        <v>39</v>
      </c>
      <c r="N3051">
        <v>16.700000762939499</v>
      </c>
      <c r="O3051">
        <v>22.299999237060501</v>
      </c>
      <c r="P3051">
        <v>26.141426685508101</v>
      </c>
      <c r="Q3051">
        <v>27.899999618530298</v>
      </c>
      <c r="R3051">
        <v>31.258573723163199</v>
      </c>
      <c r="S3051">
        <v>25.558574077431299</v>
      </c>
      <c r="T3051">
        <v>1281.24278438031</v>
      </c>
      <c r="U3051">
        <v>335.41426146010201</v>
      </c>
      <c r="V3051">
        <v>0</v>
      </c>
      <c r="W3051">
        <v>116.414261460102</v>
      </c>
      <c r="X3051">
        <v>899.82852292020402</v>
      </c>
      <c r="Y3051">
        <v>0</v>
      </c>
      <c r="Z3051">
        <v>65</v>
      </c>
      <c r="AA3051">
        <v>11</v>
      </c>
      <c r="AB3051">
        <v>47.923426526106901</v>
      </c>
      <c r="AC3051">
        <v>4.5806494350142002E-2</v>
      </c>
      <c r="AD3051">
        <v>1.8727185733249501</v>
      </c>
      <c r="AE3051">
        <v>0.42119991779327398</v>
      </c>
      <c r="AF3051">
        <v>202.300509337861</v>
      </c>
      <c r="AG3051">
        <f>IFERROR(AH3051*0.1, "N/A")</f>
        <v>6.2811544991510999</v>
      </c>
      <c r="AH3051">
        <v>62.811544991510999</v>
      </c>
      <c r="AI3051">
        <v>39.719015150604498</v>
      </c>
      <c r="AJ3051">
        <v>22.0169779286927</v>
      </c>
      <c r="AK3051">
        <v>53.414261460101898</v>
      </c>
    </row>
    <row r="3052" spans="1:37" x14ac:dyDescent="0.3">
      <c r="A3052">
        <v>3051</v>
      </c>
      <c r="B3052">
        <v>3.6</v>
      </c>
      <c r="C3052">
        <v>-12.283200000000001</v>
      </c>
      <c r="D3052">
        <v>12.4092</v>
      </c>
      <c r="E3052">
        <f>-12.2832-12.4092</f>
        <v>-24.692399999999999</v>
      </c>
      <c r="F3052" t="s">
        <v>5143</v>
      </c>
      <c r="G3052" t="s">
        <v>39</v>
      </c>
      <c r="H3052">
        <v>1996</v>
      </c>
      <c r="I3052">
        <v>27.8130280806127</v>
      </c>
      <c r="J3052">
        <v>12.997461928933999</v>
      </c>
      <c r="K3052">
        <v>57.005076142131998</v>
      </c>
      <c r="L3052">
        <v>23.4668017708509</v>
      </c>
      <c r="M3052">
        <v>39.290862185095797</v>
      </c>
      <c r="N3052">
        <v>16.777326099763702</v>
      </c>
      <c r="O3052">
        <v>22.5135364500197</v>
      </c>
      <c r="P3052">
        <v>26.213029232122</v>
      </c>
      <c r="Q3052">
        <v>28.012521227402502</v>
      </c>
      <c r="R3052">
        <v>31.412013229783199</v>
      </c>
      <c r="S3052">
        <v>25.613536831489501</v>
      </c>
      <c r="T3052">
        <v>1264.1319796954299</v>
      </c>
      <c r="U3052">
        <v>331.04060913705598</v>
      </c>
      <c r="V3052">
        <v>0</v>
      </c>
      <c r="W3052">
        <v>116</v>
      </c>
      <c r="X3052">
        <v>890.07106598984797</v>
      </c>
      <c r="Y3052">
        <v>0</v>
      </c>
      <c r="Z3052">
        <v>64.015228426396007</v>
      </c>
      <c r="AA3052">
        <v>10.005076142131999</v>
      </c>
      <c r="AB3052">
        <v>30.427405962484102</v>
      </c>
      <c r="AC3052">
        <v>4.7229535241063998E-2</v>
      </c>
      <c r="AD3052">
        <v>3.26883087989239</v>
      </c>
      <c r="AE3052">
        <v>0.42424345016479498</v>
      </c>
      <c r="AF3052">
        <v>201.783417935702</v>
      </c>
      <c r="AG3052">
        <f>IFERROR(AH3052*0.1, "N/A")</f>
        <v>6.1524534686971206</v>
      </c>
      <c r="AH3052">
        <v>61.524534686971201</v>
      </c>
      <c r="AI3052">
        <v>297.34787219672</v>
      </c>
      <c r="AJ3052">
        <v>25.323181049069401</v>
      </c>
      <c r="AK3052">
        <v>51.4788494077834</v>
      </c>
    </row>
    <row r="3053" spans="1:37" x14ac:dyDescent="0.3">
      <c r="A3053">
        <v>3052</v>
      </c>
      <c r="B3053">
        <v>0</v>
      </c>
      <c r="C3053">
        <v>-12.283200000000001</v>
      </c>
      <c r="D3053">
        <v>12.4092</v>
      </c>
      <c r="E3053">
        <f>-12.2832-12.4092</f>
        <v>-24.692399999999999</v>
      </c>
      <c r="F3053" t="s">
        <v>5144</v>
      </c>
      <c r="G3053" t="s">
        <v>37</v>
      </c>
      <c r="H3053">
        <v>1996</v>
      </c>
      <c r="I3053">
        <v>27.8130280806127</v>
      </c>
      <c r="J3053">
        <v>12.997461928933999</v>
      </c>
      <c r="K3053">
        <v>57.005076142131998</v>
      </c>
      <c r="L3053">
        <v>23.4668017708509</v>
      </c>
      <c r="M3053">
        <v>39.290862185095797</v>
      </c>
      <c r="N3053">
        <v>16.777326099763702</v>
      </c>
      <c r="O3053">
        <v>22.5135364500197</v>
      </c>
      <c r="P3053">
        <v>26.213029232122</v>
      </c>
      <c r="Q3053">
        <v>28.012521227402502</v>
      </c>
      <c r="R3053">
        <v>31.412013229783199</v>
      </c>
      <c r="S3053">
        <v>25.613536831489501</v>
      </c>
      <c r="T3053">
        <v>1264.1319796954299</v>
      </c>
      <c r="U3053">
        <v>331.04060913705598</v>
      </c>
      <c r="V3053">
        <v>0</v>
      </c>
      <c r="W3053">
        <v>116</v>
      </c>
      <c r="X3053">
        <v>890.07106598984797</v>
      </c>
      <c r="Y3053">
        <v>0</v>
      </c>
      <c r="Z3053">
        <v>64.015228426396007</v>
      </c>
      <c r="AA3053">
        <v>10.005076142131999</v>
      </c>
      <c r="AB3053">
        <v>30.427405962484102</v>
      </c>
      <c r="AC3053">
        <v>4.7229535241063998E-2</v>
      </c>
      <c r="AD3053">
        <v>3.26883087989239</v>
      </c>
      <c r="AE3053">
        <v>0.42424345016479498</v>
      </c>
      <c r="AF3053">
        <v>201.783417935702</v>
      </c>
      <c r="AG3053">
        <f>IFERROR(AH3053*0.1, "N/A")</f>
        <v>6.1524534686971206</v>
      </c>
      <c r="AH3053">
        <v>61.524534686971201</v>
      </c>
      <c r="AI3053">
        <v>297.34787219672</v>
      </c>
      <c r="AJ3053">
        <v>25.323181049069401</v>
      </c>
      <c r="AK3053">
        <v>51.4788494077834</v>
      </c>
    </row>
    <row r="3054" spans="1:37" x14ac:dyDescent="0.3">
      <c r="A3054">
        <v>3053</v>
      </c>
      <c r="B3054">
        <v>10.6</v>
      </c>
      <c r="C3054">
        <v>-12.220800000000001</v>
      </c>
      <c r="D3054">
        <v>12.4178</v>
      </c>
      <c r="E3054">
        <f>-12.2208-12.4178</f>
        <v>-24.6386</v>
      </c>
      <c r="F3054" t="s">
        <v>5145</v>
      </c>
      <c r="G3054" t="s">
        <v>37</v>
      </c>
      <c r="H3054">
        <v>2008</v>
      </c>
      <c r="I3054">
        <v>28.200000762939499</v>
      </c>
      <c r="J3054">
        <v>13.1000003814697</v>
      </c>
      <c r="K3054">
        <v>57</v>
      </c>
      <c r="L3054">
        <v>23.5100002288818</v>
      </c>
      <c r="M3054">
        <v>39.700000762939503</v>
      </c>
      <c r="N3054">
        <v>16.899999618530298</v>
      </c>
      <c r="O3054">
        <v>22.799999237060501</v>
      </c>
      <c r="P3054">
        <v>26.600000381469702</v>
      </c>
      <c r="Q3054">
        <v>28.5</v>
      </c>
      <c r="R3054">
        <v>31.799999237060501</v>
      </c>
      <c r="S3054">
        <v>26</v>
      </c>
      <c r="T3054">
        <v>1247</v>
      </c>
      <c r="U3054">
        <v>326</v>
      </c>
      <c r="V3054">
        <v>0</v>
      </c>
      <c r="W3054">
        <v>117</v>
      </c>
      <c r="X3054">
        <v>880</v>
      </c>
      <c r="Y3054">
        <v>0</v>
      </c>
      <c r="Z3054">
        <v>63</v>
      </c>
      <c r="AA3054">
        <v>10</v>
      </c>
      <c r="AB3054">
        <v>20.261780878789601</v>
      </c>
      <c r="AC3054">
        <v>2.4499543596045999E-2</v>
      </c>
      <c r="AD3054">
        <v>4.7727634331065198</v>
      </c>
      <c r="AE3054">
        <v>0.44462743401527399</v>
      </c>
      <c r="AF3054">
        <v>143.694539249147</v>
      </c>
      <c r="AG3054">
        <f>IFERROR(AH3054*0.1, "N/A")</f>
        <v>5.9658703071672399</v>
      </c>
      <c r="AH3054">
        <v>59.658703071672399</v>
      </c>
      <c r="AI3054">
        <v>54.595601791407901</v>
      </c>
      <c r="AJ3054">
        <v>25.658703071672399</v>
      </c>
      <c r="AK3054">
        <v>51.001706484641602</v>
      </c>
    </row>
    <row r="3055" spans="1:37" x14ac:dyDescent="0.3">
      <c r="A3055">
        <v>3054</v>
      </c>
      <c r="B3055">
        <v>61.700001</v>
      </c>
      <c r="C3055">
        <v>-12.220800000000001</v>
      </c>
      <c r="D3055">
        <v>12.4178</v>
      </c>
      <c r="E3055">
        <f>-12.2208-12.4178</f>
        <v>-24.6386</v>
      </c>
      <c r="F3055" t="s">
        <v>5146</v>
      </c>
      <c r="G3055" t="s">
        <v>39</v>
      </c>
      <c r="H3055">
        <v>2008</v>
      </c>
      <c r="I3055">
        <v>28.200000762939499</v>
      </c>
      <c r="J3055">
        <v>13.1000003814697</v>
      </c>
      <c r="K3055">
        <v>57</v>
      </c>
      <c r="L3055">
        <v>23.5100002288818</v>
      </c>
      <c r="M3055">
        <v>39.700000762939503</v>
      </c>
      <c r="N3055">
        <v>16.899999618530298</v>
      </c>
      <c r="O3055">
        <v>22.799999237060501</v>
      </c>
      <c r="P3055">
        <v>26.600000381469702</v>
      </c>
      <c r="Q3055">
        <v>28.5</v>
      </c>
      <c r="R3055">
        <v>31.799999237060501</v>
      </c>
      <c r="S3055">
        <v>26</v>
      </c>
      <c r="T3055">
        <v>1247</v>
      </c>
      <c r="U3055">
        <v>326</v>
      </c>
      <c r="V3055">
        <v>0</v>
      </c>
      <c r="W3055">
        <v>117</v>
      </c>
      <c r="X3055">
        <v>880</v>
      </c>
      <c r="Y3055">
        <v>0</v>
      </c>
      <c r="Z3055">
        <v>63</v>
      </c>
      <c r="AA3055">
        <v>10</v>
      </c>
      <c r="AB3055">
        <v>20.261780878789601</v>
      </c>
      <c r="AC3055">
        <v>2.4499543596045999E-2</v>
      </c>
      <c r="AD3055">
        <v>4.7727634331065198</v>
      </c>
      <c r="AE3055">
        <v>0.44462743401527399</v>
      </c>
      <c r="AF3055">
        <v>143.694539249147</v>
      </c>
      <c r="AG3055">
        <f>IFERROR(AH3055*0.1, "N/A")</f>
        <v>5.9658703071672399</v>
      </c>
      <c r="AH3055">
        <v>59.658703071672399</v>
      </c>
      <c r="AI3055">
        <v>54.595601791407901</v>
      </c>
      <c r="AJ3055">
        <v>25.658703071672399</v>
      </c>
      <c r="AK3055">
        <v>51.001706484641602</v>
      </c>
    </row>
    <row r="3056" spans="1:37" x14ac:dyDescent="0.3">
      <c r="A3056">
        <v>3055</v>
      </c>
      <c r="B3056">
        <v>48</v>
      </c>
      <c r="C3056">
        <v>-12.010199999999999</v>
      </c>
      <c r="D3056">
        <v>12.422499999999999</v>
      </c>
      <c r="E3056">
        <f>-12.0102-12.4225</f>
        <v>-24.432699999999997</v>
      </c>
      <c r="F3056" t="s">
        <v>5147</v>
      </c>
      <c r="G3056" t="s">
        <v>39</v>
      </c>
      <c r="H3056">
        <v>2003</v>
      </c>
      <c r="I3056">
        <v>26.600000381469702</v>
      </c>
      <c r="J3056">
        <v>12.3999996185303</v>
      </c>
      <c r="K3056">
        <v>57</v>
      </c>
      <c r="L3056">
        <v>22.219999313354499</v>
      </c>
      <c r="M3056">
        <v>37.5</v>
      </c>
      <c r="N3056">
        <v>16</v>
      </c>
      <c r="O3056">
        <v>21.5</v>
      </c>
      <c r="P3056">
        <v>25</v>
      </c>
      <c r="Q3056">
        <v>26.799999237060501</v>
      </c>
      <c r="R3056">
        <v>30</v>
      </c>
      <c r="S3056">
        <v>24.5</v>
      </c>
      <c r="T3056">
        <v>1240</v>
      </c>
      <c r="U3056">
        <v>328</v>
      </c>
      <c r="V3056">
        <v>0</v>
      </c>
      <c r="W3056">
        <v>117</v>
      </c>
      <c r="X3056">
        <v>873</v>
      </c>
      <c r="Y3056">
        <v>1</v>
      </c>
      <c r="Z3056">
        <v>65</v>
      </c>
      <c r="AA3056">
        <v>8</v>
      </c>
      <c r="AB3056">
        <v>0.79983094197521798</v>
      </c>
      <c r="AC3056">
        <v>0.32652117370975298</v>
      </c>
      <c r="AD3056">
        <v>1.60934106617201</v>
      </c>
      <c r="AE3056">
        <v>0.256769329309464</v>
      </c>
      <c r="AF3056">
        <v>377.84667802385002</v>
      </c>
      <c r="AG3056">
        <f>IFERROR(AH3056*0.1, "N/A")</f>
        <v>6.1054514480408804</v>
      </c>
      <c r="AH3056">
        <v>61.054514480408798</v>
      </c>
      <c r="AI3056">
        <v>81.230002544604503</v>
      </c>
      <c r="AJ3056">
        <v>23.647359454855199</v>
      </c>
      <c r="AK3056">
        <v>50.850085178875602</v>
      </c>
    </row>
    <row r="3057" spans="1:37" x14ac:dyDescent="0.3">
      <c r="A3057">
        <v>3056</v>
      </c>
      <c r="B3057">
        <v>22.5</v>
      </c>
      <c r="C3057">
        <v>-11.9345</v>
      </c>
      <c r="D3057">
        <v>12.4329</v>
      </c>
      <c r="E3057">
        <f>-11.9345-12.4329</f>
        <v>-24.3674</v>
      </c>
      <c r="F3057" t="s">
        <v>5148</v>
      </c>
      <c r="G3057" t="s">
        <v>39</v>
      </c>
      <c r="H3057">
        <v>2004</v>
      </c>
      <c r="I3057">
        <v>26.732653741122899</v>
      </c>
      <c r="J3057">
        <v>12.510884343361401</v>
      </c>
      <c r="K3057">
        <v>57</v>
      </c>
      <c r="L3057">
        <v>22.218299774896501</v>
      </c>
      <c r="M3057">
        <v>37.743538136384899</v>
      </c>
      <c r="N3057">
        <v>16.021768686722702</v>
      </c>
      <c r="O3057">
        <v>21.721769449662201</v>
      </c>
      <c r="P3057">
        <v>25.232653741122899</v>
      </c>
      <c r="Q3057">
        <v>26.938094898146002</v>
      </c>
      <c r="R3057">
        <v>30.138095557284199</v>
      </c>
      <c r="S3057">
        <v>24.632653463454499</v>
      </c>
      <c r="T3057">
        <v>1226.74829931973</v>
      </c>
      <c r="U3057">
        <v>326.56462585034001</v>
      </c>
      <c r="V3057">
        <v>0</v>
      </c>
      <c r="W3057">
        <v>117</v>
      </c>
      <c r="X3057">
        <v>865.23809523809496</v>
      </c>
      <c r="Y3057">
        <v>1</v>
      </c>
      <c r="Z3057">
        <v>64.891156462585002</v>
      </c>
      <c r="AA3057">
        <v>7.9455782312925196</v>
      </c>
      <c r="AB3057">
        <v>58.062921381321097</v>
      </c>
      <c r="AC3057">
        <v>9.1466365911089999E-3</v>
      </c>
      <c r="AD3057">
        <v>5.8026900031939697</v>
      </c>
      <c r="AE3057">
        <v>0.195870481203405</v>
      </c>
      <c r="AF3057">
        <v>419.59183673469403</v>
      </c>
      <c r="AG3057">
        <f>IFERROR(AH3057*0.1, "N/A")</f>
        <v>5.6511904761904805</v>
      </c>
      <c r="AH3057">
        <v>56.511904761904802</v>
      </c>
      <c r="AI3057">
        <v>282.06723664731402</v>
      </c>
      <c r="AJ3057">
        <v>28.076530612244898</v>
      </c>
      <c r="AK3057">
        <v>47.1938775510204</v>
      </c>
    </row>
    <row r="3058" spans="1:37" x14ac:dyDescent="0.3">
      <c r="A3058">
        <v>3057</v>
      </c>
      <c r="B3058">
        <v>52</v>
      </c>
      <c r="C3058">
        <v>-12.065</v>
      </c>
      <c r="D3058">
        <v>12.4466</v>
      </c>
      <c r="E3058">
        <f>-12.065-12.4466</f>
        <v>-24.511600000000001</v>
      </c>
      <c r="F3058" t="s">
        <v>5149</v>
      </c>
      <c r="G3058" t="s">
        <v>39</v>
      </c>
      <c r="H3058">
        <v>2003</v>
      </c>
      <c r="I3058">
        <v>26.700000762939499</v>
      </c>
      <c r="J3058">
        <v>12.5</v>
      </c>
      <c r="K3058">
        <v>57</v>
      </c>
      <c r="L3058">
        <v>22.590000152587901</v>
      </c>
      <c r="M3058">
        <v>37.700000762939503</v>
      </c>
      <c r="N3058">
        <v>16</v>
      </c>
      <c r="O3058">
        <v>21.700000762939499</v>
      </c>
      <c r="P3058">
        <v>25.100000381469702</v>
      </c>
      <c r="Q3058">
        <v>27</v>
      </c>
      <c r="R3058">
        <v>30.200000762939499</v>
      </c>
      <c r="S3058">
        <v>24.600000381469702</v>
      </c>
      <c r="T3058">
        <v>1234</v>
      </c>
      <c r="U3058">
        <v>325</v>
      </c>
      <c r="V3058">
        <v>0</v>
      </c>
      <c r="W3058">
        <v>117</v>
      </c>
      <c r="X3058">
        <v>869</v>
      </c>
      <c r="Y3058">
        <v>1</v>
      </c>
      <c r="Z3058">
        <v>64</v>
      </c>
      <c r="AA3058">
        <v>8</v>
      </c>
      <c r="AB3058">
        <v>51.619168504618003</v>
      </c>
      <c r="AC3058">
        <v>2.0112776225906001E-2</v>
      </c>
      <c r="AD3058">
        <v>6.4648179498769496</v>
      </c>
      <c r="AE3058">
        <v>0.31052079796791099</v>
      </c>
      <c r="AF3058">
        <v>424.65593220339002</v>
      </c>
      <c r="AG3058">
        <f>IFERROR(AH3058*0.1, "N/A")</f>
        <v>5.9094915254237304</v>
      </c>
      <c r="AH3058">
        <v>59.0949152542373</v>
      </c>
      <c r="AI3058">
        <v>157.640256383864</v>
      </c>
      <c r="AJ3058">
        <v>25.9525423728814</v>
      </c>
      <c r="AK3058">
        <v>50.830508474576298</v>
      </c>
    </row>
    <row r="3059" spans="1:37" x14ac:dyDescent="0.3">
      <c r="A3059">
        <v>3058</v>
      </c>
      <c r="B3059">
        <v>10</v>
      </c>
      <c r="C3059">
        <v>-16.416699999999999</v>
      </c>
      <c r="D3059">
        <v>12.45</v>
      </c>
      <c r="E3059">
        <f>-16.4167-12.45</f>
        <v>-28.866699999999998</v>
      </c>
      <c r="F3059" t="s">
        <v>5150</v>
      </c>
      <c r="G3059" t="s">
        <v>39</v>
      </c>
      <c r="H3059">
        <v>2004</v>
      </c>
      <c r="I3059">
        <v>26.600000381469702</v>
      </c>
      <c r="J3059">
        <v>12.786030801841299</v>
      </c>
      <c r="K3059">
        <v>62.1413969335605</v>
      </c>
      <c r="L3059">
        <v>12.7410899557084</v>
      </c>
      <c r="M3059">
        <v>35.971891399948902</v>
      </c>
      <c r="N3059">
        <v>15.5281091361883</v>
      </c>
      <c r="O3059">
        <v>20.443781727623499</v>
      </c>
      <c r="P3059">
        <v>26.613969770363301</v>
      </c>
      <c r="Q3059">
        <v>25.5</v>
      </c>
      <c r="R3059">
        <v>27.899999618530298</v>
      </c>
      <c r="S3059">
        <v>24.600000381469702</v>
      </c>
      <c r="T3059">
        <v>1327.30494037479</v>
      </c>
      <c r="U3059">
        <v>451.28109028960802</v>
      </c>
      <c r="V3059">
        <v>0</v>
      </c>
      <c r="W3059">
        <v>140.85860306644</v>
      </c>
      <c r="X3059">
        <v>1104.98466780239</v>
      </c>
      <c r="Y3059">
        <v>0</v>
      </c>
      <c r="Z3059">
        <v>100.519591141397</v>
      </c>
      <c r="AA3059">
        <v>1</v>
      </c>
      <c r="AB3059">
        <v>6.2267464242964401</v>
      </c>
      <c r="AC3059">
        <v>9.6737914567959996E-3</v>
      </c>
      <c r="AD3059">
        <v>2.3625012766157298</v>
      </c>
      <c r="AE3059">
        <v>0.248976033479229</v>
      </c>
      <c r="AF3059">
        <v>17.373083475298099</v>
      </c>
      <c r="AG3059">
        <f>IFERROR(AH3059*0.1, "N/A")</f>
        <v>5.2519591141396909</v>
      </c>
      <c r="AH3059">
        <v>52.519591141396901</v>
      </c>
      <c r="AI3059">
        <v>207.13972756484901</v>
      </c>
      <c r="AJ3059">
        <v>22.960817717206101</v>
      </c>
      <c r="AK3059">
        <v>61.558773424190797</v>
      </c>
    </row>
    <row r="3060" spans="1:37" x14ac:dyDescent="0.3">
      <c r="A3060">
        <v>3059</v>
      </c>
      <c r="B3060">
        <v>34</v>
      </c>
      <c r="C3060">
        <v>-16.517799</v>
      </c>
      <c r="D3060">
        <v>12.4528</v>
      </c>
      <c r="E3060">
        <f>-16.517799-12.4528</f>
        <v>-28.970599</v>
      </c>
      <c r="F3060" t="s">
        <v>5151</v>
      </c>
      <c r="G3060" t="s">
        <v>39</v>
      </c>
      <c r="H3060">
        <v>2003</v>
      </c>
      <c r="I3060">
        <v>26.399999618530298</v>
      </c>
      <c r="J3060">
        <v>12.3999996185303</v>
      </c>
      <c r="K3060">
        <v>62</v>
      </c>
      <c r="L3060">
        <v>12.6300001144409</v>
      </c>
      <c r="M3060">
        <v>35.5</v>
      </c>
      <c r="N3060">
        <v>15.6000003814697</v>
      </c>
      <c r="O3060">
        <v>19.899999618530298</v>
      </c>
      <c r="P3060">
        <v>26.5</v>
      </c>
      <c r="Q3060">
        <v>25.299999237060501</v>
      </c>
      <c r="R3060">
        <v>27.700000762939499</v>
      </c>
      <c r="S3060">
        <v>24.399999618530298</v>
      </c>
      <c r="T3060">
        <v>1304</v>
      </c>
      <c r="U3060">
        <v>451</v>
      </c>
      <c r="V3060">
        <v>0</v>
      </c>
      <c r="W3060">
        <v>143</v>
      </c>
      <c r="X3060">
        <v>1097</v>
      </c>
      <c r="Y3060">
        <v>0</v>
      </c>
      <c r="Z3060">
        <v>92</v>
      </c>
      <c r="AA3060">
        <v>1</v>
      </c>
      <c r="AB3060">
        <v>10.1796269141555</v>
      </c>
      <c r="AC3060">
        <v>1.6020760691214001E-2</v>
      </c>
      <c r="AD3060">
        <v>2.8922152331000901</v>
      </c>
      <c r="AE3060">
        <v>0.44311970472335799</v>
      </c>
      <c r="AF3060">
        <v>21.1969439728353</v>
      </c>
      <c r="AG3060">
        <f>IFERROR(AH3060*0.1, "N/A")</f>
        <v>6.3276740237691005</v>
      </c>
      <c r="AH3060">
        <v>63.276740237691001</v>
      </c>
      <c r="AI3060">
        <v>166.150075617792</v>
      </c>
      <c r="AJ3060">
        <v>23.1205432937182</v>
      </c>
      <c r="AK3060">
        <v>61.1205432937182</v>
      </c>
    </row>
    <row r="3061" spans="1:37" x14ac:dyDescent="0.3">
      <c r="A3061">
        <v>3060</v>
      </c>
      <c r="B3061">
        <v>20</v>
      </c>
      <c r="C3061">
        <v>-16.419398999999999</v>
      </c>
      <c r="D3061">
        <v>12.456899999999999</v>
      </c>
      <c r="E3061">
        <f>-16.419399-12.4569</f>
        <v>-28.876298999999996</v>
      </c>
      <c r="F3061" t="s">
        <v>5152</v>
      </c>
      <c r="G3061" t="s">
        <v>39</v>
      </c>
      <c r="H3061">
        <v>2004</v>
      </c>
      <c r="I3061">
        <v>26.600000381469702</v>
      </c>
      <c r="J3061">
        <v>12.800000190734901</v>
      </c>
      <c r="K3061">
        <v>62</v>
      </c>
      <c r="L3061">
        <v>12.7299995422363</v>
      </c>
      <c r="M3061">
        <v>36</v>
      </c>
      <c r="N3061">
        <v>15.5</v>
      </c>
      <c r="O3061">
        <v>20.5</v>
      </c>
      <c r="P3061">
        <v>26.600000381469702</v>
      </c>
      <c r="Q3061">
        <v>25.5</v>
      </c>
      <c r="R3061">
        <v>27.899999618530298</v>
      </c>
      <c r="S3061">
        <v>24.600000381469702</v>
      </c>
      <c r="T3061">
        <v>1325</v>
      </c>
      <c r="U3061">
        <v>451</v>
      </c>
      <c r="V3061">
        <v>0</v>
      </c>
      <c r="W3061">
        <v>141</v>
      </c>
      <c r="X3061">
        <v>1104</v>
      </c>
      <c r="Y3061">
        <v>0</v>
      </c>
      <c r="Z3061">
        <v>100</v>
      </c>
      <c r="AA3061">
        <v>1</v>
      </c>
      <c r="AB3061">
        <v>11.0877964197579</v>
      </c>
      <c r="AC3061">
        <v>4.4441663650638001E-2</v>
      </c>
      <c r="AD3061">
        <v>0.82392890847335398</v>
      </c>
      <c r="AE3061">
        <v>0.26482775807380698</v>
      </c>
      <c r="AF3061">
        <v>18.2593220338983</v>
      </c>
      <c r="AG3061">
        <f>IFERROR(AH3061*0.1, "N/A")</f>
        <v>5.4</v>
      </c>
      <c r="AH3061">
        <v>54</v>
      </c>
      <c r="AI3061">
        <v>249.55932203389801</v>
      </c>
      <c r="AJ3061">
        <v>27</v>
      </c>
      <c r="AK3061">
        <v>59</v>
      </c>
    </row>
    <row r="3062" spans="1:37" x14ac:dyDescent="0.3">
      <c r="A3062">
        <v>3061</v>
      </c>
      <c r="B3062">
        <v>36</v>
      </c>
      <c r="C3062">
        <v>-12.6469</v>
      </c>
      <c r="D3062">
        <v>12.4574</v>
      </c>
      <c r="E3062">
        <f>-12.6469-12.4574</f>
        <v>-25.104300000000002</v>
      </c>
      <c r="F3062" t="s">
        <v>5153</v>
      </c>
      <c r="G3062" t="s">
        <v>39</v>
      </c>
      <c r="H3062">
        <v>2003</v>
      </c>
      <c r="I3062">
        <v>27.899999618530298</v>
      </c>
      <c r="J3062">
        <v>13.1000003814697</v>
      </c>
      <c r="K3062">
        <v>58</v>
      </c>
      <c r="L3062">
        <v>22.5</v>
      </c>
      <c r="M3062">
        <v>39.200000762939503</v>
      </c>
      <c r="N3062">
        <v>16.700000762939499</v>
      </c>
      <c r="O3062">
        <v>22.5</v>
      </c>
      <c r="P3062">
        <v>26.5</v>
      </c>
      <c r="Q3062">
        <v>27.700000762939499</v>
      </c>
      <c r="R3062">
        <v>31.200000762939499</v>
      </c>
      <c r="S3062">
        <v>25.600000381469702</v>
      </c>
      <c r="T3062">
        <v>1283</v>
      </c>
      <c r="U3062">
        <v>343</v>
      </c>
      <c r="V3062">
        <v>0</v>
      </c>
      <c r="W3062">
        <v>117</v>
      </c>
      <c r="X3062">
        <v>905</v>
      </c>
      <c r="Y3062">
        <v>0</v>
      </c>
      <c r="Z3062">
        <v>62</v>
      </c>
      <c r="AA3062">
        <v>13</v>
      </c>
      <c r="AB3062">
        <v>24.6057856293763</v>
      </c>
      <c r="AC3062">
        <v>1.0835788800337001E-2</v>
      </c>
      <c r="AD3062">
        <v>1.67237592939617</v>
      </c>
      <c r="AE3062">
        <v>0.16482722759246801</v>
      </c>
      <c r="AF3062">
        <v>136.74489795918399</v>
      </c>
      <c r="AG3062">
        <f>IFERROR(AH3062*0.1, "N/A")</f>
        <v>6.4454081632653102</v>
      </c>
      <c r="AH3062">
        <v>64.4540816326531</v>
      </c>
      <c r="AI3062">
        <v>287.45761305620903</v>
      </c>
      <c r="AJ3062">
        <v>25.181972789115701</v>
      </c>
      <c r="AK3062">
        <v>50.818027210884402</v>
      </c>
    </row>
    <row r="3063" spans="1:37" x14ac:dyDescent="0.3">
      <c r="A3063">
        <v>3062</v>
      </c>
      <c r="B3063">
        <v>17.100000000000001</v>
      </c>
      <c r="C3063">
        <v>-12.0596</v>
      </c>
      <c r="D3063">
        <v>12.458500000000001</v>
      </c>
      <c r="E3063">
        <f>-12.0596-12.4585</f>
        <v>-24.5181</v>
      </c>
      <c r="F3063" t="s">
        <v>5154</v>
      </c>
      <c r="G3063" t="s">
        <v>39</v>
      </c>
      <c r="H3063">
        <v>1996</v>
      </c>
      <c r="I3063">
        <v>28.032373004848701</v>
      </c>
      <c r="J3063">
        <v>13.032373004848701</v>
      </c>
      <c r="K3063">
        <v>57</v>
      </c>
      <c r="L3063">
        <v>23.637915213633399</v>
      </c>
      <c r="M3063">
        <v>39.432373913263902</v>
      </c>
      <c r="N3063">
        <v>16.832372241909201</v>
      </c>
      <c r="O3063">
        <v>22.600000381469702</v>
      </c>
      <c r="P3063">
        <v>26.332372241909201</v>
      </c>
      <c r="Q3063">
        <v>28.332372241909201</v>
      </c>
      <c r="R3063">
        <v>31.732373150324399</v>
      </c>
      <c r="S3063">
        <v>25.932372623378999</v>
      </c>
      <c r="T3063">
        <v>1207.7050847457599</v>
      </c>
      <c r="U3063">
        <v>317</v>
      </c>
      <c r="V3063">
        <v>0</v>
      </c>
      <c r="W3063">
        <v>117.676271186441</v>
      </c>
      <c r="X3063">
        <v>855.676271186441</v>
      </c>
      <c r="Y3063">
        <v>0</v>
      </c>
      <c r="Z3063">
        <v>60.676271186440701</v>
      </c>
      <c r="AA3063">
        <v>8</v>
      </c>
      <c r="AB3063">
        <v>11.736101105253599</v>
      </c>
      <c r="AC3063">
        <v>4.7216043346640001E-2</v>
      </c>
      <c r="AD3063">
        <v>2.0870595056121601</v>
      </c>
      <c r="AE3063">
        <v>0.23937274515628801</v>
      </c>
      <c r="AF3063">
        <v>174.628813559322</v>
      </c>
      <c r="AG3063">
        <f>IFERROR(AH3063*0.1, "N/A")</f>
        <v>6.0028813559322005</v>
      </c>
      <c r="AH3063">
        <v>60.028813559322003</v>
      </c>
      <c r="AI3063">
        <v>32.259995638313903</v>
      </c>
      <c r="AJ3063">
        <v>25.028813559322</v>
      </c>
      <c r="AK3063">
        <v>50</v>
      </c>
    </row>
    <row r="3064" spans="1:37" x14ac:dyDescent="0.3">
      <c r="A3064">
        <v>3063</v>
      </c>
      <c r="B3064">
        <v>0</v>
      </c>
      <c r="C3064">
        <v>-12.0596</v>
      </c>
      <c r="D3064">
        <v>12.458500000000001</v>
      </c>
      <c r="E3064">
        <f>-12.0596-12.4585</f>
        <v>-24.5181</v>
      </c>
      <c r="F3064" t="s">
        <v>5155</v>
      </c>
      <c r="G3064" t="s">
        <v>37</v>
      </c>
      <c r="H3064">
        <v>1996</v>
      </c>
      <c r="I3064">
        <v>28.032373004848701</v>
      </c>
      <c r="J3064">
        <v>13.032373004848701</v>
      </c>
      <c r="K3064">
        <v>57</v>
      </c>
      <c r="L3064">
        <v>23.637915213633399</v>
      </c>
      <c r="M3064">
        <v>39.432373913263902</v>
      </c>
      <c r="N3064">
        <v>16.832372241909201</v>
      </c>
      <c r="O3064">
        <v>22.600000381469702</v>
      </c>
      <c r="P3064">
        <v>26.332372241909201</v>
      </c>
      <c r="Q3064">
        <v>28.332372241909201</v>
      </c>
      <c r="R3064">
        <v>31.732373150324399</v>
      </c>
      <c r="S3064">
        <v>25.932372623378999</v>
      </c>
      <c r="T3064">
        <v>1207.7050847457599</v>
      </c>
      <c r="U3064">
        <v>317</v>
      </c>
      <c r="V3064">
        <v>0</v>
      </c>
      <c r="W3064">
        <v>117.676271186441</v>
      </c>
      <c r="X3064">
        <v>855.676271186441</v>
      </c>
      <c r="Y3064">
        <v>0</v>
      </c>
      <c r="Z3064">
        <v>60.676271186440701</v>
      </c>
      <c r="AA3064">
        <v>8</v>
      </c>
      <c r="AB3064">
        <v>11.736101105253599</v>
      </c>
      <c r="AC3064">
        <v>4.7216043346640001E-2</v>
      </c>
      <c r="AD3064">
        <v>2.0870595056121601</v>
      </c>
      <c r="AE3064">
        <v>0.23937274515628801</v>
      </c>
      <c r="AF3064">
        <v>174.628813559322</v>
      </c>
      <c r="AG3064">
        <f>IFERROR(AH3064*0.1, "N/A")</f>
        <v>6.0028813559322005</v>
      </c>
      <c r="AH3064">
        <v>60.028813559322003</v>
      </c>
      <c r="AI3064">
        <v>32.259995638313903</v>
      </c>
      <c r="AJ3064">
        <v>25.028813559322</v>
      </c>
      <c r="AK3064">
        <v>50</v>
      </c>
    </row>
    <row r="3065" spans="1:37" x14ac:dyDescent="0.3">
      <c r="A3065">
        <v>3064</v>
      </c>
      <c r="B3065">
        <v>12</v>
      </c>
      <c r="C3065">
        <v>-16.238099999999999</v>
      </c>
      <c r="D3065">
        <v>12.4619</v>
      </c>
      <c r="E3065">
        <f>-16.2381-12.4619</f>
        <v>-28.7</v>
      </c>
      <c r="F3065" t="s">
        <v>5156</v>
      </c>
      <c r="G3065" t="s">
        <v>39</v>
      </c>
      <c r="H3065">
        <v>2004</v>
      </c>
      <c r="I3065">
        <v>26.700000762939499</v>
      </c>
      <c r="J3065">
        <v>13.1000003814697</v>
      </c>
      <c r="K3065">
        <v>62</v>
      </c>
      <c r="L3065">
        <v>12.680000305175801</v>
      </c>
      <c r="M3065">
        <v>36.400001525878899</v>
      </c>
      <c r="N3065">
        <v>15.3999996185303</v>
      </c>
      <c r="O3065">
        <v>21</v>
      </c>
      <c r="P3065">
        <v>26.799999237060501</v>
      </c>
      <c r="Q3065">
        <v>25.700000762939499</v>
      </c>
      <c r="R3065">
        <v>28</v>
      </c>
      <c r="S3065">
        <v>24.799999237060501</v>
      </c>
      <c r="T3065">
        <v>1331</v>
      </c>
      <c r="U3065">
        <v>453</v>
      </c>
      <c r="V3065">
        <v>0</v>
      </c>
      <c r="W3065">
        <v>139</v>
      </c>
      <c r="X3065">
        <v>1093</v>
      </c>
      <c r="Y3065">
        <v>0</v>
      </c>
      <c r="Z3065">
        <v>111</v>
      </c>
      <c r="AA3065">
        <v>1</v>
      </c>
      <c r="AB3065">
        <v>6.7039116320966903</v>
      </c>
      <c r="AC3065">
        <v>9.8841208616129994E-3</v>
      </c>
      <c r="AD3065">
        <v>3.0860395103084799</v>
      </c>
      <c r="AE3065">
        <v>0.28784221410751298</v>
      </c>
      <c r="AF3065">
        <v>12.9625850340136</v>
      </c>
      <c r="AG3065">
        <f>IFERROR(AH3065*0.1, "N/A")</f>
        <v>5.0001700680272103</v>
      </c>
      <c r="AH3065">
        <v>50.001700680272101</v>
      </c>
      <c r="AI3065">
        <v>266.48939859299401</v>
      </c>
      <c r="AJ3065">
        <v>23.9489795918367</v>
      </c>
      <c r="AK3065">
        <v>61</v>
      </c>
    </row>
    <row r="3066" spans="1:37" x14ac:dyDescent="0.3">
      <c r="A3066">
        <v>3065</v>
      </c>
      <c r="B3066">
        <v>6</v>
      </c>
      <c r="C3066">
        <v>-16.382798999999999</v>
      </c>
      <c r="D3066">
        <v>12.470599999999999</v>
      </c>
      <c r="E3066">
        <f>-16.382799-12.4706</f>
        <v>-28.853398999999996</v>
      </c>
      <c r="F3066" t="s">
        <v>5157</v>
      </c>
      <c r="G3066" t="s">
        <v>39</v>
      </c>
      <c r="H3066">
        <v>2004</v>
      </c>
      <c r="I3066">
        <v>26.700000762939499</v>
      </c>
      <c r="J3066">
        <v>12.8999996185303</v>
      </c>
      <c r="K3066">
        <v>62</v>
      </c>
      <c r="L3066">
        <v>12.4386413473832</v>
      </c>
      <c r="M3066">
        <v>36.099998474121101</v>
      </c>
      <c r="N3066">
        <v>15.5033955986917</v>
      </c>
      <c r="O3066">
        <v>20.596604782778101</v>
      </c>
      <c r="P3066">
        <v>26.703396296865499</v>
      </c>
      <c r="Q3066">
        <v>25.600000381469702</v>
      </c>
      <c r="R3066">
        <v>27.903395217221899</v>
      </c>
      <c r="S3066">
        <v>24.700000762939499</v>
      </c>
      <c r="T3066">
        <v>1316.9320882852301</v>
      </c>
      <c r="U3066">
        <v>447</v>
      </c>
      <c r="V3066">
        <v>0</v>
      </c>
      <c r="W3066">
        <v>140</v>
      </c>
      <c r="X3066">
        <v>1092.9660441426099</v>
      </c>
      <c r="Y3066">
        <v>0</v>
      </c>
      <c r="Z3066">
        <v>102.966044142615</v>
      </c>
      <c r="AA3066">
        <v>1</v>
      </c>
      <c r="AB3066">
        <v>2.7186757348389299</v>
      </c>
      <c r="AC3066">
        <v>2.3264085252553E-2</v>
      </c>
      <c r="AD3066">
        <v>2.1128751535367098</v>
      </c>
      <c r="AE3066">
        <v>0.26771661639213601</v>
      </c>
      <c r="AF3066">
        <v>4.8539898132427801</v>
      </c>
      <c r="AG3066">
        <f>IFERROR(AH3066*0.1, "N/A")</f>
        <v>5.4266553480475404</v>
      </c>
      <c r="AH3066">
        <v>54.266553480475402</v>
      </c>
      <c r="AI3066">
        <v>187.11551393110599</v>
      </c>
      <c r="AJ3066">
        <v>25.173174872665498</v>
      </c>
      <c r="AK3066">
        <v>57.928692699490703</v>
      </c>
    </row>
    <row r="3067" spans="1:37" x14ac:dyDescent="0.3">
      <c r="A3067">
        <v>3066</v>
      </c>
      <c r="B3067">
        <v>15</v>
      </c>
      <c r="C3067">
        <v>-16.366699000000001</v>
      </c>
      <c r="D3067">
        <v>12.4833</v>
      </c>
      <c r="E3067">
        <f>-16.366699-12.4833</f>
        <v>-28.849999</v>
      </c>
      <c r="F3067" t="s">
        <v>5158</v>
      </c>
      <c r="G3067" t="s">
        <v>39</v>
      </c>
      <c r="H3067">
        <v>1987</v>
      </c>
      <c r="I3067">
        <v>26.694407521264001</v>
      </c>
      <c r="J3067">
        <v>12.9818643375979</v>
      </c>
      <c r="K3067">
        <v>62.549152542372902</v>
      </c>
      <c r="L3067">
        <v>12.3936947272996</v>
      </c>
      <c r="M3067">
        <v>36.194407414581804</v>
      </c>
      <c r="N3067">
        <v>15.5493222220469</v>
      </c>
      <c r="O3067">
        <v>20.645085299217101</v>
      </c>
      <c r="P3067">
        <v>26.794406102067299</v>
      </c>
      <c r="Q3067">
        <v>25.688814279588598</v>
      </c>
      <c r="R3067">
        <v>27.994406758324601</v>
      </c>
      <c r="S3067">
        <v>24.770677543898799</v>
      </c>
      <c r="T3067">
        <v>1306.6932203389799</v>
      </c>
      <c r="U3067">
        <v>443.474576271187</v>
      </c>
      <c r="V3067">
        <v>0</v>
      </c>
      <c r="W3067">
        <v>140</v>
      </c>
      <c r="X3067">
        <v>1083.18644067797</v>
      </c>
      <c r="Y3067">
        <v>0</v>
      </c>
      <c r="Z3067">
        <v>103.269491525424</v>
      </c>
      <c r="AA3067">
        <v>1</v>
      </c>
      <c r="AB3067">
        <v>3.8071186154575698</v>
      </c>
      <c r="AC3067">
        <v>8.5209605318762996E-2</v>
      </c>
      <c r="AD3067">
        <v>2.05893247228558</v>
      </c>
      <c r="AE3067">
        <v>0.260413497686386</v>
      </c>
      <c r="AF3067">
        <v>5.5508474576271203</v>
      </c>
      <c r="AG3067">
        <f>IFERROR(AH3067*0.1, "N/A")</f>
        <v>5.2730508474576299</v>
      </c>
      <c r="AH3067">
        <v>52.730508474576297</v>
      </c>
      <c r="AI3067">
        <v>125.85654785350199</v>
      </c>
      <c r="AJ3067">
        <v>26</v>
      </c>
      <c r="AK3067">
        <v>54.269491525423703</v>
      </c>
    </row>
    <row r="3068" spans="1:37" x14ac:dyDescent="0.3">
      <c r="A3068">
        <v>3067</v>
      </c>
      <c r="B3068">
        <v>0</v>
      </c>
      <c r="C3068">
        <v>-16.366699000000001</v>
      </c>
      <c r="D3068">
        <v>12.4833</v>
      </c>
      <c r="E3068">
        <f>-16.366699-12.4833</f>
        <v>-28.849999</v>
      </c>
      <c r="F3068" t="s">
        <v>5159</v>
      </c>
      <c r="G3068" t="s">
        <v>37</v>
      </c>
      <c r="H3068">
        <v>1987</v>
      </c>
      <c r="I3068">
        <v>26.694407521264001</v>
      </c>
      <c r="J3068">
        <v>12.9818643375979</v>
      </c>
      <c r="K3068">
        <v>62.549152542372902</v>
      </c>
      <c r="L3068">
        <v>12.3936947272996</v>
      </c>
      <c r="M3068">
        <v>36.194407414581804</v>
      </c>
      <c r="N3068">
        <v>15.5493222220469</v>
      </c>
      <c r="O3068">
        <v>20.645085299217101</v>
      </c>
      <c r="P3068">
        <v>26.794406102067299</v>
      </c>
      <c r="Q3068">
        <v>25.688814279588598</v>
      </c>
      <c r="R3068">
        <v>27.994406758324601</v>
      </c>
      <c r="S3068">
        <v>24.770677543898799</v>
      </c>
      <c r="T3068">
        <v>1306.6932203389799</v>
      </c>
      <c r="U3068">
        <v>443.474576271187</v>
      </c>
      <c r="V3068">
        <v>0</v>
      </c>
      <c r="W3068">
        <v>140</v>
      </c>
      <c r="X3068">
        <v>1083.18644067797</v>
      </c>
      <c r="Y3068">
        <v>0</v>
      </c>
      <c r="Z3068">
        <v>103.269491525424</v>
      </c>
      <c r="AA3068">
        <v>1</v>
      </c>
      <c r="AB3068">
        <v>3.8071186154575698</v>
      </c>
      <c r="AC3068">
        <v>8.5209605318762996E-2</v>
      </c>
      <c r="AD3068">
        <v>2.05893247228558</v>
      </c>
      <c r="AE3068">
        <v>0.260413497686386</v>
      </c>
      <c r="AF3068">
        <v>5.5508474576271203</v>
      </c>
      <c r="AG3068">
        <f>IFERROR(AH3068*0.1, "N/A")</f>
        <v>5.2730508474576299</v>
      </c>
      <c r="AH3068">
        <v>52.730508474576297</v>
      </c>
      <c r="AI3068">
        <v>125.85654785350199</v>
      </c>
      <c r="AJ3068">
        <v>26</v>
      </c>
      <c r="AK3068">
        <v>54.269491525423703</v>
      </c>
    </row>
    <row r="3069" spans="1:37" x14ac:dyDescent="0.3">
      <c r="A3069">
        <v>3068</v>
      </c>
      <c r="B3069">
        <v>8.5</v>
      </c>
      <c r="C3069">
        <v>-16.260000000000002</v>
      </c>
      <c r="D3069">
        <v>12.49</v>
      </c>
      <c r="E3069">
        <f>-16.26-12.49</f>
        <v>-28.75</v>
      </c>
      <c r="F3069" t="s">
        <v>5160</v>
      </c>
      <c r="G3069" t="s">
        <v>39</v>
      </c>
      <c r="H3069">
        <v>2004</v>
      </c>
      <c r="I3069">
        <v>26.799999237060501</v>
      </c>
      <c r="J3069">
        <v>13.199999809265099</v>
      </c>
      <c r="K3069">
        <v>62</v>
      </c>
      <c r="L3069">
        <v>12.810000419616699</v>
      </c>
      <c r="M3069">
        <v>36.599998474121101</v>
      </c>
      <c r="N3069">
        <v>15.3999996185303</v>
      </c>
      <c r="O3069">
        <v>21.200000762939499</v>
      </c>
      <c r="P3069">
        <v>26.799999237060501</v>
      </c>
      <c r="Q3069">
        <v>25.700000762939499</v>
      </c>
      <c r="R3069">
        <v>28.100000381469702</v>
      </c>
      <c r="S3069">
        <v>24.799999237060501</v>
      </c>
      <c r="T3069">
        <v>1309</v>
      </c>
      <c r="U3069">
        <v>444</v>
      </c>
      <c r="V3069">
        <v>0</v>
      </c>
      <c r="W3069">
        <v>138</v>
      </c>
      <c r="X3069">
        <v>1076</v>
      </c>
      <c r="Y3069">
        <v>0</v>
      </c>
      <c r="Z3069">
        <v>109</v>
      </c>
      <c r="AA3069">
        <v>1</v>
      </c>
      <c r="AB3069">
        <v>0.980204940249082</v>
      </c>
      <c r="AC3069">
        <v>0.21584476319812401</v>
      </c>
      <c r="AD3069">
        <v>1.1621852905168499</v>
      </c>
      <c r="AE3069">
        <v>0.26856699585914601</v>
      </c>
      <c r="AF3069">
        <v>10.30204778157</v>
      </c>
      <c r="AG3069">
        <f>IFERROR(AH3069*0.1, "N/A")</f>
        <v>5.2163822525597299</v>
      </c>
      <c r="AH3069">
        <v>52.163822525597297</v>
      </c>
      <c r="AI3069">
        <v>172.11372206235501</v>
      </c>
      <c r="AJ3069">
        <v>25.491467576791798</v>
      </c>
      <c r="AK3069">
        <v>56.344709897610898</v>
      </c>
    </row>
    <row r="3070" spans="1:37" x14ac:dyDescent="0.3">
      <c r="A3070">
        <v>3069</v>
      </c>
      <c r="B3070">
        <v>8</v>
      </c>
      <c r="C3070">
        <v>-16.334700000000002</v>
      </c>
      <c r="D3070">
        <v>12.498100000000001</v>
      </c>
      <c r="E3070">
        <f>-16.3347-12.4981</f>
        <v>-28.832800000000002</v>
      </c>
      <c r="F3070" t="s">
        <v>5161</v>
      </c>
      <c r="G3070" t="s">
        <v>39</v>
      </c>
      <c r="H3070">
        <v>2004</v>
      </c>
      <c r="I3070">
        <v>26.700000762939499</v>
      </c>
      <c r="J3070">
        <v>13.1000003814697</v>
      </c>
      <c r="K3070">
        <v>62</v>
      </c>
      <c r="L3070">
        <v>12.7200002670288</v>
      </c>
      <c r="M3070">
        <v>36.299999237060497</v>
      </c>
      <c r="N3070">
        <v>15.3999996185303</v>
      </c>
      <c r="O3070">
        <v>20.899999618530298</v>
      </c>
      <c r="P3070">
        <v>26.700000762939499</v>
      </c>
      <c r="Q3070">
        <v>25.600000381469702</v>
      </c>
      <c r="R3070">
        <v>28</v>
      </c>
      <c r="S3070">
        <v>24.700000762939499</v>
      </c>
      <c r="T3070">
        <v>1302</v>
      </c>
      <c r="U3070">
        <v>441</v>
      </c>
      <c r="V3070">
        <v>0</v>
      </c>
      <c r="W3070">
        <v>140</v>
      </c>
      <c r="X3070">
        <v>1076</v>
      </c>
      <c r="Y3070">
        <v>0</v>
      </c>
      <c r="Z3070">
        <v>106</v>
      </c>
      <c r="AA3070">
        <v>1</v>
      </c>
      <c r="AB3070">
        <v>12.0948982449616</v>
      </c>
      <c r="AC3070">
        <v>2.9549067801967002E-2</v>
      </c>
      <c r="AD3070">
        <v>0.97338894891495598</v>
      </c>
      <c r="AE3070">
        <v>0.25833207368850702</v>
      </c>
      <c r="AF3070">
        <v>18.459183673469401</v>
      </c>
      <c r="AG3070">
        <f>IFERROR(AH3070*0.1, "N/A")</f>
        <v>5.3010204081632706</v>
      </c>
      <c r="AH3070">
        <v>53.0102040816327</v>
      </c>
      <c r="AI3070">
        <v>183.59489130811599</v>
      </c>
      <c r="AJ3070">
        <v>22</v>
      </c>
      <c r="AK3070">
        <v>63.0102040816327</v>
      </c>
    </row>
    <row r="3071" spans="1:37" x14ac:dyDescent="0.3">
      <c r="A3071">
        <v>3070</v>
      </c>
      <c r="B3071">
        <v>42</v>
      </c>
      <c r="C3071">
        <v>-16.436399000000002</v>
      </c>
      <c r="D3071">
        <v>12.502800000000001</v>
      </c>
      <c r="E3071">
        <f>-16.436399-12.5028</f>
        <v>-28.939199000000002</v>
      </c>
      <c r="F3071" t="s">
        <v>5162</v>
      </c>
      <c r="G3071" t="s">
        <v>39</v>
      </c>
      <c r="H3071">
        <v>2004</v>
      </c>
      <c r="I3071">
        <v>26.700000762939499</v>
      </c>
      <c r="J3071">
        <v>12.800000190734901</v>
      </c>
      <c r="K3071">
        <v>62</v>
      </c>
      <c r="L3071">
        <v>12.8400001525879</v>
      </c>
      <c r="M3071">
        <v>36</v>
      </c>
      <c r="N3071">
        <v>15.5</v>
      </c>
      <c r="O3071">
        <v>20.5</v>
      </c>
      <c r="P3071">
        <v>26.700000762939499</v>
      </c>
      <c r="Q3071">
        <v>25.5</v>
      </c>
      <c r="R3071">
        <v>28</v>
      </c>
      <c r="S3071">
        <v>24.600000381469702</v>
      </c>
      <c r="T3071">
        <v>1287</v>
      </c>
      <c r="U3071">
        <v>441</v>
      </c>
      <c r="V3071">
        <v>0</v>
      </c>
      <c r="W3071">
        <v>141</v>
      </c>
      <c r="X3071">
        <v>1075</v>
      </c>
      <c r="Y3071">
        <v>0</v>
      </c>
      <c r="Z3071">
        <v>97</v>
      </c>
      <c r="AA3071">
        <v>1</v>
      </c>
      <c r="AB3071">
        <v>1.5415673154379299</v>
      </c>
      <c r="AC3071">
        <v>4.3537445209311E-2</v>
      </c>
      <c r="AD3071">
        <v>1.3542446757094</v>
      </c>
      <c r="AE3071">
        <v>0.276745975017548</v>
      </c>
      <c r="AF3071">
        <v>4.6115843270868799</v>
      </c>
      <c r="AG3071">
        <f>IFERROR(AH3071*0.1, "N/A")</f>
        <v>5.6000000000000005</v>
      </c>
      <c r="AH3071">
        <v>56</v>
      </c>
      <c r="AI3071">
        <v>144.02554674814701</v>
      </c>
      <c r="AJ3071">
        <v>22</v>
      </c>
      <c r="AK3071">
        <v>60</v>
      </c>
    </row>
    <row r="3072" spans="1:37" x14ac:dyDescent="0.3">
      <c r="A3072">
        <v>3071</v>
      </c>
      <c r="B3072">
        <v>0</v>
      </c>
      <c r="C3072">
        <v>-16.076699999999999</v>
      </c>
      <c r="D3072">
        <v>12.504200000000001</v>
      </c>
      <c r="E3072">
        <f>-16.0767-12.5042</f>
        <v>-28.5809</v>
      </c>
      <c r="F3072" t="s">
        <v>5163</v>
      </c>
      <c r="G3072" t="s">
        <v>39</v>
      </c>
      <c r="H3072">
        <v>2004</v>
      </c>
      <c r="I3072">
        <v>26.700000762939499</v>
      </c>
      <c r="J3072">
        <v>13.1000003814697</v>
      </c>
      <c r="K3072">
        <v>62</v>
      </c>
      <c r="L3072">
        <v>13.1099996566772</v>
      </c>
      <c r="M3072">
        <v>36.400001525878899</v>
      </c>
      <c r="N3072">
        <v>15.300000190734901</v>
      </c>
      <c r="O3072">
        <v>21.100000381469702</v>
      </c>
      <c r="P3072">
        <v>26.600000381469702</v>
      </c>
      <c r="Q3072">
        <v>25.600000381469702</v>
      </c>
      <c r="R3072">
        <v>28.100000381469702</v>
      </c>
      <c r="S3072">
        <v>24.700000762939499</v>
      </c>
      <c r="T3072">
        <v>1298</v>
      </c>
      <c r="U3072">
        <v>453</v>
      </c>
      <c r="V3072">
        <v>0</v>
      </c>
      <c r="W3072">
        <v>139</v>
      </c>
      <c r="X3072">
        <v>1061</v>
      </c>
      <c r="Y3072">
        <v>0</v>
      </c>
      <c r="Z3072">
        <v>110</v>
      </c>
      <c r="AA3072">
        <v>1</v>
      </c>
      <c r="AB3072">
        <v>13.636993189115801</v>
      </c>
      <c r="AC3072">
        <v>3.1633311207720997E-2</v>
      </c>
      <c r="AD3072">
        <v>1.55303909206713</v>
      </c>
      <c r="AE3072">
        <v>0.26919761924324798</v>
      </c>
      <c r="AF3072">
        <v>22.586148648648599</v>
      </c>
      <c r="AG3072">
        <f>IFERROR(AH3072*0.1, "N/A")</f>
        <v>5.1712837837837808</v>
      </c>
      <c r="AH3072">
        <v>51.712837837837803</v>
      </c>
      <c r="AI3072">
        <v>278.26763771675701</v>
      </c>
      <c r="AJ3072">
        <v>27.7128378378378</v>
      </c>
      <c r="AK3072">
        <v>57</v>
      </c>
    </row>
    <row r="3073" spans="1:37" x14ac:dyDescent="0.3">
      <c r="A3073">
        <v>3072</v>
      </c>
      <c r="B3073">
        <v>50</v>
      </c>
      <c r="C3073">
        <v>-16.032699999999998</v>
      </c>
      <c r="D3073">
        <v>12.5083</v>
      </c>
      <c r="E3073">
        <f>-16.0327-12.5083</f>
        <v>-28.540999999999997</v>
      </c>
      <c r="F3073" t="s">
        <v>5164</v>
      </c>
      <c r="G3073" t="s">
        <v>39</v>
      </c>
      <c r="H3073">
        <v>2003</v>
      </c>
      <c r="I3073">
        <v>26.667973383524998</v>
      </c>
      <c r="J3073">
        <v>13.1000003814697</v>
      </c>
      <c r="K3073">
        <v>62</v>
      </c>
      <c r="L3073">
        <v>12.908961109245899</v>
      </c>
      <c r="M3073">
        <v>36.367973535593002</v>
      </c>
      <c r="N3073">
        <v>15.335434400243299</v>
      </c>
      <c r="O3073">
        <v>21.0325384546179</v>
      </c>
      <c r="P3073">
        <v>26.700000762939499</v>
      </c>
      <c r="Q3073">
        <v>25.667973383524998</v>
      </c>
      <c r="R3073">
        <v>28.067973002055201</v>
      </c>
      <c r="S3073">
        <v>24.700000762939499</v>
      </c>
      <c r="T3073">
        <v>1286.3798977853501</v>
      </c>
      <c r="U3073">
        <v>453.02896081771701</v>
      </c>
      <c r="V3073">
        <v>0</v>
      </c>
      <c r="W3073">
        <v>139.887563884157</v>
      </c>
      <c r="X3073">
        <v>1050.7052810902901</v>
      </c>
      <c r="Y3073">
        <v>0</v>
      </c>
      <c r="Z3073">
        <v>109</v>
      </c>
      <c r="AA3073">
        <v>1</v>
      </c>
      <c r="AB3073">
        <v>16.680920518033499</v>
      </c>
      <c r="AC3073">
        <v>3.9739331644619E-2</v>
      </c>
      <c r="AD3073">
        <v>1.73667208979849</v>
      </c>
      <c r="AE3073">
        <v>0.24890719354152699</v>
      </c>
      <c r="AF3073">
        <v>22.3713798977853</v>
      </c>
      <c r="AG3073">
        <f>IFERROR(AH3073*0.1, "N/A")</f>
        <v>5</v>
      </c>
      <c r="AH3073">
        <v>50</v>
      </c>
      <c r="AI3073">
        <v>219.46659016649801</v>
      </c>
      <c r="AJ3073">
        <v>24.853492333901201</v>
      </c>
      <c r="AK3073">
        <v>58.146507666098799</v>
      </c>
    </row>
    <row r="3074" spans="1:37" x14ac:dyDescent="0.3">
      <c r="A3074">
        <v>3073</v>
      </c>
      <c r="B3074">
        <v>12</v>
      </c>
      <c r="C3074">
        <v>-16.27</v>
      </c>
      <c r="D3074">
        <v>12.51</v>
      </c>
      <c r="E3074">
        <f>-16.27-12.51</f>
        <v>-28.78</v>
      </c>
      <c r="F3074" t="s">
        <v>5165</v>
      </c>
      <c r="G3074" t="s">
        <v>39</v>
      </c>
      <c r="H3074">
        <v>2004</v>
      </c>
      <c r="I3074">
        <v>26.700000762939499</v>
      </c>
      <c r="J3074">
        <v>13.300000190734901</v>
      </c>
      <c r="K3074">
        <v>62</v>
      </c>
      <c r="L3074">
        <v>13</v>
      </c>
      <c r="M3074">
        <v>36.5</v>
      </c>
      <c r="N3074">
        <v>15.199999809265099</v>
      </c>
      <c r="O3074">
        <v>21.299999237060501</v>
      </c>
      <c r="P3074">
        <v>26.899999618530298</v>
      </c>
      <c r="Q3074">
        <v>25.600000381469702</v>
      </c>
      <c r="R3074">
        <v>28.100000381469702</v>
      </c>
      <c r="S3074">
        <v>24.700000762939499</v>
      </c>
      <c r="T3074">
        <v>1293</v>
      </c>
      <c r="U3074">
        <v>438</v>
      </c>
      <c r="V3074">
        <v>0</v>
      </c>
      <c r="W3074">
        <v>139</v>
      </c>
      <c r="X3074">
        <v>1064</v>
      </c>
      <c r="Y3074">
        <v>0</v>
      </c>
      <c r="Z3074">
        <v>109</v>
      </c>
      <c r="AA3074">
        <v>1</v>
      </c>
      <c r="AB3074">
        <v>9.0357144560132703</v>
      </c>
      <c r="AC3074">
        <v>1.419872281357E-2</v>
      </c>
      <c r="AD3074">
        <v>1.2497164584747</v>
      </c>
      <c r="AE3074">
        <v>0.25020480107794801</v>
      </c>
      <c r="AF3074">
        <v>21.909863945578198</v>
      </c>
      <c r="AG3074">
        <f>IFERROR(AH3074*0.1, "N/A")</f>
        <v>5.0435374149659902</v>
      </c>
      <c r="AH3074">
        <v>50.4353741496599</v>
      </c>
      <c r="AI3074">
        <v>229.48331290524001</v>
      </c>
      <c r="AJ3074">
        <v>24.5646258503401</v>
      </c>
      <c r="AK3074">
        <v>58.4353741496599</v>
      </c>
    </row>
    <row r="3075" spans="1:37" x14ac:dyDescent="0.3">
      <c r="A3075">
        <v>3074</v>
      </c>
      <c r="B3075">
        <v>10</v>
      </c>
      <c r="C3075">
        <v>-16.448899999999998</v>
      </c>
      <c r="D3075">
        <v>12.511699999999999</v>
      </c>
      <c r="E3075">
        <f>-16.4489-12.5117</f>
        <v>-28.960599999999999</v>
      </c>
      <c r="F3075" t="s">
        <v>5166</v>
      </c>
      <c r="G3075" t="s">
        <v>39</v>
      </c>
      <c r="H3075">
        <v>2004</v>
      </c>
      <c r="I3075">
        <v>26.5</v>
      </c>
      <c r="J3075">
        <v>12.800000190734901</v>
      </c>
      <c r="K3075">
        <v>62</v>
      </c>
      <c r="L3075">
        <v>12.6300001144409</v>
      </c>
      <c r="M3075">
        <v>35.900001525878899</v>
      </c>
      <c r="N3075">
        <v>15.5</v>
      </c>
      <c r="O3075">
        <v>20.399999618530298</v>
      </c>
      <c r="P3075">
        <v>26.600000381469702</v>
      </c>
      <c r="Q3075">
        <v>25.5</v>
      </c>
      <c r="R3075">
        <v>27.899999618530298</v>
      </c>
      <c r="S3075">
        <v>24.600000381469702</v>
      </c>
      <c r="T3075">
        <v>1282</v>
      </c>
      <c r="U3075">
        <v>440</v>
      </c>
      <c r="V3075">
        <v>0</v>
      </c>
      <c r="W3075">
        <v>142</v>
      </c>
      <c r="X3075">
        <v>1072</v>
      </c>
      <c r="Y3075">
        <v>0</v>
      </c>
      <c r="Z3075">
        <v>96</v>
      </c>
      <c r="AA3075">
        <v>1</v>
      </c>
      <c r="AB3075">
        <v>4.4279663037445598</v>
      </c>
      <c r="AC3075">
        <v>2.2966171930527999E-2</v>
      </c>
      <c r="AD3075">
        <v>1.2877082976244301</v>
      </c>
      <c r="AE3075">
        <v>0.34043899178504899</v>
      </c>
      <c r="AF3075">
        <v>8.8338983050847499</v>
      </c>
      <c r="AG3075">
        <f>IFERROR(AH3075*0.1, "N/A")</f>
        <v>5.95389830508475</v>
      </c>
      <c r="AH3075">
        <v>59.538983050847499</v>
      </c>
      <c r="AI3075">
        <v>272.44613730220499</v>
      </c>
      <c r="AJ3075">
        <v>27.030508474576301</v>
      </c>
      <c r="AK3075">
        <v>53.977966101694904</v>
      </c>
    </row>
    <row r="3076" spans="1:37" x14ac:dyDescent="0.3">
      <c r="A3076">
        <v>3075</v>
      </c>
      <c r="B3076">
        <v>15.8</v>
      </c>
      <c r="C3076">
        <v>-12.3817</v>
      </c>
      <c r="D3076">
        <v>12.513199999999999</v>
      </c>
      <c r="E3076">
        <f>-12.3817-12.5132</f>
        <v>-24.8949</v>
      </c>
      <c r="F3076" t="s">
        <v>5167</v>
      </c>
      <c r="G3076" t="s">
        <v>37</v>
      </c>
      <c r="H3076">
        <v>2008</v>
      </c>
      <c r="I3076">
        <v>28.100000381469702</v>
      </c>
      <c r="J3076">
        <v>13.1000003814697</v>
      </c>
      <c r="K3076">
        <v>57</v>
      </c>
      <c r="L3076">
        <v>23.600000381469702</v>
      </c>
      <c r="M3076">
        <v>39.599998474121101</v>
      </c>
      <c r="N3076">
        <v>16.899999618530298</v>
      </c>
      <c r="O3076">
        <v>22.700000762939499</v>
      </c>
      <c r="P3076">
        <v>26.5</v>
      </c>
      <c r="Q3076">
        <v>28.299999237060501</v>
      </c>
      <c r="R3076">
        <v>31.799999237060501</v>
      </c>
      <c r="S3076">
        <v>25.899999618530298</v>
      </c>
      <c r="T3076">
        <v>1236</v>
      </c>
      <c r="U3076">
        <v>328</v>
      </c>
      <c r="V3076">
        <v>0</v>
      </c>
      <c r="W3076">
        <v>117</v>
      </c>
      <c r="X3076">
        <v>878</v>
      </c>
      <c r="Y3076">
        <v>0</v>
      </c>
      <c r="Z3076">
        <v>58</v>
      </c>
      <c r="AA3076">
        <v>10</v>
      </c>
      <c r="AB3076">
        <v>17.163840651714501</v>
      </c>
      <c r="AC3076">
        <v>1.6952529802589999E-2</v>
      </c>
      <c r="AD3076">
        <v>3.4643839737353002</v>
      </c>
      <c r="AE3076">
        <v>0.52322289322349502</v>
      </c>
      <c r="AF3076">
        <v>141.88285229202</v>
      </c>
      <c r="AG3076">
        <f>IFERROR(AH3076*0.1, "N/A")</f>
        <v>6.3020373514431203</v>
      </c>
      <c r="AH3076">
        <v>63.020373514431199</v>
      </c>
      <c r="AI3076">
        <v>166.272600960853</v>
      </c>
      <c r="AJ3076">
        <v>23.3412563667233</v>
      </c>
      <c r="AK3076">
        <v>52.237691001697797</v>
      </c>
    </row>
    <row r="3077" spans="1:37" x14ac:dyDescent="0.3">
      <c r="A3077">
        <v>3076</v>
      </c>
      <c r="B3077">
        <v>0</v>
      </c>
      <c r="C3077">
        <v>-12.3817</v>
      </c>
      <c r="D3077">
        <v>12.513199999999999</v>
      </c>
      <c r="E3077">
        <f>-12.3817-12.5132</f>
        <v>-24.8949</v>
      </c>
      <c r="F3077" t="s">
        <v>5168</v>
      </c>
      <c r="G3077" t="s">
        <v>39</v>
      </c>
      <c r="H3077">
        <v>2008</v>
      </c>
      <c r="I3077">
        <v>28.100000381469702</v>
      </c>
      <c r="J3077">
        <v>13.1000003814697</v>
      </c>
      <c r="K3077">
        <v>57</v>
      </c>
      <c r="L3077">
        <v>23.600000381469702</v>
      </c>
      <c r="M3077">
        <v>39.599998474121101</v>
      </c>
      <c r="N3077">
        <v>16.899999618530298</v>
      </c>
      <c r="O3077">
        <v>22.700000762939499</v>
      </c>
      <c r="P3077">
        <v>26.5</v>
      </c>
      <c r="Q3077">
        <v>28.299999237060501</v>
      </c>
      <c r="R3077">
        <v>31.799999237060501</v>
      </c>
      <c r="S3077">
        <v>25.899999618530298</v>
      </c>
      <c r="T3077">
        <v>1236</v>
      </c>
      <c r="U3077">
        <v>328</v>
      </c>
      <c r="V3077">
        <v>0</v>
      </c>
      <c r="W3077">
        <v>117</v>
      </c>
      <c r="X3077">
        <v>878</v>
      </c>
      <c r="Y3077">
        <v>0</v>
      </c>
      <c r="Z3077">
        <v>58</v>
      </c>
      <c r="AA3077">
        <v>10</v>
      </c>
      <c r="AB3077">
        <v>17.163840651714501</v>
      </c>
      <c r="AC3077">
        <v>1.6952529802589999E-2</v>
      </c>
      <c r="AD3077">
        <v>3.4643839737353002</v>
      </c>
      <c r="AE3077">
        <v>0.52322289322349502</v>
      </c>
      <c r="AF3077">
        <v>141.88285229202</v>
      </c>
      <c r="AG3077">
        <f>IFERROR(AH3077*0.1, "N/A")</f>
        <v>6.3020373514431203</v>
      </c>
      <c r="AH3077">
        <v>63.020373514431199</v>
      </c>
      <c r="AI3077">
        <v>166.272600960853</v>
      </c>
      <c r="AJ3077">
        <v>23.3412563667233</v>
      </c>
      <c r="AK3077">
        <v>52.237691001697797</v>
      </c>
    </row>
    <row r="3078" spans="1:37" x14ac:dyDescent="0.3">
      <c r="A3078">
        <v>3077</v>
      </c>
      <c r="B3078">
        <v>22.700001</v>
      </c>
      <c r="C3078">
        <v>-12.3781</v>
      </c>
      <c r="D3078">
        <v>12.5158</v>
      </c>
      <c r="E3078">
        <f>-12.3781-12.5158</f>
        <v>-24.893900000000002</v>
      </c>
      <c r="F3078" t="s">
        <v>5169</v>
      </c>
      <c r="G3078" t="s">
        <v>39</v>
      </c>
      <c r="H3078">
        <v>2004</v>
      </c>
      <c r="I3078">
        <v>27.987755412147202</v>
      </c>
      <c r="J3078">
        <v>13.0625852727566</v>
      </c>
      <c r="K3078">
        <v>57.187074829932001</v>
      </c>
      <c r="L3078">
        <v>23.5102045487384</v>
      </c>
      <c r="M3078">
        <v>39.450338752902297</v>
      </c>
      <c r="N3078">
        <v>16.843877312277499</v>
      </c>
      <c r="O3078">
        <v>22.606463347973499</v>
      </c>
      <c r="P3078">
        <v>26.3877550306774</v>
      </c>
      <c r="Q3078">
        <v>28.187754624554898</v>
      </c>
      <c r="R3078">
        <v>31.6690470701983</v>
      </c>
      <c r="S3078">
        <v>25.787754649207699</v>
      </c>
      <c r="T3078">
        <v>1237.68367346939</v>
      </c>
      <c r="U3078">
        <v>328.37414965986397</v>
      </c>
      <c r="V3078">
        <v>0</v>
      </c>
      <c r="W3078">
        <v>117.187074829932</v>
      </c>
      <c r="X3078">
        <v>878.93537414965999</v>
      </c>
      <c r="Y3078">
        <v>0</v>
      </c>
      <c r="Z3078">
        <v>58.187074829932001</v>
      </c>
      <c r="AA3078">
        <v>10</v>
      </c>
      <c r="AB3078">
        <v>20.639278930871701</v>
      </c>
      <c r="AC3078">
        <v>4.2254056765692001E-2</v>
      </c>
      <c r="AD3078">
        <v>5.0080544826935798</v>
      </c>
      <c r="AE3078">
        <v>0.51024361350098402</v>
      </c>
      <c r="AF3078">
        <v>151.824829931973</v>
      </c>
      <c r="AG3078">
        <f>IFERROR(AH3078*0.1, "N/A")</f>
        <v>6.1032312925170107</v>
      </c>
      <c r="AH3078">
        <v>61.032312925170103</v>
      </c>
      <c r="AI3078">
        <v>143.897453178354</v>
      </c>
      <c r="AJ3078">
        <v>22.780612244897998</v>
      </c>
      <c r="AK3078">
        <v>53.187074829932001</v>
      </c>
    </row>
    <row r="3079" spans="1:37" x14ac:dyDescent="0.3">
      <c r="A3079">
        <v>3078</v>
      </c>
      <c r="B3079">
        <v>34</v>
      </c>
      <c r="C3079">
        <v>-16.385300000000001</v>
      </c>
      <c r="D3079">
        <v>12.5181</v>
      </c>
      <c r="E3079">
        <f>-16.3853-12.5181</f>
        <v>-28.903400000000001</v>
      </c>
      <c r="F3079" t="s">
        <v>5170</v>
      </c>
      <c r="G3079" t="s">
        <v>39</v>
      </c>
      <c r="H3079">
        <v>2004</v>
      </c>
      <c r="I3079">
        <v>26.600000381469702</v>
      </c>
      <c r="J3079">
        <v>13</v>
      </c>
      <c r="K3079">
        <v>62</v>
      </c>
      <c r="L3079">
        <v>12.449999809265099</v>
      </c>
      <c r="M3079">
        <v>36.099998474121101</v>
      </c>
      <c r="N3079">
        <v>15.3999996185303</v>
      </c>
      <c r="O3079">
        <v>20.700000762939499</v>
      </c>
      <c r="P3079">
        <v>26.799999237060501</v>
      </c>
      <c r="Q3079">
        <v>25.5</v>
      </c>
      <c r="R3079">
        <v>27.899999618530298</v>
      </c>
      <c r="S3079">
        <v>24.700000762939499</v>
      </c>
      <c r="T3079">
        <v>1285</v>
      </c>
      <c r="U3079">
        <v>438</v>
      </c>
      <c r="V3079">
        <v>0</v>
      </c>
      <c r="W3079">
        <v>140</v>
      </c>
      <c r="X3079">
        <v>1068</v>
      </c>
      <c r="Y3079">
        <v>0</v>
      </c>
      <c r="Z3079">
        <v>101</v>
      </c>
      <c r="AA3079">
        <v>1</v>
      </c>
      <c r="AB3079">
        <v>3.2850595087268402</v>
      </c>
      <c r="AC3079">
        <v>5.3705746918310003E-2</v>
      </c>
      <c r="AD3079">
        <v>1.4139010149270801</v>
      </c>
      <c r="AE3079">
        <v>0.24842518568038899</v>
      </c>
      <c r="AF3079">
        <v>14.393887945670601</v>
      </c>
      <c r="AG3079">
        <f>IFERROR(AH3079*0.1, "N/A")</f>
        <v>5.4594227504244506</v>
      </c>
      <c r="AH3079">
        <v>54.5942275042445</v>
      </c>
      <c r="AI3079">
        <v>128.346565583363</v>
      </c>
      <c r="AJ3079">
        <v>28.4550084889643</v>
      </c>
      <c r="AK3079">
        <v>55.108658743633299</v>
      </c>
    </row>
    <row r="3080" spans="1:37" x14ac:dyDescent="0.3">
      <c r="A3080">
        <v>3079</v>
      </c>
      <c r="B3080">
        <v>10</v>
      </c>
      <c r="C3080">
        <v>-16.426100000000002</v>
      </c>
      <c r="D3080">
        <v>12.519399999999999</v>
      </c>
      <c r="E3080">
        <f>-16.4261-12.5194</f>
        <v>-28.945500000000003</v>
      </c>
      <c r="F3080" t="s">
        <v>5171</v>
      </c>
      <c r="G3080" t="s">
        <v>39</v>
      </c>
      <c r="H3080">
        <v>2004</v>
      </c>
      <c r="I3080">
        <v>26.600000381469702</v>
      </c>
      <c r="J3080">
        <v>12.8999996185303</v>
      </c>
      <c r="K3080">
        <v>62</v>
      </c>
      <c r="L3080">
        <v>12.9099998474121</v>
      </c>
      <c r="M3080">
        <v>36</v>
      </c>
      <c r="N3080">
        <v>15.3999996185303</v>
      </c>
      <c r="O3080">
        <v>20.600000381469702</v>
      </c>
      <c r="P3080">
        <v>26.700000762939499</v>
      </c>
      <c r="Q3080">
        <v>25.399999618530298</v>
      </c>
      <c r="R3080">
        <v>27.899999618530298</v>
      </c>
      <c r="S3080">
        <v>24.5</v>
      </c>
      <c r="T3080">
        <v>1279</v>
      </c>
      <c r="U3080">
        <v>438</v>
      </c>
      <c r="V3080">
        <v>0</v>
      </c>
      <c r="W3080">
        <v>141</v>
      </c>
      <c r="X3080">
        <v>1067</v>
      </c>
      <c r="Y3080">
        <v>0</v>
      </c>
      <c r="Z3080">
        <v>98</v>
      </c>
      <c r="AA3080">
        <v>1</v>
      </c>
      <c r="AB3080">
        <v>2.7437820836673201</v>
      </c>
      <c r="AC3080">
        <v>1.5602002996043999E-2</v>
      </c>
      <c r="AD3080">
        <v>2.1651533163791998</v>
      </c>
      <c r="AE3080">
        <v>0.26214709877967801</v>
      </c>
      <c r="AF3080">
        <v>10.504258943781901</v>
      </c>
      <c r="AG3080">
        <f>IFERROR(AH3080*0.1, "N/A")</f>
        <v>5.2</v>
      </c>
      <c r="AH3080">
        <v>52</v>
      </c>
      <c r="AI3080">
        <v>156.41778453326501</v>
      </c>
      <c r="AJ3080">
        <v>25</v>
      </c>
      <c r="AK3080">
        <v>55.189097103918201</v>
      </c>
    </row>
    <row r="3081" spans="1:37" x14ac:dyDescent="0.3">
      <c r="A3081">
        <v>3080</v>
      </c>
      <c r="B3081">
        <v>52</v>
      </c>
      <c r="C3081">
        <v>-11.578099999999999</v>
      </c>
      <c r="D3081">
        <v>12.524100000000001</v>
      </c>
      <c r="E3081">
        <f>-11.5781-12.5241</f>
        <v>-24.1022</v>
      </c>
      <c r="F3081" t="s">
        <v>5172</v>
      </c>
      <c r="G3081" t="s">
        <v>39</v>
      </c>
      <c r="H3081">
        <v>2003</v>
      </c>
      <c r="I3081">
        <v>28.299999237060501</v>
      </c>
      <c r="J3081">
        <v>13</v>
      </c>
      <c r="K3081">
        <v>56</v>
      </c>
      <c r="L3081">
        <v>22.860000610351602</v>
      </c>
      <c r="M3081">
        <v>39.599998474121101</v>
      </c>
      <c r="N3081">
        <v>16.700000762939499</v>
      </c>
      <c r="O3081">
        <v>22.899999618530298</v>
      </c>
      <c r="P3081">
        <v>26.700000762939499</v>
      </c>
      <c r="Q3081">
        <v>28.5</v>
      </c>
      <c r="R3081">
        <v>31.799999237060501</v>
      </c>
      <c r="S3081">
        <v>26.100000381469702</v>
      </c>
      <c r="T3081">
        <v>1179</v>
      </c>
      <c r="U3081">
        <v>333</v>
      </c>
      <c r="V3081">
        <v>0</v>
      </c>
      <c r="W3081">
        <v>120</v>
      </c>
      <c r="X3081">
        <v>853</v>
      </c>
      <c r="Y3081">
        <v>0</v>
      </c>
      <c r="Z3081">
        <v>59</v>
      </c>
      <c r="AA3081">
        <v>7</v>
      </c>
      <c r="AB3081">
        <v>5.1722786053508303</v>
      </c>
      <c r="AC3081">
        <v>4.1940743523352003E-2</v>
      </c>
      <c r="AD3081">
        <v>2.3443966903248601</v>
      </c>
      <c r="AE3081">
        <v>0.157403379678726</v>
      </c>
      <c r="AF3081">
        <v>135.215986394558</v>
      </c>
      <c r="AG3081">
        <f>IFERROR(AH3081*0.1, "N/A")</f>
        <v>6.2641156462585004</v>
      </c>
      <c r="AH3081">
        <v>62.641156462585002</v>
      </c>
      <c r="AI3081">
        <v>88.976371242886501</v>
      </c>
      <c r="AJ3081">
        <v>32.336734693877602</v>
      </c>
      <c r="AK3081">
        <v>38.988095238095198</v>
      </c>
    </row>
    <row r="3082" spans="1:37" x14ac:dyDescent="0.3">
      <c r="A3082">
        <v>3081</v>
      </c>
      <c r="B3082">
        <v>54</v>
      </c>
      <c r="C3082">
        <v>-16.465599000000001</v>
      </c>
      <c r="D3082">
        <v>12.526899999999999</v>
      </c>
      <c r="E3082">
        <f>-16.465599-12.5269</f>
        <v>-28.992499000000002</v>
      </c>
      <c r="F3082" t="s">
        <v>5173</v>
      </c>
      <c r="G3082" t="s">
        <v>39</v>
      </c>
      <c r="H3082">
        <v>2004</v>
      </c>
      <c r="I3082">
        <v>26.600000381469702</v>
      </c>
      <c r="J3082">
        <v>12.800000190734901</v>
      </c>
      <c r="K3082">
        <v>62</v>
      </c>
      <c r="L3082">
        <v>12.3900003433228</v>
      </c>
      <c r="M3082">
        <v>35.900001525878899</v>
      </c>
      <c r="N3082">
        <v>15.5</v>
      </c>
      <c r="O3082">
        <v>20.399999618530298</v>
      </c>
      <c r="P3082">
        <v>26.700000762939499</v>
      </c>
      <c r="Q3082">
        <v>25.5</v>
      </c>
      <c r="R3082">
        <v>27.799999237060501</v>
      </c>
      <c r="S3082">
        <v>24.600000381469702</v>
      </c>
      <c r="T3082">
        <v>1269</v>
      </c>
      <c r="U3082">
        <v>437</v>
      </c>
      <c r="V3082">
        <v>0</v>
      </c>
      <c r="W3082">
        <v>142</v>
      </c>
      <c r="X3082">
        <v>1063</v>
      </c>
      <c r="Y3082">
        <v>0</v>
      </c>
      <c r="Z3082">
        <v>95</v>
      </c>
      <c r="AA3082">
        <v>1</v>
      </c>
      <c r="AB3082">
        <v>3.52801343864415</v>
      </c>
      <c r="AC3082">
        <v>8.8585516997630002E-3</v>
      </c>
      <c r="AD3082">
        <v>1.4055544963716899</v>
      </c>
      <c r="AE3082">
        <v>0.426699489355087</v>
      </c>
      <c r="AF3082">
        <v>11.0594227504244</v>
      </c>
      <c r="AG3082">
        <f>IFERROR(AH3082*0.1, "N/A")</f>
        <v>5.4994906621392197</v>
      </c>
      <c r="AH3082">
        <v>54.994906621392197</v>
      </c>
      <c r="AI3082">
        <v>232.721485597776</v>
      </c>
      <c r="AJ3082">
        <v>23.006791171477101</v>
      </c>
      <c r="AK3082">
        <v>56.994906621392197</v>
      </c>
    </row>
    <row r="3083" spans="1:37" x14ac:dyDescent="0.3">
      <c r="A3083">
        <v>3082</v>
      </c>
      <c r="B3083">
        <v>14</v>
      </c>
      <c r="C3083">
        <v>-16.350000000000001</v>
      </c>
      <c r="D3083">
        <v>12.533300000000001</v>
      </c>
      <c r="E3083">
        <f>-16.35-12.5333</f>
        <v>-28.883300000000002</v>
      </c>
      <c r="F3083" t="s">
        <v>5174</v>
      </c>
      <c r="G3083" t="s">
        <v>39</v>
      </c>
      <c r="H3083">
        <v>2004</v>
      </c>
      <c r="I3083">
        <v>26.600000381469702</v>
      </c>
      <c r="J3083">
        <v>13.1859320931515</v>
      </c>
      <c r="K3083">
        <v>62.859322033898302</v>
      </c>
      <c r="L3083">
        <v>12.542881192999401</v>
      </c>
      <c r="M3083">
        <v>36.200000762939503</v>
      </c>
      <c r="N3083">
        <v>15.3140679068485</v>
      </c>
      <c r="O3083">
        <v>20.885931768255698</v>
      </c>
      <c r="P3083">
        <v>26.700000762939499</v>
      </c>
      <c r="Q3083">
        <v>25.5140678502746</v>
      </c>
      <c r="R3083">
        <v>27.899999618530298</v>
      </c>
      <c r="S3083">
        <v>24.634068308038199</v>
      </c>
      <c r="T3083">
        <v>1283.1254237288099</v>
      </c>
      <c r="U3083">
        <v>435.48135593220297</v>
      </c>
      <c r="V3083">
        <v>0</v>
      </c>
      <c r="W3083">
        <v>139.518644067797</v>
      </c>
      <c r="X3083">
        <v>1062.0728813559299</v>
      </c>
      <c r="Y3083">
        <v>0</v>
      </c>
      <c r="Z3083">
        <v>104.71186440677999</v>
      </c>
      <c r="AA3083">
        <v>1</v>
      </c>
      <c r="AB3083">
        <v>1.8655928805723001</v>
      </c>
      <c r="AC3083">
        <v>6.4351665206505995E-2</v>
      </c>
      <c r="AD3083">
        <v>1.1463188065310601</v>
      </c>
      <c r="AE3083">
        <v>0.26999112963676503</v>
      </c>
      <c r="AF3083">
        <v>19.308474576271198</v>
      </c>
      <c r="AG3083">
        <f>IFERROR(AH3083*0.1, "N/A")</f>
        <v>5.1711864406779711</v>
      </c>
      <c r="AH3083">
        <v>51.711864406779704</v>
      </c>
      <c r="AI3083">
        <v>215.35605211419599</v>
      </c>
      <c r="AJ3083">
        <v>25.5762711864407</v>
      </c>
      <c r="AK3083">
        <v>56</v>
      </c>
    </row>
    <row r="3084" spans="1:37" x14ac:dyDescent="0.3">
      <c r="A3084">
        <v>3083</v>
      </c>
      <c r="B3084">
        <v>71</v>
      </c>
      <c r="C3084">
        <v>-16.468</v>
      </c>
      <c r="D3084">
        <v>12.534000000000001</v>
      </c>
      <c r="E3084">
        <f>-16.468-12.534</f>
        <v>-29.002000000000002</v>
      </c>
      <c r="F3084" t="s">
        <v>5175</v>
      </c>
      <c r="G3084" t="s">
        <v>39</v>
      </c>
      <c r="H3084">
        <v>1987</v>
      </c>
      <c r="I3084">
        <v>26.600000381469702</v>
      </c>
      <c r="J3084">
        <v>12.7982966067235</v>
      </c>
      <c r="K3084">
        <v>62.982964224872198</v>
      </c>
      <c r="L3084">
        <v>12.5017035840114</v>
      </c>
      <c r="M3084">
        <v>35.801702853565097</v>
      </c>
      <c r="N3084">
        <v>15.5</v>
      </c>
      <c r="O3084">
        <v>20.301702821071999</v>
      </c>
      <c r="P3084">
        <v>26.700000762939499</v>
      </c>
      <c r="Q3084">
        <v>25.399999618530298</v>
      </c>
      <c r="R3084">
        <v>27.799999237060501</v>
      </c>
      <c r="S3084">
        <v>24.600000381469702</v>
      </c>
      <c r="T3084">
        <v>1262.06814310051</v>
      </c>
      <c r="U3084">
        <v>436.01703577512802</v>
      </c>
      <c r="V3084">
        <v>0</v>
      </c>
      <c r="W3084">
        <v>141.01703577512799</v>
      </c>
      <c r="X3084">
        <v>1058.0511073253799</v>
      </c>
      <c r="Y3084">
        <v>0</v>
      </c>
      <c r="Z3084">
        <v>94</v>
      </c>
      <c r="AA3084">
        <v>1</v>
      </c>
      <c r="AB3084">
        <v>1.3425894545127799</v>
      </c>
      <c r="AC3084">
        <v>2.4446977768887001E-2</v>
      </c>
      <c r="AD3084">
        <v>1.9463808849276201</v>
      </c>
      <c r="AE3084">
        <v>0.34962826449379603</v>
      </c>
      <c r="AF3084">
        <v>5.8466780238500897</v>
      </c>
      <c r="AG3084">
        <f>IFERROR(AH3084*0.1, "N/A")</f>
        <v>5.7311754684838201</v>
      </c>
      <c r="AH3084">
        <v>57.311754684838199</v>
      </c>
      <c r="AI3084">
        <v>212.95344156138501</v>
      </c>
      <c r="AJ3084">
        <v>23.3577512776831</v>
      </c>
      <c r="AK3084">
        <v>56.688245315161801</v>
      </c>
    </row>
    <row r="3085" spans="1:37" x14ac:dyDescent="0.3">
      <c r="A3085">
        <v>3084</v>
      </c>
      <c r="B3085">
        <v>0</v>
      </c>
      <c r="C3085">
        <v>-16.251698999999999</v>
      </c>
      <c r="D3085">
        <v>12.5372</v>
      </c>
      <c r="E3085">
        <f>-16.251699-12.5372</f>
        <v>-28.788899000000001</v>
      </c>
      <c r="F3085" t="s">
        <v>5176</v>
      </c>
      <c r="G3085" t="s">
        <v>39</v>
      </c>
      <c r="H3085">
        <v>2004</v>
      </c>
      <c r="I3085">
        <v>26.700000762939499</v>
      </c>
      <c r="J3085">
        <v>13.3999996185303</v>
      </c>
      <c r="K3085">
        <v>62</v>
      </c>
      <c r="L3085">
        <v>12.949999809265099</v>
      </c>
      <c r="M3085">
        <v>36.599998474121101</v>
      </c>
      <c r="N3085">
        <v>15.199999809265099</v>
      </c>
      <c r="O3085">
        <v>21.399999618530298</v>
      </c>
      <c r="P3085">
        <v>26.799999237060501</v>
      </c>
      <c r="Q3085">
        <v>25.600000381469702</v>
      </c>
      <c r="R3085">
        <v>28</v>
      </c>
      <c r="S3085">
        <v>24.700000762939499</v>
      </c>
      <c r="T3085">
        <v>1277</v>
      </c>
      <c r="U3085">
        <v>433</v>
      </c>
      <c r="V3085">
        <v>0</v>
      </c>
      <c r="W3085">
        <v>139</v>
      </c>
      <c r="X3085">
        <v>1052</v>
      </c>
      <c r="Y3085">
        <v>0</v>
      </c>
      <c r="Z3085">
        <v>108</v>
      </c>
      <c r="AA3085">
        <v>1</v>
      </c>
      <c r="AB3085">
        <v>15.6061017618341</v>
      </c>
      <c r="AC3085">
        <v>3.2373294354243E-2</v>
      </c>
      <c r="AD3085">
        <v>1.3609439140659301</v>
      </c>
      <c r="AE3085">
        <v>0.29411050793478</v>
      </c>
      <c r="AF3085">
        <v>19.935593220339001</v>
      </c>
      <c r="AG3085">
        <f>IFERROR(AH3085*0.1, "N/A")</f>
        <v>5.3606779661016901</v>
      </c>
      <c r="AH3085">
        <v>53.606779661016901</v>
      </c>
      <c r="AI3085">
        <v>28.592053925788999</v>
      </c>
      <c r="AJ3085">
        <v>25.842372881355899</v>
      </c>
      <c r="AK3085">
        <v>57.922033898305102</v>
      </c>
    </row>
    <row r="3086" spans="1:37" x14ac:dyDescent="0.3">
      <c r="A3086">
        <v>3085</v>
      </c>
      <c r="B3086">
        <v>4</v>
      </c>
      <c r="C3086">
        <v>-16.209399999999999</v>
      </c>
      <c r="D3086">
        <v>12.5381</v>
      </c>
      <c r="E3086">
        <f>-16.2094-12.5381</f>
        <v>-28.747499999999999</v>
      </c>
      <c r="F3086" t="s">
        <v>5177</v>
      </c>
      <c r="G3086" t="s">
        <v>39</v>
      </c>
      <c r="H3086">
        <v>2004</v>
      </c>
      <c r="I3086">
        <v>26.700000762939499</v>
      </c>
      <c r="J3086">
        <v>13.3999996185303</v>
      </c>
      <c r="K3086">
        <v>62</v>
      </c>
      <c r="L3086">
        <v>12.9899997711182</v>
      </c>
      <c r="M3086">
        <v>36.700000762939503</v>
      </c>
      <c r="N3086">
        <v>15.300000190734901</v>
      </c>
      <c r="O3086">
        <v>21.399999618530298</v>
      </c>
      <c r="P3086">
        <v>26.799999237060501</v>
      </c>
      <c r="Q3086">
        <v>25.700000762939499</v>
      </c>
      <c r="R3086">
        <v>28.100000381469702</v>
      </c>
      <c r="S3086">
        <v>24.799999237060501</v>
      </c>
      <c r="T3086">
        <v>1280</v>
      </c>
      <c r="U3086">
        <v>436</v>
      </c>
      <c r="V3086">
        <v>0</v>
      </c>
      <c r="W3086">
        <v>139</v>
      </c>
      <c r="X3086">
        <v>1052</v>
      </c>
      <c r="Y3086">
        <v>0</v>
      </c>
      <c r="Z3086">
        <v>109</v>
      </c>
      <c r="AA3086">
        <v>1</v>
      </c>
      <c r="AB3086">
        <v>6.2437499729362704</v>
      </c>
      <c r="AC3086">
        <v>3.4970871805264002E-2</v>
      </c>
      <c r="AD3086">
        <v>3.1437618911669101</v>
      </c>
      <c r="AE3086">
        <v>0.26838040351867698</v>
      </c>
      <c r="AF3086">
        <v>12.8496621621622</v>
      </c>
      <c r="AG3086">
        <f>IFERROR(AH3086*0.1, "N/A")</f>
        <v>5.5891891891891907</v>
      </c>
      <c r="AH3086">
        <v>55.891891891891902</v>
      </c>
      <c r="AI3086">
        <v>185.44168821541001</v>
      </c>
      <c r="AJ3086">
        <v>27.1554054054054</v>
      </c>
      <c r="AK3086">
        <v>52.101351351351397</v>
      </c>
    </row>
    <row r="3087" spans="1:37" x14ac:dyDescent="0.3">
      <c r="A3087">
        <v>3086</v>
      </c>
      <c r="B3087">
        <v>14.8</v>
      </c>
      <c r="C3087">
        <v>-12.3797</v>
      </c>
      <c r="D3087">
        <v>12.5383</v>
      </c>
      <c r="E3087">
        <f>-12.3797-12.5383</f>
        <v>-24.917999999999999</v>
      </c>
      <c r="F3087" t="s">
        <v>5178</v>
      </c>
      <c r="G3087" t="s">
        <v>37</v>
      </c>
      <c r="H3087">
        <v>2008</v>
      </c>
      <c r="I3087">
        <v>27.200000762939499</v>
      </c>
      <c r="J3087">
        <v>12.800000190734901</v>
      </c>
      <c r="K3087">
        <v>57</v>
      </c>
      <c r="L3087">
        <v>23.129999160766602</v>
      </c>
      <c r="M3087">
        <v>38.5</v>
      </c>
      <c r="N3087">
        <v>16.399999618530298</v>
      </c>
      <c r="O3087">
        <v>22.100000381469702</v>
      </c>
      <c r="P3087">
        <v>25.600000381469702</v>
      </c>
      <c r="Q3087">
        <v>27.5</v>
      </c>
      <c r="R3087">
        <v>30.799999237060501</v>
      </c>
      <c r="S3087">
        <v>25.100000381469702</v>
      </c>
      <c r="T3087">
        <v>1244</v>
      </c>
      <c r="U3087">
        <v>331</v>
      </c>
      <c r="V3087">
        <v>0</v>
      </c>
      <c r="W3087">
        <v>118</v>
      </c>
      <c r="X3087">
        <v>882</v>
      </c>
      <c r="Y3087">
        <v>0</v>
      </c>
      <c r="Z3087">
        <v>59</v>
      </c>
      <c r="AA3087">
        <v>10</v>
      </c>
      <c r="AB3087">
        <v>6.8201015543897103</v>
      </c>
      <c r="AC3087">
        <v>0.80375609199756004</v>
      </c>
      <c r="AD3087">
        <v>7.7295809230771901</v>
      </c>
      <c r="AE3087">
        <v>0.50169420242309604</v>
      </c>
      <c r="AF3087">
        <v>256.332197614991</v>
      </c>
      <c r="AG3087">
        <f>IFERROR(AH3087*0.1, "N/A")</f>
        <v>5.8787052810902907</v>
      </c>
      <c r="AH3087">
        <v>58.7870528109029</v>
      </c>
      <c r="AI3087">
        <v>167.90681547119399</v>
      </c>
      <c r="AJ3087">
        <v>26</v>
      </c>
      <c r="AK3087">
        <v>49.7870528109029</v>
      </c>
    </row>
    <row r="3088" spans="1:37" x14ac:dyDescent="0.3">
      <c r="A3088">
        <v>3087</v>
      </c>
      <c r="B3088">
        <v>3.7</v>
      </c>
      <c r="C3088">
        <v>-12.3797</v>
      </c>
      <c r="D3088">
        <v>12.5383</v>
      </c>
      <c r="E3088">
        <f>-12.3797-12.5383</f>
        <v>-24.917999999999999</v>
      </c>
      <c r="F3088" t="s">
        <v>5179</v>
      </c>
      <c r="G3088" t="s">
        <v>39</v>
      </c>
      <c r="H3088">
        <v>2008</v>
      </c>
      <c r="I3088">
        <v>27.200000762939499</v>
      </c>
      <c r="J3088">
        <v>12.800000190734901</v>
      </c>
      <c r="K3088">
        <v>57</v>
      </c>
      <c r="L3088">
        <v>23.129999160766602</v>
      </c>
      <c r="M3088">
        <v>38.5</v>
      </c>
      <c r="N3088">
        <v>16.399999618530298</v>
      </c>
      <c r="O3088">
        <v>22.100000381469702</v>
      </c>
      <c r="P3088">
        <v>25.600000381469702</v>
      </c>
      <c r="Q3088">
        <v>27.5</v>
      </c>
      <c r="R3088">
        <v>30.799999237060501</v>
      </c>
      <c r="S3088">
        <v>25.100000381469702</v>
      </c>
      <c r="T3088">
        <v>1244</v>
      </c>
      <c r="U3088">
        <v>331</v>
      </c>
      <c r="V3088">
        <v>0</v>
      </c>
      <c r="W3088">
        <v>118</v>
      </c>
      <c r="X3088">
        <v>882</v>
      </c>
      <c r="Y3088">
        <v>0</v>
      </c>
      <c r="Z3088">
        <v>59</v>
      </c>
      <c r="AA3088">
        <v>10</v>
      </c>
      <c r="AB3088">
        <v>6.8201015543897103</v>
      </c>
      <c r="AC3088">
        <v>0.80375609199756004</v>
      </c>
      <c r="AD3088">
        <v>7.7295809230771901</v>
      </c>
      <c r="AE3088">
        <v>0.50169420242309604</v>
      </c>
      <c r="AF3088">
        <v>256.332197614991</v>
      </c>
      <c r="AG3088">
        <f>IFERROR(AH3088*0.1, "N/A")</f>
        <v>5.8787052810902907</v>
      </c>
      <c r="AH3088">
        <v>58.7870528109029</v>
      </c>
      <c r="AI3088">
        <v>167.90681547119399</v>
      </c>
      <c r="AJ3088">
        <v>26</v>
      </c>
      <c r="AK3088">
        <v>49.7870528109029</v>
      </c>
    </row>
    <row r="3089" spans="1:37" x14ac:dyDescent="0.3">
      <c r="A3089">
        <v>3088</v>
      </c>
      <c r="B3089">
        <v>14</v>
      </c>
      <c r="C3089">
        <v>-12.310600000000001</v>
      </c>
      <c r="D3089">
        <v>12.5387</v>
      </c>
      <c r="E3089">
        <f>-12.3106-12.5387</f>
        <v>-24.849299999999999</v>
      </c>
      <c r="F3089" t="s">
        <v>5180</v>
      </c>
      <c r="G3089" t="s">
        <v>39</v>
      </c>
      <c r="H3089">
        <v>2003</v>
      </c>
      <c r="I3089">
        <v>28.100000381469702</v>
      </c>
      <c r="J3089">
        <v>13.1000003814697</v>
      </c>
      <c r="K3089">
        <v>57</v>
      </c>
      <c r="L3089">
        <v>23.709999084472699</v>
      </c>
      <c r="M3089">
        <v>39.599998474121101</v>
      </c>
      <c r="N3089">
        <v>16.899999618530298</v>
      </c>
      <c r="O3089">
        <v>22.700000762939499</v>
      </c>
      <c r="P3089">
        <v>26.399999618530298</v>
      </c>
      <c r="Q3089">
        <v>28.399999618530298</v>
      </c>
      <c r="R3089">
        <v>31.799999237060501</v>
      </c>
      <c r="S3089">
        <v>25.899999618530298</v>
      </c>
      <c r="T3089">
        <v>1224</v>
      </c>
      <c r="U3089">
        <v>324</v>
      </c>
      <c r="V3089">
        <v>0</v>
      </c>
      <c r="W3089">
        <v>117</v>
      </c>
      <c r="X3089">
        <v>871</v>
      </c>
      <c r="Y3089">
        <v>0</v>
      </c>
      <c r="Z3089">
        <v>57</v>
      </c>
      <c r="AA3089">
        <v>9</v>
      </c>
      <c r="AB3089">
        <v>20.1837044992755</v>
      </c>
      <c r="AC3089">
        <v>8.3479295296560001E-3</v>
      </c>
      <c r="AD3089">
        <v>1.27499522073969</v>
      </c>
      <c r="AE3089">
        <v>0.33038634061813399</v>
      </c>
      <c r="AF3089">
        <v>161.30899830220699</v>
      </c>
      <c r="AG3089">
        <f>IFERROR(AH3089*0.1, "N/A")</f>
        <v>6.2366723259762304</v>
      </c>
      <c r="AH3089">
        <v>62.366723259762303</v>
      </c>
      <c r="AI3089">
        <v>211.173705432937</v>
      </c>
      <c r="AJ3089">
        <v>23.9609507640068</v>
      </c>
      <c r="AK3089">
        <v>51.837011884550101</v>
      </c>
    </row>
    <row r="3090" spans="1:37" x14ac:dyDescent="0.3">
      <c r="A3090">
        <v>3089</v>
      </c>
      <c r="B3090">
        <v>0</v>
      </c>
      <c r="C3090">
        <v>-12.307700000000001</v>
      </c>
      <c r="D3090">
        <v>12.5406</v>
      </c>
      <c r="E3090">
        <f>-12.3077-12.5406</f>
        <v>-24.848300000000002</v>
      </c>
      <c r="F3090" t="s">
        <v>5181</v>
      </c>
      <c r="G3090" t="s">
        <v>39</v>
      </c>
      <c r="H3090">
        <v>1996</v>
      </c>
      <c r="I3090">
        <v>28.200000762939499</v>
      </c>
      <c r="J3090">
        <v>13.1000003814697</v>
      </c>
      <c r="K3090">
        <v>57</v>
      </c>
      <c r="L3090">
        <v>23.6377583230088</v>
      </c>
      <c r="M3090">
        <v>39.701868306598797</v>
      </c>
      <c r="N3090">
        <v>16.903734777091099</v>
      </c>
      <c r="O3090">
        <v>22.798131693401199</v>
      </c>
      <c r="P3090">
        <v>26.5</v>
      </c>
      <c r="Q3090">
        <v>28.5</v>
      </c>
      <c r="R3090">
        <v>31.801866816341001</v>
      </c>
      <c r="S3090">
        <v>26.0018675792804</v>
      </c>
      <c r="T3090">
        <v>1223.94397283531</v>
      </c>
      <c r="U3090">
        <v>323.98132427843802</v>
      </c>
      <c r="V3090">
        <v>0</v>
      </c>
      <c r="W3090">
        <v>117.018675721562</v>
      </c>
      <c r="X3090">
        <v>870.98132427843802</v>
      </c>
      <c r="Y3090">
        <v>0</v>
      </c>
      <c r="Z3090">
        <v>57</v>
      </c>
      <c r="AA3090">
        <v>9</v>
      </c>
      <c r="AB3090">
        <v>17.583700286917001</v>
      </c>
      <c r="AC3090">
        <v>2.4292542388843E-2</v>
      </c>
      <c r="AD3090">
        <v>1.6530080954773501</v>
      </c>
      <c r="AE3090">
        <v>0.26224031761061001</v>
      </c>
      <c r="AF3090">
        <v>152.72156196943999</v>
      </c>
      <c r="AG3090">
        <f>IFERROR(AH3090*0.1, "N/A")</f>
        <v>6.3767402376910001</v>
      </c>
      <c r="AH3090">
        <v>63.767402376909999</v>
      </c>
      <c r="AI3090">
        <v>81.315350404619593</v>
      </c>
      <c r="AJ3090">
        <v>24</v>
      </c>
      <c r="AK3090">
        <v>52</v>
      </c>
    </row>
    <row r="3091" spans="1:37" x14ac:dyDescent="0.3">
      <c r="A3091">
        <v>3090</v>
      </c>
      <c r="B3091">
        <v>0</v>
      </c>
      <c r="C3091">
        <v>-12.307700000000001</v>
      </c>
      <c r="D3091">
        <v>12.5406</v>
      </c>
      <c r="E3091">
        <f>-12.3077-12.5406</f>
        <v>-24.848300000000002</v>
      </c>
      <c r="F3091" t="s">
        <v>5182</v>
      </c>
      <c r="G3091" t="s">
        <v>37</v>
      </c>
      <c r="H3091">
        <v>1996</v>
      </c>
      <c r="I3091">
        <v>28.200000762939499</v>
      </c>
      <c r="J3091">
        <v>13.1000003814697</v>
      </c>
      <c r="K3091">
        <v>57</v>
      </c>
      <c r="L3091">
        <v>23.6377583230088</v>
      </c>
      <c r="M3091">
        <v>39.701868306598797</v>
      </c>
      <c r="N3091">
        <v>16.903734777091099</v>
      </c>
      <c r="O3091">
        <v>22.798131693401199</v>
      </c>
      <c r="P3091">
        <v>26.5</v>
      </c>
      <c r="Q3091">
        <v>28.5</v>
      </c>
      <c r="R3091">
        <v>31.801866816341001</v>
      </c>
      <c r="S3091">
        <v>26.0018675792804</v>
      </c>
      <c r="T3091">
        <v>1223.94397283531</v>
      </c>
      <c r="U3091">
        <v>323.98132427843802</v>
      </c>
      <c r="V3091">
        <v>0</v>
      </c>
      <c r="W3091">
        <v>117.018675721562</v>
      </c>
      <c r="X3091">
        <v>870.98132427843802</v>
      </c>
      <c r="Y3091">
        <v>0</v>
      </c>
      <c r="Z3091">
        <v>57</v>
      </c>
      <c r="AA3091">
        <v>9</v>
      </c>
      <c r="AB3091">
        <v>17.583700286917001</v>
      </c>
      <c r="AC3091">
        <v>2.4292542388843E-2</v>
      </c>
      <c r="AD3091">
        <v>1.6530080954773501</v>
      </c>
      <c r="AE3091">
        <v>0.26224031761061001</v>
      </c>
      <c r="AF3091">
        <v>152.72156196943999</v>
      </c>
      <c r="AG3091">
        <f>IFERROR(AH3091*0.1, "N/A")</f>
        <v>6.3767402376910001</v>
      </c>
      <c r="AH3091">
        <v>63.767402376909999</v>
      </c>
      <c r="AI3091">
        <v>81.315350404619593</v>
      </c>
      <c r="AJ3091">
        <v>24</v>
      </c>
      <c r="AK3091">
        <v>52</v>
      </c>
    </row>
    <row r="3092" spans="1:37" x14ac:dyDescent="0.3">
      <c r="A3092">
        <v>3091</v>
      </c>
      <c r="B3092">
        <v>0</v>
      </c>
      <c r="C3092">
        <v>-16.278099000000001</v>
      </c>
      <c r="D3092">
        <v>12.545</v>
      </c>
      <c r="E3092">
        <f>-16.278099-12.545</f>
        <v>-28.823098999999999</v>
      </c>
      <c r="F3092" t="s">
        <v>5183</v>
      </c>
      <c r="G3092" t="s">
        <v>39</v>
      </c>
      <c r="H3092">
        <v>2004</v>
      </c>
      <c r="I3092">
        <v>26.700000762939499</v>
      </c>
      <c r="J3092">
        <v>13.3999996185303</v>
      </c>
      <c r="K3092">
        <v>62</v>
      </c>
      <c r="L3092">
        <v>12.8999996185303</v>
      </c>
      <c r="M3092">
        <v>36.599998474121101</v>
      </c>
      <c r="N3092">
        <v>15.199999809265099</v>
      </c>
      <c r="O3092">
        <v>21.399999618530298</v>
      </c>
      <c r="P3092">
        <v>26.799999237060501</v>
      </c>
      <c r="Q3092">
        <v>25.700000762939499</v>
      </c>
      <c r="R3092">
        <v>28</v>
      </c>
      <c r="S3092">
        <v>24.700000762939499</v>
      </c>
      <c r="T3092">
        <v>1277</v>
      </c>
      <c r="U3092">
        <v>432</v>
      </c>
      <c r="V3092">
        <v>0</v>
      </c>
      <c r="W3092">
        <v>139</v>
      </c>
      <c r="X3092">
        <v>1053</v>
      </c>
      <c r="Y3092">
        <v>0</v>
      </c>
      <c r="Z3092">
        <v>108</v>
      </c>
      <c r="AA3092">
        <v>1</v>
      </c>
      <c r="AB3092">
        <v>6.0190151389466902</v>
      </c>
      <c r="AC3092">
        <v>9.5197737079386002E-2</v>
      </c>
      <c r="AD3092">
        <v>1.14707354637075</v>
      </c>
      <c r="AE3092">
        <v>0.70019292831420898</v>
      </c>
      <c r="AF3092">
        <v>20.539898132427801</v>
      </c>
      <c r="AG3092">
        <f>IFERROR(AH3092*0.1, "N/A")</f>
        <v>5.0538200339558603</v>
      </c>
      <c r="AH3092">
        <v>50.5382003395586</v>
      </c>
      <c r="AI3092">
        <v>116.56805889472901</v>
      </c>
      <c r="AJ3092">
        <v>19.096774193548399</v>
      </c>
      <c r="AK3092">
        <v>61.964346349745298</v>
      </c>
    </row>
    <row r="3093" spans="1:37" x14ac:dyDescent="0.3">
      <c r="A3093">
        <v>3092</v>
      </c>
      <c r="B3093">
        <v>96</v>
      </c>
      <c r="C3093">
        <v>-16.627800000000001</v>
      </c>
      <c r="D3093">
        <v>12.5489</v>
      </c>
      <c r="E3093">
        <f>-16.6278-12.5489</f>
        <v>-29.1767</v>
      </c>
      <c r="F3093" t="s">
        <v>5184</v>
      </c>
      <c r="G3093" t="s">
        <v>39</v>
      </c>
      <c r="H3093">
        <v>2003</v>
      </c>
      <c r="I3093">
        <v>26.299999237060501</v>
      </c>
      <c r="J3093">
        <v>12.300000190734901</v>
      </c>
      <c r="K3093">
        <v>62</v>
      </c>
      <c r="L3093">
        <v>12.319999694824199</v>
      </c>
      <c r="M3093">
        <v>35.200000762939503</v>
      </c>
      <c r="N3093">
        <v>15.6000003814697</v>
      </c>
      <c r="O3093">
        <v>19.600000381469702</v>
      </c>
      <c r="P3093">
        <v>26.600000381469702</v>
      </c>
      <c r="Q3093">
        <v>25.100000381469702</v>
      </c>
      <c r="R3093">
        <v>27.399999618530298</v>
      </c>
      <c r="S3093">
        <v>24.299999237060501</v>
      </c>
      <c r="T3093">
        <v>1219</v>
      </c>
      <c r="U3093">
        <v>437</v>
      </c>
      <c r="V3093">
        <v>0</v>
      </c>
      <c r="W3093">
        <v>145</v>
      </c>
      <c r="X3093">
        <v>1036</v>
      </c>
      <c r="Y3093">
        <v>0</v>
      </c>
      <c r="Z3093">
        <v>82</v>
      </c>
      <c r="AA3093">
        <v>1</v>
      </c>
      <c r="AB3093">
        <v>4.3600002296900398</v>
      </c>
      <c r="AC3093">
        <v>1.6794210733940999E-2</v>
      </c>
      <c r="AD3093">
        <v>1.5727576676061601</v>
      </c>
      <c r="AE3093">
        <v>0.29707507420394402</v>
      </c>
      <c r="AF3093">
        <v>12.6423728813559</v>
      </c>
      <c r="AG3093">
        <f>IFERROR(AH3093*0.1, "N/A")</f>
        <v>4.9650847457627103</v>
      </c>
      <c r="AH3093">
        <v>49.650847457627101</v>
      </c>
      <c r="AI3093">
        <v>178.240162619898</v>
      </c>
      <c r="AJ3093">
        <v>22.108474576271199</v>
      </c>
      <c r="AK3093">
        <v>57.108474576271199</v>
      </c>
    </row>
    <row r="3094" spans="1:37" x14ac:dyDescent="0.3">
      <c r="A3094">
        <v>3093</v>
      </c>
      <c r="B3094">
        <v>82</v>
      </c>
      <c r="C3094">
        <v>-16.633300999999999</v>
      </c>
      <c r="D3094">
        <v>12.55</v>
      </c>
      <c r="E3094">
        <f>-16.633301-12.55</f>
        <v>-29.183301</v>
      </c>
      <c r="F3094" t="s">
        <v>5185</v>
      </c>
      <c r="G3094" t="s">
        <v>39</v>
      </c>
      <c r="H3094">
        <v>1987</v>
      </c>
      <c r="I3094">
        <v>26.3576982727309</v>
      </c>
      <c r="J3094">
        <v>12.242301155064499</v>
      </c>
      <c r="K3094">
        <v>62</v>
      </c>
      <c r="L3094">
        <v>12.231607390337601</v>
      </c>
      <c r="M3094">
        <v>35.154314438098602</v>
      </c>
      <c r="N3094">
        <v>15.6000003814697</v>
      </c>
      <c r="O3094">
        <v>19.554314928006399</v>
      </c>
      <c r="P3094">
        <v>26.657699417140101</v>
      </c>
      <c r="Q3094">
        <v>25.110998731377599</v>
      </c>
      <c r="R3094">
        <v>27.399999618530298</v>
      </c>
      <c r="S3094">
        <v>24.3456846905239</v>
      </c>
      <c r="T3094">
        <v>1215.31472081218</v>
      </c>
      <c r="U3094">
        <v>436.192893401015</v>
      </c>
      <c r="V3094">
        <v>0</v>
      </c>
      <c r="W3094">
        <v>144.43316412859599</v>
      </c>
      <c r="X3094">
        <v>1033.57868020305</v>
      </c>
      <c r="Y3094">
        <v>0</v>
      </c>
      <c r="Z3094">
        <v>81.423011844331697</v>
      </c>
      <c r="AA3094">
        <v>1</v>
      </c>
      <c r="AB3094">
        <v>2.3282572246848399</v>
      </c>
      <c r="AC3094">
        <v>1.7260161967548E-2</v>
      </c>
      <c r="AD3094">
        <v>2.4304024132375202</v>
      </c>
      <c r="AE3094">
        <v>0.24501930371355499</v>
      </c>
      <c r="AF3094">
        <v>5.47377326565144</v>
      </c>
      <c r="AG3094">
        <f>IFERROR(AH3094*0.1, "N/A")</f>
        <v>5.0150592216582099</v>
      </c>
      <c r="AH3094">
        <v>50.150592216582098</v>
      </c>
      <c r="AI3094">
        <v>251.38015080950601</v>
      </c>
      <c r="AJ3094">
        <v>24.3485617597293</v>
      </c>
      <c r="AK3094">
        <v>59.277495769881597</v>
      </c>
    </row>
    <row r="3095" spans="1:37" x14ac:dyDescent="0.3">
      <c r="A3095">
        <v>3094</v>
      </c>
      <c r="B3095">
        <v>18.399999999999999</v>
      </c>
      <c r="C3095">
        <v>-12.1761</v>
      </c>
      <c r="D3095">
        <v>12.5517</v>
      </c>
      <c r="E3095">
        <f>-12.1761-12.5517</f>
        <v>-24.727800000000002</v>
      </c>
      <c r="F3095" t="s">
        <v>5186</v>
      </c>
      <c r="G3095" t="s">
        <v>37</v>
      </c>
      <c r="H3095">
        <v>1964</v>
      </c>
      <c r="I3095">
        <v>28.399999618530298</v>
      </c>
      <c r="J3095">
        <v>13.199999809265099</v>
      </c>
      <c r="K3095">
        <v>57</v>
      </c>
      <c r="L3095">
        <v>23.610000610351602</v>
      </c>
      <c r="M3095">
        <v>40</v>
      </c>
      <c r="N3095">
        <v>17.200000762939499</v>
      </c>
      <c r="O3095">
        <v>22.799999237060501</v>
      </c>
      <c r="P3095">
        <v>26.700000762939499</v>
      </c>
      <c r="Q3095">
        <v>28.799999237060501</v>
      </c>
      <c r="R3095">
        <v>32.099998474121101</v>
      </c>
      <c r="S3095">
        <v>26.299999237060501</v>
      </c>
      <c r="T3095">
        <v>1203</v>
      </c>
      <c r="U3095">
        <v>317</v>
      </c>
      <c r="V3095">
        <v>0</v>
      </c>
      <c r="W3095">
        <v>118</v>
      </c>
      <c r="X3095">
        <v>858</v>
      </c>
      <c r="Y3095">
        <v>0</v>
      </c>
      <c r="Z3095">
        <v>57</v>
      </c>
      <c r="AA3095">
        <v>8</v>
      </c>
      <c r="AB3095">
        <v>11.667684926195999</v>
      </c>
      <c r="AC3095">
        <v>3.4449253174557E-2</v>
      </c>
      <c r="AD3095">
        <v>1.25736700490041</v>
      </c>
      <c r="AE3095">
        <v>0.46521663665771501</v>
      </c>
      <c r="AF3095">
        <v>116.00338409475501</v>
      </c>
      <c r="AG3095">
        <f>IFERROR(AH3095*0.1, "N/A")</f>
        <v>6.3631133671742806</v>
      </c>
      <c r="AH3095">
        <v>63.631133671742802</v>
      </c>
      <c r="AI3095">
        <v>128.04832290675199</v>
      </c>
      <c r="AJ3095">
        <v>33.785109983079501</v>
      </c>
      <c r="AK3095">
        <v>37.214890016920499</v>
      </c>
    </row>
    <row r="3096" spans="1:37" x14ac:dyDescent="0.3">
      <c r="A3096">
        <v>3095</v>
      </c>
      <c r="B3096">
        <v>10</v>
      </c>
      <c r="C3096">
        <v>-16.2486</v>
      </c>
      <c r="D3096">
        <v>12.553599999999999</v>
      </c>
      <c r="E3096">
        <f>-16.2486-12.5536</f>
        <v>-28.802199999999999</v>
      </c>
      <c r="F3096" t="s">
        <v>5187</v>
      </c>
      <c r="G3096" t="s">
        <v>39</v>
      </c>
      <c r="H3096">
        <v>2004</v>
      </c>
      <c r="I3096">
        <v>26.799999237060501</v>
      </c>
      <c r="J3096">
        <v>13.3999996185303</v>
      </c>
      <c r="K3096">
        <v>62</v>
      </c>
      <c r="L3096">
        <v>12.920000076293899</v>
      </c>
      <c r="M3096">
        <v>36.700000762939503</v>
      </c>
      <c r="N3096">
        <v>15.300000190734901</v>
      </c>
      <c r="O3096">
        <v>21.399999618530298</v>
      </c>
      <c r="P3096">
        <v>27</v>
      </c>
      <c r="Q3096">
        <v>25.700000762939499</v>
      </c>
      <c r="R3096">
        <v>28.100000381469702</v>
      </c>
      <c r="S3096">
        <v>24.799999237060501</v>
      </c>
      <c r="T3096">
        <v>1269</v>
      </c>
      <c r="U3096">
        <v>430</v>
      </c>
      <c r="V3096">
        <v>0</v>
      </c>
      <c r="W3096">
        <v>140</v>
      </c>
      <c r="X3096">
        <v>1045</v>
      </c>
      <c r="Y3096">
        <v>0</v>
      </c>
      <c r="Z3096">
        <v>108</v>
      </c>
      <c r="AA3096">
        <v>1</v>
      </c>
      <c r="AB3096">
        <v>8.5086296552732303</v>
      </c>
      <c r="AC3096">
        <v>1.5579127589974999E-2</v>
      </c>
      <c r="AD3096">
        <v>1.83299100439359</v>
      </c>
      <c r="AE3096">
        <v>0.67155736684799205</v>
      </c>
      <c r="AF3096">
        <v>8.5719120135363802</v>
      </c>
      <c r="AG3096">
        <f>IFERROR(AH3096*0.1, "N/A")</f>
        <v>5.4707275803722508</v>
      </c>
      <c r="AH3096">
        <v>54.707275803722503</v>
      </c>
      <c r="AI3096">
        <v>192.293466990773</v>
      </c>
      <c r="AJ3096">
        <v>24.164128595600701</v>
      </c>
      <c r="AK3096">
        <v>58.9153976311337</v>
      </c>
    </row>
    <row r="3097" spans="1:37" x14ac:dyDescent="0.3">
      <c r="A3097">
        <v>3096</v>
      </c>
      <c r="B3097">
        <v>21.799999</v>
      </c>
      <c r="C3097">
        <v>-12.173299999999999</v>
      </c>
      <c r="D3097">
        <v>12.554600000000001</v>
      </c>
      <c r="E3097">
        <f>-12.1733-12.5546</f>
        <v>-24.727899999999998</v>
      </c>
      <c r="F3097" t="s">
        <v>5188</v>
      </c>
      <c r="G3097" t="s">
        <v>39</v>
      </c>
      <c r="H3097">
        <v>2005</v>
      </c>
      <c r="I3097">
        <v>28.5</v>
      </c>
      <c r="J3097">
        <v>13.199999809265099</v>
      </c>
      <c r="K3097">
        <v>57</v>
      </c>
      <c r="L3097">
        <v>24.110000610351602</v>
      </c>
      <c r="M3097">
        <v>40.099998474121101</v>
      </c>
      <c r="N3097">
        <v>17.200000762939499</v>
      </c>
      <c r="O3097">
        <v>22.899999618530298</v>
      </c>
      <c r="P3097">
        <v>26.799999237060501</v>
      </c>
      <c r="Q3097">
        <v>28.899999618530298</v>
      </c>
      <c r="R3097">
        <v>32.299999237060497</v>
      </c>
      <c r="S3097">
        <v>26.299999237060501</v>
      </c>
      <c r="T3097">
        <v>1198</v>
      </c>
      <c r="U3097">
        <v>316</v>
      </c>
      <c r="V3097">
        <v>0</v>
      </c>
      <c r="W3097">
        <v>119</v>
      </c>
      <c r="X3097">
        <v>855</v>
      </c>
      <c r="Y3097">
        <v>0</v>
      </c>
      <c r="Z3097">
        <v>57</v>
      </c>
      <c r="AA3097">
        <v>8</v>
      </c>
      <c r="AB3097">
        <v>9.0246583706623795</v>
      </c>
      <c r="AC3097">
        <v>1.6779497593036999E-2</v>
      </c>
      <c r="AD3097">
        <v>1.42556167212693</v>
      </c>
      <c r="AE3097">
        <v>0.46521663665771501</v>
      </c>
      <c r="AF3097">
        <v>113.05743243243199</v>
      </c>
      <c r="AG3097">
        <f>IFERROR(AH3097*0.1, "N/A")</f>
        <v>6.5635135135135103</v>
      </c>
      <c r="AH3097">
        <v>65.635135135135101</v>
      </c>
      <c r="AI3097">
        <v>64.415020659163204</v>
      </c>
      <c r="AJ3097">
        <v>29</v>
      </c>
      <c r="AK3097">
        <v>43.364864864864899</v>
      </c>
    </row>
    <row r="3098" spans="1:37" x14ac:dyDescent="0.3">
      <c r="A3098">
        <v>3097</v>
      </c>
      <c r="B3098">
        <v>2</v>
      </c>
      <c r="C3098">
        <v>-16.325001</v>
      </c>
      <c r="D3098">
        <v>12.555300000000001</v>
      </c>
      <c r="E3098">
        <f>-16.325001-12.5553</f>
        <v>-28.880301000000003</v>
      </c>
      <c r="F3098" t="s">
        <v>5189</v>
      </c>
      <c r="G3098" t="s">
        <v>39</v>
      </c>
      <c r="H3098">
        <v>2004</v>
      </c>
      <c r="I3098">
        <v>26.6835870436202</v>
      </c>
      <c r="J3098">
        <v>13.300000190734901</v>
      </c>
      <c r="K3098">
        <v>62.417935702199699</v>
      </c>
      <c r="L3098">
        <v>12.8417935218101</v>
      </c>
      <c r="M3098">
        <v>36.441794458379597</v>
      </c>
      <c r="N3098">
        <v>15.2835868699902</v>
      </c>
      <c r="O3098">
        <v>21.158207033289699</v>
      </c>
      <c r="P3098">
        <v>26.841792966710301</v>
      </c>
      <c r="Q3098">
        <v>25.583587459299601</v>
      </c>
      <c r="R3098">
        <v>27.983587077829799</v>
      </c>
      <c r="S3098">
        <v>24.6835870436202</v>
      </c>
      <c r="T3098">
        <v>1274.1641285956</v>
      </c>
      <c r="U3098">
        <v>431.5820642978</v>
      </c>
      <c r="V3098">
        <v>0</v>
      </c>
      <c r="W3098">
        <v>139</v>
      </c>
      <c r="X3098">
        <v>1053.1641285956</v>
      </c>
      <c r="Y3098">
        <v>0</v>
      </c>
      <c r="Z3098">
        <v>106</v>
      </c>
      <c r="AA3098">
        <v>1</v>
      </c>
      <c r="AB3098">
        <v>2.63079538038741</v>
      </c>
      <c r="AC3098">
        <v>2.6610114108992E-2</v>
      </c>
      <c r="AD3098">
        <v>0.82805268746342198</v>
      </c>
      <c r="AE3098">
        <v>0.26759523153305098</v>
      </c>
      <c r="AF3098">
        <v>4.1996615905245402</v>
      </c>
      <c r="AG3098">
        <f>IFERROR(AH3098*0.1, "N/A")</f>
        <v>5.3548979591836705</v>
      </c>
      <c r="AH3098">
        <v>53.548979591836698</v>
      </c>
      <c r="AI3098">
        <v>226.67832097345601</v>
      </c>
      <c r="AJ3098">
        <v>24.804081632653102</v>
      </c>
      <c r="AK3098">
        <v>59.097959183673503</v>
      </c>
    </row>
    <row r="3099" spans="1:37" x14ac:dyDescent="0.3">
      <c r="A3099">
        <v>3098</v>
      </c>
      <c r="B3099">
        <v>46</v>
      </c>
      <c r="C3099">
        <v>-12.173299999999999</v>
      </c>
      <c r="D3099">
        <v>12.555999999999999</v>
      </c>
      <c r="E3099">
        <f>-12.1733-12.556</f>
        <v>-24.729299999999999</v>
      </c>
      <c r="F3099" t="s">
        <v>5190</v>
      </c>
      <c r="G3099" t="s">
        <v>39</v>
      </c>
      <c r="H3099">
        <v>2003</v>
      </c>
      <c r="I3099">
        <v>28.5</v>
      </c>
      <c r="J3099">
        <v>13.199999809265099</v>
      </c>
      <c r="K3099">
        <v>57</v>
      </c>
      <c r="L3099">
        <v>24.110000610351602</v>
      </c>
      <c r="M3099">
        <v>40.099998474121101</v>
      </c>
      <c r="N3099">
        <v>17.200000762939499</v>
      </c>
      <c r="O3099">
        <v>22.899999618530298</v>
      </c>
      <c r="P3099">
        <v>26.799999237060501</v>
      </c>
      <c r="Q3099">
        <v>28.899999618530298</v>
      </c>
      <c r="R3099">
        <v>32.299999237060497</v>
      </c>
      <c r="S3099">
        <v>26.299999237060501</v>
      </c>
      <c r="T3099">
        <v>1198</v>
      </c>
      <c r="U3099">
        <v>316</v>
      </c>
      <c r="V3099">
        <v>0</v>
      </c>
      <c r="W3099">
        <v>119</v>
      </c>
      <c r="X3099">
        <v>855</v>
      </c>
      <c r="Y3099">
        <v>0</v>
      </c>
      <c r="Z3099">
        <v>57</v>
      </c>
      <c r="AA3099">
        <v>8</v>
      </c>
      <c r="AB3099">
        <v>7.7302716054073004</v>
      </c>
      <c r="AC3099">
        <v>2.4119480821893E-2</v>
      </c>
      <c r="AD3099">
        <v>1.88792763113165</v>
      </c>
      <c r="AE3099">
        <v>0.46521663665771501</v>
      </c>
      <c r="AF3099">
        <v>112.079931972789</v>
      </c>
      <c r="AG3099">
        <f>IFERROR(AH3099*0.1, "N/A")</f>
        <v>6.5622448979591796</v>
      </c>
      <c r="AH3099">
        <v>65.622448979591795</v>
      </c>
      <c r="AI3099">
        <v>63.404518614009902</v>
      </c>
      <c r="AJ3099">
        <v>28.023809523809501</v>
      </c>
      <c r="AK3099">
        <v>43.865646258503403</v>
      </c>
    </row>
    <row r="3100" spans="1:37" x14ac:dyDescent="0.3">
      <c r="A3100">
        <v>3099</v>
      </c>
      <c r="B3100">
        <v>4</v>
      </c>
      <c r="C3100">
        <v>-16.233899999999998</v>
      </c>
      <c r="D3100">
        <v>12.556699999999999</v>
      </c>
      <c r="E3100">
        <f>-16.2339-12.5567</f>
        <v>-28.790599999999998</v>
      </c>
      <c r="F3100" t="s">
        <v>5191</v>
      </c>
      <c r="G3100" t="s">
        <v>39</v>
      </c>
      <c r="H3100">
        <v>2004</v>
      </c>
      <c r="I3100">
        <v>26.7848376285482</v>
      </c>
      <c r="J3100">
        <v>13.3999996185303</v>
      </c>
      <c r="K3100">
        <v>62</v>
      </c>
      <c r="L3100">
        <v>12.9078706159705</v>
      </c>
      <c r="M3100">
        <v>36.684838576048797</v>
      </c>
      <c r="N3100">
        <v>15.2848382930333</v>
      </c>
      <c r="O3100">
        <v>21.399999618530298</v>
      </c>
      <c r="P3100">
        <v>26.884837720828699</v>
      </c>
      <c r="Q3100">
        <v>25.700000762939499</v>
      </c>
      <c r="R3100">
        <v>28.084838483768198</v>
      </c>
      <c r="S3100">
        <v>24.7848376285481</v>
      </c>
      <c r="T3100">
        <v>1269.15161839864</v>
      </c>
      <c r="U3100">
        <v>431.15161839863703</v>
      </c>
      <c r="V3100">
        <v>0</v>
      </c>
      <c r="W3100">
        <v>140</v>
      </c>
      <c r="X3100">
        <v>1045.15161839864</v>
      </c>
      <c r="Y3100">
        <v>0</v>
      </c>
      <c r="Z3100">
        <v>108</v>
      </c>
      <c r="AA3100">
        <v>1</v>
      </c>
      <c r="AB3100">
        <v>8.6204432953764698</v>
      </c>
      <c r="AC3100">
        <v>0.107364384286118</v>
      </c>
      <c r="AD3100">
        <v>1.5251889337469799</v>
      </c>
      <c r="AE3100">
        <v>0.45391140027793497</v>
      </c>
      <c r="AF3100">
        <v>13.5366269165247</v>
      </c>
      <c r="AG3100">
        <f>IFERROR(AH3100*0.1, "N/A")</f>
        <v>5.3303236797274307</v>
      </c>
      <c r="AH3100">
        <v>53.303236797274302</v>
      </c>
      <c r="AI3100">
        <v>275.40436930875802</v>
      </c>
      <c r="AJ3100">
        <v>23.545144804088601</v>
      </c>
      <c r="AK3100">
        <v>60</v>
      </c>
    </row>
    <row r="3101" spans="1:37" x14ac:dyDescent="0.3">
      <c r="A3101">
        <v>3100</v>
      </c>
      <c r="B3101">
        <v>18</v>
      </c>
      <c r="C3101">
        <v>-12.174300000000001</v>
      </c>
      <c r="D3101">
        <v>12.5579</v>
      </c>
      <c r="E3101">
        <f>-12.1743-12.5579</f>
        <v>-24.732199999999999</v>
      </c>
      <c r="F3101" t="s">
        <v>5192</v>
      </c>
      <c r="G3101" t="s">
        <v>39</v>
      </c>
      <c r="H3101">
        <v>1996</v>
      </c>
      <c r="I3101">
        <v>28.492516978257399</v>
      </c>
      <c r="J3101">
        <v>13.199999809265099</v>
      </c>
      <c r="K3101">
        <v>57</v>
      </c>
      <c r="L3101">
        <v>24.074932413036301</v>
      </c>
      <c r="M3101">
        <v>40.092515595105198</v>
      </c>
      <c r="N3101">
        <v>17.200000762939499</v>
      </c>
      <c r="O3101">
        <v>22.892516596787601</v>
      </c>
      <c r="P3101">
        <v>26.792516358044701</v>
      </c>
      <c r="Q3101">
        <v>28.892516596787601</v>
      </c>
      <c r="R3101">
        <v>32.285033193575302</v>
      </c>
      <c r="S3101">
        <v>26.299999237060501</v>
      </c>
      <c r="T3101">
        <v>1198.1394557823101</v>
      </c>
      <c r="U3101">
        <v>316.074829931973</v>
      </c>
      <c r="V3101">
        <v>0</v>
      </c>
      <c r="W3101">
        <v>118.807823129252</v>
      </c>
      <c r="X3101">
        <v>855.107142857143</v>
      </c>
      <c r="Y3101">
        <v>0</v>
      </c>
      <c r="Z3101">
        <v>56.882653061224502</v>
      </c>
      <c r="AA3101">
        <v>8</v>
      </c>
      <c r="AB3101">
        <v>7.13826215834845</v>
      </c>
      <c r="AC3101">
        <v>5.3037033349807999E-2</v>
      </c>
      <c r="AD3101">
        <v>2.3922173757942402</v>
      </c>
      <c r="AE3101">
        <v>0.46958778707348597</v>
      </c>
      <c r="AF3101">
        <v>112.53231292517</v>
      </c>
      <c r="AG3101">
        <f>IFERROR(AH3101*0.1, "N/A")</f>
        <v>6.5795918367346902</v>
      </c>
      <c r="AH3101">
        <v>65.7959183673469</v>
      </c>
      <c r="AI3101">
        <v>75.7013926343853</v>
      </c>
      <c r="AJ3101">
        <v>28.442176870748298</v>
      </c>
      <c r="AK3101">
        <v>42.911564625850303</v>
      </c>
    </row>
    <row r="3102" spans="1:37" x14ac:dyDescent="0.3">
      <c r="A3102">
        <v>3101</v>
      </c>
      <c r="B3102">
        <v>0</v>
      </c>
      <c r="C3102">
        <v>-12.174300000000001</v>
      </c>
      <c r="D3102">
        <v>12.5579</v>
      </c>
      <c r="E3102">
        <f>-12.1743-12.5579</f>
        <v>-24.732199999999999</v>
      </c>
      <c r="F3102" t="s">
        <v>5193</v>
      </c>
      <c r="G3102" t="s">
        <v>37</v>
      </c>
      <c r="H3102">
        <v>1996</v>
      </c>
      <c r="I3102">
        <v>28.492516978257399</v>
      </c>
      <c r="J3102">
        <v>13.199999809265099</v>
      </c>
      <c r="K3102">
        <v>57</v>
      </c>
      <c r="L3102">
        <v>24.074932413036301</v>
      </c>
      <c r="M3102">
        <v>40.092515595105198</v>
      </c>
      <c r="N3102">
        <v>17.200000762939499</v>
      </c>
      <c r="O3102">
        <v>22.892516596787601</v>
      </c>
      <c r="P3102">
        <v>26.792516358044701</v>
      </c>
      <c r="Q3102">
        <v>28.892516596787601</v>
      </c>
      <c r="R3102">
        <v>32.285033193575302</v>
      </c>
      <c r="S3102">
        <v>26.299999237060501</v>
      </c>
      <c r="T3102">
        <v>1198.1394557823101</v>
      </c>
      <c r="U3102">
        <v>316.074829931973</v>
      </c>
      <c r="V3102">
        <v>0</v>
      </c>
      <c r="W3102">
        <v>118.807823129252</v>
      </c>
      <c r="X3102">
        <v>855.107142857143</v>
      </c>
      <c r="Y3102">
        <v>0</v>
      </c>
      <c r="Z3102">
        <v>56.882653061224502</v>
      </c>
      <c r="AA3102">
        <v>8</v>
      </c>
      <c r="AB3102">
        <v>7.13826215834845</v>
      </c>
      <c r="AC3102">
        <v>5.3037033349807999E-2</v>
      </c>
      <c r="AD3102">
        <v>2.3922173757942402</v>
      </c>
      <c r="AE3102">
        <v>0.46958778707348597</v>
      </c>
      <c r="AF3102">
        <v>112.53231292517</v>
      </c>
      <c r="AG3102">
        <f>IFERROR(AH3102*0.1, "N/A")</f>
        <v>6.5795918367346902</v>
      </c>
      <c r="AH3102">
        <v>65.7959183673469</v>
      </c>
      <c r="AI3102">
        <v>75.7013926343853</v>
      </c>
      <c r="AJ3102">
        <v>28.442176870748298</v>
      </c>
      <c r="AK3102">
        <v>42.911564625850303</v>
      </c>
    </row>
    <row r="3103" spans="1:37" x14ac:dyDescent="0.3">
      <c r="A3103">
        <v>3102</v>
      </c>
      <c r="B3103">
        <v>18.200001</v>
      </c>
      <c r="C3103">
        <v>-12.4011</v>
      </c>
      <c r="D3103">
        <v>12.5581</v>
      </c>
      <c r="E3103">
        <f>-12.4011-12.5581</f>
        <v>-24.959199999999999</v>
      </c>
      <c r="F3103" t="s">
        <v>5194</v>
      </c>
      <c r="G3103" t="s">
        <v>37</v>
      </c>
      <c r="H3103">
        <v>2008</v>
      </c>
      <c r="I3103">
        <v>26.724704277697001</v>
      </c>
      <c r="J3103">
        <v>12.5247039859468</v>
      </c>
      <c r="K3103">
        <v>57.991539763113401</v>
      </c>
      <c r="L3103">
        <v>22.689136524490898</v>
      </c>
      <c r="M3103">
        <v>37.749408734833096</v>
      </c>
      <c r="N3103">
        <v>16.199154736023502</v>
      </c>
      <c r="O3103">
        <v>21.550253982672999</v>
      </c>
      <c r="P3103">
        <v>25.048561944977699</v>
      </c>
      <c r="Q3103">
        <v>26.8485611820382</v>
      </c>
      <c r="R3103">
        <v>30.224704277697001</v>
      </c>
      <c r="S3103">
        <v>24.548561944977699</v>
      </c>
      <c r="T3103">
        <v>1250.7817258883299</v>
      </c>
      <c r="U3103">
        <v>333.75296108291002</v>
      </c>
      <c r="V3103">
        <v>0</v>
      </c>
      <c r="W3103">
        <v>117.23857868020301</v>
      </c>
      <c r="X3103">
        <v>886.26734348561797</v>
      </c>
      <c r="Y3103">
        <v>0</v>
      </c>
      <c r="Z3103">
        <v>60</v>
      </c>
      <c r="AA3103">
        <v>10</v>
      </c>
      <c r="AB3103">
        <v>132.59255514128799</v>
      </c>
      <c r="AC3103">
        <v>8.4179296660949997E-3</v>
      </c>
      <c r="AD3103">
        <v>1.64037382411069</v>
      </c>
      <c r="AE3103">
        <v>0.31848583291024701</v>
      </c>
      <c r="AF3103">
        <v>383.57868020304602</v>
      </c>
      <c r="AG3103">
        <f>IFERROR(AH3103*0.1, "N/A")</f>
        <v>6.2008460236886602</v>
      </c>
      <c r="AH3103">
        <v>62.008460236886599</v>
      </c>
      <c r="AI3103">
        <v>200.95650580288401</v>
      </c>
      <c r="AJ3103">
        <v>26</v>
      </c>
      <c r="AK3103">
        <v>50.923857868020299</v>
      </c>
    </row>
    <row r="3104" spans="1:37" x14ac:dyDescent="0.3">
      <c r="A3104">
        <v>3103</v>
      </c>
      <c r="B3104">
        <v>4.5</v>
      </c>
      <c r="C3104">
        <v>-12.4011</v>
      </c>
      <c r="D3104">
        <v>12.5581</v>
      </c>
      <c r="E3104">
        <f>-12.4011-12.5581</f>
        <v>-24.959199999999999</v>
      </c>
      <c r="F3104" t="s">
        <v>5195</v>
      </c>
      <c r="G3104" t="s">
        <v>39</v>
      </c>
      <c r="H3104">
        <v>2008</v>
      </c>
      <c r="I3104">
        <v>26.724704277697001</v>
      </c>
      <c r="J3104">
        <v>12.5247039859468</v>
      </c>
      <c r="K3104">
        <v>57.991539763113401</v>
      </c>
      <c r="L3104">
        <v>22.689136524490898</v>
      </c>
      <c r="M3104">
        <v>37.749408734833096</v>
      </c>
      <c r="N3104">
        <v>16.199154736023502</v>
      </c>
      <c r="O3104">
        <v>21.550253982672999</v>
      </c>
      <c r="P3104">
        <v>25.048561944977699</v>
      </c>
      <c r="Q3104">
        <v>26.8485611820382</v>
      </c>
      <c r="R3104">
        <v>30.224704277697001</v>
      </c>
      <c r="S3104">
        <v>24.548561944977699</v>
      </c>
      <c r="T3104">
        <v>1250.7817258883299</v>
      </c>
      <c r="U3104">
        <v>333.75296108291002</v>
      </c>
      <c r="V3104">
        <v>0</v>
      </c>
      <c r="W3104">
        <v>117.23857868020301</v>
      </c>
      <c r="X3104">
        <v>886.26734348561797</v>
      </c>
      <c r="Y3104">
        <v>0</v>
      </c>
      <c r="Z3104">
        <v>60</v>
      </c>
      <c r="AA3104">
        <v>10</v>
      </c>
      <c r="AB3104">
        <v>132.59255514128799</v>
      </c>
      <c r="AC3104">
        <v>8.4179296660949997E-3</v>
      </c>
      <c r="AD3104">
        <v>1.64037382411069</v>
      </c>
      <c r="AE3104">
        <v>0.31848583291024701</v>
      </c>
      <c r="AF3104">
        <v>383.57868020304602</v>
      </c>
      <c r="AG3104">
        <f>IFERROR(AH3104*0.1, "N/A")</f>
        <v>6.2008460236886602</v>
      </c>
      <c r="AH3104">
        <v>62.008460236886599</v>
      </c>
      <c r="AI3104">
        <v>200.95650580288401</v>
      </c>
      <c r="AJ3104">
        <v>26</v>
      </c>
      <c r="AK3104">
        <v>50.923857868020299</v>
      </c>
    </row>
    <row r="3105" spans="1:37" x14ac:dyDescent="0.3">
      <c r="A3105">
        <v>3104</v>
      </c>
      <c r="B3105">
        <v>0</v>
      </c>
      <c r="C3105">
        <v>-16.183299999999999</v>
      </c>
      <c r="D3105">
        <v>12.558299999999999</v>
      </c>
      <c r="E3105">
        <f>-16.1833-12.5583</f>
        <v>-28.741599999999998</v>
      </c>
      <c r="F3105" t="s">
        <v>5196</v>
      </c>
      <c r="G3105" t="s">
        <v>39</v>
      </c>
      <c r="H3105">
        <v>2004</v>
      </c>
      <c r="I3105">
        <v>26.761799480392899</v>
      </c>
      <c r="J3105">
        <v>13.3999996185303</v>
      </c>
      <c r="K3105">
        <v>62</v>
      </c>
      <c r="L3105">
        <v>12.908064458487599</v>
      </c>
      <c r="M3105">
        <v>36.623598335149502</v>
      </c>
      <c r="N3105">
        <v>15.261799705453599</v>
      </c>
      <c r="O3105">
        <v>21.361799133249001</v>
      </c>
      <c r="P3105">
        <v>26.8081489686043</v>
      </c>
      <c r="Q3105">
        <v>25.723598995111601</v>
      </c>
      <c r="R3105">
        <v>28.123599792376801</v>
      </c>
      <c r="S3105">
        <v>24.7999999656742</v>
      </c>
      <c r="T3105">
        <v>1264.9660441426099</v>
      </c>
      <c r="U3105">
        <v>433.601018675722</v>
      </c>
      <c r="V3105">
        <v>0</v>
      </c>
      <c r="W3105">
        <v>139.22750424448199</v>
      </c>
      <c r="X3105">
        <v>1040.2020373514399</v>
      </c>
      <c r="Y3105">
        <v>0</v>
      </c>
      <c r="Z3105">
        <v>108</v>
      </c>
      <c r="AA3105">
        <v>1</v>
      </c>
      <c r="AB3105">
        <v>12.763667341403901</v>
      </c>
      <c r="AC3105">
        <v>3.7683169561451998E-2</v>
      </c>
      <c r="AD3105">
        <v>0.79620113650080704</v>
      </c>
      <c r="AE3105">
        <v>0.267482899395031</v>
      </c>
      <c r="AF3105">
        <v>15.290322580645199</v>
      </c>
      <c r="AG3105">
        <f>IFERROR(AH3105*0.1, "N/A")</f>
        <v>5.6008488964346403</v>
      </c>
      <c r="AH3105">
        <v>56.008488964346398</v>
      </c>
      <c r="AI3105">
        <v>162.86350949065601</v>
      </c>
      <c r="AJ3105">
        <v>28.991511035653701</v>
      </c>
      <c r="AK3105">
        <v>52.244482173174902</v>
      </c>
    </row>
    <row r="3106" spans="1:37" x14ac:dyDescent="0.3">
      <c r="A3106">
        <v>3105</v>
      </c>
      <c r="B3106">
        <v>63.200001</v>
      </c>
      <c r="C3106">
        <v>-12.4621</v>
      </c>
      <c r="D3106">
        <v>12.558400000000001</v>
      </c>
      <c r="E3106">
        <f>-12.4621-12.5584</f>
        <v>-25.020499999999998</v>
      </c>
      <c r="F3106" t="s">
        <v>5197</v>
      </c>
      <c r="G3106" t="s">
        <v>37</v>
      </c>
      <c r="H3106">
        <v>2008</v>
      </c>
      <c r="I3106">
        <v>28.152632161190599</v>
      </c>
      <c r="J3106">
        <v>13.1526316592568</v>
      </c>
      <c r="K3106">
        <v>57</v>
      </c>
      <c r="L3106">
        <v>23.402105732968</v>
      </c>
      <c r="M3106">
        <v>39.6526312577097</v>
      </c>
      <c r="N3106">
        <v>16.899999618530298</v>
      </c>
      <c r="O3106">
        <v>22.752631538792699</v>
      </c>
      <c r="P3106">
        <v>26.600000381469702</v>
      </c>
      <c r="Q3106">
        <v>28.252631538792699</v>
      </c>
      <c r="R3106">
        <v>31.752631538792699</v>
      </c>
      <c r="S3106">
        <v>25.899999618530298</v>
      </c>
      <c r="T3106">
        <v>1222.5789473684199</v>
      </c>
      <c r="U3106">
        <v>328</v>
      </c>
      <c r="V3106">
        <v>0</v>
      </c>
      <c r="W3106">
        <v>118</v>
      </c>
      <c r="X3106">
        <v>871.05263157894797</v>
      </c>
      <c r="Y3106">
        <v>0</v>
      </c>
      <c r="Z3106">
        <v>56</v>
      </c>
      <c r="AA3106">
        <v>10</v>
      </c>
      <c r="AB3106">
        <v>4.4266575293549097</v>
      </c>
      <c r="AC3106">
        <v>8.3955490454107995E-2</v>
      </c>
      <c r="AD3106">
        <v>1.2709238428009</v>
      </c>
      <c r="AE3106">
        <v>0.325721872480292</v>
      </c>
      <c r="AF3106">
        <v>116.120543293718</v>
      </c>
      <c r="AG3106">
        <f>IFERROR(AH3106*0.1, "N/A")</f>
        <v>6.1108658743633306</v>
      </c>
      <c r="AH3106">
        <v>61.108658743633299</v>
      </c>
      <c r="AI3106">
        <v>293.39901176413798</v>
      </c>
      <c r="AJ3106">
        <v>24</v>
      </c>
      <c r="AK3106">
        <v>52</v>
      </c>
    </row>
    <row r="3107" spans="1:37" x14ac:dyDescent="0.3">
      <c r="A3107">
        <v>3106</v>
      </c>
      <c r="B3107">
        <v>0</v>
      </c>
      <c r="C3107">
        <v>-12.4621</v>
      </c>
      <c r="D3107">
        <v>12.558400000000001</v>
      </c>
      <c r="E3107">
        <f>-12.4621-12.5584</f>
        <v>-25.020499999999998</v>
      </c>
      <c r="F3107" t="s">
        <v>5198</v>
      </c>
      <c r="G3107" t="s">
        <v>39</v>
      </c>
      <c r="H3107">
        <v>2008</v>
      </c>
      <c r="I3107">
        <v>28.152632161190599</v>
      </c>
      <c r="J3107">
        <v>13.1526316592568</v>
      </c>
      <c r="K3107">
        <v>57</v>
      </c>
      <c r="L3107">
        <v>23.402105732968</v>
      </c>
      <c r="M3107">
        <v>39.6526312577097</v>
      </c>
      <c r="N3107">
        <v>16.899999618530298</v>
      </c>
      <c r="O3107">
        <v>22.752631538792699</v>
      </c>
      <c r="P3107">
        <v>26.600000381469702</v>
      </c>
      <c r="Q3107">
        <v>28.252631538792699</v>
      </c>
      <c r="R3107">
        <v>31.752631538792699</v>
      </c>
      <c r="S3107">
        <v>25.899999618530298</v>
      </c>
      <c r="T3107">
        <v>1222.5789473684199</v>
      </c>
      <c r="U3107">
        <v>328</v>
      </c>
      <c r="V3107">
        <v>0</v>
      </c>
      <c r="W3107">
        <v>118</v>
      </c>
      <c r="X3107">
        <v>871.05263157894797</v>
      </c>
      <c r="Y3107">
        <v>0</v>
      </c>
      <c r="Z3107">
        <v>56</v>
      </c>
      <c r="AA3107">
        <v>10</v>
      </c>
      <c r="AB3107">
        <v>4.4266575293549097</v>
      </c>
      <c r="AC3107">
        <v>8.3955490454107995E-2</v>
      </c>
      <c r="AD3107">
        <v>1.2709238428009</v>
      </c>
      <c r="AE3107">
        <v>0.325721872480292</v>
      </c>
      <c r="AF3107">
        <v>116.120543293718</v>
      </c>
      <c r="AG3107">
        <f>IFERROR(AH3107*0.1, "N/A")</f>
        <v>6.1108658743633306</v>
      </c>
      <c r="AH3107">
        <v>61.108658743633299</v>
      </c>
      <c r="AI3107">
        <v>293.39901176413798</v>
      </c>
      <c r="AJ3107">
        <v>24</v>
      </c>
      <c r="AK3107">
        <v>52</v>
      </c>
    </row>
    <row r="3108" spans="1:37" x14ac:dyDescent="0.3">
      <c r="A3108">
        <v>3107</v>
      </c>
      <c r="B3108">
        <v>49.5</v>
      </c>
      <c r="C3108">
        <v>-12.4764</v>
      </c>
      <c r="D3108">
        <v>12.56</v>
      </c>
      <c r="E3108">
        <f>-12.4764-12.56</f>
        <v>-25.0364</v>
      </c>
      <c r="F3108" t="s">
        <v>5199</v>
      </c>
      <c r="G3108" t="s">
        <v>37</v>
      </c>
      <c r="H3108">
        <v>2008</v>
      </c>
      <c r="I3108">
        <v>28.299999237060501</v>
      </c>
      <c r="J3108">
        <v>13.199999809265099</v>
      </c>
      <c r="K3108">
        <v>57</v>
      </c>
      <c r="L3108">
        <v>23.420000076293899</v>
      </c>
      <c r="M3108">
        <v>39.799999237060497</v>
      </c>
      <c r="N3108">
        <v>17</v>
      </c>
      <c r="O3108">
        <v>22.799999237060501</v>
      </c>
      <c r="P3108">
        <v>26.700000762939499</v>
      </c>
      <c r="Q3108">
        <v>28.299999237060501</v>
      </c>
      <c r="R3108">
        <v>31.799999237060501</v>
      </c>
      <c r="S3108">
        <v>26</v>
      </c>
      <c r="T3108">
        <v>1220</v>
      </c>
      <c r="U3108">
        <v>328</v>
      </c>
      <c r="V3108">
        <v>0</v>
      </c>
      <c r="W3108">
        <v>118</v>
      </c>
      <c r="X3108">
        <v>870</v>
      </c>
      <c r="Y3108">
        <v>0</v>
      </c>
      <c r="Z3108">
        <v>56</v>
      </c>
      <c r="AA3108">
        <v>10</v>
      </c>
      <c r="AB3108">
        <v>3.8538096213300399</v>
      </c>
      <c r="AC3108">
        <v>0.187878759841036</v>
      </c>
      <c r="AD3108">
        <v>1.28747213007835</v>
      </c>
      <c r="AE3108">
        <v>0.16931472718715701</v>
      </c>
      <c r="AF3108">
        <v>104.862944162437</v>
      </c>
      <c r="AG3108">
        <f>IFERROR(AH3108*0.1, "N/A")</f>
        <v>6.1331641285956007</v>
      </c>
      <c r="AH3108">
        <v>61.331641285956003</v>
      </c>
      <c r="AI3108">
        <v>209.022247588776</v>
      </c>
      <c r="AJ3108">
        <v>24.399323181049098</v>
      </c>
      <c r="AK3108">
        <v>51.367174280879901</v>
      </c>
    </row>
    <row r="3109" spans="1:37" x14ac:dyDescent="0.3">
      <c r="A3109">
        <v>3108</v>
      </c>
      <c r="B3109">
        <v>2.9</v>
      </c>
      <c r="C3109">
        <v>-12.4764</v>
      </c>
      <c r="D3109">
        <v>12.56</v>
      </c>
      <c r="E3109">
        <f>-12.4764-12.56</f>
        <v>-25.0364</v>
      </c>
      <c r="F3109" t="s">
        <v>5200</v>
      </c>
      <c r="G3109" t="s">
        <v>39</v>
      </c>
      <c r="H3109">
        <v>2008</v>
      </c>
      <c r="I3109">
        <v>28.299999237060501</v>
      </c>
      <c r="J3109">
        <v>13.199999809265099</v>
      </c>
      <c r="K3109">
        <v>57</v>
      </c>
      <c r="L3109">
        <v>23.420000076293899</v>
      </c>
      <c r="M3109">
        <v>39.799999237060497</v>
      </c>
      <c r="N3109">
        <v>17</v>
      </c>
      <c r="O3109">
        <v>22.799999237060501</v>
      </c>
      <c r="P3109">
        <v>26.700000762939499</v>
      </c>
      <c r="Q3109">
        <v>28.299999237060501</v>
      </c>
      <c r="R3109">
        <v>31.799999237060501</v>
      </c>
      <c r="S3109">
        <v>26</v>
      </c>
      <c r="T3109">
        <v>1220</v>
      </c>
      <c r="U3109">
        <v>328</v>
      </c>
      <c r="V3109">
        <v>0</v>
      </c>
      <c r="W3109">
        <v>118</v>
      </c>
      <c r="X3109">
        <v>870</v>
      </c>
      <c r="Y3109">
        <v>0</v>
      </c>
      <c r="Z3109">
        <v>56</v>
      </c>
      <c r="AA3109">
        <v>10</v>
      </c>
      <c r="AB3109">
        <v>3.8538096213300399</v>
      </c>
      <c r="AC3109">
        <v>0.187878759841036</v>
      </c>
      <c r="AD3109">
        <v>1.28747213007835</v>
      </c>
      <c r="AE3109">
        <v>0.16931472718715701</v>
      </c>
      <c r="AF3109">
        <v>104.862944162437</v>
      </c>
      <c r="AG3109">
        <f>IFERROR(AH3109*0.1, "N/A")</f>
        <v>6.1331641285956007</v>
      </c>
      <c r="AH3109">
        <v>61.331641285956003</v>
      </c>
      <c r="AI3109">
        <v>209.022247588776</v>
      </c>
      <c r="AJ3109">
        <v>24.399323181049098</v>
      </c>
      <c r="AK3109">
        <v>51.367174280879901</v>
      </c>
    </row>
    <row r="3110" spans="1:37" x14ac:dyDescent="0.3">
      <c r="A3110">
        <v>3109</v>
      </c>
      <c r="B3110">
        <v>10</v>
      </c>
      <c r="C3110">
        <v>-16.296101</v>
      </c>
      <c r="D3110">
        <v>12.5611</v>
      </c>
      <c r="E3110">
        <f>-16.296101-12.5611</f>
        <v>-28.857201</v>
      </c>
      <c r="F3110" t="s">
        <v>5201</v>
      </c>
      <c r="G3110" t="s">
        <v>39</v>
      </c>
      <c r="H3110">
        <v>2004</v>
      </c>
      <c r="I3110">
        <v>26.700000762939499</v>
      </c>
      <c r="J3110">
        <v>13.3999996185303</v>
      </c>
      <c r="K3110">
        <v>62</v>
      </c>
      <c r="L3110">
        <v>12.9899997711182</v>
      </c>
      <c r="M3110">
        <v>36.599998474121101</v>
      </c>
      <c r="N3110">
        <v>15.199999809265099</v>
      </c>
      <c r="O3110">
        <v>21.399999618530298</v>
      </c>
      <c r="P3110">
        <v>26.799999237060501</v>
      </c>
      <c r="Q3110">
        <v>25.700000762939499</v>
      </c>
      <c r="R3110">
        <v>28.100000381469702</v>
      </c>
      <c r="S3110">
        <v>24.700000762939499</v>
      </c>
      <c r="T3110">
        <v>1272</v>
      </c>
      <c r="U3110">
        <v>430</v>
      </c>
      <c r="V3110">
        <v>0</v>
      </c>
      <c r="W3110">
        <v>139</v>
      </c>
      <c r="X3110">
        <v>1049</v>
      </c>
      <c r="Y3110">
        <v>0</v>
      </c>
      <c r="Z3110">
        <v>108</v>
      </c>
      <c r="AA3110">
        <v>1</v>
      </c>
      <c r="AB3110">
        <v>15.6251278668389</v>
      </c>
      <c r="AC3110">
        <v>4.6072747156732E-2</v>
      </c>
      <c r="AD3110">
        <v>1.1336107330937499</v>
      </c>
      <c r="AE3110">
        <v>0.93667447566986095</v>
      </c>
      <c r="AF3110">
        <v>18.8505942275042</v>
      </c>
      <c r="AG3110">
        <f>IFERROR(AH3110*0.1, "N/A")</f>
        <v>5.9057724957555209</v>
      </c>
      <c r="AH3110">
        <v>59.057724957555202</v>
      </c>
      <c r="AI3110">
        <v>185.58984525256301</v>
      </c>
      <c r="AJ3110">
        <v>22.971137521222399</v>
      </c>
      <c r="AK3110">
        <v>59.086587436332799</v>
      </c>
    </row>
    <row r="3111" spans="1:37" x14ac:dyDescent="0.3">
      <c r="A3111">
        <v>3110</v>
      </c>
      <c r="B3111">
        <v>84</v>
      </c>
      <c r="C3111">
        <v>-16.570800999999999</v>
      </c>
      <c r="D3111">
        <v>12.5619</v>
      </c>
      <c r="E3111">
        <f>-16.570801-12.5619</f>
        <v>-29.132700999999997</v>
      </c>
      <c r="F3111" t="s">
        <v>5202</v>
      </c>
      <c r="G3111" t="s">
        <v>39</v>
      </c>
      <c r="H3111">
        <v>2003</v>
      </c>
      <c r="I3111">
        <v>26.299999237060501</v>
      </c>
      <c r="J3111">
        <v>12.3999996185303</v>
      </c>
      <c r="K3111">
        <v>62</v>
      </c>
      <c r="L3111">
        <v>12.2299995422363</v>
      </c>
      <c r="M3111">
        <v>35.299999237060497</v>
      </c>
      <c r="N3111">
        <v>15.5</v>
      </c>
      <c r="O3111">
        <v>19.799999237060501</v>
      </c>
      <c r="P3111">
        <v>26.5</v>
      </c>
      <c r="Q3111">
        <v>25.200000762939499</v>
      </c>
      <c r="R3111">
        <v>27.399999618530298</v>
      </c>
      <c r="S3111">
        <v>24.299999237060501</v>
      </c>
      <c r="T3111">
        <v>1228</v>
      </c>
      <c r="U3111">
        <v>435</v>
      </c>
      <c r="V3111">
        <v>0</v>
      </c>
      <c r="W3111">
        <v>143</v>
      </c>
      <c r="X3111">
        <v>1039</v>
      </c>
      <c r="Y3111">
        <v>0</v>
      </c>
      <c r="Z3111">
        <v>86</v>
      </c>
      <c r="AA3111">
        <v>1</v>
      </c>
      <c r="AB3111">
        <v>9.1096451802907303</v>
      </c>
      <c r="AC3111">
        <v>1.5070143463042999E-2</v>
      </c>
      <c r="AD3111">
        <v>2.0239954517174099</v>
      </c>
      <c r="AE3111">
        <v>0.51189661026000999</v>
      </c>
      <c r="AF3111">
        <v>23.049069373942501</v>
      </c>
      <c r="AG3111">
        <f>IFERROR(AH3111*0.1, "N/A")</f>
        <v>5.4258883248731005</v>
      </c>
      <c r="AH3111">
        <v>54.258883248731003</v>
      </c>
      <c r="AI3111">
        <v>91.958199838292998</v>
      </c>
      <c r="AJ3111">
        <v>23.8984771573604</v>
      </c>
      <c r="AK3111">
        <v>58.705583756345199</v>
      </c>
    </row>
    <row r="3112" spans="1:37" x14ac:dyDescent="0.3">
      <c r="A3112">
        <v>3111</v>
      </c>
      <c r="B3112">
        <v>100</v>
      </c>
      <c r="C3112">
        <v>-12.461600000000001</v>
      </c>
      <c r="D3112">
        <v>12.5633</v>
      </c>
      <c r="E3112">
        <f>-12.4616-12.5633</f>
        <v>-25.024900000000002</v>
      </c>
      <c r="F3112" t="s">
        <v>5203</v>
      </c>
      <c r="G3112" t="s">
        <v>37</v>
      </c>
      <c r="H3112">
        <v>2008</v>
      </c>
      <c r="I3112">
        <v>28.100000381469702</v>
      </c>
      <c r="J3112">
        <v>13.1000003814697</v>
      </c>
      <c r="K3112">
        <v>57</v>
      </c>
      <c r="L3112">
        <v>23.2600002288818</v>
      </c>
      <c r="M3112">
        <v>39.599998474121101</v>
      </c>
      <c r="N3112">
        <v>16.899999618530298</v>
      </c>
      <c r="O3112">
        <v>22.700000762939499</v>
      </c>
      <c r="P3112">
        <v>26.600000381469702</v>
      </c>
      <c r="Q3112">
        <v>28.200000762939499</v>
      </c>
      <c r="R3112">
        <v>31.700000762939499</v>
      </c>
      <c r="S3112">
        <v>25.899999618530298</v>
      </c>
      <c r="T3112">
        <v>1221</v>
      </c>
      <c r="U3112">
        <v>328</v>
      </c>
      <c r="V3112">
        <v>0</v>
      </c>
      <c r="W3112">
        <v>118</v>
      </c>
      <c r="X3112">
        <v>870</v>
      </c>
      <c r="Y3112">
        <v>0</v>
      </c>
      <c r="Z3112">
        <v>56</v>
      </c>
      <c r="AA3112">
        <v>10</v>
      </c>
      <c r="AB3112">
        <v>4.4730852377272496</v>
      </c>
      <c r="AC3112">
        <v>0.606342056309217</v>
      </c>
      <c r="AD3112">
        <v>6.9748611559859697</v>
      </c>
      <c r="AE3112">
        <v>0.28579187393188499</v>
      </c>
      <c r="AF3112">
        <v>124.822827938671</v>
      </c>
      <c r="AG3112">
        <f>IFERROR(AH3112*0.1, "N/A")</f>
        <v>6.1879045996592907</v>
      </c>
      <c r="AH3112">
        <v>61.8790459965929</v>
      </c>
      <c r="AI3112">
        <v>133.53113615695599</v>
      </c>
      <c r="AJ3112">
        <v>25.8568994889268</v>
      </c>
      <c r="AK3112">
        <v>51.780238500851802</v>
      </c>
    </row>
    <row r="3113" spans="1:37" x14ac:dyDescent="0.3">
      <c r="A3113">
        <v>3112</v>
      </c>
      <c r="B3113">
        <v>4.8</v>
      </c>
      <c r="C3113">
        <v>-12.461600000000001</v>
      </c>
      <c r="D3113">
        <v>12.5633</v>
      </c>
      <c r="E3113">
        <f>-12.4616-12.5633</f>
        <v>-25.024900000000002</v>
      </c>
      <c r="F3113" t="s">
        <v>5204</v>
      </c>
      <c r="G3113" t="s">
        <v>39</v>
      </c>
      <c r="H3113">
        <v>2008</v>
      </c>
      <c r="I3113">
        <v>28.100000381469702</v>
      </c>
      <c r="J3113">
        <v>13.1000003814697</v>
      </c>
      <c r="K3113">
        <v>57</v>
      </c>
      <c r="L3113">
        <v>23.2600002288818</v>
      </c>
      <c r="M3113">
        <v>39.599998474121101</v>
      </c>
      <c r="N3113">
        <v>16.899999618530298</v>
      </c>
      <c r="O3113">
        <v>22.700000762939499</v>
      </c>
      <c r="P3113">
        <v>26.600000381469702</v>
      </c>
      <c r="Q3113">
        <v>28.200000762939499</v>
      </c>
      <c r="R3113">
        <v>31.700000762939499</v>
      </c>
      <c r="S3113">
        <v>25.899999618530298</v>
      </c>
      <c r="T3113">
        <v>1221</v>
      </c>
      <c r="U3113">
        <v>328</v>
      </c>
      <c r="V3113">
        <v>0</v>
      </c>
      <c r="W3113">
        <v>118</v>
      </c>
      <c r="X3113">
        <v>870</v>
      </c>
      <c r="Y3113">
        <v>0</v>
      </c>
      <c r="Z3113">
        <v>56</v>
      </c>
      <c r="AA3113">
        <v>10</v>
      </c>
      <c r="AB3113">
        <v>4.4730852377272496</v>
      </c>
      <c r="AC3113">
        <v>0.606342056309217</v>
      </c>
      <c r="AD3113">
        <v>6.9748611559859697</v>
      </c>
      <c r="AE3113">
        <v>0.28579187393188499</v>
      </c>
      <c r="AF3113">
        <v>124.822827938671</v>
      </c>
      <c r="AG3113">
        <f>IFERROR(AH3113*0.1, "N/A")</f>
        <v>6.1879045996592907</v>
      </c>
      <c r="AH3113">
        <v>61.8790459965929</v>
      </c>
      <c r="AI3113">
        <v>133.53113615695599</v>
      </c>
      <c r="AJ3113">
        <v>25.8568994889268</v>
      </c>
      <c r="AK3113">
        <v>51.780238500851802</v>
      </c>
    </row>
    <row r="3114" spans="1:37" x14ac:dyDescent="0.3">
      <c r="A3114">
        <v>3113</v>
      </c>
      <c r="B3114">
        <v>12</v>
      </c>
      <c r="C3114">
        <v>-16.225300000000001</v>
      </c>
      <c r="D3114">
        <v>12.565799999999999</v>
      </c>
      <c r="E3114">
        <f>-16.2253-12.5658</f>
        <v>-28.7911</v>
      </c>
      <c r="F3114" t="s">
        <v>5205</v>
      </c>
      <c r="G3114" t="s">
        <v>39</v>
      </c>
      <c r="H3114">
        <v>2004</v>
      </c>
      <c r="I3114">
        <v>26.7003414732431</v>
      </c>
      <c r="J3114">
        <v>13.3999996185303</v>
      </c>
      <c r="K3114">
        <v>62</v>
      </c>
      <c r="L3114">
        <v>12.867410211384399</v>
      </c>
      <c r="M3114">
        <v>36.643270333337199</v>
      </c>
      <c r="N3114">
        <v>15.1976148176437</v>
      </c>
      <c r="O3114">
        <v>21.445655670036</v>
      </c>
      <c r="P3114">
        <v>26.8003399538628</v>
      </c>
      <c r="Q3114">
        <v>25.697615738824801</v>
      </c>
      <c r="R3114">
        <v>28.0459967683081</v>
      </c>
      <c r="S3114">
        <v>24.7003414732431</v>
      </c>
      <c r="T3114">
        <v>1265.4139693356001</v>
      </c>
      <c r="U3114">
        <v>430.50596252129498</v>
      </c>
      <c r="V3114">
        <v>0</v>
      </c>
      <c r="W3114">
        <v>139</v>
      </c>
      <c r="X3114">
        <v>1041.87393526405</v>
      </c>
      <c r="Y3114">
        <v>0</v>
      </c>
      <c r="Z3114">
        <v>108</v>
      </c>
      <c r="AA3114">
        <v>1</v>
      </c>
      <c r="AB3114">
        <v>4.5833052467853097</v>
      </c>
      <c r="AC3114">
        <v>1.1958925653204999E-2</v>
      </c>
      <c r="AD3114">
        <v>2.1980837884103601</v>
      </c>
      <c r="AE3114">
        <v>0.47068116952247901</v>
      </c>
      <c r="AF3114">
        <v>13.3441226575809</v>
      </c>
      <c r="AG3114">
        <f>IFERROR(AH3114*0.1, "N/A")</f>
        <v>5.5313458262350901</v>
      </c>
      <c r="AH3114">
        <v>55.313458262350899</v>
      </c>
      <c r="AI3114">
        <v>213.476323194358</v>
      </c>
      <c r="AJ3114">
        <v>27.258943781942101</v>
      </c>
      <c r="AK3114">
        <v>55.790459965928399</v>
      </c>
    </row>
    <row r="3115" spans="1:37" x14ac:dyDescent="0.3">
      <c r="A3115">
        <v>3114</v>
      </c>
      <c r="B3115">
        <v>33</v>
      </c>
      <c r="C3115">
        <v>-16.583300000000001</v>
      </c>
      <c r="D3115">
        <v>12.566700000000001</v>
      </c>
      <c r="E3115">
        <f>-16.5833-12.5667</f>
        <v>-29.150000000000002</v>
      </c>
      <c r="F3115" t="s">
        <v>5206</v>
      </c>
      <c r="G3115" t="s">
        <v>39</v>
      </c>
      <c r="H3115">
        <v>1987</v>
      </c>
      <c r="I3115">
        <v>26.365246504697499</v>
      </c>
      <c r="J3115">
        <v>12.3999996185303</v>
      </c>
      <c r="K3115">
        <v>62</v>
      </c>
      <c r="L3115">
        <v>12.4114651964308</v>
      </c>
      <c r="M3115">
        <v>35.365247749185599</v>
      </c>
      <c r="N3115">
        <v>15.52538340177</v>
      </c>
      <c r="O3115">
        <v>19.839863102927499</v>
      </c>
      <c r="P3115">
        <v>26.565247267637002</v>
      </c>
      <c r="Q3115">
        <v>25.1652476491067</v>
      </c>
      <c r="R3115">
        <v>27.465246886167201</v>
      </c>
      <c r="S3115">
        <v>24.365246504697499</v>
      </c>
      <c r="T3115">
        <v>1220.8006814309999</v>
      </c>
      <c r="U3115">
        <v>433.69505962521299</v>
      </c>
      <c r="V3115">
        <v>0</v>
      </c>
      <c r="W3115">
        <v>143.71890971039201</v>
      </c>
      <c r="X3115">
        <v>1033.9880749574099</v>
      </c>
      <c r="Y3115">
        <v>0</v>
      </c>
      <c r="Z3115">
        <v>84.465076660988103</v>
      </c>
      <c r="AA3115">
        <v>1</v>
      </c>
      <c r="AB3115">
        <v>10.9119256854667</v>
      </c>
      <c r="AC3115">
        <v>1.1873595635494E-2</v>
      </c>
      <c r="AD3115">
        <v>3.7145990868443302</v>
      </c>
      <c r="AE3115">
        <v>0.41291036734792202</v>
      </c>
      <c r="AF3115">
        <v>20.206132879045999</v>
      </c>
      <c r="AG3115">
        <f>IFERROR(AH3115*0.1, "N/A")</f>
        <v>5.6356047700170402</v>
      </c>
      <c r="AH3115">
        <v>56.3560477001704</v>
      </c>
      <c r="AI3115">
        <v>260.71112988551602</v>
      </c>
      <c r="AJ3115">
        <v>22.3560477001704</v>
      </c>
      <c r="AK3115">
        <v>59.6439522998296</v>
      </c>
    </row>
    <row r="3116" spans="1:37" x14ac:dyDescent="0.3">
      <c r="A3116">
        <v>3115</v>
      </c>
      <c r="B3116">
        <v>0</v>
      </c>
      <c r="C3116">
        <v>-16.583300000000001</v>
      </c>
      <c r="D3116">
        <v>12.566700000000001</v>
      </c>
      <c r="E3116">
        <f>-16.5833-12.5667</f>
        <v>-29.150000000000002</v>
      </c>
      <c r="F3116" t="s">
        <v>5207</v>
      </c>
      <c r="G3116" t="s">
        <v>37</v>
      </c>
      <c r="H3116">
        <v>1987</v>
      </c>
      <c r="I3116">
        <v>26.365246504697499</v>
      </c>
      <c r="J3116">
        <v>12.3999996185303</v>
      </c>
      <c r="K3116">
        <v>62</v>
      </c>
      <c r="L3116">
        <v>12.4114651964308</v>
      </c>
      <c r="M3116">
        <v>35.365247749185599</v>
      </c>
      <c r="N3116">
        <v>15.52538340177</v>
      </c>
      <c r="O3116">
        <v>19.839863102927499</v>
      </c>
      <c r="P3116">
        <v>26.565247267637002</v>
      </c>
      <c r="Q3116">
        <v>25.1652476491067</v>
      </c>
      <c r="R3116">
        <v>27.465246886167201</v>
      </c>
      <c r="S3116">
        <v>24.365246504697499</v>
      </c>
      <c r="T3116">
        <v>1220.8006814309999</v>
      </c>
      <c r="U3116">
        <v>433.69505962521299</v>
      </c>
      <c r="V3116">
        <v>0</v>
      </c>
      <c r="W3116">
        <v>143.71890971039201</v>
      </c>
      <c r="X3116">
        <v>1033.9880749574099</v>
      </c>
      <c r="Y3116">
        <v>0</v>
      </c>
      <c r="Z3116">
        <v>84.465076660988103</v>
      </c>
      <c r="AA3116">
        <v>1</v>
      </c>
      <c r="AB3116">
        <v>10.9119256854667</v>
      </c>
      <c r="AC3116">
        <v>1.1873595635494E-2</v>
      </c>
      <c r="AD3116">
        <v>3.7145990868443302</v>
      </c>
      <c r="AE3116">
        <v>0.41291036734792202</v>
      </c>
      <c r="AF3116">
        <v>20.206132879045999</v>
      </c>
      <c r="AG3116">
        <f>IFERROR(AH3116*0.1, "N/A")</f>
        <v>5.6356047700170402</v>
      </c>
      <c r="AH3116">
        <v>56.3560477001704</v>
      </c>
      <c r="AI3116">
        <v>260.71112988551602</v>
      </c>
      <c r="AJ3116">
        <v>22.3560477001704</v>
      </c>
      <c r="AK3116">
        <v>59.6439522998296</v>
      </c>
    </row>
    <row r="3117" spans="1:37" x14ac:dyDescent="0.3">
      <c r="A3117">
        <v>3116</v>
      </c>
      <c r="B3117">
        <v>85</v>
      </c>
      <c r="C3117">
        <v>-16.568000999999999</v>
      </c>
      <c r="D3117">
        <v>12.568</v>
      </c>
      <c r="E3117">
        <f>-16.568001-12.568</f>
        <v>-29.136001</v>
      </c>
      <c r="F3117" t="s">
        <v>5208</v>
      </c>
      <c r="G3117" t="s">
        <v>39</v>
      </c>
      <c r="H3117">
        <v>1987</v>
      </c>
      <c r="I3117">
        <v>26.399999618530298</v>
      </c>
      <c r="J3117">
        <v>12.5</v>
      </c>
      <c r="K3117">
        <v>63</v>
      </c>
      <c r="L3117">
        <v>12.1499996185303</v>
      </c>
      <c r="M3117">
        <v>35.400001525878899</v>
      </c>
      <c r="N3117">
        <v>15.6000003814697</v>
      </c>
      <c r="O3117">
        <v>19.799999237060501</v>
      </c>
      <c r="P3117">
        <v>26.600000381469702</v>
      </c>
      <c r="Q3117">
        <v>25.200000762939499</v>
      </c>
      <c r="R3117">
        <v>27.5</v>
      </c>
      <c r="S3117">
        <v>24.399999618530298</v>
      </c>
      <c r="T3117">
        <v>1222</v>
      </c>
      <c r="U3117">
        <v>433</v>
      </c>
      <c r="V3117">
        <v>0</v>
      </c>
      <c r="W3117">
        <v>144</v>
      </c>
      <c r="X3117">
        <v>1035</v>
      </c>
      <c r="Y3117">
        <v>0</v>
      </c>
      <c r="Z3117">
        <v>85</v>
      </c>
      <c r="AA3117">
        <v>1</v>
      </c>
      <c r="AB3117">
        <v>5.76983072111162</v>
      </c>
      <c r="AC3117">
        <v>1.5477409857815001E-2</v>
      </c>
      <c r="AD3117">
        <v>2.0176362983251002</v>
      </c>
      <c r="AE3117">
        <v>0.29994045672780401</v>
      </c>
      <c r="AF3117">
        <v>10.603389830508499</v>
      </c>
      <c r="AG3117">
        <f>IFERROR(AH3117*0.1, "N/A")</f>
        <v>5.1220338983050802</v>
      </c>
      <c r="AH3117">
        <v>51.220338983050802</v>
      </c>
      <c r="AI3117">
        <v>267.85655956591597</v>
      </c>
      <c r="AJ3117">
        <v>20.844067796610201</v>
      </c>
      <c r="AK3117">
        <v>60.066101694915297</v>
      </c>
    </row>
    <row r="3118" spans="1:37" x14ac:dyDescent="0.3">
      <c r="A3118">
        <v>3117</v>
      </c>
      <c r="B3118">
        <v>2</v>
      </c>
      <c r="C3118">
        <v>-16.173598999999999</v>
      </c>
      <c r="D3118">
        <v>12.5692</v>
      </c>
      <c r="E3118">
        <f>-16.173599-12.5692</f>
        <v>-28.742798999999998</v>
      </c>
      <c r="F3118" t="s">
        <v>5209</v>
      </c>
      <c r="G3118" t="s">
        <v>39</v>
      </c>
      <c r="H3118">
        <v>2004</v>
      </c>
      <c r="I3118">
        <v>26.700000762939499</v>
      </c>
      <c r="J3118">
        <v>13.3999996185303</v>
      </c>
      <c r="K3118">
        <v>62</v>
      </c>
      <c r="L3118">
        <v>13.060000419616699</v>
      </c>
      <c r="M3118">
        <v>36.5</v>
      </c>
      <c r="N3118">
        <v>15.199999809265099</v>
      </c>
      <c r="O3118">
        <v>21.299999237060501</v>
      </c>
      <c r="P3118">
        <v>26.700000762939499</v>
      </c>
      <c r="Q3118">
        <v>25.600000381469702</v>
      </c>
      <c r="R3118">
        <v>28.100000381469702</v>
      </c>
      <c r="S3118">
        <v>24.700000762939499</v>
      </c>
      <c r="T3118">
        <v>1257</v>
      </c>
      <c r="U3118">
        <v>432</v>
      </c>
      <c r="V3118">
        <v>0</v>
      </c>
      <c r="W3118">
        <v>140</v>
      </c>
      <c r="X3118">
        <v>1033</v>
      </c>
      <c r="Y3118">
        <v>0</v>
      </c>
      <c r="Z3118">
        <v>108</v>
      </c>
      <c r="AA3118">
        <v>1</v>
      </c>
      <c r="AB3118">
        <v>12.174280826613799</v>
      </c>
      <c r="AC3118">
        <v>4.5506025979676998E-2</v>
      </c>
      <c r="AD3118">
        <v>1.8286836195718199</v>
      </c>
      <c r="AE3118">
        <v>0.38539353013038602</v>
      </c>
      <c r="AF3118">
        <v>15.387478849407801</v>
      </c>
      <c r="AG3118">
        <f>IFERROR(AH3118*0.1, "N/A")</f>
        <v>5.4238578680203</v>
      </c>
      <c r="AH3118">
        <v>54.238578680202998</v>
      </c>
      <c r="AI3118">
        <v>152.04194348395001</v>
      </c>
      <c r="AJ3118">
        <v>25.5228426395939</v>
      </c>
      <c r="AK3118">
        <v>57</v>
      </c>
    </row>
    <row r="3119" spans="1:37" x14ac:dyDescent="0.3">
      <c r="A3119">
        <v>3118</v>
      </c>
      <c r="B3119">
        <v>40</v>
      </c>
      <c r="C3119">
        <v>-12.78</v>
      </c>
      <c r="D3119">
        <v>12.57</v>
      </c>
      <c r="E3119">
        <f>-12.78-12.57</f>
        <v>-25.35</v>
      </c>
      <c r="F3119" t="s">
        <v>5210</v>
      </c>
      <c r="G3119" t="s">
        <v>39</v>
      </c>
      <c r="H3119">
        <v>2003</v>
      </c>
      <c r="I3119">
        <v>28</v>
      </c>
      <c r="J3119">
        <v>13.199999809265099</v>
      </c>
      <c r="K3119">
        <v>57</v>
      </c>
      <c r="L3119">
        <v>23.0100002288818</v>
      </c>
      <c r="M3119">
        <v>39.5</v>
      </c>
      <c r="N3119">
        <v>16.600000381469702</v>
      </c>
      <c r="O3119">
        <v>22.899999618530298</v>
      </c>
      <c r="P3119">
        <v>26.799999237060501</v>
      </c>
      <c r="Q3119">
        <v>27.700000762939499</v>
      </c>
      <c r="R3119">
        <v>31.399999618530298</v>
      </c>
      <c r="S3119">
        <v>25.600000381469702</v>
      </c>
      <c r="T3119">
        <v>1223</v>
      </c>
      <c r="U3119">
        <v>332</v>
      </c>
      <c r="V3119">
        <v>0</v>
      </c>
      <c r="W3119">
        <v>119</v>
      </c>
      <c r="X3119">
        <v>872</v>
      </c>
      <c r="Y3119">
        <v>0</v>
      </c>
      <c r="Z3119">
        <v>55</v>
      </c>
      <c r="AA3119">
        <v>11</v>
      </c>
      <c r="AB3119">
        <v>1.64027005887879</v>
      </c>
      <c r="AC3119">
        <v>1.2492217475</v>
      </c>
      <c r="AD3119">
        <v>4.0354979018067798</v>
      </c>
      <c r="AE3119">
        <v>0.30692303180694602</v>
      </c>
      <c r="AF3119">
        <v>92.532994923857899</v>
      </c>
      <c r="AG3119">
        <f>IFERROR(AH3119*0.1, "N/A")</f>
        <v>6.3663282571912001</v>
      </c>
      <c r="AH3119">
        <v>63.663282571911999</v>
      </c>
      <c r="AI3119">
        <v>102.46147215144499</v>
      </c>
      <c r="AJ3119">
        <v>25.822335025380699</v>
      </c>
      <c r="AK3119">
        <v>48.729272419627797</v>
      </c>
    </row>
    <row r="3120" spans="1:37" x14ac:dyDescent="0.3">
      <c r="A3120">
        <v>3119</v>
      </c>
      <c r="B3120">
        <v>0</v>
      </c>
      <c r="C3120">
        <v>-16.121901000000001</v>
      </c>
      <c r="D3120">
        <v>12.571899999999999</v>
      </c>
      <c r="E3120">
        <f>-16.121901-12.5719</f>
        <v>-28.693801000000001</v>
      </c>
      <c r="F3120" t="s">
        <v>5211</v>
      </c>
      <c r="G3120" t="s">
        <v>39</v>
      </c>
      <c r="H3120">
        <v>2004</v>
      </c>
      <c r="I3120">
        <v>26.799999237060501</v>
      </c>
      <c r="J3120">
        <v>13.300000190734901</v>
      </c>
      <c r="K3120">
        <v>62</v>
      </c>
      <c r="L3120">
        <v>13.1000003814697</v>
      </c>
      <c r="M3120">
        <v>36.599998474121101</v>
      </c>
      <c r="N3120">
        <v>15.199999809265099</v>
      </c>
      <c r="O3120">
        <v>21.399999618530298</v>
      </c>
      <c r="P3120">
        <v>26.799999237060501</v>
      </c>
      <c r="Q3120">
        <v>25.700000762939499</v>
      </c>
      <c r="R3120">
        <v>28.100000381469702</v>
      </c>
      <c r="S3120">
        <v>24.700000762939499</v>
      </c>
      <c r="T3120">
        <v>1251</v>
      </c>
      <c r="U3120">
        <v>434</v>
      </c>
      <c r="V3120">
        <v>0</v>
      </c>
      <c r="W3120">
        <v>139</v>
      </c>
      <c r="X3120">
        <v>1027</v>
      </c>
      <c r="Y3120">
        <v>0</v>
      </c>
      <c r="Z3120">
        <v>107</v>
      </c>
      <c r="AA3120">
        <v>1</v>
      </c>
      <c r="AB3120">
        <v>6.5283784560255098</v>
      </c>
      <c r="AC3120">
        <v>2.9397291666199001E-2</v>
      </c>
      <c r="AD3120">
        <v>3.79256352621156</v>
      </c>
      <c r="AE3120">
        <v>0.29053905606269798</v>
      </c>
      <c r="AF3120">
        <v>11.125</v>
      </c>
      <c r="AG3120">
        <f>IFERROR(AH3120*0.1, "N/A")</f>
        <v>5.102364864864871</v>
      </c>
      <c r="AH3120">
        <v>51.023648648648702</v>
      </c>
      <c r="AI3120">
        <v>202.392413989918</v>
      </c>
      <c r="AJ3120">
        <v>27.984797297297298</v>
      </c>
      <c r="AK3120">
        <v>52</v>
      </c>
    </row>
    <row r="3121" spans="1:37" x14ac:dyDescent="0.3">
      <c r="A3121">
        <v>3120</v>
      </c>
      <c r="B3121">
        <v>10</v>
      </c>
      <c r="C3121">
        <v>-16.291401</v>
      </c>
      <c r="D3121">
        <v>12.5761</v>
      </c>
      <c r="E3121">
        <f>-16.291401-12.5761</f>
        <v>-28.867501000000001</v>
      </c>
      <c r="F3121" t="s">
        <v>5212</v>
      </c>
      <c r="G3121" t="s">
        <v>39</v>
      </c>
      <c r="H3121">
        <v>2004</v>
      </c>
      <c r="I3121">
        <v>26.713946128378101</v>
      </c>
      <c r="J3121">
        <v>13.3999996185303</v>
      </c>
      <c r="K3121">
        <v>62</v>
      </c>
      <c r="L3121">
        <v>13.0074494160762</v>
      </c>
      <c r="M3121">
        <v>36.599998474121101</v>
      </c>
      <c r="N3121">
        <v>15.2139454406946</v>
      </c>
      <c r="O3121">
        <v>21.386053987100802</v>
      </c>
      <c r="P3121">
        <v>26.827890499919501</v>
      </c>
      <c r="Q3121">
        <v>25.700000762939499</v>
      </c>
      <c r="R3121">
        <v>28.100000381469702</v>
      </c>
      <c r="S3121">
        <v>24.713946128378101</v>
      </c>
      <c r="T3121">
        <v>1265</v>
      </c>
      <c r="U3121">
        <v>428</v>
      </c>
      <c r="V3121">
        <v>0</v>
      </c>
      <c r="W3121">
        <v>139</v>
      </c>
      <c r="X3121">
        <v>1044</v>
      </c>
      <c r="Y3121">
        <v>0</v>
      </c>
      <c r="Z3121">
        <v>108</v>
      </c>
      <c r="AA3121">
        <v>1</v>
      </c>
      <c r="AB3121">
        <v>6.7166666570974902</v>
      </c>
      <c r="AC3121">
        <v>2.1775424822557E-2</v>
      </c>
      <c r="AD3121">
        <v>2.2052994634018499</v>
      </c>
      <c r="AE3121">
        <v>0.86068041835512399</v>
      </c>
      <c r="AF3121">
        <v>8.5272108843537406</v>
      </c>
      <c r="AG3121">
        <f>IFERROR(AH3121*0.1, "N/A")</f>
        <v>5.7013605442176907</v>
      </c>
      <c r="AH3121">
        <v>57.013605442176903</v>
      </c>
      <c r="AI3121">
        <v>314.19083098327201</v>
      </c>
      <c r="AJ3121">
        <v>22.761904761904798</v>
      </c>
      <c r="AK3121">
        <v>59.374149659863903</v>
      </c>
    </row>
    <row r="3122" spans="1:37" x14ac:dyDescent="0.3">
      <c r="A3122">
        <v>3121</v>
      </c>
      <c r="B3122">
        <v>10</v>
      </c>
      <c r="C3122">
        <v>-16.136399999999998</v>
      </c>
      <c r="D3122">
        <v>12.579700000000001</v>
      </c>
      <c r="E3122">
        <f>-16.1364-12.5797</f>
        <v>-28.716099999999997</v>
      </c>
      <c r="F3122" t="s">
        <v>5213</v>
      </c>
      <c r="G3122" t="s">
        <v>39</v>
      </c>
      <c r="H3122">
        <v>2004</v>
      </c>
      <c r="I3122">
        <v>26.700000762939499</v>
      </c>
      <c r="J3122">
        <v>13.3999996185303</v>
      </c>
      <c r="K3122">
        <v>62</v>
      </c>
      <c r="L3122">
        <v>13.310000419616699</v>
      </c>
      <c r="M3122">
        <v>36.599998474121101</v>
      </c>
      <c r="N3122">
        <v>15.199999809265099</v>
      </c>
      <c r="O3122">
        <v>21.399999618530298</v>
      </c>
      <c r="P3122">
        <v>26.799999237060501</v>
      </c>
      <c r="Q3122">
        <v>25.700000762939499</v>
      </c>
      <c r="R3122">
        <v>28.100000381469702</v>
      </c>
      <c r="S3122">
        <v>24.700000762939499</v>
      </c>
      <c r="T3122">
        <v>1247</v>
      </c>
      <c r="U3122">
        <v>431</v>
      </c>
      <c r="V3122">
        <v>0</v>
      </c>
      <c r="W3122">
        <v>140</v>
      </c>
      <c r="X3122">
        <v>1024</v>
      </c>
      <c r="Y3122">
        <v>0</v>
      </c>
      <c r="Z3122">
        <v>107</v>
      </c>
      <c r="AA3122">
        <v>1</v>
      </c>
      <c r="AB3122">
        <v>11.894897979943901</v>
      </c>
      <c r="AC3122">
        <v>3.091675218125E-2</v>
      </c>
      <c r="AD3122">
        <v>3.3739889130300398</v>
      </c>
      <c r="AE3122">
        <v>0.27714762091636702</v>
      </c>
      <c r="AF3122">
        <v>18.860544217687099</v>
      </c>
      <c r="AG3122">
        <f>IFERROR(AH3122*0.1, "N/A")</f>
        <v>5.7</v>
      </c>
      <c r="AH3122">
        <v>57</v>
      </c>
      <c r="AI3122">
        <v>222.81090057788299</v>
      </c>
      <c r="AJ3122">
        <v>25.2040816326531</v>
      </c>
      <c r="AK3122">
        <v>56.2040816326531</v>
      </c>
    </row>
    <row r="3123" spans="1:37" x14ac:dyDescent="0.3">
      <c r="A3123">
        <v>3122</v>
      </c>
      <c r="B3123">
        <v>6</v>
      </c>
      <c r="C3123">
        <v>-16.483101000000001</v>
      </c>
      <c r="D3123">
        <v>12.5808</v>
      </c>
      <c r="E3123">
        <f>-16.483101-12.5808</f>
        <v>-29.063901000000001</v>
      </c>
      <c r="F3123" t="s">
        <v>5214</v>
      </c>
      <c r="G3123" t="s">
        <v>39</v>
      </c>
      <c r="H3123">
        <v>2004</v>
      </c>
      <c r="I3123">
        <v>26.5</v>
      </c>
      <c r="J3123">
        <v>12.800000190734901</v>
      </c>
      <c r="K3123">
        <v>62.584040747028901</v>
      </c>
      <c r="L3123">
        <v>12.5623089979784</v>
      </c>
      <c r="M3123">
        <v>35.799999237060497</v>
      </c>
      <c r="N3123">
        <v>15.458403916027001</v>
      </c>
      <c r="O3123">
        <v>20.341595321033498</v>
      </c>
      <c r="P3123">
        <v>26.700000762939499</v>
      </c>
      <c r="Q3123">
        <v>25.399999618530298</v>
      </c>
      <c r="R3123">
        <v>27.700000762939499</v>
      </c>
      <c r="S3123">
        <v>24.5</v>
      </c>
      <c r="T3123">
        <v>1237.41595925297</v>
      </c>
      <c r="U3123">
        <v>430.41595925297099</v>
      </c>
      <c r="V3123">
        <v>0</v>
      </c>
      <c r="W3123">
        <v>142</v>
      </c>
      <c r="X3123">
        <v>1039.41595925297</v>
      </c>
      <c r="Y3123">
        <v>0</v>
      </c>
      <c r="Z3123">
        <v>92</v>
      </c>
      <c r="AA3123">
        <v>1</v>
      </c>
      <c r="AB3123">
        <v>0.35398985918592302</v>
      </c>
      <c r="AC3123">
        <v>4.9352647618379502</v>
      </c>
      <c r="AD3123">
        <v>0.58811429922163805</v>
      </c>
      <c r="AE3123">
        <v>0.29473686218261702</v>
      </c>
      <c r="AF3123">
        <v>3.3735144312393901</v>
      </c>
      <c r="AG3123">
        <f>IFERROR(AH3123*0.1, "N/A")</f>
        <v>5.8000000000000007</v>
      </c>
      <c r="AH3123">
        <v>58</v>
      </c>
      <c r="AI3123">
        <v>170.62774482040501</v>
      </c>
      <c r="AJ3123">
        <v>30</v>
      </c>
      <c r="AK3123">
        <v>49</v>
      </c>
    </row>
    <row r="3124" spans="1:37" x14ac:dyDescent="0.3">
      <c r="A3124">
        <v>3123</v>
      </c>
      <c r="B3124">
        <v>2</v>
      </c>
      <c r="C3124">
        <v>-15.9742</v>
      </c>
      <c r="D3124">
        <v>12.5808</v>
      </c>
      <c r="E3124">
        <f>-15.9742-12.5808</f>
        <v>-28.555</v>
      </c>
      <c r="F3124" t="s">
        <v>5215</v>
      </c>
      <c r="G3124" t="s">
        <v>39</v>
      </c>
      <c r="H3124">
        <v>2004</v>
      </c>
      <c r="I3124">
        <v>26.799999237060501</v>
      </c>
      <c r="J3124">
        <v>13.199999809265099</v>
      </c>
      <c r="K3124">
        <v>61.913559322033898</v>
      </c>
      <c r="L3124">
        <v>13.1890170485286</v>
      </c>
      <c r="M3124">
        <v>36.508643935898597</v>
      </c>
      <c r="N3124">
        <v>15.300000190734901</v>
      </c>
      <c r="O3124">
        <v>21.2086446988381</v>
      </c>
      <c r="P3124">
        <v>26.7913553011619</v>
      </c>
      <c r="Q3124">
        <v>25.7913553011619</v>
      </c>
      <c r="R3124">
        <v>28.299999237060501</v>
      </c>
      <c r="S3124">
        <v>24.7913553011619</v>
      </c>
      <c r="T3124">
        <v>1222.17288135593</v>
      </c>
      <c r="U3124">
        <v>436</v>
      </c>
      <c r="V3124">
        <v>0</v>
      </c>
      <c r="W3124">
        <v>140.91355932203399</v>
      </c>
      <c r="X3124">
        <v>1000.17288135593</v>
      </c>
      <c r="Y3124">
        <v>0</v>
      </c>
      <c r="Z3124">
        <v>104</v>
      </c>
      <c r="AA3124">
        <v>1</v>
      </c>
      <c r="AB3124">
        <v>0.34491529000007498</v>
      </c>
      <c r="AC3124">
        <v>1.6408471038280901</v>
      </c>
      <c r="AD3124">
        <v>2.38363061173487</v>
      </c>
      <c r="AE3124">
        <v>0.29959985613822898</v>
      </c>
      <c r="AF3124">
        <v>-0.27966101694915302</v>
      </c>
      <c r="AG3124">
        <f>IFERROR(AH3124*0.1, "N/A")</f>
        <v>5.12610169491525</v>
      </c>
      <c r="AH3124">
        <v>51.261016949152499</v>
      </c>
      <c r="AI3124">
        <v>148.83674591193801</v>
      </c>
      <c r="AJ3124">
        <v>26.913559322033901</v>
      </c>
      <c r="AK3124">
        <v>55.823728813559299</v>
      </c>
    </row>
    <row r="3125" spans="1:37" x14ac:dyDescent="0.3">
      <c r="A3125">
        <v>3124</v>
      </c>
      <c r="B3125">
        <v>30</v>
      </c>
      <c r="C3125">
        <v>-12.66</v>
      </c>
      <c r="D3125">
        <v>12.581099999999999</v>
      </c>
      <c r="E3125">
        <f>-12.66-12.5811</f>
        <v>-25.241099999999999</v>
      </c>
      <c r="F3125" t="s">
        <v>5216</v>
      </c>
      <c r="G3125" t="s">
        <v>39</v>
      </c>
      <c r="H3125">
        <v>2003</v>
      </c>
      <c r="I3125">
        <v>28.100000381469702</v>
      </c>
      <c r="J3125">
        <v>13.199999809265099</v>
      </c>
      <c r="K3125">
        <v>57</v>
      </c>
      <c r="L3125">
        <v>23.170000076293899</v>
      </c>
      <c r="M3125">
        <v>39.599998474121101</v>
      </c>
      <c r="N3125">
        <v>16.700000762939499</v>
      </c>
      <c r="O3125">
        <v>22.899999618530298</v>
      </c>
      <c r="P3125">
        <v>26.700000762939499</v>
      </c>
      <c r="Q3125">
        <v>27.899999618530298</v>
      </c>
      <c r="R3125">
        <v>31.600000381469702</v>
      </c>
      <c r="S3125">
        <v>25.700000762939499</v>
      </c>
      <c r="T3125">
        <v>1216</v>
      </c>
      <c r="U3125">
        <v>329</v>
      </c>
      <c r="V3125">
        <v>0</v>
      </c>
      <c r="W3125">
        <v>118</v>
      </c>
      <c r="X3125">
        <v>867</v>
      </c>
      <c r="Y3125">
        <v>0</v>
      </c>
      <c r="Z3125">
        <v>55</v>
      </c>
      <c r="AA3125">
        <v>11</v>
      </c>
      <c r="AB3125">
        <v>1.5081218971213699</v>
      </c>
      <c r="AC3125">
        <v>3.4262972298297298</v>
      </c>
      <c r="AD3125">
        <v>1.2515042590610901</v>
      </c>
      <c r="AE3125">
        <v>0.17511166632175401</v>
      </c>
      <c r="AF3125">
        <v>101.02707275803699</v>
      </c>
      <c r="AG3125">
        <f>IFERROR(AH3125*0.1, "N/A")</f>
        <v>6.2</v>
      </c>
      <c r="AH3125">
        <v>62</v>
      </c>
      <c r="AI3125">
        <v>194.64453552297701</v>
      </c>
      <c r="AJ3125">
        <v>24</v>
      </c>
      <c r="AK3125">
        <v>52</v>
      </c>
    </row>
    <row r="3126" spans="1:37" x14ac:dyDescent="0.3">
      <c r="A3126">
        <v>3125</v>
      </c>
      <c r="B3126">
        <v>30</v>
      </c>
      <c r="C3126">
        <v>-12.85</v>
      </c>
      <c r="D3126">
        <v>12.59</v>
      </c>
      <c r="E3126">
        <f>-12.85-12.59</f>
        <v>-25.439999999999998</v>
      </c>
      <c r="F3126" t="s">
        <v>5217</v>
      </c>
      <c r="G3126" t="s">
        <v>39</v>
      </c>
      <c r="H3126">
        <v>2003</v>
      </c>
      <c r="I3126">
        <v>27.683362329350299</v>
      </c>
      <c r="J3126">
        <v>13.1833615343518</v>
      </c>
      <c r="K3126">
        <v>57</v>
      </c>
      <c r="L3126">
        <v>22.711783394546401</v>
      </c>
      <c r="M3126">
        <v>38.983361883762498</v>
      </c>
      <c r="N3126">
        <v>16.200000762939499</v>
      </c>
      <c r="O3126">
        <v>22.783361120823098</v>
      </c>
      <c r="P3126">
        <v>26.399999618530298</v>
      </c>
      <c r="Q3126">
        <v>27.283361120823098</v>
      </c>
      <c r="R3126">
        <v>30.9833615664108</v>
      </c>
      <c r="S3126">
        <v>25.200000762939499</v>
      </c>
      <c r="T3126">
        <v>1223.1663837011899</v>
      </c>
      <c r="U3126">
        <v>333</v>
      </c>
      <c r="V3126">
        <v>0</v>
      </c>
      <c r="W3126">
        <v>118.833616298812</v>
      </c>
      <c r="X3126">
        <v>873.16638370118801</v>
      </c>
      <c r="Y3126">
        <v>0</v>
      </c>
      <c r="Z3126">
        <v>54</v>
      </c>
      <c r="AA3126">
        <v>12</v>
      </c>
      <c r="AB3126">
        <v>3.73158406644604</v>
      </c>
      <c r="AC3126">
        <v>0.203721421495624</v>
      </c>
      <c r="AD3126">
        <v>2.36376286949488</v>
      </c>
      <c r="AE3126">
        <v>0.55193150043487504</v>
      </c>
      <c r="AF3126">
        <v>151.99660441426099</v>
      </c>
      <c r="AG3126">
        <f>IFERROR(AH3126*0.1, "N/A")</f>
        <v>6.1833616298811505</v>
      </c>
      <c r="AH3126">
        <v>61.833616298811499</v>
      </c>
      <c r="AI3126">
        <v>129.61537483875901</v>
      </c>
      <c r="AJ3126">
        <v>20.8794567062818</v>
      </c>
      <c r="AK3126">
        <v>57.135823429541603</v>
      </c>
    </row>
    <row r="3127" spans="1:37" x14ac:dyDescent="0.3">
      <c r="A3127">
        <v>3126</v>
      </c>
      <c r="B3127">
        <v>4.8</v>
      </c>
      <c r="C3127">
        <v>-12.8567</v>
      </c>
      <c r="D3127">
        <v>12.5924</v>
      </c>
      <c r="E3127">
        <f>-12.8567-12.5924</f>
        <v>-25.449100000000001</v>
      </c>
      <c r="F3127" t="s">
        <v>5218</v>
      </c>
      <c r="G3127" t="s">
        <v>37</v>
      </c>
      <c r="H3127">
        <v>1964</v>
      </c>
      <c r="I3127">
        <v>27.3045910913117</v>
      </c>
      <c r="J3127">
        <v>13.0015306180837</v>
      </c>
      <c r="K3127">
        <v>57</v>
      </c>
      <c r="L3127">
        <v>22.8623477780089</v>
      </c>
      <c r="M3127">
        <v>38.604590357566401</v>
      </c>
      <c r="N3127">
        <v>16.003061236167401</v>
      </c>
      <c r="O3127">
        <v>22.6015309995534</v>
      </c>
      <c r="P3127">
        <v>26.104592206526799</v>
      </c>
      <c r="Q3127">
        <v>26.904591472781402</v>
      </c>
      <c r="R3127">
        <v>30.703061969912799</v>
      </c>
      <c r="S3127">
        <v>24.806121709395399</v>
      </c>
      <c r="T3127">
        <v>1226.9540816326501</v>
      </c>
      <c r="U3127">
        <v>333.98469387755102</v>
      </c>
      <c r="V3127">
        <v>0</v>
      </c>
      <c r="W3127">
        <v>118</v>
      </c>
      <c r="X3127">
        <v>874.98469387755097</v>
      </c>
      <c r="Y3127">
        <v>0</v>
      </c>
      <c r="Z3127">
        <v>54</v>
      </c>
      <c r="AA3127">
        <v>12</v>
      </c>
      <c r="AB3127">
        <v>45.748466050543797</v>
      </c>
      <c r="AC3127">
        <v>8.1942538249300007E-2</v>
      </c>
      <c r="AD3127">
        <v>8.4746444574018707</v>
      </c>
      <c r="AE3127">
        <v>0.58291095495223999</v>
      </c>
      <c r="AF3127">
        <v>194.94387755101999</v>
      </c>
      <c r="AG3127">
        <f>IFERROR(AH3127*0.1, "N/A")</f>
        <v>6.1003401360544203</v>
      </c>
      <c r="AH3127">
        <v>61.003401360544203</v>
      </c>
      <c r="AI3127">
        <v>127.382388095466</v>
      </c>
      <c r="AJ3127">
        <v>23.692176870748298</v>
      </c>
      <c r="AK3127">
        <v>53.304421768707499</v>
      </c>
    </row>
    <row r="3128" spans="1:37" x14ac:dyDescent="0.3">
      <c r="A3128">
        <v>3127</v>
      </c>
      <c r="B3128">
        <v>2</v>
      </c>
      <c r="C3128">
        <v>-16.035298999999998</v>
      </c>
      <c r="D3128">
        <v>12.598599999999999</v>
      </c>
      <c r="E3128">
        <f>-16.035299-12.5986</f>
        <v>-28.633899</v>
      </c>
      <c r="F3128" t="s">
        <v>5219</v>
      </c>
      <c r="G3128" t="s">
        <v>39</v>
      </c>
      <c r="H3128">
        <v>2004</v>
      </c>
      <c r="I3128">
        <v>26.700000762939499</v>
      </c>
      <c r="J3128">
        <v>13.300000190734901</v>
      </c>
      <c r="K3128">
        <v>62</v>
      </c>
      <c r="L3128">
        <v>13.310000419616699</v>
      </c>
      <c r="M3128">
        <v>36.400001525878899</v>
      </c>
      <c r="N3128">
        <v>15.1000003814697</v>
      </c>
      <c r="O3128">
        <v>21.299999237060501</v>
      </c>
      <c r="P3128">
        <v>26.700000762939499</v>
      </c>
      <c r="Q3128">
        <v>25.5</v>
      </c>
      <c r="R3128">
        <v>28.100000381469702</v>
      </c>
      <c r="S3128">
        <v>24.600000381469702</v>
      </c>
      <c r="T3128">
        <v>1225</v>
      </c>
      <c r="U3128">
        <v>432</v>
      </c>
      <c r="V3128">
        <v>0</v>
      </c>
      <c r="W3128">
        <v>140</v>
      </c>
      <c r="X3128">
        <v>1004</v>
      </c>
      <c r="Y3128">
        <v>0</v>
      </c>
      <c r="Z3128">
        <v>105</v>
      </c>
      <c r="AA3128">
        <v>1</v>
      </c>
      <c r="AB3128">
        <v>12.8253407007983</v>
      </c>
      <c r="AC3128">
        <v>2.7295038560215E-2</v>
      </c>
      <c r="AD3128">
        <v>1.4110790945234799</v>
      </c>
      <c r="AE3128">
        <v>0.32295441292986599</v>
      </c>
      <c r="AF3128">
        <v>17.7312925170068</v>
      </c>
      <c r="AG3128">
        <f>IFERROR(AH3128*0.1, "N/A")</f>
        <v>5.2938775510204108</v>
      </c>
      <c r="AH3128">
        <v>52.938775510204103</v>
      </c>
      <c r="AI3128">
        <v>163.77462145747</v>
      </c>
      <c r="AJ3128">
        <v>26.391156462584998</v>
      </c>
      <c r="AK3128">
        <v>52.772108843537403</v>
      </c>
    </row>
    <row r="3129" spans="1:37" x14ac:dyDescent="0.3">
      <c r="A3129">
        <v>3128</v>
      </c>
      <c r="B3129">
        <v>2</v>
      </c>
      <c r="C3129">
        <v>-16.077200000000001</v>
      </c>
      <c r="D3129">
        <v>12.6022</v>
      </c>
      <c r="E3129">
        <f>-16.0772-12.6022</f>
        <v>-28.679400000000001</v>
      </c>
      <c r="F3129" t="s">
        <v>5220</v>
      </c>
      <c r="G3129" t="s">
        <v>39</v>
      </c>
      <c r="H3129">
        <v>2004</v>
      </c>
      <c r="I3129">
        <v>26.799999237060501</v>
      </c>
      <c r="J3129">
        <v>13.300000190734901</v>
      </c>
      <c r="K3129">
        <v>62</v>
      </c>
      <c r="L3129">
        <v>13.2799997329712</v>
      </c>
      <c r="M3129">
        <v>36.599998474121101</v>
      </c>
      <c r="N3129">
        <v>15.199999809265099</v>
      </c>
      <c r="O3129">
        <v>21.399999618530298</v>
      </c>
      <c r="P3129">
        <v>26.799999237060501</v>
      </c>
      <c r="Q3129">
        <v>25.700000762939499</v>
      </c>
      <c r="R3129">
        <v>28.200000762939499</v>
      </c>
      <c r="S3129">
        <v>24.700000762939499</v>
      </c>
      <c r="T3129">
        <v>1224</v>
      </c>
      <c r="U3129">
        <v>428</v>
      </c>
      <c r="V3129">
        <v>0</v>
      </c>
      <c r="W3129">
        <v>139</v>
      </c>
      <c r="X3129">
        <v>1004</v>
      </c>
      <c r="Y3129">
        <v>0</v>
      </c>
      <c r="Z3129">
        <v>106</v>
      </c>
      <c r="AA3129">
        <v>1</v>
      </c>
      <c r="AB3129">
        <v>10.0524615561416</v>
      </c>
      <c r="AC3129">
        <v>7.6105748605241996E-2</v>
      </c>
      <c r="AD3129">
        <v>3.5655921034780498</v>
      </c>
      <c r="AE3129">
        <v>0.38679385185241699</v>
      </c>
      <c r="AF3129">
        <v>13.9303904923599</v>
      </c>
      <c r="AG3129">
        <f>IFERROR(AH3129*0.1, "N/A")</f>
        <v>5.550933786078101</v>
      </c>
      <c r="AH3129">
        <v>55.509337860781002</v>
      </c>
      <c r="AI3129">
        <v>241.39918669779999</v>
      </c>
      <c r="AJ3129">
        <v>28.424448217317501</v>
      </c>
      <c r="AK3129">
        <v>52.020373514431199</v>
      </c>
    </row>
    <row r="3130" spans="1:37" x14ac:dyDescent="0.3">
      <c r="A3130">
        <v>3129</v>
      </c>
      <c r="B3130">
        <v>0</v>
      </c>
      <c r="C3130">
        <v>-16.055799</v>
      </c>
      <c r="D3130">
        <v>12.606400000000001</v>
      </c>
      <c r="E3130">
        <f>-16.055799-12.6064</f>
        <v>-28.662199000000001</v>
      </c>
      <c r="F3130" t="s">
        <v>5221</v>
      </c>
      <c r="G3130" t="s">
        <v>39</v>
      </c>
      <c r="H3130">
        <v>2004</v>
      </c>
      <c r="I3130">
        <v>26.700000762939499</v>
      </c>
      <c r="J3130">
        <v>13.300000190734901</v>
      </c>
      <c r="K3130">
        <v>62</v>
      </c>
      <c r="L3130">
        <v>13.210000038146999</v>
      </c>
      <c r="M3130">
        <v>36.599998474121101</v>
      </c>
      <c r="N3130">
        <v>15.199999809265099</v>
      </c>
      <c r="O3130">
        <v>21.399999618530298</v>
      </c>
      <c r="P3130">
        <v>26.700000762939499</v>
      </c>
      <c r="Q3130">
        <v>25.600000381469702</v>
      </c>
      <c r="R3130">
        <v>28.200000762939499</v>
      </c>
      <c r="S3130">
        <v>24.700000762939499</v>
      </c>
      <c r="T3130">
        <v>1218</v>
      </c>
      <c r="U3130">
        <v>429</v>
      </c>
      <c r="V3130">
        <v>0</v>
      </c>
      <c r="W3130">
        <v>140</v>
      </c>
      <c r="X3130">
        <v>1000</v>
      </c>
      <c r="Y3130">
        <v>0</v>
      </c>
      <c r="Z3130">
        <v>105</v>
      </c>
      <c r="AA3130">
        <v>1</v>
      </c>
      <c r="AB3130">
        <v>12.924618053922</v>
      </c>
      <c r="AC3130">
        <v>3.8073409108384998E-2</v>
      </c>
      <c r="AD3130">
        <v>1.32435503526131</v>
      </c>
      <c r="AE3130">
        <v>0.40652585029602101</v>
      </c>
      <c r="AF3130">
        <v>13.932088285229201</v>
      </c>
      <c r="AG3130">
        <f>IFERROR(AH3130*0.1, "N/A")</f>
        <v>5.3032258064516107</v>
      </c>
      <c r="AH3130">
        <v>53.0322580645161</v>
      </c>
      <c r="AI3130">
        <v>196.80142315862901</v>
      </c>
      <c r="AJ3130">
        <v>24.064516129032299</v>
      </c>
      <c r="AK3130">
        <v>56.9677419354839</v>
      </c>
    </row>
    <row r="3131" spans="1:37" x14ac:dyDescent="0.3">
      <c r="A3131">
        <v>3130</v>
      </c>
      <c r="B3131">
        <v>1.7</v>
      </c>
      <c r="C3131">
        <v>-12.1279</v>
      </c>
      <c r="D3131">
        <v>12.608499999999999</v>
      </c>
      <c r="E3131">
        <f>-12.1279-12.6085</f>
        <v>-24.7364</v>
      </c>
      <c r="F3131" t="s">
        <v>5222</v>
      </c>
      <c r="G3131" t="s">
        <v>39</v>
      </c>
      <c r="H3131">
        <v>1996</v>
      </c>
      <c r="I3131">
        <v>28.5307953797419</v>
      </c>
      <c r="J3131">
        <v>13.199999809265099</v>
      </c>
      <c r="K3131">
        <v>57</v>
      </c>
      <c r="L3131">
        <v>24.167614089655999</v>
      </c>
      <c r="M3131">
        <v>40.099998474121101</v>
      </c>
      <c r="N3131">
        <v>17.161590553580599</v>
      </c>
      <c r="O3131">
        <v>22.938409240516101</v>
      </c>
      <c r="P3131">
        <v>26.730795555308401</v>
      </c>
      <c r="Q3131">
        <v>28.899999618530298</v>
      </c>
      <c r="R3131">
        <v>32.299999237060497</v>
      </c>
      <c r="S3131">
        <v>26.3307946168025</v>
      </c>
      <c r="T3131">
        <v>1175.4602368866299</v>
      </c>
      <c r="U3131">
        <v>313</v>
      </c>
      <c r="V3131">
        <v>0</v>
      </c>
      <c r="W3131">
        <v>118.307952622673</v>
      </c>
      <c r="X3131">
        <v>843.38409475465301</v>
      </c>
      <c r="Y3131">
        <v>0</v>
      </c>
      <c r="Z3131">
        <v>54.692047377326602</v>
      </c>
      <c r="AA3131">
        <v>7</v>
      </c>
      <c r="AB3131">
        <v>9.8720829507017704</v>
      </c>
      <c r="AC3131">
        <v>2.2354137102006E-2</v>
      </c>
      <c r="AD3131">
        <v>1.78153570765368</v>
      </c>
      <c r="AE3131">
        <v>0.403754442930222</v>
      </c>
      <c r="AF3131">
        <v>108.116751269036</v>
      </c>
      <c r="AG3131">
        <f>IFERROR(AH3131*0.1, "N/A")</f>
        <v>6.4925549915397598</v>
      </c>
      <c r="AH3131">
        <v>64.925549915397596</v>
      </c>
      <c r="AI3131">
        <v>57.770155291872001</v>
      </c>
      <c r="AJ3131">
        <v>29.8544839255499</v>
      </c>
      <c r="AK3131">
        <v>40.028764805414497</v>
      </c>
    </row>
    <row r="3132" spans="1:37" x14ac:dyDescent="0.3">
      <c r="A3132">
        <v>3131</v>
      </c>
      <c r="B3132">
        <v>0</v>
      </c>
      <c r="C3132">
        <v>-12.1279</v>
      </c>
      <c r="D3132">
        <v>12.608499999999999</v>
      </c>
      <c r="E3132">
        <f>-12.1279-12.6085</f>
        <v>-24.7364</v>
      </c>
      <c r="F3132" t="s">
        <v>5223</v>
      </c>
      <c r="G3132" t="s">
        <v>37</v>
      </c>
      <c r="H3132">
        <v>1996</v>
      </c>
      <c r="I3132">
        <v>28.5307953797419</v>
      </c>
      <c r="J3132">
        <v>13.199999809265099</v>
      </c>
      <c r="K3132">
        <v>57</v>
      </c>
      <c r="L3132">
        <v>24.167614089655999</v>
      </c>
      <c r="M3132">
        <v>40.099998474121101</v>
      </c>
      <c r="N3132">
        <v>17.161590553580599</v>
      </c>
      <c r="O3132">
        <v>22.938409240516101</v>
      </c>
      <c r="P3132">
        <v>26.730795555308401</v>
      </c>
      <c r="Q3132">
        <v>28.899999618530298</v>
      </c>
      <c r="R3132">
        <v>32.299999237060497</v>
      </c>
      <c r="S3132">
        <v>26.3307946168025</v>
      </c>
      <c r="T3132">
        <v>1175.4602368866299</v>
      </c>
      <c r="U3132">
        <v>313</v>
      </c>
      <c r="V3132">
        <v>0</v>
      </c>
      <c r="W3132">
        <v>118.307952622673</v>
      </c>
      <c r="X3132">
        <v>843.38409475465301</v>
      </c>
      <c r="Y3132">
        <v>0</v>
      </c>
      <c r="Z3132">
        <v>54.692047377326602</v>
      </c>
      <c r="AA3132">
        <v>7</v>
      </c>
      <c r="AB3132">
        <v>9.8720829507017704</v>
      </c>
      <c r="AC3132">
        <v>2.2354137102006E-2</v>
      </c>
      <c r="AD3132">
        <v>1.78153570765368</v>
      </c>
      <c r="AE3132">
        <v>0.403754442930222</v>
      </c>
      <c r="AF3132">
        <v>108.116751269036</v>
      </c>
      <c r="AG3132">
        <f>IFERROR(AH3132*0.1, "N/A")</f>
        <v>6.4925549915397598</v>
      </c>
      <c r="AH3132">
        <v>64.925549915397596</v>
      </c>
      <c r="AI3132">
        <v>57.770155291872001</v>
      </c>
      <c r="AJ3132">
        <v>29.8544839255499</v>
      </c>
      <c r="AK3132">
        <v>40.028764805414497</v>
      </c>
    </row>
    <row r="3133" spans="1:37" x14ac:dyDescent="0.3">
      <c r="A3133">
        <v>3132</v>
      </c>
      <c r="B3133">
        <v>0</v>
      </c>
      <c r="C3133">
        <v>-16.010000000000002</v>
      </c>
      <c r="D3133">
        <v>12.61</v>
      </c>
      <c r="E3133">
        <f>-16.01-12.61</f>
        <v>-28.62</v>
      </c>
      <c r="F3133" t="s">
        <v>5224</v>
      </c>
      <c r="G3133" t="s">
        <v>39</v>
      </c>
      <c r="H3133">
        <v>2004</v>
      </c>
      <c r="I3133">
        <v>26.700000762939499</v>
      </c>
      <c r="J3133">
        <v>13.300000190734901</v>
      </c>
      <c r="K3133">
        <v>62</v>
      </c>
      <c r="L3133">
        <v>13.439999580383301</v>
      </c>
      <c r="M3133">
        <v>36.5</v>
      </c>
      <c r="N3133">
        <v>15.1000003814697</v>
      </c>
      <c r="O3133">
        <v>21.399999618530298</v>
      </c>
      <c r="P3133">
        <v>26.700000762939499</v>
      </c>
      <c r="Q3133">
        <v>25.5</v>
      </c>
      <c r="R3133">
        <v>28.100000381469702</v>
      </c>
      <c r="S3133">
        <v>24.600000381469702</v>
      </c>
      <c r="T3133">
        <v>1206</v>
      </c>
      <c r="U3133">
        <v>428</v>
      </c>
      <c r="V3133">
        <v>0</v>
      </c>
      <c r="W3133">
        <v>141</v>
      </c>
      <c r="X3133">
        <v>990</v>
      </c>
      <c r="Y3133">
        <v>0</v>
      </c>
      <c r="Z3133">
        <v>103</v>
      </c>
      <c r="AA3133">
        <v>1</v>
      </c>
      <c r="AB3133">
        <v>7.9137284876936604</v>
      </c>
      <c r="AC3133">
        <v>3.2109743546126002E-2</v>
      </c>
      <c r="AD3133">
        <v>0.98404697634406002</v>
      </c>
      <c r="AE3133">
        <v>0.24545615911483801</v>
      </c>
      <c r="AF3133">
        <v>24.074576271186402</v>
      </c>
      <c r="AG3133">
        <f>IFERROR(AH3133*0.1, "N/A")</f>
        <v>5.2830508474576305</v>
      </c>
      <c r="AH3133">
        <v>52.830508474576298</v>
      </c>
      <c r="AI3133">
        <v>45.579038487450497</v>
      </c>
      <c r="AJ3133">
        <v>28.681355932203399</v>
      </c>
      <c r="AK3133">
        <v>51.562711864406801</v>
      </c>
    </row>
    <row r="3134" spans="1:37" x14ac:dyDescent="0.3">
      <c r="A3134">
        <v>3133</v>
      </c>
      <c r="B3134">
        <v>0</v>
      </c>
      <c r="C3134">
        <v>-15.9833</v>
      </c>
      <c r="D3134">
        <v>12.6167</v>
      </c>
      <c r="E3134">
        <f>-15.9833-12.6167</f>
        <v>-28.6</v>
      </c>
      <c r="F3134" t="s">
        <v>5225</v>
      </c>
      <c r="G3134" t="s">
        <v>39</v>
      </c>
      <c r="H3134">
        <v>2004</v>
      </c>
      <c r="I3134">
        <v>26.7850588877861</v>
      </c>
      <c r="J3134">
        <v>13.290152954529001</v>
      </c>
      <c r="K3134">
        <v>61.901528013582301</v>
      </c>
      <c r="L3134">
        <v>13.6277419334761</v>
      </c>
      <c r="M3134">
        <v>36.590151425735698</v>
      </c>
      <c r="N3134">
        <v>15.199999809265099</v>
      </c>
      <c r="O3134">
        <v>21.390152382324398</v>
      </c>
      <c r="P3134">
        <v>26.790152188675101</v>
      </c>
      <c r="Q3134">
        <v>25.694907364901901</v>
      </c>
      <c r="R3134">
        <v>28.2850588877861</v>
      </c>
      <c r="S3134">
        <v>24.734974762377401</v>
      </c>
      <c r="T3134">
        <v>1197.99320882852</v>
      </c>
      <c r="U3134">
        <v>427.29711375212202</v>
      </c>
      <c r="V3134">
        <v>0</v>
      </c>
      <c r="W3134">
        <v>140.400679117148</v>
      </c>
      <c r="X3134">
        <v>981.79456706281803</v>
      </c>
      <c r="Y3134">
        <v>0</v>
      </c>
      <c r="Z3134">
        <v>102.599320882852</v>
      </c>
      <c r="AA3134">
        <v>1</v>
      </c>
      <c r="AB3134">
        <v>0.86162967633310505</v>
      </c>
      <c r="AC3134">
        <v>0.609909583333759</v>
      </c>
      <c r="AD3134">
        <v>1.2683040112105199</v>
      </c>
      <c r="AE3134">
        <v>0.302390307188034</v>
      </c>
      <c r="AF3134">
        <v>10.767402376910001</v>
      </c>
      <c r="AG3134">
        <f>IFERROR(AH3134*0.1, "N/A")</f>
        <v>5.4468590831918497</v>
      </c>
      <c r="AH3134">
        <v>54.468590831918497</v>
      </c>
      <c r="AI3134">
        <v>132.45528462382401</v>
      </c>
      <c r="AJ3134">
        <v>28.740237691001699</v>
      </c>
      <c r="AK3134">
        <v>55.096774193548399</v>
      </c>
    </row>
    <row r="3135" spans="1:37" x14ac:dyDescent="0.3">
      <c r="A3135">
        <v>3134</v>
      </c>
      <c r="B3135">
        <v>21.4</v>
      </c>
      <c r="C3135">
        <v>-12.8797</v>
      </c>
      <c r="D3135">
        <v>12.618499999999999</v>
      </c>
      <c r="E3135">
        <f>-12.8797-12.6185</f>
        <v>-25.498199999999997</v>
      </c>
      <c r="F3135" t="s">
        <v>5226</v>
      </c>
      <c r="G3135" t="s">
        <v>37</v>
      </c>
      <c r="H3135">
        <v>2008</v>
      </c>
      <c r="I3135">
        <v>27.799999237060501</v>
      </c>
      <c r="J3135">
        <v>13.199999809265099</v>
      </c>
      <c r="K3135">
        <v>57</v>
      </c>
      <c r="L3135">
        <v>22.940000534057599</v>
      </c>
      <c r="M3135">
        <v>39.200000762939503</v>
      </c>
      <c r="N3135">
        <v>16.299999237060501</v>
      </c>
      <c r="O3135">
        <v>22.899999618530298</v>
      </c>
      <c r="P3135">
        <v>26.5</v>
      </c>
      <c r="Q3135">
        <v>27.399999618530298</v>
      </c>
      <c r="R3135">
        <v>31.200000762939499</v>
      </c>
      <c r="S3135">
        <v>25.299999237060501</v>
      </c>
      <c r="T3135">
        <v>1200</v>
      </c>
      <c r="U3135">
        <v>328</v>
      </c>
      <c r="V3135">
        <v>0</v>
      </c>
      <c r="W3135">
        <v>118</v>
      </c>
      <c r="X3135">
        <v>859</v>
      </c>
      <c r="Y3135">
        <v>0</v>
      </c>
      <c r="Z3135">
        <v>52</v>
      </c>
      <c r="AA3135">
        <v>11</v>
      </c>
      <c r="AB3135">
        <v>3.5656505139346</v>
      </c>
      <c r="AC3135">
        <v>10.4625402664555</v>
      </c>
      <c r="AD3135">
        <v>3.70777987667348</v>
      </c>
      <c r="AE3135">
        <v>0.200531736016273</v>
      </c>
      <c r="AF3135">
        <v>107.769881556684</v>
      </c>
      <c r="AG3135">
        <f>IFERROR(AH3135*0.1, "N/A")</f>
        <v>6.2006768189509307</v>
      </c>
      <c r="AH3135">
        <v>62.006768189509302</v>
      </c>
      <c r="AI3135">
        <v>158.54092193577699</v>
      </c>
      <c r="AJ3135">
        <v>26.903553299492401</v>
      </c>
      <c r="AK3135">
        <v>49.082910321489003</v>
      </c>
    </row>
    <row r="3136" spans="1:37" x14ac:dyDescent="0.3">
      <c r="A3136">
        <v>3135</v>
      </c>
      <c r="B3136">
        <v>0.9</v>
      </c>
      <c r="C3136">
        <v>-12.8797</v>
      </c>
      <c r="D3136">
        <v>12.618499999999999</v>
      </c>
      <c r="E3136">
        <f>-12.8797-12.6185</f>
        <v>-25.498199999999997</v>
      </c>
      <c r="F3136" t="s">
        <v>5227</v>
      </c>
      <c r="G3136" t="s">
        <v>39</v>
      </c>
      <c r="H3136">
        <v>2008</v>
      </c>
      <c r="I3136">
        <v>27.799999237060501</v>
      </c>
      <c r="J3136">
        <v>13.199999809265099</v>
      </c>
      <c r="K3136">
        <v>57</v>
      </c>
      <c r="L3136">
        <v>22.940000534057599</v>
      </c>
      <c r="M3136">
        <v>39.200000762939503</v>
      </c>
      <c r="N3136">
        <v>16.299999237060501</v>
      </c>
      <c r="O3136">
        <v>22.899999618530298</v>
      </c>
      <c r="P3136">
        <v>26.5</v>
      </c>
      <c r="Q3136">
        <v>27.399999618530298</v>
      </c>
      <c r="R3136">
        <v>31.200000762939499</v>
      </c>
      <c r="S3136">
        <v>25.299999237060501</v>
      </c>
      <c r="T3136">
        <v>1200</v>
      </c>
      <c r="U3136">
        <v>328</v>
      </c>
      <c r="V3136">
        <v>0</v>
      </c>
      <c r="W3136">
        <v>118</v>
      </c>
      <c r="X3136">
        <v>859</v>
      </c>
      <c r="Y3136">
        <v>0</v>
      </c>
      <c r="Z3136">
        <v>52</v>
      </c>
      <c r="AA3136">
        <v>11</v>
      </c>
      <c r="AB3136">
        <v>3.5656505139346</v>
      </c>
      <c r="AC3136">
        <v>10.4625402664555</v>
      </c>
      <c r="AD3136">
        <v>3.70777987667348</v>
      </c>
      <c r="AE3136">
        <v>0.200531736016273</v>
      </c>
      <c r="AF3136">
        <v>107.769881556684</v>
      </c>
      <c r="AG3136">
        <f>IFERROR(AH3136*0.1, "N/A")</f>
        <v>6.2006768189509307</v>
      </c>
      <c r="AH3136">
        <v>62.006768189509302</v>
      </c>
      <c r="AI3136">
        <v>158.54092193577699</v>
      </c>
      <c r="AJ3136">
        <v>26.903553299492401</v>
      </c>
      <c r="AK3136">
        <v>49.082910321489003</v>
      </c>
    </row>
    <row r="3137" spans="1:37" x14ac:dyDescent="0.3">
      <c r="A3137">
        <v>3136</v>
      </c>
      <c r="B3137">
        <v>0</v>
      </c>
      <c r="C3137">
        <v>-16.018999000000001</v>
      </c>
      <c r="D3137">
        <v>12.63</v>
      </c>
      <c r="E3137">
        <f>-16.018999-12.63</f>
        <v>-28.648999000000003</v>
      </c>
      <c r="F3137" t="s">
        <v>5228</v>
      </c>
      <c r="G3137" t="s">
        <v>39</v>
      </c>
      <c r="H3137">
        <v>1987</v>
      </c>
      <c r="I3137">
        <v>26.799999237060501</v>
      </c>
      <c r="J3137">
        <v>13.3999996185303</v>
      </c>
      <c r="K3137">
        <v>62</v>
      </c>
      <c r="L3137">
        <v>13.439999580383301</v>
      </c>
      <c r="M3137">
        <v>36.599998474121101</v>
      </c>
      <c r="N3137">
        <v>15.199999809265099</v>
      </c>
      <c r="O3137">
        <v>21.399999618530298</v>
      </c>
      <c r="P3137">
        <v>26.799999237060501</v>
      </c>
      <c r="Q3137">
        <v>25.700000762939499</v>
      </c>
      <c r="R3137">
        <v>28.200000762939499</v>
      </c>
      <c r="S3137">
        <v>24.700000762939499</v>
      </c>
      <c r="T3137">
        <v>1196</v>
      </c>
      <c r="U3137">
        <v>424</v>
      </c>
      <c r="V3137">
        <v>0</v>
      </c>
      <c r="W3137">
        <v>141</v>
      </c>
      <c r="X3137">
        <v>983</v>
      </c>
      <c r="Y3137">
        <v>0</v>
      </c>
      <c r="Z3137">
        <v>102</v>
      </c>
      <c r="AA3137">
        <v>1</v>
      </c>
      <c r="AB3137">
        <v>9.1437824889382906</v>
      </c>
      <c r="AC3137">
        <v>1.5282686795005E-2</v>
      </c>
      <c r="AD3137">
        <v>1.25699506545189</v>
      </c>
      <c r="AE3137">
        <v>0.47196783107630802</v>
      </c>
      <c r="AF3137">
        <v>11.3083475298126</v>
      </c>
      <c r="AG3137">
        <f>IFERROR(AH3137*0.1, "N/A")</f>
        <v>5.5982964224872198</v>
      </c>
      <c r="AH3137">
        <v>55.982964224872198</v>
      </c>
      <c r="AI3137">
        <v>151.62056934285201</v>
      </c>
      <c r="AJ3137">
        <v>30.6660988074957</v>
      </c>
      <c r="AK3137">
        <v>52.4531516183986</v>
      </c>
    </row>
    <row r="3138" spans="1:37" x14ac:dyDescent="0.3">
      <c r="A3138">
        <v>3137</v>
      </c>
      <c r="B3138">
        <v>0</v>
      </c>
      <c r="C3138">
        <v>-16.018999000000001</v>
      </c>
      <c r="D3138">
        <v>12.63</v>
      </c>
      <c r="E3138">
        <f>-16.018999-12.63</f>
        <v>-28.648999000000003</v>
      </c>
      <c r="F3138" t="s">
        <v>5229</v>
      </c>
      <c r="G3138" t="s">
        <v>37</v>
      </c>
      <c r="H3138">
        <v>1987</v>
      </c>
      <c r="I3138">
        <v>26.799999237060501</v>
      </c>
      <c r="J3138">
        <v>13.3999996185303</v>
      </c>
      <c r="K3138">
        <v>62</v>
      </c>
      <c r="L3138">
        <v>13.439999580383301</v>
      </c>
      <c r="M3138">
        <v>36.599998474121101</v>
      </c>
      <c r="N3138">
        <v>15.199999809265099</v>
      </c>
      <c r="O3138">
        <v>21.399999618530298</v>
      </c>
      <c r="P3138">
        <v>26.799999237060501</v>
      </c>
      <c r="Q3138">
        <v>25.700000762939499</v>
      </c>
      <c r="R3138">
        <v>28.200000762939499</v>
      </c>
      <c r="S3138">
        <v>24.700000762939499</v>
      </c>
      <c r="T3138">
        <v>1196</v>
      </c>
      <c r="U3138">
        <v>424</v>
      </c>
      <c r="V3138">
        <v>0</v>
      </c>
      <c r="W3138">
        <v>141</v>
      </c>
      <c r="X3138">
        <v>983</v>
      </c>
      <c r="Y3138">
        <v>0</v>
      </c>
      <c r="Z3138">
        <v>102</v>
      </c>
      <c r="AA3138">
        <v>1</v>
      </c>
      <c r="AB3138">
        <v>9.1437824889382906</v>
      </c>
      <c r="AC3138">
        <v>1.5282686795005E-2</v>
      </c>
      <c r="AD3138">
        <v>1.25699506545189</v>
      </c>
      <c r="AE3138">
        <v>0.47196783107630802</v>
      </c>
      <c r="AF3138">
        <v>11.3083475298126</v>
      </c>
      <c r="AG3138">
        <f>IFERROR(AH3138*0.1, "N/A")</f>
        <v>5.5982964224872198</v>
      </c>
      <c r="AH3138">
        <v>55.982964224872198</v>
      </c>
      <c r="AI3138">
        <v>151.62056934285201</v>
      </c>
      <c r="AJ3138">
        <v>30.6660988074957</v>
      </c>
      <c r="AK3138">
        <v>52.4531516183986</v>
      </c>
    </row>
    <row r="3139" spans="1:37" x14ac:dyDescent="0.3">
      <c r="A3139">
        <v>3138</v>
      </c>
      <c r="B3139">
        <v>0</v>
      </c>
      <c r="C3139">
        <v>-16.016898999999999</v>
      </c>
      <c r="D3139">
        <v>12.63</v>
      </c>
      <c r="E3139">
        <f>-16.016899-12.63</f>
        <v>-28.646898999999998</v>
      </c>
      <c r="F3139" t="s">
        <v>5230</v>
      </c>
      <c r="G3139" t="s">
        <v>39</v>
      </c>
      <c r="H3139">
        <v>2004</v>
      </c>
      <c r="I3139">
        <v>26.799999237060501</v>
      </c>
      <c r="J3139">
        <v>13.3438029961189</v>
      </c>
      <c r="K3139">
        <v>62</v>
      </c>
      <c r="L3139">
        <v>13.597351409381</v>
      </c>
      <c r="M3139">
        <v>36.599998474121101</v>
      </c>
      <c r="N3139">
        <v>15.199999809265099</v>
      </c>
      <c r="O3139">
        <v>21.399999618530298</v>
      </c>
      <c r="P3139">
        <v>26.799999237060501</v>
      </c>
      <c r="Q3139">
        <v>25.700000762939499</v>
      </c>
      <c r="R3139">
        <v>28.256196849415002</v>
      </c>
      <c r="S3139">
        <v>24.700000762939499</v>
      </c>
      <c r="T3139">
        <v>1194.31409168081</v>
      </c>
      <c r="U3139">
        <v>424</v>
      </c>
      <c r="V3139">
        <v>0</v>
      </c>
      <c r="W3139">
        <v>141</v>
      </c>
      <c r="X3139">
        <v>981.31409168081495</v>
      </c>
      <c r="Y3139">
        <v>0</v>
      </c>
      <c r="Z3139">
        <v>102</v>
      </c>
      <c r="AA3139">
        <v>1</v>
      </c>
      <c r="AB3139">
        <v>8.1772496963397305</v>
      </c>
      <c r="AC3139">
        <v>3.5972964312684999E-2</v>
      </c>
      <c r="AD3139">
        <v>2.3986118475326199</v>
      </c>
      <c r="AE3139">
        <v>0.41672035201700902</v>
      </c>
      <c r="AF3139">
        <v>9.5738539898132409</v>
      </c>
      <c r="AG3139">
        <f>IFERROR(AH3139*0.1, "N/A")</f>
        <v>5.7249575551782703</v>
      </c>
      <c r="AH3139">
        <v>57.249575551782698</v>
      </c>
      <c r="AI3139">
        <v>72.266130277377897</v>
      </c>
      <c r="AJ3139">
        <v>29.174872665534799</v>
      </c>
      <c r="AK3139">
        <v>54.466893039049197</v>
      </c>
    </row>
    <row r="3140" spans="1:37" x14ac:dyDescent="0.3">
      <c r="A3140">
        <v>3139</v>
      </c>
      <c r="B3140">
        <v>30</v>
      </c>
      <c r="C3140">
        <v>-12.8188</v>
      </c>
      <c r="D3140">
        <v>12.6304</v>
      </c>
      <c r="E3140">
        <f>-12.8188-12.6304</f>
        <v>-25.449199999999998</v>
      </c>
      <c r="F3140" t="s">
        <v>5231</v>
      </c>
      <c r="G3140" t="s">
        <v>37</v>
      </c>
      <c r="H3140">
        <v>1964</v>
      </c>
      <c r="I3140">
        <v>28</v>
      </c>
      <c r="J3140">
        <v>13.300000190734901</v>
      </c>
      <c r="K3140">
        <v>57</v>
      </c>
      <c r="L3140">
        <v>23.059999465942401</v>
      </c>
      <c r="M3140">
        <v>39.5</v>
      </c>
      <c r="N3140">
        <v>16.5</v>
      </c>
      <c r="O3140">
        <v>23</v>
      </c>
      <c r="P3140">
        <v>26.799999237060501</v>
      </c>
      <c r="Q3140">
        <v>27.600000381469702</v>
      </c>
      <c r="R3140">
        <v>31.5</v>
      </c>
      <c r="S3140">
        <v>25.600000381469702</v>
      </c>
      <c r="T3140">
        <v>1192</v>
      </c>
      <c r="U3140">
        <v>325</v>
      </c>
      <c r="V3140">
        <v>0</v>
      </c>
      <c r="W3140">
        <v>118</v>
      </c>
      <c r="X3140">
        <v>854</v>
      </c>
      <c r="Y3140">
        <v>0</v>
      </c>
      <c r="Z3140">
        <v>52</v>
      </c>
      <c r="AA3140">
        <v>11</v>
      </c>
      <c r="AB3140">
        <v>7.7742818196614598</v>
      </c>
      <c r="AC3140">
        <v>2.0064778925375001E-2</v>
      </c>
      <c r="AD3140">
        <v>2.3336192630672601</v>
      </c>
      <c r="AE3140">
        <v>0.50731329899753996</v>
      </c>
      <c r="AF3140">
        <v>89.382402707275801</v>
      </c>
      <c r="AG3140">
        <f>IFERROR(AH3140*0.1, "N/A")</f>
        <v>6.1000000000000005</v>
      </c>
      <c r="AH3140">
        <v>61</v>
      </c>
      <c r="AI3140">
        <v>22.829431246581599</v>
      </c>
      <c r="AJ3140">
        <v>21.619289340101499</v>
      </c>
      <c r="AK3140">
        <v>55.554991539763101</v>
      </c>
    </row>
    <row r="3141" spans="1:37" x14ac:dyDescent="0.3">
      <c r="A3141">
        <v>3140</v>
      </c>
      <c r="B3141">
        <v>0</v>
      </c>
      <c r="C3141">
        <v>-12.4156</v>
      </c>
      <c r="D3141">
        <v>12.6349</v>
      </c>
      <c r="E3141">
        <f>-12.4156-12.6349</f>
        <v>-25.0505</v>
      </c>
      <c r="F3141" t="s">
        <v>5232</v>
      </c>
      <c r="G3141" t="s">
        <v>37</v>
      </c>
      <c r="H3141">
        <v>2008</v>
      </c>
      <c r="I3141">
        <v>28.299999237060501</v>
      </c>
      <c r="J3141">
        <v>13.199999809265099</v>
      </c>
      <c r="K3141">
        <v>57</v>
      </c>
      <c r="L3141">
        <v>23.909999847412099</v>
      </c>
      <c r="M3141">
        <v>39.900001525878899</v>
      </c>
      <c r="N3141">
        <v>17</v>
      </c>
      <c r="O3141">
        <v>22.899999618530298</v>
      </c>
      <c r="P3141">
        <v>26.700000762939499</v>
      </c>
      <c r="Q3141">
        <v>28.5</v>
      </c>
      <c r="R3141">
        <v>32</v>
      </c>
      <c r="S3141">
        <v>26.100000381469702</v>
      </c>
      <c r="T3141">
        <v>1187</v>
      </c>
      <c r="U3141">
        <v>322</v>
      </c>
      <c r="V3141">
        <v>0</v>
      </c>
      <c r="W3141">
        <v>120</v>
      </c>
      <c r="X3141">
        <v>852</v>
      </c>
      <c r="Y3141">
        <v>0</v>
      </c>
      <c r="Z3141">
        <v>52</v>
      </c>
      <c r="AA3141">
        <v>9</v>
      </c>
      <c r="AB3141">
        <v>7.9133471411627703</v>
      </c>
      <c r="AC3141">
        <v>1.6154076823826E-2</v>
      </c>
      <c r="AD3141">
        <v>1.90836305654532</v>
      </c>
      <c r="AE3141">
        <v>0.37954455614089999</v>
      </c>
      <c r="AF3141">
        <v>98.657094594594597</v>
      </c>
      <c r="AG3141">
        <f>IFERROR(AH3141*0.1, "N/A")</f>
        <v>5.8814189189189205</v>
      </c>
      <c r="AH3141">
        <v>58.8141891891892</v>
      </c>
      <c r="AI3141">
        <v>55.757924096004402</v>
      </c>
      <c r="AJ3141">
        <v>23</v>
      </c>
      <c r="AK3141">
        <v>50</v>
      </c>
    </row>
    <row r="3142" spans="1:37" x14ac:dyDescent="0.3">
      <c r="A3142">
        <v>3141</v>
      </c>
      <c r="B3142">
        <v>12.8</v>
      </c>
      <c r="C3142">
        <v>-12.4156</v>
      </c>
      <c r="D3142">
        <v>12.6349</v>
      </c>
      <c r="E3142">
        <f>-12.4156-12.6349</f>
        <v>-25.0505</v>
      </c>
      <c r="F3142" t="s">
        <v>5233</v>
      </c>
      <c r="G3142" t="s">
        <v>39</v>
      </c>
      <c r="H3142">
        <v>2008</v>
      </c>
      <c r="I3142">
        <v>28.299999237060501</v>
      </c>
      <c r="J3142">
        <v>13.199999809265099</v>
      </c>
      <c r="K3142">
        <v>57</v>
      </c>
      <c r="L3142">
        <v>23.909999847412099</v>
      </c>
      <c r="M3142">
        <v>39.900001525878899</v>
      </c>
      <c r="N3142">
        <v>17</v>
      </c>
      <c r="O3142">
        <v>22.899999618530298</v>
      </c>
      <c r="P3142">
        <v>26.700000762939499</v>
      </c>
      <c r="Q3142">
        <v>28.5</v>
      </c>
      <c r="R3142">
        <v>32</v>
      </c>
      <c r="S3142">
        <v>26.100000381469702</v>
      </c>
      <c r="T3142">
        <v>1187</v>
      </c>
      <c r="U3142">
        <v>322</v>
      </c>
      <c r="V3142">
        <v>0</v>
      </c>
      <c r="W3142">
        <v>120</v>
      </c>
      <c r="X3142">
        <v>852</v>
      </c>
      <c r="Y3142">
        <v>0</v>
      </c>
      <c r="Z3142">
        <v>52</v>
      </c>
      <c r="AA3142">
        <v>9</v>
      </c>
      <c r="AB3142">
        <v>7.9133471411627703</v>
      </c>
      <c r="AC3142">
        <v>1.6154076823826E-2</v>
      </c>
      <c r="AD3142">
        <v>1.90836305654532</v>
      </c>
      <c r="AE3142">
        <v>0.37954455614089999</v>
      </c>
      <c r="AF3142">
        <v>98.657094594594597</v>
      </c>
      <c r="AG3142">
        <f>IFERROR(AH3142*0.1, "N/A")</f>
        <v>5.8814189189189205</v>
      </c>
      <c r="AH3142">
        <v>58.8141891891892</v>
      </c>
      <c r="AI3142">
        <v>55.757924096004402</v>
      </c>
      <c r="AJ3142">
        <v>23</v>
      </c>
      <c r="AK3142">
        <v>50</v>
      </c>
    </row>
    <row r="3143" spans="1:37" x14ac:dyDescent="0.3">
      <c r="A3143">
        <v>3142</v>
      </c>
      <c r="B3143">
        <v>22</v>
      </c>
      <c r="C3143">
        <v>-16.09</v>
      </c>
      <c r="D3143">
        <v>12.666399999999999</v>
      </c>
      <c r="E3143">
        <f>-16.09-12.6664</f>
        <v>-28.756399999999999</v>
      </c>
      <c r="F3143" t="s">
        <v>5234</v>
      </c>
      <c r="G3143" t="s">
        <v>39</v>
      </c>
      <c r="H3143">
        <v>2003</v>
      </c>
      <c r="I3143">
        <v>26.735653869162601</v>
      </c>
      <c r="J3143">
        <v>13.3999996185303</v>
      </c>
      <c r="K3143">
        <v>62</v>
      </c>
      <c r="L3143">
        <v>13.230696266899701</v>
      </c>
      <c r="M3143">
        <v>36.535653106223101</v>
      </c>
      <c r="N3143">
        <v>15.1356538277126</v>
      </c>
      <c r="O3143">
        <v>21.399999618530298</v>
      </c>
      <c r="P3143">
        <v>26.799999237060501</v>
      </c>
      <c r="Q3143">
        <v>25.635654167732302</v>
      </c>
      <c r="R3143">
        <v>28.200000762939499</v>
      </c>
      <c r="S3143">
        <v>24.700000762939499</v>
      </c>
      <c r="T3143">
        <v>1182.42614601019</v>
      </c>
      <c r="U3143">
        <v>413.35653650254699</v>
      </c>
      <c r="V3143">
        <v>0</v>
      </c>
      <c r="W3143">
        <v>140.35653650254699</v>
      </c>
      <c r="X3143">
        <v>973.06960950764005</v>
      </c>
      <c r="Y3143">
        <v>0</v>
      </c>
      <c r="Z3143">
        <v>103</v>
      </c>
      <c r="AA3143">
        <v>1</v>
      </c>
      <c r="AB3143">
        <v>4.0329371300132202</v>
      </c>
      <c r="AC3143">
        <v>4.8745331953711002E-2</v>
      </c>
      <c r="AD3143">
        <v>2.8016073226119098</v>
      </c>
      <c r="AE3143">
        <v>0.43210316081302103</v>
      </c>
      <c r="AF3143">
        <v>7.2988115449915103</v>
      </c>
      <c r="AG3143">
        <f>IFERROR(AH3143*0.1, "N/A")</f>
        <v>5.6225806451612899</v>
      </c>
      <c r="AH3143">
        <v>56.225806451612897</v>
      </c>
      <c r="AI3143">
        <v>165.78519832177199</v>
      </c>
      <c r="AJ3143">
        <v>27.234295415959298</v>
      </c>
      <c r="AK3143">
        <v>50.709677419354797</v>
      </c>
    </row>
    <row r="3144" spans="1:37" x14ac:dyDescent="0.3">
      <c r="A3144">
        <v>3143</v>
      </c>
      <c r="B3144">
        <v>0</v>
      </c>
      <c r="C3144">
        <v>-16.052</v>
      </c>
      <c r="D3144">
        <v>12.702</v>
      </c>
      <c r="E3144">
        <f>-16.052-12.702</f>
        <v>-28.753999999999998</v>
      </c>
      <c r="F3144" t="s">
        <v>5235</v>
      </c>
      <c r="G3144" t="s">
        <v>39</v>
      </c>
      <c r="H3144">
        <v>1987</v>
      </c>
      <c r="I3144">
        <v>26.799999237060501</v>
      </c>
      <c r="J3144">
        <v>13.3999996185303</v>
      </c>
      <c r="K3144">
        <v>62</v>
      </c>
      <c r="L3144">
        <v>13.6300001144409</v>
      </c>
      <c r="M3144">
        <v>36.700000762939503</v>
      </c>
      <c r="N3144">
        <v>15.199999809265099</v>
      </c>
      <c r="O3144">
        <v>21.5</v>
      </c>
      <c r="P3144">
        <v>26.899999618530298</v>
      </c>
      <c r="Q3144">
        <v>25.700000762939499</v>
      </c>
      <c r="R3144">
        <v>28.299999237060501</v>
      </c>
      <c r="S3144">
        <v>24.700000762939499</v>
      </c>
      <c r="T3144">
        <v>1155</v>
      </c>
      <c r="U3144">
        <v>406</v>
      </c>
      <c r="V3144">
        <v>0</v>
      </c>
      <c r="W3144">
        <v>140</v>
      </c>
      <c r="X3144">
        <v>951</v>
      </c>
      <c r="Y3144">
        <v>0</v>
      </c>
      <c r="Z3144">
        <v>101</v>
      </c>
      <c r="AA3144">
        <v>1</v>
      </c>
      <c r="AB3144">
        <v>0.63955855349328605</v>
      </c>
      <c r="AC3144">
        <v>0.23491008402321101</v>
      </c>
      <c r="AD3144">
        <v>1.37893890504724</v>
      </c>
      <c r="AE3144">
        <v>0.32670205831527699</v>
      </c>
      <c r="AF3144">
        <v>1.32597623089983</v>
      </c>
      <c r="AG3144">
        <f>IFERROR(AH3144*0.1, "N/A")</f>
        <v>5.0431239388794609</v>
      </c>
      <c r="AH3144">
        <v>50.431239388794602</v>
      </c>
      <c r="AI3144">
        <v>201.114636477874</v>
      </c>
      <c r="AJ3144">
        <v>28.4617996604414</v>
      </c>
      <c r="AK3144">
        <v>48.573853989813202</v>
      </c>
    </row>
    <row r="3145" spans="1:37" x14ac:dyDescent="0.3">
      <c r="A3145">
        <v>3144</v>
      </c>
      <c r="B3145">
        <v>0</v>
      </c>
      <c r="C3145">
        <v>-16.052</v>
      </c>
      <c r="D3145">
        <v>12.702</v>
      </c>
      <c r="E3145">
        <f>-16.052-12.702</f>
        <v>-28.753999999999998</v>
      </c>
      <c r="F3145" t="s">
        <v>5236</v>
      </c>
      <c r="G3145" t="s">
        <v>37</v>
      </c>
      <c r="H3145">
        <v>1987</v>
      </c>
      <c r="I3145">
        <v>26.799999237060501</v>
      </c>
      <c r="J3145">
        <v>13.3999996185303</v>
      </c>
      <c r="K3145">
        <v>62</v>
      </c>
      <c r="L3145">
        <v>13.6300001144409</v>
      </c>
      <c r="M3145">
        <v>36.700000762939503</v>
      </c>
      <c r="N3145">
        <v>15.199999809265099</v>
      </c>
      <c r="O3145">
        <v>21.5</v>
      </c>
      <c r="P3145">
        <v>26.899999618530298</v>
      </c>
      <c r="Q3145">
        <v>25.700000762939499</v>
      </c>
      <c r="R3145">
        <v>28.299999237060501</v>
      </c>
      <c r="S3145">
        <v>24.700000762939499</v>
      </c>
      <c r="T3145">
        <v>1155</v>
      </c>
      <c r="U3145">
        <v>406</v>
      </c>
      <c r="V3145">
        <v>0</v>
      </c>
      <c r="W3145">
        <v>140</v>
      </c>
      <c r="X3145">
        <v>951</v>
      </c>
      <c r="Y3145">
        <v>0</v>
      </c>
      <c r="Z3145">
        <v>101</v>
      </c>
      <c r="AA3145">
        <v>1</v>
      </c>
      <c r="AB3145">
        <v>0.63955855349328605</v>
      </c>
      <c r="AC3145">
        <v>0.23491008402321101</v>
      </c>
      <c r="AD3145">
        <v>1.37893890504724</v>
      </c>
      <c r="AE3145">
        <v>0.32670205831527699</v>
      </c>
      <c r="AF3145">
        <v>1.32597623089983</v>
      </c>
      <c r="AG3145">
        <f>IFERROR(AH3145*0.1, "N/A")</f>
        <v>5.0431239388794609</v>
      </c>
      <c r="AH3145">
        <v>50.431239388794602</v>
      </c>
      <c r="AI3145">
        <v>201.114636477874</v>
      </c>
      <c r="AJ3145">
        <v>28.4617996604414</v>
      </c>
      <c r="AK3145">
        <v>48.573853989813202</v>
      </c>
    </row>
    <row r="3146" spans="1:37" x14ac:dyDescent="0.3">
      <c r="A3146">
        <v>3145</v>
      </c>
      <c r="B3146">
        <v>22</v>
      </c>
      <c r="C3146">
        <v>-16.049999</v>
      </c>
      <c r="D3146">
        <v>12.718999999999999</v>
      </c>
      <c r="E3146">
        <f>-16.049999-12.719</f>
        <v>-28.768999000000001</v>
      </c>
      <c r="F3146" t="s">
        <v>5237</v>
      </c>
      <c r="G3146" t="s">
        <v>39</v>
      </c>
      <c r="H3146">
        <v>1987</v>
      </c>
      <c r="I3146">
        <v>26.7680200296005</v>
      </c>
      <c r="J3146">
        <v>13.431979435954601</v>
      </c>
      <c r="K3146">
        <v>62</v>
      </c>
      <c r="L3146">
        <v>13.7124369083927</v>
      </c>
      <c r="M3146">
        <v>36.6680203355508</v>
      </c>
      <c r="N3146">
        <v>15.168020296822901</v>
      </c>
      <c r="O3146">
        <v>21.5</v>
      </c>
      <c r="P3146">
        <v>26.836040593645901</v>
      </c>
      <c r="Q3146">
        <v>25.668020945515099</v>
      </c>
      <c r="R3146">
        <v>28.2680200296005</v>
      </c>
      <c r="S3146">
        <v>24.668020945515099</v>
      </c>
      <c r="T3146">
        <v>1145.6395939086301</v>
      </c>
      <c r="U3146">
        <v>403</v>
      </c>
      <c r="V3146">
        <v>0</v>
      </c>
      <c r="W3146">
        <v>140.319796954315</v>
      </c>
      <c r="X3146">
        <v>943.63959390862897</v>
      </c>
      <c r="Y3146">
        <v>0</v>
      </c>
      <c r="Z3146">
        <v>100</v>
      </c>
      <c r="AA3146">
        <v>1</v>
      </c>
      <c r="AB3146">
        <v>2.3673435203516799</v>
      </c>
      <c r="AC3146">
        <v>6.8458406881833994E-2</v>
      </c>
      <c r="AD3146">
        <v>2.6334266941962898</v>
      </c>
      <c r="AE3146">
        <v>0.488106578588486</v>
      </c>
      <c r="AF3146">
        <v>1.8832487309644701</v>
      </c>
      <c r="AG3146">
        <f>IFERROR(AH3146*0.1, "N/A")</f>
        <v>4.9883248730964507</v>
      </c>
      <c r="AH3146">
        <v>49.883248730964503</v>
      </c>
      <c r="AI3146">
        <v>135.43195111941199</v>
      </c>
      <c r="AJ3146">
        <v>27.732656514382398</v>
      </c>
      <c r="AK3146">
        <v>47.981387478849399</v>
      </c>
    </row>
    <row r="3147" spans="1:37" x14ac:dyDescent="0.3">
      <c r="A3147">
        <v>3146</v>
      </c>
      <c r="B3147">
        <v>0</v>
      </c>
      <c r="C3147">
        <v>-16.049999</v>
      </c>
      <c r="D3147">
        <v>12.718999999999999</v>
      </c>
      <c r="E3147">
        <f>-16.049999-12.719</f>
        <v>-28.768999000000001</v>
      </c>
      <c r="F3147" t="s">
        <v>5238</v>
      </c>
      <c r="G3147" t="s">
        <v>37</v>
      </c>
      <c r="H3147">
        <v>1987</v>
      </c>
      <c r="I3147">
        <v>26.7680200296005</v>
      </c>
      <c r="J3147">
        <v>13.431979435954601</v>
      </c>
      <c r="K3147">
        <v>62</v>
      </c>
      <c r="L3147">
        <v>13.7124369083927</v>
      </c>
      <c r="M3147">
        <v>36.6680203355508</v>
      </c>
      <c r="N3147">
        <v>15.168020296822901</v>
      </c>
      <c r="O3147">
        <v>21.5</v>
      </c>
      <c r="P3147">
        <v>26.836040593645901</v>
      </c>
      <c r="Q3147">
        <v>25.668020945515099</v>
      </c>
      <c r="R3147">
        <v>28.2680200296005</v>
      </c>
      <c r="S3147">
        <v>24.668020945515099</v>
      </c>
      <c r="T3147">
        <v>1145.6395939086301</v>
      </c>
      <c r="U3147">
        <v>403</v>
      </c>
      <c r="V3147">
        <v>0</v>
      </c>
      <c r="W3147">
        <v>140.319796954315</v>
      </c>
      <c r="X3147">
        <v>943.63959390862897</v>
      </c>
      <c r="Y3147">
        <v>0</v>
      </c>
      <c r="Z3147">
        <v>100</v>
      </c>
      <c r="AA3147">
        <v>1</v>
      </c>
      <c r="AB3147">
        <v>2.3673435203516799</v>
      </c>
      <c r="AC3147">
        <v>6.8458406881833994E-2</v>
      </c>
      <c r="AD3147">
        <v>2.6334266941962898</v>
      </c>
      <c r="AE3147">
        <v>0.488106578588486</v>
      </c>
      <c r="AF3147">
        <v>1.8832487309644701</v>
      </c>
      <c r="AG3147">
        <f>IFERROR(AH3147*0.1, "N/A")</f>
        <v>4.9883248730964507</v>
      </c>
      <c r="AH3147">
        <v>49.883248730964503</v>
      </c>
      <c r="AI3147">
        <v>135.43195111941199</v>
      </c>
      <c r="AJ3147">
        <v>27.732656514382398</v>
      </c>
      <c r="AK3147">
        <v>47.981387478849399</v>
      </c>
    </row>
    <row r="3148" spans="1:37" x14ac:dyDescent="0.3">
      <c r="A3148">
        <v>3147</v>
      </c>
      <c r="B3148">
        <v>22</v>
      </c>
      <c r="C3148">
        <v>-14.16</v>
      </c>
      <c r="D3148">
        <v>12.744999999999999</v>
      </c>
      <c r="E3148">
        <f>-14.16-12.745</f>
        <v>-26.905000000000001</v>
      </c>
      <c r="F3148" t="s">
        <v>5239</v>
      </c>
      <c r="G3148" t="s">
        <v>39</v>
      </c>
      <c r="H3148">
        <v>1987</v>
      </c>
      <c r="I3148">
        <v>26.899999618530298</v>
      </c>
      <c r="J3148">
        <v>13.699999809265099</v>
      </c>
      <c r="K3148">
        <v>55</v>
      </c>
      <c r="L3148">
        <v>23.329999923706101</v>
      </c>
      <c r="M3148">
        <v>38.599998474121101</v>
      </c>
      <c r="N3148">
        <v>13.800000190734901</v>
      </c>
      <c r="O3148">
        <v>24.799999237060501</v>
      </c>
      <c r="P3148">
        <v>26.399999618530298</v>
      </c>
      <c r="Q3148">
        <v>25.899999618530298</v>
      </c>
      <c r="R3148">
        <v>30</v>
      </c>
      <c r="S3148">
        <v>24</v>
      </c>
      <c r="T3148">
        <v>1152</v>
      </c>
      <c r="U3148">
        <v>338</v>
      </c>
      <c r="V3148">
        <v>0</v>
      </c>
      <c r="W3148">
        <v>125</v>
      </c>
      <c r="X3148">
        <v>867</v>
      </c>
      <c r="Y3148">
        <v>0</v>
      </c>
      <c r="Z3148">
        <v>27</v>
      </c>
      <c r="AA3148">
        <v>10</v>
      </c>
      <c r="AB3148">
        <v>0.90814990058212397</v>
      </c>
      <c r="AC3148">
        <v>29.630584465333499</v>
      </c>
      <c r="AD3148">
        <v>1.6016658483822599</v>
      </c>
      <c r="AE3148">
        <v>0.69504255056381203</v>
      </c>
      <c r="AF3148">
        <v>31.962648556876101</v>
      </c>
      <c r="AG3148">
        <f>IFERROR(AH3148*0.1, "N/A")</f>
        <v>5.7840407470288611</v>
      </c>
      <c r="AH3148">
        <v>57.840407470288604</v>
      </c>
      <c r="AI3148">
        <v>102.65249737414101</v>
      </c>
      <c r="AJ3148">
        <v>24.295415959252999</v>
      </c>
      <c r="AK3148">
        <v>52.432937181663803</v>
      </c>
    </row>
    <row r="3149" spans="1:37" x14ac:dyDescent="0.3">
      <c r="A3149">
        <v>3148</v>
      </c>
      <c r="B3149">
        <v>64.800003000000004</v>
      </c>
      <c r="C3149">
        <v>-11.735099999999999</v>
      </c>
      <c r="D3149">
        <v>12.7468</v>
      </c>
      <c r="E3149">
        <f>-11.7351-12.7468</f>
        <v>-24.4819</v>
      </c>
      <c r="F3149" t="s">
        <v>5240</v>
      </c>
      <c r="G3149" t="s">
        <v>39</v>
      </c>
      <c r="H3149">
        <v>1996</v>
      </c>
      <c r="I3149">
        <v>28.200000762939499</v>
      </c>
      <c r="J3149">
        <v>12.8999996185303</v>
      </c>
      <c r="K3149">
        <v>57</v>
      </c>
      <c r="L3149">
        <v>23.329999923706101</v>
      </c>
      <c r="M3149">
        <v>39.5</v>
      </c>
      <c r="N3149">
        <v>16.899999618530298</v>
      </c>
      <c r="O3149">
        <v>22.600000381469702</v>
      </c>
      <c r="P3149">
        <v>26.600000381469702</v>
      </c>
      <c r="Q3149">
        <v>26.700000762939499</v>
      </c>
      <c r="R3149">
        <v>31.799999237060501</v>
      </c>
      <c r="S3149">
        <v>26.100000381469702</v>
      </c>
      <c r="T3149">
        <v>1112</v>
      </c>
      <c r="U3149">
        <v>317</v>
      </c>
      <c r="V3149">
        <v>0</v>
      </c>
      <c r="W3149">
        <v>121</v>
      </c>
      <c r="X3149">
        <v>807</v>
      </c>
      <c r="Y3149">
        <v>0</v>
      </c>
      <c r="Z3149">
        <v>59</v>
      </c>
      <c r="AA3149">
        <v>5</v>
      </c>
      <c r="AB3149">
        <v>2.5238514108998999</v>
      </c>
      <c r="AC3149">
        <v>0.24599844856533601</v>
      </c>
      <c r="AD3149">
        <v>1.8317810827056999</v>
      </c>
      <c r="AE3149">
        <v>0.13677881658077201</v>
      </c>
      <c r="AF3149">
        <v>169.63032367972701</v>
      </c>
      <c r="AG3149">
        <f>IFERROR(AH3149*0.1, "N/A")</f>
        <v>5.6688245315161803</v>
      </c>
      <c r="AH3149">
        <v>56.688245315161801</v>
      </c>
      <c r="AI3149">
        <v>135.65986565714999</v>
      </c>
      <c r="AJ3149">
        <v>21.361158432708699</v>
      </c>
      <c r="AK3149">
        <v>48.614991482112401</v>
      </c>
    </row>
    <row r="3150" spans="1:37" x14ac:dyDescent="0.3">
      <c r="A3150">
        <v>3149</v>
      </c>
      <c r="B3150">
        <v>0</v>
      </c>
      <c r="C3150">
        <v>-11.735099999999999</v>
      </c>
      <c r="D3150">
        <v>12.7468</v>
      </c>
      <c r="E3150">
        <f>-11.7351-12.7468</f>
        <v>-24.4819</v>
      </c>
      <c r="F3150" t="s">
        <v>5241</v>
      </c>
      <c r="G3150" t="s">
        <v>37</v>
      </c>
      <c r="H3150">
        <v>1996</v>
      </c>
      <c r="I3150">
        <v>28.200000762939499</v>
      </c>
      <c r="J3150">
        <v>12.8999996185303</v>
      </c>
      <c r="K3150">
        <v>57</v>
      </c>
      <c r="L3150">
        <v>23.329999923706101</v>
      </c>
      <c r="M3150">
        <v>39.5</v>
      </c>
      <c r="N3150">
        <v>16.899999618530298</v>
      </c>
      <c r="O3150">
        <v>22.600000381469702</v>
      </c>
      <c r="P3150">
        <v>26.600000381469702</v>
      </c>
      <c r="Q3150">
        <v>26.700000762939499</v>
      </c>
      <c r="R3150">
        <v>31.799999237060501</v>
      </c>
      <c r="S3150">
        <v>26.100000381469702</v>
      </c>
      <c r="T3150">
        <v>1112</v>
      </c>
      <c r="U3150">
        <v>317</v>
      </c>
      <c r="V3150">
        <v>0</v>
      </c>
      <c r="W3150">
        <v>121</v>
      </c>
      <c r="X3150">
        <v>807</v>
      </c>
      <c r="Y3150">
        <v>0</v>
      </c>
      <c r="Z3150">
        <v>59</v>
      </c>
      <c r="AA3150">
        <v>5</v>
      </c>
      <c r="AB3150">
        <v>2.5238514108998999</v>
      </c>
      <c r="AC3150">
        <v>0.24599844856533601</v>
      </c>
      <c r="AD3150">
        <v>1.8317810827056999</v>
      </c>
      <c r="AE3150">
        <v>0.13677881658077201</v>
      </c>
      <c r="AF3150">
        <v>169.63032367972701</v>
      </c>
      <c r="AG3150">
        <f>IFERROR(AH3150*0.1, "N/A")</f>
        <v>5.6688245315161803</v>
      </c>
      <c r="AH3150">
        <v>56.688245315161801</v>
      </c>
      <c r="AI3150">
        <v>135.65986565714999</v>
      </c>
      <c r="AJ3150">
        <v>21.361158432708699</v>
      </c>
      <c r="AK3150">
        <v>48.614991482112401</v>
      </c>
    </row>
    <row r="3151" spans="1:37" x14ac:dyDescent="0.3">
      <c r="A3151">
        <v>3150</v>
      </c>
      <c r="B3151">
        <v>78</v>
      </c>
      <c r="C3151">
        <v>-11.735200000000001</v>
      </c>
      <c r="D3151">
        <v>12.7468</v>
      </c>
      <c r="E3151">
        <f>-11.7352-12.7468</f>
        <v>-24.481999999999999</v>
      </c>
      <c r="F3151" t="s">
        <v>5242</v>
      </c>
      <c r="G3151" t="s">
        <v>39</v>
      </c>
      <c r="H3151">
        <v>2003</v>
      </c>
      <c r="I3151">
        <v>28.200000762939499</v>
      </c>
      <c r="J3151">
        <v>12.8999996185303</v>
      </c>
      <c r="K3151">
        <v>57</v>
      </c>
      <c r="L3151">
        <v>23.329999923706101</v>
      </c>
      <c r="M3151">
        <v>39.5</v>
      </c>
      <c r="N3151">
        <v>16.899999618530298</v>
      </c>
      <c r="O3151">
        <v>22.600000381469702</v>
      </c>
      <c r="P3151">
        <v>26.600000381469702</v>
      </c>
      <c r="Q3151">
        <v>26.700000762939499</v>
      </c>
      <c r="R3151">
        <v>31.799999237060501</v>
      </c>
      <c r="S3151">
        <v>26.100000381469702</v>
      </c>
      <c r="T3151">
        <v>1112</v>
      </c>
      <c r="U3151">
        <v>317</v>
      </c>
      <c r="V3151">
        <v>0</v>
      </c>
      <c r="W3151">
        <v>121</v>
      </c>
      <c r="X3151">
        <v>807</v>
      </c>
      <c r="Y3151">
        <v>0</v>
      </c>
      <c r="Z3151">
        <v>59</v>
      </c>
      <c r="AA3151">
        <v>5</v>
      </c>
      <c r="AB3151">
        <v>2.6972757368721401</v>
      </c>
      <c r="AC3151">
        <v>0.240484995307366</v>
      </c>
      <c r="AD3151">
        <v>1.85357295126484</v>
      </c>
      <c r="AE3151">
        <v>0.13677881658077201</v>
      </c>
      <c r="AF3151">
        <v>169.73253833049401</v>
      </c>
      <c r="AG3151">
        <f>IFERROR(AH3151*0.1, "N/A")</f>
        <v>5.6747870528108999</v>
      </c>
      <c r="AH3151">
        <v>56.747870528108997</v>
      </c>
      <c r="AI3151">
        <v>133.432821894423</v>
      </c>
      <c r="AJ3151">
        <v>21.327086882453099</v>
      </c>
      <c r="AK3151">
        <v>48.591141396933601</v>
      </c>
    </row>
    <row r="3152" spans="1:37" x14ac:dyDescent="0.3">
      <c r="A3152">
        <v>3151</v>
      </c>
      <c r="B3152">
        <v>10.4</v>
      </c>
      <c r="C3152">
        <v>-13.9666</v>
      </c>
      <c r="D3152">
        <v>12.75</v>
      </c>
      <c r="E3152">
        <f>-13.9666-12.75</f>
        <v>-26.7166</v>
      </c>
      <c r="F3152" t="s">
        <v>5243</v>
      </c>
      <c r="G3152" t="s">
        <v>39</v>
      </c>
      <c r="H3152">
        <v>1996</v>
      </c>
      <c r="I3152">
        <v>26.899999618530298</v>
      </c>
      <c r="J3152">
        <v>13.6000003814697</v>
      </c>
      <c r="K3152">
        <v>55</v>
      </c>
      <c r="L3152">
        <v>23.3484266736181</v>
      </c>
      <c r="M3152">
        <v>38.586969908118903</v>
      </c>
      <c r="N3152">
        <v>13.916243335317199</v>
      </c>
      <c r="O3152">
        <v>24.670728231646301</v>
      </c>
      <c r="P3152">
        <v>26.328087330671298</v>
      </c>
      <c r="Q3152">
        <v>25.899999618530298</v>
      </c>
      <c r="R3152">
        <v>30</v>
      </c>
      <c r="S3152">
        <v>24.016243716786999</v>
      </c>
      <c r="T3152">
        <v>1154.81387478849</v>
      </c>
      <c r="U3152">
        <v>333.62605752961099</v>
      </c>
      <c r="V3152">
        <v>0</v>
      </c>
      <c r="W3152">
        <v>124</v>
      </c>
      <c r="X3152">
        <v>858.219966159053</v>
      </c>
      <c r="Y3152">
        <v>0</v>
      </c>
      <c r="Z3152">
        <v>31</v>
      </c>
      <c r="AA3152">
        <v>11</v>
      </c>
      <c r="AB3152">
        <v>1.5395930591977001</v>
      </c>
      <c r="AC3152">
        <v>0.51936873670686301</v>
      </c>
      <c r="AD3152">
        <v>1.9172972579898</v>
      </c>
      <c r="AE3152">
        <v>0.69401872158050504</v>
      </c>
      <c r="AF3152">
        <v>56.049069373942501</v>
      </c>
      <c r="AG3152">
        <f>IFERROR(AH3152*0.1, "N/A")</f>
        <v>5.8000000000000007</v>
      </c>
      <c r="AH3152">
        <v>58</v>
      </c>
      <c r="AI3152">
        <v>208.29667684229099</v>
      </c>
      <c r="AJ3152">
        <v>20</v>
      </c>
      <c r="AK3152">
        <v>61</v>
      </c>
    </row>
    <row r="3153" spans="1:37" x14ac:dyDescent="0.3">
      <c r="A3153">
        <v>3152</v>
      </c>
      <c r="B3153">
        <v>0</v>
      </c>
      <c r="C3153">
        <v>-13.9666</v>
      </c>
      <c r="D3153">
        <v>12.75</v>
      </c>
      <c r="E3153">
        <f>-13.9666-12.75</f>
        <v>-26.7166</v>
      </c>
      <c r="F3153" t="s">
        <v>5244</v>
      </c>
      <c r="G3153" t="s">
        <v>37</v>
      </c>
      <c r="H3153">
        <v>1996</v>
      </c>
      <c r="I3153">
        <v>26.899999618530298</v>
      </c>
      <c r="J3153">
        <v>13.6000003814697</v>
      </c>
      <c r="K3153">
        <v>55</v>
      </c>
      <c r="L3153">
        <v>23.3484266736181</v>
      </c>
      <c r="M3153">
        <v>38.586969908118903</v>
      </c>
      <c r="N3153">
        <v>13.916243335317199</v>
      </c>
      <c r="O3153">
        <v>24.670728231646301</v>
      </c>
      <c r="P3153">
        <v>26.328087330671298</v>
      </c>
      <c r="Q3153">
        <v>25.899999618530298</v>
      </c>
      <c r="R3153">
        <v>30</v>
      </c>
      <c r="S3153">
        <v>24.016243716786999</v>
      </c>
      <c r="T3153">
        <v>1154.81387478849</v>
      </c>
      <c r="U3153">
        <v>333.62605752961099</v>
      </c>
      <c r="V3153">
        <v>0</v>
      </c>
      <c r="W3153">
        <v>124</v>
      </c>
      <c r="X3153">
        <v>858.219966159053</v>
      </c>
      <c r="Y3153">
        <v>0</v>
      </c>
      <c r="Z3153">
        <v>31</v>
      </c>
      <c r="AA3153">
        <v>11</v>
      </c>
      <c r="AB3153">
        <v>1.5395930591977001</v>
      </c>
      <c r="AC3153">
        <v>0.51936873670686301</v>
      </c>
      <c r="AD3153">
        <v>1.9172972579898</v>
      </c>
      <c r="AE3153">
        <v>0.69401872158050504</v>
      </c>
      <c r="AF3153">
        <v>56.049069373942501</v>
      </c>
      <c r="AG3153">
        <f>IFERROR(AH3153*0.1, "N/A")</f>
        <v>5.8000000000000007</v>
      </c>
      <c r="AH3153">
        <v>58</v>
      </c>
      <c r="AI3153">
        <v>208.29667684229099</v>
      </c>
      <c r="AJ3153">
        <v>20</v>
      </c>
      <c r="AK3153">
        <v>61</v>
      </c>
    </row>
    <row r="3154" spans="1:37" x14ac:dyDescent="0.3">
      <c r="A3154">
        <v>3153</v>
      </c>
      <c r="B3154">
        <v>19.899999999999999</v>
      </c>
      <c r="C3154">
        <v>-15.1075</v>
      </c>
      <c r="D3154">
        <v>12.7658</v>
      </c>
      <c r="E3154">
        <f>-15.1075-12.7658</f>
        <v>-27.8733</v>
      </c>
      <c r="F3154" t="s">
        <v>5245</v>
      </c>
      <c r="G3154" t="s">
        <v>39</v>
      </c>
      <c r="H3154">
        <v>1996</v>
      </c>
      <c r="I3154">
        <v>27.100000381469702</v>
      </c>
      <c r="J3154">
        <v>14</v>
      </c>
      <c r="K3154">
        <v>56</v>
      </c>
      <c r="L3154">
        <v>20.170000076293899</v>
      </c>
      <c r="M3154">
        <v>38.5</v>
      </c>
      <c r="N3154">
        <v>13.800000190734901</v>
      </c>
      <c r="O3154">
        <v>24.700000762939499</v>
      </c>
      <c r="P3154">
        <v>26.799999237060501</v>
      </c>
      <c r="Q3154">
        <v>26</v>
      </c>
      <c r="R3154">
        <v>29.799999237060501</v>
      </c>
      <c r="S3154">
        <v>24.5</v>
      </c>
      <c r="T3154">
        <v>1116</v>
      </c>
      <c r="U3154">
        <v>336</v>
      </c>
      <c r="V3154">
        <v>0</v>
      </c>
      <c r="W3154">
        <v>129</v>
      </c>
      <c r="X3154">
        <v>871</v>
      </c>
      <c r="Y3154">
        <v>0</v>
      </c>
      <c r="Z3154">
        <v>131</v>
      </c>
      <c r="AA3154">
        <v>7</v>
      </c>
      <c r="AB3154">
        <v>10.535484028995899</v>
      </c>
      <c r="AC3154">
        <v>3.5302778933646001E-2</v>
      </c>
      <c r="AD3154">
        <v>1.83480277814363</v>
      </c>
      <c r="AE3154">
        <v>0.47534163111539401</v>
      </c>
      <c r="AF3154">
        <v>16.276740237691001</v>
      </c>
      <c r="AG3154">
        <f>IFERROR(AH3154*0.1, "N/A")</f>
        <v>5.2478777589134102</v>
      </c>
      <c r="AH3154">
        <v>52.478777589134097</v>
      </c>
      <c r="AI3154">
        <v>159.42828177758099</v>
      </c>
      <c r="AJ3154">
        <v>23.140916808149399</v>
      </c>
      <c r="AK3154">
        <v>53.478777589134097</v>
      </c>
    </row>
    <row r="3155" spans="1:37" x14ac:dyDescent="0.3">
      <c r="A3155">
        <v>3154</v>
      </c>
      <c r="B3155">
        <v>1.3</v>
      </c>
      <c r="C3155">
        <v>-15.1075</v>
      </c>
      <c r="D3155">
        <v>12.7658</v>
      </c>
      <c r="E3155">
        <f>-15.1075-12.7658</f>
        <v>-27.8733</v>
      </c>
      <c r="F3155" t="s">
        <v>5246</v>
      </c>
      <c r="G3155" t="s">
        <v>37</v>
      </c>
      <c r="H3155">
        <v>1996</v>
      </c>
      <c r="I3155">
        <v>27.100000381469702</v>
      </c>
      <c r="J3155">
        <v>14</v>
      </c>
      <c r="K3155">
        <v>56</v>
      </c>
      <c r="L3155">
        <v>20.170000076293899</v>
      </c>
      <c r="M3155">
        <v>38.5</v>
      </c>
      <c r="N3155">
        <v>13.800000190734901</v>
      </c>
      <c r="O3155">
        <v>24.700000762939499</v>
      </c>
      <c r="P3155">
        <v>26.799999237060501</v>
      </c>
      <c r="Q3155">
        <v>26</v>
      </c>
      <c r="R3155">
        <v>29.799999237060501</v>
      </c>
      <c r="S3155">
        <v>24.5</v>
      </c>
      <c r="T3155">
        <v>1116</v>
      </c>
      <c r="U3155">
        <v>336</v>
      </c>
      <c r="V3155">
        <v>0</v>
      </c>
      <c r="W3155">
        <v>129</v>
      </c>
      <c r="X3155">
        <v>871</v>
      </c>
      <c r="Y3155">
        <v>0</v>
      </c>
      <c r="Z3155">
        <v>131</v>
      </c>
      <c r="AA3155">
        <v>7</v>
      </c>
      <c r="AB3155">
        <v>10.535484028995899</v>
      </c>
      <c r="AC3155">
        <v>3.5302778933646001E-2</v>
      </c>
      <c r="AD3155">
        <v>1.83480277814363</v>
      </c>
      <c r="AE3155">
        <v>0.47534163111539401</v>
      </c>
      <c r="AF3155">
        <v>16.276740237691001</v>
      </c>
      <c r="AG3155">
        <f>IFERROR(AH3155*0.1, "N/A")</f>
        <v>5.2478777589134102</v>
      </c>
      <c r="AH3155">
        <v>52.478777589134097</v>
      </c>
      <c r="AI3155">
        <v>159.42828177758099</v>
      </c>
      <c r="AJ3155">
        <v>23.140916808149399</v>
      </c>
      <c r="AK3155">
        <v>53.478777589134097</v>
      </c>
    </row>
    <row r="3156" spans="1:37" x14ac:dyDescent="0.3">
      <c r="A3156">
        <v>3155</v>
      </c>
      <c r="B3156">
        <v>0</v>
      </c>
      <c r="C3156">
        <v>-16.302999</v>
      </c>
      <c r="D3156">
        <v>12.768000000000001</v>
      </c>
      <c r="E3156">
        <f>-16.302999-12.768</f>
        <v>-29.070999</v>
      </c>
      <c r="F3156" t="s">
        <v>5247</v>
      </c>
      <c r="G3156" t="s">
        <v>39</v>
      </c>
      <c r="H3156">
        <v>1987</v>
      </c>
      <c r="I3156">
        <v>26.5</v>
      </c>
      <c r="J3156">
        <v>13.199999809265099</v>
      </c>
      <c r="K3156">
        <v>62</v>
      </c>
      <c r="L3156">
        <v>12.8999996185303</v>
      </c>
      <c r="M3156">
        <v>36</v>
      </c>
      <c r="N3156">
        <v>15</v>
      </c>
      <c r="O3156">
        <v>21</v>
      </c>
      <c r="P3156">
        <v>26.700000762939499</v>
      </c>
      <c r="Q3156">
        <v>25.299999237060501</v>
      </c>
      <c r="R3156">
        <v>27.700000762939499</v>
      </c>
      <c r="S3156">
        <v>24.399999618530298</v>
      </c>
      <c r="T3156">
        <v>1147</v>
      </c>
      <c r="U3156">
        <v>396</v>
      </c>
      <c r="V3156">
        <v>0</v>
      </c>
      <c r="W3156">
        <v>141</v>
      </c>
      <c r="X3156">
        <v>956</v>
      </c>
      <c r="Y3156">
        <v>0</v>
      </c>
      <c r="Z3156">
        <v>98</v>
      </c>
      <c r="AA3156">
        <v>1</v>
      </c>
      <c r="AB3156">
        <v>13.0509337553144</v>
      </c>
      <c r="AC3156">
        <v>1.3608296107697E-2</v>
      </c>
      <c r="AD3156">
        <v>1.7726752923988101</v>
      </c>
      <c r="AE3156">
        <v>0.24096244573593101</v>
      </c>
      <c r="AF3156">
        <v>17.30220713073</v>
      </c>
      <c r="AG3156">
        <f>IFERROR(AH3156*0.1, "N/A")</f>
        <v>4.6570458404074699</v>
      </c>
      <c r="AH3156">
        <v>46.570458404074699</v>
      </c>
      <c r="AI3156">
        <v>125.772224568754</v>
      </c>
      <c r="AJ3156">
        <v>23.855687606112099</v>
      </c>
      <c r="AK3156">
        <v>53.144312393887901</v>
      </c>
    </row>
    <row r="3157" spans="1:37" x14ac:dyDescent="0.3">
      <c r="A3157">
        <v>3156</v>
      </c>
      <c r="B3157">
        <v>0</v>
      </c>
      <c r="C3157">
        <v>-16.302999</v>
      </c>
      <c r="D3157">
        <v>12.768000000000001</v>
      </c>
      <c r="E3157">
        <f>-16.302999-12.768</f>
        <v>-29.070999</v>
      </c>
      <c r="F3157" t="s">
        <v>5248</v>
      </c>
      <c r="G3157" t="s">
        <v>37</v>
      </c>
      <c r="H3157">
        <v>1987</v>
      </c>
      <c r="I3157">
        <v>26.5</v>
      </c>
      <c r="J3157">
        <v>13.199999809265099</v>
      </c>
      <c r="K3157">
        <v>62</v>
      </c>
      <c r="L3157">
        <v>12.8999996185303</v>
      </c>
      <c r="M3157">
        <v>36</v>
      </c>
      <c r="N3157">
        <v>15</v>
      </c>
      <c r="O3157">
        <v>21</v>
      </c>
      <c r="P3157">
        <v>26.700000762939499</v>
      </c>
      <c r="Q3157">
        <v>25.299999237060501</v>
      </c>
      <c r="R3157">
        <v>27.700000762939499</v>
      </c>
      <c r="S3157">
        <v>24.399999618530298</v>
      </c>
      <c r="T3157">
        <v>1147</v>
      </c>
      <c r="U3157">
        <v>396</v>
      </c>
      <c r="V3157">
        <v>0</v>
      </c>
      <c r="W3157">
        <v>141</v>
      </c>
      <c r="X3157">
        <v>956</v>
      </c>
      <c r="Y3157">
        <v>0</v>
      </c>
      <c r="Z3157">
        <v>98</v>
      </c>
      <c r="AA3157">
        <v>1</v>
      </c>
      <c r="AB3157">
        <v>13.0509337553144</v>
      </c>
      <c r="AC3157">
        <v>1.3608296107697E-2</v>
      </c>
      <c r="AD3157">
        <v>1.7726752923988101</v>
      </c>
      <c r="AE3157">
        <v>0.24096244573593101</v>
      </c>
      <c r="AF3157">
        <v>17.30220713073</v>
      </c>
      <c r="AG3157">
        <f>IFERROR(AH3157*0.1, "N/A")</f>
        <v>4.6570458404074699</v>
      </c>
      <c r="AH3157">
        <v>46.570458404074699</v>
      </c>
      <c r="AI3157">
        <v>125.772224568754</v>
      </c>
      <c r="AJ3157">
        <v>23.855687606112099</v>
      </c>
      <c r="AK3157">
        <v>53.144312393887901</v>
      </c>
    </row>
    <row r="3158" spans="1:37" x14ac:dyDescent="0.3">
      <c r="A3158">
        <v>3157</v>
      </c>
      <c r="B3158">
        <v>46</v>
      </c>
      <c r="C3158">
        <v>-14.66</v>
      </c>
      <c r="D3158">
        <v>12.78</v>
      </c>
      <c r="E3158">
        <f>-14.66-12.78</f>
        <v>-27.439999999999998</v>
      </c>
      <c r="F3158" t="s">
        <v>5249</v>
      </c>
      <c r="G3158" t="s">
        <v>39</v>
      </c>
      <c r="H3158">
        <v>2003</v>
      </c>
      <c r="I3158">
        <v>27</v>
      </c>
      <c r="J3158">
        <v>14</v>
      </c>
      <c r="K3158">
        <v>55</v>
      </c>
      <c r="L3158">
        <v>22.25</v>
      </c>
      <c r="M3158">
        <v>38.599998474121101</v>
      </c>
      <c r="N3158">
        <v>13.5</v>
      </c>
      <c r="O3158">
        <v>25.100000381469702</v>
      </c>
      <c r="P3158">
        <v>26.5</v>
      </c>
      <c r="Q3158">
        <v>26</v>
      </c>
      <c r="R3158">
        <v>29.899999618530298</v>
      </c>
      <c r="S3158">
        <v>24.200000762939499</v>
      </c>
      <c r="T3158">
        <v>1120</v>
      </c>
      <c r="U3158">
        <v>332</v>
      </c>
      <c r="V3158">
        <v>0</v>
      </c>
      <c r="W3158">
        <v>127</v>
      </c>
      <c r="X3158">
        <v>856</v>
      </c>
      <c r="Y3158">
        <v>0</v>
      </c>
      <c r="Z3158">
        <v>147</v>
      </c>
      <c r="AA3158">
        <v>7</v>
      </c>
      <c r="AB3158">
        <v>13.2675730344193</v>
      </c>
      <c r="AC3158">
        <v>1.8903397224488999E-2</v>
      </c>
      <c r="AD3158">
        <v>1.63240030079017</v>
      </c>
      <c r="AE3158">
        <v>0.61620521545410201</v>
      </c>
      <c r="AF3158">
        <v>34.606112054329401</v>
      </c>
      <c r="AG3158">
        <f>IFERROR(AH3158*0.1, "N/A")</f>
        <v>5.4152801358234299</v>
      </c>
      <c r="AH3158">
        <v>54.152801358234299</v>
      </c>
      <c r="AI3158">
        <v>168.285755319385</v>
      </c>
      <c r="AJ3158">
        <v>20</v>
      </c>
      <c r="AK3158">
        <v>60.251273344651999</v>
      </c>
    </row>
    <row r="3159" spans="1:37" x14ac:dyDescent="0.3">
      <c r="A3159">
        <v>3158</v>
      </c>
      <c r="B3159">
        <v>64</v>
      </c>
      <c r="C3159">
        <v>-16.521699999999999</v>
      </c>
      <c r="D3159">
        <v>12.785600000000001</v>
      </c>
      <c r="E3159">
        <f>-16.5217-12.7856</f>
        <v>-29.307299999999998</v>
      </c>
      <c r="F3159" t="s">
        <v>5250</v>
      </c>
      <c r="G3159" t="s">
        <v>39</v>
      </c>
      <c r="H3159">
        <v>2003</v>
      </c>
      <c r="I3159">
        <v>26.200000762939499</v>
      </c>
      <c r="J3159">
        <v>12.699999809265099</v>
      </c>
      <c r="K3159">
        <v>63</v>
      </c>
      <c r="L3159">
        <v>12.180000305175801</v>
      </c>
      <c r="M3159">
        <v>35.200000762939503</v>
      </c>
      <c r="N3159">
        <v>15.199999809265099</v>
      </c>
      <c r="O3159">
        <v>20</v>
      </c>
      <c r="P3159">
        <v>26.600000381469702</v>
      </c>
      <c r="Q3159">
        <v>25</v>
      </c>
      <c r="R3159">
        <v>27.200000762939499</v>
      </c>
      <c r="S3159">
        <v>24.200000762939499</v>
      </c>
      <c r="T3159">
        <v>1139</v>
      </c>
      <c r="U3159">
        <v>409</v>
      </c>
      <c r="V3159">
        <v>0</v>
      </c>
      <c r="W3159">
        <v>145</v>
      </c>
      <c r="X3159">
        <v>966</v>
      </c>
      <c r="Y3159">
        <v>0</v>
      </c>
      <c r="Z3159">
        <v>358</v>
      </c>
      <c r="AA3159">
        <v>1</v>
      </c>
      <c r="AB3159">
        <v>4.5619289426230702</v>
      </c>
      <c r="AC3159">
        <v>7.8869931960821996E-2</v>
      </c>
      <c r="AD3159">
        <v>3.5421577819107699</v>
      </c>
      <c r="AE3159">
        <v>0.43596556782722501</v>
      </c>
      <c r="AF3159">
        <v>15.5583756345178</v>
      </c>
      <c r="AG3159">
        <f>IFERROR(AH3159*0.1, "N/A")</f>
        <v>5.6006768189509302</v>
      </c>
      <c r="AH3159">
        <v>56.006768189509302</v>
      </c>
      <c r="AI3159">
        <v>214.588623150149</v>
      </c>
      <c r="AJ3159">
        <v>20.998307952622699</v>
      </c>
      <c r="AK3159">
        <v>58.994923857868002</v>
      </c>
    </row>
    <row r="3160" spans="1:37" x14ac:dyDescent="0.3">
      <c r="A3160">
        <v>3159</v>
      </c>
      <c r="B3160">
        <v>0.6</v>
      </c>
      <c r="C3160">
        <v>-16.234501000000002</v>
      </c>
      <c r="D3160">
        <v>12.805199999999999</v>
      </c>
      <c r="E3160">
        <f>-16.234501-12.8052</f>
        <v>-29.039701000000001</v>
      </c>
      <c r="F3160" t="s">
        <v>5251</v>
      </c>
      <c r="G3160" t="s">
        <v>39</v>
      </c>
      <c r="H3160">
        <v>1991</v>
      </c>
      <c r="I3160">
        <v>26.5</v>
      </c>
      <c r="J3160">
        <v>13.300000190734901</v>
      </c>
      <c r="K3160">
        <v>63</v>
      </c>
      <c r="L3160">
        <v>12.8599996566772</v>
      </c>
      <c r="M3160">
        <v>36</v>
      </c>
      <c r="N3160">
        <v>15</v>
      </c>
      <c r="O3160">
        <v>21</v>
      </c>
      <c r="P3160">
        <v>26.600000381469702</v>
      </c>
      <c r="Q3160">
        <v>25.299999237060501</v>
      </c>
      <c r="R3160">
        <v>27.700000762939499</v>
      </c>
      <c r="S3160">
        <v>24.399999618530298</v>
      </c>
      <c r="T3160">
        <v>1124</v>
      </c>
      <c r="U3160">
        <v>386</v>
      </c>
      <c r="V3160">
        <v>0</v>
      </c>
      <c r="W3160">
        <v>141</v>
      </c>
      <c r="X3160">
        <v>934</v>
      </c>
      <c r="Y3160">
        <v>0</v>
      </c>
      <c r="Z3160">
        <v>100</v>
      </c>
      <c r="AA3160">
        <v>1</v>
      </c>
      <c r="AB3160">
        <v>2.0488095413259901</v>
      </c>
      <c r="AC3160">
        <v>0.36803238778881903</v>
      </c>
      <c r="AD3160">
        <v>1.1382475970249599</v>
      </c>
      <c r="AE3160">
        <v>0.87963450745660499</v>
      </c>
      <c r="AF3160">
        <v>19.649659863945601</v>
      </c>
      <c r="AG3160">
        <f>IFERROR(AH3160*0.1, "N/A")</f>
        <v>5.0297619047619104</v>
      </c>
      <c r="AH3160">
        <v>50.297619047619101</v>
      </c>
      <c r="AI3160">
        <v>198.832476298014</v>
      </c>
      <c r="AJ3160">
        <v>24.965986394557799</v>
      </c>
      <c r="AK3160">
        <v>56.719387755101998</v>
      </c>
    </row>
    <row r="3161" spans="1:37" x14ac:dyDescent="0.3">
      <c r="A3161">
        <v>3160</v>
      </c>
      <c r="B3161">
        <v>68.900002000000001</v>
      </c>
      <c r="C3161">
        <v>-11.7538</v>
      </c>
      <c r="D3161">
        <v>12.8317</v>
      </c>
      <c r="E3161">
        <f>-11.7538-12.8317</f>
        <v>-24.5855</v>
      </c>
      <c r="F3161" t="s">
        <v>5252</v>
      </c>
      <c r="G3161" t="s">
        <v>39</v>
      </c>
      <c r="H3161">
        <v>1996</v>
      </c>
      <c r="I3161">
        <v>28.100000381469702</v>
      </c>
      <c r="J3161">
        <v>12.800000190734901</v>
      </c>
      <c r="K3161">
        <v>56</v>
      </c>
      <c r="L3161">
        <v>23.059999465942401</v>
      </c>
      <c r="M3161">
        <v>39.299999237060497</v>
      </c>
      <c r="N3161">
        <v>16.799999237060501</v>
      </c>
      <c r="O3161">
        <v>22.5</v>
      </c>
      <c r="P3161">
        <v>26.5</v>
      </c>
      <c r="Q3161">
        <v>26.700000762939499</v>
      </c>
      <c r="R3161">
        <v>31.700000762939499</v>
      </c>
      <c r="S3161">
        <v>26</v>
      </c>
      <c r="T3161">
        <v>1090</v>
      </c>
      <c r="U3161">
        <v>314</v>
      </c>
      <c r="V3161">
        <v>0</v>
      </c>
      <c r="W3161">
        <v>122</v>
      </c>
      <c r="X3161">
        <v>794</v>
      </c>
      <c r="Y3161">
        <v>0</v>
      </c>
      <c r="Z3161">
        <v>58</v>
      </c>
      <c r="AA3161">
        <v>4</v>
      </c>
      <c r="AB3161">
        <v>7.2001698466432096</v>
      </c>
      <c r="AC3161">
        <v>4.4637442175900002E-2</v>
      </c>
      <c r="AD3161">
        <v>2.4692264628329399</v>
      </c>
      <c r="AE3161">
        <v>0.421500593423843</v>
      </c>
      <c r="AF3161">
        <v>187.33106960950801</v>
      </c>
      <c r="AG3161">
        <f>IFERROR(AH3161*0.1, "N/A")</f>
        <v>5.3071307300509298</v>
      </c>
      <c r="AH3161">
        <v>53.071307300509297</v>
      </c>
      <c r="AI3161">
        <v>251.520143674064</v>
      </c>
      <c r="AJ3161">
        <v>20.0713073005093</v>
      </c>
      <c r="AK3161">
        <v>48.928692699490703</v>
      </c>
    </row>
    <row r="3162" spans="1:37" x14ac:dyDescent="0.3">
      <c r="A3162">
        <v>3161</v>
      </c>
      <c r="B3162">
        <v>0</v>
      </c>
      <c r="C3162">
        <v>-11.7538</v>
      </c>
      <c r="D3162">
        <v>12.8317</v>
      </c>
      <c r="E3162">
        <f>-11.7538-12.8317</f>
        <v>-24.5855</v>
      </c>
      <c r="F3162" t="s">
        <v>5253</v>
      </c>
      <c r="G3162" t="s">
        <v>37</v>
      </c>
      <c r="H3162">
        <v>1996</v>
      </c>
      <c r="I3162">
        <v>28.100000381469702</v>
      </c>
      <c r="J3162">
        <v>12.800000190734901</v>
      </c>
      <c r="K3162">
        <v>56</v>
      </c>
      <c r="L3162">
        <v>23.059999465942401</v>
      </c>
      <c r="M3162">
        <v>39.299999237060497</v>
      </c>
      <c r="N3162">
        <v>16.799999237060501</v>
      </c>
      <c r="O3162">
        <v>22.5</v>
      </c>
      <c r="P3162">
        <v>26.5</v>
      </c>
      <c r="Q3162">
        <v>26.700000762939499</v>
      </c>
      <c r="R3162">
        <v>31.700000762939499</v>
      </c>
      <c r="S3162">
        <v>26</v>
      </c>
      <c r="T3162">
        <v>1090</v>
      </c>
      <c r="U3162">
        <v>314</v>
      </c>
      <c r="V3162">
        <v>0</v>
      </c>
      <c r="W3162">
        <v>122</v>
      </c>
      <c r="X3162">
        <v>794</v>
      </c>
      <c r="Y3162">
        <v>0</v>
      </c>
      <c r="Z3162">
        <v>58</v>
      </c>
      <c r="AA3162">
        <v>4</v>
      </c>
      <c r="AB3162">
        <v>7.2001698466432096</v>
      </c>
      <c r="AC3162">
        <v>4.4637442175900002E-2</v>
      </c>
      <c r="AD3162">
        <v>2.4692264628329399</v>
      </c>
      <c r="AE3162">
        <v>0.421500593423843</v>
      </c>
      <c r="AF3162">
        <v>187.33106960950801</v>
      </c>
      <c r="AG3162">
        <f>IFERROR(AH3162*0.1, "N/A")</f>
        <v>5.3071307300509298</v>
      </c>
      <c r="AH3162">
        <v>53.071307300509297</v>
      </c>
      <c r="AI3162">
        <v>251.520143674064</v>
      </c>
      <c r="AJ3162">
        <v>20.0713073005093</v>
      </c>
      <c r="AK3162">
        <v>48.928692699490703</v>
      </c>
    </row>
    <row r="3163" spans="1:37" x14ac:dyDescent="0.3">
      <c r="A3163">
        <v>3162</v>
      </c>
      <c r="B3163">
        <v>85.699996999999996</v>
      </c>
      <c r="C3163">
        <v>-14.61</v>
      </c>
      <c r="D3163">
        <v>12.85</v>
      </c>
      <c r="E3163">
        <f>-14.61-12.85</f>
        <v>-27.46</v>
      </c>
      <c r="F3163" t="s">
        <v>5254</v>
      </c>
      <c r="G3163" t="s">
        <v>39</v>
      </c>
      <c r="H3163">
        <v>1996</v>
      </c>
      <c r="I3163">
        <v>27.020102291334599</v>
      </c>
      <c r="J3163">
        <v>14.1000003814697</v>
      </c>
      <c r="K3163">
        <v>56</v>
      </c>
      <c r="L3163">
        <v>21.810102823442701</v>
      </c>
      <c r="M3163">
        <v>38.599998474121101</v>
      </c>
      <c r="N3163">
        <v>13.520102291334601</v>
      </c>
      <c r="O3163">
        <v>25.079898090135099</v>
      </c>
      <c r="P3163">
        <v>26.520102291334599</v>
      </c>
      <c r="Q3163">
        <v>26.1201026728044</v>
      </c>
      <c r="R3163">
        <v>29.820101528395199</v>
      </c>
      <c r="S3163">
        <v>24.299999237060501</v>
      </c>
      <c r="T3163">
        <v>1076.7938671209499</v>
      </c>
      <c r="U3163">
        <v>317.59795570698498</v>
      </c>
      <c r="V3163">
        <v>0</v>
      </c>
      <c r="W3163">
        <v>127.798977853492</v>
      </c>
      <c r="X3163">
        <v>824.39693356047701</v>
      </c>
      <c r="Y3163">
        <v>0</v>
      </c>
      <c r="Z3163">
        <v>142.798977853492</v>
      </c>
      <c r="AA3163">
        <v>6.7989778534923397</v>
      </c>
      <c r="AB3163">
        <v>8.4913119944843807</v>
      </c>
      <c r="AC3163">
        <v>0.28830681227820298</v>
      </c>
      <c r="AD3163">
        <v>1.94858189544036</v>
      </c>
      <c r="AE3163">
        <v>0.71016579866409302</v>
      </c>
      <c r="AF3163">
        <v>22.609880749574099</v>
      </c>
      <c r="AG3163">
        <f>IFERROR(AH3163*0.1, "N/A")</f>
        <v>4.8931856899488899</v>
      </c>
      <c r="AH3163">
        <v>48.931856899488899</v>
      </c>
      <c r="AI3163">
        <v>168.746205110566</v>
      </c>
      <c r="AJ3163">
        <v>20.863713798977901</v>
      </c>
      <c r="AK3163">
        <v>57.199318568994897</v>
      </c>
    </row>
    <row r="3164" spans="1:37" x14ac:dyDescent="0.3">
      <c r="A3164">
        <v>3163</v>
      </c>
      <c r="B3164">
        <v>0</v>
      </c>
      <c r="C3164">
        <v>-14.61</v>
      </c>
      <c r="D3164">
        <v>12.85</v>
      </c>
      <c r="E3164">
        <f>-14.61-12.85</f>
        <v>-27.46</v>
      </c>
      <c r="F3164" t="s">
        <v>5255</v>
      </c>
      <c r="G3164" t="s">
        <v>37</v>
      </c>
      <c r="H3164">
        <v>1996</v>
      </c>
      <c r="I3164">
        <v>27.020102291334599</v>
      </c>
      <c r="J3164">
        <v>14.1000003814697</v>
      </c>
      <c r="K3164">
        <v>56</v>
      </c>
      <c r="L3164">
        <v>21.810102823442701</v>
      </c>
      <c r="M3164">
        <v>38.599998474121101</v>
      </c>
      <c r="N3164">
        <v>13.520102291334601</v>
      </c>
      <c r="O3164">
        <v>25.079898090135099</v>
      </c>
      <c r="P3164">
        <v>26.520102291334599</v>
      </c>
      <c r="Q3164">
        <v>26.1201026728044</v>
      </c>
      <c r="R3164">
        <v>29.820101528395199</v>
      </c>
      <c r="S3164">
        <v>24.299999237060501</v>
      </c>
      <c r="T3164">
        <v>1076.7938671209499</v>
      </c>
      <c r="U3164">
        <v>317.59795570698498</v>
      </c>
      <c r="V3164">
        <v>0</v>
      </c>
      <c r="W3164">
        <v>127.798977853492</v>
      </c>
      <c r="X3164">
        <v>824.39693356047701</v>
      </c>
      <c r="Y3164">
        <v>0</v>
      </c>
      <c r="Z3164">
        <v>142.798977853492</v>
      </c>
      <c r="AA3164">
        <v>6.7989778534923397</v>
      </c>
      <c r="AB3164">
        <v>8.4913119944843807</v>
      </c>
      <c r="AC3164">
        <v>0.28830681227820298</v>
      </c>
      <c r="AD3164">
        <v>1.94858189544036</v>
      </c>
      <c r="AE3164">
        <v>0.71016579866409302</v>
      </c>
      <c r="AF3164">
        <v>22.609880749574099</v>
      </c>
      <c r="AG3164">
        <f>IFERROR(AH3164*0.1, "N/A")</f>
        <v>4.8931856899488899</v>
      </c>
      <c r="AH3164">
        <v>48.931856899488899</v>
      </c>
      <c r="AI3164">
        <v>168.746205110566</v>
      </c>
      <c r="AJ3164">
        <v>20.863713798977901</v>
      </c>
      <c r="AK3164">
        <v>57.199318568994897</v>
      </c>
    </row>
    <row r="3165" spans="1:37" x14ac:dyDescent="0.3">
      <c r="A3165">
        <v>3164</v>
      </c>
      <c r="B3165">
        <v>32.299999</v>
      </c>
      <c r="C3165">
        <v>-14.066599999999999</v>
      </c>
      <c r="D3165">
        <v>12.85</v>
      </c>
      <c r="E3165">
        <f>-14.0666-12.85</f>
        <v>-26.916599999999999</v>
      </c>
      <c r="F3165" t="s">
        <v>5256</v>
      </c>
      <c r="G3165" t="s">
        <v>39</v>
      </c>
      <c r="H3165">
        <v>1996</v>
      </c>
      <c r="I3165">
        <v>27.115254676948201</v>
      </c>
      <c r="J3165">
        <v>13.800000190734901</v>
      </c>
      <c r="K3165">
        <v>55</v>
      </c>
      <c r="L3165">
        <v>23.554914797766699</v>
      </c>
      <c r="M3165">
        <v>38.815253823490501</v>
      </c>
      <c r="N3165">
        <v>14</v>
      </c>
      <c r="O3165">
        <v>24.815253532539</v>
      </c>
      <c r="P3165">
        <v>26.594915616310299</v>
      </c>
      <c r="Q3165">
        <v>26.100000381469702</v>
      </c>
      <c r="R3165">
        <v>30.215254767466401</v>
      </c>
      <c r="S3165">
        <v>24.215254767466401</v>
      </c>
      <c r="T3165">
        <v>1056.2033898305101</v>
      </c>
      <c r="U3165">
        <v>301</v>
      </c>
      <c r="V3165">
        <v>0</v>
      </c>
      <c r="W3165">
        <v>125.152542372881</v>
      </c>
      <c r="X3165">
        <v>797.38983050847503</v>
      </c>
      <c r="Y3165">
        <v>0.66101694915254205</v>
      </c>
      <c r="Z3165">
        <v>28</v>
      </c>
      <c r="AA3165">
        <v>7</v>
      </c>
      <c r="AB3165">
        <v>5.7627144506419998E-3</v>
      </c>
      <c r="AC3165">
        <v>797.876677890922</v>
      </c>
      <c r="AD3165">
        <v>2.9987944990901998E-2</v>
      </c>
      <c r="AE3165">
        <v>0.30196222662925698</v>
      </c>
      <c r="AF3165">
        <v>17.0067796610169</v>
      </c>
      <c r="AG3165" t="str">
        <f>IFERROR(AH3165*0.1, "N/A")</f>
        <v>N/A</v>
      </c>
      <c r="AH3165" t="s">
        <v>729</v>
      </c>
      <c r="AI3165">
        <v>0.91525423728813604</v>
      </c>
      <c r="AJ3165" t="s">
        <v>729</v>
      </c>
      <c r="AK3165" t="s">
        <v>729</v>
      </c>
    </row>
    <row r="3166" spans="1:37" x14ac:dyDescent="0.3">
      <c r="A3166">
        <v>3165</v>
      </c>
      <c r="B3166">
        <v>0</v>
      </c>
      <c r="C3166">
        <v>-14.066599999999999</v>
      </c>
      <c r="D3166">
        <v>12.85</v>
      </c>
      <c r="E3166">
        <f>-14.0666-12.85</f>
        <v>-26.916599999999999</v>
      </c>
      <c r="F3166" t="s">
        <v>5257</v>
      </c>
      <c r="G3166" t="s">
        <v>37</v>
      </c>
      <c r="H3166">
        <v>1996</v>
      </c>
      <c r="I3166">
        <v>27.115254676948201</v>
      </c>
      <c r="J3166">
        <v>13.800000190734901</v>
      </c>
      <c r="K3166">
        <v>55</v>
      </c>
      <c r="L3166">
        <v>23.554914797766699</v>
      </c>
      <c r="M3166">
        <v>38.815253823490501</v>
      </c>
      <c r="N3166">
        <v>14</v>
      </c>
      <c r="O3166">
        <v>24.815253532539</v>
      </c>
      <c r="P3166">
        <v>26.594915616310299</v>
      </c>
      <c r="Q3166">
        <v>26.100000381469702</v>
      </c>
      <c r="R3166">
        <v>30.215254767466401</v>
      </c>
      <c r="S3166">
        <v>24.215254767466401</v>
      </c>
      <c r="T3166">
        <v>1056.2033898305101</v>
      </c>
      <c r="U3166">
        <v>301</v>
      </c>
      <c r="V3166">
        <v>0</v>
      </c>
      <c r="W3166">
        <v>125.152542372881</v>
      </c>
      <c r="X3166">
        <v>797.38983050847503</v>
      </c>
      <c r="Y3166">
        <v>0.66101694915254205</v>
      </c>
      <c r="Z3166">
        <v>28</v>
      </c>
      <c r="AA3166">
        <v>7</v>
      </c>
      <c r="AB3166">
        <v>5.7627144506419998E-3</v>
      </c>
      <c r="AC3166">
        <v>797.876677890922</v>
      </c>
      <c r="AD3166">
        <v>2.9987944990901998E-2</v>
      </c>
      <c r="AE3166">
        <v>0.30196222662925698</v>
      </c>
      <c r="AF3166">
        <v>17.0067796610169</v>
      </c>
      <c r="AG3166" t="str">
        <f>IFERROR(AH3166*0.1, "N/A")</f>
        <v>N/A</v>
      </c>
      <c r="AH3166" t="s">
        <v>729</v>
      </c>
      <c r="AI3166">
        <v>0.91525423728813604</v>
      </c>
      <c r="AJ3166" t="s">
        <v>729</v>
      </c>
      <c r="AK3166" t="s">
        <v>729</v>
      </c>
    </row>
    <row r="3167" spans="1:37" x14ac:dyDescent="0.3">
      <c r="A3167">
        <v>3166</v>
      </c>
      <c r="B3167">
        <v>37.099997999999999</v>
      </c>
      <c r="C3167">
        <v>-12.3506</v>
      </c>
      <c r="D3167">
        <v>12.855499999999999</v>
      </c>
      <c r="E3167">
        <f>-12.3506-12.8555</f>
        <v>-25.206099999999999</v>
      </c>
      <c r="F3167" t="s">
        <v>5258</v>
      </c>
      <c r="G3167" t="s">
        <v>39</v>
      </c>
      <c r="H3167">
        <v>2004</v>
      </c>
      <c r="I3167">
        <v>28.5</v>
      </c>
      <c r="J3167">
        <v>13.199999809265099</v>
      </c>
      <c r="K3167">
        <v>57</v>
      </c>
      <c r="L3167">
        <v>23.709693921644501</v>
      </c>
      <c r="M3167">
        <v>40</v>
      </c>
      <c r="N3167">
        <v>17.200000762939499</v>
      </c>
      <c r="O3167">
        <v>22.799999237060501</v>
      </c>
      <c r="P3167">
        <v>26.992190123009198</v>
      </c>
      <c r="Q3167">
        <v>28.600000381469702</v>
      </c>
      <c r="R3167">
        <v>32.099998474121101</v>
      </c>
      <c r="S3167">
        <v>26.207810490969301</v>
      </c>
      <c r="T3167">
        <v>1089</v>
      </c>
      <c r="U3167">
        <v>303</v>
      </c>
      <c r="V3167">
        <v>0</v>
      </c>
      <c r="W3167">
        <v>122</v>
      </c>
      <c r="X3167">
        <v>794</v>
      </c>
      <c r="Y3167">
        <v>0</v>
      </c>
      <c r="Z3167">
        <v>45</v>
      </c>
      <c r="AA3167">
        <v>6</v>
      </c>
      <c r="AB3167">
        <v>2.3499171802669698</v>
      </c>
      <c r="AC3167">
        <v>12.4404242988328</v>
      </c>
      <c r="AD3167">
        <v>2.0980872098982601</v>
      </c>
      <c r="AE3167">
        <v>0.28457209989048998</v>
      </c>
      <c r="AF3167">
        <v>86.1969439728353</v>
      </c>
      <c r="AG3167">
        <f>IFERROR(AH3167*0.1, "N/A")</f>
        <v>6.3083191850594202</v>
      </c>
      <c r="AH3167">
        <v>63.083191850594197</v>
      </c>
      <c r="AI3167">
        <v>154.03367819405599</v>
      </c>
      <c r="AJ3167">
        <v>24.475382003395602</v>
      </c>
      <c r="AK3167">
        <v>45.694397283531401</v>
      </c>
    </row>
    <row r="3168" spans="1:37" x14ac:dyDescent="0.3">
      <c r="A3168">
        <v>3167</v>
      </c>
      <c r="B3168">
        <v>0</v>
      </c>
      <c r="C3168">
        <v>-12.3506</v>
      </c>
      <c r="D3168">
        <v>12.855499999999999</v>
      </c>
      <c r="E3168">
        <f>-12.3506-12.8555</f>
        <v>-25.206099999999999</v>
      </c>
      <c r="F3168" t="s">
        <v>5259</v>
      </c>
      <c r="G3168" t="s">
        <v>37</v>
      </c>
      <c r="H3168">
        <v>1996</v>
      </c>
      <c r="I3168">
        <v>28.5</v>
      </c>
      <c r="J3168">
        <v>13.199999809265099</v>
      </c>
      <c r="K3168">
        <v>57</v>
      </c>
      <c r="L3168">
        <v>23.709693921644501</v>
      </c>
      <c r="M3168">
        <v>40</v>
      </c>
      <c r="N3168">
        <v>17.200000762939499</v>
      </c>
      <c r="O3168">
        <v>22.799999237060501</v>
      </c>
      <c r="P3168">
        <v>26.992190123009198</v>
      </c>
      <c r="Q3168">
        <v>28.600000381469702</v>
      </c>
      <c r="R3168">
        <v>32.099998474121101</v>
      </c>
      <c r="S3168">
        <v>26.207810490969301</v>
      </c>
      <c r="T3168">
        <v>1089</v>
      </c>
      <c r="U3168">
        <v>303</v>
      </c>
      <c r="V3168">
        <v>0</v>
      </c>
      <c r="W3168">
        <v>122</v>
      </c>
      <c r="X3168">
        <v>794</v>
      </c>
      <c r="Y3168">
        <v>0</v>
      </c>
      <c r="Z3168">
        <v>45</v>
      </c>
      <c r="AA3168">
        <v>6</v>
      </c>
      <c r="AB3168">
        <v>2.3499171802669698</v>
      </c>
      <c r="AC3168">
        <v>12.4404242988328</v>
      </c>
      <c r="AD3168">
        <v>2.0980872098982601</v>
      </c>
      <c r="AE3168">
        <v>0.28457209989048998</v>
      </c>
      <c r="AF3168">
        <v>86.1969439728353</v>
      </c>
      <c r="AG3168">
        <f>IFERROR(AH3168*0.1, "N/A")</f>
        <v>6.3083191850594202</v>
      </c>
      <c r="AH3168">
        <v>63.083191850594197</v>
      </c>
      <c r="AI3168">
        <v>154.03367819405599</v>
      </c>
      <c r="AJ3168">
        <v>24.475382003395602</v>
      </c>
      <c r="AK3168">
        <v>45.694397283531401</v>
      </c>
    </row>
    <row r="3169" spans="1:37" x14ac:dyDescent="0.3">
      <c r="A3169">
        <v>3168</v>
      </c>
      <c r="B3169">
        <v>8</v>
      </c>
      <c r="C3169">
        <v>-16.4694</v>
      </c>
      <c r="D3169">
        <v>12.862500000000001</v>
      </c>
      <c r="E3169">
        <f>-16.4694-12.8625</f>
        <v>-29.331900000000001</v>
      </c>
      <c r="F3169" t="s">
        <v>5260</v>
      </c>
      <c r="G3169" t="s">
        <v>39</v>
      </c>
      <c r="H3169">
        <v>2003</v>
      </c>
      <c r="I3169">
        <v>26.200000762939499</v>
      </c>
      <c r="J3169">
        <v>12.800000190734901</v>
      </c>
      <c r="K3169">
        <v>63</v>
      </c>
      <c r="L3169">
        <v>12.449999809265099</v>
      </c>
      <c r="M3169">
        <v>35.200000762939503</v>
      </c>
      <c r="N3169">
        <v>15.1000003814697</v>
      </c>
      <c r="O3169">
        <v>20.100000381469702</v>
      </c>
      <c r="P3169">
        <v>26.600000381469702</v>
      </c>
      <c r="Q3169">
        <v>25</v>
      </c>
      <c r="R3169">
        <v>27.200000762939499</v>
      </c>
      <c r="S3169">
        <v>24.200000762939499</v>
      </c>
      <c r="T3169">
        <v>1104</v>
      </c>
      <c r="U3169">
        <v>396</v>
      </c>
      <c r="V3169">
        <v>0</v>
      </c>
      <c r="W3169">
        <v>143</v>
      </c>
      <c r="X3169">
        <v>936</v>
      </c>
      <c r="Y3169">
        <v>0</v>
      </c>
      <c r="Z3169">
        <v>83</v>
      </c>
      <c r="AA3169">
        <v>1</v>
      </c>
      <c r="AB3169">
        <v>13.2849411052697</v>
      </c>
      <c r="AC3169">
        <v>1.1610443996937E-2</v>
      </c>
      <c r="AD3169">
        <v>0.69032703982997101</v>
      </c>
      <c r="AE3169">
        <v>0.38187631415029899</v>
      </c>
      <c r="AF3169">
        <v>16.947546531302901</v>
      </c>
      <c r="AG3169">
        <f>IFERROR(AH3169*0.1, "N/A")</f>
        <v>5.2998307952622703</v>
      </c>
      <c r="AH3169">
        <v>52.998307952622703</v>
      </c>
      <c r="AI3169">
        <v>98.076347234890605</v>
      </c>
      <c r="AJ3169">
        <v>24.2910321489002</v>
      </c>
      <c r="AK3169">
        <v>58.2182741116751</v>
      </c>
    </row>
    <row r="3170" spans="1:37" x14ac:dyDescent="0.3">
      <c r="A3170">
        <v>3169</v>
      </c>
      <c r="B3170">
        <v>81.300003000000004</v>
      </c>
      <c r="C3170">
        <v>-14.6166</v>
      </c>
      <c r="D3170">
        <v>12.8667</v>
      </c>
      <c r="E3170">
        <f>-14.6166-12.8667</f>
        <v>-27.4833</v>
      </c>
      <c r="F3170" t="s">
        <v>5261</v>
      </c>
      <c r="G3170" t="s">
        <v>39</v>
      </c>
      <c r="H3170">
        <v>1996</v>
      </c>
      <c r="I3170">
        <v>27</v>
      </c>
      <c r="J3170">
        <v>14.1000003814697</v>
      </c>
      <c r="K3170">
        <v>56</v>
      </c>
      <c r="L3170">
        <v>22.026372612128799</v>
      </c>
      <c r="M3170">
        <v>38.599998474121101</v>
      </c>
      <c r="N3170">
        <v>13.5</v>
      </c>
      <c r="O3170">
        <v>25.100000381469702</v>
      </c>
      <c r="P3170">
        <v>26.474067697686699</v>
      </c>
      <c r="Q3170">
        <v>26.037627262180099</v>
      </c>
      <c r="R3170">
        <v>29.899999618530298</v>
      </c>
      <c r="S3170">
        <v>24.2376273074393</v>
      </c>
      <c r="T3170">
        <v>1064.10338983051</v>
      </c>
      <c r="U3170">
        <v>313.59830508474602</v>
      </c>
      <c r="V3170">
        <v>0</v>
      </c>
      <c r="W3170">
        <v>127.777966101695</v>
      </c>
      <c r="X3170">
        <v>816.35084745762697</v>
      </c>
      <c r="Y3170">
        <v>0</v>
      </c>
      <c r="Z3170">
        <v>114.33050847457601</v>
      </c>
      <c r="AA3170">
        <v>6</v>
      </c>
      <c r="AB3170">
        <v>13.6686443264202</v>
      </c>
      <c r="AC3170">
        <v>2.1747741911371E-2</v>
      </c>
      <c r="AD3170">
        <v>1.84575853529623</v>
      </c>
      <c r="AE3170">
        <v>0.63278526067733798</v>
      </c>
      <c r="AF3170">
        <v>38.0254237288136</v>
      </c>
      <c r="AG3170">
        <f>IFERROR(AH3170*0.1, "N/A")</f>
        <v>5.3413559322033901</v>
      </c>
      <c r="AH3170">
        <v>53.413559322033898</v>
      </c>
      <c r="AI3170">
        <v>180.415291750633</v>
      </c>
      <c r="AJ3170">
        <v>22</v>
      </c>
      <c r="AK3170">
        <v>57.827118644067802</v>
      </c>
    </row>
    <row r="3171" spans="1:37" x14ac:dyDescent="0.3">
      <c r="A3171">
        <v>3170</v>
      </c>
      <c r="B3171">
        <v>0</v>
      </c>
      <c r="C3171">
        <v>-14.6166</v>
      </c>
      <c r="D3171">
        <v>12.8667</v>
      </c>
      <c r="E3171">
        <f>-14.6166-12.8667</f>
        <v>-27.4833</v>
      </c>
      <c r="F3171" t="s">
        <v>5262</v>
      </c>
      <c r="G3171" t="s">
        <v>37</v>
      </c>
      <c r="H3171">
        <v>1996</v>
      </c>
      <c r="I3171">
        <v>27</v>
      </c>
      <c r="J3171">
        <v>14.1000003814697</v>
      </c>
      <c r="K3171">
        <v>56</v>
      </c>
      <c r="L3171">
        <v>22.026372612128799</v>
      </c>
      <c r="M3171">
        <v>38.599998474121101</v>
      </c>
      <c r="N3171">
        <v>13.5</v>
      </c>
      <c r="O3171">
        <v>25.100000381469702</v>
      </c>
      <c r="P3171">
        <v>26.474067697686699</v>
      </c>
      <c r="Q3171">
        <v>26.037627262180099</v>
      </c>
      <c r="R3171">
        <v>29.899999618530298</v>
      </c>
      <c r="S3171">
        <v>24.2376273074393</v>
      </c>
      <c r="T3171">
        <v>1064.10338983051</v>
      </c>
      <c r="U3171">
        <v>313.59830508474602</v>
      </c>
      <c r="V3171">
        <v>0</v>
      </c>
      <c r="W3171">
        <v>127.777966101695</v>
      </c>
      <c r="X3171">
        <v>816.35084745762697</v>
      </c>
      <c r="Y3171">
        <v>0</v>
      </c>
      <c r="Z3171">
        <v>114.33050847457601</v>
      </c>
      <c r="AA3171">
        <v>6</v>
      </c>
      <c r="AB3171">
        <v>13.6686443264202</v>
      </c>
      <c r="AC3171">
        <v>2.1747741911371E-2</v>
      </c>
      <c r="AD3171">
        <v>1.84575853529623</v>
      </c>
      <c r="AE3171">
        <v>0.63278526067733798</v>
      </c>
      <c r="AF3171">
        <v>38.0254237288136</v>
      </c>
      <c r="AG3171">
        <f>IFERROR(AH3171*0.1, "N/A")</f>
        <v>5.3413559322033901</v>
      </c>
      <c r="AH3171">
        <v>53.413559322033898</v>
      </c>
      <c r="AI3171">
        <v>180.415291750633</v>
      </c>
      <c r="AJ3171">
        <v>22</v>
      </c>
      <c r="AK3171">
        <v>57.827118644067802</v>
      </c>
    </row>
    <row r="3172" spans="1:37" x14ac:dyDescent="0.3">
      <c r="A3172">
        <v>3171</v>
      </c>
      <c r="B3172">
        <v>42</v>
      </c>
      <c r="C3172">
        <v>-16.514999</v>
      </c>
      <c r="D3172">
        <v>12.87</v>
      </c>
      <c r="E3172">
        <f>-16.514999-12.87</f>
        <v>-29.384999000000001</v>
      </c>
      <c r="F3172" t="s">
        <v>5263</v>
      </c>
      <c r="G3172" t="s">
        <v>39</v>
      </c>
      <c r="H3172">
        <v>1987</v>
      </c>
      <c r="I3172">
        <v>26.299999237060501</v>
      </c>
      <c r="J3172">
        <v>12.699999809265099</v>
      </c>
      <c r="K3172">
        <v>63</v>
      </c>
      <c r="L3172">
        <v>12.569999694824199</v>
      </c>
      <c r="M3172">
        <v>35.200000762939503</v>
      </c>
      <c r="N3172">
        <v>15.199999809265099</v>
      </c>
      <c r="O3172">
        <v>20</v>
      </c>
      <c r="P3172">
        <v>26.799999237060501</v>
      </c>
      <c r="Q3172">
        <v>25</v>
      </c>
      <c r="R3172">
        <v>27.200000762939499</v>
      </c>
      <c r="S3172">
        <v>24.200000762939499</v>
      </c>
      <c r="T3172">
        <v>1101</v>
      </c>
      <c r="U3172">
        <v>399</v>
      </c>
      <c r="V3172">
        <v>0</v>
      </c>
      <c r="W3172">
        <v>145</v>
      </c>
      <c r="X3172">
        <v>937</v>
      </c>
      <c r="Y3172">
        <v>0</v>
      </c>
      <c r="Z3172">
        <v>345</v>
      </c>
      <c r="AA3172">
        <v>1</v>
      </c>
      <c r="AB3172">
        <v>0.39897958224727997</v>
      </c>
      <c r="AC3172">
        <v>1.230738526622E-2</v>
      </c>
      <c r="AD3172">
        <v>0.94863184526258604</v>
      </c>
      <c r="AE3172">
        <v>0.21131114661693601</v>
      </c>
      <c r="AF3172">
        <v>0.82993197278911601</v>
      </c>
      <c r="AG3172" t="str">
        <f>IFERROR(AH3172*0.1, "N/A")</f>
        <v>N/A</v>
      </c>
      <c r="AH3172" t="s">
        <v>729</v>
      </c>
      <c r="AI3172">
        <v>194.68295451572999</v>
      </c>
      <c r="AJ3172" t="s">
        <v>729</v>
      </c>
      <c r="AK3172" t="s">
        <v>729</v>
      </c>
    </row>
    <row r="3173" spans="1:37" x14ac:dyDescent="0.3">
      <c r="A3173">
        <v>3172</v>
      </c>
      <c r="B3173">
        <v>0</v>
      </c>
      <c r="C3173">
        <v>-16.514999</v>
      </c>
      <c r="D3173">
        <v>12.87</v>
      </c>
      <c r="E3173">
        <f>-16.514999-12.87</f>
        <v>-29.384999000000001</v>
      </c>
      <c r="F3173" t="s">
        <v>5264</v>
      </c>
      <c r="G3173" t="s">
        <v>37</v>
      </c>
      <c r="H3173">
        <v>1987</v>
      </c>
      <c r="I3173">
        <v>26.299999237060501</v>
      </c>
      <c r="J3173">
        <v>12.699999809265099</v>
      </c>
      <c r="K3173">
        <v>63</v>
      </c>
      <c r="L3173">
        <v>12.569999694824199</v>
      </c>
      <c r="M3173">
        <v>35.200000762939503</v>
      </c>
      <c r="N3173">
        <v>15.199999809265099</v>
      </c>
      <c r="O3173">
        <v>20</v>
      </c>
      <c r="P3173">
        <v>26.799999237060501</v>
      </c>
      <c r="Q3173">
        <v>25</v>
      </c>
      <c r="R3173">
        <v>27.200000762939499</v>
      </c>
      <c r="S3173">
        <v>24.200000762939499</v>
      </c>
      <c r="T3173">
        <v>1101</v>
      </c>
      <c r="U3173">
        <v>399</v>
      </c>
      <c r="V3173">
        <v>0</v>
      </c>
      <c r="W3173">
        <v>145</v>
      </c>
      <c r="X3173">
        <v>937</v>
      </c>
      <c r="Y3173">
        <v>0</v>
      </c>
      <c r="Z3173">
        <v>345</v>
      </c>
      <c r="AA3173">
        <v>1</v>
      </c>
      <c r="AB3173">
        <v>0.39897958224727997</v>
      </c>
      <c r="AC3173">
        <v>1.230738526622E-2</v>
      </c>
      <c r="AD3173">
        <v>0.94863184526258604</v>
      </c>
      <c r="AE3173">
        <v>0.21131114661693601</v>
      </c>
      <c r="AF3173">
        <v>0.82993197278911601</v>
      </c>
      <c r="AG3173" t="str">
        <f>IFERROR(AH3173*0.1, "N/A")</f>
        <v>N/A</v>
      </c>
      <c r="AH3173" t="s">
        <v>729</v>
      </c>
      <c r="AI3173">
        <v>194.68295451572999</v>
      </c>
      <c r="AJ3173" t="s">
        <v>729</v>
      </c>
      <c r="AK3173" t="s">
        <v>729</v>
      </c>
    </row>
    <row r="3174" spans="1:37" x14ac:dyDescent="0.3">
      <c r="A3174">
        <v>3173</v>
      </c>
      <c r="B3174">
        <v>94</v>
      </c>
      <c r="C3174">
        <v>-13.58</v>
      </c>
      <c r="D3174">
        <v>12.87</v>
      </c>
      <c r="E3174">
        <f>-13.58-12.87</f>
        <v>-26.45</v>
      </c>
      <c r="F3174" t="s">
        <v>5265</v>
      </c>
      <c r="G3174" t="s">
        <v>39</v>
      </c>
      <c r="H3174">
        <v>2003</v>
      </c>
      <c r="I3174">
        <v>27.399999618530298</v>
      </c>
      <c r="J3174">
        <v>13.6000003814697</v>
      </c>
      <c r="K3174">
        <v>56</v>
      </c>
      <c r="L3174">
        <v>23.5100002288818</v>
      </c>
      <c r="M3174">
        <v>38.799999237060497</v>
      </c>
      <c r="N3174">
        <v>14.6000003814697</v>
      </c>
      <c r="O3174">
        <v>24.200000762939499</v>
      </c>
      <c r="P3174">
        <v>26.700000762939499</v>
      </c>
      <c r="Q3174">
        <v>26.299999237060501</v>
      </c>
      <c r="R3174">
        <v>30.5</v>
      </c>
      <c r="S3174">
        <v>24.5</v>
      </c>
      <c r="T3174">
        <v>1098</v>
      </c>
      <c r="U3174">
        <v>317</v>
      </c>
      <c r="V3174">
        <v>0</v>
      </c>
      <c r="W3174">
        <v>123</v>
      </c>
      <c r="X3174">
        <v>813</v>
      </c>
      <c r="Y3174">
        <v>1</v>
      </c>
      <c r="Z3174">
        <v>32</v>
      </c>
      <c r="AA3174">
        <v>2</v>
      </c>
      <c r="AB3174">
        <v>1.2214277617785401</v>
      </c>
      <c r="AC3174">
        <v>0.51916783572599101</v>
      </c>
      <c r="AD3174">
        <v>1.2053342540146501</v>
      </c>
      <c r="AE3174">
        <v>0.28352296352386502</v>
      </c>
      <c r="AF3174">
        <v>66.421768707482997</v>
      </c>
      <c r="AG3174">
        <f>IFERROR(AH3174*0.1, "N/A")</f>
        <v>6.02482993197279</v>
      </c>
      <c r="AH3174">
        <v>60.248299319727899</v>
      </c>
      <c r="AI3174">
        <v>128.15740034531601</v>
      </c>
      <c r="AJ3174">
        <v>24.3758503401361</v>
      </c>
      <c r="AK3174">
        <v>50.248299319727899</v>
      </c>
    </row>
    <row r="3175" spans="1:37" x14ac:dyDescent="0.3">
      <c r="A3175">
        <v>3174</v>
      </c>
      <c r="B3175">
        <v>28</v>
      </c>
      <c r="C3175">
        <v>-15.984400000000001</v>
      </c>
      <c r="D3175">
        <v>12.8775</v>
      </c>
      <c r="E3175">
        <f>-15.9844-12.8775</f>
        <v>-28.861899999999999</v>
      </c>
      <c r="F3175" t="s">
        <v>5266</v>
      </c>
      <c r="G3175" t="s">
        <v>39</v>
      </c>
      <c r="H3175">
        <v>2003</v>
      </c>
      <c r="I3175">
        <v>26.8023761561447</v>
      </c>
      <c r="J3175">
        <v>13.6000003814697</v>
      </c>
      <c r="K3175">
        <v>62</v>
      </c>
      <c r="L3175">
        <v>14.5547540062352</v>
      </c>
      <c r="M3175">
        <v>36.7023776366877</v>
      </c>
      <c r="N3175">
        <v>15</v>
      </c>
      <c r="O3175">
        <v>21.7023776366877</v>
      </c>
      <c r="P3175">
        <v>26.804753075228898</v>
      </c>
      <c r="Q3175">
        <v>25.600000381469702</v>
      </c>
      <c r="R3175">
        <v>28.402376537614401</v>
      </c>
      <c r="S3175">
        <v>24.502376919084199</v>
      </c>
      <c r="T3175">
        <v>1056.9524617996599</v>
      </c>
      <c r="U3175">
        <v>369.97623089983</v>
      </c>
      <c r="V3175">
        <v>0</v>
      </c>
      <c r="W3175">
        <v>140.02376910017</v>
      </c>
      <c r="X3175">
        <v>873.95246179966</v>
      </c>
      <c r="Y3175">
        <v>0</v>
      </c>
      <c r="Z3175">
        <v>91</v>
      </c>
      <c r="AA3175">
        <v>1</v>
      </c>
      <c r="AB3175">
        <v>8.9011884456174695</v>
      </c>
      <c r="AC3175">
        <v>3.6193361289242998E-2</v>
      </c>
      <c r="AD3175">
        <v>2.2112831812358298</v>
      </c>
      <c r="AE3175">
        <v>0.41443398594856301</v>
      </c>
      <c r="AF3175">
        <v>11.190152801358201</v>
      </c>
      <c r="AG3175">
        <f>IFERROR(AH3175*0.1, "N/A")</f>
        <v>5.1000000000000005</v>
      </c>
      <c r="AH3175">
        <v>51</v>
      </c>
      <c r="AI3175">
        <v>140.70498019932501</v>
      </c>
      <c r="AJ3175">
        <v>24.111304347826099</v>
      </c>
      <c r="AK3175">
        <v>54.888695652173901</v>
      </c>
    </row>
    <row r="3176" spans="1:37" x14ac:dyDescent="0.3">
      <c r="A3176">
        <v>3175</v>
      </c>
      <c r="B3176">
        <v>8.9</v>
      </c>
      <c r="C3176">
        <v>-14.916600000000001</v>
      </c>
      <c r="D3176">
        <v>12.8833</v>
      </c>
      <c r="E3176">
        <f>-14.9166-12.8833</f>
        <v>-27.799900000000001</v>
      </c>
      <c r="F3176" t="s">
        <v>5267</v>
      </c>
      <c r="G3176" t="s">
        <v>39</v>
      </c>
      <c r="H3176">
        <v>1996</v>
      </c>
      <c r="I3176">
        <v>27.212310861777301</v>
      </c>
      <c r="J3176">
        <v>14.6000003814697</v>
      </c>
      <c r="K3176">
        <v>56</v>
      </c>
      <c r="L3176">
        <v>22.119240672351101</v>
      </c>
      <c r="M3176">
        <v>39.112309042559097</v>
      </c>
      <c r="N3176">
        <v>13.156829735883001</v>
      </c>
      <c r="O3176">
        <v>25.9554804372546</v>
      </c>
      <c r="P3176">
        <v>26.856660498736499</v>
      </c>
      <c r="Q3176">
        <v>26.044350928038</v>
      </c>
      <c r="R3176">
        <v>30.212310861777301</v>
      </c>
      <c r="S3176">
        <v>24.355480055784898</v>
      </c>
      <c r="T3176">
        <v>1072.87521079258</v>
      </c>
      <c r="U3176">
        <v>316.64249578414802</v>
      </c>
      <c r="V3176">
        <v>0</v>
      </c>
      <c r="W3176">
        <v>128.44350758853301</v>
      </c>
      <c r="X3176">
        <v>829.59190556492399</v>
      </c>
      <c r="Y3176">
        <v>1</v>
      </c>
      <c r="Z3176">
        <v>136.76559865092801</v>
      </c>
      <c r="AA3176">
        <v>5.7655986509274904</v>
      </c>
      <c r="AB3176">
        <v>3.8630686915946</v>
      </c>
      <c r="AC3176">
        <v>0.114357389311791</v>
      </c>
      <c r="AD3176">
        <v>2.1829489996220199</v>
      </c>
      <c r="AE3176">
        <v>0.75984956301484896</v>
      </c>
      <c r="AF3176">
        <v>11.2731871838111</v>
      </c>
      <c r="AG3176">
        <f>IFERROR(AH3176*0.1, "N/A")</f>
        <v>4.8694772344013506</v>
      </c>
      <c r="AH3176">
        <v>48.694772344013501</v>
      </c>
      <c r="AI3176">
        <v>254.879489522358</v>
      </c>
      <c r="AJ3176">
        <v>18.704890387858299</v>
      </c>
      <c r="AK3176">
        <v>58.865092748735201</v>
      </c>
    </row>
    <row r="3177" spans="1:37" x14ac:dyDescent="0.3">
      <c r="A3177">
        <v>3176</v>
      </c>
      <c r="B3177">
        <v>0</v>
      </c>
      <c r="C3177">
        <v>-14.916600000000001</v>
      </c>
      <c r="D3177">
        <v>12.8833</v>
      </c>
      <c r="E3177">
        <f>-14.9166-12.8833</f>
        <v>-27.799900000000001</v>
      </c>
      <c r="F3177" t="s">
        <v>5268</v>
      </c>
      <c r="G3177" t="s">
        <v>37</v>
      </c>
      <c r="H3177">
        <v>1996</v>
      </c>
      <c r="I3177">
        <v>27.212310861777301</v>
      </c>
      <c r="J3177">
        <v>14.6000003814697</v>
      </c>
      <c r="K3177">
        <v>56</v>
      </c>
      <c r="L3177">
        <v>22.119240672351101</v>
      </c>
      <c r="M3177">
        <v>39.112309042559097</v>
      </c>
      <c r="N3177">
        <v>13.156829735883001</v>
      </c>
      <c r="O3177">
        <v>25.9554804372546</v>
      </c>
      <c r="P3177">
        <v>26.856660498736499</v>
      </c>
      <c r="Q3177">
        <v>26.044350928038</v>
      </c>
      <c r="R3177">
        <v>30.212310861777301</v>
      </c>
      <c r="S3177">
        <v>24.355480055784898</v>
      </c>
      <c r="T3177">
        <v>1072.87521079258</v>
      </c>
      <c r="U3177">
        <v>316.64249578414802</v>
      </c>
      <c r="V3177">
        <v>0</v>
      </c>
      <c r="W3177">
        <v>128.44350758853301</v>
      </c>
      <c r="X3177">
        <v>829.59190556492399</v>
      </c>
      <c r="Y3177">
        <v>1</v>
      </c>
      <c r="Z3177">
        <v>136.76559865092801</v>
      </c>
      <c r="AA3177">
        <v>5.7655986509274904</v>
      </c>
      <c r="AB3177">
        <v>3.8630686915946</v>
      </c>
      <c r="AC3177">
        <v>0.114357389311791</v>
      </c>
      <c r="AD3177">
        <v>2.1829489996220199</v>
      </c>
      <c r="AE3177">
        <v>0.75984956301484896</v>
      </c>
      <c r="AF3177">
        <v>11.2731871838111</v>
      </c>
      <c r="AG3177">
        <f>IFERROR(AH3177*0.1, "N/A")</f>
        <v>4.8694772344013506</v>
      </c>
      <c r="AH3177">
        <v>48.694772344013501</v>
      </c>
      <c r="AI3177">
        <v>254.879489522358</v>
      </c>
      <c r="AJ3177">
        <v>18.704890387858299</v>
      </c>
      <c r="AK3177">
        <v>58.865092748735201</v>
      </c>
    </row>
    <row r="3178" spans="1:37" x14ac:dyDescent="0.3">
      <c r="A3178">
        <v>3177</v>
      </c>
      <c r="B3178">
        <v>1.2</v>
      </c>
      <c r="C3178">
        <v>-14.4833</v>
      </c>
      <c r="D3178">
        <v>12.8833</v>
      </c>
      <c r="E3178">
        <f>-14.4833-12.8833</f>
        <v>-27.366599999999998</v>
      </c>
      <c r="F3178" t="s">
        <v>5269</v>
      </c>
      <c r="G3178" t="s">
        <v>39</v>
      </c>
      <c r="H3178">
        <v>1996</v>
      </c>
      <c r="I3178">
        <v>27</v>
      </c>
      <c r="J3178">
        <v>14.0247039859468</v>
      </c>
      <c r="K3178">
        <v>55.040609137055803</v>
      </c>
      <c r="L3178">
        <v>22.677072679936</v>
      </c>
      <c r="M3178">
        <v>38.695939756286897</v>
      </c>
      <c r="N3178">
        <v>13.5</v>
      </c>
      <c r="O3178">
        <v>25.195939833742699</v>
      </c>
      <c r="P3178">
        <v>26.420642675280401</v>
      </c>
      <c r="Q3178">
        <v>26</v>
      </c>
      <c r="R3178">
        <v>29.899999618530298</v>
      </c>
      <c r="S3178">
        <v>24.100000381469702</v>
      </c>
      <c r="T3178">
        <v>1045.76480541455</v>
      </c>
      <c r="U3178">
        <v>306.505922165821</v>
      </c>
      <c r="V3178">
        <v>0</v>
      </c>
      <c r="W3178">
        <v>127.24703891708999</v>
      </c>
      <c r="X3178">
        <v>802.25888324873097</v>
      </c>
      <c r="Y3178">
        <v>0</v>
      </c>
      <c r="Z3178">
        <v>22.7529610829103</v>
      </c>
      <c r="AA3178">
        <v>6</v>
      </c>
      <c r="AB3178">
        <v>1.2903555177795101</v>
      </c>
      <c r="AC3178">
        <v>33.904489622210299</v>
      </c>
      <c r="AD3178">
        <v>2.33264298689144</v>
      </c>
      <c r="AE3178">
        <v>0.69376396487408698</v>
      </c>
      <c r="AF3178">
        <v>28.862944162436499</v>
      </c>
      <c r="AG3178">
        <f>IFERROR(AH3178*0.1, "N/A")</f>
        <v>5.4741116751268999</v>
      </c>
      <c r="AH3178">
        <v>54.741116751268997</v>
      </c>
      <c r="AI3178">
        <v>227.11578791274599</v>
      </c>
      <c r="AJ3178">
        <v>18.7817258883249</v>
      </c>
      <c r="AK3178">
        <v>62.040609137055803</v>
      </c>
    </row>
    <row r="3179" spans="1:37" x14ac:dyDescent="0.3">
      <c r="A3179">
        <v>3178</v>
      </c>
      <c r="B3179">
        <v>0</v>
      </c>
      <c r="C3179">
        <v>-14.4833</v>
      </c>
      <c r="D3179">
        <v>12.8833</v>
      </c>
      <c r="E3179">
        <f>-14.4833-12.8833</f>
        <v>-27.366599999999998</v>
      </c>
      <c r="F3179" t="s">
        <v>5270</v>
      </c>
      <c r="G3179" t="s">
        <v>37</v>
      </c>
      <c r="H3179">
        <v>1996</v>
      </c>
      <c r="I3179">
        <v>27</v>
      </c>
      <c r="J3179">
        <v>14.0247039859468</v>
      </c>
      <c r="K3179">
        <v>55.040609137055803</v>
      </c>
      <c r="L3179">
        <v>22.677072679936</v>
      </c>
      <c r="M3179">
        <v>38.695939756286897</v>
      </c>
      <c r="N3179">
        <v>13.5</v>
      </c>
      <c r="O3179">
        <v>25.195939833742699</v>
      </c>
      <c r="P3179">
        <v>26.420642675280401</v>
      </c>
      <c r="Q3179">
        <v>26</v>
      </c>
      <c r="R3179">
        <v>29.899999618530298</v>
      </c>
      <c r="S3179">
        <v>24.100000381469702</v>
      </c>
      <c r="T3179">
        <v>1045.76480541455</v>
      </c>
      <c r="U3179">
        <v>306.505922165821</v>
      </c>
      <c r="V3179">
        <v>0</v>
      </c>
      <c r="W3179">
        <v>127.24703891708999</v>
      </c>
      <c r="X3179">
        <v>802.25888324873097</v>
      </c>
      <c r="Y3179">
        <v>0</v>
      </c>
      <c r="Z3179">
        <v>22.7529610829103</v>
      </c>
      <c r="AA3179">
        <v>6</v>
      </c>
      <c r="AB3179">
        <v>1.2903555177795101</v>
      </c>
      <c r="AC3179">
        <v>33.904489622210299</v>
      </c>
      <c r="AD3179">
        <v>2.33264298689144</v>
      </c>
      <c r="AE3179">
        <v>0.69376396487408698</v>
      </c>
      <c r="AF3179">
        <v>28.862944162436499</v>
      </c>
      <c r="AG3179">
        <f>IFERROR(AH3179*0.1, "N/A")</f>
        <v>5.4741116751268999</v>
      </c>
      <c r="AH3179">
        <v>54.741116751268997</v>
      </c>
      <c r="AI3179">
        <v>227.11578791274599</v>
      </c>
      <c r="AJ3179">
        <v>18.7817258883249</v>
      </c>
      <c r="AK3179">
        <v>62.040609137055803</v>
      </c>
    </row>
    <row r="3180" spans="1:37" x14ac:dyDescent="0.3">
      <c r="A3180">
        <v>3179</v>
      </c>
      <c r="B3180">
        <v>66</v>
      </c>
      <c r="C3180">
        <v>-13.96</v>
      </c>
      <c r="D3180">
        <v>12.89</v>
      </c>
      <c r="E3180">
        <f>-13.96-12.89</f>
        <v>-26.85</v>
      </c>
      <c r="F3180" t="s">
        <v>5271</v>
      </c>
      <c r="G3180" t="s">
        <v>39</v>
      </c>
      <c r="H3180">
        <v>2003</v>
      </c>
      <c r="I3180">
        <v>27.200000762939499</v>
      </c>
      <c r="J3180">
        <v>13.800000190734901</v>
      </c>
      <c r="K3180">
        <v>55</v>
      </c>
      <c r="L3180">
        <v>23.5</v>
      </c>
      <c r="M3180">
        <v>38.799999237060497</v>
      </c>
      <c r="N3180">
        <v>14.1000003814697</v>
      </c>
      <c r="O3180">
        <v>24.700000762939499</v>
      </c>
      <c r="P3180">
        <v>26.600000381469702</v>
      </c>
      <c r="Q3180">
        <v>26.100000381469702</v>
      </c>
      <c r="R3180">
        <v>30.299999237060501</v>
      </c>
      <c r="S3180">
        <v>24.299999237060501</v>
      </c>
      <c r="T3180">
        <v>1047</v>
      </c>
      <c r="U3180">
        <v>300</v>
      </c>
      <c r="V3180">
        <v>0</v>
      </c>
      <c r="W3180">
        <v>125</v>
      </c>
      <c r="X3180">
        <v>787</v>
      </c>
      <c r="Y3180">
        <v>1</v>
      </c>
      <c r="Z3180">
        <v>155</v>
      </c>
      <c r="AA3180">
        <v>8</v>
      </c>
      <c r="AB3180">
        <v>4.9829101142947803</v>
      </c>
      <c r="AC3180">
        <v>1.9480303010245999E-2</v>
      </c>
      <c r="AD3180">
        <v>6.0961472935684604</v>
      </c>
      <c r="AE3180">
        <v>0.29073479771614102</v>
      </c>
      <c r="AF3180">
        <v>30.4653130287648</v>
      </c>
      <c r="AG3180" t="str">
        <f>IFERROR(AH3180*0.1, "N/A")</f>
        <v>N/A</v>
      </c>
      <c r="AH3180" t="s">
        <v>729</v>
      </c>
      <c r="AI3180">
        <v>195.88605064869699</v>
      </c>
      <c r="AJ3180" t="s">
        <v>729</v>
      </c>
      <c r="AK3180" t="s">
        <v>729</v>
      </c>
    </row>
    <row r="3181" spans="1:37" x14ac:dyDescent="0.3">
      <c r="A3181">
        <v>3180</v>
      </c>
      <c r="B3181">
        <v>70</v>
      </c>
      <c r="C3181">
        <v>-14.945</v>
      </c>
      <c r="D3181">
        <v>12.901</v>
      </c>
      <c r="E3181">
        <f>-14.945-12.901</f>
        <v>-27.846</v>
      </c>
      <c r="F3181" t="s">
        <v>5272</v>
      </c>
      <c r="G3181" t="s">
        <v>39</v>
      </c>
      <c r="H3181">
        <v>1987</v>
      </c>
      <c r="I3181">
        <v>27.100000381469702</v>
      </c>
      <c r="J3181">
        <v>14.6000003814697</v>
      </c>
      <c r="K3181">
        <v>55</v>
      </c>
      <c r="L3181">
        <v>22.620000839233398</v>
      </c>
      <c r="M3181">
        <v>39.099998474121101</v>
      </c>
      <c r="N3181">
        <v>13</v>
      </c>
      <c r="O3181">
        <v>26.100000381469702</v>
      </c>
      <c r="P3181">
        <v>26.700000762939499</v>
      </c>
      <c r="Q3181">
        <v>25.899999618530298</v>
      </c>
      <c r="R3181">
        <v>30.100000381469702</v>
      </c>
      <c r="S3181">
        <v>24.200000762939499</v>
      </c>
      <c r="T3181">
        <v>1057</v>
      </c>
      <c r="U3181">
        <v>312</v>
      </c>
      <c r="V3181">
        <v>0</v>
      </c>
      <c r="W3181">
        <v>128</v>
      </c>
      <c r="X3181">
        <v>819</v>
      </c>
      <c r="Y3181">
        <v>1</v>
      </c>
      <c r="Z3181">
        <v>134</v>
      </c>
      <c r="AA3181">
        <v>5</v>
      </c>
      <c r="AB3181">
        <v>19.95228606997</v>
      </c>
      <c r="AC3181">
        <v>1.9126847082223002E-2</v>
      </c>
      <c r="AD3181">
        <v>1.2566170518975199</v>
      </c>
      <c r="AE3181">
        <v>0.86798321716676496</v>
      </c>
      <c r="AF3181">
        <v>32.842639593908601</v>
      </c>
      <c r="AG3181">
        <f>IFERROR(AH3181*0.1, "N/A")</f>
        <v>6.2087986463621005</v>
      </c>
      <c r="AH3181">
        <v>62.087986463621</v>
      </c>
      <c r="AI3181">
        <v>145.595757679689</v>
      </c>
      <c r="AJ3181">
        <v>21.351945854483901</v>
      </c>
      <c r="AK3181">
        <v>57.736040609137</v>
      </c>
    </row>
    <row r="3182" spans="1:37" x14ac:dyDescent="0.3">
      <c r="A3182">
        <v>3181</v>
      </c>
      <c r="B3182">
        <v>0</v>
      </c>
      <c r="C3182">
        <v>-14.945</v>
      </c>
      <c r="D3182">
        <v>12.901</v>
      </c>
      <c r="E3182">
        <f>-14.945-12.901</f>
        <v>-27.846</v>
      </c>
      <c r="F3182" t="s">
        <v>5273</v>
      </c>
      <c r="G3182" t="s">
        <v>37</v>
      </c>
      <c r="H3182">
        <v>1987</v>
      </c>
      <c r="I3182">
        <v>27.100000381469702</v>
      </c>
      <c r="J3182">
        <v>14.6000003814697</v>
      </c>
      <c r="K3182">
        <v>55</v>
      </c>
      <c r="L3182">
        <v>22.620000839233398</v>
      </c>
      <c r="M3182">
        <v>39.099998474121101</v>
      </c>
      <c r="N3182">
        <v>13</v>
      </c>
      <c r="O3182">
        <v>26.100000381469702</v>
      </c>
      <c r="P3182">
        <v>26.700000762939499</v>
      </c>
      <c r="Q3182">
        <v>25.899999618530298</v>
      </c>
      <c r="R3182">
        <v>30.100000381469702</v>
      </c>
      <c r="S3182">
        <v>24.200000762939499</v>
      </c>
      <c r="T3182">
        <v>1057</v>
      </c>
      <c r="U3182">
        <v>312</v>
      </c>
      <c r="V3182">
        <v>0</v>
      </c>
      <c r="W3182">
        <v>128</v>
      </c>
      <c r="X3182">
        <v>819</v>
      </c>
      <c r="Y3182">
        <v>1</v>
      </c>
      <c r="Z3182">
        <v>134</v>
      </c>
      <c r="AA3182">
        <v>5</v>
      </c>
      <c r="AB3182">
        <v>19.95228606997</v>
      </c>
      <c r="AC3182">
        <v>1.9126847082223002E-2</v>
      </c>
      <c r="AD3182">
        <v>1.2566170518975199</v>
      </c>
      <c r="AE3182">
        <v>0.86798321716676496</v>
      </c>
      <c r="AF3182">
        <v>32.842639593908601</v>
      </c>
      <c r="AG3182">
        <f>IFERROR(AH3182*0.1, "N/A")</f>
        <v>6.2087986463621005</v>
      </c>
      <c r="AH3182">
        <v>62.087986463621</v>
      </c>
      <c r="AI3182">
        <v>145.595757679689</v>
      </c>
      <c r="AJ3182">
        <v>21.351945854483901</v>
      </c>
      <c r="AK3182">
        <v>57.736040609137</v>
      </c>
    </row>
    <row r="3183" spans="1:37" x14ac:dyDescent="0.3">
      <c r="A3183">
        <v>3182</v>
      </c>
      <c r="B3183">
        <v>86</v>
      </c>
      <c r="C3183">
        <v>-13.9657</v>
      </c>
      <c r="D3183">
        <v>12.9123</v>
      </c>
      <c r="E3183">
        <f>-13.9657-12.9123</f>
        <v>-26.878</v>
      </c>
      <c r="F3183" t="s">
        <v>5274</v>
      </c>
      <c r="G3183" t="s">
        <v>39</v>
      </c>
      <c r="H3183">
        <v>2003</v>
      </c>
      <c r="I3183">
        <v>27.200000762939499</v>
      </c>
      <c r="J3183">
        <v>13.800000190734901</v>
      </c>
      <c r="K3183">
        <v>55</v>
      </c>
      <c r="L3183">
        <v>23.7700004577637</v>
      </c>
      <c r="M3183">
        <v>38.799999237060497</v>
      </c>
      <c r="N3183">
        <v>14.1000003814697</v>
      </c>
      <c r="O3183">
        <v>24.700000762939499</v>
      </c>
      <c r="P3183">
        <v>26.600000381469702</v>
      </c>
      <c r="Q3183">
        <v>26.100000381469702</v>
      </c>
      <c r="R3183">
        <v>30.299999237060501</v>
      </c>
      <c r="S3183">
        <v>24.200000762939499</v>
      </c>
      <c r="T3183">
        <v>1029</v>
      </c>
      <c r="U3183">
        <v>295</v>
      </c>
      <c r="V3183">
        <v>0</v>
      </c>
      <c r="W3183">
        <v>126</v>
      </c>
      <c r="X3183">
        <v>776</v>
      </c>
      <c r="Y3183">
        <v>1</v>
      </c>
      <c r="Z3183">
        <v>152</v>
      </c>
      <c r="AA3183">
        <v>7</v>
      </c>
      <c r="AB3183">
        <v>3.8037286661439</v>
      </c>
      <c r="AC3183">
        <v>1.1458330603032E-2</v>
      </c>
      <c r="AD3183">
        <v>1.56340424307322</v>
      </c>
      <c r="AE3183">
        <v>0.54003554582595803</v>
      </c>
      <c r="AF3183">
        <v>36.350847457627097</v>
      </c>
      <c r="AG3183">
        <f>IFERROR(AH3183*0.1, "N/A")</f>
        <v>6.8000000000000007</v>
      </c>
      <c r="AH3183">
        <v>68</v>
      </c>
      <c r="AI3183">
        <v>177.397245439432</v>
      </c>
      <c r="AJ3183">
        <v>21</v>
      </c>
      <c r="AK3183">
        <v>57</v>
      </c>
    </row>
    <row r="3184" spans="1:37" x14ac:dyDescent="0.3">
      <c r="A3184">
        <v>3183</v>
      </c>
      <c r="B3184">
        <v>72</v>
      </c>
      <c r="C3184">
        <v>-11.720499999999999</v>
      </c>
      <c r="D3184">
        <v>12.9183</v>
      </c>
      <c r="E3184">
        <f>-11.7205-12.9183</f>
        <v>-24.6388</v>
      </c>
      <c r="F3184" t="s">
        <v>5275</v>
      </c>
      <c r="G3184" t="s">
        <v>39</v>
      </c>
      <c r="H3184">
        <v>2003</v>
      </c>
      <c r="I3184">
        <v>28.399999618530298</v>
      </c>
      <c r="J3184">
        <v>12.8999996185303</v>
      </c>
      <c r="K3184">
        <v>57</v>
      </c>
      <c r="L3184">
        <v>22.959999084472699</v>
      </c>
      <c r="M3184">
        <v>39.700000762939503</v>
      </c>
      <c r="N3184">
        <v>17.100000381469702</v>
      </c>
      <c r="O3184">
        <v>22.600000381469702</v>
      </c>
      <c r="P3184">
        <v>26.799999237060501</v>
      </c>
      <c r="Q3184">
        <v>28.700000762939499</v>
      </c>
      <c r="R3184">
        <v>32</v>
      </c>
      <c r="S3184">
        <v>26.299999237060501</v>
      </c>
      <c r="T3184">
        <v>1060</v>
      </c>
      <c r="U3184">
        <v>309</v>
      </c>
      <c r="V3184">
        <v>0</v>
      </c>
      <c r="W3184">
        <v>122</v>
      </c>
      <c r="X3184">
        <v>776</v>
      </c>
      <c r="Y3184">
        <v>0</v>
      </c>
      <c r="Z3184">
        <v>55</v>
      </c>
      <c r="AA3184">
        <v>4</v>
      </c>
      <c r="AB3184">
        <v>0.60355147022311995</v>
      </c>
      <c r="AC3184">
        <v>20.956188456417401</v>
      </c>
      <c r="AD3184">
        <v>1.1747924372301299</v>
      </c>
      <c r="AE3184">
        <v>0.17979105443267501</v>
      </c>
      <c r="AF3184">
        <v>134.37796610169499</v>
      </c>
      <c r="AG3184">
        <f>IFERROR(AH3184*0.1, "N/A")</f>
        <v>5.9913559322033905</v>
      </c>
      <c r="AH3184">
        <v>59.913559322033898</v>
      </c>
      <c r="AI3184">
        <v>176.75838416148</v>
      </c>
      <c r="AJ3184">
        <v>23.944067796610199</v>
      </c>
      <c r="AK3184">
        <v>42.008474576271198</v>
      </c>
    </row>
    <row r="3185" spans="1:37" x14ac:dyDescent="0.3">
      <c r="A3185">
        <v>3184</v>
      </c>
      <c r="B3185">
        <v>0</v>
      </c>
      <c r="C3185">
        <v>-16.003</v>
      </c>
      <c r="D3185">
        <v>12.919</v>
      </c>
      <c r="E3185">
        <f>-16.003-12.919</f>
        <v>-28.922000000000001</v>
      </c>
      <c r="F3185" t="s">
        <v>5276</v>
      </c>
      <c r="G3185" t="s">
        <v>39</v>
      </c>
      <c r="H3185">
        <v>1987</v>
      </c>
      <c r="I3185">
        <v>26.700000762939499</v>
      </c>
      <c r="J3185">
        <v>13.6000003814697</v>
      </c>
      <c r="K3185">
        <v>62</v>
      </c>
      <c r="L3185">
        <v>14.439999580383301</v>
      </c>
      <c r="M3185">
        <v>36.599998474121101</v>
      </c>
      <c r="N3185">
        <v>15</v>
      </c>
      <c r="O3185">
        <v>21.600000381469702</v>
      </c>
      <c r="P3185">
        <v>26.899999618530298</v>
      </c>
      <c r="Q3185">
        <v>25.600000381469702</v>
      </c>
      <c r="R3185">
        <v>28.299999237060501</v>
      </c>
      <c r="S3185">
        <v>24.5</v>
      </c>
      <c r="T3185">
        <v>1044</v>
      </c>
      <c r="U3185">
        <v>363</v>
      </c>
      <c r="V3185">
        <v>0</v>
      </c>
      <c r="W3185">
        <v>140</v>
      </c>
      <c r="X3185">
        <v>864</v>
      </c>
      <c r="Y3185">
        <v>0</v>
      </c>
      <c r="Z3185">
        <v>90</v>
      </c>
      <c r="AA3185">
        <v>1</v>
      </c>
      <c r="AB3185">
        <v>5.2385787536246697</v>
      </c>
      <c r="AC3185">
        <v>6.0380209993741003E-2</v>
      </c>
      <c r="AD3185">
        <v>2.4914871889927701</v>
      </c>
      <c r="AE3185">
        <v>0.33503248995128998</v>
      </c>
      <c r="AF3185">
        <v>12.901861252115101</v>
      </c>
      <c r="AG3185">
        <f>IFERROR(AH3185*0.1, "N/A")</f>
        <v>5.1253807106599005</v>
      </c>
      <c r="AH3185">
        <v>51.253807106598998</v>
      </c>
      <c r="AI3185">
        <v>235.34559938588899</v>
      </c>
      <c r="AJ3185">
        <v>19.893401015228399</v>
      </c>
      <c r="AK3185">
        <v>57.213197969543202</v>
      </c>
    </row>
    <row r="3186" spans="1:37" x14ac:dyDescent="0.3">
      <c r="A3186">
        <v>3185</v>
      </c>
      <c r="B3186">
        <v>0</v>
      </c>
      <c r="C3186">
        <v>-16.003</v>
      </c>
      <c r="D3186">
        <v>12.919</v>
      </c>
      <c r="E3186">
        <f>-16.003-12.919</f>
        <v>-28.922000000000001</v>
      </c>
      <c r="F3186" t="s">
        <v>5277</v>
      </c>
      <c r="G3186" t="s">
        <v>37</v>
      </c>
      <c r="H3186">
        <v>1987</v>
      </c>
      <c r="I3186">
        <v>26.700000762939499</v>
      </c>
      <c r="J3186">
        <v>13.6000003814697</v>
      </c>
      <c r="K3186">
        <v>62</v>
      </c>
      <c r="L3186">
        <v>14.439999580383301</v>
      </c>
      <c r="M3186">
        <v>36.599998474121101</v>
      </c>
      <c r="N3186">
        <v>15</v>
      </c>
      <c r="O3186">
        <v>21.600000381469702</v>
      </c>
      <c r="P3186">
        <v>26.899999618530298</v>
      </c>
      <c r="Q3186">
        <v>25.600000381469702</v>
      </c>
      <c r="R3186">
        <v>28.299999237060501</v>
      </c>
      <c r="S3186">
        <v>24.5</v>
      </c>
      <c r="T3186">
        <v>1044</v>
      </c>
      <c r="U3186">
        <v>363</v>
      </c>
      <c r="V3186">
        <v>0</v>
      </c>
      <c r="W3186">
        <v>140</v>
      </c>
      <c r="X3186">
        <v>864</v>
      </c>
      <c r="Y3186">
        <v>0</v>
      </c>
      <c r="Z3186">
        <v>90</v>
      </c>
      <c r="AA3186">
        <v>1</v>
      </c>
      <c r="AB3186">
        <v>5.2385787536246697</v>
      </c>
      <c r="AC3186">
        <v>6.0380209993741003E-2</v>
      </c>
      <c r="AD3186">
        <v>2.4914871889927701</v>
      </c>
      <c r="AE3186">
        <v>0.33503248995128998</v>
      </c>
      <c r="AF3186">
        <v>12.901861252115101</v>
      </c>
      <c r="AG3186">
        <f>IFERROR(AH3186*0.1, "N/A")</f>
        <v>5.1253807106599005</v>
      </c>
      <c r="AH3186">
        <v>51.253807106598998</v>
      </c>
      <c r="AI3186">
        <v>235.34559938588899</v>
      </c>
      <c r="AJ3186">
        <v>19.893401015228399</v>
      </c>
      <c r="AK3186">
        <v>57.213197969543202</v>
      </c>
    </row>
    <row r="3187" spans="1:37" x14ac:dyDescent="0.3">
      <c r="A3187">
        <v>3186</v>
      </c>
      <c r="B3187">
        <v>36</v>
      </c>
      <c r="C3187">
        <v>-13.639200000000001</v>
      </c>
      <c r="D3187">
        <v>12.9246</v>
      </c>
      <c r="E3187">
        <f>-13.6392-12.9246</f>
        <v>-26.563800000000001</v>
      </c>
      <c r="F3187" t="s">
        <v>5278</v>
      </c>
      <c r="G3187" t="s">
        <v>39</v>
      </c>
      <c r="H3187">
        <v>2003</v>
      </c>
      <c r="I3187">
        <v>27.299999237060501</v>
      </c>
      <c r="J3187">
        <v>13.6000003814697</v>
      </c>
      <c r="K3187">
        <v>55</v>
      </c>
      <c r="L3187">
        <v>24.0633788108826</v>
      </c>
      <c r="M3187">
        <v>38.799999237060497</v>
      </c>
      <c r="N3187">
        <v>14.423310518264801</v>
      </c>
      <c r="O3187">
        <v>24.376688718795801</v>
      </c>
      <c r="P3187">
        <v>26.700000762939499</v>
      </c>
      <c r="Q3187">
        <v>26.200000762939499</v>
      </c>
      <c r="R3187">
        <v>30.5</v>
      </c>
      <c r="S3187">
        <v>24.323310136795001</v>
      </c>
      <c r="T3187">
        <v>1080.3006756756799</v>
      </c>
      <c r="U3187">
        <v>314.76689189189199</v>
      </c>
      <c r="V3187">
        <v>0</v>
      </c>
      <c r="W3187">
        <v>124.233108108108</v>
      </c>
      <c r="X3187">
        <v>802.30067567567596</v>
      </c>
      <c r="Y3187">
        <v>1</v>
      </c>
      <c r="Z3187">
        <v>166</v>
      </c>
      <c r="AA3187">
        <v>9</v>
      </c>
      <c r="AB3187">
        <v>2.2893580746006301</v>
      </c>
      <c r="AC3187">
        <v>3.4721753707886001E-2</v>
      </c>
      <c r="AD3187">
        <v>2.0313145149297802</v>
      </c>
      <c r="AE3187">
        <v>0.34529766541075102</v>
      </c>
      <c r="AF3187">
        <v>62.858108108108098</v>
      </c>
      <c r="AG3187">
        <f>IFERROR(AH3187*0.1, "N/A")</f>
        <v>5.8498310810810805</v>
      </c>
      <c r="AH3187">
        <v>58.4983108108108</v>
      </c>
      <c r="AI3187">
        <v>200.15846015311601</v>
      </c>
      <c r="AJ3187">
        <v>23.7516891891892</v>
      </c>
      <c r="AK3187">
        <v>51.168918918918898</v>
      </c>
    </row>
    <row r="3188" spans="1:37" x14ac:dyDescent="0.3">
      <c r="A3188">
        <v>3187</v>
      </c>
      <c r="B3188">
        <v>28</v>
      </c>
      <c r="C3188">
        <v>-13.75</v>
      </c>
      <c r="D3188">
        <v>12.95</v>
      </c>
      <c r="E3188">
        <f>-13.75-12.95</f>
        <v>-26.7</v>
      </c>
      <c r="F3188" t="s">
        <v>5279</v>
      </c>
      <c r="G3188" t="s">
        <v>39</v>
      </c>
      <c r="H3188">
        <v>2003</v>
      </c>
      <c r="I3188">
        <v>27.287478277525899</v>
      </c>
      <c r="J3188">
        <v>13.699999809265099</v>
      </c>
      <c r="K3188">
        <v>55</v>
      </c>
      <c r="L3188">
        <v>24.204754789065198</v>
      </c>
      <c r="M3188">
        <v>38.799999237060497</v>
      </c>
      <c r="N3188">
        <v>14.279864750134401</v>
      </c>
      <c r="O3188">
        <v>24.520135440600502</v>
      </c>
      <c r="P3188">
        <v>26.700000762939499</v>
      </c>
      <c r="Q3188">
        <v>26.134518279641998</v>
      </c>
      <c r="R3188">
        <v>30.487478801643402</v>
      </c>
      <c r="S3188">
        <v>24.299999237060501</v>
      </c>
      <c r="T3188">
        <v>1078.7749576988199</v>
      </c>
      <c r="U3188">
        <v>317.78003384094802</v>
      </c>
      <c r="V3188">
        <v>0</v>
      </c>
      <c r="W3188">
        <v>124.345177664975</v>
      </c>
      <c r="X3188">
        <v>801.214890016921</v>
      </c>
      <c r="Y3188">
        <v>1</v>
      </c>
      <c r="Z3188">
        <v>165.78003384094799</v>
      </c>
      <c r="AA3188">
        <v>9</v>
      </c>
      <c r="AB3188">
        <v>1.26835968611406</v>
      </c>
      <c r="AC3188">
        <v>8.0384977639364003E-2</v>
      </c>
      <c r="AD3188">
        <v>1.24589507627205</v>
      </c>
      <c r="AE3188">
        <v>0.67049241065979004</v>
      </c>
      <c r="AF3188">
        <v>46.717428087986498</v>
      </c>
      <c r="AG3188">
        <f>IFERROR(AH3188*0.1, "N/A")</f>
        <v>5.4218274111675102</v>
      </c>
      <c r="AH3188">
        <v>54.2182741116751</v>
      </c>
      <c r="AI3188">
        <v>211.66029032595901</v>
      </c>
      <c r="AJ3188">
        <v>20.597292724196301</v>
      </c>
      <c r="AK3188">
        <v>57.197969543147202</v>
      </c>
    </row>
    <row r="3189" spans="1:37" x14ac:dyDescent="0.3">
      <c r="A3189">
        <v>3188</v>
      </c>
      <c r="B3189">
        <v>52</v>
      </c>
      <c r="C3189">
        <v>-16.459999</v>
      </c>
      <c r="D3189">
        <v>12.97</v>
      </c>
      <c r="E3189">
        <f>-16.459999-12.97</f>
        <v>-29.429999000000002</v>
      </c>
      <c r="F3189" t="s">
        <v>5280</v>
      </c>
      <c r="G3189" t="s">
        <v>39</v>
      </c>
      <c r="H3189">
        <v>2003</v>
      </c>
      <c r="I3189">
        <v>26.100000381469702</v>
      </c>
      <c r="J3189">
        <v>12.699999809265099</v>
      </c>
      <c r="K3189">
        <v>64</v>
      </c>
      <c r="L3189">
        <v>12.3900003433228</v>
      </c>
      <c r="M3189">
        <v>34.900001525878899</v>
      </c>
      <c r="N3189">
        <v>15.1000003814697</v>
      </c>
      <c r="O3189">
        <v>19.799999237060501</v>
      </c>
      <c r="P3189">
        <v>26.700000762939499</v>
      </c>
      <c r="Q3189">
        <v>24.799999237060501</v>
      </c>
      <c r="R3189">
        <v>27.100000381469702</v>
      </c>
      <c r="S3189">
        <v>24.100000381469702</v>
      </c>
      <c r="T3189">
        <v>1050</v>
      </c>
      <c r="U3189">
        <v>380</v>
      </c>
      <c r="V3189">
        <v>0</v>
      </c>
      <c r="W3189">
        <v>145</v>
      </c>
      <c r="X3189">
        <v>894</v>
      </c>
      <c r="Y3189">
        <v>0</v>
      </c>
      <c r="Z3189">
        <v>329</v>
      </c>
      <c r="AA3189">
        <v>1</v>
      </c>
      <c r="AB3189">
        <v>6.30084742853197</v>
      </c>
      <c r="AC3189">
        <v>1.7360129404687001E-2</v>
      </c>
      <c r="AD3189">
        <v>1.27754474130727</v>
      </c>
      <c r="AE3189">
        <v>0.209966887356871</v>
      </c>
      <c r="AF3189">
        <v>24.3864406779661</v>
      </c>
      <c r="AG3189">
        <f>IFERROR(AH3189*0.1, "N/A")</f>
        <v>5.3293220338983103</v>
      </c>
      <c r="AH3189">
        <v>53.293220338983097</v>
      </c>
      <c r="AI3189">
        <v>136.03582069267699</v>
      </c>
      <c r="AJ3189">
        <v>23.381355932203402</v>
      </c>
      <c r="AK3189">
        <v>56.618644067796602</v>
      </c>
    </row>
    <row r="3190" spans="1:37" x14ac:dyDescent="0.3">
      <c r="A3190">
        <v>3189</v>
      </c>
      <c r="B3190">
        <v>25.9</v>
      </c>
      <c r="C3190">
        <v>-11.967599999999999</v>
      </c>
      <c r="D3190">
        <v>13.027900000000001</v>
      </c>
      <c r="E3190">
        <f>-11.9676-13.0279</f>
        <v>-24.9955</v>
      </c>
      <c r="F3190" t="s">
        <v>5281</v>
      </c>
      <c r="G3190" t="s">
        <v>39</v>
      </c>
      <c r="H3190">
        <v>2004</v>
      </c>
      <c r="I3190">
        <v>28.299999237060501</v>
      </c>
      <c r="J3190">
        <v>13</v>
      </c>
      <c r="K3190">
        <v>57</v>
      </c>
      <c r="L3190">
        <v>23.059999465942401</v>
      </c>
      <c r="M3190">
        <v>39.599998474121101</v>
      </c>
      <c r="N3190">
        <v>17.100000381469702</v>
      </c>
      <c r="O3190">
        <v>22.5</v>
      </c>
      <c r="P3190">
        <v>26.700000762939499</v>
      </c>
      <c r="Q3190">
        <v>28.5</v>
      </c>
      <c r="R3190">
        <v>31.899999618530298</v>
      </c>
      <c r="S3190">
        <v>26.200000762939499</v>
      </c>
      <c r="T3190">
        <v>1029</v>
      </c>
      <c r="U3190">
        <v>298</v>
      </c>
      <c r="V3190">
        <v>0</v>
      </c>
      <c r="W3190">
        <v>123</v>
      </c>
      <c r="X3190">
        <v>757</v>
      </c>
      <c r="Y3190">
        <v>0</v>
      </c>
      <c r="Z3190">
        <v>47</v>
      </c>
      <c r="AA3190">
        <v>4</v>
      </c>
      <c r="AB3190">
        <v>4.0311792664608701</v>
      </c>
      <c r="AC3190">
        <v>1.4111976959316399</v>
      </c>
      <c r="AD3190">
        <v>1.1838868367469899</v>
      </c>
      <c r="AE3190">
        <v>0.140961098721472</v>
      </c>
      <c r="AF3190">
        <v>153.68135593220299</v>
      </c>
      <c r="AG3190">
        <f>IFERROR(AH3190*0.1, "N/A")</f>
        <v>6.3637288135593204</v>
      </c>
      <c r="AH3190">
        <v>63.637288135593202</v>
      </c>
      <c r="AI3190">
        <v>80.388085174560601</v>
      </c>
      <c r="AJ3190">
        <v>25.772881355932199</v>
      </c>
      <c r="AK3190">
        <v>42.227118644067801</v>
      </c>
    </row>
    <row r="3191" spans="1:37" x14ac:dyDescent="0.3">
      <c r="A3191">
        <v>3190</v>
      </c>
      <c r="B3191">
        <v>10.6</v>
      </c>
      <c r="C3191">
        <v>-13.933299999999999</v>
      </c>
      <c r="D3191">
        <v>13.033300000000001</v>
      </c>
      <c r="E3191">
        <f>-13.9333-13.0333</f>
        <v>-26.9666</v>
      </c>
      <c r="F3191" t="s">
        <v>5282</v>
      </c>
      <c r="G3191" t="s">
        <v>39</v>
      </c>
      <c r="H3191">
        <v>1996</v>
      </c>
      <c r="I3191">
        <v>27.200000762939499</v>
      </c>
      <c r="J3191">
        <v>13.8772341501451</v>
      </c>
      <c r="K3191">
        <v>55.772344013490702</v>
      </c>
      <c r="L3191">
        <v>24.107605530479901</v>
      </c>
      <c r="M3191">
        <v>38.711804967304502</v>
      </c>
      <c r="N3191">
        <v>13.912478586875601</v>
      </c>
      <c r="O3191">
        <v>24.799324711096801</v>
      </c>
      <c r="P3191">
        <v>26.677235077444699</v>
      </c>
      <c r="Q3191">
        <v>26.011804429515799</v>
      </c>
      <c r="R3191">
        <v>30.365429503519699</v>
      </c>
      <c r="S3191">
        <v>24.165430647928801</v>
      </c>
      <c r="T3191">
        <v>969.34232715008397</v>
      </c>
      <c r="U3191">
        <v>284.64080944350798</v>
      </c>
      <c r="V3191">
        <v>0</v>
      </c>
      <c r="W3191">
        <v>127.647554806071</v>
      </c>
      <c r="X3191">
        <v>739.05396290050601</v>
      </c>
      <c r="Y3191">
        <v>1</v>
      </c>
      <c r="Z3191">
        <v>142.64755480607101</v>
      </c>
      <c r="AA3191">
        <v>5</v>
      </c>
      <c r="AB3191">
        <v>7.6143329935572401</v>
      </c>
      <c r="AC3191">
        <v>4.3007956206810999E-2</v>
      </c>
      <c r="AD3191">
        <v>1.9575827799197201</v>
      </c>
      <c r="AE3191">
        <v>0.48000463843345598</v>
      </c>
      <c r="AF3191">
        <v>49.989881956155102</v>
      </c>
      <c r="AG3191">
        <f>IFERROR(AH3191*0.1, "N/A")</f>
        <v>5.9546374367622299</v>
      </c>
      <c r="AH3191">
        <v>59.546374367622299</v>
      </c>
      <c r="AI3191">
        <v>263.24752437083401</v>
      </c>
      <c r="AJ3191">
        <v>23.954468802698099</v>
      </c>
      <c r="AK3191">
        <v>51.124789207419902</v>
      </c>
    </row>
    <row r="3192" spans="1:37" x14ac:dyDescent="0.3">
      <c r="A3192">
        <v>3191</v>
      </c>
      <c r="B3192">
        <v>0</v>
      </c>
      <c r="C3192">
        <v>-13.933299999999999</v>
      </c>
      <c r="D3192">
        <v>13.033300000000001</v>
      </c>
      <c r="E3192">
        <f>-13.9333-13.0333</f>
        <v>-26.9666</v>
      </c>
      <c r="F3192" t="s">
        <v>5283</v>
      </c>
      <c r="G3192" t="s">
        <v>37</v>
      </c>
      <c r="H3192">
        <v>1996</v>
      </c>
      <c r="I3192">
        <v>27.200000762939499</v>
      </c>
      <c r="J3192">
        <v>13.8772341501451</v>
      </c>
      <c r="K3192">
        <v>55.772344013490702</v>
      </c>
      <c r="L3192">
        <v>24.107605530479901</v>
      </c>
      <c r="M3192">
        <v>38.711804967304502</v>
      </c>
      <c r="N3192">
        <v>13.912478586875601</v>
      </c>
      <c r="O3192">
        <v>24.799324711096801</v>
      </c>
      <c r="P3192">
        <v>26.677235077444699</v>
      </c>
      <c r="Q3192">
        <v>26.011804429515799</v>
      </c>
      <c r="R3192">
        <v>30.365429503519699</v>
      </c>
      <c r="S3192">
        <v>24.165430647928801</v>
      </c>
      <c r="T3192">
        <v>969.34232715008397</v>
      </c>
      <c r="U3192">
        <v>284.64080944350798</v>
      </c>
      <c r="V3192">
        <v>0</v>
      </c>
      <c r="W3192">
        <v>127.647554806071</v>
      </c>
      <c r="X3192">
        <v>739.05396290050601</v>
      </c>
      <c r="Y3192">
        <v>1</v>
      </c>
      <c r="Z3192">
        <v>142.64755480607101</v>
      </c>
      <c r="AA3192">
        <v>5</v>
      </c>
      <c r="AB3192">
        <v>7.6143329935572401</v>
      </c>
      <c r="AC3192">
        <v>4.3007956206810999E-2</v>
      </c>
      <c r="AD3192">
        <v>1.9575827799197201</v>
      </c>
      <c r="AE3192">
        <v>0.48000463843345598</v>
      </c>
      <c r="AF3192">
        <v>49.989881956155102</v>
      </c>
      <c r="AG3192">
        <f>IFERROR(AH3192*0.1, "N/A")</f>
        <v>5.9546374367622299</v>
      </c>
      <c r="AH3192">
        <v>59.546374367622299</v>
      </c>
      <c r="AI3192">
        <v>263.24752437083401</v>
      </c>
      <c r="AJ3192">
        <v>23.954468802698099</v>
      </c>
      <c r="AK3192">
        <v>51.124789207419902</v>
      </c>
    </row>
    <row r="3193" spans="1:37" x14ac:dyDescent="0.3">
      <c r="A3193">
        <v>3192</v>
      </c>
      <c r="B3193">
        <v>26.700001</v>
      </c>
      <c r="C3193">
        <v>-14.0556</v>
      </c>
      <c r="D3193">
        <v>13.0778</v>
      </c>
      <c r="E3193">
        <f>-14.0556-13.0778</f>
        <v>-27.133400000000002</v>
      </c>
      <c r="F3193" t="s">
        <v>5284</v>
      </c>
      <c r="G3193" t="s">
        <v>39</v>
      </c>
      <c r="H3193">
        <v>1989</v>
      </c>
      <c r="I3193">
        <v>27.299999237060501</v>
      </c>
      <c r="J3193">
        <v>14</v>
      </c>
      <c r="K3193">
        <v>56</v>
      </c>
      <c r="L3193">
        <v>23.7299995422363</v>
      </c>
      <c r="M3193">
        <v>38.900001525878899</v>
      </c>
      <c r="N3193">
        <v>14.1000003814697</v>
      </c>
      <c r="O3193">
        <v>24.799999237060501</v>
      </c>
      <c r="P3193">
        <v>26.700000762939499</v>
      </c>
      <c r="Q3193">
        <v>26.100000381469702</v>
      </c>
      <c r="R3193">
        <v>30.399999618530298</v>
      </c>
      <c r="S3193">
        <v>24.299999237060501</v>
      </c>
      <c r="T3193">
        <v>909</v>
      </c>
      <c r="U3193">
        <v>273</v>
      </c>
      <c r="V3193">
        <v>0</v>
      </c>
      <c r="W3193">
        <v>131</v>
      </c>
      <c r="X3193">
        <v>712</v>
      </c>
      <c r="Y3193">
        <v>1</v>
      </c>
      <c r="Z3193">
        <v>124</v>
      </c>
      <c r="AA3193">
        <v>4</v>
      </c>
      <c r="AB3193">
        <v>6.5715266599493498</v>
      </c>
      <c r="AC3193">
        <v>1.7931567026712999E-2</v>
      </c>
      <c r="AD3193">
        <v>1.1928959672733901</v>
      </c>
      <c r="AE3193">
        <v>0.65990006923675504</v>
      </c>
      <c r="AF3193">
        <v>37.432203389830498</v>
      </c>
      <c r="AG3193">
        <f>IFERROR(AH3193*0.1, "N/A")</f>
        <v>5.8037288135593208</v>
      </c>
      <c r="AH3193">
        <v>58.037288135593201</v>
      </c>
      <c r="AI3193">
        <v>239.66024555270999</v>
      </c>
      <c r="AJ3193">
        <v>15.866101694915301</v>
      </c>
      <c r="AK3193">
        <v>62.606779661017001</v>
      </c>
    </row>
    <row r="3194" spans="1:37" x14ac:dyDescent="0.3">
      <c r="A3194">
        <v>3193</v>
      </c>
      <c r="B3194">
        <v>7.6</v>
      </c>
      <c r="C3194">
        <v>-14.2333</v>
      </c>
      <c r="D3194">
        <v>13.083299999999999</v>
      </c>
      <c r="E3194">
        <f>-14.2333-13.0833</f>
        <v>-27.316600000000001</v>
      </c>
      <c r="F3194" t="s">
        <v>5285</v>
      </c>
      <c r="G3194" t="s">
        <v>39</v>
      </c>
      <c r="H3194">
        <v>1989</v>
      </c>
      <c r="I3194">
        <v>27.162818957265699</v>
      </c>
      <c r="J3194">
        <v>14.1806450813047</v>
      </c>
      <c r="K3194">
        <v>56</v>
      </c>
      <c r="L3194">
        <v>23.373853923104601</v>
      </c>
      <c r="M3194">
        <v>38.805602081765102</v>
      </c>
      <c r="N3194">
        <v>13.800000190734901</v>
      </c>
      <c r="O3194">
        <v>25.005602737841301</v>
      </c>
      <c r="P3194">
        <v>26.613752556171001</v>
      </c>
      <c r="Q3194">
        <v>26.062818575795902</v>
      </c>
      <c r="R3194">
        <v>30.2056033939174</v>
      </c>
      <c r="S3194">
        <v>24.200000762939499</v>
      </c>
      <c r="T3194">
        <v>902.830220713073</v>
      </c>
      <c r="U3194">
        <v>271.29032258064501</v>
      </c>
      <c r="V3194">
        <v>0</v>
      </c>
      <c r="W3194">
        <v>131.29032258064501</v>
      </c>
      <c r="X3194">
        <v>713.87096774193606</v>
      </c>
      <c r="Y3194">
        <v>0</v>
      </c>
      <c r="Z3194">
        <v>117.862478777589</v>
      </c>
      <c r="AA3194">
        <v>4</v>
      </c>
      <c r="AB3194">
        <v>0.85959338332275004</v>
      </c>
      <c r="AC3194">
        <v>0.46410666789277699</v>
      </c>
      <c r="AD3194">
        <v>0.57815635902569995</v>
      </c>
      <c r="AE3194">
        <v>0.59305741699927905</v>
      </c>
      <c r="AF3194">
        <v>36.906621392190203</v>
      </c>
      <c r="AG3194">
        <f>IFERROR(AH3194*0.1, "N/A")</f>
        <v>5.6896434634974504</v>
      </c>
      <c r="AH3194">
        <v>56.896434634974497</v>
      </c>
      <c r="AI3194">
        <v>80.847481460441799</v>
      </c>
      <c r="AJ3194">
        <v>17</v>
      </c>
      <c r="AK3194">
        <v>65.896434634974497</v>
      </c>
    </row>
    <row r="3195" spans="1:37" x14ac:dyDescent="0.3">
      <c r="A3195">
        <v>3194</v>
      </c>
      <c r="B3195">
        <v>6.1</v>
      </c>
      <c r="C3195">
        <v>-11.7018</v>
      </c>
      <c r="D3195">
        <v>13.087199999999999</v>
      </c>
      <c r="E3195">
        <f>-11.7018-13.0872</f>
        <v>-24.789000000000001</v>
      </c>
      <c r="F3195" t="s">
        <v>5286</v>
      </c>
      <c r="G3195" t="s">
        <v>39</v>
      </c>
      <c r="H3195">
        <v>2004</v>
      </c>
      <c r="I3195">
        <v>28.5</v>
      </c>
      <c r="J3195">
        <v>13</v>
      </c>
      <c r="K3195">
        <v>58</v>
      </c>
      <c r="L3195">
        <v>22.129999160766602</v>
      </c>
      <c r="M3195">
        <v>39.599998474121101</v>
      </c>
      <c r="N3195">
        <v>17.200000762939499</v>
      </c>
      <c r="O3195">
        <v>22.399999618530298</v>
      </c>
      <c r="P3195">
        <v>26.899999618530298</v>
      </c>
      <c r="Q3195">
        <v>28.700000762939499</v>
      </c>
      <c r="R3195">
        <v>31.799999237060501</v>
      </c>
      <c r="S3195">
        <v>26.399999618530298</v>
      </c>
      <c r="T3195">
        <v>1014</v>
      </c>
      <c r="U3195">
        <v>303</v>
      </c>
      <c r="V3195">
        <v>0</v>
      </c>
      <c r="W3195">
        <v>123</v>
      </c>
      <c r="X3195">
        <v>749</v>
      </c>
      <c r="Y3195">
        <v>0</v>
      </c>
      <c r="Z3195">
        <v>51</v>
      </c>
      <c r="AA3195">
        <v>3</v>
      </c>
      <c r="AB3195">
        <v>3.7033689094312301</v>
      </c>
      <c r="AC3195">
        <v>0.273543953318588</v>
      </c>
      <c r="AD3195">
        <v>1.4202889775989</v>
      </c>
      <c r="AE3195">
        <v>0.212395928172953</v>
      </c>
      <c r="AF3195">
        <v>135.781144781145</v>
      </c>
      <c r="AG3195">
        <f>IFERROR(AH3195*0.1, "N/A")</f>
        <v>6.1244107744107801</v>
      </c>
      <c r="AH3195">
        <v>61.244107744107801</v>
      </c>
      <c r="AI3195">
        <v>180.12706656407801</v>
      </c>
      <c r="AJ3195">
        <v>24.080808080808101</v>
      </c>
      <c r="AK3195">
        <v>41.835016835016802</v>
      </c>
    </row>
    <row r="3196" spans="1:37" x14ac:dyDescent="0.3">
      <c r="A3196">
        <v>3195</v>
      </c>
      <c r="B3196">
        <v>0</v>
      </c>
      <c r="C3196">
        <v>-11.7018</v>
      </c>
      <c r="D3196">
        <v>13.087199999999999</v>
      </c>
      <c r="E3196">
        <f>-11.7018-13.0872</f>
        <v>-24.789000000000001</v>
      </c>
      <c r="F3196" t="s">
        <v>5287</v>
      </c>
      <c r="G3196" t="s">
        <v>37</v>
      </c>
      <c r="H3196">
        <v>1996</v>
      </c>
      <c r="I3196">
        <v>28.5</v>
      </c>
      <c r="J3196">
        <v>13</v>
      </c>
      <c r="K3196">
        <v>58</v>
      </c>
      <c r="L3196">
        <v>22.129999160766602</v>
      </c>
      <c r="M3196">
        <v>39.599998474121101</v>
      </c>
      <c r="N3196">
        <v>17.200000762939499</v>
      </c>
      <c r="O3196">
        <v>22.399999618530298</v>
      </c>
      <c r="P3196">
        <v>26.899999618530298</v>
      </c>
      <c r="Q3196">
        <v>28.700000762939499</v>
      </c>
      <c r="R3196">
        <v>31.799999237060501</v>
      </c>
      <c r="S3196">
        <v>26.399999618530298</v>
      </c>
      <c r="T3196">
        <v>1014</v>
      </c>
      <c r="U3196">
        <v>303</v>
      </c>
      <c r="V3196">
        <v>0</v>
      </c>
      <c r="W3196">
        <v>123</v>
      </c>
      <c r="X3196">
        <v>749</v>
      </c>
      <c r="Y3196">
        <v>0</v>
      </c>
      <c r="Z3196">
        <v>51</v>
      </c>
      <c r="AA3196">
        <v>3</v>
      </c>
      <c r="AB3196">
        <v>3.7033689094312301</v>
      </c>
      <c r="AC3196">
        <v>0.273543953318588</v>
      </c>
      <c r="AD3196">
        <v>1.4202889775989</v>
      </c>
      <c r="AE3196">
        <v>0.212395928172953</v>
      </c>
      <c r="AF3196">
        <v>135.781144781145</v>
      </c>
      <c r="AG3196">
        <f>IFERROR(AH3196*0.1, "N/A")</f>
        <v>6.1244107744107801</v>
      </c>
      <c r="AH3196">
        <v>61.244107744107801</v>
      </c>
      <c r="AI3196">
        <v>180.12706656407801</v>
      </c>
      <c r="AJ3196">
        <v>24.080808080808101</v>
      </c>
      <c r="AK3196">
        <v>41.835016835016802</v>
      </c>
    </row>
    <row r="3197" spans="1:37" x14ac:dyDescent="0.3">
      <c r="A3197">
        <v>3196</v>
      </c>
      <c r="B3197">
        <v>33.299999</v>
      </c>
      <c r="C3197">
        <v>-15.372299999999999</v>
      </c>
      <c r="D3197">
        <v>13.0976</v>
      </c>
      <c r="E3197">
        <f>-15.3723-13.0976</f>
        <v>-28.469899999999999</v>
      </c>
      <c r="F3197" t="s">
        <v>5288</v>
      </c>
      <c r="G3197" t="s">
        <v>37</v>
      </c>
      <c r="H3197">
        <v>1964</v>
      </c>
      <c r="I3197">
        <v>27.299999237060501</v>
      </c>
      <c r="J3197">
        <v>14.300000190734901</v>
      </c>
      <c r="K3197">
        <v>59</v>
      </c>
      <c r="L3197">
        <v>19.030000686645501</v>
      </c>
      <c r="M3197">
        <v>38.599998474121101</v>
      </c>
      <c r="N3197">
        <v>14.5</v>
      </c>
      <c r="O3197">
        <v>24.100000381469702</v>
      </c>
      <c r="P3197">
        <v>27.200000762939499</v>
      </c>
      <c r="Q3197">
        <v>26.100000381469702</v>
      </c>
      <c r="R3197">
        <v>29.799999237060501</v>
      </c>
      <c r="S3197">
        <v>24.700000762939499</v>
      </c>
      <c r="T3197">
        <v>933</v>
      </c>
      <c r="U3197">
        <v>290</v>
      </c>
      <c r="V3197">
        <v>0</v>
      </c>
      <c r="W3197">
        <v>134</v>
      </c>
      <c r="X3197">
        <v>747</v>
      </c>
      <c r="Y3197">
        <v>0</v>
      </c>
      <c r="Z3197">
        <v>100</v>
      </c>
      <c r="AA3197">
        <v>0</v>
      </c>
      <c r="AB3197">
        <v>4.4962519283392197</v>
      </c>
      <c r="AC3197">
        <v>0.130564260421863</v>
      </c>
      <c r="AD3197">
        <v>1.30642712938725</v>
      </c>
      <c r="AE3197">
        <v>0.37966188788414001</v>
      </c>
      <c r="AF3197">
        <v>15.7853492333901</v>
      </c>
      <c r="AG3197">
        <f>IFERROR(AH3197*0.1, "N/A")</f>
        <v>5.2553662691652505</v>
      </c>
      <c r="AH3197">
        <v>52.553662691652498</v>
      </c>
      <c r="AI3197">
        <v>210.98599474515399</v>
      </c>
      <c r="AJ3197">
        <v>21.408858603066399</v>
      </c>
      <c r="AK3197">
        <v>52.330494037478701</v>
      </c>
    </row>
    <row r="3198" spans="1:37" x14ac:dyDescent="0.3">
      <c r="A3198">
        <v>3197</v>
      </c>
      <c r="B3198">
        <v>88.800003000000004</v>
      </c>
      <c r="C3198">
        <v>-11.97</v>
      </c>
      <c r="D3198">
        <v>13.132999999999999</v>
      </c>
      <c r="E3198">
        <f>-11.97-13.133</f>
        <v>-25.103000000000002</v>
      </c>
      <c r="F3198" t="s">
        <v>5289</v>
      </c>
      <c r="G3198" t="s">
        <v>39</v>
      </c>
      <c r="H3198">
        <v>1996</v>
      </c>
      <c r="I3198">
        <v>28.399999618530298</v>
      </c>
      <c r="J3198">
        <v>13.1000003814697</v>
      </c>
      <c r="K3198">
        <v>58</v>
      </c>
      <c r="L3198">
        <v>23.100067525296598</v>
      </c>
      <c r="M3198">
        <v>39.700000762939503</v>
      </c>
      <c r="N3198">
        <v>17.200000762939499</v>
      </c>
      <c r="O3198">
        <v>22.5</v>
      </c>
      <c r="P3198">
        <v>26.799999237060501</v>
      </c>
      <c r="Q3198">
        <v>28.5</v>
      </c>
      <c r="R3198">
        <v>31.899999618530298</v>
      </c>
      <c r="S3198">
        <v>26.200000762939499</v>
      </c>
      <c r="T3198">
        <v>994.77702702702697</v>
      </c>
      <c r="U3198">
        <v>292</v>
      </c>
      <c r="V3198">
        <v>0</v>
      </c>
      <c r="W3198">
        <v>124</v>
      </c>
      <c r="X3198">
        <v>735</v>
      </c>
      <c r="Y3198">
        <v>0</v>
      </c>
      <c r="Z3198">
        <v>45</v>
      </c>
      <c r="AA3198">
        <v>4</v>
      </c>
      <c r="AB3198">
        <v>4.2278733124604102</v>
      </c>
      <c r="AC3198">
        <v>0.14138982895874999</v>
      </c>
      <c r="AD3198">
        <v>2.5208401534001599</v>
      </c>
      <c r="AE3198">
        <v>0.19760634005069699</v>
      </c>
      <c r="AF3198">
        <v>134.464527027027</v>
      </c>
      <c r="AG3198">
        <f>IFERROR(AH3198*0.1, "N/A")</f>
        <v>6.2087837837837805</v>
      </c>
      <c r="AH3198">
        <v>62.087837837837803</v>
      </c>
      <c r="AI3198">
        <v>15.152733287295799</v>
      </c>
      <c r="AJ3198">
        <v>20.9121621621622</v>
      </c>
      <c r="AK3198">
        <v>46.087837837837803</v>
      </c>
    </row>
    <row r="3199" spans="1:37" x14ac:dyDescent="0.3">
      <c r="A3199">
        <v>3198</v>
      </c>
      <c r="B3199">
        <v>0</v>
      </c>
      <c r="C3199">
        <v>-11.97</v>
      </c>
      <c r="D3199">
        <v>13.132999999999999</v>
      </c>
      <c r="E3199">
        <f>-11.97-13.133</f>
        <v>-25.103000000000002</v>
      </c>
      <c r="F3199" t="s">
        <v>5290</v>
      </c>
      <c r="G3199" t="s">
        <v>37</v>
      </c>
      <c r="H3199">
        <v>1996</v>
      </c>
      <c r="I3199">
        <v>28.399999618530298</v>
      </c>
      <c r="J3199">
        <v>13.1000003814697</v>
      </c>
      <c r="K3199">
        <v>58</v>
      </c>
      <c r="L3199">
        <v>23.100067525296598</v>
      </c>
      <c r="M3199">
        <v>39.700000762939503</v>
      </c>
      <c r="N3199">
        <v>17.200000762939499</v>
      </c>
      <c r="O3199">
        <v>22.5</v>
      </c>
      <c r="P3199">
        <v>26.799999237060501</v>
      </c>
      <c r="Q3199">
        <v>28.5</v>
      </c>
      <c r="R3199">
        <v>31.899999618530298</v>
      </c>
      <c r="S3199">
        <v>26.200000762939499</v>
      </c>
      <c r="T3199">
        <v>994.77702702702697</v>
      </c>
      <c r="U3199">
        <v>292</v>
      </c>
      <c r="V3199">
        <v>0</v>
      </c>
      <c r="W3199">
        <v>124</v>
      </c>
      <c r="X3199">
        <v>735</v>
      </c>
      <c r="Y3199">
        <v>0</v>
      </c>
      <c r="Z3199">
        <v>45</v>
      </c>
      <c r="AA3199">
        <v>4</v>
      </c>
      <c r="AB3199">
        <v>4.2278733124604102</v>
      </c>
      <c r="AC3199">
        <v>0.14138982895874999</v>
      </c>
      <c r="AD3199">
        <v>2.5208401534001599</v>
      </c>
      <c r="AE3199">
        <v>0.19760634005069699</v>
      </c>
      <c r="AF3199">
        <v>134.464527027027</v>
      </c>
      <c r="AG3199">
        <f>IFERROR(AH3199*0.1, "N/A")</f>
        <v>6.2087837837837805</v>
      </c>
      <c r="AH3199">
        <v>62.087837837837803</v>
      </c>
      <c r="AI3199">
        <v>15.152733287295799</v>
      </c>
      <c r="AJ3199">
        <v>20.9121621621622</v>
      </c>
      <c r="AK3199">
        <v>46.087837837837803</v>
      </c>
    </row>
    <row r="3200" spans="1:37" x14ac:dyDescent="0.3">
      <c r="A3200">
        <v>3199</v>
      </c>
      <c r="B3200">
        <v>4.9000000000000004</v>
      </c>
      <c r="C3200">
        <v>-14.119400000000001</v>
      </c>
      <c r="D3200">
        <v>13.1417</v>
      </c>
      <c r="E3200">
        <f>-14.1194-13.1417</f>
        <v>-27.261099999999999</v>
      </c>
      <c r="F3200" t="s">
        <v>5291</v>
      </c>
      <c r="G3200" t="s">
        <v>39</v>
      </c>
      <c r="H3200">
        <v>1989</v>
      </c>
      <c r="I3200">
        <v>27.271742477029701</v>
      </c>
      <c r="J3200">
        <v>14.1000003814697</v>
      </c>
      <c r="K3200">
        <v>56</v>
      </c>
      <c r="L3200">
        <v>23.656530780437201</v>
      </c>
      <c r="M3200">
        <v>38.900001525878899</v>
      </c>
      <c r="N3200">
        <v>14.1000003814697</v>
      </c>
      <c r="O3200">
        <v>24.799999237060501</v>
      </c>
      <c r="P3200">
        <v>26.700000762939499</v>
      </c>
      <c r="Q3200">
        <v>26.200000762939499</v>
      </c>
      <c r="R3200">
        <v>30.399999618530298</v>
      </c>
      <c r="S3200">
        <v>24.299999237060501</v>
      </c>
      <c r="T3200">
        <v>867.84771573604098</v>
      </c>
      <c r="U3200">
        <v>270.56514382402702</v>
      </c>
      <c r="V3200">
        <v>0</v>
      </c>
      <c r="W3200">
        <v>133.28257191201399</v>
      </c>
      <c r="X3200">
        <v>696.13028764805404</v>
      </c>
      <c r="Y3200">
        <v>0</v>
      </c>
      <c r="Z3200">
        <v>109.71742808798599</v>
      </c>
      <c r="AA3200">
        <v>4</v>
      </c>
      <c r="AB3200">
        <v>9.1101522494088591</v>
      </c>
      <c r="AC3200">
        <v>1.8164448276187E-2</v>
      </c>
      <c r="AD3200">
        <v>1.4799542657009801</v>
      </c>
      <c r="AE3200">
        <v>0.77120351791381803</v>
      </c>
      <c r="AF3200">
        <v>40.851099830795299</v>
      </c>
      <c r="AG3200">
        <f>IFERROR(AH3200*0.1, "N/A")</f>
        <v>6</v>
      </c>
      <c r="AH3200">
        <v>60</v>
      </c>
      <c r="AI3200">
        <v>153.47578936220199</v>
      </c>
      <c r="AJ3200">
        <v>26</v>
      </c>
      <c r="AK3200">
        <v>52</v>
      </c>
    </row>
    <row r="3201" spans="1:37" x14ac:dyDescent="0.3">
      <c r="A3201">
        <v>3200</v>
      </c>
      <c r="B3201">
        <v>0</v>
      </c>
      <c r="C3201">
        <v>-14.1097</v>
      </c>
      <c r="D3201">
        <v>13.1478</v>
      </c>
      <c r="E3201">
        <f>-14.1097-13.1478</f>
        <v>-27.2575</v>
      </c>
      <c r="F3201" t="s">
        <v>5292</v>
      </c>
      <c r="G3201" t="s">
        <v>39</v>
      </c>
      <c r="H3201">
        <v>1989</v>
      </c>
      <c r="I3201">
        <v>27.200000762939499</v>
      </c>
      <c r="J3201">
        <v>14.1000003814697</v>
      </c>
      <c r="K3201">
        <v>56</v>
      </c>
      <c r="L3201">
        <v>23.600000381469702</v>
      </c>
      <c r="M3201">
        <v>38.900001525878899</v>
      </c>
      <c r="N3201">
        <v>14.1000003814697</v>
      </c>
      <c r="O3201">
        <v>24.799999237060501</v>
      </c>
      <c r="P3201">
        <v>26.700000762939499</v>
      </c>
      <c r="Q3201">
        <v>26.100000381469702</v>
      </c>
      <c r="R3201">
        <v>30.399999618530298</v>
      </c>
      <c r="S3201">
        <v>24.299999237060501</v>
      </c>
      <c r="T3201">
        <v>869</v>
      </c>
      <c r="U3201">
        <v>270</v>
      </c>
      <c r="V3201">
        <v>0</v>
      </c>
      <c r="W3201">
        <v>133</v>
      </c>
      <c r="X3201">
        <v>695</v>
      </c>
      <c r="Y3201">
        <v>0</v>
      </c>
      <c r="Z3201">
        <v>112</v>
      </c>
      <c r="AA3201">
        <v>3</v>
      </c>
      <c r="AB3201">
        <v>5.78576123512397</v>
      </c>
      <c r="AC3201">
        <v>7.5474688084006994E-2</v>
      </c>
      <c r="AD3201">
        <v>1.01359275912834</v>
      </c>
      <c r="AE3201">
        <v>0.73742902278900102</v>
      </c>
      <c r="AF3201">
        <v>43.516949152542402</v>
      </c>
      <c r="AG3201">
        <f>IFERROR(AH3201*0.1, "N/A")</f>
        <v>6.4</v>
      </c>
      <c r="AH3201">
        <v>64</v>
      </c>
      <c r="AI3201">
        <v>75.976117939060003</v>
      </c>
      <c r="AJ3201">
        <v>26</v>
      </c>
      <c r="AK3201">
        <v>53</v>
      </c>
    </row>
    <row r="3202" spans="1:37" x14ac:dyDescent="0.3">
      <c r="A3202">
        <v>3201</v>
      </c>
      <c r="B3202">
        <v>5.7</v>
      </c>
      <c r="C3202">
        <v>-14.1</v>
      </c>
      <c r="D3202">
        <v>13.1556</v>
      </c>
      <c r="E3202">
        <f>-14.1-13.1556</f>
        <v>-27.255600000000001</v>
      </c>
      <c r="F3202" t="s">
        <v>5293</v>
      </c>
      <c r="G3202" t="s">
        <v>39</v>
      </c>
      <c r="H3202">
        <v>1989</v>
      </c>
      <c r="I3202">
        <v>27.299999237060501</v>
      </c>
      <c r="J3202">
        <v>14.1000003814697</v>
      </c>
      <c r="K3202">
        <v>56</v>
      </c>
      <c r="L3202">
        <v>23.6660812738779</v>
      </c>
      <c r="M3202">
        <v>38.900001525878899</v>
      </c>
      <c r="N3202">
        <v>14.1000003814697</v>
      </c>
      <c r="O3202">
        <v>24.799999237060501</v>
      </c>
      <c r="P3202">
        <v>26.700000762939499</v>
      </c>
      <c r="Q3202">
        <v>26.152703285217299</v>
      </c>
      <c r="R3202">
        <v>30.399999618530298</v>
      </c>
      <c r="S3202">
        <v>24.299999237060501</v>
      </c>
      <c r="T3202">
        <v>869.94594594594605</v>
      </c>
      <c r="U3202">
        <v>267.52702702702697</v>
      </c>
      <c r="V3202">
        <v>0</v>
      </c>
      <c r="W3202">
        <v>132.527027027027</v>
      </c>
      <c r="X3202">
        <v>691.52702702702697</v>
      </c>
      <c r="Y3202">
        <v>0</v>
      </c>
      <c r="Z3202">
        <v>115.94594594594599</v>
      </c>
      <c r="AA3202">
        <v>3</v>
      </c>
      <c r="AB3202">
        <v>1.2604739665985101</v>
      </c>
      <c r="AC3202">
        <v>0.13297458886282201</v>
      </c>
      <c r="AD3202">
        <v>2.0033140075770599</v>
      </c>
      <c r="AE3202">
        <v>0.74129283428192105</v>
      </c>
      <c r="AF3202">
        <v>40.4966216216216</v>
      </c>
      <c r="AG3202">
        <f>IFERROR(AH3202*0.1, "N/A")</f>
        <v>5.6895270270270304</v>
      </c>
      <c r="AH3202">
        <v>56.895270270270302</v>
      </c>
      <c r="AI3202">
        <v>145.572563467799</v>
      </c>
      <c r="AJ3202">
        <v>16.5929054054054</v>
      </c>
      <c r="AK3202">
        <v>63.577702702702702</v>
      </c>
    </row>
    <row r="3203" spans="1:37" x14ac:dyDescent="0.3">
      <c r="A3203">
        <v>3202</v>
      </c>
      <c r="B3203">
        <v>2.9</v>
      </c>
      <c r="C3203">
        <v>-14.1097</v>
      </c>
      <c r="D3203">
        <v>13.1569</v>
      </c>
      <c r="E3203">
        <f>-14.1097-13.1569</f>
        <v>-27.2666</v>
      </c>
      <c r="F3203" t="s">
        <v>5294</v>
      </c>
      <c r="G3203" t="s">
        <v>39</v>
      </c>
      <c r="H3203">
        <v>1989</v>
      </c>
      <c r="I3203">
        <v>27.299999237060501</v>
      </c>
      <c r="J3203">
        <v>14.1000003814697</v>
      </c>
      <c r="K3203">
        <v>56</v>
      </c>
      <c r="L3203">
        <v>23.780000686645501</v>
      </c>
      <c r="M3203">
        <v>38.900001525878899</v>
      </c>
      <c r="N3203">
        <v>14.1000003814697</v>
      </c>
      <c r="O3203">
        <v>24.799999237060501</v>
      </c>
      <c r="P3203">
        <v>26.700000762939499</v>
      </c>
      <c r="Q3203">
        <v>26.200000762939499</v>
      </c>
      <c r="R3203">
        <v>30.399999618530298</v>
      </c>
      <c r="S3203">
        <v>24.299999237060501</v>
      </c>
      <c r="T3203">
        <v>866</v>
      </c>
      <c r="U3203">
        <v>268</v>
      </c>
      <c r="V3203">
        <v>0</v>
      </c>
      <c r="W3203">
        <v>133</v>
      </c>
      <c r="X3203">
        <v>691</v>
      </c>
      <c r="Y3203">
        <v>0</v>
      </c>
      <c r="Z3203">
        <v>113</v>
      </c>
      <c r="AA3203">
        <v>3</v>
      </c>
      <c r="AB3203">
        <v>0.35280105901695502</v>
      </c>
      <c r="AC3203">
        <v>1.0703791768301201</v>
      </c>
      <c r="AD3203">
        <v>0.16816395511044299</v>
      </c>
      <c r="AE3203">
        <v>0.74774968624115001</v>
      </c>
      <c r="AF3203">
        <v>45.546689303904898</v>
      </c>
      <c r="AG3203">
        <f>IFERROR(AH3203*0.1, "N/A")</f>
        <v>5.5033955857385406</v>
      </c>
      <c r="AH3203">
        <v>55.033955857385401</v>
      </c>
      <c r="AI3203">
        <v>7.2619451707409297</v>
      </c>
      <c r="AJ3203">
        <v>21.932088285229199</v>
      </c>
      <c r="AK3203">
        <v>59.966044142614599</v>
      </c>
    </row>
    <row r="3204" spans="1:37" x14ac:dyDescent="0.3">
      <c r="A3204">
        <v>3203</v>
      </c>
      <c r="B3204">
        <v>7.7</v>
      </c>
      <c r="C3204">
        <v>-12.1127</v>
      </c>
      <c r="D3204">
        <v>13.161199999999999</v>
      </c>
      <c r="E3204">
        <f>-12.1127-13.1612</f>
        <v>-25.273899999999998</v>
      </c>
      <c r="F3204" t="s">
        <v>5295</v>
      </c>
      <c r="G3204" t="s">
        <v>39</v>
      </c>
      <c r="H3204">
        <v>2004</v>
      </c>
      <c r="I3204">
        <v>28.100000381469702</v>
      </c>
      <c r="J3204">
        <v>13</v>
      </c>
      <c r="K3204">
        <v>58</v>
      </c>
      <c r="L3204">
        <v>22.969999313354499</v>
      </c>
      <c r="M3204">
        <v>39.400001525878899</v>
      </c>
      <c r="N3204">
        <v>17</v>
      </c>
      <c r="O3204">
        <v>22.399999618530298</v>
      </c>
      <c r="P3204">
        <v>26.5</v>
      </c>
      <c r="Q3204">
        <v>28.100000381469702</v>
      </c>
      <c r="R3204">
        <v>31.600000381469702</v>
      </c>
      <c r="S3204">
        <v>25.899999618530298</v>
      </c>
      <c r="T3204">
        <v>990</v>
      </c>
      <c r="U3204">
        <v>288</v>
      </c>
      <c r="V3204">
        <v>0</v>
      </c>
      <c r="W3204">
        <v>123</v>
      </c>
      <c r="X3204">
        <v>732</v>
      </c>
      <c r="Y3204">
        <v>0</v>
      </c>
      <c r="Z3204">
        <v>41</v>
      </c>
      <c r="AA3204">
        <v>4</v>
      </c>
      <c r="AB3204">
        <v>19.390043287614901</v>
      </c>
      <c r="AC3204">
        <v>1.6262109319147001E-2</v>
      </c>
      <c r="AD3204">
        <v>3.4211413305485201</v>
      </c>
      <c r="AE3204">
        <v>0.30845332145690901</v>
      </c>
      <c r="AF3204">
        <v>199.118043844857</v>
      </c>
      <c r="AG3204">
        <f>IFERROR(AH3204*0.1, "N/A")</f>
        <v>6.7</v>
      </c>
      <c r="AH3204">
        <v>67</v>
      </c>
      <c r="AI3204">
        <v>266.64226440635503</v>
      </c>
      <c r="AJ3204">
        <v>24.6644182124789</v>
      </c>
      <c r="AK3204">
        <v>50.6711635750422</v>
      </c>
    </row>
    <row r="3205" spans="1:37" x14ac:dyDescent="0.3">
      <c r="A3205">
        <v>3204</v>
      </c>
      <c r="B3205">
        <v>32</v>
      </c>
      <c r="C3205">
        <v>-13.9671</v>
      </c>
      <c r="D3205">
        <v>13.186400000000001</v>
      </c>
      <c r="E3205">
        <f>-13.9671-13.1864</f>
        <v>-27.153500000000001</v>
      </c>
      <c r="F3205" t="s">
        <v>5296</v>
      </c>
      <c r="G3205" t="s">
        <v>39</v>
      </c>
      <c r="H3205">
        <v>2003</v>
      </c>
      <c r="I3205">
        <v>27.257191091624598</v>
      </c>
      <c r="J3205">
        <v>14</v>
      </c>
      <c r="K3205">
        <v>56</v>
      </c>
      <c r="L3205">
        <v>24.210134993551499</v>
      </c>
      <c r="M3205">
        <v>38.857191747416898</v>
      </c>
      <c r="N3205">
        <v>14</v>
      </c>
      <c r="O3205">
        <v>24.857190656581299</v>
      </c>
      <c r="P3205">
        <v>26.799999237060501</v>
      </c>
      <c r="Q3205">
        <v>26.057191419520802</v>
      </c>
      <c r="R3205">
        <v>30.457191038051</v>
      </c>
      <c r="S3205">
        <v>24.200000762939499</v>
      </c>
      <c r="T3205">
        <v>884.28426395939096</v>
      </c>
      <c r="U3205">
        <v>264.42808798646399</v>
      </c>
      <c r="V3205">
        <v>0</v>
      </c>
      <c r="W3205">
        <v>129</v>
      </c>
      <c r="X3205">
        <v>682.85617597292696</v>
      </c>
      <c r="Y3205">
        <v>1</v>
      </c>
      <c r="Z3205">
        <v>129.42808798646399</v>
      </c>
      <c r="AA3205">
        <v>4</v>
      </c>
      <c r="AB3205">
        <v>5.9062603468015498</v>
      </c>
      <c r="AC3205">
        <v>0.20220786575763799</v>
      </c>
      <c r="AD3205">
        <v>1.33955874973546</v>
      </c>
      <c r="AE3205">
        <v>0.54579609632492099</v>
      </c>
      <c r="AF3205">
        <v>36.475465313028799</v>
      </c>
      <c r="AG3205">
        <f>IFERROR(AH3205*0.1, "N/A")</f>
        <v>5.5399323181049098</v>
      </c>
      <c r="AH3205">
        <v>55.399323181049098</v>
      </c>
      <c r="AI3205">
        <v>123.32431363333301</v>
      </c>
      <c r="AJ3205">
        <v>16.9729272419628</v>
      </c>
      <c r="AK3205">
        <v>62.554991539763101</v>
      </c>
    </row>
    <row r="3206" spans="1:37" x14ac:dyDescent="0.3">
      <c r="A3206">
        <v>3205</v>
      </c>
      <c r="B3206">
        <v>14.7</v>
      </c>
      <c r="C3206">
        <v>-14.083299999999999</v>
      </c>
      <c r="D3206">
        <v>13.216699999999999</v>
      </c>
      <c r="E3206">
        <f>-14.0833-13.2167</f>
        <v>-27.299999999999997</v>
      </c>
      <c r="F3206" t="s">
        <v>5297</v>
      </c>
      <c r="G3206" t="s">
        <v>39</v>
      </c>
      <c r="H3206">
        <v>1989</v>
      </c>
      <c r="I3206">
        <v>27.218243727812901</v>
      </c>
      <c r="J3206">
        <v>14.1000003814697</v>
      </c>
      <c r="K3206">
        <v>56</v>
      </c>
      <c r="L3206">
        <v>24.179053941288501</v>
      </c>
      <c r="M3206">
        <v>38.918244490752301</v>
      </c>
      <c r="N3206">
        <v>14.0182433128357</v>
      </c>
      <c r="O3206">
        <v>24.899999618530298</v>
      </c>
      <c r="P3206">
        <v>26.818242549896201</v>
      </c>
      <c r="Q3206">
        <v>26.036486625671401</v>
      </c>
      <c r="R3206">
        <v>30.418242931365999</v>
      </c>
      <c r="S3206">
        <v>24.218243727812901</v>
      </c>
      <c r="T3206">
        <v>848.82432432432404</v>
      </c>
      <c r="U3206">
        <v>256.32094594594599</v>
      </c>
      <c r="V3206">
        <v>0</v>
      </c>
      <c r="W3206">
        <v>131.660472972973</v>
      </c>
      <c r="X3206">
        <v>667.64189189189199</v>
      </c>
      <c r="Y3206">
        <v>0</v>
      </c>
      <c r="Z3206">
        <v>118.18243243243199</v>
      </c>
      <c r="AA3206">
        <v>3</v>
      </c>
      <c r="AB3206">
        <v>9.4219585302713806</v>
      </c>
      <c r="AC3206">
        <v>1.5273328381276E-2</v>
      </c>
      <c r="AD3206">
        <v>1.2937643531005101</v>
      </c>
      <c r="AE3206">
        <v>0.43156491637833999</v>
      </c>
      <c r="AF3206">
        <v>43.829391891891902</v>
      </c>
      <c r="AG3206">
        <f>IFERROR(AH3206*0.1, "N/A")</f>
        <v>5.5655405405405407</v>
      </c>
      <c r="AH3206">
        <v>55.655405405405403</v>
      </c>
      <c r="AI3206">
        <v>88.465138667338607</v>
      </c>
      <c r="AJ3206">
        <v>18.951013513513502</v>
      </c>
      <c r="AK3206">
        <v>60.027027027027003</v>
      </c>
    </row>
    <row r="3207" spans="1:37" x14ac:dyDescent="0.3">
      <c r="A3207">
        <v>3206</v>
      </c>
      <c r="B3207">
        <v>24</v>
      </c>
      <c r="C3207">
        <v>-14.07</v>
      </c>
      <c r="D3207">
        <v>13.23</v>
      </c>
      <c r="E3207">
        <f>-14.07-13.23</f>
        <v>-27.3</v>
      </c>
      <c r="F3207" t="s">
        <v>5298</v>
      </c>
      <c r="G3207" t="s">
        <v>39</v>
      </c>
      <c r="H3207">
        <v>2003</v>
      </c>
      <c r="I3207">
        <v>27.299999237060501</v>
      </c>
      <c r="J3207">
        <v>14.1000003814697</v>
      </c>
      <c r="K3207">
        <v>56</v>
      </c>
      <c r="L3207">
        <v>24.4899997711182</v>
      </c>
      <c r="M3207">
        <v>39</v>
      </c>
      <c r="N3207">
        <v>14</v>
      </c>
      <c r="O3207">
        <v>25</v>
      </c>
      <c r="P3207">
        <v>26.899999618530298</v>
      </c>
      <c r="Q3207">
        <v>26.100000381469702</v>
      </c>
      <c r="R3207">
        <v>30.5</v>
      </c>
      <c r="S3207">
        <v>24.200000762939499</v>
      </c>
      <c r="T3207">
        <v>845</v>
      </c>
      <c r="U3207">
        <v>254</v>
      </c>
      <c r="V3207">
        <v>0</v>
      </c>
      <c r="W3207">
        <v>131</v>
      </c>
      <c r="X3207">
        <v>663</v>
      </c>
      <c r="Y3207">
        <v>0</v>
      </c>
      <c r="Z3207">
        <v>119</v>
      </c>
      <c r="AA3207">
        <v>3</v>
      </c>
      <c r="AB3207">
        <v>13.564806281410901</v>
      </c>
      <c r="AC3207">
        <v>5.4529988504757002E-2</v>
      </c>
      <c r="AD3207">
        <v>2.2458807423635201</v>
      </c>
      <c r="AE3207">
        <v>0.67948514223098799</v>
      </c>
      <c r="AF3207">
        <v>41.189509306260597</v>
      </c>
      <c r="AG3207">
        <f>IFERROR(AH3207*0.1, "N/A")</f>
        <v>5.6423011844331699</v>
      </c>
      <c r="AH3207">
        <v>56.423011844331697</v>
      </c>
      <c r="AI3207">
        <v>233.46870071230401</v>
      </c>
      <c r="AJ3207">
        <v>17.423011844331601</v>
      </c>
      <c r="AK3207">
        <v>64.365482233502505</v>
      </c>
    </row>
    <row r="3208" spans="1:37" x14ac:dyDescent="0.3">
      <c r="A3208">
        <v>3207</v>
      </c>
      <c r="B3208">
        <v>28</v>
      </c>
      <c r="C3208">
        <v>-13.916700000000001</v>
      </c>
      <c r="D3208">
        <v>13.25</v>
      </c>
      <c r="E3208">
        <f>-13.9167-13.25</f>
        <v>-27.166699999999999</v>
      </c>
      <c r="F3208" t="s">
        <v>5299</v>
      </c>
      <c r="G3208" t="s">
        <v>39</v>
      </c>
      <c r="H3208">
        <v>2003</v>
      </c>
      <c r="I3208">
        <v>27.319898727571399</v>
      </c>
      <c r="J3208">
        <v>14.0177066442737</v>
      </c>
      <c r="K3208">
        <v>55.6880269814503</v>
      </c>
      <c r="L3208">
        <v>24.822680970267498</v>
      </c>
      <c r="M3208">
        <v>38.868803509974398</v>
      </c>
      <c r="N3208">
        <v>13.819898598913801</v>
      </c>
      <c r="O3208">
        <v>25.048904065136998</v>
      </c>
      <c r="P3208">
        <v>26.8376053718451</v>
      </c>
      <c r="Q3208">
        <v>26.068802960606501</v>
      </c>
      <c r="R3208">
        <v>30.519898895469499</v>
      </c>
      <c r="S3208">
        <v>24.137605921213002</v>
      </c>
      <c r="T3208">
        <v>871.36424957841496</v>
      </c>
      <c r="U3208">
        <v>260.12141652613798</v>
      </c>
      <c r="V3208">
        <v>0</v>
      </c>
      <c r="W3208">
        <v>127.822934232715</v>
      </c>
      <c r="X3208">
        <v>667.55480607082598</v>
      </c>
      <c r="Y3208">
        <v>0</v>
      </c>
      <c r="Z3208">
        <v>132.51096121416501</v>
      </c>
      <c r="AA3208">
        <v>4</v>
      </c>
      <c r="AB3208">
        <v>7.1485667880027703</v>
      </c>
      <c r="AC3208">
        <v>8.2489663939200999E-2</v>
      </c>
      <c r="AD3208">
        <v>1.81521837325361</v>
      </c>
      <c r="AE3208">
        <v>0.57076394557952903</v>
      </c>
      <c r="AF3208">
        <v>24.404721753794298</v>
      </c>
      <c r="AG3208">
        <f>IFERROR(AH3208*0.1, "N/A")</f>
        <v>5.5529510961214203</v>
      </c>
      <c r="AH3208">
        <v>55.5295109612142</v>
      </c>
      <c r="AI3208">
        <v>116.420311154242</v>
      </c>
      <c r="AJ3208">
        <v>20.925801011804399</v>
      </c>
      <c r="AK3208">
        <v>58.021922428330498</v>
      </c>
    </row>
    <row r="3209" spans="1:37" x14ac:dyDescent="0.3">
      <c r="A3209">
        <v>3208</v>
      </c>
      <c r="B3209">
        <v>30.200001</v>
      </c>
      <c r="C3209">
        <v>-13.9</v>
      </c>
      <c r="D3209">
        <v>13.27</v>
      </c>
      <c r="E3209">
        <f>-13.9-13.27</f>
        <v>-27.17</v>
      </c>
      <c r="F3209" t="s">
        <v>5300</v>
      </c>
      <c r="G3209" t="s">
        <v>39</v>
      </c>
      <c r="H3209">
        <v>1989</v>
      </c>
      <c r="I3209">
        <v>27.200000762939499</v>
      </c>
      <c r="J3209">
        <v>14</v>
      </c>
      <c r="K3209">
        <v>56</v>
      </c>
      <c r="L3209">
        <v>24.715716318577599</v>
      </c>
      <c r="M3209">
        <v>38.599998474121101</v>
      </c>
      <c r="N3209">
        <v>13.699999809265099</v>
      </c>
      <c r="O3209">
        <v>24.899999618530298</v>
      </c>
      <c r="P3209">
        <v>26.700000762939499</v>
      </c>
      <c r="Q3209">
        <v>25.899999618530298</v>
      </c>
      <c r="R3209">
        <v>30.299999237060501</v>
      </c>
      <c r="S3209">
        <v>24</v>
      </c>
      <c r="T3209">
        <v>866.42833052276603</v>
      </c>
      <c r="U3209">
        <v>258.21416526138302</v>
      </c>
      <c r="V3209">
        <v>0</v>
      </c>
      <c r="W3209">
        <v>127</v>
      </c>
      <c r="X3209">
        <v>661.42833052276603</v>
      </c>
      <c r="Y3209">
        <v>0</v>
      </c>
      <c r="Z3209">
        <v>133</v>
      </c>
      <c r="AA3209">
        <v>4</v>
      </c>
      <c r="AB3209">
        <v>17.569984526095499</v>
      </c>
      <c r="AC3209">
        <v>8.5205604631649993E-3</v>
      </c>
      <c r="AD3209">
        <v>0.86787231877119497</v>
      </c>
      <c r="AE3209">
        <v>0.316485644894547</v>
      </c>
      <c r="AF3209">
        <v>52.5177065767285</v>
      </c>
      <c r="AG3209">
        <f>IFERROR(AH3209*0.1, "N/A")</f>
        <v>6.210792580101181</v>
      </c>
      <c r="AH3209">
        <v>62.107925801011802</v>
      </c>
      <c r="AI3209">
        <v>125.657378687223</v>
      </c>
      <c r="AJ3209">
        <v>23.5885328836425</v>
      </c>
      <c r="AK3209">
        <v>50.504215851601998</v>
      </c>
    </row>
    <row r="3210" spans="1:37" x14ac:dyDescent="0.3">
      <c r="A3210">
        <v>3209</v>
      </c>
      <c r="B3210">
        <v>0</v>
      </c>
      <c r="C3210">
        <v>-13.9</v>
      </c>
      <c r="D3210">
        <v>13.27</v>
      </c>
      <c r="E3210">
        <f>-13.9-13.27</f>
        <v>-27.17</v>
      </c>
      <c r="F3210" t="s">
        <v>5301</v>
      </c>
      <c r="G3210" t="s">
        <v>37</v>
      </c>
      <c r="H3210">
        <v>1996</v>
      </c>
      <c r="I3210">
        <v>27.200000762939499</v>
      </c>
      <c r="J3210">
        <v>14</v>
      </c>
      <c r="K3210">
        <v>56</v>
      </c>
      <c r="L3210">
        <v>24.715716318577599</v>
      </c>
      <c r="M3210">
        <v>38.599998474121101</v>
      </c>
      <c r="N3210">
        <v>13.699999809265099</v>
      </c>
      <c r="O3210">
        <v>24.899999618530298</v>
      </c>
      <c r="P3210">
        <v>26.700000762939499</v>
      </c>
      <c r="Q3210">
        <v>25.899999618530298</v>
      </c>
      <c r="R3210">
        <v>30.299999237060501</v>
      </c>
      <c r="S3210">
        <v>24</v>
      </c>
      <c r="T3210">
        <v>866.42833052276603</v>
      </c>
      <c r="U3210">
        <v>258.21416526138302</v>
      </c>
      <c r="V3210">
        <v>0</v>
      </c>
      <c r="W3210">
        <v>127</v>
      </c>
      <c r="X3210">
        <v>661.42833052276603</v>
      </c>
      <c r="Y3210">
        <v>0</v>
      </c>
      <c r="Z3210">
        <v>133</v>
      </c>
      <c r="AA3210">
        <v>4</v>
      </c>
      <c r="AB3210">
        <v>17.569984526095499</v>
      </c>
      <c r="AC3210">
        <v>8.5205604631649993E-3</v>
      </c>
      <c r="AD3210">
        <v>0.86787231877119497</v>
      </c>
      <c r="AE3210">
        <v>0.316485644894547</v>
      </c>
      <c r="AF3210">
        <v>52.5177065767285</v>
      </c>
      <c r="AG3210">
        <f>IFERROR(AH3210*0.1, "N/A")</f>
        <v>6.210792580101181</v>
      </c>
      <c r="AH3210">
        <v>62.107925801011802</v>
      </c>
      <c r="AI3210">
        <v>125.657378687223</v>
      </c>
      <c r="AJ3210">
        <v>23.5885328836425</v>
      </c>
      <c r="AK3210">
        <v>50.504215851601998</v>
      </c>
    </row>
    <row r="3211" spans="1:37" x14ac:dyDescent="0.3">
      <c r="A3211">
        <v>3210</v>
      </c>
      <c r="B3211">
        <v>30</v>
      </c>
      <c r="C3211">
        <v>-14.07</v>
      </c>
      <c r="D3211">
        <v>13.28</v>
      </c>
      <c r="E3211">
        <f>-14.07-13.28</f>
        <v>-27.35</v>
      </c>
      <c r="F3211" t="s">
        <v>5302</v>
      </c>
      <c r="G3211" t="s">
        <v>39</v>
      </c>
      <c r="H3211">
        <v>2003</v>
      </c>
      <c r="I3211">
        <v>27.299999237060501</v>
      </c>
      <c r="J3211">
        <v>14.199999809265099</v>
      </c>
      <c r="K3211">
        <v>57</v>
      </c>
      <c r="L3211">
        <v>24.360000610351602</v>
      </c>
      <c r="M3211">
        <v>39</v>
      </c>
      <c r="N3211">
        <v>14.1000003814697</v>
      </c>
      <c r="O3211">
        <v>24.899999618530298</v>
      </c>
      <c r="P3211">
        <v>26.899999618530298</v>
      </c>
      <c r="Q3211">
        <v>26.100000381469702</v>
      </c>
      <c r="R3211">
        <v>30.5</v>
      </c>
      <c r="S3211">
        <v>24.200000762939499</v>
      </c>
      <c r="T3211">
        <v>828</v>
      </c>
      <c r="U3211">
        <v>246</v>
      </c>
      <c r="V3211">
        <v>0</v>
      </c>
      <c r="W3211">
        <v>129</v>
      </c>
      <c r="X3211">
        <v>646</v>
      </c>
      <c r="Y3211">
        <v>0</v>
      </c>
      <c r="Z3211">
        <v>119</v>
      </c>
      <c r="AA3211">
        <v>3</v>
      </c>
      <c r="AB3211">
        <v>8.5494101461632503</v>
      </c>
      <c r="AC3211">
        <v>1.0415142727152001E-2</v>
      </c>
      <c r="AD3211">
        <v>1.34449745269891</v>
      </c>
      <c r="AE3211">
        <v>0.483663409948349</v>
      </c>
      <c r="AF3211">
        <v>46.6003372681282</v>
      </c>
      <c r="AG3211">
        <f>IFERROR(AH3211*0.1, "N/A")</f>
        <v>5.8790893760539609</v>
      </c>
      <c r="AH3211">
        <v>58.790893760539603</v>
      </c>
      <c r="AI3211">
        <v>87.785487372798798</v>
      </c>
      <c r="AJ3211">
        <v>16.947723440134901</v>
      </c>
      <c r="AK3211">
        <v>67.104553119730198</v>
      </c>
    </row>
    <row r="3212" spans="1:37" x14ac:dyDescent="0.3">
      <c r="A3212">
        <v>3211</v>
      </c>
      <c r="B3212">
        <v>26</v>
      </c>
      <c r="C3212">
        <v>-14.583</v>
      </c>
      <c r="D3212">
        <v>13.301</v>
      </c>
      <c r="E3212">
        <f>-14.583-13.301</f>
        <v>-27.884</v>
      </c>
      <c r="F3212" t="s">
        <v>5303</v>
      </c>
      <c r="G3212" t="s">
        <v>39</v>
      </c>
      <c r="H3212">
        <v>1987</v>
      </c>
      <c r="I3212">
        <v>27.100000381469702</v>
      </c>
      <c r="J3212">
        <v>14.5</v>
      </c>
      <c r="K3212">
        <v>57</v>
      </c>
      <c r="L3212">
        <v>21.950000762939499</v>
      </c>
      <c r="M3212">
        <v>38.700000762939503</v>
      </c>
      <c r="N3212">
        <v>13.6000003814697</v>
      </c>
      <c r="O3212">
        <v>25.100000381469702</v>
      </c>
      <c r="P3212">
        <v>26.600000381469702</v>
      </c>
      <c r="Q3212">
        <v>26.200000762939499</v>
      </c>
      <c r="R3212">
        <v>30</v>
      </c>
      <c r="S3212">
        <v>24.399999618530298</v>
      </c>
      <c r="T3212">
        <v>817.83333333333303</v>
      </c>
      <c r="U3212">
        <v>237.277777777778</v>
      </c>
      <c r="V3212">
        <v>0</v>
      </c>
      <c r="W3212">
        <v>129</v>
      </c>
      <c r="X3212">
        <v>636.55555555555497</v>
      </c>
      <c r="Y3212">
        <v>0</v>
      </c>
      <c r="Z3212">
        <v>109</v>
      </c>
      <c r="AA3212">
        <v>3</v>
      </c>
      <c r="AB3212">
        <v>0.47828130368833199</v>
      </c>
      <c r="AC3212">
        <v>2.1059589843056E-2</v>
      </c>
      <c r="AD3212">
        <v>1.9496516230130401</v>
      </c>
      <c r="AE3212">
        <v>0.69153249263763406</v>
      </c>
      <c r="AF3212">
        <v>49.3956228956229</v>
      </c>
      <c r="AG3212">
        <f>IFERROR(AH3212*0.1, "N/A")</f>
        <v>4.9513468013468005</v>
      </c>
      <c r="AH3212">
        <v>49.513468013468</v>
      </c>
      <c r="AI3212">
        <v>123.443481766415</v>
      </c>
      <c r="AJ3212">
        <v>14.193602693602701</v>
      </c>
      <c r="AK3212">
        <v>72.326599326599293</v>
      </c>
    </row>
    <row r="3213" spans="1:37" x14ac:dyDescent="0.3">
      <c r="A3213">
        <v>3212</v>
      </c>
      <c r="B3213">
        <v>9.3000000000000007</v>
      </c>
      <c r="C3213">
        <v>-13.3</v>
      </c>
      <c r="D3213">
        <v>13.316700000000001</v>
      </c>
      <c r="E3213">
        <f>-13.3-13.3167</f>
        <v>-26.616700000000002</v>
      </c>
      <c r="F3213" t="s">
        <v>5304</v>
      </c>
      <c r="G3213" t="s">
        <v>39</v>
      </c>
      <c r="H3213">
        <v>2000</v>
      </c>
      <c r="I3213">
        <v>28.2652024707279</v>
      </c>
      <c r="J3213">
        <v>13.699999809265099</v>
      </c>
      <c r="K3213">
        <v>57</v>
      </c>
      <c r="L3213">
        <v>24.791148791442001</v>
      </c>
      <c r="M3213">
        <v>39.657601143862799</v>
      </c>
      <c r="N3213">
        <v>15.6576014032235</v>
      </c>
      <c r="O3213">
        <v>24</v>
      </c>
      <c r="P3213">
        <v>27.600000381469702</v>
      </c>
      <c r="Q3213">
        <v>26.899999618530298</v>
      </c>
      <c r="R3213">
        <v>31.700000762939499</v>
      </c>
      <c r="S3213">
        <v>25.208108747327699</v>
      </c>
      <c r="T3213">
        <v>822.18581081081095</v>
      </c>
      <c r="U3213">
        <v>228.91891891891899</v>
      </c>
      <c r="V3213">
        <v>0</v>
      </c>
      <c r="W3213">
        <v>123.918918918919</v>
      </c>
      <c r="X3213">
        <v>614.18581081081095</v>
      </c>
      <c r="Y3213">
        <v>1</v>
      </c>
      <c r="Z3213">
        <v>131</v>
      </c>
      <c r="AA3213">
        <v>1</v>
      </c>
      <c r="AB3213">
        <v>0.54695905221475105</v>
      </c>
      <c r="AC3213">
        <v>29.850750197297799</v>
      </c>
      <c r="AD3213">
        <v>1.9170447858805599</v>
      </c>
      <c r="AE3213">
        <v>0.58689951896667503</v>
      </c>
      <c r="AF3213">
        <v>29.177364864864899</v>
      </c>
      <c r="AG3213">
        <f>IFERROR(AH3213*0.1, "N/A")</f>
        <v>5.8141891891891904</v>
      </c>
      <c r="AH3213">
        <v>58.141891891891902</v>
      </c>
      <c r="AI3213">
        <v>258.69947735039</v>
      </c>
      <c r="AJ3213">
        <v>23.863175675675699</v>
      </c>
      <c r="AK3213">
        <v>53.0050675675676</v>
      </c>
    </row>
    <row r="3214" spans="1:37" x14ac:dyDescent="0.3">
      <c r="A3214">
        <v>3213</v>
      </c>
      <c r="B3214">
        <v>0</v>
      </c>
      <c r="C3214">
        <v>-13.3</v>
      </c>
      <c r="D3214">
        <v>13.316700000000001</v>
      </c>
      <c r="E3214">
        <f>-13.3-13.3167</f>
        <v>-26.616700000000002</v>
      </c>
      <c r="F3214" t="s">
        <v>5305</v>
      </c>
      <c r="G3214" t="s">
        <v>37</v>
      </c>
      <c r="H3214">
        <v>1996</v>
      </c>
      <c r="I3214">
        <v>28.2652024707279</v>
      </c>
      <c r="J3214">
        <v>13.699999809265099</v>
      </c>
      <c r="K3214">
        <v>57</v>
      </c>
      <c r="L3214">
        <v>24.791148791442001</v>
      </c>
      <c r="M3214">
        <v>39.657601143862799</v>
      </c>
      <c r="N3214">
        <v>15.6576014032235</v>
      </c>
      <c r="O3214">
        <v>24</v>
      </c>
      <c r="P3214">
        <v>27.600000381469702</v>
      </c>
      <c r="Q3214">
        <v>26.899999618530298</v>
      </c>
      <c r="R3214">
        <v>31.700000762939499</v>
      </c>
      <c r="S3214">
        <v>25.208108747327699</v>
      </c>
      <c r="T3214">
        <v>822.18581081081095</v>
      </c>
      <c r="U3214">
        <v>228.91891891891899</v>
      </c>
      <c r="V3214">
        <v>0</v>
      </c>
      <c r="W3214">
        <v>123.918918918919</v>
      </c>
      <c r="X3214">
        <v>614.18581081081095</v>
      </c>
      <c r="Y3214">
        <v>1</v>
      </c>
      <c r="Z3214">
        <v>131</v>
      </c>
      <c r="AA3214">
        <v>1</v>
      </c>
      <c r="AB3214">
        <v>0.54695905221475105</v>
      </c>
      <c r="AC3214">
        <v>29.850750197297799</v>
      </c>
      <c r="AD3214">
        <v>1.9170447858805599</v>
      </c>
      <c r="AE3214">
        <v>0.58689951896667503</v>
      </c>
      <c r="AF3214">
        <v>29.177364864864899</v>
      </c>
      <c r="AG3214">
        <f>IFERROR(AH3214*0.1, "N/A")</f>
        <v>5.8141891891891904</v>
      </c>
      <c r="AH3214">
        <v>58.141891891891902</v>
      </c>
      <c r="AI3214">
        <v>258.69947735039</v>
      </c>
      <c r="AJ3214">
        <v>23.863175675675699</v>
      </c>
      <c r="AK3214">
        <v>53.0050675675676</v>
      </c>
    </row>
    <row r="3215" spans="1:37" x14ac:dyDescent="0.3">
      <c r="A3215">
        <v>3214</v>
      </c>
      <c r="B3215">
        <v>38</v>
      </c>
      <c r="C3215">
        <v>-11.7776</v>
      </c>
      <c r="D3215">
        <v>13.3316</v>
      </c>
      <c r="E3215">
        <f>-11.7776-13.3316</f>
        <v>-25.109200000000001</v>
      </c>
      <c r="F3215" t="s">
        <v>5306</v>
      </c>
      <c r="G3215" t="s">
        <v>39</v>
      </c>
      <c r="H3215">
        <v>2003</v>
      </c>
      <c r="I3215">
        <v>28.799999237060501</v>
      </c>
      <c r="J3215">
        <v>13.199999809265099</v>
      </c>
      <c r="K3215">
        <v>58</v>
      </c>
      <c r="L3215">
        <v>22.2600002288818</v>
      </c>
      <c r="M3215">
        <v>40</v>
      </c>
      <c r="N3215">
        <v>17.5</v>
      </c>
      <c r="O3215">
        <v>22.5</v>
      </c>
      <c r="P3215">
        <v>27.299999237060501</v>
      </c>
      <c r="Q3215">
        <v>28.700000762939499</v>
      </c>
      <c r="R3215">
        <v>32.099998474121101</v>
      </c>
      <c r="S3215">
        <v>26.700000762939499</v>
      </c>
      <c r="T3215">
        <v>935</v>
      </c>
      <c r="U3215">
        <v>287</v>
      </c>
      <c r="V3215">
        <v>0</v>
      </c>
      <c r="W3215">
        <v>126</v>
      </c>
      <c r="X3215">
        <v>699</v>
      </c>
      <c r="Y3215">
        <v>0</v>
      </c>
      <c r="Z3215">
        <v>42</v>
      </c>
      <c r="AA3215">
        <v>3</v>
      </c>
      <c r="AB3215">
        <v>5.6984819850406199</v>
      </c>
      <c r="AC3215">
        <v>1.1780052110742E-2</v>
      </c>
      <c r="AD3215">
        <v>1.4775877288869901</v>
      </c>
      <c r="AE3215">
        <v>0.148565724492073</v>
      </c>
      <c r="AF3215">
        <v>79.126689189189193</v>
      </c>
      <c r="AG3215">
        <f>IFERROR(AH3215*0.1, "N/A")</f>
        <v>5.7043918918918903</v>
      </c>
      <c r="AH3215">
        <v>57.043918918918898</v>
      </c>
      <c r="AI3215">
        <v>75.050875206251405</v>
      </c>
      <c r="AJ3215">
        <v>20</v>
      </c>
      <c r="AK3215">
        <v>48</v>
      </c>
    </row>
    <row r="3216" spans="1:37" x14ac:dyDescent="0.3">
      <c r="A3216">
        <v>3215</v>
      </c>
      <c r="B3216">
        <v>38.799999</v>
      </c>
      <c r="C3216">
        <v>-14.6</v>
      </c>
      <c r="D3216">
        <v>13.333299999999999</v>
      </c>
      <c r="E3216">
        <f>-14.6-13.3333</f>
        <v>-27.933299999999999</v>
      </c>
      <c r="F3216" t="s">
        <v>5307</v>
      </c>
      <c r="G3216" t="s">
        <v>39</v>
      </c>
      <c r="H3216">
        <v>1996</v>
      </c>
      <c r="I3216">
        <v>27.200000762939499</v>
      </c>
      <c r="J3216">
        <v>14.5205433720846</v>
      </c>
      <c r="K3216">
        <v>57.981324278438002</v>
      </c>
      <c r="L3216">
        <v>21.712207039669501</v>
      </c>
      <c r="M3216">
        <v>38.722411358093403</v>
      </c>
      <c r="N3216">
        <v>13.720882741218899</v>
      </c>
      <c r="O3216">
        <v>25.0015280194112</v>
      </c>
      <c r="P3216">
        <v>26.601867960750099</v>
      </c>
      <c r="Q3216">
        <v>26.200000762939499</v>
      </c>
      <c r="R3216">
        <v>30.0205433720846</v>
      </c>
      <c r="S3216">
        <v>24.420882550484102</v>
      </c>
      <c r="T3216">
        <v>809.04753820033898</v>
      </c>
      <c r="U3216">
        <v>235.02207130730099</v>
      </c>
      <c r="V3216">
        <v>0</v>
      </c>
      <c r="W3216">
        <v>129.794567062818</v>
      </c>
      <c r="X3216">
        <v>630.02546689303904</v>
      </c>
      <c r="Y3216">
        <v>0</v>
      </c>
      <c r="Z3216">
        <v>107.20882852292</v>
      </c>
      <c r="AA3216">
        <v>3</v>
      </c>
      <c r="AB3216">
        <v>3.0468594886248699</v>
      </c>
      <c r="AC3216">
        <v>6.5091940335588003E-2</v>
      </c>
      <c r="AD3216">
        <v>1.61052521764726</v>
      </c>
      <c r="AE3216">
        <v>0.68070813937583896</v>
      </c>
      <c r="AF3216">
        <v>48.162988115449899</v>
      </c>
      <c r="AG3216">
        <f>IFERROR(AH3216*0.1, "N/A")</f>
        <v>4.7100169779286905</v>
      </c>
      <c r="AH3216">
        <v>47.100169779286901</v>
      </c>
      <c r="AI3216">
        <v>181.372863784104</v>
      </c>
      <c r="AJ3216">
        <v>13.100169779286899</v>
      </c>
      <c r="AK3216">
        <v>74.585738539898102</v>
      </c>
    </row>
    <row r="3217" spans="1:37" x14ac:dyDescent="0.3">
      <c r="A3217">
        <v>3216</v>
      </c>
      <c r="B3217">
        <v>0</v>
      </c>
      <c r="C3217">
        <v>-14.6</v>
      </c>
      <c r="D3217">
        <v>13.333299999999999</v>
      </c>
      <c r="E3217">
        <f>-14.6-13.3333</f>
        <v>-27.933299999999999</v>
      </c>
      <c r="F3217" t="s">
        <v>5308</v>
      </c>
      <c r="G3217" t="s">
        <v>37</v>
      </c>
      <c r="H3217">
        <v>1996</v>
      </c>
      <c r="I3217">
        <v>27.200000762939499</v>
      </c>
      <c r="J3217">
        <v>14.5205433720846</v>
      </c>
      <c r="K3217">
        <v>57.981324278438002</v>
      </c>
      <c r="L3217">
        <v>21.712207039669501</v>
      </c>
      <c r="M3217">
        <v>38.722411358093403</v>
      </c>
      <c r="N3217">
        <v>13.720882741218899</v>
      </c>
      <c r="O3217">
        <v>25.0015280194112</v>
      </c>
      <c r="P3217">
        <v>26.601867960750099</v>
      </c>
      <c r="Q3217">
        <v>26.200000762939499</v>
      </c>
      <c r="R3217">
        <v>30.0205433720846</v>
      </c>
      <c r="S3217">
        <v>24.420882550484102</v>
      </c>
      <c r="T3217">
        <v>809.04753820033898</v>
      </c>
      <c r="U3217">
        <v>235.02207130730099</v>
      </c>
      <c r="V3217">
        <v>0</v>
      </c>
      <c r="W3217">
        <v>129.794567062818</v>
      </c>
      <c r="X3217">
        <v>630.02546689303904</v>
      </c>
      <c r="Y3217">
        <v>0</v>
      </c>
      <c r="Z3217">
        <v>107.20882852292</v>
      </c>
      <c r="AA3217">
        <v>3</v>
      </c>
      <c r="AB3217">
        <v>3.0468594886248699</v>
      </c>
      <c r="AC3217">
        <v>6.5091940335588003E-2</v>
      </c>
      <c r="AD3217">
        <v>1.61052521764726</v>
      </c>
      <c r="AE3217">
        <v>0.68070813937583896</v>
      </c>
      <c r="AF3217">
        <v>48.162988115449899</v>
      </c>
      <c r="AG3217">
        <f>IFERROR(AH3217*0.1, "N/A")</f>
        <v>4.7100169779286905</v>
      </c>
      <c r="AH3217">
        <v>47.100169779286901</v>
      </c>
      <c r="AI3217">
        <v>181.372863784104</v>
      </c>
      <c r="AJ3217">
        <v>13.100169779286899</v>
      </c>
      <c r="AK3217">
        <v>74.585738539898102</v>
      </c>
    </row>
    <row r="3218" spans="1:37" x14ac:dyDescent="0.3">
      <c r="A3218">
        <v>3217</v>
      </c>
      <c r="B3218">
        <v>25</v>
      </c>
      <c r="C3218">
        <v>-14.6166</v>
      </c>
      <c r="D3218">
        <v>13.333299999999999</v>
      </c>
      <c r="E3218">
        <f>-14.6166-13.3333</f>
        <v>-27.9499</v>
      </c>
      <c r="F3218" t="s">
        <v>5309</v>
      </c>
      <c r="G3218" t="s">
        <v>39</v>
      </c>
      <c r="H3218">
        <v>1996</v>
      </c>
      <c r="I3218">
        <v>27.200000762939499</v>
      </c>
      <c r="J3218">
        <v>14.6000003814697</v>
      </c>
      <c r="K3218">
        <v>58</v>
      </c>
      <c r="L3218">
        <v>21.679202055485799</v>
      </c>
      <c r="M3218">
        <v>38.710696694806401</v>
      </c>
      <c r="N3218">
        <v>13.699999809265099</v>
      </c>
      <c r="O3218">
        <v>25.010696135878799</v>
      </c>
      <c r="P3218">
        <v>26.6684216951069</v>
      </c>
      <c r="Q3218">
        <v>26.200000762939499</v>
      </c>
      <c r="R3218">
        <v>30.010696135878799</v>
      </c>
      <c r="S3218">
        <v>24.410695754409002</v>
      </c>
      <c r="T3218">
        <v>813.076400679117</v>
      </c>
      <c r="U3218">
        <v>237.38030560271599</v>
      </c>
      <c r="V3218">
        <v>0</v>
      </c>
      <c r="W3218">
        <v>130</v>
      </c>
      <c r="X3218">
        <v>633.17487266553496</v>
      </c>
      <c r="Y3218">
        <v>0</v>
      </c>
      <c r="Z3218">
        <v>107.90152801358199</v>
      </c>
      <c r="AA3218">
        <v>3</v>
      </c>
      <c r="AB3218">
        <v>0.72461804712162803</v>
      </c>
      <c r="AC3218">
        <v>1.6177537768814001E-2</v>
      </c>
      <c r="AD3218">
        <v>1.0440813979997301</v>
      </c>
      <c r="AE3218">
        <v>0.67048524626244499</v>
      </c>
      <c r="AF3218">
        <v>49.482173174872699</v>
      </c>
      <c r="AG3218">
        <f>IFERROR(AH3218*0.1, "N/A")</f>
        <v>5.1258064516128998</v>
      </c>
      <c r="AH3218">
        <v>51.258064516128997</v>
      </c>
      <c r="AI3218">
        <v>239.83671411796001</v>
      </c>
      <c r="AJ3218">
        <v>14.7062818336163</v>
      </c>
      <c r="AK3218">
        <v>70.293718166383698</v>
      </c>
    </row>
    <row r="3219" spans="1:37" x14ac:dyDescent="0.3">
      <c r="A3219">
        <v>3218</v>
      </c>
      <c r="B3219">
        <v>0</v>
      </c>
      <c r="C3219">
        <v>-14.6166</v>
      </c>
      <c r="D3219">
        <v>13.333299999999999</v>
      </c>
      <c r="E3219">
        <f>-14.6166-13.3333</f>
        <v>-27.9499</v>
      </c>
      <c r="F3219" t="s">
        <v>5310</v>
      </c>
      <c r="G3219" t="s">
        <v>37</v>
      </c>
      <c r="H3219">
        <v>1996</v>
      </c>
      <c r="I3219">
        <v>27.200000762939499</v>
      </c>
      <c r="J3219">
        <v>14.6000003814697</v>
      </c>
      <c r="K3219">
        <v>58</v>
      </c>
      <c r="L3219">
        <v>21.679202055485799</v>
      </c>
      <c r="M3219">
        <v>38.710696694806401</v>
      </c>
      <c r="N3219">
        <v>13.699999809265099</v>
      </c>
      <c r="O3219">
        <v>25.010696135878799</v>
      </c>
      <c r="P3219">
        <v>26.6684216951069</v>
      </c>
      <c r="Q3219">
        <v>26.200000762939499</v>
      </c>
      <c r="R3219">
        <v>30.010696135878799</v>
      </c>
      <c r="S3219">
        <v>24.410695754409002</v>
      </c>
      <c r="T3219">
        <v>813.076400679117</v>
      </c>
      <c r="U3219">
        <v>237.38030560271599</v>
      </c>
      <c r="V3219">
        <v>0</v>
      </c>
      <c r="W3219">
        <v>130</v>
      </c>
      <c r="X3219">
        <v>633.17487266553496</v>
      </c>
      <c r="Y3219">
        <v>0</v>
      </c>
      <c r="Z3219">
        <v>107.90152801358199</v>
      </c>
      <c r="AA3219">
        <v>3</v>
      </c>
      <c r="AB3219">
        <v>0.72461804712162803</v>
      </c>
      <c r="AC3219">
        <v>1.6177537768814001E-2</v>
      </c>
      <c r="AD3219">
        <v>1.0440813979997301</v>
      </c>
      <c r="AE3219">
        <v>0.67048524626244499</v>
      </c>
      <c r="AF3219">
        <v>49.482173174872699</v>
      </c>
      <c r="AG3219">
        <f>IFERROR(AH3219*0.1, "N/A")</f>
        <v>5.1258064516128998</v>
      </c>
      <c r="AH3219">
        <v>51.258064516128997</v>
      </c>
      <c r="AI3219">
        <v>239.83671411796001</v>
      </c>
      <c r="AJ3219">
        <v>14.7062818336163</v>
      </c>
      <c r="AK3219">
        <v>70.293718166383698</v>
      </c>
    </row>
    <row r="3220" spans="1:37" x14ac:dyDescent="0.3">
      <c r="A3220">
        <v>3219</v>
      </c>
      <c r="B3220">
        <v>55.299999</v>
      </c>
      <c r="C3220">
        <v>-14.6</v>
      </c>
      <c r="D3220">
        <v>13.3344</v>
      </c>
      <c r="E3220">
        <f>-14.6-13.3344</f>
        <v>-27.9344</v>
      </c>
      <c r="F3220" t="s">
        <v>5311</v>
      </c>
      <c r="G3220" t="s">
        <v>39</v>
      </c>
      <c r="H3220">
        <v>1984</v>
      </c>
      <c r="I3220">
        <v>27.200000762939499</v>
      </c>
      <c r="J3220">
        <v>14.5984723620585</v>
      </c>
      <c r="K3220">
        <v>57.772495755517802</v>
      </c>
      <c r="L3220">
        <v>21.9474196830711</v>
      </c>
      <c r="M3220">
        <v>38.821222191958</v>
      </c>
      <c r="N3220">
        <v>13.699999809265099</v>
      </c>
      <c r="O3220">
        <v>25.121222873292702</v>
      </c>
      <c r="P3220">
        <v>26.622750892703898</v>
      </c>
      <c r="Q3220">
        <v>26.200000762939499</v>
      </c>
      <c r="R3220">
        <v>30.098472362058502</v>
      </c>
      <c r="S3220">
        <v>24.399999618530298</v>
      </c>
      <c r="T3220">
        <v>806.50084889643495</v>
      </c>
      <c r="U3220">
        <v>234.24278438030601</v>
      </c>
      <c r="V3220">
        <v>0</v>
      </c>
      <c r="W3220">
        <v>129.01528013582299</v>
      </c>
      <c r="X3220">
        <v>628.25806451612902</v>
      </c>
      <c r="Y3220">
        <v>0</v>
      </c>
      <c r="Z3220">
        <v>107</v>
      </c>
      <c r="AA3220">
        <v>3</v>
      </c>
      <c r="AB3220">
        <v>3.0388792131874101</v>
      </c>
      <c r="AC3220">
        <v>1.9469565539565001E-2</v>
      </c>
      <c r="AD3220">
        <v>0.75345231843116101</v>
      </c>
      <c r="AE3220">
        <v>0.62926629585402105</v>
      </c>
      <c r="AF3220">
        <v>48.507640067911701</v>
      </c>
      <c r="AG3220">
        <f>IFERROR(AH3220*0.1, "N/A")</f>
        <v>4.7587436332767403</v>
      </c>
      <c r="AH3220">
        <v>47.587436332767403</v>
      </c>
      <c r="AI3220">
        <v>143.20974871339101</v>
      </c>
      <c r="AJ3220">
        <v>14.174872665534799</v>
      </c>
      <c r="AK3220">
        <v>72.884550084889696</v>
      </c>
    </row>
    <row r="3221" spans="1:37" x14ac:dyDescent="0.3">
      <c r="A3221">
        <v>3220</v>
      </c>
      <c r="B3221">
        <v>20.700001</v>
      </c>
      <c r="C3221">
        <v>-13.3</v>
      </c>
      <c r="D3221">
        <v>13.34</v>
      </c>
      <c r="E3221">
        <f>-13.3-13.34</f>
        <v>-26.64</v>
      </c>
      <c r="F3221" t="s">
        <v>5312</v>
      </c>
      <c r="G3221" t="s">
        <v>39</v>
      </c>
      <c r="H3221">
        <v>2004</v>
      </c>
      <c r="I3221">
        <v>28.284094234408499</v>
      </c>
      <c r="J3221">
        <v>13.699999809265099</v>
      </c>
      <c r="K3221">
        <v>56.159052453468703</v>
      </c>
      <c r="L3221">
        <v>24.7563622437556</v>
      </c>
      <c r="M3221">
        <v>39.684095153550402</v>
      </c>
      <c r="N3221">
        <v>15.6000003814697</v>
      </c>
      <c r="O3221">
        <v>24.084095075449198</v>
      </c>
      <c r="P3221">
        <v>27.600000381469702</v>
      </c>
      <c r="Q3221">
        <v>26.899999618530298</v>
      </c>
      <c r="R3221">
        <v>31.700000762939499</v>
      </c>
      <c r="S3221">
        <v>25.200000762939499</v>
      </c>
      <c r="T3221">
        <v>817.15905245346903</v>
      </c>
      <c r="U3221">
        <v>227</v>
      </c>
      <c r="V3221">
        <v>0</v>
      </c>
      <c r="W3221">
        <v>123</v>
      </c>
      <c r="X3221">
        <v>610</v>
      </c>
      <c r="Y3221">
        <v>1</v>
      </c>
      <c r="Z3221">
        <v>131</v>
      </c>
      <c r="AA3221">
        <v>1</v>
      </c>
      <c r="AB3221">
        <v>1.12131917859899</v>
      </c>
      <c r="AC3221">
        <v>4.66155636106663</v>
      </c>
      <c r="AD3221">
        <v>1.2882844758316101</v>
      </c>
      <c r="AE3221">
        <v>0.51979607343673695</v>
      </c>
      <c r="AF3221">
        <v>36.918781725888302</v>
      </c>
      <c r="AG3221">
        <f>IFERROR(AH3221*0.1, "N/A")</f>
        <v>6</v>
      </c>
      <c r="AH3221">
        <v>60</v>
      </c>
      <c r="AI3221">
        <v>143.78270973166801</v>
      </c>
      <c r="AJ3221">
        <v>26</v>
      </c>
      <c r="AK3221">
        <v>45.133671742808801</v>
      </c>
    </row>
    <row r="3222" spans="1:37" x14ac:dyDescent="0.3">
      <c r="A3222">
        <v>3221</v>
      </c>
      <c r="B3222">
        <v>50</v>
      </c>
      <c r="C3222">
        <v>-13.333299999999999</v>
      </c>
      <c r="D3222">
        <v>13.35</v>
      </c>
      <c r="E3222">
        <f>-13.3333-13.35</f>
        <v>-26.683299999999999</v>
      </c>
      <c r="F3222" t="s">
        <v>5313</v>
      </c>
      <c r="G3222" t="s">
        <v>39</v>
      </c>
      <c r="H3222">
        <v>1993</v>
      </c>
      <c r="I3222">
        <v>28.299999237060501</v>
      </c>
      <c r="J3222">
        <v>13.699999809265099</v>
      </c>
      <c r="K3222">
        <v>57</v>
      </c>
      <c r="L3222">
        <v>24.608646418640902</v>
      </c>
      <c r="M3222">
        <v>39.700000762939503</v>
      </c>
      <c r="N3222">
        <v>15.699999809265099</v>
      </c>
      <c r="O3222">
        <v>24</v>
      </c>
      <c r="P3222">
        <v>27.600000381469702</v>
      </c>
      <c r="Q3222">
        <v>26.982741050913901</v>
      </c>
      <c r="R3222">
        <v>31.700000762939499</v>
      </c>
      <c r="S3222">
        <v>25.299999237060501</v>
      </c>
      <c r="T3222">
        <v>816.86802030456897</v>
      </c>
      <c r="U3222">
        <v>227.37225042301199</v>
      </c>
      <c r="V3222">
        <v>0</v>
      </c>
      <c r="W3222">
        <v>123</v>
      </c>
      <c r="X3222">
        <v>611.37225042301202</v>
      </c>
      <c r="Y3222">
        <v>1</v>
      </c>
      <c r="Z3222">
        <v>130.49576988155701</v>
      </c>
      <c r="AA3222">
        <v>1</v>
      </c>
      <c r="AB3222">
        <v>1.8453460732087299</v>
      </c>
      <c r="AC3222">
        <v>2.6070104897488702</v>
      </c>
      <c r="AD3222">
        <v>1.4276239980901</v>
      </c>
      <c r="AE3222">
        <v>0.67058412829026304</v>
      </c>
      <c r="AF3222">
        <v>19.0152284263959</v>
      </c>
      <c r="AG3222">
        <f>IFERROR(AH3222*0.1, "N/A")</f>
        <v>6.0380710659898504</v>
      </c>
      <c r="AH3222">
        <v>60.380710659898497</v>
      </c>
      <c r="AI3222">
        <v>93.645266066549596</v>
      </c>
      <c r="AJ3222">
        <v>22.690355329949199</v>
      </c>
      <c r="AK3222">
        <v>53.309644670050801</v>
      </c>
    </row>
    <row r="3223" spans="1:37" x14ac:dyDescent="0.3">
      <c r="A3223">
        <v>3222</v>
      </c>
      <c r="B3223">
        <v>46</v>
      </c>
      <c r="C3223">
        <v>-11.6442</v>
      </c>
      <c r="D3223">
        <v>13.391400000000001</v>
      </c>
      <c r="E3223">
        <f>-11.6442-13.3914</f>
        <v>-25.035600000000002</v>
      </c>
      <c r="F3223" t="s">
        <v>5314</v>
      </c>
      <c r="G3223" t="s">
        <v>39</v>
      </c>
      <c r="H3223">
        <v>2003</v>
      </c>
      <c r="I3223">
        <v>28.799999237060501</v>
      </c>
      <c r="J3223">
        <v>13.199999809265099</v>
      </c>
      <c r="K3223">
        <v>59</v>
      </c>
      <c r="L3223">
        <v>21.2994596986304</v>
      </c>
      <c r="M3223">
        <v>39.894605112317002</v>
      </c>
      <c r="N3223">
        <v>17.694604452303601</v>
      </c>
      <c r="O3223">
        <v>22.200000762939499</v>
      </c>
      <c r="P3223">
        <v>27.3053955476963</v>
      </c>
      <c r="Q3223">
        <v>28.694604452303601</v>
      </c>
      <c r="R3223">
        <v>32</v>
      </c>
      <c r="S3223">
        <v>26.7946030293508</v>
      </c>
      <c r="T3223">
        <v>923.78414839797597</v>
      </c>
      <c r="U3223">
        <v>287.94603709949399</v>
      </c>
      <c r="V3223">
        <v>0</v>
      </c>
      <c r="W3223">
        <v>125.05396290050599</v>
      </c>
      <c r="X3223">
        <v>691.89207419898798</v>
      </c>
      <c r="Y3223">
        <v>0</v>
      </c>
      <c r="Z3223">
        <v>43.892074198988198</v>
      </c>
      <c r="AA3223">
        <v>3</v>
      </c>
      <c r="AB3223">
        <v>1.16644204768523</v>
      </c>
      <c r="AC3223">
        <v>0.46948315802660001</v>
      </c>
      <c r="AD3223">
        <v>2.5280482003097799</v>
      </c>
      <c r="AE3223">
        <v>0.475545734167099</v>
      </c>
      <c r="AF3223">
        <v>76.543001686340602</v>
      </c>
      <c r="AG3223">
        <f>IFERROR(AH3223*0.1, "N/A")</f>
        <v>6.1716694772344001</v>
      </c>
      <c r="AH3223">
        <v>61.716694772343999</v>
      </c>
      <c r="AI3223">
        <v>181.38773399501</v>
      </c>
      <c r="AJ3223">
        <v>20.971332209106201</v>
      </c>
      <c r="AK3223">
        <v>47.8414839797639</v>
      </c>
    </row>
    <row r="3224" spans="1:37" x14ac:dyDescent="0.3">
      <c r="A3224">
        <v>3223</v>
      </c>
      <c r="B3224">
        <v>2.6</v>
      </c>
      <c r="C3224">
        <v>-14.9666</v>
      </c>
      <c r="D3224">
        <v>13.4</v>
      </c>
      <c r="E3224">
        <f>-14.9666-13.4</f>
        <v>-28.366599999999998</v>
      </c>
      <c r="F3224" t="s">
        <v>5315</v>
      </c>
      <c r="G3224" t="s">
        <v>39</v>
      </c>
      <c r="H3224">
        <v>1996</v>
      </c>
      <c r="I3224">
        <v>27.600000381469702</v>
      </c>
      <c r="J3224">
        <v>14.699999809265099</v>
      </c>
      <c r="K3224">
        <v>59</v>
      </c>
      <c r="L3224">
        <v>19.662216131658901</v>
      </c>
      <c r="M3224">
        <v>39.299999237060497</v>
      </c>
      <c r="N3224">
        <v>14.699999809265099</v>
      </c>
      <c r="O3224">
        <v>24.600000381469702</v>
      </c>
      <c r="P3224">
        <v>27.128088475080499</v>
      </c>
      <c r="Q3224">
        <v>26.600000381469702</v>
      </c>
      <c r="R3224">
        <v>30.299999237060501</v>
      </c>
      <c r="S3224">
        <v>25.142470932652301</v>
      </c>
      <c r="T3224">
        <v>778.85786802030498</v>
      </c>
      <c r="U3224">
        <v>243.92216582064299</v>
      </c>
      <c r="V3224">
        <v>0</v>
      </c>
      <c r="W3224">
        <v>131.46362098138701</v>
      </c>
      <c r="X3224">
        <v>614.60236886632799</v>
      </c>
      <c r="Y3224">
        <v>0</v>
      </c>
      <c r="Z3224">
        <v>98.536379018612493</v>
      </c>
      <c r="AA3224">
        <v>0.424703891708968</v>
      </c>
      <c r="AB3224">
        <v>1.4380712363925701</v>
      </c>
      <c r="AC3224">
        <v>28.431004499452399</v>
      </c>
      <c r="AD3224">
        <v>2.7944154832165502</v>
      </c>
      <c r="AE3224">
        <v>0.65019583702087402</v>
      </c>
      <c r="AF3224">
        <v>16.587140439932298</v>
      </c>
      <c r="AG3224">
        <f>IFERROR(AH3224*0.1, "N/A")</f>
        <v>5.5023688663282604</v>
      </c>
      <c r="AH3224">
        <v>55.023688663282599</v>
      </c>
      <c r="AI3224">
        <v>248.440033552812</v>
      </c>
      <c r="AJ3224">
        <v>15.0152284263959</v>
      </c>
      <c r="AK3224">
        <v>67.693739424703907</v>
      </c>
    </row>
    <row r="3225" spans="1:37" x14ac:dyDescent="0.3">
      <c r="A3225">
        <v>3224</v>
      </c>
      <c r="B3225">
        <v>0</v>
      </c>
      <c r="C3225">
        <v>-14.9666</v>
      </c>
      <c r="D3225">
        <v>13.4</v>
      </c>
      <c r="E3225">
        <f>-14.9666-13.4</f>
        <v>-28.366599999999998</v>
      </c>
      <c r="F3225" t="s">
        <v>5316</v>
      </c>
      <c r="G3225" t="s">
        <v>37</v>
      </c>
      <c r="H3225">
        <v>1996</v>
      </c>
      <c r="I3225">
        <v>27.600000381469702</v>
      </c>
      <c r="J3225">
        <v>14.699999809265099</v>
      </c>
      <c r="K3225">
        <v>59</v>
      </c>
      <c r="L3225">
        <v>19.662216131658901</v>
      </c>
      <c r="M3225">
        <v>39.299999237060497</v>
      </c>
      <c r="N3225">
        <v>14.699999809265099</v>
      </c>
      <c r="O3225">
        <v>24.600000381469702</v>
      </c>
      <c r="P3225">
        <v>27.128088475080499</v>
      </c>
      <c r="Q3225">
        <v>26.600000381469702</v>
      </c>
      <c r="R3225">
        <v>30.299999237060501</v>
      </c>
      <c r="S3225">
        <v>25.142470932652301</v>
      </c>
      <c r="T3225">
        <v>778.85786802030498</v>
      </c>
      <c r="U3225">
        <v>243.92216582064299</v>
      </c>
      <c r="V3225">
        <v>0</v>
      </c>
      <c r="W3225">
        <v>131.46362098138701</v>
      </c>
      <c r="X3225">
        <v>614.60236886632799</v>
      </c>
      <c r="Y3225">
        <v>0</v>
      </c>
      <c r="Z3225">
        <v>98.536379018612493</v>
      </c>
      <c r="AA3225">
        <v>0.424703891708968</v>
      </c>
      <c r="AB3225">
        <v>1.4380712363925701</v>
      </c>
      <c r="AC3225">
        <v>28.431004499452399</v>
      </c>
      <c r="AD3225">
        <v>2.7944154832165502</v>
      </c>
      <c r="AE3225">
        <v>0.65019583702087402</v>
      </c>
      <c r="AF3225">
        <v>16.587140439932298</v>
      </c>
      <c r="AG3225">
        <f>IFERROR(AH3225*0.1, "N/A")</f>
        <v>5.5023688663282604</v>
      </c>
      <c r="AH3225">
        <v>55.023688663282599</v>
      </c>
      <c r="AI3225">
        <v>248.440033552812</v>
      </c>
      <c r="AJ3225">
        <v>15.0152284263959</v>
      </c>
      <c r="AK3225">
        <v>67.693739424703907</v>
      </c>
    </row>
    <row r="3226" spans="1:37" x14ac:dyDescent="0.3">
      <c r="A3226">
        <v>3225</v>
      </c>
      <c r="B3226">
        <v>4.3</v>
      </c>
      <c r="C3226">
        <v>-14.95</v>
      </c>
      <c r="D3226">
        <v>13.433299999999999</v>
      </c>
      <c r="E3226">
        <f>-14.95-13.4333</f>
        <v>-28.383299999999998</v>
      </c>
      <c r="F3226" t="s">
        <v>5317</v>
      </c>
      <c r="G3226" t="s">
        <v>39</v>
      </c>
      <c r="H3226">
        <v>1996</v>
      </c>
      <c r="I3226">
        <v>27.700000762939499</v>
      </c>
      <c r="J3226">
        <v>14.7570946216583</v>
      </c>
      <c r="K3226">
        <v>59.608108108108098</v>
      </c>
      <c r="L3226">
        <v>19.684763360667901</v>
      </c>
      <c r="M3226">
        <v>39.426183062630699</v>
      </c>
      <c r="N3226">
        <v>14.8608106535834</v>
      </c>
      <c r="O3226">
        <v>24.5653718709946</v>
      </c>
      <c r="P3226">
        <v>27.200000762939499</v>
      </c>
      <c r="Q3226">
        <v>26.760810645850899</v>
      </c>
      <c r="R3226">
        <v>30.386992812156699</v>
      </c>
      <c r="S3226">
        <v>25.260810645850899</v>
      </c>
      <c r="T3226">
        <v>761.881756756757</v>
      </c>
      <c r="U3226">
        <v>239.86993243243199</v>
      </c>
      <c r="V3226">
        <v>0</v>
      </c>
      <c r="W3226">
        <v>132.57094594594599</v>
      </c>
      <c r="X3226">
        <v>602.01182432432404</v>
      </c>
      <c r="Y3226">
        <v>0</v>
      </c>
      <c r="Z3226">
        <v>96</v>
      </c>
      <c r="AA3226">
        <v>0.13006756756756799</v>
      </c>
      <c r="AB3226">
        <v>3.91402001880311</v>
      </c>
      <c r="AC3226">
        <v>5.9929047383971999E-2</v>
      </c>
      <c r="AD3226">
        <v>2.6395681865916099</v>
      </c>
      <c r="AE3226">
        <v>0.68279831423550097</v>
      </c>
      <c r="AF3226">
        <v>9.5557432432432403</v>
      </c>
      <c r="AG3226">
        <f>IFERROR(AH3226*0.1, "N/A")</f>
        <v>5.4</v>
      </c>
      <c r="AH3226">
        <v>54</v>
      </c>
      <c r="AI3226">
        <v>200.88264275885899</v>
      </c>
      <c r="AJ3226">
        <v>17.070945945945901</v>
      </c>
      <c r="AK3226">
        <v>64.925675675675706</v>
      </c>
    </row>
    <row r="3227" spans="1:37" x14ac:dyDescent="0.3">
      <c r="A3227">
        <v>3226</v>
      </c>
      <c r="B3227">
        <v>0</v>
      </c>
      <c r="C3227">
        <v>-14.95</v>
      </c>
      <c r="D3227">
        <v>13.433299999999999</v>
      </c>
      <c r="E3227">
        <f>-14.95-13.4333</f>
        <v>-28.383299999999998</v>
      </c>
      <c r="F3227" t="s">
        <v>5318</v>
      </c>
      <c r="G3227" t="s">
        <v>37</v>
      </c>
      <c r="H3227">
        <v>1996</v>
      </c>
      <c r="I3227">
        <v>27.700000762939499</v>
      </c>
      <c r="J3227">
        <v>14.7570946216583</v>
      </c>
      <c r="K3227">
        <v>59.608108108108098</v>
      </c>
      <c r="L3227">
        <v>19.684763360667901</v>
      </c>
      <c r="M3227">
        <v>39.426183062630699</v>
      </c>
      <c r="N3227">
        <v>14.8608106535834</v>
      </c>
      <c r="O3227">
        <v>24.5653718709946</v>
      </c>
      <c r="P3227">
        <v>27.200000762939499</v>
      </c>
      <c r="Q3227">
        <v>26.760810645850899</v>
      </c>
      <c r="R3227">
        <v>30.386992812156699</v>
      </c>
      <c r="S3227">
        <v>25.260810645850899</v>
      </c>
      <c r="T3227">
        <v>761.881756756757</v>
      </c>
      <c r="U3227">
        <v>239.86993243243199</v>
      </c>
      <c r="V3227">
        <v>0</v>
      </c>
      <c r="W3227">
        <v>132.57094594594599</v>
      </c>
      <c r="X3227">
        <v>602.01182432432404</v>
      </c>
      <c r="Y3227">
        <v>0</v>
      </c>
      <c r="Z3227">
        <v>96</v>
      </c>
      <c r="AA3227">
        <v>0.13006756756756799</v>
      </c>
      <c r="AB3227">
        <v>3.91402001880311</v>
      </c>
      <c r="AC3227">
        <v>5.9929047383971999E-2</v>
      </c>
      <c r="AD3227">
        <v>2.6395681865916099</v>
      </c>
      <c r="AE3227">
        <v>0.68279831423550097</v>
      </c>
      <c r="AF3227">
        <v>9.5557432432432403</v>
      </c>
      <c r="AG3227">
        <f>IFERROR(AH3227*0.1, "N/A")</f>
        <v>5.4</v>
      </c>
      <c r="AH3227">
        <v>54</v>
      </c>
      <c r="AI3227">
        <v>200.88264275885899</v>
      </c>
      <c r="AJ3227">
        <v>17.070945945945901</v>
      </c>
      <c r="AK3227">
        <v>64.925675675675706</v>
      </c>
    </row>
    <row r="3228" spans="1:37" x14ac:dyDescent="0.3">
      <c r="A3228">
        <v>3227</v>
      </c>
      <c r="B3228">
        <v>0.5</v>
      </c>
      <c r="C3228">
        <v>-14.9833</v>
      </c>
      <c r="D3228">
        <v>13.433299999999999</v>
      </c>
      <c r="E3228">
        <f>-14.9833-13.4333</f>
        <v>-28.416599999999999</v>
      </c>
      <c r="F3228" t="s">
        <v>5319</v>
      </c>
      <c r="G3228" t="s">
        <v>39</v>
      </c>
      <c r="H3228">
        <v>1996</v>
      </c>
      <c r="I3228">
        <v>27.578752408341298</v>
      </c>
      <c r="J3228">
        <v>14.710792430536699</v>
      </c>
      <c r="K3228">
        <v>60</v>
      </c>
      <c r="L3228">
        <v>19.527976433302101</v>
      </c>
      <c r="M3228">
        <v>39.221586005482699</v>
      </c>
      <c r="N3228">
        <v>14.7679595963348</v>
      </c>
      <c r="O3228">
        <v>24.453625455473599</v>
      </c>
      <c r="P3228">
        <v>27.095447244370799</v>
      </c>
      <c r="Q3228">
        <v>26.600000381469702</v>
      </c>
      <c r="R3228">
        <v>30.210793178358902</v>
      </c>
      <c r="S3228">
        <v>25.1107930027413</v>
      </c>
      <c r="T3228">
        <v>767.49915682968003</v>
      </c>
      <c r="U3228">
        <v>241.571669477234</v>
      </c>
      <c r="V3228">
        <v>0</v>
      </c>
      <c r="W3228">
        <v>132.01011804384501</v>
      </c>
      <c r="X3228">
        <v>606.03541315345694</v>
      </c>
      <c r="Y3228">
        <v>0</v>
      </c>
      <c r="Z3228">
        <v>96.571669477234394</v>
      </c>
      <c r="AA3228">
        <v>0</v>
      </c>
      <c r="AB3228">
        <v>5.47099588854116</v>
      </c>
      <c r="AC3228">
        <v>3.2025818647046997E-2</v>
      </c>
      <c r="AD3228">
        <v>2.0543721433835702</v>
      </c>
      <c r="AE3228">
        <v>0.54490591563020596</v>
      </c>
      <c r="AF3228">
        <v>29.774030354131501</v>
      </c>
      <c r="AG3228">
        <f>IFERROR(AH3228*0.1, "N/A")</f>
        <v>5.5688026981450305</v>
      </c>
      <c r="AH3228">
        <v>55.6880269814503</v>
      </c>
      <c r="AI3228">
        <v>104.59119398557699</v>
      </c>
      <c r="AJ3228">
        <v>21.2091062394604</v>
      </c>
      <c r="AK3228">
        <v>58.785834738617197</v>
      </c>
    </row>
    <row r="3229" spans="1:37" x14ac:dyDescent="0.3">
      <c r="A3229">
        <v>3228</v>
      </c>
      <c r="B3229">
        <v>1.3</v>
      </c>
      <c r="C3229">
        <v>-14.9833</v>
      </c>
      <c r="D3229">
        <v>13.433299999999999</v>
      </c>
      <c r="E3229">
        <f>-14.9833-13.4333</f>
        <v>-28.416599999999999</v>
      </c>
      <c r="F3229" t="s">
        <v>5320</v>
      </c>
      <c r="G3229" t="s">
        <v>37</v>
      </c>
      <c r="H3229">
        <v>1996</v>
      </c>
      <c r="I3229">
        <v>27.578752408341298</v>
      </c>
      <c r="J3229">
        <v>14.710792430536699</v>
      </c>
      <c r="K3229">
        <v>60</v>
      </c>
      <c r="L3229">
        <v>19.527976433302101</v>
      </c>
      <c r="M3229">
        <v>39.221586005482699</v>
      </c>
      <c r="N3229">
        <v>14.7679595963348</v>
      </c>
      <c r="O3229">
        <v>24.453625455473599</v>
      </c>
      <c r="P3229">
        <v>27.095447244370799</v>
      </c>
      <c r="Q3229">
        <v>26.600000381469702</v>
      </c>
      <c r="R3229">
        <v>30.210793178358902</v>
      </c>
      <c r="S3229">
        <v>25.1107930027413</v>
      </c>
      <c r="T3229">
        <v>767.49915682968003</v>
      </c>
      <c r="U3229">
        <v>241.571669477234</v>
      </c>
      <c r="V3229">
        <v>0</v>
      </c>
      <c r="W3229">
        <v>132.01011804384501</v>
      </c>
      <c r="X3229">
        <v>606.03541315345694</v>
      </c>
      <c r="Y3229">
        <v>0</v>
      </c>
      <c r="Z3229">
        <v>96.571669477234394</v>
      </c>
      <c r="AA3229">
        <v>0</v>
      </c>
      <c r="AB3229">
        <v>5.47099588854116</v>
      </c>
      <c r="AC3229">
        <v>3.2025818647046997E-2</v>
      </c>
      <c r="AD3229">
        <v>2.0543721433835702</v>
      </c>
      <c r="AE3229">
        <v>0.54490591563020596</v>
      </c>
      <c r="AF3229">
        <v>29.774030354131501</v>
      </c>
      <c r="AG3229">
        <f>IFERROR(AH3229*0.1, "N/A")</f>
        <v>5.5688026981450305</v>
      </c>
      <c r="AH3229">
        <v>55.6880269814503</v>
      </c>
      <c r="AI3229">
        <v>104.59119398557699</v>
      </c>
      <c r="AJ3229">
        <v>21.2091062394604</v>
      </c>
      <c r="AK3229">
        <v>58.785834738617197</v>
      </c>
    </row>
    <row r="3230" spans="1:37" x14ac:dyDescent="0.3">
      <c r="A3230">
        <v>3229</v>
      </c>
      <c r="B3230">
        <v>4.2</v>
      </c>
      <c r="C3230">
        <v>-13.716699999999999</v>
      </c>
      <c r="D3230">
        <v>13.5</v>
      </c>
      <c r="E3230">
        <f>-13.7167-13.5</f>
        <v>-27.216699999999999</v>
      </c>
      <c r="F3230" t="s">
        <v>5321</v>
      </c>
      <c r="G3230" t="s">
        <v>39</v>
      </c>
      <c r="H3230">
        <v>2004</v>
      </c>
      <c r="I3230">
        <v>27.600000381469702</v>
      </c>
      <c r="J3230">
        <v>13.946452498436001</v>
      </c>
      <c r="K3230">
        <v>57</v>
      </c>
      <c r="L3230">
        <v>24.156689283010099</v>
      </c>
      <c r="M3230">
        <v>39.099998474121101</v>
      </c>
      <c r="N3230">
        <v>14.914864540100099</v>
      </c>
      <c r="O3230">
        <v>24.1851358413696</v>
      </c>
      <c r="P3230">
        <v>26.799999237060501</v>
      </c>
      <c r="Q3230">
        <v>26.600000381469702</v>
      </c>
      <c r="R3230">
        <v>30.899999618530298</v>
      </c>
      <c r="S3230">
        <v>24.700000762939499</v>
      </c>
      <c r="T3230">
        <v>856.45608108108104</v>
      </c>
      <c r="U3230">
        <v>253.14020270270299</v>
      </c>
      <c r="V3230">
        <v>0</v>
      </c>
      <c r="W3230">
        <v>127.288851351351</v>
      </c>
      <c r="X3230">
        <v>650.99155405405395</v>
      </c>
      <c r="Y3230">
        <v>0.61317567567567599</v>
      </c>
      <c r="Z3230">
        <v>137.85135135135101</v>
      </c>
      <c r="AA3230">
        <v>4</v>
      </c>
      <c r="AB3230">
        <v>0.19527196884155301</v>
      </c>
      <c r="AC3230">
        <v>0.14935498590568499</v>
      </c>
      <c r="AD3230">
        <v>0.86859923057459498</v>
      </c>
      <c r="AE3230">
        <v>0.24518197774887099</v>
      </c>
      <c r="AF3230">
        <v>53.403716216216203</v>
      </c>
      <c r="AG3230">
        <f>IFERROR(AH3230*0.1, "N/A")</f>
        <v>5.9246621621621607</v>
      </c>
      <c r="AH3230">
        <v>59.2466216216216</v>
      </c>
      <c r="AI3230">
        <v>201.65056919407201</v>
      </c>
      <c r="AJ3230">
        <v>25</v>
      </c>
      <c r="AK3230">
        <v>49.2466216216216</v>
      </c>
    </row>
    <row r="3231" spans="1:37" x14ac:dyDescent="0.3">
      <c r="A3231">
        <v>3230</v>
      </c>
      <c r="B3231">
        <v>7.6</v>
      </c>
      <c r="C3231">
        <v>-13.7166</v>
      </c>
      <c r="D3231">
        <v>13.5</v>
      </c>
      <c r="E3231">
        <f>-13.7166-13.5</f>
        <v>-27.2166</v>
      </c>
      <c r="F3231" t="s">
        <v>5322</v>
      </c>
      <c r="G3231" t="s">
        <v>39</v>
      </c>
      <c r="H3231">
        <v>1996</v>
      </c>
      <c r="I3231">
        <v>27.600000381469702</v>
      </c>
      <c r="J3231">
        <v>13.9417227506638</v>
      </c>
      <c r="K3231">
        <v>57</v>
      </c>
      <c r="L3231">
        <v>24.1477028228141</v>
      </c>
      <c r="M3231">
        <v>39.099998474121101</v>
      </c>
      <c r="N3231">
        <v>14.9195942878723</v>
      </c>
      <c r="O3231">
        <v>24.180406093597401</v>
      </c>
      <c r="P3231">
        <v>26.799999237060501</v>
      </c>
      <c r="Q3231">
        <v>26.600000381469702</v>
      </c>
      <c r="R3231">
        <v>30.899999618530298</v>
      </c>
      <c r="S3231">
        <v>24.700000762939499</v>
      </c>
      <c r="T3231">
        <v>856.28716216216196</v>
      </c>
      <c r="U3231">
        <v>253.06587837837799</v>
      </c>
      <c r="V3231">
        <v>0</v>
      </c>
      <c r="W3231">
        <v>127.261824324324</v>
      </c>
      <c r="X3231">
        <v>650.86993243243296</v>
      </c>
      <c r="Y3231">
        <v>0.61317567567567599</v>
      </c>
      <c r="Z3231">
        <v>137.80405405405401</v>
      </c>
      <c r="AA3231">
        <v>4</v>
      </c>
      <c r="AB3231">
        <v>0.229900315001204</v>
      </c>
      <c r="AC3231">
        <v>0.137273993849679</v>
      </c>
      <c r="AD3231">
        <v>0.86435371083585</v>
      </c>
      <c r="AE3231">
        <v>0.24518197774887099</v>
      </c>
      <c r="AF3231">
        <v>53.403716216216203</v>
      </c>
      <c r="AG3231">
        <f>IFERROR(AH3231*0.1, "N/A")</f>
        <v>5.9320945945946004</v>
      </c>
      <c r="AH3231">
        <v>59.320945945946001</v>
      </c>
      <c r="AI3231">
        <v>213.277649956781</v>
      </c>
      <c r="AJ3231">
        <v>25</v>
      </c>
      <c r="AK3231">
        <v>49.320945945946001</v>
      </c>
    </row>
    <row r="3232" spans="1:37" x14ac:dyDescent="0.3">
      <c r="A3232">
        <v>3231</v>
      </c>
      <c r="B3232">
        <v>0</v>
      </c>
      <c r="C3232">
        <v>-13.7166</v>
      </c>
      <c r="D3232">
        <v>13.5</v>
      </c>
      <c r="E3232">
        <f>-13.7166-13.5</f>
        <v>-27.2166</v>
      </c>
      <c r="F3232" t="s">
        <v>5323</v>
      </c>
      <c r="G3232" t="s">
        <v>37</v>
      </c>
      <c r="H3232">
        <v>1996</v>
      </c>
      <c r="I3232">
        <v>27.600000381469702</v>
      </c>
      <c r="J3232">
        <v>13.9417227506638</v>
      </c>
      <c r="K3232">
        <v>57</v>
      </c>
      <c r="L3232">
        <v>24.1477028228141</v>
      </c>
      <c r="M3232">
        <v>39.099998474121101</v>
      </c>
      <c r="N3232">
        <v>14.9195942878723</v>
      </c>
      <c r="O3232">
        <v>24.180406093597401</v>
      </c>
      <c r="P3232">
        <v>26.799999237060501</v>
      </c>
      <c r="Q3232">
        <v>26.600000381469702</v>
      </c>
      <c r="R3232">
        <v>30.899999618530298</v>
      </c>
      <c r="S3232">
        <v>24.700000762939499</v>
      </c>
      <c r="T3232">
        <v>856.28716216216196</v>
      </c>
      <c r="U3232">
        <v>253.06587837837799</v>
      </c>
      <c r="V3232">
        <v>0</v>
      </c>
      <c r="W3232">
        <v>127.261824324324</v>
      </c>
      <c r="X3232">
        <v>650.86993243243296</v>
      </c>
      <c r="Y3232">
        <v>0.61317567567567599</v>
      </c>
      <c r="Z3232">
        <v>137.80405405405401</v>
      </c>
      <c r="AA3232">
        <v>4</v>
      </c>
      <c r="AB3232">
        <v>0.229900315001204</v>
      </c>
      <c r="AC3232">
        <v>0.137273993849679</v>
      </c>
      <c r="AD3232">
        <v>0.86435371083585</v>
      </c>
      <c r="AE3232">
        <v>0.24518197774887099</v>
      </c>
      <c r="AF3232">
        <v>53.403716216216203</v>
      </c>
      <c r="AG3232">
        <f>IFERROR(AH3232*0.1, "N/A")</f>
        <v>5.9320945945946004</v>
      </c>
      <c r="AH3232">
        <v>59.320945945946001</v>
      </c>
      <c r="AI3232">
        <v>213.277649956781</v>
      </c>
      <c r="AJ3232">
        <v>25</v>
      </c>
      <c r="AK3232">
        <v>49.320945945946001</v>
      </c>
    </row>
    <row r="3233" spans="1:37" x14ac:dyDescent="0.3">
      <c r="A3233">
        <v>3232</v>
      </c>
      <c r="B3233">
        <v>17</v>
      </c>
      <c r="C3233">
        <v>-13.868</v>
      </c>
      <c r="D3233">
        <v>13.535</v>
      </c>
      <c r="E3233">
        <f>-13.868-13.535</f>
        <v>-27.402999999999999</v>
      </c>
      <c r="F3233" t="s">
        <v>5324</v>
      </c>
      <c r="G3233" t="s">
        <v>39</v>
      </c>
      <c r="H3233">
        <v>1987</v>
      </c>
      <c r="I3233">
        <v>27.600000381469702</v>
      </c>
      <c r="J3233">
        <v>14.1000003814697</v>
      </c>
      <c r="K3233">
        <v>57</v>
      </c>
      <c r="L3233">
        <v>24.370000839233398</v>
      </c>
      <c r="M3233">
        <v>39.200000762939503</v>
      </c>
      <c r="N3233">
        <v>14.699999809265099</v>
      </c>
      <c r="O3233">
        <v>24.5</v>
      </c>
      <c r="P3233">
        <v>26.799999237060501</v>
      </c>
      <c r="Q3233">
        <v>26.5</v>
      </c>
      <c r="R3233">
        <v>30.799999237060501</v>
      </c>
      <c r="S3233">
        <v>24.600000381469702</v>
      </c>
      <c r="T3233">
        <v>833</v>
      </c>
      <c r="U3233">
        <v>250</v>
      </c>
      <c r="V3233">
        <v>0</v>
      </c>
      <c r="W3233">
        <v>128</v>
      </c>
      <c r="X3233">
        <v>638</v>
      </c>
      <c r="Y3233">
        <v>1</v>
      </c>
      <c r="Z3233">
        <v>130</v>
      </c>
      <c r="AA3233">
        <v>4</v>
      </c>
      <c r="AB3233">
        <v>6.2585162907386502</v>
      </c>
      <c r="AC3233">
        <v>8.2869282411646997E-2</v>
      </c>
      <c r="AD3233">
        <v>1.5066437649887701</v>
      </c>
      <c r="AE3233">
        <v>0.57246643304824796</v>
      </c>
      <c r="AF3233">
        <v>17.333895446880302</v>
      </c>
      <c r="AG3233">
        <f>IFERROR(AH3233*0.1, "N/A")</f>
        <v>6</v>
      </c>
      <c r="AH3233">
        <v>60</v>
      </c>
      <c r="AI3233">
        <v>90.837465591816596</v>
      </c>
      <c r="AJ3233">
        <v>17.4148397976391</v>
      </c>
      <c r="AK3233">
        <v>63.755480607082603</v>
      </c>
    </row>
    <row r="3234" spans="1:37" x14ac:dyDescent="0.3">
      <c r="A3234">
        <v>3233</v>
      </c>
      <c r="B3234">
        <v>2</v>
      </c>
      <c r="C3234">
        <v>-16.426901000000001</v>
      </c>
      <c r="D3234">
        <v>13.607799999999999</v>
      </c>
      <c r="E3234">
        <f>-16.426901-13.6078</f>
        <v>-30.034700999999998</v>
      </c>
      <c r="F3234" t="s">
        <v>5325</v>
      </c>
      <c r="G3234" t="s">
        <v>39</v>
      </c>
      <c r="H3234">
        <v>2003</v>
      </c>
      <c r="I3234">
        <v>26.898313271456601</v>
      </c>
      <c r="J3234">
        <v>12.699999809265099</v>
      </c>
      <c r="K3234">
        <v>68</v>
      </c>
      <c r="L3234">
        <v>11.7615179380317</v>
      </c>
      <c r="M3234">
        <v>35</v>
      </c>
      <c r="N3234">
        <v>16.5</v>
      </c>
      <c r="O3234">
        <v>18.5</v>
      </c>
      <c r="P3234">
        <v>27.5</v>
      </c>
      <c r="Q3234">
        <v>26.399999618530298</v>
      </c>
      <c r="R3234">
        <v>27.700000762939499</v>
      </c>
      <c r="S3234">
        <v>25</v>
      </c>
      <c r="T3234">
        <v>773.98313659359201</v>
      </c>
      <c r="U3234">
        <v>286</v>
      </c>
      <c r="V3234">
        <v>0</v>
      </c>
      <c r="W3234">
        <v>146</v>
      </c>
      <c r="X3234">
        <v>660.98313659359201</v>
      </c>
      <c r="Y3234">
        <v>0</v>
      </c>
      <c r="Z3234">
        <v>262.30860033726799</v>
      </c>
      <c r="AA3234">
        <v>2</v>
      </c>
      <c r="AB3234">
        <v>7.4045547015751403</v>
      </c>
      <c r="AC3234">
        <v>8.3966289880929995E-3</v>
      </c>
      <c r="AD3234">
        <v>1.4262517381076301</v>
      </c>
      <c r="AE3234">
        <v>0.77852928638458296</v>
      </c>
      <c r="AF3234">
        <v>36.895446880269802</v>
      </c>
      <c r="AG3234">
        <f>IFERROR(AH3234*0.1, "N/A")</f>
        <v>4.5920741989882004</v>
      </c>
      <c r="AH3234">
        <v>45.920741989882004</v>
      </c>
      <c r="AI3234">
        <v>264.82889684255798</v>
      </c>
      <c r="AJ3234">
        <v>15.456998313659399</v>
      </c>
      <c r="AK3234">
        <v>71.487352445193906</v>
      </c>
    </row>
    <row r="3235" spans="1:37" x14ac:dyDescent="0.3">
      <c r="A3235">
        <v>3234</v>
      </c>
      <c r="B3235">
        <v>10</v>
      </c>
      <c r="C3235">
        <v>-15.62</v>
      </c>
      <c r="D3235">
        <v>13.61</v>
      </c>
      <c r="E3235">
        <f>-15.62-13.61</f>
        <v>-29.229999999999997</v>
      </c>
      <c r="F3235" t="s">
        <v>5326</v>
      </c>
      <c r="G3235" t="s">
        <v>39</v>
      </c>
      <c r="H3235">
        <v>2003</v>
      </c>
      <c r="I3235">
        <v>27.399999618530298</v>
      </c>
      <c r="J3235">
        <v>14.699999809265099</v>
      </c>
      <c r="K3235">
        <v>61</v>
      </c>
      <c r="L3235">
        <v>19.200000762939499</v>
      </c>
      <c r="M3235">
        <v>38.900001525878899</v>
      </c>
      <c r="N3235">
        <v>14.8999996185303</v>
      </c>
      <c r="O3235">
        <v>24</v>
      </c>
      <c r="P3235">
        <v>27.399999618530298</v>
      </c>
      <c r="Q3235">
        <v>26</v>
      </c>
      <c r="R3235">
        <v>29.899999618530298</v>
      </c>
      <c r="S3235">
        <v>24.700000762939499</v>
      </c>
      <c r="T3235">
        <v>694</v>
      </c>
      <c r="U3235">
        <v>228</v>
      </c>
      <c r="V3235">
        <v>0</v>
      </c>
      <c r="W3235">
        <v>139</v>
      </c>
      <c r="X3235">
        <v>573</v>
      </c>
      <c r="Y3235">
        <v>0</v>
      </c>
      <c r="Z3235">
        <v>71</v>
      </c>
      <c r="AA3235">
        <v>0</v>
      </c>
      <c r="AB3235">
        <v>0.33456956113972902</v>
      </c>
      <c r="AC3235">
        <v>0.119165688885052</v>
      </c>
      <c r="AD3235">
        <v>0.81169446875634899</v>
      </c>
      <c r="AE3235">
        <v>0.75631493330001798</v>
      </c>
      <c r="AF3235">
        <v>34.347386172006701</v>
      </c>
      <c r="AG3235">
        <f>IFERROR(AH3235*0.1, "N/A")</f>
        <v>4.6569983136593605</v>
      </c>
      <c r="AH3235">
        <v>46.569983136593599</v>
      </c>
      <c r="AI3235">
        <v>250.519550831684</v>
      </c>
      <c r="AJ3235">
        <v>13.178752107925799</v>
      </c>
      <c r="AK3235">
        <v>76.814502529510904</v>
      </c>
    </row>
    <row r="3236" spans="1:37" x14ac:dyDescent="0.3">
      <c r="A3236">
        <v>3235</v>
      </c>
      <c r="B3236">
        <v>64</v>
      </c>
      <c r="C3236">
        <v>-14.29</v>
      </c>
      <c r="D3236">
        <v>13.66</v>
      </c>
      <c r="E3236">
        <f>-14.29-13.66</f>
        <v>-27.95</v>
      </c>
      <c r="F3236" t="s">
        <v>5327</v>
      </c>
      <c r="G3236" t="s">
        <v>39</v>
      </c>
      <c r="H3236">
        <v>2003</v>
      </c>
      <c r="I3236">
        <v>27.399999618530298</v>
      </c>
      <c r="J3236">
        <v>14.6000003814697</v>
      </c>
      <c r="K3236">
        <v>58</v>
      </c>
      <c r="L3236">
        <v>23.0100002288818</v>
      </c>
      <c r="M3236">
        <v>39.200000762939503</v>
      </c>
      <c r="N3236">
        <v>14.199999809265099</v>
      </c>
      <c r="O3236">
        <v>25</v>
      </c>
      <c r="P3236">
        <v>26.899999618530298</v>
      </c>
      <c r="Q3236">
        <v>26.299999237060501</v>
      </c>
      <c r="R3236">
        <v>30.399999618530298</v>
      </c>
      <c r="S3236">
        <v>24.5</v>
      </c>
      <c r="T3236">
        <v>746</v>
      </c>
      <c r="U3236">
        <v>217</v>
      </c>
      <c r="V3236">
        <v>0</v>
      </c>
      <c r="W3236">
        <v>128</v>
      </c>
      <c r="X3236">
        <v>578</v>
      </c>
      <c r="Y3236">
        <v>0</v>
      </c>
      <c r="Z3236">
        <v>99</v>
      </c>
      <c r="AA3236">
        <v>4</v>
      </c>
      <c r="AB3236">
        <v>6.3880475779575097</v>
      </c>
      <c r="AC3236">
        <v>9.8049776741501005E-2</v>
      </c>
      <c r="AD3236">
        <v>3.2114651652699</v>
      </c>
      <c r="AE3236">
        <v>0.50803017616271995</v>
      </c>
      <c r="AF3236">
        <v>18.952861952862001</v>
      </c>
      <c r="AG3236">
        <f>IFERROR(AH3236*0.1, "N/A")</f>
        <v>5.7223905723905704</v>
      </c>
      <c r="AH3236">
        <v>57.223905723905702</v>
      </c>
      <c r="AI3236">
        <v>121.348525821159</v>
      </c>
      <c r="AJ3236">
        <v>15.685185185185199</v>
      </c>
      <c r="AK3236">
        <v>63.436026936026899</v>
      </c>
    </row>
    <row r="3237" spans="1:37" x14ac:dyDescent="0.3">
      <c r="A3237">
        <v>3236</v>
      </c>
      <c r="B3237">
        <v>2.2999999999999998</v>
      </c>
      <c r="C3237">
        <v>-14.283300000000001</v>
      </c>
      <c r="D3237">
        <v>13.666700000000001</v>
      </c>
      <c r="E3237">
        <f>-14.2833-13.6667</f>
        <v>-27.950000000000003</v>
      </c>
      <c r="F3237" t="s">
        <v>5328</v>
      </c>
      <c r="G3237" t="s">
        <v>39</v>
      </c>
      <c r="H3237">
        <v>1999</v>
      </c>
      <c r="I3237">
        <v>27.4587836265564</v>
      </c>
      <c r="J3237">
        <v>14.6000003814697</v>
      </c>
      <c r="K3237">
        <v>58</v>
      </c>
      <c r="L3237">
        <v>22.844678836899799</v>
      </c>
      <c r="M3237">
        <v>39.200000762939503</v>
      </c>
      <c r="N3237">
        <v>14.317567264711499</v>
      </c>
      <c r="O3237">
        <v>24.882431983947701</v>
      </c>
      <c r="P3237">
        <v>26.899999618530298</v>
      </c>
      <c r="Q3237">
        <v>26.374154925346399</v>
      </c>
      <c r="R3237">
        <v>30.444763302803</v>
      </c>
      <c r="S3237">
        <v>24.558784008026102</v>
      </c>
      <c r="T3237">
        <v>746.29391891891896</v>
      </c>
      <c r="U3237">
        <v>217</v>
      </c>
      <c r="V3237">
        <v>0</v>
      </c>
      <c r="W3237">
        <v>128.29391891891899</v>
      </c>
      <c r="X3237">
        <v>578.29391891891896</v>
      </c>
      <c r="Y3237">
        <v>0</v>
      </c>
      <c r="Z3237">
        <v>99</v>
      </c>
      <c r="AA3237">
        <v>4</v>
      </c>
      <c r="AB3237">
        <v>3.6608104995779098</v>
      </c>
      <c r="AC3237">
        <v>0.181428705087259</v>
      </c>
      <c r="AD3237">
        <v>2.86731253040803</v>
      </c>
      <c r="AE3237">
        <v>0.695874789679373</v>
      </c>
      <c r="AF3237">
        <v>9.1858108108108105</v>
      </c>
      <c r="AG3237">
        <f>IFERROR(AH3237*0.1, "N/A")</f>
        <v>5.8778716216216207</v>
      </c>
      <c r="AH3237">
        <v>58.778716216216203</v>
      </c>
      <c r="AI3237">
        <v>165.24316811561599</v>
      </c>
      <c r="AJ3237">
        <v>13.5118243243243</v>
      </c>
      <c r="AK3237">
        <v>68.616554054054006</v>
      </c>
    </row>
    <row r="3238" spans="1:37" x14ac:dyDescent="0.3">
      <c r="A3238">
        <v>3237</v>
      </c>
      <c r="B3238">
        <v>0</v>
      </c>
      <c r="C3238">
        <v>-14.283300000000001</v>
      </c>
      <c r="D3238">
        <v>13.666700000000001</v>
      </c>
      <c r="E3238">
        <f>-14.2833-13.6667</f>
        <v>-27.950000000000003</v>
      </c>
      <c r="F3238" t="s">
        <v>5329</v>
      </c>
      <c r="G3238" t="s">
        <v>37</v>
      </c>
      <c r="H3238">
        <v>1999</v>
      </c>
      <c r="I3238">
        <v>27.4587836265564</v>
      </c>
      <c r="J3238">
        <v>14.6000003814697</v>
      </c>
      <c r="K3238">
        <v>58</v>
      </c>
      <c r="L3238">
        <v>22.844678836899799</v>
      </c>
      <c r="M3238">
        <v>39.200000762939503</v>
      </c>
      <c r="N3238">
        <v>14.317567264711499</v>
      </c>
      <c r="O3238">
        <v>24.882431983947701</v>
      </c>
      <c r="P3238">
        <v>26.899999618530298</v>
      </c>
      <c r="Q3238">
        <v>26.374154925346399</v>
      </c>
      <c r="R3238">
        <v>30.444763302803</v>
      </c>
      <c r="S3238">
        <v>24.558784008026102</v>
      </c>
      <c r="T3238">
        <v>746.29391891891896</v>
      </c>
      <c r="U3238">
        <v>217</v>
      </c>
      <c r="V3238">
        <v>0</v>
      </c>
      <c r="W3238">
        <v>128.29391891891899</v>
      </c>
      <c r="X3238">
        <v>578.29391891891896</v>
      </c>
      <c r="Y3238">
        <v>0</v>
      </c>
      <c r="Z3238">
        <v>99</v>
      </c>
      <c r="AA3238">
        <v>4</v>
      </c>
      <c r="AB3238">
        <v>3.6608104995779098</v>
      </c>
      <c r="AC3238">
        <v>0.181428705087259</v>
      </c>
      <c r="AD3238">
        <v>2.86731253040803</v>
      </c>
      <c r="AE3238">
        <v>0.695874789679373</v>
      </c>
      <c r="AF3238">
        <v>9.1858108108108105</v>
      </c>
      <c r="AG3238">
        <f>IFERROR(AH3238*0.1, "N/A")</f>
        <v>5.8778716216216207</v>
      </c>
      <c r="AH3238">
        <v>58.778716216216203</v>
      </c>
      <c r="AI3238">
        <v>165.24316811561599</v>
      </c>
      <c r="AJ3238">
        <v>13.5118243243243</v>
      </c>
      <c r="AK3238">
        <v>68.616554054054006</v>
      </c>
    </row>
    <row r="3239" spans="1:37" x14ac:dyDescent="0.3">
      <c r="A3239">
        <v>3238</v>
      </c>
      <c r="B3239">
        <v>25.9</v>
      </c>
      <c r="C3239">
        <v>-14.25</v>
      </c>
      <c r="D3239">
        <v>13.666700000000001</v>
      </c>
      <c r="E3239">
        <f>-14.25-13.6667</f>
        <v>-27.916699999999999</v>
      </c>
      <c r="F3239" t="s">
        <v>5330</v>
      </c>
      <c r="G3239" t="s">
        <v>39</v>
      </c>
      <c r="H3239">
        <v>2004</v>
      </c>
      <c r="I3239">
        <v>27.386654973030101</v>
      </c>
      <c r="J3239">
        <v>14.537837982177701</v>
      </c>
      <c r="K3239">
        <v>58</v>
      </c>
      <c r="L3239">
        <v>23.002584431622498</v>
      </c>
      <c r="M3239">
        <v>39.186655862911302</v>
      </c>
      <c r="N3239">
        <v>14.3706078948201</v>
      </c>
      <c r="O3239">
        <v>24.8160465955734</v>
      </c>
      <c r="P3239">
        <v>26.824492828265999</v>
      </c>
      <c r="Q3239">
        <v>26.357263223545001</v>
      </c>
      <c r="R3239">
        <v>30.486655354499799</v>
      </c>
      <c r="S3239">
        <v>24.5572637319565</v>
      </c>
      <c r="T3239">
        <v>748.90033783783804</v>
      </c>
      <c r="U3239">
        <v>217</v>
      </c>
      <c r="V3239">
        <v>0</v>
      </c>
      <c r="W3239">
        <v>128.70608108108101</v>
      </c>
      <c r="X3239">
        <v>579.03378378378397</v>
      </c>
      <c r="Y3239">
        <v>0</v>
      </c>
      <c r="Z3239">
        <v>100.86655405405401</v>
      </c>
      <c r="AA3239">
        <v>4</v>
      </c>
      <c r="AB3239">
        <v>7.5956074450467099</v>
      </c>
      <c r="AC3239">
        <v>5.0452174156324997E-2</v>
      </c>
      <c r="AD3239">
        <v>1.8940258648347199</v>
      </c>
      <c r="AE3239">
        <v>0.64424352065936996</v>
      </c>
      <c r="AF3239">
        <v>21.339527027027</v>
      </c>
      <c r="AG3239">
        <f>IFERROR(AH3239*0.1, "N/A")</f>
        <v>5.3140202702702704</v>
      </c>
      <c r="AH3239">
        <v>53.140202702702702</v>
      </c>
      <c r="AI3239">
        <v>193.67152973123501</v>
      </c>
      <c r="AJ3239">
        <v>18.331081081081098</v>
      </c>
      <c r="AK3239">
        <v>60.7466216216216</v>
      </c>
    </row>
    <row r="3240" spans="1:37" x14ac:dyDescent="0.3">
      <c r="A3240">
        <v>3239</v>
      </c>
      <c r="B3240">
        <v>20</v>
      </c>
      <c r="C3240">
        <v>-15.783300000000001</v>
      </c>
      <c r="D3240">
        <v>13.666700000000001</v>
      </c>
      <c r="E3240">
        <f>-15.7833-13.6667</f>
        <v>-29.450000000000003</v>
      </c>
      <c r="F3240" t="s">
        <v>5331</v>
      </c>
      <c r="G3240" t="s">
        <v>39</v>
      </c>
      <c r="H3240">
        <v>2003</v>
      </c>
      <c r="I3240">
        <v>27.4496619701386</v>
      </c>
      <c r="J3240">
        <v>14.800000190734901</v>
      </c>
      <c r="K3240">
        <v>61.3141891891892</v>
      </c>
      <c r="L3240">
        <v>19.384899049191901</v>
      </c>
      <c r="M3240">
        <v>38.827703772364401</v>
      </c>
      <c r="N3240">
        <v>14.959121465682999</v>
      </c>
      <c r="O3240">
        <v>23.868580579757701</v>
      </c>
      <c r="P3240">
        <v>27.459121465683001</v>
      </c>
      <c r="Q3240">
        <v>26.059121847152699</v>
      </c>
      <c r="R3240">
        <v>29.918242931365999</v>
      </c>
      <c r="S3240">
        <v>24.659122228622401</v>
      </c>
      <c r="T3240">
        <v>697.125</v>
      </c>
      <c r="U3240">
        <v>234.11486486486501</v>
      </c>
      <c r="V3240">
        <v>0</v>
      </c>
      <c r="W3240">
        <v>139.19932432432401</v>
      </c>
      <c r="X3240">
        <v>579.71621621621603</v>
      </c>
      <c r="Y3240">
        <v>0</v>
      </c>
      <c r="Z3240">
        <v>65</v>
      </c>
      <c r="AA3240">
        <v>1</v>
      </c>
      <c r="AB3240">
        <v>5.0640200811463396</v>
      </c>
      <c r="AC3240">
        <v>1.1749791189072E-2</v>
      </c>
      <c r="AD3240">
        <v>1.6017621128341599</v>
      </c>
      <c r="AE3240">
        <v>0.60031527743951696</v>
      </c>
      <c r="AF3240">
        <v>14.1841216216216</v>
      </c>
      <c r="AG3240">
        <f>IFERROR(AH3240*0.1, "N/A")</f>
        <v>5.1000000000000005</v>
      </c>
      <c r="AH3240">
        <v>51</v>
      </c>
      <c r="AI3240">
        <v>153.88332031224201</v>
      </c>
      <c r="AJ3240">
        <v>14.7449324324324</v>
      </c>
      <c r="AK3240">
        <v>72.297297297297305</v>
      </c>
    </row>
    <row r="3241" spans="1:37" x14ac:dyDescent="0.3">
      <c r="A3241">
        <v>3240</v>
      </c>
      <c r="B3241">
        <v>30</v>
      </c>
      <c r="C3241">
        <v>-15.68</v>
      </c>
      <c r="D3241">
        <v>13.68</v>
      </c>
      <c r="E3241">
        <f>-15.68-13.68</f>
        <v>-29.36</v>
      </c>
      <c r="F3241" t="s">
        <v>5332</v>
      </c>
      <c r="G3241" t="s">
        <v>39</v>
      </c>
      <c r="H3241">
        <v>2003</v>
      </c>
      <c r="I3241">
        <v>27.5</v>
      </c>
      <c r="J3241">
        <v>14.8999996185303</v>
      </c>
      <c r="K3241">
        <v>62</v>
      </c>
      <c r="L3241">
        <v>19.350000381469702</v>
      </c>
      <c r="M3241">
        <v>39</v>
      </c>
      <c r="N3241">
        <v>15</v>
      </c>
      <c r="O3241">
        <v>24</v>
      </c>
      <c r="P3241">
        <v>27.5</v>
      </c>
      <c r="Q3241">
        <v>26.100000381469702</v>
      </c>
      <c r="R3241">
        <v>29.899999618530298</v>
      </c>
      <c r="S3241">
        <v>24.700000762939499</v>
      </c>
      <c r="T3241">
        <v>678</v>
      </c>
      <c r="U3241">
        <v>225</v>
      </c>
      <c r="V3241">
        <v>0</v>
      </c>
      <c r="W3241">
        <v>139</v>
      </c>
      <c r="X3241">
        <v>562</v>
      </c>
      <c r="Y3241">
        <v>0</v>
      </c>
      <c r="Z3241">
        <v>66</v>
      </c>
      <c r="AA3241">
        <v>1</v>
      </c>
      <c r="AB3241">
        <v>0</v>
      </c>
      <c r="AC3241">
        <v>3.7479092918887999E-2</v>
      </c>
      <c r="AD3241">
        <v>0</v>
      </c>
      <c r="AE3241">
        <v>0.45984810590744002</v>
      </c>
      <c r="AF3241">
        <v>0</v>
      </c>
      <c r="AG3241" t="str">
        <f>IFERROR(AH3241*0.1, "N/A")</f>
        <v>N/A</v>
      </c>
      <c r="AH3241" t="s">
        <v>729</v>
      </c>
      <c r="AI3241">
        <v>0</v>
      </c>
      <c r="AJ3241" t="s">
        <v>729</v>
      </c>
      <c r="AK3241" t="s">
        <v>729</v>
      </c>
    </row>
    <row r="3242" spans="1:37" x14ac:dyDescent="0.3">
      <c r="A3242">
        <v>3241</v>
      </c>
      <c r="B3242">
        <v>58</v>
      </c>
      <c r="C3242">
        <v>-13.166700000000001</v>
      </c>
      <c r="D3242">
        <v>13.683299999999999</v>
      </c>
      <c r="E3242">
        <f>-13.1667-13.6833</f>
        <v>-26.85</v>
      </c>
      <c r="F3242" t="s">
        <v>5333</v>
      </c>
      <c r="G3242" t="s">
        <v>39</v>
      </c>
      <c r="H3242">
        <v>2003</v>
      </c>
      <c r="I3242">
        <v>28.4851099262786</v>
      </c>
      <c r="J3242">
        <v>13.800000190734901</v>
      </c>
      <c r="K3242">
        <v>58</v>
      </c>
      <c r="L3242">
        <v>23.8624700104121</v>
      </c>
      <c r="M3242">
        <v>40.028933568654303</v>
      </c>
      <c r="N3242">
        <v>16.4851099262786</v>
      </c>
      <c r="O3242">
        <v>23.543824194248199</v>
      </c>
      <c r="P3242">
        <v>27.4851099262786</v>
      </c>
      <c r="Q3242">
        <v>27.4851099262786</v>
      </c>
      <c r="R3242">
        <v>31.899999618530298</v>
      </c>
      <c r="S3242">
        <v>25.885109544808898</v>
      </c>
      <c r="T3242">
        <v>763.98815566835901</v>
      </c>
      <c r="U3242">
        <v>209</v>
      </c>
      <c r="V3242">
        <v>0</v>
      </c>
      <c r="W3242">
        <v>126</v>
      </c>
      <c r="X3242">
        <v>578.35363790186102</v>
      </c>
      <c r="Y3242">
        <v>0</v>
      </c>
      <c r="Z3242">
        <v>120</v>
      </c>
      <c r="AA3242">
        <v>2</v>
      </c>
      <c r="AB3242">
        <v>1.1133667482740801</v>
      </c>
      <c r="AC3242">
        <v>0.47324064514535102</v>
      </c>
      <c r="AD3242">
        <v>0.67626881670023997</v>
      </c>
      <c r="AE3242">
        <v>0.33842238783836398</v>
      </c>
      <c r="AF3242">
        <v>32.590524534686999</v>
      </c>
      <c r="AG3242">
        <f>IFERROR(AH3242*0.1, "N/A")</f>
        <v>5.7570219966159106</v>
      </c>
      <c r="AH3242">
        <v>57.570219966159101</v>
      </c>
      <c r="AI3242">
        <v>164.92928707942499</v>
      </c>
      <c r="AJ3242">
        <v>21.429780033840899</v>
      </c>
      <c r="AK3242">
        <v>53.429780033840899</v>
      </c>
    </row>
    <row r="3243" spans="1:37" x14ac:dyDescent="0.3">
      <c r="A3243">
        <v>3242</v>
      </c>
      <c r="B3243">
        <v>4</v>
      </c>
      <c r="C3243">
        <v>-16.500298999999998</v>
      </c>
      <c r="D3243">
        <v>13.683299999999999</v>
      </c>
      <c r="E3243">
        <f>-16.500299-13.6833</f>
        <v>-30.183598999999997</v>
      </c>
      <c r="F3243" t="s">
        <v>5334</v>
      </c>
      <c r="G3243" t="s">
        <v>39</v>
      </c>
      <c r="H3243">
        <v>2003</v>
      </c>
      <c r="I3243">
        <v>26.902871251106301</v>
      </c>
      <c r="J3243">
        <v>12.699999809265099</v>
      </c>
      <c r="K3243">
        <v>68.163851351351397</v>
      </c>
      <c r="L3243">
        <v>12.004155457019801</v>
      </c>
      <c r="M3243">
        <v>34.986486692686299</v>
      </c>
      <c r="N3243">
        <v>16.469087719917301</v>
      </c>
      <c r="O3243">
        <v>18.517398715019201</v>
      </c>
      <c r="P3243">
        <v>27.6337842941284</v>
      </c>
      <c r="Q3243">
        <v>26.352702140808098</v>
      </c>
      <c r="R3243">
        <v>27.833783149719199</v>
      </c>
      <c r="S3243">
        <v>25.033783912658699</v>
      </c>
      <c r="T3243">
        <v>775.89527027026998</v>
      </c>
      <c r="U3243">
        <v>285.88006756756801</v>
      </c>
      <c r="V3243">
        <v>0</v>
      </c>
      <c r="W3243">
        <v>146.353040540541</v>
      </c>
      <c r="X3243">
        <v>661.89527027026998</v>
      </c>
      <c r="Y3243">
        <v>0</v>
      </c>
      <c r="Z3243">
        <v>505.23310810810801</v>
      </c>
      <c r="AA3243">
        <v>2</v>
      </c>
      <c r="AB3243">
        <v>9.14476365012092</v>
      </c>
      <c r="AC3243">
        <v>4.0174125560018002E-2</v>
      </c>
      <c r="AD3243">
        <v>1.8355573153475699</v>
      </c>
      <c r="AE3243">
        <v>0.52311742305755604</v>
      </c>
      <c r="AF3243">
        <v>11.3496621621622</v>
      </c>
      <c r="AG3243">
        <f>IFERROR(AH3243*0.1, "N/A")</f>
        <v>6.1635135135135108</v>
      </c>
      <c r="AH3243">
        <v>61.635135135135101</v>
      </c>
      <c r="AI3243">
        <v>254.20720355575199</v>
      </c>
      <c r="AJ3243">
        <v>23.581081081081098</v>
      </c>
      <c r="AK3243">
        <v>56.891891891891902</v>
      </c>
    </row>
    <row r="3244" spans="1:37" x14ac:dyDescent="0.3">
      <c r="A3244">
        <v>3243</v>
      </c>
      <c r="B3244">
        <v>54</v>
      </c>
      <c r="C3244">
        <v>-15.8</v>
      </c>
      <c r="D3244">
        <v>13.683299999999999</v>
      </c>
      <c r="E3244">
        <f>-15.8-13.6833</f>
        <v>-29.4833</v>
      </c>
      <c r="F3244" t="s">
        <v>5335</v>
      </c>
      <c r="G3244" t="s">
        <v>39</v>
      </c>
      <c r="H3244">
        <v>2003</v>
      </c>
      <c r="I3244">
        <v>27.393739019352001</v>
      </c>
      <c r="J3244">
        <v>14.800000190734901</v>
      </c>
      <c r="K3244">
        <v>62</v>
      </c>
      <c r="L3244">
        <v>19.194518274865601</v>
      </c>
      <c r="M3244">
        <v>38.6937400443502</v>
      </c>
      <c r="N3244">
        <v>14.9648052802949</v>
      </c>
      <c r="O3244">
        <v>23.728934331593798</v>
      </c>
      <c r="P3244">
        <v>27.493739400821699</v>
      </c>
      <c r="Q3244">
        <v>25.993739400821699</v>
      </c>
      <c r="R3244">
        <v>29.793738757293202</v>
      </c>
      <c r="S3244">
        <v>24.6648060432344</v>
      </c>
      <c r="T3244">
        <v>695.24196277495798</v>
      </c>
      <c r="U3244">
        <v>233.248730964467</v>
      </c>
      <c r="V3244">
        <v>0</v>
      </c>
      <c r="W3244">
        <v>139.648054145516</v>
      </c>
      <c r="X3244">
        <v>577.89001692047395</v>
      </c>
      <c r="Y3244">
        <v>0</v>
      </c>
      <c r="Z3244">
        <v>65</v>
      </c>
      <c r="AA3244">
        <v>1</v>
      </c>
      <c r="AB3244">
        <v>1.05143862690417</v>
      </c>
      <c r="AC3244">
        <v>0.87847641853587299</v>
      </c>
      <c r="AD3244">
        <v>1.0809582103730899</v>
      </c>
      <c r="AE3244">
        <v>0.71368944644928001</v>
      </c>
      <c r="AF3244">
        <v>12.8054145516074</v>
      </c>
      <c r="AG3244">
        <f>IFERROR(AH3244*0.1, "N/A")</f>
        <v>5.4634517766497508</v>
      </c>
      <c r="AH3244">
        <v>54.634517766497503</v>
      </c>
      <c r="AI3244">
        <v>175.52719215612501</v>
      </c>
      <c r="AJ3244">
        <v>11.619289340101499</v>
      </c>
      <c r="AK3244">
        <v>80.380710659898497</v>
      </c>
    </row>
    <row r="3245" spans="1:37" x14ac:dyDescent="0.3">
      <c r="A3245">
        <v>3244</v>
      </c>
      <c r="B3245">
        <v>30.299999</v>
      </c>
      <c r="C3245">
        <v>-13.585000000000001</v>
      </c>
      <c r="D3245">
        <v>13.722300000000001</v>
      </c>
      <c r="E3245">
        <f>-13.585-13.7223</f>
        <v>-27.307300000000001</v>
      </c>
      <c r="F3245" t="s">
        <v>5336</v>
      </c>
      <c r="G3245" t="s">
        <v>39</v>
      </c>
      <c r="H3245">
        <v>2004</v>
      </c>
      <c r="I3245">
        <v>28.299999237060501</v>
      </c>
      <c r="J3245">
        <v>13.8999996185303</v>
      </c>
      <c r="K3245">
        <v>59</v>
      </c>
      <c r="L3245">
        <v>23.870000839233398</v>
      </c>
      <c r="M3245">
        <v>39.900001525878899</v>
      </c>
      <c r="N3245">
        <v>16.399999618530298</v>
      </c>
      <c r="O3245">
        <v>23.5</v>
      </c>
      <c r="P3245">
        <v>27.100000381469702</v>
      </c>
      <c r="Q3245">
        <v>27.600000381469702</v>
      </c>
      <c r="R3245">
        <v>31.700000762939499</v>
      </c>
      <c r="S3245">
        <v>25.700000762939499</v>
      </c>
      <c r="T3245">
        <v>787</v>
      </c>
      <c r="U3245">
        <v>223</v>
      </c>
      <c r="V3245">
        <v>0</v>
      </c>
      <c r="W3245">
        <v>127</v>
      </c>
      <c r="X3245">
        <v>600</v>
      </c>
      <c r="Y3245">
        <v>0</v>
      </c>
      <c r="Z3245">
        <v>122</v>
      </c>
      <c r="AA3245">
        <v>3</v>
      </c>
      <c r="AB3245">
        <v>0.92705750024619205</v>
      </c>
      <c r="AC3245">
        <v>8.8531421560070003E-3</v>
      </c>
      <c r="AD3245">
        <v>0.81265798847214499</v>
      </c>
      <c r="AE3245">
        <v>0.68845792878575696</v>
      </c>
      <c r="AF3245">
        <v>53.835294117647102</v>
      </c>
      <c r="AG3245">
        <f>IFERROR(AH3245*0.1, "N/A")</f>
        <v>5.79428571428571</v>
      </c>
      <c r="AH3245">
        <v>57.9428571428571</v>
      </c>
      <c r="AI3245">
        <v>83.435259484042703</v>
      </c>
      <c r="AJ3245">
        <v>10.0302521008403</v>
      </c>
      <c r="AK3245">
        <v>76.667226890756297</v>
      </c>
    </row>
    <row r="3246" spans="1:37" x14ac:dyDescent="0.3">
      <c r="A3246">
        <v>3245</v>
      </c>
      <c r="B3246">
        <v>3.7</v>
      </c>
      <c r="C3246">
        <v>-13.96</v>
      </c>
      <c r="D3246">
        <v>13.73</v>
      </c>
      <c r="E3246">
        <f>-13.96-13.73</f>
        <v>-27.69</v>
      </c>
      <c r="F3246" t="s">
        <v>5337</v>
      </c>
      <c r="G3246" t="s">
        <v>39</v>
      </c>
      <c r="H3246">
        <v>1996</v>
      </c>
      <c r="I3246">
        <v>27.899999618530298</v>
      </c>
      <c r="J3246">
        <v>14.300000190734901</v>
      </c>
      <c r="K3246">
        <v>59</v>
      </c>
      <c r="L3246">
        <v>23.600000381469702</v>
      </c>
      <c r="M3246">
        <v>39.599998474121101</v>
      </c>
      <c r="N3246">
        <v>15.3999996185303</v>
      </c>
      <c r="O3246">
        <v>24.200000762939499</v>
      </c>
      <c r="P3246">
        <v>27</v>
      </c>
      <c r="Q3246">
        <v>27</v>
      </c>
      <c r="R3246">
        <v>31.100000381469702</v>
      </c>
      <c r="S3246">
        <v>25.100000381469702</v>
      </c>
      <c r="T3246">
        <v>768</v>
      </c>
      <c r="U3246">
        <v>226</v>
      </c>
      <c r="V3246">
        <v>0</v>
      </c>
      <c r="W3246">
        <v>128</v>
      </c>
      <c r="X3246">
        <v>593</v>
      </c>
      <c r="Y3246">
        <v>1</v>
      </c>
      <c r="Z3246">
        <v>112</v>
      </c>
      <c r="AA3246">
        <v>3</v>
      </c>
      <c r="AB3246">
        <v>2.00675639590701</v>
      </c>
      <c r="AC3246">
        <v>0.95877276500372399</v>
      </c>
      <c r="AD3246">
        <v>0.719018572840739</v>
      </c>
      <c r="AE3246">
        <v>0.66331606318016301</v>
      </c>
      <c r="AF3246">
        <v>16.2753378378378</v>
      </c>
      <c r="AG3246">
        <f>IFERROR(AH3246*0.1, "N/A")</f>
        <v>5.4949324324324307</v>
      </c>
      <c r="AH3246">
        <v>54.949324324324301</v>
      </c>
      <c r="AI3246">
        <v>122.99927265257401</v>
      </c>
      <c r="AJ3246">
        <v>12.9239864864865</v>
      </c>
      <c r="AK3246">
        <v>72.126689189189193</v>
      </c>
    </row>
    <row r="3247" spans="1:37" x14ac:dyDescent="0.3">
      <c r="A3247">
        <v>3246</v>
      </c>
      <c r="B3247">
        <v>0</v>
      </c>
      <c r="C3247">
        <v>-13.96</v>
      </c>
      <c r="D3247">
        <v>13.73</v>
      </c>
      <c r="E3247">
        <f>-13.96-13.73</f>
        <v>-27.69</v>
      </c>
      <c r="F3247" t="s">
        <v>5338</v>
      </c>
      <c r="G3247" t="s">
        <v>37</v>
      </c>
      <c r="H3247">
        <v>1996</v>
      </c>
      <c r="I3247">
        <v>27.899999618530298</v>
      </c>
      <c r="J3247">
        <v>14.300000190734901</v>
      </c>
      <c r="K3247">
        <v>59</v>
      </c>
      <c r="L3247">
        <v>23.600000381469702</v>
      </c>
      <c r="M3247">
        <v>39.599998474121101</v>
      </c>
      <c r="N3247">
        <v>15.3999996185303</v>
      </c>
      <c r="O3247">
        <v>24.200000762939499</v>
      </c>
      <c r="P3247">
        <v>27</v>
      </c>
      <c r="Q3247">
        <v>27</v>
      </c>
      <c r="R3247">
        <v>31.100000381469702</v>
      </c>
      <c r="S3247">
        <v>25.100000381469702</v>
      </c>
      <c r="T3247">
        <v>768</v>
      </c>
      <c r="U3247">
        <v>226</v>
      </c>
      <c r="V3247">
        <v>0</v>
      </c>
      <c r="W3247">
        <v>128</v>
      </c>
      <c r="X3247">
        <v>593</v>
      </c>
      <c r="Y3247">
        <v>1</v>
      </c>
      <c r="Z3247">
        <v>112</v>
      </c>
      <c r="AA3247">
        <v>3</v>
      </c>
      <c r="AB3247">
        <v>2.00675639590701</v>
      </c>
      <c r="AC3247">
        <v>0.95877276500372399</v>
      </c>
      <c r="AD3247">
        <v>0.719018572840739</v>
      </c>
      <c r="AE3247">
        <v>0.66331606318016301</v>
      </c>
      <c r="AF3247">
        <v>16.2753378378378</v>
      </c>
      <c r="AG3247">
        <f>IFERROR(AH3247*0.1, "N/A")</f>
        <v>5.4949324324324307</v>
      </c>
      <c r="AH3247">
        <v>54.949324324324301</v>
      </c>
      <c r="AI3247">
        <v>122.99927265257401</v>
      </c>
      <c r="AJ3247">
        <v>12.9239864864865</v>
      </c>
      <c r="AK3247">
        <v>72.126689189189193</v>
      </c>
    </row>
    <row r="3248" spans="1:37" x14ac:dyDescent="0.3">
      <c r="A3248">
        <v>3247</v>
      </c>
      <c r="B3248">
        <v>3</v>
      </c>
      <c r="C3248">
        <v>-14.09</v>
      </c>
      <c r="D3248">
        <v>13.74</v>
      </c>
      <c r="E3248">
        <f>-14.09-13.74</f>
        <v>-27.83</v>
      </c>
      <c r="F3248" t="s">
        <v>5339</v>
      </c>
      <c r="G3248" t="s">
        <v>39</v>
      </c>
      <c r="H3248">
        <v>1996</v>
      </c>
      <c r="I3248">
        <v>27.600000381469702</v>
      </c>
      <c r="J3248">
        <v>14.3999996185303</v>
      </c>
      <c r="K3248">
        <v>58</v>
      </c>
      <c r="L3248">
        <v>23.209999084472699</v>
      </c>
      <c r="M3248">
        <v>39.400001525878899</v>
      </c>
      <c r="N3248">
        <v>14.8999996185303</v>
      </c>
      <c r="O3248">
        <v>24.5</v>
      </c>
      <c r="P3248">
        <v>26.899999618530298</v>
      </c>
      <c r="Q3248">
        <v>26.700000762939499</v>
      </c>
      <c r="R3248">
        <v>30.799999237060501</v>
      </c>
      <c r="S3248">
        <v>24.799999237060501</v>
      </c>
      <c r="T3248">
        <v>745</v>
      </c>
      <c r="U3248">
        <v>217</v>
      </c>
      <c r="V3248">
        <v>0</v>
      </c>
      <c r="W3248">
        <v>128</v>
      </c>
      <c r="X3248">
        <v>576</v>
      </c>
      <c r="Y3248">
        <v>1</v>
      </c>
      <c r="Z3248">
        <v>105</v>
      </c>
      <c r="AA3248">
        <v>3</v>
      </c>
      <c r="AB3248">
        <v>9.3047386208161509</v>
      </c>
      <c r="AC3248">
        <v>7.9704894137438004E-2</v>
      </c>
      <c r="AD3248">
        <v>1.22498926353939</v>
      </c>
      <c r="AE3248">
        <v>0.290611570155762</v>
      </c>
      <c r="AF3248">
        <v>31.4788494077834</v>
      </c>
      <c r="AG3248">
        <f>IFERROR(AH3248*0.1, "N/A")</f>
        <v>5.8000000000000007</v>
      </c>
      <c r="AH3248">
        <v>58</v>
      </c>
      <c r="AI3248">
        <v>209.24762169439401</v>
      </c>
      <c r="AJ3248">
        <v>22.9255499153976</v>
      </c>
      <c r="AK3248">
        <v>58.074450084602397</v>
      </c>
    </row>
    <row r="3249" spans="1:37" x14ac:dyDescent="0.3">
      <c r="A3249">
        <v>3248</v>
      </c>
      <c r="B3249">
        <v>0</v>
      </c>
      <c r="C3249">
        <v>-14.09</v>
      </c>
      <c r="D3249">
        <v>13.74</v>
      </c>
      <c r="E3249">
        <f>-14.09-13.74</f>
        <v>-27.83</v>
      </c>
      <c r="F3249" t="s">
        <v>5340</v>
      </c>
      <c r="G3249" t="s">
        <v>37</v>
      </c>
      <c r="H3249">
        <v>1996</v>
      </c>
      <c r="I3249">
        <v>27.600000381469702</v>
      </c>
      <c r="J3249">
        <v>14.3999996185303</v>
      </c>
      <c r="K3249">
        <v>58</v>
      </c>
      <c r="L3249">
        <v>23.209999084472699</v>
      </c>
      <c r="M3249">
        <v>39.400001525878899</v>
      </c>
      <c r="N3249">
        <v>14.8999996185303</v>
      </c>
      <c r="O3249">
        <v>24.5</v>
      </c>
      <c r="P3249">
        <v>26.899999618530298</v>
      </c>
      <c r="Q3249">
        <v>26.700000762939499</v>
      </c>
      <c r="R3249">
        <v>30.799999237060501</v>
      </c>
      <c r="S3249">
        <v>24.799999237060501</v>
      </c>
      <c r="T3249">
        <v>745</v>
      </c>
      <c r="U3249">
        <v>217</v>
      </c>
      <c r="V3249">
        <v>0</v>
      </c>
      <c r="W3249">
        <v>128</v>
      </c>
      <c r="X3249">
        <v>576</v>
      </c>
      <c r="Y3249">
        <v>1</v>
      </c>
      <c r="Z3249">
        <v>105</v>
      </c>
      <c r="AA3249">
        <v>3</v>
      </c>
      <c r="AB3249">
        <v>9.3047386208161509</v>
      </c>
      <c r="AC3249">
        <v>7.9704894137438004E-2</v>
      </c>
      <c r="AD3249">
        <v>1.22498926353939</v>
      </c>
      <c r="AE3249">
        <v>0.290611570155762</v>
      </c>
      <c r="AF3249">
        <v>31.4788494077834</v>
      </c>
      <c r="AG3249">
        <f>IFERROR(AH3249*0.1, "N/A")</f>
        <v>5.8000000000000007</v>
      </c>
      <c r="AH3249">
        <v>58</v>
      </c>
      <c r="AI3249">
        <v>209.24762169439401</v>
      </c>
      <c r="AJ3249">
        <v>22.9255499153976</v>
      </c>
      <c r="AK3249">
        <v>58.074450084602397</v>
      </c>
    </row>
    <row r="3250" spans="1:37" x14ac:dyDescent="0.3">
      <c r="A3250">
        <v>3249</v>
      </c>
      <c r="B3250">
        <v>2</v>
      </c>
      <c r="C3250">
        <v>-16.479299999999999</v>
      </c>
      <c r="D3250">
        <v>13.741199999999999</v>
      </c>
      <c r="E3250">
        <f>-16.4793-13.7412</f>
        <v>-30.220499999999998</v>
      </c>
      <c r="F3250" t="s">
        <v>5341</v>
      </c>
      <c r="G3250" t="s">
        <v>39</v>
      </c>
      <c r="H3250">
        <v>2003</v>
      </c>
      <c r="I3250">
        <v>27</v>
      </c>
      <c r="J3250">
        <v>12.925337553024301</v>
      </c>
      <c r="K3250">
        <v>68</v>
      </c>
      <c r="L3250">
        <v>12.3846621545585</v>
      </c>
      <c r="M3250">
        <v>35.299999237060497</v>
      </c>
      <c r="N3250">
        <v>16.399999618530298</v>
      </c>
      <c r="O3250">
        <v>18.899999618530298</v>
      </c>
      <c r="P3250">
        <v>27.700000762939499</v>
      </c>
      <c r="Q3250">
        <v>26.600000381469702</v>
      </c>
      <c r="R3250">
        <v>28</v>
      </c>
      <c r="S3250">
        <v>25.025337934494001</v>
      </c>
      <c r="T3250">
        <v>757.74662162162201</v>
      </c>
      <c r="U3250">
        <v>276.74662162162201</v>
      </c>
      <c r="V3250">
        <v>0</v>
      </c>
      <c r="W3250">
        <v>145</v>
      </c>
      <c r="X3250">
        <v>645.74662162162201</v>
      </c>
      <c r="Y3250">
        <v>0</v>
      </c>
      <c r="Z3250">
        <v>217</v>
      </c>
      <c r="AA3250">
        <v>2</v>
      </c>
      <c r="AB3250">
        <v>1.7361487573063099</v>
      </c>
      <c r="AC3250">
        <v>0.121418947847938</v>
      </c>
      <c r="AD3250">
        <v>2.6946124945943399</v>
      </c>
      <c r="AE3250">
        <v>0.38481101393699602</v>
      </c>
      <c r="AF3250">
        <v>2.7668918918918899</v>
      </c>
      <c r="AG3250">
        <f>IFERROR(AH3250*0.1, "N/A")</f>
        <v>6.605743243243241</v>
      </c>
      <c r="AH3250">
        <v>66.057432432432407</v>
      </c>
      <c r="AI3250">
        <v>280.80343965581898</v>
      </c>
      <c r="AJ3250">
        <v>25.290540540540501</v>
      </c>
      <c r="AK3250">
        <v>57.854729729729698</v>
      </c>
    </row>
    <row r="3251" spans="1:37" x14ac:dyDescent="0.3">
      <c r="A3251">
        <v>3250</v>
      </c>
      <c r="B3251">
        <v>10</v>
      </c>
      <c r="C3251">
        <v>-15.684900000000001</v>
      </c>
      <c r="D3251">
        <v>13.741899999999999</v>
      </c>
      <c r="E3251">
        <f>-15.6849-13.7419</f>
        <v>-29.4268</v>
      </c>
      <c r="F3251" t="s">
        <v>5342</v>
      </c>
      <c r="G3251" t="s">
        <v>39</v>
      </c>
      <c r="H3251">
        <v>2003</v>
      </c>
      <c r="I3251">
        <v>27.4188867057556</v>
      </c>
      <c r="J3251">
        <v>14.9811129127747</v>
      </c>
      <c r="K3251">
        <v>62</v>
      </c>
      <c r="L3251">
        <v>19.012107482447</v>
      </c>
      <c r="M3251">
        <v>38.918888252862999</v>
      </c>
      <c r="N3251">
        <v>15</v>
      </c>
      <c r="O3251">
        <v>23.9188867057556</v>
      </c>
      <c r="P3251">
        <v>27.5</v>
      </c>
      <c r="Q3251">
        <v>26.018887087225298</v>
      </c>
      <c r="R3251">
        <v>29.818886324285899</v>
      </c>
      <c r="S3251">
        <v>24.7188874899235</v>
      </c>
      <c r="T3251">
        <v>655.75548060708297</v>
      </c>
      <c r="U3251">
        <v>218.188870151771</v>
      </c>
      <c r="V3251">
        <v>0</v>
      </c>
      <c r="W3251">
        <v>139.188870151771</v>
      </c>
      <c r="X3251">
        <v>543.566610455312</v>
      </c>
      <c r="Y3251">
        <v>0</v>
      </c>
      <c r="Z3251">
        <v>62.188870151770701</v>
      </c>
      <c r="AA3251">
        <v>1</v>
      </c>
      <c r="AB3251">
        <v>0.36374372093110602</v>
      </c>
      <c r="AC3251">
        <v>7.7715514890620296</v>
      </c>
      <c r="AD3251">
        <v>1.6646618915448499</v>
      </c>
      <c r="AE3251">
        <v>0.71051360613982195</v>
      </c>
      <c r="AF3251">
        <v>12.107925801011801</v>
      </c>
      <c r="AG3251">
        <f>IFERROR(AH3251*0.1, "N/A")</f>
        <v>5.6072512647554804</v>
      </c>
      <c r="AH3251">
        <v>56.072512647554802</v>
      </c>
      <c r="AI3251">
        <v>197.099821608545</v>
      </c>
      <c r="AJ3251">
        <v>7.9274873524452003</v>
      </c>
      <c r="AK3251">
        <v>81.145025295109605</v>
      </c>
    </row>
    <row r="3252" spans="1:37" x14ac:dyDescent="0.3">
      <c r="A3252">
        <v>3251</v>
      </c>
      <c r="B3252">
        <v>5.7</v>
      </c>
      <c r="C3252">
        <v>-14.1</v>
      </c>
      <c r="D3252">
        <v>13.75</v>
      </c>
      <c r="E3252">
        <f>-14.1-13.75</f>
        <v>-27.85</v>
      </c>
      <c r="F3252" t="s">
        <v>5343</v>
      </c>
      <c r="G3252" t="s">
        <v>39</v>
      </c>
      <c r="H3252">
        <v>2000</v>
      </c>
      <c r="I3252">
        <v>27.700000762939499</v>
      </c>
      <c r="J3252">
        <v>14.4927487075831</v>
      </c>
      <c r="K3252">
        <v>58.821247892074197</v>
      </c>
      <c r="L3252">
        <v>23.261871865386698</v>
      </c>
      <c r="M3252">
        <v>39.5</v>
      </c>
      <c r="N3252">
        <v>14.9893760134358</v>
      </c>
      <c r="O3252">
        <v>24.510623986564202</v>
      </c>
      <c r="P3252">
        <v>27</v>
      </c>
      <c r="Q3252">
        <v>26.700000762939499</v>
      </c>
      <c r="R3252">
        <v>30.852781900467001</v>
      </c>
      <c r="S3252">
        <v>24.899999618530298</v>
      </c>
      <c r="T3252">
        <v>741.25126475548097</v>
      </c>
      <c r="U3252">
        <v>216.07251264755499</v>
      </c>
      <c r="V3252">
        <v>0</v>
      </c>
      <c r="W3252">
        <v>130</v>
      </c>
      <c r="X3252">
        <v>573.25126475548097</v>
      </c>
      <c r="Y3252">
        <v>1</v>
      </c>
      <c r="Z3252">
        <v>104</v>
      </c>
      <c r="AA3252">
        <v>3</v>
      </c>
      <c r="AB3252">
        <v>2.7558187803168699</v>
      </c>
      <c r="AC3252">
        <v>0.16466656812854599</v>
      </c>
      <c r="AD3252">
        <v>1.5335446702690201</v>
      </c>
      <c r="AE3252">
        <v>0.419638901948929</v>
      </c>
      <c r="AF3252">
        <v>19.4940978077572</v>
      </c>
      <c r="AG3252">
        <f>IFERROR(AH3252*0.1, "N/A")</f>
        <v>5.7821247892074199</v>
      </c>
      <c r="AH3252">
        <v>57.821247892074197</v>
      </c>
      <c r="AI3252">
        <v>142.80626682326499</v>
      </c>
      <c r="AJ3252">
        <v>12.709949409780799</v>
      </c>
      <c r="AK3252">
        <v>70.890387858347395</v>
      </c>
    </row>
    <row r="3253" spans="1:37" x14ac:dyDescent="0.3">
      <c r="A3253">
        <v>3252</v>
      </c>
      <c r="B3253">
        <v>26.700001</v>
      </c>
      <c r="C3253">
        <v>-14.7333</v>
      </c>
      <c r="D3253">
        <v>13.75</v>
      </c>
      <c r="E3253">
        <f>-14.7333-13.75</f>
        <v>-28.4833</v>
      </c>
      <c r="F3253" t="s">
        <v>5344</v>
      </c>
      <c r="G3253" t="s">
        <v>39</v>
      </c>
      <c r="H3253">
        <v>2004</v>
      </c>
      <c r="I3253">
        <v>27.5925679206848</v>
      </c>
      <c r="J3253">
        <v>14.8999996185303</v>
      </c>
      <c r="K3253">
        <v>60</v>
      </c>
      <c r="L3253">
        <v>20.328648612305901</v>
      </c>
      <c r="M3253">
        <v>39.392568923331602</v>
      </c>
      <c r="N3253">
        <v>14.8334458744204</v>
      </c>
      <c r="O3253">
        <v>24.559121847152699</v>
      </c>
      <c r="P3253">
        <v>27.0412163734436</v>
      </c>
      <c r="Q3253">
        <v>26.5925679206848</v>
      </c>
      <c r="R3253">
        <v>30.299999237060501</v>
      </c>
      <c r="S3253">
        <v>25.085135459899899</v>
      </c>
      <c r="T3253">
        <v>714.736486486486</v>
      </c>
      <c r="U3253">
        <v>223</v>
      </c>
      <c r="V3253">
        <v>0</v>
      </c>
      <c r="W3253">
        <v>132</v>
      </c>
      <c r="X3253">
        <v>562.66216216216196</v>
      </c>
      <c r="Y3253">
        <v>0</v>
      </c>
      <c r="Z3253">
        <v>89</v>
      </c>
      <c r="AA3253">
        <v>2</v>
      </c>
      <c r="AB3253">
        <v>1.5160474745002901</v>
      </c>
      <c r="AC3253">
        <v>0.46413718190711201</v>
      </c>
      <c r="AD3253">
        <v>1.8109252986472999</v>
      </c>
      <c r="AE3253">
        <v>0.68428516387939498</v>
      </c>
      <c r="AF3253">
        <v>31.3496621621622</v>
      </c>
      <c r="AG3253">
        <f>IFERROR(AH3253*0.1, "N/A")</f>
        <v>5.5766891891891905</v>
      </c>
      <c r="AH3253">
        <v>55.766891891891902</v>
      </c>
      <c r="AI3253">
        <v>230.514597905649</v>
      </c>
      <c r="AJ3253">
        <v>9.4864864864864895</v>
      </c>
      <c r="AK3253">
        <v>79.695945945945994</v>
      </c>
    </row>
    <row r="3254" spans="1:37" x14ac:dyDescent="0.3">
      <c r="A3254">
        <v>3253</v>
      </c>
      <c r="B3254">
        <v>10</v>
      </c>
      <c r="C3254">
        <v>-15.83</v>
      </c>
      <c r="D3254">
        <v>13.75</v>
      </c>
      <c r="E3254">
        <f>-15.83-13.75</f>
        <v>-29.58</v>
      </c>
      <c r="F3254" t="s">
        <v>5345</v>
      </c>
      <c r="G3254" t="s">
        <v>39</v>
      </c>
      <c r="H3254">
        <v>2003</v>
      </c>
      <c r="I3254">
        <v>27.282263021211399</v>
      </c>
      <c r="J3254">
        <v>14.8999996185303</v>
      </c>
      <c r="K3254">
        <v>63</v>
      </c>
      <c r="L3254">
        <v>18.722753431346</v>
      </c>
      <c r="M3254">
        <v>38.582262258271903</v>
      </c>
      <c r="N3254">
        <v>15</v>
      </c>
      <c r="O3254">
        <v>23.582263827323899</v>
      </c>
      <c r="P3254">
        <v>27.482263445854201</v>
      </c>
      <c r="Q3254">
        <v>27.682264208793601</v>
      </c>
      <c r="R3254">
        <v>29.600000381469702</v>
      </c>
      <c r="S3254">
        <v>24.600000381469702</v>
      </c>
      <c r="T3254">
        <v>674.70945945946005</v>
      </c>
      <c r="U3254">
        <v>228.17736486486501</v>
      </c>
      <c r="V3254">
        <v>0</v>
      </c>
      <c r="W3254">
        <v>139.17736486486501</v>
      </c>
      <c r="X3254">
        <v>560.70945945946005</v>
      </c>
      <c r="Y3254">
        <v>0</v>
      </c>
      <c r="Z3254">
        <v>61</v>
      </c>
      <c r="AA3254">
        <v>2</v>
      </c>
      <c r="AB3254">
        <v>2.6163858465246301</v>
      </c>
      <c r="AC3254">
        <v>6.0245196481323003E-2</v>
      </c>
      <c r="AD3254">
        <v>0.87462777443028805</v>
      </c>
      <c r="AE3254">
        <v>0.72368404772636097</v>
      </c>
      <c r="AF3254">
        <v>30.1199324324324</v>
      </c>
      <c r="AG3254">
        <f>IFERROR(AH3254*0.1, "N/A")</f>
        <v>5.4819256756756802</v>
      </c>
      <c r="AH3254">
        <v>54.819256756756801</v>
      </c>
      <c r="AI3254">
        <v>179.135490307937</v>
      </c>
      <c r="AJ3254">
        <v>8</v>
      </c>
      <c r="AK3254">
        <v>85.998310810810807</v>
      </c>
    </row>
    <row r="3255" spans="1:37" x14ac:dyDescent="0.3">
      <c r="A3255">
        <v>3254</v>
      </c>
      <c r="B3255">
        <v>60</v>
      </c>
      <c r="C3255">
        <v>-14.6167</v>
      </c>
      <c r="D3255">
        <v>13.7667</v>
      </c>
      <c r="E3255">
        <f>-14.6167-13.7667</f>
        <v>-28.383400000000002</v>
      </c>
      <c r="F3255" t="s">
        <v>5346</v>
      </c>
      <c r="G3255" t="s">
        <v>39</v>
      </c>
      <c r="H3255">
        <v>2003</v>
      </c>
      <c r="I3255">
        <v>27.482799259848399</v>
      </c>
      <c r="J3255">
        <v>14.800000190734901</v>
      </c>
      <c r="K3255">
        <v>60</v>
      </c>
      <c r="L3255">
        <v>21.097166907325001</v>
      </c>
      <c r="M3255">
        <v>39.200000762939503</v>
      </c>
      <c r="N3255">
        <v>14.6000003814697</v>
      </c>
      <c r="O3255">
        <v>24.600000381469702</v>
      </c>
      <c r="P3255">
        <v>26.899999618530298</v>
      </c>
      <c r="Q3255">
        <v>26.5</v>
      </c>
      <c r="R3255">
        <v>30.2827988249858</v>
      </c>
      <c r="S3255">
        <v>24.846879685709101</v>
      </c>
      <c r="T3255">
        <v>724.15682967959503</v>
      </c>
      <c r="U3255">
        <v>223</v>
      </c>
      <c r="V3255">
        <v>0</v>
      </c>
      <c r="W3255">
        <v>131</v>
      </c>
      <c r="X3255">
        <v>567.15682967959503</v>
      </c>
      <c r="Y3255">
        <v>0</v>
      </c>
      <c r="Z3255">
        <v>91</v>
      </c>
      <c r="AA3255">
        <v>3</v>
      </c>
      <c r="AB3255">
        <v>3.6423251777636101</v>
      </c>
      <c r="AC3255">
        <v>1.4764911465309E-2</v>
      </c>
      <c r="AD3255">
        <v>3.4170105805083399</v>
      </c>
      <c r="AE3255">
        <v>0.67226368188857999</v>
      </c>
      <c r="AF3255">
        <v>34.188870151770701</v>
      </c>
      <c r="AG3255">
        <f>IFERROR(AH3255*0.1, "N/A")</f>
        <v>5.4657672849915704</v>
      </c>
      <c r="AH3255">
        <v>54.657672849915699</v>
      </c>
      <c r="AI3255">
        <v>246.87890478330399</v>
      </c>
      <c r="AJ3255">
        <v>11.6711635750422</v>
      </c>
      <c r="AK3255">
        <v>76</v>
      </c>
    </row>
    <row r="3256" spans="1:37" x14ac:dyDescent="0.3">
      <c r="A3256">
        <v>3255</v>
      </c>
      <c r="B3256">
        <v>28</v>
      </c>
      <c r="C3256">
        <v>-16</v>
      </c>
      <c r="D3256">
        <v>13.7667</v>
      </c>
      <c r="E3256">
        <f>-16-13.7667</f>
        <v>-29.7667</v>
      </c>
      <c r="F3256" t="s">
        <v>5347</v>
      </c>
      <c r="G3256" t="s">
        <v>39</v>
      </c>
      <c r="H3256">
        <v>2003</v>
      </c>
      <c r="I3256">
        <v>27.5</v>
      </c>
      <c r="J3256">
        <v>14.699999809265099</v>
      </c>
      <c r="K3256">
        <v>63</v>
      </c>
      <c r="L3256">
        <v>17.691683993997799</v>
      </c>
      <c r="M3256">
        <v>38.400001525878899</v>
      </c>
      <c r="N3256">
        <v>15.3999996185303</v>
      </c>
      <c r="O3256">
        <v>23</v>
      </c>
      <c r="P3256">
        <v>27.653199237605101</v>
      </c>
      <c r="Q3256">
        <v>27.849662726174301</v>
      </c>
      <c r="R3256">
        <v>29.627273212779698</v>
      </c>
      <c r="S3256">
        <v>24.899999618530298</v>
      </c>
      <c r="T3256">
        <v>700.48821548821502</v>
      </c>
      <c r="U3256">
        <v>242.46801346801399</v>
      </c>
      <c r="V3256">
        <v>0</v>
      </c>
      <c r="W3256">
        <v>140.272727272727</v>
      </c>
      <c r="X3256">
        <v>583.51683501683499</v>
      </c>
      <c r="Y3256">
        <v>0</v>
      </c>
      <c r="Z3256">
        <v>60.195286195286201</v>
      </c>
      <c r="AA3256">
        <v>2</v>
      </c>
      <c r="AB3256">
        <v>1.62390560895104</v>
      </c>
      <c r="AC3256">
        <v>0.66897663971101895</v>
      </c>
      <c r="AD3256">
        <v>1.4211989183618601</v>
      </c>
      <c r="AE3256">
        <v>0.72645520080219605</v>
      </c>
      <c r="AF3256">
        <v>25.702020202020201</v>
      </c>
      <c r="AG3256">
        <f>IFERROR(AH3256*0.1, "N/A")</f>
        <v>5.3161616161616205</v>
      </c>
      <c r="AH3256">
        <v>53.161616161616202</v>
      </c>
      <c r="AI3256">
        <v>204.91491267657</v>
      </c>
      <c r="AJ3256">
        <v>10.580808080808101</v>
      </c>
      <c r="AK3256">
        <v>81.838383838383805</v>
      </c>
    </row>
    <row r="3257" spans="1:37" x14ac:dyDescent="0.3">
      <c r="A3257">
        <v>3256</v>
      </c>
      <c r="B3257">
        <v>26</v>
      </c>
      <c r="C3257">
        <v>-15.8</v>
      </c>
      <c r="D3257">
        <v>13.7667</v>
      </c>
      <c r="E3257">
        <f>-15.8-13.7667</f>
        <v>-29.566700000000001</v>
      </c>
      <c r="F3257" t="s">
        <v>5348</v>
      </c>
      <c r="G3257" t="s">
        <v>39</v>
      </c>
      <c r="H3257">
        <v>2003</v>
      </c>
      <c r="I3257">
        <v>27.399999618530298</v>
      </c>
      <c r="J3257">
        <v>14.953119551351501</v>
      </c>
      <c r="K3257">
        <v>62.531197301855002</v>
      </c>
      <c r="L3257">
        <v>18.803608638641201</v>
      </c>
      <c r="M3257">
        <v>38.708095074504101</v>
      </c>
      <c r="N3257">
        <v>15</v>
      </c>
      <c r="O3257">
        <v>23.708095074504101</v>
      </c>
      <c r="P3257">
        <v>27.5080944659537</v>
      </c>
      <c r="Q3257">
        <v>27.799999237060501</v>
      </c>
      <c r="R3257">
        <v>29.708095074504101</v>
      </c>
      <c r="S3257">
        <v>24.700000762939499</v>
      </c>
      <c r="T3257">
        <v>662.79426644182104</v>
      </c>
      <c r="U3257">
        <v>223.38785834738599</v>
      </c>
      <c r="V3257">
        <v>0</v>
      </c>
      <c r="W3257">
        <v>138.468802698145</v>
      </c>
      <c r="X3257">
        <v>550.32546374367598</v>
      </c>
      <c r="Y3257">
        <v>0</v>
      </c>
      <c r="Z3257">
        <v>60.468802698144998</v>
      </c>
      <c r="AA3257">
        <v>2</v>
      </c>
      <c r="AB3257">
        <v>5.3956152480127004</v>
      </c>
      <c r="AC3257">
        <v>4.0582482269564998E-2</v>
      </c>
      <c r="AD3257">
        <v>0.87543665015878402</v>
      </c>
      <c r="AE3257">
        <v>0.75240868330001798</v>
      </c>
      <c r="AF3257">
        <v>11.3355817875211</v>
      </c>
      <c r="AG3257">
        <f>IFERROR(AH3257*0.1, "N/A")</f>
        <v>5.5379426644182104</v>
      </c>
      <c r="AH3257">
        <v>55.379426644182097</v>
      </c>
      <c r="AI3257">
        <v>47.6026663627432</v>
      </c>
      <c r="AJ3257">
        <v>14.8735244519393</v>
      </c>
      <c r="AK3257">
        <v>68.5059021922428</v>
      </c>
    </row>
    <row r="3258" spans="1:37" x14ac:dyDescent="0.3">
      <c r="A3258">
        <v>3257</v>
      </c>
      <c r="B3258">
        <v>27.799999</v>
      </c>
      <c r="C3258">
        <v>-13.667199999999999</v>
      </c>
      <c r="D3258">
        <v>13.7692</v>
      </c>
      <c r="E3258">
        <f>-13.6672-13.7692</f>
        <v>-27.436399999999999</v>
      </c>
      <c r="F3258" t="s">
        <v>5349</v>
      </c>
      <c r="G3258" t="s">
        <v>39</v>
      </c>
      <c r="H3258">
        <v>2005</v>
      </c>
      <c r="I3258">
        <v>28.600000381469702</v>
      </c>
      <c r="J3258">
        <v>14</v>
      </c>
      <c r="K3258">
        <v>59</v>
      </c>
      <c r="L3258">
        <v>23.379999160766602</v>
      </c>
      <c r="M3258">
        <v>40.299999237060497</v>
      </c>
      <c r="N3258">
        <v>16.700000762939499</v>
      </c>
      <c r="O3258">
        <v>23.600000381469702</v>
      </c>
      <c r="P3258">
        <v>27.299999237060501</v>
      </c>
      <c r="Q3258">
        <v>28</v>
      </c>
      <c r="R3258">
        <v>31.899999618530298</v>
      </c>
      <c r="S3258">
        <v>26</v>
      </c>
      <c r="T3258">
        <v>786</v>
      </c>
      <c r="U3258">
        <v>228</v>
      </c>
      <c r="V3258">
        <v>0</v>
      </c>
      <c r="W3258">
        <v>127</v>
      </c>
      <c r="X3258">
        <v>601</v>
      </c>
      <c r="Y3258">
        <v>1</v>
      </c>
      <c r="Z3258">
        <v>120</v>
      </c>
      <c r="AA3258">
        <v>3</v>
      </c>
      <c r="AB3258">
        <v>0.83457595695883502</v>
      </c>
      <c r="AC3258">
        <v>37.9102870675151</v>
      </c>
      <c r="AD3258">
        <v>1.20358298915928</v>
      </c>
      <c r="AE3258">
        <v>0.83209748995506205</v>
      </c>
      <c r="AF3258">
        <v>27.1457627118644</v>
      </c>
      <c r="AG3258">
        <f>IFERROR(AH3258*0.1, "N/A")</f>
        <v>6.1362711864406805</v>
      </c>
      <c r="AH3258">
        <v>61.362711864406798</v>
      </c>
      <c r="AI3258">
        <v>191.636013018075</v>
      </c>
      <c r="AJ3258">
        <v>29.362711864406801</v>
      </c>
      <c r="AK3258">
        <v>47</v>
      </c>
    </row>
    <row r="3259" spans="1:37" x14ac:dyDescent="0.3">
      <c r="A3259">
        <v>3258</v>
      </c>
      <c r="B3259">
        <v>2</v>
      </c>
      <c r="C3259">
        <v>-16.383300999999999</v>
      </c>
      <c r="D3259">
        <v>13.783300000000001</v>
      </c>
      <c r="E3259">
        <f>-16.383301-13.7833</f>
        <v>-30.166601</v>
      </c>
      <c r="F3259" t="s">
        <v>5350</v>
      </c>
      <c r="G3259" t="s">
        <v>39</v>
      </c>
      <c r="H3259">
        <v>2003</v>
      </c>
      <c r="I3259">
        <v>27.1659402303248</v>
      </c>
      <c r="J3259">
        <v>13.5</v>
      </c>
      <c r="K3259">
        <v>67.854026845637605</v>
      </c>
      <c r="L3259">
        <v>13.0631205155545</v>
      </c>
      <c r="M3259">
        <v>35.965940117035899</v>
      </c>
      <c r="N3259">
        <v>16.185403391818902</v>
      </c>
      <c r="O3259">
        <v>19.7805367252171</v>
      </c>
      <c r="P3259">
        <v>27.717281728782901</v>
      </c>
      <c r="Q3259">
        <v>26.91728156365</v>
      </c>
      <c r="R3259">
        <v>28.317281831830901</v>
      </c>
      <c r="S3259">
        <v>25.051342477734501</v>
      </c>
      <c r="T3259">
        <v>724.81879194630903</v>
      </c>
      <c r="U3259">
        <v>261.16610738255002</v>
      </c>
      <c r="V3259">
        <v>0</v>
      </c>
      <c r="W3259">
        <v>144.34060402684599</v>
      </c>
      <c r="X3259">
        <v>614.81879194630903</v>
      </c>
      <c r="Y3259">
        <v>0</v>
      </c>
      <c r="Z3259">
        <v>209.31208053691299</v>
      </c>
      <c r="AA3259">
        <v>2</v>
      </c>
      <c r="AB3259">
        <v>4.0545290876555002</v>
      </c>
      <c r="AC3259">
        <v>0.12529346194499499</v>
      </c>
      <c r="AD3259">
        <v>1.7856572411404401</v>
      </c>
      <c r="AE3259">
        <v>0.71949511326399396</v>
      </c>
      <c r="AF3259">
        <v>28.615771812080499</v>
      </c>
      <c r="AG3259">
        <f>IFERROR(AH3259*0.1, "N/A")</f>
        <v>5.5651006711409403</v>
      </c>
      <c r="AH3259">
        <v>55.651006711409401</v>
      </c>
      <c r="AI3259">
        <v>110.463582384506</v>
      </c>
      <c r="AJ3259">
        <v>9.3758389261745005</v>
      </c>
      <c r="AK3259">
        <v>85.380872483221495</v>
      </c>
    </row>
    <row r="3260" spans="1:37" x14ac:dyDescent="0.3">
      <c r="A3260">
        <v>3259</v>
      </c>
      <c r="B3260">
        <v>33.299999</v>
      </c>
      <c r="C3260">
        <v>-13.581899999999999</v>
      </c>
      <c r="D3260">
        <v>13.8047</v>
      </c>
      <c r="E3260">
        <f>-13.5819-13.8047</f>
        <v>-27.386600000000001</v>
      </c>
      <c r="F3260" t="s">
        <v>5351</v>
      </c>
      <c r="G3260" t="s">
        <v>39</v>
      </c>
      <c r="H3260">
        <v>2004</v>
      </c>
      <c r="I3260">
        <v>28.5</v>
      </c>
      <c r="J3260">
        <v>14</v>
      </c>
      <c r="K3260">
        <v>59</v>
      </c>
      <c r="L3260">
        <v>23.719999313354499</v>
      </c>
      <c r="M3260">
        <v>40.200000762939503</v>
      </c>
      <c r="N3260">
        <v>16.5</v>
      </c>
      <c r="O3260">
        <v>23.700000762939499</v>
      </c>
      <c r="P3260">
        <v>27.299999237060501</v>
      </c>
      <c r="Q3260">
        <v>27.799999237060501</v>
      </c>
      <c r="R3260">
        <v>31.899999618530298</v>
      </c>
      <c r="S3260">
        <v>25.899999618530298</v>
      </c>
      <c r="T3260">
        <v>779</v>
      </c>
      <c r="U3260">
        <v>220</v>
      </c>
      <c r="V3260">
        <v>0</v>
      </c>
      <c r="W3260">
        <v>128</v>
      </c>
      <c r="X3260">
        <v>595</v>
      </c>
      <c r="Y3260">
        <v>1</v>
      </c>
      <c r="Z3260">
        <v>118</v>
      </c>
      <c r="AA3260">
        <v>2</v>
      </c>
      <c r="AB3260">
        <v>1.2790550476795901</v>
      </c>
      <c r="AC3260">
        <v>0.35098413098603498</v>
      </c>
      <c r="AD3260">
        <v>2.1847104836960098</v>
      </c>
      <c r="AE3260">
        <v>0.559964299201965</v>
      </c>
      <c r="AF3260">
        <v>43.135135135135101</v>
      </c>
      <c r="AG3260">
        <f>IFERROR(AH3260*0.1, "N/A")</f>
        <v>5.0663851351351399</v>
      </c>
      <c r="AH3260">
        <v>50.663851351351397</v>
      </c>
      <c r="AI3260">
        <v>143.21920810519001</v>
      </c>
      <c r="AJ3260">
        <v>18.2871621621622</v>
      </c>
      <c r="AK3260">
        <v>63.106418918918898</v>
      </c>
    </row>
    <row r="3261" spans="1:37" x14ac:dyDescent="0.3">
      <c r="A3261">
        <v>3260</v>
      </c>
      <c r="B3261">
        <v>84</v>
      </c>
      <c r="C3261">
        <v>-14.44</v>
      </c>
      <c r="D3261">
        <v>13.81</v>
      </c>
      <c r="E3261">
        <f>-14.44-13.81</f>
        <v>-28.25</v>
      </c>
      <c r="F3261" t="s">
        <v>5352</v>
      </c>
      <c r="G3261" t="s">
        <v>39</v>
      </c>
      <c r="H3261">
        <v>2003</v>
      </c>
      <c r="I3261">
        <v>27.399999618530298</v>
      </c>
      <c r="J3261">
        <v>14.699999809265099</v>
      </c>
      <c r="K3261">
        <v>59</v>
      </c>
      <c r="L3261">
        <v>21.7600002288818</v>
      </c>
      <c r="M3261">
        <v>39.099998474121101</v>
      </c>
      <c r="N3261">
        <v>14.5</v>
      </c>
      <c r="O3261">
        <v>24.600000381469702</v>
      </c>
      <c r="P3261">
        <v>26.799999237060501</v>
      </c>
      <c r="Q3261">
        <v>26.399999618530298</v>
      </c>
      <c r="R3261">
        <v>30.299999237060501</v>
      </c>
      <c r="S3261">
        <v>24.700000762939499</v>
      </c>
      <c r="T3261">
        <v>724</v>
      </c>
      <c r="U3261">
        <v>218</v>
      </c>
      <c r="V3261">
        <v>0</v>
      </c>
      <c r="W3261">
        <v>130</v>
      </c>
      <c r="X3261">
        <v>562</v>
      </c>
      <c r="Y3261">
        <v>0</v>
      </c>
      <c r="Z3261">
        <v>95</v>
      </c>
      <c r="AA3261">
        <v>3</v>
      </c>
      <c r="AB3261">
        <v>0.845453654074107</v>
      </c>
      <c r="AC3261">
        <v>0.107678400964072</v>
      </c>
      <c r="AD3261">
        <v>1.9001865696024001</v>
      </c>
      <c r="AE3261">
        <v>0.68463654229135196</v>
      </c>
      <c r="AF3261">
        <v>42.425925925925903</v>
      </c>
      <c r="AG3261">
        <f>IFERROR(AH3261*0.1, "N/A")</f>
        <v>5.4594276094276104</v>
      </c>
      <c r="AH3261">
        <v>54.594276094276097</v>
      </c>
      <c r="AI3261">
        <v>104.801026276868</v>
      </c>
      <c r="AJ3261">
        <v>10.641414141414099</v>
      </c>
      <c r="AK3261">
        <v>74.323232323232304</v>
      </c>
    </row>
    <row r="3262" spans="1:37" x14ac:dyDescent="0.3">
      <c r="A3262">
        <v>3261</v>
      </c>
      <c r="B3262">
        <v>2</v>
      </c>
      <c r="C3262">
        <v>-16.452100999999999</v>
      </c>
      <c r="D3262">
        <v>13.8146</v>
      </c>
      <c r="E3262">
        <f>-16.452101-13.8146</f>
        <v>-30.266700999999998</v>
      </c>
      <c r="F3262" t="s">
        <v>5353</v>
      </c>
      <c r="G3262" t="s">
        <v>39</v>
      </c>
      <c r="H3262">
        <v>2003</v>
      </c>
      <c r="I3262">
        <v>27.100000381469702</v>
      </c>
      <c r="J3262">
        <v>13.300000190734901</v>
      </c>
      <c r="K3262">
        <v>68</v>
      </c>
      <c r="L3262">
        <v>13.050000190734901</v>
      </c>
      <c r="M3262">
        <v>35.599998474121101</v>
      </c>
      <c r="N3262">
        <v>16.200000762939499</v>
      </c>
      <c r="O3262">
        <v>19.399999618530298</v>
      </c>
      <c r="P3262">
        <v>27.799999237060501</v>
      </c>
      <c r="Q3262">
        <v>26.700000762939499</v>
      </c>
      <c r="R3262">
        <v>28.200000762939499</v>
      </c>
      <c r="S3262">
        <v>25</v>
      </c>
      <c r="T3262">
        <v>732</v>
      </c>
      <c r="U3262">
        <v>266</v>
      </c>
      <c r="V3262">
        <v>0</v>
      </c>
      <c r="W3262">
        <v>144</v>
      </c>
      <c r="X3262">
        <v>623</v>
      </c>
      <c r="Y3262">
        <v>0</v>
      </c>
      <c r="Z3262">
        <v>208</v>
      </c>
      <c r="AA3262">
        <v>2</v>
      </c>
      <c r="AB3262">
        <v>7.8934348841708903</v>
      </c>
      <c r="AC3262">
        <v>1.0025138298821E-2</v>
      </c>
      <c r="AD3262">
        <v>2.3828882125491599</v>
      </c>
      <c r="AE3262">
        <v>0.45337665081024198</v>
      </c>
      <c r="AF3262">
        <v>13.6498316498317</v>
      </c>
      <c r="AG3262">
        <f>IFERROR(AH3262*0.1, "N/A")</f>
        <v>5.6779461279461305</v>
      </c>
      <c r="AH3262">
        <v>56.779461279461302</v>
      </c>
      <c r="AI3262">
        <v>243.67617476749101</v>
      </c>
      <c r="AJ3262">
        <v>25.5589225589226</v>
      </c>
      <c r="AK3262">
        <v>57.220538720538698</v>
      </c>
    </row>
    <row r="3263" spans="1:37" x14ac:dyDescent="0.3">
      <c r="A3263">
        <v>3262</v>
      </c>
      <c r="B3263">
        <v>30.4</v>
      </c>
      <c r="C3263">
        <v>-13.916700000000001</v>
      </c>
      <c r="D3263">
        <v>13.816700000000001</v>
      </c>
      <c r="E3263">
        <f>-13.9167-13.8167</f>
        <v>-27.733400000000003</v>
      </c>
      <c r="F3263" t="s">
        <v>5354</v>
      </c>
      <c r="G3263" t="s">
        <v>39</v>
      </c>
      <c r="H3263">
        <v>1999</v>
      </c>
      <c r="I3263">
        <v>28.100000381469702</v>
      </c>
      <c r="J3263">
        <v>14.300000190734901</v>
      </c>
      <c r="K3263">
        <v>59</v>
      </c>
      <c r="L3263">
        <v>22.979204519952798</v>
      </c>
      <c r="M3263">
        <v>39.799999237060497</v>
      </c>
      <c r="N3263">
        <v>15.800000190734901</v>
      </c>
      <c r="O3263">
        <v>24</v>
      </c>
      <c r="P3263">
        <v>27.1346874850252</v>
      </c>
      <c r="Q3263">
        <v>27.288324288305301</v>
      </c>
      <c r="R3263">
        <v>31.299999237060501</v>
      </c>
      <c r="S3263">
        <v>25.4509304388727</v>
      </c>
      <c r="T3263">
        <v>756.73942470389204</v>
      </c>
      <c r="U3263">
        <v>221.883248730964</v>
      </c>
      <c r="V3263">
        <v>0</v>
      </c>
      <c r="W3263">
        <v>128.23350253807101</v>
      </c>
      <c r="X3263">
        <v>584.39255499154001</v>
      </c>
      <c r="Y3263">
        <v>1</v>
      </c>
      <c r="Z3263">
        <v>109.346869712352</v>
      </c>
      <c r="AA3263">
        <v>3</v>
      </c>
      <c r="AB3263">
        <v>2.6333335272955201</v>
      </c>
      <c r="AC3263">
        <v>2.7782498901416999E-2</v>
      </c>
      <c r="AD3263">
        <v>0.89327209431507903</v>
      </c>
      <c r="AE3263">
        <v>0.68216991424560502</v>
      </c>
      <c r="AF3263">
        <v>12.1522842639594</v>
      </c>
      <c r="AG3263">
        <f>IFERROR(AH3263*0.1, "N/A")</f>
        <v>6.2961082910321506</v>
      </c>
      <c r="AH3263">
        <v>62.961082910321501</v>
      </c>
      <c r="AI3263">
        <v>138.11313874427</v>
      </c>
      <c r="AJ3263">
        <v>16.050761421319802</v>
      </c>
      <c r="AK3263">
        <v>65.468697123519505</v>
      </c>
    </row>
    <row r="3264" spans="1:37" x14ac:dyDescent="0.3">
      <c r="A3264">
        <v>3263</v>
      </c>
      <c r="B3264">
        <v>0</v>
      </c>
      <c r="C3264">
        <v>-13.916700000000001</v>
      </c>
      <c r="D3264">
        <v>13.816700000000001</v>
      </c>
      <c r="E3264">
        <f>-13.9167-13.8167</f>
        <v>-27.733400000000003</v>
      </c>
      <c r="F3264" t="s">
        <v>5355</v>
      </c>
      <c r="G3264" t="s">
        <v>37</v>
      </c>
      <c r="H3264">
        <v>1999</v>
      </c>
      <c r="I3264">
        <v>28.100000381469702</v>
      </c>
      <c r="J3264">
        <v>14.300000190734901</v>
      </c>
      <c r="K3264">
        <v>59</v>
      </c>
      <c r="L3264">
        <v>22.979204519952798</v>
      </c>
      <c r="M3264">
        <v>39.799999237060497</v>
      </c>
      <c r="N3264">
        <v>15.800000190734901</v>
      </c>
      <c r="O3264">
        <v>24</v>
      </c>
      <c r="P3264">
        <v>27.1346874850252</v>
      </c>
      <c r="Q3264">
        <v>27.288324288305301</v>
      </c>
      <c r="R3264">
        <v>31.299999237060501</v>
      </c>
      <c r="S3264">
        <v>25.4509304388727</v>
      </c>
      <c r="T3264">
        <v>756.73942470389204</v>
      </c>
      <c r="U3264">
        <v>221.883248730964</v>
      </c>
      <c r="V3264">
        <v>0</v>
      </c>
      <c r="W3264">
        <v>128.23350253807101</v>
      </c>
      <c r="X3264">
        <v>584.39255499154001</v>
      </c>
      <c r="Y3264">
        <v>1</v>
      </c>
      <c r="Z3264">
        <v>109.346869712352</v>
      </c>
      <c r="AA3264">
        <v>3</v>
      </c>
      <c r="AB3264">
        <v>2.6333335272955201</v>
      </c>
      <c r="AC3264">
        <v>2.7782498901416999E-2</v>
      </c>
      <c r="AD3264">
        <v>0.89327209431507903</v>
      </c>
      <c r="AE3264">
        <v>0.68216991424560502</v>
      </c>
      <c r="AF3264">
        <v>12.1522842639594</v>
      </c>
      <c r="AG3264">
        <f>IFERROR(AH3264*0.1, "N/A")</f>
        <v>6.2961082910321506</v>
      </c>
      <c r="AH3264">
        <v>62.961082910321501</v>
      </c>
      <c r="AI3264">
        <v>138.11313874427</v>
      </c>
      <c r="AJ3264">
        <v>16.050761421319802</v>
      </c>
      <c r="AK3264">
        <v>65.468697123519505</v>
      </c>
    </row>
    <row r="3265" spans="1:37" x14ac:dyDescent="0.3">
      <c r="A3265">
        <v>3264</v>
      </c>
      <c r="B3265">
        <v>15.9</v>
      </c>
      <c r="C3265">
        <v>-13.583299999999999</v>
      </c>
      <c r="D3265">
        <v>13.816700000000001</v>
      </c>
      <c r="E3265">
        <f>-13.5833-13.8167</f>
        <v>-27.4</v>
      </c>
      <c r="F3265" t="s">
        <v>5356</v>
      </c>
      <c r="G3265" t="s">
        <v>39</v>
      </c>
      <c r="H3265">
        <v>1996</v>
      </c>
      <c r="I3265">
        <v>28.5</v>
      </c>
      <c r="J3265">
        <v>14</v>
      </c>
      <c r="K3265">
        <v>59</v>
      </c>
      <c r="L3265">
        <v>23.587875166791701</v>
      </c>
      <c r="M3265">
        <v>40.1585158336826</v>
      </c>
      <c r="N3265">
        <v>16.622766066964498</v>
      </c>
      <c r="O3265">
        <v>23.535750557962199</v>
      </c>
      <c r="P3265">
        <v>27.299999237060501</v>
      </c>
      <c r="Q3265">
        <v>27.7585158902919</v>
      </c>
      <c r="R3265">
        <v>31.899999618530298</v>
      </c>
      <c r="S3265">
        <v>25.899999618530298</v>
      </c>
      <c r="T3265">
        <v>776.38617200674503</v>
      </c>
      <c r="U3265">
        <v>219.386172006745</v>
      </c>
      <c r="V3265">
        <v>0</v>
      </c>
      <c r="W3265">
        <v>127.386172006745</v>
      </c>
      <c r="X3265">
        <v>594.38617200674503</v>
      </c>
      <c r="Y3265">
        <v>1</v>
      </c>
      <c r="Z3265">
        <v>116</v>
      </c>
      <c r="AA3265">
        <v>2</v>
      </c>
      <c r="AB3265">
        <v>3.2074214620091701</v>
      </c>
      <c r="AC3265">
        <v>1.4327647210009E-2</v>
      </c>
      <c r="AD3265">
        <v>0.92479616463887904</v>
      </c>
      <c r="AE3265">
        <v>0.39163690805435197</v>
      </c>
      <c r="AF3265">
        <v>46.5177065767285</v>
      </c>
      <c r="AG3265">
        <f>IFERROR(AH3265*0.1, "N/A")</f>
        <v>6.1991568296795903</v>
      </c>
      <c r="AH3265">
        <v>61.991568296795897</v>
      </c>
      <c r="AI3265">
        <v>106.149221963866</v>
      </c>
      <c r="AJ3265">
        <v>22.080944350758902</v>
      </c>
      <c r="AK3265">
        <v>54.642495784148402</v>
      </c>
    </row>
    <row r="3266" spans="1:37" x14ac:dyDescent="0.3">
      <c r="A3266">
        <v>3265</v>
      </c>
      <c r="B3266">
        <v>0</v>
      </c>
      <c r="C3266">
        <v>-13.583299999999999</v>
      </c>
      <c r="D3266">
        <v>13.816700000000001</v>
      </c>
      <c r="E3266">
        <f>-13.5833-13.8167</f>
        <v>-27.4</v>
      </c>
      <c r="F3266" t="s">
        <v>5357</v>
      </c>
      <c r="G3266" t="s">
        <v>37</v>
      </c>
      <c r="H3266">
        <v>1996</v>
      </c>
      <c r="I3266">
        <v>28.5</v>
      </c>
      <c r="J3266">
        <v>14</v>
      </c>
      <c r="K3266">
        <v>59</v>
      </c>
      <c r="L3266">
        <v>23.587875166791701</v>
      </c>
      <c r="M3266">
        <v>40.1585158336826</v>
      </c>
      <c r="N3266">
        <v>16.622766066964498</v>
      </c>
      <c r="O3266">
        <v>23.535750557962199</v>
      </c>
      <c r="P3266">
        <v>27.299999237060501</v>
      </c>
      <c r="Q3266">
        <v>27.7585158902919</v>
      </c>
      <c r="R3266">
        <v>31.899999618530298</v>
      </c>
      <c r="S3266">
        <v>25.899999618530298</v>
      </c>
      <c r="T3266">
        <v>776.38617200674503</v>
      </c>
      <c r="U3266">
        <v>219.386172006745</v>
      </c>
      <c r="V3266">
        <v>0</v>
      </c>
      <c r="W3266">
        <v>127.386172006745</v>
      </c>
      <c r="X3266">
        <v>594.38617200674503</v>
      </c>
      <c r="Y3266">
        <v>1</v>
      </c>
      <c r="Z3266">
        <v>116</v>
      </c>
      <c r="AA3266">
        <v>2</v>
      </c>
      <c r="AB3266">
        <v>3.2074214620091701</v>
      </c>
      <c r="AC3266">
        <v>1.4327647210009E-2</v>
      </c>
      <c r="AD3266">
        <v>0.92479616463887904</v>
      </c>
      <c r="AE3266">
        <v>0.39163690805435197</v>
      </c>
      <c r="AF3266">
        <v>46.5177065767285</v>
      </c>
      <c r="AG3266">
        <f>IFERROR(AH3266*0.1, "N/A")</f>
        <v>6.1991568296795903</v>
      </c>
      <c r="AH3266">
        <v>61.991568296795897</v>
      </c>
      <c r="AI3266">
        <v>106.149221963866</v>
      </c>
      <c r="AJ3266">
        <v>22.080944350758902</v>
      </c>
      <c r="AK3266">
        <v>54.642495784148402</v>
      </c>
    </row>
    <row r="3267" spans="1:37" x14ac:dyDescent="0.3">
      <c r="A3267">
        <v>3266</v>
      </c>
      <c r="B3267">
        <v>55.799999</v>
      </c>
      <c r="C3267">
        <v>-13.916600000000001</v>
      </c>
      <c r="D3267">
        <v>13.816700000000001</v>
      </c>
      <c r="E3267">
        <f>-13.9166-13.8167</f>
        <v>-27.7333</v>
      </c>
      <c r="F3267" t="s">
        <v>5358</v>
      </c>
      <c r="G3267" t="s">
        <v>39</v>
      </c>
      <c r="H3267">
        <v>1996</v>
      </c>
      <c r="I3267">
        <v>28.100000381469702</v>
      </c>
      <c r="J3267">
        <v>14.300000190734901</v>
      </c>
      <c r="K3267">
        <v>59</v>
      </c>
      <c r="L3267">
        <v>22.966835631936899</v>
      </c>
      <c r="M3267">
        <v>39.799999237060497</v>
      </c>
      <c r="N3267">
        <v>15.800000190734901</v>
      </c>
      <c r="O3267">
        <v>24</v>
      </c>
      <c r="P3267">
        <v>27.1401020572875</v>
      </c>
      <c r="Q3267">
        <v>27.2912007249551</v>
      </c>
      <c r="R3267">
        <v>31.299999237060501</v>
      </c>
      <c r="S3267">
        <v>25.459221502649399</v>
      </c>
      <c r="T3267">
        <v>756.90524534686995</v>
      </c>
      <c r="U3267">
        <v>221.91201353637899</v>
      </c>
      <c r="V3267">
        <v>0</v>
      </c>
      <c r="W3267">
        <v>128.17597292724199</v>
      </c>
      <c r="X3267">
        <v>584.50423011844305</v>
      </c>
      <c r="Y3267">
        <v>1</v>
      </c>
      <c r="Z3267">
        <v>109.401015228426</v>
      </c>
      <c r="AA3267">
        <v>3</v>
      </c>
      <c r="AB3267">
        <v>2.58544857328515</v>
      </c>
      <c r="AC3267">
        <v>2.512651362792E-2</v>
      </c>
      <c r="AD3267">
        <v>0.84336858695331995</v>
      </c>
      <c r="AE3267">
        <v>0.68216991424560502</v>
      </c>
      <c r="AF3267">
        <v>12.103214890016901</v>
      </c>
      <c r="AG3267">
        <f>IFERROR(AH3267*0.1, "N/A")</f>
        <v>6.2969543147208107</v>
      </c>
      <c r="AH3267">
        <v>62.9695431472081</v>
      </c>
      <c r="AI3267">
        <v>122.754553096145</v>
      </c>
      <c r="AJ3267">
        <v>15.901861252115101</v>
      </c>
      <c r="AK3267">
        <v>65.517766497461906</v>
      </c>
    </row>
    <row r="3268" spans="1:37" x14ac:dyDescent="0.3">
      <c r="A3268">
        <v>3267</v>
      </c>
      <c r="B3268">
        <v>0</v>
      </c>
      <c r="C3268">
        <v>-13.916600000000001</v>
      </c>
      <c r="D3268">
        <v>13.816700000000001</v>
      </c>
      <c r="E3268">
        <f>-13.9166-13.8167</f>
        <v>-27.7333</v>
      </c>
      <c r="F3268" t="s">
        <v>5359</v>
      </c>
      <c r="G3268" t="s">
        <v>37</v>
      </c>
      <c r="H3268">
        <v>1996</v>
      </c>
      <c r="I3268">
        <v>28.100000381469702</v>
      </c>
      <c r="J3268">
        <v>14.300000190734901</v>
      </c>
      <c r="K3268">
        <v>59</v>
      </c>
      <c r="L3268">
        <v>22.966835631936899</v>
      </c>
      <c r="M3268">
        <v>39.799999237060497</v>
      </c>
      <c r="N3268">
        <v>15.800000190734901</v>
      </c>
      <c r="O3268">
        <v>24</v>
      </c>
      <c r="P3268">
        <v>27.1401020572875</v>
      </c>
      <c r="Q3268">
        <v>27.2912007249551</v>
      </c>
      <c r="R3268">
        <v>31.299999237060501</v>
      </c>
      <c r="S3268">
        <v>25.459221502649399</v>
      </c>
      <c r="T3268">
        <v>756.90524534686995</v>
      </c>
      <c r="U3268">
        <v>221.91201353637899</v>
      </c>
      <c r="V3268">
        <v>0</v>
      </c>
      <c r="W3268">
        <v>128.17597292724199</v>
      </c>
      <c r="X3268">
        <v>584.50423011844305</v>
      </c>
      <c r="Y3268">
        <v>1</v>
      </c>
      <c r="Z3268">
        <v>109.401015228426</v>
      </c>
      <c r="AA3268">
        <v>3</v>
      </c>
      <c r="AB3268">
        <v>2.58544857328515</v>
      </c>
      <c r="AC3268">
        <v>2.512651362792E-2</v>
      </c>
      <c r="AD3268">
        <v>0.84336858695331995</v>
      </c>
      <c r="AE3268">
        <v>0.68216991424560502</v>
      </c>
      <c r="AF3268">
        <v>12.103214890016901</v>
      </c>
      <c r="AG3268">
        <f>IFERROR(AH3268*0.1, "N/A")</f>
        <v>6.2969543147208107</v>
      </c>
      <c r="AH3268">
        <v>62.9695431472081</v>
      </c>
      <c r="AI3268">
        <v>122.754553096145</v>
      </c>
      <c r="AJ3268">
        <v>15.901861252115101</v>
      </c>
      <c r="AK3268">
        <v>65.517766497461906</v>
      </c>
    </row>
    <row r="3269" spans="1:37" x14ac:dyDescent="0.3">
      <c r="A3269">
        <v>3268</v>
      </c>
      <c r="B3269">
        <v>54</v>
      </c>
      <c r="C3269">
        <v>-13.283300000000001</v>
      </c>
      <c r="D3269">
        <v>13.816700000000001</v>
      </c>
      <c r="E3269">
        <f>-13.2833-13.8167</f>
        <v>-27.1</v>
      </c>
      <c r="F3269" t="s">
        <v>5360</v>
      </c>
      <c r="G3269" t="s">
        <v>39</v>
      </c>
      <c r="H3269">
        <v>2003</v>
      </c>
      <c r="I3269">
        <v>28.3605747642453</v>
      </c>
      <c r="J3269">
        <v>13.8999996185303</v>
      </c>
      <c r="K3269">
        <v>58.394247038917101</v>
      </c>
      <c r="L3269">
        <v>24.0561760129461</v>
      </c>
      <c r="M3269">
        <v>39.960575897681501</v>
      </c>
      <c r="N3269">
        <v>16.399999618530298</v>
      </c>
      <c r="O3269">
        <v>23.560575527184699</v>
      </c>
      <c r="P3269">
        <v>27.299999237060501</v>
      </c>
      <c r="Q3269">
        <v>27.460575145715001</v>
      </c>
      <c r="R3269">
        <v>31.8326558760177</v>
      </c>
      <c r="S3269">
        <v>25.700000762939499</v>
      </c>
      <c r="T3269">
        <v>758.4179357022</v>
      </c>
      <c r="U3269">
        <v>206</v>
      </c>
      <c r="V3269">
        <v>0</v>
      </c>
      <c r="W3269">
        <v>126</v>
      </c>
      <c r="X3269">
        <v>576.4179357022</v>
      </c>
      <c r="Y3269">
        <v>0</v>
      </c>
      <c r="Z3269">
        <v>117</v>
      </c>
      <c r="AA3269">
        <v>2</v>
      </c>
      <c r="AB3269">
        <v>0.33908543207520397</v>
      </c>
      <c r="AC3269">
        <v>29.330358688105001</v>
      </c>
      <c r="AD3269">
        <v>1.06087441149904</v>
      </c>
      <c r="AE3269">
        <v>0.232878178358078</v>
      </c>
      <c r="AF3269">
        <v>52.7969543147208</v>
      </c>
      <c r="AG3269">
        <f>IFERROR(AH3269*0.1, "N/A")</f>
        <v>5.8961082910321503</v>
      </c>
      <c r="AH3269">
        <v>58.961082910321501</v>
      </c>
      <c r="AI3269">
        <v>197.22480182357199</v>
      </c>
      <c r="AJ3269">
        <v>21.8697123519459</v>
      </c>
      <c r="AK3269">
        <v>52</v>
      </c>
    </row>
    <row r="3270" spans="1:37" x14ac:dyDescent="0.3">
      <c r="A3270">
        <v>3269</v>
      </c>
      <c r="B3270">
        <v>2</v>
      </c>
      <c r="C3270">
        <v>-16.420000000000002</v>
      </c>
      <c r="D3270">
        <v>13.82</v>
      </c>
      <c r="E3270">
        <f>-16.42-13.82</f>
        <v>-30.240000000000002</v>
      </c>
      <c r="F3270" t="s">
        <v>5361</v>
      </c>
      <c r="G3270" t="s">
        <v>39</v>
      </c>
      <c r="H3270">
        <v>2003</v>
      </c>
      <c r="I3270">
        <v>27.200000762939499</v>
      </c>
      <c r="J3270">
        <v>13.5</v>
      </c>
      <c r="K3270">
        <v>68</v>
      </c>
      <c r="L3270">
        <v>12.930000305175801</v>
      </c>
      <c r="M3270">
        <v>35.799999237060497</v>
      </c>
      <c r="N3270">
        <v>16.200000762939499</v>
      </c>
      <c r="O3270">
        <v>19.600000381469702</v>
      </c>
      <c r="P3270">
        <v>27.799999237060501</v>
      </c>
      <c r="Q3270">
        <v>26.799999237060501</v>
      </c>
      <c r="R3270">
        <v>28.299999237060501</v>
      </c>
      <c r="S3270">
        <v>25.100000381469702</v>
      </c>
      <c r="T3270">
        <v>721</v>
      </c>
      <c r="U3270">
        <v>260</v>
      </c>
      <c r="V3270">
        <v>0</v>
      </c>
      <c r="W3270">
        <v>144</v>
      </c>
      <c r="X3270">
        <v>613</v>
      </c>
      <c r="Y3270">
        <v>0</v>
      </c>
      <c r="Z3270">
        <v>206</v>
      </c>
      <c r="AA3270">
        <v>2</v>
      </c>
      <c r="AB3270">
        <v>4.41363655276571</v>
      </c>
      <c r="AC3270">
        <v>1.6232775119745E-2</v>
      </c>
      <c r="AD3270">
        <v>0.95289710966826302</v>
      </c>
      <c r="AE3270">
        <v>0.69399679971463701</v>
      </c>
      <c r="AF3270">
        <v>14.9848484848485</v>
      </c>
      <c r="AG3270">
        <f>IFERROR(AH3270*0.1, "N/A")</f>
        <v>5.2232323232323203</v>
      </c>
      <c r="AH3270">
        <v>52.232323232323203</v>
      </c>
      <c r="AI3270">
        <v>130.29177331121701</v>
      </c>
      <c r="AJ3270">
        <v>19.2323232323232</v>
      </c>
      <c r="AK3270">
        <v>64.535353535353494</v>
      </c>
    </row>
    <row r="3271" spans="1:37" x14ac:dyDescent="0.3">
      <c r="A3271">
        <v>3270</v>
      </c>
      <c r="B3271">
        <v>14.2</v>
      </c>
      <c r="C3271">
        <v>-15.433299999999999</v>
      </c>
      <c r="D3271">
        <v>13.833299999999999</v>
      </c>
      <c r="E3271">
        <f>-15.4333-13.8333</f>
        <v>-29.266599999999997</v>
      </c>
      <c r="F3271" t="s">
        <v>5362</v>
      </c>
      <c r="G3271" t="s">
        <v>39</v>
      </c>
      <c r="H3271">
        <v>2000</v>
      </c>
      <c r="I3271">
        <v>27.319424986839302</v>
      </c>
      <c r="J3271">
        <v>15.199999809265099</v>
      </c>
      <c r="K3271">
        <v>62</v>
      </c>
      <c r="L3271">
        <v>18.880084012005799</v>
      </c>
      <c r="M3271">
        <v>39.019425379263403</v>
      </c>
      <c r="N3271">
        <v>14.800000190734901</v>
      </c>
      <c r="O3271">
        <v>24.219426142202799</v>
      </c>
      <c r="P3271">
        <v>27.299999237060501</v>
      </c>
      <c r="Q3271">
        <v>26.0744935274124</v>
      </c>
      <c r="R3271">
        <v>29.774492869505998</v>
      </c>
      <c r="S3271">
        <v>24.700000762939499</v>
      </c>
      <c r="T3271">
        <v>631.06081081081095</v>
      </c>
      <c r="U3271">
        <v>204.805743243243</v>
      </c>
      <c r="V3271">
        <v>0</v>
      </c>
      <c r="W3271">
        <v>137</v>
      </c>
      <c r="X3271">
        <v>516.17229729729695</v>
      </c>
      <c r="Y3271">
        <v>0</v>
      </c>
      <c r="Z3271">
        <v>62</v>
      </c>
      <c r="AA3271">
        <v>0.88851351351351304</v>
      </c>
      <c r="AB3271">
        <v>5.2315862307677401</v>
      </c>
      <c r="AC3271">
        <v>0.152264521441523</v>
      </c>
      <c r="AD3271">
        <v>0.79315680950074596</v>
      </c>
      <c r="AE3271">
        <v>0.70015579462051403</v>
      </c>
      <c r="AF3271">
        <v>38.849662162162197</v>
      </c>
      <c r="AG3271">
        <f>IFERROR(AH3271*0.1, "N/A")</f>
        <v>5.3305743243243304</v>
      </c>
      <c r="AH3271">
        <v>53.305743243243299</v>
      </c>
      <c r="AI3271">
        <v>122.68787996189</v>
      </c>
      <c r="AJ3271">
        <v>10</v>
      </c>
      <c r="AK3271">
        <v>78.305743243243199</v>
      </c>
    </row>
    <row r="3272" spans="1:37" x14ac:dyDescent="0.3">
      <c r="A3272">
        <v>3271</v>
      </c>
      <c r="B3272">
        <v>0</v>
      </c>
      <c r="C3272">
        <v>-15.433299999999999</v>
      </c>
      <c r="D3272">
        <v>13.833299999999999</v>
      </c>
      <c r="E3272">
        <f>-15.4333-13.8333</f>
        <v>-29.266599999999997</v>
      </c>
      <c r="F3272" t="s">
        <v>5363</v>
      </c>
      <c r="G3272" t="s">
        <v>37</v>
      </c>
      <c r="H3272">
        <v>1996</v>
      </c>
      <c r="I3272">
        <v>27.319424986839302</v>
      </c>
      <c r="J3272">
        <v>15.199999809265099</v>
      </c>
      <c r="K3272">
        <v>62</v>
      </c>
      <c r="L3272">
        <v>18.880084012005799</v>
      </c>
      <c r="M3272">
        <v>39.019425379263403</v>
      </c>
      <c r="N3272">
        <v>14.800000190734901</v>
      </c>
      <c r="O3272">
        <v>24.219426142202799</v>
      </c>
      <c r="P3272">
        <v>27.299999237060501</v>
      </c>
      <c r="Q3272">
        <v>26.0744935274124</v>
      </c>
      <c r="R3272">
        <v>29.774492869505998</v>
      </c>
      <c r="S3272">
        <v>24.700000762939499</v>
      </c>
      <c r="T3272">
        <v>631.06081081081095</v>
      </c>
      <c r="U3272">
        <v>204.805743243243</v>
      </c>
      <c r="V3272">
        <v>0</v>
      </c>
      <c r="W3272">
        <v>137</v>
      </c>
      <c r="X3272">
        <v>516.17229729729695</v>
      </c>
      <c r="Y3272">
        <v>0</v>
      </c>
      <c r="Z3272">
        <v>62</v>
      </c>
      <c r="AA3272">
        <v>0.88851351351351304</v>
      </c>
      <c r="AB3272">
        <v>5.2315862307677401</v>
      </c>
      <c r="AC3272">
        <v>0.152264521441523</v>
      </c>
      <c r="AD3272">
        <v>0.79315680950074596</v>
      </c>
      <c r="AE3272">
        <v>0.70015579462051403</v>
      </c>
      <c r="AF3272">
        <v>38.849662162162197</v>
      </c>
      <c r="AG3272">
        <f>IFERROR(AH3272*0.1, "N/A")</f>
        <v>5.3305743243243304</v>
      </c>
      <c r="AH3272">
        <v>53.305743243243299</v>
      </c>
      <c r="AI3272">
        <v>122.68787996189</v>
      </c>
      <c r="AJ3272">
        <v>10</v>
      </c>
      <c r="AK3272">
        <v>78.305743243243199</v>
      </c>
    </row>
    <row r="3273" spans="1:37" x14ac:dyDescent="0.3">
      <c r="A3273">
        <v>3272</v>
      </c>
      <c r="B3273">
        <v>68</v>
      </c>
      <c r="C3273">
        <v>-14.583299999999999</v>
      </c>
      <c r="D3273">
        <v>13.8667</v>
      </c>
      <c r="E3273">
        <f>-14.5833-13.8667</f>
        <v>-28.45</v>
      </c>
      <c r="F3273" t="s">
        <v>5364</v>
      </c>
      <c r="G3273" t="s">
        <v>39</v>
      </c>
      <c r="H3273">
        <v>2003</v>
      </c>
      <c r="I3273">
        <v>27.399999618530298</v>
      </c>
      <c r="J3273">
        <v>14.8999996185303</v>
      </c>
      <c r="K3273">
        <v>60</v>
      </c>
      <c r="L3273">
        <v>21.1365372651332</v>
      </c>
      <c r="M3273">
        <v>39.203209773914203</v>
      </c>
      <c r="N3273">
        <v>14.5758448839188</v>
      </c>
      <c r="O3273">
        <v>24.627365089751599</v>
      </c>
      <c r="P3273">
        <v>26.824154734611501</v>
      </c>
      <c r="Q3273">
        <v>26.3361480236053</v>
      </c>
      <c r="R3273">
        <v>30.200000762939499</v>
      </c>
      <c r="S3273">
        <v>24.739696103173301</v>
      </c>
      <c r="T3273">
        <v>710.24155405405395</v>
      </c>
      <c r="U3273">
        <v>218</v>
      </c>
      <c r="V3273">
        <v>0</v>
      </c>
      <c r="W3273">
        <v>130</v>
      </c>
      <c r="X3273">
        <v>553.24155405405395</v>
      </c>
      <c r="Y3273">
        <v>0</v>
      </c>
      <c r="Z3273">
        <v>91</v>
      </c>
      <c r="AA3273">
        <v>2.6030405405405399</v>
      </c>
      <c r="AB3273">
        <v>0.91790554974530203</v>
      </c>
      <c r="AC3273">
        <v>0.186581244228118</v>
      </c>
      <c r="AD3273">
        <v>1.4505823516362399</v>
      </c>
      <c r="AE3273">
        <v>0.68558704853057895</v>
      </c>
      <c r="AF3273">
        <v>41.704391891891902</v>
      </c>
      <c r="AG3273">
        <f>IFERROR(AH3273*0.1, "N/A")</f>
        <v>5.5533783783783797</v>
      </c>
      <c r="AH3273">
        <v>55.533783783783797</v>
      </c>
      <c r="AI3273">
        <v>183.36260475983499</v>
      </c>
      <c r="AJ3273">
        <v>9.5337837837837807</v>
      </c>
      <c r="AK3273">
        <v>79</v>
      </c>
    </row>
    <row r="3274" spans="1:37" x14ac:dyDescent="0.3">
      <c r="A3274">
        <v>3273</v>
      </c>
      <c r="B3274">
        <v>12</v>
      </c>
      <c r="C3274">
        <v>-15.88</v>
      </c>
      <c r="D3274">
        <v>13.87</v>
      </c>
      <c r="E3274">
        <f>-15.88-13.87</f>
        <v>-29.75</v>
      </c>
      <c r="F3274" t="s">
        <v>5365</v>
      </c>
      <c r="G3274" t="s">
        <v>39</v>
      </c>
      <c r="H3274">
        <v>2003</v>
      </c>
      <c r="I3274">
        <v>27.5</v>
      </c>
      <c r="J3274">
        <v>15.1000003814697</v>
      </c>
      <c r="K3274">
        <v>63</v>
      </c>
      <c r="L3274">
        <v>17.7600002288818</v>
      </c>
      <c r="M3274">
        <v>38.799999237060497</v>
      </c>
      <c r="N3274">
        <v>15.199999809265099</v>
      </c>
      <c r="O3274">
        <v>23.600000381469702</v>
      </c>
      <c r="P3274">
        <v>27.600000381469702</v>
      </c>
      <c r="Q3274">
        <v>27.899999618530298</v>
      </c>
      <c r="R3274">
        <v>29.700000762939499</v>
      </c>
      <c r="S3274">
        <v>24.899999618530298</v>
      </c>
      <c r="T3274">
        <v>643</v>
      </c>
      <c r="U3274">
        <v>220</v>
      </c>
      <c r="V3274">
        <v>0</v>
      </c>
      <c r="W3274">
        <v>140</v>
      </c>
      <c r="X3274">
        <v>536</v>
      </c>
      <c r="Y3274">
        <v>0</v>
      </c>
      <c r="Z3274">
        <v>54</v>
      </c>
      <c r="AA3274">
        <v>2</v>
      </c>
      <c r="AB3274">
        <v>7.88453820813604</v>
      </c>
      <c r="AC3274">
        <v>1.7067371324456002E-2</v>
      </c>
      <c r="AD3274">
        <v>0.88002194807309098</v>
      </c>
      <c r="AE3274">
        <v>0.72925049066543601</v>
      </c>
      <c r="AF3274">
        <v>30.067226890756299</v>
      </c>
      <c r="AG3274">
        <f>IFERROR(AH3274*0.1, "N/A")</f>
        <v>5.6000000000000005</v>
      </c>
      <c r="AH3274">
        <v>56</v>
      </c>
      <c r="AI3274">
        <v>120.56570578182399</v>
      </c>
      <c r="AJ3274">
        <v>7.4672268907563</v>
      </c>
      <c r="AK3274">
        <v>87.405042016806703</v>
      </c>
    </row>
    <row r="3275" spans="1:37" x14ac:dyDescent="0.3">
      <c r="A3275">
        <v>3274</v>
      </c>
      <c r="B3275">
        <v>65.5</v>
      </c>
      <c r="C3275">
        <v>-13.6333</v>
      </c>
      <c r="D3275">
        <v>13.8833</v>
      </c>
      <c r="E3275">
        <f>-13.6333-13.8833</f>
        <v>-27.5166</v>
      </c>
      <c r="F3275" t="s">
        <v>5366</v>
      </c>
      <c r="G3275" t="s">
        <v>39</v>
      </c>
      <c r="H3275">
        <v>2004</v>
      </c>
      <c r="I3275">
        <v>28.600000381469702</v>
      </c>
      <c r="J3275">
        <v>14.1000003814697</v>
      </c>
      <c r="K3275">
        <v>59</v>
      </c>
      <c r="L3275">
        <v>23.460271005904801</v>
      </c>
      <c r="M3275">
        <v>40.400001525878899</v>
      </c>
      <c r="N3275">
        <v>16.700000762939499</v>
      </c>
      <c r="O3275">
        <v>23.700000762939499</v>
      </c>
      <c r="P3275">
        <v>27.399999618530298</v>
      </c>
      <c r="Q3275">
        <v>27.899999618530298</v>
      </c>
      <c r="R3275">
        <v>32</v>
      </c>
      <c r="S3275">
        <v>26.0104907337582</v>
      </c>
      <c r="T3275">
        <v>770.10490693739405</v>
      </c>
      <c r="U3275">
        <v>220.10490693739399</v>
      </c>
      <c r="V3275">
        <v>0</v>
      </c>
      <c r="W3275">
        <v>127</v>
      </c>
      <c r="X3275">
        <v>592.10490693739405</v>
      </c>
      <c r="Y3275">
        <v>1</v>
      </c>
      <c r="Z3275">
        <v>113</v>
      </c>
      <c r="AA3275">
        <v>2</v>
      </c>
      <c r="AB3275">
        <v>3.0912011399890398</v>
      </c>
      <c r="AC3275">
        <v>203.83949986948201</v>
      </c>
      <c r="AD3275">
        <v>2.4324597989645498</v>
      </c>
      <c r="AE3275">
        <v>0.48360578834304502</v>
      </c>
      <c r="AF3275">
        <v>21.331641285956</v>
      </c>
      <c r="AG3275">
        <f>IFERROR(AH3275*0.1, "N/A")</f>
        <v>5.5125211505922209</v>
      </c>
      <c r="AH3275">
        <v>55.125211505922202</v>
      </c>
      <c r="AI3275">
        <v>188.616007608004</v>
      </c>
      <c r="AJ3275">
        <v>21.089678510998301</v>
      </c>
      <c r="AK3275">
        <v>59.428087986463602</v>
      </c>
    </row>
    <row r="3276" spans="1:37" x14ac:dyDescent="0.3">
      <c r="A3276">
        <v>3275</v>
      </c>
      <c r="B3276">
        <v>2.1</v>
      </c>
      <c r="C3276">
        <v>-13.4</v>
      </c>
      <c r="D3276">
        <v>13.916700000000001</v>
      </c>
      <c r="E3276">
        <f>-13.4-13.9167</f>
        <v>-27.316700000000001</v>
      </c>
      <c r="F3276" t="s">
        <v>5367</v>
      </c>
      <c r="G3276" t="s">
        <v>39</v>
      </c>
      <c r="H3276">
        <v>2004</v>
      </c>
      <c r="I3276">
        <v>28.448489736390599</v>
      </c>
      <c r="J3276">
        <v>14.0657720629801</v>
      </c>
      <c r="K3276">
        <v>59</v>
      </c>
      <c r="L3276">
        <v>23.942751420424301</v>
      </c>
      <c r="M3276">
        <v>40.148489516853502</v>
      </c>
      <c r="N3276">
        <v>16.5484901178603</v>
      </c>
      <c r="O3276">
        <v>23.600000381469702</v>
      </c>
      <c r="P3276">
        <v>27.3484893549209</v>
      </c>
      <c r="Q3276">
        <v>27.6172823265895</v>
      </c>
      <c r="R3276">
        <v>31.931207791270801</v>
      </c>
      <c r="S3276">
        <v>25.8484893549209</v>
      </c>
      <c r="T3276">
        <v>762.830536912752</v>
      </c>
      <c r="U3276">
        <v>208</v>
      </c>
      <c r="V3276">
        <v>0</v>
      </c>
      <c r="W3276">
        <v>127</v>
      </c>
      <c r="X3276">
        <v>582.34563758389299</v>
      </c>
      <c r="Y3276">
        <v>0</v>
      </c>
      <c r="Z3276">
        <v>114.484899328859</v>
      </c>
      <c r="AA3276">
        <v>2</v>
      </c>
      <c r="AB3276">
        <v>3.77768395571101</v>
      </c>
      <c r="AC3276">
        <v>0.20802687204149101</v>
      </c>
      <c r="AD3276">
        <v>0.91314846917286796</v>
      </c>
      <c r="AE3276">
        <v>0.50326967239379905</v>
      </c>
      <c r="AF3276">
        <v>34.630872483221502</v>
      </c>
      <c r="AG3276">
        <f>IFERROR(AH3276*0.1, "N/A")</f>
        <v>5.4</v>
      </c>
      <c r="AH3276">
        <v>54</v>
      </c>
      <c r="AI3276">
        <v>120.768992814442</v>
      </c>
      <c r="AJ3276">
        <v>13.6912751677852</v>
      </c>
      <c r="AK3276">
        <v>68.271812080536904</v>
      </c>
    </row>
    <row r="3277" spans="1:37" x14ac:dyDescent="0.3">
      <c r="A3277">
        <v>3276</v>
      </c>
      <c r="B3277">
        <v>4.9000000000000004</v>
      </c>
      <c r="C3277">
        <v>-15.933299999999999</v>
      </c>
      <c r="D3277">
        <v>13.916700000000001</v>
      </c>
      <c r="E3277">
        <f>-15.9333-13.9167</f>
        <v>-29.85</v>
      </c>
      <c r="F3277" t="s">
        <v>5368</v>
      </c>
      <c r="G3277" t="s">
        <v>39</v>
      </c>
      <c r="H3277">
        <v>1996</v>
      </c>
      <c r="I3277">
        <v>27.700000762939499</v>
      </c>
      <c r="J3277">
        <v>15.199999809265099</v>
      </c>
      <c r="K3277">
        <v>64</v>
      </c>
      <c r="L3277">
        <v>17.284496627397999</v>
      </c>
      <c r="M3277">
        <v>38.851678272221697</v>
      </c>
      <c r="N3277">
        <v>15.3999996185303</v>
      </c>
      <c r="O3277">
        <v>23.4516776680146</v>
      </c>
      <c r="P3277">
        <v>27.799999237060501</v>
      </c>
      <c r="Q3277">
        <v>27.9194627800244</v>
      </c>
      <c r="R3277">
        <v>29.7711406170122</v>
      </c>
      <c r="S3277">
        <v>25.128859551961</v>
      </c>
      <c r="T3277">
        <v>653.03355704698004</v>
      </c>
      <c r="U3277">
        <v>224.87248322147701</v>
      </c>
      <c r="V3277">
        <v>0</v>
      </c>
      <c r="W3277">
        <v>140.67785234899301</v>
      </c>
      <c r="X3277">
        <v>546.03355704698004</v>
      </c>
      <c r="Y3277">
        <v>0</v>
      </c>
      <c r="Z3277">
        <v>53</v>
      </c>
      <c r="AA3277">
        <v>2</v>
      </c>
      <c r="AB3277">
        <v>1.9224832906019</v>
      </c>
      <c r="AC3277">
        <v>1.1533308230439999E-2</v>
      </c>
      <c r="AD3277">
        <v>0.94640167867577296</v>
      </c>
      <c r="AE3277">
        <v>0.80831646919250499</v>
      </c>
      <c r="AF3277">
        <v>19.0906040268456</v>
      </c>
      <c r="AG3277">
        <f>IFERROR(AH3277*0.1, "N/A")</f>
        <v>5.7167785234899302</v>
      </c>
      <c r="AH3277">
        <v>57.167785234899299</v>
      </c>
      <c r="AI3277">
        <v>241.952139528006</v>
      </c>
      <c r="AJ3277">
        <v>9.4429530201342295</v>
      </c>
      <c r="AK3277">
        <v>79.946308724832207</v>
      </c>
    </row>
    <row r="3278" spans="1:37" x14ac:dyDescent="0.3">
      <c r="A3278">
        <v>3277</v>
      </c>
      <c r="B3278">
        <v>0</v>
      </c>
      <c r="C3278">
        <v>-15.933299999999999</v>
      </c>
      <c r="D3278">
        <v>13.916700000000001</v>
      </c>
      <c r="E3278">
        <f>-15.9333-13.9167</f>
        <v>-29.85</v>
      </c>
      <c r="F3278" t="s">
        <v>5369</v>
      </c>
      <c r="G3278" t="s">
        <v>37</v>
      </c>
      <c r="H3278">
        <v>1996</v>
      </c>
      <c r="I3278">
        <v>27.700000762939499</v>
      </c>
      <c r="J3278">
        <v>15.199999809265099</v>
      </c>
      <c r="K3278">
        <v>64</v>
      </c>
      <c r="L3278">
        <v>17.284496627397999</v>
      </c>
      <c r="M3278">
        <v>38.851678272221697</v>
      </c>
      <c r="N3278">
        <v>15.3999996185303</v>
      </c>
      <c r="O3278">
        <v>23.4516776680146</v>
      </c>
      <c r="P3278">
        <v>27.799999237060501</v>
      </c>
      <c r="Q3278">
        <v>27.9194627800244</v>
      </c>
      <c r="R3278">
        <v>29.7711406170122</v>
      </c>
      <c r="S3278">
        <v>25.128859551961</v>
      </c>
      <c r="T3278">
        <v>653.03355704698004</v>
      </c>
      <c r="U3278">
        <v>224.87248322147701</v>
      </c>
      <c r="V3278">
        <v>0</v>
      </c>
      <c r="W3278">
        <v>140.67785234899301</v>
      </c>
      <c r="X3278">
        <v>546.03355704698004</v>
      </c>
      <c r="Y3278">
        <v>0</v>
      </c>
      <c r="Z3278">
        <v>53</v>
      </c>
      <c r="AA3278">
        <v>2</v>
      </c>
      <c r="AB3278">
        <v>1.9224832906019</v>
      </c>
      <c r="AC3278">
        <v>1.1533308230439999E-2</v>
      </c>
      <c r="AD3278">
        <v>0.94640167867577296</v>
      </c>
      <c r="AE3278">
        <v>0.80831646919250499</v>
      </c>
      <c r="AF3278">
        <v>19.0906040268456</v>
      </c>
      <c r="AG3278">
        <f>IFERROR(AH3278*0.1, "N/A")</f>
        <v>5.7167785234899302</v>
      </c>
      <c r="AH3278">
        <v>57.167785234899299</v>
      </c>
      <c r="AI3278">
        <v>241.952139528006</v>
      </c>
      <c r="AJ3278">
        <v>9.4429530201342295</v>
      </c>
      <c r="AK3278">
        <v>79.946308724832207</v>
      </c>
    </row>
    <row r="3279" spans="1:37" x14ac:dyDescent="0.3">
      <c r="A3279">
        <v>3278</v>
      </c>
      <c r="B3279">
        <v>0</v>
      </c>
      <c r="C3279">
        <v>-16.333300000000001</v>
      </c>
      <c r="D3279">
        <v>13.933299999999999</v>
      </c>
      <c r="E3279">
        <f>-16.3333-13.9333</f>
        <v>-30.2666</v>
      </c>
      <c r="F3279" t="s">
        <v>5370</v>
      </c>
      <c r="G3279" t="s">
        <v>39</v>
      </c>
      <c r="H3279">
        <v>1996</v>
      </c>
      <c r="I3279">
        <v>27.339663253912398</v>
      </c>
      <c r="J3279">
        <v>14.1485715321132</v>
      </c>
      <c r="K3279">
        <v>67</v>
      </c>
      <c r="L3279">
        <v>14.260369587746</v>
      </c>
      <c r="M3279">
        <v>36.767730821881997</v>
      </c>
      <c r="N3279">
        <v>15.800000190734901</v>
      </c>
      <c r="O3279">
        <v>20.967730969340899</v>
      </c>
      <c r="P3279">
        <v>27.807394223253301</v>
      </c>
      <c r="Q3279">
        <v>27.107395367662502</v>
      </c>
      <c r="R3279">
        <v>28.607395367662399</v>
      </c>
      <c r="S3279">
        <v>25.039664016851901</v>
      </c>
      <c r="T3279">
        <v>670.27731092437</v>
      </c>
      <c r="U3279">
        <v>240.926050420168</v>
      </c>
      <c r="V3279">
        <v>0</v>
      </c>
      <c r="W3279">
        <v>146</v>
      </c>
      <c r="X3279">
        <v>570.27731092437</v>
      </c>
      <c r="Y3279">
        <v>0</v>
      </c>
      <c r="Z3279">
        <v>104.24873949579801</v>
      </c>
      <c r="AA3279">
        <v>2</v>
      </c>
      <c r="AB3279">
        <v>2.1157987274041701</v>
      </c>
      <c r="AC3279">
        <v>3.1684133469932999E-2</v>
      </c>
      <c r="AD3279">
        <v>1.1320277462486501</v>
      </c>
      <c r="AE3279">
        <v>0.71771846498761904</v>
      </c>
      <c r="AF3279">
        <v>16.368067226890801</v>
      </c>
      <c r="AG3279">
        <f>IFERROR(AH3279*0.1, "N/A")</f>
        <v>5.3684033613445408</v>
      </c>
      <c r="AH3279">
        <v>53.684033613445401</v>
      </c>
      <c r="AI3279">
        <v>172.62104843524301</v>
      </c>
      <c r="AJ3279">
        <v>7.9344537815126097</v>
      </c>
      <c r="AK3279">
        <v>86.636974789915996</v>
      </c>
    </row>
    <row r="3280" spans="1:37" x14ac:dyDescent="0.3">
      <c r="A3280">
        <v>3279</v>
      </c>
      <c r="B3280">
        <v>0</v>
      </c>
      <c r="C3280">
        <v>-16.333300000000001</v>
      </c>
      <c r="D3280">
        <v>13.933299999999999</v>
      </c>
      <c r="E3280">
        <f>-16.3333-13.9333</f>
        <v>-30.2666</v>
      </c>
      <c r="F3280" t="s">
        <v>5371</v>
      </c>
      <c r="G3280" t="s">
        <v>37</v>
      </c>
      <c r="H3280">
        <v>1996</v>
      </c>
      <c r="I3280">
        <v>27.339663253912398</v>
      </c>
      <c r="J3280">
        <v>14.1485715321132</v>
      </c>
      <c r="K3280">
        <v>67</v>
      </c>
      <c r="L3280">
        <v>14.260369587746</v>
      </c>
      <c r="M3280">
        <v>36.767730821881997</v>
      </c>
      <c r="N3280">
        <v>15.800000190734901</v>
      </c>
      <c r="O3280">
        <v>20.967730969340899</v>
      </c>
      <c r="P3280">
        <v>27.807394223253301</v>
      </c>
      <c r="Q3280">
        <v>27.107395367662502</v>
      </c>
      <c r="R3280">
        <v>28.607395367662399</v>
      </c>
      <c r="S3280">
        <v>25.039664016851901</v>
      </c>
      <c r="T3280">
        <v>670.27731092437</v>
      </c>
      <c r="U3280">
        <v>240.926050420168</v>
      </c>
      <c r="V3280">
        <v>0</v>
      </c>
      <c r="W3280">
        <v>146</v>
      </c>
      <c r="X3280">
        <v>570.27731092437</v>
      </c>
      <c r="Y3280">
        <v>0</v>
      </c>
      <c r="Z3280">
        <v>104.24873949579801</v>
      </c>
      <c r="AA3280">
        <v>2</v>
      </c>
      <c r="AB3280">
        <v>2.1157987274041701</v>
      </c>
      <c r="AC3280">
        <v>3.1684133469932999E-2</v>
      </c>
      <c r="AD3280">
        <v>1.1320277462486501</v>
      </c>
      <c r="AE3280">
        <v>0.71771846498761904</v>
      </c>
      <c r="AF3280">
        <v>16.368067226890801</v>
      </c>
      <c r="AG3280">
        <f>IFERROR(AH3280*0.1, "N/A")</f>
        <v>5.3684033613445408</v>
      </c>
      <c r="AH3280">
        <v>53.684033613445401</v>
      </c>
      <c r="AI3280">
        <v>172.62104843524301</v>
      </c>
      <c r="AJ3280">
        <v>7.9344537815126097</v>
      </c>
      <c r="AK3280">
        <v>86.636974789915996</v>
      </c>
    </row>
    <row r="3281" spans="1:37" x14ac:dyDescent="0.3">
      <c r="A3281">
        <v>3280</v>
      </c>
      <c r="B3281">
        <v>66</v>
      </c>
      <c r="C3281">
        <v>-14.295199999999999</v>
      </c>
      <c r="D3281">
        <v>13.940200000000001</v>
      </c>
      <c r="E3281">
        <f>-14.2952-13.9402</f>
        <v>-28.235399999999998</v>
      </c>
      <c r="F3281" t="s">
        <v>5372</v>
      </c>
      <c r="G3281" t="s">
        <v>39</v>
      </c>
      <c r="H3281">
        <v>2003</v>
      </c>
      <c r="I3281">
        <v>27.5</v>
      </c>
      <c r="J3281">
        <v>14.699999809265099</v>
      </c>
      <c r="K3281">
        <v>60</v>
      </c>
      <c r="L3281">
        <v>22.299999237060501</v>
      </c>
      <c r="M3281">
        <v>39.299999237060497</v>
      </c>
      <c r="N3281">
        <v>14.800000190734901</v>
      </c>
      <c r="O3281">
        <v>24.5</v>
      </c>
      <c r="P3281">
        <v>26.899999618530298</v>
      </c>
      <c r="Q3281">
        <v>26.5</v>
      </c>
      <c r="R3281">
        <v>30.5</v>
      </c>
      <c r="S3281">
        <v>24.799999237060501</v>
      </c>
      <c r="T3281">
        <v>706</v>
      </c>
      <c r="U3281">
        <v>210</v>
      </c>
      <c r="V3281">
        <v>0</v>
      </c>
      <c r="W3281">
        <v>130</v>
      </c>
      <c r="X3281">
        <v>547</v>
      </c>
      <c r="Y3281">
        <v>1</v>
      </c>
      <c r="Z3281">
        <v>94</v>
      </c>
      <c r="AA3281">
        <v>3</v>
      </c>
      <c r="AB3281">
        <v>1.60000085428634</v>
      </c>
      <c r="AC3281">
        <v>4.8135434731599203</v>
      </c>
      <c r="AD3281">
        <v>2.6032536405736999</v>
      </c>
      <c r="AE3281">
        <v>0.68959414958953902</v>
      </c>
      <c r="AF3281">
        <v>43.0472175379427</v>
      </c>
      <c r="AG3281">
        <f>IFERROR(AH3281*0.1, "N/A")</f>
        <v>5.58887015177066</v>
      </c>
      <c r="AH3281">
        <v>55.8887015177066</v>
      </c>
      <c r="AI3281">
        <v>70.115323287037498</v>
      </c>
      <c r="AJ3281">
        <v>14.8414839797639</v>
      </c>
      <c r="AK3281">
        <v>68.229342327150107</v>
      </c>
    </row>
    <row r="3282" spans="1:37" x14ac:dyDescent="0.3">
      <c r="A3282">
        <v>3281</v>
      </c>
      <c r="B3282">
        <v>20</v>
      </c>
      <c r="C3282">
        <v>-16.350000000000001</v>
      </c>
      <c r="D3282">
        <v>13.96</v>
      </c>
      <c r="E3282">
        <f>-16.35-13.96</f>
        <v>-30.310000000000002</v>
      </c>
      <c r="F3282" t="s">
        <v>5373</v>
      </c>
      <c r="G3282" t="s">
        <v>39</v>
      </c>
      <c r="H3282">
        <v>2003</v>
      </c>
      <c r="I3282">
        <v>27.399999618530298</v>
      </c>
      <c r="J3282">
        <v>14.199999809265099</v>
      </c>
      <c r="K3282">
        <v>67</v>
      </c>
      <c r="L3282">
        <v>14.339475449369999</v>
      </c>
      <c r="M3282">
        <v>36.799999237060497</v>
      </c>
      <c r="N3282">
        <v>15.800000190734901</v>
      </c>
      <c r="O3282">
        <v>21</v>
      </c>
      <c r="P3282">
        <v>27.829102562970501</v>
      </c>
      <c r="Q3282">
        <v>27.100000381469702</v>
      </c>
      <c r="R3282">
        <v>28.700000762939499</v>
      </c>
      <c r="S3282">
        <v>25.070897055559801</v>
      </c>
      <c r="T3282">
        <v>661.29103214889994</v>
      </c>
      <c r="U3282">
        <v>239.2910321489</v>
      </c>
      <c r="V3282">
        <v>0</v>
      </c>
      <c r="W3282">
        <v>145</v>
      </c>
      <c r="X3282">
        <v>563.29103214889994</v>
      </c>
      <c r="Y3282">
        <v>0</v>
      </c>
      <c r="Z3282">
        <v>185</v>
      </c>
      <c r="AA3282">
        <v>2</v>
      </c>
      <c r="AB3282">
        <v>3.09103237916975</v>
      </c>
      <c r="AC3282">
        <v>1.4381531258815E-2</v>
      </c>
      <c r="AD3282">
        <v>1.30269528302646</v>
      </c>
      <c r="AE3282">
        <v>0.70994055271148704</v>
      </c>
      <c r="AF3282">
        <v>12.4416243654822</v>
      </c>
      <c r="AG3282">
        <f>IFERROR(AH3282*0.1, "N/A")</f>
        <v>5.4018612521150606</v>
      </c>
      <c r="AH3282">
        <v>54.018612521150601</v>
      </c>
      <c r="AI3282">
        <v>141.06483120280899</v>
      </c>
      <c r="AJ3282">
        <v>14.445008460236901</v>
      </c>
      <c r="AK3282">
        <v>76.964467005076102</v>
      </c>
    </row>
    <row r="3283" spans="1:37" x14ac:dyDescent="0.3">
      <c r="A3283">
        <v>3282</v>
      </c>
      <c r="B3283">
        <v>80</v>
      </c>
      <c r="C3283">
        <v>-13.1333</v>
      </c>
      <c r="D3283">
        <v>13.966699999999999</v>
      </c>
      <c r="E3283">
        <f>-13.1333-13.9667</f>
        <v>-27.1</v>
      </c>
      <c r="F3283" t="s">
        <v>5374</v>
      </c>
      <c r="G3283" t="s">
        <v>39</v>
      </c>
      <c r="H3283">
        <v>2003</v>
      </c>
      <c r="I3283">
        <v>28.373400190462601</v>
      </c>
      <c r="J3283">
        <v>14</v>
      </c>
      <c r="K3283">
        <v>59</v>
      </c>
      <c r="L3283">
        <v>24.091817817302701</v>
      </c>
      <c r="M3283">
        <v>39.990909229625402</v>
      </c>
      <c r="N3283">
        <v>16.390908674760301</v>
      </c>
      <c r="O3283">
        <v>23.600000381469702</v>
      </c>
      <c r="P3283">
        <v>27.2343436732437</v>
      </c>
      <c r="Q3283">
        <v>27.399999618530298</v>
      </c>
      <c r="R3283">
        <v>31.864309420087899</v>
      </c>
      <c r="S3283">
        <v>25.690909819169502</v>
      </c>
      <c r="T3283">
        <v>740.34343434343396</v>
      </c>
      <c r="U3283">
        <v>202</v>
      </c>
      <c r="V3283">
        <v>0</v>
      </c>
      <c r="W3283">
        <v>127</v>
      </c>
      <c r="X3283">
        <v>564</v>
      </c>
      <c r="Y3283">
        <v>1</v>
      </c>
      <c r="Z3283">
        <v>113.343434343434</v>
      </c>
      <c r="AA3283">
        <v>3</v>
      </c>
      <c r="AB3283">
        <v>8.3239034787573001</v>
      </c>
      <c r="AC3283">
        <v>9.4904021664149005E-2</v>
      </c>
      <c r="AD3283">
        <v>1.27099465701717</v>
      </c>
      <c r="AE3283">
        <v>0.34532001614570601</v>
      </c>
      <c r="AF3283">
        <v>63.430976430976401</v>
      </c>
      <c r="AG3283">
        <f>IFERROR(AH3283*0.1, "N/A")</f>
        <v>6.1000000000000005</v>
      </c>
      <c r="AH3283">
        <v>61</v>
      </c>
      <c r="AI3283">
        <v>228.275777283742</v>
      </c>
      <c r="AJ3283">
        <v>25.454545454545499</v>
      </c>
      <c r="AK3283">
        <v>52.090909090909101</v>
      </c>
    </row>
    <row r="3284" spans="1:37" x14ac:dyDescent="0.3">
      <c r="A3284">
        <v>3283</v>
      </c>
      <c r="B3284">
        <v>64</v>
      </c>
      <c r="C3284">
        <v>-15.15</v>
      </c>
      <c r="D3284">
        <v>14</v>
      </c>
      <c r="E3284">
        <f>-15.15-14</f>
        <v>-29.15</v>
      </c>
      <c r="F3284" t="s">
        <v>5375</v>
      </c>
      <c r="G3284" t="s">
        <v>39</v>
      </c>
      <c r="H3284">
        <v>2003</v>
      </c>
      <c r="I3284">
        <v>27.299999237060501</v>
      </c>
      <c r="J3284">
        <v>15.300000190734901</v>
      </c>
      <c r="K3284">
        <v>62</v>
      </c>
      <c r="L3284">
        <v>19.513825909403302</v>
      </c>
      <c r="M3284">
        <v>39.099998474121101</v>
      </c>
      <c r="N3284">
        <v>14.6000003814697</v>
      </c>
      <c r="O3284">
        <v>24.5</v>
      </c>
      <c r="P3284">
        <v>27.100000381469702</v>
      </c>
      <c r="Q3284">
        <v>26.100000381469702</v>
      </c>
      <c r="R3284">
        <v>29.8892613225335</v>
      </c>
      <c r="S3284">
        <v>24.700000762939499</v>
      </c>
      <c r="T3284">
        <v>642.58389261745003</v>
      </c>
      <c r="U3284">
        <v>207</v>
      </c>
      <c r="V3284">
        <v>0</v>
      </c>
      <c r="W3284">
        <v>134</v>
      </c>
      <c r="X3284">
        <v>513.315436241611</v>
      </c>
      <c r="Y3284">
        <v>0</v>
      </c>
      <c r="Z3284">
        <v>70.892617449664399</v>
      </c>
      <c r="AA3284">
        <v>1</v>
      </c>
      <c r="AB3284">
        <v>0.73758381325126499</v>
      </c>
      <c r="AC3284">
        <v>0.83059160285723099</v>
      </c>
      <c r="AD3284">
        <v>0.851318918418564</v>
      </c>
      <c r="AE3284">
        <v>0.68243216988224298</v>
      </c>
      <c r="AF3284">
        <v>40.9261744966443</v>
      </c>
      <c r="AG3284">
        <f>IFERROR(AH3284*0.1, "N/A")</f>
        <v>5.7137583892617503</v>
      </c>
      <c r="AH3284">
        <v>57.137583892617499</v>
      </c>
      <c r="AI3284">
        <v>45.487409463664797</v>
      </c>
      <c r="AJ3284">
        <v>9.5738255033556996</v>
      </c>
      <c r="AK3284">
        <v>78.875838926174495</v>
      </c>
    </row>
    <row r="3285" spans="1:37" x14ac:dyDescent="0.3">
      <c r="A3285">
        <v>3284</v>
      </c>
      <c r="B3285">
        <v>26.200001</v>
      </c>
      <c r="C3285">
        <v>-14.75</v>
      </c>
      <c r="D3285">
        <v>14.0167</v>
      </c>
      <c r="E3285">
        <f>-14.75-14.0167</f>
        <v>-28.7667</v>
      </c>
      <c r="F3285" t="s">
        <v>5376</v>
      </c>
      <c r="G3285" t="s">
        <v>39</v>
      </c>
      <c r="H3285">
        <v>1996</v>
      </c>
      <c r="I3285">
        <v>27.5824623719034</v>
      </c>
      <c r="J3285">
        <v>15.1000003814697</v>
      </c>
      <c r="K3285">
        <v>61</v>
      </c>
      <c r="L3285">
        <v>20.655868218278801</v>
      </c>
      <c r="M3285">
        <v>39.456998969813</v>
      </c>
      <c r="N3285">
        <v>14.774536349922201</v>
      </c>
      <c r="O3285">
        <v>24.682462753373098</v>
      </c>
      <c r="P3285">
        <v>27.1254642222824</v>
      </c>
      <c r="Q3285">
        <v>26.456998149620901</v>
      </c>
      <c r="R3285">
        <v>30.299999237060501</v>
      </c>
      <c r="S3285">
        <v>24.899999618530298</v>
      </c>
      <c r="T3285">
        <v>681.079258010118</v>
      </c>
      <c r="U3285">
        <v>210.25463743676201</v>
      </c>
      <c r="V3285">
        <v>0</v>
      </c>
      <c r="W3285">
        <v>132.25463743676201</v>
      </c>
      <c r="X3285">
        <v>535.25463743676198</v>
      </c>
      <c r="Y3285">
        <v>0</v>
      </c>
      <c r="Z3285">
        <v>83.824620573355801</v>
      </c>
      <c r="AA3285">
        <v>2.1753794266441799</v>
      </c>
      <c r="AB3285">
        <v>2.7365937241012301</v>
      </c>
      <c r="AC3285">
        <v>4.4581317797611</v>
      </c>
      <c r="AD3285">
        <v>1.1465944566372901</v>
      </c>
      <c r="AE3285">
        <v>0.68130987882614102</v>
      </c>
      <c r="AF3285">
        <v>13.3676222596965</v>
      </c>
      <c r="AG3285">
        <f>IFERROR(AH3285*0.1, "N/A")</f>
        <v>6.5214165261382808</v>
      </c>
      <c r="AH3285">
        <v>65.214165261382803</v>
      </c>
      <c r="AI3285">
        <v>124.35147319877299</v>
      </c>
      <c r="AJ3285">
        <v>20.214165261382799</v>
      </c>
      <c r="AK3285">
        <v>59</v>
      </c>
    </row>
    <row r="3286" spans="1:37" x14ac:dyDescent="0.3">
      <c r="A3286">
        <v>3285</v>
      </c>
      <c r="B3286">
        <v>0</v>
      </c>
      <c r="C3286">
        <v>-14.75</v>
      </c>
      <c r="D3286">
        <v>14.0167</v>
      </c>
      <c r="E3286">
        <f>-14.75-14.0167</f>
        <v>-28.7667</v>
      </c>
      <c r="F3286" t="s">
        <v>5377</v>
      </c>
      <c r="G3286" t="s">
        <v>37</v>
      </c>
      <c r="H3286">
        <v>1996</v>
      </c>
      <c r="I3286">
        <v>27.5824623719034</v>
      </c>
      <c r="J3286">
        <v>15.1000003814697</v>
      </c>
      <c r="K3286">
        <v>61</v>
      </c>
      <c r="L3286">
        <v>20.655868218278801</v>
      </c>
      <c r="M3286">
        <v>39.456998969813</v>
      </c>
      <c r="N3286">
        <v>14.774536349922201</v>
      </c>
      <c r="O3286">
        <v>24.682462753373098</v>
      </c>
      <c r="P3286">
        <v>27.1254642222824</v>
      </c>
      <c r="Q3286">
        <v>26.456998149620901</v>
      </c>
      <c r="R3286">
        <v>30.299999237060501</v>
      </c>
      <c r="S3286">
        <v>24.899999618530298</v>
      </c>
      <c r="T3286">
        <v>681.079258010118</v>
      </c>
      <c r="U3286">
        <v>210.25463743676201</v>
      </c>
      <c r="V3286">
        <v>0</v>
      </c>
      <c r="W3286">
        <v>132.25463743676201</v>
      </c>
      <c r="X3286">
        <v>535.25463743676198</v>
      </c>
      <c r="Y3286">
        <v>0</v>
      </c>
      <c r="Z3286">
        <v>83.824620573355801</v>
      </c>
      <c r="AA3286">
        <v>2.1753794266441799</v>
      </c>
      <c r="AB3286">
        <v>2.7365937241012301</v>
      </c>
      <c r="AC3286">
        <v>4.4581317797611</v>
      </c>
      <c r="AD3286">
        <v>1.1465944566372901</v>
      </c>
      <c r="AE3286">
        <v>0.68130987882614102</v>
      </c>
      <c r="AF3286">
        <v>13.3676222596965</v>
      </c>
      <c r="AG3286">
        <f>IFERROR(AH3286*0.1, "N/A")</f>
        <v>6.5214165261382808</v>
      </c>
      <c r="AH3286">
        <v>65.214165261382803</v>
      </c>
      <c r="AI3286">
        <v>124.35147319877299</v>
      </c>
      <c r="AJ3286">
        <v>20.214165261382799</v>
      </c>
      <c r="AK3286">
        <v>59</v>
      </c>
    </row>
    <row r="3287" spans="1:37" x14ac:dyDescent="0.3">
      <c r="A3287">
        <v>3286</v>
      </c>
      <c r="B3287">
        <v>16</v>
      </c>
      <c r="C3287">
        <v>-15.81</v>
      </c>
      <c r="D3287">
        <v>14.02</v>
      </c>
      <c r="E3287">
        <f>-15.81-14.02</f>
        <v>-29.83</v>
      </c>
      <c r="F3287" t="s">
        <v>5378</v>
      </c>
      <c r="G3287" t="s">
        <v>39</v>
      </c>
      <c r="H3287">
        <v>2004</v>
      </c>
      <c r="I3287">
        <v>27.600000381469702</v>
      </c>
      <c r="J3287">
        <v>15.5</v>
      </c>
      <c r="K3287">
        <v>64</v>
      </c>
      <c r="L3287">
        <v>17.639999389648398</v>
      </c>
      <c r="M3287">
        <v>39</v>
      </c>
      <c r="N3287">
        <v>15.1000003814697</v>
      </c>
      <c r="O3287">
        <v>23.899999618530298</v>
      </c>
      <c r="P3287">
        <v>27.700000762939499</v>
      </c>
      <c r="Q3287">
        <v>27.899999618530298</v>
      </c>
      <c r="R3287">
        <v>29.700000762939499</v>
      </c>
      <c r="S3287">
        <v>25</v>
      </c>
      <c r="T3287">
        <v>608</v>
      </c>
      <c r="U3287">
        <v>204</v>
      </c>
      <c r="V3287">
        <v>0</v>
      </c>
      <c r="W3287">
        <v>140</v>
      </c>
      <c r="X3287">
        <v>506</v>
      </c>
      <c r="Y3287">
        <v>0</v>
      </c>
      <c r="Z3287">
        <v>50</v>
      </c>
      <c r="AA3287">
        <v>3</v>
      </c>
      <c r="AB3287">
        <v>0.36783931163487499</v>
      </c>
      <c r="AC3287">
        <v>1.7136331574735499</v>
      </c>
      <c r="AD3287">
        <v>1.21307433060865</v>
      </c>
      <c r="AE3287">
        <v>0.70838683843612704</v>
      </c>
      <c r="AF3287">
        <v>24.147403685092101</v>
      </c>
      <c r="AG3287">
        <f>IFERROR(AH3287*0.1, "N/A")</f>
        <v>5.6087102177554407</v>
      </c>
      <c r="AH3287">
        <v>56.087102177554399</v>
      </c>
      <c r="AI3287">
        <v>135.97928464752101</v>
      </c>
      <c r="AJ3287">
        <v>5.7822445561139002</v>
      </c>
      <c r="AK3287">
        <v>87.621440536013395</v>
      </c>
    </row>
    <row r="3288" spans="1:37" x14ac:dyDescent="0.3">
      <c r="A3288">
        <v>3287</v>
      </c>
      <c r="B3288">
        <v>22</v>
      </c>
      <c r="C3288">
        <v>-15.1914</v>
      </c>
      <c r="D3288">
        <v>14.020799999999999</v>
      </c>
      <c r="E3288">
        <f>-15.1914-14.0208</f>
        <v>-29.212199999999999</v>
      </c>
      <c r="F3288" t="s">
        <v>5379</v>
      </c>
      <c r="G3288" t="s">
        <v>39</v>
      </c>
      <c r="H3288">
        <v>2001</v>
      </c>
      <c r="I3288">
        <v>27.299999237060501</v>
      </c>
      <c r="J3288">
        <v>15.3999996185303</v>
      </c>
      <c r="K3288">
        <v>62</v>
      </c>
      <c r="L3288">
        <v>19.6130585838767</v>
      </c>
      <c r="M3288">
        <v>39.200000762939503</v>
      </c>
      <c r="N3288">
        <v>14.6000003814697</v>
      </c>
      <c r="O3288">
        <v>24.600000381469702</v>
      </c>
      <c r="P3288">
        <v>27.200000762939499</v>
      </c>
      <c r="Q3288">
        <v>28</v>
      </c>
      <c r="R3288">
        <v>29.899999618530298</v>
      </c>
      <c r="S3288">
        <v>24.651765284818801</v>
      </c>
      <c r="T3288">
        <v>636.55294117647099</v>
      </c>
      <c r="U3288">
        <v>205.517647058824</v>
      </c>
      <c r="V3288">
        <v>0</v>
      </c>
      <c r="W3288">
        <v>133.964705882353</v>
      </c>
      <c r="X3288">
        <v>510.03529411764703</v>
      </c>
      <c r="Y3288">
        <v>0</v>
      </c>
      <c r="Z3288">
        <v>68</v>
      </c>
      <c r="AA3288">
        <v>2</v>
      </c>
      <c r="AB3288">
        <v>6.41092372541668</v>
      </c>
      <c r="AC3288">
        <v>2.3708664633708999E-2</v>
      </c>
      <c r="AD3288">
        <v>2.24109623372054</v>
      </c>
      <c r="AE3288">
        <v>0.68397581577301003</v>
      </c>
      <c r="AF3288">
        <v>33.715966386554598</v>
      </c>
      <c r="AG3288">
        <f>IFERROR(AH3288*0.1, "N/A")</f>
        <v>5.8521008403361403</v>
      </c>
      <c r="AH3288">
        <v>58.5210084033614</v>
      </c>
      <c r="AI3288">
        <v>167.85089042086599</v>
      </c>
      <c r="AJ3288">
        <v>11</v>
      </c>
      <c r="AK3288">
        <v>75.998319327731096</v>
      </c>
    </row>
    <row r="3289" spans="1:37" x14ac:dyDescent="0.3">
      <c r="A3289">
        <v>3288</v>
      </c>
      <c r="B3289">
        <v>6.5</v>
      </c>
      <c r="C3289">
        <v>-13.166700000000001</v>
      </c>
      <c r="D3289">
        <v>14.033300000000001</v>
      </c>
      <c r="E3289">
        <f>-13.1667-14.0333</f>
        <v>-27.200000000000003</v>
      </c>
      <c r="F3289" t="s">
        <v>5380</v>
      </c>
      <c r="G3289" t="s">
        <v>39</v>
      </c>
      <c r="H3289">
        <v>2004</v>
      </c>
      <c r="I3289">
        <v>28.299999237060501</v>
      </c>
      <c r="J3289">
        <v>14.1000003814697</v>
      </c>
      <c r="K3289">
        <v>59</v>
      </c>
      <c r="L3289">
        <v>24.1361451486144</v>
      </c>
      <c r="M3289">
        <v>40</v>
      </c>
      <c r="N3289">
        <v>16.200000762939499</v>
      </c>
      <c r="O3289">
        <v>23.799999237060501</v>
      </c>
      <c r="P3289">
        <v>27.200000762939499</v>
      </c>
      <c r="Q3289">
        <v>27.299999237060501</v>
      </c>
      <c r="R3289">
        <v>31.700000762939499</v>
      </c>
      <c r="S3289">
        <v>25.600000381469702</v>
      </c>
      <c r="T3289">
        <v>742.93265993266004</v>
      </c>
      <c r="U3289">
        <v>203</v>
      </c>
      <c r="V3289">
        <v>0</v>
      </c>
      <c r="W3289">
        <v>127.60606060606101</v>
      </c>
      <c r="X3289">
        <v>566.93265993266004</v>
      </c>
      <c r="Y3289">
        <v>1</v>
      </c>
      <c r="Z3289">
        <v>113</v>
      </c>
      <c r="AA3289">
        <v>3</v>
      </c>
      <c r="AB3289">
        <v>0.60252278260510395</v>
      </c>
      <c r="AC3289">
        <v>3.7953898643053E-2</v>
      </c>
      <c r="AD3289">
        <v>0.91353203481696699</v>
      </c>
      <c r="AE3289">
        <v>0.417180866003036</v>
      </c>
      <c r="AF3289">
        <v>62.808080808080803</v>
      </c>
      <c r="AG3289">
        <f>IFERROR(AH3289*0.1, "N/A")</f>
        <v>6.741919191919191</v>
      </c>
      <c r="AH3289">
        <v>67.419191919191903</v>
      </c>
      <c r="AI3289">
        <v>200.35242647113199</v>
      </c>
      <c r="AJ3289">
        <v>20.8434343434343</v>
      </c>
      <c r="AK3289">
        <v>55.616161616161598</v>
      </c>
    </row>
    <row r="3290" spans="1:37" x14ac:dyDescent="0.3">
      <c r="A3290">
        <v>3289</v>
      </c>
      <c r="B3290">
        <v>38</v>
      </c>
      <c r="C3290">
        <v>-16.049999</v>
      </c>
      <c r="D3290">
        <v>14.05</v>
      </c>
      <c r="E3290">
        <f>-16.049999-14.05</f>
        <v>-30.099999</v>
      </c>
      <c r="F3290" t="s">
        <v>5381</v>
      </c>
      <c r="G3290" t="s">
        <v>39</v>
      </c>
      <c r="H3290">
        <v>2004</v>
      </c>
      <c r="I3290">
        <v>28</v>
      </c>
      <c r="J3290">
        <v>15.3999996185303</v>
      </c>
      <c r="K3290">
        <v>66</v>
      </c>
      <c r="L3290">
        <v>16.056767622629799</v>
      </c>
      <c r="M3290">
        <v>39</v>
      </c>
      <c r="N3290">
        <v>15.7257574832801</v>
      </c>
      <c r="O3290">
        <v>23.274242054332401</v>
      </c>
      <c r="P3290">
        <v>28.200000762939499</v>
      </c>
      <c r="Q3290">
        <v>28</v>
      </c>
      <c r="R3290">
        <v>29.753703647189699</v>
      </c>
      <c r="S3290">
        <v>25.525757674014901</v>
      </c>
      <c r="T3290">
        <v>639.26767676767702</v>
      </c>
      <c r="U3290">
        <v>224.06228956229</v>
      </c>
      <c r="V3290">
        <v>0</v>
      </c>
      <c r="W3290">
        <v>142</v>
      </c>
      <c r="X3290">
        <v>537.26767676767702</v>
      </c>
      <c r="Y3290">
        <v>0</v>
      </c>
      <c r="Z3290">
        <v>49</v>
      </c>
      <c r="AA3290">
        <v>2</v>
      </c>
      <c r="AB3290">
        <v>7.0973064168936499</v>
      </c>
      <c r="AC3290">
        <v>1.0587814376887E-2</v>
      </c>
      <c r="AD3290">
        <v>0.75363286461693701</v>
      </c>
      <c r="AE3290">
        <v>0.71661192178726196</v>
      </c>
      <c r="AF3290">
        <v>14.749158249158199</v>
      </c>
      <c r="AG3290">
        <f>IFERROR(AH3290*0.1, "N/A")</f>
        <v>5.8000000000000007</v>
      </c>
      <c r="AH3290">
        <v>58</v>
      </c>
      <c r="AI3290">
        <v>201.23610268538201</v>
      </c>
      <c r="AJ3290">
        <v>9.6801346801346799</v>
      </c>
      <c r="AK3290">
        <v>83</v>
      </c>
    </row>
    <row r="3291" spans="1:37" x14ac:dyDescent="0.3">
      <c r="A3291">
        <v>3290</v>
      </c>
      <c r="B3291">
        <v>86</v>
      </c>
      <c r="C3291">
        <v>-15.2333</v>
      </c>
      <c r="D3291">
        <v>14.05</v>
      </c>
      <c r="E3291">
        <f>-15.2333-14.05</f>
        <v>-29.283300000000001</v>
      </c>
      <c r="F3291" t="s">
        <v>5382</v>
      </c>
      <c r="G3291" t="s">
        <v>39</v>
      </c>
      <c r="H3291">
        <v>2003</v>
      </c>
      <c r="I3291">
        <v>27.321716491622201</v>
      </c>
      <c r="J3291">
        <v>15.3999996185303</v>
      </c>
      <c r="K3291">
        <v>62.175084175084201</v>
      </c>
      <c r="L3291">
        <v>19.376565406619498</v>
      </c>
      <c r="M3291">
        <v>39.121716142904901</v>
      </c>
      <c r="N3291">
        <v>14.6175086987942</v>
      </c>
      <c r="O3291">
        <v>24.504208770263901</v>
      </c>
      <c r="P3291">
        <v>27.221717603278901</v>
      </c>
      <c r="Q3291">
        <v>27.921716873091899</v>
      </c>
      <c r="R3291">
        <v>29.882491134232499</v>
      </c>
      <c r="S3291">
        <v>24.700000762939499</v>
      </c>
      <c r="T3291">
        <v>630.56565656565704</v>
      </c>
      <c r="U3291">
        <v>204</v>
      </c>
      <c r="V3291">
        <v>0</v>
      </c>
      <c r="W3291">
        <v>135</v>
      </c>
      <c r="X3291">
        <v>507</v>
      </c>
      <c r="Y3291">
        <v>0</v>
      </c>
      <c r="Z3291">
        <v>65.782828282828305</v>
      </c>
      <c r="AA3291">
        <v>2</v>
      </c>
      <c r="AB3291">
        <v>5.1626268894182701</v>
      </c>
      <c r="AC3291">
        <v>9.6448905706430998E-2</v>
      </c>
      <c r="AD3291">
        <v>1.6087388362146</v>
      </c>
      <c r="AE3291">
        <v>0.68365055322647095</v>
      </c>
      <c r="AF3291">
        <v>28.717171717171698</v>
      </c>
      <c r="AG3291">
        <f>IFERROR(AH3291*0.1, "N/A")</f>
        <v>6.1000000000000005</v>
      </c>
      <c r="AH3291">
        <v>61</v>
      </c>
      <c r="AI3291">
        <v>231.94409254183299</v>
      </c>
      <c r="AJ3291">
        <v>15.565656565656599</v>
      </c>
      <c r="AK3291">
        <v>65.085858585858603</v>
      </c>
    </row>
    <row r="3292" spans="1:37" x14ac:dyDescent="0.3">
      <c r="A3292">
        <v>3291</v>
      </c>
      <c r="B3292">
        <v>5.4</v>
      </c>
      <c r="C3292">
        <v>-16.642499999999998</v>
      </c>
      <c r="D3292">
        <v>14.0532</v>
      </c>
      <c r="E3292">
        <f>-16.6425-14.0532</f>
        <v>-30.695699999999999</v>
      </c>
      <c r="F3292" t="s">
        <v>5383</v>
      </c>
      <c r="G3292" t="s">
        <v>39</v>
      </c>
      <c r="H3292">
        <v>1958</v>
      </c>
      <c r="I3292">
        <v>26.799999237060501</v>
      </c>
      <c r="J3292">
        <v>13.199999809265099</v>
      </c>
      <c r="K3292">
        <v>68</v>
      </c>
      <c r="L3292">
        <v>14.569999694824199</v>
      </c>
      <c r="M3292">
        <v>35</v>
      </c>
      <c r="N3292">
        <v>15.699999809265099</v>
      </c>
      <c r="O3292">
        <v>19.299999237060501</v>
      </c>
      <c r="P3292">
        <v>27.600000381469702</v>
      </c>
      <c r="Q3292">
        <v>26.100000381469702</v>
      </c>
      <c r="R3292">
        <v>28</v>
      </c>
      <c r="S3292">
        <v>24.399999618530298</v>
      </c>
      <c r="T3292">
        <v>685</v>
      </c>
      <c r="U3292">
        <v>267</v>
      </c>
      <c r="V3292">
        <v>0</v>
      </c>
      <c r="W3292">
        <v>150</v>
      </c>
      <c r="X3292">
        <v>593</v>
      </c>
      <c r="Y3292">
        <v>0</v>
      </c>
      <c r="Z3292">
        <v>174</v>
      </c>
      <c r="AA3292">
        <v>2</v>
      </c>
      <c r="AB3292">
        <v>4.5996626935157998</v>
      </c>
      <c r="AC3292">
        <v>9.4302590012950004E-3</v>
      </c>
      <c r="AD3292">
        <v>0.37840372329015598</v>
      </c>
      <c r="AE3292">
        <v>0.51355075836181596</v>
      </c>
      <c r="AF3292">
        <v>7.14502529510961</v>
      </c>
      <c r="AG3292">
        <f>IFERROR(AH3292*0.1, "N/A")</f>
        <v>6.1042158516020208</v>
      </c>
      <c r="AH3292">
        <v>61.042158516020201</v>
      </c>
      <c r="AI3292">
        <v>97.560497393294497</v>
      </c>
      <c r="AJ3292">
        <v>17.521079258010101</v>
      </c>
      <c r="AK3292">
        <v>62.873524451939304</v>
      </c>
    </row>
    <row r="3293" spans="1:37" x14ac:dyDescent="0.3">
      <c r="A3293">
        <v>3292</v>
      </c>
      <c r="B3293">
        <v>36</v>
      </c>
      <c r="C3293">
        <v>-16.040001</v>
      </c>
      <c r="D3293">
        <v>14.06</v>
      </c>
      <c r="E3293">
        <f>-16.040001-14.06</f>
        <v>-30.100000999999999</v>
      </c>
      <c r="F3293" t="s">
        <v>5384</v>
      </c>
      <c r="G3293" t="s">
        <v>39</v>
      </c>
      <c r="H3293">
        <v>2003</v>
      </c>
      <c r="I3293">
        <v>28</v>
      </c>
      <c r="J3293">
        <v>15.5</v>
      </c>
      <c r="K3293">
        <v>65</v>
      </c>
      <c r="L3293">
        <v>16.379999160766602</v>
      </c>
      <c r="M3293">
        <v>39.099998474121101</v>
      </c>
      <c r="N3293">
        <v>15.6000003814697</v>
      </c>
      <c r="O3293">
        <v>23.5</v>
      </c>
      <c r="P3293">
        <v>28.200000762939499</v>
      </c>
      <c r="Q3293">
        <v>28</v>
      </c>
      <c r="R3293">
        <v>29.799999237060501</v>
      </c>
      <c r="S3293">
        <v>25.5</v>
      </c>
      <c r="T3293">
        <v>637</v>
      </c>
      <c r="U3293">
        <v>223</v>
      </c>
      <c r="V3293">
        <v>0</v>
      </c>
      <c r="W3293">
        <v>141</v>
      </c>
      <c r="X3293">
        <v>535</v>
      </c>
      <c r="Y3293">
        <v>0</v>
      </c>
      <c r="Z3293">
        <v>48</v>
      </c>
      <c r="AA3293">
        <v>2</v>
      </c>
      <c r="AB3293">
        <v>1.1154622887362999</v>
      </c>
      <c r="AC3293">
        <v>0.14105897896117001</v>
      </c>
      <c r="AD3293">
        <v>0.65659593529060101</v>
      </c>
      <c r="AE3293">
        <v>0.71273386478424094</v>
      </c>
      <c r="AF3293">
        <v>12.3848739495798</v>
      </c>
      <c r="AG3293">
        <f>IFERROR(AH3293*0.1, "N/A")</f>
        <v>5.5878991596638601</v>
      </c>
      <c r="AH3293">
        <v>55.878991596638599</v>
      </c>
      <c r="AI3293">
        <v>154.65306589463199</v>
      </c>
      <c r="AJ3293">
        <v>9.4302521008403293</v>
      </c>
      <c r="AK3293">
        <v>84.6386554621849</v>
      </c>
    </row>
    <row r="3294" spans="1:37" x14ac:dyDescent="0.3">
      <c r="A3294">
        <v>3293</v>
      </c>
      <c r="B3294">
        <v>11.5</v>
      </c>
      <c r="C3294">
        <v>-15.25</v>
      </c>
      <c r="D3294">
        <v>14.066700000000001</v>
      </c>
      <c r="E3294">
        <f>-15.25-14.0667</f>
        <v>-29.316700000000001</v>
      </c>
      <c r="F3294" t="s">
        <v>5385</v>
      </c>
      <c r="G3294" t="s">
        <v>39</v>
      </c>
      <c r="H3294">
        <v>2001</v>
      </c>
      <c r="I3294">
        <v>27.299999237060501</v>
      </c>
      <c r="J3294">
        <v>15.4499160568518</v>
      </c>
      <c r="K3294">
        <v>62.499162479062001</v>
      </c>
      <c r="L3294">
        <v>19.224271336592199</v>
      </c>
      <c r="M3294">
        <v>39.067168154309101</v>
      </c>
      <c r="N3294">
        <v>14.600000068370599</v>
      </c>
      <c r="O3294">
        <v>24.467169053989799</v>
      </c>
      <c r="P3294">
        <v>27.2015076514265</v>
      </c>
      <c r="Q3294">
        <v>27.867168672520101</v>
      </c>
      <c r="R3294">
        <v>29.7671689172486</v>
      </c>
      <c r="S3294">
        <v>24.632831327479899</v>
      </c>
      <c r="T3294">
        <v>626.50083752093803</v>
      </c>
      <c r="U3294">
        <v>203.67169179229501</v>
      </c>
      <c r="V3294">
        <v>0</v>
      </c>
      <c r="W3294">
        <v>135</v>
      </c>
      <c r="X3294">
        <v>506.32830820770499</v>
      </c>
      <c r="Y3294">
        <v>0</v>
      </c>
      <c r="Z3294">
        <v>63.172529313232801</v>
      </c>
      <c r="AA3294">
        <v>2</v>
      </c>
      <c r="AB3294">
        <v>2.4557792465491102</v>
      </c>
      <c r="AC3294">
        <v>0.13481430457577301</v>
      </c>
      <c r="AD3294">
        <v>1.65865632916615</v>
      </c>
      <c r="AE3294">
        <v>0.68426573276519798</v>
      </c>
      <c r="AF3294">
        <v>30.0519262981575</v>
      </c>
      <c r="AG3294">
        <f>IFERROR(AH3294*0.1, "N/A")</f>
        <v>5.9969849246231206</v>
      </c>
      <c r="AH3294">
        <v>59.969849246231199</v>
      </c>
      <c r="AI3294">
        <v>139.48419460379699</v>
      </c>
      <c r="AJ3294">
        <v>11</v>
      </c>
      <c r="AK3294">
        <v>75.656616415410397</v>
      </c>
    </row>
    <row r="3295" spans="1:37" x14ac:dyDescent="0.3">
      <c r="A3295">
        <v>3294</v>
      </c>
      <c r="B3295">
        <v>16</v>
      </c>
      <c r="C3295">
        <v>-15.933299999999999</v>
      </c>
      <c r="D3295">
        <v>14.066700000000001</v>
      </c>
      <c r="E3295">
        <f>-15.9333-14.0667</f>
        <v>-30</v>
      </c>
      <c r="F3295" t="s">
        <v>5386</v>
      </c>
      <c r="G3295" t="s">
        <v>39</v>
      </c>
      <c r="H3295">
        <v>2004</v>
      </c>
      <c r="I3295">
        <v>27.899999618530298</v>
      </c>
      <c r="J3295">
        <v>15.5703022816037</v>
      </c>
      <c r="K3295">
        <v>65</v>
      </c>
      <c r="L3295">
        <v>16.799613984639201</v>
      </c>
      <c r="M3295">
        <v>39.200000762939503</v>
      </c>
      <c r="N3295">
        <v>15.3999996185303</v>
      </c>
      <c r="O3295">
        <v>23.799999237060501</v>
      </c>
      <c r="P3295">
        <v>28.050000190734899</v>
      </c>
      <c r="Q3295">
        <v>28.050000190734899</v>
      </c>
      <c r="R3295">
        <v>29.848321569045901</v>
      </c>
      <c r="S3295">
        <v>25.381375386410902</v>
      </c>
      <c r="T3295">
        <v>623.27852348993304</v>
      </c>
      <c r="U3295">
        <v>212.88926174496601</v>
      </c>
      <c r="V3295">
        <v>0</v>
      </c>
      <c r="W3295">
        <v>141.22147651006699</v>
      </c>
      <c r="X3295">
        <v>521.27852348993304</v>
      </c>
      <c r="Y3295">
        <v>0</v>
      </c>
      <c r="Z3295">
        <v>49</v>
      </c>
      <c r="AA3295">
        <v>2</v>
      </c>
      <c r="AB3295">
        <v>4.08691296801471</v>
      </c>
      <c r="AC3295">
        <v>8.5358500785363001E-2</v>
      </c>
      <c r="AD3295">
        <v>1.32441392930962</v>
      </c>
      <c r="AE3295">
        <v>0.74922382831573497</v>
      </c>
      <c r="AF3295">
        <v>10.4546979865772</v>
      </c>
      <c r="AG3295">
        <f>IFERROR(AH3295*0.1, "N/A")</f>
        <v>5.6000000000000005</v>
      </c>
      <c r="AH3295">
        <v>56</v>
      </c>
      <c r="AI3295">
        <v>177.69186592102099</v>
      </c>
      <c r="AJ3295">
        <v>7</v>
      </c>
      <c r="AK3295">
        <v>83</v>
      </c>
    </row>
    <row r="3296" spans="1:37" x14ac:dyDescent="0.3">
      <c r="A3296">
        <v>3295</v>
      </c>
      <c r="B3296">
        <v>47.299999</v>
      </c>
      <c r="C3296">
        <v>-13.1333</v>
      </c>
      <c r="D3296">
        <v>14.066700000000001</v>
      </c>
      <c r="E3296">
        <f>-13.1333-14.0667</f>
        <v>-27.200000000000003</v>
      </c>
      <c r="F3296" t="s">
        <v>5387</v>
      </c>
      <c r="G3296" t="s">
        <v>39</v>
      </c>
      <c r="H3296">
        <v>2004</v>
      </c>
      <c r="I3296">
        <v>28.220805814602201</v>
      </c>
      <c r="J3296">
        <v>14.1000003814697</v>
      </c>
      <c r="K3296">
        <v>59</v>
      </c>
      <c r="L3296">
        <v>23.8588257924022</v>
      </c>
      <c r="M3296">
        <v>39.920806577541697</v>
      </c>
      <c r="N3296">
        <v>16.200000762939499</v>
      </c>
      <c r="O3296">
        <v>23.720805814602201</v>
      </c>
      <c r="P3296">
        <v>27.200000762939499</v>
      </c>
      <c r="Q3296">
        <v>27.220805814602201</v>
      </c>
      <c r="R3296">
        <v>31.6431213513317</v>
      </c>
      <c r="S3296">
        <v>25.600000381469702</v>
      </c>
      <c r="T3296">
        <v>747.22315436241604</v>
      </c>
      <c r="U3296">
        <v>206</v>
      </c>
      <c r="V3296">
        <v>0</v>
      </c>
      <c r="W3296">
        <v>127</v>
      </c>
      <c r="X3296">
        <v>571</v>
      </c>
      <c r="Y3296">
        <v>1</v>
      </c>
      <c r="Z3296">
        <v>114</v>
      </c>
      <c r="AA3296">
        <v>3</v>
      </c>
      <c r="AB3296">
        <v>0.412080143922127</v>
      </c>
      <c r="AC3296">
        <v>16.2715175644488</v>
      </c>
      <c r="AD3296">
        <v>1.47698376402759</v>
      </c>
      <c r="AE3296">
        <v>0.56040072441101096</v>
      </c>
      <c r="AF3296">
        <v>58.154362416107404</v>
      </c>
      <c r="AG3296">
        <f>IFERROR(AH3296*0.1, "N/A")</f>
        <v>5.5431208053691305</v>
      </c>
      <c r="AH3296">
        <v>55.4312080536913</v>
      </c>
      <c r="AI3296">
        <v>179.50757609117801</v>
      </c>
      <c r="AJ3296">
        <v>13.706375838926199</v>
      </c>
      <c r="AK3296">
        <v>68.8624161073826</v>
      </c>
    </row>
    <row r="3297" spans="1:37" x14ac:dyDescent="0.3">
      <c r="A3297">
        <v>3296</v>
      </c>
      <c r="B3297">
        <v>46</v>
      </c>
      <c r="C3297">
        <v>-15.5167</v>
      </c>
      <c r="D3297">
        <v>14.066700000000001</v>
      </c>
      <c r="E3297">
        <f>-15.5167-14.0667</f>
        <v>-29.583400000000001</v>
      </c>
      <c r="F3297" t="s">
        <v>5388</v>
      </c>
      <c r="G3297" t="s">
        <v>39</v>
      </c>
      <c r="H3297">
        <v>2003</v>
      </c>
      <c r="I3297">
        <v>27.328570774623302</v>
      </c>
      <c r="J3297">
        <v>15.528571537562801</v>
      </c>
      <c r="K3297">
        <v>63.285714285714299</v>
      </c>
      <c r="L3297">
        <v>18.574487179668001</v>
      </c>
      <c r="M3297">
        <v>39.028570992605999</v>
      </c>
      <c r="N3297">
        <v>14.7285713468279</v>
      </c>
      <c r="O3297">
        <v>24.299999237060501</v>
      </c>
      <c r="P3297">
        <v>27.3578145836582</v>
      </c>
      <c r="Q3297">
        <v>27.728571755545499</v>
      </c>
      <c r="R3297">
        <v>29.628571919032499</v>
      </c>
      <c r="S3297">
        <v>24.628571919032499</v>
      </c>
      <c r="T3297">
        <v>599.91764705882304</v>
      </c>
      <c r="U3297">
        <v>195.20840336134501</v>
      </c>
      <c r="V3297">
        <v>0</v>
      </c>
      <c r="W3297">
        <v>136.998319327731</v>
      </c>
      <c r="X3297">
        <v>490.91764705882298</v>
      </c>
      <c r="Y3297">
        <v>0</v>
      </c>
      <c r="Z3297">
        <v>55</v>
      </c>
      <c r="AA3297">
        <v>3</v>
      </c>
      <c r="AB3297">
        <v>1.05008368612338</v>
      </c>
      <c r="AC3297">
        <v>16.010159987705801</v>
      </c>
      <c r="AD3297">
        <v>1.2583157389103901</v>
      </c>
      <c r="AE3297">
        <v>0.70118427276611295</v>
      </c>
      <c r="AF3297">
        <v>23.9294117647059</v>
      </c>
      <c r="AG3297">
        <f>IFERROR(AH3297*0.1, "N/A")</f>
        <v>5.6421848739495806</v>
      </c>
      <c r="AH3297">
        <v>56.4218487394958</v>
      </c>
      <c r="AI3297">
        <v>159.77352947587701</v>
      </c>
      <c r="AJ3297">
        <v>9.4218487394958004</v>
      </c>
      <c r="AK3297">
        <v>79.5781512605042</v>
      </c>
    </row>
    <row r="3298" spans="1:37" x14ac:dyDescent="0.3">
      <c r="A3298">
        <v>3297</v>
      </c>
      <c r="B3298">
        <v>14</v>
      </c>
      <c r="C3298">
        <v>-16.48</v>
      </c>
      <c r="D3298">
        <v>14.08</v>
      </c>
      <c r="E3298">
        <f>-16.48-14.08</f>
        <v>-30.560000000000002</v>
      </c>
      <c r="F3298" t="s">
        <v>5389</v>
      </c>
      <c r="G3298" t="s">
        <v>39</v>
      </c>
      <c r="H3298">
        <v>2003</v>
      </c>
      <c r="I3298">
        <v>27</v>
      </c>
      <c r="J3298">
        <v>14</v>
      </c>
      <c r="K3298">
        <v>68</v>
      </c>
      <c r="L3298">
        <v>14.920000076293899</v>
      </c>
      <c r="M3298">
        <v>36</v>
      </c>
      <c r="N3298">
        <v>15.5</v>
      </c>
      <c r="O3298">
        <v>20.5</v>
      </c>
      <c r="P3298">
        <v>27.700000762939499</v>
      </c>
      <c r="Q3298">
        <v>26.600000381469702</v>
      </c>
      <c r="R3298">
        <v>28.399999618530298</v>
      </c>
      <c r="S3298">
        <v>24.600000381469702</v>
      </c>
      <c r="T3298">
        <v>660</v>
      </c>
      <c r="U3298">
        <v>251</v>
      </c>
      <c r="V3298">
        <v>0</v>
      </c>
      <c r="W3298">
        <v>148</v>
      </c>
      <c r="X3298">
        <v>569</v>
      </c>
      <c r="Y3298">
        <v>0</v>
      </c>
      <c r="Z3298">
        <v>173</v>
      </c>
      <c r="AA3298">
        <v>2</v>
      </c>
      <c r="AB3298">
        <v>1.5870368087331801</v>
      </c>
      <c r="AC3298">
        <v>0.11526326917626099</v>
      </c>
      <c r="AD3298">
        <v>0.844603036589895</v>
      </c>
      <c r="AE3298">
        <v>0.67992275953292802</v>
      </c>
      <c r="AF3298">
        <v>4.8299663299663296</v>
      </c>
      <c r="AG3298">
        <f>IFERROR(AH3298*0.1, "N/A")</f>
        <v>5.8329966329966298</v>
      </c>
      <c r="AH3298">
        <v>58.329966329966297</v>
      </c>
      <c r="AI3298">
        <v>151.85246384745901</v>
      </c>
      <c r="AJ3298">
        <v>16.353535353535399</v>
      </c>
      <c r="AK3298">
        <v>65.962962962963005</v>
      </c>
    </row>
    <row r="3299" spans="1:37" x14ac:dyDescent="0.3">
      <c r="A3299">
        <v>3298</v>
      </c>
      <c r="B3299">
        <v>13.5</v>
      </c>
      <c r="C3299">
        <v>-15.3</v>
      </c>
      <c r="D3299">
        <v>14.083299999999999</v>
      </c>
      <c r="E3299">
        <f>-15.3-14.0833</f>
        <v>-29.383299999999998</v>
      </c>
      <c r="F3299" t="s">
        <v>5390</v>
      </c>
      <c r="G3299" t="s">
        <v>39</v>
      </c>
      <c r="H3299">
        <v>2001</v>
      </c>
      <c r="I3299">
        <v>27.200000762939499</v>
      </c>
      <c r="J3299">
        <v>15.5</v>
      </c>
      <c r="K3299">
        <v>63</v>
      </c>
      <c r="L3299">
        <v>19.122840442176599</v>
      </c>
      <c r="M3299">
        <v>38.900001525878899</v>
      </c>
      <c r="N3299">
        <v>14.5</v>
      </c>
      <c r="O3299">
        <v>24.399999618530298</v>
      </c>
      <c r="P3299">
        <v>27.100000381469702</v>
      </c>
      <c r="Q3299">
        <v>27.700000762939499</v>
      </c>
      <c r="R3299">
        <v>29.600000381469702</v>
      </c>
      <c r="S3299">
        <v>24.5</v>
      </c>
      <c r="T3299">
        <v>618.011764705882</v>
      </c>
      <c r="U3299">
        <v>200.67058823529399</v>
      </c>
      <c r="V3299">
        <v>0</v>
      </c>
      <c r="W3299">
        <v>136</v>
      </c>
      <c r="X3299">
        <v>501.34117647058798</v>
      </c>
      <c r="Y3299">
        <v>0</v>
      </c>
      <c r="Z3299">
        <v>60.670588235294098</v>
      </c>
      <c r="AA3299">
        <v>2</v>
      </c>
      <c r="AB3299">
        <v>2.3389902900247002</v>
      </c>
      <c r="AC3299">
        <v>1.5058046483881E-2</v>
      </c>
      <c r="AD3299">
        <v>1.5585407220515901</v>
      </c>
      <c r="AE3299">
        <v>0.68258899450302102</v>
      </c>
      <c r="AF3299">
        <v>43.8403361344538</v>
      </c>
      <c r="AG3299">
        <f>IFERROR(AH3299*0.1, "N/A")</f>
        <v>5.8000000000000007</v>
      </c>
      <c r="AH3299">
        <v>58</v>
      </c>
      <c r="AI3299">
        <v>145.386398411599</v>
      </c>
      <c r="AJ3299">
        <v>9.4907563025210102</v>
      </c>
      <c r="AK3299">
        <v>76.815126050420204</v>
      </c>
    </row>
    <row r="3300" spans="1:37" x14ac:dyDescent="0.3">
      <c r="A3300">
        <v>3299</v>
      </c>
      <c r="B3300">
        <v>44</v>
      </c>
      <c r="C3300">
        <v>-16.066700000000001</v>
      </c>
      <c r="D3300">
        <v>14.083299999999999</v>
      </c>
      <c r="E3300">
        <f>-16.0667-14.0833</f>
        <v>-30.15</v>
      </c>
      <c r="F3300" t="s">
        <v>5391</v>
      </c>
      <c r="G3300" t="s">
        <v>39</v>
      </c>
      <c r="H3300">
        <v>2004</v>
      </c>
      <c r="I3300">
        <v>28.002188560537199</v>
      </c>
      <c r="J3300">
        <v>15.5</v>
      </c>
      <c r="K3300">
        <v>66</v>
      </c>
      <c r="L3300">
        <v>15.9158587182812</v>
      </c>
      <c r="M3300">
        <v>39.086193970959599</v>
      </c>
      <c r="N3300">
        <v>15.699999809265099</v>
      </c>
      <c r="O3300">
        <v>23.386194852064801</v>
      </c>
      <c r="P3300">
        <v>28.278114049121601</v>
      </c>
      <c r="Q3300">
        <v>28.0861956150042</v>
      </c>
      <c r="R3300">
        <v>29.799999237060501</v>
      </c>
      <c r="S3300">
        <v>25.600000381469702</v>
      </c>
      <c r="T3300">
        <v>636.18181818181802</v>
      </c>
      <c r="U3300">
        <v>223.781144781145</v>
      </c>
      <c r="V3300">
        <v>0</v>
      </c>
      <c r="W3300">
        <v>141.15993265993299</v>
      </c>
      <c r="X3300">
        <v>534.94107744107703</v>
      </c>
      <c r="Y3300">
        <v>0</v>
      </c>
      <c r="Z3300">
        <v>47.378787878787897</v>
      </c>
      <c r="AA3300">
        <v>2</v>
      </c>
      <c r="AB3300">
        <v>1.92962999375982</v>
      </c>
      <c r="AC3300">
        <v>3.2806381683557997E-2</v>
      </c>
      <c r="AD3300">
        <v>1.4191444837284399</v>
      </c>
      <c r="AE3300">
        <v>0.78194183111190796</v>
      </c>
      <c r="AF3300">
        <v>8.2306397306397301</v>
      </c>
      <c r="AG3300">
        <f>IFERROR(AH3300*0.1, "N/A")</f>
        <v>5.9250841750841703</v>
      </c>
      <c r="AH3300">
        <v>59.250841750841701</v>
      </c>
      <c r="AI3300">
        <v>187.70429245149199</v>
      </c>
      <c r="AJ3300">
        <v>10.1599326599327</v>
      </c>
      <c r="AK3300">
        <v>78.860269360269399</v>
      </c>
    </row>
    <row r="3301" spans="1:37" x14ac:dyDescent="0.3">
      <c r="A3301">
        <v>3300</v>
      </c>
      <c r="B3301">
        <v>4</v>
      </c>
      <c r="C3301">
        <v>-16.216699999999999</v>
      </c>
      <c r="D3301">
        <v>14.083299999999999</v>
      </c>
      <c r="E3301">
        <f>-16.2167-14.0833</f>
        <v>-30.299999999999997</v>
      </c>
      <c r="F3301" t="s">
        <v>5392</v>
      </c>
      <c r="G3301" t="s">
        <v>39</v>
      </c>
      <c r="H3301">
        <v>2004</v>
      </c>
      <c r="I3301">
        <v>27.700000762939499</v>
      </c>
      <c r="J3301">
        <v>15.023064061046</v>
      </c>
      <c r="K3301">
        <v>66</v>
      </c>
      <c r="L3301">
        <v>15.5150338150435</v>
      </c>
      <c r="M3301">
        <v>38.123062975077502</v>
      </c>
      <c r="N3301">
        <v>15.6136366670782</v>
      </c>
      <c r="O3301">
        <v>22.509427645391099</v>
      </c>
      <c r="P3301">
        <v>28.097475119311401</v>
      </c>
      <c r="Q3301">
        <v>27.5255893232044</v>
      </c>
      <c r="R3301">
        <v>29.2863630814986</v>
      </c>
      <c r="S3301">
        <v>25.239225753629999</v>
      </c>
      <c r="T3301">
        <v>631.32323232323199</v>
      </c>
      <c r="U3301">
        <v>224.161616161616</v>
      </c>
      <c r="V3301">
        <v>0</v>
      </c>
      <c r="W3301">
        <v>144.76936026935999</v>
      </c>
      <c r="X3301">
        <v>535.32323232323199</v>
      </c>
      <c r="Y3301">
        <v>0</v>
      </c>
      <c r="Z3301">
        <v>46</v>
      </c>
      <c r="AA3301">
        <v>2</v>
      </c>
      <c r="AB3301">
        <v>1.0355220892614001</v>
      </c>
      <c r="AC3301">
        <v>0.13449465037050701</v>
      </c>
      <c r="AD3301">
        <v>1.1695841083221601</v>
      </c>
      <c r="AE3301">
        <v>0.69439257094354301</v>
      </c>
      <c r="AF3301">
        <v>4.82154882154882</v>
      </c>
      <c r="AG3301">
        <f>IFERROR(AH3301*0.1, "N/A")</f>
        <v>5.6845117845117805</v>
      </c>
      <c r="AH3301">
        <v>56.845117845117798</v>
      </c>
      <c r="AI3301">
        <v>227.82115324900201</v>
      </c>
      <c r="AJ3301">
        <v>15.530303030302999</v>
      </c>
      <c r="AK3301">
        <v>72.765993265993302</v>
      </c>
    </row>
    <row r="3302" spans="1:37" x14ac:dyDescent="0.3">
      <c r="A3302">
        <v>3301</v>
      </c>
      <c r="B3302">
        <v>30</v>
      </c>
      <c r="C3302">
        <v>-16.166699999999999</v>
      </c>
      <c r="D3302">
        <v>14.083299999999999</v>
      </c>
      <c r="E3302">
        <f>-16.1667-14.0833</f>
        <v>-30.25</v>
      </c>
      <c r="F3302" t="s">
        <v>5393</v>
      </c>
      <c r="G3302" t="s">
        <v>39</v>
      </c>
      <c r="H3302">
        <v>2003</v>
      </c>
      <c r="I3302">
        <v>27.799999237060501</v>
      </c>
      <c r="J3302">
        <v>15.199999809265099</v>
      </c>
      <c r="K3302">
        <v>66</v>
      </c>
      <c r="L3302">
        <v>15.6683837653009</v>
      </c>
      <c r="M3302">
        <v>38.5</v>
      </c>
      <c r="N3302">
        <v>15.6220541273303</v>
      </c>
      <c r="O3302">
        <v>22.877945662347599</v>
      </c>
      <c r="P3302">
        <v>28.103199046870301</v>
      </c>
      <c r="Q3302">
        <v>27.799999237060501</v>
      </c>
      <c r="R3302">
        <v>29.4968013345994</v>
      </c>
      <c r="S3302">
        <v>25.399999618530298</v>
      </c>
      <c r="T3302">
        <v>633.22727272727298</v>
      </c>
      <c r="U3302">
        <v>224.15993265993299</v>
      </c>
      <c r="V3302">
        <v>0</v>
      </c>
      <c r="W3302">
        <v>143.776094276094</v>
      </c>
      <c r="X3302">
        <v>535.31986531986502</v>
      </c>
      <c r="Y3302">
        <v>0</v>
      </c>
      <c r="Z3302">
        <v>46.1599326599327</v>
      </c>
      <c r="AA3302">
        <v>2</v>
      </c>
      <c r="AB3302">
        <v>2.7718851285350001</v>
      </c>
      <c r="AC3302">
        <v>2.7247857769655999E-2</v>
      </c>
      <c r="AD3302">
        <v>1.2812235712603699</v>
      </c>
      <c r="AE3302">
        <v>0.75202119350433305</v>
      </c>
      <c r="AF3302">
        <v>11.8804713804714</v>
      </c>
      <c r="AG3302">
        <f>IFERROR(AH3302*0.1, "N/A")</f>
        <v>5.512794612794611</v>
      </c>
      <c r="AH3302">
        <v>55.127946127946103</v>
      </c>
      <c r="AI3302">
        <v>205.51874256455099</v>
      </c>
      <c r="AJ3302">
        <v>11.2558922558923</v>
      </c>
      <c r="AK3302">
        <v>78.2356902356902</v>
      </c>
    </row>
    <row r="3303" spans="1:37" x14ac:dyDescent="0.3">
      <c r="A3303">
        <v>3302</v>
      </c>
      <c r="B3303">
        <v>16</v>
      </c>
      <c r="C3303">
        <v>-15.65</v>
      </c>
      <c r="D3303">
        <v>14.083299999999999</v>
      </c>
      <c r="E3303">
        <f>-15.65-14.0833</f>
        <v>-29.7333</v>
      </c>
      <c r="F3303" t="s">
        <v>5394</v>
      </c>
      <c r="G3303" t="s">
        <v>39</v>
      </c>
      <c r="H3303">
        <v>2003</v>
      </c>
      <c r="I3303">
        <v>27.5</v>
      </c>
      <c r="J3303">
        <v>15.6000003814697</v>
      </c>
      <c r="K3303">
        <v>64</v>
      </c>
      <c r="L3303">
        <v>18.231632492759001</v>
      </c>
      <c r="M3303">
        <v>39.099998474121101</v>
      </c>
      <c r="N3303">
        <v>14.8999996185303</v>
      </c>
      <c r="O3303">
        <v>24.200000762939499</v>
      </c>
      <c r="P3303">
        <v>27.600000381469702</v>
      </c>
      <c r="Q3303">
        <v>27.7292932452578</v>
      </c>
      <c r="R3303">
        <v>29.700000762939499</v>
      </c>
      <c r="S3303">
        <v>24.799999237060501</v>
      </c>
      <c r="T3303">
        <v>593</v>
      </c>
      <c r="U3303">
        <v>195</v>
      </c>
      <c r="V3303">
        <v>0</v>
      </c>
      <c r="W3303">
        <v>138</v>
      </c>
      <c r="X3303">
        <v>489</v>
      </c>
      <c r="Y3303">
        <v>0</v>
      </c>
      <c r="Z3303">
        <v>52</v>
      </c>
      <c r="AA3303">
        <v>3</v>
      </c>
      <c r="AB3303">
        <v>0.41952849076653198</v>
      </c>
      <c r="AC3303">
        <v>97.862193316243193</v>
      </c>
      <c r="AD3303">
        <v>1.05193542189871</v>
      </c>
      <c r="AE3303">
        <v>0.70255833864212003</v>
      </c>
      <c r="AF3303">
        <v>11.993265993266</v>
      </c>
      <c r="AG3303">
        <f>IFERROR(AH3303*0.1, "N/A")</f>
        <v>5.5872053872053904</v>
      </c>
      <c r="AH3303">
        <v>55.872053872053897</v>
      </c>
      <c r="AI3303">
        <v>107.25701389248501</v>
      </c>
      <c r="AJ3303">
        <v>7.3097643097643097</v>
      </c>
      <c r="AK3303">
        <v>83.4023569023569</v>
      </c>
    </row>
    <row r="3304" spans="1:37" x14ac:dyDescent="0.3">
      <c r="A3304">
        <v>3303</v>
      </c>
      <c r="B3304">
        <v>30</v>
      </c>
      <c r="C3304">
        <v>-16.18</v>
      </c>
      <c r="D3304">
        <v>14.09</v>
      </c>
      <c r="E3304">
        <f>-16.18-14.09</f>
        <v>-30.27</v>
      </c>
      <c r="F3304" t="s">
        <v>5395</v>
      </c>
      <c r="G3304" t="s">
        <v>39</v>
      </c>
      <c r="H3304">
        <v>2004</v>
      </c>
      <c r="I3304">
        <v>27.799999237060501</v>
      </c>
      <c r="J3304">
        <v>15.199999809265099</v>
      </c>
      <c r="K3304">
        <v>66</v>
      </c>
      <c r="L3304">
        <v>15.449999809265099</v>
      </c>
      <c r="M3304">
        <v>38.5</v>
      </c>
      <c r="N3304">
        <v>15.699999809265099</v>
      </c>
      <c r="O3304">
        <v>22.799999237060501</v>
      </c>
      <c r="P3304">
        <v>28.100000381469702</v>
      </c>
      <c r="Q3304">
        <v>27.799999237060501</v>
      </c>
      <c r="R3304">
        <v>29.5</v>
      </c>
      <c r="S3304">
        <v>25.399999618530298</v>
      </c>
      <c r="T3304">
        <v>632</v>
      </c>
      <c r="U3304">
        <v>224</v>
      </c>
      <c r="V3304">
        <v>0</v>
      </c>
      <c r="W3304">
        <v>144</v>
      </c>
      <c r="X3304">
        <v>535</v>
      </c>
      <c r="Y3304">
        <v>0</v>
      </c>
      <c r="Z3304">
        <v>46</v>
      </c>
      <c r="AA3304">
        <v>2</v>
      </c>
      <c r="AB3304">
        <v>0.49377113962012897</v>
      </c>
      <c r="AC3304">
        <v>5.3321286040336001E-2</v>
      </c>
      <c r="AD3304">
        <v>1.66196609050136</v>
      </c>
      <c r="AE3304">
        <v>0.63745031192246504</v>
      </c>
      <c r="AF3304">
        <v>2.1936026936026898</v>
      </c>
      <c r="AG3304">
        <f>IFERROR(AH3304*0.1, "N/A")</f>
        <v>5.9316498316498301</v>
      </c>
      <c r="AH3304">
        <v>59.316498316498297</v>
      </c>
      <c r="AI3304">
        <v>144.56523219664101</v>
      </c>
      <c r="AJ3304">
        <v>16.316498316498301</v>
      </c>
      <c r="AK3304">
        <v>66.683501683501703</v>
      </c>
    </row>
    <row r="3305" spans="1:37" x14ac:dyDescent="0.3">
      <c r="A3305">
        <v>3304</v>
      </c>
      <c r="B3305">
        <v>34</v>
      </c>
      <c r="C3305">
        <v>-15.38</v>
      </c>
      <c r="D3305">
        <v>14.09</v>
      </c>
      <c r="E3305">
        <f>-15.38-14.09</f>
        <v>-29.47</v>
      </c>
      <c r="F3305" t="s">
        <v>5396</v>
      </c>
      <c r="G3305" t="s">
        <v>39</v>
      </c>
      <c r="H3305">
        <v>2003</v>
      </c>
      <c r="I3305">
        <v>27.200000762939499</v>
      </c>
      <c r="J3305">
        <v>15.5</v>
      </c>
      <c r="K3305">
        <v>63</v>
      </c>
      <c r="L3305">
        <v>19.030000686645501</v>
      </c>
      <c r="M3305">
        <v>39</v>
      </c>
      <c r="N3305">
        <v>14.6000003814697</v>
      </c>
      <c r="O3305">
        <v>24.399999618530298</v>
      </c>
      <c r="P3305">
        <v>27.200000762939499</v>
      </c>
      <c r="Q3305">
        <v>27.799999237060501</v>
      </c>
      <c r="R3305">
        <v>29.700000762939499</v>
      </c>
      <c r="S3305">
        <v>24.600000381469702</v>
      </c>
      <c r="T3305">
        <v>606</v>
      </c>
      <c r="U3305">
        <v>196</v>
      </c>
      <c r="V3305">
        <v>0</v>
      </c>
      <c r="W3305">
        <v>136</v>
      </c>
      <c r="X3305">
        <v>493</v>
      </c>
      <c r="Y3305">
        <v>0</v>
      </c>
      <c r="Z3305">
        <v>58</v>
      </c>
      <c r="AA3305">
        <v>2</v>
      </c>
      <c r="AB3305">
        <v>1.4865533844763501</v>
      </c>
      <c r="AC3305">
        <v>2.7647466018420001E-2</v>
      </c>
      <c r="AD3305">
        <v>1.11290396672337</v>
      </c>
      <c r="AE3305">
        <v>0.68550565513242201</v>
      </c>
      <c r="AF3305">
        <v>33.023529411764699</v>
      </c>
      <c r="AG3305">
        <f>IFERROR(AH3305*0.1, "N/A")</f>
        <v>5.6000000000000005</v>
      </c>
      <c r="AH3305">
        <v>56</v>
      </c>
      <c r="AI3305">
        <v>124.761581805574</v>
      </c>
      <c r="AJ3305">
        <v>9</v>
      </c>
      <c r="AK3305">
        <v>80</v>
      </c>
    </row>
    <row r="3306" spans="1:37" x14ac:dyDescent="0.3">
      <c r="A3306">
        <v>3305</v>
      </c>
      <c r="B3306">
        <v>80</v>
      </c>
      <c r="C3306">
        <v>-12.0595</v>
      </c>
      <c r="D3306">
        <v>14.0983</v>
      </c>
      <c r="E3306">
        <f>-12.0595-14.0983</f>
        <v>-26.157800000000002</v>
      </c>
      <c r="F3306" t="s">
        <v>5397</v>
      </c>
      <c r="G3306" t="s">
        <v>39</v>
      </c>
      <c r="H3306">
        <v>2003</v>
      </c>
      <c r="I3306">
        <v>28.799999237060501</v>
      </c>
      <c r="J3306">
        <v>14</v>
      </c>
      <c r="K3306">
        <v>58</v>
      </c>
      <c r="L3306">
        <v>24.4799995422363</v>
      </c>
      <c r="M3306">
        <v>40.299999237060497</v>
      </c>
      <c r="N3306">
        <v>16.5</v>
      </c>
      <c r="O3306">
        <v>23.799999237060501</v>
      </c>
      <c r="P3306">
        <v>27.700000762939499</v>
      </c>
      <c r="Q3306">
        <v>27.700000762939499</v>
      </c>
      <c r="R3306">
        <v>32.299999237060497</v>
      </c>
      <c r="S3306">
        <v>26.100000381469702</v>
      </c>
      <c r="T3306">
        <v>709</v>
      </c>
      <c r="U3306">
        <v>230</v>
      </c>
      <c r="V3306">
        <v>0</v>
      </c>
      <c r="W3306">
        <v>132</v>
      </c>
      <c r="X3306">
        <v>556</v>
      </c>
      <c r="Y3306">
        <v>0</v>
      </c>
      <c r="Z3306">
        <v>97</v>
      </c>
      <c r="AA3306">
        <v>3</v>
      </c>
      <c r="AB3306">
        <v>2.7227667797275199</v>
      </c>
      <c r="AC3306">
        <v>8.4771870621319998E-3</v>
      </c>
      <c r="AD3306">
        <v>2.1922759186558101</v>
      </c>
      <c r="AE3306">
        <v>0.41220531747071798</v>
      </c>
      <c r="AF3306">
        <v>82.133220910623905</v>
      </c>
      <c r="AG3306">
        <f>IFERROR(AH3306*0.1, "N/A")</f>
        <v>6.593423271500841</v>
      </c>
      <c r="AH3306">
        <v>65.934232715008406</v>
      </c>
      <c r="AI3306">
        <v>195.55957399532301</v>
      </c>
      <c r="AJ3306">
        <v>21.065767284991601</v>
      </c>
      <c r="AK3306">
        <v>49.956155143338997</v>
      </c>
    </row>
    <row r="3307" spans="1:37" x14ac:dyDescent="0.3">
      <c r="A3307">
        <v>3306</v>
      </c>
      <c r="B3307">
        <v>16.899999999999999</v>
      </c>
      <c r="C3307">
        <v>-15.2333</v>
      </c>
      <c r="D3307">
        <v>14.1</v>
      </c>
      <c r="E3307">
        <f>-15.2333-14.1</f>
        <v>-29.333300000000001</v>
      </c>
      <c r="F3307" t="s">
        <v>5398</v>
      </c>
      <c r="G3307" t="s">
        <v>39</v>
      </c>
      <c r="H3307">
        <v>2001</v>
      </c>
      <c r="I3307">
        <v>27.299999237060501</v>
      </c>
      <c r="J3307">
        <v>15.5</v>
      </c>
      <c r="K3307">
        <v>63</v>
      </c>
      <c r="L3307">
        <v>19.212188492720401</v>
      </c>
      <c r="M3307">
        <v>39.099998474121101</v>
      </c>
      <c r="N3307">
        <v>14.6000003814697</v>
      </c>
      <c r="O3307">
        <v>24.5</v>
      </c>
      <c r="P3307">
        <v>27.200000762939499</v>
      </c>
      <c r="Q3307">
        <v>27.899999618530298</v>
      </c>
      <c r="R3307">
        <v>29.799999237060501</v>
      </c>
      <c r="S3307">
        <v>24.700000762939499</v>
      </c>
      <c r="T3307">
        <v>629.12457912457899</v>
      </c>
      <c r="U3307">
        <v>204.781144781145</v>
      </c>
      <c r="V3307">
        <v>0</v>
      </c>
      <c r="W3307">
        <v>135.781144781145</v>
      </c>
      <c r="X3307">
        <v>508.34343434343401</v>
      </c>
      <c r="Y3307">
        <v>0</v>
      </c>
      <c r="Z3307">
        <v>63</v>
      </c>
      <c r="AA3307">
        <v>2</v>
      </c>
      <c r="AB3307">
        <v>2.30134665042864</v>
      </c>
      <c r="AC3307">
        <v>0.20991197502811201</v>
      </c>
      <c r="AD3307">
        <v>0.80177636379344697</v>
      </c>
      <c r="AE3307">
        <v>0.68100088834762595</v>
      </c>
      <c r="AF3307">
        <v>23.599326599326599</v>
      </c>
      <c r="AG3307">
        <f>IFERROR(AH3307*0.1, "N/A")</f>
        <v>6.0686868686868705</v>
      </c>
      <c r="AH3307">
        <v>60.686868686868699</v>
      </c>
      <c r="AI3307">
        <v>184.37790266351701</v>
      </c>
      <c r="AJ3307">
        <v>15.5622895622896</v>
      </c>
      <c r="AK3307">
        <v>66.656565656565704</v>
      </c>
    </row>
    <row r="3308" spans="1:37" x14ac:dyDescent="0.3">
      <c r="A3308">
        <v>3307</v>
      </c>
      <c r="B3308">
        <v>0</v>
      </c>
      <c r="C3308">
        <v>-15.2333</v>
      </c>
      <c r="D3308">
        <v>14.1</v>
      </c>
      <c r="E3308">
        <f>-15.2333-14.1</f>
        <v>-29.333300000000001</v>
      </c>
      <c r="F3308" t="s">
        <v>5399</v>
      </c>
      <c r="G3308" t="s">
        <v>37</v>
      </c>
      <c r="H3308">
        <v>1996</v>
      </c>
      <c r="I3308">
        <v>27.299999237060501</v>
      </c>
      <c r="J3308">
        <v>15.5</v>
      </c>
      <c r="K3308">
        <v>63</v>
      </c>
      <c r="L3308">
        <v>19.212188492720401</v>
      </c>
      <c r="M3308">
        <v>39.099998474121101</v>
      </c>
      <c r="N3308">
        <v>14.6000003814697</v>
      </c>
      <c r="O3308">
        <v>24.5</v>
      </c>
      <c r="P3308">
        <v>27.200000762939499</v>
      </c>
      <c r="Q3308">
        <v>27.899999618530298</v>
      </c>
      <c r="R3308">
        <v>29.799999237060501</v>
      </c>
      <c r="S3308">
        <v>24.700000762939499</v>
      </c>
      <c r="T3308">
        <v>629.12457912457899</v>
      </c>
      <c r="U3308">
        <v>204.781144781145</v>
      </c>
      <c r="V3308">
        <v>0</v>
      </c>
      <c r="W3308">
        <v>135.781144781145</v>
      </c>
      <c r="X3308">
        <v>508.34343434343401</v>
      </c>
      <c r="Y3308">
        <v>0</v>
      </c>
      <c r="Z3308">
        <v>63</v>
      </c>
      <c r="AA3308">
        <v>2</v>
      </c>
      <c r="AB3308">
        <v>2.30134665042864</v>
      </c>
      <c r="AC3308">
        <v>0.20991197502811201</v>
      </c>
      <c r="AD3308">
        <v>0.80177636379344697</v>
      </c>
      <c r="AE3308">
        <v>0.68100088834762595</v>
      </c>
      <c r="AF3308">
        <v>23.599326599326599</v>
      </c>
      <c r="AG3308">
        <f>IFERROR(AH3308*0.1, "N/A")</f>
        <v>6.0686868686868705</v>
      </c>
      <c r="AH3308">
        <v>60.686868686868699</v>
      </c>
      <c r="AI3308">
        <v>184.37790266351701</v>
      </c>
      <c r="AJ3308">
        <v>15.5622895622896</v>
      </c>
      <c r="AK3308">
        <v>66.656565656565704</v>
      </c>
    </row>
    <row r="3309" spans="1:37" x14ac:dyDescent="0.3">
      <c r="A3309">
        <v>3308</v>
      </c>
      <c r="B3309">
        <v>100</v>
      </c>
      <c r="C3309">
        <v>-12.3666</v>
      </c>
      <c r="D3309">
        <v>14.1044</v>
      </c>
      <c r="E3309">
        <f>-12.3666-14.1044</f>
        <v>-26.471</v>
      </c>
      <c r="F3309" t="s">
        <v>5400</v>
      </c>
      <c r="G3309" t="s">
        <v>39</v>
      </c>
      <c r="H3309">
        <v>2003</v>
      </c>
      <c r="I3309">
        <v>28.5</v>
      </c>
      <c r="J3309">
        <v>14</v>
      </c>
      <c r="K3309">
        <v>59</v>
      </c>
      <c r="L3309">
        <v>24.083141887510099</v>
      </c>
      <c r="M3309">
        <v>40.099998474121101</v>
      </c>
      <c r="N3309">
        <v>16.5</v>
      </c>
      <c r="O3309">
        <v>23.600000381469702</v>
      </c>
      <c r="P3309">
        <v>27.399999618530298</v>
      </c>
      <c r="Q3309">
        <v>27.6104733943939</v>
      </c>
      <c r="R3309">
        <v>32</v>
      </c>
      <c r="S3309">
        <v>25.989526987075799</v>
      </c>
      <c r="T3309">
        <v>696.10472972973002</v>
      </c>
      <c r="U3309">
        <v>220</v>
      </c>
      <c r="V3309">
        <v>0</v>
      </c>
      <c r="W3309">
        <v>131</v>
      </c>
      <c r="X3309">
        <v>548.10472972973002</v>
      </c>
      <c r="Y3309">
        <v>0</v>
      </c>
      <c r="Z3309">
        <v>96</v>
      </c>
      <c r="AA3309">
        <v>2</v>
      </c>
      <c r="AB3309">
        <v>2.21047344723263</v>
      </c>
      <c r="AC3309">
        <v>3.2633922031351001E-2</v>
      </c>
      <c r="AD3309">
        <v>2.22045619101138</v>
      </c>
      <c r="AE3309">
        <v>0.53919070959091198</v>
      </c>
      <c r="AF3309">
        <v>76.944256756756701</v>
      </c>
      <c r="AG3309">
        <f>IFERROR(AH3309*0.1, "N/A")</f>
        <v>6.3000000000000007</v>
      </c>
      <c r="AH3309">
        <v>63</v>
      </c>
      <c r="AI3309">
        <v>128.27662643226401</v>
      </c>
      <c r="AJ3309">
        <v>13.4189189189189</v>
      </c>
      <c r="AK3309">
        <v>66.476351351351298</v>
      </c>
    </row>
    <row r="3310" spans="1:37" x14ac:dyDescent="0.3">
      <c r="A3310">
        <v>3309</v>
      </c>
      <c r="B3310">
        <v>16</v>
      </c>
      <c r="C3310">
        <v>-15.550599999999999</v>
      </c>
      <c r="D3310">
        <v>14.104900000000001</v>
      </c>
      <c r="E3310">
        <f>-15.5506-14.1049</f>
        <v>-29.6555</v>
      </c>
      <c r="F3310" t="s">
        <v>5401</v>
      </c>
      <c r="G3310" t="s">
        <v>39</v>
      </c>
      <c r="H3310">
        <v>2003</v>
      </c>
      <c r="I3310">
        <v>27.499328856500199</v>
      </c>
      <c r="J3310">
        <v>15.6000003814697</v>
      </c>
      <c r="K3310">
        <v>63</v>
      </c>
      <c r="L3310">
        <v>18.8002676995809</v>
      </c>
      <c r="M3310">
        <v>39.200000762939503</v>
      </c>
      <c r="N3310">
        <v>14.7993290472351</v>
      </c>
      <c r="O3310">
        <v>24.400670762030099</v>
      </c>
      <c r="P3310">
        <v>27.5</v>
      </c>
      <c r="Q3310">
        <v>27.899328475030501</v>
      </c>
      <c r="R3310">
        <v>29.799999237060501</v>
      </c>
      <c r="S3310">
        <v>24.799328106361699</v>
      </c>
      <c r="T3310">
        <v>594</v>
      </c>
      <c r="U3310">
        <v>194</v>
      </c>
      <c r="V3310">
        <v>0</v>
      </c>
      <c r="W3310">
        <v>137</v>
      </c>
      <c r="X3310">
        <v>487</v>
      </c>
      <c r="Y3310">
        <v>0</v>
      </c>
      <c r="Z3310">
        <v>53</v>
      </c>
      <c r="AA3310">
        <v>3</v>
      </c>
      <c r="AB3310">
        <v>4.4790267528303502</v>
      </c>
      <c r="AC3310">
        <v>4.8351132728146999E-2</v>
      </c>
      <c r="AD3310">
        <v>2.1372916174415</v>
      </c>
      <c r="AE3310">
        <v>0.80057632683107505</v>
      </c>
      <c r="AF3310">
        <v>10.6459731543624</v>
      </c>
      <c r="AG3310">
        <f>IFERROR(AH3310*0.1, "N/A")</f>
        <v>5.9823825503355703</v>
      </c>
      <c r="AH3310">
        <v>59.8238255033557</v>
      </c>
      <c r="AI3310">
        <v>215.93939536689899</v>
      </c>
      <c r="AJ3310">
        <v>18.464765100671102</v>
      </c>
      <c r="AK3310">
        <v>65.5151006711409</v>
      </c>
    </row>
    <row r="3311" spans="1:37" x14ac:dyDescent="0.3">
      <c r="A3311">
        <v>3310</v>
      </c>
      <c r="B3311">
        <v>32</v>
      </c>
      <c r="C3311">
        <v>-15.540699999999999</v>
      </c>
      <c r="D3311">
        <v>14.1104</v>
      </c>
      <c r="E3311">
        <f>-15.5407-14.1104</f>
        <v>-29.6511</v>
      </c>
      <c r="F3311" t="s">
        <v>5402</v>
      </c>
      <c r="G3311" t="s">
        <v>39</v>
      </c>
      <c r="H3311">
        <v>2003</v>
      </c>
      <c r="I3311">
        <v>27.5</v>
      </c>
      <c r="J3311">
        <v>15.6000003814697</v>
      </c>
      <c r="K3311">
        <v>63</v>
      </c>
      <c r="L3311">
        <v>18.780000686645501</v>
      </c>
      <c r="M3311">
        <v>39.200000762939503</v>
      </c>
      <c r="N3311">
        <v>14.800000190734901</v>
      </c>
      <c r="O3311">
        <v>24.399999618530298</v>
      </c>
      <c r="P3311">
        <v>27.5</v>
      </c>
      <c r="Q3311">
        <v>27.899999618530298</v>
      </c>
      <c r="R3311">
        <v>29.799999237060501</v>
      </c>
      <c r="S3311">
        <v>24.799999237060501</v>
      </c>
      <c r="T3311">
        <v>594</v>
      </c>
      <c r="U3311">
        <v>194</v>
      </c>
      <c r="V3311">
        <v>0</v>
      </c>
      <c r="W3311">
        <v>137</v>
      </c>
      <c r="X3311">
        <v>487</v>
      </c>
      <c r="Y3311">
        <v>0</v>
      </c>
      <c r="Z3311">
        <v>53</v>
      </c>
      <c r="AA3311">
        <v>3</v>
      </c>
      <c r="AB3311">
        <v>1.12823550921528</v>
      </c>
      <c r="AC3311">
        <v>3.6400100513667002E-2</v>
      </c>
      <c r="AD3311">
        <v>0.95169225029584803</v>
      </c>
      <c r="AE3311">
        <v>0.79682182103645904</v>
      </c>
      <c r="AF3311">
        <v>10.1647058823529</v>
      </c>
      <c r="AG3311">
        <f>IFERROR(AH3311*0.1, "N/A")</f>
        <v>5.7989915966386603</v>
      </c>
      <c r="AH3311">
        <v>57.989915966386597</v>
      </c>
      <c r="AI3311">
        <v>46.347114210369199</v>
      </c>
      <c r="AJ3311">
        <v>15.989915966386601</v>
      </c>
      <c r="AK3311">
        <v>66.989915966386505</v>
      </c>
    </row>
    <row r="3312" spans="1:37" x14ac:dyDescent="0.3">
      <c r="A3312">
        <v>3311</v>
      </c>
      <c r="B3312">
        <v>56</v>
      </c>
      <c r="C3312">
        <v>-16.350000000000001</v>
      </c>
      <c r="D3312">
        <v>14.1167</v>
      </c>
      <c r="E3312">
        <f>-16.35-14.1167</f>
        <v>-30.466700000000003</v>
      </c>
      <c r="F3312" t="s">
        <v>5403</v>
      </c>
      <c r="G3312" t="s">
        <v>39</v>
      </c>
      <c r="H3312">
        <v>2003</v>
      </c>
      <c r="I3312">
        <v>27.349999427795399</v>
      </c>
      <c r="J3312">
        <v>14.675420825328899</v>
      </c>
      <c r="K3312">
        <v>67.043771043771102</v>
      </c>
      <c r="L3312">
        <v>15.4401850122394</v>
      </c>
      <c r="M3312">
        <v>37.099998474121101</v>
      </c>
      <c r="N3312">
        <v>15.4043767396047</v>
      </c>
      <c r="O3312">
        <v>21.695623641865001</v>
      </c>
      <c r="P3312">
        <v>27.899999618530298</v>
      </c>
      <c r="Q3312">
        <v>27</v>
      </c>
      <c r="R3312">
        <v>28.799999237060501</v>
      </c>
      <c r="S3312">
        <v>24.854376548869801</v>
      </c>
      <c r="T3312">
        <v>631.78956228956201</v>
      </c>
      <c r="U3312">
        <v>231.28956228956201</v>
      </c>
      <c r="V3312">
        <v>0</v>
      </c>
      <c r="W3312">
        <v>147.28956228956201</v>
      </c>
      <c r="X3312">
        <v>541.28956228956201</v>
      </c>
      <c r="Y3312">
        <v>0</v>
      </c>
      <c r="Z3312">
        <v>171.5</v>
      </c>
      <c r="AA3312">
        <v>2</v>
      </c>
      <c r="AB3312">
        <v>6.53417501947294</v>
      </c>
      <c r="AC3312">
        <v>1.4704148212967999E-2</v>
      </c>
      <c r="AD3312">
        <v>1.38603781359364</v>
      </c>
      <c r="AE3312">
        <v>0.70677772033896902</v>
      </c>
      <c r="AF3312">
        <v>8.1649831649831608</v>
      </c>
      <c r="AG3312">
        <f>IFERROR(AH3312*0.1, "N/A")</f>
        <v>6.0718855218855197</v>
      </c>
      <c r="AH3312">
        <v>60.718855218855197</v>
      </c>
      <c r="AI3312">
        <v>252.86853017068501</v>
      </c>
      <c r="AJ3312">
        <v>17.026936026935999</v>
      </c>
      <c r="AK3312">
        <v>65.9444444444445</v>
      </c>
    </row>
    <row r="3313" spans="1:37" x14ac:dyDescent="0.3">
      <c r="A3313">
        <v>3312</v>
      </c>
      <c r="B3313">
        <v>42</v>
      </c>
      <c r="C3313">
        <v>-16.283300000000001</v>
      </c>
      <c r="D3313">
        <v>14.1167</v>
      </c>
      <c r="E3313">
        <f>-16.2833-14.1167</f>
        <v>-30.4</v>
      </c>
      <c r="F3313" t="s">
        <v>5404</v>
      </c>
      <c r="G3313" t="s">
        <v>39</v>
      </c>
      <c r="H3313">
        <v>2003</v>
      </c>
      <c r="I3313">
        <v>27.5</v>
      </c>
      <c r="J3313">
        <v>14.8999996185303</v>
      </c>
      <c r="K3313">
        <v>66.755892255892206</v>
      </c>
      <c r="L3313">
        <v>15.389781457406499</v>
      </c>
      <c r="M3313">
        <v>37.648820209182098</v>
      </c>
      <c r="N3313">
        <v>15.498989895136701</v>
      </c>
      <c r="O3313">
        <v>22.1498317557955</v>
      </c>
      <c r="P3313">
        <v>28</v>
      </c>
      <c r="Q3313">
        <v>27.287036471896698</v>
      </c>
      <c r="R3313">
        <v>28.998989895136699</v>
      </c>
      <c r="S3313">
        <v>25.087037369057001</v>
      </c>
      <c r="T3313">
        <v>625.75589225589204</v>
      </c>
      <c r="U3313">
        <v>224.75589225589201</v>
      </c>
      <c r="V3313">
        <v>0</v>
      </c>
      <c r="W3313">
        <v>144.75589225589201</v>
      </c>
      <c r="X3313">
        <v>533.75589225589204</v>
      </c>
      <c r="Y3313">
        <v>0</v>
      </c>
      <c r="Z3313">
        <v>124.414141414141</v>
      </c>
      <c r="AA3313">
        <v>2</v>
      </c>
      <c r="AB3313">
        <v>1.7580809801917301</v>
      </c>
      <c r="AC3313">
        <v>1.1478499542319999E-2</v>
      </c>
      <c r="AD3313">
        <v>0.97064418584008005</v>
      </c>
      <c r="AE3313">
        <v>0.69728404945797395</v>
      </c>
      <c r="AF3313">
        <v>6.5488215488215502</v>
      </c>
      <c r="AG3313">
        <f>IFERROR(AH3313*0.1, "N/A")</f>
        <v>5.9</v>
      </c>
      <c r="AH3313">
        <v>59</v>
      </c>
      <c r="AI3313">
        <v>150.85118332936699</v>
      </c>
      <c r="AJ3313">
        <v>15.8703703703704</v>
      </c>
      <c r="AK3313">
        <v>72.3888888888889</v>
      </c>
    </row>
    <row r="3314" spans="1:37" x14ac:dyDescent="0.3">
      <c r="A3314">
        <v>3313</v>
      </c>
      <c r="B3314">
        <v>8</v>
      </c>
      <c r="C3314">
        <v>-16.091100999999998</v>
      </c>
      <c r="D3314">
        <v>14.1286</v>
      </c>
      <c r="E3314">
        <f>-16.091101-14.1286</f>
        <v>-30.219701000000001</v>
      </c>
      <c r="F3314" t="s">
        <v>5405</v>
      </c>
      <c r="G3314" t="s">
        <v>39</v>
      </c>
      <c r="H3314">
        <v>2004</v>
      </c>
      <c r="I3314">
        <v>28.184255309240701</v>
      </c>
      <c r="J3314">
        <v>15.6000003814697</v>
      </c>
      <c r="K3314">
        <v>66</v>
      </c>
      <c r="L3314">
        <v>15.667152545360301</v>
      </c>
      <c r="M3314">
        <v>39.115744228139398</v>
      </c>
      <c r="N3314">
        <v>15.7842547370361</v>
      </c>
      <c r="O3314">
        <v>23.331490144458101</v>
      </c>
      <c r="P3314">
        <v>28.3842541648315</v>
      </c>
      <c r="Q3314">
        <v>28.100000381469702</v>
      </c>
      <c r="R3314">
        <v>29.815744690759299</v>
      </c>
      <c r="S3314">
        <v>25.768508629982598</v>
      </c>
      <c r="T3314">
        <v>631</v>
      </c>
      <c r="U3314">
        <v>222</v>
      </c>
      <c r="V3314">
        <v>0</v>
      </c>
      <c r="W3314">
        <v>143</v>
      </c>
      <c r="X3314">
        <v>531</v>
      </c>
      <c r="Y3314">
        <v>1</v>
      </c>
      <c r="Z3314">
        <v>46</v>
      </c>
      <c r="AA3314">
        <v>3</v>
      </c>
      <c r="AB3314">
        <v>2.4187605265197201</v>
      </c>
      <c r="AC3314">
        <v>6.1087988976894998E-2</v>
      </c>
      <c r="AD3314">
        <v>0.83282031485782804</v>
      </c>
      <c r="AE3314">
        <v>0.647474706172943</v>
      </c>
      <c r="AF3314">
        <v>2.7537688442211099</v>
      </c>
      <c r="AG3314">
        <f>IFERROR(AH3314*0.1, "N/A")</f>
        <v>6.2156549520766804</v>
      </c>
      <c r="AH3314">
        <v>62.156549520766802</v>
      </c>
      <c r="AI3314">
        <v>118.98422478271701</v>
      </c>
      <c r="AJ3314">
        <v>27.351437699680499</v>
      </c>
      <c r="AK3314">
        <v>51.185303514376997</v>
      </c>
    </row>
    <row r="3315" spans="1:37" x14ac:dyDescent="0.3">
      <c r="A3315">
        <v>3314</v>
      </c>
      <c r="B3315">
        <v>22</v>
      </c>
      <c r="C3315">
        <v>-15.65</v>
      </c>
      <c r="D3315">
        <v>14.13</v>
      </c>
      <c r="E3315">
        <f>-15.65-14.13</f>
        <v>-29.78</v>
      </c>
      <c r="F3315" t="s">
        <v>5406</v>
      </c>
      <c r="G3315" t="s">
        <v>39</v>
      </c>
      <c r="H3315">
        <v>2003</v>
      </c>
      <c r="I3315">
        <v>27.600000381469702</v>
      </c>
      <c r="J3315">
        <v>15.699999809265099</v>
      </c>
      <c r="K3315">
        <v>64</v>
      </c>
      <c r="L3315">
        <v>18.409999847412099</v>
      </c>
      <c r="M3315">
        <v>39.299999237060497</v>
      </c>
      <c r="N3315">
        <v>15</v>
      </c>
      <c r="O3315">
        <v>24.299999237060501</v>
      </c>
      <c r="P3315">
        <v>27.700000762939499</v>
      </c>
      <c r="Q3315">
        <v>27.899999618530298</v>
      </c>
      <c r="R3315">
        <v>29.899999618530298</v>
      </c>
      <c r="S3315">
        <v>24.899999618530298</v>
      </c>
      <c r="T3315">
        <v>588</v>
      </c>
      <c r="U3315">
        <v>193</v>
      </c>
      <c r="V3315">
        <v>0</v>
      </c>
      <c r="W3315">
        <v>137</v>
      </c>
      <c r="X3315">
        <v>485</v>
      </c>
      <c r="Y3315">
        <v>0</v>
      </c>
      <c r="Z3315">
        <v>51</v>
      </c>
      <c r="AA3315">
        <v>3</v>
      </c>
      <c r="AB3315">
        <v>1.6072512927385001</v>
      </c>
      <c r="AC3315">
        <v>0.124216014162824</v>
      </c>
      <c r="AD3315">
        <v>0.79499883183339404</v>
      </c>
      <c r="AE3315">
        <v>0.70056861639022805</v>
      </c>
      <c r="AF3315">
        <v>4.2462057335581802</v>
      </c>
      <c r="AG3315">
        <f>IFERROR(AH3315*0.1, "N/A")</f>
        <v>5.9566610455312006</v>
      </c>
      <c r="AH3315">
        <v>59.566610455312002</v>
      </c>
      <c r="AI3315">
        <v>176.464333957203</v>
      </c>
      <c r="AJ3315">
        <v>9.56323777403035</v>
      </c>
      <c r="AK3315">
        <v>69.996627318718396</v>
      </c>
    </row>
    <row r="3316" spans="1:37" x14ac:dyDescent="0.3">
      <c r="A3316">
        <v>3315</v>
      </c>
      <c r="B3316">
        <v>86</v>
      </c>
      <c r="C3316">
        <v>-12.4451</v>
      </c>
      <c r="D3316">
        <v>14.131399999999999</v>
      </c>
      <c r="E3316">
        <f>-12.4451-14.1314</f>
        <v>-26.576499999999999</v>
      </c>
      <c r="F3316" t="s">
        <v>5407</v>
      </c>
      <c r="G3316" t="s">
        <v>39</v>
      </c>
      <c r="H3316">
        <v>2003</v>
      </c>
      <c r="I3316">
        <v>28.299999237060501</v>
      </c>
      <c r="J3316">
        <v>14</v>
      </c>
      <c r="K3316">
        <v>59</v>
      </c>
      <c r="L3316">
        <v>23.840000152587901</v>
      </c>
      <c r="M3316">
        <v>39.900001525878899</v>
      </c>
      <c r="N3316">
        <v>16.399999618530298</v>
      </c>
      <c r="O3316">
        <v>23.5</v>
      </c>
      <c r="P3316">
        <v>27.200000762939499</v>
      </c>
      <c r="Q3316">
        <v>27.5</v>
      </c>
      <c r="R3316">
        <v>31.700000762939499</v>
      </c>
      <c r="S3316">
        <v>25.799999237060501</v>
      </c>
      <c r="T3316">
        <v>694</v>
      </c>
      <c r="U3316">
        <v>218</v>
      </c>
      <c r="V3316">
        <v>0</v>
      </c>
      <c r="W3316">
        <v>133</v>
      </c>
      <c r="X3316">
        <v>548</v>
      </c>
      <c r="Y3316">
        <v>0</v>
      </c>
      <c r="Z3316">
        <v>95</v>
      </c>
      <c r="AA3316">
        <v>2</v>
      </c>
      <c r="AB3316">
        <v>2.9608675085980001</v>
      </c>
      <c r="AC3316">
        <v>0.18434110495657399</v>
      </c>
      <c r="AD3316">
        <v>1.87702142594251</v>
      </c>
      <c r="AE3316">
        <v>0.60288083553314198</v>
      </c>
      <c r="AF3316">
        <v>101.704013377926</v>
      </c>
      <c r="AG3316">
        <f>IFERROR(AH3316*0.1, "N/A")</f>
        <v>6</v>
      </c>
      <c r="AH3316">
        <v>60</v>
      </c>
      <c r="AI3316">
        <v>175.251247418764</v>
      </c>
      <c r="AJ3316">
        <v>13</v>
      </c>
      <c r="AK3316">
        <v>66</v>
      </c>
    </row>
    <row r="3317" spans="1:37" x14ac:dyDescent="0.3">
      <c r="A3317">
        <v>3316</v>
      </c>
      <c r="B3317">
        <v>2.6</v>
      </c>
      <c r="C3317">
        <v>-16.666599000000001</v>
      </c>
      <c r="D3317">
        <v>14.1333</v>
      </c>
      <c r="E3317">
        <f>-16.666599-14.1333</f>
        <v>-30.799899000000003</v>
      </c>
      <c r="F3317" t="s">
        <v>5408</v>
      </c>
      <c r="G3317" t="s">
        <v>39</v>
      </c>
      <c r="H3317">
        <v>1996</v>
      </c>
      <c r="I3317">
        <v>26.700000762939499</v>
      </c>
      <c r="J3317">
        <v>13.300000190734901</v>
      </c>
      <c r="K3317">
        <v>68</v>
      </c>
      <c r="L3317">
        <v>14.750603954263999</v>
      </c>
      <c r="M3317">
        <v>34.922652186963397</v>
      </c>
      <c r="N3317">
        <v>15.6000003814697</v>
      </c>
      <c r="O3317">
        <v>19.3226503301787</v>
      </c>
      <c r="P3317">
        <v>27.600000381469702</v>
      </c>
      <c r="Q3317">
        <v>26</v>
      </c>
      <c r="R3317">
        <v>28</v>
      </c>
      <c r="S3317">
        <v>24.315099965805999</v>
      </c>
      <c r="T3317">
        <v>658.05033557047</v>
      </c>
      <c r="U3317">
        <v>257.39932885906001</v>
      </c>
      <c r="V3317">
        <v>0</v>
      </c>
      <c r="W3317">
        <v>152.20134228187899</v>
      </c>
      <c r="X3317">
        <v>572.424496644295</v>
      </c>
      <c r="Y3317">
        <v>0</v>
      </c>
      <c r="Z3317">
        <v>164.025167785235</v>
      </c>
      <c r="AA3317">
        <v>2</v>
      </c>
      <c r="AB3317">
        <v>2.5020137825268201</v>
      </c>
      <c r="AC3317">
        <v>1.3109125184432999E-2</v>
      </c>
      <c r="AD3317">
        <v>0.82045181415625101</v>
      </c>
      <c r="AE3317">
        <v>0.69490614173396303</v>
      </c>
      <c r="AF3317">
        <v>7.4177852348993296</v>
      </c>
      <c r="AG3317">
        <f>IFERROR(AH3317*0.1, "N/A")</f>
        <v>5.1734899328859107</v>
      </c>
      <c r="AH3317">
        <v>51.7348993288591</v>
      </c>
      <c r="AI3317">
        <v>108.69316561910099</v>
      </c>
      <c r="AJ3317">
        <v>15</v>
      </c>
      <c r="AK3317">
        <v>74.6224832214765</v>
      </c>
    </row>
    <row r="3318" spans="1:37" x14ac:dyDescent="0.3">
      <c r="A3318">
        <v>3317</v>
      </c>
      <c r="B3318">
        <v>0</v>
      </c>
      <c r="C3318">
        <v>-16.666599000000001</v>
      </c>
      <c r="D3318">
        <v>14.1333</v>
      </c>
      <c r="E3318">
        <f>-16.666599-14.1333</f>
        <v>-30.799899000000003</v>
      </c>
      <c r="F3318" t="s">
        <v>5409</v>
      </c>
      <c r="G3318" t="s">
        <v>37</v>
      </c>
      <c r="H3318">
        <v>1996</v>
      </c>
      <c r="I3318">
        <v>26.700000762939499</v>
      </c>
      <c r="J3318">
        <v>13.300000190734901</v>
      </c>
      <c r="K3318">
        <v>68</v>
      </c>
      <c r="L3318">
        <v>14.750603954263999</v>
      </c>
      <c r="M3318">
        <v>34.922652186963397</v>
      </c>
      <c r="N3318">
        <v>15.6000003814697</v>
      </c>
      <c r="O3318">
        <v>19.3226503301787</v>
      </c>
      <c r="P3318">
        <v>27.600000381469702</v>
      </c>
      <c r="Q3318">
        <v>26</v>
      </c>
      <c r="R3318">
        <v>28</v>
      </c>
      <c r="S3318">
        <v>24.315099965805999</v>
      </c>
      <c r="T3318">
        <v>658.05033557047</v>
      </c>
      <c r="U3318">
        <v>257.39932885906001</v>
      </c>
      <c r="V3318">
        <v>0</v>
      </c>
      <c r="W3318">
        <v>152.20134228187899</v>
      </c>
      <c r="X3318">
        <v>572.424496644295</v>
      </c>
      <c r="Y3318">
        <v>0</v>
      </c>
      <c r="Z3318">
        <v>164.025167785235</v>
      </c>
      <c r="AA3318">
        <v>2</v>
      </c>
      <c r="AB3318">
        <v>2.5020137825268201</v>
      </c>
      <c r="AC3318">
        <v>1.3109125184432999E-2</v>
      </c>
      <c r="AD3318">
        <v>0.82045181415625101</v>
      </c>
      <c r="AE3318">
        <v>0.69490614173396303</v>
      </c>
      <c r="AF3318">
        <v>7.4177852348993296</v>
      </c>
      <c r="AG3318">
        <f>IFERROR(AH3318*0.1, "N/A")</f>
        <v>5.1734899328859107</v>
      </c>
      <c r="AH3318">
        <v>51.7348993288591</v>
      </c>
      <c r="AI3318">
        <v>108.69316561910099</v>
      </c>
      <c r="AJ3318">
        <v>15</v>
      </c>
      <c r="AK3318">
        <v>74.6224832214765</v>
      </c>
    </row>
    <row r="3319" spans="1:37" x14ac:dyDescent="0.3">
      <c r="A3319">
        <v>3318</v>
      </c>
      <c r="B3319">
        <v>50.900002000000001</v>
      </c>
      <c r="C3319">
        <v>-16.666699999999999</v>
      </c>
      <c r="D3319">
        <v>14.1333</v>
      </c>
      <c r="E3319">
        <f>-16.6667-14.1333</f>
        <v>-30.799999999999997</v>
      </c>
      <c r="F3319" t="s">
        <v>5410</v>
      </c>
      <c r="G3319" t="s">
        <v>39</v>
      </c>
      <c r="H3319">
        <v>1958</v>
      </c>
      <c r="I3319">
        <v>26.700000762939499</v>
      </c>
      <c r="J3319">
        <v>13.300000190734901</v>
      </c>
      <c r="K3319">
        <v>68</v>
      </c>
      <c r="L3319">
        <v>14.7641007703893</v>
      </c>
      <c r="M3319">
        <v>34.917816380092098</v>
      </c>
      <c r="N3319">
        <v>15.6000003814697</v>
      </c>
      <c r="O3319">
        <v>19.3178144310703</v>
      </c>
      <c r="P3319">
        <v>27.600000381469702</v>
      </c>
      <c r="Q3319">
        <v>26</v>
      </c>
      <c r="R3319">
        <v>28</v>
      </c>
      <c r="S3319">
        <v>24.311932055689699</v>
      </c>
      <c r="T3319">
        <v>657.94285714285695</v>
      </c>
      <c r="U3319">
        <v>257.39663865546203</v>
      </c>
      <c r="V3319">
        <v>0</v>
      </c>
      <c r="W3319">
        <v>152.206722689076</v>
      </c>
      <c r="X3319">
        <v>572.36806722689096</v>
      </c>
      <c r="Y3319">
        <v>0</v>
      </c>
      <c r="Z3319">
        <v>163.97142857142899</v>
      </c>
      <c r="AA3319">
        <v>2</v>
      </c>
      <c r="AB3319">
        <v>2.4700844003372802</v>
      </c>
      <c r="AC3319">
        <v>1.7313055925760001E-2</v>
      </c>
      <c r="AD3319">
        <v>0.81929447500645602</v>
      </c>
      <c r="AE3319">
        <v>0.70033267866663595</v>
      </c>
      <c r="AF3319">
        <v>7.4336134453781497</v>
      </c>
      <c r="AG3319">
        <f>IFERROR(AH3319*0.1, "N/A")</f>
        <v>5.2215126050420206</v>
      </c>
      <c r="AH3319">
        <v>52.215126050420203</v>
      </c>
      <c r="AI3319">
        <v>119.151118764156</v>
      </c>
      <c r="AJ3319">
        <v>15</v>
      </c>
      <c r="AK3319">
        <v>74.702521008403394</v>
      </c>
    </row>
    <row r="3320" spans="1:37" x14ac:dyDescent="0.3">
      <c r="A3320">
        <v>3319</v>
      </c>
      <c r="B3320">
        <v>0</v>
      </c>
      <c r="C3320">
        <v>-16.666699999999999</v>
      </c>
      <c r="D3320">
        <v>14.1333</v>
      </c>
      <c r="E3320">
        <f>-16.6667-14.1333</f>
        <v>-30.799999999999997</v>
      </c>
      <c r="F3320" t="s">
        <v>5411</v>
      </c>
      <c r="G3320" t="s">
        <v>37</v>
      </c>
      <c r="H3320">
        <v>1958</v>
      </c>
      <c r="I3320">
        <v>26.700000762939499</v>
      </c>
      <c r="J3320">
        <v>13.300000190734901</v>
      </c>
      <c r="K3320">
        <v>68</v>
      </c>
      <c r="L3320">
        <v>14.7641007703893</v>
      </c>
      <c r="M3320">
        <v>34.917816380092098</v>
      </c>
      <c r="N3320">
        <v>15.6000003814697</v>
      </c>
      <c r="O3320">
        <v>19.3178144310703</v>
      </c>
      <c r="P3320">
        <v>27.600000381469702</v>
      </c>
      <c r="Q3320">
        <v>26</v>
      </c>
      <c r="R3320">
        <v>28</v>
      </c>
      <c r="S3320">
        <v>24.311932055689699</v>
      </c>
      <c r="T3320">
        <v>657.94285714285695</v>
      </c>
      <c r="U3320">
        <v>257.39663865546203</v>
      </c>
      <c r="V3320">
        <v>0</v>
      </c>
      <c r="W3320">
        <v>152.206722689076</v>
      </c>
      <c r="X3320">
        <v>572.36806722689096</v>
      </c>
      <c r="Y3320">
        <v>0</v>
      </c>
      <c r="Z3320">
        <v>163.97142857142899</v>
      </c>
      <c r="AA3320">
        <v>2</v>
      </c>
      <c r="AB3320">
        <v>2.4700844003372802</v>
      </c>
      <c r="AC3320">
        <v>1.7313055925760001E-2</v>
      </c>
      <c r="AD3320">
        <v>0.81929447500645602</v>
      </c>
      <c r="AE3320">
        <v>0.70033267866663595</v>
      </c>
      <c r="AF3320">
        <v>7.4336134453781497</v>
      </c>
      <c r="AG3320">
        <f>IFERROR(AH3320*0.1, "N/A")</f>
        <v>5.2215126050420206</v>
      </c>
      <c r="AH3320">
        <v>52.215126050420203</v>
      </c>
      <c r="AI3320">
        <v>119.151118764156</v>
      </c>
      <c r="AJ3320">
        <v>15</v>
      </c>
      <c r="AK3320">
        <v>74.702521008403394</v>
      </c>
    </row>
    <row r="3321" spans="1:37" x14ac:dyDescent="0.3">
      <c r="A3321">
        <v>3320</v>
      </c>
      <c r="B3321">
        <v>8</v>
      </c>
      <c r="C3321">
        <v>-16.064699000000001</v>
      </c>
      <c r="D3321">
        <v>14.1342</v>
      </c>
      <c r="E3321">
        <f>-16.064699-14.1342</f>
        <v>-30.198899000000001</v>
      </c>
      <c r="F3321" t="s">
        <v>5412</v>
      </c>
      <c r="G3321" t="s">
        <v>39</v>
      </c>
      <c r="H3321">
        <v>2004</v>
      </c>
      <c r="I3321">
        <v>28.200000762939499</v>
      </c>
      <c r="J3321">
        <v>15.6000003814697</v>
      </c>
      <c r="K3321">
        <v>66</v>
      </c>
      <c r="L3321">
        <v>15.550000190734901</v>
      </c>
      <c r="M3321">
        <v>39.299999237060497</v>
      </c>
      <c r="N3321">
        <v>15.800000190734901</v>
      </c>
      <c r="O3321">
        <v>23.5</v>
      </c>
      <c r="P3321">
        <v>28.399999618530298</v>
      </c>
      <c r="Q3321">
        <v>28.200000762939499</v>
      </c>
      <c r="R3321">
        <v>29.899999618530298</v>
      </c>
      <c r="S3321">
        <v>25.799999237060501</v>
      </c>
      <c r="T3321">
        <v>630</v>
      </c>
      <c r="U3321">
        <v>221</v>
      </c>
      <c r="V3321">
        <v>0</v>
      </c>
      <c r="W3321">
        <v>142</v>
      </c>
      <c r="X3321">
        <v>529</v>
      </c>
      <c r="Y3321">
        <v>1</v>
      </c>
      <c r="Z3321">
        <v>46</v>
      </c>
      <c r="AA3321">
        <v>3</v>
      </c>
      <c r="AB3321">
        <v>2.2521812951804798</v>
      </c>
      <c r="AC3321">
        <v>3.9313127114843999E-2</v>
      </c>
      <c r="AD3321">
        <v>0.52533585813221495</v>
      </c>
      <c r="AE3321">
        <v>0.75327021483606904</v>
      </c>
      <c r="AF3321">
        <v>2.26677852348993</v>
      </c>
      <c r="AG3321">
        <f>IFERROR(AH3321*0.1, "N/A")</f>
        <v>6.3204697986577205</v>
      </c>
      <c r="AH3321">
        <v>63.204697986577202</v>
      </c>
      <c r="AI3321">
        <v>107.323301142494</v>
      </c>
      <c r="AJ3321">
        <v>27.008389261744998</v>
      </c>
      <c r="AK3321">
        <v>52.822147651006702</v>
      </c>
    </row>
    <row r="3322" spans="1:37" x14ac:dyDescent="0.3">
      <c r="A3322">
        <v>3321</v>
      </c>
      <c r="B3322">
        <v>46</v>
      </c>
      <c r="C3322">
        <v>-15.8292</v>
      </c>
      <c r="D3322">
        <v>14.138400000000001</v>
      </c>
      <c r="E3322">
        <f>-15.8292-14.1384</f>
        <v>-29.967600000000001</v>
      </c>
      <c r="F3322" t="s">
        <v>5413</v>
      </c>
      <c r="G3322" t="s">
        <v>39</v>
      </c>
      <c r="H3322">
        <v>2003</v>
      </c>
      <c r="I3322">
        <v>27.799999237060501</v>
      </c>
      <c r="J3322">
        <v>15.699999809265099</v>
      </c>
      <c r="K3322">
        <v>65</v>
      </c>
      <c r="L3322">
        <v>17.799999237060501</v>
      </c>
      <c r="M3322">
        <v>39.299999237060497</v>
      </c>
      <c r="N3322">
        <v>15.199999809265099</v>
      </c>
      <c r="O3322">
        <v>24.100000381469702</v>
      </c>
      <c r="P3322">
        <v>28</v>
      </c>
      <c r="Q3322">
        <v>27.899999618530298</v>
      </c>
      <c r="R3322">
        <v>29.899999618530298</v>
      </c>
      <c r="S3322">
        <v>25.100000381469702</v>
      </c>
      <c r="T3322">
        <v>601</v>
      </c>
      <c r="U3322">
        <v>199</v>
      </c>
      <c r="V3322">
        <v>0</v>
      </c>
      <c r="W3322">
        <v>138</v>
      </c>
      <c r="X3322">
        <v>499</v>
      </c>
      <c r="Y3322">
        <v>0</v>
      </c>
      <c r="Z3322">
        <v>49</v>
      </c>
      <c r="AA3322">
        <v>3</v>
      </c>
      <c r="AB3322">
        <v>1.9978082007139599</v>
      </c>
      <c r="AC3322">
        <v>0.233890303716842</v>
      </c>
      <c r="AD3322">
        <v>1.80425400632429</v>
      </c>
      <c r="AE3322">
        <v>0.70589246365915503</v>
      </c>
      <c r="AF3322">
        <v>8.4839797639123091</v>
      </c>
      <c r="AG3322">
        <f>IFERROR(AH3322*0.1, "N/A")</f>
        <v>5.7204047217537903</v>
      </c>
      <c r="AH3322">
        <v>57.204047217537898</v>
      </c>
      <c r="AI3322">
        <v>194.45972209756701</v>
      </c>
      <c r="AJ3322">
        <v>7.9561551433389504</v>
      </c>
      <c r="AK3322">
        <v>74.851602023608805</v>
      </c>
    </row>
    <row r="3323" spans="1:37" x14ac:dyDescent="0.3">
      <c r="A3323">
        <v>3322</v>
      </c>
      <c r="B3323">
        <v>12</v>
      </c>
      <c r="C3323">
        <v>-16.073601</v>
      </c>
      <c r="D3323">
        <v>14.139699999999999</v>
      </c>
      <c r="E3323">
        <f>-16.073601-14.1397</f>
        <v>-30.213301000000001</v>
      </c>
      <c r="F3323" t="s">
        <v>5414</v>
      </c>
      <c r="G3323" t="s">
        <v>39</v>
      </c>
      <c r="H3323">
        <v>2004</v>
      </c>
      <c r="I3323">
        <v>28.100000381469702</v>
      </c>
      <c r="J3323">
        <v>15.6000003814697</v>
      </c>
      <c r="K3323">
        <v>66</v>
      </c>
      <c r="L3323">
        <v>15.539999961853001</v>
      </c>
      <c r="M3323">
        <v>39.200000762939503</v>
      </c>
      <c r="N3323">
        <v>15.800000190734901</v>
      </c>
      <c r="O3323">
        <v>23.399999618530298</v>
      </c>
      <c r="P3323">
        <v>28.399999618530298</v>
      </c>
      <c r="Q3323">
        <v>28.100000381469702</v>
      </c>
      <c r="R3323">
        <v>29.799999237060501</v>
      </c>
      <c r="S3323">
        <v>25.799999237060501</v>
      </c>
      <c r="T3323">
        <v>630</v>
      </c>
      <c r="U3323">
        <v>221</v>
      </c>
      <c r="V3323">
        <v>0</v>
      </c>
      <c r="W3323">
        <v>142</v>
      </c>
      <c r="X3323">
        <v>529</v>
      </c>
      <c r="Y3323">
        <v>1</v>
      </c>
      <c r="Z3323">
        <v>46</v>
      </c>
      <c r="AA3323">
        <v>3</v>
      </c>
      <c r="AB3323">
        <v>5.9666109757135404</v>
      </c>
      <c r="AC3323">
        <v>2.0177933214007002E-2</v>
      </c>
      <c r="AD3323">
        <v>0.97543156167004696</v>
      </c>
      <c r="AE3323">
        <v>0.92348378896713301</v>
      </c>
      <c r="AF3323">
        <v>9.0805369127516808</v>
      </c>
      <c r="AG3323">
        <f>IFERROR(AH3323*0.1, "N/A")</f>
        <v>6.1000000000000005</v>
      </c>
      <c r="AH3323">
        <v>61</v>
      </c>
      <c r="AI3323">
        <v>116.02491632884001</v>
      </c>
      <c r="AJ3323">
        <v>26</v>
      </c>
      <c r="AK3323">
        <v>54</v>
      </c>
    </row>
    <row r="3324" spans="1:37" x14ac:dyDescent="0.3">
      <c r="A3324">
        <v>3323</v>
      </c>
      <c r="B3324">
        <v>24</v>
      </c>
      <c r="C3324">
        <v>-16.092500999999999</v>
      </c>
      <c r="D3324">
        <v>14.142799999999999</v>
      </c>
      <c r="E3324">
        <f>-16.092501-14.1428</f>
        <v>-30.235301</v>
      </c>
      <c r="F3324" t="s">
        <v>5415</v>
      </c>
      <c r="G3324" t="s">
        <v>39</v>
      </c>
      <c r="H3324">
        <v>2004</v>
      </c>
      <c r="I3324">
        <v>28.100000381469702</v>
      </c>
      <c r="J3324">
        <v>15.6000003814697</v>
      </c>
      <c r="K3324">
        <v>66</v>
      </c>
      <c r="L3324">
        <v>15.949999809265099</v>
      </c>
      <c r="M3324">
        <v>39.200000762939503</v>
      </c>
      <c r="N3324">
        <v>15.699999809265099</v>
      </c>
      <c r="O3324">
        <v>23.5</v>
      </c>
      <c r="P3324">
        <v>28.299999237060501</v>
      </c>
      <c r="Q3324">
        <v>28.100000381469702</v>
      </c>
      <c r="R3324">
        <v>29.799999237060501</v>
      </c>
      <c r="S3324">
        <v>25.600000381469702</v>
      </c>
      <c r="T3324">
        <v>628</v>
      </c>
      <c r="U3324">
        <v>220</v>
      </c>
      <c r="V3324">
        <v>0</v>
      </c>
      <c r="W3324">
        <v>142</v>
      </c>
      <c r="X3324">
        <v>528</v>
      </c>
      <c r="Y3324">
        <v>1</v>
      </c>
      <c r="Z3324">
        <v>46</v>
      </c>
      <c r="AA3324">
        <v>3</v>
      </c>
      <c r="AB3324">
        <v>4.3905564464163804</v>
      </c>
      <c r="AC3324">
        <v>9.5105379109989997E-3</v>
      </c>
      <c r="AD3324">
        <v>0.85738919738171304</v>
      </c>
      <c r="AE3324">
        <v>0.77612364292144798</v>
      </c>
      <c r="AF3324">
        <v>5.4569983136593603</v>
      </c>
      <c r="AG3324">
        <f>IFERROR(AH3324*0.1, "N/A")</f>
        <v>6.0870151770657701</v>
      </c>
      <c r="AH3324">
        <v>60.870151770657699</v>
      </c>
      <c r="AI3324">
        <v>94.487214678656599</v>
      </c>
      <c r="AJ3324">
        <v>20.290050590219199</v>
      </c>
      <c r="AK3324">
        <v>62.419898819561503</v>
      </c>
    </row>
    <row r="3325" spans="1:37" x14ac:dyDescent="0.3">
      <c r="A3325">
        <v>3324</v>
      </c>
      <c r="B3325">
        <v>14</v>
      </c>
      <c r="C3325">
        <v>-16.226900000000001</v>
      </c>
      <c r="D3325">
        <v>14.1439</v>
      </c>
      <c r="E3325">
        <f>-16.2269-14.1439</f>
        <v>-30.370800000000003</v>
      </c>
      <c r="F3325" t="s">
        <v>5416</v>
      </c>
      <c r="G3325" t="s">
        <v>39</v>
      </c>
      <c r="H3325">
        <v>2004</v>
      </c>
      <c r="I3325">
        <v>27.600000381469702</v>
      </c>
      <c r="J3325">
        <v>15.199999809265099</v>
      </c>
      <c r="K3325">
        <v>67</v>
      </c>
      <c r="L3325">
        <v>15.6499996185303</v>
      </c>
      <c r="M3325">
        <v>38.099998474121101</v>
      </c>
      <c r="N3325">
        <v>15.5</v>
      </c>
      <c r="O3325">
        <v>22.600000381469702</v>
      </c>
      <c r="P3325">
        <v>28.100000381469702</v>
      </c>
      <c r="Q3325">
        <v>27.5</v>
      </c>
      <c r="R3325">
        <v>29.200000762939499</v>
      </c>
      <c r="S3325">
        <v>25.200000762939499</v>
      </c>
      <c r="T3325">
        <v>620</v>
      </c>
      <c r="U3325">
        <v>219</v>
      </c>
      <c r="V3325">
        <v>0</v>
      </c>
      <c r="W3325">
        <v>145</v>
      </c>
      <c r="X3325">
        <v>527</v>
      </c>
      <c r="Y3325">
        <v>0</v>
      </c>
      <c r="Z3325">
        <v>43</v>
      </c>
      <c r="AA3325">
        <v>2</v>
      </c>
      <c r="AB3325">
        <v>8.8907410656964405</v>
      </c>
      <c r="AC3325">
        <v>1.9212417050519001E-2</v>
      </c>
      <c r="AD3325">
        <v>0.89637826608889004</v>
      </c>
      <c r="AE3325">
        <v>0.64181155508214804</v>
      </c>
      <c r="AF3325">
        <v>8.9747474747474705</v>
      </c>
      <c r="AG3325">
        <f>IFERROR(AH3325*0.1, "N/A")</f>
        <v>5.7732323232323211</v>
      </c>
      <c r="AH3325">
        <v>57.732323232323203</v>
      </c>
      <c r="AI3325">
        <v>52.793918609619098</v>
      </c>
      <c r="AJ3325">
        <v>14.2676767676768</v>
      </c>
      <c r="AK3325">
        <v>68.732323232323196</v>
      </c>
    </row>
    <row r="3326" spans="1:37" x14ac:dyDescent="0.3">
      <c r="A3326">
        <v>3325</v>
      </c>
      <c r="B3326">
        <v>10</v>
      </c>
      <c r="C3326">
        <v>-16.0686</v>
      </c>
      <c r="D3326">
        <v>14.148899999999999</v>
      </c>
      <c r="E3326">
        <f>-16.0686-14.1489</f>
        <v>-30.217500000000001</v>
      </c>
      <c r="F3326" t="s">
        <v>5417</v>
      </c>
      <c r="G3326" t="s">
        <v>39</v>
      </c>
      <c r="H3326">
        <v>2004</v>
      </c>
      <c r="I3326">
        <v>28.100000381469702</v>
      </c>
      <c r="J3326">
        <v>15.6000003814697</v>
      </c>
      <c r="K3326">
        <v>66</v>
      </c>
      <c r="L3326">
        <v>15.4700002670288</v>
      </c>
      <c r="M3326">
        <v>39.200000762939503</v>
      </c>
      <c r="N3326">
        <v>15.800000190734901</v>
      </c>
      <c r="O3326">
        <v>23.399999618530298</v>
      </c>
      <c r="P3326">
        <v>28.399999618530298</v>
      </c>
      <c r="Q3326">
        <v>28.100000381469702</v>
      </c>
      <c r="R3326">
        <v>29.799999237060501</v>
      </c>
      <c r="S3326">
        <v>25.799999237060501</v>
      </c>
      <c r="T3326">
        <v>629</v>
      </c>
      <c r="U3326">
        <v>220</v>
      </c>
      <c r="V3326">
        <v>0</v>
      </c>
      <c r="W3326">
        <v>142</v>
      </c>
      <c r="X3326">
        <v>528</v>
      </c>
      <c r="Y3326">
        <v>1</v>
      </c>
      <c r="Z3326">
        <v>46</v>
      </c>
      <c r="AA3326">
        <v>3</v>
      </c>
      <c r="AB3326">
        <v>3.0807371231379399</v>
      </c>
      <c r="AC3326">
        <v>1.3711413051902E-2</v>
      </c>
      <c r="AD3326">
        <v>0.94377956338463898</v>
      </c>
      <c r="AE3326">
        <v>0.90870696306228604</v>
      </c>
      <c r="AF3326">
        <v>6.1574539363484098</v>
      </c>
      <c r="AG3326">
        <f>IFERROR(AH3326*0.1, "N/A")</f>
        <v>6.3832495812395305</v>
      </c>
      <c r="AH3326">
        <v>63.832495812395301</v>
      </c>
      <c r="AI3326">
        <v>64.478650257615399</v>
      </c>
      <c r="AJ3326">
        <v>23</v>
      </c>
      <c r="AK3326">
        <v>57.293132328308197</v>
      </c>
    </row>
    <row r="3327" spans="1:37" x14ac:dyDescent="0.3">
      <c r="A3327">
        <v>3326</v>
      </c>
      <c r="B3327">
        <v>9.6</v>
      </c>
      <c r="C3327">
        <v>-15.283300000000001</v>
      </c>
      <c r="D3327">
        <v>14.15</v>
      </c>
      <c r="E3327">
        <f>-15.2833-14.15</f>
        <v>-29.433300000000003</v>
      </c>
      <c r="F3327" t="s">
        <v>5418</v>
      </c>
      <c r="G3327" t="s">
        <v>39</v>
      </c>
      <c r="H3327">
        <v>2001</v>
      </c>
      <c r="I3327">
        <v>27.279529750747201</v>
      </c>
      <c r="J3327">
        <v>15.529865885741</v>
      </c>
      <c r="K3327">
        <v>63</v>
      </c>
      <c r="L3327">
        <v>19.085503414973299</v>
      </c>
      <c r="M3327">
        <v>39.008892481759098</v>
      </c>
      <c r="N3327">
        <v>14.6000003814697</v>
      </c>
      <c r="O3327">
        <v>24.408892269902601</v>
      </c>
      <c r="P3327">
        <v>27.1795308861956</v>
      </c>
      <c r="Q3327">
        <v>27.799999237060501</v>
      </c>
      <c r="R3327">
        <v>29.700000762939499</v>
      </c>
      <c r="S3327">
        <v>24.600000381469702</v>
      </c>
      <c r="T3327">
        <v>616.49832214765104</v>
      </c>
      <c r="U3327">
        <v>200.29362416107401</v>
      </c>
      <c r="V3327">
        <v>0</v>
      </c>
      <c r="W3327">
        <v>136</v>
      </c>
      <c r="X3327">
        <v>500.29362416107398</v>
      </c>
      <c r="Y3327">
        <v>0</v>
      </c>
      <c r="Z3327">
        <v>59.204697986577202</v>
      </c>
      <c r="AA3327">
        <v>2</v>
      </c>
      <c r="AB3327">
        <v>1.46593883053568</v>
      </c>
      <c r="AC3327">
        <v>1.1480073300784E-2</v>
      </c>
      <c r="AD3327">
        <v>0.73769334218646099</v>
      </c>
      <c r="AE3327">
        <v>0.68143147230148304</v>
      </c>
      <c r="AF3327">
        <v>39.567114093959702</v>
      </c>
      <c r="AG3327">
        <f>IFERROR(AH3327*0.1, "N/A")</f>
        <v>5.8000000000000007</v>
      </c>
      <c r="AH3327">
        <v>58</v>
      </c>
      <c r="AI3327">
        <v>106.159932053329</v>
      </c>
      <c r="AJ3327">
        <v>10.0805369127517</v>
      </c>
      <c r="AK3327">
        <v>77.919463087248303</v>
      </c>
    </row>
    <row r="3328" spans="1:37" x14ac:dyDescent="0.3">
      <c r="A3328">
        <v>3327</v>
      </c>
      <c r="B3328">
        <v>40</v>
      </c>
      <c r="C3328">
        <v>-12.72</v>
      </c>
      <c r="D3328">
        <v>14.15</v>
      </c>
      <c r="E3328">
        <f>-12.72-14.15</f>
        <v>-26.87</v>
      </c>
      <c r="F3328" t="s">
        <v>5419</v>
      </c>
      <c r="G3328" t="s">
        <v>39</v>
      </c>
      <c r="H3328">
        <v>2003</v>
      </c>
      <c r="I3328">
        <v>28.399999618530298</v>
      </c>
      <c r="J3328">
        <v>14.1000003814697</v>
      </c>
      <c r="K3328">
        <v>59</v>
      </c>
      <c r="L3328">
        <v>24.124040571527502</v>
      </c>
      <c r="M3328">
        <v>40.099998474121101</v>
      </c>
      <c r="N3328">
        <v>16.299999237060501</v>
      </c>
      <c r="O3328">
        <v>23.799999237060501</v>
      </c>
      <c r="P3328">
        <v>27.299999237060501</v>
      </c>
      <c r="Q3328">
        <v>27.399999618530298</v>
      </c>
      <c r="R3328">
        <v>31.899999618530298</v>
      </c>
      <c r="S3328">
        <v>25.799999237060501</v>
      </c>
      <c r="T3328">
        <v>701.40067340067401</v>
      </c>
      <c r="U3328">
        <v>210</v>
      </c>
      <c r="V3328">
        <v>0</v>
      </c>
      <c r="W3328">
        <v>131</v>
      </c>
      <c r="X3328">
        <v>553</v>
      </c>
      <c r="Y3328">
        <v>0</v>
      </c>
      <c r="Z3328">
        <v>98.700336700336706</v>
      </c>
      <c r="AA3328">
        <v>3</v>
      </c>
      <c r="AB3328">
        <v>4.3205382992522896</v>
      </c>
      <c r="AC3328">
        <v>3.3383518614200997E-2</v>
      </c>
      <c r="AD3328">
        <v>0.71641069730925699</v>
      </c>
      <c r="AE3328">
        <v>0.65797930955886796</v>
      </c>
      <c r="AF3328">
        <v>49.878787878787897</v>
      </c>
      <c r="AG3328">
        <f>IFERROR(AH3328*0.1, "N/A")</f>
        <v>6</v>
      </c>
      <c r="AH3328">
        <v>60</v>
      </c>
      <c r="AI3328">
        <v>106.433804418904</v>
      </c>
      <c r="AJ3328">
        <v>19.922558922558899</v>
      </c>
      <c r="AK3328">
        <v>58.077441077441101</v>
      </c>
    </row>
    <row r="3329" spans="1:37" x14ac:dyDescent="0.3">
      <c r="A3329">
        <v>3328</v>
      </c>
      <c r="B3329">
        <v>18</v>
      </c>
      <c r="C3329">
        <v>-16.088100000000001</v>
      </c>
      <c r="D3329">
        <v>14.153600000000001</v>
      </c>
      <c r="E3329">
        <f>-16.0881-14.1536</f>
        <v>-30.241700000000002</v>
      </c>
      <c r="F3329" t="s">
        <v>5420</v>
      </c>
      <c r="G3329" t="s">
        <v>39</v>
      </c>
      <c r="H3329">
        <v>2004</v>
      </c>
      <c r="I3329">
        <v>28.100000381469702</v>
      </c>
      <c r="J3329">
        <v>15.6000003814697</v>
      </c>
      <c r="K3329">
        <v>66</v>
      </c>
      <c r="L3329">
        <v>15.800000190734901</v>
      </c>
      <c r="M3329">
        <v>39.200000762939503</v>
      </c>
      <c r="N3329">
        <v>15.699999809265099</v>
      </c>
      <c r="O3329">
        <v>23.5</v>
      </c>
      <c r="P3329">
        <v>28.299999237060501</v>
      </c>
      <c r="Q3329">
        <v>28.100000381469702</v>
      </c>
      <c r="R3329">
        <v>29.799999237060501</v>
      </c>
      <c r="S3329">
        <v>25.600000381469702</v>
      </c>
      <c r="T3329">
        <v>626</v>
      </c>
      <c r="U3329">
        <v>219</v>
      </c>
      <c r="V3329">
        <v>0</v>
      </c>
      <c r="W3329">
        <v>142</v>
      </c>
      <c r="X3329">
        <v>527</v>
      </c>
      <c r="Y3329">
        <v>1</v>
      </c>
      <c r="Z3329">
        <v>45</v>
      </c>
      <c r="AA3329">
        <v>3</v>
      </c>
      <c r="AB3329">
        <v>4.3255459408800103</v>
      </c>
      <c r="AC3329">
        <v>8.5999813838670003E-3</v>
      </c>
      <c r="AD3329">
        <v>1.0379964780406801</v>
      </c>
      <c r="AE3329">
        <v>0.91826216894037604</v>
      </c>
      <c r="AF3329">
        <v>7.6773109243697499</v>
      </c>
      <c r="AG3329">
        <f>IFERROR(AH3329*0.1, "N/A")</f>
        <v>6.5347899159663898</v>
      </c>
      <c r="AH3329">
        <v>65.347899159663896</v>
      </c>
      <c r="AI3329">
        <v>213.18430073201199</v>
      </c>
      <c r="AJ3329">
        <v>20.326050420168102</v>
      </c>
      <c r="AK3329">
        <v>64.2</v>
      </c>
    </row>
    <row r="3330" spans="1:37" x14ac:dyDescent="0.3">
      <c r="A3330">
        <v>3329</v>
      </c>
      <c r="B3330">
        <v>24</v>
      </c>
      <c r="C3330">
        <v>-16.063299000000001</v>
      </c>
      <c r="D3330">
        <v>14.1569</v>
      </c>
      <c r="E3330">
        <f>-16.063299-14.1569</f>
        <v>-30.220199000000001</v>
      </c>
      <c r="F3330" t="s">
        <v>5421</v>
      </c>
      <c r="G3330" t="s">
        <v>39</v>
      </c>
      <c r="H3330">
        <v>2004</v>
      </c>
      <c r="I3330">
        <v>28.100000381469702</v>
      </c>
      <c r="J3330">
        <v>15.699999809265099</v>
      </c>
      <c r="K3330">
        <v>66</v>
      </c>
      <c r="L3330">
        <v>15.819999694824199</v>
      </c>
      <c r="M3330">
        <v>39.299999237060497</v>
      </c>
      <c r="N3330">
        <v>15.699999809265099</v>
      </c>
      <c r="O3330">
        <v>23.600000381469702</v>
      </c>
      <c r="P3330">
        <v>28.399999618530298</v>
      </c>
      <c r="Q3330">
        <v>28.200000762939499</v>
      </c>
      <c r="R3330">
        <v>29.899999618530298</v>
      </c>
      <c r="S3330">
        <v>25.700000762939499</v>
      </c>
      <c r="T3330">
        <v>627</v>
      </c>
      <c r="U3330">
        <v>218</v>
      </c>
      <c r="V3330">
        <v>0</v>
      </c>
      <c r="W3330">
        <v>141</v>
      </c>
      <c r="X3330">
        <v>526</v>
      </c>
      <c r="Y3330">
        <v>1</v>
      </c>
      <c r="Z3330">
        <v>46</v>
      </c>
      <c r="AA3330">
        <v>3</v>
      </c>
      <c r="AB3330">
        <v>2.7734453738236602</v>
      </c>
      <c r="AC3330">
        <v>2.9047214415144001E-2</v>
      </c>
      <c r="AD3330">
        <v>0.67452833336942297</v>
      </c>
      <c r="AE3330">
        <v>0.91255184602336703</v>
      </c>
      <c r="AF3330">
        <v>3.3714285714285701</v>
      </c>
      <c r="AG3330">
        <f>IFERROR(AH3330*0.1, "N/A")</f>
        <v>6.1470588235294104</v>
      </c>
      <c r="AH3330">
        <v>61.470588235294102</v>
      </c>
      <c r="AI3330">
        <v>124.633469865302</v>
      </c>
      <c r="AJ3330">
        <v>21.2</v>
      </c>
      <c r="AK3330">
        <v>60.137815126050398</v>
      </c>
    </row>
    <row r="3331" spans="1:37" x14ac:dyDescent="0.3">
      <c r="A3331">
        <v>3330</v>
      </c>
      <c r="B3331">
        <v>58</v>
      </c>
      <c r="C3331">
        <v>-16.096900999999999</v>
      </c>
      <c r="D3331">
        <v>14.158300000000001</v>
      </c>
      <c r="E3331">
        <f>-16.096901-14.1583</f>
        <v>-30.255201</v>
      </c>
      <c r="F3331" t="s">
        <v>5422</v>
      </c>
      <c r="G3331" t="s">
        <v>39</v>
      </c>
      <c r="H3331">
        <v>2004</v>
      </c>
      <c r="I3331">
        <v>28.052188751272102</v>
      </c>
      <c r="J3331">
        <v>15.6000003814697</v>
      </c>
      <c r="K3331">
        <v>66</v>
      </c>
      <c r="L3331">
        <v>15.850875324673099</v>
      </c>
      <c r="M3331">
        <v>39.099998474121101</v>
      </c>
      <c r="N3331">
        <v>15.699999809265099</v>
      </c>
      <c r="O3331">
        <v>23.399999618530298</v>
      </c>
      <c r="P3331">
        <v>28.299999237060501</v>
      </c>
      <c r="Q3331">
        <v>28</v>
      </c>
      <c r="R3331">
        <v>29.700000762939499</v>
      </c>
      <c r="S3331">
        <v>25.600000381469702</v>
      </c>
      <c r="T3331">
        <v>624.521885521885</v>
      </c>
      <c r="U3331">
        <v>217.52188552188599</v>
      </c>
      <c r="V3331">
        <v>0</v>
      </c>
      <c r="W3331">
        <v>141</v>
      </c>
      <c r="X3331">
        <v>525.52188552188602</v>
      </c>
      <c r="Y3331">
        <v>1</v>
      </c>
      <c r="Z3331">
        <v>45</v>
      </c>
      <c r="AA3331">
        <v>3</v>
      </c>
      <c r="AB3331">
        <v>1.97138049546316</v>
      </c>
      <c r="AC3331">
        <v>1.0471188108929001E-2</v>
      </c>
      <c r="AD3331">
        <v>0.722214125824296</v>
      </c>
      <c r="AE3331">
        <v>0.90684682130813599</v>
      </c>
      <c r="AF3331">
        <v>3.4814814814814801</v>
      </c>
      <c r="AG3331">
        <f>IFERROR(AH3331*0.1, "N/A")</f>
        <v>6</v>
      </c>
      <c r="AH3331">
        <v>60</v>
      </c>
      <c r="AI3331">
        <v>129.13633604724001</v>
      </c>
      <c r="AJ3331">
        <v>16</v>
      </c>
      <c r="AK3331">
        <v>69</v>
      </c>
    </row>
    <row r="3332" spans="1:37" x14ac:dyDescent="0.3">
      <c r="A3332">
        <v>3331</v>
      </c>
      <c r="B3332">
        <v>24</v>
      </c>
      <c r="C3332">
        <v>-16.107201</v>
      </c>
      <c r="D3332">
        <v>14.1594</v>
      </c>
      <c r="E3332">
        <f>-16.107201-14.1594</f>
        <v>-30.266601000000001</v>
      </c>
      <c r="F3332" t="s">
        <v>5423</v>
      </c>
      <c r="G3332" t="s">
        <v>39</v>
      </c>
      <c r="H3332">
        <v>2004</v>
      </c>
      <c r="I3332">
        <v>28</v>
      </c>
      <c r="J3332">
        <v>15.6000003814697</v>
      </c>
      <c r="K3332">
        <v>66</v>
      </c>
      <c r="L3332">
        <v>15.930000305175801</v>
      </c>
      <c r="M3332">
        <v>39</v>
      </c>
      <c r="N3332">
        <v>15.6000003814697</v>
      </c>
      <c r="O3332">
        <v>23.399999618530298</v>
      </c>
      <c r="P3332">
        <v>28.299999237060501</v>
      </c>
      <c r="Q3332">
        <v>28</v>
      </c>
      <c r="R3332">
        <v>29.700000762939499</v>
      </c>
      <c r="S3332">
        <v>25.600000381469702</v>
      </c>
      <c r="T3332">
        <v>624</v>
      </c>
      <c r="U3332">
        <v>217</v>
      </c>
      <c r="V3332">
        <v>0</v>
      </c>
      <c r="W3332">
        <v>141</v>
      </c>
      <c r="X3332">
        <v>525</v>
      </c>
      <c r="Y3332">
        <v>1</v>
      </c>
      <c r="Z3332">
        <v>45</v>
      </c>
      <c r="AA3332">
        <v>3</v>
      </c>
      <c r="AB3332">
        <v>1.1557048287167699</v>
      </c>
      <c r="AC3332">
        <v>2.7968483236337001E-2</v>
      </c>
      <c r="AD3332">
        <v>1.23084331168824</v>
      </c>
      <c r="AE3332">
        <v>0.870356393040427</v>
      </c>
      <c r="AF3332">
        <v>3.5285234899328901</v>
      </c>
      <c r="AG3332">
        <f>IFERROR(AH3332*0.1, "N/A")</f>
        <v>5.7</v>
      </c>
      <c r="AH3332">
        <v>57</v>
      </c>
      <c r="AI3332">
        <v>224.18288090084999</v>
      </c>
      <c r="AJ3332">
        <v>11</v>
      </c>
      <c r="AK3332">
        <v>77</v>
      </c>
    </row>
    <row r="3333" spans="1:37" x14ac:dyDescent="0.3">
      <c r="A3333">
        <v>3332</v>
      </c>
      <c r="B3333">
        <v>68</v>
      </c>
      <c r="C3333">
        <v>-15.6557</v>
      </c>
      <c r="D3333">
        <v>14.160600000000001</v>
      </c>
      <c r="E3333">
        <f>-15.6557-14.1606</f>
        <v>-29.816299999999998</v>
      </c>
      <c r="F3333" t="s">
        <v>5424</v>
      </c>
      <c r="G3333" t="s">
        <v>39</v>
      </c>
      <c r="H3333">
        <v>2003</v>
      </c>
      <c r="I3333">
        <v>27.5</v>
      </c>
      <c r="J3333">
        <v>15.699999809265099</v>
      </c>
      <c r="K3333">
        <v>64</v>
      </c>
      <c r="L3333">
        <v>18.200000762939499</v>
      </c>
      <c r="M3333">
        <v>39.200000762939503</v>
      </c>
      <c r="N3333">
        <v>14.8999996185303</v>
      </c>
      <c r="O3333">
        <v>24.299999237060501</v>
      </c>
      <c r="P3333">
        <v>27.700000762939499</v>
      </c>
      <c r="Q3333">
        <v>27.799999237060501</v>
      </c>
      <c r="R3333">
        <v>29.700000762939499</v>
      </c>
      <c r="S3333">
        <v>24.799999237060501</v>
      </c>
      <c r="T3333">
        <v>586</v>
      </c>
      <c r="U3333">
        <v>193</v>
      </c>
      <c r="V3333">
        <v>0</v>
      </c>
      <c r="W3333">
        <v>139</v>
      </c>
      <c r="X3333">
        <v>484</v>
      </c>
      <c r="Y3333">
        <v>0</v>
      </c>
      <c r="Z3333">
        <v>50</v>
      </c>
      <c r="AA3333">
        <v>3</v>
      </c>
      <c r="AB3333">
        <v>4.3571425333744296</v>
      </c>
      <c r="AC3333">
        <v>8.9063633906370007E-3</v>
      </c>
      <c r="AD3333">
        <v>1.2518917817027599</v>
      </c>
      <c r="AE3333">
        <v>0.70124769210815396</v>
      </c>
      <c r="AF3333">
        <v>12.9411764705882</v>
      </c>
      <c r="AG3333">
        <f>IFERROR(AH3333*0.1, "N/A")</f>
        <v>5.9630252100840302</v>
      </c>
      <c r="AH3333">
        <v>59.630252100840302</v>
      </c>
      <c r="AI3333">
        <v>148.142012780454</v>
      </c>
      <c r="AJ3333">
        <v>9.3697478991596697</v>
      </c>
      <c r="AK3333">
        <v>76.739495798319297</v>
      </c>
    </row>
    <row r="3334" spans="1:37" x14ac:dyDescent="0.3">
      <c r="A3334">
        <v>3333</v>
      </c>
      <c r="B3334">
        <v>6</v>
      </c>
      <c r="C3334">
        <v>-16.080299</v>
      </c>
      <c r="D3334">
        <v>14.1639</v>
      </c>
      <c r="E3334">
        <f>-16.080299-14.1639</f>
        <v>-30.244199000000002</v>
      </c>
      <c r="F3334" t="s">
        <v>5425</v>
      </c>
      <c r="G3334" t="s">
        <v>39</v>
      </c>
      <c r="H3334">
        <v>2004</v>
      </c>
      <c r="I3334">
        <v>28.100000381469702</v>
      </c>
      <c r="J3334">
        <v>15.699999809265099</v>
      </c>
      <c r="K3334">
        <v>67</v>
      </c>
      <c r="L3334">
        <v>15.8699998855591</v>
      </c>
      <c r="M3334">
        <v>39.099998474121101</v>
      </c>
      <c r="N3334">
        <v>15.699999809265099</v>
      </c>
      <c r="O3334">
        <v>23.399999618530298</v>
      </c>
      <c r="P3334">
        <v>28.299999237060501</v>
      </c>
      <c r="Q3334">
        <v>28.100000381469702</v>
      </c>
      <c r="R3334">
        <v>29.799999237060501</v>
      </c>
      <c r="S3334">
        <v>25.700000762939499</v>
      </c>
      <c r="T3334">
        <v>624</v>
      </c>
      <c r="U3334">
        <v>217</v>
      </c>
      <c r="V3334">
        <v>0</v>
      </c>
      <c r="W3334">
        <v>141</v>
      </c>
      <c r="X3334">
        <v>525</v>
      </c>
      <c r="Y3334">
        <v>1</v>
      </c>
      <c r="Z3334">
        <v>45</v>
      </c>
      <c r="AA3334">
        <v>3</v>
      </c>
      <c r="AB3334">
        <v>4.5649748453634</v>
      </c>
      <c r="AC3334">
        <v>1.0594246499303E-2</v>
      </c>
      <c r="AD3334">
        <v>0.77906825719952799</v>
      </c>
      <c r="AE3334">
        <v>0.912662806244671</v>
      </c>
      <c r="AF3334">
        <v>8.6463620981387503</v>
      </c>
      <c r="AG3334">
        <f>IFERROR(AH3334*0.1, "N/A")</f>
        <v>6.3649746192893408</v>
      </c>
      <c r="AH3334">
        <v>63.649746192893403</v>
      </c>
      <c r="AI3334">
        <v>216.58697148305299</v>
      </c>
      <c r="AJ3334">
        <v>17</v>
      </c>
      <c r="AK3334">
        <v>67.299492385786806</v>
      </c>
    </row>
    <row r="3335" spans="1:37" x14ac:dyDescent="0.3">
      <c r="A3335">
        <v>3334</v>
      </c>
      <c r="B3335">
        <v>14</v>
      </c>
      <c r="C3335">
        <v>-16.0578</v>
      </c>
      <c r="D3335">
        <v>14.166700000000001</v>
      </c>
      <c r="E3335">
        <f>-16.0578-14.1667</f>
        <v>-30.224499999999999</v>
      </c>
      <c r="F3335" t="s">
        <v>5426</v>
      </c>
      <c r="G3335" t="s">
        <v>39</v>
      </c>
      <c r="H3335">
        <v>2004</v>
      </c>
      <c r="I3335">
        <v>28.100000381469702</v>
      </c>
      <c r="J3335">
        <v>15.699999809265099</v>
      </c>
      <c r="K3335">
        <v>66</v>
      </c>
      <c r="L3335">
        <v>16.1503044624586</v>
      </c>
      <c r="M3335">
        <v>39.225844963176797</v>
      </c>
      <c r="N3335">
        <v>15.615202895692899</v>
      </c>
      <c r="O3335">
        <v>23.6106423139572</v>
      </c>
      <c r="P3335">
        <v>28.3258439302444</v>
      </c>
      <c r="Q3335">
        <v>28.025844693183899</v>
      </c>
      <c r="R3335">
        <v>29.8258439302444</v>
      </c>
      <c r="S3335">
        <v>25.625845074653601</v>
      </c>
      <c r="T3335">
        <v>621.91722972973002</v>
      </c>
      <c r="U3335">
        <v>214.646959459459</v>
      </c>
      <c r="V3335">
        <v>0</v>
      </c>
      <c r="W3335">
        <v>142.459459459459</v>
      </c>
      <c r="X3335">
        <v>522.64695945945903</v>
      </c>
      <c r="Y3335">
        <v>1</v>
      </c>
      <c r="Z3335">
        <v>45.258445945946001</v>
      </c>
      <c r="AA3335">
        <v>3</v>
      </c>
      <c r="AB3335">
        <v>2.8616554141044599</v>
      </c>
      <c r="AC3335">
        <v>3.4754344232291998E-2</v>
      </c>
      <c r="AD3335">
        <v>2.0380184844740299</v>
      </c>
      <c r="AE3335">
        <v>0.86441135406494096</v>
      </c>
      <c r="AF3335">
        <v>2.3665540540540499</v>
      </c>
      <c r="AG3335">
        <f>IFERROR(AH3335*0.1, "N/A")</f>
        <v>6.0118243243243299</v>
      </c>
      <c r="AH3335">
        <v>60.118243243243299</v>
      </c>
      <c r="AI3335">
        <v>172.88880109786999</v>
      </c>
      <c r="AJ3335">
        <v>16.354729729729701</v>
      </c>
      <c r="AK3335">
        <v>66</v>
      </c>
    </row>
    <row r="3336" spans="1:37" x14ac:dyDescent="0.3">
      <c r="A3336">
        <v>3335</v>
      </c>
      <c r="B3336">
        <v>10</v>
      </c>
      <c r="C3336">
        <v>-16.049999</v>
      </c>
      <c r="D3336">
        <v>14.166700000000001</v>
      </c>
      <c r="E3336">
        <f>-16.049999-14.1667</f>
        <v>-30.216698999999998</v>
      </c>
      <c r="F3336" t="s">
        <v>5427</v>
      </c>
      <c r="G3336" t="s">
        <v>39</v>
      </c>
      <c r="H3336">
        <v>2004</v>
      </c>
      <c r="I3336">
        <v>28.100000381469702</v>
      </c>
      <c r="J3336">
        <v>15.699999809265099</v>
      </c>
      <c r="K3336">
        <v>66</v>
      </c>
      <c r="L3336">
        <v>16.149730566776199</v>
      </c>
      <c r="M3336">
        <v>39.208249795316398</v>
      </c>
      <c r="N3336">
        <v>15.6082494925168</v>
      </c>
      <c r="O3336">
        <v>23.600000381469702</v>
      </c>
      <c r="P3336">
        <v>28.308248426777698</v>
      </c>
      <c r="Q3336">
        <v>28.008249189717201</v>
      </c>
      <c r="R3336">
        <v>29.808248426777698</v>
      </c>
      <c r="S3336">
        <v>25.608249571186899</v>
      </c>
      <c r="T3336">
        <v>621.31818181818198</v>
      </c>
      <c r="U3336">
        <v>214.35185185185199</v>
      </c>
      <c r="V3336">
        <v>0</v>
      </c>
      <c r="W3336">
        <v>141.78451178451201</v>
      </c>
      <c r="X3336">
        <v>521.861952861953</v>
      </c>
      <c r="Y3336">
        <v>1</v>
      </c>
      <c r="Z3336">
        <v>45.269360269360298</v>
      </c>
      <c r="AA3336">
        <v>3</v>
      </c>
      <c r="AB3336">
        <v>1.38013477277274</v>
      </c>
      <c r="AC3336">
        <v>45.7704636742994</v>
      </c>
      <c r="AD3336">
        <v>1.45036286677576</v>
      </c>
      <c r="AE3336">
        <v>0.81100755929946899</v>
      </c>
      <c r="AF3336">
        <v>2.6430976430976401</v>
      </c>
      <c r="AG3336">
        <f>IFERROR(AH3336*0.1, "N/A")</f>
        <v>5.9353535353535305</v>
      </c>
      <c r="AH3336">
        <v>59.3535353535353</v>
      </c>
      <c r="AI3336">
        <v>206.15911279543499</v>
      </c>
      <c r="AJ3336">
        <v>13</v>
      </c>
      <c r="AK3336">
        <v>70.676767676767696</v>
      </c>
    </row>
    <row r="3337" spans="1:37" x14ac:dyDescent="0.3">
      <c r="A3337">
        <v>3336</v>
      </c>
      <c r="B3337">
        <v>44</v>
      </c>
      <c r="C3337">
        <v>-16.133300999999999</v>
      </c>
      <c r="D3337">
        <v>14.166700000000001</v>
      </c>
      <c r="E3337">
        <f>-16.133301-14.1667</f>
        <v>-30.300001000000002</v>
      </c>
      <c r="F3337" t="s">
        <v>5428</v>
      </c>
      <c r="G3337" t="s">
        <v>39</v>
      </c>
      <c r="H3337">
        <v>2003</v>
      </c>
      <c r="I3337">
        <v>27.987542040018901</v>
      </c>
      <c r="J3337">
        <v>15.5</v>
      </c>
      <c r="K3337">
        <v>66</v>
      </c>
      <c r="L3337">
        <v>16.042778318578499</v>
      </c>
      <c r="M3337">
        <v>38.887543328282</v>
      </c>
      <c r="N3337">
        <v>15.526936129688799</v>
      </c>
      <c r="O3337">
        <v>23.3606055288604</v>
      </c>
      <c r="P3337">
        <v>28.287541514695299</v>
      </c>
      <c r="Q3337">
        <v>27.8875416585492</v>
      </c>
      <c r="R3337">
        <v>29.614310200366901</v>
      </c>
      <c r="S3337">
        <v>25.4393937082002</v>
      </c>
      <c r="T3337">
        <v>620.52020202020196</v>
      </c>
      <c r="U3337">
        <v>216.26936026935999</v>
      </c>
      <c r="V3337">
        <v>0</v>
      </c>
      <c r="W3337">
        <v>143.26936026935999</v>
      </c>
      <c r="X3337">
        <v>523.52020202020196</v>
      </c>
      <c r="Y3337">
        <v>0</v>
      </c>
      <c r="Z3337">
        <v>45</v>
      </c>
      <c r="AA3337">
        <v>2</v>
      </c>
      <c r="AB3337">
        <v>0.74865315939842203</v>
      </c>
      <c r="AC3337">
        <v>0.174102622515487</v>
      </c>
      <c r="AD3337">
        <v>0.93627196349680197</v>
      </c>
      <c r="AE3337">
        <v>0.76743429899215698</v>
      </c>
      <c r="AF3337">
        <v>1.9057239057239099</v>
      </c>
      <c r="AG3337">
        <f>IFERROR(AH3337*0.1, "N/A")</f>
        <v>5.9143097643097597</v>
      </c>
      <c r="AH3337">
        <v>59.143097643097597</v>
      </c>
      <c r="AI3337">
        <v>48.575654241773798</v>
      </c>
      <c r="AJ3337">
        <v>12</v>
      </c>
      <c r="AK3337">
        <v>73.286195286195294</v>
      </c>
    </row>
    <row r="3338" spans="1:37" x14ac:dyDescent="0.3">
      <c r="A3338">
        <v>3337</v>
      </c>
      <c r="B3338">
        <v>42</v>
      </c>
      <c r="C3338">
        <v>-16.162299999999998</v>
      </c>
      <c r="D3338">
        <v>14.169</v>
      </c>
      <c r="E3338">
        <f>-16.1623-14.169</f>
        <v>-30.331299999999999</v>
      </c>
      <c r="F3338" t="s">
        <v>5429</v>
      </c>
      <c r="G3338" t="s">
        <v>39</v>
      </c>
      <c r="H3338">
        <v>2004</v>
      </c>
      <c r="I3338">
        <v>27.899999618530298</v>
      </c>
      <c r="J3338">
        <v>15.3999996185303</v>
      </c>
      <c r="K3338">
        <v>66</v>
      </c>
      <c r="L3338">
        <v>16.139999389648398</v>
      </c>
      <c r="M3338">
        <v>38.700000762939503</v>
      </c>
      <c r="N3338">
        <v>15.5</v>
      </c>
      <c r="O3338">
        <v>23.200000762939499</v>
      </c>
      <c r="P3338">
        <v>28.200000762939499</v>
      </c>
      <c r="Q3338">
        <v>27.700000762939499</v>
      </c>
      <c r="R3338">
        <v>29.5</v>
      </c>
      <c r="S3338">
        <v>25.299999237060501</v>
      </c>
      <c r="T3338">
        <v>618</v>
      </c>
      <c r="U3338">
        <v>216</v>
      </c>
      <c r="V3338">
        <v>0</v>
      </c>
      <c r="W3338">
        <v>144</v>
      </c>
      <c r="X3338">
        <v>523</v>
      </c>
      <c r="Y3338">
        <v>0</v>
      </c>
      <c r="Z3338">
        <v>44</v>
      </c>
      <c r="AA3338">
        <v>2</v>
      </c>
      <c r="AB3338">
        <v>2.96733664328129</v>
      </c>
      <c r="AC3338">
        <v>9.2790654284799993E-3</v>
      </c>
      <c r="AD3338">
        <v>1.01382513082207</v>
      </c>
      <c r="AE3338">
        <v>0.64421337543420498</v>
      </c>
      <c r="AF3338">
        <v>1.7520938023450601</v>
      </c>
      <c r="AG3338">
        <f>IFERROR(AH3338*0.1, "N/A")</f>
        <v>6.3673366834170899</v>
      </c>
      <c r="AH3338">
        <v>63.673366834170899</v>
      </c>
      <c r="AI3338">
        <v>112.484399984031</v>
      </c>
      <c r="AJ3338">
        <v>23.346733668341699</v>
      </c>
      <c r="AK3338">
        <v>55.668341708542698</v>
      </c>
    </row>
    <row r="3339" spans="1:37" x14ac:dyDescent="0.3">
      <c r="A3339">
        <v>3338</v>
      </c>
      <c r="B3339">
        <v>12</v>
      </c>
      <c r="C3339">
        <v>-16.071698999999999</v>
      </c>
      <c r="D3339">
        <v>14.17</v>
      </c>
      <c r="E3339">
        <f>-16.071699-14.17</f>
        <v>-30.241698999999997</v>
      </c>
      <c r="F3339" t="s">
        <v>5430</v>
      </c>
      <c r="G3339" t="s">
        <v>39</v>
      </c>
      <c r="H3339">
        <v>2004</v>
      </c>
      <c r="I3339">
        <v>28.100000381469702</v>
      </c>
      <c r="J3339">
        <v>15.699999809265099</v>
      </c>
      <c r="K3339">
        <v>66</v>
      </c>
      <c r="L3339">
        <v>16.149999618530298</v>
      </c>
      <c r="M3339">
        <v>39.200000762939503</v>
      </c>
      <c r="N3339">
        <v>15.6000003814697</v>
      </c>
      <c r="O3339">
        <v>23.600000381469702</v>
      </c>
      <c r="P3339">
        <v>28.299999237060501</v>
      </c>
      <c r="Q3339">
        <v>28</v>
      </c>
      <c r="R3339">
        <v>29.799999237060501</v>
      </c>
      <c r="S3339">
        <v>25.600000381469702</v>
      </c>
      <c r="T3339">
        <v>621</v>
      </c>
      <c r="U3339">
        <v>215</v>
      </c>
      <c r="V3339">
        <v>0</v>
      </c>
      <c r="W3339">
        <v>143</v>
      </c>
      <c r="X3339">
        <v>522</v>
      </c>
      <c r="Y3339">
        <v>1</v>
      </c>
      <c r="Z3339">
        <v>45</v>
      </c>
      <c r="AA3339">
        <v>3</v>
      </c>
      <c r="AB3339">
        <v>0.86465664564864297</v>
      </c>
      <c r="AC3339">
        <v>1.1765441060116E-2</v>
      </c>
      <c r="AD3339">
        <v>1.0255708908116199</v>
      </c>
      <c r="AE3339">
        <v>0.91968673317875704</v>
      </c>
      <c r="AF3339">
        <v>8.0737018425460594</v>
      </c>
      <c r="AG3339">
        <f>IFERROR(AH3339*0.1, "N/A")</f>
        <v>5.9005025125628103</v>
      </c>
      <c r="AH3339">
        <v>59.005025125628102</v>
      </c>
      <c r="AI3339">
        <v>228.11613783844399</v>
      </c>
      <c r="AJ3339">
        <v>18.010050251256299</v>
      </c>
      <c r="AK3339">
        <v>61.989949748743697</v>
      </c>
    </row>
    <row r="3340" spans="1:37" x14ac:dyDescent="0.3">
      <c r="A3340">
        <v>3339</v>
      </c>
      <c r="B3340">
        <v>24</v>
      </c>
      <c r="C3340">
        <v>-15.86</v>
      </c>
      <c r="D3340">
        <v>14.17</v>
      </c>
      <c r="E3340">
        <f>-15.86-14.17</f>
        <v>-30.03</v>
      </c>
      <c r="F3340" t="s">
        <v>5431</v>
      </c>
      <c r="G3340" t="s">
        <v>39</v>
      </c>
      <c r="H3340">
        <v>2003</v>
      </c>
      <c r="I3340">
        <v>27.799999237060501</v>
      </c>
      <c r="J3340">
        <v>15.800000190734901</v>
      </c>
      <c r="K3340">
        <v>65</v>
      </c>
      <c r="L3340">
        <v>16.959999084472699</v>
      </c>
      <c r="M3340">
        <v>39.200000762939503</v>
      </c>
      <c r="N3340">
        <v>15.199999809265099</v>
      </c>
      <c r="O3340">
        <v>24</v>
      </c>
      <c r="P3340">
        <v>28</v>
      </c>
      <c r="Q3340">
        <v>27.899999618530298</v>
      </c>
      <c r="R3340">
        <v>29.700000762939499</v>
      </c>
      <c r="S3340">
        <v>25.200000762939499</v>
      </c>
      <c r="T3340">
        <v>602</v>
      </c>
      <c r="U3340">
        <v>200</v>
      </c>
      <c r="V3340">
        <v>0</v>
      </c>
      <c r="W3340">
        <v>139</v>
      </c>
      <c r="X3340">
        <v>501</v>
      </c>
      <c r="Y3340">
        <v>0</v>
      </c>
      <c r="Z3340">
        <v>47</v>
      </c>
      <c r="AA3340">
        <v>4</v>
      </c>
      <c r="AB3340">
        <v>1.23008449778837</v>
      </c>
      <c r="AC3340">
        <v>2.3080513325809002E-2</v>
      </c>
      <c r="AD3340">
        <v>1.0761330292004501</v>
      </c>
      <c r="AE3340">
        <v>0.70877987146377597</v>
      </c>
      <c r="AF3340">
        <v>20.961344537815101</v>
      </c>
      <c r="AG3340">
        <f>IFERROR(AH3340*0.1, "N/A")</f>
        <v>5.7062184873949597</v>
      </c>
      <c r="AH3340">
        <v>57.062184873949597</v>
      </c>
      <c r="AI3340">
        <v>177.76334346482699</v>
      </c>
      <c r="AJ3340">
        <v>8.0151260504201698</v>
      </c>
      <c r="AK3340">
        <v>81.974789915966397</v>
      </c>
    </row>
    <row r="3341" spans="1:37" x14ac:dyDescent="0.3">
      <c r="A3341">
        <v>3340</v>
      </c>
      <c r="B3341">
        <v>52.200001</v>
      </c>
      <c r="C3341">
        <v>-15.76</v>
      </c>
      <c r="D3341">
        <v>14.18</v>
      </c>
      <c r="E3341">
        <f>-15.76-14.18</f>
        <v>-29.939999999999998</v>
      </c>
      <c r="F3341" t="s">
        <v>5432</v>
      </c>
      <c r="G3341" t="s">
        <v>39</v>
      </c>
      <c r="H3341">
        <v>1996</v>
      </c>
      <c r="I3341">
        <v>27.600000381469702</v>
      </c>
      <c r="J3341">
        <v>15.800000190734901</v>
      </c>
      <c r="K3341">
        <v>65</v>
      </c>
      <c r="L3341">
        <v>17.709999084472699</v>
      </c>
      <c r="M3341">
        <v>39.099998474121101</v>
      </c>
      <c r="N3341">
        <v>15</v>
      </c>
      <c r="O3341">
        <v>24.100000381469702</v>
      </c>
      <c r="P3341">
        <v>27.799999237060501</v>
      </c>
      <c r="Q3341">
        <v>27.799999237060501</v>
      </c>
      <c r="R3341">
        <v>29.700000762939499</v>
      </c>
      <c r="S3341">
        <v>25</v>
      </c>
      <c r="T3341">
        <v>592</v>
      </c>
      <c r="U3341">
        <v>194</v>
      </c>
      <c r="V3341">
        <v>0</v>
      </c>
      <c r="W3341">
        <v>138</v>
      </c>
      <c r="X3341">
        <v>489</v>
      </c>
      <c r="Y3341">
        <v>0</v>
      </c>
      <c r="Z3341">
        <v>49</v>
      </c>
      <c r="AA3341">
        <v>4</v>
      </c>
      <c r="AB3341">
        <v>0.236850942998276</v>
      </c>
      <c r="AC3341">
        <v>0.85589901298297</v>
      </c>
      <c r="AD3341">
        <v>0.88501273028215599</v>
      </c>
      <c r="AE3341">
        <v>0.68797879782154303</v>
      </c>
      <c r="AF3341">
        <v>23.735343383584599</v>
      </c>
      <c r="AG3341">
        <f>IFERROR(AH3341*0.1, "N/A")</f>
        <v>5.5547738693467306</v>
      </c>
      <c r="AH3341">
        <v>55.547738693467302</v>
      </c>
      <c r="AI3341">
        <v>107.845364786273</v>
      </c>
      <c r="AJ3341">
        <v>7.5376884422110599</v>
      </c>
      <c r="AK3341">
        <v>86.557788944723598</v>
      </c>
    </row>
    <row r="3342" spans="1:37" x14ac:dyDescent="0.3">
      <c r="A3342">
        <v>3341</v>
      </c>
      <c r="B3342">
        <v>0</v>
      </c>
      <c r="C3342">
        <v>-15.76</v>
      </c>
      <c r="D3342">
        <v>14.18</v>
      </c>
      <c r="E3342">
        <f>-15.76-14.18</f>
        <v>-29.939999999999998</v>
      </c>
      <c r="F3342" t="s">
        <v>5433</v>
      </c>
      <c r="G3342" t="s">
        <v>37</v>
      </c>
      <c r="H3342">
        <v>1996</v>
      </c>
      <c r="I3342">
        <v>27.600000381469702</v>
      </c>
      <c r="J3342">
        <v>15.800000190734901</v>
      </c>
      <c r="K3342">
        <v>65</v>
      </c>
      <c r="L3342">
        <v>17.709999084472699</v>
      </c>
      <c r="M3342">
        <v>39.099998474121101</v>
      </c>
      <c r="N3342">
        <v>15</v>
      </c>
      <c r="O3342">
        <v>24.100000381469702</v>
      </c>
      <c r="P3342">
        <v>27.799999237060501</v>
      </c>
      <c r="Q3342">
        <v>27.799999237060501</v>
      </c>
      <c r="R3342">
        <v>29.700000762939499</v>
      </c>
      <c r="S3342">
        <v>25</v>
      </c>
      <c r="T3342">
        <v>592</v>
      </c>
      <c r="U3342">
        <v>194</v>
      </c>
      <c r="V3342">
        <v>0</v>
      </c>
      <c r="W3342">
        <v>138</v>
      </c>
      <c r="X3342">
        <v>489</v>
      </c>
      <c r="Y3342">
        <v>0</v>
      </c>
      <c r="Z3342">
        <v>49</v>
      </c>
      <c r="AA3342">
        <v>4</v>
      </c>
      <c r="AB3342">
        <v>0.236850942998276</v>
      </c>
      <c r="AC3342">
        <v>0.85589901298297</v>
      </c>
      <c r="AD3342">
        <v>0.88501273028215599</v>
      </c>
      <c r="AE3342">
        <v>0.68797879782154303</v>
      </c>
      <c r="AF3342">
        <v>23.735343383584599</v>
      </c>
      <c r="AG3342">
        <f>IFERROR(AH3342*0.1, "N/A")</f>
        <v>5.5547738693467306</v>
      </c>
      <c r="AH3342">
        <v>55.547738693467302</v>
      </c>
      <c r="AI3342">
        <v>107.845364786273</v>
      </c>
      <c r="AJ3342">
        <v>7.5376884422110599</v>
      </c>
      <c r="AK3342">
        <v>86.557788944723598</v>
      </c>
    </row>
    <row r="3343" spans="1:37" x14ac:dyDescent="0.3">
      <c r="A3343">
        <v>3342</v>
      </c>
      <c r="B3343">
        <v>45.5</v>
      </c>
      <c r="C3343">
        <v>-15.769399999999999</v>
      </c>
      <c r="D3343">
        <v>14.182499999999999</v>
      </c>
      <c r="E3343">
        <f>-15.7694-14.1825</f>
        <v>-29.951899999999998</v>
      </c>
      <c r="F3343" t="s">
        <v>5434</v>
      </c>
      <c r="G3343" t="s">
        <v>39</v>
      </c>
      <c r="H3343">
        <v>2000</v>
      </c>
      <c r="I3343">
        <v>27.600000381469702</v>
      </c>
      <c r="J3343">
        <v>15.800000190734901</v>
      </c>
      <c r="K3343">
        <v>65</v>
      </c>
      <c r="L3343">
        <v>18.0200004577637</v>
      </c>
      <c r="M3343">
        <v>39.200000762939503</v>
      </c>
      <c r="N3343">
        <v>15</v>
      </c>
      <c r="O3343">
        <v>24.200000762939499</v>
      </c>
      <c r="P3343">
        <v>27.899999618530298</v>
      </c>
      <c r="Q3343">
        <v>27.799999237060501</v>
      </c>
      <c r="R3343">
        <v>29.799999237060501</v>
      </c>
      <c r="S3343">
        <v>24.899999618530298</v>
      </c>
      <c r="T3343">
        <v>593</v>
      </c>
      <c r="U3343">
        <v>195</v>
      </c>
      <c r="V3343">
        <v>0</v>
      </c>
      <c r="W3343">
        <v>138</v>
      </c>
      <c r="X3343">
        <v>490</v>
      </c>
      <c r="Y3343">
        <v>0</v>
      </c>
      <c r="Z3343">
        <v>49</v>
      </c>
      <c r="AA3343">
        <v>4</v>
      </c>
      <c r="AB3343">
        <v>1.43126021633629</v>
      </c>
      <c r="AC3343">
        <v>0.149967130419149</v>
      </c>
      <c r="AD3343">
        <v>1.1427093239391599</v>
      </c>
      <c r="AE3343">
        <v>0.57324832677841198</v>
      </c>
      <c r="AF3343">
        <v>24.615126050420201</v>
      </c>
      <c r="AG3343">
        <f>IFERROR(AH3343*0.1, "N/A")</f>
        <v>5.7433613445378207</v>
      </c>
      <c r="AH3343">
        <v>57.433613445378199</v>
      </c>
      <c r="AI3343">
        <v>255.23043176987599</v>
      </c>
      <c r="AJ3343">
        <v>9.4235294117647097</v>
      </c>
      <c r="AK3343">
        <v>81.727731092436997</v>
      </c>
    </row>
    <row r="3344" spans="1:37" x14ac:dyDescent="0.3">
      <c r="A3344">
        <v>3343</v>
      </c>
      <c r="B3344">
        <v>17.100000000000001</v>
      </c>
      <c r="C3344">
        <v>-15.3</v>
      </c>
      <c r="D3344">
        <v>14.183299999999999</v>
      </c>
      <c r="E3344">
        <f>-15.3-14.1833</f>
        <v>-29.4833</v>
      </c>
      <c r="F3344" t="s">
        <v>5435</v>
      </c>
      <c r="G3344" t="s">
        <v>39</v>
      </c>
      <c r="H3344">
        <v>2001</v>
      </c>
      <c r="I3344">
        <v>27.299999237060501</v>
      </c>
      <c r="J3344">
        <v>15.6000003814697</v>
      </c>
      <c r="K3344">
        <v>63</v>
      </c>
      <c r="L3344">
        <v>18.9498820087761</v>
      </c>
      <c r="M3344">
        <v>39.034906718622402</v>
      </c>
      <c r="N3344">
        <v>14.6000003814697</v>
      </c>
      <c r="O3344">
        <v>24.434907002955601</v>
      </c>
      <c r="P3344">
        <v>27.299999237060501</v>
      </c>
      <c r="Q3344">
        <v>27.723103277196799</v>
      </c>
      <c r="R3344">
        <v>29.723103277196799</v>
      </c>
      <c r="S3344">
        <v>24.600000381469702</v>
      </c>
      <c r="T3344">
        <v>611.25126475548097</v>
      </c>
      <c r="U3344">
        <v>199.36930860033701</v>
      </c>
      <c r="V3344">
        <v>0</v>
      </c>
      <c r="W3344">
        <v>136.26138279932499</v>
      </c>
      <c r="X3344">
        <v>497.25126475548097</v>
      </c>
      <c r="Y3344">
        <v>0</v>
      </c>
      <c r="Z3344">
        <v>58</v>
      </c>
      <c r="AA3344">
        <v>2</v>
      </c>
      <c r="AB3344">
        <v>0.774367443425659</v>
      </c>
      <c r="AC3344">
        <v>16.214462421055501</v>
      </c>
      <c r="AD3344">
        <v>0.93162711927098696</v>
      </c>
      <c r="AE3344">
        <v>0.678569495677948</v>
      </c>
      <c r="AF3344">
        <v>27.2849915682968</v>
      </c>
      <c r="AG3344">
        <f>IFERROR(AH3344*0.1, "N/A")</f>
        <v>5.8386172006745403</v>
      </c>
      <c r="AH3344">
        <v>58.386172006745397</v>
      </c>
      <c r="AI3344">
        <v>141.71816489105501</v>
      </c>
      <c r="AJ3344">
        <v>9.62731871838111</v>
      </c>
      <c r="AK3344">
        <v>77.190556492411503</v>
      </c>
    </row>
    <row r="3345" spans="1:37" x14ac:dyDescent="0.3">
      <c r="A3345">
        <v>3344</v>
      </c>
      <c r="B3345">
        <v>36</v>
      </c>
      <c r="C3345">
        <v>-16.083300000000001</v>
      </c>
      <c r="D3345">
        <v>14.183299999999999</v>
      </c>
      <c r="E3345">
        <f>-16.0833-14.1833</f>
        <v>-30.2666</v>
      </c>
      <c r="F3345" t="s">
        <v>5436</v>
      </c>
      <c r="G3345" t="s">
        <v>39</v>
      </c>
      <c r="H3345">
        <v>2004</v>
      </c>
      <c r="I3345">
        <v>28</v>
      </c>
      <c r="J3345">
        <v>15.699999809265099</v>
      </c>
      <c r="K3345">
        <v>66</v>
      </c>
      <c r="L3345">
        <v>16.167189154962099</v>
      </c>
      <c r="M3345">
        <v>39.089224227751103</v>
      </c>
      <c r="N3345">
        <v>15.5892259295942</v>
      </c>
      <c r="O3345">
        <v>23.5</v>
      </c>
      <c r="P3345">
        <v>28.265151283957699</v>
      </c>
      <c r="Q3345">
        <v>27.938720304958</v>
      </c>
      <c r="R3345">
        <v>29.765151283957699</v>
      </c>
      <c r="S3345">
        <v>25.5</v>
      </c>
      <c r="T3345">
        <v>620.26430976431004</v>
      </c>
      <c r="U3345">
        <v>213.65151515151501</v>
      </c>
      <c r="V3345">
        <v>0</v>
      </c>
      <c r="W3345">
        <v>142.26430976431001</v>
      </c>
      <c r="X3345">
        <v>521.26430976431004</v>
      </c>
      <c r="Y3345">
        <v>1</v>
      </c>
      <c r="Z3345">
        <v>45</v>
      </c>
      <c r="AA3345">
        <v>3</v>
      </c>
      <c r="AB3345">
        <v>0.94730633437031497</v>
      </c>
      <c r="AC3345">
        <v>0.24101446984768499</v>
      </c>
      <c r="AD3345">
        <v>1.61299299932891</v>
      </c>
      <c r="AE3345">
        <v>0.80612927675247203</v>
      </c>
      <c r="AF3345">
        <v>7.6868686868686904</v>
      </c>
      <c r="AG3345">
        <f>IFERROR(AH3345*0.1, "N/A")</f>
        <v>5.752356902356901</v>
      </c>
      <c r="AH3345">
        <v>57.523569023569003</v>
      </c>
      <c r="AI3345">
        <v>284.54620656742401</v>
      </c>
      <c r="AJ3345">
        <v>8.3653198653198704</v>
      </c>
      <c r="AK3345">
        <v>80.373737373737399</v>
      </c>
    </row>
    <row r="3346" spans="1:37" x14ac:dyDescent="0.3">
      <c r="A3346">
        <v>3345</v>
      </c>
      <c r="B3346">
        <v>75.900002000000001</v>
      </c>
      <c r="C3346">
        <v>-16.666699999999999</v>
      </c>
      <c r="D3346">
        <v>14.183299999999999</v>
      </c>
      <c r="E3346">
        <f>-16.6667-14.1833</f>
        <v>-30.849999999999998</v>
      </c>
      <c r="F3346" t="s">
        <v>5437</v>
      </c>
      <c r="G3346" t="s">
        <v>39</v>
      </c>
      <c r="H3346">
        <v>1958</v>
      </c>
      <c r="I3346">
        <v>26.700000762939499</v>
      </c>
      <c r="J3346">
        <v>13.4101177009724</v>
      </c>
      <c r="K3346">
        <v>68.706576728499201</v>
      </c>
      <c r="L3346">
        <v>14.9601683238707</v>
      </c>
      <c r="M3346">
        <v>34.939461294756399</v>
      </c>
      <c r="N3346">
        <v>15.4898819175579</v>
      </c>
      <c r="O3346">
        <v>19.449578222496701</v>
      </c>
      <c r="P3346">
        <v>27.5898822990276</v>
      </c>
      <c r="Q3346">
        <v>25.939460140054599</v>
      </c>
      <c r="R3346">
        <v>28</v>
      </c>
      <c r="S3346">
        <v>24.299999237060501</v>
      </c>
      <c r="T3346">
        <v>642.05902192242797</v>
      </c>
      <c r="U3346">
        <v>250.65261382799301</v>
      </c>
      <c r="V3346">
        <v>0</v>
      </c>
      <c r="W3346">
        <v>152</v>
      </c>
      <c r="X3346">
        <v>559.40640809443505</v>
      </c>
      <c r="Y3346">
        <v>0</v>
      </c>
      <c r="Z3346">
        <v>159</v>
      </c>
      <c r="AA3346">
        <v>2</v>
      </c>
      <c r="AB3346">
        <v>1.5483979270188899</v>
      </c>
      <c r="AC3346">
        <v>8.3482154263389997E-3</v>
      </c>
      <c r="AD3346">
        <v>1.0430746504669499</v>
      </c>
      <c r="AE3346">
        <v>0.73795208440462201</v>
      </c>
      <c r="AF3346">
        <v>7.2546374367622297</v>
      </c>
      <c r="AG3346">
        <f>IFERROR(AH3346*0.1, "N/A")</f>
        <v>5.2568296795952802</v>
      </c>
      <c r="AH3346">
        <v>52.568296795952797</v>
      </c>
      <c r="AI3346">
        <v>126.233902183391</v>
      </c>
      <c r="AJ3346">
        <v>14.293423271500799</v>
      </c>
      <c r="AK3346">
        <v>75.018549747048894</v>
      </c>
    </row>
    <row r="3347" spans="1:37" x14ac:dyDescent="0.3">
      <c r="A3347">
        <v>3346</v>
      </c>
      <c r="B3347">
        <v>24</v>
      </c>
      <c r="C3347">
        <v>-16.161100000000001</v>
      </c>
      <c r="D3347">
        <v>14.184699999999999</v>
      </c>
      <c r="E3347">
        <f>-16.1611-14.1847</f>
        <v>-30.345800000000001</v>
      </c>
      <c r="F3347" t="s">
        <v>5438</v>
      </c>
      <c r="G3347" t="s">
        <v>39</v>
      </c>
      <c r="H3347">
        <v>2004</v>
      </c>
      <c r="I3347">
        <v>27.799999237060501</v>
      </c>
      <c r="J3347">
        <v>15.5</v>
      </c>
      <c r="K3347">
        <v>66</v>
      </c>
      <c r="L3347">
        <v>15.9700002670288</v>
      </c>
      <c r="M3347">
        <v>38.700000762939503</v>
      </c>
      <c r="N3347">
        <v>15.5</v>
      </c>
      <c r="O3347">
        <v>23.200000762939499</v>
      </c>
      <c r="P3347">
        <v>28.200000762939499</v>
      </c>
      <c r="Q3347">
        <v>27.700000762939499</v>
      </c>
      <c r="R3347">
        <v>29.5</v>
      </c>
      <c r="S3347">
        <v>25.399999618530298</v>
      </c>
      <c r="T3347">
        <v>615</v>
      </c>
      <c r="U3347">
        <v>214</v>
      </c>
      <c r="V3347">
        <v>0</v>
      </c>
      <c r="W3347">
        <v>143</v>
      </c>
      <c r="X3347">
        <v>521</v>
      </c>
      <c r="Y3347">
        <v>0</v>
      </c>
      <c r="Z3347">
        <v>43</v>
      </c>
      <c r="AA3347">
        <v>2</v>
      </c>
      <c r="AB3347">
        <v>3.2231933866228402</v>
      </c>
      <c r="AC3347">
        <v>2.2674685916981002E-2</v>
      </c>
      <c r="AD3347">
        <v>0.63583771055486005</v>
      </c>
      <c r="AE3347">
        <v>0.69931918382644698</v>
      </c>
      <c r="AF3347">
        <v>2.6890756302521002</v>
      </c>
      <c r="AG3347">
        <f>IFERROR(AH3347*0.1, "N/A")</f>
        <v>6.03848739495798</v>
      </c>
      <c r="AH3347">
        <v>60.384873949579799</v>
      </c>
      <c r="AI3347">
        <v>219.230619876124</v>
      </c>
      <c r="AJ3347">
        <v>14.653781512605001</v>
      </c>
      <c r="AK3347">
        <v>68.653781512604994</v>
      </c>
    </row>
    <row r="3348" spans="1:37" x14ac:dyDescent="0.3">
      <c r="A3348">
        <v>3347</v>
      </c>
      <c r="B3348">
        <v>16</v>
      </c>
      <c r="C3348">
        <v>-16.166699999999999</v>
      </c>
      <c r="D3348">
        <v>14.2</v>
      </c>
      <c r="E3348">
        <f>-16.1667-14.2</f>
        <v>-30.366699999999998</v>
      </c>
      <c r="F3348" t="s">
        <v>5439</v>
      </c>
      <c r="G3348" t="s">
        <v>39</v>
      </c>
      <c r="H3348">
        <v>2004</v>
      </c>
      <c r="I3348">
        <v>27.799999237060501</v>
      </c>
      <c r="J3348">
        <v>15.5</v>
      </c>
      <c r="K3348">
        <v>66.045302013422798</v>
      </c>
      <c r="L3348">
        <v>15.9133054410051</v>
      </c>
      <c r="M3348">
        <v>38.613086194799997</v>
      </c>
      <c r="N3348">
        <v>15.4221473540236</v>
      </c>
      <c r="O3348">
        <v>23.1909403256922</v>
      </c>
      <c r="P3348">
        <v>28.1791953144457</v>
      </c>
      <c r="Q3348">
        <v>27.6384233468331</v>
      </c>
      <c r="R3348">
        <v>29.438422583893601</v>
      </c>
      <c r="S3348">
        <v>25.299999237060501</v>
      </c>
      <c r="T3348">
        <v>611.760067114094</v>
      </c>
      <c r="U3348">
        <v>212.22147651006699</v>
      </c>
      <c r="V3348">
        <v>0</v>
      </c>
      <c r="W3348">
        <v>142.62416107382501</v>
      </c>
      <c r="X3348">
        <v>518.22147651006696</v>
      </c>
      <c r="Y3348">
        <v>0</v>
      </c>
      <c r="Z3348">
        <v>42.791946308724803</v>
      </c>
      <c r="AA3348">
        <v>2</v>
      </c>
      <c r="AB3348">
        <v>2.39312080608918</v>
      </c>
      <c r="AC3348">
        <v>8.3195198867969996E-3</v>
      </c>
      <c r="AD3348">
        <v>1.3701311696895799</v>
      </c>
      <c r="AE3348">
        <v>0.76874852180481001</v>
      </c>
      <c r="AF3348">
        <v>4.7399328859060397</v>
      </c>
      <c r="AG3348">
        <f>IFERROR(AH3348*0.1, "N/A")</f>
        <v>5.5746644295302001</v>
      </c>
      <c r="AH3348">
        <v>55.746644295301998</v>
      </c>
      <c r="AI3348">
        <v>248.745014459495</v>
      </c>
      <c r="AJ3348">
        <v>10.506711409396001</v>
      </c>
      <c r="AK3348">
        <v>80.226510067114106</v>
      </c>
    </row>
    <row r="3349" spans="1:37" x14ac:dyDescent="0.3">
      <c r="A3349">
        <v>3348</v>
      </c>
      <c r="B3349">
        <v>20</v>
      </c>
      <c r="C3349">
        <v>-16.02</v>
      </c>
      <c r="D3349">
        <v>14.2</v>
      </c>
      <c r="E3349">
        <f>-16.02-14.2</f>
        <v>-30.22</v>
      </c>
      <c r="F3349" t="s">
        <v>5440</v>
      </c>
      <c r="G3349" t="s">
        <v>39</v>
      </c>
      <c r="H3349">
        <v>2003</v>
      </c>
      <c r="I3349">
        <v>28</v>
      </c>
      <c r="J3349">
        <v>15.800000190734901</v>
      </c>
      <c r="K3349">
        <v>66</v>
      </c>
      <c r="L3349">
        <v>16.6831659991138</v>
      </c>
      <c r="M3349">
        <v>39.299999237060497</v>
      </c>
      <c r="N3349">
        <v>15.4222777604657</v>
      </c>
      <c r="O3349">
        <v>23.8777214765948</v>
      </c>
      <c r="P3349">
        <v>28.299999237060501</v>
      </c>
      <c r="Q3349">
        <v>28.100000381469702</v>
      </c>
      <c r="R3349">
        <v>29.799999237060501</v>
      </c>
      <c r="S3349">
        <v>25.4222777604657</v>
      </c>
      <c r="T3349">
        <v>613.22278056951404</v>
      </c>
      <c r="U3349">
        <v>207.22278056951399</v>
      </c>
      <c r="V3349">
        <v>0</v>
      </c>
      <c r="W3349">
        <v>140</v>
      </c>
      <c r="X3349">
        <v>514.22278056951404</v>
      </c>
      <c r="Y3349">
        <v>1</v>
      </c>
      <c r="Z3349">
        <v>45</v>
      </c>
      <c r="AA3349">
        <v>3</v>
      </c>
      <c r="AB3349">
        <v>0.31993297436329199</v>
      </c>
      <c r="AC3349">
        <v>14.359721585669799</v>
      </c>
      <c r="AD3349">
        <v>1.04238268738017</v>
      </c>
      <c r="AE3349">
        <v>0.74259972572326705</v>
      </c>
      <c r="AF3349">
        <v>3.6800670016750399</v>
      </c>
      <c r="AG3349">
        <f>IFERROR(AH3349*0.1, "N/A")</f>
        <v>5.7917922948073706</v>
      </c>
      <c r="AH3349">
        <v>57.917922948073702</v>
      </c>
      <c r="AI3349">
        <v>201.56645425001</v>
      </c>
      <c r="AJ3349">
        <v>10</v>
      </c>
      <c r="AK3349">
        <v>79.246231155778901</v>
      </c>
    </row>
    <row r="3350" spans="1:37" x14ac:dyDescent="0.3">
      <c r="A3350">
        <v>3349</v>
      </c>
      <c r="B3350">
        <v>26</v>
      </c>
      <c r="C3350">
        <v>-16.700001</v>
      </c>
      <c r="D3350">
        <v>14.21</v>
      </c>
      <c r="E3350">
        <f>-16.700001-14.21</f>
        <v>-30.910001000000001</v>
      </c>
      <c r="F3350" t="s">
        <v>5441</v>
      </c>
      <c r="G3350" t="s">
        <v>39</v>
      </c>
      <c r="H3350">
        <v>2003</v>
      </c>
      <c r="I3350">
        <v>26.700000762939499</v>
      </c>
      <c r="J3350">
        <v>13.300000190734901</v>
      </c>
      <c r="K3350">
        <v>68</v>
      </c>
      <c r="L3350">
        <v>15.1849666249832</v>
      </c>
      <c r="M3350">
        <v>34.824832020189902</v>
      </c>
      <c r="N3350">
        <v>15.475167690507501</v>
      </c>
      <c r="O3350">
        <v>19.349663856045499</v>
      </c>
      <c r="P3350">
        <v>27.600000381469702</v>
      </c>
      <c r="Q3350">
        <v>25.924831928022801</v>
      </c>
      <c r="R3350">
        <v>28</v>
      </c>
      <c r="S3350">
        <v>24.200000762939499</v>
      </c>
      <c r="T3350">
        <v>634</v>
      </c>
      <c r="U3350">
        <v>248</v>
      </c>
      <c r="V3350">
        <v>0</v>
      </c>
      <c r="W3350">
        <v>153</v>
      </c>
      <c r="X3350">
        <v>553</v>
      </c>
      <c r="Y3350">
        <v>0</v>
      </c>
      <c r="Z3350">
        <v>156</v>
      </c>
      <c r="AA3350">
        <v>2</v>
      </c>
      <c r="AB3350">
        <v>0.95151005015277201</v>
      </c>
      <c r="AC3350">
        <v>2.9826290155417001E-2</v>
      </c>
      <c r="AD3350">
        <v>1.9332028247366</v>
      </c>
      <c r="AE3350">
        <v>0.67926710844039895</v>
      </c>
      <c r="AF3350">
        <v>4.4748322147651001</v>
      </c>
      <c r="AG3350">
        <f>IFERROR(AH3350*0.1, "N/A")</f>
        <v>5.4583892617449701</v>
      </c>
      <c r="AH3350">
        <v>54.583892617449699</v>
      </c>
      <c r="AI3350">
        <v>172.210284687529</v>
      </c>
      <c r="AJ3350">
        <v>10.9144295302013</v>
      </c>
      <c r="AK3350">
        <v>80.244966442953</v>
      </c>
    </row>
    <row r="3351" spans="1:37" x14ac:dyDescent="0.3">
      <c r="A3351">
        <v>3350</v>
      </c>
      <c r="B3351">
        <v>36</v>
      </c>
      <c r="C3351">
        <v>-16.299999</v>
      </c>
      <c r="D3351">
        <v>14.216699999999999</v>
      </c>
      <c r="E3351">
        <f>-16.299999-14.2167</f>
        <v>-30.516698999999999</v>
      </c>
      <c r="F3351" t="s">
        <v>5442</v>
      </c>
      <c r="G3351" t="s">
        <v>39</v>
      </c>
      <c r="H3351">
        <v>2004</v>
      </c>
      <c r="I3351">
        <v>27.322558245674902</v>
      </c>
      <c r="J3351">
        <v>15.1000003814697</v>
      </c>
      <c r="K3351">
        <v>66.513468013468</v>
      </c>
      <c r="L3351">
        <v>16.319158094900601</v>
      </c>
      <c r="M3351">
        <v>37.622557913012798</v>
      </c>
      <c r="N3351">
        <v>15.102693504757401</v>
      </c>
      <c r="O3351">
        <v>22.5198653956455</v>
      </c>
      <c r="P3351">
        <v>27.873568541273102</v>
      </c>
      <c r="Q3351">
        <v>26.996127931357201</v>
      </c>
      <c r="R3351">
        <v>28.922558627144699</v>
      </c>
      <c r="S3351">
        <v>24.722559341276501</v>
      </c>
      <c r="T3351">
        <v>611.06565656565704</v>
      </c>
      <c r="U3351">
        <v>217.06565656565701</v>
      </c>
      <c r="V3351">
        <v>0</v>
      </c>
      <c r="W3351">
        <v>146.42424242424201</v>
      </c>
      <c r="X3351">
        <v>522.06565656565704</v>
      </c>
      <c r="Y3351">
        <v>0</v>
      </c>
      <c r="Z3351">
        <v>138.57575757575799</v>
      </c>
      <c r="AA3351">
        <v>2</v>
      </c>
      <c r="AB3351">
        <v>1.6127943960504501</v>
      </c>
      <c r="AC3351">
        <v>1.4935088767246999E-2</v>
      </c>
      <c r="AD3351">
        <v>1.8061676163866101</v>
      </c>
      <c r="AE3351">
        <v>0.724290430545807</v>
      </c>
      <c r="AF3351">
        <v>11.452861952861999</v>
      </c>
      <c r="AG3351">
        <f>IFERROR(AH3351*0.1, "N/A")</f>
        <v>5.9656565656565697</v>
      </c>
      <c r="AH3351">
        <v>59.656565656565697</v>
      </c>
      <c r="AI3351">
        <v>204.53715034767399</v>
      </c>
      <c r="AJ3351">
        <v>12</v>
      </c>
      <c r="AK3351">
        <v>75.552188552188596</v>
      </c>
    </row>
    <row r="3352" spans="1:37" x14ac:dyDescent="0.3">
      <c r="A3352">
        <v>3351</v>
      </c>
      <c r="B3352">
        <v>76</v>
      </c>
      <c r="C3352">
        <v>-12.3811</v>
      </c>
      <c r="D3352">
        <v>14.222799999999999</v>
      </c>
      <c r="E3352">
        <f>-12.3811-14.2228</f>
        <v>-26.603899999999999</v>
      </c>
      <c r="F3352" t="s">
        <v>5443</v>
      </c>
      <c r="G3352" t="s">
        <v>39</v>
      </c>
      <c r="H3352">
        <v>2003</v>
      </c>
      <c r="I3352">
        <v>28.600000381469702</v>
      </c>
      <c r="J3352">
        <v>14.1000003814697</v>
      </c>
      <c r="K3352">
        <v>58</v>
      </c>
      <c r="L3352">
        <v>24.379999160766602</v>
      </c>
      <c r="M3352">
        <v>40.200000762939503</v>
      </c>
      <c r="N3352">
        <v>16.299999237060501</v>
      </c>
      <c r="O3352">
        <v>23.899999618530298</v>
      </c>
      <c r="P3352">
        <v>27.5</v>
      </c>
      <c r="Q3352">
        <v>27.600000381469702</v>
      </c>
      <c r="R3352">
        <v>32</v>
      </c>
      <c r="S3352">
        <v>25.899999618530298</v>
      </c>
      <c r="T3352">
        <v>671</v>
      </c>
      <c r="U3352">
        <v>215</v>
      </c>
      <c r="V3352">
        <v>0</v>
      </c>
      <c r="W3352">
        <v>134</v>
      </c>
      <c r="X3352">
        <v>532</v>
      </c>
      <c r="Y3352">
        <v>0</v>
      </c>
      <c r="Z3352">
        <v>90</v>
      </c>
      <c r="AA3352">
        <v>0</v>
      </c>
      <c r="AB3352">
        <v>1.62117383940881</v>
      </c>
      <c r="AC3352">
        <v>1.2401500635412999E-2</v>
      </c>
      <c r="AD3352">
        <v>1.82993218998949</v>
      </c>
      <c r="AE3352">
        <v>0.62009859085082997</v>
      </c>
      <c r="AF3352">
        <v>64.312605042016799</v>
      </c>
      <c r="AG3352">
        <f>IFERROR(AH3352*0.1, "N/A")</f>
        <v>6.2388235294117607</v>
      </c>
      <c r="AH3352">
        <v>62.388235294117599</v>
      </c>
      <c r="AI3352">
        <v>135.68972699461901</v>
      </c>
      <c r="AJ3352">
        <v>15.793277310924401</v>
      </c>
      <c r="AK3352">
        <v>66.156302521008399</v>
      </c>
    </row>
    <row r="3353" spans="1:37" x14ac:dyDescent="0.3">
      <c r="A3353">
        <v>3352</v>
      </c>
      <c r="B3353">
        <v>58</v>
      </c>
      <c r="C3353">
        <v>-16.719999000000001</v>
      </c>
      <c r="D3353">
        <v>14.23</v>
      </c>
      <c r="E3353">
        <f>-16.719999-14.23</f>
        <v>-30.949999000000002</v>
      </c>
      <c r="F3353" t="s">
        <v>5444</v>
      </c>
      <c r="G3353" t="s">
        <v>39</v>
      </c>
      <c r="H3353">
        <v>2003</v>
      </c>
      <c r="I3353">
        <v>26.600000381469702</v>
      </c>
      <c r="J3353">
        <v>13.199999809265099</v>
      </c>
      <c r="K3353">
        <v>68</v>
      </c>
      <c r="L3353">
        <v>15.050000190734901</v>
      </c>
      <c r="M3353">
        <v>34.700000762939503</v>
      </c>
      <c r="N3353">
        <v>15.5</v>
      </c>
      <c r="O3353">
        <v>19.200000762939499</v>
      </c>
      <c r="P3353">
        <v>27.600000381469702</v>
      </c>
      <c r="Q3353">
        <v>25.799999237060501</v>
      </c>
      <c r="R3353">
        <v>27.899999618530298</v>
      </c>
      <c r="S3353">
        <v>24.200000762939499</v>
      </c>
      <c r="T3353">
        <v>628</v>
      </c>
      <c r="U3353">
        <v>246</v>
      </c>
      <c r="V3353">
        <v>0</v>
      </c>
      <c r="W3353">
        <v>152</v>
      </c>
      <c r="X3353">
        <v>549</v>
      </c>
      <c r="Y3353">
        <v>0</v>
      </c>
      <c r="Z3353">
        <v>154</v>
      </c>
      <c r="AA3353">
        <v>2</v>
      </c>
      <c r="AB3353">
        <v>0.72655462457352304</v>
      </c>
      <c r="AC3353">
        <v>2.5080817792283001E-2</v>
      </c>
      <c r="AD3353">
        <v>1.3137265088177501</v>
      </c>
      <c r="AE3353">
        <v>0.67973739369576702</v>
      </c>
      <c r="AF3353">
        <v>4.8521008403361297</v>
      </c>
      <c r="AG3353">
        <f>IFERROR(AH3353*0.1, "N/A")</f>
        <v>5.3000000000000007</v>
      </c>
      <c r="AH3353">
        <v>53</v>
      </c>
      <c r="AI3353">
        <v>219.02339921198001</v>
      </c>
      <c r="AJ3353">
        <v>7.6605042016806699</v>
      </c>
      <c r="AK3353">
        <v>85.321008403361404</v>
      </c>
    </row>
    <row r="3354" spans="1:37" x14ac:dyDescent="0.3">
      <c r="A3354">
        <v>3353</v>
      </c>
      <c r="B3354">
        <v>46</v>
      </c>
      <c r="C3354">
        <v>-16.516701000000001</v>
      </c>
      <c r="D3354">
        <v>14.2333</v>
      </c>
      <c r="E3354">
        <f>-16.516701-14.2333</f>
        <v>-30.750001000000001</v>
      </c>
      <c r="F3354" t="s">
        <v>5445</v>
      </c>
      <c r="G3354" t="s">
        <v>39</v>
      </c>
      <c r="H3354">
        <v>2003</v>
      </c>
      <c r="I3354">
        <v>26.9246618747711</v>
      </c>
      <c r="J3354">
        <v>14.300000190734901</v>
      </c>
      <c r="K3354">
        <v>68</v>
      </c>
      <c r="L3354">
        <v>15.549273447410499</v>
      </c>
      <c r="M3354">
        <v>36.128039656458697</v>
      </c>
      <c r="N3354">
        <v>15.199999809265099</v>
      </c>
      <c r="O3354">
        <v>20.928040266037002</v>
      </c>
      <c r="P3354">
        <v>27.700000762939499</v>
      </c>
      <c r="Q3354">
        <v>26.3280398845673</v>
      </c>
      <c r="R3354">
        <v>28.4246618747711</v>
      </c>
      <c r="S3354">
        <v>24.399999618530298</v>
      </c>
      <c r="T3354">
        <v>631.173986486486</v>
      </c>
      <c r="U3354">
        <v>238.75337837837799</v>
      </c>
      <c r="V3354">
        <v>0</v>
      </c>
      <c r="W3354">
        <v>150</v>
      </c>
      <c r="X3354">
        <v>545.75337837837799</v>
      </c>
      <c r="Y3354">
        <v>0</v>
      </c>
      <c r="Z3354">
        <v>161.42060810810801</v>
      </c>
      <c r="AA3354">
        <v>2</v>
      </c>
      <c r="AB3354">
        <v>0.112668929067818</v>
      </c>
      <c r="AC3354">
        <v>0.159509888406516</v>
      </c>
      <c r="AD3354">
        <v>0.467614079599042</v>
      </c>
      <c r="AE3354">
        <v>0.33585843801297</v>
      </c>
      <c r="AF3354">
        <v>-1.3918918918918901</v>
      </c>
      <c r="AG3354">
        <f>IFERROR(AH3354*0.1, "N/A")</f>
        <v>5.90120481927711</v>
      </c>
      <c r="AH3354">
        <v>59.012048192771097</v>
      </c>
      <c r="AI3354">
        <v>96.5022873234104</v>
      </c>
      <c r="AJ3354">
        <v>22.7710843373494</v>
      </c>
      <c r="AK3354">
        <v>55.803212851405597</v>
      </c>
    </row>
    <row r="3355" spans="1:37" x14ac:dyDescent="0.3">
      <c r="A3355">
        <v>3354</v>
      </c>
      <c r="B3355">
        <v>28</v>
      </c>
      <c r="C3355">
        <v>-16.273199000000002</v>
      </c>
      <c r="D3355">
        <v>14.2395</v>
      </c>
      <c r="E3355">
        <f>-16.273199-14.2395</f>
        <v>-30.512699000000001</v>
      </c>
      <c r="F3355" t="s">
        <v>5446</v>
      </c>
      <c r="G3355" t="s">
        <v>39</v>
      </c>
      <c r="H3355">
        <v>2004</v>
      </c>
      <c r="I3355">
        <v>27.399999618530298</v>
      </c>
      <c r="J3355">
        <v>15.300000190734901</v>
      </c>
      <c r="K3355">
        <v>67</v>
      </c>
      <c r="L3355">
        <v>16.420000076293899</v>
      </c>
      <c r="M3355">
        <v>37.799999237060497</v>
      </c>
      <c r="N3355">
        <v>15.1000003814697</v>
      </c>
      <c r="O3355">
        <v>22.700000762939499</v>
      </c>
      <c r="P3355">
        <v>27.899999618530298</v>
      </c>
      <c r="Q3355">
        <v>27.100000381469702</v>
      </c>
      <c r="R3355">
        <v>29</v>
      </c>
      <c r="S3355">
        <v>24.700000762939499</v>
      </c>
      <c r="T3355">
        <v>605</v>
      </c>
      <c r="U3355">
        <v>212</v>
      </c>
      <c r="V3355">
        <v>0</v>
      </c>
      <c r="W3355">
        <v>145</v>
      </c>
      <c r="X3355">
        <v>516</v>
      </c>
      <c r="Y3355">
        <v>0</v>
      </c>
      <c r="Z3355">
        <v>41</v>
      </c>
      <c r="AA3355">
        <v>2</v>
      </c>
      <c r="AB3355">
        <v>0.68840310874105504</v>
      </c>
      <c r="AC3355">
        <v>7.3748137717361995E-2</v>
      </c>
      <c r="AD3355">
        <v>1.7716655496789599</v>
      </c>
      <c r="AE3355">
        <v>0.76960998773574796</v>
      </c>
      <c r="AF3355">
        <v>15.7042016806723</v>
      </c>
      <c r="AG3355">
        <f>IFERROR(AH3355*0.1, "N/A")</f>
        <v>5.9507563025210111</v>
      </c>
      <c r="AH3355">
        <v>59.507563025210104</v>
      </c>
      <c r="AI3355">
        <v>216.945577720834</v>
      </c>
      <c r="AJ3355">
        <v>12.278991596638701</v>
      </c>
      <c r="AK3355">
        <v>79.907563025210095</v>
      </c>
    </row>
    <row r="3356" spans="1:37" x14ac:dyDescent="0.3">
      <c r="A3356">
        <v>3355</v>
      </c>
      <c r="B3356">
        <v>25.799999</v>
      </c>
      <c r="C3356">
        <v>-12.8012</v>
      </c>
      <c r="D3356">
        <v>14.251899999999999</v>
      </c>
      <c r="E3356">
        <f>-12.8012-14.2519</f>
        <v>-27.053100000000001</v>
      </c>
      <c r="F3356" t="s">
        <v>5447</v>
      </c>
      <c r="G3356" t="s">
        <v>39</v>
      </c>
      <c r="H3356">
        <v>1996</v>
      </c>
      <c r="I3356">
        <v>28.299999237060501</v>
      </c>
      <c r="J3356">
        <v>14.199999809265099</v>
      </c>
      <c r="K3356">
        <v>59</v>
      </c>
      <c r="L3356">
        <v>24.329999923706101</v>
      </c>
      <c r="M3356">
        <v>40.099998474121101</v>
      </c>
      <c r="N3356">
        <v>16.100000381469702</v>
      </c>
      <c r="O3356">
        <v>24</v>
      </c>
      <c r="P3356">
        <v>27.299999237060501</v>
      </c>
      <c r="Q3356">
        <v>27.200000762939499</v>
      </c>
      <c r="R3356">
        <v>31.799999237060501</v>
      </c>
      <c r="S3356">
        <v>25.600000381469702</v>
      </c>
      <c r="T3356">
        <v>721</v>
      </c>
      <c r="U3356">
        <v>215</v>
      </c>
      <c r="V3356">
        <v>0</v>
      </c>
      <c r="W3356">
        <v>130</v>
      </c>
      <c r="X3356">
        <v>567</v>
      </c>
      <c r="Y3356">
        <v>0</v>
      </c>
      <c r="Z3356">
        <v>103</v>
      </c>
      <c r="AA3356">
        <v>3</v>
      </c>
      <c r="AB3356">
        <v>4.62020322369405</v>
      </c>
      <c r="AC3356">
        <v>0.13650438282638799</v>
      </c>
      <c r="AD3356">
        <v>0.88082621966548202</v>
      </c>
      <c r="AE3356">
        <v>0.471878212008011</v>
      </c>
      <c r="AF3356">
        <v>55.754208754208797</v>
      </c>
      <c r="AG3356">
        <f>IFERROR(AH3356*0.1, "N/A")</f>
        <v>5.8968013468013503</v>
      </c>
      <c r="AH3356">
        <v>58.968013468013503</v>
      </c>
      <c r="AI3356">
        <v>179.36798193318299</v>
      </c>
      <c r="AJ3356">
        <v>17.031986531986501</v>
      </c>
      <c r="AK3356">
        <v>61</v>
      </c>
    </row>
    <row r="3357" spans="1:37" x14ac:dyDescent="0.3">
      <c r="A3357">
        <v>3356</v>
      </c>
      <c r="B3357">
        <v>0</v>
      </c>
      <c r="C3357">
        <v>-12.8012</v>
      </c>
      <c r="D3357">
        <v>14.251899999999999</v>
      </c>
      <c r="E3357">
        <f>-12.8012-14.2519</f>
        <v>-27.053100000000001</v>
      </c>
      <c r="F3357" t="s">
        <v>5448</v>
      </c>
      <c r="G3357" t="s">
        <v>37</v>
      </c>
      <c r="H3357">
        <v>1996</v>
      </c>
      <c r="I3357">
        <v>28.299999237060501</v>
      </c>
      <c r="J3357">
        <v>14.199999809265099</v>
      </c>
      <c r="K3357">
        <v>59</v>
      </c>
      <c r="L3357">
        <v>24.329999923706101</v>
      </c>
      <c r="M3357">
        <v>40.099998474121101</v>
      </c>
      <c r="N3357">
        <v>16.100000381469702</v>
      </c>
      <c r="O3357">
        <v>24</v>
      </c>
      <c r="P3357">
        <v>27.299999237060501</v>
      </c>
      <c r="Q3357">
        <v>27.200000762939499</v>
      </c>
      <c r="R3357">
        <v>31.799999237060501</v>
      </c>
      <c r="S3357">
        <v>25.600000381469702</v>
      </c>
      <c r="T3357">
        <v>721</v>
      </c>
      <c r="U3357">
        <v>215</v>
      </c>
      <c r="V3357">
        <v>0</v>
      </c>
      <c r="W3357">
        <v>130</v>
      </c>
      <c r="X3357">
        <v>567</v>
      </c>
      <c r="Y3357">
        <v>0</v>
      </c>
      <c r="Z3357">
        <v>103</v>
      </c>
      <c r="AA3357">
        <v>3</v>
      </c>
      <c r="AB3357">
        <v>4.62020322369405</v>
      </c>
      <c r="AC3357">
        <v>0.13650438282638799</v>
      </c>
      <c r="AD3357">
        <v>0.88082621966548202</v>
      </c>
      <c r="AE3357">
        <v>0.471878212008011</v>
      </c>
      <c r="AF3357">
        <v>55.754208754208797</v>
      </c>
      <c r="AG3357">
        <f>IFERROR(AH3357*0.1, "N/A")</f>
        <v>5.8968013468013503</v>
      </c>
      <c r="AH3357">
        <v>58.968013468013503</v>
      </c>
      <c r="AI3357">
        <v>179.36798193318299</v>
      </c>
      <c r="AJ3357">
        <v>17.031986531986501</v>
      </c>
      <c r="AK3357">
        <v>61</v>
      </c>
    </row>
    <row r="3358" spans="1:37" x14ac:dyDescent="0.3">
      <c r="A3358">
        <v>3357</v>
      </c>
      <c r="B3358">
        <v>0.6</v>
      </c>
      <c r="C3358">
        <v>-15.986000000000001</v>
      </c>
      <c r="D3358">
        <v>14.271000000000001</v>
      </c>
      <c r="E3358">
        <f>-15.986-14.271</f>
        <v>-30.257000000000001</v>
      </c>
      <c r="F3358" t="s">
        <v>5449</v>
      </c>
      <c r="G3358" t="s">
        <v>39</v>
      </c>
      <c r="H3358">
        <v>1987</v>
      </c>
      <c r="I3358">
        <v>27.799999237060501</v>
      </c>
      <c r="J3358">
        <v>15.8999996185303</v>
      </c>
      <c r="K3358">
        <v>66</v>
      </c>
      <c r="L3358">
        <v>17.0100002288818</v>
      </c>
      <c r="M3358">
        <v>39.099998474121101</v>
      </c>
      <c r="N3358">
        <v>15.199999809265099</v>
      </c>
      <c r="O3358">
        <v>23.899999618530298</v>
      </c>
      <c r="P3358">
        <v>28.200000762939499</v>
      </c>
      <c r="Q3358">
        <v>27.799999237060501</v>
      </c>
      <c r="R3358">
        <v>29.700000762939499</v>
      </c>
      <c r="S3358">
        <v>25.200000762939499</v>
      </c>
      <c r="T3358">
        <v>598</v>
      </c>
      <c r="U3358">
        <v>195</v>
      </c>
      <c r="V3358">
        <v>0</v>
      </c>
      <c r="W3358">
        <v>141</v>
      </c>
      <c r="X3358">
        <v>501</v>
      </c>
      <c r="Y3358">
        <v>1</v>
      </c>
      <c r="Z3358">
        <v>42</v>
      </c>
      <c r="AA3358">
        <v>4</v>
      </c>
      <c r="AB3358">
        <v>0.33821545225201199</v>
      </c>
      <c r="AC3358">
        <v>1.6996936811453998E-2</v>
      </c>
      <c r="AD3358">
        <v>1.1548786269695299</v>
      </c>
      <c r="AE3358">
        <v>0.71397658791204899</v>
      </c>
      <c r="AF3358">
        <v>10.996632996633</v>
      </c>
      <c r="AG3358">
        <f>IFERROR(AH3358*0.1, "N/A")</f>
        <v>5.8000000000000007</v>
      </c>
      <c r="AH3358">
        <v>58</v>
      </c>
      <c r="AI3358">
        <v>216.69451621084499</v>
      </c>
      <c r="AJ3358">
        <v>8</v>
      </c>
      <c r="AK3358">
        <v>83.867003367003406</v>
      </c>
    </row>
    <row r="3359" spans="1:37" x14ac:dyDescent="0.3">
      <c r="A3359">
        <v>3358</v>
      </c>
      <c r="B3359">
        <v>0</v>
      </c>
      <c r="C3359">
        <v>-15.986000000000001</v>
      </c>
      <c r="D3359">
        <v>14.271000000000001</v>
      </c>
      <c r="E3359">
        <f>-15.986-14.271</f>
        <v>-30.257000000000001</v>
      </c>
      <c r="F3359" t="s">
        <v>5450</v>
      </c>
      <c r="G3359" t="s">
        <v>37</v>
      </c>
      <c r="H3359">
        <v>1987</v>
      </c>
      <c r="I3359">
        <v>27.799999237060501</v>
      </c>
      <c r="J3359">
        <v>15.8999996185303</v>
      </c>
      <c r="K3359">
        <v>66</v>
      </c>
      <c r="L3359">
        <v>17.0100002288818</v>
      </c>
      <c r="M3359">
        <v>39.099998474121101</v>
      </c>
      <c r="N3359">
        <v>15.199999809265099</v>
      </c>
      <c r="O3359">
        <v>23.899999618530298</v>
      </c>
      <c r="P3359">
        <v>28.200000762939499</v>
      </c>
      <c r="Q3359">
        <v>27.799999237060501</v>
      </c>
      <c r="R3359">
        <v>29.700000762939499</v>
      </c>
      <c r="S3359">
        <v>25.200000762939499</v>
      </c>
      <c r="T3359">
        <v>598</v>
      </c>
      <c r="U3359">
        <v>195</v>
      </c>
      <c r="V3359">
        <v>0</v>
      </c>
      <c r="W3359">
        <v>141</v>
      </c>
      <c r="X3359">
        <v>501</v>
      </c>
      <c r="Y3359">
        <v>1</v>
      </c>
      <c r="Z3359">
        <v>42</v>
      </c>
      <c r="AA3359">
        <v>4</v>
      </c>
      <c r="AB3359">
        <v>0.33821545225201199</v>
      </c>
      <c r="AC3359">
        <v>1.6996936811453998E-2</v>
      </c>
      <c r="AD3359">
        <v>1.1548786269695299</v>
      </c>
      <c r="AE3359">
        <v>0.71397658791204899</v>
      </c>
      <c r="AF3359">
        <v>10.996632996633</v>
      </c>
      <c r="AG3359">
        <f>IFERROR(AH3359*0.1, "N/A")</f>
        <v>5.8000000000000007</v>
      </c>
      <c r="AH3359">
        <v>58</v>
      </c>
      <c r="AI3359">
        <v>216.69451621084499</v>
      </c>
      <c r="AJ3359">
        <v>8</v>
      </c>
      <c r="AK3359">
        <v>83.867003367003406</v>
      </c>
    </row>
    <row r="3360" spans="1:37" x14ac:dyDescent="0.3">
      <c r="A3360">
        <v>3359</v>
      </c>
      <c r="B3360">
        <v>86.800003000000004</v>
      </c>
      <c r="C3360">
        <v>-12.8094</v>
      </c>
      <c r="D3360">
        <v>14.2774</v>
      </c>
      <c r="E3360">
        <f>-12.8094-14.2774</f>
        <v>-27.0868</v>
      </c>
      <c r="F3360" t="s">
        <v>5451</v>
      </c>
      <c r="G3360" t="s">
        <v>39</v>
      </c>
      <c r="H3360">
        <v>1996</v>
      </c>
      <c r="I3360">
        <v>28.299999237060501</v>
      </c>
      <c r="J3360">
        <v>14.199999809265099</v>
      </c>
      <c r="K3360">
        <v>59</v>
      </c>
      <c r="L3360">
        <v>24.180000305175799</v>
      </c>
      <c r="M3360">
        <v>40.099998474121101</v>
      </c>
      <c r="N3360">
        <v>16.100000381469702</v>
      </c>
      <c r="O3360">
        <v>24</v>
      </c>
      <c r="P3360">
        <v>27.299999237060501</v>
      </c>
      <c r="Q3360">
        <v>27.299999237060501</v>
      </c>
      <c r="R3360">
        <v>31.799999237060501</v>
      </c>
      <c r="S3360">
        <v>25.600000381469702</v>
      </c>
      <c r="T3360">
        <v>725</v>
      </c>
      <c r="U3360">
        <v>216</v>
      </c>
      <c r="V3360">
        <v>0</v>
      </c>
      <c r="W3360">
        <v>131</v>
      </c>
      <c r="X3360">
        <v>570</v>
      </c>
      <c r="Y3360">
        <v>0</v>
      </c>
      <c r="Z3360">
        <v>104</v>
      </c>
      <c r="AA3360">
        <v>1</v>
      </c>
      <c r="AB3360">
        <v>1.9831931490858099</v>
      </c>
      <c r="AC3360">
        <v>0.77859046069294702</v>
      </c>
      <c r="AD3360">
        <v>2.4436655737772699</v>
      </c>
      <c r="AE3360">
        <v>0.50082141160964999</v>
      </c>
      <c r="AF3360">
        <v>52.336134453781497</v>
      </c>
      <c r="AG3360">
        <f>IFERROR(AH3360*0.1, "N/A")</f>
        <v>6.3000000000000007</v>
      </c>
      <c r="AH3360">
        <v>63</v>
      </c>
      <c r="AI3360">
        <v>160.94929496700999</v>
      </c>
      <c r="AJ3360">
        <v>14</v>
      </c>
      <c r="AK3360">
        <v>65</v>
      </c>
    </row>
    <row r="3361" spans="1:37" x14ac:dyDescent="0.3">
      <c r="A3361">
        <v>3360</v>
      </c>
      <c r="B3361">
        <v>0</v>
      </c>
      <c r="C3361">
        <v>-12.8094</v>
      </c>
      <c r="D3361">
        <v>14.2774</v>
      </c>
      <c r="E3361">
        <f>-12.8094-14.2774</f>
        <v>-27.0868</v>
      </c>
      <c r="F3361" t="s">
        <v>5452</v>
      </c>
      <c r="G3361" t="s">
        <v>37</v>
      </c>
      <c r="H3361">
        <v>1996</v>
      </c>
      <c r="I3361">
        <v>28.299999237060501</v>
      </c>
      <c r="J3361">
        <v>14.199999809265099</v>
      </c>
      <c r="K3361">
        <v>59</v>
      </c>
      <c r="L3361">
        <v>24.180000305175799</v>
      </c>
      <c r="M3361">
        <v>40.099998474121101</v>
      </c>
      <c r="N3361">
        <v>16.100000381469702</v>
      </c>
      <c r="O3361">
        <v>24</v>
      </c>
      <c r="P3361">
        <v>27.299999237060501</v>
      </c>
      <c r="Q3361">
        <v>27.299999237060501</v>
      </c>
      <c r="R3361">
        <v>31.799999237060501</v>
      </c>
      <c r="S3361">
        <v>25.600000381469702</v>
      </c>
      <c r="T3361">
        <v>725</v>
      </c>
      <c r="U3361">
        <v>216</v>
      </c>
      <c r="V3361">
        <v>0</v>
      </c>
      <c r="W3361">
        <v>131</v>
      </c>
      <c r="X3361">
        <v>570</v>
      </c>
      <c r="Y3361">
        <v>0</v>
      </c>
      <c r="Z3361">
        <v>104</v>
      </c>
      <c r="AA3361">
        <v>1</v>
      </c>
      <c r="AB3361">
        <v>1.9831931490858099</v>
      </c>
      <c r="AC3361">
        <v>0.77859046069294702</v>
      </c>
      <c r="AD3361">
        <v>2.4436655737772699</v>
      </c>
      <c r="AE3361">
        <v>0.50082141160964999</v>
      </c>
      <c r="AF3361">
        <v>52.336134453781497</v>
      </c>
      <c r="AG3361">
        <f>IFERROR(AH3361*0.1, "N/A")</f>
        <v>6.3000000000000007</v>
      </c>
      <c r="AH3361">
        <v>63</v>
      </c>
      <c r="AI3361">
        <v>160.94929496700999</v>
      </c>
      <c r="AJ3361">
        <v>14</v>
      </c>
      <c r="AK3361">
        <v>65</v>
      </c>
    </row>
    <row r="3362" spans="1:37" x14ac:dyDescent="0.3">
      <c r="A3362">
        <v>3361</v>
      </c>
      <c r="B3362">
        <v>1.2</v>
      </c>
      <c r="C3362">
        <v>-15.535</v>
      </c>
      <c r="D3362">
        <v>14.277699999999999</v>
      </c>
      <c r="E3362">
        <f>-15.535-14.2777</f>
        <v>-29.8127</v>
      </c>
      <c r="F3362" t="s">
        <v>5453</v>
      </c>
      <c r="G3362" t="s">
        <v>39</v>
      </c>
      <c r="H3362">
        <v>1996</v>
      </c>
      <c r="I3362">
        <v>27.299999237060501</v>
      </c>
      <c r="J3362">
        <v>15.800000190734901</v>
      </c>
      <c r="K3362">
        <v>64</v>
      </c>
      <c r="L3362">
        <v>19</v>
      </c>
      <c r="M3362">
        <v>39.099998474121101</v>
      </c>
      <c r="N3362">
        <v>14.6000003814697</v>
      </c>
      <c r="O3362">
        <v>24.5</v>
      </c>
      <c r="P3362">
        <v>27.5</v>
      </c>
      <c r="Q3362">
        <v>27.600000381469702</v>
      </c>
      <c r="R3362">
        <v>29.600000381469702</v>
      </c>
      <c r="S3362">
        <v>24.5</v>
      </c>
      <c r="T3362">
        <v>577</v>
      </c>
      <c r="U3362">
        <v>189</v>
      </c>
      <c r="V3362">
        <v>0</v>
      </c>
      <c r="W3362">
        <v>137</v>
      </c>
      <c r="X3362">
        <v>475</v>
      </c>
      <c r="Y3362">
        <v>0</v>
      </c>
      <c r="Z3362">
        <v>49</v>
      </c>
      <c r="AA3362">
        <v>2</v>
      </c>
      <c r="AB3362">
        <v>0.54144220544187804</v>
      </c>
      <c r="AC3362">
        <v>0.14264816919110401</v>
      </c>
      <c r="AD3362">
        <v>1.3376694127617299</v>
      </c>
      <c r="AE3362">
        <v>0.70230704545974698</v>
      </c>
      <c r="AF3362">
        <v>30.5</v>
      </c>
      <c r="AG3362">
        <f>IFERROR(AH3362*0.1, "N/A")</f>
        <v>5.8000000000000007</v>
      </c>
      <c r="AH3362">
        <v>58</v>
      </c>
      <c r="AI3362">
        <v>237.163126087829</v>
      </c>
      <c r="AJ3362">
        <v>10.8724832214765</v>
      </c>
      <c r="AK3362">
        <v>77.1275167785235</v>
      </c>
    </row>
    <row r="3363" spans="1:37" x14ac:dyDescent="0.3">
      <c r="A3363">
        <v>3362</v>
      </c>
      <c r="B3363">
        <v>0</v>
      </c>
      <c r="C3363">
        <v>-15.535</v>
      </c>
      <c r="D3363">
        <v>14.277699999999999</v>
      </c>
      <c r="E3363">
        <f>-15.535-14.2777</f>
        <v>-29.8127</v>
      </c>
      <c r="F3363" t="s">
        <v>5454</v>
      </c>
      <c r="G3363" t="s">
        <v>37</v>
      </c>
      <c r="H3363">
        <v>1996</v>
      </c>
      <c r="I3363">
        <v>27.299999237060501</v>
      </c>
      <c r="J3363">
        <v>15.800000190734901</v>
      </c>
      <c r="K3363">
        <v>64</v>
      </c>
      <c r="L3363">
        <v>19</v>
      </c>
      <c r="M3363">
        <v>39.099998474121101</v>
      </c>
      <c r="N3363">
        <v>14.6000003814697</v>
      </c>
      <c r="O3363">
        <v>24.5</v>
      </c>
      <c r="P3363">
        <v>27.5</v>
      </c>
      <c r="Q3363">
        <v>27.600000381469702</v>
      </c>
      <c r="R3363">
        <v>29.600000381469702</v>
      </c>
      <c r="S3363">
        <v>24.5</v>
      </c>
      <c r="T3363">
        <v>577</v>
      </c>
      <c r="U3363">
        <v>189</v>
      </c>
      <c r="V3363">
        <v>0</v>
      </c>
      <c r="W3363">
        <v>137</v>
      </c>
      <c r="X3363">
        <v>475</v>
      </c>
      <c r="Y3363">
        <v>0</v>
      </c>
      <c r="Z3363">
        <v>49</v>
      </c>
      <c r="AA3363">
        <v>2</v>
      </c>
      <c r="AB3363">
        <v>0.54144220544187804</v>
      </c>
      <c r="AC3363">
        <v>0.14264816919110401</v>
      </c>
      <c r="AD3363">
        <v>1.3376694127617299</v>
      </c>
      <c r="AE3363">
        <v>0.70230704545974698</v>
      </c>
      <c r="AF3363">
        <v>30.5</v>
      </c>
      <c r="AG3363">
        <f>IFERROR(AH3363*0.1, "N/A")</f>
        <v>5.8000000000000007</v>
      </c>
      <c r="AH3363">
        <v>58</v>
      </c>
      <c r="AI3363">
        <v>237.163126087829</v>
      </c>
      <c r="AJ3363">
        <v>10.8724832214765</v>
      </c>
      <c r="AK3363">
        <v>77.1275167785235</v>
      </c>
    </row>
    <row r="3364" spans="1:37" x14ac:dyDescent="0.3">
      <c r="A3364">
        <v>3363</v>
      </c>
      <c r="B3364">
        <v>18</v>
      </c>
      <c r="C3364">
        <v>-16.040001</v>
      </c>
      <c r="D3364">
        <v>14.28</v>
      </c>
      <c r="E3364">
        <f>-16.040001-14.28</f>
        <v>-30.320000999999998</v>
      </c>
      <c r="F3364" t="s">
        <v>5455</v>
      </c>
      <c r="G3364" t="s">
        <v>39</v>
      </c>
      <c r="H3364">
        <v>2003</v>
      </c>
      <c r="I3364">
        <v>27.700000762939499</v>
      </c>
      <c r="J3364">
        <v>15.800000190734901</v>
      </c>
      <c r="K3364">
        <v>66</v>
      </c>
      <c r="L3364">
        <v>16.9899997711182</v>
      </c>
      <c r="M3364">
        <v>39</v>
      </c>
      <c r="N3364">
        <v>15.199999809265099</v>
      </c>
      <c r="O3364">
        <v>23.799999237060501</v>
      </c>
      <c r="P3364">
        <v>28.100000381469702</v>
      </c>
      <c r="Q3364">
        <v>27.700000762939499</v>
      </c>
      <c r="R3364">
        <v>29.600000381469702</v>
      </c>
      <c r="S3364">
        <v>25.100000381469702</v>
      </c>
      <c r="T3364">
        <v>599</v>
      </c>
      <c r="U3364">
        <v>197</v>
      </c>
      <c r="V3364">
        <v>0</v>
      </c>
      <c r="W3364">
        <v>142</v>
      </c>
      <c r="X3364">
        <v>503</v>
      </c>
      <c r="Y3364">
        <v>1</v>
      </c>
      <c r="Z3364">
        <v>42</v>
      </c>
      <c r="AA3364">
        <v>4</v>
      </c>
      <c r="AB3364">
        <v>1.1205379312688699</v>
      </c>
      <c r="AC3364">
        <v>1.0144713885065999E-2</v>
      </c>
      <c r="AD3364">
        <v>0.88975113700536002</v>
      </c>
      <c r="AE3364">
        <v>0.71563604775101297</v>
      </c>
      <c r="AF3364">
        <v>22.245791245791199</v>
      </c>
      <c r="AG3364">
        <f>IFERROR(AH3364*0.1, "N/A")</f>
        <v>5.4393939393939403</v>
      </c>
      <c r="AH3364">
        <v>54.393939393939398</v>
      </c>
      <c r="AI3364">
        <v>78.962773968475005</v>
      </c>
      <c r="AJ3364">
        <v>6.2003367003366998</v>
      </c>
      <c r="AK3364">
        <v>85.737373737373701</v>
      </c>
    </row>
    <row r="3365" spans="1:37" x14ac:dyDescent="0.3">
      <c r="A3365">
        <v>3364</v>
      </c>
      <c r="B3365">
        <v>38</v>
      </c>
      <c r="C3365">
        <v>-16.700001</v>
      </c>
      <c r="D3365">
        <v>14.28</v>
      </c>
      <c r="E3365">
        <f>-16.700001-14.28</f>
        <v>-30.980001000000001</v>
      </c>
      <c r="F3365" t="s">
        <v>5456</v>
      </c>
      <c r="G3365" t="s">
        <v>39</v>
      </c>
      <c r="H3365">
        <v>2003</v>
      </c>
      <c r="I3365">
        <v>26.600000381469702</v>
      </c>
      <c r="J3365">
        <v>13.4245788368713</v>
      </c>
      <c r="K3365">
        <v>68</v>
      </c>
      <c r="L3365">
        <v>15.268989880879699</v>
      </c>
      <c r="M3365">
        <v>34.824578924211202</v>
      </c>
      <c r="N3365">
        <v>15.300000190734901</v>
      </c>
      <c r="O3365">
        <v>19.524579218341</v>
      </c>
      <c r="P3365">
        <v>27.600000381469702</v>
      </c>
      <c r="Q3365">
        <v>25.799999237060501</v>
      </c>
      <c r="R3365">
        <v>28</v>
      </c>
      <c r="S3365">
        <v>24.1754215445984</v>
      </c>
      <c r="T3365">
        <v>614</v>
      </c>
      <c r="U3365">
        <v>239</v>
      </c>
      <c r="V3365">
        <v>0</v>
      </c>
      <c r="W3365">
        <v>152</v>
      </c>
      <c r="X3365">
        <v>537</v>
      </c>
      <c r="Y3365">
        <v>0</v>
      </c>
      <c r="Z3365">
        <v>150</v>
      </c>
      <c r="AA3365">
        <v>2</v>
      </c>
      <c r="AB3365">
        <v>4.4481482281026601</v>
      </c>
      <c r="AC3365">
        <v>1.3033204748035E-2</v>
      </c>
      <c r="AD3365">
        <v>1.3602507794746299</v>
      </c>
      <c r="AE3365">
        <v>0.67914851877825799</v>
      </c>
      <c r="AF3365">
        <v>14.047138047138001</v>
      </c>
      <c r="AG3365">
        <f>IFERROR(AH3365*0.1, "N/A")</f>
        <v>5.7255892255892302</v>
      </c>
      <c r="AH3365">
        <v>57.255892255892299</v>
      </c>
      <c r="AI3365">
        <v>161.0844241762</v>
      </c>
      <c r="AJ3365">
        <v>9.9545454545454497</v>
      </c>
      <c r="AK3365">
        <v>82.176767676767696</v>
      </c>
    </row>
    <row r="3366" spans="1:37" x14ac:dyDescent="0.3">
      <c r="A3366">
        <v>3365</v>
      </c>
      <c r="B3366">
        <v>22.700001</v>
      </c>
      <c r="C3366">
        <v>-13.066700000000001</v>
      </c>
      <c r="D3366">
        <v>14.283300000000001</v>
      </c>
      <c r="E3366">
        <f>-13.0667-14.2833</f>
        <v>-27.35</v>
      </c>
      <c r="F3366" t="s">
        <v>5457</v>
      </c>
      <c r="G3366" t="s">
        <v>39</v>
      </c>
      <c r="H3366">
        <v>2004</v>
      </c>
      <c r="I3366">
        <v>28.180905212709099</v>
      </c>
      <c r="J3366">
        <v>14.300000190734901</v>
      </c>
      <c r="K3366">
        <v>59</v>
      </c>
      <c r="L3366">
        <v>24.1887936552166</v>
      </c>
      <c r="M3366">
        <v>40.041372903028297</v>
      </c>
      <c r="N3366">
        <v>15.9395307576037</v>
      </c>
      <c r="O3366">
        <v>24.1018429345621</v>
      </c>
      <c r="P3366">
        <v>27.200000762939499</v>
      </c>
      <c r="Q3366">
        <v>27.080904831239302</v>
      </c>
      <c r="R3366">
        <v>31.632663822653299</v>
      </c>
      <c r="S3366">
        <v>25.4809044497696</v>
      </c>
      <c r="T3366">
        <v>789.46063651591305</v>
      </c>
      <c r="U3366">
        <v>225.91289782244601</v>
      </c>
      <c r="V3366">
        <v>0</v>
      </c>
      <c r="W3366">
        <v>128.34003350083799</v>
      </c>
      <c r="X3366">
        <v>608.54773869346695</v>
      </c>
      <c r="Y3366">
        <v>1</v>
      </c>
      <c r="Z3366">
        <v>120.72194304857599</v>
      </c>
      <c r="AA3366">
        <v>2.6046901172529302</v>
      </c>
      <c r="AB3366">
        <v>12.967169418207201</v>
      </c>
      <c r="AC3366">
        <v>5.8089792940585E-2</v>
      </c>
      <c r="AD3366">
        <v>0.83144230898500904</v>
      </c>
      <c r="AE3366">
        <v>0.179954543709755</v>
      </c>
      <c r="AF3366">
        <v>55.515912897822403</v>
      </c>
      <c r="AG3366">
        <f>IFERROR(AH3366*0.1, "N/A")</f>
        <v>6.1653266331658303</v>
      </c>
      <c r="AH3366">
        <v>61.653266331658301</v>
      </c>
      <c r="AI3366">
        <v>191.24557065724099</v>
      </c>
      <c r="AJ3366">
        <v>24.673366834170899</v>
      </c>
      <c r="AK3366">
        <v>51.326633165829101</v>
      </c>
    </row>
    <row r="3367" spans="1:37" x14ac:dyDescent="0.3">
      <c r="A3367">
        <v>3366</v>
      </c>
      <c r="B3367">
        <v>32.700001</v>
      </c>
      <c r="C3367">
        <v>-16.483298999999999</v>
      </c>
      <c r="D3367">
        <v>14.283300000000001</v>
      </c>
      <c r="E3367">
        <f>-16.483299-14.2833</f>
        <v>-30.766598999999999</v>
      </c>
      <c r="F3367" t="s">
        <v>5458</v>
      </c>
      <c r="G3367" t="s">
        <v>39</v>
      </c>
      <c r="H3367">
        <v>1996</v>
      </c>
      <c r="I3367">
        <v>26.975503262257401</v>
      </c>
      <c r="J3367">
        <v>14.5755036437271</v>
      </c>
      <c r="K3367">
        <v>67.167785234899299</v>
      </c>
      <c r="L3367">
        <v>15.982751772707701</v>
      </c>
      <c r="M3367">
        <v>36.4587254620238</v>
      </c>
      <c r="N3367">
        <v>14.9756710481324</v>
      </c>
      <c r="O3367">
        <v>21.483053626630099</v>
      </c>
      <c r="P3367">
        <v>27.700000762939499</v>
      </c>
      <c r="Q3367">
        <v>26.434395722894902</v>
      </c>
      <c r="R3367">
        <v>28.441107157892802</v>
      </c>
      <c r="S3367">
        <v>24.351173928920101</v>
      </c>
      <c r="T3367">
        <v>622.06879194630903</v>
      </c>
      <c r="U3367">
        <v>232.41275167785199</v>
      </c>
      <c r="V3367">
        <v>0</v>
      </c>
      <c r="W3367">
        <v>150</v>
      </c>
      <c r="X3367">
        <v>537.41275167785204</v>
      </c>
      <c r="Y3367">
        <v>0</v>
      </c>
      <c r="Z3367">
        <v>159.656040268456</v>
      </c>
      <c r="AA3367">
        <v>2</v>
      </c>
      <c r="AB3367">
        <v>0.88557039491282197</v>
      </c>
      <c r="AC3367">
        <v>3.4434083172575999E-2</v>
      </c>
      <c r="AD3367">
        <v>1.17303166923507</v>
      </c>
      <c r="AE3367">
        <v>0.57560014724731401</v>
      </c>
      <c r="AF3367">
        <v>1.11744966442953</v>
      </c>
      <c r="AG3367">
        <f>IFERROR(AH3367*0.1, "N/A")</f>
        <v>6.2588926174496606</v>
      </c>
      <c r="AH3367">
        <v>62.588926174496599</v>
      </c>
      <c r="AI3367">
        <v>162.42606287194599</v>
      </c>
      <c r="AJ3367">
        <v>15</v>
      </c>
      <c r="AK3367">
        <v>69.588926174496606</v>
      </c>
    </row>
    <row r="3368" spans="1:37" x14ac:dyDescent="0.3">
      <c r="A3368">
        <v>3367</v>
      </c>
      <c r="B3368">
        <v>0</v>
      </c>
      <c r="C3368">
        <v>-16.483298999999999</v>
      </c>
      <c r="D3368">
        <v>14.283300000000001</v>
      </c>
      <c r="E3368">
        <f>-16.483299-14.2833</f>
        <v>-30.766598999999999</v>
      </c>
      <c r="F3368" t="s">
        <v>5459</v>
      </c>
      <c r="G3368" t="s">
        <v>37</v>
      </c>
      <c r="H3368">
        <v>1996</v>
      </c>
      <c r="I3368">
        <v>26.975503262257401</v>
      </c>
      <c r="J3368">
        <v>14.5755036437271</v>
      </c>
      <c r="K3368">
        <v>67.167785234899299</v>
      </c>
      <c r="L3368">
        <v>15.982751772707701</v>
      </c>
      <c r="M3368">
        <v>36.4587254620238</v>
      </c>
      <c r="N3368">
        <v>14.9756710481324</v>
      </c>
      <c r="O3368">
        <v>21.483053626630099</v>
      </c>
      <c r="P3368">
        <v>27.700000762939499</v>
      </c>
      <c r="Q3368">
        <v>26.434395722894902</v>
      </c>
      <c r="R3368">
        <v>28.441107157892802</v>
      </c>
      <c r="S3368">
        <v>24.351173928920101</v>
      </c>
      <c r="T3368">
        <v>622.06879194630903</v>
      </c>
      <c r="U3368">
        <v>232.41275167785199</v>
      </c>
      <c r="V3368">
        <v>0</v>
      </c>
      <c r="W3368">
        <v>150</v>
      </c>
      <c r="X3368">
        <v>537.41275167785204</v>
      </c>
      <c r="Y3368">
        <v>0</v>
      </c>
      <c r="Z3368">
        <v>159.656040268456</v>
      </c>
      <c r="AA3368">
        <v>2</v>
      </c>
      <c r="AB3368">
        <v>0.88557039491282197</v>
      </c>
      <c r="AC3368">
        <v>3.4434083172575999E-2</v>
      </c>
      <c r="AD3368">
        <v>1.17303166923507</v>
      </c>
      <c r="AE3368">
        <v>0.57560014724731401</v>
      </c>
      <c r="AF3368">
        <v>1.11744966442953</v>
      </c>
      <c r="AG3368">
        <f>IFERROR(AH3368*0.1, "N/A")</f>
        <v>6.2588926174496606</v>
      </c>
      <c r="AH3368">
        <v>62.588926174496599</v>
      </c>
      <c r="AI3368">
        <v>162.42606287194599</v>
      </c>
      <c r="AJ3368">
        <v>15</v>
      </c>
      <c r="AK3368">
        <v>69.588926174496606</v>
      </c>
    </row>
    <row r="3369" spans="1:37" x14ac:dyDescent="0.3">
      <c r="A3369">
        <v>3368</v>
      </c>
      <c r="B3369">
        <v>65.699996999999996</v>
      </c>
      <c r="C3369">
        <v>-16.75</v>
      </c>
      <c r="D3369">
        <v>14.283300000000001</v>
      </c>
      <c r="E3369">
        <f>-16.75-14.2833</f>
        <v>-31.033300000000001</v>
      </c>
      <c r="F3369" t="s">
        <v>5460</v>
      </c>
      <c r="G3369" t="s">
        <v>39</v>
      </c>
      <c r="H3369">
        <v>1958</v>
      </c>
      <c r="I3369">
        <v>26.529362528116099</v>
      </c>
      <c r="J3369">
        <v>13.199999809265099</v>
      </c>
      <c r="K3369">
        <v>68.505033557047</v>
      </c>
      <c r="L3369">
        <v>15.573641085784701</v>
      </c>
      <c r="M3369">
        <v>34.528355272024299</v>
      </c>
      <c r="N3369">
        <v>15.379865505551299</v>
      </c>
      <c r="O3369">
        <v>19.148490115300099</v>
      </c>
      <c r="P3369">
        <v>27.558725056232198</v>
      </c>
      <c r="Q3369">
        <v>25.708221710768299</v>
      </c>
      <c r="R3369">
        <v>27.899999618530298</v>
      </c>
      <c r="S3369">
        <v>24.058725056232198</v>
      </c>
      <c r="T3369">
        <v>611.825503355705</v>
      </c>
      <c r="U3369">
        <v>240.41275167785199</v>
      </c>
      <c r="V3369">
        <v>0</v>
      </c>
      <c r="W3369">
        <v>153.76174496644299</v>
      </c>
      <c r="X3369">
        <v>535.825503355705</v>
      </c>
      <c r="Y3369">
        <v>0</v>
      </c>
      <c r="Z3369">
        <v>148</v>
      </c>
      <c r="AA3369">
        <v>2</v>
      </c>
      <c r="AB3369">
        <v>3.57365738145457</v>
      </c>
      <c r="AC3369">
        <v>1.3156229566044999E-2</v>
      </c>
      <c r="AD3369">
        <v>2.2730349616316299</v>
      </c>
      <c r="AE3369">
        <v>0.76384025812149003</v>
      </c>
      <c r="AF3369">
        <v>12.5637583892617</v>
      </c>
      <c r="AG3369">
        <f>IFERROR(AH3369*0.1, "N/A")</f>
        <v>5.4989932885906008</v>
      </c>
      <c r="AH3369">
        <v>54.989932885906001</v>
      </c>
      <c r="AI3369">
        <v>170.199806623011</v>
      </c>
      <c r="AJ3369">
        <v>6.5050335570469802</v>
      </c>
      <c r="AK3369">
        <v>86.4848993288591</v>
      </c>
    </row>
    <row r="3370" spans="1:37" x14ac:dyDescent="0.3">
      <c r="A3370">
        <v>3369</v>
      </c>
      <c r="B3370">
        <v>0</v>
      </c>
      <c r="C3370">
        <v>-16.75</v>
      </c>
      <c r="D3370">
        <v>14.283300000000001</v>
      </c>
      <c r="E3370">
        <f>-16.75-14.2833</f>
        <v>-31.033300000000001</v>
      </c>
      <c r="F3370" t="s">
        <v>5461</v>
      </c>
      <c r="G3370" t="s">
        <v>37</v>
      </c>
      <c r="H3370">
        <v>1958</v>
      </c>
      <c r="I3370">
        <v>26.529362528116099</v>
      </c>
      <c r="J3370">
        <v>13.199999809265099</v>
      </c>
      <c r="K3370">
        <v>68.505033557047</v>
      </c>
      <c r="L3370">
        <v>15.573641085784701</v>
      </c>
      <c r="M3370">
        <v>34.528355272024299</v>
      </c>
      <c r="N3370">
        <v>15.379865505551299</v>
      </c>
      <c r="O3370">
        <v>19.148490115300099</v>
      </c>
      <c r="P3370">
        <v>27.558725056232198</v>
      </c>
      <c r="Q3370">
        <v>25.708221710768299</v>
      </c>
      <c r="R3370">
        <v>27.899999618530298</v>
      </c>
      <c r="S3370">
        <v>24.058725056232198</v>
      </c>
      <c r="T3370">
        <v>611.825503355705</v>
      </c>
      <c r="U3370">
        <v>240.41275167785199</v>
      </c>
      <c r="V3370">
        <v>0</v>
      </c>
      <c r="W3370">
        <v>153.76174496644299</v>
      </c>
      <c r="X3370">
        <v>535.825503355705</v>
      </c>
      <c r="Y3370">
        <v>0</v>
      </c>
      <c r="Z3370">
        <v>148</v>
      </c>
      <c r="AA3370">
        <v>2</v>
      </c>
      <c r="AB3370">
        <v>3.57365738145457</v>
      </c>
      <c r="AC3370">
        <v>1.3156229566044999E-2</v>
      </c>
      <c r="AD3370">
        <v>2.2730349616316299</v>
      </c>
      <c r="AE3370">
        <v>0.76384025812149003</v>
      </c>
      <c r="AF3370">
        <v>12.5637583892617</v>
      </c>
      <c r="AG3370">
        <f>IFERROR(AH3370*0.1, "N/A")</f>
        <v>5.4989932885906008</v>
      </c>
      <c r="AH3370">
        <v>54.989932885906001</v>
      </c>
      <c r="AI3370">
        <v>170.199806623011</v>
      </c>
      <c r="AJ3370">
        <v>6.5050335570469802</v>
      </c>
      <c r="AK3370">
        <v>86.4848993288591</v>
      </c>
    </row>
    <row r="3371" spans="1:37" x14ac:dyDescent="0.3">
      <c r="A3371">
        <v>3370</v>
      </c>
      <c r="B3371">
        <v>74</v>
      </c>
      <c r="C3371">
        <v>-16.666499999999999</v>
      </c>
      <c r="D3371">
        <v>14.2898</v>
      </c>
      <c r="E3371">
        <f>-16.6665-14.2898</f>
        <v>-30.956299999999999</v>
      </c>
      <c r="F3371" t="s">
        <v>5462</v>
      </c>
      <c r="G3371" t="s">
        <v>39</v>
      </c>
      <c r="H3371">
        <v>2003</v>
      </c>
      <c r="I3371">
        <v>26.700000762939499</v>
      </c>
      <c r="J3371">
        <v>13.645728763024399</v>
      </c>
      <c r="K3371">
        <v>68</v>
      </c>
      <c r="L3371">
        <v>15.571155581642</v>
      </c>
      <c r="M3371">
        <v>35.145728163982803</v>
      </c>
      <c r="N3371">
        <v>15.300000190734901</v>
      </c>
      <c r="O3371">
        <v>19.8457280547176</v>
      </c>
      <c r="P3371">
        <v>27.600000381469702</v>
      </c>
      <c r="Q3371">
        <v>25.945728436187299</v>
      </c>
      <c r="R3371">
        <v>28.100000381469702</v>
      </c>
      <c r="S3371">
        <v>24.200000762939499</v>
      </c>
      <c r="T3371">
        <v>612.45728643216103</v>
      </c>
      <c r="U3371">
        <v>237</v>
      </c>
      <c r="V3371">
        <v>0</v>
      </c>
      <c r="W3371">
        <v>151</v>
      </c>
      <c r="X3371">
        <v>534.45728643216103</v>
      </c>
      <c r="Y3371">
        <v>0</v>
      </c>
      <c r="Z3371">
        <v>151.457286432161</v>
      </c>
      <c r="AA3371">
        <v>2</v>
      </c>
      <c r="AB3371">
        <v>3.3514237132304099</v>
      </c>
      <c r="AC3371">
        <v>1.6618695765283999E-2</v>
      </c>
      <c r="AD3371">
        <v>1.17996924236991</v>
      </c>
      <c r="AE3371">
        <v>0.72331231862456402</v>
      </c>
      <c r="AF3371">
        <v>5.4355108877721898</v>
      </c>
      <c r="AG3371">
        <f>IFERROR(AH3371*0.1, "N/A")</f>
        <v>5.8087102177554399</v>
      </c>
      <c r="AH3371">
        <v>58.087102177554399</v>
      </c>
      <c r="AI3371">
        <v>158.489025563251</v>
      </c>
      <c r="AJ3371">
        <v>10.909547738693499</v>
      </c>
      <c r="AK3371">
        <v>78.710217755443907</v>
      </c>
    </row>
    <row r="3372" spans="1:37" x14ac:dyDescent="0.3">
      <c r="A3372">
        <v>3371</v>
      </c>
      <c r="B3372">
        <v>1.8</v>
      </c>
      <c r="C3372">
        <v>-15.533300000000001</v>
      </c>
      <c r="D3372">
        <v>14.3</v>
      </c>
      <c r="E3372">
        <f>-15.5333-14.3</f>
        <v>-29.833300000000001</v>
      </c>
      <c r="F3372" t="s">
        <v>5463</v>
      </c>
      <c r="G3372" t="s">
        <v>39</v>
      </c>
      <c r="H3372">
        <v>2000</v>
      </c>
      <c r="I3372">
        <v>27.299999237060501</v>
      </c>
      <c r="J3372">
        <v>15.800000190734901</v>
      </c>
      <c r="K3372">
        <v>64</v>
      </c>
      <c r="L3372">
        <v>18.639999813503699</v>
      </c>
      <c r="M3372">
        <v>39.071716077399998</v>
      </c>
      <c r="N3372">
        <v>14.6000003814697</v>
      </c>
      <c r="O3372">
        <v>24.471717063826699</v>
      </c>
      <c r="P3372">
        <v>27.416161296343599</v>
      </c>
      <c r="Q3372">
        <v>27.5717174452965</v>
      </c>
      <c r="R3372">
        <v>29.5717174452965</v>
      </c>
      <c r="S3372">
        <v>24.5717174452965</v>
      </c>
      <c r="T3372">
        <v>576.71717171717205</v>
      </c>
      <c r="U3372">
        <v>189</v>
      </c>
      <c r="V3372">
        <v>0</v>
      </c>
      <c r="W3372">
        <v>136.71717171717199</v>
      </c>
      <c r="X3372">
        <v>474.71717171717199</v>
      </c>
      <c r="Y3372">
        <v>0</v>
      </c>
      <c r="Z3372">
        <v>48.717171717171702</v>
      </c>
      <c r="AA3372">
        <v>2.2828282828282802</v>
      </c>
      <c r="AB3372">
        <v>4.5092592078828702</v>
      </c>
      <c r="AC3372">
        <v>6.4992457643928997E-2</v>
      </c>
      <c r="AD3372">
        <v>0.94630588917218506</v>
      </c>
      <c r="AE3372">
        <v>0.70290440320968595</v>
      </c>
      <c r="AF3372">
        <v>43.557239057239101</v>
      </c>
      <c r="AG3372">
        <f>IFERROR(AH3372*0.1, "N/A")</f>
        <v>5.3813131313131306</v>
      </c>
      <c r="AH3372">
        <v>53.813131313131301</v>
      </c>
      <c r="AI3372">
        <v>213.53605538827401</v>
      </c>
      <c r="AJ3372">
        <v>9.3400673400673409</v>
      </c>
      <c r="AK3372">
        <v>82.274410774410796</v>
      </c>
    </row>
    <row r="3373" spans="1:37" x14ac:dyDescent="0.3">
      <c r="A3373">
        <v>3372</v>
      </c>
      <c r="B3373">
        <v>42</v>
      </c>
      <c r="C3373">
        <v>-16.116699000000001</v>
      </c>
      <c r="D3373">
        <v>14.3</v>
      </c>
      <c r="E3373">
        <f>-16.116699-14.3</f>
        <v>-30.416699000000001</v>
      </c>
      <c r="F3373" t="s">
        <v>5464</v>
      </c>
      <c r="G3373" t="s">
        <v>39</v>
      </c>
      <c r="H3373">
        <v>2003</v>
      </c>
      <c r="I3373">
        <v>27.6331654911491</v>
      </c>
      <c r="J3373">
        <v>15.715488083836201</v>
      </c>
      <c r="K3373">
        <v>66</v>
      </c>
      <c r="L3373">
        <v>16.873265931100601</v>
      </c>
      <c r="M3373">
        <v>38.702693836456199</v>
      </c>
      <c r="N3373">
        <v>15.0872057198675</v>
      </c>
      <c r="O3373">
        <v>23.615488656040799</v>
      </c>
      <c r="P3373">
        <v>28.100000381469702</v>
      </c>
      <c r="Q3373">
        <v>27.448653002780699</v>
      </c>
      <c r="R3373">
        <v>29.399999618530298</v>
      </c>
      <c r="S3373">
        <v>25</v>
      </c>
      <c r="T3373">
        <v>593.04882154882102</v>
      </c>
      <c r="U3373">
        <v>199.385521885522</v>
      </c>
      <c r="V3373">
        <v>0</v>
      </c>
      <c r="W3373">
        <v>142.385521885522</v>
      </c>
      <c r="X3373">
        <v>502.385521885522</v>
      </c>
      <c r="Y3373">
        <v>0</v>
      </c>
      <c r="Z3373">
        <v>40.331649831649798</v>
      </c>
      <c r="AA3373">
        <v>2</v>
      </c>
      <c r="AB3373">
        <v>0.59292998458399904</v>
      </c>
      <c r="AC3373">
        <v>0.38579498578697102</v>
      </c>
      <c r="AD3373">
        <v>1.07916511610301</v>
      </c>
      <c r="AE3373">
        <v>0.73026702018699297</v>
      </c>
      <c r="AF3373">
        <v>29.841750841750802</v>
      </c>
      <c r="AG3373">
        <f>IFERROR(AH3373*0.1, "N/A")</f>
        <v>5.1525252525252503</v>
      </c>
      <c r="AH3373">
        <v>51.525252525252498</v>
      </c>
      <c r="AI3373">
        <v>178.610427856445</v>
      </c>
      <c r="AJ3373">
        <v>7.0084175084175104</v>
      </c>
      <c r="AK3373">
        <v>86.525252525252498</v>
      </c>
    </row>
    <row r="3374" spans="1:37" x14ac:dyDescent="0.3">
      <c r="A3374">
        <v>3373</v>
      </c>
      <c r="B3374">
        <v>88</v>
      </c>
      <c r="C3374">
        <v>-12.43</v>
      </c>
      <c r="D3374">
        <v>14.31</v>
      </c>
      <c r="E3374">
        <f>-12.43-14.31</f>
        <v>-26.740000000000002</v>
      </c>
      <c r="F3374" t="s">
        <v>5465</v>
      </c>
      <c r="G3374" t="s">
        <v>39</v>
      </c>
      <c r="H3374">
        <v>2003</v>
      </c>
      <c r="I3374">
        <v>28.399999618530298</v>
      </c>
      <c r="J3374">
        <v>14.199999809265099</v>
      </c>
      <c r="K3374">
        <v>59</v>
      </c>
      <c r="L3374">
        <v>24.209999084472699</v>
      </c>
      <c r="M3374">
        <v>40.099998474121101</v>
      </c>
      <c r="N3374">
        <v>16.100000381469702</v>
      </c>
      <c r="O3374">
        <v>24</v>
      </c>
      <c r="P3374">
        <v>27.299999237060501</v>
      </c>
      <c r="Q3374">
        <v>27.299999237060501</v>
      </c>
      <c r="R3374">
        <v>31.799999237060501</v>
      </c>
      <c r="S3374">
        <v>25.700000762939499</v>
      </c>
      <c r="T3374">
        <v>657</v>
      </c>
      <c r="U3374">
        <v>212</v>
      </c>
      <c r="V3374">
        <v>0</v>
      </c>
      <c r="W3374">
        <v>135</v>
      </c>
      <c r="X3374">
        <v>524</v>
      </c>
      <c r="Y3374">
        <v>0</v>
      </c>
      <c r="Z3374">
        <v>86</v>
      </c>
      <c r="AA3374">
        <v>0</v>
      </c>
      <c r="AB3374">
        <v>9.2732323412140598</v>
      </c>
      <c r="AC3374">
        <v>2.9160590132115E-2</v>
      </c>
      <c r="AD3374">
        <v>1.0426934388550799</v>
      </c>
      <c r="AE3374">
        <v>0.64032429456710804</v>
      </c>
      <c r="AF3374">
        <v>83.851851851851805</v>
      </c>
      <c r="AG3374">
        <f>IFERROR(AH3374*0.1, "N/A")</f>
        <v>6.0035353535353506</v>
      </c>
      <c r="AH3374">
        <v>60.035353535353501</v>
      </c>
      <c r="AI3374">
        <v>128.87360314006401</v>
      </c>
      <c r="AJ3374">
        <v>21.976430976431001</v>
      </c>
      <c r="AK3374">
        <v>56.023569023569003</v>
      </c>
    </row>
    <row r="3375" spans="1:37" x14ac:dyDescent="0.3">
      <c r="A3375">
        <v>3374</v>
      </c>
      <c r="B3375">
        <v>46</v>
      </c>
      <c r="C3375">
        <v>-16.609698999999999</v>
      </c>
      <c r="D3375">
        <v>14.313800000000001</v>
      </c>
      <c r="E3375">
        <f>-16.609699-14.3138</f>
        <v>-30.923499</v>
      </c>
      <c r="F3375" t="s">
        <v>5466</v>
      </c>
      <c r="G3375" t="s">
        <v>39</v>
      </c>
      <c r="H3375">
        <v>2003</v>
      </c>
      <c r="I3375">
        <v>26.700000762939499</v>
      </c>
      <c r="J3375">
        <v>14</v>
      </c>
      <c r="K3375">
        <v>68</v>
      </c>
      <c r="L3375">
        <v>15.8599996566772</v>
      </c>
      <c r="M3375">
        <v>35.599998474121101</v>
      </c>
      <c r="N3375">
        <v>15.1000003814697</v>
      </c>
      <c r="O3375">
        <v>20.5</v>
      </c>
      <c r="P3375">
        <v>27.600000381469702</v>
      </c>
      <c r="Q3375">
        <v>26.100000381469702</v>
      </c>
      <c r="R3375">
        <v>28.200000762939499</v>
      </c>
      <c r="S3375">
        <v>24.200000762939499</v>
      </c>
      <c r="T3375">
        <v>607</v>
      </c>
      <c r="U3375">
        <v>232</v>
      </c>
      <c r="V3375">
        <v>0</v>
      </c>
      <c r="W3375">
        <v>152</v>
      </c>
      <c r="X3375">
        <v>529</v>
      </c>
      <c r="Y3375">
        <v>0</v>
      </c>
      <c r="Z3375">
        <v>151</v>
      </c>
      <c r="AA3375">
        <v>2</v>
      </c>
      <c r="AB3375">
        <v>1.62929318167947</v>
      </c>
      <c r="AC3375">
        <v>8.8456633974260002E-3</v>
      </c>
      <c r="AD3375">
        <v>1.9967097130287399</v>
      </c>
      <c r="AE3375">
        <v>0.68222898244857799</v>
      </c>
      <c r="AF3375">
        <v>5.2727272727272698</v>
      </c>
      <c r="AG3375">
        <f>IFERROR(AH3375*0.1, "N/A")</f>
        <v>6.3447811447811402</v>
      </c>
      <c r="AH3375">
        <v>63.447811447811397</v>
      </c>
      <c r="AI3375">
        <v>151.600154799644</v>
      </c>
      <c r="AJ3375">
        <v>9</v>
      </c>
      <c r="AK3375">
        <v>82.447811447811503</v>
      </c>
    </row>
    <row r="3376" spans="1:37" x14ac:dyDescent="0.3">
      <c r="A3376">
        <v>3375</v>
      </c>
      <c r="B3376">
        <v>92</v>
      </c>
      <c r="C3376">
        <v>-15.78</v>
      </c>
      <c r="D3376">
        <v>14.33</v>
      </c>
      <c r="E3376">
        <f>-15.78-14.33</f>
        <v>-30.11</v>
      </c>
      <c r="F3376" t="s">
        <v>5467</v>
      </c>
      <c r="G3376" t="s">
        <v>39</v>
      </c>
      <c r="H3376">
        <v>2003</v>
      </c>
      <c r="I3376">
        <v>27.5</v>
      </c>
      <c r="J3376">
        <v>15.8999996185303</v>
      </c>
      <c r="K3376">
        <v>65</v>
      </c>
      <c r="L3376">
        <v>18.299999237060501</v>
      </c>
      <c r="M3376">
        <v>39.200000762939503</v>
      </c>
      <c r="N3376">
        <v>14.800000190734901</v>
      </c>
      <c r="O3376">
        <v>24.399999618530298</v>
      </c>
      <c r="P3376">
        <v>27.799999237060501</v>
      </c>
      <c r="Q3376">
        <v>27.5</v>
      </c>
      <c r="R3376">
        <v>29.600000381469702</v>
      </c>
      <c r="S3376">
        <v>24.700000762939499</v>
      </c>
      <c r="T3376">
        <v>576</v>
      </c>
      <c r="U3376">
        <v>190</v>
      </c>
      <c r="V3376">
        <v>0</v>
      </c>
      <c r="W3376">
        <v>138</v>
      </c>
      <c r="X3376">
        <v>480</v>
      </c>
      <c r="Y3376">
        <v>0</v>
      </c>
      <c r="Z3376">
        <v>44</v>
      </c>
      <c r="AA3376">
        <v>3</v>
      </c>
      <c r="AB3376">
        <v>4.2547137135207098</v>
      </c>
      <c r="AC3376">
        <v>0.24821890380409101</v>
      </c>
      <c r="AD3376">
        <v>1.36888243333258</v>
      </c>
      <c r="AE3376">
        <v>0.70291811227798495</v>
      </c>
      <c r="AF3376">
        <v>23.932659932659899</v>
      </c>
      <c r="AG3376">
        <f>IFERROR(AH3376*0.1, "N/A")</f>
        <v>5.4005050505050498</v>
      </c>
      <c r="AH3376">
        <v>54.005050505050498</v>
      </c>
      <c r="AI3376">
        <v>118.620270565303</v>
      </c>
      <c r="AJ3376">
        <v>7.9949494949494904</v>
      </c>
      <c r="AK3376">
        <v>82.994949494949495</v>
      </c>
    </row>
    <row r="3377" spans="1:37" x14ac:dyDescent="0.3">
      <c r="A3377">
        <v>3376</v>
      </c>
      <c r="B3377">
        <v>5</v>
      </c>
      <c r="C3377">
        <v>-15.9833</v>
      </c>
      <c r="D3377">
        <v>14.333299999999999</v>
      </c>
      <c r="E3377">
        <f>-15.9833-14.3333</f>
        <v>-30.316600000000001</v>
      </c>
      <c r="F3377" t="s">
        <v>5468</v>
      </c>
      <c r="G3377" t="s">
        <v>39</v>
      </c>
      <c r="H3377">
        <v>1996</v>
      </c>
      <c r="I3377">
        <v>27.700000762939499</v>
      </c>
      <c r="J3377">
        <v>15.9033497150619</v>
      </c>
      <c r="K3377">
        <v>65.033500837520904</v>
      </c>
      <c r="L3377">
        <v>17.428776640388801</v>
      </c>
      <c r="M3377">
        <v>39.099998474121101</v>
      </c>
      <c r="N3377">
        <v>15</v>
      </c>
      <c r="O3377">
        <v>24.100000381469702</v>
      </c>
      <c r="P3377">
        <v>28.100000381469702</v>
      </c>
      <c r="Q3377">
        <v>27.6118932241571</v>
      </c>
      <c r="R3377">
        <v>29.600000381469702</v>
      </c>
      <c r="S3377">
        <v>25</v>
      </c>
      <c r="T3377">
        <v>587.02847571189295</v>
      </c>
      <c r="U3377">
        <v>190</v>
      </c>
      <c r="V3377">
        <v>0</v>
      </c>
      <c r="W3377">
        <v>139.67001675041899</v>
      </c>
      <c r="X3377">
        <v>492.36348408710199</v>
      </c>
      <c r="Y3377">
        <v>1</v>
      </c>
      <c r="Z3377">
        <v>40.664991624790602</v>
      </c>
      <c r="AA3377">
        <v>4</v>
      </c>
      <c r="AB3377">
        <v>1.41825789382909</v>
      </c>
      <c r="AC3377">
        <v>0.86315653734283504</v>
      </c>
      <c r="AD3377">
        <v>1.1329234764603899</v>
      </c>
      <c r="AE3377">
        <v>0.71315478260193599</v>
      </c>
      <c r="AF3377">
        <v>20.711892797319901</v>
      </c>
      <c r="AG3377">
        <f>IFERROR(AH3377*0.1, "N/A")</f>
        <v>6.0467336683417106</v>
      </c>
      <c r="AH3377">
        <v>60.467336683417102</v>
      </c>
      <c r="AI3377">
        <v>252.071745487513</v>
      </c>
      <c r="AJ3377">
        <v>7.3299832495812396</v>
      </c>
      <c r="AK3377">
        <v>84.517587939698501</v>
      </c>
    </row>
    <row r="3378" spans="1:37" x14ac:dyDescent="0.3">
      <c r="A3378">
        <v>3377</v>
      </c>
      <c r="B3378">
        <v>0</v>
      </c>
      <c r="C3378">
        <v>-15.9833</v>
      </c>
      <c r="D3378">
        <v>14.333299999999999</v>
      </c>
      <c r="E3378">
        <f>-15.9833-14.3333</f>
        <v>-30.316600000000001</v>
      </c>
      <c r="F3378" t="s">
        <v>5469</v>
      </c>
      <c r="G3378" t="s">
        <v>37</v>
      </c>
      <c r="H3378">
        <v>1996</v>
      </c>
      <c r="I3378">
        <v>27.700000762939499</v>
      </c>
      <c r="J3378">
        <v>15.9033497150619</v>
      </c>
      <c r="K3378">
        <v>65.033500837520904</v>
      </c>
      <c r="L3378">
        <v>17.428776640388801</v>
      </c>
      <c r="M3378">
        <v>39.099998474121101</v>
      </c>
      <c r="N3378">
        <v>15</v>
      </c>
      <c r="O3378">
        <v>24.100000381469702</v>
      </c>
      <c r="P3378">
        <v>28.100000381469702</v>
      </c>
      <c r="Q3378">
        <v>27.6118932241571</v>
      </c>
      <c r="R3378">
        <v>29.600000381469702</v>
      </c>
      <c r="S3378">
        <v>25</v>
      </c>
      <c r="T3378">
        <v>587.02847571189295</v>
      </c>
      <c r="U3378">
        <v>190</v>
      </c>
      <c r="V3378">
        <v>0</v>
      </c>
      <c r="W3378">
        <v>139.67001675041899</v>
      </c>
      <c r="X3378">
        <v>492.36348408710199</v>
      </c>
      <c r="Y3378">
        <v>1</v>
      </c>
      <c r="Z3378">
        <v>40.664991624790602</v>
      </c>
      <c r="AA3378">
        <v>4</v>
      </c>
      <c r="AB3378">
        <v>1.41825789382909</v>
      </c>
      <c r="AC3378">
        <v>0.86315653734283504</v>
      </c>
      <c r="AD3378">
        <v>1.1329234764603899</v>
      </c>
      <c r="AE3378">
        <v>0.71315478260193599</v>
      </c>
      <c r="AF3378">
        <v>20.711892797319901</v>
      </c>
      <c r="AG3378">
        <f>IFERROR(AH3378*0.1, "N/A")</f>
        <v>6.0467336683417106</v>
      </c>
      <c r="AH3378">
        <v>60.467336683417102</v>
      </c>
      <c r="AI3378">
        <v>252.071745487513</v>
      </c>
      <c r="AJ3378">
        <v>7.3299832495812396</v>
      </c>
      <c r="AK3378">
        <v>84.517587939698501</v>
      </c>
    </row>
    <row r="3379" spans="1:37" x14ac:dyDescent="0.3">
      <c r="A3379">
        <v>3378</v>
      </c>
      <c r="B3379">
        <v>23.200001</v>
      </c>
      <c r="C3379">
        <v>-16.410999</v>
      </c>
      <c r="D3379">
        <v>14.3392</v>
      </c>
      <c r="E3379">
        <f>-16.410999-14.3392</f>
        <v>-30.750199000000002</v>
      </c>
      <c r="F3379" t="s">
        <v>5470</v>
      </c>
      <c r="G3379" t="s">
        <v>39</v>
      </c>
      <c r="H3379">
        <v>1958</v>
      </c>
      <c r="I3379">
        <v>27</v>
      </c>
      <c r="J3379">
        <v>15</v>
      </c>
      <c r="K3379">
        <v>67</v>
      </c>
      <c r="L3379">
        <v>16.75</v>
      </c>
      <c r="M3379">
        <v>37.099998474121101</v>
      </c>
      <c r="N3379">
        <v>14.800000190734901</v>
      </c>
      <c r="O3379">
        <v>22.299999237060501</v>
      </c>
      <c r="P3379">
        <v>27.700000762939499</v>
      </c>
      <c r="Q3379">
        <v>26.5</v>
      </c>
      <c r="R3379">
        <v>28.700000762939499</v>
      </c>
      <c r="S3379">
        <v>24.299999237060501</v>
      </c>
      <c r="T3379">
        <v>612</v>
      </c>
      <c r="U3379">
        <v>224</v>
      </c>
      <c r="V3379">
        <v>0</v>
      </c>
      <c r="W3379">
        <v>147</v>
      </c>
      <c r="X3379">
        <v>527</v>
      </c>
      <c r="Y3379">
        <v>0</v>
      </c>
      <c r="Z3379">
        <v>160</v>
      </c>
      <c r="AA3379">
        <v>2</v>
      </c>
      <c r="AB3379">
        <v>0.33596644000846798</v>
      </c>
      <c r="AC3379">
        <v>0.39853919462277398</v>
      </c>
      <c r="AD3379">
        <v>1.0803180425107</v>
      </c>
      <c r="AE3379">
        <v>0.89601683616638195</v>
      </c>
      <c r="AF3379">
        <v>2.95966386554622</v>
      </c>
      <c r="AG3379">
        <f>IFERROR(AH3379*0.1, "N/A")</f>
        <v>5.9828571428571404</v>
      </c>
      <c r="AH3379">
        <v>59.828571428571401</v>
      </c>
      <c r="AI3379">
        <v>265.32963590221198</v>
      </c>
      <c r="AJ3379">
        <v>11.220168067226901</v>
      </c>
      <c r="AK3379">
        <v>79.963025210083998</v>
      </c>
    </row>
    <row r="3380" spans="1:37" x14ac:dyDescent="0.3">
      <c r="A3380">
        <v>3379</v>
      </c>
      <c r="B3380">
        <v>3.9</v>
      </c>
      <c r="C3380">
        <v>-16.410999</v>
      </c>
      <c r="D3380">
        <v>14.3392</v>
      </c>
      <c r="E3380">
        <f>-16.410999-14.3392</f>
        <v>-30.750199000000002</v>
      </c>
      <c r="F3380" t="s">
        <v>5471</v>
      </c>
      <c r="G3380" t="s">
        <v>37</v>
      </c>
      <c r="H3380">
        <v>1958</v>
      </c>
      <c r="I3380">
        <v>27</v>
      </c>
      <c r="J3380">
        <v>15</v>
      </c>
      <c r="K3380">
        <v>67</v>
      </c>
      <c r="L3380">
        <v>16.75</v>
      </c>
      <c r="M3380">
        <v>37.099998474121101</v>
      </c>
      <c r="N3380">
        <v>14.800000190734901</v>
      </c>
      <c r="O3380">
        <v>22.299999237060501</v>
      </c>
      <c r="P3380">
        <v>27.700000762939499</v>
      </c>
      <c r="Q3380">
        <v>26.5</v>
      </c>
      <c r="R3380">
        <v>28.700000762939499</v>
      </c>
      <c r="S3380">
        <v>24.299999237060501</v>
      </c>
      <c r="T3380">
        <v>612</v>
      </c>
      <c r="U3380">
        <v>224</v>
      </c>
      <c r="V3380">
        <v>0</v>
      </c>
      <c r="W3380">
        <v>147</v>
      </c>
      <c r="X3380">
        <v>527</v>
      </c>
      <c r="Y3380">
        <v>0</v>
      </c>
      <c r="Z3380">
        <v>160</v>
      </c>
      <c r="AA3380">
        <v>2</v>
      </c>
      <c r="AB3380">
        <v>0.33596644000846798</v>
      </c>
      <c r="AC3380">
        <v>0.39853919462277398</v>
      </c>
      <c r="AD3380">
        <v>1.0803180425107</v>
      </c>
      <c r="AE3380">
        <v>0.89601683616638195</v>
      </c>
      <c r="AF3380">
        <v>2.95966386554622</v>
      </c>
      <c r="AG3380">
        <f>IFERROR(AH3380*0.1, "N/A")</f>
        <v>5.9828571428571404</v>
      </c>
      <c r="AH3380">
        <v>59.828571428571401</v>
      </c>
      <c r="AI3380">
        <v>265.32963590221198</v>
      </c>
      <c r="AJ3380">
        <v>11.220168067226901</v>
      </c>
      <c r="AK3380">
        <v>79.963025210083998</v>
      </c>
    </row>
    <row r="3381" spans="1:37" x14ac:dyDescent="0.3">
      <c r="A3381">
        <v>3380</v>
      </c>
      <c r="B3381">
        <v>32</v>
      </c>
      <c r="C3381">
        <v>-16.290001</v>
      </c>
      <c r="D3381">
        <v>14.34</v>
      </c>
      <c r="E3381">
        <f>-16.290001-14.34</f>
        <v>-30.630001</v>
      </c>
      <c r="F3381" t="s">
        <v>5472</v>
      </c>
      <c r="G3381" t="s">
        <v>39</v>
      </c>
      <c r="H3381">
        <v>2003</v>
      </c>
      <c r="I3381">
        <v>27.200000762939499</v>
      </c>
      <c r="J3381">
        <v>15.3999996185303</v>
      </c>
      <c r="K3381">
        <v>66</v>
      </c>
      <c r="L3381">
        <v>17.190000534057599</v>
      </c>
      <c r="M3381">
        <v>37.799999237060497</v>
      </c>
      <c r="N3381">
        <v>14.800000190734901</v>
      </c>
      <c r="O3381">
        <v>23</v>
      </c>
      <c r="P3381">
        <v>27.799999237060501</v>
      </c>
      <c r="Q3381">
        <v>26.899999618530298</v>
      </c>
      <c r="R3381">
        <v>28.899999618530298</v>
      </c>
      <c r="S3381">
        <v>24.399999618530298</v>
      </c>
      <c r="T3381">
        <v>589</v>
      </c>
      <c r="U3381">
        <v>208</v>
      </c>
      <c r="V3381">
        <v>0</v>
      </c>
      <c r="W3381">
        <v>145</v>
      </c>
      <c r="X3381">
        <v>505</v>
      </c>
      <c r="Y3381">
        <v>0</v>
      </c>
      <c r="Z3381">
        <v>160</v>
      </c>
      <c r="AA3381">
        <v>2</v>
      </c>
      <c r="AB3381">
        <v>1.3184876738476199</v>
      </c>
      <c r="AC3381">
        <v>8.5428259277543994E-2</v>
      </c>
      <c r="AD3381">
        <v>1.89655831481228</v>
      </c>
      <c r="AE3381">
        <v>0.68554031848907504</v>
      </c>
      <c r="AF3381">
        <v>17.310924369747902</v>
      </c>
      <c r="AG3381">
        <f>IFERROR(AH3381*0.1, "N/A")</f>
        <v>5.4927731092437</v>
      </c>
      <c r="AH3381">
        <v>54.927731092437</v>
      </c>
      <c r="AI3381">
        <v>189.720839505236</v>
      </c>
      <c r="AJ3381">
        <v>6.0134453781512596</v>
      </c>
      <c r="AK3381">
        <v>89.435294117647103</v>
      </c>
    </row>
    <row r="3382" spans="1:37" x14ac:dyDescent="0.3">
      <c r="A3382">
        <v>3381</v>
      </c>
      <c r="B3382">
        <v>26</v>
      </c>
      <c r="C3382">
        <v>-16.07</v>
      </c>
      <c r="D3382">
        <v>14.34</v>
      </c>
      <c r="E3382">
        <f>-16.07-14.34</f>
        <v>-30.41</v>
      </c>
      <c r="F3382" t="s">
        <v>5473</v>
      </c>
      <c r="G3382" t="s">
        <v>39</v>
      </c>
      <c r="H3382">
        <v>2003</v>
      </c>
      <c r="I3382">
        <v>27.600000381469702</v>
      </c>
      <c r="J3382">
        <v>15.8999996185303</v>
      </c>
      <c r="K3382">
        <v>66</v>
      </c>
      <c r="L3382">
        <v>17.2700004577637</v>
      </c>
      <c r="M3382">
        <v>38.900001525878899</v>
      </c>
      <c r="N3382">
        <v>15</v>
      </c>
      <c r="O3382">
        <v>23.899999618530298</v>
      </c>
      <c r="P3382">
        <v>28.100000381469702</v>
      </c>
      <c r="Q3382">
        <v>27.399999618530298</v>
      </c>
      <c r="R3382">
        <v>29.399999618530298</v>
      </c>
      <c r="S3382">
        <v>24.899999618530298</v>
      </c>
      <c r="T3382">
        <v>589</v>
      </c>
      <c r="U3382">
        <v>194</v>
      </c>
      <c r="V3382">
        <v>0</v>
      </c>
      <c r="W3382">
        <v>140</v>
      </c>
      <c r="X3382">
        <v>496</v>
      </c>
      <c r="Y3382">
        <v>1</v>
      </c>
      <c r="Z3382">
        <v>40</v>
      </c>
      <c r="AA3382">
        <v>4</v>
      </c>
      <c r="AB3382">
        <v>0.59932926677217402</v>
      </c>
      <c r="AC3382">
        <v>0.81469021098775696</v>
      </c>
      <c r="AD3382">
        <v>2.0590332926519799</v>
      </c>
      <c r="AE3382">
        <v>0.71313226222991899</v>
      </c>
      <c r="AF3382">
        <v>28.587248322147602</v>
      </c>
      <c r="AG3382">
        <f>IFERROR(AH3382*0.1, "N/A")</f>
        <v>5.6781879194630909</v>
      </c>
      <c r="AH3382">
        <v>56.781879194630903</v>
      </c>
      <c r="AI3382">
        <v>143.36284675694199</v>
      </c>
      <c r="AJ3382">
        <v>7.0016778523489904</v>
      </c>
      <c r="AK3382">
        <v>85.001677852349005</v>
      </c>
    </row>
    <row r="3383" spans="1:37" x14ac:dyDescent="0.3">
      <c r="A3383">
        <v>3382</v>
      </c>
      <c r="B3383">
        <v>44</v>
      </c>
      <c r="C3383">
        <v>-16.634701</v>
      </c>
      <c r="D3383">
        <v>14.3424</v>
      </c>
      <c r="E3383">
        <f>-16.634701-14.3424</f>
        <v>-30.977100999999998</v>
      </c>
      <c r="F3383" t="s">
        <v>5474</v>
      </c>
      <c r="G3383" t="s">
        <v>39</v>
      </c>
      <c r="H3383">
        <v>2003</v>
      </c>
      <c r="I3383">
        <v>26.600000381469702</v>
      </c>
      <c r="J3383">
        <v>13.8999996185303</v>
      </c>
      <c r="K3383">
        <v>68</v>
      </c>
      <c r="L3383">
        <v>15.7600002288818</v>
      </c>
      <c r="M3383">
        <v>35.400001525878899</v>
      </c>
      <c r="N3383">
        <v>15.1000003814697</v>
      </c>
      <c r="O3383">
        <v>20.299999237060501</v>
      </c>
      <c r="P3383">
        <v>27.5</v>
      </c>
      <c r="Q3383">
        <v>25.899999618530298</v>
      </c>
      <c r="R3383">
        <v>28.100000381469702</v>
      </c>
      <c r="S3383">
        <v>24.100000381469702</v>
      </c>
      <c r="T3383">
        <v>598</v>
      </c>
      <c r="U3383">
        <v>228</v>
      </c>
      <c r="V3383">
        <v>0</v>
      </c>
      <c r="W3383">
        <v>152</v>
      </c>
      <c r="X3383">
        <v>521</v>
      </c>
      <c r="Y3383">
        <v>0</v>
      </c>
      <c r="Z3383">
        <v>148</v>
      </c>
      <c r="AA3383">
        <v>2</v>
      </c>
      <c r="AB3383">
        <v>0.696806941312902</v>
      </c>
      <c r="AC3383">
        <v>0.21523686082986701</v>
      </c>
      <c r="AD3383">
        <v>2.3554177476578402</v>
      </c>
      <c r="AE3383">
        <v>0.68084866820263301</v>
      </c>
      <c r="AF3383">
        <v>9.5310924369747898</v>
      </c>
      <c r="AG3383">
        <f>IFERROR(AH3383*0.1, "N/A")</f>
        <v>6.1852100840336099</v>
      </c>
      <c r="AH3383">
        <v>61.852100840336099</v>
      </c>
      <c r="AI3383">
        <v>105.22590249005501</v>
      </c>
      <c r="AJ3383">
        <v>8.4319327731092404</v>
      </c>
      <c r="AK3383">
        <v>84.144537815126</v>
      </c>
    </row>
    <row r="3384" spans="1:37" x14ac:dyDescent="0.3">
      <c r="A3384">
        <v>3383</v>
      </c>
      <c r="B3384">
        <v>44</v>
      </c>
      <c r="C3384">
        <v>-16.093499999999999</v>
      </c>
      <c r="D3384">
        <v>14.348000000000001</v>
      </c>
      <c r="E3384">
        <f>-16.0935-14.348</f>
        <v>-30.441499999999998</v>
      </c>
      <c r="F3384" t="s">
        <v>5475</v>
      </c>
      <c r="G3384" t="s">
        <v>39</v>
      </c>
      <c r="H3384">
        <v>2003</v>
      </c>
      <c r="I3384">
        <v>27.600000381469702</v>
      </c>
      <c r="J3384">
        <v>15.8999996185303</v>
      </c>
      <c r="K3384">
        <v>66</v>
      </c>
      <c r="L3384">
        <v>17.139999389648398</v>
      </c>
      <c r="M3384">
        <v>38.799999237060497</v>
      </c>
      <c r="N3384">
        <v>15</v>
      </c>
      <c r="O3384">
        <v>23.799999237060501</v>
      </c>
      <c r="P3384">
        <v>28</v>
      </c>
      <c r="Q3384">
        <v>27.399999618530298</v>
      </c>
      <c r="R3384">
        <v>29.399999618530298</v>
      </c>
      <c r="S3384">
        <v>24.899999618530298</v>
      </c>
      <c r="T3384">
        <v>584</v>
      </c>
      <c r="U3384">
        <v>194</v>
      </c>
      <c r="V3384">
        <v>0</v>
      </c>
      <c r="W3384">
        <v>143</v>
      </c>
      <c r="X3384">
        <v>494</v>
      </c>
      <c r="Y3384">
        <v>0</v>
      </c>
      <c r="Z3384">
        <v>39</v>
      </c>
      <c r="AA3384">
        <v>3</v>
      </c>
      <c r="AB3384">
        <v>2.25520129171794</v>
      </c>
      <c r="AC3384">
        <v>1.6280730819055001E-2</v>
      </c>
      <c r="AD3384">
        <v>0.62755312975621103</v>
      </c>
      <c r="AE3384">
        <v>0.71456205844879195</v>
      </c>
      <c r="AF3384">
        <v>30.964765100671102</v>
      </c>
      <c r="AG3384">
        <f>IFERROR(AH3384*0.1, "N/A")</f>
        <v>6.1000000000000005</v>
      </c>
      <c r="AH3384">
        <v>61</v>
      </c>
      <c r="AI3384">
        <v>69.171148056952006</v>
      </c>
      <c r="AJ3384">
        <v>6</v>
      </c>
      <c r="AK3384">
        <v>87.974832214765101</v>
      </c>
    </row>
    <row r="3385" spans="1:37" x14ac:dyDescent="0.3">
      <c r="A3385">
        <v>3384</v>
      </c>
      <c r="B3385">
        <v>70</v>
      </c>
      <c r="C3385">
        <v>-12.39</v>
      </c>
      <c r="D3385">
        <v>14.35</v>
      </c>
      <c r="E3385">
        <f>-12.39-14.35</f>
        <v>-26.740000000000002</v>
      </c>
      <c r="F3385" t="s">
        <v>5476</v>
      </c>
      <c r="G3385" t="s">
        <v>39</v>
      </c>
      <c r="H3385">
        <v>2003</v>
      </c>
      <c r="I3385">
        <v>28.5</v>
      </c>
      <c r="J3385">
        <v>14.199999809265099</v>
      </c>
      <c r="K3385">
        <v>58.237855946398703</v>
      </c>
      <c r="L3385">
        <v>24.412428167397501</v>
      </c>
      <c r="M3385">
        <v>40.299999237060497</v>
      </c>
      <c r="N3385">
        <v>16.22378599464</v>
      </c>
      <c r="O3385">
        <v>24.076214696095001</v>
      </c>
      <c r="P3385">
        <v>27.5</v>
      </c>
      <c r="Q3385">
        <v>27.423785303904999</v>
      </c>
      <c r="R3385">
        <v>32</v>
      </c>
      <c r="S3385">
        <v>25.823784922435301</v>
      </c>
      <c r="T3385">
        <v>641.95142378559501</v>
      </c>
      <c r="U3385">
        <v>210</v>
      </c>
      <c r="V3385">
        <v>0</v>
      </c>
      <c r="W3385">
        <v>135</v>
      </c>
      <c r="X3385">
        <v>514.23785594639901</v>
      </c>
      <c r="Y3385">
        <v>0</v>
      </c>
      <c r="Z3385">
        <v>82.475711892797307</v>
      </c>
      <c r="AA3385">
        <v>0</v>
      </c>
      <c r="AB3385">
        <v>2.2313232677466099</v>
      </c>
      <c r="AC3385">
        <v>1.0257209805613E-2</v>
      </c>
      <c r="AD3385">
        <v>1.3450959825036499</v>
      </c>
      <c r="AE3385">
        <v>0.67742526531219505</v>
      </c>
      <c r="AF3385">
        <v>62.773869346733697</v>
      </c>
      <c r="AG3385">
        <f>IFERROR(AH3385*0.1, "N/A")</f>
        <v>6.3671691792294807</v>
      </c>
      <c r="AH3385">
        <v>63.671691792294801</v>
      </c>
      <c r="AI3385">
        <v>83.246840024912999</v>
      </c>
      <c r="AJ3385">
        <v>19.507537688442198</v>
      </c>
      <c r="AK3385">
        <v>61.328308207705199</v>
      </c>
    </row>
    <row r="3386" spans="1:37" x14ac:dyDescent="0.3">
      <c r="A3386">
        <v>3385</v>
      </c>
      <c r="B3386">
        <v>54</v>
      </c>
      <c r="C3386">
        <v>-16.533300000000001</v>
      </c>
      <c r="D3386">
        <v>14.35</v>
      </c>
      <c r="E3386">
        <f>-16.5333-14.35</f>
        <v>-30.883299999999998</v>
      </c>
      <c r="F3386" t="s">
        <v>5477</v>
      </c>
      <c r="G3386" t="s">
        <v>39</v>
      </c>
      <c r="H3386">
        <v>2003</v>
      </c>
      <c r="I3386">
        <v>26.816133752390101</v>
      </c>
      <c r="J3386">
        <v>14.5</v>
      </c>
      <c r="K3386">
        <v>68</v>
      </c>
      <c r="L3386">
        <v>16.0970425036775</v>
      </c>
      <c r="M3386">
        <v>36.200000762939503</v>
      </c>
      <c r="N3386">
        <v>14.8999996185303</v>
      </c>
      <c r="O3386">
        <v>21.299999237060501</v>
      </c>
      <c r="P3386">
        <v>27.700000762939499</v>
      </c>
      <c r="Q3386">
        <v>26.216134970528699</v>
      </c>
      <c r="R3386">
        <v>28.348906986653301</v>
      </c>
      <c r="S3386">
        <v>24.200000762939499</v>
      </c>
      <c r="T3386">
        <v>604.73277310924402</v>
      </c>
      <c r="U3386">
        <v>227.23697478991599</v>
      </c>
      <c r="V3386">
        <v>0</v>
      </c>
      <c r="W3386">
        <v>150</v>
      </c>
      <c r="X3386">
        <v>524.73277310924402</v>
      </c>
      <c r="Y3386">
        <v>0</v>
      </c>
      <c r="Z3386">
        <v>152.747899159664</v>
      </c>
      <c r="AA3386">
        <v>2</v>
      </c>
      <c r="AB3386">
        <v>2.2129410371059102</v>
      </c>
      <c r="AC3386">
        <v>8.3976837344659997E-3</v>
      </c>
      <c r="AD3386">
        <v>2.19735851568334</v>
      </c>
      <c r="AE3386">
        <v>0.69623661041259799</v>
      </c>
      <c r="AF3386">
        <v>6.3462184873949603</v>
      </c>
      <c r="AG3386">
        <f>IFERROR(AH3386*0.1, "N/A")</f>
        <v>5.7327731092437002</v>
      </c>
      <c r="AH3386">
        <v>57.327731092436998</v>
      </c>
      <c r="AI3386">
        <v>191.316515908121</v>
      </c>
      <c r="AJ3386">
        <v>11</v>
      </c>
      <c r="AK3386">
        <v>77.655462184873997</v>
      </c>
    </row>
    <row r="3387" spans="1:37" x14ac:dyDescent="0.3">
      <c r="A3387">
        <v>3386</v>
      </c>
      <c r="B3387">
        <v>38</v>
      </c>
      <c r="C3387">
        <v>-16.483298999999999</v>
      </c>
      <c r="D3387">
        <v>14.35</v>
      </c>
      <c r="E3387">
        <f>-16.483299-14.35</f>
        <v>-30.833298999999997</v>
      </c>
      <c r="F3387" t="s">
        <v>5478</v>
      </c>
      <c r="G3387" t="s">
        <v>39</v>
      </c>
      <c r="H3387">
        <v>2003</v>
      </c>
      <c r="I3387">
        <v>26.899999618530298</v>
      </c>
      <c r="J3387">
        <v>14.699999809265099</v>
      </c>
      <c r="K3387">
        <v>67.149328859060404</v>
      </c>
      <c r="L3387">
        <v>16.390905645869701</v>
      </c>
      <c r="M3387">
        <v>36.541106755301499</v>
      </c>
      <c r="N3387">
        <v>14.8238255577599</v>
      </c>
      <c r="O3387">
        <v>21.717282093611299</v>
      </c>
      <c r="P3387">
        <v>27.700000762939499</v>
      </c>
      <c r="Q3387">
        <v>26.356039719293602</v>
      </c>
      <c r="R3387">
        <v>28.485067057129498</v>
      </c>
      <c r="S3387">
        <v>24.2238259027468</v>
      </c>
      <c r="T3387">
        <v>607.32718120805396</v>
      </c>
      <c r="U3387">
        <v>226.23825503355701</v>
      </c>
      <c r="V3387">
        <v>0</v>
      </c>
      <c r="W3387">
        <v>150</v>
      </c>
      <c r="X3387">
        <v>525.32718120805396</v>
      </c>
      <c r="Y3387">
        <v>0</v>
      </c>
      <c r="Z3387">
        <v>155</v>
      </c>
      <c r="AA3387">
        <v>2</v>
      </c>
      <c r="AB3387">
        <v>1.89110745919631</v>
      </c>
      <c r="AC3387">
        <v>1.0357835391011001E-2</v>
      </c>
      <c r="AD3387">
        <v>1.23155097733408</v>
      </c>
      <c r="AE3387">
        <v>0.68149220943450906</v>
      </c>
      <c r="AF3387">
        <v>5.5922818791946298</v>
      </c>
      <c r="AG3387">
        <f>IFERROR(AH3387*0.1, "N/A")</f>
        <v>5.3233221476510106</v>
      </c>
      <c r="AH3387">
        <v>53.233221476510103</v>
      </c>
      <c r="AI3387">
        <v>112.972056932897</v>
      </c>
      <c r="AJ3387">
        <v>6.8221476510067101</v>
      </c>
      <c r="AK3387">
        <v>84.355704697986596</v>
      </c>
    </row>
    <row r="3388" spans="1:37" x14ac:dyDescent="0.3">
      <c r="A3388">
        <v>3387</v>
      </c>
      <c r="B3388">
        <v>26</v>
      </c>
      <c r="C3388">
        <v>-15.81</v>
      </c>
      <c r="D3388">
        <v>14.35</v>
      </c>
      <c r="E3388">
        <f>-15.81-14.35</f>
        <v>-30.16</v>
      </c>
      <c r="F3388" t="s">
        <v>5479</v>
      </c>
      <c r="G3388" t="s">
        <v>39</v>
      </c>
      <c r="H3388">
        <v>2003</v>
      </c>
      <c r="I3388">
        <v>27.476430886522301</v>
      </c>
      <c r="J3388">
        <v>16</v>
      </c>
      <c r="K3388">
        <v>65</v>
      </c>
      <c r="L3388">
        <v>18.059427062268998</v>
      </c>
      <c r="M3388">
        <v>39.099998474121101</v>
      </c>
      <c r="N3388">
        <v>14.800000190734901</v>
      </c>
      <c r="O3388">
        <v>24.299999237060501</v>
      </c>
      <c r="P3388">
        <v>27.799999237060501</v>
      </c>
      <c r="Q3388">
        <v>27.476430886522301</v>
      </c>
      <c r="R3388">
        <v>29.5</v>
      </c>
      <c r="S3388">
        <v>24.700000762939499</v>
      </c>
      <c r="T3388">
        <v>576</v>
      </c>
      <c r="U3388">
        <v>190</v>
      </c>
      <c r="V3388">
        <v>0</v>
      </c>
      <c r="W3388">
        <v>138</v>
      </c>
      <c r="X3388">
        <v>481</v>
      </c>
      <c r="Y3388">
        <v>0</v>
      </c>
      <c r="Z3388">
        <v>43</v>
      </c>
      <c r="AA3388">
        <v>3</v>
      </c>
      <c r="AB3388">
        <v>6.7461274336484101</v>
      </c>
      <c r="AC3388">
        <v>9.095368242073E-3</v>
      </c>
      <c r="AD3388">
        <v>0.66401057968838095</v>
      </c>
      <c r="AE3388">
        <v>0.70785969495773304</v>
      </c>
      <c r="AF3388">
        <v>40.028619528619501</v>
      </c>
      <c r="AG3388">
        <f>IFERROR(AH3388*0.1, "N/A")</f>
        <v>5.4203703703703709</v>
      </c>
      <c r="AH3388">
        <v>54.203703703703702</v>
      </c>
      <c r="AI3388">
        <v>120.239315007271</v>
      </c>
      <c r="AJ3388">
        <v>10</v>
      </c>
      <c r="AK3388">
        <v>83</v>
      </c>
    </row>
    <row r="3389" spans="1:37" x14ac:dyDescent="0.3">
      <c r="A3389">
        <v>3388</v>
      </c>
      <c r="B3389">
        <v>11.1</v>
      </c>
      <c r="C3389">
        <v>-12.248200000000001</v>
      </c>
      <c r="D3389">
        <v>14.3582</v>
      </c>
      <c r="E3389">
        <f>-12.2482-14.3582</f>
        <v>-26.606400000000001</v>
      </c>
      <c r="F3389" t="s">
        <v>5480</v>
      </c>
      <c r="G3389" t="s">
        <v>39</v>
      </c>
      <c r="H3389">
        <v>2004</v>
      </c>
      <c r="I3389">
        <v>28.899999618530298</v>
      </c>
      <c r="J3389">
        <v>14.300000190734901</v>
      </c>
      <c r="K3389">
        <v>59</v>
      </c>
      <c r="L3389">
        <v>24.608406614137198</v>
      </c>
      <c r="M3389">
        <v>40.684060800795599</v>
      </c>
      <c r="N3389">
        <v>16.4840603418798</v>
      </c>
      <c r="O3389">
        <v>24.200000762939499</v>
      </c>
      <c r="P3389">
        <v>27.799999237060501</v>
      </c>
      <c r="Q3389">
        <v>27.784059882964101</v>
      </c>
      <c r="R3389">
        <v>32.384061563735003</v>
      </c>
      <c r="S3389">
        <v>26.1840611048193</v>
      </c>
      <c r="T3389">
        <v>628.84060402684599</v>
      </c>
      <c r="U3389">
        <v>210</v>
      </c>
      <c r="V3389">
        <v>0</v>
      </c>
      <c r="W3389">
        <v>136</v>
      </c>
      <c r="X3389">
        <v>504</v>
      </c>
      <c r="Y3389">
        <v>0</v>
      </c>
      <c r="Z3389">
        <v>79.840604026845597</v>
      </c>
      <c r="AA3389">
        <v>0</v>
      </c>
      <c r="AB3389">
        <v>10.261912195474499</v>
      </c>
      <c r="AC3389">
        <v>8.3137808286350007E-3</v>
      </c>
      <c r="AD3389">
        <v>1.2588347906634301</v>
      </c>
      <c r="AE3389">
        <v>0.303586035966873</v>
      </c>
      <c r="AF3389">
        <v>36.454697986577202</v>
      </c>
      <c r="AG3389">
        <f>IFERROR(AH3389*0.1, "N/A")</f>
        <v>6.4855704697986596</v>
      </c>
      <c r="AH3389">
        <v>64.855704697986596</v>
      </c>
      <c r="AI3389">
        <v>149.03410871877</v>
      </c>
      <c r="AJ3389">
        <v>19.630872483221498</v>
      </c>
      <c r="AK3389">
        <v>61.258389261745002</v>
      </c>
    </row>
    <row r="3390" spans="1:37" x14ac:dyDescent="0.3">
      <c r="A3390">
        <v>3389</v>
      </c>
      <c r="B3390">
        <v>82</v>
      </c>
      <c r="C3390">
        <v>-16.6798</v>
      </c>
      <c r="D3390">
        <v>14.3652</v>
      </c>
      <c r="E3390">
        <f>-16.6798-14.3652</f>
        <v>-31.045000000000002</v>
      </c>
      <c r="F3390" t="s">
        <v>5481</v>
      </c>
      <c r="G3390" t="s">
        <v>39</v>
      </c>
      <c r="H3390">
        <v>2003</v>
      </c>
      <c r="I3390">
        <v>26.5</v>
      </c>
      <c r="J3390">
        <v>13.699999809265099</v>
      </c>
      <c r="K3390">
        <v>68</v>
      </c>
      <c r="L3390">
        <v>15.9899997711182</v>
      </c>
      <c r="M3390">
        <v>35.099998474121101</v>
      </c>
      <c r="N3390">
        <v>15</v>
      </c>
      <c r="O3390">
        <v>20.100000381469702</v>
      </c>
      <c r="P3390">
        <v>27.5</v>
      </c>
      <c r="Q3390">
        <v>25.799999237060501</v>
      </c>
      <c r="R3390">
        <v>28</v>
      </c>
      <c r="S3390">
        <v>24</v>
      </c>
      <c r="T3390">
        <v>592</v>
      </c>
      <c r="U3390">
        <v>227</v>
      </c>
      <c r="V3390">
        <v>0</v>
      </c>
      <c r="W3390">
        <v>152</v>
      </c>
      <c r="X3390">
        <v>517</v>
      </c>
      <c r="Y3390">
        <v>0</v>
      </c>
      <c r="Z3390">
        <v>145</v>
      </c>
      <c r="AA3390">
        <v>2</v>
      </c>
      <c r="AB3390">
        <v>3.6166388567756198</v>
      </c>
      <c r="AC3390">
        <v>1.0541667858092E-2</v>
      </c>
      <c r="AD3390">
        <v>1.7637481072369701</v>
      </c>
      <c r="AE3390">
        <v>0.68119370937347401</v>
      </c>
      <c r="AF3390">
        <v>18.690756302520999</v>
      </c>
      <c r="AG3390">
        <f>IFERROR(AH3390*0.1, "N/A")</f>
        <v>6.70705882352941</v>
      </c>
      <c r="AH3390">
        <v>67.070588235294096</v>
      </c>
      <c r="AI3390">
        <v>264.40142114462998</v>
      </c>
      <c r="AJ3390">
        <v>11.996638655462201</v>
      </c>
      <c r="AK3390">
        <v>82.9394957983193</v>
      </c>
    </row>
    <row r="3391" spans="1:37" x14ac:dyDescent="0.3">
      <c r="A3391">
        <v>3390</v>
      </c>
      <c r="B3391">
        <v>54</v>
      </c>
      <c r="C3391">
        <v>-16.450001</v>
      </c>
      <c r="D3391">
        <v>14.3667</v>
      </c>
      <c r="E3391">
        <f>-16.450001-14.3667</f>
        <v>-30.816701000000002</v>
      </c>
      <c r="F3391" t="s">
        <v>5482</v>
      </c>
      <c r="G3391" t="s">
        <v>39</v>
      </c>
      <c r="H3391">
        <v>2003</v>
      </c>
      <c r="I3391">
        <v>26.899999618530298</v>
      </c>
      <c r="J3391">
        <v>14.8999996185303</v>
      </c>
      <c r="K3391">
        <v>67</v>
      </c>
      <c r="L3391">
        <v>16.6237716739025</v>
      </c>
      <c r="M3391">
        <v>36.799999237060497</v>
      </c>
      <c r="N3391">
        <v>14.699999809265099</v>
      </c>
      <c r="O3391">
        <v>22.100000381469702</v>
      </c>
      <c r="P3391">
        <v>27.700000762939499</v>
      </c>
      <c r="Q3391">
        <v>26.399999618530298</v>
      </c>
      <c r="R3391">
        <v>28.529124690225999</v>
      </c>
      <c r="S3391">
        <v>24.246128005210799</v>
      </c>
      <c r="T3391">
        <v>604.76936026936005</v>
      </c>
      <c r="U3391">
        <v>223.530303030303</v>
      </c>
      <c r="V3391">
        <v>0</v>
      </c>
      <c r="W3391">
        <v>149</v>
      </c>
      <c r="X3391">
        <v>522.76936026936005</v>
      </c>
      <c r="Y3391">
        <v>0</v>
      </c>
      <c r="Z3391">
        <v>155.23905723905699</v>
      </c>
      <c r="AA3391">
        <v>2</v>
      </c>
      <c r="AB3391">
        <v>0.70185199490299899</v>
      </c>
      <c r="AC3391">
        <v>8.7110378384364001E-2</v>
      </c>
      <c r="AD3391">
        <v>1.66048523231789</v>
      </c>
      <c r="AE3391">
        <v>0.72739481564724096</v>
      </c>
      <c r="AF3391">
        <v>4.01683501683502</v>
      </c>
      <c r="AG3391">
        <f>IFERROR(AH3391*0.1, "N/A")</f>
        <v>5.58451178451178</v>
      </c>
      <c r="AH3391">
        <v>55.845117845117798</v>
      </c>
      <c r="AI3391">
        <v>152.267690099851</v>
      </c>
      <c r="AJ3391">
        <v>7.4612794612794602</v>
      </c>
      <c r="AK3391">
        <v>85.616161616161605</v>
      </c>
    </row>
    <row r="3392" spans="1:37" x14ac:dyDescent="0.3">
      <c r="A3392">
        <v>3391</v>
      </c>
      <c r="B3392">
        <v>7</v>
      </c>
      <c r="C3392">
        <v>-12.252000000000001</v>
      </c>
      <c r="D3392">
        <v>14.367000000000001</v>
      </c>
      <c r="E3392">
        <f>-12.252-14.367</f>
        <v>-26.619</v>
      </c>
      <c r="F3392" t="s">
        <v>5483</v>
      </c>
      <c r="G3392" t="s">
        <v>39</v>
      </c>
      <c r="H3392">
        <v>1987</v>
      </c>
      <c r="I3392">
        <v>28.828546643257098</v>
      </c>
      <c r="J3392">
        <v>14.300000190734901</v>
      </c>
      <c r="K3392">
        <v>59</v>
      </c>
      <c r="L3392">
        <v>24.614291249094801</v>
      </c>
      <c r="M3392">
        <v>40.599998474121101</v>
      </c>
      <c r="N3392">
        <v>16.399999618530298</v>
      </c>
      <c r="O3392">
        <v>24.200000762939499</v>
      </c>
      <c r="P3392">
        <v>27.799999237060501</v>
      </c>
      <c r="Q3392">
        <v>27.700000762939499</v>
      </c>
      <c r="R3392">
        <v>32.400001525878899</v>
      </c>
      <c r="S3392">
        <v>26.100000381469702</v>
      </c>
      <c r="T3392">
        <v>625.85641891891896</v>
      </c>
      <c r="U3392">
        <v>209.285472972973</v>
      </c>
      <c r="V3392">
        <v>0</v>
      </c>
      <c r="W3392">
        <v>135.285472972973</v>
      </c>
      <c r="X3392">
        <v>501.85641891891902</v>
      </c>
      <c r="Y3392">
        <v>0</v>
      </c>
      <c r="Z3392">
        <v>79</v>
      </c>
      <c r="AA3392">
        <v>0</v>
      </c>
      <c r="AB3392">
        <v>3.3675688344079102</v>
      </c>
      <c r="AC3392">
        <v>2.4800975191898E-2</v>
      </c>
      <c r="AD3392">
        <v>2.5413292042307001</v>
      </c>
      <c r="AE3392">
        <v>0.449141266982298</v>
      </c>
      <c r="AF3392">
        <v>31.456081081081098</v>
      </c>
      <c r="AG3392">
        <f>IFERROR(AH3392*0.1, "N/A")</f>
        <v>6.3263513513513505</v>
      </c>
      <c r="AH3392">
        <v>63.263513513513502</v>
      </c>
      <c r="AI3392">
        <v>75.531180272231197</v>
      </c>
      <c r="AJ3392">
        <v>16.385135135135101</v>
      </c>
      <c r="AK3392">
        <v>68.891891891891902</v>
      </c>
    </row>
    <row r="3393" spans="1:37" x14ac:dyDescent="0.3">
      <c r="A3393">
        <v>3392</v>
      </c>
      <c r="B3393">
        <v>42</v>
      </c>
      <c r="C3393">
        <v>-16.620199</v>
      </c>
      <c r="D3393">
        <v>14.3698</v>
      </c>
      <c r="E3393">
        <f>-16.620199-14.3698</f>
        <v>-30.989998999999997</v>
      </c>
      <c r="F3393" t="s">
        <v>5484</v>
      </c>
      <c r="G3393" t="s">
        <v>39</v>
      </c>
      <c r="H3393">
        <v>2003</v>
      </c>
      <c r="I3393">
        <v>26.700000762939499</v>
      </c>
      <c r="J3393">
        <v>14.1000003814697</v>
      </c>
      <c r="K3393">
        <v>68</v>
      </c>
      <c r="L3393">
        <v>15.819999694824199</v>
      </c>
      <c r="M3393">
        <v>35.599998474121101</v>
      </c>
      <c r="N3393">
        <v>15</v>
      </c>
      <c r="O3393">
        <v>20.600000381469702</v>
      </c>
      <c r="P3393">
        <v>27.700000762939499</v>
      </c>
      <c r="Q3393">
        <v>26</v>
      </c>
      <c r="R3393">
        <v>28.200000762939499</v>
      </c>
      <c r="S3393">
        <v>24.200000762939499</v>
      </c>
      <c r="T3393">
        <v>594</v>
      </c>
      <c r="U3393">
        <v>226</v>
      </c>
      <c r="V3393">
        <v>0</v>
      </c>
      <c r="W3393">
        <v>151</v>
      </c>
      <c r="X3393">
        <v>517</v>
      </c>
      <c r="Y3393">
        <v>0</v>
      </c>
      <c r="Z3393">
        <v>147</v>
      </c>
      <c r="AA3393">
        <v>2</v>
      </c>
      <c r="AB3393">
        <v>2.6578862891101198</v>
      </c>
      <c r="AC3393">
        <v>9.0501427434809996E-3</v>
      </c>
      <c r="AD3393">
        <v>0.91086753892818595</v>
      </c>
      <c r="AE3393">
        <v>0.69555681903890298</v>
      </c>
      <c r="AF3393">
        <v>9.6711409395973096</v>
      </c>
      <c r="AG3393">
        <f>IFERROR(AH3393*0.1, "N/A")</f>
        <v>5.6491610738254998</v>
      </c>
      <c r="AH3393">
        <v>56.491610738254998</v>
      </c>
      <c r="AI3393">
        <v>93.642520264491097</v>
      </c>
      <c r="AJ3393">
        <v>7.9697986577181199</v>
      </c>
      <c r="AK3393">
        <v>84.880872483221495</v>
      </c>
    </row>
    <row r="3394" spans="1:37" x14ac:dyDescent="0.3">
      <c r="A3394">
        <v>3393</v>
      </c>
      <c r="B3394">
        <v>38</v>
      </c>
      <c r="C3394">
        <v>-16.049999</v>
      </c>
      <c r="D3394">
        <v>14.3833</v>
      </c>
      <c r="E3394">
        <f>-16.049999-14.3833</f>
        <v>-30.433298999999998</v>
      </c>
      <c r="F3394" t="s">
        <v>5485</v>
      </c>
      <c r="G3394" t="s">
        <v>39</v>
      </c>
      <c r="H3394">
        <v>2003</v>
      </c>
      <c r="I3394">
        <v>27.600000381469702</v>
      </c>
      <c r="J3394">
        <v>15.8999996185303</v>
      </c>
      <c r="K3394">
        <v>65.868686868686893</v>
      </c>
      <c r="L3394">
        <v>17.561481707023901</v>
      </c>
      <c r="M3394">
        <v>38.900001525878899</v>
      </c>
      <c r="N3394">
        <v>14.8925923080958</v>
      </c>
      <c r="O3394">
        <v>24.007407435664401</v>
      </c>
      <c r="P3394">
        <v>28.100000381469702</v>
      </c>
      <c r="Q3394">
        <v>27.373568541273102</v>
      </c>
      <c r="R3394">
        <v>29.399999618530298</v>
      </c>
      <c r="S3394">
        <v>24.805723164619401</v>
      </c>
      <c r="T3394">
        <v>576.45117845117795</v>
      </c>
      <c r="U3394">
        <v>189.45286195286201</v>
      </c>
      <c r="V3394">
        <v>0</v>
      </c>
      <c r="W3394">
        <v>140.057239057239</v>
      </c>
      <c r="X3394">
        <v>486.64141414141397</v>
      </c>
      <c r="Y3394">
        <v>0.67845117845117897</v>
      </c>
      <c r="Z3394">
        <v>39</v>
      </c>
      <c r="AA3394">
        <v>2.8097643097643101</v>
      </c>
      <c r="AB3394">
        <v>1.0845104307438</v>
      </c>
      <c r="AC3394">
        <v>0.187848641847571</v>
      </c>
      <c r="AD3394">
        <v>1.54050110526358</v>
      </c>
      <c r="AE3394">
        <v>0.71149939298629805</v>
      </c>
      <c r="AF3394">
        <v>33.700336700336699</v>
      </c>
      <c r="AG3394">
        <f>IFERROR(AH3394*0.1, "N/A")</f>
        <v>5.7585858585858603</v>
      </c>
      <c r="AH3394">
        <v>57.585858585858603</v>
      </c>
      <c r="AI3394">
        <v>158.030519247858</v>
      </c>
      <c r="AJ3394">
        <v>8.6212121212121193</v>
      </c>
      <c r="AK3394">
        <v>84.569023569023599</v>
      </c>
    </row>
    <row r="3395" spans="1:37" x14ac:dyDescent="0.3">
      <c r="A3395">
        <v>3394</v>
      </c>
      <c r="B3395">
        <v>56.299999</v>
      </c>
      <c r="C3395">
        <v>-12.371</v>
      </c>
      <c r="D3395">
        <v>14.388199999999999</v>
      </c>
      <c r="E3395">
        <f>-12.371-14.3882</f>
        <v>-26.7592</v>
      </c>
      <c r="F3395" t="s">
        <v>5486</v>
      </c>
      <c r="G3395" t="s">
        <v>39</v>
      </c>
      <c r="H3395">
        <v>1996</v>
      </c>
      <c r="I3395">
        <v>28.5</v>
      </c>
      <c r="J3395">
        <v>14.300000190734901</v>
      </c>
      <c r="K3395">
        <v>59</v>
      </c>
      <c r="L3395">
        <v>24.149999618530298</v>
      </c>
      <c r="M3395">
        <v>40.299999237060497</v>
      </c>
      <c r="N3395">
        <v>16.200000762939499</v>
      </c>
      <c r="O3395">
        <v>24.100000381469702</v>
      </c>
      <c r="P3395">
        <v>27.5</v>
      </c>
      <c r="Q3395">
        <v>27.5</v>
      </c>
      <c r="R3395">
        <v>32</v>
      </c>
      <c r="S3395">
        <v>25.899999618530298</v>
      </c>
      <c r="T3395">
        <v>633</v>
      </c>
      <c r="U3395">
        <v>208</v>
      </c>
      <c r="V3395">
        <v>0</v>
      </c>
      <c r="W3395">
        <v>136</v>
      </c>
      <c r="X3395">
        <v>507</v>
      </c>
      <c r="Y3395">
        <v>0</v>
      </c>
      <c r="Z3395">
        <v>81</v>
      </c>
      <c r="AA3395">
        <v>0</v>
      </c>
      <c r="AB3395">
        <v>3.2968225829976099</v>
      </c>
      <c r="AC3395">
        <v>1.9673172043431001E-2</v>
      </c>
      <c r="AD3395">
        <v>1.3057497991965401</v>
      </c>
      <c r="AE3395">
        <v>0.63694294718994304</v>
      </c>
      <c r="AF3395">
        <v>59.531772575250798</v>
      </c>
      <c r="AG3395">
        <f>IFERROR(AH3395*0.1, "N/A")</f>
        <v>6.1531772575250798</v>
      </c>
      <c r="AH3395">
        <v>61.531772575250798</v>
      </c>
      <c r="AI3395">
        <v>197.90963136232801</v>
      </c>
      <c r="AJ3395">
        <v>14.688963210702299</v>
      </c>
      <c r="AK3395">
        <v>67.936454849498304</v>
      </c>
    </row>
    <row r="3396" spans="1:37" x14ac:dyDescent="0.3">
      <c r="A3396">
        <v>3395</v>
      </c>
      <c r="B3396">
        <v>0</v>
      </c>
      <c r="C3396">
        <v>-12.371</v>
      </c>
      <c r="D3396">
        <v>14.388199999999999</v>
      </c>
      <c r="E3396">
        <f>-12.371-14.3882</f>
        <v>-26.7592</v>
      </c>
      <c r="F3396" t="s">
        <v>5487</v>
      </c>
      <c r="G3396" t="s">
        <v>37</v>
      </c>
      <c r="H3396">
        <v>1996</v>
      </c>
      <c r="I3396">
        <v>28.5</v>
      </c>
      <c r="J3396">
        <v>14.300000190734901</v>
      </c>
      <c r="K3396">
        <v>59</v>
      </c>
      <c r="L3396">
        <v>24.149999618530298</v>
      </c>
      <c r="M3396">
        <v>40.299999237060497</v>
      </c>
      <c r="N3396">
        <v>16.200000762939499</v>
      </c>
      <c r="O3396">
        <v>24.100000381469702</v>
      </c>
      <c r="P3396">
        <v>27.5</v>
      </c>
      <c r="Q3396">
        <v>27.5</v>
      </c>
      <c r="R3396">
        <v>32</v>
      </c>
      <c r="S3396">
        <v>25.899999618530298</v>
      </c>
      <c r="T3396">
        <v>633</v>
      </c>
      <c r="U3396">
        <v>208</v>
      </c>
      <c r="V3396">
        <v>0</v>
      </c>
      <c r="W3396">
        <v>136</v>
      </c>
      <c r="X3396">
        <v>507</v>
      </c>
      <c r="Y3396">
        <v>0</v>
      </c>
      <c r="Z3396">
        <v>81</v>
      </c>
      <c r="AA3396">
        <v>0</v>
      </c>
      <c r="AB3396">
        <v>3.2968225829976099</v>
      </c>
      <c r="AC3396">
        <v>1.9673172043431001E-2</v>
      </c>
      <c r="AD3396">
        <v>1.3057497991965401</v>
      </c>
      <c r="AE3396">
        <v>0.63694294718994304</v>
      </c>
      <c r="AF3396">
        <v>59.531772575250798</v>
      </c>
      <c r="AG3396">
        <f>IFERROR(AH3396*0.1, "N/A")</f>
        <v>6.1531772575250798</v>
      </c>
      <c r="AH3396">
        <v>61.531772575250798</v>
      </c>
      <c r="AI3396">
        <v>197.90963136232801</v>
      </c>
      <c r="AJ3396">
        <v>14.688963210702299</v>
      </c>
      <c r="AK3396">
        <v>67.936454849498304</v>
      </c>
    </row>
    <row r="3397" spans="1:37" x14ac:dyDescent="0.3">
      <c r="A3397">
        <v>3396</v>
      </c>
      <c r="B3397">
        <v>36</v>
      </c>
      <c r="C3397">
        <v>-16.416699999999999</v>
      </c>
      <c r="D3397">
        <v>14.4</v>
      </c>
      <c r="E3397">
        <f>-16.4167-14.4</f>
        <v>-30.816699999999997</v>
      </c>
      <c r="F3397" t="s">
        <v>5488</v>
      </c>
      <c r="G3397" t="s">
        <v>39</v>
      </c>
      <c r="H3397">
        <v>2003</v>
      </c>
      <c r="I3397">
        <v>27</v>
      </c>
      <c r="J3397">
        <v>15.127805917506601</v>
      </c>
      <c r="K3397">
        <v>67</v>
      </c>
      <c r="L3397">
        <v>16.7717755603631</v>
      </c>
      <c r="M3397">
        <v>37.152260976820102</v>
      </c>
      <c r="N3397">
        <v>14.747906189667701</v>
      </c>
      <c r="O3397">
        <v>22.404354744021401</v>
      </c>
      <c r="P3397">
        <v>27.799999237060501</v>
      </c>
      <c r="Q3397">
        <v>26.5</v>
      </c>
      <c r="R3397">
        <v>28.624456086150801</v>
      </c>
      <c r="S3397">
        <v>24.299999237060501</v>
      </c>
      <c r="T3397">
        <v>594.69011725293103</v>
      </c>
      <c r="U3397">
        <v>218.72194304857601</v>
      </c>
      <c r="V3397">
        <v>0</v>
      </c>
      <c r="W3397">
        <v>149</v>
      </c>
      <c r="X3397">
        <v>514.445561139029</v>
      </c>
      <c r="Y3397">
        <v>0</v>
      </c>
      <c r="Z3397">
        <v>153.244556113903</v>
      </c>
      <c r="AA3397">
        <v>2</v>
      </c>
      <c r="AB3397">
        <v>0.34170856587651199</v>
      </c>
      <c r="AC3397">
        <v>0.32638045771038099</v>
      </c>
      <c r="AD3397">
        <v>0.71472908993262496</v>
      </c>
      <c r="AE3397">
        <v>0.681707203388214</v>
      </c>
      <c r="AF3397">
        <v>2.0100502512562799</v>
      </c>
      <c r="AG3397">
        <f>IFERROR(AH3397*0.1, "N/A")</f>
        <v>5.7045226130653299</v>
      </c>
      <c r="AH3397">
        <v>57.045226130653298</v>
      </c>
      <c r="AI3397">
        <v>308.29868775436398</v>
      </c>
      <c r="AJ3397">
        <v>9.5226130653266292</v>
      </c>
      <c r="AK3397">
        <v>80.954773869346695</v>
      </c>
    </row>
    <row r="3398" spans="1:37" x14ac:dyDescent="0.3">
      <c r="A3398">
        <v>3397</v>
      </c>
      <c r="B3398">
        <v>54</v>
      </c>
      <c r="C3398">
        <v>-16.100000000000001</v>
      </c>
      <c r="D3398">
        <v>14.4</v>
      </c>
      <c r="E3398">
        <f>-16.1-14.4</f>
        <v>-30.5</v>
      </c>
      <c r="F3398" t="s">
        <v>5489</v>
      </c>
      <c r="G3398" t="s">
        <v>39</v>
      </c>
      <c r="H3398">
        <v>2003</v>
      </c>
      <c r="I3398">
        <v>27.557525303052799</v>
      </c>
      <c r="J3398">
        <v>15.8999996185303</v>
      </c>
      <c r="K3398">
        <v>66</v>
      </c>
      <c r="L3398">
        <v>17.786890167057699</v>
      </c>
      <c r="M3398">
        <v>38.799999237060497</v>
      </c>
      <c r="N3398">
        <v>14.8999996185303</v>
      </c>
      <c r="O3398">
        <v>23.899999618530298</v>
      </c>
      <c r="P3398">
        <v>28.100000381469702</v>
      </c>
      <c r="Q3398">
        <v>27.299999237060501</v>
      </c>
      <c r="R3398">
        <v>29.399999618530298</v>
      </c>
      <c r="S3398">
        <v>24.757524968788399</v>
      </c>
      <c r="T3398">
        <v>573.75250836120404</v>
      </c>
      <c r="U3398">
        <v>191.37625418060199</v>
      </c>
      <c r="V3398">
        <v>0</v>
      </c>
      <c r="W3398">
        <v>143.37625418060199</v>
      </c>
      <c r="X3398">
        <v>486.75250836120398</v>
      </c>
      <c r="Y3398">
        <v>0</v>
      </c>
      <c r="Z3398">
        <v>38</v>
      </c>
      <c r="AA3398">
        <v>2</v>
      </c>
      <c r="AB3398">
        <v>0.74280963374619502</v>
      </c>
      <c r="AC3398">
        <v>3.5326364588765001E-2</v>
      </c>
      <c r="AD3398">
        <v>0.94620181056966801</v>
      </c>
      <c r="AE3398">
        <v>0.71354424953460704</v>
      </c>
      <c r="AF3398">
        <v>30.730769230769202</v>
      </c>
      <c r="AG3398">
        <f>IFERROR(AH3398*0.1, "N/A")</f>
        <v>5.8198996655518407</v>
      </c>
      <c r="AH3398">
        <v>58.1989966555184</v>
      </c>
      <c r="AI3398">
        <v>111.17175268728199</v>
      </c>
      <c r="AJ3398">
        <v>6.3979933110367897</v>
      </c>
      <c r="AK3398">
        <v>82.602006688963201</v>
      </c>
    </row>
    <row r="3399" spans="1:37" x14ac:dyDescent="0.3">
      <c r="A3399">
        <v>3398</v>
      </c>
      <c r="B3399">
        <v>38</v>
      </c>
      <c r="C3399">
        <v>-16.059999000000001</v>
      </c>
      <c r="D3399">
        <v>14.4</v>
      </c>
      <c r="E3399">
        <f>-16.059999-14.4</f>
        <v>-30.459999000000003</v>
      </c>
      <c r="F3399" t="s">
        <v>5490</v>
      </c>
      <c r="G3399" t="s">
        <v>39</v>
      </c>
      <c r="H3399">
        <v>2003</v>
      </c>
      <c r="I3399">
        <v>27.600000381469702</v>
      </c>
      <c r="J3399">
        <v>15.952093619597401</v>
      </c>
      <c r="K3399">
        <v>66</v>
      </c>
      <c r="L3399">
        <v>17.777302813889399</v>
      </c>
      <c r="M3399">
        <v>38.900001525878899</v>
      </c>
      <c r="N3399">
        <v>14.8999996185303</v>
      </c>
      <c r="O3399">
        <v>24</v>
      </c>
      <c r="P3399">
        <v>28.100000381469702</v>
      </c>
      <c r="Q3399">
        <v>27.347905617463098</v>
      </c>
      <c r="R3399">
        <v>29.5</v>
      </c>
      <c r="S3399">
        <v>24.799999237060501</v>
      </c>
      <c r="T3399">
        <v>571.95812395309895</v>
      </c>
      <c r="U3399">
        <v>189.47906197654899</v>
      </c>
      <c r="V3399">
        <v>0</v>
      </c>
      <c r="W3399">
        <v>143</v>
      </c>
      <c r="X3399">
        <v>484.958123953099</v>
      </c>
      <c r="Y3399">
        <v>0</v>
      </c>
      <c r="Z3399">
        <v>38</v>
      </c>
      <c r="AA3399">
        <v>2</v>
      </c>
      <c r="AB3399">
        <v>7.5543753465815003E-2</v>
      </c>
      <c r="AC3399">
        <v>1.8280752695101601</v>
      </c>
      <c r="AD3399">
        <v>1.2918220125450799</v>
      </c>
      <c r="AE3399">
        <v>0.71049451828002896</v>
      </c>
      <c r="AF3399">
        <v>28.5276381909548</v>
      </c>
      <c r="AG3399">
        <f>IFERROR(AH3399*0.1, "N/A")</f>
        <v>5.3000000000000007</v>
      </c>
      <c r="AH3399">
        <v>53</v>
      </c>
      <c r="AI3399">
        <v>66.730023216362596</v>
      </c>
      <c r="AJ3399">
        <v>8.4204355108877706</v>
      </c>
      <c r="AK3399">
        <v>83.840871021775598</v>
      </c>
    </row>
    <row r="3400" spans="1:37" x14ac:dyDescent="0.3">
      <c r="A3400">
        <v>3399</v>
      </c>
      <c r="B3400">
        <v>93.099997999999999</v>
      </c>
      <c r="C3400">
        <v>-12.3009</v>
      </c>
      <c r="D3400">
        <v>14.414300000000001</v>
      </c>
      <c r="E3400">
        <f>-12.3009-14.4143</f>
        <v>-26.715200000000003</v>
      </c>
      <c r="F3400" t="s">
        <v>5491</v>
      </c>
      <c r="G3400" t="s">
        <v>39</v>
      </c>
      <c r="H3400">
        <v>1996</v>
      </c>
      <c r="I3400">
        <v>28.700000762939499</v>
      </c>
      <c r="J3400">
        <v>14.300000190734901</v>
      </c>
      <c r="K3400">
        <v>59</v>
      </c>
      <c r="L3400">
        <v>24.4799995422363</v>
      </c>
      <c r="M3400">
        <v>40.400001525878899</v>
      </c>
      <c r="N3400">
        <v>16.200000762939499</v>
      </c>
      <c r="O3400">
        <v>24.200000762939499</v>
      </c>
      <c r="P3400">
        <v>27.700000762939499</v>
      </c>
      <c r="Q3400">
        <v>27.600000381469702</v>
      </c>
      <c r="R3400">
        <v>32.200000762939503</v>
      </c>
      <c r="S3400">
        <v>25.899999618530298</v>
      </c>
      <c r="T3400">
        <v>620</v>
      </c>
      <c r="U3400">
        <v>207</v>
      </c>
      <c r="V3400">
        <v>0</v>
      </c>
      <c r="W3400">
        <v>136</v>
      </c>
      <c r="X3400">
        <v>498</v>
      </c>
      <c r="Y3400">
        <v>0</v>
      </c>
      <c r="Z3400">
        <v>78</v>
      </c>
      <c r="AA3400">
        <v>0</v>
      </c>
      <c r="AB3400">
        <v>2.7420142678653501</v>
      </c>
      <c r="AC3400">
        <v>1.9783922112663999E-2</v>
      </c>
      <c r="AD3400">
        <v>1.68475605980689</v>
      </c>
      <c r="AE3400">
        <v>0.67652729819802704</v>
      </c>
      <c r="AF3400">
        <v>48.875630252100798</v>
      </c>
      <c r="AG3400">
        <f>IFERROR(AH3400*0.1, "N/A")</f>
        <v>6.4</v>
      </c>
      <c r="AH3400">
        <v>64</v>
      </c>
      <c r="AI3400">
        <v>230.806263155897</v>
      </c>
      <c r="AJ3400">
        <v>14</v>
      </c>
      <c r="AK3400">
        <v>68</v>
      </c>
    </row>
    <row r="3401" spans="1:37" x14ac:dyDescent="0.3">
      <c r="A3401">
        <v>3400</v>
      </c>
      <c r="B3401">
        <v>0</v>
      </c>
      <c r="C3401">
        <v>-12.3009</v>
      </c>
      <c r="D3401">
        <v>14.414300000000001</v>
      </c>
      <c r="E3401">
        <f>-12.3009-14.4143</f>
        <v>-26.715200000000003</v>
      </c>
      <c r="F3401" t="s">
        <v>5492</v>
      </c>
      <c r="G3401" t="s">
        <v>37</v>
      </c>
      <c r="H3401">
        <v>1996</v>
      </c>
      <c r="I3401">
        <v>28.700000762939499</v>
      </c>
      <c r="J3401">
        <v>14.300000190734901</v>
      </c>
      <c r="K3401">
        <v>59</v>
      </c>
      <c r="L3401">
        <v>24.4799995422363</v>
      </c>
      <c r="M3401">
        <v>40.400001525878899</v>
      </c>
      <c r="N3401">
        <v>16.200000762939499</v>
      </c>
      <c r="O3401">
        <v>24.200000762939499</v>
      </c>
      <c r="P3401">
        <v>27.700000762939499</v>
      </c>
      <c r="Q3401">
        <v>27.600000381469702</v>
      </c>
      <c r="R3401">
        <v>32.200000762939503</v>
      </c>
      <c r="S3401">
        <v>25.899999618530298</v>
      </c>
      <c r="T3401">
        <v>620</v>
      </c>
      <c r="U3401">
        <v>207</v>
      </c>
      <c r="V3401">
        <v>0</v>
      </c>
      <c r="W3401">
        <v>136</v>
      </c>
      <c r="X3401">
        <v>498</v>
      </c>
      <c r="Y3401">
        <v>0</v>
      </c>
      <c r="Z3401">
        <v>78</v>
      </c>
      <c r="AA3401">
        <v>0</v>
      </c>
      <c r="AB3401">
        <v>2.7420142678653501</v>
      </c>
      <c r="AC3401">
        <v>1.9783922112663999E-2</v>
      </c>
      <c r="AD3401">
        <v>1.68475605980689</v>
      </c>
      <c r="AE3401">
        <v>0.67652729819802704</v>
      </c>
      <c r="AF3401">
        <v>48.875630252100798</v>
      </c>
      <c r="AG3401">
        <f>IFERROR(AH3401*0.1, "N/A")</f>
        <v>6.4</v>
      </c>
      <c r="AH3401">
        <v>64</v>
      </c>
      <c r="AI3401">
        <v>230.806263155897</v>
      </c>
      <c r="AJ3401">
        <v>14</v>
      </c>
      <c r="AK3401">
        <v>68</v>
      </c>
    </row>
    <row r="3402" spans="1:37" x14ac:dyDescent="0.3">
      <c r="A3402">
        <v>3401</v>
      </c>
      <c r="B3402">
        <v>38</v>
      </c>
      <c r="C3402">
        <v>-16.216699999999999</v>
      </c>
      <c r="D3402">
        <v>14.416700000000001</v>
      </c>
      <c r="E3402">
        <f>-16.2167-14.4167</f>
        <v>-30.633400000000002</v>
      </c>
      <c r="F3402" t="s">
        <v>5493</v>
      </c>
      <c r="G3402" t="s">
        <v>39</v>
      </c>
      <c r="H3402">
        <v>2003</v>
      </c>
      <c r="I3402">
        <v>27.419831626956199</v>
      </c>
      <c r="J3402">
        <v>15.7430251834773</v>
      </c>
      <c r="K3402">
        <v>66</v>
      </c>
      <c r="L3402">
        <v>17.488403628052801</v>
      </c>
      <c r="M3402">
        <v>38.425715419224296</v>
      </c>
      <c r="N3402">
        <v>14.8198320100287</v>
      </c>
      <c r="O3402">
        <v>23.605882756850299</v>
      </c>
      <c r="P3402">
        <v>28.023193365786302</v>
      </c>
      <c r="Q3402">
        <v>27.100000381469702</v>
      </c>
      <c r="R3402">
        <v>29.143025755681901</v>
      </c>
      <c r="S3402">
        <v>24.700000762939499</v>
      </c>
      <c r="T3402">
        <v>575.709243697479</v>
      </c>
      <c r="U3402">
        <v>198.941176470588</v>
      </c>
      <c r="V3402">
        <v>0</v>
      </c>
      <c r="W3402">
        <v>143.69579831932799</v>
      </c>
      <c r="X3402">
        <v>491.709243697479</v>
      </c>
      <c r="Y3402">
        <v>0</v>
      </c>
      <c r="Z3402">
        <v>159.82689075630299</v>
      </c>
      <c r="AA3402">
        <v>2</v>
      </c>
      <c r="AB3402">
        <v>0.41747938364493697</v>
      </c>
      <c r="AC3402">
        <v>0.114509870888305</v>
      </c>
      <c r="AD3402">
        <v>1.5974386812258199</v>
      </c>
      <c r="AE3402">
        <v>0.70499690430504902</v>
      </c>
      <c r="AF3402">
        <v>14.309243697478999</v>
      </c>
      <c r="AG3402">
        <f>IFERROR(AH3402*0.1, "N/A")</f>
        <v>5.5339495798319298</v>
      </c>
      <c r="AH3402">
        <v>55.339495798319298</v>
      </c>
      <c r="AI3402">
        <v>289.16823816379599</v>
      </c>
      <c r="AJ3402">
        <v>6.8235294117647101</v>
      </c>
      <c r="AK3402">
        <v>84.257142857142895</v>
      </c>
    </row>
    <row r="3403" spans="1:37" x14ac:dyDescent="0.3">
      <c r="A3403">
        <v>3402</v>
      </c>
      <c r="B3403">
        <v>22.799999</v>
      </c>
      <c r="C3403">
        <v>-16.606898999999999</v>
      </c>
      <c r="D3403">
        <v>14.4239</v>
      </c>
      <c r="E3403">
        <f>-16.606899-14.4239</f>
        <v>-31.030798999999998</v>
      </c>
      <c r="F3403" t="s">
        <v>5494</v>
      </c>
      <c r="G3403" t="s">
        <v>39</v>
      </c>
      <c r="H3403">
        <v>1996</v>
      </c>
      <c r="I3403">
        <v>26.700000762939499</v>
      </c>
      <c r="J3403">
        <v>14.300000190734901</v>
      </c>
      <c r="K3403">
        <v>68</v>
      </c>
      <c r="L3403">
        <v>16.200000762939499</v>
      </c>
      <c r="M3403">
        <v>35.799999237060497</v>
      </c>
      <c r="N3403">
        <v>14.800000190734901</v>
      </c>
      <c r="O3403">
        <v>21</v>
      </c>
      <c r="P3403">
        <v>27.600000381469702</v>
      </c>
      <c r="Q3403">
        <v>26</v>
      </c>
      <c r="R3403">
        <v>28.200000762939499</v>
      </c>
      <c r="S3403">
        <v>24.100000381469702</v>
      </c>
      <c r="T3403">
        <v>585</v>
      </c>
      <c r="U3403">
        <v>222</v>
      </c>
      <c r="V3403">
        <v>0</v>
      </c>
      <c r="W3403">
        <v>152</v>
      </c>
      <c r="X3403">
        <v>511</v>
      </c>
      <c r="Y3403">
        <v>0</v>
      </c>
      <c r="Z3403">
        <v>145</v>
      </c>
      <c r="AA3403">
        <v>2</v>
      </c>
      <c r="AB3403">
        <v>0.81571893867441603</v>
      </c>
      <c r="AC3403">
        <v>0.174981826511414</v>
      </c>
      <c r="AD3403">
        <v>1.2382865974735699</v>
      </c>
      <c r="AE3403">
        <v>0.73084357759625596</v>
      </c>
      <c r="AF3403">
        <v>5.8043478260869596</v>
      </c>
      <c r="AG3403">
        <f>IFERROR(AH3403*0.1, "N/A")</f>
        <v>5.8638795986622103</v>
      </c>
      <c r="AH3403">
        <v>58.6387959866221</v>
      </c>
      <c r="AI3403">
        <v>206.92117113094301</v>
      </c>
      <c r="AJ3403">
        <v>7.2809364548494999</v>
      </c>
      <c r="AK3403">
        <v>84.478260869565204</v>
      </c>
    </row>
    <row r="3404" spans="1:37" x14ac:dyDescent="0.3">
      <c r="A3404">
        <v>3403</v>
      </c>
      <c r="B3404">
        <v>0</v>
      </c>
      <c r="C3404">
        <v>-16.606898999999999</v>
      </c>
      <c r="D3404">
        <v>14.4239</v>
      </c>
      <c r="E3404">
        <f>-16.606899-14.4239</f>
        <v>-31.030798999999998</v>
      </c>
      <c r="F3404" t="s">
        <v>5495</v>
      </c>
      <c r="G3404" t="s">
        <v>37</v>
      </c>
      <c r="H3404">
        <v>1996</v>
      </c>
      <c r="I3404">
        <v>26.700000762939499</v>
      </c>
      <c r="J3404">
        <v>14.300000190734901</v>
      </c>
      <c r="K3404">
        <v>68</v>
      </c>
      <c r="L3404">
        <v>16.200000762939499</v>
      </c>
      <c r="M3404">
        <v>35.799999237060497</v>
      </c>
      <c r="N3404">
        <v>14.800000190734901</v>
      </c>
      <c r="O3404">
        <v>21</v>
      </c>
      <c r="P3404">
        <v>27.600000381469702</v>
      </c>
      <c r="Q3404">
        <v>26</v>
      </c>
      <c r="R3404">
        <v>28.200000762939499</v>
      </c>
      <c r="S3404">
        <v>24.100000381469702</v>
      </c>
      <c r="T3404">
        <v>585</v>
      </c>
      <c r="U3404">
        <v>222</v>
      </c>
      <c r="V3404">
        <v>0</v>
      </c>
      <c r="W3404">
        <v>152</v>
      </c>
      <c r="X3404">
        <v>511</v>
      </c>
      <c r="Y3404">
        <v>0</v>
      </c>
      <c r="Z3404">
        <v>145</v>
      </c>
      <c r="AA3404">
        <v>2</v>
      </c>
      <c r="AB3404">
        <v>0.81571893867441603</v>
      </c>
      <c r="AC3404">
        <v>0.174981826511414</v>
      </c>
      <c r="AD3404">
        <v>1.2382865974735699</v>
      </c>
      <c r="AE3404">
        <v>0.73084357759625596</v>
      </c>
      <c r="AF3404">
        <v>5.8043478260869596</v>
      </c>
      <c r="AG3404">
        <f>IFERROR(AH3404*0.1, "N/A")</f>
        <v>5.8638795986622103</v>
      </c>
      <c r="AH3404">
        <v>58.6387959866221</v>
      </c>
      <c r="AI3404">
        <v>206.92117113094301</v>
      </c>
      <c r="AJ3404">
        <v>7.2809364548494999</v>
      </c>
      <c r="AK3404">
        <v>84.478260869565204</v>
      </c>
    </row>
    <row r="3405" spans="1:37" x14ac:dyDescent="0.3">
      <c r="A3405">
        <v>3404</v>
      </c>
      <c r="B3405">
        <v>36.700001</v>
      </c>
      <c r="C3405">
        <v>-15.65</v>
      </c>
      <c r="D3405">
        <v>14.433299999999999</v>
      </c>
      <c r="E3405">
        <f>-15.65-14.4333</f>
        <v>-30.083300000000001</v>
      </c>
      <c r="F3405" t="s">
        <v>5496</v>
      </c>
      <c r="G3405" t="s">
        <v>39</v>
      </c>
      <c r="H3405">
        <v>2000</v>
      </c>
      <c r="I3405">
        <v>27.399999618530298</v>
      </c>
      <c r="J3405">
        <v>16</v>
      </c>
      <c r="K3405">
        <v>65</v>
      </c>
      <c r="L3405">
        <v>18.838167995164401</v>
      </c>
      <c r="M3405">
        <v>39.200000762939503</v>
      </c>
      <c r="N3405">
        <v>14.6000003814697</v>
      </c>
      <c r="O3405">
        <v>24.600000381469702</v>
      </c>
      <c r="P3405">
        <v>27.700000762939499</v>
      </c>
      <c r="Q3405">
        <v>27.399999618530298</v>
      </c>
      <c r="R3405">
        <v>29.557143075125602</v>
      </c>
      <c r="S3405">
        <v>24.5</v>
      </c>
      <c r="T3405">
        <v>556.28571428571399</v>
      </c>
      <c r="U3405">
        <v>185.42857142857099</v>
      </c>
      <c r="V3405">
        <v>0</v>
      </c>
      <c r="W3405">
        <v>139.42857142857099</v>
      </c>
      <c r="X3405">
        <v>463.28571428571399</v>
      </c>
      <c r="Y3405">
        <v>0</v>
      </c>
      <c r="Z3405">
        <v>43</v>
      </c>
      <c r="AA3405">
        <v>2</v>
      </c>
      <c r="AB3405">
        <v>1.8258832114083401</v>
      </c>
      <c r="AC3405">
        <v>0.48427680014249103</v>
      </c>
      <c r="AD3405">
        <v>1.3962724537408699</v>
      </c>
      <c r="AE3405">
        <v>0.707380831241608</v>
      </c>
      <c r="AF3405">
        <v>30.322689075630201</v>
      </c>
      <c r="AG3405">
        <f>IFERROR(AH3405*0.1, "N/A")</f>
        <v>5.7</v>
      </c>
      <c r="AH3405">
        <v>57</v>
      </c>
      <c r="AI3405">
        <v>154.65852799615899</v>
      </c>
      <c r="AJ3405">
        <v>8.1394957983193308</v>
      </c>
      <c r="AK3405">
        <v>82.581512605041993</v>
      </c>
    </row>
    <row r="3406" spans="1:37" x14ac:dyDescent="0.3">
      <c r="A3406">
        <v>3405</v>
      </c>
      <c r="B3406">
        <v>0</v>
      </c>
      <c r="C3406">
        <v>-15.65</v>
      </c>
      <c r="D3406">
        <v>14.433299999999999</v>
      </c>
      <c r="E3406">
        <f>-15.65-14.4333</f>
        <v>-30.083300000000001</v>
      </c>
      <c r="F3406" t="s">
        <v>5497</v>
      </c>
      <c r="G3406" t="s">
        <v>37</v>
      </c>
      <c r="H3406">
        <v>1996</v>
      </c>
      <c r="I3406">
        <v>27.399999618530298</v>
      </c>
      <c r="J3406">
        <v>16</v>
      </c>
      <c r="K3406">
        <v>65</v>
      </c>
      <c r="L3406">
        <v>18.838167995164401</v>
      </c>
      <c r="M3406">
        <v>39.200000762939503</v>
      </c>
      <c r="N3406">
        <v>14.6000003814697</v>
      </c>
      <c r="O3406">
        <v>24.600000381469702</v>
      </c>
      <c r="P3406">
        <v>27.700000762939499</v>
      </c>
      <c r="Q3406">
        <v>27.399999618530298</v>
      </c>
      <c r="R3406">
        <v>29.557143075125602</v>
      </c>
      <c r="S3406">
        <v>24.5</v>
      </c>
      <c r="T3406">
        <v>556.28571428571399</v>
      </c>
      <c r="U3406">
        <v>185.42857142857099</v>
      </c>
      <c r="V3406">
        <v>0</v>
      </c>
      <c r="W3406">
        <v>139.42857142857099</v>
      </c>
      <c r="X3406">
        <v>463.28571428571399</v>
      </c>
      <c r="Y3406">
        <v>0</v>
      </c>
      <c r="Z3406">
        <v>43</v>
      </c>
      <c r="AA3406">
        <v>2</v>
      </c>
      <c r="AB3406">
        <v>1.8258832114083401</v>
      </c>
      <c r="AC3406">
        <v>0.48427680014249103</v>
      </c>
      <c r="AD3406">
        <v>1.3962724537408699</v>
      </c>
      <c r="AE3406">
        <v>0.707380831241608</v>
      </c>
      <c r="AF3406">
        <v>30.322689075630201</v>
      </c>
      <c r="AG3406">
        <f>IFERROR(AH3406*0.1, "N/A")</f>
        <v>5.7</v>
      </c>
      <c r="AH3406">
        <v>57</v>
      </c>
      <c r="AI3406">
        <v>154.65852799615899</v>
      </c>
      <c r="AJ3406">
        <v>8.1394957983193308</v>
      </c>
      <c r="AK3406">
        <v>82.581512605041993</v>
      </c>
    </row>
    <row r="3407" spans="1:37" x14ac:dyDescent="0.3">
      <c r="A3407">
        <v>3406</v>
      </c>
      <c r="B3407">
        <v>1.6</v>
      </c>
      <c r="C3407">
        <v>-16.049999</v>
      </c>
      <c r="D3407">
        <v>14.433299999999999</v>
      </c>
      <c r="E3407">
        <f>-16.049999-14.4333</f>
        <v>-30.483298999999999</v>
      </c>
      <c r="F3407" t="s">
        <v>5498</v>
      </c>
      <c r="G3407" t="s">
        <v>39</v>
      </c>
      <c r="H3407">
        <v>1996</v>
      </c>
      <c r="I3407">
        <v>27.5139262276208</v>
      </c>
      <c r="J3407">
        <v>16</v>
      </c>
      <c r="K3407">
        <v>66</v>
      </c>
      <c r="L3407">
        <v>17.871258374028599</v>
      </c>
      <c r="M3407">
        <v>38.932383582096001</v>
      </c>
      <c r="N3407">
        <v>14.8999996185303</v>
      </c>
      <c r="O3407">
        <v>24.0323826738652</v>
      </c>
      <c r="P3407">
        <v>28.100000381469702</v>
      </c>
      <c r="Q3407">
        <v>27.299999237060501</v>
      </c>
      <c r="R3407">
        <v>29.413925846151098</v>
      </c>
      <c r="S3407">
        <v>24.799999237060501</v>
      </c>
      <c r="T3407">
        <v>564.85906040268503</v>
      </c>
      <c r="U3407">
        <v>187.13926174496601</v>
      </c>
      <c r="V3407">
        <v>0</v>
      </c>
      <c r="W3407">
        <v>141</v>
      </c>
      <c r="X3407">
        <v>479.13926174496697</v>
      </c>
      <c r="Y3407">
        <v>0</v>
      </c>
      <c r="Z3407">
        <v>37.429530201342303</v>
      </c>
      <c r="AA3407">
        <v>2</v>
      </c>
      <c r="AB3407">
        <v>2.6714764377414801</v>
      </c>
      <c r="AC3407">
        <v>8.3110439184830003E-3</v>
      </c>
      <c r="AD3407">
        <v>1.7552518296561801</v>
      </c>
      <c r="AE3407">
        <v>0.71023970842361495</v>
      </c>
      <c r="AF3407">
        <v>31.694630872483199</v>
      </c>
      <c r="AG3407">
        <f>IFERROR(AH3407*0.1, "N/A")</f>
        <v>5.6380872483221509</v>
      </c>
      <c r="AH3407">
        <v>56.380872483221502</v>
      </c>
      <c r="AI3407">
        <v>144.62263596938001</v>
      </c>
      <c r="AJ3407">
        <v>6.3238255033556996</v>
      </c>
      <c r="AK3407">
        <v>86.676174496644293</v>
      </c>
    </row>
    <row r="3408" spans="1:37" x14ac:dyDescent="0.3">
      <c r="A3408">
        <v>3407</v>
      </c>
      <c r="B3408">
        <v>0</v>
      </c>
      <c r="C3408">
        <v>-16.049999</v>
      </c>
      <c r="D3408">
        <v>14.433299999999999</v>
      </c>
      <c r="E3408">
        <f>-16.049999-14.4333</f>
        <v>-30.483298999999999</v>
      </c>
      <c r="F3408" t="s">
        <v>5499</v>
      </c>
      <c r="G3408" t="s">
        <v>37</v>
      </c>
      <c r="H3408">
        <v>1996</v>
      </c>
      <c r="I3408">
        <v>27.5139262276208</v>
      </c>
      <c r="J3408">
        <v>16</v>
      </c>
      <c r="K3408">
        <v>66</v>
      </c>
      <c r="L3408">
        <v>17.871258374028599</v>
      </c>
      <c r="M3408">
        <v>38.932383582096001</v>
      </c>
      <c r="N3408">
        <v>14.8999996185303</v>
      </c>
      <c r="O3408">
        <v>24.0323826738652</v>
      </c>
      <c r="P3408">
        <v>28.100000381469702</v>
      </c>
      <c r="Q3408">
        <v>27.299999237060501</v>
      </c>
      <c r="R3408">
        <v>29.413925846151098</v>
      </c>
      <c r="S3408">
        <v>24.799999237060501</v>
      </c>
      <c r="T3408">
        <v>564.85906040268503</v>
      </c>
      <c r="U3408">
        <v>187.13926174496601</v>
      </c>
      <c r="V3408">
        <v>0</v>
      </c>
      <c r="W3408">
        <v>141</v>
      </c>
      <c r="X3408">
        <v>479.13926174496697</v>
      </c>
      <c r="Y3408">
        <v>0</v>
      </c>
      <c r="Z3408">
        <v>37.429530201342303</v>
      </c>
      <c r="AA3408">
        <v>2</v>
      </c>
      <c r="AB3408">
        <v>2.6714764377414801</v>
      </c>
      <c r="AC3408">
        <v>8.3110439184830003E-3</v>
      </c>
      <c r="AD3408">
        <v>1.7552518296561801</v>
      </c>
      <c r="AE3408">
        <v>0.71023970842361495</v>
      </c>
      <c r="AF3408">
        <v>31.694630872483199</v>
      </c>
      <c r="AG3408">
        <f>IFERROR(AH3408*0.1, "N/A")</f>
        <v>5.6380872483221509</v>
      </c>
      <c r="AH3408">
        <v>56.380872483221502</v>
      </c>
      <c r="AI3408">
        <v>144.62263596938001</v>
      </c>
      <c r="AJ3408">
        <v>6.3238255033556996</v>
      </c>
      <c r="AK3408">
        <v>86.676174496644293</v>
      </c>
    </row>
    <row r="3409" spans="1:37" x14ac:dyDescent="0.3">
      <c r="A3409">
        <v>3408</v>
      </c>
      <c r="B3409">
        <v>40</v>
      </c>
      <c r="C3409">
        <v>-12.21</v>
      </c>
      <c r="D3409">
        <v>14.45</v>
      </c>
      <c r="E3409">
        <f>-12.21-14.45</f>
        <v>-26.66</v>
      </c>
      <c r="F3409" t="s">
        <v>5500</v>
      </c>
      <c r="G3409" t="s">
        <v>39</v>
      </c>
      <c r="H3409">
        <v>2003</v>
      </c>
      <c r="I3409">
        <v>28.827058163811198</v>
      </c>
      <c r="J3409">
        <v>14.3270588594324</v>
      </c>
      <c r="K3409">
        <v>58.270588235294099</v>
      </c>
      <c r="L3409">
        <v>24.5897643369787</v>
      </c>
      <c r="M3409">
        <v>40.700000762939503</v>
      </c>
      <c r="N3409">
        <v>16.372940691779601</v>
      </c>
      <c r="O3409">
        <v>24.327058163811198</v>
      </c>
      <c r="P3409">
        <v>27.899999618530298</v>
      </c>
      <c r="Q3409">
        <v>27.672941836188802</v>
      </c>
      <c r="R3409">
        <v>32.299999237060497</v>
      </c>
      <c r="S3409">
        <v>26</v>
      </c>
      <c r="T3409">
        <v>602.91764705882395</v>
      </c>
      <c r="U3409">
        <v>204.72941176470599</v>
      </c>
      <c r="V3409">
        <v>0</v>
      </c>
      <c r="W3409">
        <v>136.72941176470599</v>
      </c>
      <c r="X3409">
        <v>486.18823529411799</v>
      </c>
      <c r="Y3409">
        <v>0</v>
      </c>
      <c r="Z3409">
        <v>74.729411764705901</v>
      </c>
      <c r="AA3409">
        <v>0</v>
      </c>
      <c r="AB3409">
        <v>0.21210085444089699</v>
      </c>
      <c r="AC3409">
        <v>8.6866135262328505</v>
      </c>
      <c r="AD3409">
        <v>1.8930160210914</v>
      </c>
      <c r="AE3409">
        <v>0.45013181181515</v>
      </c>
      <c r="AF3409">
        <v>24.314285714285699</v>
      </c>
      <c r="AG3409">
        <f>IFERROR(AH3409*0.1, "N/A")</f>
        <v>6.8657142857142901</v>
      </c>
      <c r="AH3409">
        <v>68.657142857142901</v>
      </c>
      <c r="AI3409">
        <v>165.215022463758</v>
      </c>
      <c r="AJ3409">
        <v>19.010084033613399</v>
      </c>
      <c r="AK3409">
        <v>58.107563025210098</v>
      </c>
    </row>
    <row r="3410" spans="1:37" x14ac:dyDescent="0.3">
      <c r="A3410">
        <v>3409</v>
      </c>
      <c r="B3410">
        <v>20.399999999999999</v>
      </c>
      <c r="C3410">
        <v>-12.2166</v>
      </c>
      <c r="D3410">
        <v>14.4567</v>
      </c>
      <c r="E3410">
        <f>-12.2166-14.4567</f>
        <v>-26.673299999999998</v>
      </c>
      <c r="F3410" t="s">
        <v>5501</v>
      </c>
      <c r="G3410" t="s">
        <v>39</v>
      </c>
      <c r="H3410">
        <v>1992</v>
      </c>
      <c r="I3410">
        <v>28.888441785496099</v>
      </c>
      <c r="J3410">
        <v>14.388441895719801</v>
      </c>
      <c r="K3410">
        <v>58.884422110552798</v>
      </c>
      <c r="L3410">
        <v>24.6769346879355</v>
      </c>
      <c r="M3410">
        <v>40.700000762939503</v>
      </c>
      <c r="N3410">
        <v>16.299999237060501</v>
      </c>
      <c r="O3410">
        <v>24.399999618530298</v>
      </c>
      <c r="P3410">
        <v>27.888441785496099</v>
      </c>
      <c r="Q3410">
        <v>27.600000381469702</v>
      </c>
      <c r="R3410">
        <v>32.299999237060497</v>
      </c>
      <c r="S3410">
        <v>26</v>
      </c>
      <c r="T3410">
        <v>600</v>
      </c>
      <c r="U3410">
        <v>204</v>
      </c>
      <c r="V3410">
        <v>0</v>
      </c>
      <c r="W3410">
        <v>136</v>
      </c>
      <c r="X3410">
        <v>484</v>
      </c>
      <c r="Y3410">
        <v>0</v>
      </c>
      <c r="Z3410">
        <v>74</v>
      </c>
      <c r="AA3410">
        <v>0</v>
      </c>
      <c r="AB3410">
        <v>3.4782244492216101</v>
      </c>
      <c r="AC3410">
        <v>7.2183819628091006E-2</v>
      </c>
      <c r="AD3410">
        <v>1.25966996543571</v>
      </c>
      <c r="AE3410">
        <v>0.62333730297472001</v>
      </c>
      <c r="AF3410">
        <v>31.380234505862699</v>
      </c>
      <c r="AG3410">
        <f>IFERROR(AH3410*0.1, "N/A")</f>
        <v>6.4130653266331707</v>
      </c>
      <c r="AH3410">
        <v>64.130653266331706</v>
      </c>
      <c r="AI3410">
        <v>211.54343954881799</v>
      </c>
      <c r="AJ3410">
        <v>24.708542713567802</v>
      </c>
      <c r="AK3410">
        <v>53.261306532663298</v>
      </c>
    </row>
    <row r="3411" spans="1:37" x14ac:dyDescent="0.3">
      <c r="A3411">
        <v>3410</v>
      </c>
      <c r="B3411">
        <v>0</v>
      </c>
      <c r="C3411">
        <v>-12.2166</v>
      </c>
      <c r="D3411">
        <v>14.4567</v>
      </c>
      <c r="E3411">
        <f>-12.2166-14.4567</f>
        <v>-26.673299999999998</v>
      </c>
      <c r="F3411" t="s">
        <v>5502</v>
      </c>
      <c r="G3411" t="s">
        <v>37</v>
      </c>
      <c r="H3411">
        <v>1992</v>
      </c>
      <c r="I3411">
        <v>28.888441785496099</v>
      </c>
      <c r="J3411">
        <v>14.388441895719801</v>
      </c>
      <c r="K3411">
        <v>58.884422110552798</v>
      </c>
      <c r="L3411">
        <v>24.6769346879355</v>
      </c>
      <c r="M3411">
        <v>40.700000762939503</v>
      </c>
      <c r="N3411">
        <v>16.299999237060501</v>
      </c>
      <c r="O3411">
        <v>24.399999618530298</v>
      </c>
      <c r="P3411">
        <v>27.888441785496099</v>
      </c>
      <c r="Q3411">
        <v>27.600000381469702</v>
      </c>
      <c r="R3411">
        <v>32.299999237060497</v>
      </c>
      <c r="S3411">
        <v>26</v>
      </c>
      <c r="T3411">
        <v>600</v>
      </c>
      <c r="U3411">
        <v>204</v>
      </c>
      <c r="V3411">
        <v>0</v>
      </c>
      <c r="W3411">
        <v>136</v>
      </c>
      <c r="X3411">
        <v>484</v>
      </c>
      <c r="Y3411">
        <v>0</v>
      </c>
      <c r="Z3411">
        <v>74</v>
      </c>
      <c r="AA3411">
        <v>0</v>
      </c>
      <c r="AB3411">
        <v>3.4782244492216101</v>
      </c>
      <c r="AC3411">
        <v>7.2183819628091006E-2</v>
      </c>
      <c r="AD3411">
        <v>1.25966996543571</v>
      </c>
      <c r="AE3411">
        <v>0.62333730297472001</v>
      </c>
      <c r="AF3411">
        <v>31.380234505862699</v>
      </c>
      <c r="AG3411">
        <f>IFERROR(AH3411*0.1, "N/A")</f>
        <v>6.4130653266331707</v>
      </c>
      <c r="AH3411">
        <v>64.130653266331706</v>
      </c>
      <c r="AI3411">
        <v>211.54343954881799</v>
      </c>
      <c r="AJ3411">
        <v>24.708542713567802</v>
      </c>
      <c r="AK3411">
        <v>53.261306532663298</v>
      </c>
    </row>
    <row r="3412" spans="1:37" x14ac:dyDescent="0.3">
      <c r="A3412">
        <v>3411</v>
      </c>
      <c r="B3412">
        <v>84</v>
      </c>
      <c r="C3412">
        <v>-15.85</v>
      </c>
      <c r="D3412">
        <v>14.466699999999999</v>
      </c>
      <c r="E3412">
        <f>-15.85-14.4667</f>
        <v>-30.316699999999997</v>
      </c>
      <c r="F3412" t="s">
        <v>5503</v>
      </c>
      <c r="G3412" t="s">
        <v>39</v>
      </c>
      <c r="H3412">
        <v>2003</v>
      </c>
      <c r="I3412">
        <v>27.399999618530298</v>
      </c>
      <c r="J3412">
        <v>16</v>
      </c>
      <c r="K3412">
        <v>65</v>
      </c>
      <c r="L3412">
        <v>18.2955441914212</v>
      </c>
      <c r="M3412">
        <v>39.029647788809797</v>
      </c>
      <c r="N3412">
        <v>14.6000003814697</v>
      </c>
      <c r="O3412">
        <v>24.429647972835401</v>
      </c>
      <c r="P3412">
        <v>27.799999237060501</v>
      </c>
      <c r="Q3412">
        <v>27.246901219813701</v>
      </c>
      <c r="R3412">
        <v>29.418090139801201</v>
      </c>
      <c r="S3412">
        <v>24.600000381469702</v>
      </c>
      <c r="T3412">
        <v>560.29648241205996</v>
      </c>
      <c r="U3412">
        <v>189</v>
      </c>
      <c r="V3412">
        <v>0</v>
      </c>
      <c r="W3412">
        <v>142</v>
      </c>
      <c r="X3412">
        <v>471.71189279731999</v>
      </c>
      <c r="Y3412">
        <v>0</v>
      </c>
      <c r="Z3412">
        <v>39.584589614740402</v>
      </c>
      <c r="AA3412">
        <v>2</v>
      </c>
      <c r="AB3412">
        <v>0.60552938899003494</v>
      </c>
      <c r="AC3412">
        <v>3.0714299940072E-2</v>
      </c>
      <c r="AD3412">
        <v>3.42196400121628</v>
      </c>
      <c r="AE3412">
        <v>0.70704668760299705</v>
      </c>
      <c r="AF3412">
        <v>34.876046901172501</v>
      </c>
      <c r="AG3412">
        <f>IFERROR(AH3412*0.1, "N/A")</f>
        <v>5.2</v>
      </c>
      <c r="AH3412">
        <v>52</v>
      </c>
      <c r="AI3412">
        <v>194.448660385669</v>
      </c>
      <c r="AJ3412">
        <v>7.4036850921272999</v>
      </c>
      <c r="AK3412">
        <v>85.192629815745406</v>
      </c>
    </row>
    <row r="3413" spans="1:37" x14ac:dyDescent="0.3">
      <c r="A3413">
        <v>3412</v>
      </c>
      <c r="B3413">
        <v>66</v>
      </c>
      <c r="C3413">
        <v>-15.92</v>
      </c>
      <c r="D3413">
        <v>14.47</v>
      </c>
      <c r="E3413">
        <f>-15.92-14.47</f>
        <v>-30.39</v>
      </c>
      <c r="F3413" t="s">
        <v>5504</v>
      </c>
      <c r="G3413" t="s">
        <v>39</v>
      </c>
      <c r="H3413">
        <v>2003</v>
      </c>
      <c r="I3413">
        <v>27.399999618530298</v>
      </c>
      <c r="J3413">
        <v>16</v>
      </c>
      <c r="K3413">
        <v>65</v>
      </c>
      <c r="L3413">
        <v>18.360000610351602</v>
      </c>
      <c r="M3413">
        <v>39</v>
      </c>
      <c r="N3413">
        <v>14.6000003814697</v>
      </c>
      <c r="O3413">
        <v>24.399999618530298</v>
      </c>
      <c r="P3413">
        <v>27.899999618530298</v>
      </c>
      <c r="Q3413">
        <v>27.299999237060501</v>
      </c>
      <c r="R3413">
        <v>29.399999618530298</v>
      </c>
      <c r="S3413">
        <v>24.600000381469702</v>
      </c>
      <c r="T3413">
        <v>561</v>
      </c>
      <c r="U3413">
        <v>189</v>
      </c>
      <c r="V3413">
        <v>0</v>
      </c>
      <c r="W3413">
        <v>143</v>
      </c>
      <c r="X3413">
        <v>474</v>
      </c>
      <c r="Y3413">
        <v>1</v>
      </c>
      <c r="Z3413">
        <v>38</v>
      </c>
      <c r="AA3413">
        <v>3</v>
      </c>
      <c r="AB3413">
        <v>0.61077277186743695</v>
      </c>
      <c r="AC3413">
        <v>1.3789202630682999E-2</v>
      </c>
      <c r="AD3413">
        <v>1.5319999714291099</v>
      </c>
      <c r="AE3413">
        <v>0.708881735801697</v>
      </c>
      <c r="AF3413">
        <v>33.338383838383798</v>
      </c>
      <c r="AG3413">
        <f>IFERROR(AH3413*0.1, "N/A")</f>
        <v>5.3996632996632998</v>
      </c>
      <c r="AH3413">
        <v>53.996632996632997</v>
      </c>
      <c r="AI3413">
        <v>126.076688939875</v>
      </c>
      <c r="AJ3413">
        <v>5.0774410774410796</v>
      </c>
      <c r="AK3413">
        <v>89.380471380471405</v>
      </c>
    </row>
    <row r="3414" spans="1:37" x14ac:dyDescent="0.3">
      <c r="A3414">
        <v>3413</v>
      </c>
      <c r="B3414">
        <v>38</v>
      </c>
      <c r="C3414">
        <v>-16.129999000000002</v>
      </c>
      <c r="D3414">
        <v>14.47</v>
      </c>
      <c r="E3414">
        <f>-16.129999-14.47</f>
        <v>-30.599999000000004</v>
      </c>
      <c r="F3414" t="s">
        <v>5505</v>
      </c>
      <c r="G3414" t="s">
        <v>39</v>
      </c>
      <c r="H3414">
        <v>2003</v>
      </c>
      <c r="I3414">
        <v>27.600000381469702</v>
      </c>
      <c r="J3414">
        <v>15.8999996185303</v>
      </c>
      <c r="K3414">
        <v>66</v>
      </c>
      <c r="L3414">
        <v>17.620000839233398</v>
      </c>
      <c r="M3414">
        <v>38.799999237060497</v>
      </c>
      <c r="N3414">
        <v>14.8999996185303</v>
      </c>
      <c r="O3414">
        <v>23.899999618530298</v>
      </c>
      <c r="P3414">
        <v>28.200000762939499</v>
      </c>
      <c r="Q3414">
        <v>27.299999237060501</v>
      </c>
      <c r="R3414">
        <v>29.399999618530298</v>
      </c>
      <c r="S3414">
        <v>24.799999237060501</v>
      </c>
      <c r="T3414">
        <v>561</v>
      </c>
      <c r="U3414">
        <v>190</v>
      </c>
      <c r="V3414">
        <v>0</v>
      </c>
      <c r="W3414">
        <v>144</v>
      </c>
      <c r="X3414">
        <v>478</v>
      </c>
      <c r="Y3414">
        <v>0</v>
      </c>
      <c r="Z3414">
        <v>160</v>
      </c>
      <c r="AA3414">
        <v>2</v>
      </c>
      <c r="AB3414">
        <v>1.9292934205797001</v>
      </c>
      <c r="AC3414">
        <v>9.6064261662510003E-3</v>
      </c>
      <c r="AD3414">
        <v>0.73635325046500799</v>
      </c>
      <c r="AE3414">
        <v>0.70723420381545998</v>
      </c>
      <c r="AF3414">
        <v>20.6767676767677</v>
      </c>
      <c r="AG3414">
        <f>IFERROR(AH3414*0.1, "N/A")</f>
        <v>5.5548821548821508</v>
      </c>
      <c r="AH3414">
        <v>55.5488215488215</v>
      </c>
      <c r="AI3414">
        <v>185.68910561506999</v>
      </c>
      <c r="AJ3414">
        <v>7.0067340067340096</v>
      </c>
      <c r="AK3414">
        <v>85.993265993265993</v>
      </c>
    </row>
    <row r="3415" spans="1:37" x14ac:dyDescent="0.3">
      <c r="A3415">
        <v>3414</v>
      </c>
      <c r="B3415">
        <v>82</v>
      </c>
      <c r="C3415">
        <v>-12.2052</v>
      </c>
      <c r="D3415">
        <v>14.4727</v>
      </c>
      <c r="E3415">
        <f>-12.2052-14.4727</f>
        <v>-26.677900000000001</v>
      </c>
      <c r="F3415" t="s">
        <v>5506</v>
      </c>
      <c r="G3415" t="s">
        <v>39</v>
      </c>
      <c r="H3415">
        <v>2003</v>
      </c>
      <c r="I3415">
        <v>28.899999618530298</v>
      </c>
      <c r="J3415">
        <v>14.3999996185303</v>
      </c>
      <c r="K3415">
        <v>59</v>
      </c>
      <c r="L3415">
        <v>24.620000839233398</v>
      </c>
      <c r="M3415">
        <v>40.700000762939503</v>
      </c>
      <c r="N3415">
        <v>16.399999618530298</v>
      </c>
      <c r="O3415">
        <v>24.299999237060501</v>
      </c>
      <c r="P3415">
        <v>28</v>
      </c>
      <c r="Q3415">
        <v>27.700000762939499</v>
      </c>
      <c r="R3415">
        <v>32.400001525878899</v>
      </c>
      <c r="S3415">
        <v>26</v>
      </c>
      <c r="T3415">
        <v>594</v>
      </c>
      <c r="U3415">
        <v>203</v>
      </c>
      <c r="V3415">
        <v>0</v>
      </c>
      <c r="W3415">
        <v>137</v>
      </c>
      <c r="X3415">
        <v>480</v>
      </c>
      <c r="Y3415">
        <v>0</v>
      </c>
      <c r="Z3415">
        <v>73</v>
      </c>
      <c r="AA3415">
        <v>0</v>
      </c>
      <c r="AB3415">
        <v>3.08434364370224</v>
      </c>
      <c r="AC3415">
        <v>1.9853974162578999E-2</v>
      </c>
      <c r="AD3415">
        <v>1.86355444096556</v>
      </c>
      <c r="AE3415">
        <v>0.36265730857849099</v>
      </c>
      <c r="AF3415">
        <v>28.808080808080799</v>
      </c>
      <c r="AG3415">
        <f>IFERROR(AH3415*0.1, "N/A")</f>
        <v>6.6959595959596001</v>
      </c>
      <c r="AH3415">
        <v>66.959595959596001</v>
      </c>
      <c r="AI3415">
        <v>205.461757518627</v>
      </c>
      <c r="AJ3415">
        <v>20.020202020201999</v>
      </c>
      <c r="AK3415">
        <v>58.939393939393902</v>
      </c>
    </row>
    <row r="3416" spans="1:37" x14ac:dyDescent="0.3">
      <c r="A3416">
        <v>3415</v>
      </c>
      <c r="B3416">
        <v>19.799999</v>
      </c>
      <c r="C3416">
        <v>-16.403199999999998</v>
      </c>
      <c r="D3416">
        <v>14.475899999999999</v>
      </c>
      <c r="E3416">
        <f>-16.4032-14.4759</f>
        <v>-30.879099999999998</v>
      </c>
      <c r="F3416" t="s">
        <v>5507</v>
      </c>
      <c r="G3416" t="s">
        <v>39</v>
      </c>
      <c r="H3416">
        <v>1971</v>
      </c>
      <c r="I3416">
        <v>27</v>
      </c>
      <c r="J3416">
        <v>15.3999996185303</v>
      </c>
      <c r="K3416">
        <v>67</v>
      </c>
      <c r="L3416">
        <v>17.129999160766602</v>
      </c>
      <c r="M3416">
        <v>37.400001525878899</v>
      </c>
      <c r="N3416">
        <v>14.6000003814697</v>
      </c>
      <c r="O3416">
        <v>22.799999237060501</v>
      </c>
      <c r="P3416">
        <v>27.899999618530298</v>
      </c>
      <c r="Q3416">
        <v>26.5</v>
      </c>
      <c r="R3416">
        <v>28.799999237060501</v>
      </c>
      <c r="S3416">
        <v>24.299999237060501</v>
      </c>
      <c r="T3416">
        <v>579</v>
      </c>
      <c r="U3416">
        <v>214</v>
      </c>
      <c r="V3416">
        <v>0</v>
      </c>
      <c r="W3416">
        <v>149</v>
      </c>
      <c r="X3416">
        <v>503</v>
      </c>
      <c r="Y3416">
        <v>0</v>
      </c>
      <c r="Z3416">
        <v>148</v>
      </c>
      <c r="AA3416">
        <v>2</v>
      </c>
      <c r="AB3416">
        <v>0.49331123533854898</v>
      </c>
      <c r="AC3416">
        <v>8.7802476719969994E-3</v>
      </c>
      <c r="AD3416">
        <v>2.3991847839642499</v>
      </c>
      <c r="AE3416">
        <v>0.70925509929657005</v>
      </c>
      <c r="AF3416">
        <v>9.4314381270902992</v>
      </c>
      <c r="AG3416">
        <f>IFERROR(AH3416*0.1, "N/A")</f>
        <v>5.8000000000000007</v>
      </c>
      <c r="AH3416">
        <v>58</v>
      </c>
      <c r="AI3416">
        <v>171.859267767456</v>
      </c>
      <c r="AJ3416">
        <v>7</v>
      </c>
      <c r="AK3416">
        <v>87.173913043478294</v>
      </c>
    </row>
    <row r="3417" spans="1:37" x14ac:dyDescent="0.3">
      <c r="A3417">
        <v>3416</v>
      </c>
      <c r="B3417">
        <v>42.700001</v>
      </c>
      <c r="C3417">
        <v>-15.5</v>
      </c>
      <c r="D3417">
        <v>14.4833</v>
      </c>
      <c r="E3417">
        <f>-15.5-14.4833</f>
        <v>-29.9833</v>
      </c>
      <c r="F3417" t="s">
        <v>5508</v>
      </c>
      <c r="G3417" t="s">
        <v>39</v>
      </c>
      <c r="H3417">
        <v>2000</v>
      </c>
      <c r="I3417">
        <v>27.299999237060501</v>
      </c>
      <c r="J3417">
        <v>15.8999996185303</v>
      </c>
      <c r="K3417">
        <v>64</v>
      </c>
      <c r="L3417">
        <v>19.231118655961001</v>
      </c>
      <c r="M3417">
        <v>39.200000762939503</v>
      </c>
      <c r="N3417">
        <v>14.5</v>
      </c>
      <c r="O3417">
        <v>24.700000762939499</v>
      </c>
      <c r="P3417">
        <v>27.600000381469702</v>
      </c>
      <c r="Q3417">
        <v>27.399999618530298</v>
      </c>
      <c r="R3417">
        <v>29.600000381469702</v>
      </c>
      <c r="S3417">
        <v>24.399999618530298</v>
      </c>
      <c r="T3417">
        <v>547</v>
      </c>
      <c r="U3417">
        <v>181</v>
      </c>
      <c r="V3417">
        <v>0</v>
      </c>
      <c r="W3417">
        <v>139</v>
      </c>
      <c r="X3417">
        <v>453</v>
      </c>
      <c r="Y3417">
        <v>0</v>
      </c>
      <c r="Z3417">
        <v>43</v>
      </c>
      <c r="AA3417">
        <v>2</v>
      </c>
      <c r="AB3417">
        <v>9.2988493446515996E-2</v>
      </c>
      <c r="AC3417">
        <v>14.703931169520599</v>
      </c>
      <c r="AD3417">
        <v>0.85318511167233302</v>
      </c>
      <c r="AE3417">
        <v>0.68102031946182295</v>
      </c>
      <c r="AF3417">
        <v>41.899833055091797</v>
      </c>
      <c r="AG3417">
        <f>IFERROR(AH3417*0.1, "N/A")</f>
        <v>5.8297161936560897</v>
      </c>
      <c r="AH3417">
        <v>58.297161936560897</v>
      </c>
      <c r="AI3417">
        <v>154.14941357849801</v>
      </c>
      <c r="AJ3417">
        <v>11.1485809682805</v>
      </c>
      <c r="AK3417">
        <v>78.671118530884797</v>
      </c>
    </row>
    <row r="3418" spans="1:37" x14ac:dyDescent="0.3">
      <c r="A3418">
        <v>3417</v>
      </c>
      <c r="B3418">
        <v>0</v>
      </c>
      <c r="C3418">
        <v>-15.5</v>
      </c>
      <c r="D3418">
        <v>14.4833</v>
      </c>
      <c r="E3418">
        <f>-15.5-14.4833</f>
        <v>-29.9833</v>
      </c>
      <c r="F3418" t="s">
        <v>5509</v>
      </c>
      <c r="G3418" t="s">
        <v>37</v>
      </c>
      <c r="H3418">
        <v>1996</v>
      </c>
      <c r="I3418">
        <v>27.299999237060501</v>
      </c>
      <c r="J3418">
        <v>15.8999996185303</v>
      </c>
      <c r="K3418">
        <v>64</v>
      </c>
      <c r="L3418">
        <v>19.231118655961001</v>
      </c>
      <c r="M3418">
        <v>39.200000762939503</v>
      </c>
      <c r="N3418">
        <v>14.5</v>
      </c>
      <c r="O3418">
        <v>24.700000762939499</v>
      </c>
      <c r="P3418">
        <v>27.600000381469702</v>
      </c>
      <c r="Q3418">
        <v>27.399999618530298</v>
      </c>
      <c r="R3418">
        <v>29.600000381469702</v>
      </c>
      <c r="S3418">
        <v>24.399999618530298</v>
      </c>
      <c r="T3418">
        <v>547</v>
      </c>
      <c r="U3418">
        <v>181</v>
      </c>
      <c r="V3418">
        <v>0</v>
      </c>
      <c r="W3418">
        <v>139</v>
      </c>
      <c r="X3418">
        <v>453</v>
      </c>
      <c r="Y3418">
        <v>0</v>
      </c>
      <c r="Z3418">
        <v>43</v>
      </c>
      <c r="AA3418">
        <v>2</v>
      </c>
      <c r="AB3418">
        <v>9.2988493446515996E-2</v>
      </c>
      <c r="AC3418">
        <v>14.703931169520599</v>
      </c>
      <c r="AD3418">
        <v>0.85318511167233302</v>
      </c>
      <c r="AE3418">
        <v>0.68102031946182295</v>
      </c>
      <c r="AF3418">
        <v>41.899833055091797</v>
      </c>
      <c r="AG3418">
        <f>IFERROR(AH3418*0.1, "N/A")</f>
        <v>5.8297161936560897</v>
      </c>
      <c r="AH3418">
        <v>58.297161936560897</v>
      </c>
      <c r="AI3418">
        <v>154.14941357849801</v>
      </c>
      <c r="AJ3418">
        <v>11.1485809682805</v>
      </c>
      <c r="AK3418">
        <v>78.671118530884797</v>
      </c>
    </row>
    <row r="3419" spans="1:37" x14ac:dyDescent="0.3">
      <c r="A3419">
        <v>3418</v>
      </c>
      <c r="B3419">
        <v>68.400002000000001</v>
      </c>
      <c r="C3419">
        <v>-16.516701000000001</v>
      </c>
      <c r="D3419">
        <v>14.5</v>
      </c>
      <c r="E3419">
        <f>-16.516701-14.5</f>
        <v>-31.016701000000001</v>
      </c>
      <c r="F3419" t="s">
        <v>5510</v>
      </c>
      <c r="G3419" t="s">
        <v>39</v>
      </c>
      <c r="H3419">
        <v>2005</v>
      </c>
      <c r="I3419">
        <v>26.799999237060501</v>
      </c>
      <c r="J3419">
        <v>14.8999996185303</v>
      </c>
      <c r="K3419">
        <v>68</v>
      </c>
      <c r="L3419">
        <v>16.390083668812998</v>
      </c>
      <c r="M3419">
        <v>36.5</v>
      </c>
      <c r="N3419">
        <v>14.6781511947888</v>
      </c>
      <c r="O3419">
        <v>21.821848059902699</v>
      </c>
      <c r="P3419">
        <v>27.700000762939499</v>
      </c>
      <c r="Q3419">
        <v>26.200000762939499</v>
      </c>
      <c r="R3419">
        <v>28.399999618530298</v>
      </c>
      <c r="S3419">
        <v>24.200000762939499</v>
      </c>
      <c r="T3419">
        <v>576.72268907563</v>
      </c>
      <c r="U3419">
        <v>218.18823529411799</v>
      </c>
      <c r="V3419">
        <v>0</v>
      </c>
      <c r="W3419">
        <v>150</v>
      </c>
      <c r="X3419">
        <v>503.25210084033603</v>
      </c>
      <c r="Y3419">
        <v>0</v>
      </c>
      <c r="Z3419">
        <v>142.06386554621901</v>
      </c>
      <c r="AA3419">
        <v>2</v>
      </c>
      <c r="AB3419">
        <v>1.25478992943002</v>
      </c>
      <c r="AC3419">
        <v>1.0368378471363999E-2</v>
      </c>
      <c r="AD3419">
        <v>0.95188218455354701</v>
      </c>
      <c r="AE3419">
        <v>0.42340213060379001</v>
      </c>
      <c r="AF3419">
        <v>7.4806722689075604</v>
      </c>
      <c r="AG3419">
        <f>IFERROR(AH3419*0.1, "N/A")</f>
        <v>5.6717647058823504</v>
      </c>
      <c r="AH3419">
        <v>56.717647058823502</v>
      </c>
      <c r="AI3419">
        <v>126.763058465268</v>
      </c>
      <c r="AJ3419">
        <v>8.4352941176470608</v>
      </c>
      <c r="AK3419">
        <v>82.717647058823502</v>
      </c>
    </row>
    <row r="3420" spans="1:37" x14ac:dyDescent="0.3">
      <c r="A3420">
        <v>3419</v>
      </c>
      <c r="B3420">
        <v>26</v>
      </c>
      <c r="C3420">
        <v>-15.92</v>
      </c>
      <c r="D3420">
        <v>14.51</v>
      </c>
      <c r="E3420">
        <f>-15.92-14.51</f>
        <v>-30.43</v>
      </c>
      <c r="F3420" t="s">
        <v>5511</v>
      </c>
      <c r="G3420" t="s">
        <v>39</v>
      </c>
      <c r="H3420">
        <v>2003</v>
      </c>
      <c r="I3420">
        <v>27.299999237060501</v>
      </c>
      <c r="J3420">
        <v>16.100000381469702</v>
      </c>
      <c r="K3420">
        <v>66</v>
      </c>
      <c r="L3420">
        <v>18.329999923706101</v>
      </c>
      <c r="M3420">
        <v>38.900001525878899</v>
      </c>
      <c r="N3420">
        <v>14.699999809265099</v>
      </c>
      <c r="O3420">
        <v>24.200000762939499</v>
      </c>
      <c r="P3420">
        <v>27.799999237060501</v>
      </c>
      <c r="Q3420">
        <v>27.100000381469702</v>
      </c>
      <c r="R3420">
        <v>29.299999237060501</v>
      </c>
      <c r="S3420">
        <v>24.5</v>
      </c>
      <c r="T3420">
        <v>555</v>
      </c>
      <c r="U3420">
        <v>190</v>
      </c>
      <c r="V3420">
        <v>0</v>
      </c>
      <c r="W3420">
        <v>142</v>
      </c>
      <c r="X3420">
        <v>471</v>
      </c>
      <c r="Y3420">
        <v>0</v>
      </c>
      <c r="Z3420">
        <v>37</v>
      </c>
      <c r="AA3420">
        <v>2</v>
      </c>
      <c r="AB3420">
        <v>1.09782094123379</v>
      </c>
      <c r="AC3420">
        <v>0.19958933783170099</v>
      </c>
      <c r="AD3420">
        <v>1.269893181204</v>
      </c>
      <c r="AE3420">
        <v>0.72731274366378795</v>
      </c>
      <c r="AF3420">
        <v>34.402684563758399</v>
      </c>
      <c r="AG3420">
        <f>IFERROR(AH3420*0.1, "N/A")</f>
        <v>5.3322147651006704</v>
      </c>
      <c r="AH3420">
        <v>53.322147651006702</v>
      </c>
      <c r="AI3420">
        <v>266.53537852652101</v>
      </c>
      <c r="AJ3420">
        <v>6.1627516778523503</v>
      </c>
      <c r="AK3420">
        <v>85.840604026845597</v>
      </c>
    </row>
    <row r="3421" spans="1:37" x14ac:dyDescent="0.3">
      <c r="A3421">
        <v>3420</v>
      </c>
      <c r="B3421">
        <v>59.200001</v>
      </c>
      <c r="C3421">
        <v>-16.483298999999999</v>
      </c>
      <c r="D3421">
        <v>14.533300000000001</v>
      </c>
      <c r="E3421">
        <f>-16.483299-14.5333</f>
        <v>-31.016598999999999</v>
      </c>
      <c r="F3421" t="s">
        <v>5512</v>
      </c>
      <c r="G3421" t="s">
        <v>39</v>
      </c>
      <c r="H3421">
        <v>2005</v>
      </c>
      <c r="I3421">
        <v>26.8657137734549</v>
      </c>
      <c r="J3421">
        <v>15.187226773109799</v>
      </c>
      <c r="K3421">
        <v>68</v>
      </c>
      <c r="L3421">
        <v>16.695782047560201</v>
      </c>
      <c r="M3421">
        <v>36.7416807992118</v>
      </c>
      <c r="N3421">
        <v>14.565714536394401</v>
      </c>
      <c r="O3421">
        <v>22.175966403865001</v>
      </c>
      <c r="P3421">
        <v>27.799999237060501</v>
      </c>
      <c r="Q3421">
        <v>26.165714917864101</v>
      </c>
      <c r="R3421">
        <v>28.5</v>
      </c>
      <c r="S3421">
        <v>24.200000762939499</v>
      </c>
      <c r="T3421">
        <v>572.20168067226905</v>
      </c>
      <c r="U3421">
        <v>216</v>
      </c>
      <c r="V3421">
        <v>0</v>
      </c>
      <c r="W3421">
        <v>152</v>
      </c>
      <c r="X3421">
        <v>499.20168067226899</v>
      </c>
      <c r="Y3421">
        <v>0</v>
      </c>
      <c r="Z3421">
        <v>141.20168067226899</v>
      </c>
      <c r="AA3421">
        <v>2</v>
      </c>
      <c r="AB3421">
        <v>1.83579846630577</v>
      </c>
      <c r="AC3421">
        <v>1.7755830287933001E-2</v>
      </c>
      <c r="AD3421">
        <v>1.23584614581421</v>
      </c>
      <c r="AE3421">
        <v>0.68261563777923595</v>
      </c>
      <c r="AF3421">
        <v>10.5361344537815</v>
      </c>
      <c r="AG3421">
        <f>IFERROR(AH3421*0.1, "N/A")</f>
        <v>5.7887394957983203</v>
      </c>
      <c r="AH3421">
        <v>57.887394957983197</v>
      </c>
      <c r="AI3421">
        <v>166.15802930302999</v>
      </c>
      <c r="AJ3421">
        <v>8.6319327731092503</v>
      </c>
      <c r="AK3421">
        <v>83.352941176470594</v>
      </c>
    </row>
    <row r="3422" spans="1:37" x14ac:dyDescent="0.3">
      <c r="A3422">
        <v>3421</v>
      </c>
      <c r="B3422">
        <v>12.8</v>
      </c>
      <c r="C3422">
        <v>-15.7666</v>
      </c>
      <c r="D3422">
        <v>14.533300000000001</v>
      </c>
      <c r="E3422">
        <f>-15.7666-14.5333</f>
        <v>-30.299900000000001</v>
      </c>
      <c r="F3422" t="s">
        <v>5513</v>
      </c>
      <c r="G3422" t="s">
        <v>39</v>
      </c>
      <c r="H3422">
        <v>1996</v>
      </c>
      <c r="I3422">
        <v>27.299999237060501</v>
      </c>
      <c r="J3422">
        <v>16.084422432597599</v>
      </c>
      <c r="K3422">
        <v>65</v>
      </c>
      <c r="L3422">
        <v>18.582964732619001</v>
      </c>
      <c r="M3422">
        <v>38.995309954312603</v>
      </c>
      <c r="N3422">
        <v>14.515577948872201</v>
      </c>
      <c r="O3422">
        <v>24.4797319159835</v>
      </c>
      <c r="P3422">
        <v>27.700000762939499</v>
      </c>
      <c r="Q3422">
        <v>27.144221655687499</v>
      </c>
      <c r="R3422">
        <v>29.395309483386001</v>
      </c>
      <c r="S3422">
        <v>24.415577567402401</v>
      </c>
      <c r="T3422">
        <v>547.91624790619801</v>
      </c>
      <c r="U3422">
        <v>187.713567839196</v>
      </c>
      <c r="V3422">
        <v>0</v>
      </c>
      <c r="W3422">
        <v>142.713567839196</v>
      </c>
      <c r="X3422">
        <v>461.47403685092098</v>
      </c>
      <c r="Y3422">
        <v>0</v>
      </c>
      <c r="Z3422">
        <v>39</v>
      </c>
      <c r="AA3422">
        <v>2</v>
      </c>
      <c r="AB3422">
        <v>1.0602992966746201</v>
      </c>
      <c r="AC3422">
        <v>1.0873028005425001E-2</v>
      </c>
      <c r="AD3422">
        <v>1.2263777645389</v>
      </c>
      <c r="AE3422">
        <v>0.73829418420791604</v>
      </c>
      <c r="AF3422">
        <v>37.309882747068698</v>
      </c>
      <c r="AG3422">
        <f>IFERROR(AH3422*0.1, "N/A")</f>
        <v>5.4276381909547702</v>
      </c>
      <c r="AH3422">
        <v>54.276381909547702</v>
      </c>
      <c r="AI3422">
        <v>216.67149954944401</v>
      </c>
      <c r="AJ3422">
        <v>7.64489112227806</v>
      </c>
      <c r="AK3422">
        <v>82.438860971524306</v>
      </c>
    </row>
    <row r="3423" spans="1:37" x14ac:dyDescent="0.3">
      <c r="A3423">
        <v>3422</v>
      </c>
      <c r="B3423">
        <v>0</v>
      </c>
      <c r="C3423">
        <v>-15.7666</v>
      </c>
      <c r="D3423">
        <v>14.533300000000001</v>
      </c>
      <c r="E3423">
        <f>-15.7666-14.5333</f>
        <v>-30.299900000000001</v>
      </c>
      <c r="F3423" t="s">
        <v>5514</v>
      </c>
      <c r="G3423" t="s">
        <v>37</v>
      </c>
      <c r="H3423">
        <v>1996</v>
      </c>
      <c r="I3423">
        <v>27.299999237060501</v>
      </c>
      <c r="J3423">
        <v>16.084422432597599</v>
      </c>
      <c r="K3423">
        <v>65</v>
      </c>
      <c r="L3423">
        <v>18.582964732619001</v>
      </c>
      <c r="M3423">
        <v>38.995309954312603</v>
      </c>
      <c r="N3423">
        <v>14.515577948872201</v>
      </c>
      <c r="O3423">
        <v>24.4797319159835</v>
      </c>
      <c r="P3423">
        <v>27.700000762939499</v>
      </c>
      <c r="Q3423">
        <v>27.144221655687499</v>
      </c>
      <c r="R3423">
        <v>29.395309483386001</v>
      </c>
      <c r="S3423">
        <v>24.415577567402401</v>
      </c>
      <c r="T3423">
        <v>547.91624790619801</v>
      </c>
      <c r="U3423">
        <v>187.713567839196</v>
      </c>
      <c r="V3423">
        <v>0</v>
      </c>
      <c r="W3423">
        <v>142.713567839196</v>
      </c>
      <c r="X3423">
        <v>461.47403685092098</v>
      </c>
      <c r="Y3423">
        <v>0</v>
      </c>
      <c r="Z3423">
        <v>39</v>
      </c>
      <c r="AA3423">
        <v>2</v>
      </c>
      <c r="AB3423">
        <v>1.0602992966746201</v>
      </c>
      <c r="AC3423">
        <v>1.0873028005425001E-2</v>
      </c>
      <c r="AD3423">
        <v>1.2263777645389</v>
      </c>
      <c r="AE3423">
        <v>0.73829418420791604</v>
      </c>
      <c r="AF3423">
        <v>37.309882747068698</v>
      </c>
      <c r="AG3423">
        <f>IFERROR(AH3423*0.1, "N/A")</f>
        <v>5.4276381909547702</v>
      </c>
      <c r="AH3423">
        <v>54.276381909547702</v>
      </c>
      <c r="AI3423">
        <v>216.67149954944401</v>
      </c>
      <c r="AJ3423">
        <v>7.64489112227806</v>
      </c>
      <c r="AK3423">
        <v>82.438860971524306</v>
      </c>
    </row>
    <row r="3424" spans="1:37" x14ac:dyDescent="0.3">
      <c r="A3424">
        <v>3423</v>
      </c>
      <c r="B3424">
        <v>32</v>
      </c>
      <c r="C3424">
        <v>-16.41</v>
      </c>
      <c r="D3424">
        <v>14.54</v>
      </c>
      <c r="E3424">
        <f>-16.41-14.54</f>
        <v>-30.95</v>
      </c>
      <c r="F3424" t="s">
        <v>5515</v>
      </c>
      <c r="G3424" t="s">
        <v>39</v>
      </c>
      <c r="H3424">
        <v>2003</v>
      </c>
      <c r="I3424">
        <v>27.100000381469702</v>
      </c>
      <c r="J3424">
        <v>15.3999996185303</v>
      </c>
      <c r="K3424">
        <v>67</v>
      </c>
      <c r="L3424">
        <v>17.360000610351602</v>
      </c>
      <c r="M3424">
        <v>37.299999237060497</v>
      </c>
      <c r="N3424">
        <v>14.6000003814697</v>
      </c>
      <c r="O3424">
        <v>22.700000762939499</v>
      </c>
      <c r="P3424">
        <v>28</v>
      </c>
      <c r="Q3424">
        <v>26.5</v>
      </c>
      <c r="R3424">
        <v>28.799999237060501</v>
      </c>
      <c r="S3424">
        <v>24.299999237060501</v>
      </c>
      <c r="T3424">
        <v>573</v>
      </c>
      <c r="U3424">
        <v>212</v>
      </c>
      <c r="V3424">
        <v>0</v>
      </c>
      <c r="W3424">
        <v>150</v>
      </c>
      <c r="X3424">
        <v>497</v>
      </c>
      <c r="Y3424">
        <v>0</v>
      </c>
      <c r="Z3424">
        <v>145</v>
      </c>
      <c r="AA3424">
        <v>2</v>
      </c>
      <c r="AB3424">
        <v>0.363043866428643</v>
      </c>
      <c r="AC3424">
        <v>8.3900701759200003E-3</v>
      </c>
      <c r="AD3424">
        <v>1.65234466549943</v>
      </c>
      <c r="AE3424">
        <v>0.68697408070931099</v>
      </c>
      <c r="AF3424">
        <v>11.8361204013378</v>
      </c>
      <c r="AG3424">
        <f>IFERROR(AH3424*0.1, "N/A")</f>
        <v>5.6153846153846203</v>
      </c>
      <c r="AH3424">
        <v>56.153846153846203</v>
      </c>
      <c r="AI3424">
        <v>139.208418441058</v>
      </c>
      <c r="AJ3424">
        <v>7</v>
      </c>
      <c r="AK3424">
        <v>87</v>
      </c>
    </row>
    <row r="3425" spans="1:37" x14ac:dyDescent="0.3">
      <c r="A3425">
        <v>3424</v>
      </c>
      <c r="B3425">
        <v>36.700001</v>
      </c>
      <c r="C3425">
        <v>-16.412500000000001</v>
      </c>
      <c r="D3425">
        <v>14.549200000000001</v>
      </c>
      <c r="E3425">
        <f>-16.4125-14.5492</f>
        <v>-30.9617</v>
      </c>
      <c r="F3425" t="s">
        <v>5516</v>
      </c>
      <c r="G3425" t="s">
        <v>39</v>
      </c>
      <c r="H3425">
        <v>1971</v>
      </c>
      <c r="I3425">
        <v>27.0991628573368</v>
      </c>
      <c r="J3425">
        <v>15.4008371426632</v>
      </c>
      <c r="K3425">
        <v>67.008375209380304</v>
      </c>
      <c r="L3425">
        <v>17.247738689633501</v>
      </c>
      <c r="M3425">
        <v>37.299999237060497</v>
      </c>
      <c r="N3425">
        <v>14.6000003814697</v>
      </c>
      <c r="O3425">
        <v>22.700000762939499</v>
      </c>
      <c r="P3425">
        <v>27.999162475867099</v>
      </c>
      <c r="Q3425">
        <v>26.399999618530298</v>
      </c>
      <c r="R3425">
        <v>28.799161728902099</v>
      </c>
      <c r="S3425">
        <v>24.300836761193501</v>
      </c>
      <c r="T3425">
        <v>570.99162479061999</v>
      </c>
      <c r="U3425">
        <v>212</v>
      </c>
      <c r="V3425">
        <v>0</v>
      </c>
      <c r="W3425">
        <v>150</v>
      </c>
      <c r="X3425">
        <v>495.99162479061999</v>
      </c>
      <c r="Y3425">
        <v>0</v>
      </c>
      <c r="Z3425">
        <v>144</v>
      </c>
      <c r="AA3425">
        <v>2</v>
      </c>
      <c r="AB3425">
        <v>0.49145761167184399</v>
      </c>
      <c r="AC3425">
        <v>5.8410703162451998E-2</v>
      </c>
      <c r="AD3425">
        <v>1.82933301063039</v>
      </c>
      <c r="AE3425">
        <v>0.68593358244728198</v>
      </c>
      <c r="AF3425">
        <v>9.26298157453936</v>
      </c>
      <c r="AG3425">
        <f>IFERROR(AH3425*0.1, "N/A")</f>
        <v>5.7882747068676705</v>
      </c>
      <c r="AH3425">
        <v>57.8827470686767</v>
      </c>
      <c r="AI3425">
        <v>268.35097205898501</v>
      </c>
      <c r="AJ3425">
        <v>8</v>
      </c>
      <c r="AK3425">
        <v>83.576214405360105</v>
      </c>
    </row>
    <row r="3426" spans="1:37" x14ac:dyDescent="0.3">
      <c r="A3426">
        <v>3425</v>
      </c>
      <c r="B3426">
        <v>62.900002000000001</v>
      </c>
      <c r="C3426">
        <v>-16.733298999999999</v>
      </c>
      <c r="D3426">
        <v>14.55</v>
      </c>
      <c r="E3426">
        <f>-16.733299-14.55</f>
        <v>-31.283299</v>
      </c>
      <c r="F3426" t="s">
        <v>5517</v>
      </c>
      <c r="G3426" t="s">
        <v>39</v>
      </c>
      <c r="H3426">
        <v>1958</v>
      </c>
      <c r="I3426">
        <v>26.3508355513863</v>
      </c>
      <c r="J3426">
        <v>13.699999809265099</v>
      </c>
      <c r="K3426">
        <v>68.901337792642096</v>
      </c>
      <c r="L3426">
        <v>15.841789384350699</v>
      </c>
      <c r="M3426">
        <v>34.609864920676799</v>
      </c>
      <c r="N3426">
        <v>14.890133454249501</v>
      </c>
      <c r="O3426">
        <v>19.719733091501102</v>
      </c>
      <c r="P3426">
        <v>27.489130393318501</v>
      </c>
      <c r="Q3426">
        <v>26.389130011848799</v>
      </c>
      <c r="R3426">
        <v>27.761705507004098</v>
      </c>
      <c r="S3426">
        <v>23.799999237060501</v>
      </c>
      <c r="T3426">
        <v>560.01003344481603</v>
      </c>
      <c r="U3426">
        <v>219</v>
      </c>
      <c r="V3426">
        <v>0</v>
      </c>
      <c r="W3426">
        <v>154</v>
      </c>
      <c r="X3426">
        <v>490.10869565217399</v>
      </c>
      <c r="Y3426">
        <v>0</v>
      </c>
      <c r="Z3426">
        <v>153.02173913043501</v>
      </c>
      <c r="AA3426">
        <v>3</v>
      </c>
      <c r="AB3426">
        <v>2.95317644100126</v>
      </c>
      <c r="AC3426">
        <v>1.8343931604426E-2</v>
      </c>
      <c r="AD3426">
        <v>1.9358150018098801</v>
      </c>
      <c r="AE3426">
        <v>0.73285925388336204</v>
      </c>
      <c r="AF3426">
        <v>24.329431438127099</v>
      </c>
      <c r="AG3426">
        <f>IFERROR(AH3426*0.1, "N/A")</f>
        <v>6.179264214046821</v>
      </c>
      <c r="AH3426">
        <v>61.792642140468203</v>
      </c>
      <c r="AI3426">
        <v>162.50488329731101</v>
      </c>
      <c r="AJ3426">
        <v>9</v>
      </c>
      <c r="AK3426">
        <v>83.207357859531797</v>
      </c>
    </row>
    <row r="3427" spans="1:37" x14ac:dyDescent="0.3">
      <c r="A3427">
        <v>3426</v>
      </c>
      <c r="B3427">
        <v>0</v>
      </c>
      <c r="C3427">
        <v>-16.795500000000001</v>
      </c>
      <c r="D3427">
        <v>14.555099999999999</v>
      </c>
      <c r="E3427">
        <f>-16.7955-14.5551</f>
        <v>-31.3506</v>
      </c>
      <c r="F3427" t="s">
        <v>5518</v>
      </c>
      <c r="G3427" t="s">
        <v>39</v>
      </c>
      <c r="H3427">
        <v>1987</v>
      </c>
      <c r="I3427">
        <v>26.299999237060501</v>
      </c>
      <c r="J3427">
        <v>13.300000190734901</v>
      </c>
      <c r="K3427">
        <v>70</v>
      </c>
      <c r="L3427">
        <v>15.6499996185303</v>
      </c>
      <c r="M3427">
        <v>34.099998474121101</v>
      </c>
      <c r="N3427">
        <v>15.1000003814697</v>
      </c>
      <c r="O3427">
        <v>19</v>
      </c>
      <c r="P3427">
        <v>27.399999618530298</v>
      </c>
      <c r="Q3427">
        <v>26.200000762939499</v>
      </c>
      <c r="R3427">
        <v>27.700000762939499</v>
      </c>
      <c r="S3427">
        <v>23.799999237060501</v>
      </c>
      <c r="T3427">
        <v>555</v>
      </c>
      <c r="U3427">
        <v>218</v>
      </c>
      <c r="V3427">
        <v>0</v>
      </c>
      <c r="W3427">
        <v>153</v>
      </c>
      <c r="X3427">
        <v>486</v>
      </c>
      <c r="Y3427">
        <v>0</v>
      </c>
      <c r="Z3427">
        <v>344</v>
      </c>
      <c r="AA3427">
        <v>3</v>
      </c>
      <c r="AB3427">
        <v>3.3364702657491199</v>
      </c>
      <c r="AC3427">
        <v>1.2842514992011E-2</v>
      </c>
      <c r="AD3427">
        <v>1.31026372148209</v>
      </c>
      <c r="AE3427">
        <v>0.730152606964111</v>
      </c>
      <c r="AF3427">
        <v>26.097478991596599</v>
      </c>
      <c r="AG3427">
        <f>IFERROR(AH3427*0.1, "N/A")</f>
        <v>5.9890756302521</v>
      </c>
      <c r="AH3427">
        <v>59.890756302520998</v>
      </c>
      <c r="AI3427">
        <v>207.248941142619</v>
      </c>
      <c r="AJ3427">
        <v>10.9731092436975</v>
      </c>
      <c r="AK3427">
        <v>82.090756302521001</v>
      </c>
    </row>
    <row r="3428" spans="1:37" x14ac:dyDescent="0.3">
      <c r="A3428">
        <v>3427</v>
      </c>
      <c r="B3428">
        <v>8</v>
      </c>
      <c r="C3428">
        <v>-16.166599000000001</v>
      </c>
      <c r="D3428">
        <v>14.566700000000001</v>
      </c>
      <c r="E3428">
        <f>-16.166599-14.5667</f>
        <v>-30.733299000000002</v>
      </c>
      <c r="F3428" t="s">
        <v>5519</v>
      </c>
      <c r="G3428" t="s">
        <v>39</v>
      </c>
      <c r="H3428">
        <v>1996</v>
      </c>
      <c r="I3428">
        <v>27.638655991113499</v>
      </c>
      <c r="J3428">
        <v>16</v>
      </c>
      <c r="K3428">
        <v>66</v>
      </c>
      <c r="L3428">
        <v>18.312016370116201</v>
      </c>
      <c r="M3428">
        <v>38.938656398228197</v>
      </c>
      <c r="N3428">
        <v>14.8386554317314</v>
      </c>
      <c r="O3428">
        <v>24.100000381469702</v>
      </c>
      <c r="P3428">
        <v>28.401344161474402</v>
      </c>
      <c r="Q3428">
        <v>27.200000762939499</v>
      </c>
      <c r="R3428">
        <v>29.5013445429441</v>
      </c>
      <c r="S3428">
        <v>24.8013437800047</v>
      </c>
      <c r="T3428">
        <v>550.579831932773</v>
      </c>
      <c r="U3428">
        <v>192.18319327731101</v>
      </c>
      <c r="V3428">
        <v>0</v>
      </c>
      <c r="W3428">
        <v>146.783193277311</v>
      </c>
      <c r="X3428">
        <v>471.579831932773</v>
      </c>
      <c r="Y3428">
        <v>0</v>
      </c>
      <c r="Z3428">
        <v>151.613445378151</v>
      </c>
      <c r="AA3428">
        <v>2</v>
      </c>
      <c r="AB3428">
        <v>1.1541177845802599</v>
      </c>
      <c r="AC3428">
        <v>9.7307868038546808</v>
      </c>
      <c r="AD3428">
        <v>1.6423570434586301</v>
      </c>
      <c r="AE3428">
        <v>0.71787941455841098</v>
      </c>
      <c r="AF3428">
        <v>12.5193277310924</v>
      </c>
      <c r="AG3428">
        <f>IFERROR(AH3428*0.1, "N/A")</f>
        <v>5.8000000000000007</v>
      </c>
      <c r="AH3428">
        <v>58</v>
      </c>
      <c r="AI3428">
        <v>143.22333157323001</v>
      </c>
      <c r="AJ3428">
        <v>7.1781512605042002</v>
      </c>
      <c r="AK3428">
        <v>85.826890756302504</v>
      </c>
    </row>
    <row r="3429" spans="1:37" x14ac:dyDescent="0.3">
      <c r="A3429">
        <v>3428</v>
      </c>
      <c r="B3429">
        <v>0</v>
      </c>
      <c r="C3429">
        <v>-16.166599000000001</v>
      </c>
      <c r="D3429">
        <v>14.566700000000001</v>
      </c>
      <c r="E3429">
        <f>-16.166599-14.5667</f>
        <v>-30.733299000000002</v>
      </c>
      <c r="F3429" t="s">
        <v>5520</v>
      </c>
      <c r="G3429" t="s">
        <v>37</v>
      </c>
      <c r="H3429">
        <v>1996</v>
      </c>
      <c r="I3429">
        <v>27.638655991113499</v>
      </c>
      <c r="J3429">
        <v>16</v>
      </c>
      <c r="K3429">
        <v>66</v>
      </c>
      <c r="L3429">
        <v>18.312016370116201</v>
      </c>
      <c r="M3429">
        <v>38.938656398228197</v>
      </c>
      <c r="N3429">
        <v>14.8386554317314</v>
      </c>
      <c r="O3429">
        <v>24.100000381469702</v>
      </c>
      <c r="P3429">
        <v>28.401344161474402</v>
      </c>
      <c r="Q3429">
        <v>27.200000762939499</v>
      </c>
      <c r="R3429">
        <v>29.5013445429441</v>
      </c>
      <c r="S3429">
        <v>24.8013437800047</v>
      </c>
      <c r="T3429">
        <v>550.579831932773</v>
      </c>
      <c r="U3429">
        <v>192.18319327731101</v>
      </c>
      <c r="V3429">
        <v>0</v>
      </c>
      <c r="W3429">
        <v>146.783193277311</v>
      </c>
      <c r="X3429">
        <v>471.579831932773</v>
      </c>
      <c r="Y3429">
        <v>0</v>
      </c>
      <c r="Z3429">
        <v>151.613445378151</v>
      </c>
      <c r="AA3429">
        <v>2</v>
      </c>
      <c r="AB3429">
        <v>1.1541177845802599</v>
      </c>
      <c r="AC3429">
        <v>9.7307868038546808</v>
      </c>
      <c r="AD3429">
        <v>1.6423570434586301</v>
      </c>
      <c r="AE3429">
        <v>0.71787941455841098</v>
      </c>
      <c r="AF3429">
        <v>12.5193277310924</v>
      </c>
      <c r="AG3429">
        <f>IFERROR(AH3429*0.1, "N/A")</f>
        <v>5.8000000000000007</v>
      </c>
      <c r="AH3429">
        <v>58</v>
      </c>
      <c r="AI3429">
        <v>143.22333157323001</v>
      </c>
      <c r="AJ3429">
        <v>7.1781512605042002</v>
      </c>
      <c r="AK3429">
        <v>85.826890756302504</v>
      </c>
    </row>
    <row r="3430" spans="1:37" x14ac:dyDescent="0.3">
      <c r="A3430">
        <v>3429</v>
      </c>
      <c r="B3430">
        <v>0</v>
      </c>
      <c r="C3430">
        <v>-16.253</v>
      </c>
      <c r="D3430">
        <v>14.568</v>
      </c>
      <c r="E3430">
        <f>-16.253-14.568</f>
        <v>-30.820999999999998</v>
      </c>
      <c r="F3430" t="s">
        <v>5521</v>
      </c>
      <c r="G3430" t="s">
        <v>39</v>
      </c>
      <c r="H3430">
        <v>1987</v>
      </c>
      <c r="I3430">
        <v>27.700000762939499</v>
      </c>
      <c r="J3430">
        <v>15.8999996185303</v>
      </c>
      <c r="K3430">
        <v>66</v>
      </c>
      <c r="L3430">
        <v>18.25</v>
      </c>
      <c r="M3430">
        <v>38.700000762939503</v>
      </c>
      <c r="N3430">
        <v>14.8999996185303</v>
      </c>
      <c r="O3430">
        <v>23.799999237060501</v>
      </c>
      <c r="P3430">
        <v>28.5</v>
      </c>
      <c r="Q3430">
        <v>27.200000762939499</v>
      </c>
      <c r="R3430">
        <v>29.5</v>
      </c>
      <c r="S3430">
        <v>24.799999237060501</v>
      </c>
      <c r="T3430">
        <v>554</v>
      </c>
      <c r="U3430">
        <v>198</v>
      </c>
      <c r="V3430">
        <v>0</v>
      </c>
      <c r="W3430">
        <v>146</v>
      </c>
      <c r="X3430">
        <v>477</v>
      </c>
      <c r="Y3430">
        <v>0</v>
      </c>
      <c r="Z3430">
        <v>147</v>
      </c>
      <c r="AA3430">
        <v>2</v>
      </c>
      <c r="AB3430">
        <v>3.04941211107398</v>
      </c>
      <c r="AC3430">
        <v>9.4748268890030001E-3</v>
      </c>
      <c r="AD3430">
        <v>2.2903695371972401</v>
      </c>
      <c r="AE3430">
        <v>0.70955882382993996</v>
      </c>
      <c r="AF3430">
        <v>6.1176470588235299</v>
      </c>
      <c r="AG3430">
        <f>IFERROR(AH3430*0.1, "N/A")</f>
        <v>5.55378151260504</v>
      </c>
      <c r="AH3430">
        <v>55.537815126050397</v>
      </c>
      <c r="AI3430">
        <v>224.463618155087</v>
      </c>
      <c r="AJ3430">
        <v>8.0924369747899192</v>
      </c>
      <c r="AK3430">
        <v>82.440336134453801</v>
      </c>
    </row>
    <row r="3431" spans="1:37" x14ac:dyDescent="0.3">
      <c r="A3431">
        <v>3430</v>
      </c>
      <c r="B3431">
        <v>0</v>
      </c>
      <c r="C3431">
        <v>-16.253</v>
      </c>
      <c r="D3431">
        <v>14.568</v>
      </c>
      <c r="E3431">
        <f>-16.253-14.568</f>
        <v>-30.820999999999998</v>
      </c>
      <c r="F3431" t="s">
        <v>5522</v>
      </c>
      <c r="G3431" t="s">
        <v>37</v>
      </c>
      <c r="H3431">
        <v>1987</v>
      </c>
      <c r="I3431">
        <v>27.700000762939499</v>
      </c>
      <c r="J3431">
        <v>15.8999996185303</v>
      </c>
      <c r="K3431">
        <v>66</v>
      </c>
      <c r="L3431">
        <v>18.25</v>
      </c>
      <c r="M3431">
        <v>38.700000762939503</v>
      </c>
      <c r="N3431">
        <v>14.8999996185303</v>
      </c>
      <c r="O3431">
        <v>23.799999237060501</v>
      </c>
      <c r="P3431">
        <v>28.5</v>
      </c>
      <c r="Q3431">
        <v>27.200000762939499</v>
      </c>
      <c r="R3431">
        <v>29.5</v>
      </c>
      <c r="S3431">
        <v>24.799999237060501</v>
      </c>
      <c r="T3431">
        <v>554</v>
      </c>
      <c r="U3431">
        <v>198</v>
      </c>
      <c r="V3431">
        <v>0</v>
      </c>
      <c r="W3431">
        <v>146</v>
      </c>
      <c r="X3431">
        <v>477</v>
      </c>
      <c r="Y3431">
        <v>0</v>
      </c>
      <c r="Z3431">
        <v>147</v>
      </c>
      <c r="AA3431">
        <v>2</v>
      </c>
      <c r="AB3431">
        <v>3.04941211107398</v>
      </c>
      <c r="AC3431">
        <v>9.4748268890030001E-3</v>
      </c>
      <c r="AD3431">
        <v>2.2903695371972401</v>
      </c>
      <c r="AE3431">
        <v>0.70955882382993996</v>
      </c>
      <c r="AF3431">
        <v>6.1176470588235299</v>
      </c>
      <c r="AG3431">
        <f>IFERROR(AH3431*0.1, "N/A")</f>
        <v>5.55378151260504</v>
      </c>
      <c r="AH3431">
        <v>55.537815126050397</v>
      </c>
      <c r="AI3431">
        <v>224.463618155087</v>
      </c>
      <c r="AJ3431">
        <v>8.0924369747899192</v>
      </c>
      <c r="AK3431">
        <v>82.440336134453801</v>
      </c>
    </row>
    <row r="3432" spans="1:37" x14ac:dyDescent="0.3">
      <c r="A3432">
        <v>3431</v>
      </c>
      <c r="B3432">
        <v>7.3</v>
      </c>
      <c r="C3432">
        <v>-15.4</v>
      </c>
      <c r="D3432">
        <v>14.6</v>
      </c>
      <c r="E3432">
        <f>-15.4-14.6</f>
        <v>-30</v>
      </c>
      <c r="F3432" t="s">
        <v>5523</v>
      </c>
      <c r="G3432" t="s">
        <v>39</v>
      </c>
      <c r="H3432">
        <v>1996</v>
      </c>
      <c r="I3432">
        <v>27.299999237060501</v>
      </c>
      <c r="J3432">
        <v>15.8999996185303</v>
      </c>
      <c r="K3432">
        <v>64</v>
      </c>
      <c r="L3432">
        <v>19.4805032070851</v>
      </c>
      <c r="M3432">
        <v>39.299999237060497</v>
      </c>
      <c r="N3432">
        <v>14.5</v>
      </c>
      <c r="O3432">
        <v>24.799999237060501</v>
      </c>
      <c r="P3432">
        <v>27.5738257849777</v>
      </c>
      <c r="Q3432">
        <v>27.399999618530298</v>
      </c>
      <c r="R3432">
        <v>29.674329524072199</v>
      </c>
      <c r="S3432">
        <v>24.399999618530298</v>
      </c>
      <c r="T3432">
        <v>525.47651006711396</v>
      </c>
      <c r="U3432">
        <v>172.73825503355701</v>
      </c>
      <c r="V3432">
        <v>0</v>
      </c>
      <c r="W3432">
        <v>139.73825503355701</v>
      </c>
      <c r="X3432">
        <v>434.47651006711402</v>
      </c>
      <c r="Y3432">
        <v>0</v>
      </c>
      <c r="Z3432">
        <v>40</v>
      </c>
      <c r="AA3432">
        <v>3</v>
      </c>
      <c r="AB3432">
        <v>0.10369085785526599</v>
      </c>
      <c r="AC3432">
        <v>4.4218655800659E-2</v>
      </c>
      <c r="AD3432">
        <v>1.71069620329662</v>
      </c>
      <c r="AE3432">
        <v>0.67972594499588002</v>
      </c>
      <c r="AF3432">
        <v>45.8137583892617</v>
      </c>
      <c r="AG3432">
        <f>IFERROR(AH3432*0.1, "N/A")</f>
        <v>6.1241610738255003</v>
      </c>
      <c r="AH3432">
        <v>61.241610738254998</v>
      </c>
      <c r="AI3432">
        <v>179.398958955035</v>
      </c>
      <c r="AJ3432">
        <v>9.8875838926174495</v>
      </c>
      <c r="AK3432">
        <v>78.637583892617499</v>
      </c>
    </row>
    <row r="3433" spans="1:37" x14ac:dyDescent="0.3">
      <c r="A3433">
        <v>3432</v>
      </c>
      <c r="B3433">
        <v>0</v>
      </c>
      <c r="C3433">
        <v>-15.4</v>
      </c>
      <c r="D3433">
        <v>14.6</v>
      </c>
      <c r="E3433">
        <f>-15.4-14.6</f>
        <v>-30</v>
      </c>
      <c r="F3433" t="s">
        <v>5524</v>
      </c>
      <c r="G3433" t="s">
        <v>37</v>
      </c>
      <c r="H3433">
        <v>1996</v>
      </c>
      <c r="I3433">
        <v>27.299999237060501</v>
      </c>
      <c r="J3433">
        <v>15.8999996185303</v>
      </c>
      <c r="K3433">
        <v>64</v>
      </c>
      <c r="L3433">
        <v>19.4805032070851</v>
      </c>
      <c r="M3433">
        <v>39.299999237060497</v>
      </c>
      <c r="N3433">
        <v>14.5</v>
      </c>
      <c r="O3433">
        <v>24.799999237060501</v>
      </c>
      <c r="P3433">
        <v>27.5738257849777</v>
      </c>
      <c r="Q3433">
        <v>27.399999618530298</v>
      </c>
      <c r="R3433">
        <v>29.674329524072199</v>
      </c>
      <c r="S3433">
        <v>24.399999618530298</v>
      </c>
      <c r="T3433">
        <v>525.47651006711396</v>
      </c>
      <c r="U3433">
        <v>172.73825503355701</v>
      </c>
      <c r="V3433">
        <v>0</v>
      </c>
      <c r="W3433">
        <v>139.73825503355701</v>
      </c>
      <c r="X3433">
        <v>434.47651006711402</v>
      </c>
      <c r="Y3433">
        <v>0</v>
      </c>
      <c r="Z3433">
        <v>40</v>
      </c>
      <c r="AA3433">
        <v>3</v>
      </c>
      <c r="AB3433">
        <v>0.10369085785526599</v>
      </c>
      <c r="AC3433">
        <v>4.4218655800659E-2</v>
      </c>
      <c r="AD3433">
        <v>1.71069620329662</v>
      </c>
      <c r="AE3433">
        <v>0.67972594499588002</v>
      </c>
      <c r="AF3433">
        <v>45.8137583892617</v>
      </c>
      <c r="AG3433">
        <f>IFERROR(AH3433*0.1, "N/A")</f>
        <v>6.1241610738255003</v>
      </c>
      <c r="AH3433">
        <v>61.241610738254998</v>
      </c>
      <c r="AI3433">
        <v>179.398958955035</v>
      </c>
      <c r="AJ3433">
        <v>9.8875838926174495</v>
      </c>
      <c r="AK3433">
        <v>78.637583892617499</v>
      </c>
    </row>
    <row r="3434" spans="1:37" x14ac:dyDescent="0.3">
      <c r="A3434">
        <v>3433</v>
      </c>
      <c r="B3434">
        <v>4.5</v>
      </c>
      <c r="C3434">
        <v>-16.516701000000001</v>
      </c>
      <c r="D3434">
        <v>14.6</v>
      </c>
      <c r="E3434">
        <f>-16.516701-14.6</f>
        <v>-31.116700999999999</v>
      </c>
      <c r="F3434" t="s">
        <v>5525</v>
      </c>
      <c r="G3434" t="s">
        <v>39</v>
      </c>
      <c r="H3434">
        <v>1971</v>
      </c>
      <c r="I3434">
        <v>26.700000762939499</v>
      </c>
      <c r="J3434">
        <v>15.1000003814697</v>
      </c>
      <c r="K3434">
        <v>68.719327731092406</v>
      </c>
      <c r="L3434">
        <v>16.556857511376101</v>
      </c>
      <c r="M3434">
        <v>36.3280671063591</v>
      </c>
      <c r="N3434">
        <v>14.471932666041299</v>
      </c>
      <c r="O3434">
        <v>21.856133904978002</v>
      </c>
      <c r="P3434">
        <v>27.700000762939499</v>
      </c>
      <c r="Q3434">
        <v>25.899999618530298</v>
      </c>
      <c r="R3434">
        <v>28.299999237060501</v>
      </c>
      <c r="S3434">
        <v>24.046890935176599</v>
      </c>
      <c r="T3434">
        <v>563.94789915966396</v>
      </c>
      <c r="U3434">
        <v>215.927731092437</v>
      </c>
      <c r="V3434">
        <v>0</v>
      </c>
      <c r="W3434">
        <v>151.709243697479</v>
      </c>
      <c r="X3434">
        <v>493.13613445378098</v>
      </c>
      <c r="Y3434">
        <v>0</v>
      </c>
      <c r="Z3434">
        <v>135.81176470588201</v>
      </c>
      <c r="AA3434">
        <v>2</v>
      </c>
      <c r="AB3434">
        <v>0.249915762508617</v>
      </c>
      <c r="AC3434">
        <v>0.90703291480092896</v>
      </c>
      <c r="AD3434">
        <v>2.6651174641456898</v>
      </c>
      <c r="AE3434">
        <v>0.71719002723693803</v>
      </c>
      <c r="AF3434">
        <v>12.0504201680672</v>
      </c>
      <c r="AG3434">
        <f>IFERROR(AH3434*0.1, "N/A")</f>
        <v>5.8176470588235301</v>
      </c>
      <c r="AH3434">
        <v>58.176470588235297</v>
      </c>
      <c r="AI3434">
        <v>221.26437493332301</v>
      </c>
      <c r="AJ3434">
        <v>6.7193277310924397</v>
      </c>
      <c r="AK3434">
        <v>86.620168067226899</v>
      </c>
    </row>
    <row r="3435" spans="1:37" x14ac:dyDescent="0.3">
      <c r="A3435">
        <v>3434</v>
      </c>
      <c r="B3435">
        <v>14.3</v>
      </c>
      <c r="C3435">
        <v>-12.832100000000001</v>
      </c>
      <c r="D3435">
        <v>14.6008</v>
      </c>
      <c r="E3435">
        <f>-12.8321-14.6008</f>
        <v>-27.4329</v>
      </c>
      <c r="F3435" t="s">
        <v>5526</v>
      </c>
      <c r="G3435" t="s">
        <v>39</v>
      </c>
      <c r="H3435">
        <v>1996</v>
      </c>
      <c r="I3435">
        <v>28.088758727848099</v>
      </c>
      <c r="J3435">
        <v>14.5</v>
      </c>
      <c r="K3435">
        <v>59</v>
      </c>
      <c r="L3435">
        <v>24.279462689521299</v>
      </c>
      <c r="M3435">
        <v>40</v>
      </c>
      <c r="N3435">
        <v>15.5</v>
      </c>
      <c r="O3435">
        <v>24.5</v>
      </c>
      <c r="P3435">
        <v>27.288757797855698</v>
      </c>
      <c r="Q3435">
        <v>26.788757797855698</v>
      </c>
      <c r="R3435">
        <v>31.5</v>
      </c>
      <c r="S3435">
        <v>25.1887591093179</v>
      </c>
      <c r="T3435">
        <v>734</v>
      </c>
      <c r="U3435">
        <v>225</v>
      </c>
      <c r="V3435">
        <v>0</v>
      </c>
      <c r="W3435">
        <v>130</v>
      </c>
      <c r="X3435">
        <v>577</v>
      </c>
      <c r="Y3435">
        <v>1</v>
      </c>
      <c r="Z3435">
        <v>104</v>
      </c>
      <c r="AA3435">
        <v>1</v>
      </c>
      <c r="AB3435">
        <v>2.2887553912681202</v>
      </c>
      <c r="AC3435">
        <v>1.9831717925320999E-2</v>
      </c>
      <c r="AD3435">
        <v>1.8250532994334301</v>
      </c>
      <c r="AE3435">
        <v>0.66562837362289395</v>
      </c>
      <c r="AF3435">
        <v>78.973154362416096</v>
      </c>
      <c r="AG3435">
        <f>IFERROR(AH3435*0.1, "N/A")</f>
        <v>5.9994966442953004</v>
      </c>
      <c r="AH3435">
        <v>59.994966442953</v>
      </c>
      <c r="AI3435">
        <v>87.135716332685206</v>
      </c>
      <c r="AJ3435">
        <v>12.8406040268456</v>
      </c>
      <c r="AK3435">
        <v>73.159395973154403</v>
      </c>
    </row>
    <row r="3436" spans="1:37" x14ac:dyDescent="0.3">
      <c r="A3436">
        <v>3435</v>
      </c>
      <c r="B3436">
        <v>0</v>
      </c>
      <c r="C3436">
        <v>-12.832100000000001</v>
      </c>
      <c r="D3436">
        <v>14.6008</v>
      </c>
      <c r="E3436">
        <f>-12.8321-14.6008</f>
        <v>-27.4329</v>
      </c>
      <c r="F3436" t="s">
        <v>5527</v>
      </c>
      <c r="G3436" t="s">
        <v>37</v>
      </c>
      <c r="H3436">
        <v>1996</v>
      </c>
      <c r="I3436">
        <v>28.088758727848099</v>
      </c>
      <c r="J3436">
        <v>14.5</v>
      </c>
      <c r="K3436">
        <v>59</v>
      </c>
      <c r="L3436">
        <v>24.279462689521299</v>
      </c>
      <c r="M3436">
        <v>40</v>
      </c>
      <c r="N3436">
        <v>15.5</v>
      </c>
      <c r="O3436">
        <v>24.5</v>
      </c>
      <c r="P3436">
        <v>27.288757797855698</v>
      </c>
      <c r="Q3436">
        <v>26.788757797855698</v>
      </c>
      <c r="R3436">
        <v>31.5</v>
      </c>
      <c r="S3436">
        <v>25.1887591093179</v>
      </c>
      <c r="T3436">
        <v>734</v>
      </c>
      <c r="U3436">
        <v>225</v>
      </c>
      <c r="V3436">
        <v>0</v>
      </c>
      <c r="W3436">
        <v>130</v>
      </c>
      <c r="X3436">
        <v>577</v>
      </c>
      <c r="Y3436">
        <v>1</v>
      </c>
      <c r="Z3436">
        <v>104</v>
      </c>
      <c r="AA3436">
        <v>1</v>
      </c>
      <c r="AB3436">
        <v>2.2887553912681202</v>
      </c>
      <c r="AC3436">
        <v>1.9831717925320999E-2</v>
      </c>
      <c r="AD3436">
        <v>1.8250532994334301</v>
      </c>
      <c r="AE3436">
        <v>0.66562837362289395</v>
      </c>
      <c r="AF3436">
        <v>78.973154362416096</v>
      </c>
      <c r="AG3436">
        <f>IFERROR(AH3436*0.1, "N/A")</f>
        <v>5.9994966442953004</v>
      </c>
      <c r="AH3436">
        <v>59.994966442953</v>
      </c>
      <c r="AI3436">
        <v>87.135716332685206</v>
      </c>
      <c r="AJ3436">
        <v>12.8406040268456</v>
      </c>
      <c r="AK3436">
        <v>73.159395973154403</v>
      </c>
    </row>
    <row r="3437" spans="1:37" x14ac:dyDescent="0.3">
      <c r="A3437">
        <v>3436</v>
      </c>
      <c r="B3437">
        <v>32.099997999999999</v>
      </c>
      <c r="C3437">
        <v>-16.299999</v>
      </c>
      <c r="D3437">
        <v>14.6167</v>
      </c>
      <c r="E3437">
        <f>-16.299999-14.6167</f>
        <v>-30.916699000000001</v>
      </c>
      <c r="F3437" t="s">
        <v>5528</v>
      </c>
      <c r="G3437" t="s">
        <v>39</v>
      </c>
      <c r="H3437">
        <v>1962</v>
      </c>
      <c r="I3437">
        <v>27.445058416881</v>
      </c>
      <c r="J3437">
        <v>15.8999996185303</v>
      </c>
      <c r="K3437">
        <v>67</v>
      </c>
      <c r="L3437">
        <v>18.151356356826899</v>
      </c>
      <c r="M3437">
        <v>38.313567386799697</v>
      </c>
      <c r="N3437">
        <v>14.699999809265099</v>
      </c>
      <c r="O3437">
        <v>23.613568272422899</v>
      </c>
      <c r="P3437">
        <v>28.345058035411199</v>
      </c>
      <c r="Q3437">
        <v>26.8586259263644</v>
      </c>
      <c r="R3437">
        <v>29.299999237060501</v>
      </c>
      <c r="S3437">
        <v>24.600000381469702</v>
      </c>
      <c r="T3437">
        <v>556.23450586264698</v>
      </c>
      <c r="U3437">
        <v>202.54941373534299</v>
      </c>
      <c r="V3437">
        <v>0</v>
      </c>
      <c r="W3437">
        <v>147.68509212730299</v>
      </c>
      <c r="X3437">
        <v>480.23450586264698</v>
      </c>
      <c r="Y3437">
        <v>0</v>
      </c>
      <c r="Z3437">
        <v>143.13567839196</v>
      </c>
      <c r="AA3437">
        <v>2</v>
      </c>
      <c r="AB3437">
        <v>1.00519296911294</v>
      </c>
      <c r="AC3437">
        <v>1.3350566240710999E-2</v>
      </c>
      <c r="AD3437">
        <v>1.3554188477334099</v>
      </c>
      <c r="AE3437">
        <v>0.71845769882202104</v>
      </c>
      <c r="AF3437">
        <v>21.634840871021801</v>
      </c>
      <c r="AG3437">
        <f>IFERROR(AH3437*0.1, "N/A")</f>
        <v>5.5450586264656607</v>
      </c>
      <c r="AH3437">
        <v>55.4505862646566</v>
      </c>
      <c r="AI3437">
        <v>226.13657343367601</v>
      </c>
      <c r="AJ3437">
        <v>7.5494137353433803</v>
      </c>
      <c r="AK3437">
        <v>85.9011725293132</v>
      </c>
    </row>
    <row r="3438" spans="1:37" x14ac:dyDescent="0.3">
      <c r="A3438">
        <v>3437</v>
      </c>
      <c r="B3438">
        <v>0</v>
      </c>
      <c r="C3438">
        <v>-16.299999</v>
      </c>
      <c r="D3438">
        <v>14.6167</v>
      </c>
      <c r="E3438">
        <f>-16.299999-14.6167</f>
        <v>-30.916699000000001</v>
      </c>
      <c r="F3438" t="s">
        <v>5529</v>
      </c>
      <c r="G3438" t="s">
        <v>37</v>
      </c>
      <c r="H3438">
        <v>1962</v>
      </c>
      <c r="I3438">
        <v>27.445058416881</v>
      </c>
      <c r="J3438">
        <v>15.8999996185303</v>
      </c>
      <c r="K3438">
        <v>67</v>
      </c>
      <c r="L3438">
        <v>18.151356356826899</v>
      </c>
      <c r="M3438">
        <v>38.313567386799697</v>
      </c>
      <c r="N3438">
        <v>14.699999809265099</v>
      </c>
      <c r="O3438">
        <v>23.613568272422899</v>
      </c>
      <c r="P3438">
        <v>28.345058035411199</v>
      </c>
      <c r="Q3438">
        <v>26.8586259263644</v>
      </c>
      <c r="R3438">
        <v>29.299999237060501</v>
      </c>
      <c r="S3438">
        <v>24.600000381469702</v>
      </c>
      <c r="T3438">
        <v>556.23450586264698</v>
      </c>
      <c r="U3438">
        <v>202.54941373534299</v>
      </c>
      <c r="V3438">
        <v>0</v>
      </c>
      <c r="W3438">
        <v>147.68509212730299</v>
      </c>
      <c r="X3438">
        <v>480.23450586264698</v>
      </c>
      <c r="Y3438">
        <v>0</v>
      </c>
      <c r="Z3438">
        <v>143.13567839196</v>
      </c>
      <c r="AA3438">
        <v>2</v>
      </c>
      <c r="AB3438">
        <v>1.00519296911294</v>
      </c>
      <c r="AC3438">
        <v>1.3350566240710999E-2</v>
      </c>
      <c r="AD3438">
        <v>1.3554188477334099</v>
      </c>
      <c r="AE3438">
        <v>0.71845769882202104</v>
      </c>
      <c r="AF3438">
        <v>21.634840871021801</v>
      </c>
      <c r="AG3438">
        <f>IFERROR(AH3438*0.1, "N/A")</f>
        <v>5.5450586264656607</v>
      </c>
      <c r="AH3438">
        <v>55.4505862646566</v>
      </c>
      <c r="AI3438">
        <v>226.13657343367601</v>
      </c>
      <c r="AJ3438">
        <v>7.5494137353433803</v>
      </c>
      <c r="AK3438">
        <v>85.9011725293132</v>
      </c>
    </row>
    <row r="3439" spans="1:37" x14ac:dyDescent="0.3">
      <c r="A3439">
        <v>3438</v>
      </c>
      <c r="B3439">
        <v>58</v>
      </c>
      <c r="C3439">
        <v>-16.459999</v>
      </c>
      <c r="D3439">
        <v>14.62</v>
      </c>
      <c r="E3439">
        <f>-16.459999-14.62</f>
        <v>-31.079999000000001</v>
      </c>
      <c r="F3439" t="s">
        <v>5530</v>
      </c>
      <c r="G3439" t="s">
        <v>39</v>
      </c>
      <c r="H3439">
        <v>2003</v>
      </c>
      <c r="I3439">
        <v>26.799999237060501</v>
      </c>
      <c r="J3439">
        <v>15.3999996185303</v>
      </c>
      <c r="K3439">
        <v>68</v>
      </c>
      <c r="L3439">
        <v>16.819999694824201</v>
      </c>
      <c r="M3439">
        <v>36.799999237060497</v>
      </c>
      <c r="N3439">
        <v>14.3999996185303</v>
      </c>
      <c r="O3439">
        <v>22.399999618530298</v>
      </c>
      <c r="P3439">
        <v>27.799999237060501</v>
      </c>
      <c r="Q3439">
        <v>26.100000381469702</v>
      </c>
      <c r="R3439">
        <v>28.399999618530298</v>
      </c>
      <c r="S3439">
        <v>24.100000381469702</v>
      </c>
      <c r="T3439">
        <v>561</v>
      </c>
      <c r="U3439">
        <v>213</v>
      </c>
      <c r="V3439">
        <v>0</v>
      </c>
      <c r="W3439">
        <v>153</v>
      </c>
      <c r="X3439">
        <v>491</v>
      </c>
      <c r="Y3439">
        <v>0</v>
      </c>
      <c r="Z3439">
        <v>136</v>
      </c>
      <c r="AA3439">
        <v>2</v>
      </c>
      <c r="AB3439">
        <v>2.9793625934011998</v>
      </c>
      <c r="AC3439">
        <v>5.7850851864873001E-2</v>
      </c>
      <c r="AD3439">
        <v>1.2212395766037401</v>
      </c>
      <c r="AE3439">
        <v>0.72515099160623198</v>
      </c>
      <c r="AF3439">
        <v>16.530201342281899</v>
      </c>
      <c r="AG3439">
        <f>IFERROR(AH3439*0.1, "N/A")</f>
        <v>5.9734899328859106</v>
      </c>
      <c r="AH3439">
        <v>59.7348993288591</v>
      </c>
      <c r="AI3439">
        <v>126.86604668149999</v>
      </c>
      <c r="AJ3439">
        <v>9.4261744966443004</v>
      </c>
      <c r="AK3439">
        <v>83.687919463087297</v>
      </c>
    </row>
    <row r="3440" spans="1:37" x14ac:dyDescent="0.3">
      <c r="A3440">
        <v>3439</v>
      </c>
      <c r="B3440">
        <v>22.4</v>
      </c>
      <c r="C3440">
        <v>-17.028600999999998</v>
      </c>
      <c r="D3440">
        <v>14.625</v>
      </c>
      <c r="E3440">
        <f>-17.028601-14.625</f>
        <v>-31.653600999999998</v>
      </c>
      <c r="F3440" t="s">
        <v>5531</v>
      </c>
      <c r="G3440" t="s">
        <v>39</v>
      </c>
      <c r="H3440">
        <v>1958</v>
      </c>
      <c r="I3440">
        <v>25.899999618530298</v>
      </c>
      <c r="J3440">
        <v>11.6000003814697</v>
      </c>
      <c r="K3440">
        <v>66</v>
      </c>
      <c r="L3440">
        <v>16.670000076293899</v>
      </c>
      <c r="M3440">
        <v>33.200000762939503</v>
      </c>
      <c r="N3440">
        <v>15.800000190734901</v>
      </c>
      <c r="O3440">
        <v>17.399999618530298</v>
      </c>
      <c r="P3440">
        <v>27.399999618530298</v>
      </c>
      <c r="Q3440">
        <v>25.299999237060501</v>
      </c>
      <c r="R3440">
        <v>27.5</v>
      </c>
      <c r="S3440">
        <v>23.5</v>
      </c>
      <c r="T3440">
        <v>522.14907872696801</v>
      </c>
      <c r="U3440">
        <v>205.14907872696801</v>
      </c>
      <c r="V3440">
        <v>0</v>
      </c>
      <c r="W3440">
        <v>154.14907872696801</v>
      </c>
      <c r="X3440">
        <v>457.14907872696801</v>
      </c>
      <c r="Y3440">
        <v>0</v>
      </c>
      <c r="Z3440">
        <v>316.14907872696801</v>
      </c>
      <c r="AA3440">
        <v>5</v>
      </c>
      <c r="AB3440">
        <v>5.0051928988253804</v>
      </c>
      <c r="AC3440">
        <v>2.785085596244E-2</v>
      </c>
      <c r="AD3440">
        <v>1.86766166113928</v>
      </c>
      <c r="AE3440">
        <v>0.750377297401428</v>
      </c>
      <c r="AF3440">
        <v>29.525963149078699</v>
      </c>
      <c r="AG3440">
        <f>IFERROR(AH3440*0.1, "N/A")</f>
        <v>5.92981574539363</v>
      </c>
      <c r="AH3440">
        <v>59.298157453936298</v>
      </c>
      <c r="AI3440">
        <v>122.66884784283199</v>
      </c>
      <c r="AJ3440">
        <v>16.030150753768801</v>
      </c>
      <c r="AK3440">
        <v>71.984924623115603</v>
      </c>
    </row>
    <row r="3441" spans="1:37" x14ac:dyDescent="0.3">
      <c r="A3441">
        <v>3440</v>
      </c>
      <c r="B3441">
        <v>2.9</v>
      </c>
      <c r="C3441">
        <v>-17.105801</v>
      </c>
      <c r="D3441">
        <v>14.6275</v>
      </c>
      <c r="E3441">
        <f>-17.105801-14.6275</f>
        <v>-31.733300999999997</v>
      </c>
      <c r="F3441" t="s">
        <v>5532</v>
      </c>
      <c r="G3441" t="s">
        <v>39</v>
      </c>
      <c r="H3441">
        <v>1958</v>
      </c>
      <c r="I3441">
        <v>25.700000762939499</v>
      </c>
      <c r="J3441">
        <v>10.8999996185303</v>
      </c>
      <c r="K3441">
        <v>65</v>
      </c>
      <c r="L3441">
        <v>17.790000915527301</v>
      </c>
      <c r="M3441">
        <v>32.700000762939503</v>
      </c>
      <c r="N3441">
        <v>16</v>
      </c>
      <c r="O3441">
        <v>16.700000762939499</v>
      </c>
      <c r="P3441">
        <v>27.399999618530298</v>
      </c>
      <c r="Q3441">
        <v>24.799999237060501</v>
      </c>
      <c r="R3441">
        <v>27.399999618530298</v>
      </c>
      <c r="S3441">
        <v>23.299999237060501</v>
      </c>
      <c r="T3441">
        <v>509</v>
      </c>
      <c r="U3441">
        <v>203</v>
      </c>
      <c r="V3441">
        <v>0</v>
      </c>
      <c r="W3441">
        <v>157</v>
      </c>
      <c r="X3441">
        <v>450</v>
      </c>
      <c r="Y3441">
        <v>0</v>
      </c>
      <c r="Z3441">
        <v>308</v>
      </c>
      <c r="AA3441">
        <v>3</v>
      </c>
      <c r="AB3441">
        <v>8.6348413502550994</v>
      </c>
      <c r="AC3441">
        <v>5.8791877885959E-2</v>
      </c>
      <c r="AD3441">
        <v>1.1245939997173</v>
      </c>
      <c r="AE3441">
        <v>0.764775991439819</v>
      </c>
      <c r="AF3441">
        <v>35.917922948073702</v>
      </c>
      <c r="AG3441">
        <f>IFERROR(AH3441*0.1, "N/A")</f>
        <v>5.8986599664991601</v>
      </c>
      <c r="AH3441">
        <v>58.986599664991601</v>
      </c>
      <c r="AI3441">
        <v>190.424554131538</v>
      </c>
      <c r="AJ3441">
        <v>15.1926298157454</v>
      </c>
      <c r="AK3441">
        <v>70.807370184254594</v>
      </c>
    </row>
    <row r="3442" spans="1:37" x14ac:dyDescent="0.3">
      <c r="A3442">
        <v>3441</v>
      </c>
      <c r="B3442">
        <v>0</v>
      </c>
      <c r="C3442">
        <v>-17.105801</v>
      </c>
      <c r="D3442">
        <v>14.6275</v>
      </c>
      <c r="E3442">
        <f>-17.105801-14.6275</f>
        <v>-31.733300999999997</v>
      </c>
      <c r="F3442" t="s">
        <v>5533</v>
      </c>
      <c r="G3442" t="s">
        <v>37</v>
      </c>
      <c r="H3442">
        <v>1958</v>
      </c>
      <c r="I3442">
        <v>25.700000762939499</v>
      </c>
      <c r="J3442">
        <v>10.8999996185303</v>
      </c>
      <c r="K3442">
        <v>65</v>
      </c>
      <c r="L3442">
        <v>17.790000915527301</v>
      </c>
      <c r="M3442">
        <v>32.700000762939503</v>
      </c>
      <c r="N3442">
        <v>16</v>
      </c>
      <c r="O3442">
        <v>16.700000762939499</v>
      </c>
      <c r="P3442">
        <v>27.399999618530298</v>
      </c>
      <c r="Q3442">
        <v>24.799999237060501</v>
      </c>
      <c r="R3442">
        <v>27.399999618530298</v>
      </c>
      <c r="S3442">
        <v>23.299999237060501</v>
      </c>
      <c r="T3442">
        <v>509</v>
      </c>
      <c r="U3442">
        <v>203</v>
      </c>
      <c r="V3442">
        <v>0</v>
      </c>
      <c r="W3442">
        <v>157</v>
      </c>
      <c r="X3442">
        <v>450</v>
      </c>
      <c r="Y3442">
        <v>0</v>
      </c>
      <c r="Z3442">
        <v>308</v>
      </c>
      <c r="AA3442">
        <v>3</v>
      </c>
      <c r="AB3442">
        <v>8.6348413502550994</v>
      </c>
      <c r="AC3442">
        <v>5.8791877885959E-2</v>
      </c>
      <c r="AD3442">
        <v>1.1245939997173</v>
      </c>
      <c r="AE3442">
        <v>0.764775991439819</v>
      </c>
      <c r="AF3442">
        <v>35.917922948073702</v>
      </c>
      <c r="AG3442">
        <f>IFERROR(AH3442*0.1, "N/A")</f>
        <v>5.8986599664991601</v>
      </c>
      <c r="AH3442">
        <v>58.986599664991601</v>
      </c>
      <c r="AI3442">
        <v>190.424554131538</v>
      </c>
      <c r="AJ3442">
        <v>15.1926298157454</v>
      </c>
      <c r="AK3442">
        <v>70.807370184254594</v>
      </c>
    </row>
    <row r="3443" spans="1:37" x14ac:dyDescent="0.3">
      <c r="A3443">
        <v>3442</v>
      </c>
      <c r="B3443">
        <v>47.299999</v>
      </c>
      <c r="C3443">
        <v>-16.450001</v>
      </c>
      <c r="D3443">
        <v>14.6333</v>
      </c>
      <c r="E3443">
        <f>-16.450001-14.6333</f>
        <v>-31.083300999999999</v>
      </c>
      <c r="F3443" t="s">
        <v>5534</v>
      </c>
      <c r="G3443" t="s">
        <v>39</v>
      </c>
      <c r="H3443">
        <v>2000</v>
      </c>
      <c r="I3443">
        <v>26.799999237060501</v>
      </c>
      <c r="J3443">
        <v>15.5</v>
      </c>
      <c r="K3443">
        <v>68</v>
      </c>
      <c r="L3443">
        <v>16.9195301420737</v>
      </c>
      <c r="M3443">
        <v>36.876510466505202</v>
      </c>
      <c r="N3443">
        <v>14.3307047130277</v>
      </c>
      <c r="O3443">
        <v>22.5458055438611</v>
      </c>
      <c r="P3443">
        <v>27.799999237060501</v>
      </c>
      <c r="Q3443">
        <v>26.100000381469702</v>
      </c>
      <c r="R3443">
        <v>28.4610736770118</v>
      </c>
      <c r="S3443">
        <v>24.130705196585399</v>
      </c>
      <c r="T3443">
        <v>560.15771812080504</v>
      </c>
      <c r="U3443">
        <v>212</v>
      </c>
      <c r="V3443">
        <v>0</v>
      </c>
      <c r="W3443">
        <v>152</v>
      </c>
      <c r="X3443">
        <v>489.15771812080499</v>
      </c>
      <c r="Y3443">
        <v>0</v>
      </c>
      <c r="Z3443">
        <v>136.30704697986599</v>
      </c>
      <c r="AA3443">
        <v>2</v>
      </c>
      <c r="AB3443">
        <v>0.50805409002624102</v>
      </c>
      <c r="AC3443">
        <v>3.0132080050147999E-2</v>
      </c>
      <c r="AD3443">
        <v>1.13027579132342</v>
      </c>
      <c r="AE3443">
        <v>0.72313680474790198</v>
      </c>
      <c r="AF3443">
        <v>17.481543624161102</v>
      </c>
      <c r="AG3443">
        <f>IFERROR(AH3443*0.1, "N/A")</f>
        <v>5.3013422818792009</v>
      </c>
      <c r="AH3443">
        <v>53.013422818792002</v>
      </c>
      <c r="AI3443">
        <v>263.28006210903197</v>
      </c>
      <c r="AJ3443">
        <v>8.0033557046979897</v>
      </c>
      <c r="AK3443">
        <v>86.451342281879207</v>
      </c>
    </row>
    <row r="3444" spans="1:37" x14ac:dyDescent="0.3">
      <c r="A3444">
        <v>3443</v>
      </c>
      <c r="B3444">
        <v>0</v>
      </c>
      <c r="C3444">
        <v>-16.450001</v>
      </c>
      <c r="D3444">
        <v>14.6333</v>
      </c>
      <c r="E3444">
        <f>-16.450001-14.6333</f>
        <v>-31.083300999999999</v>
      </c>
      <c r="F3444" t="s">
        <v>5535</v>
      </c>
      <c r="G3444" t="s">
        <v>37</v>
      </c>
      <c r="H3444">
        <v>1996</v>
      </c>
      <c r="I3444">
        <v>26.799999237060501</v>
      </c>
      <c r="J3444">
        <v>15.5</v>
      </c>
      <c r="K3444">
        <v>68</v>
      </c>
      <c r="L3444">
        <v>16.9195301420737</v>
      </c>
      <c r="M3444">
        <v>36.876510466505202</v>
      </c>
      <c r="N3444">
        <v>14.3307047130277</v>
      </c>
      <c r="O3444">
        <v>22.5458055438611</v>
      </c>
      <c r="P3444">
        <v>27.799999237060501</v>
      </c>
      <c r="Q3444">
        <v>26.100000381469702</v>
      </c>
      <c r="R3444">
        <v>28.4610736770118</v>
      </c>
      <c r="S3444">
        <v>24.130705196585399</v>
      </c>
      <c r="T3444">
        <v>560.15771812080504</v>
      </c>
      <c r="U3444">
        <v>212</v>
      </c>
      <c r="V3444">
        <v>0</v>
      </c>
      <c r="W3444">
        <v>152</v>
      </c>
      <c r="X3444">
        <v>489.15771812080499</v>
      </c>
      <c r="Y3444">
        <v>0</v>
      </c>
      <c r="Z3444">
        <v>136.30704697986599</v>
      </c>
      <c r="AA3444">
        <v>2</v>
      </c>
      <c r="AB3444">
        <v>0.50805409002624102</v>
      </c>
      <c r="AC3444">
        <v>3.0132080050147999E-2</v>
      </c>
      <c r="AD3444">
        <v>1.13027579132342</v>
      </c>
      <c r="AE3444">
        <v>0.72313680474790198</v>
      </c>
      <c r="AF3444">
        <v>17.481543624161102</v>
      </c>
      <c r="AG3444">
        <f>IFERROR(AH3444*0.1, "N/A")</f>
        <v>5.3013422818792009</v>
      </c>
      <c r="AH3444">
        <v>53.013422818792002</v>
      </c>
      <c r="AI3444">
        <v>263.28006210903197</v>
      </c>
      <c r="AJ3444">
        <v>8.0033557046979897</v>
      </c>
      <c r="AK3444">
        <v>86.451342281879207</v>
      </c>
    </row>
    <row r="3445" spans="1:37" x14ac:dyDescent="0.3">
      <c r="A3445">
        <v>3444</v>
      </c>
      <c r="B3445">
        <v>56</v>
      </c>
      <c r="C3445">
        <v>-16.440598999999999</v>
      </c>
      <c r="D3445">
        <v>14.634600000000001</v>
      </c>
      <c r="E3445">
        <f>-16.440599-14.6346</f>
        <v>-31.075198999999998</v>
      </c>
      <c r="F3445" t="s">
        <v>5536</v>
      </c>
      <c r="G3445" t="s">
        <v>39</v>
      </c>
      <c r="H3445">
        <v>2003</v>
      </c>
      <c r="I3445">
        <v>26.799999237060501</v>
      </c>
      <c r="J3445">
        <v>15.5</v>
      </c>
      <c r="K3445">
        <v>68</v>
      </c>
      <c r="L3445">
        <v>17.149999618530298</v>
      </c>
      <c r="M3445">
        <v>37</v>
      </c>
      <c r="N3445">
        <v>14.300000190734901</v>
      </c>
      <c r="O3445">
        <v>22.700000762939499</v>
      </c>
      <c r="P3445">
        <v>27.799999237060501</v>
      </c>
      <c r="Q3445">
        <v>26.100000381469702</v>
      </c>
      <c r="R3445">
        <v>28.5</v>
      </c>
      <c r="S3445">
        <v>24.100000381469702</v>
      </c>
      <c r="T3445">
        <v>560</v>
      </c>
      <c r="U3445">
        <v>212</v>
      </c>
      <c r="V3445">
        <v>0</v>
      </c>
      <c r="W3445">
        <v>152</v>
      </c>
      <c r="X3445">
        <v>489</v>
      </c>
      <c r="Y3445">
        <v>0</v>
      </c>
      <c r="Z3445">
        <v>136</v>
      </c>
      <c r="AA3445">
        <v>2</v>
      </c>
      <c r="AB3445">
        <v>1.2331094854018301</v>
      </c>
      <c r="AC3445">
        <v>4.2491661170262998E-2</v>
      </c>
      <c r="AD3445">
        <v>1.7295272466515299</v>
      </c>
      <c r="AE3445">
        <v>0.72654742002487205</v>
      </c>
      <c r="AF3445">
        <v>21.423529411764701</v>
      </c>
      <c r="AG3445">
        <f>IFERROR(AH3445*0.1, "N/A")</f>
        <v>5.7458823529411802</v>
      </c>
      <c r="AH3445">
        <v>57.458823529411802</v>
      </c>
      <c r="AI3445">
        <v>248.41975441299601</v>
      </c>
      <c r="AJ3445">
        <v>9.0941176470588196</v>
      </c>
      <c r="AK3445">
        <v>82.541176470588198</v>
      </c>
    </row>
    <row r="3446" spans="1:37" x14ac:dyDescent="0.3">
      <c r="A3446">
        <v>3445</v>
      </c>
      <c r="B3446">
        <v>0</v>
      </c>
      <c r="C3446">
        <v>-17.127199000000001</v>
      </c>
      <c r="D3446">
        <v>14.636100000000001</v>
      </c>
      <c r="E3446">
        <f>-17.127199-14.6361</f>
        <v>-31.763299000000004</v>
      </c>
      <c r="F3446" t="s">
        <v>5537</v>
      </c>
      <c r="G3446" t="s">
        <v>39</v>
      </c>
      <c r="H3446">
        <v>1958</v>
      </c>
      <c r="I3446">
        <v>25.700000762939499</v>
      </c>
      <c r="J3446">
        <v>10.699999809265099</v>
      </c>
      <c r="K3446">
        <v>64</v>
      </c>
      <c r="L3446">
        <v>18.440000534057599</v>
      </c>
      <c r="M3446">
        <v>32.700000762939503</v>
      </c>
      <c r="N3446">
        <v>16.100000381469702</v>
      </c>
      <c r="O3446">
        <v>16.600000381469702</v>
      </c>
      <c r="P3446">
        <v>27.5</v>
      </c>
      <c r="Q3446">
        <v>24.600000381469702</v>
      </c>
      <c r="R3446">
        <v>27.5</v>
      </c>
      <c r="S3446">
        <v>23.200000762939499</v>
      </c>
      <c r="T3446">
        <v>504</v>
      </c>
      <c r="U3446">
        <v>202</v>
      </c>
      <c r="V3446">
        <v>0</v>
      </c>
      <c r="W3446">
        <v>156</v>
      </c>
      <c r="X3446">
        <v>446</v>
      </c>
      <c r="Y3446">
        <v>0</v>
      </c>
      <c r="Z3446">
        <v>305</v>
      </c>
      <c r="AA3446">
        <v>3</v>
      </c>
      <c r="AB3446">
        <v>5.8476600391808997</v>
      </c>
      <c r="AC3446">
        <v>1.1486448587407E-2</v>
      </c>
      <c r="AD3446">
        <v>2.0501976796615899</v>
      </c>
      <c r="AE3446">
        <v>0.77314919233322099</v>
      </c>
      <c r="AF3446">
        <v>32.682274247491598</v>
      </c>
      <c r="AG3446">
        <f>IFERROR(AH3446*0.1, "N/A")</f>
        <v>5.9448160535117101</v>
      </c>
      <c r="AH3446">
        <v>59.448160535117097</v>
      </c>
      <c r="AI3446">
        <v>310.55180506881698</v>
      </c>
      <c r="AJ3446">
        <v>17.8795986622074</v>
      </c>
      <c r="AK3446">
        <v>67.724080267558506</v>
      </c>
    </row>
    <row r="3447" spans="1:37" x14ac:dyDescent="0.3">
      <c r="A3447">
        <v>3446</v>
      </c>
      <c r="B3447">
        <v>0</v>
      </c>
      <c r="C3447">
        <v>-17.127199000000001</v>
      </c>
      <c r="D3447">
        <v>14.636100000000001</v>
      </c>
      <c r="E3447">
        <f>-17.127199-14.6361</f>
        <v>-31.763299000000004</v>
      </c>
      <c r="F3447" t="s">
        <v>5538</v>
      </c>
      <c r="G3447" t="s">
        <v>37</v>
      </c>
      <c r="H3447">
        <v>1958</v>
      </c>
      <c r="I3447">
        <v>25.700000762939499</v>
      </c>
      <c r="J3447">
        <v>10.699999809265099</v>
      </c>
      <c r="K3447">
        <v>64</v>
      </c>
      <c r="L3447">
        <v>18.440000534057599</v>
      </c>
      <c r="M3447">
        <v>32.700000762939503</v>
      </c>
      <c r="N3447">
        <v>16.100000381469702</v>
      </c>
      <c r="O3447">
        <v>16.600000381469702</v>
      </c>
      <c r="P3447">
        <v>27.5</v>
      </c>
      <c r="Q3447">
        <v>24.600000381469702</v>
      </c>
      <c r="R3447">
        <v>27.5</v>
      </c>
      <c r="S3447">
        <v>23.200000762939499</v>
      </c>
      <c r="T3447">
        <v>504</v>
      </c>
      <c r="U3447">
        <v>202</v>
      </c>
      <c r="V3447">
        <v>0</v>
      </c>
      <c r="W3447">
        <v>156</v>
      </c>
      <c r="X3447">
        <v>446</v>
      </c>
      <c r="Y3447">
        <v>0</v>
      </c>
      <c r="Z3447">
        <v>305</v>
      </c>
      <c r="AA3447">
        <v>3</v>
      </c>
      <c r="AB3447">
        <v>5.8476600391808997</v>
      </c>
      <c r="AC3447">
        <v>1.1486448587407E-2</v>
      </c>
      <c r="AD3447">
        <v>2.0501976796615899</v>
      </c>
      <c r="AE3447">
        <v>0.77314919233322099</v>
      </c>
      <c r="AF3447">
        <v>32.682274247491598</v>
      </c>
      <c r="AG3447">
        <f>IFERROR(AH3447*0.1, "N/A")</f>
        <v>5.9448160535117101</v>
      </c>
      <c r="AH3447">
        <v>59.448160535117097</v>
      </c>
      <c r="AI3447">
        <v>310.55180506881698</v>
      </c>
      <c r="AJ3447">
        <v>17.8795986622074</v>
      </c>
      <c r="AK3447">
        <v>67.724080267558506</v>
      </c>
    </row>
    <row r="3448" spans="1:37" x14ac:dyDescent="0.3">
      <c r="A3448">
        <v>3447</v>
      </c>
      <c r="B3448">
        <v>0.4</v>
      </c>
      <c r="C3448">
        <v>-17.087799</v>
      </c>
      <c r="D3448">
        <v>14.639200000000001</v>
      </c>
      <c r="E3448">
        <f>-17.087799-14.6392</f>
        <v>-31.726998999999999</v>
      </c>
      <c r="F3448" t="s">
        <v>5539</v>
      </c>
      <c r="G3448" t="s">
        <v>39</v>
      </c>
      <c r="H3448">
        <v>1958</v>
      </c>
      <c r="I3448">
        <v>25.700000762939499</v>
      </c>
      <c r="J3448">
        <v>11.1000003814697</v>
      </c>
      <c r="K3448">
        <v>65</v>
      </c>
      <c r="L3448">
        <v>17.350000381469702</v>
      </c>
      <c r="M3448">
        <v>32.799999237060497</v>
      </c>
      <c r="N3448">
        <v>15.8999996185303</v>
      </c>
      <c r="O3448">
        <v>16.899999618530298</v>
      </c>
      <c r="P3448">
        <v>27.299999237060501</v>
      </c>
      <c r="Q3448">
        <v>24.899999618530298</v>
      </c>
      <c r="R3448">
        <v>27.299999237060501</v>
      </c>
      <c r="S3448">
        <v>23.200000762939499</v>
      </c>
      <c r="T3448">
        <v>511</v>
      </c>
      <c r="U3448">
        <v>202</v>
      </c>
      <c r="V3448">
        <v>0</v>
      </c>
      <c r="W3448">
        <v>156</v>
      </c>
      <c r="X3448">
        <v>450</v>
      </c>
      <c r="Y3448">
        <v>0</v>
      </c>
      <c r="Z3448">
        <v>309</v>
      </c>
      <c r="AA3448">
        <v>3</v>
      </c>
      <c r="AB3448">
        <v>2.01361204515986</v>
      </c>
      <c r="AC3448">
        <v>1.4093606197220401</v>
      </c>
      <c r="AD3448">
        <v>1.3854200570022399</v>
      </c>
      <c r="AE3448">
        <v>0.75686110478489299</v>
      </c>
      <c r="AF3448">
        <v>44.836974789915999</v>
      </c>
      <c r="AG3448">
        <f>IFERROR(AH3448*0.1, "N/A")</f>
        <v>6.6349579831932806</v>
      </c>
      <c r="AH3448">
        <v>66.3495798319328</v>
      </c>
      <c r="AI3448">
        <v>127.028226195263</v>
      </c>
      <c r="AJ3448">
        <v>21</v>
      </c>
      <c r="AK3448">
        <v>63.736134453781503</v>
      </c>
    </row>
    <row r="3449" spans="1:37" x14ac:dyDescent="0.3">
      <c r="A3449">
        <v>3448</v>
      </c>
      <c r="B3449">
        <v>0</v>
      </c>
      <c r="C3449">
        <v>-17.087799</v>
      </c>
      <c r="D3449">
        <v>14.639200000000001</v>
      </c>
      <c r="E3449">
        <f>-17.087799-14.6392</f>
        <v>-31.726998999999999</v>
      </c>
      <c r="F3449" t="s">
        <v>5540</v>
      </c>
      <c r="G3449" t="s">
        <v>37</v>
      </c>
      <c r="H3449">
        <v>1958</v>
      </c>
      <c r="I3449">
        <v>25.700000762939499</v>
      </c>
      <c r="J3449">
        <v>11.1000003814697</v>
      </c>
      <c r="K3449">
        <v>65</v>
      </c>
      <c r="L3449">
        <v>17.350000381469702</v>
      </c>
      <c r="M3449">
        <v>32.799999237060497</v>
      </c>
      <c r="N3449">
        <v>15.8999996185303</v>
      </c>
      <c r="O3449">
        <v>16.899999618530298</v>
      </c>
      <c r="P3449">
        <v>27.299999237060501</v>
      </c>
      <c r="Q3449">
        <v>24.899999618530298</v>
      </c>
      <c r="R3449">
        <v>27.299999237060501</v>
      </c>
      <c r="S3449">
        <v>23.200000762939499</v>
      </c>
      <c r="T3449">
        <v>511</v>
      </c>
      <c r="U3449">
        <v>202</v>
      </c>
      <c r="V3449">
        <v>0</v>
      </c>
      <c r="W3449">
        <v>156</v>
      </c>
      <c r="X3449">
        <v>450</v>
      </c>
      <c r="Y3449">
        <v>0</v>
      </c>
      <c r="Z3449">
        <v>309</v>
      </c>
      <c r="AA3449">
        <v>3</v>
      </c>
      <c r="AB3449">
        <v>2.01361204515986</v>
      </c>
      <c r="AC3449">
        <v>1.4093606197220401</v>
      </c>
      <c r="AD3449">
        <v>1.3854200570022399</v>
      </c>
      <c r="AE3449">
        <v>0.75686110478489299</v>
      </c>
      <c r="AF3449">
        <v>44.836974789915999</v>
      </c>
      <c r="AG3449">
        <f>IFERROR(AH3449*0.1, "N/A")</f>
        <v>6.6349579831932806</v>
      </c>
      <c r="AH3449">
        <v>66.3495798319328</v>
      </c>
      <c r="AI3449">
        <v>127.028226195263</v>
      </c>
      <c r="AJ3449">
        <v>21</v>
      </c>
      <c r="AK3449">
        <v>63.736134453781503</v>
      </c>
    </row>
    <row r="3450" spans="1:37" x14ac:dyDescent="0.3">
      <c r="A3450">
        <v>3449</v>
      </c>
      <c r="B3450">
        <v>80</v>
      </c>
      <c r="C3450">
        <v>-12.2098</v>
      </c>
      <c r="D3450">
        <v>14.644299999999999</v>
      </c>
      <c r="E3450">
        <f>-12.2098-14.6443</f>
        <v>-26.854099999999999</v>
      </c>
      <c r="F3450" t="s">
        <v>5541</v>
      </c>
      <c r="G3450" t="s">
        <v>39</v>
      </c>
      <c r="H3450">
        <v>2003</v>
      </c>
      <c r="I3450">
        <v>29</v>
      </c>
      <c r="J3450">
        <v>14.5</v>
      </c>
      <c r="K3450">
        <v>58</v>
      </c>
      <c r="L3450">
        <v>25.149999618530298</v>
      </c>
      <c r="M3450">
        <v>40.799999237060497</v>
      </c>
      <c r="N3450">
        <v>16.100000381469702</v>
      </c>
      <c r="O3450">
        <v>24.700000762939499</v>
      </c>
      <c r="P3450">
        <v>28.299999237060501</v>
      </c>
      <c r="Q3450">
        <v>27.5</v>
      </c>
      <c r="R3450">
        <v>32.5</v>
      </c>
      <c r="S3450">
        <v>25.899999618530298</v>
      </c>
      <c r="T3450">
        <v>525</v>
      </c>
      <c r="U3450">
        <v>190</v>
      </c>
      <c r="V3450">
        <v>0</v>
      </c>
      <c r="W3450">
        <v>141</v>
      </c>
      <c r="X3450">
        <v>428</v>
      </c>
      <c r="Y3450">
        <v>0</v>
      </c>
      <c r="Z3450">
        <v>64</v>
      </c>
      <c r="AA3450">
        <v>0</v>
      </c>
      <c r="AB3450">
        <v>1.5864320783758901</v>
      </c>
      <c r="AC3450">
        <v>2.0473872834015E-2</v>
      </c>
      <c r="AD3450">
        <v>1.43741781428032</v>
      </c>
      <c r="AE3450">
        <v>0.643546462059021</v>
      </c>
      <c r="AF3450">
        <v>28.912897822445601</v>
      </c>
      <c r="AG3450">
        <f>IFERROR(AH3450*0.1, "N/A")</f>
        <v>5.9</v>
      </c>
      <c r="AH3450">
        <v>59</v>
      </c>
      <c r="AI3450">
        <v>177.88831693563</v>
      </c>
      <c r="AJ3450">
        <v>10</v>
      </c>
      <c r="AK3450">
        <v>74</v>
      </c>
    </row>
    <row r="3451" spans="1:37" x14ac:dyDescent="0.3">
      <c r="A3451">
        <v>3450</v>
      </c>
      <c r="B3451">
        <v>50</v>
      </c>
      <c r="C3451">
        <v>-15.7074</v>
      </c>
      <c r="D3451">
        <v>14.6455</v>
      </c>
      <c r="E3451">
        <f>-15.7074-14.6455</f>
        <v>-30.352899999999998</v>
      </c>
      <c r="F3451" t="s">
        <v>5542</v>
      </c>
      <c r="G3451" t="s">
        <v>39</v>
      </c>
      <c r="H3451">
        <v>2003</v>
      </c>
      <c r="I3451">
        <v>27.200000762939499</v>
      </c>
      <c r="J3451">
        <v>16</v>
      </c>
      <c r="K3451">
        <v>65</v>
      </c>
      <c r="L3451">
        <v>19.245503598411599</v>
      </c>
      <c r="M3451">
        <v>39</v>
      </c>
      <c r="N3451">
        <v>14.5</v>
      </c>
      <c r="O3451">
        <v>24.5</v>
      </c>
      <c r="P3451">
        <v>27.700000762939499</v>
      </c>
      <c r="Q3451">
        <v>27</v>
      </c>
      <c r="R3451">
        <v>29.299999237060501</v>
      </c>
      <c r="S3451">
        <v>24.200000762939499</v>
      </c>
      <c r="T3451">
        <v>525.09060402684599</v>
      </c>
      <c r="U3451">
        <v>182.09060402684599</v>
      </c>
      <c r="V3451">
        <v>0</v>
      </c>
      <c r="W3451">
        <v>143.09060402684599</v>
      </c>
      <c r="X3451">
        <v>443.09060402684599</v>
      </c>
      <c r="Y3451">
        <v>0</v>
      </c>
      <c r="Z3451">
        <v>37</v>
      </c>
      <c r="AA3451">
        <v>2</v>
      </c>
      <c r="AB3451">
        <v>0.40452992996113402</v>
      </c>
      <c r="AC3451">
        <v>0.30288951386128798</v>
      </c>
      <c r="AD3451">
        <v>1.00438749740188</v>
      </c>
      <c r="AE3451">
        <v>0.72552388906478904</v>
      </c>
      <c r="AF3451">
        <v>26.241610738255002</v>
      </c>
      <c r="AG3451">
        <f>IFERROR(AH3451*0.1, "N/A")</f>
        <v>5.8808724832214807</v>
      </c>
      <c r="AH3451">
        <v>58.8087248322148</v>
      </c>
      <c r="AI3451">
        <v>276.45715740383099</v>
      </c>
      <c r="AJ3451">
        <v>8.2718120805369093</v>
      </c>
      <c r="AK3451">
        <v>78.543624161073794</v>
      </c>
    </row>
    <row r="3452" spans="1:37" x14ac:dyDescent="0.3">
      <c r="A3452">
        <v>3451</v>
      </c>
      <c r="B3452">
        <v>0</v>
      </c>
      <c r="C3452">
        <v>-15.7166</v>
      </c>
      <c r="D3452">
        <v>14.65</v>
      </c>
      <c r="E3452">
        <f>-15.7166-14.65</f>
        <v>-30.366599999999998</v>
      </c>
      <c r="F3452" t="s">
        <v>5543</v>
      </c>
      <c r="G3452" t="s">
        <v>39</v>
      </c>
      <c r="H3452">
        <v>1996</v>
      </c>
      <c r="I3452">
        <v>27.200000762939499</v>
      </c>
      <c r="J3452">
        <v>16</v>
      </c>
      <c r="K3452">
        <v>65</v>
      </c>
      <c r="L3452">
        <v>19.124024156769501</v>
      </c>
      <c r="M3452">
        <v>39</v>
      </c>
      <c r="N3452">
        <v>14.5</v>
      </c>
      <c r="O3452">
        <v>24.5</v>
      </c>
      <c r="P3452">
        <v>27.700000762939499</v>
      </c>
      <c r="Q3452">
        <v>27</v>
      </c>
      <c r="R3452">
        <v>29.299999237060501</v>
      </c>
      <c r="S3452">
        <v>24.200000762939499</v>
      </c>
      <c r="T3452">
        <v>524.70538720538696</v>
      </c>
      <c r="U3452">
        <v>183</v>
      </c>
      <c r="V3452">
        <v>0</v>
      </c>
      <c r="W3452">
        <v>143.26262626262599</v>
      </c>
      <c r="X3452">
        <v>442.70538720538701</v>
      </c>
      <c r="Y3452">
        <v>0</v>
      </c>
      <c r="Z3452">
        <v>37</v>
      </c>
      <c r="AA3452">
        <v>2</v>
      </c>
      <c r="AB3452">
        <v>0.45589181469747098</v>
      </c>
      <c r="AC3452">
        <v>338.76064626842401</v>
      </c>
      <c r="AD3452">
        <v>1.4658431626530199</v>
      </c>
      <c r="AE3452">
        <v>0.70409005880355802</v>
      </c>
      <c r="AF3452">
        <v>19.744107744107701</v>
      </c>
      <c r="AG3452">
        <f>IFERROR(AH3452*0.1, "N/A")</f>
        <v>5.68804713804714</v>
      </c>
      <c r="AH3452">
        <v>56.880471380471398</v>
      </c>
      <c r="AI3452">
        <v>201.96889192728901</v>
      </c>
      <c r="AJ3452">
        <v>6.7760942760942804</v>
      </c>
      <c r="AK3452">
        <v>83.223905723905702</v>
      </c>
    </row>
    <row r="3453" spans="1:37" x14ac:dyDescent="0.3">
      <c r="A3453">
        <v>3452</v>
      </c>
      <c r="B3453">
        <v>0</v>
      </c>
      <c r="C3453">
        <v>-15.7166</v>
      </c>
      <c r="D3453">
        <v>14.65</v>
      </c>
      <c r="E3453">
        <f>-15.7166-14.65</f>
        <v>-30.366599999999998</v>
      </c>
      <c r="F3453" t="s">
        <v>5544</v>
      </c>
      <c r="G3453" t="s">
        <v>37</v>
      </c>
      <c r="H3453">
        <v>1996</v>
      </c>
      <c r="I3453">
        <v>27.200000762939499</v>
      </c>
      <c r="J3453">
        <v>16</v>
      </c>
      <c r="K3453">
        <v>65</v>
      </c>
      <c r="L3453">
        <v>19.124024156769501</v>
      </c>
      <c r="M3453">
        <v>39</v>
      </c>
      <c r="N3453">
        <v>14.5</v>
      </c>
      <c r="O3453">
        <v>24.5</v>
      </c>
      <c r="P3453">
        <v>27.700000762939499</v>
      </c>
      <c r="Q3453">
        <v>27</v>
      </c>
      <c r="R3453">
        <v>29.299999237060501</v>
      </c>
      <c r="S3453">
        <v>24.200000762939499</v>
      </c>
      <c r="T3453">
        <v>524.70538720538696</v>
      </c>
      <c r="U3453">
        <v>183</v>
      </c>
      <c r="V3453">
        <v>0</v>
      </c>
      <c r="W3453">
        <v>143.26262626262599</v>
      </c>
      <c r="X3453">
        <v>442.70538720538701</v>
      </c>
      <c r="Y3453">
        <v>0</v>
      </c>
      <c r="Z3453">
        <v>37</v>
      </c>
      <c r="AA3453">
        <v>2</v>
      </c>
      <c r="AB3453">
        <v>0.45589181469747098</v>
      </c>
      <c r="AC3453">
        <v>338.76064626842401</v>
      </c>
      <c r="AD3453">
        <v>1.4658431626530199</v>
      </c>
      <c r="AE3453">
        <v>0.70409005880355802</v>
      </c>
      <c r="AF3453">
        <v>19.744107744107701</v>
      </c>
      <c r="AG3453">
        <f>IFERROR(AH3453*0.1, "N/A")</f>
        <v>5.68804713804714</v>
      </c>
      <c r="AH3453">
        <v>56.880471380471398</v>
      </c>
      <c r="AI3453">
        <v>201.96889192728901</v>
      </c>
      <c r="AJ3453">
        <v>6.7760942760942804</v>
      </c>
      <c r="AK3453">
        <v>83.223905723905702</v>
      </c>
    </row>
    <row r="3454" spans="1:37" x14ac:dyDescent="0.3">
      <c r="A3454">
        <v>3453</v>
      </c>
      <c r="B3454">
        <v>72</v>
      </c>
      <c r="C3454">
        <v>-16.329999999999998</v>
      </c>
      <c r="D3454">
        <v>14.65</v>
      </c>
      <c r="E3454">
        <f>-16.33-14.65</f>
        <v>-30.979999999999997</v>
      </c>
      <c r="F3454" t="s">
        <v>5545</v>
      </c>
      <c r="G3454" t="s">
        <v>39</v>
      </c>
      <c r="H3454">
        <v>2003</v>
      </c>
      <c r="I3454">
        <v>27.299999237060501</v>
      </c>
      <c r="J3454">
        <v>15.800000190734901</v>
      </c>
      <c r="K3454">
        <v>67</v>
      </c>
      <c r="L3454">
        <v>18.290606084496101</v>
      </c>
      <c r="M3454">
        <v>38.0737362485944</v>
      </c>
      <c r="N3454">
        <v>14.6000003814697</v>
      </c>
      <c r="O3454">
        <v>23.4737372735534</v>
      </c>
      <c r="P3454">
        <v>28.299999237060501</v>
      </c>
      <c r="Q3454">
        <v>26.626263107916301</v>
      </c>
      <c r="R3454">
        <v>29.100000381469702</v>
      </c>
      <c r="S3454">
        <v>24.426262344976902</v>
      </c>
      <c r="T3454">
        <v>557.26262626262599</v>
      </c>
      <c r="U3454">
        <v>205</v>
      </c>
      <c r="V3454">
        <v>0</v>
      </c>
      <c r="W3454">
        <v>149</v>
      </c>
      <c r="X3454">
        <v>482.26262626262599</v>
      </c>
      <c r="Y3454">
        <v>0</v>
      </c>
      <c r="Z3454">
        <v>140.26262626262599</v>
      </c>
      <c r="AA3454">
        <v>2</v>
      </c>
      <c r="AB3454">
        <v>1.96195298011857</v>
      </c>
      <c r="AC3454">
        <v>2.7862865237914002E-2</v>
      </c>
      <c r="AD3454">
        <v>1.22623890086457</v>
      </c>
      <c r="AE3454">
        <v>0.717618107795715</v>
      </c>
      <c r="AF3454">
        <v>19.978114478114499</v>
      </c>
      <c r="AG3454">
        <f>IFERROR(AH3454*0.1, "N/A")</f>
        <v>5.2343434343434305</v>
      </c>
      <c r="AH3454">
        <v>52.343434343434303</v>
      </c>
      <c r="AI3454">
        <v>180.478183194042</v>
      </c>
      <c r="AJ3454">
        <v>6</v>
      </c>
      <c r="AK3454">
        <v>88.828282828282795</v>
      </c>
    </row>
    <row r="3455" spans="1:37" x14ac:dyDescent="0.3">
      <c r="A3455">
        <v>3454</v>
      </c>
      <c r="B3455">
        <v>0</v>
      </c>
      <c r="C3455">
        <v>-17.113899</v>
      </c>
      <c r="D3455">
        <v>14.651899999999999</v>
      </c>
      <c r="E3455">
        <f>-17.113899-14.6519</f>
        <v>-31.765799000000001</v>
      </c>
      <c r="F3455" t="s">
        <v>5546</v>
      </c>
      <c r="G3455" t="s">
        <v>39</v>
      </c>
      <c r="H3455">
        <v>1958</v>
      </c>
      <c r="I3455">
        <v>25.600000381469702</v>
      </c>
      <c r="J3455">
        <v>10.8999996185303</v>
      </c>
      <c r="K3455">
        <v>65</v>
      </c>
      <c r="L3455">
        <v>17.440000534057599</v>
      </c>
      <c r="M3455">
        <v>32.599998474121101</v>
      </c>
      <c r="N3455">
        <v>15.8999996185303</v>
      </c>
      <c r="O3455">
        <v>16.700000762939499</v>
      </c>
      <c r="P3455">
        <v>27.299999237060501</v>
      </c>
      <c r="Q3455">
        <v>24.600000381469702</v>
      </c>
      <c r="R3455">
        <v>27.299999237060501</v>
      </c>
      <c r="S3455">
        <v>23.200000762939499</v>
      </c>
      <c r="T3455">
        <v>504</v>
      </c>
      <c r="U3455">
        <v>200</v>
      </c>
      <c r="V3455">
        <v>0</v>
      </c>
      <c r="W3455">
        <v>155</v>
      </c>
      <c r="X3455">
        <v>445</v>
      </c>
      <c r="Y3455">
        <v>0</v>
      </c>
      <c r="Z3455">
        <v>395</v>
      </c>
      <c r="AA3455">
        <v>3</v>
      </c>
      <c r="AB3455">
        <v>6.0127958432592497</v>
      </c>
      <c r="AC3455">
        <v>2.0228215635939E-2</v>
      </c>
      <c r="AD3455">
        <v>2.7514512410468899</v>
      </c>
      <c r="AE3455">
        <v>0.762254297733307</v>
      </c>
      <c r="AF3455">
        <v>45.163299663299703</v>
      </c>
      <c r="AG3455">
        <f>IFERROR(AH3455*0.1, "N/A")</f>
        <v>6.4624579124579107</v>
      </c>
      <c r="AH3455">
        <v>64.6245791245791</v>
      </c>
      <c r="AI3455">
        <v>162.334409591726</v>
      </c>
      <c r="AJ3455">
        <v>16</v>
      </c>
      <c r="AK3455">
        <v>64.742424242424207</v>
      </c>
    </row>
    <row r="3456" spans="1:37" x14ac:dyDescent="0.3">
      <c r="A3456">
        <v>3455</v>
      </c>
      <c r="B3456">
        <v>0</v>
      </c>
      <c r="C3456">
        <v>-17.113899</v>
      </c>
      <c r="D3456">
        <v>14.651899999999999</v>
      </c>
      <c r="E3456">
        <f>-17.113899-14.6519</f>
        <v>-31.765799000000001</v>
      </c>
      <c r="F3456" t="s">
        <v>5547</v>
      </c>
      <c r="G3456" t="s">
        <v>37</v>
      </c>
      <c r="H3456">
        <v>1958</v>
      </c>
      <c r="I3456">
        <v>25.600000381469702</v>
      </c>
      <c r="J3456">
        <v>10.8999996185303</v>
      </c>
      <c r="K3456">
        <v>65</v>
      </c>
      <c r="L3456">
        <v>17.440000534057599</v>
      </c>
      <c r="M3456">
        <v>32.599998474121101</v>
      </c>
      <c r="N3456">
        <v>15.8999996185303</v>
      </c>
      <c r="O3456">
        <v>16.700000762939499</v>
      </c>
      <c r="P3456">
        <v>27.299999237060501</v>
      </c>
      <c r="Q3456">
        <v>24.600000381469702</v>
      </c>
      <c r="R3456">
        <v>27.299999237060501</v>
      </c>
      <c r="S3456">
        <v>23.200000762939499</v>
      </c>
      <c r="T3456">
        <v>504</v>
      </c>
      <c r="U3456">
        <v>200</v>
      </c>
      <c r="V3456">
        <v>0</v>
      </c>
      <c r="W3456">
        <v>155</v>
      </c>
      <c r="X3456">
        <v>445</v>
      </c>
      <c r="Y3456">
        <v>0</v>
      </c>
      <c r="Z3456">
        <v>395</v>
      </c>
      <c r="AA3456">
        <v>3</v>
      </c>
      <c r="AB3456">
        <v>6.0127958432592497</v>
      </c>
      <c r="AC3456">
        <v>2.0228215635939E-2</v>
      </c>
      <c r="AD3456">
        <v>2.7514512410468899</v>
      </c>
      <c r="AE3456">
        <v>0.762254297733307</v>
      </c>
      <c r="AF3456">
        <v>45.163299663299703</v>
      </c>
      <c r="AG3456">
        <f>IFERROR(AH3456*0.1, "N/A")</f>
        <v>6.4624579124579107</v>
      </c>
      <c r="AH3456">
        <v>64.6245791245791</v>
      </c>
      <c r="AI3456">
        <v>162.334409591726</v>
      </c>
      <c r="AJ3456">
        <v>16</v>
      </c>
      <c r="AK3456">
        <v>64.742424242424207</v>
      </c>
    </row>
    <row r="3457" spans="1:37" x14ac:dyDescent="0.3">
      <c r="A3457">
        <v>3456</v>
      </c>
      <c r="B3457">
        <v>34</v>
      </c>
      <c r="C3457">
        <v>-16.230599999999999</v>
      </c>
      <c r="D3457">
        <v>14.6538</v>
      </c>
      <c r="E3457">
        <f>-16.2306-14.6538</f>
        <v>-30.884399999999999</v>
      </c>
      <c r="F3457" t="s">
        <v>5548</v>
      </c>
      <c r="G3457" t="s">
        <v>39</v>
      </c>
      <c r="H3457">
        <v>2003</v>
      </c>
      <c r="I3457">
        <v>27.899999618530298</v>
      </c>
      <c r="J3457">
        <v>16</v>
      </c>
      <c r="K3457">
        <v>66</v>
      </c>
      <c r="L3457">
        <v>18.870000839233398</v>
      </c>
      <c r="M3457">
        <v>39</v>
      </c>
      <c r="N3457">
        <v>15.1000003814697</v>
      </c>
      <c r="O3457">
        <v>23.899999618530298</v>
      </c>
      <c r="P3457">
        <v>28.799999237060501</v>
      </c>
      <c r="Q3457">
        <v>27.299999237060501</v>
      </c>
      <c r="R3457">
        <v>29.799999237060501</v>
      </c>
      <c r="S3457">
        <v>25</v>
      </c>
      <c r="T3457">
        <v>539</v>
      </c>
      <c r="U3457">
        <v>194</v>
      </c>
      <c r="V3457">
        <v>0</v>
      </c>
      <c r="W3457">
        <v>149</v>
      </c>
      <c r="X3457">
        <v>465</v>
      </c>
      <c r="Y3457">
        <v>0</v>
      </c>
      <c r="Z3457">
        <v>142</v>
      </c>
      <c r="AA3457">
        <v>2</v>
      </c>
      <c r="AB3457">
        <v>1.9906038677932401</v>
      </c>
      <c r="AC3457">
        <v>1.725831544558E-2</v>
      </c>
      <c r="AD3457">
        <v>1.0349805035047099</v>
      </c>
      <c r="AE3457">
        <v>0.88176858425140403</v>
      </c>
      <c r="AF3457">
        <v>8.2214765100671094</v>
      </c>
      <c r="AG3457">
        <f>IFERROR(AH3457*0.1, "N/A")</f>
        <v>7.01124161073826</v>
      </c>
      <c r="AH3457">
        <v>70.1124161073826</v>
      </c>
      <c r="AI3457">
        <v>53.306751004801498</v>
      </c>
      <c r="AJ3457">
        <v>23.775167785234899</v>
      </c>
      <c r="AK3457">
        <v>57</v>
      </c>
    </row>
    <row r="3458" spans="1:37" x14ac:dyDescent="0.3">
      <c r="A3458">
        <v>3457</v>
      </c>
      <c r="B3458">
        <v>17.399999999999999</v>
      </c>
      <c r="C3458">
        <v>-13.9833</v>
      </c>
      <c r="D3458">
        <v>14.666700000000001</v>
      </c>
      <c r="E3458">
        <f>-13.9833-14.6667</f>
        <v>-28.65</v>
      </c>
      <c r="F3458" t="s">
        <v>5549</v>
      </c>
      <c r="G3458" t="s">
        <v>39</v>
      </c>
      <c r="H3458">
        <v>2003</v>
      </c>
      <c r="I3458">
        <v>28.222315858674499</v>
      </c>
      <c r="J3458">
        <v>15.1000003814697</v>
      </c>
      <c r="K3458">
        <v>60</v>
      </c>
      <c r="L3458">
        <v>23.546091028507899</v>
      </c>
      <c r="M3458">
        <v>40.5</v>
      </c>
      <c r="N3458">
        <v>15.422315139898499</v>
      </c>
      <c r="O3458">
        <v>25.077684860101499</v>
      </c>
      <c r="P3458">
        <v>27.899999618530298</v>
      </c>
      <c r="Q3458">
        <v>26.700000762939499</v>
      </c>
      <c r="R3458">
        <v>31.5</v>
      </c>
      <c r="S3458">
        <v>25.222315858674499</v>
      </c>
      <c r="T3458">
        <v>640.44798657718104</v>
      </c>
      <c r="U3458">
        <v>197.74161073825499</v>
      </c>
      <c r="V3458">
        <v>0</v>
      </c>
      <c r="W3458">
        <v>133</v>
      </c>
      <c r="X3458">
        <v>512.48322147651004</v>
      </c>
      <c r="Y3458">
        <v>1</v>
      </c>
      <c r="Z3458">
        <v>70.964765100671201</v>
      </c>
      <c r="AA3458">
        <v>1</v>
      </c>
      <c r="AB3458">
        <v>0.22332199787933599</v>
      </c>
      <c r="AC3458">
        <v>0.67991860657180303</v>
      </c>
      <c r="AD3458">
        <v>1.01596031983027</v>
      </c>
      <c r="AE3458">
        <v>0.53240601088376704</v>
      </c>
      <c r="AF3458">
        <v>34.486577181208098</v>
      </c>
      <c r="AG3458">
        <f>IFERROR(AH3458*0.1, "N/A")</f>
        <v>6.1624161073825503</v>
      </c>
      <c r="AH3458">
        <v>61.624161073825498</v>
      </c>
      <c r="AI3458">
        <v>143.52630395057199</v>
      </c>
      <c r="AJ3458">
        <v>18.7818791946309</v>
      </c>
      <c r="AK3458">
        <v>59.406040268456401</v>
      </c>
    </row>
    <row r="3459" spans="1:37" x14ac:dyDescent="0.3">
      <c r="A3459">
        <v>3458</v>
      </c>
      <c r="B3459">
        <v>0</v>
      </c>
      <c r="C3459">
        <v>-13.9833</v>
      </c>
      <c r="D3459">
        <v>14.666700000000001</v>
      </c>
      <c r="E3459">
        <f>-13.9833-14.6667</f>
        <v>-28.65</v>
      </c>
      <c r="F3459" t="s">
        <v>5550</v>
      </c>
      <c r="G3459" t="s">
        <v>37</v>
      </c>
      <c r="H3459">
        <v>2003</v>
      </c>
      <c r="I3459">
        <v>28.222315858674499</v>
      </c>
      <c r="J3459">
        <v>15.1000003814697</v>
      </c>
      <c r="K3459">
        <v>60</v>
      </c>
      <c r="L3459">
        <v>23.546091028507899</v>
      </c>
      <c r="M3459">
        <v>40.5</v>
      </c>
      <c r="N3459">
        <v>15.422315139898499</v>
      </c>
      <c r="O3459">
        <v>25.077684860101499</v>
      </c>
      <c r="P3459">
        <v>27.899999618530298</v>
      </c>
      <c r="Q3459">
        <v>26.700000762939499</v>
      </c>
      <c r="R3459">
        <v>31.5</v>
      </c>
      <c r="S3459">
        <v>25.222315858674499</v>
      </c>
      <c r="T3459">
        <v>640.44798657718104</v>
      </c>
      <c r="U3459">
        <v>197.74161073825499</v>
      </c>
      <c r="V3459">
        <v>0</v>
      </c>
      <c r="W3459">
        <v>133</v>
      </c>
      <c r="X3459">
        <v>512.48322147651004</v>
      </c>
      <c r="Y3459">
        <v>1</v>
      </c>
      <c r="Z3459">
        <v>70.964765100671201</v>
      </c>
      <c r="AA3459">
        <v>1</v>
      </c>
      <c r="AB3459">
        <v>0.22332199787933599</v>
      </c>
      <c r="AC3459">
        <v>0.67991860657180303</v>
      </c>
      <c r="AD3459">
        <v>1.01596031983027</v>
      </c>
      <c r="AE3459">
        <v>0.53240601088376704</v>
      </c>
      <c r="AF3459">
        <v>34.486577181208098</v>
      </c>
      <c r="AG3459">
        <f>IFERROR(AH3459*0.1, "N/A")</f>
        <v>6.1624161073825503</v>
      </c>
      <c r="AH3459">
        <v>61.624161073825498</v>
      </c>
      <c r="AI3459">
        <v>143.52630395057199</v>
      </c>
      <c r="AJ3459">
        <v>18.7818791946309</v>
      </c>
      <c r="AK3459">
        <v>59.406040268456401</v>
      </c>
    </row>
    <row r="3460" spans="1:37" x14ac:dyDescent="0.3">
      <c r="A3460">
        <v>3459</v>
      </c>
      <c r="B3460">
        <v>68</v>
      </c>
      <c r="C3460">
        <v>-16.399999999999999</v>
      </c>
      <c r="D3460">
        <v>14.666700000000001</v>
      </c>
      <c r="E3460">
        <f>-16.4-14.6667</f>
        <v>-31.066699999999997</v>
      </c>
      <c r="F3460" t="s">
        <v>5551</v>
      </c>
      <c r="G3460" t="s">
        <v>39</v>
      </c>
      <c r="H3460">
        <v>2003</v>
      </c>
      <c r="I3460">
        <v>26.899999618530298</v>
      </c>
      <c r="J3460">
        <v>15.648241311461501</v>
      </c>
      <c r="K3460">
        <v>68</v>
      </c>
      <c r="L3460">
        <v>17.084087410164798</v>
      </c>
      <c r="M3460">
        <v>37.222613483218097</v>
      </c>
      <c r="N3460">
        <v>14.3999996185303</v>
      </c>
      <c r="O3460">
        <v>22.822612388649201</v>
      </c>
      <c r="P3460">
        <v>27.822612388649201</v>
      </c>
      <c r="Q3460">
        <v>26.200000762939499</v>
      </c>
      <c r="R3460">
        <v>28.578559763667201</v>
      </c>
      <c r="S3460">
        <v>24.200000762939499</v>
      </c>
      <c r="T3460">
        <v>560.22613065326595</v>
      </c>
      <c r="U3460">
        <v>211</v>
      </c>
      <c r="V3460">
        <v>0</v>
      </c>
      <c r="W3460">
        <v>152</v>
      </c>
      <c r="X3460">
        <v>488</v>
      </c>
      <c r="Y3460">
        <v>0</v>
      </c>
      <c r="Z3460">
        <v>136.22613065326601</v>
      </c>
      <c r="AA3460">
        <v>2</v>
      </c>
      <c r="AB3460">
        <v>0.113568195745574</v>
      </c>
      <c r="AC3460">
        <v>0.187323483708666</v>
      </c>
      <c r="AD3460">
        <v>1.36877411613912</v>
      </c>
      <c r="AE3460">
        <v>0.72265568979621098</v>
      </c>
      <c r="AF3460">
        <v>23.737018425460601</v>
      </c>
      <c r="AG3460">
        <f>IFERROR(AH3460*0.1, "N/A")</f>
        <v>5.6000000000000005</v>
      </c>
      <c r="AH3460">
        <v>56</v>
      </c>
      <c r="AI3460">
        <v>143.37173423575399</v>
      </c>
      <c r="AJ3460">
        <v>8</v>
      </c>
      <c r="AK3460">
        <v>86.226130653266296</v>
      </c>
    </row>
    <row r="3461" spans="1:37" x14ac:dyDescent="0.3">
      <c r="A3461">
        <v>3460</v>
      </c>
      <c r="B3461">
        <v>56</v>
      </c>
      <c r="C3461">
        <v>-16.332899000000001</v>
      </c>
      <c r="D3461">
        <v>14.6675</v>
      </c>
      <c r="E3461">
        <f>-16.332899-14.6675</f>
        <v>-31.000399000000002</v>
      </c>
      <c r="F3461" t="s">
        <v>5552</v>
      </c>
      <c r="G3461" t="s">
        <v>39</v>
      </c>
      <c r="H3461">
        <v>2003</v>
      </c>
      <c r="I3461">
        <v>27.201340775993</v>
      </c>
      <c r="J3461">
        <v>15.800000190734901</v>
      </c>
      <c r="K3461">
        <v>67</v>
      </c>
      <c r="L3461">
        <v>17.950285200697301</v>
      </c>
      <c r="M3461">
        <v>37.901341538932499</v>
      </c>
      <c r="N3461">
        <v>14.6000003814697</v>
      </c>
      <c r="O3461">
        <v>23.3013392756732</v>
      </c>
      <c r="P3461">
        <v>28.174875013392999</v>
      </c>
      <c r="Q3461">
        <v>26.5738696285229</v>
      </c>
      <c r="R3461">
        <v>29.0013400386127</v>
      </c>
      <c r="S3461">
        <v>24.426465381130299</v>
      </c>
      <c r="T3461">
        <v>556.28140703517602</v>
      </c>
      <c r="U3461">
        <v>205.26465661641501</v>
      </c>
      <c r="V3461">
        <v>0</v>
      </c>
      <c r="W3461">
        <v>149</v>
      </c>
      <c r="X3461">
        <v>481.28140703517602</v>
      </c>
      <c r="Y3461">
        <v>0</v>
      </c>
      <c r="Z3461">
        <v>139.73869346733699</v>
      </c>
      <c r="AA3461">
        <v>2</v>
      </c>
      <c r="AB3461">
        <v>1.1268016904642399</v>
      </c>
      <c r="AC3461">
        <v>3.0256998483435001E-2</v>
      </c>
      <c r="AD3461">
        <v>0.80631253807189296</v>
      </c>
      <c r="AE3461">
        <v>0.72181038301394396</v>
      </c>
      <c r="AF3461">
        <v>22.005025125628102</v>
      </c>
      <c r="AG3461">
        <f>IFERROR(AH3461*0.1, "N/A")</f>
        <v>5.5782244556113909</v>
      </c>
      <c r="AH3461">
        <v>55.782244556113902</v>
      </c>
      <c r="AI3461">
        <v>129.166594883904</v>
      </c>
      <c r="AJ3461">
        <v>7.8090452261306504</v>
      </c>
      <c r="AK3461">
        <v>86.381909547738701</v>
      </c>
    </row>
    <row r="3462" spans="1:37" x14ac:dyDescent="0.3">
      <c r="A3462">
        <v>3461</v>
      </c>
      <c r="B3462">
        <v>12.5</v>
      </c>
      <c r="C3462">
        <v>-17.041401</v>
      </c>
      <c r="D3462">
        <v>14.6692</v>
      </c>
      <c r="E3462">
        <f>-17.041401-14.6692</f>
        <v>-31.710601</v>
      </c>
      <c r="F3462" t="s">
        <v>5553</v>
      </c>
      <c r="G3462" t="s">
        <v>39</v>
      </c>
      <c r="H3462">
        <v>1958</v>
      </c>
      <c r="I3462">
        <v>25.799999237060501</v>
      </c>
      <c r="J3462">
        <v>11.5</v>
      </c>
      <c r="K3462">
        <v>66</v>
      </c>
      <c r="L3462">
        <v>16.5101010787427</v>
      </c>
      <c r="M3462">
        <v>33.090953386009602</v>
      </c>
      <c r="N3462">
        <v>15.709045069900601</v>
      </c>
      <c r="O3462">
        <v>17.381909269783399</v>
      </c>
      <c r="P3462">
        <v>27.299999237060501</v>
      </c>
      <c r="Q3462">
        <v>25.190955502304</v>
      </c>
      <c r="R3462">
        <v>27.399999618530298</v>
      </c>
      <c r="S3462">
        <v>23.409044879165702</v>
      </c>
      <c r="T3462">
        <v>514.72864321607994</v>
      </c>
      <c r="U3462">
        <v>201.90954773869299</v>
      </c>
      <c r="V3462">
        <v>0</v>
      </c>
      <c r="W3462">
        <v>156</v>
      </c>
      <c r="X3462">
        <v>450.90954773869299</v>
      </c>
      <c r="Y3462">
        <v>0</v>
      </c>
      <c r="Z3462">
        <v>309.90954773869299</v>
      </c>
      <c r="AA3462">
        <v>4.9095477386934698</v>
      </c>
      <c r="AB3462">
        <v>8.7993290260608905</v>
      </c>
      <c r="AC3462">
        <v>1.636891771994E-2</v>
      </c>
      <c r="AD3462">
        <v>2.06667365161218</v>
      </c>
      <c r="AE3462">
        <v>0.78034114837646495</v>
      </c>
      <c r="AF3462">
        <v>38.402010050251299</v>
      </c>
      <c r="AG3462">
        <f>IFERROR(AH3462*0.1, "N/A")</f>
        <v>6.04522613065327</v>
      </c>
      <c r="AH3462">
        <v>60.452261306532698</v>
      </c>
      <c r="AI3462">
        <v>178.507001279387</v>
      </c>
      <c r="AJ3462">
        <v>18</v>
      </c>
      <c r="AK3462">
        <v>68.547738693467295</v>
      </c>
    </row>
    <row r="3463" spans="1:37" x14ac:dyDescent="0.3">
      <c r="A3463">
        <v>3462</v>
      </c>
      <c r="B3463">
        <v>64</v>
      </c>
      <c r="C3463">
        <v>-16.299999</v>
      </c>
      <c r="D3463">
        <v>14.67</v>
      </c>
      <c r="E3463">
        <f>-16.299999-14.67</f>
        <v>-30.969999000000001</v>
      </c>
      <c r="F3463" t="s">
        <v>5554</v>
      </c>
      <c r="G3463" t="s">
        <v>39</v>
      </c>
      <c r="H3463">
        <v>2003</v>
      </c>
      <c r="I3463">
        <v>27.399999618530298</v>
      </c>
      <c r="J3463">
        <v>15.8999996185303</v>
      </c>
      <c r="K3463">
        <v>67</v>
      </c>
      <c r="L3463">
        <v>18.0865716918176</v>
      </c>
      <c r="M3463">
        <v>38.245042092459499</v>
      </c>
      <c r="N3463">
        <v>14.7450419978935</v>
      </c>
      <c r="O3463">
        <v>23.5</v>
      </c>
      <c r="P3463">
        <v>28.345041425688901</v>
      </c>
      <c r="Q3463">
        <v>26.799999237060501</v>
      </c>
      <c r="R3463">
        <v>29.245042092459499</v>
      </c>
      <c r="S3463">
        <v>24.600000381469702</v>
      </c>
      <c r="T3463">
        <v>552.09915966386495</v>
      </c>
      <c r="U3463">
        <v>202.54957983193299</v>
      </c>
      <c r="V3463">
        <v>0</v>
      </c>
      <c r="W3463">
        <v>148.351260504202</v>
      </c>
      <c r="X3463">
        <v>477.09915966386598</v>
      </c>
      <c r="Y3463">
        <v>0</v>
      </c>
      <c r="Z3463">
        <v>140</v>
      </c>
      <c r="AA3463">
        <v>2</v>
      </c>
      <c r="AB3463">
        <v>0.91042073674562596</v>
      </c>
      <c r="AC3463">
        <v>2.7104280878078001E-2</v>
      </c>
      <c r="AD3463">
        <v>2.4892433011231301</v>
      </c>
      <c r="AE3463">
        <v>0.71691453456878695</v>
      </c>
      <c r="AF3463">
        <v>17.369747899159702</v>
      </c>
      <c r="AG3463">
        <f>IFERROR(AH3463*0.1, "N/A")</f>
        <v>5.5364705882352903</v>
      </c>
      <c r="AH3463">
        <v>55.364705882352901</v>
      </c>
      <c r="AI3463">
        <v>103.527956153164</v>
      </c>
      <c r="AJ3463">
        <v>7.1260504201680703</v>
      </c>
      <c r="AK3463">
        <v>86.196638655462195</v>
      </c>
    </row>
    <row r="3464" spans="1:37" x14ac:dyDescent="0.3">
      <c r="A3464">
        <v>3463</v>
      </c>
      <c r="B3464">
        <v>7</v>
      </c>
      <c r="C3464">
        <v>-16.785499999999999</v>
      </c>
      <c r="D3464">
        <v>14.6709</v>
      </c>
      <c r="E3464">
        <f>-16.7855-14.6709</f>
        <v>-31.456399999999999</v>
      </c>
      <c r="F3464" t="s">
        <v>5555</v>
      </c>
      <c r="G3464" t="s">
        <v>39</v>
      </c>
      <c r="H3464">
        <v>1987</v>
      </c>
      <c r="I3464">
        <v>26.200000762939499</v>
      </c>
      <c r="J3464">
        <v>13.3999996185303</v>
      </c>
      <c r="K3464">
        <v>69</v>
      </c>
      <c r="L3464">
        <v>15.699999809265099</v>
      </c>
      <c r="M3464">
        <v>34.299999237060497</v>
      </c>
      <c r="N3464">
        <v>15</v>
      </c>
      <c r="O3464">
        <v>19.299999237060501</v>
      </c>
      <c r="P3464">
        <v>27.399999618530298</v>
      </c>
      <c r="Q3464">
        <v>26.100000381469702</v>
      </c>
      <c r="R3464">
        <v>27.700000762939499</v>
      </c>
      <c r="S3464">
        <v>23.700000762939499</v>
      </c>
      <c r="T3464">
        <v>534</v>
      </c>
      <c r="U3464">
        <v>210</v>
      </c>
      <c r="V3464">
        <v>0</v>
      </c>
      <c r="W3464">
        <v>154</v>
      </c>
      <c r="X3464">
        <v>466</v>
      </c>
      <c r="Y3464">
        <v>0</v>
      </c>
      <c r="Z3464">
        <v>328</v>
      </c>
      <c r="AA3464">
        <v>4</v>
      </c>
      <c r="AB3464">
        <v>0.62907540778152105</v>
      </c>
      <c r="AC3464">
        <v>58.068794180066199</v>
      </c>
      <c r="AD3464">
        <v>1.0956572143971399</v>
      </c>
      <c r="AE3464">
        <v>0.72994077205658003</v>
      </c>
      <c r="AF3464">
        <v>16.880672268907599</v>
      </c>
      <c r="AG3464">
        <f>IFERROR(AH3464*0.1, "N/A")</f>
        <v>5.8000000000000007</v>
      </c>
      <c r="AH3464">
        <v>58</v>
      </c>
      <c r="AI3464">
        <v>232.70630677808199</v>
      </c>
      <c r="AJ3464">
        <v>8.05378151260504</v>
      </c>
      <c r="AK3464">
        <v>85.946218487395001</v>
      </c>
    </row>
    <row r="3465" spans="1:37" x14ac:dyDescent="0.3">
      <c r="A3465">
        <v>3464</v>
      </c>
      <c r="B3465">
        <v>2.2000000000000002</v>
      </c>
      <c r="C3465">
        <v>-17.440000999999999</v>
      </c>
      <c r="D3465">
        <v>14.673999999999999</v>
      </c>
      <c r="E3465">
        <f>-17.440001-14.674</f>
        <v>-32.114001000000002</v>
      </c>
      <c r="F3465" t="s">
        <v>5556</v>
      </c>
      <c r="G3465" t="s">
        <v>39</v>
      </c>
      <c r="H3465">
        <v>1987</v>
      </c>
      <c r="I3465">
        <v>25</v>
      </c>
      <c r="J3465">
        <v>7.9000000953674299</v>
      </c>
      <c r="K3465">
        <v>54</v>
      </c>
      <c r="L3465">
        <v>23.790000915527301</v>
      </c>
      <c r="M3465">
        <v>31.700000762939499</v>
      </c>
      <c r="N3465">
        <v>17.100000381469702</v>
      </c>
      <c r="O3465">
        <v>14.6000003814697</v>
      </c>
      <c r="P3465">
        <v>27.600000381469702</v>
      </c>
      <c r="Q3465">
        <v>22.100000381469702</v>
      </c>
      <c r="R3465">
        <v>27.700000762939499</v>
      </c>
      <c r="S3465">
        <v>22.100000381469702</v>
      </c>
      <c r="T3465">
        <v>477</v>
      </c>
      <c r="U3465">
        <v>187</v>
      </c>
      <c r="V3465">
        <v>0</v>
      </c>
      <c r="W3465">
        <v>156</v>
      </c>
      <c r="X3465">
        <v>417</v>
      </c>
      <c r="Y3465">
        <v>1</v>
      </c>
      <c r="Z3465">
        <v>381</v>
      </c>
      <c r="AA3465">
        <v>1</v>
      </c>
      <c r="AB3465">
        <v>9.9396990052419696</v>
      </c>
      <c r="AC3465">
        <v>2.5959825439619E-2</v>
      </c>
      <c r="AD3465">
        <v>2.4851171437220398</v>
      </c>
      <c r="AE3465">
        <v>0.89626276493072499</v>
      </c>
      <c r="AF3465">
        <v>15.4137353433836</v>
      </c>
      <c r="AG3465">
        <f>IFERROR(AH3465*0.1, "N/A")</f>
        <v>6.8973199329983306</v>
      </c>
      <c r="AH3465">
        <v>68.973199329983302</v>
      </c>
      <c r="AI3465">
        <v>308.26281221987199</v>
      </c>
      <c r="AJ3465">
        <v>29.536013400335001</v>
      </c>
      <c r="AK3465">
        <v>52.532663316582898</v>
      </c>
    </row>
    <row r="3466" spans="1:37" x14ac:dyDescent="0.3">
      <c r="A3466">
        <v>3465</v>
      </c>
      <c r="B3466">
        <v>7.3</v>
      </c>
      <c r="C3466">
        <v>-16.801000999999999</v>
      </c>
      <c r="D3466">
        <v>14.685</v>
      </c>
      <c r="E3466">
        <f>-16.801001-14.685</f>
        <v>-31.486001000000002</v>
      </c>
      <c r="F3466" t="s">
        <v>5557</v>
      </c>
      <c r="G3466" t="s">
        <v>39</v>
      </c>
      <c r="H3466">
        <v>1987</v>
      </c>
      <c r="I3466">
        <v>26.100000381469702</v>
      </c>
      <c r="J3466">
        <v>13.3018489196521</v>
      </c>
      <c r="K3466">
        <v>69.018487394958001</v>
      </c>
      <c r="L3466">
        <v>15.579630184975001</v>
      </c>
      <c r="M3466">
        <v>34.099998474121101</v>
      </c>
      <c r="N3466">
        <v>15</v>
      </c>
      <c r="O3466">
        <v>19.100000381469702</v>
      </c>
      <c r="P3466">
        <v>27.299999237060501</v>
      </c>
      <c r="Q3466">
        <v>25.899999618530298</v>
      </c>
      <c r="R3466">
        <v>27.600000381469702</v>
      </c>
      <c r="S3466">
        <v>23.700000762939499</v>
      </c>
      <c r="T3466">
        <v>528.03697478991603</v>
      </c>
      <c r="U3466">
        <v>207.01848739495799</v>
      </c>
      <c r="V3466">
        <v>0</v>
      </c>
      <c r="W3466">
        <v>151.01848739495799</v>
      </c>
      <c r="X3466">
        <v>459.05546218487399</v>
      </c>
      <c r="Y3466">
        <v>0</v>
      </c>
      <c r="Z3466">
        <v>322.03697478991597</v>
      </c>
      <c r="AA3466">
        <v>5</v>
      </c>
      <c r="AB3466">
        <v>2.16823577239734</v>
      </c>
      <c r="AC3466">
        <v>0.27973637892982001</v>
      </c>
      <c r="AD3466">
        <v>1.5114969802503799</v>
      </c>
      <c r="AE3466">
        <v>0.67040385007858305</v>
      </c>
      <c r="AF3466">
        <v>27.309243697479001</v>
      </c>
      <c r="AG3466">
        <f>IFERROR(AH3466*0.1, "N/A")</f>
        <v>5.5154621848739502</v>
      </c>
      <c r="AH3466">
        <v>55.154621848739502</v>
      </c>
      <c r="AI3466">
        <v>270.32660453219398</v>
      </c>
      <c r="AJ3466">
        <v>7</v>
      </c>
      <c r="AK3466">
        <v>88.722689075630299</v>
      </c>
    </row>
    <row r="3467" spans="1:37" x14ac:dyDescent="0.3">
      <c r="A3467">
        <v>3466</v>
      </c>
      <c r="B3467">
        <v>50</v>
      </c>
      <c r="C3467">
        <v>-16.389999</v>
      </c>
      <c r="D3467">
        <v>14.69</v>
      </c>
      <c r="E3467">
        <f>-16.389999-14.69</f>
        <v>-31.079999000000001</v>
      </c>
      <c r="F3467" t="s">
        <v>5558</v>
      </c>
      <c r="G3467" t="s">
        <v>39</v>
      </c>
      <c r="H3467">
        <v>2003</v>
      </c>
      <c r="I3467">
        <v>26.899999618530298</v>
      </c>
      <c r="J3467">
        <v>15.699999809265099</v>
      </c>
      <c r="K3467">
        <v>68</v>
      </c>
      <c r="L3467">
        <v>17.629999160766602</v>
      </c>
      <c r="M3467">
        <v>37.400001525878899</v>
      </c>
      <c r="N3467">
        <v>14.3999996185303</v>
      </c>
      <c r="O3467">
        <v>23</v>
      </c>
      <c r="P3467">
        <v>27.899999618530298</v>
      </c>
      <c r="Q3467">
        <v>26.200000762939499</v>
      </c>
      <c r="R3467">
        <v>28.700000762939499</v>
      </c>
      <c r="S3467">
        <v>24.100000381469702</v>
      </c>
      <c r="T3467">
        <v>561</v>
      </c>
      <c r="U3467">
        <v>211</v>
      </c>
      <c r="V3467">
        <v>0</v>
      </c>
      <c r="W3467">
        <v>152</v>
      </c>
      <c r="X3467">
        <v>488</v>
      </c>
      <c r="Y3467">
        <v>0</v>
      </c>
      <c r="Z3467">
        <v>136</v>
      </c>
      <c r="AA3467">
        <v>2</v>
      </c>
      <c r="AB3467">
        <v>1.2942955349915799</v>
      </c>
      <c r="AC3467">
        <v>5.0877792482582999E-2</v>
      </c>
      <c r="AD3467">
        <v>1.72491611670328</v>
      </c>
      <c r="AE3467">
        <v>0.72549211978912398</v>
      </c>
      <c r="AF3467">
        <v>27.4781879194631</v>
      </c>
      <c r="AG3467">
        <f>IFERROR(AH3467*0.1, "N/A")</f>
        <v>5.5058724832214807</v>
      </c>
      <c r="AH3467">
        <v>55.0587248322148</v>
      </c>
      <c r="AI3467">
        <v>283.78294382959399</v>
      </c>
      <c r="AJ3467">
        <v>8</v>
      </c>
      <c r="AK3467">
        <v>86</v>
      </c>
    </row>
    <row r="3468" spans="1:37" x14ac:dyDescent="0.3">
      <c r="A3468">
        <v>3467</v>
      </c>
      <c r="B3468">
        <v>70.900002000000001</v>
      </c>
      <c r="C3468">
        <v>-16.357700000000001</v>
      </c>
      <c r="D3468">
        <v>14.6953</v>
      </c>
      <c r="E3468">
        <f>-16.3577-14.6953</f>
        <v>-31.053000000000001</v>
      </c>
      <c r="F3468" t="s">
        <v>5559</v>
      </c>
      <c r="G3468" t="s">
        <v>39</v>
      </c>
      <c r="H3468">
        <v>1996</v>
      </c>
      <c r="I3468">
        <v>27</v>
      </c>
      <c r="J3468">
        <v>15.699999809265099</v>
      </c>
      <c r="K3468">
        <v>67</v>
      </c>
      <c r="L3468">
        <v>17.679515554753401</v>
      </c>
      <c r="M3468">
        <v>37.5</v>
      </c>
      <c r="N3468">
        <v>14.3999996185303</v>
      </c>
      <c r="O3468">
        <v>23.100000381469702</v>
      </c>
      <c r="P3468">
        <v>28</v>
      </c>
      <c r="Q3468">
        <v>26.394481202830399</v>
      </c>
      <c r="R3468">
        <v>28.794480926615702</v>
      </c>
      <c r="S3468">
        <v>24.200000762939499</v>
      </c>
      <c r="T3468">
        <v>558</v>
      </c>
      <c r="U3468">
        <v>208</v>
      </c>
      <c r="V3468">
        <v>0</v>
      </c>
      <c r="W3468">
        <v>150</v>
      </c>
      <c r="X3468">
        <v>484</v>
      </c>
      <c r="Y3468">
        <v>0</v>
      </c>
      <c r="Z3468">
        <v>137</v>
      </c>
      <c r="AA3468">
        <v>2</v>
      </c>
      <c r="AB3468">
        <v>3.0603680977454499</v>
      </c>
      <c r="AC3468">
        <v>2.0116673657875998E-2</v>
      </c>
      <c r="AD3468">
        <v>0.69203196386230403</v>
      </c>
      <c r="AE3468">
        <v>0.72364628314971902</v>
      </c>
      <c r="AF3468">
        <v>31.643812709030101</v>
      </c>
      <c r="AG3468">
        <f>IFERROR(AH3468*0.1, "N/A")</f>
        <v>5.5</v>
      </c>
      <c r="AH3468">
        <v>55</v>
      </c>
      <c r="AI3468">
        <v>191.47331624366001</v>
      </c>
      <c r="AJ3468">
        <v>6.0852842809364596</v>
      </c>
      <c r="AK3468">
        <v>86.829431438127102</v>
      </c>
    </row>
    <row r="3469" spans="1:37" x14ac:dyDescent="0.3">
      <c r="A3469">
        <v>3468</v>
      </c>
      <c r="B3469">
        <v>0</v>
      </c>
      <c r="C3469">
        <v>-16.357700000000001</v>
      </c>
      <c r="D3469">
        <v>14.6953</v>
      </c>
      <c r="E3469">
        <f>-16.3577-14.6953</f>
        <v>-31.053000000000001</v>
      </c>
      <c r="F3469" t="s">
        <v>5560</v>
      </c>
      <c r="G3469" t="s">
        <v>37</v>
      </c>
      <c r="H3469">
        <v>1996</v>
      </c>
      <c r="I3469">
        <v>27</v>
      </c>
      <c r="J3469">
        <v>15.699999809265099</v>
      </c>
      <c r="K3469">
        <v>67</v>
      </c>
      <c r="L3469">
        <v>17.679515554753401</v>
      </c>
      <c r="M3469">
        <v>37.5</v>
      </c>
      <c r="N3469">
        <v>14.3999996185303</v>
      </c>
      <c r="O3469">
        <v>23.100000381469702</v>
      </c>
      <c r="P3469">
        <v>28</v>
      </c>
      <c r="Q3469">
        <v>26.394481202830399</v>
      </c>
      <c r="R3469">
        <v>28.794480926615702</v>
      </c>
      <c r="S3469">
        <v>24.200000762939499</v>
      </c>
      <c r="T3469">
        <v>558</v>
      </c>
      <c r="U3469">
        <v>208</v>
      </c>
      <c r="V3469">
        <v>0</v>
      </c>
      <c r="W3469">
        <v>150</v>
      </c>
      <c r="X3469">
        <v>484</v>
      </c>
      <c r="Y3469">
        <v>0</v>
      </c>
      <c r="Z3469">
        <v>137</v>
      </c>
      <c r="AA3469">
        <v>2</v>
      </c>
      <c r="AB3469">
        <v>3.0603680977454499</v>
      </c>
      <c r="AC3469">
        <v>2.0116673657875998E-2</v>
      </c>
      <c r="AD3469">
        <v>0.69203196386230403</v>
      </c>
      <c r="AE3469">
        <v>0.72364628314971902</v>
      </c>
      <c r="AF3469">
        <v>31.643812709030101</v>
      </c>
      <c r="AG3469">
        <f>IFERROR(AH3469*0.1, "N/A")</f>
        <v>5.5</v>
      </c>
      <c r="AH3469">
        <v>55</v>
      </c>
      <c r="AI3469">
        <v>191.47331624366001</v>
      </c>
      <c r="AJ3469">
        <v>6.0852842809364596</v>
      </c>
      <c r="AK3469">
        <v>86.829431438127102</v>
      </c>
    </row>
    <row r="3470" spans="1:37" x14ac:dyDescent="0.3">
      <c r="A3470">
        <v>3469</v>
      </c>
      <c r="B3470">
        <v>20</v>
      </c>
      <c r="C3470">
        <v>-12.8277</v>
      </c>
      <c r="D3470">
        <v>14.696899999999999</v>
      </c>
      <c r="E3470">
        <f>-12.8277-14.6969</f>
        <v>-27.5246</v>
      </c>
      <c r="F3470" t="s">
        <v>5561</v>
      </c>
      <c r="G3470" t="s">
        <v>39</v>
      </c>
      <c r="H3470">
        <v>1996</v>
      </c>
      <c r="I3470">
        <v>28.100000381469702</v>
      </c>
      <c r="J3470">
        <v>14.6000003814697</v>
      </c>
      <c r="K3470">
        <v>59</v>
      </c>
      <c r="L3470">
        <v>24.559999465942401</v>
      </c>
      <c r="M3470">
        <v>40.099998474121101</v>
      </c>
      <c r="N3470">
        <v>15.3999996185303</v>
      </c>
      <c r="O3470">
        <v>24.700000762939499</v>
      </c>
      <c r="P3470">
        <v>27.399999618530298</v>
      </c>
      <c r="Q3470">
        <v>26.700000762939499</v>
      </c>
      <c r="R3470">
        <v>31.600000381469702</v>
      </c>
      <c r="S3470">
        <v>25.100000381469702</v>
      </c>
      <c r="T3470">
        <v>708</v>
      </c>
      <c r="U3470">
        <v>219</v>
      </c>
      <c r="V3470">
        <v>0</v>
      </c>
      <c r="W3470">
        <v>131</v>
      </c>
      <c r="X3470">
        <v>560</v>
      </c>
      <c r="Y3470">
        <v>1</v>
      </c>
      <c r="Z3470">
        <v>97</v>
      </c>
      <c r="AA3470">
        <v>1</v>
      </c>
      <c r="AB3470">
        <v>2.5606392200668102</v>
      </c>
      <c r="AC3470">
        <v>1.1225393636329999E-2</v>
      </c>
      <c r="AD3470">
        <v>3.72801636671102</v>
      </c>
      <c r="AE3470">
        <v>0.39733898639678999</v>
      </c>
      <c r="AF3470">
        <v>72.670016750418796</v>
      </c>
      <c r="AG3470">
        <f>IFERROR(AH3470*0.1, "N/A")</f>
        <v>5.9819095477387005</v>
      </c>
      <c r="AH3470">
        <v>59.819095477387002</v>
      </c>
      <c r="AI3470">
        <v>123.845430888523</v>
      </c>
      <c r="AJ3470">
        <v>20.819095477386899</v>
      </c>
      <c r="AK3470">
        <v>62.819095477386902</v>
      </c>
    </row>
    <row r="3471" spans="1:37" x14ac:dyDescent="0.3">
      <c r="A3471">
        <v>3470</v>
      </c>
      <c r="B3471">
        <v>0</v>
      </c>
      <c r="C3471">
        <v>-12.8277</v>
      </c>
      <c r="D3471">
        <v>14.696899999999999</v>
      </c>
      <c r="E3471">
        <f>-12.8277-14.6969</f>
        <v>-27.5246</v>
      </c>
      <c r="F3471" t="s">
        <v>5562</v>
      </c>
      <c r="G3471" t="s">
        <v>37</v>
      </c>
      <c r="H3471">
        <v>1996</v>
      </c>
      <c r="I3471">
        <v>28.100000381469702</v>
      </c>
      <c r="J3471">
        <v>14.6000003814697</v>
      </c>
      <c r="K3471">
        <v>59</v>
      </c>
      <c r="L3471">
        <v>24.559999465942401</v>
      </c>
      <c r="M3471">
        <v>40.099998474121101</v>
      </c>
      <c r="N3471">
        <v>15.3999996185303</v>
      </c>
      <c r="O3471">
        <v>24.700000762939499</v>
      </c>
      <c r="P3471">
        <v>27.399999618530298</v>
      </c>
      <c r="Q3471">
        <v>26.700000762939499</v>
      </c>
      <c r="R3471">
        <v>31.600000381469702</v>
      </c>
      <c r="S3471">
        <v>25.100000381469702</v>
      </c>
      <c r="T3471">
        <v>708</v>
      </c>
      <c r="U3471">
        <v>219</v>
      </c>
      <c r="V3471">
        <v>0</v>
      </c>
      <c r="W3471">
        <v>131</v>
      </c>
      <c r="X3471">
        <v>560</v>
      </c>
      <c r="Y3471">
        <v>1</v>
      </c>
      <c r="Z3471">
        <v>97</v>
      </c>
      <c r="AA3471">
        <v>1</v>
      </c>
      <c r="AB3471">
        <v>2.5606392200668102</v>
      </c>
      <c r="AC3471">
        <v>1.1225393636329999E-2</v>
      </c>
      <c r="AD3471">
        <v>3.72801636671102</v>
      </c>
      <c r="AE3471">
        <v>0.39733898639678999</v>
      </c>
      <c r="AF3471">
        <v>72.670016750418796</v>
      </c>
      <c r="AG3471">
        <f>IFERROR(AH3471*0.1, "N/A")</f>
        <v>5.9819095477387005</v>
      </c>
      <c r="AH3471">
        <v>59.819095477387002</v>
      </c>
      <c r="AI3471">
        <v>123.845430888523</v>
      </c>
      <c r="AJ3471">
        <v>20.819095477386899</v>
      </c>
      <c r="AK3471">
        <v>62.819095477386902</v>
      </c>
    </row>
    <row r="3472" spans="1:37" x14ac:dyDescent="0.3">
      <c r="A3472">
        <v>3471</v>
      </c>
      <c r="B3472">
        <v>71</v>
      </c>
      <c r="C3472">
        <v>-16.360700999999999</v>
      </c>
      <c r="D3472">
        <v>14.697900000000001</v>
      </c>
      <c r="E3472">
        <f>-16.360701-14.6979</f>
        <v>-31.058600999999999</v>
      </c>
      <c r="F3472" t="s">
        <v>5563</v>
      </c>
      <c r="G3472" t="s">
        <v>39</v>
      </c>
      <c r="H3472">
        <v>2000</v>
      </c>
      <c r="I3472">
        <v>27</v>
      </c>
      <c r="J3472">
        <v>15.699999809265099</v>
      </c>
      <c r="K3472">
        <v>67</v>
      </c>
      <c r="L3472">
        <v>17.5</v>
      </c>
      <c r="M3472">
        <v>37.5</v>
      </c>
      <c r="N3472">
        <v>14.3999996185303</v>
      </c>
      <c r="O3472">
        <v>23.100000381469702</v>
      </c>
      <c r="P3472">
        <v>28</v>
      </c>
      <c r="Q3472">
        <v>26.299999237060501</v>
      </c>
      <c r="R3472">
        <v>28.700000762939499</v>
      </c>
      <c r="S3472">
        <v>24.200000762939499</v>
      </c>
      <c r="T3472">
        <v>558</v>
      </c>
      <c r="U3472">
        <v>208</v>
      </c>
      <c r="V3472">
        <v>0</v>
      </c>
      <c r="W3472">
        <v>150</v>
      </c>
      <c r="X3472">
        <v>484</v>
      </c>
      <c r="Y3472">
        <v>0</v>
      </c>
      <c r="Z3472">
        <v>137</v>
      </c>
      <c r="AA3472">
        <v>2</v>
      </c>
      <c r="AB3472">
        <v>3.7583602216331502</v>
      </c>
      <c r="AC3472">
        <v>1.0404124989931001E-2</v>
      </c>
      <c r="AD3472">
        <v>0.724732428988486</v>
      </c>
      <c r="AE3472">
        <v>0.72622168542549403</v>
      </c>
      <c r="AF3472">
        <v>34.954849498327803</v>
      </c>
      <c r="AG3472">
        <f>IFERROR(AH3472*0.1, "N/A")</f>
        <v>5.4933110367893008</v>
      </c>
      <c r="AH3472">
        <v>54.933110367893001</v>
      </c>
      <c r="AI3472">
        <v>140.28792055634</v>
      </c>
      <c r="AJ3472">
        <v>7.0033444816053496</v>
      </c>
      <c r="AK3472">
        <v>85.926421404682301</v>
      </c>
    </row>
    <row r="3473" spans="1:37" x14ac:dyDescent="0.3">
      <c r="A3473">
        <v>3472</v>
      </c>
      <c r="B3473">
        <v>72.599997999999999</v>
      </c>
      <c r="C3473">
        <v>-13.566700000000001</v>
      </c>
      <c r="D3473">
        <v>14.7</v>
      </c>
      <c r="E3473">
        <f>-13.5667-14.7</f>
        <v>-28.2667</v>
      </c>
      <c r="F3473" t="s">
        <v>5564</v>
      </c>
      <c r="G3473" t="s">
        <v>39</v>
      </c>
      <c r="H3473">
        <v>2003</v>
      </c>
      <c r="I3473">
        <v>28.261705507004098</v>
      </c>
      <c r="J3473">
        <v>14.8999996185303</v>
      </c>
      <c r="K3473">
        <v>59</v>
      </c>
      <c r="L3473">
        <v>24.391103824245501</v>
      </c>
      <c r="M3473">
        <v>40.4493318768249</v>
      </c>
      <c r="N3473">
        <v>15.3999996185303</v>
      </c>
      <c r="O3473">
        <v>25.049331291862199</v>
      </c>
      <c r="P3473">
        <v>27.811036068460201</v>
      </c>
      <c r="Q3473">
        <v>26.700000762939499</v>
      </c>
      <c r="R3473">
        <v>31.661706302477</v>
      </c>
      <c r="S3473">
        <v>25.161706302477</v>
      </c>
      <c r="T3473">
        <v>730.22240802675606</v>
      </c>
      <c r="U3473">
        <v>220.12374581939801</v>
      </c>
      <c r="V3473">
        <v>0</v>
      </c>
      <c r="W3473">
        <v>131.75250836120401</v>
      </c>
      <c r="X3473">
        <v>575.98829431438105</v>
      </c>
      <c r="Y3473">
        <v>1</v>
      </c>
      <c r="Z3473">
        <v>94.234113712374594</v>
      </c>
      <c r="AA3473">
        <v>1</v>
      </c>
      <c r="AB3473">
        <v>2.5831099098741399</v>
      </c>
      <c r="AC3473">
        <v>6.0862097912546001E-2</v>
      </c>
      <c r="AD3473">
        <v>2.7779297936321501</v>
      </c>
      <c r="AE3473">
        <v>0.59574016838966803</v>
      </c>
      <c r="AF3473">
        <v>44.239130434782602</v>
      </c>
      <c r="AG3473">
        <f>IFERROR(AH3473*0.1, "N/A")</f>
        <v>6.7</v>
      </c>
      <c r="AH3473">
        <v>67</v>
      </c>
      <c r="AI3473">
        <v>228.705384602116</v>
      </c>
      <c r="AJ3473">
        <v>16.234113712374601</v>
      </c>
      <c r="AK3473">
        <v>60.234113712374601</v>
      </c>
    </row>
    <row r="3474" spans="1:37" x14ac:dyDescent="0.3">
      <c r="A3474">
        <v>3473</v>
      </c>
      <c r="B3474">
        <v>0</v>
      </c>
      <c r="C3474">
        <v>-13.566700000000001</v>
      </c>
      <c r="D3474">
        <v>14.7</v>
      </c>
      <c r="E3474">
        <f>-13.5667-14.7</f>
        <v>-28.2667</v>
      </c>
      <c r="F3474" t="s">
        <v>5565</v>
      </c>
      <c r="G3474" t="s">
        <v>37</v>
      </c>
      <c r="H3474">
        <v>2003</v>
      </c>
      <c r="I3474">
        <v>28.261705507004098</v>
      </c>
      <c r="J3474">
        <v>14.8999996185303</v>
      </c>
      <c r="K3474">
        <v>59</v>
      </c>
      <c r="L3474">
        <v>24.391103824245501</v>
      </c>
      <c r="M3474">
        <v>40.4493318768249</v>
      </c>
      <c r="N3474">
        <v>15.3999996185303</v>
      </c>
      <c r="O3474">
        <v>25.049331291862199</v>
      </c>
      <c r="P3474">
        <v>27.811036068460201</v>
      </c>
      <c r="Q3474">
        <v>26.700000762939499</v>
      </c>
      <c r="R3474">
        <v>31.661706302477</v>
      </c>
      <c r="S3474">
        <v>25.161706302477</v>
      </c>
      <c r="T3474">
        <v>730.22240802675606</v>
      </c>
      <c r="U3474">
        <v>220.12374581939801</v>
      </c>
      <c r="V3474">
        <v>0</v>
      </c>
      <c r="W3474">
        <v>131.75250836120401</v>
      </c>
      <c r="X3474">
        <v>575.98829431438105</v>
      </c>
      <c r="Y3474">
        <v>1</v>
      </c>
      <c r="Z3474">
        <v>94.234113712374594</v>
      </c>
      <c r="AA3474">
        <v>1</v>
      </c>
      <c r="AB3474">
        <v>2.5831099098741399</v>
      </c>
      <c r="AC3474">
        <v>6.0862097912546001E-2</v>
      </c>
      <c r="AD3474">
        <v>2.7779297936321501</v>
      </c>
      <c r="AE3474">
        <v>0.59574016838966803</v>
      </c>
      <c r="AF3474">
        <v>44.239130434782602</v>
      </c>
      <c r="AG3474">
        <f>IFERROR(AH3474*0.1, "N/A")</f>
        <v>6.7</v>
      </c>
      <c r="AH3474">
        <v>67</v>
      </c>
      <c r="AI3474">
        <v>228.705384602116</v>
      </c>
      <c r="AJ3474">
        <v>16.234113712374601</v>
      </c>
      <c r="AK3474">
        <v>60.234113712374601</v>
      </c>
    </row>
    <row r="3475" spans="1:37" x14ac:dyDescent="0.3">
      <c r="A3475">
        <v>3474</v>
      </c>
      <c r="B3475">
        <v>0</v>
      </c>
      <c r="C3475">
        <v>-16.350000000000001</v>
      </c>
      <c r="D3475">
        <v>14.701000000000001</v>
      </c>
      <c r="E3475">
        <f>-16.35-14.701</f>
        <v>-31.051000000000002</v>
      </c>
      <c r="F3475" t="s">
        <v>5566</v>
      </c>
      <c r="G3475" t="s">
        <v>39</v>
      </c>
      <c r="H3475">
        <v>1987</v>
      </c>
      <c r="I3475">
        <v>27.070707340433099</v>
      </c>
      <c r="J3475">
        <v>15.699999809265099</v>
      </c>
      <c r="K3475">
        <v>67</v>
      </c>
      <c r="L3475">
        <v>17.569798459910398</v>
      </c>
      <c r="M3475">
        <v>37.570705991802797</v>
      </c>
      <c r="N3475">
        <v>14.470706958963399</v>
      </c>
      <c r="O3475">
        <v>23.100000381469702</v>
      </c>
      <c r="P3475">
        <v>28</v>
      </c>
      <c r="Q3475">
        <v>26.399999618530298</v>
      </c>
      <c r="R3475">
        <v>28.799999237060501</v>
      </c>
      <c r="S3475">
        <v>24.270706754742299</v>
      </c>
      <c r="T3475">
        <v>556.29292929292899</v>
      </c>
      <c r="U3475">
        <v>207.29292929292899</v>
      </c>
      <c r="V3475">
        <v>0</v>
      </c>
      <c r="W3475">
        <v>149.29292929292899</v>
      </c>
      <c r="X3475">
        <v>482.29292929292899</v>
      </c>
      <c r="Y3475">
        <v>0</v>
      </c>
      <c r="Z3475">
        <v>137</v>
      </c>
      <c r="AA3475">
        <v>2</v>
      </c>
      <c r="AB3475">
        <v>1.6927611322114</v>
      </c>
      <c r="AC3475">
        <v>9.4154770047050005E-3</v>
      </c>
      <c r="AD3475">
        <v>2.9645554013926598</v>
      </c>
      <c r="AE3475">
        <v>0.72228807210922197</v>
      </c>
      <c r="AF3475">
        <v>31.998316498316498</v>
      </c>
      <c r="AG3475">
        <f>IFERROR(AH3475*0.1, "N/A")</f>
        <v>5.3595959595959606</v>
      </c>
      <c r="AH3475">
        <v>53.595959595959599</v>
      </c>
      <c r="AI3475">
        <v>105.448874207057</v>
      </c>
      <c r="AJ3475">
        <v>7.7070707070707103</v>
      </c>
      <c r="AK3475">
        <v>84.191919191919197</v>
      </c>
    </row>
    <row r="3476" spans="1:37" x14ac:dyDescent="0.3">
      <c r="A3476">
        <v>3475</v>
      </c>
      <c r="B3476">
        <v>0</v>
      </c>
      <c r="C3476">
        <v>-16.350000000000001</v>
      </c>
      <c r="D3476">
        <v>14.701000000000001</v>
      </c>
      <c r="E3476">
        <f>-16.35-14.701</f>
        <v>-31.051000000000002</v>
      </c>
      <c r="F3476" t="s">
        <v>5567</v>
      </c>
      <c r="G3476" t="s">
        <v>37</v>
      </c>
      <c r="H3476">
        <v>1987</v>
      </c>
      <c r="I3476">
        <v>27.070707340433099</v>
      </c>
      <c r="J3476">
        <v>15.699999809265099</v>
      </c>
      <c r="K3476">
        <v>67</v>
      </c>
      <c r="L3476">
        <v>17.569798459910398</v>
      </c>
      <c r="M3476">
        <v>37.570705991802797</v>
      </c>
      <c r="N3476">
        <v>14.470706958963399</v>
      </c>
      <c r="O3476">
        <v>23.100000381469702</v>
      </c>
      <c r="P3476">
        <v>28</v>
      </c>
      <c r="Q3476">
        <v>26.399999618530298</v>
      </c>
      <c r="R3476">
        <v>28.799999237060501</v>
      </c>
      <c r="S3476">
        <v>24.270706754742299</v>
      </c>
      <c r="T3476">
        <v>556.29292929292899</v>
      </c>
      <c r="U3476">
        <v>207.29292929292899</v>
      </c>
      <c r="V3476">
        <v>0</v>
      </c>
      <c r="W3476">
        <v>149.29292929292899</v>
      </c>
      <c r="X3476">
        <v>482.29292929292899</v>
      </c>
      <c r="Y3476">
        <v>0</v>
      </c>
      <c r="Z3476">
        <v>137</v>
      </c>
      <c r="AA3476">
        <v>2</v>
      </c>
      <c r="AB3476">
        <v>1.6927611322114</v>
      </c>
      <c r="AC3476">
        <v>9.4154770047050005E-3</v>
      </c>
      <c r="AD3476">
        <v>2.9645554013926598</v>
      </c>
      <c r="AE3476">
        <v>0.72228807210922197</v>
      </c>
      <c r="AF3476">
        <v>31.998316498316498</v>
      </c>
      <c r="AG3476">
        <f>IFERROR(AH3476*0.1, "N/A")</f>
        <v>5.3595959595959606</v>
      </c>
      <c r="AH3476">
        <v>53.595959595959599</v>
      </c>
      <c r="AI3476">
        <v>105.448874207057</v>
      </c>
      <c r="AJ3476">
        <v>7.7070707070707103</v>
      </c>
      <c r="AK3476">
        <v>84.191919191919197</v>
      </c>
    </row>
    <row r="3477" spans="1:37" x14ac:dyDescent="0.3">
      <c r="A3477">
        <v>3476</v>
      </c>
      <c r="B3477">
        <v>5</v>
      </c>
      <c r="C3477">
        <v>-16.733298999999999</v>
      </c>
      <c r="D3477">
        <v>14.716699999999999</v>
      </c>
      <c r="E3477">
        <f>-16.733299-14.7167</f>
        <v>-31.449998999999998</v>
      </c>
      <c r="F3477" t="s">
        <v>5568</v>
      </c>
      <c r="G3477" t="s">
        <v>39</v>
      </c>
      <c r="H3477">
        <v>2000</v>
      </c>
      <c r="I3477">
        <v>26.100000381469702</v>
      </c>
      <c r="J3477">
        <v>13.7831934039332</v>
      </c>
      <c r="K3477">
        <v>69.831932773109202</v>
      </c>
      <c r="L3477">
        <v>15.441697606319099</v>
      </c>
      <c r="M3477">
        <v>34.220336587088397</v>
      </c>
      <c r="N3477">
        <v>14.699999809265099</v>
      </c>
      <c r="O3477">
        <v>19.520336212029999</v>
      </c>
      <c r="P3477">
        <v>27.203530120849599</v>
      </c>
      <c r="Q3477">
        <v>25.899999618530298</v>
      </c>
      <c r="R3477">
        <v>27.520336212029999</v>
      </c>
      <c r="S3477">
        <v>23.683193976137801</v>
      </c>
      <c r="T3477">
        <v>537.20336134453805</v>
      </c>
      <c r="U3477">
        <v>213.203361344538</v>
      </c>
      <c r="V3477">
        <v>0</v>
      </c>
      <c r="W3477">
        <v>155.203361344538</v>
      </c>
      <c r="X3477">
        <v>470.57478991596599</v>
      </c>
      <c r="Y3477">
        <v>0</v>
      </c>
      <c r="Z3477">
        <v>332.40672268907599</v>
      </c>
      <c r="AA3477">
        <v>2.6285714285714299</v>
      </c>
      <c r="AB3477">
        <v>13.1707569923721</v>
      </c>
      <c r="AC3477">
        <v>1.3500645068011999E-2</v>
      </c>
      <c r="AD3477">
        <v>0.75154406283082098</v>
      </c>
      <c r="AE3477">
        <v>0.75612503290176403</v>
      </c>
      <c r="AF3477">
        <v>41.6957983193277</v>
      </c>
      <c r="AG3477">
        <f>IFERROR(AH3477*0.1, "N/A")</f>
        <v>6.0309243697479005</v>
      </c>
      <c r="AH3477">
        <v>60.309243697478998</v>
      </c>
      <c r="AI3477">
        <v>140.62514716396799</v>
      </c>
      <c r="AJ3477">
        <v>16.003361344537801</v>
      </c>
      <c r="AK3477">
        <v>75.389915966386596</v>
      </c>
    </row>
    <row r="3478" spans="1:37" x14ac:dyDescent="0.3">
      <c r="A3478">
        <v>3477</v>
      </c>
      <c r="B3478">
        <v>0</v>
      </c>
      <c r="C3478">
        <v>-16.733298999999999</v>
      </c>
      <c r="D3478">
        <v>14.716699999999999</v>
      </c>
      <c r="E3478">
        <f>-16.733299-14.7167</f>
        <v>-31.449998999999998</v>
      </c>
      <c r="F3478" t="s">
        <v>5569</v>
      </c>
      <c r="G3478" t="s">
        <v>37</v>
      </c>
      <c r="H3478">
        <v>2000</v>
      </c>
      <c r="I3478">
        <v>26.100000381469702</v>
      </c>
      <c r="J3478">
        <v>13.7831934039332</v>
      </c>
      <c r="K3478">
        <v>69.831932773109202</v>
      </c>
      <c r="L3478">
        <v>15.441697606319099</v>
      </c>
      <c r="M3478">
        <v>34.220336587088397</v>
      </c>
      <c r="N3478">
        <v>14.699999809265099</v>
      </c>
      <c r="O3478">
        <v>19.520336212029999</v>
      </c>
      <c r="P3478">
        <v>27.203530120849599</v>
      </c>
      <c r="Q3478">
        <v>25.899999618530298</v>
      </c>
      <c r="R3478">
        <v>27.520336212029999</v>
      </c>
      <c r="S3478">
        <v>23.683193976137801</v>
      </c>
      <c r="T3478">
        <v>537.20336134453805</v>
      </c>
      <c r="U3478">
        <v>213.203361344538</v>
      </c>
      <c r="V3478">
        <v>0</v>
      </c>
      <c r="W3478">
        <v>155.203361344538</v>
      </c>
      <c r="X3478">
        <v>470.57478991596599</v>
      </c>
      <c r="Y3478">
        <v>0</v>
      </c>
      <c r="Z3478">
        <v>332.40672268907599</v>
      </c>
      <c r="AA3478">
        <v>2.6285714285714299</v>
      </c>
      <c r="AB3478">
        <v>13.1707569923721</v>
      </c>
      <c r="AC3478">
        <v>1.3500645068011999E-2</v>
      </c>
      <c r="AD3478">
        <v>0.75154406283082098</v>
      </c>
      <c r="AE3478">
        <v>0.75612503290176403</v>
      </c>
      <c r="AF3478">
        <v>41.6957983193277</v>
      </c>
      <c r="AG3478">
        <f>IFERROR(AH3478*0.1, "N/A")</f>
        <v>6.0309243697479005</v>
      </c>
      <c r="AH3478">
        <v>60.309243697478998</v>
      </c>
      <c r="AI3478">
        <v>140.62514716396799</v>
      </c>
      <c r="AJ3478">
        <v>16.003361344537801</v>
      </c>
      <c r="AK3478">
        <v>75.389915966386596</v>
      </c>
    </row>
    <row r="3479" spans="1:37" x14ac:dyDescent="0.3">
      <c r="A3479">
        <v>3478</v>
      </c>
      <c r="B3479">
        <v>84.5</v>
      </c>
      <c r="C3479">
        <v>-12.410600000000001</v>
      </c>
      <c r="D3479">
        <v>14.7171</v>
      </c>
      <c r="E3479">
        <f>-12.4106-14.7171</f>
        <v>-27.127700000000001</v>
      </c>
      <c r="F3479" t="s">
        <v>5570</v>
      </c>
      <c r="G3479" t="s">
        <v>39</v>
      </c>
      <c r="H3479">
        <v>1996</v>
      </c>
      <c r="I3479">
        <v>28.600000381469702</v>
      </c>
      <c r="J3479">
        <v>14.6000003814697</v>
      </c>
      <c r="K3479">
        <v>59</v>
      </c>
      <c r="L3479">
        <v>24.605792518450102</v>
      </c>
      <c r="M3479">
        <v>40.5</v>
      </c>
      <c r="N3479">
        <v>15.8999996185303</v>
      </c>
      <c r="O3479">
        <v>24.600000381469702</v>
      </c>
      <c r="P3479">
        <v>27.799999237060501</v>
      </c>
      <c r="Q3479">
        <v>27.200000762939499</v>
      </c>
      <c r="R3479">
        <v>32.099998474121101</v>
      </c>
      <c r="S3479">
        <v>25.600000381469702</v>
      </c>
      <c r="T3479">
        <v>549.96828046744599</v>
      </c>
      <c r="U3479">
        <v>189.484140233723</v>
      </c>
      <c r="V3479">
        <v>0</v>
      </c>
      <c r="W3479">
        <v>139.484140233723</v>
      </c>
      <c r="X3479">
        <v>448.96828046744599</v>
      </c>
      <c r="Y3479">
        <v>0</v>
      </c>
      <c r="Z3479">
        <v>65</v>
      </c>
      <c r="AA3479">
        <v>0</v>
      </c>
      <c r="AB3479">
        <v>2.2405677184039599</v>
      </c>
      <c r="AC3479">
        <v>14.795245692221</v>
      </c>
      <c r="AD3479">
        <v>0.89855313002565695</v>
      </c>
      <c r="AE3479">
        <v>0.679673612117767</v>
      </c>
      <c r="AF3479">
        <v>40.7011686143573</v>
      </c>
      <c r="AG3479">
        <f>IFERROR(AH3479*0.1, "N/A")</f>
        <v>6.2</v>
      </c>
      <c r="AH3479">
        <v>62</v>
      </c>
      <c r="AI3479">
        <v>178.481696483886</v>
      </c>
      <c r="AJ3479">
        <v>17</v>
      </c>
      <c r="AK3479">
        <v>66.363939899832999</v>
      </c>
    </row>
    <row r="3480" spans="1:37" x14ac:dyDescent="0.3">
      <c r="A3480">
        <v>3479</v>
      </c>
      <c r="B3480">
        <v>0</v>
      </c>
      <c r="C3480">
        <v>-12.410600000000001</v>
      </c>
      <c r="D3480">
        <v>14.7171</v>
      </c>
      <c r="E3480">
        <f>-12.4106-14.7171</f>
        <v>-27.127700000000001</v>
      </c>
      <c r="F3480" t="s">
        <v>5571</v>
      </c>
      <c r="G3480" t="s">
        <v>37</v>
      </c>
      <c r="H3480">
        <v>1996</v>
      </c>
      <c r="I3480">
        <v>28.600000381469702</v>
      </c>
      <c r="J3480">
        <v>14.6000003814697</v>
      </c>
      <c r="K3480">
        <v>59</v>
      </c>
      <c r="L3480">
        <v>24.605792518450102</v>
      </c>
      <c r="M3480">
        <v>40.5</v>
      </c>
      <c r="N3480">
        <v>15.8999996185303</v>
      </c>
      <c r="O3480">
        <v>24.600000381469702</v>
      </c>
      <c r="P3480">
        <v>27.799999237060501</v>
      </c>
      <c r="Q3480">
        <v>27.200000762939499</v>
      </c>
      <c r="R3480">
        <v>32.099998474121101</v>
      </c>
      <c r="S3480">
        <v>25.600000381469702</v>
      </c>
      <c r="T3480">
        <v>549.96828046744599</v>
      </c>
      <c r="U3480">
        <v>189.484140233723</v>
      </c>
      <c r="V3480">
        <v>0</v>
      </c>
      <c r="W3480">
        <v>139.484140233723</v>
      </c>
      <c r="X3480">
        <v>448.96828046744599</v>
      </c>
      <c r="Y3480">
        <v>0</v>
      </c>
      <c r="Z3480">
        <v>65</v>
      </c>
      <c r="AA3480">
        <v>0</v>
      </c>
      <c r="AB3480">
        <v>2.2405677184039599</v>
      </c>
      <c r="AC3480">
        <v>14.795245692221</v>
      </c>
      <c r="AD3480">
        <v>0.89855313002565695</v>
      </c>
      <c r="AE3480">
        <v>0.679673612117767</v>
      </c>
      <c r="AF3480">
        <v>40.7011686143573</v>
      </c>
      <c r="AG3480">
        <f>IFERROR(AH3480*0.1, "N/A")</f>
        <v>6.2</v>
      </c>
      <c r="AH3480">
        <v>62</v>
      </c>
      <c r="AI3480">
        <v>178.481696483886</v>
      </c>
      <c r="AJ3480">
        <v>17</v>
      </c>
      <c r="AK3480">
        <v>66.363939899832999</v>
      </c>
    </row>
    <row r="3481" spans="1:37" x14ac:dyDescent="0.3">
      <c r="A3481">
        <v>3480</v>
      </c>
      <c r="B3481">
        <v>1.4</v>
      </c>
      <c r="C3481">
        <v>-15.95</v>
      </c>
      <c r="D3481">
        <v>14.718999999999999</v>
      </c>
      <c r="E3481">
        <f>-15.95-14.719</f>
        <v>-30.668999999999997</v>
      </c>
      <c r="F3481" t="s">
        <v>5572</v>
      </c>
      <c r="G3481" t="s">
        <v>39</v>
      </c>
      <c r="H3481">
        <v>1987</v>
      </c>
      <c r="I3481">
        <v>27</v>
      </c>
      <c r="J3481">
        <v>16</v>
      </c>
      <c r="K3481">
        <v>66</v>
      </c>
      <c r="L3481">
        <v>19.069999694824201</v>
      </c>
      <c r="M3481">
        <v>38.5</v>
      </c>
      <c r="N3481">
        <v>14.300000190734901</v>
      </c>
      <c r="O3481">
        <v>24.200000762939499</v>
      </c>
      <c r="P3481">
        <v>27.799999237060501</v>
      </c>
      <c r="Q3481">
        <v>26.581302480426999</v>
      </c>
      <c r="R3481">
        <v>29</v>
      </c>
      <c r="S3481">
        <v>24</v>
      </c>
      <c r="T3481">
        <v>534.186978297162</v>
      </c>
      <c r="U3481">
        <v>196.186978297162</v>
      </c>
      <c r="V3481">
        <v>0</v>
      </c>
      <c r="W3481">
        <v>146.186978297162</v>
      </c>
      <c r="X3481">
        <v>458.186978297162</v>
      </c>
      <c r="Y3481">
        <v>0</v>
      </c>
      <c r="Z3481">
        <v>148</v>
      </c>
      <c r="AA3481">
        <v>2</v>
      </c>
      <c r="AB3481">
        <v>4.5762947349994096</v>
      </c>
      <c r="AC3481">
        <v>4.3974521719167999E-2</v>
      </c>
      <c r="AD3481">
        <v>1.84894100274387</v>
      </c>
      <c r="AE3481">
        <v>0.73142528533935502</v>
      </c>
      <c r="AF3481">
        <v>22.370617696160298</v>
      </c>
      <c r="AG3481">
        <f>IFERROR(AH3481*0.1, "N/A")</f>
        <v>5.4826377295492499</v>
      </c>
      <c r="AH3481">
        <v>54.826377295492499</v>
      </c>
      <c r="AI3481">
        <v>110.03784893589901</v>
      </c>
      <c r="AJ3481">
        <v>6.0133555926544204</v>
      </c>
      <c r="AK3481">
        <v>83.173622704507494</v>
      </c>
    </row>
    <row r="3482" spans="1:37" x14ac:dyDescent="0.3">
      <c r="A3482">
        <v>3481</v>
      </c>
      <c r="B3482">
        <v>0</v>
      </c>
      <c r="C3482">
        <v>-15.95</v>
      </c>
      <c r="D3482">
        <v>14.718999999999999</v>
      </c>
      <c r="E3482">
        <f>-15.95-14.719</f>
        <v>-30.668999999999997</v>
      </c>
      <c r="F3482" t="s">
        <v>5573</v>
      </c>
      <c r="G3482" t="s">
        <v>37</v>
      </c>
      <c r="H3482">
        <v>1987</v>
      </c>
      <c r="I3482">
        <v>27</v>
      </c>
      <c r="J3482">
        <v>16</v>
      </c>
      <c r="K3482">
        <v>66</v>
      </c>
      <c r="L3482">
        <v>19.069999694824201</v>
      </c>
      <c r="M3482">
        <v>38.5</v>
      </c>
      <c r="N3482">
        <v>14.300000190734901</v>
      </c>
      <c r="O3482">
        <v>24.200000762939499</v>
      </c>
      <c r="P3482">
        <v>27.799999237060501</v>
      </c>
      <c r="Q3482">
        <v>26.581302480426999</v>
      </c>
      <c r="R3482">
        <v>29</v>
      </c>
      <c r="S3482">
        <v>24</v>
      </c>
      <c r="T3482">
        <v>534.186978297162</v>
      </c>
      <c r="U3482">
        <v>196.186978297162</v>
      </c>
      <c r="V3482">
        <v>0</v>
      </c>
      <c r="W3482">
        <v>146.186978297162</v>
      </c>
      <c r="X3482">
        <v>458.186978297162</v>
      </c>
      <c r="Y3482">
        <v>0</v>
      </c>
      <c r="Z3482">
        <v>148</v>
      </c>
      <c r="AA3482">
        <v>2</v>
      </c>
      <c r="AB3482">
        <v>4.5762947349994096</v>
      </c>
      <c r="AC3482">
        <v>4.3974521719167999E-2</v>
      </c>
      <c r="AD3482">
        <v>1.84894100274387</v>
      </c>
      <c r="AE3482">
        <v>0.73142528533935502</v>
      </c>
      <c r="AF3482">
        <v>22.370617696160298</v>
      </c>
      <c r="AG3482">
        <f>IFERROR(AH3482*0.1, "N/A")</f>
        <v>5.4826377295492499</v>
      </c>
      <c r="AH3482">
        <v>54.826377295492499</v>
      </c>
      <c r="AI3482">
        <v>110.03784893589901</v>
      </c>
      <c r="AJ3482">
        <v>6.0133555926544204</v>
      </c>
      <c r="AK3482">
        <v>83.173622704507494</v>
      </c>
    </row>
    <row r="3483" spans="1:37" x14ac:dyDescent="0.3">
      <c r="A3483">
        <v>3482</v>
      </c>
      <c r="B3483">
        <v>94</v>
      </c>
      <c r="C3483">
        <v>-12.5183</v>
      </c>
      <c r="D3483">
        <v>14.7318</v>
      </c>
      <c r="E3483">
        <f>-12.5183-14.7318</f>
        <v>-27.2501</v>
      </c>
      <c r="F3483" t="s">
        <v>5574</v>
      </c>
      <c r="G3483" t="s">
        <v>39</v>
      </c>
      <c r="H3483">
        <v>2003</v>
      </c>
      <c r="I3483">
        <v>28.399999618530298</v>
      </c>
      <c r="J3483">
        <v>14.6000003814697</v>
      </c>
      <c r="K3483">
        <v>59</v>
      </c>
      <c r="L3483">
        <v>24.319999694824201</v>
      </c>
      <c r="M3483">
        <v>40.299999237060497</v>
      </c>
      <c r="N3483">
        <v>15.800000190734901</v>
      </c>
      <c r="O3483">
        <v>24.5</v>
      </c>
      <c r="P3483">
        <v>27.600000381469702</v>
      </c>
      <c r="Q3483">
        <v>27.100000381469702</v>
      </c>
      <c r="R3483">
        <v>31.799999237060501</v>
      </c>
      <c r="S3483">
        <v>25.5</v>
      </c>
      <c r="T3483">
        <v>582</v>
      </c>
      <c r="U3483">
        <v>193</v>
      </c>
      <c r="V3483">
        <v>0</v>
      </c>
      <c r="W3483">
        <v>136</v>
      </c>
      <c r="X3483">
        <v>470</v>
      </c>
      <c r="Y3483">
        <v>1</v>
      </c>
      <c r="Z3483">
        <v>70</v>
      </c>
      <c r="AA3483">
        <v>2</v>
      </c>
      <c r="AB3483">
        <v>1.65886369277801</v>
      </c>
      <c r="AC3483">
        <v>9.0869439378611307</v>
      </c>
      <c r="AD3483">
        <v>1.3952529563951701</v>
      </c>
      <c r="AE3483">
        <v>0.54410547018051103</v>
      </c>
      <c r="AF3483">
        <v>53.536789297658899</v>
      </c>
      <c r="AG3483">
        <f>IFERROR(AH3483*0.1, "N/A")</f>
        <v>6.1891304347826104</v>
      </c>
      <c r="AH3483">
        <v>61.8913043478261</v>
      </c>
      <c r="AI3483">
        <v>240.91162612047501</v>
      </c>
      <c r="AJ3483">
        <v>14.053511705685599</v>
      </c>
      <c r="AK3483">
        <v>72.056856187291004</v>
      </c>
    </row>
    <row r="3484" spans="1:37" x14ac:dyDescent="0.3">
      <c r="A3484">
        <v>3483</v>
      </c>
      <c r="B3484">
        <v>59.299999</v>
      </c>
      <c r="C3484">
        <v>-16.350000000000001</v>
      </c>
      <c r="D3484">
        <v>14.7333</v>
      </c>
      <c r="E3484">
        <f>-16.35-14.7333</f>
        <v>-31.083300000000001</v>
      </c>
      <c r="F3484" t="s">
        <v>5575</v>
      </c>
      <c r="G3484" t="s">
        <v>39</v>
      </c>
      <c r="H3484">
        <v>2000</v>
      </c>
      <c r="I3484">
        <v>26.970854160174699</v>
      </c>
      <c r="J3484">
        <v>15.6842545057262</v>
      </c>
      <c r="K3484">
        <v>67.291457286432205</v>
      </c>
      <c r="L3484">
        <v>17.699631686186699</v>
      </c>
      <c r="M3484">
        <v>37.455108962067001</v>
      </c>
      <c r="N3484">
        <v>14.3999996185303</v>
      </c>
      <c r="O3484">
        <v>23.055109087945599</v>
      </c>
      <c r="P3484">
        <v>27.9324955548873</v>
      </c>
      <c r="Q3484">
        <v>26.232496079488001</v>
      </c>
      <c r="R3484">
        <v>28.7551084994471</v>
      </c>
      <c r="S3484">
        <v>24.200000762939499</v>
      </c>
      <c r="T3484">
        <v>553.84254606365198</v>
      </c>
      <c r="U3484">
        <v>206.13400335008399</v>
      </c>
      <c r="V3484">
        <v>0</v>
      </c>
      <c r="W3484">
        <v>148.29145728643201</v>
      </c>
      <c r="X3484">
        <v>479.13400335008401</v>
      </c>
      <c r="Y3484">
        <v>1</v>
      </c>
      <c r="Z3484">
        <v>135.70854271356799</v>
      </c>
      <c r="AA3484">
        <v>3</v>
      </c>
      <c r="AB3484">
        <v>0.41792287139637002</v>
      </c>
      <c r="AC3484">
        <v>6.0468649288866999E-2</v>
      </c>
      <c r="AD3484">
        <v>1.71094684624792</v>
      </c>
      <c r="AE3484">
        <v>0.74619448184966997</v>
      </c>
      <c r="AF3484">
        <v>31.844221105527598</v>
      </c>
      <c r="AG3484">
        <f>IFERROR(AH3484*0.1, "N/A")</f>
        <v>5.4542713567839201</v>
      </c>
      <c r="AH3484">
        <v>54.542713567839201</v>
      </c>
      <c r="AI3484">
        <v>251.92241447614899</v>
      </c>
      <c r="AJ3484">
        <v>6</v>
      </c>
      <c r="AK3484">
        <v>84.582914572864297</v>
      </c>
    </row>
    <row r="3485" spans="1:37" x14ac:dyDescent="0.3">
      <c r="A3485">
        <v>3484</v>
      </c>
      <c r="B3485">
        <v>0</v>
      </c>
      <c r="C3485">
        <v>-16.116599999999998</v>
      </c>
      <c r="D3485">
        <v>14.7333</v>
      </c>
      <c r="E3485">
        <f>-16.1166-14.7333</f>
        <v>-30.849899999999998</v>
      </c>
      <c r="F3485" t="s">
        <v>5576</v>
      </c>
      <c r="G3485" t="s">
        <v>39</v>
      </c>
      <c r="H3485">
        <v>1996</v>
      </c>
      <c r="I3485">
        <v>27.399999618530298</v>
      </c>
      <c r="J3485">
        <v>15.945819191310701</v>
      </c>
      <c r="K3485">
        <v>66</v>
      </c>
      <c r="L3485">
        <v>18.665451700472101</v>
      </c>
      <c r="M3485">
        <v>38.599998474121101</v>
      </c>
      <c r="N3485">
        <v>14.699999809265099</v>
      </c>
      <c r="O3485">
        <v>23.899999618530298</v>
      </c>
      <c r="P3485">
        <v>28.242809474268899</v>
      </c>
      <c r="Q3485">
        <v>26.857190090677001</v>
      </c>
      <c r="R3485">
        <v>29.322741798732601</v>
      </c>
      <c r="S3485">
        <v>24.477257438327999</v>
      </c>
      <c r="T3485">
        <v>525.34448160535101</v>
      </c>
      <c r="U3485">
        <v>190.20066889632099</v>
      </c>
      <c r="V3485">
        <v>0</v>
      </c>
      <c r="W3485">
        <v>148.20066889632099</v>
      </c>
      <c r="X3485">
        <v>453.34448160535101</v>
      </c>
      <c r="Y3485">
        <v>0</v>
      </c>
      <c r="Z3485">
        <v>141.45819397993299</v>
      </c>
      <c r="AA3485">
        <v>2</v>
      </c>
      <c r="AB3485">
        <v>3.7826089571949599</v>
      </c>
      <c r="AC3485">
        <v>2.0334685940831002E-2</v>
      </c>
      <c r="AD3485">
        <v>1.2861806752291001</v>
      </c>
      <c r="AE3485">
        <v>0.76030769196641101</v>
      </c>
      <c r="AF3485">
        <v>14.7692307692308</v>
      </c>
      <c r="AG3485">
        <f>IFERROR(AH3485*0.1, "N/A")</f>
        <v>5.6571906354515002</v>
      </c>
      <c r="AH3485">
        <v>56.571906354515001</v>
      </c>
      <c r="AI3485">
        <v>194.211517282952</v>
      </c>
      <c r="AJ3485">
        <v>9.5719063545150505</v>
      </c>
      <c r="AK3485">
        <v>80</v>
      </c>
    </row>
    <row r="3486" spans="1:37" x14ac:dyDescent="0.3">
      <c r="A3486">
        <v>3485</v>
      </c>
      <c r="B3486">
        <v>0</v>
      </c>
      <c r="C3486">
        <v>-16.116599999999998</v>
      </c>
      <c r="D3486">
        <v>14.7333</v>
      </c>
      <c r="E3486">
        <f>-16.1166-14.7333</f>
        <v>-30.849899999999998</v>
      </c>
      <c r="F3486" t="s">
        <v>5577</v>
      </c>
      <c r="G3486" t="s">
        <v>37</v>
      </c>
      <c r="H3486">
        <v>1996</v>
      </c>
      <c r="I3486">
        <v>27.399999618530298</v>
      </c>
      <c r="J3486">
        <v>15.945819191310701</v>
      </c>
      <c r="K3486">
        <v>66</v>
      </c>
      <c r="L3486">
        <v>18.665451700472101</v>
      </c>
      <c r="M3486">
        <v>38.599998474121101</v>
      </c>
      <c r="N3486">
        <v>14.699999809265099</v>
      </c>
      <c r="O3486">
        <v>23.899999618530298</v>
      </c>
      <c r="P3486">
        <v>28.242809474268899</v>
      </c>
      <c r="Q3486">
        <v>26.857190090677001</v>
      </c>
      <c r="R3486">
        <v>29.322741798732601</v>
      </c>
      <c r="S3486">
        <v>24.477257438327999</v>
      </c>
      <c r="T3486">
        <v>525.34448160535101</v>
      </c>
      <c r="U3486">
        <v>190.20066889632099</v>
      </c>
      <c r="V3486">
        <v>0</v>
      </c>
      <c r="W3486">
        <v>148.20066889632099</v>
      </c>
      <c r="X3486">
        <v>453.34448160535101</v>
      </c>
      <c r="Y3486">
        <v>0</v>
      </c>
      <c r="Z3486">
        <v>141.45819397993299</v>
      </c>
      <c r="AA3486">
        <v>2</v>
      </c>
      <c r="AB3486">
        <v>3.7826089571949599</v>
      </c>
      <c r="AC3486">
        <v>2.0334685940831002E-2</v>
      </c>
      <c r="AD3486">
        <v>1.2861806752291001</v>
      </c>
      <c r="AE3486">
        <v>0.76030769196641101</v>
      </c>
      <c r="AF3486">
        <v>14.7692307692308</v>
      </c>
      <c r="AG3486">
        <f>IFERROR(AH3486*0.1, "N/A")</f>
        <v>5.6571906354515002</v>
      </c>
      <c r="AH3486">
        <v>56.571906354515001</v>
      </c>
      <c r="AI3486">
        <v>194.211517282952</v>
      </c>
      <c r="AJ3486">
        <v>9.5719063545150505</v>
      </c>
      <c r="AK3486">
        <v>80</v>
      </c>
    </row>
    <row r="3487" spans="1:37" x14ac:dyDescent="0.3">
      <c r="A3487">
        <v>3486</v>
      </c>
      <c r="B3487">
        <v>0</v>
      </c>
      <c r="C3487">
        <v>-16.350000000000001</v>
      </c>
      <c r="D3487">
        <v>14.7333</v>
      </c>
      <c r="E3487">
        <f>-16.35-14.7333</f>
        <v>-31.083300000000001</v>
      </c>
      <c r="F3487" t="s">
        <v>5578</v>
      </c>
      <c r="G3487" t="s">
        <v>37</v>
      </c>
      <c r="H3487">
        <v>1996</v>
      </c>
      <c r="I3487">
        <v>26.970854160174699</v>
      </c>
      <c r="J3487">
        <v>15.6842545057262</v>
      </c>
      <c r="K3487">
        <v>67.291457286432205</v>
      </c>
      <c r="L3487">
        <v>17.699631686186699</v>
      </c>
      <c r="M3487">
        <v>37.455108962067001</v>
      </c>
      <c r="N3487">
        <v>14.3999996185303</v>
      </c>
      <c r="O3487">
        <v>23.055109087945599</v>
      </c>
      <c r="P3487">
        <v>27.9324955548873</v>
      </c>
      <c r="Q3487">
        <v>26.232496079488001</v>
      </c>
      <c r="R3487">
        <v>28.7551084994471</v>
      </c>
      <c r="S3487">
        <v>24.200000762939499</v>
      </c>
      <c r="T3487">
        <v>553.84254606365198</v>
      </c>
      <c r="U3487">
        <v>206.13400335008399</v>
      </c>
      <c r="V3487">
        <v>0</v>
      </c>
      <c r="W3487">
        <v>148.29145728643201</v>
      </c>
      <c r="X3487">
        <v>479.13400335008401</v>
      </c>
      <c r="Y3487">
        <v>1</v>
      </c>
      <c r="Z3487">
        <v>135.70854271356799</v>
      </c>
      <c r="AA3487">
        <v>3</v>
      </c>
      <c r="AB3487">
        <v>0.41792287139637002</v>
      </c>
      <c r="AC3487">
        <v>6.0468649288866999E-2</v>
      </c>
      <c r="AD3487">
        <v>1.71094684624792</v>
      </c>
      <c r="AE3487">
        <v>0.74619448184966997</v>
      </c>
      <c r="AF3487">
        <v>31.844221105527598</v>
      </c>
      <c r="AG3487">
        <f>IFERROR(AH3487*0.1, "N/A")</f>
        <v>5.4542713567839201</v>
      </c>
      <c r="AH3487">
        <v>54.542713567839201</v>
      </c>
      <c r="AI3487">
        <v>251.92241447614899</v>
      </c>
      <c r="AJ3487">
        <v>6</v>
      </c>
      <c r="AK3487">
        <v>84.582914572864297</v>
      </c>
    </row>
    <row r="3488" spans="1:37" x14ac:dyDescent="0.3">
      <c r="A3488">
        <v>3487</v>
      </c>
      <c r="B3488">
        <v>68</v>
      </c>
      <c r="C3488">
        <v>-12.238</v>
      </c>
      <c r="D3488">
        <v>14.738</v>
      </c>
      <c r="E3488">
        <f>-12.238-14.738</f>
        <v>-26.975999999999999</v>
      </c>
      <c r="F3488" t="s">
        <v>5579</v>
      </c>
      <c r="G3488" t="s">
        <v>39</v>
      </c>
      <c r="H3488">
        <v>2003</v>
      </c>
      <c r="I3488">
        <v>29</v>
      </c>
      <c r="J3488">
        <v>14.6000003814697</v>
      </c>
      <c r="K3488">
        <v>58</v>
      </c>
      <c r="L3488">
        <v>25.469999313354499</v>
      </c>
      <c r="M3488">
        <v>40.799999237060497</v>
      </c>
      <c r="N3488">
        <v>16</v>
      </c>
      <c r="O3488">
        <v>24.799999237060501</v>
      </c>
      <c r="P3488">
        <v>28.399999618530298</v>
      </c>
      <c r="Q3488">
        <v>27.399999618530298</v>
      </c>
      <c r="R3488">
        <v>32.5</v>
      </c>
      <c r="S3488">
        <v>25.799999237060501</v>
      </c>
      <c r="T3488">
        <v>494</v>
      </c>
      <c r="U3488">
        <v>183</v>
      </c>
      <c r="V3488">
        <v>0</v>
      </c>
      <c r="W3488">
        <v>141</v>
      </c>
      <c r="X3488">
        <v>407</v>
      </c>
      <c r="Y3488">
        <v>0</v>
      </c>
      <c r="Z3488">
        <v>58</v>
      </c>
      <c r="AA3488">
        <v>0</v>
      </c>
      <c r="AB3488">
        <v>1.8205685918546399</v>
      </c>
      <c r="AC3488">
        <v>1.0360734713229999E-2</v>
      </c>
      <c r="AD3488">
        <v>1.2599546580410299</v>
      </c>
      <c r="AE3488">
        <v>0.607964535919719</v>
      </c>
      <c r="AF3488">
        <v>22.839464882943101</v>
      </c>
      <c r="AG3488">
        <f>IFERROR(AH3488*0.1, "N/A")</f>
        <v>6.0760869565217401</v>
      </c>
      <c r="AH3488">
        <v>60.760869565217398</v>
      </c>
      <c r="AI3488">
        <v>227.97996370449499</v>
      </c>
      <c r="AJ3488">
        <v>21.337792642140499</v>
      </c>
      <c r="AK3488">
        <v>56.1387959866221</v>
      </c>
    </row>
    <row r="3489" spans="1:37" x14ac:dyDescent="0.3">
      <c r="A3489">
        <v>3488</v>
      </c>
      <c r="B3489">
        <v>30</v>
      </c>
      <c r="C3489">
        <v>-16.379999000000002</v>
      </c>
      <c r="D3489">
        <v>14.74</v>
      </c>
      <c r="E3489">
        <f>-16.379999-14.74</f>
        <v>-31.119999</v>
      </c>
      <c r="F3489" t="s">
        <v>5580</v>
      </c>
      <c r="G3489" t="s">
        <v>39</v>
      </c>
      <c r="H3489">
        <v>2003</v>
      </c>
      <c r="I3489">
        <v>26.799999237060501</v>
      </c>
      <c r="J3489">
        <v>15.6000003814697</v>
      </c>
      <c r="K3489">
        <v>68</v>
      </c>
      <c r="L3489">
        <v>17.159999847412099</v>
      </c>
      <c r="M3489">
        <v>37.099998474121101</v>
      </c>
      <c r="N3489">
        <v>14.300000190734901</v>
      </c>
      <c r="O3489">
        <v>22.799999237060501</v>
      </c>
      <c r="P3489">
        <v>27.799999237060501</v>
      </c>
      <c r="Q3489">
        <v>26.200000762939499</v>
      </c>
      <c r="R3489">
        <v>28.5</v>
      </c>
      <c r="S3489">
        <v>24.100000381469702</v>
      </c>
      <c r="T3489">
        <v>554</v>
      </c>
      <c r="U3489">
        <v>207</v>
      </c>
      <c r="V3489">
        <v>0</v>
      </c>
      <c r="W3489">
        <v>149</v>
      </c>
      <c r="X3489">
        <v>480</v>
      </c>
      <c r="Y3489">
        <v>1</v>
      </c>
      <c r="Z3489">
        <v>134</v>
      </c>
      <c r="AA3489">
        <v>3</v>
      </c>
      <c r="AB3489">
        <v>0.39300125122070301</v>
      </c>
      <c r="AC3489">
        <v>3.3294585156253997E-2</v>
      </c>
      <c r="AD3489">
        <v>1.4395547251900001</v>
      </c>
      <c r="AE3489">
        <v>0.721662998199463</v>
      </c>
      <c r="AF3489">
        <v>31.28</v>
      </c>
      <c r="AG3489">
        <f>IFERROR(AH3489*0.1, "N/A")</f>
        <v>5.7798333333333298</v>
      </c>
      <c r="AH3489">
        <v>57.798333333333296</v>
      </c>
      <c r="AI3489">
        <v>101.910718839963</v>
      </c>
      <c r="AJ3489">
        <v>5.1716666666666704</v>
      </c>
      <c r="AK3489">
        <v>88.656666666666695</v>
      </c>
    </row>
    <row r="3490" spans="1:37" x14ac:dyDescent="0.3">
      <c r="A3490">
        <v>3489</v>
      </c>
      <c r="B3490">
        <v>35.700001</v>
      </c>
      <c r="C3490">
        <v>-12.252800000000001</v>
      </c>
      <c r="D3490">
        <v>14.763500000000001</v>
      </c>
      <c r="E3490">
        <f>-12.2528-14.7635</f>
        <v>-27.016300000000001</v>
      </c>
      <c r="F3490" t="s">
        <v>5581</v>
      </c>
      <c r="G3490" t="s">
        <v>39</v>
      </c>
      <c r="H3490">
        <v>2004</v>
      </c>
      <c r="I3490">
        <v>29</v>
      </c>
      <c r="J3490">
        <v>14.6000003814697</v>
      </c>
      <c r="K3490">
        <v>58</v>
      </c>
      <c r="L3490">
        <v>25.75</v>
      </c>
      <c r="M3490">
        <v>40.900001525878899</v>
      </c>
      <c r="N3490">
        <v>16</v>
      </c>
      <c r="O3490">
        <v>24.899999618530298</v>
      </c>
      <c r="P3490">
        <v>28.399999618530298</v>
      </c>
      <c r="Q3490">
        <v>27.399999618530298</v>
      </c>
      <c r="R3490">
        <v>32.599998474121101</v>
      </c>
      <c r="S3490">
        <v>25.700000762939499</v>
      </c>
      <c r="T3490">
        <v>492</v>
      </c>
      <c r="U3490">
        <v>181</v>
      </c>
      <c r="V3490">
        <v>0</v>
      </c>
      <c r="W3490">
        <v>140</v>
      </c>
      <c r="X3490">
        <v>405</v>
      </c>
      <c r="Y3490">
        <v>0</v>
      </c>
      <c r="Z3490">
        <v>58</v>
      </c>
      <c r="AA3490">
        <v>0</v>
      </c>
      <c r="AB3490">
        <v>6.7780194202525497</v>
      </c>
      <c r="AC3490">
        <v>1.465475229834E-2</v>
      </c>
      <c r="AD3490">
        <v>0.61875469572592101</v>
      </c>
      <c r="AE3490">
        <v>0.347975889258337</v>
      </c>
      <c r="AF3490">
        <v>24.275167785234899</v>
      </c>
      <c r="AG3490">
        <f>IFERROR(AH3490*0.1, "N/A")</f>
        <v>6.471140939597321</v>
      </c>
      <c r="AH3490">
        <v>64.711409395973206</v>
      </c>
      <c r="AI3490">
        <v>106.936768448593</v>
      </c>
      <c r="AJ3490">
        <v>24.4312080536913</v>
      </c>
      <c r="AK3490">
        <v>56.775167785234899</v>
      </c>
    </row>
    <row r="3491" spans="1:37" x14ac:dyDescent="0.3">
      <c r="A3491">
        <v>3490</v>
      </c>
      <c r="B3491">
        <v>0</v>
      </c>
      <c r="C3491">
        <v>-12.252800000000001</v>
      </c>
      <c r="D3491">
        <v>14.763500000000001</v>
      </c>
      <c r="E3491">
        <f>-12.2528-14.7635</f>
        <v>-27.016300000000001</v>
      </c>
      <c r="F3491" t="s">
        <v>5582</v>
      </c>
      <c r="G3491" t="s">
        <v>37</v>
      </c>
      <c r="H3491">
        <v>1992</v>
      </c>
      <c r="I3491">
        <v>29</v>
      </c>
      <c r="J3491">
        <v>14.6000003814697</v>
      </c>
      <c r="K3491">
        <v>58</v>
      </c>
      <c r="L3491">
        <v>25.75</v>
      </c>
      <c r="M3491">
        <v>40.900001525878899</v>
      </c>
      <c r="N3491">
        <v>16</v>
      </c>
      <c r="O3491">
        <v>24.899999618530298</v>
      </c>
      <c r="P3491">
        <v>28.399999618530298</v>
      </c>
      <c r="Q3491">
        <v>27.399999618530298</v>
      </c>
      <c r="R3491">
        <v>32.599998474121101</v>
      </c>
      <c r="S3491">
        <v>25.700000762939499</v>
      </c>
      <c r="T3491">
        <v>492</v>
      </c>
      <c r="U3491">
        <v>181</v>
      </c>
      <c r="V3491">
        <v>0</v>
      </c>
      <c r="W3491">
        <v>140</v>
      </c>
      <c r="X3491">
        <v>405</v>
      </c>
      <c r="Y3491">
        <v>0</v>
      </c>
      <c r="Z3491">
        <v>58</v>
      </c>
      <c r="AA3491">
        <v>0</v>
      </c>
      <c r="AB3491">
        <v>6.7780194202525497</v>
      </c>
      <c r="AC3491">
        <v>1.465475229834E-2</v>
      </c>
      <c r="AD3491">
        <v>0.61875469572592101</v>
      </c>
      <c r="AE3491">
        <v>0.347975889258337</v>
      </c>
      <c r="AF3491">
        <v>24.275167785234899</v>
      </c>
      <c r="AG3491">
        <f>IFERROR(AH3491*0.1, "N/A")</f>
        <v>6.471140939597321</v>
      </c>
      <c r="AH3491">
        <v>64.711409395973206</v>
      </c>
      <c r="AI3491">
        <v>106.936768448593</v>
      </c>
      <c r="AJ3491">
        <v>24.4312080536913</v>
      </c>
      <c r="AK3491">
        <v>56.775167785234899</v>
      </c>
    </row>
    <row r="3492" spans="1:37" x14ac:dyDescent="0.3">
      <c r="A3492">
        <v>3491</v>
      </c>
      <c r="B3492">
        <v>14.9</v>
      </c>
      <c r="C3492">
        <v>-17.365400000000001</v>
      </c>
      <c r="D3492">
        <v>14.7643</v>
      </c>
      <c r="E3492">
        <f>-17.3654-14.7643</f>
        <v>-32.1297</v>
      </c>
      <c r="F3492" t="s">
        <v>5583</v>
      </c>
      <c r="G3492" t="s">
        <v>39</v>
      </c>
      <c r="H3492">
        <v>1971</v>
      </c>
      <c r="I3492">
        <v>25</v>
      </c>
      <c r="J3492">
        <v>8.4994966423751492</v>
      </c>
      <c r="K3492">
        <v>55.994966442953</v>
      </c>
      <c r="L3492">
        <v>23.691107913151701</v>
      </c>
      <c r="M3492">
        <v>31.799999237060501</v>
      </c>
      <c r="N3492">
        <v>16.700000762939499</v>
      </c>
      <c r="O3492">
        <v>15.1000003814697</v>
      </c>
      <c r="P3492">
        <v>27.600000381469702</v>
      </c>
      <c r="Q3492">
        <v>22.999496642375199</v>
      </c>
      <c r="R3492">
        <v>27.7994958890364</v>
      </c>
      <c r="S3492">
        <v>22.099497023844901</v>
      </c>
      <c r="T3492">
        <v>471.989932885906</v>
      </c>
      <c r="U3492">
        <v>188.989932885906</v>
      </c>
      <c r="V3492">
        <v>0</v>
      </c>
      <c r="W3492">
        <v>157</v>
      </c>
      <c r="X3492">
        <v>415.989932885906</v>
      </c>
      <c r="Y3492">
        <v>0</v>
      </c>
      <c r="Z3492">
        <v>378.994966442953</v>
      </c>
      <c r="AA3492">
        <v>2</v>
      </c>
      <c r="AB3492">
        <v>1.2330539274535699</v>
      </c>
      <c r="AC3492">
        <v>0.130211628320308</v>
      </c>
      <c r="AD3492">
        <v>1.1761895754193299</v>
      </c>
      <c r="AE3492">
        <v>0.941899955272675</v>
      </c>
      <c r="AF3492">
        <v>10.525167785234901</v>
      </c>
      <c r="AG3492">
        <f>IFERROR(AH3492*0.1, "N/A")</f>
        <v>6.5785234899328904</v>
      </c>
      <c r="AH3492">
        <v>65.785234899328898</v>
      </c>
      <c r="AI3492">
        <v>158.15490014761099</v>
      </c>
      <c r="AJ3492">
        <v>24</v>
      </c>
      <c r="AK3492">
        <v>58</v>
      </c>
    </row>
    <row r="3493" spans="1:37" x14ac:dyDescent="0.3">
      <c r="A3493">
        <v>3492</v>
      </c>
      <c r="B3493">
        <v>2</v>
      </c>
      <c r="C3493">
        <v>-16</v>
      </c>
      <c r="D3493">
        <v>14.7667</v>
      </c>
      <c r="E3493">
        <f>-16-14.7667</f>
        <v>-30.7667</v>
      </c>
      <c r="F3493" t="s">
        <v>5584</v>
      </c>
      <c r="G3493" t="s">
        <v>39</v>
      </c>
      <c r="H3493">
        <v>2003</v>
      </c>
      <c r="I3493">
        <v>27.071692065777299</v>
      </c>
      <c r="J3493">
        <v>15.8999996185303</v>
      </c>
      <c r="K3493">
        <v>66</v>
      </c>
      <c r="L3493">
        <v>18.891942920397302</v>
      </c>
      <c r="M3493">
        <v>38.313232370756801</v>
      </c>
      <c r="N3493">
        <v>14.3999996185303</v>
      </c>
      <c r="O3493">
        <v>23.913232499830301</v>
      </c>
      <c r="P3493">
        <v>27.871691302837799</v>
      </c>
      <c r="Q3493">
        <v>26.532830946010201</v>
      </c>
      <c r="R3493">
        <v>29.013232881299999</v>
      </c>
      <c r="S3493">
        <v>24.086767500169699</v>
      </c>
      <c r="T3493">
        <v>517.78894472361799</v>
      </c>
      <c r="U3493">
        <v>189.32830820770499</v>
      </c>
      <c r="V3493">
        <v>0</v>
      </c>
      <c r="W3493">
        <v>146</v>
      </c>
      <c r="X3493">
        <v>446.65661641540999</v>
      </c>
      <c r="Y3493">
        <v>0</v>
      </c>
      <c r="Z3493">
        <v>141.460636515913</v>
      </c>
      <c r="AA3493">
        <v>2</v>
      </c>
      <c r="AB3493">
        <v>2.7504187412996801</v>
      </c>
      <c r="AC3493">
        <v>2.1293786199923E-2</v>
      </c>
      <c r="AD3493">
        <v>1.72253859482419</v>
      </c>
      <c r="AE3493">
        <v>0.76839688794696803</v>
      </c>
      <c r="AF3493">
        <v>26.772194304857599</v>
      </c>
      <c r="AG3493">
        <f>IFERROR(AH3493*0.1, "N/A")</f>
        <v>5.8584589614740405</v>
      </c>
      <c r="AH3493">
        <v>58.584589614740402</v>
      </c>
      <c r="AI3493">
        <v>186.610887703185</v>
      </c>
      <c r="AJ3493">
        <v>6.8308207705192698</v>
      </c>
      <c r="AK3493">
        <v>85.584589614740395</v>
      </c>
    </row>
    <row r="3494" spans="1:37" x14ac:dyDescent="0.3">
      <c r="A3494">
        <v>3493</v>
      </c>
      <c r="B3494">
        <v>2</v>
      </c>
      <c r="C3494">
        <v>-17.060199999999998</v>
      </c>
      <c r="D3494">
        <v>14.773899999999999</v>
      </c>
      <c r="E3494">
        <f>-17.0602-14.7739</f>
        <v>-31.834099999999999</v>
      </c>
      <c r="F3494" t="s">
        <v>5585</v>
      </c>
      <c r="G3494" t="s">
        <v>39</v>
      </c>
      <c r="H3494">
        <v>1996</v>
      </c>
      <c r="I3494">
        <v>25.805015978605901</v>
      </c>
      <c r="J3494">
        <v>11.300000190734901</v>
      </c>
      <c r="K3494">
        <v>66</v>
      </c>
      <c r="L3494">
        <v>16.499029886762401</v>
      </c>
      <c r="M3494">
        <v>33</v>
      </c>
      <c r="N3494">
        <v>16</v>
      </c>
      <c r="O3494">
        <v>17</v>
      </c>
      <c r="P3494">
        <v>27.399999618530298</v>
      </c>
      <c r="Q3494">
        <v>25.100000381469702</v>
      </c>
      <c r="R3494">
        <v>27.405016360075599</v>
      </c>
      <c r="S3494">
        <v>23.5</v>
      </c>
      <c r="T3494">
        <v>498.89966555183901</v>
      </c>
      <c r="U3494">
        <v>196</v>
      </c>
      <c r="V3494">
        <v>0</v>
      </c>
      <c r="W3494">
        <v>156</v>
      </c>
      <c r="X3494">
        <v>439.89966555183901</v>
      </c>
      <c r="Y3494">
        <v>0</v>
      </c>
      <c r="Z3494">
        <v>300.94983277592002</v>
      </c>
      <c r="AA3494">
        <v>3</v>
      </c>
      <c r="AB3494">
        <v>3.97976554755782</v>
      </c>
      <c r="AC3494">
        <v>1.1313389499289001E-2</v>
      </c>
      <c r="AD3494">
        <v>0.73019060083855003</v>
      </c>
      <c r="AE3494">
        <v>0.83464123652531497</v>
      </c>
      <c r="AF3494">
        <v>19.866220735786001</v>
      </c>
      <c r="AG3494">
        <f>IFERROR(AH3494*0.1, "N/A")</f>
        <v>6.61505016722408</v>
      </c>
      <c r="AH3494">
        <v>66.150501672240793</v>
      </c>
      <c r="AI3494">
        <v>172.93034199488201</v>
      </c>
      <c r="AJ3494">
        <v>23.775919732441501</v>
      </c>
      <c r="AK3494">
        <v>59.185618729097001</v>
      </c>
    </row>
    <row r="3495" spans="1:37" x14ac:dyDescent="0.3">
      <c r="A3495">
        <v>3494</v>
      </c>
      <c r="B3495">
        <v>0</v>
      </c>
      <c r="C3495">
        <v>-17.060199999999998</v>
      </c>
      <c r="D3495">
        <v>14.773899999999999</v>
      </c>
      <c r="E3495">
        <f>-17.0602-14.7739</f>
        <v>-31.834099999999999</v>
      </c>
      <c r="F3495" t="s">
        <v>5586</v>
      </c>
      <c r="G3495" t="s">
        <v>37</v>
      </c>
      <c r="H3495">
        <v>1996</v>
      </c>
      <c r="I3495">
        <v>25.805015978605901</v>
      </c>
      <c r="J3495">
        <v>11.300000190734901</v>
      </c>
      <c r="K3495">
        <v>66</v>
      </c>
      <c r="L3495">
        <v>16.499029886762401</v>
      </c>
      <c r="M3495">
        <v>33</v>
      </c>
      <c r="N3495">
        <v>16</v>
      </c>
      <c r="O3495">
        <v>17</v>
      </c>
      <c r="P3495">
        <v>27.399999618530298</v>
      </c>
      <c r="Q3495">
        <v>25.100000381469702</v>
      </c>
      <c r="R3495">
        <v>27.405016360075599</v>
      </c>
      <c r="S3495">
        <v>23.5</v>
      </c>
      <c r="T3495">
        <v>498.89966555183901</v>
      </c>
      <c r="U3495">
        <v>196</v>
      </c>
      <c r="V3495">
        <v>0</v>
      </c>
      <c r="W3495">
        <v>156</v>
      </c>
      <c r="X3495">
        <v>439.89966555183901</v>
      </c>
      <c r="Y3495">
        <v>0</v>
      </c>
      <c r="Z3495">
        <v>300.94983277592002</v>
      </c>
      <c r="AA3495">
        <v>3</v>
      </c>
      <c r="AB3495">
        <v>3.97976554755782</v>
      </c>
      <c r="AC3495">
        <v>1.1313389499289001E-2</v>
      </c>
      <c r="AD3495">
        <v>0.73019060083855003</v>
      </c>
      <c r="AE3495">
        <v>0.83464123652531497</v>
      </c>
      <c r="AF3495">
        <v>19.866220735786001</v>
      </c>
      <c r="AG3495">
        <f>IFERROR(AH3495*0.1, "N/A")</f>
        <v>6.61505016722408</v>
      </c>
      <c r="AH3495">
        <v>66.150501672240793</v>
      </c>
      <c r="AI3495">
        <v>172.93034199488201</v>
      </c>
      <c r="AJ3495">
        <v>23.775919732441501</v>
      </c>
      <c r="AK3495">
        <v>59.185618729097001</v>
      </c>
    </row>
    <row r="3496" spans="1:37" x14ac:dyDescent="0.3">
      <c r="A3496">
        <v>3495</v>
      </c>
      <c r="B3496">
        <v>74</v>
      </c>
      <c r="C3496">
        <v>-12.2941</v>
      </c>
      <c r="D3496">
        <v>14.776199999999999</v>
      </c>
      <c r="E3496">
        <f>-12.2941-14.7762</f>
        <v>-27.0703</v>
      </c>
      <c r="F3496" t="s">
        <v>5587</v>
      </c>
      <c r="G3496" t="s">
        <v>39</v>
      </c>
      <c r="H3496">
        <v>2003</v>
      </c>
      <c r="I3496">
        <v>28.899999618530298</v>
      </c>
      <c r="J3496">
        <v>14.6000003814697</v>
      </c>
      <c r="K3496">
        <v>58</v>
      </c>
      <c r="L3496">
        <v>25.4899997711182</v>
      </c>
      <c r="M3496">
        <v>40.799999237060497</v>
      </c>
      <c r="N3496">
        <v>15.8999996185303</v>
      </c>
      <c r="O3496">
        <v>24.899999618530298</v>
      </c>
      <c r="P3496">
        <v>28.200000762939499</v>
      </c>
      <c r="Q3496">
        <v>27.299999237060501</v>
      </c>
      <c r="R3496">
        <v>32.400001525878899</v>
      </c>
      <c r="S3496">
        <v>25.700000762939499</v>
      </c>
      <c r="T3496">
        <v>500</v>
      </c>
      <c r="U3496">
        <v>181</v>
      </c>
      <c r="V3496">
        <v>0</v>
      </c>
      <c r="W3496">
        <v>142</v>
      </c>
      <c r="X3496">
        <v>412</v>
      </c>
      <c r="Y3496">
        <v>0</v>
      </c>
      <c r="Z3496">
        <v>58</v>
      </c>
      <c r="AA3496">
        <v>0</v>
      </c>
      <c r="AB3496">
        <v>4.2324368196375204</v>
      </c>
      <c r="AC3496">
        <v>5.2597881412180997E-2</v>
      </c>
      <c r="AD3496">
        <v>2.13299501327907</v>
      </c>
      <c r="AE3496">
        <v>0.57465261220931996</v>
      </c>
      <c r="AF3496">
        <v>21.675630252100799</v>
      </c>
      <c r="AG3496">
        <f>IFERROR(AH3496*0.1, "N/A")</f>
        <v>6.2642016806722705</v>
      </c>
      <c r="AH3496">
        <v>62.642016806722701</v>
      </c>
      <c r="AI3496">
        <v>218.18619220637501</v>
      </c>
      <c r="AJ3496">
        <v>24.322689075630301</v>
      </c>
      <c r="AK3496">
        <v>53.3193277310924</v>
      </c>
    </row>
    <row r="3497" spans="1:37" x14ac:dyDescent="0.3">
      <c r="A3497">
        <v>3496</v>
      </c>
      <c r="B3497">
        <v>7.6</v>
      </c>
      <c r="C3497">
        <v>-16.687598999999999</v>
      </c>
      <c r="D3497">
        <v>14.7783</v>
      </c>
      <c r="E3497">
        <f>-16.687599-14.7783</f>
        <v>-31.465899</v>
      </c>
      <c r="F3497" t="s">
        <v>5588</v>
      </c>
      <c r="G3497" t="s">
        <v>39</v>
      </c>
      <c r="H3497">
        <v>1958</v>
      </c>
      <c r="I3497">
        <v>26.200000762939499</v>
      </c>
      <c r="J3497">
        <v>14</v>
      </c>
      <c r="K3497">
        <v>70</v>
      </c>
      <c r="L3497">
        <v>15.7299995422363</v>
      </c>
      <c r="M3497">
        <v>34.5</v>
      </c>
      <c r="N3497">
        <v>14.699999809265099</v>
      </c>
      <c r="O3497">
        <v>19.799999237060501</v>
      </c>
      <c r="P3497">
        <v>27.399999618530298</v>
      </c>
      <c r="Q3497">
        <v>24.200000762939499</v>
      </c>
      <c r="R3497">
        <v>27.700000762939499</v>
      </c>
      <c r="S3497">
        <v>23.700000762939499</v>
      </c>
      <c r="T3497">
        <v>537</v>
      </c>
      <c r="U3497">
        <v>216</v>
      </c>
      <c r="V3497">
        <v>0</v>
      </c>
      <c r="W3497">
        <v>157</v>
      </c>
      <c r="X3497">
        <v>474</v>
      </c>
      <c r="Y3497">
        <v>1</v>
      </c>
      <c r="Z3497">
        <v>336</v>
      </c>
      <c r="AA3497">
        <v>1</v>
      </c>
      <c r="AB3497">
        <v>1.20201041989989</v>
      </c>
      <c r="AC3497">
        <v>4.7877283451745002E-2</v>
      </c>
      <c r="AD3497">
        <v>1.0439618019203001</v>
      </c>
      <c r="AE3497">
        <v>0.59697413444518999</v>
      </c>
      <c r="AF3497">
        <v>14.2395309882747</v>
      </c>
      <c r="AG3497">
        <f>IFERROR(AH3497*0.1, "N/A")</f>
        <v>5.9340033500837501</v>
      </c>
      <c r="AH3497">
        <v>59.3400335008375</v>
      </c>
      <c r="AI3497">
        <v>233.054292637299</v>
      </c>
      <c r="AJ3497">
        <v>5.2713567839196003</v>
      </c>
      <c r="AK3497">
        <v>86.649916247906205</v>
      </c>
    </row>
    <row r="3498" spans="1:37" x14ac:dyDescent="0.3">
      <c r="A3498">
        <v>3497</v>
      </c>
      <c r="B3498">
        <v>0</v>
      </c>
      <c r="C3498">
        <v>-16.616699000000001</v>
      </c>
      <c r="D3498">
        <v>14.783300000000001</v>
      </c>
      <c r="E3498">
        <f>-16.616699-14.7833</f>
        <v>-31.399999000000001</v>
      </c>
      <c r="F3498" t="s">
        <v>5589</v>
      </c>
      <c r="G3498" t="s">
        <v>39</v>
      </c>
      <c r="H3498">
        <v>2000</v>
      </c>
      <c r="I3498">
        <v>26.225042397635299</v>
      </c>
      <c r="J3498">
        <v>14.3999996185303</v>
      </c>
      <c r="K3498">
        <v>70</v>
      </c>
      <c r="L3498">
        <v>16.202856881277899</v>
      </c>
      <c r="M3498">
        <v>34.853613909553097</v>
      </c>
      <c r="N3498">
        <v>14.5</v>
      </c>
      <c r="O3498">
        <v>20.353612886957801</v>
      </c>
      <c r="P3498">
        <v>27.425041730864699</v>
      </c>
      <c r="Q3498">
        <v>24.299999237060501</v>
      </c>
      <c r="R3498">
        <v>27.778655024937201</v>
      </c>
      <c r="S3498">
        <v>23.703698185512</v>
      </c>
      <c r="T3498">
        <v>532.60168067226903</v>
      </c>
      <c r="U3498">
        <v>209.88907563025199</v>
      </c>
      <c r="V3498">
        <v>0</v>
      </c>
      <c r="W3498">
        <v>153.712605042017</v>
      </c>
      <c r="X3498">
        <v>468.60168067226903</v>
      </c>
      <c r="Y3498">
        <v>1</v>
      </c>
      <c r="Z3498">
        <v>331.60168067226903</v>
      </c>
      <c r="AA3498">
        <v>1</v>
      </c>
      <c r="AB3498">
        <v>8.8066402403245994E-2</v>
      </c>
      <c r="AC3498">
        <v>1.6614836673041</v>
      </c>
      <c r="AD3498">
        <v>1.3227004982844099</v>
      </c>
      <c r="AE3498">
        <v>0.485355188265568</v>
      </c>
      <c r="AF3498">
        <v>17.773109243697501</v>
      </c>
      <c r="AG3498">
        <f>IFERROR(AH3498*0.1, "N/A")</f>
        <v>5.9236974789915999</v>
      </c>
      <c r="AH3498">
        <v>59.236974789915998</v>
      </c>
      <c r="AI3498">
        <v>209.62661258473099</v>
      </c>
      <c r="AJ3498">
        <v>9.4403361344537799</v>
      </c>
      <c r="AK3498">
        <v>82.6084033613445</v>
      </c>
    </row>
    <row r="3499" spans="1:37" x14ac:dyDescent="0.3">
      <c r="A3499">
        <v>3498</v>
      </c>
      <c r="B3499">
        <v>0</v>
      </c>
      <c r="C3499">
        <v>-16.616699000000001</v>
      </c>
      <c r="D3499">
        <v>14.783300000000001</v>
      </c>
      <c r="E3499">
        <f>-16.616699-14.7833</f>
        <v>-31.399999000000001</v>
      </c>
      <c r="F3499" t="s">
        <v>5590</v>
      </c>
      <c r="G3499" t="s">
        <v>37</v>
      </c>
      <c r="H3499">
        <v>2000</v>
      </c>
      <c r="I3499">
        <v>26.225042397635299</v>
      </c>
      <c r="J3499">
        <v>14.3999996185303</v>
      </c>
      <c r="K3499">
        <v>70</v>
      </c>
      <c r="L3499">
        <v>16.202856881277899</v>
      </c>
      <c r="M3499">
        <v>34.853613909553097</v>
      </c>
      <c r="N3499">
        <v>14.5</v>
      </c>
      <c r="O3499">
        <v>20.353612886957801</v>
      </c>
      <c r="P3499">
        <v>27.425041730864699</v>
      </c>
      <c r="Q3499">
        <v>24.299999237060501</v>
      </c>
      <c r="R3499">
        <v>27.778655024937201</v>
      </c>
      <c r="S3499">
        <v>23.703698185512</v>
      </c>
      <c r="T3499">
        <v>532.60168067226903</v>
      </c>
      <c r="U3499">
        <v>209.88907563025199</v>
      </c>
      <c r="V3499">
        <v>0</v>
      </c>
      <c r="W3499">
        <v>153.712605042017</v>
      </c>
      <c r="X3499">
        <v>468.60168067226903</v>
      </c>
      <c r="Y3499">
        <v>1</v>
      </c>
      <c r="Z3499">
        <v>331.60168067226903</v>
      </c>
      <c r="AA3499">
        <v>1</v>
      </c>
      <c r="AB3499">
        <v>8.8066402403245994E-2</v>
      </c>
      <c r="AC3499">
        <v>1.6614836673041</v>
      </c>
      <c r="AD3499">
        <v>1.3227004982844099</v>
      </c>
      <c r="AE3499">
        <v>0.485355188265568</v>
      </c>
      <c r="AF3499">
        <v>17.773109243697501</v>
      </c>
      <c r="AG3499">
        <f>IFERROR(AH3499*0.1, "N/A")</f>
        <v>5.9236974789915999</v>
      </c>
      <c r="AH3499">
        <v>59.236974789915998</v>
      </c>
      <c r="AI3499">
        <v>209.62661258473099</v>
      </c>
      <c r="AJ3499">
        <v>9.4403361344537799</v>
      </c>
      <c r="AK3499">
        <v>82.6084033613445</v>
      </c>
    </row>
    <row r="3500" spans="1:37" x14ac:dyDescent="0.3">
      <c r="A3500">
        <v>3499</v>
      </c>
      <c r="B3500">
        <v>16</v>
      </c>
      <c r="C3500">
        <v>-15.9833</v>
      </c>
      <c r="D3500">
        <v>14.783300000000001</v>
      </c>
      <c r="E3500">
        <f>-15.9833-14.7833</f>
        <v>-30.7666</v>
      </c>
      <c r="F3500" t="s">
        <v>5591</v>
      </c>
      <c r="G3500" t="s">
        <v>39</v>
      </c>
      <c r="H3500">
        <v>2003</v>
      </c>
      <c r="I3500">
        <v>27</v>
      </c>
      <c r="J3500">
        <v>15.8999996185303</v>
      </c>
      <c r="K3500">
        <v>66</v>
      </c>
      <c r="L3500">
        <v>19.1372723884454</v>
      </c>
      <c r="M3500">
        <v>38.299999237060497</v>
      </c>
      <c r="N3500">
        <v>14.3734004441335</v>
      </c>
      <c r="O3500">
        <v>23.926599046598</v>
      </c>
      <c r="P3500">
        <v>27.799999237060501</v>
      </c>
      <c r="Q3500">
        <v>26.458080648171801</v>
      </c>
      <c r="R3500">
        <v>29</v>
      </c>
      <c r="S3500">
        <v>23.973400571932299</v>
      </c>
      <c r="T3500">
        <v>514.13636363636397</v>
      </c>
      <c r="U3500">
        <v>188.71212121212099</v>
      </c>
      <c r="V3500">
        <v>0</v>
      </c>
      <c r="W3500">
        <v>148.71212121212099</v>
      </c>
      <c r="X3500">
        <v>444.13636363636402</v>
      </c>
      <c r="Y3500">
        <v>0</v>
      </c>
      <c r="Z3500">
        <v>140.71212121212099</v>
      </c>
      <c r="AA3500">
        <v>2</v>
      </c>
      <c r="AB3500">
        <v>0.13249187919025901</v>
      </c>
      <c r="AC3500">
        <v>5.7478987817944196</v>
      </c>
      <c r="AD3500">
        <v>1.8223872385442501</v>
      </c>
      <c r="AE3500">
        <v>0.78049547383279505</v>
      </c>
      <c r="AF3500">
        <v>25.919191919191899</v>
      </c>
      <c r="AG3500">
        <f>IFERROR(AH3500*0.1, "N/A")</f>
        <v>5.4198653198653197</v>
      </c>
      <c r="AH3500">
        <v>54.198653198653197</v>
      </c>
      <c r="AI3500">
        <v>205.69900549943199</v>
      </c>
      <c r="AJ3500">
        <v>6.1531986531986496</v>
      </c>
      <c r="AK3500">
        <v>87.846801346801399</v>
      </c>
    </row>
    <row r="3501" spans="1:37" x14ac:dyDescent="0.3">
      <c r="A3501">
        <v>3500</v>
      </c>
      <c r="B3501">
        <v>0</v>
      </c>
      <c r="C3501">
        <v>-15.65</v>
      </c>
      <c r="D3501">
        <v>14.783300000000001</v>
      </c>
      <c r="E3501">
        <f>-15.65-14.7833</f>
        <v>-30.433300000000003</v>
      </c>
      <c r="F3501" t="s">
        <v>5592</v>
      </c>
      <c r="G3501" t="s">
        <v>39</v>
      </c>
      <c r="H3501">
        <v>2003</v>
      </c>
      <c r="I3501">
        <v>27.059228413857099</v>
      </c>
      <c r="J3501">
        <v>15.8999996185303</v>
      </c>
      <c r="K3501">
        <v>65</v>
      </c>
      <c r="L3501">
        <v>19.4275502230497</v>
      </c>
      <c r="M3501">
        <v>38.799999237060497</v>
      </c>
      <c r="N3501">
        <v>14.3999996185303</v>
      </c>
      <c r="O3501">
        <v>24.399999618530298</v>
      </c>
      <c r="P3501">
        <v>27.600000381469702</v>
      </c>
      <c r="Q3501">
        <v>26.799999237060501</v>
      </c>
      <c r="R3501">
        <v>29.200000762939499</v>
      </c>
      <c r="S3501">
        <v>24</v>
      </c>
      <c r="T3501">
        <v>491.85067114093999</v>
      </c>
      <c r="U3501">
        <v>171.73154362416099</v>
      </c>
      <c r="V3501">
        <v>0</v>
      </c>
      <c r="W3501">
        <v>142.805369127517</v>
      </c>
      <c r="X3501">
        <v>416.85067114093999</v>
      </c>
      <c r="Y3501">
        <v>0</v>
      </c>
      <c r="Z3501">
        <v>34</v>
      </c>
      <c r="AA3501">
        <v>1</v>
      </c>
      <c r="AB3501">
        <v>1.7484889382483999</v>
      </c>
      <c r="AC3501">
        <v>9.9215841877130003E-3</v>
      </c>
      <c r="AD3501">
        <v>0.89694040353666205</v>
      </c>
      <c r="AE3501">
        <v>0.76929331185833705</v>
      </c>
      <c r="AF3501">
        <v>46.711409395973099</v>
      </c>
      <c r="AG3501">
        <f>IFERROR(AH3501*0.1, "N/A")</f>
        <v>5.4553691275167804</v>
      </c>
      <c r="AH3501">
        <v>54.5536912751678</v>
      </c>
      <c r="AI3501">
        <v>118.882733671457</v>
      </c>
      <c r="AJ3501">
        <v>9.8154362416107404</v>
      </c>
      <c r="AK3501">
        <v>81.860738255033596</v>
      </c>
    </row>
    <row r="3502" spans="1:37" x14ac:dyDescent="0.3">
      <c r="A3502">
        <v>3501</v>
      </c>
      <c r="B3502">
        <v>20</v>
      </c>
      <c r="C3502">
        <v>-16.818000999999999</v>
      </c>
      <c r="D3502">
        <v>14.784000000000001</v>
      </c>
      <c r="E3502">
        <f>-16.818001-14.784</f>
        <v>-31.602001000000001</v>
      </c>
      <c r="F3502" t="s">
        <v>5593</v>
      </c>
      <c r="G3502" t="s">
        <v>39</v>
      </c>
      <c r="H3502">
        <v>1987</v>
      </c>
      <c r="I3502">
        <v>25.899999618530298</v>
      </c>
      <c r="J3502">
        <v>13.199999809265099</v>
      </c>
      <c r="K3502">
        <v>69</v>
      </c>
      <c r="L3502">
        <v>15.1991453729882</v>
      </c>
      <c r="M3502">
        <v>33.900001525878899</v>
      </c>
      <c r="N3502">
        <v>15</v>
      </c>
      <c r="O3502">
        <v>18.899999618530298</v>
      </c>
      <c r="P3502">
        <v>27.200000762939499</v>
      </c>
      <c r="Q3502">
        <v>25.600000381469702</v>
      </c>
      <c r="R3502">
        <v>27.399999618530298</v>
      </c>
      <c r="S3502">
        <v>23.600000381469702</v>
      </c>
      <c r="T3502">
        <v>497.30485762144002</v>
      </c>
      <c r="U3502">
        <v>193.15242881072001</v>
      </c>
      <c r="V3502">
        <v>0</v>
      </c>
      <c r="W3502">
        <v>153.15242881072001</v>
      </c>
      <c r="X3502">
        <v>434.30485762144002</v>
      </c>
      <c r="Y3502">
        <v>0</v>
      </c>
      <c r="Z3502">
        <v>301.15242881071998</v>
      </c>
      <c r="AA3502">
        <v>3</v>
      </c>
      <c r="AB3502">
        <v>0.70452224629208904</v>
      </c>
      <c r="AC3502">
        <v>0.35232021022818899</v>
      </c>
      <c r="AD3502">
        <v>1.00331932745587</v>
      </c>
      <c r="AE3502">
        <v>0.78739265061702701</v>
      </c>
      <c r="AF3502">
        <v>39.118927973199298</v>
      </c>
      <c r="AG3502">
        <f>IFERROR(AH3502*0.1, "N/A")</f>
        <v>5.4159128978224409</v>
      </c>
      <c r="AH3502">
        <v>54.159128978224402</v>
      </c>
      <c r="AI3502">
        <v>119.241083014151</v>
      </c>
      <c r="AJ3502">
        <v>4</v>
      </c>
      <c r="AK3502">
        <v>87.840871021775499</v>
      </c>
    </row>
    <row r="3503" spans="1:37" x14ac:dyDescent="0.3">
      <c r="A3503">
        <v>3502</v>
      </c>
      <c r="B3503">
        <v>0</v>
      </c>
      <c r="C3503">
        <v>-16.818000999999999</v>
      </c>
      <c r="D3503">
        <v>14.784000000000001</v>
      </c>
      <c r="E3503">
        <f>-16.818001-14.784</f>
        <v>-31.602001000000001</v>
      </c>
      <c r="F3503" t="s">
        <v>5594</v>
      </c>
      <c r="G3503" t="s">
        <v>37</v>
      </c>
      <c r="H3503">
        <v>1987</v>
      </c>
      <c r="I3503">
        <v>25.899999618530298</v>
      </c>
      <c r="J3503">
        <v>13.199999809265099</v>
      </c>
      <c r="K3503">
        <v>69</v>
      </c>
      <c r="L3503">
        <v>15.1991453729882</v>
      </c>
      <c r="M3503">
        <v>33.900001525878899</v>
      </c>
      <c r="N3503">
        <v>15</v>
      </c>
      <c r="O3503">
        <v>18.899999618530298</v>
      </c>
      <c r="P3503">
        <v>27.200000762939499</v>
      </c>
      <c r="Q3503">
        <v>25.600000381469702</v>
      </c>
      <c r="R3503">
        <v>27.399999618530298</v>
      </c>
      <c r="S3503">
        <v>23.600000381469702</v>
      </c>
      <c r="T3503">
        <v>497.30485762144002</v>
      </c>
      <c r="U3503">
        <v>193.15242881072001</v>
      </c>
      <c r="V3503">
        <v>0</v>
      </c>
      <c r="W3503">
        <v>153.15242881072001</v>
      </c>
      <c r="X3503">
        <v>434.30485762144002</v>
      </c>
      <c r="Y3503">
        <v>0</v>
      </c>
      <c r="Z3503">
        <v>301.15242881071998</v>
      </c>
      <c r="AA3503">
        <v>3</v>
      </c>
      <c r="AB3503">
        <v>0.70452224629208904</v>
      </c>
      <c r="AC3503">
        <v>0.35232021022818899</v>
      </c>
      <c r="AD3503">
        <v>1.00331932745587</v>
      </c>
      <c r="AE3503">
        <v>0.78739265061702701</v>
      </c>
      <c r="AF3503">
        <v>39.118927973199298</v>
      </c>
      <c r="AG3503">
        <f>IFERROR(AH3503*0.1, "N/A")</f>
        <v>5.4159128978224409</v>
      </c>
      <c r="AH3503">
        <v>54.159128978224402</v>
      </c>
      <c r="AI3503">
        <v>119.241083014151</v>
      </c>
      <c r="AJ3503">
        <v>4</v>
      </c>
      <c r="AK3503">
        <v>87.840871021775499</v>
      </c>
    </row>
    <row r="3504" spans="1:37" x14ac:dyDescent="0.3">
      <c r="A3504">
        <v>3503</v>
      </c>
      <c r="B3504">
        <v>0</v>
      </c>
      <c r="C3504">
        <v>-16.867999999999999</v>
      </c>
      <c r="D3504">
        <v>14.785</v>
      </c>
      <c r="E3504">
        <f>-16.868-14.785</f>
        <v>-31.652999999999999</v>
      </c>
      <c r="F3504" t="s">
        <v>5595</v>
      </c>
      <c r="G3504" t="s">
        <v>39</v>
      </c>
      <c r="H3504">
        <v>1987</v>
      </c>
      <c r="I3504">
        <v>25.899999618530298</v>
      </c>
      <c r="J3504">
        <v>12.8999996185303</v>
      </c>
      <c r="K3504">
        <v>69</v>
      </c>
      <c r="L3504">
        <v>15.1499996185303</v>
      </c>
      <c r="M3504">
        <v>33.700000762939503</v>
      </c>
      <c r="N3504">
        <v>15.199999809265099</v>
      </c>
      <c r="O3504">
        <v>18.5</v>
      </c>
      <c r="P3504">
        <v>27.100000381469702</v>
      </c>
      <c r="Q3504">
        <v>25.600000381469702</v>
      </c>
      <c r="R3504">
        <v>27.399999618530298</v>
      </c>
      <c r="S3504">
        <v>23.600000381469702</v>
      </c>
      <c r="T3504">
        <v>498</v>
      </c>
      <c r="U3504">
        <v>192</v>
      </c>
      <c r="V3504">
        <v>0</v>
      </c>
      <c r="W3504">
        <v>153</v>
      </c>
      <c r="X3504">
        <v>433</v>
      </c>
      <c r="Y3504">
        <v>0</v>
      </c>
      <c r="Z3504">
        <v>299</v>
      </c>
      <c r="AA3504">
        <v>4</v>
      </c>
      <c r="AB3504">
        <v>2.3213102609519201</v>
      </c>
      <c r="AC3504">
        <v>8.3786872428085996E-2</v>
      </c>
      <c r="AD3504">
        <v>0.87403907291841199</v>
      </c>
      <c r="AE3504">
        <v>0.78266805410385099</v>
      </c>
      <c r="AF3504">
        <v>41.194630872483202</v>
      </c>
      <c r="AG3504">
        <f>IFERROR(AH3504*0.1, "N/A")</f>
        <v>6.0164429530201406</v>
      </c>
      <c r="AH3504">
        <v>60.164429530201403</v>
      </c>
      <c r="AI3504">
        <v>139.066075779448</v>
      </c>
      <c r="AJ3504">
        <v>8.6711409395973202</v>
      </c>
      <c r="AK3504">
        <v>84.328859060402706</v>
      </c>
    </row>
    <row r="3505" spans="1:37" x14ac:dyDescent="0.3">
      <c r="A3505">
        <v>3504</v>
      </c>
      <c r="B3505">
        <v>0</v>
      </c>
      <c r="C3505">
        <v>-16.867999999999999</v>
      </c>
      <c r="D3505">
        <v>14.785</v>
      </c>
      <c r="E3505">
        <f>-16.868-14.785</f>
        <v>-31.652999999999999</v>
      </c>
      <c r="F3505" t="s">
        <v>5596</v>
      </c>
      <c r="G3505" t="s">
        <v>37</v>
      </c>
      <c r="H3505">
        <v>1987</v>
      </c>
      <c r="I3505">
        <v>25.899999618530298</v>
      </c>
      <c r="J3505">
        <v>12.8999996185303</v>
      </c>
      <c r="K3505">
        <v>69</v>
      </c>
      <c r="L3505">
        <v>15.1499996185303</v>
      </c>
      <c r="M3505">
        <v>33.700000762939503</v>
      </c>
      <c r="N3505">
        <v>15.199999809265099</v>
      </c>
      <c r="O3505">
        <v>18.5</v>
      </c>
      <c r="P3505">
        <v>27.100000381469702</v>
      </c>
      <c r="Q3505">
        <v>25.600000381469702</v>
      </c>
      <c r="R3505">
        <v>27.399999618530298</v>
      </c>
      <c r="S3505">
        <v>23.600000381469702</v>
      </c>
      <c r="T3505">
        <v>498</v>
      </c>
      <c r="U3505">
        <v>192</v>
      </c>
      <c r="V3505">
        <v>0</v>
      </c>
      <c r="W3505">
        <v>153</v>
      </c>
      <c r="X3505">
        <v>433</v>
      </c>
      <c r="Y3505">
        <v>0</v>
      </c>
      <c r="Z3505">
        <v>299</v>
      </c>
      <c r="AA3505">
        <v>4</v>
      </c>
      <c r="AB3505">
        <v>2.3213102609519201</v>
      </c>
      <c r="AC3505">
        <v>8.3786872428085996E-2</v>
      </c>
      <c r="AD3505">
        <v>0.87403907291841199</v>
      </c>
      <c r="AE3505">
        <v>0.78266805410385099</v>
      </c>
      <c r="AF3505">
        <v>41.194630872483202</v>
      </c>
      <c r="AG3505">
        <f>IFERROR(AH3505*0.1, "N/A")</f>
        <v>6.0164429530201406</v>
      </c>
      <c r="AH3505">
        <v>60.164429530201403</v>
      </c>
      <c r="AI3505">
        <v>139.066075779448</v>
      </c>
      <c r="AJ3505">
        <v>8.6711409395973202</v>
      </c>
      <c r="AK3505">
        <v>84.328859060402706</v>
      </c>
    </row>
    <row r="3506" spans="1:37" x14ac:dyDescent="0.3">
      <c r="A3506">
        <v>3505</v>
      </c>
      <c r="B3506">
        <v>0.5</v>
      </c>
      <c r="C3506">
        <v>-17.310499</v>
      </c>
      <c r="D3506">
        <v>14.785299999999999</v>
      </c>
      <c r="E3506">
        <f>-17.310499-14.7853</f>
        <v>-32.095799</v>
      </c>
      <c r="F3506" t="s">
        <v>5597</v>
      </c>
      <c r="G3506" t="s">
        <v>39</v>
      </c>
      <c r="H3506">
        <v>1996</v>
      </c>
      <c r="I3506">
        <v>25.100000381469702</v>
      </c>
      <c r="J3506">
        <v>8.8999996185302699</v>
      </c>
      <c r="K3506">
        <v>58</v>
      </c>
      <c r="L3506">
        <v>23.159999847412099</v>
      </c>
      <c r="M3506">
        <v>31.899999618530298</v>
      </c>
      <c r="N3506">
        <v>16.600000381469702</v>
      </c>
      <c r="O3506">
        <v>15.300000190734901</v>
      </c>
      <c r="P3506">
        <v>27.600000381469702</v>
      </c>
      <c r="Q3506">
        <v>23.200000762939499</v>
      </c>
      <c r="R3506">
        <v>27.700000762939499</v>
      </c>
      <c r="S3506">
        <v>22.299999237060501</v>
      </c>
      <c r="T3506">
        <v>473</v>
      </c>
      <c r="U3506">
        <v>191</v>
      </c>
      <c r="V3506">
        <v>0</v>
      </c>
      <c r="W3506">
        <v>159</v>
      </c>
      <c r="X3506">
        <v>419</v>
      </c>
      <c r="Y3506">
        <v>0</v>
      </c>
      <c r="Z3506">
        <v>381</v>
      </c>
      <c r="AA3506">
        <v>2</v>
      </c>
      <c r="AB3506">
        <v>7.8859300837045501</v>
      </c>
      <c r="AC3506">
        <v>1.8923208516846E-2</v>
      </c>
      <c r="AD3506">
        <v>1.0406004256339501</v>
      </c>
      <c r="AE3506">
        <v>0.89897710084915206</v>
      </c>
      <c r="AF3506">
        <v>10.599664991624801</v>
      </c>
      <c r="AG3506">
        <f>IFERROR(AH3506*0.1, "N/A")</f>
        <v>7.1539363484087106</v>
      </c>
      <c r="AH3506">
        <v>71.539363484087104</v>
      </c>
      <c r="AI3506">
        <v>107.138125689585</v>
      </c>
      <c r="AJ3506">
        <v>18.078726968174202</v>
      </c>
      <c r="AK3506">
        <v>66.460636515912896</v>
      </c>
    </row>
    <row r="3507" spans="1:37" x14ac:dyDescent="0.3">
      <c r="A3507">
        <v>3506</v>
      </c>
      <c r="B3507">
        <v>0</v>
      </c>
      <c r="C3507">
        <v>-17.310499</v>
      </c>
      <c r="D3507">
        <v>14.785299999999999</v>
      </c>
      <c r="E3507">
        <f>-17.310499-14.7853</f>
        <v>-32.095799</v>
      </c>
      <c r="F3507" t="s">
        <v>5598</v>
      </c>
      <c r="G3507" t="s">
        <v>37</v>
      </c>
      <c r="H3507">
        <v>1996</v>
      </c>
      <c r="I3507">
        <v>25.100000381469702</v>
      </c>
      <c r="J3507">
        <v>8.8999996185302699</v>
      </c>
      <c r="K3507">
        <v>58</v>
      </c>
      <c r="L3507">
        <v>23.159999847412099</v>
      </c>
      <c r="M3507">
        <v>31.899999618530298</v>
      </c>
      <c r="N3507">
        <v>16.600000381469702</v>
      </c>
      <c r="O3507">
        <v>15.300000190734901</v>
      </c>
      <c r="P3507">
        <v>27.600000381469702</v>
      </c>
      <c r="Q3507">
        <v>23.200000762939499</v>
      </c>
      <c r="R3507">
        <v>27.700000762939499</v>
      </c>
      <c r="S3507">
        <v>22.299999237060501</v>
      </c>
      <c r="T3507">
        <v>473</v>
      </c>
      <c r="U3507">
        <v>191</v>
      </c>
      <c r="V3507">
        <v>0</v>
      </c>
      <c r="W3507">
        <v>159</v>
      </c>
      <c r="X3507">
        <v>419</v>
      </c>
      <c r="Y3507">
        <v>0</v>
      </c>
      <c r="Z3507">
        <v>381</v>
      </c>
      <c r="AA3507">
        <v>2</v>
      </c>
      <c r="AB3507">
        <v>7.8859300837045501</v>
      </c>
      <c r="AC3507">
        <v>1.8923208516846E-2</v>
      </c>
      <c r="AD3507">
        <v>1.0406004256339501</v>
      </c>
      <c r="AE3507">
        <v>0.89897710084915206</v>
      </c>
      <c r="AF3507">
        <v>10.599664991624801</v>
      </c>
      <c r="AG3507">
        <f>IFERROR(AH3507*0.1, "N/A")</f>
        <v>7.1539363484087106</v>
      </c>
      <c r="AH3507">
        <v>71.539363484087104</v>
      </c>
      <c r="AI3507">
        <v>107.138125689585</v>
      </c>
      <c r="AJ3507">
        <v>18.078726968174202</v>
      </c>
      <c r="AK3507">
        <v>66.460636515912896</v>
      </c>
    </row>
    <row r="3508" spans="1:37" x14ac:dyDescent="0.3">
      <c r="A3508">
        <v>3507</v>
      </c>
      <c r="B3508">
        <v>0</v>
      </c>
      <c r="C3508">
        <v>-16.866599999999998</v>
      </c>
      <c r="D3508">
        <v>14.8</v>
      </c>
      <c r="E3508">
        <f>-16.8666-14.8</f>
        <v>-31.666599999999999</v>
      </c>
      <c r="F3508" t="s">
        <v>5599</v>
      </c>
      <c r="G3508" t="s">
        <v>39</v>
      </c>
      <c r="H3508">
        <v>1996</v>
      </c>
      <c r="I3508">
        <v>25.899999618530298</v>
      </c>
      <c r="J3508">
        <v>12.874453546219501</v>
      </c>
      <c r="K3508">
        <v>69</v>
      </c>
      <c r="L3508">
        <v>15.2434119104337</v>
      </c>
      <c r="M3508">
        <v>33.700000762939503</v>
      </c>
      <c r="N3508">
        <v>15.199999809265099</v>
      </c>
      <c r="O3508">
        <v>18.5</v>
      </c>
      <c r="P3508">
        <v>27.200000762939499</v>
      </c>
      <c r="Q3508">
        <v>25.574454065531199</v>
      </c>
      <c r="R3508">
        <v>27.399999618530298</v>
      </c>
      <c r="S3508">
        <v>23.6255466974082</v>
      </c>
      <c r="T3508">
        <v>494.81008403361301</v>
      </c>
      <c r="U3508">
        <v>191.27731092437</v>
      </c>
      <c r="V3508">
        <v>0</v>
      </c>
      <c r="W3508">
        <v>151.532773109244</v>
      </c>
      <c r="X3508">
        <v>430.81008403361301</v>
      </c>
      <c r="Y3508">
        <v>0</v>
      </c>
      <c r="Z3508">
        <v>298.27731092437</v>
      </c>
      <c r="AA3508">
        <v>4</v>
      </c>
      <c r="AB3508">
        <v>1.1752943792263</v>
      </c>
      <c r="AC3508">
        <v>8.6406224044932003</v>
      </c>
      <c r="AD3508">
        <v>2.2423386565777399</v>
      </c>
      <c r="AE3508">
        <v>0.77999359369277999</v>
      </c>
      <c r="AF3508">
        <v>33.615126050420201</v>
      </c>
      <c r="AG3508">
        <f>IFERROR(AH3508*0.1, "N/A")</f>
        <v>5.6349579831932806</v>
      </c>
      <c r="AH3508">
        <v>56.3495798319328</v>
      </c>
      <c r="AI3508">
        <v>197.202580710018</v>
      </c>
      <c r="AJ3508">
        <v>10</v>
      </c>
      <c r="AK3508">
        <v>81</v>
      </c>
    </row>
    <row r="3509" spans="1:37" x14ac:dyDescent="0.3">
      <c r="A3509">
        <v>3508</v>
      </c>
      <c r="B3509">
        <v>0</v>
      </c>
      <c r="C3509">
        <v>-16.866599999999998</v>
      </c>
      <c r="D3509">
        <v>14.8</v>
      </c>
      <c r="E3509">
        <f>-16.8666-14.8</f>
        <v>-31.666599999999999</v>
      </c>
      <c r="F3509" t="s">
        <v>5600</v>
      </c>
      <c r="G3509" t="s">
        <v>37</v>
      </c>
      <c r="H3509">
        <v>1996</v>
      </c>
      <c r="I3509">
        <v>25.899999618530298</v>
      </c>
      <c r="J3509">
        <v>12.874453546219501</v>
      </c>
      <c r="K3509">
        <v>69</v>
      </c>
      <c r="L3509">
        <v>15.2434119104337</v>
      </c>
      <c r="M3509">
        <v>33.700000762939503</v>
      </c>
      <c r="N3509">
        <v>15.199999809265099</v>
      </c>
      <c r="O3509">
        <v>18.5</v>
      </c>
      <c r="P3509">
        <v>27.200000762939499</v>
      </c>
      <c r="Q3509">
        <v>25.574454065531199</v>
      </c>
      <c r="R3509">
        <v>27.399999618530298</v>
      </c>
      <c r="S3509">
        <v>23.6255466974082</v>
      </c>
      <c r="T3509">
        <v>494.81008403361301</v>
      </c>
      <c r="U3509">
        <v>191.27731092437</v>
      </c>
      <c r="V3509">
        <v>0</v>
      </c>
      <c r="W3509">
        <v>151.532773109244</v>
      </c>
      <c r="X3509">
        <v>430.81008403361301</v>
      </c>
      <c r="Y3509">
        <v>0</v>
      </c>
      <c r="Z3509">
        <v>298.27731092437</v>
      </c>
      <c r="AA3509">
        <v>4</v>
      </c>
      <c r="AB3509">
        <v>1.1752943792263</v>
      </c>
      <c r="AC3509">
        <v>8.6406224044932003</v>
      </c>
      <c r="AD3509">
        <v>2.2423386565777399</v>
      </c>
      <c r="AE3509">
        <v>0.77999359369277999</v>
      </c>
      <c r="AF3509">
        <v>33.615126050420201</v>
      </c>
      <c r="AG3509">
        <f>IFERROR(AH3509*0.1, "N/A")</f>
        <v>5.6349579831932806</v>
      </c>
      <c r="AH3509">
        <v>56.3495798319328</v>
      </c>
      <c r="AI3509">
        <v>197.202580710018</v>
      </c>
      <c r="AJ3509">
        <v>10</v>
      </c>
      <c r="AK3509">
        <v>81</v>
      </c>
    </row>
    <row r="3510" spans="1:37" x14ac:dyDescent="0.3">
      <c r="A3510">
        <v>3509</v>
      </c>
      <c r="B3510">
        <v>0</v>
      </c>
      <c r="C3510">
        <v>-15.55</v>
      </c>
      <c r="D3510">
        <v>14.8</v>
      </c>
      <c r="E3510">
        <f>-15.55-14.8</f>
        <v>-30.35</v>
      </c>
      <c r="F3510" t="s">
        <v>5601</v>
      </c>
      <c r="G3510" t="s">
        <v>39</v>
      </c>
      <c r="H3510">
        <v>2003</v>
      </c>
      <c r="I3510">
        <v>27.299999237060501</v>
      </c>
      <c r="J3510">
        <v>15.8999996185303</v>
      </c>
      <c r="K3510">
        <v>64</v>
      </c>
      <c r="L3510">
        <v>19.656107643306701</v>
      </c>
      <c r="M3510">
        <v>39.099998474121101</v>
      </c>
      <c r="N3510">
        <v>14.6000003814697</v>
      </c>
      <c r="O3510">
        <v>24.5</v>
      </c>
      <c r="P3510">
        <v>27.700000762939499</v>
      </c>
      <c r="Q3510">
        <v>27.100000381469702</v>
      </c>
      <c r="R3510">
        <v>29.5</v>
      </c>
      <c r="S3510">
        <v>24.227684904264901</v>
      </c>
      <c r="T3510">
        <v>480.35906040268401</v>
      </c>
      <c r="U3510">
        <v>164.179530201342</v>
      </c>
      <c r="V3510">
        <v>0</v>
      </c>
      <c r="W3510">
        <v>141</v>
      </c>
      <c r="X3510">
        <v>404.35906040268497</v>
      </c>
      <c r="Y3510">
        <v>0</v>
      </c>
      <c r="Z3510">
        <v>34</v>
      </c>
      <c r="AA3510">
        <v>1</v>
      </c>
      <c r="AB3510">
        <v>2.0778529532003698</v>
      </c>
      <c r="AC3510">
        <v>1.1641392217099001E-2</v>
      </c>
      <c r="AD3510">
        <v>0.84280504586312599</v>
      </c>
      <c r="AE3510">
        <v>0.74186083774438605</v>
      </c>
      <c r="AF3510">
        <v>27.671140939597301</v>
      </c>
      <c r="AG3510">
        <f>IFERROR(AH3510*0.1, "N/A")</f>
        <v>5.7744966442953007</v>
      </c>
      <c r="AH3510">
        <v>57.744966442953</v>
      </c>
      <c r="AI3510">
        <v>211.057840283285</v>
      </c>
      <c r="AJ3510">
        <v>7.1174496644295298</v>
      </c>
      <c r="AK3510">
        <v>78.1375838926174</v>
      </c>
    </row>
    <row r="3511" spans="1:37" x14ac:dyDescent="0.3">
      <c r="A3511">
        <v>3510</v>
      </c>
      <c r="B3511">
        <v>0.9</v>
      </c>
      <c r="C3511">
        <v>-17.186599999999999</v>
      </c>
      <c r="D3511">
        <v>14.8019</v>
      </c>
      <c r="E3511">
        <f>-17.1866-14.8019</f>
        <v>-31.988499999999998</v>
      </c>
      <c r="F3511" t="s">
        <v>5602</v>
      </c>
      <c r="G3511" t="s">
        <v>39</v>
      </c>
      <c r="H3511">
        <v>1996</v>
      </c>
      <c r="I3511">
        <v>25.399999618530298</v>
      </c>
      <c r="J3511">
        <v>10.1000003814697</v>
      </c>
      <c r="K3511">
        <v>63</v>
      </c>
      <c r="L3511">
        <v>19.700000762939499</v>
      </c>
      <c r="M3511">
        <v>32.200000762939503</v>
      </c>
      <c r="N3511">
        <v>16.299999237060501</v>
      </c>
      <c r="O3511">
        <v>15.8999996185303</v>
      </c>
      <c r="P3511">
        <v>27.5</v>
      </c>
      <c r="Q3511">
        <v>23.399999618530298</v>
      </c>
      <c r="R3511">
        <v>27.5</v>
      </c>
      <c r="S3511">
        <v>23</v>
      </c>
      <c r="T3511">
        <v>479</v>
      </c>
      <c r="U3511">
        <v>193</v>
      </c>
      <c r="V3511">
        <v>0</v>
      </c>
      <c r="W3511">
        <v>161</v>
      </c>
      <c r="X3511">
        <v>426</v>
      </c>
      <c r="Y3511">
        <v>0</v>
      </c>
      <c r="Z3511">
        <v>426</v>
      </c>
      <c r="AA3511">
        <v>1</v>
      </c>
      <c r="AB3511">
        <v>3.9969840664759801</v>
      </c>
      <c r="AC3511">
        <v>8.7309731668176002E-2</v>
      </c>
      <c r="AD3511">
        <v>1.7823333686320599</v>
      </c>
      <c r="AE3511">
        <v>0.85072490238464504</v>
      </c>
      <c r="AF3511">
        <v>20.122278056951401</v>
      </c>
      <c r="AG3511">
        <f>IFERROR(AH3511*0.1, "N/A")</f>
        <v>6.2001675041876103</v>
      </c>
      <c r="AH3511">
        <v>62.001675041876098</v>
      </c>
      <c r="AI3511">
        <v>166.65585449832199</v>
      </c>
      <c r="AJ3511">
        <v>18.998324958124002</v>
      </c>
      <c r="AK3511">
        <v>67.606365159128998</v>
      </c>
    </row>
    <row r="3512" spans="1:37" x14ac:dyDescent="0.3">
      <c r="A3512">
        <v>3511</v>
      </c>
      <c r="B3512">
        <v>0</v>
      </c>
      <c r="C3512">
        <v>-17.186599999999999</v>
      </c>
      <c r="D3512">
        <v>14.8019</v>
      </c>
      <c r="E3512">
        <f>-17.1866-14.8019</f>
        <v>-31.988499999999998</v>
      </c>
      <c r="F3512" t="s">
        <v>5603</v>
      </c>
      <c r="G3512" t="s">
        <v>37</v>
      </c>
      <c r="H3512">
        <v>1996</v>
      </c>
      <c r="I3512">
        <v>25.399999618530298</v>
      </c>
      <c r="J3512">
        <v>10.1000003814697</v>
      </c>
      <c r="K3512">
        <v>63</v>
      </c>
      <c r="L3512">
        <v>19.700000762939499</v>
      </c>
      <c r="M3512">
        <v>32.200000762939503</v>
      </c>
      <c r="N3512">
        <v>16.299999237060501</v>
      </c>
      <c r="O3512">
        <v>15.8999996185303</v>
      </c>
      <c r="P3512">
        <v>27.5</v>
      </c>
      <c r="Q3512">
        <v>23.399999618530298</v>
      </c>
      <c r="R3512">
        <v>27.5</v>
      </c>
      <c r="S3512">
        <v>23</v>
      </c>
      <c r="T3512">
        <v>479</v>
      </c>
      <c r="U3512">
        <v>193</v>
      </c>
      <c r="V3512">
        <v>0</v>
      </c>
      <c r="W3512">
        <v>161</v>
      </c>
      <c r="X3512">
        <v>426</v>
      </c>
      <c r="Y3512">
        <v>0</v>
      </c>
      <c r="Z3512">
        <v>426</v>
      </c>
      <c r="AA3512">
        <v>1</v>
      </c>
      <c r="AB3512">
        <v>3.9969840664759801</v>
      </c>
      <c r="AC3512">
        <v>8.7309731668176002E-2</v>
      </c>
      <c r="AD3512">
        <v>1.7823333686320599</v>
      </c>
      <c r="AE3512">
        <v>0.85072490238464504</v>
      </c>
      <c r="AF3512">
        <v>20.122278056951401</v>
      </c>
      <c r="AG3512">
        <f>IFERROR(AH3512*0.1, "N/A")</f>
        <v>6.2001675041876103</v>
      </c>
      <c r="AH3512">
        <v>62.001675041876098</v>
      </c>
      <c r="AI3512">
        <v>166.65585449832199</v>
      </c>
      <c r="AJ3512">
        <v>18.998324958124002</v>
      </c>
      <c r="AK3512">
        <v>67.606365159128998</v>
      </c>
    </row>
    <row r="3513" spans="1:37" x14ac:dyDescent="0.3">
      <c r="A3513">
        <v>3512</v>
      </c>
      <c r="B3513">
        <v>0</v>
      </c>
      <c r="C3513">
        <v>-16.867999999999999</v>
      </c>
      <c r="D3513">
        <v>14.802</v>
      </c>
      <c r="E3513">
        <f>-16.868-14.802</f>
        <v>-31.669999999999998</v>
      </c>
      <c r="F3513" t="s">
        <v>5604</v>
      </c>
      <c r="G3513" t="s">
        <v>39</v>
      </c>
      <c r="H3513">
        <v>1987</v>
      </c>
      <c r="I3513">
        <v>25.899999618530298</v>
      </c>
      <c r="J3513">
        <v>12.800000190734901</v>
      </c>
      <c r="K3513">
        <v>69</v>
      </c>
      <c r="L3513">
        <v>15.1199998855591</v>
      </c>
      <c r="M3513">
        <v>33.700000762939503</v>
      </c>
      <c r="N3513">
        <v>15.199999809265099</v>
      </c>
      <c r="O3513">
        <v>18.5</v>
      </c>
      <c r="P3513">
        <v>27.200000762939499</v>
      </c>
      <c r="Q3513">
        <v>25.5</v>
      </c>
      <c r="R3513">
        <v>27.399999618530298</v>
      </c>
      <c r="S3513">
        <v>23.700000762939499</v>
      </c>
      <c r="T3513">
        <v>495</v>
      </c>
      <c r="U3513">
        <v>191</v>
      </c>
      <c r="V3513">
        <v>0</v>
      </c>
      <c r="W3513">
        <v>152</v>
      </c>
      <c r="X3513">
        <v>431</v>
      </c>
      <c r="Y3513">
        <v>0</v>
      </c>
      <c r="Z3513">
        <v>298</v>
      </c>
      <c r="AA3513">
        <v>4</v>
      </c>
      <c r="AB3513">
        <v>0.774373155143392</v>
      </c>
      <c r="AC3513">
        <v>25.609961092155402</v>
      </c>
      <c r="AD3513">
        <v>1.23195738578761</v>
      </c>
      <c r="AE3513">
        <v>0.78164152134603004</v>
      </c>
      <c r="AF3513">
        <v>36.862646566164102</v>
      </c>
      <c r="AG3513">
        <f>IFERROR(AH3513*0.1, "N/A")</f>
        <v>5.7</v>
      </c>
      <c r="AH3513">
        <v>57</v>
      </c>
      <c r="AI3513">
        <v>275.66373628907098</v>
      </c>
      <c r="AJ3513">
        <v>9.1256281407035207</v>
      </c>
      <c r="AK3513">
        <v>81.078726968174195</v>
      </c>
    </row>
    <row r="3514" spans="1:37" x14ac:dyDescent="0.3">
      <c r="A3514">
        <v>3513</v>
      </c>
      <c r="B3514">
        <v>2</v>
      </c>
      <c r="C3514">
        <v>-15.9076</v>
      </c>
      <c r="D3514">
        <v>14.807600000000001</v>
      </c>
      <c r="E3514">
        <f>-15.9076-14.8076</f>
        <v>-30.715200000000003</v>
      </c>
      <c r="F3514" t="s">
        <v>5605</v>
      </c>
      <c r="G3514" t="s">
        <v>39</v>
      </c>
      <c r="H3514">
        <v>2003</v>
      </c>
      <c r="I3514">
        <v>26.799999237060501</v>
      </c>
      <c r="J3514">
        <v>15.8999996185303</v>
      </c>
      <c r="K3514">
        <v>66</v>
      </c>
      <c r="L3514">
        <v>19.2399997711182</v>
      </c>
      <c r="M3514">
        <v>38.200000762939503</v>
      </c>
      <c r="N3514">
        <v>14.199999809265099</v>
      </c>
      <c r="O3514">
        <v>24</v>
      </c>
      <c r="P3514">
        <v>27.600000381469702</v>
      </c>
      <c r="Q3514">
        <v>26.299999237060501</v>
      </c>
      <c r="R3514">
        <v>28.899999618530298</v>
      </c>
      <c r="S3514">
        <v>23.799999237060501</v>
      </c>
      <c r="T3514">
        <v>504.04020100502498</v>
      </c>
      <c r="U3514">
        <v>184</v>
      </c>
      <c r="V3514">
        <v>0</v>
      </c>
      <c r="W3514">
        <v>145</v>
      </c>
      <c r="X3514">
        <v>434.04020100502498</v>
      </c>
      <c r="Y3514">
        <v>0</v>
      </c>
      <c r="Z3514">
        <v>140</v>
      </c>
      <c r="AA3514">
        <v>2</v>
      </c>
      <c r="AB3514">
        <v>5.8685083756694496</v>
      </c>
      <c r="AC3514">
        <v>1.0070105637088E-2</v>
      </c>
      <c r="AD3514">
        <v>0.95985447601657004</v>
      </c>
      <c r="AE3514">
        <v>0.91374790668487504</v>
      </c>
      <c r="AF3514">
        <v>41.824120603015103</v>
      </c>
      <c r="AG3514">
        <f>IFERROR(AH3514*0.1, "N/A")</f>
        <v>6.4289782244556095</v>
      </c>
      <c r="AH3514">
        <v>64.289782244556093</v>
      </c>
      <c r="AI3514">
        <v>133.50615331755199</v>
      </c>
      <c r="AJ3514">
        <v>19.989949748743701</v>
      </c>
      <c r="AK3514">
        <v>65.413735343383607</v>
      </c>
    </row>
    <row r="3515" spans="1:37" x14ac:dyDescent="0.3">
      <c r="A3515">
        <v>3514</v>
      </c>
      <c r="B3515">
        <v>0</v>
      </c>
      <c r="C3515">
        <v>-14.4</v>
      </c>
      <c r="D3515">
        <v>14.816700000000001</v>
      </c>
      <c r="E3515">
        <f>-14.4-14.8167</f>
        <v>-29.216700000000003</v>
      </c>
      <c r="F3515" t="s">
        <v>5606</v>
      </c>
      <c r="G3515" t="s">
        <v>39</v>
      </c>
      <c r="H3515">
        <v>2003</v>
      </c>
      <c r="I3515">
        <v>28.270568248021601</v>
      </c>
      <c r="J3515">
        <v>15.3999996185303</v>
      </c>
      <c r="K3515">
        <v>60</v>
      </c>
      <c r="L3515">
        <v>22.761170891216398</v>
      </c>
      <c r="M3515">
        <v>40.542474268272201</v>
      </c>
      <c r="N3515">
        <v>15.242474887682</v>
      </c>
      <c r="O3515">
        <v>25.299999237060501</v>
      </c>
      <c r="P3515">
        <v>28.2199001248465</v>
      </c>
      <c r="Q3515">
        <v>27.607859994256799</v>
      </c>
      <c r="R3515">
        <v>31.200000762939499</v>
      </c>
      <c r="S3515">
        <v>25.142475459886601</v>
      </c>
      <c r="T3515">
        <v>550.06856187290998</v>
      </c>
      <c r="U3515">
        <v>177</v>
      </c>
      <c r="V3515">
        <v>0</v>
      </c>
      <c r="W3515">
        <v>137.80100334448201</v>
      </c>
      <c r="X3515">
        <v>448.57525083612001</v>
      </c>
      <c r="Y3515">
        <v>1</v>
      </c>
      <c r="Z3515">
        <v>49</v>
      </c>
      <c r="AA3515">
        <v>1.4933110367893001</v>
      </c>
      <c r="AB3515">
        <v>1.14816057083997</v>
      </c>
      <c r="AC3515">
        <v>1.1560069253810999E-2</v>
      </c>
      <c r="AD3515">
        <v>0.81703358320488195</v>
      </c>
      <c r="AE3515">
        <v>0.60187911987304699</v>
      </c>
      <c r="AF3515">
        <v>26.772575250836098</v>
      </c>
      <c r="AG3515">
        <f>IFERROR(AH3515*0.1, "N/A")</f>
        <v>6.0003344481605403</v>
      </c>
      <c r="AH3515">
        <v>60.003344481605403</v>
      </c>
      <c r="AI3515">
        <v>139.27563500803001</v>
      </c>
      <c r="AJ3515">
        <v>13.9983277591973</v>
      </c>
      <c r="AK3515">
        <v>63.988294314381299</v>
      </c>
    </row>
    <row r="3516" spans="1:37" x14ac:dyDescent="0.3">
      <c r="A3516">
        <v>3515</v>
      </c>
      <c r="B3516">
        <v>0</v>
      </c>
      <c r="C3516">
        <v>-14.4</v>
      </c>
      <c r="D3516">
        <v>14.816700000000001</v>
      </c>
      <c r="E3516">
        <f>-14.4-14.8167</f>
        <v>-29.216700000000003</v>
      </c>
      <c r="F3516" t="s">
        <v>5607</v>
      </c>
      <c r="G3516" t="s">
        <v>37</v>
      </c>
      <c r="H3516">
        <v>2003</v>
      </c>
      <c r="I3516">
        <v>28.270568248021601</v>
      </c>
      <c r="J3516">
        <v>15.3999996185303</v>
      </c>
      <c r="K3516">
        <v>60</v>
      </c>
      <c r="L3516">
        <v>22.761170891216398</v>
      </c>
      <c r="M3516">
        <v>40.542474268272201</v>
      </c>
      <c r="N3516">
        <v>15.242474887682</v>
      </c>
      <c r="O3516">
        <v>25.299999237060501</v>
      </c>
      <c r="P3516">
        <v>28.2199001248465</v>
      </c>
      <c r="Q3516">
        <v>27.607859994256799</v>
      </c>
      <c r="R3516">
        <v>31.200000762939499</v>
      </c>
      <c r="S3516">
        <v>25.142475459886601</v>
      </c>
      <c r="T3516">
        <v>550.06856187290998</v>
      </c>
      <c r="U3516">
        <v>177</v>
      </c>
      <c r="V3516">
        <v>0</v>
      </c>
      <c r="W3516">
        <v>137.80100334448201</v>
      </c>
      <c r="X3516">
        <v>448.57525083612001</v>
      </c>
      <c r="Y3516">
        <v>1</v>
      </c>
      <c r="Z3516">
        <v>49</v>
      </c>
      <c r="AA3516">
        <v>1.4933110367893001</v>
      </c>
      <c r="AB3516">
        <v>1.14816057083997</v>
      </c>
      <c r="AC3516">
        <v>1.1560069253810999E-2</v>
      </c>
      <c r="AD3516">
        <v>0.81703358320488195</v>
      </c>
      <c r="AE3516">
        <v>0.60187911987304699</v>
      </c>
      <c r="AF3516">
        <v>26.772575250836098</v>
      </c>
      <c r="AG3516">
        <f>IFERROR(AH3516*0.1, "N/A")</f>
        <v>6.0003344481605403</v>
      </c>
      <c r="AH3516">
        <v>60.003344481605403</v>
      </c>
      <c r="AI3516">
        <v>139.27563500803001</v>
      </c>
      <c r="AJ3516">
        <v>13.9983277591973</v>
      </c>
      <c r="AK3516">
        <v>63.988294314381299</v>
      </c>
    </row>
    <row r="3517" spans="1:37" x14ac:dyDescent="0.3">
      <c r="A3517">
        <v>3516</v>
      </c>
      <c r="B3517">
        <v>14.4</v>
      </c>
      <c r="C3517">
        <v>-16.666699999999999</v>
      </c>
      <c r="D3517">
        <v>14.816700000000001</v>
      </c>
      <c r="E3517">
        <f>-16.6667-14.8167</f>
        <v>-31.4834</v>
      </c>
      <c r="F3517" t="s">
        <v>5608</v>
      </c>
      <c r="G3517" t="s">
        <v>39</v>
      </c>
      <c r="H3517">
        <v>1958</v>
      </c>
      <c r="I3517">
        <v>26.1173627181523</v>
      </c>
      <c r="J3517">
        <v>14.0173623366826</v>
      </c>
      <c r="K3517">
        <v>70</v>
      </c>
      <c r="L3517">
        <v>15.8786310425187</v>
      </c>
      <c r="M3517">
        <v>34.5</v>
      </c>
      <c r="N3517">
        <v>14.6000003814697</v>
      </c>
      <c r="O3517">
        <v>19.899999618530298</v>
      </c>
      <c r="P3517">
        <v>27.317361573743099</v>
      </c>
      <c r="Q3517">
        <v>24.169950564834998</v>
      </c>
      <c r="R3517">
        <v>27.6173627181523</v>
      </c>
      <c r="S3517">
        <v>23.700000762939499</v>
      </c>
      <c r="T3517">
        <v>517.47078464106801</v>
      </c>
      <c r="U3517">
        <v>204.14858096827999</v>
      </c>
      <c r="V3517">
        <v>0</v>
      </c>
      <c r="W3517">
        <v>154.85141903172001</v>
      </c>
      <c r="X3517">
        <v>455.89649415692799</v>
      </c>
      <c r="Y3517">
        <v>1</v>
      </c>
      <c r="Z3517">
        <v>320.72287145242097</v>
      </c>
      <c r="AA3517">
        <v>1</v>
      </c>
      <c r="AB3517">
        <v>1.0357258912916001</v>
      </c>
      <c r="AC3517">
        <v>0.141061317654504</v>
      </c>
      <c r="AD3517">
        <v>1.0636790297266201</v>
      </c>
      <c r="AE3517">
        <v>0.68056905518390098</v>
      </c>
      <c r="AF3517">
        <v>22.8430717863105</v>
      </c>
      <c r="AG3517">
        <f>IFERROR(AH3517*0.1, "N/A")</f>
        <v>6.0297161936560899</v>
      </c>
      <c r="AH3517">
        <v>60.297161936560897</v>
      </c>
      <c r="AI3517">
        <v>144.16171376733001</v>
      </c>
      <c r="AJ3517">
        <v>9.7011686143572593</v>
      </c>
      <c r="AK3517">
        <v>82.597662771285499</v>
      </c>
    </row>
    <row r="3518" spans="1:37" x14ac:dyDescent="0.3">
      <c r="A3518">
        <v>3517</v>
      </c>
      <c r="B3518">
        <v>1.4</v>
      </c>
      <c r="C3518">
        <v>-15.8833</v>
      </c>
      <c r="D3518">
        <v>14.833299999999999</v>
      </c>
      <c r="E3518">
        <f>-15.8833-14.8333</f>
        <v>-30.7166</v>
      </c>
      <c r="F3518" t="s">
        <v>5609</v>
      </c>
      <c r="G3518" t="s">
        <v>39</v>
      </c>
      <c r="H3518">
        <v>1996</v>
      </c>
      <c r="I3518">
        <v>26.799999237060501</v>
      </c>
      <c r="J3518">
        <v>15.828046774824401</v>
      </c>
      <c r="K3518">
        <v>65.509181969949907</v>
      </c>
      <c r="L3518">
        <v>19.0890151296116</v>
      </c>
      <c r="M3518">
        <v>38.1490814005194</v>
      </c>
      <c r="N3518">
        <v>14.207178467701199</v>
      </c>
      <c r="O3518">
        <v>23.9419029503314</v>
      </c>
      <c r="P3518">
        <v>27.528046851564099</v>
      </c>
      <c r="Q3518">
        <v>26.299999237060501</v>
      </c>
      <c r="R3518">
        <v>28.849081227297798</v>
      </c>
      <c r="S3518">
        <v>23.799999237060501</v>
      </c>
      <c r="T3518">
        <v>495.824707846411</v>
      </c>
      <c r="U3518">
        <v>179.87646076794701</v>
      </c>
      <c r="V3518">
        <v>0</v>
      </c>
      <c r="W3518">
        <v>145.87646076794701</v>
      </c>
      <c r="X3518">
        <v>426.824707846411</v>
      </c>
      <c r="Y3518">
        <v>0</v>
      </c>
      <c r="Z3518">
        <v>137.22871452420699</v>
      </c>
      <c r="AA3518">
        <v>2</v>
      </c>
      <c r="AB3518">
        <v>3.4350590841201001</v>
      </c>
      <c r="AC3518">
        <v>5.8044482314825001E-2</v>
      </c>
      <c r="AD3518">
        <v>1.60186583589831</v>
      </c>
      <c r="AE3518">
        <v>0.92241814080781204</v>
      </c>
      <c r="AF3518">
        <v>43.767946577629402</v>
      </c>
      <c r="AG3518">
        <f>IFERROR(AH3518*0.1, "N/A")</f>
        <v>6.7</v>
      </c>
      <c r="AH3518">
        <v>67</v>
      </c>
      <c r="AI3518">
        <v>223.01333771006699</v>
      </c>
      <c r="AJ3518">
        <v>17.647746243739601</v>
      </c>
      <c r="AK3518">
        <v>65.704507512520905</v>
      </c>
    </row>
    <row r="3519" spans="1:37" x14ac:dyDescent="0.3">
      <c r="A3519">
        <v>3518</v>
      </c>
      <c r="B3519">
        <v>0</v>
      </c>
      <c r="C3519">
        <v>-15.8833</v>
      </c>
      <c r="D3519">
        <v>14.833299999999999</v>
      </c>
      <c r="E3519">
        <f>-15.8833-14.8333</f>
        <v>-30.7166</v>
      </c>
      <c r="F3519" t="s">
        <v>5610</v>
      </c>
      <c r="G3519" t="s">
        <v>37</v>
      </c>
      <c r="H3519">
        <v>1996</v>
      </c>
      <c r="I3519">
        <v>26.799999237060501</v>
      </c>
      <c r="J3519">
        <v>15.828046774824401</v>
      </c>
      <c r="K3519">
        <v>65.509181969949907</v>
      </c>
      <c r="L3519">
        <v>19.0890151296116</v>
      </c>
      <c r="M3519">
        <v>38.1490814005194</v>
      </c>
      <c r="N3519">
        <v>14.207178467701199</v>
      </c>
      <c r="O3519">
        <v>23.9419029503314</v>
      </c>
      <c r="P3519">
        <v>27.528046851564099</v>
      </c>
      <c r="Q3519">
        <v>26.299999237060501</v>
      </c>
      <c r="R3519">
        <v>28.849081227297798</v>
      </c>
      <c r="S3519">
        <v>23.799999237060501</v>
      </c>
      <c r="T3519">
        <v>495.824707846411</v>
      </c>
      <c r="U3519">
        <v>179.87646076794701</v>
      </c>
      <c r="V3519">
        <v>0</v>
      </c>
      <c r="W3519">
        <v>145.87646076794701</v>
      </c>
      <c r="X3519">
        <v>426.824707846411</v>
      </c>
      <c r="Y3519">
        <v>0</v>
      </c>
      <c r="Z3519">
        <v>137.22871452420699</v>
      </c>
      <c r="AA3519">
        <v>2</v>
      </c>
      <c r="AB3519">
        <v>3.4350590841201001</v>
      </c>
      <c r="AC3519">
        <v>5.8044482314825001E-2</v>
      </c>
      <c r="AD3519">
        <v>1.60186583589831</v>
      </c>
      <c r="AE3519">
        <v>0.92241814080781204</v>
      </c>
      <c r="AF3519">
        <v>43.767946577629402</v>
      </c>
      <c r="AG3519">
        <f>IFERROR(AH3519*0.1, "N/A")</f>
        <v>6.7</v>
      </c>
      <c r="AH3519">
        <v>67</v>
      </c>
      <c r="AI3519">
        <v>223.01333771006699</v>
      </c>
      <c r="AJ3519">
        <v>17.647746243739601</v>
      </c>
      <c r="AK3519">
        <v>65.704507512520905</v>
      </c>
    </row>
    <row r="3520" spans="1:37" x14ac:dyDescent="0.3">
      <c r="A3520">
        <v>3519</v>
      </c>
      <c r="B3520">
        <v>1.6</v>
      </c>
      <c r="C3520">
        <v>-12.3992</v>
      </c>
      <c r="D3520">
        <v>14.8415</v>
      </c>
      <c r="E3520">
        <f>-12.3992-14.8415</f>
        <v>-27.2407</v>
      </c>
      <c r="F3520" t="s">
        <v>5611</v>
      </c>
      <c r="G3520" t="s">
        <v>39</v>
      </c>
      <c r="H3520">
        <v>2004</v>
      </c>
      <c r="I3520">
        <v>28.700000762939499</v>
      </c>
      <c r="J3520">
        <v>14.699999809265099</v>
      </c>
      <c r="K3520">
        <v>59</v>
      </c>
      <c r="L3520">
        <v>25.104850177764899</v>
      </c>
      <c r="M3520">
        <v>40.700000762939503</v>
      </c>
      <c r="N3520">
        <v>15.9834999370575</v>
      </c>
      <c r="O3520">
        <v>24.7165005111694</v>
      </c>
      <c r="P3520">
        <v>27.899999618530298</v>
      </c>
      <c r="Q3520">
        <v>27.2834994888306</v>
      </c>
      <c r="R3520">
        <v>32.200000762939503</v>
      </c>
      <c r="S3520">
        <v>25.600000381469702</v>
      </c>
      <c r="T3520">
        <v>518.83500000000004</v>
      </c>
      <c r="U3520">
        <v>179</v>
      </c>
      <c r="V3520">
        <v>0</v>
      </c>
      <c r="W3520">
        <v>137</v>
      </c>
      <c r="X3520">
        <v>425</v>
      </c>
      <c r="Y3520">
        <v>1</v>
      </c>
      <c r="Z3520">
        <v>57.835000000000001</v>
      </c>
      <c r="AA3520">
        <v>2</v>
      </c>
      <c r="AB3520">
        <v>7.78066658655802</v>
      </c>
      <c r="AC3520">
        <v>1.2319508578317999E-2</v>
      </c>
      <c r="AD3520">
        <v>2.0866361262401001</v>
      </c>
      <c r="AE3520">
        <v>0.41451081633567799</v>
      </c>
      <c r="AF3520">
        <v>25.27</v>
      </c>
      <c r="AG3520">
        <f>IFERROR(AH3520*0.1, "N/A")</f>
        <v>5.9293333333333305</v>
      </c>
      <c r="AH3520">
        <v>59.293333333333301</v>
      </c>
      <c r="AI3520">
        <v>179.810879764557</v>
      </c>
      <c r="AJ3520">
        <v>24.1466666666667</v>
      </c>
      <c r="AK3520">
        <v>54.853333333333303</v>
      </c>
    </row>
    <row r="3521" spans="1:37" x14ac:dyDescent="0.3">
      <c r="A3521">
        <v>3520</v>
      </c>
      <c r="B3521">
        <v>1.2</v>
      </c>
      <c r="C3521">
        <v>-16.2166</v>
      </c>
      <c r="D3521">
        <v>14.8833</v>
      </c>
      <c r="E3521">
        <f>-16.2166-14.8833</f>
        <v>-31.099899999999998</v>
      </c>
      <c r="F3521" t="s">
        <v>5612</v>
      </c>
      <c r="G3521" t="s">
        <v>39</v>
      </c>
      <c r="H3521">
        <v>1996</v>
      </c>
      <c r="I3521">
        <v>26.831103034641401</v>
      </c>
      <c r="J3521">
        <v>15.446989764337999</v>
      </c>
      <c r="K3521">
        <v>67</v>
      </c>
      <c r="L3521">
        <v>17.932090571094101</v>
      </c>
      <c r="M3521">
        <v>37.264381051462202</v>
      </c>
      <c r="N3521">
        <v>14.3999996185303</v>
      </c>
      <c r="O3521">
        <v>22.864380753558599</v>
      </c>
      <c r="P3521">
        <v>27.799999237060501</v>
      </c>
      <c r="Q3521">
        <v>26.131104179050599</v>
      </c>
      <c r="R3521">
        <v>28.615886729696498</v>
      </c>
      <c r="S3521">
        <v>23.982608629309599</v>
      </c>
      <c r="T3521">
        <v>502.23578595317701</v>
      </c>
      <c r="U3521">
        <v>183.46989966555199</v>
      </c>
      <c r="V3521">
        <v>0</v>
      </c>
      <c r="W3521">
        <v>148.416387959866</v>
      </c>
      <c r="X3521">
        <v>434.93979933110398</v>
      </c>
      <c r="Y3521">
        <v>0</v>
      </c>
      <c r="Z3521">
        <v>128.11371237458201</v>
      </c>
      <c r="AA3521">
        <v>2</v>
      </c>
      <c r="AB3521">
        <v>0.13495097590928101</v>
      </c>
      <c r="AC3521">
        <v>0.354785619020138</v>
      </c>
      <c r="AD3521">
        <v>1.2850615882554599</v>
      </c>
      <c r="AE3521">
        <v>0.71823576620988605</v>
      </c>
      <c r="AF3521">
        <v>33.312709030100301</v>
      </c>
      <c r="AG3521">
        <f>IFERROR(AH3521*0.1, "N/A")</f>
        <v>5.36655518394649</v>
      </c>
      <c r="AH3521">
        <v>53.665551839464896</v>
      </c>
      <c r="AI3521">
        <v>127.181262395852</v>
      </c>
      <c r="AJ3521">
        <v>5.6655518394648796</v>
      </c>
      <c r="AK3521">
        <v>87.336120401337794</v>
      </c>
    </row>
    <row r="3522" spans="1:37" x14ac:dyDescent="0.3">
      <c r="A3522">
        <v>3521</v>
      </c>
      <c r="B3522">
        <v>0</v>
      </c>
      <c r="C3522">
        <v>-16.2166</v>
      </c>
      <c r="D3522">
        <v>14.8833</v>
      </c>
      <c r="E3522">
        <f>-16.2166-14.8833</f>
        <v>-31.099899999999998</v>
      </c>
      <c r="F3522" t="s">
        <v>5613</v>
      </c>
      <c r="G3522" t="s">
        <v>37</v>
      </c>
      <c r="H3522">
        <v>1996</v>
      </c>
      <c r="I3522">
        <v>26.831103034641401</v>
      </c>
      <c r="J3522">
        <v>15.446989764337999</v>
      </c>
      <c r="K3522">
        <v>67</v>
      </c>
      <c r="L3522">
        <v>17.932090571094101</v>
      </c>
      <c r="M3522">
        <v>37.264381051462202</v>
      </c>
      <c r="N3522">
        <v>14.3999996185303</v>
      </c>
      <c r="O3522">
        <v>22.864380753558599</v>
      </c>
      <c r="P3522">
        <v>27.799999237060501</v>
      </c>
      <c r="Q3522">
        <v>26.131104179050599</v>
      </c>
      <c r="R3522">
        <v>28.615886729696498</v>
      </c>
      <c r="S3522">
        <v>23.982608629309599</v>
      </c>
      <c r="T3522">
        <v>502.23578595317701</v>
      </c>
      <c r="U3522">
        <v>183.46989966555199</v>
      </c>
      <c r="V3522">
        <v>0</v>
      </c>
      <c r="W3522">
        <v>148.416387959866</v>
      </c>
      <c r="X3522">
        <v>434.93979933110398</v>
      </c>
      <c r="Y3522">
        <v>0</v>
      </c>
      <c r="Z3522">
        <v>128.11371237458201</v>
      </c>
      <c r="AA3522">
        <v>2</v>
      </c>
      <c r="AB3522">
        <v>0.13495097590928101</v>
      </c>
      <c r="AC3522">
        <v>0.354785619020138</v>
      </c>
      <c r="AD3522">
        <v>1.2850615882554599</v>
      </c>
      <c r="AE3522">
        <v>0.71823576620988605</v>
      </c>
      <c r="AF3522">
        <v>33.312709030100301</v>
      </c>
      <c r="AG3522">
        <f>IFERROR(AH3522*0.1, "N/A")</f>
        <v>5.36655518394649</v>
      </c>
      <c r="AH3522">
        <v>53.665551839464896</v>
      </c>
      <c r="AI3522">
        <v>127.181262395852</v>
      </c>
      <c r="AJ3522">
        <v>5.6655518394648796</v>
      </c>
      <c r="AK3522">
        <v>87.336120401337794</v>
      </c>
    </row>
    <row r="3523" spans="1:37" x14ac:dyDescent="0.3">
      <c r="A3523">
        <v>3522</v>
      </c>
      <c r="B3523">
        <v>4</v>
      </c>
      <c r="C3523">
        <v>-16.667000000000002</v>
      </c>
      <c r="D3523">
        <v>14.9</v>
      </c>
      <c r="E3523">
        <f>-16.667-14.9</f>
        <v>-31.567</v>
      </c>
      <c r="F3523" t="s">
        <v>5614</v>
      </c>
      <c r="G3523" t="s">
        <v>39</v>
      </c>
      <c r="H3523">
        <v>1987</v>
      </c>
      <c r="I3523">
        <v>26</v>
      </c>
      <c r="J3523">
        <v>13.776794759976401</v>
      </c>
      <c r="K3523">
        <v>70</v>
      </c>
      <c r="L3523">
        <v>15.946694780072701</v>
      </c>
      <c r="M3523">
        <v>34.207847053897197</v>
      </c>
      <c r="N3523">
        <v>14.623205590924799</v>
      </c>
      <c r="O3523">
        <v>19.584641391327501</v>
      </c>
      <c r="P3523">
        <v>27.299999237060501</v>
      </c>
      <c r="Q3523">
        <v>24.068948510095201</v>
      </c>
      <c r="R3523">
        <v>27.600000381469702</v>
      </c>
      <c r="S3523">
        <v>23.592153940853599</v>
      </c>
      <c r="T3523">
        <v>474.455759599332</v>
      </c>
      <c r="U3523">
        <v>181.609348914858</v>
      </c>
      <c r="V3523">
        <v>0</v>
      </c>
      <c r="W3523">
        <v>154.53088480801301</v>
      </c>
      <c r="X3523">
        <v>419.455759599332</v>
      </c>
      <c r="Y3523">
        <v>0</v>
      </c>
      <c r="Z3523">
        <v>289.68781302170299</v>
      </c>
      <c r="AA3523">
        <v>0</v>
      </c>
      <c r="AB3523">
        <v>3.84207015761947</v>
      </c>
      <c r="AC3523">
        <v>1.5579686304227999E-2</v>
      </c>
      <c r="AD3523">
        <v>0.94600788639463396</v>
      </c>
      <c r="AE3523">
        <v>0.38905976625635103</v>
      </c>
      <c r="AF3523">
        <v>26.629382303839702</v>
      </c>
      <c r="AG3523">
        <f>IFERROR(AH3523*0.1, "N/A")</f>
        <v>5.9759599332220397</v>
      </c>
      <c r="AH3523">
        <v>59.759599332220397</v>
      </c>
      <c r="AI3523">
        <v>164.08506157800201</v>
      </c>
      <c r="AJ3523">
        <v>9.5141903171953306</v>
      </c>
      <c r="AK3523">
        <v>83.8881469115192</v>
      </c>
    </row>
    <row r="3524" spans="1:37" x14ac:dyDescent="0.3">
      <c r="A3524">
        <v>3523</v>
      </c>
      <c r="B3524">
        <v>0</v>
      </c>
      <c r="C3524">
        <v>-16.667000000000002</v>
      </c>
      <c r="D3524">
        <v>14.9</v>
      </c>
      <c r="E3524">
        <f>-16.667-14.9</f>
        <v>-31.567</v>
      </c>
      <c r="F3524" t="s">
        <v>5615</v>
      </c>
      <c r="G3524" t="s">
        <v>37</v>
      </c>
      <c r="H3524">
        <v>1987</v>
      </c>
      <c r="I3524">
        <v>26</v>
      </c>
      <c r="J3524">
        <v>13.776794759976401</v>
      </c>
      <c r="K3524">
        <v>70</v>
      </c>
      <c r="L3524">
        <v>15.946694780072701</v>
      </c>
      <c r="M3524">
        <v>34.207847053897197</v>
      </c>
      <c r="N3524">
        <v>14.623205590924799</v>
      </c>
      <c r="O3524">
        <v>19.584641391327501</v>
      </c>
      <c r="P3524">
        <v>27.299999237060501</v>
      </c>
      <c r="Q3524">
        <v>24.068948510095201</v>
      </c>
      <c r="R3524">
        <v>27.600000381469702</v>
      </c>
      <c r="S3524">
        <v>23.592153940853599</v>
      </c>
      <c r="T3524">
        <v>474.455759599332</v>
      </c>
      <c r="U3524">
        <v>181.609348914858</v>
      </c>
      <c r="V3524">
        <v>0</v>
      </c>
      <c r="W3524">
        <v>154.53088480801301</v>
      </c>
      <c r="X3524">
        <v>419.455759599332</v>
      </c>
      <c r="Y3524">
        <v>0</v>
      </c>
      <c r="Z3524">
        <v>289.68781302170299</v>
      </c>
      <c r="AA3524">
        <v>0</v>
      </c>
      <c r="AB3524">
        <v>3.84207015761947</v>
      </c>
      <c r="AC3524">
        <v>1.5579686304227999E-2</v>
      </c>
      <c r="AD3524">
        <v>0.94600788639463396</v>
      </c>
      <c r="AE3524">
        <v>0.38905976625635103</v>
      </c>
      <c r="AF3524">
        <v>26.629382303839702</v>
      </c>
      <c r="AG3524">
        <f>IFERROR(AH3524*0.1, "N/A")</f>
        <v>5.9759599332220397</v>
      </c>
      <c r="AH3524">
        <v>59.759599332220397</v>
      </c>
      <c r="AI3524">
        <v>164.08506157800201</v>
      </c>
      <c r="AJ3524">
        <v>9.5141903171953306</v>
      </c>
      <c r="AK3524">
        <v>83.8881469115192</v>
      </c>
    </row>
    <row r="3525" spans="1:37" x14ac:dyDescent="0.3">
      <c r="A3525">
        <v>3524</v>
      </c>
      <c r="B3525">
        <v>21.5</v>
      </c>
      <c r="C3525">
        <v>-12.4574</v>
      </c>
      <c r="D3525">
        <v>14.900700000000001</v>
      </c>
      <c r="E3525">
        <f>-12.4574-14.9007</f>
        <v>-27.3581</v>
      </c>
      <c r="F3525" t="s">
        <v>5616</v>
      </c>
      <c r="G3525" t="s">
        <v>39</v>
      </c>
      <c r="H3525">
        <v>2005</v>
      </c>
      <c r="I3525">
        <v>28.600000381469702</v>
      </c>
      <c r="J3525">
        <v>14.699999809265099</v>
      </c>
      <c r="K3525">
        <v>59</v>
      </c>
      <c r="L3525">
        <v>25.0200004577637</v>
      </c>
      <c r="M3525">
        <v>40.599998474121101</v>
      </c>
      <c r="N3525">
        <v>15.8999996185303</v>
      </c>
      <c r="O3525">
        <v>24.700000762939499</v>
      </c>
      <c r="P3525">
        <v>27.8790965287582</v>
      </c>
      <c r="Q3525">
        <v>27.100000381469702</v>
      </c>
      <c r="R3525">
        <v>32.200000762939503</v>
      </c>
      <c r="S3525">
        <v>25.5</v>
      </c>
      <c r="T3525">
        <v>519.62709030100302</v>
      </c>
      <c r="U3525">
        <v>176.20903010033399</v>
      </c>
      <c r="V3525">
        <v>0</v>
      </c>
      <c r="W3525">
        <v>137.20903010033399</v>
      </c>
      <c r="X3525">
        <v>426.418060200669</v>
      </c>
      <c r="Y3525">
        <v>1</v>
      </c>
      <c r="Z3525">
        <v>57</v>
      </c>
      <c r="AA3525">
        <v>2</v>
      </c>
      <c r="AB3525">
        <v>4.4433111777672396</v>
      </c>
      <c r="AC3525">
        <v>5.4378031120700998E-2</v>
      </c>
      <c r="AD3525">
        <v>1.9289665322838001</v>
      </c>
      <c r="AE3525">
        <v>0.59095952373284599</v>
      </c>
      <c r="AF3525">
        <v>25.107023411371198</v>
      </c>
      <c r="AG3525">
        <f>IFERROR(AH3525*0.1, "N/A")</f>
        <v>6.5</v>
      </c>
      <c r="AH3525">
        <v>65</v>
      </c>
      <c r="AI3525">
        <v>150.43815569734099</v>
      </c>
      <c r="AJ3525">
        <v>27.115384615384599</v>
      </c>
      <c r="AK3525">
        <v>52</v>
      </c>
    </row>
    <row r="3526" spans="1:37" x14ac:dyDescent="0.3">
      <c r="A3526">
        <v>3525</v>
      </c>
      <c r="B3526">
        <v>22</v>
      </c>
      <c r="C3526">
        <v>-12.458</v>
      </c>
      <c r="D3526">
        <v>14.903</v>
      </c>
      <c r="E3526">
        <f>-12.458-14.903</f>
        <v>-27.361000000000001</v>
      </c>
      <c r="F3526" t="s">
        <v>5617</v>
      </c>
      <c r="G3526" t="s">
        <v>39</v>
      </c>
      <c r="H3526">
        <v>1987</v>
      </c>
      <c r="I3526">
        <v>28.600000381469702</v>
      </c>
      <c r="J3526">
        <v>14.699999809265099</v>
      </c>
      <c r="K3526">
        <v>59</v>
      </c>
      <c r="L3526">
        <v>25.023049020687299</v>
      </c>
      <c r="M3526">
        <v>40.602176078400198</v>
      </c>
      <c r="N3526">
        <v>15.8999996185303</v>
      </c>
      <c r="O3526">
        <v>24.702178284151501</v>
      </c>
      <c r="P3526">
        <v>27.899999618530298</v>
      </c>
      <c r="Q3526">
        <v>27.100000381469702</v>
      </c>
      <c r="R3526">
        <v>32.200000762939503</v>
      </c>
      <c r="S3526">
        <v>25.5</v>
      </c>
      <c r="T3526">
        <v>519.04355108877701</v>
      </c>
      <c r="U3526">
        <v>176</v>
      </c>
      <c r="V3526">
        <v>0</v>
      </c>
      <c r="W3526">
        <v>137</v>
      </c>
      <c r="X3526">
        <v>426.02177554438902</v>
      </c>
      <c r="Y3526">
        <v>1</v>
      </c>
      <c r="Z3526">
        <v>57</v>
      </c>
      <c r="AA3526">
        <v>2</v>
      </c>
      <c r="AB3526">
        <v>4.6479059759296604</v>
      </c>
      <c r="AC3526">
        <v>1.3596371363791999E-2</v>
      </c>
      <c r="AD3526">
        <v>3.1325897844991899</v>
      </c>
      <c r="AE3526">
        <v>0.62762331962585405</v>
      </c>
      <c r="AF3526">
        <v>25.0586264656616</v>
      </c>
      <c r="AG3526">
        <f>IFERROR(AH3526*0.1, "N/A")</f>
        <v>6.3554438860971505</v>
      </c>
      <c r="AH3526">
        <v>63.554438860971501</v>
      </c>
      <c r="AI3526">
        <v>266.38894875684599</v>
      </c>
      <c r="AJ3526">
        <v>28.936348408710199</v>
      </c>
      <c r="AK3526">
        <v>50.149078726968199</v>
      </c>
    </row>
    <row r="3527" spans="1:37" x14ac:dyDescent="0.3">
      <c r="A3527">
        <v>3526</v>
      </c>
      <c r="B3527">
        <v>67.199996999999996</v>
      </c>
      <c r="C3527">
        <v>-12.5181</v>
      </c>
      <c r="D3527">
        <v>14.907299999999999</v>
      </c>
      <c r="E3527">
        <f>-12.5181-14.9073</f>
        <v>-27.4254</v>
      </c>
      <c r="F3527" t="s">
        <v>5618</v>
      </c>
      <c r="G3527" t="s">
        <v>39</v>
      </c>
      <c r="H3527">
        <v>1996</v>
      </c>
      <c r="I3527">
        <v>28.600000381469702</v>
      </c>
      <c r="J3527">
        <v>14.699999809265099</v>
      </c>
      <c r="K3527">
        <v>59</v>
      </c>
      <c r="L3527">
        <v>24.909999847412099</v>
      </c>
      <c r="M3527">
        <v>40.599998474121101</v>
      </c>
      <c r="N3527">
        <v>15.800000190734901</v>
      </c>
      <c r="O3527">
        <v>24.799999237060501</v>
      </c>
      <c r="P3527">
        <v>27.899999618530298</v>
      </c>
      <c r="Q3527">
        <v>27</v>
      </c>
      <c r="R3527">
        <v>32.099998474121101</v>
      </c>
      <c r="S3527">
        <v>25.5</v>
      </c>
      <c r="T3527">
        <v>534</v>
      </c>
      <c r="U3527">
        <v>178</v>
      </c>
      <c r="V3527">
        <v>0</v>
      </c>
      <c r="W3527">
        <v>137</v>
      </c>
      <c r="X3527">
        <v>436</v>
      </c>
      <c r="Y3527">
        <v>1</v>
      </c>
      <c r="Z3527">
        <v>60</v>
      </c>
      <c r="AA3527">
        <v>2</v>
      </c>
      <c r="AB3527">
        <v>1.8518399426769601</v>
      </c>
      <c r="AC3527">
        <v>3.1778115062759002E-2</v>
      </c>
      <c r="AD3527">
        <v>0.56988970162876496</v>
      </c>
      <c r="AE3527">
        <v>0.26831281185150102</v>
      </c>
      <c r="AF3527">
        <v>29.122073578595302</v>
      </c>
      <c r="AG3527">
        <f>IFERROR(AH3527*0.1, "N/A")</f>
        <v>6</v>
      </c>
      <c r="AH3527">
        <v>60</v>
      </c>
      <c r="AI3527">
        <v>107.61039642027799</v>
      </c>
      <c r="AJ3527">
        <v>12.994983277592</v>
      </c>
      <c r="AK3527">
        <v>72.381270903010005</v>
      </c>
    </row>
    <row r="3528" spans="1:37" x14ac:dyDescent="0.3">
      <c r="A3528">
        <v>3527</v>
      </c>
      <c r="B3528">
        <v>0</v>
      </c>
      <c r="C3528">
        <v>-12.5181</v>
      </c>
      <c r="D3528">
        <v>14.907299999999999</v>
      </c>
      <c r="E3528">
        <f>-12.5181-14.9073</f>
        <v>-27.4254</v>
      </c>
      <c r="F3528" t="s">
        <v>5619</v>
      </c>
      <c r="G3528" t="s">
        <v>37</v>
      </c>
      <c r="H3528">
        <v>1996</v>
      </c>
      <c r="I3528">
        <v>28.600000381469702</v>
      </c>
      <c r="J3528">
        <v>14.699999809265099</v>
      </c>
      <c r="K3528">
        <v>59</v>
      </c>
      <c r="L3528">
        <v>24.909999847412099</v>
      </c>
      <c r="M3528">
        <v>40.599998474121101</v>
      </c>
      <c r="N3528">
        <v>15.800000190734901</v>
      </c>
      <c r="O3528">
        <v>24.799999237060501</v>
      </c>
      <c r="P3528">
        <v>27.899999618530298</v>
      </c>
      <c r="Q3528">
        <v>27</v>
      </c>
      <c r="R3528">
        <v>32.099998474121101</v>
      </c>
      <c r="S3528">
        <v>25.5</v>
      </c>
      <c r="T3528">
        <v>534</v>
      </c>
      <c r="U3528">
        <v>178</v>
      </c>
      <c r="V3528">
        <v>0</v>
      </c>
      <c r="W3528">
        <v>137</v>
      </c>
      <c r="X3528">
        <v>436</v>
      </c>
      <c r="Y3528">
        <v>1</v>
      </c>
      <c r="Z3528">
        <v>60</v>
      </c>
      <c r="AA3528">
        <v>2</v>
      </c>
      <c r="AB3528">
        <v>1.8518399426769601</v>
      </c>
      <c r="AC3528">
        <v>3.1778115062759002E-2</v>
      </c>
      <c r="AD3528">
        <v>0.56988970162876496</v>
      </c>
      <c r="AE3528">
        <v>0.26831281185150102</v>
      </c>
      <c r="AF3528">
        <v>29.122073578595302</v>
      </c>
      <c r="AG3528">
        <f>IFERROR(AH3528*0.1, "N/A")</f>
        <v>6</v>
      </c>
      <c r="AH3528">
        <v>60</v>
      </c>
      <c r="AI3528">
        <v>107.61039642027799</v>
      </c>
      <c r="AJ3528">
        <v>12.994983277592</v>
      </c>
      <c r="AK3528">
        <v>72.381270903010005</v>
      </c>
    </row>
    <row r="3529" spans="1:37" x14ac:dyDescent="0.3">
      <c r="A3529">
        <v>3528</v>
      </c>
      <c r="B3529">
        <v>0</v>
      </c>
      <c r="C3529">
        <v>-16.766701000000001</v>
      </c>
      <c r="D3529">
        <v>14.933299999999999</v>
      </c>
      <c r="E3529">
        <f>-16.766701-14.9333</f>
        <v>-31.700001</v>
      </c>
      <c r="F3529" t="s">
        <v>5620</v>
      </c>
      <c r="G3529" t="s">
        <v>39</v>
      </c>
      <c r="H3529">
        <v>2001</v>
      </c>
      <c r="I3529">
        <v>25.799999237060501</v>
      </c>
      <c r="J3529">
        <v>13.1000003814697</v>
      </c>
      <c r="K3529">
        <v>68.031932773109304</v>
      </c>
      <c r="L3529">
        <v>16.015495832427199</v>
      </c>
      <c r="M3529">
        <v>33.796806008475201</v>
      </c>
      <c r="N3529">
        <v>14.803193449773699</v>
      </c>
      <c r="O3529">
        <v>18.9936134210154</v>
      </c>
      <c r="P3529">
        <v>27.200000762939499</v>
      </c>
      <c r="Q3529">
        <v>23.799999237060501</v>
      </c>
      <c r="R3529">
        <v>27.355125497769901</v>
      </c>
      <c r="S3529">
        <v>23.399999618530298</v>
      </c>
      <c r="T3529">
        <v>449.33949579831898</v>
      </c>
      <c r="U3529">
        <v>169.47731092436999</v>
      </c>
      <c r="V3529">
        <v>0</v>
      </c>
      <c r="W3529">
        <v>153.72268907563</v>
      </c>
      <c r="X3529">
        <v>397.16806722689103</v>
      </c>
      <c r="Y3529">
        <v>0</v>
      </c>
      <c r="Z3529">
        <v>269.44537815126102</v>
      </c>
      <c r="AA3529">
        <v>0</v>
      </c>
      <c r="AB3529">
        <v>1.0161363745937799</v>
      </c>
      <c r="AC3529">
        <v>2.2029796856291001E-2</v>
      </c>
      <c r="AD3529">
        <v>1.5127897905702301</v>
      </c>
      <c r="AE3529">
        <v>0.680738461217961</v>
      </c>
      <c r="AF3529">
        <v>37.151260504201701</v>
      </c>
      <c r="AG3529">
        <f>IFERROR(AH3529*0.1, "N/A")</f>
        <v>6.4902521008403404</v>
      </c>
      <c r="AH3529">
        <v>64.902521008403397</v>
      </c>
      <c r="AI3529">
        <v>145.686784888516</v>
      </c>
      <c r="AJ3529">
        <v>9.1949579831932802</v>
      </c>
      <c r="AK3529">
        <v>82.302521008403403</v>
      </c>
    </row>
    <row r="3530" spans="1:37" x14ac:dyDescent="0.3">
      <c r="A3530">
        <v>3529</v>
      </c>
      <c r="B3530">
        <v>0</v>
      </c>
      <c r="C3530">
        <v>-16.766701000000001</v>
      </c>
      <c r="D3530">
        <v>14.933299999999999</v>
      </c>
      <c r="E3530">
        <f>-16.766701-14.9333</f>
        <v>-31.700001</v>
      </c>
      <c r="F3530" t="s">
        <v>5621</v>
      </c>
      <c r="G3530" t="s">
        <v>37</v>
      </c>
      <c r="H3530">
        <v>2001</v>
      </c>
      <c r="I3530">
        <v>25.799999237060501</v>
      </c>
      <c r="J3530">
        <v>13.1000003814697</v>
      </c>
      <c r="K3530">
        <v>68.031932773109304</v>
      </c>
      <c r="L3530">
        <v>16.015495832427199</v>
      </c>
      <c r="M3530">
        <v>33.796806008475201</v>
      </c>
      <c r="N3530">
        <v>14.803193449773699</v>
      </c>
      <c r="O3530">
        <v>18.9936134210154</v>
      </c>
      <c r="P3530">
        <v>27.200000762939499</v>
      </c>
      <c r="Q3530">
        <v>23.799999237060501</v>
      </c>
      <c r="R3530">
        <v>27.355125497769901</v>
      </c>
      <c r="S3530">
        <v>23.399999618530298</v>
      </c>
      <c r="T3530">
        <v>449.33949579831898</v>
      </c>
      <c r="U3530">
        <v>169.47731092436999</v>
      </c>
      <c r="V3530">
        <v>0</v>
      </c>
      <c r="W3530">
        <v>153.72268907563</v>
      </c>
      <c r="X3530">
        <v>397.16806722689103</v>
      </c>
      <c r="Y3530">
        <v>0</v>
      </c>
      <c r="Z3530">
        <v>269.44537815126102</v>
      </c>
      <c r="AA3530">
        <v>0</v>
      </c>
      <c r="AB3530">
        <v>1.0161363745937799</v>
      </c>
      <c r="AC3530">
        <v>2.2029796856291001E-2</v>
      </c>
      <c r="AD3530">
        <v>1.5127897905702301</v>
      </c>
      <c r="AE3530">
        <v>0.680738461217961</v>
      </c>
      <c r="AF3530">
        <v>37.151260504201701</v>
      </c>
      <c r="AG3530">
        <f>IFERROR(AH3530*0.1, "N/A")</f>
        <v>6.4902521008403404</v>
      </c>
      <c r="AH3530">
        <v>64.902521008403397</v>
      </c>
      <c r="AI3530">
        <v>145.686784888516</v>
      </c>
      <c r="AJ3530">
        <v>9.1949579831932802</v>
      </c>
      <c r="AK3530">
        <v>82.302521008403403</v>
      </c>
    </row>
    <row r="3531" spans="1:37" x14ac:dyDescent="0.3">
      <c r="A3531">
        <v>3530</v>
      </c>
      <c r="B3531">
        <v>2</v>
      </c>
      <c r="C3531">
        <v>-16.983298999999999</v>
      </c>
      <c r="D3531">
        <v>14.933299999999999</v>
      </c>
      <c r="E3531">
        <f>-16.983299-14.9333</f>
        <v>-31.916598999999998</v>
      </c>
      <c r="F3531" t="s">
        <v>5622</v>
      </c>
      <c r="G3531" t="s">
        <v>39</v>
      </c>
      <c r="H3531">
        <v>1996</v>
      </c>
      <c r="I3531">
        <v>25.622987046337801</v>
      </c>
      <c r="J3531">
        <v>11.7441275423805</v>
      </c>
      <c r="K3531">
        <v>66.771812080536904</v>
      </c>
      <c r="L3531">
        <v>16.397500300567401</v>
      </c>
      <c r="M3531">
        <v>32.971980293325103</v>
      </c>
      <c r="N3531">
        <v>15.528020241116501</v>
      </c>
      <c r="O3531">
        <v>17.443959517766999</v>
      </c>
      <c r="P3531">
        <v>27.173825728013199</v>
      </c>
      <c r="Q3531">
        <v>24.222819206698599</v>
      </c>
      <c r="R3531">
        <v>27.245805433132499</v>
      </c>
      <c r="S3531">
        <v>23.299999237060501</v>
      </c>
      <c r="T3531">
        <v>453.44295302013398</v>
      </c>
      <c r="U3531">
        <v>178.72147651006699</v>
      </c>
      <c r="V3531">
        <v>0</v>
      </c>
      <c r="W3531">
        <v>157.72147651006699</v>
      </c>
      <c r="X3531">
        <v>401.44295302013398</v>
      </c>
      <c r="Y3531">
        <v>0</v>
      </c>
      <c r="Z3531">
        <v>271.72147651006702</v>
      </c>
      <c r="AA3531">
        <v>2</v>
      </c>
      <c r="AB3531">
        <v>5.7577199551883202</v>
      </c>
      <c r="AC3531">
        <v>1.1703663796260999E-2</v>
      </c>
      <c r="AD3531">
        <v>1.8609406460551601</v>
      </c>
      <c r="AE3531">
        <v>0.71053189039230302</v>
      </c>
      <c r="AF3531">
        <v>30.2718120805369</v>
      </c>
      <c r="AG3531">
        <f>IFERROR(AH3531*0.1, "N/A")</f>
        <v>7.1382550335570505</v>
      </c>
      <c r="AH3531">
        <v>71.3825503355705</v>
      </c>
      <c r="AI3531">
        <v>218.842994350715</v>
      </c>
      <c r="AJ3531">
        <v>20.394295302013401</v>
      </c>
      <c r="AK3531">
        <v>52.189597315436203</v>
      </c>
    </row>
    <row r="3532" spans="1:37" x14ac:dyDescent="0.3">
      <c r="A3532">
        <v>3531</v>
      </c>
      <c r="B3532">
        <v>0</v>
      </c>
      <c r="C3532">
        <v>-16.983298999999999</v>
      </c>
      <c r="D3532">
        <v>14.933299999999999</v>
      </c>
      <c r="E3532">
        <f>-16.983299-14.9333</f>
        <v>-31.916598999999998</v>
      </c>
      <c r="F3532" t="s">
        <v>5623</v>
      </c>
      <c r="G3532" t="s">
        <v>37</v>
      </c>
      <c r="H3532">
        <v>1996</v>
      </c>
      <c r="I3532">
        <v>25.622987046337801</v>
      </c>
      <c r="J3532">
        <v>11.7441275423805</v>
      </c>
      <c r="K3532">
        <v>66.771812080536904</v>
      </c>
      <c r="L3532">
        <v>16.397500300567401</v>
      </c>
      <c r="M3532">
        <v>32.971980293325103</v>
      </c>
      <c r="N3532">
        <v>15.528020241116501</v>
      </c>
      <c r="O3532">
        <v>17.443959517766999</v>
      </c>
      <c r="P3532">
        <v>27.173825728013199</v>
      </c>
      <c r="Q3532">
        <v>24.222819206698599</v>
      </c>
      <c r="R3532">
        <v>27.245805433132499</v>
      </c>
      <c r="S3532">
        <v>23.299999237060501</v>
      </c>
      <c r="T3532">
        <v>453.44295302013398</v>
      </c>
      <c r="U3532">
        <v>178.72147651006699</v>
      </c>
      <c r="V3532">
        <v>0</v>
      </c>
      <c r="W3532">
        <v>157.72147651006699</v>
      </c>
      <c r="X3532">
        <v>401.44295302013398</v>
      </c>
      <c r="Y3532">
        <v>0</v>
      </c>
      <c r="Z3532">
        <v>271.72147651006702</v>
      </c>
      <c r="AA3532">
        <v>2</v>
      </c>
      <c r="AB3532">
        <v>5.7577199551883202</v>
      </c>
      <c r="AC3532">
        <v>1.1703663796260999E-2</v>
      </c>
      <c r="AD3532">
        <v>1.8609406460551601</v>
      </c>
      <c r="AE3532">
        <v>0.71053189039230302</v>
      </c>
      <c r="AF3532">
        <v>30.2718120805369</v>
      </c>
      <c r="AG3532">
        <f>IFERROR(AH3532*0.1, "N/A")</f>
        <v>7.1382550335570505</v>
      </c>
      <c r="AH3532">
        <v>71.3825503355705</v>
      </c>
      <c r="AI3532">
        <v>218.842994350715</v>
      </c>
      <c r="AJ3532">
        <v>20.394295302013401</v>
      </c>
      <c r="AK3532">
        <v>52.189597315436203</v>
      </c>
    </row>
    <row r="3533" spans="1:37" x14ac:dyDescent="0.3">
      <c r="A3533">
        <v>3532</v>
      </c>
      <c r="B3533">
        <v>78</v>
      </c>
      <c r="C3533">
        <v>-15.066700000000001</v>
      </c>
      <c r="D3533">
        <v>14.933299999999999</v>
      </c>
      <c r="E3533">
        <f>-15.0667-14.9333</f>
        <v>-30</v>
      </c>
      <c r="F3533" t="s">
        <v>5624</v>
      </c>
      <c r="G3533" t="s">
        <v>39</v>
      </c>
      <c r="H3533">
        <v>2003</v>
      </c>
      <c r="I3533">
        <v>27.899999618530298</v>
      </c>
      <c r="J3533">
        <v>15.800000190734901</v>
      </c>
      <c r="K3533">
        <v>63</v>
      </c>
      <c r="L3533">
        <v>21.034305297749299</v>
      </c>
      <c r="M3533">
        <v>40</v>
      </c>
      <c r="N3533">
        <v>15.1000003814697</v>
      </c>
      <c r="O3533">
        <v>24.899999618530298</v>
      </c>
      <c r="P3533">
        <v>28.200000762939499</v>
      </c>
      <c r="Q3533">
        <v>27.911389946737899</v>
      </c>
      <c r="R3533">
        <v>30.399999618530298</v>
      </c>
      <c r="S3533">
        <v>24.773701480884601</v>
      </c>
      <c r="T3533">
        <v>473.70686767169201</v>
      </c>
      <c r="U3533">
        <v>149.72194304857601</v>
      </c>
      <c r="V3533">
        <v>0</v>
      </c>
      <c r="W3533">
        <v>138.72194304857601</v>
      </c>
      <c r="X3533">
        <v>391.70686767169201</v>
      </c>
      <c r="Y3533">
        <v>0</v>
      </c>
      <c r="Z3533">
        <v>33</v>
      </c>
      <c r="AA3533">
        <v>3</v>
      </c>
      <c r="AB3533">
        <v>0.59530881182033202</v>
      </c>
      <c r="AC3533">
        <v>1.8342892205658001E-2</v>
      </c>
      <c r="AD3533">
        <v>1.5146789316156599</v>
      </c>
      <c r="AE3533">
        <v>0.55523604154586803</v>
      </c>
      <c r="AF3533">
        <v>42.636515912897799</v>
      </c>
      <c r="AG3533">
        <f>IFERROR(AH3533*0.1, "N/A")</f>
        <v>6.2750418760469007</v>
      </c>
      <c r="AH3533">
        <v>62.750418760469003</v>
      </c>
      <c r="AI3533">
        <v>182.08286695624099</v>
      </c>
      <c r="AJ3533">
        <v>14.3015075376884</v>
      </c>
      <c r="AK3533">
        <v>65.175879396984897</v>
      </c>
    </row>
    <row r="3534" spans="1:37" x14ac:dyDescent="0.3">
      <c r="A3534">
        <v>3533</v>
      </c>
      <c r="B3534">
        <v>0</v>
      </c>
      <c r="C3534">
        <v>-16.819299999999998</v>
      </c>
      <c r="D3534">
        <v>14.9565</v>
      </c>
      <c r="E3534">
        <f>-16.8193-14.9565</f>
        <v>-31.775799999999997</v>
      </c>
      <c r="F3534" t="s">
        <v>5625</v>
      </c>
      <c r="G3534" t="s">
        <v>39</v>
      </c>
      <c r="H3534">
        <v>2001</v>
      </c>
      <c r="I3534">
        <v>25.600000381469702</v>
      </c>
      <c r="J3534">
        <v>12.699999809265099</v>
      </c>
      <c r="K3534">
        <v>68</v>
      </c>
      <c r="L3534">
        <v>16.340000152587901</v>
      </c>
      <c r="M3534">
        <v>33.400001525878899</v>
      </c>
      <c r="N3534">
        <v>14.8999996185303</v>
      </c>
      <c r="O3534">
        <v>18.5</v>
      </c>
      <c r="P3534">
        <v>27.100000381469702</v>
      </c>
      <c r="Q3534">
        <v>24.299999237060501</v>
      </c>
      <c r="R3534">
        <v>27.200000762939499</v>
      </c>
      <c r="S3534">
        <v>23.200000762939499</v>
      </c>
      <c r="T3534">
        <v>444</v>
      </c>
      <c r="U3534">
        <v>168</v>
      </c>
      <c r="V3534">
        <v>0</v>
      </c>
      <c r="W3534">
        <v>152</v>
      </c>
      <c r="X3534">
        <v>392</v>
      </c>
      <c r="Y3534">
        <v>0</v>
      </c>
      <c r="Z3534">
        <v>264</v>
      </c>
      <c r="AA3534">
        <v>1</v>
      </c>
      <c r="AB3534">
        <v>1.91264667606195</v>
      </c>
      <c r="AC3534">
        <v>8.896292706397E-3</v>
      </c>
      <c r="AD3534">
        <v>1.05819375036957</v>
      </c>
      <c r="AE3534">
        <v>0.90458152466724795</v>
      </c>
      <c r="AF3534">
        <v>55.549084858569103</v>
      </c>
      <c r="AG3534">
        <f>IFERROR(AH3534*0.1, "N/A")</f>
        <v>6.5224625623960097</v>
      </c>
      <c r="AH3534">
        <v>65.224625623960094</v>
      </c>
      <c r="AI3534">
        <v>137.80512194387501</v>
      </c>
      <c r="AJ3534">
        <v>15.387687188019999</v>
      </c>
      <c r="AK3534">
        <v>69.836938435940098</v>
      </c>
    </row>
    <row r="3535" spans="1:37" x14ac:dyDescent="0.3">
      <c r="A3535">
        <v>3534</v>
      </c>
      <c r="B3535">
        <v>0</v>
      </c>
      <c r="C3535">
        <v>-16.819299999999998</v>
      </c>
      <c r="D3535">
        <v>14.9565</v>
      </c>
      <c r="E3535">
        <f>-16.8193-14.9565</f>
        <v>-31.775799999999997</v>
      </c>
      <c r="F3535" t="s">
        <v>5626</v>
      </c>
      <c r="G3535" t="s">
        <v>37</v>
      </c>
      <c r="H3535">
        <v>2001</v>
      </c>
      <c r="I3535">
        <v>25.600000381469702</v>
      </c>
      <c r="J3535">
        <v>12.699999809265099</v>
      </c>
      <c r="K3535">
        <v>68</v>
      </c>
      <c r="L3535">
        <v>16.340000152587901</v>
      </c>
      <c r="M3535">
        <v>33.400001525878899</v>
      </c>
      <c r="N3535">
        <v>14.8999996185303</v>
      </c>
      <c r="O3535">
        <v>18.5</v>
      </c>
      <c r="P3535">
        <v>27.100000381469702</v>
      </c>
      <c r="Q3535">
        <v>24.299999237060501</v>
      </c>
      <c r="R3535">
        <v>27.200000762939499</v>
      </c>
      <c r="S3535">
        <v>23.200000762939499</v>
      </c>
      <c r="T3535">
        <v>444</v>
      </c>
      <c r="U3535">
        <v>168</v>
      </c>
      <c r="V3535">
        <v>0</v>
      </c>
      <c r="W3535">
        <v>152</v>
      </c>
      <c r="X3535">
        <v>392</v>
      </c>
      <c r="Y3535">
        <v>0</v>
      </c>
      <c r="Z3535">
        <v>264</v>
      </c>
      <c r="AA3535">
        <v>1</v>
      </c>
      <c r="AB3535">
        <v>1.91264667606195</v>
      </c>
      <c r="AC3535">
        <v>8.896292706397E-3</v>
      </c>
      <c r="AD3535">
        <v>1.05819375036957</v>
      </c>
      <c r="AE3535">
        <v>0.90458152466724795</v>
      </c>
      <c r="AF3535">
        <v>55.549084858569103</v>
      </c>
      <c r="AG3535">
        <f>IFERROR(AH3535*0.1, "N/A")</f>
        <v>6.5224625623960097</v>
      </c>
      <c r="AH3535">
        <v>65.224625623960094</v>
      </c>
      <c r="AI3535">
        <v>137.80512194387501</v>
      </c>
      <c r="AJ3535">
        <v>15.387687188019999</v>
      </c>
      <c r="AK3535">
        <v>69.836938435940098</v>
      </c>
    </row>
    <row r="3536" spans="1:37" x14ac:dyDescent="0.3">
      <c r="A3536">
        <v>3535</v>
      </c>
      <c r="B3536">
        <v>0</v>
      </c>
      <c r="C3536">
        <v>-16.84</v>
      </c>
      <c r="D3536">
        <v>14.96</v>
      </c>
      <c r="E3536">
        <f>-16.84-14.96</f>
        <v>-31.8</v>
      </c>
      <c r="F3536" t="s">
        <v>5627</v>
      </c>
      <c r="G3536" t="s">
        <v>39</v>
      </c>
      <c r="H3536">
        <v>2001</v>
      </c>
      <c r="I3536">
        <v>25.5</v>
      </c>
      <c r="J3536">
        <v>12.6000003814697</v>
      </c>
      <c r="K3536">
        <v>69</v>
      </c>
      <c r="L3536">
        <v>15.680000305175801</v>
      </c>
      <c r="M3536">
        <v>33.200000762939503</v>
      </c>
      <c r="N3536">
        <v>15</v>
      </c>
      <c r="O3536">
        <v>18.200000762939499</v>
      </c>
      <c r="P3536">
        <v>27</v>
      </c>
      <c r="Q3536">
        <v>24.200000762939499</v>
      </c>
      <c r="R3536">
        <v>27.100000381469702</v>
      </c>
      <c r="S3536">
        <v>23.200000762939499</v>
      </c>
      <c r="T3536">
        <v>440</v>
      </c>
      <c r="U3536">
        <v>167</v>
      </c>
      <c r="V3536">
        <v>0</v>
      </c>
      <c r="W3536">
        <v>155</v>
      </c>
      <c r="X3536">
        <v>388</v>
      </c>
      <c r="Y3536">
        <v>0</v>
      </c>
      <c r="Z3536">
        <v>261</v>
      </c>
      <c r="AA3536">
        <v>1</v>
      </c>
      <c r="AB3536">
        <v>0.37976517565673001</v>
      </c>
      <c r="AC3536">
        <v>0.61909542192882505</v>
      </c>
      <c r="AD3536">
        <v>0.73378177729737404</v>
      </c>
      <c r="AE3536">
        <v>0.50222408771514904</v>
      </c>
      <c r="AF3536">
        <v>58.056856187290997</v>
      </c>
      <c r="AG3536">
        <f>IFERROR(AH3536*0.1, "N/A")</f>
        <v>6.1264214046822705</v>
      </c>
      <c r="AH3536">
        <v>61.264214046822701</v>
      </c>
      <c r="AI3536">
        <v>82.618535134305901</v>
      </c>
      <c r="AJ3536">
        <v>15.7826086956522</v>
      </c>
      <c r="AK3536">
        <v>75.2173913043478</v>
      </c>
    </row>
    <row r="3537" spans="1:37" x14ac:dyDescent="0.3">
      <c r="A3537">
        <v>3536</v>
      </c>
      <c r="B3537">
        <v>0</v>
      </c>
      <c r="C3537">
        <v>-16.84</v>
      </c>
      <c r="D3537">
        <v>14.96</v>
      </c>
      <c r="E3537">
        <f>-16.84-14.96</f>
        <v>-31.8</v>
      </c>
      <c r="F3537" t="s">
        <v>5628</v>
      </c>
      <c r="G3537" t="s">
        <v>37</v>
      </c>
      <c r="H3537">
        <v>2001</v>
      </c>
      <c r="I3537">
        <v>25.5</v>
      </c>
      <c r="J3537">
        <v>12.6000003814697</v>
      </c>
      <c r="K3537">
        <v>69</v>
      </c>
      <c r="L3537">
        <v>15.680000305175801</v>
      </c>
      <c r="M3537">
        <v>33.200000762939503</v>
      </c>
      <c r="N3537">
        <v>15</v>
      </c>
      <c r="O3537">
        <v>18.200000762939499</v>
      </c>
      <c r="P3537">
        <v>27</v>
      </c>
      <c r="Q3537">
        <v>24.200000762939499</v>
      </c>
      <c r="R3537">
        <v>27.100000381469702</v>
      </c>
      <c r="S3537">
        <v>23.200000762939499</v>
      </c>
      <c r="T3537">
        <v>440</v>
      </c>
      <c r="U3537">
        <v>167</v>
      </c>
      <c r="V3537">
        <v>0</v>
      </c>
      <c r="W3537">
        <v>155</v>
      </c>
      <c r="X3537">
        <v>388</v>
      </c>
      <c r="Y3537">
        <v>0</v>
      </c>
      <c r="Z3537">
        <v>261</v>
      </c>
      <c r="AA3537">
        <v>1</v>
      </c>
      <c r="AB3537">
        <v>0.37976517565673001</v>
      </c>
      <c r="AC3537">
        <v>0.61909542192882505</v>
      </c>
      <c r="AD3537">
        <v>0.73378177729737404</v>
      </c>
      <c r="AE3537">
        <v>0.50222408771514904</v>
      </c>
      <c r="AF3537">
        <v>58.056856187290997</v>
      </c>
      <c r="AG3537">
        <f>IFERROR(AH3537*0.1, "N/A")</f>
        <v>6.1264214046822705</v>
      </c>
      <c r="AH3537">
        <v>61.264214046822701</v>
      </c>
      <c r="AI3537">
        <v>82.618535134305901</v>
      </c>
      <c r="AJ3537">
        <v>15.7826086956522</v>
      </c>
      <c r="AK3537">
        <v>75.2173913043478</v>
      </c>
    </row>
    <row r="3538" spans="1:37" x14ac:dyDescent="0.3">
      <c r="A3538">
        <v>3537</v>
      </c>
      <c r="B3538">
        <v>36</v>
      </c>
      <c r="C3538">
        <v>-12.4664</v>
      </c>
      <c r="D3538">
        <v>14.976699999999999</v>
      </c>
      <c r="E3538">
        <f>-12.4664-14.9767</f>
        <v>-27.443100000000001</v>
      </c>
      <c r="F3538" t="s">
        <v>5629</v>
      </c>
      <c r="G3538" t="s">
        <v>39</v>
      </c>
      <c r="H3538">
        <v>2003</v>
      </c>
      <c r="I3538">
        <v>28.700000762939499</v>
      </c>
      <c r="J3538">
        <v>14.800000190734901</v>
      </c>
      <c r="K3538">
        <v>58</v>
      </c>
      <c r="L3538">
        <v>25.5029218988944</v>
      </c>
      <c r="M3538">
        <v>40.884475294059001</v>
      </c>
      <c r="N3538">
        <v>15.699999809265099</v>
      </c>
      <c r="O3538">
        <v>25.184474827252199</v>
      </c>
      <c r="P3538">
        <v>28.184474827252199</v>
      </c>
      <c r="Q3538">
        <v>27.100000381469702</v>
      </c>
      <c r="R3538">
        <v>32.284473597505901</v>
      </c>
      <c r="S3538">
        <v>25.5</v>
      </c>
      <c r="T3538">
        <v>503.31051752921502</v>
      </c>
      <c r="U3538">
        <v>170.15525876460799</v>
      </c>
      <c r="V3538">
        <v>0</v>
      </c>
      <c r="W3538">
        <v>138.53422370617699</v>
      </c>
      <c r="X3538">
        <v>414.15525876460799</v>
      </c>
      <c r="Y3538">
        <v>1</v>
      </c>
      <c r="Z3538">
        <v>54.155258764607701</v>
      </c>
      <c r="AA3538">
        <v>2</v>
      </c>
      <c r="AB3538">
        <v>13.597997566694399</v>
      </c>
      <c r="AC3538">
        <v>9.9321791874200007E-3</v>
      </c>
      <c r="AD3538">
        <v>1.33413775148296</v>
      </c>
      <c r="AE3538">
        <v>0.54992365837097201</v>
      </c>
      <c r="AF3538">
        <v>21.873121869782999</v>
      </c>
      <c r="AG3538">
        <f>IFERROR(AH3538*0.1, "N/A")</f>
        <v>6.0844741235392306</v>
      </c>
      <c r="AH3538">
        <v>60.844741235392299</v>
      </c>
      <c r="AI3538">
        <v>234.13741619638699</v>
      </c>
      <c r="AJ3538">
        <v>24</v>
      </c>
      <c r="AK3538">
        <v>55.844741235392299</v>
      </c>
    </row>
    <row r="3539" spans="1:37" x14ac:dyDescent="0.3">
      <c r="A3539">
        <v>3538</v>
      </c>
      <c r="B3539">
        <v>0</v>
      </c>
      <c r="C3539">
        <v>-17.009701</v>
      </c>
      <c r="D3539">
        <v>14.9933</v>
      </c>
      <c r="E3539">
        <f>-17.009701-14.9933</f>
        <v>-32.003000999999998</v>
      </c>
      <c r="F3539" t="s">
        <v>5630</v>
      </c>
      <c r="G3539" t="s">
        <v>39</v>
      </c>
      <c r="H3539">
        <v>1996</v>
      </c>
      <c r="I3539">
        <v>25.5</v>
      </c>
      <c r="J3539">
        <v>11.300000190734901</v>
      </c>
      <c r="K3539">
        <v>66</v>
      </c>
      <c r="L3539">
        <v>17.280000686645501</v>
      </c>
      <c r="M3539">
        <v>32.599998474121101</v>
      </c>
      <c r="N3539">
        <v>15.699999809265099</v>
      </c>
      <c r="O3539">
        <v>16.899999618530298</v>
      </c>
      <c r="P3539">
        <v>27.299999237060501</v>
      </c>
      <c r="Q3539">
        <v>23.899999618530298</v>
      </c>
      <c r="R3539">
        <v>27.299999237060501</v>
      </c>
      <c r="S3539">
        <v>23.100000381469702</v>
      </c>
      <c r="T3539">
        <v>429</v>
      </c>
      <c r="U3539">
        <v>169</v>
      </c>
      <c r="V3539">
        <v>0</v>
      </c>
      <c r="W3539">
        <v>158</v>
      </c>
      <c r="X3539">
        <v>381</v>
      </c>
      <c r="Y3539">
        <v>0</v>
      </c>
      <c r="Z3539">
        <v>381</v>
      </c>
      <c r="AA3539">
        <v>2</v>
      </c>
      <c r="AB3539">
        <v>2.6207350855288301</v>
      </c>
      <c r="AC3539">
        <v>1.7229506180599999E-2</v>
      </c>
      <c r="AD3539">
        <v>0.69888308315372805</v>
      </c>
      <c r="AE3539">
        <v>0.69884896278381303</v>
      </c>
      <c r="AF3539">
        <v>25.173913043478301</v>
      </c>
      <c r="AG3539">
        <f>IFERROR(AH3539*0.1, "N/A")</f>
        <v>6.6693979933110406</v>
      </c>
      <c r="AH3539">
        <v>66.693979933110398</v>
      </c>
      <c r="AI3539">
        <v>266.24224600903602</v>
      </c>
      <c r="AJ3539">
        <v>19.322742474916399</v>
      </c>
      <c r="AK3539">
        <v>66.520066889632105</v>
      </c>
    </row>
    <row r="3540" spans="1:37" x14ac:dyDescent="0.3">
      <c r="A3540">
        <v>3539</v>
      </c>
      <c r="B3540">
        <v>0</v>
      </c>
      <c r="C3540">
        <v>-17.009701</v>
      </c>
      <c r="D3540">
        <v>14.9933</v>
      </c>
      <c r="E3540">
        <f>-17.009701-14.9933</f>
        <v>-32.003000999999998</v>
      </c>
      <c r="F3540" t="s">
        <v>5631</v>
      </c>
      <c r="G3540" t="s">
        <v>37</v>
      </c>
      <c r="H3540">
        <v>1996</v>
      </c>
      <c r="I3540">
        <v>25.5</v>
      </c>
      <c r="J3540">
        <v>11.300000190734901</v>
      </c>
      <c r="K3540">
        <v>66</v>
      </c>
      <c r="L3540">
        <v>17.280000686645501</v>
      </c>
      <c r="M3540">
        <v>32.599998474121101</v>
      </c>
      <c r="N3540">
        <v>15.699999809265099</v>
      </c>
      <c r="O3540">
        <v>16.899999618530298</v>
      </c>
      <c r="P3540">
        <v>27.299999237060501</v>
      </c>
      <c r="Q3540">
        <v>23.899999618530298</v>
      </c>
      <c r="R3540">
        <v>27.299999237060501</v>
      </c>
      <c r="S3540">
        <v>23.100000381469702</v>
      </c>
      <c r="T3540">
        <v>429</v>
      </c>
      <c r="U3540">
        <v>169</v>
      </c>
      <c r="V3540">
        <v>0</v>
      </c>
      <c r="W3540">
        <v>158</v>
      </c>
      <c r="X3540">
        <v>381</v>
      </c>
      <c r="Y3540">
        <v>0</v>
      </c>
      <c r="Z3540">
        <v>381</v>
      </c>
      <c r="AA3540">
        <v>2</v>
      </c>
      <c r="AB3540">
        <v>2.6207350855288301</v>
      </c>
      <c r="AC3540">
        <v>1.7229506180599999E-2</v>
      </c>
      <c r="AD3540">
        <v>0.69888308315372805</v>
      </c>
      <c r="AE3540">
        <v>0.69884896278381303</v>
      </c>
      <c r="AF3540">
        <v>25.173913043478301</v>
      </c>
      <c r="AG3540">
        <f>IFERROR(AH3540*0.1, "N/A")</f>
        <v>6.6693979933110406</v>
      </c>
      <c r="AH3540">
        <v>66.693979933110398</v>
      </c>
      <c r="AI3540">
        <v>266.24224600903602</v>
      </c>
      <c r="AJ3540">
        <v>19.322742474916399</v>
      </c>
      <c r="AK3540">
        <v>66.520066889632105</v>
      </c>
    </row>
    <row r="3541" spans="1:37" x14ac:dyDescent="0.3">
      <c r="A3541">
        <v>3540</v>
      </c>
      <c r="B3541">
        <v>0</v>
      </c>
      <c r="C3541">
        <v>-14.666700000000001</v>
      </c>
      <c r="D3541">
        <v>15</v>
      </c>
      <c r="E3541">
        <f>-14.6667-15</f>
        <v>-29.666699999999999</v>
      </c>
      <c r="F3541" t="s">
        <v>5632</v>
      </c>
      <c r="G3541" t="s">
        <v>39</v>
      </c>
      <c r="H3541">
        <v>2003</v>
      </c>
      <c r="I3541">
        <v>28.299999237060501</v>
      </c>
      <c r="J3541">
        <v>15.6000003814697</v>
      </c>
      <c r="K3541">
        <v>61</v>
      </c>
      <c r="L3541">
        <v>22.6908044926885</v>
      </c>
      <c r="M3541">
        <v>40.599998474121101</v>
      </c>
      <c r="N3541">
        <v>15.218090330536</v>
      </c>
      <c r="O3541">
        <v>25.381909097259399</v>
      </c>
      <c r="P3541">
        <v>28.600000381469702</v>
      </c>
      <c r="Q3541">
        <v>28.458458803007499</v>
      </c>
      <c r="R3541">
        <v>31.100000381469702</v>
      </c>
      <c r="S3541">
        <v>25.018090521270899</v>
      </c>
      <c r="T3541">
        <v>486</v>
      </c>
      <c r="U3541">
        <v>161</v>
      </c>
      <c r="V3541">
        <v>0</v>
      </c>
      <c r="W3541">
        <v>139</v>
      </c>
      <c r="X3541">
        <v>401</v>
      </c>
      <c r="Y3541">
        <v>1</v>
      </c>
      <c r="Z3541">
        <v>36</v>
      </c>
      <c r="AA3541">
        <v>1</v>
      </c>
      <c r="AB3541">
        <v>0.45142407952441199</v>
      </c>
      <c r="AC3541">
        <v>10.357451993636699</v>
      </c>
      <c r="AD3541">
        <v>1.3328655500907201</v>
      </c>
      <c r="AE3541">
        <v>0.47912141106635903</v>
      </c>
      <c r="AF3541">
        <v>17.641541038526</v>
      </c>
      <c r="AG3541">
        <f>IFERROR(AH3541*0.1, "N/A")</f>
        <v>6.2</v>
      </c>
      <c r="AH3541">
        <v>62</v>
      </c>
      <c r="AI3541">
        <v>198.24882039592501</v>
      </c>
      <c r="AJ3541">
        <v>15</v>
      </c>
      <c r="AK3541">
        <v>69.415410385259605</v>
      </c>
    </row>
    <row r="3542" spans="1:37" x14ac:dyDescent="0.3">
      <c r="A3542">
        <v>3541</v>
      </c>
      <c r="B3542">
        <v>0</v>
      </c>
      <c r="C3542">
        <v>-14.666700000000001</v>
      </c>
      <c r="D3542">
        <v>15</v>
      </c>
      <c r="E3542">
        <f>-14.6667-15</f>
        <v>-29.666699999999999</v>
      </c>
      <c r="F3542" t="s">
        <v>5633</v>
      </c>
      <c r="G3542" t="s">
        <v>37</v>
      </c>
      <c r="H3542">
        <v>2003</v>
      </c>
      <c r="I3542">
        <v>28.299999237060501</v>
      </c>
      <c r="J3542">
        <v>15.6000003814697</v>
      </c>
      <c r="K3542">
        <v>61</v>
      </c>
      <c r="L3542">
        <v>22.6908044926885</v>
      </c>
      <c r="M3542">
        <v>40.599998474121101</v>
      </c>
      <c r="N3542">
        <v>15.218090330536</v>
      </c>
      <c r="O3542">
        <v>25.381909097259399</v>
      </c>
      <c r="P3542">
        <v>28.600000381469702</v>
      </c>
      <c r="Q3542">
        <v>28.458458803007499</v>
      </c>
      <c r="R3542">
        <v>31.100000381469702</v>
      </c>
      <c r="S3542">
        <v>25.018090521270899</v>
      </c>
      <c r="T3542">
        <v>486</v>
      </c>
      <c r="U3542">
        <v>161</v>
      </c>
      <c r="V3542">
        <v>0</v>
      </c>
      <c r="W3542">
        <v>139</v>
      </c>
      <c r="X3542">
        <v>401</v>
      </c>
      <c r="Y3542">
        <v>1</v>
      </c>
      <c r="Z3542">
        <v>36</v>
      </c>
      <c r="AA3542">
        <v>1</v>
      </c>
      <c r="AB3542">
        <v>0.45142407952441199</v>
      </c>
      <c r="AC3542">
        <v>10.357451993636699</v>
      </c>
      <c r="AD3542">
        <v>1.3328655500907201</v>
      </c>
      <c r="AE3542">
        <v>0.47912141106635903</v>
      </c>
      <c r="AF3542">
        <v>17.641541038526</v>
      </c>
      <c r="AG3542">
        <f>IFERROR(AH3542*0.1, "N/A")</f>
        <v>6.2</v>
      </c>
      <c r="AH3542">
        <v>62</v>
      </c>
      <c r="AI3542">
        <v>198.24882039592501</v>
      </c>
      <c r="AJ3542">
        <v>15</v>
      </c>
      <c r="AK3542">
        <v>69.415410385259605</v>
      </c>
    </row>
    <row r="3543" spans="1:37" x14ac:dyDescent="0.3">
      <c r="A3543">
        <v>3542</v>
      </c>
      <c r="B3543">
        <v>1.5</v>
      </c>
      <c r="C3543">
        <v>-16.954699999999999</v>
      </c>
      <c r="D3543">
        <v>15.0105</v>
      </c>
      <c r="E3543">
        <f>-16.9547-15.0105</f>
        <v>-31.965199999999999</v>
      </c>
      <c r="F3543" t="s">
        <v>5634</v>
      </c>
      <c r="G3543" t="s">
        <v>39</v>
      </c>
      <c r="H3543">
        <v>1958</v>
      </c>
      <c r="I3543">
        <v>25.5</v>
      </c>
      <c r="J3543">
        <v>11.6000003814697</v>
      </c>
      <c r="K3543">
        <v>66</v>
      </c>
      <c r="L3543">
        <v>17.120000839233398</v>
      </c>
      <c r="M3543">
        <v>32.799999237060497</v>
      </c>
      <c r="N3543">
        <v>15.3999996185303</v>
      </c>
      <c r="O3543">
        <v>17.399999618530298</v>
      </c>
      <c r="P3543">
        <v>27.200000762939499</v>
      </c>
      <c r="Q3543">
        <v>23.899999618530298</v>
      </c>
      <c r="R3543">
        <v>27.200000762939499</v>
      </c>
      <c r="S3543">
        <v>23.100000381469702</v>
      </c>
      <c r="T3543">
        <v>424</v>
      </c>
      <c r="U3543">
        <v>164</v>
      </c>
      <c r="V3543">
        <v>0</v>
      </c>
      <c r="W3543">
        <v>156</v>
      </c>
      <c r="X3543">
        <v>376</v>
      </c>
      <c r="Y3543">
        <v>0</v>
      </c>
      <c r="Z3543">
        <v>250</v>
      </c>
      <c r="AA3543">
        <v>1</v>
      </c>
      <c r="AB3543">
        <v>10.7647742015094</v>
      </c>
      <c r="AC3543">
        <v>1.6744207404243001E-2</v>
      </c>
      <c r="AD3543">
        <v>1.59259009301563</v>
      </c>
      <c r="AE3543">
        <v>0.448678561910763</v>
      </c>
      <c r="AF3543">
        <v>31.757929883138601</v>
      </c>
      <c r="AG3543">
        <f>IFERROR(AH3543*0.1, "N/A")</f>
        <v>6.2767946577629408</v>
      </c>
      <c r="AH3543">
        <v>62.767946577629402</v>
      </c>
      <c r="AI3543">
        <v>182.94595622538699</v>
      </c>
      <c r="AJ3543">
        <v>17.8430717863105</v>
      </c>
      <c r="AK3543">
        <v>70.156928213689497</v>
      </c>
    </row>
    <row r="3544" spans="1:37" x14ac:dyDescent="0.3">
      <c r="A3544">
        <v>3543</v>
      </c>
      <c r="B3544">
        <v>0</v>
      </c>
      <c r="C3544">
        <v>-16.985600000000002</v>
      </c>
      <c r="D3544">
        <v>15.0129</v>
      </c>
      <c r="E3544">
        <f>-16.9856-15.0129</f>
        <v>-31.9985</v>
      </c>
      <c r="F3544" t="s">
        <v>5635</v>
      </c>
      <c r="G3544" t="s">
        <v>39</v>
      </c>
      <c r="H3544">
        <v>1958</v>
      </c>
      <c r="I3544">
        <v>25.5</v>
      </c>
      <c r="J3544">
        <v>11.3999996185303</v>
      </c>
      <c r="K3544">
        <v>66</v>
      </c>
      <c r="L3544">
        <v>17.180000305175799</v>
      </c>
      <c r="M3544">
        <v>32.799999237060497</v>
      </c>
      <c r="N3544">
        <v>15.6000003814697</v>
      </c>
      <c r="O3544">
        <v>17.200000762939499</v>
      </c>
      <c r="P3544">
        <v>27.200000762939499</v>
      </c>
      <c r="Q3544">
        <v>23.899999618530298</v>
      </c>
      <c r="R3544">
        <v>27.200000762939499</v>
      </c>
      <c r="S3544">
        <v>23.200000762939499</v>
      </c>
      <c r="T3544">
        <v>423</v>
      </c>
      <c r="U3544">
        <v>165</v>
      </c>
      <c r="V3544">
        <v>0</v>
      </c>
      <c r="W3544">
        <v>156</v>
      </c>
      <c r="X3544">
        <v>376</v>
      </c>
      <c r="Y3544">
        <v>0</v>
      </c>
      <c r="Z3544">
        <v>335</v>
      </c>
      <c r="AA3544">
        <v>1</v>
      </c>
      <c r="AB3544">
        <v>5.7238730349405396</v>
      </c>
      <c r="AC3544">
        <v>3.1570708848697997E-2</v>
      </c>
      <c r="AD3544">
        <v>1.7118682594649599</v>
      </c>
      <c r="AE3544">
        <v>0.67084169387817405</v>
      </c>
      <c r="AF3544">
        <v>12.2771285475793</v>
      </c>
      <c r="AG3544">
        <f>IFERROR(AH3544*0.1, "N/A")</f>
        <v>6.1647746243739601</v>
      </c>
      <c r="AH3544">
        <v>61.647746243739597</v>
      </c>
      <c r="AI3544">
        <v>153.69764650882999</v>
      </c>
      <c r="AJ3544">
        <v>16.325542570951601</v>
      </c>
      <c r="AK3544">
        <v>66.701168614357201</v>
      </c>
    </row>
    <row r="3545" spans="1:37" x14ac:dyDescent="0.3">
      <c r="A3545">
        <v>3544</v>
      </c>
      <c r="B3545">
        <v>0</v>
      </c>
      <c r="C3545">
        <v>-16.985600000000002</v>
      </c>
      <c r="D3545">
        <v>15.0129</v>
      </c>
      <c r="E3545">
        <f>-16.9856-15.0129</f>
        <v>-31.9985</v>
      </c>
      <c r="F3545" t="s">
        <v>5636</v>
      </c>
      <c r="G3545" t="s">
        <v>37</v>
      </c>
      <c r="H3545">
        <v>1958</v>
      </c>
      <c r="I3545">
        <v>25.5</v>
      </c>
      <c r="J3545">
        <v>11.3999996185303</v>
      </c>
      <c r="K3545">
        <v>66</v>
      </c>
      <c r="L3545">
        <v>17.180000305175799</v>
      </c>
      <c r="M3545">
        <v>32.799999237060497</v>
      </c>
      <c r="N3545">
        <v>15.6000003814697</v>
      </c>
      <c r="O3545">
        <v>17.200000762939499</v>
      </c>
      <c r="P3545">
        <v>27.200000762939499</v>
      </c>
      <c r="Q3545">
        <v>23.899999618530298</v>
      </c>
      <c r="R3545">
        <v>27.200000762939499</v>
      </c>
      <c r="S3545">
        <v>23.200000762939499</v>
      </c>
      <c r="T3545">
        <v>423</v>
      </c>
      <c r="U3545">
        <v>165</v>
      </c>
      <c r="V3545">
        <v>0</v>
      </c>
      <c r="W3545">
        <v>156</v>
      </c>
      <c r="X3545">
        <v>376</v>
      </c>
      <c r="Y3545">
        <v>0</v>
      </c>
      <c r="Z3545">
        <v>335</v>
      </c>
      <c r="AA3545">
        <v>1</v>
      </c>
      <c r="AB3545">
        <v>5.7238730349405396</v>
      </c>
      <c r="AC3545">
        <v>3.1570708848697997E-2</v>
      </c>
      <c r="AD3545">
        <v>1.7118682594649599</v>
      </c>
      <c r="AE3545">
        <v>0.67084169387817405</v>
      </c>
      <c r="AF3545">
        <v>12.2771285475793</v>
      </c>
      <c r="AG3545">
        <f>IFERROR(AH3545*0.1, "N/A")</f>
        <v>6.1647746243739601</v>
      </c>
      <c r="AH3545">
        <v>61.647746243739597</v>
      </c>
      <c r="AI3545">
        <v>153.69764650882999</v>
      </c>
      <c r="AJ3545">
        <v>16.325542570951601</v>
      </c>
      <c r="AK3545">
        <v>66.701168614357201</v>
      </c>
    </row>
    <row r="3546" spans="1:37" x14ac:dyDescent="0.3">
      <c r="A3546">
        <v>3545</v>
      </c>
      <c r="B3546">
        <v>30.6</v>
      </c>
      <c r="C3546">
        <v>-12.543699999999999</v>
      </c>
      <c r="D3546">
        <v>15.022</v>
      </c>
      <c r="E3546">
        <f>-12.5437-15.022</f>
        <v>-27.5657</v>
      </c>
      <c r="F3546" t="s">
        <v>5637</v>
      </c>
      <c r="G3546" t="s">
        <v>39</v>
      </c>
      <c r="H3546">
        <v>1992</v>
      </c>
      <c r="I3546">
        <v>28.700000762939499</v>
      </c>
      <c r="J3546">
        <v>14.800000190734901</v>
      </c>
      <c r="K3546">
        <v>58</v>
      </c>
      <c r="L3546">
        <v>25.75</v>
      </c>
      <c r="M3546">
        <v>40.900001525878899</v>
      </c>
      <c r="N3546">
        <v>15.6000003814697</v>
      </c>
      <c r="O3546">
        <v>25.299999237060501</v>
      </c>
      <c r="P3546">
        <v>28.200000762939499</v>
      </c>
      <c r="Q3546">
        <v>27</v>
      </c>
      <c r="R3546">
        <v>32.299999237060497</v>
      </c>
      <c r="S3546">
        <v>25.399999618530298</v>
      </c>
      <c r="T3546">
        <v>504</v>
      </c>
      <c r="U3546">
        <v>169</v>
      </c>
      <c r="V3546">
        <v>0</v>
      </c>
      <c r="W3546">
        <v>136</v>
      </c>
      <c r="X3546">
        <v>415</v>
      </c>
      <c r="Y3546">
        <v>1</v>
      </c>
      <c r="Z3546">
        <v>54</v>
      </c>
      <c r="AA3546">
        <v>2</v>
      </c>
      <c r="AB3546">
        <v>4.3338359340750801</v>
      </c>
      <c r="AC3546">
        <v>1.4820544584225E-2</v>
      </c>
      <c r="AD3546">
        <v>1.72024580481863</v>
      </c>
      <c r="AE3546">
        <v>0.51221424341201804</v>
      </c>
      <c r="AF3546">
        <v>23.3668341708543</v>
      </c>
      <c r="AG3546">
        <f>IFERROR(AH3546*0.1, "N/A")</f>
        <v>6.3125628140703505</v>
      </c>
      <c r="AH3546">
        <v>63.125628140703498</v>
      </c>
      <c r="AI3546">
        <v>231.42345465527501</v>
      </c>
      <c r="AJ3546">
        <v>20.691792294807399</v>
      </c>
      <c r="AK3546">
        <v>58.435510887772203</v>
      </c>
    </row>
    <row r="3547" spans="1:37" x14ac:dyDescent="0.3">
      <c r="A3547">
        <v>3546</v>
      </c>
      <c r="B3547">
        <v>0</v>
      </c>
      <c r="C3547">
        <v>-12.543699999999999</v>
      </c>
      <c r="D3547">
        <v>15.022</v>
      </c>
      <c r="E3547">
        <f>-12.5437-15.022</f>
        <v>-27.5657</v>
      </c>
      <c r="F3547" t="s">
        <v>5638</v>
      </c>
      <c r="G3547" t="s">
        <v>37</v>
      </c>
      <c r="H3547">
        <v>1992</v>
      </c>
      <c r="I3547">
        <v>28.700000762939499</v>
      </c>
      <c r="J3547">
        <v>14.800000190734901</v>
      </c>
      <c r="K3547">
        <v>58</v>
      </c>
      <c r="L3547">
        <v>25.75</v>
      </c>
      <c r="M3547">
        <v>40.900001525878899</v>
      </c>
      <c r="N3547">
        <v>15.6000003814697</v>
      </c>
      <c r="O3547">
        <v>25.299999237060501</v>
      </c>
      <c r="P3547">
        <v>28.200000762939499</v>
      </c>
      <c r="Q3547">
        <v>27</v>
      </c>
      <c r="R3547">
        <v>32.299999237060497</v>
      </c>
      <c r="S3547">
        <v>25.399999618530298</v>
      </c>
      <c r="T3547">
        <v>504</v>
      </c>
      <c r="U3547">
        <v>169</v>
      </c>
      <c r="V3547">
        <v>0</v>
      </c>
      <c r="W3547">
        <v>136</v>
      </c>
      <c r="X3547">
        <v>415</v>
      </c>
      <c r="Y3547">
        <v>1</v>
      </c>
      <c r="Z3547">
        <v>54</v>
      </c>
      <c r="AA3547">
        <v>2</v>
      </c>
      <c r="AB3547">
        <v>4.3338359340750801</v>
      </c>
      <c r="AC3547">
        <v>1.4820544584225E-2</v>
      </c>
      <c r="AD3547">
        <v>1.72024580481863</v>
      </c>
      <c r="AE3547">
        <v>0.51221424341201804</v>
      </c>
      <c r="AF3547">
        <v>23.3668341708543</v>
      </c>
      <c r="AG3547">
        <f>IFERROR(AH3547*0.1, "N/A")</f>
        <v>6.3125628140703505</v>
      </c>
      <c r="AH3547">
        <v>63.125628140703498</v>
      </c>
      <c r="AI3547">
        <v>231.42345465527501</v>
      </c>
      <c r="AJ3547">
        <v>20.691792294807399</v>
      </c>
      <c r="AK3547">
        <v>58.435510887772203</v>
      </c>
    </row>
    <row r="3548" spans="1:37" x14ac:dyDescent="0.3">
      <c r="A3548">
        <v>3547</v>
      </c>
      <c r="B3548">
        <v>8</v>
      </c>
      <c r="C3548">
        <v>-16.183299999999999</v>
      </c>
      <c r="D3548">
        <v>15.0334</v>
      </c>
      <c r="E3548">
        <f>-16.1833-15.0334</f>
        <v>-31.216699999999999</v>
      </c>
      <c r="F3548" t="s">
        <v>5639</v>
      </c>
      <c r="G3548" t="s">
        <v>39</v>
      </c>
      <c r="H3548">
        <v>2003</v>
      </c>
      <c r="I3548">
        <v>26.5</v>
      </c>
      <c r="J3548">
        <v>15</v>
      </c>
      <c r="K3548">
        <v>67.592654424040106</v>
      </c>
      <c r="L3548">
        <v>17.533606034089399</v>
      </c>
      <c r="M3548">
        <v>36.440735461914898</v>
      </c>
      <c r="N3548">
        <v>14.3999996185303</v>
      </c>
      <c r="O3548">
        <v>22.040734712986001</v>
      </c>
      <c r="P3548">
        <v>27.536561074360399</v>
      </c>
      <c r="Q3548">
        <v>25.700000762939499</v>
      </c>
      <c r="R3548">
        <v>28.200000762939499</v>
      </c>
      <c r="S3548">
        <v>23.700000762939499</v>
      </c>
      <c r="T3548">
        <v>449.79799666110199</v>
      </c>
      <c r="U3548">
        <v>164</v>
      </c>
      <c r="V3548">
        <v>0</v>
      </c>
      <c r="W3548">
        <v>148.77295492487499</v>
      </c>
      <c r="X3548">
        <v>391.18030050083502</v>
      </c>
      <c r="Y3548">
        <v>0</v>
      </c>
      <c r="Z3548">
        <v>113.40734557595999</v>
      </c>
      <c r="AA3548">
        <v>2</v>
      </c>
      <c r="AB3548">
        <v>0.71218575937720097</v>
      </c>
      <c r="AC3548">
        <v>2.3582840259055E-2</v>
      </c>
      <c r="AD3548">
        <v>1.26709486068987</v>
      </c>
      <c r="AE3548">
        <v>0.69968676567077603</v>
      </c>
      <c r="AF3548">
        <v>34.704507512520898</v>
      </c>
      <c r="AG3548">
        <f>IFERROR(AH3548*0.1, "N/A")</f>
        <v>6.2196994991652801</v>
      </c>
      <c r="AH3548">
        <v>62.196994991652801</v>
      </c>
      <c r="AI3548">
        <v>195.07134518121799</v>
      </c>
      <c r="AJ3548">
        <v>4.6176961602671103</v>
      </c>
      <c r="AK3548">
        <v>90.362270450751296</v>
      </c>
    </row>
    <row r="3549" spans="1:37" x14ac:dyDescent="0.3">
      <c r="A3549">
        <v>3548</v>
      </c>
      <c r="B3549">
        <v>0</v>
      </c>
      <c r="C3549">
        <v>-16.879299</v>
      </c>
      <c r="D3549">
        <v>15.037100000000001</v>
      </c>
      <c r="E3549">
        <f>-16.879299-15.0371</f>
        <v>-31.916398999999998</v>
      </c>
      <c r="F3549" t="s">
        <v>5640</v>
      </c>
      <c r="G3549" t="s">
        <v>39</v>
      </c>
      <c r="H3549">
        <v>2001</v>
      </c>
      <c r="I3549">
        <v>25.399999618530298</v>
      </c>
      <c r="J3549">
        <v>12.1000003814697</v>
      </c>
      <c r="K3549">
        <v>67</v>
      </c>
      <c r="L3549">
        <v>16.790000915527301</v>
      </c>
      <c r="M3549">
        <v>32.900001525878899</v>
      </c>
      <c r="N3549">
        <v>15.1000003814697</v>
      </c>
      <c r="O3549">
        <v>17.799999237060501</v>
      </c>
      <c r="P3549">
        <v>27</v>
      </c>
      <c r="Q3549">
        <v>23.899999618530298</v>
      </c>
      <c r="R3549">
        <v>27</v>
      </c>
      <c r="S3549">
        <v>23</v>
      </c>
      <c r="T3549">
        <v>415</v>
      </c>
      <c r="U3549">
        <v>157</v>
      </c>
      <c r="V3549">
        <v>0</v>
      </c>
      <c r="W3549">
        <v>155</v>
      </c>
      <c r="X3549">
        <v>367</v>
      </c>
      <c r="Y3549">
        <v>0</v>
      </c>
      <c r="Z3549">
        <v>243</v>
      </c>
      <c r="AA3549">
        <v>1</v>
      </c>
      <c r="AB3549">
        <v>3.4417343521755002</v>
      </c>
      <c r="AC3549">
        <v>5.8776348930330999E-2</v>
      </c>
      <c r="AD3549">
        <v>1.21205425670429</v>
      </c>
      <c r="AE3549">
        <v>0.68810653686523404</v>
      </c>
      <c r="AF3549">
        <v>53.697829716193702</v>
      </c>
      <c r="AG3549">
        <f>IFERROR(AH3549*0.1, "N/A")</f>
        <v>6.2475792988313898</v>
      </c>
      <c r="AH3549">
        <v>62.475792988313898</v>
      </c>
      <c r="AI3549">
        <v>175.444878764463</v>
      </c>
      <c r="AJ3549">
        <v>26.4207011686144</v>
      </c>
      <c r="AK3549">
        <v>56.699499165275498</v>
      </c>
    </row>
    <row r="3550" spans="1:37" x14ac:dyDescent="0.3">
      <c r="A3550">
        <v>3549</v>
      </c>
      <c r="B3550">
        <v>0</v>
      </c>
      <c r="C3550">
        <v>-16.879299</v>
      </c>
      <c r="D3550">
        <v>15.037100000000001</v>
      </c>
      <c r="E3550">
        <f>-16.879299-15.0371</f>
        <v>-31.916398999999998</v>
      </c>
      <c r="F3550" t="s">
        <v>5641</v>
      </c>
      <c r="G3550" t="s">
        <v>37</v>
      </c>
      <c r="H3550">
        <v>2001</v>
      </c>
      <c r="I3550">
        <v>25.399999618530298</v>
      </c>
      <c r="J3550">
        <v>12.1000003814697</v>
      </c>
      <c r="K3550">
        <v>67</v>
      </c>
      <c r="L3550">
        <v>16.790000915527301</v>
      </c>
      <c r="M3550">
        <v>32.900001525878899</v>
      </c>
      <c r="N3550">
        <v>15.1000003814697</v>
      </c>
      <c r="O3550">
        <v>17.799999237060501</v>
      </c>
      <c r="P3550">
        <v>27</v>
      </c>
      <c r="Q3550">
        <v>23.899999618530298</v>
      </c>
      <c r="R3550">
        <v>27</v>
      </c>
      <c r="S3550">
        <v>23</v>
      </c>
      <c r="T3550">
        <v>415</v>
      </c>
      <c r="U3550">
        <v>157</v>
      </c>
      <c r="V3550">
        <v>0</v>
      </c>
      <c r="W3550">
        <v>155</v>
      </c>
      <c r="X3550">
        <v>367</v>
      </c>
      <c r="Y3550">
        <v>0</v>
      </c>
      <c r="Z3550">
        <v>243</v>
      </c>
      <c r="AA3550">
        <v>1</v>
      </c>
      <c r="AB3550">
        <v>3.4417343521755002</v>
      </c>
      <c r="AC3550">
        <v>5.8776348930330999E-2</v>
      </c>
      <c r="AD3550">
        <v>1.21205425670429</v>
      </c>
      <c r="AE3550">
        <v>0.68810653686523404</v>
      </c>
      <c r="AF3550">
        <v>53.697829716193702</v>
      </c>
      <c r="AG3550">
        <f>IFERROR(AH3550*0.1, "N/A")</f>
        <v>6.2475792988313898</v>
      </c>
      <c r="AH3550">
        <v>62.475792988313898</v>
      </c>
      <c r="AI3550">
        <v>175.444878764463</v>
      </c>
      <c r="AJ3550">
        <v>26.4207011686144</v>
      </c>
      <c r="AK3550">
        <v>56.699499165275498</v>
      </c>
    </row>
    <row r="3551" spans="1:37" x14ac:dyDescent="0.3">
      <c r="A3551">
        <v>3550</v>
      </c>
      <c r="B3551">
        <v>4</v>
      </c>
      <c r="C3551">
        <v>-16.048300000000001</v>
      </c>
      <c r="D3551">
        <v>15.0411</v>
      </c>
      <c r="E3551">
        <f>-16.0483-15.0411</f>
        <v>-31.089400000000001</v>
      </c>
      <c r="F3551" t="s">
        <v>5642</v>
      </c>
      <c r="G3551" t="s">
        <v>39</v>
      </c>
      <c r="H3551">
        <v>2003</v>
      </c>
      <c r="I3551">
        <v>26.5</v>
      </c>
      <c r="J3551">
        <v>15.199999809265099</v>
      </c>
      <c r="K3551">
        <v>67</v>
      </c>
      <c r="L3551">
        <v>18.106147395506198</v>
      </c>
      <c r="M3551">
        <v>36.872195194314699</v>
      </c>
      <c r="N3551">
        <v>14.300000190734901</v>
      </c>
      <c r="O3551">
        <v>22.572194580257001</v>
      </c>
      <c r="P3551">
        <v>27.5</v>
      </c>
      <c r="Q3551">
        <v>25.799999237060501</v>
      </c>
      <c r="R3551">
        <v>28.372193817317601</v>
      </c>
      <c r="S3551">
        <v>23.600000381469702</v>
      </c>
      <c r="T3551">
        <v>449.44388609715202</v>
      </c>
      <c r="U3551">
        <v>160.72194304857601</v>
      </c>
      <c r="V3551">
        <v>0</v>
      </c>
      <c r="W3551">
        <v>146.72194304857601</v>
      </c>
      <c r="X3551">
        <v>389.44388609715202</v>
      </c>
      <c r="Y3551">
        <v>0</v>
      </c>
      <c r="Z3551">
        <v>120.72194304857599</v>
      </c>
      <c r="AA3551">
        <v>3</v>
      </c>
      <c r="AB3551">
        <v>2.7268009473330999</v>
      </c>
      <c r="AC3551">
        <v>8.2605929430609997E-3</v>
      </c>
      <c r="AD3551">
        <v>0.86668703144718895</v>
      </c>
      <c r="AE3551">
        <v>0.76601827144622803</v>
      </c>
      <c r="AF3551">
        <v>51.7035175879397</v>
      </c>
      <c r="AG3551">
        <f>IFERROR(AH3551*0.1, "N/A")</f>
        <v>7.0949748743718608</v>
      </c>
      <c r="AH3551">
        <v>70.949748743718601</v>
      </c>
      <c r="AI3551">
        <v>83.436752424767306</v>
      </c>
      <c r="AJ3551">
        <v>14.050251256281401</v>
      </c>
      <c r="AK3551">
        <v>74.899497487437202</v>
      </c>
    </row>
    <row r="3552" spans="1:37" x14ac:dyDescent="0.3">
      <c r="A3552">
        <v>3551</v>
      </c>
      <c r="B3552">
        <v>8</v>
      </c>
      <c r="C3552">
        <v>-16.046399999999998</v>
      </c>
      <c r="D3552">
        <v>15.042999999999999</v>
      </c>
      <c r="E3552">
        <f>-16.0464-15.043</f>
        <v>-31.089399999999998</v>
      </c>
      <c r="F3552" t="s">
        <v>5643</v>
      </c>
      <c r="G3552" t="s">
        <v>39</v>
      </c>
      <c r="H3552">
        <v>2003</v>
      </c>
      <c r="I3552">
        <v>26.5</v>
      </c>
      <c r="J3552">
        <v>15.199999809265099</v>
      </c>
      <c r="K3552">
        <v>67</v>
      </c>
      <c r="L3552">
        <v>18.200000762939499</v>
      </c>
      <c r="M3552">
        <v>36.799999237060497</v>
      </c>
      <c r="N3552">
        <v>14.300000190734901</v>
      </c>
      <c r="O3552">
        <v>22.5</v>
      </c>
      <c r="P3552">
        <v>27.5</v>
      </c>
      <c r="Q3552">
        <v>25.799999237060501</v>
      </c>
      <c r="R3552">
        <v>28.299999237060501</v>
      </c>
      <c r="S3552">
        <v>23.600000381469702</v>
      </c>
      <c r="T3552">
        <v>448</v>
      </c>
      <c r="U3552">
        <v>160</v>
      </c>
      <c r="V3552">
        <v>0</v>
      </c>
      <c r="W3552">
        <v>146</v>
      </c>
      <c r="X3552">
        <v>388</v>
      </c>
      <c r="Y3552">
        <v>0</v>
      </c>
      <c r="Z3552">
        <v>120</v>
      </c>
      <c r="AA3552">
        <v>3</v>
      </c>
      <c r="AB3552">
        <v>2.2887766405166299</v>
      </c>
      <c r="AC3552">
        <v>1.0460571523200001E-2</v>
      </c>
      <c r="AD3552">
        <v>1.87167596277879</v>
      </c>
      <c r="AE3552">
        <v>0.76601827144622803</v>
      </c>
      <c r="AF3552">
        <v>52.4321608040201</v>
      </c>
      <c r="AG3552">
        <f>IFERROR(AH3552*0.1, "N/A")</f>
        <v>6.9487437185929712</v>
      </c>
      <c r="AH3552">
        <v>69.487437185929707</v>
      </c>
      <c r="AI3552">
        <v>132.41512385165501</v>
      </c>
      <c r="AJ3552">
        <v>10.4941373534338</v>
      </c>
      <c r="AK3552">
        <v>77.204355108877706</v>
      </c>
    </row>
    <row r="3553" spans="1:37" x14ac:dyDescent="0.3">
      <c r="A3553">
        <v>3552</v>
      </c>
      <c r="B3553">
        <v>0</v>
      </c>
      <c r="C3553">
        <v>-16.166599000000001</v>
      </c>
      <c r="D3553">
        <v>15.05</v>
      </c>
      <c r="E3553">
        <f>-16.166599-15.05</f>
        <v>-31.216599000000002</v>
      </c>
      <c r="F3553" t="s">
        <v>5644</v>
      </c>
      <c r="G3553" t="s">
        <v>39</v>
      </c>
      <c r="H3553">
        <v>1996</v>
      </c>
      <c r="I3553">
        <v>26.477926337200699</v>
      </c>
      <c r="J3553">
        <v>15</v>
      </c>
      <c r="K3553">
        <v>67.013377926421398</v>
      </c>
      <c r="L3553">
        <v>17.786906009533698</v>
      </c>
      <c r="M3553">
        <v>36.3986637026171</v>
      </c>
      <c r="N3553">
        <v>14.300000190734901</v>
      </c>
      <c r="O3553">
        <v>22.098662583724298</v>
      </c>
      <c r="P3553">
        <v>27.5</v>
      </c>
      <c r="Q3553">
        <v>25.661037403604301</v>
      </c>
      <c r="R3553">
        <v>28.200000762939499</v>
      </c>
      <c r="S3553">
        <v>23.600000381469702</v>
      </c>
      <c r="T3553">
        <v>446.80602006689003</v>
      </c>
      <c r="U3553">
        <v>163</v>
      </c>
      <c r="V3553">
        <v>0</v>
      </c>
      <c r="W3553">
        <v>148</v>
      </c>
      <c r="X3553">
        <v>388.77926421404698</v>
      </c>
      <c r="Y3553">
        <v>0</v>
      </c>
      <c r="Z3553">
        <v>113</v>
      </c>
      <c r="AA3553">
        <v>2</v>
      </c>
      <c r="AB3553">
        <v>0.37458336871603298</v>
      </c>
      <c r="AC3553">
        <v>0.16105870980252299</v>
      </c>
      <c r="AD3553">
        <v>2.3421682364565899</v>
      </c>
      <c r="AE3553">
        <v>0.70135802030563399</v>
      </c>
      <c r="AF3553">
        <v>34.312709030100301</v>
      </c>
      <c r="AG3553">
        <f>IFERROR(AH3553*0.1, "N/A")</f>
        <v>6.4842809364548506</v>
      </c>
      <c r="AH3553">
        <v>64.842809364548501</v>
      </c>
      <c r="AI3553">
        <v>186.64033239581499</v>
      </c>
      <c r="AJ3553">
        <v>5.2625418060200699</v>
      </c>
      <c r="AK3553">
        <v>88.192307692307693</v>
      </c>
    </row>
    <row r="3554" spans="1:37" x14ac:dyDescent="0.3">
      <c r="A3554">
        <v>3553</v>
      </c>
      <c r="B3554">
        <v>0</v>
      </c>
      <c r="C3554">
        <v>-16.166599000000001</v>
      </c>
      <c r="D3554">
        <v>15.05</v>
      </c>
      <c r="E3554">
        <f>-16.166599-15.05</f>
        <v>-31.216599000000002</v>
      </c>
      <c r="F3554" t="s">
        <v>5645</v>
      </c>
      <c r="G3554" t="s">
        <v>37</v>
      </c>
      <c r="H3554">
        <v>1996</v>
      </c>
      <c r="I3554">
        <v>26.477926337200699</v>
      </c>
      <c r="J3554">
        <v>15</v>
      </c>
      <c r="K3554">
        <v>67.013377926421398</v>
      </c>
      <c r="L3554">
        <v>17.786906009533698</v>
      </c>
      <c r="M3554">
        <v>36.3986637026171</v>
      </c>
      <c r="N3554">
        <v>14.300000190734901</v>
      </c>
      <c r="O3554">
        <v>22.098662583724298</v>
      </c>
      <c r="P3554">
        <v>27.5</v>
      </c>
      <c r="Q3554">
        <v>25.661037403604301</v>
      </c>
      <c r="R3554">
        <v>28.200000762939499</v>
      </c>
      <c r="S3554">
        <v>23.600000381469702</v>
      </c>
      <c r="T3554">
        <v>446.80602006689003</v>
      </c>
      <c r="U3554">
        <v>163</v>
      </c>
      <c r="V3554">
        <v>0</v>
      </c>
      <c r="W3554">
        <v>148</v>
      </c>
      <c r="X3554">
        <v>388.77926421404698</v>
      </c>
      <c r="Y3554">
        <v>0</v>
      </c>
      <c r="Z3554">
        <v>113</v>
      </c>
      <c r="AA3554">
        <v>2</v>
      </c>
      <c r="AB3554">
        <v>0.37458336871603298</v>
      </c>
      <c r="AC3554">
        <v>0.16105870980252299</v>
      </c>
      <c r="AD3554">
        <v>2.3421682364565899</v>
      </c>
      <c r="AE3554">
        <v>0.70135802030563399</v>
      </c>
      <c r="AF3554">
        <v>34.312709030100301</v>
      </c>
      <c r="AG3554">
        <f>IFERROR(AH3554*0.1, "N/A")</f>
        <v>6.4842809364548506</v>
      </c>
      <c r="AH3554">
        <v>64.842809364548501</v>
      </c>
      <c r="AI3554">
        <v>186.64033239581499</v>
      </c>
      <c r="AJ3554">
        <v>5.2625418060200699</v>
      </c>
      <c r="AK3554">
        <v>88.192307692307693</v>
      </c>
    </row>
    <row r="3555" spans="1:37" x14ac:dyDescent="0.3">
      <c r="A3555">
        <v>3554</v>
      </c>
      <c r="B3555">
        <v>0</v>
      </c>
      <c r="C3555">
        <v>-16.859501000000002</v>
      </c>
      <c r="D3555">
        <v>15.0549</v>
      </c>
      <c r="E3555">
        <f>-16.859501-15.0549</f>
        <v>-31.914401000000002</v>
      </c>
      <c r="F3555" t="s">
        <v>5646</v>
      </c>
      <c r="G3555" t="s">
        <v>39</v>
      </c>
      <c r="H3555">
        <v>2001</v>
      </c>
      <c r="I3555">
        <v>25.5</v>
      </c>
      <c r="J3555">
        <v>12.1000003814697</v>
      </c>
      <c r="K3555">
        <v>67</v>
      </c>
      <c r="L3555">
        <v>16.649999618530298</v>
      </c>
      <c r="M3555">
        <v>33</v>
      </c>
      <c r="N3555">
        <v>15.199999809265099</v>
      </c>
      <c r="O3555">
        <v>17.799999237060501</v>
      </c>
      <c r="P3555">
        <v>27.100000381469702</v>
      </c>
      <c r="Q3555">
        <v>24</v>
      </c>
      <c r="R3555">
        <v>27.100000381469702</v>
      </c>
      <c r="S3555">
        <v>23.200000762939499</v>
      </c>
      <c r="T3555">
        <v>409</v>
      </c>
      <c r="U3555">
        <v>154</v>
      </c>
      <c r="V3555">
        <v>0</v>
      </c>
      <c r="W3555">
        <v>153</v>
      </c>
      <c r="X3555">
        <v>362</v>
      </c>
      <c r="Y3555">
        <v>0</v>
      </c>
      <c r="Z3555">
        <v>239</v>
      </c>
      <c r="AA3555">
        <v>1</v>
      </c>
      <c r="AB3555">
        <v>2.3391317539789198</v>
      </c>
      <c r="AC3555">
        <v>6.2336501821153002E-2</v>
      </c>
      <c r="AD3555">
        <v>0.92027600911947405</v>
      </c>
      <c r="AE3555">
        <v>0.60067051649093595</v>
      </c>
      <c r="AF3555">
        <v>40.1688963210702</v>
      </c>
      <c r="AG3555">
        <f>IFERROR(AH3555*0.1, "N/A")</f>
        <v>5.8000000000000007</v>
      </c>
      <c r="AH3555">
        <v>58</v>
      </c>
      <c r="AI3555">
        <v>149.89848709744399</v>
      </c>
      <c r="AJ3555">
        <v>18</v>
      </c>
      <c r="AK3555">
        <v>69</v>
      </c>
    </row>
    <row r="3556" spans="1:37" x14ac:dyDescent="0.3">
      <c r="A3556">
        <v>3555</v>
      </c>
      <c r="B3556">
        <v>0</v>
      </c>
      <c r="C3556">
        <v>-16.859501000000002</v>
      </c>
      <c r="D3556">
        <v>15.0549</v>
      </c>
      <c r="E3556">
        <f>-16.859501-15.0549</f>
        <v>-31.914401000000002</v>
      </c>
      <c r="F3556" t="s">
        <v>5647</v>
      </c>
      <c r="G3556" t="s">
        <v>37</v>
      </c>
      <c r="H3556">
        <v>2001</v>
      </c>
      <c r="I3556">
        <v>25.5</v>
      </c>
      <c r="J3556">
        <v>12.1000003814697</v>
      </c>
      <c r="K3556">
        <v>67</v>
      </c>
      <c r="L3556">
        <v>16.649999618530298</v>
      </c>
      <c r="M3556">
        <v>33</v>
      </c>
      <c r="N3556">
        <v>15.199999809265099</v>
      </c>
      <c r="O3556">
        <v>17.799999237060501</v>
      </c>
      <c r="P3556">
        <v>27.100000381469702</v>
      </c>
      <c r="Q3556">
        <v>24</v>
      </c>
      <c r="R3556">
        <v>27.100000381469702</v>
      </c>
      <c r="S3556">
        <v>23.200000762939499</v>
      </c>
      <c r="T3556">
        <v>409</v>
      </c>
      <c r="U3556">
        <v>154</v>
      </c>
      <c r="V3556">
        <v>0</v>
      </c>
      <c r="W3556">
        <v>153</v>
      </c>
      <c r="X3556">
        <v>362</v>
      </c>
      <c r="Y3556">
        <v>0</v>
      </c>
      <c r="Z3556">
        <v>239</v>
      </c>
      <c r="AA3556">
        <v>1</v>
      </c>
      <c r="AB3556">
        <v>2.3391317539789198</v>
      </c>
      <c r="AC3556">
        <v>6.2336501821153002E-2</v>
      </c>
      <c r="AD3556">
        <v>0.92027600911947405</v>
      </c>
      <c r="AE3556">
        <v>0.60067051649093595</v>
      </c>
      <c r="AF3556">
        <v>40.1688963210702</v>
      </c>
      <c r="AG3556">
        <f>IFERROR(AH3556*0.1, "N/A")</f>
        <v>5.8000000000000007</v>
      </c>
      <c r="AH3556">
        <v>58</v>
      </c>
      <c r="AI3556">
        <v>149.89848709744399</v>
      </c>
      <c r="AJ3556">
        <v>18</v>
      </c>
      <c r="AK3556">
        <v>69</v>
      </c>
    </row>
    <row r="3557" spans="1:37" x14ac:dyDescent="0.3">
      <c r="A3557">
        <v>3556</v>
      </c>
      <c r="B3557">
        <v>50</v>
      </c>
      <c r="C3557">
        <v>-12.5908</v>
      </c>
      <c r="D3557">
        <v>15.056699999999999</v>
      </c>
      <c r="E3557">
        <f>-12.5908-15.0567</f>
        <v>-27.647500000000001</v>
      </c>
      <c r="F3557" t="s">
        <v>5648</v>
      </c>
      <c r="G3557" t="s">
        <v>39</v>
      </c>
      <c r="H3557">
        <v>2004</v>
      </c>
      <c r="I3557">
        <v>28.799999237060501</v>
      </c>
      <c r="J3557">
        <v>14.800167413858301</v>
      </c>
      <c r="K3557">
        <v>58</v>
      </c>
      <c r="L3557">
        <v>25.7400164939089</v>
      </c>
      <c r="M3557">
        <v>41</v>
      </c>
      <c r="N3557">
        <v>15.699999809265099</v>
      </c>
      <c r="O3557">
        <v>25.299999237060501</v>
      </c>
      <c r="P3557">
        <v>28.299999237060501</v>
      </c>
      <c r="Q3557">
        <v>27.100000381469702</v>
      </c>
      <c r="R3557">
        <v>32.400001525878899</v>
      </c>
      <c r="S3557">
        <v>25.5</v>
      </c>
      <c r="T3557">
        <v>500.00334448160498</v>
      </c>
      <c r="U3557">
        <v>167</v>
      </c>
      <c r="V3557">
        <v>0</v>
      </c>
      <c r="W3557">
        <v>138.001672240803</v>
      </c>
      <c r="X3557">
        <v>412.00167224080298</v>
      </c>
      <c r="Y3557">
        <v>1</v>
      </c>
      <c r="Z3557">
        <v>53.001672240802698</v>
      </c>
      <c r="AA3557">
        <v>2</v>
      </c>
      <c r="AB3557">
        <v>12.5219062483032</v>
      </c>
      <c r="AC3557">
        <v>1.0539086358029999E-2</v>
      </c>
      <c r="AD3557">
        <v>0.74510014924317303</v>
      </c>
      <c r="AE3557">
        <v>0.30155161023139998</v>
      </c>
      <c r="AF3557">
        <v>23.4515050167224</v>
      </c>
      <c r="AG3557">
        <f>IFERROR(AH3557*0.1, "N/A")</f>
        <v>6.2</v>
      </c>
      <c r="AH3557">
        <v>62</v>
      </c>
      <c r="AI3557">
        <v>87.627831334653095</v>
      </c>
      <c r="AJ3557">
        <v>22</v>
      </c>
      <c r="AK3557">
        <v>57</v>
      </c>
    </row>
    <row r="3558" spans="1:37" x14ac:dyDescent="0.3">
      <c r="A3558">
        <v>3557</v>
      </c>
      <c r="B3558">
        <v>2.7</v>
      </c>
      <c r="C3558">
        <v>-16.345300999999999</v>
      </c>
      <c r="D3558">
        <v>15.073499999999999</v>
      </c>
      <c r="E3558">
        <f>-16.345301-15.0735</f>
        <v>-31.418800999999998</v>
      </c>
      <c r="F3558" t="s">
        <v>5649</v>
      </c>
      <c r="G3558" t="s">
        <v>39</v>
      </c>
      <c r="H3558">
        <v>1996</v>
      </c>
      <c r="I3558">
        <v>26.200000762939499</v>
      </c>
      <c r="J3558">
        <v>14.3999996185303</v>
      </c>
      <c r="K3558">
        <v>69</v>
      </c>
      <c r="L3558">
        <v>17.319999694824201</v>
      </c>
      <c r="M3558">
        <v>35.099998474121101</v>
      </c>
      <c r="N3558">
        <v>14.3999996185303</v>
      </c>
      <c r="O3558">
        <v>20.700000762939499</v>
      </c>
      <c r="P3558">
        <v>27.5</v>
      </c>
      <c r="Q3558">
        <v>25.200000762939499</v>
      </c>
      <c r="R3558">
        <v>27.799999237060501</v>
      </c>
      <c r="S3558">
        <v>23.5</v>
      </c>
      <c r="T3558">
        <v>455</v>
      </c>
      <c r="U3558">
        <v>167</v>
      </c>
      <c r="V3558">
        <v>0</v>
      </c>
      <c r="W3558">
        <v>151</v>
      </c>
      <c r="X3558">
        <v>394</v>
      </c>
      <c r="Y3558">
        <v>1</v>
      </c>
      <c r="Z3558">
        <v>271</v>
      </c>
      <c r="AA3558">
        <v>3</v>
      </c>
      <c r="AB3558">
        <v>1.0596678193410201</v>
      </c>
      <c r="AC3558">
        <v>2.3057264722884E-2</v>
      </c>
      <c r="AD3558">
        <v>1.12144200881322</v>
      </c>
      <c r="AE3558">
        <v>0.50654304027557395</v>
      </c>
      <c r="AF3558">
        <v>32.340000000000003</v>
      </c>
      <c r="AG3558">
        <f>IFERROR(AH3558*0.1, "N/A")</f>
        <v>6.4141666666666701</v>
      </c>
      <c r="AH3558">
        <v>64.141666666666694</v>
      </c>
      <c r="AI3558">
        <v>204.90414388020801</v>
      </c>
      <c r="AJ3558">
        <v>6.27</v>
      </c>
      <c r="AK3558">
        <v>85.843333333333305</v>
      </c>
    </row>
    <row r="3559" spans="1:37" x14ac:dyDescent="0.3">
      <c r="A3559">
        <v>3558</v>
      </c>
      <c r="B3559">
        <v>0</v>
      </c>
      <c r="C3559">
        <v>-16.345300999999999</v>
      </c>
      <c r="D3559">
        <v>15.073499999999999</v>
      </c>
      <c r="E3559">
        <f>-16.345301-15.0735</f>
        <v>-31.418800999999998</v>
      </c>
      <c r="F3559" t="s">
        <v>5650</v>
      </c>
      <c r="G3559" t="s">
        <v>37</v>
      </c>
      <c r="H3559">
        <v>1996</v>
      </c>
      <c r="I3559">
        <v>26.200000762939499</v>
      </c>
      <c r="J3559">
        <v>14.3999996185303</v>
      </c>
      <c r="K3559">
        <v>69</v>
      </c>
      <c r="L3559">
        <v>17.319999694824201</v>
      </c>
      <c r="M3559">
        <v>35.099998474121101</v>
      </c>
      <c r="N3559">
        <v>14.3999996185303</v>
      </c>
      <c r="O3559">
        <v>20.700000762939499</v>
      </c>
      <c r="P3559">
        <v>27.5</v>
      </c>
      <c r="Q3559">
        <v>25.200000762939499</v>
      </c>
      <c r="R3559">
        <v>27.799999237060501</v>
      </c>
      <c r="S3559">
        <v>23.5</v>
      </c>
      <c r="T3559">
        <v>455</v>
      </c>
      <c r="U3559">
        <v>167</v>
      </c>
      <c r="V3559">
        <v>0</v>
      </c>
      <c r="W3559">
        <v>151</v>
      </c>
      <c r="X3559">
        <v>394</v>
      </c>
      <c r="Y3559">
        <v>1</v>
      </c>
      <c r="Z3559">
        <v>271</v>
      </c>
      <c r="AA3559">
        <v>3</v>
      </c>
      <c r="AB3559">
        <v>1.0596678193410201</v>
      </c>
      <c r="AC3559">
        <v>2.3057264722884E-2</v>
      </c>
      <c r="AD3559">
        <v>1.12144200881322</v>
      </c>
      <c r="AE3559">
        <v>0.50654304027557395</v>
      </c>
      <c r="AF3559">
        <v>32.340000000000003</v>
      </c>
      <c r="AG3559">
        <f>IFERROR(AH3559*0.1, "N/A")</f>
        <v>6.4141666666666701</v>
      </c>
      <c r="AH3559">
        <v>64.141666666666694</v>
      </c>
      <c r="AI3559">
        <v>204.90414388020801</v>
      </c>
      <c r="AJ3559">
        <v>6.27</v>
      </c>
      <c r="AK3559">
        <v>85.843333333333305</v>
      </c>
    </row>
    <row r="3560" spans="1:37" x14ac:dyDescent="0.3">
      <c r="A3560">
        <v>3559</v>
      </c>
      <c r="B3560">
        <v>10</v>
      </c>
      <c r="C3560">
        <v>-16.171399999999998</v>
      </c>
      <c r="D3560">
        <v>15.1007</v>
      </c>
      <c r="E3560">
        <f>-16.1714-15.1007</f>
        <v>-31.272099999999998</v>
      </c>
      <c r="F3560" t="s">
        <v>5651</v>
      </c>
      <c r="G3560" t="s">
        <v>39</v>
      </c>
      <c r="H3560">
        <v>2003</v>
      </c>
      <c r="I3560">
        <v>26.299999237060501</v>
      </c>
      <c r="J3560">
        <v>14.800000190734901</v>
      </c>
      <c r="K3560">
        <v>68</v>
      </c>
      <c r="L3560">
        <v>17.930000305175799</v>
      </c>
      <c r="M3560">
        <v>36</v>
      </c>
      <c r="N3560">
        <v>14.300000190734901</v>
      </c>
      <c r="O3560">
        <v>21.700000762939499</v>
      </c>
      <c r="P3560">
        <v>27.399999618530298</v>
      </c>
      <c r="Q3560">
        <v>25.399999618530298</v>
      </c>
      <c r="R3560">
        <v>28</v>
      </c>
      <c r="S3560">
        <v>23.399999618530298</v>
      </c>
      <c r="T3560">
        <v>442</v>
      </c>
      <c r="U3560">
        <v>162</v>
      </c>
      <c r="V3560">
        <v>0</v>
      </c>
      <c r="W3560">
        <v>150</v>
      </c>
      <c r="X3560">
        <v>382</v>
      </c>
      <c r="Y3560">
        <v>1</v>
      </c>
      <c r="Z3560">
        <v>109</v>
      </c>
      <c r="AA3560">
        <v>3</v>
      </c>
      <c r="AB3560">
        <v>1.289316836502</v>
      </c>
      <c r="AC3560">
        <v>6.0289680024916997E-2</v>
      </c>
      <c r="AD3560">
        <v>1.1097266896937299</v>
      </c>
      <c r="AE3560">
        <v>0.72864128154187802</v>
      </c>
      <c r="AF3560">
        <v>38.609348914858103</v>
      </c>
      <c r="AG3560">
        <f>IFERROR(AH3560*0.1, "N/A")</f>
        <v>6</v>
      </c>
      <c r="AH3560">
        <v>60</v>
      </c>
      <c r="AI3560">
        <v>55.329318497137201</v>
      </c>
      <c r="AJ3560">
        <v>5</v>
      </c>
      <c r="AK3560">
        <v>88</v>
      </c>
    </row>
    <row r="3561" spans="1:37" x14ac:dyDescent="0.3">
      <c r="A3561">
        <v>3560</v>
      </c>
      <c r="B3561">
        <v>0</v>
      </c>
      <c r="C3561">
        <v>-16.547001000000002</v>
      </c>
      <c r="D3561">
        <v>15.1022</v>
      </c>
      <c r="E3561">
        <f>-16.547001-15.1022</f>
        <v>-31.649201000000001</v>
      </c>
      <c r="F3561" t="s">
        <v>5652</v>
      </c>
      <c r="G3561" t="s">
        <v>39</v>
      </c>
      <c r="H3561">
        <v>1996</v>
      </c>
      <c r="I3561">
        <v>25.799999237060501</v>
      </c>
      <c r="J3561">
        <v>13.5</v>
      </c>
      <c r="K3561">
        <v>69</v>
      </c>
      <c r="L3561">
        <v>16.75</v>
      </c>
      <c r="M3561">
        <v>33.900001525878899</v>
      </c>
      <c r="N3561">
        <v>14.6000003814697</v>
      </c>
      <c r="O3561">
        <v>19.299999237060501</v>
      </c>
      <c r="P3561">
        <v>27.200000762939499</v>
      </c>
      <c r="Q3561">
        <v>24.5</v>
      </c>
      <c r="R3561">
        <v>27.399999618530298</v>
      </c>
      <c r="S3561">
        <v>23.299999237060501</v>
      </c>
      <c r="T3561">
        <v>427</v>
      </c>
      <c r="U3561">
        <v>159</v>
      </c>
      <c r="V3561">
        <v>0</v>
      </c>
      <c r="W3561">
        <v>153</v>
      </c>
      <c r="X3561">
        <v>375</v>
      </c>
      <c r="Y3561">
        <v>0</v>
      </c>
      <c r="Z3561">
        <v>252</v>
      </c>
      <c r="AA3561">
        <v>2</v>
      </c>
      <c r="AB3561">
        <v>0.73624243512249599</v>
      </c>
      <c r="AC3561">
        <v>1.4160982119045E-2</v>
      </c>
      <c r="AD3561">
        <v>1.52130663514937</v>
      </c>
      <c r="AE3561">
        <v>0.71567827463150002</v>
      </c>
      <c r="AF3561">
        <v>35.317114093959702</v>
      </c>
      <c r="AG3561">
        <f>IFERROR(AH3561*0.1, "N/A")</f>
        <v>5.8046979865771808</v>
      </c>
      <c r="AH3561">
        <v>58.046979865771803</v>
      </c>
      <c r="AI3561">
        <v>130.135739899322</v>
      </c>
      <c r="AJ3561">
        <v>7</v>
      </c>
      <c r="AK3561">
        <v>86.954697986577202</v>
      </c>
    </row>
    <row r="3562" spans="1:37" x14ac:dyDescent="0.3">
      <c r="A3562">
        <v>3561</v>
      </c>
      <c r="B3562">
        <v>0</v>
      </c>
      <c r="C3562">
        <v>-16.547001000000002</v>
      </c>
      <c r="D3562">
        <v>15.1022</v>
      </c>
      <c r="E3562">
        <f>-16.547001-15.1022</f>
        <v>-31.649201000000001</v>
      </c>
      <c r="F3562" t="s">
        <v>5653</v>
      </c>
      <c r="G3562" t="s">
        <v>37</v>
      </c>
      <c r="H3562">
        <v>1996</v>
      </c>
      <c r="I3562">
        <v>25.799999237060501</v>
      </c>
      <c r="J3562">
        <v>13.5</v>
      </c>
      <c r="K3562">
        <v>69</v>
      </c>
      <c r="L3562">
        <v>16.75</v>
      </c>
      <c r="M3562">
        <v>33.900001525878899</v>
      </c>
      <c r="N3562">
        <v>14.6000003814697</v>
      </c>
      <c r="O3562">
        <v>19.299999237060501</v>
      </c>
      <c r="P3562">
        <v>27.200000762939499</v>
      </c>
      <c r="Q3562">
        <v>24.5</v>
      </c>
      <c r="R3562">
        <v>27.399999618530298</v>
      </c>
      <c r="S3562">
        <v>23.299999237060501</v>
      </c>
      <c r="T3562">
        <v>427</v>
      </c>
      <c r="U3562">
        <v>159</v>
      </c>
      <c r="V3562">
        <v>0</v>
      </c>
      <c r="W3562">
        <v>153</v>
      </c>
      <c r="X3562">
        <v>375</v>
      </c>
      <c r="Y3562">
        <v>0</v>
      </c>
      <c r="Z3562">
        <v>252</v>
      </c>
      <c r="AA3562">
        <v>2</v>
      </c>
      <c r="AB3562">
        <v>0.73624243512249599</v>
      </c>
      <c r="AC3562">
        <v>1.4160982119045E-2</v>
      </c>
      <c r="AD3562">
        <v>1.52130663514937</v>
      </c>
      <c r="AE3562">
        <v>0.71567827463150002</v>
      </c>
      <c r="AF3562">
        <v>35.317114093959702</v>
      </c>
      <c r="AG3562">
        <f>IFERROR(AH3562*0.1, "N/A")</f>
        <v>5.8046979865771808</v>
      </c>
      <c r="AH3562">
        <v>58.046979865771803</v>
      </c>
      <c r="AI3562">
        <v>130.135739899322</v>
      </c>
      <c r="AJ3562">
        <v>7</v>
      </c>
      <c r="AK3562">
        <v>86.954697986577202</v>
      </c>
    </row>
    <row r="3563" spans="1:37" x14ac:dyDescent="0.3">
      <c r="A3563">
        <v>3562</v>
      </c>
      <c r="B3563">
        <v>26</v>
      </c>
      <c r="C3563">
        <v>-15.85</v>
      </c>
      <c r="D3563">
        <v>15.15</v>
      </c>
      <c r="E3563">
        <f>-15.85-15.15</f>
        <v>-31</v>
      </c>
      <c r="F3563" t="s">
        <v>5654</v>
      </c>
      <c r="G3563" t="s">
        <v>39</v>
      </c>
      <c r="H3563">
        <v>2003</v>
      </c>
      <c r="I3563">
        <v>26.600000381469702</v>
      </c>
      <c r="J3563">
        <v>15.300000190734901</v>
      </c>
      <c r="K3563">
        <v>66.779632721202006</v>
      </c>
      <c r="L3563">
        <v>18.7045245130791</v>
      </c>
      <c r="M3563">
        <v>37.222037154565498</v>
      </c>
      <c r="N3563">
        <v>14.3779630167456</v>
      </c>
      <c r="O3563">
        <v>22.844072860947001</v>
      </c>
      <c r="P3563">
        <v>27.5</v>
      </c>
      <c r="Q3563">
        <v>25.899999618530298</v>
      </c>
      <c r="R3563">
        <v>28.581636371517</v>
      </c>
      <c r="S3563">
        <v>23.600000381469702</v>
      </c>
      <c r="T3563">
        <v>442.22036727879799</v>
      </c>
      <c r="U3563">
        <v>158</v>
      </c>
      <c r="V3563">
        <v>0</v>
      </c>
      <c r="W3563">
        <v>147</v>
      </c>
      <c r="X3563">
        <v>379</v>
      </c>
      <c r="Y3563">
        <v>1</v>
      </c>
      <c r="Z3563">
        <v>118.22036727879799</v>
      </c>
      <c r="AA3563">
        <v>3</v>
      </c>
      <c r="AB3563">
        <v>0.57161885868129803</v>
      </c>
      <c r="AC3563">
        <v>1.6416371077025E-2</v>
      </c>
      <c r="AD3563">
        <v>0.87173198081416203</v>
      </c>
      <c r="AE3563">
        <v>0.70006233453750599</v>
      </c>
      <c r="AF3563">
        <v>51.1919866444074</v>
      </c>
      <c r="AG3563">
        <f>IFERROR(AH3563*0.1, "N/A")</f>
        <v>6.3212020033389003</v>
      </c>
      <c r="AH3563">
        <v>63.212020033389003</v>
      </c>
      <c r="AI3563">
        <v>160.04289474869401</v>
      </c>
      <c r="AJ3563">
        <v>7.59599332220367</v>
      </c>
      <c r="AK3563">
        <v>86.808013355592706</v>
      </c>
    </row>
    <row r="3564" spans="1:37" x14ac:dyDescent="0.3">
      <c r="A3564">
        <v>3563</v>
      </c>
      <c r="B3564">
        <v>8</v>
      </c>
      <c r="C3564">
        <v>-15.9</v>
      </c>
      <c r="D3564">
        <v>15.2072</v>
      </c>
      <c r="E3564">
        <f>-15.9-15.2072</f>
        <v>-31.107199999999999</v>
      </c>
      <c r="F3564" t="s">
        <v>5655</v>
      </c>
      <c r="G3564" t="s">
        <v>39</v>
      </c>
      <c r="H3564">
        <v>2003</v>
      </c>
      <c r="I3564">
        <v>26.4340030983265</v>
      </c>
      <c r="J3564">
        <v>15.1000003814697</v>
      </c>
      <c r="K3564">
        <v>67</v>
      </c>
      <c r="L3564">
        <v>18.3912060576268</v>
      </c>
      <c r="M3564">
        <v>36.700000762939503</v>
      </c>
      <c r="N3564">
        <v>14.300000190734901</v>
      </c>
      <c r="O3564">
        <v>22.399999618530298</v>
      </c>
      <c r="P3564">
        <v>27.4340030983265</v>
      </c>
      <c r="Q3564">
        <v>25.700000762939499</v>
      </c>
      <c r="R3564">
        <v>28.299999237060501</v>
      </c>
      <c r="S3564">
        <v>23.5</v>
      </c>
      <c r="T3564">
        <v>435.65996649916298</v>
      </c>
      <c r="U3564">
        <v>157</v>
      </c>
      <c r="V3564">
        <v>0</v>
      </c>
      <c r="W3564">
        <v>146</v>
      </c>
      <c r="X3564">
        <v>374</v>
      </c>
      <c r="Y3564">
        <v>1</v>
      </c>
      <c r="Z3564">
        <v>113.659966499162</v>
      </c>
      <c r="AA3564">
        <v>3</v>
      </c>
      <c r="AB3564">
        <v>2.30988302182912</v>
      </c>
      <c r="AC3564">
        <v>1.1475740710408E-2</v>
      </c>
      <c r="AD3564">
        <v>1.0419663497351299</v>
      </c>
      <c r="AE3564">
        <v>0.70457539426621496</v>
      </c>
      <c r="AF3564">
        <v>52.949748743718601</v>
      </c>
      <c r="AG3564">
        <f>IFERROR(AH3564*0.1, "N/A")</f>
        <v>6.8216080402010109</v>
      </c>
      <c r="AH3564">
        <v>68.216080402010107</v>
      </c>
      <c r="AI3564">
        <v>236.728245823028</v>
      </c>
      <c r="AJ3564">
        <v>6.0804020100502498</v>
      </c>
      <c r="AK3564">
        <v>86.963149078727</v>
      </c>
    </row>
    <row r="3565" spans="1:37" x14ac:dyDescent="0.3">
      <c r="A3565">
        <v>3564</v>
      </c>
      <c r="B3565">
        <v>16</v>
      </c>
      <c r="C3565">
        <v>-16.09</v>
      </c>
      <c r="D3565">
        <v>15.21</v>
      </c>
      <c r="E3565">
        <f>-16.09-15.21</f>
        <v>-31.3</v>
      </c>
      <c r="F3565" t="s">
        <v>5656</v>
      </c>
      <c r="G3565" t="s">
        <v>39</v>
      </c>
      <c r="H3565">
        <v>2003</v>
      </c>
      <c r="I3565">
        <v>26.200000762939499</v>
      </c>
      <c r="J3565">
        <v>14.6000003814697</v>
      </c>
      <c r="K3565">
        <v>68</v>
      </c>
      <c r="L3565">
        <v>17.940000534057599</v>
      </c>
      <c r="M3565">
        <v>35.599998474121101</v>
      </c>
      <c r="N3565">
        <v>14.300000190734901</v>
      </c>
      <c r="O3565">
        <v>21.299999237060501</v>
      </c>
      <c r="P3565">
        <v>27.399999618530298</v>
      </c>
      <c r="Q3565">
        <v>25.200000762939499</v>
      </c>
      <c r="R3565">
        <v>27.899999618530298</v>
      </c>
      <c r="S3565">
        <v>23.399999618530298</v>
      </c>
      <c r="T3565">
        <v>436</v>
      </c>
      <c r="U3565">
        <v>161</v>
      </c>
      <c r="V3565">
        <v>0</v>
      </c>
      <c r="W3565">
        <v>147</v>
      </c>
      <c r="X3565">
        <v>374</v>
      </c>
      <c r="Y3565">
        <v>1</v>
      </c>
      <c r="Z3565">
        <v>108</v>
      </c>
      <c r="AA3565">
        <v>3</v>
      </c>
      <c r="AB3565">
        <v>1.9055287985745799</v>
      </c>
      <c r="AC3565">
        <v>1.0328008184893E-2</v>
      </c>
      <c r="AD3565">
        <v>1.62102492850031</v>
      </c>
      <c r="AE3565">
        <v>0.62570163492780995</v>
      </c>
      <c r="AF3565">
        <v>48.1976549413735</v>
      </c>
      <c r="AG3565">
        <f>IFERROR(AH3565*0.1, "N/A")</f>
        <v>6.9760469011725306</v>
      </c>
      <c r="AH3565">
        <v>69.760469011725306</v>
      </c>
      <c r="AI3565">
        <v>191.38741175972601</v>
      </c>
      <c r="AJ3565">
        <v>4.95477386934673</v>
      </c>
      <c r="AK3565">
        <v>88.566164154103802</v>
      </c>
    </row>
    <row r="3566" spans="1:37" x14ac:dyDescent="0.3">
      <c r="A3566">
        <v>3565</v>
      </c>
      <c r="B3566">
        <v>0</v>
      </c>
      <c r="C3566">
        <v>-15.556800000000001</v>
      </c>
      <c r="D3566">
        <v>15.2194</v>
      </c>
      <c r="E3566">
        <f>-15.5568-15.2194</f>
        <v>-30.776200000000003</v>
      </c>
      <c r="F3566" t="s">
        <v>5657</v>
      </c>
      <c r="G3566" t="s">
        <v>39</v>
      </c>
      <c r="H3566">
        <v>1996</v>
      </c>
      <c r="I3566">
        <v>27.100000381469702</v>
      </c>
      <c r="J3566">
        <v>15.5</v>
      </c>
      <c r="K3566">
        <v>64</v>
      </c>
      <c r="L3566">
        <v>20.5</v>
      </c>
      <c r="M3566">
        <v>38.599998474121101</v>
      </c>
      <c r="N3566">
        <v>14.6000003814697</v>
      </c>
      <c r="O3566">
        <v>24</v>
      </c>
      <c r="P3566">
        <v>27.799999237060501</v>
      </c>
      <c r="Q3566">
        <v>25</v>
      </c>
      <c r="R3566">
        <v>29.299999237060501</v>
      </c>
      <c r="S3566">
        <v>23.899999618530298</v>
      </c>
      <c r="T3566">
        <v>434</v>
      </c>
      <c r="U3566">
        <v>152</v>
      </c>
      <c r="V3566">
        <v>0</v>
      </c>
      <c r="W3566">
        <v>143</v>
      </c>
      <c r="X3566">
        <v>369</v>
      </c>
      <c r="Y3566">
        <v>1</v>
      </c>
      <c r="Z3566">
        <v>122</v>
      </c>
      <c r="AA3566">
        <v>2</v>
      </c>
      <c r="AB3566">
        <v>0.59614684394056905</v>
      </c>
      <c r="AC3566">
        <v>1.05107962588157</v>
      </c>
      <c r="AD3566">
        <v>1.3138221564205099</v>
      </c>
      <c r="AE3566">
        <v>0.68151044845581099</v>
      </c>
      <c r="AF3566">
        <v>43.229480737018399</v>
      </c>
      <c r="AG3566">
        <f>IFERROR(AH3566*0.1, "N/A")</f>
        <v>6.2914572864321601</v>
      </c>
      <c r="AH3566">
        <v>62.914572864321599</v>
      </c>
      <c r="AI3566">
        <v>176.09726275471201</v>
      </c>
      <c r="AJ3566">
        <v>6</v>
      </c>
      <c r="AK3566">
        <v>88.971524288107204</v>
      </c>
    </row>
    <row r="3567" spans="1:37" x14ac:dyDescent="0.3">
      <c r="A3567">
        <v>3566</v>
      </c>
      <c r="B3567">
        <v>0</v>
      </c>
      <c r="C3567">
        <v>-15.556800000000001</v>
      </c>
      <c r="D3567">
        <v>15.2194</v>
      </c>
      <c r="E3567">
        <f>-15.5568-15.2194</f>
        <v>-30.776200000000003</v>
      </c>
      <c r="F3567" t="s">
        <v>5658</v>
      </c>
      <c r="G3567" t="s">
        <v>37</v>
      </c>
      <c r="H3567">
        <v>1996</v>
      </c>
      <c r="I3567">
        <v>27.100000381469702</v>
      </c>
      <c r="J3567">
        <v>15.5</v>
      </c>
      <c r="K3567">
        <v>64</v>
      </c>
      <c r="L3567">
        <v>20.5</v>
      </c>
      <c r="M3567">
        <v>38.599998474121101</v>
      </c>
      <c r="N3567">
        <v>14.6000003814697</v>
      </c>
      <c r="O3567">
        <v>24</v>
      </c>
      <c r="P3567">
        <v>27.799999237060501</v>
      </c>
      <c r="Q3567">
        <v>25</v>
      </c>
      <c r="R3567">
        <v>29.299999237060501</v>
      </c>
      <c r="S3567">
        <v>23.899999618530298</v>
      </c>
      <c r="T3567">
        <v>434</v>
      </c>
      <c r="U3567">
        <v>152</v>
      </c>
      <c r="V3567">
        <v>0</v>
      </c>
      <c r="W3567">
        <v>143</v>
      </c>
      <c r="X3567">
        <v>369</v>
      </c>
      <c r="Y3567">
        <v>1</v>
      </c>
      <c r="Z3567">
        <v>122</v>
      </c>
      <c r="AA3567">
        <v>2</v>
      </c>
      <c r="AB3567">
        <v>0.59614684394056905</v>
      </c>
      <c r="AC3567">
        <v>1.05107962588157</v>
      </c>
      <c r="AD3567">
        <v>1.3138221564205099</v>
      </c>
      <c r="AE3567">
        <v>0.68151044845581099</v>
      </c>
      <c r="AF3567">
        <v>43.229480737018399</v>
      </c>
      <c r="AG3567">
        <f>IFERROR(AH3567*0.1, "N/A")</f>
        <v>6.2914572864321601</v>
      </c>
      <c r="AH3567">
        <v>62.914572864321599</v>
      </c>
      <c r="AI3567">
        <v>176.09726275471201</v>
      </c>
      <c r="AJ3567">
        <v>6</v>
      </c>
      <c r="AK3567">
        <v>88.971524288107204</v>
      </c>
    </row>
    <row r="3568" spans="1:37" x14ac:dyDescent="0.3">
      <c r="A3568">
        <v>3567</v>
      </c>
      <c r="B3568">
        <v>42.400002000000001</v>
      </c>
      <c r="C3568">
        <v>-14.1502</v>
      </c>
      <c r="D3568">
        <v>15.2211</v>
      </c>
      <c r="E3568">
        <f>-14.1502-15.2211</f>
        <v>-29.371299999999998</v>
      </c>
      <c r="F3568" t="s">
        <v>5659</v>
      </c>
      <c r="G3568" t="s">
        <v>39</v>
      </c>
      <c r="H3568">
        <v>1996</v>
      </c>
      <c r="I3568">
        <v>28.643980482350202</v>
      </c>
      <c r="J3568">
        <v>15.3999996185303</v>
      </c>
      <c r="K3568">
        <v>59</v>
      </c>
      <c r="L3568">
        <v>24.895652302132799</v>
      </c>
      <c r="M3568">
        <v>41.0439792620299</v>
      </c>
      <c r="N3568">
        <v>15.287959591600799</v>
      </c>
      <c r="O3568">
        <v>25.7560199750307</v>
      </c>
      <c r="P3568">
        <v>29</v>
      </c>
      <c r="Q3568">
        <v>25.487959820291302</v>
      </c>
      <c r="R3568">
        <v>31.7439800249693</v>
      </c>
      <c r="S3568">
        <v>25.0439801008805</v>
      </c>
      <c r="T3568">
        <v>485.56020066889602</v>
      </c>
      <c r="U3568">
        <v>160</v>
      </c>
      <c r="V3568">
        <v>0</v>
      </c>
      <c r="W3568">
        <v>140</v>
      </c>
      <c r="X3568">
        <v>406</v>
      </c>
      <c r="Y3568">
        <v>1</v>
      </c>
      <c r="Z3568">
        <v>35</v>
      </c>
      <c r="AA3568">
        <v>2</v>
      </c>
      <c r="AB3568">
        <v>0.964046822742475</v>
      </c>
      <c r="AC3568">
        <v>28.686341442870201</v>
      </c>
      <c r="AD3568">
        <v>1.23348524887426</v>
      </c>
      <c r="AE3568">
        <v>0.123172849416733</v>
      </c>
      <c r="AF3568">
        <v>25.413043478260899</v>
      </c>
      <c r="AG3568">
        <f>IFERROR(AH3568*0.1, "N/A")</f>
        <v>6.3680602006689</v>
      </c>
      <c r="AH3568">
        <v>63.680602006689</v>
      </c>
      <c r="AI3568">
        <v>224.794358320459</v>
      </c>
      <c r="AJ3568">
        <v>15.5602006688963</v>
      </c>
      <c r="AK3568">
        <v>70.4397993311037</v>
      </c>
    </row>
    <row r="3569" spans="1:37" x14ac:dyDescent="0.3">
      <c r="A3569">
        <v>3568</v>
      </c>
      <c r="B3569">
        <v>0</v>
      </c>
      <c r="C3569">
        <v>-14.1502</v>
      </c>
      <c r="D3569">
        <v>15.2211</v>
      </c>
      <c r="E3569">
        <f>-14.1502-15.2211</f>
        <v>-29.371299999999998</v>
      </c>
      <c r="F3569" t="s">
        <v>5660</v>
      </c>
      <c r="G3569" t="s">
        <v>37</v>
      </c>
      <c r="H3569">
        <v>1996</v>
      </c>
      <c r="I3569">
        <v>28.643980482350202</v>
      </c>
      <c r="J3569">
        <v>15.3999996185303</v>
      </c>
      <c r="K3569">
        <v>59</v>
      </c>
      <c r="L3569">
        <v>24.895652302132799</v>
      </c>
      <c r="M3569">
        <v>41.0439792620299</v>
      </c>
      <c r="N3569">
        <v>15.287959591600799</v>
      </c>
      <c r="O3569">
        <v>25.7560199750307</v>
      </c>
      <c r="P3569">
        <v>29</v>
      </c>
      <c r="Q3569">
        <v>25.487959820291302</v>
      </c>
      <c r="R3569">
        <v>31.7439800249693</v>
      </c>
      <c r="S3569">
        <v>25.0439801008805</v>
      </c>
      <c r="T3569">
        <v>485.56020066889602</v>
      </c>
      <c r="U3569">
        <v>160</v>
      </c>
      <c r="V3569">
        <v>0</v>
      </c>
      <c r="W3569">
        <v>140</v>
      </c>
      <c r="X3569">
        <v>406</v>
      </c>
      <c r="Y3569">
        <v>1</v>
      </c>
      <c r="Z3569">
        <v>35</v>
      </c>
      <c r="AA3569">
        <v>2</v>
      </c>
      <c r="AB3569">
        <v>0.964046822742475</v>
      </c>
      <c r="AC3569">
        <v>28.686341442870201</v>
      </c>
      <c r="AD3569">
        <v>1.23348524887426</v>
      </c>
      <c r="AE3569">
        <v>0.123172849416733</v>
      </c>
      <c r="AF3569">
        <v>25.413043478260899</v>
      </c>
      <c r="AG3569">
        <f>IFERROR(AH3569*0.1, "N/A")</f>
        <v>6.3680602006689</v>
      </c>
      <c r="AH3569">
        <v>63.680602006689</v>
      </c>
      <c r="AI3569">
        <v>224.794358320459</v>
      </c>
      <c r="AJ3569">
        <v>15.5602006688963</v>
      </c>
      <c r="AK3569">
        <v>70.4397993311037</v>
      </c>
    </row>
    <row r="3570" spans="1:37" x14ac:dyDescent="0.3">
      <c r="A3570">
        <v>3569</v>
      </c>
      <c r="B3570">
        <v>40</v>
      </c>
      <c r="C3570">
        <v>-15.642899999999999</v>
      </c>
      <c r="D3570">
        <v>15.235200000000001</v>
      </c>
      <c r="E3570">
        <f>-15.6429-15.2352</f>
        <v>-30.8781</v>
      </c>
      <c r="F3570" t="s">
        <v>5661</v>
      </c>
      <c r="G3570" t="s">
        <v>39</v>
      </c>
      <c r="H3570">
        <v>2003</v>
      </c>
      <c r="I3570">
        <v>26.899999618530298</v>
      </c>
      <c r="J3570">
        <v>15.3999996185303</v>
      </c>
      <c r="K3570">
        <v>65</v>
      </c>
      <c r="L3570">
        <v>19.7700004577637</v>
      </c>
      <c r="M3570">
        <v>38</v>
      </c>
      <c r="N3570">
        <v>14.5</v>
      </c>
      <c r="O3570">
        <v>23.5</v>
      </c>
      <c r="P3570">
        <v>27.700000762939499</v>
      </c>
      <c r="Q3570">
        <v>24.799999237060501</v>
      </c>
      <c r="R3570">
        <v>29</v>
      </c>
      <c r="S3570">
        <v>23.799999237060501</v>
      </c>
      <c r="T3570">
        <v>431</v>
      </c>
      <c r="U3570">
        <v>153</v>
      </c>
      <c r="V3570">
        <v>0</v>
      </c>
      <c r="W3570">
        <v>147</v>
      </c>
      <c r="X3570">
        <v>368</v>
      </c>
      <c r="Y3570">
        <v>1</v>
      </c>
      <c r="Z3570">
        <v>118</v>
      </c>
      <c r="AA3570">
        <v>2</v>
      </c>
      <c r="AB3570">
        <v>2.1830280069106802</v>
      </c>
      <c r="AC3570">
        <v>9.1457506006400006E-3</v>
      </c>
      <c r="AD3570">
        <v>1.6210002825779899</v>
      </c>
      <c r="AE3570">
        <v>0.67423810280499996</v>
      </c>
      <c r="AF3570">
        <v>51.184692179700498</v>
      </c>
      <c r="AG3570">
        <f>IFERROR(AH3570*0.1, "N/A")</f>
        <v>5.9973377703826998</v>
      </c>
      <c r="AH3570">
        <v>59.973377703826998</v>
      </c>
      <c r="AI3570">
        <v>103.822008307484</v>
      </c>
      <c r="AJ3570">
        <v>6</v>
      </c>
      <c r="AK3570">
        <v>86.973377703826998</v>
      </c>
    </row>
    <row r="3571" spans="1:37" x14ac:dyDescent="0.3">
      <c r="A3571">
        <v>3570</v>
      </c>
      <c r="B3571">
        <v>0</v>
      </c>
      <c r="C3571">
        <v>-16.848101</v>
      </c>
      <c r="D3571">
        <v>15.2628</v>
      </c>
      <c r="E3571">
        <f>-16.848101-15.2628</f>
        <v>-32.110900999999998</v>
      </c>
      <c r="F3571" t="s">
        <v>5662</v>
      </c>
      <c r="G3571" t="s">
        <v>39</v>
      </c>
      <c r="H3571">
        <v>2001</v>
      </c>
      <c r="I3571">
        <v>25.299999237060501</v>
      </c>
      <c r="J3571">
        <v>11.3999996185303</v>
      </c>
      <c r="K3571">
        <v>66</v>
      </c>
      <c r="L3571">
        <v>18.639999389648398</v>
      </c>
      <c r="M3571">
        <v>32.5</v>
      </c>
      <c r="N3571">
        <v>15.3999996185303</v>
      </c>
      <c r="O3571">
        <v>17.100000381469702</v>
      </c>
      <c r="P3571">
        <v>27.299999237060501</v>
      </c>
      <c r="Q3571">
        <v>24.100000381469702</v>
      </c>
      <c r="R3571">
        <v>27.299999237060501</v>
      </c>
      <c r="S3571">
        <v>22.899999618530298</v>
      </c>
      <c r="T3571">
        <v>366</v>
      </c>
      <c r="U3571">
        <v>138</v>
      </c>
      <c r="V3571">
        <v>0</v>
      </c>
      <c r="W3571">
        <v>156</v>
      </c>
      <c r="X3571">
        <v>325</v>
      </c>
      <c r="Y3571">
        <v>0</v>
      </c>
      <c r="Z3571">
        <v>291</v>
      </c>
      <c r="AA3571">
        <v>2</v>
      </c>
      <c r="AB3571">
        <v>6.0951666768391899</v>
      </c>
      <c r="AC3571">
        <v>0.13189779955893799</v>
      </c>
      <c r="AD3571">
        <v>1.0637273096044899</v>
      </c>
      <c r="AE3571">
        <v>0.43314635753631597</v>
      </c>
      <c r="AF3571">
        <v>5.7533333333333303</v>
      </c>
      <c r="AG3571">
        <f>IFERROR(AH3571*0.1, "N/A")</f>
        <v>6.1585000000000001</v>
      </c>
      <c r="AH3571">
        <v>61.585000000000001</v>
      </c>
      <c r="AI3571">
        <v>280.747016499837</v>
      </c>
      <c r="AJ3571">
        <v>24.965</v>
      </c>
      <c r="AK3571">
        <v>55.69</v>
      </c>
    </row>
    <row r="3572" spans="1:37" x14ac:dyDescent="0.3">
      <c r="A3572">
        <v>3571</v>
      </c>
      <c r="B3572">
        <v>0</v>
      </c>
      <c r="C3572">
        <v>-16.848101</v>
      </c>
      <c r="D3572">
        <v>15.2628</v>
      </c>
      <c r="E3572">
        <f>-16.848101-15.2628</f>
        <v>-32.110900999999998</v>
      </c>
      <c r="F3572" t="s">
        <v>5663</v>
      </c>
      <c r="G3572" t="s">
        <v>37</v>
      </c>
      <c r="H3572">
        <v>2001</v>
      </c>
      <c r="I3572">
        <v>25.299999237060501</v>
      </c>
      <c r="J3572">
        <v>11.3999996185303</v>
      </c>
      <c r="K3572">
        <v>66</v>
      </c>
      <c r="L3572">
        <v>18.639999389648398</v>
      </c>
      <c r="M3572">
        <v>32.5</v>
      </c>
      <c r="N3572">
        <v>15.3999996185303</v>
      </c>
      <c r="O3572">
        <v>17.100000381469702</v>
      </c>
      <c r="P3572">
        <v>27.299999237060501</v>
      </c>
      <c r="Q3572">
        <v>24.100000381469702</v>
      </c>
      <c r="R3572">
        <v>27.299999237060501</v>
      </c>
      <c r="S3572">
        <v>22.899999618530298</v>
      </c>
      <c r="T3572">
        <v>366</v>
      </c>
      <c r="U3572">
        <v>138</v>
      </c>
      <c r="V3572">
        <v>0</v>
      </c>
      <c r="W3572">
        <v>156</v>
      </c>
      <c r="X3572">
        <v>325</v>
      </c>
      <c r="Y3572">
        <v>0</v>
      </c>
      <c r="Z3572">
        <v>291</v>
      </c>
      <c r="AA3572">
        <v>2</v>
      </c>
      <c r="AB3572">
        <v>6.0951666768391899</v>
      </c>
      <c r="AC3572">
        <v>0.13189779955893799</v>
      </c>
      <c r="AD3572">
        <v>1.0637273096044899</v>
      </c>
      <c r="AE3572">
        <v>0.43314635753631597</v>
      </c>
      <c r="AF3572">
        <v>5.7533333333333303</v>
      </c>
      <c r="AG3572">
        <f>IFERROR(AH3572*0.1, "N/A")</f>
        <v>6.1585000000000001</v>
      </c>
      <c r="AH3572">
        <v>61.585000000000001</v>
      </c>
      <c r="AI3572">
        <v>280.747016499837</v>
      </c>
      <c r="AJ3572">
        <v>24.965</v>
      </c>
      <c r="AK3572">
        <v>55.69</v>
      </c>
    </row>
    <row r="3573" spans="1:37" x14ac:dyDescent="0.3">
      <c r="A3573">
        <v>3572</v>
      </c>
      <c r="B3573">
        <v>92</v>
      </c>
      <c r="C3573">
        <v>-14.7287</v>
      </c>
      <c r="D3573">
        <v>15.2653</v>
      </c>
      <c r="E3573">
        <f>-14.7287-15.2653</f>
        <v>-29.994</v>
      </c>
      <c r="F3573" t="s">
        <v>5664</v>
      </c>
      <c r="G3573" t="s">
        <v>39</v>
      </c>
      <c r="H3573">
        <v>2003</v>
      </c>
      <c r="I3573">
        <v>28.5</v>
      </c>
      <c r="J3573">
        <v>15.699999809265099</v>
      </c>
      <c r="K3573">
        <v>62</v>
      </c>
      <c r="L3573">
        <v>23.040000915527301</v>
      </c>
      <c r="M3573">
        <v>40.700000762939503</v>
      </c>
      <c r="N3573">
        <v>15.3999996185303</v>
      </c>
      <c r="O3573">
        <v>25.299999237060501</v>
      </c>
      <c r="P3573">
        <v>29</v>
      </c>
      <c r="Q3573">
        <v>28.299999237060501</v>
      </c>
      <c r="R3573">
        <v>31.200000762939499</v>
      </c>
      <c r="S3573">
        <v>25</v>
      </c>
      <c r="T3573">
        <v>432</v>
      </c>
      <c r="U3573">
        <v>142</v>
      </c>
      <c r="V3573">
        <v>0</v>
      </c>
      <c r="W3573">
        <v>137</v>
      </c>
      <c r="X3573">
        <v>360</v>
      </c>
      <c r="Y3573">
        <v>1</v>
      </c>
      <c r="Z3573">
        <v>28</v>
      </c>
      <c r="AA3573">
        <v>2</v>
      </c>
      <c r="AB3573">
        <v>1.4569279347516899</v>
      </c>
      <c r="AC3573">
        <v>1.7055009676762E-2</v>
      </c>
      <c r="AD3573">
        <v>1.1845843913360099</v>
      </c>
      <c r="AE3573">
        <v>0.594762623310089</v>
      </c>
      <c r="AF3573">
        <v>20.646076794657802</v>
      </c>
      <c r="AG3573">
        <f>IFERROR(AH3573*0.1, "N/A")</f>
        <v>6.5577629382303799</v>
      </c>
      <c r="AH3573">
        <v>65.577629382303797</v>
      </c>
      <c r="AI3573">
        <v>146.601909086581</v>
      </c>
      <c r="AJ3573">
        <v>9.5909849749582605</v>
      </c>
      <c r="AK3573">
        <v>73.824707846410703</v>
      </c>
    </row>
    <row r="3574" spans="1:37" x14ac:dyDescent="0.3">
      <c r="A3574">
        <v>3573</v>
      </c>
      <c r="B3574">
        <v>39.799999</v>
      </c>
      <c r="C3574">
        <v>-14.6708</v>
      </c>
      <c r="D3574">
        <v>15.275499999999999</v>
      </c>
      <c r="E3574">
        <f>-14.6708-15.2755</f>
        <v>-29.946300000000001</v>
      </c>
      <c r="F3574" t="s">
        <v>5665</v>
      </c>
      <c r="G3574" t="s">
        <v>39</v>
      </c>
      <c r="H3574">
        <v>1996</v>
      </c>
      <c r="I3574">
        <v>28.600000381469702</v>
      </c>
      <c r="J3574">
        <v>15.699999809265099</v>
      </c>
      <c r="K3574">
        <v>61</v>
      </c>
      <c r="L3574">
        <v>23.6805847753865</v>
      </c>
      <c r="M3574">
        <v>40.892154935604303</v>
      </c>
      <c r="N3574">
        <v>15.3999996185303</v>
      </c>
      <c r="O3574">
        <v>25.492153559383802</v>
      </c>
      <c r="P3574">
        <v>29.100000381469702</v>
      </c>
      <c r="Q3574">
        <v>28.299999237060501</v>
      </c>
      <c r="R3574">
        <v>31.299999237060501</v>
      </c>
      <c r="S3574">
        <v>25</v>
      </c>
      <c r="T3574">
        <v>432.235392320534</v>
      </c>
      <c r="U3574">
        <v>142.07846410684499</v>
      </c>
      <c r="V3574">
        <v>0</v>
      </c>
      <c r="W3574">
        <v>137.07846410684499</v>
      </c>
      <c r="X3574">
        <v>360.15692821368901</v>
      </c>
      <c r="Y3574">
        <v>1</v>
      </c>
      <c r="Z3574">
        <v>28.078464106844699</v>
      </c>
      <c r="AA3574">
        <v>2</v>
      </c>
      <c r="AB3574">
        <v>1.3402338234928499</v>
      </c>
      <c r="AC3574">
        <v>5410.5063577688898</v>
      </c>
      <c r="AD3574">
        <v>2.1192771713801299</v>
      </c>
      <c r="AE3574">
        <v>0.22845059633254999</v>
      </c>
      <c r="AF3574">
        <v>14.6761268781302</v>
      </c>
      <c r="AG3574">
        <f>IFERROR(AH3574*0.1, "N/A")</f>
        <v>6.2559265442404</v>
      </c>
      <c r="AH3574">
        <v>62.559265442403998</v>
      </c>
      <c r="AI3574">
        <v>114.28153117948899</v>
      </c>
      <c r="AJ3574">
        <v>12</v>
      </c>
      <c r="AK3574">
        <v>74.547579298831394</v>
      </c>
    </row>
    <row r="3575" spans="1:37" x14ac:dyDescent="0.3">
      <c r="A3575">
        <v>3574</v>
      </c>
      <c r="B3575">
        <v>0</v>
      </c>
      <c r="C3575">
        <v>-14.6708</v>
      </c>
      <c r="D3575">
        <v>15.275499999999999</v>
      </c>
      <c r="E3575">
        <f>-14.6708-15.2755</f>
        <v>-29.946300000000001</v>
      </c>
      <c r="F3575" t="s">
        <v>5666</v>
      </c>
      <c r="G3575" t="s">
        <v>37</v>
      </c>
      <c r="H3575">
        <v>1996</v>
      </c>
      <c r="I3575">
        <v>28.600000381469702</v>
      </c>
      <c r="J3575">
        <v>15.699999809265099</v>
      </c>
      <c r="K3575">
        <v>61</v>
      </c>
      <c r="L3575">
        <v>23.6805847753865</v>
      </c>
      <c r="M3575">
        <v>40.892154935604303</v>
      </c>
      <c r="N3575">
        <v>15.3999996185303</v>
      </c>
      <c r="O3575">
        <v>25.492153559383802</v>
      </c>
      <c r="P3575">
        <v>29.100000381469702</v>
      </c>
      <c r="Q3575">
        <v>28.299999237060501</v>
      </c>
      <c r="R3575">
        <v>31.299999237060501</v>
      </c>
      <c r="S3575">
        <v>25</v>
      </c>
      <c r="T3575">
        <v>432.235392320534</v>
      </c>
      <c r="U3575">
        <v>142.07846410684499</v>
      </c>
      <c r="V3575">
        <v>0</v>
      </c>
      <c r="W3575">
        <v>137.07846410684499</v>
      </c>
      <c r="X3575">
        <v>360.15692821368901</v>
      </c>
      <c r="Y3575">
        <v>1</v>
      </c>
      <c r="Z3575">
        <v>28.078464106844699</v>
      </c>
      <c r="AA3575">
        <v>2</v>
      </c>
      <c r="AB3575">
        <v>1.3402338234928499</v>
      </c>
      <c r="AC3575">
        <v>5410.5063577688898</v>
      </c>
      <c r="AD3575">
        <v>2.1192771713801299</v>
      </c>
      <c r="AE3575">
        <v>0.22845059633254999</v>
      </c>
      <c r="AF3575">
        <v>14.6761268781302</v>
      </c>
      <c r="AG3575">
        <f>IFERROR(AH3575*0.1, "N/A")</f>
        <v>6.2559265442404</v>
      </c>
      <c r="AH3575">
        <v>62.559265442403998</v>
      </c>
      <c r="AI3575">
        <v>114.28153117948899</v>
      </c>
      <c r="AJ3575">
        <v>12</v>
      </c>
      <c r="AK3575">
        <v>74.547579298831394</v>
      </c>
    </row>
    <row r="3576" spans="1:37" x14ac:dyDescent="0.3">
      <c r="A3576">
        <v>3575</v>
      </c>
      <c r="B3576">
        <v>15.2</v>
      </c>
      <c r="C3576">
        <v>-14.869400000000001</v>
      </c>
      <c r="D3576">
        <v>15.276</v>
      </c>
      <c r="E3576">
        <f>-14.8694-15.276</f>
        <v>-30.145400000000002</v>
      </c>
      <c r="F3576" t="s">
        <v>5667</v>
      </c>
      <c r="G3576" t="s">
        <v>39</v>
      </c>
      <c r="H3576">
        <v>1993</v>
      </c>
      <c r="I3576">
        <v>28.5</v>
      </c>
      <c r="J3576">
        <v>15.699999809265099</v>
      </c>
      <c r="K3576">
        <v>62</v>
      </c>
      <c r="L3576">
        <v>22.610000610351602</v>
      </c>
      <c r="M3576">
        <v>40.700000762939503</v>
      </c>
      <c r="N3576">
        <v>15.5</v>
      </c>
      <c r="O3576">
        <v>25.200000762939499</v>
      </c>
      <c r="P3576">
        <v>29.100000381469702</v>
      </c>
      <c r="Q3576">
        <v>28.200000762939499</v>
      </c>
      <c r="R3576">
        <v>31.100000381469702</v>
      </c>
      <c r="S3576">
        <v>25.100000381469702</v>
      </c>
      <c r="T3576">
        <v>420</v>
      </c>
      <c r="U3576">
        <v>137</v>
      </c>
      <c r="V3576">
        <v>0</v>
      </c>
      <c r="W3576">
        <v>138</v>
      </c>
      <c r="X3576">
        <v>351</v>
      </c>
      <c r="Y3576">
        <v>1</v>
      </c>
      <c r="Z3576">
        <v>27</v>
      </c>
      <c r="AA3576">
        <v>2</v>
      </c>
      <c r="AB3576">
        <v>2.4647748116061798</v>
      </c>
      <c r="AC3576">
        <v>2129.9288379468799</v>
      </c>
      <c r="AD3576">
        <v>1.9199441637539101</v>
      </c>
      <c r="AE3576">
        <v>0.261635541915894</v>
      </c>
      <c r="AF3576">
        <v>13.943238731218701</v>
      </c>
      <c r="AG3576">
        <f>IFERROR(AH3576*0.1, "N/A")</f>
        <v>6.0400667779632702</v>
      </c>
      <c r="AH3576">
        <v>60.400667779632698</v>
      </c>
      <c r="AI3576">
        <v>73.614615827251598</v>
      </c>
      <c r="AJ3576">
        <v>14.5726210350584</v>
      </c>
      <c r="AK3576">
        <v>67.494156928213698</v>
      </c>
    </row>
    <row r="3577" spans="1:37" x14ac:dyDescent="0.3">
      <c r="A3577">
        <v>3576</v>
      </c>
      <c r="B3577">
        <v>10</v>
      </c>
      <c r="C3577">
        <v>-16.079999999999998</v>
      </c>
      <c r="D3577">
        <v>15.28</v>
      </c>
      <c r="E3577">
        <f>-16.08-15.28</f>
        <v>-31.36</v>
      </c>
      <c r="F3577" t="s">
        <v>5668</v>
      </c>
      <c r="G3577" t="s">
        <v>39</v>
      </c>
      <c r="H3577">
        <v>2003</v>
      </c>
      <c r="I3577">
        <v>26.100000381469702</v>
      </c>
      <c r="J3577">
        <v>14.3999996185303</v>
      </c>
      <c r="K3577">
        <v>68</v>
      </c>
      <c r="L3577">
        <v>17.860000610351602</v>
      </c>
      <c r="M3577">
        <v>35.200000762939503</v>
      </c>
      <c r="N3577">
        <v>14.300000190734901</v>
      </c>
      <c r="O3577">
        <v>20.899999618530298</v>
      </c>
      <c r="P3577">
        <v>27.399999618530298</v>
      </c>
      <c r="Q3577">
        <v>25</v>
      </c>
      <c r="R3577">
        <v>27.700000762939499</v>
      </c>
      <c r="S3577">
        <v>23.299999237060501</v>
      </c>
      <c r="T3577">
        <v>430</v>
      </c>
      <c r="U3577">
        <v>160</v>
      </c>
      <c r="V3577">
        <v>0</v>
      </c>
      <c r="W3577">
        <v>149</v>
      </c>
      <c r="X3577">
        <v>369</v>
      </c>
      <c r="Y3577">
        <v>1</v>
      </c>
      <c r="Z3577">
        <v>104</v>
      </c>
      <c r="AA3577">
        <v>3</v>
      </c>
      <c r="AB3577">
        <v>3.7825018692016599</v>
      </c>
      <c r="AC3577">
        <v>7.7288093715906003E-2</v>
      </c>
      <c r="AD3577">
        <v>2.0722852467497201</v>
      </c>
      <c r="AE3577">
        <v>0.68680960913499201</v>
      </c>
      <c r="AF3577">
        <v>44.186666666666703</v>
      </c>
      <c r="AG3577">
        <f>IFERROR(AH3577*0.1, "N/A")</f>
        <v>6.4753333333333307</v>
      </c>
      <c r="AH3577">
        <v>64.753333333333302</v>
      </c>
      <c r="AI3577">
        <v>225.23597651163701</v>
      </c>
      <c r="AJ3577">
        <v>4.7533333333333303</v>
      </c>
      <c r="AK3577">
        <v>90.246666666666698</v>
      </c>
    </row>
    <row r="3578" spans="1:37" x14ac:dyDescent="0.3">
      <c r="A3578">
        <v>3577</v>
      </c>
      <c r="B3578">
        <v>51.900002000000001</v>
      </c>
      <c r="C3578">
        <v>-13.9666</v>
      </c>
      <c r="D3578">
        <v>15.3</v>
      </c>
      <c r="E3578">
        <f>-13.9666-15.3</f>
        <v>-29.2666</v>
      </c>
      <c r="F3578" t="s">
        <v>5669</v>
      </c>
      <c r="G3578" t="s">
        <v>39</v>
      </c>
      <c r="H3578">
        <v>1996</v>
      </c>
      <c r="I3578">
        <v>28.763726912005001</v>
      </c>
      <c r="J3578">
        <v>15.300000190734901</v>
      </c>
      <c r="K3578">
        <v>58.362728785357703</v>
      </c>
      <c r="L3578">
        <v>26.041580920608201</v>
      </c>
      <c r="M3578">
        <v>41.206656235426699</v>
      </c>
      <c r="N3578">
        <v>15.2429284256032</v>
      </c>
      <c r="O3578">
        <v>25.963726983094201</v>
      </c>
      <c r="P3578">
        <v>29.063727364563899</v>
      </c>
      <c r="Q3578">
        <v>25.463726983094201</v>
      </c>
      <c r="R3578">
        <v>32.063726149065502</v>
      </c>
      <c r="S3578">
        <v>25.100000381469702</v>
      </c>
      <c r="T3578">
        <v>479.04159733776999</v>
      </c>
      <c r="U3578">
        <v>159.470881863561</v>
      </c>
      <c r="V3578">
        <v>0</v>
      </c>
      <c r="W3578">
        <v>141.58735440931801</v>
      </c>
      <c r="X3578">
        <v>404.04159733776999</v>
      </c>
      <c r="Y3578">
        <v>1</v>
      </c>
      <c r="Z3578">
        <v>33</v>
      </c>
      <c r="AA3578">
        <v>2</v>
      </c>
      <c r="AB3578">
        <v>1.6938438891571099</v>
      </c>
      <c r="AC3578">
        <v>0.43815113320952898</v>
      </c>
      <c r="AD3578">
        <v>1.7973366409490601</v>
      </c>
      <c r="AE3578">
        <v>0.24149718880653401</v>
      </c>
      <c r="AF3578">
        <v>30.001663893510798</v>
      </c>
      <c r="AG3578">
        <f>IFERROR(AH3578*0.1, "N/A")</f>
        <v>6.6000000000000005</v>
      </c>
      <c r="AH3578">
        <v>66</v>
      </c>
      <c r="AI3578">
        <v>107.076977772641</v>
      </c>
      <c r="AJ3578">
        <v>13.8369384359401</v>
      </c>
      <c r="AK3578">
        <v>71.4908485856905</v>
      </c>
    </row>
    <row r="3579" spans="1:37" x14ac:dyDescent="0.3">
      <c r="A3579">
        <v>3578</v>
      </c>
      <c r="B3579">
        <v>0</v>
      </c>
      <c r="C3579">
        <v>-13.9666</v>
      </c>
      <c r="D3579">
        <v>15.3</v>
      </c>
      <c r="E3579">
        <f>-13.9666-15.3</f>
        <v>-29.2666</v>
      </c>
      <c r="F3579" t="s">
        <v>5670</v>
      </c>
      <c r="G3579" t="s">
        <v>37</v>
      </c>
      <c r="H3579">
        <v>1996</v>
      </c>
      <c r="I3579">
        <v>28.763726912005001</v>
      </c>
      <c r="J3579">
        <v>15.300000190734901</v>
      </c>
      <c r="K3579">
        <v>58.362728785357703</v>
      </c>
      <c r="L3579">
        <v>26.041580920608201</v>
      </c>
      <c r="M3579">
        <v>41.206656235426699</v>
      </c>
      <c r="N3579">
        <v>15.2429284256032</v>
      </c>
      <c r="O3579">
        <v>25.963726983094201</v>
      </c>
      <c r="P3579">
        <v>29.063727364563899</v>
      </c>
      <c r="Q3579">
        <v>25.463726983094201</v>
      </c>
      <c r="R3579">
        <v>32.063726149065502</v>
      </c>
      <c r="S3579">
        <v>25.100000381469702</v>
      </c>
      <c r="T3579">
        <v>479.04159733776999</v>
      </c>
      <c r="U3579">
        <v>159.470881863561</v>
      </c>
      <c r="V3579">
        <v>0</v>
      </c>
      <c r="W3579">
        <v>141.58735440931801</v>
      </c>
      <c r="X3579">
        <v>404.04159733776999</v>
      </c>
      <c r="Y3579">
        <v>1</v>
      </c>
      <c r="Z3579">
        <v>33</v>
      </c>
      <c r="AA3579">
        <v>2</v>
      </c>
      <c r="AB3579">
        <v>1.6938438891571099</v>
      </c>
      <c r="AC3579">
        <v>0.43815113320952898</v>
      </c>
      <c r="AD3579">
        <v>1.7973366409490601</v>
      </c>
      <c r="AE3579">
        <v>0.24149718880653401</v>
      </c>
      <c r="AF3579">
        <v>30.001663893510798</v>
      </c>
      <c r="AG3579">
        <f>IFERROR(AH3579*0.1, "N/A")</f>
        <v>6.6000000000000005</v>
      </c>
      <c r="AH3579">
        <v>66</v>
      </c>
      <c r="AI3579">
        <v>107.076977772641</v>
      </c>
      <c r="AJ3579">
        <v>13.8369384359401</v>
      </c>
      <c r="AK3579">
        <v>71.4908485856905</v>
      </c>
    </row>
    <row r="3580" spans="1:37" x14ac:dyDescent="0.3">
      <c r="A3580">
        <v>3579</v>
      </c>
      <c r="B3580">
        <v>62</v>
      </c>
      <c r="C3580">
        <v>-13.966699999999999</v>
      </c>
      <c r="D3580">
        <v>15.3</v>
      </c>
      <c r="E3580">
        <f>-13.9667-15.3</f>
        <v>-29.2667</v>
      </c>
      <c r="F3580" t="s">
        <v>5671</v>
      </c>
      <c r="G3580" t="s">
        <v>39</v>
      </c>
      <c r="H3580">
        <v>2003</v>
      </c>
      <c r="I3580">
        <v>28.7663330841064</v>
      </c>
      <c r="J3580">
        <v>15.300000190734901</v>
      </c>
      <c r="K3580">
        <v>58.336666666666702</v>
      </c>
      <c r="L3580">
        <v>26.043166856765701</v>
      </c>
      <c r="M3580">
        <v>41.209167289733898</v>
      </c>
      <c r="N3580">
        <v>15.242833305994701</v>
      </c>
      <c r="O3580">
        <v>25.966333204905201</v>
      </c>
      <c r="P3580">
        <v>29.066333586374899</v>
      </c>
      <c r="Q3580">
        <v>25.466333204905201</v>
      </c>
      <c r="R3580">
        <v>32.066332321167003</v>
      </c>
      <c r="S3580">
        <v>25.100000381469702</v>
      </c>
      <c r="T3580">
        <v>479</v>
      </c>
      <c r="U3580">
        <v>159.428333333333</v>
      </c>
      <c r="V3580">
        <v>0</v>
      </c>
      <c r="W3580">
        <v>141.715</v>
      </c>
      <c r="X3580">
        <v>404</v>
      </c>
      <c r="Y3580">
        <v>1</v>
      </c>
      <c r="Z3580">
        <v>33</v>
      </c>
      <c r="AA3580">
        <v>2</v>
      </c>
      <c r="AB3580">
        <v>1.86016691525777</v>
      </c>
      <c r="AC3580">
        <v>0.40274461959333502</v>
      </c>
      <c r="AD3580">
        <v>1.95996396809816</v>
      </c>
      <c r="AE3580">
        <v>0.24149718880653401</v>
      </c>
      <c r="AF3580">
        <v>29.953333333333301</v>
      </c>
      <c r="AG3580">
        <f>IFERROR(AH3580*0.1, "N/A")</f>
        <v>6.6000000000000005</v>
      </c>
      <c r="AH3580">
        <v>66</v>
      </c>
      <c r="AI3580">
        <v>104.373215637207</v>
      </c>
      <c r="AJ3580">
        <v>13.768333333333301</v>
      </c>
      <c r="AK3580">
        <v>71.284999999999997</v>
      </c>
    </row>
    <row r="3581" spans="1:37" x14ac:dyDescent="0.3">
      <c r="A3581">
        <v>3580</v>
      </c>
      <c r="B3581">
        <v>0</v>
      </c>
      <c r="C3581">
        <v>-16.819599</v>
      </c>
      <c r="D3581">
        <v>15.3002</v>
      </c>
      <c r="E3581">
        <f>-16.819599-15.3002</f>
        <v>-32.119799</v>
      </c>
      <c r="F3581" t="s">
        <v>5672</v>
      </c>
      <c r="G3581" t="s">
        <v>39</v>
      </c>
      <c r="H3581">
        <v>2001</v>
      </c>
      <c r="I3581">
        <v>25.200000762939499</v>
      </c>
      <c r="J3581">
        <v>11.3999996185303</v>
      </c>
      <c r="K3581">
        <v>66.594999999999999</v>
      </c>
      <c r="L3581">
        <v>18.865300321578999</v>
      </c>
      <c r="M3581">
        <v>32.400001525878899</v>
      </c>
      <c r="N3581">
        <v>15.318999695777901</v>
      </c>
      <c r="O3581">
        <v>17.0810003089905</v>
      </c>
      <c r="P3581">
        <v>27.259499855041501</v>
      </c>
      <c r="Q3581">
        <v>23.9404997730255</v>
      </c>
      <c r="R3581">
        <v>27.299999237060501</v>
      </c>
      <c r="S3581">
        <v>22.859499464035</v>
      </c>
      <c r="T3581">
        <v>362.40499999999997</v>
      </c>
      <c r="U3581">
        <v>137.405</v>
      </c>
      <c r="V3581">
        <v>0</v>
      </c>
      <c r="W3581">
        <v>155.405</v>
      </c>
      <c r="X3581">
        <v>322.40499999999997</v>
      </c>
      <c r="Y3581">
        <v>0</v>
      </c>
      <c r="Z3581">
        <v>308.63499999999999</v>
      </c>
      <c r="AA3581">
        <v>2</v>
      </c>
      <c r="AB3581">
        <v>7.5653335515658098</v>
      </c>
      <c r="AC3581">
        <v>9.4469902431590005E-3</v>
      </c>
      <c r="AD3581">
        <v>1.14016062766314</v>
      </c>
      <c r="AE3581">
        <v>0.47537160813808399</v>
      </c>
      <c r="AF3581">
        <v>8.11</v>
      </c>
      <c r="AG3581">
        <f>IFERROR(AH3581*0.1, "N/A")</f>
        <v>6.1856666666666698</v>
      </c>
      <c r="AH3581">
        <v>61.856666666666698</v>
      </c>
      <c r="AI3581">
        <v>178.26608203887901</v>
      </c>
      <c r="AJ3581">
        <v>23.163333333333298</v>
      </c>
      <c r="AK3581">
        <v>58.673333333333296</v>
      </c>
    </row>
    <row r="3582" spans="1:37" x14ac:dyDescent="0.3">
      <c r="A3582">
        <v>3581</v>
      </c>
      <c r="B3582">
        <v>0</v>
      </c>
      <c r="C3582">
        <v>-16.819599</v>
      </c>
      <c r="D3582">
        <v>15.3002</v>
      </c>
      <c r="E3582">
        <f>-16.819599-15.3002</f>
        <v>-32.119799</v>
      </c>
      <c r="F3582" t="s">
        <v>5673</v>
      </c>
      <c r="G3582" t="s">
        <v>37</v>
      </c>
      <c r="H3582">
        <v>2001</v>
      </c>
      <c r="I3582">
        <v>25.200000762939499</v>
      </c>
      <c r="J3582">
        <v>11.3999996185303</v>
      </c>
      <c r="K3582">
        <v>66.594999999999999</v>
      </c>
      <c r="L3582">
        <v>18.865300321578999</v>
      </c>
      <c r="M3582">
        <v>32.400001525878899</v>
      </c>
      <c r="N3582">
        <v>15.318999695777901</v>
      </c>
      <c r="O3582">
        <v>17.0810003089905</v>
      </c>
      <c r="P3582">
        <v>27.259499855041501</v>
      </c>
      <c r="Q3582">
        <v>23.9404997730255</v>
      </c>
      <c r="R3582">
        <v>27.299999237060501</v>
      </c>
      <c r="S3582">
        <v>22.859499464035</v>
      </c>
      <c r="T3582">
        <v>362.40499999999997</v>
      </c>
      <c r="U3582">
        <v>137.405</v>
      </c>
      <c r="V3582">
        <v>0</v>
      </c>
      <c r="W3582">
        <v>155.405</v>
      </c>
      <c r="X3582">
        <v>322.40499999999997</v>
      </c>
      <c r="Y3582">
        <v>0</v>
      </c>
      <c r="Z3582">
        <v>308.63499999999999</v>
      </c>
      <c r="AA3582">
        <v>2</v>
      </c>
      <c r="AB3582">
        <v>7.5653335515658098</v>
      </c>
      <c r="AC3582">
        <v>9.4469902431590005E-3</v>
      </c>
      <c r="AD3582">
        <v>1.14016062766314</v>
      </c>
      <c r="AE3582">
        <v>0.47537160813808399</v>
      </c>
      <c r="AF3582">
        <v>8.11</v>
      </c>
      <c r="AG3582">
        <f>IFERROR(AH3582*0.1, "N/A")</f>
        <v>6.1856666666666698</v>
      </c>
      <c r="AH3582">
        <v>61.856666666666698</v>
      </c>
      <c r="AI3582">
        <v>178.26608203887901</v>
      </c>
      <c r="AJ3582">
        <v>23.163333333333298</v>
      </c>
      <c r="AK3582">
        <v>58.673333333333296</v>
      </c>
    </row>
    <row r="3583" spans="1:37" x14ac:dyDescent="0.3">
      <c r="A3583">
        <v>3582</v>
      </c>
      <c r="B3583">
        <v>74</v>
      </c>
      <c r="C3583">
        <v>-12.992000000000001</v>
      </c>
      <c r="D3583">
        <v>15.3133</v>
      </c>
      <c r="E3583">
        <f>-12.992-15.3133</f>
        <v>-28.305300000000003</v>
      </c>
      <c r="F3583" t="s">
        <v>5674</v>
      </c>
      <c r="G3583" t="s">
        <v>39</v>
      </c>
      <c r="H3583">
        <v>2003</v>
      </c>
      <c r="I3583">
        <v>29.100000381469702</v>
      </c>
      <c r="J3583">
        <v>15.1000003814697</v>
      </c>
      <c r="K3583">
        <v>57</v>
      </c>
      <c r="L3583">
        <v>27.661959844618</v>
      </c>
      <c r="M3583">
        <v>41.700000762939503</v>
      </c>
      <c r="N3583">
        <v>15.3999996185303</v>
      </c>
      <c r="O3583">
        <v>26.299999237060501</v>
      </c>
      <c r="P3583">
        <v>29.100000381469702</v>
      </c>
      <c r="Q3583">
        <v>26.799999237060501</v>
      </c>
      <c r="R3583">
        <v>32.891961140848302</v>
      </c>
      <c r="S3583">
        <v>25.399999618530298</v>
      </c>
      <c r="T3583">
        <v>433</v>
      </c>
      <c r="U3583">
        <v>144.91959798995001</v>
      </c>
      <c r="V3583">
        <v>0</v>
      </c>
      <c r="W3583">
        <v>138</v>
      </c>
      <c r="X3583">
        <v>362.91959798994998</v>
      </c>
      <c r="Y3583">
        <v>1</v>
      </c>
      <c r="Z3583">
        <v>37.0804020100503</v>
      </c>
      <c r="AA3583">
        <v>2</v>
      </c>
      <c r="AB3583">
        <v>1.39916184200114</v>
      </c>
      <c r="AC3583">
        <v>2.1959596143496001E-2</v>
      </c>
      <c r="AD3583">
        <v>1.0214478951602699</v>
      </c>
      <c r="AE3583">
        <v>0.253317054342385</v>
      </c>
      <c r="AF3583">
        <v>19.932998324958099</v>
      </c>
      <c r="AG3583">
        <f>IFERROR(AH3583*0.1, "N/A")</f>
        <v>6.4360134003350105</v>
      </c>
      <c r="AH3583">
        <v>64.360134003350097</v>
      </c>
      <c r="AI3583">
        <v>150.26745908344199</v>
      </c>
      <c r="AJ3583">
        <v>16.440536013400301</v>
      </c>
      <c r="AK3583">
        <v>62</v>
      </c>
    </row>
    <row r="3584" spans="1:37" x14ac:dyDescent="0.3">
      <c r="A3584">
        <v>3583</v>
      </c>
      <c r="B3584">
        <v>45.799999</v>
      </c>
      <c r="C3584">
        <v>-13.7333</v>
      </c>
      <c r="D3584">
        <v>15.316700000000001</v>
      </c>
      <c r="E3584">
        <f>-13.7333-15.3167</f>
        <v>-29.05</v>
      </c>
      <c r="F3584" t="s">
        <v>5675</v>
      </c>
      <c r="G3584" t="s">
        <v>39</v>
      </c>
      <c r="H3584">
        <v>1996</v>
      </c>
      <c r="I3584">
        <v>28.862999477386499</v>
      </c>
      <c r="J3584">
        <v>15.2540000152588</v>
      </c>
      <c r="K3584">
        <v>58</v>
      </c>
      <c r="L3584">
        <v>26.818166936238601</v>
      </c>
      <c r="M3584">
        <v>41.354000473022502</v>
      </c>
      <c r="N3584">
        <v>15.199999809265099</v>
      </c>
      <c r="O3584">
        <v>26.154000587463401</v>
      </c>
      <c r="P3584">
        <v>29.063000240325898</v>
      </c>
      <c r="Q3584">
        <v>26.5</v>
      </c>
      <c r="R3584">
        <v>32.299999237060497</v>
      </c>
      <c r="S3584">
        <v>25.100000381469702</v>
      </c>
      <c r="T3584">
        <v>483.54500000000002</v>
      </c>
      <c r="U3584">
        <v>161.15166666666701</v>
      </c>
      <c r="V3584">
        <v>0</v>
      </c>
      <c r="W3584">
        <v>140.15166666666701</v>
      </c>
      <c r="X3584">
        <v>406.39333333333298</v>
      </c>
      <c r="Y3584">
        <v>2</v>
      </c>
      <c r="Z3584">
        <v>36.151666666666699</v>
      </c>
      <c r="AA3584">
        <v>2</v>
      </c>
      <c r="AB3584">
        <v>2.26066546122233</v>
      </c>
      <c r="AC3584">
        <v>6.8200911014962007E-2</v>
      </c>
      <c r="AD3584">
        <v>2.2699220558007598</v>
      </c>
      <c r="AE3584">
        <v>0.131655678153038</v>
      </c>
      <c r="AF3584">
        <v>38.578333333333298</v>
      </c>
      <c r="AG3584">
        <f>IFERROR(AH3584*0.1, "N/A")</f>
        <v>6.09683333333333</v>
      </c>
      <c r="AH3584">
        <v>60.968333333333298</v>
      </c>
      <c r="AI3584">
        <v>149.85297737121601</v>
      </c>
      <c r="AJ3584">
        <v>20.321666666666701</v>
      </c>
      <c r="AK3584">
        <v>62.6116666666667</v>
      </c>
    </row>
    <row r="3585" spans="1:37" x14ac:dyDescent="0.3">
      <c r="A3585">
        <v>3584</v>
      </c>
      <c r="B3585">
        <v>0</v>
      </c>
      <c r="C3585">
        <v>-13.7333</v>
      </c>
      <c r="D3585">
        <v>15.316700000000001</v>
      </c>
      <c r="E3585">
        <f>-13.7333-15.3167</f>
        <v>-29.05</v>
      </c>
      <c r="F3585" t="s">
        <v>5676</v>
      </c>
      <c r="G3585" t="s">
        <v>37</v>
      </c>
      <c r="H3585">
        <v>1996</v>
      </c>
      <c r="I3585">
        <v>28.862999477386499</v>
      </c>
      <c r="J3585">
        <v>15.2540000152588</v>
      </c>
      <c r="K3585">
        <v>58</v>
      </c>
      <c r="L3585">
        <v>26.818166936238601</v>
      </c>
      <c r="M3585">
        <v>41.354000473022502</v>
      </c>
      <c r="N3585">
        <v>15.199999809265099</v>
      </c>
      <c r="O3585">
        <v>26.154000587463401</v>
      </c>
      <c r="P3585">
        <v>29.063000240325898</v>
      </c>
      <c r="Q3585">
        <v>26.5</v>
      </c>
      <c r="R3585">
        <v>32.299999237060497</v>
      </c>
      <c r="S3585">
        <v>25.100000381469702</v>
      </c>
      <c r="T3585">
        <v>483.54500000000002</v>
      </c>
      <c r="U3585">
        <v>161.15166666666701</v>
      </c>
      <c r="V3585">
        <v>0</v>
      </c>
      <c r="W3585">
        <v>140.15166666666701</v>
      </c>
      <c r="X3585">
        <v>406.39333333333298</v>
      </c>
      <c r="Y3585">
        <v>2</v>
      </c>
      <c r="Z3585">
        <v>36.151666666666699</v>
      </c>
      <c r="AA3585">
        <v>2</v>
      </c>
      <c r="AB3585">
        <v>2.26066546122233</v>
      </c>
      <c r="AC3585">
        <v>6.8200911014962007E-2</v>
      </c>
      <c r="AD3585">
        <v>2.2699220558007598</v>
      </c>
      <c r="AE3585">
        <v>0.131655678153038</v>
      </c>
      <c r="AF3585">
        <v>38.578333333333298</v>
      </c>
      <c r="AG3585">
        <f>IFERROR(AH3585*0.1, "N/A")</f>
        <v>6.09683333333333</v>
      </c>
      <c r="AH3585">
        <v>60.968333333333298</v>
      </c>
      <c r="AI3585">
        <v>149.85297737121601</v>
      </c>
      <c r="AJ3585">
        <v>20.321666666666701</v>
      </c>
      <c r="AK3585">
        <v>62.6116666666667</v>
      </c>
    </row>
    <row r="3586" spans="1:37" x14ac:dyDescent="0.3">
      <c r="A3586">
        <v>3585</v>
      </c>
      <c r="B3586">
        <v>23.799999</v>
      </c>
      <c r="C3586">
        <v>-13.8666</v>
      </c>
      <c r="D3586">
        <v>15.316700000000001</v>
      </c>
      <c r="E3586">
        <f>-13.8666-15.3167</f>
        <v>-29.183300000000003</v>
      </c>
      <c r="F3586" t="s">
        <v>5677</v>
      </c>
      <c r="G3586" t="s">
        <v>39</v>
      </c>
      <c r="H3586">
        <v>1996</v>
      </c>
      <c r="I3586">
        <v>28.799999237060501</v>
      </c>
      <c r="J3586">
        <v>15.2883334795634</v>
      </c>
      <c r="K3586">
        <v>58</v>
      </c>
      <c r="L3586">
        <v>26.118600651423101</v>
      </c>
      <c r="M3586">
        <v>41.299999237060497</v>
      </c>
      <c r="N3586">
        <v>15.300000190734901</v>
      </c>
      <c r="O3586">
        <v>26</v>
      </c>
      <c r="P3586">
        <v>29.069500265121501</v>
      </c>
      <c r="Q3586">
        <v>26.5</v>
      </c>
      <c r="R3586">
        <v>32.196500682830802</v>
      </c>
      <c r="S3586">
        <v>25.100000381469702</v>
      </c>
      <c r="T3586">
        <v>480.57333333333298</v>
      </c>
      <c r="U3586">
        <v>159.45666666666699</v>
      </c>
      <c r="V3586">
        <v>0</v>
      </c>
      <c r="W3586">
        <v>139.11666666666699</v>
      </c>
      <c r="X3586">
        <v>403.57333333333298</v>
      </c>
      <c r="Y3586">
        <v>2</v>
      </c>
      <c r="Z3586">
        <v>35</v>
      </c>
      <c r="AA3586">
        <v>2</v>
      </c>
      <c r="AB3586">
        <v>1.6308353614807101</v>
      </c>
      <c r="AC3586">
        <v>271.595135864881</v>
      </c>
      <c r="AD3586">
        <v>1.83383959611257</v>
      </c>
      <c r="AE3586">
        <v>0.122374683618546</v>
      </c>
      <c r="AF3586">
        <v>36.575000000000003</v>
      </c>
      <c r="AG3586">
        <f>IFERROR(AH3586*0.1, "N/A")</f>
        <v>5.8561666666666703</v>
      </c>
      <c r="AH3586">
        <v>58.561666666666703</v>
      </c>
      <c r="AI3586">
        <v>178.33554986318001</v>
      </c>
      <c r="AJ3586">
        <v>17.850000000000001</v>
      </c>
      <c r="AK3586">
        <v>66.673333333333304</v>
      </c>
    </row>
    <row r="3587" spans="1:37" x14ac:dyDescent="0.3">
      <c r="A3587">
        <v>3586</v>
      </c>
      <c r="B3587">
        <v>0</v>
      </c>
      <c r="C3587">
        <v>-13.8666</v>
      </c>
      <c r="D3587">
        <v>15.316700000000001</v>
      </c>
      <c r="E3587">
        <f>-13.8666-15.3167</f>
        <v>-29.183300000000003</v>
      </c>
      <c r="F3587" t="s">
        <v>5678</v>
      </c>
      <c r="G3587" t="s">
        <v>37</v>
      </c>
      <c r="H3587">
        <v>1996</v>
      </c>
      <c r="I3587">
        <v>28.799999237060501</v>
      </c>
      <c r="J3587">
        <v>15.2883334795634</v>
      </c>
      <c r="K3587">
        <v>58</v>
      </c>
      <c r="L3587">
        <v>26.118600651423101</v>
      </c>
      <c r="M3587">
        <v>41.299999237060497</v>
      </c>
      <c r="N3587">
        <v>15.300000190734901</v>
      </c>
      <c r="O3587">
        <v>26</v>
      </c>
      <c r="P3587">
        <v>29.069500265121501</v>
      </c>
      <c r="Q3587">
        <v>26.5</v>
      </c>
      <c r="R3587">
        <v>32.196500682830802</v>
      </c>
      <c r="S3587">
        <v>25.100000381469702</v>
      </c>
      <c r="T3587">
        <v>480.57333333333298</v>
      </c>
      <c r="U3587">
        <v>159.45666666666699</v>
      </c>
      <c r="V3587">
        <v>0</v>
      </c>
      <c r="W3587">
        <v>139.11666666666699</v>
      </c>
      <c r="X3587">
        <v>403.57333333333298</v>
      </c>
      <c r="Y3587">
        <v>2</v>
      </c>
      <c r="Z3587">
        <v>35</v>
      </c>
      <c r="AA3587">
        <v>2</v>
      </c>
      <c r="AB3587">
        <v>1.6308353614807101</v>
      </c>
      <c r="AC3587">
        <v>271.595135864881</v>
      </c>
      <c r="AD3587">
        <v>1.83383959611257</v>
      </c>
      <c r="AE3587">
        <v>0.122374683618546</v>
      </c>
      <c r="AF3587">
        <v>36.575000000000003</v>
      </c>
      <c r="AG3587">
        <f>IFERROR(AH3587*0.1, "N/A")</f>
        <v>5.8561666666666703</v>
      </c>
      <c r="AH3587">
        <v>58.561666666666703</v>
      </c>
      <c r="AI3587">
        <v>178.33554986318001</v>
      </c>
      <c r="AJ3587">
        <v>17.850000000000001</v>
      </c>
      <c r="AK3587">
        <v>66.673333333333304</v>
      </c>
    </row>
    <row r="3588" spans="1:37" x14ac:dyDescent="0.3">
      <c r="A3588">
        <v>3587</v>
      </c>
      <c r="B3588">
        <v>60</v>
      </c>
      <c r="C3588">
        <v>-13.916600000000001</v>
      </c>
      <c r="D3588">
        <v>15.316700000000001</v>
      </c>
      <c r="E3588">
        <f>-13.9166-15.3167</f>
        <v>-29.2333</v>
      </c>
      <c r="F3588" t="s">
        <v>5679</v>
      </c>
      <c r="G3588" t="s">
        <v>39</v>
      </c>
      <c r="H3588">
        <v>1996</v>
      </c>
      <c r="I3588">
        <v>28.799999237060501</v>
      </c>
      <c r="J3588">
        <v>15.300000190734901</v>
      </c>
      <c r="K3588">
        <v>58.487479131886502</v>
      </c>
      <c r="L3588">
        <v>26.035442119846799</v>
      </c>
      <c r="M3588">
        <v>41.251252067705998</v>
      </c>
      <c r="N3588">
        <v>15.300000190734901</v>
      </c>
      <c r="O3588">
        <v>25.9512519008528</v>
      </c>
      <c r="P3588">
        <v>29.100000381469702</v>
      </c>
      <c r="Q3588">
        <v>26.399999618530298</v>
      </c>
      <c r="R3588">
        <v>32.110684740324402</v>
      </c>
      <c r="S3588">
        <v>25.100000381469702</v>
      </c>
      <c r="T3588">
        <v>476.96828046744599</v>
      </c>
      <c r="U3588">
        <v>159</v>
      </c>
      <c r="V3588">
        <v>0</v>
      </c>
      <c r="W3588">
        <v>142.15191986644399</v>
      </c>
      <c r="X3588">
        <v>401.81636060100197</v>
      </c>
      <c r="Y3588">
        <v>2</v>
      </c>
      <c r="Z3588">
        <v>33</v>
      </c>
      <c r="AA3588">
        <v>2</v>
      </c>
      <c r="AB3588">
        <v>0.89215254425405499</v>
      </c>
      <c r="AC3588">
        <v>296.82447508369</v>
      </c>
      <c r="AD3588">
        <v>2.0200490492811198</v>
      </c>
      <c r="AE3588">
        <v>0.118703603744507</v>
      </c>
      <c r="AF3588">
        <v>29.494156928213702</v>
      </c>
      <c r="AG3588">
        <f>IFERROR(AH3588*0.1, "N/A")</f>
        <v>6.0525876460767902</v>
      </c>
      <c r="AH3588">
        <v>60.525876460767897</v>
      </c>
      <c r="AI3588">
        <v>217.09139419198999</v>
      </c>
      <c r="AJ3588">
        <v>17.752921535893201</v>
      </c>
      <c r="AK3588">
        <v>62.727879799666098</v>
      </c>
    </row>
    <row r="3589" spans="1:37" x14ac:dyDescent="0.3">
      <c r="A3589">
        <v>3588</v>
      </c>
      <c r="B3589">
        <v>0</v>
      </c>
      <c r="C3589">
        <v>-13.916600000000001</v>
      </c>
      <c r="D3589">
        <v>15.316700000000001</v>
      </c>
      <c r="E3589">
        <f>-13.9166-15.3167</f>
        <v>-29.2333</v>
      </c>
      <c r="F3589" t="s">
        <v>5680</v>
      </c>
      <c r="G3589" t="s">
        <v>37</v>
      </c>
      <c r="H3589">
        <v>1996</v>
      </c>
      <c r="I3589">
        <v>28.799999237060501</v>
      </c>
      <c r="J3589">
        <v>15.300000190734901</v>
      </c>
      <c r="K3589">
        <v>58.487479131886502</v>
      </c>
      <c r="L3589">
        <v>26.035442119846799</v>
      </c>
      <c r="M3589">
        <v>41.251252067705998</v>
      </c>
      <c r="N3589">
        <v>15.300000190734901</v>
      </c>
      <c r="O3589">
        <v>25.9512519008528</v>
      </c>
      <c r="P3589">
        <v>29.100000381469702</v>
      </c>
      <c r="Q3589">
        <v>26.399999618530298</v>
      </c>
      <c r="R3589">
        <v>32.110684740324402</v>
      </c>
      <c r="S3589">
        <v>25.100000381469702</v>
      </c>
      <c r="T3589">
        <v>476.96828046744599</v>
      </c>
      <c r="U3589">
        <v>159</v>
      </c>
      <c r="V3589">
        <v>0</v>
      </c>
      <c r="W3589">
        <v>142.15191986644399</v>
      </c>
      <c r="X3589">
        <v>401.81636060100197</v>
      </c>
      <c r="Y3589">
        <v>2</v>
      </c>
      <c r="Z3589">
        <v>33</v>
      </c>
      <c r="AA3589">
        <v>2</v>
      </c>
      <c r="AB3589">
        <v>0.89215254425405499</v>
      </c>
      <c r="AC3589">
        <v>296.82447508369</v>
      </c>
      <c r="AD3589">
        <v>2.0200490492811198</v>
      </c>
      <c r="AE3589">
        <v>0.118703603744507</v>
      </c>
      <c r="AF3589">
        <v>29.494156928213702</v>
      </c>
      <c r="AG3589">
        <f>IFERROR(AH3589*0.1, "N/A")</f>
        <v>6.0525876460767902</v>
      </c>
      <c r="AH3589">
        <v>60.525876460767897</v>
      </c>
      <c r="AI3589">
        <v>217.09139419198999</v>
      </c>
      <c r="AJ3589">
        <v>17.752921535893201</v>
      </c>
      <c r="AK3589">
        <v>62.727879799666098</v>
      </c>
    </row>
    <row r="3590" spans="1:37" x14ac:dyDescent="0.3">
      <c r="A3590">
        <v>3589</v>
      </c>
      <c r="B3590">
        <v>34</v>
      </c>
      <c r="C3590">
        <v>-13.0511</v>
      </c>
      <c r="D3590">
        <v>15.3468</v>
      </c>
      <c r="E3590">
        <f>-13.0511-15.3468</f>
        <v>-28.3979</v>
      </c>
      <c r="F3590" t="s">
        <v>5681</v>
      </c>
      <c r="G3590" t="s">
        <v>39</v>
      </c>
      <c r="H3590">
        <v>1987</v>
      </c>
      <c r="I3590">
        <v>29.100000381469702</v>
      </c>
      <c r="J3590">
        <v>15.199999809265099</v>
      </c>
      <c r="K3590">
        <v>57</v>
      </c>
      <c r="L3590">
        <v>27.75</v>
      </c>
      <c r="M3590">
        <v>41.700000762939503</v>
      </c>
      <c r="N3590">
        <v>15.300000190734901</v>
      </c>
      <c r="O3590">
        <v>26.399999618530298</v>
      </c>
      <c r="P3590">
        <v>29.200000762939499</v>
      </c>
      <c r="Q3590">
        <v>26.799999237060501</v>
      </c>
      <c r="R3590">
        <v>32.799999237060497</v>
      </c>
      <c r="S3590">
        <v>25.299999237060501</v>
      </c>
      <c r="T3590">
        <v>428</v>
      </c>
      <c r="U3590">
        <v>144</v>
      </c>
      <c r="V3590">
        <v>0</v>
      </c>
      <c r="W3590">
        <v>141</v>
      </c>
      <c r="X3590">
        <v>360</v>
      </c>
      <c r="Y3590">
        <v>1</v>
      </c>
      <c r="Z3590">
        <v>35</v>
      </c>
      <c r="AA3590">
        <v>2</v>
      </c>
      <c r="AB3590">
        <v>0.36527568072030903</v>
      </c>
      <c r="AC3590">
        <v>4.5139944934533398</v>
      </c>
      <c r="AD3590">
        <v>1.37318512712775</v>
      </c>
      <c r="AE3590">
        <v>0.33210322260856601</v>
      </c>
      <c r="AF3590">
        <v>25.305509181969899</v>
      </c>
      <c r="AG3590">
        <f>IFERROR(AH3590*0.1, "N/A")</f>
        <v>6.4</v>
      </c>
      <c r="AH3590">
        <v>64</v>
      </c>
      <c r="AI3590">
        <v>176.92997008054601</v>
      </c>
      <c r="AJ3590">
        <v>9</v>
      </c>
      <c r="AK3590">
        <v>78.500834724540894</v>
      </c>
    </row>
    <row r="3591" spans="1:37" x14ac:dyDescent="0.3">
      <c r="A3591">
        <v>3590</v>
      </c>
      <c r="B3591">
        <v>18</v>
      </c>
      <c r="C3591">
        <v>-13.019</v>
      </c>
      <c r="D3591">
        <v>15.353</v>
      </c>
      <c r="E3591">
        <f>-13.019-15.353</f>
        <v>-28.372</v>
      </c>
      <c r="F3591" t="s">
        <v>5682</v>
      </c>
      <c r="G3591" t="s">
        <v>39</v>
      </c>
      <c r="H3591">
        <v>1987</v>
      </c>
      <c r="I3591">
        <v>29.200000762939499</v>
      </c>
      <c r="J3591">
        <v>15.199999809265099</v>
      </c>
      <c r="K3591">
        <v>57</v>
      </c>
      <c r="L3591">
        <v>27.7399997711182</v>
      </c>
      <c r="M3591">
        <v>41.700000762939503</v>
      </c>
      <c r="N3591">
        <v>15.3999996185303</v>
      </c>
      <c r="O3591">
        <v>26.299999237060501</v>
      </c>
      <c r="P3591">
        <v>29.200000762939499</v>
      </c>
      <c r="Q3591">
        <v>26.799999237060501</v>
      </c>
      <c r="R3591">
        <v>32.900001525878899</v>
      </c>
      <c r="S3591">
        <v>25.399999618530298</v>
      </c>
      <c r="T3591">
        <v>422</v>
      </c>
      <c r="U3591">
        <v>142</v>
      </c>
      <c r="V3591">
        <v>0</v>
      </c>
      <c r="W3591">
        <v>139</v>
      </c>
      <c r="X3591">
        <v>355</v>
      </c>
      <c r="Y3591">
        <v>1</v>
      </c>
      <c r="Z3591">
        <v>35</v>
      </c>
      <c r="AA3591">
        <v>2</v>
      </c>
      <c r="AB3591">
        <v>2.6849750238587302</v>
      </c>
      <c r="AC3591">
        <v>8.7443592636309991E-3</v>
      </c>
      <c r="AD3591">
        <v>1.19802701085159</v>
      </c>
      <c r="AE3591">
        <v>0.24462336809288901</v>
      </c>
      <c r="AF3591">
        <v>17.021702838063401</v>
      </c>
      <c r="AG3591">
        <f>IFERROR(AH3591*0.1, "N/A")</f>
        <v>6.3343906510851404</v>
      </c>
      <c r="AH3591">
        <v>63.343906510851397</v>
      </c>
      <c r="AI3591">
        <v>131.21119177918601</v>
      </c>
      <c r="AJ3591">
        <v>10.9265442404007</v>
      </c>
      <c r="AK3591">
        <v>74.933222036727898</v>
      </c>
    </row>
    <row r="3592" spans="1:37" x14ac:dyDescent="0.3">
      <c r="A3592">
        <v>3591</v>
      </c>
      <c r="B3592">
        <v>8</v>
      </c>
      <c r="C3592">
        <v>-16.057600000000001</v>
      </c>
      <c r="D3592">
        <v>15.364000000000001</v>
      </c>
      <c r="E3592">
        <f>-16.0576-15.364</f>
        <v>-31.421600000000002</v>
      </c>
      <c r="F3592" t="s">
        <v>5683</v>
      </c>
      <c r="G3592" t="s">
        <v>39</v>
      </c>
      <c r="H3592">
        <v>2003</v>
      </c>
      <c r="I3592">
        <v>26.096500368118299</v>
      </c>
      <c r="J3592">
        <v>14.2965001773834</v>
      </c>
      <c r="K3592">
        <v>69</v>
      </c>
      <c r="L3592">
        <v>18.1094503974915</v>
      </c>
      <c r="M3592">
        <v>34.896501445770298</v>
      </c>
      <c r="N3592">
        <v>14.300000190734901</v>
      </c>
      <c r="O3592">
        <v>20.596500368118299</v>
      </c>
      <c r="P3592">
        <v>27.403499631881701</v>
      </c>
      <c r="Q3592">
        <v>24.799999237060501</v>
      </c>
      <c r="R3592">
        <v>27.799999237060501</v>
      </c>
      <c r="S3592">
        <v>23.200000762939499</v>
      </c>
      <c r="T3592">
        <v>417</v>
      </c>
      <c r="U3592">
        <v>155</v>
      </c>
      <c r="V3592">
        <v>0</v>
      </c>
      <c r="W3592">
        <v>150</v>
      </c>
      <c r="X3592">
        <v>359</v>
      </c>
      <c r="Y3592">
        <v>1</v>
      </c>
      <c r="Z3592">
        <v>251</v>
      </c>
      <c r="AA3592">
        <v>3</v>
      </c>
      <c r="AB3592">
        <v>0.26516585032145201</v>
      </c>
      <c r="AC3592">
        <v>3.1360495074155401</v>
      </c>
      <c r="AD3592">
        <v>1.13896791428328</v>
      </c>
      <c r="AE3592">
        <v>0.69180482625961304</v>
      </c>
      <c r="AF3592">
        <v>40.913333333333298</v>
      </c>
      <c r="AG3592">
        <f>IFERROR(AH3592*0.1, "N/A")</f>
        <v>6.0931666666666704</v>
      </c>
      <c r="AH3592">
        <v>60.9316666666667</v>
      </c>
      <c r="AI3592">
        <v>118.19740275065099</v>
      </c>
      <c r="AJ3592">
        <v>4.9649999999999999</v>
      </c>
      <c r="AK3592">
        <v>90.031666666666695</v>
      </c>
    </row>
    <row r="3593" spans="1:37" x14ac:dyDescent="0.3">
      <c r="A3593">
        <v>3592</v>
      </c>
      <c r="B3593">
        <v>4</v>
      </c>
      <c r="C3593">
        <v>-16.483298999999999</v>
      </c>
      <c r="D3593">
        <v>15.3667</v>
      </c>
      <c r="E3593">
        <f>-16.483299-15.3667</f>
        <v>-31.849998999999997</v>
      </c>
      <c r="F3593" t="s">
        <v>5684</v>
      </c>
      <c r="G3593" t="s">
        <v>39</v>
      </c>
      <c r="H3593">
        <v>2003</v>
      </c>
      <c r="I3593">
        <v>25.299999237060501</v>
      </c>
      <c r="J3593">
        <v>12.616000289917</v>
      </c>
      <c r="K3593">
        <v>68.16</v>
      </c>
      <c r="L3593">
        <v>18.5408664830526</v>
      </c>
      <c r="M3593">
        <v>33</v>
      </c>
      <c r="N3593">
        <v>14.638666826884</v>
      </c>
      <c r="O3593">
        <v>18.361332804362</v>
      </c>
      <c r="P3593">
        <v>27.200000762939499</v>
      </c>
      <c r="Q3593">
        <v>23.600000381469702</v>
      </c>
      <c r="R3593">
        <v>27.200000762939499</v>
      </c>
      <c r="S3593">
        <v>22.815999298095701</v>
      </c>
      <c r="T3593">
        <v>366.22666666666697</v>
      </c>
      <c r="U3593">
        <v>137.226666666667</v>
      </c>
      <c r="V3593">
        <v>0</v>
      </c>
      <c r="W3593">
        <v>155</v>
      </c>
      <c r="X3593">
        <v>324.22666666666697</v>
      </c>
      <c r="Y3593">
        <v>0</v>
      </c>
      <c r="Z3593">
        <v>293.14666666666699</v>
      </c>
      <c r="AA3593">
        <v>2</v>
      </c>
      <c r="AB3593">
        <v>0.72116643905639599</v>
      </c>
      <c r="AC3593">
        <v>1.9094279844624001E-2</v>
      </c>
      <c r="AD3593">
        <v>1.0674793886145</v>
      </c>
      <c r="AE3593">
        <v>0.386040478944778</v>
      </c>
      <c r="AF3593">
        <v>42.983333333333299</v>
      </c>
      <c r="AG3593">
        <f>IFERROR(AH3593*0.1, "N/A")</f>
        <v>7.2965000000000009</v>
      </c>
      <c r="AH3593">
        <v>72.965000000000003</v>
      </c>
      <c r="AI3593">
        <v>139.09315043767299</v>
      </c>
      <c r="AJ3593">
        <v>10.02</v>
      </c>
      <c r="AK3593">
        <v>82.97</v>
      </c>
    </row>
    <row r="3594" spans="1:37" x14ac:dyDescent="0.3">
      <c r="A3594">
        <v>3593</v>
      </c>
      <c r="B3594">
        <v>24</v>
      </c>
      <c r="C3594">
        <v>-13.132099999999999</v>
      </c>
      <c r="D3594">
        <v>15.3764</v>
      </c>
      <c r="E3594">
        <f>-13.1321-15.3764</f>
        <v>-28.508499999999998</v>
      </c>
      <c r="F3594" t="s">
        <v>5685</v>
      </c>
      <c r="G3594" t="s">
        <v>39</v>
      </c>
      <c r="H3594">
        <v>1987</v>
      </c>
      <c r="I3594">
        <v>29.100000381469702</v>
      </c>
      <c r="J3594">
        <v>15.199999809265099</v>
      </c>
      <c r="K3594">
        <v>57</v>
      </c>
      <c r="L3594">
        <v>28.059999465942401</v>
      </c>
      <c r="M3594">
        <v>41.700000762939503</v>
      </c>
      <c r="N3594">
        <v>15.199999809265099</v>
      </c>
      <c r="O3594">
        <v>26.5</v>
      </c>
      <c r="P3594">
        <v>29.200000762939499</v>
      </c>
      <c r="Q3594">
        <v>26.700000762939499</v>
      </c>
      <c r="R3594">
        <v>32.799999237060497</v>
      </c>
      <c r="S3594">
        <v>25.299999237060501</v>
      </c>
      <c r="T3594">
        <v>427</v>
      </c>
      <c r="U3594">
        <v>144</v>
      </c>
      <c r="V3594">
        <v>0</v>
      </c>
      <c r="W3594">
        <v>141</v>
      </c>
      <c r="X3594">
        <v>360</v>
      </c>
      <c r="Y3594">
        <v>1</v>
      </c>
      <c r="Z3594">
        <v>34</v>
      </c>
      <c r="AA3594">
        <v>2</v>
      </c>
      <c r="AB3594">
        <v>7.0090138812694001</v>
      </c>
      <c r="AC3594">
        <v>1.6123622937286999E-2</v>
      </c>
      <c r="AD3594">
        <v>1.2298417692391399</v>
      </c>
      <c r="AE3594">
        <v>0.51161915063857999</v>
      </c>
      <c r="AF3594">
        <v>41.926544240400702</v>
      </c>
      <c r="AG3594">
        <f>IFERROR(AH3594*0.1, "N/A")</f>
        <v>6.4672787979966602</v>
      </c>
      <c r="AH3594">
        <v>64.6727879799666</v>
      </c>
      <c r="AI3594">
        <v>129.89932908199901</v>
      </c>
      <c r="AJ3594">
        <v>14.0651085141903</v>
      </c>
      <c r="AK3594">
        <v>72.035058430717896</v>
      </c>
    </row>
    <row r="3595" spans="1:37" x14ac:dyDescent="0.3">
      <c r="A3595">
        <v>3594</v>
      </c>
      <c r="B3595">
        <v>86</v>
      </c>
      <c r="C3595">
        <v>-15.1282</v>
      </c>
      <c r="D3595">
        <v>15.378500000000001</v>
      </c>
      <c r="E3595">
        <f>-15.1282-15.3785</f>
        <v>-30.506700000000002</v>
      </c>
      <c r="F3595" t="s">
        <v>5686</v>
      </c>
      <c r="G3595" t="s">
        <v>39</v>
      </c>
      <c r="H3595">
        <v>2003</v>
      </c>
      <c r="I3595">
        <v>28.5</v>
      </c>
      <c r="J3595">
        <v>15.699999809265099</v>
      </c>
      <c r="K3595">
        <v>63</v>
      </c>
      <c r="L3595">
        <v>21.540000915527301</v>
      </c>
      <c r="M3595">
        <v>40.400001525878899</v>
      </c>
      <c r="N3595">
        <v>15.699999809265099</v>
      </c>
      <c r="O3595">
        <v>24.700000762939499</v>
      </c>
      <c r="P3595">
        <v>29.200000762939499</v>
      </c>
      <c r="Q3595">
        <v>29.700000762939499</v>
      </c>
      <c r="R3595">
        <v>30.799999237060501</v>
      </c>
      <c r="S3595">
        <v>25.200000762939499</v>
      </c>
      <c r="T3595">
        <v>419</v>
      </c>
      <c r="U3595">
        <v>140</v>
      </c>
      <c r="V3595">
        <v>0</v>
      </c>
      <c r="W3595">
        <v>142</v>
      </c>
      <c r="X3595">
        <v>351</v>
      </c>
      <c r="Y3595">
        <v>1</v>
      </c>
      <c r="Z3595">
        <v>26</v>
      </c>
      <c r="AA3595">
        <v>3</v>
      </c>
      <c r="AB3595">
        <v>8.1495003334681204</v>
      </c>
      <c r="AC3595">
        <v>5.9232330112718001E-2</v>
      </c>
      <c r="AD3595">
        <v>1.0781069612503</v>
      </c>
      <c r="AE3595">
        <v>0.35864484399557101</v>
      </c>
      <c r="AF3595">
        <v>13.9433333333333</v>
      </c>
      <c r="AG3595">
        <f>IFERROR(AH3595*0.1, "N/A")</f>
        <v>6.7420000000000009</v>
      </c>
      <c r="AH3595">
        <v>67.42</v>
      </c>
      <c r="AI3595">
        <v>89.989364655812594</v>
      </c>
      <c r="AJ3595">
        <v>13.42</v>
      </c>
      <c r="AK3595">
        <v>75.58</v>
      </c>
    </row>
    <row r="3596" spans="1:37" x14ac:dyDescent="0.3">
      <c r="A3596">
        <v>3595</v>
      </c>
      <c r="B3596">
        <v>0</v>
      </c>
      <c r="C3596">
        <v>-16.616599999999998</v>
      </c>
      <c r="D3596">
        <v>15.3833</v>
      </c>
      <c r="E3596">
        <f>-16.6166-15.3833</f>
        <v>-31.999899999999997</v>
      </c>
      <c r="F3596" t="s">
        <v>5687</v>
      </c>
      <c r="G3596" t="s">
        <v>39</v>
      </c>
      <c r="H3596">
        <v>1996</v>
      </c>
      <c r="I3596">
        <v>25.100000381469702</v>
      </c>
      <c r="J3596">
        <v>12.0625002384186</v>
      </c>
      <c r="K3596">
        <v>67.77</v>
      </c>
      <c r="L3596">
        <v>18.910249986648601</v>
      </c>
      <c r="M3596">
        <v>32.522999649047897</v>
      </c>
      <c r="N3596">
        <v>14.8999996185303</v>
      </c>
      <c r="O3596">
        <v>17.623000469207799</v>
      </c>
      <c r="P3596">
        <v>27.1855007076263</v>
      </c>
      <c r="Q3596">
        <v>23.963499860763601</v>
      </c>
      <c r="R3596">
        <v>27.200000762939499</v>
      </c>
      <c r="S3596">
        <v>22.700000762939499</v>
      </c>
      <c r="T3596">
        <v>371.39499999999998</v>
      </c>
      <c r="U3596">
        <v>139.77000000000001</v>
      </c>
      <c r="V3596">
        <v>0</v>
      </c>
      <c r="W3596">
        <v>155.64500000000001</v>
      </c>
      <c r="X3596">
        <v>328.39499999999998</v>
      </c>
      <c r="Y3596">
        <v>0</v>
      </c>
      <c r="Z3596">
        <v>316.39499999999998</v>
      </c>
      <c r="AA3596">
        <v>3</v>
      </c>
      <c r="AB3596">
        <v>1.0256666119893401</v>
      </c>
      <c r="AC3596">
        <v>2.1415941682644001E-2</v>
      </c>
      <c r="AD3596">
        <v>3.0344600135088</v>
      </c>
      <c r="AE3596">
        <v>0.53843575716018699</v>
      </c>
      <c r="AF3596">
        <v>39.6666666666667</v>
      </c>
      <c r="AG3596">
        <f>IFERROR(AH3596*0.1, "N/A")</f>
        <v>6.6655000000000006</v>
      </c>
      <c r="AH3596">
        <v>66.655000000000001</v>
      </c>
      <c r="AI3596">
        <v>144.05790074666299</v>
      </c>
      <c r="AJ3596">
        <v>13.005000000000001</v>
      </c>
      <c r="AK3596">
        <v>75.924999999999997</v>
      </c>
    </row>
    <row r="3597" spans="1:37" x14ac:dyDescent="0.3">
      <c r="A3597">
        <v>3596</v>
      </c>
      <c r="B3597">
        <v>0</v>
      </c>
      <c r="C3597">
        <v>-16.616599999999998</v>
      </c>
      <c r="D3597">
        <v>15.3833</v>
      </c>
      <c r="E3597">
        <f>-16.6166-15.3833</f>
        <v>-31.999899999999997</v>
      </c>
      <c r="F3597" t="s">
        <v>5688</v>
      </c>
      <c r="G3597" t="s">
        <v>37</v>
      </c>
      <c r="H3597">
        <v>1996</v>
      </c>
      <c r="I3597">
        <v>25.100000381469702</v>
      </c>
      <c r="J3597">
        <v>12.0625002384186</v>
      </c>
      <c r="K3597">
        <v>67.77</v>
      </c>
      <c r="L3597">
        <v>18.910249986648601</v>
      </c>
      <c r="M3597">
        <v>32.522999649047897</v>
      </c>
      <c r="N3597">
        <v>14.8999996185303</v>
      </c>
      <c r="O3597">
        <v>17.623000469207799</v>
      </c>
      <c r="P3597">
        <v>27.1855007076263</v>
      </c>
      <c r="Q3597">
        <v>23.963499860763601</v>
      </c>
      <c r="R3597">
        <v>27.200000762939499</v>
      </c>
      <c r="S3597">
        <v>22.700000762939499</v>
      </c>
      <c r="T3597">
        <v>371.39499999999998</v>
      </c>
      <c r="U3597">
        <v>139.77000000000001</v>
      </c>
      <c r="V3597">
        <v>0</v>
      </c>
      <c r="W3597">
        <v>155.64500000000001</v>
      </c>
      <c r="X3597">
        <v>328.39499999999998</v>
      </c>
      <c r="Y3597">
        <v>0</v>
      </c>
      <c r="Z3597">
        <v>316.39499999999998</v>
      </c>
      <c r="AA3597">
        <v>3</v>
      </c>
      <c r="AB3597">
        <v>1.0256666119893401</v>
      </c>
      <c r="AC3597">
        <v>2.1415941682644001E-2</v>
      </c>
      <c r="AD3597">
        <v>3.0344600135088</v>
      </c>
      <c r="AE3597">
        <v>0.53843575716018699</v>
      </c>
      <c r="AF3597">
        <v>39.6666666666667</v>
      </c>
      <c r="AG3597">
        <f>IFERROR(AH3597*0.1, "N/A")</f>
        <v>6.6655000000000006</v>
      </c>
      <c r="AH3597">
        <v>66.655000000000001</v>
      </c>
      <c r="AI3597">
        <v>144.05790074666299</v>
      </c>
      <c r="AJ3597">
        <v>13.005000000000001</v>
      </c>
      <c r="AK3597">
        <v>75.924999999999997</v>
      </c>
    </row>
    <row r="3598" spans="1:37" x14ac:dyDescent="0.3">
      <c r="A3598">
        <v>3597</v>
      </c>
      <c r="B3598">
        <v>31.299999</v>
      </c>
      <c r="C3598">
        <v>-13.1555</v>
      </c>
      <c r="D3598">
        <v>15.386699999999999</v>
      </c>
      <c r="E3598">
        <f>-13.1555-15.3867</f>
        <v>-28.542200000000001</v>
      </c>
      <c r="F3598" t="s">
        <v>5689</v>
      </c>
      <c r="G3598" t="s">
        <v>39</v>
      </c>
      <c r="H3598">
        <v>2004</v>
      </c>
      <c r="I3598">
        <v>29.200000762939499</v>
      </c>
      <c r="J3598">
        <v>15.199999809265099</v>
      </c>
      <c r="K3598">
        <v>57</v>
      </c>
      <c r="L3598">
        <v>28.149999618530298</v>
      </c>
      <c r="M3598">
        <v>41.799999237060497</v>
      </c>
      <c r="N3598">
        <v>15.300000190734901</v>
      </c>
      <c r="O3598">
        <v>26.5</v>
      </c>
      <c r="P3598">
        <v>29.399999618530298</v>
      </c>
      <c r="Q3598">
        <v>31.700000762939499</v>
      </c>
      <c r="R3598">
        <v>32.900001525878899</v>
      </c>
      <c r="S3598">
        <v>25.299999237060501</v>
      </c>
      <c r="T3598">
        <v>427</v>
      </c>
      <c r="U3598">
        <v>145</v>
      </c>
      <c r="V3598">
        <v>0</v>
      </c>
      <c r="W3598">
        <v>141</v>
      </c>
      <c r="X3598">
        <v>360</v>
      </c>
      <c r="Y3598">
        <v>1</v>
      </c>
      <c r="Z3598">
        <v>33</v>
      </c>
      <c r="AA3598">
        <v>3</v>
      </c>
      <c r="AB3598">
        <v>4.2906512067791596</v>
      </c>
      <c r="AC3598">
        <v>3.8180211052075003E-2</v>
      </c>
      <c r="AD3598">
        <v>1.51913253134598</v>
      </c>
      <c r="AE3598">
        <v>0.241592555292859</v>
      </c>
      <c r="AF3598">
        <v>34.529215358931602</v>
      </c>
      <c r="AG3598">
        <f>IFERROR(AH3598*0.1, "N/A")</f>
        <v>6.1000000000000005</v>
      </c>
      <c r="AH3598">
        <v>61</v>
      </c>
      <c r="AI3598">
        <v>109.771203313328</v>
      </c>
      <c r="AJ3598">
        <v>12</v>
      </c>
      <c r="AK3598">
        <v>75</v>
      </c>
    </row>
    <row r="3599" spans="1:37" x14ac:dyDescent="0.3">
      <c r="A3599">
        <v>3598</v>
      </c>
      <c r="B3599">
        <v>48.400002000000001</v>
      </c>
      <c r="C3599">
        <v>-13.533300000000001</v>
      </c>
      <c r="D3599">
        <v>15.4</v>
      </c>
      <c r="E3599">
        <f>-13.5333-15.4</f>
        <v>-28.933300000000003</v>
      </c>
      <c r="F3599" t="s">
        <v>5690</v>
      </c>
      <c r="G3599" t="s">
        <v>39</v>
      </c>
      <c r="H3599">
        <v>1996</v>
      </c>
      <c r="I3599">
        <v>28.966220606928299</v>
      </c>
      <c r="J3599">
        <v>15.199999809265099</v>
      </c>
      <c r="K3599">
        <v>57.337792642140499</v>
      </c>
      <c r="L3599">
        <v>27.3754182451943</v>
      </c>
      <c r="M3599">
        <v>41.532440976554298</v>
      </c>
      <c r="N3599">
        <v>15.224080168682599</v>
      </c>
      <c r="O3599">
        <v>26.3083611172577</v>
      </c>
      <c r="P3599">
        <v>29.190301269990499</v>
      </c>
      <c r="Q3599">
        <v>26.466220606928299</v>
      </c>
      <c r="R3599">
        <v>32.466221251216602</v>
      </c>
      <c r="S3599">
        <v>25.124080740887202</v>
      </c>
      <c r="T3599">
        <v>460.675585284281</v>
      </c>
      <c r="U3599">
        <v>156</v>
      </c>
      <c r="V3599">
        <v>0</v>
      </c>
      <c r="W3599">
        <v>140.33779264213999</v>
      </c>
      <c r="X3599">
        <v>387.675585284281</v>
      </c>
      <c r="Y3599">
        <v>2</v>
      </c>
      <c r="Z3599">
        <v>35</v>
      </c>
      <c r="AA3599">
        <v>3</v>
      </c>
      <c r="AB3599">
        <v>4.0434777824376296</v>
      </c>
      <c r="AC3599">
        <v>0.17157258014552901</v>
      </c>
      <c r="AD3599">
        <v>1.01333813573604</v>
      </c>
      <c r="AE3599">
        <v>0.28216508030891402</v>
      </c>
      <c r="AF3599">
        <v>57.339464882943098</v>
      </c>
      <c r="AG3599">
        <f>IFERROR(AH3599*0.1, "N/A")</f>
        <v>5.9</v>
      </c>
      <c r="AH3599">
        <v>59</v>
      </c>
      <c r="AI3599">
        <v>162.47708390787699</v>
      </c>
      <c r="AJ3599">
        <v>12.715719063545199</v>
      </c>
      <c r="AK3599">
        <v>73.926421404682301</v>
      </c>
    </row>
    <row r="3600" spans="1:37" x14ac:dyDescent="0.3">
      <c r="A3600">
        <v>3599</v>
      </c>
      <c r="B3600">
        <v>0</v>
      </c>
      <c r="C3600">
        <v>-13.533300000000001</v>
      </c>
      <c r="D3600">
        <v>15.4</v>
      </c>
      <c r="E3600">
        <f>-13.5333-15.4</f>
        <v>-28.933300000000003</v>
      </c>
      <c r="F3600" t="s">
        <v>5691</v>
      </c>
      <c r="G3600" t="s">
        <v>37</v>
      </c>
      <c r="H3600">
        <v>1996</v>
      </c>
      <c r="I3600">
        <v>28.966220606928299</v>
      </c>
      <c r="J3600">
        <v>15.199999809265099</v>
      </c>
      <c r="K3600">
        <v>57.337792642140499</v>
      </c>
      <c r="L3600">
        <v>27.3754182451943</v>
      </c>
      <c r="M3600">
        <v>41.532440976554298</v>
      </c>
      <c r="N3600">
        <v>15.224080168682599</v>
      </c>
      <c r="O3600">
        <v>26.3083611172577</v>
      </c>
      <c r="P3600">
        <v>29.190301269990499</v>
      </c>
      <c r="Q3600">
        <v>26.466220606928299</v>
      </c>
      <c r="R3600">
        <v>32.466221251216602</v>
      </c>
      <c r="S3600">
        <v>25.124080740887202</v>
      </c>
      <c r="T3600">
        <v>460.675585284281</v>
      </c>
      <c r="U3600">
        <v>156</v>
      </c>
      <c r="V3600">
        <v>0</v>
      </c>
      <c r="W3600">
        <v>140.33779264213999</v>
      </c>
      <c r="X3600">
        <v>387.675585284281</v>
      </c>
      <c r="Y3600">
        <v>2</v>
      </c>
      <c r="Z3600">
        <v>35</v>
      </c>
      <c r="AA3600">
        <v>3</v>
      </c>
      <c r="AB3600">
        <v>4.0434777824376296</v>
      </c>
      <c r="AC3600">
        <v>0.17157258014552901</v>
      </c>
      <c r="AD3600">
        <v>1.01333813573604</v>
      </c>
      <c r="AE3600">
        <v>0.28216508030891402</v>
      </c>
      <c r="AF3600">
        <v>57.339464882943098</v>
      </c>
      <c r="AG3600">
        <f>IFERROR(AH3600*0.1, "N/A")</f>
        <v>5.9</v>
      </c>
      <c r="AH3600">
        <v>59</v>
      </c>
      <c r="AI3600">
        <v>162.47708390787699</v>
      </c>
      <c r="AJ3600">
        <v>12.715719063545199</v>
      </c>
      <c r="AK3600">
        <v>73.926421404682301</v>
      </c>
    </row>
    <row r="3601" spans="1:37" x14ac:dyDescent="0.3">
      <c r="A3601">
        <v>3600</v>
      </c>
      <c r="B3601">
        <v>16</v>
      </c>
      <c r="C3601">
        <v>-15.1473</v>
      </c>
      <c r="D3601">
        <v>15.4137</v>
      </c>
      <c r="E3601">
        <f>-15.1473-15.4137</f>
        <v>-30.561</v>
      </c>
      <c r="F3601" t="s">
        <v>5692</v>
      </c>
      <c r="G3601" t="s">
        <v>39</v>
      </c>
      <c r="H3601">
        <v>2003</v>
      </c>
      <c r="I3601">
        <v>28.399999618530298</v>
      </c>
      <c r="J3601">
        <v>15.699999809265099</v>
      </c>
      <c r="K3601">
        <v>63</v>
      </c>
      <c r="L3601">
        <v>21.920000076293899</v>
      </c>
      <c r="M3601">
        <v>40.299999237060497</v>
      </c>
      <c r="N3601">
        <v>15.5</v>
      </c>
      <c r="O3601">
        <v>24.799999237060501</v>
      </c>
      <c r="P3601">
        <v>29.100000381469702</v>
      </c>
      <c r="Q3601">
        <v>29.600000381469702</v>
      </c>
      <c r="R3601">
        <v>30.700000762939499</v>
      </c>
      <c r="S3601">
        <v>25</v>
      </c>
      <c r="T3601">
        <v>417</v>
      </c>
      <c r="U3601">
        <v>139</v>
      </c>
      <c r="V3601">
        <v>0</v>
      </c>
      <c r="W3601">
        <v>142</v>
      </c>
      <c r="X3601">
        <v>349</v>
      </c>
      <c r="Y3601">
        <v>1</v>
      </c>
      <c r="Z3601">
        <v>26</v>
      </c>
      <c r="AA3601">
        <v>3</v>
      </c>
      <c r="AB3601">
        <v>9.0123542839776292</v>
      </c>
      <c r="AC3601">
        <v>3.8147696202158E-2</v>
      </c>
      <c r="AD3601">
        <v>1.65901129164162</v>
      </c>
      <c r="AE3601">
        <v>0.347764841950994</v>
      </c>
      <c r="AF3601">
        <v>14.093489148581</v>
      </c>
      <c r="AG3601">
        <f>IFERROR(AH3601*0.1, "N/A")</f>
        <v>6.2853088480801302</v>
      </c>
      <c r="AH3601">
        <v>62.853088480801297</v>
      </c>
      <c r="AI3601">
        <v>173.49227095207499</v>
      </c>
      <c r="AJ3601">
        <v>9.8530884808013308</v>
      </c>
      <c r="AK3601">
        <v>76.587646076794698</v>
      </c>
    </row>
    <row r="3602" spans="1:37" x14ac:dyDescent="0.3">
      <c r="A3602">
        <v>3601</v>
      </c>
      <c r="B3602">
        <v>42</v>
      </c>
      <c r="C3602">
        <v>-15.1473</v>
      </c>
      <c r="D3602">
        <v>15.4137</v>
      </c>
      <c r="E3602">
        <f>-15.1473-15.4137</f>
        <v>-30.561</v>
      </c>
      <c r="F3602" t="s">
        <v>5693</v>
      </c>
      <c r="G3602" t="s">
        <v>37</v>
      </c>
      <c r="H3602">
        <v>2003</v>
      </c>
      <c r="I3602">
        <v>28.399999618530298</v>
      </c>
      <c r="J3602">
        <v>15.699999809265099</v>
      </c>
      <c r="K3602">
        <v>63</v>
      </c>
      <c r="L3602">
        <v>21.920000076293899</v>
      </c>
      <c r="M3602">
        <v>40.299999237060497</v>
      </c>
      <c r="N3602">
        <v>15.5</v>
      </c>
      <c r="O3602">
        <v>24.799999237060501</v>
      </c>
      <c r="P3602">
        <v>29.100000381469702</v>
      </c>
      <c r="Q3602">
        <v>29.600000381469702</v>
      </c>
      <c r="R3602">
        <v>30.700000762939499</v>
      </c>
      <c r="S3602">
        <v>25</v>
      </c>
      <c r="T3602">
        <v>417</v>
      </c>
      <c r="U3602">
        <v>139</v>
      </c>
      <c r="V3602">
        <v>0</v>
      </c>
      <c r="W3602">
        <v>142</v>
      </c>
      <c r="X3602">
        <v>349</v>
      </c>
      <c r="Y3602">
        <v>1</v>
      </c>
      <c r="Z3602">
        <v>26</v>
      </c>
      <c r="AA3602">
        <v>3</v>
      </c>
      <c r="AB3602">
        <v>9.0123542839776292</v>
      </c>
      <c r="AC3602">
        <v>3.8147696202158E-2</v>
      </c>
      <c r="AD3602">
        <v>1.65901129164162</v>
      </c>
      <c r="AE3602">
        <v>0.347764841950994</v>
      </c>
      <c r="AF3602">
        <v>14.093489148581</v>
      </c>
      <c r="AG3602">
        <f>IFERROR(AH3602*0.1, "N/A")</f>
        <v>6.2853088480801302</v>
      </c>
      <c r="AH3602">
        <v>62.853088480801297</v>
      </c>
      <c r="AI3602">
        <v>173.49227095207499</v>
      </c>
      <c r="AJ3602">
        <v>9.8530884808013308</v>
      </c>
      <c r="AK3602">
        <v>76.587646076794698</v>
      </c>
    </row>
    <row r="3603" spans="1:37" x14ac:dyDescent="0.3">
      <c r="A3603">
        <v>3602</v>
      </c>
      <c r="B3603">
        <v>18</v>
      </c>
      <c r="C3603">
        <v>-13.1858</v>
      </c>
      <c r="D3603">
        <v>15.4377</v>
      </c>
      <c r="E3603">
        <f>-13.1858-15.4377</f>
        <v>-28.6235</v>
      </c>
      <c r="F3603" t="s">
        <v>5694</v>
      </c>
      <c r="G3603" t="s">
        <v>39</v>
      </c>
      <c r="H3603">
        <v>1987</v>
      </c>
      <c r="I3603">
        <v>29.299999237060501</v>
      </c>
      <c r="J3603">
        <v>15.300000190734901</v>
      </c>
      <c r="K3603">
        <v>57</v>
      </c>
      <c r="L3603">
        <v>28.5100002288818</v>
      </c>
      <c r="M3603">
        <v>41.900001525878899</v>
      </c>
      <c r="N3603">
        <v>15.300000190734901</v>
      </c>
      <c r="O3603">
        <v>26.600000381469702</v>
      </c>
      <c r="P3603">
        <v>29.5</v>
      </c>
      <c r="Q3603">
        <v>31.700000762939499</v>
      </c>
      <c r="R3603">
        <v>33</v>
      </c>
      <c r="S3603">
        <v>25.299999237060501</v>
      </c>
      <c r="T3603">
        <v>413</v>
      </c>
      <c r="U3603">
        <v>142</v>
      </c>
      <c r="V3603">
        <v>0</v>
      </c>
      <c r="W3603">
        <v>141</v>
      </c>
      <c r="X3603">
        <v>350</v>
      </c>
      <c r="Y3603">
        <v>1</v>
      </c>
      <c r="Z3603">
        <v>31</v>
      </c>
      <c r="AA3603">
        <v>3</v>
      </c>
      <c r="AB3603">
        <v>0.55125148308297001</v>
      </c>
      <c r="AC3603">
        <v>5.9066372424463998E-2</v>
      </c>
      <c r="AD3603">
        <v>2.3015506816825799</v>
      </c>
      <c r="AE3603">
        <v>0.24645078182220501</v>
      </c>
      <c r="AF3603">
        <v>28.2621035058431</v>
      </c>
      <c r="AG3603">
        <f>IFERROR(AH3603*0.1, "N/A")</f>
        <v>6.2459098497495802</v>
      </c>
      <c r="AH3603">
        <v>62.459098497495802</v>
      </c>
      <c r="AI3603">
        <v>138.12895300710699</v>
      </c>
      <c r="AJ3603">
        <v>10.974958263773001</v>
      </c>
      <c r="AK3603">
        <v>78.754590984974996</v>
      </c>
    </row>
    <row r="3604" spans="1:37" x14ac:dyDescent="0.3">
      <c r="A3604">
        <v>3603</v>
      </c>
      <c r="B3604">
        <v>8</v>
      </c>
      <c r="C3604">
        <v>-16.440598999999999</v>
      </c>
      <c r="D3604">
        <v>15.4392</v>
      </c>
      <c r="E3604">
        <f>-16.440599-15.4392</f>
        <v>-31.879798999999998</v>
      </c>
      <c r="F3604" t="s">
        <v>5695</v>
      </c>
      <c r="G3604" t="s">
        <v>39</v>
      </c>
      <c r="H3604">
        <v>2003</v>
      </c>
      <c r="I3604">
        <v>25.299999237060501</v>
      </c>
      <c r="J3604">
        <v>12.6000003814697</v>
      </c>
      <c r="K3604">
        <v>68</v>
      </c>
      <c r="L3604">
        <v>19.0200004577637</v>
      </c>
      <c r="M3604">
        <v>32.900001525878899</v>
      </c>
      <c r="N3604">
        <v>14.6000003814697</v>
      </c>
      <c r="O3604">
        <v>18.299999237060501</v>
      </c>
      <c r="P3604">
        <v>27.299999237060501</v>
      </c>
      <c r="Q3604">
        <v>23.5</v>
      </c>
      <c r="R3604">
        <v>27.299999237060501</v>
      </c>
      <c r="S3604">
        <v>22.700000762939499</v>
      </c>
      <c r="T3604">
        <v>363</v>
      </c>
      <c r="U3604">
        <v>137</v>
      </c>
      <c r="V3604">
        <v>0</v>
      </c>
      <c r="W3604">
        <v>154</v>
      </c>
      <c r="X3604">
        <v>321</v>
      </c>
      <c r="Y3604">
        <v>0</v>
      </c>
      <c r="Z3604">
        <v>321</v>
      </c>
      <c r="AA3604">
        <v>2</v>
      </c>
      <c r="AB3604">
        <v>0.197664546966553</v>
      </c>
      <c r="AC3604">
        <v>0.223366691704529</v>
      </c>
      <c r="AD3604">
        <v>1.83709990282853</v>
      </c>
      <c r="AE3604">
        <v>0.28473854064941401</v>
      </c>
      <c r="AF3604">
        <v>39.741666666666703</v>
      </c>
      <c r="AG3604">
        <f>IFERROR(AH3604*0.1, "N/A")</f>
        <v>7.2991666666666708</v>
      </c>
      <c r="AH3604">
        <v>72.991666666666703</v>
      </c>
      <c r="AI3604">
        <v>141.01878167311301</v>
      </c>
      <c r="AJ3604">
        <v>10</v>
      </c>
      <c r="AK3604">
        <v>82.991666666666603</v>
      </c>
    </row>
    <row r="3605" spans="1:37" x14ac:dyDescent="0.3">
      <c r="A3605">
        <v>3604</v>
      </c>
      <c r="B3605">
        <v>8</v>
      </c>
      <c r="C3605">
        <v>-16.2925</v>
      </c>
      <c r="D3605">
        <v>15.444599999999999</v>
      </c>
      <c r="E3605">
        <f>-16.2925-15.4446</f>
        <v>-31.737099999999998</v>
      </c>
      <c r="F3605" t="s">
        <v>5696</v>
      </c>
      <c r="G3605" t="s">
        <v>39</v>
      </c>
      <c r="H3605">
        <v>2003</v>
      </c>
      <c r="I3605">
        <v>25.403666299184199</v>
      </c>
      <c r="J3605">
        <v>13.1000003814697</v>
      </c>
      <c r="K3605">
        <v>69</v>
      </c>
      <c r="L3605">
        <v>18.727432886759399</v>
      </c>
      <c r="M3605">
        <v>33.400001525878899</v>
      </c>
      <c r="N3605">
        <v>14.5</v>
      </c>
      <c r="O3605">
        <v>18.899999618530298</v>
      </c>
      <c r="P3605">
        <v>27.299999237060501</v>
      </c>
      <c r="Q3605">
        <v>23.803665917714401</v>
      </c>
      <c r="R3605">
        <v>27.303665917714401</v>
      </c>
      <c r="S3605">
        <v>22.799999237060501</v>
      </c>
      <c r="T3605">
        <v>380.07333333333298</v>
      </c>
      <c r="U3605">
        <v>144</v>
      </c>
      <c r="V3605">
        <v>0</v>
      </c>
      <c r="W3605">
        <v>154</v>
      </c>
      <c r="X3605">
        <v>334.03666666666697</v>
      </c>
      <c r="Y3605">
        <v>0</v>
      </c>
      <c r="Z3605">
        <v>228.566666666667</v>
      </c>
      <c r="AA3605">
        <v>2</v>
      </c>
      <c r="AB3605">
        <v>1.1305019251505499</v>
      </c>
      <c r="AC3605">
        <v>1.6792416485646999E-2</v>
      </c>
      <c r="AD3605">
        <v>2.5604672028621001</v>
      </c>
      <c r="AE3605">
        <v>0.29905304312705999</v>
      </c>
      <c r="AF3605">
        <v>39.383333333333297</v>
      </c>
      <c r="AG3605">
        <f>IFERROR(AH3605*0.1, "N/A")</f>
        <v>7.3680000000000012</v>
      </c>
      <c r="AH3605">
        <v>73.680000000000007</v>
      </c>
      <c r="AI3605">
        <v>87.292541325887001</v>
      </c>
      <c r="AJ3605">
        <v>4.4749999999999996</v>
      </c>
      <c r="AK3605">
        <v>87.123333333333306</v>
      </c>
    </row>
    <row r="3606" spans="1:37" x14ac:dyDescent="0.3">
      <c r="A3606">
        <v>3605</v>
      </c>
      <c r="B3606">
        <v>6.7</v>
      </c>
      <c r="C3606">
        <v>-13.182499999999999</v>
      </c>
      <c r="D3606">
        <v>15.4465</v>
      </c>
      <c r="E3606">
        <f>-13.1825-15.4465</f>
        <v>-28.628999999999998</v>
      </c>
      <c r="F3606" t="s">
        <v>5697</v>
      </c>
      <c r="G3606" t="s">
        <v>39</v>
      </c>
      <c r="H3606">
        <v>1983</v>
      </c>
      <c r="I3606">
        <v>29.299999237060501</v>
      </c>
      <c r="J3606">
        <v>15.300000190734901</v>
      </c>
      <c r="K3606">
        <v>57</v>
      </c>
      <c r="L3606">
        <v>28.2600002288818</v>
      </c>
      <c r="M3606">
        <v>41.900001525878899</v>
      </c>
      <c r="N3606">
        <v>15.300000190734901</v>
      </c>
      <c r="O3606">
        <v>26.600000381469702</v>
      </c>
      <c r="P3606">
        <v>29.5</v>
      </c>
      <c r="Q3606">
        <v>31.700000762939499</v>
      </c>
      <c r="R3606">
        <v>33</v>
      </c>
      <c r="S3606">
        <v>25.399999618530298</v>
      </c>
      <c r="T3606">
        <v>409</v>
      </c>
      <c r="U3606">
        <v>140</v>
      </c>
      <c r="V3606">
        <v>0</v>
      </c>
      <c r="W3606">
        <v>139</v>
      </c>
      <c r="X3606">
        <v>346</v>
      </c>
      <c r="Y3606">
        <v>1</v>
      </c>
      <c r="Z3606">
        <v>31</v>
      </c>
      <c r="AA3606">
        <v>3</v>
      </c>
      <c r="AB3606">
        <v>1.81402377732011</v>
      </c>
      <c r="AC3606">
        <v>1.5939346273648999E-2</v>
      </c>
      <c r="AD3606">
        <v>0.78408924904410904</v>
      </c>
      <c r="AE3606">
        <v>0.247571021318436</v>
      </c>
      <c r="AF3606">
        <v>28.016694490818001</v>
      </c>
      <c r="AG3606">
        <f>IFERROR(AH3606*0.1, "N/A")</f>
        <v>6.1000000000000005</v>
      </c>
      <c r="AH3606">
        <v>61</v>
      </c>
      <c r="AI3606">
        <v>150.125550131567</v>
      </c>
      <c r="AJ3606">
        <v>11</v>
      </c>
      <c r="AK3606">
        <v>77</v>
      </c>
    </row>
    <row r="3607" spans="1:37" x14ac:dyDescent="0.3">
      <c r="A3607">
        <v>3606</v>
      </c>
      <c r="B3607">
        <v>0</v>
      </c>
      <c r="C3607">
        <v>-13.182499999999999</v>
      </c>
      <c r="D3607">
        <v>15.4465</v>
      </c>
      <c r="E3607">
        <f>-13.1825-15.4465</f>
        <v>-28.628999999999998</v>
      </c>
      <c r="F3607" t="s">
        <v>5698</v>
      </c>
      <c r="G3607" t="s">
        <v>37</v>
      </c>
      <c r="H3607">
        <v>1983</v>
      </c>
      <c r="I3607">
        <v>29.299999237060501</v>
      </c>
      <c r="J3607">
        <v>15.300000190734901</v>
      </c>
      <c r="K3607">
        <v>57</v>
      </c>
      <c r="L3607">
        <v>28.2600002288818</v>
      </c>
      <c r="M3607">
        <v>41.900001525878899</v>
      </c>
      <c r="N3607">
        <v>15.300000190734901</v>
      </c>
      <c r="O3607">
        <v>26.600000381469702</v>
      </c>
      <c r="P3607">
        <v>29.5</v>
      </c>
      <c r="Q3607">
        <v>31.700000762939499</v>
      </c>
      <c r="R3607">
        <v>33</v>
      </c>
      <c r="S3607">
        <v>25.399999618530298</v>
      </c>
      <c r="T3607">
        <v>409</v>
      </c>
      <c r="U3607">
        <v>140</v>
      </c>
      <c r="V3607">
        <v>0</v>
      </c>
      <c r="W3607">
        <v>139</v>
      </c>
      <c r="X3607">
        <v>346</v>
      </c>
      <c r="Y3607">
        <v>1</v>
      </c>
      <c r="Z3607">
        <v>31</v>
      </c>
      <c r="AA3607">
        <v>3</v>
      </c>
      <c r="AB3607">
        <v>1.81402377732011</v>
      </c>
      <c r="AC3607">
        <v>1.5939346273648999E-2</v>
      </c>
      <c r="AD3607">
        <v>0.78408924904410904</v>
      </c>
      <c r="AE3607">
        <v>0.247571021318436</v>
      </c>
      <c r="AF3607">
        <v>28.016694490818001</v>
      </c>
      <c r="AG3607">
        <f>IFERROR(AH3607*0.1, "N/A")</f>
        <v>6.1000000000000005</v>
      </c>
      <c r="AH3607">
        <v>61</v>
      </c>
      <c r="AI3607">
        <v>150.125550131567</v>
      </c>
      <c r="AJ3607">
        <v>11</v>
      </c>
      <c r="AK3607">
        <v>77</v>
      </c>
    </row>
    <row r="3608" spans="1:37" x14ac:dyDescent="0.3">
      <c r="A3608">
        <v>3607</v>
      </c>
      <c r="B3608">
        <v>5</v>
      </c>
      <c r="C3608">
        <v>-13.135999999999999</v>
      </c>
      <c r="D3608">
        <v>15.45</v>
      </c>
      <c r="E3608">
        <f>-13.136-15.45</f>
        <v>-28.585999999999999</v>
      </c>
      <c r="F3608" t="s">
        <v>5699</v>
      </c>
      <c r="G3608" t="s">
        <v>39</v>
      </c>
      <c r="H3608">
        <v>1987</v>
      </c>
      <c r="I3608">
        <v>29.399999618530298</v>
      </c>
      <c r="J3608">
        <v>15.241362093295001</v>
      </c>
      <c r="K3608">
        <v>57</v>
      </c>
      <c r="L3608">
        <v>28.437275889704001</v>
      </c>
      <c r="M3608">
        <v>42</v>
      </c>
      <c r="N3608">
        <v>15.3999996185303</v>
      </c>
      <c r="O3608">
        <v>26.600000381469702</v>
      </c>
      <c r="P3608">
        <v>29.600000381469702</v>
      </c>
      <c r="Q3608">
        <v>26.841361521090398</v>
      </c>
      <c r="R3608">
        <v>33.099998474121101</v>
      </c>
      <c r="S3608">
        <v>25.399999618530298</v>
      </c>
      <c r="T3608">
        <v>400.17275747508302</v>
      </c>
      <c r="U3608">
        <v>137.58637873754199</v>
      </c>
      <c r="V3608">
        <v>0</v>
      </c>
      <c r="W3608">
        <v>141.58637873754199</v>
      </c>
      <c r="X3608">
        <v>340.17275747508302</v>
      </c>
      <c r="Y3608">
        <v>1</v>
      </c>
      <c r="Z3608">
        <v>30</v>
      </c>
      <c r="AA3608">
        <v>2</v>
      </c>
      <c r="AB3608">
        <v>1.20332158364331</v>
      </c>
      <c r="AC3608">
        <v>2.3036303583446001E-2</v>
      </c>
      <c r="AD3608">
        <v>1.30237136885177</v>
      </c>
      <c r="AE3608">
        <v>0.22849666465853499</v>
      </c>
      <c r="AF3608">
        <v>15.724252491694401</v>
      </c>
      <c r="AG3608">
        <f>IFERROR(AH3608*0.1, "N/A")</f>
        <v>6.6985049833887009</v>
      </c>
      <c r="AH3608">
        <v>66.985049833887004</v>
      </c>
      <c r="AI3608">
        <v>107.548033483005</v>
      </c>
      <c r="AJ3608">
        <v>20.985049833887</v>
      </c>
      <c r="AK3608">
        <v>58.024916943521603</v>
      </c>
    </row>
    <row r="3609" spans="1:37" x14ac:dyDescent="0.3">
      <c r="A3609">
        <v>3608</v>
      </c>
      <c r="B3609">
        <v>0.5</v>
      </c>
      <c r="C3609">
        <v>-15.1981</v>
      </c>
      <c r="D3609">
        <v>15.4701</v>
      </c>
      <c r="E3609">
        <f>-15.1981-15.4701</f>
        <v>-30.668199999999999</v>
      </c>
      <c r="F3609" t="s">
        <v>5700</v>
      </c>
      <c r="G3609" t="s">
        <v>39</v>
      </c>
      <c r="H3609">
        <v>1996</v>
      </c>
      <c r="I3609">
        <v>28.100000381469702</v>
      </c>
      <c r="J3609">
        <v>15.6000003814697</v>
      </c>
      <c r="K3609">
        <v>63</v>
      </c>
      <c r="L3609">
        <v>21.780000686645501</v>
      </c>
      <c r="M3609">
        <v>40</v>
      </c>
      <c r="N3609">
        <v>15.3999996185303</v>
      </c>
      <c r="O3609">
        <v>24.600000381469702</v>
      </c>
      <c r="P3609">
        <v>28.799999237060501</v>
      </c>
      <c r="Q3609">
        <v>29.399999618530298</v>
      </c>
      <c r="R3609">
        <v>30.5</v>
      </c>
      <c r="S3609">
        <v>24.799999237060501</v>
      </c>
      <c r="T3609">
        <v>412</v>
      </c>
      <c r="U3609">
        <v>136</v>
      </c>
      <c r="V3609">
        <v>0</v>
      </c>
      <c r="W3609">
        <v>139</v>
      </c>
      <c r="X3609">
        <v>344</v>
      </c>
      <c r="Y3609">
        <v>1</v>
      </c>
      <c r="Z3609">
        <v>25</v>
      </c>
      <c r="AA3609">
        <v>4</v>
      </c>
      <c r="AB3609">
        <v>8.5272879164151405</v>
      </c>
      <c r="AC3609">
        <v>1.8929876185668E-2</v>
      </c>
      <c r="AD3609">
        <v>1.4982325542786299</v>
      </c>
      <c r="AE3609">
        <v>0.52653569022748303</v>
      </c>
      <c r="AF3609">
        <v>18.589018302828599</v>
      </c>
      <c r="AG3609">
        <f>IFERROR(AH3609*0.1, "N/A")</f>
        <v>6.7059900166389301</v>
      </c>
      <c r="AH3609">
        <v>67.059900166389298</v>
      </c>
      <c r="AI3609">
        <v>159.27525669802401</v>
      </c>
      <c r="AJ3609">
        <v>6.8851913477537403</v>
      </c>
      <c r="AK3609">
        <v>85.923460898502498</v>
      </c>
    </row>
    <row r="3610" spans="1:37" x14ac:dyDescent="0.3">
      <c r="A3610">
        <v>3609</v>
      </c>
      <c r="B3610">
        <v>0</v>
      </c>
      <c r="C3610">
        <v>-15.1981</v>
      </c>
      <c r="D3610">
        <v>15.4701</v>
      </c>
      <c r="E3610">
        <f>-15.1981-15.4701</f>
        <v>-30.668199999999999</v>
      </c>
      <c r="F3610" t="s">
        <v>5701</v>
      </c>
      <c r="G3610" t="s">
        <v>37</v>
      </c>
      <c r="H3610">
        <v>1996</v>
      </c>
      <c r="I3610">
        <v>28.100000381469702</v>
      </c>
      <c r="J3610">
        <v>15.6000003814697</v>
      </c>
      <c r="K3610">
        <v>63</v>
      </c>
      <c r="L3610">
        <v>21.780000686645501</v>
      </c>
      <c r="M3610">
        <v>40</v>
      </c>
      <c r="N3610">
        <v>15.3999996185303</v>
      </c>
      <c r="O3610">
        <v>24.600000381469702</v>
      </c>
      <c r="P3610">
        <v>28.799999237060501</v>
      </c>
      <c r="Q3610">
        <v>29.399999618530298</v>
      </c>
      <c r="R3610">
        <v>30.5</v>
      </c>
      <c r="S3610">
        <v>24.799999237060501</v>
      </c>
      <c r="T3610">
        <v>412</v>
      </c>
      <c r="U3610">
        <v>136</v>
      </c>
      <c r="V3610">
        <v>0</v>
      </c>
      <c r="W3610">
        <v>139</v>
      </c>
      <c r="X3610">
        <v>344</v>
      </c>
      <c r="Y3610">
        <v>1</v>
      </c>
      <c r="Z3610">
        <v>25</v>
      </c>
      <c r="AA3610">
        <v>4</v>
      </c>
      <c r="AB3610">
        <v>8.5272879164151405</v>
      </c>
      <c r="AC3610">
        <v>1.8929876185668E-2</v>
      </c>
      <c r="AD3610">
        <v>1.4982325542786299</v>
      </c>
      <c r="AE3610">
        <v>0.52653569022748303</v>
      </c>
      <c r="AF3610">
        <v>18.589018302828599</v>
      </c>
      <c r="AG3610">
        <f>IFERROR(AH3610*0.1, "N/A")</f>
        <v>6.7059900166389301</v>
      </c>
      <c r="AH3610">
        <v>67.059900166389298</v>
      </c>
      <c r="AI3610">
        <v>159.27525669802401</v>
      </c>
      <c r="AJ3610">
        <v>6.8851913477537403</v>
      </c>
      <c r="AK3610">
        <v>85.923460898502498</v>
      </c>
    </row>
    <row r="3611" spans="1:37" x14ac:dyDescent="0.3">
      <c r="A3611">
        <v>3610</v>
      </c>
      <c r="B3611">
        <v>3</v>
      </c>
      <c r="C3611">
        <v>-13.176299999999999</v>
      </c>
      <c r="D3611">
        <v>15.4916</v>
      </c>
      <c r="E3611">
        <f>-13.1763-15.4916</f>
        <v>-28.667899999999999</v>
      </c>
      <c r="F3611" t="s">
        <v>5702</v>
      </c>
      <c r="G3611" t="s">
        <v>39</v>
      </c>
      <c r="H3611">
        <v>2004</v>
      </c>
      <c r="I3611">
        <v>29.464046685591999</v>
      </c>
      <c r="J3611">
        <v>15.300000190734901</v>
      </c>
      <c r="K3611">
        <v>57</v>
      </c>
      <c r="L3611">
        <v>28.918428133961399</v>
      </c>
      <c r="M3611">
        <v>42.099998474121101</v>
      </c>
      <c r="N3611">
        <v>15.364046646998499</v>
      </c>
      <c r="O3611">
        <v>26.735953391595</v>
      </c>
      <c r="P3611">
        <v>29.700000762939499</v>
      </c>
      <c r="Q3611">
        <v>31.864046304122301</v>
      </c>
      <c r="R3611">
        <v>33.200000762939503</v>
      </c>
      <c r="S3611">
        <v>25.399999618530298</v>
      </c>
      <c r="T3611">
        <v>392.43812709030101</v>
      </c>
      <c r="U3611">
        <v>136.359531772575</v>
      </c>
      <c r="V3611">
        <v>0</v>
      </c>
      <c r="W3611">
        <v>143.359531772575</v>
      </c>
      <c r="X3611">
        <v>335.07859531772601</v>
      </c>
      <c r="Y3611">
        <v>0</v>
      </c>
      <c r="Z3611">
        <v>27.359531772575298</v>
      </c>
      <c r="AA3611">
        <v>3</v>
      </c>
      <c r="AB3611">
        <v>7.4259197097956902</v>
      </c>
      <c r="AC3611">
        <v>1.2351049241115001E-2</v>
      </c>
      <c r="AD3611">
        <v>0.81128801843992404</v>
      </c>
      <c r="AE3611">
        <v>0.39479267597198497</v>
      </c>
      <c r="AF3611">
        <v>20.5752508361204</v>
      </c>
      <c r="AG3611">
        <f>IFERROR(AH3611*0.1, "N/A")</f>
        <v>6.4</v>
      </c>
      <c r="AH3611">
        <v>64</v>
      </c>
      <c r="AI3611">
        <v>109.146792076902</v>
      </c>
      <c r="AJ3611">
        <v>19</v>
      </c>
      <c r="AK3611">
        <v>61</v>
      </c>
    </row>
    <row r="3612" spans="1:37" x14ac:dyDescent="0.3">
      <c r="A3612">
        <v>3611</v>
      </c>
      <c r="B3612">
        <v>22</v>
      </c>
      <c r="C3612">
        <v>-13.32</v>
      </c>
      <c r="D3612">
        <v>15.500999999999999</v>
      </c>
      <c r="E3612">
        <f>-13.32-15.501</f>
        <v>-28.820999999999998</v>
      </c>
      <c r="F3612" t="s">
        <v>5703</v>
      </c>
      <c r="G3612" t="s">
        <v>39</v>
      </c>
      <c r="H3612">
        <v>1987</v>
      </c>
      <c r="I3612">
        <v>29.399999618530298</v>
      </c>
      <c r="J3612">
        <v>15.300000190734901</v>
      </c>
      <c r="K3612">
        <v>57</v>
      </c>
      <c r="L3612">
        <v>28.754452299834099</v>
      </c>
      <c r="M3612">
        <v>42.093520167658099</v>
      </c>
      <c r="N3612">
        <v>15.3999996185303</v>
      </c>
      <c r="O3612">
        <v>26.6935223329107</v>
      </c>
      <c r="P3612">
        <v>29.700000762939499</v>
      </c>
      <c r="Q3612">
        <v>31.700000762939499</v>
      </c>
      <c r="R3612">
        <v>33.099998474121101</v>
      </c>
      <c r="S3612">
        <v>25.399999618530298</v>
      </c>
      <c r="T3612">
        <v>414.12956810631198</v>
      </c>
      <c r="U3612">
        <v>144.06478405315599</v>
      </c>
      <c r="V3612">
        <v>0</v>
      </c>
      <c r="W3612">
        <v>142.06478405315599</v>
      </c>
      <c r="X3612">
        <v>352.12956810631198</v>
      </c>
      <c r="Y3612">
        <v>1</v>
      </c>
      <c r="Z3612">
        <v>30</v>
      </c>
      <c r="AA3612">
        <v>3</v>
      </c>
      <c r="AB3612">
        <v>2.78255762055863</v>
      </c>
      <c r="AC3612">
        <v>9.0822095114837006E-2</v>
      </c>
      <c r="AD3612">
        <v>2.3225166130303498</v>
      </c>
      <c r="AE3612">
        <v>0.27257296442985501</v>
      </c>
      <c r="AF3612">
        <v>29.9269102990033</v>
      </c>
      <c r="AG3612">
        <f>IFERROR(AH3612*0.1, "N/A")</f>
        <v>6.2</v>
      </c>
      <c r="AH3612">
        <v>62</v>
      </c>
      <c r="AI3612">
        <v>111.535612068303</v>
      </c>
      <c r="AJ3612">
        <v>10.491694352159501</v>
      </c>
      <c r="AK3612">
        <v>76.254152823920293</v>
      </c>
    </row>
    <row r="3613" spans="1:37" x14ac:dyDescent="0.3">
      <c r="A3613">
        <v>3612</v>
      </c>
      <c r="B3613">
        <v>3.6</v>
      </c>
      <c r="C3613">
        <v>-14.951700000000001</v>
      </c>
      <c r="D3613">
        <v>15.531499999999999</v>
      </c>
      <c r="E3613">
        <f>-14.9517-15.5315</f>
        <v>-30.4832</v>
      </c>
      <c r="F3613" t="s">
        <v>5704</v>
      </c>
      <c r="G3613" t="s">
        <v>39</v>
      </c>
      <c r="H3613">
        <v>1996</v>
      </c>
      <c r="I3613">
        <v>28.299999237060501</v>
      </c>
      <c r="J3613">
        <v>15.699999809265099</v>
      </c>
      <c r="K3613">
        <v>62</v>
      </c>
      <c r="L3613">
        <v>23.319999694824201</v>
      </c>
      <c r="M3613">
        <v>40.400001525878899</v>
      </c>
      <c r="N3613">
        <v>15.300000190734901</v>
      </c>
      <c r="O3613">
        <v>25.100000381469702</v>
      </c>
      <c r="P3613">
        <v>29.100000381469702</v>
      </c>
      <c r="Q3613">
        <v>29.700000762939499</v>
      </c>
      <c r="R3613">
        <v>30.899999618530298</v>
      </c>
      <c r="S3613">
        <v>24.799999237060501</v>
      </c>
      <c r="T3613">
        <v>401</v>
      </c>
      <c r="U3613">
        <v>131</v>
      </c>
      <c r="V3613">
        <v>0</v>
      </c>
      <c r="W3613">
        <v>138</v>
      </c>
      <c r="X3613">
        <v>333</v>
      </c>
      <c r="Y3613">
        <v>1</v>
      </c>
      <c r="Z3613">
        <v>25</v>
      </c>
      <c r="AA3613">
        <v>4</v>
      </c>
      <c r="AB3613">
        <v>2.7289295324115099</v>
      </c>
      <c r="AC3613">
        <v>3.0099772709580998E-2</v>
      </c>
      <c r="AD3613">
        <v>0.66117123995337601</v>
      </c>
      <c r="AE3613">
        <v>0.227024671275879</v>
      </c>
      <c r="AF3613">
        <v>26.0301003344482</v>
      </c>
      <c r="AG3613">
        <f>IFERROR(AH3613*0.1, "N/A")</f>
        <v>6.4</v>
      </c>
      <c r="AH3613">
        <v>64</v>
      </c>
      <c r="AI3613">
        <v>128.90485740266101</v>
      </c>
      <c r="AJ3613">
        <v>10.9832775919732</v>
      </c>
      <c r="AK3613">
        <v>80.033444816053503</v>
      </c>
    </row>
    <row r="3614" spans="1:37" x14ac:dyDescent="0.3">
      <c r="A3614">
        <v>3613</v>
      </c>
      <c r="B3614">
        <v>0</v>
      </c>
      <c r="C3614">
        <v>-14.951700000000001</v>
      </c>
      <c r="D3614">
        <v>15.531499999999999</v>
      </c>
      <c r="E3614">
        <f>-14.9517-15.5315</f>
        <v>-30.4832</v>
      </c>
      <c r="F3614" t="s">
        <v>5705</v>
      </c>
      <c r="G3614" t="s">
        <v>37</v>
      </c>
      <c r="H3614">
        <v>1996</v>
      </c>
      <c r="I3614">
        <v>28.299999237060501</v>
      </c>
      <c r="J3614">
        <v>15.699999809265099</v>
      </c>
      <c r="K3614">
        <v>62</v>
      </c>
      <c r="L3614">
        <v>23.319999694824201</v>
      </c>
      <c r="M3614">
        <v>40.400001525878899</v>
      </c>
      <c r="N3614">
        <v>15.300000190734901</v>
      </c>
      <c r="O3614">
        <v>25.100000381469702</v>
      </c>
      <c r="P3614">
        <v>29.100000381469702</v>
      </c>
      <c r="Q3614">
        <v>29.700000762939499</v>
      </c>
      <c r="R3614">
        <v>30.899999618530298</v>
      </c>
      <c r="S3614">
        <v>24.799999237060501</v>
      </c>
      <c r="T3614">
        <v>401</v>
      </c>
      <c r="U3614">
        <v>131</v>
      </c>
      <c r="V3614">
        <v>0</v>
      </c>
      <c r="W3614">
        <v>138</v>
      </c>
      <c r="X3614">
        <v>333</v>
      </c>
      <c r="Y3614">
        <v>1</v>
      </c>
      <c r="Z3614">
        <v>25</v>
      </c>
      <c r="AA3614">
        <v>4</v>
      </c>
      <c r="AB3614">
        <v>2.7289295324115099</v>
      </c>
      <c r="AC3614">
        <v>3.0099772709580998E-2</v>
      </c>
      <c r="AD3614">
        <v>0.66117123995337601</v>
      </c>
      <c r="AE3614">
        <v>0.227024671275879</v>
      </c>
      <c r="AF3614">
        <v>26.0301003344482</v>
      </c>
      <c r="AG3614">
        <f>IFERROR(AH3614*0.1, "N/A")</f>
        <v>6.4</v>
      </c>
      <c r="AH3614">
        <v>64</v>
      </c>
      <c r="AI3614">
        <v>128.90485740266101</v>
      </c>
      <c r="AJ3614">
        <v>10.9832775919732</v>
      </c>
      <c r="AK3614">
        <v>80.033444816053503</v>
      </c>
    </row>
    <row r="3615" spans="1:37" x14ac:dyDescent="0.3">
      <c r="A3615">
        <v>3614</v>
      </c>
      <c r="B3615">
        <v>16.399999999999999</v>
      </c>
      <c r="C3615">
        <v>-13.283300000000001</v>
      </c>
      <c r="D3615">
        <v>15.55</v>
      </c>
      <c r="E3615">
        <f>-13.2833-15.55</f>
        <v>-28.833300000000001</v>
      </c>
      <c r="F3615" t="s">
        <v>5706</v>
      </c>
      <c r="G3615" t="s">
        <v>39</v>
      </c>
      <c r="H3615">
        <v>1996</v>
      </c>
      <c r="I3615">
        <v>29.564715965934401</v>
      </c>
      <c r="J3615">
        <v>15.300000190734901</v>
      </c>
      <c r="K3615">
        <v>57</v>
      </c>
      <c r="L3615">
        <v>29.110467406818302</v>
      </c>
      <c r="M3615">
        <v>42.200000762939503</v>
      </c>
      <c r="N3615">
        <v>15.3999996185303</v>
      </c>
      <c r="O3615">
        <v>26.799999237060501</v>
      </c>
      <c r="P3615">
        <v>29.926922798156699</v>
      </c>
      <c r="Q3615">
        <v>31.799999237060501</v>
      </c>
      <c r="R3615">
        <v>33.2647154945195</v>
      </c>
      <c r="S3615">
        <v>25.426922798156699</v>
      </c>
      <c r="T3615">
        <v>398.77257525083598</v>
      </c>
      <c r="U3615">
        <v>140.15050167224101</v>
      </c>
      <c r="V3615">
        <v>0</v>
      </c>
      <c r="W3615">
        <v>142.15050167224101</v>
      </c>
      <c r="X3615">
        <v>340.77257525083598</v>
      </c>
      <c r="Y3615">
        <v>1</v>
      </c>
      <c r="Z3615">
        <v>28</v>
      </c>
      <c r="AA3615">
        <v>3</v>
      </c>
      <c r="AB3615">
        <v>1.12541894051542</v>
      </c>
      <c r="AC3615">
        <v>3.2347026670408001E-2</v>
      </c>
      <c r="AD3615">
        <v>3.71398795767373</v>
      </c>
      <c r="AE3615">
        <v>0.26994399038644901</v>
      </c>
      <c r="AF3615">
        <v>20.157190635451499</v>
      </c>
      <c r="AG3615">
        <f>IFERROR(AH3615*0.1, "N/A")</f>
        <v>6.4</v>
      </c>
      <c r="AH3615">
        <v>64</v>
      </c>
      <c r="AI3615">
        <v>165.40011249338099</v>
      </c>
      <c r="AJ3615">
        <v>12</v>
      </c>
      <c r="AK3615">
        <v>73.7408026755853</v>
      </c>
    </row>
    <row r="3616" spans="1:37" x14ac:dyDescent="0.3">
      <c r="A3616">
        <v>3615</v>
      </c>
      <c r="B3616">
        <v>0</v>
      </c>
      <c r="C3616">
        <v>-13.283300000000001</v>
      </c>
      <c r="D3616">
        <v>15.55</v>
      </c>
      <c r="E3616">
        <f>-13.2833-15.55</f>
        <v>-28.833300000000001</v>
      </c>
      <c r="F3616" t="s">
        <v>5707</v>
      </c>
      <c r="G3616" t="s">
        <v>37</v>
      </c>
      <c r="H3616">
        <v>1996</v>
      </c>
      <c r="I3616">
        <v>29.564715965934401</v>
      </c>
      <c r="J3616">
        <v>15.300000190734901</v>
      </c>
      <c r="K3616">
        <v>57</v>
      </c>
      <c r="L3616">
        <v>29.110467406818302</v>
      </c>
      <c r="M3616">
        <v>42.200000762939503</v>
      </c>
      <c r="N3616">
        <v>15.3999996185303</v>
      </c>
      <c r="O3616">
        <v>26.799999237060501</v>
      </c>
      <c r="P3616">
        <v>29.926922798156699</v>
      </c>
      <c r="Q3616">
        <v>31.799999237060501</v>
      </c>
      <c r="R3616">
        <v>33.2647154945195</v>
      </c>
      <c r="S3616">
        <v>25.426922798156699</v>
      </c>
      <c r="T3616">
        <v>398.77257525083598</v>
      </c>
      <c r="U3616">
        <v>140.15050167224101</v>
      </c>
      <c r="V3616">
        <v>0</v>
      </c>
      <c r="W3616">
        <v>142.15050167224101</v>
      </c>
      <c r="X3616">
        <v>340.77257525083598</v>
      </c>
      <c r="Y3616">
        <v>1</v>
      </c>
      <c r="Z3616">
        <v>28</v>
      </c>
      <c r="AA3616">
        <v>3</v>
      </c>
      <c r="AB3616">
        <v>1.12541894051542</v>
      </c>
      <c r="AC3616">
        <v>3.2347026670408001E-2</v>
      </c>
      <c r="AD3616">
        <v>3.71398795767373</v>
      </c>
      <c r="AE3616">
        <v>0.26994399038644901</v>
      </c>
      <c r="AF3616">
        <v>20.157190635451499</v>
      </c>
      <c r="AG3616">
        <f>IFERROR(AH3616*0.1, "N/A")</f>
        <v>6.4</v>
      </c>
      <c r="AH3616">
        <v>64</v>
      </c>
      <c r="AI3616">
        <v>165.40011249338099</v>
      </c>
      <c r="AJ3616">
        <v>12</v>
      </c>
      <c r="AK3616">
        <v>73.7408026755853</v>
      </c>
    </row>
    <row r="3617" spans="1:37" x14ac:dyDescent="0.3">
      <c r="A3617">
        <v>3616</v>
      </c>
      <c r="B3617">
        <v>4.8</v>
      </c>
      <c r="C3617">
        <v>-13.296099999999999</v>
      </c>
      <c r="D3617">
        <v>15.5533</v>
      </c>
      <c r="E3617">
        <f>-13.2961-15.5533</f>
        <v>-28.849399999999999</v>
      </c>
      <c r="F3617" t="s">
        <v>5708</v>
      </c>
      <c r="G3617" t="s">
        <v>39</v>
      </c>
      <c r="H3617">
        <v>2004</v>
      </c>
      <c r="I3617">
        <v>29.600000381469702</v>
      </c>
      <c r="J3617">
        <v>15.300000190734901</v>
      </c>
      <c r="K3617">
        <v>57</v>
      </c>
      <c r="L3617">
        <v>29.049999237060501</v>
      </c>
      <c r="M3617">
        <v>42.200000762939503</v>
      </c>
      <c r="N3617">
        <v>15.3999996185303</v>
      </c>
      <c r="O3617">
        <v>26.799999237060501</v>
      </c>
      <c r="P3617">
        <v>29.899999618530298</v>
      </c>
      <c r="Q3617">
        <v>31.799999237060501</v>
      </c>
      <c r="R3617">
        <v>33.299999237060497</v>
      </c>
      <c r="S3617">
        <v>25.5</v>
      </c>
      <c r="T3617">
        <v>400</v>
      </c>
      <c r="U3617">
        <v>141</v>
      </c>
      <c r="V3617">
        <v>0</v>
      </c>
      <c r="W3617">
        <v>143</v>
      </c>
      <c r="X3617">
        <v>342</v>
      </c>
      <c r="Y3617">
        <v>1</v>
      </c>
      <c r="Z3617">
        <v>28</v>
      </c>
      <c r="AA3617">
        <v>3</v>
      </c>
      <c r="AB3617">
        <v>0.49233263015747097</v>
      </c>
      <c r="AC3617">
        <v>1.1990379585574E-2</v>
      </c>
      <c r="AD3617">
        <v>0.68321797048052102</v>
      </c>
      <c r="AE3617">
        <v>0.27511816605925599</v>
      </c>
      <c r="AF3617">
        <v>19.22</v>
      </c>
      <c r="AG3617">
        <f>IFERROR(AH3617*0.1, "N/A")</f>
        <v>6.4261666666666706</v>
      </c>
      <c r="AH3617">
        <v>64.261666666666699</v>
      </c>
      <c r="AI3617">
        <v>30.069342603683499</v>
      </c>
      <c r="AJ3617">
        <v>16.373333333333299</v>
      </c>
      <c r="AK3617">
        <v>67.518333333333302</v>
      </c>
    </row>
    <row r="3618" spans="1:37" x14ac:dyDescent="0.3">
      <c r="A3618">
        <v>3617</v>
      </c>
      <c r="B3618">
        <v>2.9</v>
      </c>
      <c r="C3618">
        <v>-14.618600000000001</v>
      </c>
      <c r="D3618">
        <v>15.558999999999999</v>
      </c>
      <c r="E3618">
        <f>-14.6186-15.559</f>
        <v>-30.177599999999998</v>
      </c>
      <c r="F3618" t="s">
        <v>5709</v>
      </c>
      <c r="G3618" t="s">
        <v>39</v>
      </c>
      <c r="H3618">
        <v>1996</v>
      </c>
      <c r="I3618">
        <v>28.399999618530298</v>
      </c>
      <c r="J3618">
        <v>15.6000003814697</v>
      </c>
      <c r="K3618">
        <v>60</v>
      </c>
      <c r="L3618">
        <v>25.059999465942401</v>
      </c>
      <c r="M3618">
        <v>40.700000762939503</v>
      </c>
      <c r="N3618">
        <v>15</v>
      </c>
      <c r="O3618">
        <v>25.700000762939499</v>
      </c>
      <c r="P3618">
        <v>29.299999237060501</v>
      </c>
      <c r="Q3618">
        <v>27.899999618530298</v>
      </c>
      <c r="R3618">
        <v>31.200000762939499</v>
      </c>
      <c r="S3618">
        <v>24.600000381469702</v>
      </c>
      <c r="T3618">
        <v>393</v>
      </c>
      <c r="U3618">
        <v>130</v>
      </c>
      <c r="V3618">
        <v>0</v>
      </c>
      <c r="W3618">
        <v>142</v>
      </c>
      <c r="X3618">
        <v>331</v>
      </c>
      <c r="Y3618">
        <v>1</v>
      </c>
      <c r="Z3618">
        <v>24</v>
      </c>
      <c r="AA3618">
        <v>2</v>
      </c>
      <c r="AB3618">
        <v>0.36433199564615898</v>
      </c>
      <c r="AC3618">
        <v>2.8302526430940902</v>
      </c>
      <c r="AD3618">
        <v>0.72985391159852397</v>
      </c>
      <c r="AE3618">
        <v>0.12895180404186199</v>
      </c>
      <c r="AF3618">
        <v>31.623333333333299</v>
      </c>
      <c r="AG3618">
        <f>IFERROR(AH3618*0.1, "N/A")</f>
        <v>6.5786666666666704</v>
      </c>
      <c r="AH3618">
        <v>65.786666666666704</v>
      </c>
      <c r="AI3618">
        <v>90.234930305481001</v>
      </c>
      <c r="AJ3618">
        <v>17.965</v>
      </c>
      <c r="AK3618">
        <v>66.211666666666702</v>
      </c>
    </row>
    <row r="3619" spans="1:37" x14ac:dyDescent="0.3">
      <c r="A3619">
        <v>3618</v>
      </c>
      <c r="B3619">
        <v>0</v>
      </c>
      <c r="C3619">
        <v>-14.618600000000001</v>
      </c>
      <c r="D3619">
        <v>15.558999999999999</v>
      </c>
      <c r="E3619">
        <f>-14.6186-15.559</f>
        <v>-30.177599999999998</v>
      </c>
      <c r="F3619" t="s">
        <v>5710</v>
      </c>
      <c r="G3619" t="s">
        <v>37</v>
      </c>
      <c r="H3619">
        <v>1996</v>
      </c>
      <c r="I3619">
        <v>28.399999618530298</v>
      </c>
      <c r="J3619">
        <v>15.6000003814697</v>
      </c>
      <c r="K3619">
        <v>60</v>
      </c>
      <c r="L3619">
        <v>25.059999465942401</v>
      </c>
      <c r="M3619">
        <v>40.700000762939503</v>
      </c>
      <c r="N3619">
        <v>15</v>
      </c>
      <c r="O3619">
        <v>25.700000762939499</v>
      </c>
      <c r="P3619">
        <v>29.299999237060501</v>
      </c>
      <c r="Q3619">
        <v>27.899999618530298</v>
      </c>
      <c r="R3619">
        <v>31.200000762939499</v>
      </c>
      <c r="S3619">
        <v>24.600000381469702</v>
      </c>
      <c r="T3619">
        <v>393</v>
      </c>
      <c r="U3619">
        <v>130</v>
      </c>
      <c r="V3619">
        <v>0</v>
      </c>
      <c r="W3619">
        <v>142</v>
      </c>
      <c r="X3619">
        <v>331</v>
      </c>
      <c r="Y3619">
        <v>1</v>
      </c>
      <c r="Z3619">
        <v>24</v>
      </c>
      <c r="AA3619">
        <v>2</v>
      </c>
      <c r="AB3619">
        <v>0.36433199564615898</v>
      </c>
      <c r="AC3619">
        <v>2.8302526430940902</v>
      </c>
      <c r="AD3619">
        <v>0.72985391159852397</v>
      </c>
      <c r="AE3619">
        <v>0.12895180404186199</v>
      </c>
      <c r="AF3619">
        <v>31.623333333333299</v>
      </c>
      <c r="AG3619">
        <f>IFERROR(AH3619*0.1, "N/A")</f>
        <v>6.5786666666666704</v>
      </c>
      <c r="AH3619">
        <v>65.786666666666704</v>
      </c>
      <c r="AI3619">
        <v>90.234930305481001</v>
      </c>
      <c r="AJ3619">
        <v>17.965</v>
      </c>
      <c r="AK3619">
        <v>66.211666666666702</v>
      </c>
    </row>
    <row r="3620" spans="1:37" x14ac:dyDescent="0.3">
      <c r="A3620">
        <v>3619</v>
      </c>
      <c r="B3620">
        <v>9</v>
      </c>
      <c r="C3620">
        <v>-13.103999999999999</v>
      </c>
      <c r="D3620">
        <v>15.566000000000001</v>
      </c>
      <c r="E3620">
        <f>-13.104-15.566</f>
        <v>-28.67</v>
      </c>
      <c r="F3620" t="s">
        <v>5711</v>
      </c>
      <c r="G3620" t="s">
        <v>39</v>
      </c>
      <c r="H3620">
        <v>1987</v>
      </c>
      <c r="I3620">
        <v>29.600000381469702</v>
      </c>
      <c r="J3620">
        <v>15.300000190734901</v>
      </c>
      <c r="K3620">
        <v>57</v>
      </c>
      <c r="L3620">
        <v>29.120000839233398</v>
      </c>
      <c r="M3620">
        <v>42.299999237060497</v>
      </c>
      <c r="N3620">
        <v>15.5</v>
      </c>
      <c r="O3620">
        <v>26.799999237060501</v>
      </c>
      <c r="P3620">
        <v>29.899999618530298</v>
      </c>
      <c r="Q3620">
        <v>26.899999618530298</v>
      </c>
      <c r="R3620">
        <v>33.299999237060497</v>
      </c>
      <c r="S3620">
        <v>25.5</v>
      </c>
      <c r="T3620">
        <v>368</v>
      </c>
      <c r="U3620">
        <v>130</v>
      </c>
      <c r="V3620">
        <v>0</v>
      </c>
      <c r="W3620">
        <v>144</v>
      </c>
      <c r="X3620">
        <v>316</v>
      </c>
      <c r="Y3620">
        <v>1</v>
      </c>
      <c r="Z3620">
        <v>26</v>
      </c>
      <c r="AA3620">
        <v>2</v>
      </c>
      <c r="AB3620">
        <v>1.03405322584995</v>
      </c>
      <c r="AC3620">
        <v>2.7355359401538402</v>
      </c>
      <c r="AD3620">
        <v>2.7408375340046698</v>
      </c>
      <c r="AE3620">
        <v>0.255177021026611</v>
      </c>
      <c r="AF3620">
        <v>15.3239202657807</v>
      </c>
      <c r="AG3620">
        <f>IFERROR(AH3620*0.1, "N/A")</f>
        <v>6.9018272425249201</v>
      </c>
      <c r="AH3620">
        <v>69.018272425249194</v>
      </c>
      <c r="AI3620">
        <v>226.70708931957799</v>
      </c>
      <c r="AJ3620">
        <v>21.036544850498299</v>
      </c>
      <c r="AK3620">
        <v>61.036544850498302</v>
      </c>
    </row>
    <row r="3621" spans="1:37" x14ac:dyDescent="0.3">
      <c r="A3621">
        <v>3620</v>
      </c>
      <c r="B3621">
        <v>44.099997999999999</v>
      </c>
      <c r="C3621">
        <v>-14.6469</v>
      </c>
      <c r="D3621">
        <v>15.5693</v>
      </c>
      <c r="E3621">
        <f>-14.6469-15.5693</f>
        <v>-30.216200000000001</v>
      </c>
      <c r="F3621" t="s">
        <v>5712</v>
      </c>
      <c r="G3621" t="s">
        <v>39</v>
      </c>
      <c r="H3621">
        <v>1982</v>
      </c>
      <c r="I3621">
        <v>28.399999618530298</v>
      </c>
      <c r="J3621">
        <v>15.6000003814697</v>
      </c>
      <c r="K3621">
        <v>60</v>
      </c>
      <c r="L3621">
        <v>25.170000076293899</v>
      </c>
      <c r="M3621">
        <v>40.700000762939503</v>
      </c>
      <c r="N3621">
        <v>15</v>
      </c>
      <c r="O3621">
        <v>25.700000762939499</v>
      </c>
      <c r="P3621">
        <v>29.299999237060501</v>
      </c>
      <c r="Q3621">
        <v>27.899999618530298</v>
      </c>
      <c r="R3621">
        <v>31.200000762939499</v>
      </c>
      <c r="S3621">
        <v>24.600000381469702</v>
      </c>
      <c r="T3621">
        <v>391</v>
      </c>
      <c r="U3621">
        <v>129</v>
      </c>
      <c r="V3621">
        <v>0</v>
      </c>
      <c r="W3621">
        <v>141</v>
      </c>
      <c r="X3621">
        <v>329</v>
      </c>
      <c r="Y3621">
        <v>1</v>
      </c>
      <c r="Z3621">
        <v>24</v>
      </c>
      <c r="AA3621">
        <v>2</v>
      </c>
      <c r="AB3621">
        <v>1.2756265312284001</v>
      </c>
      <c r="AC3621">
        <v>2.6439925832968999E-2</v>
      </c>
      <c r="AD3621">
        <v>0.90992509572454205</v>
      </c>
      <c r="AE3621">
        <v>0.12589247524738301</v>
      </c>
      <c r="AF3621">
        <v>31.662771285475799</v>
      </c>
      <c r="AG3621">
        <f>IFERROR(AH3621*0.1, "N/A")</f>
        <v>6.2101836393990002</v>
      </c>
      <c r="AH3621">
        <v>62.101836393989998</v>
      </c>
      <c r="AI3621">
        <v>226.38955899908899</v>
      </c>
      <c r="AJ3621">
        <v>16.4557595993322</v>
      </c>
      <c r="AK3621">
        <v>69.816360601001705</v>
      </c>
    </row>
    <row r="3622" spans="1:37" x14ac:dyDescent="0.3">
      <c r="A3622">
        <v>3621</v>
      </c>
      <c r="B3622">
        <v>0</v>
      </c>
      <c r="C3622">
        <v>-14.8027</v>
      </c>
      <c r="D3622">
        <v>15.5717</v>
      </c>
      <c r="E3622">
        <f>-14.8027-15.5717</f>
        <v>-30.374400000000001</v>
      </c>
      <c r="F3622" t="s">
        <v>5713</v>
      </c>
      <c r="G3622" t="s">
        <v>39</v>
      </c>
      <c r="H3622">
        <v>1996</v>
      </c>
      <c r="I3622">
        <v>28.399999618530298</v>
      </c>
      <c r="J3622">
        <v>15.699999809265099</v>
      </c>
      <c r="K3622">
        <v>61</v>
      </c>
      <c r="L3622">
        <v>24.290000915527301</v>
      </c>
      <c r="M3622">
        <v>40.599998474121101</v>
      </c>
      <c r="N3622">
        <v>15.1000003814697</v>
      </c>
      <c r="O3622">
        <v>25.5</v>
      </c>
      <c r="P3622">
        <v>29.299999237060501</v>
      </c>
      <c r="Q3622">
        <v>27.899999618530298</v>
      </c>
      <c r="R3622">
        <v>31</v>
      </c>
      <c r="S3622">
        <v>24.700000762939499</v>
      </c>
      <c r="T3622">
        <v>391</v>
      </c>
      <c r="U3622">
        <v>128</v>
      </c>
      <c r="V3622">
        <v>0</v>
      </c>
      <c r="W3622">
        <v>140</v>
      </c>
      <c r="X3622">
        <v>327</v>
      </c>
      <c r="Y3622">
        <v>1</v>
      </c>
      <c r="Z3622">
        <v>24</v>
      </c>
      <c r="AA3622">
        <v>2</v>
      </c>
      <c r="AB3622">
        <v>1.0209995651245101</v>
      </c>
      <c r="AC3622">
        <v>4.0321884644218001E-2</v>
      </c>
      <c r="AD3622">
        <v>0.97373757749795897</v>
      </c>
      <c r="AE3622">
        <v>0.30151349306106601</v>
      </c>
      <c r="AF3622">
        <v>21.911666666666701</v>
      </c>
      <c r="AG3622">
        <f>IFERROR(AH3622*0.1, "N/A")</f>
        <v>6.1361666666666705</v>
      </c>
      <c r="AH3622">
        <v>61.3616666666667</v>
      </c>
      <c r="AI3622">
        <v>256.32527537028</v>
      </c>
      <c r="AJ3622">
        <v>13.758333333333301</v>
      </c>
      <c r="AK3622">
        <v>74.518333333333302</v>
      </c>
    </row>
    <row r="3623" spans="1:37" x14ac:dyDescent="0.3">
      <c r="A3623">
        <v>3622</v>
      </c>
      <c r="B3623">
        <v>0</v>
      </c>
      <c r="C3623">
        <v>-14.8027</v>
      </c>
      <c r="D3623">
        <v>15.5717</v>
      </c>
      <c r="E3623">
        <f>-14.8027-15.5717</f>
        <v>-30.374400000000001</v>
      </c>
      <c r="F3623" t="s">
        <v>5714</v>
      </c>
      <c r="G3623" t="s">
        <v>37</v>
      </c>
      <c r="H3623">
        <v>1996</v>
      </c>
      <c r="I3623">
        <v>28.399999618530298</v>
      </c>
      <c r="J3623">
        <v>15.699999809265099</v>
      </c>
      <c r="K3623">
        <v>61</v>
      </c>
      <c r="L3623">
        <v>24.290000915527301</v>
      </c>
      <c r="M3623">
        <v>40.599998474121101</v>
      </c>
      <c r="N3623">
        <v>15.1000003814697</v>
      </c>
      <c r="O3623">
        <v>25.5</v>
      </c>
      <c r="P3623">
        <v>29.299999237060501</v>
      </c>
      <c r="Q3623">
        <v>27.899999618530298</v>
      </c>
      <c r="R3623">
        <v>31</v>
      </c>
      <c r="S3623">
        <v>24.700000762939499</v>
      </c>
      <c r="T3623">
        <v>391</v>
      </c>
      <c r="U3623">
        <v>128</v>
      </c>
      <c r="V3623">
        <v>0</v>
      </c>
      <c r="W3623">
        <v>140</v>
      </c>
      <c r="X3623">
        <v>327</v>
      </c>
      <c r="Y3623">
        <v>1</v>
      </c>
      <c r="Z3623">
        <v>24</v>
      </c>
      <c r="AA3623">
        <v>2</v>
      </c>
      <c r="AB3623">
        <v>1.0209995651245101</v>
      </c>
      <c r="AC3623">
        <v>4.0321884644218001E-2</v>
      </c>
      <c r="AD3623">
        <v>0.97373757749795897</v>
      </c>
      <c r="AE3623">
        <v>0.30151349306106601</v>
      </c>
      <c r="AF3623">
        <v>21.911666666666701</v>
      </c>
      <c r="AG3623">
        <f>IFERROR(AH3623*0.1, "N/A")</f>
        <v>6.1361666666666705</v>
      </c>
      <c r="AH3623">
        <v>61.3616666666667</v>
      </c>
      <c r="AI3623">
        <v>256.32527537028</v>
      </c>
      <c r="AJ3623">
        <v>13.758333333333301</v>
      </c>
      <c r="AK3623">
        <v>74.518333333333302</v>
      </c>
    </row>
    <row r="3624" spans="1:37" x14ac:dyDescent="0.3">
      <c r="A3624">
        <v>3623</v>
      </c>
      <c r="B3624">
        <v>0</v>
      </c>
      <c r="C3624">
        <v>-15.342000000000001</v>
      </c>
      <c r="D3624">
        <v>15.5915</v>
      </c>
      <c r="E3624">
        <f>-15.342-15.5915</f>
        <v>-30.933500000000002</v>
      </c>
      <c r="F3624" t="s">
        <v>5715</v>
      </c>
      <c r="G3624" t="s">
        <v>39</v>
      </c>
      <c r="H3624">
        <v>1996</v>
      </c>
      <c r="I3624">
        <v>27.600000381469702</v>
      </c>
      <c r="J3624">
        <v>15.5</v>
      </c>
      <c r="K3624">
        <v>63.810316139767103</v>
      </c>
      <c r="L3624">
        <v>21.514326625576398</v>
      </c>
      <c r="M3624">
        <v>39.299999237060497</v>
      </c>
      <c r="N3624">
        <v>15.081031923087799</v>
      </c>
      <c r="O3624">
        <v>24.218968859528101</v>
      </c>
      <c r="P3624">
        <v>28.311313756095402</v>
      </c>
      <c r="Q3624">
        <v>28.8810311601483</v>
      </c>
      <c r="R3624">
        <v>29.899999618530298</v>
      </c>
      <c r="S3624">
        <v>24.281031140471899</v>
      </c>
      <c r="T3624">
        <v>399.07653910149702</v>
      </c>
      <c r="U3624">
        <v>131</v>
      </c>
      <c r="V3624">
        <v>0</v>
      </c>
      <c r="W3624">
        <v>139</v>
      </c>
      <c r="X3624">
        <v>332.07653910149702</v>
      </c>
      <c r="Y3624">
        <v>1</v>
      </c>
      <c r="Z3624">
        <v>38.251247920133103</v>
      </c>
      <c r="AA3624">
        <v>4</v>
      </c>
      <c r="AB3624">
        <v>14.1891852234445</v>
      </c>
      <c r="AC3624">
        <v>0.17064247715493</v>
      </c>
      <c r="AD3624">
        <v>2.6201384575315401</v>
      </c>
      <c r="AE3624">
        <v>0.49113670224556299</v>
      </c>
      <c r="AF3624">
        <v>18.414309484193002</v>
      </c>
      <c r="AG3624">
        <f>IFERROR(AH3624*0.1, "N/A")</f>
        <v>6.9613976705490801</v>
      </c>
      <c r="AH3624">
        <v>69.613976705490799</v>
      </c>
      <c r="AI3624">
        <v>147.10830382221701</v>
      </c>
      <c r="AJ3624">
        <v>12.846921797005001</v>
      </c>
      <c r="AK3624">
        <v>69.266222961730406</v>
      </c>
    </row>
    <row r="3625" spans="1:37" x14ac:dyDescent="0.3">
      <c r="A3625">
        <v>3624</v>
      </c>
      <c r="B3625">
        <v>0</v>
      </c>
      <c r="C3625">
        <v>-15.342000000000001</v>
      </c>
      <c r="D3625">
        <v>15.5915</v>
      </c>
      <c r="E3625">
        <f>-15.342-15.5915</f>
        <v>-30.933500000000002</v>
      </c>
      <c r="F3625" t="s">
        <v>5716</v>
      </c>
      <c r="G3625" t="s">
        <v>37</v>
      </c>
      <c r="H3625">
        <v>1996</v>
      </c>
      <c r="I3625">
        <v>27.600000381469702</v>
      </c>
      <c r="J3625">
        <v>15.5</v>
      </c>
      <c r="K3625">
        <v>63.810316139767103</v>
      </c>
      <c r="L3625">
        <v>21.514326625576398</v>
      </c>
      <c r="M3625">
        <v>39.299999237060497</v>
      </c>
      <c r="N3625">
        <v>15.081031923087799</v>
      </c>
      <c r="O3625">
        <v>24.218968859528101</v>
      </c>
      <c r="P3625">
        <v>28.311313756095402</v>
      </c>
      <c r="Q3625">
        <v>28.8810311601483</v>
      </c>
      <c r="R3625">
        <v>29.899999618530298</v>
      </c>
      <c r="S3625">
        <v>24.281031140471899</v>
      </c>
      <c r="T3625">
        <v>399.07653910149702</v>
      </c>
      <c r="U3625">
        <v>131</v>
      </c>
      <c r="V3625">
        <v>0</v>
      </c>
      <c r="W3625">
        <v>139</v>
      </c>
      <c r="X3625">
        <v>332.07653910149702</v>
      </c>
      <c r="Y3625">
        <v>1</v>
      </c>
      <c r="Z3625">
        <v>38.251247920133103</v>
      </c>
      <c r="AA3625">
        <v>4</v>
      </c>
      <c r="AB3625">
        <v>14.1891852234445</v>
      </c>
      <c r="AC3625">
        <v>0.17064247715493</v>
      </c>
      <c r="AD3625">
        <v>2.6201384575315401</v>
      </c>
      <c r="AE3625">
        <v>0.49113670224556299</v>
      </c>
      <c r="AF3625">
        <v>18.414309484193002</v>
      </c>
      <c r="AG3625">
        <f>IFERROR(AH3625*0.1, "N/A")</f>
        <v>6.9613976705490801</v>
      </c>
      <c r="AH3625">
        <v>69.613976705490799</v>
      </c>
      <c r="AI3625">
        <v>147.10830382221701</v>
      </c>
      <c r="AJ3625">
        <v>12.846921797005001</v>
      </c>
      <c r="AK3625">
        <v>69.266222961730406</v>
      </c>
    </row>
    <row r="3626" spans="1:37" x14ac:dyDescent="0.3">
      <c r="A3626">
        <v>3625</v>
      </c>
      <c r="B3626">
        <v>0</v>
      </c>
      <c r="C3626">
        <v>-15.323700000000001</v>
      </c>
      <c r="D3626">
        <v>15.619899999999999</v>
      </c>
      <c r="E3626">
        <f>-15.3237-15.6199</f>
        <v>-30.9436</v>
      </c>
      <c r="F3626" t="s">
        <v>5717</v>
      </c>
      <c r="G3626" t="s">
        <v>39</v>
      </c>
      <c r="H3626">
        <v>1996</v>
      </c>
      <c r="I3626">
        <v>27.5</v>
      </c>
      <c r="J3626">
        <v>15.5</v>
      </c>
      <c r="K3626">
        <v>63</v>
      </c>
      <c r="L3626">
        <v>21.469999313354499</v>
      </c>
      <c r="M3626">
        <v>39.299999237060497</v>
      </c>
      <c r="N3626">
        <v>15</v>
      </c>
      <c r="O3626">
        <v>24.299999237060501</v>
      </c>
      <c r="P3626">
        <v>28.299999237060501</v>
      </c>
      <c r="Q3626">
        <v>28.799999237060501</v>
      </c>
      <c r="R3626">
        <v>29.899999618530298</v>
      </c>
      <c r="S3626">
        <v>24.200000762939499</v>
      </c>
      <c r="T3626">
        <v>399</v>
      </c>
      <c r="U3626">
        <v>130</v>
      </c>
      <c r="V3626">
        <v>0</v>
      </c>
      <c r="W3626">
        <v>139</v>
      </c>
      <c r="X3626">
        <v>331</v>
      </c>
      <c r="Y3626">
        <v>1</v>
      </c>
      <c r="Z3626">
        <v>103</v>
      </c>
      <c r="AA3626">
        <v>4</v>
      </c>
      <c r="AB3626">
        <v>7.8597336608835997</v>
      </c>
      <c r="AC3626">
        <v>0.23533605395222801</v>
      </c>
      <c r="AD3626">
        <v>1.8314763438483499</v>
      </c>
      <c r="AE3626">
        <v>0.43081133342820699</v>
      </c>
      <c r="AF3626">
        <v>14.990016638935099</v>
      </c>
      <c r="AG3626">
        <f>IFERROR(AH3626*0.1, "N/A")</f>
        <v>6.0485856905158109</v>
      </c>
      <c r="AH3626">
        <v>60.485856905158101</v>
      </c>
      <c r="AI3626">
        <v>158.04248415015499</v>
      </c>
      <c r="AJ3626">
        <v>9.9717138103161407</v>
      </c>
      <c r="AK3626">
        <v>73.599001663893503</v>
      </c>
    </row>
    <row r="3627" spans="1:37" x14ac:dyDescent="0.3">
      <c r="A3627">
        <v>3626</v>
      </c>
      <c r="B3627">
        <v>0</v>
      </c>
      <c r="C3627">
        <v>-15.323700000000001</v>
      </c>
      <c r="D3627">
        <v>15.619899999999999</v>
      </c>
      <c r="E3627">
        <f>-15.3237-15.6199</f>
        <v>-30.9436</v>
      </c>
      <c r="F3627" t="s">
        <v>5718</v>
      </c>
      <c r="G3627" t="s">
        <v>37</v>
      </c>
      <c r="H3627">
        <v>1996</v>
      </c>
      <c r="I3627">
        <v>27.5</v>
      </c>
      <c r="J3627">
        <v>15.5</v>
      </c>
      <c r="K3627">
        <v>63</v>
      </c>
      <c r="L3627">
        <v>21.469999313354499</v>
      </c>
      <c r="M3627">
        <v>39.299999237060497</v>
      </c>
      <c r="N3627">
        <v>15</v>
      </c>
      <c r="O3627">
        <v>24.299999237060501</v>
      </c>
      <c r="P3627">
        <v>28.299999237060501</v>
      </c>
      <c r="Q3627">
        <v>28.799999237060501</v>
      </c>
      <c r="R3627">
        <v>29.899999618530298</v>
      </c>
      <c r="S3627">
        <v>24.200000762939499</v>
      </c>
      <c r="T3627">
        <v>399</v>
      </c>
      <c r="U3627">
        <v>130</v>
      </c>
      <c r="V3627">
        <v>0</v>
      </c>
      <c r="W3627">
        <v>139</v>
      </c>
      <c r="X3627">
        <v>331</v>
      </c>
      <c r="Y3627">
        <v>1</v>
      </c>
      <c r="Z3627">
        <v>103</v>
      </c>
      <c r="AA3627">
        <v>4</v>
      </c>
      <c r="AB3627">
        <v>7.8597336608835997</v>
      </c>
      <c r="AC3627">
        <v>0.23533605395222801</v>
      </c>
      <c r="AD3627">
        <v>1.8314763438483499</v>
      </c>
      <c r="AE3627">
        <v>0.43081133342820699</v>
      </c>
      <c r="AF3627">
        <v>14.990016638935099</v>
      </c>
      <c r="AG3627">
        <f>IFERROR(AH3627*0.1, "N/A")</f>
        <v>6.0485856905158109</v>
      </c>
      <c r="AH3627">
        <v>60.485856905158101</v>
      </c>
      <c r="AI3627">
        <v>158.04248415015499</v>
      </c>
      <c r="AJ3627">
        <v>9.9717138103161407</v>
      </c>
      <c r="AK3627">
        <v>73.599001663893503</v>
      </c>
    </row>
    <row r="3628" spans="1:37" x14ac:dyDescent="0.3">
      <c r="A3628">
        <v>3627</v>
      </c>
      <c r="B3628">
        <v>1.3</v>
      </c>
      <c r="C3628">
        <v>-13.246700000000001</v>
      </c>
      <c r="D3628">
        <v>15.6328</v>
      </c>
      <c r="E3628">
        <f>-13.2467-15.6328</f>
        <v>-28.8795</v>
      </c>
      <c r="F3628" t="s">
        <v>5719</v>
      </c>
      <c r="G3628" t="s">
        <v>39</v>
      </c>
      <c r="H3628">
        <v>1983</v>
      </c>
      <c r="I3628">
        <v>29.700000762939499</v>
      </c>
      <c r="J3628">
        <v>15.3999996185303</v>
      </c>
      <c r="K3628">
        <v>57</v>
      </c>
      <c r="L3628">
        <v>30.0107161066496</v>
      </c>
      <c r="M3628">
        <v>42.400001525878899</v>
      </c>
      <c r="N3628">
        <v>15.3999996185303</v>
      </c>
      <c r="O3628">
        <v>27</v>
      </c>
      <c r="P3628">
        <v>30.100000381469702</v>
      </c>
      <c r="Q3628">
        <v>26.899999618530298</v>
      </c>
      <c r="R3628">
        <v>33.5</v>
      </c>
      <c r="S3628">
        <v>25.5</v>
      </c>
      <c r="T3628">
        <v>373.89850249583998</v>
      </c>
      <c r="U3628">
        <v>134</v>
      </c>
      <c r="V3628">
        <v>0</v>
      </c>
      <c r="W3628">
        <v>143</v>
      </c>
      <c r="X3628">
        <v>321.89850249583998</v>
      </c>
      <c r="Y3628">
        <v>1</v>
      </c>
      <c r="Z3628">
        <v>26</v>
      </c>
      <c r="AA3628">
        <v>2</v>
      </c>
      <c r="AB3628">
        <v>1.9718800797042</v>
      </c>
      <c r="AC3628">
        <v>1.1856200134757E-2</v>
      </c>
      <c r="AD3628">
        <v>1.2285293587630699</v>
      </c>
      <c r="AE3628">
        <v>0.32743176817893999</v>
      </c>
      <c r="AF3628">
        <v>17.079866888519099</v>
      </c>
      <c r="AG3628">
        <f>IFERROR(AH3628*0.1, "N/A")</f>
        <v>6.7768718801996704</v>
      </c>
      <c r="AH3628">
        <v>67.768718801996698</v>
      </c>
      <c r="AI3628">
        <v>168.46480324185001</v>
      </c>
      <c r="AJ3628">
        <v>22.231281198003298</v>
      </c>
      <c r="AK3628">
        <v>60.231281198003302</v>
      </c>
    </row>
    <row r="3629" spans="1:37" x14ac:dyDescent="0.3">
      <c r="A3629">
        <v>3628</v>
      </c>
      <c r="B3629">
        <v>0</v>
      </c>
      <c r="C3629">
        <v>-13.246700000000001</v>
      </c>
      <c r="D3629">
        <v>15.6328</v>
      </c>
      <c r="E3629">
        <f>-13.2467-15.6328</f>
        <v>-28.8795</v>
      </c>
      <c r="F3629" t="s">
        <v>5720</v>
      </c>
      <c r="G3629" t="s">
        <v>37</v>
      </c>
      <c r="H3629">
        <v>1983</v>
      </c>
      <c r="I3629">
        <v>29.700000762939499</v>
      </c>
      <c r="J3629">
        <v>15.3999996185303</v>
      </c>
      <c r="K3629">
        <v>57</v>
      </c>
      <c r="L3629">
        <v>30.0107161066496</v>
      </c>
      <c r="M3629">
        <v>42.400001525878899</v>
      </c>
      <c r="N3629">
        <v>15.3999996185303</v>
      </c>
      <c r="O3629">
        <v>27</v>
      </c>
      <c r="P3629">
        <v>30.100000381469702</v>
      </c>
      <c r="Q3629">
        <v>26.899999618530298</v>
      </c>
      <c r="R3629">
        <v>33.5</v>
      </c>
      <c r="S3629">
        <v>25.5</v>
      </c>
      <c r="T3629">
        <v>373.89850249583998</v>
      </c>
      <c r="U3629">
        <v>134</v>
      </c>
      <c r="V3629">
        <v>0</v>
      </c>
      <c r="W3629">
        <v>143</v>
      </c>
      <c r="X3629">
        <v>321.89850249583998</v>
      </c>
      <c r="Y3629">
        <v>1</v>
      </c>
      <c r="Z3629">
        <v>26</v>
      </c>
      <c r="AA3629">
        <v>2</v>
      </c>
      <c r="AB3629">
        <v>1.9718800797042</v>
      </c>
      <c r="AC3629">
        <v>1.1856200134757E-2</v>
      </c>
      <c r="AD3629">
        <v>1.2285293587630699</v>
      </c>
      <c r="AE3629">
        <v>0.32743176817893999</v>
      </c>
      <c r="AF3629">
        <v>17.079866888519099</v>
      </c>
      <c r="AG3629">
        <f>IFERROR(AH3629*0.1, "N/A")</f>
        <v>6.7768718801996704</v>
      </c>
      <c r="AH3629">
        <v>67.768718801996698</v>
      </c>
      <c r="AI3629">
        <v>168.46480324185001</v>
      </c>
      <c r="AJ3629">
        <v>22.231281198003298</v>
      </c>
      <c r="AK3629">
        <v>60.231281198003302</v>
      </c>
    </row>
    <row r="3630" spans="1:37" x14ac:dyDescent="0.3">
      <c r="A3630">
        <v>3629</v>
      </c>
      <c r="B3630">
        <v>0</v>
      </c>
      <c r="C3630">
        <v>-13.25</v>
      </c>
      <c r="D3630">
        <v>15.6333</v>
      </c>
      <c r="E3630">
        <f>-13.25-15.6333</f>
        <v>-28.883299999999998</v>
      </c>
      <c r="F3630" t="s">
        <v>5721</v>
      </c>
      <c r="G3630" t="s">
        <v>39</v>
      </c>
      <c r="H3630">
        <v>1992</v>
      </c>
      <c r="I3630">
        <v>29.700000762939499</v>
      </c>
      <c r="J3630">
        <v>15.378903393729599</v>
      </c>
      <c r="K3630">
        <v>56.789036544850497</v>
      </c>
      <c r="L3630">
        <v>29.892956771723899</v>
      </c>
      <c r="M3630">
        <v>42.400001525878899</v>
      </c>
      <c r="N3630">
        <v>15.3999996185303</v>
      </c>
      <c r="O3630">
        <v>27</v>
      </c>
      <c r="P3630">
        <v>30.100000381469702</v>
      </c>
      <c r="Q3630">
        <v>26.899999618530298</v>
      </c>
      <c r="R3630">
        <v>33.5</v>
      </c>
      <c r="S3630">
        <v>25.5</v>
      </c>
      <c r="T3630">
        <v>373.913621262459</v>
      </c>
      <c r="U3630">
        <v>134.21096345514999</v>
      </c>
      <c r="V3630">
        <v>0</v>
      </c>
      <c r="W3630">
        <v>143.21096345514999</v>
      </c>
      <c r="X3630">
        <v>321.913621262459</v>
      </c>
      <c r="Y3630">
        <v>1</v>
      </c>
      <c r="Z3630">
        <v>26</v>
      </c>
      <c r="AA3630">
        <v>2</v>
      </c>
      <c r="AB3630">
        <v>1.8470096382191801</v>
      </c>
      <c r="AC3630">
        <v>5.3585603605783003E-2</v>
      </c>
      <c r="AD3630">
        <v>2.0879399045757299</v>
      </c>
      <c r="AE3630">
        <v>0.32743176817893999</v>
      </c>
      <c r="AF3630">
        <v>16.166112956810601</v>
      </c>
      <c r="AG3630">
        <f>IFERROR(AH3630*0.1, "N/A")</f>
        <v>6.8091362126245905</v>
      </c>
      <c r="AH3630">
        <v>68.091362126245897</v>
      </c>
      <c r="AI3630">
        <v>80.105590541497406</v>
      </c>
      <c r="AJ3630">
        <v>20.363787375415299</v>
      </c>
      <c r="AK3630">
        <v>62.636212624584701</v>
      </c>
    </row>
    <row r="3631" spans="1:37" x14ac:dyDescent="0.3">
      <c r="A3631">
        <v>3630</v>
      </c>
      <c r="B3631">
        <v>0.3</v>
      </c>
      <c r="C3631">
        <v>-13.25</v>
      </c>
      <c r="D3631">
        <v>15.6333</v>
      </c>
      <c r="E3631">
        <f>-13.25-15.6333</f>
        <v>-28.883299999999998</v>
      </c>
      <c r="F3631" t="s">
        <v>5722</v>
      </c>
      <c r="G3631" t="s">
        <v>37</v>
      </c>
      <c r="H3631">
        <v>1992</v>
      </c>
      <c r="I3631">
        <v>29.700000762939499</v>
      </c>
      <c r="J3631">
        <v>15.378903393729599</v>
      </c>
      <c r="K3631">
        <v>56.789036544850497</v>
      </c>
      <c r="L3631">
        <v>29.892956771723899</v>
      </c>
      <c r="M3631">
        <v>42.400001525878899</v>
      </c>
      <c r="N3631">
        <v>15.3999996185303</v>
      </c>
      <c r="O3631">
        <v>27</v>
      </c>
      <c r="P3631">
        <v>30.100000381469702</v>
      </c>
      <c r="Q3631">
        <v>26.899999618530298</v>
      </c>
      <c r="R3631">
        <v>33.5</v>
      </c>
      <c r="S3631">
        <v>25.5</v>
      </c>
      <c r="T3631">
        <v>373.913621262459</v>
      </c>
      <c r="U3631">
        <v>134.21096345514999</v>
      </c>
      <c r="V3631">
        <v>0</v>
      </c>
      <c r="W3631">
        <v>143.21096345514999</v>
      </c>
      <c r="X3631">
        <v>321.913621262459</v>
      </c>
      <c r="Y3631">
        <v>1</v>
      </c>
      <c r="Z3631">
        <v>26</v>
      </c>
      <c r="AA3631">
        <v>2</v>
      </c>
      <c r="AB3631">
        <v>1.8470096382191801</v>
      </c>
      <c r="AC3631">
        <v>5.3585603605783003E-2</v>
      </c>
      <c r="AD3631">
        <v>2.0879399045757299</v>
      </c>
      <c r="AE3631">
        <v>0.32743176817893999</v>
      </c>
      <c r="AF3631">
        <v>16.166112956810601</v>
      </c>
      <c r="AG3631">
        <f>IFERROR(AH3631*0.1, "N/A")</f>
        <v>6.8091362126245905</v>
      </c>
      <c r="AH3631">
        <v>68.091362126245897</v>
      </c>
      <c r="AI3631">
        <v>80.105590541497406</v>
      </c>
      <c r="AJ3631">
        <v>20.363787375415299</v>
      </c>
      <c r="AK3631">
        <v>62.636212624584701</v>
      </c>
    </row>
    <row r="3632" spans="1:37" x14ac:dyDescent="0.3">
      <c r="A3632">
        <v>3631</v>
      </c>
      <c r="B3632">
        <v>0</v>
      </c>
      <c r="C3632">
        <v>-15.991199999999999</v>
      </c>
      <c r="D3632">
        <v>15.645799999999999</v>
      </c>
      <c r="E3632">
        <f>-15.9912-15.6458</f>
        <v>-31.637</v>
      </c>
      <c r="F3632" t="s">
        <v>5723</v>
      </c>
      <c r="G3632" t="s">
        <v>39</v>
      </c>
      <c r="H3632">
        <v>1996</v>
      </c>
      <c r="I3632">
        <v>25.993823014834099</v>
      </c>
      <c r="J3632">
        <v>13.800000190734901</v>
      </c>
      <c r="K3632">
        <v>69</v>
      </c>
      <c r="L3632">
        <v>19.139882407721799</v>
      </c>
      <c r="M3632">
        <v>34.206177630289197</v>
      </c>
      <c r="N3632">
        <v>14.3999996185303</v>
      </c>
      <c r="O3632">
        <v>19.806176222226501</v>
      </c>
      <c r="P3632">
        <v>27.700000762939499</v>
      </c>
      <c r="Q3632">
        <v>24.493823014834099</v>
      </c>
      <c r="R3632">
        <v>27.799999237060501</v>
      </c>
      <c r="S3632">
        <v>23.100000381469702</v>
      </c>
      <c r="T3632">
        <v>362</v>
      </c>
      <c r="U3632">
        <v>132</v>
      </c>
      <c r="V3632">
        <v>0</v>
      </c>
      <c r="W3632">
        <v>148</v>
      </c>
      <c r="X3632">
        <v>313</v>
      </c>
      <c r="Y3632">
        <v>1</v>
      </c>
      <c r="Z3632">
        <v>210</v>
      </c>
      <c r="AA3632">
        <v>3</v>
      </c>
      <c r="AB3632">
        <v>3.2487470343435301</v>
      </c>
      <c r="AC3632">
        <v>2.1713548596445E-2</v>
      </c>
      <c r="AD3632">
        <v>1.1437466481890199</v>
      </c>
      <c r="AE3632">
        <v>0.43842523822402302</v>
      </c>
      <c r="AF3632">
        <v>40.180300500834697</v>
      </c>
      <c r="AG3632">
        <f>IFERROR(AH3632*0.1, "N/A")</f>
        <v>7.8041736227045106</v>
      </c>
      <c r="AH3632">
        <v>78.041736227045106</v>
      </c>
      <c r="AI3632">
        <v>140.05196343678301</v>
      </c>
      <c r="AJ3632">
        <v>5.0617696160267096</v>
      </c>
      <c r="AK3632">
        <v>88</v>
      </c>
    </row>
    <row r="3633" spans="1:37" x14ac:dyDescent="0.3">
      <c r="A3633">
        <v>3632</v>
      </c>
      <c r="B3633">
        <v>0</v>
      </c>
      <c r="C3633">
        <v>-15.991199999999999</v>
      </c>
      <c r="D3633">
        <v>15.645799999999999</v>
      </c>
      <c r="E3633">
        <f>-15.9912-15.6458</f>
        <v>-31.637</v>
      </c>
      <c r="F3633" t="s">
        <v>5724</v>
      </c>
      <c r="G3633" t="s">
        <v>37</v>
      </c>
      <c r="H3633">
        <v>1996</v>
      </c>
      <c r="I3633">
        <v>25.993823014834099</v>
      </c>
      <c r="J3633">
        <v>13.800000190734901</v>
      </c>
      <c r="K3633">
        <v>69</v>
      </c>
      <c r="L3633">
        <v>19.139882407721799</v>
      </c>
      <c r="M3633">
        <v>34.206177630289197</v>
      </c>
      <c r="N3633">
        <v>14.3999996185303</v>
      </c>
      <c r="O3633">
        <v>19.806176222226501</v>
      </c>
      <c r="P3633">
        <v>27.700000762939499</v>
      </c>
      <c r="Q3633">
        <v>24.493823014834099</v>
      </c>
      <c r="R3633">
        <v>27.799999237060501</v>
      </c>
      <c r="S3633">
        <v>23.100000381469702</v>
      </c>
      <c r="T3633">
        <v>362</v>
      </c>
      <c r="U3633">
        <v>132</v>
      </c>
      <c r="V3633">
        <v>0</v>
      </c>
      <c r="W3633">
        <v>148</v>
      </c>
      <c r="X3633">
        <v>313</v>
      </c>
      <c r="Y3633">
        <v>1</v>
      </c>
      <c r="Z3633">
        <v>210</v>
      </c>
      <c r="AA3633">
        <v>3</v>
      </c>
      <c r="AB3633">
        <v>3.2487470343435301</v>
      </c>
      <c r="AC3633">
        <v>2.1713548596445E-2</v>
      </c>
      <c r="AD3633">
        <v>1.1437466481890199</v>
      </c>
      <c r="AE3633">
        <v>0.43842523822402302</v>
      </c>
      <c r="AF3633">
        <v>40.180300500834697</v>
      </c>
      <c r="AG3633">
        <f>IFERROR(AH3633*0.1, "N/A")</f>
        <v>7.8041736227045106</v>
      </c>
      <c r="AH3633">
        <v>78.041736227045106</v>
      </c>
      <c r="AI3633">
        <v>140.05196343678301</v>
      </c>
      <c r="AJ3633">
        <v>5.0617696160267096</v>
      </c>
      <c r="AK3633">
        <v>88</v>
      </c>
    </row>
    <row r="3634" spans="1:37" x14ac:dyDescent="0.3">
      <c r="A3634">
        <v>3633</v>
      </c>
      <c r="B3634">
        <v>60.200001</v>
      </c>
      <c r="C3634">
        <v>-15.3492</v>
      </c>
      <c r="D3634">
        <v>15.6487</v>
      </c>
      <c r="E3634">
        <f>-15.3492-15.6487</f>
        <v>-30.997900000000001</v>
      </c>
      <c r="F3634" t="s">
        <v>5725</v>
      </c>
      <c r="G3634" t="s">
        <v>39</v>
      </c>
      <c r="H3634">
        <v>1999</v>
      </c>
      <c r="I3634">
        <v>27.5</v>
      </c>
      <c r="J3634">
        <v>15.5</v>
      </c>
      <c r="K3634">
        <v>63</v>
      </c>
      <c r="L3634">
        <v>22.159999847412099</v>
      </c>
      <c r="M3634">
        <v>39.200000762939503</v>
      </c>
      <c r="N3634">
        <v>14.8999996185303</v>
      </c>
      <c r="O3634">
        <v>24.299999237060501</v>
      </c>
      <c r="P3634">
        <v>28.299999237060501</v>
      </c>
      <c r="Q3634">
        <v>28.700000762939499</v>
      </c>
      <c r="R3634">
        <v>29.899999618530298</v>
      </c>
      <c r="S3634">
        <v>24</v>
      </c>
      <c r="T3634">
        <v>393</v>
      </c>
      <c r="U3634">
        <v>128</v>
      </c>
      <c r="V3634">
        <v>0</v>
      </c>
      <c r="W3634">
        <v>141</v>
      </c>
      <c r="X3634">
        <v>326</v>
      </c>
      <c r="Y3634">
        <v>1</v>
      </c>
      <c r="Z3634">
        <v>100</v>
      </c>
      <c r="AA3634">
        <v>4</v>
      </c>
      <c r="AB3634">
        <v>11.867057063507801</v>
      </c>
      <c r="AC3634">
        <v>2.3429956927234999E-2</v>
      </c>
      <c r="AD3634">
        <v>1.3129191463408301</v>
      </c>
      <c r="AE3634">
        <v>0.46724469476320302</v>
      </c>
      <c r="AF3634">
        <v>15.157190635451499</v>
      </c>
      <c r="AG3634">
        <f>IFERROR(AH3634*0.1, "N/A")</f>
        <v>6.6000000000000005</v>
      </c>
      <c r="AH3634">
        <v>66</v>
      </c>
      <c r="AI3634">
        <v>231.79074612110401</v>
      </c>
      <c r="AJ3634">
        <v>13</v>
      </c>
      <c r="AK3634">
        <v>64</v>
      </c>
    </row>
    <row r="3635" spans="1:37" x14ac:dyDescent="0.3">
      <c r="A3635">
        <v>3634</v>
      </c>
      <c r="B3635">
        <v>14.6</v>
      </c>
      <c r="C3635">
        <v>-13.35</v>
      </c>
      <c r="D3635">
        <v>15.65</v>
      </c>
      <c r="E3635">
        <f>-13.35-15.65</f>
        <v>-29</v>
      </c>
      <c r="F3635" t="s">
        <v>5726</v>
      </c>
      <c r="G3635" t="s">
        <v>39</v>
      </c>
      <c r="H3635">
        <v>2004</v>
      </c>
      <c r="I3635">
        <v>29.600000381469702</v>
      </c>
      <c r="J3635">
        <v>15.300000190734901</v>
      </c>
      <c r="K3635">
        <v>56.603648424543998</v>
      </c>
      <c r="L3635">
        <v>29.4957874228508</v>
      </c>
      <c r="M3635">
        <v>42.239635315700603</v>
      </c>
      <c r="N3635">
        <v>15.3999996185303</v>
      </c>
      <c r="O3635">
        <v>26.839634545802301</v>
      </c>
      <c r="P3635">
        <v>30.049253919231401</v>
      </c>
      <c r="Q3635">
        <v>31.799999237060501</v>
      </c>
      <c r="R3635">
        <v>33.299999237060497</v>
      </c>
      <c r="S3635">
        <v>25.399999618530298</v>
      </c>
      <c r="T3635">
        <v>381.48922056384703</v>
      </c>
      <c r="U3635">
        <v>136.82421227197301</v>
      </c>
      <c r="V3635">
        <v>0</v>
      </c>
      <c r="W3635">
        <v>145.744610281924</v>
      </c>
      <c r="X3635">
        <v>327.56882255389701</v>
      </c>
      <c r="Y3635">
        <v>1</v>
      </c>
      <c r="Z3635">
        <v>26</v>
      </c>
      <c r="AA3635">
        <v>3</v>
      </c>
      <c r="AB3635">
        <v>3.6134320285980599</v>
      </c>
      <c r="AC3635">
        <v>0.24104388027913701</v>
      </c>
      <c r="AD3635">
        <v>2.2772406232890798</v>
      </c>
      <c r="AE3635">
        <v>0.382576733827591</v>
      </c>
      <c r="AF3635">
        <v>23</v>
      </c>
      <c r="AG3635">
        <f>IFERROR(AH3635*0.1, "N/A")</f>
        <v>6.5414593698175807</v>
      </c>
      <c r="AH3635">
        <v>65.414593698175807</v>
      </c>
      <c r="AI3635">
        <v>148.313557348046</v>
      </c>
      <c r="AJ3635">
        <v>10.530679933665001</v>
      </c>
      <c r="AK3635">
        <v>74.676616915422898</v>
      </c>
    </row>
    <row r="3636" spans="1:37" x14ac:dyDescent="0.3">
      <c r="A3636">
        <v>3635</v>
      </c>
      <c r="B3636">
        <v>11.8</v>
      </c>
      <c r="C3636">
        <v>-13.257300000000001</v>
      </c>
      <c r="D3636">
        <v>15.6622</v>
      </c>
      <c r="E3636">
        <f>-13.2573-15.6622</f>
        <v>-28.919499999999999</v>
      </c>
      <c r="F3636" t="s">
        <v>5727</v>
      </c>
      <c r="G3636" t="s">
        <v>39</v>
      </c>
      <c r="H3636">
        <v>1987</v>
      </c>
      <c r="I3636">
        <v>29.799999237060501</v>
      </c>
      <c r="J3636">
        <v>15.300000190734901</v>
      </c>
      <c r="K3636">
        <v>56</v>
      </c>
      <c r="L3636">
        <v>29.620000839233398</v>
      </c>
      <c r="M3636">
        <v>42.5</v>
      </c>
      <c r="N3636">
        <v>15.5</v>
      </c>
      <c r="O3636">
        <v>27</v>
      </c>
      <c r="P3636">
        <v>30.200000762939499</v>
      </c>
      <c r="Q3636">
        <v>26.899999618530298</v>
      </c>
      <c r="R3636">
        <v>33.5</v>
      </c>
      <c r="S3636">
        <v>25.600000381469702</v>
      </c>
      <c r="T3636">
        <v>367</v>
      </c>
      <c r="U3636">
        <v>133</v>
      </c>
      <c r="V3636">
        <v>0</v>
      </c>
      <c r="W3636">
        <v>146</v>
      </c>
      <c r="X3636">
        <v>317</v>
      </c>
      <c r="Y3636">
        <v>1</v>
      </c>
      <c r="Z3636">
        <v>25</v>
      </c>
      <c r="AA3636">
        <v>2</v>
      </c>
      <c r="AB3636">
        <v>6.5865445184549198</v>
      </c>
      <c r="AC3636">
        <v>8.2365028123889995E-3</v>
      </c>
      <c r="AD3636">
        <v>0.95433934087373096</v>
      </c>
      <c r="AE3636">
        <v>0.458705604076385</v>
      </c>
      <c r="AF3636">
        <v>16.657807308970099</v>
      </c>
      <c r="AG3636">
        <f>IFERROR(AH3636*0.1, "N/A")</f>
        <v>6.7152823920265803</v>
      </c>
      <c r="AH3636">
        <v>67.152823920265803</v>
      </c>
      <c r="AI3636">
        <v>214.24091372062199</v>
      </c>
      <c r="AJ3636">
        <v>27</v>
      </c>
      <c r="AK3636">
        <v>53.576411960132901</v>
      </c>
    </row>
    <row r="3637" spans="1:37" x14ac:dyDescent="0.3">
      <c r="A3637">
        <v>3636</v>
      </c>
      <c r="B3637">
        <v>13.1</v>
      </c>
      <c r="C3637">
        <v>-13.261200000000001</v>
      </c>
      <c r="D3637">
        <v>15.6637</v>
      </c>
      <c r="E3637">
        <f>-13.2612-15.6637</f>
        <v>-28.924900000000001</v>
      </c>
      <c r="F3637" t="s">
        <v>5728</v>
      </c>
      <c r="G3637" t="s">
        <v>39</v>
      </c>
      <c r="H3637">
        <v>2005</v>
      </c>
      <c r="I3637">
        <v>29.799999237060501</v>
      </c>
      <c r="J3637">
        <v>15.300000190734901</v>
      </c>
      <c r="K3637">
        <v>56</v>
      </c>
      <c r="L3637">
        <v>29.620000839233398</v>
      </c>
      <c r="M3637">
        <v>42.5</v>
      </c>
      <c r="N3637">
        <v>15.5</v>
      </c>
      <c r="O3637">
        <v>27</v>
      </c>
      <c r="P3637">
        <v>30.200000762939499</v>
      </c>
      <c r="Q3637">
        <v>26.899999618530298</v>
      </c>
      <c r="R3637">
        <v>33.5</v>
      </c>
      <c r="S3637">
        <v>25.600000381469702</v>
      </c>
      <c r="T3637">
        <v>368</v>
      </c>
      <c r="U3637">
        <v>133</v>
      </c>
      <c r="V3637">
        <v>0</v>
      </c>
      <c r="W3637">
        <v>146</v>
      </c>
      <c r="X3637">
        <v>318</v>
      </c>
      <c r="Y3637">
        <v>1</v>
      </c>
      <c r="Z3637">
        <v>25</v>
      </c>
      <c r="AA3637">
        <v>2</v>
      </c>
      <c r="AB3637">
        <v>1.81933317661285</v>
      </c>
      <c r="AC3637">
        <v>1.3013558795986001E-2</v>
      </c>
      <c r="AD3637">
        <v>1.1397183672587099</v>
      </c>
      <c r="AE3637">
        <v>0.45898205488920202</v>
      </c>
      <c r="AF3637">
        <v>15.195</v>
      </c>
      <c r="AG3637">
        <f>IFERROR(AH3637*0.1, "N/A")</f>
        <v>6.4658333333333307</v>
      </c>
      <c r="AH3637">
        <v>64.658333333333303</v>
      </c>
      <c r="AI3637">
        <v>146.59836481730099</v>
      </c>
      <c r="AJ3637">
        <v>26.6733333333333</v>
      </c>
      <c r="AK3637">
        <v>55.658333333333303</v>
      </c>
    </row>
    <row r="3638" spans="1:37" x14ac:dyDescent="0.3">
      <c r="A3638">
        <v>3637</v>
      </c>
      <c r="B3638">
        <v>1</v>
      </c>
      <c r="C3638">
        <v>-16.0303</v>
      </c>
      <c r="D3638">
        <v>15.674300000000001</v>
      </c>
      <c r="E3638">
        <f>-16.0303-15.6743</f>
        <v>-31.704599999999999</v>
      </c>
      <c r="F3638" t="s">
        <v>5729</v>
      </c>
      <c r="G3638" t="s">
        <v>39</v>
      </c>
      <c r="H3638">
        <v>1996</v>
      </c>
      <c r="I3638">
        <v>25.799999237060501</v>
      </c>
      <c r="J3638">
        <v>13.6000003814697</v>
      </c>
      <c r="K3638">
        <v>69</v>
      </c>
      <c r="L3638">
        <v>19.493539854759799</v>
      </c>
      <c r="M3638">
        <v>34.099998474121101</v>
      </c>
      <c r="N3638">
        <v>14.3999996185303</v>
      </c>
      <c r="O3638">
        <v>19.700000762939499</v>
      </c>
      <c r="P3638">
        <v>27.700000762939499</v>
      </c>
      <c r="Q3638">
        <v>25.200000762939499</v>
      </c>
      <c r="R3638">
        <v>27.700000762939499</v>
      </c>
      <c r="S3638">
        <v>22.920200029478199</v>
      </c>
      <c r="T3638">
        <v>352.79799666110199</v>
      </c>
      <c r="U3638">
        <v>129.79799666110199</v>
      </c>
      <c r="V3638">
        <v>0</v>
      </c>
      <c r="W3638">
        <v>150.79799666110199</v>
      </c>
      <c r="X3638">
        <v>306.79799666110199</v>
      </c>
      <c r="Y3638">
        <v>0</v>
      </c>
      <c r="Z3638">
        <v>204.79799666110199</v>
      </c>
      <c r="AA3638">
        <v>3</v>
      </c>
      <c r="AB3638">
        <v>1.1278793003801899</v>
      </c>
      <c r="AC3638">
        <v>3.6917592271329E-2</v>
      </c>
      <c r="AD3638">
        <v>1.4601928202158601</v>
      </c>
      <c r="AE3638">
        <v>0.575869381427765</v>
      </c>
      <c r="AF3638">
        <v>33.611018363939898</v>
      </c>
      <c r="AG3638">
        <f>IFERROR(AH3638*0.1, "N/A")</f>
        <v>6.6894824707846396</v>
      </c>
      <c r="AH3638">
        <v>66.894824707846396</v>
      </c>
      <c r="AI3638">
        <v>88.975343022800203</v>
      </c>
      <c r="AJ3638">
        <v>10.1051752921536</v>
      </c>
      <c r="AK3638">
        <v>80.100166944908196</v>
      </c>
    </row>
    <row r="3639" spans="1:37" x14ac:dyDescent="0.3">
      <c r="A3639">
        <v>3638</v>
      </c>
      <c r="B3639">
        <v>0</v>
      </c>
      <c r="C3639">
        <v>-16.0303</v>
      </c>
      <c r="D3639">
        <v>15.674300000000001</v>
      </c>
      <c r="E3639">
        <f>-16.0303-15.6743</f>
        <v>-31.704599999999999</v>
      </c>
      <c r="F3639" t="s">
        <v>5730</v>
      </c>
      <c r="G3639" t="s">
        <v>37</v>
      </c>
      <c r="H3639">
        <v>1996</v>
      </c>
      <c r="I3639">
        <v>25.799999237060501</v>
      </c>
      <c r="J3639">
        <v>13.6000003814697</v>
      </c>
      <c r="K3639">
        <v>69</v>
      </c>
      <c r="L3639">
        <v>19.493539854759799</v>
      </c>
      <c r="M3639">
        <v>34.099998474121101</v>
      </c>
      <c r="N3639">
        <v>14.3999996185303</v>
      </c>
      <c r="O3639">
        <v>19.700000762939499</v>
      </c>
      <c r="P3639">
        <v>27.700000762939499</v>
      </c>
      <c r="Q3639">
        <v>25.200000762939499</v>
      </c>
      <c r="R3639">
        <v>27.700000762939499</v>
      </c>
      <c r="S3639">
        <v>22.920200029478199</v>
      </c>
      <c r="T3639">
        <v>352.79799666110199</v>
      </c>
      <c r="U3639">
        <v>129.79799666110199</v>
      </c>
      <c r="V3639">
        <v>0</v>
      </c>
      <c r="W3639">
        <v>150.79799666110199</v>
      </c>
      <c r="X3639">
        <v>306.79799666110199</v>
      </c>
      <c r="Y3639">
        <v>0</v>
      </c>
      <c r="Z3639">
        <v>204.79799666110199</v>
      </c>
      <c r="AA3639">
        <v>3</v>
      </c>
      <c r="AB3639">
        <v>1.1278793003801899</v>
      </c>
      <c r="AC3639">
        <v>3.6917592271329E-2</v>
      </c>
      <c r="AD3639">
        <v>1.4601928202158601</v>
      </c>
      <c r="AE3639">
        <v>0.575869381427765</v>
      </c>
      <c r="AF3639">
        <v>33.611018363939898</v>
      </c>
      <c r="AG3639">
        <f>IFERROR(AH3639*0.1, "N/A")</f>
        <v>6.6894824707846396</v>
      </c>
      <c r="AH3639">
        <v>66.894824707846396</v>
      </c>
      <c r="AI3639">
        <v>88.975343022800203</v>
      </c>
      <c r="AJ3639">
        <v>10.1051752921536</v>
      </c>
      <c r="AK3639">
        <v>80.100166944908196</v>
      </c>
    </row>
    <row r="3640" spans="1:37" x14ac:dyDescent="0.3">
      <c r="A3640">
        <v>3639</v>
      </c>
      <c r="B3640">
        <v>28.700001</v>
      </c>
      <c r="C3640">
        <v>-15.5543</v>
      </c>
      <c r="D3640">
        <v>15.6821</v>
      </c>
      <c r="E3640">
        <f>-15.5543-15.6821</f>
        <v>-31.2364</v>
      </c>
      <c r="F3640" t="s">
        <v>5731</v>
      </c>
      <c r="G3640" t="s">
        <v>39</v>
      </c>
      <c r="H3640">
        <v>1999</v>
      </c>
      <c r="I3640">
        <v>27.100000381469702</v>
      </c>
      <c r="J3640">
        <v>15.1000003814697</v>
      </c>
      <c r="K3640">
        <v>65</v>
      </c>
      <c r="L3640">
        <v>20.959999084472699</v>
      </c>
      <c r="M3640">
        <v>37.900001525878899</v>
      </c>
      <c r="N3640">
        <v>14.699999809265099</v>
      </c>
      <c r="O3640">
        <v>23.200000762939499</v>
      </c>
      <c r="P3640">
        <v>28.100000381469702</v>
      </c>
      <c r="Q3640">
        <v>27.899999618530298</v>
      </c>
      <c r="R3640">
        <v>29.200000762939499</v>
      </c>
      <c r="S3640">
        <v>23.700000762939499</v>
      </c>
      <c r="T3640">
        <v>372</v>
      </c>
      <c r="U3640">
        <v>126</v>
      </c>
      <c r="V3640">
        <v>0</v>
      </c>
      <c r="W3640">
        <v>141</v>
      </c>
      <c r="X3640">
        <v>313</v>
      </c>
      <c r="Y3640">
        <v>1</v>
      </c>
      <c r="Z3640">
        <v>91</v>
      </c>
      <c r="AA3640">
        <v>4</v>
      </c>
      <c r="AB3640">
        <v>7.1207642008695897</v>
      </c>
      <c r="AC3640">
        <v>2.7183462611935001E-2</v>
      </c>
      <c r="AD3640">
        <v>1.5543655908583001</v>
      </c>
      <c r="AE3640">
        <v>0.67692053318023704</v>
      </c>
      <c r="AF3640">
        <v>14.8604651162791</v>
      </c>
      <c r="AG3640">
        <f>IFERROR(AH3640*0.1, "N/A")</f>
        <v>6.6895348837209303</v>
      </c>
      <c r="AH3640">
        <v>66.895348837209298</v>
      </c>
      <c r="AI3640">
        <v>180.01248371719899</v>
      </c>
      <c r="AJ3640">
        <v>9.5365448504983394</v>
      </c>
      <c r="AK3640">
        <v>77.772425249169402</v>
      </c>
    </row>
    <row r="3641" spans="1:37" x14ac:dyDescent="0.3">
      <c r="A3641">
        <v>3640</v>
      </c>
      <c r="B3641">
        <v>0</v>
      </c>
      <c r="C3641">
        <v>-15.5543</v>
      </c>
      <c r="D3641">
        <v>15.6821</v>
      </c>
      <c r="E3641">
        <f>-15.5543-15.6821</f>
        <v>-31.2364</v>
      </c>
      <c r="F3641" t="s">
        <v>5732</v>
      </c>
      <c r="G3641" t="s">
        <v>37</v>
      </c>
      <c r="H3641">
        <v>1996</v>
      </c>
      <c r="I3641">
        <v>27.100000381469702</v>
      </c>
      <c r="J3641">
        <v>15.1000003814697</v>
      </c>
      <c r="K3641">
        <v>65</v>
      </c>
      <c r="L3641">
        <v>20.959999084472699</v>
      </c>
      <c r="M3641">
        <v>37.900001525878899</v>
      </c>
      <c r="N3641">
        <v>14.699999809265099</v>
      </c>
      <c r="O3641">
        <v>23.200000762939499</v>
      </c>
      <c r="P3641">
        <v>28.100000381469702</v>
      </c>
      <c r="Q3641">
        <v>27.899999618530298</v>
      </c>
      <c r="R3641">
        <v>29.200000762939499</v>
      </c>
      <c r="S3641">
        <v>23.700000762939499</v>
      </c>
      <c r="T3641">
        <v>372</v>
      </c>
      <c r="U3641">
        <v>126</v>
      </c>
      <c r="V3641">
        <v>0</v>
      </c>
      <c r="W3641">
        <v>141</v>
      </c>
      <c r="X3641">
        <v>313</v>
      </c>
      <c r="Y3641">
        <v>1</v>
      </c>
      <c r="Z3641">
        <v>91</v>
      </c>
      <c r="AA3641">
        <v>4</v>
      </c>
      <c r="AB3641">
        <v>7.1207642008695897</v>
      </c>
      <c r="AC3641">
        <v>2.7183462611935001E-2</v>
      </c>
      <c r="AD3641">
        <v>1.5543655908583001</v>
      </c>
      <c r="AE3641">
        <v>0.67692053318023704</v>
      </c>
      <c r="AF3641">
        <v>14.8604651162791</v>
      </c>
      <c r="AG3641">
        <f>IFERROR(AH3641*0.1, "N/A")</f>
        <v>6.6895348837209303</v>
      </c>
      <c r="AH3641">
        <v>66.895348837209298</v>
      </c>
      <c r="AI3641">
        <v>180.01248371719899</v>
      </c>
      <c r="AJ3641">
        <v>9.5365448504983394</v>
      </c>
      <c r="AK3641">
        <v>77.772425249169402</v>
      </c>
    </row>
    <row r="3642" spans="1:37" x14ac:dyDescent="0.3">
      <c r="A3642">
        <v>3641</v>
      </c>
      <c r="B3642">
        <v>0</v>
      </c>
      <c r="C3642">
        <v>-16.279599999999999</v>
      </c>
      <c r="D3642">
        <v>15.712199999999999</v>
      </c>
      <c r="E3642">
        <f>-16.2796-15.7122</f>
        <v>-31.991799999999998</v>
      </c>
      <c r="F3642" t="s">
        <v>5733</v>
      </c>
      <c r="G3642" t="s">
        <v>39</v>
      </c>
      <c r="H3642">
        <v>1996</v>
      </c>
      <c r="I3642">
        <v>25.200000762939499</v>
      </c>
      <c r="J3642">
        <v>12.300000190734901</v>
      </c>
      <c r="K3642">
        <v>66</v>
      </c>
      <c r="L3642">
        <v>20.360000610351602</v>
      </c>
      <c r="M3642">
        <v>33.099998474121101</v>
      </c>
      <c r="N3642">
        <v>14.6000003814697</v>
      </c>
      <c r="O3642">
        <v>18.5</v>
      </c>
      <c r="P3642">
        <v>27.399999618530298</v>
      </c>
      <c r="Q3642">
        <v>23.899999618530298</v>
      </c>
      <c r="R3642">
        <v>27.5</v>
      </c>
      <c r="S3642">
        <v>22.600000381469702</v>
      </c>
      <c r="T3642">
        <v>346</v>
      </c>
      <c r="U3642">
        <v>130</v>
      </c>
      <c r="V3642">
        <v>0</v>
      </c>
      <c r="W3642">
        <v>156</v>
      </c>
      <c r="X3642">
        <v>305</v>
      </c>
      <c r="Y3642">
        <v>0</v>
      </c>
      <c r="Z3642">
        <v>273</v>
      </c>
      <c r="AA3642">
        <v>1</v>
      </c>
      <c r="AB3642">
        <v>1.12579067693574</v>
      </c>
      <c r="AC3642">
        <v>8.5633617536029997E-3</v>
      </c>
      <c r="AD3642">
        <v>1.50781156298722</v>
      </c>
      <c r="AE3642">
        <v>0.35491597771446198</v>
      </c>
      <c r="AF3642">
        <v>34.109816971713798</v>
      </c>
      <c r="AG3642">
        <f>IFERROR(AH3642*0.1, "N/A")</f>
        <v>7.3317803660565701</v>
      </c>
      <c r="AH3642">
        <v>73.317803660565701</v>
      </c>
      <c r="AI3642">
        <v>168.89943353586301</v>
      </c>
      <c r="AJ3642">
        <v>6</v>
      </c>
      <c r="AK3642">
        <v>86.492512479201295</v>
      </c>
    </row>
    <row r="3643" spans="1:37" x14ac:dyDescent="0.3">
      <c r="A3643">
        <v>3642</v>
      </c>
      <c r="B3643">
        <v>0</v>
      </c>
      <c r="C3643">
        <v>-16.279599999999999</v>
      </c>
      <c r="D3643">
        <v>15.712199999999999</v>
      </c>
      <c r="E3643">
        <f>-16.2796-15.7122</f>
        <v>-31.991799999999998</v>
      </c>
      <c r="F3643" t="s">
        <v>5734</v>
      </c>
      <c r="G3643" t="s">
        <v>37</v>
      </c>
      <c r="H3643">
        <v>1996</v>
      </c>
      <c r="I3643">
        <v>25.200000762939499</v>
      </c>
      <c r="J3643">
        <v>12.300000190734901</v>
      </c>
      <c r="K3643">
        <v>66</v>
      </c>
      <c r="L3643">
        <v>20.360000610351602</v>
      </c>
      <c r="M3643">
        <v>33.099998474121101</v>
      </c>
      <c r="N3643">
        <v>14.6000003814697</v>
      </c>
      <c r="O3643">
        <v>18.5</v>
      </c>
      <c r="P3643">
        <v>27.399999618530298</v>
      </c>
      <c r="Q3643">
        <v>23.899999618530298</v>
      </c>
      <c r="R3643">
        <v>27.5</v>
      </c>
      <c r="S3643">
        <v>22.600000381469702</v>
      </c>
      <c r="T3643">
        <v>346</v>
      </c>
      <c r="U3643">
        <v>130</v>
      </c>
      <c r="V3643">
        <v>0</v>
      </c>
      <c r="W3643">
        <v>156</v>
      </c>
      <c r="X3643">
        <v>305</v>
      </c>
      <c r="Y3643">
        <v>0</v>
      </c>
      <c r="Z3643">
        <v>273</v>
      </c>
      <c r="AA3643">
        <v>1</v>
      </c>
      <c r="AB3643">
        <v>1.12579067693574</v>
      </c>
      <c r="AC3643">
        <v>8.5633617536029997E-3</v>
      </c>
      <c r="AD3643">
        <v>1.50781156298722</v>
      </c>
      <c r="AE3643">
        <v>0.35491597771446198</v>
      </c>
      <c r="AF3643">
        <v>34.109816971713798</v>
      </c>
      <c r="AG3643">
        <f>IFERROR(AH3643*0.1, "N/A")</f>
        <v>7.3317803660565701</v>
      </c>
      <c r="AH3643">
        <v>73.317803660565701</v>
      </c>
      <c r="AI3643">
        <v>168.89943353586301</v>
      </c>
      <c r="AJ3643">
        <v>6</v>
      </c>
      <c r="AK3643">
        <v>86.492512479201295</v>
      </c>
    </row>
    <row r="3644" spans="1:37" x14ac:dyDescent="0.3">
      <c r="A3644">
        <v>3643</v>
      </c>
      <c r="B3644">
        <v>0</v>
      </c>
      <c r="C3644">
        <v>-16.283300000000001</v>
      </c>
      <c r="D3644">
        <v>15.716699999999999</v>
      </c>
      <c r="E3644">
        <f>-16.2833-15.7167</f>
        <v>-32</v>
      </c>
      <c r="F3644" t="s">
        <v>5735</v>
      </c>
      <c r="G3644" t="s">
        <v>37</v>
      </c>
      <c r="H3644">
        <v>2000</v>
      </c>
      <c r="I3644">
        <v>25.197342945491702</v>
      </c>
      <c r="J3644">
        <v>12.286711103496399</v>
      </c>
      <c r="K3644">
        <v>65.867109634551497</v>
      </c>
      <c r="L3644">
        <v>20.428438915366701</v>
      </c>
      <c r="M3644">
        <v>33.130563957746602</v>
      </c>
      <c r="N3644">
        <v>14.6000003814697</v>
      </c>
      <c r="O3644">
        <v>18.530564900648599</v>
      </c>
      <c r="P3644">
        <v>27.399999618530298</v>
      </c>
      <c r="Q3644">
        <v>23.886710531291801</v>
      </c>
      <c r="R3644">
        <v>27.530564900648599</v>
      </c>
      <c r="S3644">
        <v>22.597342564022</v>
      </c>
      <c r="T3644">
        <v>345.22923588039902</v>
      </c>
      <c r="U3644">
        <v>130</v>
      </c>
      <c r="V3644">
        <v>0</v>
      </c>
      <c r="W3644">
        <v>155.66777408637901</v>
      </c>
      <c r="X3644">
        <v>304.22923588039902</v>
      </c>
      <c r="Y3644">
        <v>0</v>
      </c>
      <c r="Z3644">
        <v>272.66777408637898</v>
      </c>
      <c r="AA3644">
        <v>1</v>
      </c>
      <c r="AB3644">
        <v>1.13405432019915</v>
      </c>
      <c r="AC3644">
        <v>8.4599360005691793</v>
      </c>
      <c r="AD3644">
        <v>0.47467999343460199</v>
      </c>
      <c r="AE3644">
        <v>0.34540143609046903</v>
      </c>
      <c r="AF3644">
        <v>31.154485049833902</v>
      </c>
      <c r="AG3644">
        <f>IFERROR(AH3644*0.1, "N/A")</f>
        <v>7.5398671096345495</v>
      </c>
      <c r="AH3644">
        <v>75.398671096345495</v>
      </c>
      <c r="AI3644">
        <v>104.886463545486</v>
      </c>
      <c r="AJ3644">
        <v>6.9501661129568104</v>
      </c>
      <c r="AK3644">
        <v>86.207641196013299</v>
      </c>
    </row>
    <row r="3645" spans="1:37" x14ac:dyDescent="0.3">
      <c r="A3645">
        <v>3644</v>
      </c>
      <c r="B3645">
        <v>0</v>
      </c>
      <c r="C3645">
        <v>-16.283300000000001</v>
      </c>
      <c r="D3645">
        <v>15.716699999999999</v>
      </c>
      <c r="E3645">
        <f>-16.2833-15.7167</f>
        <v>-32</v>
      </c>
      <c r="F3645" t="s">
        <v>5736</v>
      </c>
      <c r="G3645" t="s">
        <v>39</v>
      </c>
      <c r="H3645">
        <v>2000</v>
      </c>
      <c r="I3645">
        <v>25.197342945491702</v>
      </c>
      <c r="J3645">
        <v>12.286711103496399</v>
      </c>
      <c r="K3645">
        <v>65.867109634551497</v>
      </c>
      <c r="L3645">
        <v>20.428438915366701</v>
      </c>
      <c r="M3645">
        <v>33.130563957746602</v>
      </c>
      <c r="N3645">
        <v>14.6000003814697</v>
      </c>
      <c r="O3645">
        <v>18.530564900648599</v>
      </c>
      <c r="P3645">
        <v>27.399999618530298</v>
      </c>
      <c r="Q3645">
        <v>23.886710531291801</v>
      </c>
      <c r="R3645">
        <v>27.530564900648599</v>
      </c>
      <c r="S3645">
        <v>22.597342564022</v>
      </c>
      <c r="T3645">
        <v>345.22923588039902</v>
      </c>
      <c r="U3645">
        <v>130</v>
      </c>
      <c r="V3645">
        <v>0</v>
      </c>
      <c r="W3645">
        <v>155.66777408637901</v>
      </c>
      <c r="X3645">
        <v>304.22923588039902</v>
      </c>
      <c r="Y3645">
        <v>0</v>
      </c>
      <c r="Z3645">
        <v>272.66777408637898</v>
      </c>
      <c r="AA3645">
        <v>1</v>
      </c>
      <c r="AB3645">
        <v>1.13405432019915</v>
      </c>
      <c r="AC3645">
        <v>8.4599360005691793</v>
      </c>
      <c r="AD3645">
        <v>0.47467999343460199</v>
      </c>
      <c r="AE3645">
        <v>0.34540143609046903</v>
      </c>
      <c r="AF3645">
        <v>31.154485049833902</v>
      </c>
      <c r="AG3645">
        <f>IFERROR(AH3645*0.1, "N/A")</f>
        <v>7.5398671096345495</v>
      </c>
      <c r="AH3645">
        <v>75.398671096345495</v>
      </c>
      <c r="AI3645">
        <v>104.886463545486</v>
      </c>
      <c r="AJ3645">
        <v>6.9501661129568104</v>
      </c>
      <c r="AK3645">
        <v>86.207641196013299</v>
      </c>
    </row>
    <row r="3646" spans="1:37" x14ac:dyDescent="0.3">
      <c r="A3646">
        <v>3645</v>
      </c>
      <c r="B3646">
        <v>2.2000000000000002</v>
      </c>
      <c r="C3646">
        <v>-16.5</v>
      </c>
      <c r="D3646">
        <v>15.716699999999999</v>
      </c>
      <c r="E3646">
        <f>-16.5-15.7167</f>
        <v>-32.216700000000003</v>
      </c>
      <c r="F3646" t="s">
        <v>5737</v>
      </c>
      <c r="G3646" t="s">
        <v>39</v>
      </c>
      <c r="H3646">
        <v>1996</v>
      </c>
      <c r="I3646">
        <v>24.799999237060501</v>
      </c>
      <c r="J3646">
        <v>11.1000003814697</v>
      </c>
      <c r="K3646">
        <v>63</v>
      </c>
      <c r="L3646">
        <v>21.8580235611165</v>
      </c>
      <c r="M3646">
        <v>32.393190738766698</v>
      </c>
      <c r="N3646">
        <v>14.9931893427903</v>
      </c>
      <c r="O3646">
        <v>17.399999618530298</v>
      </c>
      <c r="P3646">
        <v>27.399999618530298</v>
      </c>
      <c r="Q3646">
        <v>23</v>
      </c>
      <c r="R3646">
        <v>27.493189342790298</v>
      </c>
      <c r="S3646">
        <v>22.3458465880334</v>
      </c>
      <c r="T3646">
        <v>332.45847176079701</v>
      </c>
      <c r="U3646">
        <v>126.458471760797</v>
      </c>
      <c r="V3646">
        <v>0</v>
      </c>
      <c r="W3646">
        <v>157</v>
      </c>
      <c r="X3646">
        <v>292.45847176079701</v>
      </c>
      <c r="Y3646">
        <v>0</v>
      </c>
      <c r="Z3646">
        <v>267.45847176079701</v>
      </c>
      <c r="AA3646">
        <v>2</v>
      </c>
      <c r="AB3646">
        <v>1.1916949376711401</v>
      </c>
      <c r="AC3646">
        <v>5.1035700909131201</v>
      </c>
      <c r="AD3646">
        <v>1.9732566748148599</v>
      </c>
      <c r="AE3646">
        <v>0.431698858737946</v>
      </c>
      <c r="AF3646">
        <v>22.1428571428571</v>
      </c>
      <c r="AG3646">
        <f>IFERROR(AH3646*0.1, "N/A")</f>
        <v>6.9001661129568106</v>
      </c>
      <c r="AH3646">
        <v>69.001661129568106</v>
      </c>
      <c r="AI3646">
        <v>210.31151157518599</v>
      </c>
      <c r="AJ3646">
        <v>14.6810631229236</v>
      </c>
      <c r="AK3646">
        <v>73.848837209302303</v>
      </c>
    </row>
    <row r="3647" spans="1:37" x14ac:dyDescent="0.3">
      <c r="A3647">
        <v>3646</v>
      </c>
      <c r="B3647">
        <v>0</v>
      </c>
      <c r="C3647">
        <v>-16.5</v>
      </c>
      <c r="D3647">
        <v>15.716699999999999</v>
      </c>
      <c r="E3647">
        <f>-16.5-15.7167</f>
        <v>-32.216700000000003</v>
      </c>
      <c r="F3647" t="s">
        <v>5738</v>
      </c>
      <c r="G3647" t="s">
        <v>37</v>
      </c>
      <c r="H3647">
        <v>1996</v>
      </c>
      <c r="I3647">
        <v>24.799999237060501</v>
      </c>
      <c r="J3647">
        <v>11.1000003814697</v>
      </c>
      <c r="K3647">
        <v>63</v>
      </c>
      <c r="L3647">
        <v>21.8580235611165</v>
      </c>
      <c r="M3647">
        <v>32.393190738766698</v>
      </c>
      <c r="N3647">
        <v>14.9931893427903</v>
      </c>
      <c r="O3647">
        <v>17.399999618530298</v>
      </c>
      <c r="P3647">
        <v>27.399999618530298</v>
      </c>
      <c r="Q3647">
        <v>23</v>
      </c>
      <c r="R3647">
        <v>27.493189342790298</v>
      </c>
      <c r="S3647">
        <v>22.3458465880334</v>
      </c>
      <c r="T3647">
        <v>332.45847176079701</v>
      </c>
      <c r="U3647">
        <v>126.458471760797</v>
      </c>
      <c r="V3647">
        <v>0</v>
      </c>
      <c r="W3647">
        <v>157</v>
      </c>
      <c r="X3647">
        <v>292.45847176079701</v>
      </c>
      <c r="Y3647">
        <v>0</v>
      </c>
      <c r="Z3647">
        <v>267.45847176079701</v>
      </c>
      <c r="AA3647">
        <v>2</v>
      </c>
      <c r="AB3647">
        <v>1.1916949376711401</v>
      </c>
      <c r="AC3647">
        <v>5.1035700909131201</v>
      </c>
      <c r="AD3647">
        <v>1.9732566748148599</v>
      </c>
      <c r="AE3647">
        <v>0.431698858737946</v>
      </c>
      <c r="AF3647">
        <v>22.1428571428571</v>
      </c>
      <c r="AG3647">
        <f>IFERROR(AH3647*0.1, "N/A")</f>
        <v>6.9001661129568106</v>
      </c>
      <c r="AH3647">
        <v>69.001661129568106</v>
      </c>
      <c r="AI3647">
        <v>210.31151157518599</v>
      </c>
      <c r="AJ3647">
        <v>14.6810631229236</v>
      </c>
      <c r="AK3647">
        <v>73.848837209302303</v>
      </c>
    </row>
    <row r="3648" spans="1:37" x14ac:dyDescent="0.3">
      <c r="A3648">
        <v>3647</v>
      </c>
      <c r="B3648">
        <v>20.799999</v>
      </c>
      <c r="C3648">
        <v>-13.416600000000001</v>
      </c>
      <c r="D3648">
        <v>15.7667</v>
      </c>
      <c r="E3648">
        <f>-13.4166-15.7667</f>
        <v>-29.183300000000003</v>
      </c>
      <c r="F3648" t="s">
        <v>5739</v>
      </c>
      <c r="G3648" t="s">
        <v>39</v>
      </c>
      <c r="H3648">
        <v>1996</v>
      </c>
      <c r="I3648">
        <v>29.5292359919247</v>
      </c>
      <c r="J3648">
        <v>15.1000003814697</v>
      </c>
      <c r="K3648">
        <v>56</v>
      </c>
      <c r="L3648">
        <v>29.760032821731301</v>
      </c>
      <c r="M3648">
        <v>42.129235023676003</v>
      </c>
      <c r="N3648">
        <v>15.570764389544999</v>
      </c>
      <c r="O3648">
        <v>26.558471983849401</v>
      </c>
      <c r="P3648">
        <v>30.100000381469702</v>
      </c>
      <c r="Q3648">
        <v>26.600000381469702</v>
      </c>
      <c r="R3648">
        <v>33.229236197234002</v>
      </c>
      <c r="S3648">
        <v>25.299999237060501</v>
      </c>
      <c r="T3648">
        <v>351.38870431893702</v>
      </c>
      <c r="U3648">
        <v>128.194352159468</v>
      </c>
      <c r="V3648">
        <v>0</v>
      </c>
      <c r="W3648">
        <v>145.194352159468</v>
      </c>
      <c r="X3648">
        <v>304.38870431893702</v>
      </c>
      <c r="Y3648">
        <v>1</v>
      </c>
      <c r="Z3648">
        <v>23</v>
      </c>
      <c r="AA3648">
        <v>2</v>
      </c>
      <c r="AB3648">
        <v>10.6631244583383</v>
      </c>
      <c r="AC3648">
        <v>1.6410015497134001E-2</v>
      </c>
      <c r="AD3648">
        <v>2.0306345625375202</v>
      </c>
      <c r="AE3648">
        <v>0.28193366527557401</v>
      </c>
      <c r="AF3648">
        <v>33.106312292358801</v>
      </c>
      <c r="AG3648">
        <f>IFERROR(AH3648*0.1, "N/A")</f>
        <v>6.4707641196013306</v>
      </c>
      <c r="AH3648">
        <v>64.707641196013299</v>
      </c>
      <c r="AI3648">
        <v>84.009040287562797</v>
      </c>
      <c r="AJ3648">
        <v>8</v>
      </c>
      <c r="AK3648">
        <v>81.707641196013299</v>
      </c>
    </row>
    <row r="3649" spans="1:37" x14ac:dyDescent="0.3">
      <c r="A3649">
        <v>3648</v>
      </c>
      <c r="B3649">
        <v>0</v>
      </c>
      <c r="C3649">
        <v>-13.416600000000001</v>
      </c>
      <c r="D3649">
        <v>15.7667</v>
      </c>
      <c r="E3649">
        <f>-13.4166-15.7667</f>
        <v>-29.183300000000003</v>
      </c>
      <c r="F3649" t="s">
        <v>5740</v>
      </c>
      <c r="G3649" t="s">
        <v>37</v>
      </c>
      <c r="H3649">
        <v>1996</v>
      </c>
      <c r="I3649">
        <v>29.5292359919247</v>
      </c>
      <c r="J3649">
        <v>15.1000003814697</v>
      </c>
      <c r="K3649">
        <v>56</v>
      </c>
      <c r="L3649">
        <v>29.760032821731301</v>
      </c>
      <c r="M3649">
        <v>42.129235023676003</v>
      </c>
      <c r="N3649">
        <v>15.570764389544999</v>
      </c>
      <c r="O3649">
        <v>26.558471983849401</v>
      </c>
      <c r="P3649">
        <v>30.100000381469702</v>
      </c>
      <c r="Q3649">
        <v>26.600000381469702</v>
      </c>
      <c r="R3649">
        <v>33.229236197234002</v>
      </c>
      <c r="S3649">
        <v>25.299999237060501</v>
      </c>
      <c r="T3649">
        <v>351.38870431893702</v>
      </c>
      <c r="U3649">
        <v>128.194352159468</v>
      </c>
      <c r="V3649">
        <v>0</v>
      </c>
      <c r="W3649">
        <v>145.194352159468</v>
      </c>
      <c r="X3649">
        <v>304.38870431893702</v>
      </c>
      <c r="Y3649">
        <v>1</v>
      </c>
      <c r="Z3649">
        <v>23</v>
      </c>
      <c r="AA3649">
        <v>2</v>
      </c>
      <c r="AB3649">
        <v>10.6631244583383</v>
      </c>
      <c r="AC3649">
        <v>1.6410015497134001E-2</v>
      </c>
      <c r="AD3649">
        <v>2.0306345625375202</v>
      </c>
      <c r="AE3649">
        <v>0.28193366527557401</v>
      </c>
      <c r="AF3649">
        <v>33.106312292358801</v>
      </c>
      <c r="AG3649">
        <f>IFERROR(AH3649*0.1, "N/A")</f>
        <v>6.4707641196013306</v>
      </c>
      <c r="AH3649">
        <v>64.707641196013299</v>
      </c>
      <c r="AI3649">
        <v>84.009040287562797</v>
      </c>
      <c r="AJ3649">
        <v>8</v>
      </c>
      <c r="AK3649">
        <v>81.707641196013299</v>
      </c>
    </row>
    <row r="3650" spans="1:37" x14ac:dyDescent="0.3">
      <c r="A3650">
        <v>3649</v>
      </c>
      <c r="B3650">
        <v>0</v>
      </c>
      <c r="C3650">
        <v>-15.9405</v>
      </c>
      <c r="D3650">
        <v>15.793799999999999</v>
      </c>
      <c r="E3650">
        <f>-15.9405-15.7938</f>
        <v>-31.734299999999998</v>
      </c>
      <c r="F3650" t="s">
        <v>5741</v>
      </c>
      <c r="G3650" t="s">
        <v>39</v>
      </c>
      <c r="H3650">
        <v>1996</v>
      </c>
      <c r="I3650">
        <v>26.200000762939499</v>
      </c>
      <c r="J3650">
        <v>13.8999996185303</v>
      </c>
      <c r="K3650">
        <v>68</v>
      </c>
      <c r="L3650">
        <v>20.090000152587901</v>
      </c>
      <c r="M3650">
        <v>34.700000762939503</v>
      </c>
      <c r="N3650">
        <v>14.5</v>
      </c>
      <c r="O3650">
        <v>20.200000762939499</v>
      </c>
      <c r="P3650">
        <v>27.899999618530298</v>
      </c>
      <c r="Q3650">
        <v>24.700000762939499</v>
      </c>
      <c r="R3650">
        <v>28.100000381469702</v>
      </c>
      <c r="S3650">
        <v>23.100000381469702</v>
      </c>
      <c r="T3650">
        <v>333</v>
      </c>
      <c r="U3650">
        <v>118</v>
      </c>
      <c r="V3650">
        <v>0</v>
      </c>
      <c r="W3650">
        <v>150</v>
      </c>
      <c r="X3650">
        <v>287</v>
      </c>
      <c r="Y3650">
        <v>1</v>
      </c>
      <c r="Z3650">
        <v>191</v>
      </c>
      <c r="AA3650">
        <v>3</v>
      </c>
      <c r="AB3650">
        <v>6.6103332773844397</v>
      </c>
      <c r="AC3650">
        <v>1.3773685628547999E-2</v>
      </c>
      <c r="AD3650">
        <v>1.46357578237851</v>
      </c>
      <c r="AE3650">
        <v>0.47593191266059898</v>
      </c>
      <c r="AF3650">
        <v>26.34</v>
      </c>
      <c r="AG3650">
        <f>IFERROR(AH3650*0.1, "N/A")</f>
        <v>6.7093333333333307</v>
      </c>
      <c r="AH3650">
        <v>67.093333333333305</v>
      </c>
      <c r="AI3650">
        <v>219.69734499613401</v>
      </c>
      <c r="AJ3650">
        <v>6.0916666666666703</v>
      </c>
      <c r="AK3650">
        <v>87.001666666666694</v>
      </c>
    </row>
    <row r="3651" spans="1:37" x14ac:dyDescent="0.3">
      <c r="A3651">
        <v>3650</v>
      </c>
      <c r="B3651">
        <v>0</v>
      </c>
      <c r="C3651">
        <v>-15.9405</v>
      </c>
      <c r="D3651">
        <v>15.793799999999999</v>
      </c>
      <c r="E3651">
        <f>-15.9405-15.7938</f>
        <v>-31.734299999999998</v>
      </c>
      <c r="F3651" t="s">
        <v>5742</v>
      </c>
      <c r="G3651" t="s">
        <v>37</v>
      </c>
      <c r="H3651">
        <v>1996</v>
      </c>
      <c r="I3651">
        <v>26.200000762939499</v>
      </c>
      <c r="J3651">
        <v>13.8999996185303</v>
      </c>
      <c r="K3651">
        <v>68</v>
      </c>
      <c r="L3651">
        <v>20.090000152587901</v>
      </c>
      <c r="M3651">
        <v>34.700000762939503</v>
      </c>
      <c r="N3651">
        <v>14.5</v>
      </c>
      <c r="O3651">
        <v>20.200000762939499</v>
      </c>
      <c r="P3651">
        <v>27.899999618530298</v>
      </c>
      <c r="Q3651">
        <v>24.700000762939499</v>
      </c>
      <c r="R3651">
        <v>28.100000381469702</v>
      </c>
      <c r="S3651">
        <v>23.100000381469702</v>
      </c>
      <c r="T3651">
        <v>333</v>
      </c>
      <c r="U3651">
        <v>118</v>
      </c>
      <c r="V3651">
        <v>0</v>
      </c>
      <c r="W3651">
        <v>150</v>
      </c>
      <c r="X3651">
        <v>287</v>
      </c>
      <c r="Y3651">
        <v>1</v>
      </c>
      <c r="Z3651">
        <v>191</v>
      </c>
      <c r="AA3651">
        <v>3</v>
      </c>
      <c r="AB3651">
        <v>6.6103332773844397</v>
      </c>
      <c r="AC3651">
        <v>1.3773685628547999E-2</v>
      </c>
      <c r="AD3651">
        <v>1.46357578237851</v>
      </c>
      <c r="AE3651">
        <v>0.47593191266059898</v>
      </c>
      <c r="AF3651">
        <v>26.34</v>
      </c>
      <c r="AG3651">
        <f>IFERROR(AH3651*0.1, "N/A")</f>
        <v>6.7093333333333307</v>
      </c>
      <c r="AH3651">
        <v>67.093333333333305</v>
      </c>
      <c r="AI3651">
        <v>219.69734499613401</v>
      </c>
      <c r="AJ3651">
        <v>6.0916666666666703</v>
      </c>
      <c r="AK3651">
        <v>87.001666666666694</v>
      </c>
    </row>
    <row r="3652" spans="1:37" x14ac:dyDescent="0.3">
      <c r="A3652">
        <v>3651</v>
      </c>
      <c r="B3652">
        <v>15.3</v>
      </c>
      <c r="C3652">
        <v>-13.45</v>
      </c>
      <c r="D3652">
        <v>15.833299999999999</v>
      </c>
      <c r="E3652">
        <f>-13.45-15.8333</f>
        <v>-29.283299999999997</v>
      </c>
      <c r="F3652" t="s">
        <v>5743</v>
      </c>
      <c r="G3652" t="s">
        <v>39</v>
      </c>
      <c r="H3652">
        <v>1983</v>
      </c>
      <c r="I3652">
        <v>29.600000381469702</v>
      </c>
      <c r="J3652">
        <v>15</v>
      </c>
      <c r="K3652">
        <v>56</v>
      </c>
      <c r="L3652">
        <v>29.8789018227931</v>
      </c>
      <c r="M3652">
        <v>42.185025378590602</v>
      </c>
      <c r="N3652">
        <v>15.719966607561901</v>
      </c>
      <c r="O3652">
        <v>26.465058102980599</v>
      </c>
      <c r="P3652">
        <v>30.200000762939499</v>
      </c>
      <c r="Q3652">
        <v>26.600000381469702</v>
      </c>
      <c r="R3652">
        <v>33.299999237060497</v>
      </c>
      <c r="S3652">
        <v>25.399999618530298</v>
      </c>
      <c r="T3652">
        <v>337.800332778702</v>
      </c>
      <c r="U3652">
        <v>124</v>
      </c>
      <c r="V3652">
        <v>0</v>
      </c>
      <c r="W3652">
        <v>144</v>
      </c>
      <c r="X3652">
        <v>292.800332778702</v>
      </c>
      <c r="Y3652">
        <v>1</v>
      </c>
      <c r="Z3652">
        <v>22</v>
      </c>
      <c r="AA3652">
        <v>2</v>
      </c>
      <c r="AB3652">
        <v>1.7039944748711899</v>
      </c>
      <c r="AC3652">
        <v>7.9121054190453996E-2</v>
      </c>
      <c r="AD3652">
        <v>1.6699112381990699</v>
      </c>
      <c r="AE3652">
        <v>0.38245473467371399</v>
      </c>
      <c r="AF3652">
        <v>18.381031613976699</v>
      </c>
      <c r="AG3652">
        <f>IFERROR(AH3652*0.1, "N/A")</f>
        <v>6.842595673876871</v>
      </c>
      <c r="AH3652">
        <v>68.425956738768704</v>
      </c>
      <c r="AI3652">
        <v>183.85056435684999</v>
      </c>
      <c r="AJ3652">
        <v>19</v>
      </c>
      <c r="AK3652">
        <v>64.321131447587405</v>
      </c>
    </row>
    <row r="3653" spans="1:37" x14ac:dyDescent="0.3">
      <c r="A3653">
        <v>3652</v>
      </c>
      <c r="B3653">
        <v>0</v>
      </c>
      <c r="C3653">
        <v>-13.45</v>
      </c>
      <c r="D3653">
        <v>15.833299999999999</v>
      </c>
      <c r="E3653">
        <f>-13.45-15.8333</f>
        <v>-29.283299999999997</v>
      </c>
      <c r="F3653" t="s">
        <v>5744</v>
      </c>
      <c r="G3653" t="s">
        <v>37</v>
      </c>
      <c r="H3653">
        <v>1983</v>
      </c>
      <c r="I3653">
        <v>29.600000381469702</v>
      </c>
      <c r="J3653">
        <v>15</v>
      </c>
      <c r="K3653">
        <v>56</v>
      </c>
      <c r="L3653">
        <v>29.8789018227931</v>
      </c>
      <c r="M3653">
        <v>42.185025378590602</v>
      </c>
      <c r="N3653">
        <v>15.719966607561901</v>
      </c>
      <c r="O3653">
        <v>26.465058102980599</v>
      </c>
      <c r="P3653">
        <v>30.200000762939499</v>
      </c>
      <c r="Q3653">
        <v>26.600000381469702</v>
      </c>
      <c r="R3653">
        <v>33.299999237060497</v>
      </c>
      <c r="S3653">
        <v>25.399999618530298</v>
      </c>
      <c r="T3653">
        <v>337.800332778702</v>
      </c>
      <c r="U3653">
        <v>124</v>
      </c>
      <c r="V3653">
        <v>0</v>
      </c>
      <c r="W3653">
        <v>144</v>
      </c>
      <c r="X3653">
        <v>292.800332778702</v>
      </c>
      <c r="Y3653">
        <v>1</v>
      </c>
      <c r="Z3653">
        <v>22</v>
      </c>
      <c r="AA3653">
        <v>2</v>
      </c>
      <c r="AB3653">
        <v>1.7039944748711899</v>
      </c>
      <c r="AC3653">
        <v>7.9121054190453996E-2</v>
      </c>
      <c r="AD3653">
        <v>1.6699112381990699</v>
      </c>
      <c r="AE3653">
        <v>0.38245473467371399</v>
      </c>
      <c r="AF3653">
        <v>18.381031613976699</v>
      </c>
      <c r="AG3653">
        <f>IFERROR(AH3653*0.1, "N/A")</f>
        <v>6.842595673876871</v>
      </c>
      <c r="AH3653">
        <v>68.425956738768704</v>
      </c>
      <c r="AI3653">
        <v>183.85056435684999</v>
      </c>
      <c r="AJ3653">
        <v>19</v>
      </c>
      <c r="AK3653">
        <v>64.321131447587405</v>
      </c>
    </row>
    <row r="3654" spans="1:37" x14ac:dyDescent="0.3">
      <c r="A3654">
        <v>3653</v>
      </c>
      <c r="B3654">
        <v>66</v>
      </c>
      <c r="C3654">
        <v>-15.92</v>
      </c>
      <c r="D3654">
        <v>15.84</v>
      </c>
      <c r="E3654">
        <f>-15.92-15.84</f>
        <v>-31.759999999999998</v>
      </c>
      <c r="F3654" t="s">
        <v>5745</v>
      </c>
      <c r="G3654" t="s">
        <v>37</v>
      </c>
      <c r="H3654">
        <v>2003</v>
      </c>
      <c r="I3654">
        <v>26.299999237060501</v>
      </c>
      <c r="J3654">
        <v>13.8999996185303</v>
      </c>
      <c r="K3654">
        <v>68</v>
      </c>
      <c r="L3654">
        <v>19.7700004577637</v>
      </c>
      <c r="M3654">
        <v>34.799999237060497</v>
      </c>
      <c r="N3654">
        <v>14.6000003814697</v>
      </c>
      <c r="O3654">
        <v>20.200000762939499</v>
      </c>
      <c r="P3654">
        <v>28</v>
      </c>
      <c r="Q3654">
        <v>24.799999237060501</v>
      </c>
      <c r="R3654">
        <v>28.100000381469702</v>
      </c>
      <c r="S3654">
        <v>23.299999237060501</v>
      </c>
      <c r="T3654">
        <v>323</v>
      </c>
      <c r="U3654">
        <v>115</v>
      </c>
      <c r="V3654">
        <v>0</v>
      </c>
      <c r="W3654">
        <v>151</v>
      </c>
      <c r="X3654">
        <v>279</v>
      </c>
      <c r="Y3654">
        <v>1</v>
      </c>
      <c r="Z3654">
        <v>185</v>
      </c>
      <c r="AA3654">
        <v>3</v>
      </c>
      <c r="AB3654">
        <v>1.0583755404597299</v>
      </c>
      <c r="AC3654">
        <v>1.0385726238748E-2</v>
      </c>
      <c r="AD3654">
        <v>1.8811657175693499</v>
      </c>
      <c r="AE3654">
        <v>0.27251717448234603</v>
      </c>
      <c r="AF3654">
        <v>18.472636815920399</v>
      </c>
      <c r="AG3654">
        <f>IFERROR(AH3654*0.1, "N/A")</f>
        <v>7.2</v>
      </c>
      <c r="AH3654">
        <v>72</v>
      </c>
      <c r="AI3654">
        <v>240.589978472708</v>
      </c>
      <c r="AJ3654">
        <v>5</v>
      </c>
      <c r="AK3654">
        <v>89</v>
      </c>
    </row>
    <row r="3655" spans="1:37" x14ac:dyDescent="0.3">
      <c r="A3655">
        <v>3654</v>
      </c>
      <c r="B3655">
        <v>0</v>
      </c>
      <c r="C3655">
        <v>-15.0601</v>
      </c>
      <c r="D3655">
        <v>15.856400000000001</v>
      </c>
      <c r="E3655">
        <f>-15.0601-15.8564</f>
        <v>-30.916499999999999</v>
      </c>
      <c r="F3655" t="s">
        <v>5746</v>
      </c>
      <c r="G3655" t="s">
        <v>39</v>
      </c>
      <c r="H3655">
        <v>1982</v>
      </c>
      <c r="I3655">
        <v>27.700000762939499</v>
      </c>
      <c r="J3655">
        <v>15.699999809265099</v>
      </c>
      <c r="K3655">
        <v>62</v>
      </c>
      <c r="L3655">
        <v>24.709999084472699</v>
      </c>
      <c r="M3655">
        <v>39.700000762939503</v>
      </c>
      <c r="N3655">
        <v>14.3999996185303</v>
      </c>
      <c r="O3655">
        <v>25.299999237060501</v>
      </c>
      <c r="P3655">
        <v>28.799999237060501</v>
      </c>
      <c r="Q3655">
        <v>28.899999618530298</v>
      </c>
      <c r="R3655">
        <v>30.299999237060501</v>
      </c>
      <c r="S3655">
        <v>23.899999618530298</v>
      </c>
      <c r="T3655">
        <v>357</v>
      </c>
      <c r="U3655">
        <v>117</v>
      </c>
      <c r="V3655">
        <v>0</v>
      </c>
      <c r="W3655">
        <v>141</v>
      </c>
      <c r="X3655">
        <v>298</v>
      </c>
      <c r="Y3655">
        <v>1</v>
      </c>
      <c r="Z3655">
        <v>94</v>
      </c>
      <c r="AA3655">
        <v>4</v>
      </c>
      <c r="AB3655">
        <v>2.3617960210654401</v>
      </c>
      <c r="AC3655">
        <v>1.5391385666964E-2</v>
      </c>
      <c r="AD3655">
        <v>0.70983817123891502</v>
      </c>
      <c r="AE3655">
        <v>0.243924941508675</v>
      </c>
      <c r="AF3655">
        <v>52.445182724252497</v>
      </c>
      <c r="AG3655">
        <f>IFERROR(AH3655*0.1, "N/A")</f>
        <v>6.4282392026578101</v>
      </c>
      <c r="AH3655">
        <v>64.282392026578094</v>
      </c>
      <c r="AI3655">
        <v>120.355665998997</v>
      </c>
      <c r="AJ3655">
        <v>13</v>
      </c>
      <c r="AK3655">
        <v>78.358803986710996</v>
      </c>
    </row>
    <row r="3656" spans="1:37" x14ac:dyDescent="0.3">
      <c r="A3656">
        <v>3655</v>
      </c>
      <c r="B3656">
        <v>0.8</v>
      </c>
      <c r="C3656">
        <v>-16.274999999999999</v>
      </c>
      <c r="D3656">
        <v>15.867800000000001</v>
      </c>
      <c r="E3656">
        <f>-16.275-15.8678</f>
        <v>-32.142800000000001</v>
      </c>
      <c r="F3656" t="s">
        <v>5747</v>
      </c>
      <c r="G3656" t="s">
        <v>39</v>
      </c>
      <c r="H3656">
        <v>1996</v>
      </c>
      <c r="I3656">
        <v>25.299999237060501</v>
      </c>
      <c r="J3656">
        <v>12</v>
      </c>
      <c r="K3656">
        <v>64</v>
      </c>
      <c r="L3656">
        <v>21.1346082195466</v>
      </c>
      <c r="M3656">
        <v>33.299999237060497</v>
      </c>
      <c r="N3656">
        <v>14.732778636469</v>
      </c>
      <c r="O3656">
        <v>18.567221554265799</v>
      </c>
      <c r="P3656">
        <v>27.700000762939499</v>
      </c>
      <c r="Q3656">
        <v>23.899999618530298</v>
      </c>
      <c r="R3656">
        <v>27.799999237060501</v>
      </c>
      <c r="S3656">
        <v>22.6327792086736</v>
      </c>
      <c r="T3656">
        <v>320</v>
      </c>
      <c r="U3656">
        <v>120</v>
      </c>
      <c r="V3656">
        <v>0</v>
      </c>
      <c r="W3656">
        <v>155</v>
      </c>
      <c r="X3656">
        <v>281</v>
      </c>
      <c r="Y3656">
        <v>0</v>
      </c>
      <c r="Z3656">
        <v>254</v>
      </c>
      <c r="AA3656">
        <v>2</v>
      </c>
      <c r="AB3656">
        <v>1.965225122931</v>
      </c>
      <c r="AC3656">
        <v>1.0706385689013999E-2</v>
      </c>
      <c r="AD3656">
        <v>1.8875452805676201</v>
      </c>
      <c r="AE3656">
        <v>0.33693873882293701</v>
      </c>
      <c r="AF3656">
        <v>15.226289517470899</v>
      </c>
      <c r="AG3656">
        <f>IFERROR(AH3656*0.1, "N/A")</f>
        <v>6.9845257903494202</v>
      </c>
      <c r="AH3656">
        <v>69.8452579034942</v>
      </c>
      <c r="AI3656">
        <v>152.12157050464401</v>
      </c>
      <c r="AJ3656">
        <v>7.3594009983361097</v>
      </c>
      <c r="AK3656">
        <v>85.450915141430997</v>
      </c>
    </row>
    <row r="3657" spans="1:37" x14ac:dyDescent="0.3">
      <c r="A3657">
        <v>3656</v>
      </c>
      <c r="B3657">
        <v>0</v>
      </c>
      <c r="C3657">
        <v>-16.274999999999999</v>
      </c>
      <c r="D3657">
        <v>15.867800000000001</v>
      </c>
      <c r="E3657">
        <f>-16.275-15.8678</f>
        <v>-32.142800000000001</v>
      </c>
      <c r="F3657" t="s">
        <v>5748</v>
      </c>
      <c r="G3657" t="s">
        <v>37</v>
      </c>
      <c r="H3657">
        <v>1996</v>
      </c>
      <c r="I3657">
        <v>25.299999237060501</v>
      </c>
      <c r="J3657">
        <v>12</v>
      </c>
      <c r="K3657">
        <v>64</v>
      </c>
      <c r="L3657">
        <v>21.1346082195466</v>
      </c>
      <c r="M3657">
        <v>33.299999237060497</v>
      </c>
      <c r="N3657">
        <v>14.732778636469</v>
      </c>
      <c r="O3657">
        <v>18.567221554265799</v>
      </c>
      <c r="P3657">
        <v>27.700000762939499</v>
      </c>
      <c r="Q3657">
        <v>23.899999618530298</v>
      </c>
      <c r="R3657">
        <v>27.799999237060501</v>
      </c>
      <c r="S3657">
        <v>22.6327792086736</v>
      </c>
      <c r="T3657">
        <v>320</v>
      </c>
      <c r="U3657">
        <v>120</v>
      </c>
      <c r="V3657">
        <v>0</v>
      </c>
      <c r="W3657">
        <v>155</v>
      </c>
      <c r="X3657">
        <v>281</v>
      </c>
      <c r="Y3657">
        <v>0</v>
      </c>
      <c r="Z3657">
        <v>254</v>
      </c>
      <c r="AA3657">
        <v>2</v>
      </c>
      <c r="AB3657">
        <v>1.965225122931</v>
      </c>
      <c r="AC3657">
        <v>1.0706385689013999E-2</v>
      </c>
      <c r="AD3657">
        <v>1.8875452805676201</v>
      </c>
      <c r="AE3657">
        <v>0.33693873882293701</v>
      </c>
      <c r="AF3657">
        <v>15.226289517470899</v>
      </c>
      <c r="AG3657">
        <f>IFERROR(AH3657*0.1, "N/A")</f>
        <v>6.9845257903494202</v>
      </c>
      <c r="AH3657">
        <v>69.8452579034942</v>
      </c>
      <c r="AI3657">
        <v>152.12157050464401</v>
      </c>
      <c r="AJ3657">
        <v>7.3594009983361097</v>
      </c>
      <c r="AK3657">
        <v>85.450915141430997</v>
      </c>
    </row>
    <row r="3658" spans="1:37" x14ac:dyDescent="0.3">
      <c r="A3658">
        <v>3657</v>
      </c>
      <c r="B3658">
        <v>9.4</v>
      </c>
      <c r="C3658">
        <v>-13.5</v>
      </c>
      <c r="D3658">
        <v>15.8833</v>
      </c>
      <c r="E3658">
        <f>-13.5-15.8833</f>
        <v>-29.383299999999998</v>
      </c>
      <c r="F3658" t="s">
        <v>5749</v>
      </c>
      <c r="G3658" t="s">
        <v>39</v>
      </c>
      <c r="H3658">
        <v>2004</v>
      </c>
      <c r="I3658">
        <v>29.566666920979799</v>
      </c>
      <c r="J3658">
        <v>14.8999996185303</v>
      </c>
      <c r="K3658">
        <v>56</v>
      </c>
      <c r="L3658">
        <v>29.890917024612399</v>
      </c>
      <c r="M3658">
        <v>42</v>
      </c>
      <c r="N3658">
        <v>15.800000190734901</v>
      </c>
      <c r="O3658">
        <v>26.200000762939499</v>
      </c>
      <c r="P3658">
        <v>30.200000762939499</v>
      </c>
      <c r="Q3658">
        <v>26.527666772206601</v>
      </c>
      <c r="R3658">
        <v>33.1666666666667</v>
      </c>
      <c r="S3658">
        <v>25.266666412353501</v>
      </c>
      <c r="T3658">
        <v>327</v>
      </c>
      <c r="U3658">
        <v>121</v>
      </c>
      <c r="V3658">
        <v>0</v>
      </c>
      <c r="W3658">
        <v>146</v>
      </c>
      <c r="X3658">
        <v>285</v>
      </c>
      <c r="Y3658">
        <v>1</v>
      </c>
      <c r="Z3658">
        <v>21</v>
      </c>
      <c r="AA3658">
        <v>2</v>
      </c>
      <c r="AB3658">
        <v>8.4621670436859109</v>
      </c>
      <c r="AC3658">
        <v>2.5506001675191001E-2</v>
      </c>
      <c r="AD3658">
        <v>1.50415997177362</v>
      </c>
      <c r="AE3658">
        <v>0.364889840284983</v>
      </c>
      <c r="AF3658">
        <v>24.2216666666667</v>
      </c>
      <c r="AG3658">
        <f>IFERROR(AH3658*0.1, "N/A")</f>
        <v>6.9633333333333303</v>
      </c>
      <c r="AH3658">
        <v>69.633333333333297</v>
      </c>
      <c r="AI3658">
        <v>181.15144448280299</v>
      </c>
      <c r="AJ3658">
        <v>19.225000000000001</v>
      </c>
      <c r="AK3658">
        <v>65.55</v>
      </c>
    </row>
    <row r="3659" spans="1:37" x14ac:dyDescent="0.3">
      <c r="A3659">
        <v>3658</v>
      </c>
      <c r="B3659">
        <v>0</v>
      </c>
      <c r="C3659">
        <v>-13.333299999999999</v>
      </c>
      <c r="D3659">
        <v>15.9</v>
      </c>
      <c r="E3659">
        <f>-13.3333-15.9</f>
        <v>-29.2333</v>
      </c>
      <c r="F3659" t="s">
        <v>5750</v>
      </c>
      <c r="G3659" t="s">
        <v>39</v>
      </c>
      <c r="H3659">
        <v>1992</v>
      </c>
      <c r="I3659">
        <v>29.700000762939499</v>
      </c>
      <c r="J3659">
        <v>14.8999996185303</v>
      </c>
      <c r="K3659">
        <v>56</v>
      </c>
      <c r="L3659">
        <v>30.4867005729675</v>
      </c>
      <c r="M3659">
        <v>42.200000762939503</v>
      </c>
      <c r="N3659">
        <v>15.8048334964116</v>
      </c>
      <c r="O3659">
        <v>26.395166266759201</v>
      </c>
      <c r="P3659">
        <v>30.350999431610099</v>
      </c>
      <c r="Q3659">
        <v>26.700000762939499</v>
      </c>
      <c r="R3659">
        <v>33.5</v>
      </c>
      <c r="S3659">
        <v>25.399999618530298</v>
      </c>
      <c r="T3659">
        <v>324.321666666667</v>
      </c>
      <c r="U3659">
        <v>120</v>
      </c>
      <c r="V3659">
        <v>0</v>
      </c>
      <c r="W3659">
        <v>145.88999999999999</v>
      </c>
      <c r="X3659">
        <v>282.636666666667</v>
      </c>
      <c r="Y3659">
        <v>1</v>
      </c>
      <c r="Z3659">
        <v>21</v>
      </c>
      <c r="AA3659">
        <v>2</v>
      </c>
      <c r="AB3659">
        <v>8.5183331902821795</v>
      </c>
      <c r="AC3659">
        <v>8.2270197446150002E-3</v>
      </c>
      <c r="AD3659">
        <v>1.0667767444253</v>
      </c>
      <c r="AE3659">
        <v>0.32068150192499201</v>
      </c>
      <c r="AF3659">
        <v>16.473333333333301</v>
      </c>
      <c r="AG3659">
        <f>IFERROR(AH3659*0.1, "N/A")</f>
        <v>6.5940000000000003</v>
      </c>
      <c r="AH3659">
        <v>65.94</v>
      </c>
      <c r="AI3659">
        <v>112.270177942912</v>
      </c>
      <c r="AJ3659">
        <v>23.885000000000002</v>
      </c>
      <c r="AK3659">
        <v>55.354999999999997</v>
      </c>
    </row>
    <row r="3660" spans="1:37" x14ac:dyDescent="0.3">
      <c r="A3660">
        <v>3659</v>
      </c>
      <c r="B3660">
        <v>0</v>
      </c>
      <c r="C3660">
        <v>-13.333299999999999</v>
      </c>
      <c r="D3660">
        <v>15.9</v>
      </c>
      <c r="E3660">
        <f>-13.3333-15.9</f>
        <v>-29.2333</v>
      </c>
      <c r="F3660" t="s">
        <v>5751</v>
      </c>
      <c r="G3660" t="s">
        <v>37</v>
      </c>
      <c r="H3660">
        <v>1992</v>
      </c>
      <c r="I3660">
        <v>29.700000762939499</v>
      </c>
      <c r="J3660">
        <v>14.8999996185303</v>
      </c>
      <c r="K3660">
        <v>56</v>
      </c>
      <c r="L3660">
        <v>30.4867005729675</v>
      </c>
      <c r="M3660">
        <v>42.200000762939503</v>
      </c>
      <c r="N3660">
        <v>15.8048334964116</v>
      </c>
      <c r="O3660">
        <v>26.395166266759201</v>
      </c>
      <c r="P3660">
        <v>30.350999431610099</v>
      </c>
      <c r="Q3660">
        <v>26.700000762939499</v>
      </c>
      <c r="R3660">
        <v>33.5</v>
      </c>
      <c r="S3660">
        <v>25.399999618530298</v>
      </c>
      <c r="T3660">
        <v>324.321666666667</v>
      </c>
      <c r="U3660">
        <v>120</v>
      </c>
      <c r="V3660">
        <v>0</v>
      </c>
      <c r="W3660">
        <v>145.88999999999999</v>
      </c>
      <c r="X3660">
        <v>282.636666666667</v>
      </c>
      <c r="Y3660">
        <v>1</v>
      </c>
      <c r="Z3660">
        <v>21</v>
      </c>
      <c r="AA3660">
        <v>2</v>
      </c>
      <c r="AB3660">
        <v>8.5183331902821795</v>
      </c>
      <c r="AC3660">
        <v>8.2270197446150002E-3</v>
      </c>
      <c r="AD3660">
        <v>1.0667767444253</v>
      </c>
      <c r="AE3660">
        <v>0.32068150192499201</v>
      </c>
      <c r="AF3660">
        <v>16.473333333333301</v>
      </c>
      <c r="AG3660">
        <f>IFERROR(AH3660*0.1, "N/A")</f>
        <v>6.5940000000000003</v>
      </c>
      <c r="AH3660">
        <v>65.94</v>
      </c>
      <c r="AI3660">
        <v>112.270177942912</v>
      </c>
      <c r="AJ3660">
        <v>23.885000000000002</v>
      </c>
      <c r="AK3660">
        <v>55.354999999999997</v>
      </c>
    </row>
    <row r="3661" spans="1:37" x14ac:dyDescent="0.3">
      <c r="A3661">
        <v>3660</v>
      </c>
      <c r="B3661">
        <v>0</v>
      </c>
      <c r="C3661">
        <v>-16.321400000000001</v>
      </c>
      <c r="D3661">
        <v>15.9039</v>
      </c>
      <c r="E3661">
        <f>-16.3214-15.9039</f>
        <v>-32.225300000000004</v>
      </c>
      <c r="F3661" t="s">
        <v>5752</v>
      </c>
      <c r="G3661" t="s">
        <v>37</v>
      </c>
      <c r="H3661">
        <v>1997</v>
      </c>
      <c r="I3661">
        <v>25.100000381469702</v>
      </c>
      <c r="J3661">
        <v>11.6000003814697</v>
      </c>
      <c r="K3661">
        <v>63</v>
      </c>
      <c r="L3661">
        <v>21.629999160766602</v>
      </c>
      <c r="M3661">
        <v>33</v>
      </c>
      <c r="N3661">
        <v>14.800000190734901</v>
      </c>
      <c r="O3661">
        <v>18.200000762939499</v>
      </c>
      <c r="P3661">
        <v>27.700000762939499</v>
      </c>
      <c r="Q3661">
        <v>23.600000381469702</v>
      </c>
      <c r="R3661">
        <v>27.799999237060501</v>
      </c>
      <c r="S3661">
        <v>22.600000381469702</v>
      </c>
      <c r="T3661">
        <v>312</v>
      </c>
      <c r="U3661">
        <v>117</v>
      </c>
      <c r="V3661">
        <v>0</v>
      </c>
      <c r="W3661">
        <v>150</v>
      </c>
      <c r="X3661">
        <v>272</v>
      </c>
      <c r="Y3661">
        <v>0</v>
      </c>
      <c r="Z3661">
        <v>248</v>
      </c>
      <c r="AA3661">
        <v>2</v>
      </c>
      <c r="AB3661">
        <v>2.6513242847872101</v>
      </c>
      <c r="AC3661">
        <v>1.3062226066415E-2</v>
      </c>
      <c r="AD3661">
        <v>1.49413181387431</v>
      </c>
      <c r="AE3661">
        <v>0.34011614322662398</v>
      </c>
      <c r="AF3661">
        <v>9.1821192052980098</v>
      </c>
      <c r="AG3661">
        <f>IFERROR(AH3661*0.1, "N/A")</f>
        <v>6.5761589403973506</v>
      </c>
      <c r="AH3661">
        <v>65.761589403973502</v>
      </c>
      <c r="AI3661">
        <v>201.73072650732601</v>
      </c>
      <c r="AJ3661">
        <v>8.62582781456954</v>
      </c>
      <c r="AK3661">
        <v>82.751655629139094</v>
      </c>
    </row>
    <row r="3662" spans="1:37" x14ac:dyDescent="0.3">
      <c r="A3662">
        <v>3661</v>
      </c>
      <c r="B3662">
        <v>0</v>
      </c>
      <c r="C3662">
        <v>-16.321400000000001</v>
      </c>
      <c r="D3662">
        <v>15.9039</v>
      </c>
      <c r="E3662">
        <f>-16.3214-15.9039</f>
        <v>-32.225300000000004</v>
      </c>
      <c r="F3662" t="s">
        <v>5753</v>
      </c>
      <c r="G3662" t="s">
        <v>39</v>
      </c>
      <c r="H3662">
        <v>1997</v>
      </c>
      <c r="I3662">
        <v>25.100000381469702</v>
      </c>
      <c r="J3662">
        <v>11.6000003814697</v>
      </c>
      <c r="K3662">
        <v>63</v>
      </c>
      <c r="L3662">
        <v>21.629999160766602</v>
      </c>
      <c r="M3662">
        <v>33</v>
      </c>
      <c r="N3662">
        <v>14.800000190734901</v>
      </c>
      <c r="O3662">
        <v>18.200000762939499</v>
      </c>
      <c r="P3662">
        <v>27.700000762939499</v>
      </c>
      <c r="Q3662">
        <v>23.600000381469702</v>
      </c>
      <c r="R3662">
        <v>27.799999237060501</v>
      </c>
      <c r="S3662">
        <v>22.600000381469702</v>
      </c>
      <c r="T3662">
        <v>312</v>
      </c>
      <c r="U3662">
        <v>117</v>
      </c>
      <c r="V3662">
        <v>0</v>
      </c>
      <c r="W3662">
        <v>150</v>
      </c>
      <c r="X3662">
        <v>272</v>
      </c>
      <c r="Y3662">
        <v>0</v>
      </c>
      <c r="Z3662">
        <v>248</v>
      </c>
      <c r="AA3662">
        <v>2</v>
      </c>
      <c r="AB3662">
        <v>2.6513242847872101</v>
      </c>
      <c r="AC3662">
        <v>1.3062226066415E-2</v>
      </c>
      <c r="AD3662">
        <v>1.49413181387431</v>
      </c>
      <c r="AE3662">
        <v>0.34011614322662398</v>
      </c>
      <c r="AF3662">
        <v>9.1821192052980098</v>
      </c>
      <c r="AG3662">
        <f>IFERROR(AH3662*0.1, "N/A")</f>
        <v>6.5761589403973506</v>
      </c>
      <c r="AH3662">
        <v>65.761589403973502</v>
      </c>
      <c r="AI3662">
        <v>201.73072650732601</v>
      </c>
      <c r="AJ3662">
        <v>8.62582781456954</v>
      </c>
      <c r="AK3662">
        <v>82.751655629139094</v>
      </c>
    </row>
    <row r="3663" spans="1:37" x14ac:dyDescent="0.3">
      <c r="A3663">
        <v>3662</v>
      </c>
      <c r="B3663">
        <v>72</v>
      </c>
      <c r="C3663">
        <v>-15.9421</v>
      </c>
      <c r="D3663">
        <v>15.9076</v>
      </c>
      <c r="E3663">
        <f>-15.9421-15.9076</f>
        <v>-31.849699999999999</v>
      </c>
      <c r="F3663" t="s">
        <v>5754</v>
      </c>
      <c r="G3663" t="s">
        <v>37</v>
      </c>
      <c r="H3663">
        <v>2003</v>
      </c>
      <c r="I3663">
        <v>26.312934609788002</v>
      </c>
      <c r="J3663">
        <v>13.800000190734901</v>
      </c>
      <c r="K3663">
        <v>67</v>
      </c>
      <c r="L3663">
        <v>20.347081201784199</v>
      </c>
      <c r="M3663">
        <v>34.900001525878899</v>
      </c>
      <c r="N3663">
        <v>14.6000003814697</v>
      </c>
      <c r="O3663">
        <v>20.299999237060501</v>
      </c>
      <c r="P3663">
        <v>28.200000762939499</v>
      </c>
      <c r="Q3663">
        <v>24.906633143005902</v>
      </c>
      <c r="R3663">
        <v>28.2129358889452</v>
      </c>
      <c r="S3663">
        <v>23.299999237060501</v>
      </c>
      <c r="T3663">
        <v>309.80762852404598</v>
      </c>
      <c r="U3663">
        <v>109</v>
      </c>
      <c r="V3663">
        <v>0</v>
      </c>
      <c r="W3663">
        <v>150</v>
      </c>
      <c r="X3663">
        <v>266.87064676616899</v>
      </c>
      <c r="Y3663">
        <v>1</v>
      </c>
      <c r="Z3663">
        <v>230.78772802653401</v>
      </c>
      <c r="AA3663">
        <v>3</v>
      </c>
      <c r="AB3663">
        <v>2.8207299341609802</v>
      </c>
      <c r="AC3663">
        <v>8.7451631864329995E-3</v>
      </c>
      <c r="AD3663">
        <v>1.43303246996296</v>
      </c>
      <c r="AE3663">
        <v>0.42310875654220598</v>
      </c>
      <c r="AF3663">
        <v>4.6417910447761201</v>
      </c>
      <c r="AG3663">
        <f>IFERROR(AH3663*0.1, "N/A")</f>
        <v>6.9039800995024905</v>
      </c>
      <c r="AH3663">
        <v>69.039800995024905</v>
      </c>
      <c r="AI3663">
        <v>49.038732070037199</v>
      </c>
      <c r="AJ3663">
        <v>16.159203980099502</v>
      </c>
      <c r="AK3663">
        <v>66.427860696517399</v>
      </c>
    </row>
    <row r="3664" spans="1:37" x14ac:dyDescent="0.3">
      <c r="A3664">
        <v>3663</v>
      </c>
      <c r="B3664">
        <v>57.099997999999999</v>
      </c>
      <c r="C3664">
        <v>-15.9681</v>
      </c>
      <c r="D3664">
        <v>15.9229</v>
      </c>
      <c r="E3664">
        <f>-15.9681-15.9229</f>
        <v>-31.890999999999998</v>
      </c>
      <c r="F3664" t="s">
        <v>5755</v>
      </c>
      <c r="G3664" t="s">
        <v>39</v>
      </c>
      <c r="H3664">
        <v>1999</v>
      </c>
      <c r="I3664">
        <v>26.299999237060501</v>
      </c>
      <c r="J3664">
        <v>13.699999809265099</v>
      </c>
      <c r="K3664">
        <v>68</v>
      </c>
      <c r="L3664">
        <v>20.309999465942401</v>
      </c>
      <c r="M3664">
        <v>34.700000762939503</v>
      </c>
      <c r="N3664">
        <v>14.699999809265099</v>
      </c>
      <c r="O3664">
        <v>20</v>
      </c>
      <c r="P3664">
        <v>28.200000762939499</v>
      </c>
      <c r="Q3664">
        <v>24.799999237060501</v>
      </c>
      <c r="R3664">
        <v>28.200000762939499</v>
      </c>
      <c r="S3664">
        <v>23.299999237060501</v>
      </c>
      <c r="T3664">
        <v>307</v>
      </c>
      <c r="U3664">
        <v>108</v>
      </c>
      <c r="V3664">
        <v>0</v>
      </c>
      <c r="W3664">
        <v>149</v>
      </c>
      <c r="X3664">
        <v>264</v>
      </c>
      <c r="Y3664">
        <v>2</v>
      </c>
      <c r="Z3664">
        <v>173</v>
      </c>
      <c r="AA3664">
        <v>3</v>
      </c>
      <c r="AB3664">
        <v>1.55266691366832</v>
      </c>
      <c r="AC3664">
        <v>0.812453418582057</v>
      </c>
      <c r="AD3664">
        <v>2.3709953550497702</v>
      </c>
      <c r="AE3664">
        <v>0.46919190883636502</v>
      </c>
      <c r="AF3664">
        <v>10.5566666666667</v>
      </c>
      <c r="AG3664">
        <f>IFERROR(AH3664*0.1, "N/A")</f>
        <v>6.8975</v>
      </c>
      <c r="AH3664">
        <v>68.974999999999994</v>
      </c>
      <c r="AI3664">
        <v>238.67298563639301</v>
      </c>
      <c r="AJ3664">
        <v>11.41</v>
      </c>
      <c r="AK3664">
        <v>72.204999999999998</v>
      </c>
    </row>
    <row r="3665" spans="1:37" x14ac:dyDescent="0.3">
      <c r="A3665">
        <v>3664</v>
      </c>
      <c r="B3665">
        <v>80</v>
      </c>
      <c r="C3665">
        <v>-15.9681</v>
      </c>
      <c r="D3665">
        <v>15.9229</v>
      </c>
      <c r="E3665">
        <f>-15.9681-15.9229</f>
        <v>-31.890999999999998</v>
      </c>
      <c r="F3665" t="s">
        <v>5756</v>
      </c>
      <c r="G3665" t="s">
        <v>37</v>
      </c>
      <c r="H3665">
        <v>2003</v>
      </c>
      <c r="I3665">
        <v>26.299999237060501</v>
      </c>
      <c r="J3665">
        <v>13.699999809265099</v>
      </c>
      <c r="K3665">
        <v>68</v>
      </c>
      <c r="L3665">
        <v>20.309999465942401</v>
      </c>
      <c r="M3665">
        <v>34.700000762939503</v>
      </c>
      <c r="N3665">
        <v>14.699999809265099</v>
      </c>
      <c r="O3665">
        <v>20</v>
      </c>
      <c r="P3665">
        <v>28.200000762939499</v>
      </c>
      <c r="Q3665">
        <v>24.799999237060501</v>
      </c>
      <c r="R3665">
        <v>28.200000762939499</v>
      </c>
      <c r="S3665">
        <v>23.299999237060501</v>
      </c>
      <c r="T3665">
        <v>307</v>
      </c>
      <c r="U3665">
        <v>108</v>
      </c>
      <c r="V3665">
        <v>0</v>
      </c>
      <c r="W3665">
        <v>149</v>
      </c>
      <c r="X3665">
        <v>264</v>
      </c>
      <c r="Y3665">
        <v>2</v>
      </c>
      <c r="Z3665">
        <v>173</v>
      </c>
      <c r="AA3665">
        <v>3</v>
      </c>
      <c r="AB3665">
        <v>1.55266691366832</v>
      </c>
      <c r="AC3665">
        <v>0.812453418582057</v>
      </c>
      <c r="AD3665">
        <v>2.3709953550497702</v>
      </c>
      <c r="AE3665">
        <v>0.46919190883636502</v>
      </c>
      <c r="AF3665">
        <v>10.5566666666667</v>
      </c>
      <c r="AG3665">
        <f>IFERROR(AH3665*0.1, "N/A")</f>
        <v>6.8975</v>
      </c>
      <c r="AH3665">
        <v>68.974999999999994</v>
      </c>
      <c r="AI3665">
        <v>238.67298563639301</v>
      </c>
      <c r="AJ3665">
        <v>11.41</v>
      </c>
      <c r="AK3665">
        <v>72.204999999999998</v>
      </c>
    </row>
    <row r="3666" spans="1:37" x14ac:dyDescent="0.3">
      <c r="A3666">
        <v>3665</v>
      </c>
      <c r="B3666">
        <v>1.4</v>
      </c>
      <c r="C3666">
        <v>-13.6577</v>
      </c>
      <c r="D3666">
        <v>15.9239</v>
      </c>
      <c r="E3666">
        <f>-13.6577-15.9239</f>
        <v>-29.581600000000002</v>
      </c>
      <c r="F3666" t="s">
        <v>5757</v>
      </c>
      <c r="G3666" t="s">
        <v>39</v>
      </c>
      <c r="H3666">
        <v>1996</v>
      </c>
      <c r="I3666">
        <v>29.200000762939499</v>
      </c>
      <c r="J3666">
        <v>14.800000190734901</v>
      </c>
      <c r="K3666">
        <v>56.744610281923698</v>
      </c>
      <c r="L3666">
        <v>29.4206463701492</v>
      </c>
      <c r="M3666">
        <v>41.525538582113903</v>
      </c>
      <c r="N3666">
        <v>15.6000003814697</v>
      </c>
      <c r="O3666">
        <v>25.9255386877613</v>
      </c>
      <c r="P3666">
        <v>29.899999618530298</v>
      </c>
      <c r="Q3666">
        <v>26.200000762939499</v>
      </c>
      <c r="R3666">
        <v>32.725539345053299</v>
      </c>
      <c r="S3666">
        <v>24.899999618530298</v>
      </c>
      <c r="T3666">
        <v>321.744610281924</v>
      </c>
      <c r="U3666">
        <v>117</v>
      </c>
      <c r="V3666">
        <v>0</v>
      </c>
      <c r="W3666">
        <v>148</v>
      </c>
      <c r="X3666">
        <v>280</v>
      </c>
      <c r="Y3666">
        <v>1</v>
      </c>
      <c r="Z3666">
        <v>20</v>
      </c>
      <c r="AA3666">
        <v>2</v>
      </c>
      <c r="AB3666">
        <v>2.6747932687129898</v>
      </c>
      <c r="AC3666">
        <v>0.114662244406283</v>
      </c>
      <c r="AD3666">
        <v>2.2859996924946002</v>
      </c>
      <c r="AE3666">
        <v>0.26645806673945099</v>
      </c>
      <c r="AF3666">
        <v>58.573797678275298</v>
      </c>
      <c r="AG3666">
        <f>IFERROR(AH3666*0.1, "N/A")</f>
        <v>6.0124378109452703</v>
      </c>
      <c r="AH3666">
        <v>60.124378109452699</v>
      </c>
      <c r="AI3666">
        <v>119.940234714084</v>
      </c>
      <c r="AJ3666">
        <v>11.995024875621899</v>
      </c>
      <c r="AK3666">
        <v>76.124378109452707</v>
      </c>
    </row>
    <row r="3667" spans="1:37" x14ac:dyDescent="0.3">
      <c r="A3667">
        <v>3666</v>
      </c>
      <c r="B3667">
        <v>0</v>
      </c>
      <c r="C3667">
        <v>-13.6577</v>
      </c>
      <c r="D3667">
        <v>15.9239</v>
      </c>
      <c r="E3667">
        <f>-13.6577-15.9239</f>
        <v>-29.581600000000002</v>
      </c>
      <c r="F3667" t="s">
        <v>5758</v>
      </c>
      <c r="G3667" t="s">
        <v>37</v>
      </c>
      <c r="H3667">
        <v>1996</v>
      </c>
      <c r="I3667">
        <v>29.200000762939499</v>
      </c>
      <c r="J3667">
        <v>14.800000190734901</v>
      </c>
      <c r="K3667">
        <v>56.744610281923698</v>
      </c>
      <c r="L3667">
        <v>29.4206463701492</v>
      </c>
      <c r="M3667">
        <v>41.525538582113903</v>
      </c>
      <c r="N3667">
        <v>15.6000003814697</v>
      </c>
      <c r="O3667">
        <v>25.9255386877613</v>
      </c>
      <c r="P3667">
        <v>29.899999618530298</v>
      </c>
      <c r="Q3667">
        <v>26.200000762939499</v>
      </c>
      <c r="R3667">
        <v>32.725539345053299</v>
      </c>
      <c r="S3667">
        <v>24.899999618530298</v>
      </c>
      <c r="T3667">
        <v>321.744610281924</v>
      </c>
      <c r="U3667">
        <v>117</v>
      </c>
      <c r="V3667">
        <v>0</v>
      </c>
      <c r="W3667">
        <v>148</v>
      </c>
      <c r="X3667">
        <v>280</v>
      </c>
      <c r="Y3667">
        <v>1</v>
      </c>
      <c r="Z3667">
        <v>20</v>
      </c>
      <c r="AA3667">
        <v>2</v>
      </c>
      <c r="AB3667">
        <v>2.6747932687129898</v>
      </c>
      <c r="AC3667">
        <v>0.114662244406283</v>
      </c>
      <c r="AD3667">
        <v>2.2859996924946002</v>
      </c>
      <c r="AE3667">
        <v>0.26645806673945099</v>
      </c>
      <c r="AF3667">
        <v>58.573797678275298</v>
      </c>
      <c r="AG3667">
        <f>IFERROR(AH3667*0.1, "N/A")</f>
        <v>6.0124378109452703</v>
      </c>
      <c r="AH3667">
        <v>60.124378109452699</v>
      </c>
      <c r="AI3667">
        <v>119.940234714084</v>
      </c>
      <c r="AJ3667">
        <v>11.995024875621899</v>
      </c>
      <c r="AK3667">
        <v>76.124378109452707</v>
      </c>
    </row>
    <row r="3668" spans="1:37" x14ac:dyDescent="0.3">
      <c r="A3668">
        <v>3667</v>
      </c>
      <c r="B3668">
        <v>0</v>
      </c>
      <c r="C3668">
        <v>-15.966699999999999</v>
      </c>
      <c r="D3668">
        <v>15.925000000000001</v>
      </c>
      <c r="E3668">
        <f>-15.9667-15.925</f>
        <v>-31.8917</v>
      </c>
      <c r="F3668" t="s">
        <v>5759</v>
      </c>
      <c r="G3668" t="s">
        <v>39</v>
      </c>
      <c r="H3668">
        <v>1983</v>
      </c>
      <c r="I3668">
        <v>26.299999237060501</v>
      </c>
      <c r="J3668">
        <v>13.713787237275101</v>
      </c>
      <c r="K3668">
        <v>68</v>
      </c>
      <c r="L3668">
        <v>20.2577906478679</v>
      </c>
      <c r="M3668">
        <v>34.7727576537782</v>
      </c>
      <c r="N3668">
        <v>14.699999809265099</v>
      </c>
      <c r="O3668">
        <v>20.0727577526308</v>
      </c>
      <c r="P3668">
        <v>28.200000762939499</v>
      </c>
      <c r="Q3668">
        <v>24.811461074803798</v>
      </c>
      <c r="R3668">
        <v>28.225249547102901</v>
      </c>
      <c r="S3668">
        <v>23.299999237060501</v>
      </c>
      <c r="T3668">
        <v>306.49501661129602</v>
      </c>
      <c r="U3668">
        <v>108</v>
      </c>
      <c r="V3668">
        <v>0</v>
      </c>
      <c r="W3668">
        <v>148.74750830564801</v>
      </c>
      <c r="X3668">
        <v>264.084717607973</v>
      </c>
      <c r="Y3668">
        <v>1.41029900332226</v>
      </c>
      <c r="Z3668">
        <v>210.488372093023</v>
      </c>
      <c r="AA3668">
        <v>3</v>
      </c>
      <c r="AB3668">
        <v>1.12408646792668</v>
      </c>
      <c r="AC3668">
        <v>2.8399117548557098</v>
      </c>
      <c r="AD3668">
        <v>1.0695895634814301</v>
      </c>
      <c r="AE3668">
        <v>0.46919190883636502</v>
      </c>
      <c r="AF3668">
        <v>5.6428571428571397</v>
      </c>
      <c r="AG3668">
        <f>IFERROR(AH3668*0.1, "N/A")</f>
        <v>6.5805647840531609</v>
      </c>
      <c r="AH3668">
        <v>65.805647840531606</v>
      </c>
      <c r="AI3668">
        <v>56.922722825972301</v>
      </c>
      <c r="AJ3668">
        <v>15.699335548172799</v>
      </c>
      <c r="AK3668">
        <v>63.995016611295704</v>
      </c>
    </row>
    <row r="3669" spans="1:37" x14ac:dyDescent="0.3">
      <c r="A3669">
        <v>3668</v>
      </c>
      <c r="B3669">
        <v>0</v>
      </c>
      <c r="C3669">
        <v>-15.975</v>
      </c>
      <c r="D3669">
        <v>15.9331</v>
      </c>
      <c r="E3669">
        <f>-15.975-15.9331</f>
        <v>-31.908099999999997</v>
      </c>
      <c r="F3669" t="s">
        <v>5760</v>
      </c>
      <c r="G3669" t="s">
        <v>39</v>
      </c>
      <c r="H3669">
        <v>1983</v>
      </c>
      <c r="I3669">
        <v>26.177280378578899</v>
      </c>
      <c r="J3669">
        <v>13.699999809265099</v>
      </c>
      <c r="K3669">
        <v>68</v>
      </c>
      <c r="L3669">
        <v>20.395820579718599</v>
      </c>
      <c r="M3669">
        <v>34.729519383824297</v>
      </c>
      <c r="N3669">
        <v>14.629519283870399</v>
      </c>
      <c r="O3669">
        <v>20.100000381469702</v>
      </c>
      <c r="P3669">
        <v>28.147761757694099</v>
      </c>
      <c r="Q3669">
        <v>24.6990051712365</v>
      </c>
      <c r="R3669">
        <v>28.221725141231101</v>
      </c>
      <c r="S3669">
        <v>23.177280378578899</v>
      </c>
      <c r="T3669">
        <v>305.88888888888903</v>
      </c>
      <c r="U3669">
        <v>107.739635157546</v>
      </c>
      <c r="V3669">
        <v>0</v>
      </c>
      <c r="W3669">
        <v>148.33996683250399</v>
      </c>
      <c r="X3669">
        <v>263.26202321724702</v>
      </c>
      <c r="Y3669">
        <v>1.70480928689884</v>
      </c>
      <c r="Z3669">
        <v>231.35157545605301</v>
      </c>
      <c r="AA3669">
        <v>3</v>
      </c>
      <c r="AB3669">
        <v>9.5519072072422908</v>
      </c>
      <c r="AC3669">
        <v>4.1005765506457001E-2</v>
      </c>
      <c r="AD3669">
        <v>2.1078031383343601</v>
      </c>
      <c r="AE3669">
        <v>0.48213917016982999</v>
      </c>
      <c r="AF3669">
        <v>14.565505804311799</v>
      </c>
      <c r="AG3669">
        <f>IFERROR(AH3669*0.1, "N/A")</f>
        <v>6.8175787728026513</v>
      </c>
      <c r="AH3669">
        <v>68.175787728026506</v>
      </c>
      <c r="AI3669">
        <v>234.79063779916299</v>
      </c>
      <c r="AJ3669">
        <v>12.475953565505799</v>
      </c>
      <c r="AK3669">
        <v>76.993366500829197</v>
      </c>
    </row>
    <row r="3670" spans="1:37" x14ac:dyDescent="0.3">
      <c r="A3670">
        <v>3669</v>
      </c>
      <c r="B3670">
        <v>0</v>
      </c>
      <c r="C3670">
        <v>-15.975</v>
      </c>
      <c r="D3670">
        <v>15.9389</v>
      </c>
      <c r="E3670">
        <f>-15.975-15.9389</f>
        <v>-31.913899999999998</v>
      </c>
      <c r="F3670" t="s">
        <v>5761</v>
      </c>
      <c r="G3670" t="s">
        <v>39</v>
      </c>
      <c r="H3670">
        <v>1983</v>
      </c>
      <c r="I3670">
        <v>26.229900638922501</v>
      </c>
      <c r="J3670">
        <v>13.699999809265099</v>
      </c>
      <c r="K3670">
        <v>68</v>
      </c>
      <c r="L3670">
        <v>20.324949974237501</v>
      </c>
      <c r="M3670">
        <v>34.729900638922501</v>
      </c>
      <c r="N3670">
        <v>14.6299005426046</v>
      </c>
      <c r="O3670">
        <v>20.100000381469702</v>
      </c>
      <c r="P3670">
        <v>28.200000762939499</v>
      </c>
      <c r="Q3670">
        <v>24.729900638922501</v>
      </c>
      <c r="R3670">
        <v>28.200000762939499</v>
      </c>
      <c r="S3670">
        <v>23.229900638922501</v>
      </c>
      <c r="T3670">
        <v>304.40199335548198</v>
      </c>
      <c r="U3670">
        <v>107</v>
      </c>
      <c r="V3670">
        <v>0</v>
      </c>
      <c r="W3670">
        <v>147.29900332225901</v>
      </c>
      <c r="X3670">
        <v>262</v>
      </c>
      <c r="Y3670">
        <v>1.7009966777408601</v>
      </c>
      <c r="Z3670">
        <v>216.16279069767401</v>
      </c>
      <c r="AA3670">
        <v>3</v>
      </c>
      <c r="AB3670">
        <v>8.0197675814264304</v>
      </c>
      <c r="AC3670">
        <v>1.4743001656638E-2</v>
      </c>
      <c r="AD3670">
        <v>2.27462559284958</v>
      </c>
      <c r="AE3670">
        <v>0.41121995449066201</v>
      </c>
      <c r="AF3670">
        <v>12.192691029900301</v>
      </c>
      <c r="AG3670">
        <f>IFERROR(AH3670*0.1, "N/A")</f>
        <v>6.76196013289037</v>
      </c>
      <c r="AH3670">
        <v>67.619601328903698</v>
      </c>
      <c r="AI3670">
        <v>65.401803729542095</v>
      </c>
      <c r="AJ3670">
        <v>14.421926910299</v>
      </c>
      <c r="AK3670">
        <v>74.382059800664507</v>
      </c>
    </row>
    <row r="3671" spans="1:37" x14ac:dyDescent="0.3">
      <c r="A3671">
        <v>3670</v>
      </c>
      <c r="B3671">
        <v>0</v>
      </c>
      <c r="C3671">
        <v>-15.943300000000001</v>
      </c>
      <c r="D3671">
        <v>15.940300000000001</v>
      </c>
      <c r="E3671">
        <f>-15.9433-15.9403</f>
        <v>-31.883600000000001</v>
      </c>
      <c r="F3671" t="s">
        <v>5762</v>
      </c>
      <c r="G3671" t="s">
        <v>39</v>
      </c>
      <c r="H3671">
        <v>1983</v>
      </c>
      <c r="I3671">
        <v>26.399999618530298</v>
      </c>
      <c r="J3671">
        <v>13.800000190734901</v>
      </c>
      <c r="K3671">
        <v>67</v>
      </c>
      <c r="L3671">
        <v>20.819999694824201</v>
      </c>
      <c r="M3671">
        <v>35</v>
      </c>
      <c r="N3671">
        <v>14.6000003814697</v>
      </c>
      <c r="O3671">
        <v>20.399999618530298</v>
      </c>
      <c r="P3671">
        <v>28.299999237060501</v>
      </c>
      <c r="Q3671">
        <v>24.899999618530298</v>
      </c>
      <c r="R3671">
        <v>28.399999618530298</v>
      </c>
      <c r="S3671">
        <v>23.299999237060501</v>
      </c>
      <c r="T3671">
        <v>303</v>
      </c>
      <c r="U3671">
        <v>107</v>
      </c>
      <c r="V3671">
        <v>0</v>
      </c>
      <c r="W3671">
        <v>147</v>
      </c>
      <c r="X3671">
        <v>261</v>
      </c>
      <c r="Y3671">
        <v>1</v>
      </c>
      <c r="Z3671">
        <v>234</v>
      </c>
      <c r="AA3671">
        <v>3</v>
      </c>
      <c r="AB3671">
        <v>7.1021559100048304</v>
      </c>
      <c r="AC3671">
        <v>1.1335518978733999E-2</v>
      </c>
      <c r="AD3671">
        <v>2.0171921719761401</v>
      </c>
      <c r="AE3671">
        <v>0.25329262018203702</v>
      </c>
      <c r="AF3671">
        <v>4.0779436152570501</v>
      </c>
      <c r="AG3671">
        <f>IFERROR(AH3671*0.1, "N/A")</f>
        <v>6.6167495854063008</v>
      </c>
      <c r="AH3671">
        <v>66.167495854063006</v>
      </c>
      <c r="AI3671">
        <v>230.76822276455499</v>
      </c>
      <c r="AJ3671">
        <v>21.547263681592</v>
      </c>
      <c r="AK3671">
        <v>60.633499170812598</v>
      </c>
    </row>
    <row r="3672" spans="1:37" x14ac:dyDescent="0.3">
      <c r="A3672">
        <v>3671</v>
      </c>
      <c r="B3672">
        <v>40</v>
      </c>
      <c r="C3672">
        <v>-13.340299999999999</v>
      </c>
      <c r="D3672">
        <v>15.95</v>
      </c>
      <c r="E3672">
        <f>-13.3403-15.95</f>
        <v>-29.290299999999998</v>
      </c>
      <c r="F3672" t="s">
        <v>5763</v>
      </c>
      <c r="G3672" t="s">
        <v>39</v>
      </c>
      <c r="H3672">
        <v>2000</v>
      </c>
      <c r="I3672">
        <v>29.700000762939499</v>
      </c>
      <c r="J3672">
        <v>14.8999996185303</v>
      </c>
      <c r="K3672">
        <v>56</v>
      </c>
      <c r="L3672">
        <v>30.892910962096899</v>
      </c>
      <c r="M3672">
        <v>42.200000762939503</v>
      </c>
      <c r="N3672">
        <v>15.8838599438279</v>
      </c>
      <c r="O3672">
        <v>26.316139065683799</v>
      </c>
      <c r="P3672">
        <v>30.483860171376801</v>
      </c>
      <c r="Q3672">
        <v>26.600000381469702</v>
      </c>
      <c r="R3672">
        <v>33.5</v>
      </c>
      <c r="S3672">
        <v>25.299999237060501</v>
      </c>
      <c r="T3672">
        <v>315.48419301164699</v>
      </c>
      <c r="U3672">
        <v>117.16139767054899</v>
      </c>
      <c r="V3672">
        <v>0</v>
      </c>
      <c r="W3672">
        <v>146.16139767054901</v>
      </c>
      <c r="X3672">
        <v>276.16139767054898</v>
      </c>
      <c r="Y3672">
        <v>1</v>
      </c>
      <c r="Z3672">
        <v>20.1613976705491</v>
      </c>
      <c r="AA3672">
        <v>2</v>
      </c>
      <c r="AB3672">
        <v>3.6991678799646701</v>
      </c>
      <c r="AC3672">
        <v>1.1646410890432E-2</v>
      </c>
      <c r="AD3672">
        <v>1.0741606252562399</v>
      </c>
      <c r="AE3672">
        <v>0.17935873568058</v>
      </c>
      <c r="AF3672">
        <v>16.690515806988401</v>
      </c>
      <c r="AG3672">
        <f>IFERROR(AH3672*0.1, "N/A")</f>
        <v>6.4820299500831995</v>
      </c>
      <c r="AH3672">
        <v>64.820299500831993</v>
      </c>
      <c r="AI3672">
        <v>86.038460250702101</v>
      </c>
      <c r="AJ3672">
        <v>25.159733777038301</v>
      </c>
      <c r="AK3672">
        <v>56.865224625624002</v>
      </c>
    </row>
    <row r="3673" spans="1:37" x14ac:dyDescent="0.3">
      <c r="A3673">
        <v>3672</v>
      </c>
      <c r="B3673">
        <v>44</v>
      </c>
      <c r="C3673">
        <v>-15.964600000000001</v>
      </c>
      <c r="D3673">
        <v>15.968999999999999</v>
      </c>
      <c r="E3673">
        <f>-15.9646-15.969</f>
        <v>-31.933599999999998</v>
      </c>
      <c r="F3673" t="s">
        <v>5764</v>
      </c>
      <c r="G3673" t="s">
        <v>37</v>
      </c>
      <c r="H3673">
        <v>2003</v>
      </c>
      <c r="I3673">
        <v>26.299999237060501</v>
      </c>
      <c r="J3673">
        <v>13.800000190734901</v>
      </c>
      <c r="K3673">
        <v>67</v>
      </c>
      <c r="L3673">
        <v>20.459999084472699</v>
      </c>
      <c r="M3673">
        <v>35</v>
      </c>
      <c r="N3673">
        <v>14.699999809265099</v>
      </c>
      <c r="O3673">
        <v>20.299999237060501</v>
      </c>
      <c r="P3673">
        <v>28.200000762939499</v>
      </c>
      <c r="Q3673">
        <v>24.899999618530298</v>
      </c>
      <c r="R3673">
        <v>28.299999237060501</v>
      </c>
      <c r="S3673">
        <v>23.299999237060501</v>
      </c>
      <c r="T3673">
        <v>297</v>
      </c>
      <c r="U3673">
        <v>105</v>
      </c>
      <c r="V3673">
        <v>0</v>
      </c>
      <c r="W3673">
        <v>150</v>
      </c>
      <c r="X3673">
        <v>256</v>
      </c>
      <c r="Y3673">
        <v>1</v>
      </c>
      <c r="Z3673">
        <v>229</v>
      </c>
      <c r="AA3673">
        <v>3</v>
      </c>
      <c r="AB3673">
        <v>8.1931896890912697</v>
      </c>
      <c r="AC3673">
        <v>9.1395528965389997E-3</v>
      </c>
      <c r="AD3673">
        <v>2.4357713948056601</v>
      </c>
      <c r="AE3673">
        <v>0.451539059414024</v>
      </c>
      <c r="AF3673">
        <v>7.9219269102989998</v>
      </c>
      <c r="AG3673">
        <f>IFERROR(AH3673*0.1, "N/A")</f>
        <v>7.1000000000000005</v>
      </c>
      <c r="AH3673">
        <v>71</v>
      </c>
      <c r="AI3673">
        <v>171.12904701359599</v>
      </c>
      <c r="AJ3673">
        <v>23.355481727574801</v>
      </c>
      <c r="AK3673">
        <v>59.644518272425302</v>
      </c>
    </row>
    <row r="3674" spans="1:37" x14ac:dyDescent="0.3">
      <c r="A3674">
        <v>3673</v>
      </c>
      <c r="B3674">
        <v>0</v>
      </c>
      <c r="C3674">
        <v>-15.9672</v>
      </c>
      <c r="D3674">
        <v>15.9694</v>
      </c>
      <c r="E3674">
        <f>-15.9672-15.9694</f>
        <v>-31.936599999999999</v>
      </c>
      <c r="F3674" t="s">
        <v>5765</v>
      </c>
      <c r="G3674" t="s">
        <v>39</v>
      </c>
      <c r="H3674">
        <v>1983</v>
      </c>
      <c r="I3674">
        <v>26.299999237060501</v>
      </c>
      <c r="J3674">
        <v>13.709650428441901</v>
      </c>
      <c r="K3674">
        <v>67</v>
      </c>
      <c r="L3674">
        <v>20.541313698208501</v>
      </c>
      <c r="M3674">
        <v>34.9096519609854</v>
      </c>
      <c r="N3674">
        <v>14.699999809265099</v>
      </c>
      <c r="O3674">
        <v>20.209651198046</v>
      </c>
      <c r="P3674">
        <v>28.290348801954</v>
      </c>
      <c r="Q3674">
        <v>24.8096498562373</v>
      </c>
      <c r="R3674">
        <v>28.299999237060501</v>
      </c>
      <c r="S3674">
        <v>23.299999237060501</v>
      </c>
      <c r="T3674">
        <v>297.90349417637299</v>
      </c>
      <c r="U3674">
        <v>105</v>
      </c>
      <c r="V3674">
        <v>0</v>
      </c>
      <c r="W3674">
        <v>150</v>
      </c>
      <c r="X3674">
        <v>256.90349417637299</v>
      </c>
      <c r="Y3674">
        <v>1</v>
      </c>
      <c r="Z3674">
        <v>229.90349417637299</v>
      </c>
      <c r="AA3674">
        <v>3</v>
      </c>
      <c r="AB3674">
        <v>3.4021631635961</v>
      </c>
      <c r="AC3674">
        <v>1.2466334775027999E-2</v>
      </c>
      <c r="AD3674">
        <v>1.6453988968631801</v>
      </c>
      <c r="AE3674">
        <v>0.45196586847305298</v>
      </c>
      <c r="AF3674">
        <v>7.7171381031613997</v>
      </c>
      <c r="AG3674">
        <f>IFERROR(AH3674*0.1, "N/A")</f>
        <v>6.9193011647254599</v>
      </c>
      <c r="AH3674">
        <v>69.193011647254593</v>
      </c>
      <c r="AI3674">
        <v>123.22986074692</v>
      </c>
      <c r="AJ3674">
        <v>18.0965058236273</v>
      </c>
      <c r="AK3674">
        <v>64</v>
      </c>
    </row>
    <row r="3675" spans="1:37" x14ac:dyDescent="0.3">
      <c r="A3675">
        <v>3674</v>
      </c>
      <c r="B3675">
        <v>28</v>
      </c>
      <c r="C3675">
        <v>-15.9277</v>
      </c>
      <c r="D3675">
        <v>15.979200000000001</v>
      </c>
      <c r="E3675">
        <f>-15.9277-15.9792</f>
        <v>-31.9069</v>
      </c>
      <c r="F3675" t="s">
        <v>5766</v>
      </c>
      <c r="G3675" t="s">
        <v>39</v>
      </c>
      <c r="H3675">
        <v>2003</v>
      </c>
      <c r="I3675">
        <v>26.399999618530298</v>
      </c>
      <c r="J3675">
        <v>13.8999996185303</v>
      </c>
      <c r="K3675">
        <v>68</v>
      </c>
      <c r="L3675">
        <v>20.719999313354499</v>
      </c>
      <c r="M3675">
        <v>35.099998474121101</v>
      </c>
      <c r="N3675">
        <v>14.699999809265099</v>
      </c>
      <c r="O3675">
        <v>20.399999618530298</v>
      </c>
      <c r="P3675">
        <v>28.299999237060501</v>
      </c>
      <c r="Q3675">
        <v>25</v>
      </c>
      <c r="R3675">
        <v>28.399999618530298</v>
      </c>
      <c r="S3675">
        <v>23.299999237060501</v>
      </c>
      <c r="T3675">
        <v>297</v>
      </c>
      <c r="U3675">
        <v>105</v>
      </c>
      <c r="V3675">
        <v>0</v>
      </c>
      <c r="W3675">
        <v>150</v>
      </c>
      <c r="X3675">
        <v>256</v>
      </c>
      <c r="Y3675">
        <v>1</v>
      </c>
      <c r="Z3675">
        <v>169</v>
      </c>
      <c r="AA3675">
        <v>3</v>
      </c>
      <c r="AB3675">
        <v>1.34461033917581</v>
      </c>
      <c r="AC3675">
        <v>0.25198090793858402</v>
      </c>
      <c r="AD3675">
        <v>0.90036051842703801</v>
      </c>
      <c r="AE3675">
        <v>0.45791352823203701</v>
      </c>
      <c r="AF3675">
        <v>9.3847429519071301</v>
      </c>
      <c r="AG3675">
        <f>IFERROR(AH3675*0.1, "N/A")</f>
        <v>6.5840796019900498</v>
      </c>
      <c r="AH3675">
        <v>65.840796019900495</v>
      </c>
      <c r="AI3675">
        <v>155.06000007642001</v>
      </c>
      <c r="AJ3675">
        <v>18.920398009950301</v>
      </c>
      <c r="AK3675">
        <v>64.079601990049795</v>
      </c>
    </row>
    <row r="3676" spans="1:37" x14ac:dyDescent="0.3">
      <c r="A3676">
        <v>3675</v>
      </c>
      <c r="B3676">
        <v>52</v>
      </c>
      <c r="C3676">
        <v>-15.9277</v>
      </c>
      <c r="D3676">
        <v>15.979200000000001</v>
      </c>
      <c r="E3676">
        <f>-15.9277-15.9792</f>
        <v>-31.9069</v>
      </c>
      <c r="F3676" t="s">
        <v>5767</v>
      </c>
      <c r="G3676" t="s">
        <v>37</v>
      </c>
      <c r="H3676">
        <v>2003</v>
      </c>
      <c r="I3676">
        <v>26.399999618530298</v>
      </c>
      <c r="J3676">
        <v>13.8999996185303</v>
      </c>
      <c r="K3676">
        <v>68</v>
      </c>
      <c r="L3676">
        <v>20.719999313354499</v>
      </c>
      <c r="M3676">
        <v>35.099998474121101</v>
      </c>
      <c r="N3676">
        <v>14.699999809265099</v>
      </c>
      <c r="O3676">
        <v>20.399999618530298</v>
      </c>
      <c r="P3676">
        <v>28.299999237060501</v>
      </c>
      <c r="Q3676">
        <v>25</v>
      </c>
      <c r="R3676">
        <v>28.399999618530298</v>
      </c>
      <c r="S3676">
        <v>23.299999237060501</v>
      </c>
      <c r="T3676">
        <v>297</v>
      </c>
      <c r="U3676">
        <v>105</v>
      </c>
      <c r="V3676">
        <v>0</v>
      </c>
      <c r="W3676">
        <v>150</v>
      </c>
      <c r="X3676">
        <v>256</v>
      </c>
      <c r="Y3676">
        <v>1</v>
      </c>
      <c r="Z3676">
        <v>169</v>
      </c>
      <c r="AA3676">
        <v>3</v>
      </c>
      <c r="AB3676">
        <v>1.34461033917581</v>
      </c>
      <c r="AC3676">
        <v>0.25198090793858402</v>
      </c>
      <c r="AD3676">
        <v>0.90036051842703801</v>
      </c>
      <c r="AE3676">
        <v>0.45791352823203701</v>
      </c>
      <c r="AF3676">
        <v>9.3847429519071301</v>
      </c>
      <c r="AG3676">
        <f>IFERROR(AH3676*0.1, "N/A")</f>
        <v>6.5840796019900498</v>
      </c>
      <c r="AH3676">
        <v>65.840796019900495</v>
      </c>
      <c r="AI3676">
        <v>155.06000007642001</v>
      </c>
      <c r="AJ3676">
        <v>18.920398009950301</v>
      </c>
      <c r="AK3676">
        <v>64.079601990049795</v>
      </c>
    </row>
    <row r="3677" spans="1:37" x14ac:dyDescent="0.3">
      <c r="A3677">
        <v>3676</v>
      </c>
      <c r="B3677">
        <v>0</v>
      </c>
      <c r="C3677">
        <v>-15.9291</v>
      </c>
      <c r="D3677">
        <v>15.98</v>
      </c>
      <c r="E3677">
        <f>-15.9291-15.98</f>
        <v>-31.909100000000002</v>
      </c>
      <c r="F3677" t="s">
        <v>5768</v>
      </c>
      <c r="G3677" t="s">
        <v>39</v>
      </c>
      <c r="H3677">
        <v>1983</v>
      </c>
      <c r="I3677">
        <v>26.399999618530298</v>
      </c>
      <c r="J3677">
        <v>13.8999996185303</v>
      </c>
      <c r="K3677">
        <v>68</v>
      </c>
      <c r="L3677">
        <v>20.719999313354499</v>
      </c>
      <c r="M3677">
        <v>35.099998474121101</v>
      </c>
      <c r="N3677">
        <v>14.699999809265099</v>
      </c>
      <c r="O3677">
        <v>20.399999618530298</v>
      </c>
      <c r="P3677">
        <v>28.299999237060501</v>
      </c>
      <c r="Q3677">
        <v>25</v>
      </c>
      <c r="R3677">
        <v>28.399999618530298</v>
      </c>
      <c r="S3677">
        <v>23.299999237060501</v>
      </c>
      <c r="T3677">
        <v>297</v>
      </c>
      <c r="U3677">
        <v>105</v>
      </c>
      <c r="V3677">
        <v>0</v>
      </c>
      <c r="W3677">
        <v>150</v>
      </c>
      <c r="X3677">
        <v>256</v>
      </c>
      <c r="Y3677">
        <v>1</v>
      </c>
      <c r="Z3677">
        <v>169</v>
      </c>
      <c r="AA3677">
        <v>3</v>
      </c>
      <c r="AB3677">
        <v>5.8638475965306904</v>
      </c>
      <c r="AC3677">
        <v>8.2237981352490004E-3</v>
      </c>
      <c r="AD3677">
        <v>0.79698720144395196</v>
      </c>
      <c r="AE3677">
        <v>0.32548409700393699</v>
      </c>
      <c r="AF3677">
        <v>8.7794361525704794</v>
      </c>
      <c r="AG3677">
        <f>IFERROR(AH3677*0.1, "N/A")</f>
        <v>6.4368159203980104</v>
      </c>
      <c r="AH3677">
        <v>64.368159203980099</v>
      </c>
      <c r="AI3677">
        <v>78.190362832241803</v>
      </c>
      <c r="AJ3677">
        <v>21.5555555555556</v>
      </c>
      <c r="AK3677">
        <v>61.114427860696502</v>
      </c>
    </row>
    <row r="3678" spans="1:37" x14ac:dyDescent="0.3">
      <c r="A3678">
        <v>3677</v>
      </c>
      <c r="B3678">
        <v>4.2</v>
      </c>
      <c r="C3678">
        <v>-13.928599999999999</v>
      </c>
      <c r="D3678">
        <v>15.985799999999999</v>
      </c>
      <c r="E3678">
        <f>-13.9286-15.9858</f>
        <v>-29.914400000000001</v>
      </c>
      <c r="F3678" t="s">
        <v>5769</v>
      </c>
      <c r="G3678" t="s">
        <v>39</v>
      </c>
      <c r="H3678">
        <v>2004</v>
      </c>
      <c r="I3678">
        <v>29.100000381469702</v>
      </c>
      <c r="J3678">
        <v>15</v>
      </c>
      <c r="K3678">
        <v>57</v>
      </c>
      <c r="L3678">
        <v>29.610000610351602</v>
      </c>
      <c r="M3678">
        <v>41.400001525878899</v>
      </c>
      <c r="N3678">
        <v>15.3999996185303</v>
      </c>
      <c r="O3678">
        <v>26</v>
      </c>
      <c r="P3678">
        <v>30.200000762939499</v>
      </c>
      <c r="Q3678">
        <v>26</v>
      </c>
      <c r="R3678">
        <v>32.5</v>
      </c>
      <c r="S3678">
        <v>24.700000762939499</v>
      </c>
      <c r="T3678">
        <v>306</v>
      </c>
      <c r="U3678">
        <v>107</v>
      </c>
      <c r="V3678">
        <v>0</v>
      </c>
      <c r="W3678">
        <v>146</v>
      </c>
      <c r="X3678">
        <v>267</v>
      </c>
      <c r="Y3678">
        <v>0</v>
      </c>
      <c r="Z3678">
        <v>92</v>
      </c>
      <c r="AA3678">
        <v>0</v>
      </c>
      <c r="AB3678">
        <v>0.79750394583145101</v>
      </c>
      <c r="AC3678">
        <v>1.8809640182185301</v>
      </c>
      <c r="AD3678">
        <v>1.4175336161588099</v>
      </c>
      <c r="AE3678">
        <v>0.242336586117744</v>
      </c>
      <c r="AF3678">
        <v>24.529118136439301</v>
      </c>
      <c r="AG3678">
        <f>IFERROR(AH3678*0.1, "N/A")</f>
        <v>6.4</v>
      </c>
      <c r="AH3678">
        <v>64</v>
      </c>
      <c r="AI3678">
        <v>68.239699717567703</v>
      </c>
      <c r="AJ3678">
        <v>13</v>
      </c>
      <c r="AK3678">
        <v>76.043261231281207</v>
      </c>
    </row>
    <row r="3679" spans="1:37" x14ac:dyDescent="0.3">
      <c r="A3679">
        <v>3678</v>
      </c>
      <c r="B3679">
        <v>0</v>
      </c>
      <c r="C3679">
        <v>-16.490801000000001</v>
      </c>
      <c r="D3679">
        <v>15.994400000000001</v>
      </c>
      <c r="E3679">
        <f>-16.490801-15.9944</f>
        <v>-32.485201000000004</v>
      </c>
      <c r="F3679" t="s">
        <v>5770</v>
      </c>
      <c r="G3679" t="s">
        <v>39</v>
      </c>
      <c r="H3679">
        <v>2004</v>
      </c>
      <c r="I3679">
        <v>24.5</v>
      </c>
      <c r="J3679">
        <v>9.9873753671234198</v>
      </c>
      <c r="K3679">
        <v>58.873754152823899</v>
      </c>
      <c r="L3679">
        <v>24.515648420466899</v>
      </c>
      <c r="M3679">
        <v>31.899999618530298</v>
      </c>
      <c r="N3679">
        <v>15.187375296786</v>
      </c>
      <c r="O3679">
        <v>16.7126251550212</v>
      </c>
      <c r="P3679">
        <v>27.512624632876602</v>
      </c>
      <c r="Q3679">
        <v>22.187376130062901</v>
      </c>
      <c r="R3679">
        <v>27.6126250143463</v>
      </c>
      <c r="S3679">
        <v>21.8873749856537</v>
      </c>
      <c r="T3679">
        <v>289</v>
      </c>
      <c r="U3679">
        <v>109</v>
      </c>
      <c r="V3679">
        <v>0</v>
      </c>
      <c r="W3679">
        <v>151</v>
      </c>
      <c r="X3679">
        <v>249</v>
      </c>
      <c r="Y3679">
        <v>0</v>
      </c>
      <c r="Z3679">
        <v>234</v>
      </c>
      <c r="AA3679">
        <v>1</v>
      </c>
      <c r="AB3679">
        <v>2.9694352292539299</v>
      </c>
      <c r="AC3679">
        <v>2.0489766271754001E-2</v>
      </c>
      <c r="AD3679">
        <v>0.90979115902585395</v>
      </c>
      <c r="AE3679">
        <v>0.74112302064895597</v>
      </c>
      <c r="AF3679">
        <v>3.1212624584717599</v>
      </c>
      <c r="AG3679">
        <f>IFERROR(AH3679*0.1, "N/A")</f>
        <v>6.3495016611295707</v>
      </c>
      <c r="AH3679">
        <v>63.495016611295704</v>
      </c>
      <c r="AI3679">
        <v>151.76062851966</v>
      </c>
      <c r="AJ3679">
        <v>23.378737541528199</v>
      </c>
      <c r="AK3679">
        <v>58.621262458471797</v>
      </c>
    </row>
    <row r="3680" spans="1:37" x14ac:dyDescent="0.3">
      <c r="A3680">
        <v>3679</v>
      </c>
      <c r="B3680">
        <v>0</v>
      </c>
      <c r="C3680">
        <v>-16.490801000000001</v>
      </c>
      <c r="D3680">
        <v>15.994400000000001</v>
      </c>
      <c r="E3680">
        <f>-16.490801-15.9944</f>
        <v>-32.485201000000004</v>
      </c>
      <c r="F3680" t="s">
        <v>5771</v>
      </c>
      <c r="G3680" t="s">
        <v>37</v>
      </c>
      <c r="H3680">
        <v>2003</v>
      </c>
      <c r="I3680">
        <v>24.5</v>
      </c>
      <c r="J3680">
        <v>9.9873753671234198</v>
      </c>
      <c r="K3680">
        <v>58.873754152823899</v>
      </c>
      <c r="L3680">
        <v>24.515648420466899</v>
      </c>
      <c r="M3680">
        <v>31.899999618530298</v>
      </c>
      <c r="N3680">
        <v>15.187375296786</v>
      </c>
      <c r="O3680">
        <v>16.7126251550212</v>
      </c>
      <c r="P3680">
        <v>27.512624632876602</v>
      </c>
      <c r="Q3680">
        <v>22.187376130062901</v>
      </c>
      <c r="R3680">
        <v>27.6126250143463</v>
      </c>
      <c r="S3680">
        <v>21.8873749856537</v>
      </c>
      <c r="T3680">
        <v>289</v>
      </c>
      <c r="U3680">
        <v>109</v>
      </c>
      <c r="V3680">
        <v>0</v>
      </c>
      <c r="W3680">
        <v>151</v>
      </c>
      <c r="X3680">
        <v>249</v>
      </c>
      <c r="Y3680">
        <v>0</v>
      </c>
      <c r="Z3680">
        <v>234</v>
      </c>
      <c r="AA3680">
        <v>1</v>
      </c>
      <c r="AB3680">
        <v>2.9694352292539299</v>
      </c>
      <c r="AC3680">
        <v>2.0489766271754001E-2</v>
      </c>
      <c r="AD3680">
        <v>0.90979115902585395</v>
      </c>
      <c r="AE3680">
        <v>0.74112302064895597</v>
      </c>
      <c r="AF3680">
        <v>3.1212624584717599</v>
      </c>
      <c r="AG3680">
        <f>IFERROR(AH3680*0.1, "N/A")</f>
        <v>6.3495016611295707</v>
      </c>
      <c r="AH3680">
        <v>63.495016611295704</v>
      </c>
      <c r="AI3680">
        <v>151.76062851966</v>
      </c>
      <c r="AJ3680">
        <v>23.378737541528199</v>
      </c>
      <c r="AK3680">
        <v>58.621262458471797</v>
      </c>
    </row>
    <row r="3681" spans="1:37" x14ac:dyDescent="0.3">
      <c r="A3681">
        <v>3680</v>
      </c>
      <c r="B3681">
        <v>0</v>
      </c>
      <c r="C3681">
        <v>-15.3249</v>
      </c>
      <c r="D3681">
        <v>15.9968</v>
      </c>
      <c r="E3681">
        <f>-15.3249-15.9968</f>
        <v>-31.3217</v>
      </c>
      <c r="F3681" t="s">
        <v>5772</v>
      </c>
      <c r="G3681" t="s">
        <v>39</v>
      </c>
      <c r="H3681">
        <v>1982</v>
      </c>
      <c r="I3681">
        <v>27.3201324253431</v>
      </c>
      <c r="J3681">
        <v>15.5</v>
      </c>
      <c r="K3681">
        <v>63</v>
      </c>
      <c r="L3681">
        <v>24.055973135492799</v>
      </c>
      <c r="M3681">
        <v>38.900001525878899</v>
      </c>
      <c r="N3681">
        <v>14.3999996185303</v>
      </c>
      <c r="O3681">
        <v>24.5</v>
      </c>
      <c r="P3681">
        <v>28.700000762939499</v>
      </c>
      <c r="Q3681">
        <v>28.200000762939499</v>
      </c>
      <c r="R3681">
        <v>29.899999618530298</v>
      </c>
      <c r="S3681">
        <v>23.600000381469702</v>
      </c>
      <c r="T3681">
        <v>327</v>
      </c>
      <c r="U3681">
        <v>109</v>
      </c>
      <c r="V3681">
        <v>0</v>
      </c>
      <c r="W3681">
        <v>140</v>
      </c>
      <c r="X3681">
        <v>273</v>
      </c>
      <c r="Y3681">
        <v>1</v>
      </c>
      <c r="Z3681">
        <v>80</v>
      </c>
      <c r="AA3681">
        <v>4</v>
      </c>
      <c r="AB3681">
        <v>0.89351025674981799</v>
      </c>
      <c r="AC3681">
        <v>1.1055367523045E-2</v>
      </c>
      <c r="AD3681">
        <v>1.9519375259189999</v>
      </c>
      <c r="AE3681">
        <v>0.55285254339013501</v>
      </c>
      <c r="AF3681">
        <v>40.612312811979997</v>
      </c>
      <c r="AG3681">
        <f>IFERROR(AH3681*0.1, "N/A")</f>
        <v>6.6194675540765404</v>
      </c>
      <c r="AH3681">
        <v>66.194675540765402</v>
      </c>
      <c r="AI3681">
        <v>134.56072541044901</v>
      </c>
      <c r="AJ3681">
        <v>11.8086522462562</v>
      </c>
      <c r="AK3681">
        <v>77.825291181364406</v>
      </c>
    </row>
    <row r="3682" spans="1:37" x14ac:dyDescent="0.3">
      <c r="A3682">
        <v>3681</v>
      </c>
      <c r="B3682">
        <v>0</v>
      </c>
      <c r="C3682">
        <v>-16.509198999999999</v>
      </c>
      <c r="D3682">
        <v>16.002199000000001</v>
      </c>
      <c r="E3682">
        <f>-16.509199-16.002199</f>
        <v>-32.511398</v>
      </c>
      <c r="F3682" t="s">
        <v>5773</v>
      </c>
      <c r="G3682" t="s">
        <v>39</v>
      </c>
      <c r="H3682">
        <v>2004</v>
      </c>
      <c r="I3682" t="s">
        <v>729</v>
      </c>
      <c r="J3682" t="s">
        <v>729</v>
      </c>
      <c r="K3682" t="s">
        <v>729</v>
      </c>
      <c r="L3682" t="s">
        <v>729</v>
      </c>
      <c r="M3682" t="s">
        <v>729</v>
      </c>
      <c r="N3682" t="s">
        <v>729</v>
      </c>
      <c r="O3682" t="s">
        <v>729</v>
      </c>
      <c r="P3682" t="s">
        <v>729</v>
      </c>
      <c r="Q3682" t="s">
        <v>729</v>
      </c>
      <c r="R3682" t="s">
        <v>729</v>
      </c>
      <c r="S3682" t="s">
        <v>729</v>
      </c>
      <c r="T3682" t="s">
        <v>729</v>
      </c>
      <c r="U3682" t="s">
        <v>729</v>
      </c>
      <c r="V3682" t="s">
        <v>729</v>
      </c>
      <c r="W3682" t="s">
        <v>729</v>
      </c>
      <c r="X3682" t="s">
        <v>729</v>
      </c>
      <c r="Y3682" t="s">
        <v>729</v>
      </c>
      <c r="Z3682" t="s">
        <v>729</v>
      </c>
      <c r="AA3682" t="s">
        <v>729</v>
      </c>
      <c r="AB3682">
        <v>4.1631667792797096</v>
      </c>
      <c r="AC3682">
        <v>8.2229091009749997E-3</v>
      </c>
      <c r="AD3682">
        <v>0.66514982908964104</v>
      </c>
      <c r="AE3682">
        <v>0.60463041067123402</v>
      </c>
      <c r="AF3682">
        <v>3.6816666666666702</v>
      </c>
      <c r="AG3682">
        <f>IFERROR(AH3682*0.1, "N/A")</f>
        <v>7.120000000000001</v>
      </c>
      <c r="AH3682">
        <v>71.2</v>
      </c>
      <c r="AI3682">
        <v>163.67915476481099</v>
      </c>
      <c r="AJ3682">
        <v>23.2</v>
      </c>
      <c r="AK3682">
        <v>56.8</v>
      </c>
    </row>
    <row r="3683" spans="1:37" x14ac:dyDescent="0.3">
      <c r="A3683">
        <v>3682</v>
      </c>
      <c r="B3683">
        <v>0</v>
      </c>
      <c r="C3683">
        <v>-16.495000999999998</v>
      </c>
      <c r="D3683">
        <v>16.006398999999998</v>
      </c>
      <c r="E3683">
        <f>-16.495001-16.006399</f>
        <v>-32.501399999999997</v>
      </c>
      <c r="F3683" t="s">
        <v>5774</v>
      </c>
      <c r="G3683" t="s">
        <v>39</v>
      </c>
      <c r="H3683">
        <v>2004</v>
      </c>
      <c r="I3683">
        <v>24.399999618530298</v>
      </c>
      <c r="J3683">
        <v>9.8000001907348597</v>
      </c>
      <c r="K3683">
        <v>58</v>
      </c>
      <c r="L3683">
        <v>25.030000686645501</v>
      </c>
      <c r="M3683">
        <v>31.899999618530298</v>
      </c>
      <c r="N3683">
        <v>15.199999809265099</v>
      </c>
      <c r="O3683">
        <v>16.700000762939499</v>
      </c>
      <c r="P3683">
        <v>27.5</v>
      </c>
      <c r="Q3683">
        <v>22.100000381469702</v>
      </c>
      <c r="R3683">
        <v>27.700000762939499</v>
      </c>
      <c r="S3683">
        <v>21.799999237060501</v>
      </c>
      <c r="T3683">
        <v>287</v>
      </c>
      <c r="U3683">
        <v>108</v>
      </c>
      <c r="V3683">
        <v>0</v>
      </c>
      <c r="W3683">
        <v>155</v>
      </c>
      <c r="X3683">
        <v>247</v>
      </c>
      <c r="Y3683">
        <v>0</v>
      </c>
      <c r="Z3683">
        <v>232</v>
      </c>
      <c r="AA3683">
        <v>1</v>
      </c>
      <c r="AB3683">
        <v>4.3077945634104902</v>
      </c>
      <c r="AC3683">
        <v>1.9022776067231999E-2</v>
      </c>
      <c r="AD3683">
        <v>1.07649854304976</v>
      </c>
      <c r="AE3683">
        <v>0.79124568914299598</v>
      </c>
      <c r="AF3683">
        <v>2.2255389718076302</v>
      </c>
      <c r="AG3683">
        <f>IFERROR(AH3683*0.1, "N/A")</f>
        <v>7.0842454394693206</v>
      </c>
      <c r="AH3683">
        <v>70.842454394693206</v>
      </c>
      <c r="AI3683">
        <v>278.17748719780002</v>
      </c>
      <c r="AJ3683">
        <v>26.923714759535699</v>
      </c>
      <c r="AK3683">
        <v>57.955223880597003</v>
      </c>
    </row>
    <row r="3684" spans="1:37" x14ac:dyDescent="0.3">
      <c r="A3684">
        <v>3683</v>
      </c>
      <c r="B3684">
        <v>0</v>
      </c>
      <c r="C3684">
        <v>-15.907500000000001</v>
      </c>
      <c r="D3684">
        <v>16.007200000000001</v>
      </c>
      <c r="E3684">
        <f>-15.9075-16.0072</f>
        <v>-31.914700000000003</v>
      </c>
      <c r="F3684" t="s">
        <v>5775</v>
      </c>
      <c r="G3684" t="s">
        <v>39</v>
      </c>
      <c r="H3684">
        <v>1983</v>
      </c>
      <c r="I3684">
        <v>26.501658381118901</v>
      </c>
      <c r="J3684">
        <v>14.0985078384627</v>
      </c>
      <c r="K3684">
        <v>68</v>
      </c>
      <c r="L3684">
        <v>20.870514912391801</v>
      </c>
      <c r="M3684">
        <v>35.3001651352713</v>
      </c>
      <c r="N3684">
        <v>14.6031512755462</v>
      </c>
      <c r="O3684">
        <v>20.6970156769254</v>
      </c>
      <c r="P3684">
        <v>28.403150542656199</v>
      </c>
      <c r="Q3684">
        <v>25.101658762588599</v>
      </c>
      <c r="R3684">
        <v>28.501658381118901</v>
      </c>
      <c r="S3684">
        <v>23.399999618530298</v>
      </c>
      <c r="T3684">
        <v>292.95024875621903</v>
      </c>
      <c r="U3684">
        <v>103.983416252073</v>
      </c>
      <c r="V3684">
        <v>0</v>
      </c>
      <c r="W3684">
        <v>147.966832504146</v>
      </c>
      <c r="X3684">
        <v>251.966832504146</v>
      </c>
      <c r="Y3684">
        <v>1</v>
      </c>
      <c r="Z3684">
        <v>224.124378109453</v>
      </c>
      <c r="AA3684">
        <v>3</v>
      </c>
      <c r="AB3684">
        <v>5.1328359444936096</v>
      </c>
      <c r="AC3684">
        <v>7.5832267497260006E-2</v>
      </c>
      <c r="AD3684">
        <v>1.87934400647829</v>
      </c>
      <c r="AE3684">
        <v>0.28560549020767201</v>
      </c>
      <c r="AF3684">
        <v>8.1393034825870707</v>
      </c>
      <c r="AG3684">
        <f>IFERROR(AH3684*0.1, "N/A")</f>
        <v>6.7609427609427604</v>
      </c>
      <c r="AH3684">
        <v>67.609427609427598</v>
      </c>
      <c r="AI3684">
        <v>175.09321127364899</v>
      </c>
      <c r="AJ3684">
        <v>21.2188552188552</v>
      </c>
      <c r="AK3684">
        <v>60.171717171717198</v>
      </c>
    </row>
    <row r="3685" spans="1:37" x14ac:dyDescent="0.3">
      <c r="A3685">
        <v>3684</v>
      </c>
      <c r="B3685">
        <v>0</v>
      </c>
      <c r="C3685">
        <v>-13.693199999999999</v>
      </c>
      <c r="D3685">
        <v>16.007899999999999</v>
      </c>
      <c r="E3685">
        <f>-13.6932-16.0079</f>
        <v>-29.701099999999997</v>
      </c>
      <c r="F3685" t="s">
        <v>5776</v>
      </c>
      <c r="G3685" t="s">
        <v>39</v>
      </c>
      <c r="H3685">
        <v>2004</v>
      </c>
      <c r="I3685">
        <v>29.399999618530298</v>
      </c>
      <c r="J3685">
        <v>14.800000190734901</v>
      </c>
      <c r="K3685">
        <v>57</v>
      </c>
      <c r="L3685">
        <v>29.805349239083199</v>
      </c>
      <c r="M3685">
        <v>41.700000762939503</v>
      </c>
      <c r="N3685">
        <v>15.845348768456001</v>
      </c>
      <c r="O3685">
        <v>25.8546506083289</v>
      </c>
      <c r="P3685">
        <v>30.299999237060501</v>
      </c>
      <c r="Q3685">
        <v>26.345348247261899</v>
      </c>
      <c r="R3685">
        <v>32.900001525878899</v>
      </c>
      <c r="S3685">
        <v>25.100000381469702</v>
      </c>
      <c r="T3685">
        <v>298.09302325581399</v>
      </c>
      <c r="U3685">
        <v>108.54651162790699</v>
      </c>
      <c r="V3685">
        <v>0</v>
      </c>
      <c r="W3685">
        <v>149</v>
      </c>
      <c r="X3685">
        <v>261.54651162790702</v>
      </c>
      <c r="Y3685">
        <v>1</v>
      </c>
      <c r="Z3685">
        <v>19</v>
      </c>
      <c r="AA3685">
        <v>1</v>
      </c>
      <c r="AB3685">
        <v>5.9302333502278399</v>
      </c>
      <c r="AC3685">
        <v>0.112825387519509</v>
      </c>
      <c r="AD3685">
        <v>2.3803669667719198</v>
      </c>
      <c r="AE3685">
        <v>0.37395362650041197</v>
      </c>
      <c r="AF3685">
        <v>18.835548172757498</v>
      </c>
      <c r="AG3685">
        <f>IFERROR(AH3685*0.1, "N/A")</f>
        <v>6.8000000000000007</v>
      </c>
      <c r="AH3685">
        <v>68</v>
      </c>
      <c r="AI3685">
        <v>92.880115547053407</v>
      </c>
      <c r="AJ3685">
        <v>19</v>
      </c>
      <c r="AK3685">
        <v>62.053156146179397</v>
      </c>
    </row>
    <row r="3686" spans="1:37" x14ac:dyDescent="0.3">
      <c r="A3686">
        <v>3685</v>
      </c>
      <c r="B3686">
        <v>0</v>
      </c>
      <c r="C3686">
        <v>-15.9017</v>
      </c>
      <c r="D3686">
        <v>16.014199999999999</v>
      </c>
      <c r="E3686">
        <f>-15.9017-16.0142</f>
        <v>-31.915900000000001</v>
      </c>
      <c r="F3686" t="s">
        <v>5777</v>
      </c>
      <c r="G3686" t="s">
        <v>39</v>
      </c>
      <c r="H3686">
        <v>1983</v>
      </c>
      <c r="I3686">
        <v>26.600000381469702</v>
      </c>
      <c r="J3686">
        <v>14.1000003814697</v>
      </c>
      <c r="K3686">
        <v>68</v>
      </c>
      <c r="L3686">
        <v>21</v>
      </c>
      <c r="M3686">
        <v>35.400001525878899</v>
      </c>
      <c r="N3686">
        <v>14.699999809265099</v>
      </c>
      <c r="O3686">
        <v>20.700000762939499</v>
      </c>
      <c r="P3686">
        <v>28.5</v>
      </c>
      <c r="Q3686">
        <v>25.200000762939499</v>
      </c>
      <c r="R3686">
        <v>28.600000381469702</v>
      </c>
      <c r="S3686">
        <v>23.399999618530298</v>
      </c>
      <c r="T3686">
        <v>290</v>
      </c>
      <c r="U3686">
        <v>103</v>
      </c>
      <c r="V3686">
        <v>0</v>
      </c>
      <c r="W3686">
        <v>146</v>
      </c>
      <c r="X3686">
        <v>250</v>
      </c>
      <c r="Y3686">
        <v>1</v>
      </c>
      <c r="Z3686">
        <v>166</v>
      </c>
      <c r="AA3686">
        <v>3</v>
      </c>
      <c r="AB3686">
        <v>4.7860233811491097</v>
      </c>
      <c r="AC3686">
        <v>2.2669854149308999E-2</v>
      </c>
      <c r="AD3686">
        <v>2.3620371124311998</v>
      </c>
      <c r="AE3686">
        <v>0.227418817517761</v>
      </c>
      <c r="AF3686">
        <v>8.8735440931780403</v>
      </c>
      <c r="AG3686">
        <f>IFERROR(AH3686*0.1, "N/A")</f>
        <v>6.3000000000000007</v>
      </c>
      <c r="AH3686">
        <v>63</v>
      </c>
      <c r="AI3686">
        <v>256.296177919613</v>
      </c>
      <c r="AJ3686">
        <v>24</v>
      </c>
      <c r="AK3686">
        <v>50</v>
      </c>
    </row>
    <row r="3687" spans="1:37" x14ac:dyDescent="0.3">
      <c r="A3687">
        <v>3686</v>
      </c>
      <c r="B3687">
        <v>0</v>
      </c>
      <c r="C3687">
        <v>-16.4953</v>
      </c>
      <c r="D3687">
        <v>16.018599999999999</v>
      </c>
      <c r="E3687">
        <f>-16.4953-16.0186</f>
        <v>-32.5139</v>
      </c>
      <c r="F3687" t="s">
        <v>5778</v>
      </c>
      <c r="G3687" t="s">
        <v>39</v>
      </c>
      <c r="H3687">
        <v>2004</v>
      </c>
      <c r="I3687">
        <v>24.5</v>
      </c>
      <c r="J3687">
        <v>9.8999996185302699</v>
      </c>
      <c r="K3687">
        <v>59</v>
      </c>
      <c r="L3687">
        <v>24.75</v>
      </c>
      <c r="M3687">
        <v>31.899999618530298</v>
      </c>
      <c r="N3687">
        <v>15.199999809265099</v>
      </c>
      <c r="O3687">
        <v>16.700000762939499</v>
      </c>
      <c r="P3687">
        <v>27.5</v>
      </c>
      <c r="Q3687">
        <v>22.200000762939499</v>
      </c>
      <c r="R3687">
        <v>27.700000762939499</v>
      </c>
      <c r="S3687">
        <v>21.899999618530298</v>
      </c>
      <c r="T3687">
        <v>284</v>
      </c>
      <c r="U3687">
        <v>107</v>
      </c>
      <c r="V3687">
        <v>0</v>
      </c>
      <c r="W3687">
        <v>154</v>
      </c>
      <c r="X3687">
        <v>244</v>
      </c>
      <c r="Y3687">
        <v>0</v>
      </c>
      <c r="Z3687">
        <v>230</v>
      </c>
      <c r="AA3687">
        <v>1</v>
      </c>
      <c r="AB3687">
        <v>2.2049918571446798</v>
      </c>
      <c r="AC3687">
        <v>9.7271370439610001E-3</v>
      </c>
      <c r="AD3687">
        <v>1.06765232952978</v>
      </c>
      <c r="AE3687">
        <v>0.84423674015752903</v>
      </c>
      <c r="AF3687">
        <v>3.2695507487520801</v>
      </c>
      <c r="AG3687">
        <f>IFERROR(AH3687*0.1, "N/A")</f>
        <v>7.2262895174708808</v>
      </c>
      <c r="AH3687">
        <v>72.262895174708802</v>
      </c>
      <c r="AI3687">
        <v>216.41214155555801</v>
      </c>
      <c r="AJ3687">
        <v>25.0965058236273</v>
      </c>
      <c r="AK3687">
        <v>56.868552412645599</v>
      </c>
    </row>
    <row r="3688" spans="1:37" x14ac:dyDescent="0.3">
      <c r="A3688">
        <v>3687</v>
      </c>
      <c r="B3688">
        <v>0</v>
      </c>
      <c r="C3688">
        <v>-16.509398999999998</v>
      </c>
      <c r="D3688">
        <v>16.02</v>
      </c>
      <c r="E3688">
        <f>-16.509399-16.02</f>
        <v>-32.529398999999998</v>
      </c>
      <c r="F3688" t="s">
        <v>5779</v>
      </c>
      <c r="G3688" t="s">
        <v>39</v>
      </c>
      <c r="H3688">
        <v>2004</v>
      </c>
      <c r="I3688" t="s">
        <v>729</v>
      </c>
      <c r="J3688" t="s">
        <v>729</v>
      </c>
      <c r="K3688" t="s">
        <v>729</v>
      </c>
      <c r="L3688" t="s">
        <v>729</v>
      </c>
      <c r="M3688" t="s">
        <v>729</v>
      </c>
      <c r="N3688" t="s">
        <v>729</v>
      </c>
      <c r="O3688" t="s">
        <v>729</v>
      </c>
      <c r="P3688" t="s">
        <v>729</v>
      </c>
      <c r="Q3688" t="s">
        <v>729</v>
      </c>
      <c r="R3688" t="s">
        <v>729</v>
      </c>
      <c r="S3688" t="s">
        <v>729</v>
      </c>
      <c r="T3688" t="s">
        <v>729</v>
      </c>
      <c r="U3688" t="s">
        <v>729</v>
      </c>
      <c r="V3688" t="s">
        <v>729</v>
      </c>
      <c r="W3688" t="s">
        <v>729</v>
      </c>
      <c r="X3688" t="s">
        <v>729</v>
      </c>
      <c r="Y3688" t="s">
        <v>729</v>
      </c>
      <c r="Z3688" t="s">
        <v>729</v>
      </c>
      <c r="AA3688" t="s">
        <v>729</v>
      </c>
      <c r="AB3688">
        <v>0</v>
      </c>
      <c r="AC3688">
        <v>8.2221854919270008E-3</v>
      </c>
      <c r="AD3688">
        <v>2.31164800390503</v>
      </c>
      <c r="AE3688">
        <v>0.64808171987533603</v>
      </c>
      <c r="AF3688">
        <v>2.7897350993377499</v>
      </c>
      <c r="AG3688" t="str">
        <f>IFERROR(AH3688*0.1, "N/A")</f>
        <v>N/A</v>
      </c>
      <c r="AH3688" t="s">
        <v>729</v>
      </c>
      <c r="AI3688">
        <v>209.05386269171501</v>
      </c>
      <c r="AJ3688" t="s">
        <v>729</v>
      </c>
      <c r="AK3688" t="s">
        <v>729</v>
      </c>
    </row>
    <row r="3689" spans="1:37" x14ac:dyDescent="0.3">
      <c r="A3689">
        <v>3688</v>
      </c>
      <c r="B3689">
        <v>23</v>
      </c>
      <c r="C3689">
        <v>-13.385</v>
      </c>
      <c r="D3689">
        <v>16.021000000000001</v>
      </c>
      <c r="E3689">
        <f>-13.385-16.021</f>
        <v>-29.405999999999999</v>
      </c>
      <c r="F3689" t="s">
        <v>5780</v>
      </c>
      <c r="G3689" t="s">
        <v>39</v>
      </c>
      <c r="H3689">
        <v>1987</v>
      </c>
      <c r="I3689">
        <v>29.700000762939499</v>
      </c>
      <c r="J3689">
        <v>14.699999809265099</v>
      </c>
      <c r="K3689">
        <v>56</v>
      </c>
      <c r="L3689">
        <v>30.459999084472699</v>
      </c>
      <c r="M3689">
        <v>42.099998474121101</v>
      </c>
      <c r="N3689">
        <v>16</v>
      </c>
      <c r="O3689">
        <v>26.100000381469702</v>
      </c>
      <c r="P3689">
        <v>30.399999618530298</v>
      </c>
      <c r="Q3689">
        <v>26.600000381469702</v>
      </c>
      <c r="R3689">
        <v>33.400001525878899</v>
      </c>
      <c r="S3689">
        <v>25.399999618530298</v>
      </c>
      <c r="T3689">
        <v>309</v>
      </c>
      <c r="U3689">
        <v>115</v>
      </c>
      <c r="V3689">
        <v>0</v>
      </c>
      <c r="W3689">
        <v>149</v>
      </c>
      <c r="X3689">
        <v>271</v>
      </c>
      <c r="Y3689">
        <v>1</v>
      </c>
      <c r="Z3689">
        <v>20</v>
      </c>
      <c r="AA3689">
        <v>1</v>
      </c>
      <c r="AB3689">
        <v>5.07537196766246</v>
      </c>
      <c r="AC3689">
        <v>1.3236986596352999E-2</v>
      </c>
      <c r="AD3689">
        <v>1.2914501214815599</v>
      </c>
      <c r="AE3689">
        <v>0.26207497715950001</v>
      </c>
      <c r="AF3689">
        <v>15.1057851239669</v>
      </c>
      <c r="AG3689">
        <f>IFERROR(AH3689*0.1, "N/A")</f>
        <v>6.7</v>
      </c>
      <c r="AH3689">
        <v>67</v>
      </c>
      <c r="AI3689">
        <v>155.15346583216601</v>
      </c>
      <c r="AJ3689">
        <v>22.019834710743801</v>
      </c>
      <c r="AK3689">
        <v>61.970247933884302</v>
      </c>
    </row>
    <row r="3690" spans="1:37" x14ac:dyDescent="0.3">
      <c r="A3690">
        <v>3689</v>
      </c>
      <c r="B3690">
        <v>0</v>
      </c>
      <c r="C3690">
        <v>-16.487801000000001</v>
      </c>
      <c r="D3690">
        <v>16.021099</v>
      </c>
      <c r="E3690">
        <f>-16.487801-16.021099</f>
        <v>-32.508899999999997</v>
      </c>
      <c r="F3690" t="s">
        <v>5781</v>
      </c>
      <c r="G3690" t="s">
        <v>39</v>
      </c>
      <c r="H3690">
        <v>2004</v>
      </c>
      <c r="I3690">
        <v>24.5</v>
      </c>
      <c r="J3690">
        <v>10</v>
      </c>
      <c r="K3690">
        <v>59</v>
      </c>
      <c r="L3690">
        <v>24.079999923706101</v>
      </c>
      <c r="M3690">
        <v>32</v>
      </c>
      <c r="N3690">
        <v>15.199999809265099</v>
      </c>
      <c r="O3690">
        <v>16.799999237060501</v>
      </c>
      <c r="P3690">
        <v>27.5</v>
      </c>
      <c r="Q3690">
        <v>22.299999237060501</v>
      </c>
      <c r="R3690">
        <v>27.700000762939499</v>
      </c>
      <c r="S3690">
        <v>22</v>
      </c>
      <c r="T3690">
        <v>284</v>
      </c>
      <c r="U3690">
        <v>107</v>
      </c>
      <c r="V3690">
        <v>0</v>
      </c>
      <c r="W3690">
        <v>154</v>
      </c>
      <c r="X3690">
        <v>244</v>
      </c>
      <c r="Y3690">
        <v>0</v>
      </c>
      <c r="Z3690">
        <v>230</v>
      </c>
      <c r="AA3690">
        <v>1</v>
      </c>
      <c r="AB3690">
        <v>4.14667770791291</v>
      </c>
      <c r="AC3690">
        <v>8.6592122157449995E-3</v>
      </c>
      <c r="AD3690">
        <v>0.95441716127221399</v>
      </c>
      <c r="AE3690">
        <v>0.85366988182067904</v>
      </c>
      <c r="AF3690">
        <v>6.4202657807309</v>
      </c>
      <c r="AG3690">
        <f>IFERROR(AH3690*0.1, "N/A")</f>
        <v>6.9403654485049806</v>
      </c>
      <c r="AH3690">
        <v>69.403654485049799</v>
      </c>
      <c r="AI3690">
        <v>122.44940952922001</v>
      </c>
      <c r="AJ3690">
        <v>23.403654485049799</v>
      </c>
      <c r="AK3690">
        <v>57.596345514950201</v>
      </c>
    </row>
    <row r="3691" spans="1:37" x14ac:dyDescent="0.3">
      <c r="A3691">
        <v>3690</v>
      </c>
      <c r="B3691">
        <v>27.5</v>
      </c>
      <c r="C3691">
        <v>-13.384499999999999</v>
      </c>
      <c r="D3691">
        <v>16.0212</v>
      </c>
      <c r="E3691">
        <f>-13.3845-16.0212</f>
        <v>-29.4057</v>
      </c>
      <c r="F3691" t="s">
        <v>5782</v>
      </c>
      <c r="G3691" t="s">
        <v>39</v>
      </c>
      <c r="H3691">
        <v>2004</v>
      </c>
      <c r="I3691">
        <v>29.700000762939499</v>
      </c>
      <c r="J3691">
        <v>14.699999809265099</v>
      </c>
      <c r="K3691">
        <v>56</v>
      </c>
      <c r="L3691">
        <v>30.459999084472699</v>
      </c>
      <c r="M3691">
        <v>42.099998474121101</v>
      </c>
      <c r="N3691">
        <v>16</v>
      </c>
      <c r="O3691">
        <v>26.100000381469702</v>
      </c>
      <c r="P3691">
        <v>30.399999618530298</v>
      </c>
      <c r="Q3691">
        <v>26.600000381469702</v>
      </c>
      <c r="R3691">
        <v>33.400001525878899</v>
      </c>
      <c r="S3691">
        <v>25.399999618530298</v>
      </c>
      <c r="T3691">
        <v>309</v>
      </c>
      <c r="U3691">
        <v>115</v>
      </c>
      <c r="V3691">
        <v>0</v>
      </c>
      <c r="W3691">
        <v>149</v>
      </c>
      <c r="X3691">
        <v>271</v>
      </c>
      <c r="Y3691">
        <v>1</v>
      </c>
      <c r="Z3691">
        <v>20</v>
      </c>
      <c r="AA3691">
        <v>1</v>
      </c>
      <c r="AB3691">
        <v>5.3284527926199097</v>
      </c>
      <c r="AC3691">
        <v>1.0889904114872E-2</v>
      </c>
      <c r="AD3691">
        <v>0.54959596294333302</v>
      </c>
      <c r="AE3691">
        <v>0.26207497715950001</v>
      </c>
      <c r="AF3691">
        <v>14.312811980033301</v>
      </c>
      <c r="AG3691">
        <f>IFERROR(AH3691*0.1, "N/A")</f>
        <v>6.7</v>
      </c>
      <c r="AH3691">
        <v>67</v>
      </c>
      <c r="AI3691">
        <v>113.375814326789</v>
      </c>
      <c r="AJ3691">
        <v>22</v>
      </c>
      <c r="AK3691">
        <v>62</v>
      </c>
    </row>
    <row r="3692" spans="1:37" x14ac:dyDescent="0.3">
      <c r="A3692">
        <v>3691</v>
      </c>
      <c r="B3692">
        <v>0</v>
      </c>
      <c r="C3692">
        <v>-16.508600000000001</v>
      </c>
      <c r="D3692">
        <v>16.024699999999999</v>
      </c>
      <c r="E3692">
        <f>-16.5086-16.0247</f>
        <v>-32.533299999999997</v>
      </c>
      <c r="F3692" t="s">
        <v>5783</v>
      </c>
      <c r="G3692" t="s">
        <v>39</v>
      </c>
      <c r="H3692">
        <v>2004</v>
      </c>
      <c r="I3692" t="s">
        <v>729</v>
      </c>
      <c r="J3692" t="s">
        <v>729</v>
      </c>
      <c r="K3692" t="s">
        <v>729</v>
      </c>
      <c r="L3692" t="s">
        <v>729</v>
      </c>
      <c r="M3692" t="s">
        <v>729</v>
      </c>
      <c r="N3692" t="s">
        <v>729</v>
      </c>
      <c r="O3692" t="s">
        <v>729</v>
      </c>
      <c r="P3692" t="s">
        <v>729</v>
      </c>
      <c r="Q3692" t="s">
        <v>729</v>
      </c>
      <c r="R3692" t="s">
        <v>729</v>
      </c>
      <c r="S3692" t="s">
        <v>729</v>
      </c>
      <c r="T3692" t="s">
        <v>729</v>
      </c>
      <c r="U3692" t="s">
        <v>729</v>
      </c>
      <c r="V3692" t="s">
        <v>729</v>
      </c>
      <c r="W3692" t="s">
        <v>729</v>
      </c>
      <c r="X3692" t="s">
        <v>729</v>
      </c>
      <c r="Y3692" t="s">
        <v>729</v>
      </c>
      <c r="Z3692" t="s">
        <v>729</v>
      </c>
      <c r="AA3692" t="s">
        <v>729</v>
      </c>
      <c r="AB3692">
        <v>3.9960198726622398</v>
      </c>
      <c r="AC3692">
        <v>1.1071727098357E-2</v>
      </c>
      <c r="AD3692">
        <v>1.7576804394350301</v>
      </c>
      <c r="AE3692">
        <v>0.64808171987533603</v>
      </c>
      <c r="AF3692">
        <v>6.2072968490878901</v>
      </c>
      <c r="AG3692">
        <f>IFERROR(AH3692*0.1, "N/A")</f>
        <v>6.7033333333333305</v>
      </c>
      <c r="AH3692">
        <v>67.033333333333303</v>
      </c>
      <c r="AI3692">
        <v>214.17456870767001</v>
      </c>
      <c r="AJ3692">
        <v>23.966666666666701</v>
      </c>
      <c r="AK3692">
        <v>59.011111111111099</v>
      </c>
    </row>
    <row r="3693" spans="1:37" x14ac:dyDescent="0.3">
      <c r="A3693">
        <v>3692</v>
      </c>
      <c r="B3693">
        <v>0</v>
      </c>
      <c r="C3693">
        <v>-16.489201000000001</v>
      </c>
      <c r="D3693">
        <v>16.024999999999999</v>
      </c>
      <c r="E3693">
        <f>-16.489201-16.025</f>
        <v>-32.514201</v>
      </c>
      <c r="F3693" t="s">
        <v>5784</v>
      </c>
      <c r="G3693" t="s">
        <v>39</v>
      </c>
      <c r="H3693">
        <v>2005</v>
      </c>
      <c r="I3693">
        <v>24.5479203159123</v>
      </c>
      <c r="J3693">
        <v>10.0479203159123</v>
      </c>
      <c r="K3693">
        <v>59.479201331114801</v>
      </c>
      <c r="L3693">
        <v>24.161464186555701</v>
      </c>
      <c r="M3693">
        <v>32</v>
      </c>
      <c r="N3693">
        <v>15.199999809265099</v>
      </c>
      <c r="O3693">
        <v>16.799999237060501</v>
      </c>
      <c r="P3693">
        <v>27.5479203159123</v>
      </c>
      <c r="Q3693">
        <v>22.347919552972801</v>
      </c>
      <c r="R3693">
        <v>27.747920164847699</v>
      </c>
      <c r="S3693">
        <v>22.095840631824601</v>
      </c>
      <c r="T3693">
        <v>283.04159733776999</v>
      </c>
      <c r="U3693">
        <v>106.52079866888501</v>
      </c>
      <c r="V3693">
        <v>0</v>
      </c>
      <c r="W3693">
        <v>153.52079866888499</v>
      </c>
      <c r="X3693">
        <v>243.52079866888499</v>
      </c>
      <c r="Y3693">
        <v>0</v>
      </c>
      <c r="Z3693">
        <v>229.04159733777001</v>
      </c>
      <c r="AA3693">
        <v>1.47920133111481</v>
      </c>
      <c r="AB3693">
        <v>3.4574043064466502</v>
      </c>
      <c r="AC3693">
        <v>1.0575019983813E-2</v>
      </c>
      <c r="AD3693">
        <v>0.55043638689744101</v>
      </c>
      <c r="AE3693">
        <v>0.85366988182067904</v>
      </c>
      <c r="AF3693">
        <v>5.72545757071547</v>
      </c>
      <c r="AG3693">
        <f>IFERROR(AH3693*0.1, "N/A")</f>
        <v>7.1532445923460903</v>
      </c>
      <c r="AH3693">
        <v>71.532445923460898</v>
      </c>
      <c r="AI3693">
        <v>160.85089397589101</v>
      </c>
      <c r="AJ3693">
        <v>22.733777038269601</v>
      </c>
      <c r="AK3693">
        <v>59</v>
      </c>
    </row>
    <row r="3694" spans="1:37" x14ac:dyDescent="0.3">
      <c r="A3694">
        <v>3693</v>
      </c>
      <c r="B3694">
        <v>0</v>
      </c>
      <c r="C3694">
        <v>-16.474701</v>
      </c>
      <c r="D3694">
        <v>16.0261</v>
      </c>
      <c r="E3694">
        <f>-16.474701-16.0261</f>
        <v>-32.500800999999996</v>
      </c>
      <c r="F3694" t="s">
        <v>5785</v>
      </c>
      <c r="G3694" t="s">
        <v>39</v>
      </c>
      <c r="H3694">
        <v>2004</v>
      </c>
      <c r="I3694">
        <v>24.700000762939499</v>
      </c>
      <c r="J3694">
        <v>10.365723444895799</v>
      </c>
      <c r="K3694">
        <v>60</v>
      </c>
      <c r="L3694">
        <v>23.1931113784206</v>
      </c>
      <c r="M3694">
        <v>32.200000762939503</v>
      </c>
      <c r="N3694">
        <v>15.117138386566101</v>
      </c>
      <c r="O3694">
        <v>17.082862212931701</v>
      </c>
      <c r="P3694">
        <v>27.600000381469702</v>
      </c>
      <c r="Q3694">
        <v>22.665724425863299</v>
      </c>
      <c r="R3694">
        <v>27.717138604594201</v>
      </c>
      <c r="S3694">
        <v>22.382861449992198</v>
      </c>
      <c r="T3694">
        <v>281.17138103161398</v>
      </c>
      <c r="U3694">
        <v>105.171381031614</v>
      </c>
      <c r="V3694">
        <v>0</v>
      </c>
      <c r="W3694">
        <v>152.171381031614</v>
      </c>
      <c r="X3694">
        <v>242.171381031614</v>
      </c>
      <c r="Y3694">
        <v>0</v>
      </c>
      <c r="Z3694">
        <v>227.171381031614</v>
      </c>
      <c r="AA3694">
        <v>3.65723793677205</v>
      </c>
      <c r="AB3694">
        <v>0.92529121433042305</v>
      </c>
      <c r="AC3694">
        <v>8.2219263861040004E-3</v>
      </c>
      <c r="AD3694">
        <v>1.07145220041275</v>
      </c>
      <c r="AE3694">
        <v>0.49176869951746399</v>
      </c>
      <c r="AF3694">
        <v>2.1996672212978399</v>
      </c>
      <c r="AG3694">
        <f>IFERROR(AH3694*0.1, "N/A")</f>
        <v>7.5945091514143108</v>
      </c>
      <c r="AH3694">
        <v>75.945091514143101</v>
      </c>
      <c r="AI3694">
        <v>77.318381196845607</v>
      </c>
      <c r="AJ3694">
        <v>26.103161397670601</v>
      </c>
      <c r="AK3694">
        <v>51.439267886855198</v>
      </c>
    </row>
    <row r="3695" spans="1:37" x14ac:dyDescent="0.3">
      <c r="A3695">
        <v>3694</v>
      </c>
      <c r="B3695">
        <v>2</v>
      </c>
      <c r="C3695">
        <v>-16.4953</v>
      </c>
      <c r="D3695">
        <v>16.0275</v>
      </c>
      <c r="E3695">
        <f>-16.4953-16.0275</f>
        <v>-32.522800000000004</v>
      </c>
      <c r="F3695" t="s">
        <v>5786</v>
      </c>
      <c r="G3695" t="s">
        <v>37</v>
      </c>
      <c r="H3695">
        <v>2003</v>
      </c>
      <c r="I3695">
        <v>24.5</v>
      </c>
      <c r="J3695">
        <v>10</v>
      </c>
      <c r="K3695">
        <v>59</v>
      </c>
      <c r="L3695">
        <v>24.190000534057599</v>
      </c>
      <c r="M3695">
        <v>32</v>
      </c>
      <c r="N3695">
        <v>15.300000190734901</v>
      </c>
      <c r="O3695">
        <v>16.700000762939499</v>
      </c>
      <c r="P3695">
        <v>27.5</v>
      </c>
      <c r="Q3695">
        <v>22.299999237060501</v>
      </c>
      <c r="R3695">
        <v>27.700000762939499</v>
      </c>
      <c r="S3695">
        <v>22</v>
      </c>
      <c r="T3695">
        <v>282</v>
      </c>
      <c r="U3695">
        <v>106</v>
      </c>
      <c r="V3695">
        <v>0</v>
      </c>
      <c r="W3695">
        <v>153</v>
      </c>
      <c r="X3695">
        <v>243</v>
      </c>
      <c r="Y3695">
        <v>0</v>
      </c>
      <c r="Z3695">
        <v>228</v>
      </c>
      <c r="AA3695">
        <v>1</v>
      </c>
      <c r="AB3695">
        <v>4.2346603162648497</v>
      </c>
      <c r="AC3695">
        <v>2.1311524234539001E-2</v>
      </c>
      <c r="AD3695">
        <v>0.85029191915471003</v>
      </c>
      <c r="AE3695">
        <v>0.70768415305151899</v>
      </c>
      <c r="AF3695">
        <v>4.0315091210613598</v>
      </c>
      <c r="AG3695">
        <f>IFERROR(AH3695*0.1, "N/A")</f>
        <v>7.8689883913764511</v>
      </c>
      <c r="AH3695">
        <v>78.689883913764504</v>
      </c>
      <c r="AI3695">
        <v>66.734136201848997</v>
      </c>
      <c r="AJ3695">
        <v>24.3930348258706</v>
      </c>
      <c r="AK3695">
        <v>57.6069651741293</v>
      </c>
    </row>
    <row r="3696" spans="1:37" x14ac:dyDescent="0.3">
      <c r="A3696">
        <v>3695</v>
      </c>
      <c r="B3696">
        <v>0</v>
      </c>
      <c r="C3696">
        <v>-16.471700999999999</v>
      </c>
      <c r="D3696">
        <v>16.029399999999999</v>
      </c>
      <c r="E3696">
        <f>-16.471701-16.0294</f>
        <v>-32.501100999999998</v>
      </c>
      <c r="F3696" t="s">
        <v>5787</v>
      </c>
      <c r="G3696" t="s">
        <v>37</v>
      </c>
      <c r="H3696">
        <v>2003</v>
      </c>
      <c r="I3696">
        <v>24.700000762939499</v>
      </c>
      <c r="J3696">
        <v>10.3999996185303</v>
      </c>
      <c r="K3696">
        <v>60</v>
      </c>
      <c r="L3696">
        <v>23.079999923706101</v>
      </c>
      <c r="M3696">
        <v>32.200000762939503</v>
      </c>
      <c r="N3696">
        <v>15.1000003814697</v>
      </c>
      <c r="O3696">
        <v>17.100000381469702</v>
      </c>
      <c r="P3696">
        <v>27.600000381469702</v>
      </c>
      <c r="Q3696">
        <v>22.700000762939499</v>
      </c>
      <c r="R3696">
        <v>27.700000762939499</v>
      </c>
      <c r="S3696">
        <v>22.399999618530298</v>
      </c>
      <c r="T3696">
        <v>281</v>
      </c>
      <c r="U3696">
        <v>105</v>
      </c>
      <c r="V3696">
        <v>0</v>
      </c>
      <c r="W3696">
        <v>152</v>
      </c>
      <c r="X3696">
        <v>242</v>
      </c>
      <c r="Y3696">
        <v>0</v>
      </c>
      <c r="Z3696">
        <v>227</v>
      </c>
      <c r="AA3696">
        <v>4</v>
      </c>
      <c r="AB3696">
        <v>0.64841929291330003</v>
      </c>
      <c r="AC3696">
        <v>1.6293097157247999E-2</v>
      </c>
      <c r="AD3696">
        <v>0.73361105664002502</v>
      </c>
      <c r="AE3696">
        <v>0.50073641538619995</v>
      </c>
      <c r="AF3696">
        <v>0.72212978369384395</v>
      </c>
      <c r="AG3696">
        <f>IFERROR(AH3696*0.1, "N/A")</f>
        <v>6.5019966722129796</v>
      </c>
      <c r="AH3696">
        <v>65.019966722129794</v>
      </c>
      <c r="AI3696">
        <v>25.1837020340854</v>
      </c>
      <c r="AJ3696">
        <v>26</v>
      </c>
      <c r="AK3696">
        <v>55.0066555740433</v>
      </c>
    </row>
    <row r="3697" spans="1:37" x14ac:dyDescent="0.3">
      <c r="A3697">
        <v>3696</v>
      </c>
      <c r="B3697">
        <v>0</v>
      </c>
      <c r="C3697">
        <v>-15.9536</v>
      </c>
      <c r="D3697">
        <v>16.035298999999998</v>
      </c>
      <c r="E3697">
        <f>-15.9536-16.035299</f>
        <v>-31.988898999999996</v>
      </c>
      <c r="F3697" t="s">
        <v>5788</v>
      </c>
      <c r="G3697" t="s">
        <v>39</v>
      </c>
      <c r="H3697">
        <v>1983</v>
      </c>
      <c r="I3697">
        <v>26.399999618530298</v>
      </c>
      <c r="J3697">
        <v>13.8999996185303</v>
      </c>
      <c r="K3697">
        <v>68</v>
      </c>
      <c r="L3697">
        <v>20.690000534057599</v>
      </c>
      <c r="M3697">
        <v>35.099998474121101</v>
      </c>
      <c r="N3697">
        <v>14.699999809265099</v>
      </c>
      <c r="O3697">
        <v>20.399999618530298</v>
      </c>
      <c r="P3697">
        <v>28.399999618530298</v>
      </c>
      <c r="Q3697">
        <v>26</v>
      </c>
      <c r="R3697">
        <v>28.399999618530298</v>
      </c>
      <c r="S3697">
        <v>23.399999618530298</v>
      </c>
      <c r="T3697">
        <v>285</v>
      </c>
      <c r="U3697">
        <v>102</v>
      </c>
      <c r="V3697">
        <v>0</v>
      </c>
      <c r="W3697">
        <v>151</v>
      </c>
      <c r="X3697">
        <v>246</v>
      </c>
      <c r="Y3697">
        <v>0</v>
      </c>
      <c r="Z3697">
        <v>221</v>
      </c>
      <c r="AA3697">
        <v>3</v>
      </c>
      <c r="AB3697">
        <v>8.59601998131469</v>
      </c>
      <c r="AC3697">
        <v>1.6634088125432E-2</v>
      </c>
      <c r="AD3697">
        <v>1.1439859275991799</v>
      </c>
      <c r="AE3697">
        <v>0.46311462652030899</v>
      </c>
      <c r="AF3697">
        <v>10.5157545605307</v>
      </c>
      <c r="AG3697">
        <f>IFERROR(AH3697*0.1, "N/A")</f>
        <v>7.1197346600331706</v>
      </c>
      <c r="AH3697">
        <v>71.197346600331699</v>
      </c>
      <c r="AI3697">
        <v>101.142249124758</v>
      </c>
      <c r="AJ3697">
        <v>7.81260364842454</v>
      </c>
      <c r="AK3697">
        <v>84.182421227197295</v>
      </c>
    </row>
    <row r="3698" spans="1:37" x14ac:dyDescent="0.3">
      <c r="A3698">
        <v>3697</v>
      </c>
      <c r="B3698">
        <v>0</v>
      </c>
      <c r="C3698">
        <v>-16.508900000000001</v>
      </c>
      <c r="D3698">
        <v>16.045300000000001</v>
      </c>
      <c r="E3698">
        <f>-16.5089-16.0453</f>
        <v>-32.554200000000002</v>
      </c>
      <c r="F3698" t="s">
        <v>5789</v>
      </c>
      <c r="G3698" t="s">
        <v>39</v>
      </c>
      <c r="H3698">
        <v>2004</v>
      </c>
      <c r="I3698" t="s">
        <v>729</v>
      </c>
      <c r="J3698" t="s">
        <v>729</v>
      </c>
      <c r="K3698" t="s">
        <v>729</v>
      </c>
      <c r="L3698" t="s">
        <v>729</v>
      </c>
      <c r="M3698" t="s">
        <v>729</v>
      </c>
      <c r="N3698" t="s">
        <v>729</v>
      </c>
      <c r="O3698" t="s">
        <v>729</v>
      </c>
      <c r="P3698" t="s">
        <v>729</v>
      </c>
      <c r="Q3698" t="s">
        <v>729</v>
      </c>
      <c r="R3698" t="s">
        <v>729</v>
      </c>
      <c r="S3698" t="s">
        <v>729</v>
      </c>
      <c r="T3698" t="s">
        <v>729</v>
      </c>
      <c r="U3698" t="s">
        <v>729</v>
      </c>
      <c r="V3698" t="s">
        <v>729</v>
      </c>
      <c r="W3698" t="s">
        <v>729</v>
      </c>
      <c r="X3698" t="s">
        <v>729</v>
      </c>
      <c r="Y3698" t="s">
        <v>729</v>
      </c>
      <c r="Z3698" t="s">
        <v>729</v>
      </c>
      <c r="AA3698" t="s">
        <v>729</v>
      </c>
      <c r="AB3698">
        <v>0.64693446088794904</v>
      </c>
      <c r="AC3698">
        <v>1.0150456962511999E-2</v>
      </c>
      <c r="AD3698">
        <v>1.0569690995636201</v>
      </c>
      <c r="AE3698">
        <v>0.52700713663006105</v>
      </c>
      <c r="AF3698">
        <v>2.96179401993356</v>
      </c>
      <c r="AG3698" t="str">
        <f>IFERROR(AH3698*0.1, "N/A")</f>
        <v>N/A</v>
      </c>
      <c r="AH3698" t="s">
        <v>729</v>
      </c>
      <c r="AI3698">
        <v>255.013320770771</v>
      </c>
      <c r="AJ3698" t="s">
        <v>729</v>
      </c>
      <c r="AK3698" t="s">
        <v>729</v>
      </c>
    </row>
    <row r="3699" spans="1:37" x14ac:dyDescent="0.3">
      <c r="A3699">
        <v>3698</v>
      </c>
      <c r="B3699">
        <v>38</v>
      </c>
      <c r="C3699">
        <v>-16.002500999999999</v>
      </c>
      <c r="D3699">
        <v>16.046700000000001</v>
      </c>
      <c r="E3699">
        <f>-16.002501-16.0467</f>
        <v>-32.049200999999996</v>
      </c>
      <c r="F3699" t="s">
        <v>5790</v>
      </c>
      <c r="G3699" t="s">
        <v>37</v>
      </c>
      <c r="H3699">
        <v>2003</v>
      </c>
      <c r="I3699">
        <v>26.299999237060501</v>
      </c>
      <c r="J3699">
        <v>13.6000003814697</v>
      </c>
      <c r="K3699">
        <v>66</v>
      </c>
      <c r="L3699">
        <v>20.9899997711182</v>
      </c>
      <c r="M3699">
        <v>34.900001525878899</v>
      </c>
      <c r="N3699">
        <v>14.6000003814697</v>
      </c>
      <c r="O3699">
        <v>20.299999237060501</v>
      </c>
      <c r="P3699">
        <v>28.299999237060501</v>
      </c>
      <c r="Q3699">
        <v>25.700000762939499</v>
      </c>
      <c r="R3699">
        <v>28.399999618530298</v>
      </c>
      <c r="S3699">
        <v>23.200000762939499</v>
      </c>
      <c r="T3699">
        <v>282</v>
      </c>
      <c r="U3699">
        <v>102</v>
      </c>
      <c r="V3699">
        <v>0</v>
      </c>
      <c r="W3699">
        <v>150</v>
      </c>
      <c r="X3699">
        <v>245</v>
      </c>
      <c r="Y3699">
        <v>0</v>
      </c>
      <c r="Z3699">
        <v>220</v>
      </c>
      <c r="AA3699">
        <v>3</v>
      </c>
      <c r="AB3699">
        <v>5.6583756672999996</v>
      </c>
      <c r="AC3699">
        <v>1.0143468585823E-2</v>
      </c>
      <c r="AD3699">
        <v>1.28918307970215</v>
      </c>
      <c r="AE3699">
        <v>0.40458470582961997</v>
      </c>
      <c r="AF3699">
        <v>21.318407960199</v>
      </c>
      <c r="AG3699">
        <f>IFERROR(AH3699*0.1, "N/A")</f>
        <v>7.10199004975125</v>
      </c>
      <c r="AH3699">
        <v>71.019900497512495</v>
      </c>
      <c r="AI3699">
        <v>183.306278311</v>
      </c>
      <c r="AJ3699">
        <v>12.019900497512401</v>
      </c>
      <c r="AK3699">
        <v>77.970149253731293</v>
      </c>
    </row>
    <row r="3700" spans="1:37" x14ac:dyDescent="0.3">
      <c r="A3700">
        <v>3699</v>
      </c>
      <c r="B3700">
        <v>13.3</v>
      </c>
      <c r="C3700">
        <v>-13.800800000000001</v>
      </c>
      <c r="D3700">
        <v>16.054300000000001</v>
      </c>
      <c r="E3700">
        <f>-13.8008-16.0543</f>
        <v>-29.8551</v>
      </c>
      <c r="F3700" t="s">
        <v>5791</v>
      </c>
      <c r="G3700" t="s">
        <v>39</v>
      </c>
      <c r="H3700">
        <v>2004</v>
      </c>
      <c r="I3700">
        <v>29.299999237060501</v>
      </c>
      <c r="J3700">
        <v>14.800000190734901</v>
      </c>
      <c r="K3700">
        <v>56</v>
      </c>
      <c r="L3700">
        <v>30.069999694824201</v>
      </c>
      <c r="M3700">
        <v>41.599998474121101</v>
      </c>
      <c r="N3700">
        <v>15.6000003814697</v>
      </c>
      <c r="O3700">
        <v>26</v>
      </c>
      <c r="P3700">
        <v>30.399999618530298</v>
      </c>
      <c r="Q3700">
        <v>26.100000381469702</v>
      </c>
      <c r="R3700">
        <v>32.700000762939503</v>
      </c>
      <c r="S3700">
        <v>24.899999618530298</v>
      </c>
      <c r="T3700">
        <v>284</v>
      </c>
      <c r="U3700">
        <v>102</v>
      </c>
      <c r="V3700">
        <v>0</v>
      </c>
      <c r="W3700">
        <v>149</v>
      </c>
      <c r="X3700">
        <v>251</v>
      </c>
      <c r="Y3700">
        <v>0</v>
      </c>
      <c r="Z3700">
        <v>87</v>
      </c>
      <c r="AA3700">
        <v>0</v>
      </c>
      <c r="AB3700">
        <v>3.8628334379196199</v>
      </c>
      <c r="AC3700">
        <v>1.7852955474518001E-2</v>
      </c>
      <c r="AD3700">
        <v>5.1485228463014003</v>
      </c>
      <c r="AE3700">
        <v>0.25484463706612598</v>
      </c>
      <c r="AF3700">
        <v>20.89</v>
      </c>
      <c r="AG3700">
        <f>IFERROR(AH3700*0.1, "N/A")</f>
        <v>6.9</v>
      </c>
      <c r="AH3700">
        <v>69</v>
      </c>
      <c r="AI3700">
        <v>196.679849675496</v>
      </c>
      <c r="AJ3700">
        <v>10.098333333333301</v>
      </c>
      <c r="AK3700">
        <v>74.901666666666699</v>
      </c>
    </row>
    <row r="3701" spans="1:37" x14ac:dyDescent="0.3">
      <c r="A3701">
        <v>3700</v>
      </c>
      <c r="B3701">
        <v>0</v>
      </c>
      <c r="C3701">
        <v>-16.460699000000002</v>
      </c>
      <c r="D3701">
        <v>16.0611</v>
      </c>
      <c r="E3701">
        <f>-16.460699-16.0611</f>
        <v>-32.521799000000001</v>
      </c>
      <c r="F3701" t="s">
        <v>5792</v>
      </c>
      <c r="G3701" t="s">
        <v>39</v>
      </c>
      <c r="H3701">
        <v>2004</v>
      </c>
      <c r="I3701">
        <v>24.899999618530298</v>
      </c>
      <c r="J3701">
        <v>10.699999809265099</v>
      </c>
      <c r="K3701">
        <v>60</v>
      </c>
      <c r="L3701">
        <v>22.4799995422363</v>
      </c>
      <c r="M3701">
        <v>32.599998474121101</v>
      </c>
      <c r="N3701">
        <v>15</v>
      </c>
      <c r="O3701">
        <v>17.600000381469702</v>
      </c>
      <c r="P3701">
        <v>27.700000762939499</v>
      </c>
      <c r="Q3701">
        <v>23.100000381469702</v>
      </c>
      <c r="R3701">
        <v>27.899999618530298</v>
      </c>
      <c r="S3701">
        <v>22.5</v>
      </c>
      <c r="T3701">
        <v>275</v>
      </c>
      <c r="U3701">
        <v>102</v>
      </c>
      <c r="V3701">
        <v>0</v>
      </c>
      <c r="W3701">
        <v>155</v>
      </c>
      <c r="X3701">
        <v>236</v>
      </c>
      <c r="Y3701">
        <v>0</v>
      </c>
      <c r="Z3701">
        <v>221</v>
      </c>
      <c r="AA3701">
        <v>5</v>
      </c>
      <c r="AB3701">
        <v>3.8175786953067301</v>
      </c>
      <c r="AC3701">
        <v>1.1574121212176E-2</v>
      </c>
      <c r="AD3701">
        <v>1.1922017327984</v>
      </c>
      <c r="AE3701">
        <v>0.49507036805152899</v>
      </c>
      <c r="AF3701">
        <v>4.83084577114428</v>
      </c>
      <c r="AG3701">
        <f>IFERROR(AH3701*0.1, "N/A")</f>
        <v>6.6872305140961901</v>
      </c>
      <c r="AH3701">
        <v>66.872305140961899</v>
      </c>
      <c r="AI3701">
        <v>169.55396924880799</v>
      </c>
      <c r="AJ3701">
        <v>22.464344941956899</v>
      </c>
      <c r="AK3701">
        <v>58.011608623548902</v>
      </c>
    </row>
    <row r="3702" spans="1:37" x14ac:dyDescent="0.3">
      <c r="A3702">
        <v>3701</v>
      </c>
      <c r="B3702">
        <v>2.6</v>
      </c>
      <c r="C3702">
        <v>-13.814500000000001</v>
      </c>
      <c r="D3702">
        <v>16.061599999999999</v>
      </c>
      <c r="E3702">
        <f>-13.8145-16.0616</f>
        <v>-29.876100000000001</v>
      </c>
      <c r="F3702" t="s">
        <v>5793</v>
      </c>
      <c r="G3702" t="s">
        <v>39</v>
      </c>
      <c r="H3702">
        <v>2004</v>
      </c>
      <c r="I3702">
        <v>29.299999237060501</v>
      </c>
      <c r="J3702">
        <v>14.800000190734901</v>
      </c>
      <c r="K3702">
        <v>56</v>
      </c>
      <c r="L3702">
        <v>30.129999160766602</v>
      </c>
      <c r="M3702">
        <v>41.599998474121101</v>
      </c>
      <c r="N3702">
        <v>15.6000003814697</v>
      </c>
      <c r="O3702">
        <v>26</v>
      </c>
      <c r="P3702">
        <v>30.399999618530298</v>
      </c>
      <c r="Q3702">
        <v>26.100000381469702</v>
      </c>
      <c r="R3702">
        <v>32.700000762939503</v>
      </c>
      <c r="S3702">
        <v>24.899999618530298</v>
      </c>
      <c r="T3702">
        <v>282</v>
      </c>
      <c r="U3702">
        <v>101</v>
      </c>
      <c r="V3702">
        <v>0</v>
      </c>
      <c r="W3702">
        <v>148</v>
      </c>
      <c r="X3702">
        <v>249</v>
      </c>
      <c r="Y3702">
        <v>0</v>
      </c>
      <c r="Z3702">
        <v>18</v>
      </c>
      <c r="AA3702">
        <v>0</v>
      </c>
      <c r="AB3702">
        <v>3.8637869952128998</v>
      </c>
      <c r="AC3702">
        <v>2.5658344426053002E-2</v>
      </c>
      <c r="AD3702">
        <v>1.7985047551484601</v>
      </c>
      <c r="AE3702">
        <v>0.26328000426292397</v>
      </c>
      <c r="AF3702">
        <v>13.468438538206</v>
      </c>
      <c r="AG3702">
        <f>IFERROR(AH3702*0.1, "N/A")</f>
        <v>6.6868770764119603</v>
      </c>
      <c r="AH3702">
        <v>66.868770764119603</v>
      </c>
      <c r="AI3702">
        <v>183.6472844729</v>
      </c>
      <c r="AJ3702">
        <v>13.817275747508299</v>
      </c>
      <c r="AK3702">
        <v>71.174418604651194</v>
      </c>
    </row>
    <row r="3703" spans="1:37" x14ac:dyDescent="0.3">
      <c r="A3703">
        <v>3702</v>
      </c>
      <c r="B3703">
        <v>12.9</v>
      </c>
      <c r="C3703">
        <v>-13.839600000000001</v>
      </c>
      <c r="D3703">
        <v>16.067900000000002</v>
      </c>
      <c r="E3703">
        <f>-13.8396-16.0679</f>
        <v>-29.907500000000002</v>
      </c>
      <c r="F3703" t="s">
        <v>5794</v>
      </c>
      <c r="G3703" t="s">
        <v>39</v>
      </c>
      <c r="H3703">
        <v>2004</v>
      </c>
      <c r="I3703">
        <v>29.299999237060501</v>
      </c>
      <c r="J3703">
        <v>14.800000190734901</v>
      </c>
      <c r="K3703">
        <v>56</v>
      </c>
      <c r="L3703">
        <v>30.530000686645501</v>
      </c>
      <c r="M3703">
        <v>41.5</v>
      </c>
      <c r="N3703">
        <v>15.5</v>
      </c>
      <c r="O3703">
        <v>26</v>
      </c>
      <c r="P3703">
        <v>30.5</v>
      </c>
      <c r="Q3703">
        <v>26.100000381469702</v>
      </c>
      <c r="R3703">
        <v>32.799999237060497</v>
      </c>
      <c r="S3703">
        <v>24.799999237060501</v>
      </c>
      <c r="T3703">
        <v>283</v>
      </c>
      <c r="U3703">
        <v>100</v>
      </c>
      <c r="V3703">
        <v>0</v>
      </c>
      <c r="W3703">
        <v>147</v>
      </c>
      <c r="X3703">
        <v>249</v>
      </c>
      <c r="Y3703">
        <v>0</v>
      </c>
      <c r="Z3703">
        <v>87</v>
      </c>
      <c r="AA3703">
        <v>0</v>
      </c>
      <c r="AB3703">
        <v>5.9603998117558001</v>
      </c>
      <c r="AC3703">
        <v>2.266389168427E-2</v>
      </c>
      <c r="AD3703">
        <v>1.97729032815197</v>
      </c>
      <c r="AE3703">
        <v>0.257539182901382</v>
      </c>
      <c r="AF3703">
        <v>19.7420965058236</v>
      </c>
      <c r="AG3703">
        <f>IFERROR(AH3703*0.1, "N/A")</f>
        <v>6.87420965058236</v>
      </c>
      <c r="AH3703">
        <v>68.742096505823596</v>
      </c>
      <c r="AI3703">
        <v>91.739649161721204</v>
      </c>
      <c r="AJ3703">
        <v>12.4459234608985</v>
      </c>
      <c r="AK3703">
        <v>71.970049916805294</v>
      </c>
    </row>
    <row r="3704" spans="1:37" x14ac:dyDescent="0.3">
      <c r="A3704">
        <v>3703</v>
      </c>
      <c r="B3704">
        <v>22</v>
      </c>
      <c r="C3704">
        <v>-13.484999999999999</v>
      </c>
      <c r="D3704">
        <v>16.068000999999999</v>
      </c>
      <c r="E3704">
        <f>-13.485-16.068001</f>
        <v>-29.553000999999998</v>
      </c>
      <c r="F3704" t="s">
        <v>5795</v>
      </c>
      <c r="G3704" t="s">
        <v>39</v>
      </c>
      <c r="H3704">
        <v>1987</v>
      </c>
      <c r="I3704">
        <v>29.700000762939499</v>
      </c>
      <c r="J3704">
        <v>14.6000003814697</v>
      </c>
      <c r="K3704">
        <v>56</v>
      </c>
      <c r="L3704">
        <v>30.5200004577637</v>
      </c>
      <c r="M3704">
        <v>42</v>
      </c>
      <c r="N3704">
        <v>16.200000762939499</v>
      </c>
      <c r="O3704">
        <v>25.799999237060501</v>
      </c>
      <c r="P3704">
        <v>30.399999618530298</v>
      </c>
      <c r="Q3704">
        <v>31.5</v>
      </c>
      <c r="R3704">
        <v>33.299999237060497</v>
      </c>
      <c r="S3704">
        <v>25.299999237060501</v>
      </c>
      <c r="T3704">
        <v>308</v>
      </c>
      <c r="U3704">
        <v>113</v>
      </c>
      <c r="V3704">
        <v>0</v>
      </c>
      <c r="W3704">
        <v>147</v>
      </c>
      <c r="X3704">
        <v>268</v>
      </c>
      <c r="Y3704">
        <v>1</v>
      </c>
      <c r="Z3704">
        <v>20</v>
      </c>
      <c r="AA3704">
        <v>2</v>
      </c>
      <c r="AB3704">
        <v>1.6570717054674899</v>
      </c>
      <c r="AC3704">
        <v>3.7312241472588999E-2</v>
      </c>
      <c r="AD3704">
        <v>2.6878128121180902</v>
      </c>
      <c r="AE3704">
        <v>0.25042808055877702</v>
      </c>
      <c r="AF3704">
        <v>10.8835274542429</v>
      </c>
      <c r="AG3704">
        <f>IFERROR(AH3704*0.1, "N/A")</f>
        <v>7.2454242928452608</v>
      </c>
      <c r="AH3704">
        <v>72.454242928452601</v>
      </c>
      <c r="AI3704">
        <v>240.132745765013</v>
      </c>
      <c r="AJ3704">
        <v>21.269550748752099</v>
      </c>
      <c r="AK3704">
        <v>61.076539101497502</v>
      </c>
    </row>
    <row r="3705" spans="1:37" x14ac:dyDescent="0.3">
      <c r="A3705">
        <v>3704</v>
      </c>
      <c r="B3705">
        <v>0</v>
      </c>
      <c r="C3705">
        <v>-15.8925</v>
      </c>
      <c r="D3705">
        <v>16.074698999999999</v>
      </c>
      <c r="E3705">
        <f>-15.8925-16.074699</f>
        <v>-31.967199000000001</v>
      </c>
      <c r="F3705" t="s">
        <v>5796</v>
      </c>
      <c r="G3705" t="s">
        <v>39</v>
      </c>
      <c r="H3705">
        <v>1983</v>
      </c>
      <c r="I3705">
        <v>26.700000762939499</v>
      </c>
      <c r="J3705">
        <v>14.1250416975512</v>
      </c>
      <c r="K3705">
        <v>67</v>
      </c>
      <c r="L3705">
        <v>21.291757789219599</v>
      </c>
      <c r="M3705">
        <v>35.599998474121101</v>
      </c>
      <c r="N3705">
        <v>14.699999809265099</v>
      </c>
      <c r="O3705">
        <v>20.899999618530298</v>
      </c>
      <c r="P3705">
        <v>28.600000381469702</v>
      </c>
      <c r="Q3705">
        <v>26.419402677621399</v>
      </c>
      <c r="R3705">
        <v>28.699171572379999</v>
      </c>
      <c r="S3705">
        <v>23.5</v>
      </c>
      <c r="T3705">
        <v>279.12935323383101</v>
      </c>
      <c r="U3705">
        <v>100.185737976783</v>
      </c>
      <c r="V3705">
        <v>0</v>
      </c>
      <c r="W3705">
        <v>147.185737976783</v>
      </c>
      <c r="X3705">
        <v>241.12935323383101</v>
      </c>
      <c r="Y3705">
        <v>0</v>
      </c>
      <c r="Z3705">
        <v>161.12935323383101</v>
      </c>
      <c r="AA3705">
        <v>3</v>
      </c>
      <c r="AB3705">
        <v>4.0243780711792398</v>
      </c>
      <c r="AC3705">
        <v>1.5226684084430999E-2</v>
      </c>
      <c r="AD3705">
        <v>1.2977844205859499</v>
      </c>
      <c r="AE3705">
        <v>0.36465778101736002</v>
      </c>
      <c r="AF3705">
        <v>7.4046434494195701</v>
      </c>
      <c r="AG3705">
        <f>IFERROR(AH3705*0.1, "N/A")</f>
        <v>5.985737976782751</v>
      </c>
      <c r="AH3705">
        <v>59.857379767827503</v>
      </c>
      <c r="AI3705">
        <v>123.258404885161</v>
      </c>
      <c r="AJ3705">
        <v>22.759535655057999</v>
      </c>
      <c r="AK3705">
        <v>57.230514096185701</v>
      </c>
    </row>
    <row r="3706" spans="1:37" x14ac:dyDescent="0.3">
      <c r="A3706">
        <v>3705</v>
      </c>
      <c r="B3706">
        <v>0</v>
      </c>
      <c r="C3706">
        <v>-13.5076</v>
      </c>
      <c r="D3706">
        <v>16.0809</v>
      </c>
      <c r="E3706">
        <f>-13.5076-16.0809</f>
        <v>-29.5885</v>
      </c>
      <c r="F3706" t="s">
        <v>5797</v>
      </c>
      <c r="G3706" t="s">
        <v>39</v>
      </c>
      <c r="H3706">
        <v>1983</v>
      </c>
      <c r="I3706">
        <v>29.700000762939499</v>
      </c>
      <c r="J3706">
        <v>14.5805650913834</v>
      </c>
      <c r="K3706">
        <v>56</v>
      </c>
      <c r="L3706">
        <v>30.345830850822999</v>
      </c>
      <c r="M3706">
        <v>41.900001525878899</v>
      </c>
      <c r="N3706">
        <v>16.200000762939499</v>
      </c>
      <c r="O3706">
        <v>25.700000762939499</v>
      </c>
      <c r="P3706">
        <v>30.4805647099137</v>
      </c>
      <c r="Q3706">
        <v>31.5</v>
      </c>
      <c r="R3706">
        <v>33.299999237060497</v>
      </c>
      <c r="S3706">
        <v>25.299999237060501</v>
      </c>
      <c r="T3706">
        <v>306.805647840532</v>
      </c>
      <c r="U3706">
        <v>112.805647840532</v>
      </c>
      <c r="V3706">
        <v>0</v>
      </c>
      <c r="W3706">
        <v>146.805647840532</v>
      </c>
      <c r="X3706">
        <v>266.805647840532</v>
      </c>
      <c r="Y3706">
        <v>1</v>
      </c>
      <c r="Z3706">
        <v>20</v>
      </c>
      <c r="AA3706">
        <v>2</v>
      </c>
      <c r="AB3706">
        <v>0.74717616242823803</v>
      </c>
      <c r="AC3706">
        <v>1.8150999996056201</v>
      </c>
      <c r="AD3706">
        <v>1.06475495074278</v>
      </c>
      <c r="AE3706">
        <v>0.294065806556778</v>
      </c>
      <c r="AF3706">
        <v>10.5564784053156</v>
      </c>
      <c r="AG3706">
        <f>IFERROR(AH3706*0.1, "N/A")</f>
        <v>7.0948504983388707</v>
      </c>
      <c r="AH3706">
        <v>70.948504983388702</v>
      </c>
      <c r="AI3706">
        <v>178.33431541088001</v>
      </c>
      <c r="AJ3706">
        <v>25.330564784053202</v>
      </c>
      <c r="AK3706">
        <v>58.559800664451799</v>
      </c>
    </row>
    <row r="3707" spans="1:37" x14ac:dyDescent="0.3">
      <c r="A3707">
        <v>3706</v>
      </c>
      <c r="B3707">
        <v>0</v>
      </c>
      <c r="C3707">
        <v>-13.5076</v>
      </c>
      <c r="D3707">
        <v>16.0809</v>
      </c>
      <c r="E3707">
        <f>-13.5076-16.0809</f>
        <v>-29.5885</v>
      </c>
      <c r="F3707" t="s">
        <v>5798</v>
      </c>
      <c r="G3707" t="s">
        <v>37</v>
      </c>
      <c r="H3707">
        <v>1983</v>
      </c>
      <c r="I3707">
        <v>29.700000762939499</v>
      </c>
      <c r="J3707">
        <v>14.5805650913834</v>
      </c>
      <c r="K3707">
        <v>56</v>
      </c>
      <c r="L3707">
        <v>30.345830850822999</v>
      </c>
      <c r="M3707">
        <v>41.900001525878899</v>
      </c>
      <c r="N3707">
        <v>16.200000762939499</v>
      </c>
      <c r="O3707">
        <v>25.700000762939499</v>
      </c>
      <c r="P3707">
        <v>30.4805647099137</v>
      </c>
      <c r="Q3707">
        <v>31.5</v>
      </c>
      <c r="R3707">
        <v>33.299999237060497</v>
      </c>
      <c r="S3707">
        <v>25.299999237060501</v>
      </c>
      <c r="T3707">
        <v>306.805647840532</v>
      </c>
      <c r="U3707">
        <v>112.805647840532</v>
      </c>
      <c r="V3707">
        <v>0</v>
      </c>
      <c r="W3707">
        <v>146.805647840532</v>
      </c>
      <c r="X3707">
        <v>266.805647840532</v>
      </c>
      <c r="Y3707">
        <v>1</v>
      </c>
      <c r="Z3707">
        <v>20</v>
      </c>
      <c r="AA3707">
        <v>2</v>
      </c>
      <c r="AB3707">
        <v>0.74717616242823803</v>
      </c>
      <c r="AC3707">
        <v>1.8150999996056201</v>
      </c>
      <c r="AD3707">
        <v>1.06475495074278</v>
      </c>
      <c r="AE3707">
        <v>0.294065806556778</v>
      </c>
      <c r="AF3707">
        <v>10.5564784053156</v>
      </c>
      <c r="AG3707">
        <f>IFERROR(AH3707*0.1, "N/A")</f>
        <v>7.0948504983388707</v>
      </c>
      <c r="AH3707">
        <v>70.948504983388702</v>
      </c>
      <c r="AI3707">
        <v>178.33431541088001</v>
      </c>
      <c r="AJ3707">
        <v>25.330564784053202</v>
      </c>
      <c r="AK3707">
        <v>58.559800664451799</v>
      </c>
    </row>
    <row r="3708" spans="1:37" x14ac:dyDescent="0.3">
      <c r="A3708">
        <v>3707</v>
      </c>
      <c r="B3708">
        <v>61.5</v>
      </c>
      <c r="C3708">
        <v>-16.364401000000001</v>
      </c>
      <c r="D3708">
        <v>16.083099000000001</v>
      </c>
      <c r="E3708">
        <f>-16.364401-16.083099</f>
        <v>-32.447500000000005</v>
      </c>
      <c r="F3708" t="s">
        <v>5799</v>
      </c>
      <c r="G3708" t="s">
        <v>39</v>
      </c>
      <c r="H3708">
        <v>2004</v>
      </c>
      <c r="I3708">
        <v>25.299999237060501</v>
      </c>
      <c r="J3708">
        <v>11.5</v>
      </c>
      <c r="K3708">
        <v>62</v>
      </c>
      <c r="L3708">
        <v>21.557537075704801</v>
      </c>
      <c r="M3708">
        <v>33.200000762939503</v>
      </c>
      <c r="N3708">
        <v>14.8999996185303</v>
      </c>
      <c r="O3708">
        <v>18.299999237060501</v>
      </c>
      <c r="P3708">
        <v>27.899999618530298</v>
      </c>
      <c r="Q3708">
        <v>23.799999237060501</v>
      </c>
      <c r="R3708">
        <v>28.100000381469702</v>
      </c>
      <c r="S3708">
        <v>22.799999237060501</v>
      </c>
      <c r="T3708">
        <v>269.75041322314001</v>
      </c>
      <c r="U3708">
        <v>101</v>
      </c>
      <c r="V3708">
        <v>0</v>
      </c>
      <c r="W3708">
        <v>153.75041322313999</v>
      </c>
      <c r="X3708">
        <v>234.75041322313999</v>
      </c>
      <c r="Y3708">
        <v>0</v>
      </c>
      <c r="Z3708">
        <v>216.75041322313999</v>
      </c>
      <c r="AA3708">
        <v>3</v>
      </c>
      <c r="AB3708">
        <v>3.5507436949359499</v>
      </c>
      <c r="AC3708">
        <v>2.3490386108352E-2</v>
      </c>
      <c r="AD3708">
        <v>2.6147500894779001</v>
      </c>
      <c r="AE3708">
        <v>0.70151108503341697</v>
      </c>
      <c r="AF3708">
        <v>6.9785123966942102</v>
      </c>
      <c r="AG3708">
        <f>IFERROR(AH3708*0.1, "N/A")</f>
        <v>6.8375206611570212</v>
      </c>
      <c r="AH3708">
        <v>68.375206611570206</v>
      </c>
      <c r="AI3708">
        <v>137.207182122853</v>
      </c>
      <c r="AJ3708">
        <v>10.9553719008264</v>
      </c>
      <c r="AK3708">
        <v>76</v>
      </c>
    </row>
    <row r="3709" spans="1:37" x14ac:dyDescent="0.3">
      <c r="A3709">
        <v>3708</v>
      </c>
      <c r="B3709">
        <v>51.200001</v>
      </c>
      <c r="C3709">
        <v>-16.3706</v>
      </c>
      <c r="D3709">
        <v>16.087799</v>
      </c>
      <c r="E3709">
        <f>-16.3706-16.087799</f>
        <v>-32.458399</v>
      </c>
      <c r="F3709" t="s">
        <v>5800</v>
      </c>
      <c r="G3709" t="s">
        <v>39</v>
      </c>
      <c r="H3709">
        <v>2002</v>
      </c>
      <c r="I3709">
        <v>25.299999237060501</v>
      </c>
      <c r="J3709">
        <v>11.3999996185303</v>
      </c>
      <c r="K3709">
        <v>62</v>
      </c>
      <c r="L3709">
        <v>21.659999847412099</v>
      </c>
      <c r="M3709">
        <v>33.099998474121101</v>
      </c>
      <c r="N3709">
        <v>14.8999996185303</v>
      </c>
      <c r="O3709">
        <v>18.200000762939499</v>
      </c>
      <c r="P3709">
        <v>27.899999618530298</v>
      </c>
      <c r="Q3709">
        <v>23.700000762939499</v>
      </c>
      <c r="R3709">
        <v>28.100000381469702</v>
      </c>
      <c r="S3709">
        <v>22.799999237060501</v>
      </c>
      <c r="T3709">
        <v>269</v>
      </c>
      <c r="U3709">
        <v>101</v>
      </c>
      <c r="V3709">
        <v>0</v>
      </c>
      <c r="W3709">
        <v>153</v>
      </c>
      <c r="X3709">
        <v>234</v>
      </c>
      <c r="Y3709">
        <v>0</v>
      </c>
      <c r="Z3709">
        <v>216</v>
      </c>
      <c r="AA3709">
        <v>3</v>
      </c>
      <c r="AB3709">
        <v>1.3426202156057401</v>
      </c>
      <c r="AC3709">
        <v>0.25971441315317101</v>
      </c>
      <c r="AD3709">
        <v>1.63459924194548</v>
      </c>
      <c r="AE3709">
        <v>0.593067586421967</v>
      </c>
      <c r="AF3709">
        <v>5.67330016583748</v>
      </c>
      <c r="AG3709">
        <f>IFERROR(AH3709*0.1, "N/A")</f>
        <v>6.7985074626865698</v>
      </c>
      <c r="AH3709">
        <v>67.985074626865696</v>
      </c>
      <c r="AI3709">
        <v>260.43577492177798</v>
      </c>
      <c r="AJ3709">
        <v>15.4875621890547</v>
      </c>
      <c r="AK3709">
        <v>70.7860696517413</v>
      </c>
    </row>
    <row r="3710" spans="1:37" x14ac:dyDescent="0.3">
      <c r="A3710">
        <v>3709</v>
      </c>
      <c r="B3710">
        <v>0</v>
      </c>
      <c r="C3710">
        <v>-15.7165</v>
      </c>
      <c r="D3710">
        <v>16.095300999999999</v>
      </c>
      <c r="E3710">
        <f>-15.7165-16.095301</f>
        <v>-31.811800999999999</v>
      </c>
      <c r="F3710" t="s">
        <v>5801</v>
      </c>
      <c r="G3710" t="s">
        <v>39</v>
      </c>
      <c r="H3710">
        <v>1983</v>
      </c>
      <c r="I3710">
        <v>27</v>
      </c>
      <c r="J3710">
        <v>14.800000190734901</v>
      </c>
      <c r="K3710">
        <v>66</v>
      </c>
      <c r="L3710">
        <v>22.158537725277501</v>
      </c>
      <c r="M3710">
        <v>36.984551730742098</v>
      </c>
      <c r="N3710">
        <v>14.6000003814697</v>
      </c>
      <c r="O3710">
        <v>22.3845510546155</v>
      </c>
      <c r="P3710">
        <v>28.600000381469702</v>
      </c>
      <c r="Q3710">
        <v>27.184552199024701</v>
      </c>
      <c r="R3710">
        <v>28.915448182445001</v>
      </c>
      <c r="S3710">
        <v>23.5</v>
      </c>
      <c r="T3710">
        <v>285</v>
      </c>
      <c r="U3710">
        <v>101</v>
      </c>
      <c r="V3710">
        <v>0</v>
      </c>
      <c r="W3710">
        <v>148</v>
      </c>
      <c r="X3710">
        <v>243</v>
      </c>
      <c r="Y3710">
        <v>0</v>
      </c>
      <c r="Z3710">
        <v>80.602990033222596</v>
      </c>
      <c r="AA3710">
        <v>3</v>
      </c>
      <c r="AB3710">
        <v>0.73654517937340203</v>
      </c>
      <c r="AC3710">
        <v>1.1878148159105E-2</v>
      </c>
      <c r="AD3710">
        <v>0.86360391964548</v>
      </c>
      <c r="AE3710">
        <v>0.43751680850982699</v>
      </c>
      <c r="AF3710">
        <v>24.845514950166098</v>
      </c>
      <c r="AG3710">
        <f>IFERROR(AH3710*0.1, "N/A")</f>
        <v>5.7705980066445202</v>
      </c>
      <c r="AH3710">
        <v>57.7059800664452</v>
      </c>
      <c r="AI3710">
        <v>141.17703029087599</v>
      </c>
      <c r="AJ3710">
        <v>12.636212624584701</v>
      </c>
      <c r="AK3710">
        <v>78.573089700996604</v>
      </c>
    </row>
    <row r="3711" spans="1:37" x14ac:dyDescent="0.3">
      <c r="A3711">
        <v>3710</v>
      </c>
      <c r="B3711">
        <v>44</v>
      </c>
      <c r="C3711">
        <v>-16.367999999999999</v>
      </c>
      <c r="D3711">
        <v>16.100999999999999</v>
      </c>
      <c r="E3711">
        <f>-16.368-16.101</f>
        <v>-32.468999999999994</v>
      </c>
      <c r="F3711" t="s">
        <v>5802</v>
      </c>
      <c r="G3711" t="s">
        <v>39</v>
      </c>
      <c r="H3711">
        <v>1987</v>
      </c>
      <c r="I3711">
        <v>25.299999237060501</v>
      </c>
      <c r="J3711">
        <v>11.3999996185303</v>
      </c>
      <c r="K3711">
        <v>61</v>
      </c>
      <c r="L3711">
        <v>21.860000610351602</v>
      </c>
      <c r="M3711">
        <v>33.299999237060497</v>
      </c>
      <c r="N3711">
        <v>14.8999996185303</v>
      </c>
      <c r="O3711">
        <v>18.399999618530298</v>
      </c>
      <c r="P3711">
        <v>28</v>
      </c>
      <c r="Q3711">
        <v>23.799999237060501</v>
      </c>
      <c r="R3711">
        <v>28.200000762939499</v>
      </c>
      <c r="S3711">
        <v>22.799999237060501</v>
      </c>
      <c r="T3711">
        <v>264</v>
      </c>
      <c r="U3711">
        <v>99</v>
      </c>
      <c r="V3711">
        <v>0</v>
      </c>
      <c r="W3711">
        <v>150</v>
      </c>
      <c r="X3711">
        <v>230</v>
      </c>
      <c r="Y3711">
        <v>0</v>
      </c>
      <c r="Z3711">
        <v>212</v>
      </c>
      <c r="AA3711">
        <v>3</v>
      </c>
      <c r="AB3711">
        <v>0.242666685382525</v>
      </c>
      <c r="AC3711">
        <v>1478.4642289635001</v>
      </c>
      <c r="AD3711">
        <v>0.70469661692778296</v>
      </c>
      <c r="AE3711">
        <v>0.51261401176452603</v>
      </c>
      <c r="AF3711">
        <v>2.3216666666666699</v>
      </c>
      <c r="AG3711">
        <f>IFERROR(AH3711*0.1, "N/A")</f>
        <v>6.36</v>
      </c>
      <c r="AH3711">
        <v>63.6</v>
      </c>
      <c r="AI3711">
        <v>66.404781875610396</v>
      </c>
      <c r="AJ3711">
        <v>23</v>
      </c>
      <c r="AK3711">
        <v>57</v>
      </c>
    </row>
    <row r="3712" spans="1:37" x14ac:dyDescent="0.3">
      <c r="A3712">
        <v>3711</v>
      </c>
      <c r="B3712">
        <v>90</v>
      </c>
      <c r="C3712">
        <v>-16.345300999999999</v>
      </c>
      <c r="D3712">
        <v>16.107500000000002</v>
      </c>
      <c r="E3712">
        <f>-16.345301-16.1075</f>
        <v>-32.452801000000001</v>
      </c>
      <c r="F3712" t="s">
        <v>5803</v>
      </c>
      <c r="G3712" t="s">
        <v>39</v>
      </c>
      <c r="H3712">
        <v>2002</v>
      </c>
      <c r="I3712">
        <v>25.399999618530298</v>
      </c>
      <c r="J3712">
        <v>11.6000003814697</v>
      </c>
      <c r="K3712">
        <v>62</v>
      </c>
      <c r="L3712">
        <v>21.670000076293899</v>
      </c>
      <c r="M3712">
        <v>33.299999237060497</v>
      </c>
      <c r="N3712">
        <v>14.800000190734901</v>
      </c>
      <c r="O3712">
        <v>18.5</v>
      </c>
      <c r="P3712">
        <v>27.899999618530298</v>
      </c>
      <c r="Q3712">
        <v>23.899999618530298</v>
      </c>
      <c r="R3712">
        <v>28.100000381469702</v>
      </c>
      <c r="S3712">
        <v>22.700000762939499</v>
      </c>
      <c r="T3712">
        <v>266</v>
      </c>
      <c r="U3712">
        <v>100</v>
      </c>
      <c r="V3712">
        <v>0</v>
      </c>
      <c r="W3712">
        <v>151</v>
      </c>
      <c r="X3712">
        <v>232</v>
      </c>
      <c r="Y3712">
        <v>0</v>
      </c>
      <c r="Z3712">
        <v>213</v>
      </c>
      <c r="AA3712">
        <v>3</v>
      </c>
      <c r="AB3712">
        <v>4.0076285072820097</v>
      </c>
      <c r="AC3712">
        <v>1.582393833555E-2</v>
      </c>
      <c r="AD3712">
        <v>1.4024077752731701</v>
      </c>
      <c r="AE3712">
        <v>0.42946728999737299</v>
      </c>
      <c r="AF3712">
        <v>11.1857379767828</v>
      </c>
      <c r="AG3712">
        <f>IFERROR(AH3712*0.1, "N/A")</f>
        <v>6.8932006633499201</v>
      </c>
      <c r="AH3712">
        <v>68.932006633499199</v>
      </c>
      <c r="AI3712">
        <v>234.70631232190499</v>
      </c>
      <c r="AJ3712">
        <v>11.295190713101199</v>
      </c>
      <c r="AK3712">
        <v>76.318407960198996</v>
      </c>
    </row>
    <row r="3713" spans="1:37" x14ac:dyDescent="0.3">
      <c r="A3713">
        <v>3712</v>
      </c>
      <c r="B3713">
        <v>20</v>
      </c>
      <c r="C3713">
        <v>-15.895899999999999</v>
      </c>
      <c r="D3713">
        <v>16.113500999999999</v>
      </c>
      <c r="E3713">
        <f>-15.8959-16.113501</f>
        <v>-32.009400999999997</v>
      </c>
      <c r="F3713" t="s">
        <v>5804</v>
      </c>
      <c r="G3713" t="s">
        <v>39</v>
      </c>
      <c r="H3713">
        <v>2003</v>
      </c>
      <c r="I3713">
        <v>26.700000762939499</v>
      </c>
      <c r="J3713">
        <v>14.199999809265099</v>
      </c>
      <c r="K3713">
        <v>67</v>
      </c>
      <c r="L3713">
        <v>21.540000915527301</v>
      </c>
      <c r="M3713">
        <v>35.700000762939503</v>
      </c>
      <c r="N3713">
        <v>14.699999809265099</v>
      </c>
      <c r="O3713">
        <v>21</v>
      </c>
      <c r="P3713">
        <v>28.600000381469702</v>
      </c>
      <c r="Q3713">
        <v>26.5</v>
      </c>
      <c r="R3713">
        <v>28.700000762939499</v>
      </c>
      <c r="S3713">
        <v>23.5</v>
      </c>
      <c r="T3713">
        <v>273</v>
      </c>
      <c r="U3713">
        <v>99</v>
      </c>
      <c r="V3713">
        <v>0</v>
      </c>
      <c r="W3713">
        <v>151</v>
      </c>
      <c r="X3713">
        <v>236</v>
      </c>
      <c r="Y3713">
        <v>0</v>
      </c>
      <c r="Z3713">
        <v>211</v>
      </c>
      <c r="AA3713">
        <v>3</v>
      </c>
      <c r="AB3713">
        <v>0.56766162701507095</v>
      </c>
      <c r="AC3713">
        <v>0.50204996734387997</v>
      </c>
      <c r="AD3713">
        <v>1.1278630719453699</v>
      </c>
      <c r="AE3713">
        <v>0.492716103792191</v>
      </c>
      <c r="AF3713">
        <v>10.205638474295201</v>
      </c>
      <c r="AG3713">
        <f>IFERROR(AH3713*0.1, "N/A")</f>
        <v>6.1512437810945304</v>
      </c>
      <c r="AH3713">
        <v>61.5124378109453</v>
      </c>
      <c r="AI3713">
        <v>70.872491099545798</v>
      </c>
      <c r="AJ3713">
        <v>16.910447761194</v>
      </c>
      <c r="AK3713">
        <v>65.308457711442799</v>
      </c>
    </row>
    <row r="3714" spans="1:37" x14ac:dyDescent="0.3">
      <c r="A3714">
        <v>3713</v>
      </c>
      <c r="B3714">
        <v>28</v>
      </c>
      <c r="C3714">
        <v>-15.895899999999999</v>
      </c>
      <c r="D3714">
        <v>16.113500999999999</v>
      </c>
      <c r="E3714">
        <f>-15.8959-16.113501</f>
        <v>-32.009400999999997</v>
      </c>
      <c r="F3714" t="s">
        <v>5805</v>
      </c>
      <c r="G3714" t="s">
        <v>37</v>
      </c>
      <c r="H3714">
        <v>2003</v>
      </c>
      <c r="I3714">
        <v>26.700000762939499</v>
      </c>
      <c r="J3714">
        <v>14.199999809265099</v>
      </c>
      <c r="K3714">
        <v>67</v>
      </c>
      <c r="L3714">
        <v>21.540000915527301</v>
      </c>
      <c r="M3714">
        <v>35.700000762939503</v>
      </c>
      <c r="N3714">
        <v>14.699999809265099</v>
      </c>
      <c r="O3714">
        <v>21</v>
      </c>
      <c r="P3714">
        <v>28.600000381469702</v>
      </c>
      <c r="Q3714">
        <v>26.5</v>
      </c>
      <c r="R3714">
        <v>28.700000762939499</v>
      </c>
      <c r="S3714">
        <v>23.5</v>
      </c>
      <c r="T3714">
        <v>273</v>
      </c>
      <c r="U3714">
        <v>99</v>
      </c>
      <c r="V3714">
        <v>0</v>
      </c>
      <c r="W3714">
        <v>151</v>
      </c>
      <c r="X3714">
        <v>236</v>
      </c>
      <c r="Y3714">
        <v>0</v>
      </c>
      <c r="Z3714">
        <v>211</v>
      </c>
      <c r="AA3714">
        <v>3</v>
      </c>
      <c r="AB3714">
        <v>0.56766162701507095</v>
      </c>
      <c r="AC3714">
        <v>0.50204996734387997</v>
      </c>
      <c r="AD3714">
        <v>1.1278630719453699</v>
      </c>
      <c r="AE3714">
        <v>0.492716103792191</v>
      </c>
      <c r="AF3714">
        <v>10.205638474295201</v>
      </c>
      <c r="AG3714">
        <f>IFERROR(AH3714*0.1, "N/A")</f>
        <v>6.1512437810945304</v>
      </c>
      <c r="AH3714">
        <v>61.5124378109453</v>
      </c>
      <c r="AI3714">
        <v>70.872491099545798</v>
      </c>
      <c r="AJ3714">
        <v>16.910447761194</v>
      </c>
      <c r="AK3714">
        <v>65.308457711442799</v>
      </c>
    </row>
    <row r="3715" spans="1:37" x14ac:dyDescent="0.3">
      <c r="A3715">
        <v>3714</v>
      </c>
      <c r="B3715">
        <v>0</v>
      </c>
      <c r="C3715">
        <v>-14.088200000000001</v>
      </c>
      <c r="D3715">
        <v>16.145800000000001</v>
      </c>
      <c r="E3715">
        <f>-14.0882-16.1458</f>
        <v>-30.234000000000002</v>
      </c>
      <c r="F3715" t="s">
        <v>5806</v>
      </c>
      <c r="G3715" t="s">
        <v>39</v>
      </c>
      <c r="H3715">
        <v>2004</v>
      </c>
      <c r="I3715">
        <v>29</v>
      </c>
      <c r="J3715">
        <v>15.1000003814697</v>
      </c>
      <c r="K3715">
        <v>57</v>
      </c>
      <c r="L3715">
        <v>30.350000381469702</v>
      </c>
      <c r="M3715">
        <v>41.099998474121101</v>
      </c>
      <c r="N3715">
        <v>15</v>
      </c>
      <c r="O3715">
        <v>26.100000381469702</v>
      </c>
      <c r="P3715">
        <v>30.399999618530298</v>
      </c>
      <c r="Q3715">
        <v>25.600000381469702</v>
      </c>
      <c r="R3715">
        <v>32.299999237060497</v>
      </c>
      <c r="S3715">
        <v>24.399999618530298</v>
      </c>
      <c r="T3715">
        <v>284</v>
      </c>
      <c r="U3715">
        <v>98</v>
      </c>
      <c r="V3715">
        <v>0</v>
      </c>
      <c r="W3715">
        <v>147</v>
      </c>
      <c r="X3715">
        <v>249</v>
      </c>
      <c r="Y3715">
        <v>0</v>
      </c>
      <c r="Z3715">
        <v>86</v>
      </c>
      <c r="AA3715">
        <v>0</v>
      </c>
      <c r="AB3715">
        <v>0.10182418317146399</v>
      </c>
      <c r="AC3715">
        <v>23.550263548428902</v>
      </c>
      <c r="AD3715">
        <v>1.14396836913838</v>
      </c>
      <c r="AE3715">
        <v>0.24502409994602201</v>
      </c>
      <c r="AF3715">
        <v>27.1409618573798</v>
      </c>
      <c r="AG3715">
        <f>IFERROR(AH3715*0.1, "N/A")</f>
        <v>6.4</v>
      </c>
      <c r="AH3715">
        <v>64</v>
      </c>
      <c r="AI3715">
        <v>218.50266930119901</v>
      </c>
      <c r="AJ3715">
        <v>12.562189054726399</v>
      </c>
      <c r="AK3715">
        <v>76.812603648424599</v>
      </c>
    </row>
    <row r="3716" spans="1:37" x14ac:dyDescent="0.3">
      <c r="A3716">
        <v>3715</v>
      </c>
      <c r="B3716">
        <v>0</v>
      </c>
      <c r="C3716">
        <v>-15.921099999999999</v>
      </c>
      <c r="D3716">
        <v>16.147200000000002</v>
      </c>
      <c r="E3716">
        <f>-15.9211-16.1472</f>
        <v>-32.068300000000001</v>
      </c>
      <c r="F3716" t="s">
        <v>5807</v>
      </c>
      <c r="G3716" t="s">
        <v>39</v>
      </c>
      <c r="H3716">
        <v>1983</v>
      </c>
      <c r="I3716">
        <v>26.700000762939499</v>
      </c>
      <c r="J3716">
        <v>14.1000003814697</v>
      </c>
      <c r="K3716">
        <v>67</v>
      </c>
      <c r="L3716">
        <v>21.969999313354499</v>
      </c>
      <c r="M3716">
        <v>35.700000762939503</v>
      </c>
      <c r="N3716">
        <v>14.699999809265099</v>
      </c>
      <c r="O3716">
        <v>21</v>
      </c>
      <c r="P3716">
        <v>28.700000762939499</v>
      </c>
      <c r="Q3716">
        <v>26.5</v>
      </c>
      <c r="R3716">
        <v>28.799999237060501</v>
      </c>
      <c r="S3716">
        <v>23.399999618530298</v>
      </c>
      <c r="T3716">
        <v>266</v>
      </c>
      <c r="U3716">
        <v>97</v>
      </c>
      <c r="V3716">
        <v>0</v>
      </c>
      <c r="W3716">
        <v>147</v>
      </c>
      <c r="X3716">
        <v>230</v>
      </c>
      <c r="Y3716">
        <v>0</v>
      </c>
      <c r="Z3716">
        <v>154</v>
      </c>
      <c r="AA3716">
        <v>3</v>
      </c>
      <c r="AB3716">
        <v>5.1524044763587202</v>
      </c>
      <c r="AC3716">
        <v>9.7296132163989992E-3</v>
      </c>
      <c r="AD3716">
        <v>1.2137878929599999</v>
      </c>
      <c r="AE3716">
        <v>0.50400477647781405</v>
      </c>
      <c r="AF3716">
        <v>4.5306799336650103</v>
      </c>
      <c r="AG3716">
        <f>IFERROR(AH3716*0.1, "N/A")</f>
        <v>6.6417910447761201</v>
      </c>
      <c r="AH3716">
        <v>66.417910447761201</v>
      </c>
      <c r="AI3716">
        <v>189.00688419373699</v>
      </c>
      <c r="AJ3716">
        <v>22.2902155887231</v>
      </c>
      <c r="AK3716">
        <v>57.767827529021602</v>
      </c>
    </row>
    <row r="3717" spans="1:37" x14ac:dyDescent="0.3">
      <c r="A3717">
        <v>3716</v>
      </c>
      <c r="B3717">
        <v>76</v>
      </c>
      <c r="C3717">
        <v>-15.8514</v>
      </c>
      <c r="D3717">
        <v>16.149999999999999</v>
      </c>
      <c r="E3717">
        <f>-15.8514-16.15</f>
        <v>-32.001399999999997</v>
      </c>
      <c r="F3717" t="s">
        <v>5808</v>
      </c>
      <c r="G3717" t="s">
        <v>39</v>
      </c>
      <c r="H3717">
        <v>2003</v>
      </c>
      <c r="I3717">
        <v>26.899999618530298</v>
      </c>
      <c r="J3717">
        <v>14.3999996185303</v>
      </c>
      <c r="K3717">
        <v>67</v>
      </c>
      <c r="L3717">
        <v>21.853427277495499</v>
      </c>
      <c r="M3717">
        <v>36.200000762939503</v>
      </c>
      <c r="N3717">
        <v>14.800000190734901</v>
      </c>
      <c r="O3717">
        <v>21.399999618530298</v>
      </c>
      <c r="P3717">
        <v>28.8587742957058</v>
      </c>
      <c r="Q3717">
        <v>26.7412252994563</v>
      </c>
      <c r="R3717">
        <v>28.958774677175601</v>
      </c>
      <c r="S3717">
        <v>23.600000381469702</v>
      </c>
      <c r="T3717">
        <v>267.41225165562901</v>
      </c>
      <c r="U3717">
        <v>97</v>
      </c>
      <c r="V3717">
        <v>0</v>
      </c>
      <c r="W3717">
        <v>147</v>
      </c>
      <c r="X3717">
        <v>230.41225165562901</v>
      </c>
      <c r="Y3717">
        <v>0</v>
      </c>
      <c r="Z3717">
        <v>155.41225165562901</v>
      </c>
      <c r="AA3717">
        <v>3</v>
      </c>
      <c r="AB3717">
        <v>1.6574505058345399</v>
      </c>
      <c r="AC3717">
        <v>1.0192563970379001</v>
      </c>
      <c r="AD3717">
        <v>2.1107076492333299</v>
      </c>
      <c r="AE3717">
        <v>0.53389865159988403</v>
      </c>
      <c r="AF3717">
        <v>3.4652317880794699</v>
      </c>
      <c r="AG3717">
        <f>IFERROR(AH3717*0.1, "N/A")</f>
        <v>6.4200331125827805</v>
      </c>
      <c r="AH3717">
        <v>64.200331125827802</v>
      </c>
      <c r="AI3717">
        <v>155.35769040695101</v>
      </c>
      <c r="AJ3717">
        <v>16.2665562913907</v>
      </c>
      <c r="AK3717">
        <v>67</v>
      </c>
    </row>
    <row r="3718" spans="1:37" x14ac:dyDescent="0.3">
      <c r="A3718">
        <v>3717</v>
      </c>
      <c r="B3718">
        <v>28</v>
      </c>
      <c r="C3718">
        <v>-15.8514</v>
      </c>
      <c r="D3718">
        <v>16.149999999999999</v>
      </c>
      <c r="E3718">
        <f>-15.8514-16.15</f>
        <v>-32.001399999999997</v>
      </c>
      <c r="F3718" t="s">
        <v>5809</v>
      </c>
      <c r="G3718" t="s">
        <v>37</v>
      </c>
      <c r="H3718">
        <v>2003</v>
      </c>
      <c r="I3718">
        <v>26.899999618530298</v>
      </c>
      <c r="J3718">
        <v>14.3999996185303</v>
      </c>
      <c r="K3718">
        <v>67</v>
      </c>
      <c r="L3718">
        <v>21.853427277495499</v>
      </c>
      <c r="M3718">
        <v>36.200000762939503</v>
      </c>
      <c r="N3718">
        <v>14.800000190734901</v>
      </c>
      <c r="O3718">
        <v>21.399999618530298</v>
      </c>
      <c r="P3718">
        <v>28.8587742957058</v>
      </c>
      <c r="Q3718">
        <v>26.7412252994563</v>
      </c>
      <c r="R3718">
        <v>28.958774677175601</v>
      </c>
      <c r="S3718">
        <v>23.600000381469702</v>
      </c>
      <c r="T3718">
        <v>267.41225165562901</v>
      </c>
      <c r="U3718">
        <v>97</v>
      </c>
      <c r="V3718">
        <v>0</v>
      </c>
      <c r="W3718">
        <v>147</v>
      </c>
      <c r="X3718">
        <v>230.41225165562901</v>
      </c>
      <c r="Y3718">
        <v>0</v>
      </c>
      <c r="Z3718">
        <v>155.41225165562901</v>
      </c>
      <c r="AA3718">
        <v>3</v>
      </c>
      <c r="AB3718">
        <v>1.6574505058345399</v>
      </c>
      <c r="AC3718">
        <v>1.0192563970379001</v>
      </c>
      <c r="AD3718">
        <v>2.1107076492333299</v>
      </c>
      <c r="AE3718">
        <v>0.53389865159988403</v>
      </c>
      <c r="AF3718">
        <v>3.4652317880794699</v>
      </c>
      <c r="AG3718">
        <f>IFERROR(AH3718*0.1, "N/A")</f>
        <v>6.4200331125827805</v>
      </c>
      <c r="AH3718">
        <v>64.200331125827802</v>
      </c>
      <c r="AI3718">
        <v>155.35769040695101</v>
      </c>
      <c r="AJ3718">
        <v>16.2665562913907</v>
      </c>
      <c r="AK3718">
        <v>67</v>
      </c>
    </row>
    <row r="3719" spans="1:37" x14ac:dyDescent="0.3">
      <c r="A3719">
        <v>3718</v>
      </c>
      <c r="B3719">
        <v>0</v>
      </c>
      <c r="C3719">
        <v>-15.8453</v>
      </c>
      <c r="D3719">
        <v>16.157800999999999</v>
      </c>
      <c r="E3719">
        <f>-15.8453-16.157801</f>
        <v>-32.003101000000001</v>
      </c>
      <c r="F3719" t="s">
        <v>5810</v>
      </c>
      <c r="G3719" t="s">
        <v>39</v>
      </c>
      <c r="H3719">
        <v>1983</v>
      </c>
      <c r="I3719">
        <v>27</v>
      </c>
      <c r="J3719">
        <v>14.4355957808084</v>
      </c>
      <c r="K3719">
        <v>66.355960264900702</v>
      </c>
      <c r="L3719">
        <v>21.9642388204865</v>
      </c>
      <c r="M3719">
        <v>36.335596078279004</v>
      </c>
      <c r="N3719">
        <v>14.800000190734901</v>
      </c>
      <c r="O3719">
        <v>21.5355961622781</v>
      </c>
      <c r="P3719">
        <v>28.799999237060501</v>
      </c>
      <c r="Q3719">
        <v>26.8355953993387</v>
      </c>
      <c r="R3719">
        <v>29</v>
      </c>
      <c r="S3719">
        <v>23.600000381469702</v>
      </c>
      <c r="T3719">
        <v>267.28807947019902</v>
      </c>
      <c r="U3719">
        <v>97</v>
      </c>
      <c r="V3719">
        <v>0</v>
      </c>
      <c r="W3719">
        <v>146.644039735099</v>
      </c>
      <c r="X3719">
        <v>230.28807947019899</v>
      </c>
      <c r="Y3719">
        <v>0</v>
      </c>
      <c r="Z3719">
        <v>155.644039735099</v>
      </c>
      <c r="AA3719">
        <v>3</v>
      </c>
      <c r="AB3719">
        <v>5.9879138596010497</v>
      </c>
      <c r="AC3719">
        <v>8.2165791162759991E-3</v>
      </c>
      <c r="AD3719">
        <v>1.3839407953995</v>
      </c>
      <c r="AE3719">
        <v>0.49215242266655002</v>
      </c>
      <c r="AF3719">
        <v>8.0430463576158893</v>
      </c>
      <c r="AG3719">
        <f>IFERROR(AH3719*0.1, "N/A")</f>
        <v>7.1000000000000005</v>
      </c>
      <c r="AH3719">
        <v>71</v>
      </c>
      <c r="AI3719">
        <v>210.56279070014199</v>
      </c>
      <c r="AJ3719">
        <v>19</v>
      </c>
      <c r="AK3719">
        <v>66</v>
      </c>
    </row>
    <row r="3720" spans="1:37" x14ac:dyDescent="0.3">
      <c r="A3720">
        <v>3719</v>
      </c>
      <c r="B3720">
        <v>40.299999</v>
      </c>
      <c r="C3720">
        <v>-16.064399999999999</v>
      </c>
      <c r="D3720">
        <v>16.1614</v>
      </c>
      <c r="E3720">
        <f>-16.0644-16.1614</f>
        <v>-32.2258</v>
      </c>
      <c r="F3720" t="s">
        <v>5811</v>
      </c>
      <c r="G3720" t="s">
        <v>39</v>
      </c>
      <c r="H3720">
        <v>2004</v>
      </c>
      <c r="I3720">
        <v>26.299999237060501</v>
      </c>
      <c r="J3720">
        <v>13.3999996185303</v>
      </c>
      <c r="K3720">
        <v>66</v>
      </c>
      <c r="L3720">
        <v>21.409999847412099</v>
      </c>
      <c r="M3720">
        <v>35</v>
      </c>
      <c r="N3720">
        <v>14.800000190734901</v>
      </c>
      <c r="O3720">
        <v>20.200000762939499</v>
      </c>
      <c r="P3720">
        <v>28.5</v>
      </c>
      <c r="Q3720">
        <v>25.700000762939499</v>
      </c>
      <c r="R3720">
        <v>28.600000381469702</v>
      </c>
      <c r="S3720">
        <v>23.299999237060501</v>
      </c>
      <c r="T3720">
        <v>256</v>
      </c>
      <c r="U3720">
        <v>95</v>
      </c>
      <c r="V3720">
        <v>0</v>
      </c>
      <c r="W3720">
        <v>151</v>
      </c>
      <c r="X3720">
        <v>224</v>
      </c>
      <c r="Y3720">
        <v>0</v>
      </c>
      <c r="Z3720">
        <v>201</v>
      </c>
      <c r="AA3720">
        <v>3</v>
      </c>
      <c r="AB3720">
        <v>1.77388430469292</v>
      </c>
      <c r="AC3720">
        <v>0.77435184994881801</v>
      </c>
      <c r="AD3720">
        <v>2.03631702277286</v>
      </c>
      <c r="AE3720">
        <v>0.19431766867637601</v>
      </c>
      <c r="AF3720">
        <v>2.49752066115702</v>
      </c>
      <c r="AG3720">
        <f>IFERROR(AH3720*0.1, "N/A")</f>
        <v>6.3811570247933904</v>
      </c>
      <c r="AH3720">
        <v>63.811570247933901</v>
      </c>
      <c r="AI3720">
        <v>129.92483596801799</v>
      </c>
      <c r="AJ3720">
        <v>13.2082644628099</v>
      </c>
      <c r="AK3720">
        <v>76.038016528925596</v>
      </c>
    </row>
    <row r="3721" spans="1:37" x14ac:dyDescent="0.3">
      <c r="A3721">
        <v>3720</v>
      </c>
      <c r="B3721">
        <v>0</v>
      </c>
      <c r="C3721">
        <v>-15.9125</v>
      </c>
      <c r="D3721">
        <v>16.177499999999998</v>
      </c>
      <c r="E3721">
        <f>-15.9125-16.1775</f>
        <v>-32.089999999999996</v>
      </c>
      <c r="F3721" t="s">
        <v>5812</v>
      </c>
      <c r="G3721" t="s">
        <v>39</v>
      </c>
      <c r="H3721">
        <v>1983</v>
      </c>
      <c r="I3721">
        <v>26.799999237060501</v>
      </c>
      <c r="J3721">
        <v>14.199999809265099</v>
      </c>
      <c r="K3721">
        <v>66</v>
      </c>
      <c r="L3721">
        <v>22.280000686645501</v>
      </c>
      <c r="M3721">
        <v>35.900001525878899</v>
      </c>
      <c r="N3721">
        <v>14.699999809265099</v>
      </c>
      <c r="O3721">
        <v>21.200000762939499</v>
      </c>
      <c r="P3721">
        <v>28.799999237060501</v>
      </c>
      <c r="Q3721">
        <v>26.5</v>
      </c>
      <c r="R3721">
        <v>28.899999618530298</v>
      </c>
      <c r="S3721">
        <v>23.5</v>
      </c>
      <c r="T3721">
        <v>260</v>
      </c>
      <c r="U3721">
        <v>95</v>
      </c>
      <c r="V3721">
        <v>0</v>
      </c>
      <c r="W3721">
        <v>150</v>
      </c>
      <c r="X3721">
        <v>225</v>
      </c>
      <c r="Y3721">
        <v>0</v>
      </c>
      <c r="Z3721">
        <v>201</v>
      </c>
      <c r="AA3721">
        <v>3</v>
      </c>
      <c r="AB3721">
        <v>15.072712918882999</v>
      </c>
      <c r="AC3721">
        <v>8.7899293056289997E-3</v>
      </c>
      <c r="AD3721">
        <v>3.3912136062806102</v>
      </c>
      <c r="AE3721">
        <v>0.38483977317810097</v>
      </c>
      <c r="AF3721">
        <v>12.8835274542429</v>
      </c>
      <c r="AG3721">
        <f>IFERROR(AH3721*0.1, "N/A")</f>
        <v>6.2552412645590705</v>
      </c>
      <c r="AH3721">
        <v>62.552412645590699</v>
      </c>
      <c r="AI3721">
        <v>132.86772308095701</v>
      </c>
      <c r="AJ3721">
        <v>16</v>
      </c>
      <c r="AK3721">
        <v>65.657237936772106</v>
      </c>
    </row>
    <row r="3722" spans="1:37" x14ac:dyDescent="0.3">
      <c r="A3722">
        <v>3721</v>
      </c>
      <c r="B3722">
        <v>26</v>
      </c>
      <c r="C3722">
        <v>-14.015599999999999</v>
      </c>
      <c r="D3722">
        <v>16.190000999999999</v>
      </c>
      <c r="E3722">
        <f>-14.0156-16.190001</f>
        <v>-30.205600999999998</v>
      </c>
      <c r="F3722" t="s">
        <v>5813</v>
      </c>
      <c r="G3722" t="s">
        <v>39</v>
      </c>
      <c r="H3722">
        <v>1996</v>
      </c>
      <c r="I3722">
        <v>29.100000381469702</v>
      </c>
      <c r="J3722">
        <v>15</v>
      </c>
      <c r="K3722">
        <v>57</v>
      </c>
      <c r="L3722">
        <v>30.821489763575698</v>
      </c>
      <c r="M3722">
        <v>41.200000762939503</v>
      </c>
      <c r="N3722">
        <v>15.1991719994324</v>
      </c>
      <c r="O3722">
        <v>26.000827817727401</v>
      </c>
      <c r="P3722">
        <v>30.600000381469702</v>
      </c>
      <c r="Q3722">
        <v>25.700000762939499</v>
      </c>
      <c r="R3722">
        <v>32.5</v>
      </c>
      <c r="S3722">
        <v>24.499172182272599</v>
      </c>
      <c r="T3722">
        <v>271.99172185430501</v>
      </c>
      <c r="U3722">
        <v>95</v>
      </c>
      <c r="V3722">
        <v>0</v>
      </c>
      <c r="W3722">
        <v>148</v>
      </c>
      <c r="X3722">
        <v>239</v>
      </c>
      <c r="Y3722">
        <v>0</v>
      </c>
      <c r="Z3722">
        <v>82.9917218543047</v>
      </c>
      <c r="AA3722">
        <v>0</v>
      </c>
      <c r="AB3722">
        <v>6.5337749411728199</v>
      </c>
      <c r="AC3722">
        <v>2.0198222602847E-2</v>
      </c>
      <c r="AD3722">
        <v>0.52411319744705398</v>
      </c>
      <c r="AE3722">
        <v>0.240960927347079</v>
      </c>
      <c r="AF3722">
        <v>17.119205298013199</v>
      </c>
      <c r="AG3722">
        <f>IFERROR(AH3722*0.1, "N/A")</f>
        <v>6.8000000000000007</v>
      </c>
      <c r="AH3722">
        <v>68</v>
      </c>
      <c r="AI3722">
        <v>83.477844566698906</v>
      </c>
      <c r="AJ3722">
        <v>21.9917218543046</v>
      </c>
      <c r="AK3722">
        <v>61</v>
      </c>
    </row>
    <row r="3723" spans="1:37" x14ac:dyDescent="0.3">
      <c r="A3723">
        <v>3722</v>
      </c>
      <c r="B3723">
        <v>0</v>
      </c>
      <c r="C3723">
        <v>-14.015599999999999</v>
      </c>
      <c r="D3723">
        <v>16.190000999999999</v>
      </c>
      <c r="E3723">
        <f>-14.0156-16.190001</f>
        <v>-30.205600999999998</v>
      </c>
      <c r="F3723" t="s">
        <v>5814</v>
      </c>
      <c r="G3723" t="s">
        <v>37</v>
      </c>
      <c r="H3723">
        <v>1996</v>
      </c>
      <c r="I3723">
        <v>29.100000381469702</v>
      </c>
      <c r="J3723">
        <v>15</v>
      </c>
      <c r="K3723">
        <v>57</v>
      </c>
      <c r="L3723">
        <v>30.821489763575698</v>
      </c>
      <c r="M3723">
        <v>41.200000762939503</v>
      </c>
      <c r="N3723">
        <v>15.1991719994324</v>
      </c>
      <c r="O3723">
        <v>26.000827817727401</v>
      </c>
      <c r="P3723">
        <v>30.600000381469702</v>
      </c>
      <c r="Q3723">
        <v>25.700000762939499</v>
      </c>
      <c r="R3723">
        <v>32.5</v>
      </c>
      <c r="S3723">
        <v>24.499172182272599</v>
      </c>
      <c r="T3723">
        <v>271.99172185430501</v>
      </c>
      <c r="U3723">
        <v>95</v>
      </c>
      <c r="V3723">
        <v>0</v>
      </c>
      <c r="W3723">
        <v>148</v>
      </c>
      <c r="X3723">
        <v>239</v>
      </c>
      <c r="Y3723">
        <v>0</v>
      </c>
      <c r="Z3723">
        <v>82.9917218543047</v>
      </c>
      <c r="AA3723">
        <v>0</v>
      </c>
      <c r="AB3723">
        <v>6.5337749411728199</v>
      </c>
      <c r="AC3723">
        <v>2.0198222602847E-2</v>
      </c>
      <c r="AD3723">
        <v>0.52411319744705398</v>
      </c>
      <c r="AE3723">
        <v>0.240960927347079</v>
      </c>
      <c r="AF3723">
        <v>17.119205298013199</v>
      </c>
      <c r="AG3723">
        <f>IFERROR(AH3723*0.1, "N/A")</f>
        <v>6.8000000000000007</v>
      </c>
      <c r="AH3723">
        <v>68</v>
      </c>
      <c r="AI3723">
        <v>83.477844566698906</v>
      </c>
      <c r="AJ3723">
        <v>21.9917218543046</v>
      </c>
      <c r="AK3723">
        <v>61</v>
      </c>
    </row>
    <row r="3724" spans="1:37" x14ac:dyDescent="0.3">
      <c r="A3724">
        <v>3723</v>
      </c>
      <c r="B3724">
        <v>0</v>
      </c>
      <c r="C3724">
        <v>-15.8225</v>
      </c>
      <c r="D3724">
        <v>16.191700000000001</v>
      </c>
      <c r="E3724">
        <f>-15.8225-16.1917</f>
        <v>-32.014200000000002</v>
      </c>
      <c r="F3724" t="s">
        <v>5815</v>
      </c>
      <c r="G3724" t="s">
        <v>39</v>
      </c>
      <c r="H3724">
        <v>1983</v>
      </c>
      <c r="I3724">
        <v>27.0878740893646</v>
      </c>
      <c r="J3724">
        <v>14.6000003814697</v>
      </c>
      <c r="K3724">
        <v>66</v>
      </c>
      <c r="L3724">
        <v>22.7097017503656</v>
      </c>
      <c r="M3724">
        <v>36.687874239544499</v>
      </c>
      <c r="N3724">
        <v>14.699999809265099</v>
      </c>
      <c r="O3724">
        <v>21.987873707894899</v>
      </c>
      <c r="P3724">
        <v>28.899999618530298</v>
      </c>
      <c r="Q3724">
        <v>26.987873707894899</v>
      </c>
      <c r="R3724">
        <v>29.100000381469702</v>
      </c>
      <c r="S3724">
        <v>23.5878740893646</v>
      </c>
      <c r="T3724">
        <v>261.24252491694398</v>
      </c>
      <c r="U3724">
        <v>95.121262458471705</v>
      </c>
      <c r="V3724">
        <v>0</v>
      </c>
      <c r="W3724">
        <v>150.12126245847199</v>
      </c>
      <c r="X3724">
        <v>225.24252491694401</v>
      </c>
      <c r="Y3724">
        <v>0</v>
      </c>
      <c r="Z3724">
        <v>153.12126245847199</v>
      </c>
      <c r="AA3724">
        <v>3</v>
      </c>
      <c r="AB3724">
        <v>9.1403657257358901</v>
      </c>
      <c r="AC3724">
        <v>1.0698884103657999E-2</v>
      </c>
      <c r="AD3724">
        <v>1.7163593208671</v>
      </c>
      <c r="AE3724">
        <v>0.31100207567214999</v>
      </c>
      <c r="AF3724">
        <v>9.6760797342192699</v>
      </c>
      <c r="AG3724">
        <f>IFERROR(AH3724*0.1, "N/A")</f>
        <v>6.2571428571428598</v>
      </c>
      <c r="AH3724">
        <v>62.571428571428598</v>
      </c>
      <c r="AI3724">
        <v>244.52952718893201</v>
      </c>
      <c r="AJ3724">
        <v>22.755381604696701</v>
      </c>
      <c r="AK3724">
        <v>57.244618395303299</v>
      </c>
    </row>
    <row r="3725" spans="1:37" x14ac:dyDescent="0.3">
      <c r="A3725">
        <v>3724</v>
      </c>
      <c r="B3725">
        <v>68</v>
      </c>
      <c r="C3725">
        <v>-16.278600999999998</v>
      </c>
      <c r="D3725">
        <v>16.199698999999999</v>
      </c>
      <c r="E3725">
        <f>-16.278601-16.199699</f>
        <v>-32.478299999999997</v>
      </c>
      <c r="F3725" t="s">
        <v>5816</v>
      </c>
      <c r="G3725" t="s">
        <v>39</v>
      </c>
      <c r="H3725">
        <v>2003</v>
      </c>
      <c r="I3725">
        <v>25.799999237060501</v>
      </c>
      <c r="J3725">
        <v>12.199999809265099</v>
      </c>
      <c r="K3725">
        <v>63</v>
      </c>
      <c r="L3725">
        <v>21.582657791847399</v>
      </c>
      <c r="M3725">
        <v>34.013288833770197</v>
      </c>
      <c r="N3725">
        <v>14.800000190734901</v>
      </c>
      <c r="O3725">
        <v>19.2132895967097</v>
      </c>
      <c r="P3725">
        <v>28.200000762939499</v>
      </c>
      <c r="Q3725">
        <v>24.5</v>
      </c>
      <c r="R3725">
        <v>28.399999618530298</v>
      </c>
      <c r="S3725">
        <v>23</v>
      </c>
      <c r="T3725">
        <v>244.46843853820599</v>
      </c>
      <c r="U3725">
        <v>92.867109634551497</v>
      </c>
      <c r="V3725">
        <v>0</v>
      </c>
      <c r="W3725">
        <v>153.73421926910299</v>
      </c>
      <c r="X3725">
        <v>214.60132890365401</v>
      </c>
      <c r="Y3725">
        <v>0</v>
      </c>
      <c r="Z3725">
        <v>195.60132890365401</v>
      </c>
      <c r="AA3725">
        <v>3</v>
      </c>
      <c r="AB3725">
        <v>0.516943516525319</v>
      </c>
      <c r="AC3725">
        <v>1351.17002622684</v>
      </c>
      <c r="AD3725">
        <v>0.72168578618388601</v>
      </c>
      <c r="AE3725">
        <v>0.47878131399122997</v>
      </c>
      <c r="AF3725">
        <v>2.3687707641196001</v>
      </c>
      <c r="AG3725">
        <f>IFERROR(AH3725*0.1, "N/A")</f>
        <v>6.5784053156146207</v>
      </c>
      <c r="AH3725">
        <v>65.7840531561462</v>
      </c>
      <c r="AI3725">
        <v>229.40926809722799</v>
      </c>
      <c r="AJ3725">
        <v>24.468438538206001</v>
      </c>
      <c r="AK3725">
        <v>55.996677740863802</v>
      </c>
    </row>
    <row r="3726" spans="1:37" x14ac:dyDescent="0.3">
      <c r="A3726">
        <v>3725</v>
      </c>
      <c r="B3726">
        <v>0</v>
      </c>
      <c r="C3726">
        <v>-16.4039</v>
      </c>
      <c r="D3726">
        <v>16.203099999999999</v>
      </c>
      <c r="E3726">
        <f>-16.4039-16.2031</f>
        <v>-32.606999999999999</v>
      </c>
      <c r="F3726" t="s">
        <v>5817</v>
      </c>
      <c r="G3726" t="s">
        <v>39</v>
      </c>
      <c r="H3726">
        <v>1992</v>
      </c>
      <c r="I3726">
        <v>25.299999237060501</v>
      </c>
      <c r="J3726">
        <v>11.3999996185303</v>
      </c>
      <c r="K3726">
        <v>61</v>
      </c>
      <c r="L3726">
        <v>21.930000305175799</v>
      </c>
      <c r="M3726">
        <v>33.299999237060497</v>
      </c>
      <c r="N3726">
        <v>14.8999996185303</v>
      </c>
      <c r="O3726">
        <v>18.399999618530298</v>
      </c>
      <c r="P3726">
        <v>27.899999618530298</v>
      </c>
      <c r="Q3726">
        <v>23.799999237060501</v>
      </c>
      <c r="R3726">
        <v>28.200000762939499</v>
      </c>
      <c r="S3726">
        <v>22.700000762939499</v>
      </c>
      <c r="T3726">
        <v>243</v>
      </c>
      <c r="U3726">
        <v>92</v>
      </c>
      <c r="V3726">
        <v>0</v>
      </c>
      <c r="W3726">
        <v>153</v>
      </c>
      <c r="X3726">
        <v>212</v>
      </c>
      <c r="Y3726">
        <v>0</v>
      </c>
      <c r="Z3726">
        <v>196</v>
      </c>
      <c r="AA3726">
        <v>4</v>
      </c>
      <c r="AB3726">
        <v>1.7712624231446199</v>
      </c>
      <c r="AC3726">
        <v>8.4330816149859999E-3</v>
      </c>
      <c r="AD3726">
        <v>0.61227008041947395</v>
      </c>
      <c r="AE3726">
        <v>0.33500710129737898</v>
      </c>
      <c r="AF3726">
        <v>6.1760797342192699</v>
      </c>
      <c r="AG3726">
        <f>IFERROR(AH3726*0.1, "N/A")</f>
        <v>6.8144518272425207</v>
      </c>
      <c r="AH3726">
        <v>68.144518272425202</v>
      </c>
      <c r="AI3726">
        <v>141.080454550708</v>
      </c>
      <c r="AJ3726">
        <v>10.0514950166113</v>
      </c>
      <c r="AK3726">
        <v>83.093023255813904</v>
      </c>
    </row>
    <row r="3727" spans="1:37" x14ac:dyDescent="0.3">
      <c r="A3727">
        <v>3726</v>
      </c>
      <c r="B3727">
        <v>0.2</v>
      </c>
      <c r="C3727">
        <v>-16.4039</v>
      </c>
      <c r="D3727">
        <v>16.203099999999999</v>
      </c>
      <c r="E3727">
        <f>-16.4039-16.2031</f>
        <v>-32.606999999999999</v>
      </c>
      <c r="F3727" t="s">
        <v>5818</v>
      </c>
      <c r="G3727" t="s">
        <v>37</v>
      </c>
      <c r="H3727">
        <v>1992</v>
      </c>
      <c r="I3727">
        <v>25.299999237060501</v>
      </c>
      <c r="J3727">
        <v>11.3999996185303</v>
      </c>
      <c r="K3727">
        <v>61</v>
      </c>
      <c r="L3727">
        <v>21.930000305175799</v>
      </c>
      <c r="M3727">
        <v>33.299999237060497</v>
      </c>
      <c r="N3727">
        <v>14.8999996185303</v>
      </c>
      <c r="O3727">
        <v>18.399999618530298</v>
      </c>
      <c r="P3727">
        <v>27.899999618530298</v>
      </c>
      <c r="Q3727">
        <v>23.799999237060501</v>
      </c>
      <c r="R3727">
        <v>28.200000762939499</v>
      </c>
      <c r="S3727">
        <v>22.700000762939499</v>
      </c>
      <c r="T3727">
        <v>243</v>
      </c>
      <c r="U3727">
        <v>92</v>
      </c>
      <c r="V3727">
        <v>0</v>
      </c>
      <c r="W3727">
        <v>153</v>
      </c>
      <c r="X3727">
        <v>212</v>
      </c>
      <c r="Y3727">
        <v>0</v>
      </c>
      <c r="Z3727">
        <v>196</v>
      </c>
      <c r="AA3727">
        <v>4</v>
      </c>
      <c r="AB3727">
        <v>1.7712624231446199</v>
      </c>
      <c r="AC3727">
        <v>8.4330816149859999E-3</v>
      </c>
      <c r="AD3727">
        <v>0.61227008041947395</v>
      </c>
      <c r="AE3727">
        <v>0.33500710129737898</v>
      </c>
      <c r="AF3727">
        <v>6.1760797342192699</v>
      </c>
      <c r="AG3727">
        <f>IFERROR(AH3727*0.1, "N/A")</f>
        <v>6.8144518272425207</v>
      </c>
      <c r="AH3727">
        <v>68.144518272425202</v>
      </c>
      <c r="AI3727">
        <v>141.080454550708</v>
      </c>
      <c r="AJ3727">
        <v>10.0514950166113</v>
      </c>
      <c r="AK3727">
        <v>83.093023255813904</v>
      </c>
    </row>
    <row r="3728" spans="1:37" x14ac:dyDescent="0.3">
      <c r="A3728">
        <v>3727</v>
      </c>
      <c r="B3728">
        <v>3.4</v>
      </c>
      <c r="C3728">
        <v>-16.254999000000002</v>
      </c>
      <c r="D3728">
        <v>16.211901000000001</v>
      </c>
      <c r="E3728">
        <f>-16.254999-16.211901</f>
        <v>-32.466900000000003</v>
      </c>
      <c r="F3728" t="s">
        <v>5819</v>
      </c>
      <c r="G3728" t="s">
        <v>39</v>
      </c>
      <c r="H3728">
        <v>1992</v>
      </c>
      <c r="I3728">
        <v>25.899999618530298</v>
      </c>
      <c r="J3728">
        <v>12.3999996185303</v>
      </c>
      <c r="K3728">
        <v>63</v>
      </c>
      <c r="L3728">
        <v>21.819999694824201</v>
      </c>
      <c r="M3728">
        <v>34.200000762939503</v>
      </c>
      <c r="N3728">
        <v>14.800000190734901</v>
      </c>
      <c r="O3728">
        <v>19.399999618530298</v>
      </c>
      <c r="P3728">
        <v>28.299999237060501</v>
      </c>
      <c r="Q3728">
        <v>24.700000762939499</v>
      </c>
      <c r="R3728">
        <v>28.5</v>
      </c>
      <c r="S3728">
        <v>23</v>
      </c>
      <c r="T3728">
        <v>241</v>
      </c>
      <c r="U3728">
        <v>92</v>
      </c>
      <c r="V3728">
        <v>0</v>
      </c>
      <c r="W3728">
        <v>152</v>
      </c>
      <c r="X3728">
        <v>212</v>
      </c>
      <c r="Y3728">
        <v>0</v>
      </c>
      <c r="Z3728">
        <v>193</v>
      </c>
      <c r="AA3728">
        <v>3</v>
      </c>
      <c r="AB3728">
        <v>0.79240925201881796</v>
      </c>
      <c r="AC3728">
        <v>6.2001408744763002E-2</v>
      </c>
      <c r="AD3728">
        <v>2.1373350982225401</v>
      </c>
      <c r="AE3728">
        <v>0.37453925609588601</v>
      </c>
      <c r="AF3728">
        <v>-0.22112211221122099</v>
      </c>
      <c r="AG3728">
        <f>IFERROR(AH3728*0.1, "N/A")</f>
        <v>6.8953795379537999</v>
      </c>
      <c r="AH3728">
        <v>68.953795379537993</v>
      </c>
      <c r="AI3728">
        <v>51.033284605926397</v>
      </c>
      <c r="AJ3728">
        <v>27.092409240924098</v>
      </c>
      <c r="AK3728">
        <v>50.815181518151803</v>
      </c>
    </row>
    <row r="3729" spans="1:37" x14ac:dyDescent="0.3">
      <c r="A3729">
        <v>3728</v>
      </c>
      <c r="B3729">
        <v>0</v>
      </c>
      <c r="C3729">
        <v>-16.254999000000002</v>
      </c>
      <c r="D3729">
        <v>16.211901000000001</v>
      </c>
      <c r="E3729">
        <f>-16.254999-16.211901</f>
        <v>-32.466900000000003</v>
      </c>
      <c r="F3729" t="s">
        <v>5820</v>
      </c>
      <c r="G3729" t="s">
        <v>37</v>
      </c>
      <c r="H3729">
        <v>1992</v>
      </c>
      <c r="I3729">
        <v>25.899999618530298</v>
      </c>
      <c r="J3729">
        <v>12.3999996185303</v>
      </c>
      <c r="K3729">
        <v>63</v>
      </c>
      <c r="L3729">
        <v>21.819999694824201</v>
      </c>
      <c r="M3729">
        <v>34.200000762939503</v>
      </c>
      <c r="N3729">
        <v>14.800000190734901</v>
      </c>
      <c r="O3729">
        <v>19.399999618530298</v>
      </c>
      <c r="P3729">
        <v>28.299999237060501</v>
      </c>
      <c r="Q3729">
        <v>24.700000762939499</v>
      </c>
      <c r="R3729">
        <v>28.5</v>
      </c>
      <c r="S3729">
        <v>23</v>
      </c>
      <c r="T3729">
        <v>241</v>
      </c>
      <c r="U3729">
        <v>92</v>
      </c>
      <c r="V3729">
        <v>0</v>
      </c>
      <c r="W3729">
        <v>152</v>
      </c>
      <c r="X3729">
        <v>212</v>
      </c>
      <c r="Y3729">
        <v>0</v>
      </c>
      <c r="Z3729">
        <v>193</v>
      </c>
      <c r="AA3729">
        <v>3</v>
      </c>
      <c r="AB3729">
        <v>0.79240925201881796</v>
      </c>
      <c r="AC3729">
        <v>6.2001408744763002E-2</v>
      </c>
      <c r="AD3729">
        <v>2.1373350982225401</v>
      </c>
      <c r="AE3729">
        <v>0.37453925609588601</v>
      </c>
      <c r="AF3729">
        <v>-0.22112211221122099</v>
      </c>
      <c r="AG3729">
        <f>IFERROR(AH3729*0.1, "N/A")</f>
        <v>6.8953795379537999</v>
      </c>
      <c r="AH3729">
        <v>68.953795379537993</v>
      </c>
      <c r="AI3729">
        <v>51.033284605926397</v>
      </c>
      <c r="AJ3729">
        <v>27.092409240924098</v>
      </c>
      <c r="AK3729">
        <v>50.815181518151803</v>
      </c>
    </row>
    <row r="3730" spans="1:37" x14ac:dyDescent="0.3">
      <c r="A3730">
        <v>3729</v>
      </c>
      <c r="B3730">
        <v>79.400002000000001</v>
      </c>
      <c r="C3730">
        <v>-16.229199999999999</v>
      </c>
      <c r="D3730">
        <v>16.220600000000001</v>
      </c>
      <c r="E3730">
        <f>-16.2292-16.2206</f>
        <v>-32.449799999999996</v>
      </c>
      <c r="F3730" t="s">
        <v>5821</v>
      </c>
      <c r="G3730" t="s">
        <v>39</v>
      </c>
      <c r="H3730">
        <v>1994</v>
      </c>
      <c r="I3730">
        <v>25.899999618530298</v>
      </c>
      <c r="J3730">
        <v>12.5</v>
      </c>
      <c r="K3730">
        <v>63</v>
      </c>
      <c r="L3730">
        <v>21.670000076293899</v>
      </c>
      <c r="M3730">
        <v>34.400001525878899</v>
      </c>
      <c r="N3730">
        <v>14.800000190734901</v>
      </c>
      <c r="O3730">
        <v>19.600000381469702</v>
      </c>
      <c r="P3730">
        <v>28.299999237060501</v>
      </c>
      <c r="Q3730">
        <v>24.799999237060501</v>
      </c>
      <c r="R3730">
        <v>28.5</v>
      </c>
      <c r="S3730">
        <v>23.100000381469702</v>
      </c>
      <c r="T3730">
        <v>239</v>
      </c>
      <c r="U3730">
        <v>91</v>
      </c>
      <c r="V3730">
        <v>0</v>
      </c>
      <c r="W3730">
        <v>158</v>
      </c>
      <c r="X3730">
        <v>210</v>
      </c>
      <c r="Y3730">
        <v>0</v>
      </c>
      <c r="Z3730">
        <v>191</v>
      </c>
      <c r="AA3730">
        <v>3</v>
      </c>
      <c r="AB3730">
        <v>2.5485051925792299</v>
      </c>
      <c r="AC3730">
        <v>1.9811857459243999E-2</v>
      </c>
      <c r="AD3730">
        <v>1.30070201790214</v>
      </c>
      <c r="AE3730">
        <v>0.30414253473281899</v>
      </c>
      <c r="AF3730">
        <v>6.4800664451827199</v>
      </c>
      <c r="AG3730">
        <f>IFERROR(AH3730*0.1, "N/A")</f>
        <v>7.1415282392026604</v>
      </c>
      <c r="AH3730">
        <v>71.415282392026597</v>
      </c>
      <c r="AI3730">
        <v>160.85187347386801</v>
      </c>
      <c r="AJ3730">
        <v>13.584717607973399</v>
      </c>
      <c r="AK3730">
        <v>75.415282392026597</v>
      </c>
    </row>
    <row r="3731" spans="1:37" x14ac:dyDescent="0.3">
      <c r="A3731">
        <v>3730</v>
      </c>
      <c r="B3731">
        <v>22.6</v>
      </c>
      <c r="C3731">
        <v>-14.472200000000001</v>
      </c>
      <c r="D3731">
        <v>16.222601000000001</v>
      </c>
      <c r="E3731">
        <f>-14.4722-16.222601</f>
        <v>-30.694801000000002</v>
      </c>
      <c r="F3731" t="s">
        <v>5822</v>
      </c>
      <c r="G3731" t="s">
        <v>39</v>
      </c>
      <c r="H3731">
        <v>2005</v>
      </c>
      <c r="I3731">
        <v>28.200000762939499</v>
      </c>
      <c r="J3731">
        <v>15.3999996185303</v>
      </c>
      <c r="K3731">
        <v>58</v>
      </c>
      <c r="L3731">
        <v>31.049999237060501</v>
      </c>
      <c r="M3731">
        <v>40.299999237060497</v>
      </c>
      <c r="N3731">
        <v>13.8999996185303</v>
      </c>
      <c r="O3731">
        <v>26.399999618530298</v>
      </c>
      <c r="P3731">
        <v>30.200000762939499</v>
      </c>
      <c r="Q3731">
        <v>29.200000762939499</v>
      </c>
      <c r="R3731">
        <v>31.5</v>
      </c>
      <c r="S3731">
        <v>23.5</v>
      </c>
      <c r="T3731">
        <v>289</v>
      </c>
      <c r="U3731">
        <v>99</v>
      </c>
      <c r="V3731">
        <v>0</v>
      </c>
      <c r="W3731">
        <v>142</v>
      </c>
      <c r="X3731">
        <v>251</v>
      </c>
      <c r="Y3731">
        <v>0</v>
      </c>
      <c r="Z3731">
        <v>85</v>
      </c>
      <c r="AA3731">
        <v>2</v>
      </c>
      <c r="AB3731">
        <v>0.49768629468177</v>
      </c>
      <c r="AC3731">
        <v>1.565966865876</v>
      </c>
      <c r="AD3731">
        <v>1.81153489538461</v>
      </c>
      <c r="AE3731">
        <v>0.237442627549171</v>
      </c>
      <c r="AF3731">
        <v>35.271074380165302</v>
      </c>
      <c r="AG3731">
        <f>IFERROR(AH3731*0.1, "N/A")</f>
        <v>6.2</v>
      </c>
      <c r="AH3731">
        <v>62</v>
      </c>
      <c r="AI3731">
        <v>280.17676010762398</v>
      </c>
      <c r="AJ3731">
        <v>11</v>
      </c>
      <c r="AK3731">
        <v>78.915702479338805</v>
      </c>
    </row>
    <row r="3732" spans="1:37" x14ac:dyDescent="0.3">
      <c r="A3732">
        <v>3731</v>
      </c>
      <c r="B3732">
        <v>1.1000000000000001</v>
      </c>
      <c r="C3732">
        <v>-15.2841</v>
      </c>
      <c r="D3732">
        <v>16.230899999999998</v>
      </c>
      <c r="E3732">
        <f>-15.2841-16.2309</f>
        <v>-31.515000000000001</v>
      </c>
      <c r="F3732" t="s">
        <v>5823</v>
      </c>
      <c r="G3732" t="s">
        <v>39</v>
      </c>
      <c r="H3732">
        <v>1982</v>
      </c>
      <c r="I3732">
        <v>27.5</v>
      </c>
      <c r="J3732">
        <v>15.6000003814697</v>
      </c>
      <c r="K3732">
        <v>62</v>
      </c>
      <c r="L3732">
        <v>25.809999465942401</v>
      </c>
      <c r="M3732">
        <v>39.099998474121101</v>
      </c>
      <c r="N3732">
        <v>14.199999809265099</v>
      </c>
      <c r="O3732">
        <v>24.899999618530298</v>
      </c>
      <c r="P3732">
        <v>29</v>
      </c>
      <c r="Q3732">
        <v>28.200000762939499</v>
      </c>
      <c r="R3732">
        <v>30.100000381469702</v>
      </c>
      <c r="S3732">
        <v>23.399999618530298</v>
      </c>
      <c r="T3732">
        <v>283</v>
      </c>
      <c r="U3732">
        <v>98</v>
      </c>
      <c r="V3732">
        <v>0</v>
      </c>
      <c r="W3732">
        <v>144</v>
      </c>
      <c r="X3732">
        <v>239</v>
      </c>
      <c r="Y3732">
        <v>0</v>
      </c>
      <c r="Z3732">
        <v>66</v>
      </c>
      <c r="AA3732">
        <v>5</v>
      </c>
      <c r="AB3732">
        <v>2.5330023947442202</v>
      </c>
      <c r="AC3732">
        <v>9.5348816788189995E-3</v>
      </c>
      <c r="AD3732">
        <v>0.68998704670278199</v>
      </c>
      <c r="AE3732">
        <v>0.25161954760551503</v>
      </c>
      <c r="AF3732">
        <v>34.701492537313399</v>
      </c>
      <c r="AG3732">
        <f>IFERROR(AH3732*0.1, "N/A")</f>
        <v>6.4369817578772803</v>
      </c>
      <c r="AH3732">
        <v>64.369817578772796</v>
      </c>
      <c r="AI3732">
        <v>182.007932349817</v>
      </c>
      <c r="AJ3732">
        <v>10</v>
      </c>
      <c r="AK3732">
        <v>81.630182421227204</v>
      </c>
    </row>
    <row r="3733" spans="1:37" x14ac:dyDescent="0.3">
      <c r="A3733">
        <v>3732</v>
      </c>
      <c r="B3733">
        <v>0</v>
      </c>
      <c r="C3733">
        <v>-15.8833</v>
      </c>
      <c r="D3733">
        <v>16.233499999999999</v>
      </c>
      <c r="E3733">
        <f>-15.8833-16.2335</f>
        <v>-32.116799999999998</v>
      </c>
      <c r="F3733" t="s">
        <v>5824</v>
      </c>
      <c r="G3733" t="s">
        <v>39</v>
      </c>
      <c r="H3733">
        <v>1983</v>
      </c>
      <c r="I3733">
        <v>27</v>
      </c>
      <c r="J3733">
        <v>14.4197343538452</v>
      </c>
      <c r="K3733">
        <v>66.197346600331699</v>
      </c>
      <c r="L3733">
        <v>22.723531855872601</v>
      </c>
      <c r="M3733">
        <v>36.400001525878899</v>
      </c>
      <c r="N3733">
        <v>14.800000190734901</v>
      </c>
      <c r="O3733">
        <v>21.600000381469702</v>
      </c>
      <c r="P3733">
        <v>29</v>
      </c>
      <c r="Q3733">
        <v>26.835488593005</v>
      </c>
      <c r="R3733">
        <v>29.100000381469702</v>
      </c>
      <c r="S3733">
        <v>23.570978711889001</v>
      </c>
      <c r="T3733">
        <v>251.605306799337</v>
      </c>
      <c r="U3733">
        <v>93</v>
      </c>
      <c r="V3733">
        <v>0</v>
      </c>
      <c r="W3733">
        <v>150.155887230514</v>
      </c>
      <c r="X3733">
        <v>218.44776119402999</v>
      </c>
      <c r="Y3733">
        <v>0</v>
      </c>
      <c r="Z3733">
        <v>147.15754560530701</v>
      </c>
      <c r="AA3733">
        <v>3</v>
      </c>
      <c r="AB3733">
        <v>0.327529068609968</v>
      </c>
      <c r="AC3733">
        <v>3.8370396039923003E-2</v>
      </c>
      <c r="AD3733">
        <v>1.9275912912330799</v>
      </c>
      <c r="AE3733">
        <v>0.20002913736980699</v>
      </c>
      <c r="AF3733">
        <v>3.318407960199</v>
      </c>
      <c r="AG3733">
        <f>IFERROR(AH3733*0.1, "N/A")</f>
        <v>6.2</v>
      </c>
      <c r="AH3733">
        <v>62</v>
      </c>
      <c r="AI3733">
        <v>100.68482268509</v>
      </c>
      <c r="AJ3733">
        <v>15.064676616915399</v>
      </c>
      <c r="AK3733">
        <v>69.225538971807595</v>
      </c>
    </row>
    <row r="3734" spans="1:37" x14ac:dyDescent="0.3">
      <c r="A3734">
        <v>3733</v>
      </c>
      <c r="B3734">
        <v>0</v>
      </c>
      <c r="C3734">
        <v>-15.8</v>
      </c>
      <c r="D3734">
        <v>16.240801000000001</v>
      </c>
      <c r="E3734">
        <f>-15.8-16.240801</f>
        <v>-32.040801000000002</v>
      </c>
      <c r="F3734" t="s">
        <v>5825</v>
      </c>
      <c r="G3734" t="s">
        <v>39</v>
      </c>
      <c r="H3734">
        <v>1983</v>
      </c>
      <c r="I3734">
        <v>27.200000762939499</v>
      </c>
      <c r="J3734">
        <v>14.800000190734901</v>
      </c>
      <c r="K3734">
        <v>66</v>
      </c>
      <c r="L3734">
        <v>23.130448647624402</v>
      </c>
      <c r="M3734">
        <v>37.099998474121101</v>
      </c>
      <c r="N3734">
        <v>14.699999809265099</v>
      </c>
      <c r="O3734">
        <v>22.399999618530298</v>
      </c>
      <c r="P3734">
        <v>29</v>
      </c>
      <c r="Q3734">
        <v>27.200000762939499</v>
      </c>
      <c r="R3734">
        <v>29.299999237060501</v>
      </c>
      <c r="S3734">
        <v>23.600000381469702</v>
      </c>
      <c r="T3734">
        <v>255.118136439268</v>
      </c>
      <c r="U3734">
        <v>93.973377703826998</v>
      </c>
      <c r="V3734">
        <v>0</v>
      </c>
      <c r="W3734">
        <v>146.946755407654</v>
      </c>
      <c r="X3734">
        <v>220.118136439268</v>
      </c>
      <c r="Y3734">
        <v>0</v>
      </c>
      <c r="Z3734">
        <v>150.144758735441</v>
      </c>
      <c r="AA3734">
        <v>3</v>
      </c>
      <c r="AB3734">
        <v>5.7936773802000401</v>
      </c>
      <c r="AC3734">
        <v>0.142124866110624</v>
      </c>
      <c r="AD3734">
        <v>1.9186327505032399</v>
      </c>
      <c r="AE3734">
        <v>0.44428405165672302</v>
      </c>
      <c r="AF3734">
        <v>8.2861896838602291</v>
      </c>
      <c r="AG3734">
        <f>IFERROR(AH3734*0.1, "N/A")</f>
        <v>6.5856905158069914</v>
      </c>
      <c r="AH3734">
        <v>65.856905158069907</v>
      </c>
      <c r="AI3734">
        <v>217.203708540778</v>
      </c>
      <c r="AJ3734">
        <v>24.768718801996702</v>
      </c>
      <c r="AK3734">
        <v>59.202995008319498</v>
      </c>
    </row>
    <row r="3735" spans="1:37" x14ac:dyDescent="0.3">
      <c r="A3735">
        <v>3734</v>
      </c>
      <c r="B3735">
        <v>34</v>
      </c>
      <c r="C3735">
        <v>-15.799099999999999</v>
      </c>
      <c r="D3735">
        <v>16.247699999999998</v>
      </c>
      <c r="E3735">
        <f>-15.7991-16.2477</f>
        <v>-32.046799999999998</v>
      </c>
      <c r="F3735" t="s">
        <v>5826</v>
      </c>
      <c r="G3735" t="s">
        <v>39</v>
      </c>
      <c r="H3735">
        <v>2003</v>
      </c>
      <c r="I3735">
        <v>27.200000762939499</v>
      </c>
      <c r="J3735">
        <v>14.800000190734901</v>
      </c>
      <c r="K3735">
        <v>66</v>
      </c>
      <c r="L3735">
        <v>23.2877361549819</v>
      </c>
      <c r="M3735">
        <v>37.099998474121101</v>
      </c>
      <c r="N3735">
        <v>14.699999809265099</v>
      </c>
      <c r="O3735">
        <v>22.399999618530298</v>
      </c>
      <c r="P3735">
        <v>29</v>
      </c>
      <c r="Q3735">
        <v>27.200000762939499</v>
      </c>
      <c r="R3735">
        <v>29.299999237060501</v>
      </c>
      <c r="S3735">
        <v>23.600000381469702</v>
      </c>
      <c r="T3735">
        <v>253.871074380165</v>
      </c>
      <c r="U3735">
        <v>93</v>
      </c>
      <c r="V3735">
        <v>0</v>
      </c>
      <c r="W3735">
        <v>145.871074380165</v>
      </c>
      <c r="X3735">
        <v>218.871074380165</v>
      </c>
      <c r="Y3735">
        <v>0</v>
      </c>
      <c r="Z3735">
        <v>149</v>
      </c>
      <c r="AA3735">
        <v>3</v>
      </c>
      <c r="AB3735">
        <v>1.95586778152087</v>
      </c>
      <c r="AC3735">
        <v>5.3526725422991001E-2</v>
      </c>
      <c r="AD3735">
        <v>1.14186361269517</v>
      </c>
      <c r="AE3735">
        <v>0.44680488109588601</v>
      </c>
      <c r="AF3735">
        <v>1.7355371900826499</v>
      </c>
      <c r="AG3735">
        <f>IFERROR(AH3735*0.1, "N/A")</f>
        <v>6.8000000000000007</v>
      </c>
      <c r="AH3735">
        <v>68</v>
      </c>
      <c r="AI3735">
        <v>150.29946709625</v>
      </c>
      <c r="AJ3735">
        <v>25</v>
      </c>
      <c r="AK3735">
        <v>60</v>
      </c>
    </row>
    <row r="3736" spans="1:37" x14ac:dyDescent="0.3">
      <c r="A3736">
        <v>3735</v>
      </c>
      <c r="B3736">
        <v>80</v>
      </c>
      <c r="C3736">
        <v>-15.8872</v>
      </c>
      <c r="D3736">
        <v>16.254999000000002</v>
      </c>
      <c r="E3736">
        <f>-15.8872-16.254999</f>
        <v>-32.142199000000005</v>
      </c>
      <c r="F3736" t="s">
        <v>5827</v>
      </c>
      <c r="G3736" t="s">
        <v>37</v>
      </c>
      <c r="H3736">
        <v>2008</v>
      </c>
      <c r="I3736">
        <v>27</v>
      </c>
      <c r="J3736">
        <v>14.5</v>
      </c>
      <c r="K3736">
        <v>67</v>
      </c>
      <c r="L3736">
        <v>22.590000152587901</v>
      </c>
      <c r="M3736">
        <v>36.400001525878899</v>
      </c>
      <c r="N3736">
        <v>14.800000190734901</v>
      </c>
      <c r="O3736">
        <v>21.600000381469702</v>
      </c>
      <c r="P3736">
        <v>28.899999618530298</v>
      </c>
      <c r="Q3736">
        <v>26.799999237060501</v>
      </c>
      <c r="R3736">
        <v>29</v>
      </c>
      <c r="S3736">
        <v>23.600000381469702</v>
      </c>
      <c r="T3736">
        <v>248</v>
      </c>
      <c r="U3736">
        <v>92</v>
      </c>
      <c r="V3736">
        <v>0</v>
      </c>
      <c r="W3736">
        <v>151</v>
      </c>
      <c r="X3736">
        <v>215</v>
      </c>
      <c r="Y3736">
        <v>0</v>
      </c>
      <c r="Z3736">
        <v>145</v>
      </c>
      <c r="AA3736">
        <v>3</v>
      </c>
      <c r="AB3736">
        <v>0.97748345136642401</v>
      </c>
      <c r="AC3736">
        <v>1.7012616761895301</v>
      </c>
      <c r="AD3736">
        <v>2.8634039126089901</v>
      </c>
      <c r="AE3736">
        <v>0.37114852666854897</v>
      </c>
      <c r="AF3736">
        <v>5.9105960264900697</v>
      </c>
      <c r="AG3736">
        <f>IFERROR(AH3736*0.1, "N/A")</f>
        <v>6.6251655629139101</v>
      </c>
      <c r="AH3736">
        <v>66.251655629139094</v>
      </c>
      <c r="AI3736">
        <v>243.003985221812</v>
      </c>
      <c r="AJ3736">
        <v>11.0844370860927</v>
      </c>
      <c r="AK3736">
        <v>79.503311258278103</v>
      </c>
    </row>
    <row r="3737" spans="1:37" x14ac:dyDescent="0.3">
      <c r="A3737">
        <v>3736</v>
      </c>
      <c r="B3737">
        <v>72</v>
      </c>
      <c r="C3737">
        <v>-15.8872</v>
      </c>
      <c r="D3737">
        <v>16.254999000000002</v>
      </c>
      <c r="E3737">
        <f>-15.8872-16.254999</f>
        <v>-32.142199000000005</v>
      </c>
      <c r="F3737" t="s">
        <v>5828</v>
      </c>
      <c r="G3737" t="s">
        <v>39</v>
      </c>
      <c r="H3737">
        <v>2008</v>
      </c>
      <c r="I3737">
        <v>27</v>
      </c>
      <c r="J3737">
        <v>14.5</v>
      </c>
      <c r="K3737">
        <v>67</v>
      </c>
      <c r="L3737">
        <v>22.590000152587901</v>
      </c>
      <c r="M3737">
        <v>36.400001525878899</v>
      </c>
      <c r="N3737">
        <v>14.800000190734901</v>
      </c>
      <c r="O3737">
        <v>21.600000381469702</v>
      </c>
      <c r="P3737">
        <v>28.899999618530298</v>
      </c>
      <c r="Q3737">
        <v>26.799999237060501</v>
      </c>
      <c r="R3737">
        <v>29</v>
      </c>
      <c r="S3737">
        <v>23.600000381469702</v>
      </c>
      <c r="T3737">
        <v>248</v>
      </c>
      <c r="U3737">
        <v>92</v>
      </c>
      <c r="V3737">
        <v>0</v>
      </c>
      <c r="W3737">
        <v>151</v>
      </c>
      <c r="X3737">
        <v>215</v>
      </c>
      <c r="Y3737">
        <v>0</v>
      </c>
      <c r="Z3737">
        <v>145</v>
      </c>
      <c r="AA3737">
        <v>3</v>
      </c>
      <c r="AB3737">
        <v>0.97748345136642401</v>
      </c>
      <c r="AC3737">
        <v>1.7012616761895301</v>
      </c>
      <c r="AD3737">
        <v>2.8634039126089901</v>
      </c>
      <c r="AE3737">
        <v>0.37114852666854897</v>
      </c>
      <c r="AF3737">
        <v>5.9105960264900697</v>
      </c>
      <c r="AG3737">
        <f>IFERROR(AH3737*0.1, "N/A")</f>
        <v>6.6251655629139101</v>
      </c>
      <c r="AH3737">
        <v>66.251655629139094</v>
      </c>
      <c r="AI3737">
        <v>243.003985221812</v>
      </c>
      <c r="AJ3737">
        <v>11.0844370860927</v>
      </c>
      <c r="AK3737">
        <v>79.503311258278103</v>
      </c>
    </row>
    <row r="3738" spans="1:37" x14ac:dyDescent="0.3">
      <c r="A3738">
        <v>3737</v>
      </c>
      <c r="B3738">
        <v>54</v>
      </c>
      <c r="C3738">
        <v>-15.883900000000001</v>
      </c>
      <c r="D3738">
        <v>16.2593</v>
      </c>
      <c r="E3738">
        <f>-15.8839-16.2593</f>
        <v>-32.1432</v>
      </c>
      <c r="F3738" t="s">
        <v>5829</v>
      </c>
      <c r="G3738" t="s">
        <v>39</v>
      </c>
      <c r="H3738">
        <v>2003</v>
      </c>
      <c r="I3738">
        <v>27.098016902828999</v>
      </c>
      <c r="J3738">
        <v>14.5</v>
      </c>
      <c r="K3738">
        <v>66.019834710743794</v>
      </c>
      <c r="L3738">
        <v>22.7761990224034</v>
      </c>
      <c r="M3738">
        <v>36.498347132659198</v>
      </c>
      <c r="N3738">
        <v>14.800000190734901</v>
      </c>
      <c r="O3738">
        <v>21.698347857766901</v>
      </c>
      <c r="P3738">
        <v>28.9980165213593</v>
      </c>
      <c r="Q3738">
        <v>26.898016139889499</v>
      </c>
      <c r="R3738">
        <v>29.098347482602499</v>
      </c>
      <c r="S3738">
        <v>23.600000381469702</v>
      </c>
      <c r="T3738">
        <v>247.02314049586801</v>
      </c>
      <c r="U3738">
        <v>92</v>
      </c>
      <c r="V3738">
        <v>0</v>
      </c>
      <c r="W3738">
        <v>151</v>
      </c>
      <c r="X3738">
        <v>215</v>
      </c>
      <c r="Y3738">
        <v>0</v>
      </c>
      <c r="Z3738">
        <v>145</v>
      </c>
      <c r="AA3738">
        <v>3</v>
      </c>
      <c r="AB3738">
        <v>0.82595051812731501</v>
      </c>
      <c r="AC3738">
        <v>1.8397184292331701</v>
      </c>
      <c r="AD3738">
        <v>5.0814086628354298</v>
      </c>
      <c r="AE3738">
        <v>0.37170356571181701</v>
      </c>
      <c r="AF3738">
        <v>3.2115702479338899</v>
      </c>
      <c r="AG3738">
        <f>IFERROR(AH3738*0.1, "N/A")</f>
        <v>6.4348760330578507</v>
      </c>
      <c r="AH3738">
        <v>64.3487603305785</v>
      </c>
      <c r="AI3738">
        <v>178.01088209861601</v>
      </c>
      <c r="AJ3738">
        <v>12.3421487603306</v>
      </c>
      <c r="AK3738">
        <v>76.661157024793397</v>
      </c>
    </row>
    <row r="3739" spans="1:37" x14ac:dyDescent="0.3">
      <c r="A3739">
        <v>3738</v>
      </c>
      <c r="B3739">
        <v>0</v>
      </c>
      <c r="C3739">
        <v>-15.8764</v>
      </c>
      <c r="D3739">
        <v>16.265599999999999</v>
      </c>
      <c r="E3739">
        <f>-15.8764-16.2656</f>
        <v>-32.141999999999996</v>
      </c>
      <c r="F3739" t="s">
        <v>5830</v>
      </c>
      <c r="G3739" t="s">
        <v>39</v>
      </c>
      <c r="H3739">
        <v>1983</v>
      </c>
      <c r="I3739">
        <v>27.100000381469702</v>
      </c>
      <c r="J3739">
        <v>14.5</v>
      </c>
      <c r="K3739">
        <v>66</v>
      </c>
      <c r="L3739">
        <v>22.7700004577637</v>
      </c>
      <c r="M3739">
        <v>36.599998474121101</v>
      </c>
      <c r="N3739">
        <v>14.800000190734901</v>
      </c>
      <c r="O3739">
        <v>21.799999237060501</v>
      </c>
      <c r="P3739">
        <v>29</v>
      </c>
      <c r="Q3739">
        <v>26.899999618530298</v>
      </c>
      <c r="R3739">
        <v>29.200000762939499</v>
      </c>
      <c r="S3739">
        <v>23.600000381469702</v>
      </c>
      <c r="T3739">
        <v>248</v>
      </c>
      <c r="U3739">
        <v>92</v>
      </c>
      <c r="V3739">
        <v>0</v>
      </c>
      <c r="W3739">
        <v>151</v>
      </c>
      <c r="X3739">
        <v>215</v>
      </c>
      <c r="Y3739">
        <v>0</v>
      </c>
      <c r="Z3739">
        <v>145</v>
      </c>
      <c r="AA3739">
        <v>3</v>
      </c>
      <c r="AB3739">
        <v>1.99817888843303</v>
      </c>
      <c r="AC3739">
        <v>1.0795504688933E-2</v>
      </c>
      <c r="AD3739">
        <v>1.2991468949823199</v>
      </c>
      <c r="AE3739">
        <v>0.60135519504547097</v>
      </c>
      <c r="AF3739">
        <v>3.1655629139072801</v>
      </c>
      <c r="AG3739">
        <f>IFERROR(AH3739*0.1, "N/A")</f>
        <v>6.7802980132450301</v>
      </c>
      <c r="AH3739">
        <v>67.802980132450301</v>
      </c>
      <c r="AI3739">
        <v>69.719494421750497</v>
      </c>
      <c r="AJ3739">
        <v>22.821192052980098</v>
      </c>
      <c r="AK3739">
        <v>56.587748344370901</v>
      </c>
    </row>
    <row r="3740" spans="1:37" x14ac:dyDescent="0.3">
      <c r="A3740">
        <v>3739</v>
      </c>
      <c r="B3740">
        <v>20</v>
      </c>
      <c r="C3740">
        <v>-16.184401000000001</v>
      </c>
      <c r="D3740">
        <v>16.266399</v>
      </c>
      <c r="E3740">
        <f>-16.184401-16.266399</f>
        <v>-32.450800000000001</v>
      </c>
      <c r="F3740" t="s">
        <v>5831</v>
      </c>
      <c r="G3740" t="s">
        <v>39</v>
      </c>
      <c r="H3740">
        <v>2004</v>
      </c>
      <c r="I3740">
        <v>26.100000381469702</v>
      </c>
      <c r="J3740">
        <v>12.8999996185303</v>
      </c>
      <c r="K3740">
        <v>64</v>
      </c>
      <c r="L3740">
        <v>22.1048172415293</v>
      </c>
      <c r="M3740">
        <v>34.727575093012703</v>
      </c>
      <c r="N3740">
        <v>14.800000190734901</v>
      </c>
      <c r="O3740">
        <v>19.927574474550202</v>
      </c>
      <c r="P3740">
        <v>28.5</v>
      </c>
      <c r="Q3740">
        <v>25.200000762939499</v>
      </c>
      <c r="R3740">
        <v>28.700000762939499</v>
      </c>
      <c r="S3740">
        <v>23.100000381469702</v>
      </c>
      <c r="T3740">
        <v>229.72425249169399</v>
      </c>
      <c r="U3740">
        <v>88</v>
      </c>
      <c r="V3740">
        <v>0</v>
      </c>
      <c r="W3740">
        <v>151.72425249169399</v>
      </c>
      <c r="X3740">
        <v>202.72425249169399</v>
      </c>
      <c r="Y3740">
        <v>0</v>
      </c>
      <c r="Z3740">
        <v>182.72425249169399</v>
      </c>
      <c r="AA3740">
        <v>3</v>
      </c>
      <c r="AB3740">
        <v>0.54784053267038502</v>
      </c>
      <c r="AC3740">
        <v>1.6574366322944002E-2</v>
      </c>
      <c r="AD3740">
        <v>1.3649913024070699</v>
      </c>
      <c r="AE3740">
        <v>0.37080365419387801</v>
      </c>
      <c r="AF3740">
        <v>3.6827242524916901</v>
      </c>
      <c r="AG3740">
        <f>IFERROR(AH3740*0.1, "N/A")</f>
        <v>7.020598006644521</v>
      </c>
      <c r="AH3740">
        <v>70.205980066445207</v>
      </c>
      <c r="AI3740">
        <v>136.958690402516</v>
      </c>
      <c r="AJ3740">
        <v>21</v>
      </c>
      <c r="AK3740">
        <v>59.257475083056498</v>
      </c>
    </row>
    <row r="3741" spans="1:37" x14ac:dyDescent="0.3">
      <c r="A3741">
        <v>3740</v>
      </c>
      <c r="B3741">
        <v>0</v>
      </c>
      <c r="C3741">
        <v>-16.137799999999999</v>
      </c>
      <c r="D3741">
        <v>16.273299999999999</v>
      </c>
      <c r="E3741">
        <f>-16.1378-16.2733</f>
        <v>-32.411099999999998</v>
      </c>
      <c r="F3741" t="s">
        <v>5832</v>
      </c>
      <c r="G3741" t="s">
        <v>39</v>
      </c>
      <c r="H3741">
        <v>1992</v>
      </c>
      <c r="I3741">
        <v>26.299999237060501</v>
      </c>
      <c r="J3741">
        <v>13.199999809265099</v>
      </c>
      <c r="K3741">
        <v>65</v>
      </c>
      <c r="L3741">
        <v>22.069999694824201</v>
      </c>
      <c r="M3741">
        <v>35</v>
      </c>
      <c r="N3741">
        <v>14.800000190734901</v>
      </c>
      <c r="O3741">
        <v>20.200000762939499</v>
      </c>
      <c r="P3741">
        <v>28.600000381469702</v>
      </c>
      <c r="Q3741">
        <v>25.600000381469702</v>
      </c>
      <c r="R3741">
        <v>28.700000762939499</v>
      </c>
      <c r="S3741">
        <v>23.200000762939499</v>
      </c>
      <c r="T3741">
        <v>230</v>
      </c>
      <c r="U3741">
        <v>88</v>
      </c>
      <c r="V3741">
        <v>0</v>
      </c>
      <c r="W3741">
        <v>152</v>
      </c>
      <c r="X3741">
        <v>203</v>
      </c>
      <c r="Y3741">
        <v>0</v>
      </c>
      <c r="Z3741">
        <v>182</v>
      </c>
      <c r="AA3741">
        <v>3</v>
      </c>
      <c r="AB3741">
        <v>0.59039729004664099</v>
      </c>
      <c r="AC3741">
        <v>2.3629614836628999E-2</v>
      </c>
      <c r="AD3741">
        <v>1.33683885189871</v>
      </c>
      <c r="AE3741">
        <v>0.38562461733818099</v>
      </c>
      <c r="AF3741">
        <v>1.70033112582781</v>
      </c>
      <c r="AG3741">
        <f>IFERROR(AH3741*0.1, "N/A")</f>
        <v>7.0536423841059603</v>
      </c>
      <c r="AH3741">
        <v>70.536423841059602</v>
      </c>
      <c r="AI3741">
        <v>135.197425393869</v>
      </c>
      <c r="AJ3741">
        <v>12.2367549668874</v>
      </c>
      <c r="AK3741">
        <v>76.375827814569504</v>
      </c>
    </row>
    <row r="3742" spans="1:37" x14ac:dyDescent="0.3">
      <c r="A3742">
        <v>3741</v>
      </c>
      <c r="B3742">
        <v>0</v>
      </c>
      <c r="C3742">
        <v>-16.137799999999999</v>
      </c>
      <c r="D3742">
        <v>16.273299999999999</v>
      </c>
      <c r="E3742">
        <f>-16.1378-16.2733</f>
        <v>-32.411099999999998</v>
      </c>
      <c r="F3742" t="s">
        <v>5833</v>
      </c>
      <c r="G3742" t="s">
        <v>37</v>
      </c>
      <c r="H3742">
        <v>1992</v>
      </c>
      <c r="I3742">
        <v>26.299999237060501</v>
      </c>
      <c r="J3742">
        <v>13.199999809265099</v>
      </c>
      <c r="K3742">
        <v>65</v>
      </c>
      <c r="L3742">
        <v>22.069999694824201</v>
      </c>
      <c r="M3742">
        <v>35</v>
      </c>
      <c r="N3742">
        <v>14.800000190734901</v>
      </c>
      <c r="O3742">
        <v>20.200000762939499</v>
      </c>
      <c r="P3742">
        <v>28.600000381469702</v>
      </c>
      <c r="Q3742">
        <v>25.600000381469702</v>
      </c>
      <c r="R3742">
        <v>28.700000762939499</v>
      </c>
      <c r="S3742">
        <v>23.200000762939499</v>
      </c>
      <c r="T3742">
        <v>230</v>
      </c>
      <c r="U3742">
        <v>88</v>
      </c>
      <c r="V3742">
        <v>0</v>
      </c>
      <c r="W3742">
        <v>152</v>
      </c>
      <c r="X3742">
        <v>203</v>
      </c>
      <c r="Y3742">
        <v>0</v>
      </c>
      <c r="Z3742">
        <v>182</v>
      </c>
      <c r="AA3742">
        <v>3</v>
      </c>
      <c r="AB3742">
        <v>0.59039729004664099</v>
      </c>
      <c r="AC3742">
        <v>2.3629614836628999E-2</v>
      </c>
      <c r="AD3742">
        <v>1.33683885189871</v>
      </c>
      <c r="AE3742">
        <v>0.38562461733818099</v>
      </c>
      <c r="AF3742">
        <v>1.70033112582781</v>
      </c>
      <c r="AG3742">
        <f>IFERROR(AH3742*0.1, "N/A")</f>
        <v>7.0536423841059603</v>
      </c>
      <c r="AH3742">
        <v>70.536423841059602</v>
      </c>
      <c r="AI3742">
        <v>135.197425393869</v>
      </c>
      <c r="AJ3742">
        <v>12.2367549668874</v>
      </c>
      <c r="AK3742">
        <v>76.375827814569504</v>
      </c>
    </row>
    <row r="3743" spans="1:37" x14ac:dyDescent="0.3">
      <c r="A3743">
        <v>3742</v>
      </c>
      <c r="B3743">
        <v>52</v>
      </c>
      <c r="C3743">
        <v>-16.136700000000001</v>
      </c>
      <c r="D3743">
        <v>16.275600000000001</v>
      </c>
      <c r="E3743">
        <f>-16.1367-16.2756</f>
        <v>-32.412300000000002</v>
      </c>
      <c r="F3743" t="s">
        <v>5834</v>
      </c>
      <c r="G3743" t="s">
        <v>39</v>
      </c>
      <c r="H3743">
        <v>2003</v>
      </c>
      <c r="I3743">
        <v>26.299999237060501</v>
      </c>
      <c r="J3743">
        <v>13.199999809265099</v>
      </c>
      <c r="K3743">
        <v>64</v>
      </c>
      <c r="L3743">
        <v>22.090000152587901</v>
      </c>
      <c r="M3743">
        <v>35.200000762939503</v>
      </c>
      <c r="N3743">
        <v>14.800000190734901</v>
      </c>
      <c r="O3743">
        <v>20.399999618530298</v>
      </c>
      <c r="P3743">
        <v>28.600000381469702</v>
      </c>
      <c r="Q3743">
        <v>25.600000381469702</v>
      </c>
      <c r="R3743">
        <v>28.799999237060501</v>
      </c>
      <c r="S3743">
        <v>23.200000762939499</v>
      </c>
      <c r="T3743">
        <v>230</v>
      </c>
      <c r="U3743">
        <v>88</v>
      </c>
      <c r="V3743">
        <v>0</v>
      </c>
      <c r="W3743">
        <v>152</v>
      </c>
      <c r="X3743">
        <v>203</v>
      </c>
      <c r="Y3743">
        <v>0</v>
      </c>
      <c r="Z3743">
        <v>182</v>
      </c>
      <c r="AA3743">
        <v>3</v>
      </c>
      <c r="AB3743">
        <v>8.8925611874289004E-2</v>
      </c>
      <c r="AC3743">
        <v>0.13198673066736999</v>
      </c>
      <c r="AD3743">
        <v>1.8634442144189001</v>
      </c>
      <c r="AE3743">
        <v>0.38562461733818099</v>
      </c>
      <c r="AF3743">
        <v>1.8396694214875999</v>
      </c>
      <c r="AG3743">
        <f>IFERROR(AH3743*0.1, "N/A")</f>
        <v>7.2105785123967001</v>
      </c>
      <c r="AH3743">
        <v>72.105785123966996</v>
      </c>
      <c r="AI3743">
        <v>138.46795620248301</v>
      </c>
      <c r="AJ3743">
        <v>12.0528925619835</v>
      </c>
      <c r="AK3743">
        <v>75.947107438016502</v>
      </c>
    </row>
    <row r="3744" spans="1:37" x14ac:dyDescent="0.3">
      <c r="A3744">
        <v>3743</v>
      </c>
      <c r="B3744">
        <v>59.599997999999999</v>
      </c>
      <c r="C3744">
        <v>-15.770799999999999</v>
      </c>
      <c r="D3744">
        <v>16.3325</v>
      </c>
      <c r="E3744">
        <f>-15.7708-16.3325</f>
        <v>-32.103299999999997</v>
      </c>
      <c r="F3744" t="s">
        <v>5835</v>
      </c>
      <c r="G3744" t="s">
        <v>37</v>
      </c>
      <c r="H3744">
        <v>2000</v>
      </c>
      <c r="I3744">
        <v>27.399999618530298</v>
      </c>
      <c r="J3744">
        <v>15.0061157258089</v>
      </c>
      <c r="K3744">
        <v>65</v>
      </c>
      <c r="L3744">
        <v>23.725686718018601</v>
      </c>
      <c r="M3744">
        <v>37.706116372100603</v>
      </c>
      <c r="N3744">
        <v>14.800000190734901</v>
      </c>
      <c r="O3744">
        <v>22.906115344339199</v>
      </c>
      <c r="P3744">
        <v>29.206116372100599</v>
      </c>
      <c r="Q3744">
        <v>27.600000381469702</v>
      </c>
      <c r="R3744">
        <v>29.5061157258089</v>
      </c>
      <c r="S3744">
        <v>23.700000762939499</v>
      </c>
      <c r="T3744">
        <v>242</v>
      </c>
      <c r="U3744">
        <v>90</v>
      </c>
      <c r="V3744">
        <v>0</v>
      </c>
      <c r="W3744">
        <v>147</v>
      </c>
      <c r="X3744">
        <v>210</v>
      </c>
      <c r="Y3744">
        <v>0</v>
      </c>
      <c r="Z3744">
        <v>143</v>
      </c>
      <c r="AA3744">
        <v>3</v>
      </c>
      <c r="AB3744">
        <v>4.1042974219834498</v>
      </c>
      <c r="AC3744">
        <v>4.2689016598376997E-2</v>
      </c>
      <c r="AD3744">
        <v>1.3166614143808999</v>
      </c>
      <c r="AE3744">
        <v>0.29056942522033202</v>
      </c>
      <c r="AF3744">
        <v>3.5537190082644599</v>
      </c>
      <c r="AG3744">
        <f>IFERROR(AH3744*0.1, "N/A")</f>
        <v>6.2684297520661199</v>
      </c>
      <c r="AH3744">
        <v>62.684297520661197</v>
      </c>
      <c r="AI3744">
        <v>146.875436855348</v>
      </c>
      <c r="AJ3744">
        <v>24.085950413223099</v>
      </c>
      <c r="AK3744">
        <v>55.6066115702479</v>
      </c>
    </row>
    <row r="3745" spans="1:37" x14ac:dyDescent="0.3">
      <c r="A3745">
        <v>3744</v>
      </c>
      <c r="B3745">
        <v>0</v>
      </c>
      <c r="C3745">
        <v>-15.7683</v>
      </c>
      <c r="D3745">
        <v>16.3339</v>
      </c>
      <c r="E3745">
        <f>-15.7683-16.3339</f>
        <v>-32.102199999999996</v>
      </c>
      <c r="F3745" t="s">
        <v>5836</v>
      </c>
      <c r="G3745" t="s">
        <v>39</v>
      </c>
      <c r="H3745">
        <v>1983</v>
      </c>
      <c r="I3745">
        <v>27.399999618530298</v>
      </c>
      <c r="J3745">
        <v>15.098837586336399</v>
      </c>
      <c r="K3745">
        <v>65</v>
      </c>
      <c r="L3745">
        <v>24.115117117415998</v>
      </c>
      <c r="M3745">
        <v>37.798836464105598</v>
      </c>
      <c r="N3745">
        <v>14.800000190734901</v>
      </c>
      <c r="O3745">
        <v>22.9988372048666</v>
      </c>
      <c r="P3745">
        <v>29.298836464105602</v>
      </c>
      <c r="Q3745">
        <v>27.600000381469702</v>
      </c>
      <c r="R3745">
        <v>29.598837586336401</v>
      </c>
      <c r="S3745">
        <v>23.700000762939499</v>
      </c>
      <c r="T3745">
        <v>242</v>
      </c>
      <c r="U3745">
        <v>90</v>
      </c>
      <c r="V3745">
        <v>0</v>
      </c>
      <c r="W3745">
        <v>147</v>
      </c>
      <c r="X3745">
        <v>210</v>
      </c>
      <c r="Y3745">
        <v>0</v>
      </c>
      <c r="Z3745">
        <v>143</v>
      </c>
      <c r="AA3745">
        <v>3</v>
      </c>
      <c r="AB3745">
        <v>4.3599667093682504</v>
      </c>
      <c r="AC3745">
        <v>1.1264049486749E-2</v>
      </c>
      <c r="AD3745">
        <v>1.7539160818950701</v>
      </c>
      <c r="AE3745">
        <v>0.313682382536489</v>
      </c>
      <c r="AF3745">
        <v>5.8272425249169402</v>
      </c>
      <c r="AG3745">
        <f>IFERROR(AH3745*0.1, "N/A")</f>
        <v>6.1023255813953501</v>
      </c>
      <c r="AH3745">
        <v>61.023255813953497</v>
      </c>
      <c r="AI3745">
        <v>292.63964767709501</v>
      </c>
      <c r="AJ3745">
        <v>20.139534883720899</v>
      </c>
      <c r="AK3745">
        <v>62.790697674418603</v>
      </c>
    </row>
    <row r="3746" spans="1:37" x14ac:dyDescent="0.3">
      <c r="A3746">
        <v>3745</v>
      </c>
      <c r="B3746">
        <v>0</v>
      </c>
      <c r="C3746">
        <v>-15.77</v>
      </c>
      <c r="D3746">
        <v>16.370000999999998</v>
      </c>
      <c r="E3746">
        <f>-15.77-16.370001</f>
        <v>-32.140000999999998</v>
      </c>
      <c r="F3746" t="s">
        <v>5837</v>
      </c>
      <c r="G3746" t="s">
        <v>39</v>
      </c>
      <c r="H3746">
        <v>1983</v>
      </c>
      <c r="I3746">
        <v>27.5</v>
      </c>
      <c r="J3746">
        <v>15.1000003814697</v>
      </c>
      <c r="K3746">
        <v>65</v>
      </c>
      <c r="L3746">
        <v>24.219999313354499</v>
      </c>
      <c r="M3746">
        <v>38</v>
      </c>
      <c r="N3746">
        <v>14.800000190734901</v>
      </c>
      <c r="O3746">
        <v>23.200000762939499</v>
      </c>
      <c r="P3746">
        <v>29.399999618530298</v>
      </c>
      <c r="Q3746">
        <v>27.700000762939499</v>
      </c>
      <c r="R3746">
        <v>29.700000762939499</v>
      </c>
      <c r="S3746">
        <v>23.799999237060501</v>
      </c>
      <c r="T3746">
        <v>237</v>
      </c>
      <c r="U3746">
        <v>88</v>
      </c>
      <c r="V3746">
        <v>0</v>
      </c>
      <c r="W3746">
        <v>151</v>
      </c>
      <c r="X3746">
        <v>206</v>
      </c>
      <c r="Y3746">
        <v>0</v>
      </c>
      <c r="Z3746">
        <v>140</v>
      </c>
      <c r="AA3746">
        <v>3</v>
      </c>
      <c r="AB3746">
        <v>0.90165022772924297</v>
      </c>
      <c r="AC3746">
        <v>6.1952373890434002E-2</v>
      </c>
      <c r="AD3746">
        <v>1.04049418748605</v>
      </c>
      <c r="AE3746">
        <v>0.173068568110466</v>
      </c>
      <c r="AF3746">
        <v>0.113861386138614</v>
      </c>
      <c r="AG3746">
        <f>IFERROR(AH3746*0.1, "N/A")</f>
        <v>6.7960396039604012</v>
      </c>
      <c r="AH3746">
        <v>67.960396039604007</v>
      </c>
      <c r="AI3746">
        <v>168.009801757611</v>
      </c>
      <c r="AJ3746">
        <v>25.013201320132001</v>
      </c>
      <c r="AK3746">
        <v>55.5</v>
      </c>
    </row>
    <row r="3747" spans="1:37" x14ac:dyDescent="0.3">
      <c r="A3747">
        <v>3746</v>
      </c>
      <c r="B3747">
        <v>0</v>
      </c>
      <c r="C3747">
        <v>-15.8</v>
      </c>
      <c r="D3747">
        <v>16.379999000000002</v>
      </c>
      <c r="E3747">
        <f>-15.8-16.379999</f>
        <v>-32.179999000000002</v>
      </c>
      <c r="F3747" t="s">
        <v>5838</v>
      </c>
      <c r="G3747" t="s">
        <v>39</v>
      </c>
      <c r="H3747">
        <v>1983</v>
      </c>
      <c r="I3747">
        <v>27.5</v>
      </c>
      <c r="J3747">
        <v>15.0178218501629</v>
      </c>
      <c r="K3747">
        <v>65</v>
      </c>
      <c r="L3747">
        <v>24.4489112891773</v>
      </c>
      <c r="M3747">
        <v>37.817821427147003</v>
      </c>
      <c r="N3747">
        <v>14.800000190734901</v>
      </c>
      <c r="O3747">
        <v>23.0178218501629</v>
      </c>
      <c r="P3747">
        <v>29.399999618530298</v>
      </c>
      <c r="Q3747">
        <v>27.5178218501629</v>
      </c>
      <c r="R3747">
        <v>29.600000381469702</v>
      </c>
      <c r="S3747">
        <v>23.700000762939499</v>
      </c>
      <c r="T3747">
        <v>235</v>
      </c>
      <c r="U3747">
        <v>88</v>
      </c>
      <c r="V3747">
        <v>0</v>
      </c>
      <c r="W3747">
        <v>150</v>
      </c>
      <c r="X3747">
        <v>204</v>
      </c>
      <c r="Y3747">
        <v>0</v>
      </c>
      <c r="Z3747">
        <v>139</v>
      </c>
      <c r="AA3747">
        <v>3</v>
      </c>
      <c r="AB3747">
        <v>4.2351484688201797</v>
      </c>
      <c r="AC3747">
        <v>2.4649434201972999E-2</v>
      </c>
      <c r="AD3747">
        <v>0.85246396404091695</v>
      </c>
      <c r="AE3747">
        <v>0.197291344404221</v>
      </c>
      <c r="AF3747">
        <v>3.06435643564356</v>
      </c>
      <c r="AG3747">
        <f>IFERROR(AH3747*0.1, "N/A")</f>
        <v>6.798349834983501</v>
      </c>
      <c r="AH3747">
        <v>67.983498349835003</v>
      </c>
      <c r="AI3747">
        <v>116.55308897817901</v>
      </c>
      <c r="AJ3747">
        <v>28.673267326732699</v>
      </c>
      <c r="AK3747">
        <v>48.5825082508251</v>
      </c>
    </row>
    <row r="3748" spans="1:37" x14ac:dyDescent="0.3">
      <c r="A3748">
        <v>3747</v>
      </c>
      <c r="B3748">
        <v>0</v>
      </c>
      <c r="C3748">
        <v>-15.8</v>
      </c>
      <c r="D3748">
        <v>16.379999000000002</v>
      </c>
      <c r="E3748">
        <f>-15.8-16.379999</f>
        <v>-32.179999000000002</v>
      </c>
      <c r="F3748" t="s">
        <v>5839</v>
      </c>
      <c r="G3748" t="s">
        <v>37</v>
      </c>
      <c r="H3748">
        <v>1983</v>
      </c>
      <c r="I3748">
        <v>27.5</v>
      </c>
      <c r="J3748">
        <v>15.0178218501629</v>
      </c>
      <c r="K3748">
        <v>65</v>
      </c>
      <c r="L3748">
        <v>24.4489112891773</v>
      </c>
      <c r="M3748">
        <v>37.817821427147003</v>
      </c>
      <c r="N3748">
        <v>14.800000190734901</v>
      </c>
      <c r="O3748">
        <v>23.0178218501629</v>
      </c>
      <c r="P3748">
        <v>29.399999618530298</v>
      </c>
      <c r="Q3748">
        <v>27.5178218501629</v>
      </c>
      <c r="R3748">
        <v>29.600000381469702</v>
      </c>
      <c r="S3748">
        <v>23.700000762939499</v>
      </c>
      <c r="T3748">
        <v>235</v>
      </c>
      <c r="U3748">
        <v>88</v>
      </c>
      <c r="V3748">
        <v>0</v>
      </c>
      <c r="W3748">
        <v>150</v>
      </c>
      <c r="X3748">
        <v>204</v>
      </c>
      <c r="Y3748">
        <v>0</v>
      </c>
      <c r="Z3748">
        <v>139</v>
      </c>
      <c r="AA3748">
        <v>3</v>
      </c>
      <c r="AB3748">
        <v>4.2351484688201797</v>
      </c>
      <c r="AC3748">
        <v>2.4649434201972999E-2</v>
      </c>
      <c r="AD3748">
        <v>0.85246396404091695</v>
      </c>
      <c r="AE3748">
        <v>0.197291344404221</v>
      </c>
      <c r="AF3748">
        <v>3.06435643564356</v>
      </c>
      <c r="AG3748">
        <f>IFERROR(AH3748*0.1, "N/A")</f>
        <v>6.798349834983501</v>
      </c>
      <c r="AH3748">
        <v>67.983498349835003</v>
      </c>
      <c r="AI3748">
        <v>116.55308897817901</v>
      </c>
      <c r="AJ3748">
        <v>28.673267326732699</v>
      </c>
      <c r="AK3748">
        <v>48.5825082508251</v>
      </c>
    </row>
    <row r="3749" spans="1:37" x14ac:dyDescent="0.3">
      <c r="A3749">
        <v>3748</v>
      </c>
      <c r="B3749">
        <v>0</v>
      </c>
      <c r="C3749">
        <v>-15.728899999999999</v>
      </c>
      <c r="D3749">
        <v>16.389399999999998</v>
      </c>
      <c r="E3749">
        <f>-15.7289-16.3894</f>
        <v>-32.118299999999998</v>
      </c>
      <c r="F3749" t="s">
        <v>5840</v>
      </c>
      <c r="G3749" t="s">
        <v>39</v>
      </c>
      <c r="H3749">
        <v>1983</v>
      </c>
      <c r="I3749">
        <v>27.5</v>
      </c>
      <c r="J3749">
        <v>15.199999809265099</v>
      </c>
      <c r="K3749">
        <v>64</v>
      </c>
      <c r="L3749">
        <v>24.620000839233398</v>
      </c>
      <c r="M3749">
        <v>38.200000762939503</v>
      </c>
      <c r="N3749">
        <v>14.800000190734901</v>
      </c>
      <c r="O3749">
        <v>23.399999618530298</v>
      </c>
      <c r="P3749">
        <v>29.399999618530298</v>
      </c>
      <c r="Q3749">
        <v>27.799999237060501</v>
      </c>
      <c r="R3749">
        <v>29.799999237060501</v>
      </c>
      <c r="S3749">
        <v>23.799999237060501</v>
      </c>
      <c r="T3749">
        <v>236</v>
      </c>
      <c r="U3749">
        <v>88</v>
      </c>
      <c r="V3749">
        <v>0</v>
      </c>
      <c r="W3749">
        <v>151</v>
      </c>
      <c r="X3749">
        <v>205</v>
      </c>
      <c r="Y3749">
        <v>0</v>
      </c>
      <c r="Z3749">
        <v>52</v>
      </c>
      <c r="AA3749">
        <v>3</v>
      </c>
      <c r="AB3749">
        <v>3.9526488698081499</v>
      </c>
      <c r="AC3749">
        <v>2965.9070815415298</v>
      </c>
      <c r="AD3749">
        <v>1.3575822000472</v>
      </c>
      <c r="AE3749">
        <v>0.45161550038105602</v>
      </c>
      <c r="AF3749">
        <v>6.5811258278145699</v>
      </c>
      <c r="AG3749">
        <f>IFERROR(AH3749*0.1, "N/A")</f>
        <v>6.0317880794701999</v>
      </c>
      <c r="AH3749">
        <v>60.317880794701999</v>
      </c>
      <c r="AI3749">
        <v>157.31152573642299</v>
      </c>
      <c r="AJ3749">
        <v>19.342715231788102</v>
      </c>
      <c r="AK3749">
        <v>57.890728476821202</v>
      </c>
    </row>
    <row r="3750" spans="1:37" x14ac:dyDescent="0.3">
      <c r="A3750">
        <v>3749</v>
      </c>
      <c r="B3750">
        <v>0</v>
      </c>
      <c r="C3750">
        <v>-14.5631</v>
      </c>
      <c r="D3750">
        <v>16.389399999999998</v>
      </c>
      <c r="E3750">
        <f>-14.5631-16.3894</f>
        <v>-30.952500000000001</v>
      </c>
      <c r="F3750" t="s">
        <v>5841</v>
      </c>
      <c r="G3750" t="s">
        <v>39</v>
      </c>
      <c r="H3750">
        <v>1996</v>
      </c>
      <c r="I3750">
        <v>28</v>
      </c>
      <c r="J3750">
        <v>15.5</v>
      </c>
      <c r="K3750">
        <v>58</v>
      </c>
      <c r="L3750">
        <v>32.569999694824197</v>
      </c>
      <c r="M3750">
        <v>40</v>
      </c>
      <c r="N3750">
        <v>13.3999996185303</v>
      </c>
      <c r="O3750">
        <v>26.600000381469702</v>
      </c>
      <c r="P3750">
        <v>30.299999237060501</v>
      </c>
      <c r="Q3750">
        <v>28.799999237060501</v>
      </c>
      <c r="R3750">
        <v>31.399999618530298</v>
      </c>
      <c r="S3750">
        <v>23.100000381469702</v>
      </c>
      <c r="T3750">
        <v>265</v>
      </c>
      <c r="U3750">
        <v>94</v>
      </c>
      <c r="V3750">
        <v>0</v>
      </c>
      <c r="W3750">
        <v>142</v>
      </c>
      <c r="X3750">
        <v>229</v>
      </c>
      <c r="Y3750">
        <v>0</v>
      </c>
      <c r="Z3750">
        <v>76</v>
      </c>
      <c r="AA3750">
        <v>2</v>
      </c>
      <c r="AB3750">
        <v>0.91011710665119205</v>
      </c>
      <c r="AC3750">
        <v>1.3800974387002E-2</v>
      </c>
      <c r="AD3750">
        <v>1.0299872994225201</v>
      </c>
      <c r="AE3750">
        <v>0.237964928150177</v>
      </c>
      <c r="AF3750">
        <v>26.160862354892199</v>
      </c>
      <c r="AG3750">
        <f>IFERROR(AH3750*0.1, "N/A")</f>
        <v>7.059535655058041</v>
      </c>
      <c r="AH3750">
        <v>70.595356550580405</v>
      </c>
      <c r="AI3750">
        <v>179.32778772509101</v>
      </c>
      <c r="AJ3750">
        <v>12</v>
      </c>
      <c r="AK3750">
        <v>79.082918739635105</v>
      </c>
    </row>
    <row r="3751" spans="1:37" x14ac:dyDescent="0.3">
      <c r="A3751">
        <v>3750</v>
      </c>
      <c r="B3751">
        <v>62</v>
      </c>
      <c r="C3751">
        <v>-15.7264</v>
      </c>
      <c r="D3751">
        <v>16.393298999999999</v>
      </c>
      <c r="E3751">
        <f>-15.7264-16.393299</f>
        <v>-32.119698999999997</v>
      </c>
      <c r="F3751" t="s">
        <v>5842</v>
      </c>
      <c r="G3751" t="s">
        <v>37</v>
      </c>
      <c r="H3751">
        <v>2008</v>
      </c>
      <c r="I3751">
        <v>27.600000381469702</v>
      </c>
      <c r="J3751">
        <v>15.199999809265099</v>
      </c>
      <c r="K3751">
        <v>64</v>
      </c>
      <c r="L3751">
        <v>24.7700004577637</v>
      </c>
      <c r="M3751">
        <v>38.299999237060497</v>
      </c>
      <c r="N3751">
        <v>14.800000190734901</v>
      </c>
      <c r="O3751">
        <v>23.5</v>
      </c>
      <c r="P3751">
        <v>29.5</v>
      </c>
      <c r="Q3751">
        <v>27.899999618530298</v>
      </c>
      <c r="R3751">
        <v>29.799999237060501</v>
      </c>
      <c r="S3751">
        <v>23.799999237060501</v>
      </c>
      <c r="T3751">
        <v>236</v>
      </c>
      <c r="U3751">
        <v>88</v>
      </c>
      <c r="V3751">
        <v>0</v>
      </c>
      <c r="W3751">
        <v>151</v>
      </c>
      <c r="X3751">
        <v>205</v>
      </c>
      <c r="Y3751">
        <v>0</v>
      </c>
      <c r="Z3751">
        <v>52</v>
      </c>
      <c r="AA3751">
        <v>3</v>
      </c>
      <c r="AB3751">
        <v>2.6480065786165201</v>
      </c>
      <c r="AC3751">
        <v>19762.1883083666</v>
      </c>
      <c r="AD3751">
        <v>1.4599348476954901</v>
      </c>
      <c r="AE3751">
        <v>0.456241965293884</v>
      </c>
      <c r="AF3751">
        <v>4.00996677740864</v>
      </c>
      <c r="AG3751">
        <f>IFERROR(AH3751*0.1, "N/A")</f>
        <v>6.2360465116279107</v>
      </c>
      <c r="AH3751">
        <v>62.360465116279101</v>
      </c>
      <c r="AI3751">
        <v>246.867161646238</v>
      </c>
      <c r="AJ3751">
        <v>20.709302325581401</v>
      </c>
      <c r="AK3751">
        <v>60.031561461793999</v>
      </c>
    </row>
    <row r="3752" spans="1:37" x14ac:dyDescent="0.3">
      <c r="A3752">
        <v>3751</v>
      </c>
      <c r="B3752">
        <v>5.5</v>
      </c>
      <c r="C3752">
        <v>-14.321899999999999</v>
      </c>
      <c r="D3752">
        <v>16.396999000000001</v>
      </c>
      <c r="E3752">
        <f>-14.3219-16.396999</f>
        <v>-30.718899</v>
      </c>
      <c r="F3752" t="s">
        <v>5843</v>
      </c>
      <c r="G3752" t="s">
        <v>39</v>
      </c>
      <c r="H3752">
        <v>1996</v>
      </c>
      <c r="I3752">
        <v>28.799999237060501</v>
      </c>
      <c r="J3752">
        <v>15.300000190734901</v>
      </c>
      <c r="K3752">
        <v>57</v>
      </c>
      <c r="L3752">
        <v>32.869998931884801</v>
      </c>
      <c r="M3752">
        <v>40.700000762939503</v>
      </c>
      <c r="N3752">
        <v>14.300000190734901</v>
      </c>
      <c r="O3752">
        <v>26.399999618530298</v>
      </c>
      <c r="P3752">
        <v>31</v>
      </c>
      <c r="Q3752">
        <v>25</v>
      </c>
      <c r="R3752">
        <v>32.200000762939503</v>
      </c>
      <c r="S3752">
        <v>23.700000762939499</v>
      </c>
      <c r="T3752">
        <v>270</v>
      </c>
      <c r="U3752">
        <v>93</v>
      </c>
      <c r="V3752">
        <v>0</v>
      </c>
      <c r="W3752">
        <v>147</v>
      </c>
      <c r="X3752">
        <v>239</v>
      </c>
      <c r="Y3752">
        <v>0</v>
      </c>
      <c r="Z3752">
        <v>83</v>
      </c>
      <c r="AA3752">
        <v>0</v>
      </c>
      <c r="AB3752">
        <v>0.11229225488200099</v>
      </c>
      <c r="AC3752">
        <v>0.68970324840099595</v>
      </c>
      <c r="AD3752">
        <v>1.2070168987461101</v>
      </c>
      <c r="AE3752">
        <v>0.398830026388168</v>
      </c>
      <c r="AF3752">
        <v>11</v>
      </c>
      <c r="AG3752">
        <f>IFERROR(AH3752*0.1, "N/A")</f>
        <v>6.4664451827242502</v>
      </c>
      <c r="AH3752">
        <v>64.664451827242502</v>
      </c>
      <c r="AI3752">
        <v>166.51724628435801</v>
      </c>
      <c r="AJ3752">
        <v>21.1029900332226</v>
      </c>
      <c r="AK3752">
        <v>65.887043189368796</v>
      </c>
    </row>
    <row r="3753" spans="1:37" x14ac:dyDescent="0.3">
      <c r="A3753">
        <v>3752</v>
      </c>
      <c r="B3753">
        <v>0</v>
      </c>
      <c r="C3753">
        <v>-14.321899999999999</v>
      </c>
      <c r="D3753">
        <v>16.396999000000001</v>
      </c>
      <c r="E3753">
        <f>-14.3219-16.396999</f>
        <v>-30.718899</v>
      </c>
      <c r="F3753" t="s">
        <v>5844</v>
      </c>
      <c r="G3753" t="s">
        <v>37</v>
      </c>
      <c r="H3753">
        <v>1996</v>
      </c>
      <c r="I3753">
        <v>28.799999237060501</v>
      </c>
      <c r="J3753">
        <v>15.300000190734901</v>
      </c>
      <c r="K3753">
        <v>57</v>
      </c>
      <c r="L3753">
        <v>32.869998931884801</v>
      </c>
      <c r="M3753">
        <v>40.700000762939503</v>
      </c>
      <c r="N3753">
        <v>14.300000190734901</v>
      </c>
      <c r="O3753">
        <v>26.399999618530298</v>
      </c>
      <c r="P3753">
        <v>31</v>
      </c>
      <c r="Q3753">
        <v>25</v>
      </c>
      <c r="R3753">
        <v>32.200000762939503</v>
      </c>
      <c r="S3753">
        <v>23.700000762939499</v>
      </c>
      <c r="T3753">
        <v>270</v>
      </c>
      <c r="U3753">
        <v>93</v>
      </c>
      <c r="V3753">
        <v>0</v>
      </c>
      <c r="W3753">
        <v>147</v>
      </c>
      <c r="X3753">
        <v>239</v>
      </c>
      <c r="Y3753">
        <v>0</v>
      </c>
      <c r="Z3753">
        <v>83</v>
      </c>
      <c r="AA3753">
        <v>0</v>
      </c>
      <c r="AB3753">
        <v>0.11229225488200099</v>
      </c>
      <c r="AC3753">
        <v>0.68970324840099595</v>
      </c>
      <c r="AD3753">
        <v>1.2070168987461101</v>
      </c>
      <c r="AE3753">
        <v>0.398830026388168</v>
      </c>
      <c r="AF3753">
        <v>11</v>
      </c>
      <c r="AG3753">
        <f>IFERROR(AH3753*0.1, "N/A")</f>
        <v>6.4664451827242502</v>
      </c>
      <c r="AH3753">
        <v>64.664451827242502</v>
      </c>
      <c r="AI3753">
        <v>166.51724628435801</v>
      </c>
      <c r="AJ3753">
        <v>21.1029900332226</v>
      </c>
      <c r="AK3753">
        <v>65.887043189368796</v>
      </c>
    </row>
    <row r="3754" spans="1:37" x14ac:dyDescent="0.3">
      <c r="A3754">
        <v>3753</v>
      </c>
      <c r="B3754">
        <v>72</v>
      </c>
      <c r="C3754">
        <v>-16.0748</v>
      </c>
      <c r="D3754">
        <v>16.397600000000001</v>
      </c>
      <c r="E3754">
        <f>-16.0748-16.3976</f>
        <v>-32.4724</v>
      </c>
      <c r="F3754" t="s">
        <v>5845</v>
      </c>
      <c r="G3754" t="s">
        <v>37</v>
      </c>
      <c r="H3754">
        <v>2003</v>
      </c>
      <c r="I3754">
        <v>26.700000762939499</v>
      </c>
      <c r="J3754">
        <v>13.699999809265099</v>
      </c>
      <c r="K3754">
        <v>64.0860927152318</v>
      </c>
      <c r="L3754">
        <v>22.819999694824201</v>
      </c>
      <c r="M3754">
        <v>35.891392057305097</v>
      </c>
      <c r="N3754">
        <v>14.800000190734901</v>
      </c>
      <c r="O3754">
        <v>21.091391077104799</v>
      </c>
      <c r="P3754">
        <v>28.899999618530298</v>
      </c>
      <c r="Q3754">
        <v>26.1913914585745</v>
      </c>
      <c r="R3754">
        <v>29.1913914585745</v>
      </c>
      <c r="S3754">
        <v>23.399999618530298</v>
      </c>
      <c r="T3754">
        <v>210.91390728476799</v>
      </c>
      <c r="U3754">
        <v>82</v>
      </c>
      <c r="V3754">
        <v>0</v>
      </c>
      <c r="W3754">
        <v>155</v>
      </c>
      <c r="X3754">
        <v>186.91390728476799</v>
      </c>
      <c r="Y3754">
        <v>0</v>
      </c>
      <c r="Z3754">
        <v>166</v>
      </c>
      <c r="AA3754">
        <v>3</v>
      </c>
      <c r="AB3754">
        <v>1.9541391142156701</v>
      </c>
      <c r="AC3754">
        <v>124.217884962469</v>
      </c>
      <c r="AD3754">
        <v>0.49100396145653302</v>
      </c>
      <c r="AE3754">
        <v>0.24198119342327101</v>
      </c>
      <c r="AF3754">
        <v>2.6639072847682099</v>
      </c>
      <c r="AG3754">
        <f>IFERROR(AH3754*0.1, "N/A")</f>
        <v>6.7551324503311214</v>
      </c>
      <c r="AH3754">
        <v>67.551324503311207</v>
      </c>
      <c r="AI3754">
        <v>128.037088425744</v>
      </c>
      <c r="AJ3754">
        <v>23.2582781456954</v>
      </c>
      <c r="AK3754">
        <v>59.9139072847682</v>
      </c>
    </row>
    <row r="3755" spans="1:37" x14ac:dyDescent="0.3">
      <c r="A3755">
        <v>3754</v>
      </c>
      <c r="B3755">
        <v>0</v>
      </c>
      <c r="C3755">
        <v>-15.2867</v>
      </c>
      <c r="D3755">
        <v>16.404199999999999</v>
      </c>
      <c r="E3755">
        <f>-15.2867-16.4042</f>
        <v>-31.690899999999999</v>
      </c>
      <c r="F3755" t="s">
        <v>5846</v>
      </c>
      <c r="G3755" t="s">
        <v>39</v>
      </c>
      <c r="H3755">
        <v>1982</v>
      </c>
      <c r="I3755">
        <v>27.600000381469702</v>
      </c>
      <c r="J3755">
        <v>15.6000003814697</v>
      </c>
      <c r="K3755">
        <v>62</v>
      </c>
      <c r="L3755">
        <v>27.0100002288818</v>
      </c>
      <c r="M3755">
        <v>39.299999237060497</v>
      </c>
      <c r="N3755">
        <v>14.199999809265099</v>
      </c>
      <c r="O3755">
        <v>25.100000381469702</v>
      </c>
      <c r="P3755">
        <v>29.299999237060501</v>
      </c>
      <c r="Q3755">
        <v>28.399999618530298</v>
      </c>
      <c r="R3755">
        <v>30.299999237060501</v>
      </c>
      <c r="S3755">
        <v>23.399999618530298</v>
      </c>
      <c r="T3755">
        <v>252</v>
      </c>
      <c r="U3755">
        <v>91</v>
      </c>
      <c r="V3755">
        <v>0</v>
      </c>
      <c r="W3755">
        <v>143</v>
      </c>
      <c r="X3755">
        <v>217</v>
      </c>
      <c r="Y3755">
        <v>0</v>
      </c>
      <c r="Z3755">
        <v>58</v>
      </c>
      <c r="AA3755">
        <v>4</v>
      </c>
      <c r="AB3755">
        <v>0.364345003321001</v>
      </c>
      <c r="AC3755">
        <v>0.262261657932369</v>
      </c>
      <c r="AD3755">
        <v>2.0850596198592801</v>
      </c>
      <c r="AE3755">
        <v>0.23409503211528301</v>
      </c>
      <c r="AF3755">
        <v>24.6666666666667</v>
      </c>
      <c r="AG3755">
        <f>IFERROR(AH3755*0.1, "N/A")</f>
        <v>7.3980099502487606</v>
      </c>
      <c r="AH3755">
        <v>73.980099502487604</v>
      </c>
      <c r="AI3755">
        <v>203.65486212551701</v>
      </c>
      <c r="AJ3755">
        <v>7.0049751243781104</v>
      </c>
      <c r="AK3755">
        <v>85.995024875621894</v>
      </c>
    </row>
    <row r="3756" spans="1:37" x14ac:dyDescent="0.3">
      <c r="A3756">
        <v>3755</v>
      </c>
      <c r="B3756">
        <v>0</v>
      </c>
      <c r="C3756">
        <v>-14.6431</v>
      </c>
      <c r="D3756">
        <v>16.416499999999999</v>
      </c>
      <c r="E3756">
        <f>-14.6431-16.4165</f>
        <v>-31.0596</v>
      </c>
      <c r="F3756" t="s">
        <v>5847</v>
      </c>
      <c r="G3756" t="s">
        <v>39</v>
      </c>
      <c r="H3756">
        <v>1982</v>
      </c>
      <c r="I3756">
        <v>27.765728236823701</v>
      </c>
      <c r="J3756">
        <v>15.5</v>
      </c>
      <c r="K3756">
        <v>57</v>
      </c>
      <c r="L3756">
        <v>33.508261724813103</v>
      </c>
      <c r="M3756">
        <v>39.900001525878899</v>
      </c>
      <c r="N3756">
        <v>13.065728727555401</v>
      </c>
      <c r="O3756">
        <v>26.8342708909748</v>
      </c>
      <c r="P3756">
        <v>30.200000762939499</v>
      </c>
      <c r="Q3756">
        <v>28.399999618530298</v>
      </c>
      <c r="R3756">
        <v>31.299999237060501</v>
      </c>
      <c r="S3756">
        <v>22.765728236823701</v>
      </c>
      <c r="T3756">
        <v>260.31456953642402</v>
      </c>
      <c r="U3756">
        <v>93</v>
      </c>
      <c r="V3756">
        <v>0</v>
      </c>
      <c r="W3756">
        <v>143.65728476821201</v>
      </c>
      <c r="X3756">
        <v>222.31456953642399</v>
      </c>
      <c r="Y3756">
        <v>1</v>
      </c>
      <c r="Z3756">
        <v>72.657284768211895</v>
      </c>
      <c r="AA3756">
        <v>3</v>
      </c>
      <c r="AB3756">
        <v>1.0720194728169199</v>
      </c>
      <c r="AC3756">
        <v>1.1697543319314999E-2</v>
      </c>
      <c r="AD3756">
        <v>2.8931700415563899</v>
      </c>
      <c r="AE3756">
        <v>0.23729720711708099</v>
      </c>
      <c r="AF3756">
        <v>23.923841059602601</v>
      </c>
      <c r="AG3756">
        <f>IFERROR(AH3756*0.1, "N/A")</f>
        <v>6.6942052980132409</v>
      </c>
      <c r="AH3756">
        <v>66.942052980132402</v>
      </c>
      <c r="AI3756">
        <v>138.87107505229901</v>
      </c>
      <c r="AJ3756">
        <v>12.4635761589404</v>
      </c>
      <c r="AK3756">
        <v>76.966887417218501</v>
      </c>
    </row>
    <row r="3757" spans="1:37" x14ac:dyDescent="0.3">
      <c r="A3757">
        <v>3756</v>
      </c>
      <c r="B3757">
        <v>0</v>
      </c>
      <c r="C3757">
        <v>-14.7646</v>
      </c>
      <c r="D3757">
        <v>16.419001000000002</v>
      </c>
      <c r="E3757">
        <f>-14.7646-16.419001</f>
        <v>-31.183601000000003</v>
      </c>
      <c r="F3757" t="s">
        <v>5848</v>
      </c>
      <c r="G3757" t="s">
        <v>39</v>
      </c>
      <c r="H3757">
        <v>1982</v>
      </c>
      <c r="I3757">
        <v>27.5</v>
      </c>
      <c r="J3757">
        <v>15.6000003814697</v>
      </c>
      <c r="K3757">
        <v>57</v>
      </c>
      <c r="L3757">
        <v>33.490001678466797</v>
      </c>
      <c r="M3757">
        <v>39.700000762939503</v>
      </c>
      <c r="N3757">
        <v>12.800000190734901</v>
      </c>
      <c r="O3757">
        <v>26.899999618530298</v>
      </c>
      <c r="P3757">
        <v>30</v>
      </c>
      <c r="Q3757">
        <v>28.100000381469702</v>
      </c>
      <c r="R3757">
        <v>31</v>
      </c>
      <c r="S3757">
        <v>22.5</v>
      </c>
      <c r="T3757">
        <v>261</v>
      </c>
      <c r="U3757">
        <v>94</v>
      </c>
      <c r="V3757">
        <v>0</v>
      </c>
      <c r="W3757">
        <v>144</v>
      </c>
      <c r="X3757">
        <v>222</v>
      </c>
      <c r="Y3757">
        <v>1</v>
      </c>
      <c r="Z3757">
        <v>71</v>
      </c>
      <c r="AA3757">
        <v>4</v>
      </c>
      <c r="AB3757">
        <v>1.3651166263212799</v>
      </c>
      <c r="AC3757">
        <v>1.3099379596174E-2</v>
      </c>
      <c r="AD3757">
        <v>1.5085747895446699</v>
      </c>
      <c r="AE3757">
        <v>0.240831524133682</v>
      </c>
      <c r="AF3757">
        <v>29.249169435215901</v>
      </c>
      <c r="AG3757">
        <f>IFERROR(AH3757*0.1, "N/A")</f>
        <v>6.4400332225913601</v>
      </c>
      <c r="AH3757">
        <v>64.400332225913601</v>
      </c>
      <c r="AI3757">
        <v>219.210481735559</v>
      </c>
      <c r="AJ3757">
        <v>11</v>
      </c>
      <c r="AK3757">
        <v>81</v>
      </c>
    </row>
    <row r="3758" spans="1:37" x14ac:dyDescent="0.3">
      <c r="A3758">
        <v>3757</v>
      </c>
      <c r="B3758">
        <v>100</v>
      </c>
      <c r="C3758">
        <v>-15.699199999999999</v>
      </c>
      <c r="D3758">
        <v>16.434699999999999</v>
      </c>
      <c r="E3758">
        <f>-15.6992-16.4347</f>
        <v>-32.133899999999997</v>
      </c>
      <c r="F3758" t="s">
        <v>5849</v>
      </c>
      <c r="G3758" t="s">
        <v>37</v>
      </c>
      <c r="H3758">
        <v>2002</v>
      </c>
      <c r="I3758">
        <v>27.600000381469702</v>
      </c>
      <c r="J3758">
        <v>15.3999996185303</v>
      </c>
      <c r="K3758">
        <v>64</v>
      </c>
      <c r="L3758">
        <v>24.980923655796399</v>
      </c>
      <c r="M3758">
        <v>38.5</v>
      </c>
      <c r="N3758">
        <v>14.699999809265099</v>
      </c>
      <c r="O3758">
        <v>23.799999237060501</v>
      </c>
      <c r="P3758">
        <v>29.399999618530298</v>
      </c>
      <c r="Q3758">
        <v>26.204621154483</v>
      </c>
      <c r="R3758">
        <v>29.799999237060501</v>
      </c>
      <c r="S3758">
        <v>23.700000762939499</v>
      </c>
      <c r="T3758">
        <v>228</v>
      </c>
      <c r="U3758">
        <v>86</v>
      </c>
      <c r="V3758">
        <v>0</v>
      </c>
      <c r="W3758">
        <v>147</v>
      </c>
      <c r="X3758">
        <v>200</v>
      </c>
      <c r="Y3758">
        <v>0</v>
      </c>
      <c r="Z3758">
        <v>50</v>
      </c>
      <c r="AA3758">
        <v>2</v>
      </c>
      <c r="AB3758">
        <v>7.6160067851000504</v>
      </c>
      <c r="AC3758">
        <v>2.3126255725464E-2</v>
      </c>
      <c r="AD3758">
        <v>1.81469177019478</v>
      </c>
      <c r="AE3758">
        <v>0.54276919364929199</v>
      </c>
      <c r="AF3758">
        <v>6.3349834983498399</v>
      </c>
      <c r="AG3758">
        <f>IFERROR(AH3758*0.1, "N/A")</f>
        <v>6.3592409240924104</v>
      </c>
      <c r="AH3758">
        <v>63.592409240924098</v>
      </c>
      <c r="AI3758">
        <v>314.35977298749202</v>
      </c>
      <c r="AJ3758">
        <v>20.2887788778878</v>
      </c>
      <c r="AK3758">
        <v>59.480198019802003</v>
      </c>
    </row>
    <row r="3759" spans="1:37" x14ac:dyDescent="0.3">
      <c r="A3759">
        <v>3758</v>
      </c>
      <c r="B3759">
        <v>66</v>
      </c>
      <c r="C3759">
        <v>-15.699199999999999</v>
      </c>
      <c r="D3759">
        <v>16.434699999999999</v>
      </c>
      <c r="E3759">
        <f>-15.6992-16.4347</f>
        <v>-32.133899999999997</v>
      </c>
      <c r="F3759" t="s">
        <v>5850</v>
      </c>
      <c r="G3759" t="s">
        <v>39</v>
      </c>
      <c r="H3759">
        <v>2003</v>
      </c>
      <c r="I3759">
        <v>27.600000381469702</v>
      </c>
      <c r="J3759">
        <v>15.3999996185303</v>
      </c>
      <c r="K3759">
        <v>64</v>
      </c>
      <c r="L3759">
        <v>24.980923655796399</v>
      </c>
      <c r="M3759">
        <v>38.5</v>
      </c>
      <c r="N3759">
        <v>14.699999809265099</v>
      </c>
      <c r="O3759">
        <v>23.799999237060501</v>
      </c>
      <c r="P3759">
        <v>29.399999618530298</v>
      </c>
      <c r="Q3759">
        <v>26.204621154483</v>
      </c>
      <c r="R3759">
        <v>29.799999237060501</v>
      </c>
      <c r="S3759">
        <v>23.700000762939499</v>
      </c>
      <c r="T3759">
        <v>228</v>
      </c>
      <c r="U3759">
        <v>86</v>
      </c>
      <c r="V3759">
        <v>0</v>
      </c>
      <c r="W3759">
        <v>147</v>
      </c>
      <c r="X3759">
        <v>200</v>
      </c>
      <c r="Y3759">
        <v>0</v>
      </c>
      <c r="Z3759">
        <v>50</v>
      </c>
      <c r="AA3759">
        <v>2</v>
      </c>
      <c r="AB3759">
        <v>7.6160067851000504</v>
      </c>
      <c r="AC3759">
        <v>2.3126255725464E-2</v>
      </c>
      <c r="AD3759">
        <v>1.81469177019478</v>
      </c>
      <c r="AE3759">
        <v>0.54276919364929199</v>
      </c>
      <c r="AF3759">
        <v>6.3349834983498399</v>
      </c>
      <c r="AG3759">
        <f>IFERROR(AH3759*0.1, "N/A")</f>
        <v>6.3592409240924104</v>
      </c>
      <c r="AH3759">
        <v>63.592409240924098</v>
      </c>
      <c r="AI3759">
        <v>314.35977298749202</v>
      </c>
      <c r="AJ3759">
        <v>20.2887788778878</v>
      </c>
      <c r="AK3759">
        <v>59.480198019802003</v>
      </c>
    </row>
    <row r="3760" spans="1:37" x14ac:dyDescent="0.3">
      <c r="A3760">
        <v>3759</v>
      </c>
      <c r="B3760">
        <v>0</v>
      </c>
      <c r="C3760">
        <v>-14.8043</v>
      </c>
      <c r="D3760">
        <v>16.435600000000001</v>
      </c>
      <c r="E3760">
        <f>-14.8043-16.4356</f>
        <v>-31.239899999999999</v>
      </c>
      <c r="F3760" t="s">
        <v>5851</v>
      </c>
      <c r="G3760" t="s">
        <v>39</v>
      </c>
      <c r="H3760">
        <v>1996</v>
      </c>
      <c r="I3760">
        <v>27.399999618530298</v>
      </c>
      <c r="J3760">
        <v>15.6000003814697</v>
      </c>
      <c r="K3760">
        <v>57</v>
      </c>
      <c r="L3760">
        <v>33.130001068115199</v>
      </c>
      <c r="M3760">
        <v>39.700000762939503</v>
      </c>
      <c r="N3760">
        <v>12.800000190734901</v>
      </c>
      <c r="O3760">
        <v>26.899999618530298</v>
      </c>
      <c r="P3760">
        <v>29.899999618530298</v>
      </c>
      <c r="Q3760">
        <v>27.899999618530298</v>
      </c>
      <c r="R3760">
        <v>30.799999237060501</v>
      </c>
      <c r="S3760">
        <v>22.5</v>
      </c>
      <c r="T3760">
        <v>260</v>
      </c>
      <c r="U3760">
        <v>94</v>
      </c>
      <c r="V3760">
        <v>0</v>
      </c>
      <c r="W3760">
        <v>143</v>
      </c>
      <c r="X3760">
        <v>220</v>
      </c>
      <c r="Y3760">
        <v>1</v>
      </c>
      <c r="Z3760">
        <v>69</v>
      </c>
      <c r="AA3760">
        <v>5</v>
      </c>
      <c r="AB3760">
        <v>0.42875918869144702</v>
      </c>
      <c r="AC3760">
        <v>2.1197759375469E-2</v>
      </c>
      <c r="AD3760">
        <v>1.70032287235102</v>
      </c>
      <c r="AE3760">
        <v>0.243405416607857</v>
      </c>
      <c r="AF3760">
        <v>25.084297520661199</v>
      </c>
      <c r="AG3760">
        <f>IFERROR(AH3760*0.1, "N/A")</f>
        <v>6.7543801652892599</v>
      </c>
      <c r="AH3760">
        <v>67.543801652892597</v>
      </c>
      <c r="AI3760">
        <v>196.262509710138</v>
      </c>
      <c r="AJ3760">
        <v>12</v>
      </c>
      <c r="AK3760">
        <v>80</v>
      </c>
    </row>
    <row r="3761" spans="1:37" x14ac:dyDescent="0.3">
      <c r="A3761">
        <v>3760</v>
      </c>
      <c r="B3761">
        <v>0</v>
      </c>
      <c r="C3761">
        <v>-14.801</v>
      </c>
      <c r="D3761">
        <v>16.438700000000001</v>
      </c>
      <c r="E3761">
        <f>-14.801-16.4387</f>
        <v>-31.239699999999999</v>
      </c>
      <c r="F3761" t="s">
        <v>5852</v>
      </c>
      <c r="G3761" t="s">
        <v>39</v>
      </c>
      <c r="H3761">
        <v>1982</v>
      </c>
      <c r="I3761">
        <v>27.399999618530298</v>
      </c>
      <c r="J3761">
        <v>15.6000003814697</v>
      </c>
      <c r="K3761">
        <v>57</v>
      </c>
      <c r="L3761">
        <v>33.130001068115199</v>
      </c>
      <c r="M3761">
        <v>39.700000762939503</v>
      </c>
      <c r="N3761">
        <v>12.800000190734901</v>
      </c>
      <c r="O3761">
        <v>26.899999618530298</v>
      </c>
      <c r="P3761">
        <v>29.899999618530298</v>
      </c>
      <c r="Q3761">
        <v>27.899999618530298</v>
      </c>
      <c r="R3761">
        <v>30.799999237060501</v>
      </c>
      <c r="S3761">
        <v>22.5</v>
      </c>
      <c r="T3761">
        <v>260</v>
      </c>
      <c r="U3761">
        <v>94</v>
      </c>
      <c r="V3761">
        <v>0</v>
      </c>
      <c r="W3761">
        <v>143</v>
      </c>
      <c r="X3761">
        <v>220</v>
      </c>
      <c r="Y3761">
        <v>1</v>
      </c>
      <c r="Z3761">
        <v>69</v>
      </c>
      <c r="AA3761">
        <v>5</v>
      </c>
      <c r="AB3761">
        <v>1.6243371710872001</v>
      </c>
      <c r="AC3761">
        <v>1.0025346263108E-2</v>
      </c>
      <c r="AD3761">
        <v>1.14796436247447</v>
      </c>
      <c r="AE3761">
        <v>0.24667121035768499</v>
      </c>
      <c r="AF3761">
        <v>27.367549668874201</v>
      </c>
      <c r="AG3761">
        <f>IFERROR(AH3761*0.1, "N/A")</f>
        <v>6.8162251655629111</v>
      </c>
      <c r="AH3761">
        <v>68.162251655629106</v>
      </c>
      <c r="AI3761">
        <v>243.27451693301199</v>
      </c>
      <c r="AJ3761">
        <v>14.3509933774834</v>
      </c>
      <c r="AK3761">
        <v>78.811258278145701</v>
      </c>
    </row>
    <row r="3762" spans="1:37" x14ac:dyDescent="0.3">
      <c r="A3762">
        <v>3761</v>
      </c>
      <c r="B3762">
        <v>16.899999999999999</v>
      </c>
      <c r="C3762">
        <v>-15.701599999999999</v>
      </c>
      <c r="D3762">
        <v>16.4589</v>
      </c>
      <c r="E3762">
        <f>-15.7016-16.4589</f>
        <v>-32.160499999999999</v>
      </c>
      <c r="F3762" t="s">
        <v>5853</v>
      </c>
      <c r="G3762" t="s">
        <v>37</v>
      </c>
      <c r="H3762">
        <v>2008</v>
      </c>
      <c r="I3762">
        <v>27.600000381469702</v>
      </c>
      <c r="J3762">
        <v>15.3999996185303</v>
      </c>
      <c r="K3762">
        <v>64</v>
      </c>
      <c r="L3762">
        <v>24.9899997711182</v>
      </c>
      <c r="M3762">
        <v>38.599998474121101</v>
      </c>
      <c r="N3762">
        <v>14.800000190734901</v>
      </c>
      <c r="O3762">
        <v>23.799999237060501</v>
      </c>
      <c r="P3762">
        <v>29.5</v>
      </c>
      <c r="Q3762">
        <v>26.299999237060501</v>
      </c>
      <c r="R3762">
        <v>29.899999618530298</v>
      </c>
      <c r="S3762">
        <v>23.799999237060501</v>
      </c>
      <c r="T3762">
        <v>224</v>
      </c>
      <c r="U3762">
        <v>85</v>
      </c>
      <c r="V3762">
        <v>0</v>
      </c>
      <c r="W3762">
        <v>153</v>
      </c>
      <c r="X3762">
        <v>197</v>
      </c>
      <c r="Y3762">
        <v>0</v>
      </c>
      <c r="Z3762">
        <v>49</v>
      </c>
      <c r="AA3762">
        <v>2</v>
      </c>
      <c r="AB3762">
        <v>1.24297508759932</v>
      </c>
      <c r="AC3762">
        <v>2.3677005932843002E-2</v>
      </c>
      <c r="AD3762">
        <v>0.86177284412147603</v>
      </c>
      <c r="AE3762">
        <v>0.48670914769172702</v>
      </c>
      <c r="AF3762">
        <v>2.3867768595041299</v>
      </c>
      <c r="AG3762">
        <f>IFERROR(AH3762*0.1, "N/A")</f>
        <v>6.6000000000000005</v>
      </c>
      <c r="AH3762">
        <v>66</v>
      </c>
      <c r="AI3762">
        <v>147.613924792581</v>
      </c>
      <c r="AJ3762">
        <v>24</v>
      </c>
      <c r="AK3762">
        <v>53</v>
      </c>
    </row>
    <row r="3763" spans="1:37" x14ac:dyDescent="0.3">
      <c r="A3763">
        <v>3762</v>
      </c>
      <c r="B3763">
        <v>67.099997999999999</v>
      </c>
      <c r="C3763">
        <v>-15.700799999999999</v>
      </c>
      <c r="D3763">
        <v>16.462499999999999</v>
      </c>
      <c r="E3763">
        <f>-15.7008-16.4625</f>
        <v>-32.1633</v>
      </c>
      <c r="F3763" t="s">
        <v>5854</v>
      </c>
      <c r="G3763" t="s">
        <v>37</v>
      </c>
      <c r="H3763">
        <v>2004</v>
      </c>
      <c r="I3763">
        <v>27.600000381469702</v>
      </c>
      <c r="J3763">
        <v>15.3999996185303</v>
      </c>
      <c r="K3763">
        <v>64</v>
      </c>
      <c r="L3763">
        <v>24.9899997711182</v>
      </c>
      <c r="M3763">
        <v>38.599998474121101</v>
      </c>
      <c r="N3763">
        <v>14.800000190734901</v>
      </c>
      <c r="O3763">
        <v>23.799999237060501</v>
      </c>
      <c r="P3763">
        <v>29.5</v>
      </c>
      <c r="Q3763">
        <v>26.299999237060501</v>
      </c>
      <c r="R3763">
        <v>29.899999618530298</v>
      </c>
      <c r="S3763">
        <v>23.799999237060501</v>
      </c>
      <c r="T3763">
        <v>224</v>
      </c>
      <c r="U3763">
        <v>85</v>
      </c>
      <c r="V3763">
        <v>0</v>
      </c>
      <c r="W3763">
        <v>153</v>
      </c>
      <c r="X3763">
        <v>197</v>
      </c>
      <c r="Y3763">
        <v>0</v>
      </c>
      <c r="Z3763">
        <v>49</v>
      </c>
      <c r="AA3763">
        <v>2</v>
      </c>
      <c r="AB3763">
        <v>0.81754959971699503</v>
      </c>
      <c r="AC3763">
        <v>0.42622486192313602</v>
      </c>
      <c r="AD3763">
        <v>1.36152612462344</v>
      </c>
      <c r="AE3763">
        <v>0.61756545305252097</v>
      </c>
      <c r="AF3763">
        <v>1.5612582781456901</v>
      </c>
      <c r="AG3763">
        <f>IFERROR(AH3763*0.1, "N/A")</f>
        <v>6.3000000000000007</v>
      </c>
      <c r="AH3763">
        <v>63</v>
      </c>
      <c r="AI3763">
        <v>135.21166176827501</v>
      </c>
      <c r="AJ3763">
        <v>29</v>
      </c>
      <c r="AK3763">
        <v>49</v>
      </c>
    </row>
    <row r="3764" spans="1:37" x14ac:dyDescent="0.3">
      <c r="A3764">
        <v>3763</v>
      </c>
      <c r="B3764">
        <v>51.5</v>
      </c>
      <c r="C3764">
        <v>-15.6692</v>
      </c>
      <c r="D3764">
        <v>16.462499999999999</v>
      </c>
      <c r="E3764">
        <f>-15.6692-16.4625</f>
        <v>-32.131699999999995</v>
      </c>
      <c r="F3764" t="s">
        <v>5855</v>
      </c>
      <c r="G3764" t="s">
        <v>37</v>
      </c>
      <c r="H3764">
        <v>2004</v>
      </c>
      <c r="I3764">
        <v>27.600000381469702</v>
      </c>
      <c r="J3764">
        <v>15.3999996185303</v>
      </c>
      <c r="K3764">
        <v>64</v>
      </c>
      <c r="L3764">
        <v>25.329999923706101</v>
      </c>
      <c r="M3764">
        <v>38.599998474121101</v>
      </c>
      <c r="N3764">
        <v>14.6000003814697</v>
      </c>
      <c r="O3764">
        <v>24</v>
      </c>
      <c r="P3764">
        <v>29.399999618530298</v>
      </c>
      <c r="Q3764">
        <v>26.299999237060501</v>
      </c>
      <c r="R3764">
        <v>29.899999618530298</v>
      </c>
      <c r="S3764">
        <v>23.600000381469702</v>
      </c>
      <c r="T3764">
        <v>226</v>
      </c>
      <c r="U3764">
        <v>85</v>
      </c>
      <c r="V3764">
        <v>0</v>
      </c>
      <c r="W3764">
        <v>154</v>
      </c>
      <c r="X3764">
        <v>199</v>
      </c>
      <c r="Y3764">
        <v>0</v>
      </c>
      <c r="Z3764">
        <v>50</v>
      </c>
      <c r="AA3764">
        <v>2</v>
      </c>
      <c r="AB3764">
        <v>2.8854306186271801</v>
      </c>
      <c r="AC3764">
        <v>1.7236646289462001E-2</v>
      </c>
      <c r="AD3764">
        <v>0.95459412857396697</v>
      </c>
      <c r="AE3764">
        <v>0.55358690023422197</v>
      </c>
      <c r="AF3764">
        <v>4.5877483443708602</v>
      </c>
      <c r="AG3764">
        <f>IFERROR(AH3764*0.1, "N/A")</f>
        <v>6.5998344370860913</v>
      </c>
      <c r="AH3764">
        <v>65.998344370860906</v>
      </c>
      <c r="AI3764">
        <v>185.599998960432</v>
      </c>
      <c r="AJ3764">
        <v>19.001655629139101</v>
      </c>
      <c r="AK3764">
        <v>62</v>
      </c>
    </row>
    <row r="3765" spans="1:37" x14ac:dyDescent="0.3">
      <c r="A3765">
        <v>3764</v>
      </c>
      <c r="B3765">
        <v>2.5</v>
      </c>
      <c r="C3765">
        <v>-15.6692</v>
      </c>
      <c r="D3765">
        <v>16.462499999999999</v>
      </c>
      <c r="E3765">
        <f>-15.6692-16.4625</f>
        <v>-32.131699999999995</v>
      </c>
      <c r="F3765" t="s">
        <v>5856</v>
      </c>
      <c r="G3765" t="s">
        <v>39</v>
      </c>
      <c r="H3765">
        <v>2004</v>
      </c>
      <c r="I3765">
        <v>27.600000381469702</v>
      </c>
      <c r="J3765">
        <v>15.3999996185303</v>
      </c>
      <c r="K3765">
        <v>64</v>
      </c>
      <c r="L3765">
        <v>25.329999923706101</v>
      </c>
      <c r="M3765">
        <v>38.599998474121101</v>
      </c>
      <c r="N3765">
        <v>14.6000003814697</v>
      </c>
      <c r="O3765">
        <v>24</v>
      </c>
      <c r="P3765">
        <v>29.399999618530298</v>
      </c>
      <c r="Q3765">
        <v>26.299999237060501</v>
      </c>
      <c r="R3765">
        <v>29.899999618530298</v>
      </c>
      <c r="S3765">
        <v>23.600000381469702</v>
      </c>
      <c r="T3765">
        <v>226</v>
      </c>
      <c r="U3765">
        <v>85</v>
      </c>
      <c r="V3765">
        <v>0</v>
      </c>
      <c r="W3765">
        <v>154</v>
      </c>
      <c r="X3765">
        <v>199</v>
      </c>
      <c r="Y3765">
        <v>0</v>
      </c>
      <c r="Z3765">
        <v>50</v>
      </c>
      <c r="AA3765">
        <v>2</v>
      </c>
      <c r="AB3765">
        <v>2.8854306186271801</v>
      </c>
      <c r="AC3765">
        <v>1.7236646289462001E-2</v>
      </c>
      <c r="AD3765">
        <v>0.95459412857396697</v>
      </c>
      <c r="AE3765">
        <v>0.55358690023422197</v>
      </c>
      <c r="AF3765">
        <v>4.5877483443708602</v>
      </c>
      <c r="AG3765">
        <f>IFERROR(AH3765*0.1, "N/A")</f>
        <v>6.5998344370860913</v>
      </c>
      <c r="AH3765">
        <v>65.998344370860906</v>
      </c>
      <c r="AI3765">
        <v>185.599998960432</v>
      </c>
      <c r="AJ3765">
        <v>19.001655629139101</v>
      </c>
      <c r="AK3765">
        <v>62</v>
      </c>
    </row>
    <row r="3766" spans="1:37" x14ac:dyDescent="0.3">
      <c r="A3766">
        <v>3765</v>
      </c>
      <c r="B3766">
        <v>1</v>
      </c>
      <c r="C3766">
        <v>-15.700799999999999</v>
      </c>
      <c r="D3766">
        <v>16.462499999999999</v>
      </c>
      <c r="E3766">
        <f>-15.7008-16.4625</f>
        <v>-32.1633</v>
      </c>
      <c r="F3766" t="s">
        <v>5857</v>
      </c>
      <c r="G3766" t="s">
        <v>39</v>
      </c>
      <c r="H3766">
        <v>1992</v>
      </c>
      <c r="I3766">
        <v>27.600000381469702</v>
      </c>
      <c r="J3766">
        <v>15.3999996185303</v>
      </c>
      <c r="K3766">
        <v>64</v>
      </c>
      <c r="L3766">
        <v>24.9899997711182</v>
      </c>
      <c r="M3766">
        <v>38.599998474121101</v>
      </c>
      <c r="N3766">
        <v>14.800000190734901</v>
      </c>
      <c r="O3766">
        <v>23.799999237060501</v>
      </c>
      <c r="P3766">
        <v>29.5</v>
      </c>
      <c r="Q3766">
        <v>26.299999237060501</v>
      </c>
      <c r="R3766">
        <v>29.899999618530298</v>
      </c>
      <c r="S3766">
        <v>23.799999237060501</v>
      </c>
      <c r="T3766">
        <v>224</v>
      </c>
      <c r="U3766">
        <v>85</v>
      </c>
      <c r="V3766">
        <v>0</v>
      </c>
      <c r="W3766">
        <v>153</v>
      </c>
      <c r="X3766">
        <v>197</v>
      </c>
      <c r="Y3766">
        <v>0</v>
      </c>
      <c r="Z3766">
        <v>49</v>
      </c>
      <c r="AA3766">
        <v>2</v>
      </c>
      <c r="AB3766">
        <v>0.81754959971699503</v>
      </c>
      <c r="AC3766">
        <v>0.42622486192313602</v>
      </c>
      <c r="AD3766">
        <v>1.36152612462344</v>
      </c>
      <c r="AE3766">
        <v>0.61756545305252097</v>
      </c>
      <c r="AF3766">
        <v>1.5612582781456901</v>
      </c>
      <c r="AG3766">
        <f>IFERROR(AH3766*0.1, "N/A")</f>
        <v>6.3000000000000007</v>
      </c>
      <c r="AH3766">
        <v>63</v>
      </c>
      <c r="AI3766">
        <v>135.21166176827501</v>
      </c>
      <c r="AJ3766">
        <v>29</v>
      </c>
      <c r="AK3766">
        <v>49</v>
      </c>
    </row>
    <row r="3767" spans="1:37" x14ac:dyDescent="0.3">
      <c r="A3767">
        <v>3766</v>
      </c>
      <c r="B3767">
        <v>0.2</v>
      </c>
      <c r="C3767">
        <v>-15.700799999999999</v>
      </c>
      <c r="D3767">
        <v>16.462499999999999</v>
      </c>
      <c r="E3767">
        <f>-15.7008-16.4625</f>
        <v>-32.1633</v>
      </c>
      <c r="F3767" t="s">
        <v>5858</v>
      </c>
      <c r="G3767" t="s">
        <v>5859</v>
      </c>
      <c r="H3767">
        <v>1999</v>
      </c>
      <c r="I3767">
        <v>27.600000381469702</v>
      </c>
      <c r="J3767">
        <v>15.3999996185303</v>
      </c>
      <c r="K3767">
        <v>64</v>
      </c>
      <c r="L3767">
        <v>24.9899997711182</v>
      </c>
      <c r="M3767">
        <v>38.599998474121101</v>
      </c>
      <c r="N3767">
        <v>14.800000190734901</v>
      </c>
      <c r="O3767">
        <v>23.799999237060501</v>
      </c>
      <c r="P3767">
        <v>29.5</v>
      </c>
      <c r="Q3767">
        <v>26.299999237060501</v>
      </c>
      <c r="R3767">
        <v>29.899999618530298</v>
      </c>
      <c r="S3767">
        <v>23.799999237060501</v>
      </c>
      <c r="T3767">
        <v>224</v>
      </c>
      <c r="U3767">
        <v>85</v>
      </c>
      <c r="V3767">
        <v>0</v>
      </c>
      <c r="W3767">
        <v>153</v>
      </c>
      <c r="X3767">
        <v>197</v>
      </c>
      <c r="Y3767">
        <v>0</v>
      </c>
      <c r="Z3767">
        <v>49</v>
      </c>
      <c r="AA3767">
        <v>2</v>
      </c>
      <c r="AB3767">
        <v>0.81754959971699503</v>
      </c>
      <c r="AC3767">
        <v>0.42622486192313602</v>
      </c>
      <c r="AD3767">
        <v>1.36152612462344</v>
      </c>
      <c r="AE3767">
        <v>0.61756545305252097</v>
      </c>
      <c r="AF3767">
        <v>1.5612582781456901</v>
      </c>
      <c r="AG3767">
        <f>IFERROR(AH3767*0.1, "N/A")</f>
        <v>6.3000000000000007</v>
      </c>
      <c r="AH3767">
        <v>63</v>
      </c>
      <c r="AI3767">
        <v>135.21166176827501</v>
      </c>
      <c r="AJ3767">
        <v>29</v>
      </c>
      <c r="AK3767">
        <v>49</v>
      </c>
    </row>
    <row r="3768" spans="1:37" x14ac:dyDescent="0.3">
      <c r="A3768">
        <v>3767</v>
      </c>
      <c r="B3768">
        <v>75</v>
      </c>
      <c r="C3768">
        <v>-15.7197</v>
      </c>
      <c r="D3768">
        <v>16.468900999999999</v>
      </c>
      <c r="E3768">
        <f>-15.7197-16.468901</f>
        <v>-32.188600999999998</v>
      </c>
      <c r="F3768" t="s">
        <v>5860</v>
      </c>
      <c r="G3768" t="s">
        <v>37</v>
      </c>
      <c r="H3768">
        <v>1997</v>
      </c>
      <c r="I3768">
        <v>27.700000762939499</v>
      </c>
      <c r="J3768">
        <v>15.300000190734901</v>
      </c>
      <c r="K3768">
        <v>64</v>
      </c>
      <c r="L3768">
        <v>25.180000305175799</v>
      </c>
      <c r="M3768">
        <v>38.599998474121101</v>
      </c>
      <c r="N3768">
        <v>14.800000190734901</v>
      </c>
      <c r="O3768">
        <v>23.799999237060501</v>
      </c>
      <c r="P3768">
        <v>29.5</v>
      </c>
      <c r="Q3768">
        <v>26.299999237060501</v>
      </c>
      <c r="R3768">
        <v>29.899999618530298</v>
      </c>
      <c r="S3768">
        <v>23.700000762939499</v>
      </c>
      <c r="T3768">
        <v>224</v>
      </c>
      <c r="U3768">
        <v>85</v>
      </c>
      <c r="V3768">
        <v>0</v>
      </c>
      <c r="W3768">
        <v>153</v>
      </c>
      <c r="X3768">
        <v>197</v>
      </c>
      <c r="Y3768">
        <v>0</v>
      </c>
      <c r="Z3768">
        <v>49</v>
      </c>
      <c r="AA3768">
        <v>2</v>
      </c>
      <c r="AB3768">
        <v>1.4925495630857999</v>
      </c>
      <c r="AC3768">
        <v>1.0336217751097001E-2</v>
      </c>
      <c r="AD3768">
        <v>0.86300189122064197</v>
      </c>
      <c r="AE3768">
        <v>0.60529580968894703</v>
      </c>
      <c r="AF3768">
        <v>2.3675496688741702</v>
      </c>
      <c r="AG3768">
        <f>IFERROR(AH3768*0.1, "N/A")</f>
        <v>6.4026490066225197</v>
      </c>
      <c r="AH3768">
        <v>64.026490066225193</v>
      </c>
      <c r="AI3768">
        <v>242.07289886474601</v>
      </c>
      <c r="AJ3768">
        <v>26.0132450331126</v>
      </c>
      <c r="AK3768">
        <v>51</v>
      </c>
    </row>
    <row r="3769" spans="1:37" x14ac:dyDescent="0.3">
      <c r="A3769">
        <v>3768</v>
      </c>
      <c r="B3769">
        <v>0</v>
      </c>
      <c r="C3769">
        <v>-16.025600000000001</v>
      </c>
      <c r="D3769">
        <v>16.479199999999999</v>
      </c>
      <c r="E3769">
        <f>-16.0256-16.4792</f>
        <v>-32.504800000000003</v>
      </c>
      <c r="F3769" t="s">
        <v>5861</v>
      </c>
      <c r="G3769" t="s">
        <v>39</v>
      </c>
      <c r="H3769">
        <v>2004</v>
      </c>
      <c r="I3769">
        <v>26.9091358660067</v>
      </c>
      <c r="J3769">
        <v>14.1000003814697</v>
      </c>
      <c r="K3769">
        <v>65</v>
      </c>
      <c r="L3769">
        <v>23.780099833922499</v>
      </c>
      <c r="M3769">
        <v>36.299999237060497</v>
      </c>
      <c r="N3769">
        <v>14.8908634581835</v>
      </c>
      <c r="O3769">
        <v>21.4091358660067</v>
      </c>
      <c r="P3769">
        <v>29.109136628946199</v>
      </c>
      <c r="Q3769">
        <v>26.5182724949529</v>
      </c>
      <c r="R3769">
        <v>29.309135484536998</v>
      </c>
      <c r="S3769">
        <v>23.399999618530298</v>
      </c>
      <c r="T3769">
        <v>202.091362126246</v>
      </c>
      <c r="U3769">
        <v>79.091362126245798</v>
      </c>
      <c r="V3769">
        <v>0</v>
      </c>
      <c r="W3769">
        <v>158.091362126246</v>
      </c>
      <c r="X3769">
        <v>179.091362126246</v>
      </c>
      <c r="Y3769">
        <v>0</v>
      </c>
      <c r="Z3769">
        <v>159.091362126246</v>
      </c>
      <c r="AA3769">
        <v>3</v>
      </c>
      <c r="AB3769">
        <v>4.3004984564559399</v>
      </c>
      <c r="AC3769">
        <v>1.1841729783029E-2</v>
      </c>
      <c r="AD3769">
        <v>0.69461024560009499</v>
      </c>
      <c r="AE3769">
        <v>0.17972740530967701</v>
      </c>
      <c r="AF3769">
        <v>2.9352159468438499</v>
      </c>
      <c r="AG3769">
        <f>IFERROR(AH3769*0.1, "N/A")</f>
        <v>7.2523255813953504</v>
      </c>
      <c r="AH3769">
        <v>72.523255813953497</v>
      </c>
      <c r="AI3769">
        <v>122.986670079025</v>
      </c>
      <c r="AJ3769">
        <v>24.817275747508301</v>
      </c>
      <c r="AK3769">
        <v>53.192691029900303</v>
      </c>
    </row>
    <row r="3770" spans="1:37" x14ac:dyDescent="0.3">
      <c r="A3770">
        <v>3769</v>
      </c>
      <c r="B3770">
        <v>4</v>
      </c>
      <c r="C3770">
        <v>-15.9894</v>
      </c>
      <c r="D3770">
        <v>16.48</v>
      </c>
      <c r="E3770">
        <f>-15.9894-16.48</f>
        <v>-32.4694</v>
      </c>
      <c r="F3770" t="s">
        <v>5862</v>
      </c>
      <c r="G3770" t="s">
        <v>39</v>
      </c>
      <c r="H3770">
        <v>2004</v>
      </c>
      <c r="I3770">
        <v>27.100000381469702</v>
      </c>
      <c r="J3770">
        <v>14.300000190734901</v>
      </c>
      <c r="K3770">
        <v>65</v>
      </c>
      <c r="L3770">
        <v>23.7700004577637</v>
      </c>
      <c r="M3770">
        <v>36.599998474121101</v>
      </c>
      <c r="N3770">
        <v>14.800000190734901</v>
      </c>
      <c r="O3770">
        <v>21.799999237060501</v>
      </c>
      <c r="P3770">
        <v>29.200000762939499</v>
      </c>
      <c r="Q3770">
        <v>26.899999618530298</v>
      </c>
      <c r="R3770">
        <v>29.399999618530298</v>
      </c>
      <c r="S3770">
        <v>23.600000381469702</v>
      </c>
      <c r="T3770">
        <v>207</v>
      </c>
      <c r="U3770">
        <v>81</v>
      </c>
      <c r="V3770">
        <v>0</v>
      </c>
      <c r="W3770">
        <v>152</v>
      </c>
      <c r="X3770">
        <v>183</v>
      </c>
      <c r="Y3770">
        <v>0</v>
      </c>
      <c r="Z3770">
        <v>163</v>
      </c>
      <c r="AA3770">
        <v>3</v>
      </c>
      <c r="AB3770">
        <v>1.9652317955793901</v>
      </c>
      <c r="AC3770">
        <v>1.1530832507777001E-2</v>
      </c>
      <c r="AD3770">
        <v>0.76174459246215398</v>
      </c>
      <c r="AE3770">
        <v>0.19761496782302901</v>
      </c>
      <c r="AF3770">
        <v>2.8692052980132501</v>
      </c>
      <c r="AG3770">
        <f>IFERROR(AH3770*0.1, "N/A")</f>
        <v>7.2417218543046404</v>
      </c>
      <c r="AH3770">
        <v>72.417218543046403</v>
      </c>
      <c r="AI3770">
        <v>111.53386579602</v>
      </c>
      <c r="AJ3770">
        <v>15.912251655629101</v>
      </c>
      <c r="AK3770">
        <v>70.796357615893996</v>
      </c>
    </row>
    <row r="3771" spans="1:37" x14ac:dyDescent="0.3">
      <c r="A3771">
        <v>3770</v>
      </c>
      <c r="B3771">
        <v>74</v>
      </c>
      <c r="C3771">
        <v>-15.6</v>
      </c>
      <c r="D3771">
        <v>16.48</v>
      </c>
      <c r="E3771">
        <f>-15.6-16.48</f>
        <v>-32.08</v>
      </c>
      <c r="F3771" t="s">
        <v>5863</v>
      </c>
      <c r="G3771" t="s">
        <v>37</v>
      </c>
      <c r="H3771">
        <v>2003</v>
      </c>
      <c r="I3771">
        <v>27.5371477370634</v>
      </c>
      <c r="J3771">
        <v>15.4371473555937</v>
      </c>
      <c r="K3771">
        <v>63.371475953565501</v>
      </c>
      <c r="L3771">
        <v>25.336567946729801</v>
      </c>
      <c r="M3771">
        <v>38.700000762939503</v>
      </c>
      <c r="N3771">
        <v>14.5371477370634</v>
      </c>
      <c r="O3771">
        <v>24.1628530258761</v>
      </c>
      <c r="P3771">
        <v>29.299999237060501</v>
      </c>
      <c r="Q3771">
        <v>28.100000381469702</v>
      </c>
      <c r="R3771">
        <v>29.899999618530298</v>
      </c>
      <c r="S3771">
        <v>23.5371477370634</v>
      </c>
      <c r="T3771">
        <v>229</v>
      </c>
      <c r="U3771">
        <v>85</v>
      </c>
      <c r="V3771">
        <v>0</v>
      </c>
      <c r="W3771">
        <v>147</v>
      </c>
      <c r="X3771">
        <v>200</v>
      </c>
      <c r="Y3771">
        <v>0</v>
      </c>
      <c r="Z3771">
        <v>50</v>
      </c>
      <c r="AA3771">
        <v>3</v>
      </c>
      <c r="AB3771">
        <v>5.1441127791333603</v>
      </c>
      <c r="AC3771">
        <v>8.3448673783805993E-2</v>
      </c>
      <c r="AD3771">
        <v>1.9564099997825699</v>
      </c>
      <c r="AE3771">
        <v>0.31802034378051802</v>
      </c>
      <c r="AF3771">
        <v>6.08789386401327</v>
      </c>
      <c r="AG3771">
        <f>IFERROR(AH3771*0.1, "N/A")</f>
        <v>6.7772802653399697</v>
      </c>
      <c r="AH3771">
        <v>67.772802653399694</v>
      </c>
      <c r="AI3771">
        <v>231.69008113139901</v>
      </c>
      <c r="AJ3771">
        <v>17.734660033167501</v>
      </c>
      <c r="AK3771">
        <v>64.490878938640094</v>
      </c>
    </row>
    <row r="3772" spans="1:37" x14ac:dyDescent="0.3">
      <c r="A3772">
        <v>3771</v>
      </c>
      <c r="B3772">
        <v>70</v>
      </c>
      <c r="C3772">
        <v>-15.85</v>
      </c>
      <c r="D3772">
        <v>16.48</v>
      </c>
      <c r="E3772">
        <f>-15.85-16.48</f>
        <v>-32.33</v>
      </c>
      <c r="F3772" t="s">
        <v>5864</v>
      </c>
      <c r="G3772" t="s">
        <v>37</v>
      </c>
      <c r="H3772">
        <v>2003</v>
      </c>
      <c r="I3772">
        <v>27.6597688213879</v>
      </c>
      <c r="J3772">
        <v>15.1000003814697</v>
      </c>
      <c r="K3772">
        <v>65</v>
      </c>
      <c r="L3772">
        <v>24.857350797842699</v>
      </c>
      <c r="M3772">
        <v>38.099998474121101</v>
      </c>
      <c r="N3772">
        <v>14.8999996185303</v>
      </c>
      <c r="O3772">
        <v>23.200000762939499</v>
      </c>
      <c r="P3772">
        <v>29.6597688213879</v>
      </c>
      <c r="Q3772">
        <v>27.700000762939499</v>
      </c>
      <c r="R3772">
        <v>29.859767676978699</v>
      </c>
      <c r="S3772">
        <v>23.899999618530298</v>
      </c>
      <c r="T3772">
        <v>223</v>
      </c>
      <c r="U3772">
        <v>85</v>
      </c>
      <c r="V3772">
        <v>0</v>
      </c>
      <c r="W3772">
        <v>152</v>
      </c>
      <c r="X3772">
        <v>195</v>
      </c>
      <c r="Y3772">
        <v>0</v>
      </c>
      <c r="Z3772">
        <v>132</v>
      </c>
      <c r="AA3772">
        <v>3</v>
      </c>
      <c r="AB3772">
        <v>0.81125823709348999</v>
      </c>
      <c r="AC3772">
        <v>2.1703515673636001E-2</v>
      </c>
      <c r="AD3772">
        <v>1.17609175644963</v>
      </c>
      <c r="AE3772">
        <v>0.39251905679702798</v>
      </c>
      <c r="AF3772">
        <v>2.5049668874172202</v>
      </c>
      <c r="AG3772">
        <f>IFERROR(AH3772*0.1, "N/A")</f>
        <v>6.7799668874172205</v>
      </c>
      <c r="AH3772">
        <v>67.799668874172198</v>
      </c>
      <c r="AI3772">
        <v>84.584939824034805</v>
      </c>
      <c r="AJ3772">
        <v>24.445364238410601</v>
      </c>
      <c r="AK3772">
        <v>55.317880794701999</v>
      </c>
    </row>
    <row r="3773" spans="1:37" x14ac:dyDescent="0.3">
      <c r="A3773">
        <v>3772</v>
      </c>
      <c r="B3773">
        <v>82</v>
      </c>
      <c r="C3773">
        <v>-16.025700000000001</v>
      </c>
      <c r="D3773">
        <v>16.4802</v>
      </c>
      <c r="E3773">
        <f>-16.0257-16.4802</f>
        <v>-32.505899999999997</v>
      </c>
      <c r="F3773" t="s">
        <v>5865</v>
      </c>
      <c r="G3773" t="s">
        <v>37</v>
      </c>
      <c r="H3773">
        <v>2003</v>
      </c>
      <c r="I3773">
        <v>26.9038075800763</v>
      </c>
      <c r="J3773">
        <v>14.1000003814697</v>
      </c>
      <c r="K3773">
        <v>65</v>
      </c>
      <c r="L3773">
        <v>23.7683776861784</v>
      </c>
      <c r="M3773">
        <v>36.299999237060497</v>
      </c>
      <c r="N3773">
        <v>14.8961916932997</v>
      </c>
      <c r="O3773">
        <v>21.4038075800763</v>
      </c>
      <c r="P3773">
        <v>29.1038083430158</v>
      </c>
      <c r="Q3773">
        <v>26.5076159230921</v>
      </c>
      <c r="R3773">
        <v>29.303807198606599</v>
      </c>
      <c r="S3773">
        <v>23.399999618530298</v>
      </c>
      <c r="T3773">
        <v>202.03807947019899</v>
      </c>
      <c r="U3773">
        <v>79.038079470198696</v>
      </c>
      <c r="V3773">
        <v>0</v>
      </c>
      <c r="W3773">
        <v>158.03807947019899</v>
      </c>
      <c r="X3773">
        <v>179.03807947019899</v>
      </c>
      <c r="Y3773">
        <v>0</v>
      </c>
      <c r="Z3773">
        <v>159.03807947019899</v>
      </c>
      <c r="AA3773">
        <v>3</v>
      </c>
      <c r="AB3773">
        <v>4.2682119900027597</v>
      </c>
      <c r="AC3773">
        <v>1.7547536599727E-2</v>
      </c>
      <c r="AD3773">
        <v>0.90727359184760903</v>
      </c>
      <c r="AE3773">
        <v>0.17972740530967701</v>
      </c>
      <c r="AF3773">
        <v>2.6804635761589402</v>
      </c>
      <c r="AG3773">
        <f>IFERROR(AH3773*0.1, "N/A")</f>
        <v>7.28417431192661</v>
      </c>
      <c r="AH3773">
        <v>72.841743119266098</v>
      </c>
      <c r="AI3773">
        <v>103.83291108087199</v>
      </c>
      <c r="AJ3773">
        <v>24.894495412844002</v>
      </c>
      <c r="AK3773">
        <v>53.052752293578003</v>
      </c>
    </row>
    <row r="3774" spans="1:37" x14ac:dyDescent="0.3">
      <c r="A3774">
        <v>3773</v>
      </c>
      <c r="B3774">
        <v>48</v>
      </c>
      <c r="C3774">
        <v>-15.783200000000001</v>
      </c>
      <c r="D3774">
        <v>16.488399999999999</v>
      </c>
      <c r="E3774">
        <f>-15.7832-16.4884</f>
        <v>-32.271599999999999</v>
      </c>
      <c r="F3774" t="s">
        <v>5866</v>
      </c>
      <c r="G3774" t="s">
        <v>39</v>
      </c>
      <c r="H3774">
        <v>2003</v>
      </c>
      <c r="I3774">
        <v>27.700000762939499</v>
      </c>
      <c r="J3774">
        <v>15.300000190734901</v>
      </c>
      <c r="K3774">
        <v>64</v>
      </c>
      <c r="L3774">
        <v>25.2428350306269</v>
      </c>
      <c r="M3774">
        <v>38.5</v>
      </c>
      <c r="N3774">
        <v>14.800000190734901</v>
      </c>
      <c r="O3774">
        <v>23.700000762939499</v>
      </c>
      <c r="P3774">
        <v>29.700000762939499</v>
      </c>
      <c r="Q3774">
        <v>27.4074623050974</v>
      </c>
      <c r="R3774">
        <v>30</v>
      </c>
      <c r="S3774">
        <v>23.899999618530298</v>
      </c>
      <c r="T3774">
        <v>227.65671641790999</v>
      </c>
      <c r="U3774">
        <v>86</v>
      </c>
      <c r="V3774">
        <v>0</v>
      </c>
      <c r="W3774">
        <v>151.37313432835799</v>
      </c>
      <c r="X3774">
        <v>198</v>
      </c>
      <c r="Y3774">
        <v>0.328358208955224</v>
      </c>
      <c r="Z3774">
        <v>134</v>
      </c>
      <c r="AA3774">
        <v>4</v>
      </c>
      <c r="AB3774">
        <v>1.10580452441378</v>
      </c>
      <c r="AC3774">
        <v>0.13011934133601799</v>
      </c>
      <c r="AD3774">
        <v>3.4983686134589802</v>
      </c>
      <c r="AE3774">
        <v>0.41237137922600098</v>
      </c>
      <c r="AF3774">
        <v>-2.74792703150912</v>
      </c>
      <c r="AG3774">
        <f>IFERROR(AH3774*0.1, "N/A")</f>
        <v>7.1980099502487604</v>
      </c>
      <c r="AH3774">
        <v>71.980099502487604</v>
      </c>
      <c r="AI3774">
        <v>197.24038656434001</v>
      </c>
      <c r="AJ3774">
        <v>22.9485903814262</v>
      </c>
      <c r="AK3774">
        <v>57.950248756218897</v>
      </c>
    </row>
    <row r="3775" spans="1:37" x14ac:dyDescent="0.3">
      <c r="A3775">
        <v>3774</v>
      </c>
      <c r="B3775">
        <v>68</v>
      </c>
      <c r="C3775">
        <v>-15.783200000000001</v>
      </c>
      <c r="D3775">
        <v>16.488399999999999</v>
      </c>
      <c r="E3775">
        <f>-15.7832-16.4884</f>
        <v>-32.271599999999999</v>
      </c>
      <c r="F3775" t="s">
        <v>5867</v>
      </c>
      <c r="G3775" t="s">
        <v>37</v>
      </c>
      <c r="H3775">
        <v>2003</v>
      </c>
      <c r="I3775">
        <v>27.700000762939499</v>
      </c>
      <c r="J3775">
        <v>15.300000190734901</v>
      </c>
      <c r="K3775">
        <v>64</v>
      </c>
      <c r="L3775">
        <v>25.2428350306269</v>
      </c>
      <c r="M3775">
        <v>38.5</v>
      </c>
      <c r="N3775">
        <v>14.800000190734901</v>
      </c>
      <c r="O3775">
        <v>23.700000762939499</v>
      </c>
      <c r="P3775">
        <v>29.700000762939499</v>
      </c>
      <c r="Q3775">
        <v>27.4074623050974</v>
      </c>
      <c r="R3775">
        <v>30</v>
      </c>
      <c r="S3775">
        <v>23.899999618530298</v>
      </c>
      <c r="T3775">
        <v>227.65671641790999</v>
      </c>
      <c r="U3775">
        <v>86</v>
      </c>
      <c r="V3775">
        <v>0</v>
      </c>
      <c r="W3775">
        <v>151.37313432835799</v>
      </c>
      <c r="X3775">
        <v>198</v>
      </c>
      <c r="Y3775">
        <v>0.328358208955224</v>
      </c>
      <c r="Z3775">
        <v>134</v>
      </c>
      <c r="AA3775">
        <v>4</v>
      </c>
      <c r="AB3775">
        <v>1.10580452441378</v>
      </c>
      <c r="AC3775">
        <v>0.13011934133601799</v>
      </c>
      <c r="AD3775">
        <v>3.4983686134589802</v>
      </c>
      <c r="AE3775">
        <v>0.41237137922600098</v>
      </c>
      <c r="AF3775">
        <v>-2.74792703150912</v>
      </c>
      <c r="AG3775">
        <f>IFERROR(AH3775*0.1, "N/A")</f>
        <v>7.1980099502487604</v>
      </c>
      <c r="AH3775">
        <v>71.980099502487604</v>
      </c>
      <c r="AI3775">
        <v>197.24038656434001</v>
      </c>
      <c r="AJ3775">
        <v>22.9485903814262</v>
      </c>
      <c r="AK3775">
        <v>57.950248756218897</v>
      </c>
    </row>
    <row r="3776" spans="1:37" x14ac:dyDescent="0.3">
      <c r="A3776">
        <v>3775</v>
      </c>
      <c r="B3776">
        <v>0</v>
      </c>
      <c r="C3776">
        <v>-15.918900000000001</v>
      </c>
      <c r="D3776">
        <v>16.496700000000001</v>
      </c>
      <c r="E3776">
        <f>-15.9189-16.4967</f>
        <v>-32.415599999999998</v>
      </c>
      <c r="F3776" t="s">
        <v>5868</v>
      </c>
      <c r="G3776" t="s">
        <v>39</v>
      </c>
      <c r="H3776">
        <v>1992</v>
      </c>
      <c r="I3776">
        <v>27.399999618530298</v>
      </c>
      <c r="J3776">
        <v>14.699999809265099</v>
      </c>
      <c r="K3776">
        <v>65</v>
      </c>
      <c r="L3776">
        <v>24.5</v>
      </c>
      <c r="M3776">
        <v>37.400001525878899</v>
      </c>
      <c r="N3776">
        <v>14.8999996185303</v>
      </c>
      <c r="O3776">
        <v>22.5</v>
      </c>
      <c r="P3776">
        <v>29.5</v>
      </c>
      <c r="Q3776">
        <v>27.299999237060501</v>
      </c>
      <c r="R3776">
        <v>29.600000381469702</v>
      </c>
      <c r="S3776">
        <v>23.700000762939499</v>
      </c>
      <c r="T3776">
        <v>212</v>
      </c>
      <c r="U3776">
        <v>82</v>
      </c>
      <c r="V3776">
        <v>0</v>
      </c>
      <c r="W3776">
        <v>155</v>
      </c>
      <c r="X3776">
        <v>187</v>
      </c>
      <c r="Y3776">
        <v>0</v>
      </c>
      <c r="Z3776">
        <v>166</v>
      </c>
      <c r="AA3776">
        <v>3</v>
      </c>
      <c r="AB3776">
        <v>0.20677686841034701</v>
      </c>
      <c r="AC3776">
        <v>0.412283474733391</v>
      </c>
      <c r="AD3776">
        <v>2.48456104688408</v>
      </c>
      <c r="AE3776">
        <v>0.22195732169900101</v>
      </c>
      <c r="AF3776">
        <v>-8.4297520661157005E-2</v>
      </c>
      <c r="AG3776">
        <f>IFERROR(AH3776*0.1, "N/A")</f>
        <v>6.5993388429752109</v>
      </c>
      <c r="AH3776">
        <v>65.993388429752102</v>
      </c>
      <c r="AI3776">
        <v>208.667453633458</v>
      </c>
      <c r="AJ3776">
        <v>22.9785123966942</v>
      </c>
      <c r="AK3776">
        <v>59.985123966942197</v>
      </c>
    </row>
    <row r="3777" spans="1:37" x14ac:dyDescent="0.3">
      <c r="A3777">
        <v>3776</v>
      </c>
      <c r="B3777">
        <v>0</v>
      </c>
      <c r="C3777">
        <v>-15.918900000000001</v>
      </c>
      <c r="D3777">
        <v>16.496700000000001</v>
      </c>
      <c r="E3777">
        <f>-15.9189-16.4967</f>
        <v>-32.415599999999998</v>
      </c>
      <c r="F3777" t="s">
        <v>5869</v>
      </c>
      <c r="G3777" t="s">
        <v>37</v>
      </c>
      <c r="H3777">
        <v>1992</v>
      </c>
      <c r="I3777">
        <v>27.399999618530298</v>
      </c>
      <c r="J3777">
        <v>14.699999809265099</v>
      </c>
      <c r="K3777">
        <v>65</v>
      </c>
      <c r="L3777">
        <v>24.5</v>
      </c>
      <c r="M3777">
        <v>37.400001525878899</v>
      </c>
      <c r="N3777">
        <v>14.8999996185303</v>
      </c>
      <c r="O3777">
        <v>22.5</v>
      </c>
      <c r="P3777">
        <v>29.5</v>
      </c>
      <c r="Q3777">
        <v>27.299999237060501</v>
      </c>
      <c r="R3777">
        <v>29.600000381469702</v>
      </c>
      <c r="S3777">
        <v>23.700000762939499</v>
      </c>
      <c r="T3777">
        <v>212</v>
      </c>
      <c r="U3777">
        <v>82</v>
      </c>
      <c r="V3777">
        <v>0</v>
      </c>
      <c r="W3777">
        <v>155</v>
      </c>
      <c r="X3777">
        <v>187</v>
      </c>
      <c r="Y3777">
        <v>0</v>
      </c>
      <c r="Z3777">
        <v>166</v>
      </c>
      <c r="AA3777">
        <v>3</v>
      </c>
      <c r="AB3777">
        <v>0.20677686841034701</v>
      </c>
      <c r="AC3777">
        <v>0.412283474733391</v>
      </c>
      <c r="AD3777">
        <v>2.48456104688408</v>
      </c>
      <c r="AE3777">
        <v>0.22195732169900101</v>
      </c>
      <c r="AF3777">
        <v>-8.4297520661157005E-2</v>
      </c>
      <c r="AG3777">
        <f>IFERROR(AH3777*0.1, "N/A")</f>
        <v>6.5993388429752109</v>
      </c>
      <c r="AH3777">
        <v>65.993388429752102</v>
      </c>
      <c r="AI3777">
        <v>208.667453633458</v>
      </c>
      <c r="AJ3777">
        <v>22.9785123966942</v>
      </c>
      <c r="AK3777">
        <v>59.985123966942197</v>
      </c>
    </row>
    <row r="3778" spans="1:37" x14ac:dyDescent="0.3">
      <c r="A3778">
        <v>3777</v>
      </c>
      <c r="B3778">
        <v>26.9</v>
      </c>
      <c r="C3778">
        <v>-15.815300000000001</v>
      </c>
      <c r="D3778">
        <v>16.4986</v>
      </c>
      <c r="E3778">
        <f>-15.8153-16.4986</f>
        <v>-32.313900000000004</v>
      </c>
      <c r="F3778" t="s">
        <v>5870</v>
      </c>
      <c r="G3778" t="s">
        <v>39</v>
      </c>
      <c r="H3778">
        <v>2004</v>
      </c>
      <c r="I3778">
        <v>27.799999237060501</v>
      </c>
      <c r="J3778">
        <v>15.300000190734901</v>
      </c>
      <c r="K3778">
        <v>64</v>
      </c>
      <c r="L3778">
        <v>25.4899997711182</v>
      </c>
      <c r="M3778">
        <v>38.5</v>
      </c>
      <c r="N3778">
        <v>14.800000190734901</v>
      </c>
      <c r="O3778">
        <v>23.700000762939499</v>
      </c>
      <c r="P3778">
        <v>29.799999237060501</v>
      </c>
      <c r="Q3778">
        <v>26.399999618530298</v>
      </c>
      <c r="R3778">
        <v>30</v>
      </c>
      <c r="S3778">
        <v>23.899999618530298</v>
      </c>
      <c r="T3778">
        <v>224</v>
      </c>
      <c r="U3778">
        <v>85</v>
      </c>
      <c r="V3778">
        <v>0</v>
      </c>
      <c r="W3778">
        <v>152</v>
      </c>
      <c r="X3778">
        <v>195</v>
      </c>
      <c r="Y3778">
        <v>1</v>
      </c>
      <c r="Z3778">
        <v>132</v>
      </c>
      <c r="AA3778">
        <v>3</v>
      </c>
      <c r="AB3778">
        <v>1.5971902059129499</v>
      </c>
      <c r="AC3778">
        <v>0.129613532780185</v>
      </c>
      <c r="AD3778">
        <v>4.3875141200940497</v>
      </c>
      <c r="AE3778">
        <v>0.42591363191604598</v>
      </c>
      <c r="AF3778">
        <v>0.330578512396694</v>
      </c>
      <c r="AG3778">
        <f>IFERROR(AH3778*0.1, "N/A")</f>
        <v>6.5221487603305803</v>
      </c>
      <c r="AH3778">
        <v>65.221487603305803</v>
      </c>
      <c r="AI3778">
        <v>225.93702654878001</v>
      </c>
      <c r="AJ3778">
        <v>21.785123966942098</v>
      </c>
      <c r="AK3778">
        <v>62.857851239669401</v>
      </c>
    </row>
    <row r="3779" spans="1:37" x14ac:dyDescent="0.3">
      <c r="A3779">
        <v>3778</v>
      </c>
      <c r="B3779">
        <v>98.5</v>
      </c>
      <c r="C3779">
        <v>-15.6167</v>
      </c>
      <c r="D3779">
        <v>16.5</v>
      </c>
      <c r="E3779">
        <f>-15.6167-16.5</f>
        <v>-32.116700000000002</v>
      </c>
      <c r="F3779" t="s">
        <v>5871</v>
      </c>
      <c r="G3779" t="s">
        <v>37</v>
      </c>
      <c r="H3779">
        <v>1999</v>
      </c>
      <c r="I3779">
        <v>27.600000381469702</v>
      </c>
      <c r="J3779">
        <v>15.5</v>
      </c>
      <c r="K3779">
        <v>64</v>
      </c>
      <c r="L3779">
        <v>25.5556218572715</v>
      </c>
      <c r="M3779">
        <v>38.8248754283089</v>
      </c>
      <c r="N3779">
        <v>14.630514303052401</v>
      </c>
      <c r="O3779">
        <v>24.194362267135201</v>
      </c>
      <c r="P3779">
        <v>29.399999618530298</v>
      </c>
      <c r="Q3779">
        <v>28.1248760982532</v>
      </c>
      <c r="R3779">
        <v>30</v>
      </c>
      <c r="S3779">
        <v>23.600000381469702</v>
      </c>
      <c r="T3779">
        <v>226.34328358209001</v>
      </c>
      <c r="U3779">
        <v>84.751243781094502</v>
      </c>
      <c r="V3779">
        <v>0</v>
      </c>
      <c r="W3779">
        <v>152.27860696517399</v>
      </c>
      <c r="X3779">
        <v>198.197346600332</v>
      </c>
      <c r="Y3779">
        <v>0</v>
      </c>
      <c r="Z3779">
        <v>49.694859038142603</v>
      </c>
      <c r="AA3779">
        <v>3</v>
      </c>
      <c r="AB3779">
        <v>1.9388059324293001</v>
      </c>
      <c r="AC3779">
        <v>0.170974304873317</v>
      </c>
      <c r="AD3779">
        <v>0.64178328238316396</v>
      </c>
      <c r="AE3779">
        <v>0.19288747012615201</v>
      </c>
      <c r="AF3779">
        <v>2.3532338308457699</v>
      </c>
      <c r="AG3779">
        <f>IFERROR(AH3779*0.1, "N/A")</f>
        <v>6.9366500829187405</v>
      </c>
      <c r="AH3779">
        <v>69.366500829187402</v>
      </c>
      <c r="AI3779">
        <v>132.06304962006399</v>
      </c>
      <c r="AJ3779">
        <v>22.671641791044799</v>
      </c>
      <c r="AK3779">
        <v>54.087893864013303</v>
      </c>
    </row>
    <row r="3780" spans="1:37" x14ac:dyDescent="0.3">
      <c r="A3780">
        <v>3779</v>
      </c>
      <c r="B3780">
        <v>66</v>
      </c>
      <c r="C3780">
        <v>-15.8102</v>
      </c>
      <c r="D3780">
        <v>16.500999</v>
      </c>
      <c r="E3780">
        <f>-15.8102-16.500999</f>
        <v>-32.311199000000002</v>
      </c>
      <c r="F3780" t="s">
        <v>5872</v>
      </c>
      <c r="G3780" t="s">
        <v>37</v>
      </c>
      <c r="H3780">
        <v>2003</v>
      </c>
      <c r="I3780">
        <v>27.799999237060501</v>
      </c>
      <c r="J3780">
        <v>15.300000190734901</v>
      </c>
      <c r="K3780">
        <v>64</v>
      </c>
      <c r="L3780">
        <v>25.4899997711182</v>
      </c>
      <c r="M3780">
        <v>38.5</v>
      </c>
      <c r="N3780">
        <v>14.800000190734901</v>
      </c>
      <c r="O3780">
        <v>23.700000762939499</v>
      </c>
      <c r="P3780">
        <v>29.799999237060501</v>
      </c>
      <c r="Q3780">
        <v>26.399999618530298</v>
      </c>
      <c r="R3780">
        <v>30</v>
      </c>
      <c r="S3780">
        <v>23.899999618530298</v>
      </c>
      <c r="T3780">
        <v>224</v>
      </c>
      <c r="U3780">
        <v>85</v>
      </c>
      <c r="V3780">
        <v>0</v>
      </c>
      <c r="W3780">
        <v>152</v>
      </c>
      <c r="X3780">
        <v>195</v>
      </c>
      <c r="Y3780">
        <v>1</v>
      </c>
      <c r="Z3780">
        <v>132</v>
      </c>
      <c r="AA3780">
        <v>3</v>
      </c>
      <c r="AB3780">
        <v>1.0754563527716099</v>
      </c>
      <c r="AC3780">
        <v>1.0270058784393001E-2</v>
      </c>
      <c r="AD3780">
        <v>1.1612303378570099</v>
      </c>
      <c r="AE3780">
        <v>0.493566244840622</v>
      </c>
      <c r="AF3780">
        <v>2.85074626865672</v>
      </c>
      <c r="AG3780">
        <f>IFERROR(AH3780*0.1, "N/A")</f>
        <v>7.1877280265339909</v>
      </c>
      <c r="AH3780">
        <v>71.877280265339905</v>
      </c>
      <c r="AI3780">
        <v>174.063549086031</v>
      </c>
      <c r="AJ3780">
        <v>22.119402985074601</v>
      </c>
      <c r="AK3780">
        <v>60.621890547263703</v>
      </c>
    </row>
    <row r="3781" spans="1:37" x14ac:dyDescent="0.3">
      <c r="A3781">
        <v>3780</v>
      </c>
      <c r="B3781">
        <v>4.8</v>
      </c>
      <c r="C3781">
        <v>-14.6472</v>
      </c>
      <c r="D3781">
        <v>16.506900999999999</v>
      </c>
      <c r="E3781">
        <f>-14.6472-16.506901</f>
        <v>-31.154100999999997</v>
      </c>
      <c r="F3781" t="s">
        <v>5873</v>
      </c>
      <c r="G3781" t="s">
        <v>39</v>
      </c>
      <c r="H3781">
        <v>2000</v>
      </c>
      <c r="I3781">
        <v>27.799999237060501</v>
      </c>
      <c r="J3781">
        <v>15.5</v>
      </c>
      <c r="K3781">
        <v>57</v>
      </c>
      <c r="L3781">
        <v>34.130001068115199</v>
      </c>
      <c r="M3781">
        <v>40</v>
      </c>
      <c r="N3781">
        <v>13</v>
      </c>
      <c r="O3781">
        <v>27</v>
      </c>
      <c r="P3781">
        <v>30.299999237060501</v>
      </c>
      <c r="Q3781">
        <v>28.399999618530298</v>
      </c>
      <c r="R3781">
        <v>31.299999237060501</v>
      </c>
      <c r="S3781">
        <v>22.700000762939499</v>
      </c>
      <c r="T3781">
        <v>247</v>
      </c>
      <c r="U3781">
        <v>91</v>
      </c>
      <c r="V3781">
        <v>0</v>
      </c>
      <c r="W3781">
        <v>143</v>
      </c>
      <c r="X3781">
        <v>210</v>
      </c>
      <c r="Y3781">
        <v>1</v>
      </c>
      <c r="Z3781">
        <v>67</v>
      </c>
      <c r="AA3781">
        <v>4</v>
      </c>
      <c r="AB3781">
        <v>1.4528926266126401</v>
      </c>
      <c r="AC3781">
        <v>8.6224937965430001E-3</v>
      </c>
      <c r="AD3781">
        <v>1.8183978225081401</v>
      </c>
      <c r="AE3781">
        <v>0.37926730513572698</v>
      </c>
      <c r="AF3781">
        <v>17.4661157024793</v>
      </c>
      <c r="AG3781">
        <f>IFERROR(AH3781*0.1, "N/A")</f>
        <v>7.2509090909090901</v>
      </c>
      <c r="AH3781">
        <v>72.509090909090901</v>
      </c>
      <c r="AI3781">
        <v>189.442688683439</v>
      </c>
      <c r="AJ3781">
        <v>18.4413223140496</v>
      </c>
      <c r="AK3781">
        <v>67.828099173553696</v>
      </c>
    </row>
    <row r="3782" spans="1:37" x14ac:dyDescent="0.3">
      <c r="A3782">
        <v>3781</v>
      </c>
      <c r="B3782">
        <v>7.1</v>
      </c>
      <c r="C3782">
        <v>-14.651899999999999</v>
      </c>
      <c r="D3782">
        <v>16.508300999999999</v>
      </c>
      <c r="E3782">
        <f>-14.6519-16.508301</f>
        <v>-31.160201000000001</v>
      </c>
      <c r="F3782" t="s">
        <v>5874</v>
      </c>
      <c r="G3782" t="s">
        <v>39</v>
      </c>
      <c r="H3782">
        <v>2000</v>
      </c>
      <c r="I3782">
        <v>27.700000762939499</v>
      </c>
      <c r="J3782">
        <v>15.5</v>
      </c>
      <c r="K3782">
        <v>57</v>
      </c>
      <c r="L3782">
        <v>34.259800355825902</v>
      </c>
      <c r="M3782">
        <v>40</v>
      </c>
      <c r="N3782">
        <v>12.8999996185303</v>
      </c>
      <c r="O3782">
        <v>27.100000381469702</v>
      </c>
      <c r="P3782">
        <v>30.2484245679865</v>
      </c>
      <c r="Q3782">
        <v>28.299999237060501</v>
      </c>
      <c r="R3782">
        <v>31.2484245679865</v>
      </c>
      <c r="S3782">
        <v>22.600000381469702</v>
      </c>
      <c r="T3782">
        <v>246.51575456053101</v>
      </c>
      <c r="U3782">
        <v>91</v>
      </c>
      <c r="V3782">
        <v>0</v>
      </c>
      <c r="W3782">
        <v>143</v>
      </c>
      <c r="X3782">
        <v>209.51575456053101</v>
      </c>
      <c r="Y3782">
        <v>1</v>
      </c>
      <c r="Z3782">
        <v>67</v>
      </c>
      <c r="AA3782">
        <v>4</v>
      </c>
      <c r="AB3782">
        <v>5.0356552146165097</v>
      </c>
      <c r="AC3782">
        <v>2.6986941437285E-2</v>
      </c>
      <c r="AD3782">
        <v>1.38137517204727</v>
      </c>
      <c r="AE3782">
        <v>0.37564870715141302</v>
      </c>
      <c r="AF3782">
        <v>17.893864013266999</v>
      </c>
      <c r="AG3782">
        <f>IFERROR(AH3782*0.1, "N/A")</f>
        <v>6.9102819237147601</v>
      </c>
      <c r="AH3782">
        <v>69.1028192371476</v>
      </c>
      <c r="AI3782">
        <v>79.068807826508703</v>
      </c>
      <c r="AJ3782">
        <v>21.8971807628524</v>
      </c>
      <c r="AK3782">
        <v>64</v>
      </c>
    </row>
    <row r="3783" spans="1:37" x14ac:dyDescent="0.3">
      <c r="A3783">
        <v>3782</v>
      </c>
      <c r="B3783">
        <v>28.299999</v>
      </c>
      <c r="C3783">
        <v>-15.503399999999999</v>
      </c>
      <c r="D3783">
        <v>16.510598999999999</v>
      </c>
      <c r="E3783">
        <f>-15.5034-16.510599</f>
        <v>-32.013998999999998</v>
      </c>
      <c r="F3783" t="s">
        <v>5875</v>
      </c>
      <c r="G3783" t="s">
        <v>39</v>
      </c>
      <c r="H3783">
        <v>2005</v>
      </c>
      <c r="I3783">
        <v>27.5</v>
      </c>
      <c r="J3783">
        <v>15.5</v>
      </c>
      <c r="K3783">
        <v>63</v>
      </c>
      <c r="L3783">
        <v>25.700000762939499</v>
      </c>
      <c r="M3783">
        <v>38.900001525878899</v>
      </c>
      <c r="N3783">
        <v>14.5</v>
      </c>
      <c r="O3783">
        <v>24.399999618530298</v>
      </c>
      <c r="P3783">
        <v>29.200000762939499</v>
      </c>
      <c r="Q3783">
        <v>28.200000762939499</v>
      </c>
      <c r="R3783">
        <v>30</v>
      </c>
      <c r="S3783">
        <v>23.399999618530298</v>
      </c>
      <c r="T3783">
        <v>230</v>
      </c>
      <c r="U3783">
        <v>85</v>
      </c>
      <c r="V3783">
        <v>0</v>
      </c>
      <c r="W3783">
        <v>147</v>
      </c>
      <c r="X3783">
        <v>201</v>
      </c>
      <c r="Y3783">
        <v>0</v>
      </c>
      <c r="Z3783">
        <v>51</v>
      </c>
      <c r="AA3783">
        <v>3</v>
      </c>
      <c r="AB3783">
        <v>2.1925495199809801</v>
      </c>
      <c r="AC3783">
        <v>1.0320459549556E-2</v>
      </c>
      <c r="AD3783">
        <v>0.87892677156341004</v>
      </c>
      <c r="AE3783">
        <v>0.39819392561912498</v>
      </c>
      <c r="AF3783">
        <v>7.9271523178807897</v>
      </c>
      <c r="AG3783">
        <f>IFERROR(AH3783*0.1, "N/A")</f>
        <v>7.2943708609271498</v>
      </c>
      <c r="AH3783">
        <v>72.943708609271496</v>
      </c>
      <c r="AI3783">
        <v>158.50977892591499</v>
      </c>
      <c r="AJ3783">
        <v>17</v>
      </c>
      <c r="AK3783">
        <v>68.943708609271496</v>
      </c>
    </row>
    <row r="3784" spans="1:37" x14ac:dyDescent="0.3">
      <c r="A3784">
        <v>3783</v>
      </c>
      <c r="B3784">
        <v>12.4</v>
      </c>
      <c r="C3784">
        <v>-14.6417</v>
      </c>
      <c r="D3784">
        <v>16.511700000000001</v>
      </c>
      <c r="E3784">
        <f>-14.6417-16.5117</f>
        <v>-31.153400000000001</v>
      </c>
      <c r="F3784" t="s">
        <v>5876</v>
      </c>
      <c r="G3784" t="s">
        <v>39</v>
      </c>
      <c r="H3784">
        <v>2000</v>
      </c>
      <c r="I3784">
        <v>27.845798423302</v>
      </c>
      <c r="J3784">
        <v>15.5</v>
      </c>
      <c r="K3784">
        <v>57</v>
      </c>
      <c r="L3784">
        <v>34.362060999359699</v>
      </c>
      <c r="M3784">
        <v>40.0457983126947</v>
      </c>
      <c r="N3784">
        <v>13</v>
      </c>
      <c r="O3784">
        <v>27.045799186241499</v>
      </c>
      <c r="P3784">
        <v>30.445798804771801</v>
      </c>
      <c r="Q3784">
        <v>28.445798804771801</v>
      </c>
      <c r="R3784">
        <v>31.345798423302</v>
      </c>
      <c r="S3784">
        <v>22.700000762939499</v>
      </c>
      <c r="T3784">
        <v>246.457990115321</v>
      </c>
      <c r="U3784">
        <v>91.457990115321294</v>
      </c>
      <c r="V3784">
        <v>0</v>
      </c>
      <c r="W3784">
        <v>143</v>
      </c>
      <c r="X3784">
        <v>209.457990115321</v>
      </c>
      <c r="Y3784">
        <v>1</v>
      </c>
      <c r="Z3784">
        <v>67</v>
      </c>
      <c r="AA3784">
        <v>4</v>
      </c>
      <c r="AB3784">
        <v>6.1743002236380402</v>
      </c>
      <c r="AC3784">
        <v>0.17731369601614799</v>
      </c>
      <c r="AD3784">
        <v>1.6615697437102599</v>
      </c>
      <c r="AE3784">
        <v>0.37926730513572698</v>
      </c>
      <c r="AF3784">
        <v>14.892915980230599</v>
      </c>
      <c r="AG3784">
        <f>IFERROR(AH3784*0.1, "N/A")</f>
        <v>7.2975288303130101</v>
      </c>
      <c r="AH3784">
        <v>72.9752883031301</v>
      </c>
      <c r="AI3784">
        <v>117.328922856188</v>
      </c>
      <c r="AJ3784">
        <v>20.161449752883001</v>
      </c>
      <c r="AK3784">
        <v>65.265238879736401</v>
      </c>
    </row>
    <row r="3785" spans="1:37" x14ac:dyDescent="0.3">
      <c r="A3785">
        <v>3784</v>
      </c>
      <c r="B3785">
        <v>16.100000000000001</v>
      </c>
      <c r="C3785">
        <v>-14.6508</v>
      </c>
      <c r="D3785">
        <v>16.513100000000001</v>
      </c>
      <c r="E3785">
        <f>-14.6508-16.5131</f>
        <v>-31.163900000000002</v>
      </c>
      <c r="F3785" t="s">
        <v>5877</v>
      </c>
      <c r="G3785" t="s">
        <v>39</v>
      </c>
      <c r="H3785">
        <v>2000</v>
      </c>
      <c r="I3785">
        <v>27.700000762939499</v>
      </c>
      <c r="J3785">
        <v>15.5</v>
      </c>
      <c r="K3785">
        <v>57</v>
      </c>
      <c r="L3785">
        <v>34.430000305175803</v>
      </c>
      <c r="M3785">
        <v>40</v>
      </c>
      <c r="N3785">
        <v>12.8999996185303</v>
      </c>
      <c r="O3785">
        <v>27.100000381469702</v>
      </c>
      <c r="P3785">
        <v>30.299999237060501</v>
      </c>
      <c r="Q3785">
        <v>28.299999237060501</v>
      </c>
      <c r="R3785">
        <v>31.299999237060501</v>
      </c>
      <c r="S3785">
        <v>22.600000381469702</v>
      </c>
      <c r="T3785">
        <v>246</v>
      </c>
      <c r="U3785">
        <v>91</v>
      </c>
      <c r="V3785">
        <v>0</v>
      </c>
      <c r="W3785">
        <v>143</v>
      </c>
      <c r="X3785">
        <v>209</v>
      </c>
      <c r="Y3785">
        <v>1</v>
      </c>
      <c r="Z3785">
        <v>67</v>
      </c>
      <c r="AA3785">
        <v>4</v>
      </c>
      <c r="AB3785">
        <v>2.5124170701235302</v>
      </c>
      <c r="AC3785">
        <v>0.22461943450963601</v>
      </c>
      <c r="AD3785">
        <v>1.2903258533075199</v>
      </c>
      <c r="AE3785">
        <v>0.37521870330666901</v>
      </c>
      <c r="AF3785">
        <v>14.2135761589404</v>
      </c>
      <c r="AG3785">
        <f>IFERROR(AH3785*0.1, "N/A")</f>
        <v>6.892549668874171</v>
      </c>
      <c r="AH3785">
        <v>68.925496688741703</v>
      </c>
      <c r="AI3785">
        <v>88.584309104262601</v>
      </c>
      <c r="AJ3785">
        <v>22.850993377483402</v>
      </c>
      <c r="AK3785">
        <v>61.149006622516502</v>
      </c>
    </row>
    <row r="3786" spans="1:37" x14ac:dyDescent="0.3">
      <c r="A3786">
        <v>3785</v>
      </c>
      <c r="B3786">
        <v>1.4</v>
      </c>
      <c r="C3786">
        <v>-14.698399999999999</v>
      </c>
      <c r="D3786">
        <v>16.515899999999998</v>
      </c>
      <c r="E3786">
        <f>-14.6984-16.5159</f>
        <v>-31.214299999999998</v>
      </c>
      <c r="F3786" t="s">
        <v>5878</v>
      </c>
      <c r="G3786" t="s">
        <v>39</v>
      </c>
      <c r="H3786">
        <v>1996</v>
      </c>
      <c r="I3786">
        <v>27.600000381469702</v>
      </c>
      <c r="J3786">
        <v>15.5</v>
      </c>
      <c r="K3786">
        <v>57</v>
      </c>
      <c r="L3786">
        <v>34.198361962688899</v>
      </c>
      <c r="M3786">
        <v>39.900001525878899</v>
      </c>
      <c r="N3786">
        <v>12.800000190734901</v>
      </c>
      <c r="O3786">
        <v>27.100000381469702</v>
      </c>
      <c r="P3786">
        <v>30.212893128198001</v>
      </c>
      <c r="Q3786">
        <v>28.100000381469702</v>
      </c>
      <c r="R3786">
        <v>31.1128929926344</v>
      </c>
      <c r="S3786">
        <v>22.600000381469702</v>
      </c>
      <c r="T3786">
        <v>247.871074380165</v>
      </c>
      <c r="U3786">
        <v>92</v>
      </c>
      <c r="V3786">
        <v>0</v>
      </c>
      <c r="W3786">
        <v>143</v>
      </c>
      <c r="X3786">
        <v>209.871074380165</v>
      </c>
      <c r="Y3786">
        <v>1</v>
      </c>
      <c r="Z3786">
        <v>67</v>
      </c>
      <c r="AA3786">
        <v>4</v>
      </c>
      <c r="AB3786">
        <v>5.5510748918391499</v>
      </c>
      <c r="AC3786">
        <v>8.6898824523299993E-3</v>
      </c>
      <c r="AD3786">
        <v>1.7722809598465601</v>
      </c>
      <c r="AE3786">
        <v>0.25367954373359702</v>
      </c>
      <c r="AF3786">
        <v>15.719008264462801</v>
      </c>
      <c r="AG3786">
        <f>IFERROR(AH3786*0.1, "N/A")</f>
        <v>7.13933884297521</v>
      </c>
      <c r="AH3786">
        <v>71.393388429752093</v>
      </c>
      <c r="AI3786">
        <v>189.70406423521399</v>
      </c>
      <c r="AJ3786">
        <v>13.3438016528926</v>
      </c>
      <c r="AK3786">
        <v>75.423140495867798</v>
      </c>
    </row>
    <row r="3787" spans="1:37" x14ac:dyDescent="0.3">
      <c r="A3787">
        <v>3786</v>
      </c>
      <c r="B3787">
        <v>0</v>
      </c>
      <c r="C3787">
        <v>-14.698399999999999</v>
      </c>
      <c r="D3787">
        <v>16.515899999999998</v>
      </c>
      <c r="E3787">
        <f>-14.6984-16.5159</f>
        <v>-31.214299999999998</v>
      </c>
      <c r="F3787" t="s">
        <v>5879</v>
      </c>
      <c r="G3787" t="s">
        <v>37</v>
      </c>
      <c r="H3787">
        <v>1996</v>
      </c>
      <c r="I3787">
        <v>27.600000381469702</v>
      </c>
      <c r="J3787">
        <v>15.5</v>
      </c>
      <c r="K3787">
        <v>57</v>
      </c>
      <c r="L3787">
        <v>34.198361962688899</v>
      </c>
      <c r="M3787">
        <v>39.900001525878899</v>
      </c>
      <c r="N3787">
        <v>12.800000190734901</v>
      </c>
      <c r="O3787">
        <v>27.100000381469702</v>
      </c>
      <c r="P3787">
        <v>30.212893128198001</v>
      </c>
      <c r="Q3787">
        <v>28.100000381469702</v>
      </c>
      <c r="R3787">
        <v>31.1128929926344</v>
      </c>
      <c r="S3787">
        <v>22.600000381469702</v>
      </c>
      <c r="T3787">
        <v>247.871074380165</v>
      </c>
      <c r="U3787">
        <v>92</v>
      </c>
      <c r="V3787">
        <v>0</v>
      </c>
      <c r="W3787">
        <v>143</v>
      </c>
      <c r="X3787">
        <v>209.871074380165</v>
      </c>
      <c r="Y3787">
        <v>1</v>
      </c>
      <c r="Z3787">
        <v>67</v>
      </c>
      <c r="AA3787">
        <v>4</v>
      </c>
      <c r="AB3787">
        <v>5.5510748918391499</v>
      </c>
      <c r="AC3787">
        <v>8.6898824523299993E-3</v>
      </c>
      <c r="AD3787">
        <v>1.7722809598465601</v>
      </c>
      <c r="AE3787">
        <v>0.25367954373359702</v>
      </c>
      <c r="AF3787">
        <v>15.719008264462801</v>
      </c>
      <c r="AG3787">
        <f>IFERROR(AH3787*0.1, "N/A")</f>
        <v>7.13933884297521</v>
      </c>
      <c r="AH3787">
        <v>71.393388429752093</v>
      </c>
      <c r="AI3787">
        <v>189.70406423521399</v>
      </c>
      <c r="AJ3787">
        <v>13.3438016528926</v>
      </c>
      <c r="AK3787">
        <v>75.423140495867798</v>
      </c>
    </row>
    <row r="3788" spans="1:37" x14ac:dyDescent="0.3">
      <c r="A3788">
        <v>3787</v>
      </c>
      <c r="B3788">
        <v>13.2</v>
      </c>
      <c r="C3788">
        <v>-14.646100000000001</v>
      </c>
      <c r="D3788">
        <v>16.517499999999998</v>
      </c>
      <c r="E3788">
        <f>-14.6461-16.5175</f>
        <v>-31.163599999999999</v>
      </c>
      <c r="F3788" t="s">
        <v>5880</v>
      </c>
      <c r="G3788" t="s">
        <v>39</v>
      </c>
      <c r="H3788">
        <v>2000</v>
      </c>
      <c r="I3788">
        <v>27.799999237060501</v>
      </c>
      <c r="J3788">
        <v>15.5</v>
      </c>
      <c r="K3788">
        <v>57</v>
      </c>
      <c r="L3788">
        <v>34.150001525878899</v>
      </c>
      <c r="M3788">
        <v>40.099998474121101</v>
      </c>
      <c r="N3788">
        <v>13</v>
      </c>
      <c r="O3788">
        <v>27.100000381469702</v>
      </c>
      <c r="P3788">
        <v>30.399999618530298</v>
      </c>
      <c r="Q3788">
        <v>28.399999618530298</v>
      </c>
      <c r="R3788">
        <v>31.299999237060501</v>
      </c>
      <c r="S3788">
        <v>22.700000762939499</v>
      </c>
      <c r="T3788">
        <v>247</v>
      </c>
      <c r="U3788">
        <v>92</v>
      </c>
      <c r="V3788">
        <v>0</v>
      </c>
      <c r="W3788">
        <v>143</v>
      </c>
      <c r="X3788">
        <v>210</v>
      </c>
      <c r="Y3788">
        <v>1</v>
      </c>
      <c r="Z3788">
        <v>67</v>
      </c>
      <c r="AA3788">
        <v>4</v>
      </c>
      <c r="AB3788">
        <v>5.30761604198557</v>
      </c>
      <c r="AC3788">
        <v>8.2017850294239993E-3</v>
      </c>
      <c r="AD3788">
        <v>1.15074323028918</v>
      </c>
      <c r="AE3788">
        <v>0.369487524032593</v>
      </c>
      <c r="AF3788">
        <v>12.4155629139073</v>
      </c>
      <c r="AG3788">
        <f>IFERROR(AH3788*0.1, "N/A")</f>
        <v>7.0900662251655611</v>
      </c>
      <c r="AH3788">
        <v>70.900662251655604</v>
      </c>
      <c r="AI3788">
        <v>223.24378264976701</v>
      </c>
      <c r="AJ3788">
        <v>20.1158940397351</v>
      </c>
      <c r="AK3788">
        <v>61.485099337748402</v>
      </c>
    </row>
    <row r="3789" spans="1:37" x14ac:dyDescent="0.3">
      <c r="A3789">
        <v>3788</v>
      </c>
      <c r="B3789">
        <v>9.6</v>
      </c>
      <c r="C3789">
        <v>-14.713900000000001</v>
      </c>
      <c r="D3789">
        <v>16.518899999999999</v>
      </c>
      <c r="E3789">
        <f>-14.7139-16.5189</f>
        <v>-31.232799999999997</v>
      </c>
      <c r="F3789" t="s">
        <v>5881</v>
      </c>
      <c r="G3789" t="s">
        <v>39</v>
      </c>
      <c r="H3789">
        <v>1996</v>
      </c>
      <c r="I3789">
        <v>27.5</v>
      </c>
      <c r="J3789">
        <v>15.6000003814697</v>
      </c>
      <c r="K3789">
        <v>57</v>
      </c>
      <c r="L3789">
        <v>34.4799995422363</v>
      </c>
      <c r="M3789">
        <v>39.799999237060497</v>
      </c>
      <c r="N3789">
        <v>12.6000003814697</v>
      </c>
      <c r="O3789">
        <v>27.200000762939499</v>
      </c>
      <c r="P3789">
        <v>30.100000381469702</v>
      </c>
      <c r="Q3789">
        <v>28</v>
      </c>
      <c r="R3789">
        <v>31</v>
      </c>
      <c r="S3789">
        <v>22.399999618530298</v>
      </c>
      <c r="T3789">
        <v>248</v>
      </c>
      <c r="U3789">
        <v>93</v>
      </c>
      <c r="V3789">
        <v>0</v>
      </c>
      <c r="W3789">
        <v>144</v>
      </c>
      <c r="X3789">
        <v>210</v>
      </c>
      <c r="Y3789">
        <v>1</v>
      </c>
      <c r="Z3789">
        <v>67</v>
      </c>
      <c r="AA3789">
        <v>5</v>
      </c>
      <c r="AB3789">
        <v>12.864522622363401</v>
      </c>
      <c r="AC3789">
        <v>6.3935957363386003E-2</v>
      </c>
      <c r="AD3789">
        <v>1.5021893194701399</v>
      </c>
      <c r="AE3789">
        <v>0.253463625907898</v>
      </c>
      <c r="AF3789">
        <v>22.252475247524799</v>
      </c>
      <c r="AG3789">
        <f>IFERROR(AH3789*0.1, "N/A")</f>
        <v>7.2529702970296999</v>
      </c>
      <c r="AH3789">
        <v>72.529702970296995</v>
      </c>
      <c r="AI3789">
        <v>167.24363332062299</v>
      </c>
      <c r="AJ3789">
        <v>17.506600660065999</v>
      </c>
      <c r="AK3789">
        <v>71.539603960396093</v>
      </c>
    </row>
    <row r="3790" spans="1:37" x14ac:dyDescent="0.3">
      <c r="A3790">
        <v>3789</v>
      </c>
      <c r="B3790">
        <v>0</v>
      </c>
      <c r="C3790">
        <v>-14.8</v>
      </c>
      <c r="D3790">
        <v>16.52</v>
      </c>
      <c r="E3790">
        <f>-14.8-16.52</f>
        <v>-31.32</v>
      </c>
      <c r="F3790" t="s">
        <v>5882</v>
      </c>
      <c r="G3790" t="s">
        <v>39</v>
      </c>
      <c r="H3790">
        <v>1983</v>
      </c>
      <c r="I3790">
        <v>27.369867053253</v>
      </c>
      <c r="J3790">
        <v>15.6000003814697</v>
      </c>
      <c r="K3790">
        <v>57</v>
      </c>
      <c r="L3790">
        <v>34.213279395703402</v>
      </c>
      <c r="M3790">
        <v>39.799999237060497</v>
      </c>
      <c r="N3790">
        <v>12.569867816192399</v>
      </c>
      <c r="O3790">
        <v>27.230132753485901</v>
      </c>
      <c r="P3790">
        <v>29.969867434722701</v>
      </c>
      <c r="Q3790">
        <v>27.769867246514099</v>
      </c>
      <c r="R3790">
        <v>30.899999618530298</v>
      </c>
      <c r="S3790">
        <v>22.369867053253</v>
      </c>
      <c r="T3790">
        <v>251</v>
      </c>
      <c r="U3790">
        <v>93</v>
      </c>
      <c r="V3790">
        <v>0</v>
      </c>
      <c r="W3790">
        <v>145</v>
      </c>
      <c r="X3790">
        <v>212</v>
      </c>
      <c r="Y3790">
        <v>1</v>
      </c>
      <c r="Z3790">
        <v>67</v>
      </c>
      <c r="AA3790">
        <v>5</v>
      </c>
      <c r="AB3790">
        <v>4.8458610117830201</v>
      </c>
      <c r="AC3790">
        <v>0.17817207829662901</v>
      </c>
      <c r="AD3790">
        <v>0.91380514707786298</v>
      </c>
      <c r="AE3790">
        <v>0.24034148454666099</v>
      </c>
      <c r="AF3790">
        <v>14.9933774834437</v>
      </c>
      <c r="AG3790">
        <f>IFERROR(AH3790*0.1, "N/A")</f>
        <v>7.2397350993377501</v>
      </c>
      <c r="AH3790">
        <v>72.397350993377501</v>
      </c>
      <c r="AI3790">
        <v>212.02632545319599</v>
      </c>
      <c r="AJ3790">
        <v>12</v>
      </c>
      <c r="AK3790">
        <v>80.538079470198696</v>
      </c>
    </row>
    <row r="3791" spans="1:37" x14ac:dyDescent="0.3">
      <c r="A3791">
        <v>3790</v>
      </c>
      <c r="B3791">
        <v>0</v>
      </c>
      <c r="C3791">
        <v>-14.8</v>
      </c>
      <c r="D3791">
        <v>16.52</v>
      </c>
      <c r="E3791">
        <f>-14.8-16.52</f>
        <v>-31.32</v>
      </c>
      <c r="F3791" t="s">
        <v>5883</v>
      </c>
      <c r="G3791" t="s">
        <v>37</v>
      </c>
      <c r="H3791">
        <v>1983</v>
      </c>
      <c r="I3791">
        <v>27.369867053253</v>
      </c>
      <c r="J3791">
        <v>15.6000003814697</v>
      </c>
      <c r="K3791">
        <v>57</v>
      </c>
      <c r="L3791">
        <v>34.213279395703402</v>
      </c>
      <c r="M3791">
        <v>39.799999237060497</v>
      </c>
      <c r="N3791">
        <v>12.569867816192399</v>
      </c>
      <c r="O3791">
        <v>27.230132753485901</v>
      </c>
      <c r="P3791">
        <v>29.969867434722701</v>
      </c>
      <c r="Q3791">
        <v>27.769867246514099</v>
      </c>
      <c r="R3791">
        <v>30.899999618530298</v>
      </c>
      <c r="S3791">
        <v>22.369867053253</v>
      </c>
      <c r="T3791">
        <v>251</v>
      </c>
      <c r="U3791">
        <v>93</v>
      </c>
      <c r="V3791">
        <v>0</v>
      </c>
      <c r="W3791">
        <v>145</v>
      </c>
      <c r="X3791">
        <v>212</v>
      </c>
      <c r="Y3791">
        <v>1</v>
      </c>
      <c r="Z3791">
        <v>67</v>
      </c>
      <c r="AA3791">
        <v>5</v>
      </c>
      <c r="AB3791">
        <v>4.8458610117830201</v>
      </c>
      <c r="AC3791">
        <v>0.17817207829662901</v>
      </c>
      <c r="AD3791">
        <v>0.91380514707786298</v>
      </c>
      <c r="AE3791">
        <v>0.24034148454666099</v>
      </c>
      <c r="AF3791">
        <v>14.9933774834437</v>
      </c>
      <c r="AG3791">
        <f>IFERROR(AH3791*0.1, "N/A")</f>
        <v>7.2397350993377501</v>
      </c>
      <c r="AH3791">
        <v>72.397350993377501</v>
      </c>
      <c r="AI3791">
        <v>212.02632545319599</v>
      </c>
      <c r="AJ3791">
        <v>12</v>
      </c>
      <c r="AK3791">
        <v>80.538079470198696</v>
      </c>
    </row>
    <row r="3792" spans="1:37" x14ac:dyDescent="0.3">
      <c r="A3792">
        <v>3791</v>
      </c>
      <c r="B3792">
        <v>72</v>
      </c>
      <c r="C3792">
        <v>-15.4</v>
      </c>
      <c r="D3792">
        <v>16.52</v>
      </c>
      <c r="E3792">
        <f>-15.4-16.52</f>
        <v>-31.92</v>
      </c>
      <c r="F3792" t="s">
        <v>5884</v>
      </c>
      <c r="G3792" t="s">
        <v>39</v>
      </c>
      <c r="H3792">
        <v>2003</v>
      </c>
      <c r="I3792">
        <v>27.600000381469702</v>
      </c>
      <c r="J3792">
        <v>15.6000003814697</v>
      </c>
      <c r="K3792">
        <v>63</v>
      </c>
      <c r="L3792">
        <v>26.421947164504001</v>
      </c>
      <c r="M3792">
        <v>39.099998474121101</v>
      </c>
      <c r="N3792">
        <v>14.3999996185303</v>
      </c>
      <c r="O3792">
        <v>24.700000762939499</v>
      </c>
      <c r="P3792">
        <v>29.335972971648701</v>
      </c>
      <c r="Q3792">
        <v>28.299999237060501</v>
      </c>
      <c r="R3792">
        <v>30.135974116057799</v>
      </c>
      <c r="S3792">
        <v>23.399999618530298</v>
      </c>
      <c r="T3792">
        <v>232.359735973597</v>
      </c>
      <c r="U3792">
        <v>85.359735973597296</v>
      </c>
      <c r="V3792">
        <v>0</v>
      </c>
      <c r="W3792">
        <v>148.359735973597</v>
      </c>
      <c r="X3792">
        <v>202.359735973597</v>
      </c>
      <c r="Y3792">
        <v>0</v>
      </c>
      <c r="Z3792">
        <v>51</v>
      </c>
      <c r="AA3792">
        <v>3</v>
      </c>
      <c r="AB3792">
        <v>5.8600662344753101</v>
      </c>
      <c r="AC3792">
        <v>2.7068201286514999E-2</v>
      </c>
      <c r="AD3792">
        <v>1.6605139229163901</v>
      </c>
      <c r="AE3792">
        <v>0.24780735373497001</v>
      </c>
      <c r="AF3792">
        <v>17.369636963696401</v>
      </c>
      <c r="AG3792">
        <f>IFERROR(AH3792*0.1, "N/A")</f>
        <v>7.1755775577557799</v>
      </c>
      <c r="AH3792">
        <v>71.755775577557799</v>
      </c>
      <c r="AI3792">
        <v>76.907467606043994</v>
      </c>
      <c r="AJ3792">
        <v>11.122112211221101</v>
      </c>
      <c r="AK3792">
        <v>80.547854785478506</v>
      </c>
    </row>
    <row r="3793" spans="1:37" x14ac:dyDescent="0.3">
      <c r="A3793">
        <v>3792</v>
      </c>
      <c r="B3793">
        <v>0</v>
      </c>
      <c r="C3793">
        <v>-14.7681</v>
      </c>
      <c r="D3793">
        <v>16.522499</v>
      </c>
      <c r="E3793">
        <f>-14.7681-16.522499</f>
        <v>-31.290599</v>
      </c>
      <c r="F3793" t="s">
        <v>5885</v>
      </c>
      <c r="G3793" t="s">
        <v>39</v>
      </c>
      <c r="H3793">
        <v>1996</v>
      </c>
      <c r="I3793">
        <v>27.299999237060501</v>
      </c>
      <c r="J3793">
        <v>15.6000003814697</v>
      </c>
      <c r="K3793">
        <v>57</v>
      </c>
      <c r="L3793">
        <v>34.580001831054702</v>
      </c>
      <c r="M3793">
        <v>39.799999237060497</v>
      </c>
      <c r="N3793">
        <v>12.5</v>
      </c>
      <c r="O3793">
        <v>27.299999237060501</v>
      </c>
      <c r="P3793">
        <v>30</v>
      </c>
      <c r="Q3793">
        <v>27.700000762939499</v>
      </c>
      <c r="R3793">
        <v>30.899999618530298</v>
      </c>
      <c r="S3793">
        <v>22.299999237060501</v>
      </c>
      <c r="T3793">
        <v>251</v>
      </c>
      <c r="U3793">
        <v>93</v>
      </c>
      <c r="V3793">
        <v>0</v>
      </c>
      <c r="W3793">
        <v>145</v>
      </c>
      <c r="X3793">
        <v>212</v>
      </c>
      <c r="Y3793">
        <v>1</v>
      </c>
      <c r="Z3793">
        <v>68</v>
      </c>
      <c r="AA3793">
        <v>5</v>
      </c>
      <c r="AB3793">
        <v>5.6339935957401899</v>
      </c>
      <c r="AC3793">
        <v>0.292925685645687</v>
      </c>
      <c r="AD3793">
        <v>1.7159532261366901</v>
      </c>
      <c r="AE3793">
        <v>0.27606910791727601</v>
      </c>
      <c r="AF3793">
        <v>17.442244224422399</v>
      </c>
      <c r="AG3793">
        <f>IFERROR(AH3793*0.1, "N/A")</f>
        <v>6.6042904290428996</v>
      </c>
      <c r="AH3793">
        <v>66.042904290428993</v>
      </c>
      <c r="AI3793">
        <v>56.576409443770302</v>
      </c>
      <c r="AJ3793">
        <v>14</v>
      </c>
      <c r="AK3793">
        <v>74.021452145214496</v>
      </c>
    </row>
    <row r="3794" spans="1:37" x14ac:dyDescent="0.3">
      <c r="A3794">
        <v>3793</v>
      </c>
      <c r="B3794">
        <v>4.0999999999999996</v>
      </c>
      <c r="C3794">
        <v>-14.797499999999999</v>
      </c>
      <c r="D3794">
        <v>16.525499</v>
      </c>
      <c r="E3794">
        <f>-14.7975-16.525499</f>
        <v>-31.322998999999999</v>
      </c>
      <c r="F3794" t="s">
        <v>5886</v>
      </c>
      <c r="G3794" t="s">
        <v>39</v>
      </c>
      <c r="H3794">
        <v>1996</v>
      </c>
      <c r="I3794">
        <v>27.359173016508802</v>
      </c>
      <c r="J3794">
        <v>15.6000003814697</v>
      </c>
      <c r="K3794">
        <v>57</v>
      </c>
      <c r="L3794">
        <v>34.401421917371501</v>
      </c>
      <c r="M3794">
        <v>39.799999237060497</v>
      </c>
      <c r="N3794">
        <v>12.5591737794482</v>
      </c>
      <c r="O3794">
        <v>27.240826586258301</v>
      </c>
      <c r="P3794">
        <v>30.018347177426701</v>
      </c>
      <c r="Q3794">
        <v>27.759173413741699</v>
      </c>
      <c r="R3794">
        <v>30.899999618530298</v>
      </c>
      <c r="S3794">
        <v>22.359173016508802</v>
      </c>
      <c r="T3794">
        <v>250.40826446281</v>
      </c>
      <c r="U3794">
        <v>93</v>
      </c>
      <c r="V3794">
        <v>0</v>
      </c>
      <c r="W3794">
        <v>144.40826446281</v>
      </c>
      <c r="X3794">
        <v>211.40826446281</v>
      </c>
      <c r="Y3794">
        <v>1</v>
      </c>
      <c r="Z3794">
        <v>67</v>
      </c>
      <c r="AA3794">
        <v>5</v>
      </c>
      <c r="AB3794">
        <v>7.3709089153069103</v>
      </c>
      <c r="AC3794">
        <v>3.7916663145907997E-2</v>
      </c>
      <c r="AD3794">
        <v>1.98152701913818</v>
      </c>
      <c r="AE3794">
        <v>0.25704729557037398</v>
      </c>
      <c r="AF3794">
        <v>15.099173553719</v>
      </c>
      <c r="AG3794">
        <f>IFERROR(AH3794*0.1, "N/A")</f>
        <v>6.7049586776859504</v>
      </c>
      <c r="AH3794">
        <v>67.049586776859499</v>
      </c>
      <c r="AI3794">
        <v>124.931727852309</v>
      </c>
      <c r="AJ3794">
        <v>13.0165289256198</v>
      </c>
      <c r="AK3794">
        <v>78.100826446281005</v>
      </c>
    </row>
    <row r="3795" spans="1:37" x14ac:dyDescent="0.3">
      <c r="A3795">
        <v>3794</v>
      </c>
      <c r="B3795">
        <v>54.700001</v>
      </c>
      <c r="C3795">
        <v>-14.7927</v>
      </c>
      <c r="D3795">
        <v>16.531300000000002</v>
      </c>
      <c r="E3795">
        <f>-14.7927-16.5313</f>
        <v>-31.324000000000002</v>
      </c>
      <c r="F3795" t="s">
        <v>5887</v>
      </c>
      <c r="G3795" t="s">
        <v>39</v>
      </c>
      <c r="H3795">
        <v>2000</v>
      </c>
      <c r="I3795">
        <v>27.399999618530298</v>
      </c>
      <c r="J3795">
        <v>15.6000003814697</v>
      </c>
      <c r="K3795">
        <v>57</v>
      </c>
      <c r="L3795">
        <v>34.430000305175803</v>
      </c>
      <c r="M3795">
        <v>39.799999237060497</v>
      </c>
      <c r="N3795">
        <v>12.6000003814697</v>
      </c>
      <c r="O3795">
        <v>27.200000762939499</v>
      </c>
      <c r="P3795">
        <v>30.100000381469702</v>
      </c>
      <c r="Q3795">
        <v>27.799999237060501</v>
      </c>
      <c r="R3795">
        <v>30.899999618530298</v>
      </c>
      <c r="S3795">
        <v>22.399999618530298</v>
      </c>
      <c r="T3795">
        <v>250</v>
      </c>
      <c r="U3795">
        <v>93</v>
      </c>
      <c r="V3795">
        <v>0</v>
      </c>
      <c r="W3795">
        <v>144</v>
      </c>
      <c r="X3795">
        <v>211</v>
      </c>
      <c r="Y3795">
        <v>1</v>
      </c>
      <c r="Z3795">
        <v>67</v>
      </c>
      <c r="AA3795">
        <v>5</v>
      </c>
      <c r="AB3795">
        <v>1.1387044084428599</v>
      </c>
      <c r="AC3795">
        <v>0.345453467487707</v>
      </c>
      <c r="AD3795">
        <v>1.08759064309027</v>
      </c>
      <c r="AE3795">
        <v>0.32609196200323298</v>
      </c>
      <c r="AF3795">
        <v>7.6495016611295696</v>
      </c>
      <c r="AG3795">
        <f>IFERROR(AH3795*0.1, "N/A")</f>
        <v>7.4897009966777404</v>
      </c>
      <c r="AH3795">
        <v>74.897009966777404</v>
      </c>
      <c r="AI3795">
        <v>78.053637558439604</v>
      </c>
      <c r="AJ3795">
        <v>19.3089700996678</v>
      </c>
      <c r="AK3795">
        <v>61.036544850498302</v>
      </c>
    </row>
    <row r="3796" spans="1:37" x14ac:dyDescent="0.3">
      <c r="A3796">
        <v>3795</v>
      </c>
      <c r="B3796">
        <v>0</v>
      </c>
      <c r="C3796">
        <v>-14.8041</v>
      </c>
      <c r="D3796">
        <v>16.538401</v>
      </c>
      <c r="E3796">
        <f>-14.8041-16.538401</f>
        <v>-31.342500999999999</v>
      </c>
      <c r="F3796" t="s">
        <v>5888</v>
      </c>
      <c r="G3796" t="s">
        <v>39</v>
      </c>
      <c r="H3796">
        <v>1996</v>
      </c>
      <c r="I3796">
        <v>27.399999618530298</v>
      </c>
      <c r="J3796">
        <v>15.6000003814697</v>
      </c>
      <c r="K3796">
        <v>57</v>
      </c>
      <c r="L3796">
        <v>34.4799995422363</v>
      </c>
      <c r="M3796">
        <v>39.900001525878899</v>
      </c>
      <c r="N3796">
        <v>12.6000003814697</v>
      </c>
      <c r="O3796">
        <v>27.299999237060501</v>
      </c>
      <c r="P3796">
        <v>30</v>
      </c>
      <c r="Q3796">
        <v>27.799999237060501</v>
      </c>
      <c r="R3796">
        <v>31</v>
      </c>
      <c r="S3796">
        <v>22.399999618530298</v>
      </c>
      <c r="T3796">
        <v>248</v>
      </c>
      <c r="U3796">
        <v>93</v>
      </c>
      <c r="V3796">
        <v>0</v>
      </c>
      <c r="W3796">
        <v>144</v>
      </c>
      <c r="X3796">
        <v>210</v>
      </c>
      <c r="Y3796">
        <v>0</v>
      </c>
      <c r="Z3796">
        <v>66</v>
      </c>
      <c r="AA3796">
        <v>5</v>
      </c>
      <c r="AB3796">
        <v>1.5160597420686099</v>
      </c>
      <c r="AC3796">
        <v>0.108704740341925</v>
      </c>
      <c r="AD3796">
        <v>2.4870939546863</v>
      </c>
      <c r="AE3796">
        <v>0.26211792230606101</v>
      </c>
      <c r="AF3796">
        <v>6.0761589403973497</v>
      </c>
      <c r="AG3796">
        <f>IFERROR(AH3796*0.1, "N/A")</f>
        <v>7.2559602649006614</v>
      </c>
      <c r="AH3796">
        <v>72.559602649006607</v>
      </c>
      <c r="AI3796">
        <v>170.43386612980601</v>
      </c>
      <c r="AJ3796">
        <v>21.826158940397299</v>
      </c>
      <c r="AK3796">
        <v>59.466887417218501</v>
      </c>
    </row>
    <row r="3797" spans="1:37" x14ac:dyDescent="0.3">
      <c r="A3797">
        <v>3796</v>
      </c>
      <c r="B3797">
        <v>6.3</v>
      </c>
      <c r="C3797">
        <v>-14.837899999999999</v>
      </c>
      <c r="D3797">
        <v>16.541</v>
      </c>
      <c r="E3797">
        <f>-14.8379-16.541</f>
        <v>-31.378900000000002</v>
      </c>
      <c r="F3797" t="s">
        <v>5889</v>
      </c>
      <c r="G3797" t="s">
        <v>39</v>
      </c>
      <c r="H3797">
        <v>1996</v>
      </c>
      <c r="I3797">
        <v>27.600000381469702</v>
      </c>
      <c r="J3797">
        <v>15.6000003814697</v>
      </c>
      <c r="K3797">
        <v>57</v>
      </c>
      <c r="L3797">
        <v>33.411786452034399</v>
      </c>
      <c r="M3797">
        <v>39.900001525878899</v>
      </c>
      <c r="N3797">
        <v>12.8999996185303</v>
      </c>
      <c r="O3797">
        <v>27</v>
      </c>
      <c r="P3797">
        <v>30.100000381469702</v>
      </c>
      <c r="Q3797">
        <v>28</v>
      </c>
      <c r="R3797">
        <v>31</v>
      </c>
      <c r="S3797">
        <v>22.6102653212895</v>
      </c>
      <c r="T3797">
        <v>248.89735099337699</v>
      </c>
      <c r="U3797">
        <v>93</v>
      </c>
      <c r="V3797">
        <v>0</v>
      </c>
      <c r="W3797">
        <v>145</v>
      </c>
      <c r="X3797">
        <v>211.89735099337699</v>
      </c>
      <c r="Y3797">
        <v>0</v>
      </c>
      <c r="Z3797">
        <v>64.897350993377501</v>
      </c>
      <c r="AA3797">
        <v>5</v>
      </c>
      <c r="AB3797">
        <v>1.08543017684229</v>
      </c>
      <c r="AC3797">
        <v>0.44446902158392598</v>
      </c>
      <c r="AD3797">
        <v>2.0756583422027699</v>
      </c>
      <c r="AE3797">
        <v>0.245054446111452</v>
      </c>
      <c r="AF3797">
        <v>8.4254966887417204</v>
      </c>
      <c r="AG3797">
        <f>IFERROR(AH3797*0.1, "N/A")</f>
        <v>6.96655629139073</v>
      </c>
      <c r="AH3797">
        <v>69.665562913907294</v>
      </c>
      <c r="AI3797">
        <v>134.59230582129899</v>
      </c>
      <c r="AJ3797">
        <v>17.331125827814599</v>
      </c>
      <c r="AK3797">
        <v>70.811258278145701</v>
      </c>
    </row>
    <row r="3798" spans="1:37" x14ac:dyDescent="0.3">
      <c r="A3798">
        <v>3797</v>
      </c>
      <c r="B3798">
        <v>4</v>
      </c>
      <c r="C3798">
        <v>-14.803000000000001</v>
      </c>
      <c r="D3798">
        <v>16.541799999999999</v>
      </c>
      <c r="E3798">
        <f>-14.803-16.5418</f>
        <v>-31.344799999999999</v>
      </c>
      <c r="F3798" t="s">
        <v>5890</v>
      </c>
      <c r="G3798" t="s">
        <v>39</v>
      </c>
      <c r="H3798">
        <v>1983</v>
      </c>
      <c r="I3798">
        <v>27.469421370955502</v>
      </c>
      <c r="J3798">
        <v>15.6000003814697</v>
      </c>
      <c r="K3798">
        <v>57</v>
      </c>
      <c r="L3798">
        <v>34.417520097464603</v>
      </c>
      <c r="M3798">
        <v>39.900001525878899</v>
      </c>
      <c r="N3798">
        <v>12.669421471840099</v>
      </c>
      <c r="O3798">
        <v>27.230578808745101</v>
      </c>
      <c r="P3798">
        <v>30</v>
      </c>
      <c r="Q3798">
        <v>27.8694209894858</v>
      </c>
      <c r="R3798">
        <v>31</v>
      </c>
      <c r="S3798">
        <v>22.399999618530298</v>
      </c>
      <c r="T3798">
        <v>247.30578512396701</v>
      </c>
      <c r="U3798">
        <v>93</v>
      </c>
      <c r="V3798">
        <v>0</v>
      </c>
      <c r="W3798">
        <v>144</v>
      </c>
      <c r="X3798">
        <v>210</v>
      </c>
      <c r="Y3798">
        <v>0</v>
      </c>
      <c r="Z3798">
        <v>65.305785123966899</v>
      </c>
      <c r="AA3798">
        <v>5</v>
      </c>
      <c r="AB3798">
        <v>3.17702473017795</v>
      </c>
      <c r="AC3798">
        <v>1.0003561775915999E-2</v>
      </c>
      <c r="AD3798">
        <v>1.59633957866795</v>
      </c>
      <c r="AE3798">
        <v>0.25786873698234603</v>
      </c>
      <c r="AF3798">
        <v>8.9074380165289195</v>
      </c>
      <c r="AG3798">
        <f>IFERROR(AH3798*0.1, "N/A")</f>
        <v>7.0912396694214905</v>
      </c>
      <c r="AH3798">
        <v>70.912396694214905</v>
      </c>
      <c r="AI3798">
        <v>139.580583635441</v>
      </c>
      <c r="AJ3798">
        <v>22.8247933884298</v>
      </c>
      <c r="AK3798">
        <v>60.087603305785102</v>
      </c>
    </row>
    <row r="3799" spans="1:37" x14ac:dyDescent="0.3">
      <c r="A3799">
        <v>3798</v>
      </c>
      <c r="B3799">
        <v>0</v>
      </c>
      <c r="C3799">
        <v>-14.803000000000001</v>
      </c>
      <c r="D3799">
        <v>16.541799999999999</v>
      </c>
      <c r="E3799">
        <f>-14.803-16.5418</f>
        <v>-31.344799999999999</v>
      </c>
      <c r="F3799" t="s">
        <v>5891</v>
      </c>
      <c r="G3799" t="s">
        <v>37</v>
      </c>
      <c r="H3799">
        <v>1983</v>
      </c>
      <c r="I3799">
        <v>27.469421370955502</v>
      </c>
      <c r="J3799">
        <v>15.6000003814697</v>
      </c>
      <c r="K3799">
        <v>57</v>
      </c>
      <c r="L3799">
        <v>34.417520097464603</v>
      </c>
      <c r="M3799">
        <v>39.900001525878899</v>
      </c>
      <c r="N3799">
        <v>12.669421471840099</v>
      </c>
      <c r="O3799">
        <v>27.230578808745101</v>
      </c>
      <c r="P3799">
        <v>30</v>
      </c>
      <c r="Q3799">
        <v>27.8694209894858</v>
      </c>
      <c r="R3799">
        <v>31</v>
      </c>
      <c r="S3799">
        <v>22.399999618530298</v>
      </c>
      <c r="T3799">
        <v>247.30578512396701</v>
      </c>
      <c r="U3799">
        <v>93</v>
      </c>
      <c r="V3799">
        <v>0</v>
      </c>
      <c r="W3799">
        <v>144</v>
      </c>
      <c r="X3799">
        <v>210</v>
      </c>
      <c r="Y3799">
        <v>0</v>
      </c>
      <c r="Z3799">
        <v>65.305785123966899</v>
      </c>
      <c r="AA3799">
        <v>5</v>
      </c>
      <c r="AB3799">
        <v>3.17702473017795</v>
      </c>
      <c r="AC3799">
        <v>1.0003561775915999E-2</v>
      </c>
      <c r="AD3799">
        <v>1.59633957866795</v>
      </c>
      <c r="AE3799">
        <v>0.25786873698234603</v>
      </c>
      <c r="AF3799">
        <v>8.9074380165289195</v>
      </c>
      <c r="AG3799">
        <f>IFERROR(AH3799*0.1, "N/A")</f>
        <v>7.0912396694214905</v>
      </c>
      <c r="AH3799">
        <v>70.912396694214905</v>
      </c>
      <c r="AI3799">
        <v>139.580583635441</v>
      </c>
      <c r="AJ3799">
        <v>22.8247933884298</v>
      </c>
      <c r="AK3799">
        <v>60.087603305785102</v>
      </c>
    </row>
    <row r="3800" spans="1:37" x14ac:dyDescent="0.3">
      <c r="A3800">
        <v>3799</v>
      </c>
      <c r="B3800">
        <v>42.099997999999999</v>
      </c>
      <c r="C3800">
        <v>-14.800800000000001</v>
      </c>
      <c r="D3800">
        <v>16.543301</v>
      </c>
      <c r="E3800">
        <f>-14.8008-16.543301</f>
        <v>-31.344101000000002</v>
      </c>
      <c r="F3800" t="s">
        <v>5892</v>
      </c>
      <c r="G3800" t="s">
        <v>39</v>
      </c>
      <c r="H3800">
        <v>2004</v>
      </c>
      <c r="I3800">
        <v>27.5</v>
      </c>
      <c r="J3800">
        <v>15.6000003814697</v>
      </c>
      <c r="K3800">
        <v>57</v>
      </c>
      <c r="L3800">
        <v>34.389999389648402</v>
      </c>
      <c r="M3800">
        <v>39.900001525878899</v>
      </c>
      <c r="N3800">
        <v>12.699999809265099</v>
      </c>
      <c r="O3800">
        <v>27.200000762939499</v>
      </c>
      <c r="P3800">
        <v>30</v>
      </c>
      <c r="Q3800">
        <v>27.899999618530298</v>
      </c>
      <c r="R3800">
        <v>31</v>
      </c>
      <c r="S3800">
        <v>22.399999618530298</v>
      </c>
      <c r="T3800">
        <v>247</v>
      </c>
      <c r="U3800">
        <v>93</v>
      </c>
      <c r="V3800">
        <v>0</v>
      </c>
      <c r="W3800">
        <v>144</v>
      </c>
      <c r="X3800">
        <v>210</v>
      </c>
      <c r="Y3800">
        <v>0</v>
      </c>
      <c r="Z3800">
        <v>65</v>
      </c>
      <c r="AA3800">
        <v>5</v>
      </c>
      <c r="AB3800">
        <v>0.33360908441985698</v>
      </c>
      <c r="AC3800">
        <v>6.5809057586031006E-2</v>
      </c>
      <c r="AD3800">
        <v>1.6293096983472199</v>
      </c>
      <c r="AE3800">
        <v>0.25104885242435299</v>
      </c>
      <c r="AF3800">
        <v>4.99668874172185</v>
      </c>
      <c r="AG3800">
        <f>IFERROR(AH3800*0.1, "N/A")</f>
        <v>6.9089403973509906</v>
      </c>
      <c r="AH3800">
        <v>69.089403973509903</v>
      </c>
      <c r="AI3800">
        <v>95.481569946996402</v>
      </c>
      <c r="AJ3800">
        <v>21.455298013244999</v>
      </c>
      <c r="AK3800">
        <v>59.634105960264897</v>
      </c>
    </row>
    <row r="3801" spans="1:37" x14ac:dyDescent="0.3">
      <c r="A3801">
        <v>3800</v>
      </c>
      <c r="B3801">
        <v>33.099997999999999</v>
      </c>
      <c r="C3801">
        <v>-14.759399999999999</v>
      </c>
      <c r="D3801">
        <v>16.543500999999999</v>
      </c>
      <c r="E3801">
        <f>-14.7594-16.543501</f>
        <v>-31.302900999999999</v>
      </c>
      <c r="F3801" t="s">
        <v>5893</v>
      </c>
      <c r="G3801" t="s">
        <v>39</v>
      </c>
      <c r="H3801">
        <v>1985</v>
      </c>
      <c r="I3801">
        <v>27.399999618530298</v>
      </c>
      <c r="J3801">
        <v>15.6000003814697</v>
      </c>
      <c r="K3801">
        <v>57</v>
      </c>
      <c r="L3801">
        <v>34.669998168945298</v>
      </c>
      <c r="M3801">
        <v>39.900001525878899</v>
      </c>
      <c r="N3801">
        <v>12.6000003814697</v>
      </c>
      <c r="O3801">
        <v>27.299999237060501</v>
      </c>
      <c r="P3801">
        <v>30.100000381469702</v>
      </c>
      <c r="Q3801">
        <v>27.799999237060501</v>
      </c>
      <c r="R3801">
        <v>31</v>
      </c>
      <c r="S3801">
        <v>22.399999618530298</v>
      </c>
      <c r="T3801">
        <v>247</v>
      </c>
      <c r="U3801">
        <v>93</v>
      </c>
      <c r="V3801">
        <v>0</v>
      </c>
      <c r="W3801">
        <v>143</v>
      </c>
      <c r="X3801">
        <v>209</v>
      </c>
      <c r="Y3801">
        <v>1</v>
      </c>
      <c r="Z3801">
        <v>67</v>
      </c>
      <c r="AA3801">
        <v>5</v>
      </c>
      <c r="AB3801">
        <v>1.0031355316489401</v>
      </c>
      <c r="AC3801">
        <v>9.7704351304879998E-3</v>
      </c>
      <c r="AD3801">
        <v>0.86940312838003597</v>
      </c>
      <c r="AE3801">
        <v>0.39352345466613797</v>
      </c>
      <c r="AF3801">
        <v>5.9653465346534702</v>
      </c>
      <c r="AG3801">
        <f>IFERROR(AH3801*0.1, "N/A")</f>
        <v>6.7224422442244212</v>
      </c>
      <c r="AH3801">
        <v>67.224422442244204</v>
      </c>
      <c r="AI3801">
        <v>148.70361104027299</v>
      </c>
      <c r="AJ3801">
        <v>27.3547854785479</v>
      </c>
      <c r="AK3801">
        <v>49.592409240924098</v>
      </c>
    </row>
    <row r="3802" spans="1:37" x14ac:dyDescent="0.3">
      <c r="A3802">
        <v>3801</v>
      </c>
      <c r="B3802">
        <v>0</v>
      </c>
      <c r="C3802">
        <v>-14.759399999999999</v>
      </c>
      <c r="D3802">
        <v>16.543500999999999</v>
      </c>
      <c r="E3802">
        <f>-14.7594-16.543501</f>
        <v>-31.302900999999999</v>
      </c>
      <c r="F3802" t="s">
        <v>5894</v>
      </c>
      <c r="G3802" t="s">
        <v>37</v>
      </c>
      <c r="H3802">
        <v>1992</v>
      </c>
      <c r="I3802">
        <v>27.399999618530298</v>
      </c>
      <c r="J3802">
        <v>15.6000003814697</v>
      </c>
      <c r="K3802">
        <v>57</v>
      </c>
      <c r="L3802">
        <v>34.669998168945298</v>
      </c>
      <c r="M3802">
        <v>39.900001525878899</v>
      </c>
      <c r="N3802">
        <v>12.6000003814697</v>
      </c>
      <c r="O3802">
        <v>27.299999237060501</v>
      </c>
      <c r="P3802">
        <v>30.100000381469702</v>
      </c>
      <c r="Q3802">
        <v>27.799999237060501</v>
      </c>
      <c r="R3802">
        <v>31</v>
      </c>
      <c r="S3802">
        <v>22.399999618530298</v>
      </c>
      <c r="T3802">
        <v>247</v>
      </c>
      <c r="U3802">
        <v>93</v>
      </c>
      <c r="V3802">
        <v>0</v>
      </c>
      <c r="W3802">
        <v>143</v>
      </c>
      <c r="X3802">
        <v>209</v>
      </c>
      <c r="Y3802">
        <v>1</v>
      </c>
      <c r="Z3802">
        <v>67</v>
      </c>
      <c r="AA3802">
        <v>5</v>
      </c>
      <c r="AB3802">
        <v>1.0031355316489401</v>
      </c>
      <c r="AC3802">
        <v>9.7704351304879998E-3</v>
      </c>
      <c r="AD3802">
        <v>0.86940312838003597</v>
      </c>
      <c r="AE3802">
        <v>0.39352345466613797</v>
      </c>
      <c r="AF3802">
        <v>5.9653465346534702</v>
      </c>
      <c r="AG3802">
        <f>IFERROR(AH3802*0.1, "N/A")</f>
        <v>6.7224422442244212</v>
      </c>
      <c r="AH3802">
        <v>67.224422442244204</v>
      </c>
      <c r="AI3802">
        <v>148.70361104027299</v>
      </c>
      <c r="AJ3802">
        <v>27.3547854785479</v>
      </c>
      <c r="AK3802">
        <v>49.592409240924098</v>
      </c>
    </row>
    <row r="3803" spans="1:37" x14ac:dyDescent="0.3">
      <c r="A3803">
        <v>3802</v>
      </c>
      <c r="B3803">
        <v>9.5</v>
      </c>
      <c r="C3803">
        <v>-14.845800000000001</v>
      </c>
      <c r="D3803">
        <v>16.5702</v>
      </c>
      <c r="E3803">
        <f>-14.8458-16.5702</f>
        <v>-31.416</v>
      </c>
      <c r="F3803" t="s">
        <v>5895</v>
      </c>
      <c r="G3803" t="s">
        <v>39</v>
      </c>
      <c r="H3803">
        <v>2004</v>
      </c>
      <c r="I3803">
        <v>27.700000762939499</v>
      </c>
      <c r="J3803">
        <v>15.6000003814697</v>
      </c>
      <c r="K3803">
        <v>57</v>
      </c>
      <c r="L3803">
        <v>33</v>
      </c>
      <c r="M3803">
        <v>40.099998474121101</v>
      </c>
      <c r="N3803">
        <v>13.199999809265099</v>
      </c>
      <c r="O3803">
        <v>26.899999618530298</v>
      </c>
      <c r="P3803">
        <v>30.200000762939499</v>
      </c>
      <c r="Q3803">
        <v>28.200000762939499</v>
      </c>
      <c r="R3803">
        <v>31.100000381469702</v>
      </c>
      <c r="S3803">
        <v>22.899999618530298</v>
      </c>
      <c r="T3803">
        <v>245</v>
      </c>
      <c r="U3803">
        <v>93</v>
      </c>
      <c r="V3803">
        <v>0</v>
      </c>
      <c r="W3803">
        <v>144</v>
      </c>
      <c r="X3803">
        <v>209</v>
      </c>
      <c r="Y3803">
        <v>0</v>
      </c>
      <c r="Z3803">
        <v>63</v>
      </c>
      <c r="AA3803">
        <v>5</v>
      </c>
      <c r="AB3803">
        <v>3.19404937491929</v>
      </c>
      <c r="AC3803">
        <v>1.5423294199891999E-2</v>
      </c>
      <c r="AD3803">
        <v>2.3361296008441101</v>
      </c>
      <c r="AE3803">
        <v>0.30143966275798401</v>
      </c>
      <c r="AF3803">
        <v>7.72892561983471</v>
      </c>
      <c r="AG3803">
        <f>IFERROR(AH3803*0.1, "N/A")</f>
        <v>7.0056198347107497</v>
      </c>
      <c r="AH3803">
        <v>70.056198347107497</v>
      </c>
      <c r="AI3803">
        <v>170.83257274785299</v>
      </c>
      <c r="AJ3803">
        <v>20.264462809917401</v>
      </c>
      <c r="AK3803">
        <v>62.424793388429798</v>
      </c>
    </row>
    <row r="3804" spans="1:37" x14ac:dyDescent="0.3">
      <c r="A3804">
        <v>3803</v>
      </c>
      <c r="B3804">
        <v>54</v>
      </c>
      <c r="C3804">
        <v>-15.1502</v>
      </c>
      <c r="D3804">
        <v>16.581600000000002</v>
      </c>
      <c r="E3804">
        <f>-15.1502-16.5816</f>
        <v>-31.7318</v>
      </c>
      <c r="F3804" t="s">
        <v>5896</v>
      </c>
      <c r="G3804" t="s">
        <v>39</v>
      </c>
      <c r="H3804">
        <v>2003</v>
      </c>
      <c r="I3804">
        <v>28.100000381469702</v>
      </c>
      <c r="J3804">
        <v>15.699999809265099</v>
      </c>
      <c r="K3804">
        <v>61</v>
      </c>
      <c r="L3804">
        <v>28.786191763467301</v>
      </c>
      <c r="M3804">
        <v>39.900001525878899</v>
      </c>
      <c r="N3804">
        <v>14.3999996185303</v>
      </c>
      <c r="O3804">
        <v>25.5</v>
      </c>
      <c r="P3804">
        <v>30</v>
      </c>
      <c r="Q3804">
        <v>28.899999618530298</v>
      </c>
      <c r="R3804">
        <v>30.899999618530298</v>
      </c>
      <c r="S3804">
        <v>23.641391267839602</v>
      </c>
      <c r="T3804">
        <v>233.41390728476799</v>
      </c>
      <c r="U3804">
        <v>86.4139072847682</v>
      </c>
      <c r="V3804">
        <v>0</v>
      </c>
      <c r="W3804">
        <v>146.41390728476799</v>
      </c>
      <c r="X3804">
        <v>201.41390728476799</v>
      </c>
      <c r="Y3804">
        <v>0</v>
      </c>
      <c r="Z3804">
        <v>53</v>
      </c>
      <c r="AA3804">
        <v>4</v>
      </c>
      <c r="AB3804">
        <v>5.7778146018255603</v>
      </c>
      <c r="AC3804">
        <v>1.5366516805359E-2</v>
      </c>
      <c r="AD3804">
        <v>1.8759597869503599</v>
      </c>
      <c r="AE3804">
        <v>0.26597580313682601</v>
      </c>
      <c r="AF3804">
        <v>6.6341059602649004</v>
      </c>
      <c r="AG3804">
        <f>IFERROR(AH3804*0.1, "N/A")</f>
        <v>6.4</v>
      </c>
      <c r="AH3804">
        <v>64</v>
      </c>
      <c r="AI3804">
        <v>151.78633854405001</v>
      </c>
      <c r="AJ3804">
        <v>28</v>
      </c>
      <c r="AK3804">
        <v>56</v>
      </c>
    </row>
    <row r="3805" spans="1:37" x14ac:dyDescent="0.3">
      <c r="A3805">
        <v>3804</v>
      </c>
      <c r="B3805">
        <v>2.5</v>
      </c>
      <c r="C3805">
        <v>-14.854200000000001</v>
      </c>
      <c r="D3805">
        <v>16.585799999999999</v>
      </c>
      <c r="E3805">
        <f>-14.8542-16.5858</f>
        <v>-31.439999999999998</v>
      </c>
      <c r="F3805" t="s">
        <v>5897</v>
      </c>
      <c r="G3805" t="s">
        <v>39</v>
      </c>
      <c r="H3805">
        <v>1996</v>
      </c>
      <c r="I3805">
        <v>27.899999618530298</v>
      </c>
      <c r="J3805">
        <v>15.6000003814697</v>
      </c>
      <c r="K3805">
        <v>58</v>
      </c>
      <c r="L3805">
        <v>33.119998931884801</v>
      </c>
      <c r="M3805">
        <v>40.200000762939503</v>
      </c>
      <c r="N3805">
        <v>13.3999996185303</v>
      </c>
      <c r="O3805">
        <v>26.799999237060501</v>
      </c>
      <c r="P3805">
        <v>30.299999237060501</v>
      </c>
      <c r="Q3805">
        <v>28.399999618530298</v>
      </c>
      <c r="R3805">
        <v>31.299999237060501</v>
      </c>
      <c r="S3805">
        <v>23</v>
      </c>
      <c r="T3805">
        <v>242</v>
      </c>
      <c r="U3805">
        <v>92</v>
      </c>
      <c r="V3805">
        <v>0</v>
      </c>
      <c r="W3805">
        <v>143</v>
      </c>
      <c r="X3805">
        <v>207</v>
      </c>
      <c r="Y3805">
        <v>0</v>
      </c>
      <c r="Z3805">
        <v>62</v>
      </c>
      <c r="AA3805">
        <v>4</v>
      </c>
      <c r="AB3805">
        <v>0.23609293533476799</v>
      </c>
      <c r="AC3805">
        <v>6.6976120669258996E-2</v>
      </c>
      <c r="AD3805">
        <v>0.915210929730081</v>
      </c>
      <c r="AE3805">
        <v>0.285841138749723</v>
      </c>
      <c r="AF3805">
        <v>5.4751655629139098</v>
      </c>
      <c r="AG3805">
        <f>IFERROR(AH3805*0.1, "N/A")</f>
        <v>7.5476821192052999</v>
      </c>
      <c r="AH3805">
        <v>75.476821192052995</v>
      </c>
      <c r="AI3805">
        <v>109.44417707178</v>
      </c>
      <c r="AJ3805">
        <v>21.4271523178808</v>
      </c>
      <c r="AK3805">
        <v>60.9304635761589</v>
      </c>
    </row>
    <row r="3806" spans="1:37" x14ac:dyDescent="0.3">
      <c r="A3806">
        <v>3805</v>
      </c>
      <c r="B3806">
        <v>36.900002000000001</v>
      </c>
      <c r="C3806">
        <v>-14.9953</v>
      </c>
      <c r="D3806">
        <v>16.588899999999999</v>
      </c>
      <c r="E3806">
        <f>-14.9953-16.5889</f>
        <v>-31.584199999999999</v>
      </c>
      <c r="F3806" t="s">
        <v>5898</v>
      </c>
      <c r="G3806" t="s">
        <v>39</v>
      </c>
      <c r="H3806">
        <v>1998</v>
      </c>
      <c r="I3806">
        <v>28.299999237060501</v>
      </c>
      <c r="J3806">
        <v>15.699999809265099</v>
      </c>
      <c r="K3806">
        <v>60</v>
      </c>
      <c r="L3806">
        <v>30.25</v>
      </c>
      <c r="M3806">
        <v>40.299999237060497</v>
      </c>
      <c r="N3806">
        <v>14.300000190734901</v>
      </c>
      <c r="O3806">
        <v>26</v>
      </c>
      <c r="P3806">
        <v>30.299999237060501</v>
      </c>
      <c r="Q3806">
        <v>28.899999618530298</v>
      </c>
      <c r="R3806">
        <v>31.299999237060501</v>
      </c>
      <c r="S3806">
        <v>23.700000762939499</v>
      </c>
      <c r="T3806">
        <v>243</v>
      </c>
      <c r="U3806">
        <v>89</v>
      </c>
      <c r="V3806">
        <v>0</v>
      </c>
      <c r="W3806">
        <v>142</v>
      </c>
      <c r="X3806">
        <v>207</v>
      </c>
      <c r="Y3806">
        <v>1</v>
      </c>
      <c r="Z3806">
        <v>59</v>
      </c>
      <c r="AA3806">
        <v>5</v>
      </c>
      <c r="AB3806">
        <v>1.25231784266352</v>
      </c>
      <c r="AC3806">
        <v>119799.969116975</v>
      </c>
      <c r="AD3806">
        <v>0.50908987727386301</v>
      </c>
      <c r="AE3806">
        <v>0.33202508091926602</v>
      </c>
      <c r="AF3806">
        <v>4.89569536423841</v>
      </c>
      <c r="AG3806">
        <f>IFERROR(AH3806*0.1, "N/A")</f>
        <v>6.3634105960264904</v>
      </c>
      <c r="AH3806">
        <v>63.634105960264897</v>
      </c>
      <c r="AI3806">
        <v>41.760789299642802</v>
      </c>
      <c r="AJ3806">
        <v>23.380794701986801</v>
      </c>
      <c r="AK3806">
        <v>56.501655629139101</v>
      </c>
    </row>
    <row r="3807" spans="1:37" x14ac:dyDescent="0.3">
      <c r="A3807">
        <v>3806</v>
      </c>
      <c r="B3807">
        <v>0.8</v>
      </c>
      <c r="C3807">
        <v>-14.9917</v>
      </c>
      <c r="D3807">
        <v>16.589399</v>
      </c>
      <c r="E3807">
        <f>-14.9917-16.589399</f>
        <v>-31.581099000000002</v>
      </c>
      <c r="F3807" t="s">
        <v>5899</v>
      </c>
      <c r="G3807" t="s">
        <v>39</v>
      </c>
      <c r="H3807">
        <v>1983</v>
      </c>
      <c r="I3807">
        <v>28.299999237060501</v>
      </c>
      <c r="J3807">
        <v>15.699999809265099</v>
      </c>
      <c r="K3807">
        <v>60</v>
      </c>
      <c r="L3807">
        <v>30.376446337739299</v>
      </c>
      <c r="M3807">
        <v>40.299999237060497</v>
      </c>
      <c r="N3807">
        <v>14.300000190734901</v>
      </c>
      <c r="O3807">
        <v>26</v>
      </c>
      <c r="P3807">
        <v>30.299999237060501</v>
      </c>
      <c r="Q3807">
        <v>28.899999618530298</v>
      </c>
      <c r="R3807">
        <v>31.299999237060501</v>
      </c>
      <c r="S3807">
        <v>23.700000762939499</v>
      </c>
      <c r="T3807">
        <v>243</v>
      </c>
      <c r="U3807">
        <v>89</v>
      </c>
      <c r="V3807">
        <v>0</v>
      </c>
      <c r="W3807">
        <v>142</v>
      </c>
      <c r="X3807">
        <v>207</v>
      </c>
      <c r="Y3807">
        <v>1</v>
      </c>
      <c r="Z3807">
        <v>59</v>
      </c>
      <c r="AA3807">
        <v>5</v>
      </c>
      <c r="AB3807">
        <v>2.34330558264551</v>
      </c>
      <c r="AC3807">
        <v>8.6052975394139992E-3</v>
      </c>
      <c r="AD3807">
        <v>0.67075118186060001</v>
      </c>
      <c r="AE3807">
        <v>0.33304187872193097</v>
      </c>
      <c r="AF3807">
        <v>6.5471074380165302</v>
      </c>
      <c r="AG3807">
        <f>IFERROR(AH3807*0.1, "N/A")</f>
        <v>6.6743801652892607</v>
      </c>
      <c r="AH3807">
        <v>66.7438016528926</v>
      </c>
      <c r="AI3807">
        <v>181.23378341296501</v>
      </c>
      <c r="AJ3807">
        <v>18.983471074380201</v>
      </c>
      <c r="AK3807">
        <v>65.890909090909105</v>
      </c>
    </row>
    <row r="3808" spans="1:37" x14ac:dyDescent="0.3">
      <c r="A3808">
        <v>3807</v>
      </c>
      <c r="B3808">
        <v>0</v>
      </c>
      <c r="C3808">
        <v>-14.9917</v>
      </c>
      <c r="D3808">
        <v>16.589399</v>
      </c>
      <c r="E3808">
        <f>-14.9917-16.589399</f>
        <v>-31.581099000000002</v>
      </c>
      <c r="F3808" t="s">
        <v>5900</v>
      </c>
      <c r="G3808" t="s">
        <v>37</v>
      </c>
      <c r="H3808">
        <v>1983</v>
      </c>
      <c r="I3808">
        <v>28.299999237060501</v>
      </c>
      <c r="J3808">
        <v>15.699999809265099</v>
      </c>
      <c r="K3808">
        <v>60</v>
      </c>
      <c r="L3808">
        <v>30.376446337739299</v>
      </c>
      <c r="M3808">
        <v>40.299999237060497</v>
      </c>
      <c r="N3808">
        <v>14.300000190734901</v>
      </c>
      <c r="O3808">
        <v>26</v>
      </c>
      <c r="P3808">
        <v>30.299999237060501</v>
      </c>
      <c r="Q3808">
        <v>28.899999618530298</v>
      </c>
      <c r="R3808">
        <v>31.299999237060501</v>
      </c>
      <c r="S3808">
        <v>23.700000762939499</v>
      </c>
      <c r="T3808">
        <v>243</v>
      </c>
      <c r="U3808">
        <v>89</v>
      </c>
      <c r="V3808">
        <v>0</v>
      </c>
      <c r="W3808">
        <v>142</v>
      </c>
      <c r="X3808">
        <v>207</v>
      </c>
      <c r="Y3808">
        <v>1</v>
      </c>
      <c r="Z3808">
        <v>59</v>
      </c>
      <c r="AA3808">
        <v>5</v>
      </c>
      <c r="AB3808">
        <v>2.34330558264551</v>
      </c>
      <c r="AC3808">
        <v>8.6052975394139992E-3</v>
      </c>
      <c r="AD3808">
        <v>0.67075118186060001</v>
      </c>
      <c r="AE3808">
        <v>0.33304187872193097</v>
      </c>
      <c r="AF3808">
        <v>6.5471074380165302</v>
      </c>
      <c r="AG3808">
        <f>IFERROR(AH3808*0.1, "N/A")</f>
        <v>6.6743801652892607</v>
      </c>
      <c r="AH3808">
        <v>66.7438016528926</v>
      </c>
      <c r="AI3808">
        <v>181.23378341296501</v>
      </c>
      <c r="AJ3808">
        <v>18.983471074380201</v>
      </c>
      <c r="AK3808">
        <v>65.890909090909105</v>
      </c>
    </row>
    <row r="3809" spans="1:37" x14ac:dyDescent="0.3">
      <c r="A3809">
        <v>3808</v>
      </c>
      <c r="B3809">
        <v>40.400002000000001</v>
      </c>
      <c r="C3809">
        <v>-14.928800000000001</v>
      </c>
      <c r="D3809">
        <v>16.599001000000001</v>
      </c>
      <c r="E3809">
        <f>-14.9288-16.599001</f>
        <v>-31.527801000000004</v>
      </c>
      <c r="F3809" t="s">
        <v>5901</v>
      </c>
      <c r="G3809" t="s">
        <v>39</v>
      </c>
      <c r="H3809">
        <v>1998</v>
      </c>
      <c r="I3809">
        <v>28.200000762939499</v>
      </c>
      <c r="J3809">
        <v>15.699999809265099</v>
      </c>
      <c r="K3809">
        <v>59</v>
      </c>
      <c r="L3809">
        <v>31.319999694824201</v>
      </c>
      <c r="M3809">
        <v>40.299999237060497</v>
      </c>
      <c r="N3809">
        <v>14</v>
      </c>
      <c r="O3809">
        <v>26.299999237060501</v>
      </c>
      <c r="P3809">
        <v>30.299999237060501</v>
      </c>
      <c r="Q3809">
        <v>28.799999237060501</v>
      </c>
      <c r="R3809">
        <v>31.299999237060501</v>
      </c>
      <c r="S3809">
        <v>23.5</v>
      </c>
      <c r="T3809">
        <v>243</v>
      </c>
      <c r="U3809">
        <v>91</v>
      </c>
      <c r="V3809">
        <v>0</v>
      </c>
      <c r="W3809">
        <v>144</v>
      </c>
      <c r="X3809">
        <v>208</v>
      </c>
      <c r="Y3809">
        <v>1</v>
      </c>
      <c r="Z3809">
        <v>60</v>
      </c>
      <c r="AA3809">
        <v>4</v>
      </c>
      <c r="AB3809">
        <v>1.0197018424406701</v>
      </c>
      <c r="AC3809">
        <v>1.0193677896646E-2</v>
      </c>
      <c r="AD3809">
        <v>1.9003735070197001</v>
      </c>
      <c r="AE3809">
        <v>0.24638899854871599</v>
      </c>
      <c r="AF3809">
        <v>2.7566225165562899</v>
      </c>
      <c r="AG3809">
        <f>IFERROR(AH3809*0.1, "N/A")</f>
        <v>6.2513245033112597</v>
      </c>
      <c r="AH3809">
        <v>62.513245033112597</v>
      </c>
      <c r="AI3809">
        <v>261.29276770787499</v>
      </c>
      <c r="AJ3809">
        <v>24.192052980132502</v>
      </c>
      <c r="AK3809">
        <v>55.796357615894003</v>
      </c>
    </row>
    <row r="3810" spans="1:37" x14ac:dyDescent="0.3">
      <c r="A3810">
        <v>3809</v>
      </c>
      <c r="B3810">
        <v>10</v>
      </c>
      <c r="C3810">
        <v>-14.928800000000001</v>
      </c>
      <c r="D3810">
        <v>16.5991</v>
      </c>
      <c r="E3810">
        <f>-14.9288-16.5991</f>
        <v>-31.527900000000002</v>
      </c>
      <c r="F3810" t="s">
        <v>5902</v>
      </c>
      <c r="G3810" t="s">
        <v>39</v>
      </c>
      <c r="H3810">
        <v>1992</v>
      </c>
      <c r="I3810">
        <v>28.200000762939499</v>
      </c>
      <c r="J3810">
        <v>15.699999809265099</v>
      </c>
      <c r="K3810">
        <v>59</v>
      </c>
      <c r="L3810">
        <v>31.319999694824201</v>
      </c>
      <c r="M3810">
        <v>40.299999237060497</v>
      </c>
      <c r="N3810">
        <v>14</v>
      </c>
      <c r="O3810">
        <v>26.299999237060501</v>
      </c>
      <c r="P3810">
        <v>30.299999237060501</v>
      </c>
      <c r="Q3810">
        <v>28.799999237060501</v>
      </c>
      <c r="R3810">
        <v>31.299999237060501</v>
      </c>
      <c r="S3810">
        <v>23.5</v>
      </c>
      <c r="T3810">
        <v>243</v>
      </c>
      <c r="U3810">
        <v>91</v>
      </c>
      <c r="V3810">
        <v>0</v>
      </c>
      <c r="W3810">
        <v>144</v>
      </c>
      <c r="X3810">
        <v>208</v>
      </c>
      <c r="Y3810">
        <v>1</v>
      </c>
      <c r="Z3810">
        <v>60</v>
      </c>
      <c r="AA3810">
        <v>4</v>
      </c>
      <c r="AB3810">
        <v>0.99389424497144896</v>
      </c>
      <c r="AC3810">
        <v>1.0187088995988001E-2</v>
      </c>
      <c r="AD3810">
        <v>1.9196652148422999</v>
      </c>
      <c r="AE3810">
        <v>0.24638907611370101</v>
      </c>
      <c r="AF3810">
        <v>2.7425742574257401</v>
      </c>
      <c r="AG3810">
        <f>IFERROR(AH3810*0.1, "N/A")</f>
        <v>6.2514851485148499</v>
      </c>
      <c r="AH3810">
        <v>62.514851485148498</v>
      </c>
      <c r="AI3810">
        <v>257.70165648004001</v>
      </c>
      <c r="AJ3810">
        <v>24.303630363036302</v>
      </c>
      <c r="AK3810">
        <v>55.691419141914203</v>
      </c>
    </row>
    <row r="3811" spans="1:37" x14ac:dyDescent="0.3">
      <c r="A3811">
        <v>3810</v>
      </c>
      <c r="B3811">
        <v>1.3</v>
      </c>
      <c r="C3811">
        <v>-14.928800000000001</v>
      </c>
      <c r="D3811">
        <v>16.5991</v>
      </c>
      <c r="E3811">
        <f>-14.9288-16.5991</f>
        <v>-31.527900000000002</v>
      </c>
      <c r="F3811" t="s">
        <v>5903</v>
      </c>
      <c r="G3811" t="s">
        <v>37</v>
      </c>
      <c r="H3811">
        <v>1992</v>
      </c>
      <c r="I3811">
        <v>28.200000762939499</v>
      </c>
      <c r="J3811">
        <v>15.699999809265099</v>
      </c>
      <c r="K3811">
        <v>59</v>
      </c>
      <c r="L3811">
        <v>31.319999694824201</v>
      </c>
      <c r="M3811">
        <v>40.299999237060497</v>
      </c>
      <c r="N3811">
        <v>14</v>
      </c>
      <c r="O3811">
        <v>26.299999237060501</v>
      </c>
      <c r="P3811">
        <v>30.299999237060501</v>
      </c>
      <c r="Q3811">
        <v>28.799999237060501</v>
      </c>
      <c r="R3811">
        <v>31.299999237060501</v>
      </c>
      <c r="S3811">
        <v>23.5</v>
      </c>
      <c r="T3811">
        <v>243</v>
      </c>
      <c r="U3811">
        <v>91</v>
      </c>
      <c r="V3811">
        <v>0</v>
      </c>
      <c r="W3811">
        <v>144</v>
      </c>
      <c r="X3811">
        <v>208</v>
      </c>
      <c r="Y3811">
        <v>1</v>
      </c>
      <c r="Z3811">
        <v>60</v>
      </c>
      <c r="AA3811">
        <v>4</v>
      </c>
      <c r="AB3811">
        <v>0.99389424497144896</v>
      </c>
      <c r="AC3811">
        <v>1.0187088995988001E-2</v>
      </c>
      <c r="AD3811">
        <v>1.9196652148422999</v>
      </c>
      <c r="AE3811">
        <v>0.24638907611370101</v>
      </c>
      <c r="AF3811">
        <v>2.7425742574257401</v>
      </c>
      <c r="AG3811">
        <f>IFERROR(AH3811*0.1, "N/A")</f>
        <v>6.2514851485148499</v>
      </c>
      <c r="AH3811">
        <v>62.514851485148498</v>
      </c>
      <c r="AI3811">
        <v>257.70165648004001</v>
      </c>
      <c r="AJ3811">
        <v>24.303630363036302</v>
      </c>
      <c r="AK3811">
        <v>55.691419141914203</v>
      </c>
    </row>
    <row r="3812" spans="1:37" x14ac:dyDescent="0.3">
      <c r="A3812">
        <v>3811</v>
      </c>
      <c r="B3812">
        <v>1.5</v>
      </c>
      <c r="C3812">
        <v>-15.000299999999999</v>
      </c>
      <c r="D3812">
        <v>16.601700000000001</v>
      </c>
      <c r="E3812">
        <f>-15.0003-16.6017</f>
        <v>-31.602</v>
      </c>
      <c r="F3812" t="s">
        <v>5904</v>
      </c>
      <c r="G3812" t="s">
        <v>39</v>
      </c>
      <c r="H3812">
        <v>1983</v>
      </c>
      <c r="I3812">
        <v>28.299999237060501</v>
      </c>
      <c r="J3812">
        <v>15.699999809265099</v>
      </c>
      <c r="K3812">
        <v>60</v>
      </c>
      <c r="L3812">
        <v>29.5724831953743</v>
      </c>
      <c r="M3812">
        <v>40.299999237060497</v>
      </c>
      <c r="N3812">
        <v>14.3999996185303</v>
      </c>
      <c r="O3812">
        <v>25.899999618530298</v>
      </c>
      <c r="P3812">
        <v>30.299999237060501</v>
      </c>
      <c r="Q3812">
        <v>28.899999618530298</v>
      </c>
      <c r="R3812">
        <v>31.232119478137299</v>
      </c>
      <c r="S3812">
        <v>23.799999237060501</v>
      </c>
      <c r="T3812">
        <v>243</v>
      </c>
      <c r="U3812">
        <v>89</v>
      </c>
      <c r="V3812">
        <v>0</v>
      </c>
      <c r="W3812">
        <v>142</v>
      </c>
      <c r="X3812">
        <v>207</v>
      </c>
      <c r="Y3812">
        <v>1</v>
      </c>
      <c r="Z3812">
        <v>59</v>
      </c>
      <c r="AA3812">
        <v>5</v>
      </c>
      <c r="AB3812">
        <v>2.3079468256590401</v>
      </c>
      <c r="AC3812">
        <v>1.1645834593855001E-2</v>
      </c>
      <c r="AD3812">
        <v>2.1481138812193001</v>
      </c>
      <c r="AE3812">
        <v>0.314460239663029</v>
      </c>
      <c r="AF3812">
        <v>8.6788079470198696</v>
      </c>
      <c r="AG3812">
        <f>IFERROR(AH3812*0.1, "N/A")</f>
        <v>6.8036423841059603</v>
      </c>
      <c r="AH3812">
        <v>68.036423841059602</v>
      </c>
      <c r="AI3812">
        <v>222.28067933644701</v>
      </c>
      <c r="AJ3812">
        <v>22.6423841059603</v>
      </c>
      <c r="AK3812">
        <v>60.678807947019898</v>
      </c>
    </row>
    <row r="3813" spans="1:37" x14ac:dyDescent="0.3">
      <c r="A3813">
        <v>3812</v>
      </c>
      <c r="B3813">
        <v>0</v>
      </c>
      <c r="C3813">
        <v>-15.000299999999999</v>
      </c>
      <c r="D3813">
        <v>16.601700000000001</v>
      </c>
      <c r="E3813">
        <f>-15.0003-16.6017</f>
        <v>-31.602</v>
      </c>
      <c r="F3813" t="s">
        <v>5905</v>
      </c>
      <c r="G3813" t="s">
        <v>37</v>
      </c>
      <c r="H3813">
        <v>1983</v>
      </c>
      <c r="I3813">
        <v>28.299999237060501</v>
      </c>
      <c r="J3813">
        <v>15.699999809265099</v>
      </c>
      <c r="K3813">
        <v>60</v>
      </c>
      <c r="L3813">
        <v>29.5724831953743</v>
      </c>
      <c r="M3813">
        <v>40.299999237060497</v>
      </c>
      <c r="N3813">
        <v>14.3999996185303</v>
      </c>
      <c r="O3813">
        <v>25.899999618530298</v>
      </c>
      <c r="P3813">
        <v>30.299999237060501</v>
      </c>
      <c r="Q3813">
        <v>28.899999618530298</v>
      </c>
      <c r="R3813">
        <v>31.232119478137299</v>
      </c>
      <c r="S3813">
        <v>23.799999237060501</v>
      </c>
      <c r="T3813">
        <v>243</v>
      </c>
      <c r="U3813">
        <v>89</v>
      </c>
      <c r="V3813">
        <v>0</v>
      </c>
      <c r="W3813">
        <v>142</v>
      </c>
      <c r="X3813">
        <v>207</v>
      </c>
      <c r="Y3813">
        <v>1</v>
      </c>
      <c r="Z3813">
        <v>59</v>
      </c>
      <c r="AA3813">
        <v>5</v>
      </c>
      <c r="AB3813">
        <v>2.3079468256590401</v>
      </c>
      <c r="AC3813">
        <v>1.1645834593855001E-2</v>
      </c>
      <c r="AD3813">
        <v>2.1481138812193001</v>
      </c>
      <c r="AE3813">
        <v>0.314460239663029</v>
      </c>
      <c r="AF3813">
        <v>8.6788079470198696</v>
      </c>
      <c r="AG3813">
        <f>IFERROR(AH3813*0.1, "N/A")</f>
        <v>6.8036423841059603</v>
      </c>
      <c r="AH3813">
        <v>68.036423841059602</v>
      </c>
      <c r="AI3813">
        <v>222.28067933644701</v>
      </c>
      <c r="AJ3813">
        <v>22.6423841059603</v>
      </c>
      <c r="AK3813">
        <v>60.678807947019898</v>
      </c>
    </row>
    <row r="3814" spans="1:37" x14ac:dyDescent="0.3">
      <c r="A3814">
        <v>3813</v>
      </c>
      <c r="B3814">
        <v>45.900002000000001</v>
      </c>
      <c r="C3814">
        <v>-14.913399999999999</v>
      </c>
      <c r="D3814">
        <v>16.6325</v>
      </c>
      <c r="E3814">
        <f>-14.9134-16.6325</f>
        <v>-31.5459</v>
      </c>
      <c r="F3814" t="s">
        <v>5906</v>
      </c>
      <c r="G3814" t="s">
        <v>39</v>
      </c>
      <c r="H3814">
        <v>1998</v>
      </c>
      <c r="I3814">
        <v>28.204305333017501</v>
      </c>
      <c r="J3814">
        <v>15.6000003814697</v>
      </c>
      <c r="K3814">
        <v>59</v>
      </c>
      <c r="L3814">
        <v>31.2238734921083</v>
      </c>
      <c r="M3814">
        <v>40.400001525878899</v>
      </c>
      <c r="N3814">
        <v>14.1000003814697</v>
      </c>
      <c r="O3814">
        <v>26.299999237060501</v>
      </c>
      <c r="P3814">
        <v>30.399999618530298</v>
      </c>
      <c r="Q3814">
        <v>28.804303889242998</v>
      </c>
      <c r="R3814">
        <v>31.399999618530298</v>
      </c>
      <c r="S3814">
        <v>23.600000381469702</v>
      </c>
      <c r="T3814">
        <v>240.95695364238401</v>
      </c>
      <c r="U3814">
        <v>91</v>
      </c>
      <c r="V3814">
        <v>0</v>
      </c>
      <c r="W3814">
        <v>142</v>
      </c>
      <c r="X3814">
        <v>205.95695364238401</v>
      </c>
      <c r="Y3814">
        <v>1</v>
      </c>
      <c r="Z3814">
        <v>59.9569536423841</v>
      </c>
      <c r="AA3814">
        <v>4</v>
      </c>
      <c r="AB3814">
        <v>0.56738396433015503</v>
      </c>
      <c r="AC3814">
        <v>3.4321402922728998E-2</v>
      </c>
      <c r="AD3814">
        <v>2.3378761389989702</v>
      </c>
      <c r="AE3814">
        <v>0.15424589812755601</v>
      </c>
      <c r="AF3814">
        <v>5.0496688741721902</v>
      </c>
      <c r="AG3814">
        <f>IFERROR(AH3814*0.1, "N/A")</f>
        <v>7.2698675496688701</v>
      </c>
      <c r="AH3814">
        <v>72.698675496688693</v>
      </c>
      <c r="AI3814">
        <v>146.560275020978</v>
      </c>
      <c r="AJ3814">
        <v>21.6804635761589</v>
      </c>
      <c r="AK3814">
        <v>61.854304635761601</v>
      </c>
    </row>
    <row r="3815" spans="1:37" x14ac:dyDescent="0.3">
      <c r="A3815">
        <v>3814</v>
      </c>
      <c r="B3815">
        <v>34.299999</v>
      </c>
      <c r="C3815">
        <v>-14.868499999999999</v>
      </c>
      <c r="D3815">
        <v>16.639799</v>
      </c>
      <c r="E3815">
        <f>-14.8685-16.639799</f>
        <v>-31.508299000000001</v>
      </c>
      <c r="F3815" t="s">
        <v>5907</v>
      </c>
      <c r="G3815" t="s">
        <v>39</v>
      </c>
      <c r="H3815">
        <v>1998</v>
      </c>
      <c r="I3815">
        <v>28.100000381469702</v>
      </c>
      <c r="J3815">
        <v>15.6000003814697</v>
      </c>
      <c r="K3815">
        <v>58</v>
      </c>
      <c r="L3815">
        <v>32.259998321533203</v>
      </c>
      <c r="M3815">
        <v>40.299999237060497</v>
      </c>
      <c r="N3815">
        <v>13.800000190734901</v>
      </c>
      <c r="O3815">
        <v>26.5</v>
      </c>
      <c r="P3815">
        <v>30.399999618530298</v>
      </c>
      <c r="Q3815">
        <v>28.600000381469702</v>
      </c>
      <c r="R3815">
        <v>31.299999237060501</v>
      </c>
      <c r="S3815">
        <v>23.299999237060501</v>
      </c>
      <c r="T3815">
        <v>239</v>
      </c>
      <c r="U3815">
        <v>92</v>
      </c>
      <c r="V3815">
        <v>0</v>
      </c>
      <c r="W3815">
        <v>149</v>
      </c>
      <c r="X3815">
        <v>204</v>
      </c>
      <c r="Y3815">
        <v>1</v>
      </c>
      <c r="Z3815">
        <v>60</v>
      </c>
      <c r="AA3815">
        <v>4</v>
      </c>
      <c r="AB3815">
        <v>1.1856199280289601</v>
      </c>
      <c r="AC3815">
        <v>1.5390773443889999E-2</v>
      </c>
      <c r="AD3815">
        <v>0.93678343217234905</v>
      </c>
      <c r="AE3815">
        <v>0.156947736774594</v>
      </c>
      <c r="AF3815">
        <v>5.5371900826446296</v>
      </c>
      <c r="AG3815">
        <f>IFERROR(AH3815*0.1, "N/A")</f>
        <v>7.5160330578512404</v>
      </c>
      <c r="AH3815">
        <v>75.160330578512401</v>
      </c>
      <c r="AI3815">
        <v>66.727641208112701</v>
      </c>
      <c r="AJ3815">
        <v>23.839669421487599</v>
      </c>
      <c r="AK3815">
        <v>61.160330578512401</v>
      </c>
    </row>
    <row r="3816" spans="1:37" x14ac:dyDescent="0.3">
      <c r="A3816">
        <v>3815</v>
      </c>
      <c r="B3816">
        <v>0</v>
      </c>
      <c r="C3816">
        <v>-14.868499999999999</v>
      </c>
      <c r="D3816">
        <v>16.639799</v>
      </c>
      <c r="E3816">
        <f>-14.8685-16.639799</f>
        <v>-31.508299000000001</v>
      </c>
      <c r="F3816" t="s">
        <v>5908</v>
      </c>
      <c r="G3816" t="s">
        <v>37</v>
      </c>
      <c r="H3816">
        <v>1992</v>
      </c>
      <c r="I3816">
        <v>28.100000381469702</v>
      </c>
      <c r="J3816">
        <v>15.6000003814697</v>
      </c>
      <c r="K3816">
        <v>58</v>
      </c>
      <c r="L3816">
        <v>32.259998321533203</v>
      </c>
      <c r="M3816">
        <v>40.299999237060497</v>
      </c>
      <c r="N3816">
        <v>13.800000190734901</v>
      </c>
      <c r="O3816">
        <v>26.5</v>
      </c>
      <c r="P3816">
        <v>30.399999618530298</v>
      </c>
      <c r="Q3816">
        <v>28.600000381469702</v>
      </c>
      <c r="R3816">
        <v>31.299999237060501</v>
      </c>
      <c r="S3816">
        <v>23.299999237060501</v>
      </c>
      <c r="T3816">
        <v>239</v>
      </c>
      <c r="U3816">
        <v>92</v>
      </c>
      <c r="V3816">
        <v>0</v>
      </c>
      <c r="W3816">
        <v>149</v>
      </c>
      <c r="X3816">
        <v>204</v>
      </c>
      <c r="Y3816">
        <v>1</v>
      </c>
      <c r="Z3816">
        <v>60</v>
      </c>
      <c r="AA3816">
        <v>4</v>
      </c>
      <c r="AB3816">
        <v>1.1856199280289601</v>
      </c>
      <c r="AC3816">
        <v>1.5390773443889999E-2</v>
      </c>
      <c r="AD3816">
        <v>0.93678343217234905</v>
      </c>
      <c r="AE3816">
        <v>0.156947736774594</v>
      </c>
      <c r="AF3816">
        <v>5.5371900826446296</v>
      </c>
      <c r="AG3816">
        <f>IFERROR(AH3816*0.1, "N/A")</f>
        <v>7.5160330578512404</v>
      </c>
      <c r="AH3816">
        <v>75.160330578512401</v>
      </c>
      <c r="AI3816">
        <v>66.727641208112701</v>
      </c>
      <c r="AJ3816">
        <v>23.839669421487599</v>
      </c>
      <c r="AK3816">
        <v>61.160330578512401</v>
      </c>
    </row>
    <row r="3817" spans="1:37" x14ac:dyDescent="0.3">
      <c r="A3817">
        <v>3816</v>
      </c>
      <c r="B3817">
        <v>15</v>
      </c>
      <c r="C3817">
        <v>-14.968</v>
      </c>
      <c r="D3817">
        <v>16.655000999999999</v>
      </c>
      <c r="E3817">
        <f>-14.968-16.655001</f>
        <v>-31.623000999999999</v>
      </c>
      <c r="F3817" t="s">
        <v>5909</v>
      </c>
      <c r="G3817" t="s">
        <v>39</v>
      </c>
      <c r="H3817">
        <v>1987</v>
      </c>
      <c r="I3817">
        <v>28.5</v>
      </c>
      <c r="J3817">
        <v>15.699999809265099</v>
      </c>
      <c r="K3817">
        <v>60</v>
      </c>
      <c r="L3817">
        <v>30.129999160766602</v>
      </c>
      <c r="M3817">
        <v>40.599998474121101</v>
      </c>
      <c r="N3817">
        <v>14.699999809265099</v>
      </c>
      <c r="O3817">
        <v>25.899999618530298</v>
      </c>
      <c r="P3817">
        <v>30.600000381469702</v>
      </c>
      <c r="Q3817">
        <v>29.200000762939499</v>
      </c>
      <c r="R3817">
        <v>31.5</v>
      </c>
      <c r="S3817">
        <v>24</v>
      </c>
      <c r="T3817">
        <v>240</v>
      </c>
      <c r="U3817">
        <v>89</v>
      </c>
      <c r="V3817">
        <v>0</v>
      </c>
      <c r="W3817">
        <v>141</v>
      </c>
      <c r="X3817">
        <v>205</v>
      </c>
      <c r="Y3817">
        <v>1</v>
      </c>
      <c r="Z3817">
        <v>58</v>
      </c>
      <c r="AA3817">
        <v>5</v>
      </c>
      <c r="AB3817">
        <v>0.46291400423113099</v>
      </c>
      <c r="AC3817">
        <v>0.62920469638046606</v>
      </c>
      <c r="AD3817">
        <v>0.38663320164412102</v>
      </c>
      <c r="AE3817">
        <v>0.41702193021774298</v>
      </c>
      <c r="AF3817">
        <v>4.3029801324503296</v>
      </c>
      <c r="AG3817">
        <f>IFERROR(AH3817*0.1, "N/A")</f>
        <v>6.4261589403973502</v>
      </c>
      <c r="AH3817">
        <v>64.261589403973502</v>
      </c>
      <c r="AI3817">
        <v>158.846408742943</v>
      </c>
      <c r="AJ3817">
        <v>21.105960264900698</v>
      </c>
      <c r="AK3817">
        <v>60.788079470198703</v>
      </c>
    </row>
    <row r="3818" spans="1:37" x14ac:dyDescent="0.3">
      <c r="A3818">
        <v>3817</v>
      </c>
      <c r="B3818">
        <v>10.3</v>
      </c>
      <c r="C3818">
        <v>-14.9993</v>
      </c>
      <c r="D3818">
        <v>16.663601</v>
      </c>
      <c r="E3818">
        <f>-14.9993-16.663601</f>
        <v>-31.662900999999998</v>
      </c>
      <c r="F3818" t="s">
        <v>5910</v>
      </c>
      <c r="G3818" t="s">
        <v>39</v>
      </c>
      <c r="H3818">
        <v>1996</v>
      </c>
      <c r="I3818">
        <v>28.5</v>
      </c>
      <c r="J3818">
        <v>15.6000003814697</v>
      </c>
      <c r="K3818">
        <v>60</v>
      </c>
      <c r="L3818">
        <v>30.085091062813799</v>
      </c>
      <c r="M3818">
        <v>40.400001525878899</v>
      </c>
      <c r="N3818">
        <v>14.699999809265099</v>
      </c>
      <c r="O3818">
        <v>25.700000762939499</v>
      </c>
      <c r="P3818">
        <v>30.598512772489201</v>
      </c>
      <c r="Q3818">
        <v>29.298511656453801</v>
      </c>
      <c r="R3818">
        <v>31.498512391019499</v>
      </c>
      <c r="S3818">
        <v>23.899999618530298</v>
      </c>
      <c r="T3818">
        <v>237</v>
      </c>
      <c r="U3818">
        <v>88</v>
      </c>
      <c r="V3818">
        <v>0</v>
      </c>
      <c r="W3818">
        <v>147</v>
      </c>
      <c r="X3818">
        <v>203</v>
      </c>
      <c r="Y3818">
        <v>1</v>
      </c>
      <c r="Z3818">
        <v>56</v>
      </c>
      <c r="AA3818">
        <v>5</v>
      </c>
      <c r="AB3818">
        <v>7.9067770634800896</v>
      </c>
      <c r="AC3818">
        <v>8.1956479713810003E-3</v>
      </c>
      <c r="AD3818">
        <v>2.1773853542390902</v>
      </c>
      <c r="AE3818">
        <v>0.20457657085469899</v>
      </c>
      <c r="AF3818">
        <v>6.8628099173553698</v>
      </c>
      <c r="AG3818">
        <f>IFERROR(AH3818*0.1, "N/A")</f>
        <v>7.7150413223140504</v>
      </c>
      <c r="AH3818">
        <v>77.150413223140504</v>
      </c>
      <c r="AI3818">
        <v>155.19683294375099</v>
      </c>
      <c r="AJ3818">
        <v>20.234710743801699</v>
      </c>
      <c r="AK3818">
        <v>61.4</v>
      </c>
    </row>
    <row r="3819" spans="1:37" x14ac:dyDescent="0.3">
      <c r="A3819">
        <v>3818</v>
      </c>
      <c r="B3819">
        <v>5.6</v>
      </c>
      <c r="C3819">
        <v>29.633333</v>
      </c>
      <c r="D3819">
        <v>-1.5</v>
      </c>
      <c r="E3819" t="s">
        <v>5911</v>
      </c>
      <c r="F3819" t="s">
        <v>5912</v>
      </c>
      <c r="G3819" t="s">
        <v>37</v>
      </c>
      <c r="H3819">
        <v>1981</v>
      </c>
      <c r="I3819">
        <v>17.683774319065101</v>
      </c>
      <c r="J3819">
        <v>11.699999809265099</v>
      </c>
      <c r="K3819">
        <v>90.825396825396794</v>
      </c>
      <c r="L3819">
        <v>2.9101763763966</v>
      </c>
      <c r="M3819">
        <v>24.2837743675057</v>
      </c>
      <c r="N3819">
        <v>11.4488535869269</v>
      </c>
      <c r="O3819">
        <v>12.8349207923526</v>
      </c>
      <c r="P3819">
        <v>17.415696327438202</v>
      </c>
      <c r="Q3819">
        <v>17.757848675709301</v>
      </c>
      <c r="R3819">
        <v>17.9416223522637</v>
      </c>
      <c r="S3819">
        <v>17.266314316468701</v>
      </c>
      <c r="T3819">
        <v>1297.9171075837701</v>
      </c>
      <c r="U3819">
        <v>179.007054673721</v>
      </c>
      <c r="V3819">
        <v>21</v>
      </c>
      <c r="W3819">
        <v>45.331569664903</v>
      </c>
      <c r="X3819">
        <v>474.33862433862402</v>
      </c>
      <c r="Y3819">
        <v>117</v>
      </c>
      <c r="Z3819">
        <v>287.26807760141099</v>
      </c>
      <c r="AA3819">
        <v>377.00705467372097</v>
      </c>
      <c r="AB3819">
        <v>19.318719988357</v>
      </c>
      <c r="AC3819">
        <v>0.101469992931006</v>
      </c>
      <c r="AD3819">
        <v>1.7139442990906899</v>
      </c>
      <c r="AE3819">
        <v>0.92496097087860096</v>
      </c>
      <c r="AF3819">
        <v>1849.1657848324501</v>
      </c>
      <c r="AG3819">
        <f>IFERROR(AH3819*0.1, "N/A")</f>
        <v>5.7518518518518498</v>
      </c>
      <c r="AH3819">
        <v>57.518518518518498</v>
      </c>
      <c r="AI3819">
        <v>128.91800828291201</v>
      </c>
      <c r="AJ3819">
        <v>37.481481481481502</v>
      </c>
      <c r="AK3819">
        <v>34</v>
      </c>
    </row>
    <row r="3820" spans="1:37" x14ac:dyDescent="0.3">
      <c r="A3820">
        <v>3819</v>
      </c>
      <c r="B3820">
        <v>0</v>
      </c>
      <c r="C3820">
        <v>29.633333</v>
      </c>
      <c r="D3820">
        <v>-1.5</v>
      </c>
      <c r="E3820" t="s">
        <v>5911</v>
      </c>
      <c r="F3820" t="s">
        <v>5913</v>
      </c>
      <c r="G3820" t="s">
        <v>39</v>
      </c>
      <c r="H3820">
        <v>1981</v>
      </c>
      <c r="I3820">
        <v>17.683774319065101</v>
      </c>
      <c r="J3820">
        <v>11.699999809265099</v>
      </c>
      <c r="K3820">
        <v>90.825396825396794</v>
      </c>
      <c r="L3820">
        <v>2.9101763763966</v>
      </c>
      <c r="M3820">
        <v>24.2837743675057</v>
      </c>
      <c r="N3820">
        <v>11.4488535869269</v>
      </c>
      <c r="O3820">
        <v>12.8349207923526</v>
      </c>
      <c r="P3820">
        <v>17.415696327438202</v>
      </c>
      <c r="Q3820">
        <v>17.757848675709301</v>
      </c>
      <c r="R3820">
        <v>17.9416223522637</v>
      </c>
      <c r="S3820">
        <v>17.266314316468701</v>
      </c>
      <c r="T3820">
        <v>1297.9171075837701</v>
      </c>
      <c r="U3820">
        <v>179.007054673721</v>
      </c>
      <c r="V3820">
        <v>21</v>
      </c>
      <c r="W3820">
        <v>45.331569664903</v>
      </c>
      <c r="X3820">
        <v>474.33862433862402</v>
      </c>
      <c r="Y3820">
        <v>117</v>
      </c>
      <c r="Z3820">
        <v>287.26807760141099</v>
      </c>
      <c r="AA3820">
        <v>377.00705467372097</v>
      </c>
      <c r="AB3820">
        <v>19.318719988357</v>
      </c>
      <c r="AC3820">
        <v>0.101469992931006</v>
      </c>
      <c r="AD3820">
        <v>1.7139442990906899</v>
      </c>
      <c r="AE3820">
        <v>0.92496097087860096</v>
      </c>
      <c r="AF3820">
        <v>1849.1657848324501</v>
      </c>
      <c r="AG3820">
        <f>IFERROR(AH3820*0.1, "N/A")</f>
        <v>5.7518518518518498</v>
      </c>
      <c r="AH3820">
        <v>57.518518518518498</v>
      </c>
      <c r="AI3820">
        <v>128.91800828291201</v>
      </c>
      <c r="AJ3820">
        <v>37.481481481481502</v>
      </c>
      <c r="AK3820">
        <v>34</v>
      </c>
    </row>
    <row r="3821" spans="1:37" x14ac:dyDescent="0.3">
      <c r="A3821">
        <v>3820</v>
      </c>
      <c r="B3821">
        <v>2.2000000000000002</v>
      </c>
      <c r="C3821">
        <v>29.759398999999998</v>
      </c>
      <c r="D3821">
        <v>-1.3981600000000001</v>
      </c>
      <c r="E3821" t="s">
        <v>5914</v>
      </c>
      <c r="F3821" t="s">
        <v>5915</v>
      </c>
      <c r="G3821" t="s">
        <v>37</v>
      </c>
      <c r="H3821">
        <v>1981</v>
      </c>
      <c r="I3821">
        <v>17.299999237060501</v>
      </c>
      <c r="J3821">
        <v>11.8999996185303</v>
      </c>
      <c r="K3821">
        <v>90</v>
      </c>
      <c r="L3821">
        <v>2.4000000953674299</v>
      </c>
      <c r="M3821">
        <v>23.799999237060501</v>
      </c>
      <c r="N3821">
        <v>10.699999809265099</v>
      </c>
      <c r="O3821">
        <v>13.1000003814697</v>
      </c>
      <c r="P3821">
        <v>17.100000381469702</v>
      </c>
      <c r="Q3821">
        <v>17.100000381469702</v>
      </c>
      <c r="R3821">
        <v>17.399999618530298</v>
      </c>
      <c r="S3821">
        <v>16.899999618530298</v>
      </c>
      <c r="T3821">
        <v>1232</v>
      </c>
      <c r="U3821">
        <v>175</v>
      </c>
      <c r="V3821">
        <v>18</v>
      </c>
      <c r="W3821">
        <v>44</v>
      </c>
      <c r="X3821">
        <v>432</v>
      </c>
      <c r="Y3821">
        <v>107</v>
      </c>
      <c r="Z3821">
        <v>317</v>
      </c>
      <c r="AA3821">
        <v>333</v>
      </c>
      <c r="AB3821">
        <v>42.311993268755501</v>
      </c>
      <c r="AC3821">
        <v>3.2349233847825003E-2</v>
      </c>
      <c r="AD3821">
        <v>2.7206831812230101</v>
      </c>
      <c r="AE3821">
        <v>0.67374634742736805</v>
      </c>
      <c r="AF3821">
        <v>1904.7188049209101</v>
      </c>
      <c r="AG3821">
        <f>IFERROR(AH3821*0.1, "N/A")</f>
        <v>5.6091388400703011</v>
      </c>
      <c r="AH3821">
        <v>56.091388400703003</v>
      </c>
      <c r="AI3821">
        <v>100.83181633974399</v>
      </c>
      <c r="AJ3821">
        <v>41.091388400703003</v>
      </c>
      <c r="AK3821">
        <v>30.908611599297</v>
      </c>
    </row>
    <row r="3822" spans="1:37" x14ac:dyDescent="0.3">
      <c r="A3822">
        <v>3821</v>
      </c>
      <c r="B3822">
        <v>3.5</v>
      </c>
      <c r="C3822">
        <v>29.795000000000002</v>
      </c>
      <c r="D3822">
        <v>-1.4916400000000001</v>
      </c>
      <c r="E3822" t="s">
        <v>5916</v>
      </c>
      <c r="F3822" t="s">
        <v>5917</v>
      </c>
      <c r="G3822" t="s">
        <v>37</v>
      </c>
      <c r="H3822">
        <v>1981</v>
      </c>
      <c r="I3822">
        <v>17.151409028281599</v>
      </c>
      <c r="J3822">
        <v>11.775704439257201</v>
      </c>
      <c r="K3822">
        <v>89.878521126760603</v>
      </c>
      <c r="L3822">
        <v>2.39279921751627</v>
      </c>
      <c r="M3822">
        <v>23.739259800440799</v>
      </c>
      <c r="N3822">
        <v>10.663556124123</v>
      </c>
      <c r="O3822">
        <v>13.075704514140799</v>
      </c>
      <c r="P3822">
        <v>17.051408878514501</v>
      </c>
      <c r="Q3822">
        <v>17.051408878514501</v>
      </c>
      <c r="R3822">
        <v>17.351408115575001</v>
      </c>
      <c r="S3822">
        <v>16.851408115575001</v>
      </c>
      <c r="T3822">
        <v>1187.75704225352</v>
      </c>
      <c r="U3822">
        <v>181.36443661971799</v>
      </c>
      <c r="V3822">
        <v>14</v>
      </c>
      <c r="W3822">
        <v>47.121478873239397</v>
      </c>
      <c r="X3822">
        <v>441.87852112676097</v>
      </c>
      <c r="Y3822">
        <v>89.878521126760603</v>
      </c>
      <c r="Z3822">
        <v>286.14964788732402</v>
      </c>
      <c r="AA3822">
        <v>341</v>
      </c>
      <c r="AB3822">
        <v>74.156824031346304</v>
      </c>
      <c r="AC3822">
        <v>5.9258454971172998E-2</v>
      </c>
      <c r="AD3822">
        <v>23.951286947223501</v>
      </c>
      <c r="AE3822">
        <v>0.255096465349197</v>
      </c>
      <c r="AF3822">
        <v>1954.9542253521099</v>
      </c>
      <c r="AG3822">
        <f>IFERROR(AH3822*0.1, "N/A")</f>
        <v>5.4121478873239397</v>
      </c>
      <c r="AH3822">
        <v>54.121478873239397</v>
      </c>
      <c r="AI3822">
        <v>250.734372273297</v>
      </c>
      <c r="AJ3822">
        <v>42</v>
      </c>
      <c r="AK3822">
        <v>32</v>
      </c>
    </row>
    <row r="3823" spans="1:37" x14ac:dyDescent="0.3">
      <c r="A3823">
        <v>3822</v>
      </c>
      <c r="B3823">
        <v>6</v>
      </c>
      <c r="C3823">
        <v>29.734400000000001</v>
      </c>
      <c r="D3823">
        <v>-1.4779100000000001</v>
      </c>
      <c r="E3823" t="s">
        <v>5918</v>
      </c>
      <c r="F3823" t="s">
        <v>5919</v>
      </c>
      <c r="G3823" t="s">
        <v>37</v>
      </c>
      <c r="H3823">
        <v>1981</v>
      </c>
      <c r="I3823">
        <v>18.200000762939499</v>
      </c>
      <c r="J3823">
        <v>12</v>
      </c>
      <c r="K3823">
        <v>90</v>
      </c>
      <c r="L3823">
        <v>2.25</v>
      </c>
      <c r="M3823">
        <v>24.799999237060501</v>
      </c>
      <c r="N3823">
        <v>11.6000003814697</v>
      </c>
      <c r="O3823">
        <v>13.199999809265099</v>
      </c>
      <c r="P3823">
        <v>18</v>
      </c>
      <c r="Q3823">
        <v>18.100000381469702</v>
      </c>
      <c r="R3823">
        <v>18.299999237060501</v>
      </c>
      <c r="S3823">
        <v>17.799999237060501</v>
      </c>
      <c r="T3823">
        <v>1288</v>
      </c>
      <c r="U3823">
        <v>191</v>
      </c>
      <c r="V3823">
        <v>18</v>
      </c>
      <c r="W3823">
        <v>46</v>
      </c>
      <c r="X3823">
        <v>477</v>
      </c>
      <c r="Y3823">
        <v>109</v>
      </c>
      <c r="Z3823">
        <v>326</v>
      </c>
      <c r="AA3823">
        <v>373</v>
      </c>
      <c r="AB3823">
        <v>6.8757223387384698</v>
      </c>
      <c r="AC3823">
        <v>0.133012074623617</v>
      </c>
      <c r="AD3823">
        <v>1.2857679232352699</v>
      </c>
      <c r="AE3823">
        <v>0.621458033999994</v>
      </c>
      <c r="AF3823">
        <v>1768.3620386643199</v>
      </c>
      <c r="AG3823">
        <f>IFERROR(AH3823*0.1, "N/A")</f>
        <v>5.50966608084358</v>
      </c>
      <c r="AH3823">
        <v>55.0966608084358</v>
      </c>
      <c r="AI3823">
        <v>221.987512786275</v>
      </c>
      <c r="AJ3823">
        <v>37.620386643233701</v>
      </c>
      <c r="AK3823">
        <v>35.5448154657294</v>
      </c>
    </row>
    <row r="3824" spans="1:37" x14ac:dyDescent="0.3">
      <c r="A3824">
        <v>3823</v>
      </c>
      <c r="B3824">
        <v>6.8</v>
      </c>
      <c r="C3824">
        <v>29.745501000000001</v>
      </c>
      <c r="D3824">
        <v>-1.5426500000000001</v>
      </c>
      <c r="E3824" t="s">
        <v>5920</v>
      </c>
      <c r="F3824" t="s">
        <v>5921</v>
      </c>
      <c r="G3824" t="s">
        <v>37</v>
      </c>
      <c r="H3824">
        <v>1981</v>
      </c>
      <c r="I3824">
        <v>17.5</v>
      </c>
      <c r="J3824">
        <v>11.699999809265099</v>
      </c>
      <c r="K3824">
        <v>90</v>
      </c>
      <c r="L3824">
        <v>2.6600000858306898</v>
      </c>
      <c r="M3824">
        <v>24.100000381469702</v>
      </c>
      <c r="N3824">
        <v>11.199999809265099</v>
      </c>
      <c r="O3824">
        <v>12.8999996185303</v>
      </c>
      <c r="P3824">
        <v>17.299999237060501</v>
      </c>
      <c r="Q3824">
        <v>17.5</v>
      </c>
      <c r="R3824">
        <v>17.799999237060501</v>
      </c>
      <c r="S3824">
        <v>17.100000381469702</v>
      </c>
      <c r="T3824">
        <v>1233</v>
      </c>
      <c r="U3824">
        <v>187</v>
      </c>
      <c r="V3824">
        <v>15</v>
      </c>
      <c r="W3824">
        <v>48</v>
      </c>
      <c r="X3824">
        <v>469</v>
      </c>
      <c r="Y3824">
        <v>94</v>
      </c>
      <c r="Z3824">
        <v>172</v>
      </c>
      <c r="AA3824">
        <v>366</v>
      </c>
      <c r="AB3824">
        <v>42.564435072348097</v>
      </c>
      <c r="AC3824">
        <v>0.15308438105062699</v>
      </c>
      <c r="AD3824">
        <v>23.305037243265499</v>
      </c>
      <c r="AE3824">
        <v>0.42716634273529103</v>
      </c>
      <c r="AF3824">
        <v>1846.9577464788699</v>
      </c>
      <c r="AG3824">
        <f>IFERROR(AH3824*0.1, "N/A")</f>
        <v>5.6779929577464801</v>
      </c>
      <c r="AH3824">
        <v>56.779929577464799</v>
      </c>
      <c r="AI3824">
        <v>109.84738858988599</v>
      </c>
      <c r="AJ3824">
        <v>44.1637323943662</v>
      </c>
      <c r="AK3824">
        <v>32.25</v>
      </c>
    </row>
    <row r="3825" spans="1:37" x14ac:dyDescent="0.3">
      <c r="A3825">
        <v>3824</v>
      </c>
      <c r="B3825">
        <v>18.399999999999999</v>
      </c>
      <c r="C3825">
        <v>29.633300999999999</v>
      </c>
      <c r="D3825">
        <v>-1.4998899999999999</v>
      </c>
      <c r="E3825" t="s">
        <v>5922</v>
      </c>
      <c r="F3825" t="s">
        <v>5923</v>
      </c>
      <c r="G3825" t="s">
        <v>37</v>
      </c>
      <c r="H3825">
        <v>2009</v>
      </c>
      <c r="I3825">
        <v>17.667017719201901</v>
      </c>
      <c r="J3825">
        <v>11.699999809265099</v>
      </c>
      <c r="K3825">
        <v>90.814035087719304</v>
      </c>
      <c r="L3825">
        <v>2.9040526310602801</v>
      </c>
      <c r="M3825">
        <v>24.2670177459717</v>
      </c>
      <c r="N3825">
        <v>11.429824471055399</v>
      </c>
      <c r="O3825">
        <v>12.837193137721</v>
      </c>
      <c r="P3825">
        <v>17.405613675033798</v>
      </c>
      <c r="Q3825">
        <v>17.743684678328702</v>
      </c>
      <c r="R3825">
        <v>17.928947097376799</v>
      </c>
      <c r="S3825">
        <v>17.2484215385035</v>
      </c>
      <c r="T3825">
        <v>1297.44385964912</v>
      </c>
      <c r="U3825">
        <v>178.76491228070199</v>
      </c>
      <c r="V3825">
        <v>21</v>
      </c>
      <c r="W3825">
        <v>45.242105263157903</v>
      </c>
      <c r="X3825">
        <v>474.00701754386</v>
      </c>
      <c r="Y3825">
        <v>117</v>
      </c>
      <c r="Z3825">
        <v>293.08947368421099</v>
      </c>
      <c r="AA3825">
        <v>376.76491228070199</v>
      </c>
      <c r="AB3825">
        <v>19.710376404879401</v>
      </c>
      <c r="AC3825">
        <v>0.11135485486307201</v>
      </c>
      <c r="AD3825">
        <v>1.5211863208235401</v>
      </c>
      <c r="AE3825">
        <v>0.92496097087860096</v>
      </c>
      <c r="AF3825">
        <v>1849.4912280701801</v>
      </c>
      <c r="AG3825">
        <f>IFERROR(AH3825*0.1, "N/A")</f>
        <v>5.7466666666666697</v>
      </c>
      <c r="AH3825">
        <v>57.466666666666697</v>
      </c>
      <c r="AI3825">
        <v>128.24430159184001</v>
      </c>
      <c r="AJ3825">
        <v>37.533333333333303</v>
      </c>
      <c r="AK3825">
        <v>34</v>
      </c>
    </row>
    <row r="3826" spans="1:37" x14ac:dyDescent="0.3">
      <c r="A3826">
        <v>3825</v>
      </c>
      <c r="B3826">
        <v>7.7</v>
      </c>
      <c r="C3826">
        <v>29.8353</v>
      </c>
      <c r="D3826">
        <v>-1.4877499999999999</v>
      </c>
      <c r="E3826" t="s">
        <v>5924</v>
      </c>
      <c r="F3826" t="s">
        <v>5925</v>
      </c>
      <c r="G3826" t="s">
        <v>37</v>
      </c>
      <c r="H3826">
        <v>2009</v>
      </c>
      <c r="I3826">
        <v>17</v>
      </c>
      <c r="J3826">
        <v>11.699999809265099</v>
      </c>
      <c r="K3826">
        <v>90</v>
      </c>
      <c r="L3826">
        <v>2.6600000858306898</v>
      </c>
      <c r="M3826">
        <v>23.399999618530298</v>
      </c>
      <c r="N3826">
        <v>10.5</v>
      </c>
      <c r="O3826">
        <v>12.8999996185303</v>
      </c>
      <c r="P3826">
        <v>16.799999237060501</v>
      </c>
      <c r="Q3826">
        <v>16.799999237060501</v>
      </c>
      <c r="R3826">
        <v>17.100000381469702</v>
      </c>
      <c r="S3826">
        <v>16.600000381469702</v>
      </c>
      <c r="T3826">
        <v>1150</v>
      </c>
      <c r="U3826">
        <v>181</v>
      </c>
      <c r="V3826">
        <v>13</v>
      </c>
      <c r="W3826">
        <v>48</v>
      </c>
      <c r="X3826">
        <v>429</v>
      </c>
      <c r="Y3826">
        <v>84</v>
      </c>
      <c r="Z3826">
        <v>271</v>
      </c>
      <c r="AA3826">
        <v>330</v>
      </c>
      <c r="AB3826">
        <v>3.8240612191213699</v>
      </c>
      <c r="AC3826">
        <v>0.426484522317917</v>
      </c>
      <c r="AD3826">
        <v>9.0259312739674495</v>
      </c>
      <c r="AE3826">
        <v>0.38330993056297302</v>
      </c>
      <c r="AF3826">
        <v>2012.61971830986</v>
      </c>
      <c r="AG3826">
        <f>IFERROR(AH3826*0.1, "N/A")</f>
        <v>5.1017605633802807</v>
      </c>
      <c r="AH3826">
        <v>51.017605633802802</v>
      </c>
      <c r="AI3826">
        <v>241.02926592759701</v>
      </c>
      <c r="AJ3826">
        <v>43.1408450704225</v>
      </c>
      <c r="AK3826">
        <v>33.691901408450697</v>
      </c>
    </row>
    <row r="3827" spans="1:37" x14ac:dyDescent="0.3">
      <c r="A3827">
        <v>3826</v>
      </c>
      <c r="B3827">
        <v>0.3</v>
      </c>
      <c r="C3827">
        <v>30.198399999999999</v>
      </c>
      <c r="D3827">
        <v>-2.2255400000000001</v>
      </c>
      <c r="E3827" t="s">
        <v>5926</v>
      </c>
      <c r="F3827" t="s">
        <v>5927</v>
      </c>
      <c r="G3827" t="s">
        <v>37</v>
      </c>
      <c r="H3827">
        <v>2008</v>
      </c>
      <c r="I3827">
        <v>20.761971285645402</v>
      </c>
      <c r="J3827">
        <v>11.480985842959999</v>
      </c>
      <c r="K3827">
        <v>82</v>
      </c>
      <c r="L3827">
        <v>3.8685916292835301</v>
      </c>
      <c r="M3827">
        <v>27.9429578915448</v>
      </c>
      <c r="N3827">
        <v>13.9619718672524</v>
      </c>
      <c r="O3827">
        <v>13.980985842959999</v>
      </c>
      <c r="P3827">
        <v>20.761971285645402</v>
      </c>
      <c r="Q3827">
        <v>20.5619720673897</v>
      </c>
      <c r="R3827">
        <v>21.242957128605401</v>
      </c>
      <c r="S3827">
        <v>20.3619716671151</v>
      </c>
      <c r="T3827">
        <v>912.47183098591597</v>
      </c>
      <c r="U3827">
        <v>148.57042253521101</v>
      </c>
      <c r="V3827">
        <v>4</v>
      </c>
      <c r="W3827">
        <v>56</v>
      </c>
      <c r="X3827">
        <v>353.33098591549299</v>
      </c>
      <c r="Y3827">
        <v>38.380281690140798</v>
      </c>
      <c r="Z3827">
        <v>163.57042253521101</v>
      </c>
      <c r="AA3827">
        <v>115.76056338028199</v>
      </c>
      <c r="AB3827">
        <v>61.076791897626002</v>
      </c>
      <c r="AC3827">
        <v>4.6632665829260997E-2</v>
      </c>
      <c r="AD3827">
        <v>4.1713851048073298</v>
      </c>
      <c r="AE3827">
        <v>0.34416733461786297</v>
      </c>
      <c r="AF3827">
        <v>1416.14084507042</v>
      </c>
      <c r="AG3827">
        <f>IFERROR(AH3827*0.1, "N/A")</f>
        <v>5.7327464788732403</v>
      </c>
      <c r="AH3827">
        <v>57.327464788732399</v>
      </c>
      <c r="AI3827">
        <v>147.529648189813</v>
      </c>
      <c r="AJ3827">
        <v>38.934859154929597</v>
      </c>
      <c r="AK3827">
        <v>46.1091549295775</v>
      </c>
    </row>
    <row r="3828" spans="1:37" x14ac:dyDescent="0.3">
      <c r="A3828">
        <v>3827</v>
      </c>
      <c r="B3828">
        <v>0</v>
      </c>
      <c r="C3828">
        <v>30.198399999999999</v>
      </c>
      <c r="D3828">
        <v>-2.2255400000000001</v>
      </c>
      <c r="E3828" t="s">
        <v>5926</v>
      </c>
      <c r="F3828" t="s">
        <v>5928</v>
      </c>
      <c r="G3828" t="s">
        <v>39</v>
      </c>
      <c r="H3828">
        <v>2008</v>
      </c>
      <c r="I3828">
        <v>20.761971285645402</v>
      </c>
      <c r="J3828">
        <v>11.480985842959999</v>
      </c>
      <c r="K3828">
        <v>82</v>
      </c>
      <c r="L3828">
        <v>3.8685916292835301</v>
      </c>
      <c r="M3828">
        <v>27.9429578915448</v>
      </c>
      <c r="N3828">
        <v>13.9619718672524</v>
      </c>
      <c r="O3828">
        <v>13.980985842959999</v>
      </c>
      <c r="P3828">
        <v>20.761971285645402</v>
      </c>
      <c r="Q3828">
        <v>20.5619720673897</v>
      </c>
      <c r="R3828">
        <v>21.242957128605401</v>
      </c>
      <c r="S3828">
        <v>20.3619716671151</v>
      </c>
      <c r="T3828">
        <v>912.47183098591597</v>
      </c>
      <c r="U3828">
        <v>148.57042253521101</v>
      </c>
      <c r="V3828">
        <v>4</v>
      </c>
      <c r="W3828">
        <v>56</v>
      </c>
      <c r="X3828">
        <v>353.33098591549299</v>
      </c>
      <c r="Y3828">
        <v>38.380281690140798</v>
      </c>
      <c r="Z3828">
        <v>163.57042253521101</v>
      </c>
      <c r="AA3828">
        <v>115.76056338028199</v>
      </c>
      <c r="AB3828">
        <v>61.076791897626002</v>
      </c>
      <c r="AC3828">
        <v>4.6632665829260997E-2</v>
      </c>
      <c r="AD3828">
        <v>4.1713851048073298</v>
      </c>
      <c r="AE3828">
        <v>0.34416733461786297</v>
      </c>
      <c r="AF3828">
        <v>1416.14084507042</v>
      </c>
      <c r="AG3828">
        <f>IFERROR(AH3828*0.1, "N/A")</f>
        <v>5.7327464788732403</v>
      </c>
      <c r="AH3828">
        <v>57.327464788732399</v>
      </c>
      <c r="AI3828">
        <v>147.529648189813</v>
      </c>
      <c r="AJ3828">
        <v>38.934859154929597</v>
      </c>
      <c r="AK3828">
        <v>46.1091549295775</v>
      </c>
    </row>
    <row r="3829" spans="1:37" x14ac:dyDescent="0.3">
      <c r="A3829">
        <v>3828</v>
      </c>
      <c r="B3829">
        <v>0</v>
      </c>
      <c r="C3829">
        <v>30.386600000000001</v>
      </c>
      <c r="D3829">
        <v>-1.58046</v>
      </c>
      <c r="E3829" t="s">
        <v>5929</v>
      </c>
      <c r="F3829" t="s">
        <v>5930</v>
      </c>
      <c r="G3829" t="s">
        <v>37</v>
      </c>
      <c r="H3829">
        <v>2008</v>
      </c>
      <c r="I3829">
        <v>20.600000381469702</v>
      </c>
      <c r="J3829">
        <v>11.800000190734901</v>
      </c>
      <c r="K3829">
        <v>86</v>
      </c>
      <c r="L3829">
        <v>3.9400000572204599</v>
      </c>
      <c r="M3829">
        <v>27.700000762939499</v>
      </c>
      <c r="N3829">
        <v>14</v>
      </c>
      <c r="O3829">
        <v>13.699999809265099</v>
      </c>
      <c r="P3829">
        <v>20.299999237060501</v>
      </c>
      <c r="Q3829">
        <v>20.700000762939499</v>
      </c>
      <c r="R3829">
        <v>21.100000381469702</v>
      </c>
      <c r="S3829">
        <v>20.200000762939499</v>
      </c>
      <c r="T3829">
        <v>877</v>
      </c>
      <c r="U3829">
        <v>153</v>
      </c>
      <c r="V3829">
        <v>12</v>
      </c>
      <c r="W3829">
        <v>51</v>
      </c>
      <c r="X3829">
        <v>341</v>
      </c>
      <c r="Y3829">
        <v>56</v>
      </c>
      <c r="Z3829">
        <v>104</v>
      </c>
      <c r="AA3829">
        <v>258</v>
      </c>
      <c r="AB3829">
        <v>72.426078137056294</v>
      </c>
      <c r="AC3829">
        <v>1.1212053716944999E-2</v>
      </c>
      <c r="AD3829">
        <v>5.5285927160286601</v>
      </c>
      <c r="AE3829">
        <v>0.37628379537735501</v>
      </c>
      <c r="AF3829">
        <v>1485.49029982363</v>
      </c>
      <c r="AG3829">
        <f>IFERROR(AH3829*0.1, "N/A")</f>
        <v>5.80246913580247</v>
      </c>
      <c r="AH3829">
        <v>58.024691358024697</v>
      </c>
      <c r="AI3829">
        <v>260.61721338881</v>
      </c>
      <c r="AJ3829">
        <v>37.737213403880098</v>
      </c>
      <c r="AK3829">
        <v>45.262786596119902</v>
      </c>
    </row>
    <row r="3830" spans="1:37" x14ac:dyDescent="0.3">
      <c r="A3830">
        <v>3829</v>
      </c>
      <c r="B3830">
        <v>0</v>
      </c>
      <c r="C3830">
        <v>30.386600000000001</v>
      </c>
      <c r="D3830">
        <v>-1.58046</v>
      </c>
      <c r="E3830" t="s">
        <v>5929</v>
      </c>
      <c r="F3830" t="s">
        <v>5931</v>
      </c>
      <c r="G3830" t="s">
        <v>39</v>
      </c>
      <c r="H3830">
        <v>2008</v>
      </c>
      <c r="I3830">
        <v>20.600000381469702</v>
      </c>
      <c r="J3830">
        <v>11.800000190734901</v>
      </c>
      <c r="K3830">
        <v>86</v>
      </c>
      <c r="L3830">
        <v>3.9400000572204599</v>
      </c>
      <c r="M3830">
        <v>27.700000762939499</v>
      </c>
      <c r="N3830">
        <v>14</v>
      </c>
      <c r="O3830">
        <v>13.699999809265099</v>
      </c>
      <c r="P3830">
        <v>20.299999237060501</v>
      </c>
      <c r="Q3830">
        <v>20.700000762939499</v>
      </c>
      <c r="R3830">
        <v>21.100000381469702</v>
      </c>
      <c r="S3830">
        <v>20.200000762939499</v>
      </c>
      <c r="T3830">
        <v>877</v>
      </c>
      <c r="U3830">
        <v>153</v>
      </c>
      <c r="V3830">
        <v>12</v>
      </c>
      <c r="W3830">
        <v>51</v>
      </c>
      <c r="X3830">
        <v>341</v>
      </c>
      <c r="Y3830">
        <v>56</v>
      </c>
      <c r="Z3830">
        <v>104</v>
      </c>
      <c r="AA3830">
        <v>258</v>
      </c>
      <c r="AB3830">
        <v>72.426078137056294</v>
      </c>
      <c r="AC3830">
        <v>1.1212053716944999E-2</v>
      </c>
      <c r="AD3830">
        <v>5.5285927160286601</v>
      </c>
      <c r="AE3830">
        <v>0.37628379537735501</v>
      </c>
      <c r="AF3830">
        <v>1485.49029982363</v>
      </c>
      <c r="AG3830">
        <f>IFERROR(AH3830*0.1, "N/A")</f>
        <v>5.80246913580247</v>
      </c>
      <c r="AH3830">
        <v>58.024691358024697</v>
      </c>
      <c r="AI3830">
        <v>260.61721338881</v>
      </c>
      <c r="AJ3830">
        <v>37.737213403880098</v>
      </c>
      <c r="AK3830">
        <v>45.262786596119902</v>
      </c>
    </row>
    <row r="3831" spans="1:37" x14ac:dyDescent="0.3">
      <c r="A3831">
        <v>3830</v>
      </c>
      <c r="B3831">
        <v>0</v>
      </c>
      <c r="C3831">
        <v>30.509198999999999</v>
      </c>
      <c r="D3831">
        <v>-1.9016599999999999</v>
      </c>
      <c r="E3831" t="s">
        <v>5932</v>
      </c>
      <c r="F3831" t="s">
        <v>5933</v>
      </c>
      <c r="G3831" t="s">
        <v>37</v>
      </c>
      <c r="H3831">
        <v>2008</v>
      </c>
      <c r="I3831">
        <v>19.700000762939499</v>
      </c>
      <c r="J3831">
        <v>11.3999996185303</v>
      </c>
      <c r="K3831">
        <v>85.049209138840098</v>
      </c>
      <c r="L3831">
        <v>2.9936028063192501</v>
      </c>
      <c r="M3831">
        <v>26.4950790673442</v>
      </c>
      <c r="N3831">
        <v>13.199999809265099</v>
      </c>
      <c r="O3831">
        <v>13.295079258079101</v>
      </c>
      <c r="P3831">
        <v>19.700000762939499</v>
      </c>
      <c r="Q3831">
        <v>19.600000381469702</v>
      </c>
      <c r="R3831">
        <v>20</v>
      </c>
      <c r="S3831">
        <v>19.399999618530298</v>
      </c>
      <c r="T3831">
        <v>898.04920913883996</v>
      </c>
      <c r="U3831">
        <v>154</v>
      </c>
      <c r="V3831">
        <v>5</v>
      </c>
      <c r="W3831">
        <v>58</v>
      </c>
      <c r="X3831">
        <v>369.09841827768003</v>
      </c>
      <c r="Y3831">
        <v>42</v>
      </c>
      <c r="Z3831">
        <v>162</v>
      </c>
      <c r="AA3831">
        <v>255.81546572935</v>
      </c>
      <c r="AB3831">
        <v>0.66397454072385798</v>
      </c>
      <c r="AC3831">
        <v>0.789354999715001</v>
      </c>
      <c r="AD3831">
        <v>1.26007557103839</v>
      </c>
      <c r="AE3831">
        <v>0.592423051438558</v>
      </c>
      <c r="AF3831">
        <v>1575.0773286467499</v>
      </c>
      <c r="AG3831">
        <f>IFERROR(AH3831*0.1, "N/A")</f>
        <v>5.5098418277680103</v>
      </c>
      <c r="AH3831">
        <v>55.098418277680103</v>
      </c>
      <c r="AI3831">
        <v>131.64880267848901</v>
      </c>
      <c r="AJ3831">
        <v>40</v>
      </c>
      <c r="AK3831">
        <v>40.015817223198603</v>
      </c>
    </row>
    <row r="3832" spans="1:37" x14ac:dyDescent="0.3">
      <c r="A3832">
        <v>3831</v>
      </c>
      <c r="B3832">
        <v>0</v>
      </c>
      <c r="C3832">
        <v>30.509198999999999</v>
      </c>
      <c r="D3832">
        <v>-1.9016599999999999</v>
      </c>
      <c r="E3832" t="s">
        <v>5932</v>
      </c>
      <c r="F3832" t="s">
        <v>5934</v>
      </c>
      <c r="G3832" t="s">
        <v>39</v>
      </c>
      <c r="H3832">
        <v>2008</v>
      </c>
      <c r="I3832">
        <v>19.700000762939499</v>
      </c>
      <c r="J3832">
        <v>11.3999996185303</v>
      </c>
      <c r="K3832">
        <v>85.049209138840098</v>
      </c>
      <c r="L3832">
        <v>2.9936028063192501</v>
      </c>
      <c r="M3832">
        <v>26.4950790673442</v>
      </c>
      <c r="N3832">
        <v>13.199999809265099</v>
      </c>
      <c r="O3832">
        <v>13.295079258079101</v>
      </c>
      <c r="P3832">
        <v>19.700000762939499</v>
      </c>
      <c r="Q3832">
        <v>19.600000381469702</v>
      </c>
      <c r="R3832">
        <v>20</v>
      </c>
      <c r="S3832">
        <v>19.399999618530298</v>
      </c>
      <c r="T3832">
        <v>898.04920913883996</v>
      </c>
      <c r="U3832">
        <v>154</v>
      </c>
      <c r="V3832">
        <v>5</v>
      </c>
      <c r="W3832">
        <v>58</v>
      </c>
      <c r="X3832">
        <v>369.09841827768003</v>
      </c>
      <c r="Y3832">
        <v>42</v>
      </c>
      <c r="Z3832">
        <v>162</v>
      </c>
      <c r="AA3832">
        <v>255.81546572935</v>
      </c>
      <c r="AB3832">
        <v>0.66397454072385798</v>
      </c>
      <c r="AC3832">
        <v>0.789354999715001</v>
      </c>
      <c r="AD3832">
        <v>1.26007557103839</v>
      </c>
      <c r="AE3832">
        <v>0.592423051438558</v>
      </c>
      <c r="AF3832">
        <v>1575.0773286467499</v>
      </c>
      <c r="AG3832">
        <f>IFERROR(AH3832*0.1, "N/A")</f>
        <v>5.5098418277680103</v>
      </c>
      <c r="AH3832">
        <v>55.098418277680103</v>
      </c>
      <c r="AI3832">
        <v>131.64880267848901</v>
      </c>
      <c r="AJ3832">
        <v>40</v>
      </c>
      <c r="AK3832">
        <v>40.015817223198603</v>
      </c>
    </row>
    <row r="3833" spans="1:37" x14ac:dyDescent="0.3">
      <c r="A3833">
        <v>3832</v>
      </c>
      <c r="B3833">
        <v>0</v>
      </c>
      <c r="C3833">
        <v>30.753299999999999</v>
      </c>
      <c r="D3833">
        <v>-2.1816300000000002</v>
      </c>
      <c r="E3833" t="s">
        <v>5935</v>
      </c>
      <c r="F3833" t="s">
        <v>5936</v>
      </c>
      <c r="G3833" t="s">
        <v>37</v>
      </c>
      <c r="H3833">
        <v>2008</v>
      </c>
      <c r="I3833">
        <v>19</v>
      </c>
      <c r="J3833">
        <v>10.8999996185303</v>
      </c>
      <c r="K3833">
        <v>83</v>
      </c>
      <c r="L3833">
        <v>3.2400000095367401</v>
      </c>
      <c r="M3833">
        <v>25.700000762939499</v>
      </c>
      <c r="N3833">
        <v>12.699999809265099</v>
      </c>
      <c r="O3833">
        <v>13</v>
      </c>
      <c r="P3833">
        <v>19</v>
      </c>
      <c r="Q3833">
        <v>18.899999618530298</v>
      </c>
      <c r="R3833">
        <v>19.399999618530298</v>
      </c>
      <c r="S3833">
        <v>18.799999237060501</v>
      </c>
      <c r="T3833">
        <v>881</v>
      </c>
      <c r="U3833">
        <v>156</v>
      </c>
      <c r="V3833">
        <v>4</v>
      </c>
      <c r="W3833">
        <v>62</v>
      </c>
      <c r="X3833">
        <v>356</v>
      </c>
      <c r="Y3833">
        <v>28</v>
      </c>
      <c r="Z3833">
        <v>137</v>
      </c>
      <c r="AA3833">
        <v>100</v>
      </c>
      <c r="AB3833">
        <v>33.801938879887999</v>
      </c>
      <c r="AC3833">
        <v>9.1452692911972E-2</v>
      </c>
      <c r="AD3833">
        <v>14.2865324942215</v>
      </c>
      <c r="AE3833">
        <v>0.45223566889762901</v>
      </c>
      <c r="AF3833">
        <v>1686.42530755712</v>
      </c>
      <c r="AG3833">
        <f>IFERROR(AH3833*0.1, "N/A")</f>
        <v>5.5915641476274205</v>
      </c>
      <c r="AH3833">
        <v>55.915641476274203</v>
      </c>
      <c r="AI3833">
        <v>105.684171308533</v>
      </c>
      <c r="AJ3833">
        <v>37.135325131810198</v>
      </c>
      <c r="AK3833">
        <v>43.688927943761001</v>
      </c>
    </row>
    <row r="3834" spans="1:37" x14ac:dyDescent="0.3">
      <c r="A3834">
        <v>3833</v>
      </c>
      <c r="B3834">
        <v>0</v>
      </c>
      <c r="C3834">
        <v>30.753299999999999</v>
      </c>
      <c r="D3834">
        <v>-2.1816300000000002</v>
      </c>
      <c r="E3834" t="s">
        <v>5935</v>
      </c>
      <c r="F3834" t="s">
        <v>5937</v>
      </c>
      <c r="G3834" t="s">
        <v>39</v>
      </c>
      <c r="H3834">
        <v>2008</v>
      </c>
      <c r="I3834">
        <v>19</v>
      </c>
      <c r="J3834">
        <v>10.8999996185303</v>
      </c>
      <c r="K3834">
        <v>83</v>
      </c>
      <c r="L3834">
        <v>3.2400000095367401</v>
      </c>
      <c r="M3834">
        <v>25.700000762939499</v>
      </c>
      <c r="N3834">
        <v>12.699999809265099</v>
      </c>
      <c r="O3834">
        <v>13</v>
      </c>
      <c r="P3834">
        <v>19</v>
      </c>
      <c r="Q3834">
        <v>18.899999618530298</v>
      </c>
      <c r="R3834">
        <v>19.399999618530298</v>
      </c>
      <c r="S3834">
        <v>18.799999237060501</v>
      </c>
      <c r="T3834">
        <v>881</v>
      </c>
      <c r="U3834">
        <v>156</v>
      </c>
      <c r="V3834">
        <v>4</v>
      </c>
      <c r="W3834">
        <v>62</v>
      </c>
      <c r="X3834">
        <v>356</v>
      </c>
      <c r="Y3834">
        <v>28</v>
      </c>
      <c r="Z3834">
        <v>137</v>
      </c>
      <c r="AA3834">
        <v>100</v>
      </c>
      <c r="AB3834">
        <v>33.801938879887999</v>
      </c>
      <c r="AC3834">
        <v>9.1452692911972E-2</v>
      </c>
      <c r="AD3834">
        <v>14.2865324942215</v>
      </c>
      <c r="AE3834">
        <v>0.45223566889762901</v>
      </c>
      <c r="AF3834">
        <v>1686.42530755712</v>
      </c>
      <c r="AG3834">
        <f>IFERROR(AH3834*0.1, "N/A")</f>
        <v>5.5915641476274205</v>
      </c>
      <c r="AH3834">
        <v>55.915641476274203</v>
      </c>
      <c r="AI3834">
        <v>105.684171308533</v>
      </c>
      <c r="AJ3834">
        <v>37.135325131810198</v>
      </c>
      <c r="AK3834">
        <v>43.688927943761001</v>
      </c>
    </row>
    <row r="3835" spans="1:37" x14ac:dyDescent="0.3">
      <c r="A3835">
        <v>3834</v>
      </c>
      <c r="B3835">
        <v>2.1</v>
      </c>
      <c r="C3835">
        <v>30.545798999999999</v>
      </c>
      <c r="D3835">
        <v>-2.157</v>
      </c>
      <c r="E3835" t="s">
        <v>5938</v>
      </c>
      <c r="F3835" t="s">
        <v>5939</v>
      </c>
      <c r="G3835" t="s">
        <v>37</v>
      </c>
      <c r="H3835">
        <v>2008</v>
      </c>
      <c r="I3835">
        <v>19.700000762939499</v>
      </c>
      <c r="J3835">
        <v>11.199999809265099</v>
      </c>
      <c r="K3835">
        <v>83</v>
      </c>
      <c r="L3835">
        <v>3.2699999809265101</v>
      </c>
      <c r="M3835">
        <v>26.5</v>
      </c>
      <c r="N3835">
        <v>13.1000003814697</v>
      </c>
      <c r="O3835">
        <v>13.3999996185303</v>
      </c>
      <c r="P3835">
        <v>19.700000762939499</v>
      </c>
      <c r="Q3835">
        <v>19.5</v>
      </c>
      <c r="R3835">
        <v>20</v>
      </c>
      <c r="S3835">
        <v>19.399999618530298</v>
      </c>
      <c r="T3835">
        <v>904</v>
      </c>
      <c r="U3835">
        <v>146</v>
      </c>
      <c r="V3835">
        <v>2</v>
      </c>
      <c r="W3835">
        <v>58</v>
      </c>
      <c r="X3835">
        <v>360</v>
      </c>
      <c r="Y3835">
        <v>32</v>
      </c>
      <c r="Z3835">
        <v>157</v>
      </c>
      <c r="AA3835">
        <v>105</v>
      </c>
      <c r="AB3835">
        <v>144.39227509834399</v>
      </c>
      <c r="AC3835">
        <v>8.5419204846859994E-3</v>
      </c>
      <c r="AD3835">
        <v>7.2244597308232796</v>
      </c>
      <c r="AE3835">
        <v>0.57858252525329601</v>
      </c>
      <c r="AF3835">
        <v>1615.72711267606</v>
      </c>
      <c r="AG3835">
        <f>IFERROR(AH3835*0.1, "N/A")</f>
        <v>5.3947183098591509</v>
      </c>
      <c r="AH3835">
        <v>53.947183098591502</v>
      </c>
      <c r="AI3835">
        <v>267.531301364093</v>
      </c>
      <c r="AJ3835">
        <v>41.677816901408399</v>
      </c>
      <c r="AK3835">
        <v>37.260563380281702</v>
      </c>
    </row>
    <row r="3836" spans="1:37" x14ac:dyDescent="0.3">
      <c r="A3836">
        <v>3835</v>
      </c>
      <c r="B3836">
        <v>0</v>
      </c>
      <c r="C3836">
        <v>30.545798999999999</v>
      </c>
      <c r="D3836">
        <v>-2.157</v>
      </c>
      <c r="E3836" t="s">
        <v>5938</v>
      </c>
      <c r="F3836" t="s">
        <v>5940</v>
      </c>
      <c r="G3836" t="s">
        <v>39</v>
      </c>
      <c r="H3836">
        <v>2008</v>
      </c>
      <c r="I3836">
        <v>19.700000762939499</v>
      </c>
      <c r="J3836">
        <v>11.199999809265099</v>
      </c>
      <c r="K3836">
        <v>83</v>
      </c>
      <c r="L3836">
        <v>3.2699999809265101</v>
      </c>
      <c r="M3836">
        <v>26.5</v>
      </c>
      <c r="N3836">
        <v>13.1000003814697</v>
      </c>
      <c r="O3836">
        <v>13.3999996185303</v>
      </c>
      <c r="P3836">
        <v>19.700000762939499</v>
      </c>
      <c r="Q3836">
        <v>19.5</v>
      </c>
      <c r="R3836">
        <v>20</v>
      </c>
      <c r="S3836">
        <v>19.399999618530298</v>
      </c>
      <c r="T3836">
        <v>904</v>
      </c>
      <c r="U3836">
        <v>146</v>
      </c>
      <c r="V3836">
        <v>2</v>
      </c>
      <c r="W3836">
        <v>58</v>
      </c>
      <c r="X3836">
        <v>360</v>
      </c>
      <c r="Y3836">
        <v>32</v>
      </c>
      <c r="Z3836">
        <v>157</v>
      </c>
      <c r="AA3836">
        <v>105</v>
      </c>
      <c r="AB3836">
        <v>144.39227509834399</v>
      </c>
      <c r="AC3836">
        <v>8.5419204846859994E-3</v>
      </c>
      <c r="AD3836">
        <v>7.2244597308232796</v>
      </c>
      <c r="AE3836">
        <v>0.57858252525329601</v>
      </c>
      <c r="AF3836">
        <v>1615.72711267606</v>
      </c>
      <c r="AG3836">
        <f>IFERROR(AH3836*0.1, "N/A")</f>
        <v>5.3947183098591509</v>
      </c>
      <c r="AH3836">
        <v>53.947183098591502</v>
      </c>
      <c r="AI3836">
        <v>267.531301364093</v>
      </c>
      <c r="AJ3836">
        <v>41.677816901408399</v>
      </c>
      <c r="AK3836">
        <v>37.260563380281702</v>
      </c>
    </row>
    <row r="3837" spans="1:37" x14ac:dyDescent="0.3">
      <c r="A3837">
        <v>3836</v>
      </c>
      <c r="B3837">
        <v>6.6</v>
      </c>
      <c r="C3837">
        <v>30.3186</v>
      </c>
      <c r="D3837">
        <v>-1.2995399999999999</v>
      </c>
      <c r="E3837" t="s">
        <v>5941</v>
      </c>
      <c r="F3837" t="s">
        <v>5942</v>
      </c>
      <c r="G3837" t="s">
        <v>37</v>
      </c>
      <c r="H3837">
        <v>2008</v>
      </c>
      <c r="I3837">
        <v>20.7339782782004</v>
      </c>
      <c r="J3837">
        <v>12.300000190734901</v>
      </c>
      <c r="K3837">
        <v>88.779929577464799</v>
      </c>
      <c r="L3837">
        <v>2.5974119314005701</v>
      </c>
      <c r="M3837">
        <v>27.655986510531999</v>
      </c>
      <c r="N3837">
        <v>13.8339786596701</v>
      </c>
      <c r="O3837">
        <v>13.822007107063101</v>
      </c>
      <c r="P3837">
        <v>20.633979384328299</v>
      </c>
      <c r="Q3837">
        <v>20.655986510531999</v>
      </c>
      <c r="R3837">
        <v>20.9559857475925</v>
      </c>
      <c r="S3837">
        <v>20.4339790411398</v>
      </c>
      <c r="T3837">
        <v>869.76056338028195</v>
      </c>
      <c r="U3837">
        <v>138.880281690141</v>
      </c>
      <c r="V3837">
        <v>11</v>
      </c>
      <c r="W3837">
        <v>49.220070422535201</v>
      </c>
      <c r="X3837">
        <v>317.54049295774598</v>
      </c>
      <c r="Y3837">
        <v>59.779929577464799</v>
      </c>
      <c r="Z3837">
        <v>204.55985915493</v>
      </c>
      <c r="AA3837">
        <v>215.27112676056299</v>
      </c>
      <c r="AB3837">
        <v>1.96283840125715</v>
      </c>
      <c r="AC3837">
        <v>13.004651637501899</v>
      </c>
      <c r="AD3837">
        <v>1.6332409339891401</v>
      </c>
      <c r="AE3837">
        <v>0.57642078399658203</v>
      </c>
      <c r="AF3837">
        <v>1343.88028169014</v>
      </c>
      <c r="AG3837">
        <f>IFERROR(AH3837*0.1, "N/A")</f>
        <v>5.700352112676061</v>
      </c>
      <c r="AH3837">
        <v>57.003521126760603</v>
      </c>
      <c r="AI3837">
        <v>158.572463022151</v>
      </c>
      <c r="AJ3837">
        <v>39.285211267605597</v>
      </c>
      <c r="AK3837">
        <v>39.901408450704203</v>
      </c>
    </row>
    <row r="3838" spans="1:37" x14ac:dyDescent="0.3">
      <c r="A3838">
        <v>3837</v>
      </c>
      <c r="B3838">
        <v>0</v>
      </c>
      <c r="C3838">
        <v>30.3186</v>
      </c>
      <c r="D3838">
        <v>-1.2995399999999999</v>
      </c>
      <c r="E3838" t="s">
        <v>5941</v>
      </c>
      <c r="F3838" t="s">
        <v>5943</v>
      </c>
      <c r="G3838" t="s">
        <v>39</v>
      </c>
      <c r="H3838">
        <v>2008</v>
      </c>
      <c r="I3838">
        <v>20.7339782782004</v>
      </c>
      <c r="J3838">
        <v>12.300000190734901</v>
      </c>
      <c r="K3838">
        <v>88.779929577464799</v>
      </c>
      <c r="L3838">
        <v>2.5974119314005701</v>
      </c>
      <c r="M3838">
        <v>27.655986510531999</v>
      </c>
      <c r="N3838">
        <v>13.8339786596701</v>
      </c>
      <c r="O3838">
        <v>13.822007107063101</v>
      </c>
      <c r="P3838">
        <v>20.633979384328299</v>
      </c>
      <c r="Q3838">
        <v>20.655986510531999</v>
      </c>
      <c r="R3838">
        <v>20.9559857475925</v>
      </c>
      <c r="S3838">
        <v>20.4339790411398</v>
      </c>
      <c r="T3838">
        <v>869.76056338028195</v>
      </c>
      <c r="U3838">
        <v>138.880281690141</v>
      </c>
      <c r="V3838">
        <v>11</v>
      </c>
      <c r="W3838">
        <v>49.220070422535201</v>
      </c>
      <c r="X3838">
        <v>317.54049295774598</v>
      </c>
      <c r="Y3838">
        <v>59.779929577464799</v>
      </c>
      <c r="Z3838">
        <v>204.55985915493</v>
      </c>
      <c r="AA3838">
        <v>215.27112676056299</v>
      </c>
      <c r="AB3838">
        <v>1.96283840125715</v>
      </c>
      <c r="AC3838">
        <v>13.004651637501899</v>
      </c>
      <c r="AD3838">
        <v>1.6332409339891401</v>
      </c>
      <c r="AE3838">
        <v>0.57642078399658203</v>
      </c>
      <c r="AF3838">
        <v>1343.88028169014</v>
      </c>
      <c r="AG3838">
        <f>IFERROR(AH3838*0.1, "N/A")</f>
        <v>5.700352112676061</v>
      </c>
      <c r="AH3838">
        <v>57.003521126760603</v>
      </c>
      <c r="AI3838">
        <v>158.572463022151</v>
      </c>
      <c r="AJ3838">
        <v>39.285211267605597</v>
      </c>
      <c r="AK3838">
        <v>39.901408450704203</v>
      </c>
    </row>
    <row r="3839" spans="1:37" x14ac:dyDescent="0.3">
      <c r="A3839">
        <v>3838</v>
      </c>
      <c r="B3839">
        <v>0.5</v>
      </c>
      <c r="C3839">
        <v>30.433201</v>
      </c>
      <c r="D3839">
        <v>-1.94798</v>
      </c>
      <c r="E3839" t="s">
        <v>5944</v>
      </c>
      <c r="F3839" t="s">
        <v>5945</v>
      </c>
      <c r="G3839" t="s">
        <v>37</v>
      </c>
      <c r="H3839">
        <v>2008</v>
      </c>
      <c r="I3839">
        <v>19.957746317688901</v>
      </c>
      <c r="J3839">
        <v>11.3999996185303</v>
      </c>
      <c r="K3839">
        <v>85</v>
      </c>
      <c r="L3839">
        <v>3.1456337646699302</v>
      </c>
      <c r="M3839">
        <v>26.799999237060501</v>
      </c>
      <c r="N3839">
        <v>13.442253300841401</v>
      </c>
      <c r="O3839">
        <v>13.3577463391801</v>
      </c>
      <c r="P3839">
        <v>19.957746317688901</v>
      </c>
      <c r="Q3839">
        <v>19.899999618530298</v>
      </c>
      <c r="R3839">
        <v>20.299999237060501</v>
      </c>
      <c r="S3839">
        <v>19.700000762939499</v>
      </c>
      <c r="T3839">
        <v>903.69014084507</v>
      </c>
      <c r="U3839">
        <v>157.42253521126801</v>
      </c>
      <c r="V3839">
        <v>6</v>
      </c>
      <c r="W3839">
        <v>57.422535211267601</v>
      </c>
      <c r="X3839">
        <v>373.845070422535</v>
      </c>
      <c r="Y3839">
        <v>42</v>
      </c>
      <c r="Z3839">
        <v>164.42253521126801</v>
      </c>
      <c r="AA3839">
        <v>119.422535211268</v>
      </c>
      <c r="AB3839">
        <v>80.916878713688405</v>
      </c>
      <c r="AC3839">
        <v>7.2314769042734997E-2</v>
      </c>
      <c r="AD3839">
        <v>3.2783535592992501</v>
      </c>
      <c r="AE3839">
        <v>0.66931921243667603</v>
      </c>
      <c r="AF3839">
        <v>1530.5915492957699</v>
      </c>
      <c r="AG3839">
        <f>IFERROR(AH3839*0.1, "N/A")</f>
        <v>5.5154929577464804</v>
      </c>
      <c r="AH3839">
        <v>55.154929577464799</v>
      </c>
      <c r="AI3839">
        <v>66.642644344920797</v>
      </c>
      <c r="AJ3839">
        <v>45.732394366197198</v>
      </c>
      <c r="AK3839">
        <v>39.845070422535201</v>
      </c>
    </row>
    <row r="3840" spans="1:37" x14ac:dyDescent="0.3">
      <c r="A3840">
        <v>3839</v>
      </c>
      <c r="B3840">
        <v>0</v>
      </c>
      <c r="C3840">
        <v>30.433201</v>
      </c>
      <c r="D3840">
        <v>-1.94798</v>
      </c>
      <c r="E3840" t="s">
        <v>5944</v>
      </c>
      <c r="F3840" t="s">
        <v>5946</v>
      </c>
      <c r="G3840" t="s">
        <v>39</v>
      </c>
      <c r="H3840">
        <v>2008</v>
      </c>
      <c r="I3840">
        <v>19.957746317688901</v>
      </c>
      <c r="J3840">
        <v>11.3999996185303</v>
      </c>
      <c r="K3840">
        <v>85</v>
      </c>
      <c r="L3840">
        <v>3.1456337646699302</v>
      </c>
      <c r="M3840">
        <v>26.799999237060501</v>
      </c>
      <c r="N3840">
        <v>13.442253300841401</v>
      </c>
      <c r="O3840">
        <v>13.3577463391801</v>
      </c>
      <c r="P3840">
        <v>19.957746317688901</v>
      </c>
      <c r="Q3840">
        <v>19.899999618530298</v>
      </c>
      <c r="R3840">
        <v>20.299999237060501</v>
      </c>
      <c r="S3840">
        <v>19.700000762939499</v>
      </c>
      <c r="T3840">
        <v>903.69014084507</v>
      </c>
      <c r="U3840">
        <v>157.42253521126801</v>
      </c>
      <c r="V3840">
        <v>6</v>
      </c>
      <c r="W3840">
        <v>57.422535211267601</v>
      </c>
      <c r="X3840">
        <v>373.845070422535</v>
      </c>
      <c r="Y3840">
        <v>42</v>
      </c>
      <c r="Z3840">
        <v>164.42253521126801</v>
      </c>
      <c r="AA3840">
        <v>119.422535211268</v>
      </c>
      <c r="AB3840">
        <v>80.916878713688405</v>
      </c>
      <c r="AC3840">
        <v>7.2314769042734997E-2</v>
      </c>
      <c r="AD3840">
        <v>3.2783535592992501</v>
      </c>
      <c r="AE3840">
        <v>0.66931921243667603</v>
      </c>
      <c r="AF3840">
        <v>1530.5915492957699</v>
      </c>
      <c r="AG3840">
        <f>IFERROR(AH3840*0.1, "N/A")</f>
        <v>5.5154929577464804</v>
      </c>
      <c r="AH3840">
        <v>55.154929577464799</v>
      </c>
      <c r="AI3840">
        <v>66.642644344920797</v>
      </c>
      <c r="AJ3840">
        <v>45.732394366197198</v>
      </c>
      <c r="AK3840">
        <v>39.845070422535201</v>
      </c>
    </row>
    <row r="3841" spans="1:37" x14ac:dyDescent="0.3">
      <c r="A3841">
        <v>3840</v>
      </c>
      <c r="B3841">
        <v>3</v>
      </c>
      <c r="C3841">
        <v>30.132601000000001</v>
      </c>
      <c r="D3841">
        <v>-1.86734</v>
      </c>
      <c r="E3841" t="s">
        <v>5947</v>
      </c>
      <c r="F3841" t="s">
        <v>5948</v>
      </c>
      <c r="G3841" t="s">
        <v>37</v>
      </c>
      <c r="H3841">
        <v>2008</v>
      </c>
      <c r="I3841">
        <v>19.486066750958699</v>
      </c>
      <c r="J3841">
        <v>11.6112877948364</v>
      </c>
      <c r="K3841">
        <v>85.8871252204586</v>
      </c>
      <c r="L3841">
        <v>3.4428395539574699</v>
      </c>
      <c r="M3841">
        <v>26.408641411513901</v>
      </c>
      <c r="N3841">
        <v>12.974779229946201</v>
      </c>
      <c r="O3841">
        <v>13.433862073921899</v>
      </c>
      <c r="P3841">
        <v>19.404408591134199</v>
      </c>
      <c r="Q3841">
        <v>19.404408591134199</v>
      </c>
      <c r="R3841">
        <v>19.804409767164302</v>
      </c>
      <c r="S3841">
        <v>19.186067298606599</v>
      </c>
      <c r="T3841">
        <v>996.83597883597895</v>
      </c>
      <c r="U3841">
        <v>170.91358024691399</v>
      </c>
      <c r="V3841">
        <v>9</v>
      </c>
      <c r="W3841">
        <v>52.8871252204586</v>
      </c>
      <c r="X3841">
        <v>402.26102292769002</v>
      </c>
      <c r="Y3841">
        <v>58.703703703703702</v>
      </c>
      <c r="Z3841">
        <v>193.88712522045901</v>
      </c>
      <c r="AA3841">
        <v>283.12698412698398</v>
      </c>
      <c r="AB3841">
        <v>81.481683424961403</v>
      </c>
      <c r="AC3841">
        <v>3.9161016090364001E-2</v>
      </c>
      <c r="AD3841">
        <v>13.5014475615567</v>
      </c>
      <c r="AE3841">
        <v>0.60435926914215099</v>
      </c>
      <c r="AF3841">
        <v>1574.1587301587299</v>
      </c>
      <c r="AG3841">
        <f>IFERROR(AH3841*0.1, "N/A")</f>
        <v>5.3726631393298101</v>
      </c>
      <c r="AH3841">
        <v>53.726631393298099</v>
      </c>
      <c r="AI3841">
        <v>84.995397423100002</v>
      </c>
      <c r="AJ3841">
        <v>34.918871252204603</v>
      </c>
      <c r="AK3841">
        <v>45.837742504409199</v>
      </c>
    </row>
    <row r="3842" spans="1:37" x14ac:dyDescent="0.3">
      <c r="A3842">
        <v>3841</v>
      </c>
      <c r="B3842">
        <v>0</v>
      </c>
      <c r="C3842">
        <v>30.132601000000001</v>
      </c>
      <c r="D3842">
        <v>-1.86734</v>
      </c>
      <c r="E3842" t="s">
        <v>5947</v>
      </c>
      <c r="F3842" t="s">
        <v>5949</v>
      </c>
      <c r="G3842" t="s">
        <v>39</v>
      </c>
      <c r="H3842">
        <v>2008</v>
      </c>
      <c r="I3842">
        <v>19.486066750958699</v>
      </c>
      <c r="J3842">
        <v>11.6112877948364</v>
      </c>
      <c r="K3842">
        <v>85.8871252204586</v>
      </c>
      <c r="L3842">
        <v>3.4428395539574699</v>
      </c>
      <c r="M3842">
        <v>26.408641411513901</v>
      </c>
      <c r="N3842">
        <v>12.974779229946201</v>
      </c>
      <c r="O3842">
        <v>13.433862073921899</v>
      </c>
      <c r="P3842">
        <v>19.404408591134199</v>
      </c>
      <c r="Q3842">
        <v>19.404408591134199</v>
      </c>
      <c r="R3842">
        <v>19.804409767164302</v>
      </c>
      <c r="S3842">
        <v>19.186067298606599</v>
      </c>
      <c r="T3842">
        <v>996.83597883597895</v>
      </c>
      <c r="U3842">
        <v>170.91358024691399</v>
      </c>
      <c r="V3842">
        <v>9</v>
      </c>
      <c r="W3842">
        <v>52.8871252204586</v>
      </c>
      <c r="X3842">
        <v>402.26102292769002</v>
      </c>
      <c r="Y3842">
        <v>58.703703703703702</v>
      </c>
      <c r="Z3842">
        <v>193.88712522045901</v>
      </c>
      <c r="AA3842">
        <v>283.12698412698398</v>
      </c>
      <c r="AB3842">
        <v>81.481683424961403</v>
      </c>
      <c r="AC3842">
        <v>3.9161016090364001E-2</v>
      </c>
      <c r="AD3842">
        <v>13.5014475615567</v>
      </c>
      <c r="AE3842">
        <v>0.60435926914215099</v>
      </c>
      <c r="AF3842">
        <v>1574.1587301587299</v>
      </c>
      <c r="AG3842">
        <f>IFERROR(AH3842*0.1, "N/A")</f>
        <v>5.3726631393298101</v>
      </c>
      <c r="AH3842">
        <v>53.726631393298099</v>
      </c>
      <c r="AI3842">
        <v>84.995397423100002</v>
      </c>
      <c r="AJ3842">
        <v>34.918871252204603</v>
      </c>
      <c r="AK3842">
        <v>45.837742504409199</v>
      </c>
    </row>
    <row r="3843" spans="1:37" x14ac:dyDescent="0.3">
      <c r="A3843">
        <v>3842</v>
      </c>
      <c r="B3843">
        <v>0</v>
      </c>
      <c r="C3843">
        <v>30.104199999999999</v>
      </c>
      <c r="D3843">
        <v>-1.98238</v>
      </c>
      <c r="E3843" t="s">
        <v>5950</v>
      </c>
      <c r="F3843" t="s">
        <v>5951</v>
      </c>
      <c r="G3843" t="s">
        <v>37</v>
      </c>
      <c r="H3843">
        <v>2008</v>
      </c>
      <c r="I3843">
        <v>20.299999237060501</v>
      </c>
      <c r="J3843">
        <v>11.6000003814697</v>
      </c>
      <c r="K3843">
        <v>84</v>
      </c>
      <c r="L3843">
        <v>3.82999992370606</v>
      </c>
      <c r="M3843">
        <v>27.399999618530298</v>
      </c>
      <c r="N3843">
        <v>13.6000003814697</v>
      </c>
      <c r="O3843">
        <v>13.800000190734901</v>
      </c>
      <c r="P3843">
        <v>20.299999237060501</v>
      </c>
      <c r="Q3843">
        <v>20.200000762939499</v>
      </c>
      <c r="R3843">
        <v>20.700000762939499</v>
      </c>
      <c r="S3843">
        <v>20</v>
      </c>
      <c r="T3843">
        <v>959</v>
      </c>
      <c r="U3843">
        <v>162</v>
      </c>
      <c r="V3843">
        <v>8</v>
      </c>
      <c r="W3843">
        <v>53</v>
      </c>
      <c r="X3843">
        <v>367</v>
      </c>
      <c r="Y3843">
        <v>56</v>
      </c>
      <c r="Z3843">
        <v>196</v>
      </c>
      <c r="AA3843">
        <v>299</v>
      </c>
      <c r="AB3843">
        <v>61.235143034655103</v>
      </c>
      <c r="AC3843">
        <v>8.9031740129390004E-3</v>
      </c>
      <c r="AD3843">
        <v>4.4672657421058402</v>
      </c>
      <c r="AE3843">
        <v>0.88716553122800301</v>
      </c>
      <c r="AF3843">
        <v>1502.98945518453</v>
      </c>
      <c r="AG3843">
        <f>IFERROR(AH3843*0.1, "N/A")</f>
        <v>6.05149384885764</v>
      </c>
      <c r="AH3843">
        <v>60.514938488576398</v>
      </c>
      <c r="AI3843">
        <v>298.38784183978203</v>
      </c>
      <c r="AJ3843">
        <v>43.602811950790901</v>
      </c>
      <c r="AK3843">
        <v>38.386643233743399</v>
      </c>
    </row>
    <row r="3844" spans="1:37" x14ac:dyDescent="0.3">
      <c r="A3844">
        <v>3843</v>
      </c>
      <c r="B3844">
        <v>0</v>
      </c>
      <c r="C3844">
        <v>30.104199999999999</v>
      </c>
      <c r="D3844">
        <v>-1.98238</v>
      </c>
      <c r="E3844" t="s">
        <v>5950</v>
      </c>
      <c r="F3844" t="s">
        <v>5952</v>
      </c>
      <c r="G3844" t="s">
        <v>39</v>
      </c>
      <c r="H3844">
        <v>2008</v>
      </c>
      <c r="I3844">
        <v>20.299999237060501</v>
      </c>
      <c r="J3844">
        <v>11.6000003814697</v>
      </c>
      <c r="K3844">
        <v>84</v>
      </c>
      <c r="L3844">
        <v>3.82999992370606</v>
      </c>
      <c r="M3844">
        <v>27.399999618530298</v>
      </c>
      <c r="N3844">
        <v>13.6000003814697</v>
      </c>
      <c r="O3844">
        <v>13.800000190734901</v>
      </c>
      <c r="P3844">
        <v>20.299999237060501</v>
      </c>
      <c r="Q3844">
        <v>20.200000762939499</v>
      </c>
      <c r="R3844">
        <v>20.700000762939499</v>
      </c>
      <c r="S3844">
        <v>20</v>
      </c>
      <c r="T3844">
        <v>959</v>
      </c>
      <c r="U3844">
        <v>162</v>
      </c>
      <c r="V3844">
        <v>8</v>
      </c>
      <c r="W3844">
        <v>53</v>
      </c>
      <c r="X3844">
        <v>367</v>
      </c>
      <c r="Y3844">
        <v>56</v>
      </c>
      <c r="Z3844">
        <v>196</v>
      </c>
      <c r="AA3844">
        <v>299</v>
      </c>
      <c r="AB3844">
        <v>61.235143034655103</v>
      </c>
      <c r="AC3844">
        <v>8.9031740129390004E-3</v>
      </c>
      <c r="AD3844">
        <v>4.4672657421058402</v>
      </c>
      <c r="AE3844">
        <v>0.88716553122800301</v>
      </c>
      <c r="AF3844">
        <v>1502.98945518453</v>
      </c>
      <c r="AG3844">
        <f>IFERROR(AH3844*0.1, "N/A")</f>
        <v>6.05149384885764</v>
      </c>
      <c r="AH3844">
        <v>60.514938488576398</v>
      </c>
      <c r="AI3844">
        <v>298.38784183978203</v>
      </c>
      <c r="AJ3844">
        <v>43.602811950790901</v>
      </c>
      <c r="AK3844">
        <v>38.386643233743399</v>
      </c>
    </row>
    <row r="3845" spans="1:37" x14ac:dyDescent="0.3">
      <c r="A3845">
        <v>3844</v>
      </c>
      <c r="B3845">
        <v>0</v>
      </c>
      <c r="C3845">
        <v>30.063600999999998</v>
      </c>
      <c r="D3845">
        <v>-1.9514100000000001</v>
      </c>
      <c r="E3845" t="s">
        <v>5953</v>
      </c>
      <c r="F3845" t="s">
        <v>5954</v>
      </c>
      <c r="G3845" t="s">
        <v>37</v>
      </c>
      <c r="H3845">
        <v>2008</v>
      </c>
      <c r="I3845">
        <v>20.100000381469702</v>
      </c>
      <c r="J3845">
        <v>11.6000003814697</v>
      </c>
      <c r="K3845">
        <v>85</v>
      </c>
      <c r="L3845">
        <v>3.7300000190734899</v>
      </c>
      <c r="M3845">
        <v>27.100000381469702</v>
      </c>
      <c r="N3845">
        <v>13.5</v>
      </c>
      <c r="O3845">
        <v>13.6000003814697</v>
      </c>
      <c r="P3845">
        <v>20.100000381469702</v>
      </c>
      <c r="Q3845">
        <v>20</v>
      </c>
      <c r="R3845">
        <v>20.5</v>
      </c>
      <c r="S3845">
        <v>19.799999237060501</v>
      </c>
      <c r="T3845">
        <v>1000</v>
      </c>
      <c r="U3845">
        <v>168</v>
      </c>
      <c r="V3845">
        <v>8</v>
      </c>
      <c r="W3845">
        <v>52</v>
      </c>
      <c r="X3845">
        <v>392</v>
      </c>
      <c r="Y3845">
        <v>58</v>
      </c>
      <c r="Z3845">
        <v>198</v>
      </c>
      <c r="AA3845">
        <v>149</v>
      </c>
      <c r="AB3845">
        <v>169.88527109925201</v>
      </c>
      <c r="AC3845">
        <v>2.0650594619849999E-2</v>
      </c>
      <c r="AD3845">
        <v>4.81896387565304</v>
      </c>
      <c r="AE3845">
        <v>0.892088958390162</v>
      </c>
      <c r="AF3845">
        <v>1544.89788732394</v>
      </c>
      <c r="AG3845">
        <f>IFERROR(AH3845*0.1, "N/A")</f>
        <v>5.77112676056338</v>
      </c>
      <c r="AH3845">
        <v>57.7112676056338</v>
      </c>
      <c r="AI3845">
        <v>87.996253013610897</v>
      </c>
      <c r="AJ3845">
        <v>44</v>
      </c>
      <c r="AK3845">
        <v>36.2887323943662</v>
      </c>
    </row>
    <row r="3846" spans="1:37" x14ac:dyDescent="0.3">
      <c r="A3846">
        <v>3845</v>
      </c>
      <c r="B3846">
        <v>0</v>
      </c>
      <c r="C3846">
        <v>30.063600999999998</v>
      </c>
      <c r="D3846">
        <v>-1.9514100000000001</v>
      </c>
      <c r="E3846" t="s">
        <v>5953</v>
      </c>
      <c r="F3846" t="s">
        <v>5955</v>
      </c>
      <c r="G3846" t="s">
        <v>39</v>
      </c>
      <c r="H3846">
        <v>2008</v>
      </c>
      <c r="I3846">
        <v>20.100000381469702</v>
      </c>
      <c r="J3846">
        <v>11.6000003814697</v>
      </c>
      <c r="K3846">
        <v>85</v>
      </c>
      <c r="L3846">
        <v>3.7300000190734899</v>
      </c>
      <c r="M3846">
        <v>27.100000381469702</v>
      </c>
      <c r="N3846">
        <v>13.5</v>
      </c>
      <c r="O3846">
        <v>13.6000003814697</v>
      </c>
      <c r="P3846">
        <v>20.100000381469702</v>
      </c>
      <c r="Q3846">
        <v>20</v>
      </c>
      <c r="R3846">
        <v>20.5</v>
      </c>
      <c r="S3846">
        <v>19.799999237060501</v>
      </c>
      <c r="T3846">
        <v>1000</v>
      </c>
      <c r="U3846">
        <v>168</v>
      </c>
      <c r="V3846">
        <v>8</v>
      </c>
      <c r="W3846">
        <v>52</v>
      </c>
      <c r="X3846">
        <v>392</v>
      </c>
      <c r="Y3846">
        <v>58</v>
      </c>
      <c r="Z3846">
        <v>198</v>
      </c>
      <c r="AA3846">
        <v>149</v>
      </c>
      <c r="AB3846">
        <v>169.88527109925201</v>
      </c>
      <c r="AC3846">
        <v>2.0650594619849999E-2</v>
      </c>
      <c r="AD3846">
        <v>4.81896387565304</v>
      </c>
      <c r="AE3846">
        <v>0.892088958390162</v>
      </c>
      <c r="AF3846">
        <v>1544.89788732394</v>
      </c>
      <c r="AG3846">
        <f>IFERROR(AH3846*0.1, "N/A")</f>
        <v>5.77112676056338</v>
      </c>
      <c r="AH3846">
        <v>57.7112676056338</v>
      </c>
      <c r="AI3846">
        <v>87.996253013610897</v>
      </c>
      <c r="AJ3846">
        <v>44</v>
      </c>
      <c r="AK3846">
        <v>36.2887323943662</v>
      </c>
    </row>
    <row r="3847" spans="1:37" x14ac:dyDescent="0.3">
      <c r="A3847">
        <v>3846</v>
      </c>
      <c r="B3847">
        <v>5.4</v>
      </c>
      <c r="C3847">
        <v>29.8353</v>
      </c>
      <c r="D3847">
        <v>-1.47132</v>
      </c>
      <c r="E3847" t="s">
        <v>5956</v>
      </c>
      <c r="F3847" t="s">
        <v>5957</v>
      </c>
      <c r="G3847" t="s">
        <v>37</v>
      </c>
      <c r="H3847">
        <v>2008</v>
      </c>
      <c r="I3847">
        <v>16.200000762939499</v>
      </c>
      <c r="J3847">
        <v>11.3999996185303</v>
      </c>
      <c r="K3847">
        <v>89</v>
      </c>
      <c r="L3847">
        <v>2.5</v>
      </c>
      <c r="M3847">
        <v>22.600000381469702</v>
      </c>
      <c r="N3847">
        <v>9.8000001907348597</v>
      </c>
      <c r="O3847">
        <v>12.800000190734901</v>
      </c>
      <c r="P3847">
        <v>16.100000381469702</v>
      </c>
      <c r="Q3847">
        <v>16</v>
      </c>
      <c r="R3847">
        <v>16.399999618530298</v>
      </c>
      <c r="S3847">
        <v>15.8999996185303</v>
      </c>
      <c r="T3847">
        <v>1172</v>
      </c>
      <c r="U3847">
        <v>186</v>
      </c>
      <c r="V3847">
        <v>14</v>
      </c>
      <c r="W3847">
        <v>48</v>
      </c>
      <c r="X3847">
        <v>436</v>
      </c>
      <c r="Y3847">
        <v>88</v>
      </c>
      <c r="Z3847">
        <v>286</v>
      </c>
      <c r="AA3847">
        <v>164</v>
      </c>
      <c r="AB3847">
        <v>15.158571704144601</v>
      </c>
      <c r="AC3847">
        <v>0.898923340212468</v>
      </c>
      <c r="AD3847">
        <v>17.865288948045599</v>
      </c>
      <c r="AE3847">
        <v>0.28530260920524603</v>
      </c>
      <c r="AF3847">
        <v>2091.9382716049399</v>
      </c>
      <c r="AG3847">
        <f>IFERROR(AH3847*0.1, "N/A")</f>
        <v>5.2462081128747799</v>
      </c>
      <c r="AH3847">
        <v>52.462081128747798</v>
      </c>
      <c r="AI3847">
        <v>327.41498976073399</v>
      </c>
      <c r="AJ3847">
        <v>40.567901234567898</v>
      </c>
      <c r="AK3847">
        <v>32.5537918871252</v>
      </c>
    </row>
    <row r="3848" spans="1:37" x14ac:dyDescent="0.3">
      <c r="A3848">
        <v>3847</v>
      </c>
      <c r="B3848">
        <v>0</v>
      </c>
      <c r="C3848">
        <v>29.8353</v>
      </c>
      <c r="D3848">
        <v>-1.47132</v>
      </c>
      <c r="E3848" t="s">
        <v>5956</v>
      </c>
      <c r="F3848" t="s">
        <v>5958</v>
      </c>
      <c r="G3848" t="s">
        <v>39</v>
      </c>
      <c r="H3848">
        <v>2008</v>
      </c>
      <c r="I3848">
        <v>16.200000762939499</v>
      </c>
      <c r="J3848">
        <v>11.3999996185303</v>
      </c>
      <c r="K3848">
        <v>89</v>
      </c>
      <c r="L3848">
        <v>2.5</v>
      </c>
      <c r="M3848">
        <v>22.600000381469702</v>
      </c>
      <c r="N3848">
        <v>9.8000001907348597</v>
      </c>
      <c r="O3848">
        <v>12.800000190734901</v>
      </c>
      <c r="P3848">
        <v>16.100000381469702</v>
      </c>
      <c r="Q3848">
        <v>16</v>
      </c>
      <c r="R3848">
        <v>16.399999618530298</v>
      </c>
      <c r="S3848">
        <v>15.8999996185303</v>
      </c>
      <c r="T3848">
        <v>1172</v>
      </c>
      <c r="U3848">
        <v>186</v>
      </c>
      <c r="V3848">
        <v>14</v>
      </c>
      <c r="W3848">
        <v>48</v>
      </c>
      <c r="X3848">
        <v>436</v>
      </c>
      <c r="Y3848">
        <v>88</v>
      </c>
      <c r="Z3848">
        <v>286</v>
      </c>
      <c r="AA3848">
        <v>164</v>
      </c>
      <c r="AB3848">
        <v>15.158571704144601</v>
      </c>
      <c r="AC3848">
        <v>0.898923340212468</v>
      </c>
      <c r="AD3848">
        <v>17.865288948045599</v>
      </c>
      <c r="AE3848">
        <v>0.28530260920524603</v>
      </c>
      <c r="AF3848">
        <v>2091.9382716049399</v>
      </c>
      <c r="AG3848">
        <f>IFERROR(AH3848*0.1, "N/A")</f>
        <v>5.2462081128747799</v>
      </c>
      <c r="AH3848">
        <v>52.462081128747798</v>
      </c>
      <c r="AI3848">
        <v>327.41498976073399</v>
      </c>
      <c r="AJ3848">
        <v>40.567901234567898</v>
      </c>
      <c r="AK3848">
        <v>32.5537918871252</v>
      </c>
    </row>
    <row r="3849" spans="1:37" x14ac:dyDescent="0.3">
      <c r="A3849">
        <v>3848</v>
      </c>
      <c r="B3849">
        <v>6.8</v>
      </c>
      <c r="C3849">
        <v>29.835999999999999</v>
      </c>
      <c r="D3849">
        <v>-1.6724300000000001</v>
      </c>
      <c r="E3849" t="s">
        <v>5959</v>
      </c>
      <c r="F3849" t="s">
        <v>5960</v>
      </c>
      <c r="G3849" t="s">
        <v>37</v>
      </c>
      <c r="H3849">
        <v>2008</v>
      </c>
      <c r="I3849">
        <v>19.299999237060501</v>
      </c>
      <c r="J3849">
        <v>11.8999996185303</v>
      </c>
      <c r="K3849">
        <v>90</v>
      </c>
      <c r="L3849">
        <v>2.2200000286102299</v>
      </c>
      <c r="M3849">
        <v>26</v>
      </c>
      <c r="N3849">
        <v>12.800000190734901</v>
      </c>
      <c r="O3849">
        <v>13.199999809265099</v>
      </c>
      <c r="P3849">
        <v>19.200000762939499</v>
      </c>
      <c r="Q3849">
        <v>19.299999237060501</v>
      </c>
      <c r="R3849">
        <v>19.5</v>
      </c>
      <c r="S3849">
        <v>19.100000381469702</v>
      </c>
      <c r="T3849">
        <v>1271</v>
      </c>
      <c r="U3849">
        <v>207</v>
      </c>
      <c r="V3849">
        <v>14</v>
      </c>
      <c r="W3849">
        <v>50</v>
      </c>
      <c r="X3849">
        <v>494</v>
      </c>
      <c r="Y3849">
        <v>91</v>
      </c>
      <c r="Z3849">
        <v>272</v>
      </c>
      <c r="AA3849">
        <v>387</v>
      </c>
      <c r="AB3849">
        <v>62.849507542093797</v>
      </c>
      <c r="AC3849">
        <v>3.6347130393999998E-2</v>
      </c>
      <c r="AD3849">
        <v>14.838560168284801</v>
      </c>
      <c r="AE3849">
        <v>0.37898346781730702</v>
      </c>
      <c r="AF3849">
        <v>1693.4426807760101</v>
      </c>
      <c r="AG3849">
        <f>IFERROR(AH3849*0.1, "N/A")</f>
        <v>5.3000000000000007</v>
      </c>
      <c r="AH3849">
        <v>53</v>
      </c>
      <c r="AI3849">
        <v>28.065521154454199</v>
      </c>
      <c r="AJ3849">
        <v>41.202821869488503</v>
      </c>
      <c r="AK3849">
        <v>34.590828924162302</v>
      </c>
    </row>
    <row r="3850" spans="1:37" x14ac:dyDescent="0.3">
      <c r="A3850">
        <v>3849</v>
      </c>
      <c r="B3850">
        <v>0</v>
      </c>
      <c r="C3850">
        <v>29.835999999999999</v>
      </c>
      <c r="D3850">
        <v>-1.6724300000000001</v>
      </c>
      <c r="E3850" t="s">
        <v>5959</v>
      </c>
      <c r="F3850" t="s">
        <v>5961</v>
      </c>
      <c r="G3850" t="s">
        <v>39</v>
      </c>
      <c r="H3850">
        <v>2008</v>
      </c>
      <c r="I3850">
        <v>19.299999237060501</v>
      </c>
      <c r="J3850">
        <v>11.8999996185303</v>
      </c>
      <c r="K3850">
        <v>90</v>
      </c>
      <c r="L3850">
        <v>2.2200000286102299</v>
      </c>
      <c r="M3850">
        <v>26</v>
      </c>
      <c r="N3850">
        <v>12.800000190734901</v>
      </c>
      <c r="O3850">
        <v>13.199999809265099</v>
      </c>
      <c r="P3850">
        <v>19.200000762939499</v>
      </c>
      <c r="Q3850">
        <v>19.299999237060501</v>
      </c>
      <c r="R3850">
        <v>19.5</v>
      </c>
      <c r="S3850">
        <v>19.100000381469702</v>
      </c>
      <c r="T3850">
        <v>1271</v>
      </c>
      <c r="U3850">
        <v>207</v>
      </c>
      <c r="V3850">
        <v>14</v>
      </c>
      <c r="W3850">
        <v>50</v>
      </c>
      <c r="X3850">
        <v>494</v>
      </c>
      <c r="Y3850">
        <v>91</v>
      </c>
      <c r="Z3850">
        <v>272</v>
      </c>
      <c r="AA3850">
        <v>387</v>
      </c>
      <c r="AB3850">
        <v>62.849507542093797</v>
      </c>
      <c r="AC3850">
        <v>3.6347130393999998E-2</v>
      </c>
      <c r="AD3850">
        <v>14.838560168284801</v>
      </c>
      <c r="AE3850">
        <v>0.37898346781730702</v>
      </c>
      <c r="AF3850">
        <v>1693.4426807760101</v>
      </c>
      <c r="AG3850">
        <f>IFERROR(AH3850*0.1, "N/A")</f>
        <v>5.3000000000000007</v>
      </c>
      <c r="AH3850">
        <v>53</v>
      </c>
      <c r="AI3850">
        <v>28.065521154454199</v>
      </c>
      <c r="AJ3850">
        <v>41.202821869488503</v>
      </c>
      <c r="AK3850">
        <v>34.590828924162302</v>
      </c>
    </row>
    <row r="3851" spans="1:37" x14ac:dyDescent="0.3">
      <c r="A3851">
        <v>3850</v>
      </c>
      <c r="B3851">
        <v>17.799999</v>
      </c>
      <c r="C3851">
        <v>30.116699000000001</v>
      </c>
      <c r="D3851">
        <v>-1.6166700000000001</v>
      </c>
      <c r="E3851" t="s">
        <v>5962</v>
      </c>
      <c r="F3851" t="s">
        <v>5963</v>
      </c>
      <c r="G3851" t="s">
        <v>37</v>
      </c>
      <c r="H3851">
        <v>2008</v>
      </c>
      <c r="I3851">
        <v>17.186971926353301</v>
      </c>
      <c r="J3851">
        <v>11.614788931860099</v>
      </c>
      <c r="K3851">
        <v>90.369718309859195</v>
      </c>
      <c r="L3851">
        <v>2.1231514677195502</v>
      </c>
      <c r="M3851">
        <v>23.674999572861399</v>
      </c>
      <c r="N3851">
        <v>10.872183017327799</v>
      </c>
      <c r="O3851">
        <v>12.802816731828999</v>
      </c>
      <c r="P3851">
        <v>17.0869715448836</v>
      </c>
      <c r="Q3851">
        <v>17.104577245846599</v>
      </c>
      <c r="R3851">
        <v>17.361091832040099</v>
      </c>
      <c r="S3851">
        <v>16.9045775776178</v>
      </c>
      <c r="T3851">
        <v>1046.8362676056299</v>
      </c>
      <c r="U3851">
        <v>182.630281690141</v>
      </c>
      <c r="V3851">
        <v>11</v>
      </c>
      <c r="W3851">
        <v>53</v>
      </c>
      <c r="X3851">
        <v>432.86267605633799</v>
      </c>
      <c r="Y3851">
        <v>66.102112676056393</v>
      </c>
      <c r="Z3851">
        <v>207.23943661971799</v>
      </c>
      <c r="AA3851">
        <v>332.68661971831</v>
      </c>
      <c r="AB3851">
        <v>73.525314116142198</v>
      </c>
      <c r="AC3851">
        <v>9.0800623893146998E-2</v>
      </c>
      <c r="AD3851">
        <v>22.682377533173899</v>
      </c>
      <c r="AE3851">
        <v>0.70232636145722704</v>
      </c>
      <c r="AF3851">
        <v>1936.62323943662</v>
      </c>
      <c r="AG3851">
        <f>IFERROR(AH3851*0.1, "N/A")</f>
        <v>5.4</v>
      </c>
      <c r="AH3851">
        <v>54</v>
      </c>
      <c r="AI3851">
        <v>75.094214130455299</v>
      </c>
      <c r="AJ3851">
        <v>39.315140845070403</v>
      </c>
      <c r="AK3851">
        <v>37</v>
      </c>
    </row>
    <row r="3852" spans="1:37" x14ac:dyDescent="0.3">
      <c r="A3852">
        <v>3851</v>
      </c>
      <c r="B3852">
        <v>0</v>
      </c>
      <c r="C3852">
        <v>30.116699000000001</v>
      </c>
      <c r="D3852">
        <v>-1.6166700000000001</v>
      </c>
      <c r="E3852" t="s">
        <v>5962</v>
      </c>
      <c r="F3852" t="s">
        <v>5964</v>
      </c>
      <c r="G3852" t="s">
        <v>39</v>
      </c>
      <c r="H3852">
        <v>2008</v>
      </c>
      <c r="I3852">
        <v>17.186971926353301</v>
      </c>
      <c r="J3852">
        <v>11.614788931860099</v>
      </c>
      <c r="K3852">
        <v>90.369718309859195</v>
      </c>
      <c r="L3852">
        <v>2.1231514677195502</v>
      </c>
      <c r="M3852">
        <v>23.674999572861399</v>
      </c>
      <c r="N3852">
        <v>10.872183017327799</v>
      </c>
      <c r="O3852">
        <v>12.802816731828999</v>
      </c>
      <c r="P3852">
        <v>17.0869715448836</v>
      </c>
      <c r="Q3852">
        <v>17.104577245846599</v>
      </c>
      <c r="R3852">
        <v>17.361091832040099</v>
      </c>
      <c r="S3852">
        <v>16.9045775776178</v>
      </c>
      <c r="T3852">
        <v>1046.8362676056299</v>
      </c>
      <c r="U3852">
        <v>182.630281690141</v>
      </c>
      <c r="V3852">
        <v>11</v>
      </c>
      <c r="W3852">
        <v>53</v>
      </c>
      <c r="X3852">
        <v>432.86267605633799</v>
      </c>
      <c r="Y3852">
        <v>66.102112676056393</v>
      </c>
      <c r="Z3852">
        <v>207.23943661971799</v>
      </c>
      <c r="AA3852">
        <v>332.68661971831</v>
      </c>
      <c r="AB3852">
        <v>73.525314116142198</v>
      </c>
      <c r="AC3852">
        <v>9.0800623893146998E-2</v>
      </c>
      <c r="AD3852">
        <v>22.682377533173899</v>
      </c>
      <c r="AE3852">
        <v>0.70232636145722704</v>
      </c>
      <c r="AF3852">
        <v>1936.62323943662</v>
      </c>
      <c r="AG3852">
        <f>IFERROR(AH3852*0.1, "N/A")</f>
        <v>5.4</v>
      </c>
      <c r="AH3852">
        <v>54</v>
      </c>
      <c r="AI3852">
        <v>75.094214130455299</v>
      </c>
      <c r="AJ3852">
        <v>39.315140845070403</v>
      </c>
      <c r="AK3852">
        <v>37</v>
      </c>
    </row>
    <row r="3853" spans="1:37" x14ac:dyDescent="0.3">
      <c r="A3853">
        <v>3852</v>
      </c>
      <c r="B3853">
        <v>12.9</v>
      </c>
      <c r="C3853">
        <v>29.6</v>
      </c>
      <c r="D3853">
        <v>-1.5</v>
      </c>
      <c r="E3853" t="s">
        <v>5965</v>
      </c>
      <c r="F3853" t="s">
        <v>5966</v>
      </c>
      <c r="G3853" t="s">
        <v>37</v>
      </c>
      <c r="H3853">
        <v>2008</v>
      </c>
      <c r="I3853">
        <v>17.3246039003396</v>
      </c>
      <c r="J3853">
        <v>11.518277749864399</v>
      </c>
      <c r="K3853">
        <v>91.873462214411205</v>
      </c>
      <c r="L3853">
        <v>2.5279437112892</v>
      </c>
      <c r="M3853">
        <v>23.749209740878399</v>
      </c>
      <c r="N3853">
        <v>11.2182775591296</v>
      </c>
      <c r="O3853">
        <v>12.5309315163557</v>
      </c>
      <c r="P3853">
        <v>17.0309314560178</v>
      </c>
      <c r="Q3853">
        <v>17.342881650203999</v>
      </c>
      <c r="R3853">
        <v>17.476098206424499</v>
      </c>
      <c r="S3853">
        <v>16.924604281809302</v>
      </c>
      <c r="T3853">
        <v>1292.1493848857599</v>
      </c>
      <c r="U3853">
        <v>175.23901581722299</v>
      </c>
      <c r="V3853">
        <v>23.936731107205599</v>
      </c>
      <c r="W3853">
        <v>43.063268892794397</v>
      </c>
      <c r="X3853">
        <v>461.66783831282902</v>
      </c>
      <c r="Y3853">
        <v>123.48506151142399</v>
      </c>
      <c r="Z3853">
        <v>266.08084358523701</v>
      </c>
      <c r="AA3853">
        <v>370.18277680140602</v>
      </c>
      <c r="AB3853">
        <v>8.9390234117558194</v>
      </c>
      <c r="AC3853">
        <v>0.266158418576045</v>
      </c>
      <c r="AD3853">
        <v>2.1693767485174398</v>
      </c>
      <c r="AE3853">
        <v>0.52855402231216397</v>
      </c>
      <c r="AF3853">
        <v>1919.2460456941999</v>
      </c>
      <c r="AG3853">
        <f>IFERROR(AH3853*0.1, "N/A")</f>
        <v>5.7</v>
      </c>
      <c r="AH3853">
        <v>57</v>
      </c>
      <c r="AI3853">
        <v>127.59238471381499</v>
      </c>
      <c r="AJ3853">
        <v>39</v>
      </c>
      <c r="AK3853">
        <v>31.817223198594</v>
      </c>
    </row>
    <row r="3854" spans="1:37" x14ac:dyDescent="0.3">
      <c r="A3854">
        <v>3853</v>
      </c>
      <c r="B3854">
        <v>0</v>
      </c>
      <c r="C3854">
        <v>29.6</v>
      </c>
      <c r="D3854">
        <v>-1.5</v>
      </c>
      <c r="E3854" t="s">
        <v>5965</v>
      </c>
      <c r="F3854" t="s">
        <v>5967</v>
      </c>
      <c r="G3854" t="s">
        <v>39</v>
      </c>
      <c r="H3854">
        <v>2008</v>
      </c>
      <c r="I3854">
        <v>17.3246039003396</v>
      </c>
      <c r="J3854">
        <v>11.518277749864399</v>
      </c>
      <c r="K3854">
        <v>91.873462214411205</v>
      </c>
      <c r="L3854">
        <v>2.5279437112892</v>
      </c>
      <c r="M3854">
        <v>23.749209740878399</v>
      </c>
      <c r="N3854">
        <v>11.2182775591296</v>
      </c>
      <c r="O3854">
        <v>12.5309315163557</v>
      </c>
      <c r="P3854">
        <v>17.0309314560178</v>
      </c>
      <c r="Q3854">
        <v>17.342881650203999</v>
      </c>
      <c r="R3854">
        <v>17.476098206424499</v>
      </c>
      <c r="S3854">
        <v>16.924604281809302</v>
      </c>
      <c r="T3854">
        <v>1292.1493848857599</v>
      </c>
      <c r="U3854">
        <v>175.23901581722299</v>
      </c>
      <c r="V3854">
        <v>23.936731107205599</v>
      </c>
      <c r="W3854">
        <v>43.063268892794397</v>
      </c>
      <c r="X3854">
        <v>461.66783831282902</v>
      </c>
      <c r="Y3854">
        <v>123.48506151142399</v>
      </c>
      <c r="Z3854">
        <v>266.08084358523701</v>
      </c>
      <c r="AA3854">
        <v>370.18277680140602</v>
      </c>
      <c r="AB3854">
        <v>8.9390234117558194</v>
      </c>
      <c r="AC3854">
        <v>0.266158418576045</v>
      </c>
      <c r="AD3854">
        <v>2.1693767485174398</v>
      </c>
      <c r="AE3854">
        <v>0.52855402231216397</v>
      </c>
      <c r="AF3854">
        <v>1919.2460456941999</v>
      </c>
      <c r="AG3854">
        <f>IFERROR(AH3854*0.1, "N/A")</f>
        <v>5.7</v>
      </c>
      <c r="AH3854">
        <v>57</v>
      </c>
      <c r="AI3854">
        <v>127.59238471381499</v>
      </c>
      <c r="AJ3854">
        <v>39</v>
      </c>
      <c r="AK3854">
        <v>31.817223198594</v>
      </c>
    </row>
    <row r="3855" spans="1:37" x14ac:dyDescent="0.3">
      <c r="A3855">
        <v>3854</v>
      </c>
      <c r="B3855">
        <v>0</v>
      </c>
      <c r="C3855">
        <v>30.023499999999999</v>
      </c>
      <c r="D3855">
        <v>-1.7383200000000001</v>
      </c>
      <c r="E3855" t="s">
        <v>5968</v>
      </c>
      <c r="F3855" t="s">
        <v>5969</v>
      </c>
      <c r="G3855" t="s">
        <v>37</v>
      </c>
      <c r="H3855">
        <v>2008</v>
      </c>
      <c r="I3855">
        <v>18.600000381469702</v>
      </c>
      <c r="J3855">
        <v>11.699999809265099</v>
      </c>
      <c r="K3855">
        <v>88</v>
      </c>
      <c r="L3855">
        <v>2.82999992370606</v>
      </c>
      <c r="M3855">
        <v>25.399999618530298</v>
      </c>
      <c r="N3855">
        <v>12.199999809265099</v>
      </c>
      <c r="O3855">
        <v>13.199999809265099</v>
      </c>
      <c r="P3855">
        <v>18.5</v>
      </c>
      <c r="Q3855">
        <v>18.600000381469702</v>
      </c>
      <c r="R3855">
        <v>18.899999618530298</v>
      </c>
      <c r="S3855">
        <v>18.299999237060501</v>
      </c>
      <c r="T3855">
        <v>1102</v>
      </c>
      <c r="U3855">
        <v>192</v>
      </c>
      <c r="V3855">
        <v>11</v>
      </c>
      <c r="W3855">
        <v>53</v>
      </c>
      <c r="X3855">
        <v>452</v>
      </c>
      <c r="Y3855">
        <v>69</v>
      </c>
      <c r="Z3855">
        <v>216</v>
      </c>
      <c r="AA3855">
        <v>351</v>
      </c>
      <c r="AB3855">
        <v>193.32761719608101</v>
      </c>
      <c r="AC3855">
        <v>8.5440033978019993E-3</v>
      </c>
      <c r="AD3855">
        <v>29.598822015450601</v>
      </c>
      <c r="AE3855">
        <v>0.73779636621475198</v>
      </c>
      <c r="AF3855">
        <v>1868.2249560632699</v>
      </c>
      <c r="AG3855">
        <f>IFERROR(AH3855*0.1, "N/A")</f>
        <v>5.4</v>
      </c>
      <c r="AH3855">
        <v>54</v>
      </c>
      <c r="AI3855">
        <v>203.35262452780901</v>
      </c>
      <c r="AJ3855">
        <v>42</v>
      </c>
      <c r="AK3855">
        <v>36.4481546572935</v>
      </c>
    </row>
    <row r="3856" spans="1:37" x14ac:dyDescent="0.3">
      <c r="A3856">
        <v>3855</v>
      </c>
      <c r="B3856">
        <v>0</v>
      </c>
      <c r="C3856">
        <v>30.023499999999999</v>
      </c>
      <c r="D3856">
        <v>-1.7383200000000001</v>
      </c>
      <c r="E3856" t="s">
        <v>5968</v>
      </c>
      <c r="F3856" t="s">
        <v>5970</v>
      </c>
      <c r="G3856" t="s">
        <v>39</v>
      </c>
      <c r="H3856">
        <v>2008</v>
      </c>
      <c r="I3856">
        <v>18.600000381469702</v>
      </c>
      <c r="J3856">
        <v>11.699999809265099</v>
      </c>
      <c r="K3856">
        <v>88</v>
      </c>
      <c r="L3856">
        <v>2.82999992370606</v>
      </c>
      <c r="M3856">
        <v>25.399999618530298</v>
      </c>
      <c r="N3856">
        <v>12.199999809265099</v>
      </c>
      <c r="O3856">
        <v>13.199999809265099</v>
      </c>
      <c r="P3856">
        <v>18.5</v>
      </c>
      <c r="Q3856">
        <v>18.600000381469702</v>
      </c>
      <c r="R3856">
        <v>18.899999618530298</v>
      </c>
      <c r="S3856">
        <v>18.299999237060501</v>
      </c>
      <c r="T3856">
        <v>1102</v>
      </c>
      <c r="U3856">
        <v>192</v>
      </c>
      <c r="V3856">
        <v>11</v>
      </c>
      <c r="W3856">
        <v>53</v>
      </c>
      <c r="X3856">
        <v>452</v>
      </c>
      <c r="Y3856">
        <v>69</v>
      </c>
      <c r="Z3856">
        <v>216</v>
      </c>
      <c r="AA3856">
        <v>351</v>
      </c>
      <c r="AB3856">
        <v>193.32761719608101</v>
      </c>
      <c r="AC3856">
        <v>8.5440033978019993E-3</v>
      </c>
      <c r="AD3856">
        <v>29.598822015450601</v>
      </c>
      <c r="AE3856">
        <v>0.73779636621475198</v>
      </c>
      <c r="AF3856">
        <v>1868.2249560632699</v>
      </c>
      <c r="AG3856">
        <f>IFERROR(AH3856*0.1, "N/A")</f>
        <v>5.4</v>
      </c>
      <c r="AH3856">
        <v>54</v>
      </c>
      <c r="AI3856">
        <v>203.35262452780901</v>
      </c>
      <c r="AJ3856">
        <v>42</v>
      </c>
      <c r="AK3856">
        <v>36.4481546572935</v>
      </c>
    </row>
    <row r="3857" spans="1:37" x14ac:dyDescent="0.3">
      <c r="A3857">
        <v>3856</v>
      </c>
      <c r="B3857">
        <v>0.4</v>
      </c>
      <c r="C3857">
        <v>29.85</v>
      </c>
      <c r="D3857">
        <v>-2.6166700000000001</v>
      </c>
      <c r="E3857" t="s">
        <v>5971</v>
      </c>
      <c r="F3857" t="s">
        <v>5972</v>
      </c>
      <c r="G3857" t="s">
        <v>37</v>
      </c>
      <c r="H3857">
        <v>2008</v>
      </c>
      <c r="I3857">
        <v>19.754577112869502</v>
      </c>
      <c r="J3857">
        <v>11.132570471562101</v>
      </c>
      <c r="K3857">
        <v>81.232394366197198</v>
      </c>
      <c r="L3857">
        <v>3.4791021502353798</v>
      </c>
      <c r="M3857">
        <v>26.9545775836622</v>
      </c>
      <c r="N3857">
        <v>13.308450851641901</v>
      </c>
      <c r="O3857">
        <v>13.646126732020299</v>
      </c>
      <c r="P3857">
        <v>19.554577521874901</v>
      </c>
      <c r="Q3857">
        <v>19.754577112869502</v>
      </c>
      <c r="R3857">
        <v>20.185211530873499</v>
      </c>
      <c r="S3857">
        <v>19.439260623824399</v>
      </c>
      <c r="T3857">
        <v>1152.3661971831</v>
      </c>
      <c r="U3857">
        <v>184.52816901408499</v>
      </c>
      <c r="V3857">
        <v>6</v>
      </c>
      <c r="W3857">
        <v>54.306338028169002</v>
      </c>
      <c r="X3857">
        <v>451.06338028169</v>
      </c>
      <c r="Y3857">
        <v>49.521126760563398</v>
      </c>
      <c r="Z3857">
        <v>210.68133802816899</v>
      </c>
      <c r="AA3857">
        <v>325.51760563380299</v>
      </c>
      <c r="AB3857">
        <v>27.1160037618288</v>
      </c>
      <c r="AC3857">
        <v>4.3823089778528002E-2</v>
      </c>
      <c r="AD3857">
        <v>11.781496498786201</v>
      </c>
      <c r="AE3857">
        <v>0.44289520382881198</v>
      </c>
      <c r="AF3857">
        <v>1583.87323943662</v>
      </c>
      <c r="AG3857">
        <f>IFERROR(AH3857*0.1, "N/A")</f>
        <v>5.3000000000000007</v>
      </c>
      <c r="AH3857">
        <v>53</v>
      </c>
      <c r="AI3857">
        <v>289.41598650435299</v>
      </c>
      <c r="AJ3857">
        <v>38.799295774647902</v>
      </c>
      <c r="AK3857">
        <v>42.799295774647902</v>
      </c>
    </row>
    <row r="3858" spans="1:37" x14ac:dyDescent="0.3">
      <c r="A3858">
        <v>3857</v>
      </c>
      <c r="B3858">
        <v>0</v>
      </c>
      <c r="C3858">
        <v>29.85</v>
      </c>
      <c r="D3858">
        <v>-2.6166700000000001</v>
      </c>
      <c r="E3858" t="s">
        <v>5971</v>
      </c>
      <c r="F3858" t="s">
        <v>5973</v>
      </c>
      <c r="G3858" t="s">
        <v>39</v>
      </c>
      <c r="H3858">
        <v>2008</v>
      </c>
      <c r="I3858">
        <v>19.754577112869502</v>
      </c>
      <c r="J3858">
        <v>11.132570471562101</v>
      </c>
      <c r="K3858">
        <v>81.232394366197198</v>
      </c>
      <c r="L3858">
        <v>3.4791021502353798</v>
      </c>
      <c r="M3858">
        <v>26.9545775836622</v>
      </c>
      <c r="N3858">
        <v>13.308450851641901</v>
      </c>
      <c r="O3858">
        <v>13.646126732020299</v>
      </c>
      <c r="P3858">
        <v>19.554577521874901</v>
      </c>
      <c r="Q3858">
        <v>19.754577112869502</v>
      </c>
      <c r="R3858">
        <v>20.185211530873499</v>
      </c>
      <c r="S3858">
        <v>19.439260623824399</v>
      </c>
      <c r="T3858">
        <v>1152.3661971831</v>
      </c>
      <c r="U3858">
        <v>184.52816901408499</v>
      </c>
      <c r="V3858">
        <v>6</v>
      </c>
      <c r="W3858">
        <v>54.306338028169002</v>
      </c>
      <c r="X3858">
        <v>451.06338028169</v>
      </c>
      <c r="Y3858">
        <v>49.521126760563398</v>
      </c>
      <c r="Z3858">
        <v>210.68133802816899</v>
      </c>
      <c r="AA3858">
        <v>325.51760563380299</v>
      </c>
      <c r="AB3858">
        <v>27.1160037618288</v>
      </c>
      <c r="AC3858">
        <v>4.3823089778528002E-2</v>
      </c>
      <c r="AD3858">
        <v>11.781496498786201</v>
      </c>
      <c r="AE3858">
        <v>0.44289520382881198</v>
      </c>
      <c r="AF3858">
        <v>1583.87323943662</v>
      </c>
      <c r="AG3858">
        <f>IFERROR(AH3858*0.1, "N/A")</f>
        <v>5.3000000000000007</v>
      </c>
      <c r="AH3858">
        <v>53</v>
      </c>
      <c r="AI3858">
        <v>289.41598650435299</v>
      </c>
      <c r="AJ3858">
        <v>38.799295774647902</v>
      </c>
      <c r="AK3858">
        <v>42.799295774647902</v>
      </c>
    </row>
    <row r="3859" spans="1:37" x14ac:dyDescent="0.3">
      <c r="A3859">
        <v>3858</v>
      </c>
      <c r="B3859">
        <v>0</v>
      </c>
      <c r="C3859">
        <v>29.688998999999999</v>
      </c>
      <c r="D3859">
        <v>-2.5851099999999998</v>
      </c>
      <c r="E3859" t="s">
        <v>5974</v>
      </c>
      <c r="F3859" t="s">
        <v>5975</v>
      </c>
      <c r="G3859" t="s">
        <v>37</v>
      </c>
      <c r="H3859">
        <v>2008</v>
      </c>
      <c r="I3859">
        <v>18.5</v>
      </c>
      <c r="J3859">
        <v>10.800000190734901</v>
      </c>
      <c r="K3859">
        <v>81</v>
      </c>
      <c r="L3859">
        <v>4.3400001525878897</v>
      </c>
      <c r="M3859">
        <v>25.5</v>
      </c>
      <c r="N3859">
        <v>12.300000190734901</v>
      </c>
      <c r="O3859">
        <v>13.199999809265099</v>
      </c>
      <c r="P3859">
        <v>18.399999618530298</v>
      </c>
      <c r="Q3859">
        <v>18.5</v>
      </c>
      <c r="R3859">
        <v>19.100000381469702</v>
      </c>
      <c r="S3859">
        <v>18.200000762939499</v>
      </c>
      <c r="T3859">
        <v>1193</v>
      </c>
      <c r="U3859">
        <v>199</v>
      </c>
      <c r="V3859">
        <v>6</v>
      </c>
      <c r="W3859">
        <v>55</v>
      </c>
      <c r="X3859">
        <v>484</v>
      </c>
      <c r="Y3859">
        <v>57</v>
      </c>
      <c r="Z3859">
        <v>215</v>
      </c>
      <c r="AA3859">
        <v>171</v>
      </c>
      <c r="AB3859">
        <v>85.783601301625694</v>
      </c>
      <c r="AC3859">
        <v>1.4182190314223001E-2</v>
      </c>
      <c r="AD3859">
        <v>6.6210878184474398</v>
      </c>
      <c r="AE3859">
        <v>0.56987480465682805</v>
      </c>
      <c r="AF3859">
        <v>1827.6309314586999</v>
      </c>
      <c r="AG3859">
        <f>IFERROR(AH3859*0.1, "N/A")</f>
        <v>5.5304042179261899</v>
      </c>
      <c r="AH3859">
        <v>55.304042179261899</v>
      </c>
      <c r="AI3859">
        <v>73.957239087310995</v>
      </c>
      <c r="AJ3859">
        <v>41.558875219683699</v>
      </c>
      <c r="AK3859">
        <v>37.231985940246098</v>
      </c>
    </row>
    <row r="3860" spans="1:37" x14ac:dyDescent="0.3">
      <c r="A3860">
        <v>3859</v>
      </c>
      <c r="B3860">
        <v>0</v>
      </c>
      <c r="C3860">
        <v>29.688998999999999</v>
      </c>
      <c r="D3860">
        <v>-2.5851099999999998</v>
      </c>
      <c r="E3860" t="s">
        <v>5974</v>
      </c>
      <c r="F3860" t="s">
        <v>5976</v>
      </c>
      <c r="G3860" t="s">
        <v>39</v>
      </c>
      <c r="H3860">
        <v>2008</v>
      </c>
      <c r="I3860">
        <v>18.5</v>
      </c>
      <c r="J3860">
        <v>10.800000190734901</v>
      </c>
      <c r="K3860">
        <v>81</v>
      </c>
      <c r="L3860">
        <v>4.3400001525878897</v>
      </c>
      <c r="M3860">
        <v>25.5</v>
      </c>
      <c r="N3860">
        <v>12.300000190734901</v>
      </c>
      <c r="O3860">
        <v>13.199999809265099</v>
      </c>
      <c r="P3860">
        <v>18.399999618530298</v>
      </c>
      <c r="Q3860">
        <v>18.5</v>
      </c>
      <c r="R3860">
        <v>19.100000381469702</v>
      </c>
      <c r="S3860">
        <v>18.200000762939499</v>
      </c>
      <c r="T3860">
        <v>1193</v>
      </c>
      <c r="U3860">
        <v>199</v>
      </c>
      <c r="V3860">
        <v>6</v>
      </c>
      <c r="W3860">
        <v>55</v>
      </c>
      <c r="X3860">
        <v>484</v>
      </c>
      <c r="Y3860">
        <v>57</v>
      </c>
      <c r="Z3860">
        <v>215</v>
      </c>
      <c r="AA3860">
        <v>171</v>
      </c>
      <c r="AB3860">
        <v>85.783601301625694</v>
      </c>
      <c r="AC3860">
        <v>1.4182190314223001E-2</v>
      </c>
      <c r="AD3860">
        <v>6.6210878184474398</v>
      </c>
      <c r="AE3860">
        <v>0.56987480465682805</v>
      </c>
      <c r="AF3860">
        <v>1827.6309314586999</v>
      </c>
      <c r="AG3860">
        <f>IFERROR(AH3860*0.1, "N/A")</f>
        <v>5.5304042179261899</v>
      </c>
      <c r="AH3860">
        <v>55.304042179261899</v>
      </c>
      <c r="AI3860">
        <v>73.957239087310995</v>
      </c>
      <c r="AJ3860">
        <v>41.558875219683699</v>
      </c>
      <c r="AK3860">
        <v>37.231985940246098</v>
      </c>
    </row>
    <row r="3861" spans="1:37" x14ac:dyDescent="0.3">
      <c r="A3861">
        <v>3860</v>
      </c>
      <c r="B3861">
        <v>0</v>
      </c>
      <c r="C3861">
        <v>29.887501</v>
      </c>
      <c r="D3861">
        <v>-1.9963599999999999</v>
      </c>
      <c r="E3861" t="s">
        <v>5977</v>
      </c>
      <c r="F3861" t="s">
        <v>5978</v>
      </c>
      <c r="G3861" t="s">
        <v>37</v>
      </c>
      <c r="H3861">
        <v>2008</v>
      </c>
      <c r="I3861">
        <v>19.600000381469702</v>
      </c>
      <c r="J3861">
        <v>11.3999996185303</v>
      </c>
      <c r="K3861">
        <v>86</v>
      </c>
      <c r="L3861">
        <v>2.92000007629394</v>
      </c>
      <c r="M3861">
        <v>26.5</v>
      </c>
      <c r="N3861">
        <v>13.300000190734901</v>
      </c>
      <c r="O3861">
        <v>13.199999809265099</v>
      </c>
      <c r="P3861">
        <v>19.600000381469702</v>
      </c>
      <c r="Q3861">
        <v>19.600000381469702</v>
      </c>
      <c r="R3861">
        <v>19.899999618530298</v>
      </c>
      <c r="S3861">
        <v>19.399999618530298</v>
      </c>
      <c r="T3861">
        <v>1129</v>
      </c>
      <c r="U3861">
        <v>187</v>
      </c>
      <c r="V3861">
        <v>10</v>
      </c>
      <c r="W3861">
        <v>51</v>
      </c>
      <c r="X3861">
        <v>446</v>
      </c>
      <c r="Y3861">
        <v>70</v>
      </c>
      <c r="Z3861">
        <v>123</v>
      </c>
      <c r="AA3861">
        <v>352</v>
      </c>
      <c r="AB3861">
        <v>68.582217466223597</v>
      </c>
      <c r="AC3861">
        <v>1.7806206278254001E-2</v>
      </c>
      <c r="AD3861">
        <v>12.0393864006485</v>
      </c>
      <c r="AE3861">
        <v>0.432547777891159</v>
      </c>
      <c r="AF3861">
        <v>1659.21792618629</v>
      </c>
      <c r="AG3861">
        <f>IFERROR(AH3861*0.1, "N/A")</f>
        <v>5.2789103690685408</v>
      </c>
      <c r="AH3861">
        <v>52.789103690685401</v>
      </c>
      <c r="AI3861">
        <v>225.22752152427799</v>
      </c>
      <c r="AJ3861">
        <v>41.217926186291699</v>
      </c>
      <c r="AK3861">
        <v>40.571177504393702</v>
      </c>
    </row>
    <row r="3862" spans="1:37" x14ac:dyDescent="0.3">
      <c r="A3862">
        <v>3861</v>
      </c>
      <c r="B3862">
        <v>0</v>
      </c>
      <c r="C3862">
        <v>29.887501</v>
      </c>
      <c r="D3862">
        <v>-1.9963599999999999</v>
      </c>
      <c r="E3862" t="s">
        <v>5977</v>
      </c>
      <c r="F3862" t="s">
        <v>5979</v>
      </c>
      <c r="G3862" t="s">
        <v>39</v>
      </c>
      <c r="H3862">
        <v>2008</v>
      </c>
      <c r="I3862">
        <v>19.600000381469702</v>
      </c>
      <c r="J3862">
        <v>11.3999996185303</v>
      </c>
      <c r="K3862">
        <v>86</v>
      </c>
      <c r="L3862">
        <v>2.92000007629394</v>
      </c>
      <c r="M3862">
        <v>26.5</v>
      </c>
      <c r="N3862">
        <v>13.300000190734901</v>
      </c>
      <c r="O3862">
        <v>13.199999809265099</v>
      </c>
      <c r="P3862">
        <v>19.600000381469702</v>
      </c>
      <c r="Q3862">
        <v>19.600000381469702</v>
      </c>
      <c r="R3862">
        <v>19.899999618530298</v>
      </c>
      <c r="S3862">
        <v>19.399999618530298</v>
      </c>
      <c r="T3862">
        <v>1129</v>
      </c>
      <c r="U3862">
        <v>187</v>
      </c>
      <c r="V3862">
        <v>10</v>
      </c>
      <c r="W3862">
        <v>51</v>
      </c>
      <c r="X3862">
        <v>446</v>
      </c>
      <c r="Y3862">
        <v>70</v>
      </c>
      <c r="Z3862">
        <v>123</v>
      </c>
      <c r="AA3862">
        <v>352</v>
      </c>
      <c r="AB3862">
        <v>68.582217466223597</v>
      </c>
      <c r="AC3862">
        <v>1.7806206278254001E-2</v>
      </c>
      <c r="AD3862">
        <v>12.0393864006485</v>
      </c>
      <c r="AE3862">
        <v>0.432547777891159</v>
      </c>
      <c r="AF3862">
        <v>1659.21792618629</v>
      </c>
      <c r="AG3862">
        <f>IFERROR(AH3862*0.1, "N/A")</f>
        <v>5.2789103690685408</v>
      </c>
      <c r="AH3862">
        <v>52.789103690685401</v>
      </c>
      <c r="AI3862">
        <v>225.22752152427799</v>
      </c>
      <c r="AJ3862">
        <v>41.217926186291699</v>
      </c>
      <c r="AK3862">
        <v>40.571177504393702</v>
      </c>
    </row>
    <row r="3863" spans="1:37" x14ac:dyDescent="0.3">
      <c r="A3863">
        <v>3862</v>
      </c>
      <c r="B3863">
        <v>0.4</v>
      </c>
      <c r="C3863">
        <v>29.741899</v>
      </c>
      <c r="D3863">
        <v>-1.87764</v>
      </c>
      <c r="E3863" t="s">
        <v>5980</v>
      </c>
      <c r="F3863" t="s">
        <v>5981</v>
      </c>
      <c r="G3863" t="s">
        <v>37</v>
      </c>
      <c r="H3863">
        <v>2008</v>
      </c>
      <c r="I3863">
        <v>19.377504140924302</v>
      </c>
      <c r="J3863">
        <v>11.4887521539296</v>
      </c>
      <c r="K3863">
        <v>88</v>
      </c>
      <c r="L3863">
        <v>2.4266257290261901</v>
      </c>
      <c r="M3863">
        <v>25.977504307859199</v>
      </c>
      <c r="N3863">
        <v>12.9887521539296</v>
      </c>
      <c r="O3863">
        <v>12.9887521539296</v>
      </c>
      <c r="P3863">
        <v>19.2775037594545</v>
      </c>
      <c r="Q3863">
        <v>19.288751605525</v>
      </c>
      <c r="R3863">
        <v>19.577504689328901</v>
      </c>
      <c r="S3863">
        <v>19.077504689328901</v>
      </c>
      <c r="T3863">
        <v>1224.78734622144</v>
      </c>
      <c r="U3863">
        <v>194.112478031634</v>
      </c>
      <c r="V3863">
        <v>13</v>
      </c>
      <c r="W3863">
        <v>48.112478031634403</v>
      </c>
      <c r="X3863">
        <v>473.44991212653798</v>
      </c>
      <c r="Y3863">
        <v>86</v>
      </c>
      <c r="Z3863">
        <v>247.627416520211</v>
      </c>
      <c r="AA3863">
        <v>374.44991212653798</v>
      </c>
      <c r="AB3863">
        <v>25.855677492379701</v>
      </c>
      <c r="AC3863">
        <v>2.4128588770887999E-2</v>
      </c>
      <c r="AD3863">
        <v>13.3848781432753</v>
      </c>
      <c r="AE3863">
        <v>0.72319066524505604</v>
      </c>
      <c r="AF3863">
        <v>1672.8927943761</v>
      </c>
      <c r="AG3863">
        <f>IFERROR(AH3863*0.1, "N/A")</f>
        <v>5.3000000000000007</v>
      </c>
      <c r="AH3863">
        <v>53</v>
      </c>
      <c r="AI3863">
        <v>111.057931809518</v>
      </c>
      <c r="AJ3863">
        <v>43.0861159929701</v>
      </c>
      <c r="AK3863">
        <v>34.833040421792603</v>
      </c>
    </row>
    <row r="3864" spans="1:37" x14ac:dyDescent="0.3">
      <c r="A3864">
        <v>3863</v>
      </c>
      <c r="B3864">
        <v>0</v>
      </c>
      <c r="C3864">
        <v>29.741899</v>
      </c>
      <c r="D3864">
        <v>-1.87764</v>
      </c>
      <c r="E3864" t="s">
        <v>5980</v>
      </c>
      <c r="F3864" t="s">
        <v>5982</v>
      </c>
      <c r="G3864" t="s">
        <v>39</v>
      </c>
      <c r="H3864">
        <v>2008</v>
      </c>
      <c r="I3864">
        <v>19.377504140924302</v>
      </c>
      <c r="J3864">
        <v>11.4887521539296</v>
      </c>
      <c r="K3864">
        <v>88</v>
      </c>
      <c r="L3864">
        <v>2.4266257290261901</v>
      </c>
      <c r="M3864">
        <v>25.977504307859199</v>
      </c>
      <c r="N3864">
        <v>12.9887521539296</v>
      </c>
      <c r="O3864">
        <v>12.9887521539296</v>
      </c>
      <c r="P3864">
        <v>19.2775037594545</v>
      </c>
      <c r="Q3864">
        <v>19.288751605525</v>
      </c>
      <c r="R3864">
        <v>19.577504689328901</v>
      </c>
      <c r="S3864">
        <v>19.077504689328901</v>
      </c>
      <c r="T3864">
        <v>1224.78734622144</v>
      </c>
      <c r="U3864">
        <v>194.112478031634</v>
      </c>
      <c r="V3864">
        <v>13</v>
      </c>
      <c r="W3864">
        <v>48.112478031634403</v>
      </c>
      <c r="X3864">
        <v>473.44991212653798</v>
      </c>
      <c r="Y3864">
        <v>86</v>
      </c>
      <c r="Z3864">
        <v>247.627416520211</v>
      </c>
      <c r="AA3864">
        <v>374.44991212653798</v>
      </c>
      <c r="AB3864">
        <v>25.855677492379701</v>
      </c>
      <c r="AC3864">
        <v>2.4128588770887999E-2</v>
      </c>
      <c r="AD3864">
        <v>13.3848781432753</v>
      </c>
      <c r="AE3864">
        <v>0.72319066524505604</v>
      </c>
      <c r="AF3864">
        <v>1672.8927943761</v>
      </c>
      <c r="AG3864">
        <f>IFERROR(AH3864*0.1, "N/A")</f>
        <v>5.3000000000000007</v>
      </c>
      <c r="AH3864">
        <v>53</v>
      </c>
      <c r="AI3864">
        <v>111.057931809518</v>
      </c>
      <c r="AJ3864">
        <v>43.0861159929701</v>
      </c>
      <c r="AK3864">
        <v>34.833040421792603</v>
      </c>
    </row>
    <row r="3865" spans="1:37" x14ac:dyDescent="0.3">
      <c r="A3865">
        <v>3864</v>
      </c>
      <c r="B3865">
        <v>0</v>
      </c>
      <c r="C3865">
        <v>29.466699999999999</v>
      </c>
      <c r="D3865">
        <v>-2.4</v>
      </c>
      <c r="E3865" t="s">
        <v>5983</v>
      </c>
      <c r="F3865" t="s">
        <v>5984</v>
      </c>
      <c r="G3865" t="s">
        <v>37</v>
      </c>
      <c r="H3865">
        <v>2008</v>
      </c>
      <c r="I3865">
        <v>16.4351495933868</v>
      </c>
      <c r="J3865">
        <v>10.2335677507263</v>
      </c>
      <c r="K3865">
        <v>83.425307557117705</v>
      </c>
      <c r="L3865">
        <v>3.47973631681164</v>
      </c>
      <c r="M3865">
        <v>22.942003749586</v>
      </c>
      <c r="N3865">
        <v>10.750966368744001</v>
      </c>
      <c r="O3865">
        <v>12.191037087532701</v>
      </c>
      <c r="P3865">
        <v>16.38453428607</v>
      </c>
      <c r="Q3865">
        <v>16.484534667539702</v>
      </c>
      <c r="R3865">
        <v>16.916520194135799</v>
      </c>
      <c r="S3865">
        <v>16.150966242034301</v>
      </c>
      <c r="T3865">
        <v>1422.5114235500901</v>
      </c>
      <c r="U3865">
        <v>219.64499121265399</v>
      </c>
      <c r="V3865">
        <v>9.5061511423550105</v>
      </c>
      <c r="W3865">
        <v>51</v>
      </c>
      <c r="X3865">
        <v>553.81195079086103</v>
      </c>
      <c r="Y3865">
        <v>82.518453427064998</v>
      </c>
      <c r="Z3865">
        <v>243.91212653778601</v>
      </c>
      <c r="AA3865">
        <v>428.131810193322</v>
      </c>
      <c r="AB3865">
        <v>30.3663158450269</v>
      </c>
      <c r="AC3865">
        <v>5.6736595892660002E-2</v>
      </c>
      <c r="AD3865">
        <v>9.9352056804147502</v>
      </c>
      <c r="AE3865">
        <v>0.63060718774795499</v>
      </c>
      <c r="AF3865">
        <v>2051.4604569419998</v>
      </c>
      <c r="AG3865">
        <f>IFERROR(AH3865*0.1, "N/A")</f>
        <v>5.1347978910369108</v>
      </c>
      <c r="AH3865">
        <v>51.3479789103691</v>
      </c>
      <c r="AI3865">
        <v>113.951698625025</v>
      </c>
      <c r="AJ3865">
        <v>45.6520210896309</v>
      </c>
      <c r="AK3865">
        <v>30.6520210896309</v>
      </c>
    </row>
    <row r="3866" spans="1:37" x14ac:dyDescent="0.3">
      <c r="A3866">
        <v>3865</v>
      </c>
      <c r="B3866">
        <v>0</v>
      </c>
      <c r="C3866">
        <v>29.466699999999999</v>
      </c>
      <c r="D3866">
        <v>-2.4</v>
      </c>
      <c r="E3866" t="s">
        <v>5983</v>
      </c>
      <c r="F3866" t="s">
        <v>5985</v>
      </c>
      <c r="G3866" t="s">
        <v>39</v>
      </c>
      <c r="H3866">
        <v>2008</v>
      </c>
      <c r="I3866">
        <v>16.4351495933868</v>
      </c>
      <c r="J3866">
        <v>10.2335677507263</v>
      </c>
      <c r="K3866">
        <v>83.425307557117705</v>
      </c>
      <c r="L3866">
        <v>3.47973631681164</v>
      </c>
      <c r="M3866">
        <v>22.942003749586</v>
      </c>
      <c r="N3866">
        <v>10.750966368744001</v>
      </c>
      <c r="O3866">
        <v>12.191037087532701</v>
      </c>
      <c r="P3866">
        <v>16.38453428607</v>
      </c>
      <c r="Q3866">
        <v>16.484534667539702</v>
      </c>
      <c r="R3866">
        <v>16.916520194135799</v>
      </c>
      <c r="S3866">
        <v>16.150966242034301</v>
      </c>
      <c r="T3866">
        <v>1422.5114235500901</v>
      </c>
      <c r="U3866">
        <v>219.64499121265399</v>
      </c>
      <c r="V3866">
        <v>9.5061511423550105</v>
      </c>
      <c r="W3866">
        <v>51</v>
      </c>
      <c r="X3866">
        <v>553.81195079086103</v>
      </c>
      <c r="Y3866">
        <v>82.518453427064998</v>
      </c>
      <c r="Z3866">
        <v>243.91212653778601</v>
      </c>
      <c r="AA3866">
        <v>428.131810193322</v>
      </c>
      <c r="AB3866">
        <v>30.3663158450269</v>
      </c>
      <c r="AC3866">
        <v>5.6736595892660002E-2</v>
      </c>
      <c r="AD3866">
        <v>9.9352056804147502</v>
      </c>
      <c r="AE3866">
        <v>0.63060718774795499</v>
      </c>
      <c r="AF3866">
        <v>2051.4604569419998</v>
      </c>
      <c r="AG3866">
        <f>IFERROR(AH3866*0.1, "N/A")</f>
        <v>5.1347978910369108</v>
      </c>
      <c r="AH3866">
        <v>51.3479789103691</v>
      </c>
      <c r="AI3866">
        <v>113.951698625025</v>
      </c>
      <c r="AJ3866">
        <v>45.6520210896309</v>
      </c>
      <c r="AK3866">
        <v>30.6520210896309</v>
      </c>
    </row>
    <row r="3867" spans="1:37" x14ac:dyDescent="0.3">
      <c r="A3867">
        <v>3866</v>
      </c>
      <c r="B3867">
        <v>0</v>
      </c>
      <c r="C3867">
        <v>29.5</v>
      </c>
      <c r="D3867">
        <v>-2.5</v>
      </c>
      <c r="E3867" t="s">
        <v>5986</v>
      </c>
      <c r="F3867" t="s">
        <v>5987</v>
      </c>
      <c r="G3867" t="s">
        <v>37</v>
      </c>
      <c r="H3867">
        <v>2008</v>
      </c>
      <c r="I3867">
        <v>16.323373931991998</v>
      </c>
      <c r="J3867">
        <v>10.270826089989701</v>
      </c>
      <c r="K3867">
        <v>82.847100175746903</v>
      </c>
      <c r="L3867">
        <v>3.7389103134403299</v>
      </c>
      <c r="M3867">
        <v>22.909490253468601</v>
      </c>
      <c r="N3867">
        <v>10.586116321476601</v>
      </c>
      <c r="O3867">
        <v>12.323374265526599</v>
      </c>
      <c r="P3867">
        <v>16.209490422414799</v>
      </c>
      <c r="Q3867">
        <v>16.338663972744001</v>
      </c>
      <c r="R3867">
        <v>16.824779912750799</v>
      </c>
      <c r="S3867">
        <v>16.023374430115101</v>
      </c>
      <c r="T3867">
        <v>1429.15289982425</v>
      </c>
      <c r="U3867">
        <v>225.050966608084</v>
      </c>
      <c r="V3867">
        <v>8.1388400702987695</v>
      </c>
      <c r="W3867">
        <v>52.335676625658998</v>
      </c>
      <c r="X3867">
        <v>562.56942003514905</v>
      </c>
      <c r="Y3867">
        <v>77.467486818980703</v>
      </c>
      <c r="Z3867">
        <v>238.240773286467</v>
      </c>
      <c r="AA3867">
        <v>434.49736379613398</v>
      </c>
      <c r="AB3867">
        <v>40.389236745180703</v>
      </c>
      <c r="AC3867">
        <v>1.7680106943175001E-2</v>
      </c>
      <c r="AD3867">
        <v>10.977437797036901</v>
      </c>
      <c r="AE3867">
        <v>0.78125435113906905</v>
      </c>
      <c r="AF3867">
        <v>2094.8049209138799</v>
      </c>
      <c r="AG3867">
        <f>IFERROR(AH3867*0.1, "N/A")</f>
        <v>5.2</v>
      </c>
      <c r="AH3867">
        <v>52</v>
      </c>
      <c r="AI3867">
        <v>203.01645508885201</v>
      </c>
      <c r="AJ3867">
        <v>42</v>
      </c>
      <c r="AK3867">
        <v>34.291739894551803</v>
      </c>
    </row>
    <row r="3868" spans="1:37" x14ac:dyDescent="0.3">
      <c r="A3868">
        <v>3867</v>
      </c>
      <c r="B3868">
        <v>0</v>
      </c>
      <c r="C3868">
        <v>29.5</v>
      </c>
      <c r="D3868">
        <v>-2.5</v>
      </c>
      <c r="E3868" t="s">
        <v>5986</v>
      </c>
      <c r="F3868" t="s">
        <v>5988</v>
      </c>
      <c r="G3868" t="s">
        <v>39</v>
      </c>
      <c r="H3868">
        <v>2008</v>
      </c>
      <c r="I3868">
        <v>16.323373931991998</v>
      </c>
      <c r="J3868">
        <v>10.270826089989701</v>
      </c>
      <c r="K3868">
        <v>82.847100175746903</v>
      </c>
      <c r="L3868">
        <v>3.7389103134403299</v>
      </c>
      <c r="M3868">
        <v>22.909490253468601</v>
      </c>
      <c r="N3868">
        <v>10.586116321476601</v>
      </c>
      <c r="O3868">
        <v>12.323374265526599</v>
      </c>
      <c r="P3868">
        <v>16.209490422414799</v>
      </c>
      <c r="Q3868">
        <v>16.338663972744001</v>
      </c>
      <c r="R3868">
        <v>16.824779912750799</v>
      </c>
      <c r="S3868">
        <v>16.023374430115101</v>
      </c>
      <c r="T3868">
        <v>1429.15289982425</v>
      </c>
      <c r="U3868">
        <v>225.050966608084</v>
      </c>
      <c r="V3868">
        <v>8.1388400702987695</v>
      </c>
      <c r="W3868">
        <v>52.335676625658998</v>
      </c>
      <c r="X3868">
        <v>562.56942003514905</v>
      </c>
      <c r="Y3868">
        <v>77.467486818980703</v>
      </c>
      <c r="Z3868">
        <v>238.240773286467</v>
      </c>
      <c r="AA3868">
        <v>434.49736379613398</v>
      </c>
      <c r="AB3868">
        <v>40.389236745180703</v>
      </c>
      <c r="AC3868">
        <v>1.7680106943175001E-2</v>
      </c>
      <c r="AD3868">
        <v>10.977437797036901</v>
      </c>
      <c r="AE3868">
        <v>0.78125435113906905</v>
      </c>
      <c r="AF3868">
        <v>2094.8049209138799</v>
      </c>
      <c r="AG3868">
        <f>IFERROR(AH3868*0.1, "N/A")</f>
        <v>5.2</v>
      </c>
      <c r="AH3868">
        <v>52</v>
      </c>
      <c r="AI3868">
        <v>203.01645508885201</v>
      </c>
      <c r="AJ3868">
        <v>42</v>
      </c>
      <c r="AK3868">
        <v>34.291739894551803</v>
      </c>
    </row>
    <row r="3869" spans="1:37" x14ac:dyDescent="0.3">
      <c r="A3869">
        <v>3868</v>
      </c>
      <c r="B3869">
        <v>0.4</v>
      </c>
      <c r="C3869">
        <v>29.516701000000001</v>
      </c>
      <c r="D3869">
        <v>-2.7</v>
      </c>
      <c r="E3869" t="s">
        <v>5989</v>
      </c>
      <c r="F3869" t="s">
        <v>5990</v>
      </c>
      <c r="G3869" t="s">
        <v>37</v>
      </c>
      <c r="H3869">
        <v>2008</v>
      </c>
      <c r="I3869">
        <v>17.779261419768901</v>
      </c>
      <c r="J3869">
        <v>10.510544855691</v>
      </c>
      <c r="K3869">
        <v>80.685413005272395</v>
      </c>
      <c r="L3869">
        <v>3.84028129292708</v>
      </c>
      <c r="M3869">
        <v>24.6040423750249</v>
      </c>
      <c r="N3869">
        <v>11.6620385919179</v>
      </c>
      <c r="O3869">
        <v>12.9420034931498</v>
      </c>
      <c r="P3869">
        <v>17.500176146495502</v>
      </c>
      <c r="Q3869">
        <v>17.741124191686399</v>
      </c>
      <c r="R3869">
        <v>18.279261419768901</v>
      </c>
      <c r="S3869">
        <v>17.372583392634301</v>
      </c>
      <c r="T3869">
        <v>1385.17223198594</v>
      </c>
      <c r="U3869">
        <v>217.35676625658999</v>
      </c>
      <c r="V3869">
        <v>8</v>
      </c>
      <c r="W3869">
        <v>54.066783831282898</v>
      </c>
      <c r="X3869">
        <v>544.49560632688895</v>
      </c>
      <c r="Y3869">
        <v>61.685413005272402</v>
      </c>
      <c r="Z3869">
        <v>237.24604569420001</v>
      </c>
      <c r="AA3869">
        <v>313.924428822496</v>
      </c>
      <c r="AB3869">
        <v>126.91194825935</v>
      </c>
      <c r="AC3869">
        <v>9.8591090960720006E-3</v>
      </c>
      <c r="AD3869">
        <v>16.2501189838604</v>
      </c>
      <c r="AE3869">
        <v>0.72928857803344704</v>
      </c>
      <c r="AF3869">
        <v>2007.47100175747</v>
      </c>
      <c r="AG3869">
        <f>IFERROR(AH3869*0.1, "N/A")</f>
        <v>5.1618629173989499</v>
      </c>
      <c r="AH3869">
        <v>51.618629173989497</v>
      </c>
      <c r="AI3869">
        <v>228.892283049116</v>
      </c>
      <c r="AJ3869">
        <v>44.381370826010603</v>
      </c>
      <c r="AK3869">
        <v>34.618629173989497</v>
      </c>
    </row>
    <row r="3870" spans="1:37" x14ac:dyDescent="0.3">
      <c r="A3870">
        <v>3869</v>
      </c>
      <c r="B3870">
        <v>0</v>
      </c>
      <c r="C3870">
        <v>29.516701000000001</v>
      </c>
      <c r="D3870">
        <v>-2.7</v>
      </c>
      <c r="E3870" t="s">
        <v>5989</v>
      </c>
      <c r="F3870" t="s">
        <v>5991</v>
      </c>
      <c r="G3870" t="s">
        <v>39</v>
      </c>
      <c r="H3870">
        <v>2008</v>
      </c>
      <c r="I3870">
        <v>17.779261419768901</v>
      </c>
      <c r="J3870">
        <v>10.510544855691</v>
      </c>
      <c r="K3870">
        <v>80.685413005272395</v>
      </c>
      <c r="L3870">
        <v>3.84028129292708</v>
      </c>
      <c r="M3870">
        <v>24.6040423750249</v>
      </c>
      <c r="N3870">
        <v>11.6620385919179</v>
      </c>
      <c r="O3870">
        <v>12.9420034931498</v>
      </c>
      <c r="P3870">
        <v>17.500176146495502</v>
      </c>
      <c r="Q3870">
        <v>17.741124191686399</v>
      </c>
      <c r="R3870">
        <v>18.279261419768901</v>
      </c>
      <c r="S3870">
        <v>17.372583392634301</v>
      </c>
      <c r="T3870">
        <v>1385.17223198594</v>
      </c>
      <c r="U3870">
        <v>217.35676625658999</v>
      </c>
      <c r="V3870">
        <v>8</v>
      </c>
      <c r="W3870">
        <v>54.066783831282898</v>
      </c>
      <c r="X3870">
        <v>544.49560632688895</v>
      </c>
      <c r="Y3870">
        <v>61.685413005272402</v>
      </c>
      <c r="Z3870">
        <v>237.24604569420001</v>
      </c>
      <c r="AA3870">
        <v>313.924428822496</v>
      </c>
      <c r="AB3870">
        <v>126.91194825935</v>
      </c>
      <c r="AC3870">
        <v>9.8591090960720006E-3</v>
      </c>
      <c r="AD3870">
        <v>16.2501189838604</v>
      </c>
      <c r="AE3870">
        <v>0.72928857803344704</v>
      </c>
      <c r="AF3870">
        <v>2007.47100175747</v>
      </c>
      <c r="AG3870">
        <f>IFERROR(AH3870*0.1, "N/A")</f>
        <v>5.1618629173989499</v>
      </c>
      <c r="AH3870">
        <v>51.618629173989497</v>
      </c>
      <c r="AI3870">
        <v>228.892283049116</v>
      </c>
      <c r="AJ3870">
        <v>44.381370826010603</v>
      </c>
      <c r="AK3870">
        <v>34.618629173989497</v>
      </c>
    </row>
    <row r="3871" spans="1:37" x14ac:dyDescent="0.3">
      <c r="A3871">
        <v>3870</v>
      </c>
      <c r="B3871">
        <v>0</v>
      </c>
      <c r="C3871">
        <v>29.858000000000001</v>
      </c>
      <c r="D3871">
        <v>-2.00563</v>
      </c>
      <c r="E3871" t="s">
        <v>5992</v>
      </c>
      <c r="F3871" t="s">
        <v>5993</v>
      </c>
      <c r="G3871" t="s">
        <v>37</v>
      </c>
      <c r="H3871">
        <v>2008</v>
      </c>
      <c r="I3871">
        <v>19.597711019113</v>
      </c>
      <c r="J3871">
        <v>11.4325701653118</v>
      </c>
      <c r="K3871">
        <v>86</v>
      </c>
      <c r="L3871">
        <v>2.9491372893393901</v>
      </c>
      <c r="M3871">
        <v>26.497711258874801</v>
      </c>
      <c r="N3871">
        <v>13.265140592212401</v>
      </c>
      <c r="O3871">
        <v>13.232570356046599</v>
      </c>
      <c r="P3871">
        <v>19.565141093563</v>
      </c>
      <c r="Q3871">
        <v>19.597711019113</v>
      </c>
      <c r="R3871">
        <v>19.9302814241866</v>
      </c>
      <c r="S3871">
        <v>19.3651403306236</v>
      </c>
      <c r="T3871">
        <v>1141.8116197183101</v>
      </c>
      <c r="U3871">
        <v>187.69718309859201</v>
      </c>
      <c r="V3871">
        <v>10</v>
      </c>
      <c r="W3871">
        <v>50.674295774647902</v>
      </c>
      <c r="X3871">
        <v>449.091549295775</v>
      </c>
      <c r="Y3871">
        <v>71.674295774647902</v>
      </c>
      <c r="Z3871">
        <v>159.57042253521101</v>
      </c>
      <c r="AA3871">
        <v>341.93133802816902</v>
      </c>
      <c r="AB3871">
        <v>40.615523432342101</v>
      </c>
      <c r="AC3871">
        <v>2.6726108031269E-2</v>
      </c>
      <c r="AD3871">
        <v>13.244780092172199</v>
      </c>
      <c r="AE3871">
        <v>0.39178699254989602</v>
      </c>
      <c r="AF3871">
        <v>1636.1866197183101</v>
      </c>
      <c r="AG3871">
        <f>IFERROR(AH3871*0.1, "N/A")</f>
        <v>5.3000000000000007</v>
      </c>
      <c r="AH3871">
        <v>53</v>
      </c>
      <c r="AI3871">
        <v>170.680838356555</v>
      </c>
      <c r="AJ3871">
        <v>35.389084507042298</v>
      </c>
      <c r="AK3871">
        <v>45.674295774647902</v>
      </c>
    </row>
    <row r="3872" spans="1:37" x14ac:dyDescent="0.3">
      <c r="A3872">
        <v>3871</v>
      </c>
      <c r="B3872">
        <v>0</v>
      </c>
      <c r="C3872">
        <v>29.858000000000001</v>
      </c>
      <c r="D3872">
        <v>-2.00563</v>
      </c>
      <c r="E3872" t="s">
        <v>5992</v>
      </c>
      <c r="F3872" t="s">
        <v>5994</v>
      </c>
      <c r="G3872" t="s">
        <v>39</v>
      </c>
      <c r="H3872">
        <v>2008</v>
      </c>
      <c r="I3872">
        <v>19.597711019113</v>
      </c>
      <c r="J3872">
        <v>11.4325701653118</v>
      </c>
      <c r="K3872">
        <v>86</v>
      </c>
      <c r="L3872">
        <v>2.9491372893393901</v>
      </c>
      <c r="M3872">
        <v>26.497711258874801</v>
      </c>
      <c r="N3872">
        <v>13.265140592212401</v>
      </c>
      <c r="O3872">
        <v>13.232570356046599</v>
      </c>
      <c r="P3872">
        <v>19.565141093563</v>
      </c>
      <c r="Q3872">
        <v>19.597711019113</v>
      </c>
      <c r="R3872">
        <v>19.9302814241866</v>
      </c>
      <c r="S3872">
        <v>19.3651403306236</v>
      </c>
      <c r="T3872">
        <v>1141.8116197183101</v>
      </c>
      <c r="U3872">
        <v>187.69718309859201</v>
      </c>
      <c r="V3872">
        <v>10</v>
      </c>
      <c r="W3872">
        <v>50.674295774647902</v>
      </c>
      <c r="X3872">
        <v>449.091549295775</v>
      </c>
      <c r="Y3872">
        <v>71.674295774647902</v>
      </c>
      <c r="Z3872">
        <v>159.57042253521101</v>
      </c>
      <c r="AA3872">
        <v>341.93133802816902</v>
      </c>
      <c r="AB3872">
        <v>40.615523432342101</v>
      </c>
      <c r="AC3872">
        <v>2.6726108031269E-2</v>
      </c>
      <c r="AD3872">
        <v>13.244780092172199</v>
      </c>
      <c r="AE3872">
        <v>0.39178699254989602</v>
      </c>
      <c r="AF3872">
        <v>1636.1866197183101</v>
      </c>
      <c r="AG3872">
        <f>IFERROR(AH3872*0.1, "N/A")</f>
        <v>5.3000000000000007</v>
      </c>
      <c r="AH3872">
        <v>53</v>
      </c>
      <c r="AI3872">
        <v>170.680838356555</v>
      </c>
      <c r="AJ3872">
        <v>35.389084507042298</v>
      </c>
      <c r="AK3872">
        <v>45.674295774647902</v>
      </c>
    </row>
    <row r="3873" spans="1:37" x14ac:dyDescent="0.3">
      <c r="A3873">
        <v>3872</v>
      </c>
      <c r="B3873">
        <v>1.1000000000000001</v>
      </c>
      <c r="C3873">
        <v>29.395900999999999</v>
      </c>
      <c r="D3873">
        <v>-2.1329199999999999</v>
      </c>
      <c r="E3873" t="s">
        <v>5995</v>
      </c>
      <c r="F3873" t="s">
        <v>5996</v>
      </c>
      <c r="G3873" t="s">
        <v>37</v>
      </c>
      <c r="H3873">
        <v>2008</v>
      </c>
      <c r="I3873">
        <v>16.662963702354901</v>
      </c>
      <c r="J3873">
        <v>10.2876545234963</v>
      </c>
      <c r="K3873">
        <v>86</v>
      </c>
      <c r="L3873">
        <v>2.28456789770244</v>
      </c>
      <c r="M3873">
        <v>22.8567898126296</v>
      </c>
      <c r="N3873">
        <v>10.969135802469101</v>
      </c>
      <c r="O3873">
        <v>11.8876539512917</v>
      </c>
      <c r="P3873">
        <v>16.662963702354901</v>
      </c>
      <c r="Q3873">
        <v>16.662963702354901</v>
      </c>
      <c r="R3873">
        <v>16.969135802469101</v>
      </c>
      <c r="S3873">
        <v>16.462962939415402</v>
      </c>
      <c r="T3873">
        <v>1429.46913580247</v>
      </c>
      <c r="U3873">
        <v>213.37037037037001</v>
      </c>
      <c r="V3873">
        <v>15</v>
      </c>
      <c r="W3873">
        <v>47</v>
      </c>
      <c r="X3873">
        <v>540.04938271604897</v>
      </c>
      <c r="Y3873">
        <v>99.123456790123399</v>
      </c>
      <c r="Z3873">
        <v>273.43209876543199</v>
      </c>
      <c r="AA3873">
        <v>237.308641975309</v>
      </c>
      <c r="AB3873">
        <v>67.687805714010096</v>
      </c>
      <c r="AC3873">
        <v>1.9449370673395999E-2</v>
      </c>
      <c r="AD3873">
        <v>25.681949009970999</v>
      </c>
      <c r="AE3873">
        <v>0.39375198770452402</v>
      </c>
      <c r="AF3873">
        <v>2089.4074074074101</v>
      </c>
      <c r="AG3873">
        <f>IFERROR(AH3873*0.1, "N/A")</f>
        <v>5.3000000000000007</v>
      </c>
      <c r="AH3873">
        <v>53</v>
      </c>
      <c r="AI3873">
        <v>145.91619733107399</v>
      </c>
      <c r="AJ3873">
        <v>38</v>
      </c>
      <c r="AK3873">
        <v>36</v>
      </c>
    </row>
    <row r="3874" spans="1:37" x14ac:dyDescent="0.3">
      <c r="A3874">
        <v>3873</v>
      </c>
      <c r="B3874">
        <v>0</v>
      </c>
      <c r="C3874">
        <v>29.395900999999999</v>
      </c>
      <c r="D3874">
        <v>-2.1329199999999999</v>
      </c>
      <c r="E3874" t="s">
        <v>5995</v>
      </c>
      <c r="F3874" t="s">
        <v>5997</v>
      </c>
      <c r="G3874" t="s">
        <v>39</v>
      </c>
      <c r="H3874">
        <v>2008</v>
      </c>
      <c r="I3874">
        <v>16.662963702354901</v>
      </c>
      <c r="J3874">
        <v>10.2876545234963</v>
      </c>
      <c r="K3874">
        <v>86</v>
      </c>
      <c r="L3874">
        <v>2.28456789770244</v>
      </c>
      <c r="M3874">
        <v>22.8567898126296</v>
      </c>
      <c r="N3874">
        <v>10.969135802469101</v>
      </c>
      <c r="O3874">
        <v>11.8876539512917</v>
      </c>
      <c r="P3874">
        <v>16.662963702354901</v>
      </c>
      <c r="Q3874">
        <v>16.662963702354901</v>
      </c>
      <c r="R3874">
        <v>16.969135802469101</v>
      </c>
      <c r="S3874">
        <v>16.462962939415402</v>
      </c>
      <c r="T3874">
        <v>1429.46913580247</v>
      </c>
      <c r="U3874">
        <v>213.37037037037001</v>
      </c>
      <c r="V3874">
        <v>15</v>
      </c>
      <c r="W3874">
        <v>47</v>
      </c>
      <c r="X3874">
        <v>540.04938271604897</v>
      </c>
      <c r="Y3874">
        <v>99.123456790123399</v>
      </c>
      <c r="Z3874">
        <v>273.43209876543199</v>
      </c>
      <c r="AA3874">
        <v>237.308641975309</v>
      </c>
      <c r="AB3874">
        <v>67.687805714010096</v>
      </c>
      <c r="AC3874">
        <v>1.9449370673395999E-2</v>
      </c>
      <c r="AD3874">
        <v>25.681949009970999</v>
      </c>
      <c r="AE3874">
        <v>0.39375198770452402</v>
      </c>
      <c r="AF3874">
        <v>2089.4074074074101</v>
      </c>
      <c r="AG3874">
        <f>IFERROR(AH3874*0.1, "N/A")</f>
        <v>5.3000000000000007</v>
      </c>
      <c r="AH3874">
        <v>53</v>
      </c>
      <c r="AI3874">
        <v>145.91619733107399</v>
      </c>
      <c r="AJ3874">
        <v>38</v>
      </c>
      <c r="AK3874">
        <v>36</v>
      </c>
    </row>
    <row r="3875" spans="1:37" x14ac:dyDescent="0.3">
      <c r="A3875">
        <v>3874</v>
      </c>
      <c r="B3875">
        <v>0.8</v>
      </c>
      <c r="C3875">
        <v>29.65</v>
      </c>
      <c r="D3875">
        <v>-1.8666700000000001</v>
      </c>
      <c r="E3875" t="s">
        <v>5998</v>
      </c>
      <c r="F3875" t="s">
        <v>5999</v>
      </c>
      <c r="G3875" t="s">
        <v>37</v>
      </c>
      <c r="H3875">
        <v>2008</v>
      </c>
      <c r="I3875">
        <v>19.741300720322101</v>
      </c>
      <c r="J3875">
        <v>11.5063269134146</v>
      </c>
      <c r="K3875">
        <v>89</v>
      </c>
      <c r="L3875">
        <v>1.8589982332789401</v>
      </c>
      <c r="M3875">
        <v>26.296133969915399</v>
      </c>
      <c r="N3875">
        <v>13.42073806937</v>
      </c>
      <c r="O3875">
        <v>12.8753952502366</v>
      </c>
      <c r="P3875">
        <v>19.710369143628501</v>
      </c>
      <c r="Q3875">
        <v>19.689806675031001</v>
      </c>
      <c r="R3875">
        <v>19.8722320885147</v>
      </c>
      <c r="S3875">
        <v>19.5270650089311</v>
      </c>
      <c r="T3875">
        <v>1228.69068541301</v>
      </c>
      <c r="U3875">
        <v>184.36555360281201</v>
      </c>
      <c r="V3875">
        <v>14.6906854130053</v>
      </c>
      <c r="W3875">
        <v>45.618629173989397</v>
      </c>
      <c r="X3875">
        <v>455.30931458699501</v>
      </c>
      <c r="Y3875">
        <v>95.063268892794397</v>
      </c>
      <c r="Z3875">
        <v>219.10017574692401</v>
      </c>
      <c r="AA3875">
        <v>305.19156414762699</v>
      </c>
      <c r="AB3875">
        <v>90.254769109045498</v>
      </c>
      <c r="AC3875">
        <v>9.7445910125450001E-3</v>
      </c>
      <c r="AD3875">
        <v>19.5192008663774</v>
      </c>
      <c r="AE3875">
        <v>0.40694198012352001</v>
      </c>
      <c r="AF3875">
        <v>1652.2161687170501</v>
      </c>
      <c r="AG3875">
        <f>IFERROR(AH3875*0.1, "N/A")</f>
        <v>5.2690685413005305</v>
      </c>
      <c r="AH3875">
        <v>52.690685413005298</v>
      </c>
      <c r="AI3875">
        <v>81.270860273096403</v>
      </c>
      <c r="AJ3875">
        <v>38.309314586994702</v>
      </c>
      <c r="AK3875">
        <v>36.690685413005298</v>
      </c>
    </row>
    <row r="3876" spans="1:37" x14ac:dyDescent="0.3">
      <c r="A3876">
        <v>3875</v>
      </c>
      <c r="B3876">
        <v>0</v>
      </c>
      <c r="C3876">
        <v>29.65</v>
      </c>
      <c r="D3876">
        <v>-1.8666700000000001</v>
      </c>
      <c r="E3876" t="s">
        <v>5998</v>
      </c>
      <c r="F3876" t="s">
        <v>6000</v>
      </c>
      <c r="G3876" t="s">
        <v>39</v>
      </c>
      <c r="H3876">
        <v>2008</v>
      </c>
      <c r="I3876">
        <v>19.741300720322101</v>
      </c>
      <c r="J3876">
        <v>11.5063269134146</v>
      </c>
      <c r="K3876">
        <v>89</v>
      </c>
      <c r="L3876">
        <v>1.8589982332789401</v>
      </c>
      <c r="M3876">
        <v>26.296133969915399</v>
      </c>
      <c r="N3876">
        <v>13.42073806937</v>
      </c>
      <c r="O3876">
        <v>12.8753952502366</v>
      </c>
      <c r="P3876">
        <v>19.710369143628501</v>
      </c>
      <c r="Q3876">
        <v>19.689806675031001</v>
      </c>
      <c r="R3876">
        <v>19.8722320885147</v>
      </c>
      <c r="S3876">
        <v>19.5270650089311</v>
      </c>
      <c r="T3876">
        <v>1228.69068541301</v>
      </c>
      <c r="U3876">
        <v>184.36555360281201</v>
      </c>
      <c r="V3876">
        <v>14.6906854130053</v>
      </c>
      <c r="W3876">
        <v>45.618629173989397</v>
      </c>
      <c r="X3876">
        <v>455.30931458699501</v>
      </c>
      <c r="Y3876">
        <v>95.063268892794397</v>
      </c>
      <c r="Z3876">
        <v>219.10017574692401</v>
      </c>
      <c r="AA3876">
        <v>305.19156414762699</v>
      </c>
      <c r="AB3876">
        <v>90.254769109045498</v>
      </c>
      <c r="AC3876">
        <v>9.7445910125450001E-3</v>
      </c>
      <c r="AD3876">
        <v>19.5192008663774</v>
      </c>
      <c r="AE3876">
        <v>0.40694198012352001</v>
      </c>
      <c r="AF3876">
        <v>1652.2161687170501</v>
      </c>
      <c r="AG3876">
        <f>IFERROR(AH3876*0.1, "N/A")</f>
        <v>5.2690685413005305</v>
      </c>
      <c r="AH3876">
        <v>52.690685413005298</v>
      </c>
      <c r="AI3876">
        <v>81.270860273096403</v>
      </c>
      <c r="AJ3876">
        <v>38.309314586994702</v>
      </c>
      <c r="AK3876">
        <v>36.690685413005298</v>
      </c>
    </row>
    <row r="3877" spans="1:37" x14ac:dyDescent="0.3">
      <c r="A3877">
        <v>3876</v>
      </c>
      <c r="B3877">
        <v>0.4</v>
      </c>
      <c r="C3877">
        <v>29.5</v>
      </c>
      <c r="D3877">
        <v>-1.65</v>
      </c>
      <c r="E3877" t="s">
        <v>6001</v>
      </c>
      <c r="F3877" t="s">
        <v>6002</v>
      </c>
      <c r="G3877" t="s">
        <v>37</v>
      </c>
      <c r="H3877">
        <v>2008</v>
      </c>
      <c r="I3877">
        <v>14.2908447930511</v>
      </c>
      <c r="J3877">
        <v>10.1684859050831</v>
      </c>
      <c r="K3877">
        <v>90.915492957746494</v>
      </c>
      <c r="L3877">
        <v>2.5725175864260001</v>
      </c>
      <c r="M3877">
        <v>20.067782388606499</v>
      </c>
      <c r="N3877">
        <v>8.9139084228327601</v>
      </c>
      <c r="O3877">
        <v>11.1538730926917</v>
      </c>
      <c r="P3877">
        <v>14.0908449837859</v>
      </c>
      <c r="Q3877">
        <v>14.282394137181001</v>
      </c>
      <c r="R3877">
        <v>14.4908452554488</v>
      </c>
      <c r="S3877">
        <v>13.913908422832799</v>
      </c>
      <c r="T3877">
        <v>1589.7940140845101</v>
      </c>
      <c r="U3877">
        <v>229.17605633802799</v>
      </c>
      <c r="V3877">
        <v>25.315140845070399</v>
      </c>
      <c r="W3877">
        <v>43.230633802816897</v>
      </c>
      <c r="X3877">
        <v>583.19190140845103</v>
      </c>
      <c r="Y3877">
        <v>139.13380281690101</v>
      </c>
      <c r="Z3877">
        <v>359.02112676056299</v>
      </c>
      <c r="AA3877">
        <v>456.14788732394402</v>
      </c>
      <c r="AB3877">
        <v>69.188802369883405</v>
      </c>
      <c r="AC3877">
        <v>2.1030017545341999E-2</v>
      </c>
      <c r="AD3877">
        <v>19.3232492628232</v>
      </c>
      <c r="AE3877">
        <v>0.75662416219711304</v>
      </c>
      <c r="AF3877">
        <v>2539.5352112676101</v>
      </c>
      <c r="AG3877">
        <f>IFERROR(AH3877*0.1, "N/A")</f>
        <v>5.2705985915493008</v>
      </c>
      <c r="AH3877">
        <v>52.705985915493002</v>
      </c>
      <c r="AI3877">
        <v>226.84141024737301</v>
      </c>
      <c r="AJ3877">
        <v>37.411971830985898</v>
      </c>
      <c r="AK3877">
        <v>34.294014084506998</v>
      </c>
    </row>
    <row r="3878" spans="1:37" x14ac:dyDescent="0.3">
      <c r="A3878">
        <v>3877</v>
      </c>
      <c r="B3878">
        <v>0</v>
      </c>
      <c r="C3878">
        <v>29.5</v>
      </c>
      <c r="D3878">
        <v>-1.65</v>
      </c>
      <c r="E3878" t="s">
        <v>6001</v>
      </c>
      <c r="F3878" t="s">
        <v>6003</v>
      </c>
      <c r="G3878" t="s">
        <v>39</v>
      </c>
      <c r="H3878">
        <v>2008</v>
      </c>
      <c r="I3878">
        <v>14.2908447930511</v>
      </c>
      <c r="J3878">
        <v>10.1684859050831</v>
      </c>
      <c r="K3878">
        <v>90.915492957746494</v>
      </c>
      <c r="L3878">
        <v>2.5725175864260001</v>
      </c>
      <c r="M3878">
        <v>20.067782388606499</v>
      </c>
      <c r="N3878">
        <v>8.9139084228327601</v>
      </c>
      <c r="O3878">
        <v>11.1538730926917</v>
      </c>
      <c r="P3878">
        <v>14.0908449837859</v>
      </c>
      <c r="Q3878">
        <v>14.282394137181001</v>
      </c>
      <c r="R3878">
        <v>14.4908452554488</v>
      </c>
      <c r="S3878">
        <v>13.913908422832799</v>
      </c>
      <c r="T3878">
        <v>1589.7940140845101</v>
      </c>
      <c r="U3878">
        <v>229.17605633802799</v>
      </c>
      <c r="V3878">
        <v>25.315140845070399</v>
      </c>
      <c r="W3878">
        <v>43.230633802816897</v>
      </c>
      <c r="X3878">
        <v>583.19190140845103</v>
      </c>
      <c r="Y3878">
        <v>139.13380281690101</v>
      </c>
      <c r="Z3878">
        <v>359.02112676056299</v>
      </c>
      <c r="AA3878">
        <v>456.14788732394402</v>
      </c>
      <c r="AB3878">
        <v>69.188802369883405</v>
      </c>
      <c r="AC3878">
        <v>2.1030017545341999E-2</v>
      </c>
      <c r="AD3878">
        <v>19.3232492628232</v>
      </c>
      <c r="AE3878">
        <v>0.75662416219711304</v>
      </c>
      <c r="AF3878">
        <v>2539.5352112676101</v>
      </c>
      <c r="AG3878">
        <f>IFERROR(AH3878*0.1, "N/A")</f>
        <v>5.2705985915493008</v>
      </c>
      <c r="AH3878">
        <v>52.705985915493002</v>
      </c>
      <c r="AI3878">
        <v>226.84141024737301</v>
      </c>
      <c r="AJ3878">
        <v>37.411971830985898</v>
      </c>
      <c r="AK3878">
        <v>34.294014084506998</v>
      </c>
    </row>
    <row r="3879" spans="1:37" x14ac:dyDescent="0.3">
      <c r="A3879">
        <v>3878</v>
      </c>
      <c r="B3879">
        <v>4.5</v>
      </c>
      <c r="C3879">
        <v>29.15</v>
      </c>
      <c r="D3879">
        <v>-2.3666700000000001</v>
      </c>
      <c r="E3879" t="s">
        <v>6004</v>
      </c>
      <c r="F3879" t="s">
        <v>6005</v>
      </c>
      <c r="G3879" t="s">
        <v>37</v>
      </c>
      <c r="H3879">
        <v>2008</v>
      </c>
      <c r="I3879">
        <v>18.9266200057262</v>
      </c>
      <c r="J3879">
        <v>11.043432760155101</v>
      </c>
      <c r="K3879">
        <v>83.623467600700494</v>
      </c>
      <c r="L3879">
        <v>2.5833275009161998</v>
      </c>
      <c r="M3879">
        <v>25.824518040057502</v>
      </c>
      <c r="N3879">
        <v>12.6434325269976</v>
      </c>
      <c r="O3879">
        <v>13.181085711811599</v>
      </c>
      <c r="P3879">
        <v>18.84746033423</v>
      </c>
      <c r="Q3879">
        <v>18.905779295752598</v>
      </c>
      <c r="R3879">
        <v>19.264272626352401</v>
      </c>
      <c r="S3879">
        <v>18.705778930316701</v>
      </c>
      <c r="T3879">
        <v>1326.0140105078799</v>
      </c>
      <c r="U3879">
        <v>177.72504378283699</v>
      </c>
      <c r="V3879">
        <v>18.168126094570901</v>
      </c>
      <c r="W3879">
        <v>44.376532399299499</v>
      </c>
      <c r="X3879">
        <v>450.5411558669</v>
      </c>
      <c r="Y3879">
        <v>93.483362521891394</v>
      </c>
      <c r="Z3879">
        <v>304.36427320490401</v>
      </c>
      <c r="AA3879">
        <v>167.03327495621701</v>
      </c>
      <c r="AB3879">
        <v>25.926105986960899</v>
      </c>
      <c r="AC3879">
        <v>4.6039055840434003E-2</v>
      </c>
      <c r="AD3879">
        <v>25.441481578579701</v>
      </c>
      <c r="AE3879">
        <v>0.36252400279045099</v>
      </c>
      <c r="AF3879">
        <v>1609.9859894921201</v>
      </c>
      <c r="AG3879">
        <f>IFERROR(AH3879*0.1, "N/A")</f>
        <v>5.3709281961471103</v>
      </c>
      <c r="AH3879">
        <v>53.709281961471099</v>
      </c>
      <c r="AI3879">
        <v>294.59564406734</v>
      </c>
      <c r="AJ3879">
        <v>36.210157618213699</v>
      </c>
      <c r="AK3879">
        <v>35.542907180385299</v>
      </c>
    </row>
    <row r="3880" spans="1:37" x14ac:dyDescent="0.3">
      <c r="A3880">
        <v>3879</v>
      </c>
      <c r="B3880">
        <v>0</v>
      </c>
      <c r="C3880">
        <v>29.15</v>
      </c>
      <c r="D3880">
        <v>-2.3666700000000001</v>
      </c>
      <c r="E3880" t="s">
        <v>6004</v>
      </c>
      <c r="F3880" t="s">
        <v>6006</v>
      </c>
      <c r="G3880" t="s">
        <v>39</v>
      </c>
      <c r="H3880">
        <v>2008</v>
      </c>
      <c r="I3880">
        <v>18.9266200057262</v>
      </c>
      <c r="J3880">
        <v>11.043432760155101</v>
      </c>
      <c r="K3880">
        <v>83.623467600700494</v>
      </c>
      <c r="L3880">
        <v>2.5833275009161998</v>
      </c>
      <c r="M3880">
        <v>25.824518040057502</v>
      </c>
      <c r="N3880">
        <v>12.6434325269976</v>
      </c>
      <c r="O3880">
        <v>13.181085711811599</v>
      </c>
      <c r="P3880">
        <v>18.84746033423</v>
      </c>
      <c r="Q3880">
        <v>18.905779295752598</v>
      </c>
      <c r="R3880">
        <v>19.264272626352401</v>
      </c>
      <c r="S3880">
        <v>18.705778930316701</v>
      </c>
      <c r="T3880">
        <v>1326.0140105078799</v>
      </c>
      <c r="U3880">
        <v>177.72504378283699</v>
      </c>
      <c r="V3880">
        <v>18.168126094570901</v>
      </c>
      <c r="W3880">
        <v>44.376532399299499</v>
      </c>
      <c r="X3880">
        <v>450.5411558669</v>
      </c>
      <c r="Y3880">
        <v>93.483362521891394</v>
      </c>
      <c r="Z3880">
        <v>304.36427320490401</v>
      </c>
      <c r="AA3880">
        <v>167.03327495621701</v>
      </c>
      <c r="AB3880">
        <v>25.926105986960899</v>
      </c>
      <c r="AC3880">
        <v>4.6039055840434003E-2</v>
      </c>
      <c r="AD3880">
        <v>25.441481578579701</v>
      </c>
      <c r="AE3880">
        <v>0.36252400279045099</v>
      </c>
      <c r="AF3880">
        <v>1609.9859894921201</v>
      </c>
      <c r="AG3880">
        <f>IFERROR(AH3880*0.1, "N/A")</f>
        <v>5.3709281961471103</v>
      </c>
      <c r="AH3880">
        <v>53.709281961471099</v>
      </c>
      <c r="AI3880">
        <v>294.59564406734</v>
      </c>
      <c r="AJ3880">
        <v>36.210157618213699</v>
      </c>
      <c r="AK3880">
        <v>35.542907180385299</v>
      </c>
    </row>
    <row r="3881" spans="1:37" x14ac:dyDescent="0.3">
      <c r="A3881">
        <v>3880</v>
      </c>
      <c r="B3881">
        <v>1.6</v>
      </c>
      <c r="C3881">
        <v>29.333300000000001</v>
      </c>
      <c r="D3881">
        <v>-1.68333</v>
      </c>
      <c r="E3881" t="s">
        <v>6007</v>
      </c>
      <c r="F3881" t="s">
        <v>6008</v>
      </c>
      <c r="G3881" t="s">
        <v>37</v>
      </c>
      <c r="H3881">
        <v>2008</v>
      </c>
      <c r="I3881">
        <v>18.237741998474</v>
      </c>
      <c r="J3881">
        <v>11.0895946980364</v>
      </c>
      <c r="K3881">
        <v>90.4409171075838</v>
      </c>
      <c r="L3881">
        <v>1.60063493146678</v>
      </c>
      <c r="M3881">
        <v>24.283244817555499</v>
      </c>
      <c r="N3881">
        <v>12.1377423234297</v>
      </c>
      <c r="O3881">
        <v>12.1455027666041</v>
      </c>
      <c r="P3881">
        <v>18.209171005868001</v>
      </c>
      <c r="Q3881">
        <v>18.137743029855098</v>
      </c>
      <c r="R3881">
        <v>18.3832451990252</v>
      </c>
      <c r="S3881">
        <v>18.083245467466899</v>
      </c>
      <c r="T3881">
        <v>1373.7601410934701</v>
      </c>
      <c r="U3881">
        <v>174.79012345679001</v>
      </c>
      <c r="V3881">
        <v>28.455026455026498</v>
      </c>
      <c r="W3881">
        <v>37.259259259259302</v>
      </c>
      <c r="X3881">
        <v>461.25396825396803</v>
      </c>
      <c r="Y3881">
        <v>146.805996472663</v>
      </c>
      <c r="Z3881">
        <v>351.37566137566102</v>
      </c>
      <c r="AA3881">
        <v>367.17813051146402</v>
      </c>
      <c r="AB3881">
        <v>45.249761026372397</v>
      </c>
      <c r="AC3881">
        <v>9.6292258018539998E-3</v>
      </c>
      <c r="AD3881">
        <v>1.8320049290303799</v>
      </c>
      <c r="AE3881">
        <v>0.48481318464985601</v>
      </c>
      <c r="AF3881">
        <v>1866.1022927689601</v>
      </c>
      <c r="AG3881">
        <f>IFERROR(AH3881*0.1, "N/A")</f>
        <v>5.6259259259259302</v>
      </c>
      <c r="AH3881">
        <v>56.259259259259302</v>
      </c>
      <c r="AI3881">
        <v>145.480534790685</v>
      </c>
      <c r="AJ3881">
        <v>41.481481481481502</v>
      </c>
      <c r="AK3881">
        <v>31</v>
      </c>
    </row>
    <row r="3882" spans="1:37" x14ac:dyDescent="0.3">
      <c r="A3882">
        <v>3881</v>
      </c>
      <c r="B3882">
        <v>0</v>
      </c>
      <c r="C3882">
        <v>29.333300000000001</v>
      </c>
      <c r="D3882">
        <v>-1.68333</v>
      </c>
      <c r="E3882" t="s">
        <v>6007</v>
      </c>
      <c r="F3882" t="s">
        <v>6009</v>
      </c>
      <c r="G3882" t="s">
        <v>39</v>
      </c>
      <c r="H3882">
        <v>2008</v>
      </c>
      <c r="I3882">
        <v>18.237741998474</v>
      </c>
      <c r="J3882">
        <v>11.0895946980364</v>
      </c>
      <c r="K3882">
        <v>90.4409171075838</v>
      </c>
      <c r="L3882">
        <v>1.60063493146678</v>
      </c>
      <c r="M3882">
        <v>24.283244817555499</v>
      </c>
      <c r="N3882">
        <v>12.1377423234297</v>
      </c>
      <c r="O3882">
        <v>12.1455027666041</v>
      </c>
      <c r="P3882">
        <v>18.209171005868001</v>
      </c>
      <c r="Q3882">
        <v>18.137743029855098</v>
      </c>
      <c r="R3882">
        <v>18.3832451990252</v>
      </c>
      <c r="S3882">
        <v>18.083245467466899</v>
      </c>
      <c r="T3882">
        <v>1373.7601410934701</v>
      </c>
      <c r="U3882">
        <v>174.79012345679001</v>
      </c>
      <c r="V3882">
        <v>28.455026455026498</v>
      </c>
      <c r="W3882">
        <v>37.259259259259302</v>
      </c>
      <c r="X3882">
        <v>461.25396825396803</v>
      </c>
      <c r="Y3882">
        <v>146.805996472663</v>
      </c>
      <c r="Z3882">
        <v>351.37566137566102</v>
      </c>
      <c r="AA3882">
        <v>367.17813051146402</v>
      </c>
      <c r="AB3882">
        <v>45.249761026372397</v>
      </c>
      <c r="AC3882">
        <v>9.6292258018539998E-3</v>
      </c>
      <c r="AD3882">
        <v>1.8320049290303799</v>
      </c>
      <c r="AE3882">
        <v>0.48481318464985601</v>
      </c>
      <c r="AF3882">
        <v>1866.1022927689601</v>
      </c>
      <c r="AG3882">
        <f>IFERROR(AH3882*0.1, "N/A")</f>
        <v>5.6259259259259302</v>
      </c>
      <c r="AH3882">
        <v>56.259259259259302</v>
      </c>
      <c r="AI3882">
        <v>145.480534790685</v>
      </c>
      <c r="AJ3882">
        <v>41.481481481481502</v>
      </c>
      <c r="AK3882">
        <v>31</v>
      </c>
    </row>
    <row r="3883" spans="1:37" x14ac:dyDescent="0.3">
      <c r="A3883">
        <v>3882</v>
      </c>
      <c r="B3883">
        <v>0.7</v>
      </c>
      <c r="C3883">
        <v>28.896699999999999</v>
      </c>
      <c r="D3883">
        <v>-2.48333</v>
      </c>
      <c r="E3883" t="s">
        <v>6010</v>
      </c>
      <c r="F3883" t="s">
        <v>6011</v>
      </c>
      <c r="G3883" t="s">
        <v>37</v>
      </c>
      <c r="H3883">
        <v>2008</v>
      </c>
      <c r="I3883">
        <v>19.700000762939499</v>
      </c>
      <c r="J3883">
        <v>10.820840701956699</v>
      </c>
      <c r="K3883">
        <v>81</v>
      </c>
      <c r="L3883">
        <v>3.1562522785467402</v>
      </c>
      <c r="M3883">
        <v>26.520840709973498</v>
      </c>
      <c r="N3883">
        <v>13.279159480761299</v>
      </c>
      <c r="O3883">
        <v>13.2416810304605</v>
      </c>
      <c r="P3883">
        <v>19.520840709973601</v>
      </c>
      <c r="Q3883">
        <v>19.600000381469702</v>
      </c>
      <c r="R3883">
        <v>20.100000381469702</v>
      </c>
      <c r="S3883">
        <v>19.399999618530298</v>
      </c>
      <c r="T3883">
        <v>1388.83187390543</v>
      </c>
      <c r="U3883">
        <v>172.957968476357</v>
      </c>
      <c r="V3883">
        <v>17</v>
      </c>
      <c r="W3883">
        <v>44.791593695271501</v>
      </c>
      <c r="X3883">
        <v>471.124343257443</v>
      </c>
      <c r="Y3883">
        <v>102</v>
      </c>
      <c r="Z3883">
        <v>316.957968476357</v>
      </c>
      <c r="AA3883">
        <v>151.042031523643</v>
      </c>
      <c r="AB3883">
        <v>35.802472276570697</v>
      </c>
      <c r="AC3883">
        <v>3.1677209891235E-2</v>
      </c>
      <c r="AD3883">
        <v>13.302781537618801</v>
      </c>
      <c r="AE3883">
        <v>0.69883430004119895</v>
      </c>
      <c r="AF3883">
        <v>1501.588441331</v>
      </c>
      <c r="AG3883">
        <f>IFERROR(AH3883*0.1, "N/A")</f>
        <v>6.0537653239930007</v>
      </c>
      <c r="AH3883">
        <v>60.537653239930002</v>
      </c>
      <c r="AI3883">
        <v>320.87889331610501</v>
      </c>
      <c r="AJ3883">
        <v>40.542907180385299</v>
      </c>
      <c r="AK3883">
        <v>39.1488616462347</v>
      </c>
    </row>
    <row r="3884" spans="1:37" x14ac:dyDescent="0.3">
      <c r="A3884">
        <v>3883</v>
      </c>
      <c r="B3884">
        <v>0</v>
      </c>
      <c r="C3884">
        <v>28.896699999999999</v>
      </c>
      <c r="D3884">
        <v>-2.48333</v>
      </c>
      <c r="E3884" t="s">
        <v>6010</v>
      </c>
      <c r="F3884" t="s">
        <v>6012</v>
      </c>
      <c r="G3884" t="s">
        <v>39</v>
      </c>
      <c r="H3884">
        <v>2008</v>
      </c>
      <c r="I3884">
        <v>19.700000762939499</v>
      </c>
      <c r="J3884">
        <v>10.820840701956699</v>
      </c>
      <c r="K3884">
        <v>81</v>
      </c>
      <c r="L3884">
        <v>3.1562522785467402</v>
      </c>
      <c r="M3884">
        <v>26.520840709973498</v>
      </c>
      <c r="N3884">
        <v>13.279159480761299</v>
      </c>
      <c r="O3884">
        <v>13.2416810304605</v>
      </c>
      <c r="P3884">
        <v>19.520840709973601</v>
      </c>
      <c r="Q3884">
        <v>19.600000381469702</v>
      </c>
      <c r="R3884">
        <v>20.100000381469702</v>
      </c>
      <c r="S3884">
        <v>19.399999618530298</v>
      </c>
      <c r="T3884">
        <v>1388.83187390543</v>
      </c>
      <c r="U3884">
        <v>172.957968476357</v>
      </c>
      <c r="V3884">
        <v>17</v>
      </c>
      <c r="W3884">
        <v>44.791593695271501</v>
      </c>
      <c r="X3884">
        <v>471.124343257443</v>
      </c>
      <c r="Y3884">
        <v>102</v>
      </c>
      <c r="Z3884">
        <v>316.957968476357</v>
      </c>
      <c r="AA3884">
        <v>151.042031523643</v>
      </c>
      <c r="AB3884">
        <v>35.802472276570697</v>
      </c>
      <c r="AC3884">
        <v>3.1677209891235E-2</v>
      </c>
      <c r="AD3884">
        <v>13.302781537618801</v>
      </c>
      <c r="AE3884">
        <v>0.69883430004119895</v>
      </c>
      <c r="AF3884">
        <v>1501.588441331</v>
      </c>
      <c r="AG3884">
        <f>IFERROR(AH3884*0.1, "N/A")</f>
        <v>6.0537653239930007</v>
      </c>
      <c r="AH3884">
        <v>60.537653239930002</v>
      </c>
      <c r="AI3884">
        <v>320.87889331610501</v>
      </c>
      <c r="AJ3884">
        <v>40.542907180385299</v>
      </c>
      <c r="AK3884">
        <v>39.1488616462347</v>
      </c>
    </row>
    <row r="3885" spans="1:37" x14ac:dyDescent="0.3">
      <c r="A3885">
        <v>3884</v>
      </c>
      <c r="B3885">
        <v>13.8</v>
      </c>
      <c r="C3885">
        <v>29.316700000000001</v>
      </c>
      <c r="D3885">
        <v>-1.9166700000000001</v>
      </c>
      <c r="E3885" t="s">
        <v>6013</v>
      </c>
      <c r="F3885" t="s">
        <v>6014</v>
      </c>
      <c r="G3885" t="s">
        <v>37</v>
      </c>
      <c r="H3885">
        <v>2008</v>
      </c>
      <c r="I3885">
        <v>19.6200352050299</v>
      </c>
      <c r="J3885">
        <v>11.0949035000927</v>
      </c>
      <c r="K3885">
        <v>88.527240773286493</v>
      </c>
      <c r="L3885">
        <v>1.4685061430470201</v>
      </c>
      <c r="M3885">
        <v>25.841124271466601</v>
      </c>
      <c r="N3885">
        <v>13.398945431298699</v>
      </c>
      <c r="O3885">
        <v>12.442179041294301</v>
      </c>
      <c r="P3885">
        <v>19.686995038667799</v>
      </c>
      <c r="Q3885">
        <v>19.520035323024</v>
      </c>
      <c r="R3885">
        <v>19.720035586499598</v>
      </c>
      <c r="S3885">
        <v>19.486994775192201</v>
      </c>
      <c r="T3885">
        <v>1249.5448154657299</v>
      </c>
      <c r="U3885">
        <v>159.96309314587</v>
      </c>
      <c r="V3885">
        <v>21</v>
      </c>
      <c r="W3885">
        <v>38.050966608084401</v>
      </c>
      <c r="X3885">
        <v>408.25659050966601</v>
      </c>
      <c r="Y3885">
        <v>121.068541300527</v>
      </c>
      <c r="Z3885">
        <v>321.11423550087898</v>
      </c>
      <c r="AA3885">
        <v>191.19156414762699</v>
      </c>
      <c r="AB3885">
        <v>100.659440776376</v>
      </c>
      <c r="AC3885">
        <v>2.8031810980636999E-2</v>
      </c>
      <c r="AD3885">
        <v>15.6732507397295</v>
      </c>
      <c r="AE3885">
        <v>0.62780129909515403</v>
      </c>
      <c r="AF3885">
        <v>1702.0140597539501</v>
      </c>
      <c r="AG3885">
        <f>IFERROR(AH3885*0.1, "N/A")</f>
        <v>5.2</v>
      </c>
      <c r="AH3885">
        <v>52</v>
      </c>
      <c r="AI3885">
        <v>265.10696761092697</v>
      </c>
      <c r="AJ3885">
        <v>40.669595782073799</v>
      </c>
      <c r="AK3885">
        <v>35.991212653778597</v>
      </c>
    </row>
    <row r="3886" spans="1:37" x14ac:dyDescent="0.3">
      <c r="A3886">
        <v>3885</v>
      </c>
      <c r="B3886">
        <v>0</v>
      </c>
      <c r="C3886">
        <v>29.316700000000001</v>
      </c>
      <c r="D3886">
        <v>-1.9166700000000001</v>
      </c>
      <c r="E3886" t="s">
        <v>6013</v>
      </c>
      <c r="F3886" t="s">
        <v>6015</v>
      </c>
      <c r="G3886" t="s">
        <v>39</v>
      </c>
      <c r="H3886">
        <v>2008</v>
      </c>
      <c r="I3886">
        <v>19.6200352050299</v>
      </c>
      <c r="J3886">
        <v>11.0949035000927</v>
      </c>
      <c r="K3886">
        <v>88.527240773286493</v>
      </c>
      <c r="L3886">
        <v>1.4685061430470201</v>
      </c>
      <c r="M3886">
        <v>25.841124271466601</v>
      </c>
      <c r="N3886">
        <v>13.398945431298699</v>
      </c>
      <c r="O3886">
        <v>12.442179041294301</v>
      </c>
      <c r="P3886">
        <v>19.686995038667799</v>
      </c>
      <c r="Q3886">
        <v>19.520035323024</v>
      </c>
      <c r="R3886">
        <v>19.720035586499598</v>
      </c>
      <c r="S3886">
        <v>19.486994775192201</v>
      </c>
      <c r="T3886">
        <v>1249.5448154657299</v>
      </c>
      <c r="U3886">
        <v>159.96309314587</v>
      </c>
      <c r="V3886">
        <v>21</v>
      </c>
      <c r="W3886">
        <v>38.050966608084401</v>
      </c>
      <c r="X3886">
        <v>408.25659050966601</v>
      </c>
      <c r="Y3886">
        <v>121.068541300527</v>
      </c>
      <c r="Z3886">
        <v>321.11423550087898</v>
      </c>
      <c r="AA3886">
        <v>191.19156414762699</v>
      </c>
      <c r="AB3886">
        <v>100.659440776376</v>
      </c>
      <c r="AC3886">
        <v>2.8031810980636999E-2</v>
      </c>
      <c r="AD3886">
        <v>15.6732507397295</v>
      </c>
      <c r="AE3886">
        <v>0.62780129909515403</v>
      </c>
      <c r="AF3886">
        <v>1702.0140597539501</v>
      </c>
      <c r="AG3886">
        <f>IFERROR(AH3886*0.1, "N/A")</f>
        <v>5.2</v>
      </c>
      <c r="AH3886">
        <v>52</v>
      </c>
      <c r="AI3886">
        <v>265.10696761092697</v>
      </c>
      <c r="AJ3886">
        <v>40.669595782073799</v>
      </c>
      <c r="AK3886">
        <v>35.991212653778597</v>
      </c>
    </row>
    <row r="3887" spans="1:37" x14ac:dyDescent="0.3">
      <c r="A3887">
        <v>3886</v>
      </c>
      <c r="B3887">
        <v>0</v>
      </c>
      <c r="C3887">
        <v>4.431</v>
      </c>
      <c r="D3887">
        <v>8.452</v>
      </c>
      <c r="E3887" t="s">
        <v>6016</v>
      </c>
      <c r="F3887" t="s">
        <v>6017</v>
      </c>
      <c r="G3887" t="s">
        <v>39</v>
      </c>
      <c r="H3887">
        <v>1987</v>
      </c>
      <c r="I3887">
        <v>26.5</v>
      </c>
      <c r="J3887">
        <v>11.199999809265099</v>
      </c>
      <c r="K3887">
        <v>65</v>
      </c>
      <c r="L3887">
        <v>13.689999580383301</v>
      </c>
      <c r="M3887">
        <v>35.400001525878899</v>
      </c>
      <c r="N3887">
        <v>18.399999618530298</v>
      </c>
      <c r="O3887">
        <v>17</v>
      </c>
      <c r="P3887">
        <v>25.100000381469702</v>
      </c>
      <c r="Q3887">
        <v>26.700000762939499</v>
      </c>
      <c r="R3887">
        <v>28.299999237060501</v>
      </c>
      <c r="S3887">
        <v>24.700000762939499</v>
      </c>
      <c r="T3887">
        <v>1208</v>
      </c>
      <c r="U3887">
        <v>227</v>
      </c>
      <c r="V3887">
        <v>9</v>
      </c>
      <c r="W3887">
        <v>71</v>
      </c>
      <c r="X3887">
        <v>505</v>
      </c>
      <c r="Y3887">
        <v>34</v>
      </c>
      <c r="Z3887">
        <v>176</v>
      </c>
      <c r="AA3887">
        <v>498</v>
      </c>
      <c r="AB3887">
        <v>17.752591784246999</v>
      </c>
      <c r="AC3887">
        <v>2.4087432987089E-2</v>
      </c>
      <c r="AD3887">
        <v>2.3346447274602702</v>
      </c>
      <c r="AE3887">
        <v>0.34874460101127602</v>
      </c>
      <c r="AF3887">
        <v>317.73620689655201</v>
      </c>
      <c r="AG3887">
        <f>IFERROR(AH3887*0.1, "N/A")</f>
        <v>5.9036206896551704</v>
      </c>
      <c r="AH3887">
        <v>59.036206896551697</v>
      </c>
      <c r="AI3887">
        <v>263.134926236909</v>
      </c>
      <c r="AJ3887">
        <v>14.8465517241379</v>
      </c>
      <c r="AK3887">
        <v>65.810344827586206</v>
      </c>
    </row>
    <row r="3888" spans="1:37" x14ac:dyDescent="0.3">
      <c r="A3888">
        <v>3887</v>
      </c>
      <c r="B3888">
        <v>27</v>
      </c>
      <c r="C3888">
        <v>4.431</v>
      </c>
      <c r="D3888">
        <v>8.452</v>
      </c>
      <c r="E3888" t="s">
        <v>6016</v>
      </c>
      <c r="F3888" t="s">
        <v>6018</v>
      </c>
      <c r="G3888" t="s">
        <v>37</v>
      </c>
      <c r="H3888">
        <v>1987</v>
      </c>
      <c r="I3888">
        <v>26.5</v>
      </c>
      <c r="J3888">
        <v>11.199999809265099</v>
      </c>
      <c r="K3888">
        <v>65</v>
      </c>
      <c r="L3888">
        <v>13.689999580383301</v>
      </c>
      <c r="M3888">
        <v>35.400001525878899</v>
      </c>
      <c r="N3888">
        <v>18.399999618530298</v>
      </c>
      <c r="O3888">
        <v>17</v>
      </c>
      <c r="P3888">
        <v>25.100000381469702</v>
      </c>
      <c r="Q3888">
        <v>26.700000762939499</v>
      </c>
      <c r="R3888">
        <v>28.299999237060501</v>
      </c>
      <c r="S3888">
        <v>24.700000762939499</v>
      </c>
      <c r="T3888">
        <v>1208</v>
      </c>
      <c r="U3888">
        <v>227</v>
      </c>
      <c r="V3888">
        <v>9</v>
      </c>
      <c r="W3888">
        <v>71</v>
      </c>
      <c r="X3888">
        <v>505</v>
      </c>
      <c r="Y3888">
        <v>34</v>
      </c>
      <c r="Z3888">
        <v>176</v>
      </c>
      <c r="AA3888">
        <v>498</v>
      </c>
      <c r="AB3888">
        <v>17.752591784246999</v>
      </c>
      <c r="AC3888">
        <v>2.4087432987089E-2</v>
      </c>
      <c r="AD3888">
        <v>2.3346447274602702</v>
      </c>
      <c r="AE3888">
        <v>0.34874460101127602</v>
      </c>
      <c r="AF3888">
        <v>317.73620689655201</v>
      </c>
      <c r="AG3888">
        <f>IFERROR(AH3888*0.1, "N/A")</f>
        <v>5.9036206896551704</v>
      </c>
      <c r="AH3888">
        <v>59.036206896551697</v>
      </c>
      <c r="AI3888">
        <v>263.134926236909</v>
      </c>
      <c r="AJ3888">
        <v>14.8465517241379</v>
      </c>
      <c r="AK3888">
        <v>65.810344827586206</v>
      </c>
    </row>
    <row r="3889" spans="1:37" x14ac:dyDescent="0.3">
      <c r="A3889">
        <v>3888</v>
      </c>
      <c r="B3889">
        <v>84</v>
      </c>
      <c r="C3889">
        <v>4.194</v>
      </c>
      <c r="D3889">
        <v>12.457000000000001</v>
      </c>
      <c r="E3889" t="s">
        <v>6019</v>
      </c>
      <c r="F3889" t="s">
        <v>6020</v>
      </c>
      <c r="G3889" t="s">
        <v>39</v>
      </c>
      <c r="H3889">
        <v>1987</v>
      </c>
      <c r="I3889">
        <v>28.399999618530298</v>
      </c>
      <c r="J3889">
        <v>13.3999996185303</v>
      </c>
      <c r="K3889">
        <v>58</v>
      </c>
      <c r="L3889">
        <v>24.719999313354499</v>
      </c>
      <c r="M3889">
        <v>39.700000762939503</v>
      </c>
      <c r="N3889">
        <v>16.600000381469702</v>
      </c>
      <c r="O3889">
        <v>23.100000381469702</v>
      </c>
      <c r="P3889">
        <v>27.200000762939499</v>
      </c>
      <c r="Q3889">
        <v>25.700000762939499</v>
      </c>
      <c r="R3889">
        <v>31.899999618530298</v>
      </c>
      <c r="S3889">
        <v>25.700000762939499</v>
      </c>
      <c r="T3889">
        <v>807</v>
      </c>
      <c r="U3889">
        <v>218</v>
      </c>
      <c r="V3889">
        <v>1</v>
      </c>
      <c r="W3889">
        <v>109</v>
      </c>
      <c r="X3889">
        <v>547</v>
      </c>
      <c r="Y3889">
        <v>4</v>
      </c>
      <c r="Z3889">
        <v>108</v>
      </c>
      <c r="AA3889">
        <v>4</v>
      </c>
      <c r="AB3889">
        <v>4.2199390157930301</v>
      </c>
      <c r="AC3889">
        <v>0.138046866868269</v>
      </c>
      <c r="AD3889">
        <v>1.56785367690725</v>
      </c>
      <c r="AE3889">
        <v>0.90738010406494096</v>
      </c>
      <c r="AF3889">
        <v>236.08347529812599</v>
      </c>
      <c r="AG3889">
        <f>IFERROR(AH3889*0.1, "N/A")</f>
        <v>6.0189097103918208</v>
      </c>
      <c r="AH3889">
        <v>60.189097103918201</v>
      </c>
      <c r="AI3889">
        <v>184.310683638721</v>
      </c>
      <c r="AJ3889">
        <v>22.998296422487201</v>
      </c>
      <c r="AK3889">
        <v>57.998296422487201</v>
      </c>
    </row>
    <row r="3890" spans="1:37" x14ac:dyDescent="0.3">
      <c r="A3890">
        <v>3889</v>
      </c>
      <c r="B3890">
        <v>13</v>
      </c>
      <c r="C3890">
        <v>4.194</v>
      </c>
      <c r="D3890">
        <v>12.457000000000001</v>
      </c>
      <c r="E3890" t="s">
        <v>6019</v>
      </c>
      <c r="F3890" t="s">
        <v>6021</v>
      </c>
      <c r="G3890" t="s">
        <v>37</v>
      </c>
      <c r="H3890">
        <v>1987</v>
      </c>
      <c r="I3890">
        <v>28.399999618530298</v>
      </c>
      <c r="J3890">
        <v>13.3999996185303</v>
      </c>
      <c r="K3890">
        <v>58</v>
      </c>
      <c r="L3890">
        <v>24.719999313354499</v>
      </c>
      <c r="M3890">
        <v>39.700000762939503</v>
      </c>
      <c r="N3890">
        <v>16.600000381469702</v>
      </c>
      <c r="O3890">
        <v>23.100000381469702</v>
      </c>
      <c r="P3890">
        <v>27.200000762939499</v>
      </c>
      <c r="Q3890">
        <v>25.700000762939499</v>
      </c>
      <c r="R3890">
        <v>31.899999618530298</v>
      </c>
      <c r="S3890">
        <v>25.700000762939499</v>
      </c>
      <c r="T3890">
        <v>807</v>
      </c>
      <c r="U3890">
        <v>218</v>
      </c>
      <c r="V3890">
        <v>1</v>
      </c>
      <c r="W3890">
        <v>109</v>
      </c>
      <c r="X3890">
        <v>547</v>
      </c>
      <c r="Y3890">
        <v>4</v>
      </c>
      <c r="Z3890">
        <v>108</v>
      </c>
      <c r="AA3890">
        <v>4</v>
      </c>
      <c r="AB3890">
        <v>4.2199390157930301</v>
      </c>
      <c r="AC3890">
        <v>0.138046866868269</v>
      </c>
      <c r="AD3890">
        <v>1.56785367690725</v>
      </c>
      <c r="AE3890">
        <v>0.90738010406494096</v>
      </c>
      <c r="AF3890">
        <v>236.08347529812599</v>
      </c>
      <c r="AG3890">
        <f>IFERROR(AH3890*0.1, "N/A")</f>
        <v>6.0189097103918208</v>
      </c>
      <c r="AH3890">
        <v>60.189097103918201</v>
      </c>
      <c r="AI3890">
        <v>184.310683638721</v>
      </c>
      <c r="AJ3890">
        <v>22.998296422487201</v>
      </c>
      <c r="AK3890">
        <v>57.998296422487201</v>
      </c>
    </row>
    <row r="3891" spans="1:37" x14ac:dyDescent="0.3">
      <c r="A3891">
        <v>3890</v>
      </c>
      <c r="B3891">
        <v>4</v>
      </c>
      <c r="C3891">
        <v>7.444</v>
      </c>
      <c r="D3891">
        <v>10.519</v>
      </c>
      <c r="E3891" t="s">
        <v>6022</v>
      </c>
      <c r="F3891" t="s">
        <v>6023</v>
      </c>
      <c r="G3891" t="s">
        <v>37</v>
      </c>
      <c r="H3891">
        <v>1987</v>
      </c>
      <c r="I3891">
        <v>25.200000762939499</v>
      </c>
      <c r="J3891">
        <v>12.800000190734901</v>
      </c>
      <c r="K3891">
        <v>61</v>
      </c>
      <c r="L3891">
        <v>16.600000381469702</v>
      </c>
      <c r="M3891">
        <v>35.200000762939503</v>
      </c>
      <c r="N3891">
        <v>14.5</v>
      </c>
      <c r="O3891">
        <v>20.700000762939499</v>
      </c>
      <c r="P3891">
        <v>24</v>
      </c>
      <c r="Q3891">
        <v>24</v>
      </c>
      <c r="R3891">
        <v>27.799999237060501</v>
      </c>
      <c r="S3891">
        <v>23.799999237060501</v>
      </c>
      <c r="T3891">
        <v>1211</v>
      </c>
      <c r="U3891">
        <v>284</v>
      </c>
      <c r="V3891">
        <v>0</v>
      </c>
      <c r="W3891">
        <v>102</v>
      </c>
      <c r="X3891">
        <v>760</v>
      </c>
      <c r="Y3891">
        <v>2</v>
      </c>
      <c r="Z3891">
        <v>200</v>
      </c>
      <c r="AA3891">
        <v>4</v>
      </c>
      <c r="AB3891">
        <v>10.943918741792199</v>
      </c>
      <c r="AC3891">
        <v>2.6259211858488E-2</v>
      </c>
      <c r="AD3891">
        <v>1.4831691684894699</v>
      </c>
      <c r="AE3891">
        <v>0.85361313819885298</v>
      </c>
      <c r="AF3891">
        <v>606.25385934819894</v>
      </c>
      <c r="AG3891">
        <f>IFERROR(AH3891*0.1, "N/A")</f>
        <v>6.2283018867924502</v>
      </c>
      <c r="AH3891">
        <v>62.283018867924497</v>
      </c>
      <c r="AI3891">
        <v>128.236126253576</v>
      </c>
      <c r="AJ3891">
        <v>26.965694682675799</v>
      </c>
      <c r="AK3891">
        <v>53.068610634648401</v>
      </c>
    </row>
    <row r="3892" spans="1:37" x14ac:dyDescent="0.3">
      <c r="A3892">
        <v>3891</v>
      </c>
      <c r="B3892">
        <v>0</v>
      </c>
      <c r="C3892">
        <v>6.4820000000000002</v>
      </c>
      <c r="D3892">
        <v>11.016999999999999</v>
      </c>
      <c r="E3892" t="s">
        <v>6024</v>
      </c>
      <c r="F3892" t="s">
        <v>6025</v>
      </c>
      <c r="G3892" t="s">
        <v>39</v>
      </c>
      <c r="H3892">
        <v>1987</v>
      </c>
      <c r="I3892">
        <v>26.100000381469702</v>
      </c>
      <c r="J3892">
        <v>13.1000003814697</v>
      </c>
      <c r="K3892">
        <v>60</v>
      </c>
      <c r="L3892">
        <v>19.593070548762601</v>
      </c>
      <c r="M3892">
        <v>36.656432012750997</v>
      </c>
      <c r="N3892">
        <v>14.8564321148252</v>
      </c>
      <c r="O3892">
        <v>21.799999237060501</v>
      </c>
      <c r="P3892">
        <v>24.700000762939499</v>
      </c>
      <c r="Q3892">
        <v>24.856431699330798</v>
      </c>
      <c r="R3892">
        <v>29.256432148849999</v>
      </c>
      <c r="S3892">
        <v>24.399999618530298</v>
      </c>
      <c r="T3892">
        <v>1110.8713550600301</v>
      </c>
      <c r="U3892">
        <v>274</v>
      </c>
      <c r="V3892">
        <v>0</v>
      </c>
      <c r="W3892">
        <v>107</v>
      </c>
      <c r="X3892">
        <v>729</v>
      </c>
      <c r="Y3892">
        <v>1</v>
      </c>
      <c r="Z3892">
        <v>158</v>
      </c>
      <c r="AA3892">
        <v>2</v>
      </c>
      <c r="AB3892">
        <v>13.4806121773826</v>
      </c>
      <c r="AC3892">
        <v>3.3631289668546997E-2</v>
      </c>
      <c r="AD3892">
        <v>1.3800460052122201</v>
      </c>
      <c r="AE3892">
        <v>0.67160444051078405</v>
      </c>
      <c r="AF3892">
        <v>455.58833619210998</v>
      </c>
      <c r="AG3892">
        <f>IFERROR(AH3892*0.1, "N/A")</f>
        <v>5.9958833619211003</v>
      </c>
      <c r="AH3892">
        <v>59.958833619210999</v>
      </c>
      <c r="AI3892">
        <v>187.00258265474</v>
      </c>
      <c r="AJ3892">
        <v>22.0428816466552</v>
      </c>
      <c r="AK3892">
        <v>53.914236706689501</v>
      </c>
    </row>
    <row r="3893" spans="1:37" x14ac:dyDescent="0.3">
      <c r="A3893">
        <v>3892</v>
      </c>
      <c r="B3893">
        <v>95</v>
      </c>
      <c r="C3893">
        <v>7.6029999999999998</v>
      </c>
      <c r="D3893">
        <v>12.996</v>
      </c>
      <c r="E3893" t="s">
        <v>6026</v>
      </c>
      <c r="F3893" t="s">
        <v>6027</v>
      </c>
      <c r="G3893" t="s">
        <v>39</v>
      </c>
      <c r="H3893">
        <v>1987</v>
      </c>
      <c r="I3893">
        <v>26</v>
      </c>
      <c r="J3893">
        <v>14.3999996185303</v>
      </c>
      <c r="K3893">
        <v>54</v>
      </c>
      <c r="L3893">
        <v>30.819999694824201</v>
      </c>
      <c r="M3893">
        <v>38.5</v>
      </c>
      <c r="N3893">
        <v>12.300000190734901</v>
      </c>
      <c r="O3893">
        <v>26.200000762939499</v>
      </c>
      <c r="P3893">
        <v>25.399999618530298</v>
      </c>
      <c r="Q3893">
        <v>24.399999618530298</v>
      </c>
      <c r="R3893">
        <v>30.100000381469702</v>
      </c>
      <c r="S3893">
        <v>22</v>
      </c>
      <c r="T3893">
        <v>597</v>
      </c>
      <c r="U3893">
        <v>216</v>
      </c>
      <c r="V3893">
        <v>0</v>
      </c>
      <c r="W3893">
        <v>143</v>
      </c>
      <c r="X3893">
        <v>479</v>
      </c>
      <c r="Y3893">
        <v>0</v>
      </c>
      <c r="Z3893">
        <v>108</v>
      </c>
      <c r="AA3893">
        <v>0</v>
      </c>
      <c r="AB3893">
        <v>14.396947621491</v>
      </c>
      <c r="AC3893">
        <v>1.0479982394599E-2</v>
      </c>
      <c r="AD3893">
        <v>0.97655930640333799</v>
      </c>
      <c r="AE3893">
        <v>0.91712079674510605</v>
      </c>
      <c r="AF3893">
        <v>514.39322033898304</v>
      </c>
      <c r="AG3893">
        <f>IFERROR(AH3893*0.1, "N/A")</f>
        <v>7.2910169491525396</v>
      </c>
      <c r="AH3893">
        <v>72.910169491525394</v>
      </c>
      <c r="AI3893">
        <v>76.760573484129793</v>
      </c>
      <c r="AJ3893">
        <v>23.005084745762701</v>
      </c>
      <c r="AK3893">
        <v>56.074576271186501</v>
      </c>
    </row>
    <row r="3894" spans="1:37" x14ac:dyDescent="0.3">
      <c r="A3894">
        <v>3893</v>
      </c>
      <c r="B3894">
        <v>14</v>
      </c>
      <c r="C3894">
        <v>7.6029999999999998</v>
      </c>
      <c r="D3894">
        <v>12.996</v>
      </c>
      <c r="E3894" t="s">
        <v>6026</v>
      </c>
      <c r="F3894" t="s">
        <v>6028</v>
      </c>
      <c r="G3894" t="s">
        <v>37</v>
      </c>
      <c r="H3894">
        <v>1987</v>
      </c>
      <c r="I3894">
        <v>26</v>
      </c>
      <c r="J3894">
        <v>14.3999996185303</v>
      </c>
      <c r="K3894">
        <v>54</v>
      </c>
      <c r="L3894">
        <v>30.819999694824201</v>
      </c>
      <c r="M3894">
        <v>38.5</v>
      </c>
      <c r="N3894">
        <v>12.300000190734901</v>
      </c>
      <c r="O3894">
        <v>26.200000762939499</v>
      </c>
      <c r="P3894">
        <v>25.399999618530298</v>
      </c>
      <c r="Q3894">
        <v>24.399999618530298</v>
      </c>
      <c r="R3894">
        <v>30.100000381469702</v>
      </c>
      <c r="S3894">
        <v>22</v>
      </c>
      <c r="T3894">
        <v>597</v>
      </c>
      <c r="U3894">
        <v>216</v>
      </c>
      <c r="V3894">
        <v>0</v>
      </c>
      <c r="W3894">
        <v>143</v>
      </c>
      <c r="X3894">
        <v>479</v>
      </c>
      <c r="Y3894">
        <v>0</v>
      </c>
      <c r="Z3894">
        <v>108</v>
      </c>
      <c r="AA3894">
        <v>0</v>
      </c>
      <c r="AB3894">
        <v>14.396947621491</v>
      </c>
      <c r="AC3894">
        <v>1.0479982394599E-2</v>
      </c>
      <c r="AD3894">
        <v>0.97655930640333799</v>
      </c>
      <c r="AE3894">
        <v>0.91712079674510605</v>
      </c>
      <c r="AF3894">
        <v>514.39322033898304</v>
      </c>
      <c r="AG3894">
        <f>IFERROR(AH3894*0.1, "N/A")</f>
        <v>7.2910169491525396</v>
      </c>
      <c r="AH3894">
        <v>72.910169491525394</v>
      </c>
      <c r="AI3894">
        <v>76.760573484129793</v>
      </c>
      <c r="AJ3894">
        <v>23.005084745762701</v>
      </c>
      <c r="AK3894">
        <v>56.074576271186501</v>
      </c>
    </row>
    <row r="3895" spans="1:37" x14ac:dyDescent="0.3">
      <c r="A3895">
        <v>3894</v>
      </c>
      <c r="B3895">
        <v>0</v>
      </c>
      <c r="C3895">
        <v>7.8250000000000002</v>
      </c>
      <c r="D3895">
        <v>12.545</v>
      </c>
      <c r="E3895" t="s">
        <v>6029</v>
      </c>
      <c r="F3895" t="s">
        <v>6030</v>
      </c>
      <c r="G3895" t="s">
        <v>39</v>
      </c>
      <c r="H3895">
        <v>1987</v>
      </c>
      <c r="I3895">
        <v>25.700000762939499</v>
      </c>
      <c r="J3895">
        <v>14.300000190734901</v>
      </c>
      <c r="K3895">
        <v>56</v>
      </c>
      <c r="L3895">
        <v>28.573673160708701</v>
      </c>
      <c r="M3895">
        <v>37.900001525878899</v>
      </c>
      <c r="N3895">
        <v>12.5</v>
      </c>
      <c r="O3895">
        <v>25.399999618530298</v>
      </c>
      <c r="P3895">
        <v>25.100000381469702</v>
      </c>
      <c r="Q3895">
        <v>22.299999237060501</v>
      </c>
      <c r="R3895">
        <v>29.5</v>
      </c>
      <c r="S3895">
        <v>22.131803223875899</v>
      </c>
      <c r="T3895">
        <v>714</v>
      </c>
      <c r="U3895">
        <v>247</v>
      </c>
      <c r="V3895">
        <v>0</v>
      </c>
      <c r="W3895">
        <v>134</v>
      </c>
      <c r="X3895">
        <v>549</v>
      </c>
      <c r="Y3895">
        <v>0</v>
      </c>
      <c r="Z3895">
        <v>150</v>
      </c>
      <c r="AA3895">
        <v>0</v>
      </c>
      <c r="AB3895">
        <v>1.1140901734228801</v>
      </c>
      <c r="AC3895">
        <v>1.6846110310253399</v>
      </c>
      <c r="AD3895">
        <v>1.5070433450393901</v>
      </c>
      <c r="AE3895">
        <v>0.79507571458816495</v>
      </c>
      <c r="AF3895">
        <v>539.24659863945601</v>
      </c>
      <c r="AG3895">
        <f>IFERROR(AH3895*0.1, "N/A")</f>
        <v>6.3312925170068004</v>
      </c>
      <c r="AH3895">
        <v>63.312925170067999</v>
      </c>
      <c r="AI3895">
        <v>248.14446878757599</v>
      </c>
      <c r="AJ3895">
        <v>21.0561224489796</v>
      </c>
      <c r="AK3895">
        <v>55.318027210884402</v>
      </c>
    </row>
    <row r="3896" spans="1:37" x14ac:dyDescent="0.3">
      <c r="A3896">
        <v>3895</v>
      </c>
      <c r="B3896">
        <v>63</v>
      </c>
      <c r="C3896">
        <v>4.266</v>
      </c>
      <c r="D3896">
        <v>11.250999999999999</v>
      </c>
      <c r="E3896" t="s">
        <v>6031</v>
      </c>
      <c r="F3896" t="s">
        <v>6032</v>
      </c>
      <c r="G3896" t="s">
        <v>39</v>
      </c>
      <c r="H3896">
        <v>1987</v>
      </c>
      <c r="I3896">
        <v>27.799999237060501</v>
      </c>
      <c r="J3896">
        <v>13.1000003814697</v>
      </c>
      <c r="K3896">
        <v>56</v>
      </c>
      <c r="L3896">
        <v>22.719999313354499</v>
      </c>
      <c r="M3896">
        <v>38.700000762939503</v>
      </c>
      <c r="N3896">
        <v>15.699999809265099</v>
      </c>
      <c r="O3896">
        <v>23</v>
      </c>
      <c r="P3896">
        <v>26.299999237060501</v>
      </c>
      <c r="Q3896">
        <v>26.200000762939499</v>
      </c>
      <c r="R3896">
        <v>31.299999237060501</v>
      </c>
      <c r="S3896">
        <v>25.600000381469702</v>
      </c>
      <c r="T3896">
        <v>963</v>
      </c>
      <c r="U3896">
        <v>261</v>
      </c>
      <c r="V3896">
        <v>0</v>
      </c>
      <c r="W3896">
        <v>111</v>
      </c>
      <c r="X3896">
        <v>647</v>
      </c>
      <c r="Y3896">
        <v>1</v>
      </c>
      <c r="Z3896">
        <v>126</v>
      </c>
      <c r="AA3896">
        <v>3</v>
      </c>
      <c r="AB3896">
        <v>1.76792643368755</v>
      </c>
      <c r="AC3896">
        <v>2.2225703472210999E-2</v>
      </c>
      <c r="AD3896">
        <v>2.6086584744690602</v>
      </c>
      <c r="AE3896">
        <v>0.56200796365737904</v>
      </c>
      <c r="AF3896">
        <v>144.61749571183501</v>
      </c>
      <c r="AG3896" t="str">
        <f>IFERROR(AH3896*0.1, "N/A")</f>
        <v>N/A</v>
      </c>
      <c r="AH3896" t="s">
        <v>729</v>
      </c>
      <c r="AI3896">
        <v>136.004445424415</v>
      </c>
      <c r="AJ3896" t="s">
        <v>729</v>
      </c>
      <c r="AK3896" t="s">
        <v>729</v>
      </c>
    </row>
    <row r="3897" spans="1:37" x14ac:dyDescent="0.3">
      <c r="A3897">
        <v>3896</v>
      </c>
      <c r="B3897">
        <v>0</v>
      </c>
      <c r="C3897">
        <v>8.2899999999999991</v>
      </c>
      <c r="D3897">
        <v>9.5839999999999996</v>
      </c>
      <c r="E3897" t="s">
        <v>6033</v>
      </c>
      <c r="F3897" t="s">
        <v>6034</v>
      </c>
      <c r="G3897" t="s">
        <v>39</v>
      </c>
      <c r="H3897">
        <v>1987</v>
      </c>
      <c r="I3897">
        <v>24.399999618530298</v>
      </c>
      <c r="J3897">
        <v>11.8999996185303</v>
      </c>
      <c r="K3897">
        <v>63</v>
      </c>
      <c r="L3897">
        <v>15.740517014470599</v>
      </c>
      <c r="M3897">
        <v>33.700000762939503</v>
      </c>
      <c r="N3897">
        <v>15.0994831381173</v>
      </c>
      <c r="O3897">
        <v>18.600517624822199</v>
      </c>
      <c r="P3897">
        <v>22.899999618530298</v>
      </c>
      <c r="Q3897">
        <v>23.600000381469702</v>
      </c>
      <c r="R3897">
        <v>26.799999237060501</v>
      </c>
      <c r="S3897">
        <v>22.899999618530298</v>
      </c>
      <c r="T3897">
        <v>1540.00517241379</v>
      </c>
      <c r="U3897">
        <v>348</v>
      </c>
      <c r="V3897">
        <v>0</v>
      </c>
      <c r="W3897">
        <v>95</v>
      </c>
      <c r="X3897">
        <v>923</v>
      </c>
      <c r="Y3897">
        <v>10</v>
      </c>
      <c r="Z3897">
        <v>272</v>
      </c>
      <c r="AA3897">
        <v>923</v>
      </c>
      <c r="AB3897">
        <v>3.76415068527748</v>
      </c>
      <c r="AC3897">
        <v>4.7067503576520002E-2</v>
      </c>
      <c r="AD3897">
        <v>1.9972517794576199</v>
      </c>
      <c r="AE3897">
        <v>0.78442293405532804</v>
      </c>
      <c r="AF3897">
        <v>736.56551724138001</v>
      </c>
      <c r="AG3897">
        <f>IFERROR(AH3897*0.1, "N/A")</f>
        <v>5.8000000000000007</v>
      </c>
      <c r="AH3897">
        <v>58</v>
      </c>
      <c r="AI3897">
        <v>198.33946817332301</v>
      </c>
      <c r="AJ3897">
        <v>30.198275862069</v>
      </c>
      <c r="AK3897">
        <v>44.801724137930997</v>
      </c>
    </row>
    <row r="3898" spans="1:37" x14ac:dyDescent="0.3">
      <c r="A3898">
        <v>3897</v>
      </c>
      <c r="B3898">
        <v>72</v>
      </c>
      <c r="C3898">
        <v>8.5060000000000002</v>
      </c>
      <c r="D3898">
        <v>11.997999999999999</v>
      </c>
      <c r="E3898" t="s">
        <v>6035</v>
      </c>
      <c r="F3898" t="s">
        <v>6036</v>
      </c>
      <c r="G3898" t="s">
        <v>39</v>
      </c>
      <c r="H3898">
        <v>1987</v>
      </c>
      <c r="I3898">
        <v>26.100000381469702</v>
      </c>
      <c r="J3898">
        <v>14.1000003814697</v>
      </c>
      <c r="K3898">
        <v>55</v>
      </c>
      <c r="L3898">
        <v>28.170000076293899</v>
      </c>
      <c r="M3898">
        <v>38.200000762939503</v>
      </c>
      <c r="N3898">
        <v>13</v>
      </c>
      <c r="O3898">
        <v>25.200000762939499</v>
      </c>
      <c r="P3898">
        <v>26.5</v>
      </c>
      <c r="Q3898">
        <v>22.600000381469702</v>
      </c>
      <c r="R3898">
        <v>29.799999237060501</v>
      </c>
      <c r="S3898">
        <v>22.5</v>
      </c>
      <c r="T3898">
        <v>757</v>
      </c>
      <c r="U3898">
        <v>258</v>
      </c>
      <c r="V3898">
        <v>0</v>
      </c>
      <c r="W3898">
        <v>132</v>
      </c>
      <c r="X3898">
        <v>566</v>
      </c>
      <c r="Y3898">
        <v>0</v>
      </c>
      <c r="Z3898">
        <v>177</v>
      </c>
      <c r="AA3898">
        <v>0</v>
      </c>
      <c r="AB3898">
        <v>0.88060900629783201</v>
      </c>
      <c r="AC3898">
        <v>1.60599192536632</v>
      </c>
      <c r="AD3898">
        <v>1.4835760258898401</v>
      </c>
      <c r="AE3898">
        <v>0.93655705451965299</v>
      </c>
      <c r="AF3898">
        <v>479.25170068027199</v>
      </c>
      <c r="AG3898">
        <f>IFERROR(AH3898*0.1, "N/A")</f>
        <v>6.8392857142857197</v>
      </c>
      <c r="AH3898">
        <v>68.392857142857196</v>
      </c>
      <c r="AI3898">
        <v>139.10741811220299</v>
      </c>
      <c r="AJ3898">
        <v>30.226190476190499</v>
      </c>
      <c r="AK3898">
        <v>48.785714285714299</v>
      </c>
    </row>
    <row r="3899" spans="1:37" x14ac:dyDescent="0.3">
      <c r="A3899">
        <v>3898</v>
      </c>
      <c r="B3899">
        <v>11</v>
      </c>
      <c r="C3899">
        <v>8.5060000000000002</v>
      </c>
      <c r="D3899">
        <v>11.997999999999999</v>
      </c>
      <c r="E3899" t="s">
        <v>6035</v>
      </c>
      <c r="F3899" t="s">
        <v>6037</v>
      </c>
      <c r="G3899" t="s">
        <v>37</v>
      </c>
      <c r="H3899">
        <v>1987</v>
      </c>
      <c r="I3899">
        <v>26.100000381469702</v>
      </c>
      <c r="J3899">
        <v>14.1000003814697</v>
      </c>
      <c r="K3899">
        <v>55</v>
      </c>
      <c r="L3899">
        <v>28.170000076293899</v>
      </c>
      <c r="M3899">
        <v>38.200000762939503</v>
      </c>
      <c r="N3899">
        <v>13</v>
      </c>
      <c r="O3899">
        <v>25.200000762939499</v>
      </c>
      <c r="P3899">
        <v>26.5</v>
      </c>
      <c r="Q3899">
        <v>22.600000381469702</v>
      </c>
      <c r="R3899">
        <v>29.799999237060501</v>
      </c>
      <c r="S3899">
        <v>22.5</v>
      </c>
      <c r="T3899">
        <v>757</v>
      </c>
      <c r="U3899">
        <v>258</v>
      </c>
      <c r="V3899">
        <v>0</v>
      </c>
      <c r="W3899">
        <v>132</v>
      </c>
      <c r="X3899">
        <v>566</v>
      </c>
      <c r="Y3899">
        <v>0</v>
      </c>
      <c r="Z3899">
        <v>177</v>
      </c>
      <c r="AA3899">
        <v>0</v>
      </c>
      <c r="AB3899">
        <v>0.88060900629783201</v>
      </c>
      <c r="AC3899">
        <v>1.60599192536632</v>
      </c>
      <c r="AD3899">
        <v>1.4835760258898401</v>
      </c>
      <c r="AE3899">
        <v>0.93655705451965299</v>
      </c>
      <c r="AF3899">
        <v>479.25170068027199</v>
      </c>
      <c r="AG3899">
        <f>IFERROR(AH3899*0.1, "N/A")</f>
        <v>6.8392857142857197</v>
      </c>
      <c r="AH3899">
        <v>68.392857142857196</v>
      </c>
      <c r="AI3899">
        <v>139.10741811220299</v>
      </c>
      <c r="AJ3899">
        <v>30.226190476190499</v>
      </c>
      <c r="AK3899">
        <v>48.785714285714299</v>
      </c>
    </row>
    <row r="3900" spans="1:37" x14ac:dyDescent="0.3">
      <c r="A3900">
        <v>3899</v>
      </c>
      <c r="B3900">
        <v>53</v>
      </c>
      <c r="C3900">
        <v>9.8420000000000005</v>
      </c>
      <c r="D3900">
        <v>10.313000000000001</v>
      </c>
      <c r="E3900" t="s">
        <v>6038</v>
      </c>
      <c r="F3900" t="s">
        <v>6039</v>
      </c>
      <c r="G3900" t="s">
        <v>39</v>
      </c>
      <c r="H3900">
        <v>1987</v>
      </c>
      <c r="I3900">
        <v>25.299999237060501</v>
      </c>
      <c r="J3900">
        <v>13.8441580136617</v>
      </c>
      <c r="K3900">
        <v>59</v>
      </c>
      <c r="L3900">
        <v>20.651684125264499</v>
      </c>
      <c r="M3900">
        <v>36.599998474121101</v>
      </c>
      <c r="N3900">
        <v>13.300000190734901</v>
      </c>
      <c r="O3900">
        <v>23.299999237060501</v>
      </c>
      <c r="P3900">
        <v>24.200000762939499</v>
      </c>
      <c r="Q3900">
        <v>23.044158244051101</v>
      </c>
      <c r="R3900">
        <v>28.344157481111601</v>
      </c>
      <c r="S3900">
        <v>23.044158244051101</v>
      </c>
      <c r="T3900">
        <v>1009.44158075601</v>
      </c>
      <c r="U3900">
        <v>287</v>
      </c>
      <c r="V3900">
        <v>0</v>
      </c>
      <c r="W3900">
        <v>118</v>
      </c>
      <c r="X3900">
        <v>712</v>
      </c>
      <c r="Y3900">
        <v>0</v>
      </c>
      <c r="Z3900">
        <v>121</v>
      </c>
      <c r="AA3900">
        <v>0</v>
      </c>
      <c r="AB3900">
        <v>4.6362653909270302</v>
      </c>
      <c r="AC3900">
        <v>0.14577114461725901</v>
      </c>
      <c r="AD3900">
        <v>0.63248446179214601</v>
      </c>
      <c r="AE3900">
        <v>0.918359994888306</v>
      </c>
      <c r="AF3900">
        <v>619.41580756013695</v>
      </c>
      <c r="AG3900">
        <f>IFERROR(AH3900*0.1, "N/A")</f>
        <v>6.8218213058419197</v>
      </c>
      <c r="AH3900">
        <v>68.218213058419195</v>
      </c>
      <c r="AI3900">
        <v>198.335850535389</v>
      </c>
      <c r="AJ3900">
        <v>25.948453608247402</v>
      </c>
      <c r="AK3900">
        <v>53</v>
      </c>
    </row>
    <row r="3901" spans="1:37" x14ac:dyDescent="0.3">
      <c r="A3901">
        <v>3900</v>
      </c>
      <c r="B3901">
        <v>28</v>
      </c>
      <c r="C3901">
        <v>9.8420000000000005</v>
      </c>
      <c r="D3901">
        <v>10.313000000000001</v>
      </c>
      <c r="E3901" t="s">
        <v>6038</v>
      </c>
      <c r="F3901" t="s">
        <v>6040</v>
      </c>
      <c r="G3901" t="s">
        <v>37</v>
      </c>
      <c r="H3901">
        <v>1987</v>
      </c>
      <c r="I3901">
        <v>25.299999237060501</v>
      </c>
      <c r="J3901">
        <v>13.8441580136617</v>
      </c>
      <c r="K3901">
        <v>59</v>
      </c>
      <c r="L3901">
        <v>20.651684125264499</v>
      </c>
      <c r="M3901">
        <v>36.599998474121101</v>
      </c>
      <c r="N3901">
        <v>13.300000190734901</v>
      </c>
      <c r="O3901">
        <v>23.299999237060501</v>
      </c>
      <c r="P3901">
        <v>24.200000762939499</v>
      </c>
      <c r="Q3901">
        <v>23.044158244051101</v>
      </c>
      <c r="R3901">
        <v>28.344157481111601</v>
      </c>
      <c r="S3901">
        <v>23.044158244051101</v>
      </c>
      <c r="T3901">
        <v>1009.44158075601</v>
      </c>
      <c r="U3901">
        <v>287</v>
      </c>
      <c r="V3901">
        <v>0</v>
      </c>
      <c r="W3901">
        <v>118</v>
      </c>
      <c r="X3901">
        <v>712</v>
      </c>
      <c r="Y3901">
        <v>0</v>
      </c>
      <c r="Z3901">
        <v>121</v>
      </c>
      <c r="AA3901">
        <v>0</v>
      </c>
      <c r="AB3901">
        <v>4.6362653909270302</v>
      </c>
      <c r="AC3901">
        <v>0.14577114461725901</v>
      </c>
      <c r="AD3901">
        <v>0.63248446179214601</v>
      </c>
      <c r="AE3901">
        <v>0.918359994888306</v>
      </c>
      <c r="AF3901">
        <v>619.41580756013695</v>
      </c>
      <c r="AG3901">
        <f>IFERROR(AH3901*0.1, "N/A")</f>
        <v>6.8218213058419197</v>
      </c>
      <c r="AH3901">
        <v>68.218213058419195</v>
      </c>
      <c r="AI3901">
        <v>198.335850535389</v>
      </c>
      <c r="AJ3901">
        <v>25.948453608247402</v>
      </c>
      <c r="AK3901">
        <v>53</v>
      </c>
    </row>
    <row r="3902" spans="1:37" x14ac:dyDescent="0.3">
      <c r="A3902">
        <v>3901</v>
      </c>
      <c r="B3902">
        <v>30.5</v>
      </c>
      <c r="C3902">
        <v>11.316700000000001</v>
      </c>
      <c r="D3902">
        <v>12.2667</v>
      </c>
      <c r="E3902" t="s">
        <v>6041</v>
      </c>
      <c r="F3902" t="s">
        <v>6042</v>
      </c>
      <c r="G3902" t="s">
        <v>39</v>
      </c>
      <c r="H3902">
        <v>1987</v>
      </c>
      <c r="I3902">
        <v>25.768250994852298</v>
      </c>
      <c r="J3902">
        <v>15.199999809265099</v>
      </c>
      <c r="K3902">
        <v>55</v>
      </c>
      <c r="L3902">
        <v>30.3693548017933</v>
      </c>
      <c r="M3902">
        <v>38.5</v>
      </c>
      <c r="N3902">
        <v>11.1913411151776</v>
      </c>
      <c r="O3902">
        <v>27.308658013724301</v>
      </c>
      <c r="P3902">
        <v>25.600000381469702</v>
      </c>
      <c r="Q3902">
        <v>23.668251915172299</v>
      </c>
      <c r="R3902">
        <v>29.700000762939499</v>
      </c>
      <c r="S3902">
        <v>21.600000381469702</v>
      </c>
      <c r="T3902">
        <v>556.123938879457</v>
      </c>
      <c r="U3902">
        <v>202.806451612903</v>
      </c>
      <c r="V3902">
        <v>0</v>
      </c>
      <c r="W3902">
        <v>142</v>
      </c>
      <c r="X3902">
        <v>447.123938879457</v>
      </c>
      <c r="Y3902">
        <v>0</v>
      </c>
      <c r="Z3902">
        <v>97</v>
      </c>
      <c r="AA3902">
        <v>0</v>
      </c>
      <c r="AB3902">
        <v>0.55398922257998195</v>
      </c>
      <c r="AC3902">
        <v>9.973891066776E-3</v>
      </c>
      <c r="AD3902">
        <v>0.92485074858309302</v>
      </c>
      <c r="AE3902">
        <v>0.58508402109146096</v>
      </c>
      <c r="AF3902">
        <v>351.276740237691</v>
      </c>
      <c r="AG3902">
        <f>IFERROR(AH3902*0.1, "N/A")</f>
        <v>6.2</v>
      </c>
      <c r="AH3902">
        <v>62</v>
      </c>
      <c r="AI3902">
        <v>102.05179867963</v>
      </c>
      <c r="AJ3902">
        <v>11</v>
      </c>
      <c r="AK3902">
        <v>76.840407470288596</v>
      </c>
    </row>
    <row r="3903" spans="1:37" x14ac:dyDescent="0.3">
      <c r="A3903">
        <v>3902</v>
      </c>
      <c r="B3903">
        <v>3.6</v>
      </c>
      <c r="C3903">
        <v>11.316700000000001</v>
      </c>
      <c r="D3903">
        <v>12.2667</v>
      </c>
      <c r="E3903" t="s">
        <v>6041</v>
      </c>
      <c r="F3903" t="s">
        <v>6043</v>
      </c>
      <c r="G3903" t="s">
        <v>37</v>
      </c>
      <c r="H3903">
        <v>1987</v>
      </c>
      <c r="I3903">
        <v>25.768250994852298</v>
      </c>
      <c r="J3903">
        <v>15.199999809265099</v>
      </c>
      <c r="K3903">
        <v>55</v>
      </c>
      <c r="L3903">
        <v>30.3693548017933</v>
      </c>
      <c r="M3903">
        <v>38.5</v>
      </c>
      <c r="N3903">
        <v>11.1913411151776</v>
      </c>
      <c r="O3903">
        <v>27.308658013724301</v>
      </c>
      <c r="P3903">
        <v>25.600000381469702</v>
      </c>
      <c r="Q3903">
        <v>23.668251915172299</v>
      </c>
      <c r="R3903">
        <v>29.700000762939499</v>
      </c>
      <c r="S3903">
        <v>21.600000381469702</v>
      </c>
      <c r="T3903">
        <v>556.123938879457</v>
      </c>
      <c r="U3903">
        <v>202.806451612903</v>
      </c>
      <c r="V3903">
        <v>0</v>
      </c>
      <c r="W3903">
        <v>142</v>
      </c>
      <c r="X3903">
        <v>447.123938879457</v>
      </c>
      <c r="Y3903">
        <v>0</v>
      </c>
      <c r="Z3903">
        <v>97</v>
      </c>
      <c r="AA3903">
        <v>0</v>
      </c>
      <c r="AB3903">
        <v>0.55398922257998195</v>
      </c>
      <c r="AC3903">
        <v>9.973891066776E-3</v>
      </c>
      <c r="AD3903">
        <v>0.92485074858309302</v>
      </c>
      <c r="AE3903">
        <v>0.58508402109146096</v>
      </c>
      <c r="AF3903">
        <v>351.276740237691</v>
      </c>
      <c r="AG3903">
        <f>IFERROR(AH3903*0.1, "N/A")</f>
        <v>6.2</v>
      </c>
      <c r="AH3903">
        <v>62</v>
      </c>
      <c r="AI3903">
        <v>102.05179867963</v>
      </c>
      <c r="AJ3903">
        <v>11</v>
      </c>
      <c r="AK3903">
        <v>76.840407470288596</v>
      </c>
    </row>
    <row r="3904" spans="1:37" x14ac:dyDescent="0.3">
      <c r="A3904">
        <v>3903</v>
      </c>
      <c r="B3904">
        <v>44</v>
      </c>
      <c r="C3904">
        <v>11.333</v>
      </c>
      <c r="D3904">
        <v>10.804</v>
      </c>
      <c r="E3904" t="s">
        <v>6044</v>
      </c>
      <c r="F3904" t="s">
        <v>6045</v>
      </c>
      <c r="G3904" t="s">
        <v>39</v>
      </c>
      <c r="H3904">
        <v>1987</v>
      </c>
      <c r="I3904">
        <v>25.438395669435899</v>
      </c>
      <c r="J3904">
        <v>14.300000190734901</v>
      </c>
      <c r="K3904">
        <v>57</v>
      </c>
      <c r="L3904">
        <v>23.4838392205613</v>
      </c>
      <c r="M3904">
        <v>37.438396844440803</v>
      </c>
      <c r="N3904">
        <v>12.5383960509056</v>
      </c>
      <c r="O3904">
        <v>24.899999618530298</v>
      </c>
      <c r="P3904">
        <v>24.638396432375298</v>
      </c>
      <c r="Q3904">
        <v>22.7383960815013</v>
      </c>
      <c r="R3904">
        <v>28.7383960815013</v>
      </c>
      <c r="S3904">
        <v>22.7383960815013</v>
      </c>
      <c r="T3904">
        <v>834.61604095563098</v>
      </c>
      <c r="U3904">
        <v>253.61604095563101</v>
      </c>
      <c r="V3904">
        <v>0</v>
      </c>
      <c r="W3904">
        <v>123</v>
      </c>
      <c r="X3904">
        <v>606.61604095563098</v>
      </c>
      <c r="Y3904">
        <v>0</v>
      </c>
      <c r="Z3904">
        <v>83</v>
      </c>
      <c r="AA3904">
        <v>1</v>
      </c>
      <c r="AB3904">
        <v>1.52764611358122</v>
      </c>
      <c r="AC3904">
        <v>12.354383909313601</v>
      </c>
      <c r="AD3904">
        <v>1.14866596714628</v>
      </c>
      <c r="AE3904">
        <v>0.72851738496445095</v>
      </c>
      <c r="AF3904">
        <v>368.54607508532399</v>
      </c>
      <c r="AG3904">
        <f>IFERROR(AH3904*0.1, "N/A")</f>
        <v>6.7232081911262798</v>
      </c>
      <c r="AH3904">
        <v>67.232081911262796</v>
      </c>
      <c r="AI3904">
        <v>136.07892595623099</v>
      </c>
      <c r="AJ3904">
        <v>18.616040955631401</v>
      </c>
      <c r="AK3904">
        <v>64.767918088737204</v>
      </c>
    </row>
    <row r="3905" spans="1:37" x14ac:dyDescent="0.3">
      <c r="A3905">
        <v>3904</v>
      </c>
      <c r="B3905">
        <v>9</v>
      </c>
      <c r="C3905">
        <v>11.333</v>
      </c>
      <c r="D3905">
        <v>10.804</v>
      </c>
      <c r="E3905" t="s">
        <v>6044</v>
      </c>
      <c r="F3905" t="s">
        <v>6046</v>
      </c>
      <c r="G3905" t="s">
        <v>37</v>
      </c>
      <c r="H3905">
        <v>1987</v>
      </c>
      <c r="I3905">
        <v>25.438395669435899</v>
      </c>
      <c r="J3905">
        <v>14.300000190734901</v>
      </c>
      <c r="K3905">
        <v>57</v>
      </c>
      <c r="L3905">
        <v>23.4838392205613</v>
      </c>
      <c r="M3905">
        <v>37.438396844440803</v>
      </c>
      <c r="N3905">
        <v>12.5383960509056</v>
      </c>
      <c r="O3905">
        <v>24.899999618530298</v>
      </c>
      <c r="P3905">
        <v>24.638396432375298</v>
      </c>
      <c r="Q3905">
        <v>22.7383960815013</v>
      </c>
      <c r="R3905">
        <v>28.7383960815013</v>
      </c>
      <c r="S3905">
        <v>22.7383960815013</v>
      </c>
      <c r="T3905">
        <v>834.61604095563098</v>
      </c>
      <c r="U3905">
        <v>253.61604095563101</v>
      </c>
      <c r="V3905">
        <v>0</v>
      </c>
      <c r="W3905">
        <v>123</v>
      </c>
      <c r="X3905">
        <v>606.61604095563098</v>
      </c>
      <c r="Y3905">
        <v>0</v>
      </c>
      <c r="Z3905">
        <v>83</v>
      </c>
      <c r="AA3905">
        <v>1</v>
      </c>
      <c r="AB3905">
        <v>1.52764611358122</v>
      </c>
      <c r="AC3905">
        <v>12.354383909313601</v>
      </c>
      <c r="AD3905">
        <v>1.14866596714628</v>
      </c>
      <c r="AE3905">
        <v>0.72851738496445095</v>
      </c>
      <c r="AF3905">
        <v>368.54607508532399</v>
      </c>
      <c r="AG3905">
        <f>IFERROR(AH3905*0.1, "N/A")</f>
        <v>6.7232081911262798</v>
      </c>
      <c r="AH3905">
        <v>67.232081911262796</v>
      </c>
      <c r="AI3905">
        <v>136.07892595623099</v>
      </c>
      <c r="AJ3905">
        <v>18.616040955631401</v>
      </c>
      <c r="AK3905">
        <v>64.767918088737204</v>
      </c>
    </row>
    <row r="3906" spans="1:37" x14ac:dyDescent="0.3">
      <c r="A3906">
        <v>3905</v>
      </c>
      <c r="B3906">
        <v>9.6999999999999993</v>
      </c>
      <c r="C3906">
        <v>12.596</v>
      </c>
      <c r="D3906">
        <v>10.407999999999999</v>
      </c>
      <c r="E3906" t="s">
        <v>6047</v>
      </c>
      <c r="F3906" t="s">
        <v>6048</v>
      </c>
      <c r="G3906" t="s">
        <v>39</v>
      </c>
      <c r="H3906">
        <v>1987</v>
      </c>
      <c r="I3906">
        <v>25.901886418180599</v>
      </c>
      <c r="J3906">
        <v>13.8999996185303</v>
      </c>
      <c r="K3906">
        <v>60</v>
      </c>
      <c r="L3906">
        <v>20.479622175108702</v>
      </c>
      <c r="M3906">
        <v>37.401888289541603</v>
      </c>
      <c r="N3906">
        <v>14.301886972391401</v>
      </c>
      <c r="O3906">
        <v>23.100000381469702</v>
      </c>
      <c r="P3906">
        <v>24.5018867996504</v>
      </c>
      <c r="Q3906">
        <v>24.0037735993007</v>
      </c>
      <c r="R3906">
        <v>29.0018867996504</v>
      </c>
      <c r="S3906">
        <v>23.901886418180599</v>
      </c>
      <c r="T3906">
        <v>870.88679245283004</v>
      </c>
      <c r="U3906">
        <v>244.981132075472</v>
      </c>
      <c r="V3906">
        <v>0</v>
      </c>
      <c r="W3906">
        <v>114.981132075472</v>
      </c>
      <c r="X3906">
        <v>595.94339622641496</v>
      </c>
      <c r="Y3906">
        <v>0</v>
      </c>
      <c r="Z3906">
        <v>111.962264150943</v>
      </c>
      <c r="AA3906">
        <v>1</v>
      </c>
      <c r="AB3906">
        <v>12.7120136764814</v>
      </c>
      <c r="AC3906">
        <v>0.159343298866476</v>
      </c>
      <c r="AD3906">
        <v>3.24467923996992</v>
      </c>
      <c r="AE3906">
        <v>0.65969741344451904</v>
      </c>
      <c r="AF3906">
        <v>406.12006861063497</v>
      </c>
      <c r="AG3906">
        <f>IFERROR(AH3906*0.1, "N/A")</f>
        <v>6.7576329331046301</v>
      </c>
      <c r="AH3906">
        <v>67.576329331046296</v>
      </c>
      <c r="AI3906">
        <v>177.21881242231899</v>
      </c>
      <c r="AJ3906">
        <v>22.615780445969101</v>
      </c>
      <c r="AK3906">
        <v>58.478559176672398</v>
      </c>
    </row>
    <row r="3907" spans="1:37" x14ac:dyDescent="0.3">
      <c r="A3907">
        <v>3906</v>
      </c>
      <c r="B3907">
        <v>14.2</v>
      </c>
      <c r="C3907">
        <v>14.183299999999999</v>
      </c>
      <c r="D3907">
        <v>12.4833</v>
      </c>
      <c r="E3907" t="s">
        <v>6049</v>
      </c>
      <c r="F3907" t="s">
        <v>6050</v>
      </c>
      <c r="G3907" t="s">
        <v>39</v>
      </c>
      <c r="H3907">
        <v>1987</v>
      </c>
      <c r="I3907">
        <v>27.299999237060501</v>
      </c>
      <c r="J3907">
        <v>15.1000003814697</v>
      </c>
      <c r="K3907">
        <v>56</v>
      </c>
      <c r="L3907">
        <v>28.714906450455601</v>
      </c>
      <c r="M3907">
        <v>39.700000762939503</v>
      </c>
      <c r="N3907">
        <v>13.199999809265099</v>
      </c>
      <c r="O3907">
        <v>26.5</v>
      </c>
      <c r="P3907">
        <v>27.200000762939499</v>
      </c>
      <c r="Q3907">
        <v>25.200000762939499</v>
      </c>
      <c r="R3907">
        <v>30.9505920281063</v>
      </c>
      <c r="S3907">
        <v>23.316581364613899</v>
      </c>
      <c r="T3907">
        <v>428.402707275804</v>
      </c>
      <c r="U3907">
        <v>156.16582064297799</v>
      </c>
      <c r="V3907">
        <v>0</v>
      </c>
      <c r="W3907">
        <v>142</v>
      </c>
      <c r="X3907">
        <v>349.16582064297802</v>
      </c>
      <c r="Y3907">
        <v>0</v>
      </c>
      <c r="Z3907">
        <v>66.236886632825701</v>
      </c>
      <c r="AA3907">
        <v>0</v>
      </c>
      <c r="AB3907">
        <v>2.8751359607160798</v>
      </c>
      <c r="AC3907">
        <v>9.4375453712880007E-3</v>
      </c>
      <c r="AD3907">
        <v>0.79587383883455298</v>
      </c>
      <c r="AE3907">
        <v>0.51502478122711204</v>
      </c>
      <c r="AF3907">
        <v>287.73434856175999</v>
      </c>
      <c r="AG3907">
        <f>IFERROR(AH3907*0.1, "N/A")</f>
        <v>7.7319796954314697</v>
      </c>
      <c r="AH3907">
        <v>77.319796954314697</v>
      </c>
      <c r="AI3907">
        <v>18.195833390134201</v>
      </c>
      <c r="AJ3907">
        <v>36.659898477157398</v>
      </c>
      <c r="AK3907">
        <v>45</v>
      </c>
    </row>
    <row r="3908" spans="1:37" x14ac:dyDescent="0.3">
      <c r="A3908">
        <v>3907</v>
      </c>
      <c r="B3908">
        <v>13.2</v>
      </c>
      <c r="C3908">
        <v>13.2333</v>
      </c>
      <c r="D3908">
        <v>13.55</v>
      </c>
      <c r="E3908" t="s">
        <v>6051</v>
      </c>
      <c r="F3908" t="s">
        <v>6052</v>
      </c>
      <c r="G3908" t="s">
        <v>39</v>
      </c>
      <c r="H3908">
        <v>1987</v>
      </c>
      <c r="I3908">
        <v>27.200000762939499</v>
      </c>
      <c r="J3908">
        <v>15.1000003814697</v>
      </c>
      <c r="K3908">
        <v>56</v>
      </c>
      <c r="L3908">
        <v>34.889036255913801</v>
      </c>
      <c r="M3908">
        <v>39.5</v>
      </c>
      <c r="N3908">
        <v>12.6000003814697</v>
      </c>
      <c r="O3908">
        <v>26.899999618530298</v>
      </c>
      <c r="P3908">
        <v>28.464357972145098</v>
      </c>
      <c r="Q3908">
        <v>24.042567729950001</v>
      </c>
      <c r="R3908">
        <v>31.200000762939499</v>
      </c>
      <c r="S3908">
        <v>22</v>
      </c>
      <c r="T3908">
        <v>258.069256756757</v>
      </c>
      <c r="U3908">
        <v>123</v>
      </c>
      <c r="V3908">
        <v>0</v>
      </c>
      <c r="W3908">
        <v>168.64358108108101</v>
      </c>
      <c r="X3908">
        <v>230.069256756757</v>
      </c>
      <c r="Y3908">
        <v>0</v>
      </c>
      <c r="Z3908">
        <v>24</v>
      </c>
      <c r="AA3908">
        <v>0</v>
      </c>
      <c r="AB3908">
        <v>1.3471427092681101</v>
      </c>
      <c r="AC3908">
        <v>1.0758282734723E-2</v>
      </c>
      <c r="AD3908">
        <v>1.08568420019504</v>
      </c>
      <c r="AE3908">
        <v>0.63140320798029803</v>
      </c>
      <c r="AF3908">
        <v>289.99662162162201</v>
      </c>
      <c r="AG3908">
        <f>IFERROR(AH3908*0.1, "N/A")</f>
        <v>6.7677364864864904</v>
      </c>
      <c r="AH3908">
        <v>67.677364864864899</v>
      </c>
      <c r="AI3908">
        <v>204.475589765085</v>
      </c>
      <c r="AJ3908">
        <v>22.697635135135101</v>
      </c>
      <c r="AK3908">
        <v>60.673986486486498</v>
      </c>
    </row>
    <row r="3909" spans="1:37" x14ac:dyDescent="0.3">
      <c r="A3909">
        <v>3908</v>
      </c>
      <c r="B3909">
        <v>15</v>
      </c>
      <c r="C3909">
        <v>13.2333</v>
      </c>
      <c r="D3909">
        <v>13.55</v>
      </c>
      <c r="E3909" t="s">
        <v>6051</v>
      </c>
      <c r="F3909" t="s">
        <v>6053</v>
      </c>
      <c r="G3909" t="s">
        <v>37</v>
      </c>
      <c r="H3909">
        <v>1987</v>
      </c>
      <c r="I3909">
        <v>27.200000762939499</v>
      </c>
      <c r="J3909">
        <v>15.1000003814697</v>
      </c>
      <c r="K3909">
        <v>56</v>
      </c>
      <c r="L3909">
        <v>34.889036255913801</v>
      </c>
      <c r="M3909">
        <v>39.5</v>
      </c>
      <c r="N3909">
        <v>12.6000003814697</v>
      </c>
      <c r="O3909">
        <v>26.899999618530298</v>
      </c>
      <c r="P3909">
        <v>28.464357972145098</v>
      </c>
      <c r="Q3909">
        <v>24.042567729950001</v>
      </c>
      <c r="R3909">
        <v>31.200000762939499</v>
      </c>
      <c r="S3909">
        <v>22</v>
      </c>
      <c r="T3909">
        <v>258.069256756757</v>
      </c>
      <c r="U3909">
        <v>123</v>
      </c>
      <c r="V3909">
        <v>0</v>
      </c>
      <c r="W3909">
        <v>168.64358108108101</v>
      </c>
      <c r="X3909">
        <v>230.069256756757</v>
      </c>
      <c r="Y3909">
        <v>0</v>
      </c>
      <c r="Z3909">
        <v>24</v>
      </c>
      <c r="AA3909">
        <v>0</v>
      </c>
      <c r="AB3909">
        <v>1.3471427092681101</v>
      </c>
      <c r="AC3909">
        <v>1.0758282734723E-2</v>
      </c>
      <c r="AD3909">
        <v>1.08568420019504</v>
      </c>
      <c r="AE3909">
        <v>0.63140320798029803</v>
      </c>
      <c r="AF3909">
        <v>289.99662162162201</v>
      </c>
      <c r="AG3909">
        <f>IFERROR(AH3909*0.1, "N/A")</f>
        <v>6.7677364864864904</v>
      </c>
      <c r="AH3909">
        <v>67.677364864864899</v>
      </c>
      <c r="AI3909">
        <v>204.475589765085</v>
      </c>
      <c r="AJ3909">
        <v>22.697635135135101</v>
      </c>
      <c r="AK3909">
        <v>60.673986486486498</v>
      </c>
    </row>
    <row r="3910" spans="1:37" x14ac:dyDescent="0.3">
      <c r="A3910">
        <v>3909</v>
      </c>
      <c r="B3910">
        <v>9</v>
      </c>
      <c r="C3910">
        <v>14.1867</v>
      </c>
      <c r="D3910">
        <v>12.341900000000001</v>
      </c>
      <c r="E3910" t="s">
        <v>6054</v>
      </c>
      <c r="F3910" t="s">
        <v>6055</v>
      </c>
      <c r="G3910" t="s">
        <v>39</v>
      </c>
      <c r="H3910">
        <v>1987</v>
      </c>
      <c r="I3910">
        <v>27.299999237060501</v>
      </c>
      <c r="J3910">
        <v>15.1000003814697</v>
      </c>
      <c r="K3910">
        <v>57</v>
      </c>
      <c r="L3910">
        <v>28.022849457255798</v>
      </c>
      <c r="M3910">
        <v>39.700000762939503</v>
      </c>
      <c r="N3910">
        <v>13.3999996185303</v>
      </c>
      <c r="O3910">
        <v>26.299999237060501</v>
      </c>
      <c r="P3910">
        <v>27</v>
      </c>
      <c r="Q3910">
        <v>25.299999237060501</v>
      </c>
      <c r="R3910">
        <v>30.899999618530298</v>
      </c>
      <c r="S3910">
        <v>23.5</v>
      </c>
      <c r="T3910">
        <v>462.06143344709898</v>
      </c>
      <c r="U3910">
        <v>165.53071672354901</v>
      </c>
      <c r="V3910">
        <v>0</v>
      </c>
      <c r="W3910">
        <v>138.53071672355</v>
      </c>
      <c r="X3910">
        <v>372.06143344709898</v>
      </c>
      <c r="Y3910">
        <v>0</v>
      </c>
      <c r="Z3910">
        <v>76</v>
      </c>
      <c r="AA3910">
        <v>0</v>
      </c>
      <c r="AB3910">
        <v>3.8564717159336301</v>
      </c>
      <c r="AC3910">
        <v>2.5262056160145999E-2</v>
      </c>
      <c r="AD3910">
        <v>1.22193094477719</v>
      </c>
      <c r="AE3910">
        <v>0.361108774821506</v>
      </c>
      <c r="AF3910">
        <v>291.73378839590401</v>
      </c>
      <c r="AG3910">
        <f>IFERROR(AH3910*0.1, "N/A")</f>
        <v>7.8378839590443707</v>
      </c>
      <c r="AH3910">
        <v>78.378839590443704</v>
      </c>
      <c r="AI3910">
        <v>195.37421578677399</v>
      </c>
      <c r="AJ3910">
        <v>35.052901023890797</v>
      </c>
      <c r="AK3910">
        <v>45.947098976109203</v>
      </c>
    </row>
    <row r="3911" spans="1:37" x14ac:dyDescent="0.3">
      <c r="A3911">
        <v>3910</v>
      </c>
      <c r="B3911">
        <v>0</v>
      </c>
      <c r="C3911">
        <v>14.1867</v>
      </c>
      <c r="D3911">
        <v>12.341900000000001</v>
      </c>
      <c r="E3911" t="s">
        <v>6054</v>
      </c>
      <c r="F3911" t="s">
        <v>6056</v>
      </c>
      <c r="G3911" t="s">
        <v>37</v>
      </c>
      <c r="H3911">
        <v>1987</v>
      </c>
      <c r="I3911">
        <v>27.299999237060501</v>
      </c>
      <c r="J3911">
        <v>15.1000003814697</v>
      </c>
      <c r="K3911">
        <v>57</v>
      </c>
      <c r="L3911">
        <v>28.022849457255798</v>
      </c>
      <c r="M3911">
        <v>39.700000762939503</v>
      </c>
      <c r="N3911">
        <v>13.3999996185303</v>
      </c>
      <c r="O3911">
        <v>26.299999237060501</v>
      </c>
      <c r="P3911">
        <v>27</v>
      </c>
      <c r="Q3911">
        <v>25.299999237060501</v>
      </c>
      <c r="R3911">
        <v>30.899999618530298</v>
      </c>
      <c r="S3911">
        <v>23.5</v>
      </c>
      <c r="T3911">
        <v>462.06143344709898</v>
      </c>
      <c r="U3911">
        <v>165.53071672354901</v>
      </c>
      <c r="V3911">
        <v>0</v>
      </c>
      <c r="W3911">
        <v>138.53071672355</v>
      </c>
      <c r="X3911">
        <v>372.06143344709898</v>
      </c>
      <c r="Y3911">
        <v>0</v>
      </c>
      <c r="Z3911">
        <v>76</v>
      </c>
      <c r="AA3911">
        <v>0</v>
      </c>
      <c r="AB3911">
        <v>3.8564717159336301</v>
      </c>
      <c r="AC3911">
        <v>2.5262056160145999E-2</v>
      </c>
      <c r="AD3911">
        <v>1.22193094477719</v>
      </c>
      <c r="AE3911">
        <v>0.361108774821506</v>
      </c>
      <c r="AF3911">
        <v>291.73378839590401</v>
      </c>
      <c r="AG3911">
        <f>IFERROR(AH3911*0.1, "N/A")</f>
        <v>7.8378839590443707</v>
      </c>
      <c r="AH3911">
        <v>78.378839590443704</v>
      </c>
      <c r="AI3911">
        <v>195.37421578677399</v>
      </c>
      <c r="AJ3911">
        <v>35.052901023890797</v>
      </c>
      <c r="AK3911">
        <v>45.947098976109203</v>
      </c>
    </row>
    <row r="3912" spans="1:37" x14ac:dyDescent="0.3">
      <c r="A3912">
        <v>3911</v>
      </c>
      <c r="B3912">
        <v>44.799999</v>
      </c>
      <c r="C3912">
        <v>12.831</v>
      </c>
      <c r="D3912">
        <v>13.417999999999999</v>
      </c>
      <c r="E3912" t="s">
        <v>6057</v>
      </c>
      <c r="F3912" t="s">
        <v>6058</v>
      </c>
      <c r="G3912" t="s">
        <v>39</v>
      </c>
      <c r="H3912">
        <v>1987</v>
      </c>
      <c r="I3912">
        <v>27.200000762939499</v>
      </c>
      <c r="J3912">
        <v>15.1000003814697</v>
      </c>
      <c r="K3912">
        <v>55</v>
      </c>
      <c r="L3912">
        <v>34.7299995422363</v>
      </c>
      <c r="M3912">
        <v>39.599998474121101</v>
      </c>
      <c r="N3912">
        <v>12.5</v>
      </c>
      <c r="O3912">
        <v>27.100000381469702</v>
      </c>
      <c r="P3912">
        <v>28.200000762939499</v>
      </c>
      <c r="Q3912">
        <v>24.100000381469702</v>
      </c>
      <c r="R3912">
        <v>31.200000762939499</v>
      </c>
      <c r="S3912">
        <v>22</v>
      </c>
      <c r="T3912">
        <v>263</v>
      </c>
      <c r="U3912">
        <v>124</v>
      </c>
      <c r="V3912">
        <v>0</v>
      </c>
      <c r="W3912">
        <v>171</v>
      </c>
      <c r="X3912">
        <v>233</v>
      </c>
      <c r="Y3912">
        <v>0</v>
      </c>
      <c r="Z3912">
        <v>25</v>
      </c>
      <c r="AA3912">
        <v>0</v>
      </c>
      <c r="AB3912">
        <v>0.375578087186974</v>
      </c>
      <c r="AC3912">
        <v>6.9282846945504004E-2</v>
      </c>
      <c r="AD3912">
        <v>1.1664309774585</v>
      </c>
      <c r="AE3912">
        <v>0.52880156040191695</v>
      </c>
      <c r="AF3912">
        <v>300.04208754208798</v>
      </c>
      <c r="AG3912">
        <f>IFERROR(AH3912*0.1, "N/A")</f>
        <v>6.7434343434343411</v>
      </c>
      <c r="AH3912">
        <v>67.434343434343404</v>
      </c>
      <c r="AI3912">
        <v>198.39184910038901</v>
      </c>
      <c r="AJ3912">
        <v>16.063973063973101</v>
      </c>
      <c r="AK3912">
        <v>64.883838383838395</v>
      </c>
    </row>
    <row r="3913" spans="1:37" x14ac:dyDescent="0.3">
      <c r="A3913">
        <v>3912</v>
      </c>
      <c r="B3913">
        <v>0</v>
      </c>
      <c r="C3913">
        <v>12.831</v>
      </c>
      <c r="D3913">
        <v>13.417999999999999</v>
      </c>
      <c r="E3913" t="s">
        <v>6057</v>
      </c>
      <c r="F3913" t="s">
        <v>6059</v>
      </c>
      <c r="G3913" t="s">
        <v>37</v>
      </c>
      <c r="H3913">
        <v>1987</v>
      </c>
      <c r="I3913">
        <v>27.200000762939499</v>
      </c>
      <c r="J3913">
        <v>15.1000003814697</v>
      </c>
      <c r="K3913">
        <v>55</v>
      </c>
      <c r="L3913">
        <v>34.7299995422363</v>
      </c>
      <c r="M3913">
        <v>39.599998474121101</v>
      </c>
      <c r="N3913">
        <v>12.5</v>
      </c>
      <c r="O3913">
        <v>27.100000381469702</v>
      </c>
      <c r="P3913">
        <v>28.200000762939499</v>
      </c>
      <c r="Q3913">
        <v>24.100000381469702</v>
      </c>
      <c r="R3913">
        <v>31.200000762939499</v>
      </c>
      <c r="S3913">
        <v>22</v>
      </c>
      <c r="T3913">
        <v>263</v>
      </c>
      <c r="U3913">
        <v>124</v>
      </c>
      <c r="V3913">
        <v>0</v>
      </c>
      <c r="W3913">
        <v>171</v>
      </c>
      <c r="X3913">
        <v>233</v>
      </c>
      <c r="Y3913">
        <v>0</v>
      </c>
      <c r="Z3913">
        <v>25</v>
      </c>
      <c r="AA3913">
        <v>0</v>
      </c>
      <c r="AB3913">
        <v>0.375578087186974</v>
      </c>
      <c r="AC3913">
        <v>6.9282846945504004E-2</v>
      </c>
      <c r="AD3913">
        <v>1.1664309774585</v>
      </c>
      <c r="AE3913">
        <v>0.52880156040191695</v>
      </c>
      <c r="AF3913">
        <v>300.04208754208798</v>
      </c>
      <c r="AG3913">
        <f>IFERROR(AH3913*0.1, "N/A")</f>
        <v>6.7434343434343411</v>
      </c>
      <c r="AH3913">
        <v>67.434343434343404</v>
      </c>
      <c r="AI3913">
        <v>198.39184910038901</v>
      </c>
      <c r="AJ3913">
        <v>16.063973063973101</v>
      </c>
      <c r="AK3913">
        <v>64.883838383838395</v>
      </c>
    </row>
    <row r="3914" spans="1:37" x14ac:dyDescent="0.3">
      <c r="A3914">
        <v>3913</v>
      </c>
      <c r="B3914">
        <v>66</v>
      </c>
      <c r="C3914">
        <v>13.3841</v>
      </c>
      <c r="D3914">
        <v>13.47</v>
      </c>
      <c r="E3914" t="s">
        <v>6060</v>
      </c>
      <c r="F3914" t="s">
        <v>6061</v>
      </c>
      <c r="G3914" t="s">
        <v>39</v>
      </c>
      <c r="H3914">
        <v>1987</v>
      </c>
      <c r="I3914">
        <v>27.100000381469702</v>
      </c>
      <c r="J3914">
        <v>15.1000003814697</v>
      </c>
      <c r="K3914">
        <v>56</v>
      </c>
      <c r="L3914">
        <v>34.139999389648402</v>
      </c>
      <c r="M3914">
        <v>39.299999237060497</v>
      </c>
      <c r="N3914">
        <v>12.6000003814697</v>
      </c>
      <c r="O3914">
        <v>26.700000762939499</v>
      </c>
      <c r="P3914">
        <v>28.399999618530298</v>
      </c>
      <c r="Q3914">
        <v>24.100000381469702</v>
      </c>
      <c r="R3914">
        <v>31</v>
      </c>
      <c r="S3914">
        <v>22.100000381469702</v>
      </c>
      <c r="T3914">
        <v>273</v>
      </c>
      <c r="U3914">
        <v>128</v>
      </c>
      <c r="V3914">
        <v>0</v>
      </c>
      <c r="W3914">
        <v>168</v>
      </c>
      <c r="X3914">
        <v>242</v>
      </c>
      <c r="Y3914">
        <v>0</v>
      </c>
      <c r="Z3914">
        <v>26</v>
      </c>
      <c r="AA3914">
        <v>0</v>
      </c>
      <c r="AB3914">
        <v>0.171219026199495</v>
      </c>
      <c r="AC3914">
        <v>12.032316220839601</v>
      </c>
      <c r="AD3914">
        <v>2.0375853241091999</v>
      </c>
      <c r="AE3914">
        <v>0.165666714310646</v>
      </c>
      <c r="AF3914">
        <v>280.97811447811398</v>
      </c>
      <c r="AG3914">
        <f>IFERROR(AH3914*0.1, "N/A")</f>
        <v>7.6040404040404006</v>
      </c>
      <c r="AH3914">
        <v>76.040404040403999</v>
      </c>
      <c r="AI3914">
        <v>209.50800208852701</v>
      </c>
      <c r="AJ3914">
        <v>14.680134680134699</v>
      </c>
      <c r="AK3914">
        <v>71.360269360269399</v>
      </c>
    </row>
    <row r="3915" spans="1:37" x14ac:dyDescent="0.3">
      <c r="A3915">
        <v>3914</v>
      </c>
      <c r="B3915">
        <v>0</v>
      </c>
      <c r="C3915">
        <v>13.3841</v>
      </c>
      <c r="D3915">
        <v>13.47</v>
      </c>
      <c r="E3915" t="s">
        <v>6060</v>
      </c>
      <c r="F3915" t="s">
        <v>6062</v>
      </c>
      <c r="G3915" t="s">
        <v>37</v>
      </c>
      <c r="H3915">
        <v>1987</v>
      </c>
      <c r="I3915">
        <v>27.100000381469702</v>
      </c>
      <c r="J3915">
        <v>15.1000003814697</v>
      </c>
      <c r="K3915">
        <v>56</v>
      </c>
      <c r="L3915">
        <v>34.139999389648402</v>
      </c>
      <c r="M3915">
        <v>39.299999237060497</v>
      </c>
      <c r="N3915">
        <v>12.6000003814697</v>
      </c>
      <c r="O3915">
        <v>26.700000762939499</v>
      </c>
      <c r="P3915">
        <v>28.399999618530298</v>
      </c>
      <c r="Q3915">
        <v>24.100000381469702</v>
      </c>
      <c r="R3915">
        <v>31</v>
      </c>
      <c r="S3915">
        <v>22.100000381469702</v>
      </c>
      <c r="T3915">
        <v>273</v>
      </c>
      <c r="U3915">
        <v>128</v>
      </c>
      <c r="V3915">
        <v>0</v>
      </c>
      <c r="W3915">
        <v>168</v>
      </c>
      <c r="X3915">
        <v>242</v>
      </c>
      <c r="Y3915">
        <v>0</v>
      </c>
      <c r="Z3915">
        <v>26</v>
      </c>
      <c r="AA3915">
        <v>0</v>
      </c>
      <c r="AB3915">
        <v>0.171219026199495</v>
      </c>
      <c r="AC3915">
        <v>12.032316220839601</v>
      </c>
      <c r="AD3915">
        <v>2.0375853241091999</v>
      </c>
      <c r="AE3915">
        <v>0.165666714310646</v>
      </c>
      <c r="AF3915">
        <v>280.97811447811398</v>
      </c>
      <c r="AG3915">
        <f>IFERROR(AH3915*0.1, "N/A")</f>
        <v>7.6040404040404006</v>
      </c>
      <c r="AH3915">
        <v>76.040404040403999</v>
      </c>
      <c r="AI3915">
        <v>209.50800208852701</v>
      </c>
      <c r="AJ3915">
        <v>14.680134680134699</v>
      </c>
      <c r="AK3915">
        <v>71.360269360269399</v>
      </c>
    </row>
    <row r="3916" spans="1:37" x14ac:dyDescent="0.3">
      <c r="A3916">
        <v>3915</v>
      </c>
      <c r="B3916">
        <v>31.9</v>
      </c>
      <c r="C3916">
        <v>5.4833299999999996</v>
      </c>
      <c r="D3916">
        <v>6.35</v>
      </c>
      <c r="E3916" t="s">
        <v>6063</v>
      </c>
      <c r="F3916" t="s">
        <v>6064</v>
      </c>
      <c r="G3916" t="s">
        <v>39</v>
      </c>
      <c r="H3916">
        <v>1987</v>
      </c>
      <c r="I3916">
        <v>26.3472943563944</v>
      </c>
      <c r="J3916">
        <v>8.8000001907348597</v>
      </c>
      <c r="K3916">
        <v>73</v>
      </c>
      <c r="L3916">
        <v>10.526718988468501</v>
      </c>
      <c r="M3916">
        <v>32.8472952584738</v>
      </c>
      <c r="N3916">
        <v>20.947294737864102</v>
      </c>
      <c r="O3916">
        <v>11.8999996185303</v>
      </c>
      <c r="P3916">
        <v>24.780104252680399</v>
      </c>
      <c r="Q3916">
        <v>26.7472949801939</v>
      </c>
      <c r="R3916">
        <v>27.5801050176171</v>
      </c>
      <c r="S3916">
        <v>24.780104252680399</v>
      </c>
      <c r="T3916">
        <v>2027.19720767888</v>
      </c>
      <c r="U3916">
        <v>336.448516579407</v>
      </c>
      <c r="V3916">
        <v>9.3280977312390903</v>
      </c>
      <c r="W3916">
        <v>66.680628272251298</v>
      </c>
      <c r="X3916">
        <v>908.78883071553196</v>
      </c>
      <c r="Y3916">
        <v>75.328097731239097</v>
      </c>
      <c r="Z3916">
        <v>316.32809773123898</v>
      </c>
      <c r="AA3916">
        <v>908.78883071553196</v>
      </c>
      <c r="AB3916">
        <v>15.7816749459578</v>
      </c>
      <c r="AC3916">
        <v>0.12909180098530201</v>
      </c>
      <c r="AD3916">
        <v>1.8880531914779199</v>
      </c>
      <c r="AE3916">
        <v>0.60936027765274003</v>
      </c>
      <c r="AF3916">
        <v>58.298429319371699</v>
      </c>
      <c r="AG3916">
        <f>IFERROR(AH3916*0.1, "N/A")</f>
        <v>5.3000000000000007</v>
      </c>
      <c r="AH3916">
        <v>53</v>
      </c>
      <c r="AI3916">
        <v>156.58139899721499</v>
      </c>
      <c r="AJ3916">
        <v>19.947643979057599</v>
      </c>
      <c r="AK3916">
        <v>68.553228621291396</v>
      </c>
    </row>
    <row r="3917" spans="1:37" x14ac:dyDescent="0.3">
      <c r="A3917">
        <v>3916</v>
      </c>
      <c r="B3917">
        <v>2.4</v>
      </c>
      <c r="C3917">
        <v>5.4833299999999996</v>
      </c>
      <c r="D3917">
        <v>6.35</v>
      </c>
      <c r="E3917" t="s">
        <v>6063</v>
      </c>
      <c r="F3917" t="s">
        <v>6065</v>
      </c>
      <c r="G3917" t="s">
        <v>37</v>
      </c>
      <c r="H3917">
        <v>1987</v>
      </c>
      <c r="I3917">
        <v>26.3472943563944</v>
      </c>
      <c r="J3917">
        <v>8.8000001907348597</v>
      </c>
      <c r="K3917">
        <v>73</v>
      </c>
      <c r="L3917">
        <v>10.526718988468501</v>
      </c>
      <c r="M3917">
        <v>32.8472952584738</v>
      </c>
      <c r="N3917">
        <v>20.947294737864102</v>
      </c>
      <c r="O3917">
        <v>11.8999996185303</v>
      </c>
      <c r="P3917">
        <v>24.780104252680399</v>
      </c>
      <c r="Q3917">
        <v>26.7472949801939</v>
      </c>
      <c r="R3917">
        <v>27.5801050176171</v>
      </c>
      <c r="S3917">
        <v>24.780104252680399</v>
      </c>
      <c r="T3917">
        <v>2027.19720767888</v>
      </c>
      <c r="U3917">
        <v>336.448516579407</v>
      </c>
      <c r="V3917">
        <v>9.3280977312390903</v>
      </c>
      <c r="W3917">
        <v>66.680628272251298</v>
      </c>
      <c r="X3917">
        <v>908.78883071553196</v>
      </c>
      <c r="Y3917">
        <v>75.328097731239097</v>
      </c>
      <c r="Z3917">
        <v>316.32809773123898</v>
      </c>
      <c r="AA3917">
        <v>908.78883071553196</v>
      </c>
      <c r="AB3917">
        <v>15.7816749459578</v>
      </c>
      <c r="AC3917">
        <v>0.12909180098530201</v>
      </c>
      <c r="AD3917">
        <v>1.8880531914779199</v>
      </c>
      <c r="AE3917">
        <v>0.60936027765274003</v>
      </c>
      <c r="AF3917">
        <v>58.298429319371699</v>
      </c>
      <c r="AG3917">
        <f>IFERROR(AH3917*0.1, "N/A")</f>
        <v>5.3000000000000007</v>
      </c>
      <c r="AH3917">
        <v>53</v>
      </c>
      <c r="AI3917">
        <v>156.58139899721499</v>
      </c>
      <c r="AJ3917">
        <v>19.947643979057599</v>
      </c>
      <c r="AK3917">
        <v>68.553228621291396</v>
      </c>
    </row>
    <row r="3918" spans="1:37" x14ac:dyDescent="0.3">
      <c r="A3918">
        <v>3917</v>
      </c>
      <c r="B3918">
        <v>62.200001</v>
      </c>
      <c r="C3918">
        <v>4.7166699999999997</v>
      </c>
      <c r="D3918">
        <v>10.683299999999999</v>
      </c>
      <c r="E3918" t="s">
        <v>6066</v>
      </c>
      <c r="F3918" t="s">
        <v>6067</v>
      </c>
      <c r="G3918" t="s">
        <v>39</v>
      </c>
      <c r="H3918">
        <v>1987</v>
      </c>
      <c r="I3918">
        <v>27.1801376734694</v>
      </c>
      <c r="J3918">
        <v>13</v>
      </c>
      <c r="K3918">
        <v>55</v>
      </c>
      <c r="L3918">
        <v>20.935034304449001</v>
      </c>
      <c r="M3918">
        <v>38.080135763507997</v>
      </c>
      <c r="N3918">
        <v>14.677225966976099</v>
      </c>
      <c r="O3918">
        <v>23.402910588538798</v>
      </c>
      <c r="P3918">
        <v>25.664041721657501</v>
      </c>
      <c r="Q3918">
        <v>25.8962324808722</v>
      </c>
      <c r="R3918">
        <v>30.380136529060302</v>
      </c>
      <c r="S3918">
        <v>25.257362829495801</v>
      </c>
      <c r="T3918">
        <v>995.90410958904101</v>
      </c>
      <c r="U3918">
        <v>234.80993150684901</v>
      </c>
      <c r="V3918">
        <v>0</v>
      </c>
      <c r="W3918">
        <v>105.227739726027</v>
      </c>
      <c r="X3918">
        <v>640.97089041095899</v>
      </c>
      <c r="Y3918">
        <v>1</v>
      </c>
      <c r="Z3918">
        <v>143.16095890411</v>
      </c>
      <c r="AA3918">
        <v>2</v>
      </c>
      <c r="AB3918">
        <v>10.0130109395066</v>
      </c>
      <c r="AC3918">
        <v>4.6243182294172999E-2</v>
      </c>
      <c r="AD3918">
        <v>5.3385354141666497</v>
      </c>
      <c r="AE3918">
        <v>0.65349107980728105</v>
      </c>
      <c r="AF3918">
        <v>158.808219178082</v>
      </c>
      <c r="AG3918">
        <f>IFERROR(AH3918*0.1, "N/A")</f>
        <v>5.9082191780821907</v>
      </c>
      <c r="AH3918">
        <v>59.082191780821901</v>
      </c>
      <c r="AI3918">
        <v>280.35136732336599</v>
      </c>
      <c r="AJ3918">
        <v>14.4794520547945</v>
      </c>
      <c r="AK3918">
        <v>69.321917808219197</v>
      </c>
    </row>
    <row r="3919" spans="1:37" x14ac:dyDescent="0.3">
      <c r="A3919">
        <v>3918</v>
      </c>
      <c r="B3919">
        <v>2.4</v>
      </c>
      <c r="C3919">
        <v>4.7166699999999997</v>
      </c>
      <c r="D3919">
        <v>10.683299999999999</v>
      </c>
      <c r="E3919" t="s">
        <v>6066</v>
      </c>
      <c r="F3919" t="s">
        <v>6068</v>
      </c>
      <c r="G3919" t="s">
        <v>37</v>
      </c>
      <c r="H3919">
        <v>1987</v>
      </c>
      <c r="I3919">
        <v>27.1801376734694</v>
      </c>
      <c r="J3919">
        <v>13</v>
      </c>
      <c r="K3919">
        <v>55</v>
      </c>
      <c r="L3919">
        <v>20.935034304449001</v>
      </c>
      <c r="M3919">
        <v>38.080135763507997</v>
      </c>
      <c r="N3919">
        <v>14.677225966976099</v>
      </c>
      <c r="O3919">
        <v>23.402910588538798</v>
      </c>
      <c r="P3919">
        <v>25.664041721657501</v>
      </c>
      <c r="Q3919">
        <v>25.8962324808722</v>
      </c>
      <c r="R3919">
        <v>30.380136529060302</v>
      </c>
      <c r="S3919">
        <v>25.257362829495801</v>
      </c>
      <c r="T3919">
        <v>995.90410958904101</v>
      </c>
      <c r="U3919">
        <v>234.80993150684901</v>
      </c>
      <c r="V3919">
        <v>0</v>
      </c>
      <c r="W3919">
        <v>105.227739726027</v>
      </c>
      <c r="X3919">
        <v>640.97089041095899</v>
      </c>
      <c r="Y3919">
        <v>1</v>
      </c>
      <c r="Z3919">
        <v>143.16095890411</v>
      </c>
      <c r="AA3919">
        <v>2</v>
      </c>
      <c r="AB3919">
        <v>10.0130109395066</v>
      </c>
      <c r="AC3919">
        <v>4.6243182294172999E-2</v>
      </c>
      <c r="AD3919">
        <v>5.3385354141666497</v>
      </c>
      <c r="AE3919">
        <v>0.65349107980728105</v>
      </c>
      <c r="AF3919">
        <v>158.808219178082</v>
      </c>
      <c r="AG3919">
        <f>IFERROR(AH3919*0.1, "N/A")</f>
        <v>5.9082191780821907</v>
      </c>
      <c r="AH3919">
        <v>59.082191780821901</v>
      </c>
      <c r="AI3919">
        <v>280.35136732336599</v>
      </c>
      <c r="AJ3919">
        <v>14.4794520547945</v>
      </c>
      <c r="AK3919">
        <v>69.321917808219197</v>
      </c>
    </row>
    <row r="3920" spans="1:37" x14ac:dyDescent="0.3">
      <c r="A3920">
        <v>3919</v>
      </c>
      <c r="B3920">
        <v>18.399999999999999</v>
      </c>
      <c r="C3920">
        <v>4.5170000000000003</v>
      </c>
      <c r="D3920">
        <v>9.8879999999999999</v>
      </c>
      <c r="E3920" t="s">
        <v>6069</v>
      </c>
      <c r="F3920" t="s">
        <v>6070</v>
      </c>
      <c r="G3920" t="s">
        <v>39</v>
      </c>
      <c r="H3920">
        <v>1987</v>
      </c>
      <c r="I3920">
        <v>27.299999237060501</v>
      </c>
      <c r="J3920">
        <v>12.5</v>
      </c>
      <c r="K3920">
        <v>59</v>
      </c>
      <c r="L3920">
        <v>17.3066838219993</v>
      </c>
      <c r="M3920">
        <v>37.574092133675201</v>
      </c>
      <c r="N3920">
        <v>16.674093928361799</v>
      </c>
      <c r="O3920">
        <v>20.899999618530298</v>
      </c>
      <c r="P3920">
        <v>25.600000381469702</v>
      </c>
      <c r="Q3920">
        <v>26.874092783952602</v>
      </c>
      <c r="R3920">
        <v>29.799999237060501</v>
      </c>
      <c r="S3920">
        <v>25.600000381469702</v>
      </c>
      <c r="T3920">
        <v>1102.7772020725399</v>
      </c>
      <c r="U3920">
        <v>233</v>
      </c>
      <c r="V3920">
        <v>1</v>
      </c>
      <c r="W3920">
        <v>93.740932642487095</v>
      </c>
      <c r="X3920">
        <v>633</v>
      </c>
      <c r="Y3920">
        <v>6.2590673575129498</v>
      </c>
      <c r="Z3920">
        <v>202.259067357513</v>
      </c>
      <c r="AA3920">
        <v>633</v>
      </c>
      <c r="AB3920">
        <v>2.1024264268101001</v>
      </c>
      <c r="AC3920">
        <v>8.2328137724511002E-2</v>
      </c>
      <c r="AD3920">
        <v>1.7020431322549101</v>
      </c>
      <c r="AE3920">
        <v>0.76680296659469604</v>
      </c>
      <c r="AF3920">
        <v>178.12435233160599</v>
      </c>
      <c r="AG3920">
        <f>IFERROR(AH3920*0.1, "N/A")</f>
        <v>6.06753022452504</v>
      </c>
      <c r="AH3920">
        <v>60.6753022452504</v>
      </c>
      <c r="AI3920">
        <v>88.513619022665907</v>
      </c>
      <c r="AJ3920">
        <v>14.1278065630397</v>
      </c>
      <c r="AK3920">
        <v>66.613126079447298</v>
      </c>
    </row>
    <row r="3921" spans="1:37" x14ac:dyDescent="0.3">
      <c r="A3921">
        <v>3920</v>
      </c>
      <c r="B3921">
        <v>2.4</v>
      </c>
      <c r="C3921">
        <v>4.5170000000000003</v>
      </c>
      <c r="D3921">
        <v>9.8879999999999999</v>
      </c>
      <c r="E3921" t="s">
        <v>6069</v>
      </c>
      <c r="F3921" t="s">
        <v>6071</v>
      </c>
      <c r="G3921" t="s">
        <v>37</v>
      </c>
      <c r="H3921">
        <v>1987</v>
      </c>
      <c r="I3921">
        <v>27.299999237060501</v>
      </c>
      <c r="J3921">
        <v>12.5</v>
      </c>
      <c r="K3921">
        <v>59</v>
      </c>
      <c r="L3921">
        <v>17.3066838219993</v>
      </c>
      <c r="M3921">
        <v>37.574092133675201</v>
      </c>
      <c r="N3921">
        <v>16.674093928361799</v>
      </c>
      <c r="O3921">
        <v>20.899999618530298</v>
      </c>
      <c r="P3921">
        <v>25.600000381469702</v>
      </c>
      <c r="Q3921">
        <v>26.874092783952602</v>
      </c>
      <c r="R3921">
        <v>29.799999237060501</v>
      </c>
      <c r="S3921">
        <v>25.600000381469702</v>
      </c>
      <c r="T3921">
        <v>1102.7772020725399</v>
      </c>
      <c r="U3921">
        <v>233</v>
      </c>
      <c r="V3921">
        <v>1</v>
      </c>
      <c r="W3921">
        <v>93.740932642487095</v>
      </c>
      <c r="X3921">
        <v>633</v>
      </c>
      <c r="Y3921">
        <v>6.2590673575129498</v>
      </c>
      <c r="Z3921">
        <v>202.259067357513</v>
      </c>
      <c r="AA3921">
        <v>633</v>
      </c>
      <c r="AB3921">
        <v>2.1024264268101001</v>
      </c>
      <c r="AC3921">
        <v>8.2328137724511002E-2</v>
      </c>
      <c r="AD3921">
        <v>1.7020431322549101</v>
      </c>
      <c r="AE3921">
        <v>0.76680296659469604</v>
      </c>
      <c r="AF3921">
        <v>178.12435233160599</v>
      </c>
      <c r="AG3921">
        <f>IFERROR(AH3921*0.1, "N/A")</f>
        <v>6.06753022452504</v>
      </c>
      <c r="AH3921">
        <v>60.6753022452504</v>
      </c>
      <c r="AI3921">
        <v>88.513619022665907</v>
      </c>
      <c r="AJ3921">
        <v>14.1278065630397</v>
      </c>
      <c r="AK3921">
        <v>66.613126079447298</v>
      </c>
    </row>
    <row r="3922" spans="1:37" x14ac:dyDescent="0.3">
      <c r="A3922">
        <v>3921</v>
      </c>
      <c r="B3922">
        <v>32</v>
      </c>
      <c r="C3922">
        <v>4.4550000000000001</v>
      </c>
      <c r="D3922">
        <v>10.34</v>
      </c>
      <c r="E3922" t="s">
        <v>6072</v>
      </c>
      <c r="F3922" t="s">
        <v>6073</v>
      </c>
      <c r="G3922" t="s">
        <v>39</v>
      </c>
      <c r="H3922">
        <v>1987</v>
      </c>
      <c r="I3922">
        <v>27.200000762939499</v>
      </c>
      <c r="J3922">
        <v>12.800000190734901</v>
      </c>
      <c r="K3922">
        <v>57</v>
      </c>
      <c r="L3922">
        <v>18.950000762939499</v>
      </c>
      <c r="M3922">
        <v>37.799999237060497</v>
      </c>
      <c r="N3922">
        <v>15.699999809265099</v>
      </c>
      <c r="O3922">
        <v>22.100000381469702</v>
      </c>
      <c r="P3922">
        <v>25.600000381469702</v>
      </c>
      <c r="Q3922">
        <v>26.399999618530298</v>
      </c>
      <c r="R3922">
        <v>30.100000381469702</v>
      </c>
      <c r="S3922">
        <v>25.600000381469702</v>
      </c>
      <c r="T3922">
        <v>1060</v>
      </c>
      <c r="U3922">
        <v>235</v>
      </c>
      <c r="V3922">
        <v>0</v>
      </c>
      <c r="W3922">
        <v>100</v>
      </c>
      <c r="X3922">
        <v>650</v>
      </c>
      <c r="Y3922">
        <v>3</v>
      </c>
      <c r="Z3922">
        <v>173</v>
      </c>
      <c r="AA3922">
        <v>650</v>
      </c>
      <c r="AB3922">
        <v>24.650859137990601</v>
      </c>
      <c r="AC3922">
        <v>2.3168528850968002E-2</v>
      </c>
      <c r="AD3922">
        <v>1.98659887326132</v>
      </c>
      <c r="AE3922">
        <v>0.584672391414642</v>
      </c>
      <c r="AF3922">
        <v>162.929553264605</v>
      </c>
      <c r="AG3922">
        <f>IFERROR(AH3922*0.1, "N/A")</f>
        <v>6.1135738831615107</v>
      </c>
      <c r="AH3922">
        <v>61.1357388316151</v>
      </c>
      <c r="AI3922">
        <v>24.2340351330865</v>
      </c>
      <c r="AJ3922">
        <v>13</v>
      </c>
      <c r="AK3922">
        <v>66.1357388316151</v>
      </c>
    </row>
    <row r="3923" spans="1:37" x14ac:dyDescent="0.3">
      <c r="A3923">
        <v>3922</v>
      </c>
      <c r="B3923">
        <v>2.4</v>
      </c>
      <c r="C3923">
        <v>4.4550000000000001</v>
      </c>
      <c r="D3923">
        <v>10.34</v>
      </c>
      <c r="E3923" t="s">
        <v>6072</v>
      </c>
      <c r="F3923" t="s">
        <v>6074</v>
      </c>
      <c r="G3923" t="s">
        <v>37</v>
      </c>
      <c r="H3923">
        <v>1987</v>
      </c>
      <c r="I3923">
        <v>27.200000762939499</v>
      </c>
      <c r="J3923">
        <v>12.800000190734901</v>
      </c>
      <c r="K3923">
        <v>57</v>
      </c>
      <c r="L3923">
        <v>18.950000762939499</v>
      </c>
      <c r="M3923">
        <v>37.799999237060497</v>
      </c>
      <c r="N3923">
        <v>15.699999809265099</v>
      </c>
      <c r="O3923">
        <v>22.100000381469702</v>
      </c>
      <c r="P3923">
        <v>25.600000381469702</v>
      </c>
      <c r="Q3923">
        <v>26.399999618530298</v>
      </c>
      <c r="R3923">
        <v>30.100000381469702</v>
      </c>
      <c r="S3923">
        <v>25.600000381469702</v>
      </c>
      <c r="T3923">
        <v>1060</v>
      </c>
      <c r="U3923">
        <v>235</v>
      </c>
      <c r="V3923">
        <v>0</v>
      </c>
      <c r="W3923">
        <v>100</v>
      </c>
      <c r="X3923">
        <v>650</v>
      </c>
      <c r="Y3923">
        <v>3</v>
      </c>
      <c r="Z3923">
        <v>173</v>
      </c>
      <c r="AA3923">
        <v>650</v>
      </c>
      <c r="AB3923">
        <v>24.650859137990601</v>
      </c>
      <c r="AC3923">
        <v>2.3168528850968002E-2</v>
      </c>
      <c r="AD3923">
        <v>1.98659887326132</v>
      </c>
      <c r="AE3923">
        <v>0.584672391414642</v>
      </c>
      <c r="AF3923">
        <v>162.929553264605</v>
      </c>
      <c r="AG3923">
        <f>IFERROR(AH3923*0.1, "N/A")</f>
        <v>6.1135738831615107</v>
      </c>
      <c r="AH3923">
        <v>61.1357388316151</v>
      </c>
      <c r="AI3923">
        <v>24.2340351330865</v>
      </c>
      <c r="AJ3923">
        <v>13</v>
      </c>
      <c r="AK3923">
        <v>66.1357388316151</v>
      </c>
    </row>
    <row r="3924" spans="1:37" x14ac:dyDescent="0.3">
      <c r="A3924">
        <v>3923</v>
      </c>
      <c r="B3924">
        <v>9</v>
      </c>
      <c r="C3924">
        <v>4.3856700000000002</v>
      </c>
      <c r="D3924">
        <v>9.9520999999999997</v>
      </c>
      <c r="E3924" t="s">
        <v>6075</v>
      </c>
      <c r="F3924" t="s">
        <v>6076</v>
      </c>
      <c r="G3924" t="s">
        <v>39</v>
      </c>
      <c r="H3924">
        <v>1987</v>
      </c>
      <c r="I3924">
        <v>27.100000381469702</v>
      </c>
      <c r="J3924">
        <v>12.6000003814697</v>
      </c>
      <c r="K3924">
        <v>60</v>
      </c>
      <c r="L3924">
        <v>17.579999923706101</v>
      </c>
      <c r="M3924">
        <v>37.400001525878899</v>
      </c>
      <c r="N3924">
        <v>16.5</v>
      </c>
      <c r="O3924">
        <v>20.899999618530298</v>
      </c>
      <c r="P3924">
        <v>25.399999618530298</v>
      </c>
      <c r="Q3924">
        <v>26.700000762939499</v>
      </c>
      <c r="R3924">
        <v>29.799999237060501</v>
      </c>
      <c r="S3924">
        <v>25.399999618530298</v>
      </c>
      <c r="T3924">
        <v>1102</v>
      </c>
      <c r="U3924">
        <v>231</v>
      </c>
      <c r="V3924">
        <v>1</v>
      </c>
      <c r="W3924">
        <v>94</v>
      </c>
      <c r="X3924">
        <v>636</v>
      </c>
      <c r="Y3924">
        <v>6</v>
      </c>
      <c r="Z3924">
        <v>202</v>
      </c>
      <c r="AA3924">
        <v>636</v>
      </c>
      <c r="AB3924">
        <v>2.9982746537909399</v>
      </c>
      <c r="AC3924">
        <v>1.8394592530678999E-2</v>
      </c>
      <c r="AD3924">
        <v>2.1601717175592001</v>
      </c>
      <c r="AE3924">
        <v>0.17436818778514901</v>
      </c>
      <c r="AF3924">
        <v>198.76247848537</v>
      </c>
      <c r="AG3924">
        <f>IFERROR(AH3924*0.1, "N/A")</f>
        <v>6.1962134251290903</v>
      </c>
      <c r="AH3924">
        <v>61.962134251290898</v>
      </c>
      <c r="AI3924">
        <v>169.426163507616</v>
      </c>
      <c r="AJ3924">
        <v>14.2598967297762</v>
      </c>
      <c r="AK3924">
        <v>64.407917383821001</v>
      </c>
    </row>
    <row r="3925" spans="1:37" x14ac:dyDescent="0.3">
      <c r="A3925">
        <v>3924</v>
      </c>
      <c r="B3925">
        <v>0</v>
      </c>
      <c r="C3925">
        <v>4.3856700000000002</v>
      </c>
      <c r="D3925">
        <v>9.9520999999999997</v>
      </c>
      <c r="E3925" t="s">
        <v>6075</v>
      </c>
      <c r="F3925" t="s">
        <v>6077</v>
      </c>
      <c r="G3925" t="s">
        <v>37</v>
      </c>
      <c r="H3925">
        <v>1987</v>
      </c>
      <c r="I3925">
        <v>27.100000381469702</v>
      </c>
      <c r="J3925">
        <v>12.6000003814697</v>
      </c>
      <c r="K3925">
        <v>60</v>
      </c>
      <c r="L3925">
        <v>17.579999923706101</v>
      </c>
      <c r="M3925">
        <v>37.400001525878899</v>
      </c>
      <c r="N3925">
        <v>16.5</v>
      </c>
      <c r="O3925">
        <v>20.899999618530298</v>
      </c>
      <c r="P3925">
        <v>25.399999618530298</v>
      </c>
      <c r="Q3925">
        <v>26.700000762939499</v>
      </c>
      <c r="R3925">
        <v>29.799999237060501</v>
      </c>
      <c r="S3925">
        <v>25.399999618530298</v>
      </c>
      <c r="T3925">
        <v>1102</v>
      </c>
      <c r="U3925">
        <v>231</v>
      </c>
      <c r="V3925">
        <v>1</v>
      </c>
      <c r="W3925">
        <v>94</v>
      </c>
      <c r="X3925">
        <v>636</v>
      </c>
      <c r="Y3925">
        <v>6</v>
      </c>
      <c r="Z3925">
        <v>202</v>
      </c>
      <c r="AA3925">
        <v>636</v>
      </c>
      <c r="AB3925">
        <v>2.9982746537909399</v>
      </c>
      <c r="AC3925">
        <v>1.8394592530678999E-2</v>
      </c>
      <c r="AD3925">
        <v>2.1601717175592001</v>
      </c>
      <c r="AE3925">
        <v>0.17436818778514901</v>
      </c>
      <c r="AF3925">
        <v>198.76247848537</v>
      </c>
      <c r="AG3925">
        <f>IFERROR(AH3925*0.1, "N/A")</f>
        <v>6.1962134251290903</v>
      </c>
      <c r="AH3925">
        <v>61.962134251290898</v>
      </c>
      <c r="AI3925">
        <v>169.426163507616</v>
      </c>
      <c r="AJ3925">
        <v>14.2598967297762</v>
      </c>
      <c r="AK3925">
        <v>64.407917383821001</v>
      </c>
    </row>
    <row r="3926" spans="1:37" x14ac:dyDescent="0.3">
      <c r="A3926">
        <v>3925</v>
      </c>
      <c r="B3926">
        <v>0</v>
      </c>
      <c r="C3926">
        <v>4.5819999999999999</v>
      </c>
      <c r="D3926">
        <v>10.701000000000001</v>
      </c>
      <c r="E3926" t="s">
        <v>6078</v>
      </c>
      <c r="F3926" t="s">
        <v>6079</v>
      </c>
      <c r="G3926" t="s">
        <v>39</v>
      </c>
      <c r="H3926">
        <v>1987</v>
      </c>
      <c r="I3926">
        <v>26.899999618530298</v>
      </c>
      <c r="J3926">
        <v>13</v>
      </c>
      <c r="K3926">
        <v>55</v>
      </c>
      <c r="L3926">
        <v>21.129999160766602</v>
      </c>
      <c r="M3926">
        <v>37.900001525878899</v>
      </c>
      <c r="N3926">
        <v>14.6000003814697</v>
      </c>
      <c r="O3926">
        <v>23.299999237060501</v>
      </c>
      <c r="P3926">
        <v>25.299999237060501</v>
      </c>
      <c r="Q3926">
        <v>25</v>
      </c>
      <c r="R3926">
        <v>30.100000381469702</v>
      </c>
      <c r="S3926">
        <v>25</v>
      </c>
      <c r="T3926">
        <v>1007</v>
      </c>
      <c r="U3926">
        <v>240</v>
      </c>
      <c r="V3926">
        <v>0</v>
      </c>
      <c r="W3926">
        <v>106</v>
      </c>
      <c r="X3926">
        <v>646</v>
      </c>
      <c r="Y3926">
        <v>2</v>
      </c>
      <c r="Z3926">
        <v>148</v>
      </c>
      <c r="AA3926">
        <v>2</v>
      </c>
      <c r="AB3926">
        <v>6.0018912508725304</v>
      </c>
      <c r="AC3926">
        <v>3.1139699844610999E-2</v>
      </c>
      <c r="AD3926">
        <v>2.1123228579042701</v>
      </c>
      <c r="AE3926">
        <v>0.68217676877975497</v>
      </c>
      <c r="AF3926">
        <v>199.54467353951901</v>
      </c>
      <c r="AG3926">
        <f>IFERROR(AH3926*0.1, "N/A")</f>
        <v>6.1139175257731999</v>
      </c>
      <c r="AH3926">
        <v>61.139175257731999</v>
      </c>
      <c r="AI3926">
        <v>233.37247086882201</v>
      </c>
      <c r="AJ3926">
        <v>13.0756013745704</v>
      </c>
      <c r="AK3926">
        <v>70.570446735395194</v>
      </c>
    </row>
    <row r="3927" spans="1:37" x14ac:dyDescent="0.3">
      <c r="A3927">
        <v>3926</v>
      </c>
      <c r="B3927">
        <v>0</v>
      </c>
      <c r="C3927">
        <v>7.0460000000000003</v>
      </c>
      <c r="D3927">
        <v>8.2119999999999997</v>
      </c>
      <c r="E3927" t="s">
        <v>6080</v>
      </c>
      <c r="F3927" t="s">
        <v>6081</v>
      </c>
      <c r="G3927" t="s">
        <v>39</v>
      </c>
      <c r="H3927">
        <v>1987</v>
      </c>
      <c r="I3927">
        <v>26.200000762939499</v>
      </c>
      <c r="J3927">
        <v>10.800000190734901</v>
      </c>
      <c r="K3927">
        <v>64</v>
      </c>
      <c r="L3927">
        <v>13.430000305175801</v>
      </c>
      <c r="M3927">
        <v>34.799999237060497</v>
      </c>
      <c r="N3927">
        <v>18.100000381469702</v>
      </c>
      <c r="O3927">
        <v>16.700000762939499</v>
      </c>
      <c r="P3927">
        <v>24.799999237060501</v>
      </c>
      <c r="Q3927">
        <v>26</v>
      </c>
      <c r="R3927">
        <v>28.200000762939499</v>
      </c>
      <c r="S3927">
        <v>24.799999237060501</v>
      </c>
      <c r="T3927">
        <v>1250</v>
      </c>
      <c r="U3927">
        <v>249</v>
      </c>
      <c r="V3927">
        <v>2</v>
      </c>
      <c r="W3927">
        <v>82</v>
      </c>
      <c r="X3927">
        <v>641</v>
      </c>
      <c r="Y3927">
        <v>16</v>
      </c>
      <c r="Z3927">
        <v>135</v>
      </c>
      <c r="AA3927">
        <v>641</v>
      </c>
      <c r="AB3927">
        <v>20.1012188466831</v>
      </c>
      <c r="AC3927">
        <v>3.7646024200607003E-2</v>
      </c>
      <c r="AD3927">
        <v>11.392419267155301</v>
      </c>
      <c r="AE3927">
        <v>0.262906901757887</v>
      </c>
      <c r="AF3927">
        <v>271.19410745234001</v>
      </c>
      <c r="AG3927">
        <f>IFERROR(AH3927*0.1, "N/A")</f>
        <v>5.390294627383021</v>
      </c>
      <c r="AH3927">
        <v>53.902946273830203</v>
      </c>
      <c r="AI3927">
        <v>184.455655235145</v>
      </c>
      <c r="AJ3927">
        <v>17.9965337954939</v>
      </c>
      <c r="AK3927">
        <v>64.100519930675901</v>
      </c>
    </row>
    <row r="3928" spans="1:37" x14ac:dyDescent="0.3">
      <c r="A3928">
        <v>3927</v>
      </c>
      <c r="B3928">
        <v>15.5</v>
      </c>
      <c r="C3928">
        <v>4.391</v>
      </c>
      <c r="D3928">
        <v>9.8326600000000006</v>
      </c>
      <c r="E3928" t="s">
        <v>6082</v>
      </c>
      <c r="F3928" t="s">
        <v>6083</v>
      </c>
      <c r="G3928" t="s">
        <v>39</v>
      </c>
      <c r="H3928">
        <v>1987</v>
      </c>
      <c r="I3928">
        <v>27.1270694502469</v>
      </c>
      <c r="J3928">
        <v>12.5</v>
      </c>
      <c r="K3928">
        <v>60</v>
      </c>
      <c r="L3928">
        <v>16.934966294518802</v>
      </c>
      <c r="M3928">
        <v>37.3270688221372</v>
      </c>
      <c r="N3928">
        <v>16.700000762939499</v>
      </c>
      <c r="O3928">
        <v>20.6270694502469</v>
      </c>
      <c r="P3928">
        <v>25.399999618530298</v>
      </c>
      <c r="Q3928">
        <v>26.827068305837699</v>
      </c>
      <c r="R3928">
        <v>29.6270694502469</v>
      </c>
      <c r="S3928">
        <v>25.399999618530298</v>
      </c>
      <c r="T3928">
        <v>1109.4586206896599</v>
      </c>
      <c r="U3928">
        <v>233</v>
      </c>
      <c r="V3928">
        <v>1</v>
      </c>
      <c r="W3928">
        <v>92</v>
      </c>
      <c r="X3928">
        <v>627</v>
      </c>
      <c r="Y3928">
        <v>7</v>
      </c>
      <c r="Z3928">
        <v>211</v>
      </c>
      <c r="AA3928">
        <v>627</v>
      </c>
      <c r="AB3928">
        <v>11.7003469006769</v>
      </c>
      <c r="AC3928">
        <v>1.2419270786682E-2</v>
      </c>
      <c r="AD3928">
        <v>1.59336419064423</v>
      </c>
      <c r="AE3928">
        <v>0.26479718089103699</v>
      </c>
      <c r="AF3928">
        <v>196.53793103448299</v>
      </c>
      <c r="AG3928">
        <f>IFERROR(AH3928*0.1, "N/A")</f>
        <v>6.1270689655172399</v>
      </c>
      <c r="AH3928">
        <v>61.270689655172397</v>
      </c>
      <c r="AI3928">
        <v>208.10292208441399</v>
      </c>
      <c r="AJ3928">
        <v>16.082758620689699</v>
      </c>
      <c r="AK3928">
        <v>61.6465517241379</v>
      </c>
    </row>
    <row r="3929" spans="1:37" x14ac:dyDescent="0.3">
      <c r="A3929">
        <v>3928</v>
      </c>
      <c r="B3929">
        <v>3</v>
      </c>
      <c r="C3929">
        <v>4.391</v>
      </c>
      <c r="D3929">
        <v>9.8326600000000006</v>
      </c>
      <c r="E3929" t="s">
        <v>6082</v>
      </c>
      <c r="F3929" t="s">
        <v>6084</v>
      </c>
      <c r="G3929" t="s">
        <v>37</v>
      </c>
      <c r="H3929">
        <v>1987</v>
      </c>
      <c r="I3929">
        <v>27.1270694502469</v>
      </c>
      <c r="J3929">
        <v>12.5</v>
      </c>
      <c r="K3929">
        <v>60</v>
      </c>
      <c r="L3929">
        <v>16.934966294518802</v>
      </c>
      <c r="M3929">
        <v>37.3270688221372</v>
      </c>
      <c r="N3929">
        <v>16.700000762939499</v>
      </c>
      <c r="O3929">
        <v>20.6270694502469</v>
      </c>
      <c r="P3929">
        <v>25.399999618530298</v>
      </c>
      <c r="Q3929">
        <v>26.827068305837699</v>
      </c>
      <c r="R3929">
        <v>29.6270694502469</v>
      </c>
      <c r="S3929">
        <v>25.399999618530298</v>
      </c>
      <c r="T3929">
        <v>1109.4586206896599</v>
      </c>
      <c r="U3929">
        <v>233</v>
      </c>
      <c r="V3929">
        <v>1</v>
      </c>
      <c r="W3929">
        <v>92</v>
      </c>
      <c r="X3929">
        <v>627</v>
      </c>
      <c r="Y3929">
        <v>7</v>
      </c>
      <c r="Z3929">
        <v>211</v>
      </c>
      <c r="AA3929">
        <v>627</v>
      </c>
      <c r="AB3929">
        <v>11.7003469006769</v>
      </c>
      <c r="AC3929">
        <v>1.2419270786682E-2</v>
      </c>
      <c r="AD3929">
        <v>1.59336419064423</v>
      </c>
      <c r="AE3929">
        <v>0.26479718089103699</v>
      </c>
      <c r="AF3929">
        <v>196.53793103448299</v>
      </c>
      <c r="AG3929">
        <f>IFERROR(AH3929*0.1, "N/A")</f>
        <v>6.1270689655172399</v>
      </c>
      <c r="AH3929">
        <v>61.270689655172397</v>
      </c>
      <c r="AI3929">
        <v>208.10292208441399</v>
      </c>
      <c r="AJ3929">
        <v>16.082758620689699</v>
      </c>
      <c r="AK3929">
        <v>61.6465517241379</v>
      </c>
    </row>
    <row r="3930" spans="1:37" x14ac:dyDescent="0.3">
      <c r="A3930">
        <v>3929</v>
      </c>
      <c r="B3930">
        <v>46</v>
      </c>
      <c r="C3930">
        <v>4.976</v>
      </c>
      <c r="D3930">
        <v>8.8179999999999996</v>
      </c>
      <c r="E3930" t="s">
        <v>6085</v>
      </c>
      <c r="F3930" t="s">
        <v>6086</v>
      </c>
      <c r="G3930" t="s">
        <v>39</v>
      </c>
      <c r="H3930">
        <v>1987</v>
      </c>
      <c r="I3930">
        <v>26.799999237060501</v>
      </c>
      <c r="J3930">
        <v>11.5</v>
      </c>
      <c r="K3930">
        <v>64</v>
      </c>
      <c r="L3930">
        <v>14.8900003433228</v>
      </c>
      <c r="M3930">
        <v>36</v>
      </c>
      <c r="N3930">
        <v>18.100000381469702</v>
      </c>
      <c r="O3930">
        <v>17.899999618530298</v>
      </c>
      <c r="P3930">
        <v>25</v>
      </c>
      <c r="Q3930">
        <v>26.899999618530298</v>
      </c>
      <c r="R3930">
        <v>28.899999618530298</v>
      </c>
      <c r="S3930">
        <v>25</v>
      </c>
      <c r="T3930">
        <v>1189</v>
      </c>
      <c r="U3930">
        <v>239</v>
      </c>
      <c r="V3930">
        <v>5</v>
      </c>
      <c r="W3930">
        <v>79</v>
      </c>
      <c r="X3930">
        <v>566</v>
      </c>
      <c r="Y3930">
        <v>21</v>
      </c>
      <c r="Z3930">
        <v>138</v>
      </c>
      <c r="AA3930">
        <v>566</v>
      </c>
      <c r="AB3930">
        <v>32.618378611123298</v>
      </c>
      <c r="AC3930">
        <v>1.5199065508652999E-2</v>
      </c>
      <c r="AD3930">
        <v>2.05889667113484</v>
      </c>
      <c r="AE3930">
        <v>0.62096905708312999</v>
      </c>
      <c r="AF3930">
        <v>286.84748700173299</v>
      </c>
      <c r="AG3930">
        <f>IFERROR(AH3930*0.1, "N/A")</f>
        <v>6.4306759098786799</v>
      </c>
      <c r="AH3930">
        <v>64.306759098786799</v>
      </c>
      <c r="AI3930">
        <v>148.46955575397601</v>
      </c>
      <c r="AJ3930">
        <v>15.974003466204501</v>
      </c>
      <c r="AK3930">
        <v>66.447140381282495</v>
      </c>
    </row>
    <row r="3931" spans="1:37" x14ac:dyDescent="0.3">
      <c r="A3931">
        <v>3930</v>
      </c>
      <c r="B3931">
        <v>0</v>
      </c>
      <c r="C3931">
        <v>4.976</v>
      </c>
      <c r="D3931">
        <v>8.8179999999999996</v>
      </c>
      <c r="E3931" t="s">
        <v>6085</v>
      </c>
      <c r="F3931" t="s">
        <v>6087</v>
      </c>
      <c r="G3931" t="s">
        <v>37</v>
      </c>
      <c r="H3931">
        <v>1987</v>
      </c>
      <c r="I3931">
        <v>26.799999237060501</v>
      </c>
      <c r="J3931">
        <v>11.5</v>
      </c>
      <c r="K3931">
        <v>64</v>
      </c>
      <c r="L3931">
        <v>14.8900003433228</v>
      </c>
      <c r="M3931">
        <v>36</v>
      </c>
      <c r="N3931">
        <v>18.100000381469702</v>
      </c>
      <c r="O3931">
        <v>17.899999618530298</v>
      </c>
      <c r="P3931">
        <v>25</v>
      </c>
      <c r="Q3931">
        <v>26.899999618530298</v>
      </c>
      <c r="R3931">
        <v>28.899999618530298</v>
      </c>
      <c r="S3931">
        <v>25</v>
      </c>
      <c r="T3931">
        <v>1189</v>
      </c>
      <c r="U3931">
        <v>239</v>
      </c>
      <c r="V3931">
        <v>5</v>
      </c>
      <c r="W3931">
        <v>79</v>
      </c>
      <c r="X3931">
        <v>566</v>
      </c>
      <c r="Y3931">
        <v>21</v>
      </c>
      <c r="Z3931">
        <v>138</v>
      </c>
      <c r="AA3931">
        <v>566</v>
      </c>
      <c r="AB3931">
        <v>32.618378611123298</v>
      </c>
      <c r="AC3931">
        <v>1.5199065508652999E-2</v>
      </c>
      <c r="AD3931">
        <v>2.05889667113484</v>
      </c>
      <c r="AE3931">
        <v>0.62096905708312999</v>
      </c>
      <c r="AF3931">
        <v>286.84748700173299</v>
      </c>
      <c r="AG3931">
        <f>IFERROR(AH3931*0.1, "N/A")</f>
        <v>6.4306759098786799</v>
      </c>
      <c r="AH3931">
        <v>64.306759098786799</v>
      </c>
      <c r="AI3931">
        <v>148.46955575397601</v>
      </c>
      <c r="AJ3931">
        <v>15.974003466204501</v>
      </c>
      <c r="AK3931">
        <v>66.447140381282495</v>
      </c>
    </row>
    <row r="3932" spans="1:37" x14ac:dyDescent="0.3">
      <c r="A3932">
        <v>3931</v>
      </c>
      <c r="B3932">
        <v>31</v>
      </c>
      <c r="C3932">
        <v>5.7629999999999999</v>
      </c>
      <c r="D3932">
        <v>8.7260000000000009</v>
      </c>
      <c r="E3932" t="s">
        <v>6088</v>
      </c>
      <c r="F3932" t="s">
        <v>6089</v>
      </c>
      <c r="G3932" t="s">
        <v>39</v>
      </c>
      <c r="H3932">
        <v>1987</v>
      </c>
      <c r="I3932">
        <v>27.7970581054688</v>
      </c>
      <c r="J3932">
        <v>11.300000190734901</v>
      </c>
      <c r="K3932">
        <v>64</v>
      </c>
      <c r="L3932">
        <v>15.4955880221199</v>
      </c>
      <c r="M3932">
        <v>36.994117624619399</v>
      </c>
      <c r="N3932">
        <v>19.399999618530298</v>
      </c>
      <c r="O3932">
        <v>17.5941180060892</v>
      </c>
      <c r="P3932">
        <v>25.899999618530298</v>
      </c>
      <c r="Q3932">
        <v>27.985294117647101</v>
      </c>
      <c r="R3932">
        <v>30</v>
      </c>
      <c r="S3932">
        <v>25.899999618530298</v>
      </c>
      <c r="T3932">
        <v>1166</v>
      </c>
      <c r="U3932">
        <v>231</v>
      </c>
      <c r="V3932">
        <v>1</v>
      </c>
      <c r="W3932">
        <v>83</v>
      </c>
      <c r="X3932">
        <v>601.97058823529403</v>
      </c>
      <c r="Y3932">
        <v>12.0294117647059</v>
      </c>
      <c r="Z3932">
        <v>121.029411764706</v>
      </c>
      <c r="AA3932">
        <v>601.97058823529403</v>
      </c>
      <c r="AB3932">
        <v>53.576644422273702</v>
      </c>
      <c r="AC3932">
        <v>2.7107169297379E-2</v>
      </c>
      <c r="AD3932">
        <v>1.77851345815461</v>
      </c>
      <c r="AE3932">
        <v>0.77145719528198198</v>
      </c>
      <c r="AF3932">
        <v>115.766435986159</v>
      </c>
      <c r="AG3932">
        <f>IFERROR(AH3932*0.1, "N/A")</f>
        <v>5.9036332179930806</v>
      </c>
      <c r="AH3932">
        <v>59.036332179930803</v>
      </c>
      <c r="AI3932">
        <v>92.353089629572594</v>
      </c>
      <c r="AJ3932">
        <v>15.849480968858099</v>
      </c>
      <c r="AK3932">
        <v>65.496539792387495</v>
      </c>
    </row>
    <row r="3933" spans="1:37" x14ac:dyDescent="0.3">
      <c r="A3933">
        <v>3932</v>
      </c>
      <c r="B3933">
        <v>0</v>
      </c>
      <c r="C3933">
        <v>5.7629999999999999</v>
      </c>
      <c r="D3933">
        <v>8.7260000000000009</v>
      </c>
      <c r="E3933" t="s">
        <v>6088</v>
      </c>
      <c r="F3933" t="s">
        <v>6090</v>
      </c>
      <c r="G3933" t="s">
        <v>37</v>
      </c>
      <c r="H3933">
        <v>1987</v>
      </c>
      <c r="I3933">
        <v>27.7970581054688</v>
      </c>
      <c r="J3933">
        <v>11.300000190734901</v>
      </c>
      <c r="K3933">
        <v>64</v>
      </c>
      <c r="L3933">
        <v>15.4955880221199</v>
      </c>
      <c r="M3933">
        <v>36.994117624619399</v>
      </c>
      <c r="N3933">
        <v>19.399999618530298</v>
      </c>
      <c r="O3933">
        <v>17.5941180060892</v>
      </c>
      <c r="P3933">
        <v>25.899999618530298</v>
      </c>
      <c r="Q3933">
        <v>27.985294117647101</v>
      </c>
      <c r="R3933">
        <v>30</v>
      </c>
      <c r="S3933">
        <v>25.899999618530298</v>
      </c>
      <c r="T3933">
        <v>1166</v>
      </c>
      <c r="U3933">
        <v>231</v>
      </c>
      <c r="V3933">
        <v>1</v>
      </c>
      <c r="W3933">
        <v>83</v>
      </c>
      <c r="X3933">
        <v>601.97058823529403</v>
      </c>
      <c r="Y3933">
        <v>12.0294117647059</v>
      </c>
      <c r="Z3933">
        <v>121.029411764706</v>
      </c>
      <c r="AA3933">
        <v>601.97058823529403</v>
      </c>
      <c r="AB3933">
        <v>53.576644422273702</v>
      </c>
      <c r="AC3933">
        <v>2.7107169297379E-2</v>
      </c>
      <c r="AD3933">
        <v>1.77851345815461</v>
      </c>
      <c r="AE3933">
        <v>0.77145719528198198</v>
      </c>
      <c r="AF3933">
        <v>115.766435986159</v>
      </c>
      <c r="AG3933">
        <f>IFERROR(AH3933*0.1, "N/A")</f>
        <v>5.9036332179930806</v>
      </c>
      <c r="AH3933">
        <v>59.036332179930803</v>
      </c>
      <c r="AI3933">
        <v>92.353089629572594</v>
      </c>
      <c r="AJ3933">
        <v>15.849480968858099</v>
      </c>
      <c r="AK3933">
        <v>65.496539792387495</v>
      </c>
    </row>
    <row r="3934" spans="1:37" x14ac:dyDescent="0.3">
      <c r="A3934">
        <v>3933</v>
      </c>
      <c r="B3934">
        <v>46</v>
      </c>
      <c r="C3934">
        <v>4.9480000000000004</v>
      </c>
      <c r="D3934">
        <v>9.0869999999999997</v>
      </c>
      <c r="E3934" t="s">
        <v>6091</v>
      </c>
      <c r="F3934" t="s">
        <v>6092</v>
      </c>
      <c r="G3934" t="s">
        <v>39</v>
      </c>
      <c r="H3934">
        <v>1987</v>
      </c>
      <c r="I3934">
        <v>28</v>
      </c>
      <c r="J3934">
        <v>11.800000190734901</v>
      </c>
      <c r="K3934">
        <v>62</v>
      </c>
      <c r="L3934">
        <v>15.539999961853001</v>
      </c>
      <c r="M3934">
        <v>37.599998474121101</v>
      </c>
      <c r="N3934">
        <v>18.799999237060501</v>
      </c>
      <c r="O3934">
        <v>18.799999237060501</v>
      </c>
      <c r="P3934">
        <v>26.200000762939499</v>
      </c>
      <c r="Q3934">
        <v>28</v>
      </c>
      <c r="R3934">
        <v>30.299999237060501</v>
      </c>
      <c r="S3934">
        <v>26.200000762939499</v>
      </c>
      <c r="T3934">
        <v>1138</v>
      </c>
      <c r="U3934">
        <v>234</v>
      </c>
      <c r="V3934">
        <v>2</v>
      </c>
      <c r="W3934">
        <v>84</v>
      </c>
      <c r="X3934">
        <v>577</v>
      </c>
      <c r="Y3934">
        <v>13</v>
      </c>
      <c r="Z3934">
        <v>113</v>
      </c>
      <c r="AA3934">
        <v>577</v>
      </c>
      <c r="AB3934">
        <v>1.24362400975721</v>
      </c>
      <c r="AC3934">
        <v>3.6653065856482002E-2</v>
      </c>
      <c r="AD3934">
        <v>1.2187278287164101</v>
      </c>
      <c r="AE3934">
        <v>0.53630185127258301</v>
      </c>
      <c r="AF3934">
        <v>74.143103448275895</v>
      </c>
      <c r="AG3934">
        <f>IFERROR(AH3934*0.1, "N/A")</f>
        <v>6.0931034482758601</v>
      </c>
      <c r="AH3934">
        <v>60.931034482758598</v>
      </c>
      <c r="AI3934">
        <v>98.942924880981394</v>
      </c>
      <c r="AJ3934">
        <v>17.6241379310345</v>
      </c>
      <c r="AK3934">
        <v>62.658620689655201</v>
      </c>
    </row>
    <row r="3935" spans="1:37" x14ac:dyDescent="0.3">
      <c r="A3935">
        <v>3934</v>
      </c>
      <c r="B3935">
        <v>0</v>
      </c>
      <c r="C3935">
        <v>4.9480000000000004</v>
      </c>
      <c r="D3935">
        <v>9.0869999999999997</v>
      </c>
      <c r="E3935" t="s">
        <v>6091</v>
      </c>
      <c r="F3935" t="s">
        <v>6093</v>
      </c>
      <c r="G3935" t="s">
        <v>37</v>
      </c>
      <c r="H3935">
        <v>1987</v>
      </c>
      <c r="I3935">
        <v>28</v>
      </c>
      <c r="J3935">
        <v>11.800000190734901</v>
      </c>
      <c r="K3935">
        <v>62</v>
      </c>
      <c r="L3935">
        <v>15.539999961853001</v>
      </c>
      <c r="M3935">
        <v>37.599998474121101</v>
      </c>
      <c r="N3935">
        <v>18.799999237060501</v>
      </c>
      <c r="O3935">
        <v>18.799999237060501</v>
      </c>
      <c r="P3935">
        <v>26.200000762939499</v>
      </c>
      <c r="Q3935">
        <v>28</v>
      </c>
      <c r="R3935">
        <v>30.299999237060501</v>
      </c>
      <c r="S3935">
        <v>26.200000762939499</v>
      </c>
      <c r="T3935">
        <v>1138</v>
      </c>
      <c r="U3935">
        <v>234</v>
      </c>
      <c r="V3935">
        <v>2</v>
      </c>
      <c r="W3935">
        <v>84</v>
      </c>
      <c r="X3935">
        <v>577</v>
      </c>
      <c r="Y3935">
        <v>13</v>
      </c>
      <c r="Z3935">
        <v>113</v>
      </c>
      <c r="AA3935">
        <v>577</v>
      </c>
      <c r="AB3935">
        <v>1.24362400975721</v>
      </c>
      <c r="AC3935">
        <v>3.6653065856482002E-2</v>
      </c>
      <c r="AD3935">
        <v>1.2187278287164101</v>
      </c>
      <c r="AE3935">
        <v>0.53630185127258301</v>
      </c>
      <c r="AF3935">
        <v>74.143103448275895</v>
      </c>
      <c r="AG3935">
        <f>IFERROR(AH3935*0.1, "N/A")</f>
        <v>6.0931034482758601</v>
      </c>
      <c r="AH3935">
        <v>60.931034482758598</v>
      </c>
      <c r="AI3935">
        <v>98.942924880981394</v>
      </c>
      <c r="AJ3935">
        <v>17.6241379310345</v>
      </c>
      <c r="AK3935">
        <v>62.658620689655201</v>
      </c>
    </row>
    <row r="3936" spans="1:37" x14ac:dyDescent="0.3">
      <c r="A3936">
        <v>3935</v>
      </c>
      <c r="B3936">
        <v>16</v>
      </c>
      <c r="C3936">
        <v>6.0069999999999997</v>
      </c>
      <c r="D3936">
        <v>9.077</v>
      </c>
      <c r="E3936" t="s">
        <v>6094</v>
      </c>
      <c r="F3936" t="s">
        <v>6095</v>
      </c>
      <c r="G3936" t="s">
        <v>39</v>
      </c>
      <c r="H3936">
        <v>1987</v>
      </c>
      <c r="I3936">
        <v>28</v>
      </c>
      <c r="J3936">
        <v>11.6000003814697</v>
      </c>
      <c r="K3936">
        <v>63</v>
      </c>
      <c r="L3936">
        <v>16.7700004577637</v>
      </c>
      <c r="M3936">
        <v>37.599998474121101</v>
      </c>
      <c r="N3936">
        <v>19.399999618530298</v>
      </c>
      <c r="O3936">
        <v>18.200000762939499</v>
      </c>
      <c r="P3936">
        <v>26</v>
      </c>
      <c r="Q3936">
        <v>27.899999618530298</v>
      </c>
      <c r="R3936">
        <v>30.5</v>
      </c>
      <c r="S3936">
        <v>26</v>
      </c>
      <c r="T3936">
        <v>1184</v>
      </c>
      <c r="U3936">
        <v>239</v>
      </c>
      <c r="V3936">
        <v>0</v>
      </c>
      <c r="W3936">
        <v>91</v>
      </c>
      <c r="X3936">
        <v>669</v>
      </c>
      <c r="Y3936">
        <v>7</v>
      </c>
      <c r="Z3936">
        <v>98</v>
      </c>
      <c r="AA3936">
        <v>669</v>
      </c>
      <c r="AB3936">
        <v>18.752154063029501</v>
      </c>
      <c r="AC3936">
        <v>5.5526010300996E-2</v>
      </c>
      <c r="AD3936">
        <v>2.07868838105062</v>
      </c>
      <c r="AE3936">
        <v>0.90150713920593295</v>
      </c>
      <c r="AF3936">
        <v>132.61273666092899</v>
      </c>
      <c r="AG3936">
        <f>IFERROR(AH3936*0.1, "N/A")</f>
        <v>6.5</v>
      </c>
      <c r="AH3936">
        <v>65</v>
      </c>
      <c r="AI3936">
        <v>54.525372377156003</v>
      </c>
      <c r="AJ3936">
        <v>24</v>
      </c>
      <c r="AK3936">
        <v>54.149741824440603</v>
      </c>
    </row>
    <row r="3937" spans="1:37" x14ac:dyDescent="0.3">
      <c r="A3937">
        <v>3936</v>
      </c>
      <c r="B3937">
        <v>23</v>
      </c>
      <c r="C3937">
        <v>6.0069999999999997</v>
      </c>
      <c r="D3937">
        <v>9.077</v>
      </c>
      <c r="E3937" t="s">
        <v>6094</v>
      </c>
      <c r="F3937" t="s">
        <v>6096</v>
      </c>
      <c r="G3937" t="s">
        <v>37</v>
      </c>
      <c r="H3937">
        <v>1987</v>
      </c>
      <c r="I3937">
        <v>28</v>
      </c>
      <c r="J3937">
        <v>11.6000003814697</v>
      </c>
      <c r="K3937">
        <v>63</v>
      </c>
      <c r="L3937">
        <v>16.7700004577637</v>
      </c>
      <c r="M3937">
        <v>37.599998474121101</v>
      </c>
      <c r="N3937">
        <v>19.399999618530298</v>
      </c>
      <c r="O3937">
        <v>18.200000762939499</v>
      </c>
      <c r="P3937">
        <v>26</v>
      </c>
      <c r="Q3937">
        <v>27.899999618530298</v>
      </c>
      <c r="R3937">
        <v>30.5</v>
      </c>
      <c r="S3937">
        <v>26</v>
      </c>
      <c r="T3937">
        <v>1184</v>
      </c>
      <c r="U3937">
        <v>239</v>
      </c>
      <c r="V3937">
        <v>0</v>
      </c>
      <c r="W3937">
        <v>91</v>
      </c>
      <c r="X3937">
        <v>669</v>
      </c>
      <c r="Y3937">
        <v>7</v>
      </c>
      <c r="Z3937">
        <v>98</v>
      </c>
      <c r="AA3937">
        <v>669</v>
      </c>
      <c r="AB3937">
        <v>18.752154063029501</v>
      </c>
      <c r="AC3937">
        <v>5.5526010300996E-2</v>
      </c>
      <c r="AD3937">
        <v>2.07868838105062</v>
      </c>
      <c r="AE3937">
        <v>0.90150713920593295</v>
      </c>
      <c r="AF3937">
        <v>132.61273666092899</v>
      </c>
      <c r="AG3937">
        <f>IFERROR(AH3937*0.1, "N/A")</f>
        <v>6.5</v>
      </c>
      <c r="AH3937">
        <v>65</v>
      </c>
      <c r="AI3937">
        <v>54.525372377156003</v>
      </c>
      <c r="AJ3937">
        <v>24</v>
      </c>
      <c r="AK3937">
        <v>54.149741824440603</v>
      </c>
    </row>
    <row r="3938" spans="1:37" x14ac:dyDescent="0.3">
      <c r="A3938">
        <v>3937</v>
      </c>
      <c r="B3938">
        <v>40</v>
      </c>
      <c r="C3938">
        <v>9.83</v>
      </c>
      <c r="D3938">
        <v>11.301</v>
      </c>
      <c r="E3938" t="s">
        <v>6097</v>
      </c>
      <c r="F3938" t="s">
        <v>6098</v>
      </c>
      <c r="G3938" t="s">
        <v>39</v>
      </c>
      <c r="H3938">
        <v>1987</v>
      </c>
      <c r="I3938">
        <v>26.399999618530298</v>
      </c>
      <c r="J3938">
        <v>14.800000190734901</v>
      </c>
      <c r="K3938">
        <v>58</v>
      </c>
      <c r="L3938">
        <v>24.4799995422363</v>
      </c>
      <c r="M3938">
        <v>38.599998474121101</v>
      </c>
      <c r="N3938">
        <v>13.300000190734901</v>
      </c>
      <c r="O3938">
        <v>25.299999237060501</v>
      </c>
      <c r="P3938">
        <v>25.899999618530298</v>
      </c>
      <c r="Q3938">
        <v>25.200000762939499</v>
      </c>
      <c r="R3938">
        <v>29.700000762939499</v>
      </c>
      <c r="S3938">
        <v>23.399999618530298</v>
      </c>
      <c r="T3938">
        <v>841</v>
      </c>
      <c r="U3938">
        <v>284</v>
      </c>
      <c r="V3938">
        <v>0</v>
      </c>
      <c r="W3938">
        <v>130</v>
      </c>
      <c r="X3938">
        <v>632</v>
      </c>
      <c r="Y3938">
        <v>0</v>
      </c>
      <c r="Z3938">
        <v>187</v>
      </c>
      <c r="AA3938">
        <v>1</v>
      </c>
      <c r="AB3938">
        <v>0.23619183745400499</v>
      </c>
      <c r="AC3938">
        <v>0.20399675219647201</v>
      </c>
      <c r="AD3938">
        <v>0.87124309503177799</v>
      </c>
      <c r="AE3938">
        <v>0.71742641925811801</v>
      </c>
      <c r="AF3938">
        <v>423.33788395904401</v>
      </c>
      <c r="AG3938">
        <f>IFERROR(AH3938*0.1, "N/A")</f>
        <v>6.586348122866891</v>
      </c>
      <c r="AH3938">
        <v>65.863481228668903</v>
      </c>
      <c r="AI3938">
        <v>98.321927060853099</v>
      </c>
      <c r="AJ3938">
        <v>15.044368600682599</v>
      </c>
      <c r="AK3938">
        <v>64.723549488054601</v>
      </c>
    </row>
    <row r="3939" spans="1:37" x14ac:dyDescent="0.3">
      <c r="A3939">
        <v>3938</v>
      </c>
      <c r="B3939">
        <v>4</v>
      </c>
      <c r="C3939">
        <v>9.83</v>
      </c>
      <c r="D3939">
        <v>11.301</v>
      </c>
      <c r="E3939" t="s">
        <v>6097</v>
      </c>
      <c r="F3939" t="s">
        <v>6099</v>
      </c>
      <c r="G3939" t="s">
        <v>37</v>
      </c>
      <c r="H3939">
        <v>1987</v>
      </c>
      <c r="I3939">
        <v>26.399999618530298</v>
      </c>
      <c r="J3939">
        <v>14.800000190734901</v>
      </c>
      <c r="K3939">
        <v>58</v>
      </c>
      <c r="L3939">
        <v>24.4799995422363</v>
      </c>
      <c r="M3939">
        <v>38.599998474121101</v>
      </c>
      <c r="N3939">
        <v>13.300000190734901</v>
      </c>
      <c r="O3939">
        <v>25.299999237060501</v>
      </c>
      <c r="P3939">
        <v>25.899999618530298</v>
      </c>
      <c r="Q3939">
        <v>25.200000762939499</v>
      </c>
      <c r="R3939">
        <v>29.700000762939499</v>
      </c>
      <c r="S3939">
        <v>23.399999618530298</v>
      </c>
      <c r="T3939">
        <v>841</v>
      </c>
      <c r="U3939">
        <v>284</v>
      </c>
      <c r="V3939">
        <v>0</v>
      </c>
      <c r="W3939">
        <v>130</v>
      </c>
      <c r="X3939">
        <v>632</v>
      </c>
      <c r="Y3939">
        <v>0</v>
      </c>
      <c r="Z3939">
        <v>187</v>
      </c>
      <c r="AA3939">
        <v>1</v>
      </c>
      <c r="AB3939">
        <v>0.23619183745400499</v>
      </c>
      <c r="AC3939">
        <v>0.20399675219647201</v>
      </c>
      <c r="AD3939">
        <v>0.87124309503177799</v>
      </c>
      <c r="AE3939">
        <v>0.71742641925811801</v>
      </c>
      <c r="AF3939">
        <v>423.33788395904401</v>
      </c>
      <c r="AG3939">
        <f>IFERROR(AH3939*0.1, "N/A")</f>
        <v>6.586348122866891</v>
      </c>
      <c r="AH3939">
        <v>65.863481228668903</v>
      </c>
      <c r="AI3939">
        <v>98.321927060853099</v>
      </c>
      <c r="AJ3939">
        <v>15.044368600682599</v>
      </c>
      <c r="AK3939">
        <v>64.723549488054601</v>
      </c>
    </row>
    <row r="3940" spans="1:37" x14ac:dyDescent="0.3">
      <c r="A3940">
        <v>3939</v>
      </c>
      <c r="B3940">
        <v>33</v>
      </c>
      <c r="C3940">
        <v>11.164</v>
      </c>
      <c r="D3940">
        <v>11.068</v>
      </c>
      <c r="E3940" t="s">
        <v>6100</v>
      </c>
      <c r="F3940" t="s">
        <v>6101</v>
      </c>
      <c r="G3940" t="s">
        <v>39</v>
      </c>
      <c r="H3940">
        <v>1987</v>
      </c>
      <c r="I3940">
        <v>25.700000762939499</v>
      </c>
      <c r="J3940">
        <v>14.6000003814697</v>
      </c>
      <c r="K3940">
        <v>57</v>
      </c>
      <c r="L3940">
        <v>24.940000534057599</v>
      </c>
      <c r="M3940">
        <v>37.900001525878899</v>
      </c>
      <c r="N3940">
        <v>12.300000190734901</v>
      </c>
      <c r="O3940">
        <v>25.600000381469702</v>
      </c>
      <c r="P3940">
        <v>25</v>
      </c>
      <c r="Q3940">
        <v>24.700000762939499</v>
      </c>
      <c r="R3940">
        <v>29.100000381469702</v>
      </c>
      <c r="S3940">
        <v>22.700000762939499</v>
      </c>
      <c r="T3940">
        <v>803</v>
      </c>
      <c r="U3940">
        <v>254</v>
      </c>
      <c r="V3940">
        <v>0</v>
      </c>
      <c r="W3940">
        <v>129</v>
      </c>
      <c r="X3940">
        <v>599</v>
      </c>
      <c r="Y3940">
        <v>0</v>
      </c>
      <c r="Z3940">
        <v>69</v>
      </c>
      <c r="AA3940">
        <v>0</v>
      </c>
      <c r="AB3940">
        <v>25.8677437427508</v>
      </c>
      <c r="AC3940">
        <v>2.9616056652199001E-2</v>
      </c>
      <c r="AD3940">
        <v>1.59332213222777</v>
      </c>
      <c r="AE3940">
        <v>0.716880083084106</v>
      </c>
      <c r="AF3940">
        <v>302.09556313993198</v>
      </c>
      <c r="AG3940">
        <f>IFERROR(AH3940*0.1, "N/A")</f>
        <v>6.6102389078498307</v>
      </c>
      <c r="AH3940">
        <v>66.102389078498305</v>
      </c>
      <c r="AI3940">
        <v>215.05922592866099</v>
      </c>
      <c r="AJ3940">
        <v>17.689419795221799</v>
      </c>
      <c r="AK3940">
        <v>61.783276450511899</v>
      </c>
    </row>
    <row r="3941" spans="1:37" x14ac:dyDescent="0.3">
      <c r="A3941">
        <v>3940</v>
      </c>
      <c r="B3941">
        <v>4</v>
      </c>
      <c r="C3941">
        <v>11.164</v>
      </c>
      <c r="D3941">
        <v>11.068</v>
      </c>
      <c r="E3941" t="s">
        <v>6100</v>
      </c>
      <c r="F3941" t="s">
        <v>6102</v>
      </c>
      <c r="G3941" t="s">
        <v>37</v>
      </c>
      <c r="H3941">
        <v>1987</v>
      </c>
      <c r="I3941">
        <v>25.700000762939499</v>
      </c>
      <c r="J3941">
        <v>14.6000003814697</v>
      </c>
      <c r="K3941">
        <v>57</v>
      </c>
      <c r="L3941">
        <v>24.940000534057599</v>
      </c>
      <c r="M3941">
        <v>37.900001525878899</v>
      </c>
      <c r="N3941">
        <v>12.300000190734901</v>
      </c>
      <c r="O3941">
        <v>25.600000381469702</v>
      </c>
      <c r="P3941">
        <v>25</v>
      </c>
      <c r="Q3941">
        <v>24.700000762939499</v>
      </c>
      <c r="R3941">
        <v>29.100000381469702</v>
      </c>
      <c r="S3941">
        <v>22.700000762939499</v>
      </c>
      <c r="T3941">
        <v>803</v>
      </c>
      <c r="U3941">
        <v>254</v>
      </c>
      <c r="V3941">
        <v>0</v>
      </c>
      <c r="W3941">
        <v>129</v>
      </c>
      <c r="X3941">
        <v>599</v>
      </c>
      <c r="Y3941">
        <v>0</v>
      </c>
      <c r="Z3941">
        <v>69</v>
      </c>
      <c r="AA3941">
        <v>0</v>
      </c>
      <c r="AB3941">
        <v>25.8677437427508</v>
      </c>
      <c r="AC3941">
        <v>2.9616056652199001E-2</v>
      </c>
      <c r="AD3941">
        <v>1.59332213222777</v>
      </c>
      <c r="AE3941">
        <v>0.716880083084106</v>
      </c>
      <c r="AF3941">
        <v>302.09556313993198</v>
      </c>
      <c r="AG3941">
        <f>IFERROR(AH3941*0.1, "N/A")</f>
        <v>6.6102389078498307</v>
      </c>
      <c r="AH3941">
        <v>66.102389078498305</v>
      </c>
      <c r="AI3941">
        <v>215.05922592866099</v>
      </c>
      <c r="AJ3941">
        <v>17.689419795221799</v>
      </c>
      <c r="AK3941">
        <v>61.783276450511899</v>
      </c>
    </row>
    <row r="3942" spans="1:37" x14ac:dyDescent="0.3">
      <c r="A3942">
        <v>3941</v>
      </c>
      <c r="B3942">
        <v>24</v>
      </c>
      <c r="C3942">
        <v>4.7467699999999997</v>
      </c>
      <c r="D3942">
        <v>10.8734</v>
      </c>
      <c r="E3942" t="s">
        <v>6103</v>
      </c>
      <c r="F3942" t="s">
        <v>6104</v>
      </c>
      <c r="G3942" t="s">
        <v>39</v>
      </c>
      <c r="H3942">
        <v>1987</v>
      </c>
      <c r="I3942">
        <v>27.100000381469702</v>
      </c>
      <c r="J3942">
        <v>13.1000003814697</v>
      </c>
      <c r="K3942">
        <v>54</v>
      </c>
      <c r="L3942">
        <v>21.799999237060501</v>
      </c>
      <c r="M3942">
        <v>38.200000762939503</v>
      </c>
      <c r="N3942">
        <v>14.300000190734901</v>
      </c>
      <c r="O3942">
        <v>23.899999618530298</v>
      </c>
      <c r="P3942">
        <v>25.600000381469702</v>
      </c>
      <c r="Q3942">
        <v>25.700000762939499</v>
      </c>
      <c r="R3942">
        <v>30.5</v>
      </c>
      <c r="S3942">
        <v>25</v>
      </c>
      <c r="T3942">
        <v>969</v>
      </c>
      <c r="U3942">
        <v>237</v>
      </c>
      <c r="V3942">
        <v>0</v>
      </c>
      <c r="W3942">
        <v>108</v>
      </c>
      <c r="X3942">
        <v>635</v>
      </c>
      <c r="Y3942">
        <v>1</v>
      </c>
      <c r="Z3942">
        <v>133</v>
      </c>
      <c r="AA3942">
        <v>2</v>
      </c>
      <c r="AB3942">
        <v>10.7882093119825</v>
      </c>
      <c r="AC3942">
        <v>2.3311725484892E-2</v>
      </c>
      <c r="AD3942">
        <v>1.9850272011553101</v>
      </c>
      <c r="AE3942">
        <v>0.75512556021030097</v>
      </c>
      <c r="AF3942">
        <v>149.389743589744</v>
      </c>
      <c r="AG3942">
        <f>IFERROR(AH3942*0.1, "N/A")</f>
        <v>5.91846153846154</v>
      </c>
      <c r="AH3942">
        <v>59.184615384615398</v>
      </c>
      <c r="AI3942">
        <v>247.324664045807</v>
      </c>
      <c r="AJ3942">
        <v>16.092307692307699</v>
      </c>
      <c r="AK3942">
        <v>65.815384615384602</v>
      </c>
    </row>
    <row r="3943" spans="1:37" x14ac:dyDescent="0.3">
      <c r="A3943">
        <v>3942</v>
      </c>
      <c r="B3943">
        <v>1.4</v>
      </c>
      <c r="C3943">
        <v>4.7467699999999997</v>
      </c>
      <c r="D3943">
        <v>10.8734</v>
      </c>
      <c r="E3943" t="s">
        <v>6103</v>
      </c>
      <c r="F3943" t="s">
        <v>6105</v>
      </c>
      <c r="G3943" t="s">
        <v>37</v>
      </c>
      <c r="H3943">
        <v>1987</v>
      </c>
      <c r="I3943">
        <v>27.100000381469702</v>
      </c>
      <c r="J3943">
        <v>13.1000003814697</v>
      </c>
      <c r="K3943">
        <v>54</v>
      </c>
      <c r="L3943">
        <v>21.799999237060501</v>
      </c>
      <c r="M3943">
        <v>38.200000762939503</v>
      </c>
      <c r="N3943">
        <v>14.300000190734901</v>
      </c>
      <c r="O3943">
        <v>23.899999618530298</v>
      </c>
      <c r="P3943">
        <v>25.600000381469702</v>
      </c>
      <c r="Q3943">
        <v>25.700000762939499</v>
      </c>
      <c r="R3943">
        <v>30.5</v>
      </c>
      <c r="S3943">
        <v>25</v>
      </c>
      <c r="T3943">
        <v>969</v>
      </c>
      <c r="U3943">
        <v>237</v>
      </c>
      <c r="V3943">
        <v>0</v>
      </c>
      <c r="W3943">
        <v>108</v>
      </c>
      <c r="X3943">
        <v>635</v>
      </c>
      <c r="Y3943">
        <v>1</v>
      </c>
      <c r="Z3943">
        <v>133</v>
      </c>
      <c r="AA3943">
        <v>2</v>
      </c>
      <c r="AB3943">
        <v>10.7882093119825</v>
      </c>
      <c r="AC3943">
        <v>2.3311725484892E-2</v>
      </c>
      <c r="AD3943">
        <v>1.9850272011553101</v>
      </c>
      <c r="AE3943">
        <v>0.75512556021030097</v>
      </c>
      <c r="AF3943">
        <v>149.389743589744</v>
      </c>
      <c r="AG3943">
        <f>IFERROR(AH3943*0.1, "N/A")</f>
        <v>5.91846153846154</v>
      </c>
      <c r="AH3943">
        <v>59.184615384615398</v>
      </c>
      <c r="AI3943">
        <v>247.324664045807</v>
      </c>
      <c r="AJ3943">
        <v>16.092307692307699</v>
      </c>
      <c r="AK3943">
        <v>65.815384615384602</v>
      </c>
    </row>
    <row r="3944" spans="1:37" x14ac:dyDescent="0.3">
      <c r="A3944">
        <v>3943</v>
      </c>
      <c r="B3944">
        <v>36</v>
      </c>
      <c r="C3944">
        <v>8.0169999999999995</v>
      </c>
      <c r="D3944">
        <v>8.7840000000000007</v>
      </c>
      <c r="E3944" t="s">
        <v>6106</v>
      </c>
      <c r="F3944" t="s">
        <v>6107</v>
      </c>
      <c r="G3944" t="s">
        <v>39</v>
      </c>
      <c r="H3944">
        <v>1987</v>
      </c>
      <c r="I3944">
        <v>26.575563546483199</v>
      </c>
      <c r="J3944">
        <v>11.3999996185303</v>
      </c>
      <c r="K3944">
        <v>62.0173310225303</v>
      </c>
      <c r="L3944">
        <v>15.0524437010185</v>
      </c>
      <c r="M3944">
        <v>35.773829792359898</v>
      </c>
      <c r="N3944">
        <v>17.577296655347499</v>
      </c>
      <c r="O3944">
        <v>18.196534545210898</v>
      </c>
      <c r="P3944">
        <v>24.975563165013501</v>
      </c>
      <c r="Q3944">
        <v>26.2630847223503</v>
      </c>
      <c r="R3944">
        <v>28.773829792359901</v>
      </c>
      <c r="S3944">
        <v>24.975563165013501</v>
      </c>
      <c r="T3944">
        <v>1419.22183708839</v>
      </c>
      <c r="U3944">
        <v>290.85788561525101</v>
      </c>
      <c r="V3944">
        <v>1</v>
      </c>
      <c r="W3944">
        <v>90</v>
      </c>
      <c r="X3944">
        <v>817.698440207972</v>
      </c>
      <c r="Y3944">
        <v>11</v>
      </c>
      <c r="Z3944">
        <v>175.46100519930701</v>
      </c>
      <c r="AA3944">
        <v>817.698440207972</v>
      </c>
      <c r="AB3944">
        <v>15.5417802040457</v>
      </c>
      <c r="AC3944">
        <v>1.0250790536959001E-2</v>
      </c>
      <c r="AD3944">
        <v>3.56084477426274</v>
      </c>
      <c r="AE3944">
        <v>0.61997781180013201</v>
      </c>
      <c r="AF3944">
        <v>324.59445407278997</v>
      </c>
      <c r="AG3944">
        <f>IFERROR(AH3944*0.1, "N/A")</f>
        <v>5.7284228769497405</v>
      </c>
      <c r="AH3944">
        <v>57.284228769497403</v>
      </c>
      <c r="AI3944">
        <v>119.373936063082</v>
      </c>
      <c r="AJ3944">
        <v>18.362218370883902</v>
      </c>
      <c r="AK3944">
        <v>60.2201039861352</v>
      </c>
    </row>
    <row r="3945" spans="1:37" x14ac:dyDescent="0.3">
      <c r="A3945">
        <v>3944</v>
      </c>
      <c r="B3945">
        <v>2</v>
      </c>
      <c r="C3945">
        <v>8.0169999999999995</v>
      </c>
      <c r="D3945">
        <v>8.7840000000000007</v>
      </c>
      <c r="E3945" t="s">
        <v>6106</v>
      </c>
      <c r="F3945" t="s">
        <v>6108</v>
      </c>
      <c r="G3945" t="s">
        <v>37</v>
      </c>
      <c r="H3945">
        <v>1987</v>
      </c>
      <c r="I3945">
        <v>26.575563546483199</v>
      </c>
      <c r="J3945">
        <v>11.3999996185303</v>
      </c>
      <c r="K3945">
        <v>62.0173310225303</v>
      </c>
      <c r="L3945">
        <v>15.0524437010185</v>
      </c>
      <c r="M3945">
        <v>35.773829792359898</v>
      </c>
      <c r="N3945">
        <v>17.577296655347499</v>
      </c>
      <c r="O3945">
        <v>18.196534545210898</v>
      </c>
      <c r="P3945">
        <v>24.975563165013501</v>
      </c>
      <c r="Q3945">
        <v>26.2630847223503</v>
      </c>
      <c r="R3945">
        <v>28.773829792359901</v>
      </c>
      <c r="S3945">
        <v>24.975563165013501</v>
      </c>
      <c r="T3945">
        <v>1419.22183708839</v>
      </c>
      <c r="U3945">
        <v>290.85788561525101</v>
      </c>
      <c r="V3945">
        <v>1</v>
      </c>
      <c r="W3945">
        <v>90</v>
      </c>
      <c r="X3945">
        <v>817.698440207972</v>
      </c>
      <c r="Y3945">
        <v>11</v>
      </c>
      <c r="Z3945">
        <v>175.46100519930701</v>
      </c>
      <c r="AA3945">
        <v>817.698440207972</v>
      </c>
      <c r="AB3945">
        <v>15.5417802040457</v>
      </c>
      <c r="AC3945">
        <v>1.0250790536959001E-2</v>
      </c>
      <c r="AD3945">
        <v>3.56084477426274</v>
      </c>
      <c r="AE3945">
        <v>0.61997781180013201</v>
      </c>
      <c r="AF3945">
        <v>324.59445407278997</v>
      </c>
      <c r="AG3945">
        <f>IFERROR(AH3945*0.1, "N/A")</f>
        <v>5.7284228769497405</v>
      </c>
      <c r="AH3945">
        <v>57.284228769497403</v>
      </c>
      <c r="AI3945">
        <v>119.373936063082</v>
      </c>
      <c r="AJ3945">
        <v>18.362218370883902</v>
      </c>
      <c r="AK3945">
        <v>60.2201039861352</v>
      </c>
    </row>
    <row r="3946" spans="1:37" x14ac:dyDescent="0.3">
      <c r="A3946">
        <v>3945</v>
      </c>
      <c r="B3946">
        <v>0</v>
      </c>
      <c r="C3946">
        <v>4.7119999999999997</v>
      </c>
      <c r="D3946">
        <v>10.417</v>
      </c>
      <c r="E3946" t="s">
        <v>6109</v>
      </c>
      <c r="F3946" t="s">
        <v>6110</v>
      </c>
      <c r="G3946" t="s">
        <v>39</v>
      </c>
      <c r="H3946">
        <v>1987</v>
      </c>
      <c r="I3946">
        <v>27.200000762939499</v>
      </c>
      <c r="J3946">
        <v>12.800000190734901</v>
      </c>
      <c r="K3946">
        <v>56</v>
      </c>
      <c r="L3946">
        <v>19.8716699235821</v>
      </c>
      <c r="M3946">
        <v>37.900001525878899</v>
      </c>
      <c r="N3946">
        <v>15.300000190734901</v>
      </c>
      <c r="O3946">
        <v>22.600000381469702</v>
      </c>
      <c r="P3946">
        <v>25.600000381469702</v>
      </c>
      <c r="Q3946">
        <v>26.200000762939499</v>
      </c>
      <c r="R3946">
        <v>30.200000762939499</v>
      </c>
      <c r="S3946">
        <v>25.600000381469702</v>
      </c>
      <c r="T3946">
        <v>1044.74354561102</v>
      </c>
      <c r="U3946">
        <v>233</v>
      </c>
      <c r="V3946">
        <v>0</v>
      </c>
      <c r="W3946">
        <v>101</v>
      </c>
      <c r="X3946">
        <v>652</v>
      </c>
      <c r="Y3946">
        <v>2</v>
      </c>
      <c r="Z3946">
        <v>161.37177280550799</v>
      </c>
      <c r="AA3946">
        <v>652</v>
      </c>
      <c r="AB3946">
        <v>0.239931405308735</v>
      </c>
      <c r="AC3946">
        <v>7.6997811806030798</v>
      </c>
      <c r="AD3946">
        <v>1.0402401240475201</v>
      </c>
      <c r="AE3946">
        <v>0.69039751832948903</v>
      </c>
      <c r="AF3946">
        <v>159.07745266781399</v>
      </c>
      <c r="AG3946">
        <f>IFERROR(AH3946*0.1, "N/A")</f>
        <v>6.3000000000000007</v>
      </c>
      <c r="AH3946">
        <v>63</v>
      </c>
      <c r="AI3946">
        <v>220.46323825816501</v>
      </c>
      <c r="AJ3946">
        <v>16.0722891566265</v>
      </c>
      <c r="AK3946">
        <v>68.855421686746993</v>
      </c>
    </row>
    <row r="3947" spans="1:37" x14ac:dyDescent="0.3">
      <c r="A3947">
        <v>3946</v>
      </c>
      <c r="B3947">
        <v>0</v>
      </c>
      <c r="C3947">
        <v>4.7119999999999997</v>
      </c>
      <c r="D3947">
        <v>10.417</v>
      </c>
      <c r="E3947" t="s">
        <v>6109</v>
      </c>
      <c r="F3947" t="s">
        <v>6111</v>
      </c>
      <c r="G3947" t="s">
        <v>37</v>
      </c>
      <c r="H3947">
        <v>1987</v>
      </c>
      <c r="I3947">
        <v>27.200000762939499</v>
      </c>
      <c r="J3947">
        <v>12.800000190734901</v>
      </c>
      <c r="K3947">
        <v>56</v>
      </c>
      <c r="L3947">
        <v>19.8716699235821</v>
      </c>
      <c r="M3947">
        <v>37.900001525878899</v>
      </c>
      <c r="N3947">
        <v>15.300000190734901</v>
      </c>
      <c r="O3947">
        <v>22.600000381469702</v>
      </c>
      <c r="P3947">
        <v>25.600000381469702</v>
      </c>
      <c r="Q3947">
        <v>26.200000762939499</v>
      </c>
      <c r="R3947">
        <v>30.200000762939499</v>
      </c>
      <c r="S3947">
        <v>25.600000381469702</v>
      </c>
      <c r="T3947">
        <v>1044.74354561102</v>
      </c>
      <c r="U3947">
        <v>233</v>
      </c>
      <c r="V3947">
        <v>0</v>
      </c>
      <c r="W3947">
        <v>101</v>
      </c>
      <c r="X3947">
        <v>652</v>
      </c>
      <c r="Y3947">
        <v>2</v>
      </c>
      <c r="Z3947">
        <v>161.37177280550799</v>
      </c>
      <c r="AA3947">
        <v>652</v>
      </c>
      <c r="AB3947">
        <v>0.239931405308735</v>
      </c>
      <c r="AC3947">
        <v>7.6997811806030798</v>
      </c>
      <c r="AD3947">
        <v>1.0402401240475201</v>
      </c>
      <c r="AE3947">
        <v>0.69039751832948903</v>
      </c>
      <c r="AF3947">
        <v>159.07745266781399</v>
      </c>
      <c r="AG3947">
        <f>IFERROR(AH3947*0.1, "N/A")</f>
        <v>6.3000000000000007</v>
      </c>
      <c r="AH3947">
        <v>63</v>
      </c>
      <c r="AI3947">
        <v>220.46323825816501</v>
      </c>
      <c r="AJ3947">
        <v>16.0722891566265</v>
      </c>
      <c r="AK3947">
        <v>68.855421686746993</v>
      </c>
    </row>
    <row r="3948" spans="1:37" x14ac:dyDescent="0.3">
      <c r="A3948">
        <v>3947</v>
      </c>
      <c r="B3948">
        <v>0</v>
      </c>
      <c r="C3948">
        <v>6.7140000000000004</v>
      </c>
      <c r="D3948">
        <v>8.1020000000000003</v>
      </c>
      <c r="E3948" t="s">
        <v>6112</v>
      </c>
      <c r="F3948" t="s">
        <v>6113</v>
      </c>
      <c r="G3948" t="s">
        <v>39</v>
      </c>
      <c r="H3948">
        <v>1987</v>
      </c>
      <c r="I3948">
        <v>27.5</v>
      </c>
      <c r="J3948">
        <v>10.800000190734901</v>
      </c>
      <c r="K3948">
        <v>64</v>
      </c>
      <c r="L3948">
        <v>13.550000190734901</v>
      </c>
      <c r="M3948">
        <v>36.099998474121101</v>
      </c>
      <c r="N3948">
        <v>19.399999618530298</v>
      </c>
      <c r="O3948">
        <v>16.700000762939499</v>
      </c>
      <c r="P3948">
        <v>26.200000762939499</v>
      </c>
      <c r="Q3948">
        <v>27.200000762939499</v>
      </c>
      <c r="R3948">
        <v>29.5</v>
      </c>
      <c r="S3948">
        <v>26.200000762939499</v>
      </c>
      <c r="T3948">
        <v>1172</v>
      </c>
      <c r="U3948">
        <v>226</v>
      </c>
      <c r="V3948">
        <v>2</v>
      </c>
      <c r="W3948">
        <v>82</v>
      </c>
      <c r="X3948">
        <v>591</v>
      </c>
      <c r="Y3948">
        <v>13</v>
      </c>
      <c r="Z3948">
        <v>128</v>
      </c>
      <c r="AA3948">
        <v>591</v>
      </c>
      <c r="AB3948">
        <v>2.8140147450061002</v>
      </c>
      <c r="AC3948">
        <v>29.2364579403135</v>
      </c>
      <c r="AD3948">
        <v>1.5956698241015199</v>
      </c>
      <c r="AE3948">
        <v>0.68966627120971702</v>
      </c>
      <c r="AF3948">
        <v>51.444636678200702</v>
      </c>
      <c r="AG3948">
        <f>IFERROR(AH3948*0.1, "N/A")</f>
        <v>5.9</v>
      </c>
      <c r="AH3948">
        <v>59</v>
      </c>
      <c r="AI3948">
        <v>62.581687570855699</v>
      </c>
      <c r="AJ3948">
        <v>12</v>
      </c>
      <c r="AK3948">
        <v>69</v>
      </c>
    </row>
    <row r="3949" spans="1:37" x14ac:dyDescent="0.3">
      <c r="A3949">
        <v>3948</v>
      </c>
      <c r="B3949">
        <v>0</v>
      </c>
      <c r="C3949">
        <v>4.8159999999999998</v>
      </c>
      <c r="D3949">
        <v>10.781000000000001</v>
      </c>
      <c r="E3949" t="s">
        <v>6114</v>
      </c>
      <c r="F3949" t="s">
        <v>6115</v>
      </c>
      <c r="G3949" t="s">
        <v>39</v>
      </c>
      <c r="H3949">
        <v>1987</v>
      </c>
      <c r="I3949">
        <v>26.899999618530298</v>
      </c>
      <c r="J3949">
        <v>13</v>
      </c>
      <c r="K3949">
        <v>55</v>
      </c>
      <c r="L3949">
        <v>20.9899997711182</v>
      </c>
      <c r="M3949">
        <v>37.799999237060497</v>
      </c>
      <c r="N3949">
        <v>14.300000190734901</v>
      </c>
      <c r="O3949">
        <v>23.5</v>
      </c>
      <c r="P3949">
        <v>25.399999618530298</v>
      </c>
      <c r="Q3949">
        <v>25.600000381469702</v>
      </c>
      <c r="R3949">
        <v>30.100000381469702</v>
      </c>
      <c r="S3949">
        <v>24.899999618530298</v>
      </c>
      <c r="T3949">
        <v>992</v>
      </c>
      <c r="U3949">
        <v>237</v>
      </c>
      <c r="V3949">
        <v>0</v>
      </c>
      <c r="W3949">
        <v>106</v>
      </c>
      <c r="X3949">
        <v>645</v>
      </c>
      <c r="Y3949">
        <v>1</v>
      </c>
      <c r="Z3949">
        <v>139</v>
      </c>
      <c r="AA3949">
        <v>2</v>
      </c>
      <c r="AB3949">
        <v>0.66666864900507505</v>
      </c>
      <c r="AC3949">
        <v>6.7003131624884302</v>
      </c>
      <c r="AD3949">
        <v>1.0943025945598199</v>
      </c>
      <c r="AE3949">
        <v>0.67771100997924805</v>
      </c>
      <c r="AF3949">
        <v>189.55213675213699</v>
      </c>
      <c r="AG3949">
        <f>IFERROR(AH3949*0.1, "N/A")</f>
        <v>6.2003418803418811</v>
      </c>
      <c r="AH3949">
        <v>62.003418803418803</v>
      </c>
      <c r="AI3949">
        <v>204.85737099280701</v>
      </c>
      <c r="AJ3949">
        <v>13.0068376068376</v>
      </c>
      <c r="AK3949">
        <v>70.996581196581204</v>
      </c>
    </row>
    <row r="3950" spans="1:37" x14ac:dyDescent="0.3">
      <c r="A3950">
        <v>3949</v>
      </c>
      <c r="B3950">
        <v>0</v>
      </c>
      <c r="C3950">
        <v>4.8159999999999998</v>
      </c>
      <c r="D3950">
        <v>10.781000000000001</v>
      </c>
      <c r="E3950" t="s">
        <v>6114</v>
      </c>
      <c r="F3950" t="s">
        <v>6116</v>
      </c>
      <c r="G3950" t="s">
        <v>37</v>
      </c>
      <c r="H3950">
        <v>1987</v>
      </c>
      <c r="I3950">
        <v>26.899999618530298</v>
      </c>
      <c r="J3950">
        <v>13</v>
      </c>
      <c r="K3950">
        <v>55</v>
      </c>
      <c r="L3950">
        <v>20.9899997711182</v>
      </c>
      <c r="M3950">
        <v>37.799999237060497</v>
      </c>
      <c r="N3950">
        <v>14.300000190734901</v>
      </c>
      <c r="O3950">
        <v>23.5</v>
      </c>
      <c r="P3950">
        <v>25.399999618530298</v>
      </c>
      <c r="Q3950">
        <v>25.600000381469702</v>
      </c>
      <c r="R3950">
        <v>30.100000381469702</v>
      </c>
      <c r="S3950">
        <v>24.899999618530298</v>
      </c>
      <c r="T3950">
        <v>992</v>
      </c>
      <c r="U3950">
        <v>237</v>
      </c>
      <c r="V3950">
        <v>0</v>
      </c>
      <c r="W3950">
        <v>106</v>
      </c>
      <c r="X3950">
        <v>645</v>
      </c>
      <c r="Y3950">
        <v>1</v>
      </c>
      <c r="Z3950">
        <v>139</v>
      </c>
      <c r="AA3950">
        <v>2</v>
      </c>
      <c r="AB3950">
        <v>0.66666864900507505</v>
      </c>
      <c r="AC3950">
        <v>6.7003131624884302</v>
      </c>
      <c r="AD3950">
        <v>1.0943025945598199</v>
      </c>
      <c r="AE3950">
        <v>0.67771100997924805</v>
      </c>
      <c r="AF3950">
        <v>189.55213675213699</v>
      </c>
      <c r="AG3950">
        <f>IFERROR(AH3950*0.1, "N/A")</f>
        <v>6.2003418803418811</v>
      </c>
      <c r="AH3950">
        <v>62.003418803418803</v>
      </c>
      <c r="AI3950">
        <v>204.85737099280701</v>
      </c>
      <c r="AJ3950">
        <v>13.0068376068376</v>
      </c>
      <c r="AK3950">
        <v>70.996581196581204</v>
      </c>
    </row>
    <row r="3951" spans="1:37" x14ac:dyDescent="0.3">
      <c r="A3951">
        <v>3950</v>
      </c>
      <c r="B3951">
        <v>32</v>
      </c>
      <c r="C3951">
        <v>8.8940000000000001</v>
      </c>
      <c r="D3951">
        <v>9.9260000000000002</v>
      </c>
      <c r="E3951" t="s">
        <v>6117</v>
      </c>
      <c r="F3951" t="s">
        <v>6118</v>
      </c>
      <c r="G3951" t="s">
        <v>39</v>
      </c>
      <c r="H3951">
        <v>1987</v>
      </c>
      <c r="I3951">
        <v>22.799999237060501</v>
      </c>
      <c r="J3951">
        <v>11.8999996185303</v>
      </c>
      <c r="K3951">
        <v>66</v>
      </c>
      <c r="L3951">
        <v>14.7799997329712</v>
      </c>
      <c r="M3951">
        <v>31.899999618530298</v>
      </c>
      <c r="N3951">
        <v>13.8999996185303</v>
      </c>
      <c r="O3951">
        <v>18</v>
      </c>
      <c r="P3951">
        <v>21.399999618530298</v>
      </c>
      <c r="Q3951">
        <v>21.799999237060501</v>
      </c>
      <c r="R3951">
        <v>25</v>
      </c>
      <c r="S3951">
        <v>21.399999618530298</v>
      </c>
      <c r="T3951">
        <v>1322</v>
      </c>
      <c r="U3951">
        <v>299</v>
      </c>
      <c r="V3951">
        <v>0</v>
      </c>
      <c r="W3951">
        <v>100</v>
      </c>
      <c r="X3951">
        <v>797</v>
      </c>
      <c r="Y3951">
        <v>3</v>
      </c>
      <c r="Z3951">
        <v>273</v>
      </c>
      <c r="AA3951">
        <v>797</v>
      </c>
      <c r="AB3951">
        <v>8.0043983066204891</v>
      </c>
      <c r="AC3951">
        <v>4.6063062214833E-2</v>
      </c>
      <c r="AD3951">
        <v>2.6832637479624801</v>
      </c>
      <c r="AE3951">
        <v>0.932312071323395</v>
      </c>
      <c r="AF3951">
        <v>1179.6666666666699</v>
      </c>
      <c r="AG3951">
        <f>IFERROR(AH3951*0.1, "N/A")</f>
        <v>6.6211340206185598</v>
      </c>
      <c r="AH3951">
        <v>66.211340206185596</v>
      </c>
      <c r="AI3951">
        <v>70.344893281812105</v>
      </c>
      <c r="AJ3951">
        <v>34</v>
      </c>
      <c r="AK3951">
        <v>41.788659793814404</v>
      </c>
    </row>
    <row r="3952" spans="1:37" x14ac:dyDescent="0.3">
      <c r="A3952">
        <v>3951</v>
      </c>
      <c r="B3952">
        <v>28</v>
      </c>
      <c r="C3952">
        <v>8.8940000000000001</v>
      </c>
      <c r="D3952">
        <v>9.9260000000000002</v>
      </c>
      <c r="E3952" t="s">
        <v>6117</v>
      </c>
      <c r="F3952" t="s">
        <v>6119</v>
      </c>
      <c r="G3952" t="s">
        <v>37</v>
      </c>
      <c r="H3952">
        <v>1987</v>
      </c>
      <c r="I3952">
        <v>22.799999237060501</v>
      </c>
      <c r="J3952">
        <v>11.8999996185303</v>
      </c>
      <c r="K3952">
        <v>66</v>
      </c>
      <c r="L3952">
        <v>14.7799997329712</v>
      </c>
      <c r="M3952">
        <v>31.899999618530298</v>
      </c>
      <c r="N3952">
        <v>13.8999996185303</v>
      </c>
      <c r="O3952">
        <v>18</v>
      </c>
      <c r="P3952">
        <v>21.399999618530298</v>
      </c>
      <c r="Q3952">
        <v>21.799999237060501</v>
      </c>
      <c r="R3952">
        <v>25</v>
      </c>
      <c r="S3952">
        <v>21.399999618530298</v>
      </c>
      <c r="T3952">
        <v>1322</v>
      </c>
      <c r="U3952">
        <v>299</v>
      </c>
      <c r="V3952">
        <v>0</v>
      </c>
      <c r="W3952">
        <v>100</v>
      </c>
      <c r="X3952">
        <v>797</v>
      </c>
      <c r="Y3952">
        <v>3</v>
      </c>
      <c r="Z3952">
        <v>273</v>
      </c>
      <c r="AA3952">
        <v>797</v>
      </c>
      <c r="AB3952">
        <v>8.0043983066204891</v>
      </c>
      <c r="AC3952">
        <v>4.6063062214833E-2</v>
      </c>
      <c r="AD3952">
        <v>2.6832637479624801</v>
      </c>
      <c r="AE3952">
        <v>0.932312071323395</v>
      </c>
      <c r="AF3952">
        <v>1179.6666666666699</v>
      </c>
      <c r="AG3952">
        <f>IFERROR(AH3952*0.1, "N/A")</f>
        <v>6.6211340206185598</v>
      </c>
      <c r="AH3952">
        <v>66.211340206185596</v>
      </c>
      <c r="AI3952">
        <v>70.344893281812105</v>
      </c>
      <c r="AJ3952">
        <v>34</v>
      </c>
      <c r="AK3952">
        <v>41.788659793814404</v>
      </c>
    </row>
    <row r="3953" spans="1:37" x14ac:dyDescent="0.3">
      <c r="A3953">
        <v>3952</v>
      </c>
      <c r="B3953">
        <v>32</v>
      </c>
      <c r="C3953">
        <v>9.4429999999999996</v>
      </c>
      <c r="D3953">
        <v>9.3170000000000002</v>
      </c>
      <c r="E3953" t="s">
        <v>6120</v>
      </c>
      <c r="F3953" t="s">
        <v>6121</v>
      </c>
      <c r="G3953" t="s">
        <v>39</v>
      </c>
      <c r="H3953">
        <v>1987</v>
      </c>
      <c r="I3953">
        <v>21.700000762939499</v>
      </c>
      <c r="J3953">
        <v>12</v>
      </c>
      <c r="K3953">
        <v>63</v>
      </c>
      <c r="L3953">
        <v>16.185336849232399</v>
      </c>
      <c r="M3953">
        <v>31</v>
      </c>
      <c r="N3953">
        <v>12.199999809265099</v>
      </c>
      <c r="O3953">
        <v>18.799999237060501</v>
      </c>
      <c r="P3953">
        <v>20.299999237060501</v>
      </c>
      <c r="Q3953">
        <v>20.600000381469702</v>
      </c>
      <c r="R3953">
        <v>24.200000762939499</v>
      </c>
      <c r="S3953">
        <v>20.299999237060501</v>
      </c>
      <c r="T3953">
        <v>1148</v>
      </c>
      <c r="U3953">
        <v>271</v>
      </c>
      <c r="V3953">
        <v>0</v>
      </c>
      <c r="W3953">
        <v>100</v>
      </c>
      <c r="X3953">
        <v>718</v>
      </c>
      <c r="Y3953">
        <v>3</v>
      </c>
      <c r="Z3953">
        <v>194</v>
      </c>
      <c r="AA3953">
        <v>718</v>
      </c>
      <c r="AB3953">
        <v>108.19479090768</v>
      </c>
      <c r="AC3953">
        <v>8.4810368362850004E-3</v>
      </c>
      <c r="AD3953">
        <v>14.5700104372489</v>
      </c>
      <c r="AE3953">
        <v>0.70261043310165405</v>
      </c>
      <c r="AF3953">
        <v>1339.3523316062201</v>
      </c>
      <c r="AG3953">
        <f>IFERROR(AH3953*0.1, "N/A")</f>
        <v>5.6000000000000005</v>
      </c>
      <c r="AH3953">
        <v>56</v>
      </c>
      <c r="AI3953">
        <v>114.76660035022999</v>
      </c>
      <c r="AJ3953">
        <v>31</v>
      </c>
      <c r="AK3953">
        <v>42</v>
      </c>
    </row>
    <row r="3954" spans="1:37" x14ac:dyDescent="0.3">
      <c r="A3954">
        <v>3953</v>
      </c>
      <c r="B3954">
        <v>15</v>
      </c>
      <c r="C3954">
        <v>9.4429999999999996</v>
      </c>
      <c r="D3954">
        <v>9.3170000000000002</v>
      </c>
      <c r="E3954" t="s">
        <v>6120</v>
      </c>
      <c r="F3954" t="s">
        <v>6122</v>
      </c>
      <c r="G3954" t="s">
        <v>37</v>
      </c>
      <c r="H3954">
        <v>1987</v>
      </c>
      <c r="I3954">
        <v>21.700000762939499</v>
      </c>
      <c r="J3954">
        <v>12</v>
      </c>
      <c r="K3954">
        <v>63</v>
      </c>
      <c r="L3954">
        <v>16.185336849232399</v>
      </c>
      <c r="M3954">
        <v>31</v>
      </c>
      <c r="N3954">
        <v>12.199999809265099</v>
      </c>
      <c r="O3954">
        <v>18.799999237060501</v>
      </c>
      <c r="P3954">
        <v>20.299999237060501</v>
      </c>
      <c r="Q3954">
        <v>20.600000381469702</v>
      </c>
      <c r="R3954">
        <v>24.200000762939499</v>
      </c>
      <c r="S3954">
        <v>20.299999237060501</v>
      </c>
      <c r="T3954">
        <v>1148</v>
      </c>
      <c r="U3954">
        <v>271</v>
      </c>
      <c r="V3954">
        <v>0</v>
      </c>
      <c r="W3954">
        <v>100</v>
      </c>
      <c r="X3954">
        <v>718</v>
      </c>
      <c r="Y3954">
        <v>3</v>
      </c>
      <c r="Z3954">
        <v>194</v>
      </c>
      <c r="AA3954">
        <v>718</v>
      </c>
      <c r="AB3954">
        <v>108.19479090768</v>
      </c>
      <c r="AC3954">
        <v>8.4810368362850004E-3</v>
      </c>
      <c r="AD3954">
        <v>14.5700104372489</v>
      </c>
      <c r="AE3954">
        <v>0.70261043310165405</v>
      </c>
      <c r="AF3954">
        <v>1339.3523316062201</v>
      </c>
      <c r="AG3954">
        <f>IFERROR(AH3954*0.1, "N/A")</f>
        <v>5.6000000000000005</v>
      </c>
      <c r="AH3954">
        <v>56</v>
      </c>
      <c r="AI3954">
        <v>114.76660035022999</v>
      </c>
      <c r="AJ3954">
        <v>31</v>
      </c>
      <c r="AK3954">
        <v>42</v>
      </c>
    </row>
    <row r="3955" spans="1:37" x14ac:dyDescent="0.3">
      <c r="A3955">
        <v>3954</v>
      </c>
      <c r="B3955">
        <v>1</v>
      </c>
      <c r="C3955">
        <v>9.2110000000000003</v>
      </c>
      <c r="D3955">
        <v>9.3979999999999997</v>
      </c>
      <c r="E3955" t="s">
        <v>6123</v>
      </c>
      <c r="F3955" t="s">
        <v>6124</v>
      </c>
      <c r="G3955" t="s">
        <v>39</v>
      </c>
      <c r="H3955">
        <v>1987</v>
      </c>
      <c r="I3955">
        <v>22.399999618530298</v>
      </c>
      <c r="J3955">
        <v>11.8999996185303</v>
      </c>
      <c r="K3955">
        <v>64</v>
      </c>
      <c r="L3955">
        <v>15.6400003433228</v>
      </c>
      <c r="M3955">
        <v>31.700000762939499</v>
      </c>
      <c r="N3955">
        <v>13.199999809265099</v>
      </c>
      <c r="O3955">
        <v>18.5</v>
      </c>
      <c r="P3955">
        <v>21</v>
      </c>
      <c r="Q3955">
        <v>21.5</v>
      </c>
      <c r="R3955">
        <v>24.799999237060501</v>
      </c>
      <c r="S3955">
        <v>21</v>
      </c>
      <c r="T3955">
        <v>1232</v>
      </c>
      <c r="U3955">
        <v>281</v>
      </c>
      <c r="V3955">
        <v>0</v>
      </c>
      <c r="W3955">
        <v>98</v>
      </c>
      <c r="X3955">
        <v>754</v>
      </c>
      <c r="Y3955">
        <v>4</v>
      </c>
      <c r="Z3955">
        <v>226</v>
      </c>
      <c r="AA3955">
        <v>754</v>
      </c>
      <c r="AB3955">
        <v>15.624518054579401</v>
      </c>
      <c r="AC3955">
        <v>1.5892994137333E-2</v>
      </c>
      <c r="AD3955">
        <v>6.7433380387646098</v>
      </c>
      <c r="AE3955">
        <v>0.73027992248535201</v>
      </c>
      <c r="AF3955">
        <v>1137.42733564014</v>
      </c>
      <c r="AG3955">
        <f>IFERROR(AH3955*0.1, "N/A")</f>
        <v>5.8986159169550199</v>
      </c>
      <c r="AH3955">
        <v>58.986159169550199</v>
      </c>
      <c r="AI3955">
        <v>237.755957537044</v>
      </c>
      <c r="AJ3955">
        <v>27.057093425605501</v>
      </c>
      <c r="AK3955">
        <v>48.814878892733603</v>
      </c>
    </row>
    <row r="3956" spans="1:37" x14ac:dyDescent="0.3">
      <c r="A3956">
        <v>3955</v>
      </c>
      <c r="B3956">
        <v>8</v>
      </c>
      <c r="C3956">
        <v>9.2110000000000003</v>
      </c>
      <c r="D3956">
        <v>9.3979999999999997</v>
      </c>
      <c r="E3956" t="s">
        <v>6123</v>
      </c>
      <c r="F3956" t="s">
        <v>6125</v>
      </c>
      <c r="G3956" t="s">
        <v>37</v>
      </c>
      <c r="H3956">
        <v>1987</v>
      </c>
      <c r="I3956">
        <v>22.399999618530298</v>
      </c>
      <c r="J3956">
        <v>11.8999996185303</v>
      </c>
      <c r="K3956">
        <v>64</v>
      </c>
      <c r="L3956">
        <v>15.6400003433228</v>
      </c>
      <c r="M3956">
        <v>31.700000762939499</v>
      </c>
      <c r="N3956">
        <v>13.199999809265099</v>
      </c>
      <c r="O3956">
        <v>18.5</v>
      </c>
      <c r="P3956">
        <v>21</v>
      </c>
      <c r="Q3956">
        <v>21.5</v>
      </c>
      <c r="R3956">
        <v>24.799999237060501</v>
      </c>
      <c r="S3956">
        <v>21</v>
      </c>
      <c r="T3956">
        <v>1232</v>
      </c>
      <c r="U3956">
        <v>281</v>
      </c>
      <c r="V3956">
        <v>0</v>
      </c>
      <c r="W3956">
        <v>98</v>
      </c>
      <c r="X3956">
        <v>754</v>
      </c>
      <c r="Y3956">
        <v>4</v>
      </c>
      <c r="Z3956">
        <v>226</v>
      </c>
      <c r="AA3956">
        <v>754</v>
      </c>
      <c r="AB3956">
        <v>15.624518054579401</v>
      </c>
      <c r="AC3956">
        <v>1.5892994137333E-2</v>
      </c>
      <c r="AD3956">
        <v>6.7433380387646098</v>
      </c>
      <c r="AE3956">
        <v>0.73027992248535201</v>
      </c>
      <c r="AF3956">
        <v>1137.42733564014</v>
      </c>
      <c r="AG3956">
        <f>IFERROR(AH3956*0.1, "N/A")</f>
        <v>5.8986159169550199</v>
      </c>
      <c r="AH3956">
        <v>58.986159169550199</v>
      </c>
      <c r="AI3956">
        <v>237.755957537044</v>
      </c>
      <c r="AJ3956">
        <v>27.057093425605501</v>
      </c>
      <c r="AK3956">
        <v>48.814878892733603</v>
      </c>
    </row>
    <row r="3957" spans="1:37" x14ac:dyDescent="0.3">
      <c r="A3957">
        <v>3956</v>
      </c>
      <c r="B3957">
        <v>22</v>
      </c>
      <c r="C3957">
        <v>8.5777000000000001</v>
      </c>
      <c r="D3957">
        <v>11.973699999999999</v>
      </c>
      <c r="E3957" t="s">
        <v>6126</v>
      </c>
      <c r="F3957" t="s">
        <v>6127</v>
      </c>
      <c r="G3957" t="s">
        <v>39</v>
      </c>
      <c r="H3957">
        <v>1987</v>
      </c>
      <c r="I3957">
        <v>26.100000381469702</v>
      </c>
      <c r="J3957">
        <v>14.199999809265099</v>
      </c>
      <c r="K3957">
        <v>56</v>
      </c>
      <c r="L3957">
        <v>28.049999237060501</v>
      </c>
      <c r="M3957">
        <v>38.200000762939503</v>
      </c>
      <c r="N3957">
        <v>12.8999996185303</v>
      </c>
      <c r="O3957">
        <v>25.299999237060501</v>
      </c>
      <c r="P3957">
        <v>25.799999237060501</v>
      </c>
      <c r="Q3957">
        <v>22.600000381469702</v>
      </c>
      <c r="R3957">
        <v>29.799999237060501</v>
      </c>
      <c r="S3957">
        <v>22.5</v>
      </c>
      <c r="T3957">
        <v>751</v>
      </c>
      <c r="U3957">
        <v>256</v>
      </c>
      <c r="V3957">
        <v>0</v>
      </c>
      <c r="W3957">
        <v>133</v>
      </c>
      <c r="X3957">
        <v>562</v>
      </c>
      <c r="Y3957">
        <v>0</v>
      </c>
      <c r="Z3957">
        <v>174</v>
      </c>
      <c r="AA3957">
        <v>0</v>
      </c>
      <c r="AB3957">
        <v>8.1637032555965199</v>
      </c>
      <c r="AC3957">
        <v>7.6344660073962997E-2</v>
      </c>
      <c r="AD3957">
        <v>1.24884281105646</v>
      </c>
      <c r="AE3957">
        <v>0.93223649263382002</v>
      </c>
      <c r="AF3957">
        <v>486.01703577512802</v>
      </c>
      <c r="AG3957">
        <f>IFERROR(AH3957*0.1, "N/A")</f>
        <v>6.5068143100511096</v>
      </c>
      <c r="AH3957">
        <v>65.068143100511094</v>
      </c>
      <c r="AI3957">
        <v>242.57911840695499</v>
      </c>
      <c r="AJ3957">
        <v>29.931856899488899</v>
      </c>
      <c r="AK3957">
        <v>46.136286201022202</v>
      </c>
    </row>
    <row r="3958" spans="1:37" x14ac:dyDescent="0.3">
      <c r="A3958">
        <v>3957</v>
      </c>
      <c r="B3958">
        <v>4</v>
      </c>
      <c r="C3958">
        <v>8.5777000000000001</v>
      </c>
      <c r="D3958">
        <v>11.973800000000001</v>
      </c>
      <c r="E3958" t="s">
        <v>6128</v>
      </c>
      <c r="F3958" t="s">
        <v>6129</v>
      </c>
      <c r="G3958" t="s">
        <v>37</v>
      </c>
      <c r="H3958">
        <v>1987</v>
      </c>
      <c r="I3958">
        <v>26.100000381469702</v>
      </c>
      <c r="J3958">
        <v>14.199999809265099</v>
      </c>
      <c r="K3958">
        <v>56</v>
      </c>
      <c r="L3958">
        <v>28.049999237060501</v>
      </c>
      <c r="M3958">
        <v>38.200000762939503</v>
      </c>
      <c r="N3958">
        <v>12.8999996185303</v>
      </c>
      <c r="O3958">
        <v>25.299999237060501</v>
      </c>
      <c r="P3958">
        <v>25.799999237060501</v>
      </c>
      <c r="Q3958">
        <v>22.600000381469702</v>
      </c>
      <c r="R3958">
        <v>29.799999237060501</v>
      </c>
      <c r="S3958">
        <v>22.5</v>
      </c>
      <c r="T3958">
        <v>751</v>
      </c>
      <c r="U3958">
        <v>256</v>
      </c>
      <c r="V3958">
        <v>0</v>
      </c>
      <c r="W3958">
        <v>133</v>
      </c>
      <c r="X3958">
        <v>562</v>
      </c>
      <c r="Y3958">
        <v>0</v>
      </c>
      <c r="Z3958">
        <v>174</v>
      </c>
      <c r="AA3958">
        <v>0</v>
      </c>
      <c r="AB3958">
        <v>8.0623188280079496</v>
      </c>
      <c r="AC3958">
        <v>7.5905992108882006E-2</v>
      </c>
      <c r="AD3958">
        <v>1.2284870125251299</v>
      </c>
      <c r="AE3958">
        <v>0.93223649263382002</v>
      </c>
      <c r="AF3958">
        <v>485.97945205479499</v>
      </c>
      <c r="AG3958">
        <f>IFERROR(AH3958*0.1, "N/A")</f>
        <v>6.5039383561643804</v>
      </c>
      <c r="AH3958">
        <v>65.039383561643803</v>
      </c>
      <c r="AI3958">
        <v>232.66880307785499</v>
      </c>
      <c r="AJ3958">
        <v>29.8510273972603</v>
      </c>
      <c r="AK3958">
        <v>46.2979452054795</v>
      </c>
    </row>
    <row r="3959" spans="1:37" x14ac:dyDescent="0.3">
      <c r="A3959">
        <v>3958</v>
      </c>
      <c r="B3959">
        <v>52</v>
      </c>
      <c r="C3959">
        <v>9.67</v>
      </c>
      <c r="D3959">
        <v>9.3650000000000002</v>
      </c>
      <c r="E3959" t="s">
        <v>6130</v>
      </c>
      <c r="F3959" t="s">
        <v>6131</v>
      </c>
      <c r="G3959" t="s">
        <v>39</v>
      </c>
      <c r="H3959">
        <v>1987</v>
      </c>
      <c r="I3959">
        <v>26.100000381469702</v>
      </c>
      <c r="J3959">
        <v>12.5</v>
      </c>
      <c r="K3959">
        <v>61</v>
      </c>
      <c r="L3959">
        <v>16.879999160766602</v>
      </c>
      <c r="M3959">
        <v>36</v>
      </c>
      <c r="N3959">
        <v>15.699999809265099</v>
      </c>
      <c r="O3959">
        <v>20.299999237060501</v>
      </c>
      <c r="P3959">
        <v>24.700000762939499</v>
      </c>
      <c r="Q3959">
        <v>25</v>
      </c>
      <c r="R3959">
        <v>28.700000762939499</v>
      </c>
      <c r="S3959">
        <v>24.700000762939499</v>
      </c>
      <c r="T3959">
        <v>1135</v>
      </c>
      <c r="U3959">
        <v>257</v>
      </c>
      <c r="V3959">
        <v>0</v>
      </c>
      <c r="W3959">
        <v>100</v>
      </c>
      <c r="X3959">
        <v>698</v>
      </c>
      <c r="Y3959">
        <v>2</v>
      </c>
      <c r="Z3959">
        <v>188</v>
      </c>
      <c r="AA3959">
        <v>3</v>
      </c>
      <c r="AB3959">
        <v>29.2697716484004</v>
      </c>
      <c r="AC3959">
        <v>1.5983570507038001E-2</v>
      </c>
      <c r="AD3959">
        <v>9.7937095041719804</v>
      </c>
      <c r="AE3959">
        <v>0.71407359838485696</v>
      </c>
      <c r="AF3959">
        <v>501.44559585492198</v>
      </c>
      <c r="AG3959">
        <f>IFERROR(AH3959*0.1, "N/A")</f>
        <v>6.6210708117443904</v>
      </c>
      <c r="AH3959">
        <v>66.2107081174439</v>
      </c>
      <c r="AI3959">
        <v>85.535803707564199</v>
      </c>
      <c r="AJ3959">
        <v>25.416234887737499</v>
      </c>
      <c r="AK3959">
        <v>49.003454231433501</v>
      </c>
    </row>
    <row r="3960" spans="1:37" x14ac:dyDescent="0.3">
      <c r="A3960">
        <v>3959</v>
      </c>
      <c r="B3960">
        <v>4</v>
      </c>
      <c r="C3960">
        <v>9.67</v>
      </c>
      <c r="D3960">
        <v>9.3650000000000002</v>
      </c>
      <c r="E3960" t="s">
        <v>6130</v>
      </c>
      <c r="F3960" t="s">
        <v>6132</v>
      </c>
      <c r="G3960" t="s">
        <v>37</v>
      </c>
      <c r="H3960">
        <v>1987</v>
      </c>
      <c r="I3960">
        <v>26.100000381469702</v>
      </c>
      <c r="J3960">
        <v>12.5</v>
      </c>
      <c r="K3960">
        <v>61</v>
      </c>
      <c r="L3960">
        <v>16.879999160766602</v>
      </c>
      <c r="M3960">
        <v>36</v>
      </c>
      <c r="N3960">
        <v>15.699999809265099</v>
      </c>
      <c r="O3960">
        <v>20.299999237060501</v>
      </c>
      <c r="P3960">
        <v>24.700000762939499</v>
      </c>
      <c r="Q3960">
        <v>25</v>
      </c>
      <c r="R3960">
        <v>28.700000762939499</v>
      </c>
      <c r="S3960">
        <v>24.700000762939499</v>
      </c>
      <c r="T3960">
        <v>1135</v>
      </c>
      <c r="U3960">
        <v>257</v>
      </c>
      <c r="V3960">
        <v>0</v>
      </c>
      <c r="W3960">
        <v>100</v>
      </c>
      <c r="X3960">
        <v>698</v>
      </c>
      <c r="Y3960">
        <v>2</v>
      </c>
      <c r="Z3960">
        <v>188</v>
      </c>
      <c r="AA3960">
        <v>3</v>
      </c>
      <c r="AB3960">
        <v>29.2697716484004</v>
      </c>
      <c r="AC3960">
        <v>1.5983570507038001E-2</v>
      </c>
      <c r="AD3960">
        <v>9.7937095041719804</v>
      </c>
      <c r="AE3960">
        <v>0.71407359838485696</v>
      </c>
      <c r="AF3960">
        <v>501.44559585492198</v>
      </c>
      <c r="AG3960">
        <f>IFERROR(AH3960*0.1, "N/A")</f>
        <v>6.6210708117443904</v>
      </c>
      <c r="AH3960">
        <v>66.2107081174439</v>
      </c>
      <c r="AI3960">
        <v>85.535803707564199</v>
      </c>
      <c r="AJ3960">
        <v>25.416234887737499</v>
      </c>
      <c r="AK3960">
        <v>49.003454231433501</v>
      </c>
    </row>
    <row r="3961" spans="1:37" x14ac:dyDescent="0.3">
      <c r="A3961">
        <v>3960</v>
      </c>
      <c r="B3961">
        <v>0</v>
      </c>
      <c r="C3961">
        <v>9.1470000000000002</v>
      </c>
      <c r="D3961">
        <v>9.218</v>
      </c>
      <c r="E3961" t="s">
        <v>6133</v>
      </c>
      <c r="F3961" t="s">
        <v>6134</v>
      </c>
      <c r="G3961" t="s">
        <v>39</v>
      </c>
      <c r="H3961">
        <v>1987</v>
      </c>
      <c r="I3961">
        <v>21</v>
      </c>
      <c r="J3961">
        <v>11.699999809265099</v>
      </c>
      <c r="K3961">
        <v>65</v>
      </c>
      <c r="L3961">
        <v>14.939999580383301</v>
      </c>
      <c r="M3961">
        <v>29.899999618530298</v>
      </c>
      <c r="N3961">
        <v>12.1000003814697</v>
      </c>
      <c r="O3961">
        <v>17.799999237060501</v>
      </c>
      <c r="P3961">
        <v>19.600000381469702</v>
      </c>
      <c r="Q3961">
        <v>20.200000762939499</v>
      </c>
      <c r="R3961">
        <v>23.299999237060501</v>
      </c>
      <c r="S3961">
        <v>19.600000381469702</v>
      </c>
      <c r="T3961">
        <v>1263</v>
      </c>
      <c r="U3961">
        <v>281</v>
      </c>
      <c r="V3961">
        <v>0</v>
      </c>
      <c r="W3961">
        <v>95</v>
      </c>
      <c r="X3961">
        <v>758</v>
      </c>
      <c r="Y3961">
        <v>6</v>
      </c>
      <c r="Z3961">
        <v>240</v>
      </c>
      <c r="AA3961">
        <v>758</v>
      </c>
      <c r="AB3961">
        <v>22.125943462259801</v>
      </c>
      <c r="AC3961">
        <v>4.3553631012818998E-2</v>
      </c>
      <c r="AD3961">
        <v>3.94065566301758</v>
      </c>
      <c r="AE3961">
        <v>0.71254020929336503</v>
      </c>
      <c r="AF3961">
        <v>1337.1813471502601</v>
      </c>
      <c r="AG3961">
        <f>IFERROR(AH3961*0.1, "N/A")</f>
        <v>5.7</v>
      </c>
      <c r="AH3961">
        <v>57</v>
      </c>
      <c r="AI3961">
        <v>308.85918393571598</v>
      </c>
      <c r="AJ3961">
        <v>26.316062176165801</v>
      </c>
      <c r="AK3961">
        <v>50.013816925733998</v>
      </c>
    </row>
    <row r="3962" spans="1:37" x14ac:dyDescent="0.3">
      <c r="A3962">
        <v>3961</v>
      </c>
      <c r="B3962">
        <v>0</v>
      </c>
      <c r="C3962">
        <v>9.1470000000000002</v>
      </c>
      <c r="D3962">
        <v>9.218</v>
      </c>
      <c r="E3962" t="s">
        <v>6133</v>
      </c>
      <c r="F3962" t="s">
        <v>6135</v>
      </c>
      <c r="G3962" t="s">
        <v>37</v>
      </c>
      <c r="H3962">
        <v>1987</v>
      </c>
      <c r="I3962">
        <v>21</v>
      </c>
      <c r="J3962">
        <v>11.699999809265099</v>
      </c>
      <c r="K3962">
        <v>65</v>
      </c>
      <c r="L3962">
        <v>14.939999580383301</v>
      </c>
      <c r="M3962">
        <v>29.899999618530298</v>
      </c>
      <c r="N3962">
        <v>12.1000003814697</v>
      </c>
      <c r="O3962">
        <v>17.799999237060501</v>
      </c>
      <c r="P3962">
        <v>19.600000381469702</v>
      </c>
      <c r="Q3962">
        <v>20.200000762939499</v>
      </c>
      <c r="R3962">
        <v>23.299999237060501</v>
      </c>
      <c r="S3962">
        <v>19.600000381469702</v>
      </c>
      <c r="T3962">
        <v>1263</v>
      </c>
      <c r="U3962">
        <v>281</v>
      </c>
      <c r="V3962">
        <v>0</v>
      </c>
      <c r="W3962">
        <v>95</v>
      </c>
      <c r="X3962">
        <v>758</v>
      </c>
      <c r="Y3962">
        <v>6</v>
      </c>
      <c r="Z3962">
        <v>240</v>
      </c>
      <c r="AA3962">
        <v>758</v>
      </c>
      <c r="AB3962">
        <v>22.125943462259801</v>
      </c>
      <c r="AC3962">
        <v>4.3553631012818998E-2</v>
      </c>
      <c r="AD3962">
        <v>3.94065566301758</v>
      </c>
      <c r="AE3962">
        <v>0.71254020929336503</v>
      </c>
      <c r="AF3962">
        <v>1337.1813471502601</v>
      </c>
      <c r="AG3962">
        <f>IFERROR(AH3962*0.1, "N/A")</f>
        <v>5.7</v>
      </c>
      <c r="AH3962">
        <v>57</v>
      </c>
      <c r="AI3962">
        <v>308.85918393571598</v>
      </c>
      <c r="AJ3962">
        <v>26.316062176165801</v>
      </c>
      <c r="AK3962">
        <v>50.013816925733998</v>
      </c>
    </row>
    <row r="3963" spans="1:37" x14ac:dyDescent="0.3">
      <c r="A3963">
        <v>3962</v>
      </c>
      <c r="B3963">
        <v>0</v>
      </c>
      <c r="C3963">
        <v>9.468</v>
      </c>
      <c r="D3963">
        <v>8.8940000000000001</v>
      </c>
      <c r="E3963" t="s">
        <v>6136</v>
      </c>
      <c r="F3963" t="s">
        <v>6137</v>
      </c>
      <c r="G3963" t="s">
        <v>39</v>
      </c>
      <c r="H3963">
        <v>1987</v>
      </c>
      <c r="I3963">
        <v>27.700000762939499</v>
      </c>
      <c r="J3963">
        <v>12</v>
      </c>
      <c r="K3963">
        <v>62</v>
      </c>
      <c r="L3963">
        <v>14.8900003433228</v>
      </c>
      <c r="M3963">
        <v>37.200000762939503</v>
      </c>
      <c r="N3963">
        <v>17.899999618530298</v>
      </c>
      <c r="O3963">
        <v>19.299999237060501</v>
      </c>
      <c r="P3963">
        <v>26.200000762939499</v>
      </c>
      <c r="Q3963">
        <v>26.899999618530298</v>
      </c>
      <c r="R3963">
        <v>29.899999618530298</v>
      </c>
      <c r="S3963">
        <v>26.200000762939499</v>
      </c>
      <c r="T3963">
        <v>1201</v>
      </c>
      <c r="U3963">
        <v>244</v>
      </c>
      <c r="V3963">
        <v>0</v>
      </c>
      <c r="W3963">
        <v>91</v>
      </c>
      <c r="X3963">
        <v>671</v>
      </c>
      <c r="Y3963">
        <v>3</v>
      </c>
      <c r="Z3963">
        <v>227</v>
      </c>
      <c r="AA3963">
        <v>671</v>
      </c>
      <c r="AB3963">
        <v>8.6784106635059093</v>
      </c>
      <c r="AC3963">
        <v>2.5881153050430001E-2</v>
      </c>
      <c r="AD3963">
        <v>1.5423937701396599</v>
      </c>
      <c r="AE3963">
        <v>0.70370153040465899</v>
      </c>
      <c r="AF3963">
        <v>229.76165803108799</v>
      </c>
      <c r="AG3963">
        <f>IFERROR(AH3963*0.1, "N/A")</f>
        <v>6</v>
      </c>
      <c r="AH3963">
        <v>60</v>
      </c>
      <c r="AI3963">
        <v>147.02734064026399</v>
      </c>
      <c r="AJ3963">
        <v>12.9481865284974</v>
      </c>
      <c r="AK3963">
        <v>67.077720207253904</v>
      </c>
    </row>
    <row r="3964" spans="1:37" x14ac:dyDescent="0.3">
      <c r="A3964">
        <v>3963</v>
      </c>
      <c r="B3964">
        <v>0</v>
      </c>
      <c r="C3964">
        <v>9.468</v>
      </c>
      <c r="D3964">
        <v>8.8940000000000001</v>
      </c>
      <c r="E3964" t="s">
        <v>6136</v>
      </c>
      <c r="F3964" t="s">
        <v>6138</v>
      </c>
      <c r="G3964" t="s">
        <v>37</v>
      </c>
      <c r="H3964">
        <v>1987</v>
      </c>
      <c r="I3964">
        <v>27.700000762939499</v>
      </c>
      <c r="J3964">
        <v>12</v>
      </c>
      <c r="K3964">
        <v>62</v>
      </c>
      <c r="L3964">
        <v>14.8900003433228</v>
      </c>
      <c r="M3964">
        <v>37.200000762939503</v>
      </c>
      <c r="N3964">
        <v>17.899999618530298</v>
      </c>
      <c r="O3964">
        <v>19.299999237060501</v>
      </c>
      <c r="P3964">
        <v>26.200000762939499</v>
      </c>
      <c r="Q3964">
        <v>26.899999618530298</v>
      </c>
      <c r="R3964">
        <v>29.899999618530298</v>
      </c>
      <c r="S3964">
        <v>26.200000762939499</v>
      </c>
      <c r="T3964">
        <v>1201</v>
      </c>
      <c r="U3964">
        <v>244</v>
      </c>
      <c r="V3964">
        <v>0</v>
      </c>
      <c r="W3964">
        <v>91</v>
      </c>
      <c r="X3964">
        <v>671</v>
      </c>
      <c r="Y3964">
        <v>3</v>
      </c>
      <c r="Z3964">
        <v>227</v>
      </c>
      <c r="AA3964">
        <v>671</v>
      </c>
      <c r="AB3964">
        <v>8.6784106635059093</v>
      </c>
      <c r="AC3964">
        <v>2.5881153050430001E-2</v>
      </c>
      <c r="AD3964">
        <v>1.5423937701396599</v>
      </c>
      <c r="AE3964">
        <v>0.70370153040465899</v>
      </c>
      <c r="AF3964">
        <v>229.76165803108799</v>
      </c>
      <c r="AG3964">
        <f>IFERROR(AH3964*0.1, "N/A")</f>
        <v>6</v>
      </c>
      <c r="AH3964">
        <v>60</v>
      </c>
      <c r="AI3964">
        <v>147.02734064026399</v>
      </c>
      <c r="AJ3964">
        <v>12.9481865284974</v>
      </c>
      <c r="AK3964">
        <v>67.077720207253904</v>
      </c>
    </row>
    <row r="3965" spans="1:37" x14ac:dyDescent="0.3">
      <c r="A3965">
        <v>3964</v>
      </c>
      <c r="B3965">
        <v>50</v>
      </c>
      <c r="C3965">
        <v>8.7810000000000006</v>
      </c>
      <c r="D3965">
        <v>9.7349999999999994</v>
      </c>
      <c r="E3965" t="s">
        <v>6139</v>
      </c>
      <c r="F3965" t="s">
        <v>6140</v>
      </c>
      <c r="G3965" t="s">
        <v>39</v>
      </c>
      <c r="H3965">
        <v>1987</v>
      </c>
      <c r="I3965">
        <v>22.299999237060501</v>
      </c>
      <c r="J3965">
        <v>11.699999809265099</v>
      </c>
      <c r="K3965">
        <v>66</v>
      </c>
      <c r="L3965">
        <v>14.550000190734901</v>
      </c>
      <c r="M3965">
        <v>31.200000762939499</v>
      </c>
      <c r="N3965">
        <v>13.5</v>
      </c>
      <c r="O3965">
        <v>17.700000762939499</v>
      </c>
      <c r="P3965">
        <v>20.899999618530298</v>
      </c>
      <c r="Q3965">
        <v>21.399999618530298</v>
      </c>
      <c r="R3965">
        <v>24.5</v>
      </c>
      <c r="S3965">
        <v>20.899999618530298</v>
      </c>
      <c r="T3965">
        <v>1382</v>
      </c>
      <c r="U3965">
        <v>292</v>
      </c>
      <c r="V3965">
        <v>0</v>
      </c>
      <c r="W3965">
        <v>95</v>
      </c>
      <c r="X3965">
        <v>800</v>
      </c>
      <c r="Y3965">
        <v>6</v>
      </c>
      <c r="Z3965">
        <v>313</v>
      </c>
      <c r="AA3965">
        <v>800</v>
      </c>
      <c r="AB3965">
        <v>21.218091617335201</v>
      </c>
      <c r="AC3965">
        <v>2.6295201020807998E-2</v>
      </c>
      <c r="AD3965">
        <v>4.0211440148632098</v>
      </c>
      <c r="AE3965">
        <v>0.76020371913909901</v>
      </c>
      <c r="AF3965">
        <v>1267.69759450172</v>
      </c>
      <c r="AG3965">
        <f>IFERROR(AH3965*0.1, "N/A")</f>
        <v>5.3489690721649508</v>
      </c>
      <c r="AH3965">
        <v>53.489690721649502</v>
      </c>
      <c r="AI3965">
        <v>291.07435248725602</v>
      </c>
      <c r="AJ3965">
        <v>30.214776632302399</v>
      </c>
      <c r="AK3965">
        <v>44.072164948453597</v>
      </c>
    </row>
    <row r="3966" spans="1:37" x14ac:dyDescent="0.3">
      <c r="A3966">
        <v>3965</v>
      </c>
      <c r="B3966">
        <v>0</v>
      </c>
      <c r="C3966">
        <v>8.7810000000000006</v>
      </c>
      <c r="D3966">
        <v>9.7349999999999994</v>
      </c>
      <c r="E3966" t="s">
        <v>6139</v>
      </c>
      <c r="F3966" t="s">
        <v>6141</v>
      </c>
      <c r="G3966" t="s">
        <v>37</v>
      </c>
      <c r="H3966">
        <v>1987</v>
      </c>
      <c r="I3966">
        <v>22.299999237060501</v>
      </c>
      <c r="J3966">
        <v>11.699999809265099</v>
      </c>
      <c r="K3966">
        <v>66</v>
      </c>
      <c r="L3966">
        <v>14.550000190734901</v>
      </c>
      <c r="M3966">
        <v>31.200000762939499</v>
      </c>
      <c r="N3966">
        <v>13.5</v>
      </c>
      <c r="O3966">
        <v>17.700000762939499</v>
      </c>
      <c r="P3966">
        <v>20.899999618530298</v>
      </c>
      <c r="Q3966">
        <v>21.399999618530298</v>
      </c>
      <c r="R3966">
        <v>24.5</v>
      </c>
      <c r="S3966">
        <v>20.899999618530298</v>
      </c>
      <c r="T3966">
        <v>1382</v>
      </c>
      <c r="U3966">
        <v>292</v>
      </c>
      <c r="V3966">
        <v>0</v>
      </c>
      <c r="W3966">
        <v>95</v>
      </c>
      <c r="X3966">
        <v>800</v>
      </c>
      <c r="Y3966">
        <v>6</v>
      </c>
      <c r="Z3966">
        <v>313</v>
      </c>
      <c r="AA3966">
        <v>800</v>
      </c>
      <c r="AB3966">
        <v>21.218091617335201</v>
      </c>
      <c r="AC3966">
        <v>2.6295201020807998E-2</v>
      </c>
      <c r="AD3966">
        <v>4.0211440148632098</v>
      </c>
      <c r="AE3966">
        <v>0.76020371913909901</v>
      </c>
      <c r="AF3966">
        <v>1267.69759450172</v>
      </c>
      <c r="AG3966">
        <f>IFERROR(AH3966*0.1, "N/A")</f>
        <v>5.3489690721649508</v>
      </c>
      <c r="AH3966">
        <v>53.489690721649502</v>
      </c>
      <c r="AI3966">
        <v>291.07435248725602</v>
      </c>
      <c r="AJ3966">
        <v>30.214776632302399</v>
      </c>
      <c r="AK3966">
        <v>44.072164948453597</v>
      </c>
    </row>
    <row r="3967" spans="1:37" x14ac:dyDescent="0.3">
      <c r="A3967">
        <v>3966</v>
      </c>
      <c r="B3967">
        <v>0</v>
      </c>
      <c r="C3967">
        <v>8.3840000000000003</v>
      </c>
      <c r="D3967">
        <v>9.6029999999999998</v>
      </c>
      <c r="E3967" t="s">
        <v>6142</v>
      </c>
      <c r="F3967" t="s">
        <v>6143</v>
      </c>
      <c r="G3967" t="s">
        <v>39</v>
      </c>
      <c r="H3967">
        <v>1987</v>
      </c>
      <c r="I3967">
        <v>24.100000381469702</v>
      </c>
      <c r="J3967">
        <v>11.800000190734901</v>
      </c>
      <c r="K3967">
        <v>63</v>
      </c>
      <c r="L3967">
        <v>15.7600002288818</v>
      </c>
      <c r="M3967">
        <v>33.299999237060497</v>
      </c>
      <c r="N3967">
        <v>14.800000190734901</v>
      </c>
      <c r="O3967">
        <v>18.5</v>
      </c>
      <c r="P3967">
        <v>22.600000381469702</v>
      </c>
      <c r="Q3967">
        <v>23.200000762939499</v>
      </c>
      <c r="R3967">
        <v>26.5</v>
      </c>
      <c r="S3967">
        <v>22.600000381469702</v>
      </c>
      <c r="T3967">
        <v>1515</v>
      </c>
      <c r="U3967">
        <v>340</v>
      </c>
      <c r="V3967">
        <v>0</v>
      </c>
      <c r="W3967">
        <v>94</v>
      </c>
      <c r="X3967">
        <v>907</v>
      </c>
      <c r="Y3967">
        <v>9</v>
      </c>
      <c r="Z3967">
        <v>276</v>
      </c>
      <c r="AA3967">
        <v>907</v>
      </c>
      <c r="AB3967">
        <v>8.2137561476374206</v>
      </c>
      <c r="AC3967">
        <v>1.0461874597941999E-2</v>
      </c>
      <c r="AD3967">
        <v>0.87739776985370299</v>
      </c>
      <c r="AE3967">
        <v>0.72164261341095004</v>
      </c>
      <c r="AF3967">
        <v>805.81927710843399</v>
      </c>
      <c r="AG3967">
        <f>IFERROR(AH3967*0.1, "N/A")</f>
        <v>5.7953528399311507</v>
      </c>
      <c r="AH3967">
        <v>57.953528399311502</v>
      </c>
      <c r="AI3967">
        <v>285.92479145096002</v>
      </c>
      <c r="AJ3967">
        <v>26</v>
      </c>
      <c r="AK3967">
        <v>48.476764199655797</v>
      </c>
    </row>
    <row r="3968" spans="1:37" x14ac:dyDescent="0.3">
      <c r="A3968">
        <v>3967</v>
      </c>
      <c r="B3968">
        <v>0</v>
      </c>
      <c r="C3968">
        <v>8.3840000000000003</v>
      </c>
      <c r="D3968">
        <v>9.6029999999999998</v>
      </c>
      <c r="E3968" t="s">
        <v>6142</v>
      </c>
      <c r="F3968" t="s">
        <v>6144</v>
      </c>
      <c r="G3968" t="s">
        <v>37</v>
      </c>
      <c r="H3968">
        <v>1987</v>
      </c>
      <c r="I3968">
        <v>24.100000381469702</v>
      </c>
      <c r="J3968">
        <v>11.800000190734901</v>
      </c>
      <c r="K3968">
        <v>63</v>
      </c>
      <c r="L3968">
        <v>15.7600002288818</v>
      </c>
      <c r="M3968">
        <v>33.299999237060497</v>
      </c>
      <c r="N3968">
        <v>14.800000190734901</v>
      </c>
      <c r="O3968">
        <v>18.5</v>
      </c>
      <c r="P3968">
        <v>22.600000381469702</v>
      </c>
      <c r="Q3968">
        <v>23.200000762939499</v>
      </c>
      <c r="R3968">
        <v>26.5</v>
      </c>
      <c r="S3968">
        <v>22.600000381469702</v>
      </c>
      <c r="T3968">
        <v>1515</v>
      </c>
      <c r="U3968">
        <v>340</v>
      </c>
      <c r="V3968">
        <v>0</v>
      </c>
      <c r="W3968">
        <v>94</v>
      </c>
      <c r="X3968">
        <v>907</v>
      </c>
      <c r="Y3968">
        <v>9</v>
      </c>
      <c r="Z3968">
        <v>276</v>
      </c>
      <c r="AA3968">
        <v>907</v>
      </c>
      <c r="AB3968">
        <v>8.2137561476374206</v>
      </c>
      <c r="AC3968">
        <v>1.0461874597941999E-2</v>
      </c>
      <c r="AD3968">
        <v>0.87739776985370299</v>
      </c>
      <c r="AE3968">
        <v>0.72164261341095004</v>
      </c>
      <c r="AF3968">
        <v>805.81927710843399</v>
      </c>
      <c r="AG3968">
        <f>IFERROR(AH3968*0.1, "N/A")</f>
        <v>5.7953528399311507</v>
      </c>
      <c r="AH3968">
        <v>57.953528399311502</v>
      </c>
      <c r="AI3968">
        <v>285.92479145096002</v>
      </c>
      <c r="AJ3968">
        <v>26</v>
      </c>
      <c r="AK3968">
        <v>48.476764199655797</v>
      </c>
    </row>
    <row r="3969" spans="1:37" x14ac:dyDescent="0.3">
      <c r="A3969">
        <v>3968</v>
      </c>
      <c r="B3969">
        <v>0</v>
      </c>
      <c r="C3969">
        <v>11.747</v>
      </c>
      <c r="D3969">
        <v>8.9849999999999994</v>
      </c>
      <c r="E3969" t="s">
        <v>6145</v>
      </c>
      <c r="F3969" t="s">
        <v>6146</v>
      </c>
      <c r="G3969" t="s">
        <v>37</v>
      </c>
      <c r="H3969">
        <v>1987</v>
      </c>
      <c r="I3969">
        <v>25.700000762939499</v>
      </c>
      <c r="J3969">
        <v>12.8999996185303</v>
      </c>
      <c r="K3969">
        <v>60</v>
      </c>
      <c r="L3969">
        <v>17.120000839233398</v>
      </c>
      <c r="M3969">
        <v>36.200000762939503</v>
      </c>
      <c r="N3969">
        <v>14.800000190734901</v>
      </c>
      <c r="O3969">
        <v>21.399999618530298</v>
      </c>
      <c r="P3969">
        <v>24.299999237060501</v>
      </c>
      <c r="Q3969">
        <v>24.600000381469702</v>
      </c>
      <c r="R3969">
        <v>28.299999237060501</v>
      </c>
      <c r="S3969">
        <v>24.200000762939499</v>
      </c>
      <c r="T3969">
        <v>1081</v>
      </c>
      <c r="U3969">
        <v>235</v>
      </c>
      <c r="V3969">
        <v>0</v>
      </c>
      <c r="W3969">
        <v>97</v>
      </c>
      <c r="X3969">
        <v>652</v>
      </c>
      <c r="Y3969">
        <v>1</v>
      </c>
      <c r="Z3969">
        <v>194</v>
      </c>
      <c r="AA3969">
        <v>4</v>
      </c>
      <c r="AB3969">
        <v>0.212092318888979</v>
      </c>
      <c r="AC3969">
        <v>2.59240345146012</v>
      </c>
      <c r="AD3969">
        <v>2.84814193479344</v>
      </c>
      <c r="AE3969">
        <v>0.72344583272934004</v>
      </c>
      <c r="AF3969">
        <v>510.70811744386901</v>
      </c>
      <c r="AG3969">
        <f>IFERROR(AH3969*0.1, "N/A")</f>
        <v>5.9556131260794505</v>
      </c>
      <c r="AH3969">
        <v>59.556131260794501</v>
      </c>
      <c r="AI3969">
        <v>137.249057756599</v>
      </c>
      <c r="AJ3969">
        <v>13.556131260794499</v>
      </c>
      <c r="AK3969">
        <v>69.443868739205499</v>
      </c>
    </row>
    <row r="3970" spans="1:37" x14ac:dyDescent="0.3">
      <c r="A3970">
        <v>3969</v>
      </c>
      <c r="B3970">
        <v>12</v>
      </c>
      <c r="C3970">
        <v>3.931</v>
      </c>
      <c r="D3970">
        <v>7.5990000000000002</v>
      </c>
      <c r="E3970" t="s">
        <v>6147</v>
      </c>
      <c r="F3970" t="s">
        <v>6148</v>
      </c>
      <c r="G3970" t="s">
        <v>39</v>
      </c>
      <c r="H3970">
        <v>1987</v>
      </c>
      <c r="I3970">
        <v>26.0972177621593</v>
      </c>
      <c r="J3970">
        <v>9.8000001907348597</v>
      </c>
      <c r="K3970">
        <v>70.972173913043505</v>
      </c>
      <c r="L3970">
        <v>12.6128003825312</v>
      </c>
      <c r="M3970">
        <v>33.799999237060497</v>
      </c>
      <c r="N3970">
        <v>19.997217380689499</v>
      </c>
      <c r="O3970">
        <v>13.802782783508301</v>
      </c>
      <c r="P3970">
        <v>25.3972169992198</v>
      </c>
      <c r="Q3970">
        <v>26.700000762939499</v>
      </c>
      <c r="R3970">
        <v>27.6027830007802</v>
      </c>
      <c r="S3970">
        <v>24.297216670824099</v>
      </c>
      <c r="T3970">
        <v>1253.9443478260901</v>
      </c>
      <c r="U3970">
        <v>189.02782608695699</v>
      </c>
      <c r="V3970">
        <v>6</v>
      </c>
      <c r="W3970">
        <v>63</v>
      </c>
      <c r="X3970">
        <v>478.97217391304298</v>
      </c>
      <c r="Y3970">
        <v>41</v>
      </c>
      <c r="Z3970">
        <v>243.972173913044</v>
      </c>
      <c r="AA3970">
        <v>451.972173913044</v>
      </c>
      <c r="AB3970">
        <v>10.954771834663701</v>
      </c>
      <c r="AC3970">
        <v>7.4131138143331998E-2</v>
      </c>
      <c r="AD3970">
        <v>2.75428625127544</v>
      </c>
      <c r="AE3970">
        <v>0.535816490650177</v>
      </c>
      <c r="AF3970">
        <v>272.26782608695697</v>
      </c>
      <c r="AG3970">
        <f>IFERROR(AH3970*0.1, "N/A")</f>
        <v>5.7688695652173898</v>
      </c>
      <c r="AH3970">
        <v>57.688695652173898</v>
      </c>
      <c r="AI3970">
        <v>232.847102528448</v>
      </c>
      <c r="AJ3970">
        <v>16.311304347826098</v>
      </c>
      <c r="AK3970">
        <v>68.878260869565196</v>
      </c>
    </row>
    <row r="3971" spans="1:37" x14ac:dyDescent="0.3">
      <c r="A3971">
        <v>3970</v>
      </c>
      <c r="B3971">
        <v>12</v>
      </c>
      <c r="C3971">
        <v>3.9308299999999998</v>
      </c>
      <c r="D3971">
        <v>7.6041699999999999</v>
      </c>
      <c r="E3971" t="s">
        <v>6149</v>
      </c>
      <c r="F3971" t="s">
        <v>6150</v>
      </c>
      <c r="G3971" t="s">
        <v>39</v>
      </c>
      <c r="H3971">
        <v>1987</v>
      </c>
      <c r="I3971">
        <v>26</v>
      </c>
      <c r="J3971">
        <v>9.8000001907348597</v>
      </c>
      <c r="K3971">
        <v>70</v>
      </c>
      <c r="L3971">
        <v>13.060000419616699</v>
      </c>
      <c r="M3971">
        <v>33.799999237060497</v>
      </c>
      <c r="N3971">
        <v>19.899999618530298</v>
      </c>
      <c r="O3971">
        <v>13.8999996185303</v>
      </c>
      <c r="P3971">
        <v>25.299999237060501</v>
      </c>
      <c r="Q3971">
        <v>26.700000762939499</v>
      </c>
      <c r="R3971">
        <v>27.700000762939499</v>
      </c>
      <c r="S3971">
        <v>24.200000762939499</v>
      </c>
      <c r="T3971">
        <v>1252</v>
      </c>
      <c r="U3971">
        <v>190</v>
      </c>
      <c r="V3971">
        <v>6</v>
      </c>
      <c r="W3971">
        <v>63</v>
      </c>
      <c r="X3971">
        <v>478</v>
      </c>
      <c r="Y3971">
        <v>41</v>
      </c>
      <c r="Z3971">
        <v>243</v>
      </c>
      <c r="AA3971">
        <v>451</v>
      </c>
      <c r="AB3971">
        <v>29.133210449218701</v>
      </c>
      <c r="AC3971">
        <v>8.5625985572519991E-3</v>
      </c>
      <c r="AD3971">
        <v>1.7455793836842399</v>
      </c>
      <c r="AE3971">
        <v>0.480700314044952</v>
      </c>
      <c r="AF3971">
        <v>293.80173913043501</v>
      </c>
      <c r="AG3971">
        <f>IFERROR(AH3971*0.1, "N/A")</f>
        <v>5.7</v>
      </c>
      <c r="AH3971">
        <v>57</v>
      </c>
      <c r="AI3971">
        <v>249.22369339652701</v>
      </c>
      <c r="AJ3971">
        <v>17.695652173913</v>
      </c>
      <c r="AK3971">
        <v>67.304347826086996</v>
      </c>
    </row>
    <row r="3972" spans="1:37" x14ac:dyDescent="0.3">
      <c r="A3972">
        <v>3971</v>
      </c>
      <c r="B3972">
        <v>44.799999</v>
      </c>
      <c r="C3972">
        <v>3.8672200000000001</v>
      </c>
      <c r="D3972">
        <v>7.2938900000000002</v>
      </c>
      <c r="E3972" t="s">
        <v>6151</v>
      </c>
      <c r="F3972" t="s">
        <v>6152</v>
      </c>
      <c r="G3972" t="s">
        <v>39</v>
      </c>
      <c r="H3972">
        <v>1987</v>
      </c>
      <c r="I3972">
        <v>26.899999618530298</v>
      </c>
      <c r="J3972">
        <v>9.1000003814697301</v>
      </c>
      <c r="K3972">
        <v>71</v>
      </c>
      <c r="L3972">
        <v>12.819999694824199</v>
      </c>
      <c r="M3972">
        <v>34.099998474121101</v>
      </c>
      <c r="N3972">
        <v>21.399999618530298</v>
      </c>
      <c r="O3972">
        <v>12.699999809265099</v>
      </c>
      <c r="P3972">
        <v>26.100000381469702</v>
      </c>
      <c r="Q3972">
        <v>27.600000381469702</v>
      </c>
      <c r="R3972">
        <v>28.5</v>
      </c>
      <c r="S3972">
        <v>25.100000381469702</v>
      </c>
      <c r="T3972">
        <v>1330</v>
      </c>
      <c r="U3972">
        <v>199</v>
      </c>
      <c r="V3972">
        <v>8</v>
      </c>
      <c r="W3972">
        <v>63</v>
      </c>
      <c r="X3972">
        <v>542</v>
      </c>
      <c r="Y3972">
        <v>44</v>
      </c>
      <c r="Z3972">
        <v>250</v>
      </c>
      <c r="AA3972">
        <v>479</v>
      </c>
      <c r="AB3972">
        <v>15.618083151112399</v>
      </c>
      <c r="AC3972">
        <v>1.6473407751839999E-2</v>
      </c>
      <c r="AD3972">
        <v>2.667192622475</v>
      </c>
      <c r="AE3972">
        <v>0.83338129520416304</v>
      </c>
      <c r="AF3972">
        <v>140.554782608696</v>
      </c>
      <c r="AG3972">
        <f>IFERROR(AH3972*0.1, "N/A")</f>
        <v>6</v>
      </c>
      <c r="AH3972">
        <v>60</v>
      </c>
      <c r="AI3972">
        <v>241.69655154020899</v>
      </c>
      <c r="AJ3972">
        <v>17</v>
      </c>
      <c r="AK3972">
        <v>68</v>
      </c>
    </row>
    <row r="3973" spans="1:37" x14ac:dyDescent="0.3">
      <c r="A3973">
        <v>3972</v>
      </c>
      <c r="B3973">
        <v>0</v>
      </c>
      <c r="C3973">
        <v>3.8672200000000001</v>
      </c>
      <c r="D3973">
        <v>7.2938900000000002</v>
      </c>
      <c r="E3973" t="s">
        <v>6151</v>
      </c>
      <c r="F3973" t="s">
        <v>6153</v>
      </c>
      <c r="G3973" t="s">
        <v>37</v>
      </c>
      <c r="H3973">
        <v>1987</v>
      </c>
      <c r="I3973">
        <v>26.899999618530298</v>
      </c>
      <c r="J3973">
        <v>9.1000003814697301</v>
      </c>
      <c r="K3973">
        <v>71</v>
      </c>
      <c r="L3973">
        <v>12.819999694824199</v>
      </c>
      <c r="M3973">
        <v>34.099998474121101</v>
      </c>
      <c r="N3973">
        <v>21.399999618530298</v>
      </c>
      <c r="O3973">
        <v>12.699999809265099</v>
      </c>
      <c r="P3973">
        <v>26.100000381469702</v>
      </c>
      <c r="Q3973">
        <v>27.600000381469702</v>
      </c>
      <c r="R3973">
        <v>28.5</v>
      </c>
      <c r="S3973">
        <v>25.100000381469702</v>
      </c>
      <c r="T3973">
        <v>1330</v>
      </c>
      <c r="U3973">
        <v>199</v>
      </c>
      <c r="V3973">
        <v>8</v>
      </c>
      <c r="W3973">
        <v>63</v>
      </c>
      <c r="X3973">
        <v>542</v>
      </c>
      <c r="Y3973">
        <v>44</v>
      </c>
      <c r="Z3973">
        <v>250</v>
      </c>
      <c r="AA3973">
        <v>479</v>
      </c>
      <c r="AB3973">
        <v>15.618083151112399</v>
      </c>
      <c r="AC3973">
        <v>1.6473407751839999E-2</v>
      </c>
      <c r="AD3973">
        <v>2.667192622475</v>
      </c>
      <c r="AE3973">
        <v>0.83338129520416304</v>
      </c>
      <c r="AF3973">
        <v>140.554782608696</v>
      </c>
      <c r="AG3973">
        <f>IFERROR(AH3973*0.1, "N/A")</f>
        <v>6</v>
      </c>
      <c r="AH3973">
        <v>60</v>
      </c>
      <c r="AI3973">
        <v>241.69655154020899</v>
      </c>
      <c r="AJ3973">
        <v>17</v>
      </c>
      <c r="AK3973">
        <v>68</v>
      </c>
    </row>
    <row r="3974" spans="1:37" x14ac:dyDescent="0.3">
      <c r="A3974">
        <v>3973</v>
      </c>
      <c r="B3974">
        <v>25</v>
      </c>
      <c r="C3974">
        <v>3.9166699999999999</v>
      </c>
      <c r="D3974">
        <v>7.6166700000000001</v>
      </c>
      <c r="E3974" t="s">
        <v>6154</v>
      </c>
      <c r="F3974" t="s">
        <v>6155</v>
      </c>
      <c r="G3974" t="s">
        <v>39</v>
      </c>
      <c r="H3974">
        <v>1987</v>
      </c>
      <c r="I3974">
        <v>26.100000381469702</v>
      </c>
      <c r="J3974">
        <v>9.8000001907348597</v>
      </c>
      <c r="K3974">
        <v>70.3044982698962</v>
      </c>
      <c r="L3974">
        <v>12.827716302706699</v>
      </c>
      <c r="M3974">
        <v>33.886851776017501</v>
      </c>
      <c r="N3974">
        <v>19.947750665737299</v>
      </c>
      <c r="O3974">
        <v>13.9391004040992</v>
      </c>
      <c r="P3974">
        <v>25.399999618530298</v>
      </c>
      <c r="Q3974">
        <v>26.700000762939499</v>
      </c>
      <c r="R3974">
        <v>27.6650522027461</v>
      </c>
      <c r="S3974">
        <v>24.217301537008801</v>
      </c>
      <c r="T3974">
        <v>1245.13494809689</v>
      </c>
      <c r="U3974">
        <v>189</v>
      </c>
      <c r="V3974">
        <v>6</v>
      </c>
      <c r="W3974">
        <v>63</v>
      </c>
      <c r="X3974">
        <v>475.43598615916898</v>
      </c>
      <c r="Y3974">
        <v>40.653979238754303</v>
      </c>
      <c r="Z3974">
        <v>242.43598615917</v>
      </c>
      <c r="AA3974">
        <v>447.21799307958503</v>
      </c>
      <c r="AB3974">
        <v>9.0363436900208196</v>
      </c>
      <c r="AC3974">
        <v>1.2901492247674E-2</v>
      </c>
      <c r="AD3974">
        <v>3.5355086844272701</v>
      </c>
      <c r="AE3974">
        <v>0.62243771553039595</v>
      </c>
      <c r="AF3974">
        <v>280.18685121107302</v>
      </c>
      <c r="AG3974">
        <f>IFERROR(AH3974*0.1, "N/A")</f>
        <v>6</v>
      </c>
      <c r="AH3974">
        <v>60</v>
      </c>
      <c r="AI3974">
        <v>35.582991091850303</v>
      </c>
      <c r="AJ3974">
        <v>14.053633217993101</v>
      </c>
      <c r="AK3974">
        <v>71.008650519031093</v>
      </c>
    </row>
    <row r="3975" spans="1:37" x14ac:dyDescent="0.3">
      <c r="A3975">
        <v>3974</v>
      </c>
      <c r="B3975">
        <v>9</v>
      </c>
      <c r="C3975">
        <v>4.3150000000000004</v>
      </c>
      <c r="D3975">
        <v>8.5169999999999995</v>
      </c>
      <c r="E3975" t="s">
        <v>6156</v>
      </c>
      <c r="F3975" t="s">
        <v>6157</v>
      </c>
      <c r="G3975" t="s">
        <v>39</v>
      </c>
      <c r="H3975">
        <v>1987</v>
      </c>
      <c r="I3975">
        <v>26.3150260114917</v>
      </c>
      <c r="J3975">
        <v>11.300000190734901</v>
      </c>
      <c r="K3975">
        <v>66</v>
      </c>
      <c r="L3975">
        <v>13.565492368115001</v>
      </c>
      <c r="M3975">
        <v>35.257512838729298</v>
      </c>
      <c r="N3975">
        <v>18.1575135542321</v>
      </c>
      <c r="O3975">
        <v>17.100000381469702</v>
      </c>
      <c r="P3975">
        <v>24.915025582585301</v>
      </c>
      <c r="Q3975">
        <v>26.6150263455248</v>
      </c>
      <c r="R3975">
        <v>28.215025630022001</v>
      </c>
      <c r="S3975">
        <v>24.6150263455248</v>
      </c>
      <c r="T3975">
        <v>1200.9740932642501</v>
      </c>
      <c r="U3975">
        <v>227.42487046632101</v>
      </c>
      <c r="V3975">
        <v>9</v>
      </c>
      <c r="W3975">
        <v>71.575129533678705</v>
      </c>
      <c r="X3975">
        <v>504.274611398964</v>
      </c>
      <c r="Y3975">
        <v>33</v>
      </c>
      <c r="Z3975">
        <v>173.84974093264299</v>
      </c>
      <c r="AA3975">
        <v>501.84974093264299</v>
      </c>
      <c r="AB3975">
        <v>3.34750055237344</v>
      </c>
      <c r="AC3975">
        <v>0.38178896905761101</v>
      </c>
      <c r="AD3975">
        <v>2.4006284934457298</v>
      </c>
      <c r="AE3975">
        <v>0.25696286757272402</v>
      </c>
      <c r="AF3975">
        <v>330.75129533678802</v>
      </c>
      <c r="AG3975">
        <f>IFERROR(AH3975*0.1, "N/A")</f>
        <v>5.9</v>
      </c>
      <c r="AH3975">
        <v>59</v>
      </c>
      <c r="AI3975">
        <v>230.02680118014001</v>
      </c>
      <c r="AJ3975">
        <v>13.668393782383401</v>
      </c>
      <c r="AK3975">
        <v>68.512953367875696</v>
      </c>
    </row>
    <row r="3976" spans="1:37" x14ac:dyDescent="0.3">
      <c r="A3976">
        <v>3975</v>
      </c>
      <c r="B3976">
        <v>23.200001</v>
      </c>
      <c r="C3976">
        <v>3.7536100000000001</v>
      </c>
      <c r="D3976">
        <v>7.3938899999999999</v>
      </c>
      <c r="E3976" t="s">
        <v>6158</v>
      </c>
      <c r="F3976" t="s">
        <v>6159</v>
      </c>
      <c r="G3976" t="s">
        <v>39</v>
      </c>
      <c r="H3976">
        <v>1987</v>
      </c>
      <c r="I3976">
        <v>26.799999237060501</v>
      </c>
      <c r="J3976">
        <v>9.3000001907348597</v>
      </c>
      <c r="K3976">
        <v>70</v>
      </c>
      <c r="L3976">
        <v>12.800000190734901</v>
      </c>
      <c r="M3976">
        <v>34.299999237060497</v>
      </c>
      <c r="N3976">
        <v>21.200000762939499</v>
      </c>
      <c r="O3976">
        <v>13.1000003814697</v>
      </c>
      <c r="P3976">
        <v>26.100000381469702</v>
      </c>
      <c r="Q3976">
        <v>27.600000381469702</v>
      </c>
      <c r="R3976">
        <v>28.5</v>
      </c>
      <c r="S3976">
        <v>25.100000381469702</v>
      </c>
      <c r="T3976">
        <v>1267</v>
      </c>
      <c r="U3976">
        <v>188</v>
      </c>
      <c r="V3976">
        <v>7</v>
      </c>
      <c r="W3976">
        <v>63</v>
      </c>
      <c r="X3976">
        <v>510</v>
      </c>
      <c r="Y3976">
        <v>41</v>
      </c>
      <c r="Z3976">
        <v>248</v>
      </c>
      <c r="AA3976">
        <v>448</v>
      </c>
      <c r="AB3976">
        <v>14.724999639723</v>
      </c>
      <c r="AC3976">
        <v>2.0930568469338998E-2</v>
      </c>
      <c r="AD3976">
        <v>1.9305747234159001</v>
      </c>
      <c r="AE3976">
        <v>0.88652801513671897</v>
      </c>
      <c r="AF3976">
        <v>163.671875</v>
      </c>
      <c r="AG3976">
        <f>IFERROR(AH3976*0.1, "N/A")</f>
        <v>6.0991319444444407</v>
      </c>
      <c r="AH3976">
        <v>60.9913194444444</v>
      </c>
      <c r="AI3976">
        <v>315.42124546898702</v>
      </c>
      <c r="AJ3976">
        <v>18.2760416666667</v>
      </c>
      <c r="AK3976">
        <v>63.546875</v>
      </c>
    </row>
    <row r="3977" spans="1:37" x14ac:dyDescent="0.3">
      <c r="A3977">
        <v>3976</v>
      </c>
      <c r="B3977">
        <v>36.700001</v>
      </c>
      <c r="C3977">
        <v>3.3319999999999999</v>
      </c>
      <c r="D3977">
        <v>7.335</v>
      </c>
      <c r="E3977" t="s">
        <v>6160</v>
      </c>
      <c r="F3977" t="s">
        <v>6161</v>
      </c>
      <c r="G3977" t="s">
        <v>39</v>
      </c>
      <c r="H3977">
        <v>1987</v>
      </c>
      <c r="I3977">
        <v>27.5</v>
      </c>
      <c r="J3977">
        <v>9.5</v>
      </c>
      <c r="K3977">
        <v>73</v>
      </c>
      <c r="L3977">
        <v>12.430000305175801</v>
      </c>
      <c r="M3977">
        <v>34.799999237060497</v>
      </c>
      <c r="N3977">
        <v>21.899999618530298</v>
      </c>
      <c r="O3977">
        <v>12.8999996185303</v>
      </c>
      <c r="P3977">
        <v>26.799999237060501</v>
      </c>
      <c r="Q3977">
        <v>28.200000762939499</v>
      </c>
      <c r="R3977">
        <v>29</v>
      </c>
      <c r="S3977">
        <v>25.700000762939499</v>
      </c>
      <c r="T3977">
        <v>1183</v>
      </c>
      <c r="U3977">
        <v>180</v>
      </c>
      <c r="V3977">
        <v>10</v>
      </c>
      <c r="W3977">
        <v>61</v>
      </c>
      <c r="X3977">
        <v>487</v>
      </c>
      <c r="Y3977">
        <v>48</v>
      </c>
      <c r="Z3977">
        <v>257</v>
      </c>
      <c r="AA3977">
        <v>391</v>
      </c>
      <c r="AB3977">
        <v>6.0330414471926401</v>
      </c>
      <c r="AC3977">
        <v>4.7955596958046103</v>
      </c>
      <c r="AD3977">
        <v>1.8954353953574901</v>
      </c>
      <c r="AE3977">
        <v>0.39787957072258001</v>
      </c>
      <c r="AF3977">
        <v>58.237762237762198</v>
      </c>
      <c r="AG3977">
        <f>IFERROR(AH3977*0.1, "N/A")</f>
        <v>6.1000000000000005</v>
      </c>
      <c r="AH3977">
        <v>61</v>
      </c>
      <c r="AI3977">
        <v>221.866899450342</v>
      </c>
      <c r="AJ3977">
        <v>15.7255244755245</v>
      </c>
      <c r="AK3977">
        <v>65</v>
      </c>
    </row>
    <row r="3978" spans="1:37" x14ac:dyDescent="0.3">
      <c r="A3978">
        <v>3977</v>
      </c>
      <c r="B3978">
        <v>47.799999</v>
      </c>
      <c r="C3978">
        <v>3.73333</v>
      </c>
      <c r="D3978">
        <v>7.3833299999999999</v>
      </c>
      <c r="E3978" t="s">
        <v>6162</v>
      </c>
      <c r="F3978" t="s">
        <v>6163</v>
      </c>
      <c r="G3978" t="s">
        <v>39</v>
      </c>
      <c r="H3978">
        <v>1987</v>
      </c>
      <c r="I3978">
        <v>26.7555554707845</v>
      </c>
      <c r="J3978">
        <v>9.3000001907348597</v>
      </c>
      <c r="K3978">
        <v>70.84375</v>
      </c>
      <c r="L3978">
        <v>12.790329999393901</v>
      </c>
      <c r="M3978">
        <v>34.136979195806703</v>
      </c>
      <c r="N3978">
        <v>21.121354179249899</v>
      </c>
      <c r="O3978">
        <v>13.0156250596046</v>
      </c>
      <c r="P3978">
        <v>25.979166587193799</v>
      </c>
      <c r="Q3978">
        <v>27.479166587193799</v>
      </c>
      <c r="R3978">
        <v>28.355555004543699</v>
      </c>
      <c r="S3978">
        <v>24.955555386013501</v>
      </c>
      <c r="T3978">
        <v>1269.83506944444</v>
      </c>
      <c r="U3978">
        <v>188.421875</v>
      </c>
      <c r="V3978">
        <v>7.5555555555555598</v>
      </c>
      <c r="W3978">
        <v>62.2586805555555</v>
      </c>
      <c r="X3978">
        <v>511.265625</v>
      </c>
      <c r="Y3978">
        <v>42.5555555555556</v>
      </c>
      <c r="Z3978">
        <v>250.555555555556</v>
      </c>
      <c r="AA3978">
        <v>445.199652777778</v>
      </c>
      <c r="AB3978">
        <v>10.401908901002701</v>
      </c>
      <c r="AC3978">
        <v>0.110672398370096</v>
      </c>
      <c r="AD3978">
        <v>3.7262656792170499</v>
      </c>
      <c r="AE3978">
        <v>0.76687145233154297</v>
      </c>
      <c r="AF3978">
        <v>161.998263888889</v>
      </c>
      <c r="AG3978">
        <f>IFERROR(AH3978*0.1, "N/A")</f>
        <v>5.8894097222222204</v>
      </c>
      <c r="AH3978">
        <v>58.8940972222222</v>
      </c>
      <c r="AI3978">
        <v>297.77963129679398</v>
      </c>
      <c r="AJ3978">
        <v>16.0052083333333</v>
      </c>
      <c r="AK3978">
        <v>67.4444444444444</v>
      </c>
    </row>
    <row r="3979" spans="1:37" x14ac:dyDescent="0.3">
      <c r="A3979">
        <v>3978</v>
      </c>
      <c r="B3979">
        <v>0</v>
      </c>
      <c r="C3979">
        <v>3.73333</v>
      </c>
      <c r="D3979">
        <v>7.3833299999999999</v>
      </c>
      <c r="E3979" t="s">
        <v>6162</v>
      </c>
      <c r="F3979" t="s">
        <v>6164</v>
      </c>
      <c r="G3979" t="s">
        <v>37</v>
      </c>
      <c r="H3979">
        <v>1987</v>
      </c>
      <c r="I3979">
        <v>26.7555554707845</v>
      </c>
      <c r="J3979">
        <v>9.3000001907348597</v>
      </c>
      <c r="K3979">
        <v>70.84375</v>
      </c>
      <c r="L3979">
        <v>12.790329999393901</v>
      </c>
      <c r="M3979">
        <v>34.136979195806703</v>
      </c>
      <c r="N3979">
        <v>21.121354179249899</v>
      </c>
      <c r="O3979">
        <v>13.0156250596046</v>
      </c>
      <c r="P3979">
        <v>25.979166587193799</v>
      </c>
      <c r="Q3979">
        <v>27.479166587193799</v>
      </c>
      <c r="R3979">
        <v>28.355555004543699</v>
      </c>
      <c r="S3979">
        <v>24.955555386013501</v>
      </c>
      <c r="T3979">
        <v>1269.83506944444</v>
      </c>
      <c r="U3979">
        <v>188.421875</v>
      </c>
      <c r="V3979">
        <v>7.5555555555555598</v>
      </c>
      <c r="W3979">
        <v>62.2586805555555</v>
      </c>
      <c r="X3979">
        <v>511.265625</v>
      </c>
      <c r="Y3979">
        <v>42.5555555555556</v>
      </c>
      <c r="Z3979">
        <v>250.555555555556</v>
      </c>
      <c r="AA3979">
        <v>445.199652777778</v>
      </c>
      <c r="AB3979">
        <v>10.401908901002701</v>
      </c>
      <c r="AC3979">
        <v>0.110672398370096</v>
      </c>
      <c r="AD3979">
        <v>3.7262656792170499</v>
      </c>
      <c r="AE3979">
        <v>0.76687145233154297</v>
      </c>
      <c r="AF3979">
        <v>161.998263888889</v>
      </c>
      <c r="AG3979">
        <f>IFERROR(AH3979*0.1, "N/A")</f>
        <v>5.8894097222222204</v>
      </c>
      <c r="AH3979">
        <v>58.8940972222222</v>
      </c>
      <c r="AI3979">
        <v>297.77963129679398</v>
      </c>
      <c r="AJ3979">
        <v>16.0052083333333</v>
      </c>
      <c r="AK3979">
        <v>67.4444444444444</v>
      </c>
    </row>
    <row r="3980" spans="1:37" x14ac:dyDescent="0.3">
      <c r="A3980">
        <v>3979</v>
      </c>
      <c r="B3980">
        <v>6.5</v>
      </c>
      <c r="C3980">
        <v>3.63</v>
      </c>
      <c r="D3980">
        <v>7.2</v>
      </c>
      <c r="E3980" t="s">
        <v>6165</v>
      </c>
      <c r="F3980" t="s">
        <v>6166</v>
      </c>
      <c r="G3980" t="s">
        <v>39</v>
      </c>
      <c r="H3980">
        <v>1987</v>
      </c>
      <c r="I3980">
        <v>26.799999237060501</v>
      </c>
      <c r="J3980">
        <v>8.8999996185302699</v>
      </c>
      <c r="K3980">
        <v>72</v>
      </c>
      <c r="L3980">
        <v>12.439999580383301</v>
      </c>
      <c r="M3980">
        <v>33.799999237060497</v>
      </c>
      <c r="N3980">
        <v>21.5</v>
      </c>
      <c r="O3980">
        <v>12.300000190734901</v>
      </c>
      <c r="P3980">
        <v>26.100000381469702</v>
      </c>
      <c r="Q3980">
        <v>27.5</v>
      </c>
      <c r="R3980">
        <v>28.399999618530298</v>
      </c>
      <c r="S3980">
        <v>25.100000381469702</v>
      </c>
      <c r="T3980">
        <v>1322.41289198606</v>
      </c>
      <c r="U3980">
        <v>206.48257839721299</v>
      </c>
      <c r="V3980">
        <v>11</v>
      </c>
      <c r="W3980">
        <v>61</v>
      </c>
      <c r="X3980">
        <v>554.447735191638</v>
      </c>
      <c r="Y3980">
        <v>51.4825783972125</v>
      </c>
      <c r="Z3980">
        <v>264</v>
      </c>
      <c r="AA3980">
        <v>445.48257839721299</v>
      </c>
      <c r="AB3980">
        <v>12.685541691265</v>
      </c>
      <c r="AC3980">
        <v>2.5519230646383E-2</v>
      </c>
      <c r="AD3980">
        <v>1.66388036014726</v>
      </c>
      <c r="AE3980">
        <v>0.61607193946838401</v>
      </c>
      <c r="AF3980">
        <v>142.73693379790899</v>
      </c>
      <c r="AG3980">
        <f>IFERROR(AH3980*0.1, "N/A")</f>
        <v>5.8000000000000007</v>
      </c>
      <c r="AH3980">
        <v>58</v>
      </c>
      <c r="AI3980">
        <v>270.73294904755397</v>
      </c>
      <c r="AJ3980">
        <v>15</v>
      </c>
      <c r="AK3980">
        <v>70.9947735191638</v>
      </c>
    </row>
    <row r="3981" spans="1:37" x14ac:dyDescent="0.3">
      <c r="A3981">
        <v>3980</v>
      </c>
      <c r="B3981">
        <v>10.3</v>
      </c>
      <c r="C3981">
        <v>4.1159999999999997</v>
      </c>
      <c r="D3981">
        <v>7.5979999999999999</v>
      </c>
      <c r="E3981" t="s">
        <v>6167</v>
      </c>
      <c r="F3981" t="s">
        <v>6168</v>
      </c>
      <c r="G3981" t="s">
        <v>39</v>
      </c>
      <c r="H3981">
        <v>1987</v>
      </c>
      <c r="I3981">
        <v>26.399999618530298</v>
      </c>
      <c r="J3981">
        <v>9.8000001907348597</v>
      </c>
      <c r="K3981">
        <v>70</v>
      </c>
      <c r="L3981">
        <v>13.079999923706101</v>
      </c>
      <c r="M3981">
        <v>34.099998474121101</v>
      </c>
      <c r="N3981">
        <v>20.200000762939499</v>
      </c>
      <c r="O3981">
        <v>13.8999996185303</v>
      </c>
      <c r="P3981">
        <v>25</v>
      </c>
      <c r="Q3981">
        <v>27</v>
      </c>
      <c r="R3981">
        <v>28</v>
      </c>
      <c r="S3981">
        <v>24.5</v>
      </c>
      <c r="T3981">
        <v>1267</v>
      </c>
      <c r="U3981">
        <v>193</v>
      </c>
      <c r="V3981">
        <v>7</v>
      </c>
      <c r="W3981">
        <v>63</v>
      </c>
      <c r="X3981">
        <v>486</v>
      </c>
      <c r="Y3981">
        <v>42</v>
      </c>
      <c r="Z3981">
        <v>238</v>
      </c>
      <c r="AA3981">
        <v>463</v>
      </c>
      <c r="AB3981">
        <v>11.281245814429401</v>
      </c>
      <c r="AC3981">
        <v>8.6508491965810001E-3</v>
      </c>
      <c r="AD3981">
        <v>1.77995823965304</v>
      </c>
      <c r="AE3981">
        <v>0.52710276842117298</v>
      </c>
      <c r="AF3981">
        <v>233.651041666667</v>
      </c>
      <c r="AG3981">
        <f>IFERROR(AH3981*0.1, "N/A")</f>
        <v>5.7</v>
      </c>
      <c r="AH3981">
        <v>57</v>
      </c>
      <c r="AI3981">
        <v>224.04477332366801</v>
      </c>
      <c r="AJ3981">
        <v>17</v>
      </c>
      <c r="AK3981">
        <v>65</v>
      </c>
    </row>
    <row r="3982" spans="1:37" x14ac:dyDescent="0.3">
      <c r="A3982">
        <v>3981</v>
      </c>
      <c r="B3982">
        <v>18.600000000000001</v>
      </c>
      <c r="C3982">
        <v>4.1760000000000002</v>
      </c>
      <c r="D3982">
        <v>7.6239999999999997</v>
      </c>
      <c r="E3982" t="s">
        <v>6169</v>
      </c>
      <c r="F3982" t="s">
        <v>6170</v>
      </c>
      <c r="G3982" t="s">
        <v>39</v>
      </c>
      <c r="H3982">
        <v>1987</v>
      </c>
      <c r="I3982">
        <v>26.4954782436205</v>
      </c>
      <c r="J3982">
        <v>9.8000001907348597</v>
      </c>
      <c r="K3982">
        <v>69</v>
      </c>
      <c r="L3982">
        <v>12.6922604585731</v>
      </c>
      <c r="M3982">
        <v>34.299999237060497</v>
      </c>
      <c r="N3982">
        <v>20.200000762939499</v>
      </c>
      <c r="O3982">
        <v>14.1000003814697</v>
      </c>
      <c r="P3982">
        <v>25.200000762939499</v>
      </c>
      <c r="Q3982">
        <v>27</v>
      </c>
      <c r="R3982">
        <v>28</v>
      </c>
      <c r="S3982">
        <v>24.695479006559999</v>
      </c>
      <c r="T3982">
        <v>1262.9095652173901</v>
      </c>
      <c r="U3982">
        <v>194</v>
      </c>
      <c r="V3982">
        <v>7</v>
      </c>
      <c r="W3982">
        <v>63</v>
      </c>
      <c r="X3982">
        <v>486</v>
      </c>
      <c r="Y3982">
        <v>42</v>
      </c>
      <c r="Z3982">
        <v>235</v>
      </c>
      <c r="AA3982">
        <v>462.95478260869601</v>
      </c>
      <c r="AB3982">
        <v>14.0116561226223</v>
      </c>
      <c r="AC3982">
        <v>1.1303298698495E-2</v>
      </c>
      <c r="AD3982">
        <v>1.7554897497011299</v>
      </c>
      <c r="AE3982">
        <v>0.92333340644836404</v>
      </c>
      <c r="AF3982">
        <v>227.33043478260899</v>
      </c>
      <c r="AG3982">
        <f>IFERROR(AH3982*0.1, "N/A")</f>
        <v>5.948521739130431</v>
      </c>
      <c r="AH3982">
        <v>59.485217391304303</v>
      </c>
      <c r="AI3982">
        <v>168.63608483356001</v>
      </c>
      <c r="AJ3982">
        <v>19.0713043478261</v>
      </c>
      <c r="AK3982">
        <v>63.987826086956503</v>
      </c>
    </row>
    <row r="3983" spans="1:37" x14ac:dyDescent="0.3">
      <c r="A3983">
        <v>3982</v>
      </c>
      <c r="B3983">
        <v>73</v>
      </c>
      <c r="C3983">
        <v>3.4980000000000002</v>
      </c>
      <c r="D3983">
        <v>7.2839999999999998</v>
      </c>
      <c r="E3983" t="s">
        <v>6171</v>
      </c>
      <c r="F3983" t="s">
        <v>6172</v>
      </c>
      <c r="G3983" t="s">
        <v>39</v>
      </c>
      <c r="H3983">
        <v>1987</v>
      </c>
      <c r="I3983">
        <v>27.087478594572701</v>
      </c>
      <c r="J3983">
        <v>9.1999998092651403</v>
      </c>
      <c r="K3983">
        <v>72.125217391304403</v>
      </c>
      <c r="L3983">
        <v>12.5637044956373</v>
      </c>
      <c r="M3983">
        <v>34.287477688996702</v>
      </c>
      <c r="N3983">
        <v>21.612522168366802</v>
      </c>
      <c r="O3983">
        <v>12.6749563548876</v>
      </c>
      <c r="P3983">
        <v>26.387477831633198</v>
      </c>
      <c r="Q3983">
        <v>27.787477688996699</v>
      </c>
      <c r="R3983">
        <v>28.687478976042399</v>
      </c>
      <c r="S3983">
        <v>25.299999237060501</v>
      </c>
      <c r="T3983">
        <v>1255.50086956522</v>
      </c>
      <c r="U3983">
        <v>192.12521739130401</v>
      </c>
      <c r="V3983">
        <v>11.1252173913043</v>
      </c>
      <c r="W3983">
        <v>61</v>
      </c>
      <c r="X3983">
        <v>517.37565217391295</v>
      </c>
      <c r="Y3983">
        <v>51.125217391304403</v>
      </c>
      <c r="Z3983">
        <v>270.87478260869602</v>
      </c>
      <c r="AA3983">
        <v>409.12521739130398</v>
      </c>
      <c r="AB3983">
        <v>15.771480407714799</v>
      </c>
      <c r="AC3983">
        <v>9.5421176436150008E-3</v>
      </c>
      <c r="AD3983">
        <v>4.1126449887648899</v>
      </c>
      <c r="AE3983">
        <v>0.63227117061615001</v>
      </c>
      <c r="AF3983">
        <v>122.61565217391301</v>
      </c>
      <c r="AG3983">
        <f>IFERROR(AH3983*0.1, "N/A")</f>
        <v>6.2269565217391305</v>
      </c>
      <c r="AH3983">
        <v>62.269565217391303</v>
      </c>
      <c r="AI3983">
        <v>193.518027522875</v>
      </c>
      <c r="AJ3983">
        <v>12.629565217391299</v>
      </c>
      <c r="AK3983">
        <v>71.446956521739097</v>
      </c>
    </row>
    <row r="3984" spans="1:37" x14ac:dyDescent="0.3">
      <c r="A3984">
        <v>3983</v>
      </c>
      <c r="B3984">
        <v>7.4</v>
      </c>
      <c r="C3984">
        <v>3.4980000000000002</v>
      </c>
      <c r="D3984">
        <v>7.2839999999999998</v>
      </c>
      <c r="E3984" t="s">
        <v>6171</v>
      </c>
      <c r="F3984" t="s">
        <v>6173</v>
      </c>
      <c r="G3984" t="s">
        <v>37</v>
      </c>
      <c r="H3984">
        <v>1987</v>
      </c>
      <c r="I3984">
        <v>27.087478594572701</v>
      </c>
      <c r="J3984">
        <v>9.1999998092651403</v>
      </c>
      <c r="K3984">
        <v>72.125217391304403</v>
      </c>
      <c r="L3984">
        <v>12.5637044956373</v>
      </c>
      <c r="M3984">
        <v>34.287477688996702</v>
      </c>
      <c r="N3984">
        <v>21.612522168366802</v>
      </c>
      <c r="O3984">
        <v>12.6749563548876</v>
      </c>
      <c r="P3984">
        <v>26.387477831633198</v>
      </c>
      <c r="Q3984">
        <v>27.787477688996699</v>
      </c>
      <c r="R3984">
        <v>28.687478976042399</v>
      </c>
      <c r="S3984">
        <v>25.299999237060501</v>
      </c>
      <c r="T3984">
        <v>1255.50086956522</v>
      </c>
      <c r="U3984">
        <v>192.12521739130401</v>
      </c>
      <c r="V3984">
        <v>11.1252173913043</v>
      </c>
      <c r="W3984">
        <v>61</v>
      </c>
      <c r="X3984">
        <v>517.37565217391295</v>
      </c>
      <c r="Y3984">
        <v>51.125217391304403</v>
      </c>
      <c r="Z3984">
        <v>270.87478260869602</v>
      </c>
      <c r="AA3984">
        <v>409.12521739130398</v>
      </c>
      <c r="AB3984">
        <v>15.771480407714799</v>
      </c>
      <c r="AC3984">
        <v>9.5421176436150008E-3</v>
      </c>
      <c r="AD3984">
        <v>4.1126449887648899</v>
      </c>
      <c r="AE3984">
        <v>0.63227117061615001</v>
      </c>
      <c r="AF3984">
        <v>122.61565217391301</v>
      </c>
      <c r="AG3984">
        <f>IFERROR(AH3984*0.1, "N/A")</f>
        <v>6.2269565217391305</v>
      </c>
      <c r="AH3984">
        <v>62.269565217391303</v>
      </c>
      <c r="AI3984">
        <v>193.518027522875</v>
      </c>
      <c r="AJ3984">
        <v>12.629565217391299</v>
      </c>
      <c r="AK3984">
        <v>71.446956521739097</v>
      </c>
    </row>
    <row r="3985" spans="1:37" x14ac:dyDescent="0.3">
      <c r="A3985">
        <v>3984</v>
      </c>
      <c r="B3985">
        <v>7</v>
      </c>
      <c r="C3985">
        <v>4.4989999999999997</v>
      </c>
      <c r="D3985">
        <v>7.7839999999999998</v>
      </c>
      <c r="E3985" t="s">
        <v>6174</v>
      </c>
      <c r="F3985" t="s">
        <v>6175</v>
      </c>
      <c r="G3985" t="s">
        <v>39</v>
      </c>
      <c r="H3985">
        <v>1987</v>
      </c>
      <c r="I3985">
        <v>26.100000381469702</v>
      </c>
      <c r="J3985">
        <v>10.199999809265099</v>
      </c>
      <c r="K3985">
        <v>69</v>
      </c>
      <c r="L3985">
        <v>12.9464581459761</v>
      </c>
      <c r="M3985">
        <v>34.099998474121101</v>
      </c>
      <c r="N3985">
        <v>19.399999618530298</v>
      </c>
      <c r="O3985">
        <v>14.699999809265099</v>
      </c>
      <c r="P3985">
        <v>24.702952106793699</v>
      </c>
      <c r="Q3985">
        <v>26.4029510186778</v>
      </c>
      <c r="R3985">
        <v>27.700000762939499</v>
      </c>
      <c r="S3985">
        <v>24.299999237060501</v>
      </c>
      <c r="T3985">
        <v>1261.9409722222199</v>
      </c>
      <c r="U3985">
        <v>202</v>
      </c>
      <c r="V3985">
        <v>10</v>
      </c>
      <c r="W3985">
        <v>63</v>
      </c>
      <c r="X3985">
        <v>507</v>
      </c>
      <c r="Y3985">
        <v>45</v>
      </c>
      <c r="Z3985">
        <v>223</v>
      </c>
      <c r="AA3985">
        <v>471</v>
      </c>
      <c r="AB3985">
        <v>16.543233712514201</v>
      </c>
      <c r="AC3985">
        <v>6.2941484365081998E-2</v>
      </c>
      <c r="AD3985">
        <v>3.90255718326403</v>
      </c>
      <c r="AE3985">
        <v>0.95547469250030004</v>
      </c>
      <c r="AF3985">
        <v>311.78819444444503</v>
      </c>
      <c r="AG3985">
        <f>IFERROR(AH3985*0.1, "N/A")</f>
        <v>5.8946180555555605</v>
      </c>
      <c r="AH3985">
        <v>58.9461805555556</v>
      </c>
      <c r="AI3985">
        <v>198.24365040991</v>
      </c>
      <c r="AJ3985">
        <v>17.0954861111111</v>
      </c>
      <c r="AK3985">
        <v>63.9878472222222</v>
      </c>
    </row>
    <row r="3986" spans="1:37" x14ac:dyDescent="0.3">
      <c r="A3986">
        <v>3985</v>
      </c>
      <c r="B3986">
        <v>22.200001</v>
      </c>
      <c r="C3986">
        <v>3.7170000000000001</v>
      </c>
      <c r="D3986">
        <v>7.2169999999999996</v>
      </c>
      <c r="E3986" t="s">
        <v>6176</v>
      </c>
      <c r="F3986" t="s">
        <v>6177</v>
      </c>
      <c r="G3986" t="s">
        <v>39</v>
      </c>
      <c r="H3986">
        <v>1987</v>
      </c>
      <c r="I3986">
        <v>26.844076060251901</v>
      </c>
      <c r="J3986">
        <v>8.8999996185302699</v>
      </c>
      <c r="K3986">
        <v>71.559233449477404</v>
      </c>
      <c r="L3986">
        <v>12.396393702836001</v>
      </c>
      <c r="M3986">
        <v>33.8440769009474</v>
      </c>
      <c r="N3986">
        <v>21.5</v>
      </c>
      <c r="O3986">
        <v>12.3440765935785</v>
      </c>
      <c r="P3986">
        <v>26.144077204661102</v>
      </c>
      <c r="Q3986">
        <v>27.5440768231914</v>
      </c>
      <c r="R3986">
        <v>28.344076060251901</v>
      </c>
      <c r="S3986">
        <v>25.100000381469702</v>
      </c>
      <c r="T3986">
        <v>1333.6062717770001</v>
      </c>
      <c r="U3986">
        <v>206.54006968641099</v>
      </c>
      <c r="V3986">
        <v>10</v>
      </c>
      <c r="W3986">
        <v>62</v>
      </c>
      <c r="X3986">
        <v>557.04703832752602</v>
      </c>
      <c r="Y3986">
        <v>49</v>
      </c>
      <c r="Z3986">
        <v>257.59233449477398</v>
      </c>
      <c r="AA3986">
        <v>460.473867595819</v>
      </c>
      <c r="AB3986">
        <v>8.8132426830119002</v>
      </c>
      <c r="AC3986">
        <v>2.0450143085123999E-2</v>
      </c>
      <c r="AD3986">
        <v>2.66686658369124</v>
      </c>
      <c r="AE3986">
        <v>0.64563900232315097</v>
      </c>
      <c r="AF3986">
        <v>131.85365853658499</v>
      </c>
      <c r="AG3986">
        <f>IFERROR(AH3986*0.1, "N/A")</f>
        <v>6</v>
      </c>
      <c r="AH3986">
        <v>60</v>
      </c>
      <c r="AI3986">
        <v>275.50454249365401</v>
      </c>
      <c r="AJ3986">
        <v>14</v>
      </c>
      <c r="AK3986">
        <v>70.033101045296206</v>
      </c>
    </row>
    <row r="3987" spans="1:37" x14ac:dyDescent="0.3">
      <c r="A3987">
        <v>3986</v>
      </c>
      <c r="B3987">
        <v>15.3</v>
      </c>
      <c r="C3987">
        <v>3.617</v>
      </c>
      <c r="D3987">
        <v>7.218</v>
      </c>
      <c r="E3987" t="s">
        <v>6178</v>
      </c>
      <c r="F3987" t="s">
        <v>6179</v>
      </c>
      <c r="G3987" t="s">
        <v>39</v>
      </c>
      <c r="H3987">
        <v>1987</v>
      </c>
      <c r="I3987">
        <v>26.6829275270788</v>
      </c>
      <c r="J3987">
        <v>9</v>
      </c>
      <c r="K3987">
        <v>72</v>
      </c>
      <c r="L3987">
        <v>12.473902818633301</v>
      </c>
      <c r="M3987">
        <v>33.682927201433898</v>
      </c>
      <c r="N3987">
        <v>21.282926326844699</v>
      </c>
      <c r="O3987">
        <v>12.3999996185303</v>
      </c>
      <c r="P3987">
        <v>25.9829267641393</v>
      </c>
      <c r="Q3987">
        <v>27.382926382669599</v>
      </c>
      <c r="R3987">
        <v>28.1829275270788</v>
      </c>
      <c r="S3987">
        <v>24.882926382669599</v>
      </c>
      <c r="T3987">
        <v>1317.1707317073201</v>
      </c>
      <c r="U3987">
        <v>203.829268292683</v>
      </c>
      <c r="V3987">
        <v>11</v>
      </c>
      <c r="W3987">
        <v>61.829268292682897</v>
      </c>
      <c r="X3987">
        <v>547.82926829268297</v>
      </c>
      <c r="Y3987">
        <v>51.170731707317103</v>
      </c>
      <c r="Z3987">
        <v>266.17073170731697</v>
      </c>
      <c r="AA3987">
        <v>443</v>
      </c>
      <c r="AB3987">
        <v>6.4959927336264096</v>
      </c>
      <c r="AC3987">
        <v>0.173366967069459</v>
      </c>
      <c r="AD3987">
        <v>2.03133314079524</v>
      </c>
      <c r="AE3987">
        <v>0.616890549659729</v>
      </c>
      <c r="AF3987">
        <v>160.58885017421599</v>
      </c>
      <c r="AG3987">
        <f>IFERROR(AH3987*0.1, "N/A")</f>
        <v>5.7385017421602802</v>
      </c>
      <c r="AH3987">
        <v>57.385017421602797</v>
      </c>
      <c r="AI3987">
        <v>78.352740497123904</v>
      </c>
      <c r="AJ3987">
        <v>14.5714285714286</v>
      </c>
      <c r="AK3987">
        <v>69.804878048780495</v>
      </c>
    </row>
    <row r="3988" spans="1:37" x14ac:dyDescent="0.3">
      <c r="A3988">
        <v>3987</v>
      </c>
      <c r="B3988">
        <v>38.799999</v>
      </c>
      <c r="C3988">
        <v>2.9166699999999999</v>
      </c>
      <c r="D3988">
        <v>7.5166700000000004</v>
      </c>
      <c r="E3988" t="s">
        <v>6180</v>
      </c>
      <c r="F3988" t="s">
        <v>6181</v>
      </c>
      <c r="G3988" t="s">
        <v>39</v>
      </c>
      <c r="H3988">
        <v>1987</v>
      </c>
      <c r="I3988">
        <v>26.789198008148499</v>
      </c>
      <c r="J3988">
        <v>10.4477349922632</v>
      </c>
      <c r="K3988">
        <v>72.891986062717805</v>
      </c>
      <c r="L3988">
        <v>13.4217420671044</v>
      </c>
      <c r="M3988">
        <v>35.0181181904331</v>
      </c>
      <c r="N3988">
        <v>20.789198008148499</v>
      </c>
      <c r="O3988">
        <v>14.2289196772027</v>
      </c>
      <c r="P3988">
        <v>26</v>
      </c>
      <c r="Q3988">
        <v>27.200000762939499</v>
      </c>
      <c r="R3988">
        <v>28.489198565067699</v>
      </c>
      <c r="S3988">
        <v>24.899999618530298</v>
      </c>
      <c r="T3988">
        <v>1112.4250871080101</v>
      </c>
      <c r="U3988">
        <v>183.10801393728201</v>
      </c>
      <c r="V3988">
        <v>5.4773519163763096</v>
      </c>
      <c r="W3988">
        <v>64.595818815331</v>
      </c>
      <c r="X3988">
        <v>441.18118466898898</v>
      </c>
      <c r="Y3988">
        <v>41.4773519163763</v>
      </c>
      <c r="Z3988">
        <v>218.47735191637599</v>
      </c>
      <c r="AA3988">
        <v>425.47038327526099</v>
      </c>
      <c r="AB3988">
        <v>2.9019174077369598</v>
      </c>
      <c r="AC3988">
        <v>0.60996952479322297</v>
      </c>
      <c r="AD3988">
        <v>2.0044500599339501</v>
      </c>
      <c r="AE3988">
        <v>0.67462569475173995</v>
      </c>
      <c r="AF3988">
        <v>198.06794425087099</v>
      </c>
      <c r="AG3988">
        <f>IFERROR(AH3988*0.1, "N/A")</f>
        <v>6.0536585365853703</v>
      </c>
      <c r="AH3988">
        <v>60.536585365853703</v>
      </c>
      <c r="AI3988">
        <v>124.161272221741</v>
      </c>
      <c r="AJ3988">
        <v>14.5365853658537</v>
      </c>
      <c r="AK3988">
        <v>70.832752613240402</v>
      </c>
    </row>
    <row r="3989" spans="1:37" x14ac:dyDescent="0.3">
      <c r="A3989">
        <v>3988</v>
      </c>
      <c r="B3989">
        <v>58.799999</v>
      </c>
      <c r="C3989">
        <v>3.4319999999999999</v>
      </c>
      <c r="D3989">
        <v>6.8840000000000003</v>
      </c>
      <c r="E3989" t="s">
        <v>6182</v>
      </c>
      <c r="F3989" t="s">
        <v>6183</v>
      </c>
      <c r="G3989" t="s">
        <v>39</v>
      </c>
      <c r="H3989">
        <v>1987</v>
      </c>
      <c r="I3989">
        <v>26.899999618530298</v>
      </c>
      <c r="J3989">
        <v>8</v>
      </c>
      <c r="K3989">
        <v>72</v>
      </c>
      <c r="L3989">
        <v>11.7600002288818</v>
      </c>
      <c r="M3989">
        <v>33</v>
      </c>
      <c r="N3989">
        <v>22</v>
      </c>
      <c r="O3989">
        <v>11</v>
      </c>
      <c r="P3989">
        <v>26.200000762939499</v>
      </c>
      <c r="Q3989">
        <v>27.600000381469702</v>
      </c>
      <c r="R3989">
        <v>28.299999237060501</v>
      </c>
      <c r="S3989">
        <v>25.200000762939499</v>
      </c>
      <c r="T3989">
        <v>1418</v>
      </c>
      <c r="U3989">
        <v>261</v>
      </c>
      <c r="V3989">
        <v>15</v>
      </c>
      <c r="W3989">
        <v>65</v>
      </c>
      <c r="X3989">
        <v>655</v>
      </c>
      <c r="Y3989">
        <v>65</v>
      </c>
      <c r="Z3989">
        <v>257</v>
      </c>
      <c r="AA3989">
        <v>455</v>
      </c>
      <c r="AB3989">
        <v>11.9419870675649</v>
      </c>
      <c r="AC3989">
        <v>2.8523105344302999E-2</v>
      </c>
      <c r="AD3989">
        <v>1.7336812697428901</v>
      </c>
      <c r="AE3989">
        <v>0.75141474843440603</v>
      </c>
      <c r="AF3989">
        <v>46.5731707317073</v>
      </c>
      <c r="AG3989">
        <f>IFERROR(AH3989*0.1, "N/A")</f>
        <v>6.2</v>
      </c>
      <c r="AH3989">
        <v>62</v>
      </c>
      <c r="AI3989">
        <v>162.04000492959901</v>
      </c>
      <c r="AJ3989">
        <v>18.644599303135902</v>
      </c>
      <c r="AK3989">
        <v>66.167247386759598</v>
      </c>
    </row>
    <row r="3990" spans="1:37" x14ac:dyDescent="0.3">
      <c r="A3990">
        <v>3989</v>
      </c>
      <c r="B3990">
        <v>0</v>
      </c>
      <c r="C3990">
        <v>3.4319999999999999</v>
      </c>
      <c r="D3990">
        <v>6.8840000000000003</v>
      </c>
      <c r="E3990" t="s">
        <v>6182</v>
      </c>
      <c r="F3990" t="s">
        <v>6184</v>
      </c>
      <c r="G3990" t="s">
        <v>37</v>
      </c>
      <c r="H3990">
        <v>1987</v>
      </c>
      <c r="I3990">
        <v>26.899999618530298</v>
      </c>
      <c r="J3990">
        <v>8</v>
      </c>
      <c r="K3990">
        <v>72</v>
      </c>
      <c r="L3990">
        <v>11.7600002288818</v>
      </c>
      <c r="M3990">
        <v>33</v>
      </c>
      <c r="N3990">
        <v>22</v>
      </c>
      <c r="O3990">
        <v>11</v>
      </c>
      <c r="P3990">
        <v>26.200000762939499</v>
      </c>
      <c r="Q3990">
        <v>27.600000381469702</v>
      </c>
      <c r="R3990">
        <v>28.299999237060501</v>
      </c>
      <c r="S3990">
        <v>25.200000762939499</v>
      </c>
      <c r="T3990">
        <v>1418</v>
      </c>
      <c r="U3990">
        <v>261</v>
      </c>
      <c r="V3990">
        <v>15</v>
      </c>
      <c r="W3990">
        <v>65</v>
      </c>
      <c r="X3990">
        <v>655</v>
      </c>
      <c r="Y3990">
        <v>65</v>
      </c>
      <c r="Z3990">
        <v>257</v>
      </c>
      <c r="AA3990">
        <v>455</v>
      </c>
      <c r="AB3990">
        <v>11.9419870675649</v>
      </c>
      <c r="AC3990">
        <v>2.8523105344302999E-2</v>
      </c>
      <c r="AD3990">
        <v>1.7336812697428901</v>
      </c>
      <c r="AE3990">
        <v>0.75141474843440603</v>
      </c>
      <c r="AF3990">
        <v>46.5731707317073</v>
      </c>
      <c r="AG3990">
        <f>IFERROR(AH3990*0.1, "N/A")</f>
        <v>6.2</v>
      </c>
      <c r="AH3990">
        <v>62</v>
      </c>
      <c r="AI3990">
        <v>162.04000492959901</v>
      </c>
      <c r="AJ3990">
        <v>18.644599303135902</v>
      </c>
      <c r="AK3990">
        <v>66.167247386759598</v>
      </c>
    </row>
    <row r="3991" spans="1:37" x14ac:dyDescent="0.3">
      <c r="A3991">
        <v>3990</v>
      </c>
      <c r="B3991">
        <v>20</v>
      </c>
      <c r="C3991">
        <v>4.0309999999999997</v>
      </c>
      <c r="D3991">
        <v>7.2519999999999998</v>
      </c>
      <c r="E3991" t="s">
        <v>6185</v>
      </c>
      <c r="F3991" t="s">
        <v>6186</v>
      </c>
      <c r="G3991" t="s">
        <v>39</v>
      </c>
      <c r="H3991">
        <v>1987</v>
      </c>
      <c r="I3991">
        <v>26.600000381469702</v>
      </c>
      <c r="J3991">
        <v>9</v>
      </c>
      <c r="K3991">
        <v>71</v>
      </c>
      <c r="L3991">
        <v>12.5200004577637</v>
      </c>
      <c r="M3991">
        <v>33.700000762939503</v>
      </c>
      <c r="N3991">
        <v>21.100000381469702</v>
      </c>
      <c r="O3991">
        <v>12.6000003814697</v>
      </c>
      <c r="P3991">
        <v>25.899999618530298</v>
      </c>
      <c r="Q3991">
        <v>27.299999237060501</v>
      </c>
      <c r="R3991">
        <v>28.100000381469702</v>
      </c>
      <c r="S3991">
        <v>24.799999237060501</v>
      </c>
      <c r="T3991">
        <v>1379</v>
      </c>
      <c r="U3991">
        <v>203</v>
      </c>
      <c r="V3991">
        <v>8</v>
      </c>
      <c r="W3991">
        <v>63</v>
      </c>
      <c r="X3991">
        <v>560</v>
      </c>
      <c r="Y3991">
        <v>46</v>
      </c>
      <c r="Z3991">
        <v>253</v>
      </c>
      <c r="AA3991">
        <v>507</v>
      </c>
      <c r="AB3991">
        <v>20.4610419231912</v>
      </c>
      <c r="AC3991">
        <v>8.9528184367910005E-3</v>
      </c>
      <c r="AD3991">
        <v>3.68403084485427</v>
      </c>
      <c r="AE3991">
        <v>0.64973934018093604</v>
      </c>
      <c r="AF3991">
        <v>174.89565217391299</v>
      </c>
      <c r="AG3991">
        <f>IFERROR(AH3991*0.1, "N/A")</f>
        <v>5.5114782608695601</v>
      </c>
      <c r="AH3991">
        <v>55.114782608695599</v>
      </c>
      <c r="AI3991">
        <v>103.932704335088</v>
      </c>
      <c r="AJ3991">
        <v>16.925217391304301</v>
      </c>
      <c r="AK3991">
        <v>67.149565217391299</v>
      </c>
    </row>
    <row r="3992" spans="1:37" x14ac:dyDescent="0.3">
      <c r="A3992">
        <v>3991</v>
      </c>
      <c r="B3992">
        <v>32</v>
      </c>
      <c r="C3992">
        <v>3.5139999999999998</v>
      </c>
      <c r="D3992">
        <v>7.22</v>
      </c>
      <c r="E3992" t="s">
        <v>6187</v>
      </c>
      <c r="F3992" t="s">
        <v>6188</v>
      </c>
      <c r="G3992" t="s">
        <v>39</v>
      </c>
      <c r="H3992">
        <v>1987</v>
      </c>
      <c r="I3992">
        <v>26.799999237060501</v>
      </c>
      <c r="J3992">
        <v>9</v>
      </c>
      <c r="K3992">
        <v>73</v>
      </c>
      <c r="L3992">
        <v>12.210000038146999</v>
      </c>
      <c r="M3992">
        <v>33.799999237060497</v>
      </c>
      <c r="N3992">
        <v>21.5</v>
      </c>
      <c r="O3992">
        <v>12.300000190734901</v>
      </c>
      <c r="P3992">
        <v>26.100000381469702</v>
      </c>
      <c r="Q3992">
        <v>27.600000381469702</v>
      </c>
      <c r="R3992">
        <v>28.299999237060501</v>
      </c>
      <c r="S3992">
        <v>25.100000381469702</v>
      </c>
      <c r="T3992">
        <v>1287</v>
      </c>
      <c r="U3992">
        <v>200</v>
      </c>
      <c r="V3992">
        <v>12</v>
      </c>
      <c r="W3992">
        <v>61</v>
      </c>
      <c r="X3992">
        <v>537</v>
      </c>
      <c r="Y3992">
        <v>53</v>
      </c>
      <c r="Z3992">
        <v>269</v>
      </c>
      <c r="AA3992">
        <v>424</v>
      </c>
      <c r="AB3992">
        <v>9.3980812219217</v>
      </c>
      <c r="AC3992">
        <v>8.0995288019249004E-2</v>
      </c>
      <c r="AD3992">
        <v>3.04891169237633</v>
      </c>
      <c r="AE3992">
        <v>0.57688108788734904</v>
      </c>
      <c r="AF3992">
        <v>142.66841186736499</v>
      </c>
      <c r="AG3992">
        <f>IFERROR(AH3992*0.1, "N/A")</f>
        <v>6.0624781849912708</v>
      </c>
      <c r="AH3992">
        <v>60.624781849912701</v>
      </c>
      <c r="AI3992">
        <v>269.81227290235103</v>
      </c>
      <c r="AJ3992">
        <v>12.523560209424099</v>
      </c>
      <c r="AK3992">
        <v>68.677137870855105</v>
      </c>
    </row>
    <row r="3993" spans="1:37" x14ac:dyDescent="0.3">
      <c r="A3993">
        <v>3992</v>
      </c>
      <c r="B3993">
        <v>4.3</v>
      </c>
      <c r="C3993">
        <v>3.4809999999999999</v>
      </c>
      <c r="D3993">
        <v>7.2190000000000003</v>
      </c>
      <c r="E3993" t="s">
        <v>6189</v>
      </c>
      <c r="F3993" t="s">
        <v>6190</v>
      </c>
      <c r="G3993" t="s">
        <v>39</v>
      </c>
      <c r="H3993">
        <v>1987</v>
      </c>
      <c r="I3993">
        <v>26.799999237060501</v>
      </c>
      <c r="J3993">
        <v>9.1000003814697301</v>
      </c>
      <c r="K3993">
        <v>73</v>
      </c>
      <c r="L3993">
        <v>12.430000305175801</v>
      </c>
      <c r="M3993">
        <v>33.799999237060497</v>
      </c>
      <c r="N3993">
        <v>21.399999618530298</v>
      </c>
      <c r="O3993">
        <v>12.3999996185303</v>
      </c>
      <c r="P3993">
        <v>26</v>
      </c>
      <c r="Q3993">
        <v>27.5</v>
      </c>
      <c r="R3993">
        <v>28.299999237060501</v>
      </c>
      <c r="S3993">
        <v>25</v>
      </c>
      <c r="T3993">
        <v>1281</v>
      </c>
      <c r="U3993">
        <v>198</v>
      </c>
      <c r="V3993">
        <v>12</v>
      </c>
      <c r="W3993">
        <v>61</v>
      </c>
      <c r="X3993">
        <v>533</v>
      </c>
      <c r="Y3993">
        <v>53</v>
      </c>
      <c r="Z3993">
        <v>270</v>
      </c>
      <c r="AA3993">
        <v>421</v>
      </c>
      <c r="AB3993">
        <v>21.434324949045202</v>
      </c>
      <c r="AC3993">
        <v>8.6587570081969999E-3</v>
      </c>
      <c r="AD3993">
        <v>2.9950919176227999</v>
      </c>
      <c r="AE3993">
        <v>0.69302159547805797</v>
      </c>
      <c r="AF3993">
        <v>167.228222996516</v>
      </c>
      <c r="AG3993">
        <f>IFERROR(AH3993*0.1, "N/A")</f>
        <v>6.0559233449477299</v>
      </c>
      <c r="AH3993">
        <v>60.559233449477297</v>
      </c>
      <c r="AI3993">
        <v>173.68594315159999</v>
      </c>
      <c r="AJ3993">
        <v>11.5348432055749</v>
      </c>
      <c r="AK3993">
        <v>70.590592334494801</v>
      </c>
    </row>
    <row r="3994" spans="1:37" x14ac:dyDescent="0.3">
      <c r="A3994">
        <v>3993</v>
      </c>
      <c r="B3994">
        <v>18</v>
      </c>
      <c r="C3994">
        <v>3.4990000000000001</v>
      </c>
      <c r="D3994">
        <v>7.335</v>
      </c>
      <c r="E3994" t="s">
        <v>6191</v>
      </c>
      <c r="F3994" t="s">
        <v>6192</v>
      </c>
      <c r="G3994" t="s">
        <v>39</v>
      </c>
      <c r="H3994">
        <v>1987</v>
      </c>
      <c r="I3994">
        <v>27.100000381469702</v>
      </c>
      <c r="J3994">
        <v>9.3000001907348597</v>
      </c>
      <c r="K3994">
        <v>72</v>
      </c>
      <c r="L3994">
        <v>12.6000003814697</v>
      </c>
      <c r="M3994">
        <v>34.5</v>
      </c>
      <c r="N3994">
        <v>21.600000381469702</v>
      </c>
      <c r="O3994">
        <v>12.8999996185303</v>
      </c>
      <c r="P3994">
        <v>26.399999618530298</v>
      </c>
      <c r="Q3994">
        <v>27.799999237060501</v>
      </c>
      <c r="R3994">
        <v>28.700000762939499</v>
      </c>
      <c r="S3994">
        <v>25.399999618530298</v>
      </c>
      <c r="T3994">
        <v>1241</v>
      </c>
      <c r="U3994">
        <v>187</v>
      </c>
      <c r="V3994">
        <v>11</v>
      </c>
      <c r="W3994">
        <v>60</v>
      </c>
      <c r="X3994">
        <v>506</v>
      </c>
      <c r="Y3994">
        <v>49</v>
      </c>
      <c r="Z3994">
        <v>272</v>
      </c>
      <c r="AA3994">
        <v>402</v>
      </c>
      <c r="AB3994">
        <v>2.08013783099344</v>
      </c>
      <c r="AC3994">
        <v>2.7600419236029099</v>
      </c>
      <c r="AD3994">
        <v>1.37270933462352</v>
      </c>
      <c r="AE3994">
        <v>0.67814093828201305</v>
      </c>
      <c r="AF3994">
        <v>102.289198606272</v>
      </c>
      <c r="AG3994">
        <f>IFERROR(AH3994*0.1, "N/A")</f>
        <v>6.05505226480836</v>
      </c>
      <c r="AH3994">
        <v>60.5505226480836</v>
      </c>
      <c r="AI3994">
        <v>184.516309774711</v>
      </c>
      <c r="AJ3994">
        <v>14.4494773519164</v>
      </c>
      <c r="AK3994">
        <v>67.5505226480836</v>
      </c>
    </row>
    <row r="3995" spans="1:37" x14ac:dyDescent="0.3">
      <c r="A3995">
        <v>3994</v>
      </c>
      <c r="B3995">
        <v>0</v>
      </c>
      <c r="C3995">
        <v>3.4990000000000001</v>
      </c>
      <c r="D3995">
        <v>7.319</v>
      </c>
      <c r="E3995" t="s">
        <v>6193</v>
      </c>
      <c r="F3995" t="s">
        <v>6194</v>
      </c>
      <c r="G3995" t="s">
        <v>39</v>
      </c>
      <c r="H3995">
        <v>1987</v>
      </c>
      <c r="I3995">
        <v>27</v>
      </c>
      <c r="J3995">
        <v>9.3000001907348597</v>
      </c>
      <c r="K3995">
        <v>72</v>
      </c>
      <c r="L3995">
        <v>12.579999923706101</v>
      </c>
      <c r="M3995">
        <v>34.299999237060497</v>
      </c>
      <c r="N3995">
        <v>21.5</v>
      </c>
      <c r="O3995">
        <v>12.800000190734901</v>
      </c>
      <c r="P3995">
        <v>26.299999237060501</v>
      </c>
      <c r="Q3995">
        <v>27.600000381469702</v>
      </c>
      <c r="R3995">
        <v>28.600000381469702</v>
      </c>
      <c r="S3995">
        <v>25.200000762939499</v>
      </c>
      <c r="T3995">
        <v>1250</v>
      </c>
      <c r="U3995">
        <v>188</v>
      </c>
      <c r="V3995">
        <v>11</v>
      </c>
      <c r="W3995">
        <v>60</v>
      </c>
      <c r="X3995">
        <v>510</v>
      </c>
      <c r="Y3995">
        <v>50</v>
      </c>
      <c r="Z3995">
        <v>273</v>
      </c>
      <c r="AA3995">
        <v>407</v>
      </c>
      <c r="AB3995">
        <v>11.881455829693101</v>
      </c>
      <c r="AC3995">
        <v>5.4771966578526003E-2</v>
      </c>
      <c r="AD3995">
        <v>2.34022192112081</v>
      </c>
      <c r="AE3995">
        <v>0.65118914842605602</v>
      </c>
      <c r="AF3995">
        <v>123.700173310225</v>
      </c>
      <c r="AG3995">
        <f>IFERROR(AH3995*0.1, "N/A")</f>
        <v>6</v>
      </c>
      <c r="AH3995">
        <v>60</v>
      </c>
      <c r="AI3995">
        <v>232.141333647783</v>
      </c>
      <c r="AJ3995">
        <v>14</v>
      </c>
      <c r="AK3995">
        <v>71</v>
      </c>
    </row>
    <row r="3996" spans="1:37" x14ac:dyDescent="0.3">
      <c r="A3996">
        <v>3995</v>
      </c>
      <c r="B3996">
        <v>12.5</v>
      </c>
      <c r="C3996">
        <v>3.665</v>
      </c>
      <c r="D3996">
        <v>7.1680000000000001</v>
      </c>
      <c r="E3996" t="s">
        <v>6195</v>
      </c>
      <c r="F3996" t="s">
        <v>6196</v>
      </c>
      <c r="G3996" t="s">
        <v>39</v>
      </c>
      <c r="H3996">
        <v>1987</v>
      </c>
      <c r="I3996">
        <v>26.799999237060501</v>
      </c>
      <c r="J3996">
        <v>8.8000001907348597</v>
      </c>
      <c r="K3996">
        <v>72</v>
      </c>
      <c r="L3996">
        <v>12.5299997329712</v>
      </c>
      <c r="M3996">
        <v>33.700000762939503</v>
      </c>
      <c r="N3996">
        <v>21.5</v>
      </c>
      <c r="O3996">
        <v>12.199999809265099</v>
      </c>
      <c r="P3996">
        <v>26.100000381469702</v>
      </c>
      <c r="Q3996">
        <v>27.600000381469702</v>
      </c>
      <c r="R3996">
        <v>28.399999618530298</v>
      </c>
      <c r="S3996">
        <v>25</v>
      </c>
      <c r="T3996">
        <v>1343</v>
      </c>
      <c r="U3996">
        <v>212</v>
      </c>
      <c r="V3996">
        <v>11</v>
      </c>
      <c r="W3996">
        <v>62</v>
      </c>
      <c r="X3996">
        <v>568</v>
      </c>
      <c r="Y3996">
        <v>52</v>
      </c>
      <c r="Z3996">
        <v>262</v>
      </c>
      <c r="AA3996">
        <v>455</v>
      </c>
      <c r="AB3996">
        <v>15.3598248291016</v>
      </c>
      <c r="AC3996">
        <v>4.7280006266158997E-2</v>
      </c>
      <c r="AD3996">
        <v>4.0407785448820697</v>
      </c>
      <c r="AE3996">
        <v>0.51310676336288497</v>
      </c>
      <c r="AF3996">
        <v>120.793043478261</v>
      </c>
      <c r="AG3996">
        <f>IFERROR(AH3996*0.1, "N/A")</f>
        <v>5.5198260869565203</v>
      </c>
      <c r="AH3996">
        <v>55.198260869565203</v>
      </c>
      <c r="AI3996">
        <v>150.649118718686</v>
      </c>
      <c r="AJ3996">
        <v>16</v>
      </c>
      <c r="AK3996">
        <v>65.793043478260898</v>
      </c>
    </row>
    <row r="3997" spans="1:37" x14ac:dyDescent="0.3">
      <c r="A3997">
        <v>3996</v>
      </c>
      <c r="B3997">
        <v>54</v>
      </c>
      <c r="C3997">
        <v>3.35</v>
      </c>
      <c r="D3997">
        <v>7.1609999999999996</v>
      </c>
      <c r="E3997" t="s">
        <v>6197</v>
      </c>
      <c r="F3997" t="s">
        <v>6198</v>
      </c>
      <c r="G3997" t="s">
        <v>39</v>
      </c>
      <c r="H3997">
        <v>1987</v>
      </c>
      <c r="I3997">
        <v>27.0328126251698</v>
      </c>
      <c r="J3997">
        <v>9</v>
      </c>
      <c r="K3997">
        <v>73</v>
      </c>
      <c r="L3997">
        <v>12.319999694824199</v>
      </c>
      <c r="M3997">
        <v>34.032811999320998</v>
      </c>
      <c r="N3997">
        <v>21.732812762260401</v>
      </c>
      <c r="O3997">
        <v>12.300000190734901</v>
      </c>
      <c r="P3997">
        <v>26.432812243699999</v>
      </c>
      <c r="Q3997">
        <v>27.832811862230301</v>
      </c>
      <c r="R3997">
        <v>28.632813006639498</v>
      </c>
      <c r="S3997">
        <v>25.332811862230301</v>
      </c>
      <c r="T3997">
        <v>1240.6875</v>
      </c>
      <c r="U3997">
        <v>197</v>
      </c>
      <c r="V3997">
        <v>13</v>
      </c>
      <c r="W3997">
        <v>60.671875</v>
      </c>
      <c r="X3997">
        <v>524.671875</v>
      </c>
      <c r="Y3997">
        <v>55</v>
      </c>
      <c r="Z3997">
        <v>261.671875</v>
      </c>
      <c r="AA3997">
        <v>405.671875</v>
      </c>
      <c r="AB3997">
        <v>22.096526106198599</v>
      </c>
      <c r="AC3997">
        <v>1.0426414377029999E-2</v>
      </c>
      <c r="AD3997">
        <v>3.6574119383262298</v>
      </c>
      <c r="AE3997">
        <v>0.92982542514801003</v>
      </c>
      <c r="AF3997">
        <v>90.7604166666667</v>
      </c>
      <c r="AG3997">
        <f>IFERROR(AH3997*0.1, "N/A")</f>
        <v>6.8545138888888903</v>
      </c>
      <c r="AH3997">
        <v>68.5451388888889</v>
      </c>
      <c r="AI3997">
        <v>262.57514076762698</v>
      </c>
      <c r="AJ3997">
        <v>20.2986111111111</v>
      </c>
      <c r="AK3997">
        <v>63.4149305555556</v>
      </c>
    </row>
    <row r="3998" spans="1:37" x14ac:dyDescent="0.3">
      <c r="A3998">
        <v>3997</v>
      </c>
      <c r="B3998">
        <v>0.4</v>
      </c>
      <c r="C3998">
        <v>3.35</v>
      </c>
      <c r="D3998">
        <v>7.1609999999999996</v>
      </c>
      <c r="E3998" t="s">
        <v>6197</v>
      </c>
      <c r="F3998" t="s">
        <v>6199</v>
      </c>
      <c r="G3998" t="s">
        <v>37</v>
      </c>
      <c r="H3998">
        <v>1987</v>
      </c>
      <c r="I3998">
        <v>27.0328126251698</v>
      </c>
      <c r="J3998">
        <v>9</v>
      </c>
      <c r="K3998">
        <v>73</v>
      </c>
      <c r="L3998">
        <v>12.319999694824199</v>
      </c>
      <c r="M3998">
        <v>34.032811999320998</v>
      </c>
      <c r="N3998">
        <v>21.732812762260401</v>
      </c>
      <c r="O3998">
        <v>12.300000190734901</v>
      </c>
      <c r="P3998">
        <v>26.432812243699999</v>
      </c>
      <c r="Q3998">
        <v>27.832811862230301</v>
      </c>
      <c r="R3998">
        <v>28.632813006639498</v>
      </c>
      <c r="S3998">
        <v>25.332811862230301</v>
      </c>
      <c r="T3998">
        <v>1240.6875</v>
      </c>
      <c r="U3998">
        <v>197</v>
      </c>
      <c r="V3998">
        <v>13</v>
      </c>
      <c r="W3998">
        <v>60.671875</v>
      </c>
      <c r="X3998">
        <v>524.671875</v>
      </c>
      <c r="Y3998">
        <v>55</v>
      </c>
      <c r="Z3998">
        <v>261.671875</v>
      </c>
      <c r="AA3998">
        <v>405.671875</v>
      </c>
      <c r="AB3998">
        <v>22.096526106198599</v>
      </c>
      <c r="AC3998">
        <v>1.0426414377029999E-2</v>
      </c>
      <c r="AD3998">
        <v>3.6574119383262298</v>
      </c>
      <c r="AE3998">
        <v>0.92982542514801003</v>
      </c>
      <c r="AF3998">
        <v>90.7604166666667</v>
      </c>
      <c r="AG3998">
        <f>IFERROR(AH3998*0.1, "N/A")</f>
        <v>6.8545138888888903</v>
      </c>
      <c r="AH3998">
        <v>68.5451388888889</v>
      </c>
      <c r="AI3998">
        <v>262.57514076762698</v>
      </c>
      <c r="AJ3998">
        <v>20.2986111111111</v>
      </c>
      <c r="AK3998">
        <v>63.4149305555556</v>
      </c>
    </row>
    <row r="3999" spans="1:37" x14ac:dyDescent="0.3">
      <c r="A3999">
        <v>3998</v>
      </c>
      <c r="B3999">
        <v>19.299999</v>
      </c>
      <c r="C3999">
        <v>4.0666700000000002</v>
      </c>
      <c r="D3999">
        <v>7.0333300000000003</v>
      </c>
      <c r="E3999" t="s">
        <v>6200</v>
      </c>
      <c r="F3999" t="s">
        <v>6201</v>
      </c>
      <c r="G3999" t="s">
        <v>39</v>
      </c>
      <c r="H3999">
        <v>1987</v>
      </c>
      <c r="I3999">
        <v>27.059201614724302</v>
      </c>
      <c r="J3999">
        <v>8.5</v>
      </c>
      <c r="K3999">
        <v>70.4427083333333</v>
      </c>
      <c r="L3999">
        <v>12.274548391501099</v>
      </c>
      <c r="M3999">
        <v>33.814930134349403</v>
      </c>
      <c r="N3999">
        <v>21.859200851784799</v>
      </c>
      <c r="O3999">
        <v>11.9557289977868</v>
      </c>
      <c r="P3999">
        <v>26.399999618530298</v>
      </c>
      <c r="Q3999">
        <v>27.674132323927299</v>
      </c>
      <c r="R3999">
        <v>28.565278026792701</v>
      </c>
      <c r="S3999">
        <v>25.359200851784799</v>
      </c>
      <c r="T3999">
        <v>1475.9166666666699</v>
      </c>
      <c r="U3999">
        <v>231.741319444444</v>
      </c>
      <c r="V3999">
        <v>11.1493055555556</v>
      </c>
      <c r="W3999">
        <v>64</v>
      </c>
      <c r="X3999">
        <v>633.039930555556</v>
      </c>
      <c r="Y3999">
        <v>54.1493055555556</v>
      </c>
      <c r="Z3999">
        <v>252.407986111111</v>
      </c>
      <c r="AA3999">
        <v>537.91145833333303</v>
      </c>
      <c r="AB3999">
        <v>5.0086767805947199</v>
      </c>
      <c r="AC3999">
        <v>8.1150565713566006E-2</v>
      </c>
      <c r="AD3999">
        <v>1.92669008351448</v>
      </c>
      <c r="AE3999">
        <v>0.638097524642944</v>
      </c>
      <c r="AF3999">
        <v>79.1909722222222</v>
      </c>
      <c r="AG3999">
        <f>IFERROR(AH3999*0.1, "N/A")</f>
        <v>5.7829861111111107</v>
      </c>
      <c r="AH3999">
        <v>57.8298611111111</v>
      </c>
      <c r="AI3999">
        <v>133.89787010351799</v>
      </c>
      <c r="AJ3999">
        <v>17.2447916666667</v>
      </c>
      <c r="AK3999">
        <v>66.9392361111111</v>
      </c>
    </row>
    <row r="4000" spans="1:37" x14ac:dyDescent="0.3">
      <c r="A4000">
        <v>3999</v>
      </c>
      <c r="B4000">
        <v>17</v>
      </c>
      <c r="C4000">
        <v>4.0060000000000002</v>
      </c>
      <c r="D4000">
        <v>6.9690000000000003</v>
      </c>
      <c r="E4000" t="s">
        <v>6202</v>
      </c>
      <c r="F4000" t="s">
        <v>6203</v>
      </c>
      <c r="G4000" t="s">
        <v>39</v>
      </c>
      <c r="H4000">
        <v>1987</v>
      </c>
      <c r="I4000">
        <v>27</v>
      </c>
      <c r="J4000">
        <v>8.3000001907348597</v>
      </c>
      <c r="K4000">
        <v>71</v>
      </c>
      <c r="L4000">
        <v>12.0200004577637</v>
      </c>
      <c r="M4000">
        <v>33.5</v>
      </c>
      <c r="N4000">
        <v>21.899999618530298</v>
      </c>
      <c r="O4000">
        <v>11.6000003814697</v>
      </c>
      <c r="P4000">
        <v>26.299999237060501</v>
      </c>
      <c r="Q4000">
        <v>27.600000381469702</v>
      </c>
      <c r="R4000">
        <v>28.5</v>
      </c>
      <c r="S4000">
        <v>25.299999237060501</v>
      </c>
      <c r="T4000">
        <v>1506</v>
      </c>
      <c r="U4000">
        <v>241</v>
      </c>
      <c r="V4000">
        <v>13</v>
      </c>
      <c r="W4000">
        <v>64</v>
      </c>
      <c r="X4000">
        <v>657</v>
      </c>
      <c r="Y4000">
        <v>58</v>
      </c>
      <c r="Z4000">
        <v>254</v>
      </c>
      <c r="AA4000">
        <v>541</v>
      </c>
      <c r="AB4000">
        <v>8.3375651483950399</v>
      </c>
      <c r="AC4000">
        <v>1.7134238057162E-2</v>
      </c>
      <c r="AD4000">
        <v>3.1565696322399601</v>
      </c>
      <c r="AE4000">
        <v>0.727719306945801</v>
      </c>
      <c r="AF4000">
        <v>88.772173913043503</v>
      </c>
      <c r="AG4000">
        <f>IFERROR(AH4000*0.1, "N/A")</f>
        <v>6.0878260869565208</v>
      </c>
      <c r="AH4000">
        <v>60.878260869565203</v>
      </c>
      <c r="AI4000">
        <v>125.812899422024</v>
      </c>
      <c r="AJ4000">
        <v>14.1147826086957</v>
      </c>
      <c r="AK4000">
        <v>72.114782608695606</v>
      </c>
    </row>
    <row r="4001" spans="1:37" x14ac:dyDescent="0.3">
      <c r="A4001">
        <v>4000</v>
      </c>
      <c r="B4001">
        <v>6</v>
      </c>
      <c r="C4001">
        <v>3.9207999999999998</v>
      </c>
      <c r="D4001">
        <v>6.8208000000000002</v>
      </c>
      <c r="E4001" t="s">
        <v>6204</v>
      </c>
      <c r="F4001" t="s">
        <v>6205</v>
      </c>
      <c r="G4001" t="s">
        <v>39</v>
      </c>
      <c r="H4001">
        <v>1987</v>
      </c>
      <c r="I4001">
        <v>27.1</v>
      </c>
      <c r="J4001">
        <v>7.9</v>
      </c>
      <c r="K4001">
        <v>70</v>
      </c>
      <c r="L4001">
        <v>12</v>
      </c>
      <c r="M4001">
        <v>33.299999999999997</v>
      </c>
      <c r="N4001">
        <v>22.1</v>
      </c>
      <c r="O4001">
        <v>11.2</v>
      </c>
      <c r="P4001">
        <v>26.4</v>
      </c>
      <c r="Q4001">
        <v>27.7</v>
      </c>
      <c r="R4001">
        <v>28.5</v>
      </c>
      <c r="S4001">
        <v>25.3</v>
      </c>
      <c r="T4001">
        <v>1578</v>
      </c>
      <c r="U4001">
        <v>266</v>
      </c>
      <c r="V4001">
        <v>14</v>
      </c>
      <c r="W4001">
        <v>65</v>
      </c>
      <c r="X4001">
        <v>716</v>
      </c>
      <c r="Y4001">
        <v>66</v>
      </c>
      <c r="Z4001">
        <v>253</v>
      </c>
      <c r="AA4001">
        <v>552</v>
      </c>
      <c r="AB4001">
        <v>11.32991</v>
      </c>
      <c r="AC4001">
        <v>5.3588370000000003E-2</v>
      </c>
      <c r="AD4001">
        <v>1.044859</v>
      </c>
      <c r="AE4001">
        <v>0.91882629999999998</v>
      </c>
      <c r="AF4001">
        <v>75.059129999999996</v>
      </c>
      <c r="AG4001">
        <f>IFERROR(AH4001*0.1, "N/A")</f>
        <v>6.1003480000000003</v>
      </c>
      <c r="AH4001">
        <v>61.003480000000003</v>
      </c>
      <c r="AI4001">
        <v>176.9752</v>
      </c>
      <c r="AJ4001">
        <v>22.43478</v>
      </c>
      <c r="AK4001">
        <v>63.34957</v>
      </c>
    </row>
    <row r="4002" spans="1:37" x14ac:dyDescent="0.3">
      <c r="A4002">
        <v>4001</v>
      </c>
      <c r="B4002">
        <v>11.5</v>
      </c>
      <c r="C4002">
        <v>3.9832999999999998</v>
      </c>
      <c r="D4002">
        <v>7.6</v>
      </c>
      <c r="E4002" t="s">
        <v>6206</v>
      </c>
      <c r="F4002" t="s">
        <v>6207</v>
      </c>
      <c r="G4002" t="s">
        <v>39</v>
      </c>
      <c r="H4002">
        <v>1987</v>
      </c>
      <c r="I4002">
        <v>26.034030000000001</v>
      </c>
      <c r="J4002">
        <v>9.8000000000000007</v>
      </c>
      <c r="K4002">
        <v>71</v>
      </c>
      <c r="L4002">
        <v>12.863530000000001</v>
      </c>
      <c r="M4002">
        <v>33.734029999999997</v>
      </c>
      <c r="N4002">
        <v>19.93403</v>
      </c>
      <c r="O4002">
        <v>13.8</v>
      </c>
      <c r="P4002">
        <v>25.202089999999998</v>
      </c>
      <c r="Q4002">
        <v>26.668060000000001</v>
      </c>
      <c r="R4002">
        <v>27.634029999999999</v>
      </c>
      <c r="S4002">
        <v>24.234030000000001</v>
      </c>
      <c r="T4002">
        <v>1259.106</v>
      </c>
      <c r="U4002">
        <v>191.56890000000001</v>
      </c>
      <c r="V4002">
        <v>6</v>
      </c>
      <c r="W4002">
        <v>62.340310000000002</v>
      </c>
      <c r="X4002">
        <v>479.93889999999999</v>
      </c>
      <c r="Y4002">
        <v>40.90925</v>
      </c>
      <c r="Z4002">
        <v>242.93889999999999</v>
      </c>
      <c r="AA4002">
        <v>455.59859999999998</v>
      </c>
      <c r="AB4002">
        <v>9.2411829999999995</v>
      </c>
      <c r="AC4002">
        <v>6.3564159999999995E-2</v>
      </c>
      <c r="AD4002">
        <v>3.9011849999999999</v>
      </c>
      <c r="AE4002">
        <v>0.65785899999999997</v>
      </c>
      <c r="AF4002">
        <v>275.61430000000001</v>
      </c>
      <c r="AG4002">
        <f>IFERROR(AH4002*0.1, "N/A")</f>
        <v>5.6659690000000005</v>
      </c>
      <c r="AH4002">
        <v>56.659689999999998</v>
      </c>
      <c r="AI4002">
        <v>200.60900000000001</v>
      </c>
      <c r="AJ4002">
        <v>19.319369999999999</v>
      </c>
      <c r="AK4002">
        <v>64.680629999999994</v>
      </c>
    </row>
    <row r="4003" spans="1:37" x14ac:dyDescent="0.3">
      <c r="A4003">
        <v>4002</v>
      </c>
      <c r="B4003">
        <v>7</v>
      </c>
      <c r="C4003">
        <v>5.984</v>
      </c>
      <c r="D4003">
        <v>7.952</v>
      </c>
      <c r="E4003" t="s">
        <v>6208</v>
      </c>
      <c r="F4003" t="s">
        <v>6209</v>
      </c>
      <c r="G4003" t="s">
        <v>39</v>
      </c>
      <c r="H4003">
        <v>1987</v>
      </c>
      <c r="I4003">
        <v>25</v>
      </c>
      <c r="J4003">
        <v>10.5</v>
      </c>
      <c r="K4003">
        <v>67</v>
      </c>
      <c r="L4003">
        <v>13.714259999999999</v>
      </c>
      <c r="M4003">
        <v>33.299999999999997</v>
      </c>
      <c r="N4003">
        <v>17.7</v>
      </c>
      <c r="O4003">
        <v>15.6</v>
      </c>
      <c r="P4003">
        <v>23.4</v>
      </c>
      <c r="Q4003">
        <v>25.2</v>
      </c>
      <c r="R4003">
        <v>27</v>
      </c>
      <c r="S4003">
        <v>23.4</v>
      </c>
      <c r="T4003">
        <v>1234</v>
      </c>
      <c r="U4003">
        <v>233</v>
      </c>
      <c r="V4003">
        <v>7</v>
      </c>
      <c r="W4003">
        <v>73</v>
      </c>
      <c r="X4003">
        <v>553</v>
      </c>
      <c r="Y4003">
        <v>34</v>
      </c>
      <c r="Z4003">
        <v>180</v>
      </c>
      <c r="AA4003">
        <v>553</v>
      </c>
      <c r="AB4003">
        <v>5.3781540000000003</v>
      </c>
      <c r="AC4003">
        <v>8.5288790000000003E-2</v>
      </c>
      <c r="AD4003">
        <v>2.3313060000000001</v>
      </c>
      <c r="AE4003">
        <v>0.32499909999999999</v>
      </c>
      <c r="AF4003">
        <v>421.65679999999998</v>
      </c>
      <c r="AG4003">
        <f>IFERROR(AH4003*0.1, "N/A")</f>
        <v>5.9360490000000006</v>
      </c>
      <c r="AH4003">
        <v>59.360489999999999</v>
      </c>
      <c r="AI4003">
        <v>231.7116</v>
      </c>
      <c r="AJ4003">
        <v>18</v>
      </c>
      <c r="AK4003">
        <v>65.360489999999999</v>
      </c>
    </row>
    <row r="4004" spans="1:37" x14ac:dyDescent="0.3">
      <c r="A4004">
        <v>4003</v>
      </c>
      <c r="B4004">
        <v>3</v>
      </c>
      <c r="C4004">
        <v>5.984</v>
      </c>
      <c r="D4004">
        <v>7.952</v>
      </c>
      <c r="E4004" t="s">
        <v>6208</v>
      </c>
      <c r="F4004" t="s">
        <v>6210</v>
      </c>
      <c r="G4004" t="s">
        <v>37</v>
      </c>
      <c r="H4004">
        <v>1987</v>
      </c>
      <c r="I4004">
        <v>25</v>
      </c>
      <c r="J4004">
        <v>10.5</v>
      </c>
      <c r="K4004">
        <v>67</v>
      </c>
      <c r="L4004">
        <v>13.714259999999999</v>
      </c>
      <c r="M4004">
        <v>33.299999999999997</v>
      </c>
      <c r="N4004">
        <v>17.7</v>
      </c>
      <c r="O4004">
        <v>15.6</v>
      </c>
      <c r="P4004">
        <v>23.4</v>
      </c>
      <c r="Q4004">
        <v>25.2</v>
      </c>
      <c r="R4004">
        <v>27</v>
      </c>
      <c r="S4004">
        <v>23.4</v>
      </c>
      <c r="T4004">
        <v>1234</v>
      </c>
      <c r="U4004">
        <v>233</v>
      </c>
      <c r="V4004">
        <v>7</v>
      </c>
      <c r="W4004">
        <v>73</v>
      </c>
      <c r="X4004">
        <v>553</v>
      </c>
      <c r="Y4004">
        <v>34</v>
      </c>
      <c r="Z4004">
        <v>180</v>
      </c>
      <c r="AA4004">
        <v>553</v>
      </c>
      <c r="AB4004">
        <v>5.3781540000000003</v>
      </c>
      <c r="AC4004">
        <v>8.5288790000000003E-2</v>
      </c>
      <c r="AD4004">
        <v>2.3313060000000001</v>
      </c>
      <c r="AE4004">
        <v>0.32499909999999999</v>
      </c>
      <c r="AF4004">
        <v>421.65679999999998</v>
      </c>
      <c r="AG4004">
        <f>IFERROR(AH4004*0.1, "N/A")</f>
        <v>5.9360490000000006</v>
      </c>
      <c r="AH4004">
        <v>59.360489999999999</v>
      </c>
      <c r="AI4004">
        <v>231.7116</v>
      </c>
      <c r="AJ4004">
        <v>18</v>
      </c>
      <c r="AK4004">
        <v>65.360489999999999</v>
      </c>
    </row>
    <row r="4005" spans="1:37" x14ac:dyDescent="0.3">
      <c r="A4005">
        <v>4004</v>
      </c>
      <c r="B4005">
        <v>13.3</v>
      </c>
      <c r="C4005">
        <v>6.9809999999999999</v>
      </c>
      <c r="D4005">
        <v>7.6849999999999996</v>
      </c>
      <c r="E4005" t="s">
        <v>6211</v>
      </c>
      <c r="F4005" t="s">
        <v>6212</v>
      </c>
      <c r="G4005" t="s">
        <v>39</v>
      </c>
      <c r="H4005">
        <v>1987</v>
      </c>
      <c r="I4005">
        <v>26.5</v>
      </c>
      <c r="J4005">
        <v>10.4</v>
      </c>
      <c r="K4005">
        <v>66</v>
      </c>
      <c r="L4005">
        <v>12.85</v>
      </c>
      <c r="M4005">
        <v>34.6</v>
      </c>
      <c r="N4005">
        <v>19</v>
      </c>
      <c r="O4005">
        <v>15.6</v>
      </c>
      <c r="P4005">
        <v>25.2</v>
      </c>
      <c r="Q4005">
        <v>26.4</v>
      </c>
      <c r="R4005">
        <v>28.5</v>
      </c>
      <c r="S4005">
        <v>25.2</v>
      </c>
      <c r="T4005">
        <v>1233</v>
      </c>
      <c r="U4005">
        <v>241</v>
      </c>
      <c r="V4005">
        <v>4</v>
      </c>
      <c r="W4005">
        <v>78</v>
      </c>
      <c r="X4005">
        <v>592</v>
      </c>
      <c r="Y4005">
        <v>20</v>
      </c>
      <c r="Z4005">
        <v>146</v>
      </c>
      <c r="AA4005">
        <v>592</v>
      </c>
      <c r="AB4005">
        <v>13.100519999999999</v>
      </c>
      <c r="AC4005">
        <v>1.232513E-2</v>
      </c>
      <c r="AD4005">
        <v>1.7979810000000001</v>
      </c>
      <c r="AE4005">
        <v>0.56598749999999998</v>
      </c>
      <c r="AF4005">
        <v>181.51740000000001</v>
      </c>
      <c r="AG4005">
        <f>IFERROR(AH4005*0.1, "N/A")</f>
        <v>5.7677700000000005</v>
      </c>
      <c r="AH4005">
        <v>57.677700000000002</v>
      </c>
      <c r="AI4005">
        <v>271.00749999999999</v>
      </c>
      <c r="AJ4005">
        <v>17</v>
      </c>
      <c r="AK4005">
        <v>68</v>
      </c>
    </row>
    <row r="4006" spans="1:37" x14ac:dyDescent="0.3">
      <c r="A4006">
        <v>4005</v>
      </c>
      <c r="B4006">
        <v>0</v>
      </c>
      <c r="C4006">
        <v>3.5310000000000001</v>
      </c>
      <c r="D4006">
        <v>7.4169999999999998</v>
      </c>
      <c r="E4006" t="s">
        <v>6213</v>
      </c>
      <c r="F4006" t="s">
        <v>6214</v>
      </c>
      <c r="G4006" t="s">
        <v>39</v>
      </c>
      <c r="H4006">
        <v>1987</v>
      </c>
      <c r="I4006">
        <v>27.380939999999999</v>
      </c>
      <c r="J4006">
        <v>9.5</v>
      </c>
      <c r="K4006">
        <v>71.095320000000001</v>
      </c>
      <c r="L4006">
        <v>12.67381</v>
      </c>
      <c r="M4006">
        <v>34.880940000000002</v>
      </c>
      <c r="N4006">
        <v>21.6</v>
      </c>
      <c r="O4006">
        <v>13.280939999999999</v>
      </c>
      <c r="P4006">
        <v>26.68094</v>
      </c>
      <c r="Q4006">
        <v>27.990469999999998</v>
      </c>
      <c r="R4006">
        <v>28.990469999999998</v>
      </c>
      <c r="S4006">
        <v>25.68094</v>
      </c>
      <c r="T4006">
        <v>1223.6669999999999</v>
      </c>
      <c r="U4006">
        <v>182</v>
      </c>
      <c r="V4006">
        <v>10</v>
      </c>
      <c r="W4006">
        <v>61</v>
      </c>
      <c r="X4006">
        <v>494.19060000000002</v>
      </c>
      <c r="Y4006">
        <v>46.095320000000001</v>
      </c>
      <c r="Z4006">
        <v>271.19060000000002</v>
      </c>
      <c r="AA4006">
        <v>396.19060000000002</v>
      </c>
      <c r="AB4006">
        <v>0.93535389999999996</v>
      </c>
      <c r="AC4006">
        <v>31.634270000000001</v>
      </c>
      <c r="AD4006">
        <v>1.4515530000000001</v>
      </c>
      <c r="AE4006">
        <v>0.68586849999999999</v>
      </c>
      <c r="AF4006">
        <v>86.311959999999999</v>
      </c>
      <c r="AG4006">
        <f>IFERROR(AH4006*0.1, "N/A")</f>
        <v>6.0722700000000005</v>
      </c>
      <c r="AH4006">
        <v>60.722700000000003</v>
      </c>
      <c r="AI4006">
        <v>210.39080000000001</v>
      </c>
      <c r="AJ4006">
        <v>15.2773</v>
      </c>
      <c r="AK4006">
        <v>68</v>
      </c>
    </row>
    <row r="4007" spans="1:37" x14ac:dyDescent="0.3">
      <c r="A4007">
        <v>4006</v>
      </c>
      <c r="B4007">
        <v>9</v>
      </c>
      <c r="C4007">
        <v>3.488</v>
      </c>
      <c r="D4007">
        <v>7.4009999999999998</v>
      </c>
      <c r="E4007" t="s">
        <v>6215</v>
      </c>
      <c r="F4007" t="s">
        <v>6216</v>
      </c>
      <c r="G4007" t="s">
        <v>39</v>
      </c>
      <c r="H4007">
        <v>1987</v>
      </c>
      <c r="I4007">
        <v>27.5</v>
      </c>
      <c r="J4007">
        <v>9.5</v>
      </c>
      <c r="K4007">
        <v>72.024349999999998</v>
      </c>
      <c r="L4007">
        <v>12.66732</v>
      </c>
      <c r="M4007">
        <v>34.897570000000002</v>
      </c>
      <c r="N4007">
        <v>21.8</v>
      </c>
      <c r="O4007">
        <v>13.097569999999999</v>
      </c>
      <c r="P4007">
        <v>26.7</v>
      </c>
      <c r="Q4007">
        <v>28.1</v>
      </c>
      <c r="R4007">
        <v>29.1</v>
      </c>
      <c r="S4007">
        <v>25.7</v>
      </c>
      <c r="T4007">
        <v>1218.0239999999999</v>
      </c>
      <c r="U4007">
        <v>182.02430000000001</v>
      </c>
      <c r="V4007">
        <v>10</v>
      </c>
      <c r="W4007">
        <v>61</v>
      </c>
      <c r="X4007">
        <v>493.07299999999998</v>
      </c>
      <c r="Y4007">
        <v>47</v>
      </c>
      <c r="Z4007">
        <v>271.97570000000002</v>
      </c>
      <c r="AA4007">
        <v>393</v>
      </c>
      <c r="AB4007">
        <v>2.749914</v>
      </c>
      <c r="AC4007">
        <v>0.55785099999999999</v>
      </c>
      <c r="AD4007">
        <v>1.5820339999999999</v>
      </c>
      <c r="AE4007">
        <v>0.68028710000000003</v>
      </c>
      <c r="AF4007">
        <v>73.057389999999998</v>
      </c>
      <c r="AG4007">
        <f>IFERROR(AH4007*0.1, "N/A")</f>
        <v>6.1984349999999999</v>
      </c>
      <c r="AH4007">
        <v>61.984349999999999</v>
      </c>
      <c r="AI4007">
        <v>59.04251</v>
      </c>
      <c r="AJ4007">
        <v>19.30087</v>
      </c>
      <c r="AK4007">
        <v>62.683480000000003</v>
      </c>
    </row>
    <row r="4008" spans="1:37" x14ac:dyDescent="0.3">
      <c r="A4008">
        <v>4007</v>
      </c>
      <c r="B4008">
        <v>9.6999999999999993</v>
      </c>
      <c r="C4008">
        <v>3.9129999999999998</v>
      </c>
      <c r="D4008">
        <v>7.6689999999999996</v>
      </c>
      <c r="E4008" t="s">
        <v>6217</v>
      </c>
      <c r="F4008" t="s">
        <v>6218</v>
      </c>
      <c r="G4008" t="s">
        <v>39</v>
      </c>
      <c r="H4008">
        <v>1987</v>
      </c>
      <c r="I4008">
        <v>26.1</v>
      </c>
      <c r="J4008">
        <v>9.9</v>
      </c>
      <c r="K4008">
        <v>70</v>
      </c>
      <c r="L4008">
        <v>12.8</v>
      </c>
      <c r="M4008">
        <v>33.9</v>
      </c>
      <c r="N4008">
        <v>19.8</v>
      </c>
      <c r="O4008">
        <v>14.1</v>
      </c>
      <c r="P4008">
        <v>25.4</v>
      </c>
      <c r="Q4008">
        <v>26.6</v>
      </c>
      <c r="R4008">
        <v>27.7</v>
      </c>
      <c r="S4008">
        <v>24.3</v>
      </c>
      <c r="T4008">
        <v>1229</v>
      </c>
      <c r="U4008">
        <v>190</v>
      </c>
      <c r="V4008">
        <v>6</v>
      </c>
      <c r="W4008">
        <v>63</v>
      </c>
      <c r="X4008">
        <v>467</v>
      </c>
      <c r="Y4008">
        <v>41</v>
      </c>
      <c r="Z4008">
        <v>240</v>
      </c>
      <c r="AA4008">
        <v>438</v>
      </c>
      <c r="AB4008">
        <v>3.7237179999999999</v>
      </c>
      <c r="AC4008">
        <v>4.8096270000000003E-2</v>
      </c>
      <c r="AD4008">
        <v>2.4176850000000001</v>
      </c>
      <c r="AE4008">
        <v>0.71324399999999999</v>
      </c>
      <c r="AF4008">
        <v>283.53460000000001</v>
      </c>
      <c r="AG4008">
        <f>IFERROR(AH4008*0.1, "N/A")</f>
        <v>5.7008650000000003</v>
      </c>
      <c r="AH4008">
        <v>57.008650000000003</v>
      </c>
      <c r="AI4008">
        <v>143.3527</v>
      </c>
      <c r="AJ4008">
        <v>13.006919999999999</v>
      </c>
      <c r="AK4008">
        <v>72.984430000000003</v>
      </c>
    </row>
    <row r="4009" spans="1:37" x14ac:dyDescent="0.3">
      <c r="A4009">
        <v>4008</v>
      </c>
      <c r="B4009">
        <v>13.9</v>
      </c>
      <c r="C4009">
        <v>3.36917</v>
      </c>
      <c r="D4009">
        <v>6.69</v>
      </c>
      <c r="E4009" t="s">
        <v>6219</v>
      </c>
      <c r="F4009" t="s">
        <v>6220</v>
      </c>
      <c r="G4009" t="s">
        <v>39</v>
      </c>
      <c r="H4009">
        <v>1987</v>
      </c>
      <c r="I4009">
        <v>26.9</v>
      </c>
      <c r="J4009">
        <v>7.2</v>
      </c>
      <c r="K4009">
        <v>72</v>
      </c>
      <c r="L4009">
        <v>11.05</v>
      </c>
      <c r="M4009">
        <v>32.299999999999997</v>
      </c>
      <c r="N4009">
        <v>22.3</v>
      </c>
      <c r="O4009">
        <v>10</v>
      </c>
      <c r="P4009">
        <v>26.2</v>
      </c>
      <c r="Q4009">
        <v>27.7</v>
      </c>
      <c r="R4009">
        <v>28.3</v>
      </c>
      <c r="S4009">
        <v>25.4</v>
      </c>
      <c r="T4009">
        <v>1539</v>
      </c>
      <c r="U4009">
        <v>321</v>
      </c>
      <c r="V4009">
        <v>17</v>
      </c>
      <c r="W4009">
        <v>70</v>
      </c>
      <c r="X4009">
        <v>762</v>
      </c>
      <c r="Y4009">
        <v>74</v>
      </c>
      <c r="Z4009">
        <v>255</v>
      </c>
      <c r="AA4009">
        <v>478</v>
      </c>
      <c r="AB4009">
        <v>24.265319999999999</v>
      </c>
      <c r="AC4009">
        <v>1.7234409999999999E-2</v>
      </c>
      <c r="AD4009">
        <v>5.2199470000000003</v>
      </c>
      <c r="AE4009">
        <v>0.84600699999999995</v>
      </c>
      <c r="AF4009">
        <v>27.493870000000001</v>
      </c>
      <c r="AG4009">
        <f>IFERROR(AH4009*0.1, "N/A")</f>
        <v>6</v>
      </c>
      <c r="AH4009">
        <v>60</v>
      </c>
      <c r="AI4009">
        <v>96.694460000000007</v>
      </c>
      <c r="AJ4009">
        <v>19.064800000000002</v>
      </c>
      <c r="AK4009">
        <v>66.893169999999998</v>
      </c>
    </row>
    <row r="4010" spans="1:37" x14ac:dyDescent="0.3">
      <c r="A4010">
        <v>4009</v>
      </c>
      <c r="B4010">
        <v>25.8</v>
      </c>
      <c r="C4010">
        <v>4.0640000000000001</v>
      </c>
      <c r="D4010">
        <v>7.4630000000000001</v>
      </c>
      <c r="E4010" t="s">
        <v>6221</v>
      </c>
      <c r="F4010" t="s">
        <v>6222</v>
      </c>
      <c r="G4010" t="s">
        <v>39</v>
      </c>
      <c r="H4010">
        <v>1987</v>
      </c>
      <c r="I4010">
        <v>26.5</v>
      </c>
      <c r="J4010">
        <v>9.5</v>
      </c>
      <c r="K4010">
        <v>70</v>
      </c>
      <c r="L4010">
        <v>12.9</v>
      </c>
      <c r="M4010">
        <v>34</v>
      </c>
      <c r="N4010">
        <v>20.6</v>
      </c>
      <c r="O4010">
        <v>13.4</v>
      </c>
      <c r="P4010">
        <v>25.8</v>
      </c>
      <c r="Q4010">
        <v>27.1</v>
      </c>
      <c r="R4010">
        <v>28</v>
      </c>
      <c r="S4010">
        <v>24.6</v>
      </c>
      <c r="T4010">
        <v>1303</v>
      </c>
      <c r="U4010">
        <v>191</v>
      </c>
      <c r="V4010">
        <v>6</v>
      </c>
      <c r="W4010">
        <v>63</v>
      </c>
      <c r="X4010">
        <v>508</v>
      </c>
      <c r="Y4010">
        <v>40</v>
      </c>
      <c r="Z4010">
        <v>245</v>
      </c>
      <c r="AA4010">
        <v>482</v>
      </c>
      <c r="AB4010">
        <v>7.6855140000000004</v>
      </c>
      <c r="AC4010">
        <v>1.9705460000000001E-2</v>
      </c>
      <c r="AD4010">
        <v>2.3474309999999998</v>
      </c>
      <c r="AE4010">
        <v>0.73744419999999999</v>
      </c>
      <c r="AF4010">
        <v>213.4572</v>
      </c>
      <c r="AG4010">
        <f>IFERROR(AH4010*0.1, "N/A")</f>
        <v>5.8000000000000007</v>
      </c>
      <c r="AH4010">
        <v>58</v>
      </c>
      <c r="AI4010">
        <v>36.574939999999998</v>
      </c>
      <c r="AJ4010">
        <v>15</v>
      </c>
      <c r="AK4010">
        <v>68</v>
      </c>
    </row>
    <row r="4011" spans="1:37" x14ac:dyDescent="0.3">
      <c r="A4011">
        <v>4010</v>
      </c>
      <c r="B4011">
        <v>12.2</v>
      </c>
      <c r="C4011">
        <v>4.0839999999999996</v>
      </c>
      <c r="D4011">
        <v>7.5350000000000001</v>
      </c>
      <c r="E4011" t="s">
        <v>6223</v>
      </c>
      <c r="F4011" t="s">
        <v>6224</v>
      </c>
      <c r="G4011" t="s">
        <v>39</v>
      </c>
      <c r="H4011">
        <v>1987</v>
      </c>
      <c r="I4011">
        <v>26.473389999999998</v>
      </c>
      <c r="J4011">
        <v>9.6</v>
      </c>
      <c r="K4011">
        <v>69.266090000000005</v>
      </c>
      <c r="L4011">
        <v>12.789910000000001</v>
      </c>
      <c r="M4011">
        <v>34.173389999999998</v>
      </c>
      <c r="N4011">
        <v>20.399999999999999</v>
      </c>
      <c r="O4011">
        <v>13.773389999999999</v>
      </c>
      <c r="P4011">
        <v>25.8</v>
      </c>
      <c r="Q4011">
        <v>27.07339</v>
      </c>
      <c r="R4011">
        <v>28.07339</v>
      </c>
      <c r="S4011">
        <v>24.673390000000001</v>
      </c>
      <c r="T4011">
        <v>1278.5319999999999</v>
      </c>
      <c r="U4011">
        <v>191.26609999999999</v>
      </c>
      <c r="V4011">
        <v>6</v>
      </c>
      <c r="W4011">
        <v>63</v>
      </c>
      <c r="X4011">
        <v>493.26609999999999</v>
      </c>
      <c r="Y4011">
        <v>40</v>
      </c>
      <c r="Z4011">
        <v>242</v>
      </c>
      <c r="AA4011">
        <v>469.26609999999999</v>
      </c>
      <c r="AB4011">
        <v>2.7947860000000002</v>
      </c>
      <c r="AC4011">
        <v>0.38272460000000003</v>
      </c>
      <c r="AD4011">
        <v>3.112444</v>
      </c>
      <c r="AE4011">
        <v>0.75449750000000004</v>
      </c>
      <c r="AF4011">
        <v>212.7861</v>
      </c>
      <c r="AG4011">
        <f>IFERROR(AH4011*0.1, "N/A")</f>
        <v>5.7266089999999998</v>
      </c>
      <c r="AH4011">
        <v>57.266089999999998</v>
      </c>
      <c r="AI4011">
        <v>314.96839999999997</v>
      </c>
      <c r="AJ4011">
        <v>15.26609</v>
      </c>
      <c r="AK4011">
        <v>71</v>
      </c>
    </row>
    <row r="4012" spans="1:37" x14ac:dyDescent="0.3">
      <c r="A4012">
        <v>4011</v>
      </c>
      <c r="B4012">
        <v>31.4</v>
      </c>
      <c r="C4012">
        <v>3.698</v>
      </c>
      <c r="D4012">
        <v>7.4349999999999996</v>
      </c>
      <c r="E4012" t="s">
        <v>6225</v>
      </c>
      <c r="F4012" t="s">
        <v>6226</v>
      </c>
      <c r="G4012" t="s">
        <v>39</v>
      </c>
      <c r="H4012">
        <v>1987</v>
      </c>
      <c r="I4012">
        <v>26.6</v>
      </c>
      <c r="J4012">
        <v>9.5</v>
      </c>
      <c r="K4012">
        <v>71</v>
      </c>
      <c r="L4012">
        <v>12.92</v>
      </c>
      <c r="M4012">
        <v>34.1</v>
      </c>
      <c r="N4012">
        <v>20.8</v>
      </c>
      <c r="O4012">
        <v>13.3</v>
      </c>
      <c r="P4012">
        <v>25.9</v>
      </c>
      <c r="Q4012">
        <v>27.3</v>
      </c>
      <c r="R4012">
        <v>28.2</v>
      </c>
      <c r="S4012">
        <v>24.8</v>
      </c>
      <c r="T4012">
        <v>1253</v>
      </c>
      <c r="U4012">
        <v>183</v>
      </c>
      <c r="V4012">
        <v>7</v>
      </c>
      <c r="W4012">
        <v>62</v>
      </c>
      <c r="X4012">
        <v>499</v>
      </c>
      <c r="Y4012">
        <v>42</v>
      </c>
      <c r="Z4012">
        <v>253</v>
      </c>
      <c r="AA4012">
        <v>437</v>
      </c>
      <c r="AB4012">
        <v>1.3111079999999999</v>
      </c>
      <c r="AC4012">
        <v>0.71880069999999996</v>
      </c>
      <c r="AD4012">
        <v>2.1938200000000001</v>
      </c>
      <c r="AE4012">
        <v>0.70285500000000001</v>
      </c>
      <c r="AF4012">
        <v>197.9427</v>
      </c>
      <c r="AG4012">
        <f>IFERROR(AH4012*0.1, "N/A")</f>
        <v>6.1000000000000005</v>
      </c>
      <c r="AH4012">
        <v>61</v>
      </c>
      <c r="AI4012">
        <v>297.77879999999999</v>
      </c>
      <c r="AJ4012">
        <v>13.15972</v>
      </c>
      <c r="AK4012">
        <v>69.835070000000002</v>
      </c>
    </row>
    <row r="4013" spans="1:37" x14ac:dyDescent="0.3">
      <c r="A4013">
        <v>4012</v>
      </c>
      <c r="B4013">
        <v>10</v>
      </c>
      <c r="C4013">
        <v>3.5150000000000001</v>
      </c>
      <c r="D4013">
        <v>7.585</v>
      </c>
      <c r="E4013" t="s">
        <v>6227</v>
      </c>
      <c r="F4013" t="s">
        <v>6228</v>
      </c>
      <c r="G4013" t="s">
        <v>39</v>
      </c>
      <c r="H4013">
        <v>1987</v>
      </c>
      <c r="I4013">
        <v>26.9</v>
      </c>
      <c r="J4013">
        <v>9.9</v>
      </c>
      <c r="K4013">
        <v>72</v>
      </c>
      <c r="L4013">
        <v>12.85</v>
      </c>
      <c r="M4013">
        <v>34.6</v>
      </c>
      <c r="N4013">
        <v>20.9</v>
      </c>
      <c r="O4013">
        <v>13.7</v>
      </c>
      <c r="P4013">
        <v>26.1</v>
      </c>
      <c r="Q4013">
        <v>27.5</v>
      </c>
      <c r="R4013">
        <v>28.5</v>
      </c>
      <c r="S4013">
        <v>25.1</v>
      </c>
      <c r="T4013">
        <v>1189</v>
      </c>
      <c r="U4013">
        <v>171</v>
      </c>
      <c r="V4013">
        <v>8</v>
      </c>
      <c r="W4013">
        <v>62</v>
      </c>
      <c r="X4013">
        <v>470</v>
      </c>
      <c r="Y4013">
        <v>42</v>
      </c>
      <c r="Z4013">
        <v>250</v>
      </c>
      <c r="AA4013">
        <v>409</v>
      </c>
      <c r="AB4013">
        <v>12.545579999999999</v>
      </c>
      <c r="AC4013">
        <v>2.3661129999999999E-2</v>
      </c>
      <c r="AD4013">
        <v>2.6431529999999999</v>
      </c>
      <c r="AE4013">
        <v>0.32628790000000002</v>
      </c>
      <c r="AF4013">
        <v>174.7816</v>
      </c>
      <c r="AG4013">
        <f>IFERROR(AH4013*0.1, "N/A")</f>
        <v>6.2</v>
      </c>
      <c r="AH4013">
        <v>62</v>
      </c>
      <c r="AI4013">
        <v>134.33099999999999</v>
      </c>
      <c r="AJ4013">
        <v>10</v>
      </c>
      <c r="AK4013">
        <v>73.993070000000003</v>
      </c>
    </row>
    <row r="4014" spans="1:37" x14ac:dyDescent="0.3">
      <c r="A4014">
        <v>4013</v>
      </c>
      <c r="B4014">
        <v>7.5</v>
      </c>
      <c r="C4014">
        <v>3.899</v>
      </c>
      <c r="D4014">
        <v>7.1180000000000003</v>
      </c>
      <c r="E4014" t="s">
        <v>6229</v>
      </c>
      <c r="F4014" t="s">
        <v>6230</v>
      </c>
      <c r="G4014" t="s">
        <v>39</v>
      </c>
      <c r="H4014">
        <v>1987</v>
      </c>
      <c r="I4014">
        <v>26.98854</v>
      </c>
      <c r="J4014">
        <v>8.6999999999999993</v>
      </c>
      <c r="K4014">
        <v>71</v>
      </c>
      <c r="L4014">
        <v>12.355729999999999</v>
      </c>
      <c r="M4014">
        <v>33.788539999999998</v>
      </c>
      <c r="N4014">
        <v>21.68854</v>
      </c>
      <c r="O4014">
        <v>12.1</v>
      </c>
      <c r="P4014">
        <v>26.288540000000001</v>
      </c>
      <c r="Q4014">
        <v>27.68854</v>
      </c>
      <c r="R4014">
        <v>28.48854</v>
      </c>
      <c r="S4014">
        <v>25.18854</v>
      </c>
      <c r="T4014">
        <v>1410.3440000000001</v>
      </c>
      <c r="U4014">
        <v>220.9427</v>
      </c>
      <c r="V4014">
        <v>11</v>
      </c>
      <c r="W4014">
        <v>63</v>
      </c>
      <c r="X4014">
        <v>599</v>
      </c>
      <c r="Y4014">
        <v>51</v>
      </c>
      <c r="Z4014">
        <v>253.0573</v>
      </c>
      <c r="AA4014">
        <v>501.22919999999999</v>
      </c>
      <c r="AB4014">
        <v>30.974129999999999</v>
      </c>
      <c r="AC4014">
        <v>3.9235190000000003E-2</v>
      </c>
      <c r="AD4014">
        <v>3.8929559999999999</v>
      </c>
      <c r="AE4014">
        <v>0.60580290000000003</v>
      </c>
      <c r="AF4014">
        <v>109.6354</v>
      </c>
      <c r="AG4014">
        <f>IFERROR(AH4014*0.1, "N/A")</f>
        <v>5.8581600000000007</v>
      </c>
      <c r="AH4014">
        <v>58.581600000000002</v>
      </c>
      <c r="AI4014">
        <v>296.52140000000003</v>
      </c>
      <c r="AJ4014">
        <v>17.748259999999998</v>
      </c>
      <c r="AK4014">
        <v>68.640630000000002</v>
      </c>
    </row>
    <row r="4015" spans="1:37" x14ac:dyDescent="0.3">
      <c r="A4015">
        <v>4014</v>
      </c>
      <c r="B4015">
        <v>6.7</v>
      </c>
      <c r="C4015">
        <v>3.9403999999999999</v>
      </c>
      <c r="D4015">
        <v>6.9630999999999998</v>
      </c>
      <c r="E4015" t="s">
        <v>6231</v>
      </c>
      <c r="F4015" t="s">
        <v>6232</v>
      </c>
      <c r="G4015" t="s">
        <v>39</v>
      </c>
      <c r="H4015">
        <v>1987</v>
      </c>
      <c r="I4015">
        <v>27.1</v>
      </c>
      <c r="J4015">
        <v>8.3000000000000007</v>
      </c>
      <c r="K4015">
        <v>70</v>
      </c>
      <c r="L4015">
        <v>11.99</v>
      </c>
      <c r="M4015">
        <v>33.6</v>
      </c>
      <c r="N4015">
        <v>21.9</v>
      </c>
      <c r="O4015">
        <v>11.7</v>
      </c>
      <c r="P4015">
        <v>26.4</v>
      </c>
      <c r="Q4015">
        <v>27.7</v>
      </c>
      <c r="R4015">
        <v>28.6</v>
      </c>
      <c r="S4015">
        <v>25.4</v>
      </c>
      <c r="T4015">
        <v>1497</v>
      </c>
      <c r="U4015">
        <v>243</v>
      </c>
      <c r="V4015">
        <v>12</v>
      </c>
      <c r="W4015">
        <v>64</v>
      </c>
      <c r="X4015">
        <v>659</v>
      </c>
      <c r="Y4015">
        <v>58</v>
      </c>
      <c r="Z4015">
        <v>252</v>
      </c>
      <c r="AA4015">
        <v>530</v>
      </c>
      <c r="AB4015">
        <v>15.493539999999999</v>
      </c>
      <c r="AC4015">
        <v>3.5380750000000002E-2</v>
      </c>
      <c r="AD4015">
        <v>2.3155009999999998</v>
      </c>
      <c r="AE4015">
        <v>0.72547620000000002</v>
      </c>
      <c r="AF4015">
        <v>76.741709999999998</v>
      </c>
      <c r="AG4015">
        <f>IFERROR(AH4015*0.1, "N/A")</f>
        <v>5.7</v>
      </c>
      <c r="AH4015">
        <v>57</v>
      </c>
      <c r="AI4015">
        <v>158.68090000000001</v>
      </c>
      <c r="AJ4015">
        <v>17.85689</v>
      </c>
      <c r="AK4015">
        <v>65</v>
      </c>
    </row>
    <row r="4016" spans="1:37" x14ac:dyDescent="0.3">
      <c r="A4016">
        <v>4015</v>
      </c>
      <c r="B4016">
        <v>12.6</v>
      </c>
      <c r="C4016">
        <v>4.0469999999999997</v>
      </c>
      <c r="D4016">
        <v>7.5510000000000002</v>
      </c>
      <c r="E4016" t="s">
        <v>6233</v>
      </c>
      <c r="F4016" t="s">
        <v>6234</v>
      </c>
      <c r="G4016" t="s">
        <v>39</v>
      </c>
      <c r="H4016">
        <v>1987</v>
      </c>
      <c r="I4016">
        <v>26.302949999999999</v>
      </c>
      <c r="J4016">
        <v>9.6999999999999993</v>
      </c>
      <c r="K4016">
        <v>70.029510000000002</v>
      </c>
      <c r="L4016">
        <v>13.00882</v>
      </c>
      <c r="M4016">
        <v>34</v>
      </c>
      <c r="N4016">
        <v>20.302949999999999</v>
      </c>
      <c r="O4016">
        <v>13.697050000000001</v>
      </c>
      <c r="P4016">
        <v>25.605899999999998</v>
      </c>
      <c r="Q4016">
        <v>26.902950000000001</v>
      </c>
      <c r="R4016">
        <v>27.902950000000001</v>
      </c>
      <c r="S4016">
        <v>24.405899999999999</v>
      </c>
      <c r="T4016">
        <v>1273.97</v>
      </c>
      <c r="U4016">
        <v>190.97049999999999</v>
      </c>
      <c r="V4016">
        <v>6</v>
      </c>
      <c r="W4016">
        <v>63</v>
      </c>
      <c r="X4016">
        <v>489.02949999999998</v>
      </c>
      <c r="Y4016">
        <v>40</v>
      </c>
      <c r="Z4016">
        <v>242.97049999999999</v>
      </c>
      <c r="AA4016">
        <v>466</v>
      </c>
      <c r="AB4016">
        <v>27.966670000000001</v>
      </c>
      <c r="AC4016">
        <v>8.5487749999999998E-3</v>
      </c>
      <c r="AD4016">
        <v>2.7662650000000002</v>
      </c>
      <c r="AE4016">
        <v>0.6457465</v>
      </c>
      <c r="AF4016">
        <v>243.92359999999999</v>
      </c>
      <c r="AG4016">
        <f>IFERROR(AH4016*0.1, "N/A")</f>
        <v>5.6000000000000005</v>
      </c>
      <c r="AH4016">
        <v>56</v>
      </c>
      <c r="AI4016">
        <v>157.79939999999999</v>
      </c>
      <c r="AJ4016">
        <v>16.046880000000002</v>
      </c>
      <c r="AK4016">
        <v>68.317710000000005</v>
      </c>
    </row>
    <row r="4017" spans="1:37" x14ac:dyDescent="0.3">
      <c r="A4017">
        <v>4016</v>
      </c>
      <c r="B4017">
        <v>23.7</v>
      </c>
      <c r="C4017">
        <v>3.7109999999999999</v>
      </c>
      <c r="D4017">
        <v>7.2169999999999996</v>
      </c>
      <c r="E4017" t="s">
        <v>6235</v>
      </c>
      <c r="F4017" t="s">
        <v>6236</v>
      </c>
      <c r="G4017" t="s">
        <v>39</v>
      </c>
      <c r="H4017">
        <v>1987</v>
      </c>
      <c r="I4017">
        <v>26.8</v>
      </c>
      <c r="J4017">
        <v>8.9</v>
      </c>
      <c r="K4017">
        <v>72</v>
      </c>
      <c r="L4017">
        <v>12.400779999999999</v>
      </c>
      <c r="M4017">
        <v>33.799999999999997</v>
      </c>
      <c r="N4017">
        <v>21.5</v>
      </c>
      <c r="O4017">
        <v>12.3</v>
      </c>
      <c r="P4017">
        <v>26.1</v>
      </c>
      <c r="Q4017">
        <v>27.5</v>
      </c>
      <c r="R4017">
        <v>28.3</v>
      </c>
      <c r="S4017">
        <v>25.1</v>
      </c>
      <c r="T4017">
        <v>1333.078</v>
      </c>
      <c r="U4017">
        <v>206.53909999999999</v>
      </c>
      <c r="V4017">
        <v>10</v>
      </c>
      <c r="W4017">
        <v>62</v>
      </c>
      <c r="X4017">
        <v>556.07830000000001</v>
      </c>
      <c r="Y4017">
        <v>49</v>
      </c>
      <c r="Z4017">
        <v>259</v>
      </c>
      <c r="AA4017">
        <v>458.53910000000002</v>
      </c>
      <c r="AB4017">
        <v>5.825043</v>
      </c>
      <c r="AC4017">
        <v>0.31837280000000001</v>
      </c>
      <c r="AD4017">
        <v>3.7838240000000001</v>
      </c>
      <c r="AE4017">
        <v>0.64561670000000004</v>
      </c>
      <c r="AF4017">
        <v>133.07650000000001</v>
      </c>
      <c r="AG4017">
        <f>IFERROR(AH4017*0.1, "N/A")</f>
        <v>5.8000000000000007</v>
      </c>
      <c r="AH4017">
        <v>58</v>
      </c>
      <c r="AI4017">
        <v>143.10380000000001</v>
      </c>
      <c r="AJ4017">
        <v>16</v>
      </c>
      <c r="AK4017">
        <v>70</v>
      </c>
    </row>
    <row r="4018" spans="1:37" x14ac:dyDescent="0.3">
      <c r="A4018">
        <v>4017</v>
      </c>
      <c r="B4018">
        <v>4</v>
      </c>
      <c r="C4018">
        <v>4.968</v>
      </c>
      <c r="D4018">
        <v>7.968</v>
      </c>
      <c r="E4018" t="s">
        <v>6237</v>
      </c>
      <c r="F4018" t="s">
        <v>6238</v>
      </c>
      <c r="G4018" t="s">
        <v>39</v>
      </c>
      <c r="H4018">
        <v>1987</v>
      </c>
      <c r="I4018">
        <v>25.2</v>
      </c>
      <c r="J4018">
        <v>10.5</v>
      </c>
      <c r="K4018">
        <v>69</v>
      </c>
      <c r="L4018">
        <v>13.3</v>
      </c>
      <c r="M4018">
        <v>33.4</v>
      </c>
      <c r="N4018">
        <v>18.2</v>
      </c>
      <c r="O4018">
        <v>15.2</v>
      </c>
      <c r="P4018">
        <v>23.8</v>
      </c>
      <c r="Q4018">
        <v>25.6</v>
      </c>
      <c r="R4018">
        <v>26.9</v>
      </c>
      <c r="S4018">
        <v>23.4</v>
      </c>
      <c r="T4018">
        <v>1279</v>
      </c>
      <c r="U4018">
        <v>228</v>
      </c>
      <c r="V4018">
        <v>9</v>
      </c>
      <c r="W4018">
        <v>66</v>
      </c>
      <c r="X4018">
        <v>532</v>
      </c>
      <c r="Y4018">
        <v>45</v>
      </c>
      <c r="Z4018">
        <v>213</v>
      </c>
      <c r="AA4018">
        <v>506</v>
      </c>
      <c r="AB4018">
        <v>5.7352449999999999</v>
      </c>
      <c r="AC4018">
        <v>69.372140000000002</v>
      </c>
      <c r="AD4018">
        <v>19.84656</v>
      </c>
      <c r="AE4018">
        <v>0.3141197</v>
      </c>
      <c r="AF4018">
        <v>452.36810000000003</v>
      </c>
      <c r="AG4018">
        <f>IFERROR(AH4018*0.1, "N/A")</f>
        <v>5.8050350000000002</v>
      </c>
      <c r="AH4018">
        <v>58.050350000000002</v>
      </c>
      <c r="AI4018">
        <v>109.1065</v>
      </c>
      <c r="AJ4018">
        <v>28.03819</v>
      </c>
      <c r="AK4018">
        <v>52.03125</v>
      </c>
    </row>
    <row r="4019" spans="1:37" x14ac:dyDescent="0.3">
      <c r="A4019">
        <v>4018</v>
      </c>
      <c r="B4019">
        <v>6.5</v>
      </c>
      <c r="C4019">
        <v>4.516</v>
      </c>
      <c r="D4019">
        <v>8.1690000000000005</v>
      </c>
      <c r="E4019" t="s">
        <v>6239</v>
      </c>
      <c r="F4019" t="s">
        <v>6240</v>
      </c>
      <c r="G4019" t="s">
        <v>39</v>
      </c>
      <c r="H4019">
        <v>1987</v>
      </c>
      <c r="I4019">
        <v>25.8</v>
      </c>
      <c r="J4019">
        <v>10.8</v>
      </c>
      <c r="K4019">
        <v>67</v>
      </c>
      <c r="L4019">
        <v>13.040240000000001</v>
      </c>
      <c r="M4019">
        <v>34.299999999999997</v>
      </c>
      <c r="N4019">
        <v>18.399999999999999</v>
      </c>
      <c r="O4019">
        <v>15.9</v>
      </c>
      <c r="P4019">
        <v>24.4</v>
      </c>
      <c r="Q4019">
        <v>26.101209999999998</v>
      </c>
      <c r="R4019">
        <v>27.50121</v>
      </c>
      <c r="S4019">
        <v>24.1</v>
      </c>
      <c r="T4019">
        <v>1245.9760000000001</v>
      </c>
      <c r="U4019">
        <v>221</v>
      </c>
      <c r="V4019">
        <v>10</v>
      </c>
      <c r="W4019">
        <v>67</v>
      </c>
      <c r="X4019">
        <v>515</v>
      </c>
      <c r="Y4019">
        <v>42</v>
      </c>
      <c r="Z4019">
        <v>203.97569999999999</v>
      </c>
      <c r="AA4019">
        <v>473</v>
      </c>
      <c r="AB4019">
        <v>22.950589999999998</v>
      </c>
      <c r="AC4019">
        <v>1.542965E-2</v>
      </c>
      <c r="AD4019">
        <v>1.391235</v>
      </c>
      <c r="AE4019">
        <v>0.33988089999999999</v>
      </c>
      <c r="AF4019">
        <v>410.90120000000002</v>
      </c>
      <c r="AG4019">
        <f>IFERROR(AH4019*0.1, "N/A")</f>
        <v>5.9</v>
      </c>
      <c r="AH4019">
        <v>59</v>
      </c>
      <c r="AI4019">
        <v>55.896529999999998</v>
      </c>
      <c r="AJ4019">
        <v>15.987869999999999</v>
      </c>
      <c r="AK4019">
        <v>70.012129999999999</v>
      </c>
    </row>
    <row r="4020" spans="1:37" x14ac:dyDescent="0.3">
      <c r="A4020">
        <v>4019</v>
      </c>
      <c r="B4020">
        <v>54</v>
      </c>
      <c r="C4020">
        <v>4.0830000000000002</v>
      </c>
      <c r="D4020">
        <v>7.9020000000000001</v>
      </c>
      <c r="E4020" t="s">
        <v>6241</v>
      </c>
      <c r="F4020" t="s">
        <v>6242</v>
      </c>
      <c r="G4020" t="s">
        <v>39</v>
      </c>
      <c r="H4020">
        <v>1987</v>
      </c>
      <c r="I4020">
        <v>26.4</v>
      </c>
      <c r="J4020">
        <v>10.4</v>
      </c>
      <c r="K4020">
        <v>69</v>
      </c>
      <c r="L4020">
        <v>12.77009</v>
      </c>
      <c r="M4020">
        <v>34.5</v>
      </c>
      <c r="N4020">
        <v>19.600000000000001</v>
      </c>
      <c r="O4020">
        <v>14.9</v>
      </c>
      <c r="P4020">
        <v>25.099129999999999</v>
      </c>
      <c r="Q4020">
        <v>26.8</v>
      </c>
      <c r="R4020">
        <v>28</v>
      </c>
      <c r="S4020">
        <v>24.6</v>
      </c>
      <c r="T4020">
        <v>1196.0260000000001</v>
      </c>
      <c r="U4020">
        <v>198</v>
      </c>
      <c r="V4020">
        <v>7</v>
      </c>
      <c r="W4020">
        <v>64</v>
      </c>
      <c r="X4020">
        <v>467.01729999999998</v>
      </c>
      <c r="Y4020">
        <v>40</v>
      </c>
      <c r="Z4020">
        <v>218</v>
      </c>
      <c r="AA4020">
        <v>433.01729999999998</v>
      </c>
      <c r="AB4020">
        <v>3.2512940000000001</v>
      </c>
      <c r="AC4020">
        <v>354.67899999999997</v>
      </c>
      <c r="AD4020">
        <v>2.2404109999999999</v>
      </c>
      <c r="AE4020">
        <v>0.62373999999999996</v>
      </c>
      <c r="AF4020">
        <v>249.37780000000001</v>
      </c>
      <c r="AG4020">
        <f>IFERROR(AH4020*0.1, "N/A")</f>
        <v>6.0168110000000006</v>
      </c>
      <c r="AH4020">
        <v>60.168109999999999</v>
      </c>
      <c r="AI4020">
        <v>226.02619999999999</v>
      </c>
      <c r="AJ4020">
        <v>15.43154</v>
      </c>
      <c r="AK4020">
        <v>63.870019999999997</v>
      </c>
    </row>
    <row r="4021" spans="1:37" x14ac:dyDescent="0.3">
      <c r="A4021">
        <v>4020</v>
      </c>
      <c r="B4021">
        <v>20.8</v>
      </c>
      <c r="C4021">
        <v>4.0830000000000002</v>
      </c>
      <c r="D4021">
        <v>7.9020000000000001</v>
      </c>
      <c r="E4021" t="s">
        <v>6241</v>
      </c>
      <c r="F4021" t="s">
        <v>6243</v>
      </c>
      <c r="G4021" t="s">
        <v>37</v>
      </c>
      <c r="H4021">
        <v>1987</v>
      </c>
      <c r="I4021">
        <v>26.4</v>
      </c>
      <c r="J4021">
        <v>10.4</v>
      </c>
      <c r="K4021">
        <v>69</v>
      </c>
      <c r="L4021">
        <v>12.77009</v>
      </c>
      <c r="M4021">
        <v>34.5</v>
      </c>
      <c r="N4021">
        <v>19.600000000000001</v>
      </c>
      <c r="O4021">
        <v>14.9</v>
      </c>
      <c r="P4021">
        <v>25.099129999999999</v>
      </c>
      <c r="Q4021">
        <v>26.8</v>
      </c>
      <c r="R4021">
        <v>28</v>
      </c>
      <c r="S4021">
        <v>24.6</v>
      </c>
      <c r="T4021">
        <v>1196.0260000000001</v>
      </c>
      <c r="U4021">
        <v>198</v>
      </c>
      <c r="V4021">
        <v>7</v>
      </c>
      <c r="W4021">
        <v>64</v>
      </c>
      <c r="X4021">
        <v>467.01729999999998</v>
      </c>
      <c r="Y4021">
        <v>40</v>
      </c>
      <c r="Z4021">
        <v>218</v>
      </c>
      <c r="AA4021">
        <v>433.01729999999998</v>
      </c>
      <c r="AB4021">
        <v>3.2512940000000001</v>
      </c>
      <c r="AC4021">
        <v>354.67899999999997</v>
      </c>
      <c r="AD4021">
        <v>2.2404109999999999</v>
      </c>
      <c r="AE4021">
        <v>0.62373999999999996</v>
      </c>
      <c r="AF4021">
        <v>249.37780000000001</v>
      </c>
      <c r="AG4021">
        <f>IFERROR(AH4021*0.1, "N/A")</f>
        <v>6.0168110000000006</v>
      </c>
      <c r="AH4021">
        <v>60.168109999999999</v>
      </c>
      <c r="AI4021">
        <v>226.02619999999999</v>
      </c>
      <c r="AJ4021">
        <v>15.43154</v>
      </c>
      <c r="AK4021">
        <v>63.870019999999997</v>
      </c>
    </row>
    <row r="4022" spans="1:37" x14ac:dyDescent="0.3">
      <c r="A4022">
        <v>4021</v>
      </c>
      <c r="B4022">
        <v>6.6</v>
      </c>
      <c r="C4022">
        <v>3.75</v>
      </c>
      <c r="D4022">
        <v>7.468</v>
      </c>
      <c r="E4022" t="s">
        <v>6244</v>
      </c>
      <c r="F4022" t="s">
        <v>6245</v>
      </c>
      <c r="G4022" t="s">
        <v>39</v>
      </c>
      <c r="H4022">
        <v>1987</v>
      </c>
      <c r="I4022">
        <v>26.586089999999999</v>
      </c>
      <c r="J4022">
        <v>9.5</v>
      </c>
      <c r="K4022">
        <v>71</v>
      </c>
      <c r="L4022">
        <v>12.70365</v>
      </c>
      <c r="M4022">
        <v>34.1</v>
      </c>
      <c r="N4022">
        <v>20.8</v>
      </c>
      <c r="O4022">
        <v>13.3</v>
      </c>
      <c r="P4022">
        <v>25.9</v>
      </c>
      <c r="Q4022">
        <v>27.2</v>
      </c>
      <c r="R4022">
        <v>28.18609</v>
      </c>
      <c r="S4022">
        <v>24.786090000000002</v>
      </c>
      <c r="T4022">
        <v>1249.1389999999999</v>
      </c>
      <c r="U4022">
        <v>181</v>
      </c>
      <c r="V4022">
        <v>6.1391299999999998</v>
      </c>
      <c r="W4022">
        <v>62.860869999999998</v>
      </c>
      <c r="X4022">
        <v>494</v>
      </c>
      <c r="Y4022">
        <v>39.278260000000003</v>
      </c>
      <c r="Z4022">
        <v>246.13910000000001</v>
      </c>
      <c r="AA4022">
        <v>443.86090000000002</v>
      </c>
      <c r="AB4022">
        <v>16.71686</v>
      </c>
      <c r="AC4022">
        <v>1.885535E-2</v>
      </c>
      <c r="AD4022">
        <v>3.7004929999999998</v>
      </c>
      <c r="AE4022">
        <v>0.75587839999999995</v>
      </c>
      <c r="AF4022">
        <v>206.5496</v>
      </c>
      <c r="AG4022">
        <f>IFERROR(AH4022*0.1, "N/A")</f>
        <v>5.8648699999999998</v>
      </c>
      <c r="AH4022">
        <v>58.648699999999998</v>
      </c>
      <c r="AI4022">
        <v>255.9151</v>
      </c>
      <c r="AJ4022">
        <v>14.363479999999999</v>
      </c>
      <c r="AK4022">
        <v>70.526960000000003</v>
      </c>
    </row>
    <row r="4023" spans="1:37" x14ac:dyDescent="0.3">
      <c r="A4023">
        <v>4022</v>
      </c>
      <c r="B4023">
        <v>14.3</v>
      </c>
      <c r="C4023">
        <v>3.9207999999999998</v>
      </c>
      <c r="D4023">
        <v>6.8208330000000004</v>
      </c>
      <c r="E4023" t="s">
        <v>6246</v>
      </c>
      <c r="F4023" t="s">
        <v>6247</v>
      </c>
      <c r="G4023" t="s">
        <v>39</v>
      </c>
      <c r="H4023">
        <v>1987</v>
      </c>
      <c r="I4023">
        <v>27.1</v>
      </c>
      <c r="J4023">
        <v>7.9</v>
      </c>
      <c r="K4023">
        <v>70</v>
      </c>
      <c r="L4023">
        <v>12</v>
      </c>
      <c r="M4023">
        <v>33.299999999999997</v>
      </c>
      <c r="N4023">
        <v>22.1</v>
      </c>
      <c r="O4023">
        <v>11.2</v>
      </c>
      <c r="P4023">
        <v>26.4</v>
      </c>
      <c r="Q4023">
        <v>27.7</v>
      </c>
      <c r="R4023">
        <v>28.5</v>
      </c>
      <c r="S4023">
        <v>25.3</v>
      </c>
      <c r="T4023">
        <v>1578</v>
      </c>
      <c r="U4023">
        <v>266</v>
      </c>
      <c r="V4023">
        <v>14</v>
      </c>
      <c r="W4023">
        <v>65</v>
      </c>
      <c r="X4023">
        <v>716</v>
      </c>
      <c r="Y4023">
        <v>66</v>
      </c>
      <c r="Z4023">
        <v>253</v>
      </c>
      <c r="AA4023">
        <v>552</v>
      </c>
      <c r="AB4023">
        <v>11.35933</v>
      </c>
      <c r="AC4023">
        <v>5.3701350000000002E-2</v>
      </c>
      <c r="AD4023">
        <v>1.0428789999999999</v>
      </c>
      <c r="AE4023">
        <v>0.91883579999999998</v>
      </c>
      <c r="AF4023">
        <v>75.080280000000002</v>
      </c>
      <c r="AG4023">
        <f>IFERROR(AH4023*0.1, "N/A")</f>
        <v>6.1000000000000005</v>
      </c>
      <c r="AH4023">
        <v>61</v>
      </c>
      <c r="AI4023">
        <v>176.00540000000001</v>
      </c>
      <c r="AJ4023">
        <v>22.429320000000001</v>
      </c>
      <c r="AK4023">
        <v>63.356020000000001</v>
      </c>
    </row>
    <row r="4024" spans="1:37" x14ac:dyDescent="0.3">
      <c r="A4024">
        <v>4023</v>
      </c>
      <c r="B4024">
        <v>38</v>
      </c>
      <c r="C4024">
        <v>4.0469999999999997</v>
      </c>
      <c r="D4024">
        <v>7.5679999999999996</v>
      </c>
      <c r="E4024" t="s">
        <v>6248</v>
      </c>
      <c r="F4024" t="s">
        <v>6249</v>
      </c>
      <c r="G4024" t="s">
        <v>39</v>
      </c>
      <c r="H4024">
        <v>1987</v>
      </c>
      <c r="I4024">
        <v>26.2</v>
      </c>
      <c r="J4024">
        <v>9.6999999999999993</v>
      </c>
      <c r="K4024">
        <v>70</v>
      </c>
      <c r="L4024">
        <v>12.8</v>
      </c>
      <c r="M4024">
        <v>33.9</v>
      </c>
      <c r="N4024">
        <v>20.100000000000001</v>
      </c>
      <c r="O4024">
        <v>13.8</v>
      </c>
      <c r="P4024">
        <v>25.6</v>
      </c>
      <c r="Q4024">
        <v>26.8</v>
      </c>
      <c r="R4024">
        <v>27.8</v>
      </c>
      <c r="S4024">
        <v>24.4</v>
      </c>
      <c r="T4024">
        <v>1269</v>
      </c>
      <c r="U4024">
        <v>192</v>
      </c>
      <c r="V4024">
        <v>6</v>
      </c>
      <c r="W4024">
        <v>63</v>
      </c>
      <c r="X4024">
        <v>486</v>
      </c>
      <c r="Y4024">
        <v>40</v>
      </c>
      <c r="Z4024">
        <v>242</v>
      </c>
      <c r="AA4024">
        <v>463</v>
      </c>
      <c r="AB4024">
        <v>24.316050000000001</v>
      </c>
      <c r="AC4024">
        <v>1.118151E-2</v>
      </c>
      <c r="AD4024">
        <v>3.3127140000000002</v>
      </c>
      <c r="AE4024">
        <v>0.58172999999999997</v>
      </c>
      <c r="AF4024">
        <v>251.8202</v>
      </c>
      <c r="AG4024">
        <f>IFERROR(AH4024*0.1, "N/A")</f>
        <v>5.7</v>
      </c>
      <c r="AH4024">
        <v>57</v>
      </c>
      <c r="AI4024">
        <v>268.93939999999998</v>
      </c>
      <c r="AJ4024">
        <v>15.53054</v>
      </c>
      <c r="AK4024">
        <v>67.734729999999999</v>
      </c>
    </row>
    <row r="4025" spans="1:37" x14ac:dyDescent="0.3">
      <c r="A4025">
        <v>4024</v>
      </c>
      <c r="B4025">
        <v>13.7</v>
      </c>
      <c r="C4025">
        <v>4.0332999999999997</v>
      </c>
      <c r="D4025">
        <v>7.2332999999999998</v>
      </c>
      <c r="E4025" t="s">
        <v>6250</v>
      </c>
      <c r="F4025" t="s">
        <v>6251</v>
      </c>
      <c r="G4025" t="s">
        <v>39</v>
      </c>
      <c r="H4025">
        <v>1987</v>
      </c>
      <c r="I4025">
        <v>26.722359999999998</v>
      </c>
      <c r="J4025">
        <v>8.9734829999999999</v>
      </c>
      <c r="K4025">
        <v>71.511269999999996</v>
      </c>
      <c r="L4025">
        <v>12.322839999999999</v>
      </c>
      <c r="M4025">
        <v>33.822360000000003</v>
      </c>
      <c r="N4025">
        <v>21.3</v>
      </c>
      <c r="O4025">
        <v>12.522360000000001</v>
      </c>
      <c r="P4025">
        <v>26.022359999999999</v>
      </c>
      <c r="Q4025">
        <v>27.348870000000002</v>
      </c>
      <c r="R4025">
        <v>28.222359999999998</v>
      </c>
      <c r="S4025">
        <v>24.93899</v>
      </c>
      <c r="T4025">
        <v>1384.518</v>
      </c>
      <c r="U4025">
        <v>205.6551</v>
      </c>
      <c r="V4025">
        <v>8</v>
      </c>
      <c r="W4025">
        <v>63</v>
      </c>
      <c r="X4025">
        <v>566.51819999999998</v>
      </c>
      <c r="Y4025">
        <v>46</v>
      </c>
      <c r="Z4025">
        <v>252</v>
      </c>
      <c r="AA4025">
        <v>508.43150000000003</v>
      </c>
      <c r="AB4025">
        <v>6.1351750000000003</v>
      </c>
      <c r="AC4025">
        <v>9.333704E-3</v>
      </c>
      <c r="AD4025">
        <v>2.7539310000000001</v>
      </c>
      <c r="AE4025">
        <v>0.69181409999999999</v>
      </c>
      <c r="AF4025">
        <v>150.8544</v>
      </c>
      <c r="AG4025">
        <f>IFERROR(AH4025*0.1, "N/A")</f>
        <v>5.7</v>
      </c>
      <c r="AH4025">
        <v>57</v>
      </c>
      <c r="AI4025">
        <v>98.934870000000004</v>
      </c>
      <c r="AJ4025">
        <v>16.610050000000001</v>
      </c>
      <c r="AK4025">
        <v>67.610050000000001</v>
      </c>
    </row>
    <row r="4026" spans="1:37" x14ac:dyDescent="0.3">
      <c r="A4026">
        <v>4025</v>
      </c>
      <c r="B4026">
        <v>3</v>
      </c>
      <c r="C4026">
        <v>8.6300000000000008</v>
      </c>
      <c r="D4026">
        <v>8.4510000000000005</v>
      </c>
      <c r="E4026" t="s">
        <v>6252</v>
      </c>
      <c r="F4026" t="s">
        <v>6253</v>
      </c>
      <c r="G4026" t="s">
        <v>39</v>
      </c>
      <c r="H4026">
        <v>1987</v>
      </c>
      <c r="I4026">
        <v>27.1</v>
      </c>
      <c r="J4026">
        <v>11.3</v>
      </c>
      <c r="K4026">
        <v>62</v>
      </c>
      <c r="L4026">
        <v>14.53</v>
      </c>
      <c r="M4026">
        <v>36.200000000000003</v>
      </c>
      <c r="N4026">
        <v>18</v>
      </c>
      <c r="O4026">
        <v>18.2</v>
      </c>
      <c r="P4026">
        <v>25.6</v>
      </c>
      <c r="Q4026">
        <v>26.9</v>
      </c>
      <c r="R4026">
        <v>29.2</v>
      </c>
      <c r="S4026">
        <v>25.6</v>
      </c>
      <c r="T4026">
        <v>1325</v>
      </c>
      <c r="U4026">
        <v>261</v>
      </c>
      <c r="V4026">
        <v>0</v>
      </c>
      <c r="W4026">
        <v>89</v>
      </c>
      <c r="X4026">
        <v>736</v>
      </c>
      <c r="Y4026">
        <v>7</v>
      </c>
      <c r="Z4026">
        <v>107</v>
      </c>
      <c r="AA4026">
        <v>736</v>
      </c>
      <c r="AB4026">
        <v>9.4506130000000006</v>
      </c>
      <c r="AC4026">
        <v>1.237019E-2</v>
      </c>
      <c r="AD4026">
        <v>1.7115309999999999</v>
      </c>
      <c r="AE4026">
        <v>0.69814589999999999</v>
      </c>
      <c r="AF4026">
        <v>223.0069</v>
      </c>
      <c r="AG4026">
        <f>IFERROR(AH4026*0.1, "N/A")</f>
        <v>5.7006930000000002</v>
      </c>
      <c r="AH4026">
        <v>57.006929999999997</v>
      </c>
      <c r="AI4026">
        <v>203.30719999999999</v>
      </c>
      <c r="AJ4026">
        <v>9.7712310000000002</v>
      </c>
      <c r="AK4026">
        <v>72.235699999999994</v>
      </c>
    </row>
    <row r="4027" spans="1:37" x14ac:dyDescent="0.3">
      <c r="A4027">
        <v>4026</v>
      </c>
      <c r="B4027">
        <v>42.3</v>
      </c>
      <c r="C4027">
        <v>3.4140000000000001</v>
      </c>
      <c r="D4027">
        <v>7.4539999999999997</v>
      </c>
      <c r="E4027" t="s">
        <v>6254</v>
      </c>
      <c r="F4027" t="s">
        <v>6255</v>
      </c>
      <c r="G4027" t="s">
        <v>39</v>
      </c>
      <c r="H4027">
        <v>1987</v>
      </c>
      <c r="I4027">
        <v>27.1</v>
      </c>
      <c r="J4027">
        <v>9.6999999999999993</v>
      </c>
      <c r="K4027">
        <v>72</v>
      </c>
      <c r="L4027">
        <v>12.8</v>
      </c>
      <c r="M4027">
        <v>34.700000000000003</v>
      </c>
      <c r="N4027">
        <v>21.4</v>
      </c>
      <c r="O4027">
        <v>13.3</v>
      </c>
      <c r="P4027">
        <v>26.4</v>
      </c>
      <c r="Q4027">
        <v>27.8</v>
      </c>
      <c r="R4027">
        <v>28.8</v>
      </c>
      <c r="S4027">
        <v>25.4</v>
      </c>
      <c r="T4027">
        <v>1195</v>
      </c>
      <c r="U4027">
        <v>175</v>
      </c>
      <c r="V4027">
        <v>10</v>
      </c>
      <c r="W4027">
        <v>61</v>
      </c>
      <c r="X4027">
        <v>479</v>
      </c>
      <c r="Y4027">
        <v>47</v>
      </c>
      <c r="Z4027">
        <v>263</v>
      </c>
      <c r="AA4027">
        <v>397</v>
      </c>
      <c r="AB4027">
        <v>2.1074760000000001</v>
      </c>
      <c r="AC4027">
        <v>0.31095060000000002</v>
      </c>
      <c r="AD4027">
        <v>1.357218</v>
      </c>
      <c r="AE4027">
        <v>0.60756270000000001</v>
      </c>
      <c r="AF4027">
        <v>120.4348</v>
      </c>
      <c r="AG4027">
        <f>IFERROR(AH4027*0.1, "N/A")</f>
        <v>6.2133910000000006</v>
      </c>
      <c r="AH4027">
        <v>62.13391</v>
      </c>
      <c r="AI4027">
        <v>125.2486</v>
      </c>
      <c r="AJ4027">
        <v>10.65043</v>
      </c>
      <c r="AK4027">
        <v>75.34957</v>
      </c>
    </row>
    <row r="4028" spans="1:37" x14ac:dyDescent="0.3">
      <c r="A4028">
        <v>4027</v>
      </c>
      <c r="B4028">
        <v>0</v>
      </c>
      <c r="C4028">
        <v>3.4140000000000001</v>
      </c>
      <c r="D4028">
        <v>7.4539999999999997</v>
      </c>
      <c r="E4028" t="s">
        <v>6254</v>
      </c>
      <c r="F4028" t="s">
        <v>6256</v>
      </c>
      <c r="G4028" t="s">
        <v>37</v>
      </c>
      <c r="H4028">
        <v>1987</v>
      </c>
      <c r="I4028">
        <v>27.1</v>
      </c>
      <c r="J4028">
        <v>9.6999999999999993</v>
      </c>
      <c r="K4028">
        <v>72</v>
      </c>
      <c r="L4028">
        <v>12.8</v>
      </c>
      <c r="M4028">
        <v>34.700000000000003</v>
      </c>
      <c r="N4028">
        <v>21.4</v>
      </c>
      <c r="O4028">
        <v>13.3</v>
      </c>
      <c r="P4028">
        <v>26.4</v>
      </c>
      <c r="Q4028">
        <v>27.8</v>
      </c>
      <c r="R4028">
        <v>28.8</v>
      </c>
      <c r="S4028">
        <v>25.4</v>
      </c>
      <c r="T4028">
        <v>1195</v>
      </c>
      <c r="U4028">
        <v>175</v>
      </c>
      <c r="V4028">
        <v>10</v>
      </c>
      <c r="W4028">
        <v>61</v>
      </c>
      <c r="X4028">
        <v>479</v>
      </c>
      <c r="Y4028">
        <v>47</v>
      </c>
      <c r="Z4028">
        <v>263</v>
      </c>
      <c r="AA4028">
        <v>397</v>
      </c>
      <c r="AB4028">
        <v>2.1074760000000001</v>
      </c>
      <c r="AC4028">
        <v>0.31095060000000002</v>
      </c>
      <c r="AD4028">
        <v>1.357218</v>
      </c>
      <c r="AE4028">
        <v>0.60756270000000001</v>
      </c>
      <c r="AF4028">
        <v>120.4348</v>
      </c>
      <c r="AG4028">
        <f>IFERROR(AH4028*0.1, "N/A")</f>
        <v>6.2133910000000006</v>
      </c>
      <c r="AH4028">
        <v>62.13391</v>
      </c>
      <c r="AI4028">
        <v>125.2486</v>
      </c>
      <c r="AJ4028">
        <v>10.65043</v>
      </c>
      <c r="AK4028">
        <v>75.34957</v>
      </c>
    </row>
    <row r="4029" spans="1:37" x14ac:dyDescent="0.3">
      <c r="A4029">
        <v>4028</v>
      </c>
      <c r="B4029">
        <v>7</v>
      </c>
      <c r="C4029">
        <v>3.782</v>
      </c>
      <c r="D4029">
        <v>7.5179999999999998</v>
      </c>
      <c r="E4029" t="s">
        <v>6257</v>
      </c>
      <c r="F4029" t="s">
        <v>6258</v>
      </c>
      <c r="G4029" t="s">
        <v>39</v>
      </c>
      <c r="H4029">
        <v>1987</v>
      </c>
      <c r="I4029">
        <v>26.4</v>
      </c>
      <c r="J4029">
        <v>9.6999999999999993</v>
      </c>
      <c r="K4029">
        <v>71</v>
      </c>
      <c r="L4029">
        <v>13.1</v>
      </c>
      <c r="M4029">
        <v>34.1</v>
      </c>
      <c r="N4029">
        <v>20.5</v>
      </c>
      <c r="O4029">
        <v>13.6</v>
      </c>
      <c r="P4029">
        <v>25.6</v>
      </c>
      <c r="Q4029">
        <v>27.1</v>
      </c>
      <c r="R4029">
        <v>28</v>
      </c>
      <c r="S4029">
        <v>24.5</v>
      </c>
      <c r="T4029">
        <v>1247</v>
      </c>
      <c r="U4029">
        <v>181</v>
      </c>
      <c r="V4029">
        <v>6</v>
      </c>
      <c r="W4029">
        <v>63</v>
      </c>
      <c r="X4029">
        <v>487</v>
      </c>
      <c r="Y4029">
        <v>39</v>
      </c>
      <c r="Z4029">
        <v>246</v>
      </c>
      <c r="AA4029">
        <v>446</v>
      </c>
      <c r="AB4029">
        <v>14.961180000000001</v>
      </c>
      <c r="AC4029">
        <v>3.469651E-2</v>
      </c>
      <c r="AD4029">
        <v>4.1958630000000001</v>
      </c>
      <c r="AE4029">
        <v>0.68602640000000004</v>
      </c>
      <c r="AF4029">
        <v>228.67240000000001</v>
      </c>
      <c r="AG4029">
        <f>IFERROR(AH4029*0.1, "N/A")</f>
        <v>5.6000000000000005</v>
      </c>
      <c r="AH4029">
        <v>56</v>
      </c>
      <c r="AI4029">
        <v>168.79679999999999</v>
      </c>
      <c r="AJ4029">
        <v>15.48527</v>
      </c>
      <c r="AK4029">
        <v>68.02946</v>
      </c>
    </row>
    <row r="4030" spans="1:37" x14ac:dyDescent="0.3">
      <c r="A4030">
        <v>4029</v>
      </c>
      <c r="B4030">
        <v>25.8</v>
      </c>
      <c r="C4030">
        <v>3.2469999999999999</v>
      </c>
      <c r="D4030">
        <v>7.4859999999999998</v>
      </c>
      <c r="E4030" t="s">
        <v>6259</v>
      </c>
      <c r="F4030" t="s">
        <v>6260</v>
      </c>
      <c r="G4030" t="s">
        <v>39</v>
      </c>
      <c r="H4030">
        <v>1987</v>
      </c>
      <c r="I4030">
        <v>26.8</v>
      </c>
      <c r="J4030">
        <v>10</v>
      </c>
      <c r="K4030">
        <v>72</v>
      </c>
      <c r="L4030">
        <v>13.02</v>
      </c>
      <c r="M4030">
        <v>34.700000000000003</v>
      </c>
      <c r="N4030">
        <v>21</v>
      </c>
      <c r="O4030">
        <v>13.7</v>
      </c>
      <c r="P4030">
        <v>26.1</v>
      </c>
      <c r="Q4030">
        <v>27.6</v>
      </c>
      <c r="R4030">
        <v>28.5</v>
      </c>
      <c r="S4030">
        <v>25</v>
      </c>
      <c r="T4030">
        <v>1162</v>
      </c>
      <c r="U4030">
        <v>169</v>
      </c>
      <c r="V4030">
        <v>8</v>
      </c>
      <c r="W4030">
        <v>62</v>
      </c>
      <c r="X4030">
        <v>464</v>
      </c>
      <c r="Y4030">
        <v>47</v>
      </c>
      <c r="Z4030">
        <v>247</v>
      </c>
      <c r="AA4030">
        <v>406</v>
      </c>
      <c r="AB4030">
        <v>15.81146</v>
      </c>
      <c r="AC4030">
        <v>2.2765790000000001E-2</v>
      </c>
      <c r="AD4030">
        <v>2.86734</v>
      </c>
      <c r="AE4030">
        <v>0.66601250000000001</v>
      </c>
      <c r="AF4030">
        <v>180.2569</v>
      </c>
      <c r="AG4030">
        <f>IFERROR(AH4030*0.1, "N/A")</f>
        <v>5.9333330000000002</v>
      </c>
      <c r="AH4030">
        <v>59.333329999999997</v>
      </c>
      <c r="AI4030">
        <v>112.5</v>
      </c>
      <c r="AJ4030">
        <v>10.22222</v>
      </c>
      <c r="AK4030">
        <v>73.666669999999996</v>
      </c>
    </row>
    <row r="4031" spans="1:37" x14ac:dyDescent="0.3">
      <c r="A4031">
        <v>4030</v>
      </c>
      <c r="B4031">
        <v>3.2</v>
      </c>
      <c r="C4031">
        <v>3.9689999999999999</v>
      </c>
      <c r="D4031">
        <v>7.1820000000000004</v>
      </c>
      <c r="E4031" t="s">
        <v>6261</v>
      </c>
      <c r="F4031" t="s">
        <v>6262</v>
      </c>
      <c r="G4031" t="s">
        <v>39</v>
      </c>
      <c r="H4031">
        <v>1987</v>
      </c>
      <c r="I4031">
        <v>27</v>
      </c>
      <c r="J4031">
        <v>8.8000000000000007</v>
      </c>
      <c r="K4031">
        <v>71</v>
      </c>
      <c r="L4031">
        <v>12.34</v>
      </c>
      <c r="M4031">
        <v>34</v>
      </c>
      <c r="N4031">
        <v>21.7</v>
      </c>
      <c r="O4031">
        <v>12.3</v>
      </c>
      <c r="P4031">
        <v>26.4</v>
      </c>
      <c r="Q4031">
        <v>27.7</v>
      </c>
      <c r="R4031">
        <v>28.6</v>
      </c>
      <c r="S4031">
        <v>25.3</v>
      </c>
      <c r="T4031">
        <v>1389</v>
      </c>
      <c r="U4031">
        <v>213</v>
      </c>
      <c r="V4031">
        <v>9</v>
      </c>
      <c r="W4031">
        <v>64</v>
      </c>
      <c r="X4031">
        <v>582</v>
      </c>
      <c r="Y4031">
        <v>47</v>
      </c>
      <c r="Z4031">
        <v>249</v>
      </c>
      <c r="AA4031">
        <v>503</v>
      </c>
      <c r="AB4031">
        <v>10.484030000000001</v>
      </c>
      <c r="AC4031">
        <v>4.0304800000000002E-2</v>
      </c>
      <c r="AD4031">
        <v>5.7193180000000003</v>
      </c>
      <c r="AE4031">
        <v>0.45221270000000002</v>
      </c>
      <c r="AF4031">
        <v>98.69444</v>
      </c>
      <c r="AG4031">
        <f>IFERROR(AH4031*0.1, "N/A")</f>
        <v>5.7723960000000005</v>
      </c>
      <c r="AH4031">
        <v>57.723959999999998</v>
      </c>
      <c r="AI4031">
        <v>95.987809999999996</v>
      </c>
      <c r="AJ4031">
        <v>17.44792</v>
      </c>
      <c r="AK4031">
        <v>66.276039999999995</v>
      </c>
    </row>
    <row r="4032" spans="1:37" x14ac:dyDescent="0.3">
      <c r="A4032">
        <v>4031</v>
      </c>
      <c r="B4032">
        <v>7.9</v>
      </c>
      <c r="C4032">
        <v>3.9319999999999999</v>
      </c>
      <c r="D4032">
        <v>7.2359999999999998</v>
      </c>
      <c r="E4032" t="s">
        <v>6263</v>
      </c>
      <c r="F4032" t="s">
        <v>6264</v>
      </c>
      <c r="G4032" t="s">
        <v>39</v>
      </c>
      <c r="H4032">
        <v>1987</v>
      </c>
      <c r="I4032">
        <v>26.6</v>
      </c>
      <c r="J4032">
        <v>8.9</v>
      </c>
      <c r="K4032">
        <v>71</v>
      </c>
      <c r="L4032">
        <v>12.41</v>
      </c>
      <c r="M4032">
        <v>33.700000000000003</v>
      </c>
      <c r="N4032">
        <v>21.2</v>
      </c>
      <c r="O4032">
        <v>12.5</v>
      </c>
      <c r="P4032">
        <v>26</v>
      </c>
      <c r="Q4032">
        <v>27.3</v>
      </c>
      <c r="R4032">
        <v>28.2</v>
      </c>
      <c r="S4032">
        <v>24.9</v>
      </c>
      <c r="T4032">
        <v>1370</v>
      </c>
      <c r="U4032">
        <v>205</v>
      </c>
      <c r="V4032">
        <v>8</v>
      </c>
      <c r="W4032">
        <v>63</v>
      </c>
      <c r="X4032">
        <v>561</v>
      </c>
      <c r="Y4032">
        <v>45</v>
      </c>
      <c r="Z4032">
        <v>253</v>
      </c>
      <c r="AA4032">
        <v>497</v>
      </c>
      <c r="AB4032">
        <v>21.267939999999999</v>
      </c>
      <c r="AC4032">
        <v>1.0524240000000001E-2</v>
      </c>
      <c r="AD4032">
        <v>3.482313</v>
      </c>
      <c r="AE4032">
        <v>0.68455650000000001</v>
      </c>
      <c r="AF4032">
        <v>179.60140000000001</v>
      </c>
      <c r="AG4032">
        <f>IFERROR(AH4032*0.1, "N/A")</f>
        <v>5.8994800000000005</v>
      </c>
      <c r="AH4032">
        <v>58.994799999999998</v>
      </c>
      <c r="AI4032">
        <v>240.2407</v>
      </c>
      <c r="AJ4032">
        <v>15</v>
      </c>
      <c r="AK4032">
        <v>70.994799999999998</v>
      </c>
    </row>
    <row r="4033" spans="1:37" x14ac:dyDescent="0.3">
      <c r="A4033">
        <v>4032</v>
      </c>
      <c r="B4033">
        <v>7</v>
      </c>
      <c r="C4033">
        <v>4.0330000000000004</v>
      </c>
      <c r="D4033">
        <v>7.5330000000000004</v>
      </c>
      <c r="E4033" t="s">
        <v>6265</v>
      </c>
      <c r="F4033" t="s">
        <v>6266</v>
      </c>
      <c r="G4033" t="s">
        <v>39</v>
      </c>
      <c r="H4033">
        <v>1987</v>
      </c>
      <c r="I4033">
        <v>26.325949999999999</v>
      </c>
      <c r="J4033">
        <v>9.6</v>
      </c>
      <c r="K4033">
        <v>70.711070000000007</v>
      </c>
      <c r="L4033">
        <v>12.89208</v>
      </c>
      <c r="M4033">
        <v>33.928890000000003</v>
      </c>
      <c r="N4033">
        <v>20.39706</v>
      </c>
      <c r="O4033">
        <v>13.531829999999999</v>
      </c>
      <c r="P4033">
        <v>25.68478</v>
      </c>
      <c r="Q4033">
        <v>26.997060000000001</v>
      </c>
      <c r="R4033">
        <v>27.9</v>
      </c>
      <c r="S4033">
        <v>24.5</v>
      </c>
      <c r="T4033">
        <v>1278.0309999999999</v>
      </c>
      <c r="U4033">
        <v>190.15219999999999</v>
      </c>
      <c r="V4033">
        <v>6</v>
      </c>
      <c r="W4033">
        <v>63</v>
      </c>
      <c r="X4033">
        <v>492.57440000000003</v>
      </c>
      <c r="Y4033">
        <v>40</v>
      </c>
      <c r="Z4033">
        <v>244</v>
      </c>
      <c r="AA4033">
        <v>468.01560000000001</v>
      </c>
      <c r="AB4033">
        <v>16.374919999999999</v>
      </c>
      <c r="AC4033">
        <v>1.068975E-2</v>
      </c>
      <c r="AD4033">
        <v>4.1703919999999997</v>
      </c>
      <c r="AE4033">
        <v>0.69073689999999999</v>
      </c>
      <c r="AF4033">
        <v>234.1574</v>
      </c>
      <c r="AG4033">
        <f>IFERROR(AH4033*0.1, "N/A")</f>
        <v>5.6043250000000002</v>
      </c>
      <c r="AH4033">
        <v>56.04325</v>
      </c>
      <c r="AI4033">
        <v>259.66359999999997</v>
      </c>
      <c r="AJ4033">
        <v>16</v>
      </c>
      <c r="AK4033">
        <v>69.108999999999995</v>
      </c>
    </row>
    <row r="4034" spans="1:37" x14ac:dyDescent="0.3">
      <c r="A4034">
        <v>4033</v>
      </c>
      <c r="B4034">
        <v>70</v>
      </c>
      <c r="C4034">
        <v>3.18</v>
      </c>
      <c r="D4034">
        <v>7.4710000000000001</v>
      </c>
      <c r="E4034" t="s">
        <v>6267</v>
      </c>
      <c r="F4034" t="s">
        <v>6268</v>
      </c>
      <c r="G4034" t="s">
        <v>39</v>
      </c>
      <c r="H4034">
        <v>1987</v>
      </c>
      <c r="I4034">
        <v>27.2</v>
      </c>
      <c r="J4034">
        <v>10</v>
      </c>
      <c r="K4034">
        <v>72</v>
      </c>
      <c r="L4034">
        <v>13.02</v>
      </c>
      <c r="M4034">
        <v>35.1</v>
      </c>
      <c r="N4034">
        <v>21.4</v>
      </c>
      <c r="O4034">
        <v>13.7</v>
      </c>
      <c r="P4034">
        <v>26.4</v>
      </c>
      <c r="Q4034">
        <v>28</v>
      </c>
      <c r="R4034">
        <v>28.8</v>
      </c>
      <c r="S4034">
        <v>25.4</v>
      </c>
      <c r="T4034">
        <v>1137</v>
      </c>
      <c r="U4034">
        <v>166</v>
      </c>
      <c r="V4034">
        <v>8</v>
      </c>
      <c r="W4034">
        <v>62</v>
      </c>
      <c r="X4034">
        <v>458</v>
      </c>
      <c r="Y4034">
        <v>46</v>
      </c>
      <c r="Z4034">
        <v>239</v>
      </c>
      <c r="AA4034">
        <v>399</v>
      </c>
      <c r="AB4034">
        <v>14.197039999999999</v>
      </c>
      <c r="AC4034">
        <v>2.184788E-2</v>
      </c>
      <c r="AD4034">
        <v>3.1204740000000002</v>
      </c>
      <c r="AE4034">
        <v>0.60180999999999996</v>
      </c>
      <c r="AF4034">
        <v>114.9391</v>
      </c>
      <c r="AG4034">
        <f>IFERROR(AH4034*0.1, "N/A")</f>
        <v>6.1046960000000006</v>
      </c>
      <c r="AH4034">
        <v>61.046959999999999</v>
      </c>
      <c r="AI4034">
        <v>135.6935</v>
      </c>
      <c r="AJ4034">
        <v>12.05217</v>
      </c>
      <c r="AK4034">
        <v>70.850430000000003</v>
      </c>
    </row>
    <row r="4035" spans="1:37" x14ac:dyDescent="0.3">
      <c r="A4035">
        <v>4034</v>
      </c>
      <c r="B4035">
        <v>4.7</v>
      </c>
      <c r="C4035">
        <v>3.37913</v>
      </c>
      <c r="D4035">
        <v>6.52461</v>
      </c>
      <c r="E4035" t="s">
        <v>6269</v>
      </c>
      <c r="F4035" t="s">
        <v>6270</v>
      </c>
      <c r="G4035" t="s">
        <v>39</v>
      </c>
      <c r="H4035">
        <v>1987</v>
      </c>
      <c r="I4035">
        <v>27</v>
      </c>
      <c r="J4035">
        <v>6.6</v>
      </c>
      <c r="K4035">
        <v>71</v>
      </c>
      <c r="L4035">
        <v>10.63448</v>
      </c>
      <c r="M4035">
        <v>31.9</v>
      </c>
      <c r="N4035">
        <v>22.7</v>
      </c>
      <c r="O4035">
        <v>9.1999999999999993</v>
      </c>
      <c r="P4035">
        <v>26.402629999999998</v>
      </c>
      <c r="Q4035">
        <v>27.7</v>
      </c>
      <c r="R4035">
        <v>28.3</v>
      </c>
      <c r="S4035">
        <v>25.50263</v>
      </c>
      <c r="T4035">
        <v>1682.079</v>
      </c>
      <c r="U4035">
        <v>377</v>
      </c>
      <c r="V4035">
        <v>19</v>
      </c>
      <c r="W4035">
        <v>74</v>
      </c>
      <c r="X4035">
        <v>878</v>
      </c>
      <c r="Y4035">
        <v>82</v>
      </c>
      <c r="Z4035">
        <v>270.02629999999999</v>
      </c>
      <c r="AA4035">
        <v>511.0788</v>
      </c>
      <c r="AB4035">
        <v>3.3809110000000002</v>
      </c>
      <c r="AC4035">
        <v>0.34362399999999999</v>
      </c>
      <c r="AD4035">
        <v>2.6804839999999999</v>
      </c>
      <c r="AE4035">
        <v>0.93781340000000002</v>
      </c>
      <c r="AF4035">
        <v>8.1418560000000006</v>
      </c>
      <c r="AG4035">
        <f>IFERROR(AH4035*0.1, "N/A")</f>
        <v>6.4418560000000005</v>
      </c>
      <c r="AH4035">
        <v>64.418559999999999</v>
      </c>
      <c r="AI4035">
        <v>169.71420000000001</v>
      </c>
      <c r="AJ4035">
        <v>31.810860000000002</v>
      </c>
      <c r="AK4035">
        <v>46.23818</v>
      </c>
    </row>
    <row r="4036" spans="1:37" x14ac:dyDescent="0.3">
      <c r="A4036">
        <v>4035</v>
      </c>
      <c r="B4036">
        <v>50</v>
      </c>
      <c r="C4036">
        <v>5.2210000000000001</v>
      </c>
      <c r="D4036">
        <v>7.6159999999999997</v>
      </c>
      <c r="E4036" t="s">
        <v>6271</v>
      </c>
      <c r="F4036" t="s">
        <v>6272</v>
      </c>
      <c r="G4036" t="s">
        <v>39</v>
      </c>
      <c r="H4036">
        <v>1987</v>
      </c>
      <c r="I4036">
        <v>25.1</v>
      </c>
      <c r="J4036">
        <v>10.099299999999999</v>
      </c>
      <c r="K4036">
        <v>70.993039999999993</v>
      </c>
      <c r="L4036">
        <v>12.98944</v>
      </c>
      <c r="M4036">
        <v>32.89931</v>
      </c>
      <c r="N4036">
        <v>18.699310000000001</v>
      </c>
      <c r="O4036">
        <v>14.2</v>
      </c>
      <c r="P4036">
        <v>23.3</v>
      </c>
      <c r="Q4036">
        <v>25.5</v>
      </c>
      <c r="R4036">
        <v>26.799299999999999</v>
      </c>
      <c r="S4036">
        <v>23.3</v>
      </c>
      <c r="T4036">
        <v>1333.0070000000001</v>
      </c>
      <c r="U4036">
        <v>235</v>
      </c>
      <c r="V4036">
        <v>9</v>
      </c>
      <c r="W4036">
        <v>64</v>
      </c>
      <c r="X4036">
        <v>547</v>
      </c>
      <c r="Y4036">
        <v>52</v>
      </c>
      <c r="Z4036">
        <v>232</v>
      </c>
      <c r="AA4036">
        <v>547</v>
      </c>
      <c r="AB4036">
        <v>3.4549599999999998</v>
      </c>
      <c r="AC4036">
        <v>0.75919570000000003</v>
      </c>
      <c r="AD4036">
        <v>2.56101</v>
      </c>
      <c r="AE4036">
        <v>0.9286392</v>
      </c>
      <c r="AF4036">
        <v>421.32</v>
      </c>
      <c r="AG4036">
        <f>IFERROR(AH4036*0.1, "N/A")</f>
        <v>6.3387830000000003</v>
      </c>
      <c r="AH4036">
        <v>63.387830000000001</v>
      </c>
      <c r="AI4036">
        <v>63.004759999999997</v>
      </c>
      <c r="AJ4036">
        <v>18.283480000000001</v>
      </c>
      <c r="AK4036">
        <v>63.146090000000001</v>
      </c>
    </row>
    <row r="4037" spans="1:37" x14ac:dyDescent="0.3">
      <c r="A4037">
        <v>4036</v>
      </c>
      <c r="B4037">
        <v>59.3</v>
      </c>
      <c r="C4037">
        <v>3.3319999999999999</v>
      </c>
      <c r="D4037">
        <v>7.65</v>
      </c>
      <c r="E4037" t="s">
        <v>6273</v>
      </c>
      <c r="F4037" t="s">
        <v>6274</v>
      </c>
      <c r="G4037" t="s">
        <v>39</v>
      </c>
      <c r="H4037">
        <v>1987</v>
      </c>
      <c r="I4037">
        <v>26.9</v>
      </c>
      <c r="J4037">
        <v>10.199999999999999</v>
      </c>
      <c r="K4037">
        <v>71.467010000000002</v>
      </c>
      <c r="L4037">
        <v>12.82929</v>
      </c>
      <c r="M4037">
        <v>34.9</v>
      </c>
      <c r="N4037">
        <v>20.746700000000001</v>
      </c>
      <c r="O4037">
        <v>14.1533</v>
      </c>
      <c r="P4037">
        <v>26.146699999999999</v>
      </c>
      <c r="Q4037">
        <v>27.6</v>
      </c>
      <c r="R4037">
        <v>28.6</v>
      </c>
      <c r="S4037">
        <v>25.146699999999999</v>
      </c>
      <c r="T4037">
        <v>1157.066</v>
      </c>
      <c r="U4037">
        <v>175</v>
      </c>
      <c r="V4037">
        <v>8</v>
      </c>
      <c r="W4037">
        <v>62.532989999999998</v>
      </c>
      <c r="X4037">
        <v>457.53300000000002</v>
      </c>
      <c r="Y4037">
        <v>42</v>
      </c>
      <c r="Z4037">
        <v>237</v>
      </c>
      <c r="AA4037">
        <v>415</v>
      </c>
      <c r="AB4037">
        <v>8.367362</v>
      </c>
      <c r="AC4037">
        <v>4.9221750000000002E-2</v>
      </c>
      <c r="AD4037">
        <v>2.3959649999999999</v>
      </c>
      <c r="AE4037">
        <v>0.43372660000000002</v>
      </c>
      <c r="AF4037">
        <v>181.60759999999999</v>
      </c>
      <c r="AG4037">
        <f>IFERROR(AH4037*0.1, "N/A")</f>
        <v>6.3000000000000007</v>
      </c>
      <c r="AH4037">
        <v>63</v>
      </c>
      <c r="AI4037">
        <v>242.80520000000001</v>
      </c>
      <c r="AJ4037">
        <v>9</v>
      </c>
      <c r="AK4037">
        <v>74</v>
      </c>
    </row>
    <row r="4038" spans="1:37" x14ac:dyDescent="0.3">
      <c r="A4038">
        <v>4037</v>
      </c>
      <c r="B4038">
        <v>70.3</v>
      </c>
      <c r="C4038">
        <v>7.49</v>
      </c>
      <c r="D4038">
        <v>5.2290000000000001</v>
      </c>
      <c r="E4038" t="s">
        <v>6275</v>
      </c>
      <c r="F4038" t="s">
        <v>6276</v>
      </c>
      <c r="G4038" t="s">
        <v>39</v>
      </c>
      <c r="H4038">
        <v>1987</v>
      </c>
      <c r="I4038">
        <v>26.2</v>
      </c>
      <c r="J4038">
        <v>8.4</v>
      </c>
      <c r="K4038">
        <v>77</v>
      </c>
      <c r="L4038">
        <v>8.94</v>
      </c>
      <c r="M4038">
        <v>32.1</v>
      </c>
      <c r="N4038">
        <v>21.2</v>
      </c>
      <c r="O4038">
        <v>10.9</v>
      </c>
      <c r="P4038">
        <v>24.9</v>
      </c>
      <c r="Q4038">
        <v>26.7</v>
      </c>
      <c r="R4038">
        <v>27.3</v>
      </c>
      <c r="S4038">
        <v>24.9</v>
      </c>
      <c r="T4038">
        <v>2285</v>
      </c>
      <c r="U4038">
        <v>353</v>
      </c>
      <c r="V4038">
        <v>25</v>
      </c>
      <c r="W4038">
        <v>61</v>
      </c>
      <c r="X4038">
        <v>977</v>
      </c>
      <c r="Y4038">
        <v>109</v>
      </c>
      <c r="Z4038">
        <v>367</v>
      </c>
      <c r="AA4038">
        <v>977</v>
      </c>
      <c r="AB4038">
        <v>9.2323989999999991</v>
      </c>
      <c r="AC4038">
        <v>1.289622E-2</v>
      </c>
      <c r="AD4038">
        <v>1.950482</v>
      </c>
      <c r="AE4038">
        <v>0.77007110000000001</v>
      </c>
      <c r="AF4038">
        <v>95.511380000000003</v>
      </c>
      <c r="AG4038">
        <f>IFERROR(AH4038*0.1, "N/A")</f>
        <v>5.7985990000000003</v>
      </c>
      <c r="AH4038">
        <v>57.985990000000001</v>
      </c>
      <c r="AI4038">
        <v>137.23390000000001</v>
      </c>
      <c r="AJ4038">
        <v>22.985990000000001</v>
      </c>
      <c r="AK4038">
        <v>65</v>
      </c>
    </row>
    <row r="4039" spans="1:37" x14ac:dyDescent="0.3">
      <c r="A4039">
        <v>4038</v>
      </c>
      <c r="B4039">
        <v>59.3</v>
      </c>
      <c r="C4039">
        <v>5.4219999999999997</v>
      </c>
      <c r="D4039">
        <v>7.4550000000000001</v>
      </c>
      <c r="E4039" t="s">
        <v>6277</v>
      </c>
      <c r="F4039" t="s">
        <v>6278</v>
      </c>
      <c r="G4039" t="s">
        <v>39</v>
      </c>
      <c r="H4039">
        <v>1987</v>
      </c>
      <c r="I4039">
        <v>25.2</v>
      </c>
      <c r="J4039">
        <v>9.9</v>
      </c>
      <c r="K4039">
        <v>70</v>
      </c>
      <c r="L4039">
        <v>12.72</v>
      </c>
      <c r="M4039">
        <v>32.9</v>
      </c>
      <c r="N4039">
        <v>18.8</v>
      </c>
      <c r="O4039">
        <v>14.1</v>
      </c>
      <c r="P4039">
        <v>23.5</v>
      </c>
      <c r="Q4039">
        <v>25.6</v>
      </c>
      <c r="R4039">
        <v>26.9</v>
      </c>
      <c r="S4039">
        <v>23.5</v>
      </c>
      <c r="T4039">
        <v>1352</v>
      </c>
      <c r="U4039">
        <v>240</v>
      </c>
      <c r="V4039">
        <v>8</v>
      </c>
      <c r="W4039">
        <v>64</v>
      </c>
      <c r="X4039">
        <v>568</v>
      </c>
      <c r="Y4039">
        <v>54</v>
      </c>
      <c r="Z4039">
        <v>236</v>
      </c>
      <c r="AA4039">
        <v>568</v>
      </c>
      <c r="AB4039">
        <v>11.40122</v>
      </c>
      <c r="AC4039">
        <v>1.671777E-2</v>
      </c>
      <c r="AD4039">
        <v>1.6555880000000001</v>
      </c>
      <c r="AE4039">
        <v>0.85155550000000002</v>
      </c>
      <c r="AF4039">
        <v>371.67599999999999</v>
      </c>
      <c r="AG4039">
        <f>IFERROR(AH4039*0.1, "N/A")</f>
        <v>5.8585370000000001</v>
      </c>
      <c r="AH4039">
        <v>58.585369999999998</v>
      </c>
      <c r="AI4039">
        <v>175.7312</v>
      </c>
      <c r="AJ4039">
        <v>16.829270000000001</v>
      </c>
      <c r="AK4039">
        <v>66.414630000000002</v>
      </c>
    </row>
    <row r="4040" spans="1:37" x14ac:dyDescent="0.3">
      <c r="A4040">
        <v>4039</v>
      </c>
      <c r="B4040">
        <v>75</v>
      </c>
      <c r="C4040">
        <v>4.8935639999999996</v>
      </c>
      <c r="D4040">
        <v>6.8959279999999996</v>
      </c>
      <c r="E4040" t="s">
        <v>6279</v>
      </c>
      <c r="F4040" t="s">
        <v>6280</v>
      </c>
      <c r="G4040" t="s">
        <v>39</v>
      </c>
      <c r="H4040">
        <v>1987</v>
      </c>
      <c r="I4040">
        <v>26.2</v>
      </c>
      <c r="J4040">
        <v>8.9</v>
      </c>
      <c r="K4040">
        <v>74</v>
      </c>
      <c r="L4040">
        <v>11.85</v>
      </c>
      <c r="M4040">
        <v>33</v>
      </c>
      <c r="N4040">
        <v>21</v>
      </c>
      <c r="O4040">
        <v>12</v>
      </c>
      <c r="P4040">
        <v>24.5</v>
      </c>
      <c r="Q4040">
        <v>26.8</v>
      </c>
      <c r="R4040">
        <v>27.6</v>
      </c>
      <c r="S4040">
        <v>24.5</v>
      </c>
      <c r="T4040">
        <v>1656</v>
      </c>
      <c r="U4040">
        <v>261</v>
      </c>
      <c r="V4040">
        <v>10</v>
      </c>
      <c r="W4040">
        <v>63</v>
      </c>
      <c r="X4040">
        <v>681</v>
      </c>
      <c r="Y4040">
        <v>67</v>
      </c>
      <c r="Z4040">
        <v>287</v>
      </c>
      <c r="AA4040">
        <v>681</v>
      </c>
      <c r="AB4040">
        <v>19.903310000000001</v>
      </c>
      <c r="AC4040">
        <v>2.4737249999999999E-2</v>
      </c>
      <c r="AD4040">
        <v>3.1246239999999998</v>
      </c>
      <c r="AE4040">
        <v>0.47023559999999998</v>
      </c>
      <c r="AF4040">
        <v>192.41290000000001</v>
      </c>
      <c r="AG4040">
        <f>IFERROR(AH4040*0.1, "N/A")</f>
        <v>5.2268290000000004</v>
      </c>
      <c r="AH4040">
        <v>52.26829</v>
      </c>
      <c r="AI4040">
        <v>166.7261</v>
      </c>
      <c r="AJ4040">
        <v>21.865849999999998</v>
      </c>
      <c r="AK4040">
        <v>63.865850000000002</v>
      </c>
    </row>
    <row r="4041" spans="1:37" x14ac:dyDescent="0.3">
      <c r="A4041">
        <v>4040</v>
      </c>
      <c r="B4041">
        <v>0</v>
      </c>
      <c r="C4041">
        <v>5.4660000000000002</v>
      </c>
      <c r="D4041">
        <v>7.4480000000000004</v>
      </c>
      <c r="E4041" t="s">
        <v>6281</v>
      </c>
      <c r="F4041" t="s">
        <v>6282</v>
      </c>
      <c r="G4041" t="s">
        <v>39</v>
      </c>
      <c r="H4041">
        <v>1987</v>
      </c>
      <c r="I4041">
        <v>25.130099999999999</v>
      </c>
      <c r="J4041">
        <v>9.9</v>
      </c>
      <c r="K4041">
        <v>71</v>
      </c>
      <c r="L4041">
        <v>12.67709</v>
      </c>
      <c r="M4041">
        <v>32.7301</v>
      </c>
      <c r="N4041">
        <v>18.899999999999999</v>
      </c>
      <c r="O4041">
        <v>13.8301</v>
      </c>
      <c r="P4041">
        <v>23.430099999999999</v>
      </c>
      <c r="Q4041">
        <v>25.630099999999999</v>
      </c>
      <c r="R4041">
        <v>26.830100000000002</v>
      </c>
      <c r="S4041">
        <v>23.430099999999999</v>
      </c>
      <c r="T4041">
        <v>1349.4949999999999</v>
      </c>
      <c r="U4041">
        <v>240.69900000000001</v>
      </c>
      <c r="V4041">
        <v>8</v>
      </c>
      <c r="W4041">
        <v>64</v>
      </c>
      <c r="X4041">
        <v>567.69899999999996</v>
      </c>
      <c r="Y4041">
        <v>54</v>
      </c>
      <c r="Z4041">
        <v>235.39789999999999</v>
      </c>
      <c r="AA4041">
        <v>567.69899999999996</v>
      </c>
      <c r="AB4041">
        <v>12.85313</v>
      </c>
      <c r="AC4041">
        <v>1.165978E-2</v>
      </c>
      <c r="AD4041">
        <v>3.7911100000000002</v>
      </c>
      <c r="AE4041">
        <v>0.79619280000000003</v>
      </c>
      <c r="AF4041">
        <v>367.21449999999999</v>
      </c>
      <c r="AG4041">
        <f>IFERROR(AH4041*0.1, "N/A")</f>
        <v>5.760554</v>
      </c>
      <c r="AH4041">
        <v>57.605539999999998</v>
      </c>
      <c r="AI4041">
        <v>165.96369999999999</v>
      </c>
      <c r="AJ4041">
        <v>20.093430000000001</v>
      </c>
      <c r="AK4041">
        <v>64.903109999999998</v>
      </c>
    </row>
    <row r="4042" spans="1:37" x14ac:dyDescent="0.3">
      <c r="A4042">
        <v>4041</v>
      </c>
      <c r="B4042">
        <v>81.099999999999994</v>
      </c>
      <c r="C4042">
        <v>5.0810000000000004</v>
      </c>
      <c r="D4042">
        <v>7.3170000000000002</v>
      </c>
      <c r="E4042" t="s">
        <v>6283</v>
      </c>
      <c r="F4042" t="s">
        <v>6284</v>
      </c>
      <c r="G4042" t="s">
        <v>39</v>
      </c>
      <c r="H4042">
        <v>1987</v>
      </c>
      <c r="I4042">
        <v>25.560040000000001</v>
      </c>
      <c r="J4042">
        <v>9.6</v>
      </c>
      <c r="K4042">
        <v>72</v>
      </c>
      <c r="L4042">
        <v>12.251049999999999</v>
      </c>
      <c r="M4042">
        <v>32.960039999999999</v>
      </c>
      <c r="N4042">
        <v>19.690049999999999</v>
      </c>
      <c r="O4042">
        <v>13.26998</v>
      </c>
      <c r="P4042">
        <v>23.830020000000001</v>
      </c>
      <c r="Q4042">
        <v>26.060040000000001</v>
      </c>
      <c r="R4042">
        <v>27.060040000000001</v>
      </c>
      <c r="S4042">
        <v>23.830020000000001</v>
      </c>
      <c r="T4042">
        <v>1429.4</v>
      </c>
      <c r="U4042">
        <v>241</v>
      </c>
      <c r="V4042">
        <v>9</v>
      </c>
      <c r="W4042">
        <v>62</v>
      </c>
      <c r="X4042">
        <v>587.30020000000002</v>
      </c>
      <c r="Y4042">
        <v>58</v>
      </c>
      <c r="Z4042">
        <v>256.3997</v>
      </c>
      <c r="AA4042">
        <v>587.30020000000002</v>
      </c>
      <c r="AB4042">
        <v>38.605240000000002</v>
      </c>
      <c r="AC4042">
        <v>9.5007310000000001E-3</v>
      </c>
      <c r="AD4042">
        <v>6.9355859999999998</v>
      </c>
      <c r="AE4042">
        <v>0.650644</v>
      </c>
      <c r="AF4042">
        <v>341.13959999999997</v>
      </c>
      <c r="AG4042">
        <f>IFERROR(AH4042*0.1, "N/A")</f>
        <v>5.6567189999999998</v>
      </c>
      <c r="AH4042">
        <v>56.567189999999997</v>
      </c>
      <c r="AI4042">
        <v>230.89930000000001</v>
      </c>
      <c r="AJ4042">
        <v>22.863869999999999</v>
      </c>
      <c r="AK4042">
        <v>60.872599999999998</v>
      </c>
    </row>
    <row r="4043" spans="1:37" x14ac:dyDescent="0.3">
      <c r="A4043">
        <v>4042</v>
      </c>
      <c r="B4043">
        <v>85</v>
      </c>
      <c r="C4043">
        <v>5.1159999999999997</v>
      </c>
      <c r="D4043">
        <v>7.1040000000000001</v>
      </c>
      <c r="E4043" t="s">
        <v>6285</v>
      </c>
      <c r="F4043" t="s">
        <v>6286</v>
      </c>
      <c r="G4043" t="s">
        <v>39</v>
      </c>
      <c r="H4043">
        <v>1987</v>
      </c>
      <c r="I4043">
        <v>24.9</v>
      </c>
      <c r="J4043">
        <v>9.3000000000000007</v>
      </c>
      <c r="K4043">
        <v>73</v>
      </c>
      <c r="L4043">
        <v>11.92</v>
      </c>
      <c r="M4043">
        <v>32.1</v>
      </c>
      <c r="N4043">
        <v>19.399999999999999</v>
      </c>
      <c r="O4043">
        <v>12.7</v>
      </c>
      <c r="P4043">
        <v>23.2</v>
      </c>
      <c r="Q4043">
        <v>25.5</v>
      </c>
      <c r="R4043">
        <v>26.3</v>
      </c>
      <c r="S4043">
        <v>23.2</v>
      </c>
      <c r="T4043">
        <v>1556</v>
      </c>
      <c r="U4043">
        <v>260</v>
      </c>
      <c r="V4043">
        <v>10</v>
      </c>
      <c r="W4043">
        <v>62</v>
      </c>
      <c r="X4043">
        <v>644</v>
      </c>
      <c r="Y4043">
        <v>67</v>
      </c>
      <c r="Z4043">
        <v>282</v>
      </c>
      <c r="AA4043">
        <v>644</v>
      </c>
      <c r="AB4043">
        <v>113.95229999999999</v>
      </c>
      <c r="AC4043">
        <v>8.6461179999999995E-3</v>
      </c>
      <c r="AD4043">
        <v>13.48582</v>
      </c>
      <c r="AE4043">
        <v>0.51367870000000004</v>
      </c>
      <c r="AF4043">
        <v>426.58190000000002</v>
      </c>
      <c r="AG4043">
        <f>IFERROR(AH4043*0.1, "N/A")</f>
        <v>5.5</v>
      </c>
      <c r="AH4043">
        <v>55</v>
      </c>
      <c r="AI4043">
        <v>72.34111</v>
      </c>
      <c r="AJ4043">
        <v>27</v>
      </c>
      <c r="AK4043">
        <v>57</v>
      </c>
    </row>
    <row r="4044" spans="1:37" x14ac:dyDescent="0.3">
      <c r="A4044">
        <v>4043</v>
      </c>
      <c r="B4044">
        <v>70</v>
      </c>
      <c r="C4044">
        <v>4.6319999999999997</v>
      </c>
      <c r="D4044">
        <v>7.6989999999999998</v>
      </c>
      <c r="E4044" t="s">
        <v>6287</v>
      </c>
      <c r="F4044" t="s">
        <v>6288</v>
      </c>
      <c r="G4044" t="s">
        <v>39</v>
      </c>
      <c r="H4044">
        <v>1987</v>
      </c>
      <c r="I4044">
        <v>25.9</v>
      </c>
      <c r="J4044">
        <v>10</v>
      </c>
      <c r="K4044">
        <v>69</v>
      </c>
      <c r="L4044">
        <v>13.03</v>
      </c>
      <c r="M4044">
        <v>33.799999999999997</v>
      </c>
      <c r="N4044">
        <v>19.399999999999999</v>
      </c>
      <c r="O4044">
        <v>14.4</v>
      </c>
      <c r="P4044">
        <v>24.6</v>
      </c>
      <c r="Q4044">
        <v>26.3</v>
      </c>
      <c r="R4044">
        <v>27.5</v>
      </c>
      <c r="S4044">
        <v>24.1</v>
      </c>
      <c r="T4044">
        <v>1273</v>
      </c>
      <c r="U4044">
        <v>208</v>
      </c>
      <c r="V4044">
        <v>9</v>
      </c>
      <c r="W4044">
        <v>63</v>
      </c>
      <c r="X4044">
        <v>514</v>
      </c>
      <c r="Y4044">
        <v>47</v>
      </c>
      <c r="Z4044">
        <v>227</v>
      </c>
      <c r="AA4044">
        <v>482</v>
      </c>
      <c r="AB4044">
        <v>22.864470000000001</v>
      </c>
      <c r="AC4044">
        <v>8.6778940000000002E-3</v>
      </c>
      <c r="AD4044">
        <v>2.4295429999999998</v>
      </c>
      <c r="AE4044">
        <v>0.44506689999999999</v>
      </c>
      <c r="AF4044">
        <v>358.03640000000001</v>
      </c>
      <c r="AG4044">
        <f>IFERROR(AH4044*0.1, "N/A")</f>
        <v>5.5</v>
      </c>
      <c r="AH4044">
        <v>55</v>
      </c>
      <c r="AI4044">
        <v>135.64279999999999</v>
      </c>
      <c r="AJ4044">
        <v>22</v>
      </c>
      <c r="AK4044">
        <v>61</v>
      </c>
    </row>
    <row r="4045" spans="1:37" x14ac:dyDescent="0.3">
      <c r="A4045">
        <v>4044</v>
      </c>
      <c r="B4045">
        <v>93.9</v>
      </c>
      <c r="C4045">
        <v>4.8639999999999999</v>
      </c>
      <c r="D4045">
        <v>6.7830000000000004</v>
      </c>
      <c r="E4045" t="s">
        <v>6289</v>
      </c>
      <c r="F4045" t="s">
        <v>6290</v>
      </c>
      <c r="G4045" t="s">
        <v>39</v>
      </c>
      <c r="H4045">
        <v>1987</v>
      </c>
      <c r="I4045">
        <v>26.663650000000001</v>
      </c>
      <c r="J4045">
        <v>8.6999999999999993</v>
      </c>
      <c r="K4045">
        <v>73.636520000000004</v>
      </c>
      <c r="L4045">
        <v>11.54454</v>
      </c>
      <c r="M4045">
        <v>33.299999999999997</v>
      </c>
      <c r="N4045">
        <v>21.563649999999999</v>
      </c>
      <c r="O4045">
        <v>11.73635</v>
      </c>
      <c r="P4045">
        <v>26</v>
      </c>
      <c r="Q4045">
        <v>27.263649999999998</v>
      </c>
      <c r="R4045">
        <v>28</v>
      </c>
      <c r="S4045">
        <v>24.963650000000001</v>
      </c>
      <c r="T4045">
        <v>1715.546</v>
      </c>
      <c r="U4045">
        <v>273.27300000000002</v>
      </c>
      <c r="V4045">
        <v>11</v>
      </c>
      <c r="W4045">
        <v>64</v>
      </c>
      <c r="X4045">
        <v>707.54610000000002</v>
      </c>
      <c r="Y4045">
        <v>69</v>
      </c>
      <c r="Z4045">
        <v>288.36349999999999</v>
      </c>
      <c r="AA4045">
        <v>703.90959999999995</v>
      </c>
      <c r="AB4045">
        <v>2.2659120000000001</v>
      </c>
      <c r="AC4045">
        <v>17.96536</v>
      </c>
      <c r="AD4045">
        <v>4.2982060000000004</v>
      </c>
      <c r="AE4045">
        <v>0.47162349999999997</v>
      </c>
      <c r="AF4045">
        <v>100.65219999999999</v>
      </c>
      <c r="AG4045">
        <f>IFERROR(AH4045*0.1, "N/A")</f>
        <v>5.5984350000000003</v>
      </c>
      <c r="AH4045">
        <v>55.984349999999999</v>
      </c>
      <c r="AI4045">
        <v>121.21850000000001</v>
      </c>
      <c r="AJ4045">
        <v>19.7913</v>
      </c>
      <c r="AK4045">
        <v>61</v>
      </c>
    </row>
    <row r="4046" spans="1:37" x14ac:dyDescent="0.3">
      <c r="A4046">
        <v>4045</v>
      </c>
      <c r="B4046">
        <v>0</v>
      </c>
      <c r="C4046">
        <v>7.8319999999999999</v>
      </c>
      <c r="D4046">
        <v>7.2830000000000004</v>
      </c>
      <c r="E4046" t="s">
        <v>6291</v>
      </c>
      <c r="F4046" t="s">
        <v>6292</v>
      </c>
      <c r="G4046" t="s">
        <v>39</v>
      </c>
      <c r="H4046">
        <v>1987</v>
      </c>
      <c r="I4046">
        <v>26.4</v>
      </c>
      <c r="J4046">
        <v>10</v>
      </c>
      <c r="K4046">
        <v>66</v>
      </c>
      <c r="L4046">
        <v>13.242000000000001</v>
      </c>
      <c r="M4046">
        <v>34.299999999999997</v>
      </c>
      <c r="N4046">
        <v>19.3</v>
      </c>
      <c r="O4046">
        <v>15</v>
      </c>
      <c r="P4046">
        <v>24.888000000000002</v>
      </c>
      <c r="Q4046">
        <v>26.7</v>
      </c>
      <c r="R4046">
        <v>28.388000000000002</v>
      </c>
      <c r="S4046">
        <v>24.888000000000002</v>
      </c>
      <c r="T4046">
        <v>1425.76</v>
      </c>
      <c r="U4046">
        <v>280</v>
      </c>
      <c r="V4046">
        <v>7</v>
      </c>
      <c r="W4046">
        <v>76</v>
      </c>
      <c r="X4046">
        <v>649.88</v>
      </c>
      <c r="Y4046">
        <v>30</v>
      </c>
      <c r="Z4046">
        <v>174</v>
      </c>
      <c r="AA4046">
        <v>649.88</v>
      </c>
      <c r="AB4046">
        <v>0.59426049999999997</v>
      </c>
      <c r="AC4046">
        <v>78.256540000000001</v>
      </c>
      <c r="AD4046">
        <v>2.0266250000000001</v>
      </c>
      <c r="AE4046">
        <v>0.4032056</v>
      </c>
      <c r="AF4046">
        <v>163.12520000000001</v>
      </c>
      <c r="AG4046">
        <f>IFERROR(AH4046*0.1, "N/A")</f>
        <v>5.95113</v>
      </c>
      <c r="AH4046">
        <v>59.511299999999999</v>
      </c>
      <c r="AI4046">
        <v>196.8229</v>
      </c>
      <c r="AJ4046">
        <v>17.886959999999998</v>
      </c>
      <c r="AK4046">
        <v>62.78783</v>
      </c>
    </row>
    <row r="4047" spans="1:37" x14ac:dyDescent="0.3">
      <c r="A4047">
        <v>4046</v>
      </c>
      <c r="B4047">
        <v>0</v>
      </c>
      <c r="C4047">
        <v>5.6144999999999996</v>
      </c>
      <c r="D4047">
        <v>6.3175999999999997</v>
      </c>
      <c r="E4047" t="s">
        <v>6293</v>
      </c>
      <c r="F4047" t="s">
        <v>6294</v>
      </c>
      <c r="G4047" t="s">
        <v>39</v>
      </c>
      <c r="H4047">
        <v>1987</v>
      </c>
      <c r="I4047">
        <v>26.103490000000001</v>
      </c>
      <c r="J4047">
        <v>8.9</v>
      </c>
      <c r="K4047">
        <v>73</v>
      </c>
      <c r="L4047">
        <v>10.46349</v>
      </c>
      <c r="M4047">
        <v>32.700000000000003</v>
      </c>
      <c r="N4047">
        <v>20.6</v>
      </c>
      <c r="O4047">
        <v>12.1</v>
      </c>
      <c r="P4047">
        <v>24.6</v>
      </c>
      <c r="Q4047">
        <v>26.5</v>
      </c>
      <c r="R4047">
        <v>27.4</v>
      </c>
      <c r="S4047">
        <v>24.6</v>
      </c>
      <c r="T4047">
        <v>2035.279</v>
      </c>
      <c r="U4047">
        <v>339.03489999999999</v>
      </c>
      <c r="V4047">
        <v>9</v>
      </c>
      <c r="W4047">
        <v>67</v>
      </c>
      <c r="X4047">
        <v>922.17449999999997</v>
      </c>
      <c r="Y4047">
        <v>76</v>
      </c>
      <c r="Z4047">
        <v>318.03489999999999</v>
      </c>
      <c r="AA4047">
        <v>922.17449999999997</v>
      </c>
      <c r="AB4047">
        <v>5.8396160000000004</v>
      </c>
      <c r="AC4047">
        <v>1.2367319999999999E-2</v>
      </c>
      <c r="AD4047">
        <v>1.8210660000000001</v>
      </c>
      <c r="AE4047">
        <v>0.8715022</v>
      </c>
      <c r="AF4047">
        <v>82.612570000000005</v>
      </c>
      <c r="AG4047">
        <f>IFERROR(AH4047*0.1, "N/A")</f>
        <v>5.6022689999999997</v>
      </c>
      <c r="AH4047">
        <v>56.022689999999997</v>
      </c>
      <c r="AI4047">
        <v>189.91730000000001</v>
      </c>
      <c r="AJ4047">
        <v>24.045380000000002</v>
      </c>
      <c r="AK4047">
        <v>60.488660000000003</v>
      </c>
    </row>
    <row r="4048" spans="1:37" x14ac:dyDescent="0.3">
      <c r="A4048">
        <v>4047</v>
      </c>
      <c r="B4048">
        <v>43</v>
      </c>
      <c r="C4048">
        <v>5.6280000000000001</v>
      </c>
      <c r="D4048">
        <v>6.34</v>
      </c>
      <c r="E4048" t="s">
        <v>6295</v>
      </c>
      <c r="F4048" t="s">
        <v>6296</v>
      </c>
      <c r="G4048" t="s">
        <v>39</v>
      </c>
      <c r="H4048">
        <v>1987</v>
      </c>
      <c r="I4048">
        <v>26.1</v>
      </c>
      <c r="J4048">
        <v>8.9</v>
      </c>
      <c r="K4048">
        <v>72</v>
      </c>
      <c r="L4048">
        <v>10.4</v>
      </c>
      <c r="M4048">
        <v>32.700000000000003</v>
      </c>
      <c r="N4048">
        <v>20.5</v>
      </c>
      <c r="O4048">
        <v>12.2</v>
      </c>
      <c r="P4048">
        <v>24.6</v>
      </c>
      <c r="Q4048">
        <v>26.5</v>
      </c>
      <c r="R4048">
        <v>27.3</v>
      </c>
      <c r="S4048">
        <v>24.6</v>
      </c>
      <c r="T4048">
        <v>2015</v>
      </c>
      <c r="U4048">
        <v>337</v>
      </c>
      <c r="V4048">
        <v>9</v>
      </c>
      <c r="W4048">
        <v>67</v>
      </c>
      <c r="X4048">
        <v>911</v>
      </c>
      <c r="Y4048">
        <v>74</v>
      </c>
      <c r="Z4048">
        <v>316</v>
      </c>
      <c r="AA4048">
        <v>911</v>
      </c>
      <c r="AB4048">
        <v>4.5329300000000003</v>
      </c>
      <c r="AC4048">
        <v>3.5688659999999997E-2</v>
      </c>
      <c r="AD4048">
        <v>1.4078649999999999</v>
      </c>
      <c r="AE4048">
        <v>0.9280022</v>
      </c>
      <c r="AF4048">
        <v>87.998260000000002</v>
      </c>
      <c r="AG4048">
        <f>IFERROR(AH4048*0.1, "N/A")</f>
        <v>6.3000000000000007</v>
      </c>
      <c r="AH4048">
        <v>63</v>
      </c>
      <c r="AI4048">
        <v>198.89699999999999</v>
      </c>
      <c r="AJ4048">
        <v>22</v>
      </c>
      <c r="AK4048">
        <v>55</v>
      </c>
    </row>
    <row r="4049" spans="1:37" x14ac:dyDescent="0.3">
      <c r="A4049">
        <v>4048</v>
      </c>
      <c r="B4049">
        <v>0</v>
      </c>
      <c r="C4049">
        <v>6.1859999999999999</v>
      </c>
      <c r="D4049">
        <v>6.258</v>
      </c>
      <c r="E4049" t="s">
        <v>6297</v>
      </c>
      <c r="F4049" t="s">
        <v>6298</v>
      </c>
      <c r="G4049" t="s">
        <v>39</v>
      </c>
      <c r="H4049">
        <v>1987</v>
      </c>
      <c r="I4049">
        <v>26.189160000000001</v>
      </c>
      <c r="J4049">
        <v>8.9</v>
      </c>
      <c r="K4049">
        <v>74.89161</v>
      </c>
      <c r="L4049">
        <v>10.657590000000001</v>
      </c>
      <c r="M4049">
        <v>32.799999999999997</v>
      </c>
      <c r="N4049">
        <v>20.989159999999998</v>
      </c>
      <c r="O4049">
        <v>11.810840000000001</v>
      </c>
      <c r="P4049">
        <v>24.689160000000001</v>
      </c>
      <c r="Q4049">
        <v>26.58916</v>
      </c>
      <c r="R4049">
        <v>27.5</v>
      </c>
      <c r="S4049">
        <v>24.689160000000001</v>
      </c>
      <c r="T4049">
        <v>1913.4580000000001</v>
      </c>
      <c r="U4049">
        <v>331.89159999999998</v>
      </c>
      <c r="V4049">
        <v>13</v>
      </c>
      <c r="W4049">
        <v>66.89161</v>
      </c>
      <c r="X4049">
        <v>812.6748</v>
      </c>
      <c r="Y4049">
        <v>67</v>
      </c>
      <c r="Z4049">
        <v>310</v>
      </c>
      <c r="AA4049">
        <v>812.6748</v>
      </c>
      <c r="AB4049">
        <v>24.724119999999999</v>
      </c>
      <c r="AC4049">
        <v>6.0956280000000002E-2</v>
      </c>
      <c r="AD4049">
        <v>4.3119449999999997</v>
      </c>
      <c r="AE4049">
        <v>0.78451859999999995</v>
      </c>
      <c r="AF4049">
        <v>117.6486</v>
      </c>
      <c r="AG4049">
        <f>IFERROR(AH4049*0.1, "N/A")</f>
        <v>5.8188810000000002</v>
      </c>
      <c r="AH4049">
        <v>58.188809999999997</v>
      </c>
      <c r="AI4049">
        <v>99.402510000000007</v>
      </c>
      <c r="AJ4049">
        <v>15.54895</v>
      </c>
      <c r="AK4049">
        <v>69.692310000000006</v>
      </c>
    </row>
    <row r="4050" spans="1:37" x14ac:dyDescent="0.3">
      <c r="A4050">
        <v>4049</v>
      </c>
      <c r="B4050">
        <v>0</v>
      </c>
      <c r="C4050">
        <v>6.0490000000000004</v>
      </c>
      <c r="D4050">
        <v>5.77</v>
      </c>
      <c r="E4050" t="s">
        <v>6299</v>
      </c>
      <c r="F4050" t="s">
        <v>6300</v>
      </c>
      <c r="G4050" t="s">
        <v>39</v>
      </c>
      <c r="H4050">
        <v>1987</v>
      </c>
      <c r="I4050">
        <v>26.7</v>
      </c>
      <c r="J4050">
        <v>8.4</v>
      </c>
      <c r="K4050">
        <v>76</v>
      </c>
      <c r="L4050">
        <v>9.74</v>
      </c>
      <c r="M4050">
        <v>32.9</v>
      </c>
      <c r="N4050">
        <v>21.9</v>
      </c>
      <c r="O4050">
        <v>11</v>
      </c>
      <c r="P4050">
        <v>25.4</v>
      </c>
      <c r="Q4050">
        <v>27.1</v>
      </c>
      <c r="R4050">
        <v>28</v>
      </c>
      <c r="S4050">
        <v>25.4</v>
      </c>
      <c r="T4050">
        <v>2354</v>
      </c>
      <c r="U4050">
        <v>403</v>
      </c>
      <c r="V4050">
        <v>18</v>
      </c>
      <c r="W4050">
        <v>67</v>
      </c>
      <c r="X4050">
        <v>1037</v>
      </c>
      <c r="Y4050">
        <v>94</v>
      </c>
      <c r="Z4050">
        <v>338</v>
      </c>
      <c r="AA4050">
        <v>1037</v>
      </c>
      <c r="AB4050">
        <v>1.576049</v>
      </c>
      <c r="AC4050">
        <v>327.96179999999998</v>
      </c>
      <c r="AD4050">
        <v>1.333917</v>
      </c>
      <c r="AE4050">
        <v>0.59527220000000003</v>
      </c>
      <c r="AF4050">
        <v>11.23427</v>
      </c>
      <c r="AG4050">
        <f>IFERROR(AH4050*0.1, "N/A")</f>
        <v>5.1384620000000005</v>
      </c>
      <c r="AH4050">
        <v>51.384619999999998</v>
      </c>
      <c r="AI4050">
        <v>79.442390000000003</v>
      </c>
      <c r="AJ4050">
        <v>24.923079999999999</v>
      </c>
      <c r="AK4050">
        <v>56.461539999999999</v>
      </c>
    </row>
    <row r="4051" spans="1:37" x14ac:dyDescent="0.3">
      <c r="A4051">
        <v>4050</v>
      </c>
      <c r="B4051">
        <v>0</v>
      </c>
      <c r="C4051">
        <v>5.4669999999999996</v>
      </c>
      <c r="D4051">
        <v>6.2990000000000004</v>
      </c>
      <c r="E4051" t="s">
        <v>6301</v>
      </c>
      <c r="F4051" t="s">
        <v>6302</v>
      </c>
      <c r="G4051" t="s">
        <v>39</v>
      </c>
      <c r="H4051">
        <v>1987</v>
      </c>
      <c r="I4051">
        <v>26.3</v>
      </c>
      <c r="J4051">
        <v>8.6999999999999993</v>
      </c>
      <c r="K4051">
        <v>73</v>
      </c>
      <c r="L4051">
        <v>10.66098</v>
      </c>
      <c r="M4051">
        <v>32.799999999999997</v>
      </c>
      <c r="N4051">
        <v>21</v>
      </c>
      <c r="O4051">
        <v>11.8</v>
      </c>
      <c r="P4051">
        <v>24.8</v>
      </c>
      <c r="Q4051">
        <v>26.8</v>
      </c>
      <c r="R4051">
        <v>27.6</v>
      </c>
      <c r="S4051">
        <v>24.8</v>
      </c>
      <c r="T4051">
        <v>2080.0239999999999</v>
      </c>
      <c r="U4051">
        <v>347.01220000000001</v>
      </c>
      <c r="V4051">
        <v>10</v>
      </c>
      <c r="W4051">
        <v>66</v>
      </c>
      <c r="X4051">
        <v>931</v>
      </c>
      <c r="Y4051">
        <v>79</v>
      </c>
      <c r="Z4051">
        <v>324</v>
      </c>
      <c r="AA4051">
        <v>931</v>
      </c>
      <c r="AB4051">
        <v>4.4265280000000002</v>
      </c>
      <c r="AC4051">
        <v>8.4972859999999997E-3</v>
      </c>
      <c r="AD4051">
        <v>2.8580730000000001</v>
      </c>
      <c r="AE4051">
        <v>0.37732019999999999</v>
      </c>
      <c r="AF4051">
        <v>60.795810000000003</v>
      </c>
      <c r="AG4051">
        <f>IFERROR(AH4051*0.1, "N/A")</f>
        <v>5.2541010000000004</v>
      </c>
      <c r="AH4051">
        <v>52.54101</v>
      </c>
      <c r="AI4051">
        <v>305.07080000000002</v>
      </c>
      <c r="AJ4051">
        <v>20.06981</v>
      </c>
      <c r="AK4051">
        <v>68.401399999999995</v>
      </c>
    </row>
    <row r="4052" spans="1:37" x14ac:dyDescent="0.3">
      <c r="A4052">
        <v>4051</v>
      </c>
      <c r="B4052">
        <v>0</v>
      </c>
      <c r="C4052">
        <v>5.7480000000000002</v>
      </c>
      <c r="D4052">
        <v>5.508</v>
      </c>
      <c r="E4052" t="s">
        <v>6303</v>
      </c>
      <c r="F4052" t="s">
        <v>6304</v>
      </c>
      <c r="G4052" t="s">
        <v>39</v>
      </c>
      <c r="H4052">
        <v>1987</v>
      </c>
      <c r="I4052">
        <v>26.68394</v>
      </c>
      <c r="J4052">
        <v>8</v>
      </c>
      <c r="K4052">
        <v>76</v>
      </c>
      <c r="L4052">
        <v>9.1971550000000004</v>
      </c>
      <c r="M4052">
        <v>32.483939999999997</v>
      </c>
      <c r="N4052">
        <v>22</v>
      </c>
      <c r="O4052">
        <v>10.48394</v>
      </c>
      <c r="P4052">
        <v>25.383939999999999</v>
      </c>
      <c r="Q4052">
        <v>27</v>
      </c>
      <c r="R4052">
        <v>27.783940000000001</v>
      </c>
      <c r="S4052">
        <v>25.383939999999999</v>
      </c>
      <c r="T4052">
        <v>2782.5549999999998</v>
      </c>
      <c r="U4052">
        <v>476.6789</v>
      </c>
      <c r="V4052">
        <v>30</v>
      </c>
      <c r="W4052">
        <v>67</v>
      </c>
      <c r="X4052">
        <v>1261.3579999999999</v>
      </c>
      <c r="Y4052">
        <v>120</v>
      </c>
      <c r="Z4052">
        <v>387.83940000000001</v>
      </c>
      <c r="AA4052">
        <v>1261.3579999999999</v>
      </c>
      <c r="AB4052">
        <v>0.49057590000000001</v>
      </c>
      <c r="AC4052">
        <v>3.2314030000000001E-2</v>
      </c>
      <c r="AD4052">
        <v>0.81731889999999996</v>
      </c>
      <c r="AE4052">
        <v>0.85401300000000002</v>
      </c>
      <c r="AF4052">
        <v>1.085515</v>
      </c>
      <c r="AG4052">
        <f>IFERROR(AH4052*0.1, "N/A")</f>
        <v>5.2940740000000002</v>
      </c>
      <c r="AH4052">
        <v>52.940739999999998</v>
      </c>
      <c r="AI4052">
        <v>101.2884</v>
      </c>
      <c r="AJ4052">
        <v>32.296300000000002</v>
      </c>
      <c r="AK4052">
        <v>42.76296</v>
      </c>
    </row>
    <row r="4053" spans="1:37" x14ac:dyDescent="0.3">
      <c r="A4053">
        <v>4052</v>
      </c>
      <c r="B4053">
        <v>0</v>
      </c>
      <c r="C4053">
        <v>5.6790000000000003</v>
      </c>
      <c r="D4053">
        <v>5.8929999999999998</v>
      </c>
      <c r="E4053" t="s">
        <v>6305</v>
      </c>
      <c r="F4053" t="s">
        <v>6306</v>
      </c>
      <c r="G4053" t="s">
        <v>39</v>
      </c>
      <c r="H4053">
        <v>1987</v>
      </c>
      <c r="I4053">
        <v>26.6</v>
      </c>
      <c r="J4053">
        <v>8.3000000000000007</v>
      </c>
      <c r="K4053">
        <v>74</v>
      </c>
      <c r="L4053">
        <v>9.84</v>
      </c>
      <c r="M4053">
        <v>32.799999999999997</v>
      </c>
      <c r="N4053">
        <v>21.7</v>
      </c>
      <c r="O4053">
        <v>11.1</v>
      </c>
      <c r="P4053">
        <v>25.2</v>
      </c>
      <c r="Q4053">
        <v>27</v>
      </c>
      <c r="R4053">
        <v>27.8</v>
      </c>
      <c r="S4053">
        <v>25.2</v>
      </c>
      <c r="T4053">
        <v>2406</v>
      </c>
      <c r="U4053">
        <v>403</v>
      </c>
      <c r="V4053">
        <v>21</v>
      </c>
      <c r="W4053">
        <v>67</v>
      </c>
      <c r="X4053">
        <v>1060</v>
      </c>
      <c r="Y4053">
        <v>92</v>
      </c>
      <c r="Z4053">
        <v>357</v>
      </c>
      <c r="AA4053">
        <v>1060</v>
      </c>
      <c r="AB4053">
        <v>2.7897029999999998</v>
      </c>
      <c r="AC4053">
        <v>8.622312E-3</v>
      </c>
      <c r="AD4053">
        <v>1.259822</v>
      </c>
      <c r="AE4053">
        <v>0.88897999999999999</v>
      </c>
      <c r="AF4053">
        <v>7.1989530000000004</v>
      </c>
      <c r="AG4053">
        <f>IFERROR(AH4053*0.1, "N/A")</f>
        <v>5.5724260000000001</v>
      </c>
      <c r="AH4053">
        <v>55.724260000000001</v>
      </c>
      <c r="AI4053">
        <v>206.42240000000001</v>
      </c>
      <c r="AJ4053">
        <v>30.179760000000002</v>
      </c>
      <c r="AK4053">
        <v>48.282719999999998</v>
      </c>
    </row>
    <row r="4054" spans="1:37" x14ac:dyDescent="0.3">
      <c r="A4054">
        <v>4053</v>
      </c>
      <c r="B4054">
        <v>0</v>
      </c>
      <c r="C4054">
        <v>5.5129999999999999</v>
      </c>
      <c r="D4054">
        <v>5.3460000000000001</v>
      </c>
      <c r="E4054" t="s">
        <v>6307</v>
      </c>
      <c r="F4054" t="s">
        <v>6308</v>
      </c>
      <c r="G4054" t="s">
        <v>39</v>
      </c>
      <c r="H4054">
        <v>1987</v>
      </c>
      <c r="I4054">
        <v>26.7</v>
      </c>
      <c r="J4054">
        <v>7.7</v>
      </c>
      <c r="K4054">
        <v>75</v>
      </c>
      <c r="L4054">
        <v>9.15</v>
      </c>
      <c r="M4054">
        <v>32.4</v>
      </c>
      <c r="N4054">
        <v>22.2</v>
      </c>
      <c r="O4054">
        <v>10.199999999999999</v>
      </c>
      <c r="P4054">
        <v>25.5</v>
      </c>
      <c r="Q4054">
        <v>27</v>
      </c>
      <c r="R4054">
        <v>27.9</v>
      </c>
      <c r="S4054">
        <v>25.5</v>
      </c>
      <c r="T4054">
        <v>3297</v>
      </c>
      <c r="U4054">
        <v>581</v>
      </c>
      <c r="V4054">
        <v>41</v>
      </c>
      <c r="W4054">
        <v>66</v>
      </c>
      <c r="X4054">
        <v>1417</v>
      </c>
      <c r="Y4054">
        <v>160</v>
      </c>
      <c r="Z4054">
        <v>464</v>
      </c>
      <c r="AA4054">
        <v>1417</v>
      </c>
      <c r="AB4054">
        <v>7.5131359999999994E-2</v>
      </c>
      <c r="AC4054">
        <v>0.36806169999999999</v>
      </c>
      <c r="AD4054">
        <v>1.899635</v>
      </c>
      <c r="AE4054">
        <v>0.43094529999999998</v>
      </c>
      <c r="AF4054">
        <v>3.047285</v>
      </c>
      <c r="AG4054">
        <f>IFERROR(AH4054*0.1, "N/A")</f>
        <v>5.2</v>
      </c>
      <c r="AH4054">
        <v>52</v>
      </c>
      <c r="AI4054">
        <v>218.39259999999999</v>
      </c>
      <c r="AJ4054">
        <v>34.019260000000003</v>
      </c>
      <c r="AK4054">
        <v>42.884410000000003</v>
      </c>
    </row>
    <row r="4055" spans="1:37" x14ac:dyDescent="0.3">
      <c r="A4055">
        <v>4054</v>
      </c>
      <c r="B4055">
        <v>30</v>
      </c>
      <c r="C4055">
        <v>7.0229999999999997</v>
      </c>
      <c r="D4055">
        <v>5.4930000000000003</v>
      </c>
      <c r="E4055" t="s">
        <v>6309</v>
      </c>
      <c r="F4055" t="s">
        <v>6310</v>
      </c>
      <c r="G4055" t="s">
        <v>39</v>
      </c>
      <c r="H4055">
        <v>1987</v>
      </c>
      <c r="I4055">
        <v>26.5</v>
      </c>
      <c r="J4055">
        <v>8.5</v>
      </c>
      <c r="K4055">
        <v>77</v>
      </c>
      <c r="L4055">
        <v>9.27</v>
      </c>
      <c r="M4055">
        <v>32.5</v>
      </c>
      <c r="N4055">
        <v>21.6</v>
      </c>
      <c r="O4055">
        <v>10.9</v>
      </c>
      <c r="P4055">
        <v>25.4</v>
      </c>
      <c r="Q4055">
        <v>27</v>
      </c>
      <c r="R4055">
        <v>27.7</v>
      </c>
      <c r="S4055">
        <v>25.2</v>
      </c>
      <c r="T4055">
        <v>2221</v>
      </c>
      <c r="U4055">
        <v>366</v>
      </c>
      <c r="V4055">
        <v>16</v>
      </c>
      <c r="W4055">
        <v>70</v>
      </c>
      <c r="X4055">
        <v>1019</v>
      </c>
      <c r="Y4055">
        <v>70</v>
      </c>
      <c r="Z4055">
        <v>300</v>
      </c>
      <c r="AA4055">
        <v>975</v>
      </c>
      <c r="AB4055">
        <v>4.250089</v>
      </c>
      <c r="AC4055">
        <v>47.480510000000002</v>
      </c>
      <c r="AD4055">
        <v>3.1661649999999999</v>
      </c>
      <c r="AE4055">
        <v>0.76264120000000002</v>
      </c>
      <c r="AF4055">
        <v>52.952710000000003</v>
      </c>
      <c r="AG4055">
        <f>IFERROR(AH4055*0.1, "N/A")</f>
        <v>5.6194400000000009</v>
      </c>
      <c r="AH4055">
        <v>56.194400000000002</v>
      </c>
      <c r="AI4055">
        <v>92.44605</v>
      </c>
      <c r="AJ4055">
        <v>23.78284</v>
      </c>
      <c r="AK4055">
        <v>59.045529999999999</v>
      </c>
    </row>
    <row r="4056" spans="1:37" x14ac:dyDescent="0.3">
      <c r="A4056">
        <v>4055</v>
      </c>
      <c r="B4056">
        <v>3.8</v>
      </c>
      <c r="C4056">
        <v>10.4514</v>
      </c>
      <c r="D4056">
        <v>12.8775</v>
      </c>
      <c r="E4056" t="s">
        <v>6311</v>
      </c>
      <c r="F4056" t="s">
        <v>6312</v>
      </c>
      <c r="G4056" t="s">
        <v>39</v>
      </c>
      <c r="H4056">
        <v>2007</v>
      </c>
      <c r="I4056">
        <v>26.9</v>
      </c>
      <c r="J4056">
        <v>15.5</v>
      </c>
      <c r="K4056">
        <v>56</v>
      </c>
      <c r="L4056">
        <v>30.44</v>
      </c>
      <c r="M4056">
        <v>39.9</v>
      </c>
      <c r="N4056">
        <v>12.6</v>
      </c>
      <c r="O4056">
        <v>27.3</v>
      </c>
      <c r="P4056">
        <v>26.8</v>
      </c>
      <c r="Q4056">
        <v>23.2</v>
      </c>
      <c r="R4056">
        <v>30.9</v>
      </c>
      <c r="S4056">
        <v>22.6</v>
      </c>
      <c r="T4056">
        <v>445</v>
      </c>
      <c r="U4056">
        <v>171</v>
      </c>
      <c r="V4056">
        <v>0</v>
      </c>
      <c r="W4056">
        <v>147</v>
      </c>
      <c r="X4056">
        <v>366</v>
      </c>
      <c r="Y4056">
        <v>0</v>
      </c>
      <c r="Z4056">
        <v>71</v>
      </c>
      <c r="AA4056">
        <v>0</v>
      </c>
      <c r="AB4056">
        <v>1.024491</v>
      </c>
      <c r="AC4056">
        <v>8.1413410000000005E-2</v>
      </c>
      <c r="AD4056">
        <v>0.51088739999999999</v>
      </c>
      <c r="AE4056">
        <v>0.88855360000000005</v>
      </c>
      <c r="AF4056">
        <v>345.64120000000003</v>
      </c>
      <c r="AG4056">
        <f>IFERROR(AH4056*0.1, "N/A")</f>
        <v>7.1806120000000009</v>
      </c>
      <c r="AH4056">
        <v>71.806120000000007</v>
      </c>
      <c r="AI4056">
        <v>185.3075</v>
      </c>
      <c r="AJ4056">
        <v>37.117350000000002</v>
      </c>
      <c r="AK4056">
        <v>45.714289999999998</v>
      </c>
    </row>
    <row r="4057" spans="1:37" x14ac:dyDescent="0.3">
      <c r="A4057">
        <v>4056</v>
      </c>
      <c r="B4057">
        <v>20.100000000000001</v>
      </c>
      <c r="C4057">
        <v>8.0935860000000002</v>
      </c>
      <c r="D4057">
        <v>6.3240080000000001</v>
      </c>
      <c r="E4057" t="s">
        <v>6313</v>
      </c>
      <c r="F4057" t="s">
        <v>6314</v>
      </c>
      <c r="G4057" t="s">
        <v>39</v>
      </c>
      <c r="H4057">
        <v>2006</v>
      </c>
      <c r="I4057">
        <v>27.7</v>
      </c>
      <c r="J4057">
        <v>9.1</v>
      </c>
      <c r="K4057">
        <v>72</v>
      </c>
      <c r="L4057">
        <v>11.2</v>
      </c>
      <c r="M4057">
        <v>34.6</v>
      </c>
      <c r="N4057">
        <v>22.1</v>
      </c>
      <c r="O4057">
        <v>12.5</v>
      </c>
      <c r="P4057">
        <v>26.1</v>
      </c>
      <c r="Q4057">
        <v>28.2</v>
      </c>
      <c r="R4057">
        <v>29.1</v>
      </c>
      <c r="S4057">
        <v>26.1</v>
      </c>
      <c r="T4057">
        <v>1916</v>
      </c>
      <c r="U4057">
        <v>291</v>
      </c>
      <c r="V4057">
        <v>7</v>
      </c>
      <c r="W4057">
        <v>70</v>
      </c>
      <c r="X4057">
        <v>822</v>
      </c>
      <c r="Y4057">
        <v>44</v>
      </c>
      <c r="Z4057">
        <v>249</v>
      </c>
      <c r="AA4057">
        <v>822</v>
      </c>
      <c r="AB4057">
        <v>13.323689999999999</v>
      </c>
      <c r="AC4057">
        <v>1.2700909999999999E-2</v>
      </c>
      <c r="AD4057">
        <v>1.8149930000000001</v>
      </c>
      <c r="AE4057">
        <v>0.79842820000000003</v>
      </c>
      <c r="AF4057">
        <v>71.055750000000003</v>
      </c>
      <c r="AG4057">
        <f>IFERROR(AH4057*0.1, "N/A")</f>
        <v>5.1466900000000004</v>
      </c>
      <c r="AH4057">
        <v>51.466900000000003</v>
      </c>
      <c r="AI4057">
        <v>161.9554</v>
      </c>
      <c r="AJ4057">
        <v>26.5122</v>
      </c>
      <c r="AK4057">
        <v>56.4878</v>
      </c>
    </row>
    <row r="4058" spans="1:37" x14ac:dyDescent="0.3">
      <c r="A4058">
        <v>4057</v>
      </c>
      <c r="B4058">
        <v>21.4</v>
      </c>
      <c r="C4058">
        <v>8.0595300000000005</v>
      </c>
      <c r="D4058">
        <v>6.3697400000000002</v>
      </c>
      <c r="E4058" t="s">
        <v>6315</v>
      </c>
      <c r="F4058" t="s">
        <v>6316</v>
      </c>
      <c r="G4058" t="s">
        <v>39</v>
      </c>
      <c r="H4058">
        <v>2006</v>
      </c>
      <c r="I4058">
        <v>27.7</v>
      </c>
      <c r="J4058">
        <v>9.1999999999999993</v>
      </c>
      <c r="K4058">
        <v>73</v>
      </c>
      <c r="L4058">
        <v>11.81</v>
      </c>
      <c r="M4058">
        <v>34.700000000000003</v>
      </c>
      <c r="N4058">
        <v>22.1</v>
      </c>
      <c r="O4058">
        <v>12.6</v>
      </c>
      <c r="P4058">
        <v>26.2</v>
      </c>
      <c r="Q4058">
        <v>28.3</v>
      </c>
      <c r="R4058">
        <v>29.3</v>
      </c>
      <c r="S4058">
        <v>26.2</v>
      </c>
      <c r="T4058">
        <v>1878</v>
      </c>
      <c r="U4058">
        <v>289</v>
      </c>
      <c r="V4058">
        <v>7</v>
      </c>
      <c r="W4058">
        <v>70</v>
      </c>
      <c r="X4058">
        <v>807</v>
      </c>
      <c r="Y4058">
        <v>43</v>
      </c>
      <c r="Z4058">
        <v>242</v>
      </c>
      <c r="AA4058">
        <v>807</v>
      </c>
      <c r="AB4058">
        <v>7.9076919999999999</v>
      </c>
      <c r="AC4058">
        <v>1.5358409999999999E-2</v>
      </c>
      <c r="AD4058">
        <v>2.2912300000000001</v>
      </c>
      <c r="AE4058">
        <v>0.78052310000000003</v>
      </c>
      <c r="AF4058">
        <v>55.44755</v>
      </c>
      <c r="AG4058">
        <f>IFERROR(AH4058*0.1, "N/A")</f>
        <v>5.4664340000000005</v>
      </c>
      <c r="AH4058">
        <v>54.664340000000003</v>
      </c>
      <c r="AI4058">
        <v>207.50640000000001</v>
      </c>
      <c r="AJ4058">
        <v>21</v>
      </c>
      <c r="AK4058">
        <v>64.664339999999996</v>
      </c>
    </row>
    <row r="4059" spans="1:37" x14ac:dyDescent="0.3">
      <c r="A4059">
        <v>4058</v>
      </c>
      <c r="B4059">
        <v>22.8</v>
      </c>
      <c r="C4059">
        <v>8.2333300000000005</v>
      </c>
      <c r="D4059">
        <v>6.6333299999999999</v>
      </c>
      <c r="E4059" t="s">
        <v>6317</v>
      </c>
      <c r="F4059" t="s">
        <v>6318</v>
      </c>
      <c r="G4059" t="s">
        <v>39</v>
      </c>
      <c r="H4059">
        <v>2006</v>
      </c>
      <c r="I4059">
        <v>27.3</v>
      </c>
      <c r="J4059">
        <v>9.5</v>
      </c>
      <c r="K4059">
        <v>69.522649999999999</v>
      </c>
      <c r="L4059">
        <v>11.90709</v>
      </c>
      <c r="M4059">
        <v>34.6</v>
      </c>
      <c r="N4059">
        <v>21.086590000000001</v>
      </c>
      <c r="O4059">
        <v>13.51341</v>
      </c>
      <c r="P4059">
        <v>26</v>
      </c>
      <c r="Q4059">
        <v>27.807659999999998</v>
      </c>
      <c r="R4059">
        <v>28.93432</v>
      </c>
      <c r="S4059">
        <v>25.755400000000002</v>
      </c>
      <c r="T4059">
        <v>1768.7940000000001</v>
      </c>
      <c r="U4059">
        <v>285.92329999999998</v>
      </c>
      <c r="V4059">
        <v>8</v>
      </c>
      <c r="W4059">
        <v>72</v>
      </c>
      <c r="X4059">
        <v>781.27700000000004</v>
      </c>
      <c r="Y4059">
        <v>39.743899999999996</v>
      </c>
      <c r="Z4059">
        <v>214.08709999999999</v>
      </c>
      <c r="AA4059">
        <v>757.53309999999999</v>
      </c>
      <c r="AB4059">
        <v>10.05348</v>
      </c>
      <c r="AC4059">
        <v>3.2487670000000003E-2</v>
      </c>
      <c r="AD4059">
        <v>1.4823869999999999</v>
      </c>
      <c r="AE4059">
        <v>0.70761689999999999</v>
      </c>
      <c r="AF4059">
        <v>89.283969999999997</v>
      </c>
      <c r="AG4059">
        <f>IFERROR(AH4059*0.1, "N/A")</f>
        <v>5.37439</v>
      </c>
      <c r="AH4059">
        <v>53.743899999999996</v>
      </c>
      <c r="AI4059">
        <v>261.86680000000001</v>
      </c>
      <c r="AJ4059">
        <v>14.7439</v>
      </c>
      <c r="AK4059">
        <v>69</v>
      </c>
    </row>
    <row r="4060" spans="1:37" x14ac:dyDescent="0.3">
      <c r="A4060">
        <v>4059</v>
      </c>
      <c r="B4060">
        <v>21.4</v>
      </c>
      <c r="C4060">
        <v>8.0564900000000002</v>
      </c>
      <c r="D4060">
        <v>6.2978800000000001</v>
      </c>
      <c r="E4060" t="s">
        <v>6319</v>
      </c>
      <c r="F4060" t="s">
        <v>6320</v>
      </c>
      <c r="G4060" t="s">
        <v>39</v>
      </c>
      <c r="H4060">
        <v>2006</v>
      </c>
      <c r="I4060">
        <v>27.7</v>
      </c>
      <c r="J4060">
        <v>9.1</v>
      </c>
      <c r="K4060">
        <v>73</v>
      </c>
      <c r="L4060">
        <v>11.64</v>
      </c>
      <c r="M4060">
        <v>34.6</v>
      </c>
      <c r="N4060">
        <v>22.2</v>
      </c>
      <c r="O4060">
        <v>12.4</v>
      </c>
      <c r="P4060">
        <v>26.1</v>
      </c>
      <c r="Q4060">
        <v>28.3</v>
      </c>
      <c r="R4060">
        <v>29.2</v>
      </c>
      <c r="S4060">
        <v>26.1</v>
      </c>
      <c r="T4060">
        <v>1917</v>
      </c>
      <c r="U4060">
        <v>291</v>
      </c>
      <c r="V4060">
        <v>7</v>
      </c>
      <c r="W4060">
        <v>70</v>
      </c>
      <c r="X4060">
        <v>823</v>
      </c>
      <c r="Y4060">
        <v>45</v>
      </c>
      <c r="Z4060">
        <v>250</v>
      </c>
      <c r="AA4060">
        <v>823</v>
      </c>
      <c r="AB4060">
        <v>2.4244789999999998</v>
      </c>
      <c r="AC4060">
        <v>2.4764040000000001E-2</v>
      </c>
      <c r="AD4060">
        <v>1.3573839999999999</v>
      </c>
      <c r="AE4060">
        <v>0.77454659999999997</v>
      </c>
      <c r="AF4060">
        <v>67.234269999999995</v>
      </c>
      <c r="AG4060">
        <f>IFERROR(AH4060*0.1, "N/A")</f>
        <v>5.2022730000000008</v>
      </c>
      <c r="AH4060">
        <v>52.022730000000003</v>
      </c>
      <c r="AI4060">
        <v>256.29090000000002</v>
      </c>
      <c r="AJ4060">
        <v>21.861889999999999</v>
      </c>
      <c r="AK4060">
        <v>61.138109999999998</v>
      </c>
    </row>
    <row r="4061" spans="1:37" x14ac:dyDescent="0.3">
      <c r="A4061">
        <v>4060</v>
      </c>
      <c r="B4061">
        <v>24.7</v>
      </c>
      <c r="C4061">
        <v>7.9186500000000004</v>
      </c>
      <c r="D4061">
        <v>6.2395800000000001</v>
      </c>
      <c r="E4061" t="s">
        <v>6321</v>
      </c>
      <c r="F4061" t="s">
        <v>6322</v>
      </c>
      <c r="G4061" t="s">
        <v>39</v>
      </c>
      <c r="H4061">
        <v>2006</v>
      </c>
      <c r="I4061">
        <v>27.5</v>
      </c>
      <c r="J4061">
        <v>9</v>
      </c>
      <c r="K4061">
        <v>73</v>
      </c>
      <c r="L4061">
        <v>11.86</v>
      </c>
      <c r="M4061">
        <v>34.299999999999997</v>
      </c>
      <c r="N4061">
        <v>22.1</v>
      </c>
      <c r="O4061">
        <v>12.2</v>
      </c>
      <c r="P4061">
        <v>25.9</v>
      </c>
      <c r="Q4061">
        <v>28.1</v>
      </c>
      <c r="R4061">
        <v>29</v>
      </c>
      <c r="S4061">
        <v>25.9</v>
      </c>
      <c r="T4061">
        <v>1896</v>
      </c>
      <c r="U4061">
        <v>294</v>
      </c>
      <c r="V4061">
        <v>8</v>
      </c>
      <c r="W4061">
        <v>70</v>
      </c>
      <c r="X4061">
        <v>821</v>
      </c>
      <c r="Y4061">
        <v>47</v>
      </c>
      <c r="Z4061">
        <v>251</v>
      </c>
      <c r="AA4061">
        <v>821</v>
      </c>
      <c r="AB4061">
        <v>4.7038330000000004</v>
      </c>
      <c r="AC4061">
        <v>7.6765280000000005E-2</v>
      </c>
      <c r="AD4061">
        <v>1.474912</v>
      </c>
      <c r="AE4061">
        <v>0.56643270000000001</v>
      </c>
      <c r="AF4061">
        <v>71.843209999999999</v>
      </c>
      <c r="AG4061">
        <f>IFERROR(AH4061*0.1, "N/A")</f>
        <v>5.2552260000000004</v>
      </c>
      <c r="AH4061">
        <v>52.552259999999997</v>
      </c>
      <c r="AI4061">
        <v>121.9243</v>
      </c>
      <c r="AJ4061">
        <v>23.0122</v>
      </c>
      <c r="AK4061">
        <v>62.479089999999999</v>
      </c>
    </row>
    <row r="4062" spans="1:37" x14ac:dyDescent="0.3">
      <c r="A4062">
        <v>4061</v>
      </c>
      <c r="B4062">
        <v>22.6</v>
      </c>
      <c r="C4062">
        <v>8.1335999999999995</v>
      </c>
      <c r="D4062">
        <v>6.4958</v>
      </c>
      <c r="E4062" t="s">
        <v>6323</v>
      </c>
      <c r="F4062" t="s">
        <v>6324</v>
      </c>
      <c r="G4062" t="s">
        <v>39</v>
      </c>
      <c r="H4062">
        <v>2006</v>
      </c>
      <c r="I4062">
        <v>27.5</v>
      </c>
      <c r="J4062">
        <v>9.3000000000000007</v>
      </c>
      <c r="K4062">
        <v>70.732169999999996</v>
      </c>
      <c r="L4062">
        <v>11.89518</v>
      </c>
      <c r="M4062">
        <v>34.700000000000003</v>
      </c>
      <c r="N4062">
        <v>21.673220000000001</v>
      </c>
      <c r="O4062">
        <v>13.02678</v>
      </c>
      <c r="P4062">
        <v>26.226780000000002</v>
      </c>
      <c r="Q4062">
        <v>28.1</v>
      </c>
      <c r="R4062">
        <v>29.1</v>
      </c>
      <c r="S4062">
        <v>25.9</v>
      </c>
      <c r="T4062">
        <v>1825</v>
      </c>
      <c r="U4062">
        <v>287</v>
      </c>
      <c r="V4062">
        <v>8</v>
      </c>
      <c r="W4062">
        <v>71</v>
      </c>
      <c r="X4062">
        <v>792</v>
      </c>
      <c r="Y4062">
        <v>41</v>
      </c>
      <c r="Z4062">
        <v>229</v>
      </c>
      <c r="AA4062">
        <v>783</v>
      </c>
      <c r="AB4062">
        <v>2.038958</v>
      </c>
      <c r="AC4062">
        <v>0.47215289999999999</v>
      </c>
      <c r="AD4062">
        <v>1.674722</v>
      </c>
      <c r="AE4062">
        <v>0.69429730000000001</v>
      </c>
      <c r="AF4062">
        <v>65.939130000000006</v>
      </c>
      <c r="AG4062">
        <f>IFERROR(AH4062*0.1, "N/A")</f>
        <v>5.4</v>
      </c>
      <c r="AH4062">
        <v>54</v>
      </c>
      <c r="AI4062">
        <v>93.060469999999995</v>
      </c>
      <c r="AJ4062">
        <v>23.73217</v>
      </c>
      <c r="AK4062">
        <v>61</v>
      </c>
    </row>
    <row r="4063" spans="1:37" x14ac:dyDescent="0.3">
      <c r="A4063">
        <v>4062</v>
      </c>
      <c r="B4063">
        <v>21.8</v>
      </c>
      <c r="C4063">
        <v>8.2258060000000004</v>
      </c>
      <c r="D4063">
        <v>6.2245720000000002</v>
      </c>
      <c r="E4063" t="s">
        <v>6325</v>
      </c>
      <c r="F4063" t="s">
        <v>6326</v>
      </c>
      <c r="G4063" t="s">
        <v>39</v>
      </c>
      <c r="H4063">
        <v>2006</v>
      </c>
      <c r="I4063">
        <v>27.602630000000001</v>
      </c>
      <c r="J4063">
        <v>9.1026319999999998</v>
      </c>
      <c r="K4063">
        <v>73</v>
      </c>
      <c r="L4063">
        <v>10.75577</v>
      </c>
      <c r="M4063">
        <v>34.50526</v>
      </c>
      <c r="N4063">
        <v>22.1</v>
      </c>
      <c r="O4063">
        <v>12.40526</v>
      </c>
      <c r="P4063">
        <v>26.402629999999998</v>
      </c>
      <c r="Q4063">
        <v>28.1</v>
      </c>
      <c r="R4063">
        <v>29.00526</v>
      </c>
      <c r="S4063">
        <v>26.102810000000002</v>
      </c>
      <c r="T4063">
        <v>1995.809</v>
      </c>
      <c r="U4063">
        <v>299.97370000000001</v>
      </c>
      <c r="V4063">
        <v>9</v>
      </c>
      <c r="W4063">
        <v>69.026319999999998</v>
      </c>
      <c r="X4063">
        <v>855.91750000000002</v>
      </c>
      <c r="Y4063">
        <v>51</v>
      </c>
      <c r="Z4063">
        <v>257.94740000000002</v>
      </c>
      <c r="AA4063">
        <v>853.91930000000002</v>
      </c>
      <c r="AB4063">
        <v>9.6324539999999992</v>
      </c>
      <c r="AC4063">
        <v>3.7154720000000002E-2</v>
      </c>
      <c r="AD4063">
        <v>1.9804710000000001</v>
      </c>
      <c r="AE4063">
        <v>0.72226690000000004</v>
      </c>
      <c r="AF4063">
        <v>50.784210000000002</v>
      </c>
      <c r="AG4063">
        <f>IFERROR(AH4063*0.1, "N/A")</f>
        <v>5.6266670000000003</v>
      </c>
      <c r="AH4063">
        <v>56.266669999999998</v>
      </c>
      <c r="AI4063">
        <v>151.45169999999999</v>
      </c>
      <c r="AJ4063">
        <v>22.45965</v>
      </c>
      <c r="AK4063">
        <v>60.908769999999997</v>
      </c>
    </row>
    <row r="4064" spans="1:37" x14ac:dyDescent="0.3">
      <c r="A4064">
        <v>4063</v>
      </c>
      <c r="B4064">
        <v>55.6</v>
      </c>
      <c r="C4064">
        <v>7.7635399999999999</v>
      </c>
      <c r="D4064">
        <v>5.9705000000000004</v>
      </c>
      <c r="E4064" t="s">
        <v>6327</v>
      </c>
      <c r="F4064" t="s">
        <v>6328</v>
      </c>
      <c r="G4064" t="s">
        <v>39</v>
      </c>
      <c r="H4064">
        <v>2006</v>
      </c>
      <c r="I4064">
        <v>27.4</v>
      </c>
      <c r="J4064">
        <v>8.6999999999999993</v>
      </c>
      <c r="K4064">
        <v>75</v>
      </c>
      <c r="L4064">
        <v>10.88</v>
      </c>
      <c r="M4064">
        <v>33.9</v>
      </c>
      <c r="N4064">
        <v>22.3</v>
      </c>
      <c r="O4064">
        <v>11.6</v>
      </c>
      <c r="P4064">
        <v>25.9</v>
      </c>
      <c r="Q4064">
        <v>27.9</v>
      </c>
      <c r="R4064">
        <v>28.8</v>
      </c>
      <c r="S4064">
        <v>25.9</v>
      </c>
      <c r="T4064">
        <v>1961</v>
      </c>
      <c r="U4064">
        <v>301</v>
      </c>
      <c r="V4064">
        <v>9</v>
      </c>
      <c r="W4064">
        <v>68</v>
      </c>
      <c r="X4064">
        <v>851</v>
      </c>
      <c r="Y4064">
        <v>58</v>
      </c>
      <c r="Z4064">
        <v>271</v>
      </c>
      <c r="AA4064">
        <v>851</v>
      </c>
      <c r="AB4064">
        <v>0.65808690000000003</v>
      </c>
      <c r="AC4064">
        <v>1313.365</v>
      </c>
      <c r="AD4064">
        <v>1.9927109999999999</v>
      </c>
      <c r="AE4064">
        <v>0.71544640000000004</v>
      </c>
      <c r="AF4064">
        <v>27.674779999999998</v>
      </c>
      <c r="AG4064">
        <f>IFERROR(AH4064*0.1, "N/A")</f>
        <v>5.5784350000000007</v>
      </c>
      <c r="AH4064">
        <v>55.784350000000003</v>
      </c>
      <c r="AI4064">
        <v>271.18110000000001</v>
      </c>
      <c r="AJ4064">
        <v>22.986090000000001</v>
      </c>
      <c r="AK4064">
        <v>51.634779999999999</v>
      </c>
    </row>
    <row r="4065" spans="1:37" x14ac:dyDescent="0.3">
      <c r="A4065">
        <v>4064</v>
      </c>
      <c r="B4065">
        <v>56</v>
      </c>
      <c r="C4065">
        <v>7.9593059999999998</v>
      </c>
      <c r="D4065">
        <v>6.0113029999999998</v>
      </c>
      <c r="E4065" t="s">
        <v>6329</v>
      </c>
      <c r="F4065" t="s">
        <v>6330</v>
      </c>
      <c r="G4065" t="s">
        <v>39</v>
      </c>
      <c r="H4065">
        <v>2006</v>
      </c>
      <c r="I4065">
        <v>27.6</v>
      </c>
      <c r="J4065">
        <v>8.8000000000000007</v>
      </c>
      <c r="K4065">
        <v>74</v>
      </c>
      <c r="L4065">
        <v>10.89</v>
      </c>
      <c r="M4065">
        <v>34.200000000000003</v>
      </c>
      <c r="N4065">
        <v>22.4</v>
      </c>
      <c r="O4065">
        <v>11.8</v>
      </c>
      <c r="P4065">
        <v>26.1</v>
      </c>
      <c r="Q4065">
        <v>28.1</v>
      </c>
      <c r="R4065">
        <v>29</v>
      </c>
      <c r="S4065">
        <v>26.1</v>
      </c>
      <c r="T4065">
        <v>1987</v>
      </c>
      <c r="U4065">
        <v>303</v>
      </c>
      <c r="V4065">
        <v>9</v>
      </c>
      <c r="W4065">
        <v>69</v>
      </c>
      <c r="X4065">
        <v>864</v>
      </c>
      <c r="Y4065">
        <v>56</v>
      </c>
      <c r="Z4065">
        <v>266</v>
      </c>
      <c r="AA4065">
        <v>864</v>
      </c>
      <c r="AB4065">
        <v>13.02294</v>
      </c>
      <c r="AC4065">
        <v>2.0949240000000001E-2</v>
      </c>
      <c r="AD4065">
        <v>2.7337579999999999</v>
      </c>
      <c r="AE4065">
        <v>0.72095880000000001</v>
      </c>
      <c r="AF4065">
        <v>31.887920000000001</v>
      </c>
      <c r="AG4065">
        <f>IFERROR(AH4065*0.1, "N/A")</f>
        <v>5.1408060000000004</v>
      </c>
      <c r="AH4065">
        <v>51.408059999999999</v>
      </c>
      <c r="AI4065">
        <v>200.67179999999999</v>
      </c>
      <c r="AJ4065">
        <v>24.591940000000001</v>
      </c>
      <c r="AK4065">
        <v>59.05254</v>
      </c>
    </row>
    <row r="4066" spans="1:37" x14ac:dyDescent="0.3">
      <c r="A4066">
        <v>4065</v>
      </c>
      <c r="B4066">
        <v>67.2</v>
      </c>
      <c r="C4066">
        <v>7.5601099999999999</v>
      </c>
      <c r="D4066">
        <v>5.9529300000000003</v>
      </c>
      <c r="E4066" t="s">
        <v>6331</v>
      </c>
      <c r="F4066" t="s">
        <v>6332</v>
      </c>
      <c r="G4066" t="s">
        <v>39</v>
      </c>
      <c r="H4066">
        <v>2006</v>
      </c>
      <c r="I4066">
        <v>27.1</v>
      </c>
      <c r="J4066">
        <v>8.6999999999999993</v>
      </c>
      <c r="K4066">
        <v>75</v>
      </c>
      <c r="L4066">
        <v>11.34</v>
      </c>
      <c r="M4066">
        <v>33.6</v>
      </c>
      <c r="N4066">
        <v>22.1</v>
      </c>
      <c r="O4066">
        <v>11.5</v>
      </c>
      <c r="P4066">
        <v>25.6</v>
      </c>
      <c r="Q4066">
        <v>27.7</v>
      </c>
      <c r="R4066">
        <v>28.6</v>
      </c>
      <c r="S4066">
        <v>25.6</v>
      </c>
      <c r="T4066">
        <v>1959</v>
      </c>
      <c r="U4066">
        <v>302</v>
      </c>
      <c r="V4066">
        <v>9</v>
      </c>
      <c r="W4066">
        <v>68</v>
      </c>
      <c r="X4066">
        <v>844</v>
      </c>
      <c r="Y4066">
        <v>58</v>
      </c>
      <c r="Z4066">
        <v>279</v>
      </c>
      <c r="AA4066">
        <v>844</v>
      </c>
      <c r="AB4066">
        <v>27.168009999999999</v>
      </c>
      <c r="AC4066">
        <v>1.199593E-2</v>
      </c>
      <c r="AD4066">
        <v>1.472642</v>
      </c>
      <c r="AE4066">
        <v>0.6172744</v>
      </c>
      <c r="AF4066">
        <v>77.732519999999994</v>
      </c>
      <c r="AG4066">
        <f>IFERROR(AH4066*0.1, "N/A")</f>
        <v>5.7440560000000005</v>
      </c>
      <c r="AH4066">
        <v>57.440559999999998</v>
      </c>
      <c r="AI4066">
        <v>101.3742</v>
      </c>
      <c r="AJ4066">
        <v>24.097899999999999</v>
      </c>
      <c r="AK4066">
        <v>60.456290000000003</v>
      </c>
    </row>
    <row r="4067" spans="1:37" x14ac:dyDescent="0.3">
      <c r="A4067">
        <v>4066</v>
      </c>
      <c r="B4067">
        <v>29.5</v>
      </c>
      <c r="C4067">
        <v>7.5566599999999999</v>
      </c>
      <c r="D4067">
        <v>5.9539900000000001</v>
      </c>
      <c r="E4067" t="s">
        <v>6333</v>
      </c>
      <c r="F4067" t="s">
        <v>6334</v>
      </c>
      <c r="G4067" t="s">
        <v>39</v>
      </c>
      <c r="H4067">
        <v>2006</v>
      </c>
      <c r="I4067">
        <v>27</v>
      </c>
      <c r="J4067">
        <v>8.6999999999999993</v>
      </c>
      <c r="K4067">
        <v>75</v>
      </c>
      <c r="L4067">
        <v>11.09</v>
      </c>
      <c r="M4067">
        <v>33.5</v>
      </c>
      <c r="N4067">
        <v>22</v>
      </c>
      <c r="O4067">
        <v>11.5</v>
      </c>
      <c r="P4067">
        <v>25.5</v>
      </c>
      <c r="Q4067">
        <v>27.6</v>
      </c>
      <c r="R4067">
        <v>28.5</v>
      </c>
      <c r="S4067">
        <v>25.5</v>
      </c>
      <c r="T4067">
        <v>1959</v>
      </c>
      <c r="U4067">
        <v>302</v>
      </c>
      <c r="V4067">
        <v>9</v>
      </c>
      <c r="W4067">
        <v>68</v>
      </c>
      <c r="X4067">
        <v>843</v>
      </c>
      <c r="Y4067">
        <v>58</v>
      </c>
      <c r="Z4067">
        <v>280</v>
      </c>
      <c r="AA4067">
        <v>843</v>
      </c>
      <c r="AB4067">
        <v>10.71843</v>
      </c>
      <c r="AC4067">
        <v>8.844291E-2</v>
      </c>
      <c r="AD4067">
        <v>2.1035780000000002</v>
      </c>
      <c r="AE4067">
        <v>0.65054069999999997</v>
      </c>
      <c r="AF4067">
        <v>69.526960000000003</v>
      </c>
      <c r="AG4067">
        <f>IFERROR(AH4067*0.1, "N/A")</f>
        <v>5.8000000000000007</v>
      </c>
      <c r="AH4067">
        <v>58</v>
      </c>
      <c r="AI4067">
        <v>100.0442</v>
      </c>
      <c r="AJ4067">
        <v>27.462610000000002</v>
      </c>
      <c r="AK4067">
        <v>56.537390000000002</v>
      </c>
    </row>
    <row r="4068" spans="1:37" x14ac:dyDescent="0.3">
      <c r="A4068">
        <v>4067</v>
      </c>
      <c r="B4068">
        <v>60.3</v>
      </c>
      <c r="C4068">
        <v>7.6287419999999999</v>
      </c>
      <c r="D4068">
        <v>5.9848809999999997</v>
      </c>
      <c r="E4068" t="s">
        <v>6335</v>
      </c>
      <c r="F4068" t="s">
        <v>6336</v>
      </c>
      <c r="G4068" t="s">
        <v>39</v>
      </c>
      <c r="H4068">
        <v>2006</v>
      </c>
      <c r="I4068">
        <v>27.3</v>
      </c>
      <c r="J4068">
        <v>8.6999999999999993</v>
      </c>
      <c r="K4068">
        <v>75</v>
      </c>
      <c r="L4068">
        <v>11.15</v>
      </c>
      <c r="M4068">
        <v>33.799999999999997</v>
      </c>
      <c r="N4068">
        <v>22.2</v>
      </c>
      <c r="O4068">
        <v>11.6</v>
      </c>
      <c r="P4068">
        <v>25.8</v>
      </c>
      <c r="Q4068">
        <v>27.9</v>
      </c>
      <c r="R4068">
        <v>28.8</v>
      </c>
      <c r="S4068">
        <v>25.8</v>
      </c>
      <c r="T4068">
        <v>1945</v>
      </c>
      <c r="U4068">
        <v>300</v>
      </c>
      <c r="V4068">
        <v>9</v>
      </c>
      <c r="W4068">
        <v>68</v>
      </c>
      <c r="X4068">
        <v>840</v>
      </c>
      <c r="Y4068">
        <v>57</v>
      </c>
      <c r="Z4068">
        <v>273</v>
      </c>
      <c r="AA4068">
        <v>840</v>
      </c>
      <c r="AB4068">
        <v>10.1089</v>
      </c>
      <c r="AC4068">
        <v>1.2063330000000001E-2</v>
      </c>
      <c r="AD4068">
        <v>2.7031499999999999</v>
      </c>
      <c r="AE4068">
        <v>0.62262949999999995</v>
      </c>
      <c r="AF4068">
        <v>44.408380000000001</v>
      </c>
      <c r="AG4068">
        <f>IFERROR(AH4068*0.1, "N/A")</f>
        <v>5.7</v>
      </c>
      <c r="AH4068">
        <v>57</v>
      </c>
      <c r="AI4068">
        <v>151.87989999999999</v>
      </c>
      <c r="AJ4068">
        <v>19.83944</v>
      </c>
      <c r="AK4068">
        <v>62.389180000000003</v>
      </c>
    </row>
    <row r="4069" spans="1:37" x14ac:dyDescent="0.3">
      <c r="A4069">
        <v>4068</v>
      </c>
      <c r="B4069">
        <v>50</v>
      </c>
      <c r="C4069">
        <v>7.7</v>
      </c>
      <c r="D4069">
        <v>5.9666699999999997</v>
      </c>
      <c r="E4069" t="s">
        <v>6337</v>
      </c>
      <c r="F4069" t="s">
        <v>6338</v>
      </c>
      <c r="G4069" t="s">
        <v>39</v>
      </c>
      <c r="H4069">
        <v>2006</v>
      </c>
      <c r="I4069">
        <v>27.3</v>
      </c>
      <c r="J4069">
        <v>8.6999999999999993</v>
      </c>
      <c r="K4069">
        <v>75</v>
      </c>
      <c r="L4069">
        <v>11.01024</v>
      </c>
      <c r="M4069">
        <v>33.856369999999998</v>
      </c>
      <c r="N4069">
        <v>22.3</v>
      </c>
      <c r="O4069">
        <v>11.556369999999999</v>
      </c>
      <c r="P4069">
        <v>25.8</v>
      </c>
      <c r="Q4069">
        <v>27.9</v>
      </c>
      <c r="R4069">
        <v>28.75637</v>
      </c>
      <c r="S4069">
        <v>25.8</v>
      </c>
      <c r="T4069">
        <v>1955.9860000000001</v>
      </c>
      <c r="U4069">
        <v>301</v>
      </c>
      <c r="V4069">
        <v>9</v>
      </c>
      <c r="W4069">
        <v>68</v>
      </c>
      <c r="X4069">
        <v>846.87260000000003</v>
      </c>
      <c r="Y4069">
        <v>58</v>
      </c>
      <c r="Z4069">
        <v>272.6771</v>
      </c>
      <c r="AA4069">
        <v>846.87260000000003</v>
      </c>
      <c r="AB4069">
        <v>8.3706820000000004</v>
      </c>
      <c r="AC4069">
        <v>2.5047460000000001E-2</v>
      </c>
      <c r="AD4069">
        <v>3.6268180000000001</v>
      </c>
      <c r="AE4069">
        <v>0.72028490000000001</v>
      </c>
      <c r="AF4069">
        <v>34.905760000000001</v>
      </c>
      <c r="AG4069">
        <f>IFERROR(AH4069*0.1, "N/A")</f>
        <v>5.6207680000000009</v>
      </c>
      <c r="AH4069">
        <v>56.207680000000003</v>
      </c>
      <c r="AI4069">
        <v>122.13249999999999</v>
      </c>
      <c r="AJ4069">
        <v>23.79232</v>
      </c>
      <c r="AK4069">
        <v>58.207680000000003</v>
      </c>
    </row>
    <row r="4070" spans="1:37" x14ac:dyDescent="0.3">
      <c r="A4070">
        <v>4069</v>
      </c>
      <c r="B4070">
        <v>13.5</v>
      </c>
      <c r="C4070">
        <v>7.69231</v>
      </c>
      <c r="D4070">
        <v>5.9540499999999996</v>
      </c>
      <c r="E4070" t="s">
        <v>6339</v>
      </c>
      <c r="F4070" t="s">
        <v>6340</v>
      </c>
      <c r="G4070" t="s">
        <v>39</v>
      </c>
      <c r="H4070">
        <v>2006</v>
      </c>
      <c r="I4070">
        <v>27.3</v>
      </c>
      <c r="J4070">
        <v>8.6999999999999993</v>
      </c>
      <c r="K4070">
        <v>75</v>
      </c>
      <c r="L4070">
        <v>10.77</v>
      </c>
      <c r="M4070">
        <v>33.799999999999997</v>
      </c>
      <c r="N4070">
        <v>22.3</v>
      </c>
      <c r="O4070">
        <v>11.5</v>
      </c>
      <c r="P4070">
        <v>25.8</v>
      </c>
      <c r="Q4070">
        <v>27.8</v>
      </c>
      <c r="R4070">
        <v>28.7</v>
      </c>
      <c r="S4070">
        <v>25.8</v>
      </c>
      <c r="T4070">
        <v>1962</v>
      </c>
      <c r="U4070">
        <v>302</v>
      </c>
      <c r="V4070">
        <v>9</v>
      </c>
      <c r="W4070">
        <v>68</v>
      </c>
      <c r="X4070">
        <v>849</v>
      </c>
      <c r="Y4070">
        <v>59</v>
      </c>
      <c r="Z4070">
        <v>275</v>
      </c>
      <c r="AA4070">
        <v>849</v>
      </c>
      <c r="AB4070">
        <v>4.8811520000000002</v>
      </c>
      <c r="AC4070">
        <v>1.6040840000000001E-2</v>
      </c>
      <c r="AD4070">
        <v>1.826468</v>
      </c>
      <c r="AE4070">
        <v>0.59787639999999997</v>
      </c>
      <c r="AF4070">
        <v>38.720770000000002</v>
      </c>
      <c r="AG4070">
        <f>IFERROR(AH4070*0.1, "N/A")</f>
        <v>5.6000000000000005</v>
      </c>
      <c r="AH4070">
        <v>56</v>
      </c>
      <c r="AI4070">
        <v>162.3561</v>
      </c>
      <c r="AJ4070">
        <v>19</v>
      </c>
      <c r="AK4070">
        <v>63</v>
      </c>
    </row>
    <row r="4071" spans="1:37" x14ac:dyDescent="0.3">
      <c r="A4071">
        <v>4070</v>
      </c>
      <c r="B4071">
        <v>14.4</v>
      </c>
      <c r="C4071">
        <v>7.5454600000000003</v>
      </c>
      <c r="D4071">
        <v>5.8667699999999998</v>
      </c>
      <c r="E4071" t="s">
        <v>6341</v>
      </c>
      <c r="F4071" t="s">
        <v>6342</v>
      </c>
      <c r="G4071" t="s">
        <v>39</v>
      </c>
      <c r="H4071">
        <v>2006</v>
      </c>
      <c r="I4071">
        <v>26.9</v>
      </c>
      <c r="J4071">
        <v>8.6999999999999993</v>
      </c>
      <c r="K4071">
        <v>76</v>
      </c>
      <c r="L4071">
        <v>10.69435</v>
      </c>
      <c r="M4071">
        <v>33.4</v>
      </c>
      <c r="N4071">
        <v>22</v>
      </c>
      <c r="O4071">
        <v>11.4</v>
      </c>
      <c r="P4071">
        <v>25.5</v>
      </c>
      <c r="Q4071">
        <v>27.459689999999998</v>
      </c>
      <c r="R4071">
        <v>28.4</v>
      </c>
      <c r="S4071">
        <v>25.5</v>
      </c>
      <c r="T4071">
        <v>1998.7909999999999</v>
      </c>
      <c r="U4071">
        <v>304.59690000000001</v>
      </c>
      <c r="V4071">
        <v>10</v>
      </c>
      <c r="W4071">
        <v>67</v>
      </c>
      <c r="X4071">
        <v>857.19370000000004</v>
      </c>
      <c r="Y4071">
        <v>63</v>
      </c>
      <c r="Z4071">
        <v>290</v>
      </c>
      <c r="AA4071">
        <v>857.19370000000004</v>
      </c>
      <c r="AB4071">
        <v>4.5879580000000004</v>
      </c>
      <c r="AC4071">
        <v>1.270401E-2</v>
      </c>
      <c r="AD4071">
        <v>2.632695</v>
      </c>
      <c r="AE4071">
        <v>0.6055741</v>
      </c>
      <c r="AF4071">
        <v>69.888310000000004</v>
      </c>
      <c r="AG4071">
        <f>IFERROR(AH4071*0.1, "N/A")</f>
        <v>6.1801050000000002</v>
      </c>
      <c r="AH4071">
        <v>61.801049999999996</v>
      </c>
      <c r="AI4071">
        <v>150.4171</v>
      </c>
      <c r="AJ4071">
        <v>21.60209</v>
      </c>
      <c r="AK4071">
        <v>63.589880000000001</v>
      </c>
    </row>
    <row r="4072" spans="1:37" x14ac:dyDescent="0.3">
      <c r="A4072">
        <v>4071</v>
      </c>
      <c r="B4072">
        <v>43</v>
      </c>
      <c r="C4072">
        <v>4.58</v>
      </c>
      <c r="D4072">
        <v>7.9058299999999999</v>
      </c>
      <c r="E4072" t="s">
        <v>6343</v>
      </c>
      <c r="F4072" t="s">
        <v>6344</v>
      </c>
      <c r="G4072" t="s">
        <v>39</v>
      </c>
      <c r="H4072">
        <v>2006</v>
      </c>
      <c r="I4072">
        <v>26</v>
      </c>
      <c r="J4072">
        <v>10.4</v>
      </c>
      <c r="K4072">
        <v>68</v>
      </c>
      <c r="L4072">
        <v>13.03</v>
      </c>
      <c r="M4072">
        <v>34.1</v>
      </c>
      <c r="N4072">
        <v>19</v>
      </c>
      <c r="O4072">
        <v>15.1</v>
      </c>
      <c r="P4072">
        <v>24.6</v>
      </c>
      <c r="Q4072">
        <v>26.3</v>
      </c>
      <c r="R4072">
        <v>27.6</v>
      </c>
      <c r="S4072">
        <v>24.2</v>
      </c>
      <c r="T4072">
        <v>1251</v>
      </c>
      <c r="U4072">
        <v>208</v>
      </c>
      <c r="V4072">
        <v>10</v>
      </c>
      <c r="W4072">
        <v>64</v>
      </c>
      <c r="X4072">
        <v>510</v>
      </c>
      <c r="Y4072">
        <v>45</v>
      </c>
      <c r="Z4072">
        <v>217</v>
      </c>
      <c r="AA4072">
        <v>466</v>
      </c>
      <c r="AB4072">
        <v>15.525650000000001</v>
      </c>
      <c r="AC4072">
        <v>9.5982859999999993E-3</v>
      </c>
      <c r="AD4072">
        <v>2.2928030000000001</v>
      </c>
      <c r="AE4072">
        <v>0.72016539999999996</v>
      </c>
      <c r="AF4072">
        <v>352.42290000000003</v>
      </c>
      <c r="AG4072">
        <f>IFERROR(AH4072*0.1, "N/A")</f>
        <v>5.696707</v>
      </c>
      <c r="AH4072">
        <v>56.96707</v>
      </c>
      <c r="AI4072">
        <v>256.32409999999999</v>
      </c>
      <c r="AJ4072">
        <v>21.901209999999999</v>
      </c>
      <c r="AK4072">
        <v>58.098790000000001</v>
      </c>
    </row>
    <row r="4073" spans="1:37" x14ac:dyDescent="0.3">
      <c r="A4073">
        <v>4072</v>
      </c>
      <c r="B4073">
        <v>52.5</v>
      </c>
      <c r="C4073">
        <v>4.5333300000000003</v>
      </c>
      <c r="D4073">
        <v>7.9666699999999997</v>
      </c>
      <c r="E4073" t="s">
        <v>6345</v>
      </c>
      <c r="F4073" t="s">
        <v>6346</v>
      </c>
      <c r="G4073" t="s">
        <v>39</v>
      </c>
      <c r="H4073">
        <v>2006</v>
      </c>
      <c r="I4073">
        <v>25.942489999999999</v>
      </c>
      <c r="J4073">
        <v>10.471159999999999</v>
      </c>
      <c r="K4073">
        <v>68.003450000000001</v>
      </c>
      <c r="L4073">
        <v>13.18988</v>
      </c>
      <c r="M4073">
        <v>34.199660000000002</v>
      </c>
      <c r="N4073">
        <v>18.942489999999999</v>
      </c>
      <c r="O4073">
        <v>15.25717</v>
      </c>
      <c r="P4073">
        <v>24.528839999999999</v>
      </c>
      <c r="Q4073">
        <v>26.258030000000002</v>
      </c>
      <c r="R4073">
        <v>27.62884</v>
      </c>
      <c r="S4073">
        <v>24.12884</v>
      </c>
      <c r="T4073">
        <v>1249.7339999999999</v>
      </c>
      <c r="U4073">
        <v>210.0035</v>
      </c>
      <c r="V4073">
        <v>10</v>
      </c>
      <c r="W4073">
        <v>64.003450000000001</v>
      </c>
      <c r="X4073">
        <v>509.87049999999999</v>
      </c>
      <c r="Y4073">
        <v>44</v>
      </c>
      <c r="Z4073">
        <v>214.86359999999999</v>
      </c>
      <c r="AA4073">
        <v>464.00689999999997</v>
      </c>
      <c r="AB4073">
        <v>29.663229999999999</v>
      </c>
      <c r="AC4073">
        <v>8.55473E-3</v>
      </c>
      <c r="AD4073">
        <v>2.1905260000000002</v>
      </c>
      <c r="AE4073">
        <v>0.44750309999999999</v>
      </c>
      <c r="AF4073">
        <v>373.61309999999997</v>
      </c>
      <c r="AG4073">
        <f>IFERROR(AH4073*0.1, "N/A")</f>
        <v>5.5136440000000002</v>
      </c>
      <c r="AH4073">
        <v>55.13644</v>
      </c>
      <c r="AI4073">
        <v>156.64349999999999</v>
      </c>
      <c r="AJ4073">
        <v>24.13644</v>
      </c>
      <c r="AK4073">
        <v>57.419690000000003</v>
      </c>
    </row>
    <row r="4074" spans="1:37" x14ac:dyDescent="0.3">
      <c r="A4074">
        <v>4073</v>
      </c>
      <c r="B4074">
        <v>0</v>
      </c>
      <c r="C4074">
        <v>2.8833299999999999</v>
      </c>
      <c r="D4074">
        <v>6.4166699999999999</v>
      </c>
      <c r="E4074" t="s">
        <v>6347</v>
      </c>
      <c r="F4074" t="s">
        <v>6348</v>
      </c>
      <c r="G4074" t="s">
        <v>39</v>
      </c>
      <c r="H4074">
        <v>2005</v>
      </c>
      <c r="I4074">
        <v>27.4</v>
      </c>
      <c r="J4074">
        <v>6.5516579999999998</v>
      </c>
      <c r="K4074">
        <v>67.516580000000005</v>
      </c>
      <c r="L4074">
        <v>11.68243</v>
      </c>
      <c r="M4074">
        <v>32.4</v>
      </c>
      <c r="N4074">
        <v>22.8</v>
      </c>
      <c r="O4074">
        <v>9.6</v>
      </c>
      <c r="P4074">
        <v>26.65166</v>
      </c>
      <c r="Q4074">
        <v>28.1</v>
      </c>
      <c r="R4074">
        <v>28.8</v>
      </c>
      <c r="S4074">
        <v>25.8</v>
      </c>
      <c r="T4074">
        <v>1445.4010000000001</v>
      </c>
      <c r="U4074">
        <v>332.10820000000001</v>
      </c>
      <c r="V4074">
        <v>19.483419999999999</v>
      </c>
      <c r="W4074">
        <v>76.483419999999995</v>
      </c>
      <c r="X4074">
        <v>755.49739999999997</v>
      </c>
      <c r="Y4074">
        <v>82.483419999999995</v>
      </c>
      <c r="Z4074">
        <v>254</v>
      </c>
      <c r="AA4074">
        <v>347.28100000000001</v>
      </c>
      <c r="AB4074">
        <v>2.0460729999999998</v>
      </c>
      <c r="AC4074">
        <v>5.7866500000000001E-2</v>
      </c>
      <c r="AD4074">
        <v>1.2893190000000001</v>
      </c>
      <c r="AE4074">
        <v>0.91181160000000006</v>
      </c>
      <c r="AF4074">
        <v>3.965096</v>
      </c>
      <c r="AG4074">
        <f>IFERROR(AH4074*0.1, "N/A")</f>
        <v>5.6876090000000001</v>
      </c>
      <c r="AH4074">
        <v>56.876089999999998</v>
      </c>
      <c r="AI4074">
        <v>117.0881</v>
      </c>
      <c r="AJ4074">
        <v>28.56195</v>
      </c>
      <c r="AK4074">
        <v>49</v>
      </c>
    </row>
    <row r="4075" spans="1:37" x14ac:dyDescent="0.3">
      <c r="A4075">
        <v>4074</v>
      </c>
      <c r="B4075">
        <v>87.8</v>
      </c>
      <c r="C4075">
        <v>3.15</v>
      </c>
      <c r="D4075">
        <v>6.9666699999999997</v>
      </c>
      <c r="E4075" t="s">
        <v>6349</v>
      </c>
      <c r="F4075" t="s">
        <v>6350</v>
      </c>
      <c r="G4075" t="s">
        <v>39</v>
      </c>
      <c r="H4075">
        <v>2005</v>
      </c>
      <c r="I4075">
        <v>27.105229999999999</v>
      </c>
      <c r="J4075">
        <v>8.6817069999999994</v>
      </c>
      <c r="K4075">
        <v>71</v>
      </c>
      <c r="L4075">
        <v>12.39977</v>
      </c>
      <c r="M4075">
        <v>33.881709999999998</v>
      </c>
      <c r="N4075">
        <v>21.786930000000002</v>
      </c>
      <c r="O4075">
        <v>12.09477</v>
      </c>
      <c r="P4075">
        <v>26.4</v>
      </c>
      <c r="Q4075">
        <v>27.986930000000001</v>
      </c>
      <c r="R4075">
        <v>28.68693</v>
      </c>
      <c r="S4075">
        <v>25.38693</v>
      </c>
      <c r="T4075">
        <v>1253.915</v>
      </c>
      <c r="U4075">
        <v>215.76130000000001</v>
      </c>
      <c r="V4075">
        <v>13</v>
      </c>
      <c r="W4075">
        <v>62.289200000000001</v>
      </c>
      <c r="X4075">
        <v>552.23339999999996</v>
      </c>
      <c r="Y4075">
        <v>60</v>
      </c>
      <c r="Z4075">
        <v>252.9477</v>
      </c>
      <c r="AA4075">
        <v>388.4443</v>
      </c>
      <c r="AB4075">
        <v>1.9527870000000001</v>
      </c>
      <c r="AC4075">
        <v>18.536560000000001</v>
      </c>
      <c r="AD4075">
        <v>1.421953</v>
      </c>
      <c r="AE4075">
        <v>0.73886220000000002</v>
      </c>
      <c r="AF4075">
        <v>36.510449999999999</v>
      </c>
      <c r="AG4075">
        <f>IFERROR(AH4075*0.1, "N/A")</f>
        <v>6.2</v>
      </c>
      <c r="AH4075">
        <v>62</v>
      </c>
      <c r="AI4075">
        <v>123.0038</v>
      </c>
      <c r="AJ4075">
        <v>24.182929999999999</v>
      </c>
      <c r="AK4075">
        <v>60.451219999999999</v>
      </c>
    </row>
    <row r="4076" spans="1:37" x14ac:dyDescent="0.3">
      <c r="A4076">
        <v>4075</v>
      </c>
      <c r="B4076">
        <v>69.900000000000006</v>
      </c>
      <c r="C4076">
        <v>3.2068099999999999</v>
      </c>
      <c r="D4076">
        <v>6.9654100000000003</v>
      </c>
      <c r="E4076" t="s">
        <v>6351</v>
      </c>
      <c r="F4076" t="s">
        <v>6352</v>
      </c>
      <c r="G4076" t="s">
        <v>39</v>
      </c>
      <c r="H4076">
        <v>2005</v>
      </c>
      <c r="I4076">
        <v>27.1</v>
      </c>
      <c r="J4076">
        <v>8.5</v>
      </c>
      <c r="K4076">
        <v>72</v>
      </c>
      <c r="L4076">
        <v>12.17</v>
      </c>
      <c r="M4076">
        <v>33.700000000000003</v>
      </c>
      <c r="N4076">
        <v>21.9</v>
      </c>
      <c r="O4076">
        <v>11.8</v>
      </c>
      <c r="P4076">
        <v>26.4</v>
      </c>
      <c r="Q4076">
        <v>27.9</v>
      </c>
      <c r="R4076">
        <v>28.7</v>
      </c>
      <c r="S4076">
        <v>25.5</v>
      </c>
      <c r="T4076">
        <v>1275</v>
      </c>
      <c r="U4076">
        <v>222</v>
      </c>
      <c r="V4076">
        <v>14</v>
      </c>
      <c r="W4076">
        <v>63</v>
      </c>
      <c r="X4076">
        <v>566</v>
      </c>
      <c r="Y4076">
        <v>60</v>
      </c>
      <c r="Z4076">
        <v>253</v>
      </c>
      <c r="AA4076">
        <v>399</v>
      </c>
      <c r="AB4076">
        <v>6.4001729999999997</v>
      </c>
      <c r="AC4076">
        <v>6.0477900000000001E-2</v>
      </c>
      <c r="AD4076">
        <v>3.7306710000000001</v>
      </c>
      <c r="AE4076">
        <v>0.73632830000000005</v>
      </c>
      <c r="AF4076">
        <v>42.454859999999996</v>
      </c>
      <c r="AG4076">
        <f>IFERROR(AH4076*0.1, "N/A")</f>
        <v>5.9982640000000007</v>
      </c>
      <c r="AH4076">
        <v>59.982640000000004</v>
      </c>
      <c r="AI4076">
        <v>324.88229999999999</v>
      </c>
      <c r="AJ4076">
        <v>15.00521</v>
      </c>
      <c r="AK4076">
        <v>66.970489999999998</v>
      </c>
    </row>
    <row r="4077" spans="1:37" x14ac:dyDescent="0.3">
      <c r="A4077">
        <v>4076</v>
      </c>
      <c r="B4077">
        <v>81.400000000000006</v>
      </c>
      <c r="C4077">
        <v>3.1833300000000002</v>
      </c>
      <c r="D4077">
        <v>7.1333299999999999</v>
      </c>
      <c r="E4077" t="s">
        <v>6353</v>
      </c>
      <c r="F4077" t="s">
        <v>6354</v>
      </c>
      <c r="G4077" t="s">
        <v>39</v>
      </c>
      <c r="H4077">
        <v>2005</v>
      </c>
      <c r="I4077">
        <v>27.147739999999999</v>
      </c>
      <c r="J4077">
        <v>9.1829269999999994</v>
      </c>
      <c r="K4077">
        <v>72.658540000000002</v>
      </c>
      <c r="L4077">
        <v>12.65108</v>
      </c>
      <c r="M4077">
        <v>34.264809999999997</v>
      </c>
      <c r="N4077">
        <v>21.647739999999999</v>
      </c>
      <c r="O4077">
        <v>12.61707</v>
      </c>
      <c r="P4077">
        <v>26.347729999999999</v>
      </c>
      <c r="Q4077">
        <v>27.94773</v>
      </c>
      <c r="R4077">
        <v>28.673169999999999</v>
      </c>
      <c r="S4077">
        <v>25.347729999999999</v>
      </c>
      <c r="T4077">
        <v>1201.634</v>
      </c>
      <c r="U4077">
        <v>191.37979999999999</v>
      </c>
      <c r="V4077">
        <v>11</v>
      </c>
      <c r="W4077">
        <v>61</v>
      </c>
      <c r="X4077">
        <v>508.11149999999998</v>
      </c>
      <c r="Y4077">
        <v>55</v>
      </c>
      <c r="Z4077">
        <v>254</v>
      </c>
      <c r="AA4077">
        <v>389.08359999999999</v>
      </c>
      <c r="AB4077">
        <v>28.07039</v>
      </c>
      <c r="AC4077">
        <v>1.064069E-2</v>
      </c>
      <c r="AD4077">
        <v>1.6484209999999999</v>
      </c>
      <c r="AE4077">
        <v>0.70371349999999999</v>
      </c>
      <c r="AF4077">
        <v>91.550520000000006</v>
      </c>
      <c r="AG4077">
        <f>IFERROR(AH4077*0.1, "N/A")</f>
        <v>5.7271780000000003</v>
      </c>
      <c r="AH4077">
        <v>57.27178</v>
      </c>
      <c r="AI4077">
        <v>161.38579999999999</v>
      </c>
      <c r="AJ4077">
        <v>15.98258</v>
      </c>
      <c r="AK4077">
        <v>65.289199999999994</v>
      </c>
    </row>
    <row r="4078" spans="1:37" x14ac:dyDescent="0.3">
      <c r="A4078">
        <v>4077</v>
      </c>
      <c r="B4078">
        <v>51.1</v>
      </c>
      <c r="C4078">
        <v>3.1333299999999999</v>
      </c>
      <c r="D4078">
        <v>7.2833300000000003</v>
      </c>
      <c r="E4078" t="s">
        <v>6355</v>
      </c>
      <c r="F4078" t="s">
        <v>6356</v>
      </c>
      <c r="G4078" t="s">
        <v>39</v>
      </c>
      <c r="H4078">
        <v>2005</v>
      </c>
      <c r="I4078">
        <v>26.92052</v>
      </c>
      <c r="J4078">
        <v>9.6999999999999993</v>
      </c>
      <c r="K4078">
        <v>72</v>
      </c>
      <c r="L4078">
        <v>12.81878</v>
      </c>
      <c r="M4078">
        <v>34.520519999999998</v>
      </c>
      <c r="N4078">
        <v>21.22052</v>
      </c>
      <c r="O4078">
        <v>13.3</v>
      </c>
      <c r="P4078">
        <v>26.22052</v>
      </c>
      <c r="Q4078">
        <v>27.788170000000001</v>
      </c>
      <c r="R4078">
        <v>28.539480000000001</v>
      </c>
      <c r="S4078">
        <v>25.18817</v>
      </c>
      <c r="T4078">
        <v>1161.134</v>
      </c>
      <c r="U4078">
        <v>172.85220000000001</v>
      </c>
      <c r="V4078">
        <v>9</v>
      </c>
      <c r="W4078">
        <v>61</v>
      </c>
      <c r="X4078">
        <v>473.4991</v>
      </c>
      <c r="Y4078">
        <v>52.471299999999999</v>
      </c>
      <c r="Z4078">
        <v>249.58959999999999</v>
      </c>
      <c r="AA4078">
        <v>390.77910000000003</v>
      </c>
      <c r="AB4078">
        <v>3.1125240000000001</v>
      </c>
      <c r="AC4078">
        <v>3.0945610000000001</v>
      </c>
      <c r="AD4078">
        <v>2.9304540000000001</v>
      </c>
      <c r="AE4078">
        <v>0.68858450000000004</v>
      </c>
      <c r="AF4078">
        <v>114.16</v>
      </c>
      <c r="AG4078">
        <f>IFERROR(AH4078*0.1, "N/A")</f>
        <v>6.1511300000000002</v>
      </c>
      <c r="AH4078">
        <v>61.511299999999999</v>
      </c>
      <c r="AI4078">
        <v>176.4101</v>
      </c>
      <c r="AJ4078">
        <v>13.064349999999999</v>
      </c>
      <c r="AK4078">
        <v>72.469570000000004</v>
      </c>
    </row>
    <row r="4079" spans="1:37" x14ac:dyDescent="0.3">
      <c r="A4079">
        <v>4078</v>
      </c>
      <c r="B4079">
        <v>89</v>
      </c>
      <c r="C4079">
        <v>3.1802100000000002</v>
      </c>
      <c r="D4079">
        <v>7.3091200000000001</v>
      </c>
      <c r="E4079" t="s">
        <v>6357</v>
      </c>
      <c r="F4079" t="s">
        <v>6358</v>
      </c>
      <c r="G4079" t="s">
        <v>39</v>
      </c>
      <c r="H4079">
        <v>2005</v>
      </c>
      <c r="I4079">
        <v>27.3</v>
      </c>
      <c r="J4079">
        <v>9.6854169999999993</v>
      </c>
      <c r="K4079">
        <v>72.854169999999996</v>
      </c>
      <c r="L4079">
        <v>12.909789999999999</v>
      </c>
      <c r="M4079">
        <v>34.799999999999997</v>
      </c>
      <c r="N4079">
        <v>21.6</v>
      </c>
      <c r="O4079">
        <v>13.2</v>
      </c>
      <c r="P4079">
        <v>26.5</v>
      </c>
      <c r="Q4079">
        <v>28.085419999999999</v>
      </c>
      <c r="R4079">
        <v>28.9</v>
      </c>
      <c r="S4079">
        <v>25.5</v>
      </c>
      <c r="T4079">
        <v>1154.146</v>
      </c>
      <c r="U4079">
        <v>174</v>
      </c>
      <c r="V4079">
        <v>9</v>
      </c>
      <c r="W4079">
        <v>61</v>
      </c>
      <c r="X4079">
        <v>474</v>
      </c>
      <c r="Y4079">
        <v>50</v>
      </c>
      <c r="Z4079">
        <v>248</v>
      </c>
      <c r="AA4079">
        <v>388</v>
      </c>
      <c r="AB4079">
        <v>4.0777799999999997</v>
      </c>
      <c r="AC4079">
        <v>0.31805309999999998</v>
      </c>
      <c r="AD4079">
        <v>2.2348089999999998</v>
      </c>
      <c r="AE4079">
        <v>0.46531620000000001</v>
      </c>
      <c r="AF4079">
        <v>68.652780000000007</v>
      </c>
      <c r="AG4079">
        <f>IFERROR(AH4079*0.1, "N/A")</f>
        <v>5.9819440000000004</v>
      </c>
      <c r="AH4079">
        <v>59.81944</v>
      </c>
      <c r="AI4079">
        <v>223.2886</v>
      </c>
      <c r="AJ4079">
        <v>13.03125</v>
      </c>
      <c r="AK4079">
        <v>63.64931</v>
      </c>
    </row>
    <row r="4080" spans="1:37" x14ac:dyDescent="0.3">
      <c r="A4080">
        <v>4079</v>
      </c>
      <c r="B4080">
        <v>79.099999999999994</v>
      </c>
      <c r="C4080">
        <v>3.3599250000000001</v>
      </c>
      <c r="D4080">
        <v>6.5544580000000003</v>
      </c>
      <c r="E4080" t="s">
        <v>6359</v>
      </c>
      <c r="F4080" t="s">
        <v>6360</v>
      </c>
      <c r="G4080" t="s">
        <v>39</v>
      </c>
      <c r="H4080">
        <v>2005</v>
      </c>
      <c r="I4080">
        <v>26.9</v>
      </c>
      <c r="J4080">
        <v>6.6</v>
      </c>
      <c r="K4080">
        <v>70</v>
      </c>
      <c r="L4080">
        <v>10.49</v>
      </c>
      <c r="M4080">
        <v>31.9</v>
      </c>
      <c r="N4080">
        <v>22.6</v>
      </c>
      <c r="O4080">
        <v>9.3000000000000007</v>
      </c>
      <c r="P4080">
        <v>26.4</v>
      </c>
      <c r="Q4080">
        <v>27.7</v>
      </c>
      <c r="R4080">
        <v>28.2</v>
      </c>
      <c r="S4080">
        <v>25.5</v>
      </c>
      <c r="T4080">
        <v>1677</v>
      </c>
      <c r="U4080">
        <v>369</v>
      </c>
      <c r="V4080">
        <v>18</v>
      </c>
      <c r="W4080">
        <v>74</v>
      </c>
      <c r="X4080">
        <v>866</v>
      </c>
      <c r="Y4080">
        <v>79</v>
      </c>
      <c r="Z4080">
        <v>268</v>
      </c>
      <c r="AA4080">
        <v>525</v>
      </c>
      <c r="AB4080">
        <v>13.06649</v>
      </c>
      <c r="AC4080">
        <v>3.7841E-2</v>
      </c>
      <c r="AD4080">
        <v>1.960102</v>
      </c>
      <c r="AE4080">
        <v>0.94528749999999995</v>
      </c>
      <c r="AF4080">
        <v>28.65794</v>
      </c>
      <c r="AG4080">
        <f>IFERROR(AH4080*0.1, "N/A")</f>
        <v>6.006806000000001</v>
      </c>
      <c r="AH4080">
        <v>60.068060000000003</v>
      </c>
      <c r="AI4080">
        <v>151.67580000000001</v>
      </c>
      <c r="AJ4080">
        <v>26.184989999999999</v>
      </c>
      <c r="AK4080">
        <v>53</v>
      </c>
    </row>
    <row r="4081" spans="1:37" x14ac:dyDescent="0.3">
      <c r="A4081">
        <v>4080</v>
      </c>
      <c r="B4081">
        <v>65</v>
      </c>
      <c r="C4081">
        <v>6.1397000000000004</v>
      </c>
      <c r="D4081">
        <v>7.3378399999999999</v>
      </c>
      <c r="E4081" t="s">
        <v>6361</v>
      </c>
      <c r="F4081" t="s">
        <v>6362</v>
      </c>
      <c r="G4081" t="s">
        <v>39</v>
      </c>
      <c r="H4081">
        <v>2005</v>
      </c>
      <c r="I4081">
        <v>24.8</v>
      </c>
      <c r="J4081">
        <v>9.9</v>
      </c>
      <c r="K4081">
        <v>69</v>
      </c>
      <c r="L4081">
        <v>13.17</v>
      </c>
      <c r="M4081">
        <v>32.5</v>
      </c>
      <c r="N4081">
        <v>18.3</v>
      </c>
      <c r="O4081">
        <v>14.2</v>
      </c>
      <c r="P4081">
        <v>23.1</v>
      </c>
      <c r="Q4081">
        <v>25.1</v>
      </c>
      <c r="R4081">
        <v>26.6</v>
      </c>
      <c r="S4081">
        <v>23.1</v>
      </c>
      <c r="T4081">
        <v>1322</v>
      </c>
      <c r="U4081">
        <v>245</v>
      </c>
      <c r="V4081">
        <v>9</v>
      </c>
      <c r="W4081">
        <v>68</v>
      </c>
      <c r="X4081">
        <v>558</v>
      </c>
      <c r="Y4081">
        <v>46</v>
      </c>
      <c r="Z4081">
        <v>213</v>
      </c>
      <c r="AA4081">
        <v>558</v>
      </c>
      <c r="AB4081">
        <v>44.744019999999999</v>
      </c>
      <c r="AC4081">
        <v>0.1459992</v>
      </c>
      <c r="AD4081">
        <v>20.634460000000001</v>
      </c>
      <c r="AE4081">
        <v>0.43950299999999998</v>
      </c>
      <c r="AF4081">
        <v>355.55630000000002</v>
      </c>
      <c r="AG4081">
        <f>IFERROR(AH4081*0.1, "N/A")</f>
        <v>5.5630850000000009</v>
      </c>
      <c r="AH4081">
        <v>55.630850000000002</v>
      </c>
      <c r="AI4081">
        <v>137.7747</v>
      </c>
      <c r="AJ4081">
        <v>23.45927</v>
      </c>
      <c r="AK4081">
        <v>57.057189999999999</v>
      </c>
    </row>
    <row r="4082" spans="1:37" x14ac:dyDescent="0.3">
      <c r="A4082">
        <v>4081</v>
      </c>
      <c r="B4082">
        <v>19.3</v>
      </c>
      <c r="C4082">
        <v>7.9833299999999996</v>
      </c>
      <c r="D4082">
        <v>5.7666700000000004</v>
      </c>
      <c r="E4082" t="s">
        <v>6363</v>
      </c>
      <c r="F4082" t="s">
        <v>6364</v>
      </c>
      <c r="G4082" t="s">
        <v>39</v>
      </c>
      <c r="H4082">
        <v>2004</v>
      </c>
      <c r="I4082">
        <v>27.356739999999999</v>
      </c>
      <c r="J4082">
        <v>8.6999999999999993</v>
      </c>
      <c r="K4082">
        <v>75.924689999999998</v>
      </c>
      <c r="L4082">
        <v>10.080349999999999</v>
      </c>
      <c r="M4082">
        <v>33.764270000000003</v>
      </c>
      <c r="N4082">
        <v>22.356739999999999</v>
      </c>
      <c r="O4082">
        <v>11.40753</v>
      </c>
      <c r="P4082">
        <v>25.95674</v>
      </c>
      <c r="Q4082">
        <v>27.80753</v>
      </c>
      <c r="R4082">
        <v>28.656739999999999</v>
      </c>
      <c r="S4082">
        <v>25.95674</v>
      </c>
      <c r="T4082">
        <v>2096.6109999999999</v>
      </c>
      <c r="U4082">
        <v>315.60599999999999</v>
      </c>
      <c r="V4082">
        <v>12</v>
      </c>
      <c r="W4082">
        <v>66</v>
      </c>
      <c r="X4082">
        <v>906.68129999999996</v>
      </c>
      <c r="Y4082">
        <v>71</v>
      </c>
      <c r="Z4082">
        <v>295.17340000000002</v>
      </c>
      <c r="AA4082">
        <v>906.68129999999996</v>
      </c>
      <c r="AB4082">
        <v>9.6640979999999992</v>
      </c>
      <c r="AC4082">
        <v>1.860475E-2</v>
      </c>
      <c r="AD4082">
        <v>3.3760340000000002</v>
      </c>
      <c r="AE4082">
        <v>0.65584050000000005</v>
      </c>
      <c r="AF4082">
        <v>23.001750000000001</v>
      </c>
      <c r="AG4082">
        <f>IFERROR(AH4082*0.1, "N/A")</f>
        <v>5.1248690000000003</v>
      </c>
      <c r="AH4082">
        <v>51.248690000000003</v>
      </c>
      <c r="AI4082">
        <v>188.7012</v>
      </c>
      <c r="AJ4082">
        <v>21.157620000000001</v>
      </c>
      <c r="AK4082">
        <v>61.97898</v>
      </c>
    </row>
    <row r="4083" spans="1:37" x14ac:dyDescent="0.3">
      <c r="A4083">
        <v>4082</v>
      </c>
      <c r="B4083">
        <v>3.5</v>
      </c>
      <c r="C4083">
        <v>6.9209139999999998</v>
      </c>
      <c r="D4083">
        <v>5.5214530000000002</v>
      </c>
      <c r="E4083" t="s">
        <v>6365</v>
      </c>
      <c r="F4083" t="s">
        <v>6366</v>
      </c>
      <c r="G4083" t="s">
        <v>39</v>
      </c>
      <c r="H4083">
        <v>2004</v>
      </c>
      <c r="I4083">
        <v>26.5</v>
      </c>
      <c r="J4083">
        <v>8.5</v>
      </c>
      <c r="K4083">
        <v>76</v>
      </c>
      <c r="L4083">
        <v>9.7200000000000006</v>
      </c>
      <c r="M4083">
        <v>32.700000000000003</v>
      </c>
      <c r="N4083">
        <v>21.6</v>
      </c>
      <c r="O4083">
        <v>11.1</v>
      </c>
      <c r="P4083">
        <v>25.4</v>
      </c>
      <c r="Q4083">
        <v>27</v>
      </c>
      <c r="R4083">
        <v>27.8</v>
      </c>
      <c r="S4083">
        <v>25.2</v>
      </c>
      <c r="T4083">
        <v>2217</v>
      </c>
      <c r="U4083">
        <v>353</v>
      </c>
      <c r="V4083">
        <v>17</v>
      </c>
      <c r="W4083">
        <v>70</v>
      </c>
      <c r="X4083">
        <v>994</v>
      </c>
      <c r="Y4083">
        <v>73</v>
      </c>
      <c r="Z4083">
        <v>301</v>
      </c>
      <c r="AA4083">
        <v>975</v>
      </c>
      <c r="AB4083">
        <v>0.19562840000000001</v>
      </c>
      <c r="AC4083">
        <v>0.15149499999999999</v>
      </c>
      <c r="AD4083">
        <v>0.78543039999999997</v>
      </c>
      <c r="AE4083">
        <v>0.699631</v>
      </c>
      <c r="AF4083">
        <v>59.881120000000003</v>
      </c>
      <c r="AG4083">
        <f>IFERROR(AH4083*0.1, "N/A")</f>
        <v>5.2896850000000004</v>
      </c>
      <c r="AH4083">
        <v>52.896850000000001</v>
      </c>
      <c r="AI4083">
        <v>203.3912</v>
      </c>
      <c r="AJ4083">
        <v>16.540209999999998</v>
      </c>
      <c r="AK4083">
        <v>71.32517</v>
      </c>
    </row>
    <row r="4084" spans="1:37" x14ac:dyDescent="0.3">
      <c r="A4084">
        <v>4083</v>
      </c>
      <c r="B4084">
        <v>4.8</v>
      </c>
      <c r="C4084">
        <v>7.5237670000000003</v>
      </c>
      <c r="D4084">
        <v>5.4310359999999998</v>
      </c>
      <c r="E4084" t="s">
        <v>6367</v>
      </c>
      <c r="F4084" t="s">
        <v>6368</v>
      </c>
      <c r="G4084" t="s">
        <v>37</v>
      </c>
      <c r="H4084">
        <v>2004</v>
      </c>
      <c r="I4084">
        <v>26</v>
      </c>
      <c r="J4084">
        <v>8.5</v>
      </c>
      <c r="K4084">
        <v>77</v>
      </c>
      <c r="L4084">
        <v>8.86</v>
      </c>
      <c r="M4084">
        <v>32</v>
      </c>
      <c r="N4084">
        <v>21</v>
      </c>
      <c r="O4084">
        <v>11</v>
      </c>
      <c r="P4084">
        <v>24.7</v>
      </c>
      <c r="Q4084">
        <v>26.5</v>
      </c>
      <c r="R4084">
        <v>27.1</v>
      </c>
      <c r="S4084">
        <v>24.7</v>
      </c>
      <c r="T4084">
        <v>2196</v>
      </c>
      <c r="U4084">
        <v>329</v>
      </c>
      <c r="V4084">
        <v>17</v>
      </c>
      <c r="W4084">
        <v>62</v>
      </c>
      <c r="X4084">
        <v>920</v>
      </c>
      <c r="Y4084">
        <v>95</v>
      </c>
      <c r="Z4084">
        <v>356</v>
      </c>
      <c r="AA4084">
        <v>920</v>
      </c>
      <c r="AB4084">
        <v>30.746680000000001</v>
      </c>
      <c r="AC4084">
        <v>5.2742669999999998E-2</v>
      </c>
      <c r="AD4084">
        <v>1.8432869999999999</v>
      </c>
      <c r="AE4084">
        <v>0.72065190000000001</v>
      </c>
      <c r="AF4084">
        <v>124.65560000000001</v>
      </c>
      <c r="AG4084">
        <f>IFERROR(AH4084*0.1, "N/A")</f>
        <v>5.3000000000000007</v>
      </c>
      <c r="AH4084">
        <v>53</v>
      </c>
      <c r="AI4084">
        <v>77.318169999999995</v>
      </c>
      <c r="AJ4084">
        <v>22.94406</v>
      </c>
      <c r="AK4084">
        <v>66.055940000000007</v>
      </c>
    </row>
    <row r="4085" spans="1:37" x14ac:dyDescent="0.3">
      <c r="A4085">
        <v>4084</v>
      </c>
      <c r="B4085">
        <v>62.3</v>
      </c>
      <c r="C4085">
        <v>5.9009939999999999</v>
      </c>
      <c r="D4085">
        <v>5.5323190000000002</v>
      </c>
      <c r="E4085" t="s">
        <v>6369</v>
      </c>
      <c r="F4085" t="s">
        <v>6370</v>
      </c>
      <c r="G4085" t="s">
        <v>39</v>
      </c>
      <c r="H4085">
        <v>2004</v>
      </c>
      <c r="I4085">
        <v>26.6</v>
      </c>
      <c r="J4085">
        <v>8.1</v>
      </c>
      <c r="K4085">
        <v>76</v>
      </c>
      <c r="L4085">
        <v>9.3498780000000004</v>
      </c>
      <c r="M4085">
        <v>32.5</v>
      </c>
      <c r="N4085">
        <v>21.9</v>
      </c>
      <c r="O4085">
        <v>10.6</v>
      </c>
      <c r="P4085">
        <v>25.3</v>
      </c>
      <c r="Q4085">
        <v>27</v>
      </c>
      <c r="R4085">
        <v>27.8</v>
      </c>
      <c r="S4085">
        <v>25.3</v>
      </c>
      <c r="T4085">
        <v>2662.0070000000001</v>
      </c>
      <c r="U4085">
        <v>446.00170000000003</v>
      </c>
      <c r="V4085">
        <v>27</v>
      </c>
      <c r="W4085">
        <v>66.998249999999999</v>
      </c>
      <c r="X4085">
        <v>1190.0050000000001</v>
      </c>
      <c r="Y4085">
        <v>114</v>
      </c>
      <c r="Z4085">
        <v>375</v>
      </c>
      <c r="AA4085">
        <v>1190.0050000000001</v>
      </c>
      <c r="AB4085">
        <v>3.095637</v>
      </c>
      <c r="AC4085">
        <v>8.523681E-3</v>
      </c>
      <c r="AD4085">
        <v>1.938075</v>
      </c>
      <c r="AE4085">
        <v>0.71791289999999996</v>
      </c>
      <c r="AF4085">
        <v>15.382199999999999</v>
      </c>
      <c r="AG4085">
        <f>IFERROR(AH4085*0.1, "N/A")</f>
        <v>4.919721</v>
      </c>
      <c r="AH4085">
        <v>49.197209999999998</v>
      </c>
      <c r="AI4085">
        <v>164.24850000000001</v>
      </c>
      <c r="AJ4085">
        <v>27.392669999999999</v>
      </c>
      <c r="AK4085">
        <v>58.401400000000002</v>
      </c>
    </row>
    <row r="4086" spans="1:37" x14ac:dyDescent="0.3">
      <c r="A4086">
        <v>4085</v>
      </c>
      <c r="B4086">
        <v>62.3</v>
      </c>
      <c r="C4086">
        <v>5.898714</v>
      </c>
      <c r="D4086">
        <v>6.3419499999999998</v>
      </c>
      <c r="E4086" t="s">
        <v>6371</v>
      </c>
      <c r="F4086" t="s">
        <v>6372</v>
      </c>
      <c r="G4086" t="s">
        <v>39</v>
      </c>
      <c r="H4086">
        <v>2004</v>
      </c>
      <c r="I4086">
        <v>26.223479999999999</v>
      </c>
      <c r="J4086">
        <v>8.9382610000000007</v>
      </c>
      <c r="K4086">
        <v>74.38261</v>
      </c>
      <c r="L4086">
        <v>10.82348</v>
      </c>
      <c r="M4086">
        <v>32.823480000000004</v>
      </c>
      <c r="N4086">
        <v>20.82348</v>
      </c>
      <c r="O4086">
        <v>12</v>
      </c>
      <c r="P4086">
        <v>24.623480000000001</v>
      </c>
      <c r="Q4086">
        <v>26.623480000000001</v>
      </c>
      <c r="R4086">
        <v>27.523479999999999</v>
      </c>
      <c r="S4086">
        <v>24.623480000000001</v>
      </c>
      <c r="T4086">
        <v>1941</v>
      </c>
      <c r="U4086">
        <v>333</v>
      </c>
      <c r="V4086">
        <v>11</v>
      </c>
      <c r="W4086">
        <v>66.61739</v>
      </c>
      <c r="X4086">
        <v>847.85220000000004</v>
      </c>
      <c r="Y4086">
        <v>66.765219999999999</v>
      </c>
      <c r="Z4086">
        <v>311.14780000000002</v>
      </c>
      <c r="AA4086">
        <v>847.85220000000004</v>
      </c>
      <c r="AB4086">
        <v>15.29304</v>
      </c>
      <c r="AC4086">
        <v>2.9937459999999999E-2</v>
      </c>
      <c r="AD4086">
        <v>3.854813</v>
      </c>
      <c r="AE4086">
        <v>0.65996999999999995</v>
      </c>
      <c r="AF4086">
        <v>84.027829999999994</v>
      </c>
      <c r="AG4086">
        <f>IFERROR(AH4086*0.1, "N/A")</f>
        <v>5.3020870000000002</v>
      </c>
      <c r="AH4086">
        <v>53.020870000000002</v>
      </c>
      <c r="AI4086">
        <v>141.74170000000001</v>
      </c>
      <c r="AJ4086">
        <v>16.989570000000001</v>
      </c>
      <c r="AK4086">
        <v>71.989570000000001</v>
      </c>
    </row>
    <row r="4087" spans="1:37" x14ac:dyDescent="0.3">
      <c r="A4087">
        <v>4086</v>
      </c>
      <c r="B4087">
        <v>54.9</v>
      </c>
      <c r="C4087">
        <v>5.898714</v>
      </c>
      <c r="D4087">
        <v>0</v>
      </c>
      <c r="E4087" t="s">
        <v>6373</v>
      </c>
      <c r="F4087" t="s">
        <v>6374</v>
      </c>
      <c r="G4087" t="s">
        <v>39</v>
      </c>
      <c r="H4087">
        <v>2004</v>
      </c>
      <c r="I4087" t="s">
        <v>729</v>
      </c>
      <c r="J4087" t="s">
        <v>729</v>
      </c>
      <c r="K4087" t="s">
        <v>729</v>
      </c>
      <c r="L4087" t="s">
        <v>729</v>
      </c>
      <c r="M4087" t="s">
        <v>729</v>
      </c>
      <c r="N4087" t="s">
        <v>729</v>
      </c>
      <c r="O4087" t="s">
        <v>729</v>
      </c>
      <c r="P4087" t="s">
        <v>729</v>
      </c>
      <c r="Q4087" t="s">
        <v>729</v>
      </c>
      <c r="R4087" t="s">
        <v>729</v>
      </c>
      <c r="S4087" t="s">
        <v>729</v>
      </c>
      <c r="T4087" t="s">
        <v>729</v>
      </c>
      <c r="U4087" t="s">
        <v>729</v>
      </c>
      <c r="V4087" t="s">
        <v>729</v>
      </c>
      <c r="W4087" t="s">
        <v>729</v>
      </c>
      <c r="X4087" t="s">
        <v>729</v>
      </c>
      <c r="Y4087" t="s">
        <v>729</v>
      </c>
      <c r="Z4087" t="s">
        <v>729</v>
      </c>
      <c r="AA4087" t="s">
        <v>729</v>
      </c>
      <c r="AB4087" t="s">
        <v>729</v>
      </c>
      <c r="AC4087" t="s">
        <v>729</v>
      </c>
      <c r="AD4087" t="s">
        <v>729</v>
      </c>
      <c r="AE4087" t="s">
        <v>729</v>
      </c>
      <c r="AF4087" t="s">
        <v>729</v>
      </c>
      <c r="AG4087" t="str">
        <f>IFERROR(AH4087*0.1, "N/A")</f>
        <v>N/A</v>
      </c>
      <c r="AH4087" t="s">
        <v>729</v>
      </c>
      <c r="AI4087" t="s">
        <v>729</v>
      </c>
      <c r="AJ4087" t="s">
        <v>729</v>
      </c>
      <c r="AK4087" t="s">
        <v>729</v>
      </c>
    </row>
    <row r="4088" spans="1:37" x14ac:dyDescent="0.3">
      <c r="A4088">
        <v>4087</v>
      </c>
      <c r="B4088">
        <v>45.5</v>
      </c>
      <c r="C4088">
        <v>9.4587699999999995</v>
      </c>
      <c r="D4088">
        <v>7.1772</v>
      </c>
      <c r="E4088" t="s">
        <v>6375</v>
      </c>
      <c r="F4088" t="s">
        <v>6376</v>
      </c>
      <c r="G4088" t="s">
        <v>39</v>
      </c>
      <c r="H4088">
        <v>2004</v>
      </c>
      <c r="I4088">
        <v>26.715450000000001</v>
      </c>
      <c r="J4088">
        <v>10.7</v>
      </c>
      <c r="K4088">
        <v>64.154510000000002</v>
      </c>
      <c r="L4088">
        <v>12.136010000000001</v>
      </c>
      <c r="M4088">
        <v>35.299999999999997</v>
      </c>
      <c r="N4088">
        <v>18.815449999999998</v>
      </c>
      <c r="O4088">
        <v>16.484549999999999</v>
      </c>
      <c r="P4088">
        <v>25.615449999999999</v>
      </c>
      <c r="Q4088">
        <v>27</v>
      </c>
      <c r="R4088">
        <v>28.515450000000001</v>
      </c>
      <c r="S4088">
        <v>25.315449999999998</v>
      </c>
      <c r="T4088">
        <v>1548.5360000000001</v>
      </c>
      <c r="U4088">
        <v>279.84550000000002</v>
      </c>
      <c r="V4088">
        <v>5</v>
      </c>
      <c r="W4088">
        <v>77.154510000000002</v>
      </c>
      <c r="X4088">
        <v>719.69100000000003</v>
      </c>
      <c r="Y4088">
        <v>20.845490000000002</v>
      </c>
      <c r="Z4088">
        <v>166.84549999999999</v>
      </c>
      <c r="AA4088">
        <v>692.53650000000005</v>
      </c>
      <c r="AB4088">
        <v>13.72048</v>
      </c>
      <c r="AC4088">
        <v>1.431371E-2</v>
      </c>
      <c r="AD4088">
        <v>2.417681</v>
      </c>
      <c r="AE4088">
        <v>0.33140130000000001</v>
      </c>
      <c r="AF4088">
        <v>180.0573</v>
      </c>
      <c r="AG4088">
        <f>IFERROR(AH4088*0.1, "N/A")</f>
        <v>5.6000000000000005</v>
      </c>
      <c r="AH4088">
        <v>56</v>
      </c>
      <c r="AI4088">
        <v>199.98670000000001</v>
      </c>
      <c r="AJ4088">
        <v>12</v>
      </c>
      <c r="AK4088">
        <v>71.154510000000002</v>
      </c>
    </row>
    <row r="4089" spans="1:37" x14ac:dyDescent="0.3">
      <c r="A4089">
        <v>4088</v>
      </c>
      <c r="B4089">
        <v>33.799999999999997</v>
      </c>
      <c r="C4089">
        <v>8.8373329999999992</v>
      </c>
      <c r="D4089">
        <v>7.3518530000000002</v>
      </c>
      <c r="E4089" t="s">
        <v>6377</v>
      </c>
      <c r="F4089" t="s">
        <v>6378</v>
      </c>
      <c r="G4089" t="s">
        <v>39</v>
      </c>
      <c r="H4089">
        <v>2004</v>
      </c>
      <c r="I4089">
        <v>26.8</v>
      </c>
      <c r="J4089">
        <v>10.5</v>
      </c>
      <c r="K4089">
        <v>62</v>
      </c>
      <c r="L4089">
        <v>12.98</v>
      </c>
      <c r="M4089">
        <v>35.4</v>
      </c>
      <c r="N4089">
        <v>18.600000000000001</v>
      </c>
      <c r="O4089">
        <v>16.8</v>
      </c>
      <c r="P4089">
        <v>25.7</v>
      </c>
      <c r="Q4089">
        <v>27</v>
      </c>
      <c r="R4089">
        <v>28.8</v>
      </c>
      <c r="S4089">
        <v>25.4</v>
      </c>
      <c r="T4089">
        <v>1449</v>
      </c>
      <c r="U4089">
        <v>263</v>
      </c>
      <c r="V4089">
        <v>3</v>
      </c>
      <c r="W4089">
        <v>79</v>
      </c>
      <c r="X4089">
        <v>669</v>
      </c>
      <c r="Y4089">
        <v>18</v>
      </c>
      <c r="Z4089">
        <v>153</v>
      </c>
      <c r="AA4089">
        <v>660</v>
      </c>
      <c r="AB4089">
        <v>0.94400099999999998</v>
      </c>
      <c r="AC4089">
        <v>0.6975536</v>
      </c>
      <c r="AD4089">
        <v>1.990853</v>
      </c>
      <c r="AE4089">
        <v>0.45353490000000002</v>
      </c>
      <c r="AF4089">
        <v>138.75479999999999</v>
      </c>
      <c r="AG4089">
        <f>IFERROR(AH4089*0.1, "N/A")</f>
        <v>5.7259130000000003</v>
      </c>
      <c r="AH4089">
        <v>57.259129999999999</v>
      </c>
      <c r="AI4089">
        <v>45.994439999999997</v>
      </c>
      <c r="AJ4089">
        <v>13.259130000000001</v>
      </c>
      <c r="AK4089">
        <v>70</v>
      </c>
    </row>
    <row r="4090" spans="1:37" x14ac:dyDescent="0.3">
      <c r="A4090">
        <v>4089</v>
      </c>
      <c r="B4090">
        <v>39.6</v>
      </c>
      <c r="C4090">
        <v>9.23428</v>
      </c>
      <c r="D4090">
        <v>7.7044300000000003</v>
      </c>
      <c r="E4090" t="s">
        <v>6379</v>
      </c>
      <c r="F4090" t="s">
        <v>6380</v>
      </c>
      <c r="G4090" t="s">
        <v>39</v>
      </c>
      <c r="H4090">
        <v>2004</v>
      </c>
      <c r="I4090">
        <v>26.9</v>
      </c>
      <c r="J4090">
        <v>11</v>
      </c>
      <c r="K4090">
        <v>60</v>
      </c>
      <c r="L4090">
        <v>13.56</v>
      </c>
      <c r="M4090">
        <v>36</v>
      </c>
      <c r="N4090">
        <v>17.899999999999999</v>
      </c>
      <c r="O4090">
        <v>18.100000000000001</v>
      </c>
      <c r="P4090">
        <v>25.5</v>
      </c>
      <c r="Q4090">
        <v>26.8</v>
      </c>
      <c r="R4090">
        <v>28.9</v>
      </c>
      <c r="S4090">
        <v>25.5</v>
      </c>
      <c r="T4090">
        <v>1308</v>
      </c>
      <c r="U4090">
        <v>247</v>
      </c>
      <c r="V4090">
        <v>2</v>
      </c>
      <c r="W4090">
        <v>81</v>
      </c>
      <c r="X4090">
        <v>628</v>
      </c>
      <c r="Y4090">
        <v>10</v>
      </c>
      <c r="Z4090">
        <v>129</v>
      </c>
      <c r="AA4090">
        <v>628</v>
      </c>
      <c r="AB4090">
        <v>2.9605199999999998</v>
      </c>
      <c r="AC4090">
        <v>0.1330944</v>
      </c>
      <c r="AD4090">
        <v>1.5538209999999999</v>
      </c>
      <c r="AE4090">
        <v>0.31490109999999999</v>
      </c>
      <c r="AF4090">
        <v>162.59829999999999</v>
      </c>
      <c r="AG4090">
        <f>IFERROR(AH4090*0.1, "N/A")</f>
        <v>5.5</v>
      </c>
      <c r="AH4090">
        <v>55</v>
      </c>
      <c r="AI4090">
        <v>223.2132</v>
      </c>
      <c r="AJ4090">
        <v>17</v>
      </c>
      <c r="AK4090">
        <v>63</v>
      </c>
    </row>
    <row r="4091" spans="1:37" x14ac:dyDescent="0.3">
      <c r="A4091">
        <v>4090</v>
      </c>
      <c r="B4091">
        <v>69.099999999999994</v>
      </c>
      <c r="C4091">
        <v>9.6999999999999993</v>
      </c>
      <c r="D4091">
        <v>7.2333299999999996</v>
      </c>
      <c r="E4091" t="s">
        <v>6381</v>
      </c>
      <c r="F4091" t="s">
        <v>6382</v>
      </c>
      <c r="G4091" t="s">
        <v>39</v>
      </c>
      <c r="H4091">
        <v>2004</v>
      </c>
      <c r="I4091">
        <v>26.650169999999999</v>
      </c>
      <c r="J4091">
        <v>10.8</v>
      </c>
      <c r="K4091">
        <v>63.701390000000004</v>
      </c>
      <c r="L4091">
        <v>11.991199999999999</v>
      </c>
      <c r="M4091">
        <v>35.4</v>
      </c>
      <c r="N4091">
        <v>18.570139999999999</v>
      </c>
      <c r="O4091">
        <v>16.82986</v>
      </c>
      <c r="P4091">
        <v>25.550170000000001</v>
      </c>
      <c r="Q4091">
        <v>26.8</v>
      </c>
      <c r="R4091">
        <v>28.420660000000002</v>
      </c>
      <c r="S4091">
        <v>25.350169999999999</v>
      </c>
      <c r="T4091">
        <v>1517.53</v>
      </c>
      <c r="U4091">
        <v>277.70490000000001</v>
      </c>
      <c r="V4091">
        <v>4</v>
      </c>
      <c r="W4091">
        <v>78</v>
      </c>
      <c r="X4091">
        <v>708.11109999999996</v>
      </c>
      <c r="Y4091">
        <v>17.70139</v>
      </c>
      <c r="Z4091">
        <v>164.19970000000001</v>
      </c>
      <c r="AA4091">
        <v>696.40970000000004</v>
      </c>
      <c r="AB4091">
        <v>10.871180000000001</v>
      </c>
      <c r="AC4091">
        <v>1.438561E-2</v>
      </c>
      <c r="AD4091">
        <v>2.771236</v>
      </c>
      <c r="AE4091">
        <v>0.67332170000000002</v>
      </c>
      <c r="AF4091">
        <v>212.15620000000001</v>
      </c>
      <c r="AG4091">
        <f>IFERROR(AH4091*0.1, "N/A")</f>
        <v>5.6000000000000005</v>
      </c>
      <c r="AH4091">
        <v>56</v>
      </c>
      <c r="AI4091">
        <v>249.21520000000001</v>
      </c>
      <c r="AJ4091">
        <v>18</v>
      </c>
      <c r="AK4091">
        <v>63.505209999999998</v>
      </c>
    </row>
    <row r="4092" spans="1:37" x14ac:dyDescent="0.3">
      <c r="A4092">
        <v>4091</v>
      </c>
      <c r="B4092">
        <v>23.6</v>
      </c>
      <c r="C4092">
        <v>8.0970300000000002</v>
      </c>
      <c r="D4092">
        <v>6.5217299999999998</v>
      </c>
      <c r="E4092" t="s">
        <v>6383</v>
      </c>
      <c r="F4092" t="s">
        <v>6384</v>
      </c>
      <c r="G4092" t="s">
        <v>39</v>
      </c>
      <c r="H4092">
        <v>2003</v>
      </c>
      <c r="I4092">
        <v>27.5</v>
      </c>
      <c r="J4092">
        <v>9.3000000000000007</v>
      </c>
      <c r="K4092">
        <v>70</v>
      </c>
      <c r="L4092">
        <v>12</v>
      </c>
      <c r="M4092">
        <v>34.700000000000003</v>
      </c>
      <c r="N4092">
        <v>21.6</v>
      </c>
      <c r="O4092">
        <v>13.1</v>
      </c>
      <c r="P4092">
        <v>26.2</v>
      </c>
      <c r="Q4092">
        <v>28</v>
      </c>
      <c r="R4092">
        <v>29.1</v>
      </c>
      <c r="S4092">
        <v>25.9</v>
      </c>
      <c r="T4092">
        <v>1803</v>
      </c>
      <c r="U4092">
        <v>287</v>
      </c>
      <c r="V4092">
        <v>8</v>
      </c>
      <c r="W4092">
        <v>71</v>
      </c>
      <c r="X4092">
        <v>783</v>
      </c>
      <c r="Y4092">
        <v>41</v>
      </c>
      <c r="Z4092">
        <v>227</v>
      </c>
      <c r="AA4092">
        <v>776</v>
      </c>
      <c r="AB4092">
        <v>5.3434049999999997</v>
      </c>
      <c r="AC4092">
        <v>1.738543E-2</v>
      </c>
      <c r="AD4092">
        <v>1.8961159999999999</v>
      </c>
      <c r="AE4092">
        <v>0.61985990000000002</v>
      </c>
      <c r="AF4092">
        <v>69.420140000000004</v>
      </c>
      <c r="AG4092">
        <f>IFERROR(AH4092*0.1, "N/A")</f>
        <v>5.6000000000000005</v>
      </c>
      <c r="AH4092">
        <v>56</v>
      </c>
      <c r="AI4092">
        <v>165.62010000000001</v>
      </c>
      <c r="AJ4092">
        <v>19.96181</v>
      </c>
      <c r="AK4092">
        <v>63.519100000000002</v>
      </c>
    </row>
    <row r="4093" spans="1:37" x14ac:dyDescent="0.3">
      <c r="A4093">
        <v>4092</v>
      </c>
      <c r="B4093">
        <v>11.2</v>
      </c>
      <c r="C4093">
        <v>8.0592500000000005</v>
      </c>
      <c r="D4093">
        <v>6.6291700000000002</v>
      </c>
      <c r="E4093" t="s">
        <v>6385</v>
      </c>
      <c r="F4093" t="s">
        <v>6386</v>
      </c>
      <c r="G4093" t="s">
        <v>39</v>
      </c>
      <c r="H4093">
        <v>2003</v>
      </c>
      <c r="I4093">
        <v>27.2</v>
      </c>
      <c r="J4093">
        <v>9.4</v>
      </c>
      <c r="K4093">
        <v>71</v>
      </c>
      <c r="L4093">
        <v>12.09</v>
      </c>
      <c r="M4093">
        <v>34.4</v>
      </c>
      <c r="N4093">
        <v>21.2</v>
      </c>
      <c r="O4093">
        <v>13.2</v>
      </c>
      <c r="P4093">
        <v>25.9</v>
      </c>
      <c r="Q4093">
        <v>27.7</v>
      </c>
      <c r="R4093">
        <v>28.8</v>
      </c>
      <c r="S4093">
        <v>25.6</v>
      </c>
      <c r="T4093">
        <v>1740</v>
      </c>
      <c r="U4093">
        <v>286</v>
      </c>
      <c r="V4093">
        <v>8</v>
      </c>
      <c r="W4093">
        <v>71</v>
      </c>
      <c r="X4093">
        <v>761</v>
      </c>
      <c r="Y4093">
        <v>39</v>
      </c>
      <c r="Z4093">
        <v>217</v>
      </c>
      <c r="AA4093">
        <v>754</v>
      </c>
      <c r="AB4093">
        <v>11.898260000000001</v>
      </c>
      <c r="AC4093">
        <v>1.9686289999999999E-2</v>
      </c>
      <c r="AD4093">
        <v>1.2952790000000001</v>
      </c>
      <c r="AE4093">
        <v>0.72132240000000003</v>
      </c>
      <c r="AF4093">
        <v>105.3339</v>
      </c>
      <c r="AG4093">
        <f>IFERROR(AH4093*0.1, "N/A")</f>
        <v>5.6099130000000006</v>
      </c>
      <c r="AH4093">
        <v>56.099130000000002</v>
      </c>
      <c r="AI4093">
        <v>87.328130000000002</v>
      </c>
      <c r="AJ4093">
        <v>19.099129999999999</v>
      </c>
      <c r="AK4093">
        <v>63.198259999999998</v>
      </c>
    </row>
    <row r="4094" spans="1:37" x14ac:dyDescent="0.3">
      <c r="A4094">
        <v>4093</v>
      </c>
      <c r="B4094">
        <v>30.4</v>
      </c>
      <c r="C4094">
        <v>8.1709999999999994</v>
      </c>
      <c r="D4094">
        <v>5.9686000000000003</v>
      </c>
      <c r="E4094" t="s">
        <v>6387</v>
      </c>
      <c r="F4094" t="s">
        <v>6388</v>
      </c>
      <c r="G4094" t="s">
        <v>39</v>
      </c>
      <c r="H4094">
        <v>2003</v>
      </c>
      <c r="I4094">
        <v>27.6</v>
      </c>
      <c r="J4094">
        <v>8.9</v>
      </c>
      <c r="K4094">
        <v>74</v>
      </c>
      <c r="L4094">
        <v>10.32</v>
      </c>
      <c r="M4094">
        <v>34.200000000000003</v>
      </c>
      <c r="N4094">
        <v>22.3</v>
      </c>
      <c r="O4094">
        <v>11.9</v>
      </c>
      <c r="P4094">
        <v>26.2</v>
      </c>
      <c r="Q4094">
        <v>28</v>
      </c>
      <c r="R4094">
        <v>29</v>
      </c>
      <c r="S4094">
        <v>26.2</v>
      </c>
      <c r="T4094">
        <v>2084</v>
      </c>
      <c r="U4094">
        <v>312</v>
      </c>
      <c r="V4094">
        <v>11</v>
      </c>
      <c r="W4094">
        <v>68</v>
      </c>
      <c r="X4094">
        <v>900</v>
      </c>
      <c r="Y4094">
        <v>63</v>
      </c>
      <c r="Z4094">
        <v>280</v>
      </c>
      <c r="AA4094">
        <v>900</v>
      </c>
      <c r="AB4094">
        <v>0.1789201</v>
      </c>
      <c r="AC4094">
        <v>278.04390000000001</v>
      </c>
      <c r="AD4094">
        <v>1.3276410000000001</v>
      </c>
      <c r="AE4094">
        <v>0.61936829999999998</v>
      </c>
      <c r="AF4094">
        <v>14.332750000000001</v>
      </c>
      <c r="AG4094">
        <f>IFERROR(AH4094*0.1, "N/A")</f>
        <v>5.2</v>
      </c>
      <c r="AH4094">
        <v>52</v>
      </c>
      <c r="AI4094">
        <v>116.1845</v>
      </c>
      <c r="AJ4094">
        <v>23.43554</v>
      </c>
      <c r="AK4094">
        <v>53</v>
      </c>
    </row>
    <row r="4095" spans="1:37" x14ac:dyDescent="0.3">
      <c r="A4095">
        <v>4094</v>
      </c>
      <c r="B4095">
        <v>41.7</v>
      </c>
      <c r="C4095">
        <v>7.3666700000000001</v>
      </c>
      <c r="D4095">
        <v>6.55</v>
      </c>
      <c r="E4095" t="s">
        <v>6389</v>
      </c>
      <c r="F4095" t="s">
        <v>6390</v>
      </c>
      <c r="G4095" t="s">
        <v>39</v>
      </c>
      <c r="H4095">
        <v>2003</v>
      </c>
      <c r="I4095">
        <v>25.481120000000001</v>
      </c>
      <c r="J4095">
        <v>9.0688809999999993</v>
      </c>
      <c r="K4095">
        <v>72</v>
      </c>
      <c r="L4095">
        <v>12.84507</v>
      </c>
      <c r="M4095">
        <v>32.450000000000003</v>
      </c>
      <c r="N4095">
        <v>19.966080000000002</v>
      </c>
      <c r="O4095">
        <v>12.483919999999999</v>
      </c>
      <c r="P4095">
        <v>23.766079999999999</v>
      </c>
      <c r="Q4095">
        <v>26.15</v>
      </c>
      <c r="R4095">
        <v>27.15</v>
      </c>
      <c r="S4095">
        <v>23.766079999999999</v>
      </c>
      <c r="T4095">
        <v>1691.7550000000001</v>
      </c>
      <c r="U4095">
        <v>301.5</v>
      </c>
      <c r="V4095">
        <v>10</v>
      </c>
      <c r="W4095">
        <v>71</v>
      </c>
      <c r="X4095">
        <v>746.68880000000001</v>
      </c>
      <c r="Y4095">
        <v>44.188809999999997</v>
      </c>
      <c r="Z4095">
        <v>235.36359999999999</v>
      </c>
      <c r="AA4095">
        <v>746.68880000000001</v>
      </c>
      <c r="AB4095">
        <v>4.9148569999999996</v>
      </c>
      <c r="AC4095">
        <v>0.29982039999999999</v>
      </c>
      <c r="AD4095">
        <v>2.5455230000000002</v>
      </c>
      <c r="AE4095">
        <v>0.44869059999999999</v>
      </c>
      <c r="AF4095">
        <v>340.44060000000002</v>
      </c>
      <c r="AG4095">
        <f>IFERROR(AH4095*0.1, "N/A")</f>
        <v>5.117483</v>
      </c>
      <c r="AH4095">
        <v>51.17483</v>
      </c>
      <c r="AI4095">
        <v>19.441140000000001</v>
      </c>
      <c r="AJ4095">
        <v>19.89161</v>
      </c>
      <c r="AK4095">
        <v>68.961539999999999</v>
      </c>
    </row>
    <row r="4096" spans="1:37" x14ac:dyDescent="0.3">
      <c r="A4096">
        <v>4095</v>
      </c>
      <c r="B4096">
        <v>24.9</v>
      </c>
      <c r="C4096">
        <v>7.9070999999999998</v>
      </c>
      <c r="D4096">
        <v>7.9814999999999996</v>
      </c>
      <c r="E4096" t="s">
        <v>6391</v>
      </c>
      <c r="F4096" t="s">
        <v>6392</v>
      </c>
      <c r="G4096" t="s">
        <v>39</v>
      </c>
      <c r="H4096">
        <v>2003</v>
      </c>
      <c r="I4096">
        <v>27.5</v>
      </c>
      <c r="J4096">
        <v>10.8</v>
      </c>
      <c r="K4096">
        <v>62</v>
      </c>
      <c r="L4096">
        <v>14.04</v>
      </c>
      <c r="M4096">
        <v>36.200000000000003</v>
      </c>
      <c r="N4096">
        <v>19</v>
      </c>
      <c r="O4096">
        <v>17.2</v>
      </c>
      <c r="P4096">
        <v>26</v>
      </c>
      <c r="Q4096">
        <v>27.5</v>
      </c>
      <c r="R4096">
        <v>29.6</v>
      </c>
      <c r="S4096">
        <v>26</v>
      </c>
      <c r="T4096">
        <v>1292</v>
      </c>
      <c r="U4096">
        <v>256</v>
      </c>
      <c r="V4096">
        <v>1</v>
      </c>
      <c r="W4096">
        <v>83</v>
      </c>
      <c r="X4096">
        <v>654</v>
      </c>
      <c r="Y4096">
        <v>14</v>
      </c>
      <c r="Z4096">
        <v>131</v>
      </c>
      <c r="AA4096">
        <v>654</v>
      </c>
      <c r="AB4096">
        <v>5.1903110000000004E-3</v>
      </c>
      <c r="AC4096">
        <v>6.2680159999999999E-2</v>
      </c>
      <c r="AD4096">
        <v>1.025796E-2</v>
      </c>
      <c r="AE4096">
        <v>0.55853660000000005</v>
      </c>
      <c r="AF4096">
        <v>49.005189999999999</v>
      </c>
      <c r="AG4096">
        <f>IFERROR(AH4096*0.1, "N/A")</f>
        <v>5.8015569999999999</v>
      </c>
      <c r="AH4096">
        <v>58.015569999999997</v>
      </c>
      <c r="AI4096">
        <v>1.6335010000000001</v>
      </c>
      <c r="AJ4096">
        <v>23.010380000000001</v>
      </c>
      <c r="AK4096">
        <v>55.974049999999998</v>
      </c>
    </row>
    <row r="4097" spans="1:37" x14ac:dyDescent="0.3">
      <c r="A4097">
        <v>4096</v>
      </c>
      <c r="B4097">
        <v>20.7</v>
      </c>
      <c r="C4097">
        <v>7.6412000000000004</v>
      </c>
      <c r="D4097">
        <v>7.2115</v>
      </c>
      <c r="E4097" t="s">
        <v>6393</v>
      </c>
      <c r="F4097" t="s">
        <v>6394</v>
      </c>
      <c r="G4097" t="s">
        <v>39</v>
      </c>
      <c r="H4097">
        <v>2003</v>
      </c>
      <c r="I4097">
        <v>25.300519999999999</v>
      </c>
      <c r="J4097">
        <v>9.9</v>
      </c>
      <c r="K4097">
        <v>68</v>
      </c>
      <c r="L4097">
        <v>13.071199999999999</v>
      </c>
      <c r="M4097">
        <v>33.000520000000002</v>
      </c>
      <c r="N4097">
        <v>18.500520000000002</v>
      </c>
      <c r="O4097">
        <v>14.5</v>
      </c>
      <c r="P4097">
        <v>24</v>
      </c>
      <c r="Q4097">
        <v>25.7</v>
      </c>
      <c r="R4097">
        <v>27.200520000000001</v>
      </c>
      <c r="S4097">
        <v>23.700520000000001</v>
      </c>
      <c r="T4097">
        <v>1453.9949999999999</v>
      </c>
      <c r="U4097">
        <v>291.9948</v>
      </c>
      <c r="V4097">
        <v>9</v>
      </c>
      <c r="W4097">
        <v>74</v>
      </c>
      <c r="X4097">
        <v>660.99480000000005</v>
      </c>
      <c r="Y4097">
        <v>37.994779999999999</v>
      </c>
      <c r="Z4097">
        <v>188.9948</v>
      </c>
      <c r="AA4097">
        <v>657.99480000000005</v>
      </c>
      <c r="AB4097">
        <v>0.97791519999999998</v>
      </c>
      <c r="AC4097">
        <v>0.84469369999999999</v>
      </c>
      <c r="AD4097">
        <v>1.2214069999999999</v>
      </c>
      <c r="AE4097">
        <v>0.70204290000000003</v>
      </c>
      <c r="AF4097">
        <v>344.30959999999999</v>
      </c>
      <c r="AG4097">
        <f>IFERROR(AH4097*0.1, "N/A")</f>
        <v>5.6000000000000005</v>
      </c>
      <c r="AH4097">
        <v>56</v>
      </c>
      <c r="AI4097">
        <v>145.93299999999999</v>
      </c>
      <c r="AJ4097">
        <v>17.641739999999999</v>
      </c>
      <c r="AK4097">
        <v>69.353039999999993</v>
      </c>
    </row>
    <row r="4098" spans="1:37" x14ac:dyDescent="0.3">
      <c r="A4098">
        <v>4097</v>
      </c>
      <c r="B4098">
        <v>14.3</v>
      </c>
      <c r="C4098">
        <v>8.26206</v>
      </c>
      <c r="D4098">
        <v>6.72858</v>
      </c>
      <c r="E4098" t="s">
        <v>6395</v>
      </c>
      <c r="F4098" t="s">
        <v>6396</v>
      </c>
      <c r="G4098" t="s">
        <v>39</v>
      </c>
      <c r="H4098">
        <v>2003</v>
      </c>
      <c r="I4098">
        <v>27.5</v>
      </c>
      <c r="J4098">
        <v>9.6</v>
      </c>
      <c r="K4098">
        <v>69</v>
      </c>
      <c r="L4098">
        <v>12.05</v>
      </c>
      <c r="M4098">
        <v>34.9</v>
      </c>
      <c r="N4098">
        <v>21</v>
      </c>
      <c r="O4098">
        <v>13.9</v>
      </c>
      <c r="P4098">
        <v>26.2</v>
      </c>
      <c r="Q4098">
        <v>27.9</v>
      </c>
      <c r="R4098">
        <v>29.2</v>
      </c>
      <c r="S4098">
        <v>25.9</v>
      </c>
      <c r="T4098">
        <v>1715</v>
      </c>
      <c r="U4098">
        <v>281</v>
      </c>
      <c r="V4098">
        <v>8</v>
      </c>
      <c r="W4098">
        <v>73</v>
      </c>
      <c r="X4098">
        <v>762</v>
      </c>
      <c r="Y4098">
        <v>37</v>
      </c>
      <c r="Z4098">
        <v>203</v>
      </c>
      <c r="AA4098">
        <v>737</v>
      </c>
      <c r="AB4098">
        <v>2.6485219999999998</v>
      </c>
      <c r="AC4098">
        <v>3.5053029999999999E-2</v>
      </c>
      <c r="AD4098">
        <v>1.3173969999999999</v>
      </c>
      <c r="AE4098">
        <v>0.52994039999999998</v>
      </c>
      <c r="AF4098">
        <v>46.074779999999997</v>
      </c>
      <c r="AG4098">
        <f>IFERROR(AH4098*0.1, "N/A")</f>
        <v>5.6695650000000004</v>
      </c>
      <c r="AH4098">
        <v>56.695650000000001</v>
      </c>
      <c r="AI4098">
        <v>109.6713</v>
      </c>
      <c r="AJ4098">
        <v>26.664349999999999</v>
      </c>
      <c r="AK4098">
        <v>53.13391</v>
      </c>
    </row>
    <row r="4099" spans="1:37" x14ac:dyDescent="0.3">
      <c r="A4099">
        <v>4098</v>
      </c>
      <c r="B4099">
        <v>19.3</v>
      </c>
      <c r="C4099">
        <v>8.2126000000000001</v>
      </c>
      <c r="D4099">
        <v>6.3672399999999998</v>
      </c>
      <c r="E4099" t="s">
        <v>6397</v>
      </c>
      <c r="F4099" t="s">
        <v>6398</v>
      </c>
      <c r="G4099" t="s">
        <v>39</v>
      </c>
      <c r="H4099">
        <v>2003</v>
      </c>
      <c r="I4099">
        <v>27.6</v>
      </c>
      <c r="J4099">
        <v>9.3000000000000007</v>
      </c>
      <c r="K4099">
        <v>72</v>
      </c>
      <c r="L4099">
        <v>11.19</v>
      </c>
      <c r="M4099">
        <v>34.700000000000003</v>
      </c>
      <c r="N4099">
        <v>21.9</v>
      </c>
      <c r="O4099">
        <v>12.8</v>
      </c>
      <c r="P4099">
        <v>26.4</v>
      </c>
      <c r="Q4099">
        <v>28.1</v>
      </c>
      <c r="R4099">
        <v>29.1</v>
      </c>
      <c r="S4099">
        <v>26.1</v>
      </c>
      <c r="T4099">
        <v>1915</v>
      </c>
      <c r="U4099">
        <v>293</v>
      </c>
      <c r="V4099">
        <v>8</v>
      </c>
      <c r="W4099">
        <v>70</v>
      </c>
      <c r="X4099">
        <v>828</v>
      </c>
      <c r="Y4099">
        <v>45</v>
      </c>
      <c r="Z4099">
        <v>242</v>
      </c>
      <c r="AA4099">
        <v>818</v>
      </c>
      <c r="AB4099">
        <v>29.447040000000001</v>
      </c>
      <c r="AC4099">
        <v>9.7839320000000004E-3</v>
      </c>
      <c r="AD4099">
        <v>1.733589</v>
      </c>
      <c r="AE4099">
        <v>0.71284000000000003</v>
      </c>
      <c r="AF4099">
        <v>77.545299999999997</v>
      </c>
      <c r="AG4099">
        <f>IFERROR(AH4099*0.1, "N/A")</f>
        <v>5.3686410000000002</v>
      </c>
      <c r="AH4099">
        <v>53.686410000000002</v>
      </c>
      <c r="AI4099">
        <v>127.3824</v>
      </c>
      <c r="AJ4099">
        <v>20.686409999999999</v>
      </c>
      <c r="AK4099">
        <v>65.313590000000005</v>
      </c>
    </row>
    <row r="4100" spans="1:37" x14ac:dyDescent="0.3">
      <c r="A4100">
        <v>4099</v>
      </c>
      <c r="B4100">
        <v>15.7</v>
      </c>
      <c r="C4100">
        <v>8.1166699999999992</v>
      </c>
      <c r="D4100">
        <v>6.6666699999999999</v>
      </c>
      <c r="E4100" t="s">
        <v>6399</v>
      </c>
      <c r="F4100" t="s">
        <v>6400</v>
      </c>
      <c r="G4100" t="s">
        <v>39</v>
      </c>
      <c r="H4100">
        <v>2003</v>
      </c>
      <c r="I4100">
        <v>27.285710000000002</v>
      </c>
      <c r="J4100">
        <v>9.5</v>
      </c>
      <c r="K4100">
        <v>69.405919999999995</v>
      </c>
      <c r="L4100">
        <v>12.200139999999999</v>
      </c>
      <c r="M4100">
        <v>34.585709999999999</v>
      </c>
      <c r="N4100">
        <v>21.026309999999999</v>
      </c>
      <c r="O4100">
        <v>13.55941</v>
      </c>
      <c r="P4100">
        <v>25.926310000000001</v>
      </c>
      <c r="Q4100">
        <v>27.785710000000002</v>
      </c>
      <c r="R4100">
        <v>28.961849999999998</v>
      </c>
      <c r="S4100">
        <v>25.68571</v>
      </c>
      <c r="T4100">
        <v>1727.078</v>
      </c>
      <c r="U4100">
        <v>284.40589999999997</v>
      </c>
      <c r="V4100">
        <v>8</v>
      </c>
      <c r="W4100">
        <v>72</v>
      </c>
      <c r="X4100">
        <v>759.66899999999998</v>
      </c>
      <c r="Y4100">
        <v>38</v>
      </c>
      <c r="Z4100">
        <v>212.66900000000001</v>
      </c>
      <c r="AA4100">
        <v>746.66899999999998</v>
      </c>
      <c r="AB4100">
        <v>4.3364130000000003</v>
      </c>
      <c r="AC4100">
        <v>8.1820309999999993E-2</v>
      </c>
      <c r="AD4100">
        <v>1.4627410000000001</v>
      </c>
      <c r="AE4100">
        <v>0.70264249999999995</v>
      </c>
      <c r="AF4100">
        <v>92.350170000000006</v>
      </c>
      <c r="AG4100">
        <f>IFERROR(AH4100*0.1, "N/A")</f>
        <v>5.7167250000000003</v>
      </c>
      <c r="AH4100">
        <v>57.167250000000003</v>
      </c>
      <c r="AI4100">
        <v>125.97320000000001</v>
      </c>
      <c r="AJ4100">
        <v>14</v>
      </c>
      <c r="AK4100">
        <v>72.832750000000004</v>
      </c>
    </row>
    <row r="4101" spans="1:37" x14ac:dyDescent="0.3">
      <c r="A4101">
        <v>4100</v>
      </c>
      <c r="B4101">
        <v>27.4</v>
      </c>
      <c r="C4101">
        <v>8.2331199999999995</v>
      </c>
      <c r="D4101">
        <v>6.7341899999999999</v>
      </c>
      <c r="E4101" t="s">
        <v>6401</v>
      </c>
      <c r="F4101" t="s">
        <v>6402</v>
      </c>
      <c r="G4101" t="s">
        <v>39</v>
      </c>
      <c r="H4101">
        <v>2003</v>
      </c>
      <c r="I4101">
        <v>27.448699999999999</v>
      </c>
      <c r="J4101">
        <v>9.6</v>
      </c>
      <c r="K4101">
        <v>69</v>
      </c>
      <c r="L4101">
        <v>12.13655</v>
      </c>
      <c r="M4101">
        <v>34.89255</v>
      </c>
      <c r="N4101">
        <v>21</v>
      </c>
      <c r="O4101">
        <v>13.89255</v>
      </c>
      <c r="P4101">
        <v>26.192550000000001</v>
      </c>
      <c r="Q4101">
        <v>27.9</v>
      </c>
      <c r="R4101">
        <v>29.192550000000001</v>
      </c>
      <c r="S4101">
        <v>25.9</v>
      </c>
      <c r="T4101">
        <v>1706.759</v>
      </c>
      <c r="U4101">
        <v>281.0745</v>
      </c>
      <c r="V4101">
        <v>8</v>
      </c>
      <c r="W4101">
        <v>72.074520000000007</v>
      </c>
      <c r="X4101">
        <v>757.37950000000001</v>
      </c>
      <c r="Y4101">
        <v>36.152509999999999</v>
      </c>
      <c r="Z4101">
        <v>203</v>
      </c>
      <c r="AA4101">
        <v>735.37950000000001</v>
      </c>
      <c r="AB4101">
        <v>5.6686319999999997</v>
      </c>
      <c r="AC4101">
        <v>1.9304959999999999E-2</v>
      </c>
      <c r="AD4101">
        <v>2.8980290000000002</v>
      </c>
      <c r="AE4101">
        <v>0.70566839999999997</v>
      </c>
      <c r="AF4101">
        <v>47.431539999999998</v>
      </c>
      <c r="AG4101">
        <f>IFERROR(AH4101*0.1, "N/A")</f>
        <v>5.4942810000000009</v>
      </c>
      <c r="AH4101">
        <v>54.942810000000001</v>
      </c>
      <c r="AI4101">
        <v>160.87970000000001</v>
      </c>
      <c r="AJ4101">
        <v>22.85962</v>
      </c>
      <c r="AK4101">
        <v>58.648180000000004</v>
      </c>
    </row>
    <row r="4102" spans="1:37" x14ac:dyDescent="0.3">
      <c r="A4102">
        <v>4101</v>
      </c>
      <c r="B4102">
        <v>66.7</v>
      </c>
      <c r="C4102">
        <v>3.25217</v>
      </c>
      <c r="D4102">
        <v>7.2736200000000002</v>
      </c>
      <c r="E4102" t="s">
        <v>6403</v>
      </c>
      <c r="F4102" t="s">
        <v>6404</v>
      </c>
      <c r="G4102" t="s">
        <v>39</v>
      </c>
      <c r="H4102">
        <v>2003</v>
      </c>
      <c r="I4102">
        <v>27.3</v>
      </c>
      <c r="J4102">
        <v>9.4</v>
      </c>
      <c r="K4102">
        <v>72</v>
      </c>
      <c r="L4102">
        <v>12.7</v>
      </c>
      <c r="M4102">
        <v>34.700000000000003</v>
      </c>
      <c r="N4102">
        <v>21.8</v>
      </c>
      <c r="O4102">
        <v>12.9</v>
      </c>
      <c r="P4102">
        <v>26.6</v>
      </c>
      <c r="Q4102">
        <v>28.1</v>
      </c>
      <c r="R4102">
        <v>28.9</v>
      </c>
      <c r="S4102">
        <v>25.6</v>
      </c>
      <c r="T4102">
        <v>1178</v>
      </c>
      <c r="U4102">
        <v>181</v>
      </c>
      <c r="V4102">
        <v>11</v>
      </c>
      <c r="W4102">
        <v>60</v>
      </c>
      <c r="X4102">
        <v>488</v>
      </c>
      <c r="Y4102">
        <v>51</v>
      </c>
      <c r="Z4102">
        <v>253</v>
      </c>
      <c r="AA4102">
        <v>390</v>
      </c>
      <c r="AB4102">
        <v>20.378609999999998</v>
      </c>
      <c r="AC4102">
        <v>1.0781209999999999E-2</v>
      </c>
      <c r="AD4102">
        <v>2.60547</v>
      </c>
      <c r="AE4102">
        <v>0.58691550000000003</v>
      </c>
      <c r="AF4102">
        <v>81.373909999999995</v>
      </c>
      <c r="AG4102">
        <f>IFERROR(AH4102*0.1, "N/A")</f>
        <v>5.7744350000000004</v>
      </c>
      <c r="AH4102">
        <v>57.744349999999997</v>
      </c>
      <c r="AI4102">
        <v>113.01390000000001</v>
      </c>
      <c r="AJ4102">
        <v>17</v>
      </c>
      <c r="AK4102">
        <v>63.233040000000003</v>
      </c>
    </row>
    <row r="4103" spans="1:37" x14ac:dyDescent="0.3">
      <c r="A4103">
        <v>4102</v>
      </c>
      <c r="B4103">
        <v>65.2</v>
      </c>
      <c r="C4103">
        <v>3.23489</v>
      </c>
      <c r="D4103">
        <v>7.2509699999999997</v>
      </c>
      <c r="E4103" t="s">
        <v>6405</v>
      </c>
      <c r="F4103" t="s">
        <v>6406</v>
      </c>
      <c r="G4103" t="s">
        <v>39</v>
      </c>
      <c r="H4103">
        <v>2003</v>
      </c>
      <c r="I4103">
        <v>27.302959999999999</v>
      </c>
      <c r="J4103">
        <v>9.4</v>
      </c>
      <c r="K4103">
        <v>72</v>
      </c>
      <c r="L4103">
        <v>12.713789999999999</v>
      </c>
      <c r="M4103">
        <v>34.605910000000002</v>
      </c>
      <c r="N4103">
        <v>21.705909999999999</v>
      </c>
      <c r="O4103">
        <v>12.9</v>
      </c>
      <c r="P4103">
        <v>26.50591</v>
      </c>
      <c r="Q4103">
        <v>28.00591</v>
      </c>
      <c r="R4103">
        <v>28.90296</v>
      </c>
      <c r="S4103">
        <v>25.50591</v>
      </c>
      <c r="T4103">
        <v>1178.9110000000001</v>
      </c>
      <c r="U4103">
        <v>181.0591</v>
      </c>
      <c r="V4103">
        <v>11</v>
      </c>
      <c r="W4103">
        <v>60.02957</v>
      </c>
      <c r="X4103">
        <v>489.0591</v>
      </c>
      <c r="Y4103">
        <v>52.940869999999997</v>
      </c>
      <c r="Z4103">
        <v>252.9409</v>
      </c>
      <c r="AA4103">
        <v>389.9409</v>
      </c>
      <c r="AB4103">
        <v>18.914259999999999</v>
      </c>
      <c r="AC4103">
        <v>3.5545800000000002E-2</v>
      </c>
      <c r="AD4103">
        <v>2.3746770000000001</v>
      </c>
      <c r="AE4103">
        <v>0.5827466</v>
      </c>
      <c r="AF4103">
        <v>65.890429999999995</v>
      </c>
      <c r="AG4103">
        <f>IFERROR(AH4103*0.1, "N/A")</f>
        <v>5.8356520000000005</v>
      </c>
      <c r="AH4103">
        <v>58.356520000000003</v>
      </c>
      <c r="AI4103">
        <v>197.5087</v>
      </c>
      <c r="AJ4103">
        <v>15.64348</v>
      </c>
      <c r="AK4103">
        <v>61.391300000000001</v>
      </c>
    </row>
    <row r="4104" spans="1:37" x14ac:dyDescent="0.3">
      <c r="A4104">
        <v>4103</v>
      </c>
      <c r="B4104">
        <v>6.6</v>
      </c>
      <c r="C4104">
        <v>8.9</v>
      </c>
      <c r="D4104">
        <v>9.9166699999999999</v>
      </c>
      <c r="E4104" t="s">
        <v>6407</v>
      </c>
      <c r="F4104" t="s">
        <v>6408</v>
      </c>
      <c r="G4104" t="s">
        <v>37</v>
      </c>
      <c r="H4104">
        <v>2001</v>
      </c>
      <c r="I4104">
        <v>22.76943</v>
      </c>
      <c r="J4104">
        <v>11.9</v>
      </c>
      <c r="K4104">
        <v>65.694299999999998</v>
      </c>
      <c r="L4104">
        <v>14.7563</v>
      </c>
      <c r="M4104">
        <v>31.9</v>
      </c>
      <c r="N4104">
        <v>13.869429999999999</v>
      </c>
      <c r="O4104">
        <v>18.030570000000001</v>
      </c>
      <c r="P4104">
        <v>21.369430000000001</v>
      </c>
      <c r="Q4104">
        <v>21.869430000000001</v>
      </c>
      <c r="R4104">
        <v>24.969429999999999</v>
      </c>
      <c r="S4104">
        <v>21.369430000000001</v>
      </c>
      <c r="T4104">
        <v>1322.2470000000001</v>
      </c>
      <c r="U4104">
        <v>297.6943</v>
      </c>
      <c r="V4104">
        <v>0.30569950000000001</v>
      </c>
      <c r="W4104">
        <v>100</v>
      </c>
      <c r="X4104">
        <v>794.86360000000002</v>
      </c>
      <c r="Y4104">
        <v>2.7392059999999998</v>
      </c>
      <c r="Z4104">
        <v>275</v>
      </c>
      <c r="AA4104">
        <v>794.86360000000002</v>
      </c>
      <c r="AB4104">
        <v>10.80284</v>
      </c>
      <c r="AC4104">
        <v>1.096837E-2</v>
      </c>
      <c r="AD4104">
        <v>2.5204520000000001</v>
      </c>
      <c r="AE4104">
        <v>0.90711299999999995</v>
      </c>
      <c r="AF4104">
        <v>1188.6859999999999</v>
      </c>
      <c r="AG4104">
        <f>IFERROR(AH4104*0.1, "N/A")</f>
        <v>6.3000000000000007</v>
      </c>
      <c r="AH4104">
        <v>63</v>
      </c>
      <c r="AI4104">
        <v>289.52289999999999</v>
      </c>
      <c r="AJ4104">
        <v>34</v>
      </c>
      <c r="AK4104">
        <v>41.169260000000001</v>
      </c>
    </row>
    <row r="4105" spans="1:37" x14ac:dyDescent="0.3">
      <c r="A4105">
        <v>4104</v>
      </c>
      <c r="B4105">
        <v>4.3</v>
      </c>
      <c r="C4105">
        <v>9.8333300000000001</v>
      </c>
      <c r="D4105">
        <v>10.316700000000001</v>
      </c>
      <c r="E4105" t="s">
        <v>6409</v>
      </c>
      <c r="F4105" t="s">
        <v>6410</v>
      </c>
      <c r="G4105" t="s">
        <v>37</v>
      </c>
      <c r="H4105">
        <v>2001</v>
      </c>
      <c r="I4105">
        <v>25.301030000000001</v>
      </c>
      <c r="J4105">
        <v>13.812200000000001</v>
      </c>
      <c r="K4105">
        <v>59</v>
      </c>
      <c r="L4105">
        <v>20.693349999999999</v>
      </c>
      <c r="M4105">
        <v>36.601030000000002</v>
      </c>
      <c r="N4105">
        <v>13.301030000000001</v>
      </c>
      <c r="O4105">
        <v>23.3</v>
      </c>
      <c r="P4105">
        <v>24.2</v>
      </c>
      <c r="Q4105">
        <v>23.01323</v>
      </c>
      <c r="R4105">
        <v>28.330580000000001</v>
      </c>
      <c r="S4105">
        <v>23.01323</v>
      </c>
      <c r="T4105">
        <v>1009.49</v>
      </c>
      <c r="U4105">
        <v>287</v>
      </c>
      <c r="V4105">
        <v>0</v>
      </c>
      <c r="W4105">
        <v>118</v>
      </c>
      <c r="X4105">
        <v>712.18380000000002</v>
      </c>
      <c r="Y4105">
        <v>0</v>
      </c>
      <c r="Z4105">
        <v>121</v>
      </c>
      <c r="AA4105">
        <v>0</v>
      </c>
      <c r="AB4105">
        <v>8.8278470000000002</v>
      </c>
      <c r="AC4105">
        <v>4.4547789999999997E-2</v>
      </c>
      <c r="AD4105">
        <v>1.753077</v>
      </c>
      <c r="AE4105">
        <v>0.83889230000000004</v>
      </c>
      <c r="AF4105">
        <v>614.49480000000005</v>
      </c>
      <c r="AG4105">
        <f>IFERROR(AH4105*0.1, "N/A")</f>
        <v>6.593814000000001</v>
      </c>
      <c r="AH4105">
        <v>65.938140000000004</v>
      </c>
      <c r="AI4105">
        <v>243.08330000000001</v>
      </c>
      <c r="AJ4105">
        <v>24.785219999999999</v>
      </c>
      <c r="AK4105">
        <v>55.030929999999998</v>
      </c>
    </row>
    <row r="4106" spans="1:37" x14ac:dyDescent="0.3">
      <c r="A4106">
        <v>4105</v>
      </c>
      <c r="B4106">
        <v>0</v>
      </c>
      <c r="C4106">
        <v>6.05</v>
      </c>
      <c r="D4106">
        <v>5.7666700000000004</v>
      </c>
      <c r="E4106" t="s">
        <v>6411</v>
      </c>
      <c r="F4106" t="s">
        <v>6412</v>
      </c>
      <c r="G4106" t="s">
        <v>37</v>
      </c>
      <c r="H4106">
        <v>2001</v>
      </c>
      <c r="I4106">
        <v>26.695260000000001</v>
      </c>
      <c r="J4106">
        <v>8.4</v>
      </c>
      <c r="K4106">
        <v>75.545609999999996</v>
      </c>
      <c r="L4106">
        <v>9.8086319999999994</v>
      </c>
      <c r="M4106">
        <v>32.89526</v>
      </c>
      <c r="N4106">
        <v>21.849820000000001</v>
      </c>
      <c r="O4106">
        <v>11.045439999999999</v>
      </c>
      <c r="P4106">
        <v>25.349820000000001</v>
      </c>
      <c r="Q4106">
        <v>27.09526</v>
      </c>
      <c r="R4106">
        <v>27.995259999999998</v>
      </c>
      <c r="S4106">
        <v>25.349820000000001</v>
      </c>
      <c r="T4106">
        <v>2354.6860000000001</v>
      </c>
      <c r="U4106">
        <v>403.34739999999999</v>
      </c>
      <c r="V4106">
        <v>18</v>
      </c>
      <c r="W4106">
        <v>67</v>
      </c>
      <c r="X4106">
        <v>1036.944</v>
      </c>
      <c r="Y4106">
        <v>94</v>
      </c>
      <c r="Z4106">
        <v>338.22109999999998</v>
      </c>
      <c r="AA4106">
        <v>1036.944</v>
      </c>
      <c r="AB4106">
        <v>1.9291229999999999</v>
      </c>
      <c r="AC4106">
        <v>0.23126089999999999</v>
      </c>
      <c r="AD4106">
        <v>1.9192290000000001</v>
      </c>
      <c r="AE4106">
        <v>0.59527220000000003</v>
      </c>
      <c r="AF4106">
        <v>12.664910000000001</v>
      </c>
      <c r="AG4106">
        <f>IFERROR(AH4106*0.1, "N/A")</f>
        <v>5.0952630000000001</v>
      </c>
      <c r="AH4106">
        <v>50.952629999999999</v>
      </c>
      <c r="AI4106">
        <v>222.0907</v>
      </c>
      <c r="AJ4106">
        <v>25.001750000000001</v>
      </c>
      <c r="AK4106">
        <v>61.045610000000003</v>
      </c>
    </row>
    <row r="4107" spans="1:37" x14ac:dyDescent="0.3">
      <c r="A4107">
        <v>4106</v>
      </c>
      <c r="B4107">
        <v>49.2</v>
      </c>
      <c r="C4107">
        <v>3.23333</v>
      </c>
      <c r="D4107">
        <v>7.2666700000000004</v>
      </c>
      <c r="E4107" t="s">
        <v>6413</v>
      </c>
      <c r="F4107" t="s">
        <v>6414</v>
      </c>
      <c r="G4107" t="s">
        <v>39</v>
      </c>
      <c r="H4107">
        <v>2000</v>
      </c>
      <c r="I4107">
        <v>27.4</v>
      </c>
      <c r="J4107">
        <v>9.4173609999999996</v>
      </c>
      <c r="K4107">
        <v>72.432289999999995</v>
      </c>
      <c r="L4107">
        <v>12.539059999999999</v>
      </c>
      <c r="M4107">
        <v>34.756770000000003</v>
      </c>
      <c r="N4107">
        <v>21.882639999999999</v>
      </c>
      <c r="O4107">
        <v>12.874129999999999</v>
      </c>
      <c r="P4107">
        <v>26.7</v>
      </c>
      <c r="Q4107">
        <v>28.123609999999999</v>
      </c>
      <c r="R4107">
        <v>29</v>
      </c>
      <c r="S4107">
        <v>25.65052</v>
      </c>
      <c r="T4107">
        <v>1170.4549999999999</v>
      </c>
      <c r="U4107">
        <v>180.3212</v>
      </c>
      <c r="V4107">
        <v>10</v>
      </c>
      <c r="W4107">
        <v>61</v>
      </c>
      <c r="X4107">
        <v>485.57990000000001</v>
      </c>
      <c r="Y4107">
        <v>50</v>
      </c>
      <c r="Z4107">
        <v>250.9375</v>
      </c>
      <c r="AA4107">
        <v>388.19619999999998</v>
      </c>
      <c r="AB4107">
        <v>0</v>
      </c>
      <c r="AC4107">
        <v>680.25379999999996</v>
      </c>
      <c r="AD4107">
        <v>0</v>
      </c>
      <c r="AE4107">
        <v>0.46341359999999998</v>
      </c>
      <c r="AF4107">
        <v>58</v>
      </c>
      <c r="AG4107" t="str">
        <f>IFERROR(AH4107*0.1, "N/A")</f>
        <v>N/A</v>
      </c>
      <c r="AH4107" t="s">
        <v>729</v>
      </c>
      <c r="AI4107">
        <v>0</v>
      </c>
      <c r="AJ4107" t="s">
        <v>729</v>
      </c>
      <c r="AK4107" t="s">
        <v>729</v>
      </c>
    </row>
    <row r="4108" spans="1:37" x14ac:dyDescent="0.3">
      <c r="A4108">
        <v>4107</v>
      </c>
      <c r="B4108">
        <v>1.639</v>
      </c>
      <c r="C4108">
        <v>3.9166300000000001</v>
      </c>
      <c r="D4108">
        <v>7.4121800000000002</v>
      </c>
      <c r="E4108" t="s">
        <v>6415</v>
      </c>
      <c r="F4108" t="s">
        <v>6416</v>
      </c>
      <c r="G4108" t="s">
        <v>39</v>
      </c>
      <c r="H4108">
        <v>1999</v>
      </c>
      <c r="I4108">
        <v>26.45147</v>
      </c>
      <c r="J4108">
        <v>9.3000000000000007</v>
      </c>
      <c r="K4108">
        <v>70</v>
      </c>
      <c r="L4108">
        <v>12.92206</v>
      </c>
      <c r="M4108">
        <v>33.902949999999997</v>
      </c>
      <c r="N4108">
        <v>20.702950000000001</v>
      </c>
      <c r="O4108">
        <v>13.2</v>
      </c>
      <c r="P4108">
        <v>25.702950000000001</v>
      </c>
      <c r="Q4108">
        <v>27.15147</v>
      </c>
      <c r="R4108">
        <v>28.002949999999998</v>
      </c>
      <c r="S4108">
        <v>24.60295</v>
      </c>
      <c r="T4108">
        <v>1308.3969999999999</v>
      </c>
      <c r="U4108">
        <v>186</v>
      </c>
      <c r="V4108">
        <v>6</v>
      </c>
      <c r="W4108">
        <v>63</v>
      </c>
      <c r="X4108">
        <v>513.48530000000005</v>
      </c>
      <c r="Y4108">
        <v>39.48527</v>
      </c>
      <c r="Z4108">
        <v>250.97049999999999</v>
      </c>
      <c r="AA4108">
        <v>482.45580000000001</v>
      </c>
      <c r="AB4108">
        <v>5.9727920000000001</v>
      </c>
      <c r="AC4108">
        <v>0.2404095</v>
      </c>
      <c r="AD4108">
        <v>2.5029089999999998</v>
      </c>
      <c r="AE4108">
        <v>0.87908129999999995</v>
      </c>
      <c r="AF4108">
        <v>213.6412</v>
      </c>
      <c r="AG4108">
        <f>IFERROR(AH4108*0.1, "N/A")</f>
        <v>6.6516459999999995</v>
      </c>
      <c r="AH4108">
        <v>66.516459999999995</v>
      </c>
      <c r="AI4108">
        <v>243.63720000000001</v>
      </c>
      <c r="AJ4108">
        <v>17.646450000000002</v>
      </c>
      <c r="AK4108">
        <v>62.190640000000002</v>
      </c>
    </row>
    <row r="4109" spans="1:37" x14ac:dyDescent="0.3">
      <c r="A4109">
        <v>4108</v>
      </c>
      <c r="B4109">
        <v>0</v>
      </c>
      <c r="C4109">
        <v>7.65</v>
      </c>
      <c r="D4109">
        <v>6.3333300000000001</v>
      </c>
      <c r="E4109" t="s">
        <v>6417</v>
      </c>
      <c r="F4109" t="s">
        <v>6418</v>
      </c>
      <c r="G4109" t="s">
        <v>37</v>
      </c>
      <c r="H4109">
        <v>1998</v>
      </c>
      <c r="I4109">
        <v>27.031759999999998</v>
      </c>
      <c r="J4109">
        <v>8.8317630000000005</v>
      </c>
      <c r="K4109">
        <v>72</v>
      </c>
      <c r="L4109">
        <v>12.26108</v>
      </c>
      <c r="M4109">
        <v>33.831760000000003</v>
      </c>
      <c r="N4109">
        <v>21.63176</v>
      </c>
      <c r="O4109">
        <v>12.2</v>
      </c>
      <c r="P4109">
        <v>25.4</v>
      </c>
      <c r="Q4109">
        <v>27.668410000000002</v>
      </c>
      <c r="R4109">
        <v>28.63176</v>
      </c>
      <c r="S4109">
        <v>25.4</v>
      </c>
      <c r="T4109">
        <v>1794.5809999999999</v>
      </c>
      <c r="U4109">
        <v>294</v>
      </c>
      <c r="V4109">
        <v>8</v>
      </c>
      <c r="W4109">
        <v>71</v>
      </c>
      <c r="X4109">
        <v>783.94939999999997</v>
      </c>
      <c r="Y4109">
        <v>44</v>
      </c>
      <c r="Z4109">
        <v>241.3159</v>
      </c>
      <c r="AA4109">
        <v>783.94939999999997</v>
      </c>
      <c r="AB4109">
        <v>8.2165800000000004</v>
      </c>
      <c r="AC4109">
        <v>2.0789579999999998E-2</v>
      </c>
      <c r="AD4109">
        <v>1.2448509999999999</v>
      </c>
      <c r="AE4109">
        <v>0.67049669999999995</v>
      </c>
      <c r="AF4109">
        <v>86.349040000000002</v>
      </c>
      <c r="AG4109">
        <f>IFERROR(AH4109*0.1, "N/A")</f>
        <v>5.5</v>
      </c>
      <c r="AH4109">
        <v>55</v>
      </c>
      <c r="AI4109">
        <v>251.34710000000001</v>
      </c>
      <c r="AJ4109">
        <v>18.085509999999999</v>
      </c>
      <c r="AK4109">
        <v>65.914490000000001</v>
      </c>
    </row>
    <row r="4110" spans="1:37" x14ac:dyDescent="0.3">
      <c r="A4110">
        <v>4109</v>
      </c>
      <c r="B4110">
        <v>17.2</v>
      </c>
      <c r="C4110">
        <v>7.65</v>
      </c>
      <c r="D4110">
        <v>6.3333300000000001</v>
      </c>
      <c r="E4110" t="s">
        <v>6417</v>
      </c>
      <c r="F4110" t="s">
        <v>6419</v>
      </c>
      <c r="G4110" t="s">
        <v>39</v>
      </c>
      <c r="H4110">
        <v>1998</v>
      </c>
      <c r="I4110">
        <v>27.031759999999998</v>
      </c>
      <c r="J4110">
        <v>8.8317630000000005</v>
      </c>
      <c r="K4110">
        <v>72</v>
      </c>
      <c r="L4110">
        <v>12.26108</v>
      </c>
      <c r="M4110">
        <v>33.831760000000003</v>
      </c>
      <c r="N4110">
        <v>21.63176</v>
      </c>
      <c r="O4110">
        <v>12.2</v>
      </c>
      <c r="P4110">
        <v>25.4</v>
      </c>
      <c r="Q4110">
        <v>27.668410000000002</v>
      </c>
      <c r="R4110">
        <v>28.63176</v>
      </c>
      <c r="S4110">
        <v>25.4</v>
      </c>
      <c r="T4110">
        <v>1794.5809999999999</v>
      </c>
      <c r="U4110">
        <v>294</v>
      </c>
      <c r="V4110">
        <v>8</v>
      </c>
      <c r="W4110">
        <v>71</v>
      </c>
      <c r="X4110">
        <v>783.94939999999997</v>
      </c>
      <c r="Y4110">
        <v>44</v>
      </c>
      <c r="Z4110">
        <v>241.3159</v>
      </c>
      <c r="AA4110">
        <v>783.94939999999997</v>
      </c>
      <c r="AB4110">
        <v>8.2165800000000004</v>
      </c>
      <c r="AC4110">
        <v>2.0789579999999998E-2</v>
      </c>
      <c r="AD4110">
        <v>1.2448509999999999</v>
      </c>
      <c r="AE4110">
        <v>0.67049669999999995</v>
      </c>
      <c r="AF4110">
        <v>86.349040000000002</v>
      </c>
      <c r="AG4110">
        <f>IFERROR(AH4110*0.1, "N/A")</f>
        <v>5.5</v>
      </c>
      <c r="AH4110">
        <v>55</v>
      </c>
      <c r="AI4110">
        <v>251.34710000000001</v>
      </c>
      <c r="AJ4110">
        <v>18.085509999999999</v>
      </c>
      <c r="AK4110">
        <v>65.914490000000001</v>
      </c>
    </row>
    <row r="4111" spans="1:37" x14ac:dyDescent="0.3">
      <c r="A4111">
        <v>4110</v>
      </c>
      <c r="B4111">
        <v>78.3</v>
      </c>
      <c r="C4111">
        <v>12.433299999999999</v>
      </c>
      <c r="D4111">
        <v>9.3000000000000007</v>
      </c>
      <c r="E4111" t="s">
        <v>6420</v>
      </c>
      <c r="F4111" t="s">
        <v>6421</v>
      </c>
      <c r="G4111" t="s">
        <v>39</v>
      </c>
      <c r="H4111">
        <v>1996</v>
      </c>
      <c r="I4111">
        <v>28.1</v>
      </c>
      <c r="J4111">
        <v>12.94923</v>
      </c>
      <c r="K4111">
        <v>58.492280000000001</v>
      </c>
      <c r="L4111">
        <v>19.781220000000001</v>
      </c>
      <c r="M4111">
        <v>39</v>
      </c>
      <c r="N4111">
        <v>17.100000000000001</v>
      </c>
      <c r="O4111">
        <v>21.9</v>
      </c>
      <c r="P4111">
        <v>26.4</v>
      </c>
      <c r="Q4111">
        <v>27.1</v>
      </c>
      <c r="R4111">
        <v>31.149229999999999</v>
      </c>
      <c r="S4111">
        <v>26.4</v>
      </c>
      <c r="T4111">
        <v>920.98800000000006</v>
      </c>
      <c r="U4111">
        <v>210</v>
      </c>
      <c r="V4111">
        <v>0</v>
      </c>
      <c r="W4111">
        <v>102</v>
      </c>
      <c r="X4111">
        <v>573.69979999999998</v>
      </c>
      <c r="Y4111">
        <v>0</v>
      </c>
      <c r="Z4111">
        <v>155</v>
      </c>
      <c r="AA4111">
        <v>573.69979999999998</v>
      </c>
      <c r="AB4111">
        <v>2.180793</v>
      </c>
      <c r="AC4111">
        <v>4.323055E-2</v>
      </c>
      <c r="AD4111">
        <v>0.50152189999999996</v>
      </c>
      <c r="AE4111">
        <v>0.68227610000000005</v>
      </c>
      <c r="AF4111">
        <v>152.9794</v>
      </c>
      <c r="AG4111">
        <f>IFERROR(AH4111*0.1, "N/A")</f>
        <v>6.5</v>
      </c>
      <c r="AH4111">
        <v>65</v>
      </c>
      <c r="AI4111">
        <v>115.2015</v>
      </c>
      <c r="AJ4111">
        <v>33</v>
      </c>
      <c r="AK4111">
        <v>43</v>
      </c>
    </row>
    <row r="4112" spans="1:37" x14ac:dyDescent="0.3">
      <c r="A4112">
        <v>4111</v>
      </c>
      <c r="B4112">
        <v>52.2</v>
      </c>
      <c r="C4112">
        <v>12.433299999999999</v>
      </c>
      <c r="D4112">
        <v>9.3000000000000007</v>
      </c>
      <c r="E4112" t="s">
        <v>6420</v>
      </c>
      <c r="F4112" t="s">
        <v>6422</v>
      </c>
      <c r="G4112" t="s">
        <v>37</v>
      </c>
      <c r="H4112">
        <v>1996</v>
      </c>
      <c r="I4112">
        <v>28.1</v>
      </c>
      <c r="J4112">
        <v>12.94923</v>
      </c>
      <c r="K4112">
        <v>58.492280000000001</v>
      </c>
      <c r="L4112">
        <v>19.781220000000001</v>
      </c>
      <c r="M4112">
        <v>39</v>
      </c>
      <c r="N4112">
        <v>17.100000000000001</v>
      </c>
      <c r="O4112">
        <v>21.9</v>
      </c>
      <c r="P4112">
        <v>26.4</v>
      </c>
      <c r="Q4112">
        <v>27.1</v>
      </c>
      <c r="R4112">
        <v>31.149229999999999</v>
      </c>
      <c r="S4112">
        <v>26.4</v>
      </c>
      <c r="T4112">
        <v>920.98800000000006</v>
      </c>
      <c r="U4112">
        <v>210</v>
      </c>
      <c r="V4112">
        <v>0</v>
      </c>
      <c r="W4112">
        <v>102</v>
      </c>
      <c r="X4112">
        <v>573.69979999999998</v>
      </c>
      <c r="Y4112">
        <v>0</v>
      </c>
      <c r="Z4112">
        <v>155</v>
      </c>
      <c r="AA4112">
        <v>573.69979999999998</v>
      </c>
      <c r="AB4112">
        <v>2.180793</v>
      </c>
      <c r="AC4112">
        <v>4.323055E-2</v>
      </c>
      <c r="AD4112">
        <v>0.50152189999999996</v>
      </c>
      <c r="AE4112">
        <v>0.68227610000000005</v>
      </c>
      <c r="AF4112">
        <v>152.9794</v>
      </c>
      <c r="AG4112">
        <f>IFERROR(AH4112*0.1, "N/A")</f>
        <v>6.5</v>
      </c>
      <c r="AH4112">
        <v>65</v>
      </c>
      <c r="AI4112">
        <v>115.2015</v>
      </c>
      <c r="AJ4112">
        <v>33</v>
      </c>
      <c r="AK4112">
        <v>43</v>
      </c>
    </row>
    <row r="4113" spans="1:37" x14ac:dyDescent="0.3">
      <c r="A4113">
        <v>4112</v>
      </c>
      <c r="B4113">
        <v>49.4</v>
      </c>
      <c r="C4113">
        <v>3.9219400000000002</v>
      </c>
      <c r="D4113">
        <v>7.65944</v>
      </c>
      <c r="E4113" t="s">
        <v>6423</v>
      </c>
      <c r="F4113" t="s">
        <v>6424</v>
      </c>
      <c r="G4113" t="s">
        <v>39</v>
      </c>
      <c r="H4113">
        <v>1995</v>
      </c>
      <c r="I4113">
        <v>26</v>
      </c>
      <c r="J4113">
        <v>9.9</v>
      </c>
      <c r="K4113">
        <v>70</v>
      </c>
      <c r="L4113">
        <v>12.62</v>
      </c>
      <c r="M4113">
        <v>33.9</v>
      </c>
      <c r="N4113">
        <v>19.8</v>
      </c>
      <c r="O4113">
        <v>14.1</v>
      </c>
      <c r="P4113">
        <v>25.3</v>
      </c>
      <c r="Q4113">
        <v>26.6</v>
      </c>
      <c r="R4113">
        <v>27.6</v>
      </c>
      <c r="S4113">
        <v>24.3</v>
      </c>
      <c r="T4113">
        <v>1232</v>
      </c>
      <c r="U4113">
        <v>190</v>
      </c>
      <c r="V4113">
        <v>6</v>
      </c>
      <c r="W4113">
        <v>63</v>
      </c>
      <c r="X4113">
        <v>468</v>
      </c>
      <c r="Y4113">
        <v>41</v>
      </c>
      <c r="Z4113">
        <v>240</v>
      </c>
      <c r="AA4113">
        <v>440</v>
      </c>
      <c r="AB4113">
        <v>17.68648</v>
      </c>
      <c r="AC4113">
        <v>4.051511E-2</v>
      </c>
      <c r="AD4113">
        <v>1.597936</v>
      </c>
      <c r="AE4113">
        <v>0.67689189999999999</v>
      </c>
      <c r="AF4113">
        <v>283.19760000000002</v>
      </c>
      <c r="AG4113">
        <f>IFERROR(AH4113*0.1, "N/A")</f>
        <v>5.954593</v>
      </c>
      <c r="AH4113">
        <v>59.545929999999998</v>
      </c>
      <c r="AI4113">
        <v>148.2544</v>
      </c>
      <c r="AJ4113">
        <v>14.12825</v>
      </c>
      <c r="AK4113">
        <v>69.871750000000006</v>
      </c>
    </row>
    <row r="4114" spans="1:37" x14ac:dyDescent="0.3">
      <c r="A4114">
        <v>4113</v>
      </c>
      <c r="B4114">
        <v>21.1</v>
      </c>
      <c r="C4114">
        <v>3.8963899999999998</v>
      </c>
      <c r="D4114">
        <v>7.3877800000000002</v>
      </c>
      <c r="E4114" t="s">
        <v>6425</v>
      </c>
      <c r="F4114" t="s">
        <v>6426</v>
      </c>
      <c r="G4114" t="s">
        <v>39</v>
      </c>
      <c r="H4114">
        <v>1995</v>
      </c>
      <c r="I4114">
        <v>26.5</v>
      </c>
      <c r="J4114">
        <v>9.3000000000000007</v>
      </c>
      <c r="K4114">
        <v>70</v>
      </c>
      <c r="L4114">
        <v>12.84</v>
      </c>
      <c r="M4114">
        <v>33.799999999999997</v>
      </c>
      <c r="N4114">
        <v>20.7</v>
      </c>
      <c r="O4114">
        <v>13.1</v>
      </c>
      <c r="P4114">
        <v>25.7</v>
      </c>
      <c r="Q4114">
        <v>27.2</v>
      </c>
      <c r="R4114">
        <v>28</v>
      </c>
      <c r="S4114">
        <v>24.6</v>
      </c>
      <c r="T4114">
        <v>1312</v>
      </c>
      <c r="U4114">
        <v>189</v>
      </c>
      <c r="V4114">
        <v>6</v>
      </c>
      <c r="W4114">
        <v>63</v>
      </c>
      <c r="X4114">
        <v>519</v>
      </c>
      <c r="Y4114">
        <v>40</v>
      </c>
      <c r="Z4114">
        <v>251</v>
      </c>
      <c r="AA4114">
        <v>482</v>
      </c>
      <c r="AB4114">
        <v>60.347209999999997</v>
      </c>
      <c r="AC4114">
        <v>1.016214E-2</v>
      </c>
      <c r="AD4114">
        <v>13.1191</v>
      </c>
      <c r="AE4114">
        <v>0.89307990000000004</v>
      </c>
      <c r="AF4114">
        <v>238.9408</v>
      </c>
      <c r="AG4114">
        <f>IFERROR(AH4114*0.1, "N/A")</f>
        <v>7.0508709999999999</v>
      </c>
      <c r="AH4114">
        <v>70.508709999999994</v>
      </c>
      <c r="AI4114">
        <v>251.61349999999999</v>
      </c>
      <c r="AJ4114">
        <v>22.83624</v>
      </c>
      <c r="AK4114">
        <v>58</v>
      </c>
    </row>
    <row r="4115" spans="1:37" x14ac:dyDescent="0.3">
      <c r="A4115">
        <v>4114</v>
      </c>
      <c r="B4115">
        <v>34.700000000000003</v>
      </c>
      <c r="C4115">
        <v>8.0833300000000001</v>
      </c>
      <c r="D4115">
        <v>5.8</v>
      </c>
      <c r="E4115" t="s">
        <v>6427</v>
      </c>
      <c r="F4115" t="s">
        <v>6428</v>
      </c>
      <c r="G4115" t="s">
        <v>39</v>
      </c>
      <c r="H4115">
        <v>1995</v>
      </c>
      <c r="I4115">
        <v>27.094750000000001</v>
      </c>
      <c r="J4115">
        <v>8.8000000000000007</v>
      </c>
      <c r="K4115">
        <v>75.639229999999998</v>
      </c>
      <c r="L4115">
        <v>10.002359999999999</v>
      </c>
      <c r="M4115">
        <v>33.653410000000001</v>
      </c>
      <c r="N4115">
        <v>22.117339999999999</v>
      </c>
      <c r="O4115">
        <v>11.53608</v>
      </c>
      <c r="P4115">
        <v>25.753409999999999</v>
      </c>
      <c r="Q4115">
        <v>27.594750000000001</v>
      </c>
      <c r="R4115">
        <v>28.476009999999999</v>
      </c>
      <c r="S4115">
        <v>25.753409999999999</v>
      </c>
      <c r="T4115">
        <v>2126.5940000000001</v>
      </c>
      <c r="U4115">
        <v>320.22590000000002</v>
      </c>
      <c r="V4115">
        <v>12</v>
      </c>
      <c r="W4115">
        <v>66.01576</v>
      </c>
      <c r="X4115">
        <v>919.81259999999997</v>
      </c>
      <c r="Y4115">
        <v>70.413309999999996</v>
      </c>
      <c r="Z4115">
        <v>296.62349999999998</v>
      </c>
      <c r="AA4115">
        <v>919.81259999999997</v>
      </c>
      <c r="AB4115">
        <v>79.812430000000006</v>
      </c>
      <c r="AC4115">
        <v>1.222868E-2</v>
      </c>
      <c r="AD4115">
        <v>6.2980130000000001</v>
      </c>
      <c r="AE4115">
        <v>0.74881390000000003</v>
      </c>
      <c r="AF4115">
        <v>105.5324</v>
      </c>
      <c r="AG4115">
        <f>IFERROR(AH4115*0.1, "N/A")</f>
        <v>5.3569180000000003</v>
      </c>
      <c r="AH4115">
        <v>53.569180000000003</v>
      </c>
      <c r="AI4115">
        <v>116.6041</v>
      </c>
      <c r="AJ4115">
        <v>22.224170000000001</v>
      </c>
      <c r="AK4115">
        <v>62.76708</v>
      </c>
    </row>
    <row r="4116" spans="1:37" x14ac:dyDescent="0.3">
      <c r="A4116">
        <v>4115</v>
      </c>
      <c r="B4116">
        <v>44.8</v>
      </c>
      <c r="C4116">
        <v>4.5484400000000003</v>
      </c>
      <c r="D4116">
        <v>7.8879999999999999</v>
      </c>
      <c r="E4116" t="s">
        <v>6429</v>
      </c>
      <c r="F4116" t="s">
        <v>6430</v>
      </c>
      <c r="G4116" t="s">
        <v>39</v>
      </c>
      <c r="H4116">
        <v>1993</v>
      </c>
      <c r="I4116">
        <v>26.1</v>
      </c>
      <c r="J4116">
        <v>10.4</v>
      </c>
      <c r="K4116">
        <v>69</v>
      </c>
      <c r="L4116">
        <v>13.05</v>
      </c>
      <c r="M4116">
        <v>34.200000000000003</v>
      </c>
      <c r="N4116">
        <v>19.2</v>
      </c>
      <c r="O4116">
        <v>15</v>
      </c>
      <c r="P4116">
        <v>24.7</v>
      </c>
      <c r="Q4116">
        <v>26.4</v>
      </c>
      <c r="R4116">
        <v>27.7</v>
      </c>
      <c r="S4116">
        <v>24.2</v>
      </c>
      <c r="T4116">
        <v>1251</v>
      </c>
      <c r="U4116">
        <v>206</v>
      </c>
      <c r="V4116">
        <v>10</v>
      </c>
      <c r="W4116">
        <v>64</v>
      </c>
      <c r="X4116">
        <v>508</v>
      </c>
      <c r="Y4116">
        <v>44</v>
      </c>
      <c r="Z4116">
        <v>218</v>
      </c>
      <c r="AA4116">
        <v>466</v>
      </c>
      <c r="AB4116">
        <v>7.3670790000000004</v>
      </c>
      <c r="AC4116">
        <v>1.7905830000000001E-2</v>
      </c>
      <c r="AD4116">
        <v>3.1021839999999998</v>
      </c>
      <c r="AE4116">
        <v>0.51560419999999996</v>
      </c>
      <c r="AF4116">
        <v>338.3553</v>
      </c>
      <c r="AG4116">
        <f>IFERROR(AH4116*0.1, "N/A")</f>
        <v>5.5258229999999999</v>
      </c>
      <c r="AH4116">
        <v>55.258229999999998</v>
      </c>
      <c r="AI4116">
        <v>267.75209999999998</v>
      </c>
      <c r="AJ4116">
        <v>22.258230000000001</v>
      </c>
      <c r="AK4116">
        <v>57</v>
      </c>
    </row>
    <row r="4117" spans="1:37" x14ac:dyDescent="0.3">
      <c r="A4117">
        <v>4116</v>
      </c>
      <c r="B4117">
        <v>14.7</v>
      </c>
      <c r="C4117">
        <v>4.5484400000000003</v>
      </c>
      <c r="D4117">
        <v>7.8879999999999999</v>
      </c>
      <c r="E4117" t="s">
        <v>6429</v>
      </c>
      <c r="F4117" t="s">
        <v>6431</v>
      </c>
      <c r="G4117" t="s">
        <v>37</v>
      </c>
      <c r="H4117">
        <v>1993</v>
      </c>
      <c r="I4117">
        <v>26.1</v>
      </c>
      <c r="J4117">
        <v>10.4</v>
      </c>
      <c r="K4117">
        <v>69</v>
      </c>
      <c r="L4117">
        <v>13.05</v>
      </c>
      <c r="M4117">
        <v>34.200000000000003</v>
      </c>
      <c r="N4117">
        <v>19.2</v>
      </c>
      <c r="O4117">
        <v>15</v>
      </c>
      <c r="P4117">
        <v>24.7</v>
      </c>
      <c r="Q4117">
        <v>26.4</v>
      </c>
      <c r="R4117">
        <v>27.7</v>
      </c>
      <c r="S4117">
        <v>24.2</v>
      </c>
      <c r="T4117">
        <v>1251</v>
      </c>
      <c r="U4117">
        <v>206</v>
      </c>
      <c r="V4117">
        <v>10</v>
      </c>
      <c r="W4117">
        <v>64</v>
      </c>
      <c r="X4117">
        <v>508</v>
      </c>
      <c r="Y4117">
        <v>44</v>
      </c>
      <c r="Z4117">
        <v>218</v>
      </c>
      <c r="AA4117">
        <v>466</v>
      </c>
      <c r="AB4117">
        <v>7.3670790000000004</v>
      </c>
      <c r="AC4117">
        <v>1.7905830000000001E-2</v>
      </c>
      <c r="AD4117">
        <v>3.1021839999999998</v>
      </c>
      <c r="AE4117">
        <v>0.51560419999999996</v>
      </c>
      <c r="AF4117">
        <v>338.3553</v>
      </c>
      <c r="AG4117">
        <f>IFERROR(AH4117*0.1, "N/A")</f>
        <v>5.5258229999999999</v>
      </c>
      <c r="AH4117">
        <v>55.258229999999998</v>
      </c>
      <c r="AI4117">
        <v>267.75209999999998</v>
      </c>
      <c r="AJ4117">
        <v>22.258230000000001</v>
      </c>
      <c r="AK4117">
        <v>57</v>
      </c>
    </row>
    <row r="4118" spans="1:37" x14ac:dyDescent="0.3">
      <c r="A4118">
        <v>4117</v>
      </c>
      <c r="B4118">
        <v>60</v>
      </c>
      <c r="C4118">
        <v>4.5270200000000003</v>
      </c>
      <c r="D4118">
        <v>7.8715299999999999</v>
      </c>
      <c r="E4118" t="s">
        <v>6432</v>
      </c>
      <c r="F4118" t="s">
        <v>6433</v>
      </c>
      <c r="G4118" t="s">
        <v>39</v>
      </c>
      <c r="H4118">
        <v>1993</v>
      </c>
      <c r="I4118">
        <v>26.1</v>
      </c>
      <c r="J4118">
        <v>10.3</v>
      </c>
      <c r="K4118">
        <v>69</v>
      </c>
      <c r="L4118">
        <v>13.23</v>
      </c>
      <c r="M4118">
        <v>34.1</v>
      </c>
      <c r="N4118">
        <v>19.3</v>
      </c>
      <c r="O4118">
        <v>14.8</v>
      </c>
      <c r="P4118">
        <v>24.7</v>
      </c>
      <c r="Q4118">
        <v>26.5</v>
      </c>
      <c r="R4118">
        <v>27.7</v>
      </c>
      <c r="S4118">
        <v>24.2</v>
      </c>
      <c r="T4118">
        <v>1252</v>
      </c>
      <c r="U4118">
        <v>205</v>
      </c>
      <c r="V4118">
        <v>10</v>
      </c>
      <c r="W4118">
        <v>64</v>
      </c>
      <c r="X4118">
        <v>507</v>
      </c>
      <c r="Y4118">
        <v>44</v>
      </c>
      <c r="Z4118">
        <v>218</v>
      </c>
      <c r="AA4118">
        <v>467</v>
      </c>
      <c r="AB4118">
        <v>18.857119999999998</v>
      </c>
      <c r="AC4118">
        <v>1.239461E-2</v>
      </c>
      <c r="AD4118">
        <v>3.1747679999999998</v>
      </c>
      <c r="AE4118">
        <v>0.58222070000000004</v>
      </c>
      <c r="AF4118">
        <v>331.08159999999998</v>
      </c>
      <c r="AG4118">
        <f>IFERROR(AH4118*0.1, "N/A")</f>
        <v>5.2350690000000002</v>
      </c>
      <c r="AH4118">
        <v>52.35069</v>
      </c>
      <c r="AI4118">
        <v>243.0916</v>
      </c>
      <c r="AJ4118">
        <v>24.196179999999998</v>
      </c>
      <c r="AK4118">
        <v>56.612850000000002</v>
      </c>
    </row>
    <row r="4119" spans="1:37" x14ac:dyDescent="0.3">
      <c r="A4119">
        <v>4118</v>
      </c>
      <c r="B4119">
        <v>11.4</v>
      </c>
      <c r="C4119">
        <v>4.5270200000000003</v>
      </c>
      <c r="D4119">
        <v>7.8715299999999999</v>
      </c>
      <c r="E4119" t="s">
        <v>6432</v>
      </c>
      <c r="F4119" t="s">
        <v>6434</v>
      </c>
      <c r="G4119" t="s">
        <v>37</v>
      </c>
      <c r="H4119">
        <v>1993</v>
      </c>
      <c r="I4119">
        <v>26.1</v>
      </c>
      <c r="J4119">
        <v>10.3</v>
      </c>
      <c r="K4119">
        <v>69</v>
      </c>
      <c r="L4119">
        <v>13.23</v>
      </c>
      <c r="M4119">
        <v>34.1</v>
      </c>
      <c r="N4119">
        <v>19.3</v>
      </c>
      <c r="O4119">
        <v>14.8</v>
      </c>
      <c r="P4119">
        <v>24.7</v>
      </c>
      <c r="Q4119">
        <v>26.5</v>
      </c>
      <c r="R4119">
        <v>27.7</v>
      </c>
      <c r="S4119">
        <v>24.2</v>
      </c>
      <c r="T4119">
        <v>1252</v>
      </c>
      <c r="U4119">
        <v>205</v>
      </c>
      <c r="V4119">
        <v>10</v>
      </c>
      <c r="W4119">
        <v>64</v>
      </c>
      <c r="X4119">
        <v>507</v>
      </c>
      <c r="Y4119">
        <v>44</v>
      </c>
      <c r="Z4119">
        <v>218</v>
      </c>
      <c r="AA4119">
        <v>467</v>
      </c>
      <c r="AB4119">
        <v>18.857119999999998</v>
      </c>
      <c r="AC4119">
        <v>1.239461E-2</v>
      </c>
      <c r="AD4119">
        <v>3.1747679999999998</v>
      </c>
      <c r="AE4119">
        <v>0.58222070000000004</v>
      </c>
      <c r="AF4119">
        <v>331.08159999999998</v>
      </c>
      <c r="AG4119">
        <f>IFERROR(AH4119*0.1, "N/A")</f>
        <v>5.2350690000000002</v>
      </c>
      <c r="AH4119">
        <v>52.35069</v>
      </c>
      <c r="AI4119">
        <v>243.0916</v>
      </c>
      <c r="AJ4119">
        <v>24.196179999999998</v>
      </c>
      <c r="AK4119">
        <v>56.612850000000002</v>
      </c>
    </row>
    <row r="4120" spans="1:37" x14ac:dyDescent="0.3">
      <c r="A4120">
        <v>4119</v>
      </c>
      <c r="B4120">
        <v>35</v>
      </c>
      <c r="C4120">
        <v>4.5626699999999998</v>
      </c>
      <c r="D4120">
        <v>7.8946199999999997</v>
      </c>
      <c r="E4120" t="s">
        <v>6435</v>
      </c>
      <c r="F4120" t="s">
        <v>6436</v>
      </c>
      <c r="G4120" t="s">
        <v>39</v>
      </c>
      <c r="H4120">
        <v>1993</v>
      </c>
      <c r="I4120">
        <v>25.8</v>
      </c>
      <c r="J4120">
        <v>10.3</v>
      </c>
      <c r="K4120">
        <v>69</v>
      </c>
      <c r="L4120">
        <v>13.14</v>
      </c>
      <c r="M4120">
        <v>33.9</v>
      </c>
      <c r="N4120">
        <v>19</v>
      </c>
      <c r="O4120">
        <v>14.9</v>
      </c>
      <c r="P4120">
        <v>24.4</v>
      </c>
      <c r="Q4120">
        <v>26.2</v>
      </c>
      <c r="R4120">
        <v>27.5</v>
      </c>
      <c r="S4120">
        <v>24</v>
      </c>
      <c r="T4120">
        <v>1260</v>
      </c>
      <c r="U4120">
        <v>209</v>
      </c>
      <c r="V4120">
        <v>10</v>
      </c>
      <c r="W4120">
        <v>64</v>
      </c>
      <c r="X4120">
        <v>513</v>
      </c>
      <c r="Y4120">
        <v>45</v>
      </c>
      <c r="Z4120">
        <v>219</v>
      </c>
      <c r="AA4120">
        <v>469</v>
      </c>
      <c r="AB4120">
        <v>29.681039999999999</v>
      </c>
      <c r="AC4120">
        <v>4.1959370000000003E-2</v>
      </c>
      <c r="AD4120">
        <v>2.2163110000000001</v>
      </c>
      <c r="AE4120">
        <v>0.43617929999999999</v>
      </c>
      <c r="AF4120">
        <v>359.36869999999999</v>
      </c>
      <c r="AG4120">
        <f>IFERROR(AH4120*0.1, "N/A")</f>
        <v>5.6373910000000009</v>
      </c>
      <c r="AH4120">
        <v>56.373910000000002</v>
      </c>
      <c r="AI4120">
        <v>209.86189999999999</v>
      </c>
      <c r="AJ4120">
        <v>23.622610000000002</v>
      </c>
      <c r="AK4120">
        <v>57.67304</v>
      </c>
    </row>
    <row r="4121" spans="1:37" x14ac:dyDescent="0.3">
      <c r="A4121">
        <v>4120</v>
      </c>
      <c r="B4121">
        <v>32.4</v>
      </c>
      <c r="C4121">
        <v>4.5626699999999998</v>
      </c>
      <c r="D4121">
        <v>7.8946199999999997</v>
      </c>
      <c r="E4121" t="s">
        <v>6435</v>
      </c>
      <c r="F4121" t="s">
        <v>6437</v>
      </c>
      <c r="G4121" t="s">
        <v>37</v>
      </c>
      <c r="H4121">
        <v>1993</v>
      </c>
      <c r="I4121">
        <v>25.8</v>
      </c>
      <c r="J4121">
        <v>10.3</v>
      </c>
      <c r="K4121">
        <v>69</v>
      </c>
      <c r="L4121">
        <v>13.14</v>
      </c>
      <c r="M4121">
        <v>33.9</v>
      </c>
      <c r="N4121">
        <v>19</v>
      </c>
      <c r="O4121">
        <v>14.9</v>
      </c>
      <c r="P4121">
        <v>24.4</v>
      </c>
      <c r="Q4121">
        <v>26.2</v>
      </c>
      <c r="R4121">
        <v>27.5</v>
      </c>
      <c r="S4121">
        <v>24</v>
      </c>
      <c r="T4121">
        <v>1260</v>
      </c>
      <c r="U4121">
        <v>209</v>
      </c>
      <c r="V4121">
        <v>10</v>
      </c>
      <c r="W4121">
        <v>64</v>
      </c>
      <c r="X4121">
        <v>513</v>
      </c>
      <c r="Y4121">
        <v>45</v>
      </c>
      <c r="Z4121">
        <v>219</v>
      </c>
      <c r="AA4121">
        <v>469</v>
      </c>
      <c r="AB4121">
        <v>29.681039999999999</v>
      </c>
      <c r="AC4121">
        <v>4.1959370000000003E-2</v>
      </c>
      <c r="AD4121">
        <v>2.2163110000000001</v>
      </c>
      <c r="AE4121">
        <v>0.43617929999999999</v>
      </c>
      <c r="AF4121">
        <v>359.36869999999999</v>
      </c>
      <c r="AG4121">
        <f>IFERROR(AH4121*0.1, "N/A")</f>
        <v>5.6373910000000009</v>
      </c>
      <c r="AH4121">
        <v>56.373910000000002</v>
      </c>
      <c r="AI4121">
        <v>209.86189999999999</v>
      </c>
      <c r="AJ4121">
        <v>23.622610000000002</v>
      </c>
      <c r="AK4121">
        <v>57.67304</v>
      </c>
    </row>
    <row r="4122" spans="1:37" x14ac:dyDescent="0.3">
      <c r="A4122">
        <v>4121</v>
      </c>
      <c r="B4122">
        <v>10.1</v>
      </c>
      <c r="C4122">
        <v>4.5230600000000001</v>
      </c>
      <c r="D4122">
        <v>7.9116099999999996</v>
      </c>
      <c r="E4122" t="s">
        <v>6438</v>
      </c>
      <c r="F4122" t="s">
        <v>6439</v>
      </c>
      <c r="G4122" t="s">
        <v>39</v>
      </c>
      <c r="H4122">
        <v>1993</v>
      </c>
      <c r="I4122">
        <v>25.9</v>
      </c>
      <c r="J4122">
        <v>10.4</v>
      </c>
      <c r="K4122">
        <v>68</v>
      </c>
      <c r="L4122">
        <v>12.95</v>
      </c>
      <c r="M4122">
        <v>34.1</v>
      </c>
      <c r="N4122">
        <v>19</v>
      </c>
      <c r="O4122">
        <v>15.1</v>
      </c>
      <c r="P4122">
        <v>24.6</v>
      </c>
      <c r="Q4122">
        <v>26.2</v>
      </c>
      <c r="R4122">
        <v>27.6</v>
      </c>
      <c r="S4122">
        <v>24.1</v>
      </c>
      <c r="T4122">
        <v>1255</v>
      </c>
      <c r="U4122">
        <v>208</v>
      </c>
      <c r="V4122">
        <v>10</v>
      </c>
      <c r="W4122">
        <v>64</v>
      </c>
      <c r="X4122">
        <v>510</v>
      </c>
      <c r="Y4122">
        <v>45</v>
      </c>
      <c r="Z4122">
        <v>218</v>
      </c>
      <c r="AA4122">
        <v>466</v>
      </c>
      <c r="AB4122">
        <v>10.76487</v>
      </c>
      <c r="AC4122">
        <v>2.5477960000000001E-2</v>
      </c>
      <c r="AD4122">
        <v>2.8108040000000001</v>
      </c>
      <c r="AE4122">
        <v>0.52180179999999998</v>
      </c>
      <c r="AF4122">
        <v>357.13040000000001</v>
      </c>
      <c r="AG4122">
        <f>IFERROR(AH4122*0.1, "N/A")</f>
        <v>5.6422610000000004</v>
      </c>
      <c r="AH4122">
        <v>56.422609999999999</v>
      </c>
      <c r="AI4122">
        <v>67.114620000000002</v>
      </c>
      <c r="AJ4122">
        <v>26</v>
      </c>
      <c r="AK4122">
        <v>56.96696</v>
      </c>
    </row>
    <row r="4123" spans="1:37" x14ac:dyDescent="0.3">
      <c r="A4123">
        <v>4122</v>
      </c>
      <c r="B4123">
        <v>36.799999999999997</v>
      </c>
      <c r="C4123">
        <v>4.5230600000000001</v>
      </c>
      <c r="D4123">
        <v>7.9116099999999996</v>
      </c>
      <c r="E4123" t="s">
        <v>6438</v>
      </c>
      <c r="F4123" t="s">
        <v>6440</v>
      </c>
      <c r="G4123" t="s">
        <v>37</v>
      </c>
      <c r="H4123">
        <v>1993</v>
      </c>
      <c r="I4123">
        <v>25.9</v>
      </c>
      <c r="J4123">
        <v>10.4</v>
      </c>
      <c r="K4123">
        <v>68</v>
      </c>
      <c r="L4123">
        <v>12.95</v>
      </c>
      <c r="M4123">
        <v>34.1</v>
      </c>
      <c r="N4123">
        <v>19</v>
      </c>
      <c r="O4123">
        <v>15.1</v>
      </c>
      <c r="P4123">
        <v>24.6</v>
      </c>
      <c r="Q4123">
        <v>26.2</v>
      </c>
      <c r="R4123">
        <v>27.6</v>
      </c>
      <c r="S4123">
        <v>24.1</v>
      </c>
      <c r="T4123">
        <v>1255</v>
      </c>
      <c r="U4123">
        <v>208</v>
      </c>
      <c r="V4123">
        <v>10</v>
      </c>
      <c r="W4123">
        <v>64</v>
      </c>
      <c r="X4123">
        <v>510</v>
      </c>
      <c r="Y4123">
        <v>45</v>
      </c>
      <c r="Z4123">
        <v>218</v>
      </c>
      <c r="AA4123">
        <v>466</v>
      </c>
      <c r="AB4123">
        <v>10.76487</v>
      </c>
      <c r="AC4123">
        <v>2.5477960000000001E-2</v>
      </c>
      <c r="AD4123">
        <v>2.8108040000000001</v>
      </c>
      <c r="AE4123">
        <v>0.52180179999999998</v>
      </c>
      <c r="AF4123">
        <v>357.13040000000001</v>
      </c>
      <c r="AG4123">
        <f>IFERROR(AH4123*0.1, "N/A")</f>
        <v>5.6422610000000004</v>
      </c>
      <c r="AH4123">
        <v>56.422609999999999</v>
      </c>
      <c r="AI4123">
        <v>67.114620000000002</v>
      </c>
      <c r="AJ4123">
        <v>26</v>
      </c>
      <c r="AK4123">
        <v>56.96696</v>
      </c>
    </row>
    <row r="4124" spans="1:37" x14ac:dyDescent="0.3">
      <c r="A4124">
        <v>4123</v>
      </c>
      <c r="B4124">
        <v>28.4</v>
      </c>
      <c r="C4124">
        <v>4.5525000000000002</v>
      </c>
      <c r="D4124">
        <v>7.8875500000000001</v>
      </c>
      <c r="E4124" t="s">
        <v>6441</v>
      </c>
      <c r="F4124" t="s">
        <v>6442</v>
      </c>
      <c r="G4124" t="s">
        <v>39</v>
      </c>
      <c r="H4124">
        <v>1993</v>
      </c>
      <c r="I4124">
        <v>25.9</v>
      </c>
      <c r="J4124">
        <v>10.3</v>
      </c>
      <c r="K4124">
        <v>68</v>
      </c>
      <c r="L4124">
        <v>13.15</v>
      </c>
      <c r="M4124">
        <v>34.1</v>
      </c>
      <c r="N4124">
        <v>19.100000000000001</v>
      </c>
      <c r="O4124">
        <v>15</v>
      </c>
      <c r="P4124">
        <v>24.5</v>
      </c>
      <c r="Q4124">
        <v>26.3</v>
      </c>
      <c r="R4124">
        <v>27.6</v>
      </c>
      <c r="S4124">
        <v>24.1</v>
      </c>
      <c r="T4124">
        <v>1257</v>
      </c>
      <c r="U4124">
        <v>208</v>
      </c>
      <c r="V4124">
        <v>10</v>
      </c>
      <c r="W4124">
        <v>64</v>
      </c>
      <c r="X4124">
        <v>511</v>
      </c>
      <c r="Y4124">
        <v>45</v>
      </c>
      <c r="Z4124">
        <v>219</v>
      </c>
      <c r="AA4124">
        <v>468</v>
      </c>
      <c r="AB4124">
        <v>24.922789999999999</v>
      </c>
      <c r="AC4124">
        <v>5.8853200000000001E-2</v>
      </c>
      <c r="AD4124">
        <v>2.7589739999999998</v>
      </c>
      <c r="AE4124">
        <v>0.51856769999999996</v>
      </c>
      <c r="AF4124">
        <v>354.25389999999999</v>
      </c>
      <c r="AG4124">
        <f>IFERROR(AH4124*0.1, "N/A")</f>
        <v>5.6000000000000005</v>
      </c>
      <c r="AH4124">
        <v>56</v>
      </c>
      <c r="AI4124">
        <v>244.98599999999999</v>
      </c>
      <c r="AJ4124">
        <v>23.968699999999998</v>
      </c>
      <c r="AK4124">
        <v>57.015650000000001</v>
      </c>
    </row>
    <row r="4125" spans="1:37" x14ac:dyDescent="0.3">
      <c r="A4125">
        <v>4124</v>
      </c>
      <c r="B4125">
        <v>21.6</v>
      </c>
      <c r="C4125">
        <v>4.5525000000000002</v>
      </c>
      <c r="D4125">
        <v>7.8875500000000001</v>
      </c>
      <c r="E4125" t="s">
        <v>6441</v>
      </c>
      <c r="F4125" t="s">
        <v>6443</v>
      </c>
      <c r="G4125" t="s">
        <v>37</v>
      </c>
      <c r="H4125">
        <v>1993</v>
      </c>
      <c r="I4125">
        <v>25.9</v>
      </c>
      <c r="J4125">
        <v>10.3</v>
      </c>
      <c r="K4125">
        <v>68</v>
      </c>
      <c r="L4125">
        <v>13.15</v>
      </c>
      <c r="M4125">
        <v>34.1</v>
      </c>
      <c r="N4125">
        <v>19.100000000000001</v>
      </c>
      <c r="O4125">
        <v>15</v>
      </c>
      <c r="P4125">
        <v>24.5</v>
      </c>
      <c r="Q4125">
        <v>26.3</v>
      </c>
      <c r="R4125">
        <v>27.6</v>
      </c>
      <c r="S4125">
        <v>24.1</v>
      </c>
      <c r="T4125">
        <v>1257</v>
      </c>
      <c r="U4125">
        <v>208</v>
      </c>
      <c r="V4125">
        <v>10</v>
      </c>
      <c r="W4125">
        <v>64</v>
      </c>
      <c r="X4125">
        <v>511</v>
      </c>
      <c r="Y4125">
        <v>45</v>
      </c>
      <c r="Z4125">
        <v>219</v>
      </c>
      <c r="AA4125">
        <v>468</v>
      </c>
      <c r="AB4125">
        <v>24.922789999999999</v>
      </c>
      <c r="AC4125">
        <v>5.8853200000000001E-2</v>
      </c>
      <c r="AD4125">
        <v>2.7589739999999998</v>
      </c>
      <c r="AE4125">
        <v>0.51856769999999996</v>
      </c>
      <c r="AF4125">
        <v>354.25389999999999</v>
      </c>
      <c r="AG4125">
        <f>IFERROR(AH4125*0.1, "N/A")</f>
        <v>5.6000000000000005</v>
      </c>
      <c r="AH4125">
        <v>56</v>
      </c>
      <c r="AI4125">
        <v>244.98599999999999</v>
      </c>
      <c r="AJ4125">
        <v>23.968699999999998</v>
      </c>
      <c r="AK4125">
        <v>57.015650000000001</v>
      </c>
    </row>
    <row r="4126" spans="1:37" x14ac:dyDescent="0.3">
      <c r="A4126">
        <v>4125</v>
      </c>
      <c r="B4126">
        <v>9.5</v>
      </c>
      <c r="C4126">
        <v>7.7</v>
      </c>
      <c r="D4126">
        <v>11.066700000000001</v>
      </c>
      <c r="E4126" t="s">
        <v>6444</v>
      </c>
      <c r="F4126" t="s">
        <v>6445</v>
      </c>
      <c r="G4126" t="s">
        <v>39</v>
      </c>
      <c r="H4126">
        <v>1991</v>
      </c>
      <c r="I4126">
        <v>24.880240000000001</v>
      </c>
      <c r="J4126">
        <v>13.1</v>
      </c>
      <c r="K4126">
        <v>61</v>
      </c>
      <c r="L4126">
        <v>18.707840000000001</v>
      </c>
      <c r="M4126">
        <v>35.4</v>
      </c>
      <c r="N4126">
        <v>14</v>
      </c>
      <c r="O4126">
        <v>21.4</v>
      </c>
      <c r="P4126">
        <v>23.680240000000001</v>
      </c>
      <c r="Q4126">
        <v>23</v>
      </c>
      <c r="R4126">
        <v>27.7</v>
      </c>
      <c r="S4126">
        <v>23</v>
      </c>
      <c r="T4126">
        <v>1064.0029999999999</v>
      </c>
      <c r="U4126">
        <v>274</v>
      </c>
      <c r="V4126">
        <v>0</v>
      </c>
      <c r="W4126">
        <v>110</v>
      </c>
      <c r="X4126">
        <v>709.98630000000003</v>
      </c>
      <c r="Y4126">
        <v>1</v>
      </c>
      <c r="Z4126">
        <v>157.81960000000001</v>
      </c>
      <c r="AA4126">
        <v>1</v>
      </c>
      <c r="AB4126">
        <v>5.1554869999999999</v>
      </c>
      <c r="AC4126">
        <v>1.8442279999999998E-2</v>
      </c>
      <c r="AD4126">
        <v>2.1497380000000001</v>
      </c>
      <c r="AE4126">
        <v>0.88924630000000005</v>
      </c>
      <c r="AF4126">
        <v>649.7337</v>
      </c>
      <c r="AG4126">
        <f>IFERROR(AH4126*0.1, "N/A")</f>
        <v>6.2422680000000001</v>
      </c>
      <c r="AH4126">
        <v>62.42268</v>
      </c>
      <c r="AI4126">
        <v>322.44119999999998</v>
      </c>
      <c r="AJ4126">
        <v>24.42268</v>
      </c>
      <c r="AK4126">
        <v>53</v>
      </c>
    </row>
    <row r="4127" spans="1:37" x14ac:dyDescent="0.3">
      <c r="A4127">
        <v>4126</v>
      </c>
      <c r="B4127">
        <v>76.2</v>
      </c>
      <c r="C4127">
        <v>4.5932300000000001</v>
      </c>
      <c r="D4127">
        <v>7.2018399999999998</v>
      </c>
      <c r="E4127" t="s">
        <v>6446</v>
      </c>
      <c r="F4127" t="s">
        <v>6447</v>
      </c>
      <c r="G4127" t="s">
        <v>39</v>
      </c>
      <c r="H4127">
        <v>1991</v>
      </c>
      <c r="I4127">
        <v>26.2</v>
      </c>
      <c r="J4127">
        <v>9.1999999999999993</v>
      </c>
      <c r="K4127">
        <v>73</v>
      </c>
      <c r="L4127">
        <v>12.43</v>
      </c>
      <c r="M4127">
        <v>33.299999999999997</v>
      </c>
      <c r="N4127">
        <v>20.7</v>
      </c>
      <c r="O4127">
        <v>12.6</v>
      </c>
      <c r="P4127">
        <v>25.5</v>
      </c>
      <c r="Q4127">
        <v>26.8</v>
      </c>
      <c r="R4127">
        <v>27.6</v>
      </c>
      <c r="S4127">
        <v>24.4</v>
      </c>
      <c r="T4127">
        <v>1474</v>
      </c>
      <c r="U4127">
        <v>228</v>
      </c>
      <c r="V4127">
        <v>9</v>
      </c>
      <c r="W4127">
        <v>62</v>
      </c>
      <c r="X4127">
        <v>579</v>
      </c>
      <c r="Y4127">
        <v>56</v>
      </c>
      <c r="Z4127">
        <v>265</v>
      </c>
      <c r="AA4127">
        <v>579</v>
      </c>
      <c r="AB4127">
        <v>15.74583</v>
      </c>
      <c r="AC4127">
        <v>1.3179110000000001E-2</v>
      </c>
      <c r="AD4127">
        <v>2.6846350000000001</v>
      </c>
      <c r="AE4127">
        <v>0.28879300000000002</v>
      </c>
      <c r="AF4127">
        <v>228.89580000000001</v>
      </c>
      <c r="AG4127">
        <f>IFERROR(AH4127*0.1, "N/A")</f>
        <v>5.2993060000000005</v>
      </c>
      <c r="AH4127">
        <v>52.99306</v>
      </c>
      <c r="AI4127">
        <v>265.52510000000001</v>
      </c>
      <c r="AJ4127">
        <v>20.99306</v>
      </c>
      <c r="AK4127">
        <v>65</v>
      </c>
    </row>
    <row r="4128" spans="1:37" x14ac:dyDescent="0.3">
      <c r="A4128">
        <v>4127</v>
      </c>
      <c r="B4128">
        <v>70.3</v>
      </c>
      <c r="C4128">
        <v>3.4891299999999998</v>
      </c>
      <c r="D4128">
        <v>7.4019599999999999</v>
      </c>
      <c r="E4128" t="s">
        <v>6448</v>
      </c>
      <c r="F4128" t="s">
        <v>6449</v>
      </c>
      <c r="G4128" t="s">
        <v>39</v>
      </c>
      <c r="H4128">
        <v>1991</v>
      </c>
      <c r="I4128">
        <v>27.5</v>
      </c>
      <c r="J4128">
        <v>9.5</v>
      </c>
      <c r="K4128">
        <v>72</v>
      </c>
      <c r="L4128">
        <v>12.67</v>
      </c>
      <c r="M4128">
        <v>34.9</v>
      </c>
      <c r="N4128">
        <v>21.8</v>
      </c>
      <c r="O4128">
        <v>13.1</v>
      </c>
      <c r="P4128">
        <v>26.7</v>
      </c>
      <c r="Q4128">
        <v>28.1</v>
      </c>
      <c r="R4128">
        <v>29.1</v>
      </c>
      <c r="S4128">
        <v>25.7</v>
      </c>
      <c r="T4128">
        <v>1218</v>
      </c>
      <c r="U4128">
        <v>182</v>
      </c>
      <c r="V4128">
        <v>10</v>
      </c>
      <c r="W4128">
        <v>61</v>
      </c>
      <c r="X4128">
        <v>493</v>
      </c>
      <c r="Y4128">
        <v>47</v>
      </c>
      <c r="Z4128">
        <v>272</v>
      </c>
      <c r="AA4128">
        <v>393</v>
      </c>
      <c r="AB4128">
        <v>1.043255</v>
      </c>
      <c r="AC4128">
        <v>1.1944680000000001</v>
      </c>
      <c r="AD4128">
        <v>1.5040070000000001</v>
      </c>
      <c r="AE4128">
        <v>0.68028710000000003</v>
      </c>
      <c r="AF4128">
        <v>73.335639999999998</v>
      </c>
      <c r="AG4128">
        <f>IFERROR(AH4128*0.1, "N/A")</f>
        <v>6.2</v>
      </c>
      <c r="AH4128">
        <v>62</v>
      </c>
      <c r="AI4128">
        <v>204.6497</v>
      </c>
      <c r="AJ4128">
        <v>19.98789</v>
      </c>
      <c r="AK4128">
        <v>62.01211</v>
      </c>
    </row>
    <row r="4129" spans="1:37" x14ac:dyDescent="0.3">
      <c r="A4129">
        <v>4128</v>
      </c>
      <c r="B4129">
        <v>66.400000000000006</v>
      </c>
      <c r="C4129">
        <v>4.4255300000000002</v>
      </c>
      <c r="D4129">
        <v>8.0878200000000007</v>
      </c>
      <c r="E4129" t="s">
        <v>6450</v>
      </c>
      <c r="F4129" t="s">
        <v>6451</v>
      </c>
      <c r="G4129" t="s">
        <v>39</v>
      </c>
      <c r="H4129">
        <v>1991</v>
      </c>
      <c r="I4129">
        <v>25.914380000000001</v>
      </c>
      <c r="J4129">
        <v>10.7</v>
      </c>
      <c r="K4129">
        <v>68.85615</v>
      </c>
      <c r="L4129">
        <v>13.281510000000001</v>
      </c>
      <c r="M4129">
        <v>34.228769999999997</v>
      </c>
      <c r="N4129">
        <v>18.7</v>
      </c>
      <c r="O4129">
        <v>15.52877</v>
      </c>
      <c r="P4129">
        <v>24.42877</v>
      </c>
      <c r="Q4129">
        <v>26.214390000000002</v>
      </c>
      <c r="R4129">
        <v>27.61439</v>
      </c>
      <c r="S4129">
        <v>24.028770000000002</v>
      </c>
      <c r="T4129">
        <v>1240.712</v>
      </c>
      <c r="U4129">
        <v>214.8562</v>
      </c>
      <c r="V4129">
        <v>10</v>
      </c>
      <c r="W4129">
        <v>65.85615</v>
      </c>
      <c r="X4129">
        <v>507.71230000000003</v>
      </c>
      <c r="Y4129">
        <v>43</v>
      </c>
      <c r="Z4129">
        <v>208</v>
      </c>
      <c r="AA4129">
        <v>464.8562</v>
      </c>
      <c r="AB4129">
        <v>4.3275509999999997</v>
      </c>
      <c r="AC4129">
        <v>1.0151540000000001E-2</v>
      </c>
      <c r="AD4129">
        <v>2.508</v>
      </c>
      <c r="AE4129">
        <v>0.49143920000000002</v>
      </c>
      <c r="AF4129">
        <v>367.5806</v>
      </c>
      <c r="AG4129">
        <f>IFERROR(AH4129*0.1, "N/A")</f>
        <v>5.9</v>
      </c>
      <c r="AH4129">
        <v>59</v>
      </c>
      <c r="AI4129">
        <v>129.17570000000001</v>
      </c>
      <c r="AJ4129">
        <v>14.830159999999999</v>
      </c>
      <c r="AK4129">
        <v>66.254769999999994</v>
      </c>
    </row>
    <row r="4130" spans="1:37" x14ac:dyDescent="0.3">
      <c r="A4130">
        <v>4129</v>
      </c>
      <c r="B4130">
        <v>5.5</v>
      </c>
      <c r="C4130">
        <v>7.7</v>
      </c>
      <c r="D4130">
        <v>5.55</v>
      </c>
      <c r="E4130" t="s">
        <v>6452</v>
      </c>
      <c r="F4130" t="s">
        <v>6453</v>
      </c>
      <c r="G4130" t="s">
        <v>39</v>
      </c>
      <c r="H4130">
        <v>1990</v>
      </c>
      <c r="I4130">
        <v>26.645720000000001</v>
      </c>
      <c r="J4130">
        <v>8.5794069999999998</v>
      </c>
      <c r="K4130">
        <v>76.652709999999999</v>
      </c>
      <c r="L4130">
        <v>9.42103</v>
      </c>
      <c r="M4130">
        <v>32.784820000000003</v>
      </c>
      <c r="N4130">
        <v>21.670680000000001</v>
      </c>
      <c r="O4130">
        <v>11.114140000000001</v>
      </c>
      <c r="P4130">
        <v>25.339269999999999</v>
      </c>
      <c r="Q4130">
        <v>27.13927</v>
      </c>
      <c r="R4130">
        <v>27.884820000000001</v>
      </c>
      <c r="S4130">
        <v>25.339269999999999</v>
      </c>
      <c r="T4130">
        <v>2145.6790000000001</v>
      </c>
      <c r="U4130">
        <v>319.56369999999998</v>
      </c>
      <c r="V4130">
        <v>15</v>
      </c>
      <c r="W4130">
        <v>63</v>
      </c>
      <c r="X4130">
        <v>904.83420000000001</v>
      </c>
      <c r="Y4130">
        <v>85.314139999999995</v>
      </c>
      <c r="Z4130">
        <v>333.73649999999998</v>
      </c>
      <c r="AA4130">
        <v>904.83420000000001</v>
      </c>
      <c r="AB4130">
        <v>26.368939999999998</v>
      </c>
      <c r="AC4130">
        <v>0.19529750000000001</v>
      </c>
      <c r="AD4130">
        <v>4.2012159999999996</v>
      </c>
      <c r="AE4130">
        <v>0.6971136</v>
      </c>
      <c r="AF4130">
        <v>58.623040000000003</v>
      </c>
      <c r="AG4130">
        <f>IFERROR(AH4130*0.1, "N/A")</f>
        <v>5.3794070000000005</v>
      </c>
      <c r="AH4130">
        <v>53.794069999999998</v>
      </c>
      <c r="AI4130">
        <v>222.59190000000001</v>
      </c>
      <c r="AJ4130">
        <v>19</v>
      </c>
      <c r="AK4130">
        <v>70.794070000000005</v>
      </c>
    </row>
    <row r="4131" spans="1:37" x14ac:dyDescent="0.3">
      <c r="A4131">
        <v>4130</v>
      </c>
      <c r="B4131">
        <v>19.3</v>
      </c>
      <c r="C4131">
        <v>7.7833300000000003</v>
      </c>
      <c r="D4131">
        <v>5.5</v>
      </c>
      <c r="E4131" t="s">
        <v>6454</v>
      </c>
      <c r="F4131" t="s">
        <v>6455</v>
      </c>
      <c r="G4131" t="s">
        <v>39</v>
      </c>
      <c r="H4131">
        <v>1990</v>
      </c>
      <c r="I4131">
        <v>26.880659999999999</v>
      </c>
      <c r="J4131">
        <v>8.5</v>
      </c>
      <c r="K4131">
        <v>76</v>
      </c>
      <c r="L4131">
        <v>9.2977179999999997</v>
      </c>
      <c r="M4131">
        <v>33</v>
      </c>
      <c r="N4131">
        <v>21.9</v>
      </c>
      <c r="O4131">
        <v>11.1</v>
      </c>
      <c r="P4131">
        <v>25.580660000000002</v>
      </c>
      <c r="Q4131">
        <v>27.321079999999998</v>
      </c>
      <c r="R4131">
        <v>28.080660000000002</v>
      </c>
      <c r="S4131">
        <v>25.580660000000002</v>
      </c>
      <c r="T4131">
        <v>2186.3220000000001</v>
      </c>
      <c r="U4131">
        <v>324.98430000000002</v>
      </c>
      <c r="V4131">
        <v>16</v>
      </c>
      <c r="W4131">
        <v>62</v>
      </c>
      <c r="X4131">
        <v>919.96860000000004</v>
      </c>
      <c r="Y4131">
        <v>89.790940000000006</v>
      </c>
      <c r="Z4131">
        <v>341.37110000000001</v>
      </c>
      <c r="AA4131">
        <v>919.96860000000004</v>
      </c>
      <c r="AB4131">
        <v>2.7959930000000002</v>
      </c>
      <c r="AC4131">
        <v>0.23010530000000001</v>
      </c>
      <c r="AD4131">
        <v>1.631707</v>
      </c>
      <c r="AE4131">
        <v>0.64621490000000004</v>
      </c>
      <c r="AF4131">
        <v>28.0122</v>
      </c>
      <c r="AG4131">
        <f>IFERROR(AH4131*0.1, "N/A")</f>
        <v>5.1587110000000003</v>
      </c>
      <c r="AH4131">
        <v>51.587110000000003</v>
      </c>
      <c r="AI4131">
        <v>250.3092</v>
      </c>
      <c r="AJ4131">
        <v>24.304880000000001</v>
      </c>
      <c r="AK4131">
        <v>61.484319999999997</v>
      </c>
    </row>
    <row r="4132" spans="1:37" x14ac:dyDescent="0.3">
      <c r="A4132">
        <v>4131</v>
      </c>
      <c r="B4132">
        <v>8.5</v>
      </c>
      <c r="C4132">
        <v>7.6833299999999998</v>
      </c>
      <c r="D4132">
        <v>5.5</v>
      </c>
      <c r="E4132" t="s">
        <v>6456</v>
      </c>
      <c r="F4132" t="s">
        <v>6457</v>
      </c>
      <c r="G4132" t="s">
        <v>39</v>
      </c>
      <c r="H4132">
        <v>1990</v>
      </c>
      <c r="I4132">
        <v>26.531410000000001</v>
      </c>
      <c r="J4132">
        <v>8.5</v>
      </c>
      <c r="K4132">
        <v>76</v>
      </c>
      <c r="L4132">
        <v>9.4707509999999999</v>
      </c>
      <c r="M4132">
        <v>32.645200000000003</v>
      </c>
      <c r="N4132">
        <v>21.545200000000001</v>
      </c>
      <c r="O4132">
        <v>11.1</v>
      </c>
      <c r="P4132">
        <v>25.183769999999999</v>
      </c>
      <c r="Q4132">
        <v>26.992840000000001</v>
      </c>
      <c r="R4132">
        <v>27.73141</v>
      </c>
      <c r="S4132">
        <v>25.183769999999999</v>
      </c>
      <c r="T4132">
        <v>2171.1480000000001</v>
      </c>
      <c r="U4132">
        <v>323.47640000000001</v>
      </c>
      <c r="V4132">
        <v>16</v>
      </c>
      <c r="W4132">
        <v>62</v>
      </c>
      <c r="X4132">
        <v>912.4049</v>
      </c>
      <c r="Y4132">
        <v>90</v>
      </c>
      <c r="Z4132">
        <v>343.65269999999998</v>
      </c>
      <c r="AA4132">
        <v>912.4049</v>
      </c>
      <c r="AB4132">
        <v>61.413789999999999</v>
      </c>
      <c r="AC4132">
        <v>8.9845020000000001E-3</v>
      </c>
      <c r="AD4132">
        <v>4.1127950000000002</v>
      </c>
      <c r="AE4132">
        <v>0.72545959999999998</v>
      </c>
      <c r="AF4132">
        <v>122.9284</v>
      </c>
      <c r="AG4132">
        <f>IFERROR(AH4132*0.1, "N/A")</f>
        <v>5.3364750000000001</v>
      </c>
      <c r="AH4132">
        <v>53.364750000000001</v>
      </c>
      <c r="AI4132">
        <v>274.11849999999998</v>
      </c>
      <c r="AJ4132">
        <v>19.240839999999999</v>
      </c>
      <c r="AK4132">
        <v>71.291449999999998</v>
      </c>
    </row>
    <row r="4133" spans="1:37" x14ac:dyDescent="0.3">
      <c r="A4133">
        <v>4132</v>
      </c>
      <c r="B4133">
        <v>22</v>
      </c>
      <c r="C4133">
        <v>7.76389</v>
      </c>
      <c r="D4133">
        <v>5.4852800000000004</v>
      </c>
      <c r="E4133" t="s">
        <v>6458</v>
      </c>
      <c r="F4133" t="s">
        <v>6459</v>
      </c>
      <c r="G4133" t="s">
        <v>39</v>
      </c>
      <c r="H4133">
        <v>1990</v>
      </c>
      <c r="I4133">
        <v>26.9</v>
      </c>
      <c r="J4133">
        <v>8.5</v>
      </c>
      <c r="K4133">
        <v>76</v>
      </c>
      <c r="L4133">
        <v>9.3000000000000007</v>
      </c>
      <c r="M4133">
        <v>33</v>
      </c>
      <c r="N4133">
        <v>21.9</v>
      </c>
      <c r="O4133">
        <v>11.1</v>
      </c>
      <c r="P4133">
        <v>25.6</v>
      </c>
      <c r="Q4133">
        <v>27.3</v>
      </c>
      <c r="R4133">
        <v>28.1</v>
      </c>
      <c r="S4133">
        <v>25.6</v>
      </c>
      <c r="T4133">
        <v>2185</v>
      </c>
      <c r="U4133">
        <v>325</v>
      </c>
      <c r="V4133">
        <v>16</v>
      </c>
      <c r="W4133">
        <v>62</v>
      </c>
      <c r="X4133">
        <v>920</v>
      </c>
      <c r="Y4133">
        <v>90</v>
      </c>
      <c r="Z4133">
        <v>342</v>
      </c>
      <c r="AA4133">
        <v>920</v>
      </c>
      <c r="AB4133">
        <v>7.1951049999999999</v>
      </c>
      <c r="AC4133">
        <v>1.19609E-2</v>
      </c>
      <c r="AD4133">
        <v>1.598004</v>
      </c>
      <c r="AE4133">
        <v>0.37865969999999999</v>
      </c>
      <c r="AF4133">
        <v>31.63636</v>
      </c>
      <c r="AG4133">
        <f>IFERROR(AH4133*0.1, "N/A")</f>
        <v>5.4</v>
      </c>
      <c r="AH4133">
        <v>54</v>
      </c>
      <c r="AI4133">
        <v>208.58019999999999</v>
      </c>
      <c r="AJ4133">
        <v>27.409089999999999</v>
      </c>
      <c r="AK4133">
        <v>57.704549999999998</v>
      </c>
    </row>
    <row r="4134" spans="1:37" x14ac:dyDescent="0.3">
      <c r="A4134">
        <v>4133</v>
      </c>
      <c r="B4134">
        <v>7.5</v>
      </c>
      <c r="C4134">
        <v>7.8</v>
      </c>
      <c r="D4134">
        <v>5.4833299999999996</v>
      </c>
      <c r="E4134" t="s">
        <v>6460</v>
      </c>
      <c r="F4134" t="s">
        <v>6461</v>
      </c>
      <c r="G4134" t="s">
        <v>39</v>
      </c>
      <c r="H4134">
        <v>1990</v>
      </c>
      <c r="I4134">
        <v>26.949739999999998</v>
      </c>
      <c r="J4134">
        <v>8.5</v>
      </c>
      <c r="K4134">
        <v>75.497370000000004</v>
      </c>
      <c r="L4134">
        <v>9.3175480000000004</v>
      </c>
      <c r="M4134">
        <v>33.04974</v>
      </c>
      <c r="N4134">
        <v>21.899470000000001</v>
      </c>
      <c r="O4134">
        <v>11.150259999999999</v>
      </c>
      <c r="P4134">
        <v>25.6</v>
      </c>
      <c r="Q4134">
        <v>27.4</v>
      </c>
      <c r="R4134">
        <v>28.12067</v>
      </c>
      <c r="S4134">
        <v>25.6</v>
      </c>
      <c r="T4134">
        <v>2195.2330000000002</v>
      </c>
      <c r="U4134">
        <v>326.70929999999998</v>
      </c>
      <c r="V4134">
        <v>16.474609999999998</v>
      </c>
      <c r="W4134">
        <v>62</v>
      </c>
      <c r="X4134">
        <v>923.70929999999998</v>
      </c>
      <c r="Y4134">
        <v>90.949209999999994</v>
      </c>
      <c r="Z4134">
        <v>343.18389999999999</v>
      </c>
      <c r="AA4134">
        <v>923.70929999999998</v>
      </c>
      <c r="AB4134">
        <v>3.1781090000000001</v>
      </c>
      <c r="AC4134">
        <v>2.021163</v>
      </c>
      <c r="AD4134">
        <v>2.2895880000000002</v>
      </c>
      <c r="AE4134">
        <v>0.64337200000000005</v>
      </c>
      <c r="AF4134">
        <v>18.26445</v>
      </c>
      <c r="AG4134">
        <f>IFERROR(AH4134*0.1, "N/A")</f>
        <v>5.4441330000000008</v>
      </c>
      <c r="AH4134">
        <v>54.441330000000001</v>
      </c>
      <c r="AI4134">
        <v>167.02670000000001</v>
      </c>
      <c r="AJ4134">
        <v>21.117339999999999</v>
      </c>
      <c r="AK4134">
        <v>63</v>
      </c>
    </row>
    <row r="4135" spans="1:37" x14ac:dyDescent="0.3">
      <c r="A4135">
        <v>4134</v>
      </c>
      <c r="B4135">
        <v>22.7</v>
      </c>
      <c r="C4135">
        <v>7.76389</v>
      </c>
      <c r="D4135">
        <v>5.5038299999999998</v>
      </c>
      <c r="E4135" t="s">
        <v>6462</v>
      </c>
      <c r="F4135" t="s">
        <v>6463</v>
      </c>
      <c r="G4135" t="s">
        <v>39</v>
      </c>
      <c r="H4135">
        <v>1990</v>
      </c>
      <c r="I4135">
        <v>26.9</v>
      </c>
      <c r="J4135">
        <v>8.5</v>
      </c>
      <c r="K4135">
        <v>76</v>
      </c>
      <c r="L4135">
        <v>9.31</v>
      </c>
      <c r="M4135">
        <v>33</v>
      </c>
      <c r="N4135">
        <v>21.9</v>
      </c>
      <c r="O4135">
        <v>11.1</v>
      </c>
      <c r="P4135">
        <v>25.6</v>
      </c>
      <c r="Q4135">
        <v>27.3</v>
      </c>
      <c r="R4135">
        <v>28.1</v>
      </c>
      <c r="S4135">
        <v>25.6</v>
      </c>
      <c r="T4135">
        <v>2177</v>
      </c>
      <c r="U4135">
        <v>324</v>
      </c>
      <c r="V4135">
        <v>16</v>
      </c>
      <c r="W4135">
        <v>62</v>
      </c>
      <c r="X4135">
        <v>917</v>
      </c>
      <c r="Y4135">
        <v>89</v>
      </c>
      <c r="Z4135">
        <v>339</v>
      </c>
      <c r="AA4135">
        <v>917</v>
      </c>
      <c r="AB4135">
        <v>8.6714289999999998</v>
      </c>
      <c r="AC4135">
        <v>2.7514179999999999E-2</v>
      </c>
      <c r="AD4135">
        <v>1.355971</v>
      </c>
      <c r="AE4135">
        <v>0.63759209999999999</v>
      </c>
      <c r="AF4135">
        <v>32.627180000000003</v>
      </c>
      <c r="AG4135">
        <f>IFERROR(AH4135*0.1, "N/A")</f>
        <v>5.1188150000000006</v>
      </c>
      <c r="AH4135">
        <v>51.18815</v>
      </c>
      <c r="AI4135">
        <v>182.92599999999999</v>
      </c>
      <c r="AJ4135">
        <v>23.71603</v>
      </c>
      <c r="AK4135">
        <v>63.557490000000001</v>
      </c>
    </row>
    <row r="4136" spans="1:37" x14ac:dyDescent="0.3">
      <c r="A4136">
        <v>4135</v>
      </c>
      <c r="B4136">
        <v>21</v>
      </c>
      <c r="C4136">
        <v>7.8166700000000002</v>
      </c>
      <c r="D4136">
        <v>5.55</v>
      </c>
      <c r="E4136" t="s">
        <v>6464</v>
      </c>
      <c r="F4136" t="s">
        <v>6465</v>
      </c>
      <c r="G4136" t="s">
        <v>39</v>
      </c>
      <c r="H4136">
        <v>1990</v>
      </c>
      <c r="I4136">
        <v>26.587409999999998</v>
      </c>
      <c r="J4136">
        <v>8.6</v>
      </c>
      <c r="K4136">
        <v>76.024479999999997</v>
      </c>
      <c r="L4136">
        <v>9.6690210000000008</v>
      </c>
      <c r="M4136">
        <v>32.796500000000002</v>
      </c>
      <c r="N4136">
        <v>21.587409999999998</v>
      </c>
      <c r="O4136">
        <v>11.20909</v>
      </c>
      <c r="P4136">
        <v>25.258389999999999</v>
      </c>
      <c r="Q4136">
        <v>27.087409999999998</v>
      </c>
      <c r="R4136">
        <v>27.8535</v>
      </c>
      <c r="S4136">
        <v>25.258389999999999</v>
      </c>
      <c r="T4136">
        <v>2168.85</v>
      </c>
      <c r="U4136">
        <v>323.5804</v>
      </c>
      <c r="V4136">
        <v>15</v>
      </c>
      <c r="W4136">
        <v>63</v>
      </c>
      <c r="X4136">
        <v>917.75519999999995</v>
      </c>
      <c r="Y4136">
        <v>86</v>
      </c>
      <c r="Z4136">
        <v>333.60489999999999</v>
      </c>
      <c r="AA4136">
        <v>917.75519999999995</v>
      </c>
      <c r="AB4136">
        <v>16.998249999999999</v>
      </c>
      <c r="AC4136">
        <v>0.23740410000000001</v>
      </c>
      <c r="AD4136">
        <v>5.7844429999999996</v>
      </c>
      <c r="AE4136">
        <v>0.67105420000000005</v>
      </c>
      <c r="AF4136">
        <v>85.043710000000004</v>
      </c>
      <c r="AG4136">
        <f>IFERROR(AH4136*0.1, "N/A")</f>
        <v>5.1419580000000007</v>
      </c>
      <c r="AH4136">
        <v>51.419580000000003</v>
      </c>
      <c r="AI4136">
        <v>133.50210000000001</v>
      </c>
      <c r="AJ4136">
        <v>20.279720000000001</v>
      </c>
      <c r="AK4136">
        <v>70.580420000000004</v>
      </c>
    </row>
    <row r="4137" spans="1:37" x14ac:dyDescent="0.3">
      <c r="A4137">
        <v>4136</v>
      </c>
      <c r="B4137">
        <v>0.36</v>
      </c>
      <c r="C4137">
        <v>5.2313900000000002</v>
      </c>
      <c r="D4137">
        <v>13.051399999999999</v>
      </c>
      <c r="E4137" t="s">
        <v>6466</v>
      </c>
      <c r="F4137" t="s">
        <v>6467</v>
      </c>
      <c r="G4137" t="s">
        <v>39</v>
      </c>
      <c r="H4137">
        <v>1990</v>
      </c>
      <c r="I4137">
        <v>28.4</v>
      </c>
      <c r="J4137">
        <v>14.3</v>
      </c>
      <c r="K4137">
        <v>57</v>
      </c>
      <c r="L4137">
        <v>27.34</v>
      </c>
      <c r="M4137">
        <v>40.9</v>
      </c>
      <c r="N4137">
        <v>16</v>
      </c>
      <c r="O4137">
        <v>24.9</v>
      </c>
      <c r="P4137">
        <v>27.3</v>
      </c>
      <c r="Q4137">
        <v>25.5</v>
      </c>
      <c r="R4137">
        <v>32.1</v>
      </c>
      <c r="S4137">
        <v>25.2</v>
      </c>
      <c r="T4137">
        <v>631</v>
      </c>
      <c r="U4137">
        <v>212</v>
      </c>
      <c r="V4137">
        <v>0</v>
      </c>
      <c r="W4137">
        <v>133</v>
      </c>
      <c r="X4137">
        <v>485</v>
      </c>
      <c r="Y4137">
        <v>0</v>
      </c>
      <c r="Z4137">
        <v>45</v>
      </c>
      <c r="AA4137">
        <v>0</v>
      </c>
      <c r="AB4137">
        <v>11.011509999999999</v>
      </c>
      <c r="AC4137">
        <v>1.1911949999999999E-2</v>
      </c>
      <c r="AD4137">
        <v>1.5430619999999999</v>
      </c>
      <c r="AE4137">
        <v>0.8740772</v>
      </c>
      <c r="AF4137">
        <v>288.73599999999999</v>
      </c>
      <c r="AG4137">
        <f>IFERROR(AH4137*0.1, "N/A")</f>
        <v>6.5483930000000008</v>
      </c>
      <c r="AH4137">
        <v>65.483930000000001</v>
      </c>
      <c r="AI4137">
        <v>235.5428</v>
      </c>
      <c r="AJ4137">
        <v>35.11844</v>
      </c>
      <c r="AK4137">
        <v>43.304569999999998</v>
      </c>
    </row>
    <row r="4138" spans="1:37" x14ac:dyDescent="0.3">
      <c r="A4138">
        <v>4137</v>
      </c>
      <c r="B4138">
        <v>24</v>
      </c>
      <c r="C4138">
        <v>9.0203500000000005</v>
      </c>
      <c r="D4138">
        <v>10.261100000000001</v>
      </c>
      <c r="E4138" t="s">
        <v>6468</v>
      </c>
      <c r="F4138" t="s">
        <v>6469</v>
      </c>
      <c r="G4138" t="s">
        <v>39</v>
      </c>
      <c r="H4138">
        <v>1990</v>
      </c>
      <c r="I4138">
        <v>24.5</v>
      </c>
      <c r="J4138">
        <v>12.8</v>
      </c>
      <c r="K4138">
        <v>62</v>
      </c>
      <c r="L4138">
        <v>17.22</v>
      </c>
      <c r="M4138">
        <v>34.700000000000003</v>
      </c>
      <c r="N4138">
        <v>14.2</v>
      </c>
      <c r="O4138">
        <v>20.5</v>
      </c>
      <c r="P4138">
        <v>23.2</v>
      </c>
      <c r="Q4138">
        <v>23.1</v>
      </c>
      <c r="R4138">
        <v>27.1</v>
      </c>
      <c r="S4138">
        <v>22.9</v>
      </c>
      <c r="T4138">
        <v>1187</v>
      </c>
      <c r="U4138">
        <v>291</v>
      </c>
      <c r="V4138">
        <v>0</v>
      </c>
      <c r="W4138">
        <v>108</v>
      </c>
      <c r="X4138">
        <v>771</v>
      </c>
      <c r="Y4138">
        <v>2</v>
      </c>
      <c r="Z4138">
        <v>195</v>
      </c>
      <c r="AA4138">
        <v>3</v>
      </c>
      <c r="AB4138">
        <v>6.8370170000000003</v>
      </c>
      <c r="AC4138">
        <v>1.6928539999999999E-2</v>
      </c>
      <c r="AD4138">
        <v>1.8352999999999999</v>
      </c>
      <c r="AE4138">
        <v>0.75558190000000003</v>
      </c>
      <c r="AF4138">
        <v>815.16610000000003</v>
      </c>
      <c r="AG4138">
        <f>IFERROR(AH4138*0.1, "N/A")</f>
        <v>5.8000000000000007</v>
      </c>
      <c r="AH4138">
        <v>58</v>
      </c>
      <c r="AI4138">
        <v>109.53660000000001</v>
      </c>
      <c r="AJ4138">
        <v>20.53425</v>
      </c>
      <c r="AK4138">
        <v>56.455480000000001</v>
      </c>
    </row>
    <row r="4139" spans="1:37" x14ac:dyDescent="0.3">
      <c r="A4139">
        <v>4138</v>
      </c>
      <c r="B4139">
        <v>15.4</v>
      </c>
      <c r="C4139">
        <v>9.0203500000000005</v>
      </c>
      <c r="D4139">
        <v>10.261100000000001</v>
      </c>
      <c r="E4139" t="s">
        <v>6468</v>
      </c>
      <c r="F4139" t="s">
        <v>6470</v>
      </c>
      <c r="G4139" t="s">
        <v>37</v>
      </c>
      <c r="H4139">
        <v>1990</v>
      </c>
      <c r="I4139">
        <v>24.5</v>
      </c>
      <c r="J4139">
        <v>12.8</v>
      </c>
      <c r="K4139">
        <v>62</v>
      </c>
      <c r="L4139">
        <v>17.22</v>
      </c>
      <c r="M4139">
        <v>34.700000000000003</v>
      </c>
      <c r="N4139">
        <v>14.2</v>
      </c>
      <c r="O4139">
        <v>20.5</v>
      </c>
      <c r="P4139">
        <v>23.2</v>
      </c>
      <c r="Q4139">
        <v>23.1</v>
      </c>
      <c r="R4139">
        <v>27.1</v>
      </c>
      <c r="S4139">
        <v>22.9</v>
      </c>
      <c r="T4139">
        <v>1187</v>
      </c>
      <c r="U4139">
        <v>291</v>
      </c>
      <c r="V4139">
        <v>0</v>
      </c>
      <c r="W4139">
        <v>108</v>
      </c>
      <c r="X4139">
        <v>771</v>
      </c>
      <c r="Y4139">
        <v>2</v>
      </c>
      <c r="Z4139">
        <v>195</v>
      </c>
      <c r="AA4139">
        <v>3</v>
      </c>
      <c r="AB4139">
        <v>6.8370170000000003</v>
      </c>
      <c r="AC4139">
        <v>1.6928539999999999E-2</v>
      </c>
      <c r="AD4139">
        <v>1.8352999999999999</v>
      </c>
      <c r="AE4139">
        <v>0.75558190000000003</v>
      </c>
      <c r="AF4139">
        <v>815.16610000000003</v>
      </c>
      <c r="AG4139">
        <f>IFERROR(AH4139*0.1, "N/A")</f>
        <v>5.8000000000000007</v>
      </c>
      <c r="AH4139">
        <v>58</v>
      </c>
      <c r="AI4139">
        <v>109.53660000000001</v>
      </c>
      <c r="AJ4139">
        <v>20.53425</v>
      </c>
      <c r="AK4139">
        <v>56.455480000000001</v>
      </c>
    </row>
    <row r="4140" spans="1:37" x14ac:dyDescent="0.3">
      <c r="A4140">
        <v>4139</v>
      </c>
      <c r="B4140">
        <v>9.5</v>
      </c>
      <c r="C4140">
        <v>9.0333299999999994</v>
      </c>
      <c r="D4140">
        <v>10.2333</v>
      </c>
      <c r="E4140" t="s">
        <v>6471</v>
      </c>
      <c r="F4140" t="s">
        <v>6472</v>
      </c>
      <c r="G4140" t="s">
        <v>39</v>
      </c>
      <c r="H4140">
        <v>1990</v>
      </c>
      <c r="I4140">
        <v>24.485150000000001</v>
      </c>
      <c r="J4140">
        <v>12.71157</v>
      </c>
      <c r="K4140">
        <v>62</v>
      </c>
      <c r="L4140">
        <v>17.18582</v>
      </c>
      <c r="M4140">
        <v>34.61157</v>
      </c>
      <c r="N4140">
        <v>14.273580000000001</v>
      </c>
      <c r="O4140">
        <v>20.338000000000001</v>
      </c>
      <c r="P4140">
        <v>23.2</v>
      </c>
      <c r="Q4140">
        <v>23.085149999999999</v>
      </c>
      <c r="R4140">
        <v>27.011569999999999</v>
      </c>
      <c r="S4140">
        <v>22.930399999999999</v>
      </c>
      <c r="T4140">
        <v>1192.99</v>
      </c>
      <c r="U4140">
        <v>291</v>
      </c>
      <c r="V4140">
        <v>0</v>
      </c>
      <c r="W4140">
        <v>107</v>
      </c>
      <c r="X4140">
        <v>773.33680000000004</v>
      </c>
      <c r="Y4140">
        <v>2</v>
      </c>
      <c r="Z4140">
        <v>196.76859999999999</v>
      </c>
      <c r="AA4140">
        <v>3</v>
      </c>
      <c r="AB4140">
        <v>11.817080000000001</v>
      </c>
      <c r="AC4140">
        <v>4.4019929999999999E-2</v>
      </c>
      <c r="AD4140">
        <v>0.89897930000000004</v>
      </c>
      <c r="AE4140">
        <v>0.7301763</v>
      </c>
      <c r="AF4140">
        <v>825.92920000000004</v>
      </c>
      <c r="AG4140">
        <f>IFERROR(AH4140*0.1, "N/A")</f>
        <v>5.9994820000000004</v>
      </c>
      <c r="AH4140">
        <v>59.994819999999997</v>
      </c>
      <c r="AI4140">
        <v>144.35849999999999</v>
      </c>
      <c r="AJ4140">
        <v>19.060449999999999</v>
      </c>
      <c r="AK4140">
        <v>56.88946</v>
      </c>
    </row>
    <row r="4141" spans="1:37" x14ac:dyDescent="0.3">
      <c r="A4141">
        <v>4140</v>
      </c>
      <c r="B4141">
        <v>4.0999999999999996</v>
      </c>
      <c r="C4141">
        <v>9.0333299999999994</v>
      </c>
      <c r="D4141">
        <v>10.2333</v>
      </c>
      <c r="E4141" t="s">
        <v>6471</v>
      </c>
      <c r="F4141" t="s">
        <v>6473</v>
      </c>
      <c r="G4141" t="s">
        <v>37</v>
      </c>
      <c r="H4141">
        <v>1990</v>
      </c>
      <c r="I4141">
        <v>24.485150000000001</v>
      </c>
      <c r="J4141">
        <v>12.71157</v>
      </c>
      <c r="K4141">
        <v>62</v>
      </c>
      <c r="L4141">
        <v>17.18582</v>
      </c>
      <c r="M4141">
        <v>34.61157</v>
      </c>
      <c r="N4141">
        <v>14.273580000000001</v>
      </c>
      <c r="O4141">
        <v>20.338000000000001</v>
      </c>
      <c r="P4141">
        <v>23.2</v>
      </c>
      <c r="Q4141">
        <v>23.085149999999999</v>
      </c>
      <c r="R4141">
        <v>27.011569999999999</v>
      </c>
      <c r="S4141">
        <v>22.930399999999999</v>
      </c>
      <c r="T4141">
        <v>1192.99</v>
      </c>
      <c r="U4141">
        <v>291</v>
      </c>
      <c r="V4141">
        <v>0</v>
      </c>
      <c r="W4141">
        <v>107</v>
      </c>
      <c r="X4141">
        <v>773.33680000000004</v>
      </c>
      <c r="Y4141">
        <v>2</v>
      </c>
      <c r="Z4141">
        <v>196.76859999999999</v>
      </c>
      <c r="AA4141">
        <v>3</v>
      </c>
      <c r="AB4141">
        <v>11.817080000000001</v>
      </c>
      <c r="AC4141">
        <v>4.4019929999999999E-2</v>
      </c>
      <c r="AD4141">
        <v>0.89897930000000004</v>
      </c>
      <c r="AE4141">
        <v>0.7301763</v>
      </c>
      <c r="AF4141">
        <v>825.92920000000004</v>
      </c>
      <c r="AG4141">
        <f>IFERROR(AH4141*0.1, "N/A")</f>
        <v>5.9994820000000004</v>
      </c>
      <c r="AH4141">
        <v>59.994819999999997</v>
      </c>
      <c r="AI4141">
        <v>144.35849999999999</v>
      </c>
      <c r="AJ4141">
        <v>19.060449999999999</v>
      </c>
      <c r="AK4141">
        <v>56.88946</v>
      </c>
    </row>
    <row r="4142" spans="1:37" x14ac:dyDescent="0.3">
      <c r="A4142">
        <v>4141</v>
      </c>
      <c r="B4142">
        <v>18</v>
      </c>
      <c r="C4142">
        <v>9.1</v>
      </c>
      <c r="D4142">
        <v>10.166700000000001</v>
      </c>
      <c r="E4142" t="s">
        <v>6474</v>
      </c>
      <c r="F4142" t="s">
        <v>6475</v>
      </c>
      <c r="G4142" t="s">
        <v>39</v>
      </c>
      <c r="H4142">
        <v>1990</v>
      </c>
      <c r="I4142">
        <v>24.5</v>
      </c>
      <c r="J4142">
        <v>12.7</v>
      </c>
      <c r="K4142">
        <v>62</v>
      </c>
      <c r="L4142">
        <v>17.159569999999999</v>
      </c>
      <c r="M4142">
        <v>34.556800000000003</v>
      </c>
      <c r="N4142">
        <v>14.3</v>
      </c>
      <c r="O4142">
        <v>20.256799999999998</v>
      </c>
      <c r="P4142">
        <v>23.194320000000001</v>
      </c>
      <c r="Q4142">
        <v>23.1</v>
      </c>
      <c r="R4142">
        <v>27.056799999999999</v>
      </c>
      <c r="S4142">
        <v>22.9</v>
      </c>
      <c r="T4142">
        <v>1190.96</v>
      </c>
      <c r="U4142">
        <v>290</v>
      </c>
      <c r="V4142">
        <v>0</v>
      </c>
      <c r="W4142">
        <v>107</v>
      </c>
      <c r="X4142">
        <v>771.55079999999998</v>
      </c>
      <c r="Y4142">
        <v>1.488812</v>
      </c>
      <c r="Z4142">
        <v>196.4888</v>
      </c>
      <c r="AA4142">
        <v>2.4888119999999998</v>
      </c>
      <c r="AB4142">
        <v>5.4131010000000002</v>
      </c>
      <c r="AC4142">
        <v>7.6600799999999997E-2</v>
      </c>
      <c r="AD4142">
        <v>1.08064</v>
      </c>
      <c r="AE4142">
        <v>0.69815439999999995</v>
      </c>
      <c r="AF4142">
        <v>818.16010000000006</v>
      </c>
      <c r="AG4142">
        <f>IFERROR(AH4142*0.1, "N/A")</f>
        <v>5.8511190000000006</v>
      </c>
      <c r="AH4142">
        <v>58.511189999999999</v>
      </c>
      <c r="AI4142">
        <v>158.0308</v>
      </c>
      <c r="AJ4142">
        <v>22.21687</v>
      </c>
      <c r="AK4142">
        <v>55.356279999999998</v>
      </c>
    </row>
    <row r="4143" spans="1:37" x14ac:dyDescent="0.3">
      <c r="A4143">
        <v>4142</v>
      </c>
      <c r="B4143">
        <v>10.8</v>
      </c>
      <c r="C4143">
        <v>9.1</v>
      </c>
      <c r="D4143">
        <v>10.166700000000001</v>
      </c>
      <c r="E4143" t="s">
        <v>6474</v>
      </c>
      <c r="F4143" t="s">
        <v>6476</v>
      </c>
      <c r="G4143" t="s">
        <v>37</v>
      </c>
      <c r="H4143">
        <v>1990</v>
      </c>
      <c r="I4143">
        <v>24.5</v>
      </c>
      <c r="J4143">
        <v>12.7</v>
      </c>
      <c r="K4143">
        <v>62</v>
      </c>
      <c r="L4143">
        <v>17.159569999999999</v>
      </c>
      <c r="M4143">
        <v>34.556800000000003</v>
      </c>
      <c r="N4143">
        <v>14.3</v>
      </c>
      <c r="O4143">
        <v>20.256799999999998</v>
      </c>
      <c r="P4143">
        <v>23.194320000000001</v>
      </c>
      <c r="Q4143">
        <v>23.1</v>
      </c>
      <c r="R4143">
        <v>27.056799999999999</v>
      </c>
      <c r="S4143">
        <v>22.9</v>
      </c>
      <c r="T4143">
        <v>1190.96</v>
      </c>
      <c r="U4143">
        <v>290</v>
      </c>
      <c r="V4143">
        <v>0</v>
      </c>
      <c r="W4143">
        <v>107</v>
      </c>
      <c r="X4143">
        <v>771.55079999999998</v>
      </c>
      <c r="Y4143">
        <v>1.488812</v>
      </c>
      <c r="Z4143">
        <v>196.4888</v>
      </c>
      <c r="AA4143">
        <v>2.4888119999999998</v>
      </c>
      <c r="AB4143">
        <v>5.4131010000000002</v>
      </c>
      <c r="AC4143">
        <v>7.6600799999999997E-2</v>
      </c>
      <c r="AD4143">
        <v>1.08064</v>
      </c>
      <c r="AE4143">
        <v>0.69815439999999995</v>
      </c>
      <c r="AF4143">
        <v>818.16010000000006</v>
      </c>
      <c r="AG4143">
        <f>IFERROR(AH4143*0.1, "N/A")</f>
        <v>5.8511190000000006</v>
      </c>
      <c r="AH4143">
        <v>58.511189999999999</v>
      </c>
      <c r="AI4143">
        <v>158.0308</v>
      </c>
      <c r="AJ4143">
        <v>22.21687</v>
      </c>
      <c r="AK4143">
        <v>55.356279999999998</v>
      </c>
    </row>
    <row r="4144" spans="1:37" x14ac:dyDescent="0.3">
      <c r="A4144">
        <v>4143</v>
      </c>
      <c r="B4144">
        <v>2.6</v>
      </c>
      <c r="C4144">
        <v>9.1666699999999999</v>
      </c>
      <c r="D4144">
        <v>10.083299999999999</v>
      </c>
      <c r="E4144" t="s">
        <v>6477</v>
      </c>
      <c r="F4144" t="s">
        <v>6478</v>
      </c>
      <c r="G4144" t="s">
        <v>39</v>
      </c>
      <c r="H4144">
        <v>1990</v>
      </c>
      <c r="I4144">
        <v>24.100860000000001</v>
      </c>
      <c r="J4144">
        <v>12.6</v>
      </c>
      <c r="K4144">
        <v>62.220309999999998</v>
      </c>
      <c r="L4144">
        <v>17.090979999999998</v>
      </c>
      <c r="M4144">
        <v>34.123750000000001</v>
      </c>
      <c r="N4144">
        <v>14.044919999999999</v>
      </c>
      <c r="O4144">
        <v>20.07883</v>
      </c>
      <c r="P4144">
        <v>22.80086</v>
      </c>
      <c r="Q4144">
        <v>22.822890000000001</v>
      </c>
      <c r="R4144">
        <v>26.700859999999999</v>
      </c>
      <c r="S4144">
        <v>22.622890000000002</v>
      </c>
      <c r="T4144">
        <v>1194.864</v>
      </c>
      <c r="U4144">
        <v>287.22890000000001</v>
      </c>
      <c r="V4144">
        <v>0</v>
      </c>
      <c r="W4144">
        <v>106.2289</v>
      </c>
      <c r="X4144">
        <v>769.44920000000002</v>
      </c>
      <c r="Y4144">
        <v>2</v>
      </c>
      <c r="Z4144">
        <v>201.42339999999999</v>
      </c>
      <c r="AA4144">
        <v>3</v>
      </c>
      <c r="AB4144">
        <v>21.190200000000001</v>
      </c>
      <c r="AC4144">
        <v>1.073674E-2</v>
      </c>
      <c r="AD4144">
        <v>1.6658299999999999</v>
      </c>
      <c r="AE4144">
        <v>0.6987679</v>
      </c>
      <c r="AF4144">
        <v>893.47500000000002</v>
      </c>
      <c r="AG4144">
        <f>IFERROR(AH4144*0.1, "N/A")</f>
        <v>6.067298000000001</v>
      </c>
      <c r="AH4144">
        <v>60.672980000000003</v>
      </c>
      <c r="AI4144">
        <v>64.560500000000005</v>
      </c>
      <c r="AJ4144">
        <v>20.06024</v>
      </c>
      <c r="AK4144">
        <v>58.266779999999997</v>
      </c>
    </row>
    <row r="4145" spans="1:37" x14ac:dyDescent="0.3">
      <c r="A4145">
        <v>4144</v>
      </c>
      <c r="B4145">
        <v>1.9</v>
      </c>
      <c r="C4145">
        <v>9.1666699999999999</v>
      </c>
      <c r="D4145">
        <v>10.083299999999999</v>
      </c>
      <c r="E4145" t="s">
        <v>6477</v>
      </c>
      <c r="F4145" t="s">
        <v>6479</v>
      </c>
      <c r="G4145" t="s">
        <v>37</v>
      </c>
      <c r="H4145">
        <v>1990</v>
      </c>
      <c r="I4145">
        <v>24.100860000000001</v>
      </c>
      <c r="J4145">
        <v>12.6</v>
      </c>
      <c r="K4145">
        <v>62.220309999999998</v>
      </c>
      <c r="L4145">
        <v>17.090979999999998</v>
      </c>
      <c r="M4145">
        <v>34.123750000000001</v>
      </c>
      <c r="N4145">
        <v>14.044919999999999</v>
      </c>
      <c r="O4145">
        <v>20.07883</v>
      </c>
      <c r="P4145">
        <v>22.80086</v>
      </c>
      <c r="Q4145">
        <v>22.822890000000001</v>
      </c>
      <c r="R4145">
        <v>26.700859999999999</v>
      </c>
      <c r="S4145">
        <v>22.622890000000002</v>
      </c>
      <c r="T4145">
        <v>1194.864</v>
      </c>
      <c r="U4145">
        <v>287.22890000000001</v>
      </c>
      <c r="V4145">
        <v>0</v>
      </c>
      <c r="W4145">
        <v>106.2289</v>
      </c>
      <c r="X4145">
        <v>769.44920000000002</v>
      </c>
      <c r="Y4145">
        <v>2</v>
      </c>
      <c r="Z4145">
        <v>201.42339999999999</v>
      </c>
      <c r="AA4145">
        <v>3</v>
      </c>
      <c r="AB4145">
        <v>21.190200000000001</v>
      </c>
      <c r="AC4145">
        <v>1.073674E-2</v>
      </c>
      <c r="AD4145">
        <v>1.6658299999999999</v>
      </c>
      <c r="AE4145">
        <v>0.6987679</v>
      </c>
      <c r="AF4145">
        <v>893.47500000000002</v>
      </c>
      <c r="AG4145">
        <f>IFERROR(AH4145*0.1, "N/A")</f>
        <v>6.067298000000001</v>
      </c>
      <c r="AH4145">
        <v>60.672980000000003</v>
      </c>
      <c r="AI4145">
        <v>64.560500000000005</v>
      </c>
      <c r="AJ4145">
        <v>20.06024</v>
      </c>
      <c r="AK4145">
        <v>58.266779999999997</v>
      </c>
    </row>
    <row r="4146" spans="1:37" x14ac:dyDescent="0.3">
      <c r="A4146">
        <v>4145</v>
      </c>
      <c r="B4146">
        <v>7.85</v>
      </c>
      <c r="C4146">
        <v>3.98333</v>
      </c>
      <c r="D4146">
        <v>6.5833300000000001</v>
      </c>
      <c r="E4146" t="s">
        <v>6480</v>
      </c>
      <c r="F4146" t="s">
        <v>6481</v>
      </c>
      <c r="G4146" t="s">
        <v>39</v>
      </c>
      <c r="H4146">
        <v>1989</v>
      </c>
      <c r="I4146">
        <v>27.56521</v>
      </c>
      <c r="J4146">
        <v>7.4</v>
      </c>
      <c r="K4146">
        <v>69.840909999999994</v>
      </c>
      <c r="L4146">
        <v>11.488569999999999</v>
      </c>
      <c r="M4146">
        <v>33.281120000000001</v>
      </c>
      <c r="N4146">
        <v>22.749300000000002</v>
      </c>
      <c r="O4146">
        <v>10.53182</v>
      </c>
      <c r="P4146">
        <v>26.868179999999999</v>
      </c>
      <c r="Q4146">
        <v>28.165209999999998</v>
      </c>
      <c r="R4146">
        <v>28.962240000000001</v>
      </c>
      <c r="S4146">
        <v>25.865210000000001</v>
      </c>
      <c r="T4146">
        <v>1694.4770000000001</v>
      </c>
      <c r="U4146">
        <v>325.75</v>
      </c>
      <c r="V4146">
        <v>19</v>
      </c>
      <c r="W4146">
        <v>69.286709999999999</v>
      </c>
      <c r="X4146">
        <v>823.72029999999995</v>
      </c>
      <c r="Y4146">
        <v>77</v>
      </c>
      <c r="Z4146">
        <v>258.34789999999998</v>
      </c>
      <c r="AA4146">
        <v>587.00170000000003</v>
      </c>
      <c r="AB4146">
        <v>9.1884619999999995</v>
      </c>
      <c r="AC4146">
        <v>6.6173880000000004E-2</v>
      </c>
      <c r="AD4146">
        <v>2.479044</v>
      </c>
      <c r="AE4146">
        <v>0.76676219999999995</v>
      </c>
      <c r="AF4146">
        <v>8.6713290000000001</v>
      </c>
      <c r="AG4146">
        <f>IFERROR(AH4146*0.1, "N/A")</f>
        <v>5.4529719999999999</v>
      </c>
      <c r="AH4146">
        <v>54.529719999999998</v>
      </c>
      <c r="AI4146">
        <v>164.02629999999999</v>
      </c>
      <c r="AJ4146">
        <v>23.804200000000002</v>
      </c>
      <c r="AK4146">
        <v>56.279719999999998</v>
      </c>
    </row>
    <row r="4147" spans="1:37" x14ac:dyDescent="0.3">
      <c r="A4147">
        <v>4146</v>
      </c>
      <c r="B4147">
        <v>0</v>
      </c>
      <c r="C4147">
        <v>8.5</v>
      </c>
      <c r="D4147">
        <v>12.283300000000001</v>
      </c>
      <c r="E4147" t="s">
        <v>6482</v>
      </c>
      <c r="F4147" t="s">
        <v>6483</v>
      </c>
      <c r="G4147" t="s">
        <v>37</v>
      </c>
      <c r="H4147">
        <v>1988</v>
      </c>
      <c r="I4147">
        <v>26.3</v>
      </c>
      <c r="J4147">
        <v>14.5</v>
      </c>
      <c r="K4147">
        <v>55</v>
      </c>
      <c r="L4147">
        <v>30.107299999999999</v>
      </c>
      <c r="M4147">
        <v>38.579630000000002</v>
      </c>
      <c r="N4147">
        <v>12.6</v>
      </c>
      <c r="O4147">
        <v>25.97963</v>
      </c>
      <c r="P4147">
        <v>26.121390000000002</v>
      </c>
      <c r="Q4147">
        <v>22.5</v>
      </c>
      <c r="R4147">
        <v>30.27131</v>
      </c>
      <c r="S4147">
        <v>22.3</v>
      </c>
      <c r="T4147">
        <v>673.43290000000002</v>
      </c>
      <c r="U4147">
        <v>237.2869</v>
      </c>
      <c r="V4147">
        <v>0</v>
      </c>
      <c r="W4147">
        <v>136.42779999999999</v>
      </c>
      <c r="X4147">
        <v>518.35990000000004</v>
      </c>
      <c r="Y4147">
        <v>0</v>
      </c>
      <c r="Z4147">
        <v>143.07300000000001</v>
      </c>
      <c r="AA4147">
        <v>0</v>
      </c>
      <c r="AB4147">
        <v>7.9617959999999997</v>
      </c>
      <c r="AC4147">
        <v>6.8650249999999996E-2</v>
      </c>
      <c r="AD4147">
        <v>1.877318</v>
      </c>
      <c r="AE4147">
        <v>0.74978449999999996</v>
      </c>
      <c r="AF4147">
        <v>447.46690000000001</v>
      </c>
      <c r="AG4147">
        <f>IFERROR(AH4147*0.1, "N/A")</f>
        <v>6.2619690000000006</v>
      </c>
      <c r="AH4147">
        <v>62.619689999999999</v>
      </c>
      <c r="AI4147">
        <v>106.5857</v>
      </c>
      <c r="AJ4147">
        <v>12.62988</v>
      </c>
      <c r="AK4147">
        <v>66.918509999999998</v>
      </c>
    </row>
    <row r="4148" spans="1:37" x14ac:dyDescent="0.3">
      <c r="A4148">
        <v>4147</v>
      </c>
      <c r="B4148">
        <v>35.5</v>
      </c>
      <c r="C4148">
        <v>8.5</v>
      </c>
      <c r="D4148">
        <v>12.283300000000001</v>
      </c>
      <c r="E4148" t="s">
        <v>6482</v>
      </c>
      <c r="F4148" t="s">
        <v>6484</v>
      </c>
      <c r="G4148" t="s">
        <v>39</v>
      </c>
      <c r="H4148">
        <v>1988</v>
      </c>
      <c r="I4148">
        <v>26.3</v>
      </c>
      <c r="J4148">
        <v>14.5</v>
      </c>
      <c r="K4148">
        <v>55</v>
      </c>
      <c r="L4148">
        <v>30.107299999999999</v>
      </c>
      <c r="M4148">
        <v>38.579630000000002</v>
      </c>
      <c r="N4148">
        <v>12.6</v>
      </c>
      <c r="O4148">
        <v>25.97963</v>
      </c>
      <c r="P4148">
        <v>26.121390000000002</v>
      </c>
      <c r="Q4148">
        <v>22.5</v>
      </c>
      <c r="R4148">
        <v>30.27131</v>
      </c>
      <c r="S4148">
        <v>22.3</v>
      </c>
      <c r="T4148">
        <v>673.43290000000002</v>
      </c>
      <c r="U4148">
        <v>237.2869</v>
      </c>
      <c r="V4148">
        <v>0</v>
      </c>
      <c r="W4148">
        <v>136.42779999999999</v>
      </c>
      <c r="X4148">
        <v>518.35990000000004</v>
      </c>
      <c r="Y4148">
        <v>0</v>
      </c>
      <c r="Z4148">
        <v>143.07300000000001</v>
      </c>
      <c r="AA4148">
        <v>0</v>
      </c>
      <c r="AB4148">
        <v>7.9617959999999997</v>
      </c>
      <c r="AC4148">
        <v>6.8650249999999996E-2</v>
      </c>
      <c r="AD4148">
        <v>1.877318</v>
      </c>
      <c r="AE4148">
        <v>0.74978449999999996</v>
      </c>
      <c r="AF4148">
        <v>447.46690000000001</v>
      </c>
      <c r="AG4148">
        <f>IFERROR(AH4148*0.1, "N/A")</f>
        <v>6.2619690000000006</v>
      </c>
      <c r="AH4148">
        <v>62.619689999999999</v>
      </c>
      <c r="AI4148">
        <v>106.5857</v>
      </c>
      <c r="AJ4148">
        <v>12.62988</v>
      </c>
      <c r="AK4148">
        <v>66.918509999999998</v>
      </c>
    </row>
    <row r="4149" spans="1:37" x14ac:dyDescent="0.3">
      <c r="A4149">
        <v>4148</v>
      </c>
      <c r="B4149">
        <v>0</v>
      </c>
      <c r="C4149">
        <v>8.25</v>
      </c>
      <c r="D4149">
        <v>12</v>
      </c>
      <c r="E4149" t="s">
        <v>6485</v>
      </c>
      <c r="F4149" t="s">
        <v>6486</v>
      </c>
      <c r="G4149" t="s">
        <v>37</v>
      </c>
      <c r="H4149">
        <v>1988</v>
      </c>
      <c r="I4149">
        <v>25.87585</v>
      </c>
      <c r="J4149">
        <v>14</v>
      </c>
      <c r="K4149">
        <v>56</v>
      </c>
      <c r="L4149">
        <v>27.128879999999999</v>
      </c>
      <c r="M4149">
        <v>37.82058</v>
      </c>
      <c r="N4149">
        <v>13.044729999999999</v>
      </c>
      <c r="O4149">
        <v>24.775849999999998</v>
      </c>
      <c r="P4149">
        <v>25.275849999999998</v>
      </c>
      <c r="Q4149">
        <v>22.589459999999999</v>
      </c>
      <c r="R4149">
        <v>29.475850000000001</v>
      </c>
      <c r="S4149">
        <v>22.544730000000001</v>
      </c>
      <c r="T4149">
        <v>790.17179999999996</v>
      </c>
      <c r="U4149">
        <v>261</v>
      </c>
      <c r="V4149">
        <v>0</v>
      </c>
      <c r="W4149">
        <v>129.517</v>
      </c>
      <c r="X4149">
        <v>584.93029999999999</v>
      </c>
      <c r="Y4149">
        <v>0</v>
      </c>
      <c r="Z4149">
        <v>73.241500000000002</v>
      </c>
      <c r="AA4149">
        <v>0</v>
      </c>
      <c r="AB4149">
        <v>3.096276</v>
      </c>
      <c r="AC4149">
        <v>0.19182289999999999</v>
      </c>
      <c r="AD4149">
        <v>1.574314</v>
      </c>
      <c r="AE4149">
        <v>0.75751590000000002</v>
      </c>
      <c r="AF4149">
        <v>514.34349999999995</v>
      </c>
      <c r="AG4149">
        <f>IFERROR(AH4149*0.1, "N/A")</f>
        <v>5.9602040000000009</v>
      </c>
      <c r="AH4149">
        <v>59.602040000000002</v>
      </c>
      <c r="AI4149">
        <v>246.51150000000001</v>
      </c>
      <c r="AJ4149">
        <v>12.602040000000001</v>
      </c>
      <c r="AK4149">
        <v>65.397959999999998</v>
      </c>
    </row>
    <row r="4150" spans="1:37" x14ac:dyDescent="0.3">
      <c r="A4150">
        <v>4149</v>
      </c>
      <c r="B4150">
        <v>42.5</v>
      </c>
      <c r="C4150">
        <v>8.25</v>
      </c>
      <c r="D4150">
        <v>12</v>
      </c>
      <c r="E4150" t="s">
        <v>6485</v>
      </c>
      <c r="F4150" t="s">
        <v>6487</v>
      </c>
      <c r="G4150" t="s">
        <v>39</v>
      </c>
      <c r="H4150">
        <v>1988</v>
      </c>
      <c r="I4150">
        <v>25.87585</v>
      </c>
      <c r="J4150">
        <v>14</v>
      </c>
      <c r="K4150">
        <v>56</v>
      </c>
      <c r="L4150">
        <v>27.128879999999999</v>
      </c>
      <c r="M4150">
        <v>37.82058</v>
      </c>
      <c r="N4150">
        <v>13.044729999999999</v>
      </c>
      <c r="O4150">
        <v>24.775849999999998</v>
      </c>
      <c r="P4150">
        <v>25.275849999999998</v>
      </c>
      <c r="Q4150">
        <v>22.589459999999999</v>
      </c>
      <c r="R4150">
        <v>29.475850000000001</v>
      </c>
      <c r="S4150">
        <v>22.544730000000001</v>
      </c>
      <c r="T4150">
        <v>790.17179999999996</v>
      </c>
      <c r="U4150">
        <v>261</v>
      </c>
      <c r="V4150">
        <v>0</v>
      </c>
      <c r="W4150">
        <v>129.517</v>
      </c>
      <c r="X4150">
        <v>584.93029999999999</v>
      </c>
      <c r="Y4150">
        <v>0</v>
      </c>
      <c r="Z4150">
        <v>73.241500000000002</v>
      </c>
      <c r="AA4150">
        <v>0</v>
      </c>
      <c r="AB4150">
        <v>3.096276</v>
      </c>
      <c r="AC4150">
        <v>0.19182289999999999</v>
      </c>
      <c r="AD4150">
        <v>1.574314</v>
      </c>
      <c r="AE4150">
        <v>0.75751590000000002</v>
      </c>
      <c r="AF4150">
        <v>514.34349999999995</v>
      </c>
      <c r="AG4150">
        <f>IFERROR(AH4150*0.1, "N/A")</f>
        <v>5.9602040000000009</v>
      </c>
      <c r="AH4150">
        <v>59.602040000000002</v>
      </c>
      <c r="AI4150">
        <v>246.51150000000001</v>
      </c>
      <c r="AJ4150">
        <v>12.602040000000001</v>
      </c>
      <c r="AK4150">
        <v>65.397959999999998</v>
      </c>
    </row>
    <row r="4151" spans="1:37" x14ac:dyDescent="0.3">
      <c r="A4151">
        <v>4150</v>
      </c>
      <c r="B4151">
        <v>6.2</v>
      </c>
      <c r="C4151">
        <v>4.7333299999999996</v>
      </c>
      <c r="D4151">
        <v>7.6166700000000001</v>
      </c>
      <c r="E4151" t="s">
        <v>6488</v>
      </c>
      <c r="F4151" t="s">
        <v>6489</v>
      </c>
      <c r="G4151" t="s">
        <v>39</v>
      </c>
      <c r="H4151">
        <v>1987</v>
      </c>
      <c r="I4151">
        <v>25.564409999999999</v>
      </c>
      <c r="J4151">
        <v>9.9</v>
      </c>
      <c r="K4151">
        <v>70.121530000000007</v>
      </c>
      <c r="L4151">
        <v>12.39326</v>
      </c>
      <c r="M4151">
        <v>33.278129999999997</v>
      </c>
      <c r="N4151">
        <v>19.25122</v>
      </c>
      <c r="O4151">
        <v>14.026910000000001</v>
      </c>
      <c r="P4151">
        <v>24.225349999999999</v>
      </c>
      <c r="Q4151">
        <v>25.990279999999998</v>
      </c>
      <c r="R4151">
        <v>27.064409999999999</v>
      </c>
      <c r="S4151">
        <v>23.764410000000002</v>
      </c>
      <c r="T4151">
        <v>1319.184</v>
      </c>
      <c r="U4151">
        <v>217.60939999999999</v>
      </c>
      <c r="V4151">
        <v>9</v>
      </c>
      <c r="W4151">
        <v>63</v>
      </c>
      <c r="X4151">
        <v>529.47739999999999</v>
      </c>
      <c r="Y4151">
        <v>50</v>
      </c>
      <c r="Z4151">
        <v>236.35589999999999</v>
      </c>
      <c r="AA4151">
        <v>508.56939999999997</v>
      </c>
      <c r="AB4151">
        <v>12.610939999999999</v>
      </c>
      <c r="AC4151">
        <v>9.6361539999999992E-3</v>
      </c>
      <c r="AD4151">
        <v>2.5336699999999999</v>
      </c>
      <c r="AE4151">
        <v>0.91620420000000002</v>
      </c>
      <c r="AF4151">
        <v>386.22399999999999</v>
      </c>
      <c r="AG4151">
        <f>IFERROR(AH4151*0.1, "N/A")</f>
        <v>5.9378470000000005</v>
      </c>
      <c r="AH4151">
        <v>59.37847</v>
      </c>
      <c r="AI4151">
        <v>306.51369999999997</v>
      </c>
      <c r="AJ4151">
        <v>19.217009999999998</v>
      </c>
      <c r="AK4151">
        <v>62.77431</v>
      </c>
    </row>
    <row r="4152" spans="1:37" x14ac:dyDescent="0.3">
      <c r="A4152">
        <v>4151</v>
      </c>
      <c r="B4152">
        <v>35.799999999999997</v>
      </c>
      <c r="C4152">
        <v>4.7455600000000002</v>
      </c>
      <c r="D4152">
        <v>10.833299999999999</v>
      </c>
      <c r="E4152" t="s">
        <v>6490</v>
      </c>
      <c r="F4152" t="s">
        <v>6491</v>
      </c>
      <c r="G4152" t="s">
        <v>39</v>
      </c>
      <c r="H4152">
        <v>1986</v>
      </c>
      <c r="I4152">
        <v>27.0214</v>
      </c>
      <c r="J4152">
        <v>13.1</v>
      </c>
      <c r="K4152">
        <v>54</v>
      </c>
      <c r="L4152">
        <v>21.812110000000001</v>
      </c>
      <c r="M4152">
        <v>38.121400000000001</v>
      </c>
      <c r="N4152">
        <v>14.221399999999999</v>
      </c>
      <c r="O4152">
        <v>23.9</v>
      </c>
      <c r="P4152">
        <v>25.5214</v>
      </c>
      <c r="Q4152">
        <v>25.621400000000001</v>
      </c>
      <c r="R4152">
        <v>30.34281</v>
      </c>
      <c r="S4152">
        <v>24.921399999999998</v>
      </c>
      <c r="T4152">
        <v>974.57190000000003</v>
      </c>
      <c r="U4152">
        <v>236</v>
      </c>
      <c r="V4152">
        <v>0</v>
      </c>
      <c r="W4152">
        <v>107</v>
      </c>
      <c r="X4152">
        <v>636.78599999999994</v>
      </c>
      <c r="Y4152">
        <v>1</v>
      </c>
      <c r="Z4152">
        <v>135.786</v>
      </c>
      <c r="AA4152">
        <v>2</v>
      </c>
      <c r="AB4152">
        <v>9.7116419999999994</v>
      </c>
      <c r="AC4152">
        <v>3.9849679999999998E-2</v>
      </c>
      <c r="AD4152">
        <v>2.638029</v>
      </c>
      <c r="AE4152">
        <v>0.86997389999999997</v>
      </c>
      <c r="AF4152">
        <v>159.8322</v>
      </c>
      <c r="AG4152">
        <f>IFERROR(AH4152*0.1, "N/A")</f>
        <v>5.9114730000000009</v>
      </c>
      <c r="AH4152">
        <v>59.114730000000002</v>
      </c>
      <c r="AI4152">
        <v>246.44399999999999</v>
      </c>
      <c r="AJ4152">
        <v>22.311640000000001</v>
      </c>
      <c r="AK4152">
        <v>56.390410000000003</v>
      </c>
    </row>
    <row r="4153" spans="1:37" x14ac:dyDescent="0.3">
      <c r="A4153">
        <v>4152</v>
      </c>
      <c r="B4153">
        <v>6.14</v>
      </c>
      <c r="C4153">
        <v>4.7455600000000002</v>
      </c>
      <c r="D4153">
        <v>10.833299999999999</v>
      </c>
      <c r="E4153" t="s">
        <v>6490</v>
      </c>
      <c r="F4153" t="s">
        <v>6492</v>
      </c>
      <c r="G4153" t="s">
        <v>37</v>
      </c>
      <c r="H4153">
        <v>1986</v>
      </c>
      <c r="I4153">
        <v>27.0214</v>
      </c>
      <c r="J4153">
        <v>13.1</v>
      </c>
      <c r="K4153">
        <v>54</v>
      </c>
      <c r="L4153">
        <v>21.812110000000001</v>
      </c>
      <c r="M4153">
        <v>38.121400000000001</v>
      </c>
      <c r="N4153">
        <v>14.221399999999999</v>
      </c>
      <c r="O4153">
        <v>23.9</v>
      </c>
      <c r="P4153">
        <v>25.5214</v>
      </c>
      <c r="Q4153">
        <v>25.621400000000001</v>
      </c>
      <c r="R4153">
        <v>30.34281</v>
      </c>
      <c r="S4153">
        <v>24.921399999999998</v>
      </c>
      <c r="T4153">
        <v>974.57190000000003</v>
      </c>
      <c r="U4153">
        <v>236</v>
      </c>
      <c r="V4153">
        <v>0</v>
      </c>
      <c r="W4153">
        <v>107</v>
      </c>
      <c r="X4153">
        <v>636.78599999999994</v>
      </c>
      <c r="Y4153">
        <v>1</v>
      </c>
      <c r="Z4153">
        <v>135.786</v>
      </c>
      <c r="AA4153">
        <v>2</v>
      </c>
      <c r="AB4153">
        <v>9.7116419999999994</v>
      </c>
      <c r="AC4153">
        <v>3.9849679999999998E-2</v>
      </c>
      <c r="AD4153">
        <v>2.638029</v>
      </c>
      <c r="AE4153">
        <v>0.86997389999999997</v>
      </c>
      <c r="AF4153">
        <v>159.8322</v>
      </c>
      <c r="AG4153">
        <f>IFERROR(AH4153*0.1, "N/A")</f>
        <v>5.9114730000000009</v>
      </c>
      <c r="AH4153">
        <v>59.114730000000002</v>
      </c>
      <c r="AI4153">
        <v>246.44399999999999</v>
      </c>
      <c r="AJ4153">
        <v>22.311640000000001</v>
      </c>
      <c r="AK4153">
        <v>56.390410000000003</v>
      </c>
    </row>
    <row r="4154" spans="1:37" x14ac:dyDescent="0.3">
      <c r="A4154">
        <v>4153</v>
      </c>
      <c r="B4154">
        <v>34.299999999999997</v>
      </c>
      <c r="C4154">
        <v>4.7472200000000004</v>
      </c>
      <c r="D4154">
        <v>10.8583</v>
      </c>
      <c r="E4154" t="s">
        <v>6493</v>
      </c>
      <c r="F4154" t="s">
        <v>6494</v>
      </c>
      <c r="G4154" t="s">
        <v>39</v>
      </c>
      <c r="H4154">
        <v>1986</v>
      </c>
      <c r="I4154">
        <v>27.180759999999999</v>
      </c>
      <c r="J4154">
        <v>13.1</v>
      </c>
      <c r="K4154">
        <v>54</v>
      </c>
      <c r="L4154">
        <v>21.83691</v>
      </c>
      <c r="M4154">
        <v>38.200000000000003</v>
      </c>
      <c r="N4154">
        <v>14.3</v>
      </c>
      <c r="O4154">
        <v>23.9</v>
      </c>
      <c r="P4154">
        <v>25.7</v>
      </c>
      <c r="Q4154">
        <v>25.7</v>
      </c>
      <c r="R4154">
        <v>30.48076</v>
      </c>
      <c r="S4154">
        <v>25</v>
      </c>
      <c r="T4154">
        <v>969</v>
      </c>
      <c r="U4154">
        <v>236</v>
      </c>
      <c r="V4154">
        <v>0</v>
      </c>
      <c r="W4154">
        <v>108</v>
      </c>
      <c r="X4154">
        <v>634</v>
      </c>
      <c r="Y4154">
        <v>1</v>
      </c>
      <c r="Z4154">
        <v>134</v>
      </c>
      <c r="AA4154">
        <v>2</v>
      </c>
      <c r="AB4154">
        <v>11.962199999999999</v>
      </c>
      <c r="AC4154">
        <v>6.1843960000000003E-2</v>
      </c>
      <c r="AD4154">
        <v>1.58721</v>
      </c>
      <c r="AE4154">
        <v>0.76727389999999995</v>
      </c>
      <c r="AF4154">
        <v>148.4914</v>
      </c>
      <c r="AG4154">
        <f>IFERROR(AH4154*0.1, "N/A")</f>
        <v>5.9745699999999999</v>
      </c>
      <c r="AH4154">
        <v>59.745699999999999</v>
      </c>
      <c r="AI4154">
        <v>292.94940000000003</v>
      </c>
      <c r="AJ4154">
        <v>18.390029999999999</v>
      </c>
      <c r="AK4154">
        <v>60.709620000000001</v>
      </c>
    </row>
    <row r="4155" spans="1:37" x14ac:dyDescent="0.3">
      <c r="A4155">
        <v>4154</v>
      </c>
      <c r="B4155">
        <v>3.57</v>
      </c>
      <c r="C4155">
        <v>4.7472200000000004</v>
      </c>
      <c r="D4155">
        <v>10.8583</v>
      </c>
      <c r="E4155" t="s">
        <v>6493</v>
      </c>
      <c r="F4155" t="s">
        <v>6495</v>
      </c>
      <c r="G4155" t="s">
        <v>37</v>
      </c>
      <c r="H4155">
        <v>1986</v>
      </c>
      <c r="I4155">
        <v>27.180759999999999</v>
      </c>
      <c r="J4155">
        <v>13.1</v>
      </c>
      <c r="K4155">
        <v>54</v>
      </c>
      <c r="L4155">
        <v>21.83691</v>
      </c>
      <c r="M4155">
        <v>38.200000000000003</v>
      </c>
      <c r="N4155">
        <v>14.3</v>
      </c>
      <c r="O4155">
        <v>23.9</v>
      </c>
      <c r="P4155">
        <v>25.7</v>
      </c>
      <c r="Q4155">
        <v>25.7</v>
      </c>
      <c r="R4155">
        <v>30.48076</v>
      </c>
      <c r="S4155">
        <v>25</v>
      </c>
      <c r="T4155">
        <v>969</v>
      </c>
      <c r="U4155">
        <v>236</v>
      </c>
      <c r="V4155">
        <v>0</v>
      </c>
      <c r="W4155">
        <v>108</v>
      </c>
      <c r="X4155">
        <v>634</v>
      </c>
      <c r="Y4155">
        <v>1</v>
      </c>
      <c r="Z4155">
        <v>134</v>
      </c>
      <c r="AA4155">
        <v>2</v>
      </c>
      <c r="AB4155">
        <v>11.962199999999999</v>
      </c>
      <c r="AC4155">
        <v>6.1843960000000003E-2</v>
      </c>
      <c r="AD4155">
        <v>1.58721</v>
      </c>
      <c r="AE4155">
        <v>0.76727389999999995</v>
      </c>
      <c r="AF4155">
        <v>148.4914</v>
      </c>
      <c r="AG4155">
        <f>IFERROR(AH4155*0.1, "N/A")</f>
        <v>5.9745699999999999</v>
      </c>
      <c r="AH4155">
        <v>59.745699999999999</v>
      </c>
      <c r="AI4155">
        <v>292.94940000000003</v>
      </c>
      <c r="AJ4155">
        <v>18.390029999999999</v>
      </c>
      <c r="AK4155">
        <v>60.709620000000001</v>
      </c>
    </row>
    <row r="4156" spans="1:37" x14ac:dyDescent="0.3">
      <c r="A4156">
        <v>4155</v>
      </c>
      <c r="B4156">
        <v>35.9</v>
      </c>
      <c r="C4156">
        <v>4.6833299999999998</v>
      </c>
      <c r="D4156">
        <v>10.3667</v>
      </c>
      <c r="E4156" t="s">
        <v>6496</v>
      </c>
      <c r="F4156" t="s">
        <v>6497</v>
      </c>
      <c r="G4156" t="s">
        <v>39</v>
      </c>
      <c r="H4156">
        <v>1986</v>
      </c>
      <c r="I4156">
        <v>27.31155</v>
      </c>
      <c r="J4156">
        <v>12.8</v>
      </c>
      <c r="K4156">
        <v>56.481029999999997</v>
      </c>
      <c r="L4156">
        <v>19.291830000000001</v>
      </c>
      <c r="M4156">
        <v>38</v>
      </c>
      <c r="N4156">
        <v>15.5481</v>
      </c>
      <c r="O4156">
        <v>22.451899999999998</v>
      </c>
      <c r="P4156">
        <v>25.711549999999999</v>
      </c>
      <c r="Q4156">
        <v>26.444140000000001</v>
      </c>
      <c r="R4156">
        <v>30.211549999999999</v>
      </c>
      <c r="S4156">
        <v>25.711549999999999</v>
      </c>
      <c r="T4156">
        <v>1049.057</v>
      </c>
      <c r="U4156">
        <v>231.6345</v>
      </c>
      <c r="V4156">
        <v>0</v>
      </c>
      <c r="W4156">
        <v>101</v>
      </c>
      <c r="X4156">
        <v>649.96029999999996</v>
      </c>
      <c r="Y4156">
        <v>2.3655170000000001</v>
      </c>
      <c r="Z4156">
        <v>164.73099999999999</v>
      </c>
      <c r="AA4156">
        <v>649.96029999999996</v>
      </c>
      <c r="AB4156">
        <v>0.3329317</v>
      </c>
      <c r="AC4156">
        <v>0.77749520000000005</v>
      </c>
      <c r="AD4156">
        <v>1.3779110000000001</v>
      </c>
      <c r="AE4156">
        <v>0.67455699999999996</v>
      </c>
      <c r="AF4156">
        <v>140.31720000000001</v>
      </c>
      <c r="AG4156">
        <f>IFERROR(AH4156*0.1, "N/A")</f>
        <v>6.1844830000000002</v>
      </c>
      <c r="AH4156">
        <v>61.844830000000002</v>
      </c>
      <c r="AI4156">
        <v>165.80619999999999</v>
      </c>
      <c r="AJ4156">
        <v>20.155169999999998</v>
      </c>
      <c r="AK4156">
        <v>59</v>
      </c>
    </row>
    <row r="4157" spans="1:37" x14ac:dyDescent="0.3">
      <c r="A4157">
        <v>4156</v>
      </c>
      <c r="B4157">
        <v>1.1000000000000001</v>
      </c>
      <c r="C4157">
        <v>4.6833299999999998</v>
      </c>
      <c r="D4157">
        <v>10.3667</v>
      </c>
      <c r="E4157" t="s">
        <v>6496</v>
      </c>
      <c r="F4157" t="s">
        <v>6498</v>
      </c>
      <c r="G4157" t="s">
        <v>37</v>
      </c>
      <c r="H4157">
        <v>1986</v>
      </c>
      <c r="I4157">
        <v>27.31155</v>
      </c>
      <c r="J4157">
        <v>12.8</v>
      </c>
      <c r="K4157">
        <v>56.481029999999997</v>
      </c>
      <c r="L4157">
        <v>19.291830000000001</v>
      </c>
      <c r="M4157">
        <v>38</v>
      </c>
      <c r="N4157">
        <v>15.5481</v>
      </c>
      <c r="O4157">
        <v>22.451899999999998</v>
      </c>
      <c r="P4157">
        <v>25.711549999999999</v>
      </c>
      <c r="Q4157">
        <v>26.444140000000001</v>
      </c>
      <c r="R4157">
        <v>30.211549999999999</v>
      </c>
      <c r="S4157">
        <v>25.711549999999999</v>
      </c>
      <c r="T4157">
        <v>1049.057</v>
      </c>
      <c r="U4157">
        <v>231.6345</v>
      </c>
      <c r="V4157">
        <v>0</v>
      </c>
      <c r="W4157">
        <v>101</v>
      </c>
      <c r="X4157">
        <v>649.96029999999996</v>
      </c>
      <c r="Y4157">
        <v>2.3655170000000001</v>
      </c>
      <c r="Z4157">
        <v>164.73099999999999</v>
      </c>
      <c r="AA4157">
        <v>649.96029999999996</v>
      </c>
      <c r="AB4157">
        <v>0.3329317</v>
      </c>
      <c r="AC4157">
        <v>0.77749520000000005</v>
      </c>
      <c r="AD4157">
        <v>1.3779110000000001</v>
      </c>
      <c r="AE4157">
        <v>0.67455699999999996</v>
      </c>
      <c r="AF4157">
        <v>140.31720000000001</v>
      </c>
      <c r="AG4157">
        <f>IFERROR(AH4157*0.1, "N/A")</f>
        <v>6.1844830000000002</v>
      </c>
      <c r="AH4157">
        <v>61.844830000000002</v>
      </c>
      <c r="AI4157">
        <v>165.80619999999999</v>
      </c>
      <c r="AJ4157">
        <v>20.155169999999998</v>
      </c>
      <c r="AK4157">
        <v>59</v>
      </c>
    </row>
    <row r="4158" spans="1:37" x14ac:dyDescent="0.3">
      <c r="A4158">
        <v>4157</v>
      </c>
      <c r="B4158">
        <v>9.3000000000000007</v>
      </c>
      <c r="C4158">
        <v>4.6333299999999999</v>
      </c>
      <c r="D4158">
        <v>10.4833</v>
      </c>
      <c r="E4158" t="s">
        <v>6499</v>
      </c>
      <c r="F4158" t="s">
        <v>6500</v>
      </c>
      <c r="G4158" t="s">
        <v>39</v>
      </c>
      <c r="H4158">
        <v>1986</v>
      </c>
      <c r="I4158">
        <v>27.28276</v>
      </c>
      <c r="J4158">
        <v>12.9</v>
      </c>
      <c r="K4158">
        <v>56</v>
      </c>
      <c r="L4158">
        <v>19.938859999999998</v>
      </c>
      <c r="M4158">
        <v>38.064329999999998</v>
      </c>
      <c r="N4158">
        <v>15.3</v>
      </c>
      <c r="O4158">
        <v>22.764330000000001</v>
      </c>
      <c r="P4158">
        <v>25.664339999999999</v>
      </c>
      <c r="Q4158">
        <v>26.264330000000001</v>
      </c>
      <c r="R4158">
        <v>30.331060000000001</v>
      </c>
      <c r="S4158">
        <v>25.633279999999999</v>
      </c>
      <c r="T4158">
        <v>1030.104</v>
      </c>
      <c r="U4158">
        <v>234.17240000000001</v>
      </c>
      <c r="V4158">
        <v>0</v>
      </c>
      <c r="W4158">
        <v>102.81570000000001</v>
      </c>
      <c r="X4158">
        <v>646.7133</v>
      </c>
      <c r="Y4158">
        <v>2</v>
      </c>
      <c r="Z4158">
        <v>157.18430000000001</v>
      </c>
      <c r="AA4158">
        <v>216.9676</v>
      </c>
      <c r="AB4158">
        <v>9.6616040000000005</v>
      </c>
      <c r="AC4158">
        <v>2.895435E-2</v>
      </c>
      <c r="AD4158">
        <v>3.064343</v>
      </c>
      <c r="AE4158">
        <v>0.33265739999999999</v>
      </c>
      <c r="AF4158">
        <v>142.07849999999999</v>
      </c>
      <c r="AG4158">
        <f>IFERROR(AH4158*0.1, "N/A")</f>
        <v>6.1573380000000002</v>
      </c>
      <c r="AH4158">
        <v>61.57338</v>
      </c>
      <c r="AI4158">
        <v>250.55340000000001</v>
      </c>
      <c r="AJ4158">
        <v>29.356660000000002</v>
      </c>
      <c r="AK4158">
        <v>47.28669</v>
      </c>
    </row>
    <row r="4159" spans="1:37" x14ac:dyDescent="0.3">
      <c r="A4159">
        <v>4158</v>
      </c>
      <c r="B4159">
        <v>5.3</v>
      </c>
      <c r="C4159">
        <v>4.6333299999999999</v>
      </c>
      <c r="D4159">
        <v>10.4833</v>
      </c>
      <c r="E4159" t="s">
        <v>6499</v>
      </c>
      <c r="F4159" t="s">
        <v>6501</v>
      </c>
      <c r="G4159" t="s">
        <v>37</v>
      </c>
      <c r="H4159">
        <v>1986</v>
      </c>
      <c r="I4159">
        <v>27.28276</v>
      </c>
      <c r="J4159">
        <v>12.9</v>
      </c>
      <c r="K4159">
        <v>56</v>
      </c>
      <c r="L4159">
        <v>19.938859999999998</v>
      </c>
      <c r="M4159">
        <v>38.064329999999998</v>
      </c>
      <c r="N4159">
        <v>15.3</v>
      </c>
      <c r="O4159">
        <v>22.764330000000001</v>
      </c>
      <c r="P4159">
        <v>25.664339999999999</v>
      </c>
      <c r="Q4159">
        <v>26.264330000000001</v>
      </c>
      <c r="R4159">
        <v>30.331060000000001</v>
      </c>
      <c r="S4159">
        <v>25.633279999999999</v>
      </c>
      <c r="T4159">
        <v>1030.104</v>
      </c>
      <c r="U4159">
        <v>234.17240000000001</v>
      </c>
      <c r="V4159">
        <v>0</v>
      </c>
      <c r="W4159">
        <v>102.81570000000001</v>
      </c>
      <c r="X4159">
        <v>646.7133</v>
      </c>
      <c r="Y4159">
        <v>2</v>
      </c>
      <c r="Z4159">
        <v>157.18430000000001</v>
      </c>
      <c r="AA4159">
        <v>216.9676</v>
      </c>
      <c r="AB4159">
        <v>9.6616040000000005</v>
      </c>
      <c r="AC4159">
        <v>2.895435E-2</v>
      </c>
      <c r="AD4159">
        <v>3.064343</v>
      </c>
      <c r="AE4159">
        <v>0.33265739999999999</v>
      </c>
      <c r="AF4159">
        <v>142.07849999999999</v>
      </c>
      <c r="AG4159">
        <f>IFERROR(AH4159*0.1, "N/A")</f>
        <v>6.1573380000000002</v>
      </c>
      <c r="AH4159">
        <v>61.57338</v>
      </c>
      <c r="AI4159">
        <v>250.55340000000001</v>
      </c>
      <c r="AJ4159">
        <v>29.356660000000002</v>
      </c>
      <c r="AK4159">
        <v>47.28669</v>
      </c>
    </row>
    <row r="4160" spans="1:37" x14ac:dyDescent="0.3">
      <c r="A4160">
        <v>4159</v>
      </c>
      <c r="B4160">
        <v>27.8</v>
      </c>
      <c r="C4160">
        <v>4.6416700000000004</v>
      </c>
      <c r="D4160">
        <v>10.475</v>
      </c>
      <c r="E4160" t="s">
        <v>6502</v>
      </c>
      <c r="F4160" t="s">
        <v>6503</v>
      </c>
      <c r="G4160" t="s">
        <v>39</v>
      </c>
      <c r="H4160">
        <v>1986</v>
      </c>
      <c r="I4160">
        <v>27.242540000000002</v>
      </c>
      <c r="J4160">
        <v>12.9</v>
      </c>
      <c r="K4160">
        <v>56</v>
      </c>
      <c r="L4160">
        <v>19.881219999999999</v>
      </c>
      <c r="M4160">
        <v>38.0319</v>
      </c>
      <c r="N4160">
        <v>15.312010000000001</v>
      </c>
      <c r="O4160">
        <v>22.719899999999999</v>
      </c>
      <c r="P4160">
        <v>25.631900000000002</v>
      </c>
      <c r="Q4160">
        <v>26.263809999999999</v>
      </c>
      <c r="R4160">
        <v>30.242540000000002</v>
      </c>
      <c r="S4160">
        <v>25.574439999999999</v>
      </c>
      <c r="T4160">
        <v>1033.864</v>
      </c>
      <c r="U4160">
        <v>234.19900000000001</v>
      </c>
      <c r="V4160">
        <v>0</v>
      </c>
      <c r="W4160">
        <v>102.319</v>
      </c>
      <c r="X4160">
        <v>647.93650000000002</v>
      </c>
      <c r="Y4160">
        <v>2</v>
      </c>
      <c r="Z4160">
        <v>158.75129999999999</v>
      </c>
      <c r="AA4160">
        <v>208.14240000000001</v>
      </c>
      <c r="AB4160">
        <v>11.853</v>
      </c>
      <c r="AC4160">
        <v>8.711056E-3</v>
      </c>
      <c r="AD4160">
        <v>1.397427</v>
      </c>
      <c r="AE4160">
        <v>0.49633699999999997</v>
      </c>
      <c r="AF4160">
        <v>150.5111</v>
      </c>
      <c r="AG4160">
        <f>IFERROR(AH4160*0.1, "N/A")</f>
        <v>5.6600340000000005</v>
      </c>
      <c r="AH4160">
        <v>56.600340000000003</v>
      </c>
      <c r="AI4160">
        <v>173.50450000000001</v>
      </c>
      <c r="AJ4160">
        <v>22.65523</v>
      </c>
      <c r="AK4160">
        <v>55.40652</v>
      </c>
    </row>
    <row r="4161" spans="1:37" x14ac:dyDescent="0.3">
      <c r="A4161">
        <v>4160</v>
      </c>
      <c r="B4161">
        <v>0</v>
      </c>
      <c r="C4161">
        <v>4.6416700000000004</v>
      </c>
      <c r="D4161">
        <v>10.475</v>
      </c>
      <c r="E4161" t="s">
        <v>6502</v>
      </c>
      <c r="F4161" t="s">
        <v>6504</v>
      </c>
      <c r="G4161" t="s">
        <v>37</v>
      </c>
      <c r="H4161">
        <v>1986</v>
      </c>
      <c r="I4161">
        <v>27.242540000000002</v>
      </c>
      <c r="J4161">
        <v>12.9</v>
      </c>
      <c r="K4161">
        <v>56</v>
      </c>
      <c r="L4161">
        <v>19.881219999999999</v>
      </c>
      <c r="M4161">
        <v>38.0319</v>
      </c>
      <c r="N4161">
        <v>15.312010000000001</v>
      </c>
      <c r="O4161">
        <v>22.719899999999999</v>
      </c>
      <c r="P4161">
        <v>25.631900000000002</v>
      </c>
      <c r="Q4161">
        <v>26.263809999999999</v>
      </c>
      <c r="R4161">
        <v>30.242540000000002</v>
      </c>
      <c r="S4161">
        <v>25.574439999999999</v>
      </c>
      <c r="T4161">
        <v>1033.864</v>
      </c>
      <c r="U4161">
        <v>234.19900000000001</v>
      </c>
      <c r="V4161">
        <v>0</v>
      </c>
      <c r="W4161">
        <v>102.319</v>
      </c>
      <c r="X4161">
        <v>647.93650000000002</v>
      </c>
      <c r="Y4161">
        <v>2</v>
      </c>
      <c r="Z4161">
        <v>158.75129999999999</v>
      </c>
      <c r="AA4161">
        <v>208.14240000000001</v>
      </c>
      <c r="AB4161">
        <v>11.853</v>
      </c>
      <c r="AC4161">
        <v>8.711056E-3</v>
      </c>
      <c r="AD4161">
        <v>1.397427</v>
      </c>
      <c r="AE4161">
        <v>0.49633699999999997</v>
      </c>
      <c r="AF4161">
        <v>150.5111</v>
      </c>
      <c r="AG4161">
        <f>IFERROR(AH4161*0.1, "N/A")</f>
        <v>5.6600340000000005</v>
      </c>
      <c r="AH4161">
        <v>56.600340000000003</v>
      </c>
      <c r="AI4161">
        <v>173.50450000000001</v>
      </c>
      <c r="AJ4161">
        <v>22.65523</v>
      </c>
      <c r="AK4161">
        <v>55.40652</v>
      </c>
    </row>
    <row r="4162" spans="1:37" x14ac:dyDescent="0.3">
      <c r="A4162">
        <v>4161</v>
      </c>
      <c r="B4162">
        <v>33.299999999999997</v>
      </c>
      <c r="C4162">
        <v>4.6583300000000003</v>
      </c>
      <c r="D4162">
        <v>10.45</v>
      </c>
      <c r="E4162" t="s">
        <v>6505</v>
      </c>
      <c r="F4162" t="s">
        <v>6506</v>
      </c>
      <c r="G4162" t="s">
        <v>39</v>
      </c>
      <c r="H4162">
        <v>1986</v>
      </c>
      <c r="I4162">
        <v>27.29072</v>
      </c>
      <c r="J4162">
        <v>12.88608</v>
      </c>
      <c r="K4162">
        <v>56</v>
      </c>
      <c r="L4162">
        <v>19.770600000000002</v>
      </c>
      <c r="M4162">
        <v>38.076799999999999</v>
      </c>
      <c r="N4162">
        <v>15.39072</v>
      </c>
      <c r="O4162">
        <v>22.68608</v>
      </c>
      <c r="P4162">
        <v>25.72457</v>
      </c>
      <c r="Q4162">
        <v>26.29072</v>
      </c>
      <c r="R4162">
        <v>30.29072</v>
      </c>
      <c r="S4162">
        <v>25.681439999999998</v>
      </c>
      <c r="T4162">
        <v>1035.6489999999999</v>
      </c>
      <c r="U4162">
        <v>233.09280000000001</v>
      </c>
      <c r="V4162">
        <v>0</v>
      </c>
      <c r="W4162">
        <v>102</v>
      </c>
      <c r="X4162">
        <v>647.41750000000002</v>
      </c>
      <c r="Y4162">
        <v>2</v>
      </c>
      <c r="Z4162">
        <v>160</v>
      </c>
      <c r="AA4162">
        <v>92.768039999999999</v>
      </c>
      <c r="AB4162">
        <v>1.252923</v>
      </c>
      <c r="AC4162">
        <v>0.43527739999999998</v>
      </c>
      <c r="AD4162">
        <v>1.284978</v>
      </c>
      <c r="AE4162">
        <v>0.65561860000000005</v>
      </c>
      <c r="AF4162">
        <v>140.7182</v>
      </c>
      <c r="AG4162">
        <f>IFERROR(AH4162*0.1, "N/A")</f>
        <v>6.1996560000000009</v>
      </c>
      <c r="AH4162">
        <v>61.996560000000002</v>
      </c>
      <c r="AI4162">
        <v>273.64999999999998</v>
      </c>
      <c r="AJ4162">
        <v>30.37285</v>
      </c>
      <c r="AK4162">
        <v>44.092779999999998</v>
      </c>
    </row>
    <row r="4163" spans="1:37" x14ac:dyDescent="0.3">
      <c r="A4163">
        <v>4162</v>
      </c>
      <c r="B4163">
        <v>2.9</v>
      </c>
      <c r="C4163">
        <v>4.6583300000000003</v>
      </c>
      <c r="D4163">
        <v>10.45</v>
      </c>
      <c r="E4163" t="s">
        <v>6505</v>
      </c>
      <c r="F4163" t="s">
        <v>6507</v>
      </c>
      <c r="G4163" t="s">
        <v>37</v>
      </c>
      <c r="H4163">
        <v>1986</v>
      </c>
      <c r="I4163">
        <v>27.29072</v>
      </c>
      <c r="J4163">
        <v>12.88608</v>
      </c>
      <c r="K4163">
        <v>56</v>
      </c>
      <c r="L4163">
        <v>19.770600000000002</v>
      </c>
      <c r="M4163">
        <v>38.076799999999999</v>
      </c>
      <c r="N4163">
        <v>15.39072</v>
      </c>
      <c r="O4163">
        <v>22.68608</v>
      </c>
      <c r="P4163">
        <v>25.72457</v>
      </c>
      <c r="Q4163">
        <v>26.29072</v>
      </c>
      <c r="R4163">
        <v>30.29072</v>
      </c>
      <c r="S4163">
        <v>25.681439999999998</v>
      </c>
      <c r="T4163">
        <v>1035.6489999999999</v>
      </c>
      <c r="U4163">
        <v>233.09280000000001</v>
      </c>
      <c r="V4163">
        <v>0</v>
      </c>
      <c r="W4163">
        <v>102</v>
      </c>
      <c r="X4163">
        <v>647.41750000000002</v>
      </c>
      <c r="Y4163">
        <v>2</v>
      </c>
      <c r="Z4163">
        <v>160</v>
      </c>
      <c r="AA4163">
        <v>92.768039999999999</v>
      </c>
      <c r="AB4163">
        <v>1.252923</v>
      </c>
      <c r="AC4163">
        <v>0.43527739999999998</v>
      </c>
      <c r="AD4163">
        <v>1.284978</v>
      </c>
      <c r="AE4163">
        <v>0.65561860000000005</v>
      </c>
      <c r="AF4163">
        <v>140.7182</v>
      </c>
      <c r="AG4163">
        <f>IFERROR(AH4163*0.1, "N/A")</f>
        <v>6.1996560000000009</v>
      </c>
      <c r="AH4163">
        <v>61.996560000000002</v>
      </c>
      <c r="AI4163">
        <v>273.64999999999998</v>
      </c>
      <c r="AJ4163">
        <v>30.37285</v>
      </c>
      <c r="AK4163">
        <v>44.092779999999998</v>
      </c>
    </row>
    <row r="4164" spans="1:37" x14ac:dyDescent="0.3">
      <c r="A4164">
        <v>4163</v>
      </c>
      <c r="B4164">
        <v>25.9</v>
      </c>
      <c r="C4164">
        <v>4.6749999999999998</v>
      </c>
      <c r="D4164">
        <v>10.433299999999999</v>
      </c>
      <c r="E4164" t="s">
        <v>6508</v>
      </c>
      <c r="F4164" t="s">
        <v>6509</v>
      </c>
      <c r="G4164" t="s">
        <v>39</v>
      </c>
      <c r="H4164">
        <v>1986</v>
      </c>
      <c r="I4164">
        <v>27.3</v>
      </c>
      <c r="J4164">
        <v>12.9</v>
      </c>
      <c r="K4164">
        <v>56.434710000000003</v>
      </c>
      <c r="L4164">
        <v>19.653500000000001</v>
      </c>
      <c r="M4164">
        <v>38.008760000000002</v>
      </c>
      <c r="N4164">
        <v>15.35223</v>
      </c>
      <c r="O4164">
        <v>22.65653</v>
      </c>
      <c r="P4164">
        <v>25.6433</v>
      </c>
      <c r="Q4164">
        <v>26.3</v>
      </c>
      <c r="R4164">
        <v>30.3</v>
      </c>
      <c r="S4164">
        <v>25.634540000000001</v>
      </c>
      <c r="T4164">
        <v>1038.751</v>
      </c>
      <c r="U4164">
        <v>233</v>
      </c>
      <c r="V4164">
        <v>0</v>
      </c>
      <c r="W4164">
        <v>102</v>
      </c>
      <c r="X4164">
        <v>648.83159999999998</v>
      </c>
      <c r="Y4164">
        <v>2</v>
      </c>
      <c r="Z4164">
        <v>160.7423</v>
      </c>
      <c r="AA4164">
        <v>426.07389999999998</v>
      </c>
      <c r="AB4164">
        <v>1.339175</v>
      </c>
      <c r="AC4164">
        <v>1.3682829999999999</v>
      </c>
      <c r="AD4164">
        <v>1.21173</v>
      </c>
      <c r="AE4164">
        <v>0.68161720000000003</v>
      </c>
      <c r="AF4164">
        <v>142.5086</v>
      </c>
      <c r="AG4164">
        <f>IFERROR(AH4164*0.1, "N/A")</f>
        <v>5.9654640000000008</v>
      </c>
      <c r="AH4164">
        <v>59.654640000000001</v>
      </c>
      <c r="AI4164">
        <v>98.176479999999998</v>
      </c>
      <c r="AJ4164">
        <v>21</v>
      </c>
      <c r="AK4164">
        <v>58.654640000000001</v>
      </c>
    </row>
    <row r="4165" spans="1:37" x14ac:dyDescent="0.3">
      <c r="A4165">
        <v>4164</v>
      </c>
      <c r="B4165">
        <v>1.7</v>
      </c>
      <c r="C4165">
        <v>4.6749999999999998</v>
      </c>
      <c r="D4165">
        <v>10.433299999999999</v>
      </c>
      <c r="E4165" t="s">
        <v>6508</v>
      </c>
      <c r="F4165" t="s">
        <v>6510</v>
      </c>
      <c r="G4165" t="s">
        <v>37</v>
      </c>
      <c r="H4165">
        <v>1986</v>
      </c>
      <c r="I4165">
        <v>27.3</v>
      </c>
      <c r="J4165">
        <v>12.9</v>
      </c>
      <c r="K4165">
        <v>56.434710000000003</v>
      </c>
      <c r="L4165">
        <v>19.653500000000001</v>
      </c>
      <c r="M4165">
        <v>38.008760000000002</v>
      </c>
      <c r="N4165">
        <v>15.35223</v>
      </c>
      <c r="O4165">
        <v>22.65653</v>
      </c>
      <c r="P4165">
        <v>25.6433</v>
      </c>
      <c r="Q4165">
        <v>26.3</v>
      </c>
      <c r="R4165">
        <v>30.3</v>
      </c>
      <c r="S4165">
        <v>25.634540000000001</v>
      </c>
      <c r="T4165">
        <v>1038.751</v>
      </c>
      <c r="U4165">
        <v>233</v>
      </c>
      <c r="V4165">
        <v>0</v>
      </c>
      <c r="W4165">
        <v>102</v>
      </c>
      <c r="X4165">
        <v>648.83159999999998</v>
      </c>
      <c r="Y4165">
        <v>2</v>
      </c>
      <c r="Z4165">
        <v>160.7423</v>
      </c>
      <c r="AA4165">
        <v>426.07389999999998</v>
      </c>
      <c r="AB4165">
        <v>1.339175</v>
      </c>
      <c r="AC4165">
        <v>1.3682829999999999</v>
      </c>
      <c r="AD4165">
        <v>1.21173</v>
      </c>
      <c r="AE4165">
        <v>0.68161720000000003</v>
      </c>
      <c r="AF4165">
        <v>142.5086</v>
      </c>
      <c r="AG4165">
        <f>IFERROR(AH4165*0.1, "N/A")</f>
        <v>5.9654640000000008</v>
      </c>
      <c r="AH4165">
        <v>59.654640000000001</v>
      </c>
      <c r="AI4165">
        <v>98.176479999999998</v>
      </c>
      <c r="AJ4165">
        <v>21</v>
      </c>
      <c r="AK4165">
        <v>58.654640000000001</v>
      </c>
    </row>
    <row r="4166" spans="1:37" x14ac:dyDescent="0.3">
      <c r="A4166">
        <v>4165</v>
      </c>
      <c r="B4166">
        <v>20.6</v>
      </c>
      <c r="C4166">
        <v>4.625</v>
      </c>
      <c r="D4166">
        <v>10.226699999999999</v>
      </c>
      <c r="E4166" t="s">
        <v>6511</v>
      </c>
      <c r="F4166" t="s">
        <v>6512</v>
      </c>
      <c r="G4166" t="s">
        <v>39</v>
      </c>
      <c r="H4166">
        <v>1986</v>
      </c>
      <c r="I4166">
        <v>27.3</v>
      </c>
      <c r="J4166">
        <v>12.78379</v>
      </c>
      <c r="K4166">
        <v>57.83793</v>
      </c>
      <c r="L4166">
        <v>18.701350000000001</v>
      </c>
      <c r="M4166">
        <v>37.883789999999998</v>
      </c>
      <c r="N4166">
        <v>15.883789999999999</v>
      </c>
      <c r="O4166">
        <v>22</v>
      </c>
      <c r="P4166">
        <v>25.683789999999998</v>
      </c>
      <c r="Q4166">
        <v>26.58379</v>
      </c>
      <c r="R4166">
        <v>30.1</v>
      </c>
      <c r="S4166">
        <v>25.683789999999998</v>
      </c>
      <c r="T4166">
        <v>1069.3240000000001</v>
      </c>
      <c r="U4166">
        <v>228</v>
      </c>
      <c r="V4166">
        <v>0</v>
      </c>
      <c r="W4166">
        <v>98</v>
      </c>
      <c r="X4166">
        <v>648.16210000000001</v>
      </c>
      <c r="Y4166">
        <v>4</v>
      </c>
      <c r="Z4166">
        <v>176.16210000000001</v>
      </c>
      <c r="AA4166">
        <v>648.16210000000001</v>
      </c>
      <c r="AB4166">
        <v>16.319310000000002</v>
      </c>
      <c r="AC4166">
        <v>1.8875119999999999E-2</v>
      </c>
      <c r="AD4166">
        <v>0.94328060000000002</v>
      </c>
      <c r="AE4166">
        <v>0.72949920000000001</v>
      </c>
      <c r="AF4166">
        <v>152.16550000000001</v>
      </c>
      <c r="AG4166">
        <f>IFERROR(AH4166*0.1, "N/A")</f>
        <v>5.9901720000000003</v>
      </c>
      <c r="AH4166">
        <v>59.901719999999997</v>
      </c>
      <c r="AI4166">
        <v>321.48140000000001</v>
      </c>
      <c r="AJ4166">
        <v>23.85</v>
      </c>
      <c r="AK4166">
        <v>56.15</v>
      </c>
    </row>
    <row r="4167" spans="1:37" x14ac:dyDescent="0.3">
      <c r="A4167">
        <v>4166</v>
      </c>
      <c r="B4167">
        <v>0</v>
      </c>
      <c r="C4167">
        <v>4.625</v>
      </c>
      <c r="D4167">
        <v>10.226699999999999</v>
      </c>
      <c r="E4167" t="s">
        <v>6511</v>
      </c>
      <c r="F4167" t="s">
        <v>6513</v>
      </c>
      <c r="G4167" t="s">
        <v>37</v>
      </c>
      <c r="H4167">
        <v>1986</v>
      </c>
      <c r="I4167">
        <v>27.3</v>
      </c>
      <c r="J4167">
        <v>12.78379</v>
      </c>
      <c r="K4167">
        <v>57.83793</v>
      </c>
      <c r="L4167">
        <v>18.701350000000001</v>
      </c>
      <c r="M4167">
        <v>37.883789999999998</v>
      </c>
      <c r="N4167">
        <v>15.883789999999999</v>
      </c>
      <c r="O4167">
        <v>22</v>
      </c>
      <c r="P4167">
        <v>25.683789999999998</v>
      </c>
      <c r="Q4167">
        <v>26.58379</v>
      </c>
      <c r="R4167">
        <v>30.1</v>
      </c>
      <c r="S4167">
        <v>25.683789999999998</v>
      </c>
      <c r="T4167">
        <v>1069.3240000000001</v>
      </c>
      <c r="U4167">
        <v>228</v>
      </c>
      <c r="V4167">
        <v>0</v>
      </c>
      <c r="W4167">
        <v>98</v>
      </c>
      <c r="X4167">
        <v>648.16210000000001</v>
      </c>
      <c r="Y4167">
        <v>4</v>
      </c>
      <c r="Z4167">
        <v>176.16210000000001</v>
      </c>
      <c r="AA4167">
        <v>648.16210000000001</v>
      </c>
      <c r="AB4167">
        <v>16.319310000000002</v>
      </c>
      <c r="AC4167">
        <v>1.8875119999999999E-2</v>
      </c>
      <c r="AD4167">
        <v>0.94328060000000002</v>
      </c>
      <c r="AE4167">
        <v>0.72949920000000001</v>
      </c>
      <c r="AF4167">
        <v>152.16550000000001</v>
      </c>
      <c r="AG4167">
        <f>IFERROR(AH4167*0.1, "N/A")</f>
        <v>5.9901720000000003</v>
      </c>
      <c r="AH4167">
        <v>59.901719999999997</v>
      </c>
      <c r="AI4167">
        <v>321.48140000000001</v>
      </c>
      <c r="AJ4167">
        <v>23.85</v>
      </c>
      <c r="AK4167">
        <v>56.15</v>
      </c>
    </row>
    <row r="4168" spans="1:37" x14ac:dyDescent="0.3">
      <c r="A4168">
        <v>4167</v>
      </c>
      <c r="B4168">
        <v>24.6</v>
      </c>
      <c r="C4168">
        <v>4.6222200000000004</v>
      </c>
      <c r="D4168">
        <v>10.2042</v>
      </c>
      <c r="E4168" t="s">
        <v>6514</v>
      </c>
      <c r="F4168" t="s">
        <v>6515</v>
      </c>
      <c r="G4168" t="s">
        <v>39</v>
      </c>
      <c r="H4168">
        <v>1986</v>
      </c>
      <c r="I4168">
        <v>27.4</v>
      </c>
      <c r="J4168">
        <v>12.7</v>
      </c>
      <c r="K4168">
        <v>57</v>
      </c>
      <c r="L4168">
        <v>18.47</v>
      </c>
      <c r="M4168">
        <v>37.9</v>
      </c>
      <c r="N4168">
        <v>16</v>
      </c>
      <c r="O4168">
        <v>21.9</v>
      </c>
      <c r="P4168">
        <v>25.7</v>
      </c>
      <c r="Q4168">
        <v>26.7</v>
      </c>
      <c r="R4168">
        <v>30.1</v>
      </c>
      <c r="S4168">
        <v>25.7</v>
      </c>
      <c r="T4168">
        <v>1071</v>
      </c>
      <c r="U4168">
        <v>227</v>
      </c>
      <c r="V4168">
        <v>0</v>
      </c>
      <c r="W4168">
        <v>98</v>
      </c>
      <c r="X4168">
        <v>647</v>
      </c>
      <c r="Y4168">
        <v>4</v>
      </c>
      <c r="Z4168">
        <v>177</v>
      </c>
      <c r="AA4168">
        <v>647</v>
      </c>
      <c r="AB4168">
        <v>8.5781360000000006</v>
      </c>
      <c r="AC4168">
        <v>9.8637310000000006E-3</v>
      </c>
      <c r="AD4168">
        <v>1.5312969999999999</v>
      </c>
      <c r="AE4168">
        <v>0.62899260000000001</v>
      </c>
      <c r="AF4168">
        <v>147.92429999999999</v>
      </c>
      <c r="AG4168">
        <f>IFERROR(AH4168*0.1, "N/A")</f>
        <v>6.1000000000000005</v>
      </c>
      <c r="AH4168">
        <v>61</v>
      </c>
      <c r="AI4168">
        <v>267.8519</v>
      </c>
      <c r="AJ4168">
        <v>22</v>
      </c>
      <c r="AK4168">
        <v>56.206539999999997</v>
      </c>
    </row>
    <row r="4169" spans="1:37" x14ac:dyDescent="0.3">
      <c r="A4169">
        <v>4168</v>
      </c>
      <c r="B4169">
        <v>6.39</v>
      </c>
      <c r="C4169">
        <v>4.6222200000000004</v>
      </c>
      <c r="D4169">
        <v>10.2042</v>
      </c>
      <c r="E4169" t="s">
        <v>6514</v>
      </c>
      <c r="F4169" t="s">
        <v>6516</v>
      </c>
      <c r="G4169" t="s">
        <v>37</v>
      </c>
      <c r="H4169">
        <v>1986</v>
      </c>
      <c r="I4169">
        <v>27.4</v>
      </c>
      <c r="J4169">
        <v>12.7</v>
      </c>
      <c r="K4169">
        <v>57</v>
      </c>
      <c r="L4169">
        <v>18.47</v>
      </c>
      <c r="M4169">
        <v>37.9</v>
      </c>
      <c r="N4169">
        <v>16</v>
      </c>
      <c r="O4169">
        <v>21.9</v>
      </c>
      <c r="P4169">
        <v>25.7</v>
      </c>
      <c r="Q4169">
        <v>26.7</v>
      </c>
      <c r="R4169">
        <v>30.1</v>
      </c>
      <c r="S4169">
        <v>25.7</v>
      </c>
      <c r="T4169">
        <v>1071</v>
      </c>
      <c r="U4169">
        <v>227</v>
      </c>
      <c r="V4169">
        <v>0</v>
      </c>
      <c r="W4169">
        <v>98</v>
      </c>
      <c r="X4169">
        <v>647</v>
      </c>
      <c r="Y4169">
        <v>4</v>
      </c>
      <c r="Z4169">
        <v>177</v>
      </c>
      <c r="AA4169">
        <v>647</v>
      </c>
      <c r="AB4169">
        <v>8.5781360000000006</v>
      </c>
      <c r="AC4169">
        <v>9.8637310000000006E-3</v>
      </c>
      <c r="AD4169">
        <v>1.5312969999999999</v>
      </c>
      <c r="AE4169">
        <v>0.62899260000000001</v>
      </c>
      <c r="AF4169">
        <v>147.92429999999999</v>
      </c>
      <c r="AG4169">
        <f>IFERROR(AH4169*0.1, "N/A")</f>
        <v>6.1000000000000005</v>
      </c>
      <c r="AH4169">
        <v>61</v>
      </c>
      <c r="AI4169">
        <v>267.8519</v>
      </c>
      <c r="AJ4169">
        <v>22</v>
      </c>
      <c r="AK4169">
        <v>56.206539999999997</v>
      </c>
    </row>
    <row r="4170" spans="1:37" x14ac:dyDescent="0.3">
      <c r="A4170">
        <v>4169</v>
      </c>
      <c r="B4170">
        <v>6.17</v>
      </c>
      <c r="C4170">
        <v>13.25</v>
      </c>
      <c r="D4170">
        <v>11.85</v>
      </c>
      <c r="E4170" t="s">
        <v>6517</v>
      </c>
      <c r="F4170" t="s">
        <v>6518</v>
      </c>
      <c r="G4170" t="s">
        <v>39</v>
      </c>
      <c r="H4170">
        <v>1986</v>
      </c>
      <c r="I4170">
        <v>25.9</v>
      </c>
      <c r="J4170">
        <v>15.1</v>
      </c>
      <c r="K4170">
        <v>57</v>
      </c>
      <c r="L4170">
        <v>26.827030000000001</v>
      </c>
      <c r="M4170">
        <v>38.362139999999997</v>
      </c>
      <c r="N4170">
        <v>12.152799999999999</v>
      </c>
      <c r="O4170">
        <v>26.209340000000001</v>
      </c>
      <c r="P4170">
        <v>25.8</v>
      </c>
      <c r="Q4170">
        <v>24.1</v>
      </c>
      <c r="R4170">
        <v>29.4</v>
      </c>
      <c r="S4170">
        <v>22.3</v>
      </c>
      <c r="T4170">
        <v>608.67740000000003</v>
      </c>
      <c r="U4170">
        <v>214.22579999999999</v>
      </c>
      <c r="V4170">
        <v>0</v>
      </c>
      <c r="W4170">
        <v>137</v>
      </c>
      <c r="X4170">
        <v>475.67739999999998</v>
      </c>
      <c r="Y4170">
        <v>0</v>
      </c>
      <c r="Z4170">
        <v>119</v>
      </c>
      <c r="AA4170">
        <v>0</v>
      </c>
      <c r="AB4170">
        <v>1.506286</v>
      </c>
      <c r="AC4170">
        <v>1.000329E-2</v>
      </c>
      <c r="AD4170">
        <v>0.78802470000000002</v>
      </c>
      <c r="AE4170">
        <v>0.41736519999999999</v>
      </c>
      <c r="AF4170">
        <v>312.57889999999998</v>
      </c>
      <c r="AG4170">
        <f>IFERROR(AH4170*0.1, "N/A")</f>
        <v>6.0378610000000004</v>
      </c>
      <c r="AH4170">
        <v>60.378610000000002</v>
      </c>
      <c r="AI4170">
        <v>100.7366</v>
      </c>
      <c r="AJ4170">
        <v>13.62139</v>
      </c>
      <c r="AK4170">
        <v>72.757220000000004</v>
      </c>
    </row>
    <row r="4171" spans="1:37" x14ac:dyDescent="0.3">
      <c r="A4171">
        <v>4170</v>
      </c>
      <c r="B4171">
        <v>12.7</v>
      </c>
      <c r="C4171">
        <v>3.8963899999999998</v>
      </c>
      <c r="D4171">
        <v>7.3877800000000002</v>
      </c>
      <c r="E4171" t="s">
        <v>6425</v>
      </c>
      <c r="F4171" t="s">
        <v>6519</v>
      </c>
      <c r="G4171" t="s">
        <v>37</v>
      </c>
      <c r="H4171">
        <v>1981</v>
      </c>
      <c r="I4171">
        <v>26.5</v>
      </c>
      <c r="J4171">
        <v>9.3000000000000007</v>
      </c>
      <c r="K4171">
        <v>70</v>
      </c>
      <c r="L4171">
        <v>12.84</v>
      </c>
      <c r="M4171">
        <v>33.799999999999997</v>
      </c>
      <c r="N4171">
        <v>20.7</v>
      </c>
      <c r="O4171">
        <v>13.1</v>
      </c>
      <c r="P4171">
        <v>25.7</v>
      </c>
      <c r="Q4171">
        <v>27.2</v>
      </c>
      <c r="R4171">
        <v>28</v>
      </c>
      <c r="S4171">
        <v>24.6</v>
      </c>
      <c r="T4171">
        <v>1312</v>
      </c>
      <c r="U4171">
        <v>189</v>
      </c>
      <c r="V4171">
        <v>6</v>
      </c>
      <c r="W4171">
        <v>63</v>
      </c>
      <c r="X4171">
        <v>519</v>
      </c>
      <c r="Y4171">
        <v>40</v>
      </c>
      <c r="Z4171">
        <v>251</v>
      </c>
      <c r="AA4171">
        <v>482</v>
      </c>
      <c r="AB4171">
        <v>60.347209999999997</v>
      </c>
      <c r="AC4171">
        <v>1.016214E-2</v>
      </c>
      <c r="AD4171">
        <v>13.1191</v>
      </c>
      <c r="AE4171">
        <v>0.89307990000000004</v>
      </c>
      <c r="AF4171">
        <v>238.9408</v>
      </c>
      <c r="AG4171">
        <f>IFERROR(AH4171*0.1, "N/A")</f>
        <v>7.0508709999999999</v>
      </c>
      <c r="AH4171">
        <v>70.508709999999994</v>
      </c>
      <c r="AI4171">
        <v>251.61349999999999</v>
      </c>
      <c r="AJ4171">
        <v>22.83624</v>
      </c>
      <c r="AK4171">
        <v>58</v>
      </c>
    </row>
    <row r="4172" spans="1:37" x14ac:dyDescent="0.3">
      <c r="A4172">
        <v>4171</v>
      </c>
      <c r="B4172">
        <v>22.1</v>
      </c>
      <c r="C4172">
        <v>7.6166669999999996</v>
      </c>
      <c r="D4172">
        <v>11.8</v>
      </c>
      <c r="E4172" t="s">
        <v>6520</v>
      </c>
      <c r="F4172" t="s">
        <v>6521</v>
      </c>
      <c r="G4172" t="s">
        <v>39</v>
      </c>
      <c r="H4172">
        <v>1980</v>
      </c>
      <c r="I4172">
        <v>25.24334</v>
      </c>
      <c r="J4172">
        <v>13.61195</v>
      </c>
      <c r="K4172">
        <v>57.119450000000001</v>
      </c>
      <c r="L4172">
        <v>24.447199999999999</v>
      </c>
      <c r="M4172">
        <v>36.717239999999997</v>
      </c>
      <c r="N4172">
        <v>13.18805</v>
      </c>
      <c r="O4172">
        <v>23.52918</v>
      </c>
      <c r="P4172">
        <v>24.317229999999999</v>
      </c>
      <c r="Q4172">
        <v>22.5</v>
      </c>
      <c r="R4172">
        <v>28.817229999999999</v>
      </c>
      <c r="S4172">
        <v>22.5</v>
      </c>
      <c r="T4172">
        <v>918.86350000000004</v>
      </c>
      <c r="U4172">
        <v>270.82760000000002</v>
      </c>
      <c r="V4172">
        <v>0</v>
      </c>
      <c r="W4172">
        <v>119</v>
      </c>
      <c r="X4172">
        <v>649.70820000000003</v>
      </c>
      <c r="Y4172">
        <v>0</v>
      </c>
      <c r="Z4172">
        <v>111.1553</v>
      </c>
      <c r="AA4172">
        <v>0</v>
      </c>
      <c r="AB4172">
        <v>0.54077580000000003</v>
      </c>
      <c r="AC4172">
        <v>6.82088E-2</v>
      </c>
      <c r="AD4172">
        <v>2.222029</v>
      </c>
      <c r="AE4172">
        <v>0.80333259999999995</v>
      </c>
      <c r="AF4172">
        <v>612.7355</v>
      </c>
      <c r="AG4172">
        <f>IFERROR(AH4172*0.1, "N/A")</f>
        <v>6.1085320000000003</v>
      </c>
      <c r="AH4172">
        <v>61.085320000000003</v>
      </c>
      <c r="AI4172">
        <v>241.42859999999999</v>
      </c>
      <c r="AJ4172">
        <v>26.957339999999999</v>
      </c>
      <c r="AK4172">
        <v>49.042659999999998</v>
      </c>
    </row>
    <row r="4173" spans="1:37" x14ac:dyDescent="0.3">
      <c r="A4173">
        <v>4172</v>
      </c>
      <c r="B4173">
        <v>2.2999999999999998</v>
      </c>
      <c r="C4173">
        <v>7.7</v>
      </c>
      <c r="D4173">
        <v>11.066700000000001</v>
      </c>
      <c r="E4173" t="s">
        <v>6444</v>
      </c>
      <c r="F4173" t="s">
        <v>6522</v>
      </c>
      <c r="G4173" t="s">
        <v>37</v>
      </c>
      <c r="H4173">
        <v>1990</v>
      </c>
      <c r="I4173">
        <v>24.880240000000001</v>
      </c>
      <c r="J4173">
        <v>13.1</v>
      </c>
      <c r="K4173">
        <v>61</v>
      </c>
      <c r="L4173">
        <v>18.707840000000001</v>
      </c>
      <c r="M4173">
        <v>35.4</v>
      </c>
      <c r="N4173">
        <v>14</v>
      </c>
      <c r="O4173">
        <v>21.4</v>
      </c>
      <c r="P4173">
        <v>23.680240000000001</v>
      </c>
      <c r="Q4173">
        <v>23</v>
      </c>
      <c r="R4173">
        <v>27.7</v>
      </c>
      <c r="S4173">
        <v>23</v>
      </c>
      <c r="T4173">
        <v>1064.0029999999999</v>
      </c>
      <c r="U4173">
        <v>274</v>
      </c>
      <c r="V4173">
        <v>0</v>
      </c>
      <c r="W4173">
        <v>110</v>
      </c>
      <c r="X4173">
        <v>709.98630000000003</v>
      </c>
      <c r="Y4173">
        <v>1</v>
      </c>
      <c r="Z4173">
        <v>157.81960000000001</v>
      </c>
      <c r="AA4173">
        <v>1</v>
      </c>
      <c r="AB4173">
        <v>5.1554869999999999</v>
      </c>
      <c r="AC4173">
        <v>1.8442279999999998E-2</v>
      </c>
      <c r="AD4173">
        <v>2.1497380000000001</v>
      </c>
      <c r="AE4173">
        <v>0.88924630000000005</v>
      </c>
      <c r="AF4173">
        <v>649.7337</v>
      </c>
      <c r="AG4173">
        <f>IFERROR(AH4173*0.1, "N/A")</f>
        <v>6.2422680000000001</v>
      </c>
      <c r="AH4173">
        <v>62.42268</v>
      </c>
      <c r="AI4173">
        <v>322.44119999999998</v>
      </c>
      <c r="AJ4173">
        <v>24.42268</v>
      </c>
      <c r="AK4173">
        <v>53</v>
      </c>
    </row>
    <row r="4174" spans="1:37" x14ac:dyDescent="0.3">
      <c r="A4174">
        <v>4173</v>
      </c>
      <c r="B4174">
        <v>41.1</v>
      </c>
      <c r="C4174">
        <v>6.0720669999999997</v>
      </c>
      <c r="D4174">
        <v>6.7493030000000003</v>
      </c>
      <c r="E4174" t="s">
        <v>6523</v>
      </c>
      <c r="F4174" t="s">
        <v>6524</v>
      </c>
      <c r="G4174" t="s">
        <v>39</v>
      </c>
      <c r="H4174">
        <v>2007</v>
      </c>
      <c r="I4174">
        <v>24.9</v>
      </c>
      <c r="J4174">
        <v>9.3000000000000007</v>
      </c>
      <c r="K4174">
        <v>73</v>
      </c>
      <c r="L4174">
        <v>11.907069999999999</v>
      </c>
      <c r="M4174">
        <v>31.907319999999999</v>
      </c>
      <c r="N4174">
        <v>19.207319999999999</v>
      </c>
      <c r="O4174">
        <v>12.7</v>
      </c>
      <c r="P4174">
        <v>23.207319999999999</v>
      </c>
      <c r="Q4174">
        <v>25.3</v>
      </c>
      <c r="R4174">
        <v>26.407319999999999</v>
      </c>
      <c r="S4174">
        <v>23.207319999999999</v>
      </c>
      <c r="T4174">
        <v>1673.4880000000001</v>
      </c>
      <c r="U4174">
        <v>302.92680000000001</v>
      </c>
      <c r="V4174">
        <v>11</v>
      </c>
      <c r="W4174">
        <v>67</v>
      </c>
      <c r="X4174">
        <v>698.78049999999996</v>
      </c>
      <c r="Y4174">
        <v>54</v>
      </c>
      <c r="Z4174">
        <v>275.92680000000001</v>
      </c>
      <c r="AA4174">
        <v>698.78049999999996</v>
      </c>
      <c r="AB4174">
        <v>74.967759999999998</v>
      </c>
      <c r="AC4174">
        <v>2.0618060000000001E-2</v>
      </c>
      <c r="AD4174">
        <v>3.1614270000000002</v>
      </c>
      <c r="AE4174">
        <v>0.7321086</v>
      </c>
      <c r="AF4174">
        <v>350.88679999999999</v>
      </c>
      <c r="AG4174">
        <f>IFERROR(AH4174*0.1, "N/A")</f>
        <v>5.330139</v>
      </c>
      <c r="AH4174">
        <v>53.301389999999998</v>
      </c>
      <c r="AI4174">
        <v>256.14049999999997</v>
      </c>
      <c r="AJ4174">
        <v>17.94425</v>
      </c>
      <c r="AK4174">
        <v>74.975610000000003</v>
      </c>
    </row>
    <row r="4175" spans="1:37" x14ac:dyDescent="0.3">
      <c r="A4175">
        <v>4174</v>
      </c>
      <c r="B4175">
        <v>2.5</v>
      </c>
      <c r="C4175">
        <v>6.2019399999999996</v>
      </c>
      <c r="D4175">
        <v>5.16472</v>
      </c>
      <c r="E4175" t="s">
        <v>6525</v>
      </c>
      <c r="F4175" t="s">
        <v>6526</v>
      </c>
      <c r="G4175" t="s">
        <v>2420</v>
      </c>
      <c r="H4175">
        <v>1995</v>
      </c>
      <c r="I4175">
        <v>26.7</v>
      </c>
      <c r="J4175">
        <v>8</v>
      </c>
      <c r="K4175">
        <v>76</v>
      </c>
      <c r="L4175">
        <v>8.6999999999999993</v>
      </c>
      <c r="M4175">
        <v>32.4</v>
      </c>
      <c r="N4175">
        <v>22</v>
      </c>
      <c r="O4175">
        <v>10.4</v>
      </c>
      <c r="P4175">
        <v>25.4</v>
      </c>
      <c r="Q4175">
        <v>27.1</v>
      </c>
      <c r="R4175">
        <v>27.8</v>
      </c>
      <c r="S4175">
        <v>25.4</v>
      </c>
      <c r="T4175">
        <v>2777</v>
      </c>
      <c r="U4175">
        <v>464</v>
      </c>
      <c r="V4175">
        <v>34</v>
      </c>
      <c r="W4175">
        <v>64</v>
      </c>
      <c r="X4175">
        <v>1188</v>
      </c>
      <c r="Y4175">
        <v>138</v>
      </c>
      <c r="Z4175">
        <v>400</v>
      </c>
      <c r="AA4175">
        <v>1188</v>
      </c>
      <c r="AB4175">
        <v>3.4743460000000002</v>
      </c>
      <c r="AC4175">
        <v>5.5228579999999999E-2</v>
      </c>
      <c r="AD4175">
        <v>1.8608150000000001</v>
      </c>
      <c r="AE4175">
        <v>0.55843560000000003</v>
      </c>
      <c r="AF4175">
        <v>4.6352529999999996</v>
      </c>
      <c r="AG4175">
        <f>IFERROR(AH4175*0.1, "N/A")</f>
        <v>5.1000000000000005</v>
      </c>
      <c r="AH4175">
        <v>51</v>
      </c>
      <c r="AI4175">
        <v>276.40230000000003</v>
      </c>
      <c r="AJ4175">
        <v>35</v>
      </c>
      <c r="AK4175">
        <v>41</v>
      </c>
    </row>
    <row r="4176" spans="1:37" x14ac:dyDescent="0.3">
      <c r="A4176">
        <v>4175</v>
      </c>
      <c r="B4176">
        <v>34.700000000000003</v>
      </c>
      <c r="C4176">
        <v>6.3666700000000001</v>
      </c>
      <c r="D4176">
        <v>6.0166700000000004</v>
      </c>
      <c r="E4176" t="s">
        <v>6527</v>
      </c>
      <c r="F4176" t="s">
        <v>6528</v>
      </c>
      <c r="G4176" t="s">
        <v>39</v>
      </c>
      <c r="H4176">
        <v>1994</v>
      </c>
      <c r="I4176">
        <v>26.7</v>
      </c>
      <c r="J4176">
        <v>8.6999999999999993</v>
      </c>
      <c r="K4176">
        <v>75</v>
      </c>
      <c r="L4176">
        <v>10.59534</v>
      </c>
      <c r="M4176">
        <v>33.200000000000003</v>
      </c>
      <c r="N4176">
        <v>21.695460000000001</v>
      </c>
      <c r="O4176">
        <v>11.50454</v>
      </c>
      <c r="P4176">
        <v>25.2</v>
      </c>
      <c r="Q4176">
        <v>27.195460000000001</v>
      </c>
      <c r="R4176">
        <v>28.1</v>
      </c>
      <c r="S4176">
        <v>25.2</v>
      </c>
      <c r="T4176">
        <v>2012.0260000000001</v>
      </c>
      <c r="U4176">
        <v>350.91449999999998</v>
      </c>
      <c r="V4176">
        <v>13.736470000000001</v>
      </c>
      <c r="W4176">
        <v>68</v>
      </c>
      <c r="X4176">
        <v>874.47469999999998</v>
      </c>
      <c r="Y4176">
        <v>70.650959999999998</v>
      </c>
      <c r="Z4176">
        <v>290.0052</v>
      </c>
      <c r="AA4176">
        <v>874.47469999999998</v>
      </c>
      <c r="AB4176">
        <v>6.4518319999999996</v>
      </c>
      <c r="AC4176">
        <v>1.698221</v>
      </c>
      <c r="AD4176">
        <v>4.3515540000000001</v>
      </c>
      <c r="AE4176">
        <v>0.52252169999999998</v>
      </c>
      <c r="AF4176">
        <v>35.767890000000001</v>
      </c>
      <c r="AG4176">
        <f>IFERROR(AH4176*0.1, "N/A")</f>
        <v>5.7033160000000009</v>
      </c>
      <c r="AH4176">
        <v>57.033160000000002</v>
      </c>
      <c r="AI4176">
        <v>104.2684</v>
      </c>
      <c r="AJ4176">
        <v>18.18674</v>
      </c>
      <c r="AK4176">
        <v>69.101219999999998</v>
      </c>
    </row>
    <row r="4177" spans="1:37" x14ac:dyDescent="0.3">
      <c r="A4177">
        <v>4176</v>
      </c>
      <c r="B4177">
        <v>23.6</v>
      </c>
      <c r="C4177">
        <v>2.9</v>
      </c>
      <c r="D4177">
        <v>6.4333299999999998</v>
      </c>
      <c r="E4177" t="s">
        <v>6529</v>
      </c>
      <c r="F4177" t="s">
        <v>6530</v>
      </c>
      <c r="G4177" t="s">
        <v>39</v>
      </c>
      <c r="H4177">
        <v>1981</v>
      </c>
      <c r="I4177">
        <v>27.32574</v>
      </c>
      <c r="J4177">
        <v>6.6</v>
      </c>
      <c r="K4177">
        <v>68</v>
      </c>
      <c r="L4177">
        <v>11.57751</v>
      </c>
      <c r="M4177">
        <v>32.4</v>
      </c>
      <c r="N4177">
        <v>22.780380000000001</v>
      </c>
      <c r="O4177">
        <v>9.6196149999999996</v>
      </c>
      <c r="P4177">
        <v>26.682839999999999</v>
      </c>
      <c r="Q4177">
        <v>28.1</v>
      </c>
      <c r="R4177">
        <v>28.7</v>
      </c>
      <c r="S4177">
        <v>25.725739999999998</v>
      </c>
      <c r="T4177">
        <v>1444.9090000000001</v>
      </c>
      <c r="U4177">
        <v>329.15410000000003</v>
      </c>
      <c r="V4177">
        <v>19</v>
      </c>
      <c r="W4177">
        <v>75.803849999999997</v>
      </c>
      <c r="X4177">
        <v>750.7373</v>
      </c>
      <c r="Y4177">
        <v>82</v>
      </c>
      <c r="Z4177">
        <v>255</v>
      </c>
      <c r="AA4177">
        <v>351.3433</v>
      </c>
      <c r="AB4177">
        <v>1.5045539999999999</v>
      </c>
      <c r="AC4177">
        <v>6.5981819999999997E-2</v>
      </c>
      <c r="AD4177">
        <v>0.97527189999999997</v>
      </c>
      <c r="AE4177">
        <v>0.92812510000000004</v>
      </c>
      <c r="AF4177">
        <v>5.6077060000000003</v>
      </c>
      <c r="AG4177">
        <f>IFERROR(AH4177*0.1, "N/A")</f>
        <v>5.3005250000000004</v>
      </c>
      <c r="AH4177">
        <v>53.005249999999997</v>
      </c>
      <c r="AI4177">
        <v>213.3938</v>
      </c>
      <c r="AJ4177">
        <v>20.257439999999999</v>
      </c>
      <c r="AK4177">
        <v>60.718040000000002</v>
      </c>
    </row>
    <row r="4178" spans="1:37" x14ac:dyDescent="0.3">
      <c r="A4178">
        <v>4177</v>
      </c>
      <c r="B4178">
        <v>3</v>
      </c>
      <c r="C4178">
        <v>8.7833299999999994</v>
      </c>
      <c r="D4178">
        <v>9.7333300000000005</v>
      </c>
      <c r="E4178" t="s">
        <v>6531</v>
      </c>
      <c r="F4178" t="s">
        <v>6532</v>
      </c>
      <c r="G4178" t="s">
        <v>37</v>
      </c>
      <c r="H4178">
        <v>1992</v>
      </c>
      <c r="I4178">
        <v>22.258489999999998</v>
      </c>
      <c r="J4178">
        <v>11.7</v>
      </c>
      <c r="K4178">
        <v>66</v>
      </c>
      <c r="L4178">
        <v>14.493980000000001</v>
      </c>
      <c r="M4178">
        <v>31.15849</v>
      </c>
      <c r="N4178">
        <v>13.458489999999999</v>
      </c>
      <c r="O4178">
        <v>17.7</v>
      </c>
      <c r="P4178">
        <v>20.849910000000001</v>
      </c>
      <c r="Q4178">
        <v>21.35849</v>
      </c>
      <c r="R4178">
        <v>24.416979999999999</v>
      </c>
      <c r="S4178">
        <v>20.849910000000001</v>
      </c>
      <c r="T4178">
        <v>1382.1410000000001</v>
      </c>
      <c r="U4178">
        <v>292</v>
      </c>
      <c r="V4178">
        <v>0</v>
      </c>
      <c r="W4178">
        <v>95</v>
      </c>
      <c r="X4178">
        <v>799.48199999999997</v>
      </c>
      <c r="Y4178">
        <v>6</v>
      </c>
      <c r="Z4178">
        <v>313</v>
      </c>
      <c r="AA4178">
        <v>799.48199999999997</v>
      </c>
      <c r="AB4178">
        <v>65.961910000000003</v>
      </c>
      <c r="AC4178">
        <v>8.4995120000000007E-3</v>
      </c>
      <c r="AD4178">
        <v>12.655760000000001</v>
      </c>
      <c r="AE4178">
        <v>0.76527339999999999</v>
      </c>
      <c r="AF4178">
        <v>1309.077</v>
      </c>
      <c r="AG4178">
        <f>IFERROR(AH4178*0.1, "N/A")</f>
        <v>5.3811320000000009</v>
      </c>
      <c r="AH4178">
        <v>53.811320000000002</v>
      </c>
      <c r="AI4178">
        <v>226.74690000000001</v>
      </c>
      <c r="AJ4178">
        <v>31.811319999999998</v>
      </c>
      <c r="AK4178">
        <v>42</v>
      </c>
    </row>
    <row r="4179" spans="1:37" x14ac:dyDescent="0.3">
      <c r="A4179">
        <v>4178</v>
      </c>
      <c r="B4179">
        <v>62.9</v>
      </c>
      <c r="C4179">
        <v>6.45139</v>
      </c>
      <c r="D4179">
        <v>4.9225000000000003</v>
      </c>
      <c r="E4179" t="s">
        <v>6533</v>
      </c>
      <c r="F4179" t="s">
        <v>6534</v>
      </c>
      <c r="G4179" t="s">
        <v>39</v>
      </c>
      <c r="H4179">
        <v>1995</v>
      </c>
      <c r="I4179">
        <v>26.7</v>
      </c>
      <c r="J4179">
        <v>8</v>
      </c>
      <c r="K4179">
        <v>76</v>
      </c>
      <c r="L4179">
        <v>8.52</v>
      </c>
      <c r="M4179">
        <v>32.4</v>
      </c>
      <c r="N4179">
        <v>22</v>
      </c>
      <c r="O4179">
        <v>10.4</v>
      </c>
      <c r="P4179">
        <v>25.5</v>
      </c>
      <c r="Q4179">
        <v>27.2</v>
      </c>
      <c r="R4179">
        <v>27.8</v>
      </c>
      <c r="S4179">
        <v>25.5</v>
      </c>
      <c r="T4179">
        <v>2750</v>
      </c>
      <c r="U4179">
        <v>457</v>
      </c>
      <c r="V4179">
        <v>37</v>
      </c>
      <c r="W4179">
        <v>61</v>
      </c>
      <c r="X4179">
        <v>1150</v>
      </c>
      <c r="Y4179">
        <v>150</v>
      </c>
      <c r="Z4179">
        <v>410</v>
      </c>
      <c r="AA4179">
        <v>1150</v>
      </c>
      <c r="AB4179">
        <v>4.3405589999999998</v>
      </c>
      <c r="AC4179">
        <v>8.9934260000000005E-3</v>
      </c>
      <c r="AD4179">
        <v>1.6997709999999999</v>
      </c>
      <c r="AE4179">
        <v>0.43777349999999998</v>
      </c>
      <c r="AF4179">
        <v>8.1520980000000005</v>
      </c>
      <c r="AG4179">
        <f>IFERROR(AH4179*0.1, "N/A")</f>
        <v>4.9461539999999999</v>
      </c>
      <c r="AH4179">
        <v>49.461539999999999</v>
      </c>
      <c r="AI4179">
        <v>164.79939999999999</v>
      </c>
      <c r="AJ4179">
        <v>30.667829999999999</v>
      </c>
      <c r="AK4179">
        <v>52.828670000000002</v>
      </c>
    </row>
    <row r="4180" spans="1:37" x14ac:dyDescent="0.3">
      <c r="A4180">
        <v>4179</v>
      </c>
      <c r="B4180">
        <v>49</v>
      </c>
      <c r="C4180">
        <v>3.89025</v>
      </c>
      <c r="D4180">
        <v>7.4008799999999999</v>
      </c>
      <c r="E4180" t="s">
        <v>6535</v>
      </c>
      <c r="F4180" t="s">
        <v>6536</v>
      </c>
      <c r="G4180" t="s">
        <v>39</v>
      </c>
      <c r="H4180">
        <v>2005</v>
      </c>
      <c r="I4180">
        <v>26.506959999999999</v>
      </c>
      <c r="J4180">
        <v>9.3000000000000007</v>
      </c>
      <c r="K4180">
        <v>70</v>
      </c>
      <c r="L4180">
        <v>13.0847</v>
      </c>
      <c r="M4180">
        <v>34</v>
      </c>
      <c r="N4180">
        <v>20.8</v>
      </c>
      <c r="O4180">
        <v>13.2</v>
      </c>
      <c r="P4180">
        <v>25.80696</v>
      </c>
      <c r="Q4180">
        <v>27.2</v>
      </c>
      <c r="R4180">
        <v>28.106960000000001</v>
      </c>
      <c r="S4180">
        <v>24.706959999999999</v>
      </c>
      <c r="T4180">
        <v>1301.07</v>
      </c>
      <c r="U4180">
        <v>187.06960000000001</v>
      </c>
      <c r="V4180">
        <v>6</v>
      </c>
      <c r="W4180">
        <v>63</v>
      </c>
      <c r="X4180">
        <v>514.13909999999998</v>
      </c>
      <c r="Y4180">
        <v>39</v>
      </c>
      <c r="Z4180">
        <v>249</v>
      </c>
      <c r="AA4180">
        <v>477.93040000000002</v>
      </c>
      <c r="AB4180">
        <v>2.5789569999999999</v>
      </c>
      <c r="AC4180">
        <v>0.6885251</v>
      </c>
      <c r="AD4180">
        <v>2.3392539999999999</v>
      </c>
      <c r="AE4180">
        <v>0.86532180000000003</v>
      </c>
      <c r="AF4180">
        <v>191.31479999999999</v>
      </c>
      <c r="AG4180">
        <f>IFERROR(AH4180*0.1, "N/A")</f>
        <v>6.7325220000000003</v>
      </c>
      <c r="AH4180">
        <v>67.325220000000002</v>
      </c>
      <c r="AI4180">
        <v>199.5907</v>
      </c>
      <c r="AJ4180">
        <v>21.92</v>
      </c>
      <c r="AK4180">
        <v>55.51652</v>
      </c>
    </row>
    <row r="4181" spans="1:37" x14ac:dyDescent="0.3">
      <c r="A4181">
        <v>4180</v>
      </c>
      <c r="B4181">
        <v>62.4</v>
      </c>
      <c r="C4181">
        <v>9.4499999999999993</v>
      </c>
      <c r="D4181">
        <v>9.3333300000000001</v>
      </c>
      <c r="E4181" t="s">
        <v>6537</v>
      </c>
      <c r="F4181" t="s">
        <v>6538</v>
      </c>
      <c r="G4181" t="s">
        <v>39</v>
      </c>
      <c r="H4181">
        <v>1996</v>
      </c>
      <c r="I4181">
        <v>21.943000000000001</v>
      </c>
      <c r="J4181">
        <v>12.02763</v>
      </c>
      <c r="K4181">
        <v>63.176169999999999</v>
      </c>
      <c r="L4181">
        <v>16.105229999999999</v>
      </c>
      <c r="M4181">
        <v>31.298100000000002</v>
      </c>
      <c r="N4181">
        <v>12.43299</v>
      </c>
      <c r="O4181">
        <v>18.865110000000001</v>
      </c>
      <c r="P4181">
        <v>20.57047</v>
      </c>
      <c r="Q4181">
        <v>20.84301</v>
      </c>
      <c r="R4181">
        <v>24.42539</v>
      </c>
      <c r="S4181">
        <v>20.57047</v>
      </c>
      <c r="T4181">
        <v>1152.3109999999999</v>
      </c>
      <c r="U4181">
        <v>271</v>
      </c>
      <c r="V4181">
        <v>0</v>
      </c>
      <c r="W4181">
        <v>99.723659999999995</v>
      </c>
      <c r="X4181">
        <v>720.40409999999997</v>
      </c>
      <c r="Y4181">
        <v>3</v>
      </c>
      <c r="Z4181">
        <v>194.95339999999999</v>
      </c>
      <c r="AA4181">
        <v>720.40409999999997</v>
      </c>
      <c r="AB4181">
        <v>62.53537</v>
      </c>
      <c r="AC4181">
        <v>1.296867E-2</v>
      </c>
      <c r="AD4181">
        <v>14.496919999999999</v>
      </c>
      <c r="AE4181">
        <v>0.70139580000000001</v>
      </c>
      <c r="AF4181">
        <v>1199.5940000000001</v>
      </c>
      <c r="AG4181">
        <f>IFERROR(AH4181*0.1, "N/A")</f>
        <v>5.9300519999999999</v>
      </c>
      <c r="AH4181">
        <v>59.300519999999999</v>
      </c>
      <c r="AI4181">
        <v>51.379550000000002</v>
      </c>
      <c r="AJ4181">
        <v>31.987909999999999</v>
      </c>
      <c r="AK4181">
        <v>43</v>
      </c>
    </row>
    <row r="4182" spans="1:37" x14ac:dyDescent="0.3">
      <c r="A4182">
        <v>4181</v>
      </c>
      <c r="B4182">
        <v>40.200000000000003</v>
      </c>
      <c r="C4182">
        <v>9.5333299999999994</v>
      </c>
      <c r="D4182">
        <v>8.8833300000000008</v>
      </c>
      <c r="E4182" t="s">
        <v>6539</v>
      </c>
      <c r="F4182" t="s">
        <v>6540</v>
      </c>
      <c r="G4182" t="s">
        <v>39</v>
      </c>
      <c r="H4182">
        <v>1996</v>
      </c>
      <c r="I4182">
        <v>27.715599999999998</v>
      </c>
      <c r="J4182">
        <v>12</v>
      </c>
      <c r="K4182">
        <v>61</v>
      </c>
      <c r="L4182">
        <v>15.05832</v>
      </c>
      <c r="M4182">
        <v>37.363779999999998</v>
      </c>
      <c r="N4182">
        <v>17.8</v>
      </c>
      <c r="O4182">
        <v>19.563780000000001</v>
      </c>
      <c r="P4182">
        <v>26.3156</v>
      </c>
      <c r="Q4182">
        <v>26.96378</v>
      </c>
      <c r="R4182">
        <v>30.015599999999999</v>
      </c>
      <c r="S4182">
        <v>26.3156</v>
      </c>
      <c r="T4182">
        <v>1178.614</v>
      </c>
      <c r="U4182">
        <v>239</v>
      </c>
      <c r="V4182">
        <v>0</v>
      </c>
      <c r="W4182">
        <v>92</v>
      </c>
      <c r="X4182">
        <v>658.94110000000001</v>
      </c>
      <c r="Y4182">
        <v>2</v>
      </c>
      <c r="Z4182">
        <v>222.5771</v>
      </c>
      <c r="AA4182">
        <v>658.94110000000001</v>
      </c>
      <c r="AB4182">
        <v>2.1483569999999999</v>
      </c>
      <c r="AC4182">
        <v>42.309150000000002</v>
      </c>
      <c r="AD4182">
        <v>2.8317770000000002</v>
      </c>
      <c r="AE4182">
        <v>0.69585109999999994</v>
      </c>
      <c r="AF4182">
        <v>194.9307</v>
      </c>
      <c r="AG4182">
        <f>IFERROR(AH4182*0.1, "N/A")</f>
        <v>6.2308490000000001</v>
      </c>
      <c r="AH4182">
        <v>62.308489999999999</v>
      </c>
      <c r="AI4182">
        <v>235.79089999999999</v>
      </c>
      <c r="AJ4182">
        <v>21</v>
      </c>
      <c r="AK4182">
        <v>57.99653</v>
      </c>
    </row>
    <row r="4183" spans="1:37" x14ac:dyDescent="0.3">
      <c r="A4183">
        <v>4182</v>
      </c>
      <c r="B4183">
        <v>22.9</v>
      </c>
      <c r="C4183">
        <v>9.1499699999999997</v>
      </c>
      <c r="D4183">
        <v>8.8002599999999997</v>
      </c>
      <c r="E4183" t="s">
        <v>6541</v>
      </c>
      <c r="F4183" t="s">
        <v>6542</v>
      </c>
      <c r="G4183" t="s">
        <v>39</v>
      </c>
      <c r="H4183">
        <v>1996</v>
      </c>
      <c r="I4183">
        <v>27.4</v>
      </c>
      <c r="J4183">
        <v>11.780939999999999</v>
      </c>
      <c r="K4183">
        <v>61</v>
      </c>
      <c r="L4183">
        <v>15.09487</v>
      </c>
      <c r="M4183">
        <v>36.884749999999997</v>
      </c>
      <c r="N4183">
        <v>17.719059999999999</v>
      </c>
      <c r="O4183">
        <v>19.165690000000001</v>
      </c>
      <c r="P4183">
        <v>25.90381</v>
      </c>
      <c r="Q4183">
        <v>26.703810000000001</v>
      </c>
      <c r="R4183">
        <v>29.684750000000001</v>
      </c>
      <c r="S4183">
        <v>25.90381</v>
      </c>
      <c r="T4183">
        <v>1291.279</v>
      </c>
      <c r="U4183">
        <v>259.53379999999999</v>
      </c>
      <c r="V4183">
        <v>0</v>
      </c>
      <c r="W4183">
        <v>92</v>
      </c>
      <c r="X4183">
        <v>737.2201</v>
      </c>
      <c r="Y4183">
        <v>4</v>
      </c>
      <c r="Z4183">
        <v>240.7244</v>
      </c>
      <c r="AA4183">
        <v>737.2201</v>
      </c>
      <c r="AB4183">
        <v>17.20692</v>
      </c>
      <c r="AC4183">
        <v>2.2667909999999999E-2</v>
      </c>
      <c r="AD4183">
        <v>1.8395630000000001</v>
      </c>
      <c r="AE4183">
        <v>0.70237760000000005</v>
      </c>
      <c r="AF4183">
        <v>241.286</v>
      </c>
      <c r="AG4183">
        <f>IFERROR(AH4183*0.1, "N/A")</f>
        <v>6</v>
      </c>
      <c r="AH4183">
        <v>60</v>
      </c>
      <c r="AI4183">
        <v>160.27600000000001</v>
      </c>
      <c r="AJ4183">
        <v>15.551130000000001</v>
      </c>
      <c r="AK4183">
        <v>64.448869999999999</v>
      </c>
    </row>
    <row r="4184" spans="1:37" x14ac:dyDescent="0.3">
      <c r="A4184">
        <v>4183</v>
      </c>
      <c r="B4184">
        <v>45.1</v>
      </c>
      <c r="C4184">
        <v>9.7575000000000003</v>
      </c>
      <c r="D4184">
        <v>9.1241699999999994</v>
      </c>
      <c r="E4184" t="s">
        <v>6543</v>
      </c>
      <c r="F4184" t="s">
        <v>6544</v>
      </c>
      <c r="G4184" t="s">
        <v>39</v>
      </c>
      <c r="H4184">
        <v>1996</v>
      </c>
      <c r="I4184">
        <v>26.6</v>
      </c>
      <c r="J4184">
        <v>12.3</v>
      </c>
      <c r="K4184">
        <v>61</v>
      </c>
      <c r="L4184">
        <v>15.82</v>
      </c>
      <c r="M4184">
        <v>36.4</v>
      </c>
      <c r="N4184">
        <v>16.3</v>
      </c>
      <c r="O4184">
        <v>20.100000000000001</v>
      </c>
      <c r="P4184">
        <v>25.2</v>
      </c>
      <c r="Q4184">
        <v>25.6</v>
      </c>
      <c r="R4184">
        <v>29</v>
      </c>
      <c r="S4184">
        <v>25.2</v>
      </c>
      <c r="T4184">
        <v>1131</v>
      </c>
      <c r="U4184">
        <v>240</v>
      </c>
      <c r="V4184">
        <v>0</v>
      </c>
      <c r="W4184">
        <v>96</v>
      </c>
      <c r="X4184">
        <v>668</v>
      </c>
      <c r="Y4184">
        <v>2</v>
      </c>
      <c r="Z4184">
        <v>198</v>
      </c>
      <c r="AA4184">
        <v>668</v>
      </c>
      <c r="AB4184">
        <v>6.8674650000000002</v>
      </c>
      <c r="AC4184">
        <v>0.80384829999999996</v>
      </c>
      <c r="AD4184">
        <v>3.103078</v>
      </c>
      <c r="AE4184">
        <v>0.72153400000000001</v>
      </c>
      <c r="AF4184">
        <v>376.71080000000001</v>
      </c>
      <c r="AG4184">
        <f>IFERROR(AH4184*0.1, "N/A")</f>
        <v>6.2</v>
      </c>
      <c r="AH4184">
        <v>62</v>
      </c>
      <c r="AI4184">
        <v>115.5217</v>
      </c>
      <c r="AJ4184">
        <v>19.502579999999998</v>
      </c>
      <c r="AK4184">
        <v>56</v>
      </c>
    </row>
    <row r="4185" spans="1:37" x14ac:dyDescent="0.3">
      <c r="A4185">
        <v>4184</v>
      </c>
      <c r="B4185">
        <v>58.8</v>
      </c>
      <c r="C4185">
        <v>9.7666699999999995</v>
      </c>
      <c r="D4185">
        <v>9.1411099999999994</v>
      </c>
      <c r="E4185" t="s">
        <v>6545</v>
      </c>
      <c r="F4185" t="s">
        <v>6546</v>
      </c>
      <c r="G4185" t="s">
        <v>39</v>
      </c>
      <c r="H4185">
        <v>1996</v>
      </c>
      <c r="I4185">
        <v>26.634250000000002</v>
      </c>
      <c r="J4185">
        <v>12.3</v>
      </c>
      <c r="K4185">
        <v>60.327019999999997</v>
      </c>
      <c r="L4185">
        <v>16.257470000000001</v>
      </c>
      <c r="M4185">
        <v>36.529429999999998</v>
      </c>
      <c r="N4185">
        <v>16.334250000000001</v>
      </c>
      <c r="O4185">
        <v>20.195180000000001</v>
      </c>
      <c r="P4185">
        <v>25.273669999999999</v>
      </c>
      <c r="Q4185">
        <v>25.651119999999999</v>
      </c>
      <c r="R4185">
        <v>29.140450000000001</v>
      </c>
      <c r="S4185">
        <v>25.273669999999999</v>
      </c>
      <c r="T4185">
        <v>1125.9659999999999</v>
      </c>
      <c r="U4185">
        <v>240.54730000000001</v>
      </c>
      <c r="V4185">
        <v>0</v>
      </c>
      <c r="W4185">
        <v>96.278829999999999</v>
      </c>
      <c r="X4185">
        <v>667.8107</v>
      </c>
      <c r="Y4185">
        <v>2</v>
      </c>
      <c r="Z4185">
        <v>195.54390000000001</v>
      </c>
      <c r="AA4185">
        <v>667.8107</v>
      </c>
      <c r="AB4185">
        <v>1.4340729999999999</v>
      </c>
      <c r="AC4185">
        <v>0.3005042</v>
      </c>
      <c r="AD4185">
        <v>1.209349</v>
      </c>
      <c r="AE4185">
        <v>0.73287279999999999</v>
      </c>
      <c r="AF4185">
        <v>363.86399999999998</v>
      </c>
      <c r="AG4185">
        <f>IFERROR(AH4185*0.1, "N/A")</f>
        <v>6.2600690000000005</v>
      </c>
      <c r="AH4185">
        <v>62.60069</v>
      </c>
      <c r="AI4185">
        <v>66.894390000000001</v>
      </c>
      <c r="AJ4185">
        <v>20.254729999999999</v>
      </c>
      <c r="AK4185">
        <v>52.240960000000001</v>
      </c>
    </row>
    <row r="4186" spans="1:37" x14ac:dyDescent="0.3">
      <c r="A4186">
        <v>4185</v>
      </c>
      <c r="B4186">
        <v>50</v>
      </c>
      <c r="C4186">
        <v>9.9666700000000006</v>
      </c>
      <c r="D4186">
        <v>9.1</v>
      </c>
      <c r="E4186" t="s">
        <v>6547</v>
      </c>
      <c r="F4186" t="s">
        <v>6548</v>
      </c>
      <c r="G4186" t="s">
        <v>39</v>
      </c>
      <c r="H4186">
        <v>1996</v>
      </c>
      <c r="I4186">
        <v>27.2181</v>
      </c>
      <c r="J4186">
        <v>12.4</v>
      </c>
      <c r="K4186">
        <v>59.653449999999999</v>
      </c>
      <c r="L4186">
        <v>16.30002</v>
      </c>
      <c r="M4186">
        <v>37.33052</v>
      </c>
      <c r="N4186">
        <v>16.734660000000002</v>
      </c>
      <c r="O4186">
        <v>20.595859999999998</v>
      </c>
      <c r="P4186">
        <v>25.918099999999999</v>
      </c>
      <c r="Q4186">
        <v>26.2181</v>
      </c>
      <c r="R4186">
        <v>29.752759999999999</v>
      </c>
      <c r="S4186">
        <v>25.86121</v>
      </c>
      <c r="T4186">
        <v>1083.25</v>
      </c>
      <c r="U4186">
        <v>231</v>
      </c>
      <c r="V4186">
        <v>0</v>
      </c>
      <c r="W4186">
        <v>96</v>
      </c>
      <c r="X4186">
        <v>641.38789999999995</v>
      </c>
      <c r="Y4186">
        <v>1</v>
      </c>
      <c r="Z4186">
        <v>187.6534</v>
      </c>
      <c r="AA4186">
        <v>278.16550000000001</v>
      </c>
      <c r="AB4186">
        <v>19.423110000000001</v>
      </c>
      <c r="AC4186">
        <v>2.4308260000000002E-2</v>
      </c>
      <c r="AD4186">
        <v>1.690372</v>
      </c>
      <c r="AE4186">
        <v>0.70171649999999997</v>
      </c>
      <c r="AF4186">
        <v>261.6431</v>
      </c>
      <c r="AG4186">
        <f>IFERROR(AH4186*0.1, "N/A")</f>
        <v>6.5608620000000002</v>
      </c>
      <c r="AH4186">
        <v>65.608620000000002</v>
      </c>
      <c r="AI4186">
        <v>226.6437</v>
      </c>
      <c r="AJ4186">
        <v>14.0069</v>
      </c>
      <c r="AK4186">
        <v>66.772409999999994</v>
      </c>
    </row>
    <row r="4187" spans="1:37" x14ac:dyDescent="0.3">
      <c r="A4187">
        <v>4186</v>
      </c>
      <c r="B4187">
        <v>32.4</v>
      </c>
      <c r="C4187">
        <v>6.8333300000000001</v>
      </c>
      <c r="D4187">
        <v>6.3333300000000001</v>
      </c>
      <c r="E4187" t="s">
        <v>6549</v>
      </c>
      <c r="F4187" t="s">
        <v>6550</v>
      </c>
      <c r="G4187" t="s">
        <v>39</v>
      </c>
      <c r="H4187">
        <v>1997</v>
      </c>
      <c r="I4187">
        <v>27.4</v>
      </c>
      <c r="J4187">
        <v>8.9</v>
      </c>
      <c r="K4187">
        <v>71.315880000000007</v>
      </c>
      <c r="L4187">
        <v>11.53843</v>
      </c>
      <c r="M4187">
        <v>34.299999999999997</v>
      </c>
      <c r="N4187">
        <v>21.93159</v>
      </c>
      <c r="O4187">
        <v>12.368410000000001</v>
      </c>
      <c r="P4187">
        <v>25.9</v>
      </c>
      <c r="Q4187">
        <v>27.8</v>
      </c>
      <c r="R4187">
        <v>29</v>
      </c>
      <c r="S4187">
        <v>25.9</v>
      </c>
      <c r="T4187">
        <v>1702.693</v>
      </c>
      <c r="U4187">
        <v>302.20240000000001</v>
      </c>
      <c r="V4187">
        <v>8.7417099999999994</v>
      </c>
      <c r="W4187">
        <v>71</v>
      </c>
      <c r="X4187">
        <v>747.83420000000001</v>
      </c>
      <c r="Y4187">
        <v>41.741709999999998</v>
      </c>
      <c r="Z4187">
        <v>226.6876</v>
      </c>
      <c r="AA4187">
        <v>747.83420000000001</v>
      </c>
      <c r="AB4187">
        <v>7.4504359999999998</v>
      </c>
      <c r="AC4187">
        <v>1.0587549999999999E-2</v>
      </c>
      <c r="AD4187">
        <v>1.304135</v>
      </c>
      <c r="AE4187">
        <v>0.64899649999999998</v>
      </c>
      <c r="AF4187">
        <v>21.237349999999999</v>
      </c>
      <c r="AG4187">
        <f>IFERROR(AH4187*0.1, "N/A")</f>
        <v>5.0602090000000004</v>
      </c>
      <c r="AH4187">
        <v>50.602089999999997</v>
      </c>
      <c r="AI4187">
        <v>222.13419999999999</v>
      </c>
      <c r="AJ4187">
        <v>30.769629999999999</v>
      </c>
      <c r="AK4187">
        <v>44.371729999999999</v>
      </c>
    </row>
    <row r="4188" spans="1:37" x14ac:dyDescent="0.3">
      <c r="A4188">
        <v>4187</v>
      </c>
      <c r="B4188">
        <v>23.3</v>
      </c>
      <c r="C4188">
        <v>4.5666700000000002</v>
      </c>
      <c r="D4188">
        <v>7.4666699999999997</v>
      </c>
      <c r="E4188" t="s">
        <v>6551</v>
      </c>
      <c r="F4188" t="s">
        <v>6552</v>
      </c>
      <c r="G4188" t="s">
        <v>39</v>
      </c>
      <c r="H4188">
        <v>1994</v>
      </c>
      <c r="I4188">
        <v>26.066490000000002</v>
      </c>
      <c r="J4188">
        <v>9.6</v>
      </c>
      <c r="K4188">
        <v>70.664929999999998</v>
      </c>
      <c r="L4188">
        <v>12.566509999999999</v>
      </c>
      <c r="M4188">
        <v>33.6</v>
      </c>
      <c r="N4188">
        <v>20.066490000000002</v>
      </c>
      <c r="O4188">
        <v>13.53351</v>
      </c>
      <c r="P4188">
        <v>24.720310000000001</v>
      </c>
      <c r="Q4188">
        <v>26.566490000000002</v>
      </c>
      <c r="R4188">
        <v>27.6</v>
      </c>
      <c r="S4188">
        <v>24.220310000000001</v>
      </c>
      <c r="T4188">
        <v>1349.184</v>
      </c>
      <c r="U4188">
        <v>213</v>
      </c>
      <c r="V4188">
        <v>9</v>
      </c>
      <c r="W4188">
        <v>62</v>
      </c>
      <c r="X4188">
        <v>527</v>
      </c>
      <c r="Y4188">
        <v>50</v>
      </c>
      <c r="Z4188">
        <v>244</v>
      </c>
      <c r="AA4188">
        <v>517.59199999999998</v>
      </c>
      <c r="AB4188">
        <v>20.543410000000002</v>
      </c>
      <c r="AC4188">
        <v>9.0949110000000007E-3</v>
      </c>
      <c r="AD4188">
        <v>2.861351</v>
      </c>
      <c r="AE4188">
        <v>0.85675199999999996</v>
      </c>
      <c r="AF4188">
        <v>293.13889999999998</v>
      </c>
      <c r="AG4188">
        <f>IFERROR(AH4188*0.1, "N/A")</f>
        <v>6.1000000000000005</v>
      </c>
      <c r="AH4188">
        <v>61</v>
      </c>
      <c r="AI4188">
        <v>101.02970000000001</v>
      </c>
      <c r="AJ4188">
        <v>20.00694</v>
      </c>
      <c r="AK4188">
        <v>62.00694</v>
      </c>
    </row>
    <row r="4189" spans="1:37" x14ac:dyDescent="0.3">
      <c r="A4189">
        <v>4188</v>
      </c>
      <c r="B4189">
        <v>0.3</v>
      </c>
      <c r="C4189">
        <v>7</v>
      </c>
      <c r="D4189">
        <v>6.1666699999999999</v>
      </c>
      <c r="E4189" t="s">
        <v>6553</v>
      </c>
      <c r="F4189" t="s">
        <v>6554</v>
      </c>
      <c r="G4189" t="s">
        <v>37</v>
      </c>
      <c r="H4189">
        <v>1994</v>
      </c>
      <c r="I4189">
        <v>26.245640000000002</v>
      </c>
      <c r="J4189">
        <v>8.8000000000000007</v>
      </c>
      <c r="K4189">
        <v>74.533100000000005</v>
      </c>
      <c r="L4189">
        <v>11.641389999999999</v>
      </c>
      <c r="M4189">
        <v>32.892339999999997</v>
      </c>
      <c r="N4189">
        <v>21.14565</v>
      </c>
      <c r="O4189">
        <v>11.746689999999999</v>
      </c>
      <c r="P4189">
        <v>24.649480000000001</v>
      </c>
      <c r="Q4189">
        <v>26.749479999999998</v>
      </c>
      <c r="R4189">
        <v>27.749479999999998</v>
      </c>
      <c r="S4189">
        <v>24.649480000000001</v>
      </c>
      <c r="T4189">
        <v>1869.3209999999999</v>
      </c>
      <c r="U4189">
        <v>313.5052</v>
      </c>
      <c r="V4189">
        <v>9.210801</v>
      </c>
      <c r="W4189">
        <v>68.827529999999996</v>
      </c>
      <c r="X4189">
        <v>800.9547</v>
      </c>
      <c r="Y4189">
        <v>51.249130000000001</v>
      </c>
      <c r="Z4189">
        <v>269.7439</v>
      </c>
      <c r="AA4189">
        <v>800.9547</v>
      </c>
      <c r="AB4189">
        <v>49.761330000000001</v>
      </c>
      <c r="AC4189">
        <v>4.6124520000000002E-2</v>
      </c>
      <c r="AD4189">
        <v>7.6701180000000004</v>
      </c>
      <c r="AE4189">
        <v>0.83254430000000001</v>
      </c>
      <c r="AF4189">
        <v>220.23869999999999</v>
      </c>
      <c r="AG4189">
        <f>IFERROR(AH4189*0.1, "N/A")</f>
        <v>5.6872819999999997</v>
      </c>
      <c r="AH4189">
        <v>56.872819999999997</v>
      </c>
      <c r="AI4189">
        <v>103.79810000000001</v>
      </c>
      <c r="AJ4189">
        <v>23.837980000000002</v>
      </c>
      <c r="AK4189">
        <v>63.205570000000002</v>
      </c>
    </row>
    <row r="4190" spans="1:37" x14ac:dyDescent="0.3">
      <c r="A4190">
        <v>4189</v>
      </c>
      <c r="B4190">
        <v>42.1</v>
      </c>
      <c r="C4190">
        <v>7.6</v>
      </c>
      <c r="D4190">
        <v>5.65</v>
      </c>
      <c r="E4190" t="s">
        <v>6555</v>
      </c>
      <c r="F4190" t="s">
        <v>6556</v>
      </c>
      <c r="G4190" t="s">
        <v>39</v>
      </c>
      <c r="H4190">
        <v>2001</v>
      </c>
      <c r="I4190">
        <v>26.417539999999999</v>
      </c>
      <c r="J4190">
        <v>8.6</v>
      </c>
      <c r="K4190">
        <v>76</v>
      </c>
      <c r="L4190">
        <v>9.8623510000000003</v>
      </c>
      <c r="M4190">
        <v>32.617539999999998</v>
      </c>
      <c r="N4190">
        <v>21.417539999999999</v>
      </c>
      <c r="O4190">
        <v>11.2</v>
      </c>
      <c r="P4190">
        <v>25.03509</v>
      </c>
      <c r="Q4190">
        <v>26.91526</v>
      </c>
      <c r="R4190">
        <v>27.715260000000001</v>
      </c>
      <c r="S4190">
        <v>25.03509</v>
      </c>
      <c r="T4190">
        <v>2100.0819999999999</v>
      </c>
      <c r="U4190">
        <v>315.37889999999999</v>
      </c>
      <c r="V4190">
        <v>13</v>
      </c>
      <c r="W4190">
        <v>64.198250000000002</v>
      </c>
      <c r="X4190">
        <v>890.1807</v>
      </c>
      <c r="Y4190">
        <v>78.801749999999998</v>
      </c>
      <c r="Z4190">
        <v>321.45089999999999</v>
      </c>
      <c r="AA4190">
        <v>890.1807</v>
      </c>
      <c r="AB4190">
        <v>40.861409999999999</v>
      </c>
      <c r="AC4190">
        <v>1.8208289999999999E-2</v>
      </c>
      <c r="AD4190">
        <v>3.595863</v>
      </c>
      <c r="AE4190">
        <v>0.51659080000000002</v>
      </c>
      <c r="AF4190">
        <v>136.3877</v>
      </c>
      <c r="AG4190">
        <f>IFERROR(AH4190*0.1, "N/A")</f>
        <v>5.262105</v>
      </c>
      <c r="AH4190">
        <v>52.621049999999997</v>
      </c>
      <c r="AI4190">
        <v>197.39699999999999</v>
      </c>
      <c r="AJ4190">
        <v>19.375440000000001</v>
      </c>
      <c r="AK4190">
        <v>71.898250000000004</v>
      </c>
    </row>
    <row r="4191" spans="1:37" x14ac:dyDescent="0.3">
      <c r="A4191">
        <v>4190</v>
      </c>
      <c r="B4191">
        <v>57.8</v>
      </c>
      <c r="C4191">
        <v>7.5236749999999999</v>
      </c>
      <c r="D4191">
        <v>5.4318470000000003</v>
      </c>
      <c r="E4191" t="s">
        <v>6557</v>
      </c>
      <c r="F4191" t="s">
        <v>6558</v>
      </c>
      <c r="G4191" t="s">
        <v>39</v>
      </c>
      <c r="H4191">
        <v>2001</v>
      </c>
      <c r="I4191">
        <v>26</v>
      </c>
      <c r="J4191">
        <v>8.5</v>
      </c>
      <c r="K4191">
        <v>77</v>
      </c>
      <c r="L4191">
        <v>8.86</v>
      </c>
      <c r="M4191">
        <v>32</v>
      </c>
      <c r="N4191">
        <v>21</v>
      </c>
      <c r="O4191">
        <v>11</v>
      </c>
      <c r="P4191">
        <v>24.7</v>
      </c>
      <c r="Q4191">
        <v>26.5</v>
      </c>
      <c r="R4191">
        <v>27.1</v>
      </c>
      <c r="S4191">
        <v>24.7</v>
      </c>
      <c r="T4191">
        <v>2196</v>
      </c>
      <c r="U4191">
        <v>329</v>
      </c>
      <c r="V4191">
        <v>17</v>
      </c>
      <c r="W4191">
        <v>62</v>
      </c>
      <c r="X4191">
        <v>920</v>
      </c>
      <c r="Y4191">
        <v>95</v>
      </c>
      <c r="Z4191">
        <v>356</v>
      </c>
      <c r="AA4191">
        <v>920</v>
      </c>
      <c r="AB4191">
        <v>30.903670000000002</v>
      </c>
      <c r="AC4191">
        <v>6.5016989999999997E-2</v>
      </c>
      <c r="AD4191">
        <v>2.21888</v>
      </c>
      <c r="AE4191">
        <v>0.70839549999999996</v>
      </c>
      <c r="AF4191">
        <v>125.6923</v>
      </c>
      <c r="AG4191">
        <f>IFERROR(AH4191*0.1, "N/A")</f>
        <v>5.3000000000000007</v>
      </c>
      <c r="AH4191">
        <v>53</v>
      </c>
      <c r="AI4191">
        <v>105.6969</v>
      </c>
      <c r="AJ4191">
        <v>22.70804</v>
      </c>
      <c r="AK4191">
        <v>66.875870000000006</v>
      </c>
    </row>
    <row r="4192" spans="1:37" x14ac:dyDescent="0.3">
      <c r="A4192">
        <v>4191</v>
      </c>
      <c r="B4192">
        <v>38.1</v>
      </c>
      <c r="C4192">
        <v>7.6833299999999998</v>
      </c>
      <c r="D4192">
        <v>5.4666699999999997</v>
      </c>
      <c r="E4192" t="s">
        <v>6559</v>
      </c>
      <c r="F4192" t="s">
        <v>6560</v>
      </c>
      <c r="G4192" t="s">
        <v>39</v>
      </c>
      <c r="H4192">
        <v>2001</v>
      </c>
      <c r="I4192">
        <v>26.6</v>
      </c>
      <c r="J4192">
        <v>8.5</v>
      </c>
      <c r="K4192">
        <v>75.931939999999997</v>
      </c>
      <c r="L4192">
        <v>9.3807849999999995</v>
      </c>
      <c r="M4192">
        <v>32.708030000000001</v>
      </c>
      <c r="N4192">
        <v>21.601220000000001</v>
      </c>
      <c r="O4192">
        <v>11.106809999999999</v>
      </c>
      <c r="P4192">
        <v>25.3</v>
      </c>
      <c r="Q4192">
        <v>27.1</v>
      </c>
      <c r="R4192">
        <v>27.808029999999999</v>
      </c>
      <c r="S4192">
        <v>25.3</v>
      </c>
      <c r="T4192">
        <v>2183.3939999999998</v>
      </c>
      <c r="U4192">
        <v>325</v>
      </c>
      <c r="V4192">
        <v>17</v>
      </c>
      <c r="W4192">
        <v>62</v>
      </c>
      <c r="X4192">
        <v>916.14829999999995</v>
      </c>
      <c r="Y4192">
        <v>93</v>
      </c>
      <c r="Z4192">
        <v>346.62299999999999</v>
      </c>
      <c r="AA4192">
        <v>916.14829999999995</v>
      </c>
      <c r="AB4192">
        <v>13.815530000000001</v>
      </c>
      <c r="AC4192">
        <v>3.7098249999999999E-2</v>
      </c>
      <c r="AD4192">
        <v>8.6884390000000007</v>
      </c>
      <c r="AE4192">
        <v>0.64225049999999995</v>
      </c>
      <c r="AF4192">
        <v>61.975569999999998</v>
      </c>
      <c r="AG4192">
        <f>IFERROR(AH4192*0.1, "N/A")</f>
        <v>5.2165790000000003</v>
      </c>
      <c r="AH4192">
        <v>52.165790000000001</v>
      </c>
      <c r="AI4192">
        <v>291.95780000000002</v>
      </c>
      <c r="AJ4192">
        <v>21.37696</v>
      </c>
      <c r="AK4192">
        <v>65.623040000000003</v>
      </c>
    </row>
    <row r="4193" spans="1:37" x14ac:dyDescent="0.3">
      <c r="A4193">
        <v>4192</v>
      </c>
      <c r="B4193">
        <v>48.8</v>
      </c>
      <c r="C4193">
        <v>7.6340700000000004</v>
      </c>
      <c r="D4193">
        <v>5.5583400000000003</v>
      </c>
      <c r="E4193" t="s">
        <v>6561</v>
      </c>
      <c r="F4193" t="s">
        <v>6562</v>
      </c>
      <c r="G4193" t="s">
        <v>39</v>
      </c>
      <c r="H4193">
        <v>2001</v>
      </c>
      <c r="I4193">
        <v>26.236080000000001</v>
      </c>
      <c r="J4193">
        <v>8.5</v>
      </c>
      <c r="K4193">
        <v>75.180390000000003</v>
      </c>
      <c r="L4193">
        <v>9.8655690000000007</v>
      </c>
      <c r="M4193">
        <v>32.418039999999998</v>
      </c>
      <c r="N4193">
        <v>21.236080000000001</v>
      </c>
      <c r="O4193">
        <v>11.18196</v>
      </c>
      <c r="P4193">
        <v>24.836079999999999</v>
      </c>
      <c r="Q4193">
        <v>26.736080000000001</v>
      </c>
      <c r="R4193">
        <v>27.518039999999999</v>
      </c>
      <c r="S4193">
        <v>24.836079999999999</v>
      </c>
      <c r="T4193">
        <v>2144.098</v>
      </c>
      <c r="U4193">
        <v>320.81959999999998</v>
      </c>
      <c r="V4193">
        <v>14.819610000000001</v>
      </c>
      <c r="W4193">
        <v>63</v>
      </c>
      <c r="X4193">
        <v>902.81960000000004</v>
      </c>
      <c r="Y4193">
        <v>86.639229999999998</v>
      </c>
      <c r="Z4193">
        <v>336.63920000000002</v>
      </c>
      <c r="AA4193">
        <v>902.81960000000004</v>
      </c>
      <c r="AB4193">
        <v>26.694749999999999</v>
      </c>
      <c r="AC4193">
        <v>2.7313489999999999E-2</v>
      </c>
      <c r="AD4193">
        <v>3.506262</v>
      </c>
      <c r="AE4193">
        <v>0.60446060000000001</v>
      </c>
      <c r="AF4193">
        <v>123.5271</v>
      </c>
      <c r="AG4193">
        <f>IFERROR(AH4193*0.1, "N/A")</f>
        <v>5.2362520000000004</v>
      </c>
      <c r="AH4193">
        <v>52.362520000000004</v>
      </c>
      <c r="AI4193">
        <v>248.97980000000001</v>
      </c>
      <c r="AJ4193">
        <v>23.36252</v>
      </c>
      <c r="AK4193">
        <v>66.274959999999993</v>
      </c>
    </row>
    <row r="4194" spans="1:37" x14ac:dyDescent="0.3">
      <c r="A4194">
        <v>4193</v>
      </c>
      <c r="B4194">
        <v>52</v>
      </c>
      <c r="C4194">
        <v>7.6339889999999997</v>
      </c>
      <c r="D4194">
        <v>5.5583400000000003</v>
      </c>
      <c r="E4194" t="s">
        <v>6563</v>
      </c>
      <c r="F4194" t="s">
        <v>6564</v>
      </c>
      <c r="G4194" t="s">
        <v>39</v>
      </c>
      <c r="H4194">
        <v>2001</v>
      </c>
      <c r="I4194">
        <v>26.236080000000001</v>
      </c>
      <c r="J4194">
        <v>8.5</v>
      </c>
      <c r="K4194">
        <v>75.180390000000003</v>
      </c>
      <c r="L4194">
        <v>9.8655690000000007</v>
      </c>
      <c r="M4194">
        <v>32.418039999999998</v>
      </c>
      <c r="N4194">
        <v>21.236080000000001</v>
      </c>
      <c r="O4194">
        <v>11.18196</v>
      </c>
      <c r="P4194">
        <v>24.836079999999999</v>
      </c>
      <c r="Q4194">
        <v>26.736080000000001</v>
      </c>
      <c r="R4194">
        <v>27.518039999999999</v>
      </c>
      <c r="S4194">
        <v>24.836079999999999</v>
      </c>
      <c r="T4194">
        <v>2144.098</v>
      </c>
      <c r="U4194">
        <v>320.81959999999998</v>
      </c>
      <c r="V4194">
        <v>14.819610000000001</v>
      </c>
      <c r="W4194">
        <v>63</v>
      </c>
      <c r="X4194">
        <v>902.81960000000004</v>
      </c>
      <c r="Y4194">
        <v>86.639229999999998</v>
      </c>
      <c r="Z4194">
        <v>336.63920000000002</v>
      </c>
      <c r="AA4194">
        <v>902.81960000000004</v>
      </c>
      <c r="AB4194">
        <v>26.35604</v>
      </c>
      <c r="AC4194">
        <v>2.8594970000000001E-2</v>
      </c>
      <c r="AD4194">
        <v>3.4401769999999998</v>
      </c>
      <c r="AE4194">
        <v>0.60446060000000001</v>
      </c>
      <c r="AF4194">
        <v>122.986</v>
      </c>
      <c r="AG4194">
        <f>IFERROR(AH4194*0.1, "N/A")</f>
        <v>5.2357270000000007</v>
      </c>
      <c r="AH4194">
        <v>52.35727</v>
      </c>
      <c r="AI4194">
        <v>247.239</v>
      </c>
      <c r="AJ4194">
        <v>23.35727</v>
      </c>
      <c r="AK4194">
        <v>66.28546</v>
      </c>
    </row>
    <row r="4195" spans="1:37" x14ac:dyDescent="0.3">
      <c r="A4195">
        <v>4194</v>
      </c>
      <c r="B4195">
        <v>20.6</v>
      </c>
      <c r="C4195">
        <v>8.3088440000000006</v>
      </c>
      <c r="D4195">
        <v>8.5705139999999993</v>
      </c>
      <c r="E4195" t="s">
        <v>6565</v>
      </c>
      <c r="F4195" t="s">
        <v>6566</v>
      </c>
      <c r="G4195" t="s">
        <v>39</v>
      </c>
      <c r="H4195">
        <v>2002</v>
      </c>
      <c r="I4195">
        <v>27.8</v>
      </c>
      <c r="J4195">
        <v>11.3</v>
      </c>
      <c r="K4195">
        <v>62</v>
      </c>
      <c r="L4195">
        <v>14.43482</v>
      </c>
      <c r="M4195">
        <v>36.9</v>
      </c>
      <c r="N4195">
        <v>18.7</v>
      </c>
      <c r="O4195">
        <v>18.2</v>
      </c>
      <c r="P4195">
        <v>26.3</v>
      </c>
      <c r="Q4195">
        <v>27.47861</v>
      </c>
      <c r="R4195">
        <v>29.9</v>
      </c>
      <c r="S4195">
        <v>26.3</v>
      </c>
      <c r="T4195">
        <v>1339.2139999999999</v>
      </c>
      <c r="U4195">
        <v>270</v>
      </c>
      <c r="V4195">
        <v>0</v>
      </c>
      <c r="W4195">
        <v>90</v>
      </c>
      <c r="X4195">
        <v>758</v>
      </c>
      <c r="Y4195">
        <v>8</v>
      </c>
      <c r="Z4195">
        <v>138.08699999999999</v>
      </c>
      <c r="AA4195">
        <v>758</v>
      </c>
      <c r="AB4195">
        <v>7.6906090000000003</v>
      </c>
      <c r="AC4195">
        <v>8.2616579999999995E-2</v>
      </c>
      <c r="AD4195">
        <v>1.6225419999999999</v>
      </c>
      <c r="AE4195">
        <v>0.69552170000000002</v>
      </c>
      <c r="AF4195">
        <v>107.09569999999999</v>
      </c>
      <c r="AG4195">
        <f>IFERROR(AH4195*0.1, "N/A")</f>
        <v>6.1521740000000005</v>
      </c>
      <c r="AH4195">
        <v>61.521740000000001</v>
      </c>
      <c r="AI4195">
        <v>132.80179999999999</v>
      </c>
      <c r="AJ4195">
        <v>15.42957</v>
      </c>
      <c r="AK4195">
        <v>69.94435</v>
      </c>
    </row>
    <row r="4196" spans="1:37" x14ac:dyDescent="0.3">
      <c r="A4196">
        <v>4195</v>
      </c>
      <c r="B4196">
        <v>9.9</v>
      </c>
      <c r="C4196">
        <v>9.1219099999999997</v>
      </c>
      <c r="D4196">
        <v>10.066700000000001</v>
      </c>
      <c r="E4196" t="s">
        <v>6567</v>
      </c>
      <c r="F4196" t="s">
        <v>6568</v>
      </c>
      <c r="G4196" t="s">
        <v>37</v>
      </c>
      <c r="H4196">
        <v>2007</v>
      </c>
      <c r="I4196">
        <v>23.9</v>
      </c>
      <c r="J4196">
        <v>12.5</v>
      </c>
      <c r="K4196">
        <v>63</v>
      </c>
      <c r="L4196">
        <v>16.617080000000001</v>
      </c>
      <c r="M4196">
        <v>33.700000000000003</v>
      </c>
      <c r="N4196">
        <v>14.06615</v>
      </c>
      <c r="O4196">
        <v>19.633849999999999</v>
      </c>
      <c r="P4196">
        <v>22.6</v>
      </c>
      <c r="Q4196">
        <v>22.666149999999998</v>
      </c>
      <c r="R4196">
        <v>26.4</v>
      </c>
      <c r="S4196">
        <v>22.466149999999999</v>
      </c>
      <c r="T4196">
        <v>1212.662</v>
      </c>
      <c r="U4196">
        <v>286.66149999999999</v>
      </c>
      <c r="V4196">
        <v>0</v>
      </c>
      <c r="W4196">
        <v>105</v>
      </c>
      <c r="X4196">
        <v>773.66150000000005</v>
      </c>
      <c r="Y4196">
        <v>2</v>
      </c>
      <c r="Z4196">
        <v>211</v>
      </c>
      <c r="AA4196">
        <v>3</v>
      </c>
      <c r="AB4196">
        <v>20.90653</v>
      </c>
      <c r="AC4196">
        <v>1.8718240000000001E-2</v>
      </c>
      <c r="AD4196">
        <v>2.5990829999999998</v>
      </c>
      <c r="AE4196">
        <v>0.71076819999999996</v>
      </c>
      <c r="AF4196">
        <v>934.90549999999996</v>
      </c>
      <c r="AG4196">
        <f>IFERROR(AH4196*0.1, "N/A")</f>
        <v>6.1000000000000005</v>
      </c>
      <c r="AH4196">
        <v>61</v>
      </c>
      <c r="AI4196">
        <v>261.14940000000001</v>
      </c>
      <c r="AJ4196">
        <v>19</v>
      </c>
      <c r="AK4196">
        <v>58</v>
      </c>
    </row>
    <row r="4197" spans="1:37" x14ac:dyDescent="0.3">
      <c r="A4197">
        <v>4196</v>
      </c>
      <c r="B4197">
        <v>63.8</v>
      </c>
      <c r="C4197">
        <v>3.8161100000000001</v>
      </c>
      <c r="D4197">
        <v>10.432499999999999</v>
      </c>
      <c r="E4197" t="s">
        <v>6569</v>
      </c>
      <c r="F4197" t="s">
        <v>6570</v>
      </c>
      <c r="G4197" t="s">
        <v>39</v>
      </c>
      <c r="H4197">
        <v>1988</v>
      </c>
      <c r="I4197">
        <v>26.8</v>
      </c>
      <c r="J4197">
        <v>13</v>
      </c>
      <c r="K4197">
        <v>60</v>
      </c>
      <c r="L4197">
        <v>18.482060000000001</v>
      </c>
      <c r="M4197">
        <v>37.4</v>
      </c>
      <c r="N4197">
        <v>16</v>
      </c>
      <c r="O4197">
        <v>21.4</v>
      </c>
      <c r="P4197">
        <v>25.175260000000002</v>
      </c>
      <c r="Q4197">
        <v>26</v>
      </c>
      <c r="R4197">
        <v>29.6</v>
      </c>
      <c r="S4197">
        <v>25.175260000000002</v>
      </c>
      <c r="T4197">
        <v>1107.124</v>
      </c>
      <c r="U4197">
        <v>264.12369999999999</v>
      </c>
      <c r="V4197">
        <v>0</v>
      </c>
      <c r="W4197">
        <v>100</v>
      </c>
      <c r="X4197">
        <v>678.12369999999999</v>
      </c>
      <c r="Y4197">
        <v>3</v>
      </c>
      <c r="Z4197">
        <v>191</v>
      </c>
      <c r="AA4197">
        <v>678.12369999999999</v>
      </c>
      <c r="AB4197">
        <v>10.699479999999999</v>
      </c>
      <c r="AC4197">
        <v>6.0439769999999997E-2</v>
      </c>
      <c r="AD4197">
        <v>1.20383</v>
      </c>
      <c r="AE4197">
        <v>0.51293949999999999</v>
      </c>
      <c r="AF4197">
        <v>289.68729999999999</v>
      </c>
      <c r="AG4197">
        <f>IFERROR(AH4197*0.1, "N/A")</f>
        <v>6.5190720000000004</v>
      </c>
      <c r="AH4197">
        <v>65.190719999999999</v>
      </c>
      <c r="AI4197">
        <v>218.78309999999999</v>
      </c>
      <c r="AJ4197">
        <v>17</v>
      </c>
      <c r="AK4197">
        <v>60.809280000000001</v>
      </c>
    </row>
    <row r="4198" spans="1:37" x14ac:dyDescent="0.3">
      <c r="A4198">
        <v>4197</v>
      </c>
      <c r="B4198">
        <v>10</v>
      </c>
      <c r="C4198">
        <v>3.6833300000000002</v>
      </c>
      <c r="D4198">
        <v>10.283300000000001</v>
      </c>
      <c r="E4198" t="s">
        <v>6571</v>
      </c>
      <c r="F4198" t="s">
        <v>6572</v>
      </c>
      <c r="G4198" t="s">
        <v>39</v>
      </c>
      <c r="H4198">
        <v>1988</v>
      </c>
      <c r="I4198">
        <v>26.693460000000002</v>
      </c>
      <c r="J4198">
        <v>13</v>
      </c>
      <c r="K4198">
        <v>62</v>
      </c>
      <c r="L4198">
        <v>17.491620000000001</v>
      </c>
      <c r="M4198">
        <v>37.086919999999999</v>
      </c>
      <c r="N4198">
        <v>16.29346</v>
      </c>
      <c r="O4198">
        <v>20.79346</v>
      </c>
      <c r="P4198">
        <v>24.974350000000001</v>
      </c>
      <c r="Q4198">
        <v>26.152149999999999</v>
      </c>
      <c r="R4198">
        <v>29.29346</v>
      </c>
      <c r="S4198">
        <v>24.974350000000001</v>
      </c>
      <c r="T4198">
        <v>1117.1310000000001</v>
      </c>
      <c r="U4198">
        <v>252</v>
      </c>
      <c r="V4198">
        <v>0</v>
      </c>
      <c r="W4198">
        <v>96</v>
      </c>
      <c r="X4198">
        <v>665.06539999999995</v>
      </c>
      <c r="Y4198">
        <v>4</v>
      </c>
      <c r="Z4198">
        <v>209.06540000000001</v>
      </c>
      <c r="AA4198">
        <v>665.06539999999995</v>
      </c>
      <c r="AB4198">
        <v>24.321159999999999</v>
      </c>
      <c r="AC4198">
        <v>2.697749E-2</v>
      </c>
      <c r="AD4198">
        <v>2.0545019999999998</v>
      </c>
      <c r="AE4198">
        <v>0.16908200000000001</v>
      </c>
      <c r="AF4198">
        <v>316.51459999999997</v>
      </c>
      <c r="AG4198">
        <f>IFERROR(AH4198*0.1, "N/A")</f>
        <v>5.7287439999999998</v>
      </c>
      <c r="AH4198">
        <v>57.287439999999997</v>
      </c>
      <c r="AI4198">
        <v>137.4392</v>
      </c>
      <c r="AJ4198">
        <v>13.574870000000001</v>
      </c>
      <c r="AK4198">
        <v>67</v>
      </c>
    </row>
    <row r="4199" spans="1:37" x14ac:dyDescent="0.3">
      <c r="A4199">
        <v>4198</v>
      </c>
      <c r="B4199">
        <v>41.7</v>
      </c>
      <c r="C4199">
        <v>3.9</v>
      </c>
      <c r="D4199">
        <v>10.416700000000001</v>
      </c>
      <c r="E4199" t="s">
        <v>6573</v>
      </c>
      <c r="F4199" t="s">
        <v>6574</v>
      </c>
      <c r="G4199" t="s">
        <v>39</v>
      </c>
      <c r="H4199">
        <v>1988</v>
      </c>
      <c r="I4199">
        <v>26.732990000000001</v>
      </c>
      <c r="J4199">
        <v>12.948449999999999</v>
      </c>
      <c r="K4199">
        <v>60</v>
      </c>
      <c r="L4199">
        <v>18.518660000000001</v>
      </c>
      <c r="M4199">
        <v>37.299999999999997</v>
      </c>
      <c r="N4199">
        <v>15.9</v>
      </c>
      <c r="O4199">
        <v>21.4</v>
      </c>
      <c r="P4199">
        <v>25.037459999999999</v>
      </c>
      <c r="Q4199">
        <v>26</v>
      </c>
      <c r="R4199">
        <v>29.5</v>
      </c>
      <c r="S4199">
        <v>25.037459999999999</v>
      </c>
      <c r="T4199">
        <v>1105.67</v>
      </c>
      <c r="U4199">
        <v>261.37459999999999</v>
      </c>
      <c r="V4199">
        <v>0</v>
      </c>
      <c r="W4199">
        <v>99</v>
      </c>
      <c r="X4199">
        <v>677.37459999999999</v>
      </c>
      <c r="Y4199">
        <v>3</v>
      </c>
      <c r="Z4199">
        <v>190.2955</v>
      </c>
      <c r="AA4199">
        <v>677.37459999999999</v>
      </c>
      <c r="AB4199">
        <v>6.8520690000000002</v>
      </c>
      <c r="AC4199">
        <v>9.9111179999999993E-2</v>
      </c>
      <c r="AD4199">
        <v>0.86100929999999998</v>
      </c>
      <c r="AE4199">
        <v>0.20860890000000001</v>
      </c>
      <c r="AF4199">
        <v>296.33330000000001</v>
      </c>
      <c r="AG4199">
        <f>IFERROR(AH4199*0.1, "N/A")</f>
        <v>5.8321310000000004</v>
      </c>
      <c r="AH4199">
        <v>58.321309999999997</v>
      </c>
      <c r="AI4199">
        <v>51.618259999999999</v>
      </c>
      <c r="AJ4199">
        <v>16.16667</v>
      </c>
      <c r="AK4199">
        <v>62.833329999999997</v>
      </c>
    </row>
    <row r="4200" spans="1:37" x14ac:dyDescent="0.3">
      <c r="A4200">
        <v>4199</v>
      </c>
      <c r="B4200">
        <v>12.5</v>
      </c>
      <c r="C4200">
        <v>3.66649</v>
      </c>
      <c r="D4200">
        <v>10.2422</v>
      </c>
      <c r="E4200" t="s">
        <v>6575</v>
      </c>
      <c r="F4200" t="s">
        <v>6576</v>
      </c>
      <c r="G4200" t="s">
        <v>39</v>
      </c>
      <c r="H4200">
        <v>1988</v>
      </c>
      <c r="I4200">
        <v>26.60981</v>
      </c>
      <c r="J4200">
        <v>13</v>
      </c>
      <c r="K4200">
        <v>62</v>
      </c>
      <c r="L4200">
        <v>17.412790000000001</v>
      </c>
      <c r="M4200">
        <v>37.009810000000002</v>
      </c>
      <c r="N4200">
        <v>16.309809999999999</v>
      </c>
      <c r="O4200">
        <v>20.7</v>
      </c>
      <c r="P4200">
        <v>24.81962</v>
      </c>
      <c r="Q4200">
        <v>26.10981</v>
      </c>
      <c r="R4200">
        <v>29.2</v>
      </c>
      <c r="S4200">
        <v>24.81962</v>
      </c>
      <c r="T4200">
        <v>1120.902</v>
      </c>
      <c r="U4200">
        <v>248.90190000000001</v>
      </c>
      <c r="V4200">
        <v>0</v>
      </c>
      <c r="W4200">
        <v>95.901889999999995</v>
      </c>
      <c r="X4200">
        <v>662.80380000000002</v>
      </c>
      <c r="Y4200">
        <v>4</v>
      </c>
      <c r="Z4200">
        <v>213.8417</v>
      </c>
      <c r="AA4200">
        <v>662.80380000000002</v>
      </c>
      <c r="AB4200">
        <v>2.935813</v>
      </c>
      <c r="AC4200">
        <v>6.2173060000000002E-2</v>
      </c>
      <c r="AD4200">
        <v>1.42153</v>
      </c>
      <c r="AE4200">
        <v>0.18584639999999999</v>
      </c>
      <c r="AF4200">
        <v>310.5043</v>
      </c>
      <c r="AG4200">
        <f>IFERROR(AH4200*0.1, "N/A")</f>
        <v>5.8857140000000001</v>
      </c>
      <c r="AH4200">
        <v>58.857140000000001</v>
      </c>
      <c r="AI4200">
        <v>243.69380000000001</v>
      </c>
      <c r="AJ4200">
        <v>13.678140000000001</v>
      </c>
      <c r="AK4200">
        <v>68.020650000000003</v>
      </c>
    </row>
    <row r="4201" spans="1:37" x14ac:dyDescent="0.3">
      <c r="A4201">
        <v>4200</v>
      </c>
      <c r="B4201">
        <v>2.5</v>
      </c>
      <c r="C4201">
        <v>4.02806</v>
      </c>
      <c r="D4201">
        <v>10.6067</v>
      </c>
      <c r="E4201" t="s">
        <v>6577</v>
      </c>
      <c r="F4201" t="s">
        <v>6578</v>
      </c>
      <c r="G4201" t="s">
        <v>39</v>
      </c>
      <c r="H4201">
        <v>1988</v>
      </c>
      <c r="I4201">
        <v>26.7</v>
      </c>
      <c r="J4201">
        <v>13</v>
      </c>
      <c r="K4201">
        <v>58</v>
      </c>
      <c r="L4201">
        <v>20.16</v>
      </c>
      <c r="M4201">
        <v>37.5</v>
      </c>
      <c r="N4201">
        <v>15.4</v>
      </c>
      <c r="O4201">
        <v>22.1</v>
      </c>
      <c r="P4201">
        <v>25</v>
      </c>
      <c r="Q4201">
        <v>25.7</v>
      </c>
      <c r="R4201">
        <v>29.8</v>
      </c>
      <c r="S4201">
        <v>25</v>
      </c>
      <c r="T4201">
        <v>1088</v>
      </c>
      <c r="U4201">
        <v>271</v>
      </c>
      <c r="V4201">
        <v>0</v>
      </c>
      <c r="W4201">
        <v>103</v>
      </c>
      <c r="X4201">
        <v>686</v>
      </c>
      <c r="Y4201">
        <v>3</v>
      </c>
      <c r="Z4201">
        <v>172</v>
      </c>
      <c r="AA4201">
        <v>686</v>
      </c>
      <c r="AB4201">
        <v>15.051629999999999</v>
      </c>
      <c r="AC4201">
        <v>1.8150030000000001E-2</v>
      </c>
      <c r="AD4201">
        <v>1.660744</v>
      </c>
      <c r="AE4201">
        <v>0.43007970000000001</v>
      </c>
      <c r="AF4201">
        <v>301.36540000000002</v>
      </c>
      <c r="AG4201">
        <f>IFERROR(AH4201*0.1, "N/A")</f>
        <v>6.0085760000000006</v>
      </c>
      <c r="AH4201">
        <v>60.085760000000001</v>
      </c>
      <c r="AI4201">
        <v>86.887110000000007</v>
      </c>
      <c r="AJ4201">
        <v>10.171530000000001</v>
      </c>
      <c r="AK4201">
        <v>71.828469999999996</v>
      </c>
    </row>
    <row r="4202" spans="1:37" x14ac:dyDescent="0.3">
      <c r="A4202">
        <v>4201</v>
      </c>
      <c r="B4202">
        <v>33.299999999999997</v>
      </c>
      <c r="C4202">
        <v>3.9</v>
      </c>
      <c r="D4202">
        <v>10.533300000000001</v>
      </c>
      <c r="E4202" t="s">
        <v>6579</v>
      </c>
      <c r="F4202" t="s">
        <v>6580</v>
      </c>
      <c r="G4202" t="s">
        <v>39</v>
      </c>
      <c r="H4202">
        <v>1988</v>
      </c>
      <c r="I4202">
        <v>26.7</v>
      </c>
      <c r="J4202">
        <v>13</v>
      </c>
      <c r="K4202">
        <v>59.6175</v>
      </c>
      <c r="L4202">
        <v>19.13552</v>
      </c>
      <c r="M4202">
        <v>37.384740000000001</v>
      </c>
      <c r="N4202">
        <v>15.74648</v>
      </c>
      <c r="O4202">
        <v>21.638249999999999</v>
      </c>
      <c r="P4202">
        <v>25</v>
      </c>
      <c r="Q4202">
        <v>25.8</v>
      </c>
      <c r="R4202">
        <v>29.6</v>
      </c>
      <c r="S4202">
        <v>25</v>
      </c>
      <c r="T4202">
        <v>1105.165</v>
      </c>
      <c r="U4202">
        <v>272.012</v>
      </c>
      <c r="V4202">
        <v>0</v>
      </c>
      <c r="W4202">
        <v>101</v>
      </c>
      <c r="X4202">
        <v>688.16470000000004</v>
      </c>
      <c r="Y4202">
        <v>3</v>
      </c>
      <c r="Z4202">
        <v>182</v>
      </c>
      <c r="AA4202">
        <v>688.16470000000004</v>
      </c>
      <c r="AB4202">
        <v>9.6181629999999991</v>
      </c>
      <c r="AC4202">
        <v>1.1261709999999999E-2</v>
      </c>
      <c r="AD4202">
        <v>1.5686910000000001</v>
      </c>
      <c r="AE4202">
        <v>0.2193744</v>
      </c>
      <c r="AF4202">
        <v>309.4751</v>
      </c>
      <c r="AG4202">
        <f>IFERROR(AH4202*0.1, "N/A")</f>
        <v>5.8927960000000006</v>
      </c>
      <c r="AH4202">
        <v>58.927959999999999</v>
      </c>
      <c r="AI4202">
        <v>130.32570000000001</v>
      </c>
      <c r="AJ4202">
        <v>14.072039999999999</v>
      </c>
      <c r="AK4202">
        <v>68</v>
      </c>
    </row>
    <row r="4203" spans="1:37" x14ac:dyDescent="0.3">
      <c r="A4203">
        <v>4202</v>
      </c>
      <c r="B4203">
        <v>100</v>
      </c>
      <c r="C4203">
        <v>3.9</v>
      </c>
      <c r="D4203">
        <v>10.4833</v>
      </c>
      <c r="E4203" t="s">
        <v>6581</v>
      </c>
      <c r="F4203" t="s">
        <v>6582</v>
      </c>
      <c r="G4203" t="s">
        <v>39</v>
      </c>
      <c r="H4203">
        <v>1988</v>
      </c>
      <c r="I4203">
        <v>26.7</v>
      </c>
      <c r="J4203">
        <v>13</v>
      </c>
      <c r="K4203">
        <v>59.593159999999997</v>
      </c>
      <c r="L4203">
        <v>18.861470000000001</v>
      </c>
      <c r="M4203">
        <v>37.340679999999999</v>
      </c>
      <c r="N4203">
        <v>15.71538</v>
      </c>
      <c r="O4203">
        <v>21.625299999999999</v>
      </c>
      <c r="P4203">
        <v>25.084620000000001</v>
      </c>
      <c r="Q4203">
        <v>25.9</v>
      </c>
      <c r="R4203">
        <v>29.6</v>
      </c>
      <c r="S4203">
        <v>25.084620000000001</v>
      </c>
      <c r="T4203">
        <v>1104.154</v>
      </c>
      <c r="U4203">
        <v>267.48379999999997</v>
      </c>
      <c r="V4203">
        <v>0</v>
      </c>
      <c r="W4203">
        <v>100.07689999999999</v>
      </c>
      <c r="X4203">
        <v>683.48379999999997</v>
      </c>
      <c r="Y4203">
        <v>3</v>
      </c>
      <c r="Z4203">
        <v>184.67009999999999</v>
      </c>
      <c r="AA4203">
        <v>683.48379999999997</v>
      </c>
      <c r="AB4203">
        <v>4.4531770000000002</v>
      </c>
      <c r="AC4203">
        <v>2.522375E-2</v>
      </c>
      <c r="AD4203">
        <v>1.0417620000000001</v>
      </c>
      <c r="AE4203">
        <v>0.27561429999999998</v>
      </c>
      <c r="AF4203">
        <v>298.35210000000001</v>
      </c>
      <c r="AG4203">
        <f>IFERROR(AH4203*0.1, "N/A")</f>
        <v>5.815385</v>
      </c>
      <c r="AH4203">
        <v>58.153849999999998</v>
      </c>
      <c r="AI4203">
        <v>178.9034</v>
      </c>
      <c r="AJ4203">
        <v>16.153849999999998</v>
      </c>
      <c r="AK4203">
        <v>60.692309999999999</v>
      </c>
    </row>
    <row r="4204" spans="1:37" x14ac:dyDescent="0.3">
      <c r="A4204">
        <v>4203</v>
      </c>
      <c r="B4204">
        <v>40</v>
      </c>
      <c r="C4204">
        <v>3.7833299999999999</v>
      </c>
      <c r="D4204">
        <v>10.3667</v>
      </c>
      <c r="E4204" t="s">
        <v>6583</v>
      </c>
      <c r="F4204" t="s">
        <v>6584</v>
      </c>
      <c r="G4204" t="s">
        <v>39</v>
      </c>
      <c r="H4204">
        <v>1988</v>
      </c>
      <c r="I4204">
        <v>26.8</v>
      </c>
      <c r="J4204">
        <v>12.99225</v>
      </c>
      <c r="K4204">
        <v>61</v>
      </c>
      <c r="L4204">
        <v>18.067620000000002</v>
      </c>
      <c r="M4204">
        <v>37.270049999999998</v>
      </c>
      <c r="N4204">
        <v>16.158860000000001</v>
      </c>
      <c r="O4204">
        <v>21.111190000000001</v>
      </c>
      <c r="P4204">
        <v>25.0778</v>
      </c>
      <c r="Q4204">
        <v>26.1</v>
      </c>
      <c r="R4204">
        <v>29.528919999999999</v>
      </c>
      <c r="S4204">
        <v>25.0778</v>
      </c>
      <c r="T4204">
        <v>1110.3440000000001</v>
      </c>
      <c r="U4204">
        <v>258.63339999999999</v>
      </c>
      <c r="V4204">
        <v>0</v>
      </c>
      <c r="W4204">
        <v>98.633390000000006</v>
      </c>
      <c r="X4204">
        <v>672.3442</v>
      </c>
      <c r="Y4204">
        <v>3</v>
      </c>
      <c r="Z4204">
        <v>198</v>
      </c>
      <c r="AA4204">
        <v>672.3442</v>
      </c>
      <c r="AB4204">
        <v>8.4602489999999992</v>
      </c>
      <c r="AC4204">
        <v>3.9391469999999998E-2</v>
      </c>
      <c r="AD4204">
        <v>0.82392319999999997</v>
      </c>
      <c r="AE4204">
        <v>0.17115159999999999</v>
      </c>
      <c r="AF4204">
        <v>286.327</v>
      </c>
      <c r="AG4204">
        <f>IFERROR(AH4204*0.1, "N/A")</f>
        <v>5.9199660000000005</v>
      </c>
      <c r="AH4204">
        <v>59.199660000000002</v>
      </c>
      <c r="AI4204">
        <v>184.0744</v>
      </c>
      <c r="AJ4204">
        <v>19.60069</v>
      </c>
      <c r="AK4204">
        <v>58.199660000000002</v>
      </c>
    </row>
    <row r="4205" spans="1:37" x14ac:dyDescent="0.3">
      <c r="A4205">
        <v>4204</v>
      </c>
      <c r="B4205">
        <v>47.7</v>
      </c>
      <c r="C4205">
        <v>7.05</v>
      </c>
      <c r="D4205">
        <v>6.1</v>
      </c>
      <c r="E4205" t="s">
        <v>6585</v>
      </c>
      <c r="F4205" t="s">
        <v>6586</v>
      </c>
      <c r="G4205" t="s">
        <v>39</v>
      </c>
      <c r="H4205">
        <v>1994</v>
      </c>
      <c r="I4205">
        <v>26.216550000000002</v>
      </c>
      <c r="J4205">
        <v>8.760453</v>
      </c>
      <c r="K4205">
        <v>75</v>
      </c>
      <c r="L4205">
        <v>11.40706</v>
      </c>
      <c r="M4205">
        <v>32.863239999999998</v>
      </c>
      <c r="N4205">
        <v>21.210629999999998</v>
      </c>
      <c r="O4205">
        <v>11.652609999999999</v>
      </c>
      <c r="P4205">
        <v>24.710629999999998</v>
      </c>
      <c r="Q4205">
        <v>26.771080000000001</v>
      </c>
      <c r="R4205">
        <v>27.76324</v>
      </c>
      <c r="S4205">
        <v>24.710629999999998</v>
      </c>
      <c r="T4205">
        <v>1915.002</v>
      </c>
      <c r="U4205">
        <v>313.7561</v>
      </c>
      <c r="V4205">
        <v>9.5331010000000003</v>
      </c>
      <c r="W4205">
        <v>68</v>
      </c>
      <c r="X4205">
        <v>817.16899999999998</v>
      </c>
      <c r="Y4205">
        <v>54.677700000000002</v>
      </c>
      <c r="Z4205">
        <v>278.88679999999999</v>
      </c>
      <c r="AA4205">
        <v>817.16899999999998</v>
      </c>
      <c r="AB4205">
        <v>77.983980000000003</v>
      </c>
      <c r="AC4205">
        <v>2.964783E-2</v>
      </c>
      <c r="AD4205">
        <v>3.4199959999999998</v>
      </c>
      <c r="AE4205">
        <v>0.73983840000000001</v>
      </c>
      <c r="AF4205">
        <v>249.2038</v>
      </c>
      <c r="AG4205">
        <f>IFERROR(AH4205*0.1, "N/A")</f>
        <v>5.5500000000000007</v>
      </c>
      <c r="AH4205">
        <v>55.5</v>
      </c>
      <c r="AI4205">
        <v>89.359880000000004</v>
      </c>
      <c r="AJ4205">
        <v>25.414629999999999</v>
      </c>
      <c r="AK4205">
        <v>65.843209999999999</v>
      </c>
    </row>
    <row r="4206" spans="1:37" x14ac:dyDescent="0.3">
      <c r="A4206">
        <v>4205</v>
      </c>
      <c r="B4206">
        <v>49</v>
      </c>
      <c r="C4206">
        <v>7.0166700000000004</v>
      </c>
      <c r="D4206">
        <v>6.15</v>
      </c>
      <c r="E4206" t="s">
        <v>6587</v>
      </c>
      <c r="F4206" t="s">
        <v>6588</v>
      </c>
      <c r="G4206" t="s">
        <v>39</v>
      </c>
      <c r="H4206">
        <v>1994</v>
      </c>
      <c r="I4206">
        <v>26.855170000000001</v>
      </c>
      <c r="J4206">
        <v>8.8000000000000007</v>
      </c>
      <c r="K4206">
        <v>73.208410000000001</v>
      </c>
      <c r="L4206">
        <v>11.585660000000001</v>
      </c>
      <c r="M4206">
        <v>33.583539999999999</v>
      </c>
      <c r="N4206">
        <v>21.70438</v>
      </c>
      <c r="O4206">
        <v>11.879160000000001</v>
      </c>
      <c r="P4206">
        <v>25.32084</v>
      </c>
      <c r="Q4206">
        <v>27.34168</v>
      </c>
      <c r="R4206">
        <v>28.40438</v>
      </c>
      <c r="S4206">
        <v>25.32084</v>
      </c>
      <c r="T4206">
        <v>1862.66</v>
      </c>
      <c r="U4206">
        <v>309.79160000000002</v>
      </c>
      <c r="V4206">
        <v>8.37303</v>
      </c>
      <c r="W4206">
        <v>69</v>
      </c>
      <c r="X4206">
        <v>798.19439999999997</v>
      </c>
      <c r="Y4206">
        <v>47.537649999999999</v>
      </c>
      <c r="Z4206">
        <v>265.77760000000001</v>
      </c>
      <c r="AA4206">
        <v>798.19439999999997</v>
      </c>
      <c r="AB4206">
        <v>5.7653280000000002</v>
      </c>
      <c r="AC4206">
        <v>8.6529220000000004E-2</v>
      </c>
      <c r="AD4206">
        <v>1.8301970000000001</v>
      </c>
      <c r="AE4206">
        <v>0.7246591</v>
      </c>
      <c r="AF4206">
        <v>103.26090000000001</v>
      </c>
      <c r="AG4206">
        <f>IFERROR(AH4206*0.1, "N/A")</f>
        <v>5.255166</v>
      </c>
      <c r="AH4206">
        <v>52.551659999999998</v>
      </c>
      <c r="AI4206">
        <v>253.1234</v>
      </c>
      <c r="AJ4206">
        <v>19</v>
      </c>
      <c r="AK4206">
        <v>67</v>
      </c>
    </row>
    <row r="4207" spans="1:37" x14ac:dyDescent="0.3">
      <c r="A4207">
        <v>4206</v>
      </c>
      <c r="B4207">
        <v>31.3</v>
      </c>
      <c r="C4207">
        <v>6.9955600000000002</v>
      </c>
      <c r="D4207">
        <v>6.0862400000000001</v>
      </c>
      <c r="E4207" t="s">
        <v>6589</v>
      </c>
      <c r="F4207" t="s">
        <v>6590</v>
      </c>
      <c r="G4207" t="s">
        <v>39</v>
      </c>
      <c r="H4207">
        <v>1994</v>
      </c>
      <c r="I4207">
        <v>26.1</v>
      </c>
      <c r="J4207">
        <v>8.8000000000000007</v>
      </c>
      <c r="K4207">
        <v>75</v>
      </c>
      <c r="L4207">
        <v>10.85</v>
      </c>
      <c r="M4207">
        <v>32.6</v>
      </c>
      <c r="N4207">
        <v>21</v>
      </c>
      <c r="O4207">
        <v>11.6</v>
      </c>
      <c r="P4207">
        <v>24.6</v>
      </c>
      <c r="Q4207">
        <v>26.6</v>
      </c>
      <c r="R4207">
        <v>27.5</v>
      </c>
      <c r="S4207">
        <v>24.6</v>
      </c>
      <c r="T4207">
        <v>1919</v>
      </c>
      <c r="U4207">
        <v>317</v>
      </c>
      <c r="V4207">
        <v>10</v>
      </c>
      <c r="W4207">
        <v>68</v>
      </c>
      <c r="X4207">
        <v>822</v>
      </c>
      <c r="Y4207">
        <v>56</v>
      </c>
      <c r="Z4207">
        <v>278</v>
      </c>
      <c r="AA4207">
        <v>822</v>
      </c>
      <c r="AB4207">
        <v>2.635602</v>
      </c>
      <c r="AC4207">
        <v>1.8373219999999999</v>
      </c>
      <c r="AD4207">
        <v>1.8391919999999999</v>
      </c>
      <c r="AE4207">
        <v>0.76431099999999996</v>
      </c>
      <c r="AF4207">
        <v>231.19200000000001</v>
      </c>
      <c r="AG4207">
        <f>IFERROR(AH4207*0.1, "N/A")</f>
        <v>5.5781850000000004</v>
      </c>
      <c r="AH4207">
        <v>55.781849999999999</v>
      </c>
      <c r="AI4207">
        <v>323.15530000000001</v>
      </c>
      <c r="AJ4207">
        <v>27.752179999999999</v>
      </c>
      <c r="AK4207">
        <v>58.247819999999997</v>
      </c>
    </row>
    <row r="4208" spans="1:37" x14ac:dyDescent="0.3">
      <c r="A4208">
        <v>4207</v>
      </c>
      <c r="B4208">
        <v>75.8</v>
      </c>
      <c r="C4208">
        <v>7.0068390000000003</v>
      </c>
      <c r="D4208">
        <v>6.2757670000000001</v>
      </c>
      <c r="E4208" t="s">
        <v>6591</v>
      </c>
      <c r="F4208" t="s">
        <v>6592</v>
      </c>
      <c r="G4208" t="s">
        <v>39</v>
      </c>
      <c r="H4208">
        <v>1994</v>
      </c>
      <c r="I4208">
        <v>27.2</v>
      </c>
      <c r="J4208">
        <v>8.9</v>
      </c>
      <c r="K4208">
        <v>73</v>
      </c>
      <c r="L4208">
        <v>12.01</v>
      </c>
      <c r="M4208">
        <v>34</v>
      </c>
      <c r="N4208">
        <v>21.9</v>
      </c>
      <c r="O4208">
        <v>12.1</v>
      </c>
      <c r="P4208">
        <v>25.6</v>
      </c>
      <c r="Q4208">
        <v>27.7</v>
      </c>
      <c r="R4208">
        <v>28.8</v>
      </c>
      <c r="S4208">
        <v>25.6</v>
      </c>
      <c r="T4208">
        <v>1770</v>
      </c>
      <c r="U4208">
        <v>303</v>
      </c>
      <c r="V4208">
        <v>8</v>
      </c>
      <c r="W4208">
        <v>70</v>
      </c>
      <c r="X4208">
        <v>764</v>
      </c>
      <c r="Y4208">
        <v>41</v>
      </c>
      <c r="Z4208">
        <v>247</v>
      </c>
      <c r="AA4208">
        <v>764</v>
      </c>
      <c r="AB4208">
        <v>11.85899</v>
      </c>
      <c r="AC4208">
        <v>0.1030105</v>
      </c>
      <c r="AD4208">
        <v>2.7905449999999998</v>
      </c>
      <c r="AE4208">
        <v>0.59278960000000003</v>
      </c>
      <c r="AF4208">
        <v>62.08202</v>
      </c>
      <c r="AG4208">
        <f>IFERROR(AH4208*0.1, "N/A")</f>
        <v>5.5</v>
      </c>
      <c r="AH4208">
        <v>55</v>
      </c>
      <c r="AI4208">
        <v>99.310559999999995</v>
      </c>
      <c r="AJ4208">
        <v>21</v>
      </c>
      <c r="AK4208">
        <v>62</v>
      </c>
    </row>
    <row r="4209" spans="1:37" x14ac:dyDescent="0.3">
      <c r="A4209">
        <v>4208</v>
      </c>
      <c r="B4209">
        <v>37.799999999999997</v>
      </c>
      <c r="C4209">
        <v>7.0310699999999997</v>
      </c>
      <c r="D4209">
        <v>6.0989899999999997</v>
      </c>
      <c r="E4209" t="s">
        <v>6593</v>
      </c>
      <c r="F4209" t="s">
        <v>6594</v>
      </c>
      <c r="G4209" t="s">
        <v>39</v>
      </c>
      <c r="H4209">
        <v>1994</v>
      </c>
      <c r="I4209">
        <v>26.389530000000001</v>
      </c>
      <c r="J4209">
        <v>8.8000000000000007</v>
      </c>
      <c r="K4209">
        <v>75</v>
      </c>
      <c r="L4209">
        <v>11.26455</v>
      </c>
      <c r="M4209">
        <v>32.9</v>
      </c>
      <c r="N4209">
        <v>21.289529999999999</v>
      </c>
      <c r="O4209">
        <v>11.610469999999999</v>
      </c>
      <c r="P4209">
        <v>24.879059999999999</v>
      </c>
      <c r="Q4209">
        <v>26.9</v>
      </c>
      <c r="R4209">
        <v>27.889530000000001</v>
      </c>
      <c r="S4209">
        <v>24.879059999999999</v>
      </c>
      <c r="T4209">
        <v>1911.895</v>
      </c>
      <c r="U4209">
        <v>314</v>
      </c>
      <c r="V4209">
        <v>10</v>
      </c>
      <c r="W4209">
        <v>68</v>
      </c>
      <c r="X4209">
        <v>817.89530000000002</v>
      </c>
      <c r="Y4209">
        <v>54</v>
      </c>
      <c r="Z4209">
        <v>276.10469999999998</v>
      </c>
      <c r="AA4209">
        <v>817.89530000000002</v>
      </c>
      <c r="AB4209">
        <v>19.063880000000001</v>
      </c>
      <c r="AC4209">
        <v>6.6831399999999999E-2</v>
      </c>
      <c r="AD4209">
        <v>2.6059519999999998</v>
      </c>
      <c r="AE4209">
        <v>0.82896199999999998</v>
      </c>
      <c r="AF4209">
        <v>216.07849999999999</v>
      </c>
      <c r="AG4209">
        <f>IFERROR(AH4209*0.1, "N/A")</f>
        <v>5.8895290000000005</v>
      </c>
      <c r="AH4209">
        <v>58.895290000000003</v>
      </c>
      <c r="AI4209">
        <v>259.62349999999998</v>
      </c>
      <c r="AJ4209">
        <v>24.958120000000001</v>
      </c>
      <c r="AK4209">
        <v>64.28098</v>
      </c>
    </row>
    <row r="4210" spans="1:37" x14ac:dyDescent="0.3">
      <c r="A4210">
        <v>4209</v>
      </c>
      <c r="B4210">
        <v>44.8</v>
      </c>
      <c r="C4210">
        <v>7.0310300000000003</v>
      </c>
      <c r="D4210">
        <v>6.1567999999999996</v>
      </c>
      <c r="E4210" t="s">
        <v>6595</v>
      </c>
      <c r="F4210" t="s">
        <v>6596</v>
      </c>
      <c r="G4210" t="s">
        <v>39</v>
      </c>
      <c r="H4210">
        <v>1994</v>
      </c>
      <c r="I4210">
        <v>26.7</v>
      </c>
      <c r="J4210">
        <v>8.8000000000000007</v>
      </c>
      <c r="K4210">
        <v>75</v>
      </c>
      <c r="L4210">
        <v>11.55</v>
      </c>
      <c r="M4210">
        <v>33.299999999999997</v>
      </c>
      <c r="N4210">
        <v>21.6</v>
      </c>
      <c r="O4210">
        <v>11.7</v>
      </c>
      <c r="P4210">
        <v>25.2</v>
      </c>
      <c r="Q4210">
        <v>27.2</v>
      </c>
      <c r="R4210">
        <v>28.2</v>
      </c>
      <c r="S4210">
        <v>25.2</v>
      </c>
      <c r="T4210">
        <v>1866</v>
      </c>
      <c r="U4210">
        <v>310</v>
      </c>
      <c r="V4210">
        <v>8</v>
      </c>
      <c r="W4210">
        <v>69</v>
      </c>
      <c r="X4210">
        <v>798</v>
      </c>
      <c r="Y4210">
        <v>48</v>
      </c>
      <c r="Z4210">
        <v>268</v>
      </c>
      <c r="AA4210">
        <v>798</v>
      </c>
      <c r="AB4210">
        <v>26.285170000000001</v>
      </c>
      <c r="AC4210">
        <v>1.5871739999999999E-2</v>
      </c>
      <c r="AD4210">
        <v>2.8595130000000002</v>
      </c>
      <c r="AE4210">
        <v>0.76624579999999998</v>
      </c>
      <c r="AF4210">
        <v>135.2251</v>
      </c>
      <c r="AG4210">
        <f>IFERROR(AH4210*0.1, "N/A")</f>
        <v>5.3429320000000002</v>
      </c>
      <c r="AH4210">
        <v>53.429319999999997</v>
      </c>
      <c r="AI4210">
        <v>84.693610000000007</v>
      </c>
      <c r="AJ4210">
        <v>21.146599999999999</v>
      </c>
      <c r="AK4210">
        <v>64.282719999999998</v>
      </c>
    </row>
    <row r="4211" spans="1:37" x14ac:dyDescent="0.3">
      <c r="A4211">
        <v>4210</v>
      </c>
      <c r="B4211">
        <v>12.5</v>
      </c>
      <c r="C4211">
        <v>7.0378499999999997</v>
      </c>
      <c r="D4211">
        <v>6.1086600000000004</v>
      </c>
      <c r="E4211" t="s">
        <v>6597</v>
      </c>
      <c r="F4211" t="s">
        <v>6598</v>
      </c>
      <c r="G4211" t="s">
        <v>39</v>
      </c>
      <c r="H4211">
        <v>1994</v>
      </c>
      <c r="I4211">
        <v>26.122509999999998</v>
      </c>
      <c r="J4211">
        <v>8.8000000000000007</v>
      </c>
      <c r="K4211">
        <v>75</v>
      </c>
      <c r="L4211">
        <v>11.397119999999999</v>
      </c>
      <c r="M4211">
        <v>32.76126</v>
      </c>
      <c r="N4211">
        <v>21.122509999999998</v>
      </c>
      <c r="O4211">
        <v>11.63874</v>
      </c>
      <c r="P4211">
        <v>24.622509999999998</v>
      </c>
      <c r="Q4211">
        <v>26.72251</v>
      </c>
      <c r="R4211">
        <v>27.661259999999999</v>
      </c>
      <c r="S4211">
        <v>24.622509999999998</v>
      </c>
      <c r="T4211">
        <v>1910.874</v>
      </c>
      <c r="U4211">
        <v>314.38740000000001</v>
      </c>
      <c r="V4211">
        <v>10</v>
      </c>
      <c r="W4211">
        <v>68</v>
      </c>
      <c r="X4211">
        <v>816.16229999999996</v>
      </c>
      <c r="Y4211">
        <v>54.77487</v>
      </c>
      <c r="Z4211">
        <v>277.7749</v>
      </c>
      <c r="AA4211">
        <v>816.16229999999996</v>
      </c>
      <c r="AB4211">
        <v>21.342410000000001</v>
      </c>
      <c r="AC4211">
        <v>2.4447679999999999E-2</v>
      </c>
      <c r="AD4211">
        <v>2.1016840000000001</v>
      </c>
      <c r="AE4211">
        <v>0.8095154</v>
      </c>
      <c r="AF4211">
        <v>234.4485</v>
      </c>
      <c r="AG4211">
        <f>IFERROR(AH4211*0.1, "N/A")</f>
        <v>5.3849910000000003</v>
      </c>
      <c r="AH4211">
        <v>53.849910000000001</v>
      </c>
      <c r="AI4211">
        <v>68.076549999999997</v>
      </c>
      <c r="AJ4211">
        <v>23</v>
      </c>
      <c r="AK4211">
        <v>66.980800000000002</v>
      </c>
    </row>
    <row r="4212" spans="1:37" x14ac:dyDescent="0.3">
      <c r="A4212">
        <v>4211</v>
      </c>
      <c r="B4212">
        <v>68.2</v>
      </c>
      <c r="C4212">
        <v>7.0563799999999999</v>
      </c>
      <c r="D4212">
        <v>6.1345200000000002</v>
      </c>
      <c r="E4212" t="s">
        <v>6599</v>
      </c>
      <c r="F4212" t="s">
        <v>6600</v>
      </c>
      <c r="G4212" t="s">
        <v>39</v>
      </c>
      <c r="H4212">
        <v>1994</v>
      </c>
      <c r="I4212">
        <v>26.9</v>
      </c>
      <c r="J4212">
        <v>8.8000000000000007</v>
      </c>
      <c r="K4212">
        <v>73</v>
      </c>
      <c r="L4212">
        <v>11.49</v>
      </c>
      <c r="M4212">
        <v>33.6</v>
      </c>
      <c r="N4212">
        <v>21.7</v>
      </c>
      <c r="O4212">
        <v>11.9</v>
      </c>
      <c r="P4212">
        <v>25.4</v>
      </c>
      <c r="Q4212">
        <v>27.4</v>
      </c>
      <c r="R4212">
        <v>28.4</v>
      </c>
      <c r="S4212">
        <v>25.4</v>
      </c>
      <c r="T4212">
        <v>1879</v>
      </c>
      <c r="U4212">
        <v>309</v>
      </c>
      <c r="V4212">
        <v>8</v>
      </c>
      <c r="W4212">
        <v>69</v>
      </c>
      <c r="X4212">
        <v>801</v>
      </c>
      <c r="Y4212">
        <v>48</v>
      </c>
      <c r="Z4212">
        <v>271</v>
      </c>
      <c r="AA4212">
        <v>801</v>
      </c>
      <c r="AB4212">
        <v>17.823740000000001</v>
      </c>
      <c r="AC4212">
        <v>1.7889829999999999E-2</v>
      </c>
      <c r="AD4212">
        <v>4.1650710000000002</v>
      </c>
      <c r="AE4212">
        <v>0.77718699999999996</v>
      </c>
      <c r="AF4212">
        <v>118.69459999999999</v>
      </c>
      <c r="AG4212">
        <f>IFERROR(AH4212*0.1, "N/A")</f>
        <v>5.30192</v>
      </c>
      <c r="AH4212">
        <v>53.019199999999998</v>
      </c>
      <c r="AI4212">
        <v>229.48580000000001</v>
      </c>
      <c r="AJ4212">
        <v>20.390920000000001</v>
      </c>
      <c r="AK4212">
        <v>66.324610000000007</v>
      </c>
    </row>
    <row r="4213" spans="1:37" x14ac:dyDescent="0.3">
      <c r="A4213">
        <v>4212</v>
      </c>
      <c r="B4213">
        <v>38.9</v>
      </c>
      <c r="C4213">
        <v>7.0581899999999997</v>
      </c>
      <c r="D4213">
        <v>6.0931300000000004</v>
      </c>
      <c r="E4213" t="s">
        <v>6601</v>
      </c>
      <c r="F4213" t="s">
        <v>6602</v>
      </c>
      <c r="G4213" t="s">
        <v>39</v>
      </c>
      <c r="H4213">
        <v>1994</v>
      </c>
      <c r="I4213">
        <v>26.224260000000001</v>
      </c>
      <c r="J4213">
        <v>8.8000000000000007</v>
      </c>
      <c r="K4213">
        <v>75</v>
      </c>
      <c r="L4213">
        <v>11.3003</v>
      </c>
      <c r="M4213">
        <v>32.762129999999999</v>
      </c>
      <c r="N4213">
        <v>21.12426</v>
      </c>
      <c r="O4213">
        <v>11.637869999999999</v>
      </c>
      <c r="P4213">
        <v>24.62426</v>
      </c>
      <c r="Q4213">
        <v>26.724260000000001</v>
      </c>
      <c r="R4213">
        <v>27.662130000000001</v>
      </c>
      <c r="S4213">
        <v>24.62426</v>
      </c>
      <c r="T4213">
        <v>1922.136</v>
      </c>
      <c r="U4213">
        <v>313.75740000000002</v>
      </c>
      <c r="V4213">
        <v>9.3787090000000006</v>
      </c>
      <c r="W4213">
        <v>68</v>
      </c>
      <c r="X4213">
        <v>819.75739999999996</v>
      </c>
      <c r="Y4213">
        <v>55.378709999999998</v>
      </c>
      <c r="Z4213">
        <v>280.37869999999998</v>
      </c>
      <c r="AA4213">
        <v>819.75739999999996</v>
      </c>
      <c r="AB4213">
        <v>96.190060000000003</v>
      </c>
      <c r="AC4213">
        <v>2.1377469999999999E-2</v>
      </c>
      <c r="AD4213">
        <v>4.077763</v>
      </c>
      <c r="AE4213">
        <v>0.74155970000000004</v>
      </c>
      <c r="AF4213">
        <v>254.4485</v>
      </c>
      <c r="AG4213">
        <f>IFERROR(AH4213*0.1, "N/A")</f>
        <v>5.2509600000000001</v>
      </c>
      <c r="AH4213">
        <v>52.509599999999999</v>
      </c>
      <c r="AI4213">
        <v>35.838050000000003</v>
      </c>
      <c r="AJ4213">
        <v>26.60209</v>
      </c>
      <c r="AK4213">
        <v>64.233860000000007</v>
      </c>
    </row>
    <row r="4214" spans="1:37" x14ac:dyDescent="0.3">
      <c r="A4214">
        <v>4213</v>
      </c>
      <c r="B4214">
        <v>37.9</v>
      </c>
      <c r="C4214">
        <v>7.0523499999999997</v>
      </c>
      <c r="D4214">
        <v>6.1239400000000002</v>
      </c>
      <c r="E4214" t="s">
        <v>6603</v>
      </c>
      <c r="F4214" t="s">
        <v>6604</v>
      </c>
      <c r="G4214" t="s">
        <v>39</v>
      </c>
      <c r="H4214">
        <v>1994</v>
      </c>
      <c r="I4214">
        <v>26.702089999999998</v>
      </c>
      <c r="J4214">
        <v>8.6999999999999993</v>
      </c>
      <c r="K4214">
        <v>74.020910000000001</v>
      </c>
      <c r="L4214">
        <v>11.48188</v>
      </c>
      <c r="M4214">
        <v>33.30209</v>
      </c>
      <c r="N4214">
        <v>21.604179999999999</v>
      </c>
      <c r="O4214">
        <v>11.69791</v>
      </c>
      <c r="P4214">
        <v>25.202089999999998</v>
      </c>
      <c r="Q4214">
        <v>27.30209</v>
      </c>
      <c r="R4214">
        <v>28.204180000000001</v>
      </c>
      <c r="S4214">
        <v>25.202089999999998</v>
      </c>
      <c r="T4214">
        <v>1892.8119999999999</v>
      </c>
      <c r="U4214">
        <v>309.97910000000002</v>
      </c>
      <c r="V4214">
        <v>8</v>
      </c>
      <c r="W4214">
        <v>69</v>
      </c>
      <c r="X4214">
        <v>807.91639999999995</v>
      </c>
      <c r="Y4214">
        <v>49.958190000000002</v>
      </c>
      <c r="Z4214">
        <v>272.95819999999998</v>
      </c>
      <c r="AA4214">
        <v>807.91639999999995</v>
      </c>
      <c r="AB4214">
        <v>23.24878</v>
      </c>
      <c r="AC4214">
        <v>4.0027439999999997E-2</v>
      </c>
      <c r="AD4214">
        <v>2.537407</v>
      </c>
      <c r="AE4214">
        <v>0.81106279999999997</v>
      </c>
      <c r="AF4214">
        <v>134.4408</v>
      </c>
      <c r="AG4214">
        <f>IFERROR(AH4214*0.1, "N/A")</f>
        <v>5.4942510000000002</v>
      </c>
      <c r="AH4214">
        <v>54.942509999999999</v>
      </c>
      <c r="AI4214">
        <v>157.60059999999999</v>
      </c>
      <c r="AJ4214">
        <v>21.426829999999999</v>
      </c>
      <c r="AK4214">
        <v>66.369339999999994</v>
      </c>
    </row>
    <row r="4215" spans="1:37" x14ac:dyDescent="0.3">
      <c r="A4215">
        <v>4214</v>
      </c>
      <c r="B4215">
        <v>48</v>
      </c>
      <c r="C4215">
        <v>7.0350000000000001</v>
      </c>
      <c r="D4215">
        <v>6.1383599999999996</v>
      </c>
      <c r="E4215" t="s">
        <v>6605</v>
      </c>
      <c r="F4215" t="s">
        <v>6606</v>
      </c>
      <c r="G4215" t="s">
        <v>39</v>
      </c>
      <c r="H4215">
        <v>1994</v>
      </c>
      <c r="I4215">
        <v>26.8</v>
      </c>
      <c r="J4215">
        <v>8.8000000000000007</v>
      </c>
      <c r="K4215">
        <v>73</v>
      </c>
      <c r="L4215">
        <v>11.5</v>
      </c>
      <c r="M4215">
        <v>33.5</v>
      </c>
      <c r="N4215">
        <v>21.6</v>
      </c>
      <c r="O4215">
        <v>11.9</v>
      </c>
      <c r="P4215">
        <v>25.2</v>
      </c>
      <c r="Q4215">
        <v>27.3</v>
      </c>
      <c r="R4215">
        <v>28.3</v>
      </c>
      <c r="S4215">
        <v>25.2</v>
      </c>
      <c r="T4215">
        <v>1879</v>
      </c>
      <c r="U4215">
        <v>310</v>
      </c>
      <c r="V4215">
        <v>8</v>
      </c>
      <c r="W4215">
        <v>69</v>
      </c>
      <c r="X4215">
        <v>803</v>
      </c>
      <c r="Y4215">
        <v>48</v>
      </c>
      <c r="Z4215">
        <v>270</v>
      </c>
      <c r="AA4215">
        <v>803</v>
      </c>
      <c r="AB4215">
        <v>27.086040000000001</v>
      </c>
      <c r="AC4215">
        <v>1.7073809999999998E-2</v>
      </c>
      <c r="AD4215">
        <v>3.8241939999999999</v>
      </c>
      <c r="AE4215">
        <v>0.86800520000000003</v>
      </c>
      <c r="AF4215">
        <v>128.3159</v>
      </c>
      <c r="AG4215">
        <f>IFERROR(AH4215*0.1, "N/A")</f>
        <v>5.3987780000000001</v>
      </c>
      <c r="AH4215">
        <v>53.987780000000001</v>
      </c>
      <c r="AI4215">
        <v>239.12530000000001</v>
      </c>
      <c r="AJ4215">
        <v>21.963349999999998</v>
      </c>
      <c r="AK4215">
        <v>61.085509999999999</v>
      </c>
    </row>
    <row r="4216" spans="1:37" x14ac:dyDescent="0.3">
      <c r="A4216">
        <v>4215</v>
      </c>
      <c r="B4216">
        <v>5.6</v>
      </c>
      <c r="C4216">
        <v>7.0480600000000004</v>
      </c>
      <c r="D4216">
        <v>6.1122500000000004</v>
      </c>
      <c r="E4216" t="s">
        <v>6607</v>
      </c>
      <c r="F4216" t="s">
        <v>6608</v>
      </c>
      <c r="G4216" t="s">
        <v>39</v>
      </c>
      <c r="H4216">
        <v>1994</v>
      </c>
      <c r="I4216">
        <v>26.3</v>
      </c>
      <c r="J4216">
        <v>8.8000000000000007</v>
      </c>
      <c r="K4216">
        <v>75</v>
      </c>
      <c r="L4216">
        <v>11.26</v>
      </c>
      <c r="M4216">
        <v>32.9</v>
      </c>
      <c r="N4216">
        <v>21.3</v>
      </c>
      <c r="O4216">
        <v>11.6</v>
      </c>
      <c r="P4216">
        <v>24.8</v>
      </c>
      <c r="Q4216">
        <v>26.9</v>
      </c>
      <c r="R4216">
        <v>27.8</v>
      </c>
      <c r="S4216">
        <v>24.8</v>
      </c>
      <c r="T4216">
        <v>1906</v>
      </c>
      <c r="U4216">
        <v>313</v>
      </c>
      <c r="V4216">
        <v>9</v>
      </c>
      <c r="W4216">
        <v>68</v>
      </c>
      <c r="X4216">
        <v>814</v>
      </c>
      <c r="Y4216">
        <v>53</v>
      </c>
      <c r="Z4216">
        <v>277</v>
      </c>
      <c r="AA4216">
        <v>814</v>
      </c>
      <c r="AB4216">
        <v>66.785480000000007</v>
      </c>
      <c r="AC4216">
        <v>1.974969E-2</v>
      </c>
      <c r="AD4216">
        <v>8.0227880000000003</v>
      </c>
      <c r="AE4216">
        <v>0.77802550000000004</v>
      </c>
      <c r="AF4216">
        <v>194.48249999999999</v>
      </c>
      <c r="AG4216">
        <f>IFERROR(AH4216*0.1, "N/A")</f>
        <v>5.3000000000000007</v>
      </c>
      <c r="AH4216">
        <v>53</v>
      </c>
      <c r="AI4216">
        <v>62.694589999999998</v>
      </c>
      <c r="AJ4216">
        <v>23.804200000000002</v>
      </c>
      <c r="AK4216">
        <v>61.797199999999997</v>
      </c>
    </row>
    <row r="4217" spans="1:37" x14ac:dyDescent="0.3">
      <c r="A4217">
        <v>4216</v>
      </c>
      <c r="B4217">
        <v>96.4</v>
      </c>
      <c r="C4217">
        <v>7.0362099999999996</v>
      </c>
      <c r="D4217">
        <v>6.1305100000000001</v>
      </c>
      <c r="E4217" t="s">
        <v>6609</v>
      </c>
      <c r="F4217" t="s">
        <v>6610</v>
      </c>
      <c r="G4217" t="s">
        <v>39</v>
      </c>
      <c r="H4217">
        <v>1994</v>
      </c>
      <c r="I4217">
        <v>26.9</v>
      </c>
      <c r="J4217">
        <v>8.8000000000000007</v>
      </c>
      <c r="K4217">
        <v>75</v>
      </c>
      <c r="L4217">
        <v>11.51</v>
      </c>
      <c r="M4217">
        <v>33.5</v>
      </c>
      <c r="N4217">
        <v>21.8</v>
      </c>
      <c r="O4217">
        <v>11.7</v>
      </c>
      <c r="P4217">
        <v>25.3</v>
      </c>
      <c r="Q4217">
        <v>27.4</v>
      </c>
      <c r="R4217">
        <v>28.4</v>
      </c>
      <c r="S4217">
        <v>25.3</v>
      </c>
      <c r="T4217">
        <v>1881</v>
      </c>
      <c r="U4217">
        <v>309</v>
      </c>
      <c r="V4217">
        <v>8</v>
      </c>
      <c r="W4217">
        <v>69</v>
      </c>
      <c r="X4217">
        <v>804</v>
      </c>
      <c r="Y4217">
        <v>48</v>
      </c>
      <c r="Z4217">
        <v>270</v>
      </c>
      <c r="AA4217">
        <v>804</v>
      </c>
      <c r="AB4217">
        <v>4.5155050000000001</v>
      </c>
      <c r="AC4217">
        <v>0.73053860000000004</v>
      </c>
      <c r="AD4217">
        <v>2.1772200000000002</v>
      </c>
      <c r="AE4217">
        <v>0.81497120000000001</v>
      </c>
      <c r="AF4217">
        <v>104.2334</v>
      </c>
      <c r="AG4217">
        <f>IFERROR(AH4217*0.1, "N/A")</f>
        <v>5.5008710000000001</v>
      </c>
      <c r="AH4217">
        <v>55.008710000000001</v>
      </c>
      <c r="AI4217">
        <v>234.35050000000001</v>
      </c>
      <c r="AJ4217">
        <v>22.63589</v>
      </c>
      <c r="AK4217">
        <v>61.562719999999999</v>
      </c>
    </row>
    <row r="4218" spans="1:37" x14ac:dyDescent="0.3">
      <c r="A4218">
        <v>4217</v>
      </c>
      <c r="B4218">
        <v>86.4</v>
      </c>
      <c r="C4218">
        <v>7.0326899999999997</v>
      </c>
      <c r="D4218">
        <v>6.12087</v>
      </c>
      <c r="E4218" t="s">
        <v>6611</v>
      </c>
      <c r="F4218" t="s">
        <v>6612</v>
      </c>
      <c r="G4218" t="s">
        <v>39</v>
      </c>
      <c r="H4218">
        <v>1994</v>
      </c>
      <c r="I4218">
        <v>26.426829999999999</v>
      </c>
      <c r="J4218">
        <v>8.8000000000000007</v>
      </c>
      <c r="K4218">
        <v>75</v>
      </c>
      <c r="L4218">
        <v>11.43854</v>
      </c>
      <c r="M4218">
        <v>33.026829999999997</v>
      </c>
      <c r="N4218">
        <v>21.395119999999999</v>
      </c>
      <c r="O4218">
        <v>11.63171</v>
      </c>
      <c r="P4218">
        <v>24.895119999999999</v>
      </c>
      <c r="Q4218">
        <v>26.99512</v>
      </c>
      <c r="R4218">
        <v>27.96341</v>
      </c>
      <c r="S4218">
        <v>24.895119999999999</v>
      </c>
      <c r="T4218">
        <v>1895.415</v>
      </c>
      <c r="U4218">
        <v>312.36590000000001</v>
      </c>
      <c r="V4218">
        <v>9</v>
      </c>
      <c r="W4218">
        <v>68.317070000000001</v>
      </c>
      <c r="X4218">
        <v>810.04880000000003</v>
      </c>
      <c r="Y4218">
        <v>51.682929999999999</v>
      </c>
      <c r="Z4218">
        <v>273.68290000000002</v>
      </c>
      <c r="AA4218">
        <v>810.04880000000003</v>
      </c>
      <c r="AB4218">
        <v>65.90889</v>
      </c>
      <c r="AC4218">
        <v>2.1457569999999999E-2</v>
      </c>
      <c r="AD4218">
        <v>8.0480060000000009</v>
      </c>
      <c r="AE4218">
        <v>0.74630569999999996</v>
      </c>
      <c r="AF4218">
        <v>181.8049</v>
      </c>
      <c r="AG4218">
        <f>IFERROR(AH4218*0.1, "N/A")</f>
        <v>5.5390240000000004</v>
      </c>
      <c r="AH4218">
        <v>55.390239999999999</v>
      </c>
      <c r="AI4218">
        <v>65.066059999999993</v>
      </c>
      <c r="AJ4218">
        <v>23.2561</v>
      </c>
      <c r="AK4218">
        <v>61.353659999999998</v>
      </c>
    </row>
    <row r="4219" spans="1:37" x14ac:dyDescent="0.3">
      <c r="A4219">
        <v>4218</v>
      </c>
      <c r="B4219">
        <v>63.6</v>
      </c>
      <c r="C4219">
        <v>7.0289999999999999</v>
      </c>
      <c r="D4219">
        <v>6.1081500000000002</v>
      </c>
      <c r="E4219" t="s">
        <v>6613</v>
      </c>
      <c r="F4219" t="s">
        <v>6614</v>
      </c>
      <c r="G4219" t="s">
        <v>39</v>
      </c>
      <c r="H4219">
        <v>1994</v>
      </c>
      <c r="I4219">
        <v>26.3</v>
      </c>
      <c r="J4219">
        <v>8.8000000000000007</v>
      </c>
      <c r="K4219">
        <v>75</v>
      </c>
      <c r="L4219">
        <v>11.47714</v>
      </c>
      <c r="M4219">
        <v>32.87979</v>
      </c>
      <c r="N4219">
        <v>21.2</v>
      </c>
      <c r="O4219">
        <v>11.679790000000001</v>
      </c>
      <c r="P4219">
        <v>24.720210000000002</v>
      </c>
      <c r="Q4219">
        <v>26.87979</v>
      </c>
      <c r="R4219">
        <v>27.779789999999998</v>
      </c>
      <c r="S4219">
        <v>24.720210000000002</v>
      </c>
      <c r="T4219">
        <v>1909.787</v>
      </c>
      <c r="U4219">
        <v>314</v>
      </c>
      <c r="V4219">
        <v>10</v>
      </c>
      <c r="W4219">
        <v>68</v>
      </c>
      <c r="X4219">
        <v>816.39369999999997</v>
      </c>
      <c r="Y4219">
        <v>54</v>
      </c>
      <c r="Z4219">
        <v>277</v>
      </c>
      <c r="AA4219">
        <v>816.39369999999997</v>
      </c>
      <c r="AB4219">
        <v>33.99042</v>
      </c>
      <c r="AC4219">
        <v>2.3161029999999999E-2</v>
      </c>
      <c r="AD4219">
        <v>2.5606740000000001</v>
      </c>
      <c r="AE4219">
        <v>0.83759309999999998</v>
      </c>
      <c r="AF4219">
        <v>212.6463</v>
      </c>
      <c r="AG4219">
        <f>IFERROR(AH4219*0.1, "N/A")</f>
        <v>5.6080140000000007</v>
      </c>
      <c r="AH4219">
        <v>56.08014</v>
      </c>
      <c r="AI4219">
        <v>218.54329999999999</v>
      </c>
      <c r="AJ4219">
        <v>23.844950000000001</v>
      </c>
      <c r="AK4219">
        <v>63.015680000000003</v>
      </c>
    </row>
    <row r="4220" spans="1:37" x14ac:dyDescent="0.3">
      <c r="A4220">
        <v>4219</v>
      </c>
      <c r="B4220">
        <v>12.6</v>
      </c>
      <c r="C4220">
        <v>7.0333300000000003</v>
      </c>
      <c r="D4220">
        <v>6.1166700000000001</v>
      </c>
      <c r="E4220" t="s">
        <v>6615</v>
      </c>
      <c r="F4220" t="s">
        <v>6616</v>
      </c>
      <c r="G4220" t="s">
        <v>39</v>
      </c>
      <c r="H4220">
        <v>1994</v>
      </c>
      <c r="I4220">
        <v>26.443460000000002</v>
      </c>
      <c r="J4220">
        <v>8.8000000000000007</v>
      </c>
      <c r="K4220">
        <v>75</v>
      </c>
      <c r="L4220">
        <v>11.30485</v>
      </c>
      <c r="M4220">
        <v>33.037869999999998</v>
      </c>
      <c r="N4220">
        <v>21.392150000000001</v>
      </c>
      <c r="O4220">
        <v>11.645720000000001</v>
      </c>
      <c r="P4220">
        <v>24.897729999999999</v>
      </c>
      <c r="Q4220">
        <v>26.992149999999999</v>
      </c>
      <c r="R4220">
        <v>27.901399999999999</v>
      </c>
      <c r="S4220">
        <v>24.897729999999999</v>
      </c>
      <c r="T4220">
        <v>1899.105</v>
      </c>
      <c r="U4220">
        <v>312.53579999999999</v>
      </c>
      <c r="V4220">
        <v>9.4502620000000004</v>
      </c>
      <c r="W4220">
        <v>68.457239999999999</v>
      </c>
      <c r="X4220">
        <v>811.37350000000004</v>
      </c>
      <c r="Y4220">
        <v>52.443280000000001</v>
      </c>
      <c r="Z4220">
        <v>274.89350000000002</v>
      </c>
      <c r="AA4220">
        <v>811.37350000000004</v>
      </c>
      <c r="AB4220">
        <v>104.0579</v>
      </c>
      <c r="AC4220">
        <v>1.6036109999999999E-2</v>
      </c>
      <c r="AD4220">
        <v>2.3092429999999999</v>
      </c>
      <c r="AE4220">
        <v>0.8112528</v>
      </c>
      <c r="AF4220">
        <v>217.39789999999999</v>
      </c>
      <c r="AG4220">
        <f>IFERROR(AH4220*0.1, "N/A")</f>
        <v>5.5</v>
      </c>
      <c r="AH4220">
        <v>55</v>
      </c>
      <c r="AI4220">
        <v>173.80279999999999</v>
      </c>
      <c r="AJ4220">
        <v>22.851659999999999</v>
      </c>
      <c r="AK4220">
        <v>64.148340000000005</v>
      </c>
    </row>
    <row r="4221" spans="1:37" x14ac:dyDescent="0.3">
      <c r="A4221">
        <v>4220</v>
      </c>
      <c r="B4221">
        <v>3</v>
      </c>
      <c r="C4221">
        <v>7.4402799999999996</v>
      </c>
      <c r="D4221">
        <v>10.523099999999999</v>
      </c>
      <c r="E4221" t="s">
        <v>6617</v>
      </c>
      <c r="F4221" t="s">
        <v>6618</v>
      </c>
      <c r="G4221" t="s">
        <v>39</v>
      </c>
      <c r="H4221">
        <v>1988</v>
      </c>
      <c r="I4221">
        <v>25.2</v>
      </c>
      <c r="J4221">
        <v>12.8</v>
      </c>
      <c r="K4221">
        <v>62</v>
      </c>
      <c r="L4221">
        <v>16.190000000000001</v>
      </c>
      <c r="M4221">
        <v>35.1</v>
      </c>
      <c r="N4221">
        <v>14.5</v>
      </c>
      <c r="O4221">
        <v>20.6</v>
      </c>
      <c r="P4221">
        <v>23.9</v>
      </c>
      <c r="Q4221">
        <v>24</v>
      </c>
      <c r="R4221">
        <v>27.6</v>
      </c>
      <c r="S4221">
        <v>23.8</v>
      </c>
      <c r="T4221">
        <v>1211</v>
      </c>
      <c r="U4221">
        <v>284</v>
      </c>
      <c r="V4221">
        <v>0</v>
      </c>
      <c r="W4221">
        <v>102</v>
      </c>
      <c r="X4221">
        <v>759</v>
      </c>
      <c r="Y4221">
        <v>2</v>
      </c>
      <c r="Z4221">
        <v>200</v>
      </c>
      <c r="AA4221">
        <v>4</v>
      </c>
      <c r="AB4221">
        <v>26.474049999999998</v>
      </c>
      <c r="AC4221">
        <v>4.3507700000000003E-2</v>
      </c>
      <c r="AD4221">
        <v>2.449325</v>
      </c>
      <c r="AE4221">
        <v>0.85239929999999997</v>
      </c>
      <c r="AF4221">
        <v>617.40890000000002</v>
      </c>
      <c r="AG4221">
        <f>IFERROR(AH4221*0.1, "N/A")</f>
        <v>6.377148</v>
      </c>
      <c r="AH4221">
        <v>63.771479999999997</v>
      </c>
      <c r="AI4221">
        <v>194.66759999999999</v>
      </c>
      <c r="AJ4221">
        <v>26.304120000000001</v>
      </c>
      <c r="AK4221">
        <v>53.776629999999997</v>
      </c>
    </row>
    <row r="4222" spans="1:37" x14ac:dyDescent="0.3">
      <c r="A4222">
        <v>4221</v>
      </c>
      <c r="B4222">
        <v>0</v>
      </c>
      <c r="C4222">
        <v>7.4402799999999996</v>
      </c>
      <c r="D4222">
        <v>10.523099999999999</v>
      </c>
      <c r="E4222" t="s">
        <v>6617</v>
      </c>
      <c r="F4222" t="s">
        <v>6619</v>
      </c>
      <c r="G4222" t="s">
        <v>37</v>
      </c>
      <c r="H4222">
        <v>1988</v>
      </c>
      <c r="I4222">
        <v>25.2</v>
      </c>
      <c r="J4222">
        <v>12.8</v>
      </c>
      <c r="K4222">
        <v>62</v>
      </c>
      <c r="L4222">
        <v>16.190000000000001</v>
      </c>
      <c r="M4222">
        <v>35.1</v>
      </c>
      <c r="N4222">
        <v>14.5</v>
      </c>
      <c r="O4222">
        <v>20.6</v>
      </c>
      <c r="P4222">
        <v>23.9</v>
      </c>
      <c r="Q4222">
        <v>24</v>
      </c>
      <c r="R4222">
        <v>27.6</v>
      </c>
      <c r="S4222">
        <v>23.8</v>
      </c>
      <c r="T4222">
        <v>1211</v>
      </c>
      <c r="U4222">
        <v>284</v>
      </c>
      <c r="V4222">
        <v>0</v>
      </c>
      <c r="W4222">
        <v>102</v>
      </c>
      <c r="X4222">
        <v>759</v>
      </c>
      <c r="Y4222">
        <v>2</v>
      </c>
      <c r="Z4222">
        <v>200</v>
      </c>
      <c r="AA4222">
        <v>4</v>
      </c>
      <c r="AB4222">
        <v>26.474049999999998</v>
      </c>
      <c r="AC4222">
        <v>4.3507700000000003E-2</v>
      </c>
      <c r="AD4222">
        <v>2.449325</v>
      </c>
      <c r="AE4222">
        <v>0.85239929999999997</v>
      </c>
      <c r="AF4222">
        <v>617.40890000000002</v>
      </c>
      <c r="AG4222">
        <f>IFERROR(AH4222*0.1, "N/A")</f>
        <v>6.377148</v>
      </c>
      <c r="AH4222">
        <v>63.771479999999997</v>
      </c>
      <c r="AI4222">
        <v>194.66759999999999</v>
      </c>
      <c r="AJ4222">
        <v>26.304120000000001</v>
      </c>
      <c r="AK4222">
        <v>53.776629999999997</v>
      </c>
    </row>
    <row r="4223" spans="1:37" x14ac:dyDescent="0.3">
      <c r="A4223">
        <v>4222</v>
      </c>
      <c r="B4223">
        <v>0</v>
      </c>
      <c r="C4223">
        <v>6.9980599999999997</v>
      </c>
      <c r="D4223">
        <v>4.8674999999999997</v>
      </c>
      <c r="E4223" t="s">
        <v>6620</v>
      </c>
      <c r="F4223" t="s">
        <v>6621</v>
      </c>
      <c r="G4223" t="s">
        <v>37</v>
      </c>
      <c r="H4223">
        <v>1989</v>
      </c>
      <c r="I4223">
        <v>26.3</v>
      </c>
      <c r="J4223">
        <v>8.3000000000000007</v>
      </c>
      <c r="K4223">
        <v>76</v>
      </c>
      <c r="L4223">
        <v>7.4800700000000004</v>
      </c>
      <c r="M4223">
        <v>32.28566</v>
      </c>
      <c r="N4223">
        <v>21.4</v>
      </c>
      <c r="O4223">
        <v>10.88566</v>
      </c>
      <c r="P4223">
        <v>25.3</v>
      </c>
      <c r="Q4223">
        <v>26.7</v>
      </c>
      <c r="R4223">
        <v>27.3</v>
      </c>
      <c r="S4223">
        <v>25.3</v>
      </c>
      <c r="T4223">
        <v>2461.7199999999998</v>
      </c>
      <c r="U4223">
        <v>391.14339999999999</v>
      </c>
      <c r="V4223">
        <v>29</v>
      </c>
      <c r="W4223">
        <v>61</v>
      </c>
      <c r="X4223">
        <v>1086.5730000000001</v>
      </c>
      <c r="Y4223">
        <v>126.1434</v>
      </c>
      <c r="Z4223">
        <v>387.43009999999998</v>
      </c>
      <c r="AA4223">
        <v>1086.5730000000001</v>
      </c>
      <c r="AB4223">
        <v>3.967482</v>
      </c>
      <c r="AC4223">
        <v>1.910516E-2</v>
      </c>
      <c r="AD4223">
        <v>0.90527279999999999</v>
      </c>
      <c r="AE4223">
        <v>0.92807700000000004</v>
      </c>
      <c r="AF4223">
        <v>15.53322</v>
      </c>
      <c r="AG4223">
        <f>IFERROR(AH4223*0.1, "N/A")</f>
        <v>4.9942310000000001</v>
      </c>
      <c r="AH4223">
        <v>49.942309999999999</v>
      </c>
      <c r="AI4223">
        <v>72.861789999999999</v>
      </c>
      <c r="AJ4223">
        <v>24.206289999999999</v>
      </c>
      <c r="AK4223">
        <v>57.022730000000003</v>
      </c>
    </row>
    <row r="4224" spans="1:37" x14ac:dyDescent="0.3">
      <c r="A4224">
        <v>4223</v>
      </c>
      <c r="B4224">
        <v>0</v>
      </c>
      <c r="C4224">
        <v>6.9980599999999997</v>
      </c>
      <c r="D4224">
        <v>4.8674999999999997</v>
      </c>
      <c r="E4224" t="s">
        <v>6620</v>
      </c>
      <c r="F4224" t="s">
        <v>6622</v>
      </c>
      <c r="G4224" t="s">
        <v>39</v>
      </c>
      <c r="H4224">
        <v>1989</v>
      </c>
      <c r="I4224">
        <v>26.3</v>
      </c>
      <c r="J4224">
        <v>8.3000000000000007</v>
      </c>
      <c r="K4224">
        <v>76</v>
      </c>
      <c r="L4224">
        <v>7.4800700000000004</v>
      </c>
      <c r="M4224">
        <v>32.28566</v>
      </c>
      <c r="N4224">
        <v>21.4</v>
      </c>
      <c r="O4224">
        <v>10.88566</v>
      </c>
      <c r="P4224">
        <v>25.3</v>
      </c>
      <c r="Q4224">
        <v>26.7</v>
      </c>
      <c r="R4224">
        <v>27.3</v>
      </c>
      <c r="S4224">
        <v>25.3</v>
      </c>
      <c r="T4224">
        <v>2461.7199999999998</v>
      </c>
      <c r="U4224">
        <v>391.14339999999999</v>
      </c>
      <c r="V4224">
        <v>29</v>
      </c>
      <c r="W4224">
        <v>61</v>
      </c>
      <c r="X4224">
        <v>1086.5730000000001</v>
      </c>
      <c r="Y4224">
        <v>126.1434</v>
      </c>
      <c r="Z4224">
        <v>387.43009999999998</v>
      </c>
      <c r="AA4224">
        <v>1086.5730000000001</v>
      </c>
      <c r="AB4224">
        <v>3.967482</v>
      </c>
      <c r="AC4224">
        <v>1.910516E-2</v>
      </c>
      <c r="AD4224">
        <v>0.90527279999999999</v>
      </c>
      <c r="AE4224">
        <v>0.92807700000000004</v>
      </c>
      <c r="AF4224">
        <v>15.53322</v>
      </c>
      <c r="AG4224">
        <f>IFERROR(AH4224*0.1, "N/A")</f>
        <v>4.9942310000000001</v>
      </c>
      <c r="AH4224">
        <v>49.942309999999999</v>
      </c>
      <c r="AI4224">
        <v>72.861789999999999</v>
      </c>
      <c r="AJ4224">
        <v>24.206289999999999</v>
      </c>
      <c r="AK4224">
        <v>57.022730000000003</v>
      </c>
    </row>
    <row r="4225" spans="1:37" x14ac:dyDescent="0.3">
      <c r="A4225">
        <v>4224</v>
      </c>
      <c r="B4225">
        <v>6.7</v>
      </c>
      <c r="C4225">
        <v>6.9980599999999997</v>
      </c>
      <c r="D4225">
        <v>4.8674999999999997</v>
      </c>
      <c r="E4225" t="s">
        <v>6620</v>
      </c>
      <c r="F4225" t="s">
        <v>6623</v>
      </c>
      <c r="G4225" t="s">
        <v>2420</v>
      </c>
      <c r="H4225">
        <v>1989</v>
      </c>
      <c r="I4225">
        <v>26.3</v>
      </c>
      <c r="J4225">
        <v>8.3000000000000007</v>
      </c>
      <c r="K4225">
        <v>76</v>
      </c>
      <c r="L4225">
        <v>7.4800700000000004</v>
      </c>
      <c r="M4225">
        <v>32.28566</v>
      </c>
      <c r="N4225">
        <v>21.4</v>
      </c>
      <c r="O4225">
        <v>10.88566</v>
      </c>
      <c r="P4225">
        <v>25.3</v>
      </c>
      <c r="Q4225">
        <v>26.7</v>
      </c>
      <c r="R4225">
        <v>27.3</v>
      </c>
      <c r="S4225">
        <v>25.3</v>
      </c>
      <c r="T4225">
        <v>2461.7199999999998</v>
      </c>
      <c r="U4225">
        <v>391.14339999999999</v>
      </c>
      <c r="V4225">
        <v>29</v>
      </c>
      <c r="W4225">
        <v>61</v>
      </c>
      <c r="X4225">
        <v>1086.5730000000001</v>
      </c>
      <c r="Y4225">
        <v>126.1434</v>
      </c>
      <c r="Z4225">
        <v>387.43009999999998</v>
      </c>
      <c r="AA4225">
        <v>1086.5730000000001</v>
      </c>
      <c r="AB4225">
        <v>3.967482</v>
      </c>
      <c r="AC4225">
        <v>1.910516E-2</v>
      </c>
      <c r="AD4225">
        <v>0.90527279999999999</v>
      </c>
      <c r="AE4225">
        <v>0.92807700000000004</v>
      </c>
      <c r="AF4225">
        <v>15.53322</v>
      </c>
      <c r="AG4225">
        <f>IFERROR(AH4225*0.1, "N/A")</f>
        <v>4.9942310000000001</v>
      </c>
      <c r="AH4225">
        <v>49.942309999999999</v>
      </c>
      <c r="AI4225">
        <v>72.861789999999999</v>
      </c>
      <c r="AJ4225">
        <v>24.206289999999999</v>
      </c>
      <c r="AK4225">
        <v>57.022730000000003</v>
      </c>
    </row>
    <row r="4226" spans="1:37" x14ac:dyDescent="0.3">
      <c r="A4226">
        <v>4225</v>
      </c>
      <c r="B4226">
        <v>0</v>
      </c>
      <c r="C4226">
        <v>6.99139</v>
      </c>
      <c r="D4226">
        <v>4.8502799999999997</v>
      </c>
      <c r="E4226" t="s">
        <v>6624</v>
      </c>
      <c r="F4226" t="s">
        <v>6625</v>
      </c>
      <c r="G4226" t="s">
        <v>37</v>
      </c>
      <c r="H4226">
        <v>1989</v>
      </c>
      <c r="I4226">
        <v>26.3</v>
      </c>
      <c r="J4226">
        <v>8.3000000000000007</v>
      </c>
      <c r="K4226">
        <v>76</v>
      </c>
      <c r="L4226">
        <v>7.5578459999999996</v>
      </c>
      <c r="M4226">
        <v>32.200000000000003</v>
      </c>
      <c r="N4226">
        <v>21.4</v>
      </c>
      <c r="O4226">
        <v>10.8</v>
      </c>
      <c r="P4226">
        <v>25.292120000000001</v>
      </c>
      <c r="Q4226">
        <v>26.7</v>
      </c>
      <c r="R4226">
        <v>27.292120000000001</v>
      </c>
      <c r="S4226">
        <v>25.292120000000001</v>
      </c>
      <c r="T4226">
        <v>2490.511</v>
      </c>
      <c r="U4226">
        <v>393.44310000000002</v>
      </c>
      <c r="V4226">
        <v>30</v>
      </c>
      <c r="W4226">
        <v>61</v>
      </c>
      <c r="X4226">
        <v>1094.8979999999999</v>
      </c>
      <c r="Y4226">
        <v>130.26089999999999</v>
      </c>
      <c r="Z4226">
        <v>392.60070000000002</v>
      </c>
      <c r="AA4226">
        <v>1094.8979999999999</v>
      </c>
      <c r="AB4226">
        <v>1.7956220000000001</v>
      </c>
      <c r="AC4226">
        <v>2.911886E-2</v>
      </c>
      <c r="AD4226">
        <v>1.287758</v>
      </c>
      <c r="AE4226">
        <v>0.92856689999999997</v>
      </c>
      <c r="AF4226">
        <v>13.48161</v>
      </c>
      <c r="AG4226">
        <f>IFERROR(AH4226*0.1, "N/A")</f>
        <v>4.7345010000000007</v>
      </c>
      <c r="AH4226">
        <v>47.345010000000002</v>
      </c>
      <c r="AI4226">
        <v>92.821730000000002</v>
      </c>
      <c r="AJ4226">
        <v>22.931699999999999</v>
      </c>
      <c r="AK4226">
        <v>57.345010000000002</v>
      </c>
    </row>
    <row r="4227" spans="1:37" x14ac:dyDescent="0.3">
      <c r="A4227">
        <v>4226</v>
      </c>
      <c r="B4227">
        <v>0</v>
      </c>
      <c r="C4227">
        <v>6.99139</v>
      </c>
      <c r="D4227">
        <v>4.8502799999999997</v>
      </c>
      <c r="E4227" t="s">
        <v>6624</v>
      </c>
      <c r="F4227" t="s">
        <v>6626</v>
      </c>
      <c r="G4227" t="s">
        <v>39</v>
      </c>
      <c r="H4227">
        <v>1989</v>
      </c>
      <c r="I4227">
        <v>26.3</v>
      </c>
      <c r="J4227">
        <v>8.3000000000000007</v>
      </c>
      <c r="K4227">
        <v>76</v>
      </c>
      <c r="L4227">
        <v>7.5578459999999996</v>
      </c>
      <c r="M4227">
        <v>32.200000000000003</v>
      </c>
      <c r="N4227">
        <v>21.4</v>
      </c>
      <c r="O4227">
        <v>10.8</v>
      </c>
      <c r="P4227">
        <v>25.292120000000001</v>
      </c>
      <c r="Q4227">
        <v>26.7</v>
      </c>
      <c r="R4227">
        <v>27.292120000000001</v>
      </c>
      <c r="S4227">
        <v>25.292120000000001</v>
      </c>
      <c r="T4227">
        <v>2490.511</v>
      </c>
      <c r="U4227">
        <v>393.44310000000002</v>
      </c>
      <c r="V4227">
        <v>30</v>
      </c>
      <c r="W4227">
        <v>61</v>
      </c>
      <c r="X4227">
        <v>1094.8979999999999</v>
      </c>
      <c r="Y4227">
        <v>130.26089999999999</v>
      </c>
      <c r="Z4227">
        <v>392.60070000000002</v>
      </c>
      <c r="AA4227">
        <v>1094.8979999999999</v>
      </c>
      <c r="AB4227">
        <v>1.7956220000000001</v>
      </c>
      <c r="AC4227">
        <v>2.911886E-2</v>
      </c>
      <c r="AD4227">
        <v>1.287758</v>
      </c>
      <c r="AE4227">
        <v>0.92856689999999997</v>
      </c>
      <c r="AF4227">
        <v>13.48161</v>
      </c>
      <c r="AG4227">
        <f>IFERROR(AH4227*0.1, "N/A")</f>
        <v>4.7345010000000007</v>
      </c>
      <c r="AH4227">
        <v>47.345010000000002</v>
      </c>
      <c r="AI4227">
        <v>92.821730000000002</v>
      </c>
      <c r="AJ4227">
        <v>22.931699999999999</v>
      </c>
      <c r="AK4227">
        <v>57.345010000000002</v>
      </c>
    </row>
    <row r="4228" spans="1:37" x14ac:dyDescent="0.3">
      <c r="A4228">
        <v>4227</v>
      </c>
      <c r="B4228">
        <v>3.7</v>
      </c>
      <c r="C4228">
        <v>6.99139</v>
      </c>
      <c r="D4228">
        <v>4.8502799999999997</v>
      </c>
      <c r="E4228" t="s">
        <v>6624</v>
      </c>
      <c r="F4228" t="s">
        <v>6627</v>
      </c>
      <c r="G4228" t="s">
        <v>2420</v>
      </c>
      <c r="H4228">
        <v>1989</v>
      </c>
      <c r="I4228">
        <v>26.3</v>
      </c>
      <c r="J4228">
        <v>8.3000000000000007</v>
      </c>
      <c r="K4228">
        <v>76</v>
      </c>
      <c r="L4228">
        <v>7.5578459999999996</v>
      </c>
      <c r="M4228">
        <v>32.200000000000003</v>
      </c>
      <c r="N4228">
        <v>21.4</v>
      </c>
      <c r="O4228">
        <v>10.8</v>
      </c>
      <c r="P4228">
        <v>25.292120000000001</v>
      </c>
      <c r="Q4228">
        <v>26.7</v>
      </c>
      <c r="R4228">
        <v>27.292120000000001</v>
      </c>
      <c r="S4228">
        <v>25.292120000000001</v>
      </c>
      <c r="T4228">
        <v>2490.511</v>
      </c>
      <c r="U4228">
        <v>393.44310000000002</v>
      </c>
      <c r="V4228">
        <v>30</v>
      </c>
      <c r="W4228">
        <v>61</v>
      </c>
      <c r="X4228">
        <v>1094.8979999999999</v>
      </c>
      <c r="Y4228">
        <v>130.26089999999999</v>
      </c>
      <c r="Z4228">
        <v>392.60070000000002</v>
      </c>
      <c r="AA4228">
        <v>1094.8979999999999</v>
      </c>
      <c r="AB4228">
        <v>1.7956220000000001</v>
      </c>
      <c r="AC4228">
        <v>2.911886E-2</v>
      </c>
      <c r="AD4228">
        <v>1.287758</v>
      </c>
      <c r="AE4228">
        <v>0.92856689999999997</v>
      </c>
      <c r="AF4228">
        <v>13.48161</v>
      </c>
      <c r="AG4228">
        <f>IFERROR(AH4228*0.1, "N/A")</f>
        <v>4.7345010000000007</v>
      </c>
      <c r="AH4228">
        <v>47.345010000000002</v>
      </c>
      <c r="AI4228">
        <v>92.821730000000002</v>
      </c>
      <c r="AJ4228">
        <v>22.931699999999999</v>
      </c>
      <c r="AK4228">
        <v>57.345010000000002</v>
      </c>
    </row>
    <row r="4229" spans="1:37" x14ac:dyDescent="0.3">
      <c r="A4229">
        <v>4228</v>
      </c>
      <c r="B4229">
        <v>0</v>
      </c>
      <c r="C4229">
        <v>6.9891699999999997</v>
      </c>
      <c r="D4229">
        <v>4.83833</v>
      </c>
      <c r="E4229" t="s">
        <v>6628</v>
      </c>
      <c r="F4229" t="s">
        <v>6629</v>
      </c>
      <c r="G4229" t="s">
        <v>37</v>
      </c>
      <c r="H4229">
        <v>1989</v>
      </c>
      <c r="I4229">
        <v>26.3</v>
      </c>
      <c r="J4229">
        <v>8.3000000000000007</v>
      </c>
      <c r="K4229">
        <v>76</v>
      </c>
      <c r="L4229">
        <v>7.54</v>
      </c>
      <c r="M4229">
        <v>32.200000000000003</v>
      </c>
      <c r="N4229">
        <v>21.4</v>
      </c>
      <c r="O4229">
        <v>10.8</v>
      </c>
      <c r="P4229">
        <v>25.3</v>
      </c>
      <c r="Q4229">
        <v>26.6</v>
      </c>
      <c r="R4229">
        <v>27.2</v>
      </c>
      <c r="S4229">
        <v>25.3</v>
      </c>
      <c r="T4229">
        <v>2520</v>
      </c>
      <c r="U4229">
        <v>397</v>
      </c>
      <c r="V4229">
        <v>31</v>
      </c>
      <c r="W4229">
        <v>60</v>
      </c>
      <c r="X4229">
        <v>1104</v>
      </c>
      <c r="Y4229">
        <v>133</v>
      </c>
      <c r="Z4229">
        <v>397</v>
      </c>
      <c r="AA4229">
        <v>1104</v>
      </c>
      <c r="AB4229">
        <v>4.6354889999999997</v>
      </c>
      <c r="AC4229">
        <v>1.7170049999999999E-2</v>
      </c>
      <c r="AD4229">
        <v>1.536359</v>
      </c>
      <c r="AE4229">
        <v>0.92536320000000005</v>
      </c>
      <c r="AF4229">
        <v>13.41783</v>
      </c>
      <c r="AG4229">
        <f>IFERROR(AH4229*0.1, "N/A")</f>
        <v>5.0748250000000006</v>
      </c>
      <c r="AH4229">
        <v>50.748249999999999</v>
      </c>
      <c r="AI4229">
        <v>89.605130000000003</v>
      </c>
      <c r="AJ4229">
        <v>25.531469999999999</v>
      </c>
      <c r="AK4229">
        <v>55.44755</v>
      </c>
    </row>
    <row r="4230" spans="1:37" x14ac:dyDescent="0.3">
      <c r="A4230">
        <v>4229</v>
      </c>
      <c r="B4230">
        <v>0</v>
      </c>
      <c r="C4230">
        <v>6.9891699999999997</v>
      </c>
      <c r="D4230">
        <v>4.83833</v>
      </c>
      <c r="E4230" t="s">
        <v>6628</v>
      </c>
      <c r="F4230" t="s">
        <v>6630</v>
      </c>
      <c r="G4230" t="s">
        <v>39</v>
      </c>
      <c r="H4230">
        <v>1989</v>
      </c>
      <c r="I4230">
        <v>26.3</v>
      </c>
      <c r="J4230">
        <v>8.3000000000000007</v>
      </c>
      <c r="K4230">
        <v>76</v>
      </c>
      <c r="L4230">
        <v>7.54</v>
      </c>
      <c r="M4230">
        <v>32.200000000000003</v>
      </c>
      <c r="N4230">
        <v>21.4</v>
      </c>
      <c r="O4230">
        <v>10.8</v>
      </c>
      <c r="P4230">
        <v>25.3</v>
      </c>
      <c r="Q4230">
        <v>26.6</v>
      </c>
      <c r="R4230">
        <v>27.2</v>
      </c>
      <c r="S4230">
        <v>25.3</v>
      </c>
      <c r="T4230">
        <v>2520</v>
      </c>
      <c r="U4230">
        <v>397</v>
      </c>
      <c r="V4230">
        <v>31</v>
      </c>
      <c r="W4230">
        <v>60</v>
      </c>
      <c r="X4230">
        <v>1104</v>
      </c>
      <c r="Y4230">
        <v>133</v>
      </c>
      <c r="Z4230">
        <v>397</v>
      </c>
      <c r="AA4230">
        <v>1104</v>
      </c>
      <c r="AB4230">
        <v>4.6354889999999997</v>
      </c>
      <c r="AC4230">
        <v>1.7170049999999999E-2</v>
      </c>
      <c r="AD4230">
        <v>1.536359</v>
      </c>
      <c r="AE4230">
        <v>0.92536320000000005</v>
      </c>
      <c r="AF4230">
        <v>13.41783</v>
      </c>
      <c r="AG4230">
        <f>IFERROR(AH4230*0.1, "N/A")</f>
        <v>5.0748250000000006</v>
      </c>
      <c r="AH4230">
        <v>50.748249999999999</v>
      </c>
      <c r="AI4230">
        <v>89.605130000000003</v>
      </c>
      <c r="AJ4230">
        <v>25.531469999999999</v>
      </c>
      <c r="AK4230">
        <v>55.44755</v>
      </c>
    </row>
    <row r="4231" spans="1:37" x14ac:dyDescent="0.3">
      <c r="A4231">
        <v>4230</v>
      </c>
      <c r="B4231">
        <v>8.4</v>
      </c>
      <c r="C4231">
        <v>6.9891699999999997</v>
      </c>
      <c r="D4231">
        <v>4.83833</v>
      </c>
      <c r="E4231" t="s">
        <v>6628</v>
      </c>
      <c r="F4231" t="s">
        <v>6631</v>
      </c>
      <c r="G4231" t="s">
        <v>2420</v>
      </c>
      <c r="H4231">
        <v>1989</v>
      </c>
      <c r="I4231">
        <v>26.3</v>
      </c>
      <c r="J4231">
        <v>8.3000000000000007</v>
      </c>
      <c r="K4231">
        <v>76</v>
      </c>
      <c r="L4231">
        <v>7.54</v>
      </c>
      <c r="M4231">
        <v>32.200000000000003</v>
      </c>
      <c r="N4231">
        <v>21.4</v>
      </c>
      <c r="O4231">
        <v>10.8</v>
      </c>
      <c r="P4231">
        <v>25.3</v>
      </c>
      <c r="Q4231">
        <v>26.6</v>
      </c>
      <c r="R4231">
        <v>27.2</v>
      </c>
      <c r="S4231">
        <v>25.3</v>
      </c>
      <c r="T4231">
        <v>2520</v>
      </c>
      <c r="U4231">
        <v>397</v>
      </c>
      <c r="V4231">
        <v>31</v>
      </c>
      <c r="W4231">
        <v>60</v>
      </c>
      <c r="X4231">
        <v>1104</v>
      </c>
      <c r="Y4231">
        <v>133</v>
      </c>
      <c r="Z4231">
        <v>397</v>
      </c>
      <c r="AA4231">
        <v>1104</v>
      </c>
      <c r="AB4231">
        <v>4.6354889999999997</v>
      </c>
      <c r="AC4231">
        <v>1.7170049999999999E-2</v>
      </c>
      <c r="AD4231">
        <v>1.536359</v>
      </c>
      <c r="AE4231">
        <v>0.92536320000000005</v>
      </c>
      <c r="AF4231">
        <v>13.41783</v>
      </c>
      <c r="AG4231">
        <f>IFERROR(AH4231*0.1, "N/A")</f>
        <v>5.0748250000000006</v>
      </c>
      <c r="AH4231">
        <v>50.748249999999999</v>
      </c>
      <c r="AI4231">
        <v>89.605130000000003</v>
      </c>
      <c r="AJ4231">
        <v>25.531469999999999</v>
      </c>
      <c r="AK4231">
        <v>55.44755</v>
      </c>
    </row>
    <row r="4232" spans="1:37" x14ac:dyDescent="0.3">
      <c r="A4232">
        <v>4231</v>
      </c>
      <c r="B4232">
        <v>0</v>
      </c>
      <c r="C4232">
        <v>7.0016699999999998</v>
      </c>
      <c r="D4232">
        <v>4.8252800000000002</v>
      </c>
      <c r="E4232" t="s">
        <v>6632</v>
      </c>
      <c r="F4232" t="s">
        <v>6633</v>
      </c>
      <c r="G4232" t="s">
        <v>37</v>
      </c>
      <c r="H4232">
        <v>1989</v>
      </c>
      <c r="I4232">
        <v>26.3</v>
      </c>
      <c r="J4232">
        <v>8.3000000000000007</v>
      </c>
      <c r="K4232">
        <v>76</v>
      </c>
      <c r="L4232">
        <v>7.8398250000000003</v>
      </c>
      <c r="M4232">
        <v>32.299999999999997</v>
      </c>
      <c r="N4232">
        <v>21.4</v>
      </c>
      <c r="O4232">
        <v>10.9</v>
      </c>
      <c r="P4232">
        <v>25.21454</v>
      </c>
      <c r="Q4232">
        <v>26.7</v>
      </c>
      <c r="R4232">
        <v>27.3</v>
      </c>
      <c r="S4232">
        <v>25.21454</v>
      </c>
      <c r="T4232">
        <v>2546.0529999999999</v>
      </c>
      <c r="U4232">
        <v>398.29070000000002</v>
      </c>
      <c r="V4232">
        <v>31.14536</v>
      </c>
      <c r="W4232">
        <v>60</v>
      </c>
      <c r="X4232">
        <v>1113.8720000000001</v>
      </c>
      <c r="Y4232">
        <v>135.29069999999999</v>
      </c>
      <c r="Z4232">
        <v>400.29070000000002</v>
      </c>
      <c r="AA4232">
        <v>1113.8720000000001</v>
      </c>
      <c r="AB4232">
        <v>13.793699999999999</v>
      </c>
      <c r="AC4232">
        <v>9.2640680000000003E-3</v>
      </c>
      <c r="AD4232">
        <v>1.298035</v>
      </c>
      <c r="AE4232">
        <v>0.94543219999999994</v>
      </c>
      <c r="AF4232">
        <v>19.41506</v>
      </c>
      <c r="AG4232">
        <f>IFERROR(AH4232*0.1, "N/A")</f>
        <v>5.5</v>
      </c>
      <c r="AH4232">
        <v>55</v>
      </c>
      <c r="AI4232">
        <v>163.4033</v>
      </c>
      <c r="AJ4232">
        <v>26</v>
      </c>
      <c r="AK4232">
        <v>51.964970000000001</v>
      </c>
    </row>
    <row r="4233" spans="1:37" x14ac:dyDescent="0.3">
      <c r="A4233">
        <v>4232</v>
      </c>
      <c r="B4233">
        <v>0</v>
      </c>
      <c r="C4233">
        <v>7.0016699999999998</v>
      </c>
      <c r="D4233">
        <v>4.8252800000000002</v>
      </c>
      <c r="E4233" t="s">
        <v>6632</v>
      </c>
      <c r="F4233" t="s">
        <v>6634</v>
      </c>
      <c r="G4233" t="s">
        <v>39</v>
      </c>
      <c r="H4233">
        <v>1989</v>
      </c>
      <c r="I4233">
        <v>26.3</v>
      </c>
      <c r="J4233">
        <v>8.3000000000000007</v>
      </c>
      <c r="K4233">
        <v>76</v>
      </c>
      <c r="L4233">
        <v>7.8398250000000003</v>
      </c>
      <c r="M4233">
        <v>32.299999999999997</v>
      </c>
      <c r="N4233">
        <v>21.4</v>
      </c>
      <c r="O4233">
        <v>10.9</v>
      </c>
      <c r="P4233">
        <v>25.21454</v>
      </c>
      <c r="Q4233">
        <v>26.7</v>
      </c>
      <c r="R4233">
        <v>27.3</v>
      </c>
      <c r="S4233">
        <v>25.21454</v>
      </c>
      <c r="T4233">
        <v>2546.0529999999999</v>
      </c>
      <c r="U4233">
        <v>398.29070000000002</v>
      </c>
      <c r="V4233">
        <v>31.14536</v>
      </c>
      <c r="W4233">
        <v>60</v>
      </c>
      <c r="X4233">
        <v>1113.8720000000001</v>
      </c>
      <c r="Y4233">
        <v>135.29069999999999</v>
      </c>
      <c r="Z4233">
        <v>400.29070000000002</v>
      </c>
      <c r="AA4233">
        <v>1113.8720000000001</v>
      </c>
      <c r="AB4233">
        <v>13.793699999999999</v>
      </c>
      <c r="AC4233">
        <v>9.2640680000000003E-3</v>
      </c>
      <c r="AD4233">
        <v>1.298035</v>
      </c>
      <c r="AE4233">
        <v>0.94543219999999994</v>
      </c>
      <c r="AF4233">
        <v>19.41506</v>
      </c>
      <c r="AG4233">
        <f>IFERROR(AH4233*0.1, "N/A")</f>
        <v>5.5</v>
      </c>
      <c r="AH4233">
        <v>55</v>
      </c>
      <c r="AI4233">
        <v>163.4033</v>
      </c>
      <c r="AJ4233">
        <v>26</v>
      </c>
      <c r="AK4233">
        <v>51.964970000000001</v>
      </c>
    </row>
    <row r="4234" spans="1:37" x14ac:dyDescent="0.3">
      <c r="A4234">
        <v>4233</v>
      </c>
      <c r="B4234">
        <v>1</v>
      </c>
      <c r="C4234">
        <v>7.0016699999999998</v>
      </c>
      <c r="D4234">
        <v>4.8252800000000002</v>
      </c>
      <c r="E4234" t="s">
        <v>6632</v>
      </c>
      <c r="F4234" t="s">
        <v>6635</v>
      </c>
      <c r="G4234" t="s">
        <v>2420</v>
      </c>
      <c r="H4234">
        <v>1989</v>
      </c>
      <c r="I4234">
        <v>26.3</v>
      </c>
      <c r="J4234">
        <v>8.3000000000000007</v>
      </c>
      <c r="K4234">
        <v>76</v>
      </c>
      <c r="L4234">
        <v>7.8398250000000003</v>
      </c>
      <c r="M4234">
        <v>32.299999999999997</v>
      </c>
      <c r="N4234">
        <v>21.4</v>
      </c>
      <c r="O4234">
        <v>10.9</v>
      </c>
      <c r="P4234">
        <v>25.21454</v>
      </c>
      <c r="Q4234">
        <v>26.7</v>
      </c>
      <c r="R4234">
        <v>27.3</v>
      </c>
      <c r="S4234">
        <v>25.21454</v>
      </c>
      <c r="T4234">
        <v>2546.0529999999999</v>
      </c>
      <c r="U4234">
        <v>398.29070000000002</v>
      </c>
      <c r="V4234">
        <v>31.14536</v>
      </c>
      <c r="W4234">
        <v>60</v>
      </c>
      <c r="X4234">
        <v>1113.8720000000001</v>
      </c>
      <c r="Y4234">
        <v>135.29069999999999</v>
      </c>
      <c r="Z4234">
        <v>400.29070000000002</v>
      </c>
      <c r="AA4234">
        <v>1113.8720000000001</v>
      </c>
      <c r="AB4234">
        <v>13.793699999999999</v>
      </c>
      <c r="AC4234">
        <v>9.2640680000000003E-3</v>
      </c>
      <c r="AD4234">
        <v>1.298035</v>
      </c>
      <c r="AE4234">
        <v>0.94543219999999994</v>
      </c>
      <c r="AF4234">
        <v>19.41506</v>
      </c>
      <c r="AG4234">
        <f>IFERROR(AH4234*0.1, "N/A")</f>
        <v>5.5</v>
      </c>
      <c r="AH4234">
        <v>55</v>
      </c>
      <c r="AI4234">
        <v>163.4033</v>
      </c>
      <c r="AJ4234">
        <v>26</v>
      </c>
      <c r="AK4234">
        <v>51.964970000000001</v>
      </c>
    </row>
    <row r="4235" spans="1:37" x14ac:dyDescent="0.3">
      <c r="A4235">
        <v>4234</v>
      </c>
      <c r="B4235">
        <v>0</v>
      </c>
      <c r="C4235">
        <v>7.0005600000000001</v>
      </c>
      <c r="D4235">
        <v>4.8055599999999998</v>
      </c>
      <c r="E4235" t="s">
        <v>6636</v>
      </c>
      <c r="F4235" t="s">
        <v>6637</v>
      </c>
      <c r="G4235" t="s">
        <v>37</v>
      </c>
      <c r="H4235">
        <v>1989</v>
      </c>
      <c r="I4235">
        <v>26.3</v>
      </c>
      <c r="J4235">
        <v>8.3000000000000007</v>
      </c>
      <c r="K4235">
        <v>77</v>
      </c>
      <c r="L4235">
        <v>7.64</v>
      </c>
      <c r="M4235">
        <v>32.200000000000003</v>
      </c>
      <c r="N4235">
        <v>21.5</v>
      </c>
      <c r="O4235">
        <v>10.7</v>
      </c>
      <c r="P4235">
        <v>25.3</v>
      </c>
      <c r="Q4235">
        <v>26.7</v>
      </c>
      <c r="R4235">
        <v>27.3</v>
      </c>
      <c r="S4235">
        <v>25.3</v>
      </c>
      <c r="T4235">
        <v>2606</v>
      </c>
      <c r="U4235">
        <v>405</v>
      </c>
      <c r="V4235">
        <v>33</v>
      </c>
      <c r="W4235">
        <v>60</v>
      </c>
      <c r="X4235">
        <v>1132</v>
      </c>
      <c r="Y4235">
        <v>141</v>
      </c>
      <c r="Z4235">
        <v>407</v>
      </c>
      <c r="AA4235">
        <v>1132</v>
      </c>
      <c r="AB4235">
        <v>2.4901930000000001</v>
      </c>
      <c r="AC4235">
        <v>8.1021739999999995E-2</v>
      </c>
      <c r="AD4235">
        <v>1.148617</v>
      </c>
      <c r="AE4235">
        <v>0.93572520000000003</v>
      </c>
      <c r="AF4235">
        <v>7.3380039999999997</v>
      </c>
      <c r="AG4235">
        <f>IFERROR(AH4235*0.1, "N/A")</f>
        <v>5.7884410000000006</v>
      </c>
      <c r="AH4235">
        <v>57.884410000000003</v>
      </c>
      <c r="AI4235">
        <v>160.83799999999999</v>
      </c>
      <c r="AJ4235">
        <v>26.231169999999999</v>
      </c>
      <c r="AK4235">
        <v>50.884410000000003</v>
      </c>
    </row>
    <row r="4236" spans="1:37" x14ac:dyDescent="0.3">
      <c r="A4236">
        <v>4235</v>
      </c>
      <c r="B4236">
        <v>0</v>
      </c>
      <c r="C4236">
        <v>7.0005600000000001</v>
      </c>
      <c r="D4236">
        <v>4.8055599999999998</v>
      </c>
      <c r="E4236" t="s">
        <v>6636</v>
      </c>
      <c r="F4236" t="s">
        <v>6638</v>
      </c>
      <c r="G4236" t="s">
        <v>39</v>
      </c>
      <c r="H4236">
        <v>1989</v>
      </c>
      <c r="I4236">
        <v>26.3</v>
      </c>
      <c r="J4236">
        <v>8.3000000000000007</v>
      </c>
      <c r="K4236">
        <v>77</v>
      </c>
      <c r="L4236">
        <v>7.64</v>
      </c>
      <c r="M4236">
        <v>32.200000000000003</v>
      </c>
      <c r="N4236">
        <v>21.5</v>
      </c>
      <c r="O4236">
        <v>10.7</v>
      </c>
      <c r="P4236">
        <v>25.3</v>
      </c>
      <c r="Q4236">
        <v>26.7</v>
      </c>
      <c r="R4236">
        <v>27.3</v>
      </c>
      <c r="S4236">
        <v>25.3</v>
      </c>
      <c r="T4236">
        <v>2606</v>
      </c>
      <c r="U4236">
        <v>405</v>
      </c>
      <c r="V4236">
        <v>33</v>
      </c>
      <c r="W4236">
        <v>60</v>
      </c>
      <c r="X4236">
        <v>1132</v>
      </c>
      <c r="Y4236">
        <v>141</v>
      </c>
      <c r="Z4236">
        <v>407</v>
      </c>
      <c r="AA4236">
        <v>1132</v>
      </c>
      <c r="AB4236">
        <v>2.4901930000000001</v>
      </c>
      <c r="AC4236">
        <v>8.1021739999999995E-2</v>
      </c>
      <c r="AD4236">
        <v>1.148617</v>
      </c>
      <c r="AE4236">
        <v>0.93572520000000003</v>
      </c>
      <c r="AF4236">
        <v>7.3380039999999997</v>
      </c>
      <c r="AG4236">
        <f>IFERROR(AH4236*0.1, "N/A")</f>
        <v>5.7884410000000006</v>
      </c>
      <c r="AH4236">
        <v>57.884410000000003</v>
      </c>
      <c r="AI4236">
        <v>160.83799999999999</v>
      </c>
      <c r="AJ4236">
        <v>26.231169999999999</v>
      </c>
      <c r="AK4236">
        <v>50.884410000000003</v>
      </c>
    </row>
    <row r="4237" spans="1:37" x14ac:dyDescent="0.3">
      <c r="A4237">
        <v>4236</v>
      </c>
      <c r="B4237">
        <v>6.4</v>
      </c>
      <c r="C4237">
        <v>7.0005600000000001</v>
      </c>
      <c r="D4237">
        <v>4.8055599999999998</v>
      </c>
      <c r="E4237" t="s">
        <v>6636</v>
      </c>
      <c r="F4237" t="s">
        <v>6639</v>
      </c>
      <c r="G4237" t="s">
        <v>2420</v>
      </c>
      <c r="H4237">
        <v>1989</v>
      </c>
      <c r="I4237">
        <v>26.3</v>
      </c>
      <c r="J4237">
        <v>8.3000000000000007</v>
      </c>
      <c r="K4237">
        <v>77</v>
      </c>
      <c r="L4237">
        <v>7.64</v>
      </c>
      <c r="M4237">
        <v>32.200000000000003</v>
      </c>
      <c r="N4237">
        <v>21.5</v>
      </c>
      <c r="O4237">
        <v>10.7</v>
      </c>
      <c r="P4237">
        <v>25.3</v>
      </c>
      <c r="Q4237">
        <v>26.7</v>
      </c>
      <c r="R4237">
        <v>27.3</v>
      </c>
      <c r="S4237">
        <v>25.3</v>
      </c>
      <c r="T4237">
        <v>2606</v>
      </c>
      <c r="U4237">
        <v>405</v>
      </c>
      <c r="V4237">
        <v>33</v>
      </c>
      <c r="W4237">
        <v>60</v>
      </c>
      <c r="X4237">
        <v>1132</v>
      </c>
      <c r="Y4237">
        <v>141</v>
      </c>
      <c r="Z4237">
        <v>407</v>
      </c>
      <c r="AA4237">
        <v>1132</v>
      </c>
      <c r="AB4237">
        <v>2.4901930000000001</v>
      </c>
      <c r="AC4237">
        <v>8.1021739999999995E-2</v>
      </c>
      <c r="AD4237">
        <v>1.148617</v>
      </c>
      <c r="AE4237">
        <v>0.93572520000000003</v>
      </c>
      <c r="AF4237">
        <v>7.3380039999999997</v>
      </c>
      <c r="AG4237">
        <f>IFERROR(AH4237*0.1, "N/A")</f>
        <v>5.7884410000000006</v>
      </c>
      <c r="AH4237">
        <v>57.884410000000003</v>
      </c>
      <c r="AI4237">
        <v>160.83799999999999</v>
      </c>
      <c r="AJ4237">
        <v>26.231169999999999</v>
      </c>
      <c r="AK4237">
        <v>50.884410000000003</v>
      </c>
    </row>
    <row r="4238" spans="1:37" x14ac:dyDescent="0.3">
      <c r="A4238">
        <v>4237</v>
      </c>
      <c r="B4238">
        <v>0</v>
      </c>
      <c r="C4238">
        <v>6.9866700000000002</v>
      </c>
      <c r="D4238">
        <v>4.8116700000000003</v>
      </c>
      <c r="E4238" t="s">
        <v>6640</v>
      </c>
      <c r="F4238" t="s">
        <v>6641</v>
      </c>
      <c r="G4238" t="s">
        <v>37</v>
      </c>
      <c r="H4238">
        <v>1989</v>
      </c>
      <c r="I4238">
        <v>26.4</v>
      </c>
      <c r="J4238">
        <v>8.3000000000000007</v>
      </c>
      <c r="K4238">
        <v>77</v>
      </c>
      <c r="L4238">
        <v>7.49</v>
      </c>
      <c r="M4238">
        <v>32.200000000000003</v>
      </c>
      <c r="N4238">
        <v>21.5</v>
      </c>
      <c r="O4238">
        <v>10.7</v>
      </c>
      <c r="P4238">
        <v>25.4</v>
      </c>
      <c r="Q4238">
        <v>26.7</v>
      </c>
      <c r="R4238">
        <v>27.3</v>
      </c>
      <c r="S4238">
        <v>25.4</v>
      </c>
      <c r="T4238">
        <v>2578</v>
      </c>
      <c r="U4238">
        <v>402</v>
      </c>
      <c r="V4238">
        <v>32</v>
      </c>
      <c r="W4238">
        <v>60</v>
      </c>
      <c r="X4238">
        <v>1120</v>
      </c>
      <c r="Y4238">
        <v>139</v>
      </c>
      <c r="Z4238">
        <v>404</v>
      </c>
      <c r="AA4238">
        <v>1120</v>
      </c>
      <c r="AB4238">
        <v>2.2673079999999999</v>
      </c>
      <c r="AC4238">
        <v>3.7960290000000001E-2</v>
      </c>
      <c r="AD4238">
        <v>1.2527820000000001</v>
      </c>
      <c r="AE4238">
        <v>0.94194140000000004</v>
      </c>
      <c r="AF4238">
        <v>5.9720279999999999</v>
      </c>
      <c r="AG4238">
        <f>IFERROR(AH4238*0.1, "N/A")</f>
        <v>5.1912590000000005</v>
      </c>
      <c r="AH4238">
        <v>51.912590000000002</v>
      </c>
      <c r="AI4238">
        <v>128.9401</v>
      </c>
      <c r="AJ4238">
        <v>23.01923</v>
      </c>
      <c r="AK4238">
        <v>57.454549999999998</v>
      </c>
    </row>
    <row r="4239" spans="1:37" x14ac:dyDescent="0.3">
      <c r="A4239">
        <v>4238</v>
      </c>
      <c r="B4239">
        <v>0</v>
      </c>
      <c r="C4239">
        <v>6.9866700000000002</v>
      </c>
      <c r="D4239">
        <v>4.8116700000000003</v>
      </c>
      <c r="E4239" t="s">
        <v>6640</v>
      </c>
      <c r="F4239" t="s">
        <v>6642</v>
      </c>
      <c r="G4239" t="s">
        <v>39</v>
      </c>
      <c r="H4239">
        <v>1989</v>
      </c>
      <c r="I4239">
        <v>26.4</v>
      </c>
      <c r="J4239">
        <v>8.3000000000000007</v>
      </c>
      <c r="K4239">
        <v>77</v>
      </c>
      <c r="L4239">
        <v>7.49</v>
      </c>
      <c r="M4239">
        <v>32.200000000000003</v>
      </c>
      <c r="N4239">
        <v>21.5</v>
      </c>
      <c r="O4239">
        <v>10.7</v>
      </c>
      <c r="P4239">
        <v>25.4</v>
      </c>
      <c r="Q4239">
        <v>26.7</v>
      </c>
      <c r="R4239">
        <v>27.3</v>
      </c>
      <c r="S4239">
        <v>25.4</v>
      </c>
      <c r="T4239">
        <v>2578</v>
      </c>
      <c r="U4239">
        <v>402</v>
      </c>
      <c r="V4239">
        <v>32</v>
      </c>
      <c r="W4239">
        <v>60</v>
      </c>
      <c r="X4239">
        <v>1120</v>
      </c>
      <c r="Y4239">
        <v>139</v>
      </c>
      <c r="Z4239">
        <v>404</v>
      </c>
      <c r="AA4239">
        <v>1120</v>
      </c>
      <c r="AB4239">
        <v>2.2673079999999999</v>
      </c>
      <c r="AC4239">
        <v>3.7960290000000001E-2</v>
      </c>
      <c r="AD4239">
        <v>1.2527820000000001</v>
      </c>
      <c r="AE4239">
        <v>0.94194140000000004</v>
      </c>
      <c r="AF4239">
        <v>5.9720279999999999</v>
      </c>
      <c r="AG4239">
        <f>IFERROR(AH4239*0.1, "N/A")</f>
        <v>5.1912590000000005</v>
      </c>
      <c r="AH4239">
        <v>51.912590000000002</v>
      </c>
      <c r="AI4239">
        <v>128.9401</v>
      </c>
      <c r="AJ4239">
        <v>23.01923</v>
      </c>
      <c r="AK4239">
        <v>57.454549999999998</v>
      </c>
    </row>
    <row r="4240" spans="1:37" x14ac:dyDescent="0.3">
      <c r="A4240">
        <v>4239</v>
      </c>
      <c r="B4240">
        <v>9.3000000000000007</v>
      </c>
      <c r="C4240">
        <v>6.9866700000000002</v>
      </c>
      <c r="D4240">
        <v>4.8116700000000003</v>
      </c>
      <c r="E4240" t="s">
        <v>6640</v>
      </c>
      <c r="F4240" t="s">
        <v>6643</v>
      </c>
      <c r="G4240" t="s">
        <v>2420</v>
      </c>
      <c r="H4240">
        <v>1989</v>
      </c>
      <c r="I4240">
        <v>26.4</v>
      </c>
      <c r="J4240">
        <v>8.3000000000000007</v>
      </c>
      <c r="K4240">
        <v>77</v>
      </c>
      <c r="L4240">
        <v>7.49</v>
      </c>
      <c r="M4240">
        <v>32.200000000000003</v>
      </c>
      <c r="N4240">
        <v>21.5</v>
      </c>
      <c r="O4240">
        <v>10.7</v>
      </c>
      <c r="P4240">
        <v>25.4</v>
      </c>
      <c r="Q4240">
        <v>26.7</v>
      </c>
      <c r="R4240">
        <v>27.3</v>
      </c>
      <c r="S4240">
        <v>25.4</v>
      </c>
      <c r="T4240">
        <v>2578</v>
      </c>
      <c r="U4240">
        <v>402</v>
      </c>
      <c r="V4240">
        <v>32</v>
      </c>
      <c r="W4240">
        <v>60</v>
      </c>
      <c r="X4240">
        <v>1120</v>
      </c>
      <c r="Y4240">
        <v>139</v>
      </c>
      <c r="Z4240">
        <v>404</v>
      </c>
      <c r="AA4240">
        <v>1120</v>
      </c>
      <c r="AB4240">
        <v>2.2673079999999999</v>
      </c>
      <c r="AC4240">
        <v>3.7960290000000001E-2</v>
      </c>
      <c r="AD4240">
        <v>1.2527820000000001</v>
      </c>
      <c r="AE4240">
        <v>0.94194140000000004</v>
      </c>
      <c r="AF4240">
        <v>5.9720279999999999</v>
      </c>
      <c r="AG4240">
        <f>IFERROR(AH4240*0.1, "N/A")</f>
        <v>5.1912590000000005</v>
      </c>
      <c r="AH4240">
        <v>51.912590000000002</v>
      </c>
      <c r="AI4240">
        <v>128.9401</v>
      </c>
      <c r="AJ4240">
        <v>23.01923</v>
      </c>
      <c r="AK4240">
        <v>57.454549999999998</v>
      </c>
    </row>
    <row r="4241" spans="1:37" x14ac:dyDescent="0.3">
      <c r="A4241">
        <v>4240</v>
      </c>
      <c r="B4241">
        <v>0</v>
      </c>
      <c r="C4241">
        <v>7.0105599999999999</v>
      </c>
      <c r="D4241">
        <v>4.7961099999999997</v>
      </c>
      <c r="E4241" t="s">
        <v>6644</v>
      </c>
      <c r="F4241" t="s">
        <v>6645</v>
      </c>
      <c r="G4241" t="s">
        <v>37</v>
      </c>
      <c r="H4241">
        <v>1989</v>
      </c>
      <c r="I4241">
        <v>26.3</v>
      </c>
      <c r="J4241">
        <v>8.3000000000000007</v>
      </c>
      <c r="K4241">
        <v>76</v>
      </c>
      <c r="L4241">
        <v>7.88</v>
      </c>
      <c r="M4241">
        <v>32.299999999999997</v>
      </c>
      <c r="N4241">
        <v>21.5</v>
      </c>
      <c r="O4241">
        <v>10.8</v>
      </c>
      <c r="P4241">
        <v>25.3</v>
      </c>
      <c r="Q4241">
        <v>26.7</v>
      </c>
      <c r="R4241">
        <v>27.3</v>
      </c>
      <c r="S4241">
        <v>25.3</v>
      </c>
      <c r="T4241">
        <v>2634</v>
      </c>
      <c r="U4241">
        <v>407</v>
      </c>
      <c r="V4241">
        <v>34</v>
      </c>
      <c r="W4241">
        <v>60</v>
      </c>
      <c r="X4241">
        <v>1141</v>
      </c>
      <c r="Y4241">
        <v>144</v>
      </c>
      <c r="Z4241">
        <v>411</v>
      </c>
      <c r="AA4241">
        <v>1141</v>
      </c>
      <c r="AB4241">
        <v>12.957520000000001</v>
      </c>
      <c r="AC4241">
        <v>1.1854450000000001E-2</v>
      </c>
      <c r="AD4241">
        <v>1.1114189999999999</v>
      </c>
      <c r="AE4241">
        <v>0.91427760000000002</v>
      </c>
      <c r="AF4241">
        <v>15.52098</v>
      </c>
      <c r="AG4241">
        <f>IFERROR(AH4241*0.1, "N/A")</f>
        <v>5.519056</v>
      </c>
      <c r="AH4241">
        <v>55.190559999999998</v>
      </c>
      <c r="AI4241">
        <v>251.08940000000001</v>
      </c>
      <c r="AJ4241">
        <v>26.206289999999999</v>
      </c>
      <c r="AK4241">
        <v>54.190559999999998</v>
      </c>
    </row>
    <row r="4242" spans="1:37" x14ac:dyDescent="0.3">
      <c r="A4242">
        <v>4241</v>
      </c>
      <c r="B4242">
        <v>0</v>
      </c>
      <c r="C4242">
        <v>7.0105599999999999</v>
      </c>
      <c r="D4242">
        <v>4.7961099999999997</v>
      </c>
      <c r="E4242" t="s">
        <v>6644</v>
      </c>
      <c r="F4242" t="s">
        <v>6646</v>
      </c>
      <c r="G4242" t="s">
        <v>39</v>
      </c>
      <c r="H4242">
        <v>1989</v>
      </c>
      <c r="I4242">
        <v>26.3</v>
      </c>
      <c r="J4242">
        <v>8.3000000000000007</v>
      </c>
      <c r="K4242">
        <v>76</v>
      </c>
      <c r="L4242">
        <v>7.88</v>
      </c>
      <c r="M4242">
        <v>32.299999999999997</v>
      </c>
      <c r="N4242">
        <v>21.5</v>
      </c>
      <c r="O4242">
        <v>10.8</v>
      </c>
      <c r="P4242">
        <v>25.3</v>
      </c>
      <c r="Q4242">
        <v>26.7</v>
      </c>
      <c r="R4242">
        <v>27.3</v>
      </c>
      <c r="S4242">
        <v>25.3</v>
      </c>
      <c r="T4242">
        <v>2634</v>
      </c>
      <c r="U4242">
        <v>407</v>
      </c>
      <c r="V4242">
        <v>34</v>
      </c>
      <c r="W4242">
        <v>60</v>
      </c>
      <c r="X4242">
        <v>1141</v>
      </c>
      <c r="Y4242">
        <v>144</v>
      </c>
      <c r="Z4242">
        <v>411</v>
      </c>
      <c r="AA4242">
        <v>1141</v>
      </c>
      <c r="AB4242">
        <v>12.957520000000001</v>
      </c>
      <c r="AC4242">
        <v>1.1854450000000001E-2</v>
      </c>
      <c r="AD4242">
        <v>1.1114189999999999</v>
      </c>
      <c r="AE4242">
        <v>0.91427760000000002</v>
      </c>
      <c r="AF4242">
        <v>15.52098</v>
      </c>
      <c r="AG4242">
        <f>IFERROR(AH4242*0.1, "N/A")</f>
        <v>5.519056</v>
      </c>
      <c r="AH4242">
        <v>55.190559999999998</v>
      </c>
      <c r="AI4242">
        <v>251.08940000000001</v>
      </c>
      <c r="AJ4242">
        <v>26.206289999999999</v>
      </c>
      <c r="AK4242">
        <v>54.190559999999998</v>
      </c>
    </row>
    <row r="4243" spans="1:37" x14ac:dyDescent="0.3">
      <c r="A4243">
        <v>4242</v>
      </c>
      <c r="B4243">
        <v>6.7</v>
      </c>
      <c r="C4243">
        <v>7.0105599999999999</v>
      </c>
      <c r="D4243">
        <v>4.7961099999999997</v>
      </c>
      <c r="E4243" t="s">
        <v>6644</v>
      </c>
      <c r="F4243" t="s">
        <v>6647</v>
      </c>
      <c r="G4243" t="s">
        <v>2420</v>
      </c>
      <c r="H4243">
        <v>1989</v>
      </c>
      <c r="I4243">
        <v>26.3</v>
      </c>
      <c r="J4243">
        <v>8.3000000000000007</v>
      </c>
      <c r="K4243">
        <v>76</v>
      </c>
      <c r="L4243">
        <v>7.88</v>
      </c>
      <c r="M4243">
        <v>32.299999999999997</v>
      </c>
      <c r="N4243">
        <v>21.5</v>
      </c>
      <c r="O4243">
        <v>10.8</v>
      </c>
      <c r="P4243">
        <v>25.3</v>
      </c>
      <c r="Q4243">
        <v>26.7</v>
      </c>
      <c r="R4243">
        <v>27.3</v>
      </c>
      <c r="S4243">
        <v>25.3</v>
      </c>
      <c r="T4243">
        <v>2634</v>
      </c>
      <c r="U4243">
        <v>407</v>
      </c>
      <c r="V4243">
        <v>34</v>
      </c>
      <c r="W4243">
        <v>60</v>
      </c>
      <c r="X4243">
        <v>1141</v>
      </c>
      <c r="Y4243">
        <v>144</v>
      </c>
      <c r="Z4243">
        <v>411</v>
      </c>
      <c r="AA4243">
        <v>1141</v>
      </c>
      <c r="AB4243">
        <v>12.957520000000001</v>
      </c>
      <c r="AC4243">
        <v>1.1854450000000001E-2</v>
      </c>
      <c r="AD4243">
        <v>1.1114189999999999</v>
      </c>
      <c r="AE4243">
        <v>0.91427760000000002</v>
      </c>
      <c r="AF4243">
        <v>15.52098</v>
      </c>
      <c r="AG4243">
        <f>IFERROR(AH4243*0.1, "N/A")</f>
        <v>5.519056</v>
      </c>
      <c r="AH4243">
        <v>55.190559999999998</v>
      </c>
      <c r="AI4243">
        <v>251.08940000000001</v>
      </c>
      <c r="AJ4243">
        <v>26.206289999999999</v>
      </c>
      <c r="AK4243">
        <v>54.190559999999998</v>
      </c>
    </row>
    <row r="4244" spans="1:37" x14ac:dyDescent="0.3">
      <c r="A4244">
        <v>4243</v>
      </c>
      <c r="B4244">
        <v>0</v>
      </c>
      <c r="C4244">
        <v>7.01389</v>
      </c>
      <c r="D4244">
        <v>4.7805600000000004</v>
      </c>
      <c r="E4244" t="s">
        <v>6648</v>
      </c>
      <c r="F4244" t="s">
        <v>6649</v>
      </c>
      <c r="G4244" t="s">
        <v>37</v>
      </c>
      <c r="H4244">
        <v>1989</v>
      </c>
      <c r="I4244">
        <v>26.3</v>
      </c>
      <c r="J4244">
        <v>8.1999999999999993</v>
      </c>
      <c r="K4244">
        <v>76</v>
      </c>
      <c r="L4244">
        <v>7.74</v>
      </c>
      <c r="M4244">
        <v>32.200000000000003</v>
      </c>
      <c r="N4244">
        <v>21.5</v>
      </c>
      <c r="O4244">
        <v>10.7</v>
      </c>
      <c r="P4244">
        <v>25.3</v>
      </c>
      <c r="Q4244">
        <v>26.7</v>
      </c>
      <c r="R4244">
        <v>27.4</v>
      </c>
      <c r="S4244">
        <v>25.3</v>
      </c>
      <c r="T4244">
        <v>2680</v>
      </c>
      <c r="U4244">
        <v>412</v>
      </c>
      <c r="V4244">
        <v>35</v>
      </c>
      <c r="W4244">
        <v>59</v>
      </c>
      <c r="X4244">
        <v>1154</v>
      </c>
      <c r="Y4244">
        <v>148</v>
      </c>
      <c r="Z4244">
        <v>416</v>
      </c>
      <c r="AA4244">
        <v>1154</v>
      </c>
      <c r="AB4244">
        <v>9.8928449999999994</v>
      </c>
      <c r="AC4244">
        <v>8.5187160000000008E-3</v>
      </c>
      <c r="AD4244">
        <v>1.0480339999999999</v>
      </c>
      <c r="AE4244">
        <v>0.90127380000000001</v>
      </c>
      <c r="AF4244">
        <v>14.832459999999999</v>
      </c>
      <c r="AG4244">
        <f>IFERROR(AH4244*0.1, "N/A")</f>
        <v>5.072775</v>
      </c>
      <c r="AH4244">
        <v>50.72775</v>
      </c>
      <c r="AI4244">
        <v>90.161500000000004</v>
      </c>
      <c r="AJ4244">
        <v>24.712039999999998</v>
      </c>
      <c r="AK4244">
        <v>59</v>
      </c>
    </row>
    <row r="4245" spans="1:37" x14ac:dyDescent="0.3">
      <c r="A4245">
        <v>4244</v>
      </c>
      <c r="B4245">
        <v>0</v>
      </c>
      <c r="C4245">
        <v>7.01389</v>
      </c>
      <c r="D4245">
        <v>4.7805600000000004</v>
      </c>
      <c r="E4245" t="s">
        <v>6648</v>
      </c>
      <c r="F4245" t="s">
        <v>6650</v>
      </c>
      <c r="G4245" t="s">
        <v>39</v>
      </c>
      <c r="H4245">
        <v>1989</v>
      </c>
      <c r="I4245">
        <v>26.3</v>
      </c>
      <c r="J4245">
        <v>8.1999999999999993</v>
      </c>
      <c r="K4245">
        <v>76</v>
      </c>
      <c r="L4245">
        <v>7.74</v>
      </c>
      <c r="M4245">
        <v>32.200000000000003</v>
      </c>
      <c r="N4245">
        <v>21.5</v>
      </c>
      <c r="O4245">
        <v>10.7</v>
      </c>
      <c r="P4245">
        <v>25.3</v>
      </c>
      <c r="Q4245">
        <v>26.7</v>
      </c>
      <c r="R4245">
        <v>27.4</v>
      </c>
      <c r="S4245">
        <v>25.3</v>
      </c>
      <c r="T4245">
        <v>2680</v>
      </c>
      <c r="U4245">
        <v>412</v>
      </c>
      <c r="V4245">
        <v>35</v>
      </c>
      <c r="W4245">
        <v>59</v>
      </c>
      <c r="X4245">
        <v>1154</v>
      </c>
      <c r="Y4245">
        <v>148</v>
      </c>
      <c r="Z4245">
        <v>416</v>
      </c>
      <c r="AA4245">
        <v>1154</v>
      </c>
      <c r="AB4245">
        <v>9.8928449999999994</v>
      </c>
      <c r="AC4245">
        <v>8.5187160000000008E-3</v>
      </c>
      <c r="AD4245">
        <v>1.0480339999999999</v>
      </c>
      <c r="AE4245">
        <v>0.90127380000000001</v>
      </c>
      <c r="AF4245">
        <v>14.832459999999999</v>
      </c>
      <c r="AG4245">
        <f>IFERROR(AH4245*0.1, "N/A")</f>
        <v>5.072775</v>
      </c>
      <c r="AH4245">
        <v>50.72775</v>
      </c>
      <c r="AI4245">
        <v>90.161500000000004</v>
      </c>
      <c r="AJ4245">
        <v>24.712039999999998</v>
      </c>
      <c r="AK4245">
        <v>59</v>
      </c>
    </row>
    <row r="4246" spans="1:37" x14ac:dyDescent="0.3">
      <c r="A4246">
        <v>4245</v>
      </c>
      <c r="B4246">
        <v>2.7</v>
      </c>
      <c r="C4246">
        <v>7.01389</v>
      </c>
      <c r="D4246">
        <v>4.7805600000000004</v>
      </c>
      <c r="E4246" t="s">
        <v>6648</v>
      </c>
      <c r="F4246" t="s">
        <v>6651</v>
      </c>
      <c r="G4246" t="s">
        <v>2420</v>
      </c>
      <c r="H4246">
        <v>1989</v>
      </c>
      <c r="I4246">
        <v>26.3</v>
      </c>
      <c r="J4246">
        <v>8.1999999999999993</v>
      </c>
      <c r="K4246">
        <v>76</v>
      </c>
      <c r="L4246">
        <v>7.74</v>
      </c>
      <c r="M4246">
        <v>32.200000000000003</v>
      </c>
      <c r="N4246">
        <v>21.5</v>
      </c>
      <c r="O4246">
        <v>10.7</v>
      </c>
      <c r="P4246">
        <v>25.3</v>
      </c>
      <c r="Q4246">
        <v>26.7</v>
      </c>
      <c r="R4246">
        <v>27.4</v>
      </c>
      <c r="S4246">
        <v>25.3</v>
      </c>
      <c r="T4246">
        <v>2680</v>
      </c>
      <c r="U4246">
        <v>412</v>
      </c>
      <c r="V4246">
        <v>35</v>
      </c>
      <c r="W4246">
        <v>59</v>
      </c>
      <c r="X4246">
        <v>1154</v>
      </c>
      <c r="Y4246">
        <v>148</v>
      </c>
      <c r="Z4246">
        <v>416</v>
      </c>
      <c r="AA4246">
        <v>1154</v>
      </c>
      <c r="AB4246">
        <v>9.8928449999999994</v>
      </c>
      <c r="AC4246">
        <v>8.5187160000000008E-3</v>
      </c>
      <c r="AD4246">
        <v>1.0480339999999999</v>
      </c>
      <c r="AE4246">
        <v>0.90127380000000001</v>
      </c>
      <c r="AF4246">
        <v>14.832459999999999</v>
      </c>
      <c r="AG4246">
        <f>IFERROR(AH4246*0.1, "N/A")</f>
        <v>5.072775</v>
      </c>
      <c r="AH4246">
        <v>50.72775</v>
      </c>
      <c r="AI4246">
        <v>90.161500000000004</v>
      </c>
      <c r="AJ4246">
        <v>24.712039999999998</v>
      </c>
      <c r="AK4246">
        <v>59</v>
      </c>
    </row>
    <row r="4247" spans="1:37" x14ac:dyDescent="0.3">
      <c r="A4247">
        <v>4246</v>
      </c>
      <c r="B4247">
        <v>0</v>
      </c>
      <c r="C4247">
        <v>7.0255599999999996</v>
      </c>
      <c r="D4247">
        <v>4.7625000000000002</v>
      </c>
      <c r="E4247" t="s">
        <v>6652</v>
      </c>
      <c r="F4247" t="s">
        <v>6653</v>
      </c>
      <c r="G4247" t="s">
        <v>37</v>
      </c>
      <c r="H4247">
        <v>1989</v>
      </c>
      <c r="I4247">
        <v>26.4</v>
      </c>
      <c r="J4247">
        <v>8.1999999999999993</v>
      </c>
      <c r="K4247">
        <v>77</v>
      </c>
      <c r="L4247">
        <v>7.7</v>
      </c>
      <c r="M4247">
        <v>32.200000000000003</v>
      </c>
      <c r="N4247">
        <v>21.6</v>
      </c>
      <c r="O4247">
        <v>10.6</v>
      </c>
      <c r="P4247">
        <v>25.3</v>
      </c>
      <c r="Q4247">
        <v>26.8</v>
      </c>
      <c r="R4247">
        <v>27.3</v>
      </c>
      <c r="S4247">
        <v>25.3</v>
      </c>
      <c r="T4247">
        <v>2739.86</v>
      </c>
      <c r="U4247">
        <v>417</v>
      </c>
      <c r="V4247">
        <v>37</v>
      </c>
      <c r="W4247">
        <v>59</v>
      </c>
      <c r="X4247">
        <v>1173.93</v>
      </c>
      <c r="Y4247">
        <v>154</v>
      </c>
      <c r="Z4247">
        <v>422</v>
      </c>
      <c r="AA4247">
        <v>1173.93</v>
      </c>
      <c r="AB4247">
        <v>10.88339</v>
      </c>
      <c r="AC4247">
        <v>3.2601310000000001E-2</v>
      </c>
      <c r="AD4247">
        <v>1.0994889999999999</v>
      </c>
      <c r="AE4247">
        <v>0.91754279999999999</v>
      </c>
      <c r="AF4247">
        <v>11.7972</v>
      </c>
      <c r="AG4247">
        <f>IFERROR(AH4247*0.1, "N/A")</f>
        <v>4.9138109999999999</v>
      </c>
      <c r="AH4247">
        <v>49.138109999999998</v>
      </c>
      <c r="AI4247">
        <v>126.0249</v>
      </c>
      <c r="AJ4247">
        <v>22.034970000000001</v>
      </c>
      <c r="AK4247">
        <v>61.811190000000003</v>
      </c>
    </row>
    <row r="4248" spans="1:37" x14ac:dyDescent="0.3">
      <c r="A4248">
        <v>4247</v>
      </c>
      <c r="B4248">
        <v>0</v>
      </c>
      <c r="C4248">
        <v>7.0255599999999996</v>
      </c>
      <c r="D4248">
        <v>4.7625000000000002</v>
      </c>
      <c r="E4248" t="s">
        <v>6652</v>
      </c>
      <c r="F4248" t="s">
        <v>6654</v>
      </c>
      <c r="G4248" t="s">
        <v>39</v>
      </c>
      <c r="H4248">
        <v>1989</v>
      </c>
      <c r="I4248">
        <v>26.4</v>
      </c>
      <c r="J4248">
        <v>8.1999999999999993</v>
      </c>
      <c r="K4248">
        <v>77</v>
      </c>
      <c r="L4248">
        <v>7.7</v>
      </c>
      <c r="M4248">
        <v>32.200000000000003</v>
      </c>
      <c r="N4248">
        <v>21.6</v>
      </c>
      <c r="O4248">
        <v>10.6</v>
      </c>
      <c r="P4248">
        <v>25.3</v>
      </c>
      <c r="Q4248">
        <v>26.8</v>
      </c>
      <c r="R4248">
        <v>27.3</v>
      </c>
      <c r="S4248">
        <v>25.3</v>
      </c>
      <c r="T4248">
        <v>2739.86</v>
      </c>
      <c r="U4248">
        <v>417</v>
      </c>
      <c r="V4248">
        <v>37</v>
      </c>
      <c r="W4248">
        <v>59</v>
      </c>
      <c r="X4248">
        <v>1173.93</v>
      </c>
      <c r="Y4248">
        <v>154</v>
      </c>
      <c r="Z4248">
        <v>422</v>
      </c>
      <c r="AA4248">
        <v>1173.93</v>
      </c>
      <c r="AB4248">
        <v>10.88339</v>
      </c>
      <c r="AC4248">
        <v>3.2601310000000001E-2</v>
      </c>
      <c r="AD4248">
        <v>1.0994889999999999</v>
      </c>
      <c r="AE4248">
        <v>0.91754279999999999</v>
      </c>
      <c r="AF4248">
        <v>11.7972</v>
      </c>
      <c r="AG4248">
        <f>IFERROR(AH4248*0.1, "N/A")</f>
        <v>4.9138109999999999</v>
      </c>
      <c r="AH4248">
        <v>49.138109999999998</v>
      </c>
      <c r="AI4248">
        <v>126.0249</v>
      </c>
      <c r="AJ4248">
        <v>22.034970000000001</v>
      </c>
      <c r="AK4248">
        <v>61.811190000000003</v>
      </c>
    </row>
    <row r="4249" spans="1:37" x14ac:dyDescent="0.3">
      <c r="A4249">
        <v>4248</v>
      </c>
      <c r="B4249">
        <v>1.9</v>
      </c>
      <c r="C4249">
        <v>7.0255599999999996</v>
      </c>
      <c r="D4249">
        <v>4.7625000000000002</v>
      </c>
      <c r="E4249" t="s">
        <v>6652</v>
      </c>
      <c r="F4249" t="s">
        <v>6655</v>
      </c>
      <c r="G4249" t="s">
        <v>2420</v>
      </c>
      <c r="H4249">
        <v>1989</v>
      </c>
      <c r="I4249">
        <v>26.4</v>
      </c>
      <c r="J4249">
        <v>8.1999999999999993</v>
      </c>
      <c r="K4249">
        <v>77</v>
      </c>
      <c r="L4249">
        <v>7.7</v>
      </c>
      <c r="M4249">
        <v>32.200000000000003</v>
      </c>
      <c r="N4249">
        <v>21.6</v>
      </c>
      <c r="O4249">
        <v>10.6</v>
      </c>
      <c r="P4249">
        <v>25.3</v>
      </c>
      <c r="Q4249">
        <v>26.8</v>
      </c>
      <c r="R4249">
        <v>27.3</v>
      </c>
      <c r="S4249">
        <v>25.3</v>
      </c>
      <c r="T4249">
        <v>2739.86</v>
      </c>
      <c r="U4249">
        <v>417</v>
      </c>
      <c r="V4249">
        <v>37</v>
      </c>
      <c r="W4249">
        <v>59</v>
      </c>
      <c r="X4249">
        <v>1173.93</v>
      </c>
      <c r="Y4249">
        <v>154</v>
      </c>
      <c r="Z4249">
        <v>422</v>
      </c>
      <c r="AA4249">
        <v>1173.93</v>
      </c>
      <c r="AB4249">
        <v>10.88339</v>
      </c>
      <c r="AC4249">
        <v>3.2601310000000001E-2</v>
      </c>
      <c r="AD4249">
        <v>1.0994889999999999</v>
      </c>
      <c r="AE4249">
        <v>0.91754279999999999</v>
      </c>
      <c r="AF4249">
        <v>11.7972</v>
      </c>
      <c r="AG4249">
        <f>IFERROR(AH4249*0.1, "N/A")</f>
        <v>4.9138109999999999</v>
      </c>
      <c r="AH4249">
        <v>49.138109999999998</v>
      </c>
      <c r="AI4249">
        <v>126.0249</v>
      </c>
      <c r="AJ4249">
        <v>22.034970000000001</v>
      </c>
      <c r="AK4249">
        <v>61.811190000000003</v>
      </c>
    </row>
    <row r="4250" spans="1:37" x14ac:dyDescent="0.3">
      <c r="A4250">
        <v>4249</v>
      </c>
      <c r="B4250">
        <v>0</v>
      </c>
      <c r="C4250">
        <v>7.0377799999999997</v>
      </c>
      <c r="D4250">
        <v>4.7458299999999998</v>
      </c>
      <c r="E4250" t="s">
        <v>6656</v>
      </c>
      <c r="F4250" t="s">
        <v>6657</v>
      </c>
      <c r="G4250" t="s">
        <v>37</v>
      </c>
      <c r="H4250">
        <v>1989</v>
      </c>
      <c r="I4250">
        <v>26.5</v>
      </c>
      <c r="J4250">
        <v>8.1999999999999993</v>
      </c>
      <c r="K4250">
        <v>77</v>
      </c>
      <c r="L4250">
        <v>7.71</v>
      </c>
      <c r="M4250">
        <v>32.299999999999997</v>
      </c>
      <c r="N4250">
        <v>21.7</v>
      </c>
      <c r="O4250">
        <v>10.6</v>
      </c>
      <c r="P4250">
        <v>25.4</v>
      </c>
      <c r="Q4250">
        <v>26.9</v>
      </c>
      <c r="R4250">
        <v>27.5</v>
      </c>
      <c r="S4250">
        <v>25.4</v>
      </c>
      <c r="T4250">
        <v>2796</v>
      </c>
      <c r="U4250">
        <v>424</v>
      </c>
      <c r="V4250">
        <v>38</v>
      </c>
      <c r="W4250">
        <v>59</v>
      </c>
      <c r="X4250">
        <v>1191</v>
      </c>
      <c r="Y4250">
        <v>159</v>
      </c>
      <c r="Z4250">
        <v>429</v>
      </c>
      <c r="AA4250">
        <v>1191</v>
      </c>
      <c r="AB4250">
        <v>1.770351</v>
      </c>
      <c r="AC4250">
        <v>0.13659009999999999</v>
      </c>
      <c r="AD4250">
        <v>2.7122250000000001</v>
      </c>
      <c r="AE4250">
        <v>0.85736789999999996</v>
      </c>
      <c r="AF4250">
        <v>2.954386</v>
      </c>
      <c r="AG4250">
        <f>IFERROR(AH4250*0.1, "N/A")</f>
        <v>6.0312280000000005</v>
      </c>
      <c r="AH4250">
        <v>60.312280000000001</v>
      </c>
      <c r="AI4250">
        <v>146.10210000000001</v>
      </c>
      <c r="AJ4250">
        <v>24.82807</v>
      </c>
      <c r="AK4250">
        <v>55.515790000000003</v>
      </c>
    </row>
    <row r="4251" spans="1:37" x14ac:dyDescent="0.3">
      <c r="A4251">
        <v>4250</v>
      </c>
      <c r="B4251">
        <v>0</v>
      </c>
      <c r="C4251">
        <v>7.0377799999999997</v>
      </c>
      <c r="D4251">
        <v>4.7458299999999998</v>
      </c>
      <c r="E4251" t="s">
        <v>6656</v>
      </c>
      <c r="F4251" t="s">
        <v>6658</v>
      </c>
      <c r="G4251" t="s">
        <v>39</v>
      </c>
      <c r="H4251">
        <v>1989</v>
      </c>
      <c r="I4251">
        <v>26.5</v>
      </c>
      <c r="J4251">
        <v>8.1999999999999993</v>
      </c>
      <c r="K4251">
        <v>77</v>
      </c>
      <c r="L4251">
        <v>7.71</v>
      </c>
      <c r="M4251">
        <v>32.299999999999997</v>
      </c>
      <c r="N4251">
        <v>21.7</v>
      </c>
      <c r="O4251">
        <v>10.6</v>
      </c>
      <c r="P4251">
        <v>25.4</v>
      </c>
      <c r="Q4251">
        <v>26.9</v>
      </c>
      <c r="R4251">
        <v>27.5</v>
      </c>
      <c r="S4251">
        <v>25.4</v>
      </c>
      <c r="T4251">
        <v>2796</v>
      </c>
      <c r="U4251">
        <v>424</v>
      </c>
      <c r="V4251">
        <v>38</v>
      </c>
      <c r="W4251">
        <v>59</v>
      </c>
      <c r="X4251">
        <v>1191</v>
      </c>
      <c r="Y4251">
        <v>159</v>
      </c>
      <c r="Z4251">
        <v>429</v>
      </c>
      <c r="AA4251">
        <v>1191</v>
      </c>
      <c r="AB4251">
        <v>1.770351</v>
      </c>
      <c r="AC4251">
        <v>0.13659009999999999</v>
      </c>
      <c r="AD4251">
        <v>2.7122250000000001</v>
      </c>
      <c r="AE4251">
        <v>0.85736789999999996</v>
      </c>
      <c r="AF4251">
        <v>2.954386</v>
      </c>
      <c r="AG4251">
        <f>IFERROR(AH4251*0.1, "N/A")</f>
        <v>6.0312280000000005</v>
      </c>
      <c r="AH4251">
        <v>60.312280000000001</v>
      </c>
      <c r="AI4251">
        <v>146.10210000000001</v>
      </c>
      <c r="AJ4251">
        <v>24.82807</v>
      </c>
      <c r="AK4251">
        <v>55.515790000000003</v>
      </c>
    </row>
    <row r="4252" spans="1:37" x14ac:dyDescent="0.3">
      <c r="A4252">
        <v>4251</v>
      </c>
      <c r="B4252">
        <v>3.7</v>
      </c>
      <c r="C4252">
        <v>7.0377799999999997</v>
      </c>
      <c r="D4252">
        <v>4.7458299999999998</v>
      </c>
      <c r="E4252" t="s">
        <v>6656</v>
      </c>
      <c r="F4252" t="s">
        <v>6659</v>
      </c>
      <c r="G4252" t="s">
        <v>2420</v>
      </c>
      <c r="H4252">
        <v>1989</v>
      </c>
      <c r="I4252">
        <v>26.5</v>
      </c>
      <c r="J4252">
        <v>8.1999999999999993</v>
      </c>
      <c r="K4252">
        <v>77</v>
      </c>
      <c r="L4252">
        <v>7.71</v>
      </c>
      <c r="M4252">
        <v>32.299999999999997</v>
      </c>
      <c r="N4252">
        <v>21.7</v>
      </c>
      <c r="O4252">
        <v>10.6</v>
      </c>
      <c r="P4252">
        <v>25.4</v>
      </c>
      <c r="Q4252">
        <v>26.9</v>
      </c>
      <c r="R4252">
        <v>27.5</v>
      </c>
      <c r="S4252">
        <v>25.4</v>
      </c>
      <c r="T4252">
        <v>2796</v>
      </c>
      <c r="U4252">
        <v>424</v>
      </c>
      <c r="V4252">
        <v>38</v>
      </c>
      <c r="W4252">
        <v>59</v>
      </c>
      <c r="X4252">
        <v>1191</v>
      </c>
      <c r="Y4252">
        <v>159</v>
      </c>
      <c r="Z4252">
        <v>429</v>
      </c>
      <c r="AA4252">
        <v>1191</v>
      </c>
      <c r="AB4252">
        <v>1.770351</v>
      </c>
      <c r="AC4252">
        <v>0.13659009999999999</v>
      </c>
      <c r="AD4252">
        <v>2.7122250000000001</v>
      </c>
      <c r="AE4252">
        <v>0.85736789999999996</v>
      </c>
      <c r="AF4252">
        <v>2.954386</v>
      </c>
      <c r="AG4252">
        <f>IFERROR(AH4252*0.1, "N/A")</f>
        <v>6.0312280000000005</v>
      </c>
      <c r="AH4252">
        <v>60.312280000000001</v>
      </c>
      <c r="AI4252">
        <v>146.10210000000001</v>
      </c>
      <c r="AJ4252">
        <v>24.82807</v>
      </c>
      <c r="AK4252">
        <v>55.515790000000003</v>
      </c>
    </row>
    <row r="4253" spans="1:37" x14ac:dyDescent="0.3">
      <c r="A4253">
        <v>4252</v>
      </c>
      <c r="B4253">
        <v>0</v>
      </c>
      <c r="C4253">
        <v>7.0611100000000002</v>
      </c>
      <c r="D4253">
        <v>4.7788899999999996</v>
      </c>
      <c r="E4253" t="s">
        <v>6660</v>
      </c>
      <c r="F4253" t="s">
        <v>6661</v>
      </c>
      <c r="G4253" t="s">
        <v>37</v>
      </c>
      <c r="H4253">
        <v>1989</v>
      </c>
      <c r="I4253">
        <v>26.4</v>
      </c>
      <c r="J4253">
        <v>8.3000000000000007</v>
      </c>
      <c r="K4253">
        <v>77</v>
      </c>
      <c r="L4253">
        <v>7.55</v>
      </c>
      <c r="M4253">
        <v>32.299999999999997</v>
      </c>
      <c r="N4253">
        <v>21.6</v>
      </c>
      <c r="O4253">
        <v>10.7</v>
      </c>
      <c r="P4253">
        <v>25.4</v>
      </c>
      <c r="Q4253">
        <v>26.8</v>
      </c>
      <c r="R4253">
        <v>27.4</v>
      </c>
      <c r="S4253">
        <v>25.4</v>
      </c>
      <c r="T4253">
        <v>2728</v>
      </c>
      <c r="U4253">
        <v>416</v>
      </c>
      <c r="V4253">
        <v>36</v>
      </c>
      <c r="W4253">
        <v>60</v>
      </c>
      <c r="X4253">
        <v>1176</v>
      </c>
      <c r="Y4253">
        <v>151</v>
      </c>
      <c r="Z4253">
        <v>419</v>
      </c>
      <c r="AA4253">
        <v>1176</v>
      </c>
      <c r="AB4253">
        <v>10.17797</v>
      </c>
      <c r="AC4253">
        <v>1.474398E-2</v>
      </c>
      <c r="AD4253">
        <v>0.98177999999999999</v>
      </c>
      <c r="AE4253">
        <v>0.88195509999999999</v>
      </c>
      <c r="AF4253">
        <v>10.029719999999999</v>
      </c>
      <c r="AG4253">
        <f>IFERROR(AH4253*0.1, "N/A")</f>
        <v>5.097378</v>
      </c>
      <c r="AH4253">
        <v>50.973779999999998</v>
      </c>
      <c r="AI4253">
        <v>141.65799999999999</v>
      </c>
      <c r="AJ4253">
        <v>25.66084</v>
      </c>
      <c r="AK4253">
        <v>54.942309999999999</v>
      </c>
    </row>
    <row r="4254" spans="1:37" x14ac:dyDescent="0.3">
      <c r="A4254">
        <v>4253</v>
      </c>
      <c r="B4254">
        <v>0</v>
      </c>
      <c r="C4254">
        <v>7.0611100000000002</v>
      </c>
      <c r="D4254">
        <v>4.7788899999999996</v>
      </c>
      <c r="E4254" t="s">
        <v>6660</v>
      </c>
      <c r="F4254" t="s">
        <v>6662</v>
      </c>
      <c r="G4254" t="s">
        <v>39</v>
      </c>
      <c r="H4254">
        <v>1989</v>
      </c>
      <c r="I4254">
        <v>26.4</v>
      </c>
      <c r="J4254">
        <v>8.3000000000000007</v>
      </c>
      <c r="K4254">
        <v>77</v>
      </c>
      <c r="L4254">
        <v>7.55</v>
      </c>
      <c r="M4254">
        <v>32.299999999999997</v>
      </c>
      <c r="N4254">
        <v>21.6</v>
      </c>
      <c r="O4254">
        <v>10.7</v>
      </c>
      <c r="P4254">
        <v>25.4</v>
      </c>
      <c r="Q4254">
        <v>26.8</v>
      </c>
      <c r="R4254">
        <v>27.4</v>
      </c>
      <c r="S4254">
        <v>25.4</v>
      </c>
      <c r="T4254">
        <v>2728</v>
      </c>
      <c r="U4254">
        <v>416</v>
      </c>
      <c r="V4254">
        <v>36</v>
      </c>
      <c r="W4254">
        <v>60</v>
      </c>
      <c r="X4254">
        <v>1176</v>
      </c>
      <c r="Y4254">
        <v>151</v>
      </c>
      <c r="Z4254">
        <v>419</v>
      </c>
      <c r="AA4254">
        <v>1176</v>
      </c>
      <c r="AB4254">
        <v>10.17797</v>
      </c>
      <c r="AC4254">
        <v>1.474398E-2</v>
      </c>
      <c r="AD4254">
        <v>0.98177999999999999</v>
      </c>
      <c r="AE4254">
        <v>0.88195509999999999</v>
      </c>
      <c r="AF4254">
        <v>10.029719999999999</v>
      </c>
      <c r="AG4254">
        <f>IFERROR(AH4254*0.1, "N/A")</f>
        <v>5.097378</v>
      </c>
      <c r="AH4254">
        <v>50.973779999999998</v>
      </c>
      <c r="AI4254">
        <v>141.65799999999999</v>
      </c>
      <c r="AJ4254">
        <v>25.66084</v>
      </c>
      <c r="AK4254">
        <v>54.942309999999999</v>
      </c>
    </row>
    <row r="4255" spans="1:37" x14ac:dyDescent="0.3">
      <c r="A4255">
        <v>4254</v>
      </c>
      <c r="B4255">
        <v>4.7</v>
      </c>
      <c r="C4255">
        <v>7.0611100000000002</v>
      </c>
      <c r="D4255">
        <v>4.7788899999999996</v>
      </c>
      <c r="E4255" t="s">
        <v>6660</v>
      </c>
      <c r="F4255" t="s">
        <v>6663</v>
      </c>
      <c r="G4255" t="s">
        <v>2420</v>
      </c>
      <c r="H4255">
        <v>1989</v>
      </c>
      <c r="I4255">
        <v>26.4</v>
      </c>
      <c r="J4255">
        <v>8.3000000000000007</v>
      </c>
      <c r="K4255">
        <v>77</v>
      </c>
      <c r="L4255">
        <v>7.55</v>
      </c>
      <c r="M4255">
        <v>32.299999999999997</v>
      </c>
      <c r="N4255">
        <v>21.6</v>
      </c>
      <c r="O4255">
        <v>10.7</v>
      </c>
      <c r="P4255">
        <v>25.4</v>
      </c>
      <c r="Q4255">
        <v>26.8</v>
      </c>
      <c r="R4255">
        <v>27.4</v>
      </c>
      <c r="S4255">
        <v>25.4</v>
      </c>
      <c r="T4255">
        <v>2728</v>
      </c>
      <c r="U4255">
        <v>416</v>
      </c>
      <c r="V4255">
        <v>36</v>
      </c>
      <c r="W4255">
        <v>60</v>
      </c>
      <c r="X4255">
        <v>1176</v>
      </c>
      <c r="Y4255">
        <v>151</v>
      </c>
      <c r="Z4255">
        <v>419</v>
      </c>
      <c r="AA4255">
        <v>1176</v>
      </c>
      <c r="AB4255">
        <v>10.17797</v>
      </c>
      <c r="AC4255">
        <v>1.474398E-2</v>
      </c>
      <c r="AD4255">
        <v>0.98177999999999999</v>
      </c>
      <c r="AE4255">
        <v>0.88195509999999999</v>
      </c>
      <c r="AF4255">
        <v>10.029719999999999</v>
      </c>
      <c r="AG4255">
        <f>IFERROR(AH4255*0.1, "N/A")</f>
        <v>5.097378</v>
      </c>
      <c r="AH4255">
        <v>50.973779999999998</v>
      </c>
      <c r="AI4255">
        <v>141.65799999999999</v>
      </c>
      <c r="AJ4255">
        <v>25.66084</v>
      </c>
      <c r="AK4255">
        <v>54.942309999999999</v>
      </c>
    </row>
    <row r="4256" spans="1:37" x14ac:dyDescent="0.3">
      <c r="A4256">
        <v>4255</v>
      </c>
      <c r="B4256">
        <v>0</v>
      </c>
      <c r="C4256">
        <v>7.0461099999999997</v>
      </c>
      <c r="D4256">
        <v>4.7997199999999998</v>
      </c>
      <c r="E4256" t="s">
        <v>6664</v>
      </c>
      <c r="F4256" t="s">
        <v>6665</v>
      </c>
      <c r="G4256" t="s">
        <v>37</v>
      </c>
      <c r="H4256">
        <v>1989</v>
      </c>
      <c r="I4256">
        <v>26.4</v>
      </c>
      <c r="J4256">
        <v>8.3000000000000007</v>
      </c>
      <c r="K4256">
        <v>77</v>
      </c>
      <c r="L4256">
        <v>7.4685639999999998</v>
      </c>
      <c r="M4256">
        <v>32.200000000000003</v>
      </c>
      <c r="N4256">
        <v>21.5</v>
      </c>
      <c r="O4256">
        <v>10.7</v>
      </c>
      <c r="P4256">
        <v>25.4</v>
      </c>
      <c r="Q4256">
        <v>26.7</v>
      </c>
      <c r="R4256">
        <v>27.3</v>
      </c>
      <c r="S4256">
        <v>25.4</v>
      </c>
      <c r="T4256">
        <v>2654.3519999999999</v>
      </c>
      <c r="U4256">
        <v>408.93520000000001</v>
      </c>
      <c r="V4256">
        <v>33.467599999999997</v>
      </c>
      <c r="W4256">
        <v>60</v>
      </c>
      <c r="X4256">
        <v>1151.806</v>
      </c>
      <c r="Y4256">
        <v>143.93520000000001</v>
      </c>
      <c r="Z4256">
        <v>410.93520000000001</v>
      </c>
      <c r="AA4256">
        <v>1151.806</v>
      </c>
      <c r="AB4256">
        <v>1.324168</v>
      </c>
      <c r="AC4256">
        <v>0.45592749999999999</v>
      </c>
      <c r="AD4256">
        <v>1.493177</v>
      </c>
      <c r="AE4256">
        <v>0.93954660000000001</v>
      </c>
      <c r="AF4256">
        <v>5.2714540000000003</v>
      </c>
      <c r="AG4256">
        <f>IFERROR(AH4256*0.1, "N/A")</f>
        <v>4.895271000000001</v>
      </c>
      <c r="AH4256">
        <v>48.952710000000003</v>
      </c>
      <c r="AI4256">
        <v>160.8073</v>
      </c>
      <c r="AJ4256">
        <v>21.04729</v>
      </c>
      <c r="AK4256">
        <v>56.952710000000003</v>
      </c>
    </row>
    <row r="4257" spans="1:37" x14ac:dyDescent="0.3">
      <c r="A4257">
        <v>4256</v>
      </c>
      <c r="B4257">
        <v>0</v>
      </c>
      <c r="C4257">
        <v>7.0461099999999997</v>
      </c>
      <c r="D4257">
        <v>4.7997199999999998</v>
      </c>
      <c r="E4257" t="s">
        <v>6664</v>
      </c>
      <c r="F4257" t="s">
        <v>6666</v>
      </c>
      <c r="G4257" t="s">
        <v>39</v>
      </c>
      <c r="H4257">
        <v>1989</v>
      </c>
      <c r="I4257">
        <v>26.4</v>
      </c>
      <c r="J4257">
        <v>8.3000000000000007</v>
      </c>
      <c r="K4257">
        <v>77</v>
      </c>
      <c r="L4257">
        <v>7.4685639999999998</v>
      </c>
      <c r="M4257">
        <v>32.200000000000003</v>
      </c>
      <c r="N4257">
        <v>21.5</v>
      </c>
      <c r="O4257">
        <v>10.7</v>
      </c>
      <c r="P4257">
        <v>25.4</v>
      </c>
      <c r="Q4257">
        <v>26.7</v>
      </c>
      <c r="R4257">
        <v>27.3</v>
      </c>
      <c r="S4257">
        <v>25.4</v>
      </c>
      <c r="T4257">
        <v>2654.3519999999999</v>
      </c>
      <c r="U4257">
        <v>408.93520000000001</v>
      </c>
      <c r="V4257">
        <v>33.467599999999997</v>
      </c>
      <c r="W4257">
        <v>60</v>
      </c>
      <c r="X4257">
        <v>1151.806</v>
      </c>
      <c r="Y4257">
        <v>143.93520000000001</v>
      </c>
      <c r="Z4257">
        <v>410.93520000000001</v>
      </c>
      <c r="AA4257">
        <v>1151.806</v>
      </c>
      <c r="AB4257">
        <v>1.324168</v>
      </c>
      <c r="AC4257">
        <v>0.45592749999999999</v>
      </c>
      <c r="AD4257">
        <v>1.493177</v>
      </c>
      <c r="AE4257">
        <v>0.93954660000000001</v>
      </c>
      <c r="AF4257">
        <v>5.2714540000000003</v>
      </c>
      <c r="AG4257">
        <f>IFERROR(AH4257*0.1, "N/A")</f>
        <v>4.895271000000001</v>
      </c>
      <c r="AH4257">
        <v>48.952710000000003</v>
      </c>
      <c r="AI4257">
        <v>160.8073</v>
      </c>
      <c r="AJ4257">
        <v>21.04729</v>
      </c>
      <c r="AK4257">
        <v>56.952710000000003</v>
      </c>
    </row>
    <row r="4258" spans="1:37" x14ac:dyDescent="0.3">
      <c r="A4258">
        <v>4257</v>
      </c>
      <c r="B4258">
        <v>9.6</v>
      </c>
      <c r="C4258">
        <v>7.0461099999999997</v>
      </c>
      <c r="D4258">
        <v>4.7997199999999998</v>
      </c>
      <c r="E4258" t="s">
        <v>6664</v>
      </c>
      <c r="F4258" t="s">
        <v>6667</v>
      </c>
      <c r="G4258" t="s">
        <v>2420</v>
      </c>
      <c r="H4258">
        <v>1989</v>
      </c>
      <c r="I4258">
        <v>26.4</v>
      </c>
      <c r="J4258">
        <v>8.3000000000000007</v>
      </c>
      <c r="K4258">
        <v>77</v>
      </c>
      <c r="L4258">
        <v>7.4685639999999998</v>
      </c>
      <c r="M4258">
        <v>32.200000000000003</v>
      </c>
      <c r="N4258">
        <v>21.5</v>
      </c>
      <c r="O4258">
        <v>10.7</v>
      </c>
      <c r="P4258">
        <v>25.4</v>
      </c>
      <c r="Q4258">
        <v>26.7</v>
      </c>
      <c r="R4258">
        <v>27.3</v>
      </c>
      <c r="S4258">
        <v>25.4</v>
      </c>
      <c r="T4258">
        <v>2654.3519999999999</v>
      </c>
      <c r="U4258">
        <v>408.93520000000001</v>
      </c>
      <c r="V4258">
        <v>33.467599999999997</v>
      </c>
      <c r="W4258">
        <v>60</v>
      </c>
      <c r="X4258">
        <v>1151.806</v>
      </c>
      <c r="Y4258">
        <v>143.93520000000001</v>
      </c>
      <c r="Z4258">
        <v>410.93520000000001</v>
      </c>
      <c r="AA4258">
        <v>1151.806</v>
      </c>
      <c r="AB4258">
        <v>1.324168</v>
      </c>
      <c r="AC4258">
        <v>0.45592749999999999</v>
      </c>
      <c r="AD4258">
        <v>1.493177</v>
      </c>
      <c r="AE4258">
        <v>0.93954660000000001</v>
      </c>
      <c r="AF4258">
        <v>5.2714540000000003</v>
      </c>
      <c r="AG4258">
        <f>IFERROR(AH4258*0.1, "N/A")</f>
        <v>4.895271000000001</v>
      </c>
      <c r="AH4258">
        <v>48.952710000000003</v>
      </c>
      <c r="AI4258">
        <v>160.8073</v>
      </c>
      <c r="AJ4258">
        <v>21.04729</v>
      </c>
      <c r="AK4258">
        <v>56.952710000000003</v>
      </c>
    </row>
    <row r="4259" spans="1:37" x14ac:dyDescent="0.3">
      <c r="A4259">
        <v>4258</v>
      </c>
      <c r="B4259">
        <v>0</v>
      </c>
      <c r="C4259">
        <v>7.0327799999999998</v>
      </c>
      <c r="D4259">
        <v>4.8122199999999999</v>
      </c>
      <c r="E4259" t="s">
        <v>6668</v>
      </c>
      <c r="F4259" t="s">
        <v>6669</v>
      </c>
      <c r="G4259" t="s">
        <v>37</v>
      </c>
      <c r="H4259">
        <v>1989</v>
      </c>
      <c r="I4259">
        <v>26.3</v>
      </c>
      <c r="J4259">
        <v>8.3000000000000007</v>
      </c>
      <c r="K4259">
        <v>76</v>
      </c>
      <c r="L4259">
        <v>7.8631289999999998</v>
      </c>
      <c r="M4259">
        <v>32.299999999999997</v>
      </c>
      <c r="N4259">
        <v>21.4</v>
      </c>
      <c r="O4259">
        <v>10.9</v>
      </c>
      <c r="P4259">
        <v>25.239339999999999</v>
      </c>
      <c r="Q4259">
        <v>26.7</v>
      </c>
      <c r="R4259">
        <v>27.3</v>
      </c>
      <c r="S4259">
        <v>25.239339999999999</v>
      </c>
      <c r="T4259">
        <v>2610.54</v>
      </c>
      <c r="U4259">
        <v>404.39339999999999</v>
      </c>
      <c r="V4259">
        <v>33</v>
      </c>
      <c r="W4259">
        <v>60</v>
      </c>
      <c r="X4259">
        <v>1136.5730000000001</v>
      </c>
      <c r="Y4259">
        <v>141</v>
      </c>
      <c r="Z4259">
        <v>407.39339999999999</v>
      </c>
      <c r="AA4259">
        <v>1136.5730000000001</v>
      </c>
      <c r="AB4259">
        <v>7.4442310000000003</v>
      </c>
      <c r="AC4259">
        <v>3.3730749999999997E-2</v>
      </c>
      <c r="AD4259">
        <v>2.0747610000000001</v>
      </c>
      <c r="AE4259">
        <v>0.93234349999999999</v>
      </c>
      <c r="AF4259">
        <v>19.243010000000002</v>
      </c>
      <c r="AG4259">
        <f>IFERROR(AH4259*0.1, "N/A")</f>
        <v>5.1393360000000001</v>
      </c>
      <c r="AH4259">
        <v>51.393360000000001</v>
      </c>
      <c r="AI4259">
        <v>242.20359999999999</v>
      </c>
      <c r="AJ4259">
        <v>30.213290000000001</v>
      </c>
      <c r="AK4259">
        <v>47.393360000000001</v>
      </c>
    </row>
    <row r="4260" spans="1:37" x14ac:dyDescent="0.3">
      <c r="A4260">
        <v>4259</v>
      </c>
      <c r="B4260">
        <v>0</v>
      </c>
      <c r="C4260">
        <v>7.0327799999999998</v>
      </c>
      <c r="D4260">
        <v>4.8122199999999999</v>
      </c>
      <c r="E4260" t="s">
        <v>6668</v>
      </c>
      <c r="F4260" t="s">
        <v>6670</v>
      </c>
      <c r="G4260" t="s">
        <v>39</v>
      </c>
      <c r="H4260">
        <v>1989</v>
      </c>
      <c r="I4260">
        <v>26.3</v>
      </c>
      <c r="J4260">
        <v>8.3000000000000007</v>
      </c>
      <c r="K4260">
        <v>76</v>
      </c>
      <c r="L4260">
        <v>7.8631289999999998</v>
      </c>
      <c r="M4260">
        <v>32.299999999999997</v>
      </c>
      <c r="N4260">
        <v>21.4</v>
      </c>
      <c r="O4260">
        <v>10.9</v>
      </c>
      <c r="P4260">
        <v>25.239339999999999</v>
      </c>
      <c r="Q4260">
        <v>26.7</v>
      </c>
      <c r="R4260">
        <v>27.3</v>
      </c>
      <c r="S4260">
        <v>25.239339999999999</v>
      </c>
      <c r="T4260">
        <v>2610.54</v>
      </c>
      <c r="U4260">
        <v>404.39339999999999</v>
      </c>
      <c r="V4260">
        <v>33</v>
      </c>
      <c r="W4260">
        <v>60</v>
      </c>
      <c r="X4260">
        <v>1136.5730000000001</v>
      </c>
      <c r="Y4260">
        <v>141</v>
      </c>
      <c r="Z4260">
        <v>407.39339999999999</v>
      </c>
      <c r="AA4260">
        <v>1136.5730000000001</v>
      </c>
      <c r="AB4260">
        <v>7.4442310000000003</v>
      </c>
      <c r="AC4260">
        <v>3.3730749999999997E-2</v>
      </c>
      <c r="AD4260">
        <v>2.0747610000000001</v>
      </c>
      <c r="AE4260">
        <v>0.93234349999999999</v>
      </c>
      <c r="AF4260">
        <v>19.243010000000002</v>
      </c>
      <c r="AG4260">
        <f>IFERROR(AH4260*0.1, "N/A")</f>
        <v>5.1393360000000001</v>
      </c>
      <c r="AH4260">
        <v>51.393360000000001</v>
      </c>
      <c r="AI4260">
        <v>242.20359999999999</v>
      </c>
      <c r="AJ4260">
        <v>30.213290000000001</v>
      </c>
      <c r="AK4260">
        <v>47.393360000000001</v>
      </c>
    </row>
    <row r="4261" spans="1:37" x14ac:dyDescent="0.3">
      <c r="A4261">
        <v>4260</v>
      </c>
      <c r="B4261">
        <v>2.7</v>
      </c>
      <c r="C4261">
        <v>7.0327799999999998</v>
      </c>
      <c r="D4261">
        <v>4.8122199999999999</v>
      </c>
      <c r="E4261" t="s">
        <v>6668</v>
      </c>
      <c r="F4261" t="s">
        <v>6671</v>
      </c>
      <c r="G4261" t="s">
        <v>2420</v>
      </c>
      <c r="H4261">
        <v>1989</v>
      </c>
      <c r="I4261">
        <v>26.3</v>
      </c>
      <c r="J4261">
        <v>8.3000000000000007</v>
      </c>
      <c r="K4261">
        <v>76</v>
      </c>
      <c r="L4261">
        <v>7.8631289999999998</v>
      </c>
      <c r="M4261">
        <v>32.299999999999997</v>
      </c>
      <c r="N4261">
        <v>21.4</v>
      </c>
      <c r="O4261">
        <v>10.9</v>
      </c>
      <c r="P4261">
        <v>25.239339999999999</v>
      </c>
      <c r="Q4261">
        <v>26.7</v>
      </c>
      <c r="R4261">
        <v>27.3</v>
      </c>
      <c r="S4261">
        <v>25.239339999999999</v>
      </c>
      <c r="T4261">
        <v>2610.54</v>
      </c>
      <c r="U4261">
        <v>404.39339999999999</v>
      </c>
      <c r="V4261">
        <v>33</v>
      </c>
      <c r="W4261">
        <v>60</v>
      </c>
      <c r="X4261">
        <v>1136.5730000000001</v>
      </c>
      <c r="Y4261">
        <v>141</v>
      </c>
      <c r="Z4261">
        <v>407.39339999999999</v>
      </c>
      <c r="AA4261">
        <v>1136.5730000000001</v>
      </c>
      <c r="AB4261">
        <v>7.4442310000000003</v>
      </c>
      <c r="AC4261">
        <v>3.3730749999999997E-2</v>
      </c>
      <c r="AD4261">
        <v>2.0747610000000001</v>
      </c>
      <c r="AE4261">
        <v>0.93234349999999999</v>
      </c>
      <c r="AF4261">
        <v>19.243010000000002</v>
      </c>
      <c r="AG4261">
        <f>IFERROR(AH4261*0.1, "N/A")</f>
        <v>5.1393360000000001</v>
      </c>
      <c r="AH4261">
        <v>51.393360000000001</v>
      </c>
      <c r="AI4261">
        <v>242.20359999999999</v>
      </c>
      <c r="AJ4261">
        <v>30.213290000000001</v>
      </c>
      <c r="AK4261">
        <v>47.393360000000001</v>
      </c>
    </row>
    <row r="4262" spans="1:37" x14ac:dyDescent="0.3">
      <c r="A4262">
        <v>4261</v>
      </c>
      <c r="B4262">
        <v>0</v>
      </c>
      <c r="C4262">
        <v>7.0272199999999998</v>
      </c>
      <c r="D4262">
        <v>4.8330599999999997</v>
      </c>
      <c r="E4262" t="s">
        <v>6672</v>
      </c>
      <c r="F4262" t="s">
        <v>6673</v>
      </c>
      <c r="G4262" t="s">
        <v>37</v>
      </c>
      <c r="H4262">
        <v>1989</v>
      </c>
      <c r="I4262">
        <v>26.23818</v>
      </c>
      <c r="J4262">
        <v>8.3000000000000007</v>
      </c>
      <c r="K4262">
        <v>76</v>
      </c>
      <c r="L4262">
        <v>7.482907</v>
      </c>
      <c r="M4262">
        <v>32.200000000000003</v>
      </c>
      <c r="N4262">
        <v>21.338180000000001</v>
      </c>
      <c r="O4262">
        <v>10.86182</v>
      </c>
      <c r="P4262">
        <v>25.3</v>
      </c>
      <c r="Q4262">
        <v>26.638179999999998</v>
      </c>
      <c r="R4262">
        <v>27.2</v>
      </c>
      <c r="S4262">
        <v>25.3</v>
      </c>
      <c r="T4262">
        <v>2552.018</v>
      </c>
      <c r="U4262">
        <v>398.7636</v>
      </c>
      <c r="V4262">
        <v>31</v>
      </c>
      <c r="W4262">
        <v>60</v>
      </c>
      <c r="X4262">
        <v>1119.2909999999999</v>
      </c>
      <c r="Y4262">
        <v>134.7636</v>
      </c>
      <c r="Z4262">
        <v>399.1454</v>
      </c>
      <c r="AA4262">
        <v>1119.2909999999999</v>
      </c>
      <c r="AB4262">
        <v>13.082839999999999</v>
      </c>
      <c r="AC4262">
        <v>8.5180729999999993E-3</v>
      </c>
      <c r="AD4262">
        <v>2.029334</v>
      </c>
      <c r="AE4262">
        <v>0.9452566</v>
      </c>
      <c r="AF4262">
        <v>17.381789999999999</v>
      </c>
      <c r="AG4262">
        <f>IFERROR(AH4262*0.1, "N/A")</f>
        <v>5.45289</v>
      </c>
      <c r="AH4262">
        <v>54.5289</v>
      </c>
      <c r="AI4262">
        <v>167.8253</v>
      </c>
      <c r="AJ4262">
        <v>26.95797</v>
      </c>
      <c r="AK4262">
        <v>52.236429999999999</v>
      </c>
    </row>
    <row r="4263" spans="1:37" x14ac:dyDescent="0.3">
      <c r="A4263">
        <v>4262</v>
      </c>
      <c r="B4263">
        <v>0</v>
      </c>
      <c r="C4263">
        <v>7.0272199999999998</v>
      </c>
      <c r="D4263">
        <v>4.8330599999999997</v>
      </c>
      <c r="E4263" t="s">
        <v>6672</v>
      </c>
      <c r="F4263" t="s">
        <v>6674</v>
      </c>
      <c r="G4263" t="s">
        <v>39</v>
      </c>
      <c r="H4263">
        <v>1989</v>
      </c>
      <c r="I4263">
        <v>26.23818</v>
      </c>
      <c r="J4263">
        <v>8.3000000000000007</v>
      </c>
      <c r="K4263">
        <v>76</v>
      </c>
      <c r="L4263">
        <v>7.482907</v>
      </c>
      <c r="M4263">
        <v>32.200000000000003</v>
      </c>
      <c r="N4263">
        <v>21.338180000000001</v>
      </c>
      <c r="O4263">
        <v>10.86182</v>
      </c>
      <c r="P4263">
        <v>25.3</v>
      </c>
      <c r="Q4263">
        <v>26.638179999999998</v>
      </c>
      <c r="R4263">
        <v>27.2</v>
      </c>
      <c r="S4263">
        <v>25.3</v>
      </c>
      <c r="T4263">
        <v>2552.018</v>
      </c>
      <c r="U4263">
        <v>398.7636</v>
      </c>
      <c r="V4263">
        <v>31</v>
      </c>
      <c r="W4263">
        <v>60</v>
      </c>
      <c r="X4263">
        <v>1119.2909999999999</v>
      </c>
      <c r="Y4263">
        <v>134.7636</v>
      </c>
      <c r="Z4263">
        <v>399.1454</v>
      </c>
      <c r="AA4263">
        <v>1119.2909999999999</v>
      </c>
      <c r="AB4263">
        <v>13.082839999999999</v>
      </c>
      <c r="AC4263">
        <v>8.5180729999999993E-3</v>
      </c>
      <c r="AD4263">
        <v>2.029334</v>
      </c>
      <c r="AE4263">
        <v>0.9452566</v>
      </c>
      <c r="AF4263">
        <v>17.381789999999999</v>
      </c>
      <c r="AG4263">
        <f>IFERROR(AH4263*0.1, "N/A")</f>
        <v>5.45289</v>
      </c>
      <c r="AH4263">
        <v>54.5289</v>
      </c>
      <c r="AI4263">
        <v>167.8253</v>
      </c>
      <c r="AJ4263">
        <v>26.95797</v>
      </c>
      <c r="AK4263">
        <v>52.236429999999999</v>
      </c>
    </row>
    <row r="4264" spans="1:37" x14ac:dyDescent="0.3">
      <c r="A4264">
        <v>4263</v>
      </c>
      <c r="B4264">
        <v>9.6</v>
      </c>
      <c r="C4264">
        <v>7.0272199999999998</v>
      </c>
      <c r="D4264">
        <v>4.8330599999999997</v>
      </c>
      <c r="E4264" t="s">
        <v>6672</v>
      </c>
      <c r="F4264" t="s">
        <v>6675</v>
      </c>
      <c r="G4264" t="s">
        <v>2420</v>
      </c>
      <c r="H4264">
        <v>1989</v>
      </c>
      <c r="I4264">
        <v>26.23818</v>
      </c>
      <c r="J4264">
        <v>8.3000000000000007</v>
      </c>
      <c r="K4264">
        <v>76</v>
      </c>
      <c r="L4264">
        <v>7.482907</v>
      </c>
      <c r="M4264">
        <v>32.200000000000003</v>
      </c>
      <c r="N4264">
        <v>21.338180000000001</v>
      </c>
      <c r="O4264">
        <v>10.86182</v>
      </c>
      <c r="P4264">
        <v>25.3</v>
      </c>
      <c r="Q4264">
        <v>26.638179999999998</v>
      </c>
      <c r="R4264">
        <v>27.2</v>
      </c>
      <c r="S4264">
        <v>25.3</v>
      </c>
      <c r="T4264">
        <v>2552.018</v>
      </c>
      <c r="U4264">
        <v>398.7636</v>
      </c>
      <c r="V4264">
        <v>31</v>
      </c>
      <c r="W4264">
        <v>60</v>
      </c>
      <c r="X4264">
        <v>1119.2909999999999</v>
      </c>
      <c r="Y4264">
        <v>134.7636</v>
      </c>
      <c r="Z4264">
        <v>399.1454</v>
      </c>
      <c r="AA4264">
        <v>1119.2909999999999</v>
      </c>
      <c r="AB4264">
        <v>13.082839999999999</v>
      </c>
      <c r="AC4264">
        <v>8.5180729999999993E-3</v>
      </c>
      <c r="AD4264">
        <v>2.029334</v>
      </c>
      <c r="AE4264">
        <v>0.9452566</v>
      </c>
      <c r="AF4264">
        <v>17.381789999999999</v>
      </c>
      <c r="AG4264">
        <f>IFERROR(AH4264*0.1, "N/A")</f>
        <v>5.45289</v>
      </c>
      <c r="AH4264">
        <v>54.5289</v>
      </c>
      <c r="AI4264">
        <v>167.8253</v>
      </c>
      <c r="AJ4264">
        <v>26.95797</v>
      </c>
      <c r="AK4264">
        <v>52.236429999999999</v>
      </c>
    </row>
    <row r="4265" spans="1:37" x14ac:dyDescent="0.3">
      <c r="A4265">
        <v>4264</v>
      </c>
      <c r="B4265">
        <v>0</v>
      </c>
      <c r="C4265">
        <v>7.0477800000000004</v>
      </c>
      <c r="D4265">
        <v>4.8452799999999998</v>
      </c>
      <c r="E4265" t="s">
        <v>6676</v>
      </c>
      <c r="F4265" t="s">
        <v>6677</v>
      </c>
      <c r="G4265" t="s">
        <v>37</v>
      </c>
      <c r="H4265">
        <v>1989</v>
      </c>
      <c r="I4265">
        <v>26.3</v>
      </c>
      <c r="J4265">
        <v>8.3000000000000007</v>
      </c>
      <c r="K4265">
        <v>76</v>
      </c>
      <c r="L4265">
        <v>7.39</v>
      </c>
      <c r="M4265">
        <v>32.200000000000003</v>
      </c>
      <c r="N4265">
        <v>21.4</v>
      </c>
      <c r="O4265">
        <v>10.8</v>
      </c>
      <c r="P4265">
        <v>25.3</v>
      </c>
      <c r="Q4265">
        <v>26.6</v>
      </c>
      <c r="R4265">
        <v>27.2</v>
      </c>
      <c r="S4265">
        <v>25.3</v>
      </c>
      <c r="T4265">
        <v>2546</v>
      </c>
      <c r="U4265">
        <v>398</v>
      </c>
      <c r="V4265">
        <v>31</v>
      </c>
      <c r="W4265">
        <v>61</v>
      </c>
      <c r="X4265">
        <v>1119</v>
      </c>
      <c r="Y4265">
        <v>134</v>
      </c>
      <c r="Z4265">
        <v>397</v>
      </c>
      <c r="AA4265">
        <v>1119</v>
      </c>
      <c r="AB4265">
        <v>0.78056009999999998</v>
      </c>
      <c r="AC4265">
        <v>0.2366656</v>
      </c>
      <c r="AD4265">
        <v>1.241735</v>
      </c>
      <c r="AE4265">
        <v>0.95034359999999996</v>
      </c>
      <c r="AF4265">
        <v>10.549910000000001</v>
      </c>
      <c r="AG4265">
        <f>IFERROR(AH4265*0.1, "N/A")</f>
        <v>5.5539400000000008</v>
      </c>
      <c r="AH4265">
        <v>55.539400000000001</v>
      </c>
      <c r="AI4265">
        <v>158.19980000000001</v>
      </c>
      <c r="AJ4265">
        <v>26</v>
      </c>
      <c r="AK4265">
        <v>52.173380000000002</v>
      </c>
    </row>
    <row r="4266" spans="1:37" x14ac:dyDescent="0.3">
      <c r="A4266">
        <v>4265</v>
      </c>
      <c r="B4266">
        <v>0</v>
      </c>
      <c r="C4266">
        <v>7.0477800000000004</v>
      </c>
      <c r="D4266">
        <v>4.8452799999999998</v>
      </c>
      <c r="E4266" t="s">
        <v>6676</v>
      </c>
      <c r="F4266" t="s">
        <v>6678</v>
      </c>
      <c r="G4266" t="s">
        <v>39</v>
      </c>
      <c r="H4266">
        <v>1989</v>
      </c>
      <c r="I4266">
        <v>26.3</v>
      </c>
      <c r="J4266">
        <v>8.3000000000000007</v>
      </c>
      <c r="K4266">
        <v>76</v>
      </c>
      <c r="L4266">
        <v>7.39</v>
      </c>
      <c r="M4266">
        <v>32.200000000000003</v>
      </c>
      <c r="N4266">
        <v>21.4</v>
      </c>
      <c r="O4266">
        <v>10.8</v>
      </c>
      <c r="P4266">
        <v>25.3</v>
      </c>
      <c r="Q4266">
        <v>26.6</v>
      </c>
      <c r="R4266">
        <v>27.2</v>
      </c>
      <c r="S4266">
        <v>25.3</v>
      </c>
      <c r="T4266">
        <v>2546</v>
      </c>
      <c r="U4266">
        <v>398</v>
      </c>
      <c r="V4266">
        <v>31</v>
      </c>
      <c r="W4266">
        <v>61</v>
      </c>
      <c r="X4266">
        <v>1119</v>
      </c>
      <c r="Y4266">
        <v>134</v>
      </c>
      <c r="Z4266">
        <v>397</v>
      </c>
      <c r="AA4266">
        <v>1119</v>
      </c>
      <c r="AB4266">
        <v>0.78056009999999998</v>
      </c>
      <c r="AC4266">
        <v>0.2366656</v>
      </c>
      <c r="AD4266">
        <v>1.241735</v>
      </c>
      <c r="AE4266">
        <v>0.95034359999999996</v>
      </c>
      <c r="AF4266">
        <v>10.549910000000001</v>
      </c>
      <c r="AG4266">
        <f>IFERROR(AH4266*0.1, "N/A")</f>
        <v>5.5539400000000008</v>
      </c>
      <c r="AH4266">
        <v>55.539400000000001</v>
      </c>
      <c r="AI4266">
        <v>158.19980000000001</v>
      </c>
      <c r="AJ4266">
        <v>26</v>
      </c>
      <c r="AK4266">
        <v>52.173380000000002</v>
      </c>
    </row>
    <row r="4267" spans="1:37" x14ac:dyDescent="0.3">
      <c r="A4267">
        <v>4266</v>
      </c>
      <c r="B4267">
        <v>8.9</v>
      </c>
      <c r="C4267">
        <v>7.0477800000000004</v>
      </c>
      <c r="D4267">
        <v>4.8452799999999998</v>
      </c>
      <c r="E4267" t="s">
        <v>6676</v>
      </c>
      <c r="F4267" t="s">
        <v>6679</v>
      </c>
      <c r="G4267" t="s">
        <v>2420</v>
      </c>
      <c r="H4267">
        <v>1989</v>
      </c>
      <c r="I4267">
        <v>26.3</v>
      </c>
      <c r="J4267">
        <v>8.3000000000000007</v>
      </c>
      <c r="K4267">
        <v>76</v>
      </c>
      <c r="L4267">
        <v>7.39</v>
      </c>
      <c r="M4267">
        <v>32.200000000000003</v>
      </c>
      <c r="N4267">
        <v>21.4</v>
      </c>
      <c r="O4267">
        <v>10.8</v>
      </c>
      <c r="P4267">
        <v>25.3</v>
      </c>
      <c r="Q4267">
        <v>26.6</v>
      </c>
      <c r="R4267">
        <v>27.2</v>
      </c>
      <c r="S4267">
        <v>25.3</v>
      </c>
      <c r="T4267">
        <v>2546</v>
      </c>
      <c r="U4267">
        <v>398</v>
      </c>
      <c r="V4267">
        <v>31</v>
      </c>
      <c r="W4267">
        <v>61</v>
      </c>
      <c r="X4267">
        <v>1119</v>
      </c>
      <c r="Y4267">
        <v>134</v>
      </c>
      <c r="Z4267">
        <v>397</v>
      </c>
      <c r="AA4267">
        <v>1119</v>
      </c>
      <c r="AB4267">
        <v>0.78056009999999998</v>
      </c>
      <c r="AC4267">
        <v>0.2366656</v>
      </c>
      <c r="AD4267">
        <v>1.241735</v>
      </c>
      <c r="AE4267">
        <v>0.95034359999999996</v>
      </c>
      <c r="AF4267">
        <v>10.549910000000001</v>
      </c>
      <c r="AG4267">
        <f>IFERROR(AH4267*0.1, "N/A")</f>
        <v>5.5539400000000008</v>
      </c>
      <c r="AH4267">
        <v>55.539400000000001</v>
      </c>
      <c r="AI4267">
        <v>158.19980000000001</v>
      </c>
      <c r="AJ4267">
        <v>26</v>
      </c>
      <c r="AK4267">
        <v>52.173380000000002</v>
      </c>
    </row>
    <row r="4268" spans="1:37" x14ac:dyDescent="0.3">
      <c r="A4268">
        <v>4267</v>
      </c>
      <c r="B4268">
        <v>0</v>
      </c>
      <c r="C4268">
        <v>7.05694</v>
      </c>
      <c r="D4268">
        <v>4.8591699999999998</v>
      </c>
      <c r="E4268" t="s">
        <v>6680</v>
      </c>
      <c r="F4268" t="s">
        <v>6681</v>
      </c>
      <c r="G4268" t="s">
        <v>37</v>
      </c>
      <c r="H4268">
        <v>1989</v>
      </c>
      <c r="I4268">
        <v>26.2</v>
      </c>
      <c r="J4268">
        <v>8.3000000000000007</v>
      </c>
      <c r="K4268">
        <v>76</v>
      </c>
      <c r="L4268">
        <v>7.39</v>
      </c>
      <c r="M4268">
        <v>32.200000000000003</v>
      </c>
      <c r="N4268">
        <v>21.3</v>
      </c>
      <c r="O4268">
        <v>10.9</v>
      </c>
      <c r="P4268">
        <v>25.3</v>
      </c>
      <c r="Q4268">
        <v>26.6</v>
      </c>
      <c r="R4268">
        <v>27.2</v>
      </c>
      <c r="S4268">
        <v>25.3</v>
      </c>
      <c r="T4268">
        <v>2526</v>
      </c>
      <c r="U4268">
        <v>396</v>
      </c>
      <c r="V4268">
        <v>30</v>
      </c>
      <c r="W4268">
        <v>61</v>
      </c>
      <c r="X4268">
        <v>1112</v>
      </c>
      <c r="Y4268">
        <v>131</v>
      </c>
      <c r="Z4268">
        <v>394</v>
      </c>
      <c r="AA4268">
        <v>1112</v>
      </c>
      <c r="AB4268">
        <v>10.2965</v>
      </c>
      <c r="AC4268">
        <v>2.2232499999999999E-2</v>
      </c>
      <c r="AD4268">
        <v>1.7783629999999999</v>
      </c>
      <c r="AE4268">
        <v>0.92244170000000003</v>
      </c>
      <c r="AF4268">
        <v>19.681819999999998</v>
      </c>
      <c r="AG4268">
        <f>IFERROR(AH4268*0.1, "N/A")</f>
        <v>4.6115380000000004</v>
      </c>
      <c r="AH4268">
        <v>46.115380000000002</v>
      </c>
      <c r="AI4268">
        <v>138.49809999999999</v>
      </c>
      <c r="AJ4268">
        <v>20.220279999999999</v>
      </c>
      <c r="AK4268">
        <v>61.695799999999998</v>
      </c>
    </row>
    <row r="4269" spans="1:37" x14ac:dyDescent="0.3">
      <c r="A4269">
        <v>4268</v>
      </c>
      <c r="B4269">
        <v>0</v>
      </c>
      <c r="C4269">
        <v>7.05694</v>
      </c>
      <c r="D4269">
        <v>4.8591699999999998</v>
      </c>
      <c r="E4269" t="s">
        <v>6680</v>
      </c>
      <c r="F4269" t="s">
        <v>6682</v>
      </c>
      <c r="G4269" t="s">
        <v>39</v>
      </c>
      <c r="H4269">
        <v>1989</v>
      </c>
      <c r="I4269">
        <v>26.2</v>
      </c>
      <c r="J4269">
        <v>8.3000000000000007</v>
      </c>
      <c r="K4269">
        <v>76</v>
      </c>
      <c r="L4269">
        <v>7.39</v>
      </c>
      <c r="M4269">
        <v>32.200000000000003</v>
      </c>
      <c r="N4269">
        <v>21.3</v>
      </c>
      <c r="O4269">
        <v>10.9</v>
      </c>
      <c r="P4269">
        <v>25.3</v>
      </c>
      <c r="Q4269">
        <v>26.6</v>
      </c>
      <c r="R4269">
        <v>27.2</v>
      </c>
      <c r="S4269">
        <v>25.3</v>
      </c>
      <c r="T4269">
        <v>2526</v>
      </c>
      <c r="U4269">
        <v>396</v>
      </c>
      <c r="V4269">
        <v>30</v>
      </c>
      <c r="W4269">
        <v>61</v>
      </c>
      <c r="X4269">
        <v>1112</v>
      </c>
      <c r="Y4269">
        <v>131</v>
      </c>
      <c r="Z4269">
        <v>394</v>
      </c>
      <c r="AA4269">
        <v>1112</v>
      </c>
      <c r="AB4269">
        <v>10.2965</v>
      </c>
      <c r="AC4269">
        <v>2.2232499999999999E-2</v>
      </c>
      <c r="AD4269">
        <v>1.7783629999999999</v>
      </c>
      <c r="AE4269">
        <v>0.92244170000000003</v>
      </c>
      <c r="AF4269">
        <v>19.681819999999998</v>
      </c>
      <c r="AG4269">
        <f>IFERROR(AH4269*0.1, "N/A")</f>
        <v>4.6115380000000004</v>
      </c>
      <c r="AH4269">
        <v>46.115380000000002</v>
      </c>
      <c r="AI4269">
        <v>138.49809999999999</v>
      </c>
      <c r="AJ4269">
        <v>20.220279999999999</v>
      </c>
      <c r="AK4269">
        <v>61.695799999999998</v>
      </c>
    </row>
    <row r="4270" spans="1:37" x14ac:dyDescent="0.3">
      <c r="A4270">
        <v>4269</v>
      </c>
      <c r="B4270">
        <v>5.8</v>
      </c>
      <c r="C4270">
        <v>7.05694</v>
      </c>
      <c r="D4270">
        <v>4.8591699999999998</v>
      </c>
      <c r="E4270" t="s">
        <v>6680</v>
      </c>
      <c r="F4270" t="s">
        <v>6683</v>
      </c>
      <c r="G4270" t="s">
        <v>2420</v>
      </c>
      <c r="H4270">
        <v>1989</v>
      </c>
      <c r="I4270">
        <v>26.2</v>
      </c>
      <c r="J4270">
        <v>8.3000000000000007</v>
      </c>
      <c r="K4270">
        <v>76</v>
      </c>
      <c r="L4270">
        <v>7.39</v>
      </c>
      <c r="M4270">
        <v>32.200000000000003</v>
      </c>
      <c r="N4270">
        <v>21.3</v>
      </c>
      <c r="O4270">
        <v>10.9</v>
      </c>
      <c r="P4270">
        <v>25.3</v>
      </c>
      <c r="Q4270">
        <v>26.6</v>
      </c>
      <c r="R4270">
        <v>27.2</v>
      </c>
      <c r="S4270">
        <v>25.3</v>
      </c>
      <c r="T4270">
        <v>2526</v>
      </c>
      <c r="U4270">
        <v>396</v>
      </c>
      <c r="V4270">
        <v>30</v>
      </c>
      <c r="W4270">
        <v>61</v>
      </c>
      <c r="X4270">
        <v>1112</v>
      </c>
      <c r="Y4270">
        <v>131</v>
      </c>
      <c r="Z4270">
        <v>394</v>
      </c>
      <c r="AA4270">
        <v>1112</v>
      </c>
      <c r="AB4270">
        <v>10.2965</v>
      </c>
      <c r="AC4270">
        <v>2.2232499999999999E-2</v>
      </c>
      <c r="AD4270">
        <v>1.7783629999999999</v>
      </c>
      <c r="AE4270">
        <v>0.92244170000000003</v>
      </c>
      <c r="AF4270">
        <v>19.681819999999998</v>
      </c>
      <c r="AG4270">
        <f>IFERROR(AH4270*0.1, "N/A")</f>
        <v>4.6115380000000004</v>
      </c>
      <c r="AH4270">
        <v>46.115380000000002</v>
      </c>
      <c r="AI4270">
        <v>138.49809999999999</v>
      </c>
      <c r="AJ4270">
        <v>20.220279999999999</v>
      </c>
      <c r="AK4270">
        <v>61.695799999999998</v>
      </c>
    </row>
    <row r="4271" spans="1:37" x14ac:dyDescent="0.3">
      <c r="A4271">
        <v>4270</v>
      </c>
      <c r="B4271">
        <v>0</v>
      </c>
      <c r="C4271">
        <v>6.6508700000000003</v>
      </c>
      <c r="D4271">
        <v>5.0796400000000004</v>
      </c>
      <c r="E4271" t="s">
        <v>6684</v>
      </c>
      <c r="F4271" t="s">
        <v>6685</v>
      </c>
      <c r="G4271" t="s">
        <v>37</v>
      </c>
      <c r="H4271">
        <v>1986</v>
      </c>
      <c r="I4271">
        <v>26.695799999999998</v>
      </c>
      <c r="J4271">
        <v>8.1999999999999993</v>
      </c>
      <c r="K4271">
        <v>77</v>
      </c>
      <c r="L4271">
        <v>8.7891589999999997</v>
      </c>
      <c r="M4271">
        <v>32.4</v>
      </c>
      <c r="N4271">
        <v>21.8</v>
      </c>
      <c r="O4271">
        <v>10.6</v>
      </c>
      <c r="P4271">
        <v>25.4</v>
      </c>
      <c r="Q4271">
        <v>27.1</v>
      </c>
      <c r="R4271">
        <v>27.8</v>
      </c>
      <c r="S4271">
        <v>25.4</v>
      </c>
      <c r="T4271">
        <v>2493.3359999999998</v>
      </c>
      <c r="U4271">
        <v>434.08409999999998</v>
      </c>
      <c r="V4271">
        <v>26</v>
      </c>
      <c r="W4271">
        <v>63</v>
      </c>
      <c r="X4271">
        <v>1086.126</v>
      </c>
      <c r="Y4271">
        <v>122</v>
      </c>
      <c r="Z4271">
        <v>368.04199999999997</v>
      </c>
      <c r="AA4271">
        <v>1086.126</v>
      </c>
      <c r="AB4271">
        <v>2.8989500000000001</v>
      </c>
      <c r="AC4271">
        <v>2.3457140000000001E-2</v>
      </c>
      <c r="AD4271">
        <v>2.1299890000000001</v>
      </c>
      <c r="AE4271">
        <v>0.81781380000000004</v>
      </c>
      <c r="AF4271">
        <v>8.4115590000000005</v>
      </c>
      <c r="AG4271">
        <f>IFERROR(AH4271*0.1, "N/A")</f>
        <v>4.9915940000000001</v>
      </c>
      <c r="AH4271">
        <v>49.915939999999999</v>
      </c>
      <c r="AI4271">
        <v>189.16390000000001</v>
      </c>
      <c r="AJ4271">
        <v>27.915939999999999</v>
      </c>
      <c r="AK4271">
        <v>54.168129999999998</v>
      </c>
    </row>
    <row r="4272" spans="1:37" x14ac:dyDescent="0.3">
      <c r="A4272">
        <v>4271</v>
      </c>
      <c r="B4272">
        <v>0</v>
      </c>
      <c r="C4272">
        <v>6.6508700000000003</v>
      </c>
      <c r="D4272">
        <v>5.0796400000000004</v>
      </c>
      <c r="E4272" t="s">
        <v>6684</v>
      </c>
      <c r="F4272" t="s">
        <v>6686</v>
      </c>
      <c r="G4272" t="s">
        <v>39</v>
      </c>
      <c r="H4272">
        <v>1986</v>
      </c>
      <c r="I4272">
        <v>26.695799999999998</v>
      </c>
      <c r="J4272">
        <v>8.1999999999999993</v>
      </c>
      <c r="K4272">
        <v>77</v>
      </c>
      <c r="L4272">
        <v>8.7891589999999997</v>
      </c>
      <c r="M4272">
        <v>32.4</v>
      </c>
      <c r="N4272">
        <v>21.8</v>
      </c>
      <c r="O4272">
        <v>10.6</v>
      </c>
      <c r="P4272">
        <v>25.4</v>
      </c>
      <c r="Q4272">
        <v>27.1</v>
      </c>
      <c r="R4272">
        <v>27.8</v>
      </c>
      <c r="S4272">
        <v>25.4</v>
      </c>
      <c r="T4272">
        <v>2493.3359999999998</v>
      </c>
      <c r="U4272">
        <v>434.08409999999998</v>
      </c>
      <c r="V4272">
        <v>26</v>
      </c>
      <c r="W4272">
        <v>63</v>
      </c>
      <c r="X4272">
        <v>1086.126</v>
      </c>
      <c r="Y4272">
        <v>122</v>
      </c>
      <c r="Z4272">
        <v>368.04199999999997</v>
      </c>
      <c r="AA4272">
        <v>1086.126</v>
      </c>
      <c r="AB4272">
        <v>2.8989500000000001</v>
      </c>
      <c r="AC4272">
        <v>2.3457140000000001E-2</v>
      </c>
      <c r="AD4272">
        <v>2.1299890000000001</v>
      </c>
      <c r="AE4272">
        <v>0.81781380000000004</v>
      </c>
      <c r="AF4272">
        <v>8.4115590000000005</v>
      </c>
      <c r="AG4272">
        <f>IFERROR(AH4272*0.1, "N/A")</f>
        <v>4.9915940000000001</v>
      </c>
      <c r="AH4272">
        <v>49.915939999999999</v>
      </c>
      <c r="AI4272">
        <v>189.16390000000001</v>
      </c>
      <c r="AJ4272">
        <v>27.915939999999999</v>
      </c>
      <c r="AK4272">
        <v>54.168129999999998</v>
      </c>
    </row>
    <row r="4273" spans="1:37" x14ac:dyDescent="0.3">
      <c r="A4273">
        <v>4272</v>
      </c>
      <c r="B4273">
        <v>63.3</v>
      </c>
      <c r="C4273">
        <v>2.9666700000000001</v>
      </c>
      <c r="D4273">
        <v>7.2166699999999997</v>
      </c>
      <c r="E4273" t="s">
        <v>6687</v>
      </c>
      <c r="F4273" t="s">
        <v>6688</v>
      </c>
      <c r="G4273" t="s">
        <v>39</v>
      </c>
      <c r="H4273">
        <v>1998</v>
      </c>
      <c r="I4273">
        <v>27.313559999999999</v>
      </c>
      <c r="J4273">
        <v>9.8005220000000008</v>
      </c>
      <c r="K4273">
        <v>72.005219999999994</v>
      </c>
      <c r="L4273">
        <v>13.041230000000001</v>
      </c>
      <c r="M4273">
        <v>35.013570000000001</v>
      </c>
      <c r="N4273">
        <v>21.513570000000001</v>
      </c>
      <c r="O4273">
        <v>13.5</v>
      </c>
      <c r="P4273">
        <v>26.513570000000001</v>
      </c>
      <c r="Q4273">
        <v>27.713570000000001</v>
      </c>
      <c r="R4273">
        <v>28.927129999999998</v>
      </c>
      <c r="S4273">
        <v>25.51304</v>
      </c>
      <c r="T4273">
        <v>1124.1690000000001</v>
      </c>
      <c r="U4273">
        <v>168.79650000000001</v>
      </c>
      <c r="V4273">
        <v>7.6608700000000001</v>
      </c>
      <c r="W4273">
        <v>62</v>
      </c>
      <c r="X4273">
        <v>460.45740000000001</v>
      </c>
      <c r="Y4273">
        <v>52.321739999999998</v>
      </c>
      <c r="Z4273">
        <v>240.86429999999999</v>
      </c>
      <c r="AA4273">
        <v>372.7287</v>
      </c>
      <c r="AB4273">
        <v>1.6617409999999999</v>
      </c>
      <c r="AC4273">
        <v>2.7170179999999999E-2</v>
      </c>
      <c r="AD4273">
        <v>2.8087040000000001</v>
      </c>
      <c r="AE4273">
        <v>0.57618279999999999</v>
      </c>
      <c r="AF4273">
        <v>64.311300000000003</v>
      </c>
      <c r="AG4273">
        <f>IFERROR(AH4273*0.1, "N/A")</f>
        <v>5.8530430000000004</v>
      </c>
      <c r="AH4273">
        <v>58.530430000000003</v>
      </c>
      <c r="AI4273">
        <v>91.408119999999997</v>
      </c>
      <c r="AJ4273">
        <v>15.80522</v>
      </c>
      <c r="AK4273">
        <v>65.151300000000006</v>
      </c>
    </row>
    <row r="4274" spans="1:37" x14ac:dyDescent="0.3">
      <c r="A4274">
        <v>4273</v>
      </c>
      <c r="B4274">
        <v>0.7</v>
      </c>
      <c r="C4274">
        <v>3.35</v>
      </c>
      <c r="D4274">
        <v>7.15</v>
      </c>
      <c r="E4274" t="s">
        <v>6689</v>
      </c>
      <c r="F4274" t="s">
        <v>6690</v>
      </c>
      <c r="G4274" t="s">
        <v>39</v>
      </c>
      <c r="H4274">
        <v>1998</v>
      </c>
      <c r="I4274">
        <v>27.156269999999999</v>
      </c>
      <c r="J4274">
        <v>8.9926829999999995</v>
      </c>
      <c r="K4274">
        <v>72.416380000000004</v>
      </c>
      <c r="L4274">
        <v>12.334250000000001</v>
      </c>
      <c r="M4274">
        <v>34.148949999999999</v>
      </c>
      <c r="N4274">
        <v>21.805230000000002</v>
      </c>
      <c r="O4274">
        <v>12.343730000000001</v>
      </c>
      <c r="P4274">
        <v>26.44895</v>
      </c>
      <c r="Q4274">
        <v>27.87979</v>
      </c>
      <c r="R4274">
        <v>28.672470000000001</v>
      </c>
      <c r="S4274">
        <v>25.45627</v>
      </c>
      <c r="T4274">
        <v>1240.202</v>
      </c>
      <c r="U4274">
        <v>198.98079999999999</v>
      </c>
      <c r="V4274">
        <v>13</v>
      </c>
      <c r="W4274">
        <v>61</v>
      </c>
      <c r="X4274">
        <v>527.47209999999995</v>
      </c>
      <c r="Y4274">
        <v>55</v>
      </c>
      <c r="Z4274">
        <v>259.9477</v>
      </c>
      <c r="AA4274">
        <v>405.18290000000002</v>
      </c>
      <c r="AB4274">
        <v>17.247910000000001</v>
      </c>
      <c r="AC4274">
        <v>2.6600780000000001E-2</v>
      </c>
      <c r="AD4274">
        <v>2.619084</v>
      </c>
      <c r="AE4274">
        <v>0.93237590000000004</v>
      </c>
      <c r="AF4274">
        <v>63.402439999999999</v>
      </c>
      <c r="AG4274">
        <f>IFERROR(AH4274*0.1, "N/A")</f>
        <v>6.9</v>
      </c>
      <c r="AH4274">
        <v>69</v>
      </c>
      <c r="AI4274">
        <v>225.9084</v>
      </c>
      <c r="AJ4274">
        <v>22</v>
      </c>
      <c r="AK4274">
        <v>61.344949999999997</v>
      </c>
    </row>
    <row r="4275" spans="1:37" x14ac:dyDescent="0.3">
      <c r="A4275">
        <v>4274</v>
      </c>
      <c r="B4275">
        <v>4.5</v>
      </c>
      <c r="C4275">
        <v>8.8000000000000007</v>
      </c>
      <c r="D4275">
        <v>7.0166700000000004</v>
      </c>
      <c r="E4275" t="s">
        <v>6691</v>
      </c>
      <c r="F4275" t="s">
        <v>6692</v>
      </c>
      <c r="G4275" t="s">
        <v>37</v>
      </c>
      <c r="H4275">
        <v>2007</v>
      </c>
      <c r="I4275">
        <v>26.78275</v>
      </c>
      <c r="J4275">
        <v>10.199999999999999</v>
      </c>
      <c r="K4275">
        <v>66</v>
      </c>
      <c r="L4275">
        <v>12.06991</v>
      </c>
      <c r="M4275">
        <v>34.78275</v>
      </c>
      <c r="N4275">
        <v>19.482749999999999</v>
      </c>
      <c r="O4275">
        <v>15.3</v>
      </c>
      <c r="P4275">
        <v>25.582750000000001</v>
      </c>
      <c r="Q4275">
        <v>27.133800000000001</v>
      </c>
      <c r="R4275">
        <v>28.560099999999998</v>
      </c>
      <c r="S4275">
        <v>25.331710000000001</v>
      </c>
      <c r="T4275">
        <v>1620.03</v>
      </c>
      <c r="U4275">
        <v>278.399</v>
      </c>
      <c r="V4275">
        <v>7</v>
      </c>
      <c r="W4275">
        <v>75.456450000000004</v>
      </c>
      <c r="X4275">
        <v>744.25959999999998</v>
      </c>
      <c r="Y4275">
        <v>29</v>
      </c>
      <c r="Z4275">
        <v>174</v>
      </c>
      <c r="AA4275">
        <v>694.71600000000001</v>
      </c>
      <c r="AB4275">
        <v>13.6831</v>
      </c>
      <c r="AC4275">
        <v>1.552152E-2</v>
      </c>
      <c r="AD4275">
        <v>2.3211349999999999</v>
      </c>
      <c r="AE4275">
        <v>0.3645119</v>
      </c>
      <c r="AF4275">
        <v>136.19159999999999</v>
      </c>
      <c r="AG4275">
        <f>IFERROR(AH4275*0.1, "N/A")</f>
        <v>5.7202090000000005</v>
      </c>
      <c r="AH4275">
        <v>57.202089999999998</v>
      </c>
      <c r="AI4275">
        <v>131.83320000000001</v>
      </c>
      <c r="AJ4275">
        <v>11.601050000000001</v>
      </c>
      <c r="AK4275">
        <v>72.797910000000002</v>
      </c>
    </row>
    <row r="4276" spans="1:37" x14ac:dyDescent="0.3">
      <c r="A4276">
        <v>4275</v>
      </c>
      <c r="B4276">
        <v>8</v>
      </c>
      <c r="C4276">
        <v>9.5</v>
      </c>
      <c r="D4276">
        <v>6.9</v>
      </c>
      <c r="E4276" t="s">
        <v>6693</v>
      </c>
      <c r="F4276" t="s">
        <v>6694</v>
      </c>
      <c r="G4276" t="s">
        <v>37</v>
      </c>
      <c r="H4276">
        <v>2007</v>
      </c>
      <c r="I4276">
        <v>26.690750000000001</v>
      </c>
      <c r="J4276">
        <v>10.5</v>
      </c>
      <c r="K4276">
        <v>66</v>
      </c>
      <c r="L4276">
        <v>11.52721</v>
      </c>
      <c r="M4276">
        <v>34.990749999999998</v>
      </c>
      <c r="N4276">
        <v>19.290749999999999</v>
      </c>
      <c r="O4276">
        <v>15.7</v>
      </c>
      <c r="P4276">
        <v>25.632809999999999</v>
      </c>
      <c r="Q4276">
        <v>26.990749999999998</v>
      </c>
      <c r="R4276">
        <v>28.390750000000001</v>
      </c>
      <c r="S4276">
        <v>25.290749999999999</v>
      </c>
      <c r="T4276">
        <v>1717.595</v>
      </c>
      <c r="U4276">
        <v>303.45030000000003</v>
      </c>
      <c r="V4276">
        <v>7</v>
      </c>
      <c r="W4276">
        <v>75.420590000000004</v>
      </c>
      <c r="X4276">
        <v>793.35080000000005</v>
      </c>
      <c r="Y4276">
        <v>29</v>
      </c>
      <c r="Z4276">
        <v>193.5428</v>
      </c>
      <c r="AA4276">
        <v>749.25829999999996</v>
      </c>
      <c r="AB4276">
        <v>29.710989999999999</v>
      </c>
      <c r="AC4276">
        <v>1.1908729999999999E-2</v>
      </c>
      <c r="AD4276">
        <v>1.3981220000000001</v>
      </c>
      <c r="AE4276">
        <v>0.68907629999999997</v>
      </c>
      <c r="AF4276">
        <v>202.32810000000001</v>
      </c>
      <c r="AG4276">
        <f>IFERROR(AH4276*0.1, "N/A")</f>
        <v>5.7335080000000005</v>
      </c>
      <c r="AH4276">
        <v>57.335079999999998</v>
      </c>
      <c r="AI4276">
        <v>54.037979999999997</v>
      </c>
      <c r="AJ4276">
        <v>20.335080000000001</v>
      </c>
      <c r="AK4276">
        <v>58.443280000000001</v>
      </c>
    </row>
    <row r="4277" spans="1:37" x14ac:dyDescent="0.3">
      <c r="A4277">
        <v>4276</v>
      </c>
      <c r="B4277">
        <v>0.5</v>
      </c>
      <c r="C4277">
        <v>9.2333300000000005</v>
      </c>
      <c r="D4277">
        <v>6.8833299999999999</v>
      </c>
      <c r="E4277" t="s">
        <v>6695</v>
      </c>
      <c r="F4277" t="s">
        <v>6696</v>
      </c>
      <c r="G4277" t="s">
        <v>37</v>
      </c>
      <c r="H4277">
        <v>2007</v>
      </c>
      <c r="I4277">
        <v>26.373740000000002</v>
      </c>
      <c r="J4277">
        <v>10.387130000000001</v>
      </c>
      <c r="K4277">
        <v>67</v>
      </c>
      <c r="L4277">
        <v>11.536049999999999</v>
      </c>
      <c r="M4277">
        <v>34.500169999999997</v>
      </c>
      <c r="N4277">
        <v>19.20017</v>
      </c>
      <c r="O4277">
        <v>15.3</v>
      </c>
      <c r="P4277">
        <v>25.20035</v>
      </c>
      <c r="Q4277">
        <v>26.70017</v>
      </c>
      <c r="R4277">
        <v>27.987300000000001</v>
      </c>
      <c r="S4277">
        <v>24.900169999999999</v>
      </c>
      <c r="T4277">
        <v>1729.5429999999999</v>
      </c>
      <c r="U4277">
        <v>302.13389999999998</v>
      </c>
      <c r="V4277">
        <v>8</v>
      </c>
      <c r="W4277">
        <v>75</v>
      </c>
      <c r="X4277">
        <v>795.2713</v>
      </c>
      <c r="Y4277">
        <v>32</v>
      </c>
      <c r="Z4277">
        <v>192</v>
      </c>
      <c r="AA4277">
        <v>729.00699999999995</v>
      </c>
      <c r="AB4277">
        <v>4.8233069999999998</v>
      </c>
      <c r="AC4277">
        <v>0.2804392</v>
      </c>
      <c r="AD4277">
        <v>2.8645100000000001</v>
      </c>
      <c r="AE4277">
        <v>0.52694730000000001</v>
      </c>
      <c r="AF4277">
        <v>215.5461</v>
      </c>
      <c r="AG4277">
        <f>IFERROR(AH4277*0.1, "N/A")</f>
        <v>5.3726960000000004</v>
      </c>
      <c r="AH4277">
        <v>53.726959999999998</v>
      </c>
      <c r="AI4277">
        <v>217.90729999999999</v>
      </c>
      <c r="AJ4277">
        <v>19.864350000000002</v>
      </c>
      <c r="AK4277">
        <v>60.398260000000001</v>
      </c>
    </row>
    <row r="4278" spans="1:37" x14ac:dyDescent="0.3">
      <c r="A4278">
        <v>4277</v>
      </c>
      <c r="B4278">
        <v>1.1000000000000001</v>
      </c>
      <c r="C4278">
        <v>4.5166700000000004</v>
      </c>
      <c r="D4278">
        <v>9.8833300000000008</v>
      </c>
      <c r="E4278" t="s">
        <v>6697</v>
      </c>
      <c r="F4278" t="s">
        <v>6698</v>
      </c>
      <c r="G4278" t="s">
        <v>37</v>
      </c>
      <c r="H4278">
        <v>1985</v>
      </c>
      <c r="I4278">
        <v>27.276250000000001</v>
      </c>
      <c r="J4278">
        <v>12.52375</v>
      </c>
      <c r="K4278">
        <v>59.237520000000004</v>
      </c>
      <c r="L4278">
        <v>17.26427</v>
      </c>
      <c r="M4278">
        <v>37.545439999999999</v>
      </c>
      <c r="N4278">
        <v>16.645440000000001</v>
      </c>
      <c r="O4278">
        <v>20.9</v>
      </c>
      <c r="P4278">
        <v>25.576250000000002</v>
      </c>
      <c r="Q4278">
        <v>26.84544</v>
      </c>
      <c r="R4278">
        <v>29.8</v>
      </c>
      <c r="S4278">
        <v>25.576250000000002</v>
      </c>
      <c r="T4278">
        <v>1105.17</v>
      </c>
      <c r="U4278">
        <v>233.23750000000001</v>
      </c>
      <c r="V4278">
        <v>1</v>
      </c>
      <c r="W4278">
        <v>93.065399999999997</v>
      </c>
      <c r="X4278">
        <v>633.04300000000001</v>
      </c>
      <c r="Y4278">
        <v>6.7401030000000004</v>
      </c>
      <c r="Z4278">
        <v>203.40960000000001</v>
      </c>
      <c r="AA4278">
        <v>633.04300000000001</v>
      </c>
      <c r="AB4278">
        <v>6.315143</v>
      </c>
      <c r="AC4278">
        <v>5.6311510000000002E-2</v>
      </c>
      <c r="AD4278">
        <v>2.7537180000000001</v>
      </c>
      <c r="AE4278">
        <v>0.76624490000000001</v>
      </c>
      <c r="AF4278">
        <v>180.06710000000001</v>
      </c>
      <c r="AG4278">
        <f>IFERROR(AH4278*0.1, "N/A")</f>
        <v>6.2545610000000007</v>
      </c>
      <c r="AH4278">
        <v>62.545610000000003</v>
      </c>
      <c r="AI4278">
        <v>71.300319999999999</v>
      </c>
      <c r="AJ4278">
        <v>15.543889999999999</v>
      </c>
      <c r="AK4278">
        <v>63.822719999999997</v>
      </c>
    </row>
    <row r="4279" spans="1:37" x14ac:dyDescent="0.3">
      <c r="A4279">
        <v>4278</v>
      </c>
      <c r="B4279">
        <v>9.1</v>
      </c>
      <c r="C4279">
        <v>8.8833300000000008</v>
      </c>
      <c r="D4279">
        <v>9.9</v>
      </c>
      <c r="E4279" t="s">
        <v>6699</v>
      </c>
      <c r="F4279" t="s">
        <v>6700</v>
      </c>
      <c r="G4279" t="s">
        <v>37</v>
      </c>
      <c r="H4279">
        <v>2006</v>
      </c>
      <c r="I4279">
        <v>22.61121</v>
      </c>
      <c r="J4279">
        <v>11.8</v>
      </c>
      <c r="K4279">
        <v>65</v>
      </c>
      <c r="L4279">
        <v>14.127660000000001</v>
      </c>
      <c r="M4279">
        <v>31.752410000000001</v>
      </c>
      <c r="N4279">
        <v>13.754659999999999</v>
      </c>
      <c r="O4279">
        <v>17.99776</v>
      </c>
      <c r="P4279">
        <v>21.211210000000001</v>
      </c>
      <c r="Q4279">
        <v>21.72466</v>
      </c>
      <c r="R4279">
        <v>24.622409999999999</v>
      </c>
      <c r="S4279">
        <v>21.211210000000001</v>
      </c>
      <c r="T4279">
        <v>1335.4169999999999</v>
      </c>
      <c r="U4279">
        <v>295.65859999999998</v>
      </c>
      <c r="V4279">
        <v>1</v>
      </c>
      <c r="W4279">
        <v>99</v>
      </c>
      <c r="X4279">
        <v>793.54660000000001</v>
      </c>
      <c r="Y4279">
        <v>4</v>
      </c>
      <c r="Z4279">
        <v>285.8707</v>
      </c>
      <c r="AA4279">
        <v>793.54660000000001</v>
      </c>
      <c r="AB4279">
        <v>36.345140000000001</v>
      </c>
      <c r="AC4279">
        <v>2.0302529999999999E-2</v>
      </c>
      <c r="AD4279">
        <v>3.0966580000000001</v>
      </c>
      <c r="AE4279">
        <v>0.81461320000000004</v>
      </c>
      <c r="AF4279">
        <v>1252.395</v>
      </c>
      <c r="AG4279">
        <f>IFERROR(AH4279*0.1, "N/A")</f>
        <v>5.5460340000000006</v>
      </c>
      <c r="AH4279">
        <v>55.460340000000002</v>
      </c>
      <c r="AI4279">
        <v>168.2535</v>
      </c>
      <c r="AJ4279">
        <v>29.137930000000001</v>
      </c>
      <c r="AK4279">
        <v>43.529310000000002</v>
      </c>
    </row>
    <row r="4280" spans="1:37" x14ac:dyDescent="0.3">
      <c r="A4280">
        <v>4279</v>
      </c>
      <c r="B4280">
        <v>79</v>
      </c>
      <c r="C4280">
        <v>7.6539000000000001</v>
      </c>
      <c r="D4280">
        <v>6.3266999999999998</v>
      </c>
      <c r="E4280" t="s">
        <v>6701</v>
      </c>
      <c r="F4280" t="s">
        <v>6702</v>
      </c>
      <c r="G4280" t="s">
        <v>39</v>
      </c>
      <c r="H4280">
        <v>1989</v>
      </c>
      <c r="I4280">
        <v>27</v>
      </c>
      <c r="J4280">
        <v>8.8000000000000007</v>
      </c>
      <c r="K4280">
        <v>72</v>
      </c>
      <c r="L4280">
        <v>12.2</v>
      </c>
      <c r="M4280">
        <v>33.799999999999997</v>
      </c>
      <c r="N4280">
        <v>21.6</v>
      </c>
      <c r="O4280">
        <v>12.2</v>
      </c>
      <c r="P4280">
        <v>25.4</v>
      </c>
      <c r="Q4280">
        <v>27.6</v>
      </c>
      <c r="R4280">
        <v>28.6</v>
      </c>
      <c r="S4280">
        <v>25.4</v>
      </c>
      <c r="T4280">
        <v>1797</v>
      </c>
      <c r="U4280">
        <v>294</v>
      </c>
      <c r="V4280">
        <v>8</v>
      </c>
      <c r="W4280">
        <v>71</v>
      </c>
      <c r="X4280">
        <v>785</v>
      </c>
      <c r="Y4280">
        <v>44</v>
      </c>
      <c r="Z4280">
        <v>242</v>
      </c>
      <c r="AA4280">
        <v>785</v>
      </c>
      <c r="AB4280">
        <v>5.8940770000000002</v>
      </c>
      <c r="AC4280">
        <v>2.060553E-2</v>
      </c>
      <c r="AD4280">
        <v>1.1277619999999999</v>
      </c>
      <c r="AE4280">
        <v>0.70083949999999995</v>
      </c>
      <c r="AF4280">
        <v>82.989549999999994</v>
      </c>
      <c r="AG4280">
        <f>IFERROR(AH4280*0.1, "N/A")</f>
        <v>5.5965160000000003</v>
      </c>
      <c r="AH4280">
        <v>55.965159999999997</v>
      </c>
      <c r="AI4280">
        <v>116.5989</v>
      </c>
      <c r="AJ4280">
        <v>17.16028</v>
      </c>
      <c r="AK4280">
        <v>65.937280000000001</v>
      </c>
    </row>
    <row r="4281" spans="1:37" x14ac:dyDescent="0.3">
      <c r="A4281">
        <v>4280</v>
      </c>
      <c r="B4281">
        <v>0</v>
      </c>
      <c r="C4281">
        <v>7.6539000000000001</v>
      </c>
      <c r="D4281">
        <v>6.3266999999999998</v>
      </c>
      <c r="E4281" t="s">
        <v>6701</v>
      </c>
      <c r="F4281" t="s">
        <v>6703</v>
      </c>
      <c r="G4281" t="s">
        <v>37</v>
      </c>
      <c r="H4281">
        <v>1989</v>
      </c>
      <c r="I4281">
        <v>27</v>
      </c>
      <c r="J4281">
        <v>8.8000000000000007</v>
      </c>
      <c r="K4281">
        <v>72</v>
      </c>
      <c r="L4281">
        <v>12.2</v>
      </c>
      <c r="M4281">
        <v>33.799999999999997</v>
      </c>
      <c r="N4281">
        <v>21.6</v>
      </c>
      <c r="O4281">
        <v>12.2</v>
      </c>
      <c r="P4281">
        <v>25.4</v>
      </c>
      <c r="Q4281">
        <v>27.6</v>
      </c>
      <c r="R4281">
        <v>28.6</v>
      </c>
      <c r="S4281">
        <v>25.4</v>
      </c>
      <c r="T4281">
        <v>1797</v>
      </c>
      <c r="U4281">
        <v>294</v>
      </c>
      <c r="V4281">
        <v>8</v>
      </c>
      <c r="W4281">
        <v>71</v>
      </c>
      <c r="X4281">
        <v>785</v>
      </c>
      <c r="Y4281">
        <v>44</v>
      </c>
      <c r="Z4281">
        <v>242</v>
      </c>
      <c r="AA4281">
        <v>785</v>
      </c>
      <c r="AB4281">
        <v>5.8940770000000002</v>
      </c>
      <c r="AC4281">
        <v>2.060553E-2</v>
      </c>
      <c r="AD4281">
        <v>1.1277619999999999</v>
      </c>
      <c r="AE4281">
        <v>0.70083949999999995</v>
      </c>
      <c r="AF4281">
        <v>82.989549999999994</v>
      </c>
      <c r="AG4281">
        <f>IFERROR(AH4281*0.1, "N/A")</f>
        <v>5.5965160000000003</v>
      </c>
      <c r="AH4281">
        <v>55.965159999999997</v>
      </c>
      <c r="AI4281">
        <v>116.5989</v>
      </c>
      <c r="AJ4281">
        <v>17.16028</v>
      </c>
      <c r="AK4281">
        <v>65.937280000000001</v>
      </c>
    </row>
    <row r="4282" spans="1:37" x14ac:dyDescent="0.3">
      <c r="A4282">
        <v>4281</v>
      </c>
      <c r="B4282">
        <v>13.8</v>
      </c>
      <c r="C4282">
        <v>3.9127800000000001</v>
      </c>
      <c r="D4282">
        <v>7.4349999999999996</v>
      </c>
      <c r="E4282" t="s">
        <v>6704</v>
      </c>
      <c r="F4282" t="s">
        <v>6705</v>
      </c>
      <c r="G4282" t="s">
        <v>39</v>
      </c>
      <c r="H4282">
        <v>2001</v>
      </c>
      <c r="I4282">
        <v>26.4</v>
      </c>
      <c r="J4282">
        <v>9.4</v>
      </c>
      <c r="K4282">
        <v>70</v>
      </c>
      <c r="L4282">
        <v>12.95</v>
      </c>
      <c r="M4282">
        <v>33.799999999999997</v>
      </c>
      <c r="N4282">
        <v>20.5</v>
      </c>
      <c r="O4282">
        <v>13.3</v>
      </c>
      <c r="P4282">
        <v>25.6</v>
      </c>
      <c r="Q4282">
        <v>27.1</v>
      </c>
      <c r="R4282">
        <v>28</v>
      </c>
      <c r="S4282">
        <v>24.5</v>
      </c>
      <c r="T4282">
        <v>1301</v>
      </c>
      <c r="U4282">
        <v>185</v>
      </c>
      <c r="V4282">
        <v>5</v>
      </c>
      <c r="W4282">
        <v>63</v>
      </c>
      <c r="X4282">
        <v>508</v>
      </c>
      <c r="Y4282">
        <v>38</v>
      </c>
      <c r="Z4282">
        <v>251</v>
      </c>
      <c r="AA4282">
        <v>480</v>
      </c>
      <c r="AB4282">
        <v>16.513190000000002</v>
      </c>
      <c r="AC4282">
        <v>1.251008E-2</v>
      </c>
      <c r="AD4282">
        <v>2.9495740000000001</v>
      </c>
      <c r="AE4282">
        <v>0.91425160000000005</v>
      </c>
      <c r="AF4282">
        <v>221.1319</v>
      </c>
      <c r="AG4282">
        <f>IFERROR(AH4282*0.1, "N/A")</f>
        <v>6.5050349999999995</v>
      </c>
      <c r="AH4282">
        <v>65.050349999999995</v>
      </c>
      <c r="AI4282">
        <v>81.891319999999993</v>
      </c>
      <c r="AJ4282">
        <v>19.07986</v>
      </c>
      <c r="AK4282">
        <v>60.89931</v>
      </c>
    </row>
    <row r="4283" spans="1:37" x14ac:dyDescent="0.3">
      <c r="A4283">
        <v>4282</v>
      </c>
      <c r="B4283">
        <v>1.3</v>
      </c>
      <c r="C4283">
        <v>5.6</v>
      </c>
      <c r="D4283">
        <v>6.4</v>
      </c>
      <c r="E4283" t="s">
        <v>6706</v>
      </c>
      <c r="F4283" t="s">
        <v>6707</v>
      </c>
      <c r="G4283" t="s">
        <v>37</v>
      </c>
      <c r="H4283">
        <v>2005</v>
      </c>
      <c r="I4283">
        <v>26</v>
      </c>
      <c r="J4283">
        <v>8.9</v>
      </c>
      <c r="K4283">
        <v>72.627830000000003</v>
      </c>
      <c r="L4283">
        <v>10.70567</v>
      </c>
      <c r="M4283">
        <v>32.637219999999999</v>
      </c>
      <c r="N4283">
        <v>20.5</v>
      </c>
      <c r="O4283">
        <v>12.137219999999999</v>
      </c>
      <c r="P4283">
        <v>24.5</v>
      </c>
      <c r="Q4283">
        <v>26.43722</v>
      </c>
      <c r="R4283">
        <v>27.3</v>
      </c>
      <c r="S4283">
        <v>24.5</v>
      </c>
      <c r="T4283">
        <v>1968.08</v>
      </c>
      <c r="U4283">
        <v>330.1617</v>
      </c>
      <c r="V4283">
        <v>9</v>
      </c>
      <c r="W4283">
        <v>66.947829999999996</v>
      </c>
      <c r="X4283">
        <v>883.59479999999996</v>
      </c>
      <c r="Y4283">
        <v>73</v>
      </c>
      <c r="Z4283">
        <v>312.1617</v>
      </c>
      <c r="AA4283">
        <v>883.59479999999996</v>
      </c>
      <c r="AB4283">
        <v>6.310257</v>
      </c>
      <c r="AC4283">
        <v>9.71751E-2</v>
      </c>
      <c r="AD4283">
        <v>1.239565</v>
      </c>
      <c r="AE4283">
        <v>0.8403138</v>
      </c>
      <c r="AF4283">
        <v>111.6835</v>
      </c>
      <c r="AG4283">
        <f>IFERROR(AH4283*0.1, "N/A")</f>
        <v>5.53287</v>
      </c>
      <c r="AH4283">
        <v>55.328699999999998</v>
      </c>
      <c r="AI4283">
        <v>203.3254</v>
      </c>
      <c r="AJ4283">
        <v>20.372170000000001</v>
      </c>
      <c r="AK4283">
        <v>66.403480000000002</v>
      </c>
    </row>
    <row r="4284" spans="1:37" x14ac:dyDescent="0.3">
      <c r="A4284">
        <v>4283</v>
      </c>
      <c r="B4284">
        <v>0.46</v>
      </c>
      <c r="C4284">
        <v>9.4166699999999999</v>
      </c>
      <c r="D4284">
        <v>9.4</v>
      </c>
      <c r="E4284" t="s">
        <v>6708</v>
      </c>
      <c r="F4284" t="s">
        <v>6709</v>
      </c>
      <c r="G4284" t="s">
        <v>37</v>
      </c>
      <c r="H4284">
        <v>1992</v>
      </c>
      <c r="I4284">
        <v>21.645420000000001</v>
      </c>
      <c r="J4284">
        <v>12</v>
      </c>
      <c r="K4284">
        <v>63.103630000000003</v>
      </c>
      <c r="L4284">
        <v>16.126200000000001</v>
      </c>
      <c r="M4284">
        <v>31.02487</v>
      </c>
      <c r="N4284">
        <v>12.15579</v>
      </c>
      <c r="O4284">
        <v>18.86908</v>
      </c>
      <c r="P4284">
        <v>20.281169999999999</v>
      </c>
      <c r="Q4284">
        <v>20.535229999999999</v>
      </c>
      <c r="R4284">
        <v>24.13523</v>
      </c>
      <c r="S4284">
        <v>20.281169999999999</v>
      </c>
      <c r="T4284">
        <v>1153.4369999999999</v>
      </c>
      <c r="U4284">
        <v>273</v>
      </c>
      <c r="V4284">
        <v>0</v>
      </c>
      <c r="W4284">
        <v>99.896370000000005</v>
      </c>
      <c r="X4284">
        <v>723.12950000000001</v>
      </c>
      <c r="Y4284">
        <v>3.1036269999999999</v>
      </c>
      <c r="Z4284">
        <v>197.0017</v>
      </c>
      <c r="AA4284">
        <v>723.12950000000001</v>
      </c>
      <c r="AB4284">
        <v>91.770960000000002</v>
      </c>
      <c r="AC4284">
        <v>5.1821329999999999E-2</v>
      </c>
      <c r="AD4284">
        <v>13.50212</v>
      </c>
      <c r="AE4284">
        <v>0.68267560000000005</v>
      </c>
      <c r="AF4284">
        <v>1313.0219999999999</v>
      </c>
      <c r="AG4284">
        <f>IFERROR(AH4284*0.1, "N/A")</f>
        <v>6.1177890000000001</v>
      </c>
      <c r="AH4284">
        <v>61.177889999999998</v>
      </c>
      <c r="AI4284">
        <v>202.6113</v>
      </c>
      <c r="AJ4284">
        <v>31</v>
      </c>
      <c r="AK4284">
        <v>44</v>
      </c>
    </row>
    <row r="4285" spans="1:37" x14ac:dyDescent="0.3">
      <c r="A4285">
        <v>4284</v>
      </c>
      <c r="B4285">
        <v>7.0000000000000007E-2</v>
      </c>
      <c r="C4285">
        <v>9.4166699999999999</v>
      </c>
      <c r="D4285">
        <v>9.4</v>
      </c>
      <c r="E4285" t="s">
        <v>6708</v>
      </c>
      <c r="F4285" t="s">
        <v>6710</v>
      </c>
      <c r="G4285" t="s">
        <v>39</v>
      </c>
      <c r="H4285">
        <v>1992</v>
      </c>
      <c r="I4285">
        <v>21.645420000000001</v>
      </c>
      <c r="J4285">
        <v>12</v>
      </c>
      <c r="K4285">
        <v>63.103630000000003</v>
      </c>
      <c r="L4285">
        <v>16.126200000000001</v>
      </c>
      <c r="M4285">
        <v>31.02487</v>
      </c>
      <c r="N4285">
        <v>12.15579</v>
      </c>
      <c r="O4285">
        <v>18.86908</v>
      </c>
      <c r="P4285">
        <v>20.281169999999999</v>
      </c>
      <c r="Q4285">
        <v>20.535229999999999</v>
      </c>
      <c r="R4285">
        <v>24.13523</v>
      </c>
      <c r="S4285">
        <v>20.281169999999999</v>
      </c>
      <c r="T4285">
        <v>1153.4369999999999</v>
      </c>
      <c r="U4285">
        <v>273</v>
      </c>
      <c r="V4285">
        <v>0</v>
      </c>
      <c r="W4285">
        <v>99.896370000000005</v>
      </c>
      <c r="X4285">
        <v>723.12950000000001</v>
      </c>
      <c r="Y4285">
        <v>3.1036269999999999</v>
      </c>
      <c r="Z4285">
        <v>197.0017</v>
      </c>
      <c r="AA4285">
        <v>723.12950000000001</v>
      </c>
      <c r="AB4285">
        <v>91.770960000000002</v>
      </c>
      <c r="AC4285">
        <v>5.1821329999999999E-2</v>
      </c>
      <c r="AD4285">
        <v>13.50212</v>
      </c>
      <c r="AE4285">
        <v>0.68267560000000005</v>
      </c>
      <c r="AF4285">
        <v>1313.0219999999999</v>
      </c>
      <c r="AG4285">
        <f>IFERROR(AH4285*0.1, "N/A")</f>
        <v>6.1177890000000001</v>
      </c>
      <c r="AH4285">
        <v>61.177889999999998</v>
      </c>
      <c r="AI4285">
        <v>202.6113</v>
      </c>
      <c r="AJ4285">
        <v>31</v>
      </c>
      <c r="AK4285">
        <v>44</v>
      </c>
    </row>
    <row r="4286" spans="1:37" x14ac:dyDescent="0.3">
      <c r="A4286">
        <v>4285</v>
      </c>
      <c r="B4286">
        <v>10.5</v>
      </c>
      <c r="C4286">
        <v>3.1208</v>
      </c>
      <c r="D4286">
        <v>6.4966600000000003</v>
      </c>
      <c r="E4286" t="s">
        <v>6711</v>
      </c>
      <c r="F4286" t="s">
        <v>6712</v>
      </c>
      <c r="G4286" t="s">
        <v>39</v>
      </c>
      <c r="H4286">
        <v>1987</v>
      </c>
      <c r="I4286">
        <v>27.1</v>
      </c>
      <c r="J4286">
        <v>6.7</v>
      </c>
      <c r="K4286">
        <v>69</v>
      </c>
      <c r="L4286">
        <v>11.76</v>
      </c>
      <c r="M4286">
        <v>32.200000000000003</v>
      </c>
      <c r="N4286">
        <v>22.5</v>
      </c>
      <c r="O4286">
        <v>9.6999999999999993</v>
      </c>
      <c r="P4286">
        <v>26.4</v>
      </c>
      <c r="Q4286">
        <v>27.8</v>
      </c>
      <c r="R4286">
        <v>28.5</v>
      </c>
      <c r="S4286">
        <v>25.4</v>
      </c>
      <c r="T4286">
        <v>1482</v>
      </c>
      <c r="U4286">
        <v>324</v>
      </c>
      <c r="V4286">
        <v>19</v>
      </c>
      <c r="W4286">
        <v>72</v>
      </c>
      <c r="X4286">
        <v>748</v>
      </c>
      <c r="Y4286">
        <v>79</v>
      </c>
      <c r="Z4286">
        <v>258</v>
      </c>
      <c r="AA4286">
        <v>405</v>
      </c>
      <c r="AB4286">
        <v>3.5462479999999998</v>
      </c>
      <c r="AC4286">
        <v>1.749212E-2</v>
      </c>
      <c r="AD4286">
        <v>0.81117470000000003</v>
      </c>
      <c r="AE4286">
        <v>0.79528310000000002</v>
      </c>
      <c r="AF4286">
        <v>5.0785340000000003</v>
      </c>
      <c r="AG4286">
        <f>IFERROR(AH4286*0.1, "N/A")</f>
        <v>5.7</v>
      </c>
      <c r="AH4286">
        <v>57</v>
      </c>
      <c r="AI4286">
        <v>158.8082</v>
      </c>
      <c r="AJ4286">
        <v>25.446770000000001</v>
      </c>
      <c r="AK4286">
        <v>56</v>
      </c>
    </row>
    <row r="4287" spans="1:37" x14ac:dyDescent="0.3">
      <c r="A4287">
        <v>4286</v>
      </c>
      <c r="B4287">
        <v>0</v>
      </c>
      <c r="C4287">
        <v>3.1208</v>
      </c>
      <c r="D4287">
        <v>6.4966600000000003</v>
      </c>
      <c r="E4287" t="s">
        <v>6711</v>
      </c>
      <c r="F4287" t="s">
        <v>6713</v>
      </c>
      <c r="G4287" t="s">
        <v>37</v>
      </c>
      <c r="H4287">
        <v>1987</v>
      </c>
      <c r="I4287">
        <v>27.1</v>
      </c>
      <c r="J4287">
        <v>6.7</v>
      </c>
      <c r="K4287">
        <v>69</v>
      </c>
      <c r="L4287">
        <v>11.76</v>
      </c>
      <c r="M4287">
        <v>32.200000000000003</v>
      </c>
      <c r="N4287">
        <v>22.5</v>
      </c>
      <c r="O4287">
        <v>9.6999999999999993</v>
      </c>
      <c r="P4287">
        <v>26.4</v>
      </c>
      <c r="Q4287">
        <v>27.8</v>
      </c>
      <c r="R4287">
        <v>28.5</v>
      </c>
      <c r="S4287">
        <v>25.4</v>
      </c>
      <c r="T4287">
        <v>1482</v>
      </c>
      <c r="U4287">
        <v>324</v>
      </c>
      <c r="V4287">
        <v>19</v>
      </c>
      <c r="W4287">
        <v>72</v>
      </c>
      <c r="X4287">
        <v>748</v>
      </c>
      <c r="Y4287">
        <v>79</v>
      </c>
      <c r="Z4287">
        <v>258</v>
      </c>
      <c r="AA4287">
        <v>405</v>
      </c>
      <c r="AB4287">
        <v>3.5462479999999998</v>
      </c>
      <c r="AC4287">
        <v>1.749212E-2</v>
      </c>
      <c r="AD4287">
        <v>0.81117470000000003</v>
      </c>
      <c r="AE4287">
        <v>0.79528310000000002</v>
      </c>
      <c r="AF4287">
        <v>5.0785340000000003</v>
      </c>
      <c r="AG4287">
        <f>IFERROR(AH4287*0.1, "N/A")</f>
        <v>5.7</v>
      </c>
      <c r="AH4287">
        <v>57</v>
      </c>
      <c r="AI4287">
        <v>158.8082</v>
      </c>
      <c r="AJ4287">
        <v>25.446770000000001</v>
      </c>
      <c r="AK4287">
        <v>56</v>
      </c>
    </row>
    <row r="4288" spans="1:37" x14ac:dyDescent="0.3">
      <c r="A4288">
        <v>4287</v>
      </c>
      <c r="B4288">
        <v>0</v>
      </c>
      <c r="C4288">
        <v>7.9833299999999996</v>
      </c>
      <c r="D4288">
        <v>5.7666700000000004</v>
      </c>
      <c r="E4288" t="s">
        <v>6363</v>
      </c>
      <c r="F4288" t="s">
        <v>6714</v>
      </c>
      <c r="G4288" t="s">
        <v>37</v>
      </c>
      <c r="H4288">
        <v>1991</v>
      </c>
      <c r="I4288">
        <v>27.356739999999999</v>
      </c>
      <c r="J4288">
        <v>8.6999999999999993</v>
      </c>
      <c r="K4288">
        <v>75.924689999999998</v>
      </c>
      <c r="L4288">
        <v>10.080349999999999</v>
      </c>
      <c r="M4288">
        <v>33.764270000000003</v>
      </c>
      <c r="N4288">
        <v>22.356739999999999</v>
      </c>
      <c r="O4288">
        <v>11.40753</v>
      </c>
      <c r="P4288">
        <v>25.95674</v>
      </c>
      <c r="Q4288">
        <v>27.80753</v>
      </c>
      <c r="R4288">
        <v>28.656739999999999</v>
      </c>
      <c r="S4288">
        <v>25.95674</v>
      </c>
      <c r="T4288">
        <v>2096.6109999999999</v>
      </c>
      <c r="U4288">
        <v>315.60599999999999</v>
      </c>
      <c r="V4288">
        <v>12</v>
      </c>
      <c r="W4288">
        <v>66</v>
      </c>
      <c r="X4288">
        <v>906.68129999999996</v>
      </c>
      <c r="Y4288">
        <v>71</v>
      </c>
      <c r="Z4288">
        <v>295.17340000000002</v>
      </c>
      <c r="AA4288">
        <v>906.68129999999996</v>
      </c>
      <c r="AB4288">
        <v>9.6640979999999992</v>
      </c>
      <c r="AC4288">
        <v>1.860475E-2</v>
      </c>
      <c r="AD4288">
        <v>3.3760340000000002</v>
      </c>
      <c r="AE4288">
        <v>0.65584050000000005</v>
      </c>
      <c r="AF4288">
        <v>23.001750000000001</v>
      </c>
      <c r="AG4288">
        <f>IFERROR(AH4288*0.1, "N/A")</f>
        <v>5.1248690000000003</v>
      </c>
      <c r="AH4288">
        <v>51.248690000000003</v>
      </c>
      <c r="AI4288">
        <v>188.7012</v>
      </c>
      <c r="AJ4288">
        <v>21.157620000000001</v>
      </c>
      <c r="AK4288">
        <v>61.97898</v>
      </c>
    </row>
    <row r="4289" spans="1:37" x14ac:dyDescent="0.3">
      <c r="A4289">
        <v>4288</v>
      </c>
      <c r="B4289">
        <v>8.9</v>
      </c>
      <c r="C4289">
        <v>6.4610750000000001</v>
      </c>
      <c r="D4289">
        <v>6.327661</v>
      </c>
      <c r="E4289" t="s">
        <v>6715</v>
      </c>
      <c r="F4289" t="s">
        <v>6716</v>
      </c>
      <c r="G4289" t="s">
        <v>39</v>
      </c>
      <c r="H4289">
        <v>1981</v>
      </c>
      <c r="I4289">
        <v>25.6</v>
      </c>
      <c r="J4289">
        <v>9</v>
      </c>
      <c r="K4289">
        <v>75</v>
      </c>
      <c r="L4289">
        <v>11.11</v>
      </c>
      <c r="M4289">
        <v>32.299999999999997</v>
      </c>
      <c r="N4289">
        <v>20.3</v>
      </c>
      <c r="O4289">
        <v>12</v>
      </c>
      <c r="P4289">
        <v>24.1</v>
      </c>
      <c r="Q4289">
        <v>26</v>
      </c>
      <c r="R4289">
        <v>27</v>
      </c>
      <c r="S4289">
        <v>24.1</v>
      </c>
      <c r="T4289">
        <v>1803</v>
      </c>
      <c r="U4289">
        <v>323</v>
      </c>
      <c r="V4289">
        <v>11</v>
      </c>
      <c r="W4289">
        <v>68</v>
      </c>
      <c r="X4289">
        <v>772</v>
      </c>
      <c r="Y4289">
        <v>57</v>
      </c>
      <c r="Z4289">
        <v>269</v>
      </c>
      <c r="AA4289">
        <v>772</v>
      </c>
      <c r="AB4289">
        <v>13.962249999999999</v>
      </c>
      <c r="AC4289">
        <v>2.1657940000000001E-2</v>
      </c>
      <c r="AD4289">
        <v>1.9747490000000001</v>
      </c>
      <c r="AE4289">
        <v>0.71120130000000004</v>
      </c>
      <c r="AF4289">
        <v>265.75</v>
      </c>
      <c r="AG4289">
        <f>IFERROR(AH4289*0.1, "N/A")</f>
        <v>5.9</v>
      </c>
      <c r="AH4289">
        <v>59</v>
      </c>
      <c r="AI4289">
        <v>112.23950000000001</v>
      </c>
      <c r="AJ4289">
        <v>13</v>
      </c>
      <c r="AK4289">
        <v>80.671329999999998</v>
      </c>
    </row>
    <row r="4290" spans="1:37" x14ac:dyDescent="0.3">
      <c r="A4290">
        <v>4289</v>
      </c>
      <c r="B4290">
        <v>21</v>
      </c>
      <c r="C4290">
        <v>5.1251559999999996</v>
      </c>
      <c r="D4290">
        <v>6.4505470000000003</v>
      </c>
      <c r="E4290" t="s">
        <v>6717</v>
      </c>
      <c r="F4290" t="s">
        <v>6718</v>
      </c>
      <c r="G4290" t="s">
        <v>39</v>
      </c>
      <c r="H4290">
        <v>1981</v>
      </c>
      <c r="I4290">
        <v>26.825220000000002</v>
      </c>
      <c r="J4290">
        <v>8.5</v>
      </c>
      <c r="K4290">
        <v>73.036519999999996</v>
      </c>
      <c r="L4290">
        <v>10.74311</v>
      </c>
      <c r="M4290">
        <v>33.22522</v>
      </c>
      <c r="N4290">
        <v>21.728870000000001</v>
      </c>
      <c r="O4290">
        <v>11.49635</v>
      </c>
      <c r="P4290">
        <v>25.299479999999999</v>
      </c>
      <c r="Q4290">
        <v>27.325220000000002</v>
      </c>
      <c r="R4290">
        <v>28.125219999999999</v>
      </c>
      <c r="S4290">
        <v>25.299479999999999</v>
      </c>
      <c r="T4290">
        <v>1958.21</v>
      </c>
      <c r="U4290">
        <v>326.07299999999998</v>
      </c>
      <c r="V4290">
        <v>12</v>
      </c>
      <c r="W4290">
        <v>65.288700000000006</v>
      </c>
      <c r="X4290">
        <v>835.56870000000004</v>
      </c>
      <c r="Y4290">
        <v>78</v>
      </c>
      <c r="Z4290">
        <v>310.4957</v>
      </c>
      <c r="AA4290">
        <v>835.56870000000004</v>
      </c>
      <c r="AB4290">
        <v>18.22991</v>
      </c>
      <c r="AC4290">
        <v>2.316503E-2</v>
      </c>
      <c r="AD4290">
        <v>6.1489089999999997</v>
      </c>
      <c r="AE4290">
        <v>0.2510424</v>
      </c>
      <c r="AF4290">
        <v>23.420870000000001</v>
      </c>
      <c r="AG4290">
        <f>IFERROR(AH4290*0.1, "N/A")</f>
        <v>5.2</v>
      </c>
      <c r="AH4290">
        <v>52</v>
      </c>
      <c r="AI4290">
        <v>320.78140000000002</v>
      </c>
      <c r="AJ4290">
        <v>22.742609999999999</v>
      </c>
      <c r="AK4290">
        <v>59.742609999999999</v>
      </c>
    </row>
    <row r="4291" spans="1:37" x14ac:dyDescent="0.3">
      <c r="A4291">
        <v>4290</v>
      </c>
      <c r="B4291">
        <v>0</v>
      </c>
      <c r="C4291">
        <v>3.4668749999999999</v>
      </c>
      <c r="D4291">
        <v>6.5901529999999999</v>
      </c>
      <c r="E4291" t="s">
        <v>6719</v>
      </c>
      <c r="F4291" t="s">
        <v>6720</v>
      </c>
      <c r="G4291" t="s">
        <v>37</v>
      </c>
      <c r="H4291">
        <v>1981</v>
      </c>
      <c r="I4291" t="s">
        <v>729</v>
      </c>
      <c r="J4291" t="s">
        <v>729</v>
      </c>
      <c r="K4291" t="s">
        <v>729</v>
      </c>
      <c r="L4291" t="s">
        <v>729</v>
      </c>
      <c r="M4291" t="s">
        <v>729</v>
      </c>
      <c r="N4291" t="s">
        <v>729</v>
      </c>
      <c r="O4291" t="s">
        <v>729</v>
      </c>
      <c r="P4291" t="s">
        <v>729</v>
      </c>
      <c r="Q4291" t="s">
        <v>729</v>
      </c>
      <c r="R4291" t="s">
        <v>729</v>
      </c>
      <c r="S4291" t="s">
        <v>729</v>
      </c>
      <c r="T4291" t="s">
        <v>729</v>
      </c>
      <c r="U4291" t="s">
        <v>729</v>
      </c>
      <c r="V4291" t="s">
        <v>729</v>
      </c>
      <c r="W4291" t="s">
        <v>729</v>
      </c>
      <c r="X4291" t="s">
        <v>729</v>
      </c>
      <c r="Y4291" t="s">
        <v>729</v>
      </c>
      <c r="Z4291" t="s">
        <v>729</v>
      </c>
      <c r="AA4291" t="s">
        <v>729</v>
      </c>
      <c r="AB4291" t="s">
        <v>729</v>
      </c>
      <c r="AC4291" t="s">
        <v>729</v>
      </c>
      <c r="AD4291" t="s">
        <v>729</v>
      </c>
      <c r="AE4291" t="s">
        <v>729</v>
      </c>
      <c r="AF4291" t="s">
        <v>729</v>
      </c>
      <c r="AG4291" t="str">
        <f>IFERROR(AH4291*0.1, "N/A")</f>
        <v>N/A</v>
      </c>
      <c r="AH4291" t="s">
        <v>729</v>
      </c>
      <c r="AI4291" t="s">
        <v>729</v>
      </c>
      <c r="AJ4291" t="s">
        <v>729</v>
      </c>
      <c r="AK4291" t="s">
        <v>729</v>
      </c>
    </row>
    <row r="4292" spans="1:37" x14ac:dyDescent="0.3">
      <c r="A4292">
        <v>4291</v>
      </c>
      <c r="B4292">
        <v>0</v>
      </c>
      <c r="C4292">
        <v>3.355264</v>
      </c>
      <c r="D4292">
        <v>6.4433689999999997</v>
      </c>
      <c r="E4292" t="s">
        <v>6721</v>
      </c>
      <c r="F4292" t="s">
        <v>6722</v>
      </c>
      <c r="G4292" t="s">
        <v>37</v>
      </c>
      <c r="H4292">
        <v>1981</v>
      </c>
      <c r="I4292">
        <v>27</v>
      </c>
      <c r="J4292">
        <v>6.4</v>
      </c>
      <c r="K4292">
        <v>69</v>
      </c>
      <c r="L4292">
        <v>11.05</v>
      </c>
      <c r="M4292">
        <v>31.8</v>
      </c>
      <c r="N4292">
        <v>22.6</v>
      </c>
      <c r="O4292">
        <v>9.1999999999999993</v>
      </c>
      <c r="P4292">
        <v>26.4</v>
      </c>
      <c r="Q4292">
        <v>27.6</v>
      </c>
      <c r="R4292">
        <v>28.3</v>
      </c>
      <c r="S4292">
        <v>25.4</v>
      </c>
      <c r="T4292">
        <v>1658</v>
      </c>
      <c r="U4292">
        <v>377</v>
      </c>
      <c r="V4292">
        <v>21</v>
      </c>
      <c r="W4292">
        <v>74</v>
      </c>
      <c r="X4292">
        <v>863</v>
      </c>
      <c r="Y4292">
        <v>87</v>
      </c>
      <c r="Z4292">
        <v>278</v>
      </c>
      <c r="AA4292">
        <v>473</v>
      </c>
      <c r="AB4292">
        <v>5.512696</v>
      </c>
      <c r="AC4292">
        <v>7.748845E-2</v>
      </c>
      <c r="AD4292">
        <v>1.6814119999999999</v>
      </c>
      <c r="AE4292">
        <v>0.93972840000000002</v>
      </c>
      <c r="AF4292">
        <v>5.5756519999999998</v>
      </c>
      <c r="AG4292">
        <f>IFERROR(AH4292*0.1, "N/A")</f>
        <v>6.6860870000000006</v>
      </c>
      <c r="AH4292">
        <v>66.860870000000006</v>
      </c>
      <c r="AI4292">
        <v>170.33789999999999</v>
      </c>
      <c r="AJ4292">
        <v>32</v>
      </c>
      <c r="AK4292">
        <v>45.965220000000002</v>
      </c>
    </row>
    <row r="4293" spans="1:37" x14ac:dyDescent="0.3">
      <c r="A4293">
        <v>4292</v>
      </c>
      <c r="B4293">
        <v>81.599999999999994</v>
      </c>
      <c r="C4293">
        <v>3.9166110000000001</v>
      </c>
      <c r="D4293">
        <v>7.3962940000000001</v>
      </c>
      <c r="E4293" t="s">
        <v>6723</v>
      </c>
      <c r="F4293" t="s">
        <v>6724</v>
      </c>
      <c r="G4293" t="s">
        <v>39</v>
      </c>
      <c r="H4293">
        <v>2005</v>
      </c>
      <c r="I4293">
        <v>26.406269999999999</v>
      </c>
      <c r="J4293">
        <v>9.3000000000000007</v>
      </c>
      <c r="K4293">
        <v>70</v>
      </c>
      <c r="L4293">
        <v>12.900919999999999</v>
      </c>
      <c r="M4293">
        <v>33.806269999999998</v>
      </c>
      <c r="N4293">
        <v>20.65314</v>
      </c>
      <c r="O4293">
        <v>13.15314</v>
      </c>
      <c r="P4293">
        <v>25.606269999999999</v>
      </c>
      <c r="Q4293">
        <v>27.106269999999999</v>
      </c>
      <c r="R4293">
        <v>27.906269999999999</v>
      </c>
      <c r="S4293">
        <v>24.506270000000001</v>
      </c>
      <c r="T4293">
        <v>1315.28</v>
      </c>
      <c r="U4293">
        <v>188</v>
      </c>
      <c r="V4293">
        <v>6</v>
      </c>
      <c r="W4293">
        <v>63.468640000000001</v>
      </c>
      <c r="X4293">
        <v>517.46860000000004</v>
      </c>
      <c r="Y4293">
        <v>40</v>
      </c>
      <c r="Z4293">
        <v>251.46860000000001</v>
      </c>
      <c r="AA4293">
        <v>484.87459999999999</v>
      </c>
      <c r="AB4293">
        <v>30.786059999999999</v>
      </c>
      <c r="AC4293">
        <v>3.0087010000000001E-2</v>
      </c>
      <c r="AD4293">
        <v>4.9703039999999996</v>
      </c>
      <c r="AE4293">
        <v>0.91350710000000002</v>
      </c>
      <c r="AF4293">
        <v>229.88499999999999</v>
      </c>
      <c r="AG4293">
        <f>IFERROR(AH4293*0.1, "N/A")</f>
        <v>6.8374560000000004</v>
      </c>
      <c r="AH4293">
        <v>68.374560000000002</v>
      </c>
      <c r="AI4293">
        <v>272.9939</v>
      </c>
      <c r="AJ4293">
        <v>20.82056</v>
      </c>
      <c r="AK4293">
        <v>56.663760000000003</v>
      </c>
    </row>
    <row r="4294" spans="1:37" x14ac:dyDescent="0.3">
      <c r="A4294">
        <v>4293</v>
      </c>
      <c r="B4294">
        <v>35.5</v>
      </c>
      <c r="C4294">
        <v>5.1484399999999999</v>
      </c>
      <c r="D4294">
        <v>7.0920300000000003</v>
      </c>
      <c r="E4294" t="s">
        <v>6725</v>
      </c>
      <c r="F4294" t="s">
        <v>6726</v>
      </c>
      <c r="G4294" t="s">
        <v>39</v>
      </c>
      <c r="H4294">
        <v>2004</v>
      </c>
      <c r="I4294">
        <v>25.5</v>
      </c>
      <c r="J4294">
        <v>9.3000000000000007</v>
      </c>
      <c r="K4294">
        <v>73.012169999999998</v>
      </c>
      <c r="L4294">
        <v>12.035500000000001</v>
      </c>
      <c r="M4294">
        <v>32.697569999999999</v>
      </c>
      <c r="N4294">
        <v>20</v>
      </c>
      <c r="O4294">
        <v>12.697570000000001</v>
      </c>
      <c r="P4294">
        <v>23.8</v>
      </c>
      <c r="Q4294">
        <v>26.1</v>
      </c>
      <c r="R4294">
        <v>26.99878</v>
      </c>
      <c r="S4294">
        <v>23.8</v>
      </c>
      <c r="T4294">
        <v>1536.0730000000001</v>
      </c>
      <c r="U4294">
        <v>257.01220000000001</v>
      </c>
      <c r="V4294">
        <v>9</v>
      </c>
      <c r="W4294">
        <v>62.012169999999998</v>
      </c>
      <c r="X4294">
        <v>642.03650000000005</v>
      </c>
      <c r="Y4294">
        <v>64</v>
      </c>
      <c r="Z4294">
        <v>275</v>
      </c>
      <c r="AA4294">
        <v>642.03650000000005</v>
      </c>
      <c r="AB4294">
        <v>2.5274760000000001</v>
      </c>
      <c r="AC4294">
        <v>1.0779749999999999</v>
      </c>
      <c r="AD4294">
        <v>3.7015099999999999</v>
      </c>
      <c r="AE4294">
        <v>0.82228920000000005</v>
      </c>
      <c r="AF4294">
        <v>296.1687</v>
      </c>
      <c r="AG4294">
        <f>IFERROR(AH4294*0.1, "N/A")</f>
        <v>5.6678260000000007</v>
      </c>
      <c r="AH4294">
        <v>56.678260000000002</v>
      </c>
      <c r="AI4294">
        <v>210.88210000000001</v>
      </c>
      <c r="AJ4294">
        <v>14</v>
      </c>
      <c r="AK4294">
        <v>65.321740000000005</v>
      </c>
    </row>
    <row r="4295" spans="1:37" x14ac:dyDescent="0.3">
      <c r="A4295">
        <v>4294</v>
      </c>
      <c r="B4295">
        <v>3.6</v>
      </c>
      <c r="C4295">
        <v>4.7795399999999999</v>
      </c>
      <c r="D4295">
        <v>6.5027799999999996</v>
      </c>
      <c r="E4295" t="s">
        <v>6727</v>
      </c>
      <c r="F4295" t="s">
        <v>6728</v>
      </c>
      <c r="G4295" t="s">
        <v>39</v>
      </c>
      <c r="H4295">
        <v>2004</v>
      </c>
      <c r="I4295">
        <v>26.9</v>
      </c>
      <c r="J4295">
        <v>8.1999999999999993</v>
      </c>
      <c r="K4295">
        <v>73</v>
      </c>
      <c r="L4295">
        <v>10.95</v>
      </c>
      <c r="M4295">
        <v>33.200000000000003</v>
      </c>
      <c r="N4295">
        <v>22</v>
      </c>
      <c r="O4295">
        <v>11.2</v>
      </c>
      <c r="P4295">
        <v>26.3</v>
      </c>
      <c r="Q4295">
        <v>27.4</v>
      </c>
      <c r="R4295">
        <v>28.2</v>
      </c>
      <c r="S4295">
        <v>25.3</v>
      </c>
      <c r="T4295">
        <v>1904</v>
      </c>
      <c r="U4295">
        <v>316</v>
      </c>
      <c r="V4295">
        <v>14</v>
      </c>
      <c r="W4295">
        <v>65</v>
      </c>
      <c r="X4295">
        <v>822</v>
      </c>
      <c r="Y4295">
        <v>80</v>
      </c>
      <c r="Z4295">
        <v>305</v>
      </c>
      <c r="AA4295">
        <v>768</v>
      </c>
      <c r="AB4295">
        <v>26.967770000000002</v>
      </c>
      <c r="AC4295">
        <v>2.6473279999999998E-2</v>
      </c>
      <c r="AD4295">
        <v>1.5450790000000001</v>
      </c>
      <c r="AE4295">
        <v>0.80028189999999999</v>
      </c>
      <c r="AF4295">
        <v>30.794429999999998</v>
      </c>
      <c r="AG4295">
        <f>IFERROR(AH4295*0.1, "N/A")</f>
        <v>5.7782230000000006</v>
      </c>
      <c r="AH4295">
        <v>57.782229999999998</v>
      </c>
      <c r="AI4295">
        <v>163.79830000000001</v>
      </c>
      <c r="AJ4295">
        <v>23.16376</v>
      </c>
      <c r="AK4295">
        <v>57.45993</v>
      </c>
    </row>
    <row r="4296" spans="1:37" x14ac:dyDescent="0.3">
      <c r="A4296">
        <v>4295</v>
      </c>
      <c r="B4296">
        <v>43</v>
      </c>
      <c r="C4296">
        <v>5.1483499999999998</v>
      </c>
      <c r="D4296">
        <v>7.2514500000000002</v>
      </c>
      <c r="E4296" t="s">
        <v>6729</v>
      </c>
      <c r="F4296" t="s">
        <v>6730</v>
      </c>
      <c r="G4296" t="s">
        <v>39</v>
      </c>
      <c r="H4296">
        <v>2004</v>
      </c>
      <c r="I4296">
        <v>25.4</v>
      </c>
      <c r="J4296">
        <v>9.6</v>
      </c>
      <c r="K4296">
        <v>73</v>
      </c>
      <c r="L4296">
        <v>12.29</v>
      </c>
      <c r="M4296">
        <v>32.700000000000003</v>
      </c>
      <c r="N4296">
        <v>19.600000000000001</v>
      </c>
      <c r="O4296">
        <v>13.1</v>
      </c>
      <c r="P4296">
        <v>23.6</v>
      </c>
      <c r="Q4296">
        <v>25.9</v>
      </c>
      <c r="R4296">
        <v>26.9</v>
      </c>
      <c r="S4296">
        <v>23.6</v>
      </c>
      <c r="T4296">
        <v>1458</v>
      </c>
      <c r="U4296">
        <v>247</v>
      </c>
      <c r="V4296">
        <v>9</v>
      </c>
      <c r="W4296">
        <v>63</v>
      </c>
      <c r="X4296">
        <v>604</v>
      </c>
      <c r="Y4296">
        <v>60</v>
      </c>
      <c r="Z4296">
        <v>262</v>
      </c>
      <c r="AA4296">
        <v>604</v>
      </c>
      <c r="AB4296">
        <v>13.98884</v>
      </c>
      <c r="AC4296">
        <v>1.6266070000000001E-2</v>
      </c>
      <c r="AD4296">
        <v>1.5165329999999999</v>
      </c>
      <c r="AE4296">
        <v>0.8497574</v>
      </c>
      <c r="AF4296">
        <v>335.69810000000001</v>
      </c>
      <c r="AG4296">
        <f>IFERROR(AH4296*0.1, "N/A")</f>
        <v>5.7</v>
      </c>
      <c r="AH4296">
        <v>57</v>
      </c>
      <c r="AI4296">
        <v>69.851830000000007</v>
      </c>
      <c r="AJ4296">
        <v>13.53229</v>
      </c>
      <c r="AK4296">
        <v>71.410120000000006</v>
      </c>
    </row>
    <row r="4297" spans="1:37" x14ac:dyDescent="0.3">
      <c r="A4297">
        <v>4296</v>
      </c>
      <c r="B4297">
        <v>78.400000000000006</v>
      </c>
      <c r="C4297">
        <v>5.2567300000000001</v>
      </c>
      <c r="D4297">
        <v>7.3733599999999999</v>
      </c>
      <c r="E4297" t="s">
        <v>6731</v>
      </c>
      <c r="F4297" t="s">
        <v>6732</v>
      </c>
      <c r="G4297" t="s">
        <v>39</v>
      </c>
      <c r="H4297">
        <v>2004</v>
      </c>
      <c r="I4297">
        <v>25.4</v>
      </c>
      <c r="J4297">
        <v>9.8000000000000007</v>
      </c>
      <c r="K4297">
        <v>72</v>
      </c>
      <c r="L4297">
        <v>12.51</v>
      </c>
      <c r="M4297">
        <v>32.9</v>
      </c>
      <c r="N4297">
        <v>19.399999999999999</v>
      </c>
      <c r="O4297">
        <v>13.5</v>
      </c>
      <c r="P4297">
        <v>23.6</v>
      </c>
      <c r="Q4297">
        <v>25.9</v>
      </c>
      <c r="R4297">
        <v>27</v>
      </c>
      <c r="S4297">
        <v>23.6</v>
      </c>
      <c r="T4297">
        <v>1396</v>
      </c>
      <c r="U4297">
        <v>242</v>
      </c>
      <c r="V4297">
        <v>8</v>
      </c>
      <c r="W4297">
        <v>63</v>
      </c>
      <c r="X4297">
        <v>581</v>
      </c>
      <c r="Y4297">
        <v>57</v>
      </c>
      <c r="Z4297">
        <v>248</v>
      </c>
      <c r="AA4297">
        <v>581</v>
      </c>
      <c r="AB4297">
        <v>24.773569999999999</v>
      </c>
      <c r="AC4297">
        <v>2.0260050000000002E-2</v>
      </c>
      <c r="AD4297">
        <v>1.198742</v>
      </c>
      <c r="AE4297">
        <v>0.70701630000000004</v>
      </c>
      <c r="AF4297">
        <v>356.45740000000001</v>
      </c>
      <c r="AG4297">
        <f>IFERROR(AH4297*0.1, "N/A")</f>
        <v>5.7052170000000002</v>
      </c>
      <c r="AH4297">
        <v>57.052169999999997</v>
      </c>
      <c r="AI4297">
        <v>185.0515</v>
      </c>
      <c r="AJ4297">
        <v>14.97391</v>
      </c>
      <c r="AK4297">
        <v>71.973910000000004</v>
      </c>
    </row>
    <row r="4298" spans="1:37" x14ac:dyDescent="0.3">
      <c r="A4298">
        <v>4297</v>
      </c>
      <c r="B4298">
        <v>3.3</v>
      </c>
      <c r="C4298">
        <v>5.7650199999999998</v>
      </c>
      <c r="D4298">
        <v>7.6585999999999999</v>
      </c>
      <c r="E4298" t="s">
        <v>6733</v>
      </c>
      <c r="F4298" t="s">
        <v>6734</v>
      </c>
      <c r="G4298" t="s">
        <v>39</v>
      </c>
      <c r="H4298">
        <v>2004</v>
      </c>
      <c r="I4298">
        <v>24.6</v>
      </c>
      <c r="J4298">
        <v>10.199999999999999</v>
      </c>
      <c r="K4298">
        <v>68.121949999999998</v>
      </c>
      <c r="L4298">
        <v>13.59488</v>
      </c>
      <c r="M4298">
        <v>32.6</v>
      </c>
      <c r="N4298">
        <v>17.812190000000001</v>
      </c>
      <c r="O4298">
        <v>14.78781</v>
      </c>
      <c r="P4298">
        <v>22.9</v>
      </c>
      <c r="Q4298">
        <v>24.912189999999999</v>
      </c>
      <c r="R4298">
        <v>26.5</v>
      </c>
      <c r="S4298">
        <v>22.9</v>
      </c>
      <c r="T4298">
        <v>1293</v>
      </c>
      <c r="U4298">
        <v>238</v>
      </c>
      <c r="V4298">
        <v>8</v>
      </c>
      <c r="W4298">
        <v>68</v>
      </c>
      <c r="X4298">
        <v>551</v>
      </c>
      <c r="Y4298">
        <v>47</v>
      </c>
      <c r="Z4298">
        <v>212</v>
      </c>
      <c r="AA4298">
        <v>551</v>
      </c>
      <c r="AB4298">
        <v>5.461328</v>
      </c>
      <c r="AC4298">
        <v>9.1081409999999998</v>
      </c>
      <c r="AD4298">
        <v>5.0155149999999997</v>
      </c>
      <c r="AE4298">
        <v>0.393183</v>
      </c>
      <c r="AF4298">
        <v>445.78050000000002</v>
      </c>
      <c r="AG4298">
        <f>IFERROR(AH4298*0.1, "N/A")</f>
        <v>5.4</v>
      </c>
      <c r="AH4298">
        <v>54</v>
      </c>
      <c r="AI4298">
        <v>177.41220000000001</v>
      </c>
      <c r="AJ4298">
        <v>22.174219999999998</v>
      </c>
      <c r="AK4298">
        <v>60.825780000000002</v>
      </c>
    </row>
    <row r="4299" spans="1:37" x14ac:dyDescent="0.3">
      <c r="A4299">
        <v>4298</v>
      </c>
      <c r="B4299">
        <v>4.9000000000000004</v>
      </c>
      <c r="C4299">
        <v>5.76708</v>
      </c>
      <c r="D4299">
        <v>7.5245100000000003</v>
      </c>
      <c r="E4299" t="s">
        <v>6735</v>
      </c>
      <c r="F4299" t="s">
        <v>6736</v>
      </c>
      <c r="G4299" t="s">
        <v>39</v>
      </c>
      <c r="H4299">
        <v>2004</v>
      </c>
      <c r="I4299">
        <v>24.998609999999999</v>
      </c>
      <c r="J4299">
        <v>10.1</v>
      </c>
      <c r="K4299">
        <v>69.062610000000006</v>
      </c>
      <c r="L4299">
        <v>13.240769999999999</v>
      </c>
      <c r="M4299">
        <v>32.798609999999996</v>
      </c>
      <c r="N4299">
        <v>18.304870000000001</v>
      </c>
      <c r="O4299">
        <v>14.493740000000001</v>
      </c>
      <c r="P4299">
        <v>23.199310000000001</v>
      </c>
      <c r="Q4299">
        <v>25.210439999999998</v>
      </c>
      <c r="R4299">
        <v>26.79861</v>
      </c>
      <c r="S4299">
        <v>23.199310000000001</v>
      </c>
      <c r="T4299">
        <v>1303.8820000000001</v>
      </c>
      <c r="U4299">
        <v>238.9513</v>
      </c>
      <c r="V4299">
        <v>8</v>
      </c>
      <c r="W4299">
        <v>67</v>
      </c>
      <c r="X4299">
        <v>553.95830000000001</v>
      </c>
      <c r="Y4299">
        <v>49</v>
      </c>
      <c r="Z4299">
        <v>216.95830000000001</v>
      </c>
      <c r="AA4299">
        <v>553.95830000000001</v>
      </c>
      <c r="AB4299">
        <v>22.32122</v>
      </c>
      <c r="AC4299">
        <v>0.21641830000000001</v>
      </c>
      <c r="AD4299">
        <v>2.1706750000000001</v>
      </c>
      <c r="AE4299">
        <v>0.82758920000000002</v>
      </c>
      <c r="AF4299">
        <v>396.18259999999998</v>
      </c>
      <c r="AG4299">
        <f>IFERROR(AH4299*0.1, "N/A")</f>
        <v>6.0704349999999998</v>
      </c>
      <c r="AH4299">
        <v>60.704349999999998</v>
      </c>
      <c r="AI4299">
        <v>83.347880000000004</v>
      </c>
      <c r="AJ4299">
        <v>18.309570000000001</v>
      </c>
      <c r="AK4299">
        <v>61.711300000000001</v>
      </c>
    </row>
    <row r="4300" spans="1:37" x14ac:dyDescent="0.3">
      <c r="A4300">
        <v>4299</v>
      </c>
      <c r="B4300">
        <v>13.3</v>
      </c>
      <c r="C4300">
        <v>5.68811</v>
      </c>
      <c r="D4300">
        <v>7.4438399999999998</v>
      </c>
      <c r="E4300" t="s">
        <v>6737</v>
      </c>
      <c r="F4300" t="s">
        <v>6738</v>
      </c>
      <c r="G4300" t="s">
        <v>39</v>
      </c>
      <c r="H4300">
        <v>2004</v>
      </c>
      <c r="I4300">
        <v>25.3</v>
      </c>
      <c r="J4300">
        <v>10</v>
      </c>
      <c r="K4300">
        <v>69</v>
      </c>
      <c r="L4300">
        <v>13.19</v>
      </c>
      <c r="M4300">
        <v>33.1</v>
      </c>
      <c r="N4300">
        <v>18.8</v>
      </c>
      <c r="O4300">
        <v>14.3</v>
      </c>
      <c r="P4300">
        <v>23.6</v>
      </c>
      <c r="Q4300">
        <v>25.6</v>
      </c>
      <c r="R4300">
        <v>27.1</v>
      </c>
      <c r="S4300">
        <v>23.6</v>
      </c>
      <c r="T4300">
        <v>1320</v>
      </c>
      <c r="U4300">
        <v>240</v>
      </c>
      <c r="V4300">
        <v>8</v>
      </c>
      <c r="W4300">
        <v>66</v>
      </c>
      <c r="X4300">
        <v>561</v>
      </c>
      <c r="Y4300">
        <v>51</v>
      </c>
      <c r="Z4300">
        <v>224</v>
      </c>
      <c r="AA4300">
        <v>561</v>
      </c>
      <c r="AB4300">
        <v>26.194109999999998</v>
      </c>
      <c r="AC4300">
        <v>1.387854E-2</v>
      </c>
      <c r="AD4300">
        <v>2.1042800000000002</v>
      </c>
      <c r="AE4300">
        <v>0.62408129999999995</v>
      </c>
      <c r="AF4300">
        <v>332.63720000000001</v>
      </c>
      <c r="AG4300">
        <f>IFERROR(AH4300*0.1, "N/A")</f>
        <v>5.7</v>
      </c>
      <c r="AH4300">
        <v>57</v>
      </c>
      <c r="AI4300">
        <v>257.1173</v>
      </c>
      <c r="AJ4300">
        <v>18</v>
      </c>
      <c r="AK4300">
        <v>65</v>
      </c>
    </row>
    <row r="4301" spans="1:37" x14ac:dyDescent="0.3">
      <c r="A4301">
        <v>4300</v>
      </c>
      <c r="B4301">
        <v>3.7</v>
      </c>
      <c r="C4301">
        <v>5.9084700000000003</v>
      </c>
      <c r="D4301">
        <v>7.4496200000000004</v>
      </c>
      <c r="E4301" t="s">
        <v>6739</v>
      </c>
      <c r="F4301" t="s">
        <v>6740</v>
      </c>
      <c r="G4301" t="s">
        <v>39</v>
      </c>
      <c r="H4301">
        <v>2004</v>
      </c>
      <c r="I4301">
        <v>24.846699999999998</v>
      </c>
      <c r="J4301">
        <v>10</v>
      </c>
      <c r="K4301">
        <v>69</v>
      </c>
      <c r="L4301">
        <v>13.19337</v>
      </c>
      <c r="M4301">
        <v>32.646700000000003</v>
      </c>
      <c r="N4301">
        <v>18.31493</v>
      </c>
      <c r="O4301">
        <v>14.331770000000001</v>
      </c>
      <c r="P4301">
        <v>23.205729999999999</v>
      </c>
      <c r="Q4301">
        <v>25.187670000000001</v>
      </c>
      <c r="R4301">
        <v>26.719439999999999</v>
      </c>
      <c r="S4301">
        <v>23.205729999999999</v>
      </c>
      <c r="T4301">
        <v>1309.7739999999999</v>
      </c>
      <c r="U4301">
        <v>240.4288</v>
      </c>
      <c r="V4301">
        <v>8.6822920000000003</v>
      </c>
      <c r="W4301">
        <v>67</v>
      </c>
      <c r="X4301">
        <v>554.17529999999999</v>
      </c>
      <c r="Y4301">
        <v>48.682290000000002</v>
      </c>
      <c r="Z4301">
        <v>216.70140000000001</v>
      </c>
      <c r="AA4301">
        <v>554.17529999999999</v>
      </c>
      <c r="AB4301">
        <v>4.1173640000000002</v>
      </c>
      <c r="AC4301">
        <v>0.29762739999999999</v>
      </c>
      <c r="AD4301">
        <v>1.809388</v>
      </c>
      <c r="AE4301">
        <v>0.66670470000000004</v>
      </c>
      <c r="AF4301">
        <v>354.96179999999998</v>
      </c>
      <c r="AG4301">
        <f>IFERROR(AH4301*0.1, "N/A")</f>
        <v>5.7541670000000007</v>
      </c>
      <c r="AH4301">
        <v>57.541670000000003</v>
      </c>
      <c r="AI4301">
        <v>125.31189999999999</v>
      </c>
      <c r="AJ4301">
        <v>22.828130000000002</v>
      </c>
      <c r="AK4301">
        <v>56.89931</v>
      </c>
    </row>
    <row r="4302" spans="1:37" x14ac:dyDescent="0.3">
      <c r="A4302">
        <v>4301</v>
      </c>
      <c r="B4302">
        <v>41.6</v>
      </c>
      <c r="C4302">
        <v>4.9931700000000001</v>
      </c>
      <c r="D4302">
        <v>6.25319</v>
      </c>
      <c r="E4302" t="s">
        <v>6741</v>
      </c>
      <c r="F4302" t="s">
        <v>6742</v>
      </c>
      <c r="G4302" t="s">
        <v>39</v>
      </c>
      <c r="H4302">
        <v>2004</v>
      </c>
      <c r="I4302">
        <v>26.9</v>
      </c>
      <c r="J4302">
        <v>8.1</v>
      </c>
      <c r="K4302">
        <v>74</v>
      </c>
      <c r="L4302">
        <v>10.47</v>
      </c>
      <c r="M4302">
        <v>33</v>
      </c>
      <c r="N4302">
        <v>22.1</v>
      </c>
      <c r="O4302">
        <v>10.9</v>
      </c>
      <c r="P4302">
        <v>26.3</v>
      </c>
      <c r="Q4302">
        <v>27.4</v>
      </c>
      <c r="R4302">
        <v>28.1</v>
      </c>
      <c r="S4302">
        <v>25.3</v>
      </c>
      <c r="T4302">
        <v>2135</v>
      </c>
      <c r="U4302">
        <v>363</v>
      </c>
      <c r="V4302">
        <v>16</v>
      </c>
      <c r="W4302">
        <v>66</v>
      </c>
      <c r="X4302">
        <v>917</v>
      </c>
      <c r="Y4302">
        <v>90</v>
      </c>
      <c r="Z4302">
        <v>332</v>
      </c>
      <c r="AA4302">
        <v>888</v>
      </c>
      <c r="AB4302">
        <v>0.10680630000000001</v>
      </c>
      <c r="AC4302">
        <v>3.1367020000000002E-2</v>
      </c>
      <c r="AD4302">
        <v>1.4055219999999999</v>
      </c>
      <c r="AE4302">
        <v>0.55696199999999996</v>
      </c>
      <c r="AF4302">
        <v>6.4554970000000003</v>
      </c>
      <c r="AG4302">
        <f>IFERROR(AH4302*0.1, "N/A")</f>
        <v>4.8598600000000003</v>
      </c>
      <c r="AH4302">
        <v>48.598599999999998</v>
      </c>
      <c r="AI4302">
        <v>147.5634</v>
      </c>
      <c r="AJ4302">
        <v>25.0733</v>
      </c>
      <c r="AK4302">
        <v>59.553229999999999</v>
      </c>
    </row>
    <row r="4303" spans="1:37" x14ac:dyDescent="0.3">
      <c r="A4303">
        <v>4302</v>
      </c>
      <c r="B4303">
        <v>22.9</v>
      </c>
      <c r="C4303">
        <v>5.0018099999999999</v>
      </c>
      <c r="D4303">
        <v>6.51898</v>
      </c>
      <c r="E4303" t="s">
        <v>6743</v>
      </c>
      <c r="F4303" t="s">
        <v>6744</v>
      </c>
      <c r="G4303" t="s">
        <v>39</v>
      </c>
      <c r="H4303">
        <v>2004</v>
      </c>
      <c r="I4303">
        <v>26.8</v>
      </c>
      <c r="J4303">
        <v>8.5</v>
      </c>
      <c r="K4303">
        <v>74</v>
      </c>
      <c r="L4303">
        <v>11.25</v>
      </c>
      <c r="M4303">
        <v>33.200000000000003</v>
      </c>
      <c r="N4303">
        <v>21.8</v>
      </c>
      <c r="O4303">
        <v>11.4</v>
      </c>
      <c r="P4303">
        <v>26.2</v>
      </c>
      <c r="Q4303">
        <v>27.3</v>
      </c>
      <c r="R4303">
        <v>28.1</v>
      </c>
      <c r="S4303">
        <v>25.1</v>
      </c>
      <c r="T4303">
        <v>1906</v>
      </c>
      <c r="U4303">
        <v>315</v>
      </c>
      <c r="V4303">
        <v>12</v>
      </c>
      <c r="W4303">
        <v>65</v>
      </c>
      <c r="X4303">
        <v>799</v>
      </c>
      <c r="Y4303">
        <v>77</v>
      </c>
      <c r="Z4303">
        <v>307</v>
      </c>
      <c r="AA4303">
        <v>798</v>
      </c>
      <c r="AB4303">
        <v>22.25836</v>
      </c>
      <c r="AC4303">
        <v>2.314306E-2</v>
      </c>
      <c r="AD4303">
        <v>2.3847909999999999</v>
      </c>
      <c r="AE4303">
        <v>0.46503949999999999</v>
      </c>
      <c r="AF4303">
        <v>51.670729999999999</v>
      </c>
      <c r="AG4303">
        <f>IFERROR(AH4303*0.1, "N/A")</f>
        <v>5.2001740000000005</v>
      </c>
      <c r="AH4303">
        <v>52.001739999999998</v>
      </c>
      <c r="AI4303">
        <v>169.20609999999999</v>
      </c>
      <c r="AJ4303">
        <v>18.001740000000002</v>
      </c>
      <c r="AK4303">
        <v>64.998260000000002</v>
      </c>
    </row>
    <row r="4304" spans="1:37" x14ac:dyDescent="0.3">
      <c r="A4304">
        <v>4303</v>
      </c>
      <c r="B4304">
        <v>45</v>
      </c>
      <c r="C4304">
        <v>4.8855500000000003</v>
      </c>
      <c r="D4304">
        <v>7.3170900000000003</v>
      </c>
      <c r="E4304" t="s">
        <v>6745</v>
      </c>
      <c r="F4304" t="s">
        <v>6746</v>
      </c>
      <c r="G4304" t="s">
        <v>39</v>
      </c>
      <c r="H4304">
        <v>2004</v>
      </c>
      <c r="I4304">
        <v>25.97691</v>
      </c>
      <c r="J4304">
        <v>9.5</v>
      </c>
      <c r="K4304">
        <v>72</v>
      </c>
      <c r="L4304">
        <v>12.52613</v>
      </c>
      <c r="M4304">
        <v>33.376910000000002</v>
      </c>
      <c r="N4304">
        <v>20.276910000000001</v>
      </c>
      <c r="O4304">
        <v>13.1</v>
      </c>
      <c r="P4304">
        <v>24.176909999999999</v>
      </c>
      <c r="Q4304">
        <v>26.576910000000002</v>
      </c>
      <c r="R4304">
        <v>27.553820000000002</v>
      </c>
      <c r="S4304">
        <v>24.176909999999999</v>
      </c>
      <c r="T4304">
        <v>1429.847</v>
      </c>
      <c r="U4304">
        <v>234.23089999999999</v>
      </c>
      <c r="V4304">
        <v>9</v>
      </c>
      <c r="W4304">
        <v>62.230899999999998</v>
      </c>
      <c r="X4304">
        <v>577.69269999999995</v>
      </c>
      <c r="Y4304">
        <v>56</v>
      </c>
      <c r="Z4304">
        <v>257.46179999999998</v>
      </c>
      <c r="AA4304">
        <v>577.69269999999995</v>
      </c>
      <c r="AB4304">
        <v>6.9593769999999999</v>
      </c>
      <c r="AC4304">
        <v>7.4638570000000001E-2</v>
      </c>
      <c r="AD4304">
        <v>3.8392219999999999</v>
      </c>
      <c r="AE4304">
        <v>0.52723089999999995</v>
      </c>
      <c r="AF4304">
        <v>263.3229</v>
      </c>
      <c r="AG4304">
        <f>IFERROR(AH4304*0.1, "N/A")</f>
        <v>5.6383679999999998</v>
      </c>
      <c r="AH4304">
        <v>56.383679999999998</v>
      </c>
      <c r="AI4304">
        <v>257.4624</v>
      </c>
      <c r="AJ4304">
        <v>20.581600000000002</v>
      </c>
      <c r="AK4304">
        <v>63.22569</v>
      </c>
    </row>
    <row r="4305" spans="1:37" x14ac:dyDescent="0.3">
      <c r="A4305">
        <v>4304</v>
      </c>
      <c r="B4305">
        <v>44.6</v>
      </c>
      <c r="C4305">
        <v>5.1057800000000002</v>
      </c>
      <c r="D4305">
        <v>7.3508899999999997</v>
      </c>
      <c r="E4305" t="s">
        <v>6747</v>
      </c>
      <c r="F4305" t="s">
        <v>6748</v>
      </c>
      <c r="G4305" t="s">
        <v>39</v>
      </c>
      <c r="H4305">
        <v>2004</v>
      </c>
      <c r="I4305">
        <v>25.5</v>
      </c>
      <c r="J4305">
        <v>9.6999999999999993</v>
      </c>
      <c r="K4305">
        <v>72</v>
      </c>
      <c r="L4305">
        <v>12.62</v>
      </c>
      <c r="M4305">
        <v>33</v>
      </c>
      <c r="N4305">
        <v>19.600000000000001</v>
      </c>
      <c r="O4305">
        <v>13.4</v>
      </c>
      <c r="P4305">
        <v>23.7</v>
      </c>
      <c r="Q4305">
        <v>26</v>
      </c>
      <c r="R4305">
        <v>27.1</v>
      </c>
      <c r="S4305">
        <v>23.7</v>
      </c>
      <c r="T4305">
        <v>1416</v>
      </c>
      <c r="U4305">
        <v>240</v>
      </c>
      <c r="V4305">
        <v>9</v>
      </c>
      <c r="W4305">
        <v>62</v>
      </c>
      <c r="X4305">
        <v>582</v>
      </c>
      <c r="Y4305">
        <v>57</v>
      </c>
      <c r="Z4305">
        <v>253</v>
      </c>
      <c r="AA4305">
        <v>582</v>
      </c>
      <c r="AB4305">
        <v>4.3246440000000002</v>
      </c>
      <c r="AC4305">
        <v>0.47199600000000003</v>
      </c>
      <c r="AD4305">
        <v>2.5042200000000001</v>
      </c>
      <c r="AE4305">
        <v>0.68683459999999996</v>
      </c>
      <c r="AF4305">
        <v>330.375</v>
      </c>
      <c r="AG4305">
        <f>IFERROR(AH4305*0.1, "N/A")</f>
        <v>5.764062</v>
      </c>
      <c r="AH4305">
        <v>57.640619999999998</v>
      </c>
      <c r="AI4305">
        <v>146.7972</v>
      </c>
      <c r="AJ4305">
        <v>17.046880000000002</v>
      </c>
      <c r="AK4305">
        <v>63.703119999999998</v>
      </c>
    </row>
    <row r="4306" spans="1:37" x14ac:dyDescent="0.3">
      <c r="A4306">
        <v>4305</v>
      </c>
      <c r="B4306">
        <v>4.8</v>
      </c>
      <c r="C4306">
        <v>4.7123299999999997</v>
      </c>
      <c r="D4306">
        <v>6.2135999999999996</v>
      </c>
      <c r="E4306" t="s">
        <v>6749</v>
      </c>
      <c r="F4306" t="s">
        <v>6750</v>
      </c>
      <c r="G4306" t="s">
        <v>39</v>
      </c>
      <c r="H4306">
        <v>2004</v>
      </c>
      <c r="I4306">
        <v>27</v>
      </c>
      <c r="J4306">
        <v>7.7</v>
      </c>
      <c r="K4306">
        <v>72</v>
      </c>
      <c r="L4306">
        <v>10.67</v>
      </c>
      <c r="M4306">
        <v>32.9</v>
      </c>
      <c r="N4306">
        <v>22.3</v>
      </c>
      <c r="O4306">
        <v>10.6</v>
      </c>
      <c r="P4306">
        <v>26.5</v>
      </c>
      <c r="Q4306">
        <v>27.5</v>
      </c>
      <c r="R4306">
        <v>28.3</v>
      </c>
      <c r="S4306">
        <v>25.5</v>
      </c>
      <c r="T4306">
        <v>2128</v>
      </c>
      <c r="U4306">
        <v>360</v>
      </c>
      <c r="V4306">
        <v>19</v>
      </c>
      <c r="W4306">
        <v>66</v>
      </c>
      <c r="X4306">
        <v>951</v>
      </c>
      <c r="Y4306">
        <v>95</v>
      </c>
      <c r="Z4306">
        <v>330</v>
      </c>
      <c r="AA4306">
        <v>838</v>
      </c>
      <c r="AB4306">
        <v>0.40731709999999999</v>
      </c>
      <c r="AC4306">
        <v>3.4352900000000002</v>
      </c>
      <c r="AD4306">
        <v>2.0250620000000001</v>
      </c>
      <c r="AE4306">
        <v>0.27781159999999999</v>
      </c>
      <c r="AF4306">
        <v>6.0557489999999996</v>
      </c>
      <c r="AG4306">
        <f>IFERROR(AH4306*0.1, "N/A")</f>
        <v>5.5951219999999999</v>
      </c>
      <c r="AH4306">
        <v>55.951219999999999</v>
      </c>
      <c r="AI4306">
        <v>252.13720000000001</v>
      </c>
      <c r="AJ4306">
        <v>27.193380000000001</v>
      </c>
      <c r="AK4306">
        <v>55.207320000000003</v>
      </c>
    </row>
    <row r="4307" spans="1:37" x14ac:dyDescent="0.3">
      <c r="A4307">
        <v>4306</v>
      </c>
      <c r="B4307">
        <v>8.8000000000000007</v>
      </c>
      <c r="C4307">
        <v>5.6859999999999999</v>
      </c>
      <c r="D4307">
        <v>6.9400599999999999</v>
      </c>
      <c r="E4307" t="s">
        <v>6751</v>
      </c>
      <c r="F4307" t="s">
        <v>6752</v>
      </c>
      <c r="G4307" t="s">
        <v>39</v>
      </c>
      <c r="H4307">
        <v>2004</v>
      </c>
      <c r="I4307">
        <v>26.1</v>
      </c>
      <c r="J4307">
        <v>9.4</v>
      </c>
      <c r="K4307">
        <v>71</v>
      </c>
      <c r="L4307">
        <v>11.8</v>
      </c>
      <c r="M4307">
        <v>33.299999999999997</v>
      </c>
      <c r="N4307">
        <v>20.2</v>
      </c>
      <c r="O4307">
        <v>13.1</v>
      </c>
      <c r="P4307">
        <v>24.5</v>
      </c>
      <c r="Q4307">
        <v>26.6</v>
      </c>
      <c r="R4307">
        <v>27.6</v>
      </c>
      <c r="S4307">
        <v>24.5</v>
      </c>
      <c r="T4307">
        <v>1543</v>
      </c>
      <c r="U4307">
        <v>272</v>
      </c>
      <c r="V4307">
        <v>8</v>
      </c>
      <c r="W4307">
        <v>65</v>
      </c>
      <c r="X4307">
        <v>665</v>
      </c>
      <c r="Y4307">
        <v>56</v>
      </c>
      <c r="Z4307">
        <v>259</v>
      </c>
      <c r="AA4307">
        <v>665</v>
      </c>
      <c r="AB4307">
        <v>8.7685790000000008</v>
      </c>
      <c r="AC4307">
        <v>5.8487329999999997E-2</v>
      </c>
      <c r="AD4307">
        <v>2.3532099999999998</v>
      </c>
      <c r="AE4307">
        <v>0.67657579999999995</v>
      </c>
      <c r="AF4307">
        <v>146.07849999999999</v>
      </c>
      <c r="AG4307">
        <f>IFERROR(AH4307*0.1, "N/A")</f>
        <v>5.9</v>
      </c>
      <c r="AH4307">
        <v>59</v>
      </c>
      <c r="AI4307">
        <v>125.8616</v>
      </c>
      <c r="AJ4307">
        <v>16.928450000000002</v>
      </c>
      <c r="AK4307">
        <v>67</v>
      </c>
    </row>
    <row r="4308" spans="1:37" x14ac:dyDescent="0.3">
      <c r="A4308">
        <v>4307</v>
      </c>
      <c r="B4308">
        <v>2.1</v>
      </c>
      <c r="C4308">
        <v>4.7539300000000004</v>
      </c>
      <c r="D4308">
        <v>7.0375199999999998</v>
      </c>
      <c r="E4308" t="s">
        <v>6753</v>
      </c>
      <c r="F4308" t="s">
        <v>6754</v>
      </c>
      <c r="G4308" t="s">
        <v>39</v>
      </c>
      <c r="H4308">
        <v>2004</v>
      </c>
      <c r="I4308">
        <v>26.2</v>
      </c>
      <c r="J4308">
        <v>9</v>
      </c>
      <c r="K4308">
        <v>73</v>
      </c>
      <c r="L4308">
        <v>12.05</v>
      </c>
      <c r="M4308">
        <v>33.1</v>
      </c>
      <c r="N4308">
        <v>20.8</v>
      </c>
      <c r="O4308">
        <v>12.3</v>
      </c>
      <c r="P4308">
        <v>24.4</v>
      </c>
      <c r="Q4308">
        <v>26.8</v>
      </c>
      <c r="R4308">
        <v>27.6</v>
      </c>
      <c r="S4308">
        <v>24.4</v>
      </c>
      <c r="T4308">
        <v>1577</v>
      </c>
      <c r="U4308">
        <v>247</v>
      </c>
      <c r="V4308">
        <v>10</v>
      </c>
      <c r="W4308">
        <v>63</v>
      </c>
      <c r="X4308">
        <v>637</v>
      </c>
      <c r="Y4308">
        <v>63</v>
      </c>
      <c r="Z4308">
        <v>280</v>
      </c>
      <c r="AA4308">
        <v>637</v>
      </c>
      <c r="AB4308">
        <v>22.72626</v>
      </c>
      <c r="AC4308">
        <v>2.1957020000000001E-2</v>
      </c>
      <c r="AD4308">
        <v>6.1481729999999999</v>
      </c>
      <c r="AE4308">
        <v>0.37025130000000001</v>
      </c>
      <c r="AF4308">
        <v>215.93219999999999</v>
      </c>
      <c r="AG4308">
        <f>IFERROR(AH4308*0.1, "N/A")</f>
        <v>5.5904350000000003</v>
      </c>
      <c r="AH4308">
        <v>55.904350000000001</v>
      </c>
      <c r="AI4308">
        <v>199.09989999999999</v>
      </c>
      <c r="AJ4308">
        <v>21.547830000000001</v>
      </c>
      <c r="AK4308">
        <v>63.547829999999998</v>
      </c>
    </row>
    <row r="4309" spans="1:37" x14ac:dyDescent="0.3">
      <c r="A4309">
        <v>4308</v>
      </c>
      <c r="B4309">
        <v>19.8</v>
      </c>
      <c r="C4309">
        <v>4.9362399999999997</v>
      </c>
      <c r="D4309">
        <v>7.1080500000000004</v>
      </c>
      <c r="E4309" t="s">
        <v>6755</v>
      </c>
      <c r="F4309" t="s">
        <v>6756</v>
      </c>
      <c r="G4309" t="s">
        <v>39</v>
      </c>
      <c r="H4309">
        <v>2004</v>
      </c>
      <c r="I4309">
        <v>25.950959999999998</v>
      </c>
      <c r="J4309">
        <v>9.1999999999999993</v>
      </c>
      <c r="K4309">
        <v>73</v>
      </c>
      <c r="L4309">
        <v>11.75567</v>
      </c>
      <c r="M4309">
        <v>33.050960000000003</v>
      </c>
      <c r="N4309">
        <v>20.55096</v>
      </c>
      <c r="O4309">
        <v>12.5</v>
      </c>
      <c r="P4309">
        <v>24.250959999999999</v>
      </c>
      <c r="Q4309">
        <v>26.55096</v>
      </c>
      <c r="R4309">
        <v>27.350960000000001</v>
      </c>
      <c r="S4309">
        <v>24.250959999999999</v>
      </c>
      <c r="T4309">
        <v>1539.1969999999999</v>
      </c>
      <c r="U4309">
        <v>249.49039999999999</v>
      </c>
      <c r="V4309">
        <v>9</v>
      </c>
      <c r="W4309">
        <v>63</v>
      </c>
      <c r="X4309">
        <v>632.98080000000004</v>
      </c>
      <c r="Y4309">
        <v>61.745199999999997</v>
      </c>
      <c r="Z4309">
        <v>275.23559999999998</v>
      </c>
      <c r="AA4309">
        <v>632.98080000000004</v>
      </c>
      <c r="AB4309">
        <v>3.069985</v>
      </c>
      <c r="AC4309">
        <v>0.2236506</v>
      </c>
      <c r="AD4309">
        <v>1.9225289999999999</v>
      </c>
      <c r="AE4309">
        <v>0.45044820000000002</v>
      </c>
      <c r="AF4309">
        <v>219.83070000000001</v>
      </c>
      <c r="AG4309">
        <f>IFERROR(AH4309*0.1, "N/A")</f>
        <v>5.6000000000000005</v>
      </c>
      <c r="AH4309">
        <v>56</v>
      </c>
      <c r="AI4309">
        <v>140.75710000000001</v>
      </c>
      <c r="AJ4309">
        <v>18.93892</v>
      </c>
      <c r="AK4309">
        <v>65.061080000000004</v>
      </c>
    </row>
    <row r="4310" spans="1:37" x14ac:dyDescent="0.3">
      <c r="A4310">
        <v>4309</v>
      </c>
      <c r="B4310">
        <v>18.7</v>
      </c>
      <c r="C4310">
        <v>5.5835999999999997</v>
      </c>
      <c r="D4310">
        <v>7.1829900000000002</v>
      </c>
      <c r="E4310" t="s">
        <v>6757</v>
      </c>
      <c r="F4310" t="s">
        <v>6758</v>
      </c>
      <c r="G4310" t="s">
        <v>39</v>
      </c>
      <c r="H4310">
        <v>2004</v>
      </c>
      <c r="I4310">
        <v>25.201740000000001</v>
      </c>
      <c r="J4310">
        <v>9.698264</v>
      </c>
      <c r="K4310">
        <v>71.982640000000004</v>
      </c>
      <c r="L4310">
        <v>12.177709999999999</v>
      </c>
      <c r="M4310">
        <v>32.501739999999998</v>
      </c>
      <c r="N4310">
        <v>19.101739999999999</v>
      </c>
      <c r="O4310">
        <v>13.4</v>
      </c>
      <c r="P4310">
        <v>23.49653</v>
      </c>
      <c r="Q4310">
        <v>25.601739999999999</v>
      </c>
      <c r="R4310">
        <v>26.753119999999999</v>
      </c>
      <c r="S4310">
        <v>23.49653</v>
      </c>
      <c r="T4310">
        <v>1423.8779999999999</v>
      </c>
      <c r="U4310">
        <v>254</v>
      </c>
      <c r="V4310">
        <v>8.9826390000000007</v>
      </c>
      <c r="W4310">
        <v>63</v>
      </c>
      <c r="X4310">
        <v>608.43399999999997</v>
      </c>
      <c r="Y4310">
        <v>62</v>
      </c>
      <c r="Z4310">
        <v>251.01740000000001</v>
      </c>
      <c r="AA4310">
        <v>608.43399999999997</v>
      </c>
      <c r="AB4310">
        <v>19.901219999999999</v>
      </c>
      <c r="AC4310">
        <v>3.1690049999999997E-2</v>
      </c>
      <c r="AD4310">
        <v>2.5383450000000001</v>
      </c>
      <c r="AE4310">
        <v>0.87305739999999998</v>
      </c>
      <c r="AF4310">
        <v>335.24310000000003</v>
      </c>
      <c r="AG4310">
        <f>IFERROR(AH4310*0.1, "N/A")</f>
        <v>5.546875</v>
      </c>
      <c r="AH4310">
        <v>55.46875</v>
      </c>
      <c r="AI4310">
        <v>133.31469999999999</v>
      </c>
      <c r="AJ4310">
        <v>12.64583</v>
      </c>
      <c r="AK4310">
        <v>73.71875</v>
      </c>
    </row>
    <row r="4311" spans="1:37" x14ac:dyDescent="0.3">
      <c r="A4311">
        <v>4310</v>
      </c>
      <c r="B4311">
        <v>36.4</v>
      </c>
      <c r="C4311">
        <v>4.8778100000000002</v>
      </c>
      <c r="D4311">
        <v>6.7668999999999997</v>
      </c>
      <c r="E4311" t="s">
        <v>6759</v>
      </c>
      <c r="F4311" t="s">
        <v>6760</v>
      </c>
      <c r="G4311" t="s">
        <v>39</v>
      </c>
      <c r="H4311">
        <v>2004</v>
      </c>
      <c r="I4311">
        <v>26.65774</v>
      </c>
      <c r="J4311">
        <v>8.6999999999999993</v>
      </c>
      <c r="K4311">
        <v>74</v>
      </c>
      <c r="L4311">
        <v>11.467029999999999</v>
      </c>
      <c r="M4311">
        <v>33.257739999999998</v>
      </c>
      <c r="N4311">
        <v>21.557739999999999</v>
      </c>
      <c r="O4311">
        <v>11.7</v>
      </c>
      <c r="P4311">
        <v>26.057739999999999</v>
      </c>
      <c r="Q4311">
        <v>27.257739999999998</v>
      </c>
      <c r="R4311">
        <v>27.957740000000001</v>
      </c>
      <c r="S4311">
        <v>24.957740000000001</v>
      </c>
      <c r="T4311">
        <v>1727.155</v>
      </c>
      <c r="U4311">
        <v>275.57740000000001</v>
      </c>
      <c r="V4311">
        <v>11</v>
      </c>
      <c r="W4311">
        <v>64</v>
      </c>
      <c r="X4311">
        <v>712.15480000000002</v>
      </c>
      <c r="Y4311">
        <v>70</v>
      </c>
      <c r="Z4311">
        <v>290</v>
      </c>
      <c r="AA4311">
        <v>709.57740000000001</v>
      </c>
      <c r="AB4311">
        <v>32.093220000000002</v>
      </c>
      <c r="AC4311">
        <v>1.5251549999999999E-2</v>
      </c>
      <c r="AD4311">
        <v>3.5951490000000002</v>
      </c>
      <c r="AE4311">
        <v>0.67973859999999997</v>
      </c>
      <c r="AF4311">
        <v>104.82259999999999</v>
      </c>
      <c r="AG4311">
        <f>IFERROR(AH4311*0.1, "N/A")</f>
        <v>5.6996520000000004</v>
      </c>
      <c r="AH4311">
        <v>56.996519999999997</v>
      </c>
      <c r="AI4311">
        <v>249.58860000000001</v>
      </c>
      <c r="AJ4311">
        <v>17.99652</v>
      </c>
      <c r="AK4311">
        <v>63.006959999999999</v>
      </c>
    </row>
    <row r="4312" spans="1:37" x14ac:dyDescent="0.3">
      <c r="A4312">
        <v>4311</v>
      </c>
      <c r="B4312">
        <v>15.4</v>
      </c>
      <c r="C4312">
        <v>7.3501700000000003</v>
      </c>
      <c r="D4312">
        <v>5.8170299999999999</v>
      </c>
      <c r="E4312" t="s">
        <v>6761</v>
      </c>
      <c r="F4312" t="s">
        <v>6762</v>
      </c>
      <c r="G4312" t="s">
        <v>39</v>
      </c>
      <c r="H4312">
        <v>2004</v>
      </c>
      <c r="I4312">
        <v>26.338740000000001</v>
      </c>
      <c r="J4312">
        <v>8.6</v>
      </c>
      <c r="K4312">
        <v>75.054100000000005</v>
      </c>
      <c r="L4312">
        <v>10.40555</v>
      </c>
      <c r="M4312">
        <v>32.733330000000002</v>
      </c>
      <c r="N4312">
        <v>21.338740000000001</v>
      </c>
      <c r="O4312">
        <v>11.394590000000001</v>
      </c>
      <c r="P4312">
        <v>24.933330000000002</v>
      </c>
      <c r="Q4312">
        <v>26.90297</v>
      </c>
      <c r="R4312">
        <v>27.733329999999999</v>
      </c>
      <c r="S4312">
        <v>24.933330000000002</v>
      </c>
      <c r="T4312">
        <v>2040.1379999999999</v>
      </c>
      <c r="U4312">
        <v>309.61259999999999</v>
      </c>
      <c r="V4312">
        <v>11</v>
      </c>
      <c r="W4312">
        <v>66.441540000000003</v>
      </c>
      <c r="X4312">
        <v>870.66669999999999</v>
      </c>
      <c r="Y4312">
        <v>66.612570000000005</v>
      </c>
      <c r="Z4312">
        <v>300.7208</v>
      </c>
      <c r="AA4312">
        <v>870.66669999999999</v>
      </c>
      <c r="AB4312">
        <v>24.484819999999999</v>
      </c>
      <c r="AC4312">
        <v>1.27645E-2</v>
      </c>
      <c r="AD4312">
        <v>2.2370190000000001</v>
      </c>
      <c r="AE4312">
        <v>0.72919040000000002</v>
      </c>
      <c r="AF4312">
        <v>162.0087</v>
      </c>
      <c r="AG4312">
        <f>IFERROR(AH4312*0.1, "N/A")</f>
        <v>4.9701570000000004</v>
      </c>
      <c r="AH4312">
        <v>49.701569999999997</v>
      </c>
      <c r="AI4312">
        <v>166.25649999999999</v>
      </c>
      <c r="AJ4312">
        <v>16.239090000000001</v>
      </c>
      <c r="AK4312">
        <v>75.973820000000003</v>
      </c>
    </row>
    <row r="4313" spans="1:37" x14ac:dyDescent="0.3">
      <c r="A4313">
        <v>4312</v>
      </c>
      <c r="B4313">
        <v>11.3</v>
      </c>
      <c r="C4313">
        <v>6.84443</v>
      </c>
      <c r="D4313">
        <v>5.3976100000000002</v>
      </c>
      <c r="E4313" t="s">
        <v>6763</v>
      </c>
      <c r="F4313" t="s">
        <v>6764</v>
      </c>
      <c r="G4313" t="s">
        <v>39</v>
      </c>
      <c r="H4313">
        <v>2004</v>
      </c>
      <c r="I4313">
        <v>26.5</v>
      </c>
      <c r="J4313">
        <v>8.4</v>
      </c>
      <c r="K4313">
        <v>77</v>
      </c>
      <c r="L4313">
        <v>9.18</v>
      </c>
      <c r="M4313">
        <v>32.5</v>
      </c>
      <c r="N4313">
        <v>21.6</v>
      </c>
      <c r="O4313">
        <v>10.9</v>
      </c>
      <c r="P4313">
        <v>25.2</v>
      </c>
      <c r="Q4313">
        <v>27</v>
      </c>
      <c r="R4313">
        <v>27.7</v>
      </c>
      <c r="S4313">
        <v>25.2</v>
      </c>
      <c r="T4313">
        <v>2277</v>
      </c>
      <c r="U4313">
        <v>359</v>
      </c>
      <c r="V4313">
        <v>20</v>
      </c>
      <c r="W4313">
        <v>68</v>
      </c>
      <c r="X4313">
        <v>1005</v>
      </c>
      <c r="Y4313">
        <v>84</v>
      </c>
      <c r="Z4313">
        <v>315</v>
      </c>
      <c r="AA4313">
        <v>1005</v>
      </c>
      <c r="AB4313">
        <v>1.5305960000000001</v>
      </c>
      <c r="AC4313">
        <v>2.7778839999999999E-2</v>
      </c>
      <c r="AD4313">
        <v>1.2542770000000001</v>
      </c>
      <c r="AE4313">
        <v>0.7003296</v>
      </c>
      <c r="AF4313">
        <v>47.989510000000003</v>
      </c>
      <c r="AG4313">
        <f>IFERROR(AH4313*0.1, "N/A")</f>
        <v>5.1000000000000005</v>
      </c>
      <c r="AH4313">
        <v>51</v>
      </c>
      <c r="AI4313">
        <v>188.8887</v>
      </c>
      <c r="AJ4313">
        <v>20</v>
      </c>
      <c r="AK4313">
        <v>68.342659999999995</v>
      </c>
    </row>
    <row r="4314" spans="1:37" x14ac:dyDescent="0.3">
      <c r="A4314">
        <v>4313</v>
      </c>
      <c r="B4314">
        <v>38.9</v>
      </c>
      <c r="C4314">
        <v>6.8100899999999998</v>
      </c>
      <c r="D4314">
        <v>5.7106199999999996</v>
      </c>
      <c r="E4314" t="s">
        <v>6765</v>
      </c>
      <c r="F4314" t="s">
        <v>6766</v>
      </c>
      <c r="G4314" t="s">
        <v>39</v>
      </c>
      <c r="H4314">
        <v>2004</v>
      </c>
      <c r="I4314">
        <v>26.9</v>
      </c>
      <c r="J4314">
        <v>8.5</v>
      </c>
      <c r="K4314">
        <v>75</v>
      </c>
      <c r="L4314">
        <v>10.23</v>
      </c>
      <c r="M4314">
        <v>33.200000000000003</v>
      </c>
      <c r="N4314">
        <v>22</v>
      </c>
      <c r="O4314">
        <v>11.2</v>
      </c>
      <c r="P4314">
        <v>25.5</v>
      </c>
      <c r="Q4314">
        <v>27.4</v>
      </c>
      <c r="R4314">
        <v>28.3</v>
      </c>
      <c r="S4314">
        <v>25.5</v>
      </c>
      <c r="T4314">
        <v>2115</v>
      </c>
      <c r="U4314">
        <v>337</v>
      </c>
      <c r="V4314">
        <v>15</v>
      </c>
      <c r="W4314">
        <v>69</v>
      </c>
      <c r="X4314">
        <v>927</v>
      </c>
      <c r="Y4314">
        <v>68</v>
      </c>
      <c r="Z4314">
        <v>288</v>
      </c>
      <c r="AA4314">
        <v>927</v>
      </c>
      <c r="AB4314">
        <v>3.0872160000000002</v>
      </c>
      <c r="AC4314">
        <v>1.267749E-2</v>
      </c>
      <c r="AD4314">
        <v>0.60783520000000002</v>
      </c>
      <c r="AE4314">
        <v>0.69612059999999998</v>
      </c>
      <c r="AF4314">
        <v>22.71979</v>
      </c>
      <c r="AG4314">
        <f>IFERROR(AH4314*0.1, "N/A")</f>
        <v>5.3423820000000006</v>
      </c>
      <c r="AH4314">
        <v>53.423819999999999</v>
      </c>
      <c r="AI4314">
        <v>239.77189999999999</v>
      </c>
      <c r="AJ4314">
        <v>19.050789999999999</v>
      </c>
      <c r="AK4314">
        <v>60.474609999999998</v>
      </c>
    </row>
    <row r="4315" spans="1:37" x14ac:dyDescent="0.3">
      <c r="A4315">
        <v>4314</v>
      </c>
      <c r="B4315">
        <v>10.4</v>
      </c>
      <c r="C4315">
        <v>6.9896799999999999</v>
      </c>
      <c r="D4315">
        <v>5.4099199999999996</v>
      </c>
      <c r="E4315" t="s">
        <v>6767</v>
      </c>
      <c r="F4315" t="s">
        <v>6768</v>
      </c>
      <c r="G4315" t="s">
        <v>39</v>
      </c>
      <c r="H4315">
        <v>2004</v>
      </c>
      <c r="I4315">
        <v>26.5</v>
      </c>
      <c r="J4315">
        <v>8.4</v>
      </c>
      <c r="K4315">
        <v>77</v>
      </c>
      <c r="L4315">
        <v>9.3000000000000007</v>
      </c>
      <c r="M4315">
        <v>32.5</v>
      </c>
      <c r="N4315">
        <v>21.6</v>
      </c>
      <c r="O4315">
        <v>10.9</v>
      </c>
      <c r="P4315">
        <v>25.4</v>
      </c>
      <c r="Q4315">
        <v>26.9</v>
      </c>
      <c r="R4315">
        <v>27.7</v>
      </c>
      <c r="S4315">
        <v>25.2</v>
      </c>
      <c r="T4315">
        <v>2247</v>
      </c>
      <c r="U4315">
        <v>356</v>
      </c>
      <c r="V4315">
        <v>18</v>
      </c>
      <c r="W4315">
        <v>69</v>
      </c>
      <c r="X4315">
        <v>1011</v>
      </c>
      <c r="Y4315">
        <v>77</v>
      </c>
      <c r="Z4315">
        <v>309</v>
      </c>
      <c r="AA4315">
        <v>991</v>
      </c>
      <c r="AB4315">
        <v>0.67115499999999995</v>
      </c>
      <c r="AC4315">
        <v>4.9396669999999997E-2</v>
      </c>
      <c r="AD4315">
        <v>1.83979</v>
      </c>
      <c r="AE4315">
        <v>0.65794589999999997</v>
      </c>
      <c r="AF4315">
        <v>59.540210000000002</v>
      </c>
      <c r="AG4315">
        <f>IFERROR(AH4315*0.1, "N/A")</f>
        <v>5.3484270000000009</v>
      </c>
      <c r="AH4315">
        <v>53.484270000000002</v>
      </c>
      <c r="AI4315">
        <v>60.40025</v>
      </c>
      <c r="AJ4315">
        <v>24.069929999999999</v>
      </c>
      <c r="AK4315">
        <v>67.704549999999998</v>
      </c>
    </row>
    <row r="4316" spans="1:37" x14ac:dyDescent="0.3">
      <c r="A4316">
        <v>4315</v>
      </c>
      <c r="B4316">
        <v>38.700000000000003</v>
      </c>
      <c r="C4316">
        <v>6.14208</v>
      </c>
      <c r="D4316">
        <v>12.558400000000001</v>
      </c>
      <c r="E4316" t="s">
        <v>6769</v>
      </c>
      <c r="F4316" t="s">
        <v>6770</v>
      </c>
      <c r="G4316" t="s">
        <v>39</v>
      </c>
      <c r="H4316">
        <v>2004</v>
      </c>
      <c r="I4316">
        <v>27.42381</v>
      </c>
      <c r="J4316">
        <v>14.111050000000001</v>
      </c>
      <c r="K4316">
        <v>57</v>
      </c>
      <c r="L4316">
        <v>25.87903</v>
      </c>
      <c r="M4316">
        <v>39.4</v>
      </c>
      <c r="N4316">
        <v>14.71105</v>
      </c>
      <c r="O4316">
        <v>24.688949999999998</v>
      </c>
      <c r="P4316">
        <v>26.488949999999999</v>
      </c>
      <c r="Q4316">
        <v>24.42381</v>
      </c>
      <c r="R4316">
        <v>31.1</v>
      </c>
      <c r="S4316">
        <v>24.42381</v>
      </c>
      <c r="T4316">
        <v>739.10199999999998</v>
      </c>
      <c r="U4316">
        <v>233.52549999999999</v>
      </c>
      <c r="V4316">
        <v>0</v>
      </c>
      <c r="W4316">
        <v>126.52549999999999</v>
      </c>
      <c r="X4316">
        <v>552.52549999999997</v>
      </c>
      <c r="Y4316">
        <v>0</v>
      </c>
      <c r="Z4316">
        <v>64.525509999999997</v>
      </c>
      <c r="AA4316">
        <v>0</v>
      </c>
      <c r="AB4316">
        <v>8.6073199999999996</v>
      </c>
      <c r="AC4316">
        <v>9.270047E-3</v>
      </c>
      <c r="AD4316">
        <v>1.4670650000000001</v>
      </c>
      <c r="AE4316">
        <v>0.76667830000000003</v>
      </c>
      <c r="AF4316">
        <v>317.86900000000003</v>
      </c>
      <c r="AG4316">
        <f>IFERROR(AH4316*0.1, "N/A")</f>
        <v>6.1476190000000006</v>
      </c>
      <c r="AH4316">
        <v>61.476190000000003</v>
      </c>
      <c r="AI4316">
        <v>266.22329999999999</v>
      </c>
      <c r="AJ4316">
        <v>17.523810000000001</v>
      </c>
      <c r="AK4316">
        <v>60.238100000000003</v>
      </c>
    </row>
    <row r="4317" spans="1:37" x14ac:dyDescent="0.3">
      <c r="A4317">
        <v>4316</v>
      </c>
      <c r="B4317">
        <v>48.4</v>
      </c>
      <c r="C4317">
        <v>6.1817169999999999</v>
      </c>
      <c r="D4317">
        <v>12.51225</v>
      </c>
      <c r="E4317" t="s">
        <v>6771</v>
      </c>
      <c r="F4317" t="s">
        <v>6772</v>
      </c>
      <c r="G4317" t="s">
        <v>39</v>
      </c>
      <c r="H4317">
        <v>2004</v>
      </c>
      <c r="I4317">
        <v>27.3</v>
      </c>
      <c r="J4317">
        <v>14.2</v>
      </c>
      <c r="K4317">
        <v>57</v>
      </c>
      <c r="L4317">
        <v>25.85</v>
      </c>
      <c r="M4317">
        <v>39.299999999999997</v>
      </c>
      <c r="N4317">
        <v>14.7</v>
      </c>
      <c r="O4317">
        <v>24.6</v>
      </c>
      <c r="P4317">
        <v>26.4</v>
      </c>
      <c r="Q4317">
        <v>24.4</v>
      </c>
      <c r="R4317">
        <v>31</v>
      </c>
      <c r="S4317">
        <v>24.4</v>
      </c>
      <c r="T4317">
        <v>755</v>
      </c>
      <c r="U4317">
        <v>237</v>
      </c>
      <c r="V4317">
        <v>0</v>
      </c>
      <c r="W4317">
        <v>126</v>
      </c>
      <c r="X4317">
        <v>562</v>
      </c>
      <c r="Y4317">
        <v>0</v>
      </c>
      <c r="Z4317">
        <v>68</v>
      </c>
      <c r="AA4317">
        <v>0</v>
      </c>
      <c r="AB4317">
        <v>3.443702</v>
      </c>
      <c r="AC4317">
        <v>9.1154840000000001E-3</v>
      </c>
      <c r="AD4317">
        <v>4.6845660000000002</v>
      </c>
      <c r="AE4317">
        <v>0.32888780000000001</v>
      </c>
      <c r="AF4317">
        <v>327.03570000000002</v>
      </c>
      <c r="AG4317">
        <f>IFERROR(AH4317*0.1, "N/A")</f>
        <v>6.6838440000000006</v>
      </c>
      <c r="AH4317">
        <v>66.838440000000006</v>
      </c>
      <c r="AI4317">
        <v>107.4926</v>
      </c>
      <c r="AJ4317">
        <v>26.77721</v>
      </c>
      <c r="AK4317">
        <v>50.134349999999998</v>
      </c>
    </row>
    <row r="4318" spans="1:37" x14ac:dyDescent="0.3">
      <c r="A4318">
        <v>4317</v>
      </c>
      <c r="B4318">
        <v>55.3</v>
      </c>
      <c r="C4318">
        <v>6.4708800000000002</v>
      </c>
      <c r="D4318">
        <v>6.55776</v>
      </c>
      <c r="E4318" t="s">
        <v>6773</v>
      </c>
      <c r="F4318" t="s">
        <v>6774</v>
      </c>
      <c r="G4318" t="s">
        <v>39</v>
      </c>
      <c r="H4318">
        <v>1994</v>
      </c>
      <c r="I4318">
        <v>25.8</v>
      </c>
      <c r="J4318">
        <v>9.1999999999999993</v>
      </c>
      <c r="K4318">
        <v>74</v>
      </c>
      <c r="L4318">
        <v>11.87</v>
      </c>
      <c r="M4318">
        <v>32.700000000000003</v>
      </c>
      <c r="N4318">
        <v>20.3</v>
      </c>
      <c r="O4318">
        <v>12.4</v>
      </c>
      <c r="P4318">
        <v>24.2</v>
      </c>
      <c r="Q4318">
        <v>26.3</v>
      </c>
      <c r="R4318">
        <v>27.4</v>
      </c>
      <c r="S4318">
        <v>24.2</v>
      </c>
      <c r="T4318">
        <v>1677</v>
      </c>
      <c r="U4318">
        <v>306</v>
      </c>
      <c r="V4318">
        <v>8</v>
      </c>
      <c r="W4318">
        <v>70</v>
      </c>
      <c r="X4318">
        <v>715</v>
      </c>
      <c r="Y4318">
        <v>47</v>
      </c>
      <c r="Z4318">
        <v>247</v>
      </c>
      <c r="AA4318">
        <v>715</v>
      </c>
      <c r="AB4318">
        <v>53.834670000000003</v>
      </c>
      <c r="AC4318">
        <v>8.8333519999999992E-3</v>
      </c>
      <c r="AD4318">
        <v>2.8773490000000002</v>
      </c>
      <c r="AE4318">
        <v>0.66464579999999995</v>
      </c>
      <c r="AF4318">
        <v>235.6934</v>
      </c>
      <c r="AG4318">
        <f>IFERROR(AH4318*0.1, "N/A")</f>
        <v>5.865157</v>
      </c>
      <c r="AH4318">
        <v>58.65157</v>
      </c>
      <c r="AI4318">
        <v>225.50280000000001</v>
      </c>
      <c r="AJ4318">
        <v>15</v>
      </c>
      <c r="AK4318">
        <v>76</v>
      </c>
    </row>
    <row r="4319" spans="1:37" x14ac:dyDescent="0.3">
      <c r="A4319">
        <v>4318</v>
      </c>
      <c r="B4319">
        <v>100</v>
      </c>
      <c r="C4319">
        <v>4.6166700000000001</v>
      </c>
      <c r="D4319">
        <v>7.3333300000000001</v>
      </c>
      <c r="E4319" t="s">
        <v>6775</v>
      </c>
      <c r="F4319" t="s">
        <v>6776</v>
      </c>
      <c r="G4319" t="s">
        <v>39</v>
      </c>
      <c r="H4319">
        <v>1996</v>
      </c>
      <c r="I4319">
        <v>26.4</v>
      </c>
      <c r="J4319">
        <v>9.4</v>
      </c>
      <c r="K4319">
        <v>71.045299999999997</v>
      </c>
      <c r="L4319">
        <v>12.20416</v>
      </c>
      <c r="M4319">
        <v>33.77073</v>
      </c>
      <c r="N4319">
        <v>20.622129999999999</v>
      </c>
      <c r="O4319">
        <v>13.14861</v>
      </c>
      <c r="P4319">
        <v>24.6</v>
      </c>
      <c r="Q4319">
        <v>26.87979</v>
      </c>
      <c r="R4319">
        <v>27.817599999999999</v>
      </c>
      <c r="S4319">
        <v>24.6</v>
      </c>
      <c r="T4319">
        <v>1402.1179999999999</v>
      </c>
      <c r="U4319">
        <v>219.7526</v>
      </c>
      <c r="V4319">
        <v>9</v>
      </c>
      <c r="W4319">
        <v>62.576659999999997</v>
      </c>
      <c r="X4319">
        <v>547.81179999999995</v>
      </c>
      <c r="Y4319">
        <v>53</v>
      </c>
      <c r="Z4319">
        <v>252.13069999999999</v>
      </c>
      <c r="AA4319">
        <v>547.81179999999995</v>
      </c>
      <c r="AB4319">
        <v>5.6057490000000003</v>
      </c>
      <c r="AC4319">
        <v>5.1671449999999997</v>
      </c>
      <c r="AD4319">
        <v>2.9659149999999999</v>
      </c>
      <c r="AE4319">
        <v>0.3518057</v>
      </c>
      <c r="AF4319">
        <v>208.78919999999999</v>
      </c>
      <c r="AG4319">
        <f>IFERROR(AH4319*0.1, "N/A")</f>
        <v>5.4707320000000008</v>
      </c>
      <c r="AH4319">
        <v>54.707320000000003</v>
      </c>
      <c r="AI4319">
        <v>186.3929</v>
      </c>
      <c r="AJ4319">
        <v>20.742159999999998</v>
      </c>
      <c r="AK4319">
        <v>63.496519999999997</v>
      </c>
    </row>
    <row r="4320" spans="1:37" x14ac:dyDescent="0.3">
      <c r="A4320">
        <v>4319</v>
      </c>
      <c r="B4320">
        <v>77.599999999999994</v>
      </c>
      <c r="C4320">
        <v>7.0724</v>
      </c>
      <c r="D4320">
        <v>6.11</v>
      </c>
      <c r="E4320" t="s">
        <v>6777</v>
      </c>
      <c r="F4320" t="s">
        <v>6778</v>
      </c>
      <c r="G4320" t="s">
        <v>39</v>
      </c>
      <c r="H4320">
        <v>1995</v>
      </c>
      <c r="I4320">
        <v>26.8</v>
      </c>
      <c r="J4320">
        <v>8.6999999999999993</v>
      </c>
      <c r="K4320">
        <v>75</v>
      </c>
      <c r="L4320">
        <v>11.33</v>
      </c>
      <c r="M4320">
        <v>33.4</v>
      </c>
      <c r="N4320">
        <v>21.8</v>
      </c>
      <c r="O4320">
        <v>11.6</v>
      </c>
      <c r="P4320">
        <v>25.3</v>
      </c>
      <c r="Q4320">
        <v>27.4</v>
      </c>
      <c r="R4320">
        <v>28.3</v>
      </c>
      <c r="S4320">
        <v>25.3</v>
      </c>
      <c r="T4320">
        <v>1897</v>
      </c>
      <c r="U4320">
        <v>309</v>
      </c>
      <c r="V4320">
        <v>8</v>
      </c>
      <c r="W4320">
        <v>68</v>
      </c>
      <c r="X4320">
        <v>808</v>
      </c>
      <c r="Y4320">
        <v>50</v>
      </c>
      <c r="Z4320">
        <v>274</v>
      </c>
      <c r="AA4320">
        <v>808</v>
      </c>
      <c r="AB4320">
        <v>19.454180000000001</v>
      </c>
      <c r="AC4320">
        <v>4.5463209999999997E-2</v>
      </c>
      <c r="AD4320">
        <v>4.254791</v>
      </c>
      <c r="AE4320">
        <v>0.7388728</v>
      </c>
      <c r="AF4320">
        <v>129.27869999999999</v>
      </c>
      <c r="AG4320">
        <f>IFERROR(AH4320*0.1, "N/A")</f>
        <v>5.7853659999999998</v>
      </c>
      <c r="AH4320">
        <v>57.853659999999998</v>
      </c>
      <c r="AI4320">
        <v>71.761420000000001</v>
      </c>
      <c r="AJ4320">
        <v>23.073170000000001</v>
      </c>
      <c r="AK4320">
        <v>64.926829999999995</v>
      </c>
    </row>
    <row r="4321" spans="1:37" x14ac:dyDescent="0.3">
      <c r="A4321">
        <v>4320</v>
      </c>
      <c r="B4321">
        <v>3.8</v>
      </c>
      <c r="C4321">
        <v>7.0311000000000003</v>
      </c>
      <c r="D4321">
        <v>6.1199000000000003</v>
      </c>
      <c r="E4321" t="s">
        <v>6779</v>
      </c>
      <c r="F4321" t="s">
        <v>6780</v>
      </c>
      <c r="G4321" t="s">
        <v>39</v>
      </c>
      <c r="H4321">
        <v>1995</v>
      </c>
      <c r="I4321">
        <v>26.3</v>
      </c>
      <c r="J4321">
        <v>8.8000000000000007</v>
      </c>
      <c r="K4321">
        <v>75</v>
      </c>
      <c r="L4321">
        <v>11.54</v>
      </c>
      <c r="M4321">
        <v>32.9</v>
      </c>
      <c r="N4321">
        <v>21.3</v>
      </c>
      <c r="O4321">
        <v>11.6</v>
      </c>
      <c r="P4321">
        <v>24.8</v>
      </c>
      <c r="Q4321">
        <v>26.9</v>
      </c>
      <c r="R4321">
        <v>27.9</v>
      </c>
      <c r="S4321">
        <v>24.8</v>
      </c>
      <c r="T4321">
        <v>1897</v>
      </c>
      <c r="U4321">
        <v>313</v>
      </c>
      <c r="V4321">
        <v>9</v>
      </c>
      <c r="W4321">
        <v>68</v>
      </c>
      <c r="X4321">
        <v>811</v>
      </c>
      <c r="Y4321">
        <v>52</v>
      </c>
      <c r="Z4321">
        <v>274</v>
      </c>
      <c r="AA4321">
        <v>811</v>
      </c>
      <c r="AB4321">
        <v>90.89161</v>
      </c>
      <c r="AC4321">
        <v>9.7335129999999992E-3</v>
      </c>
      <c r="AD4321">
        <v>5.1421289999999997</v>
      </c>
      <c r="AE4321">
        <v>0.74630569999999996</v>
      </c>
      <c r="AF4321">
        <v>201.4126</v>
      </c>
      <c r="AG4321">
        <f>IFERROR(AH4321*0.1, "N/A")</f>
        <v>5.6379370000000009</v>
      </c>
      <c r="AH4321">
        <v>56.379370000000002</v>
      </c>
      <c r="AI4321">
        <v>194.4127</v>
      </c>
      <c r="AJ4321">
        <v>22.050699999999999</v>
      </c>
      <c r="AK4321">
        <v>60.844410000000003</v>
      </c>
    </row>
    <row r="4322" spans="1:37" x14ac:dyDescent="0.3">
      <c r="A4322">
        <v>4321</v>
      </c>
      <c r="B4322">
        <v>17.600000000000001</v>
      </c>
      <c r="C4322">
        <v>6.75</v>
      </c>
      <c r="D4322">
        <v>7.0833360000000001</v>
      </c>
      <c r="E4322" t="s">
        <v>6781</v>
      </c>
      <c r="F4322" t="s">
        <v>6782</v>
      </c>
      <c r="G4322" t="s">
        <v>39</v>
      </c>
      <c r="H4322">
        <v>1989</v>
      </c>
      <c r="I4322">
        <v>27.5</v>
      </c>
      <c r="J4322">
        <v>9.6999999999999993</v>
      </c>
      <c r="K4322">
        <v>68.385689999999997</v>
      </c>
      <c r="L4322">
        <v>13.234349999999999</v>
      </c>
      <c r="M4322">
        <v>35</v>
      </c>
      <c r="N4322">
        <v>20.938569999999999</v>
      </c>
      <c r="O4322">
        <v>14.06143</v>
      </c>
      <c r="P4322">
        <v>25.8</v>
      </c>
      <c r="Q4322">
        <v>27.66527</v>
      </c>
      <c r="R4322">
        <v>29.3</v>
      </c>
      <c r="S4322">
        <v>25.8</v>
      </c>
      <c r="T4322">
        <v>1322.201</v>
      </c>
      <c r="U4322">
        <v>248</v>
      </c>
      <c r="V4322">
        <v>5</v>
      </c>
      <c r="W4322">
        <v>75</v>
      </c>
      <c r="X4322">
        <v>601.42930000000001</v>
      </c>
      <c r="Y4322">
        <v>29</v>
      </c>
      <c r="Z4322">
        <v>157.38570000000001</v>
      </c>
      <c r="AA4322">
        <v>601.42930000000001</v>
      </c>
      <c r="AB4322">
        <v>1.7103030000000002E-2</v>
      </c>
      <c r="AC4322">
        <v>16.587610000000002</v>
      </c>
      <c r="AD4322">
        <v>0.43874550000000001</v>
      </c>
      <c r="AE4322">
        <v>0.76493849999999997</v>
      </c>
      <c r="AF4322">
        <v>29.767890000000001</v>
      </c>
      <c r="AG4322">
        <f>IFERROR(AH4322*0.1, "N/A")</f>
        <v>5.6000000000000005</v>
      </c>
      <c r="AH4322">
        <v>56</v>
      </c>
      <c r="AI4322">
        <v>102.0981</v>
      </c>
      <c r="AJ4322">
        <v>23.123909999999999</v>
      </c>
      <c r="AK4322">
        <v>58.876089999999998</v>
      </c>
    </row>
    <row r="4323" spans="1:37" x14ac:dyDescent="0.3">
      <c r="A4323">
        <v>4322</v>
      </c>
      <c r="B4323">
        <v>19.399999999999999</v>
      </c>
      <c r="C4323">
        <v>7.0471579999999996</v>
      </c>
      <c r="D4323">
        <v>7.6919750000000002</v>
      </c>
      <c r="E4323" t="s">
        <v>6783</v>
      </c>
      <c r="F4323" t="s">
        <v>6784</v>
      </c>
      <c r="G4323" t="s">
        <v>39</v>
      </c>
      <c r="H4323">
        <v>1989</v>
      </c>
      <c r="I4323">
        <v>26.694949999999999</v>
      </c>
      <c r="J4323">
        <v>10.4</v>
      </c>
      <c r="K4323">
        <v>65.050520000000006</v>
      </c>
      <c r="L4323">
        <v>12.96</v>
      </c>
      <c r="M4323">
        <v>34.889899999999997</v>
      </c>
      <c r="N4323">
        <v>19.094950000000001</v>
      </c>
      <c r="O4323">
        <v>15.79495</v>
      </c>
      <c r="P4323">
        <v>25.394950000000001</v>
      </c>
      <c r="Q4323">
        <v>26.5</v>
      </c>
      <c r="R4323">
        <v>28.6</v>
      </c>
      <c r="S4323">
        <v>25.394950000000001</v>
      </c>
      <c r="T4323">
        <v>1236.1010000000001</v>
      </c>
      <c r="U4323">
        <v>243.0505</v>
      </c>
      <c r="V4323">
        <v>3</v>
      </c>
      <c r="W4323">
        <v>78</v>
      </c>
      <c r="X4323">
        <v>597</v>
      </c>
      <c r="Y4323">
        <v>19</v>
      </c>
      <c r="Z4323">
        <v>144.0505</v>
      </c>
      <c r="AA4323">
        <v>597</v>
      </c>
      <c r="AB4323">
        <v>26.192679999999999</v>
      </c>
      <c r="AC4323">
        <v>2.6288309999999999E-2</v>
      </c>
      <c r="AD4323">
        <v>6.4867679999999996</v>
      </c>
      <c r="AE4323">
        <v>0.76517190000000002</v>
      </c>
      <c r="AF4323">
        <v>156.9965</v>
      </c>
      <c r="AG4323">
        <f>IFERROR(AH4323*0.1, "N/A")</f>
        <v>5.8000000000000007</v>
      </c>
      <c r="AH4323">
        <v>58</v>
      </c>
      <c r="AI4323">
        <v>306.7115</v>
      </c>
      <c r="AJ4323">
        <v>17</v>
      </c>
      <c r="AK4323">
        <v>67</v>
      </c>
    </row>
    <row r="4324" spans="1:37" x14ac:dyDescent="0.3">
      <c r="A4324">
        <v>4323</v>
      </c>
      <c r="B4324">
        <v>15.6</v>
      </c>
      <c r="C4324">
        <v>8.7990720000000007</v>
      </c>
      <c r="D4324">
        <v>10.05447</v>
      </c>
      <c r="E4324" t="s">
        <v>6785</v>
      </c>
      <c r="F4324" t="s">
        <v>6786</v>
      </c>
      <c r="G4324" t="s">
        <v>39</v>
      </c>
      <c r="H4324">
        <v>1989</v>
      </c>
      <c r="I4324">
        <v>22.8</v>
      </c>
      <c r="J4324">
        <v>12.1</v>
      </c>
      <c r="K4324">
        <v>65</v>
      </c>
      <c r="L4324">
        <v>15.12</v>
      </c>
      <c r="M4324">
        <v>32</v>
      </c>
      <c r="N4324">
        <v>13.6</v>
      </c>
      <c r="O4324">
        <v>18.399999999999999</v>
      </c>
      <c r="P4324">
        <v>21.4</v>
      </c>
      <c r="Q4324">
        <v>21.7</v>
      </c>
      <c r="R4324">
        <v>25</v>
      </c>
      <c r="S4324">
        <v>21.4</v>
      </c>
      <c r="T4324">
        <v>1314</v>
      </c>
      <c r="U4324">
        <v>296</v>
      </c>
      <c r="V4324">
        <v>1</v>
      </c>
      <c r="W4324">
        <v>101</v>
      </c>
      <c r="X4324">
        <v>801</v>
      </c>
      <c r="Y4324">
        <v>3</v>
      </c>
      <c r="Z4324">
        <v>263</v>
      </c>
      <c r="AA4324">
        <v>801</v>
      </c>
      <c r="AB4324">
        <v>34.323500000000003</v>
      </c>
      <c r="AC4324">
        <v>3.9106700000000001E-2</v>
      </c>
      <c r="AD4324">
        <v>3.0741450000000001</v>
      </c>
      <c r="AE4324">
        <v>0.70564959999999999</v>
      </c>
      <c r="AF4324">
        <v>1173.4680000000001</v>
      </c>
      <c r="AG4324">
        <f>IFERROR(AH4324*0.1, "N/A")</f>
        <v>5.3000000000000007</v>
      </c>
      <c r="AH4324">
        <v>53</v>
      </c>
      <c r="AI4324">
        <v>46.560119999999998</v>
      </c>
      <c r="AJ4324">
        <v>25</v>
      </c>
      <c r="AK4324">
        <v>52</v>
      </c>
    </row>
    <row r="4325" spans="1:37" x14ac:dyDescent="0.3">
      <c r="A4325">
        <v>4324</v>
      </c>
      <c r="B4325">
        <v>3.6</v>
      </c>
      <c r="C4325">
        <v>7.6333330000000004</v>
      </c>
      <c r="D4325">
        <v>7.4333330000000002</v>
      </c>
      <c r="E4325" t="s">
        <v>6787</v>
      </c>
      <c r="F4325" t="s">
        <v>6788</v>
      </c>
      <c r="G4325" t="s">
        <v>39</v>
      </c>
      <c r="H4325">
        <v>1989</v>
      </c>
      <c r="I4325">
        <v>24.995650000000001</v>
      </c>
      <c r="J4325">
        <v>10.1</v>
      </c>
      <c r="K4325">
        <v>67</v>
      </c>
      <c r="L4325">
        <v>12.91466</v>
      </c>
      <c r="M4325">
        <v>32.852170000000001</v>
      </c>
      <c r="N4325">
        <v>17.89565</v>
      </c>
      <c r="O4325">
        <v>14.956519999999999</v>
      </c>
      <c r="P4325">
        <v>23.44783</v>
      </c>
      <c r="Q4325">
        <v>25.24783</v>
      </c>
      <c r="R4325">
        <v>26.852170000000001</v>
      </c>
      <c r="S4325">
        <v>23.44783</v>
      </c>
      <c r="T4325">
        <v>1403.7170000000001</v>
      </c>
      <c r="U4325">
        <v>288</v>
      </c>
      <c r="V4325">
        <v>8</v>
      </c>
      <c r="W4325">
        <v>75.521739999999994</v>
      </c>
      <c r="X4325">
        <v>645.80520000000001</v>
      </c>
      <c r="Y4325">
        <v>33</v>
      </c>
      <c r="Z4325">
        <v>178.19479999999999</v>
      </c>
      <c r="AA4325">
        <v>645.80520000000001</v>
      </c>
      <c r="AB4325">
        <v>20.792349999999999</v>
      </c>
      <c r="AC4325">
        <v>3.4425690000000002E-2</v>
      </c>
      <c r="AD4325">
        <v>3.6214</v>
      </c>
      <c r="AE4325">
        <v>0.60950990000000005</v>
      </c>
      <c r="AF4325">
        <v>418.42959999999999</v>
      </c>
      <c r="AG4325">
        <f>IFERROR(AH4325*0.1, "N/A")</f>
        <v>5.7</v>
      </c>
      <c r="AH4325">
        <v>57</v>
      </c>
      <c r="AI4325">
        <v>137.41229999999999</v>
      </c>
      <c r="AJ4325">
        <v>20.248699999999999</v>
      </c>
      <c r="AK4325">
        <v>71.333910000000003</v>
      </c>
    </row>
    <row r="4326" spans="1:37" x14ac:dyDescent="0.3">
      <c r="A4326">
        <v>4325</v>
      </c>
      <c r="B4326">
        <v>11.2</v>
      </c>
      <c r="C4326">
        <v>3.1833330000000002</v>
      </c>
      <c r="D4326">
        <v>7.3</v>
      </c>
      <c r="E4326" t="s">
        <v>6789</v>
      </c>
      <c r="F4326" t="s">
        <v>6790</v>
      </c>
      <c r="G4326" t="s">
        <v>39</v>
      </c>
      <c r="H4326">
        <v>1989</v>
      </c>
      <c r="I4326">
        <v>27.274999999999999</v>
      </c>
      <c r="J4326">
        <v>9.6</v>
      </c>
      <c r="K4326">
        <v>72.453130000000002</v>
      </c>
      <c r="L4326">
        <v>12.78354</v>
      </c>
      <c r="M4326">
        <v>34.774999999999999</v>
      </c>
      <c r="N4326">
        <v>21.640630000000002</v>
      </c>
      <c r="O4326">
        <v>13.134370000000001</v>
      </c>
      <c r="P4326">
        <v>26.50104</v>
      </c>
      <c r="Q4326">
        <v>28.020309999999998</v>
      </c>
      <c r="R4326">
        <v>28.875</v>
      </c>
      <c r="S4326">
        <v>25.49531</v>
      </c>
      <c r="T4326">
        <v>1156.115</v>
      </c>
      <c r="U4326">
        <v>174.45310000000001</v>
      </c>
      <c r="V4326">
        <v>9.0572920000000003</v>
      </c>
      <c r="W4326">
        <v>61</v>
      </c>
      <c r="X4326">
        <v>474.70310000000001</v>
      </c>
      <c r="Y4326">
        <v>50.057290000000002</v>
      </c>
      <c r="Z4326">
        <v>248.3073</v>
      </c>
      <c r="AA4326">
        <v>388.04689999999999</v>
      </c>
      <c r="AB4326">
        <v>8.9425360000000005</v>
      </c>
      <c r="AC4326">
        <v>9.9860729999999995E-2</v>
      </c>
      <c r="AD4326">
        <v>1.6602410000000001</v>
      </c>
      <c r="AE4326">
        <v>0.57003610000000005</v>
      </c>
      <c r="AF4326">
        <v>77.684030000000007</v>
      </c>
      <c r="AG4326">
        <f>IFERROR(AH4326*0.1, "N/A")</f>
        <v>6.1000000000000005</v>
      </c>
      <c r="AH4326">
        <v>61</v>
      </c>
      <c r="AI4326">
        <v>74.630740000000003</v>
      </c>
      <c r="AJ4326">
        <v>15.26042</v>
      </c>
      <c r="AK4326">
        <v>65.739580000000004</v>
      </c>
    </row>
    <row r="4327" spans="1:37" x14ac:dyDescent="0.3">
      <c r="A4327">
        <v>4326</v>
      </c>
      <c r="B4327">
        <v>2.2000000000000002</v>
      </c>
      <c r="C4327">
        <v>8.1303199999999993</v>
      </c>
      <c r="D4327">
        <v>7.1982100000000004</v>
      </c>
      <c r="E4327" t="s">
        <v>6791</v>
      </c>
      <c r="F4327" t="s">
        <v>6792</v>
      </c>
      <c r="G4327" t="s">
        <v>39</v>
      </c>
      <c r="H4327">
        <v>1989</v>
      </c>
      <c r="I4327">
        <v>26.5</v>
      </c>
      <c r="J4327">
        <v>10</v>
      </c>
      <c r="K4327">
        <v>65</v>
      </c>
      <c r="L4327">
        <v>13.18</v>
      </c>
      <c r="M4327">
        <v>34.4</v>
      </c>
      <c r="N4327">
        <v>19.2</v>
      </c>
      <c r="O4327">
        <v>15.2</v>
      </c>
      <c r="P4327">
        <v>25.2</v>
      </c>
      <c r="Q4327">
        <v>26.8</v>
      </c>
      <c r="R4327">
        <v>28.4</v>
      </c>
      <c r="S4327">
        <v>24.9</v>
      </c>
      <c r="T4327">
        <v>1494</v>
      </c>
      <c r="U4327">
        <v>277</v>
      </c>
      <c r="V4327">
        <v>6</v>
      </c>
      <c r="W4327">
        <v>75</v>
      </c>
      <c r="X4327">
        <v>678</v>
      </c>
      <c r="Y4327">
        <v>29</v>
      </c>
      <c r="Z4327">
        <v>177</v>
      </c>
      <c r="AA4327">
        <v>672</v>
      </c>
      <c r="AB4327">
        <v>33.925739999999998</v>
      </c>
      <c r="AC4327">
        <v>1.3851219999999999E-2</v>
      </c>
      <c r="AD4327">
        <v>1.377559</v>
      </c>
      <c r="AE4327">
        <v>0.8542014</v>
      </c>
      <c r="AF4327">
        <v>188.78960000000001</v>
      </c>
      <c r="AG4327">
        <f>IFERROR(AH4327*0.1, "N/A")</f>
        <v>6</v>
      </c>
      <c r="AH4327">
        <v>60</v>
      </c>
      <c r="AI4327">
        <v>148.16409999999999</v>
      </c>
      <c r="AJ4327">
        <v>22</v>
      </c>
      <c r="AK4327">
        <v>62</v>
      </c>
    </row>
    <row r="4328" spans="1:37" x14ac:dyDescent="0.3">
      <c r="A4328">
        <v>4327</v>
      </c>
      <c r="B4328">
        <v>1.3</v>
      </c>
      <c r="C4328">
        <v>7.6504899999999996</v>
      </c>
      <c r="D4328">
        <v>7.8007999999999997</v>
      </c>
      <c r="E4328" t="s">
        <v>6793</v>
      </c>
      <c r="F4328" t="s">
        <v>6794</v>
      </c>
      <c r="G4328" t="s">
        <v>39</v>
      </c>
      <c r="H4328">
        <v>1989</v>
      </c>
      <c r="I4328">
        <v>26.469149999999999</v>
      </c>
      <c r="J4328">
        <v>10.5</v>
      </c>
      <c r="K4328">
        <v>64</v>
      </c>
      <c r="L4328">
        <v>13.545769999999999</v>
      </c>
      <c r="M4328">
        <v>34.770539999999997</v>
      </c>
      <c r="N4328">
        <v>18.56915</v>
      </c>
      <c r="O4328">
        <v>16.20139</v>
      </c>
      <c r="P4328">
        <v>24.969149999999999</v>
      </c>
      <c r="Q4328">
        <v>26.469149999999999</v>
      </c>
      <c r="R4328">
        <v>28.47054</v>
      </c>
      <c r="S4328">
        <v>24.969149999999999</v>
      </c>
      <c r="T4328">
        <v>1307.912</v>
      </c>
      <c r="U4328">
        <v>265.1542</v>
      </c>
      <c r="V4328">
        <v>3</v>
      </c>
      <c r="W4328">
        <v>79.845749999999995</v>
      </c>
      <c r="X4328">
        <v>639.29459999999995</v>
      </c>
      <c r="Y4328">
        <v>19.154250000000001</v>
      </c>
      <c r="Z4328">
        <v>146.30850000000001</v>
      </c>
      <c r="AA4328">
        <v>639.29459999999995</v>
      </c>
      <c r="AB4328">
        <v>2.4192390000000001</v>
      </c>
      <c r="AC4328">
        <v>2.1270850000000001</v>
      </c>
      <c r="AD4328">
        <v>5.6075340000000002</v>
      </c>
      <c r="AE4328">
        <v>0.2877903</v>
      </c>
      <c r="AF4328">
        <v>202.26859999999999</v>
      </c>
      <c r="AG4328">
        <f>IFERROR(AH4328*0.1, "N/A")</f>
        <v>5.5899479999999997</v>
      </c>
      <c r="AH4328">
        <v>55.899479999999997</v>
      </c>
      <c r="AI4328">
        <v>145.41849999999999</v>
      </c>
      <c r="AJ4328">
        <v>19.469670000000001</v>
      </c>
      <c r="AK4328">
        <v>62.469670000000001</v>
      </c>
    </row>
    <row r="4329" spans="1:37" x14ac:dyDescent="0.3">
      <c r="A4329">
        <v>4328</v>
      </c>
      <c r="B4329">
        <v>3.2</v>
      </c>
      <c r="C4329">
        <v>8.3835189999999997</v>
      </c>
      <c r="D4329">
        <v>6.8566440000000002</v>
      </c>
      <c r="E4329" t="s">
        <v>6795</v>
      </c>
      <c r="F4329" t="s">
        <v>6796</v>
      </c>
      <c r="G4329" t="s">
        <v>39</v>
      </c>
      <c r="H4329">
        <v>1989</v>
      </c>
      <c r="I4329">
        <v>26.9</v>
      </c>
      <c r="J4329">
        <v>9.8000000000000007</v>
      </c>
      <c r="K4329">
        <v>68</v>
      </c>
      <c r="L4329">
        <v>12.18806</v>
      </c>
      <c r="M4329">
        <v>34.6</v>
      </c>
      <c r="N4329">
        <v>20.286560000000001</v>
      </c>
      <c r="O4329">
        <v>14.31344</v>
      </c>
      <c r="P4329">
        <v>25.7</v>
      </c>
      <c r="Q4329">
        <v>27.486560000000001</v>
      </c>
      <c r="R4329">
        <v>28.7</v>
      </c>
      <c r="S4329">
        <v>25.4</v>
      </c>
      <c r="T4329">
        <v>1673</v>
      </c>
      <c r="U4329">
        <v>281</v>
      </c>
      <c r="V4329">
        <v>8</v>
      </c>
      <c r="W4329">
        <v>73</v>
      </c>
      <c r="X4329">
        <v>754.86559999999997</v>
      </c>
      <c r="Y4329">
        <v>35</v>
      </c>
      <c r="Z4329">
        <v>191.1344</v>
      </c>
      <c r="AA4329">
        <v>719</v>
      </c>
      <c r="AB4329">
        <v>36.467370000000003</v>
      </c>
      <c r="AC4329">
        <v>1.1109859999999999E-2</v>
      </c>
      <c r="AD4329">
        <v>4.0790220000000001</v>
      </c>
      <c r="AE4329">
        <v>0.31598009999999999</v>
      </c>
      <c r="AF4329">
        <v>145.3159</v>
      </c>
      <c r="AG4329">
        <f>IFERROR(AH4329*0.1, "N/A")</f>
        <v>5.7403140000000006</v>
      </c>
      <c r="AH4329">
        <v>57.40314</v>
      </c>
      <c r="AI4329">
        <v>196.1815</v>
      </c>
      <c r="AJ4329">
        <v>20.13438</v>
      </c>
      <c r="AK4329">
        <v>66.73124</v>
      </c>
    </row>
    <row r="4330" spans="1:37" x14ac:dyDescent="0.3">
      <c r="A4330">
        <v>4329</v>
      </c>
      <c r="B4330">
        <v>29.7</v>
      </c>
      <c r="C4330">
        <v>8.5359800000000003</v>
      </c>
      <c r="D4330">
        <v>7.7317400000000003</v>
      </c>
      <c r="E4330" t="s">
        <v>6797</v>
      </c>
      <c r="F4330" t="s">
        <v>6798</v>
      </c>
      <c r="G4330" t="s">
        <v>39</v>
      </c>
      <c r="H4330">
        <v>1989</v>
      </c>
      <c r="I4330">
        <v>27.2</v>
      </c>
      <c r="J4330">
        <v>10.8</v>
      </c>
      <c r="K4330">
        <v>59</v>
      </c>
      <c r="L4330">
        <v>14.49</v>
      </c>
      <c r="M4330">
        <v>36.200000000000003</v>
      </c>
      <c r="N4330">
        <v>18</v>
      </c>
      <c r="O4330">
        <v>18.2</v>
      </c>
      <c r="P4330">
        <v>25.8</v>
      </c>
      <c r="Q4330">
        <v>27.1</v>
      </c>
      <c r="R4330">
        <v>29.5</v>
      </c>
      <c r="S4330">
        <v>25.8</v>
      </c>
      <c r="T4330">
        <v>1332</v>
      </c>
      <c r="U4330">
        <v>249</v>
      </c>
      <c r="V4330">
        <v>0</v>
      </c>
      <c r="W4330">
        <v>81</v>
      </c>
      <c r="X4330">
        <v>649</v>
      </c>
      <c r="Y4330">
        <v>12</v>
      </c>
      <c r="Z4330">
        <v>142</v>
      </c>
      <c r="AA4330">
        <v>649</v>
      </c>
      <c r="AB4330">
        <v>13.45781</v>
      </c>
      <c r="AC4330">
        <v>0.1076019</v>
      </c>
      <c r="AD4330">
        <v>2.8294630000000001</v>
      </c>
      <c r="AE4330">
        <v>0.78261860000000005</v>
      </c>
      <c r="AF4330">
        <v>93.980900000000005</v>
      </c>
      <c r="AG4330">
        <f>IFERROR(AH4330*0.1, "N/A")</f>
        <v>6.1000000000000005</v>
      </c>
      <c r="AH4330">
        <v>61</v>
      </c>
      <c r="AI4330">
        <v>99.773200000000003</v>
      </c>
      <c r="AJ4330">
        <v>23.70139</v>
      </c>
      <c r="AK4330">
        <v>53.623260000000002</v>
      </c>
    </row>
    <row r="4331" spans="1:37" x14ac:dyDescent="0.3">
      <c r="A4331">
        <v>4330</v>
      </c>
      <c r="B4331">
        <v>27.8</v>
      </c>
      <c r="C4331">
        <v>7.9500330000000003</v>
      </c>
      <c r="D4331">
        <v>13.09286</v>
      </c>
      <c r="E4331" t="s">
        <v>6799</v>
      </c>
      <c r="F4331" t="s">
        <v>6800</v>
      </c>
      <c r="G4331" t="s">
        <v>39</v>
      </c>
      <c r="H4331">
        <v>1989</v>
      </c>
      <c r="I4331">
        <v>26.35399</v>
      </c>
      <c r="J4331">
        <v>14.5</v>
      </c>
      <c r="K4331">
        <v>55.539900000000003</v>
      </c>
      <c r="L4331">
        <v>29.873619999999999</v>
      </c>
      <c r="M4331">
        <v>38.65399</v>
      </c>
      <c r="N4331">
        <v>12.807980000000001</v>
      </c>
      <c r="O4331">
        <v>25.84601</v>
      </c>
      <c r="P4331">
        <v>25.8</v>
      </c>
      <c r="Q4331">
        <v>24.553989999999999</v>
      </c>
      <c r="R4331">
        <v>30.35399</v>
      </c>
      <c r="S4331">
        <v>22.407979999999998</v>
      </c>
      <c r="T4331">
        <v>562.46010000000001</v>
      </c>
      <c r="U4331">
        <v>210.46010000000001</v>
      </c>
      <c r="V4331">
        <v>0</v>
      </c>
      <c r="W4331">
        <v>144.46010000000001</v>
      </c>
      <c r="X4331">
        <v>453.46010000000001</v>
      </c>
      <c r="Y4331">
        <v>0</v>
      </c>
      <c r="Z4331">
        <v>99</v>
      </c>
      <c r="AA4331">
        <v>0</v>
      </c>
      <c r="AB4331">
        <v>3.5663840000000002</v>
      </c>
      <c r="AC4331">
        <v>1.8061389999999999</v>
      </c>
      <c r="AD4331">
        <v>1.157475</v>
      </c>
      <c r="AE4331">
        <v>0.74141040000000002</v>
      </c>
      <c r="AF4331">
        <v>479.32429999999999</v>
      </c>
      <c r="AG4331">
        <f>IFERROR(AH4331*0.1, "N/A")</f>
        <v>6.149915</v>
      </c>
      <c r="AH4331">
        <v>61.49915</v>
      </c>
      <c r="AI4331">
        <v>279.18169999999998</v>
      </c>
      <c r="AJ4331">
        <v>13.75042</v>
      </c>
      <c r="AK4331">
        <v>72.363330000000005</v>
      </c>
    </row>
    <row r="4332" spans="1:37" x14ac:dyDescent="0.3">
      <c r="A4332">
        <v>4331</v>
      </c>
      <c r="B4332">
        <v>30.6</v>
      </c>
      <c r="C4332">
        <v>9.0048100000000009</v>
      </c>
      <c r="D4332">
        <v>7.3253500000000003</v>
      </c>
      <c r="E4332" t="s">
        <v>6801</v>
      </c>
      <c r="F4332" t="s">
        <v>6802</v>
      </c>
      <c r="G4332" t="s">
        <v>39</v>
      </c>
      <c r="H4332">
        <v>1989</v>
      </c>
      <c r="I4332">
        <v>26.4</v>
      </c>
      <c r="J4332">
        <v>10.6</v>
      </c>
      <c r="K4332">
        <v>63</v>
      </c>
      <c r="L4332">
        <v>13.28903</v>
      </c>
      <c r="M4332">
        <v>34.989220000000003</v>
      </c>
      <c r="N4332">
        <v>18.3</v>
      </c>
      <c r="O4332">
        <v>16.689219999999999</v>
      </c>
      <c r="P4332">
        <v>25.2</v>
      </c>
      <c r="Q4332">
        <v>26.689219999999999</v>
      </c>
      <c r="R4332">
        <v>28.389220000000002</v>
      </c>
      <c r="S4332">
        <v>24.9</v>
      </c>
      <c r="T4332">
        <v>1473.6469999999999</v>
      </c>
      <c r="U4332">
        <v>268.1078</v>
      </c>
      <c r="V4332">
        <v>4</v>
      </c>
      <c r="W4332">
        <v>78</v>
      </c>
      <c r="X4332">
        <v>682.43129999999996</v>
      </c>
      <c r="Y4332">
        <v>19</v>
      </c>
      <c r="Z4332">
        <v>156.1078</v>
      </c>
      <c r="AA4332">
        <v>665.21569999999997</v>
      </c>
      <c r="AB4332">
        <v>27.60417</v>
      </c>
      <c r="AC4332">
        <v>1.623635E-2</v>
      </c>
      <c r="AD4332">
        <v>1.782994</v>
      </c>
      <c r="AE4332">
        <v>0.86528629999999995</v>
      </c>
      <c r="AF4332">
        <v>224.97040000000001</v>
      </c>
      <c r="AG4332">
        <f>IFERROR(AH4332*0.1, "N/A")</f>
        <v>6.2</v>
      </c>
      <c r="AH4332">
        <v>62</v>
      </c>
      <c r="AI4332">
        <v>141.36019999999999</v>
      </c>
      <c r="AJ4332">
        <v>21</v>
      </c>
      <c r="AK4332">
        <v>62</v>
      </c>
    </row>
    <row r="4333" spans="1:37" x14ac:dyDescent="0.3">
      <c r="A4333">
        <v>4332</v>
      </c>
      <c r="B4333">
        <v>2.7</v>
      </c>
      <c r="C4333">
        <v>8.5359420000000004</v>
      </c>
      <c r="D4333">
        <v>7.7218109999999998</v>
      </c>
      <c r="E4333" t="s">
        <v>6803</v>
      </c>
      <c r="F4333" t="s">
        <v>6804</v>
      </c>
      <c r="G4333" t="s">
        <v>39</v>
      </c>
      <c r="H4333">
        <v>1989</v>
      </c>
      <c r="I4333">
        <v>27.3</v>
      </c>
      <c r="J4333">
        <v>10.8</v>
      </c>
      <c r="K4333">
        <v>59</v>
      </c>
      <c r="L4333">
        <v>14.18</v>
      </c>
      <c r="M4333">
        <v>36.200000000000003</v>
      </c>
      <c r="N4333">
        <v>18.100000000000001</v>
      </c>
      <c r="O4333">
        <v>18.100000000000001</v>
      </c>
      <c r="P4333">
        <v>25.9</v>
      </c>
      <c r="Q4333">
        <v>27.2</v>
      </c>
      <c r="R4333">
        <v>29.5</v>
      </c>
      <c r="S4333">
        <v>25.9</v>
      </c>
      <c r="T4333">
        <v>1330</v>
      </c>
      <c r="U4333">
        <v>249</v>
      </c>
      <c r="V4333">
        <v>0</v>
      </c>
      <c r="W4333">
        <v>82</v>
      </c>
      <c r="X4333">
        <v>648</v>
      </c>
      <c r="Y4333">
        <v>12</v>
      </c>
      <c r="Z4333">
        <v>141</v>
      </c>
      <c r="AA4333">
        <v>648</v>
      </c>
      <c r="AB4333">
        <v>9.9410419999999995</v>
      </c>
      <c r="AC4333">
        <v>3.2841410000000001E-2</v>
      </c>
      <c r="AD4333">
        <v>2.5141429999999998</v>
      </c>
      <c r="AE4333">
        <v>0.89206759999999996</v>
      </c>
      <c r="AF4333">
        <v>84.533910000000006</v>
      </c>
      <c r="AG4333">
        <f>IFERROR(AH4333*0.1, "N/A")</f>
        <v>6.1570430000000007</v>
      </c>
      <c r="AH4333">
        <v>61.570430000000002</v>
      </c>
      <c r="AI4333">
        <v>100.25149999999999</v>
      </c>
      <c r="AJ4333">
        <v>24.563479999999998</v>
      </c>
      <c r="AK4333">
        <v>54.796520000000001</v>
      </c>
    </row>
    <row r="4334" spans="1:37" x14ac:dyDescent="0.3">
      <c r="A4334">
        <v>4333</v>
      </c>
      <c r="B4334">
        <v>28.6</v>
      </c>
      <c r="C4334">
        <v>9.069547</v>
      </c>
      <c r="D4334">
        <v>6.7835390000000002</v>
      </c>
      <c r="E4334" t="s">
        <v>6805</v>
      </c>
      <c r="F4334" t="s">
        <v>6806</v>
      </c>
      <c r="G4334" t="s">
        <v>39</v>
      </c>
      <c r="H4334">
        <v>1989</v>
      </c>
      <c r="I4334">
        <v>26.680630000000001</v>
      </c>
      <c r="J4334">
        <v>10.199999999999999</v>
      </c>
      <c r="K4334">
        <v>68</v>
      </c>
      <c r="L4334">
        <v>11.309369999999999</v>
      </c>
      <c r="M4334">
        <v>34.680630000000001</v>
      </c>
      <c r="N4334">
        <v>19.8</v>
      </c>
      <c r="O4334">
        <v>14.88063</v>
      </c>
      <c r="P4334">
        <v>25.480630000000001</v>
      </c>
      <c r="Q4334">
        <v>27.1</v>
      </c>
      <c r="R4334">
        <v>28.280629999999999</v>
      </c>
      <c r="S4334">
        <v>25.26126</v>
      </c>
      <c r="T4334">
        <v>1784.162</v>
      </c>
      <c r="U4334">
        <v>302.19369999999998</v>
      </c>
      <c r="V4334">
        <v>9</v>
      </c>
      <c r="W4334">
        <v>74</v>
      </c>
      <c r="X4334">
        <v>817.58119999999997</v>
      </c>
      <c r="Y4334">
        <v>36.193719999999999</v>
      </c>
      <c r="Z4334">
        <v>197</v>
      </c>
      <c r="AA4334">
        <v>738.19370000000004</v>
      </c>
      <c r="AB4334">
        <v>2.0225119999999999</v>
      </c>
      <c r="AC4334">
        <v>163.7165</v>
      </c>
      <c r="AD4334">
        <v>1.720834</v>
      </c>
      <c r="AE4334">
        <v>0.62694269999999996</v>
      </c>
      <c r="AF4334">
        <v>150.76439999999999</v>
      </c>
      <c r="AG4334">
        <f>IFERROR(AH4334*0.1, "N/A")</f>
        <v>5.5</v>
      </c>
      <c r="AH4334">
        <v>55</v>
      </c>
      <c r="AI4334">
        <v>159.73320000000001</v>
      </c>
      <c r="AJ4334">
        <v>16</v>
      </c>
      <c r="AK4334">
        <v>63</v>
      </c>
    </row>
    <row r="4335" spans="1:37" x14ac:dyDescent="0.3">
      <c r="A4335">
        <v>4334</v>
      </c>
      <c r="B4335">
        <v>18.8</v>
      </c>
      <c r="C4335">
        <v>9.3098919999999996</v>
      </c>
      <c r="D4335">
        <v>8.7235189999999996</v>
      </c>
      <c r="E4335" t="s">
        <v>6807</v>
      </c>
      <c r="F4335" t="s">
        <v>6808</v>
      </c>
      <c r="G4335" t="s">
        <v>39</v>
      </c>
      <c r="H4335">
        <v>1989</v>
      </c>
      <c r="I4335">
        <v>27.6</v>
      </c>
      <c r="J4335">
        <v>11.8</v>
      </c>
      <c r="K4335">
        <v>60</v>
      </c>
      <c r="L4335">
        <v>15</v>
      </c>
      <c r="M4335">
        <v>37.200000000000003</v>
      </c>
      <c r="N4335">
        <v>17.8</v>
      </c>
      <c r="O4335">
        <v>19.399999999999999</v>
      </c>
      <c r="P4335">
        <v>26.2</v>
      </c>
      <c r="Q4335">
        <v>26.9</v>
      </c>
      <c r="R4335">
        <v>29.9</v>
      </c>
      <c r="S4335">
        <v>26.2</v>
      </c>
      <c r="T4335">
        <v>1230</v>
      </c>
      <c r="U4335">
        <v>248</v>
      </c>
      <c r="V4335">
        <v>0</v>
      </c>
      <c r="W4335">
        <v>91</v>
      </c>
      <c r="X4335">
        <v>683</v>
      </c>
      <c r="Y4335">
        <v>3</v>
      </c>
      <c r="Z4335">
        <v>237</v>
      </c>
      <c r="AA4335">
        <v>683</v>
      </c>
      <c r="AB4335">
        <v>1.361316</v>
      </c>
      <c r="AC4335">
        <v>2.061293</v>
      </c>
      <c r="AD4335">
        <v>1.727911</v>
      </c>
      <c r="AE4335">
        <v>0.70253410000000005</v>
      </c>
      <c r="AF4335">
        <v>199.23490000000001</v>
      </c>
      <c r="AG4335">
        <f>IFERROR(AH4335*0.1, "N/A")</f>
        <v>6.0699480000000001</v>
      </c>
      <c r="AH4335">
        <v>60.699480000000001</v>
      </c>
      <c r="AI4335">
        <v>161.89580000000001</v>
      </c>
      <c r="AJ4335">
        <v>12</v>
      </c>
      <c r="AK4335">
        <v>70.300520000000006</v>
      </c>
    </row>
    <row r="4336" spans="1:37" x14ac:dyDescent="0.3">
      <c r="A4336">
        <v>4335</v>
      </c>
      <c r="B4336">
        <v>26.9</v>
      </c>
      <c r="C4336">
        <v>9.2834199999999996</v>
      </c>
      <c r="D4336">
        <v>7.1668099999999999</v>
      </c>
      <c r="E4336" t="s">
        <v>6809</v>
      </c>
      <c r="F4336" t="s">
        <v>6810</v>
      </c>
      <c r="G4336" t="s">
        <v>39</v>
      </c>
      <c r="H4336">
        <v>1989</v>
      </c>
      <c r="I4336">
        <v>26.912500000000001</v>
      </c>
      <c r="J4336">
        <v>10.6</v>
      </c>
      <c r="K4336">
        <v>64.835070000000002</v>
      </c>
      <c r="L4336">
        <v>12.208780000000001</v>
      </c>
      <c r="M4336">
        <v>35.328989999999997</v>
      </c>
      <c r="N4336">
        <v>19.012499999999999</v>
      </c>
      <c r="O4336">
        <v>16.316490000000002</v>
      </c>
      <c r="P4336">
        <v>25.773260000000001</v>
      </c>
      <c r="Q4336">
        <v>27.1</v>
      </c>
      <c r="R4336">
        <v>28.71649</v>
      </c>
      <c r="S4336">
        <v>25.512499999999999</v>
      </c>
      <c r="T4336">
        <v>1550.2660000000001</v>
      </c>
      <c r="U4336">
        <v>277.39240000000001</v>
      </c>
      <c r="V4336">
        <v>5</v>
      </c>
      <c r="W4336">
        <v>77.164929999999998</v>
      </c>
      <c r="X4336">
        <v>717.83510000000001</v>
      </c>
      <c r="Y4336">
        <v>22</v>
      </c>
      <c r="Z4336">
        <v>165.54509999999999</v>
      </c>
      <c r="AA4336">
        <v>684.39239999999995</v>
      </c>
      <c r="AB4336">
        <v>31.487670000000001</v>
      </c>
      <c r="AC4336">
        <v>1.8098690000000001E-2</v>
      </c>
      <c r="AD4336">
        <v>2.694439</v>
      </c>
      <c r="AE4336">
        <v>0.67303710000000005</v>
      </c>
      <c r="AF4336">
        <v>140.5608</v>
      </c>
      <c r="AG4336">
        <f>IFERROR(AH4336*0.1, "N/A")</f>
        <v>5.728993</v>
      </c>
      <c r="AH4336">
        <v>57.289929999999998</v>
      </c>
      <c r="AI4336">
        <v>226.03139999999999</v>
      </c>
      <c r="AJ4336">
        <v>16.57986</v>
      </c>
      <c r="AK4336">
        <v>66.130210000000005</v>
      </c>
    </row>
    <row r="4337" spans="1:37" x14ac:dyDescent="0.3">
      <c r="A4337">
        <v>4336</v>
      </c>
      <c r="B4337">
        <v>2</v>
      </c>
      <c r="C4337">
        <v>7.4943</v>
      </c>
      <c r="D4337">
        <v>6.4401999999999999</v>
      </c>
      <c r="E4337" t="s">
        <v>6811</v>
      </c>
      <c r="F4337" t="s">
        <v>6812</v>
      </c>
      <c r="G4337" t="s">
        <v>39</v>
      </c>
      <c r="H4337">
        <v>2003</v>
      </c>
      <c r="I4337">
        <v>26.3</v>
      </c>
      <c r="J4337">
        <v>8.9</v>
      </c>
      <c r="K4337">
        <v>72</v>
      </c>
      <c r="L4337">
        <v>12.84</v>
      </c>
      <c r="M4337">
        <v>33.200000000000003</v>
      </c>
      <c r="N4337">
        <v>20.9</v>
      </c>
      <c r="O4337">
        <v>12.3</v>
      </c>
      <c r="P4337">
        <v>24.6</v>
      </c>
      <c r="Q4337">
        <v>27</v>
      </c>
      <c r="R4337">
        <v>28</v>
      </c>
      <c r="S4337">
        <v>24.6</v>
      </c>
      <c r="T4337">
        <v>1738</v>
      </c>
      <c r="U4337">
        <v>299</v>
      </c>
      <c r="V4337">
        <v>9</v>
      </c>
      <c r="W4337">
        <v>72</v>
      </c>
      <c r="X4337">
        <v>766</v>
      </c>
      <c r="Y4337">
        <v>43</v>
      </c>
      <c r="Z4337">
        <v>236</v>
      </c>
      <c r="AA4337">
        <v>708</v>
      </c>
      <c r="AB4337">
        <v>12.575530000000001</v>
      </c>
      <c r="AC4337">
        <v>7.2752750000000005E-2</v>
      </c>
      <c r="AD4337">
        <v>1.5268489999999999</v>
      </c>
      <c r="AE4337">
        <v>0.84544010000000003</v>
      </c>
      <c r="AF4337">
        <v>196.20490000000001</v>
      </c>
      <c r="AG4337">
        <f>IFERROR(AH4337*0.1, "N/A")</f>
        <v>5.9152780000000007</v>
      </c>
      <c r="AH4337">
        <v>59.15278</v>
      </c>
      <c r="AI4337">
        <v>140.47059999999999</v>
      </c>
      <c r="AJ4337">
        <v>25</v>
      </c>
      <c r="AK4337">
        <v>59.923609999999996</v>
      </c>
    </row>
    <row r="4338" spans="1:37" x14ac:dyDescent="0.3">
      <c r="A4338">
        <v>4337</v>
      </c>
      <c r="B4338">
        <v>12.7</v>
      </c>
      <c r="C4338">
        <v>7.4191000000000003</v>
      </c>
      <c r="D4338">
        <v>5.9287099999999997</v>
      </c>
      <c r="E4338" t="s">
        <v>6813</v>
      </c>
      <c r="F4338" t="s">
        <v>6814</v>
      </c>
      <c r="G4338" t="s">
        <v>39</v>
      </c>
      <c r="H4338">
        <v>1995</v>
      </c>
      <c r="I4338">
        <v>26.6</v>
      </c>
      <c r="J4338">
        <v>8.6999999999999993</v>
      </c>
      <c r="K4338">
        <v>75</v>
      </c>
      <c r="L4338">
        <v>11.27</v>
      </c>
      <c r="M4338">
        <v>33.1</v>
      </c>
      <c r="N4338">
        <v>21.6</v>
      </c>
      <c r="O4338">
        <v>11.5</v>
      </c>
      <c r="P4338">
        <v>25.1</v>
      </c>
      <c r="Q4338">
        <v>27.2</v>
      </c>
      <c r="R4338">
        <v>28.1</v>
      </c>
      <c r="S4338">
        <v>25.1</v>
      </c>
      <c r="T4338">
        <v>1985</v>
      </c>
      <c r="U4338">
        <v>305</v>
      </c>
      <c r="V4338">
        <v>10</v>
      </c>
      <c r="W4338">
        <v>67</v>
      </c>
      <c r="X4338">
        <v>848</v>
      </c>
      <c r="Y4338">
        <v>61</v>
      </c>
      <c r="Z4338">
        <v>289</v>
      </c>
      <c r="AA4338">
        <v>848</v>
      </c>
      <c r="AB4338">
        <v>14.05315</v>
      </c>
      <c r="AC4338">
        <v>1.456816E-2</v>
      </c>
      <c r="AD4338">
        <v>1.6370830000000001</v>
      </c>
      <c r="AE4338">
        <v>0.72171680000000005</v>
      </c>
      <c r="AF4338">
        <v>135.63460000000001</v>
      </c>
      <c r="AG4338">
        <f>IFERROR(AH4338*0.1, "N/A")</f>
        <v>5.5015730000000005</v>
      </c>
      <c r="AH4338">
        <v>55.015729999999998</v>
      </c>
      <c r="AI4338">
        <v>113.8107</v>
      </c>
      <c r="AJ4338">
        <v>28.956289999999999</v>
      </c>
      <c r="AK4338">
        <v>60.043709999999997</v>
      </c>
    </row>
    <row r="4339" spans="1:37" x14ac:dyDescent="0.3">
      <c r="A4339">
        <v>4338</v>
      </c>
      <c r="B4339">
        <v>23.2</v>
      </c>
      <c r="C4339">
        <v>6.0301</v>
      </c>
      <c r="D4339">
        <v>7.2058</v>
      </c>
      <c r="E4339" t="s">
        <v>6815</v>
      </c>
      <c r="F4339" t="s">
        <v>6816</v>
      </c>
      <c r="G4339" t="s">
        <v>39</v>
      </c>
      <c r="H4339">
        <v>2001</v>
      </c>
      <c r="I4339">
        <v>25.3</v>
      </c>
      <c r="J4339">
        <v>9.8000000000000007</v>
      </c>
      <c r="K4339">
        <v>71</v>
      </c>
      <c r="L4339">
        <v>12.4</v>
      </c>
      <c r="M4339">
        <v>32.799999999999997</v>
      </c>
      <c r="N4339">
        <v>19</v>
      </c>
      <c r="O4339">
        <v>13.8</v>
      </c>
      <c r="P4339">
        <v>23.7</v>
      </c>
      <c r="Q4339">
        <v>25.6</v>
      </c>
      <c r="R4339">
        <v>27</v>
      </c>
      <c r="S4339">
        <v>23.7</v>
      </c>
      <c r="T4339">
        <v>1369</v>
      </c>
      <c r="U4339">
        <v>253</v>
      </c>
      <c r="V4339">
        <v>10</v>
      </c>
      <c r="W4339">
        <v>67</v>
      </c>
      <c r="X4339">
        <v>581</v>
      </c>
      <c r="Y4339">
        <v>48</v>
      </c>
      <c r="Z4339">
        <v>225</v>
      </c>
      <c r="AA4339">
        <v>581</v>
      </c>
      <c r="AB4339">
        <v>24.507300000000001</v>
      </c>
      <c r="AC4339">
        <v>7.2529109999999994E-2</v>
      </c>
      <c r="AD4339">
        <v>5.1248690000000003</v>
      </c>
      <c r="AE4339">
        <v>0.55516379999999999</v>
      </c>
      <c r="AF4339">
        <v>307.40170000000001</v>
      </c>
      <c r="AG4339">
        <f>IFERROR(AH4339*0.1, "N/A")</f>
        <v>5.4846960000000005</v>
      </c>
      <c r="AH4339">
        <v>54.846960000000003</v>
      </c>
      <c r="AI4339">
        <v>140.80330000000001</v>
      </c>
      <c r="AJ4339">
        <v>19.846959999999999</v>
      </c>
      <c r="AK4339">
        <v>63.8887</v>
      </c>
    </row>
    <row r="4340" spans="1:37" x14ac:dyDescent="0.3">
      <c r="A4340">
        <v>4339</v>
      </c>
      <c r="B4340">
        <v>31.6</v>
      </c>
      <c r="C4340">
        <v>6.1234999999999999</v>
      </c>
      <c r="D4340">
        <v>7.0397999999999996</v>
      </c>
      <c r="E4340" t="s">
        <v>6817</v>
      </c>
      <c r="F4340" t="s">
        <v>6818</v>
      </c>
      <c r="G4340" t="s">
        <v>39</v>
      </c>
      <c r="H4340">
        <v>2001</v>
      </c>
      <c r="I4340">
        <v>25.9</v>
      </c>
      <c r="J4340">
        <v>9.6</v>
      </c>
      <c r="K4340">
        <v>70</v>
      </c>
      <c r="L4340">
        <v>12.28</v>
      </c>
      <c r="M4340">
        <v>33.299999999999997</v>
      </c>
      <c r="N4340">
        <v>19.7</v>
      </c>
      <c r="O4340">
        <v>13.6</v>
      </c>
      <c r="P4340">
        <v>24.3</v>
      </c>
      <c r="Q4340">
        <v>26.2</v>
      </c>
      <c r="R4340">
        <v>27.6</v>
      </c>
      <c r="S4340">
        <v>24.3</v>
      </c>
      <c r="T4340">
        <v>1430</v>
      </c>
      <c r="U4340">
        <v>265</v>
      </c>
      <c r="V4340">
        <v>10</v>
      </c>
      <c r="W4340">
        <v>69</v>
      </c>
      <c r="X4340">
        <v>607</v>
      </c>
      <c r="Y4340">
        <v>44</v>
      </c>
      <c r="Z4340">
        <v>229</v>
      </c>
      <c r="AA4340">
        <v>607</v>
      </c>
      <c r="AB4340">
        <v>4.7365839999999997</v>
      </c>
      <c r="AC4340">
        <v>0.61274439999999997</v>
      </c>
      <c r="AD4340">
        <v>2.831277</v>
      </c>
      <c r="AE4340">
        <v>0.53503559999999994</v>
      </c>
      <c r="AF4340">
        <v>198.36590000000001</v>
      </c>
      <c r="AG4340">
        <f>IFERROR(AH4340*0.1, "N/A")</f>
        <v>5.5402440000000004</v>
      </c>
      <c r="AH4340">
        <v>55.402439999999999</v>
      </c>
      <c r="AI4340">
        <v>137.09379999999999</v>
      </c>
      <c r="AJ4340">
        <v>11.116720000000001</v>
      </c>
      <c r="AK4340">
        <v>70.144599999999997</v>
      </c>
    </row>
    <row r="4341" spans="1:37" x14ac:dyDescent="0.3">
      <c r="A4341">
        <v>4340</v>
      </c>
      <c r="B4341">
        <v>21.4</v>
      </c>
      <c r="C4341">
        <v>8.0407700000000002</v>
      </c>
      <c r="D4341">
        <v>5.7364199999999999</v>
      </c>
      <c r="E4341" t="s">
        <v>6819</v>
      </c>
      <c r="F4341" t="s">
        <v>6820</v>
      </c>
      <c r="G4341" t="s">
        <v>39</v>
      </c>
      <c r="H4341">
        <v>2009</v>
      </c>
      <c r="I4341">
        <v>27.3</v>
      </c>
      <c r="J4341">
        <v>8.6999999999999993</v>
      </c>
      <c r="K4341">
        <v>76</v>
      </c>
      <c r="L4341">
        <v>10.039999999999999</v>
      </c>
      <c r="M4341">
        <v>33.700000000000003</v>
      </c>
      <c r="N4341">
        <v>22.3</v>
      </c>
      <c r="O4341">
        <v>11.4</v>
      </c>
      <c r="P4341">
        <v>25.9</v>
      </c>
      <c r="Q4341">
        <v>27.7</v>
      </c>
      <c r="R4341">
        <v>28.6</v>
      </c>
      <c r="S4341">
        <v>25.9</v>
      </c>
      <c r="T4341">
        <v>2135</v>
      </c>
      <c r="U4341">
        <v>321</v>
      </c>
      <c r="V4341">
        <v>13</v>
      </c>
      <c r="W4341">
        <v>66</v>
      </c>
      <c r="X4341">
        <v>921</v>
      </c>
      <c r="Y4341">
        <v>74</v>
      </c>
      <c r="Z4341">
        <v>302</v>
      </c>
      <c r="AA4341">
        <v>921</v>
      </c>
      <c r="AB4341">
        <v>10.409079999999999</v>
      </c>
      <c r="AC4341">
        <v>2.5369260000000001E-2</v>
      </c>
      <c r="AD4341">
        <v>5.0160140000000002</v>
      </c>
      <c r="AE4341">
        <v>0.73208949999999995</v>
      </c>
      <c r="AF4341">
        <v>22.075040000000001</v>
      </c>
      <c r="AG4341">
        <f>IFERROR(AH4341*0.1, "N/A")</f>
        <v>5.2015710000000004</v>
      </c>
      <c r="AH4341">
        <v>52.015709999999999</v>
      </c>
      <c r="AI4341">
        <v>124.5003</v>
      </c>
      <c r="AJ4341">
        <v>25</v>
      </c>
      <c r="AK4341">
        <v>63</v>
      </c>
    </row>
    <row r="4342" spans="1:37" x14ac:dyDescent="0.3">
      <c r="A4342">
        <v>4341</v>
      </c>
      <c r="B4342">
        <v>62.7</v>
      </c>
      <c r="C4342">
        <v>8.2990100000000009</v>
      </c>
      <c r="D4342">
        <v>6.1592200000000004</v>
      </c>
      <c r="E4342" t="s">
        <v>6821</v>
      </c>
      <c r="F4342" t="s">
        <v>6822</v>
      </c>
      <c r="G4342" t="s">
        <v>39</v>
      </c>
      <c r="H4342">
        <v>2006</v>
      </c>
      <c r="I4342">
        <v>27.6</v>
      </c>
      <c r="J4342">
        <v>9.1999999999999993</v>
      </c>
      <c r="K4342">
        <v>73</v>
      </c>
      <c r="L4342">
        <v>10.99</v>
      </c>
      <c r="M4342">
        <v>34.6</v>
      </c>
      <c r="N4342">
        <v>22.1</v>
      </c>
      <c r="O4342">
        <v>12.5</v>
      </c>
      <c r="P4342">
        <v>26.4</v>
      </c>
      <c r="Q4342">
        <v>28.1</v>
      </c>
      <c r="R4342">
        <v>29.1</v>
      </c>
      <c r="S4342">
        <v>26.2</v>
      </c>
      <c r="T4342">
        <v>2039</v>
      </c>
      <c r="U4342">
        <v>306</v>
      </c>
      <c r="V4342">
        <v>10</v>
      </c>
      <c r="W4342">
        <v>69</v>
      </c>
      <c r="X4342">
        <v>875</v>
      </c>
      <c r="Y4342">
        <v>55</v>
      </c>
      <c r="Z4342">
        <v>264</v>
      </c>
      <c r="AA4342">
        <v>873</v>
      </c>
      <c r="AB4342">
        <v>2.7024439999999998</v>
      </c>
      <c r="AC4342">
        <v>4.1740939999999997E-2</v>
      </c>
      <c r="AD4342">
        <v>1.6270830000000001</v>
      </c>
      <c r="AE4342">
        <v>0.73154680000000005</v>
      </c>
      <c r="AF4342">
        <v>25.457239999999999</v>
      </c>
      <c r="AG4342">
        <f>IFERROR(AH4342*0.1, "N/A")</f>
        <v>5.3909250000000002</v>
      </c>
      <c r="AH4342">
        <v>53.90925</v>
      </c>
      <c r="AI4342">
        <v>152.18209999999999</v>
      </c>
      <c r="AJ4342">
        <v>22.87435</v>
      </c>
      <c r="AK4342">
        <v>58.069809999999997</v>
      </c>
    </row>
    <row r="4343" spans="1:37" x14ac:dyDescent="0.3">
      <c r="A4343">
        <v>4342</v>
      </c>
      <c r="B4343">
        <v>51.3</v>
      </c>
      <c r="C4343">
        <v>7.9592859999999996</v>
      </c>
      <c r="D4343">
        <v>6.1915899999999997</v>
      </c>
      <c r="E4343" t="s">
        <v>6823</v>
      </c>
      <c r="F4343" t="s">
        <v>6824</v>
      </c>
      <c r="G4343" t="s">
        <v>39</v>
      </c>
      <c r="H4343">
        <v>2006</v>
      </c>
      <c r="I4343">
        <v>27.5</v>
      </c>
      <c r="J4343">
        <v>9</v>
      </c>
      <c r="K4343">
        <v>73</v>
      </c>
      <c r="L4343">
        <v>11.488569999999999</v>
      </c>
      <c r="M4343">
        <v>34.385719999999999</v>
      </c>
      <c r="N4343">
        <v>22.1</v>
      </c>
      <c r="O4343">
        <v>12.28571</v>
      </c>
      <c r="P4343">
        <v>25.985710000000001</v>
      </c>
      <c r="Q4343">
        <v>28.085709999999999</v>
      </c>
      <c r="R4343">
        <v>29.085709999999999</v>
      </c>
      <c r="S4343">
        <v>25.985710000000001</v>
      </c>
      <c r="T4343">
        <v>1929.857</v>
      </c>
      <c r="U4343">
        <v>296</v>
      </c>
      <c r="V4343">
        <v>8</v>
      </c>
      <c r="W4343">
        <v>70</v>
      </c>
      <c r="X4343">
        <v>834.85709999999995</v>
      </c>
      <c r="Y4343">
        <v>49.857140000000001</v>
      </c>
      <c r="Z4343">
        <v>256</v>
      </c>
      <c r="AA4343">
        <v>834.85709999999995</v>
      </c>
      <c r="AB4343">
        <v>4.0916389999999998</v>
      </c>
      <c r="AC4343">
        <v>0.22273580000000001</v>
      </c>
      <c r="AD4343">
        <v>2.7647590000000002</v>
      </c>
      <c r="AE4343">
        <v>0.63449140000000004</v>
      </c>
      <c r="AF4343">
        <v>50.872819999999997</v>
      </c>
      <c r="AG4343">
        <f>IFERROR(AH4343*0.1, "N/A")</f>
        <v>5.2369340000000006</v>
      </c>
      <c r="AH4343">
        <v>52.369340000000001</v>
      </c>
      <c r="AI4343">
        <v>123.5146</v>
      </c>
      <c r="AJ4343">
        <v>24.13937</v>
      </c>
      <c r="AK4343">
        <v>61.675960000000003</v>
      </c>
    </row>
    <row r="4344" spans="1:37" x14ac:dyDescent="0.3">
      <c r="A4344">
        <v>4343</v>
      </c>
      <c r="B4344">
        <v>0.7</v>
      </c>
      <c r="C4344">
        <v>4.5666669999999998</v>
      </c>
      <c r="D4344">
        <v>7.4666670000000002</v>
      </c>
      <c r="E4344" t="s">
        <v>6825</v>
      </c>
      <c r="F4344" t="s">
        <v>6826</v>
      </c>
      <c r="G4344" t="s">
        <v>39</v>
      </c>
      <c r="H4344">
        <v>2009</v>
      </c>
      <c r="I4344">
        <v>26.066839999999999</v>
      </c>
      <c r="J4344">
        <v>9.6</v>
      </c>
      <c r="K4344">
        <v>70.668400000000005</v>
      </c>
      <c r="L4344">
        <v>12.566409999999999</v>
      </c>
      <c r="M4344">
        <v>33.6</v>
      </c>
      <c r="N4344">
        <v>20.066839999999999</v>
      </c>
      <c r="O4344">
        <v>13.533160000000001</v>
      </c>
      <c r="P4344">
        <v>24.720310000000001</v>
      </c>
      <c r="Q4344">
        <v>26.566839999999999</v>
      </c>
      <c r="R4344">
        <v>27.6</v>
      </c>
      <c r="S4344">
        <v>24.220310000000001</v>
      </c>
      <c r="T4344">
        <v>1349.191</v>
      </c>
      <c r="U4344">
        <v>213</v>
      </c>
      <c r="V4344">
        <v>9</v>
      </c>
      <c r="W4344">
        <v>62</v>
      </c>
      <c r="X4344">
        <v>527</v>
      </c>
      <c r="Y4344">
        <v>50</v>
      </c>
      <c r="Z4344">
        <v>244</v>
      </c>
      <c r="AA4344">
        <v>517.59550000000002</v>
      </c>
      <c r="AB4344">
        <v>20.555389999999999</v>
      </c>
      <c r="AC4344">
        <v>9.0949110000000007E-3</v>
      </c>
      <c r="AD4344">
        <v>2.8664299999999998</v>
      </c>
      <c r="AE4344">
        <v>0.85675199999999996</v>
      </c>
      <c r="AF4344">
        <v>293.13369999999998</v>
      </c>
      <c r="AG4344">
        <f>IFERROR(AH4344*0.1, "N/A")</f>
        <v>6.1000000000000005</v>
      </c>
      <c r="AH4344">
        <v>61</v>
      </c>
      <c r="AI4344">
        <v>101.2</v>
      </c>
      <c r="AJ4344">
        <v>20.00694</v>
      </c>
      <c r="AK4344">
        <v>62.00694</v>
      </c>
    </row>
    <row r="4345" spans="1:37" x14ac:dyDescent="0.3">
      <c r="A4345">
        <v>4344</v>
      </c>
      <c r="B4345">
        <v>19.05</v>
      </c>
      <c r="C4345">
        <v>4.5911999999999997</v>
      </c>
      <c r="D4345">
        <v>7.9429999999999996</v>
      </c>
      <c r="E4345" t="s">
        <v>6827</v>
      </c>
      <c r="F4345" t="s">
        <v>6828</v>
      </c>
      <c r="G4345" t="s">
        <v>37</v>
      </c>
      <c r="H4345">
        <v>2007</v>
      </c>
      <c r="I4345">
        <v>26.057289999999998</v>
      </c>
      <c r="J4345">
        <v>10.4</v>
      </c>
      <c r="K4345">
        <v>68</v>
      </c>
      <c r="L4345">
        <v>13.16156</v>
      </c>
      <c r="M4345">
        <v>34.200000000000003</v>
      </c>
      <c r="N4345">
        <v>19.057289999999998</v>
      </c>
      <c r="O4345">
        <v>15.142709999999999</v>
      </c>
      <c r="P4345">
        <v>24.6</v>
      </c>
      <c r="Q4345">
        <v>26.357289999999999</v>
      </c>
      <c r="R4345">
        <v>27.7</v>
      </c>
      <c r="S4345">
        <v>24.2</v>
      </c>
      <c r="T4345">
        <v>1249</v>
      </c>
      <c r="U4345">
        <v>210</v>
      </c>
      <c r="V4345">
        <v>10</v>
      </c>
      <c r="W4345">
        <v>64</v>
      </c>
      <c r="X4345">
        <v>511</v>
      </c>
      <c r="Y4345">
        <v>44</v>
      </c>
      <c r="Z4345">
        <v>214</v>
      </c>
      <c r="AA4345">
        <v>465</v>
      </c>
      <c r="AB4345">
        <v>14.517200000000001</v>
      </c>
      <c r="AC4345">
        <v>3.1708840000000002E-2</v>
      </c>
      <c r="AD4345">
        <v>2.519002</v>
      </c>
      <c r="AE4345">
        <v>0.54202510000000004</v>
      </c>
      <c r="AF4345">
        <v>341.48090000000002</v>
      </c>
      <c r="AG4345">
        <f>IFERROR(AH4345*0.1, "N/A")</f>
        <v>5.3491320000000009</v>
      </c>
      <c r="AH4345">
        <v>53.491320000000002</v>
      </c>
      <c r="AI4345">
        <v>237.61189999999999</v>
      </c>
      <c r="AJ4345">
        <v>21.873259999999998</v>
      </c>
      <c r="AK4345">
        <v>59.956600000000002</v>
      </c>
    </row>
    <row r="4346" spans="1:37" x14ac:dyDescent="0.3">
      <c r="A4346">
        <v>4345</v>
      </c>
      <c r="B4346">
        <v>33.299999999999997</v>
      </c>
      <c r="C4346">
        <v>4.5666700000000002</v>
      </c>
      <c r="D4346">
        <v>7.9666699999999997</v>
      </c>
      <c r="E4346" t="s">
        <v>6829</v>
      </c>
      <c r="F4346" t="s">
        <v>6830</v>
      </c>
      <c r="G4346" t="s">
        <v>37</v>
      </c>
      <c r="H4346">
        <v>2007</v>
      </c>
      <c r="I4346">
        <v>26.08426</v>
      </c>
      <c r="J4346">
        <v>10.5</v>
      </c>
      <c r="K4346">
        <v>68</v>
      </c>
      <c r="L4346">
        <v>13.11529</v>
      </c>
      <c r="M4346">
        <v>34.35087</v>
      </c>
      <c r="N4346">
        <v>19.05087</v>
      </c>
      <c r="O4346">
        <v>15.3</v>
      </c>
      <c r="P4346">
        <v>24.684259999999998</v>
      </c>
      <c r="Q4346">
        <v>26.384260000000001</v>
      </c>
      <c r="R4346">
        <v>27.782869999999999</v>
      </c>
      <c r="S4346">
        <v>24.28426</v>
      </c>
      <c r="T4346">
        <v>1245.42</v>
      </c>
      <c r="U4346">
        <v>210.0138</v>
      </c>
      <c r="V4346">
        <v>9.8096890000000005</v>
      </c>
      <c r="W4346">
        <v>64.856399999999994</v>
      </c>
      <c r="X4346">
        <v>509.17129999999997</v>
      </c>
      <c r="Y4346">
        <v>43.809690000000003</v>
      </c>
      <c r="Z4346">
        <v>213.31489999999999</v>
      </c>
      <c r="AA4346">
        <v>463.17129999999997</v>
      </c>
      <c r="AB4346">
        <v>13.15517</v>
      </c>
      <c r="AC4346">
        <v>1.32132E-2</v>
      </c>
      <c r="AD4346">
        <v>3.4520900000000001</v>
      </c>
      <c r="AE4346">
        <v>0.51619939999999997</v>
      </c>
      <c r="AF4346">
        <v>343.52249999999998</v>
      </c>
      <c r="AG4346">
        <f>IFERROR(AH4346*0.1, "N/A")</f>
        <v>5.5143599999999999</v>
      </c>
      <c r="AH4346">
        <v>55.143599999999999</v>
      </c>
      <c r="AI4346">
        <v>62.582799999999999</v>
      </c>
      <c r="AJ4346">
        <v>24.434259999999998</v>
      </c>
      <c r="AK4346">
        <v>56.737020000000001</v>
      </c>
    </row>
    <row r="4347" spans="1:37" x14ac:dyDescent="0.3">
      <c r="A4347">
        <v>4346</v>
      </c>
      <c r="B4347">
        <v>41.6</v>
      </c>
      <c r="C4347">
        <v>8.4229599999999998</v>
      </c>
      <c r="D4347">
        <v>11.9344</v>
      </c>
      <c r="E4347" t="s">
        <v>6831</v>
      </c>
      <c r="F4347" t="s">
        <v>6832</v>
      </c>
      <c r="G4347" t="s">
        <v>39</v>
      </c>
      <c r="H4347">
        <v>2007</v>
      </c>
      <c r="I4347">
        <v>26.1</v>
      </c>
      <c r="J4347">
        <v>14</v>
      </c>
      <c r="K4347">
        <v>56</v>
      </c>
      <c r="L4347">
        <v>27.35</v>
      </c>
      <c r="M4347">
        <v>38.1</v>
      </c>
      <c r="N4347">
        <v>13.2</v>
      </c>
      <c r="O4347">
        <v>24.9</v>
      </c>
      <c r="P4347">
        <v>25.6</v>
      </c>
      <c r="Q4347">
        <v>22.8</v>
      </c>
      <c r="R4347">
        <v>29.8</v>
      </c>
      <c r="S4347">
        <v>22.7</v>
      </c>
      <c r="T4347">
        <v>781</v>
      </c>
      <c r="U4347">
        <v>261</v>
      </c>
      <c r="V4347">
        <v>0</v>
      </c>
      <c r="W4347">
        <v>130</v>
      </c>
      <c r="X4347">
        <v>579</v>
      </c>
      <c r="Y4347">
        <v>0</v>
      </c>
      <c r="Z4347">
        <v>186</v>
      </c>
      <c r="AA4347">
        <v>0</v>
      </c>
      <c r="AB4347">
        <v>6.977595</v>
      </c>
      <c r="AC4347">
        <v>3.1278460000000001E-2</v>
      </c>
      <c r="AD4347">
        <v>1.034062</v>
      </c>
      <c r="AE4347">
        <v>0.81107200000000002</v>
      </c>
      <c r="AF4347">
        <v>461.11619999999999</v>
      </c>
      <c r="AG4347">
        <f>IFERROR(AH4347*0.1, "N/A")</f>
        <v>6.3196580000000004</v>
      </c>
      <c r="AH4347">
        <v>63.196579999999997</v>
      </c>
      <c r="AI4347">
        <v>143.12880000000001</v>
      </c>
      <c r="AJ4347">
        <v>16.27692</v>
      </c>
      <c r="AK4347">
        <v>57.803420000000003</v>
      </c>
    </row>
    <row r="4348" spans="1:37" x14ac:dyDescent="0.3">
      <c r="A4348">
        <v>4347</v>
      </c>
      <c r="B4348">
        <v>12.5</v>
      </c>
      <c r="C4348">
        <v>6.5357900000000004</v>
      </c>
      <c r="D4348">
        <v>9.61036</v>
      </c>
      <c r="E4348" t="s">
        <v>6833</v>
      </c>
      <c r="F4348" t="s">
        <v>6834</v>
      </c>
      <c r="G4348" t="s">
        <v>39</v>
      </c>
      <c r="H4348">
        <v>2008</v>
      </c>
      <c r="I4348">
        <v>27.5</v>
      </c>
      <c r="J4348">
        <v>11.9</v>
      </c>
      <c r="K4348">
        <v>62</v>
      </c>
      <c r="L4348">
        <v>17.43</v>
      </c>
      <c r="M4348">
        <v>37.9</v>
      </c>
      <c r="N4348">
        <v>18.8</v>
      </c>
      <c r="O4348">
        <v>19.100000000000001</v>
      </c>
      <c r="P4348">
        <v>25.5</v>
      </c>
      <c r="Q4348">
        <v>27.9</v>
      </c>
      <c r="R4348">
        <v>30</v>
      </c>
      <c r="S4348">
        <v>25.5</v>
      </c>
      <c r="T4348">
        <v>1224</v>
      </c>
      <c r="U4348">
        <v>259</v>
      </c>
      <c r="V4348">
        <v>1</v>
      </c>
      <c r="W4348">
        <v>95</v>
      </c>
      <c r="X4348">
        <v>728</v>
      </c>
      <c r="Y4348">
        <v>6</v>
      </c>
      <c r="Z4348">
        <v>76</v>
      </c>
      <c r="AA4348">
        <v>728</v>
      </c>
      <c r="AB4348">
        <v>15.928229999999999</v>
      </c>
      <c r="AC4348">
        <v>1.4771039999999999E-2</v>
      </c>
      <c r="AD4348">
        <v>2.299668</v>
      </c>
      <c r="AE4348">
        <v>0.83595940000000002</v>
      </c>
      <c r="AF4348">
        <v>240.90710000000001</v>
      </c>
      <c r="AG4348">
        <f>IFERROR(AH4348*0.1, "N/A")</f>
        <v>6.183821</v>
      </c>
      <c r="AH4348">
        <v>61.838209999999997</v>
      </c>
      <c r="AI4348">
        <v>114.93770000000001</v>
      </c>
      <c r="AJ4348">
        <v>18.83821</v>
      </c>
      <c r="AK4348">
        <v>62</v>
      </c>
    </row>
    <row r="4349" spans="1:37" x14ac:dyDescent="0.3">
      <c r="A4349">
        <v>4348</v>
      </c>
      <c r="B4349">
        <v>4.5</v>
      </c>
      <c r="C4349">
        <v>6.5533700000000001</v>
      </c>
      <c r="D4349">
        <v>9.6080100000000002</v>
      </c>
      <c r="E4349" t="s">
        <v>6835</v>
      </c>
      <c r="F4349" t="s">
        <v>6836</v>
      </c>
      <c r="G4349" t="s">
        <v>39</v>
      </c>
      <c r="H4349">
        <v>2008</v>
      </c>
      <c r="I4349">
        <v>27.422470000000001</v>
      </c>
      <c r="J4349">
        <v>11.9</v>
      </c>
      <c r="K4349">
        <v>62</v>
      </c>
      <c r="L4349">
        <v>17.197310000000002</v>
      </c>
      <c r="M4349">
        <v>37.799999999999997</v>
      </c>
      <c r="N4349">
        <v>18.722470000000001</v>
      </c>
      <c r="O4349">
        <v>19.077529999999999</v>
      </c>
      <c r="P4349">
        <v>25.422470000000001</v>
      </c>
      <c r="Q4349">
        <v>27.8</v>
      </c>
      <c r="R4349">
        <v>29.922470000000001</v>
      </c>
      <c r="S4349">
        <v>25.422470000000001</v>
      </c>
      <c r="T4349">
        <v>1229</v>
      </c>
      <c r="U4349">
        <v>259</v>
      </c>
      <c r="V4349">
        <v>1</v>
      </c>
      <c r="W4349">
        <v>95</v>
      </c>
      <c r="X4349">
        <v>729.77530000000002</v>
      </c>
      <c r="Y4349">
        <v>7</v>
      </c>
      <c r="Z4349">
        <v>78</v>
      </c>
      <c r="AA4349">
        <v>729.77530000000002</v>
      </c>
      <c r="AB4349">
        <v>19.479230000000001</v>
      </c>
      <c r="AC4349">
        <v>2.7430960000000001E-2</v>
      </c>
      <c r="AD4349">
        <v>2.281247</v>
      </c>
      <c r="AE4349">
        <v>0.80677460000000001</v>
      </c>
      <c r="AF4349">
        <v>257.73930000000001</v>
      </c>
      <c r="AG4349">
        <f>IFERROR(AH4349*0.1, "N/A")</f>
        <v>6.1000000000000005</v>
      </c>
      <c r="AH4349">
        <v>61</v>
      </c>
      <c r="AI4349">
        <v>301.37349999999998</v>
      </c>
      <c r="AJ4349">
        <v>19.11664</v>
      </c>
      <c r="AK4349">
        <v>60.797600000000003</v>
      </c>
    </row>
    <row r="4350" spans="1:37" x14ac:dyDescent="0.3">
      <c r="A4350">
        <v>4349</v>
      </c>
      <c r="B4350">
        <v>20.6</v>
      </c>
      <c r="C4350">
        <v>6.5161100000000003</v>
      </c>
      <c r="D4350">
        <v>9.6533300000000004</v>
      </c>
      <c r="E4350" t="s">
        <v>6837</v>
      </c>
      <c r="F4350" t="s">
        <v>6838</v>
      </c>
      <c r="G4350" t="s">
        <v>39</v>
      </c>
      <c r="H4350">
        <v>2008</v>
      </c>
      <c r="I4350">
        <v>27.271899999999999</v>
      </c>
      <c r="J4350">
        <v>11.9</v>
      </c>
      <c r="K4350">
        <v>62</v>
      </c>
      <c r="L4350">
        <v>17.20778</v>
      </c>
      <c r="M4350">
        <v>37.6</v>
      </c>
      <c r="N4350">
        <v>18.5</v>
      </c>
      <c r="O4350">
        <v>19.100000000000001</v>
      </c>
      <c r="P4350">
        <v>25.3</v>
      </c>
      <c r="Q4350">
        <v>27.6</v>
      </c>
      <c r="R4350">
        <v>29.8</v>
      </c>
      <c r="S4350">
        <v>25.3</v>
      </c>
      <c r="T4350">
        <v>1231.8430000000001</v>
      </c>
      <c r="U4350">
        <v>263</v>
      </c>
      <c r="V4350">
        <v>1</v>
      </c>
      <c r="W4350">
        <v>96</v>
      </c>
      <c r="X4350">
        <v>732.56209999999999</v>
      </c>
      <c r="Y4350">
        <v>6</v>
      </c>
      <c r="Z4350">
        <v>76.281030000000001</v>
      </c>
      <c r="AA4350">
        <v>732.56209999999999</v>
      </c>
      <c r="AB4350">
        <v>13.08</v>
      </c>
      <c r="AC4350">
        <v>3.1449690000000002E-2</v>
      </c>
      <c r="AD4350">
        <v>2.5387840000000002</v>
      </c>
      <c r="AE4350">
        <v>0.82044360000000005</v>
      </c>
      <c r="AF4350">
        <v>278.07589999999999</v>
      </c>
      <c r="AG4350">
        <f>IFERROR(AH4350*0.1, "N/A")</f>
        <v>6.2394829999999999</v>
      </c>
      <c r="AH4350">
        <v>62.394829999999999</v>
      </c>
      <c r="AI4350">
        <v>199.5642</v>
      </c>
      <c r="AJ4350">
        <v>14.67586</v>
      </c>
      <c r="AK4350">
        <v>68.339659999999995</v>
      </c>
    </row>
    <row r="4351" spans="1:37" x14ac:dyDescent="0.3">
      <c r="A4351">
        <v>4350</v>
      </c>
      <c r="B4351">
        <v>13.7</v>
      </c>
      <c r="C4351">
        <v>6.5442</v>
      </c>
      <c r="D4351">
        <v>9.6248900000000006</v>
      </c>
      <c r="E4351" t="s">
        <v>6839</v>
      </c>
      <c r="F4351" t="s">
        <v>6840</v>
      </c>
      <c r="G4351" t="s">
        <v>39</v>
      </c>
      <c r="H4351">
        <v>2008</v>
      </c>
      <c r="I4351">
        <v>27.488810000000001</v>
      </c>
      <c r="J4351">
        <v>11.9</v>
      </c>
      <c r="K4351">
        <v>62</v>
      </c>
      <c r="L4351">
        <v>17.267759999999999</v>
      </c>
      <c r="M4351">
        <v>37.799999999999997</v>
      </c>
      <c r="N4351">
        <v>18.7</v>
      </c>
      <c r="O4351">
        <v>19.100000000000001</v>
      </c>
      <c r="P4351">
        <v>25.488810000000001</v>
      </c>
      <c r="Q4351">
        <v>27.8</v>
      </c>
      <c r="R4351">
        <v>29.988810000000001</v>
      </c>
      <c r="S4351">
        <v>25.488810000000001</v>
      </c>
      <c r="T4351">
        <v>1229.1120000000001</v>
      </c>
      <c r="U4351">
        <v>260</v>
      </c>
      <c r="V4351">
        <v>1</v>
      </c>
      <c r="W4351">
        <v>95</v>
      </c>
      <c r="X4351">
        <v>730.11189999999999</v>
      </c>
      <c r="Y4351">
        <v>7</v>
      </c>
      <c r="Z4351">
        <v>77</v>
      </c>
      <c r="AA4351">
        <v>730.11189999999999</v>
      </c>
      <c r="AB4351">
        <v>6.3592050000000002</v>
      </c>
      <c r="AC4351">
        <v>1.6351950000000001E-2</v>
      </c>
      <c r="AD4351">
        <v>1.8816330000000001</v>
      </c>
      <c r="AE4351">
        <v>0.87403980000000003</v>
      </c>
      <c r="AF4351">
        <v>251.8038</v>
      </c>
      <c r="AG4351">
        <f>IFERROR(AH4351*0.1, "N/A")</f>
        <v>6.2419970000000005</v>
      </c>
      <c r="AH4351">
        <v>62.419969999999999</v>
      </c>
      <c r="AI4351">
        <v>168.60470000000001</v>
      </c>
      <c r="AJ4351">
        <v>20</v>
      </c>
      <c r="AK4351">
        <v>60.790019999999998</v>
      </c>
    </row>
    <row r="4352" spans="1:37" x14ac:dyDescent="0.3">
      <c r="A4352">
        <v>4351</v>
      </c>
      <c r="B4352">
        <v>9.4</v>
      </c>
      <c r="C4352">
        <v>7.4166699999999999</v>
      </c>
      <c r="D4352">
        <v>5.9333299999999998</v>
      </c>
      <c r="E4352" t="s">
        <v>6841</v>
      </c>
      <c r="F4352" t="s">
        <v>6842</v>
      </c>
      <c r="G4352" t="s">
        <v>39</v>
      </c>
      <c r="H4352">
        <v>2008</v>
      </c>
      <c r="I4352">
        <v>26.410799999999998</v>
      </c>
      <c r="J4352">
        <v>8.6999999999999993</v>
      </c>
      <c r="K4352">
        <v>75</v>
      </c>
      <c r="L4352">
        <v>10.957739999999999</v>
      </c>
      <c r="M4352">
        <v>32.910800000000002</v>
      </c>
      <c r="N4352">
        <v>21.410799999999998</v>
      </c>
      <c r="O4352">
        <v>11.5</v>
      </c>
      <c r="P4352">
        <v>24.928750000000001</v>
      </c>
      <c r="Q4352">
        <v>26.977699999999999</v>
      </c>
      <c r="R4352">
        <v>27.845120000000001</v>
      </c>
      <c r="S4352">
        <v>24.928750000000001</v>
      </c>
      <c r="T4352">
        <v>1988.2840000000001</v>
      </c>
      <c r="U4352">
        <v>306.74040000000002</v>
      </c>
      <c r="V4352">
        <v>10</v>
      </c>
      <c r="W4352">
        <v>67</v>
      </c>
      <c r="X4352">
        <v>849.74040000000002</v>
      </c>
      <c r="Y4352">
        <v>61.454700000000003</v>
      </c>
      <c r="Z4352">
        <v>290.41460000000001</v>
      </c>
      <c r="AA4352">
        <v>849.74040000000002</v>
      </c>
      <c r="AB4352">
        <v>28.2378</v>
      </c>
      <c r="AC4352">
        <v>1.4472830000000001E-2</v>
      </c>
      <c r="AD4352">
        <v>7.3377910000000002</v>
      </c>
      <c r="AE4352">
        <v>0.72238239999999998</v>
      </c>
      <c r="AF4352">
        <v>158.047</v>
      </c>
      <c r="AG4352">
        <f>IFERROR(AH4352*0.1, "N/A")</f>
        <v>5.4</v>
      </c>
      <c r="AH4352">
        <v>54</v>
      </c>
      <c r="AI4352">
        <v>174.5737</v>
      </c>
      <c r="AJ4352">
        <v>27.668990000000001</v>
      </c>
      <c r="AK4352">
        <v>61.662019999999998</v>
      </c>
    </row>
    <row r="4353" spans="1:37" x14ac:dyDescent="0.3">
      <c r="A4353">
        <v>4352</v>
      </c>
      <c r="B4353">
        <v>20.399999999999999</v>
      </c>
      <c r="C4353">
        <v>7.4259199999999996</v>
      </c>
      <c r="D4353">
        <v>5.9257999999999997</v>
      </c>
      <c r="E4353" t="s">
        <v>6843</v>
      </c>
      <c r="F4353" t="s">
        <v>6844</v>
      </c>
      <c r="G4353" t="s">
        <v>39</v>
      </c>
      <c r="H4353">
        <v>2008</v>
      </c>
      <c r="I4353">
        <v>26.7</v>
      </c>
      <c r="J4353">
        <v>8.690766</v>
      </c>
      <c r="K4353">
        <v>74.907669999999996</v>
      </c>
      <c r="L4353">
        <v>11.11185</v>
      </c>
      <c r="M4353">
        <v>33.200000000000003</v>
      </c>
      <c r="N4353">
        <v>21.7</v>
      </c>
      <c r="O4353">
        <v>11.5</v>
      </c>
      <c r="P4353">
        <v>25.2</v>
      </c>
      <c r="Q4353">
        <v>27.3</v>
      </c>
      <c r="R4353">
        <v>28.2</v>
      </c>
      <c r="S4353">
        <v>25.2</v>
      </c>
      <c r="T4353">
        <v>1982.3689999999999</v>
      </c>
      <c r="U4353">
        <v>305</v>
      </c>
      <c r="V4353">
        <v>10</v>
      </c>
      <c r="W4353">
        <v>67</v>
      </c>
      <c r="X4353">
        <v>848.18470000000002</v>
      </c>
      <c r="Y4353">
        <v>61</v>
      </c>
      <c r="Z4353">
        <v>288</v>
      </c>
      <c r="AA4353">
        <v>848.18470000000002</v>
      </c>
      <c r="AB4353">
        <v>11.65366</v>
      </c>
      <c r="AC4353">
        <v>2.263538E-2</v>
      </c>
      <c r="AD4353">
        <v>3.9183789999999998</v>
      </c>
      <c r="AE4353">
        <v>0.6338376</v>
      </c>
      <c r="AF4353">
        <v>123.9233</v>
      </c>
      <c r="AG4353">
        <f>IFERROR(AH4353*0.1, "N/A")</f>
        <v>5.4</v>
      </c>
      <c r="AH4353">
        <v>54</v>
      </c>
      <c r="AI4353">
        <v>83.932199999999995</v>
      </c>
      <c r="AJ4353">
        <v>26.210799999999999</v>
      </c>
      <c r="AK4353">
        <v>61.210799999999999</v>
      </c>
    </row>
    <row r="4354" spans="1:37" x14ac:dyDescent="0.3">
      <c r="A4354">
        <v>4353</v>
      </c>
      <c r="B4354">
        <v>6.7</v>
      </c>
      <c r="C4354">
        <v>7.45</v>
      </c>
      <c r="D4354">
        <v>5.9666699999999997</v>
      </c>
      <c r="E4354" t="s">
        <v>6845</v>
      </c>
      <c r="F4354" t="s">
        <v>6846</v>
      </c>
      <c r="G4354" t="s">
        <v>39</v>
      </c>
      <c r="H4354">
        <v>2008</v>
      </c>
      <c r="I4354">
        <v>26.7</v>
      </c>
      <c r="J4354">
        <v>8.6999999999999993</v>
      </c>
      <c r="K4354">
        <v>75</v>
      </c>
      <c r="L4354">
        <v>11.215730000000001</v>
      </c>
      <c r="M4354">
        <v>33.210630000000002</v>
      </c>
      <c r="N4354">
        <v>21.666899999999998</v>
      </c>
      <c r="O4354">
        <v>11.54373</v>
      </c>
      <c r="P4354">
        <v>25.166899999999998</v>
      </c>
      <c r="Q4354">
        <v>27.3</v>
      </c>
      <c r="R4354">
        <v>28.166899999999998</v>
      </c>
      <c r="S4354">
        <v>25.166899999999998</v>
      </c>
      <c r="T4354">
        <v>1965.768</v>
      </c>
      <c r="U4354">
        <v>304</v>
      </c>
      <c r="V4354">
        <v>9</v>
      </c>
      <c r="W4354">
        <v>68</v>
      </c>
      <c r="X4354">
        <v>842.33100000000002</v>
      </c>
      <c r="Y4354">
        <v>59</v>
      </c>
      <c r="Z4354">
        <v>284.33100000000002</v>
      </c>
      <c r="AA4354">
        <v>842.33100000000002</v>
      </c>
      <c r="AB4354">
        <v>8.3966910000000006</v>
      </c>
      <c r="AC4354">
        <v>1.3494340000000001E-2</v>
      </c>
      <c r="AD4354">
        <v>3.1411690000000001</v>
      </c>
      <c r="AE4354">
        <v>0.72596850000000002</v>
      </c>
      <c r="AF4354">
        <v>122.83280000000001</v>
      </c>
      <c r="AG4354">
        <f>IFERROR(AH4354*0.1, "N/A")</f>
        <v>5.3001740000000002</v>
      </c>
      <c r="AH4354">
        <v>53.001739999999998</v>
      </c>
      <c r="AI4354">
        <v>215.35140000000001</v>
      </c>
      <c r="AJ4354">
        <v>29.25958</v>
      </c>
      <c r="AK4354">
        <v>60.484319999999997</v>
      </c>
    </row>
    <row r="4355" spans="1:37" x14ac:dyDescent="0.3">
      <c r="A4355">
        <v>4354</v>
      </c>
      <c r="B4355">
        <v>7.2</v>
      </c>
      <c r="C4355">
        <v>7.4188499999999999</v>
      </c>
      <c r="D4355">
        <v>5.9292199999999999</v>
      </c>
      <c r="E4355" t="s">
        <v>6847</v>
      </c>
      <c r="F4355" t="s">
        <v>6848</v>
      </c>
      <c r="G4355" t="s">
        <v>39</v>
      </c>
      <c r="H4355">
        <v>2008</v>
      </c>
      <c r="I4355">
        <v>26.6</v>
      </c>
      <c r="J4355">
        <v>8.6999999999999993</v>
      </c>
      <c r="K4355">
        <v>75</v>
      </c>
      <c r="L4355">
        <v>11.27</v>
      </c>
      <c r="M4355">
        <v>33.1</v>
      </c>
      <c r="N4355">
        <v>21.6</v>
      </c>
      <c r="O4355">
        <v>11.5</v>
      </c>
      <c r="P4355">
        <v>25.1</v>
      </c>
      <c r="Q4355">
        <v>27.2</v>
      </c>
      <c r="R4355">
        <v>28.1</v>
      </c>
      <c r="S4355">
        <v>25.1</v>
      </c>
      <c r="T4355">
        <v>1985</v>
      </c>
      <c r="U4355">
        <v>305</v>
      </c>
      <c r="V4355">
        <v>10</v>
      </c>
      <c r="W4355">
        <v>67</v>
      </c>
      <c r="X4355">
        <v>848</v>
      </c>
      <c r="Y4355">
        <v>61</v>
      </c>
      <c r="Z4355">
        <v>289</v>
      </c>
      <c r="AA4355">
        <v>848</v>
      </c>
      <c r="AB4355">
        <v>13.87923</v>
      </c>
      <c r="AC4355">
        <v>1.16045E-2</v>
      </c>
      <c r="AD4355">
        <v>1.243271</v>
      </c>
      <c r="AE4355">
        <v>0.72238239999999998</v>
      </c>
      <c r="AF4355">
        <v>136.98429999999999</v>
      </c>
      <c r="AG4355">
        <f>IFERROR(AH4355*0.1, "N/A")</f>
        <v>5.5214660000000002</v>
      </c>
      <c r="AH4355">
        <v>55.214660000000002</v>
      </c>
      <c r="AI4355">
        <v>70.188950000000006</v>
      </c>
      <c r="AJ4355">
        <v>28.785340000000001</v>
      </c>
      <c r="AK4355">
        <v>60.214660000000002</v>
      </c>
    </row>
    <row r="4356" spans="1:37" x14ac:dyDescent="0.3">
      <c r="A4356">
        <v>4355</v>
      </c>
      <c r="B4356">
        <v>2.5</v>
      </c>
      <c r="C4356">
        <v>7.4717000000000002</v>
      </c>
      <c r="D4356">
        <v>6.0022000000000002</v>
      </c>
      <c r="E4356" t="s">
        <v>6849</v>
      </c>
      <c r="F4356" t="s">
        <v>6850</v>
      </c>
      <c r="G4356" t="s">
        <v>39</v>
      </c>
      <c r="H4356">
        <v>2008</v>
      </c>
      <c r="I4356">
        <v>26.9</v>
      </c>
      <c r="J4356">
        <v>8.6999999999999993</v>
      </c>
      <c r="K4356">
        <v>75</v>
      </c>
      <c r="L4356">
        <v>11.19</v>
      </c>
      <c r="M4356">
        <v>33.4</v>
      </c>
      <c r="N4356">
        <v>21.9</v>
      </c>
      <c r="O4356">
        <v>11.5</v>
      </c>
      <c r="P4356">
        <v>25.4</v>
      </c>
      <c r="Q4356">
        <v>27.5</v>
      </c>
      <c r="R4356">
        <v>28.4</v>
      </c>
      <c r="S4356">
        <v>25.4</v>
      </c>
      <c r="T4356">
        <v>1944</v>
      </c>
      <c r="U4356">
        <v>302</v>
      </c>
      <c r="V4356">
        <v>9</v>
      </c>
      <c r="W4356">
        <v>68</v>
      </c>
      <c r="X4356">
        <v>834</v>
      </c>
      <c r="Y4356">
        <v>57</v>
      </c>
      <c r="Z4356">
        <v>278</v>
      </c>
      <c r="AA4356">
        <v>834</v>
      </c>
      <c r="AB4356">
        <v>10.592320000000001</v>
      </c>
      <c r="AC4356">
        <v>8.432162E-2</v>
      </c>
      <c r="AD4356">
        <v>1.6900759999999999</v>
      </c>
      <c r="AE4356">
        <v>0.73477079999999995</v>
      </c>
      <c r="AF4356">
        <v>94.972080000000005</v>
      </c>
      <c r="AG4356">
        <f>IFERROR(AH4356*0.1, "N/A")</f>
        <v>5.2</v>
      </c>
      <c r="AH4356">
        <v>52</v>
      </c>
      <c r="AI4356">
        <v>209.04050000000001</v>
      </c>
      <c r="AJ4356">
        <v>26.853400000000001</v>
      </c>
      <c r="AK4356">
        <v>59.073300000000003</v>
      </c>
    </row>
    <row r="4357" spans="1:37" x14ac:dyDescent="0.3">
      <c r="A4357">
        <v>4356</v>
      </c>
      <c r="B4357">
        <v>9.5</v>
      </c>
      <c r="C4357">
        <v>7.4</v>
      </c>
      <c r="D4357">
        <v>5.9166699999999999</v>
      </c>
      <c r="E4357" t="s">
        <v>6851</v>
      </c>
      <c r="F4357" t="s">
        <v>6852</v>
      </c>
      <c r="G4357" t="s">
        <v>39</v>
      </c>
      <c r="H4357">
        <v>2008</v>
      </c>
      <c r="I4357">
        <v>26.115760000000002</v>
      </c>
      <c r="J4357">
        <v>8.6999999999999993</v>
      </c>
      <c r="K4357">
        <v>75</v>
      </c>
      <c r="L4357">
        <v>10.69284</v>
      </c>
      <c r="M4357">
        <v>32.539050000000003</v>
      </c>
      <c r="N4357">
        <v>21.03905</v>
      </c>
      <c r="O4357">
        <v>11.5</v>
      </c>
      <c r="P4357">
        <v>24.62032</v>
      </c>
      <c r="Q4357">
        <v>26.65184</v>
      </c>
      <c r="R4357">
        <v>27.536079999999998</v>
      </c>
      <c r="S4357">
        <v>24.62032</v>
      </c>
      <c r="T4357">
        <v>2005.6079999999999</v>
      </c>
      <c r="U4357">
        <v>309.63920000000002</v>
      </c>
      <c r="V4357">
        <v>10</v>
      </c>
      <c r="W4357">
        <v>67</v>
      </c>
      <c r="X4357">
        <v>855.01400000000001</v>
      </c>
      <c r="Y4357">
        <v>64</v>
      </c>
      <c r="Z4357">
        <v>295.79680000000002</v>
      </c>
      <c r="AA4357">
        <v>855.01400000000001</v>
      </c>
      <c r="AB4357">
        <v>2.8921199999999998</v>
      </c>
      <c r="AC4357">
        <v>2.2402470000000001</v>
      </c>
      <c r="AD4357">
        <v>3.8029099999999998</v>
      </c>
      <c r="AE4357">
        <v>0.69681409999999999</v>
      </c>
      <c r="AF4357">
        <v>198.12610000000001</v>
      </c>
      <c r="AG4357">
        <f>IFERROR(AH4357*0.1, "N/A")</f>
        <v>5.4767080000000004</v>
      </c>
      <c r="AH4357">
        <v>54.76708</v>
      </c>
      <c r="AI4357">
        <v>260.24599999999998</v>
      </c>
      <c r="AJ4357">
        <v>17.23292</v>
      </c>
      <c r="AK4357">
        <v>75.534149999999997</v>
      </c>
    </row>
    <row r="4358" spans="1:37" x14ac:dyDescent="0.3">
      <c r="A4358">
        <v>4357</v>
      </c>
      <c r="B4358">
        <v>12.3</v>
      </c>
      <c r="C4358">
        <v>3.3483299999999998</v>
      </c>
      <c r="D4358">
        <v>7.1608299999999998</v>
      </c>
      <c r="E4358" t="s">
        <v>6853</v>
      </c>
      <c r="F4358" t="s">
        <v>6854</v>
      </c>
      <c r="G4358" t="s">
        <v>39</v>
      </c>
      <c r="H4358">
        <v>2008</v>
      </c>
      <c r="I4358">
        <v>27.1</v>
      </c>
      <c r="J4358">
        <v>9</v>
      </c>
      <c r="K4358">
        <v>73</v>
      </c>
      <c r="L4358">
        <v>12.32</v>
      </c>
      <c r="M4358">
        <v>34.1</v>
      </c>
      <c r="N4358">
        <v>21.8</v>
      </c>
      <c r="O4358">
        <v>12.3</v>
      </c>
      <c r="P4358">
        <v>26.5</v>
      </c>
      <c r="Q4358">
        <v>27.9</v>
      </c>
      <c r="R4358">
        <v>28.7</v>
      </c>
      <c r="S4358">
        <v>25.4</v>
      </c>
      <c r="T4358">
        <v>1238</v>
      </c>
      <c r="U4358">
        <v>197</v>
      </c>
      <c r="V4358">
        <v>13</v>
      </c>
      <c r="W4358">
        <v>60</v>
      </c>
      <c r="X4358">
        <v>524</v>
      </c>
      <c r="Y4358">
        <v>55</v>
      </c>
      <c r="Z4358">
        <v>261</v>
      </c>
      <c r="AA4358">
        <v>405</v>
      </c>
      <c r="AB4358">
        <v>7.0679429999999996</v>
      </c>
      <c r="AC4358">
        <v>0.1368422</v>
      </c>
      <c r="AD4358">
        <v>4.1838610000000003</v>
      </c>
      <c r="AE4358">
        <v>0.92982540000000002</v>
      </c>
      <c r="AF4358">
        <v>75.135890000000003</v>
      </c>
      <c r="AG4358">
        <f>IFERROR(AH4358*0.1, "N/A")</f>
        <v>6.7311850000000009</v>
      </c>
      <c r="AH4358">
        <v>67.311850000000007</v>
      </c>
      <c r="AI4358">
        <v>267.58269999999999</v>
      </c>
      <c r="AJ4358">
        <v>22.221250000000001</v>
      </c>
      <c r="AK4358">
        <v>61.790939999999999</v>
      </c>
    </row>
    <row r="4359" spans="1:37" x14ac:dyDescent="0.3">
      <c r="A4359">
        <v>4358</v>
      </c>
      <c r="B4359">
        <v>1.9</v>
      </c>
      <c r="C4359">
        <v>3.3483329999999998</v>
      </c>
      <c r="D4359">
        <v>7.4666670000000002</v>
      </c>
      <c r="E4359" t="s">
        <v>6855</v>
      </c>
      <c r="F4359" t="s">
        <v>6856</v>
      </c>
      <c r="G4359" t="s">
        <v>39</v>
      </c>
      <c r="H4359">
        <v>2008</v>
      </c>
      <c r="I4359">
        <v>27.059650000000001</v>
      </c>
      <c r="J4359">
        <v>9.8000000000000007</v>
      </c>
      <c r="K4359">
        <v>73</v>
      </c>
      <c r="L4359">
        <v>12.68896</v>
      </c>
      <c r="M4359">
        <v>34.659649999999999</v>
      </c>
      <c r="N4359">
        <v>21.3</v>
      </c>
      <c r="O4359">
        <v>13.35965</v>
      </c>
      <c r="P4359">
        <v>26.359649999999998</v>
      </c>
      <c r="Q4359">
        <v>27.759650000000001</v>
      </c>
      <c r="R4359">
        <v>28.659649999999999</v>
      </c>
      <c r="S4359">
        <v>25.3</v>
      </c>
      <c r="T4359">
        <v>1179.807</v>
      </c>
      <c r="U4359">
        <v>172</v>
      </c>
      <c r="V4359">
        <v>9</v>
      </c>
      <c r="W4359">
        <v>61</v>
      </c>
      <c r="X4359">
        <v>473</v>
      </c>
      <c r="Y4359">
        <v>47</v>
      </c>
      <c r="Z4359">
        <v>256</v>
      </c>
      <c r="AA4359">
        <v>398.80700000000002</v>
      </c>
      <c r="AB4359">
        <v>14.67183</v>
      </c>
      <c r="AC4359">
        <v>2.463429E-2</v>
      </c>
      <c r="AD4359">
        <v>1.7490129999999999</v>
      </c>
      <c r="AE4359">
        <v>0.44048029999999999</v>
      </c>
      <c r="AF4359">
        <v>138.0104</v>
      </c>
      <c r="AG4359">
        <f>IFERROR(AH4359*0.1, "N/A")</f>
        <v>6.3772170000000008</v>
      </c>
      <c r="AH4359">
        <v>63.772170000000003</v>
      </c>
      <c r="AI4359">
        <v>131.23390000000001</v>
      </c>
      <c r="AJ4359">
        <v>10.78609</v>
      </c>
      <c r="AK4359">
        <v>73.220870000000005</v>
      </c>
    </row>
    <row r="4360" spans="1:37" x14ac:dyDescent="0.3">
      <c r="A4360">
        <v>4359</v>
      </c>
      <c r="B4360">
        <v>5.3</v>
      </c>
      <c r="C4360">
        <v>2.9558900000000001</v>
      </c>
      <c r="D4360">
        <v>6.5902599999999998</v>
      </c>
      <c r="E4360" t="s">
        <v>6857</v>
      </c>
      <c r="F4360" t="s">
        <v>6858</v>
      </c>
      <c r="G4360" t="s">
        <v>39</v>
      </c>
      <c r="H4360">
        <v>2008</v>
      </c>
      <c r="I4360">
        <v>27.1</v>
      </c>
      <c r="J4360">
        <v>7.3</v>
      </c>
      <c r="K4360">
        <v>68</v>
      </c>
      <c r="L4360">
        <v>12.44</v>
      </c>
      <c r="M4360">
        <v>32.799999999999997</v>
      </c>
      <c r="N4360">
        <v>22.2</v>
      </c>
      <c r="O4360">
        <v>10.6</v>
      </c>
      <c r="P4360">
        <v>26.3</v>
      </c>
      <c r="Q4360">
        <v>27.9</v>
      </c>
      <c r="R4360">
        <v>28.6</v>
      </c>
      <c r="S4360">
        <v>25.4</v>
      </c>
      <c r="T4360">
        <v>1376</v>
      </c>
      <c r="U4360">
        <v>285</v>
      </c>
      <c r="V4360">
        <v>17</v>
      </c>
      <c r="W4360">
        <v>69</v>
      </c>
      <c r="X4360">
        <v>668</v>
      </c>
      <c r="Y4360">
        <v>75</v>
      </c>
      <c r="Z4360">
        <v>255</v>
      </c>
      <c r="AA4360">
        <v>365</v>
      </c>
      <c r="AB4360">
        <v>22.67539</v>
      </c>
      <c r="AC4360">
        <v>7.2682430000000006E-2</v>
      </c>
      <c r="AD4360">
        <v>1.0353969999999999</v>
      </c>
      <c r="AE4360">
        <v>0.71538590000000002</v>
      </c>
      <c r="AF4360">
        <v>33.09948</v>
      </c>
      <c r="AG4360">
        <f>IFERROR(AH4360*0.1, "N/A")</f>
        <v>6.0127400000000009</v>
      </c>
      <c r="AH4360">
        <v>60.127400000000002</v>
      </c>
      <c r="AI4360">
        <v>201.25479999999999</v>
      </c>
      <c r="AJ4360">
        <v>24.183250000000001</v>
      </c>
      <c r="AK4360">
        <v>63.254800000000003</v>
      </c>
    </row>
    <row r="4361" spans="1:37" x14ac:dyDescent="0.3">
      <c r="A4361">
        <v>4360</v>
      </c>
      <c r="B4361">
        <v>13.2</v>
      </c>
      <c r="C4361">
        <v>3.2227899999999998</v>
      </c>
      <c r="D4361">
        <v>6.9356099999999996</v>
      </c>
      <c r="E4361" t="s">
        <v>6859</v>
      </c>
      <c r="F4361" t="s">
        <v>6860</v>
      </c>
      <c r="G4361" t="s">
        <v>39</v>
      </c>
      <c r="H4361">
        <v>2008</v>
      </c>
      <c r="I4361">
        <v>27.1</v>
      </c>
      <c r="J4361">
        <v>8.4</v>
      </c>
      <c r="K4361">
        <v>71</v>
      </c>
      <c r="L4361">
        <v>12.67</v>
      </c>
      <c r="M4361">
        <v>33.6</v>
      </c>
      <c r="N4361">
        <v>21.9</v>
      </c>
      <c r="O4361">
        <v>11.7</v>
      </c>
      <c r="P4361">
        <v>26.4</v>
      </c>
      <c r="Q4361">
        <v>27.9</v>
      </c>
      <c r="R4361">
        <v>28.7</v>
      </c>
      <c r="S4361">
        <v>25.4</v>
      </c>
      <c r="T4361">
        <v>1290</v>
      </c>
      <c r="U4361">
        <v>229</v>
      </c>
      <c r="V4361">
        <v>14</v>
      </c>
      <c r="W4361">
        <v>63</v>
      </c>
      <c r="X4361">
        <v>579</v>
      </c>
      <c r="Y4361">
        <v>60</v>
      </c>
      <c r="Z4361">
        <v>252</v>
      </c>
      <c r="AA4361">
        <v>402</v>
      </c>
      <c r="AB4361">
        <v>4.0219889999999996</v>
      </c>
      <c r="AC4361">
        <v>6.0131419999999998E-2</v>
      </c>
      <c r="AD4361">
        <v>1.4162380000000001</v>
      </c>
      <c r="AE4361">
        <v>0.84982420000000003</v>
      </c>
      <c r="AF4361">
        <v>25.22513</v>
      </c>
      <c r="AG4361">
        <f>IFERROR(AH4361*0.1, "N/A")</f>
        <v>6.1202440000000005</v>
      </c>
      <c r="AH4361">
        <v>61.202440000000003</v>
      </c>
      <c r="AI4361">
        <v>114.01779999999999</v>
      </c>
      <c r="AJ4361">
        <v>19.546250000000001</v>
      </c>
      <c r="AK4361">
        <v>61.750439999999998</v>
      </c>
    </row>
    <row r="4362" spans="1:37" x14ac:dyDescent="0.3">
      <c r="A4362">
        <v>4361</v>
      </c>
      <c r="B4362">
        <v>5.5</v>
      </c>
      <c r="C4362">
        <v>3.19991</v>
      </c>
      <c r="D4362">
        <v>6.8171799999999996</v>
      </c>
      <c r="E4362" t="s">
        <v>6861</v>
      </c>
      <c r="F4362" t="s">
        <v>6862</v>
      </c>
      <c r="G4362" t="s">
        <v>39</v>
      </c>
      <c r="H4362">
        <v>2008</v>
      </c>
      <c r="I4362">
        <v>26.640070000000001</v>
      </c>
      <c r="J4362">
        <v>7.9606269999999997</v>
      </c>
      <c r="K4362">
        <v>70</v>
      </c>
      <c r="L4362">
        <v>12.40324</v>
      </c>
      <c r="M4362">
        <v>32.839370000000002</v>
      </c>
      <c r="N4362">
        <v>21.578749999999999</v>
      </c>
      <c r="O4362">
        <v>11.260630000000001</v>
      </c>
      <c r="P4362">
        <v>25.940069999999999</v>
      </c>
      <c r="Q4362">
        <v>27.440069999999999</v>
      </c>
      <c r="R4362">
        <v>28.140070000000001</v>
      </c>
      <c r="S4362">
        <v>24.879439999999999</v>
      </c>
      <c r="T4362">
        <v>1351.0840000000001</v>
      </c>
      <c r="U4362">
        <v>250.01390000000001</v>
      </c>
      <c r="V4362">
        <v>16</v>
      </c>
      <c r="W4362">
        <v>64</v>
      </c>
      <c r="X4362">
        <v>618.83969999999999</v>
      </c>
      <c r="Y4362">
        <v>66</v>
      </c>
      <c r="Z4362">
        <v>255.2056</v>
      </c>
      <c r="AA4362">
        <v>411.03140000000002</v>
      </c>
      <c r="AB4362">
        <v>3.8109760000000001</v>
      </c>
      <c r="AC4362">
        <v>0.29581109999999999</v>
      </c>
      <c r="AD4362">
        <v>3.1700460000000001</v>
      </c>
      <c r="AE4362">
        <v>0.89996540000000003</v>
      </c>
      <c r="AF4362">
        <v>60.939019999999999</v>
      </c>
      <c r="AG4362">
        <f>IFERROR(AH4362*0.1, "N/A")</f>
        <v>5.8606270000000009</v>
      </c>
      <c r="AH4362">
        <v>58.606270000000002</v>
      </c>
      <c r="AI4362">
        <v>246.7646</v>
      </c>
      <c r="AJ4362">
        <v>19.393730000000001</v>
      </c>
      <c r="AK4362">
        <v>68.637630000000001</v>
      </c>
    </row>
    <row r="4363" spans="1:37" x14ac:dyDescent="0.3">
      <c r="A4363">
        <v>4362</v>
      </c>
      <c r="B4363">
        <v>11.5</v>
      </c>
      <c r="C4363">
        <v>3.0925500000000001</v>
      </c>
      <c r="D4363">
        <v>6.5102799999999998</v>
      </c>
      <c r="E4363" t="s">
        <v>6863</v>
      </c>
      <c r="F4363" t="s">
        <v>6864</v>
      </c>
      <c r="G4363" t="s">
        <v>39</v>
      </c>
      <c r="H4363">
        <v>2008</v>
      </c>
      <c r="I4363">
        <v>27</v>
      </c>
      <c r="J4363">
        <v>6.8</v>
      </c>
      <c r="K4363">
        <v>69.923339999999996</v>
      </c>
      <c r="L4363">
        <v>11.543900000000001</v>
      </c>
      <c r="M4363">
        <v>32.200000000000003</v>
      </c>
      <c r="N4363">
        <v>22.492329999999999</v>
      </c>
      <c r="O4363">
        <v>9.7076650000000004</v>
      </c>
      <c r="P4363">
        <v>26.307659999999998</v>
      </c>
      <c r="Q4363">
        <v>27.8</v>
      </c>
      <c r="R4363">
        <v>28.4</v>
      </c>
      <c r="S4363">
        <v>25.4</v>
      </c>
      <c r="T4363">
        <v>1462.923</v>
      </c>
      <c r="U4363">
        <v>316.92329999999998</v>
      </c>
      <c r="V4363">
        <v>19</v>
      </c>
      <c r="W4363">
        <v>72</v>
      </c>
      <c r="X4363">
        <v>733.92330000000004</v>
      </c>
      <c r="Y4363">
        <v>78.076660000000004</v>
      </c>
      <c r="Z4363">
        <v>257</v>
      </c>
      <c r="AA4363">
        <v>397.8467</v>
      </c>
      <c r="AB4363">
        <v>1.464982</v>
      </c>
      <c r="AC4363">
        <v>0.71752669999999996</v>
      </c>
      <c r="AD4363">
        <v>0.98791260000000003</v>
      </c>
      <c r="AE4363">
        <v>0.86382460000000005</v>
      </c>
      <c r="AF4363">
        <v>10.374560000000001</v>
      </c>
      <c r="AG4363">
        <f>IFERROR(AH4363*0.1, "N/A")</f>
        <v>5.7</v>
      </c>
      <c r="AH4363">
        <v>57</v>
      </c>
      <c r="AI4363">
        <v>124.0607</v>
      </c>
      <c r="AJ4363">
        <v>21.54007</v>
      </c>
      <c r="AK4363">
        <v>65.536590000000004</v>
      </c>
    </row>
    <row r="4364" spans="1:37" x14ac:dyDescent="0.3">
      <c r="A4364">
        <v>4363</v>
      </c>
      <c r="B4364">
        <v>7.3</v>
      </c>
      <c r="C4364">
        <v>3.9998499999999999</v>
      </c>
      <c r="D4364">
        <v>6.9669800000000004</v>
      </c>
      <c r="E4364" t="s">
        <v>6865</v>
      </c>
      <c r="F4364" t="s">
        <v>6866</v>
      </c>
      <c r="G4364" t="s">
        <v>39</v>
      </c>
      <c r="H4364">
        <v>2008</v>
      </c>
      <c r="I4364">
        <v>27.007829999999998</v>
      </c>
      <c r="J4364">
        <v>8.3704350000000005</v>
      </c>
      <c r="K4364">
        <v>71</v>
      </c>
      <c r="L4364">
        <v>11.938610000000001</v>
      </c>
      <c r="M4364">
        <v>33.507829999999998</v>
      </c>
      <c r="N4364">
        <v>21.837389999999999</v>
      </c>
      <c r="O4364">
        <v>11.67043</v>
      </c>
      <c r="P4364">
        <v>26.378260000000001</v>
      </c>
      <c r="Q4364">
        <v>27.60783</v>
      </c>
      <c r="R4364">
        <v>28.429559999999999</v>
      </c>
      <c r="S4364">
        <v>25.307829999999999</v>
      </c>
      <c r="T4364">
        <v>1504.748</v>
      </c>
      <c r="U4364">
        <v>241.15649999999999</v>
      </c>
      <c r="V4364">
        <v>13</v>
      </c>
      <c r="W4364">
        <v>64</v>
      </c>
      <c r="X4364">
        <v>656.53039999999999</v>
      </c>
      <c r="Y4364">
        <v>58</v>
      </c>
      <c r="Z4364">
        <v>253.92169999999999</v>
      </c>
      <c r="AA4364">
        <v>539.51300000000003</v>
      </c>
      <c r="AB4364">
        <v>9.0925250000000002</v>
      </c>
      <c r="AC4364">
        <v>2.8025890000000001E-2</v>
      </c>
      <c r="AD4364">
        <v>2.676021</v>
      </c>
      <c r="AE4364">
        <v>0.8117105</v>
      </c>
      <c r="AF4364">
        <v>84.473039999999997</v>
      </c>
      <c r="AG4364">
        <f>IFERROR(AH4364*0.1, "N/A")</f>
        <v>5.7434780000000005</v>
      </c>
      <c r="AH4364">
        <v>57.434780000000003</v>
      </c>
      <c r="AI4364">
        <v>186.7689</v>
      </c>
      <c r="AJ4364">
        <v>14.13043</v>
      </c>
      <c r="AK4364">
        <v>71.652169999999998</v>
      </c>
    </row>
    <row r="4365" spans="1:37" x14ac:dyDescent="0.3">
      <c r="A4365">
        <v>4364</v>
      </c>
      <c r="B4365">
        <v>4</v>
      </c>
      <c r="C4365">
        <v>3.92123</v>
      </c>
      <c r="D4365">
        <v>6.8211000000000004</v>
      </c>
      <c r="E4365" t="s">
        <v>6867</v>
      </c>
      <c r="F4365" t="s">
        <v>6868</v>
      </c>
      <c r="G4365" t="s">
        <v>39</v>
      </c>
      <c r="H4365">
        <v>2008</v>
      </c>
      <c r="I4365">
        <v>27.1</v>
      </c>
      <c r="J4365">
        <v>7.9</v>
      </c>
      <c r="K4365">
        <v>70</v>
      </c>
      <c r="L4365">
        <v>12</v>
      </c>
      <c r="M4365">
        <v>33.299999999999997</v>
      </c>
      <c r="N4365">
        <v>22.1</v>
      </c>
      <c r="O4365">
        <v>11.2</v>
      </c>
      <c r="P4365">
        <v>26.4</v>
      </c>
      <c r="Q4365">
        <v>27.7</v>
      </c>
      <c r="R4365">
        <v>28.5</v>
      </c>
      <c r="S4365">
        <v>25.3</v>
      </c>
      <c r="T4365">
        <v>1578</v>
      </c>
      <c r="U4365">
        <v>266</v>
      </c>
      <c r="V4365">
        <v>14</v>
      </c>
      <c r="W4365">
        <v>65</v>
      </c>
      <c r="X4365">
        <v>716</v>
      </c>
      <c r="Y4365">
        <v>66</v>
      </c>
      <c r="Z4365">
        <v>253</v>
      </c>
      <c r="AA4365">
        <v>552</v>
      </c>
      <c r="AB4365">
        <v>11.68713</v>
      </c>
      <c r="AC4365">
        <v>3.4323140000000002E-2</v>
      </c>
      <c r="AD4365">
        <v>1.005992</v>
      </c>
      <c r="AE4365">
        <v>0.91883579999999998</v>
      </c>
      <c r="AF4365">
        <v>75.485219999999998</v>
      </c>
      <c r="AG4365">
        <f>IFERROR(AH4365*0.1, "N/A")</f>
        <v>6.1093910000000005</v>
      </c>
      <c r="AH4365">
        <v>61.093910000000001</v>
      </c>
      <c r="AI4365">
        <v>158.7552</v>
      </c>
      <c r="AJ4365">
        <v>23.08522</v>
      </c>
      <c r="AK4365">
        <v>62.323480000000004</v>
      </c>
    </row>
    <row r="4366" spans="1:37" x14ac:dyDescent="0.3">
      <c r="A4366">
        <v>4365</v>
      </c>
      <c r="B4366">
        <v>5.5</v>
      </c>
      <c r="C4366">
        <v>4.0063500000000003</v>
      </c>
      <c r="D4366">
        <v>6.8928099999999999</v>
      </c>
      <c r="E4366" t="s">
        <v>6869</v>
      </c>
      <c r="F4366" t="s">
        <v>6870</v>
      </c>
      <c r="G4366" t="s">
        <v>39</v>
      </c>
      <c r="H4366">
        <v>2008</v>
      </c>
      <c r="I4366">
        <v>27.1</v>
      </c>
      <c r="J4366">
        <v>8.1</v>
      </c>
      <c r="K4366">
        <v>71</v>
      </c>
      <c r="L4366">
        <v>12.01</v>
      </c>
      <c r="M4366">
        <v>33.5</v>
      </c>
      <c r="N4366">
        <v>22.1</v>
      </c>
      <c r="O4366">
        <v>11.4</v>
      </c>
      <c r="P4366">
        <v>26.5</v>
      </c>
      <c r="Q4366">
        <v>27.7</v>
      </c>
      <c r="R4366">
        <v>28.6</v>
      </c>
      <c r="S4366">
        <v>25.4</v>
      </c>
      <c r="T4366">
        <v>1543</v>
      </c>
      <c r="U4366">
        <v>253</v>
      </c>
      <c r="V4366">
        <v>13</v>
      </c>
      <c r="W4366">
        <v>65</v>
      </c>
      <c r="X4366">
        <v>686</v>
      </c>
      <c r="Y4366">
        <v>61</v>
      </c>
      <c r="Z4366">
        <v>254</v>
      </c>
      <c r="AA4366">
        <v>551</v>
      </c>
      <c r="AB4366">
        <v>13.42178</v>
      </c>
      <c r="AC4366">
        <v>1.394339E-2</v>
      </c>
      <c r="AD4366">
        <v>1.3085929999999999</v>
      </c>
      <c r="AE4366">
        <v>0.60728539999999998</v>
      </c>
      <c r="AF4366">
        <v>72.428569999999993</v>
      </c>
      <c r="AG4366">
        <f>IFERROR(AH4366*0.1, "N/A")</f>
        <v>5.5667250000000008</v>
      </c>
      <c r="AH4366">
        <v>55.667250000000003</v>
      </c>
      <c r="AI4366">
        <v>145.48439999999999</v>
      </c>
      <c r="AJ4366">
        <v>15.315329999999999</v>
      </c>
      <c r="AK4366">
        <v>67.898949999999999</v>
      </c>
    </row>
    <row r="4367" spans="1:37" x14ac:dyDescent="0.3">
      <c r="A4367">
        <v>4366</v>
      </c>
      <c r="B4367">
        <v>1.4</v>
      </c>
      <c r="C4367">
        <v>3.71671</v>
      </c>
      <c r="D4367">
        <v>6.8668699999999996</v>
      </c>
      <c r="E4367" t="s">
        <v>6871</v>
      </c>
      <c r="F4367" t="s">
        <v>6872</v>
      </c>
      <c r="G4367" t="s">
        <v>39</v>
      </c>
      <c r="H4367">
        <v>2008</v>
      </c>
      <c r="I4367">
        <v>27.18261</v>
      </c>
      <c r="J4367">
        <v>7.9</v>
      </c>
      <c r="K4367">
        <v>71</v>
      </c>
      <c r="L4367">
        <v>11.901199999999999</v>
      </c>
      <c r="M4367">
        <v>33.369909999999997</v>
      </c>
      <c r="N4367">
        <v>22.269909999999999</v>
      </c>
      <c r="O4367">
        <v>11.1</v>
      </c>
      <c r="P4367">
        <v>26.533570000000001</v>
      </c>
      <c r="Q4367">
        <v>27.88261</v>
      </c>
      <c r="R4367">
        <v>28.68261</v>
      </c>
      <c r="S4367">
        <v>25.533570000000001</v>
      </c>
      <c r="T4367">
        <v>1511.4</v>
      </c>
      <c r="U4367">
        <v>269.72699999999998</v>
      </c>
      <c r="V4367">
        <v>13.173909999999999</v>
      </c>
      <c r="W4367">
        <v>65.873040000000003</v>
      </c>
      <c r="X4367">
        <v>699.45389999999998</v>
      </c>
      <c r="Y4367">
        <v>63.711300000000001</v>
      </c>
      <c r="Z4367">
        <v>254.1078</v>
      </c>
      <c r="AA4367">
        <v>508.49040000000002</v>
      </c>
      <c r="AB4367">
        <v>18.297740000000001</v>
      </c>
      <c r="AC4367">
        <v>2.5463240000000002E-2</v>
      </c>
      <c r="AD4367">
        <v>3.550684</v>
      </c>
      <c r="AE4367">
        <v>0.80211140000000003</v>
      </c>
      <c r="AF4367">
        <v>39.081740000000003</v>
      </c>
      <c r="AG4367">
        <f>IFERROR(AH4367*0.1, "N/A")</f>
        <v>5.6459130000000002</v>
      </c>
      <c r="AH4367">
        <v>56.459130000000002</v>
      </c>
      <c r="AI4367">
        <v>88.610330000000005</v>
      </c>
      <c r="AJ4367">
        <v>18.118259999999999</v>
      </c>
      <c r="AK4367">
        <v>69.36</v>
      </c>
    </row>
    <row r="4368" spans="1:37" x14ac:dyDescent="0.3">
      <c r="A4368">
        <v>4367</v>
      </c>
      <c r="B4368">
        <v>12.8</v>
      </c>
      <c r="C4368">
        <v>3.08142</v>
      </c>
      <c r="D4368">
        <v>6.8985099999999999</v>
      </c>
      <c r="E4368" t="s">
        <v>6873</v>
      </c>
      <c r="F4368" t="s">
        <v>6874</v>
      </c>
      <c r="G4368" t="s">
        <v>39</v>
      </c>
      <c r="H4368">
        <v>2008</v>
      </c>
      <c r="I4368">
        <v>26.6</v>
      </c>
      <c r="J4368">
        <v>8.6</v>
      </c>
      <c r="K4368">
        <v>71</v>
      </c>
      <c r="L4368">
        <v>12.82</v>
      </c>
      <c r="M4368">
        <v>33.299999999999997</v>
      </c>
      <c r="N4368">
        <v>21.3</v>
      </c>
      <c r="O4368">
        <v>12</v>
      </c>
      <c r="P4368">
        <v>25.8</v>
      </c>
      <c r="Q4368">
        <v>27.5</v>
      </c>
      <c r="R4368">
        <v>28.2</v>
      </c>
      <c r="S4368">
        <v>24.8</v>
      </c>
      <c r="T4368">
        <v>1282</v>
      </c>
      <c r="U4368">
        <v>221</v>
      </c>
      <c r="V4368">
        <v>13</v>
      </c>
      <c r="W4368">
        <v>62</v>
      </c>
      <c r="X4368">
        <v>564</v>
      </c>
      <c r="Y4368">
        <v>63</v>
      </c>
      <c r="Z4368">
        <v>260</v>
      </c>
      <c r="AA4368">
        <v>388</v>
      </c>
      <c r="AB4368">
        <v>29.02261</v>
      </c>
      <c r="AC4368">
        <v>2.1830599999999999E-2</v>
      </c>
      <c r="AD4368">
        <v>3.2205780000000002</v>
      </c>
      <c r="AE4368">
        <v>0.72731999999999997</v>
      </c>
      <c r="AF4368">
        <v>116.2383</v>
      </c>
      <c r="AG4368">
        <f>IFERROR(AH4368*0.1, "N/A")</f>
        <v>5.7</v>
      </c>
      <c r="AH4368">
        <v>57</v>
      </c>
      <c r="AI4368">
        <v>38.75497</v>
      </c>
      <c r="AJ4368">
        <v>15.2087</v>
      </c>
      <c r="AK4368">
        <v>72.582610000000003</v>
      </c>
    </row>
    <row r="4369" spans="1:37" x14ac:dyDescent="0.3">
      <c r="A4369">
        <v>4368</v>
      </c>
      <c r="B4369">
        <v>10.6</v>
      </c>
      <c r="C4369">
        <v>2.8403</v>
      </c>
      <c r="D4369">
        <v>6.5250300000000001</v>
      </c>
      <c r="E4369" t="s">
        <v>6875</v>
      </c>
      <c r="F4369" t="s">
        <v>6876</v>
      </c>
      <c r="G4369" t="s">
        <v>39</v>
      </c>
      <c r="H4369">
        <v>2008</v>
      </c>
      <c r="I4369">
        <v>27.3</v>
      </c>
      <c r="J4369">
        <v>7.1</v>
      </c>
      <c r="K4369">
        <v>68</v>
      </c>
      <c r="L4369">
        <v>12.08437</v>
      </c>
      <c r="M4369">
        <v>32.799999999999997</v>
      </c>
      <c r="N4369">
        <v>22.5</v>
      </c>
      <c r="O4369">
        <v>10.3</v>
      </c>
      <c r="P4369">
        <v>26.6</v>
      </c>
      <c r="Q4369">
        <v>28.1</v>
      </c>
      <c r="R4369">
        <v>28.72465</v>
      </c>
      <c r="S4369">
        <v>25.675350000000002</v>
      </c>
      <c r="T4369">
        <v>1365.2739999999999</v>
      </c>
      <c r="U4369">
        <v>297.26049999999998</v>
      </c>
      <c r="V4369">
        <v>16.753499999999999</v>
      </c>
      <c r="W4369">
        <v>72</v>
      </c>
      <c r="X4369">
        <v>677.52099999999996</v>
      </c>
      <c r="Y4369">
        <v>76.753500000000003</v>
      </c>
      <c r="Z4369">
        <v>248.2465</v>
      </c>
      <c r="AA4369">
        <v>346.75349999999997</v>
      </c>
      <c r="AB4369">
        <v>0.92832139999999996</v>
      </c>
      <c r="AC4369">
        <v>0.89924349999999997</v>
      </c>
      <c r="AD4369">
        <v>1.220831</v>
      </c>
      <c r="AE4369">
        <v>0.78267940000000003</v>
      </c>
      <c r="AF4369">
        <v>18.85839</v>
      </c>
      <c r="AG4369">
        <f>IFERROR(AH4369*0.1, "N/A")</f>
        <v>5.8066430000000002</v>
      </c>
      <c r="AH4369">
        <v>58.066429999999997</v>
      </c>
      <c r="AI4369">
        <v>241.41300000000001</v>
      </c>
      <c r="AJ4369">
        <v>19.048950000000001</v>
      </c>
      <c r="AK4369">
        <v>70</v>
      </c>
    </row>
    <row r="4370" spans="1:37" x14ac:dyDescent="0.3">
      <c r="A4370">
        <v>4369</v>
      </c>
      <c r="B4370">
        <v>8.5</v>
      </c>
      <c r="C4370">
        <v>3.5654699999999999</v>
      </c>
      <c r="D4370">
        <v>7.1202899999999998</v>
      </c>
      <c r="E4370" t="s">
        <v>6877</v>
      </c>
      <c r="F4370" t="s">
        <v>6878</v>
      </c>
      <c r="G4370" t="s">
        <v>39</v>
      </c>
      <c r="H4370">
        <v>2008</v>
      </c>
      <c r="I4370">
        <v>26.9</v>
      </c>
      <c r="J4370">
        <v>8.6999999999999993</v>
      </c>
      <c r="K4370">
        <v>72</v>
      </c>
      <c r="L4370">
        <v>12.26</v>
      </c>
      <c r="M4370">
        <v>33.700000000000003</v>
      </c>
      <c r="N4370">
        <v>21.7</v>
      </c>
      <c r="O4370">
        <v>12</v>
      </c>
      <c r="P4370">
        <v>26.3</v>
      </c>
      <c r="Q4370">
        <v>27.6</v>
      </c>
      <c r="R4370">
        <v>28.5</v>
      </c>
      <c r="S4370">
        <v>25.2</v>
      </c>
      <c r="T4370">
        <v>1336</v>
      </c>
      <c r="U4370">
        <v>217</v>
      </c>
      <c r="V4370">
        <v>12</v>
      </c>
      <c r="W4370">
        <v>62</v>
      </c>
      <c r="X4370">
        <v>574</v>
      </c>
      <c r="Y4370">
        <v>55</v>
      </c>
      <c r="Z4370">
        <v>264</v>
      </c>
      <c r="AA4370">
        <v>443</v>
      </c>
      <c r="AB4370">
        <v>14.912559999999999</v>
      </c>
      <c r="AC4370">
        <v>1.2362140000000001E-2</v>
      </c>
      <c r="AD4370">
        <v>2.5363829999999998</v>
      </c>
      <c r="AE4370">
        <v>0.70327499999999998</v>
      </c>
      <c r="AF4370">
        <v>112.4066</v>
      </c>
      <c r="AG4370">
        <f>IFERROR(AH4370*0.1, "N/A")</f>
        <v>5.8000000000000007</v>
      </c>
      <c r="AH4370">
        <v>58</v>
      </c>
      <c r="AI4370">
        <v>333.5684</v>
      </c>
      <c r="AJ4370">
        <v>17.713789999999999</v>
      </c>
      <c r="AK4370">
        <v>62.858640000000001</v>
      </c>
    </row>
    <row r="4371" spans="1:37" x14ac:dyDescent="0.3">
      <c r="A4371">
        <v>4370</v>
      </c>
      <c r="B4371">
        <v>12.5</v>
      </c>
      <c r="C4371">
        <v>3.5281899999999999</v>
      </c>
      <c r="D4371">
        <v>7.2329299999999996</v>
      </c>
      <c r="E4371" t="s">
        <v>6879</v>
      </c>
      <c r="F4371" t="s">
        <v>6880</v>
      </c>
      <c r="G4371" t="s">
        <v>39</v>
      </c>
      <c r="H4371">
        <v>2008</v>
      </c>
      <c r="I4371">
        <v>26.773520000000001</v>
      </c>
      <c r="J4371">
        <v>9.1</v>
      </c>
      <c r="K4371">
        <v>72.735190000000003</v>
      </c>
      <c r="L4371">
        <v>12.39944</v>
      </c>
      <c r="M4371">
        <v>33.799999999999997</v>
      </c>
      <c r="N4371">
        <v>21.373519999999999</v>
      </c>
      <c r="O4371">
        <v>12.42648</v>
      </c>
      <c r="P4371">
        <v>26</v>
      </c>
      <c r="Q4371">
        <v>27.5</v>
      </c>
      <c r="R4371">
        <v>28.3</v>
      </c>
      <c r="S4371">
        <v>25.073519999999998</v>
      </c>
      <c r="T4371">
        <v>1290.2650000000001</v>
      </c>
      <c r="U4371">
        <v>198.73519999999999</v>
      </c>
      <c r="V4371">
        <v>12</v>
      </c>
      <c r="W4371">
        <v>61</v>
      </c>
      <c r="X4371">
        <v>535.47040000000004</v>
      </c>
      <c r="Y4371">
        <v>53</v>
      </c>
      <c r="Z4371">
        <v>269.52960000000002</v>
      </c>
      <c r="AA4371">
        <v>426</v>
      </c>
      <c r="AB4371">
        <v>12.69548</v>
      </c>
      <c r="AC4371">
        <v>2.1587169999999999E-2</v>
      </c>
      <c r="AD4371">
        <v>2.349361</v>
      </c>
      <c r="AE4371">
        <v>0.60695299999999996</v>
      </c>
      <c r="AF4371">
        <v>155.67769999999999</v>
      </c>
      <c r="AG4371">
        <f>IFERROR(AH4371*0.1, "N/A")</f>
        <v>5.9055750000000007</v>
      </c>
      <c r="AH4371">
        <v>59.055750000000003</v>
      </c>
      <c r="AI4371">
        <v>46.274380000000001</v>
      </c>
      <c r="AJ4371">
        <v>13.05575</v>
      </c>
      <c r="AK4371">
        <v>71.055750000000003</v>
      </c>
    </row>
    <row r="4372" spans="1:37" x14ac:dyDescent="0.3">
      <c r="A4372">
        <v>4371</v>
      </c>
      <c r="B4372">
        <v>4.9000000000000004</v>
      </c>
      <c r="C4372">
        <v>3.7688000000000001</v>
      </c>
      <c r="D4372">
        <v>6.8367800000000001</v>
      </c>
      <c r="E4372" t="s">
        <v>6881</v>
      </c>
      <c r="F4372" t="s">
        <v>6882</v>
      </c>
      <c r="G4372" t="s">
        <v>39</v>
      </c>
      <c r="H4372">
        <v>2008</v>
      </c>
      <c r="I4372">
        <v>27.1</v>
      </c>
      <c r="J4372">
        <v>7.9</v>
      </c>
      <c r="K4372">
        <v>71</v>
      </c>
      <c r="L4372">
        <v>11.83</v>
      </c>
      <c r="M4372">
        <v>33.299999999999997</v>
      </c>
      <c r="N4372">
        <v>22.3</v>
      </c>
      <c r="O4372">
        <v>11</v>
      </c>
      <c r="P4372">
        <v>26.5</v>
      </c>
      <c r="Q4372">
        <v>27.8</v>
      </c>
      <c r="R4372">
        <v>28.6</v>
      </c>
      <c r="S4372">
        <v>25.5</v>
      </c>
      <c r="T4372">
        <v>1544</v>
      </c>
      <c r="U4372">
        <v>273</v>
      </c>
      <c r="V4372">
        <v>14</v>
      </c>
      <c r="W4372">
        <v>66</v>
      </c>
      <c r="X4372">
        <v>713</v>
      </c>
      <c r="Y4372">
        <v>67</v>
      </c>
      <c r="Z4372">
        <v>255</v>
      </c>
      <c r="AA4372">
        <v>524</v>
      </c>
      <c r="AB4372">
        <v>24.008230000000001</v>
      </c>
      <c r="AC4372">
        <v>8.9788460000000004E-3</v>
      </c>
      <c r="AD4372">
        <v>0.97001950000000003</v>
      </c>
      <c r="AE4372">
        <v>0.75339120000000004</v>
      </c>
      <c r="AF4372">
        <v>49.549909999999997</v>
      </c>
      <c r="AG4372">
        <f>IFERROR(AH4372*0.1, "N/A")</f>
        <v>6.025919</v>
      </c>
      <c r="AH4372">
        <v>60.259189999999997</v>
      </c>
      <c r="AI4372">
        <v>200.07769999999999</v>
      </c>
      <c r="AJ4372">
        <v>17.220669999999998</v>
      </c>
      <c r="AK4372">
        <v>68.472849999999994</v>
      </c>
    </row>
    <row r="4373" spans="1:37" x14ac:dyDescent="0.3">
      <c r="A4373">
        <v>4372</v>
      </c>
      <c r="B4373">
        <v>9.9</v>
      </c>
      <c r="C4373">
        <v>4.3346099999999996</v>
      </c>
      <c r="D4373">
        <v>6.5398300000000003</v>
      </c>
      <c r="E4373" t="s">
        <v>6883</v>
      </c>
      <c r="F4373" t="s">
        <v>6884</v>
      </c>
      <c r="G4373" t="s">
        <v>39</v>
      </c>
      <c r="H4373">
        <v>2008</v>
      </c>
      <c r="I4373">
        <v>27.2</v>
      </c>
      <c r="J4373">
        <v>7.7</v>
      </c>
      <c r="K4373">
        <v>71</v>
      </c>
      <c r="L4373">
        <v>11.15</v>
      </c>
      <c r="M4373">
        <v>33.1</v>
      </c>
      <c r="N4373">
        <v>22.4</v>
      </c>
      <c r="O4373">
        <v>10.7</v>
      </c>
      <c r="P4373">
        <v>26.6</v>
      </c>
      <c r="Q4373">
        <v>27.8</v>
      </c>
      <c r="R4373">
        <v>28.5</v>
      </c>
      <c r="S4373">
        <v>25.6</v>
      </c>
      <c r="T4373">
        <v>1803</v>
      </c>
      <c r="U4373">
        <v>312</v>
      </c>
      <c r="V4373">
        <v>17</v>
      </c>
      <c r="W4373">
        <v>66</v>
      </c>
      <c r="X4373">
        <v>827</v>
      </c>
      <c r="Y4373">
        <v>79</v>
      </c>
      <c r="Z4373">
        <v>283</v>
      </c>
      <c r="AA4373">
        <v>670</v>
      </c>
      <c r="AB4373">
        <v>23.590420000000002</v>
      </c>
      <c r="AC4373">
        <v>8.4933430000000004E-3</v>
      </c>
      <c r="AD4373">
        <v>0.58994780000000002</v>
      </c>
      <c r="AE4373">
        <v>0.70025939999999998</v>
      </c>
      <c r="AF4373">
        <v>34.547040000000003</v>
      </c>
      <c r="AG4373">
        <f>IFERROR(AH4373*0.1, "N/A")</f>
        <v>5.8970380000000002</v>
      </c>
      <c r="AH4373">
        <v>58.970379999999999</v>
      </c>
      <c r="AI4373">
        <v>213.20599999999999</v>
      </c>
      <c r="AJ4373">
        <v>16.979089999999999</v>
      </c>
      <c r="AK4373">
        <v>71.911150000000006</v>
      </c>
    </row>
    <row r="4374" spans="1:37" x14ac:dyDescent="0.3">
      <c r="A4374">
        <v>4373</v>
      </c>
      <c r="B4374">
        <v>5</v>
      </c>
      <c r="C4374">
        <v>3.63198</v>
      </c>
      <c r="D4374">
        <v>6.8323499999999999</v>
      </c>
      <c r="E4374" t="s">
        <v>6885</v>
      </c>
      <c r="F4374" t="s">
        <v>6886</v>
      </c>
      <c r="G4374" t="s">
        <v>39</v>
      </c>
      <c r="H4374">
        <v>2008</v>
      </c>
      <c r="I4374">
        <v>27.2</v>
      </c>
      <c r="J4374">
        <v>7.7</v>
      </c>
      <c r="K4374">
        <v>71</v>
      </c>
      <c r="L4374">
        <v>11.46</v>
      </c>
      <c r="M4374">
        <v>33.1</v>
      </c>
      <c r="N4374">
        <v>22.4</v>
      </c>
      <c r="O4374">
        <v>10.7</v>
      </c>
      <c r="P4374">
        <v>26.5</v>
      </c>
      <c r="Q4374">
        <v>27.8</v>
      </c>
      <c r="R4374">
        <v>28.6</v>
      </c>
      <c r="S4374">
        <v>25.6</v>
      </c>
      <c r="T4374">
        <v>1520</v>
      </c>
      <c r="U4374">
        <v>284</v>
      </c>
      <c r="V4374">
        <v>14</v>
      </c>
      <c r="W4374">
        <v>67</v>
      </c>
      <c r="X4374">
        <v>718</v>
      </c>
      <c r="Y4374">
        <v>67</v>
      </c>
      <c r="Z4374">
        <v>257</v>
      </c>
      <c r="AA4374">
        <v>500</v>
      </c>
      <c r="AB4374">
        <v>13.36196</v>
      </c>
      <c r="AC4374">
        <v>3.1597899999999998E-2</v>
      </c>
      <c r="AD4374">
        <v>2.6610529999999999</v>
      </c>
      <c r="AE4374">
        <v>0.89698370000000005</v>
      </c>
      <c r="AF4374">
        <v>31.860379999999999</v>
      </c>
      <c r="AG4374">
        <f>IFERROR(AH4374*0.1, "N/A")</f>
        <v>5.9682370000000002</v>
      </c>
      <c r="AH4374">
        <v>59.682369999999999</v>
      </c>
      <c r="AI4374">
        <v>192.4153</v>
      </c>
      <c r="AJ4374">
        <v>23</v>
      </c>
      <c r="AK4374">
        <v>58</v>
      </c>
    </row>
    <row r="4375" spans="1:37" x14ac:dyDescent="0.3">
      <c r="A4375">
        <v>4374</v>
      </c>
      <c r="B4375">
        <v>26.2</v>
      </c>
      <c r="C4375">
        <v>2.8294079999999999</v>
      </c>
      <c r="D4375">
        <v>7.1938500000000003</v>
      </c>
      <c r="E4375" t="s">
        <v>6887</v>
      </c>
      <c r="F4375" t="s">
        <v>6888</v>
      </c>
      <c r="G4375" t="s">
        <v>39</v>
      </c>
      <c r="H4375">
        <v>2008</v>
      </c>
      <c r="I4375">
        <v>27.4</v>
      </c>
      <c r="J4375">
        <v>10</v>
      </c>
      <c r="K4375">
        <v>72</v>
      </c>
      <c r="L4375">
        <v>13.28</v>
      </c>
      <c r="M4375">
        <v>35.299999999999997</v>
      </c>
      <c r="N4375">
        <v>21.5</v>
      </c>
      <c r="O4375">
        <v>13.8</v>
      </c>
      <c r="P4375">
        <v>27.6</v>
      </c>
      <c r="Q4375">
        <v>27.9</v>
      </c>
      <c r="R4375">
        <v>29</v>
      </c>
      <c r="S4375">
        <v>25.6</v>
      </c>
      <c r="T4375">
        <v>1097</v>
      </c>
      <c r="U4375">
        <v>162</v>
      </c>
      <c r="V4375">
        <v>6</v>
      </c>
      <c r="W4375">
        <v>62</v>
      </c>
      <c r="X4375">
        <v>450</v>
      </c>
      <c r="Y4375">
        <v>47</v>
      </c>
      <c r="Z4375">
        <v>238</v>
      </c>
      <c r="AA4375">
        <v>363</v>
      </c>
      <c r="AB4375">
        <v>15.08164</v>
      </c>
      <c r="AC4375">
        <v>2.2198229999999999E-2</v>
      </c>
      <c r="AD4375">
        <v>1.420639</v>
      </c>
      <c r="AE4375">
        <v>0.69639499999999999</v>
      </c>
      <c r="AF4375">
        <v>58.933570000000003</v>
      </c>
      <c r="AG4375">
        <f>IFERROR(AH4375*0.1, "N/A")</f>
        <v>6.3000000000000007</v>
      </c>
      <c r="AH4375">
        <v>63</v>
      </c>
      <c r="AI4375">
        <v>250.8887</v>
      </c>
      <c r="AJ4375">
        <v>17.026219999999999</v>
      </c>
      <c r="AK4375">
        <v>66.872380000000007</v>
      </c>
    </row>
    <row r="4376" spans="1:37" x14ac:dyDescent="0.3">
      <c r="A4376">
        <v>4375</v>
      </c>
      <c r="B4376">
        <v>2.9</v>
      </c>
      <c r="C4376">
        <v>3.2833000000000001</v>
      </c>
      <c r="D4376">
        <v>7.4333</v>
      </c>
      <c r="E4376" t="s">
        <v>6889</v>
      </c>
      <c r="F4376" t="s">
        <v>6890</v>
      </c>
      <c r="G4376" t="s">
        <v>39</v>
      </c>
      <c r="H4376">
        <v>1971</v>
      </c>
      <c r="I4376">
        <v>26.853210000000001</v>
      </c>
      <c r="J4376">
        <v>9.8000000000000007</v>
      </c>
      <c r="K4376">
        <v>73</v>
      </c>
      <c r="L4376">
        <v>12.74166</v>
      </c>
      <c r="M4376">
        <v>34.55321</v>
      </c>
      <c r="N4376">
        <v>21.18458</v>
      </c>
      <c r="O4376">
        <v>13.36863</v>
      </c>
      <c r="P4376">
        <v>26.167760000000001</v>
      </c>
      <c r="Q4376">
        <v>27.614560000000001</v>
      </c>
      <c r="R4376">
        <v>28.453209999999999</v>
      </c>
      <c r="S4376">
        <v>25.114560000000001</v>
      </c>
      <c r="T4376">
        <v>1175.749</v>
      </c>
      <c r="U4376">
        <v>171</v>
      </c>
      <c r="V4376">
        <v>9</v>
      </c>
      <c r="W4376">
        <v>61</v>
      </c>
      <c r="X4376">
        <v>471.78160000000003</v>
      </c>
      <c r="Y4376">
        <v>48</v>
      </c>
      <c r="Z4376">
        <v>253.7088</v>
      </c>
      <c r="AA4376">
        <v>400.54939999999999</v>
      </c>
      <c r="AB4376">
        <v>7.9311999999999996</v>
      </c>
      <c r="AC4376">
        <v>2.944337E-2</v>
      </c>
      <c r="AD4376">
        <v>1.707408</v>
      </c>
      <c r="AE4376">
        <v>0.85148120000000005</v>
      </c>
      <c r="AF4376">
        <v>158.55459999999999</v>
      </c>
      <c r="AG4376">
        <f>IFERROR(AH4376*0.1, "N/A")</f>
        <v>6.3847490000000002</v>
      </c>
      <c r="AH4376">
        <v>63.847490000000001</v>
      </c>
      <c r="AI4376">
        <v>332.70190000000002</v>
      </c>
      <c r="AJ4376">
        <v>16.932410000000001</v>
      </c>
      <c r="AK4376">
        <v>66.105720000000005</v>
      </c>
    </row>
    <row r="4377" spans="1:37" x14ac:dyDescent="0.3">
      <c r="A4377">
        <v>4376</v>
      </c>
      <c r="B4377">
        <v>49.1</v>
      </c>
      <c r="C4377">
        <v>3.7166700000000001</v>
      </c>
      <c r="D4377">
        <v>7.2166699999999997</v>
      </c>
      <c r="E4377" t="s">
        <v>6891</v>
      </c>
      <c r="F4377" t="s">
        <v>6892</v>
      </c>
      <c r="G4377" t="s">
        <v>39</v>
      </c>
      <c r="H4377">
        <v>1972</v>
      </c>
      <c r="I4377">
        <v>26.818989999999999</v>
      </c>
      <c r="J4377">
        <v>8.9</v>
      </c>
      <c r="K4377">
        <v>71.810100000000006</v>
      </c>
      <c r="L4377">
        <v>12.404019999999999</v>
      </c>
      <c r="M4377">
        <v>33.818989999999999</v>
      </c>
      <c r="N4377">
        <v>21.5</v>
      </c>
      <c r="O4377">
        <v>12.318989999999999</v>
      </c>
      <c r="P4377">
        <v>26.11899</v>
      </c>
      <c r="Q4377">
        <v>27.518989999999999</v>
      </c>
      <c r="R4377">
        <v>28.318989999999999</v>
      </c>
      <c r="S4377">
        <v>25.1</v>
      </c>
      <c r="T4377">
        <v>1334.2</v>
      </c>
      <c r="U4377">
        <v>206.7962</v>
      </c>
      <c r="V4377">
        <v>10</v>
      </c>
      <c r="W4377">
        <v>62</v>
      </c>
      <c r="X4377">
        <v>557.39020000000005</v>
      </c>
      <c r="Y4377">
        <v>49</v>
      </c>
      <c r="Z4377">
        <v>258.01220000000001</v>
      </c>
      <c r="AA4377">
        <v>460.392</v>
      </c>
      <c r="AB4377">
        <v>9.6940770000000001</v>
      </c>
      <c r="AC4377">
        <v>1.316552E-2</v>
      </c>
      <c r="AD4377">
        <v>2.9811290000000001</v>
      </c>
      <c r="AE4377">
        <v>0.64105509999999999</v>
      </c>
      <c r="AF4377">
        <v>131.2491</v>
      </c>
      <c r="AG4377">
        <f>IFERROR(AH4377*0.1, "N/A")</f>
        <v>5.9986060000000005</v>
      </c>
      <c r="AH4377">
        <v>59.986060000000002</v>
      </c>
      <c r="AI4377">
        <v>303.01769999999999</v>
      </c>
      <c r="AJ4377">
        <v>14.090590000000001</v>
      </c>
      <c r="AK4377">
        <v>70.181179999999998</v>
      </c>
    </row>
    <row r="4378" spans="1:37" x14ac:dyDescent="0.3">
      <c r="A4378">
        <v>4377</v>
      </c>
      <c r="B4378">
        <v>0</v>
      </c>
      <c r="C4378">
        <v>3.90177</v>
      </c>
      <c r="D4378">
        <v>7.4015399999999998</v>
      </c>
      <c r="E4378" t="s">
        <v>6893</v>
      </c>
      <c r="F4378" t="s">
        <v>6894</v>
      </c>
      <c r="G4378" t="s">
        <v>39</v>
      </c>
      <c r="H4378">
        <v>1970</v>
      </c>
      <c r="I4378">
        <v>26.5</v>
      </c>
      <c r="J4378">
        <v>9.3000000000000007</v>
      </c>
      <c r="K4378">
        <v>70</v>
      </c>
      <c r="L4378">
        <v>12.84</v>
      </c>
      <c r="M4378">
        <v>33.9</v>
      </c>
      <c r="N4378">
        <v>20.7</v>
      </c>
      <c r="O4378">
        <v>13.2</v>
      </c>
      <c r="P4378">
        <v>25.7</v>
      </c>
      <c r="Q4378">
        <v>27.2</v>
      </c>
      <c r="R4378">
        <v>28</v>
      </c>
      <c r="S4378">
        <v>24.6</v>
      </c>
      <c r="T4378">
        <v>1308</v>
      </c>
      <c r="U4378">
        <v>187</v>
      </c>
      <c r="V4378">
        <v>6</v>
      </c>
      <c r="W4378">
        <v>63</v>
      </c>
      <c r="X4378">
        <v>515</v>
      </c>
      <c r="Y4378">
        <v>39</v>
      </c>
      <c r="Z4378">
        <v>250</v>
      </c>
      <c r="AA4378">
        <v>482</v>
      </c>
      <c r="AB4378">
        <v>18.747129999999999</v>
      </c>
      <c r="AC4378">
        <v>1.049803E-2</v>
      </c>
      <c r="AD4378">
        <v>2.954285</v>
      </c>
      <c r="AE4378">
        <v>0.87219380000000002</v>
      </c>
      <c r="AF4378">
        <v>210.71129999999999</v>
      </c>
      <c r="AG4378">
        <f>IFERROR(AH4378*0.1, "N/A")</f>
        <v>6.6959999999999997</v>
      </c>
      <c r="AH4378">
        <v>66.959999999999994</v>
      </c>
      <c r="AI4378">
        <v>145.11189999999999</v>
      </c>
      <c r="AJ4378">
        <v>17.50957</v>
      </c>
      <c r="AK4378">
        <v>60.203479999999999</v>
      </c>
    </row>
    <row r="4379" spans="1:37" x14ac:dyDescent="0.3">
      <c r="A4379">
        <v>4378</v>
      </c>
      <c r="B4379">
        <v>0.4</v>
      </c>
      <c r="C4379">
        <v>3.41798</v>
      </c>
      <c r="D4379">
        <v>6.44116</v>
      </c>
      <c r="E4379" t="s">
        <v>6895</v>
      </c>
      <c r="F4379" t="s">
        <v>6896</v>
      </c>
      <c r="G4379" t="s">
        <v>37</v>
      </c>
      <c r="H4379">
        <v>1961</v>
      </c>
      <c r="I4379">
        <v>27</v>
      </c>
      <c r="J4379">
        <v>6.4</v>
      </c>
      <c r="K4379">
        <v>70.937169999999995</v>
      </c>
      <c r="L4379">
        <v>10.54754</v>
      </c>
      <c r="M4379">
        <v>31.70628</v>
      </c>
      <c r="N4379">
        <v>22.7</v>
      </c>
      <c r="O4379">
        <v>9.0062829999999998</v>
      </c>
      <c r="P4379">
        <v>26.5</v>
      </c>
      <c r="Q4379">
        <v>27.7</v>
      </c>
      <c r="R4379">
        <v>28.3</v>
      </c>
      <c r="S4379">
        <v>25.5</v>
      </c>
      <c r="T4379">
        <v>1714.874</v>
      </c>
      <c r="U4379">
        <v>392.93720000000002</v>
      </c>
      <c r="V4379">
        <v>20</v>
      </c>
      <c r="W4379">
        <v>75</v>
      </c>
      <c r="X4379">
        <v>897.93719999999996</v>
      </c>
      <c r="Y4379">
        <v>90</v>
      </c>
      <c r="Z4379">
        <v>284.93720000000002</v>
      </c>
      <c r="AA4379">
        <v>481.18849999999998</v>
      </c>
      <c r="AB4379">
        <v>1.65096</v>
      </c>
      <c r="AC4379">
        <v>1.0388459999999999</v>
      </c>
      <c r="AD4379">
        <v>0.95774649999999995</v>
      </c>
      <c r="AE4379">
        <v>0.90396410000000005</v>
      </c>
      <c r="AF4379">
        <v>3.9424079999999999</v>
      </c>
      <c r="AG4379">
        <f>IFERROR(AH4379*0.1, "N/A")</f>
        <v>5.8710300000000002</v>
      </c>
      <c r="AH4379">
        <v>58.710299999999997</v>
      </c>
      <c r="AI4379">
        <v>183.5395</v>
      </c>
      <c r="AJ4379">
        <v>35.738219999999998</v>
      </c>
      <c r="AK4379">
        <v>39.682369999999999</v>
      </c>
    </row>
    <row r="4380" spans="1:37" x14ac:dyDescent="0.3">
      <c r="A4380">
        <v>4379</v>
      </c>
      <c r="B4380">
        <v>69.099999999999994</v>
      </c>
      <c r="C4380">
        <v>11.745799999999999</v>
      </c>
      <c r="D4380">
        <v>8.9815199999999997</v>
      </c>
      <c r="E4380" t="s">
        <v>6897</v>
      </c>
      <c r="F4380" t="s">
        <v>6898</v>
      </c>
      <c r="G4380" t="s">
        <v>39</v>
      </c>
      <c r="H4380">
        <v>1959</v>
      </c>
      <c r="I4380">
        <v>25.7</v>
      </c>
      <c r="J4380">
        <v>12.9</v>
      </c>
      <c r="K4380">
        <v>60</v>
      </c>
      <c r="L4380">
        <v>17.16</v>
      </c>
      <c r="M4380">
        <v>36.200000000000003</v>
      </c>
      <c r="N4380">
        <v>14.8</v>
      </c>
      <c r="O4380">
        <v>21.4</v>
      </c>
      <c r="P4380">
        <v>24.3</v>
      </c>
      <c r="Q4380">
        <v>24.6</v>
      </c>
      <c r="R4380">
        <v>28.3</v>
      </c>
      <c r="S4380">
        <v>24.2</v>
      </c>
      <c r="T4380">
        <v>1084</v>
      </c>
      <c r="U4380">
        <v>235</v>
      </c>
      <c r="V4380">
        <v>0</v>
      </c>
      <c r="W4380">
        <v>97</v>
      </c>
      <c r="X4380">
        <v>653</v>
      </c>
      <c r="Y4380">
        <v>1</v>
      </c>
      <c r="Z4380">
        <v>194</v>
      </c>
      <c r="AA4380">
        <v>4</v>
      </c>
      <c r="AB4380">
        <v>1.3937839999999999</v>
      </c>
      <c r="AC4380">
        <v>0.61787700000000001</v>
      </c>
      <c r="AD4380">
        <v>1.6130119999999999</v>
      </c>
      <c r="AE4380">
        <v>0.65080150000000003</v>
      </c>
      <c r="AF4380">
        <v>519.19169999999997</v>
      </c>
      <c r="AG4380">
        <f>IFERROR(AH4380*0.1, "N/A")</f>
        <v>6.0506039999999999</v>
      </c>
      <c r="AH4380">
        <v>60.506039999999999</v>
      </c>
      <c r="AI4380">
        <v>243.58500000000001</v>
      </c>
      <c r="AJ4380">
        <v>13.53886</v>
      </c>
      <c r="AK4380">
        <v>69.246979999999994</v>
      </c>
    </row>
    <row r="4381" spans="1:37" x14ac:dyDescent="0.3">
      <c r="A4381">
        <v>4380</v>
      </c>
      <c r="B4381">
        <v>93.6</v>
      </c>
      <c r="C4381">
        <v>11.7</v>
      </c>
      <c r="D4381">
        <v>8.9166699999999999</v>
      </c>
      <c r="E4381" t="s">
        <v>6899</v>
      </c>
      <c r="F4381" t="s">
        <v>6900</v>
      </c>
      <c r="G4381" t="s">
        <v>39</v>
      </c>
      <c r="H4381">
        <v>1959</v>
      </c>
      <c r="I4381">
        <v>25.24776</v>
      </c>
      <c r="J4381">
        <v>12.9</v>
      </c>
      <c r="K4381">
        <v>60</v>
      </c>
      <c r="L4381">
        <v>16.910720000000001</v>
      </c>
      <c r="M4381">
        <v>35.74776</v>
      </c>
      <c r="N4381">
        <v>14.45828</v>
      </c>
      <c r="O4381">
        <v>21.289480000000001</v>
      </c>
      <c r="P4381">
        <v>23.947759999999999</v>
      </c>
      <c r="Q4381">
        <v>24.24776</v>
      </c>
      <c r="R4381">
        <v>27.897590000000001</v>
      </c>
      <c r="S4381">
        <v>23.8081</v>
      </c>
      <c r="T4381">
        <v>1108.1659999999999</v>
      </c>
      <c r="U4381">
        <v>237.81379999999999</v>
      </c>
      <c r="V4381">
        <v>0</v>
      </c>
      <c r="W4381">
        <v>96.498279999999994</v>
      </c>
      <c r="X4381">
        <v>663.44140000000004</v>
      </c>
      <c r="Y4381">
        <v>1</v>
      </c>
      <c r="Z4381">
        <v>201.91900000000001</v>
      </c>
      <c r="AA4381">
        <v>4</v>
      </c>
      <c r="AB4381">
        <v>26.77054</v>
      </c>
      <c r="AC4381">
        <v>1.7111640000000001E-2</v>
      </c>
      <c r="AD4381">
        <v>8.7103120000000001</v>
      </c>
      <c r="AE4381">
        <v>0.68313060000000003</v>
      </c>
      <c r="AF4381">
        <v>601.6</v>
      </c>
      <c r="AG4381">
        <f>IFERROR(AH4381*0.1, "N/A")</f>
        <v>6.1193100000000005</v>
      </c>
      <c r="AH4381">
        <v>61.193100000000001</v>
      </c>
      <c r="AI4381">
        <v>76.423010000000005</v>
      </c>
      <c r="AJ4381">
        <v>14.403449999999999</v>
      </c>
      <c r="AK4381">
        <v>67.394829999999999</v>
      </c>
    </row>
    <row r="4382" spans="1:37" x14ac:dyDescent="0.3">
      <c r="A4382">
        <v>4381</v>
      </c>
      <c r="B4382">
        <v>1.3</v>
      </c>
      <c r="C4382">
        <v>3.8471600000000001</v>
      </c>
      <c r="D4382">
        <v>7.3804600000000002</v>
      </c>
      <c r="E4382" t="s">
        <v>6901</v>
      </c>
      <c r="F4382" t="s">
        <v>6902</v>
      </c>
      <c r="G4382" t="s">
        <v>37</v>
      </c>
      <c r="H4382">
        <v>1965</v>
      </c>
      <c r="I4382">
        <v>26.8</v>
      </c>
      <c r="J4382">
        <v>9.3000000000000007</v>
      </c>
      <c r="K4382">
        <v>71</v>
      </c>
      <c r="L4382">
        <v>12.83</v>
      </c>
      <c r="M4382">
        <v>34.1</v>
      </c>
      <c r="N4382">
        <v>21.1</v>
      </c>
      <c r="O4382">
        <v>13</v>
      </c>
      <c r="P4382">
        <v>26.1</v>
      </c>
      <c r="Q4382">
        <v>27.5</v>
      </c>
      <c r="R4382">
        <v>28.4</v>
      </c>
      <c r="S4382">
        <v>25</v>
      </c>
      <c r="T4382">
        <v>1290</v>
      </c>
      <c r="U4382">
        <v>190</v>
      </c>
      <c r="V4382">
        <v>6</v>
      </c>
      <c r="W4382">
        <v>63</v>
      </c>
      <c r="X4382">
        <v>518</v>
      </c>
      <c r="Y4382">
        <v>39</v>
      </c>
      <c r="Z4382">
        <v>246</v>
      </c>
      <c r="AA4382">
        <v>468</v>
      </c>
      <c r="AB4382">
        <v>4.4490480000000003</v>
      </c>
      <c r="AC4382">
        <v>33.265279999999997</v>
      </c>
      <c r="AD4382">
        <v>2.1623999999999999</v>
      </c>
      <c r="AE4382">
        <v>0.82062579999999996</v>
      </c>
      <c r="AF4382">
        <v>153.17740000000001</v>
      </c>
      <c r="AG4382">
        <f>IFERROR(AH4382*0.1, "N/A")</f>
        <v>6.2622610000000005</v>
      </c>
      <c r="AH4382">
        <v>62.622610000000002</v>
      </c>
      <c r="AI4382">
        <v>71.086110000000005</v>
      </c>
      <c r="AJ4382">
        <v>14.89739</v>
      </c>
      <c r="AK4382">
        <v>67.154780000000002</v>
      </c>
    </row>
    <row r="4383" spans="1:37" x14ac:dyDescent="0.3">
      <c r="A4383">
        <v>4382</v>
      </c>
      <c r="B4383">
        <v>91</v>
      </c>
      <c r="C4383">
        <v>3.8471600000000001</v>
      </c>
      <c r="D4383">
        <v>7.3804600000000002</v>
      </c>
      <c r="E4383" t="s">
        <v>6901</v>
      </c>
      <c r="F4383" t="s">
        <v>6903</v>
      </c>
      <c r="G4383" t="s">
        <v>39</v>
      </c>
      <c r="H4383">
        <v>1965</v>
      </c>
      <c r="I4383">
        <v>26.8</v>
      </c>
      <c r="J4383">
        <v>9.3000000000000007</v>
      </c>
      <c r="K4383">
        <v>71</v>
      </c>
      <c r="L4383">
        <v>12.83</v>
      </c>
      <c r="M4383">
        <v>34.1</v>
      </c>
      <c r="N4383">
        <v>21.1</v>
      </c>
      <c r="O4383">
        <v>13</v>
      </c>
      <c r="P4383">
        <v>26.1</v>
      </c>
      <c r="Q4383">
        <v>27.5</v>
      </c>
      <c r="R4383">
        <v>28.4</v>
      </c>
      <c r="S4383">
        <v>25</v>
      </c>
      <c r="T4383">
        <v>1290</v>
      </c>
      <c r="U4383">
        <v>190</v>
      </c>
      <c r="V4383">
        <v>6</v>
      </c>
      <c r="W4383">
        <v>63</v>
      </c>
      <c r="X4383">
        <v>518</v>
      </c>
      <c r="Y4383">
        <v>39</v>
      </c>
      <c r="Z4383">
        <v>246</v>
      </c>
      <c r="AA4383">
        <v>468</v>
      </c>
      <c r="AB4383">
        <v>4.4490480000000003</v>
      </c>
      <c r="AC4383">
        <v>33.265279999999997</v>
      </c>
      <c r="AD4383">
        <v>2.1623999999999999</v>
      </c>
      <c r="AE4383">
        <v>0.82062579999999996</v>
      </c>
      <c r="AF4383">
        <v>153.17740000000001</v>
      </c>
      <c r="AG4383">
        <f>IFERROR(AH4383*0.1, "N/A")</f>
        <v>6.2622610000000005</v>
      </c>
      <c r="AH4383">
        <v>62.622610000000002</v>
      </c>
      <c r="AI4383">
        <v>71.086110000000005</v>
      </c>
      <c r="AJ4383">
        <v>14.89739</v>
      </c>
      <c r="AK4383">
        <v>67.154780000000002</v>
      </c>
    </row>
    <row r="4384" spans="1:37" x14ac:dyDescent="0.3">
      <c r="A4384">
        <v>4383</v>
      </c>
      <c r="B4384">
        <v>1.1000000000000001</v>
      </c>
      <c r="C4384">
        <v>3.9856099999999999</v>
      </c>
      <c r="D4384">
        <v>6.5811099999999998</v>
      </c>
      <c r="E4384" t="s">
        <v>6904</v>
      </c>
      <c r="F4384" t="s">
        <v>6905</v>
      </c>
      <c r="G4384" t="s">
        <v>37</v>
      </c>
      <c r="H4384">
        <v>1965</v>
      </c>
      <c r="I4384">
        <v>27.6</v>
      </c>
      <c r="J4384">
        <v>7.4</v>
      </c>
      <c r="K4384">
        <v>70</v>
      </c>
      <c r="L4384">
        <v>11.43</v>
      </c>
      <c r="M4384">
        <v>33.299999999999997</v>
      </c>
      <c r="N4384">
        <v>22.8</v>
      </c>
      <c r="O4384">
        <v>10.5</v>
      </c>
      <c r="P4384">
        <v>26.9</v>
      </c>
      <c r="Q4384">
        <v>28.2</v>
      </c>
      <c r="R4384">
        <v>29</v>
      </c>
      <c r="S4384">
        <v>25.9</v>
      </c>
      <c r="T4384">
        <v>1694</v>
      </c>
      <c r="U4384">
        <v>326</v>
      </c>
      <c r="V4384">
        <v>19</v>
      </c>
      <c r="W4384">
        <v>69</v>
      </c>
      <c r="X4384">
        <v>824</v>
      </c>
      <c r="Y4384">
        <v>77</v>
      </c>
      <c r="Z4384">
        <v>258</v>
      </c>
      <c r="AA4384">
        <v>587</v>
      </c>
      <c r="AB4384">
        <v>3.3855400000000002</v>
      </c>
      <c r="AC4384">
        <v>9.9026139999999999E-2</v>
      </c>
      <c r="AD4384">
        <v>1.28901</v>
      </c>
      <c r="AE4384">
        <v>0.76676219999999995</v>
      </c>
      <c r="AF4384">
        <v>1.9041809999999999</v>
      </c>
      <c r="AG4384">
        <f>IFERROR(AH4384*0.1, "N/A")</f>
        <v>5.2348430000000006</v>
      </c>
      <c r="AH4384">
        <v>52.34843</v>
      </c>
      <c r="AI4384">
        <v>157.42699999999999</v>
      </c>
      <c r="AJ4384">
        <v>21.65157</v>
      </c>
      <c r="AK4384">
        <v>60.022649999999999</v>
      </c>
    </row>
    <row r="4385" spans="1:37" x14ac:dyDescent="0.3">
      <c r="A4385">
        <v>4384</v>
      </c>
      <c r="B4385">
        <v>50</v>
      </c>
      <c r="C4385">
        <v>3.9856099999999999</v>
      </c>
      <c r="D4385">
        <v>6.5811099999999998</v>
      </c>
      <c r="E4385" t="s">
        <v>6904</v>
      </c>
      <c r="F4385" t="s">
        <v>6906</v>
      </c>
      <c r="G4385" t="s">
        <v>39</v>
      </c>
      <c r="H4385">
        <v>1965</v>
      </c>
      <c r="I4385">
        <v>27.6</v>
      </c>
      <c r="J4385">
        <v>7.4</v>
      </c>
      <c r="K4385">
        <v>70</v>
      </c>
      <c r="L4385">
        <v>11.43</v>
      </c>
      <c r="M4385">
        <v>33.299999999999997</v>
      </c>
      <c r="N4385">
        <v>22.8</v>
      </c>
      <c r="O4385">
        <v>10.5</v>
      </c>
      <c r="P4385">
        <v>26.9</v>
      </c>
      <c r="Q4385">
        <v>28.2</v>
      </c>
      <c r="R4385">
        <v>29</v>
      </c>
      <c r="S4385">
        <v>25.9</v>
      </c>
      <c r="T4385">
        <v>1694</v>
      </c>
      <c r="U4385">
        <v>326</v>
      </c>
      <c r="V4385">
        <v>19</v>
      </c>
      <c r="W4385">
        <v>69</v>
      </c>
      <c r="X4385">
        <v>824</v>
      </c>
      <c r="Y4385">
        <v>77</v>
      </c>
      <c r="Z4385">
        <v>258</v>
      </c>
      <c r="AA4385">
        <v>587</v>
      </c>
      <c r="AB4385">
        <v>3.3855400000000002</v>
      </c>
      <c r="AC4385">
        <v>9.9026139999999999E-2</v>
      </c>
      <c r="AD4385">
        <v>1.28901</v>
      </c>
      <c r="AE4385">
        <v>0.76676219999999995</v>
      </c>
      <c r="AF4385">
        <v>1.9041809999999999</v>
      </c>
      <c r="AG4385">
        <f>IFERROR(AH4385*0.1, "N/A")</f>
        <v>5.2348430000000006</v>
      </c>
      <c r="AH4385">
        <v>52.34843</v>
      </c>
      <c r="AI4385">
        <v>157.42699999999999</v>
      </c>
      <c r="AJ4385">
        <v>21.65157</v>
      </c>
      <c r="AK4385">
        <v>60.022649999999999</v>
      </c>
    </row>
    <row r="4386" spans="1:37" x14ac:dyDescent="0.3">
      <c r="A4386">
        <v>4385</v>
      </c>
      <c r="B4386">
        <v>0</v>
      </c>
      <c r="C4386">
        <v>3.35</v>
      </c>
      <c r="D4386">
        <v>7.15</v>
      </c>
      <c r="E4386" t="s">
        <v>6689</v>
      </c>
      <c r="F4386" t="s">
        <v>6907</v>
      </c>
      <c r="G4386" t="s">
        <v>37</v>
      </c>
      <c r="H4386">
        <v>1966</v>
      </c>
      <c r="I4386">
        <v>27.156269999999999</v>
      </c>
      <c r="J4386">
        <v>8.9926829999999995</v>
      </c>
      <c r="K4386">
        <v>72.416380000000004</v>
      </c>
      <c r="L4386">
        <v>12.334250000000001</v>
      </c>
      <c r="M4386">
        <v>34.148949999999999</v>
      </c>
      <c r="N4386">
        <v>21.805230000000002</v>
      </c>
      <c r="O4386">
        <v>12.343730000000001</v>
      </c>
      <c r="P4386">
        <v>26.44895</v>
      </c>
      <c r="Q4386">
        <v>27.87979</v>
      </c>
      <c r="R4386">
        <v>28.672470000000001</v>
      </c>
      <c r="S4386">
        <v>25.45627</v>
      </c>
      <c r="T4386">
        <v>1240.202</v>
      </c>
      <c r="U4386">
        <v>198.98079999999999</v>
      </c>
      <c r="V4386">
        <v>13</v>
      </c>
      <c r="W4386">
        <v>61</v>
      </c>
      <c r="X4386">
        <v>527.47209999999995</v>
      </c>
      <c r="Y4386">
        <v>55</v>
      </c>
      <c r="Z4386">
        <v>259.9477</v>
      </c>
      <c r="AA4386">
        <v>405.18290000000002</v>
      </c>
      <c r="AB4386">
        <v>17.247910000000001</v>
      </c>
      <c r="AC4386">
        <v>2.6600780000000001E-2</v>
      </c>
      <c r="AD4386">
        <v>2.619084</v>
      </c>
      <c r="AE4386">
        <v>0.93237590000000004</v>
      </c>
      <c r="AF4386">
        <v>63.402439999999999</v>
      </c>
      <c r="AG4386">
        <f>IFERROR(AH4386*0.1, "N/A")</f>
        <v>6.9</v>
      </c>
      <c r="AH4386">
        <v>69</v>
      </c>
      <c r="AI4386">
        <v>225.9084</v>
      </c>
      <c r="AJ4386">
        <v>22</v>
      </c>
      <c r="AK4386">
        <v>61.344949999999997</v>
      </c>
    </row>
    <row r="4387" spans="1:37" x14ac:dyDescent="0.3">
      <c r="A4387">
        <v>4386</v>
      </c>
      <c r="B4387">
        <v>0</v>
      </c>
      <c r="C4387">
        <v>7.4943</v>
      </c>
      <c r="D4387">
        <v>6.4401999999999999</v>
      </c>
      <c r="E4387" t="s">
        <v>6811</v>
      </c>
      <c r="F4387" t="s">
        <v>6908</v>
      </c>
      <c r="G4387" t="s">
        <v>37</v>
      </c>
      <c r="H4387">
        <v>1966</v>
      </c>
      <c r="I4387">
        <v>26.3</v>
      </c>
      <c r="J4387">
        <v>8.9</v>
      </c>
      <c r="K4387">
        <v>72</v>
      </c>
      <c r="L4387">
        <v>12.84</v>
      </c>
      <c r="M4387">
        <v>33.200000000000003</v>
      </c>
      <c r="N4387">
        <v>20.9</v>
      </c>
      <c r="O4387">
        <v>12.3</v>
      </c>
      <c r="P4387">
        <v>24.6</v>
      </c>
      <c r="Q4387">
        <v>27</v>
      </c>
      <c r="R4387">
        <v>28</v>
      </c>
      <c r="S4387">
        <v>24.6</v>
      </c>
      <c r="T4387">
        <v>1738</v>
      </c>
      <c r="U4387">
        <v>299</v>
      </c>
      <c r="V4387">
        <v>9</v>
      </c>
      <c r="W4387">
        <v>72</v>
      </c>
      <c r="X4387">
        <v>766</v>
      </c>
      <c r="Y4387">
        <v>43</v>
      </c>
      <c r="Z4387">
        <v>236</v>
      </c>
      <c r="AA4387">
        <v>708</v>
      </c>
      <c r="AB4387">
        <v>12.575530000000001</v>
      </c>
      <c r="AC4387">
        <v>7.2752750000000005E-2</v>
      </c>
      <c r="AD4387">
        <v>1.5268489999999999</v>
      </c>
      <c r="AE4387">
        <v>0.84544010000000003</v>
      </c>
      <c r="AF4387">
        <v>196.20490000000001</v>
      </c>
      <c r="AG4387">
        <f>IFERROR(AH4387*0.1, "N/A")</f>
        <v>5.9152780000000007</v>
      </c>
      <c r="AH4387">
        <v>59.15278</v>
      </c>
      <c r="AI4387">
        <v>140.47059999999999</v>
      </c>
      <c r="AJ4387">
        <v>25</v>
      </c>
      <c r="AK4387">
        <v>59.923609999999996</v>
      </c>
    </row>
    <row r="4388" spans="1:37" x14ac:dyDescent="0.3">
      <c r="A4388">
        <v>4387</v>
      </c>
      <c r="B4388">
        <v>0</v>
      </c>
      <c r="C4388">
        <v>7.0052300000000001</v>
      </c>
      <c r="D4388">
        <v>4.7850099999999998</v>
      </c>
      <c r="E4388" t="s">
        <v>6909</v>
      </c>
      <c r="F4388" t="s">
        <v>6910</v>
      </c>
      <c r="G4388" t="s">
        <v>37</v>
      </c>
      <c r="H4388">
        <v>1966</v>
      </c>
      <c r="I4388">
        <v>26.3</v>
      </c>
      <c r="J4388">
        <v>8.3000000000000007</v>
      </c>
      <c r="K4388">
        <v>77</v>
      </c>
      <c r="L4388">
        <v>7.6</v>
      </c>
      <c r="M4388">
        <v>32.200000000000003</v>
      </c>
      <c r="N4388">
        <v>21.5</v>
      </c>
      <c r="O4388">
        <v>10.7</v>
      </c>
      <c r="P4388">
        <v>25.3</v>
      </c>
      <c r="Q4388">
        <v>26.7</v>
      </c>
      <c r="R4388">
        <v>27.3</v>
      </c>
      <c r="S4388">
        <v>25.3</v>
      </c>
      <c r="T4388">
        <v>2648</v>
      </c>
      <c r="U4388">
        <v>409</v>
      </c>
      <c r="V4388">
        <v>34</v>
      </c>
      <c r="W4388">
        <v>60</v>
      </c>
      <c r="X4388">
        <v>1144</v>
      </c>
      <c r="Y4388">
        <v>145</v>
      </c>
      <c r="Z4388">
        <v>412</v>
      </c>
      <c r="AA4388">
        <v>1144</v>
      </c>
      <c r="AB4388">
        <v>12.61103</v>
      </c>
      <c r="AC4388">
        <v>1.06073E-2</v>
      </c>
      <c r="AD4388">
        <v>2.1276120000000001</v>
      </c>
      <c r="AE4388">
        <v>0.92716319999999997</v>
      </c>
      <c r="AF4388">
        <v>15.208410000000001</v>
      </c>
      <c r="AG4388">
        <f>IFERROR(AH4388*0.1, "N/A")</f>
        <v>5.5632219999999997</v>
      </c>
      <c r="AH4388">
        <v>55.632219999999997</v>
      </c>
      <c r="AI4388">
        <v>147.53829999999999</v>
      </c>
      <c r="AJ4388">
        <v>23.991240000000001</v>
      </c>
      <c r="AK4388">
        <v>58.14011</v>
      </c>
    </row>
    <row r="4389" spans="1:37" x14ac:dyDescent="0.3">
      <c r="A4389">
        <v>4388</v>
      </c>
      <c r="B4389">
        <v>9</v>
      </c>
      <c r="C4389">
        <v>6.2391100000000002</v>
      </c>
      <c r="D4389">
        <v>7.5488600000000003</v>
      </c>
      <c r="E4389" t="s">
        <v>6911</v>
      </c>
      <c r="F4389" t="s">
        <v>6912</v>
      </c>
      <c r="G4389" t="s">
        <v>39</v>
      </c>
      <c r="H4389">
        <v>1968</v>
      </c>
      <c r="I4389">
        <v>24.7</v>
      </c>
      <c r="J4389">
        <v>10.199999999999999</v>
      </c>
      <c r="K4389">
        <v>68</v>
      </c>
      <c r="L4389">
        <v>14.08</v>
      </c>
      <c r="M4389">
        <v>32.700000000000003</v>
      </c>
      <c r="N4389">
        <v>17.7</v>
      </c>
      <c r="O4389">
        <v>15</v>
      </c>
      <c r="P4389">
        <v>23</v>
      </c>
      <c r="Q4389">
        <v>24.7</v>
      </c>
      <c r="R4389">
        <v>26.7</v>
      </c>
      <c r="S4389">
        <v>23</v>
      </c>
      <c r="T4389">
        <v>1260</v>
      </c>
      <c r="U4389">
        <v>233</v>
      </c>
      <c r="V4389">
        <v>8</v>
      </c>
      <c r="W4389">
        <v>70</v>
      </c>
      <c r="X4389">
        <v>533</v>
      </c>
      <c r="Y4389">
        <v>42</v>
      </c>
      <c r="Z4389">
        <v>195</v>
      </c>
      <c r="AA4389">
        <v>533</v>
      </c>
      <c r="AB4389">
        <v>20.967179999999999</v>
      </c>
      <c r="AC4389">
        <v>7.8469650000000002E-2</v>
      </c>
      <c r="AD4389">
        <v>3.4520360000000001</v>
      </c>
      <c r="AE4389">
        <v>0.83019520000000002</v>
      </c>
      <c r="AF4389">
        <v>379.74310000000003</v>
      </c>
      <c r="AG4389">
        <f>IFERROR(AH4389*0.1, "N/A")</f>
        <v>5.8277780000000003</v>
      </c>
      <c r="AH4389">
        <v>58.27778</v>
      </c>
      <c r="AI4389">
        <v>80.525069999999999</v>
      </c>
      <c r="AJ4389">
        <v>23.73958</v>
      </c>
      <c r="AK4389">
        <v>58.05903</v>
      </c>
    </row>
    <row r="4390" spans="1:37" x14ac:dyDescent="0.3">
      <c r="A4390">
        <v>4389</v>
      </c>
      <c r="B4390">
        <v>55.3</v>
      </c>
      <c r="C4390">
        <v>6.2368699999999997</v>
      </c>
      <c r="D4390">
        <v>7.5987299999999998</v>
      </c>
      <c r="E4390" t="s">
        <v>6913</v>
      </c>
      <c r="F4390" t="s">
        <v>6914</v>
      </c>
      <c r="G4390" t="s">
        <v>39</v>
      </c>
      <c r="H4390">
        <v>1968</v>
      </c>
      <c r="I4390">
        <v>25.8</v>
      </c>
      <c r="J4390">
        <v>10.199999999999999</v>
      </c>
      <c r="K4390">
        <v>66</v>
      </c>
      <c r="L4390">
        <v>13.86</v>
      </c>
      <c r="M4390">
        <v>33.9</v>
      </c>
      <c r="N4390">
        <v>18.600000000000001</v>
      </c>
      <c r="O4390">
        <v>15.3</v>
      </c>
      <c r="P4390">
        <v>24.2</v>
      </c>
      <c r="Q4390">
        <v>25.8</v>
      </c>
      <c r="R4390">
        <v>27.8</v>
      </c>
      <c r="S4390">
        <v>24.2</v>
      </c>
      <c r="T4390">
        <v>1222</v>
      </c>
      <c r="U4390">
        <v>227</v>
      </c>
      <c r="V4390">
        <v>7</v>
      </c>
      <c r="W4390">
        <v>72</v>
      </c>
      <c r="X4390">
        <v>533</v>
      </c>
      <c r="Y4390">
        <v>34</v>
      </c>
      <c r="Z4390">
        <v>180</v>
      </c>
      <c r="AA4390">
        <v>533</v>
      </c>
      <c r="AB4390">
        <v>8.9146090000000004</v>
      </c>
      <c r="AC4390">
        <v>0.27377459999999998</v>
      </c>
      <c r="AD4390">
        <v>1.633054</v>
      </c>
      <c r="AE4390">
        <v>0.85672579999999998</v>
      </c>
      <c r="AF4390">
        <v>224.9478</v>
      </c>
      <c r="AG4390">
        <f>IFERROR(AH4390*0.1, "N/A")</f>
        <v>5.6413910000000005</v>
      </c>
      <c r="AH4390">
        <v>56.413910000000001</v>
      </c>
      <c r="AI4390">
        <v>188.60990000000001</v>
      </c>
      <c r="AJ4390">
        <v>18</v>
      </c>
      <c r="AK4390">
        <v>62</v>
      </c>
    </row>
    <row r="4391" spans="1:37" x14ac:dyDescent="0.3">
      <c r="A4391">
        <v>4390</v>
      </c>
      <c r="B4391">
        <v>17.5</v>
      </c>
      <c r="C4391">
        <v>6.2439099999999996</v>
      </c>
      <c r="D4391">
        <v>7.5749899999999997</v>
      </c>
      <c r="E4391" t="s">
        <v>6915</v>
      </c>
      <c r="F4391" t="s">
        <v>6916</v>
      </c>
      <c r="G4391" t="s">
        <v>39</v>
      </c>
      <c r="H4391">
        <v>1968</v>
      </c>
      <c r="I4391">
        <v>24.533280000000001</v>
      </c>
      <c r="J4391">
        <v>10.199999999999999</v>
      </c>
      <c r="K4391">
        <v>68</v>
      </c>
      <c r="L4391">
        <v>13.80161</v>
      </c>
      <c r="M4391">
        <v>32.533279999999998</v>
      </c>
      <c r="N4391">
        <v>17.61664</v>
      </c>
      <c r="O4391">
        <v>14.916639999999999</v>
      </c>
      <c r="P4391">
        <v>22.93328</v>
      </c>
      <c r="Q4391">
        <v>24.716640000000002</v>
      </c>
      <c r="R4391">
        <v>26.533280000000001</v>
      </c>
      <c r="S4391">
        <v>22.93328</v>
      </c>
      <c r="T4391">
        <v>1262.5029999999999</v>
      </c>
      <c r="U4391">
        <v>234.66720000000001</v>
      </c>
      <c r="V4391">
        <v>8</v>
      </c>
      <c r="W4391">
        <v>70</v>
      </c>
      <c r="X4391">
        <v>537.33450000000005</v>
      </c>
      <c r="Y4391">
        <v>41.833620000000003</v>
      </c>
      <c r="Z4391">
        <v>194.5009</v>
      </c>
      <c r="AA4391">
        <v>537.33450000000005</v>
      </c>
      <c r="AB4391">
        <v>116.4562</v>
      </c>
      <c r="AC4391">
        <v>1.194101E-2</v>
      </c>
      <c r="AD4391">
        <v>5.5405939999999996</v>
      </c>
      <c r="AE4391">
        <v>0.72692199999999996</v>
      </c>
      <c r="AF4391">
        <v>421.5806</v>
      </c>
      <c r="AG4391">
        <f>IFERROR(AH4391*0.1, "N/A")</f>
        <v>5.6781630000000005</v>
      </c>
      <c r="AH4391">
        <v>56.78163</v>
      </c>
      <c r="AI4391">
        <v>235.7997</v>
      </c>
      <c r="AJ4391">
        <v>18.84402</v>
      </c>
      <c r="AK4391">
        <v>62.207970000000003</v>
      </c>
    </row>
    <row r="4392" spans="1:37" x14ac:dyDescent="0.3">
      <c r="A4392">
        <v>4391</v>
      </c>
      <c r="B4392">
        <v>26.3</v>
      </c>
      <c r="C4392">
        <v>6.2301000000000002</v>
      </c>
      <c r="D4392">
        <v>7.5404</v>
      </c>
      <c r="E4392" t="s">
        <v>6917</v>
      </c>
      <c r="F4392" t="s">
        <v>6918</v>
      </c>
      <c r="G4392" t="s">
        <v>39</v>
      </c>
      <c r="H4392">
        <v>1968</v>
      </c>
      <c r="I4392">
        <v>24.9</v>
      </c>
      <c r="J4392">
        <v>10.199999999999999</v>
      </c>
      <c r="K4392">
        <v>68</v>
      </c>
      <c r="L4392">
        <v>14.19</v>
      </c>
      <c r="M4392">
        <v>33</v>
      </c>
      <c r="N4392">
        <v>18</v>
      </c>
      <c r="O4392">
        <v>15</v>
      </c>
      <c r="P4392">
        <v>23.3</v>
      </c>
      <c r="Q4392">
        <v>25</v>
      </c>
      <c r="R4392">
        <v>27</v>
      </c>
      <c r="S4392">
        <v>23.3</v>
      </c>
      <c r="T4392">
        <v>1253</v>
      </c>
      <c r="U4392">
        <v>232</v>
      </c>
      <c r="V4392">
        <v>8</v>
      </c>
      <c r="W4392">
        <v>70</v>
      </c>
      <c r="X4392">
        <v>532</v>
      </c>
      <c r="Y4392">
        <v>41</v>
      </c>
      <c r="Z4392">
        <v>192</v>
      </c>
      <c r="AA4392">
        <v>532</v>
      </c>
      <c r="AB4392">
        <v>32.81165</v>
      </c>
      <c r="AC4392">
        <v>5.0380550000000003E-2</v>
      </c>
      <c r="AD4392">
        <v>5.244281</v>
      </c>
      <c r="AE4392">
        <v>0.74197420000000003</v>
      </c>
      <c r="AF4392">
        <v>398.327</v>
      </c>
      <c r="AG4392">
        <f>IFERROR(AH4392*0.1, "N/A")</f>
        <v>6</v>
      </c>
      <c r="AH4392">
        <v>60</v>
      </c>
      <c r="AI4392">
        <v>135.1311</v>
      </c>
      <c r="AJ4392">
        <v>21.387830000000001</v>
      </c>
      <c r="AK4392">
        <v>59.537390000000002</v>
      </c>
    </row>
    <row r="4393" spans="1:37" x14ac:dyDescent="0.3">
      <c r="A4393">
        <v>4392</v>
      </c>
      <c r="B4393">
        <v>23.3</v>
      </c>
      <c r="C4393">
        <v>6.2324799999999998</v>
      </c>
      <c r="D4393">
        <v>7.55145</v>
      </c>
      <c r="E4393" t="s">
        <v>6919</v>
      </c>
      <c r="F4393" t="s">
        <v>6920</v>
      </c>
      <c r="G4393" t="s">
        <v>39</v>
      </c>
      <c r="H4393">
        <v>1968</v>
      </c>
      <c r="I4393">
        <v>24.9</v>
      </c>
      <c r="J4393">
        <v>10.199999999999999</v>
      </c>
      <c r="K4393">
        <v>68</v>
      </c>
      <c r="L4393">
        <v>13.96</v>
      </c>
      <c r="M4393">
        <v>33</v>
      </c>
      <c r="N4393">
        <v>18</v>
      </c>
      <c r="O4393">
        <v>15</v>
      </c>
      <c r="P4393">
        <v>23.3</v>
      </c>
      <c r="Q4393">
        <v>25.1</v>
      </c>
      <c r="R4393">
        <v>26.9</v>
      </c>
      <c r="S4393">
        <v>23.3</v>
      </c>
      <c r="T4393">
        <v>1252</v>
      </c>
      <c r="U4393">
        <v>231</v>
      </c>
      <c r="V4393">
        <v>8</v>
      </c>
      <c r="W4393">
        <v>70</v>
      </c>
      <c r="X4393">
        <v>531</v>
      </c>
      <c r="Y4393">
        <v>41</v>
      </c>
      <c r="Z4393">
        <v>192</v>
      </c>
      <c r="AA4393">
        <v>531</v>
      </c>
      <c r="AB4393">
        <v>17.476569999999999</v>
      </c>
      <c r="AC4393">
        <v>5.0615979999999998E-2</v>
      </c>
      <c r="AD4393">
        <v>4.2875719999999999</v>
      </c>
      <c r="AE4393">
        <v>0.83079480000000006</v>
      </c>
      <c r="AF4393">
        <v>375.59899999999999</v>
      </c>
      <c r="AG4393">
        <f>IFERROR(AH4393*0.1, "N/A")</f>
        <v>5.8309030000000002</v>
      </c>
      <c r="AH4393">
        <v>58.30903</v>
      </c>
      <c r="AI4393">
        <v>298.05840000000001</v>
      </c>
      <c r="AJ4393">
        <v>23</v>
      </c>
      <c r="AK4393">
        <v>58</v>
      </c>
    </row>
    <row r="4394" spans="1:37" x14ac:dyDescent="0.3">
      <c r="A4394">
        <v>4393</v>
      </c>
      <c r="B4394">
        <v>20</v>
      </c>
      <c r="C4394">
        <v>6.1555</v>
      </c>
      <c r="D4394">
        <v>7.4741999999999997</v>
      </c>
      <c r="E4394" t="s">
        <v>6921</v>
      </c>
      <c r="F4394" t="s">
        <v>6922</v>
      </c>
      <c r="G4394" t="s">
        <v>39</v>
      </c>
      <c r="H4394">
        <v>1968</v>
      </c>
      <c r="I4394">
        <v>24.889199999999999</v>
      </c>
      <c r="J4394">
        <v>10.1</v>
      </c>
      <c r="K4394">
        <v>69</v>
      </c>
      <c r="L4394">
        <v>13.58</v>
      </c>
      <c r="M4394">
        <v>32.694600000000001</v>
      </c>
      <c r="N4394">
        <v>18.0946</v>
      </c>
      <c r="O4394">
        <v>14.6</v>
      </c>
      <c r="P4394">
        <v>23.194600000000001</v>
      </c>
      <c r="Q4394">
        <v>25.089200000000002</v>
      </c>
      <c r="R4394">
        <v>26.789200000000001</v>
      </c>
      <c r="S4394">
        <v>23.194600000000001</v>
      </c>
      <c r="T4394">
        <v>1279.8920000000001</v>
      </c>
      <c r="U4394">
        <v>236</v>
      </c>
      <c r="V4394">
        <v>9</v>
      </c>
      <c r="W4394">
        <v>69</v>
      </c>
      <c r="X4394">
        <v>538.94600000000003</v>
      </c>
      <c r="Y4394">
        <v>45</v>
      </c>
      <c r="Z4394">
        <v>202</v>
      </c>
      <c r="AA4394">
        <v>538.94600000000003</v>
      </c>
      <c r="AB4394">
        <v>51.420909999999999</v>
      </c>
      <c r="AC4394">
        <v>2.2033420000000001E-2</v>
      </c>
      <c r="AD4394">
        <v>6.3000080000000001</v>
      </c>
      <c r="AE4394">
        <v>0.62840209999999996</v>
      </c>
      <c r="AF4394">
        <v>388.82229999999998</v>
      </c>
      <c r="AG4394">
        <f>IFERROR(AH4394*0.1, "N/A")</f>
        <v>5.8141110000000005</v>
      </c>
      <c r="AH4394">
        <v>58.141109999999998</v>
      </c>
      <c r="AI4394">
        <v>237.214</v>
      </c>
      <c r="AJ4394">
        <v>19.182929999999999</v>
      </c>
      <c r="AK4394">
        <v>62.970379999999999</v>
      </c>
    </row>
    <row r="4395" spans="1:37" x14ac:dyDescent="0.3">
      <c r="A4395">
        <v>4394</v>
      </c>
      <c r="B4395">
        <v>21.4</v>
      </c>
      <c r="C4395">
        <v>6.2495799999999999</v>
      </c>
      <c r="D4395">
        <v>7.5270900000000003</v>
      </c>
      <c r="E4395" t="s">
        <v>6923</v>
      </c>
      <c r="F4395" t="s">
        <v>6924</v>
      </c>
      <c r="G4395" t="s">
        <v>39</v>
      </c>
      <c r="H4395">
        <v>1968</v>
      </c>
      <c r="I4395">
        <v>25.2</v>
      </c>
      <c r="J4395">
        <v>10.199999999999999</v>
      </c>
      <c r="K4395">
        <v>68</v>
      </c>
      <c r="L4395">
        <v>13.48357</v>
      </c>
      <c r="M4395">
        <v>33.1</v>
      </c>
      <c r="N4395">
        <v>18.2</v>
      </c>
      <c r="O4395">
        <v>14.9</v>
      </c>
      <c r="P4395">
        <v>23.6</v>
      </c>
      <c r="Q4395">
        <v>25.2</v>
      </c>
      <c r="R4395">
        <v>27.1</v>
      </c>
      <c r="S4395">
        <v>23.6</v>
      </c>
      <c r="T4395">
        <v>1247.981</v>
      </c>
      <c r="U4395">
        <v>231</v>
      </c>
      <c r="V4395">
        <v>8</v>
      </c>
      <c r="W4395">
        <v>70.509569999999997</v>
      </c>
      <c r="X4395">
        <v>533</v>
      </c>
      <c r="Y4395">
        <v>39</v>
      </c>
      <c r="Z4395">
        <v>188.98089999999999</v>
      </c>
      <c r="AA4395">
        <v>533</v>
      </c>
      <c r="AB4395">
        <v>10.19722</v>
      </c>
      <c r="AC4395">
        <v>1.0966760000000001E-2</v>
      </c>
      <c r="AD4395">
        <v>3.0885210000000001</v>
      </c>
      <c r="AE4395">
        <v>0.83469040000000005</v>
      </c>
      <c r="AF4395">
        <v>320.98259999999999</v>
      </c>
      <c r="AG4395">
        <f>IFERROR(AH4395*0.1, "N/A")</f>
        <v>6</v>
      </c>
      <c r="AH4395">
        <v>60</v>
      </c>
      <c r="AI4395">
        <v>192.9846</v>
      </c>
      <c r="AJ4395">
        <v>18</v>
      </c>
      <c r="AK4395">
        <v>66.019130000000004</v>
      </c>
    </row>
    <row r="4396" spans="1:37" x14ac:dyDescent="0.3">
      <c r="A4396">
        <v>4395</v>
      </c>
      <c r="B4396">
        <v>18.899999999999999</v>
      </c>
      <c r="C4396">
        <v>6.1612400000000003</v>
      </c>
      <c r="D4396">
        <v>7.5965400000000001</v>
      </c>
      <c r="E4396" t="s">
        <v>6925</v>
      </c>
      <c r="F4396" t="s">
        <v>6926</v>
      </c>
      <c r="G4396" t="s">
        <v>39</v>
      </c>
      <c r="H4396">
        <v>1968</v>
      </c>
      <c r="I4396">
        <v>24.6</v>
      </c>
      <c r="J4396">
        <v>10.199999999999999</v>
      </c>
      <c r="K4396">
        <v>68</v>
      </c>
      <c r="L4396">
        <v>14.19</v>
      </c>
      <c r="M4396">
        <v>32.6</v>
      </c>
      <c r="N4396">
        <v>17.7</v>
      </c>
      <c r="O4396">
        <v>14.9</v>
      </c>
      <c r="P4396">
        <v>22.9</v>
      </c>
      <c r="Q4396">
        <v>24.8</v>
      </c>
      <c r="R4396">
        <v>26.6</v>
      </c>
      <c r="S4396">
        <v>22.9</v>
      </c>
      <c r="T4396">
        <v>1261</v>
      </c>
      <c r="U4396">
        <v>233</v>
      </c>
      <c r="V4396">
        <v>8</v>
      </c>
      <c r="W4396">
        <v>69</v>
      </c>
      <c r="X4396">
        <v>534</v>
      </c>
      <c r="Y4396">
        <v>43</v>
      </c>
      <c r="Z4396">
        <v>196</v>
      </c>
      <c r="AA4396">
        <v>534</v>
      </c>
      <c r="AB4396">
        <v>29.18749</v>
      </c>
      <c r="AC4396">
        <v>2.8806729999999999E-2</v>
      </c>
      <c r="AD4396">
        <v>3.0248110000000001</v>
      </c>
      <c r="AE4396">
        <v>0.80532519999999996</v>
      </c>
      <c r="AF4396">
        <v>410.74310000000003</v>
      </c>
      <c r="AG4396">
        <f>IFERROR(AH4396*0.1, "N/A")</f>
        <v>5.9458330000000004</v>
      </c>
      <c r="AH4396">
        <v>59.458329999999997</v>
      </c>
      <c r="AI4396">
        <v>229.05240000000001</v>
      </c>
      <c r="AJ4396">
        <v>16.0625</v>
      </c>
      <c r="AK4396">
        <v>62.06944</v>
      </c>
    </row>
    <row r="4397" spans="1:37" x14ac:dyDescent="0.3">
      <c r="A4397">
        <v>4396</v>
      </c>
      <c r="B4397">
        <v>18.399999999999999</v>
      </c>
      <c r="C4397">
        <v>6.1917</v>
      </c>
      <c r="D4397">
        <v>7.5488</v>
      </c>
      <c r="E4397" t="s">
        <v>6927</v>
      </c>
      <c r="F4397" t="s">
        <v>6928</v>
      </c>
      <c r="G4397" t="s">
        <v>39</v>
      </c>
      <c r="H4397">
        <v>1968</v>
      </c>
      <c r="I4397">
        <v>24.581530000000001</v>
      </c>
      <c r="J4397">
        <v>10.199999999999999</v>
      </c>
      <c r="K4397">
        <v>68</v>
      </c>
      <c r="L4397">
        <v>14.23077</v>
      </c>
      <c r="M4397">
        <v>32.6</v>
      </c>
      <c r="N4397">
        <v>17.681529999999999</v>
      </c>
      <c r="O4397">
        <v>14.918469999999999</v>
      </c>
      <c r="P4397">
        <v>22.881530000000001</v>
      </c>
      <c r="Q4397">
        <v>24.681529999999999</v>
      </c>
      <c r="R4397">
        <v>26.581530000000001</v>
      </c>
      <c r="S4397">
        <v>22.881530000000001</v>
      </c>
      <c r="T4397">
        <v>1267.8150000000001</v>
      </c>
      <c r="U4397">
        <v>234</v>
      </c>
      <c r="V4397">
        <v>8</v>
      </c>
      <c r="W4397">
        <v>70</v>
      </c>
      <c r="X4397">
        <v>533</v>
      </c>
      <c r="Y4397">
        <v>43.815330000000003</v>
      </c>
      <c r="Z4397">
        <v>199</v>
      </c>
      <c r="AA4397">
        <v>533</v>
      </c>
      <c r="AB4397">
        <v>8.0928500000000003</v>
      </c>
      <c r="AC4397">
        <v>3.6204239999999999E-2</v>
      </c>
      <c r="AD4397">
        <v>2.5230640000000002</v>
      </c>
      <c r="AE4397">
        <v>0.76749100000000003</v>
      </c>
      <c r="AF4397">
        <v>412.48430000000002</v>
      </c>
      <c r="AG4397">
        <f>IFERROR(AH4397*0.1, "N/A")</f>
        <v>6.1000000000000005</v>
      </c>
      <c r="AH4397">
        <v>61</v>
      </c>
      <c r="AI4397">
        <v>192.01240000000001</v>
      </c>
      <c r="AJ4397">
        <v>15.832750000000001</v>
      </c>
      <c r="AK4397">
        <v>65.930310000000006</v>
      </c>
    </row>
    <row r="4398" spans="1:37" x14ac:dyDescent="0.3">
      <c r="A4398">
        <v>4397</v>
      </c>
      <c r="B4398">
        <v>76.900000000000006</v>
      </c>
      <c r="C4398">
        <v>6.4503300000000001</v>
      </c>
      <c r="D4398">
        <v>7.5316799999999997</v>
      </c>
      <c r="E4398" t="s">
        <v>6929</v>
      </c>
      <c r="F4398" t="s">
        <v>6930</v>
      </c>
      <c r="G4398" t="s">
        <v>39</v>
      </c>
      <c r="H4398">
        <v>1968</v>
      </c>
      <c r="I4398">
        <v>26.1</v>
      </c>
      <c r="J4398">
        <v>10.199999999999999</v>
      </c>
      <c r="K4398">
        <v>67</v>
      </c>
      <c r="L4398">
        <v>13.00563</v>
      </c>
      <c r="M4398">
        <v>34.01426</v>
      </c>
      <c r="N4398">
        <v>18.914259999999999</v>
      </c>
      <c r="O4398">
        <v>15.1</v>
      </c>
      <c r="P4398">
        <v>24.6</v>
      </c>
      <c r="Q4398">
        <v>26.01426</v>
      </c>
      <c r="R4398">
        <v>27.914259999999999</v>
      </c>
      <c r="S4398">
        <v>24.6</v>
      </c>
      <c r="T4398">
        <v>1224.857</v>
      </c>
      <c r="U4398">
        <v>230</v>
      </c>
      <c r="V4398">
        <v>7</v>
      </c>
      <c r="W4398">
        <v>73</v>
      </c>
      <c r="X4398">
        <v>548.85739999999998</v>
      </c>
      <c r="Y4398">
        <v>29</v>
      </c>
      <c r="Z4398">
        <v>168</v>
      </c>
      <c r="AA4398">
        <v>548.85739999999998</v>
      </c>
      <c r="AB4398">
        <v>15.3127</v>
      </c>
      <c r="AC4398">
        <v>2.1579540000000001E-2</v>
      </c>
      <c r="AD4398">
        <v>2.01004</v>
      </c>
      <c r="AE4398">
        <v>0.6312219</v>
      </c>
      <c r="AF4398">
        <v>210.20349999999999</v>
      </c>
      <c r="AG4398">
        <f>IFERROR(AH4398*0.1, "N/A")</f>
        <v>6.2521740000000001</v>
      </c>
      <c r="AH4398">
        <v>62.521740000000001</v>
      </c>
      <c r="AI4398">
        <v>236.67269999999999</v>
      </c>
      <c r="AJ4398">
        <v>13.75652</v>
      </c>
      <c r="AK4398">
        <v>67.528700000000001</v>
      </c>
    </row>
    <row r="4399" spans="1:37" x14ac:dyDescent="0.3">
      <c r="A4399">
        <v>4398</v>
      </c>
      <c r="B4399">
        <v>48.1</v>
      </c>
      <c r="C4399">
        <v>6.4143999999999997</v>
      </c>
      <c r="D4399">
        <v>7.5262000000000002</v>
      </c>
      <c r="E4399" t="s">
        <v>6931</v>
      </c>
      <c r="F4399" t="s">
        <v>6932</v>
      </c>
      <c r="G4399" t="s">
        <v>39</v>
      </c>
      <c r="H4399">
        <v>1968</v>
      </c>
      <c r="I4399">
        <v>25.7</v>
      </c>
      <c r="J4399">
        <v>10.1</v>
      </c>
      <c r="K4399">
        <v>66</v>
      </c>
      <c r="L4399">
        <v>13.33</v>
      </c>
      <c r="M4399">
        <v>33.700000000000003</v>
      </c>
      <c r="N4399">
        <v>18.600000000000001</v>
      </c>
      <c r="O4399">
        <v>15.1</v>
      </c>
      <c r="P4399">
        <v>24.2</v>
      </c>
      <c r="Q4399">
        <v>25.7</v>
      </c>
      <c r="R4399">
        <v>27.7</v>
      </c>
      <c r="S4399">
        <v>24.2</v>
      </c>
      <c r="T4399">
        <v>1235</v>
      </c>
      <c r="U4399">
        <v>232</v>
      </c>
      <c r="V4399">
        <v>7</v>
      </c>
      <c r="W4399">
        <v>73</v>
      </c>
      <c r="X4399">
        <v>547</v>
      </c>
      <c r="Y4399">
        <v>32</v>
      </c>
      <c r="Z4399">
        <v>175</v>
      </c>
      <c r="AA4399">
        <v>547</v>
      </c>
      <c r="AB4399">
        <v>24.334779999999999</v>
      </c>
      <c r="AC4399">
        <v>2.8655219999999999E-2</v>
      </c>
      <c r="AD4399">
        <v>4.9133610000000001</v>
      </c>
      <c r="AE4399">
        <v>0.67107870000000003</v>
      </c>
      <c r="AF4399">
        <v>260.65039999999999</v>
      </c>
      <c r="AG4399">
        <f>IFERROR(AH4399*0.1, "N/A")</f>
        <v>6.0144350000000006</v>
      </c>
      <c r="AH4399">
        <v>60.144350000000003</v>
      </c>
      <c r="AI4399">
        <v>86.127669999999995</v>
      </c>
      <c r="AJ4399">
        <v>12.584350000000001</v>
      </c>
      <c r="AK4399">
        <v>71.474779999999996</v>
      </c>
    </row>
    <row r="4400" spans="1:37" x14ac:dyDescent="0.3">
      <c r="A4400">
        <v>4399</v>
      </c>
      <c r="B4400">
        <v>47.4</v>
      </c>
      <c r="C4400">
        <v>6.1063000000000001</v>
      </c>
      <c r="D4400">
        <v>7.6642999999999999</v>
      </c>
      <c r="E4400" t="s">
        <v>6933</v>
      </c>
      <c r="F4400" t="s">
        <v>6934</v>
      </c>
      <c r="G4400" t="s">
        <v>39</v>
      </c>
      <c r="H4400">
        <v>1968</v>
      </c>
      <c r="I4400">
        <v>24.8</v>
      </c>
      <c r="J4400">
        <v>10.3</v>
      </c>
      <c r="K4400">
        <v>68</v>
      </c>
      <c r="L4400">
        <v>13.88</v>
      </c>
      <c r="M4400">
        <v>32.799999999999997</v>
      </c>
      <c r="N4400">
        <v>17.8</v>
      </c>
      <c r="O4400">
        <v>15</v>
      </c>
      <c r="P4400">
        <v>23.1</v>
      </c>
      <c r="Q4400">
        <v>24.9</v>
      </c>
      <c r="R4400">
        <v>26.7</v>
      </c>
      <c r="S4400">
        <v>23.1</v>
      </c>
      <c r="T4400">
        <v>1251</v>
      </c>
      <c r="U4400">
        <v>232</v>
      </c>
      <c r="V4400">
        <v>8</v>
      </c>
      <c r="W4400">
        <v>70</v>
      </c>
      <c r="X4400">
        <v>536</v>
      </c>
      <c r="Y4400">
        <v>41</v>
      </c>
      <c r="Z4400">
        <v>193</v>
      </c>
      <c r="AA4400">
        <v>536</v>
      </c>
      <c r="AB4400">
        <v>14.55719</v>
      </c>
      <c r="AC4400">
        <v>1.54482E-2</v>
      </c>
      <c r="AD4400">
        <v>3.071072</v>
      </c>
      <c r="AE4400">
        <v>0.51764710000000003</v>
      </c>
      <c r="AF4400">
        <v>399.85789999999997</v>
      </c>
      <c r="AG4400">
        <f>IFERROR(AH4400*0.1, "N/A")</f>
        <v>5.6000000000000005</v>
      </c>
      <c r="AH4400">
        <v>56</v>
      </c>
      <c r="AI4400">
        <v>162.3563</v>
      </c>
      <c r="AJ4400">
        <v>18.013860000000001</v>
      </c>
      <c r="AK4400">
        <v>62.121319999999997</v>
      </c>
    </row>
    <row r="4401" spans="1:37" x14ac:dyDescent="0.3">
      <c r="A4401">
        <v>4400</v>
      </c>
      <c r="B4401">
        <v>82.9</v>
      </c>
      <c r="C4401">
        <v>6.2003599999999999</v>
      </c>
      <c r="D4401">
        <v>7.6176500000000003</v>
      </c>
      <c r="E4401" t="s">
        <v>6935</v>
      </c>
      <c r="F4401" t="s">
        <v>6936</v>
      </c>
      <c r="G4401" t="s">
        <v>39</v>
      </c>
      <c r="H4401">
        <v>1968</v>
      </c>
      <c r="I4401">
        <v>25.867529999999999</v>
      </c>
      <c r="J4401">
        <v>10.267530000000001</v>
      </c>
      <c r="K4401">
        <v>67</v>
      </c>
      <c r="L4401">
        <v>13.73687</v>
      </c>
      <c r="M4401">
        <v>33.96754</v>
      </c>
      <c r="N4401">
        <v>18.7</v>
      </c>
      <c r="O4401">
        <v>15.267530000000001</v>
      </c>
      <c r="P4401">
        <v>24.335070000000002</v>
      </c>
      <c r="Q4401">
        <v>25.867529999999999</v>
      </c>
      <c r="R4401">
        <v>27.867529999999999</v>
      </c>
      <c r="S4401">
        <v>24.335070000000002</v>
      </c>
      <c r="T4401">
        <v>1217.6489999999999</v>
      </c>
      <c r="U4401">
        <v>226</v>
      </c>
      <c r="V4401">
        <v>7</v>
      </c>
      <c r="W4401">
        <v>72</v>
      </c>
      <c r="X4401">
        <v>531.67529999999999</v>
      </c>
      <c r="Y4401">
        <v>34</v>
      </c>
      <c r="Z4401">
        <v>179.32470000000001</v>
      </c>
      <c r="AA4401">
        <v>531.67529999999999</v>
      </c>
      <c r="AB4401">
        <v>6.8467019999999996</v>
      </c>
      <c r="AC4401">
        <v>1.3887790000000001E-2</v>
      </c>
      <c r="AD4401">
        <v>2.0971329999999999</v>
      </c>
      <c r="AE4401">
        <v>0.70782140000000004</v>
      </c>
      <c r="AF4401">
        <v>232.09719999999999</v>
      </c>
      <c r="AG4401">
        <f>IFERROR(AH4401*0.1, "N/A")</f>
        <v>6.1361109999999996</v>
      </c>
      <c r="AH4401">
        <v>61.361109999999996</v>
      </c>
      <c r="AI4401">
        <v>127.6987</v>
      </c>
      <c r="AJ4401">
        <v>16.04514</v>
      </c>
      <c r="AK4401">
        <v>63.923609999999996</v>
      </c>
    </row>
    <row r="4402" spans="1:37" x14ac:dyDescent="0.3">
      <c r="A4402">
        <v>4401</v>
      </c>
      <c r="B4402">
        <v>21.1</v>
      </c>
      <c r="C4402">
        <v>7.6221699999999997</v>
      </c>
      <c r="D4402">
        <v>11.7835</v>
      </c>
      <c r="E4402" t="s">
        <v>6937</v>
      </c>
      <c r="F4402" t="s">
        <v>6938</v>
      </c>
      <c r="G4402" t="s">
        <v>39</v>
      </c>
      <c r="H4402">
        <v>1974</v>
      </c>
      <c r="I4402">
        <v>25.2</v>
      </c>
      <c r="J4402">
        <v>13.6</v>
      </c>
      <c r="K4402">
        <v>57.244030000000002</v>
      </c>
      <c r="L4402">
        <v>24.40024</v>
      </c>
      <c r="M4402">
        <v>36.675600000000003</v>
      </c>
      <c r="N4402">
        <v>13.2</v>
      </c>
      <c r="O4402">
        <v>23.4756</v>
      </c>
      <c r="P4402">
        <v>24.3</v>
      </c>
      <c r="Q4402">
        <v>22.5</v>
      </c>
      <c r="R4402">
        <v>28.8</v>
      </c>
      <c r="S4402">
        <v>22.5</v>
      </c>
      <c r="T4402">
        <v>921.48810000000003</v>
      </c>
      <c r="U4402">
        <v>271</v>
      </c>
      <c r="V4402">
        <v>0</v>
      </c>
      <c r="W4402">
        <v>119</v>
      </c>
      <c r="X4402">
        <v>650.24400000000003</v>
      </c>
      <c r="Y4402">
        <v>0</v>
      </c>
      <c r="Z4402">
        <v>112</v>
      </c>
      <c r="AA4402">
        <v>0</v>
      </c>
      <c r="AB4402">
        <v>3.2182379999999999</v>
      </c>
      <c r="AC4402">
        <v>0.10191210000000001</v>
      </c>
      <c r="AD4402">
        <v>0.99327310000000002</v>
      </c>
      <c r="AE4402">
        <v>0.78058810000000001</v>
      </c>
      <c r="AF4402">
        <v>620.67060000000004</v>
      </c>
      <c r="AG4402">
        <f>IFERROR(AH4402*0.1, "N/A")</f>
        <v>7.1000000000000005</v>
      </c>
      <c r="AH4402">
        <v>71</v>
      </c>
      <c r="AI4402">
        <v>123.114</v>
      </c>
      <c r="AJ4402">
        <v>26</v>
      </c>
      <c r="AK4402">
        <v>48</v>
      </c>
    </row>
    <row r="4403" spans="1:37" x14ac:dyDescent="0.3">
      <c r="A4403">
        <v>4402</v>
      </c>
      <c r="B4403">
        <v>0.9</v>
      </c>
      <c r="C4403">
        <v>7.6221699999999997</v>
      </c>
      <c r="D4403">
        <v>11.7835</v>
      </c>
      <c r="E4403" t="s">
        <v>6937</v>
      </c>
      <c r="F4403" t="s">
        <v>6939</v>
      </c>
      <c r="G4403" t="s">
        <v>37</v>
      </c>
      <c r="H4403">
        <v>1974</v>
      </c>
      <c r="I4403">
        <v>25.2</v>
      </c>
      <c r="J4403">
        <v>13.6</v>
      </c>
      <c r="K4403">
        <v>57.244030000000002</v>
      </c>
      <c r="L4403">
        <v>24.40024</v>
      </c>
      <c r="M4403">
        <v>36.675600000000003</v>
      </c>
      <c r="N4403">
        <v>13.2</v>
      </c>
      <c r="O4403">
        <v>23.4756</v>
      </c>
      <c r="P4403">
        <v>24.3</v>
      </c>
      <c r="Q4403">
        <v>22.5</v>
      </c>
      <c r="R4403">
        <v>28.8</v>
      </c>
      <c r="S4403">
        <v>22.5</v>
      </c>
      <c r="T4403">
        <v>921.48810000000003</v>
      </c>
      <c r="U4403">
        <v>271</v>
      </c>
      <c r="V4403">
        <v>0</v>
      </c>
      <c r="W4403">
        <v>119</v>
      </c>
      <c r="X4403">
        <v>650.24400000000003</v>
      </c>
      <c r="Y4403">
        <v>0</v>
      </c>
      <c r="Z4403">
        <v>112</v>
      </c>
      <c r="AA4403">
        <v>0</v>
      </c>
      <c r="AB4403">
        <v>3.2182379999999999</v>
      </c>
      <c r="AC4403">
        <v>0.10191210000000001</v>
      </c>
      <c r="AD4403">
        <v>0.99327310000000002</v>
      </c>
      <c r="AE4403">
        <v>0.78058810000000001</v>
      </c>
      <c r="AF4403">
        <v>620.67060000000004</v>
      </c>
      <c r="AG4403">
        <f>IFERROR(AH4403*0.1, "N/A")</f>
        <v>7.1000000000000005</v>
      </c>
      <c r="AH4403">
        <v>71</v>
      </c>
      <c r="AI4403">
        <v>123.114</v>
      </c>
      <c r="AJ4403">
        <v>26</v>
      </c>
      <c r="AK4403">
        <v>48</v>
      </c>
    </row>
    <row r="4404" spans="1:37" x14ac:dyDescent="0.3">
      <c r="A4404">
        <v>4403</v>
      </c>
      <c r="B4404">
        <v>0.9</v>
      </c>
      <c r="C4404">
        <v>7.4382799999999998</v>
      </c>
      <c r="D4404">
        <v>10.5222</v>
      </c>
      <c r="E4404" t="s">
        <v>6940</v>
      </c>
      <c r="F4404" t="s">
        <v>6941</v>
      </c>
      <c r="G4404" t="s">
        <v>39</v>
      </c>
      <c r="H4404">
        <v>1973</v>
      </c>
      <c r="I4404">
        <v>25.2</v>
      </c>
      <c r="J4404">
        <v>12.8</v>
      </c>
      <c r="K4404">
        <v>62</v>
      </c>
      <c r="L4404">
        <v>16.190000000000001</v>
      </c>
      <c r="M4404">
        <v>35.1</v>
      </c>
      <c r="N4404">
        <v>14.5</v>
      </c>
      <c r="O4404">
        <v>20.6</v>
      </c>
      <c r="P4404">
        <v>23.9</v>
      </c>
      <c r="Q4404">
        <v>24</v>
      </c>
      <c r="R4404">
        <v>27.6</v>
      </c>
      <c r="S4404">
        <v>23.8</v>
      </c>
      <c r="T4404">
        <v>1211</v>
      </c>
      <c r="U4404">
        <v>284</v>
      </c>
      <c r="V4404">
        <v>0</v>
      </c>
      <c r="W4404">
        <v>102</v>
      </c>
      <c r="X4404">
        <v>759</v>
      </c>
      <c r="Y4404">
        <v>2</v>
      </c>
      <c r="Z4404">
        <v>200</v>
      </c>
      <c r="AA4404">
        <v>4</v>
      </c>
      <c r="AB4404">
        <v>23.27769</v>
      </c>
      <c r="AC4404">
        <v>1.6395650000000001E-2</v>
      </c>
      <c r="AD4404">
        <v>2.032232</v>
      </c>
      <c r="AE4404">
        <v>0.89311169999999995</v>
      </c>
      <c r="AF4404">
        <v>613.14409999999998</v>
      </c>
      <c r="AG4404">
        <f>IFERROR(AH4404*0.1, "N/A")</f>
        <v>6.5293310000000009</v>
      </c>
      <c r="AH4404">
        <v>65.293310000000005</v>
      </c>
      <c r="AI4404">
        <v>212.76390000000001</v>
      </c>
      <c r="AJ4404">
        <v>29.293310000000002</v>
      </c>
      <c r="AK4404">
        <v>51.120069999999998</v>
      </c>
    </row>
    <row r="4405" spans="1:37" x14ac:dyDescent="0.3">
      <c r="A4405">
        <v>4404</v>
      </c>
      <c r="B4405">
        <v>0.2</v>
      </c>
      <c r="C4405">
        <v>7.4382799999999998</v>
      </c>
      <c r="D4405">
        <v>10.5222</v>
      </c>
      <c r="E4405" t="s">
        <v>6940</v>
      </c>
      <c r="F4405" t="s">
        <v>6942</v>
      </c>
      <c r="G4405" t="s">
        <v>37</v>
      </c>
      <c r="H4405">
        <v>1973</v>
      </c>
      <c r="I4405">
        <v>25.2</v>
      </c>
      <c r="J4405">
        <v>12.8</v>
      </c>
      <c r="K4405">
        <v>62</v>
      </c>
      <c r="L4405">
        <v>16.190000000000001</v>
      </c>
      <c r="M4405">
        <v>35.1</v>
      </c>
      <c r="N4405">
        <v>14.5</v>
      </c>
      <c r="O4405">
        <v>20.6</v>
      </c>
      <c r="P4405">
        <v>23.9</v>
      </c>
      <c r="Q4405">
        <v>24</v>
      </c>
      <c r="R4405">
        <v>27.6</v>
      </c>
      <c r="S4405">
        <v>23.8</v>
      </c>
      <c r="T4405">
        <v>1211</v>
      </c>
      <c r="U4405">
        <v>284</v>
      </c>
      <c r="V4405">
        <v>0</v>
      </c>
      <c r="W4405">
        <v>102</v>
      </c>
      <c r="X4405">
        <v>759</v>
      </c>
      <c r="Y4405">
        <v>2</v>
      </c>
      <c r="Z4405">
        <v>200</v>
      </c>
      <c r="AA4405">
        <v>4</v>
      </c>
      <c r="AB4405">
        <v>23.27769</v>
      </c>
      <c r="AC4405">
        <v>1.6395650000000001E-2</v>
      </c>
      <c r="AD4405">
        <v>2.032232</v>
      </c>
      <c r="AE4405">
        <v>0.89311169999999995</v>
      </c>
      <c r="AF4405">
        <v>613.14409999999998</v>
      </c>
      <c r="AG4405">
        <f>IFERROR(AH4405*0.1, "N/A")</f>
        <v>6.5293310000000009</v>
      </c>
      <c r="AH4405">
        <v>65.293310000000005</v>
      </c>
      <c r="AI4405">
        <v>212.76390000000001</v>
      </c>
      <c r="AJ4405">
        <v>29.293310000000002</v>
      </c>
      <c r="AK4405">
        <v>51.120069999999998</v>
      </c>
    </row>
    <row r="4406" spans="1:37" x14ac:dyDescent="0.3">
      <c r="A4406">
        <v>4405</v>
      </c>
      <c r="B4406">
        <v>78</v>
      </c>
      <c r="C4406">
        <v>7.7460000000000004</v>
      </c>
      <c r="D4406">
        <v>11.701700000000001</v>
      </c>
      <c r="E4406" t="s">
        <v>6943</v>
      </c>
      <c r="F4406" t="s">
        <v>6944</v>
      </c>
      <c r="G4406" t="s">
        <v>39</v>
      </c>
      <c r="H4406">
        <v>1979</v>
      </c>
      <c r="I4406">
        <v>25.3</v>
      </c>
      <c r="J4406">
        <v>13.6</v>
      </c>
      <c r="K4406">
        <v>58</v>
      </c>
      <c r="L4406">
        <v>24.11</v>
      </c>
      <c r="M4406">
        <v>36.700000000000003</v>
      </c>
      <c r="N4406">
        <v>13.4</v>
      </c>
      <c r="O4406">
        <v>23.3</v>
      </c>
      <c r="P4406">
        <v>24.4</v>
      </c>
      <c r="Q4406">
        <v>22.7</v>
      </c>
      <c r="R4406">
        <v>28.9</v>
      </c>
      <c r="S4406">
        <v>22.7</v>
      </c>
      <c r="T4406">
        <v>928</v>
      </c>
      <c r="U4406">
        <v>272</v>
      </c>
      <c r="V4406">
        <v>0</v>
      </c>
      <c r="W4406">
        <v>118</v>
      </c>
      <c r="X4406">
        <v>653</v>
      </c>
      <c r="Y4406">
        <v>0</v>
      </c>
      <c r="Z4406">
        <v>114</v>
      </c>
      <c r="AA4406">
        <v>0</v>
      </c>
      <c r="AB4406">
        <v>7.2124860000000002</v>
      </c>
      <c r="AC4406">
        <v>3.4110090000000003E-2</v>
      </c>
      <c r="AD4406">
        <v>1.350895</v>
      </c>
      <c r="AE4406">
        <v>0.73439880000000002</v>
      </c>
      <c r="AF4406">
        <v>594.80340000000001</v>
      </c>
      <c r="AG4406">
        <f>IFERROR(AH4406*0.1, "N/A")</f>
        <v>5.9714530000000003</v>
      </c>
      <c r="AH4406">
        <v>59.714530000000003</v>
      </c>
      <c r="AI4406">
        <v>129.4135</v>
      </c>
      <c r="AJ4406">
        <v>14.80855</v>
      </c>
      <c r="AK4406">
        <v>58.72137</v>
      </c>
    </row>
    <row r="4407" spans="1:37" x14ac:dyDescent="0.3">
      <c r="A4407">
        <v>4406</v>
      </c>
      <c r="B4407">
        <v>0.7</v>
      </c>
      <c r="C4407">
        <v>7.7460000000000004</v>
      </c>
      <c r="D4407">
        <v>11.701700000000001</v>
      </c>
      <c r="E4407" t="s">
        <v>6943</v>
      </c>
      <c r="F4407" t="s">
        <v>6945</v>
      </c>
      <c r="G4407" t="s">
        <v>37</v>
      </c>
      <c r="H4407">
        <v>1979</v>
      </c>
      <c r="I4407">
        <v>25.3</v>
      </c>
      <c r="J4407">
        <v>13.6</v>
      </c>
      <c r="K4407">
        <v>58</v>
      </c>
      <c r="L4407">
        <v>24.11</v>
      </c>
      <c r="M4407">
        <v>36.700000000000003</v>
      </c>
      <c r="N4407">
        <v>13.4</v>
      </c>
      <c r="O4407">
        <v>23.3</v>
      </c>
      <c r="P4407">
        <v>24.4</v>
      </c>
      <c r="Q4407">
        <v>22.7</v>
      </c>
      <c r="R4407">
        <v>28.9</v>
      </c>
      <c r="S4407">
        <v>22.7</v>
      </c>
      <c r="T4407">
        <v>928</v>
      </c>
      <c r="U4407">
        <v>272</v>
      </c>
      <c r="V4407">
        <v>0</v>
      </c>
      <c r="W4407">
        <v>118</v>
      </c>
      <c r="X4407">
        <v>653</v>
      </c>
      <c r="Y4407">
        <v>0</v>
      </c>
      <c r="Z4407">
        <v>114</v>
      </c>
      <c r="AA4407">
        <v>0</v>
      </c>
      <c r="AB4407">
        <v>7.2124860000000002</v>
      </c>
      <c r="AC4407">
        <v>3.4110090000000003E-2</v>
      </c>
      <c r="AD4407">
        <v>1.350895</v>
      </c>
      <c r="AE4407">
        <v>0.73439880000000002</v>
      </c>
      <c r="AF4407">
        <v>594.80340000000001</v>
      </c>
      <c r="AG4407">
        <f>IFERROR(AH4407*0.1, "N/A")</f>
        <v>5.9714530000000003</v>
      </c>
      <c r="AH4407">
        <v>59.714530000000003</v>
      </c>
      <c r="AI4407">
        <v>129.4135</v>
      </c>
      <c r="AJ4407">
        <v>14.80855</v>
      </c>
      <c r="AK4407">
        <v>58.72137</v>
      </c>
    </row>
    <row r="4408" spans="1:37" x14ac:dyDescent="0.3">
      <c r="A4408">
        <v>4407</v>
      </c>
      <c r="B4408">
        <v>0.23</v>
      </c>
      <c r="C4408">
        <v>7.0068390000000003</v>
      </c>
      <c r="D4408">
        <v>6.2757670000000001</v>
      </c>
      <c r="E4408" t="s">
        <v>6591</v>
      </c>
      <c r="F4408" t="s">
        <v>6946</v>
      </c>
      <c r="G4408" t="s">
        <v>37</v>
      </c>
      <c r="H4408">
        <v>1978</v>
      </c>
      <c r="I4408">
        <v>27.2</v>
      </c>
      <c r="J4408">
        <v>8.9</v>
      </c>
      <c r="K4408">
        <v>73</v>
      </c>
      <c r="L4408">
        <v>12.01</v>
      </c>
      <c r="M4408">
        <v>34</v>
      </c>
      <c r="N4408">
        <v>21.9</v>
      </c>
      <c r="O4408">
        <v>12.1</v>
      </c>
      <c r="P4408">
        <v>25.6</v>
      </c>
      <c r="Q4408">
        <v>27.7</v>
      </c>
      <c r="R4408">
        <v>28.8</v>
      </c>
      <c r="S4408">
        <v>25.6</v>
      </c>
      <c r="T4408">
        <v>1770</v>
      </c>
      <c r="U4408">
        <v>303</v>
      </c>
      <c r="V4408">
        <v>8</v>
      </c>
      <c r="W4408">
        <v>70</v>
      </c>
      <c r="X4408">
        <v>764</v>
      </c>
      <c r="Y4408">
        <v>41</v>
      </c>
      <c r="Z4408">
        <v>247</v>
      </c>
      <c r="AA4408">
        <v>764</v>
      </c>
      <c r="AB4408">
        <v>11.85899</v>
      </c>
      <c r="AC4408">
        <v>0.1030105</v>
      </c>
      <c r="AD4408">
        <v>2.7905449999999998</v>
      </c>
      <c r="AE4408">
        <v>0.59278960000000003</v>
      </c>
      <c r="AF4408">
        <v>62.08202</v>
      </c>
      <c r="AG4408">
        <f>IFERROR(AH4408*0.1, "N/A")</f>
        <v>5.5</v>
      </c>
      <c r="AH4408">
        <v>55</v>
      </c>
      <c r="AI4408">
        <v>99.310559999999995</v>
      </c>
      <c r="AJ4408">
        <v>21</v>
      </c>
      <c r="AK4408">
        <v>62</v>
      </c>
    </row>
    <row r="4409" spans="1:37" x14ac:dyDescent="0.3">
      <c r="A4409">
        <v>4408</v>
      </c>
      <c r="B4409">
        <v>59.9</v>
      </c>
      <c r="C4409">
        <v>3.8952800000000001</v>
      </c>
      <c r="D4409">
        <v>7.3788400000000003</v>
      </c>
      <c r="E4409" t="s">
        <v>6947</v>
      </c>
      <c r="F4409" t="s">
        <v>6948</v>
      </c>
      <c r="G4409" t="s">
        <v>39</v>
      </c>
      <c r="H4409">
        <v>1975</v>
      </c>
      <c r="I4409">
        <v>26.5</v>
      </c>
      <c r="J4409">
        <v>9.3000000000000007</v>
      </c>
      <c r="K4409">
        <v>70</v>
      </c>
      <c r="L4409">
        <v>13.32</v>
      </c>
      <c r="M4409">
        <v>34</v>
      </c>
      <c r="N4409">
        <v>20.9</v>
      </c>
      <c r="O4409">
        <v>13.1</v>
      </c>
      <c r="P4409">
        <v>25.8</v>
      </c>
      <c r="Q4409">
        <v>27.3</v>
      </c>
      <c r="R4409">
        <v>28.2</v>
      </c>
      <c r="S4409">
        <v>24.6</v>
      </c>
      <c r="T4409">
        <v>1311</v>
      </c>
      <c r="U4409">
        <v>190</v>
      </c>
      <c r="V4409">
        <v>6</v>
      </c>
      <c r="W4409">
        <v>63</v>
      </c>
      <c r="X4409">
        <v>520</v>
      </c>
      <c r="Y4409">
        <v>40</v>
      </c>
      <c r="Z4409">
        <v>250</v>
      </c>
      <c r="AA4409">
        <v>481</v>
      </c>
      <c r="AB4409">
        <v>11.92808</v>
      </c>
      <c r="AC4409">
        <v>0.11553919999999999</v>
      </c>
      <c r="AD4409">
        <v>3.6010740000000001</v>
      </c>
      <c r="AE4409">
        <v>0.92847599999999997</v>
      </c>
      <c r="AF4409">
        <v>201.26689999999999</v>
      </c>
      <c r="AG4409">
        <f>IFERROR(AH4409*0.1, "N/A")</f>
        <v>6.7594449999999995</v>
      </c>
      <c r="AH4409">
        <v>67.594449999999995</v>
      </c>
      <c r="AI4409">
        <v>297.6028</v>
      </c>
      <c r="AJ4409">
        <v>23.608319999999999</v>
      </c>
      <c r="AK4409">
        <v>53.958410000000001</v>
      </c>
    </row>
    <row r="4410" spans="1:37" x14ac:dyDescent="0.3">
      <c r="A4410">
        <v>4409</v>
      </c>
      <c r="B4410">
        <v>0</v>
      </c>
      <c r="C4410">
        <v>3.84795</v>
      </c>
      <c r="D4410">
        <v>7.3837299999999999</v>
      </c>
      <c r="E4410" t="s">
        <v>6949</v>
      </c>
      <c r="F4410" t="s">
        <v>6950</v>
      </c>
      <c r="G4410" t="s">
        <v>39</v>
      </c>
      <c r="H4410">
        <v>1968</v>
      </c>
      <c r="I4410">
        <v>26.8</v>
      </c>
      <c r="J4410">
        <v>9.3000000000000007</v>
      </c>
      <c r="K4410">
        <v>70.111689999999996</v>
      </c>
      <c r="L4410">
        <v>12.97213</v>
      </c>
      <c r="M4410">
        <v>34.188830000000003</v>
      </c>
      <c r="N4410">
        <v>21.1</v>
      </c>
      <c r="O4410">
        <v>13.08883</v>
      </c>
      <c r="P4410">
        <v>26.1</v>
      </c>
      <c r="Q4410">
        <v>27.5</v>
      </c>
      <c r="R4410">
        <v>28.4</v>
      </c>
      <c r="S4410">
        <v>24.911169999999998</v>
      </c>
      <c r="T4410">
        <v>1288.223</v>
      </c>
      <c r="U4410">
        <v>189.11170000000001</v>
      </c>
      <c r="V4410">
        <v>6</v>
      </c>
      <c r="W4410">
        <v>63</v>
      </c>
      <c r="X4410">
        <v>516.22339999999997</v>
      </c>
      <c r="Y4410">
        <v>39</v>
      </c>
      <c r="Z4410">
        <v>246</v>
      </c>
      <c r="AA4410">
        <v>467.11169999999998</v>
      </c>
      <c r="AB4410">
        <v>7.4404899999999996</v>
      </c>
      <c r="AC4410">
        <v>1.421941E-2</v>
      </c>
      <c r="AD4410">
        <v>2.8791790000000002</v>
      </c>
      <c r="AE4410">
        <v>0.82499500000000003</v>
      </c>
      <c r="AF4410">
        <v>153.8621</v>
      </c>
      <c r="AG4410">
        <f>IFERROR(AH4410*0.1, "N/A")</f>
        <v>6.2373469999999998</v>
      </c>
      <c r="AH4410">
        <v>62.373469999999998</v>
      </c>
      <c r="AI4410">
        <v>261.57409999999999</v>
      </c>
      <c r="AJ4410">
        <v>17.452010000000001</v>
      </c>
      <c r="AK4410">
        <v>64.855149999999995</v>
      </c>
    </row>
    <row r="4411" spans="1:37" x14ac:dyDescent="0.3">
      <c r="A4411">
        <v>4410</v>
      </c>
      <c r="B4411">
        <v>0</v>
      </c>
      <c r="C4411">
        <v>3.8493400000000002</v>
      </c>
      <c r="D4411">
        <v>7.3838699999999999</v>
      </c>
      <c r="E4411" t="s">
        <v>6951</v>
      </c>
      <c r="F4411" t="s">
        <v>6952</v>
      </c>
      <c r="G4411" t="s">
        <v>39</v>
      </c>
      <c r="H4411">
        <v>1968</v>
      </c>
      <c r="I4411">
        <v>26.8</v>
      </c>
      <c r="J4411">
        <v>9.3000000000000007</v>
      </c>
      <c r="K4411">
        <v>70.046880000000002</v>
      </c>
      <c r="L4411">
        <v>12.9825</v>
      </c>
      <c r="M4411">
        <v>34.195309999999999</v>
      </c>
      <c r="N4411">
        <v>21.1</v>
      </c>
      <c r="O4411">
        <v>13.09531</v>
      </c>
      <c r="P4411">
        <v>26.1</v>
      </c>
      <c r="Q4411">
        <v>27.5</v>
      </c>
      <c r="R4411">
        <v>28.4</v>
      </c>
      <c r="S4411">
        <v>24.904689999999999</v>
      </c>
      <c r="T4411">
        <v>1288.0940000000001</v>
      </c>
      <c r="U4411">
        <v>189.04689999999999</v>
      </c>
      <c r="V4411">
        <v>6</v>
      </c>
      <c r="W4411">
        <v>63</v>
      </c>
      <c r="X4411">
        <v>516.09379999999999</v>
      </c>
      <c r="Y4411">
        <v>39</v>
      </c>
      <c r="Z4411">
        <v>246</v>
      </c>
      <c r="AA4411">
        <v>467.04689999999999</v>
      </c>
      <c r="AB4411">
        <v>11.84897</v>
      </c>
      <c r="AC4411">
        <v>8.7580450000000008E-3</v>
      </c>
      <c r="AD4411">
        <v>3.0344190000000002</v>
      </c>
      <c r="AE4411">
        <v>0.82499500000000003</v>
      </c>
      <c r="AF4411">
        <v>161.5</v>
      </c>
      <c r="AG4411">
        <f>IFERROR(AH4411*0.1, "N/A")</f>
        <v>6.255903</v>
      </c>
      <c r="AH4411">
        <v>62.55903</v>
      </c>
      <c r="AI4411">
        <v>252.58619999999999</v>
      </c>
      <c r="AJ4411">
        <v>17.720490000000002</v>
      </c>
      <c r="AK4411">
        <v>64.559030000000007</v>
      </c>
    </row>
    <row r="4412" spans="1:37" x14ac:dyDescent="0.3">
      <c r="A4412">
        <v>4411</v>
      </c>
      <c r="B4412">
        <v>0</v>
      </c>
      <c r="C4412">
        <v>4.5</v>
      </c>
      <c r="D4412">
        <v>7.7833300000000003</v>
      </c>
      <c r="E4412" t="s">
        <v>6953</v>
      </c>
      <c r="F4412" t="s">
        <v>6954</v>
      </c>
      <c r="G4412" t="s">
        <v>39</v>
      </c>
      <c r="H4412">
        <v>1978</v>
      </c>
      <c r="I4412">
        <v>26.12201</v>
      </c>
      <c r="J4412">
        <v>10.177989999999999</v>
      </c>
      <c r="K4412">
        <v>68.779899999999998</v>
      </c>
      <c r="L4412">
        <v>12.84906</v>
      </c>
      <c r="M4412">
        <v>34.122010000000003</v>
      </c>
      <c r="N4412">
        <v>19.42201</v>
      </c>
      <c r="O4412">
        <v>14.7</v>
      </c>
      <c r="P4412">
        <v>24.804510000000001</v>
      </c>
      <c r="Q4412">
        <v>26.482500000000002</v>
      </c>
      <c r="R4412">
        <v>27.722010000000001</v>
      </c>
      <c r="S4412">
        <v>24.322009999999999</v>
      </c>
      <c r="T4412">
        <v>1259.3330000000001</v>
      </c>
      <c r="U4412">
        <v>201.75219999999999</v>
      </c>
      <c r="V4412">
        <v>10</v>
      </c>
      <c r="W4412">
        <v>63</v>
      </c>
      <c r="X4412">
        <v>506.33969999999999</v>
      </c>
      <c r="Y4412">
        <v>45</v>
      </c>
      <c r="Z4412">
        <v>222.7799</v>
      </c>
      <c r="AA4412">
        <v>470.58749999999998</v>
      </c>
      <c r="AB4412">
        <v>17.5383</v>
      </c>
      <c r="AC4412">
        <v>1.2918860000000001E-2</v>
      </c>
      <c r="AD4412">
        <v>1.36293</v>
      </c>
      <c r="AE4412">
        <v>0.96303419999999995</v>
      </c>
      <c r="AF4412">
        <v>312.46969999999999</v>
      </c>
      <c r="AG4412">
        <f>IFERROR(AH4412*0.1, "N/A")</f>
        <v>5.8202770000000008</v>
      </c>
      <c r="AH4412">
        <v>58.202770000000001</v>
      </c>
      <c r="AI4412">
        <v>192.8629</v>
      </c>
      <c r="AJ4412">
        <v>18.594449999999998</v>
      </c>
      <c r="AK4412">
        <v>64</v>
      </c>
    </row>
    <row r="4413" spans="1:37" x14ac:dyDescent="0.3">
      <c r="A4413">
        <v>4412</v>
      </c>
      <c r="B4413">
        <v>25</v>
      </c>
      <c r="C4413">
        <v>3.9333330000000002</v>
      </c>
      <c r="D4413">
        <v>7.85</v>
      </c>
      <c r="E4413" t="s">
        <v>6955</v>
      </c>
      <c r="F4413" t="s">
        <v>6956</v>
      </c>
      <c r="G4413" t="s">
        <v>39</v>
      </c>
      <c r="H4413">
        <v>1974</v>
      </c>
      <c r="I4413">
        <v>26.003119999999999</v>
      </c>
      <c r="J4413">
        <v>10.3</v>
      </c>
      <c r="K4413">
        <v>70</v>
      </c>
      <c r="L4413">
        <v>12.465529999999999</v>
      </c>
      <c r="M4413">
        <v>34.103119999999997</v>
      </c>
      <c r="N4413">
        <v>19.5</v>
      </c>
      <c r="O4413">
        <v>14.603120000000001</v>
      </c>
      <c r="P4413">
        <v>24.68458</v>
      </c>
      <c r="Q4413">
        <v>26.521660000000001</v>
      </c>
      <c r="R4413">
        <v>27.603120000000001</v>
      </c>
      <c r="S4413">
        <v>24.30312</v>
      </c>
      <c r="T4413">
        <v>1187.125</v>
      </c>
      <c r="U4413">
        <v>195</v>
      </c>
      <c r="V4413">
        <v>6</v>
      </c>
      <c r="W4413">
        <v>63.84402</v>
      </c>
      <c r="X4413">
        <v>454.15600000000001</v>
      </c>
      <c r="Y4413">
        <v>40</v>
      </c>
      <c r="Z4413">
        <v>226.96879999999999</v>
      </c>
      <c r="AA4413">
        <v>421</v>
      </c>
      <c r="AB4413">
        <v>15.34558</v>
      </c>
      <c r="AC4413">
        <v>4.485666E-2</v>
      </c>
      <c r="AD4413">
        <v>2.5171079999999999</v>
      </c>
      <c r="AE4413">
        <v>0.91694609999999999</v>
      </c>
      <c r="AF4413">
        <v>287.7158</v>
      </c>
      <c r="AG4413">
        <f>IFERROR(AH4413*0.1, "N/A")</f>
        <v>6.862565</v>
      </c>
      <c r="AH4413">
        <v>68.625649999999993</v>
      </c>
      <c r="AI4413">
        <v>107.2895</v>
      </c>
      <c r="AJ4413">
        <v>23.07452</v>
      </c>
      <c r="AK4413">
        <v>62.013860000000001</v>
      </c>
    </row>
    <row r="4414" spans="1:37" x14ac:dyDescent="0.3">
      <c r="A4414">
        <v>4413</v>
      </c>
      <c r="B4414">
        <v>0.2</v>
      </c>
      <c r="C4414">
        <v>3.9333330000000002</v>
      </c>
      <c r="D4414">
        <v>7.85</v>
      </c>
      <c r="E4414" t="s">
        <v>6955</v>
      </c>
      <c r="F4414" t="s">
        <v>6957</v>
      </c>
      <c r="G4414" t="s">
        <v>37</v>
      </c>
      <c r="H4414">
        <v>1974</v>
      </c>
      <c r="I4414">
        <v>26.003119999999999</v>
      </c>
      <c r="J4414">
        <v>10.3</v>
      </c>
      <c r="K4414">
        <v>70</v>
      </c>
      <c r="L4414">
        <v>12.465529999999999</v>
      </c>
      <c r="M4414">
        <v>34.103119999999997</v>
      </c>
      <c r="N4414">
        <v>19.5</v>
      </c>
      <c r="O4414">
        <v>14.603120000000001</v>
      </c>
      <c r="P4414">
        <v>24.68458</v>
      </c>
      <c r="Q4414">
        <v>26.521660000000001</v>
      </c>
      <c r="R4414">
        <v>27.603120000000001</v>
      </c>
      <c r="S4414">
        <v>24.30312</v>
      </c>
      <c r="T4414">
        <v>1187.125</v>
      </c>
      <c r="U4414">
        <v>195</v>
      </c>
      <c r="V4414">
        <v>6</v>
      </c>
      <c r="W4414">
        <v>63.84402</v>
      </c>
      <c r="X4414">
        <v>454.15600000000001</v>
      </c>
      <c r="Y4414">
        <v>40</v>
      </c>
      <c r="Z4414">
        <v>226.96879999999999</v>
      </c>
      <c r="AA4414">
        <v>421</v>
      </c>
      <c r="AB4414">
        <v>15.34558</v>
      </c>
      <c r="AC4414">
        <v>4.485666E-2</v>
      </c>
      <c r="AD4414">
        <v>2.5171079999999999</v>
      </c>
      <c r="AE4414">
        <v>0.91694609999999999</v>
      </c>
      <c r="AF4414">
        <v>287.7158</v>
      </c>
      <c r="AG4414">
        <f>IFERROR(AH4414*0.1, "N/A")</f>
        <v>6.862565</v>
      </c>
      <c r="AH4414">
        <v>68.625649999999993</v>
      </c>
      <c r="AI4414">
        <v>107.2895</v>
      </c>
      <c r="AJ4414">
        <v>23.07452</v>
      </c>
      <c r="AK4414">
        <v>62.013860000000001</v>
      </c>
    </row>
    <row r="4415" spans="1:37" x14ac:dyDescent="0.3">
      <c r="A4415">
        <v>4414</v>
      </c>
      <c r="B4415">
        <v>11</v>
      </c>
      <c r="C4415">
        <v>3.9166669999999999</v>
      </c>
      <c r="D4415">
        <v>7.3963939999999999</v>
      </c>
      <c r="E4415" t="s">
        <v>6958</v>
      </c>
      <c r="F4415" t="s">
        <v>6959</v>
      </c>
      <c r="G4415" t="s">
        <v>39</v>
      </c>
      <c r="H4415">
        <v>1974</v>
      </c>
      <c r="I4415">
        <v>26.39686</v>
      </c>
      <c r="J4415">
        <v>9.3000000000000007</v>
      </c>
      <c r="K4415">
        <v>70</v>
      </c>
      <c r="L4415">
        <v>12.90704</v>
      </c>
      <c r="M4415">
        <v>33.796869999999998</v>
      </c>
      <c r="N4415">
        <v>20.648430000000001</v>
      </c>
      <c r="O4415">
        <v>13.148429999999999</v>
      </c>
      <c r="P4415">
        <v>25.59686</v>
      </c>
      <c r="Q4415">
        <v>27.09686</v>
      </c>
      <c r="R4415">
        <v>27.89686</v>
      </c>
      <c r="S4415">
        <v>24.496860000000002</v>
      </c>
      <c r="T4415">
        <v>1315.61</v>
      </c>
      <c r="U4415">
        <v>188</v>
      </c>
      <c r="V4415">
        <v>6</v>
      </c>
      <c r="W4415">
        <v>63.515680000000003</v>
      </c>
      <c r="X4415">
        <v>517.51570000000004</v>
      </c>
      <c r="Y4415">
        <v>40</v>
      </c>
      <c r="Z4415">
        <v>251.51570000000001</v>
      </c>
      <c r="AA4415">
        <v>485.06270000000001</v>
      </c>
      <c r="AB4415">
        <v>31.493379999999998</v>
      </c>
      <c r="AC4415">
        <v>2.9230320000000001E-2</v>
      </c>
      <c r="AD4415">
        <v>4.9257949999999999</v>
      </c>
      <c r="AE4415">
        <v>0.91068099999999996</v>
      </c>
      <c r="AF4415">
        <v>230.58189999999999</v>
      </c>
      <c r="AG4415">
        <f>IFERROR(AH4415*0.1, "N/A")</f>
        <v>6.8285710000000002</v>
      </c>
      <c r="AH4415">
        <v>68.285709999999995</v>
      </c>
      <c r="AI4415">
        <v>274.30259999999998</v>
      </c>
      <c r="AJ4415">
        <v>20.752610000000001</v>
      </c>
      <c r="AK4415">
        <v>56.893729999999998</v>
      </c>
    </row>
    <row r="4416" spans="1:37" x14ac:dyDescent="0.3">
      <c r="A4416">
        <v>4415</v>
      </c>
      <c r="B4416">
        <v>0</v>
      </c>
      <c r="C4416">
        <v>3.9166669999999999</v>
      </c>
      <c r="D4416">
        <v>7.3963939999999999</v>
      </c>
      <c r="E4416" t="s">
        <v>6958</v>
      </c>
      <c r="F4416" t="s">
        <v>6960</v>
      </c>
      <c r="G4416" t="s">
        <v>37</v>
      </c>
      <c r="H4416">
        <v>1974</v>
      </c>
      <c r="I4416">
        <v>26.39686</v>
      </c>
      <c r="J4416">
        <v>9.3000000000000007</v>
      </c>
      <c r="K4416">
        <v>70</v>
      </c>
      <c r="L4416">
        <v>12.90704</v>
      </c>
      <c r="M4416">
        <v>33.796869999999998</v>
      </c>
      <c r="N4416">
        <v>20.648430000000001</v>
      </c>
      <c r="O4416">
        <v>13.148429999999999</v>
      </c>
      <c r="P4416">
        <v>25.59686</v>
      </c>
      <c r="Q4416">
        <v>27.09686</v>
      </c>
      <c r="R4416">
        <v>27.89686</v>
      </c>
      <c r="S4416">
        <v>24.496860000000002</v>
      </c>
      <c r="T4416">
        <v>1315.61</v>
      </c>
      <c r="U4416">
        <v>188</v>
      </c>
      <c r="V4416">
        <v>6</v>
      </c>
      <c r="W4416">
        <v>63.515680000000003</v>
      </c>
      <c r="X4416">
        <v>517.51570000000004</v>
      </c>
      <c r="Y4416">
        <v>40</v>
      </c>
      <c r="Z4416">
        <v>251.51570000000001</v>
      </c>
      <c r="AA4416">
        <v>485.06270000000001</v>
      </c>
      <c r="AB4416">
        <v>31.493379999999998</v>
      </c>
      <c r="AC4416">
        <v>2.9230320000000001E-2</v>
      </c>
      <c r="AD4416">
        <v>4.9257949999999999</v>
      </c>
      <c r="AE4416">
        <v>0.91068099999999996</v>
      </c>
      <c r="AF4416">
        <v>230.58189999999999</v>
      </c>
      <c r="AG4416">
        <f>IFERROR(AH4416*0.1, "N/A")</f>
        <v>6.8285710000000002</v>
      </c>
      <c r="AH4416">
        <v>68.285709999999995</v>
      </c>
      <c r="AI4416">
        <v>274.30259999999998</v>
      </c>
      <c r="AJ4416">
        <v>20.752610000000001</v>
      </c>
      <c r="AK4416">
        <v>56.893729999999998</v>
      </c>
    </row>
    <row r="4417" spans="1:37" x14ac:dyDescent="0.3">
      <c r="A4417">
        <v>4416</v>
      </c>
      <c r="B4417">
        <v>0</v>
      </c>
      <c r="C4417">
        <v>3.8908700000000001</v>
      </c>
      <c r="D4417">
        <v>7.4490400000000001</v>
      </c>
      <c r="E4417" t="s">
        <v>6961</v>
      </c>
      <c r="F4417" t="s">
        <v>6962</v>
      </c>
      <c r="G4417" t="s">
        <v>39</v>
      </c>
      <c r="H4417">
        <v>1974</v>
      </c>
      <c r="I4417">
        <v>26.505220000000001</v>
      </c>
      <c r="J4417">
        <v>9.4</v>
      </c>
      <c r="K4417">
        <v>69.947829999999996</v>
      </c>
      <c r="L4417">
        <v>13.22791</v>
      </c>
      <c r="M4417">
        <v>34.010429999999999</v>
      </c>
      <c r="N4417">
        <v>20.696169999999999</v>
      </c>
      <c r="O4417">
        <v>13.314260000000001</v>
      </c>
      <c r="P4417">
        <v>25.714259999999999</v>
      </c>
      <c r="Q4417">
        <v>27.205220000000001</v>
      </c>
      <c r="R4417">
        <v>28.010429999999999</v>
      </c>
      <c r="S4417">
        <v>24.605219999999999</v>
      </c>
      <c r="T4417">
        <v>1289.5830000000001</v>
      </c>
      <c r="U4417">
        <v>183.9478</v>
      </c>
      <c r="V4417">
        <v>5.0521739999999999</v>
      </c>
      <c r="W4417">
        <v>63.090429999999998</v>
      </c>
      <c r="X4417">
        <v>503.98610000000002</v>
      </c>
      <c r="Y4417">
        <v>37.961739999999999</v>
      </c>
      <c r="Z4417">
        <v>248.89570000000001</v>
      </c>
      <c r="AA4417">
        <v>474.7774</v>
      </c>
      <c r="AB4417">
        <v>25.72505</v>
      </c>
      <c r="AC4417">
        <v>8.6393159999999993E-3</v>
      </c>
      <c r="AD4417">
        <v>3.5983839999999998</v>
      </c>
      <c r="AE4417">
        <v>0.7726326</v>
      </c>
      <c r="AF4417">
        <v>210.91300000000001</v>
      </c>
      <c r="AG4417">
        <f>IFERROR(AH4417*0.1, "N/A")</f>
        <v>6.1667830000000006</v>
      </c>
      <c r="AH4417">
        <v>61.667830000000002</v>
      </c>
      <c r="AI4417">
        <v>192.803</v>
      </c>
      <c r="AJ4417">
        <v>15.19478</v>
      </c>
      <c r="AK4417">
        <v>68.099130000000002</v>
      </c>
    </row>
    <row r="4418" spans="1:37" x14ac:dyDescent="0.3">
      <c r="A4418">
        <v>4417</v>
      </c>
      <c r="B4418">
        <v>0</v>
      </c>
      <c r="C4418">
        <v>3.8908700000000001</v>
      </c>
      <c r="D4418">
        <v>7.4490400000000001</v>
      </c>
      <c r="E4418" t="s">
        <v>6961</v>
      </c>
      <c r="F4418" t="s">
        <v>6963</v>
      </c>
      <c r="G4418" t="s">
        <v>37</v>
      </c>
      <c r="H4418">
        <v>1974</v>
      </c>
      <c r="I4418">
        <v>26.505220000000001</v>
      </c>
      <c r="J4418">
        <v>9.4</v>
      </c>
      <c r="K4418">
        <v>69.947829999999996</v>
      </c>
      <c r="L4418">
        <v>13.22791</v>
      </c>
      <c r="M4418">
        <v>34.010429999999999</v>
      </c>
      <c r="N4418">
        <v>20.696169999999999</v>
      </c>
      <c r="O4418">
        <v>13.314260000000001</v>
      </c>
      <c r="P4418">
        <v>25.714259999999999</v>
      </c>
      <c r="Q4418">
        <v>27.205220000000001</v>
      </c>
      <c r="R4418">
        <v>28.010429999999999</v>
      </c>
      <c r="S4418">
        <v>24.605219999999999</v>
      </c>
      <c r="T4418">
        <v>1289.5830000000001</v>
      </c>
      <c r="U4418">
        <v>183.9478</v>
      </c>
      <c r="V4418">
        <v>5.0521739999999999</v>
      </c>
      <c r="W4418">
        <v>63.090429999999998</v>
      </c>
      <c r="X4418">
        <v>503.98610000000002</v>
      </c>
      <c r="Y4418">
        <v>37.961739999999999</v>
      </c>
      <c r="Z4418">
        <v>248.89570000000001</v>
      </c>
      <c r="AA4418">
        <v>474.7774</v>
      </c>
      <c r="AB4418">
        <v>25.72505</v>
      </c>
      <c r="AC4418">
        <v>8.6393159999999993E-3</v>
      </c>
      <c r="AD4418">
        <v>3.5983839999999998</v>
      </c>
      <c r="AE4418">
        <v>0.7726326</v>
      </c>
      <c r="AF4418">
        <v>210.91300000000001</v>
      </c>
      <c r="AG4418">
        <f>IFERROR(AH4418*0.1, "N/A")</f>
        <v>6.1667830000000006</v>
      </c>
      <c r="AH4418">
        <v>61.667830000000002</v>
      </c>
      <c r="AI4418">
        <v>192.803</v>
      </c>
      <c r="AJ4418">
        <v>15.19478</v>
      </c>
      <c r="AK4418">
        <v>68.099130000000002</v>
      </c>
    </row>
    <row r="4419" spans="1:37" x14ac:dyDescent="0.3">
      <c r="A4419">
        <v>4418</v>
      </c>
      <c r="B4419">
        <v>2</v>
      </c>
      <c r="C4419">
        <v>7.3963939999999999</v>
      </c>
      <c r="D4419">
        <v>7.3963939999999999</v>
      </c>
      <c r="E4419" t="s">
        <v>6964</v>
      </c>
      <c r="F4419" t="s">
        <v>6965</v>
      </c>
      <c r="G4419" t="s">
        <v>39</v>
      </c>
      <c r="H4419">
        <v>2007</v>
      </c>
      <c r="I4419">
        <v>25.8</v>
      </c>
      <c r="J4419">
        <v>10.1</v>
      </c>
      <c r="K4419">
        <v>68</v>
      </c>
      <c r="L4419">
        <v>12.88</v>
      </c>
      <c r="M4419">
        <v>33.6</v>
      </c>
      <c r="N4419">
        <v>18.899999999999999</v>
      </c>
      <c r="O4419">
        <v>14.7</v>
      </c>
      <c r="P4419">
        <v>24.3</v>
      </c>
      <c r="Q4419">
        <v>26.1</v>
      </c>
      <c r="R4419">
        <v>27.7</v>
      </c>
      <c r="S4419">
        <v>24.3</v>
      </c>
      <c r="T4419">
        <v>1354</v>
      </c>
      <c r="U4419">
        <v>276</v>
      </c>
      <c r="V4419">
        <v>7</v>
      </c>
      <c r="W4419">
        <v>76</v>
      </c>
      <c r="X4419">
        <v>626</v>
      </c>
      <c r="Y4419">
        <v>31</v>
      </c>
      <c r="Z4419">
        <v>170</v>
      </c>
      <c r="AA4419">
        <v>626</v>
      </c>
      <c r="AB4419">
        <v>1.987304</v>
      </c>
      <c r="AC4419">
        <v>7.2546629999999999</v>
      </c>
      <c r="AD4419">
        <v>2.7279</v>
      </c>
      <c r="AE4419">
        <v>0.31296590000000002</v>
      </c>
      <c r="AF4419">
        <v>254.85570000000001</v>
      </c>
      <c r="AG4419">
        <f>IFERROR(AH4419*0.1, "N/A")</f>
        <v>5.6424349999999999</v>
      </c>
      <c r="AH4419">
        <v>56.424349999999997</v>
      </c>
      <c r="AI4419">
        <v>34.331530000000001</v>
      </c>
      <c r="AJ4419">
        <v>20.175650000000001</v>
      </c>
      <c r="AK4419">
        <v>65.43826</v>
      </c>
    </row>
    <row r="4420" spans="1:37" x14ac:dyDescent="0.3">
      <c r="A4420">
        <v>4419</v>
      </c>
      <c r="B4420">
        <v>0</v>
      </c>
      <c r="C4420">
        <v>7.3963939999999999</v>
      </c>
      <c r="D4420">
        <v>7.3963939999999999</v>
      </c>
      <c r="E4420" t="s">
        <v>6964</v>
      </c>
      <c r="F4420" t="s">
        <v>6966</v>
      </c>
      <c r="G4420" t="s">
        <v>37</v>
      </c>
      <c r="H4420">
        <v>2007</v>
      </c>
      <c r="I4420">
        <v>25.8</v>
      </c>
      <c r="J4420">
        <v>10.1</v>
      </c>
      <c r="K4420">
        <v>68</v>
      </c>
      <c r="L4420">
        <v>12.88</v>
      </c>
      <c r="M4420">
        <v>33.6</v>
      </c>
      <c r="N4420">
        <v>18.899999999999999</v>
      </c>
      <c r="O4420">
        <v>14.7</v>
      </c>
      <c r="P4420">
        <v>24.3</v>
      </c>
      <c r="Q4420">
        <v>26.1</v>
      </c>
      <c r="R4420">
        <v>27.7</v>
      </c>
      <c r="S4420">
        <v>24.3</v>
      </c>
      <c r="T4420">
        <v>1354</v>
      </c>
      <c r="U4420">
        <v>276</v>
      </c>
      <c r="V4420">
        <v>7</v>
      </c>
      <c r="W4420">
        <v>76</v>
      </c>
      <c r="X4420">
        <v>626</v>
      </c>
      <c r="Y4420">
        <v>31</v>
      </c>
      <c r="Z4420">
        <v>170</v>
      </c>
      <c r="AA4420">
        <v>626</v>
      </c>
      <c r="AB4420">
        <v>1.987304</v>
      </c>
      <c r="AC4420">
        <v>7.2546629999999999</v>
      </c>
      <c r="AD4420">
        <v>2.7279</v>
      </c>
      <c r="AE4420">
        <v>0.31296590000000002</v>
      </c>
      <c r="AF4420">
        <v>254.85570000000001</v>
      </c>
      <c r="AG4420">
        <f>IFERROR(AH4420*0.1, "N/A")</f>
        <v>5.6424349999999999</v>
      </c>
      <c r="AH4420">
        <v>56.424349999999997</v>
      </c>
      <c r="AI4420">
        <v>34.331530000000001</v>
      </c>
      <c r="AJ4420">
        <v>20.175650000000001</v>
      </c>
      <c r="AK4420">
        <v>65.43826</v>
      </c>
    </row>
    <row r="4421" spans="1:37" x14ac:dyDescent="0.3">
      <c r="A4421">
        <v>4420</v>
      </c>
      <c r="B4421">
        <v>57.8</v>
      </c>
      <c r="C4421">
        <v>4.5922599999999996</v>
      </c>
      <c r="D4421">
        <v>7.9440299999999997</v>
      </c>
      <c r="E4421" t="s">
        <v>6967</v>
      </c>
      <c r="F4421" t="s">
        <v>6968</v>
      </c>
      <c r="G4421" t="s">
        <v>39</v>
      </c>
      <c r="H4421">
        <v>2009</v>
      </c>
      <c r="I4421">
        <v>26</v>
      </c>
      <c r="J4421">
        <v>10.4</v>
      </c>
      <c r="K4421">
        <v>68</v>
      </c>
      <c r="L4421">
        <v>13.11</v>
      </c>
      <c r="M4421">
        <v>34.200000000000003</v>
      </c>
      <c r="N4421">
        <v>19</v>
      </c>
      <c r="O4421">
        <v>15.2</v>
      </c>
      <c r="P4421">
        <v>24.6</v>
      </c>
      <c r="Q4421">
        <v>26.3</v>
      </c>
      <c r="R4421">
        <v>27.7</v>
      </c>
      <c r="S4421">
        <v>24.2</v>
      </c>
      <c r="T4421">
        <v>1249</v>
      </c>
      <c r="U4421">
        <v>210</v>
      </c>
      <c r="V4421">
        <v>10</v>
      </c>
      <c r="W4421">
        <v>64</v>
      </c>
      <c r="X4421">
        <v>511</v>
      </c>
      <c r="Y4421">
        <v>44</v>
      </c>
      <c r="Z4421">
        <v>214</v>
      </c>
      <c r="AA4421">
        <v>465</v>
      </c>
      <c r="AB4421">
        <v>19.754439999999999</v>
      </c>
      <c r="AC4421">
        <v>2.182392E-2</v>
      </c>
      <c r="AD4421">
        <v>2.4282089999999998</v>
      </c>
      <c r="AE4421">
        <v>0.54202510000000004</v>
      </c>
      <c r="AF4421">
        <v>347.52870000000001</v>
      </c>
      <c r="AG4421">
        <f>IFERROR(AH4421*0.1, "N/A")</f>
        <v>5.4</v>
      </c>
      <c r="AH4421">
        <v>54</v>
      </c>
      <c r="AI4421">
        <v>220.86410000000001</v>
      </c>
      <c r="AJ4421">
        <v>21.177389999999999</v>
      </c>
      <c r="AK4421">
        <v>60.822609999999997</v>
      </c>
    </row>
    <row r="4422" spans="1:37" x14ac:dyDescent="0.3">
      <c r="A4422">
        <v>4421</v>
      </c>
      <c r="B4422">
        <v>68.3</v>
      </c>
      <c r="C4422">
        <v>4.5666700000000002</v>
      </c>
      <c r="D4422">
        <v>7.9666699999999997</v>
      </c>
      <c r="E4422" t="s">
        <v>6829</v>
      </c>
      <c r="F4422" t="s">
        <v>6969</v>
      </c>
      <c r="G4422" t="s">
        <v>39</v>
      </c>
      <c r="H4422">
        <v>2009</v>
      </c>
      <c r="I4422">
        <v>26.08426</v>
      </c>
      <c r="J4422">
        <v>10.5</v>
      </c>
      <c r="K4422">
        <v>68</v>
      </c>
      <c r="L4422">
        <v>13.11529</v>
      </c>
      <c r="M4422">
        <v>34.35087</v>
      </c>
      <c r="N4422">
        <v>19.05087</v>
      </c>
      <c r="O4422">
        <v>15.3</v>
      </c>
      <c r="P4422">
        <v>24.684259999999998</v>
      </c>
      <c r="Q4422">
        <v>26.384260000000001</v>
      </c>
      <c r="R4422">
        <v>27.782869999999999</v>
      </c>
      <c r="S4422">
        <v>24.28426</v>
      </c>
      <c r="T4422">
        <v>1245.42</v>
      </c>
      <c r="U4422">
        <v>210.0138</v>
      </c>
      <c r="V4422">
        <v>9.8096890000000005</v>
      </c>
      <c r="W4422">
        <v>64.856399999999994</v>
      </c>
      <c r="X4422">
        <v>509.17129999999997</v>
      </c>
      <c r="Y4422">
        <v>43.809690000000003</v>
      </c>
      <c r="Z4422">
        <v>213.31489999999999</v>
      </c>
      <c r="AA4422">
        <v>463.17129999999997</v>
      </c>
      <c r="AB4422">
        <v>13.15517</v>
      </c>
      <c r="AC4422">
        <v>1.32132E-2</v>
      </c>
      <c r="AD4422">
        <v>3.4520900000000001</v>
      </c>
      <c r="AE4422">
        <v>0.51619939999999997</v>
      </c>
      <c r="AF4422">
        <v>343.52249999999998</v>
      </c>
      <c r="AG4422">
        <f>IFERROR(AH4422*0.1, "N/A")</f>
        <v>5.5143599999999999</v>
      </c>
      <c r="AH4422">
        <v>55.143599999999999</v>
      </c>
      <c r="AI4422">
        <v>62.582799999999999</v>
      </c>
      <c r="AJ4422">
        <v>24.434259999999998</v>
      </c>
      <c r="AK4422">
        <v>56.737020000000001</v>
      </c>
    </row>
    <row r="4423" spans="1:37" x14ac:dyDescent="0.3">
      <c r="A4423">
        <v>4422</v>
      </c>
      <c r="B4423">
        <v>46.3</v>
      </c>
      <c r="C4423">
        <v>4.4833299999999996</v>
      </c>
      <c r="D4423">
        <v>7.8333300000000001</v>
      </c>
      <c r="E4423" t="s">
        <v>6970</v>
      </c>
      <c r="F4423" t="s">
        <v>6971</v>
      </c>
      <c r="G4423" t="s">
        <v>39</v>
      </c>
      <c r="H4423">
        <v>2009</v>
      </c>
      <c r="I4423">
        <v>26.13374</v>
      </c>
      <c r="J4423">
        <v>10.199999999999999</v>
      </c>
      <c r="K4423">
        <v>68.662610000000001</v>
      </c>
      <c r="L4423">
        <v>12.810420000000001</v>
      </c>
      <c r="M4423">
        <v>34.133740000000003</v>
      </c>
      <c r="N4423">
        <v>19.36626</v>
      </c>
      <c r="O4423">
        <v>14.767480000000001</v>
      </c>
      <c r="P4423">
        <v>24.8</v>
      </c>
      <c r="Q4423">
        <v>26.43374</v>
      </c>
      <c r="R4423">
        <v>27.733740000000001</v>
      </c>
      <c r="S4423">
        <v>24.3</v>
      </c>
      <c r="T4423">
        <v>1260.085</v>
      </c>
      <c r="U4423">
        <v>203</v>
      </c>
      <c r="V4423">
        <v>10</v>
      </c>
      <c r="W4423">
        <v>63.337389999999999</v>
      </c>
      <c r="X4423">
        <v>506.12869999999998</v>
      </c>
      <c r="Y4423">
        <v>44.662610000000001</v>
      </c>
      <c r="Z4423">
        <v>221.6626</v>
      </c>
      <c r="AA4423">
        <v>469.93220000000002</v>
      </c>
      <c r="AB4423">
        <v>16.3873</v>
      </c>
      <c r="AC4423">
        <v>3.7413790000000002E-2</v>
      </c>
      <c r="AD4423">
        <v>2.0457909999999999</v>
      </c>
      <c r="AE4423">
        <v>0.9022076</v>
      </c>
      <c r="AF4423">
        <v>324.82780000000002</v>
      </c>
      <c r="AG4423">
        <f>IFERROR(AH4423*0.1, "N/A")</f>
        <v>6.0474780000000008</v>
      </c>
      <c r="AH4423">
        <v>60.474780000000003</v>
      </c>
      <c r="AI4423">
        <v>140.9006</v>
      </c>
      <c r="AJ4423">
        <v>18.3687</v>
      </c>
      <c r="AK4423">
        <v>63.631300000000003</v>
      </c>
    </row>
    <row r="4424" spans="1:37" x14ac:dyDescent="0.3">
      <c r="A4424">
        <v>4423</v>
      </c>
      <c r="B4424">
        <v>56.2</v>
      </c>
      <c r="C4424">
        <v>4.4833299999999996</v>
      </c>
      <c r="D4424">
        <v>7.8166700000000002</v>
      </c>
      <c r="E4424" t="s">
        <v>6972</v>
      </c>
      <c r="F4424" t="s">
        <v>6973</v>
      </c>
      <c r="G4424" t="s">
        <v>39</v>
      </c>
      <c r="H4424">
        <v>2009</v>
      </c>
      <c r="I4424">
        <v>26.21453</v>
      </c>
      <c r="J4424">
        <v>10.199999999999999</v>
      </c>
      <c r="K4424">
        <v>68.854669999999999</v>
      </c>
      <c r="L4424">
        <v>12.91311</v>
      </c>
      <c r="M4424">
        <v>34.214530000000003</v>
      </c>
      <c r="N4424">
        <v>19.5</v>
      </c>
      <c r="O4424">
        <v>14.71453</v>
      </c>
      <c r="P4424">
        <v>24.866779999999999</v>
      </c>
      <c r="Q4424">
        <v>26.551210000000001</v>
      </c>
      <c r="R4424">
        <v>27.814530000000001</v>
      </c>
      <c r="S4424">
        <v>24.4</v>
      </c>
      <c r="T4424">
        <v>1259.443</v>
      </c>
      <c r="U4424">
        <v>201.85470000000001</v>
      </c>
      <c r="V4424">
        <v>10</v>
      </c>
      <c r="W4424">
        <v>63.522489999999998</v>
      </c>
      <c r="X4424">
        <v>504.85469999999998</v>
      </c>
      <c r="Y4424">
        <v>45</v>
      </c>
      <c r="Z4424">
        <v>222</v>
      </c>
      <c r="AA4424">
        <v>470.3322</v>
      </c>
      <c r="AB4424">
        <v>17.558990000000001</v>
      </c>
      <c r="AC4424">
        <v>1.4536769999999999E-2</v>
      </c>
      <c r="AD4424">
        <v>2.0580959999999999</v>
      </c>
      <c r="AE4424">
        <v>0.88581620000000005</v>
      </c>
      <c r="AF4424">
        <v>305.02600000000001</v>
      </c>
      <c r="AG4424">
        <f>IFERROR(AH4424*0.1, "N/A")</f>
        <v>5.8664360000000002</v>
      </c>
      <c r="AH4424">
        <v>58.664360000000002</v>
      </c>
      <c r="AI4424">
        <v>270.88380000000001</v>
      </c>
      <c r="AJ4424">
        <v>14.55363</v>
      </c>
      <c r="AK4424">
        <v>66.034599999999998</v>
      </c>
    </row>
    <row r="4425" spans="1:37" x14ac:dyDescent="0.3">
      <c r="A4425">
        <v>4424</v>
      </c>
      <c r="B4425">
        <v>16</v>
      </c>
      <c r="C4425">
        <v>2.8833700000000002</v>
      </c>
      <c r="D4425">
        <v>6.4171500000000004</v>
      </c>
      <c r="E4425" t="s">
        <v>6974</v>
      </c>
      <c r="F4425" t="s">
        <v>6975</v>
      </c>
      <c r="G4425" t="s">
        <v>39</v>
      </c>
      <c r="H4425">
        <v>1979</v>
      </c>
      <c r="I4425">
        <v>27.4</v>
      </c>
      <c r="J4425">
        <v>6.5891609999999998</v>
      </c>
      <c r="K4425">
        <v>67.89161</v>
      </c>
      <c r="L4425">
        <v>11.63091</v>
      </c>
      <c r="M4425">
        <v>32.4</v>
      </c>
      <c r="N4425">
        <v>22.8</v>
      </c>
      <c r="O4425">
        <v>9.6</v>
      </c>
      <c r="P4425">
        <v>26.689160000000001</v>
      </c>
      <c r="Q4425">
        <v>28.1</v>
      </c>
      <c r="R4425">
        <v>28.8</v>
      </c>
      <c r="S4425">
        <v>25.8</v>
      </c>
      <c r="T4425">
        <v>1443.498</v>
      </c>
      <c r="U4425">
        <v>331.22899999999998</v>
      </c>
      <c r="V4425">
        <v>19.10839</v>
      </c>
      <c r="W4425">
        <v>76.10839</v>
      </c>
      <c r="X4425">
        <v>753.77269999999999</v>
      </c>
      <c r="Y4425">
        <v>82.10839</v>
      </c>
      <c r="Z4425">
        <v>254</v>
      </c>
      <c r="AA4425">
        <v>347.31470000000002</v>
      </c>
      <c r="AB4425">
        <v>1.6631119999999999</v>
      </c>
      <c r="AC4425">
        <v>8.161214E-2</v>
      </c>
      <c r="AD4425">
        <v>1.6842999999999999</v>
      </c>
      <c r="AE4425">
        <v>0.91263289999999997</v>
      </c>
      <c r="AF4425">
        <v>3.1223779999999999</v>
      </c>
      <c r="AG4425">
        <f>IFERROR(AH4425*0.1, "N/A")</f>
        <v>5.6031469999999999</v>
      </c>
      <c r="AH4425">
        <v>56.031469999999999</v>
      </c>
      <c r="AI4425">
        <v>115.1674</v>
      </c>
      <c r="AJ4425">
        <v>28.314689999999999</v>
      </c>
      <c r="AK4425">
        <v>49.255240000000001</v>
      </c>
    </row>
    <row r="4426" spans="1:37" x14ac:dyDescent="0.3">
      <c r="A4426">
        <v>4425</v>
      </c>
      <c r="B4426">
        <v>0</v>
      </c>
      <c r="C4426">
        <v>7.8565399999999999</v>
      </c>
      <c r="D4426">
        <v>11.6891</v>
      </c>
      <c r="E4426" t="s">
        <v>6976</v>
      </c>
      <c r="F4426" t="s">
        <v>6977</v>
      </c>
      <c r="G4426" t="s">
        <v>39</v>
      </c>
      <c r="H4426">
        <v>1973</v>
      </c>
      <c r="I4426">
        <v>25.5</v>
      </c>
      <c r="J4426">
        <v>13.6</v>
      </c>
      <c r="K4426">
        <v>58</v>
      </c>
      <c r="L4426">
        <v>24.08</v>
      </c>
      <c r="M4426">
        <v>36.9</v>
      </c>
      <c r="N4426">
        <v>13.5</v>
      </c>
      <c r="O4426">
        <v>23.4</v>
      </c>
      <c r="P4426">
        <v>24.6</v>
      </c>
      <c r="Q4426">
        <v>22.8</v>
      </c>
      <c r="R4426">
        <v>29</v>
      </c>
      <c r="S4426">
        <v>22.8</v>
      </c>
      <c r="T4426">
        <v>915</v>
      </c>
      <c r="U4426">
        <v>271</v>
      </c>
      <c r="V4426">
        <v>0</v>
      </c>
      <c r="W4426">
        <v>119</v>
      </c>
      <c r="X4426">
        <v>647</v>
      </c>
      <c r="Y4426">
        <v>0</v>
      </c>
      <c r="Z4426">
        <v>109</v>
      </c>
      <c r="AA4426">
        <v>0</v>
      </c>
      <c r="AB4426">
        <v>8.4737139999999993</v>
      </c>
      <c r="AC4426">
        <v>1.7333950000000001E-2</v>
      </c>
      <c r="AD4426">
        <v>1.344589</v>
      </c>
      <c r="AE4426">
        <v>0.76649670000000003</v>
      </c>
      <c r="AF4426">
        <v>561.62459999999999</v>
      </c>
      <c r="AG4426">
        <f>IFERROR(AH4426*0.1, "N/A")</f>
        <v>6.1030720000000009</v>
      </c>
      <c r="AH4426">
        <v>61.030720000000002</v>
      </c>
      <c r="AI4426">
        <v>117.56829999999999</v>
      </c>
      <c r="AJ4426">
        <v>14.015359999999999</v>
      </c>
      <c r="AK4426">
        <v>60.015360000000001</v>
      </c>
    </row>
    <row r="4427" spans="1:37" x14ac:dyDescent="0.3">
      <c r="A4427">
        <v>4426</v>
      </c>
      <c r="B4427">
        <v>13.5</v>
      </c>
      <c r="C4427">
        <v>7.58399</v>
      </c>
      <c r="D4427">
        <v>11.72</v>
      </c>
      <c r="E4427" t="s">
        <v>6978</v>
      </c>
      <c r="F4427" t="s">
        <v>6979</v>
      </c>
      <c r="G4427" t="s">
        <v>39</v>
      </c>
      <c r="H4427">
        <v>1973</v>
      </c>
      <c r="I4427">
        <v>25.1</v>
      </c>
      <c r="J4427">
        <v>13.6</v>
      </c>
      <c r="K4427">
        <v>58</v>
      </c>
      <c r="L4427">
        <v>24.037929999999999</v>
      </c>
      <c r="M4427">
        <v>36.4</v>
      </c>
      <c r="N4427">
        <v>13.2</v>
      </c>
      <c r="O4427">
        <v>23.2</v>
      </c>
      <c r="P4427">
        <v>24.1</v>
      </c>
      <c r="Q4427">
        <v>22.5</v>
      </c>
      <c r="R4427">
        <v>28.7</v>
      </c>
      <c r="S4427">
        <v>22.5</v>
      </c>
      <c r="T4427">
        <v>942</v>
      </c>
      <c r="U4427">
        <v>272</v>
      </c>
      <c r="V4427">
        <v>0</v>
      </c>
      <c r="W4427">
        <v>118</v>
      </c>
      <c r="X4427">
        <v>660</v>
      </c>
      <c r="Y4427">
        <v>0</v>
      </c>
      <c r="Z4427">
        <v>118</v>
      </c>
      <c r="AA4427">
        <v>0</v>
      </c>
      <c r="AB4427">
        <v>5.7152329999999996</v>
      </c>
      <c r="AC4427">
        <v>7.1672799999999995E-2</v>
      </c>
      <c r="AD4427">
        <v>1.1083639999999999</v>
      </c>
      <c r="AE4427">
        <v>0.7604033</v>
      </c>
      <c r="AF4427">
        <v>638.31849999999997</v>
      </c>
      <c r="AG4427">
        <f>IFERROR(AH4427*0.1, "N/A")</f>
        <v>5.8311640000000002</v>
      </c>
      <c r="AH4427">
        <v>58.311639999999997</v>
      </c>
      <c r="AI4427">
        <v>239.69059999999999</v>
      </c>
      <c r="AJ4427">
        <v>18.61815</v>
      </c>
      <c r="AK4427">
        <v>47.970889999999997</v>
      </c>
    </row>
    <row r="4428" spans="1:37" x14ac:dyDescent="0.3">
      <c r="A4428">
        <v>4427</v>
      </c>
      <c r="B4428">
        <v>20.6</v>
      </c>
      <c r="C4428">
        <v>7.6166669999999996</v>
      </c>
      <c r="D4428">
        <v>7.3963939999999999</v>
      </c>
      <c r="E4428" t="s">
        <v>6980</v>
      </c>
      <c r="F4428" t="s">
        <v>6981</v>
      </c>
      <c r="G4428" t="s">
        <v>39</v>
      </c>
      <c r="H4428">
        <v>1978</v>
      </c>
      <c r="I4428">
        <v>25.137630000000001</v>
      </c>
      <c r="J4428">
        <v>10.1</v>
      </c>
      <c r="K4428">
        <v>67.376310000000004</v>
      </c>
      <c r="L4428">
        <v>13.09474</v>
      </c>
      <c r="M4428">
        <v>33.03763</v>
      </c>
      <c r="N4428">
        <v>18.175260000000002</v>
      </c>
      <c r="O4428">
        <v>14.86237</v>
      </c>
      <c r="P4428">
        <v>23.637630000000001</v>
      </c>
      <c r="Q4428">
        <v>25.437629999999999</v>
      </c>
      <c r="R4428">
        <v>27.1</v>
      </c>
      <c r="S4428">
        <v>23.637630000000001</v>
      </c>
      <c r="T4428">
        <v>1401.1179999999999</v>
      </c>
      <c r="U4428">
        <v>288</v>
      </c>
      <c r="V4428">
        <v>8</v>
      </c>
      <c r="W4428">
        <v>75</v>
      </c>
      <c r="X4428">
        <v>641.87109999999996</v>
      </c>
      <c r="Y4428">
        <v>33.623690000000003</v>
      </c>
      <c r="Z4428">
        <v>178</v>
      </c>
      <c r="AA4428">
        <v>641.87109999999996</v>
      </c>
      <c r="AB4428">
        <v>15.92282</v>
      </c>
      <c r="AC4428">
        <v>6.971463E-2</v>
      </c>
      <c r="AD4428">
        <v>2.6314329999999999</v>
      </c>
      <c r="AE4428">
        <v>0.68962780000000001</v>
      </c>
      <c r="AF4428">
        <v>363.8449</v>
      </c>
      <c r="AG4428">
        <f>IFERROR(AH4428*0.1, "N/A")</f>
        <v>5.6198610000000002</v>
      </c>
      <c r="AH4428">
        <v>56.198610000000002</v>
      </c>
      <c r="AI4428">
        <v>187.1019</v>
      </c>
      <c r="AJ4428">
        <v>11.80139</v>
      </c>
      <c r="AK4428">
        <v>76.594080000000005</v>
      </c>
    </row>
    <row r="4429" spans="1:37" x14ac:dyDescent="0.3">
      <c r="A4429">
        <v>4428</v>
      </c>
      <c r="B4429">
        <v>27</v>
      </c>
      <c r="C4429">
        <v>7.6059700000000001</v>
      </c>
      <c r="D4429">
        <v>11.715299999999999</v>
      </c>
      <c r="E4429" t="s">
        <v>6982</v>
      </c>
      <c r="F4429" t="s">
        <v>6983</v>
      </c>
      <c r="G4429" t="s">
        <v>39</v>
      </c>
      <c r="H4429">
        <v>1978</v>
      </c>
      <c r="I4429">
        <v>25.2</v>
      </c>
      <c r="J4429">
        <v>13.6</v>
      </c>
      <c r="K4429">
        <v>58</v>
      </c>
      <c r="L4429">
        <v>23.88</v>
      </c>
      <c r="M4429">
        <v>36.5</v>
      </c>
      <c r="N4429">
        <v>13.2</v>
      </c>
      <c r="O4429">
        <v>23.3</v>
      </c>
      <c r="P4429">
        <v>24.2</v>
      </c>
      <c r="Q4429">
        <v>22.6</v>
      </c>
      <c r="R4429">
        <v>28.7</v>
      </c>
      <c r="S4429">
        <v>22.6</v>
      </c>
      <c r="T4429">
        <v>942</v>
      </c>
      <c r="U4429">
        <v>272</v>
      </c>
      <c r="V4429">
        <v>0</v>
      </c>
      <c r="W4429">
        <v>118</v>
      </c>
      <c r="X4429">
        <v>660</v>
      </c>
      <c r="Y4429">
        <v>0</v>
      </c>
      <c r="Z4429">
        <v>118</v>
      </c>
      <c r="AA4429">
        <v>0</v>
      </c>
      <c r="AB4429">
        <v>3.7504110000000002</v>
      </c>
      <c r="AC4429">
        <v>2.3216110000000002E-2</v>
      </c>
      <c r="AD4429">
        <v>1.370798</v>
      </c>
      <c r="AE4429">
        <v>0.74579079999999998</v>
      </c>
      <c r="AF4429">
        <v>632.94190000000003</v>
      </c>
      <c r="AG4429">
        <f>IFERROR(AH4429*0.1, "N/A")</f>
        <v>6.1341880000000009</v>
      </c>
      <c r="AH4429">
        <v>61.341880000000003</v>
      </c>
      <c r="AI4429">
        <v>153.89179999999999</v>
      </c>
      <c r="AJ4429">
        <v>16.0547</v>
      </c>
      <c r="AK4429">
        <v>53.329909999999998</v>
      </c>
    </row>
    <row r="4430" spans="1:37" x14ac:dyDescent="0.3">
      <c r="A4430">
        <v>4429</v>
      </c>
      <c r="B4430">
        <v>6</v>
      </c>
      <c r="C4430">
        <v>7.5964799999999997</v>
      </c>
      <c r="D4430">
        <v>11.6965</v>
      </c>
      <c r="E4430" t="s">
        <v>6984</v>
      </c>
      <c r="F4430" t="s">
        <v>6985</v>
      </c>
      <c r="G4430" t="s">
        <v>39</v>
      </c>
      <c r="H4430">
        <v>1978</v>
      </c>
      <c r="I4430">
        <v>25.2</v>
      </c>
      <c r="J4430">
        <v>13.6</v>
      </c>
      <c r="K4430">
        <v>58</v>
      </c>
      <c r="L4430">
        <v>24.27</v>
      </c>
      <c r="M4430">
        <v>36.5</v>
      </c>
      <c r="N4430">
        <v>13.3</v>
      </c>
      <c r="O4430">
        <v>23.2</v>
      </c>
      <c r="P4430">
        <v>24.2</v>
      </c>
      <c r="Q4430">
        <v>22.6</v>
      </c>
      <c r="R4430">
        <v>28.8</v>
      </c>
      <c r="S4430">
        <v>22.6</v>
      </c>
      <c r="T4430">
        <v>947</v>
      </c>
      <c r="U4430">
        <v>273</v>
      </c>
      <c r="V4430">
        <v>0</v>
      </c>
      <c r="W4430">
        <v>118</v>
      </c>
      <c r="X4430">
        <v>662</v>
      </c>
      <c r="Y4430">
        <v>0</v>
      </c>
      <c r="Z4430">
        <v>120</v>
      </c>
      <c r="AA4430">
        <v>0</v>
      </c>
      <c r="AB4430">
        <v>3.9030619999999998</v>
      </c>
      <c r="AC4430">
        <v>7.0359019999999994E-2</v>
      </c>
      <c r="AD4430">
        <v>0.92623699999999998</v>
      </c>
      <c r="AE4430">
        <v>0.74521000000000004</v>
      </c>
      <c r="AF4430">
        <v>622.47370000000001</v>
      </c>
      <c r="AG4430">
        <f>IFERROR(AH4430*0.1, "N/A")</f>
        <v>6.0336160000000003</v>
      </c>
      <c r="AH4430">
        <v>60.33616</v>
      </c>
      <c r="AI4430">
        <v>81.341520000000003</v>
      </c>
      <c r="AJ4430">
        <v>16.006789999999999</v>
      </c>
      <c r="AK4430">
        <v>52.612900000000003</v>
      </c>
    </row>
    <row r="4431" spans="1:37" x14ac:dyDescent="0.3">
      <c r="A4431">
        <v>4430</v>
      </c>
      <c r="B4431">
        <v>21.2</v>
      </c>
      <c r="C4431">
        <v>7.6092300000000002</v>
      </c>
      <c r="D4431">
        <v>11.730399999999999</v>
      </c>
      <c r="E4431" t="s">
        <v>6986</v>
      </c>
      <c r="F4431" t="s">
        <v>6987</v>
      </c>
      <c r="G4431" t="s">
        <v>39</v>
      </c>
      <c r="H4431">
        <v>1978</v>
      </c>
      <c r="I4431">
        <v>25.1</v>
      </c>
      <c r="J4431">
        <v>13.6</v>
      </c>
      <c r="K4431">
        <v>58</v>
      </c>
      <c r="L4431">
        <v>24.071069999999999</v>
      </c>
      <c r="M4431">
        <v>36.489289999999997</v>
      </c>
      <c r="N4431">
        <v>13.110709999999999</v>
      </c>
      <c r="O4431">
        <v>23.37857</v>
      </c>
      <c r="P4431">
        <v>24.1</v>
      </c>
      <c r="Q4431">
        <v>22.5</v>
      </c>
      <c r="R4431">
        <v>28.7</v>
      </c>
      <c r="S4431">
        <v>22.5</v>
      </c>
      <c r="T4431">
        <v>938.10709999999995</v>
      </c>
      <c r="U4431">
        <v>272</v>
      </c>
      <c r="V4431">
        <v>0</v>
      </c>
      <c r="W4431">
        <v>117</v>
      </c>
      <c r="X4431">
        <v>658.10709999999995</v>
      </c>
      <c r="Y4431">
        <v>0</v>
      </c>
      <c r="Z4431">
        <v>117</v>
      </c>
      <c r="AA4431">
        <v>0</v>
      </c>
      <c r="AB4431">
        <v>8.2403130000000004</v>
      </c>
      <c r="AC4431">
        <v>2.0917740000000001E-2</v>
      </c>
      <c r="AD4431">
        <v>0.95732110000000004</v>
      </c>
      <c r="AE4431">
        <v>0.74550810000000001</v>
      </c>
      <c r="AF4431">
        <v>648</v>
      </c>
      <c r="AG4431">
        <f>IFERROR(AH4431*0.1, "N/A")</f>
        <v>6.2168370000000008</v>
      </c>
      <c r="AH4431">
        <v>62.168370000000003</v>
      </c>
      <c r="AI4431">
        <v>237.54339999999999</v>
      </c>
      <c r="AJ4431">
        <v>15.989800000000001</v>
      </c>
      <c r="AK4431">
        <v>51.744900000000001</v>
      </c>
    </row>
    <row r="4432" spans="1:37" x14ac:dyDescent="0.3">
      <c r="A4432">
        <v>4431</v>
      </c>
      <c r="B4432">
        <v>35.700000000000003</v>
      </c>
      <c r="C4432">
        <v>7.6069100000000001</v>
      </c>
      <c r="D4432">
        <v>11.729100000000001</v>
      </c>
      <c r="E4432" t="s">
        <v>6988</v>
      </c>
      <c r="F4432" t="s">
        <v>6989</v>
      </c>
      <c r="G4432" t="s">
        <v>39</v>
      </c>
      <c r="H4432">
        <v>1978</v>
      </c>
      <c r="I4432">
        <v>25.1</v>
      </c>
      <c r="J4432">
        <v>13.6</v>
      </c>
      <c r="K4432">
        <v>58</v>
      </c>
      <c r="L4432">
        <v>24.08</v>
      </c>
      <c r="M4432">
        <v>36.4</v>
      </c>
      <c r="N4432">
        <v>13.2</v>
      </c>
      <c r="O4432">
        <v>23.2</v>
      </c>
      <c r="P4432">
        <v>24.1</v>
      </c>
      <c r="Q4432">
        <v>22.5</v>
      </c>
      <c r="R4432">
        <v>28.7</v>
      </c>
      <c r="S4432">
        <v>22.5</v>
      </c>
      <c r="T4432">
        <v>939</v>
      </c>
      <c r="U4432">
        <v>272</v>
      </c>
      <c r="V4432">
        <v>0</v>
      </c>
      <c r="W4432">
        <v>117</v>
      </c>
      <c r="X4432">
        <v>659</v>
      </c>
      <c r="Y4432">
        <v>0</v>
      </c>
      <c r="Z4432">
        <v>117</v>
      </c>
      <c r="AA4432">
        <v>0</v>
      </c>
      <c r="AB4432">
        <v>4.2528300000000003</v>
      </c>
      <c r="AC4432">
        <v>4.5585220000000003E-2</v>
      </c>
      <c r="AD4432">
        <v>2.2714729999999999</v>
      </c>
      <c r="AE4432">
        <v>0.74454070000000006</v>
      </c>
      <c r="AF4432">
        <v>640.42219999999998</v>
      </c>
      <c r="AG4432">
        <f>IFERROR(AH4432*0.1, "N/A")</f>
        <v>6.1000000000000005</v>
      </c>
      <c r="AH4432">
        <v>61</v>
      </c>
      <c r="AI4432">
        <v>195.34899999999999</v>
      </c>
      <c r="AJ4432">
        <v>16.981200000000001</v>
      </c>
      <c r="AK4432">
        <v>52.037610000000001</v>
      </c>
    </row>
    <row r="4433" spans="1:37" x14ac:dyDescent="0.3">
      <c r="A4433">
        <v>4432</v>
      </c>
      <c r="B4433">
        <v>29.8</v>
      </c>
      <c r="C4433">
        <v>7.5745699999999996</v>
      </c>
      <c r="D4433">
        <v>11.7197</v>
      </c>
      <c r="E4433" t="s">
        <v>6990</v>
      </c>
      <c r="F4433" t="s">
        <v>6991</v>
      </c>
      <c r="G4433" t="s">
        <v>39</v>
      </c>
      <c r="H4433">
        <v>1978</v>
      </c>
      <c r="I4433">
        <v>25.1</v>
      </c>
      <c r="J4433">
        <v>13.6</v>
      </c>
      <c r="K4433">
        <v>58</v>
      </c>
      <c r="L4433">
        <v>23.913250000000001</v>
      </c>
      <c r="M4433">
        <v>36.4</v>
      </c>
      <c r="N4433">
        <v>13.2</v>
      </c>
      <c r="O4433">
        <v>23.2</v>
      </c>
      <c r="P4433">
        <v>24.1</v>
      </c>
      <c r="Q4433">
        <v>22.5</v>
      </c>
      <c r="R4433">
        <v>28.64838</v>
      </c>
      <c r="S4433">
        <v>22.5</v>
      </c>
      <c r="T4433">
        <v>943.54870000000005</v>
      </c>
      <c r="U4433">
        <v>272.51620000000003</v>
      </c>
      <c r="V4433">
        <v>0</v>
      </c>
      <c r="W4433">
        <v>118</v>
      </c>
      <c r="X4433">
        <v>661.03250000000003</v>
      </c>
      <c r="Y4433">
        <v>0</v>
      </c>
      <c r="Z4433">
        <v>118.5162</v>
      </c>
      <c r="AA4433">
        <v>0</v>
      </c>
      <c r="AB4433">
        <v>7.101051</v>
      </c>
      <c r="AC4433">
        <v>3.2633570000000001E-2</v>
      </c>
      <c r="AD4433">
        <v>1.320778</v>
      </c>
      <c r="AE4433">
        <v>0.76244800000000001</v>
      </c>
      <c r="AF4433">
        <v>642.66319999999996</v>
      </c>
      <c r="AG4433">
        <f>IFERROR(AH4433*0.1, "N/A")</f>
        <v>6.1297440000000005</v>
      </c>
      <c r="AH4433">
        <v>61.297440000000002</v>
      </c>
      <c r="AI4433">
        <v>127.9624</v>
      </c>
      <c r="AJ4433">
        <v>16.94359</v>
      </c>
      <c r="AK4433">
        <v>49.735039999999998</v>
      </c>
    </row>
    <row r="4434" spans="1:37" x14ac:dyDescent="0.3">
      <c r="A4434">
        <v>4433</v>
      </c>
      <c r="B4434">
        <v>1.8</v>
      </c>
      <c r="C4434">
        <v>7.4339399999999998</v>
      </c>
      <c r="D4434">
        <v>10.522500000000001</v>
      </c>
      <c r="E4434" t="s">
        <v>6992</v>
      </c>
      <c r="F4434" t="s">
        <v>6993</v>
      </c>
      <c r="G4434" t="s">
        <v>37</v>
      </c>
      <c r="H4434">
        <v>1956</v>
      </c>
      <c r="I4434">
        <v>25.2</v>
      </c>
      <c r="J4434">
        <v>12.8</v>
      </c>
      <c r="K4434">
        <v>62</v>
      </c>
      <c r="L4434">
        <v>16.15513</v>
      </c>
      <c r="M4434">
        <v>35.1</v>
      </c>
      <c r="N4434">
        <v>14.5</v>
      </c>
      <c r="O4434">
        <v>20.6</v>
      </c>
      <c r="P4434">
        <v>23.917439999999999</v>
      </c>
      <c r="Q4434">
        <v>24</v>
      </c>
      <c r="R4434">
        <v>27.6</v>
      </c>
      <c r="S4434">
        <v>23.8</v>
      </c>
      <c r="T4434">
        <v>1211</v>
      </c>
      <c r="U4434">
        <v>284</v>
      </c>
      <c r="V4434">
        <v>0</v>
      </c>
      <c r="W4434">
        <v>102</v>
      </c>
      <c r="X4434">
        <v>759</v>
      </c>
      <c r="Y4434">
        <v>2</v>
      </c>
      <c r="Z4434">
        <v>200</v>
      </c>
      <c r="AA4434">
        <v>4</v>
      </c>
      <c r="AB4434">
        <v>10.509589999999999</v>
      </c>
      <c r="AC4434">
        <v>4.926287E-2</v>
      </c>
      <c r="AD4434">
        <v>2.419079</v>
      </c>
      <c r="AE4434">
        <v>0.88267770000000001</v>
      </c>
      <c r="AF4434">
        <v>608.05129999999997</v>
      </c>
      <c r="AG4434">
        <f>IFERROR(AH4434*0.1, "N/A")</f>
        <v>6.6335040000000012</v>
      </c>
      <c r="AH4434">
        <v>66.335040000000006</v>
      </c>
      <c r="AI4434">
        <v>199.9496</v>
      </c>
      <c r="AJ4434">
        <v>25.998290000000001</v>
      </c>
      <c r="AK4434">
        <v>51.921370000000003</v>
      </c>
    </row>
    <row r="4435" spans="1:37" x14ac:dyDescent="0.3">
      <c r="A4435">
        <v>4434</v>
      </c>
      <c r="B4435">
        <v>53.8</v>
      </c>
      <c r="C4435">
        <v>3.3459699999999999</v>
      </c>
      <c r="D4435">
        <v>7.1595899999999997</v>
      </c>
      <c r="E4435" t="s">
        <v>6994</v>
      </c>
      <c r="F4435" t="s">
        <v>6995</v>
      </c>
      <c r="G4435" t="s">
        <v>39</v>
      </c>
      <c r="H4435">
        <v>1956</v>
      </c>
      <c r="I4435">
        <v>27.1</v>
      </c>
      <c r="J4435">
        <v>9</v>
      </c>
      <c r="K4435">
        <v>73</v>
      </c>
      <c r="L4435">
        <v>12.32</v>
      </c>
      <c r="M4435">
        <v>34.1</v>
      </c>
      <c r="N4435">
        <v>21.8</v>
      </c>
      <c r="O4435">
        <v>12.3</v>
      </c>
      <c r="P4435">
        <v>26.5</v>
      </c>
      <c r="Q4435">
        <v>27.9</v>
      </c>
      <c r="R4435">
        <v>28.7</v>
      </c>
      <c r="S4435">
        <v>25.4</v>
      </c>
      <c r="T4435">
        <v>1238</v>
      </c>
      <c r="U4435">
        <v>197</v>
      </c>
      <c r="V4435">
        <v>13</v>
      </c>
      <c r="W4435">
        <v>60</v>
      </c>
      <c r="X4435">
        <v>524</v>
      </c>
      <c r="Y4435">
        <v>55</v>
      </c>
      <c r="Z4435">
        <v>261</v>
      </c>
      <c r="AA4435">
        <v>405</v>
      </c>
      <c r="AB4435">
        <v>7.6333900000000003</v>
      </c>
      <c r="AC4435">
        <v>0.21201690000000001</v>
      </c>
      <c r="AD4435">
        <v>4.8474700000000004</v>
      </c>
      <c r="AE4435">
        <v>0.92982540000000002</v>
      </c>
      <c r="AF4435">
        <v>68.615650000000002</v>
      </c>
      <c r="AG4435">
        <f>IFERROR(AH4435*0.1, "N/A")</f>
        <v>6.8382610000000001</v>
      </c>
      <c r="AH4435">
        <v>68.38261</v>
      </c>
      <c r="AI4435">
        <v>170.23670000000001</v>
      </c>
      <c r="AJ4435">
        <v>20.72174</v>
      </c>
      <c r="AK4435">
        <v>64.191299999999998</v>
      </c>
    </row>
    <row r="4436" spans="1:37" x14ac:dyDescent="0.3">
      <c r="A4436">
        <v>4435</v>
      </c>
      <c r="B4436">
        <v>22.8</v>
      </c>
      <c r="C4436">
        <v>3.8966599999999998</v>
      </c>
      <c r="D4436">
        <v>7.3775500000000003</v>
      </c>
      <c r="E4436" t="s">
        <v>6996</v>
      </c>
      <c r="F4436" t="s">
        <v>6997</v>
      </c>
      <c r="G4436" t="s">
        <v>39</v>
      </c>
      <c r="H4436">
        <v>1956</v>
      </c>
      <c r="I4436">
        <v>26.5</v>
      </c>
      <c r="J4436">
        <v>9.3000000000000007</v>
      </c>
      <c r="K4436">
        <v>70</v>
      </c>
      <c r="L4436">
        <v>13.32</v>
      </c>
      <c r="M4436">
        <v>34</v>
      </c>
      <c r="N4436">
        <v>20.9</v>
      </c>
      <c r="O4436">
        <v>13.1</v>
      </c>
      <c r="P4436">
        <v>25.8</v>
      </c>
      <c r="Q4436">
        <v>27.3</v>
      </c>
      <c r="R4436">
        <v>28.2</v>
      </c>
      <c r="S4436">
        <v>24.6</v>
      </c>
      <c r="T4436">
        <v>1311</v>
      </c>
      <c r="U4436">
        <v>190</v>
      </c>
      <c r="V4436">
        <v>6</v>
      </c>
      <c r="W4436">
        <v>63</v>
      </c>
      <c r="X4436">
        <v>520</v>
      </c>
      <c r="Y4436">
        <v>40</v>
      </c>
      <c r="Z4436">
        <v>250</v>
      </c>
      <c r="AA4436">
        <v>481</v>
      </c>
      <c r="AB4436">
        <v>32.180630000000001</v>
      </c>
      <c r="AC4436">
        <v>1.029849E-2</v>
      </c>
      <c r="AD4436">
        <v>6.0333370000000004</v>
      </c>
      <c r="AE4436">
        <v>0.93522090000000002</v>
      </c>
      <c r="AF4436">
        <v>217.75389999999999</v>
      </c>
      <c r="AG4436">
        <f>IFERROR(AH4436*0.1, "N/A")</f>
        <v>6.7965100000000014</v>
      </c>
      <c r="AH4436">
        <v>67.965100000000007</v>
      </c>
      <c r="AI4436">
        <v>330.52839999999998</v>
      </c>
      <c r="AJ4436">
        <v>24.93019</v>
      </c>
      <c r="AK4436">
        <v>51.104709999999997</v>
      </c>
    </row>
    <row r="4437" spans="1:37" x14ac:dyDescent="0.3">
      <c r="A4437">
        <v>4436</v>
      </c>
      <c r="B4437">
        <v>0.5</v>
      </c>
      <c r="C4437">
        <v>3.4169399999999999</v>
      </c>
      <c r="D4437">
        <v>6.4447200000000002</v>
      </c>
      <c r="E4437" t="s">
        <v>6998</v>
      </c>
      <c r="F4437" t="s">
        <v>6999</v>
      </c>
      <c r="G4437" t="s">
        <v>39</v>
      </c>
      <c r="H4437">
        <v>1956</v>
      </c>
      <c r="I4437">
        <v>27</v>
      </c>
      <c r="J4437">
        <v>6.4</v>
      </c>
      <c r="K4437">
        <v>70</v>
      </c>
      <c r="L4437">
        <v>10.66161</v>
      </c>
      <c r="M4437">
        <v>31.8</v>
      </c>
      <c r="N4437">
        <v>22.7</v>
      </c>
      <c r="O4437">
        <v>9.1</v>
      </c>
      <c r="P4437">
        <v>26.5</v>
      </c>
      <c r="Q4437">
        <v>27.7</v>
      </c>
      <c r="R4437">
        <v>28.3</v>
      </c>
      <c r="S4437">
        <v>25.5</v>
      </c>
      <c r="T4437">
        <v>1712.799</v>
      </c>
      <c r="U4437">
        <v>391.9599</v>
      </c>
      <c r="V4437">
        <v>20</v>
      </c>
      <c r="W4437">
        <v>75</v>
      </c>
      <c r="X4437">
        <v>896.91970000000003</v>
      </c>
      <c r="Y4437">
        <v>90</v>
      </c>
      <c r="Z4437">
        <v>283.9599</v>
      </c>
      <c r="AA4437">
        <v>483.91969999999998</v>
      </c>
      <c r="AB4437">
        <v>1.524084</v>
      </c>
      <c r="AC4437">
        <v>0.2575731</v>
      </c>
      <c r="AD4437">
        <v>1.6632210000000001</v>
      </c>
      <c r="AE4437">
        <v>0.91558059999999997</v>
      </c>
      <c r="AF4437">
        <v>1.863874</v>
      </c>
      <c r="AG4437">
        <f>IFERROR(AH4437*0.1, "N/A")</f>
        <v>5.7898780000000007</v>
      </c>
      <c r="AH4437">
        <v>57.898780000000002</v>
      </c>
      <c r="AI4437">
        <v>153.24590000000001</v>
      </c>
      <c r="AJ4437">
        <v>32.898780000000002</v>
      </c>
      <c r="AK4437">
        <v>43.221640000000001</v>
      </c>
    </row>
    <row r="4438" spans="1:37" x14ac:dyDescent="0.3">
      <c r="A4438">
        <v>4437</v>
      </c>
      <c r="B4438">
        <v>32</v>
      </c>
      <c r="C4438">
        <v>7.7149599999999996</v>
      </c>
      <c r="D4438">
        <v>11.0845</v>
      </c>
      <c r="E4438" t="s">
        <v>7000</v>
      </c>
      <c r="F4438" t="s">
        <v>7001</v>
      </c>
      <c r="G4438" t="s">
        <v>39</v>
      </c>
      <c r="H4438">
        <v>1956</v>
      </c>
      <c r="I4438">
        <v>25</v>
      </c>
      <c r="J4438">
        <v>13.1</v>
      </c>
      <c r="K4438">
        <v>61</v>
      </c>
      <c r="L4438">
        <v>18.41</v>
      </c>
      <c r="M4438">
        <v>35.5</v>
      </c>
      <c r="N4438">
        <v>14.1</v>
      </c>
      <c r="O4438">
        <v>21.4</v>
      </c>
      <c r="P4438">
        <v>23.8</v>
      </c>
      <c r="Q4438">
        <v>23.1</v>
      </c>
      <c r="R4438">
        <v>27.7</v>
      </c>
      <c r="S4438">
        <v>23.1</v>
      </c>
      <c r="T4438">
        <v>1056</v>
      </c>
      <c r="U4438">
        <v>273</v>
      </c>
      <c r="V4438">
        <v>0</v>
      </c>
      <c r="W4438">
        <v>109</v>
      </c>
      <c r="X4438">
        <v>707</v>
      </c>
      <c r="Y4438">
        <v>1</v>
      </c>
      <c r="Z4438">
        <v>155</v>
      </c>
      <c r="AA4438">
        <v>1</v>
      </c>
      <c r="AB4438">
        <v>16.21077</v>
      </c>
      <c r="AC4438">
        <v>4.66197E-2</v>
      </c>
      <c r="AD4438">
        <v>1.5681799999999999</v>
      </c>
      <c r="AE4438">
        <v>0.89370130000000003</v>
      </c>
      <c r="AF4438">
        <v>639.72310000000004</v>
      </c>
      <c r="AG4438">
        <f>IFERROR(AH4438*0.1, "N/A")</f>
        <v>6.3295729999999999</v>
      </c>
      <c r="AH4438">
        <v>63.295729999999999</v>
      </c>
      <c r="AI4438">
        <v>54.815620000000003</v>
      </c>
      <c r="AJ4438">
        <v>27.13504</v>
      </c>
      <c r="AK4438">
        <v>50.490600000000001</v>
      </c>
    </row>
    <row r="4439" spans="1:37" x14ac:dyDescent="0.3">
      <c r="A4439">
        <v>4438</v>
      </c>
      <c r="B4439">
        <v>66.099999999999994</v>
      </c>
      <c r="C4439">
        <v>3.9796100000000001</v>
      </c>
      <c r="D4439">
        <v>6.5847499999999997</v>
      </c>
      <c r="E4439" t="s">
        <v>7002</v>
      </c>
      <c r="F4439" t="s">
        <v>7003</v>
      </c>
      <c r="G4439" t="s">
        <v>39</v>
      </c>
      <c r="H4439">
        <v>1956</v>
      </c>
      <c r="I4439">
        <v>27.5</v>
      </c>
      <c r="J4439">
        <v>7.4</v>
      </c>
      <c r="K4439">
        <v>70</v>
      </c>
      <c r="L4439">
        <v>11.42</v>
      </c>
      <c r="M4439">
        <v>33.200000000000003</v>
      </c>
      <c r="N4439">
        <v>22.7</v>
      </c>
      <c r="O4439">
        <v>10.5</v>
      </c>
      <c r="P4439">
        <v>26.9</v>
      </c>
      <c r="Q4439">
        <v>28.1</v>
      </c>
      <c r="R4439">
        <v>28.8</v>
      </c>
      <c r="S4439">
        <v>25.8</v>
      </c>
      <c r="T4439">
        <v>1694</v>
      </c>
      <c r="U4439">
        <v>324</v>
      </c>
      <c r="V4439">
        <v>19</v>
      </c>
      <c r="W4439">
        <v>69</v>
      </c>
      <c r="X4439">
        <v>821</v>
      </c>
      <c r="Y4439">
        <v>77</v>
      </c>
      <c r="Z4439">
        <v>259</v>
      </c>
      <c r="AA4439">
        <v>586</v>
      </c>
      <c r="AB4439">
        <v>21.501740000000002</v>
      </c>
      <c r="AC4439">
        <v>1.338988E-2</v>
      </c>
      <c r="AD4439">
        <v>2.8893580000000001</v>
      </c>
      <c r="AE4439">
        <v>0.82907710000000001</v>
      </c>
      <c r="AF4439">
        <v>25.693380000000001</v>
      </c>
      <c r="AG4439">
        <f>IFERROR(AH4439*0.1, "N/A")</f>
        <v>5.3367600000000008</v>
      </c>
      <c r="AH4439">
        <v>53.367600000000003</v>
      </c>
      <c r="AI4439">
        <v>189.3629</v>
      </c>
      <c r="AJ4439">
        <v>23.45993</v>
      </c>
      <c r="AK4439">
        <v>59.162019999999998</v>
      </c>
    </row>
    <row r="4440" spans="1:37" x14ac:dyDescent="0.3">
      <c r="A4440">
        <v>4439</v>
      </c>
      <c r="B4440">
        <v>18</v>
      </c>
      <c r="C4440">
        <v>13.1609</v>
      </c>
      <c r="D4440">
        <v>11.848800000000001</v>
      </c>
      <c r="E4440" t="s">
        <v>7004</v>
      </c>
      <c r="F4440" t="s">
        <v>7005</v>
      </c>
      <c r="G4440" t="s">
        <v>39</v>
      </c>
      <c r="H4440">
        <v>1956</v>
      </c>
      <c r="I4440">
        <v>25.8</v>
      </c>
      <c r="J4440">
        <v>15.1</v>
      </c>
      <c r="K4440">
        <v>57</v>
      </c>
      <c r="L4440">
        <v>27.42</v>
      </c>
      <c r="M4440">
        <v>38.299999999999997</v>
      </c>
      <c r="N4440">
        <v>11.9</v>
      </c>
      <c r="O4440">
        <v>26.4</v>
      </c>
      <c r="P4440">
        <v>25.7</v>
      </c>
      <c r="Q4440">
        <v>22.3</v>
      </c>
      <c r="R4440">
        <v>29.3</v>
      </c>
      <c r="S4440">
        <v>22.1</v>
      </c>
      <c r="T4440">
        <v>611</v>
      </c>
      <c r="U4440">
        <v>214</v>
      </c>
      <c r="V4440">
        <v>0</v>
      </c>
      <c r="W4440">
        <v>137</v>
      </c>
      <c r="X4440">
        <v>477</v>
      </c>
      <c r="Y4440">
        <v>0</v>
      </c>
      <c r="Z4440">
        <v>120</v>
      </c>
      <c r="AA4440">
        <v>0</v>
      </c>
      <c r="AB4440">
        <v>1.531555</v>
      </c>
      <c r="AC4440">
        <v>9.169066E-3</v>
      </c>
      <c r="AD4440">
        <v>1.5907180000000001</v>
      </c>
      <c r="AE4440">
        <v>0.92943480000000001</v>
      </c>
      <c r="AF4440">
        <v>321.56310000000002</v>
      </c>
      <c r="AG4440">
        <f>IFERROR(AH4440*0.1, "N/A")</f>
        <v>7.0064850000000014</v>
      </c>
      <c r="AH4440">
        <v>70.064850000000007</v>
      </c>
      <c r="AI4440">
        <v>223.125</v>
      </c>
      <c r="AJ4440">
        <v>39.35154</v>
      </c>
      <c r="AK4440">
        <v>41.209899999999998</v>
      </c>
    </row>
    <row r="4441" spans="1:37" x14ac:dyDescent="0.3">
      <c r="A4441">
        <v>4440</v>
      </c>
      <c r="B4441">
        <v>90</v>
      </c>
      <c r="C4441">
        <v>4.5259200000000002</v>
      </c>
      <c r="D4441">
        <v>12.745200000000001</v>
      </c>
      <c r="E4441" t="s">
        <v>7006</v>
      </c>
      <c r="F4441" t="s">
        <v>7007</v>
      </c>
      <c r="G4441" t="s">
        <v>39</v>
      </c>
      <c r="H4441">
        <v>1956</v>
      </c>
      <c r="I4441">
        <v>28.6</v>
      </c>
      <c r="J4441">
        <v>13.7</v>
      </c>
      <c r="K4441">
        <v>58</v>
      </c>
      <c r="L4441">
        <v>25.36</v>
      </c>
      <c r="M4441">
        <v>40.1</v>
      </c>
      <c r="N4441">
        <v>16.5</v>
      </c>
      <c r="O4441">
        <v>23.6</v>
      </c>
      <c r="P4441">
        <v>27.5</v>
      </c>
      <c r="Q4441">
        <v>25.6</v>
      </c>
      <c r="R4441">
        <v>32</v>
      </c>
      <c r="S4441">
        <v>25.6</v>
      </c>
      <c r="T4441">
        <v>723</v>
      </c>
      <c r="U4441">
        <v>209</v>
      </c>
      <c r="V4441">
        <v>1</v>
      </c>
      <c r="W4441">
        <v>115</v>
      </c>
      <c r="X4441">
        <v>509</v>
      </c>
      <c r="Y4441">
        <v>3</v>
      </c>
      <c r="Z4441">
        <v>169</v>
      </c>
      <c r="AA4441">
        <v>3</v>
      </c>
      <c r="AB4441">
        <v>13.506790000000001</v>
      </c>
      <c r="AC4441">
        <v>9.3751300000000006E-3</v>
      </c>
      <c r="AD4441">
        <v>0.82556660000000004</v>
      </c>
      <c r="AE4441">
        <v>0.88602080000000005</v>
      </c>
      <c r="AF4441">
        <v>224.56200000000001</v>
      </c>
      <c r="AG4441">
        <f>IFERROR(AH4441*0.1, "N/A")</f>
        <v>6.3370120000000005</v>
      </c>
      <c r="AH4441">
        <v>63.37012</v>
      </c>
      <c r="AI4441">
        <v>126.89</v>
      </c>
      <c r="AJ4441">
        <v>28.60951</v>
      </c>
      <c r="AK4441">
        <v>49.303899999999999</v>
      </c>
    </row>
    <row r="4442" spans="1:37" x14ac:dyDescent="0.3">
      <c r="A4442">
        <v>4441</v>
      </c>
      <c r="B4442">
        <v>0.8</v>
      </c>
      <c r="C4442">
        <v>3.4466670000000001</v>
      </c>
      <c r="D4442">
        <v>11.887779999999999</v>
      </c>
      <c r="E4442" t="s">
        <v>7008</v>
      </c>
      <c r="F4442" t="s">
        <v>7009</v>
      </c>
      <c r="G4442" t="s">
        <v>37</v>
      </c>
      <c r="H4442">
        <v>1986</v>
      </c>
      <c r="I4442">
        <v>29</v>
      </c>
      <c r="J4442">
        <v>12.6</v>
      </c>
      <c r="K4442">
        <v>57</v>
      </c>
      <c r="L4442">
        <v>24.73</v>
      </c>
      <c r="M4442">
        <v>40.299999999999997</v>
      </c>
      <c r="N4442">
        <v>18.3</v>
      </c>
      <c r="O4442">
        <v>22</v>
      </c>
      <c r="P4442">
        <v>27.2</v>
      </c>
      <c r="Q4442">
        <v>26.7</v>
      </c>
      <c r="R4442">
        <v>32.700000000000003</v>
      </c>
      <c r="S4442">
        <v>26.7</v>
      </c>
      <c r="T4442">
        <v>815</v>
      </c>
      <c r="U4442">
        <v>234</v>
      </c>
      <c r="V4442">
        <v>0</v>
      </c>
      <c r="W4442">
        <v>120</v>
      </c>
      <c r="X4442">
        <v>578</v>
      </c>
      <c r="Y4442">
        <v>1</v>
      </c>
      <c r="Z4442">
        <v>89</v>
      </c>
      <c r="AA4442">
        <v>1</v>
      </c>
      <c r="AB4442">
        <v>7.6232150000000001</v>
      </c>
      <c r="AC4442">
        <v>9.7818100000000002E-3</v>
      </c>
      <c r="AD4442">
        <v>1.2859259999999999</v>
      </c>
      <c r="AE4442">
        <v>0.90883729999999996</v>
      </c>
      <c r="AF4442">
        <v>177.92660000000001</v>
      </c>
      <c r="AG4442">
        <f>IFERROR(AH4442*0.1, "N/A")</f>
        <v>6.1000000000000005</v>
      </c>
      <c r="AH4442">
        <v>61</v>
      </c>
      <c r="AI4442">
        <v>196.36799999999999</v>
      </c>
      <c r="AJ4442">
        <v>15.977819999999999</v>
      </c>
      <c r="AK4442">
        <v>65.022180000000006</v>
      </c>
    </row>
    <row r="4443" spans="1:37" x14ac:dyDescent="0.3">
      <c r="A4443">
        <v>4442</v>
      </c>
      <c r="B4443">
        <v>76.7</v>
      </c>
      <c r="C4443">
        <v>1.45</v>
      </c>
      <c r="D4443">
        <v>14.216670000000001</v>
      </c>
      <c r="E4443" t="s">
        <v>7010</v>
      </c>
      <c r="F4443" t="s">
        <v>7011</v>
      </c>
      <c r="G4443" t="s">
        <v>39</v>
      </c>
      <c r="H4443">
        <v>0</v>
      </c>
      <c r="I4443">
        <v>29.616700000000002</v>
      </c>
      <c r="J4443">
        <v>14.1</v>
      </c>
      <c r="K4443">
        <v>57</v>
      </c>
      <c r="L4443">
        <v>29.046690000000002</v>
      </c>
      <c r="M4443">
        <v>41.216700000000003</v>
      </c>
      <c r="N4443">
        <v>16.638950000000001</v>
      </c>
      <c r="O4443">
        <v>24.577739999999999</v>
      </c>
      <c r="P4443">
        <v>29.416689999999999</v>
      </c>
      <c r="Q4443">
        <v>25.938949999999998</v>
      </c>
      <c r="R4443">
        <v>33.316690000000001</v>
      </c>
      <c r="S4443">
        <v>25.638950000000001</v>
      </c>
      <c r="T4443">
        <v>386.84989999999999</v>
      </c>
      <c r="U4443">
        <v>145.32040000000001</v>
      </c>
      <c r="V4443">
        <v>0</v>
      </c>
      <c r="W4443">
        <v>139.32040000000001</v>
      </c>
      <c r="X4443">
        <v>312.47390000000001</v>
      </c>
      <c r="Y4443">
        <v>0</v>
      </c>
      <c r="Z4443">
        <v>63.83305</v>
      </c>
      <c r="AA4443">
        <v>0</v>
      </c>
      <c r="AB4443">
        <v>22.515170000000001</v>
      </c>
      <c r="AC4443">
        <v>1.449893E-2</v>
      </c>
      <c r="AD4443">
        <v>1.8100069999999999</v>
      </c>
      <c r="AE4443">
        <v>0.53322899999999995</v>
      </c>
      <c r="AF4443">
        <v>222.30520000000001</v>
      </c>
      <c r="AG4443">
        <f>IFERROR(AH4443*0.1, "N/A")</f>
        <v>7.138954</v>
      </c>
      <c r="AH4443">
        <v>71.389539999999997</v>
      </c>
      <c r="AI4443">
        <v>153.79900000000001</v>
      </c>
      <c r="AJ4443">
        <v>18.61046</v>
      </c>
      <c r="AK4443">
        <v>67.779089999999997</v>
      </c>
    </row>
    <row r="4444" spans="1:37" x14ac:dyDescent="0.3">
      <c r="A4444">
        <v>4443</v>
      </c>
      <c r="B4444">
        <v>21.3</v>
      </c>
      <c r="C4444">
        <v>3.3166669999999998</v>
      </c>
      <c r="D4444">
        <v>14.351940000000001</v>
      </c>
      <c r="E4444" t="s">
        <v>7012</v>
      </c>
      <c r="F4444" t="s">
        <v>7013</v>
      </c>
      <c r="G4444" t="s">
        <v>39</v>
      </c>
      <c r="H4444">
        <v>0</v>
      </c>
      <c r="I4444">
        <v>29.158460000000002</v>
      </c>
      <c r="J4444">
        <v>13.9</v>
      </c>
      <c r="K4444">
        <v>56</v>
      </c>
      <c r="L4444">
        <v>29.43384</v>
      </c>
      <c r="M4444">
        <v>40.758459999999999</v>
      </c>
      <c r="N4444">
        <v>16.241540000000001</v>
      </c>
      <c r="O4444">
        <v>24.516919999999999</v>
      </c>
      <c r="P4444">
        <v>28.858460000000001</v>
      </c>
      <c r="Q4444">
        <v>27.1</v>
      </c>
      <c r="R4444">
        <v>32.958460000000002</v>
      </c>
      <c r="S4444">
        <v>25.141539999999999</v>
      </c>
      <c r="T4444">
        <v>363.41539999999998</v>
      </c>
      <c r="U4444">
        <v>130</v>
      </c>
      <c r="V4444">
        <v>0</v>
      </c>
      <c r="W4444">
        <v>143.41540000000001</v>
      </c>
      <c r="X4444">
        <v>296.41539999999998</v>
      </c>
      <c r="Y4444">
        <v>0</v>
      </c>
      <c r="Z4444">
        <v>61</v>
      </c>
      <c r="AA4444">
        <v>0</v>
      </c>
      <c r="AB4444">
        <v>1.5649919999999999</v>
      </c>
      <c r="AC4444">
        <v>191674</v>
      </c>
      <c r="AD4444">
        <v>2.3326479999999998</v>
      </c>
      <c r="AE4444">
        <v>0.50506200000000001</v>
      </c>
      <c r="AF4444">
        <v>218.89449999999999</v>
      </c>
      <c r="AG4444">
        <f>IFERROR(AH4444*0.1, "N/A")</f>
        <v>6.6003350000000003</v>
      </c>
      <c r="AH4444">
        <v>66.003349999999998</v>
      </c>
      <c r="AI4444">
        <v>191.49090000000001</v>
      </c>
      <c r="AJ4444">
        <v>13.27638</v>
      </c>
      <c r="AK4444">
        <v>75.430490000000006</v>
      </c>
    </row>
    <row r="4445" spans="1:37" x14ac:dyDescent="0.3">
      <c r="A4445">
        <v>4444</v>
      </c>
      <c r="B4445">
        <v>92.3</v>
      </c>
      <c r="C4445">
        <v>2.3024469999999999</v>
      </c>
      <c r="D4445">
        <v>13.718249999999999</v>
      </c>
      <c r="E4445" t="s">
        <v>7014</v>
      </c>
      <c r="F4445" t="s">
        <v>7015</v>
      </c>
      <c r="G4445" t="s">
        <v>39</v>
      </c>
      <c r="H4445">
        <v>0</v>
      </c>
      <c r="I4445">
        <v>28.9</v>
      </c>
      <c r="J4445">
        <v>14.4</v>
      </c>
      <c r="K4445">
        <v>56</v>
      </c>
      <c r="L4445">
        <v>28.94</v>
      </c>
      <c r="M4445">
        <v>41</v>
      </c>
      <c r="N4445">
        <v>15.5</v>
      </c>
      <c r="O4445">
        <v>25.5</v>
      </c>
      <c r="P4445">
        <v>28.3</v>
      </c>
      <c r="Q4445">
        <v>27.1</v>
      </c>
      <c r="R4445">
        <v>32.700000000000003</v>
      </c>
      <c r="S4445">
        <v>25.2</v>
      </c>
      <c r="T4445">
        <v>425</v>
      </c>
      <c r="U4445">
        <v>145</v>
      </c>
      <c r="V4445">
        <v>0</v>
      </c>
      <c r="W4445">
        <v>137</v>
      </c>
      <c r="X4445">
        <v>337</v>
      </c>
      <c r="Y4445">
        <v>0</v>
      </c>
      <c r="Z4445">
        <v>82</v>
      </c>
      <c r="AA4445">
        <v>0</v>
      </c>
      <c r="AB4445">
        <v>16.940740000000002</v>
      </c>
      <c r="AC4445">
        <v>2.00304E-2</v>
      </c>
      <c r="AD4445">
        <v>2.0509930000000001</v>
      </c>
      <c r="AE4445">
        <v>0.56394230000000001</v>
      </c>
      <c r="AF4445">
        <v>241.33330000000001</v>
      </c>
      <c r="AG4445">
        <f>IFERROR(AH4445*0.1, "N/A")</f>
        <v>6.2380470000000008</v>
      </c>
      <c r="AH4445">
        <v>62.380470000000003</v>
      </c>
      <c r="AI4445">
        <v>219.83869999999999</v>
      </c>
      <c r="AJ4445">
        <v>12.86195</v>
      </c>
      <c r="AK4445">
        <v>76.851849999999999</v>
      </c>
    </row>
    <row r="4446" spans="1:37" x14ac:dyDescent="0.3">
      <c r="A4446">
        <v>4445</v>
      </c>
      <c r="B4446">
        <v>35.9</v>
      </c>
      <c r="C4446">
        <v>3.6279300000000001</v>
      </c>
      <c r="D4446">
        <v>11.7121</v>
      </c>
      <c r="E4446" t="s">
        <v>7016</v>
      </c>
      <c r="F4446" t="s">
        <v>7017</v>
      </c>
      <c r="G4446" t="s">
        <v>39</v>
      </c>
      <c r="H4446">
        <v>0</v>
      </c>
      <c r="I4446">
        <v>28.8</v>
      </c>
      <c r="J4446">
        <v>12.8</v>
      </c>
      <c r="K4446">
        <v>57</v>
      </c>
      <c r="L4446">
        <v>24.32</v>
      </c>
      <c r="M4446">
        <v>39.9</v>
      </c>
      <c r="N4446">
        <v>17.7</v>
      </c>
      <c r="O4446">
        <v>22.2</v>
      </c>
      <c r="P4446">
        <v>27</v>
      </c>
      <c r="Q4446">
        <v>26.4</v>
      </c>
      <c r="R4446">
        <v>32.5</v>
      </c>
      <c r="S4446">
        <v>26.4</v>
      </c>
      <c r="T4446">
        <v>864</v>
      </c>
      <c r="U4446">
        <v>247</v>
      </c>
      <c r="V4446">
        <v>0</v>
      </c>
      <c r="W4446">
        <v>116</v>
      </c>
      <c r="X4446">
        <v>602</v>
      </c>
      <c r="Y4446">
        <v>1</v>
      </c>
      <c r="Z4446">
        <v>102</v>
      </c>
      <c r="AA4446">
        <v>1</v>
      </c>
      <c r="AB4446">
        <v>3.28146</v>
      </c>
      <c r="AC4446">
        <v>8.9287259999999997E-3</v>
      </c>
      <c r="AD4446">
        <v>1.297552</v>
      </c>
      <c r="AE4446">
        <v>0.7411818</v>
      </c>
      <c r="AF4446">
        <v>159.96600000000001</v>
      </c>
      <c r="AG4446">
        <f>IFERROR(AH4446*0.1, "N/A")</f>
        <v>5.0214290000000004</v>
      </c>
      <c r="AH4446">
        <v>50.214289999999998</v>
      </c>
      <c r="AI4446">
        <v>214.917</v>
      </c>
      <c r="AJ4446">
        <v>28.200679999999998</v>
      </c>
      <c r="AK4446">
        <v>49.972790000000003</v>
      </c>
    </row>
    <row r="4447" spans="1:37" x14ac:dyDescent="0.3">
      <c r="A4447">
        <v>4446</v>
      </c>
      <c r="B4447">
        <v>2</v>
      </c>
      <c r="C4447">
        <v>3.6333299999999999</v>
      </c>
      <c r="D4447">
        <v>11.716699999999999</v>
      </c>
      <c r="E4447" t="s">
        <v>7018</v>
      </c>
      <c r="F4447" t="s">
        <v>7019</v>
      </c>
      <c r="G4447" t="s">
        <v>39</v>
      </c>
      <c r="H4447">
        <v>1987</v>
      </c>
      <c r="I4447">
        <v>28.8</v>
      </c>
      <c r="J4447">
        <v>12.8</v>
      </c>
      <c r="K4447">
        <v>57</v>
      </c>
      <c r="L4447">
        <v>24.27375</v>
      </c>
      <c r="M4447">
        <v>39.83905</v>
      </c>
      <c r="N4447">
        <v>17.7</v>
      </c>
      <c r="O4447">
        <v>22.139050000000001</v>
      </c>
      <c r="P4447">
        <v>27</v>
      </c>
      <c r="Q4447">
        <v>26.439050000000002</v>
      </c>
      <c r="R4447">
        <v>32.488289999999999</v>
      </c>
      <c r="S4447">
        <v>26.439050000000002</v>
      </c>
      <c r="T4447">
        <v>862.7097</v>
      </c>
      <c r="U4447">
        <v>246.5076</v>
      </c>
      <c r="V4447">
        <v>0</v>
      </c>
      <c r="W4447">
        <v>116.4924</v>
      </c>
      <c r="X4447">
        <v>601.01530000000002</v>
      </c>
      <c r="Y4447">
        <v>1</v>
      </c>
      <c r="Z4447">
        <v>101.7963</v>
      </c>
      <c r="AA4447">
        <v>1</v>
      </c>
      <c r="AB4447">
        <v>1.0689299999999999</v>
      </c>
      <c r="AC4447">
        <v>1.5808180000000002E-2</v>
      </c>
      <c r="AD4447">
        <v>1.0196780000000001</v>
      </c>
      <c r="AE4447">
        <v>0.73806749999999999</v>
      </c>
      <c r="AF4447">
        <v>157.04239999999999</v>
      </c>
      <c r="AG4447">
        <f>IFERROR(AH4447*0.1, "N/A")</f>
        <v>5.5219020000000008</v>
      </c>
      <c r="AH4447">
        <v>55.21902</v>
      </c>
      <c r="AI4447">
        <v>148.91120000000001</v>
      </c>
      <c r="AJ4447">
        <v>14.34295</v>
      </c>
      <c r="AK4447">
        <v>66.876059999999995</v>
      </c>
    </row>
    <row r="4448" spans="1:37" x14ac:dyDescent="0.3">
      <c r="A4448">
        <v>4447</v>
      </c>
      <c r="B4448">
        <v>2</v>
      </c>
      <c r="C4448">
        <v>3.6333299999999999</v>
      </c>
      <c r="D4448">
        <v>11.716699999999999</v>
      </c>
      <c r="E4448" t="s">
        <v>7018</v>
      </c>
      <c r="F4448" t="s">
        <v>7020</v>
      </c>
      <c r="G4448" t="s">
        <v>37</v>
      </c>
      <c r="H4448">
        <v>1987</v>
      </c>
      <c r="I4448">
        <v>28.8</v>
      </c>
      <c r="J4448">
        <v>12.8</v>
      </c>
      <c r="K4448">
        <v>57</v>
      </c>
      <c r="L4448">
        <v>24.27375</v>
      </c>
      <c r="M4448">
        <v>39.83905</v>
      </c>
      <c r="N4448">
        <v>17.7</v>
      </c>
      <c r="O4448">
        <v>22.139050000000001</v>
      </c>
      <c r="P4448">
        <v>27</v>
      </c>
      <c r="Q4448">
        <v>26.439050000000002</v>
      </c>
      <c r="R4448">
        <v>32.488289999999999</v>
      </c>
      <c r="S4448">
        <v>26.439050000000002</v>
      </c>
      <c r="T4448">
        <v>862.7097</v>
      </c>
      <c r="U4448">
        <v>246.5076</v>
      </c>
      <c r="V4448">
        <v>0</v>
      </c>
      <c r="W4448">
        <v>116.4924</v>
      </c>
      <c r="X4448">
        <v>601.01530000000002</v>
      </c>
      <c r="Y4448">
        <v>1</v>
      </c>
      <c r="Z4448">
        <v>101.7963</v>
      </c>
      <c r="AA4448">
        <v>1</v>
      </c>
      <c r="AB4448">
        <v>1.0689299999999999</v>
      </c>
      <c r="AC4448">
        <v>1.5808180000000002E-2</v>
      </c>
      <c r="AD4448">
        <v>1.0196780000000001</v>
      </c>
      <c r="AE4448">
        <v>0.73806749999999999</v>
      </c>
      <c r="AF4448">
        <v>157.04239999999999</v>
      </c>
      <c r="AG4448">
        <f>IFERROR(AH4448*0.1, "N/A")</f>
        <v>5.5219020000000008</v>
      </c>
      <c r="AH4448">
        <v>55.21902</v>
      </c>
      <c r="AI4448">
        <v>148.91120000000001</v>
      </c>
      <c r="AJ4448">
        <v>14.34295</v>
      </c>
      <c r="AK4448">
        <v>66.876059999999995</v>
      </c>
    </row>
    <row r="4449" spans="1:37" x14ac:dyDescent="0.3">
      <c r="A4449">
        <v>4448</v>
      </c>
      <c r="B4449">
        <v>16.3</v>
      </c>
      <c r="C4449">
        <v>3.5666699999999998</v>
      </c>
      <c r="D4449">
        <v>11.783300000000001</v>
      </c>
      <c r="E4449" t="s">
        <v>7021</v>
      </c>
      <c r="F4449" t="s">
        <v>7022</v>
      </c>
      <c r="G4449" t="s">
        <v>39</v>
      </c>
      <c r="H4449">
        <v>1987</v>
      </c>
      <c r="I4449">
        <v>28.9</v>
      </c>
      <c r="J4449">
        <v>12.7</v>
      </c>
      <c r="K4449">
        <v>57</v>
      </c>
      <c r="L4449">
        <v>24.169029999999999</v>
      </c>
      <c r="M4449">
        <v>40</v>
      </c>
      <c r="N4449">
        <v>17.906469999999999</v>
      </c>
      <c r="O4449">
        <v>22.093530000000001</v>
      </c>
      <c r="P4449">
        <v>27.2</v>
      </c>
      <c r="Q4449">
        <v>26.5</v>
      </c>
      <c r="R4449">
        <v>32.5</v>
      </c>
      <c r="S4449">
        <v>26.5</v>
      </c>
      <c r="T4449">
        <v>839.80579999999998</v>
      </c>
      <c r="U4449">
        <v>240.46850000000001</v>
      </c>
      <c r="V4449">
        <v>0</v>
      </c>
      <c r="W4449">
        <v>117.7871</v>
      </c>
      <c r="X4449">
        <v>589.40200000000004</v>
      </c>
      <c r="Y4449">
        <v>1</v>
      </c>
      <c r="Z4449">
        <v>96</v>
      </c>
      <c r="AA4449">
        <v>1</v>
      </c>
      <c r="AB4449">
        <v>1.9834689999999999</v>
      </c>
      <c r="AC4449">
        <v>8.9131579999999992E-3</v>
      </c>
      <c r="AD4449">
        <v>0.88164160000000003</v>
      </c>
      <c r="AE4449">
        <v>0.50059279999999995</v>
      </c>
      <c r="AF4449">
        <v>157.6917</v>
      </c>
      <c r="AG4449">
        <f>IFERROR(AH4449*0.1, "N/A")</f>
        <v>5.6000000000000005</v>
      </c>
      <c r="AH4449">
        <v>56</v>
      </c>
      <c r="AI4449">
        <v>101.37</v>
      </c>
      <c r="AJ4449">
        <v>24.572399999999998</v>
      </c>
      <c r="AK4449">
        <v>54</v>
      </c>
    </row>
    <row r="4450" spans="1:37" x14ac:dyDescent="0.3">
      <c r="A4450">
        <v>4449</v>
      </c>
      <c r="B4450">
        <v>2</v>
      </c>
      <c r="C4450">
        <v>3.5666699999999998</v>
      </c>
      <c r="D4450">
        <v>11.783300000000001</v>
      </c>
      <c r="E4450" t="s">
        <v>7021</v>
      </c>
      <c r="F4450" t="s">
        <v>7023</v>
      </c>
      <c r="G4450" t="s">
        <v>37</v>
      </c>
      <c r="H4450">
        <v>1987</v>
      </c>
      <c r="I4450">
        <v>28.9</v>
      </c>
      <c r="J4450">
        <v>12.7</v>
      </c>
      <c r="K4450">
        <v>57</v>
      </c>
      <c r="L4450">
        <v>24.169029999999999</v>
      </c>
      <c r="M4450">
        <v>40</v>
      </c>
      <c r="N4450">
        <v>17.906469999999999</v>
      </c>
      <c r="O4450">
        <v>22.093530000000001</v>
      </c>
      <c r="P4450">
        <v>27.2</v>
      </c>
      <c r="Q4450">
        <v>26.5</v>
      </c>
      <c r="R4450">
        <v>32.5</v>
      </c>
      <c r="S4450">
        <v>26.5</v>
      </c>
      <c r="T4450">
        <v>839.80579999999998</v>
      </c>
      <c r="U4450">
        <v>240.46850000000001</v>
      </c>
      <c r="V4450">
        <v>0</v>
      </c>
      <c r="W4450">
        <v>117.7871</v>
      </c>
      <c r="X4450">
        <v>589.40200000000004</v>
      </c>
      <c r="Y4450">
        <v>1</v>
      </c>
      <c r="Z4450">
        <v>96</v>
      </c>
      <c r="AA4450">
        <v>1</v>
      </c>
      <c r="AB4450">
        <v>1.9834689999999999</v>
      </c>
      <c r="AC4450">
        <v>8.9131579999999992E-3</v>
      </c>
      <c r="AD4450">
        <v>0.88164160000000003</v>
      </c>
      <c r="AE4450">
        <v>0.50059279999999995</v>
      </c>
      <c r="AF4450">
        <v>157.6917</v>
      </c>
      <c r="AG4450">
        <f>IFERROR(AH4450*0.1, "N/A")</f>
        <v>5.6000000000000005</v>
      </c>
      <c r="AH4450">
        <v>56</v>
      </c>
      <c r="AI4450">
        <v>101.37</v>
      </c>
      <c r="AJ4450">
        <v>24.572399999999998</v>
      </c>
      <c r="AK4450">
        <v>54</v>
      </c>
    </row>
    <row r="4451" spans="1:37" x14ac:dyDescent="0.3">
      <c r="A4451">
        <v>4450</v>
      </c>
      <c r="B4451">
        <v>21.2</v>
      </c>
      <c r="C4451">
        <v>3.5553300000000001</v>
      </c>
      <c r="D4451">
        <v>11.79</v>
      </c>
      <c r="E4451" t="s">
        <v>7024</v>
      </c>
      <c r="F4451" t="s">
        <v>7025</v>
      </c>
      <c r="G4451" t="s">
        <v>39</v>
      </c>
      <c r="H4451">
        <v>0</v>
      </c>
      <c r="I4451">
        <v>28.9</v>
      </c>
      <c r="J4451">
        <v>12.7</v>
      </c>
      <c r="K4451">
        <v>57</v>
      </c>
      <c r="L4451">
        <v>24.63</v>
      </c>
      <c r="M4451">
        <v>40.1</v>
      </c>
      <c r="N4451">
        <v>18</v>
      </c>
      <c r="O4451">
        <v>22.1</v>
      </c>
      <c r="P4451">
        <v>27.2</v>
      </c>
      <c r="Q4451">
        <v>26.6</v>
      </c>
      <c r="R4451">
        <v>32.700000000000003</v>
      </c>
      <c r="S4451">
        <v>26.6</v>
      </c>
      <c r="T4451">
        <v>841</v>
      </c>
      <c r="U4451">
        <v>241</v>
      </c>
      <c r="V4451">
        <v>0</v>
      </c>
      <c r="W4451">
        <v>117</v>
      </c>
      <c r="X4451">
        <v>590</v>
      </c>
      <c r="Y4451">
        <v>1</v>
      </c>
      <c r="Z4451">
        <v>96</v>
      </c>
      <c r="AA4451">
        <v>1</v>
      </c>
      <c r="AB4451">
        <v>4.7428379999999999</v>
      </c>
      <c r="AC4451">
        <v>1.289937E-2</v>
      </c>
      <c r="AD4451">
        <v>2.052162</v>
      </c>
      <c r="AE4451">
        <v>0.64289470000000004</v>
      </c>
      <c r="AF4451">
        <v>161.86179999999999</v>
      </c>
      <c r="AG4451">
        <f>IFERROR(AH4451*0.1, "N/A")</f>
        <v>5.2</v>
      </c>
      <c r="AH4451">
        <v>52</v>
      </c>
      <c r="AI4451">
        <v>154.31010000000001</v>
      </c>
      <c r="AJ4451">
        <v>27</v>
      </c>
      <c r="AK4451">
        <v>53</v>
      </c>
    </row>
    <row r="4452" spans="1:37" x14ac:dyDescent="0.3">
      <c r="A4452">
        <v>4451</v>
      </c>
      <c r="B4452">
        <v>60</v>
      </c>
      <c r="C4452">
        <v>3.6230699999999998</v>
      </c>
      <c r="D4452">
        <v>11.796799999999999</v>
      </c>
      <c r="E4452" t="s">
        <v>7026</v>
      </c>
      <c r="F4452" t="s">
        <v>7027</v>
      </c>
      <c r="G4452" t="s">
        <v>39</v>
      </c>
      <c r="H4452">
        <v>0</v>
      </c>
      <c r="I4452">
        <v>28.8</v>
      </c>
      <c r="J4452">
        <v>12.7</v>
      </c>
      <c r="K4452">
        <v>57</v>
      </c>
      <c r="L4452">
        <v>24.37</v>
      </c>
      <c r="M4452">
        <v>39.9</v>
      </c>
      <c r="N4452">
        <v>17.8</v>
      </c>
      <c r="O4452">
        <v>22.1</v>
      </c>
      <c r="P4452">
        <v>27.1</v>
      </c>
      <c r="Q4452">
        <v>26.4</v>
      </c>
      <c r="R4452">
        <v>32.5</v>
      </c>
      <c r="S4452">
        <v>26.4</v>
      </c>
      <c r="T4452">
        <v>828</v>
      </c>
      <c r="U4452">
        <v>236</v>
      </c>
      <c r="V4452">
        <v>0</v>
      </c>
      <c r="W4452">
        <v>117</v>
      </c>
      <c r="X4452">
        <v>580</v>
      </c>
      <c r="Y4452">
        <v>1</v>
      </c>
      <c r="Z4452">
        <v>95</v>
      </c>
      <c r="AA4452">
        <v>1</v>
      </c>
      <c r="AB4452">
        <v>9.8503450000000008</v>
      </c>
      <c r="AC4452">
        <v>2.3641019999999999E-2</v>
      </c>
      <c r="AD4452">
        <v>1.8022899999999999</v>
      </c>
      <c r="AE4452">
        <v>0.75147249999999999</v>
      </c>
      <c r="AF4452">
        <v>165.9556</v>
      </c>
      <c r="AG4452">
        <f>IFERROR(AH4452*0.1, "N/A")</f>
        <v>5.8303750000000001</v>
      </c>
      <c r="AH4452">
        <v>58.303750000000001</v>
      </c>
      <c r="AI4452">
        <v>146.20089999999999</v>
      </c>
      <c r="AJ4452">
        <v>13.498290000000001</v>
      </c>
      <c r="AK4452">
        <v>70.872010000000003</v>
      </c>
    </row>
    <row r="4453" spans="1:37" x14ac:dyDescent="0.3">
      <c r="A4453">
        <v>4452</v>
      </c>
      <c r="B4453">
        <v>0</v>
      </c>
      <c r="C4453">
        <v>3.6230699999999998</v>
      </c>
      <c r="D4453">
        <v>11.796799999999999</v>
      </c>
      <c r="E4453" t="s">
        <v>7026</v>
      </c>
      <c r="F4453" t="s">
        <v>7028</v>
      </c>
      <c r="G4453" t="s">
        <v>37</v>
      </c>
      <c r="H4453">
        <v>0</v>
      </c>
      <c r="I4453">
        <v>28.8</v>
      </c>
      <c r="J4453">
        <v>12.7</v>
      </c>
      <c r="K4453">
        <v>57</v>
      </c>
      <c r="L4453">
        <v>24.37</v>
      </c>
      <c r="M4453">
        <v>39.9</v>
      </c>
      <c r="N4453">
        <v>17.8</v>
      </c>
      <c r="O4453">
        <v>22.1</v>
      </c>
      <c r="P4453">
        <v>27.1</v>
      </c>
      <c r="Q4453">
        <v>26.4</v>
      </c>
      <c r="R4453">
        <v>32.5</v>
      </c>
      <c r="S4453">
        <v>26.4</v>
      </c>
      <c r="T4453">
        <v>828</v>
      </c>
      <c r="U4453">
        <v>236</v>
      </c>
      <c r="V4453">
        <v>0</v>
      </c>
      <c r="W4453">
        <v>117</v>
      </c>
      <c r="X4453">
        <v>580</v>
      </c>
      <c r="Y4453">
        <v>1</v>
      </c>
      <c r="Z4453">
        <v>95</v>
      </c>
      <c r="AA4453">
        <v>1</v>
      </c>
      <c r="AB4453">
        <v>9.8503450000000008</v>
      </c>
      <c r="AC4453">
        <v>2.3641019999999999E-2</v>
      </c>
      <c r="AD4453">
        <v>1.8022899999999999</v>
      </c>
      <c r="AE4453">
        <v>0.75147249999999999</v>
      </c>
      <c r="AF4453">
        <v>165.9556</v>
      </c>
      <c r="AG4453">
        <f>IFERROR(AH4453*0.1, "N/A")</f>
        <v>5.8303750000000001</v>
      </c>
      <c r="AH4453">
        <v>58.303750000000001</v>
      </c>
      <c r="AI4453">
        <v>146.20089999999999</v>
      </c>
      <c r="AJ4453">
        <v>13.498290000000001</v>
      </c>
      <c r="AK4453">
        <v>70.872010000000003</v>
      </c>
    </row>
    <row r="4454" spans="1:37" x14ac:dyDescent="0.3">
      <c r="A4454">
        <v>4453</v>
      </c>
      <c r="B4454">
        <v>60</v>
      </c>
      <c r="C4454">
        <v>3.6231</v>
      </c>
      <c r="D4454">
        <v>11.796799999999999</v>
      </c>
      <c r="E4454" t="s">
        <v>7029</v>
      </c>
      <c r="F4454" t="s">
        <v>7030</v>
      </c>
      <c r="G4454" t="s">
        <v>39</v>
      </c>
      <c r="H4454">
        <v>0</v>
      </c>
      <c r="I4454">
        <v>28.8</v>
      </c>
      <c r="J4454">
        <v>12.7</v>
      </c>
      <c r="K4454">
        <v>57</v>
      </c>
      <c r="L4454">
        <v>24.37</v>
      </c>
      <c r="M4454">
        <v>39.9</v>
      </c>
      <c r="N4454">
        <v>17.8</v>
      </c>
      <c r="O4454">
        <v>22.1</v>
      </c>
      <c r="P4454">
        <v>27.1</v>
      </c>
      <c r="Q4454">
        <v>26.4</v>
      </c>
      <c r="R4454">
        <v>32.5</v>
      </c>
      <c r="S4454">
        <v>26.4</v>
      </c>
      <c r="T4454">
        <v>828</v>
      </c>
      <c r="U4454">
        <v>236</v>
      </c>
      <c r="V4454">
        <v>0</v>
      </c>
      <c r="W4454">
        <v>117</v>
      </c>
      <c r="X4454">
        <v>580</v>
      </c>
      <c r="Y4454">
        <v>1</v>
      </c>
      <c r="Z4454">
        <v>95</v>
      </c>
      <c r="AA4454">
        <v>1</v>
      </c>
      <c r="AB4454">
        <v>9.7892159999999997</v>
      </c>
      <c r="AC4454">
        <v>2.4266659999999999E-2</v>
      </c>
      <c r="AD4454">
        <v>1.8335920000000001</v>
      </c>
      <c r="AE4454">
        <v>0.75147249999999999</v>
      </c>
      <c r="AF4454">
        <v>165.8716</v>
      </c>
      <c r="AG4454">
        <f>IFERROR(AH4454*0.1, "N/A")</f>
        <v>5.8311640000000002</v>
      </c>
      <c r="AH4454">
        <v>58.311639999999997</v>
      </c>
      <c r="AI4454">
        <v>145.00790000000001</v>
      </c>
      <c r="AJ4454">
        <v>13.52055</v>
      </c>
      <c r="AK4454">
        <v>70.839039999999997</v>
      </c>
    </row>
    <row r="4455" spans="1:37" x14ac:dyDescent="0.3">
      <c r="A4455">
        <v>4454</v>
      </c>
      <c r="B4455">
        <v>0</v>
      </c>
      <c r="C4455">
        <v>3.6231</v>
      </c>
      <c r="D4455">
        <v>11.796799999999999</v>
      </c>
      <c r="E4455" t="s">
        <v>7029</v>
      </c>
      <c r="F4455" t="s">
        <v>7031</v>
      </c>
      <c r="G4455" t="s">
        <v>37</v>
      </c>
      <c r="H4455">
        <v>0</v>
      </c>
      <c r="I4455">
        <v>28.8</v>
      </c>
      <c r="J4455">
        <v>12.7</v>
      </c>
      <c r="K4455">
        <v>57</v>
      </c>
      <c r="L4455">
        <v>24.37</v>
      </c>
      <c r="M4455">
        <v>39.9</v>
      </c>
      <c r="N4455">
        <v>17.8</v>
      </c>
      <c r="O4455">
        <v>22.1</v>
      </c>
      <c r="P4455">
        <v>27.1</v>
      </c>
      <c r="Q4455">
        <v>26.4</v>
      </c>
      <c r="R4455">
        <v>32.5</v>
      </c>
      <c r="S4455">
        <v>26.4</v>
      </c>
      <c r="T4455">
        <v>828</v>
      </c>
      <c r="U4455">
        <v>236</v>
      </c>
      <c r="V4455">
        <v>0</v>
      </c>
      <c r="W4455">
        <v>117</v>
      </c>
      <c r="X4455">
        <v>580</v>
      </c>
      <c r="Y4455">
        <v>1</v>
      </c>
      <c r="Z4455">
        <v>95</v>
      </c>
      <c r="AA4455">
        <v>1</v>
      </c>
      <c r="AB4455">
        <v>9.7892159999999997</v>
      </c>
      <c r="AC4455">
        <v>2.4266659999999999E-2</v>
      </c>
      <c r="AD4455">
        <v>1.8335920000000001</v>
      </c>
      <c r="AE4455">
        <v>0.75147249999999999</v>
      </c>
      <c r="AF4455">
        <v>165.8716</v>
      </c>
      <c r="AG4455">
        <f>IFERROR(AH4455*0.1, "N/A")</f>
        <v>5.8311640000000002</v>
      </c>
      <c r="AH4455">
        <v>58.311639999999997</v>
      </c>
      <c r="AI4455">
        <v>145.00790000000001</v>
      </c>
      <c r="AJ4455">
        <v>13.52055</v>
      </c>
      <c r="AK4455">
        <v>70.839039999999997</v>
      </c>
    </row>
    <row r="4456" spans="1:37" x14ac:dyDescent="0.3">
      <c r="A4456">
        <v>4455</v>
      </c>
      <c r="B4456">
        <v>22.4</v>
      </c>
      <c r="C4456">
        <v>3.6166700000000001</v>
      </c>
      <c r="D4456">
        <v>11.8</v>
      </c>
      <c r="E4456" t="s">
        <v>7032</v>
      </c>
      <c r="F4456" t="s">
        <v>7033</v>
      </c>
      <c r="G4456" t="s">
        <v>39</v>
      </c>
      <c r="H4456">
        <v>1987</v>
      </c>
      <c r="I4456">
        <v>28.789269999999998</v>
      </c>
      <c r="J4456">
        <v>12.7</v>
      </c>
      <c r="K4456">
        <v>57</v>
      </c>
      <c r="L4456">
        <v>24.195589999999999</v>
      </c>
      <c r="M4456">
        <v>39.889270000000003</v>
      </c>
      <c r="N4456">
        <v>17.789269999999998</v>
      </c>
      <c r="O4456">
        <v>22.1</v>
      </c>
      <c r="P4456">
        <v>27.060140000000001</v>
      </c>
      <c r="Q4456">
        <v>26.38927</v>
      </c>
      <c r="R4456">
        <v>32.42624</v>
      </c>
      <c r="S4456">
        <v>26.38927</v>
      </c>
      <c r="T4456">
        <v>826.25210000000004</v>
      </c>
      <c r="U4456">
        <v>235.5247</v>
      </c>
      <c r="V4456">
        <v>0</v>
      </c>
      <c r="W4456">
        <v>117.29130000000001</v>
      </c>
      <c r="X4456">
        <v>578.94209999999998</v>
      </c>
      <c r="Y4456">
        <v>1</v>
      </c>
      <c r="Z4456">
        <v>94.892669999999995</v>
      </c>
      <c r="AA4456">
        <v>1</v>
      </c>
      <c r="AB4456">
        <v>31.167629999999999</v>
      </c>
      <c r="AC4456">
        <v>1.4402770000000001E-2</v>
      </c>
      <c r="AD4456">
        <v>5.0765310000000001</v>
      </c>
      <c r="AE4456">
        <v>0.70807310000000001</v>
      </c>
      <c r="AF4456">
        <v>186.47020000000001</v>
      </c>
      <c r="AG4456">
        <f>IFERROR(AH4456*0.1, "N/A")</f>
        <v>6.0006810000000002</v>
      </c>
      <c r="AH4456">
        <v>60.006810000000002</v>
      </c>
      <c r="AI4456">
        <v>138.7963</v>
      </c>
      <c r="AJ4456">
        <v>15.70017</v>
      </c>
      <c r="AK4456">
        <v>66.660989999999998</v>
      </c>
    </row>
    <row r="4457" spans="1:37" x14ac:dyDescent="0.3">
      <c r="A4457">
        <v>4456</v>
      </c>
      <c r="B4457">
        <v>18.399999999999999</v>
      </c>
      <c r="C4457">
        <v>3.6166700000000001</v>
      </c>
      <c r="D4457">
        <v>11.8</v>
      </c>
      <c r="E4457" t="s">
        <v>7032</v>
      </c>
      <c r="F4457" t="s">
        <v>7034</v>
      </c>
      <c r="G4457" t="s">
        <v>37</v>
      </c>
      <c r="H4457">
        <v>1987</v>
      </c>
      <c r="I4457">
        <v>28.789269999999998</v>
      </c>
      <c r="J4457">
        <v>12.7</v>
      </c>
      <c r="K4457">
        <v>57</v>
      </c>
      <c r="L4457">
        <v>24.195589999999999</v>
      </c>
      <c r="M4457">
        <v>39.889270000000003</v>
      </c>
      <c r="N4457">
        <v>17.789269999999998</v>
      </c>
      <c r="O4457">
        <v>22.1</v>
      </c>
      <c r="P4457">
        <v>27.060140000000001</v>
      </c>
      <c r="Q4457">
        <v>26.38927</v>
      </c>
      <c r="R4457">
        <v>32.42624</v>
      </c>
      <c r="S4457">
        <v>26.38927</v>
      </c>
      <c r="T4457">
        <v>826.25210000000004</v>
      </c>
      <c r="U4457">
        <v>235.5247</v>
      </c>
      <c r="V4457">
        <v>0</v>
      </c>
      <c r="W4457">
        <v>117.29130000000001</v>
      </c>
      <c r="X4457">
        <v>578.94209999999998</v>
      </c>
      <c r="Y4457">
        <v>1</v>
      </c>
      <c r="Z4457">
        <v>94.892669999999995</v>
      </c>
      <c r="AA4457">
        <v>1</v>
      </c>
      <c r="AB4457">
        <v>31.167629999999999</v>
      </c>
      <c r="AC4457">
        <v>1.4402770000000001E-2</v>
      </c>
      <c r="AD4457">
        <v>5.0765310000000001</v>
      </c>
      <c r="AE4457">
        <v>0.70807310000000001</v>
      </c>
      <c r="AF4457">
        <v>186.47020000000001</v>
      </c>
      <c r="AG4457">
        <f>IFERROR(AH4457*0.1, "N/A")</f>
        <v>6.0006810000000002</v>
      </c>
      <c r="AH4457">
        <v>60.006810000000002</v>
      </c>
      <c r="AI4457">
        <v>138.7963</v>
      </c>
      <c r="AJ4457">
        <v>15.70017</v>
      </c>
      <c r="AK4457">
        <v>66.660989999999998</v>
      </c>
    </row>
    <row r="4458" spans="1:37" x14ac:dyDescent="0.3">
      <c r="A4458">
        <v>4457</v>
      </c>
      <c r="B4458">
        <v>12.2</v>
      </c>
      <c r="C4458">
        <v>3.5522800000000001</v>
      </c>
      <c r="D4458">
        <v>11.8391</v>
      </c>
      <c r="E4458" t="s">
        <v>7035</v>
      </c>
      <c r="F4458" t="s">
        <v>7036</v>
      </c>
      <c r="G4458" t="s">
        <v>39</v>
      </c>
      <c r="H4458">
        <v>1987</v>
      </c>
      <c r="I4458">
        <v>29</v>
      </c>
      <c r="J4458">
        <v>12.7</v>
      </c>
      <c r="K4458">
        <v>57</v>
      </c>
      <c r="L4458">
        <v>24.26</v>
      </c>
      <c r="M4458">
        <v>40.1</v>
      </c>
      <c r="N4458">
        <v>18.100000000000001</v>
      </c>
      <c r="O4458">
        <v>22</v>
      </c>
      <c r="P4458">
        <v>27.2</v>
      </c>
      <c r="Q4458">
        <v>26.6</v>
      </c>
      <c r="R4458">
        <v>32.6</v>
      </c>
      <c r="S4458">
        <v>26.6</v>
      </c>
      <c r="T4458">
        <v>814</v>
      </c>
      <c r="U4458">
        <v>233</v>
      </c>
      <c r="V4458">
        <v>0</v>
      </c>
      <c r="W4458">
        <v>119</v>
      </c>
      <c r="X4458">
        <v>573</v>
      </c>
      <c r="Y4458">
        <v>1</v>
      </c>
      <c r="Z4458">
        <v>92</v>
      </c>
      <c r="AA4458">
        <v>1</v>
      </c>
      <c r="AB4458">
        <v>1.213924</v>
      </c>
      <c r="AC4458">
        <v>9.5773899999999999E-3</v>
      </c>
      <c r="AD4458">
        <v>1.3669070000000001</v>
      </c>
      <c r="AE4458">
        <v>0.67809960000000002</v>
      </c>
      <c r="AF4458">
        <v>160.62649999999999</v>
      </c>
      <c r="AG4458">
        <f>IFERROR(AH4458*0.1, "N/A")</f>
        <v>5.4164690000000002</v>
      </c>
      <c r="AH4458">
        <v>54.16469</v>
      </c>
      <c r="AI4458">
        <v>166.9853</v>
      </c>
      <c r="AJ4458">
        <v>19.156199999999998</v>
      </c>
      <c r="AK4458">
        <v>61.222410000000004</v>
      </c>
    </row>
    <row r="4459" spans="1:37" x14ac:dyDescent="0.3">
      <c r="A4459">
        <v>4458</v>
      </c>
      <c r="B4459">
        <v>0</v>
      </c>
      <c r="C4459">
        <v>3.5522800000000001</v>
      </c>
      <c r="D4459">
        <v>11.8391</v>
      </c>
      <c r="E4459" t="s">
        <v>7035</v>
      </c>
      <c r="F4459" t="s">
        <v>7037</v>
      </c>
      <c r="G4459" t="s">
        <v>37</v>
      </c>
      <c r="H4459">
        <v>1987</v>
      </c>
      <c r="I4459">
        <v>29</v>
      </c>
      <c r="J4459">
        <v>12.7</v>
      </c>
      <c r="K4459">
        <v>57</v>
      </c>
      <c r="L4459">
        <v>24.26</v>
      </c>
      <c r="M4459">
        <v>40.1</v>
      </c>
      <c r="N4459">
        <v>18.100000000000001</v>
      </c>
      <c r="O4459">
        <v>22</v>
      </c>
      <c r="P4459">
        <v>27.2</v>
      </c>
      <c r="Q4459">
        <v>26.6</v>
      </c>
      <c r="R4459">
        <v>32.6</v>
      </c>
      <c r="S4459">
        <v>26.6</v>
      </c>
      <c r="T4459">
        <v>814</v>
      </c>
      <c r="U4459">
        <v>233</v>
      </c>
      <c r="V4459">
        <v>0</v>
      </c>
      <c r="W4459">
        <v>119</v>
      </c>
      <c r="X4459">
        <v>573</v>
      </c>
      <c r="Y4459">
        <v>1</v>
      </c>
      <c r="Z4459">
        <v>92</v>
      </c>
      <c r="AA4459">
        <v>1</v>
      </c>
      <c r="AB4459">
        <v>1.213924</v>
      </c>
      <c r="AC4459">
        <v>9.5773899999999999E-3</v>
      </c>
      <c r="AD4459">
        <v>1.3669070000000001</v>
      </c>
      <c r="AE4459">
        <v>0.67809960000000002</v>
      </c>
      <c r="AF4459">
        <v>160.62649999999999</v>
      </c>
      <c r="AG4459">
        <f>IFERROR(AH4459*0.1, "N/A")</f>
        <v>5.4164690000000002</v>
      </c>
      <c r="AH4459">
        <v>54.16469</v>
      </c>
      <c r="AI4459">
        <v>166.9853</v>
      </c>
      <c r="AJ4459">
        <v>19.156199999999998</v>
      </c>
      <c r="AK4459">
        <v>61.222410000000004</v>
      </c>
    </row>
    <row r="4460" spans="1:37" x14ac:dyDescent="0.3">
      <c r="A4460">
        <v>4459</v>
      </c>
      <c r="B4460">
        <v>70.599999999999994</v>
      </c>
      <c r="C4460">
        <v>3.5895999999999999</v>
      </c>
      <c r="D4460">
        <v>11.8786</v>
      </c>
      <c r="E4460" t="s">
        <v>7038</v>
      </c>
      <c r="F4460" t="s">
        <v>7039</v>
      </c>
      <c r="G4460" t="s">
        <v>39</v>
      </c>
      <c r="H4460">
        <v>0</v>
      </c>
      <c r="I4460">
        <v>28.8</v>
      </c>
      <c r="J4460">
        <v>12.7</v>
      </c>
      <c r="K4460">
        <v>57</v>
      </c>
      <c r="L4460">
        <v>24.2</v>
      </c>
      <c r="M4460">
        <v>40</v>
      </c>
      <c r="N4460">
        <v>17.899999999999999</v>
      </c>
      <c r="O4460">
        <v>22.1</v>
      </c>
      <c r="P4460">
        <v>27.1</v>
      </c>
      <c r="Q4460">
        <v>26.9</v>
      </c>
      <c r="R4460">
        <v>32.4</v>
      </c>
      <c r="S4460">
        <v>26.5</v>
      </c>
      <c r="T4460">
        <v>782</v>
      </c>
      <c r="U4460">
        <v>222</v>
      </c>
      <c r="V4460">
        <v>0</v>
      </c>
      <c r="W4460">
        <v>118</v>
      </c>
      <c r="X4460">
        <v>551</v>
      </c>
      <c r="Y4460">
        <v>0</v>
      </c>
      <c r="Z4460">
        <v>88</v>
      </c>
      <c r="AA4460">
        <v>1</v>
      </c>
      <c r="AB4460">
        <v>15.693519999999999</v>
      </c>
      <c r="AC4460">
        <v>9.0109830000000002E-3</v>
      </c>
      <c r="AD4460">
        <v>1.7045380000000001</v>
      </c>
      <c r="AE4460">
        <v>0.68751050000000002</v>
      </c>
      <c r="AF4460">
        <v>185.65020000000001</v>
      </c>
      <c r="AG4460">
        <f>IFERROR(AH4460*0.1, "N/A")</f>
        <v>5.8595560000000004</v>
      </c>
      <c r="AH4460">
        <v>58.595559999999999</v>
      </c>
      <c r="AI4460">
        <v>141.06479999999999</v>
      </c>
      <c r="AJ4460">
        <v>9.1638230000000007</v>
      </c>
      <c r="AK4460">
        <v>80.496589999999998</v>
      </c>
    </row>
    <row r="4461" spans="1:37" x14ac:dyDescent="0.3">
      <c r="A4461">
        <v>4460</v>
      </c>
      <c r="B4461">
        <v>3.3</v>
      </c>
      <c r="C4461">
        <v>3.5895999999999999</v>
      </c>
      <c r="D4461">
        <v>11.8786</v>
      </c>
      <c r="E4461" t="s">
        <v>7038</v>
      </c>
      <c r="F4461" t="s">
        <v>7040</v>
      </c>
      <c r="G4461" t="s">
        <v>37</v>
      </c>
      <c r="H4461">
        <v>0</v>
      </c>
      <c r="I4461">
        <v>28.8</v>
      </c>
      <c r="J4461">
        <v>12.7</v>
      </c>
      <c r="K4461">
        <v>57</v>
      </c>
      <c r="L4461">
        <v>24.2</v>
      </c>
      <c r="M4461">
        <v>40</v>
      </c>
      <c r="N4461">
        <v>17.899999999999999</v>
      </c>
      <c r="O4461">
        <v>22.1</v>
      </c>
      <c r="P4461">
        <v>27.1</v>
      </c>
      <c r="Q4461">
        <v>26.9</v>
      </c>
      <c r="R4461">
        <v>32.4</v>
      </c>
      <c r="S4461">
        <v>26.5</v>
      </c>
      <c r="T4461">
        <v>782</v>
      </c>
      <c r="U4461">
        <v>222</v>
      </c>
      <c r="V4461">
        <v>0</v>
      </c>
      <c r="W4461">
        <v>118</v>
      </c>
      <c r="X4461">
        <v>551</v>
      </c>
      <c r="Y4461">
        <v>0</v>
      </c>
      <c r="Z4461">
        <v>88</v>
      </c>
      <c r="AA4461">
        <v>1</v>
      </c>
      <c r="AB4461">
        <v>15.693519999999999</v>
      </c>
      <c r="AC4461">
        <v>9.0109830000000002E-3</v>
      </c>
      <c r="AD4461">
        <v>1.7045380000000001</v>
      </c>
      <c r="AE4461">
        <v>0.68751050000000002</v>
      </c>
      <c r="AF4461">
        <v>185.65020000000001</v>
      </c>
      <c r="AG4461">
        <f>IFERROR(AH4461*0.1, "N/A")</f>
        <v>5.8595560000000004</v>
      </c>
      <c r="AH4461">
        <v>58.595559999999999</v>
      </c>
      <c r="AI4461">
        <v>141.06479999999999</v>
      </c>
      <c r="AJ4461">
        <v>9.1638230000000007</v>
      </c>
      <c r="AK4461">
        <v>80.496589999999998</v>
      </c>
    </row>
    <row r="4462" spans="1:37" x14ac:dyDescent="0.3">
      <c r="A4462">
        <v>4461</v>
      </c>
      <c r="B4462">
        <v>82</v>
      </c>
      <c r="C4462">
        <v>3.5961099999999999</v>
      </c>
      <c r="D4462">
        <v>11.8847</v>
      </c>
      <c r="E4462" t="s">
        <v>7041</v>
      </c>
      <c r="F4462" t="s">
        <v>7042</v>
      </c>
      <c r="G4462" t="s">
        <v>39</v>
      </c>
      <c r="H4462">
        <v>1987</v>
      </c>
      <c r="I4462">
        <v>28.9</v>
      </c>
      <c r="J4462">
        <v>12.7</v>
      </c>
      <c r="K4462">
        <v>57</v>
      </c>
      <c r="L4462">
        <v>24.41</v>
      </c>
      <c r="M4462">
        <v>40.200000000000003</v>
      </c>
      <c r="N4462">
        <v>18</v>
      </c>
      <c r="O4462">
        <v>22.2</v>
      </c>
      <c r="P4462">
        <v>27.2</v>
      </c>
      <c r="Q4462">
        <v>26.9</v>
      </c>
      <c r="R4462">
        <v>32.6</v>
      </c>
      <c r="S4462">
        <v>26.5</v>
      </c>
      <c r="T4462">
        <v>778</v>
      </c>
      <c r="U4462">
        <v>221</v>
      </c>
      <c r="V4462">
        <v>0</v>
      </c>
      <c r="W4462">
        <v>119</v>
      </c>
      <c r="X4462">
        <v>548</v>
      </c>
      <c r="Y4462">
        <v>0</v>
      </c>
      <c r="Z4462">
        <v>87</v>
      </c>
      <c r="AA4462">
        <v>1</v>
      </c>
      <c r="AB4462">
        <v>3.3750390000000001</v>
      </c>
      <c r="AC4462">
        <v>9.7549440000000001E-2</v>
      </c>
      <c r="AD4462">
        <v>1.9413279999999999</v>
      </c>
      <c r="AE4462">
        <v>0.71002600000000005</v>
      </c>
      <c r="AF4462">
        <v>167.0204</v>
      </c>
      <c r="AG4462">
        <f>IFERROR(AH4462*0.1, "N/A")</f>
        <v>6.1865870000000003</v>
      </c>
      <c r="AH4462">
        <v>61.865870000000001</v>
      </c>
      <c r="AI4462">
        <v>65.626379999999997</v>
      </c>
      <c r="AJ4462">
        <v>16.052630000000001</v>
      </c>
      <c r="AK4462">
        <v>66.295419999999993</v>
      </c>
    </row>
    <row r="4463" spans="1:37" x14ac:dyDescent="0.3">
      <c r="A4463">
        <v>4462</v>
      </c>
      <c r="B4463">
        <v>24</v>
      </c>
      <c r="C4463">
        <v>3.5961099999999999</v>
      </c>
      <c r="D4463">
        <v>11.8847</v>
      </c>
      <c r="E4463" t="s">
        <v>7041</v>
      </c>
      <c r="F4463" t="s">
        <v>7043</v>
      </c>
      <c r="G4463" t="s">
        <v>37</v>
      </c>
      <c r="H4463">
        <v>1987</v>
      </c>
      <c r="I4463">
        <v>28.9</v>
      </c>
      <c r="J4463">
        <v>12.7</v>
      </c>
      <c r="K4463">
        <v>57</v>
      </c>
      <c r="L4463">
        <v>24.41</v>
      </c>
      <c r="M4463">
        <v>40.200000000000003</v>
      </c>
      <c r="N4463">
        <v>18</v>
      </c>
      <c r="O4463">
        <v>22.2</v>
      </c>
      <c r="P4463">
        <v>27.2</v>
      </c>
      <c r="Q4463">
        <v>26.9</v>
      </c>
      <c r="R4463">
        <v>32.6</v>
      </c>
      <c r="S4463">
        <v>26.5</v>
      </c>
      <c r="T4463">
        <v>778</v>
      </c>
      <c r="U4463">
        <v>221</v>
      </c>
      <c r="V4463">
        <v>0</v>
      </c>
      <c r="W4463">
        <v>119</v>
      </c>
      <c r="X4463">
        <v>548</v>
      </c>
      <c r="Y4463">
        <v>0</v>
      </c>
      <c r="Z4463">
        <v>87</v>
      </c>
      <c r="AA4463">
        <v>1</v>
      </c>
      <c r="AB4463">
        <v>3.3750390000000001</v>
      </c>
      <c r="AC4463">
        <v>9.7549440000000001E-2</v>
      </c>
      <c r="AD4463">
        <v>1.9413279999999999</v>
      </c>
      <c r="AE4463">
        <v>0.71002600000000005</v>
      </c>
      <c r="AF4463">
        <v>167.0204</v>
      </c>
      <c r="AG4463">
        <f>IFERROR(AH4463*0.1, "N/A")</f>
        <v>6.1865870000000003</v>
      </c>
      <c r="AH4463">
        <v>61.865870000000001</v>
      </c>
      <c r="AI4463">
        <v>65.626379999999997</v>
      </c>
      <c r="AJ4463">
        <v>16.052630000000001</v>
      </c>
      <c r="AK4463">
        <v>66.295419999999993</v>
      </c>
    </row>
    <row r="4464" spans="1:37" x14ac:dyDescent="0.3">
      <c r="A4464">
        <v>4463</v>
      </c>
      <c r="B4464">
        <v>2</v>
      </c>
      <c r="C4464">
        <v>3.4466700000000001</v>
      </c>
      <c r="D4464">
        <v>11.8878</v>
      </c>
      <c r="E4464" t="s">
        <v>7044</v>
      </c>
      <c r="F4464" t="s">
        <v>7045</v>
      </c>
      <c r="G4464" t="s">
        <v>39</v>
      </c>
      <c r="H4464">
        <v>1987</v>
      </c>
      <c r="I4464">
        <v>29</v>
      </c>
      <c r="J4464">
        <v>12.6</v>
      </c>
      <c r="K4464">
        <v>57</v>
      </c>
      <c r="L4464">
        <v>24.73</v>
      </c>
      <c r="M4464">
        <v>40.299999999999997</v>
      </c>
      <c r="N4464">
        <v>18.3</v>
      </c>
      <c r="O4464">
        <v>22</v>
      </c>
      <c r="P4464">
        <v>27.2</v>
      </c>
      <c r="Q4464">
        <v>26.7</v>
      </c>
      <c r="R4464">
        <v>32.700000000000003</v>
      </c>
      <c r="S4464">
        <v>26.7</v>
      </c>
      <c r="T4464">
        <v>815</v>
      </c>
      <c r="U4464">
        <v>234</v>
      </c>
      <c r="V4464">
        <v>0</v>
      </c>
      <c r="W4464">
        <v>120</v>
      </c>
      <c r="X4464">
        <v>578</v>
      </c>
      <c r="Y4464">
        <v>1</v>
      </c>
      <c r="Z4464">
        <v>89</v>
      </c>
      <c r="AA4464">
        <v>1</v>
      </c>
      <c r="AB4464">
        <v>7.6953909999999999</v>
      </c>
      <c r="AC4464">
        <v>9.8557469999999998E-3</v>
      </c>
      <c r="AD4464">
        <v>1.2930200000000001</v>
      </c>
      <c r="AE4464">
        <v>0.90883729999999996</v>
      </c>
      <c r="AF4464">
        <v>177.9624</v>
      </c>
      <c r="AG4464">
        <f>IFERROR(AH4464*0.1, "N/A")</f>
        <v>6.1000000000000005</v>
      </c>
      <c r="AH4464">
        <v>61</v>
      </c>
      <c r="AI4464">
        <v>195.43430000000001</v>
      </c>
      <c r="AJ4464">
        <v>15.97949</v>
      </c>
      <c r="AK4464">
        <v>65.020510000000002</v>
      </c>
    </row>
    <row r="4465" spans="1:37" x14ac:dyDescent="0.3">
      <c r="A4465">
        <v>4464</v>
      </c>
      <c r="B4465">
        <v>0</v>
      </c>
      <c r="C4465">
        <v>3.4466700000000001</v>
      </c>
      <c r="D4465">
        <v>11.8878</v>
      </c>
      <c r="E4465" t="s">
        <v>7044</v>
      </c>
      <c r="F4465" t="s">
        <v>7046</v>
      </c>
      <c r="G4465" t="s">
        <v>37</v>
      </c>
      <c r="H4465">
        <v>1987</v>
      </c>
      <c r="I4465">
        <v>29</v>
      </c>
      <c r="J4465">
        <v>12.6</v>
      </c>
      <c r="K4465">
        <v>57</v>
      </c>
      <c r="L4465">
        <v>24.73</v>
      </c>
      <c r="M4465">
        <v>40.299999999999997</v>
      </c>
      <c r="N4465">
        <v>18.3</v>
      </c>
      <c r="O4465">
        <v>22</v>
      </c>
      <c r="P4465">
        <v>27.2</v>
      </c>
      <c r="Q4465">
        <v>26.7</v>
      </c>
      <c r="R4465">
        <v>32.700000000000003</v>
      </c>
      <c r="S4465">
        <v>26.7</v>
      </c>
      <c r="T4465">
        <v>815</v>
      </c>
      <c r="U4465">
        <v>234</v>
      </c>
      <c r="V4465">
        <v>0</v>
      </c>
      <c r="W4465">
        <v>120</v>
      </c>
      <c r="X4465">
        <v>578</v>
      </c>
      <c r="Y4465">
        <v>1</v>
      </c>
      <c r="Z4465">
        <v>89</v>
      </c>
      <c r="AA4465">
        <v>1</v>
      </c>
      <c r="AB4465">
        <v>7.6953909999999999</v>
      </c>
      <c r="AC4465">
        <v>9.8557469999999998E-3</v>
      </c>
      <c r="AD4465">
        <v>1.2930200000000001</v>
      </c>
      <c r="AE4465">
        <v>0.90883729999999996</v>
      </c>
      <c r="AF4465">
        <v>177.9624</v>
      </c>
      <c r="AG4465">
        <f>IFERROR(AH4465*0.1, "N/A")</f>
        <v>6.1000000000000005</v>
      </c>
      <c r="AH4465">
        <v>61</v>
      </c>
      <c r="AI4465">
        <v>195.43430000000001</v>
      </c>
      <c r="AJ4465">
        <v>15.97949</v>
      </c>
      <c r="AK4465">
        <v>65.020510000000002</v>
      </c>
    </row>
    <row r="4466" spans="1:37" x14ac:dyDescent="0.3">
      <c r="A4466">
        <v>4465</v>
      </c>
      <c r="B4466">
        <v>25.3</v>
      </c>
      <c r="C4466">
        <v>3.49</v>
      </c>
      <c r="D4466">
        <v>11.888</v>
      </c>
      <c r="E4466" t="s">
        <v>7047</v>
      </c>
      <c r="F4466" t="s">
        <v>7048</v>
      </c>
      <c r="G4466" t="s">
        <v>39</v>
      </c>
      <c r="H4466">
        <v>1987</v>
      </c>
      <c r="I4466">
        <v>28.9</v>
      </c>
      <c r="J4466">
        <v>12.6</v>
      </c>
      <c r="K4466">
        <v>57</v>
      </c>
      <c r="L4466">
        <v>24.31</v>
      </c>
      <c r="M4466">
        <v>40.1</v>
      </c>
      <c r="N4466">
        <v>18.100000000000001</v>
      </c>
      <c r="O4466">
        <v>22</v>
      </c>
      <c r="P4466">
        <v>27.1</v>
      </c>
      <c r="Q4466">
        <v>26.5</v>
      </c>
      <c r="R4466">
        <v>32.5</v>
      </c>
      <c r="S4466">
        <v>26.5</v>
      </c>
      <c r="T4466">
        <v>802</v>
      </c>
      <c r="U4466">
        <v>229</v>
      </c>
      <c r="V4466">
        <v>0</v>
      </c>
      <c r="W4466">
        <v>120</v>
      </c>
      <c r="X4466">
        <v>567</v>
      </c>
      <c r="Y4466">
        <v>1</v>
      </c>
      <c r="Z4466">
        <v>90</v>
      </c>
      <c r="AA4466">
        <v>1</v>
      </c>
      <c r="AB4466">
        <v>23.665980000000001</v>
      </c>
      <c r="AC4466">
        <v>9.784226E-3</v>
      </c>
      <c r="AD4466">
        <v>2.0462310000000001</v>
      </c>
      <c r="AE4466">
        <v>0.68080850000000004</v>
      </c>
      <c r="AF4466">
        <v>205.4786</v>
      </c>
      <c r="AG4466">
        <f>IFERROR(AH4466*0.1, "N/A")</f>
        <v>5.9</v>
      </c>
      <c r="AH4466">
        <v>59</v>
      </c>
      <c r="AI4466">
        <v>67.338740000000001</v>
      </c>
      <c r="AJ4466">
        <v>17</v>
      </c>
      <c r="AK4466">
        <v>65</v>
      </c>
    </row>
    <row r="4467" spans="1:37" x14ac:dyDescent="0.3">
      <c r="A4467">
        <v>4466</v>
      </c>
      <c r="B4467">
        <v>2</v>
      </c>
      <c r="C4467">
        <v>3.3333300000000001</v>
      </c>
      <c r="D4467">
        <v>11.9</v>
      </c>
      <c r="E4467" t="s">
        <v>7049</v>
      </c>
      <c r="F4467" t="s">
        <v>7050</v>
      </c>
      <c r="G4467" t="s">
        <v>39</v>
      </c>
      <c r="H4467">
        <v>1987</v>
      </c>
      <c r="I4467">
        <v>29</v>
      </c>
      <c r="J4467">
        <v>12.7</v>
      </c>
      <c r="K4467">
        <v>57</v>
      </c>
      <c r="L4467">
        <v>24.595120000000001</v>
      </c>
      <c r="M4467">
        <v>40.200000000000003</v>
      </c>
      <c r="N4467">
        <v>18.100000000000001</v>
      </c>
      <c r="O4467">
        <v>22.1</v>
      </c>
      <c r="P4467">
        <v>27.2</v>
      </c>
      <c r="Q4467">
        <v>26.612120000000001</v>
      </c>
      <c r="R4467">
        <v>32.687539999999998</v>
      </c>
      <c r="S4467">
        <v>26.612120000000001</v>
      </c>
      <c r="T4467">
        <v>828.34810000000004</v>
      </c>
      <c r="U4467">
        <v>239.40780000000001</v>
      </c>
      <c r="V4467">
        <v>0</v>
      </c>
      <c r="W4467">
        <v>119</v>
      </c>
      <c r="X4467">
        <v>586.40959999999995</v>
      </c>
      <c r="Y4467">
        <v>1</v>
      </c>
      <c r="Z4467">
        <v>89.469279999999998</v>
      </c>
      <c r="AA4467">
        <v>1</v>
      </c>
      <c r="AB4467">
        <v>19.337029999999999</v>
      </c>
      <c r="AC4467">
        <v>1.340832E-2</v>
      </c>
      <c r="AD4467">
        <v>1.216499</v>
      </c>
      <c r="AE4467">
        <v>0.66228869999999995</v>
      </c>
      <c r="AF4467">
        <v>179.4539</v>
      </c>
      <c r="AG4467">
        <f>IFERROR(AH4467*0.1, "N/A")</f>
        <v>6.1245730000000007</v>
      </c>
      <c r="AH4467">
        <v>61.245730000000002</v>
      </c>
      <c r="AI4467">
        <v>109.6108</v>
      </c>
      <c r="AJ4467">
        <v>7.7542660000000003</v>
      </c>
      <c r="AK4467">
        <v>78.491470000000007</v>
      </c>
    </row>
    <row r="4468" spans="1:37" x14ac:dyDescent="0.3">
      <c r="A4468">
        <v>4467</v>
      </c>
      <c r="B4468">
        <v>0</v>
      </c>
      <c r="C4468">
        <v>3.3333300000000001</v>
      </c>
      <c r="D4468">
        <v>11.9</v>
      </c>
      <c r="E4468" t="s">
        <v>7049</v>
      </c>
      <c r="F4468" t="s">
        <v>7051</v>
      </c>
      <c r="G4468" t="s">
        <v>37</v>
      </c>
      <c r="H4468">
        <v>1987</v>
      </c>
      <c r="I4468">
        <v>29</v>
      </c>
      <c r="J4468">
        <v>12.7</v>
      </c>
      <c r="K4468">
        <v>57</v>
      </c>
      <c r="L4468">
        <v>24.595120000000001</v>
      </c>
      <c r="M4468">
        <v>40.200000000000003</v>
      </c>
      <c r="N4468">
        <v>18.100000000000001</v>
      </c>
      <c r="O4468">
        <v>22.1</v>
      </c>
      <c r="P4468">
        <v>27.2</v>
      </c>
      <c r="Q4468">
        <v>26.612120000000001</v>
      </c>
      <c r="R4468">
        <v>32.687539999999998</v>
      </c>
      <c r="S4468">
        <v>26.612120000000001</v>
      </c>
      <c r="T4468">
        <v>828.34810000000004</v>
      </c>
      <c r="U4468">
        <v>239.40780000000001</v>
      </c>
      <c r="V4468">
        <v>0</v>
      </c>
      <c r="W4468">
        <v>119</v>
      </c>
      <c r="X4468">
        <v>586.40959999999995</v>
      </c>
      <c r="Y4468">
        <v>1</v>
      </c>
      <c r="Z4468">
        <v>89.469279999999998</v>
      </c>
      <c r="AA4468">
        <v>1</v>
      </c>
      <c r="AB4468">
        <v>19.337029999999999</v>
      </c>
      <c r="AC4468">
        <v>1.340832E-2</v>
      </c>
      <c r="AD4468">
        <v>1.216499</v>
      </c>
      <c r="AE4468">
        <v>0.66228869999999995</v>
      </c>
      <c r="AF4468">
        <v>179.4539</v>
      </c>
      <c r="AG4468">
        <f>IFERROR(AH4468*0.1, "N/A")</f>
        <v>6.1245730000000007</v>
      </c>
      <c r="AH4468">
        <v>61.245730000000002</v>
      </c>
      <c r="AI4468">
        <v>109.6108</v>
      </c>
      <c r="AJ4468">
        <v>7.7542660000000003</v>
      </c>
      <c r="AK4468">
        <v>78.491470000000007</v>
      </c>
    </row>
    <row r="4469" spans="1:37" x14ac:dyDescent="0.3">
      <c r="A4469">
        <v>4468</v>
      </c>
      <c r="B4469">
        <v>4.0999999999999996</v>
      </c>
      <c r="C4469">
        <v>3.3166699999999998</v>
      </c>
      <c r="D4469">
        <v>11.9833</v>
      </c>
      <c r="E4469" t="s">
        <v>7052</v>
      </c>
      <c r="F4469" t="s">
        <v>7053</v>
      </c>
      <c r="G4469" t="s">
        <v>39</v>
      </c>
      <c r="H4469">
        <v>1987</v>
      </c>
      <c r="I4469">
        <v>28.888780000000001</v>
      </c>
      <c r="J4469">
        <v>12.8</v>
      </c>
      <c r="K4469">
        <v>57</v>
      </c>
      <c r="L4469">
        <v>24.439340000000001</v>
      </c>
      <c r="M4469">
        <v>40.110370000000003</v>
      </c>
      <c r="N4469">
        <v>17.921600000000002</v>
      </c>
      <c r="O4469">
        <v>22.188780000000001</v>
      </c>
      <c r="P4469">
        <v>27.121600000000001</v>
      </c>
      <c r="Q4469">
        <v>26.709859999999999</v>
      </c>
      <c r="R4469">
        <v>32.521599999999999</v>
      </c>
      <c r="S4469">
        <v>26.488779999999998</v>
      </c>
      <c r="T4469">
        <v>752.44730000000004</v>
      </c>
      <c r="U4469">
        <v>216.71600000000001</v>
      </c>
      <c r="V4469">
        <v>0</v>
      </c>
      <c r="W4469">
        <v>118.9269</v>
      </c>
      <c r="X4469">
        <v>534.05949999999996</v>
      </c>
      <c r="Y4469">
        <v>0.37244899999999997</v>
      </c>
      <c r="Z4469">
        <v>79.671769999999995</v>
      </c>
      <c r="AA4469">
        <v>1</v>
      </c>
      <c r="AB4469">
        <v>9.3799290000000006</v>
      </c>
      <c r="AC4469">
        <v>2.4725759999999999E-2</v>
      </c>
      <c r="AD4469">
        <v>0.92411880000000002</v>
      </c>
      <c r="AE4469">
        <v>0.68789920000000004</v>
      </c>
      <c r="AF4469">
        <v>206.7432</v>
      </c>
      <c r="AG4469">
        <f>IFERROR(AH4469*0.1, "N/A")</f>
        <v>5.6573130000000003</v>
      </c>
      <c r="AH4469">
        <v>56.573129999999999</v>
      </c>
      <c r="AI4469">
        <v>97.405360000000002</v>
      </c>
      <c r="AJ4469">
        <v>14.01871</v>
      </c>
      <c r="AK4469">
        <v>67.588440000000006</v>
      </c>
    </row>
    <row r="4470" spans="1:37" x14ac:dyDescent="0.3">
      <c r="A4470">
        <v>4469</v>
      </c>
      <c r="B4470">
        <v>0</v>
      </c>
      <c r="C4470">
        <v>3.3166699999999998</v>
      </c>
      <c r="D4470">
        <v>11.9833</v>
      </c>
      <c r="E4470" t="s">
        <v>7052</v>
      </c>
      <c r="F4470" t="s">
        <v>7054</v>
      </c>
      <c r="G4470" t="s">
        <v>37</v>
      </c>
      <c r="H4470">
        <v>1987</v>
      </c>
      <c r="I4470">
        <v>28.888780000000001</v>
      </c>
      <c r="J4470">
        <v>12.8</v>
      </c>
      <c r="K4470">
        <v>57</v>
      </c>
      <c r="L4470">
        <v>24.439340000000001</v>
      </c>
      <c r="M4470">
        <v>40.110370000000003</v>
      </c>
      <c r="N4470">
        <v>17.921600000000002</v>
      </c>
      <c r="O4470">
        <v>22.188780000000001</v>
      </c>
      <c r="P4470">
        <v>27.121600000000001</v>
      </c>
      <c r="Q4470">
        <v>26.709859999999999</v>
      </c>
      <c r="R4470">
        <v>32.521599999999999</v>
      </c>
      <c r="S4470">
        <v>26.488779999999998</v>
      </c>
      <c r="T4470">
        <v>752.44730000000004</v>
      </c>
      <c r="U4470">
        <v>216.71600000000001</v>
      </c>
      <c r="V4470">
        <v>0</v>
      </c>
      <c r="W4470">
        <v>118.9269</v>
      </c>
      <c r="X4470">
        <v>534.05949999999996</v>
      </c>
      <c r="Y4470">
        <v>0.37244899999999997</v>
      </c>
      <c r="Z4470">
        <v>79.671769999999995</v>
      </c>
      <c r="AA4470">
        <v>1</v>
      </c>
      <c r="AB4470">
        <v>9.3799290000000006</v>
      </c>
      <c r="AC4470">
        <v>2.4725759999999999E-2</v>
      </c>
      <c r="AD4470">
        <v>0.92411880000000002</v>
      </c>
      <c r="AE4470">
        <v>0.68789920000000004</v>
      </c>
      <c r="AF4470">
        <v>206.7432</v>
      </c>
      <c r="AG4470">
        <f>IFERROR(AH4470*0.1, "N/A")</f>
        <v>5.6573130000000003</v>
      </c>
      <c r="AH4470">
        <v>56.573129999999999</v>
      </c>
      <c r="AI4470">
        <v>97.405360000000002</v>
      </c>
      <c r="AJ4470">
        <v>14.01871</v>
      </c>
      <c r="AK4470">
        <v>67.588440000000006</v>
      </c>
    </row>
    <row r="4471" spans="1:37" x14ac:dyDescent="0.3">
      <c r="A4471">
        <v>4470</v>
      </c>
      <c r="B4471">
        <v>16</v>
      </c>
      <c r="C4471">
        <v>3.5833300000000001</v>
      </c>
      <c r="D4471">
        <v>11.9833</v>
      </c>
      <c r="E4471" t="s">
        <v>7055</v>
      </c>
      <c r="F4471" t="s">
        <v>7056</v>
      </c>
      <c r="G4471" t="s">
        <v>39</v>
      </c>
      <c r="H4471">
        <v>1987</v>
      </c>
      <c r="I4471">
        <v>28.983499999999999</v>
      </c>
      <c r="J4471">
        <v>12.729760000000001</v>
      </c>
      <c r="K4471">
        <v>57</v>
      </c>
      <c r="L4471">
        <v>24.36553</v>
      </c>
      <c r="M4471">
        <v>40.183500000000002</v>
      </c>
      <c r="N4471">
        <v>18.037590000000002</v>
      </c>
      <c r="O4471">
        <v>22.14592</v>
      </c>
      <c r="P4471">
        <v>27.3</v>
      </c>
      <c r="Q4471">
        <v>28.9</v>
      </c>
      <c r="R4471">
        <v>32.583500000000001</v>
      </c>
      <c r="S4471">
        <v>26.553740000000001</v>
      </c>
      <c r="T4471">
        <v>727.69389999999999</v>
      </c>
      <c r="U4471">
        <v>204.67349999999999</v>
      </c>
      <c r="V4471">
        <v>0</v>
      </c>
      <c r="W4471">
        <v>120</v>
      </c>
      <c r="X4471">
        <v>516.0204</v>
      </c>
      <c r="Y4471">
        <v>0</v>
      </c>
      <c r="Z4471">
        <v>77.673469999999995</v>
      </c>
      <c r="AA4471">
        <v>0</v>
      </c>
      <c r="AB4471">
        <v>2.6952440000000002</v>
      </c>
      <c r="AC4471">
        <v>1858.9649999999999</v>
      </c>
      <c r="AD4471">
        <v>1.6774420000000001</v>
      </c>
      <c r="AE4471">
        <v>0.68210040000000005</v>
      </c>
      <c r="AF4471">
        <v>165.9864</v>
      </c>
      <c r="AG4471">
        <f>IFERROR(AH4471*0.1, "N/A")</f>
        <v>5.3047620000000002</v>
      </c>
      <c r="AH4471">
        <v>53.047620000000002</v>
      </c>
      <c r="AI4471">
        <v>218.68459999999999</v>
      </c>
      <c r="AJ4471">
        <v>28.68027</v>
      </c>
      <c r="AK4471">
        <v>48.857140000000001</v>
      </c>
    </row>
    <row r="4472" spans="1:37" x14ac:dyDescent="0.3">
      <c r="A4472">
        <v>4471</v>
      </c>
      <c r="B4472">
        <v>26</v>
      </c>
      <c r="C4472">
        <v>3.5833300000000001</v>
      </c>
      <c r="D4472">
        <v>11.9833</v>
      </c>
      <c r="E4472" t="s">
        <v>7055</v>
      </c>
      <c r="F4472" t="s">
        <v>7057</v>
      </c>
      <c r="G4472" t="s">
        <v>37</v>
      </c>
      <c r="H4472">
        <v>1987</v>
      </c>
      <c r="I4472">
        <v>28.983499999999999</v>
      </c>
      <c r="J4472">
        <v>12.729760000000001</v>
      </c>
      <c r="K4472">
        <v>57</v>
      </c>
      <c r="L4472">
        <v>24.36553</v>
      </c>
      <c r="M4472">
        <v>40.183500000000002</v>
      </c>
      <c r="N4472">
        <v>18.037590000000002</v>
      </c>
      <c r="O4472">
        <v>22.14592</v>
      </c>
      <c r="P4472">
        <v>27.3</v>
      </c>
      <c r="Q4472">
        <v>28.9</v>
      </c>
      <c r="R4472">
        <v>32.583500000000001</v>
      </c>
      <c r="S4472">
        <v>26.553740000000001</v>
      </c>
      <c r="T4472">
        <v>727.69389999999999</v>
      </c>
      <c r="U4472">
        <v>204.67349999999999</v>
      </c>
      <c r="V4472">
        <v>0</v>
      </c>
      <c r="W4472">
        <v>120</v>
      </c>
      <c r="X4472">
        <v>516.0204</v>
      </c>
      <c r="Y4472">
        <v>0</v>
      </c>
      <c r="Z4472">
        <v>77.673469999999995</v>
      </c>
      <c r="AA4472">
        <v>0</v>
      </c>
      <c r="AB4472">
        <v>2.6952440000000002</v>
      </c>
      <c r="AC4472">
        <v>1858.9649999999999</v>
      </c>
      <c r="AD4472">
        <v>1.6774420000000001</v>
      </c>
      <c r="AE4472">
        <v>0.68210040000000005</v>
      </c>
      <c r="AF4472">
        <v>165.9864</v>
      </c>
      <c r="AG4472">
        <f>IFERROR(AH4472*0.1, "N/A")</f>
        <v>5.3047620000000002</v>
      </c>
      <c r="AH4472">
        <v>53.047620000000002</v>
      </c>
      <c r="AI4472">
        <v>218.68459999999999</v>
      </c>
      <c r="AJ4472">
        <v>28.68027</v>
      </c>
      <c r="AK4472">
        <v>48.857140000000001</v>
      </c>
    </row>
    <row r="4473" spans="1:37" x14ac:dyDescent="0.3">
      <c r="A4473">
        <v>4472</v>
      </c>
      <c r="B4473">
        <v>85.5</v>
      </c>
      <c r="C4473">
        <v>3.5876000000000001</v>
      </c>
      <c r="D4473">
        <v>11.99</v>
      </c>
      <c r="E4473" t="s">
        <v>7058</v>
      </c>
      <c r="F4473" t="s">
        <v>7059</v>
      </c>
      <c r="G4473" t="s">
        <v>39</v>
      </c>
      <c r="H4473">
        <v>0</v>
      </c>
      <c r="I4473">
        <v>28.9</v>
      </c>
      <c r="J4473">
        <v>12.7</v>
      </c>
      <c r="K4473">
        <v>57</v>
      </c>
      <c r="L4473">
        <v>24.16</v>
      </c>
      <c r="M4473">
        <v>40.1</v>
      </c>
      <c r="N4473">
        <v>18</v>
      </c>
      <c r="O4473">
        <v>22.1</v>
      </c>
      <c r="P4473">
        <v>27.3</v>
      </c>
      <c r="Q4473">
        <v>28.9</v>
      </c>
      <c r="R4473">
        <v>32.5</v>
      </c>
      <c r="S4473">
        <v>26.5</v>
      </c>
      <c r="T4473">
        <v>725</v>
      </c>
      <c r="U4473">
        <v>204</v>
      </c>
      <c r="V4473">
        <v>0</v>
      </c>
      <c r="W4473">
        <v>120</v>
      </c>
      <c r="X4473">
        <v>514</v>
      </c>
      <c r="Y4473">
        <v>0</v>
      </c>
      <c r="Z4473">
        <v>77</v>
      </c>
      <c r="AA4473">
        <v>0</v>
      </c>
      <c r="AB4473">
        <v>9.6128049999999998</v>
      </c>
      <c r="AC4473">
        <v>3.0419390000000001E-2</v>
      </c>
      <c r="AD4473">
        <v>1.084703</v>
      </c>
      <c r="AE4473">
        <v>0.50442960000000003</v>
      </c>
      <c r="AF4473">
        <v>174.05629999999999</v>
      </c>
      <c r="AG4473">
        <f>IFERROR(AH4473*0.1, "N/A")</f>
        <v>5.4020480000000006</v>
      </c>
      <c r="AH4473">
        <v>54.020479999999999</v>
      </c>
      <c r="AI4473">
        <v>230.21430000000001</v>
      </c>
      <c r="AJ4473">
        <v>23.441980000000001</v>
      </c>
      <c r="AK4473">
        <v>54.443689999999997</v>
      </c>
    </row>
    <row r="4474" spans="1:37" x14ac:dyDescent="0.3">
      <c r="A4474">
        <v>4473</v>
      </c>
      <c r="B4474">
        <v>6.5</v>
      </c>
      <c r="C4474">
        <v>3.5876000000000001</v>
      </c>
      <c r="D4474">
        <v>11.99</v>
      </c>
      <c r="E4474" t="s">
        <v>7058</v>
      </c>
      <c r="F4474" t="s">
        <v>7060</v>
      </c>
      <c r="G4474" t="s">
        <v>37</v>
      </c>
      <c r="H4474">
        <v>0</v>
      </c>
      <c r="I4474">
        <v>28.9</v>
      </c>
      <c r="J4474">
        <v>12.7</v>
      </c>
      <c r="K4474">
        <v>57</v>
      </c>
      <c r="L4474">
        <v>24.16</v>
      </c>
      <c r="M4474">
        <v>40.1</v>
      </c>
      <c r="N4474">
        <v>18</v>
      </c>
      <c r="O4474">
        <v>22.1</v>
      </c>
      <c r="P4474">
        <v>27.3</v>
      </c>
      <c r="Q4474">
        <v>28.9</v>
      </c>
      <c r="R4474">
        <v>32.5</v>
      </c>
      <c r="S4474">
        <v>26.5</v>
      </c>
      <c r="T4474">
        <v>725</v>
      </c>
      <c r="U4474">
        <v>204</v>
      </c>
      <c r="V4474">
        <v>0</v>
      </c>
      <c r="W4474">
        <v>120</v>
      </c>
      <c r="X4474">
        <v>514</v>
      </c>
      <c r="Y4474">
        <v>0</v>
      </c>
      <c r="Z4474">
        <v>77</v>
      </c>
      <c r="AA4474">
        <v>0</v>
      </c>
      <c r="AB4474">
        <v>9.6128049999999998</v>
      </c>
      <c r="AC4474">
        <v>3.0419390000000001E-2</v>
      </c>
      <c r="AD4474">
        <v>1.084703</v>
      </c>
      <c r="AE4474">
        <v>0.50442960000000003</v>
      </c>
      <c r="AF4474">
        <v>174.05629999999999</v>
      </c>
      <c r="AG4474">
        <f>IFERROR(AH4474*0.1, "N/A")</f>
        <v>5.4020480000000006</v>
      </c>
      <c r="AH4474">
        <v>54.020479999999999</v>
      </c>
      <c r="AI4474">
        <v>230.21430000000001</v>
      </c>
      <c r="AJ4474">
        <v>23.441980000000001</v>
      </c>
      <c r="AK4474">
        <v>54.443689999999997</v>
      </c>
    </row>
    <row r="4475" spans="1:37" x14ac:dyDescent="0.3">
      <c r="A4475">
        <v>4474</v>
      </c>
      <c r="B4475">
        <v>5.0999999999999996</v>
      </c>
      <c r="C4475">
        <v>3.5666699999999998</v>
      </c>
      <c r="D4475">
        <v>12.0167</v>
      </c>
      <c r="E4475" t="s">
        <v>7061</v>
      </c>
      <c r="F4475" t="s">
        <v>7062</v>
      </c>
      <c r="G4475" t="s">
        <v>37</v>
      </c>
      <c r="H4475">
        <v>1988</v>
      </c>
      <c r="I4475">
        <v>29</v>
      </c>
      <c r="J4475">
        <v>12.8</v>
      </c>
      <c r="K4475">
        <v>57</v>
      </c>
      <c r="L4475">
        <v>24.443909999999999</v>
      </c>
      <c r="M4475">
        <v>40.237369999999999</v>
      </c>
      <c r="N4475">
        <v>18.010580000000001</v>
      </c>
      <c r="O4475">
        <v>22.226790000000001</v>
      </c>
      <c r="P4475">
        <v>27.31945</v>
      </c>
      <c r="Q4475">
        <v>28.943169999999999</v>
      </c>
      <c r="R4475">
        <v>32.637369999999997</v>
      </c>
      <c r="S4475">
        <v>26.57321</v>
      </c>
      <c r="T4475">
        <v>713.07510000000002</v>
      </c>
      <c r="U4475">
        <v>200.53749999999999</v>
      </c>
      <c r="V4475">
        <v>0</v>
      </c>
      <c r="W4475">
        <v>120</v>
      </c>
      <c r="X4475">
        <v>506.64330000000001</v>
      </c>
      <c r="Y4475">
        <v>0</v>
      </c>
      <c r="Z4475">
        <v>74.431740000000005</v>
      </c>
      <c r="AA4475">
        <v>0</v>
      </c>
      <c r="AB4475">
        <v>0.9184348</v>
      </c>
      <c r="AC4475">
        <v>0.1255616</v>
      </c>
      <c r="AD4475">
        <v>0.83033299999999999</v>
      </c>
      <c r="AE4475">
        <v>0.71652830000000001</v>
      </c>
      <c r="AF4475">
        <v>165.19110000000001</v>
      </c>
      <c r="AG4475">
        <f>IFERROR(AH4475*0.1, "N/A")</f>
        <v>5.3361770000000002</v>
      </c>
      <c r="AH4475">
        <v>53.36177</v>
      </c>
      <c r="AI4475">
        <v>138.7664</v>
      </c>
      <c r="AJ4475">
        <v>30.38908</v>
      </c>
      <c r="AK4475">
        <v>47.416379999999997</v>
      </c>
    </row>
    <row r="4476" spans="1:37" x14ac:dyDescent="0.3">
      <c r="A4476">
        <v>4475</v>
      </c>
      <c r="B4476">
        <v>62.5</v>
      </c>
      <c r="C4476">
        <v>3.26823</v>
      </c>
      <c r="D4476">
        <v>12.0175</v>
      </c>
      <c r="E4476" t="s">
        <v>7063</v>
      </c>
      <c r="F4476" t="s">
        <v>7064</v>
      </c>
      <c r="G4476" t="s">
        <v>39</v>
      </c>
      <c r="H4476">
        <v>0</v>
      </c>
      <c r="I4476">
        <v>29.1</v>
      </c>
      <c r="J4476">
        <v>12.8</v>
      </c>
      <c r="K4476">
        <v>57</v>
      </c>
      <c r="L4476">
        <v>24.81119</v>
      </c>
      <c r="M4476">
        <v>40.4</v>
      </c>
      <c r="N4476">
        <v>18</v>
      </c>
      <c r="O4476">
        <v>22.4</v>
      </c>
      <c r="P4476">
        <v>27.4</v>
      </c>
      <c r="Q4476">
        <v>26.9</v>
      </c>
      <c r="R4476">
        <v>32.799999999999997</v>
      </c>
      <c r="S4476">
        <v>26.6</v>
      </c>
      <c r="T4476">
        <v>720.08330000000001</v>
      </c>
      <c r="U4476">
        <v>205.02379999999999</v>
      </c>
      <c r="V4476">
        <v>0</v>
      </c>
      <c r="W4476">
        <v>118.02379999999999</v>
      </c>
      <c r="X4476">
        <v>511.05950000000001</v>
      </c>
      <c r="Y4476">
        <v>0</v>
      </c>
      <c r="Z4476">
        <v>75.011899999999997</v>
      </c>
      <c r="AA4476">
        <v>1</v>
      </c>
      <c r="AB4476">
        <v>0.93690289999999998</v>
      </c>
      <c r="AC4476">
        <v>276274.59999999998</v>
      </c>
      <c r="AD4476">
        <v>0.99721320000000002</v>
      </c>
      <c r="AE4476">
        <v>0.49723220000000001</v>
      </c>
      <c r="AF4476">
        <v>158.97620000000001</v>
      </c>
      <c r="AG4476" t="str">
        <f>IFERROR(AH4476*0.1, "N/A")</f>
        <v>N/A</v>
      </c>
      <c r="AH4476" t="s">
        <v>729</v>
      </c>
      <c r="AI4476">
        <v>176.92099999999999</v>
      </c>
      <c r="AJ4476" t="s">
        <v>729</v>
      </c>
      <c r="AK4476" t="s">
        <v>729</v>
      </c>
    </row>
    <row r="4477" spans="1:37" x14ac:dyDescent="0.3">
      <c r="A4477">
        <v>4476</v>
      </c>
      <c r="B4477">
        <v>70</v>
      </c>
      <c r="C4477">
        <v>3.55</v>
      </c>
      <c r="D4477">
        <v>12.033300000000001</v>
      </c>
      <c r="E4477" t="s">
        <v>7065</v>
      </c>
      <c r="F4477" t="s">
        <v>7066</v>
      </c>
      <c r="G4477" t="s">
        <v>39</v>
      </c>
      <c r="H4477">
        <v>1987</v>
      </c>
      <c r="I4477">
        <v>29.1</v>
      </c>
      <c r="J4477">
        <v>12.8</v>
      </c>
      <c r="K4477">
        <v>57</v>
      </c>
      <c r="L4477">
        <v>24.56983</v>
      </c>
      <c r="M4477">
        <v>40.335259999999998</v>
      </c>
      <c r="N4477">
        <v>18.087050000000001</v>
      </c>
      <c r="O4477">
        <v>22.24821</v>
      </c>
      <c r="P4477">
        <v>27.4</v>
      </c>
      <c r="Q4477">
        <v>28.94566</v>
      </c>
      <c r="R4477">
        <v>32.700000000000003</v>
      </c>
      <c r="S4477">
        <v>26.638839999999998</v>
      </c>
      <c r="T4477">
        <v>705.38160000000005</v>
      </c>
      <c r="U4477">
        <v>199.1908</v>
      </c>
      <c r="V4477">
        <v>0</v>
      </c>
      <c r="W4477">
        <v>121</v>
      </c>
      <c r="X4477">
        <v>502.38159999999999</v>
      </c>
      <c r="Y4477">
        <v>0</v>
      </c>
      <c r="Z4477">
        <v>73</v>
      </c>
      <c r="AA4477">
        <v>0</v>
      </c>
      <c r="AB4477">
        <v>6.6954680000000003E-2</v>
      </c>
      <c r="AC4477">
        <v>8471.7430000000004</v>
      </c>
      <c r="AD4477">
        <v>0.42518479999999997</v>
      </c>
      <c r="AE4477">
        <v>0.78197850000000002</v>
      </c>
      <c r="AF4477">
        <v>163.72739999999999</v>
      </c>
      <c r="AG4477">
        <f>IFERROR(AH4477*0.1, "N/A")</f>
        <v>6.4952299999999994</v>
      </c>
      <c r="AH4477">
        <v>64.952299999999994</v>
      </c>
      <c r="AI4477">
        <v>119.7291</v>
      </c>
      <c r="AJ4477">
        <v>34.611579999999996</v>
      </c>
      <c r="AK4477">
        <v>43.035780000000003</v>
      </c>
    </row>
    <row r="4478" spans="1:37" x14ac:dyDescent="0.3">
      <c r="A4478">
        <v>4477</v>
      </c>
      <c r="B4478">
        <v>8</v>
      </c>
      <c r="C4478">
        <v>3.55</v>
      </c>
      <c r="D4478">
        <v>12.033300000000001</v>
      </c>
      <c r="E4478" t="s">
        <v>7065</v>
      </c>
      <c r="F4478" t="s">
        <v>7067</v>
      </c>
      <c r="G4478" t="s">
        <v>37</v>
      </c>
      <c r="H4478">
        <v>1987</v>
      </c>
      <c r="I4478">
        <v>29.1</v>
      </c>
      <c r="J4478">
        <v>12.8</v>
      </c>
      <c r="K4478">
        <v>57</v>
      </c>
      <c r="L4478">
        <v>24.56983</v>
      </c>
      <c r="M4478">
        <v>40.335259999999998</v>
      </c>
      <c r="N4478">
        <v>18.087050000000001</v>
      </c>
      <c r="O4478">
        <v>22.24821</v>
      </c>
      <c r="P4478">
        <v>27.4</v>
      </c>
      <c r="Q4478">
        <v>28.94566</v>
      </c>
      <c r="R4478">
        <v>32.700000000000003</v>
      </c>
      <c r="S4478">
        <v>26.638839999999998</v>
      </c>
      <c r="T4478">
        <v>705.38160000000005</v>
      </c>
      <c r="U4478">
        <v>199.1908</v>
      </c>
      <c r="V4478">
        <v>0</v>
      </c>
      <c r="W4478">
        <v>121</v>
      </c>
      <c r="X4478">
        <v>502.38159999999999</v>
      </c>
      <c r="Y4478">
        <v>0</v>
      </c>
      <c r="Z4478">
        <v>73</v>
      </c>
      <c r="AA4478">
        <v>0</v>
      </c>
      <c r="AB4478">
        <v>6.6954680000000003E-2</v>
      </c>
      <c r="AC4478">
        <v>8471.7430000000004</v>
      </c>
      <c r="AD4478">
        <v>0.42518479999999997</v>
      </c>
      <c r="AE4478">
        <v>0.78197850000000002</v>
      </c>
      <c r="AF4478">
        <v>163.72739999999999</v>
      </c>
      <c r="AG4478">
        <f>IFERROR(AH4478*0.1, "N/A")</f>
        <v>6.4952299999999994</v>
      </c>
      <c r="AH4478">
        <v>64.952299999999994</v>
      </c>
      <c r="AI4478">
        <v>119.7291</v>
      </c>
      <c r="AJ4478">
        <v>34.611579999999996</v>
      </c>
      <c r="AK4478">
        <v>43.035780000000003</v>
      </c>
    </row>
    <row r="4479" spans="1:37" x14ac:dyDescent="0.3">
      <c r="A4479">
        <v>4478</v>
      </c>
      <c r="B4479">
        <v>3.8</v>
      </c>
      <c r="C4479">
        <v>3.55</v>
      </c>
      <c r="D4479">
        <v>12.033300000000001</v>
      </c>
      <c r="E4479" t="s">
        <v>7065</v>
      </c>
      <c r="F4479" t="s">
        <v>7068</v>
      </c>
      <c r="G4479" t="s">
        <v>5859</v>
      </c>
      <c r="H4479">
        <v>1988</v>
      </c>
      <c r="I4479">
        <v>29.1</v>
      </c>
      <c r="J4479">
        <v>12.8</v>
      </c>
      <c r="K4479">
        <v>57</v>
      </c>
      <c r="L4479">
        <v>24.56983</v>
      </c>
      <c r="M4479">
        <v>40.335259999999998</v>
      </c>
      <c r="N4479">
        <v>18.087050000000001</v>
      </c>
      <c r="O4479">
        <v>22.24821</v>
      </c>
      <c r="P4479">
        <v>27.4</v>
      </c>
      <c r="Q4479">
        <v>28.94566</v>
      </c>
      <c r="R4479">
        <v>32.700000000000003</v>
      </c>
      <c r="S4479">
        <v>26.638839999999998</v>
      </c>
      <c r="T4479">
        <v>705.38160000000005</v>
      </c>
      <c r="U4479">
        <v>199.1908</v>
      </c>
      <c r="V4479">
        <v>0</v>
      </c>
      <c r="W4479">
        <v>121</v>
      </c>
      <c r="X4479">
        <v>502.38159999999999</v>
      </c>
      <c r="Y4479">
        <v>0</v>
      </c>
      <c r="Z4479">
        <v>73</v>
      </c>
      <c r="AA4479">
        <v>0</v>
      </c>
      <c r="AB4479">
        <v>6.6954680000000003E-2</v>
      </c>
      <c r="AC4479">
        <v>8471.7430000000004</v>
      </c>
      <c r="AD4479">
        <v>0.42518479999999997</v>
      </c>
      <c r="AE4479">
        <v>0.78197850000000002</v>
      </c>
      <c r="AF4479">
        <v>163.72739999999999</v>
      </c>
      <c r="AG4479">
        <f>IFERROR(AH4479*0.1, "N/A")</f>
        <v>6.4952299999999994</v>
      </c>
      <c r="AH4479">
        <v>64.952299999999994</v>
      </c>
      <c r="AI4479">
        <v>119.7291</v>
      </c>
      <c r="AJ4479">
        <v>34.611579999999996</v>
      </c>
      <c r="AK4479">
        <v>43.035780000000003</v>
      </c>
    </row>
    <row r="4480" spans="1:37" x14ac:dyDescent="0.3">
      <c r="A4480">
        <v>4479</v>
      </c>
      <c r="B4480">
        <v>8</v>
      </c>
      <c r="C4480">
        <v>3.5530599999999999</v>
      </c>
      <c r="D4480">
        <v>12.050599999999999</v>
      </c>
      <c r="E4480" t="s">
        <v>7069</v>
      </c>
      <c r="F4480" t="s">
        <v>7070</v>
      </c>
      <c r="G4480" t="s">
        <v>39</v>
      </c>
      <c r="H4480">
        <v>1987</v>
      </c>
      <c r="I4480">
        <v>29</v>
      </c>
      <c r="J4480">
        <v>12.8</v>
      </c>
      <c r="K4480">
        <v>57</v>
      </c>
      <c r="L4480">
        <v>24.49513</v>
      </c>
      <c r="M4480">
        <v>40.299999999999997</v>
      </c>
      <c r="N4480">
        <v>18</v>
      </c>
      <c r="O4480">
        <v>22.3</v>
      </c>
      <c r="P4480">
        <v>27.3</v>
      </c>
      <c r="Q4480">
        <v>28.805129999999998</v>
      </c>
      <c r="R4480">
        <v>32.6</v>
      </c>
      <c r="S4480">
        <v>26.5</v>
      </c>
      <c r="T4480">
        <v>697.20510000000002</v>
      </c>
      <c r="U4480">
        <v>197</v>
      </c>
      <c r="V4480">
        <v>0</v>
      </c>
      <c r="W4480">
        <v>120</v>
      </c>
      <c r="X4480">
        <v>497.1026</v>
      </c>
      <c r="Y4480">
        <v>0</v>
      </c>
      <c r="Z4480">
        <v>71.102559999999997</v>
      </c>
      <c r="AA4480">
        <v>0</v>
      </c>
      <c r="AB4480">
        <v>1.4073560000000001</v>
      </c>
      <c r="AC4480">
        <v>0.1401269</v>
      </c>
      <c r="AD4480">
        <v>1.36818</v>
      </c>
      <c r="AE4480">
        <v>0.4497293</v>
      </c>
      <c r="AF4480">
        <v>175.87010000000001</v>
      </c>
      <c r="AG4480">
        <f>IFERROR(AH4480*0.1, "N/A")</f>
        <v>5.4676920000000004</v>
      </c>
      <c r="AH4480">
        <v>54.676920000000003</v>
      </c>
      <c r="AI4480">
        <v>254.89340000000001</v>
      </c>
      <c r="AJ4480">
        <v>10</v>
      </c>
      <c r="AK4480">
        <v>70.34872</v>
      </c>
    </row>
    <row r="4481" spans="1:37" x14ac:dyDescent="0.3">
      <c r="A4481">
        <v>4480</v>
      </c>
      <c r="B4481">
        <v>48</v>
      </c>
      <c r="C4481">
        <v>3.5530599999999999</v>
      </c>
      <c r="D4481">
        <v>12.050599999999999</v>
      </c>
      <c r="E4481" t="s">
        <v>7069</v>
      </c>
      <c r="F4481" t="s">
        <v>7071</v>
      </c>
      <c r="G4481" t="s">
        <v>37</v>
      </c>
      <c r="H4481">
        <v>1987</v>
      </c>
      <c r="I4481">
        <v>29</v>
      </c>
      <c r="J4481">
        <v>12.8</v>
      </c>
      <c r="K4481">
        <v>57</v>
      </c>
      <c r="L4481">
        <v>24.49513</v>
      </c>
      <c r="M4481">
        <v>40.299999999999997</v>
      </c>
      <c r="N4481">
        <v>18</v>
      </c>
      <c r="O4481">
        <v>22.3</v>
      </c>
      <c r="P4481">
        <v>27.3</v>
      </c>
      <c r="Q4481">
        <v>28.805129999999998</v>
      </c>
      <c r="R4481">
        <v>32.6</v>
      </c>
      <c r="S4481">
        <v>26.5</v>
      </c>
      <c r="T4481">
        <v>697.20510000000002</v>
      </c>
      <c r="U4481">
        <v>197</v>
      </c>
      <c r="V4481">
        <v>0</v>
      </c>
      <c r="W4481">
        <v>120</v>
      </c>
      <c r="X4481">
        <v>497.1026</v>
      </c>
      <c r="Y4481">
        <v>0</v>
      </c>
      <c r="Z4481">
        <v>71.102559999999997</v>
      </c>
      <c r="AA4481">
        <v>0</v>
      </c>
      <c r="AB4481">
        <v>1.4073560000000001</v>
      </c>
      <c r="AC4481">
        <v>0.1401269</v>
      </c>
      <c r="AD4481">
        <v>1.36818</v>
      </c>
      <c r="AE4481">
        <v>0.4497293</v>
      </c>
      <c r="AF4481">
        <v>175.87010000000001</v>
      </c>
      <c r="AG4481">
        <f>IFERROR(AH4481*0.1, "N/A")</f>
        <v>5.4676920000000004</v>
      </c>
      <c r="AH4481">
        <v>54.676920000000003</v>
      </c>
      <c r="AI4481">
        <v>254.89340000000001</v>
      </c>
      <c r="AJ4481">
        <v>10</v>
      </c>
      <c r="AK4481">
        <v>70.34872</v>
      </c>
    </row>
    <row r="4482" spans="1:37" x14ac:dyDescent="0.3">
      <c r="A4482">
        <v>4481</v>
      </c>
      <c r="B4482">
        <v>91.7</v>
      </c>
      <c r="C4482">
        <v>3.5512000000000001</v>
      </c>
      <c r="D4482">
        <v>12.052099999999999</v>
      </c>
      <c r="E4482" t="s">
        <v>7072</v>
      </c>
      <c r="F4482" t="s">
        <v>7073</v>
      </c>
      <c r="G4482" t="s">
        <v>39</v>
      </c>
      <c r="H4482">
        <v>0</v>
      </c>
      <c r="I4482">
        <v>29</v>
      </c>
      <c r="J4482">
        <v>12.8</v>
      </c>
      <c r="K4482">
        <v>57</v>
      </c>
      <c r="L4482">
        <v>24.49</v>
      </c>
      <c r="M4482">
        <v>40.299999999999997</v>
      </c>
      <c r="N4482">
        <v>18</v>
      </c>
      <c r="O4482">
        <v>22.3</v>
      </c>
      <c r="P4482">
        <v>27.3</v>
      </c>
      <c r="Q4482">
        <v>28.8</v>
      </c>
      <c r="R4482">
        <v>32.6</v>
      </c>
      <c r="S4482">
        <v>26.5</v>
      </c>
      <c r="T4482">
        <v>697</v>
      </c>
      <c r="U4482">
        <v>197</v>
      </c>
      <c r="V4482">
        <v>0</v>
      </c>
      <c r="W4482">
        <v>120</v>
      </c>
      <c r="X4482">
        <v>497</v>
      </c>
      <c r="Y4482">
        <v>0</v>
      </c>
      <c r="Z4482">
        <v>71</v>
      </c>
      <c r="AA4482">
        <v>0</v>
      </c>
      <c r="AB4482">
        <v>4.4993280000000002</v>
      </c>
      <c r="AC4482">
        <v>9.716578E-3</v>
      </c>
      <c r="AD4482">
        <v>1.0169729999999999</v>
      </c>
      <c r="AE4482">
        <v>0.4497293</v>
      </c>
      <c r="AF4482">
        <v>179.4753</v>
      </c>
      <c r="AG4482">
        <f>IFERROR(AH4482*0.1, "N/A")</f>
        <v>5.498978000000001</v>
      </c>
      <c r="AH4482">
        <v>54.989780000000003</v>
      </c>
      <c r="AI4482">
        <v>159.50630000000001</v>
      </c>
      <c r="AJ4482">
        <v>14.94889</v>
      </c>
      <c r="AK4482">
        <v>65.061329999999998</v>
      </c>
    </row>
    <row r="4483" spans="1:37" x14ac:dyDescent="0.3">
      <c r="A4483">
        <v>4482</v>
      </c>
      <c r="B4483">
        <v>3.3</v>
      </c>
      <c r="C4483">
        <v>3.5512000000000001</v>
      </c>
      <c r="D4483">
        <v>12.052099999999999</v>
      </c>
      <c r="E4483" t="s">
        <v>7072</v>
      </c>
      <c r="F4483" t="s">
        <v>7074</v>
      </c>
      <c r="G4483" t="s">
        <v>37</v>
      </c>
      <c r="H4483">
        <v>0</v>
      </c>
      <c r="I4483">
        <v>29</v>
      </c>
      <c r="J4483">
        <v>12.8</v>
      </c>
      <c r="K4483">
        <v>57</v>
      </c>
      <c r="L4483">
        <v>24.49</v>
      </c>
      <c r="M4483">
        <v>40.299999999999997</v>
      </c>
      <c r="N4483">
        <v>18</v>
      </c>
      <c r="O4483">
        <v>22.3</v>
      </c>
      <c r="P4483">
        <v>27.3</v>
      </c>
      <c r="Q4483">
        <v>28.8</v>
      </c>
      <c r="R4483">
        <v>32.6</v>
      </c>
      <c r="S4483">
        <v>26.5</v>
      </c>
      <c r="T4483">
        <v>697</v>
      </c>
      <c r="U4483">
        <v>197</v>
      </c>
      <c r="V4483">
        <v>0</v>
      </c>
      <c r="W4483">
        <v>120</v>
      </c>
      <c r="X4483">
        <v>497</v>
      </c>
      <c r="Y4483">
        <v>0</v>
      </c>
      <c r="Z4483">
        <v>71</v>
      </c>
      <c r="AA4483">
        <v>0</v>
      </c>
      <c r="AB4483">
        <v>4.4993280000000002</v>
      </c>
      <c r="AC4483">
        <v>9.716578E-3</v>
      </c>
      <c r="AD4483">
        <v>1.0169729999999999</v>
      </c>
      <c r="AE4483">
        <v>0.4497293</v>
      </c>
      <c r="AF4483">
        <v>179.4753</v>
      </c>
      <c r="AG4483">
        <f>IFERROR(AH4483*0.1, "N/A")</f>
        <v>5.498978000000001</v>
      </c>
      <c r="AH4483">
        <v>54.989780000000003</v>
      </c>
      <c r="AI4483">
        <v>159.50630000000001</v>
      </c>
      <c r="AJ4483">
        <v>14.94889</v>
      </c>
      <c r="AK4483">
        <v>65.061329999999998</v>
      </c>
    </row>
    <row r="4484" spans="1:37" x14ac:dyDescent="0.3">
      <c r="A4484">
        <v>4483</v>
      </c>
      <c r="B4484">
        <v>76.599999999999994</v>
      </c>
      <c r="C4484">
        <v>3.23047</v>
      </c>
      <c r="D4484">
        <v>12.0839</v>
      </c>
      <c r="E4484" t="s">
        <v>7075</v>
      </c>
      <c r="F4484" t="s">
        <v>7076</v>
      </c>
      <c r="G4484" t="s">
        <v>39</v>
      </c>
      <c r="H4484">
        <v>0</v>
      </c>
      <c r="I4484">
        <v>29.1</v>
      </c>
      <c r="J4484">
        <v>12.9</v>
      </c>
      <c r="K4484">
        <v>57</v>
      </c>
      <c r="L4484">
        <v>24.841830000000002</v>
      </c>
      <c r="M4484">
        <v>40.4</v>
      </c>
      <c r="N4484">
        <v>18</v>
      </c>
      <c r="O4484">
        <v>22.4</v>
      </c>
      <c r="P4484">
        <v>27.496939999999999</v>
      </c>
      <c r="Q4484">
        <v>26.6</v>
      </c>
      <c r="R4484">
        <v>32.799999999999997</v>
      </c>
      <c r="S4484">
        <v>26.6</v>
      </c>
      <c r="T4484">
        <v>671.15279999999996</v>
      </c>
      <c r="U4484">
        <v>189.03059999999999</v>
      </c>
      <c r="V4484">
        <v>0</v>
      </c>
      <c r="W4484">
        <v>120.96939999999999</v>
      </c>
      <c r="X4484">
        <v>479.06110000000001</v>
      </c>
      <c r="Y4484">
        <v>0</v>
      </c>
      <c r="Z4484">
        <v>66.061120000000003</v>
      </c>
      <c r="AA4484">
        <v>0</v>
      </c>
      <c r="AB4484">
        <v>3.0358260000000001</v>
      </c>
      <c r="AC4484">
        <v>1.925137E-2</v>
      </c>
      <c r="AD4484">
        <v>1.4453590000000001</v>
      </c>
      <c r="AE4484">
        <v>0.62056800000000001</v>
      </c>
      <c r="AF4484">
        <v>164.2988</v>
      </c>
      <c r="AG4484">
        <f>IFERROR(AH4484*0.1, "N/A")</f>
        <v>5.6000000000000005</v>
      </c>
      <c r="AH4484">
        <v>56</v>
      </c>
      <c r="AI4484">
        <v>146.40170000000001</v>
      </c>
      <c r="AJ4484">
        <v>24.96435</v>
      </c>
      <c r="AK4484">
        <v>50.061120000000003</v>
      </c>
    </row>
    <row r="4485" spans="1:37" x14ac:dyDescent="0.3">
      <c r="A4485">
        <v>4484</v>
      </c>
      <c r="B4485">
        <v>0</v>
      </c>
      <c r="C4485">
        <v>3.6</v>
      </c>
      <c r="D4485">
        <v>12.1167</v>
      </c>
      <c r="E4485" t="s">
        <v>7077</v>
      </c>
      <c r="F4485" t="s">
        <v>7078</v>
      </c>
      <c r="G4485" t="s">
        <v>39</v>
      </c>
      <c r="H4485">
        <v>1987</v>
      </c>
      <c r="I4485">
        <v>28.7</v>
      </c>
      <c r="J4485">
        <v>12.874829999999999</v>
      </c>
      <c r="K4485">
        <v>57</v>
      </c>
      <c r="L4485">
        <v>24.500879999999999</v>
      </c>
      <c r="M4485">
        <v>39.940649999999998</v>
      </c>
      <c r="N4485">
        <v>17.600000000000001</v>
      </c>
      <c r="O4485">
        <v>22.34065</v>
      </c>
      <c r="P4485">
        <v>27.040649999999999</v>
      </c>
      <c r="Q4485">
        <v>28.440650000000002</v>
      </c>
      <c r="R4485">
        <v>32.299999999999997</v>
      </c>
      <c r="S4485">
        <v>26.225169999999999</v>
      </c>
      <c r="T4485">
        <v>676.90480000000002</v>
      </c>
      <c r="U4485">
        <v>192.04929999999999</v>
      </c>
      <c r="V4485">
        <v>0</v>
      </c>
      <c r="W4485">
        <v>121</v>
      </c>
      <c r="X4485">
        <v>484.50510000000003</v>
      </c>
      <c r="Y4485">
        <v>0</v>
      </c>
      <c r="Z4485">
        <v>68.049319999999994</v>
      </c>
      <c r="AA4485">
        <v>0</v>
      </c>
      <c r="AB4485">
        <v>12.028740000000001</v>
      </c>
      <c r="AC4485">
        <v>1.158898E-2</v>
      </c>
      <c r="AD4485">
        <v>1.2243459999999999</v>
      </c>
      <c r="AE4485">
        <v>0.67826719999999996</v>
      </c>
      <c r="AF4485">
        <v>221.55439999999999</v>
      </c>
      <c r="AG4485">
        <f>IFERROR(AH4485*0.1, "N/A")</f>
        <v>5.2530610000000006</v>
      </c>
      <c r="AH4485">
        <v>52.530610000000003</v>
      </c>
      <c r="AI4485">
        <v>141.3484</v>
      </c>
      <c r="AJ4485">
        <v>11.13265</v>
      </c>
      <c r="AK4485">
        <v>74</v>
      </c>
    </row>
    <row r="4486" spans="1:37" x14ac:dyDescent="0.3">
      <c r="A4486">
        <v>4485</v>
      </c>
      <c r="B4486">
        <v>2</v>
      </c>
      <c r="C4486">
        <v>3.6</v>
      </c>
      <c r="D4486">
        <v>12.1167</v>
      </c>
      <c r="E4486" t="s">
        <v>7077</v>
      </c>
      <c r="F4486" t="s">
        <v>7079</v>
      </c>
      <c r="G4486" t="s">
        <v>37</v>
      </c>
      <c r="H4486">
        <v>1987</v>
      </c>
      <c r="I4486">
        <v>28.7</v>
      </c>
      <c r="J4486">
        <v>12.874829999999999</v>
      </c>
      <c r="K4486">
        <v>57</v>
      </c>
      <c r="L4486">
        <v>24.500879999999999</v>
      </c>
      <c r="M4486">
        <v>39.940649999999998</v>
      </c>
      <c r="N4486">
        <v>17.600000000000001</v>
      </c>
      <c r="O4486">
        <v>22.34065</v>
      </c>
      <c r="P4486">
        <v>27.040649999999999</v>
      </c>
      <c r="Q4486">
        <v>28.440650000000002</v>
      </c>
      <c r="R4486">
        <v>32.299999999999997</v>
      </c>
      <c r="S4486">
        <v>26.225169999999999</v>
      </c>
      <c r="T4486">
        <v>676.90480000000002</v>
      </c>
      <c r="U4486">
        <v>192.04929999999999</v>
      </c>
      <c r="V4486">
        <v>0</v>
      </c>
      <c r="W4486">
        <v>121</v>
      </c>
      <c r="X4486">
        <v>484.50510000000003</v>
      </c>
      <c r="Y4486">
        <v>0</v>
      </c>
      <c r="Z4486">
        <v>68.049319999999994</v>
      </c>
      <c r="AA4486">
        <v>0</v>
      </c>
      <c r="AB4486">
        <v>12.028740000000001</v>
      </c>
      <c r="AC4486">
        <v>1.158898E-2</v>
      </c>
      <c r="AD4486">
        <v>1.2243459999999999</v>
      </c>
      <c r="AE4486">
        <v>0.67826719999999996</v>
      </c>
      <c r="AF4486">
        <v>221.55439999999999</v>
      </c>
      <c r="AG4486">
        <f>IFERROR(AH4486*0.1, "N/A")</f>
        <v>5.2530610000000006</v>
      </c>
      <c r="AH4486">
        <v>52.530610000000003</v>
      </c>
      <c r="AI4486">
        <v>141.3484</v>
      </c>
      <c r="AJ4486">
        <v>11.13265</v>
      </c>
      <c r="AK4486">
        <v>74</v>
      </c>
    </row>
    <row r="4487" spans="1:37" x14ac:dyDescent="0.3">
      <c r="A4487">
        <v>4486</v>
      </c>
      <c r="B4487">
        <v>1.4</v>
      </c>
      <c r="C4487">
        <v>3.1603500000000002</v>
      </c>
      <c r="D4487">
        <v>12.164400000000001</v>
      </c>
      <c r="E4487" t="s">
        <v>7080</v>
      </c>
      <c r="F4487" t="s">
        <v>7081</v>
      </c>
      <c r="G4487" t="s">
        <v>39</v>
      </c>
      <c r="H4487">
        <v>0</v>
      </c>
      <c r="I4487">
        <v>29.1</v>
      </c>
      <c r="J4487">
        <v>13</v>
      </c>
      <c r="K4487">
        <v>57</v>
      </c>
      <c r="L4487">
        <v>24.85</v>
      </c>
      <c r="M4487">
        <v>40.5</v>
      </c>
      <c r="N4487">
        <v>17.8</v>
      </c>
      <c r="O4487">
        <v>22.7</v>
      </c>
      <c r="P4487">
        <v>27.6</v>
      </c>
      <c r="Q4487">
        <v>26.5</v>
      </c>
      <c r="R4487">
        <v>32.799999999999997</v>
      </c>
      <c r="S4487">
        <v>26.5</v>
      </c>
      <c r="T4487">
        <v>655</v>
      </c>
      <c r="U4487">
        <v>184</v>
      </c>
      <c r="V4487">
        <v>0</v>
      </c>
      <c r="W4487">
        <v>121</v>
      </c>
      <c r="X4487">
        <v>467</v>
      </c>
      <c r="Y4487">
        <v>0</v>
      </c>
      <c r="Z4487">
        <v>63</v>
      </c>
      <c r="AA4487">
        <v>0</v>
      </c>
      <c r="AB4487">
        <v>3.7426170000000001</v>
      </c>
      <c r="AC4487">
        <v>1.6989000000000001E-2</v>
      </c>
      <c r="AD4487">
        <v>1.445373</v>
      </c>
      <c r="AE4487">
        <v>0.70252420000000004</v>
      </c>
      <c r="AF4487">
        <v>166.51439999999999</v>
      </c>
      <c r="AG4487">
        <f>IFERROR(AH4487*0.1, "N/A")</f>
        <v>5.8786079999999998</v>
      </c>
      <c r="AH4487">
        <v>58.786079999999998</v>
      </c>
      <c r="AI4487">
        <v>203.74799999999999</v>
      </c>
      <c r="AJ4487">
        <v>27.730049999999999</v>
      </c>
      <c r="AK4487">
        <v>51.599319999999999</v>
      </c>
    </row>
    <row r="4488" spans="1:37" x14ac:dyDescent="0.3">
      <c r="A4488">
        <v>4487</v>
      </c>
      <c r="B4488">
        <v>0</v>
      </c>
      <c r="C4488">
        <v>3.1603500000000002</v>
      </c>
      <c r="D4488">
        <v>12.164400000000001</v>
      </c>
      <c r="E4488" t="s">
        <v>7080</v>
      </c>
      <c r="F4488" t="s">
        <v>7082</v>
      </c>
      <c r="G4488" t="s">
        <v>37</v>
      </c>
      <c r="H4488">
        <v>0</v>
      </c>
      <c r="I4488">
        <v>29.1</v>
      </c>
      <c r="J4488">
        <v>13</v>
      </c>
      <c r="K4488">
        <v>57</v>
      </c>
      <c r="L4488">
        <v>24.85</v>
      </c>
      <c r="M4488">
        <v>40.5</v>
      </c>
      <c r="N4488">
        <v>17.8</v>
      </c>
      <c r="O4488">
        <v>22.7</v>
      </c>
      <c r="P4488">
        <v>27.6</v>
      </c>
      <c r="Q4488">
        <v>26.5</v>
      </c>
      <c r="R4488">
        <v>32.799999999999997</v>
      </c>
      <c r="S4488">
        <v>26.5</v>
      </c>
      <c r="T4488">
        <v>655</v>
      </c>
      <c r="U4488">
        <v>184</v>
      </c>
      <c r="V4488">
        <v>0</v>
      </c>
      <c r="W4488">
        <v>121</v>
      </c>
      <c r="X4488">
        <v>467</v>
      </c>
      <c r="Y4488">
        <v>0</v>
      </c>
      <c r="Z4488">
        <v>63</v>
      </c>
      <c r="AA4488">
        <v>0</v>
      </c>
      <c r="AB4488">
        <v>3.7426170000000001</v>
      </c>
      <c r="AC4488">
        <v>1.6989000000000001E-2</v>
      </c>
      <c r="AD4488">
        <v>1.445373</v>
      </c>
      <c r="AE4488">
        <v>0.70252420000000004</v>
      </c>
      <c r="AF4488">
        <v>166.51439999999999</v>
      </c>
      <c r="AG4488">
        <f>IFERROR(AH4488*0.1, "N/A")</f>
        <v>5.8786079999999998</v>
      </c>
      <c r="AH4488">
        <v>58.786079999999998</v>
      </c>
      <c r="AI4488">
        <v>203.74799999999999</v>
      </c>
      <c r="AJ4488">
        <v>27.730049999999999</v>
      </c>
      <c r="AK4488">
        <v>51.599319999999999</v>
      </c>
    </row>
    <row r="4489" spans="1:37" x14ac:dyDescent="0.3">
      <c r="A4489">
        <v>4488</v>
      </c>
      <c r="B4489">
        <v>8.5</v>
      </c>
      <c r="C4489">
        <v>3.4636100000000001</v>
      </c>
      <c r="D4489">
        <v>12.170299999999999</v>
      </c>
      <c r="E4489" t="s">
        <v>7083</v>
      </c>
      <c r="F4489" t="s">
        <v>7084</v>
      </c>
      <c r="G4489" t="s">
        <v>39</v>
      </c>
      <c r="H4489">
        <v>1987</v>
      </c>
      <c r="I4489">
        <v>29</v>
      </c>
      <c r="J4489">
        <v>12.9</v>
      </c>
      <c r="K4489">
        <v>57</v>
      </c>
      <c r="L4489">
        <v>24.65</v>
      </c>
      <c r="M4489">
        <v>40.299999999999997</v>
      </c>
      <c r="N4489">
        <v>17.8</v>
      </c>
      <c r="O4489">
        <v>22.5</v>
      </c>
      <c r="P4489">
        <v>27.4</v>
      </c>
      <c r="Q4489">
        <v>28.7</v>
      </c>
      <c r="R4489">
        <v>32.6</v>
      </c>
      <c r="S4489">
        <v>26.4</v>
      </c>
      <c r="T4489">
        <v>650</v>
      </c>
      <c r="U4489">
        <v>187</v>
      </c>
      <c r="V4489">
        <v>0</v>
      </c>
      <c r="W4489">
        <v>121</v>
      </c>
      <c r="X4489">
        <v>468</v>
      </c>
      <c r="Y4489">
        <v>0</v>
      </c>
      <c r="Z4489">
        <v>63</v>
      </c>
      <c r="AA4489">
        <v>0</v>
      </c>
      <c r="AB4489">
        <v>6.8615009999999996</v>
      </c>
      <c r="AC4489">
        <v>1.053834E-2</v>
      </c>
      <c r="AD4489">
        <v>2.0693220000000001</v>
      </c>
      <c r="AE4489">
        <v>0.68566499999999997</v>
      </c>
      <c r="AF4489">
        <v>183.1942</v>
      </c>
      <c r="AG4489">
        <f>IFERROR(AH4489*0.1, "N/A")</f>
        <v>5.7</v>
      </c>
      <c r="AH4489">
        <v>57</v>
      </c>
      <c r="AI4489">
        <v>157.5641</v>
      </c>
      <c r="AJ4489">
        <v>17</v>
      </c>
      <c r="AK4489">
        <v>65.093699999999998</v>
      </c>
    </row>
    <row r="4490" spans="1:37" x14ac:dyDescent="0.3">
      <c r="A4490">
        <v>4489</v>
      </c>
      <c r="B4490">
        <v>2.1</v>
      </c>
      <c r="C4490">
        <v>3.4636100000000001</v>
      </c>
      <c r="D4490">
        <v>12.170299999999999</v>
      </c>
      <c r="E4490" t="s">
        <v>7083</v>
      </c>
      <c r="F4490" t="s">
        <v>7085</v>
      </c>
      <c r="G4490" t="s">
        <v>37</v>
      </c>
      <c r="H4490">
        <v>1987</v>
      </c>
      <c r="I4490">
        <v>29</v>
      </c>
      <c r="J4490">
        <v>12.9</v>
      </c>
      <c r="K4490">
        <v>57</v>
      </c>
      <c r="L4490">
        <v>24.65</v>
      </c>
      <c r="M4490">
        <v>40.299999999999997</v>
      </c>
      <c r="N4490">
        <v>17.8</v>
      </c>
      <c r="O4490">
        <v>22.5</v>
      </c>
      <c r="P4490">
        <v>27.4</v>
      </c>
      <c r="Q4490">
        <v>28.7</v>
      </c>
      <c r="R4490">
        <v>32.6</v>
      </c>
      <c r="S4490">
        <v>26.4</v>
      </c>
      <c r="T4490">
        <v>650</v>
      </c>
      <c r="U4490">
        <v>187</v>
      </c>
      <c r="V4490">
        <v>0</v>
      </c>
      <c r="W4490">
        <v>121</v>
      </c>
      <c r="X4490">
        <v>468</v>
      </c>
      <c r="Y4490">
        <v>0</v>
      </c>
      <c r="Z4490">
        <v>63</v>
      </c>
      <c r="AA4490">
        <v>0</v>
      </c>
      <c r="AB4490">
        <v>6.8615009999999996</v>
      </c>
      <c r="AC4490">
        <v>1.053834E-2</v>
      </c>
      <c r="AD4490">
        <v>2.0693220000000001</v>
      </c>
      <c r="AE4490">
        <v>0.68566499999999997</v>
      </c>
      <c r="AF4490">
        <v>183.1942</v>
      </c>
      <c r="AG4490">
        <f>IFERROR(AH4490*0.1, "N/A")</f>
        <v>5.7</v>
      </c>
      <c r="AH4490">
        <v>57</v>
      </c>
      <c r="AI4490">
        <v>157.5641</v>
      </c>
      <c r="AJ4490">
        <v>17</v>
      </c>
      <c r="AK4490">
        <v>65.093699999999998</v>
      </c>
    </row>
    <row r="4491" spans="1:37" x14ac:dyDescent="0.3">
      <c r="A4491">
        <v>4490</v>
      </c>
      <c r="B4491">
        <v>3.4</v>
      </c>
      <c r="C4491">
        <v>3.0650300000000001</v>
      </c>
      <c r="D4491">
        <v>12.2173</v>
      </c>
      <c r="E4491" t="s">
        <v>7086</v>
      </c>
      <c r="F4491" t="s">
        <v>7087</v>
      </c>
      <c r="G4491" t="s">
        <v>39</v>
      </c>
      <c r="H4491">
        <v>0</v>
      </c>
      <c r="I4491">
        <v>29.1</v>
      </c>
      <c r="J4491">
        <v>13.1</v>
      </c>
      <c r="K4491">
        <v>57</v>
      </c>
      <c r="L4491">
        <v>25.018049999999999</v>
      </c>
      <c r="M4491">
        <v>40.4</v>
      </c>
      <c r="N4491">
        <v>17.7</v>
      </c>
      <c r="O4491">
        <v>22.7</v>
      </c>
      <c r="P4491">
        <v>27.6</v>
      </c>
      <c r="Q4491">
        <v>26.7</v>
      </c>
      <c r="R4491">
        <v>32.799999999999997</v>
      </c>
      <c r="S4491">
        <v>26.5</v>
      </c>
      <c r="T4491">
        <v>657.31359999999995</v>
      </c>
      <c r="U4491">
        <v>188</v>
      </c>
      <c r="V4491">
        <v>0</v>
      </c>
      <c r="W4491">
        <v>121</v>
      </c>
      <c r="X4491">
        <v>468.31360000000001</v>
      </c>
      <c r="Y4491">
        <v>0</v>
      </c>
      <c r="Z4491">
        <v>63</v>
      </c>
      <c r="AA4491">
        <v>1</v>
      </c>
      <c r="AB4491">
        <v>1.114919</v>
      </c>
      <c r="AC4491">
        <v>0.43981219999999999</v>
      </c>
      <c r="AD4491">
        <v>1.4247399999999999</v>
      </c>
      <c r="AE4491">
        <v>0.54706140000000003</v>
      </c>
      <c r="AF4491">
        <v>165.5932</v>
      </c>
      <c r="AG4491">
        <f>IFERROR(AH4491*0.1, "N/A")</f>
        <v>5.6108469999999997</v>
      </c>
      <c r="AH4491">
        <v>56.108469999999997</v>
      </c>
      <c r="AI4491">
        <v>269.88600000000002</v>
      </c>
      <c r="AJ4491">
        <v>27</v>
      </c>
      <c r="AK4491">
        <v>52</v>
      </c>
    </row>
    <row r="4492" spans="1:37" x14ac:dyDescent="0.3">
      <c r="A4492">
        <v>4491</v>
      </c>
      <c r="B4492">
        <v>0</v>
      </c>
      <c r="C4492">
        <v>3.0650300000000001</v>
      </c>
      <c r="D4492">
        <v>12.2173</v>
      </c>
      <c r="E4492" t="s">
        <v>7086</v>
      </c>
      <c r="F4492" t="s">
        <v>7088</v>
      </c>
      <c r="G4492" t="s">
        <v>37</v>
      </c>
      <c r="H4492">
        <v>0</v>
      </c>
      <c r="I4492">
        <v>29.1</v>
      </c>
      <c r="J4492">
        <v>13.1</v>
      </c>
      <c r="K4492">
        <v>57</v>
      </c>
      <c r="L4492">
        <v>25.018049999999999</v>
      </c>
      <c r="M4492">
        <v>40.4</v>
      </c>
      <c r="N4492">
        <v>17.7</v>
      </c>
      <c r="O4492">
        <v>22.7</v>
      </c>
      <c r="P4492">
        <v>27.6</v>
      </c>
      <c r="Q4492">
        <v>26.7</v>
      </c>
      <c r="R4492">
        <v>32.799999999999997</v>
      </c>
      <c r="S4492">
        <v>26.5</v>
      </c>
      <c r="T4492">
        <v>657.31359999999995</v>
      </c>
      <c r="U4492">
        <v>188</v>
      </c>
      <c r="V4492">
        <v>0</v>
      </c>
      <c r="W4492">
        <v>121</v>
      </c>
      <c r="X4492">
        <v>468.31360000000001</v>
      </c>
      <c r="Y4492">
        <v>0</v>
      </c>
      <c r="Z4492">
        <v>63</v>
      </c>
      <c r="AA4492">
        <v>1</v>
      </c>
      <c r="AB4492">
        <v>1.114919</v>
      </c>
      <c r="AC4492">
        <v>0.43981219999999999</v>
      </c>
      <c r="AD4492">
        <v>1.4247399999999999</v>
      </c>
      <c r="AE4492">
        <v>0.54706140000000003</v>
      </c>
      <c r="AF4492">
        <v>165.5932</v>
      </c>
      <c r="AG4492">
        <f>IFERROR(AH4492*0.1, "N/A")</f>
        <v>5.6108469999999997</v>
      </c>
      <c r="AH4492">
        <v>56.108469999999997</v>
      </c>
      <c r="AI4492">
        <v>269.88600000000002</v>
      </c>
      <c r="AJ4492">
        <v>27</v>
      </c>
      <c r="AK4492">
        <v>52</v>
      </c>
    </row>
    <row r="4493" spans="1:37" x14ac:dyDescent="0.3">
      <c r="A4493">
        <v>4492</v>
      </c>
      <c r="B4493">
        <v>4.2</v>
      </c>
      <c r="C4493">
        <v>3.57917</v>
      </c>
      <c r="D4493">
        <v>12.262499999999999</v>
      </c>
      <c r="E4493" t="s">
        <v>7089</v>
      </c>
      <c r="F4493" t="s">
        <v>7090</v>
      </c>
      <c r="G4493" t="s">
        <v>39</v>
      </c>
      <c r="H4493">
        <v>1987</v>
      </c>
      <c r="I4493">
        <v>29</v>
      </c>
      <c r="J4493">
        <v>13</v>
      </c>
      <c r="K4493">
        <v>57</v>
      </c>
      <c r="L4493">
        <v>24.66</v>
      </c>
      <c r="M4493">
        <v>40.299999999999997</v>
      </c>
      <c r="N4493">
        <v>17.7</v>
      </c>
      <c r="O4493">
        <v>22.6</v>
      </c>
      <c r="P4493">
        <v>27.5</v>
      </c>
      <c r="Q4493">
        <v>28.6</v>
      </c>
      <c r="R4493">
        <v>32.6</v>
      </c>
      <c r="S4493">
        <v>26.4</v>
      </c>
      <c r="T4493">
        <v>633</v>
      </c>
      <c r="U4493">
        <v>182</v>
      </c>
      <c r="V4493">
        <v>0</v>
      </c>
      <c r="W4493">
        <v>123</v>
      </c>
      <c r="X4493">
        <v>460</v>
      </c>
      <c r="Y4493">
        <v>0</v>
      </c>
      <c r="Z4493">
        <v>58</v>
      </c>
      <c r="AA4493">
        <v>0</v>
      </c>
      <c r="AB4493">
        <v>7.1573380000000002</v>
      </c>
      <c r="AC4493">
        <v>1.4973429999999999E-2</v>
      </c>
      <c r="AD4493">
        <v>1.3243400000000001</v>
      </c>
      <c r="AE4493">
        <v>0.67928310000000003</v>
      </c>
      <c r="AF4493">
        <v>183.41470000000001</v>
      </c>
      <c r="AG4493">
        <f>IFERROR(AH4493*0.1, "N/A")</f>
        <v>6</v>
      </c>
      <c r="AH4493">
        <v>60</v>
      </c>
      <c r="AI4493">
        <v>153.49529999999999</v>
      </c>
      <c r="AJ4493">
        <v>11.95392</v>
      </c>
      <c r="AK4493">
        <v>73.540959999999998</v>
      </c>
    </row>
    <row r="4494" spans="1:37" x14ac:dyDescent="0.3">
      <c r="A4494">
        <v>4493</v>
      </c>
      <c r="B4494">
        <v>0</v>
      </c>
      <c r="C4494">
        <v>3.57917</v>
      </c>
      <c r="D4494">
        <v>12.262499999999999</v>
      </c>
      <c r="E4494" t="s">
        <v>7089</v>
      </c>
      <c r="F4494" t="s">
        <v>7091</v>
      </c>
      <c r="G4494" t="s">
        <v>37</v>
      </c>
      <c r="H4494">
        <v>1987</v>
      </c>
      <c r="I4494">
        <v>29</v>
      </c>
      <c r="J4494">
        <v>13</v>
      </c>
      <c r="K4494">
        <v>57</v>
      </c>
      <c r="L4494">
        <v>24.66</v>
      </c>
      <c r="M4494">
        <v>40.299999999999997</v>
      </c>
      <c r="N4494">
        <v>17.7</v>
      </c>
      <c r="O4494">
        <v>22.6</v>
      </c>
      <c r="P4494">
        <v>27.5</v>
      </c>
      <c r="Q4494">
        <v>28.6</v>
      </c>
      <c r="R4494">
        <v>32.6</v>
      </c>
      <c r="S4494">
        <v>26.4</v>
      </c>
      <c r="T4494">
        <v>633</v>
      </c>
      <c r="U4494">
        <v>182</v>
      </c>
      <c r="V4494">
        <v>0</v>
      </c>
      <c r="W4494">
        <v>123</v>
      </c>
      <c r="X4494">
        <v>460</v>
      </c>
      <c r="Y4494">
        <v>0</v>
      </c>
      <c r="Z4494">
        <v>58</v>
      </c>
      <c r="AA4494">
        <v>0</v>
      </c>
      <c r="AB4494">
        <v>7.1573380000000002</v>
      </c>
      <c r="AC4494">
        <v>1.4973429999999999E-2</v>
      </c>
      <c r="AD4494">
        <v>1.3243400000000001</v>
      </c>
      <c r="AE4494">
        <v>0.67928310000000003</v>
      </c>
      <c r="AF4494">
        <v>183.41470000000001</v>
      </c>
      <c r="AG4494">
        <f>IFERROR(AH4494*0.1, "N/A")</f>
        <v>6</v>
      </c>
      <c r="AH4494">
        <v>60</v>
      </c>
      <c r="AI4494">
        <v>153.49529999999999</v>
      </c>
      <c r="AJ4494">
        <v>11.95392</v>
      </c>
      <c r="AK4494">
        <v>73.540959999999998</v>
      </c>
    </row>
    <row r="4495" spans="1:37" x14ac:dyDescent="0.3">
      <c r="A4495">
        <v>4494</v>
      </c>
      <c r="B4495">
        <v>2.9</v>
      </c>
      <c r="C4495">
        <v>2.9903200000000001</v>
      </c>
      <c r="D4495">
        <v>12.301399999999999</v>
      </c>
      <c r="E4495" t="s">
        <v>7092</v>
      </c>
      <c r="F4495" t="s">
        <v>7093</v>
      </c>
      <c r="G4495" t="s">
        <v>39</v>
      </c>
      <c r="H4495">
        <v>0</v>
      </c>
      <c r="I4495">
        <v>29.1</v>
      </c>
      <c r="J4495">
        <v>13.2</v>
      </c>
      <c r="K4495">
        <v>57</v>
      </c>
      <c r="L4495">
        <v>24.73</v>
      </c>
      <c r="M4495">
        <v>40.5</v>
      </c>
      <c r="N4495">
        <v>17.600000000000001</v>
      </c>
      <c r="O4495">
        <v>22.9</v>
      </c>
      <c r="P4495">
        <v>27.7</v>
      </c>
      <c r="Q4495">
        <v>26.6</v>
      </c>
      <c r="R4495">
        <v>32.700000000000003</v>
      </c>
      <c r="S4495">
        <v>26.5</v>
      </c>
      <c r="T4495">
        <v>652</v>
      </c>
      <c r="U4495">
        <v>191</v>
      </c>
      <c r="V4495">
        <v>0</v>
      </c>
      <c r="W4495">
        <v>121</v>
      </c>
      <c r="X4495">
        <v>466</v>
      </c>
      <c r="Y4495">
        <v>0</v>
      </c>
      <c r="Z4495">
        <v>61</v>
      </c>
      <c r="AA4495">
        <v>1</v>
      </c>
      <c r="AB4495">
        <v>4.8130290000000002</v>
      </c>
      <c r="AC4495">
        <v>9.6136759999999998E-3</v>
      </c>
      <c r="AD4495">
        <v>1.5442549999999999</v>
      </c>
      <c r="AE4495">
        <v>0.62338899999999997</v>
      </c>
      <c r="AF4495">
        <v>166.7834</v>
      </c>
      <c r="AG4495">
        <f>IFERROR(AH4495*0.1, "N/A")</f>
        <v>5.9050760000000002</v>
      </c>
      <c r="AH4495">
        <v>59.050759999999997</v>
      </c>
      <c r="AI4495">
        <v>88.747159999999994</v>
      </c>
      <c r="AJ4495">
        <v>18.21827</v>
      </c>
      <c r="AK4495">
        <v>62.027070000000002</v>
      </c>
    </row>
    <row r="4496" spans="1:37" x14ac:dyDescent="0.3">
      <c r="A4496">
        <v>4495</v>
      </c>
      <c r="B4496">
        <v>0</v>
      </c>
      <c r="C4496">
        <v>2.9903200000000001</v>
      </c>
      <c r="D4496">
        <v>12.301399999999999</v>
      </c>
      <c r="E4496" t="s">
        <v>7092</v>
      </c>
      <c r="F4496" t="s">
        <v>7094</v>
      </c>
      <c r="G4496" t="s">
        <v>37</v>
      </c>
      <c r="H4496">
        <v>0</v>
      </c>
      <c r="I4496">
        <v>29.1</v>
      </c>
      <c r="J4496">
        <v>13.2</v>
      </c>
      <c r="K4496">
        <v>57</v>
      </c>
      <c r="L4496">
        <v>24.73</v>
      </c>
      <c r="M4496">
        <v>40.5</v>
      </c>
      <c r="N4496">
        <v>17.600000000000001</v>
      </c>
      <c r="O4496">
        <v>22.9</v>
      </c>
      <c r="P4496">
        <v>27.7</v>
      </c>
      <c r="Q4496">
        <v>26.6</v>
      </c>
      <c r="R4496">
        <v>32.700000000000003</v>
      </c>
      <c r="S4496">
        <v>26.5</v>
      </c>
      <c r="T4496">
        <v>652</v>
      </c>
      <c r="U4496">
        <v>191</v>
      </c>
      <c r="V4496">
        <v>0</v>
      </c>
      <c r="W4496">
        <v>121</v>
      </c>
      <c r="X4496">
        <v>466</v>
      </c>
      <c r="Y4496">
        <v>0</v>
      </c>
      <c r="Z4496">
        <v>61</v>
      </c>
      <c r="AA4496">
        <v>1</v>
      </c>
      <c r="AB4496">
        <v>4.8130290000000002</v>
      </c>
      <c r="AC4496">
        <v>9.6136759999999998E-3</v>
      </c>
      <c r="AD4496">
        <v>1.5442549999999999</v>
      </c>
      <c r="AE4496">
        <v>0.62338899999999997</v>
      </c>
      <c r="AF4496">
        <v>166.7834</v>
      </c>
      <c r="AG4496">
        <f>IFERROR(AH4496*0.1, "N/A")</f>
        <v>5.9050760000000002</v>
      </c>
      <c r="AH4496">
        <v>59.050759999999997</v>
      </c>
      <c r="AI4496">
        <v>88.747159999999994</v>
      </c>
      <c r="AJ4496">
        <v>18.21827</v>
      </c>
      <c r="AK4496">
        <v>62.027070000000002</v>
      </c>
    </row>
    <row r="4497" spans="1:37" x14ac:dyDescent="0.3">
      <c r="A4497">
        <v>4496</v>
      </c>
      <c r="B4497">
        <v>42.4</v>
      </c>
      <c r="C4497">
        <v>3.42889</v>
      </c>
      <c r="D4497">
        <v>12.327500000000001</v>
      </c>
      <c r="E4497" t="s">
        <v>7095</v>
      </c>
      <c r="F4497" t="s">
        <v>7096</v>
      </c>
      <c r="G4497" t="s">
        <v>39</v>
      </c>
      <c r="H4497">
        <v>1987</v>
      </c>
      <c r="I4497">
        <v>29.1</v>
      </c>
      <c r="J4497">
        <v>13</v>
      </c>
      <c r="K4497">
        <v>57</v>
      </c>
      <c r="L4497">
        <v>24.88</v>
      </c>
      <c r="M4497">
        <v>40.4</v>
      </c>
      <c r="N4497">
        <v>17.7</v>
      </c>
      <c r="O4497">
        <v>22.7</v>
      </c>
      <c r="P4497">
        <v>27.6</v>
      </c>
      <c r="Q4497">
        <v>26.4</v>
      </c>
      <c r="R4497">
        <v>32.6</v>
      </c>
      <c r="S4497">
        <v>26.4</v>
      </c>
      <c r="T4497">
        <v>623</v>
      </c>
      <c r="U4497">
        <v>181</v>
      </c>
      <c r="V4497">
        <v>0</v>
      </c>
      <c r="W4497">
        <v>124</v>
      </c>
      <c r="X4497">
        <v>451</v>
      </c>
      <c r="Y4497">
        <v>0</v>
      </c>
      <c r="Z4497">
        <v>58</v>
      </c>
      <c r="AA4497">
        <v>0</v>
      </c>
      <c r="AB4497">
        <v>3.7129180000000002</v>
      </c>
      <c r="AC4497">
        <v>5.5800359999999998</v>
      </c>
      <c r="AD4497">
        <v>1.051795</v>
      </c>
      <c r="AE4497">
        <v>0.68000130000000003</v>
      </c>
      <c r="AF4497">
        <v>181.2602</v>
      </c>
      <c r="AG4497">
        <f>IFERROR(AH4497*0.1, "N/A")</f>
        <v>5.5433669999999999</v>
      </c>
      <c r="AH4497">
        <v>55.433669999999999</v>
      </c>
      <c r="AI4497">
        <v>63.787230000000001</v>
      </c>
      <c r="AJ4497">
        <v>11.566330000000001</v>
      </c>
      <c r="AK4497">
        <v>72.433670000000006</v>
      </c>
    </row>
    <row r="4498" spans="1:37" x14ac:dyDescent="0.3">
      <c r="A4498">
        <v>4497</v>
      </c>
      <c r="B4498">
        <v>41.4</v>
      </c>
      <c r="C4498">
        <v>3.42889</v>
      </c>
      <c r="D4498">
        <v>12.327500000000001</v>
      </c>
      <c r="E4498" t="s">
        <v>7095</v>
      </c>
      <c r="F4498" t="s">
        <v>7097</v>
      </c>
      <c r="G4498" t="s">
        <v>37</v>
      </c>
      <c r="H4498">
        <v>1987</v>
      </c>
      <c r="I4498">
        <v>29.1</v>
      </c>
      <c r="J4498">
        <v>13</v>
      </c>
      <c r="K4498">
        <v>57</v>
      </c>
      <c r="L4498">
        <v>24.88</v>
      </c>
      <c r="M4498">
        <v>40.4</v>
      </c>
      <c r="N4498">
        <v>17.7</v>
      </c>
      <c r="O4498">
        <v>22.7</v>
      </c>
      <c r="P4498">
        <v>27.6</v>
      </c>
      <c r="Q4498">
        <v>26.4</v>
      </c>
      <c r="R4498">
        <v>32.6</v>
      </c>
      <c r="S4498">
        <v>26.4</v>
      </c>
      <c r="T4498">
        <v>623</v>
      </c>
      <c r="U4498">
        <v>181</v>
      </c>
      <c r="V4498">
        <v>0</v>
      </c>
      <c r="W4498">
        <v>124</v>
      </c>
      <c r="X4498">
        <v>451</v>
      </c>
      <c r="Y4498">
        <v>0</v>
      </c>
      <c r="Z4498">
        <v>58</v>
      </c>
      <c r="AA4498">
        <v>0</v>
      </c>
      <c r="AB4498">
        <v>3.7129180000000002</v>
      </c>
      <c r="AC4498">
        <v>5.5800359999999998</v>
      </c>
      <c r="AD4498">
        <v>1.051795</v>
      </c>
      <c r="AE4498">
        <v>0.68000130000000003</v>
      </c>
      <c r="AF4498">
        <v>181.2602</v>
      </c>
      <c r="AG4498">
        <f>IFERROR(AH4498*0.1, "N/A")</f>
        <v>5.5433669999999999</v>
      </c>
      <c r="AH4498">
        <v>55.433669999999999</v>
      </c>
      <c r="AI4498">
        <v>63.787230000000001</v>
      </c>
      <c r="AJ4498">
        <v>11.566330000000001</v>
      </c>
      <c r="AK4498">
        <v>72.433670000000006</v>
      </c>
    </row>
    <row r="4499" spans="1:37" x14ac:dyDescent="0.3">
      <c r="A4499">
        <v>4498</v>
      </c>
      <c r="B4499">
        <v>26.7</v>
      </c>
      <c r="C4499">
        <v>3.4319999999999999</v>
      </c>
      <c r="D4499">
        <v>12.334</v>
      </c>
      <c r="E4499" t="s">
        <v>7098</v>
      </c>
      <c r="F4499" t="s">
        <v>7099</v>
      </c>
      <c r="G4499" t="s">
        <v>39</v>
      </c>
      <c r="H4499">
        <v>0</v>
      </c>
      <c r="I4499">
        <v>29.1</v>
      </c>
      <c r="J4499">
        <v>13</v>
      </c>
      <c r="K4499">
        <v>57</v>
      </c>
      <c r="L4499">
        <v>24.82</v>
      </c>
      <c r="M4499">
        <v>40.4</v>
      </c>
      <c r="N4499">
        <v>17.7</v>
      </c>
      <c r="O4499">
        <v>22.7</v>
      </c>
      <c r="P4499">
        <v>27.6</v>
      </c>
      <c r="Q4499">
        <v>26.4</v>
      </c>
      <c r="R4499">
        <v>32.6</v>
      </c>
      <c r="S4499">
        <v>26.4</v>
      </c>
      <c r="T4499">
        <v>622</v>
      </c>
      <c r="U4499">
        <v>181</v>
      </c>
      <c r="V4499">
        <v>0</v>
      </c>
      <c r="W4499">
        <v>123</v>
      </c>
      <c r="X4499">
        <v>450</v>
      </c>
      <c r="Y4499">
        <v>0</v>
      </c>
      <c r="Z4499">
        <v>58</v>
      </c>
      <c r="AA4499">
        <v>0</v>
      </c>
      <c r="AB4499">
        <v>4.3855250000000003</v>
      </c>
      <c r="AC4499">
        <v>8.8382970000000002E-3</v>
      </c>
      <c r="AD4499">
        <v>1.920164</v>
      </c>
      <c r="AE4499">
        <v>0.67918230000000002</v>
      </c>
      <c r="AF4499">
        <v>180.6865</v>
      </c>
      <c r="AG4499">
        <f>IFERROR(AH4499*0.1, "N/A")</f>
        <v>5.9081770000000002</v>
      </c>
      <c r="AH4499">
        <v>59.081769999999999</v>
      </c>
      <c r="AI4499">
        <v>93.813990000000004</v>
      </c>
      <c r="AJ4499">
        <v>29.407160000000001</v>
      </c>
      <c r="AK4499">
        <v>50.53152</v>
      </c>
    </row>
    <row r="4500" spans="1:37" x14ac:dyDescent="0.3">
      <c r="A4500">
        <v>4499</v>
      </c>
      <c r="B4500">
        <v>23.3</v>
      </c>
      <c r="C4500">
        <v>3.4319999999999999</v>
      </c>
      <c r="D4500">
        <v>12.334</v>
      </c>
      <c r="E4500" t="s">
        <v>7098</v>
      </c>
      <c r="F4500" t="s">
        <v>7100</v>
      </c>
      <c r="G4500" t="s">
        <v>37</v>
      </c>
      <c r="H4500">
        <v>0</v>
      </c>
      <c r="I4500">
        <v>29.1</v>
      </c>
      <c r="J4500">
        <v>13</v>
      </c>
      <c r="K4500">
        <v>57</v>
      </c>
      <c r="L4500">
        <v>24.82</v>
      </c>
      <c r="M4500">
        <v>40.4</v>
      </c>
      <c r="N4500">
        <v>17.7</v>
      </c>
      <c r="O4500">
        <v>22.7</v>
      </c>
      <c r="P4500">
        <v>27.6</v>
      </c>
      <c r="Q4500">
        <v>26.4</v>
      </c>
      <c r="R4500">
        <v>32.6</v>
      </c>
      <c r="S4500">
        <v>26.4</v>
      </c>
      <c r="T4500">
        <v>622</v>
      </c>
      <c r="U4500">
        <v>181</v>
      </c>
      <c r="V4500">
        <v>0</v>
      </c>
      <c r="W4500">
        <v>123</v>
      </c>
      <c r="X4500">
        <v>450</v>
      </c>
      <c r="Y4500">
        <v>0</v>
      </c>
      <c r="Z4500">
        <v>58</v>
      </c>
      <c r="AA4500">
        <v>0</v>
      </c>
      <c r="AB4500">
        <v>4.3855250000000003</v>
      </c>
      <c r="AC4500">
        <v>8.8382970000000002E-3</v>
      </c>
      <c r="AD4500">
        <v>1.920164</v>
      </c>
      <c r="AE4500">
        <v>0.67918230000000002</v>
      </c>
      <c r="AF4500">
        <v>180.6865</v>
      </c>
      <c r="AG4500">
        <f>IFERROR(AH4500*0.1, "N/A")</f>
        <v>5.9081770000000002</v>
      </c>
      <c r="AH4500">
        <v>59.081769999999999</v>
      </c>
      <c r="AI4500">
        <v>93.813990000000004</v>
      </c>
      <c r="AJ4500">
        <v>29.407160000000001</v>
      </c>
      <c r="AK4500">
        <v>50.53152</v>
      </c>
    </row>
    <row r="4501" spans="1:37" x14ac:dyDescent="0.3">
      <c r="A4501">
        <v>4500</v>
      </c>
      <c r="B4501">
        <v>3</v>
      </c>
      <c r="C4501">
        <v>3.4333300000000002</v>
      </c>
      <c r="D4501">
        <v>12.3833</v>
      </c>
      <c r="E4501" t="s">
        <v>7101</v>
      </c>
      <c r="F4501" t="s">
        <v>7102</v>
      </c>
      <c r="G4501" t="s">
        <v>39</v>
      </c>
      <c r="H4501">
        <v>1987</v>
      </c>
      <c r="I4501">
        <v>29</v>
      </c>
      <c r="J4501">
        <v>13.1</v>
      </c>
      <c r="K4501">
        <v>57</v>
      </c>
      <c r="L4501">
        <v>24.95383</v>
      </c>
      <c r="M4501">
        <v>40.4</v>
      </c>
      <c r="N4501">
        <v>17.62453</v>
      </c>
      <c r="O4501">
        <v>22.775469999999999</v>
      </c>
      <c r="P4501">
        <v>27.578019999999999</v>
      </c>
      <c r="Q4501">
        <v>26.346509999999999</v>
      </c>
      <c r="R4501">
        <v>32.6</v>
      </c>
      <c r="S4501">
        <v>26.346509999999999</v>
      </c>
      <c r="T4501">
        <v>621</v>
      </c>
      <c r="U4501">
        <v>182</v>
      </c>
      <c r="V4501">
        <v>0</v>
      </c>
      <c r="W4501">
        <v>124</v>
      </c>
      <c r="X4501">
        <v>450</v>
      </c>
      <c r="Y4501">
        <v>0</v>
      </c>
      <c r="Z4501">
        <v>57</v>
      </c>
      <c r="AA4501">
        <v>0</v>
      </c>
      <c r="AB4501">
        <v>6.4565539999999997</v>
      </c>
      <c r="AC4501">
        <v>1.4514320000000001E-2</v>
      </c>
      <c r="AD4501">
        <v>1.417206</v>
      </c>
      <c r="AE4501">
        <v>0.68492839999999999</v>
      </c>
      <c r="AF4501">
        <v>185.8348</v>
      </c>
      <c r="AG4501">
        <f>IFERROR(AH4501*0.1, "N/A")</f>
        <v>5.2558770000000008</v>
      </c>
      <c r="AH4501">
        <v>52.558770000000003</v>
      </c>
      <c r="AI4501">
        <v>233.33410000000001</v>
      </c>
      <c r="AJ4501">
        <v>14.03918</v>
      </c>
      <c r="AK4501">
        <v>68.480410000000006</v>
      </c>
    </row>
    <row r="4502" spans="1:37" x14ac:dyDescent="0.3">
      <c r="A4502">
        <v>4501</v>
      </c>
      <c r="B4502">
        <v>14.1</v>
      </c>
      <c r="C4502">
        <v>3.4333300000000002</v>
      </c>
      <c r="D4502">
        <v>12.3833</v>
      </c>
      <c r="E4502" t="s">
        <v>7101</v>
      </c>
      <c r="F4502" t="s">
        <v>7103</v>
      </c>
      <c r="G4502" t="s">
        <v>37</v>
      </c>
      <c r="H4502">
        <v>1987</v>
      </c>
      <c r="I4502">
        <v>29</v>
      </c>
      <c r="J4502">
        <v>13.1</v>
      </c>
      <c r="K4502">
        <v>57</v>
      </c>
      <c r="L4502">
        <v>24.95383</v>
      </c>
      <c r="M4502">
        <v>40.4</v>
      </c>
      <c r="N4502">
        <v>17.62453</v>
      </c>
      <c r="O4502">
        <v>22.775469999999999</v>
      </c>
      <c r="P4502">
        <v>27.578019999999999</v>
      </c>
      <c r="Q4502">
        <v>26.346509999999999</v>
      </c>
      <c r="R4502">
        <v>32.6</v>
      </c>
      <c r="S4502">
        <v>26.346509999999999</v>
      </c>
      <c r="T4502">
        <v>621</v>
      </c>
      <c r="U4502">
        <v>182</v>
      </c>
      <c r="V4502">
        <v>0</v>
      </c>
      <c r="W4502">
        <v>124</v>
      </c>
      <c r="X4502">
        <v>450</v>
      </c>
      <c r="Y4502">
        <v>0</v>
      </c>
      <c r="Z4502">
        <v>57</v>
      </c>
      <c r="AA4502">
        <v>0</v>
      </c>
      <c r="AB4502">
        <v>6.4565539999999997</v>
      </c>
      <c r="AC4502">
        <v>1.4514320000000001E-2</v>
      </c>
      <c r="AD4502">
        <v>1.417206</v>
      </c>
      <c r="AE4502">
        <v>0.68492839999999999</v>
      </c>
      <c r="AF4502">
        <v>185.8348</v>
      </c>
      <c r="AG4502">
        <f>IFERROR(AH4502*0.1, "N/A")</f>
        <v>5.2558770000000008</v>
      </c>
      <c r="AH4502">
        <v>52.558770000000003</v>
      </c>
      <c r="AI4502">
        <v>233.33410000000001</v>
      </c>
      <c r="AJ4502">
        <v>14.03918</v>
      </c>
      <c r="AK4502">
        <v>68.480410000000006</v>
      </c>
    </row>
    <row r="4503" spans="1:37" x14ac:dyDescent="0.3">
      <c r="A4503">
        <v>4502</v>
      </c>
      <c r="B4503">
        <v>14</v>
      </c>
      <c r="C4503">
        <v>3.5833300000000001</v>
      </c>
      <c r="D4503">
        <v>12.4</v>
      </c>
      <c r="E4503" t="s">
        <v>7104</v>
      </c>
      <c r="F4503" t="s">
        <v>7105</v>
      </c>
      <c r="G4503" t="s">
        <v>39</v>
      </c>
      <c r="H4503">
        <v>1987</v>
      </c>
      <c r="I4503">
        <v>28.95373</v>
      </c>
      <c r="J4503">
        <v>13.1</v>
      </c>
      <c r="K4503">
        <v>57</v>
      </c>
      <c r="L4503">
        <v>24.855309999999999</v>
      </c>
      <c r="M4503">
        <v>40.353729999999999</v>
      </c>
      <c r="N4503">
        <v>17.553730000000002</v>
      </c>
      <c r="O4503">
        <v>22.8</v>
      </c>
      <c r="P4503">
        <v>27.553730000000002</v>
      </c>
      <c r="Q4503">
        <v>26.311360000000001</v>
      </c>
      <c r="R4503">
        <v>32.542369999999998</v>
      </c>
      <c r="S4503">
        <v>26.311360000000001</v>
      </c>
      <c r="T4503">
        <v>625.8356</v>
      </c>
      <c r="U4503">
        <v>180.5763</v>
      </c>
      <c r="V4503">
        <v>0</v>
      </c>
      <c r="W4503">
        <v>122.3339</v>
      </c>
      <c r="X4503">
        <v>455.2441</v>
      </c>
      <c r="Y4503">
        <v>0</v>
      </c>
      <c r="Z4503">
        <v>56.128810000000001</v>
      </c>
      <c r="AA4503">
        <v>0</v>
      </c>
      <c r="AB4503">
        <v>9.5072890000000001</v>
      </c>
      <c r="AC4503">
        <v>4.5399830000000002E-2</v>
      </c>
      <c r="AD4503">
        <v>1.4633620000000001</v>
      </c>
      <c r="AE4503">
        <v>0.66973240000000001</v>
      </c>
      <c r="AF4503">
        <v>189.0136</v>
      </c>
      <c r="AG4503">
        <f>IFERROR(AH4503*0.1, "N/A")</f>
        <v>5.4077970000000004</v>
      </c>
      <c r="AH4503">
        <v>54.077970000000001</v>
      </c>
      <c r="AI4503">
        <v>191.05840000000001</v>
      </c>
      <c r="AJ4503">
        <v>10.94068</v>
      </c>
      <c r="AK4503">
        <v>75.015249999999995</v>
      </c>
    </row>
    <row r="4504" spans="1:37" x14ac:dyDescent="0.3">
      <c r="A4504">
        <v>4503</v>
      </c>
      <c r="B4504">
        <v>0</v>
      </c>
      <c r="C4504">
        <v>3.5833300000000001</v>
      </c>
      <c r="D4504">
        <v>12.4</v>
      </c>
      <c r="E4504" t="s">
        <v>7104</v>
      </c>
      <c r="F4504" t="s">
        <v>7106</v>
      </c>
      <c r="G4504" t="s">
        <v>37</v>
      </c>
      <c r="H4504">
        <v>1987</v>
      </c>
      <c r="I4504">
        <v>28.95373</v>
      </c>
      <c r="J4504">
        <v>13.1</v>
      </c>
      <c r="K4504">
        <v>57</v>
      </c>
      <c r="L4504">
        <v>24.855309999999999</v>
      </c>
      <c r="M4504">
        <v>40.353729999999999</v>
      </c>
      <c r="N4504">
        <v>17.553730000000002</v>
      </c>
      <c r="O4504">
        <v>22.8</v>
      </c>
      <c r="P4504">
        <v>27.553730000000002</v>
      </c>
      <c r="Q4504">
        <v>26.311360000000001</v>
      </c>
      <c r="R4504">
        <v>32.542369999999998</v>
      </c>
      <c r="S4504">
        <v>26.311360000000001</v>
      </c>
      <c r="T4504">
        <v>625.8356</v>
      </c>
      <c r="U4504">
        <v>180.5763</v>
      </c>
      <c r="V4504">
        <v>0</v>
      </c>
      <c r="W4504">
        <v>122.3339</v>
      </c>
      <c r="X4504">
        <v>455.2441</v>
      </c>
      <c r="Y4504">
        <v>0</v>
      </c>
      <c r="Z4504">
        <v>56.128810000000001</v>
      </c>
      <c r="AA4504">
        <v>0</v>
      </c>
      <c r="AB4504">
        <v>9.5072890000000001</v>
      </c>
      <c r="AC4504">
        <v>4.5399830000000002E-2</v>
      </c>
      <c r="AD4504">
        <v>1.4633620000000001</v>
      </c>
      <c r="AE4504">
        <v>0.66973240000000001</v>
      </c>
      <c r="AF4504">
        <v>189.0136</v>
      </c>
      <c r="AG4504">
        <f>IFERROR(AH4504*0.1, "N/A")</f>
        <v>5.4077970000000004</v>
      </c>
      <c r="AH4504">
        <v>54.077970000000001</v>
      </c>
      <c r="AI4504">
        <v>191.05840000000001</v>
      </c>
      <c r="AJ4504">
        <v>10.94068</v>
      </c>
      <c r="AK4504">
        <v>75.015249999999995</v>
      </c>
    </row>
    <row r="4505" spans="1:37" x14ac:dyDescent="0.3">
      <c r="A4505">
        <v>4504</v>
      </c>
      <c r="B4505">
        <v>16</v>
      </c>
      <c r="C4505">
        <v>2.84558</v>
      </c>
      <c r="D4505">
        <v>12.407299999999999</v>
      </c>
      <c r="E4505" t="s">
        <v>7107</v>
      </c>
      <c r="F4505" t="s">
        <v>7108</v>
      </c>
      <c r="G4505" t="s">
        <v>39</v>
      </c>
      <c r="H4505">
        <v>0</v>
      </c>
      <c r="I4505">
        <v>29.1</v>
      </c>
      <c r="J4505">
        <v>13.3</v>
      </c>
      <c r="K4505">
        <v>57</v>
      </c>
      <c r="L4505">
        <v>25.09</v>
      </c>
      <c r="M4505">
        <v>40.5</v>
      </c>
      <c r="N4505">
        <v>17.399999999999999</v>
      </c>
      <c r="O4505">
        <v>23.1</v>
      </c>
      <c r="P4505">
        <v>27.7</v>
      </c>
      <c r="Q4505">
        <v>26.5</v>
      </c>
      <c r="R4505">
        <v>32.700000000000003</v>
      </c>
      <c r="S4505">
        <v>26.5</v>
      </c>
      <c r="T4505">
        <v>646</v>
      </c>
      <c r="U4505">
        <v>196</v>
      </c>
      <c r="V4505">
        <v>0</v>
      </c>
      <c r="W4505">
        <v>123</v>
      </c>
      <c r="X4505">
        <v>464</v>
      </c>
      <c r="Y4505">
        <v>0</v>
      </c>
      <c r="Z4505">
        <v>57</v>
      </c>
      <c r="AA4505">
        <v>1</v>
      </c>
      <c r="AB4505">
        <v>9.0913660000000007</v>
      </c>
      <c r="AC4505">
        <v>1.201232E-2</v>
      </c>
      <c r="AD4505">
        <v>1.4539040000000001</v>
      </c>
      <c r="AE4505">
        <v>0.55083479999999996</v>
      </c>
      <c r="AF4505">
        <v>171.19460000000001</v>
      </c>
      <c r="AG4505">
        <f>IFERROR(AH4505*0.1, "N/A")</f>
        <v>5.874619</v>
      </c>
      <c r="AH4505">
        <v>58.746189999999999</v>
      </c>
      <c r="AI4505">
        <v>252.7655</v>
      </c>
      <c r="AJ4505">
        <v>25.306260000000002</v>
      </c>
      <c r="AK4505">
        <v>51.460239999999999</v>
      </c>
    </row>
    <row r="4506" spans="1:37" x14ac:dyDescent="0.3">
      <c r="A4506">
        <v>4505</v>
      </c>
      <c r="B4506">
        <v>0</v>
      </c>
      <c r="C4506">
        <v>2.84558</v>
      </c>
      <c r="D4506">
        <v>12.407299999999999</v>
      </c>
      <c r="E4506" t="s">
        <v>7107</v>
      </c>
      <c r="F4506" t="s">
        <v>7109</v>
      </c>
      <c r="G4506" t="s">
        <v>37</v>
      </c>
      <c r="H4506">
        <v>0</v>
      </c>
      <c r="I4506">
        <v>29.1</v>
      </c>
      <c r="J4506">
        <v>13.3</v>
      </c>
      <c r="K4506">
        <v>57</v>
      </c>
      <c r="L4506">
        <v>25.09</v>
      </c>
      <c r="M4506">
        <v>40.5</v>
      </c>
      <c r="N4506">
        <v>17.399999999999999</v>
      </c>
      <c r="O4506">
        <v>23.1</v>
      </c>
      <c r="P4506">
        <v>27.7</v>
      </c>
      <c r="Q4506">
        <v>26.5</v>
      </c>
      <c r="R4506">
        <v>32.700000000000003</v>
      </c>
      <c r="S4506">
        <v>26.5</v>
      </c>
      <c r="T4506">
        <v>646</v>
      </c>
      <c r="U4506">
        <v>196</v>
      </c>
      <c r="V4506">
        <v>0</v>
      </c>
      <c r="W4506">
        <v>123</v>
      </c>
      <c r="X4506">
        <v>464</v>
      </c>
      <c r="Y4506">
        <v>0</v>
      </c>
      <c r="Z4506">
        <v>57</v>
      </c>
      <c r="AA4506">
        <v>1</v>
      </c>
      <c r="AB4506">
        <v>9.0913660000000007</v>
      </c>
      <c r="AC4506">
        <v>1.201232E-2</v>
      </c>
      <c r="AD4506">
        <v>1.4539040000000001</v>
      </c>
      <c r="AE4506">
        <v>0.55083479999999996</v>
      </c>
      <c r="AF4506">
        <v>171.19460000000001</v>
      </c>
      <c r="AG4506">
        <f>IFERROR(AH4506*0.1, "N/A")</f>
        <v>5.874619</v>
      </c>
      <c r="AH4506">
        <v>58.746189999999999</v>
      </c>
      <c r="AI4506">
        <v>252.7655</v>
      </c>
      <c r="AJ4506">
        <v>25.306260000000002</v>
      </c>
      <c r="AK4506">
        <v>51.460239999999999</v>
      </c>
    </row>
    <row r="4507" spans="1:37" x14ac:dyDescent="0.3">
      <c r="A4507">
        <v>4506</v>
      </c>
      <c r="B4507">
        <v>84</v>
      </c>
      <c r="C4507">
        <v>2.8786499999999999</v>
      </c>
      <c r="D4507">
        <v>12.4495</v>
      </c>
      <c r="E4507" t="s">
        <v>7110</v>
      </c>
      <c r="F4507" t="s">
        <v>7111</v>
      </c>
      <c r="G4507" t="s">
        <v>39</v>
      </c>
      <c r="H4507">
        <v>0</v>
      </c>
      <c r="I4507">
        <v>29.1</v>
      </c>
      <c r="J4507">
        <v>13.330679999999999</v>
      </c>
      <c r="K4507">
        <v>57</v>
      </c>
      <c r="L4507">
        <v>25.243860000000002</v>
      </c>
      <c r="M4507">
        <v>40.5</v>
      </c>
      <c r="N4507">
        <v>17.3</v>
      </c>
      <c r="O4507">
        <v>23.2</v>
      </c>
      <c r="P4507">
        <v>27.8</v>
      </c>
      <c r="Q4507">
        <v>26.4</v>
      </c>
      <c r="R4507">
        <v>32.700000000000003</v>
      </c>
      <c r="S4507">
        <v>26.3</v>
      </c>
      <c r="T4507">
        <v>641</v>
      </c>
      <c r="U4507">
        <v>196</v>
      </c>
      <c r="V4507">
        <v>0</v>
      </c>
      <c r="W4507">
        <v>123</v>
      </c>
      <c r="X4507">
        <v>461</v>
      </c>
      <c r="Y4507">
        <v>0</v>
      </c>
      <c r="Z4507">
        <v>56</v>
      </c>
      <c r="AA4507">
        <v>2</v>
      </c>
      <c r="AB4507">
        <v>3.5059300000000002</v>
      </c>
      <c r="AC4507">
        <v>8.6621619999999993E-3</v>
      </c>
      <c r="AD4507">
        <v>1.1085590000000001</v>
      </c>
      <c r="AE4507">
        <v>0.68863129999999995</v>
      </c>
      <c r="AF4507">
        <v>176.6729</v>
      </c>
      <c r="AG4507">
        <f>IFERROR(AH4507*0.1, "N/A")</f>
        <v>5.6774580000000006</v>
      </c>
      <c r="AH4507">
        <v>56.77458</v>
      </c>
      <c r="AI4507">
        <v>130.03980000000001</v>
      </c>
      <c r="AJ4507">
        <v>11</v>
      </c>
      <c r="AK4507">
        <v>78.301689999999994</v>
      </c>
    </row>
    <row r="4508" spans="1:37" x14ac:dyDescent="0.3">
      <c r="A4508">
        <v>4507</v>
      </c>
      <c r="B4508">
        <v>0</v>
      </c>
      <c r="C4508">
        <v>2.8786499999999999</v>
      </c>
      <c r="D4508">
        <v>12.4495</v>
      </c>
      <c r="E4508" t="s">
        <v>7110</v>
      </c>
      <c r="F4508" t="s">
        <v>7112</v>
      </c>
      <c r="G4508" t="s">
        <v>37</v>
      </c>
      <c r="H4508">
        <v>0</v>
      </c>
      <c r="I4508">
        <v>29.1</v>
      </c>
      <c r="J4508">
        <v>13.330679999999999</v>
      </c>
      <c r="K4508">
        <v>57</v>
      </c>
      <c r="L4508">
        <v>25.243860000000002</v>
      </c>
      <c r="M4508">
        <v>40.5</v>
      </c>
      <c r="N4508">
        <v>17.3</v>
      </c>
      <c r="O4508">
        <v>23.2</v>
      </c>
      <c r="P4508">
        <v>27.8</v>
      </c>
      <c r="Q4508">
        <v>26.4</v>
      </c>
      <c r="R4508">
        <v>32.700000000000003</v>
      </c>
      <c r="S4508">
        <v>26.3</v>
      </c>
      <c r="T4508">
        <v>641</v>
      </c>
      <c r="U4508">
        <v>196</v>
      </c>
      <c r="V4508">
        <v>0</v>
      </c>
      <c r="W4508">
        <v>123</v>
      </c>
      <c r="X4508">
        <v>461</v>
      </c>
      <c r="Y4508">
        <v>0</v>
      </c>
      <c r="Z4508">
        <v>56</v>
      </c>
      <c r="AA4508">
        <v>2</v>
      </c>
      <c r="AB4508">
        <v>3.5059300000000002</v>
      </c>
      <c r="AC4508">
        <v>8.6621619999999993E-3</v>
      </c>
      <c r="AD4508">
        <v>1.1085590000000001</v>
      </c>
      <c r="AE4508">
        <v>0.68863129999999995</v>
      </c>
      <c r="AF4508">
        <v>176.6729</v>
      </c>
      <c r="AG4508">
        <f>IFERROR(AH4508*0.1, "N/A")</f>
        <v>5.6774580000000006</v>
      </c>
      <c r="AH4508">
        <v>56.77458</v>
      </c>
      <c r="AI4508">
        <v>130.03980000000001</v>
      </c>
      <c r="AJ4508">
        <v>11</v>
      </c>
      <c r="AK4508">
        <v>78.301689999999994</v>
      </c>
    </row>
    <row r="4509" spans="1:37" x14ac:dyDescent="0.3">
      <c r="A4509">
        <v>4508</v>
      </c>
      <c r="B4509">
        <v>100</v>
      </c>
      <c r="C4509">
        <v>2.36</v>
      </c>
      <c r="D4509">
        <v>12.491899999999999</v>
      </c>
      <c r="E4509" t="s">
        <v>7113</v>
      </c>
      <c r="F4509" t="s">
        <v>7114</v>
      </c>
      <c r="G4509" t="s">
        <v>39</v>
      </c>
      <c r="H4509">
        <v>0</v>
      </c>
      <c r="I4509">
        <v>28.7</v>
      </c>
      <c r="J4509">
        <v>13.6</v>
      </c>
      <c r="K4509">
        <v>58</v>
      </c>
      <c r="L4509">
        <v>24.7882</v>
      </c>
      <c r="M4509">
        <v>40</v>
      </c>
      <c r="N4509">
        <v>16.600000000000001</v>
      </c>
      <c r="O4509">
        <v>23.4</v>
      </c>
      <c r="P4509">
        <v>27.4</v>
      </c>
      <c r="Q4509">
        <v>25.954499999999999</v>
      </c>
      <c r="R4509">
        <v>32.1</v>
      </c>
      <c r="S4509">
        <v>25.954499999999999</v>
      </c>
      <c r="T4509">
        <v>654.54499999999996</v>
      </c>
      <c r="U4509">
        <v>196</v>
      </c>
      <c r="V4509">
        <v>0</v>
      </c>
      <c r="W4509">
        <v>124</v>
      </c>
      <c r="X4509">
        <v>479</v>
      </c>
      <c r="Y4509">
        <v>0</v>
      </c>
      <c r="Z4509">
        <v>55.544989999999999</v>
      </c>
      <c r="AA4509">
        <v>0</v>
      </c>
      <c r="AB4509">
        <v>0.40883120000000001</v>
      </c>
      <c r="AC4509">
        <v>98.046149999999997</v>
      </c>
      <c r="AD4509">
        <v>0.82384650000000004</v>
      </c>
      <c r="AE4509">
        <v>0.245255</v>
      </c>
      <c r="AF4509">
        <v>234.23259999999999</v>
      </c>
      <c r="AG4509">
        <f>IFERROR(AH4509*0.1, "N/A")</f>
        <v>5.8996600000000008</v>
      </c>
      <c r="AH4509">
        <v>58.996600000000001</v>
      </c>
      <c r="AI4509">
        <v>185.60390000000001</v>
      </c>
      <c r="AJ4509">
        <v>28.003399999999999</v>
      </c>
      <c r="AK4509">
        <v>43</v>
      </c>
    </row>
    <row r="4510" spans="1:37" x14ac:dyDescent="0.3">
      <c r="A4510">
        <v>4509</v>
      </c>
      <c r="B4510">
        <v>67.3</v>
      </c>
      <c r="C4510">
        <v>3.5333299999999999</v>
      </c>
      <c r="D4510">
        <v>12.5</v>
      </c>
      <c r="E4510" t="s">
        <v>7115</v>
      </c>
      <c r="F4510" t="s">
        <v>7116</v>
      </c>
      <c r="G4510" t="s">
        <v>39</v>
      </c>
      <c r="H4510">
        <v>1987</v>
      </c>
      <c r="I4510">
        <v>29.084859999999999</v>
      </c>
      <c r="J4510">
        <v>13.2</v>
      </c>
      <c r="K4510">
        <v>57</v>
      </c>
      <c r="L4510">
        <v>25.085660000000001</v>
      </c>
      <c r="M4510">
        <v>40.5</v>
      </c>
      <c r="N4510">
        <v>17.600000000000001</v>
      </c>
      <c r="O4510">
        <v>22.9</v>
      </c>
      <c r="P4510">
        <v>27.7</v>
      </c>
      <c r="Q4510">
        <v>26.4</v>
      </c>
      <c r="R4510">
        <v>32.6</v>
      </c>
      <c r="S4510">
        <v>26.4</v>
      </c>
      <c r="T4510">
        <v>622.25850000000003</v>
      </c>
      <c r="U4510">
        <v>185</v>
      </c>
      <c r="V4510">
        <v>0</v>
      </c>
      <c r="W4510">
        <v>124</v>
      </c>
      <c r="X4510">
        <v>451</v>
      </c>
      <c r="Y4510">
        <v>0</v>
      </c>
      <c r="Z4510">
        <v>56.532310000000003</v>
      </c>
      <c r="AA4510">
        <v>0</v>
      </c>
      <c r="AB4510">
        <v>0.2062947</v>
      </c>
      <c r="AC4510">
        <v>42317.279999999999</v>
      </c>
      <c r="AD4510">
        <v>0.98766089999999995</v>
      </c>
      <c r="AE4510">
        <v>0.72489689999999996</v>
      </c>
      <c r="AF4510">
        <v>178.5187</v>
      </c>
      <c r="AG4510">
        <f>IFERROR(AH4510*0.1, "N/A")</f>
        <v>5</v>
      </c>
      <c r="AH4510">
        <v>50</v>
      </c>
      <c r="AI4510">
        <v>160.38300000000001</v>
      </c>
      <c r="AJ4510">
        <v>10.726190000000001</v>
      </c>
      <c r="AK4510">
        <v>71.821430000000007</v>
      </c>
    </row>
    <row r="4511" spans="1:37" x14ac:dyDescent="0.3">
      <c r="A4511">
        <v>4510</v>
      </c>
      <c r="B4511">
        <v>0</v>
      </c>
      <c r="C4511">
        <v>3.5333299999999999</v>
      </c>
      <c r="D4511">
        <v>12.5</v>
      </c>
      <c r="E4511" t="s">
        <v>7115</v>
      </c>
      <c r="F4511" t="s">
        <v>7117</v>
      </c>
      <c r="G4511" t="s">
        <v>37</v>
      </c>
      <c r="H4511">
        <v>1987</v>
      </c>
      <c r="I4511">
        <v>29.084859999999999</v>
      </c>
      <c r="J4511">
        <v>13.2</v>
      </c>
      <c r="K4511">
        <v>57</v>
      </c>
      <c r="L4511">
        <v>25.085660000000001</v>
      </c>
      <c r="M4511">
        <v>40.5</v>
      </c>
      <c r="N4511">
        <v>17.600000000000001</v>
      </c>
      <c r="O4511">
        <v>22.9</v>
      </c>
      <c r="P4511">
        <v>27.7</v>
      </c>
      <c r="Q4511">
        <v>26.4</v>
      </c>
      <c r="R4511">
        <v>32.6</v>
      </c>
      <c r="S4511">
        <v>26.4</v>
      </c>
      <c r="T4511">
        <v>622.25850000000003</v>
      </c>
      <c r="U4511">
        <v>185</v>
      </c>
      <c r="V4511">
        <v>0</v>
      </c>
      <c r="W4511">
        <v>124</v>
      </c>
      <c r="X4511">
        <v>451</v>
      </c>
      <c r="Y4511">
        <v>0</v>
      </c>
      <c r="Z4511">
        <v>56.532310000000003</v>
      </c>
      <c r="AA4511">
        <v>0</v>
      </c>
      <c r="AB4511">
        <v>0.2062947</v>
      </c>
      <c r="AC4511">
        <v>42317.279999999999</v>
      </c>
      <c r="AD4511">
        <v>0.98766089999999995</v>
      </c>
      <c r="AE4511">
        <v>0.72489689999999996</v>
      </c>
      <c r="AF4511">
        <v>178.5187</v>
      </c>
      <c r="AG4511">
        <f>IFERROR(AH4511*0.1, "N/A")</f>
        <v>5</v>
      </c>
      <c r="AH4511">
        <v>50</v>
      </c>
      <c r="AI4511">
        <v>160.38300000000001</v>
      </c>
      <c r="AJ4511">
        <v>10.726190000000001</v>
      </c>
      <c r="AK4511">
        <v>71.821430000000007</v>
      </c>
    </row>
    <row r="4512" spans="1:37" x14ac:dyDescent="0.3">
      <c r="A4512">
        <v>4511</v>
      </c>
      <c r="B4512">
        <v>0</v>
      </c>
      <c r="C4512">
        <v>9.2327700000000004</v>
      </c>
      <c r="D4512">
        <v>12.521000000000001</v>
      </c>
      <c r="E4512" t="s">
        <v>7118</v>
      </c>
      <c r="F4512" t="s">
        <v>7119</v>
      </c>
      <c r="G4512" t="s">
        <v>39</v>
      </c>
      <c r="H4512">
        <v>0</v>
      </c>
      <c r="I4512">
        <v>27</v>
      </c>
      <c r="J4512">
        <v>15.7</v>
      </c>
      <c r="K4512">
        <v>55</v>
      </c>
      <c r="L4512">
        <v>34.312040000000003</v>
      </c>
      <c r="M4512">
        <v>40.1</v>
      </c>
      <c r="N4512">
        <v>12</v>
      </c>
      <c r="O4512">
        <v>28.1</v>
      </c>
      <c r="P4512">
        <v>27.4</v>
      </c>
      <c r="Q4512">
        <v>24.3</v>
      </c>
      <c r="R4512">
        <v>31.4</v>
      </c>
      <c r="S4512">
        <v>22.2</v>
      </c>
      <c r="T4512">
        <v>495</v>
      </c>
      <c r="U4512">
        <v>192</v>
      </c>
      <c r="V4512">
        <v>0</v>
      </c>
      <c r="W4512">
        <v>148</v>
      </c>
      <c r="X4512">
        <v>407</v>
      </c>
      <c r="Y4512">
        <v>0</v>
      </c>
      <c r="Z4512">
        <v>81</v>
      </c>
      <c r="AA4512">
        <v>0</v>
      </c>
      <c r="AB4512">
        <v>0.77328669999999999</v>
      </c>
      <c r="AC4512">
        <v>1.4581500000000001E-2</v>
      </c>
      <c r="AD4512">
        <v>1.1611860000000001</v>
      </c>
      <c r="AE4512">
        <v>0.59823280000000001</v>
      </c>
      <c r="AF4512">
        <v>373.2602</v>
      </c>
      <c r="AG4512">
        <f>IFERROR(AH4512*0.1, "N/A")</f>
        <v>6.1408160000000009</v>
      </c>
      <c r="AH4512">
        <v>61.408160000000002</v>
      </c>
      <c r="AI4512">
        <v>134.77709999999999</v>
      </c>
      <c r="AJ4512">
        <v>14</v>
      </c>
      <c r="AK4512">
        <v>64.408159999999995</v>
      </c>
    </row>
    <row r="4513" spans="1:37" x14ac:dyDescent="0.3">
      <c r="A4513">
        <v>4512</v>
      </c>
      <c r="B4513">
        <v>0</v>
      </c>
      <c r="C4513">
        <v>9.2327700000000004</v>
      </c>
      <c r="D4513">
        <v>12.521000000000001</v>
      </c>
      <c r="E4513" t="s">
        <v>7118</v>
      </c>
      <c r="F4513" t="s">
        <v>7120</v>
      </c>
      <c r="G4513" t="s">
        <v>37</v>
      </c>
      <c r="H4513">
        <v>0</v>
      </c>
      <c r="I4513">
        <v>27</v>
      </c>
      <c r="J4513">
        <v>15.7</v>
      </c>
      <c r="K4513">
        <v>55</v>
      </c>
      <c r="L4513">
        <v>34.312040000000003</v>
      </c>
      <c r="M4513">
        <v>40.1</v>
      </c>
      <c r="N4513">
        <v>12</v>
      </c>
      <c r="O4513">
        <v>28.1</v>
      </c>
      <c r="P4513">
        <v>27.4</v>
      </c>
      <c r="Q4513">
        <v>24.3</v>
      </c>
      <c r="R4513">
        <v>31.4</v>
      </c>
      <c r="S4513">
        <v>22.2</v>
      </c>
      <c r="T4513">
        <v>495</v>
      </c>
      <c r="U4513">
        <v>192</v>
      </c>
      <c r="V4513">
        <v>0</v>
      </c>
      <c r="W4513">
        <v>148</v>
      </c>
      <c r="X4513">
        <v>407</v>
      </c>
      <c r="Y4513">
        <v>0</v>
      </c>
      <c r="Z4513">
        <v>81</v>
      </c>
      <c r="AA4513">
        <v>0</v>
      </c>
      <c r="AB4513">
        <v>0.77328669999999999</v>
      </c>
      <c r="AC4513">
        <v>1.4581500000000001E-2</v>
      </c>
      <c r="AD4513">
        <v>1.1611860000000001</v>
      </c>
      <c r="AE4513">
        <v>0.59823280000000001</v>
      </c>
      <c r="AF4513">
        <v>373.2602</v>
      </c>
      <c r="AG4513">
        <f>IFERROR(AH4513*0.1, "N/A")</f>
        <v>6.1408160000000009</v>
      </c>
      <c r="AH4513">
        <v>61.408160000000002</v>
      </c>
      <c r="AI4513">
        <v>134.77709999999999</v>
      </c>
      <c r="AJ4513">
        <v>14</v>
      </c>
      <c r="AK4513">
        <v>64.408159999999995</v>
      </c>
    </row>
    <row r="4514" spans="1:37" x14ac:dyDescent="0.3">
      <c r="A4514">
        <v>4513</v>
      </c>
      <c r="B4514">
        <v>54</v>
      </c>
      <c r="C4514">
        <v>2.8980800000000002</v>
      </c>
      <c r="D4514">
        <v>12.5284</v>
      </c>
      <c r="E4514" t="s">
        <v>7121</v>
      </c>
      <c r="F4514" t="s">
        <v>7122</v>
      </c>
      <c r="G4514" t="s">
        <v>39</v>
      </c>
      <c r="H4514">
        <v>0</v>
      </c>
      <c r="I4514">
        <v>29.1</v>
      </c>
      <c r="J4514">
        <v>13.4</v>
      </c>
      <c r="K4514">
        <v>57</v>
      </c>
      <c r="L4514">
        <v>25.34</v>
      </c>
      <c r="M4514">
        <v>40.5</v>
      </c>
      <c r="N4514">
        <v>17.3</v>
      </c>
      <c r="O4514">
        <v>23.2</v>
      </c>
      <c r="P4514">
        <v>27.8</v>
      </c>
      <c r="Q4514">
        <v>26.3</v>
      </c>
      <c r="R4514">
        <v>32.6</v>
      </c>
      <c r="S4514">
        <v>26.3</v>
      </c>
      <c r="T4514">
        <v>632</v>
      </c>
      <c r="U4514">
        <v>197</v>
      </c>
      <c r="V4514">
        <v>0</v>
      </c>
      <c r="W4514">
        <v>124</v>
      </c>
      <c r="X4514">
        <v>456</v>
      </c>
      <c r="Y4514">
        <v>0</v>
      </c>
      <c r="Z4514">
        <v>54</v>
      </c>
      <c r="AA4514">
        <v>2</v>
      </c>
      <c r="AB4514">
        <v>6.3637180000000004</v>
      </c>
      <c r="AC4514">
        <v>8.3482639999999993E-3</v>
      </c>
      <c r="AD4514">
        <v>0.39132929999999999</v>
      </c>
      <c r="AE4514">
        <v>0.68331869999999995</v>
      </c>
      <c r="AF4514">
        <v>179.59800000000001</v>
      </c>
      <c r="AG4514">
        <f>IFERROR(AH4514*0.1, "N/A")</f>
        <v>5.399489</v>
      </c>
      <c r="AH4514">
        <v>53.994889999999998</v>
      </c>
      <c r="AI4514">
        <v>102.6713</v>
      </c>
      <c r="AJ4514">
        <v>18.463370000000001</v>
      </c>
      <c r="AK4514">
        <v>61.407159999999998</v>
      </c>
    </row>
    <row r="4515" spans="1:37" x14ac:dyDescent="0.3">
      <c r="A4515">
        <v>4514</v>
      </c>
      <c r="B4515">
        <v>0</v>
      </c>
      <c r="C4515">
        <v>2.8980800000000002</v>
      </c>
      <c r="D4515">
        <v>12.5284</v>
      </c>
      <c r="E4515" t="s">
        <v>7121</v>
      </c>
      <c r="F4515" t="s">
        <v>7123</v>
      </c>
      <c r="G4515" t="s">
        <v>37</v>
      </c>
      <c r="H4515">
        <v>0</v>
      </c>
      <c r="I4515">
        <v>29.1</v>
      </c>
      <c r="J4515">
        <v>13.4</v>
      </c>
      <c r="K4515">
        <v>57</v>
      </c>
      <c r="L4515">
        <v>25.34</v>
      </c>
      <c r="M4515">
        <v>40.5</v>
      </c>
      <c r="N4515">
        <v>17.3</v>
      </c>
      <c r="O4515">
        <v>23.2</v>
      </c>
      <c r="P4515">
        <v>27.8</v>
      </c>
      <c r="Q4515">
        <v>26.3</v>
      </c>
      <c r="R4515">
        <v>32.6</v>
      </c>
      <c r="S4515">
        <v>26.3</v>
      </c>
      <c r="T4515">
        <v>632</v>
      </c>
      <c r="U4515">
        <v>197</v>
      </c>
      <c r="V4515">
        <v>0</v>
      </c>
      <c r="W4515">
        <v>124</v>
      </c>
      <c r="X4515">
        <v>456</v>
      </c>
      <c r="Y4515">
        <v>0</v>
      </c>
      <c r="Z4515">
        <v>54</v>
      </c>
      <c r="AA4515">
        <v>2</v>
      </c>
      <c r="AB4515">
        <v>6.3637180000000004</v>
      </c>
      <c r="AC4515">
        <v>8.3482639999999993E-3</v>
      </c>
      <c r="AD4515">
        <v>0.39132929999999999</v>
      </c>
      <c r="AE4515">
        <v>0.68331869999999995</v>
      </c>
      <c r="AF4515">
        <v>179.59800000000001</v>
      </c>
      <c r="AG4515">
        <f>IFERROR(AH4515*0.1, "N/A")</f>
        <v>5.399489</v>
      </c>
      <c r="AH4515">
        <v>53.994889999999998</v>
      </c>
      <c r="AI4515">
        <v>102.6713</v>
      </c>
      <c r="AJ4515">
        <v>18.463370000000001</v>
      </c>
      <c r="AK4515">
        <v>61.407159999999998</v>
      </c>
    </row>
    <row r="4516" spans="1:37" x14ac:dyDescent="0.3">
      <c r="A4516">
        <v>4515</v>
      </c>
      <c r="B4516">
        <v>0</v>
      </c>
      <c r="C4516">
        <v>9.3046199999999999</v>
      </c>
      <c r="D4516">
        <v>12.535399999999999</v>
      </c>
      <c r="E4516" t="s">
        <v>7124</v>
      </c>
      <c r="F4516" t="s">
        <v>7125</v>
      </c>
      <c r="G4516" t="s">
        <v>39</v>
      </c>
      <c r="H4516">
        <v>0</v>
      </c>
      <c r="I4516">
        <v>27.1</v>
      </c>
      <c r="J4516">
        <v>15.8</v>
      </c>
      <c r="K4516">
        <v>56</v>
      </c>
      <c r="L4516">
        <v>34.67</v>
      </c>
      <c r="M4516">
        <v>40.299999999999997</v>
      </c>
      <c r="N4516">
        <v>12.1</v>
      </c>
      <c r="O4516">
        <v>28.2</v>
      </c>
      <c r="P4516">
        <v>27.5</v>
      </c>
      <c r="Q4516">
        <v>24.3</v>
      </c>
      <c r="R4516">
        <v>31.5</v>
      </c>
      <c r="S4516">
        <v>22.3</v>
      </c>
      <c r="T4516">
        <v>490</v>
      </c>
      <c r="U4516">
        <v>192</v>
      </c>
      <c r="V4516">
        <v>0</v>
      </c>
      <c r="W4516">
        <v>151</v>
      </c>
      <c r="X4516">
        <v>404</v>
      </c>
      <c r="Y4516">
        <v>0</v>
      </c>
      <c r="Z4516">
        <v>79</v>
      </c>
      <c r="AA4516">
        <v>0</v>
      </c>
      <c r="AB4516">
        <v>0.14586180000000001</v>
      </c>
      <c r="AC4516">
        <v>7.7759470000000004</v>
      </c>
      <c r="AD4516">
        <v>1.320662</v>
      </c>
      <c r="AE4516">
        <v>0.71358929999999998</v>
      </c>
      <c r="AF4516">
        <v>366.94589999999999</v>
      </c>
      <c r="AG4516">
        <f>IFERROR(AH4516*0.1, "N/A")</f>
        <v>6.1013540000000006</v>
      </c>
      <c r="AH4516">
        <v>61.013539999999999</v>
      </c>
      <c r="AI4516">
        <v>56.697339999999997</v>
      </c>
      <c r="AJ4516">
        <v>15.986459999999999</v>
      </c>
      <c r="AK4516">
        <v>61.040610000000001</v>
      </c>
    </row>
    <row r="4517" spans="1:37" x14ac:dyDescent="0.3">
      <c r="A4517">
        <v>4516</v>
      </c>
      <c r="B4517">
        <v>0</v>
      </c>
      <c r="C4517">
        <v>9.3046199999999999</v>
      </c>
      <c r="D4517">
        <v>12.535399999999999</v>
      </c>
      <c r="E4517" t="s">
        <v>7124</v>
      </c>
      <c r="F4517" t="s">
        <v>7126</v>
      </c>
      <c r="G4517" t="s">
        <v>37</v>
      </c>
      <c r="H4517">
        <v>0</v>
      </c>
      <c r="I4517">
        <v>27.1</v>
      </c>
      <c r="J4517">
        <v>15.8</v>
      </c>
      <c r="K4517">
        <v>56</v>
      </c>
      <c r="L4517">
        <v>34.67</v>
      </c>
      <c r="M4517">
        <v>40.299999999999997</v>
      </c>
      <c r="N4517">
        <v>12.1</v>
      </c>
      <c r="O4517">
        <v>28.2</v>
      </c>
      <c r="P4517">
        <v>27.5</v>
      </c>
      <c r="Q4517">
        <v>24.3</v>
      </c>
      <c r="R4517">
        <v>31.5</v>
      </c>
      <c r="S4517">
        <v>22.3</v>
      </c>
      <c r="T4517">
        <v>490</v>
      </c>
      <c r="U4517">
        <v>192</v>
      </c>
      <c r="V4517">
        <v>0</v>
      </c>
      <c r="W4517">
        <v>151</v>
      </c>
      <c r="X4517">
        <v>404</v>
      </c>
      <c r="Y4517">
        <v>0</v>
      </c>
      <c r="Z4517">
        <v>79</v>
      </c>
      <c r="AA4517">
        <v>0</v>
      </c>
      <c r="AB4517">
        <v>0.14586180000000001</v>
      </c>
      <c r="AC4517">
        <v>7.7759470000000004</v>
      </c>
      <c r="AD4517">
        <v>1.320662</v>
      </c>
      <c r="AE4517">
        <v>0.71358929999999998</v>
      </c>
      <c r="AF4517">
        <v>366.94589999999999</v>
      </c>
      <c r="AG4517">
        <f>IFERROR(AH4517*0.1, "N/A")</f>
        <v>6.1013540000000006</v>
      </c>
      <c r="AH4517">
        <v>61.013539999999999</v>
      </c>
      <c r="AI4517">
        <v>56.697339999999997</v>
      </c>
      <c r="AJ4517">
        <v>15.986459999999999</v>
      </c>
      <c r="AK4517">
        <v>61.040610000000001</v>
      </c>
    </row>
    <row r="4518" spans="1:37" x14ac:dyDescent="0.3">
      <c r="A4518">
        <v>4517</v>
      </c>
      <c r="B4518">
        <v>0</v>
      </c>
      <c r="C4518">
        <v>8.4411699999999996</v>
      </c>
      <c r="D4518">
        <v>12.5358</v>
      </c>
      <c r="E4518" t="s">
        <v>7127</v>
      </c>
      <c r="F4518" t="s">
        <v>7128</v>
      </c>
      <c r="G4518" t="s">
        <v>39</v>
      </c>
      <c r="H4518">
        <v>0</v>
      </c>
      <c r="I4518">
        <v>26.473759999999999</v>
      </c>
      <c r="J4518">
        <v>14.8</v>
      </c>
      <c r="K4518">
        <v>56</v>
      </c>
      <c r="L4518">
        <v>30.87688</v>
      </c>
      <c r="M4518">
        <v>38.87377</v>
      </c>
      <c r="N4518">
        <v>12.47376</v>
      </c>
      <c r="O4518">
        <v>26.4</v>
      </c>
      <c r="P4518">
        <v>26.373760000000001</v>
      </c>
      <c r="Q4518">
        <v>24.273759999999999</v>
      </c>
      <c r="R4518">
        <v>30.57377</v>
      </c>
      <c r="S4518">
        <v>22.273759999999999</v>
      </c>
      <c r="T4518">
        <v>624.47529999999995</v>
      </c>
      <c r="U4518">
        <v>224</v>
      </c>
      <c r="V4518">
        <v>0</v>
      </c>
      <c r="W4518">
        <v>138.78710000000001</v>
      </c>
      <c r="X4518">
        <v>490.73759999999999</v>
      </c>
      <c r="Y4518">
        <v>0</v>
      </c>
      <c r="Z4518">
        <v>122.7376</v>
      </c>
      <c r="AA4518">
        <v>0</v>
      </c>
      <c r="AB4518">
        <v>0.53049120000000005</v>
      </c>
      <c r="AC4518">
        <v>0.28008070000000002</v>
      </c>
      <c r="AD4518">
        <v>0.54319229999999996</v>
      </c>
      <c r="AE4518">
        <v>0.74777459999999996</v>
      </c>
      <c r="AF4518">
        <v>429.37819999999999</v>
      </c>
      <c r="AG4518">
        <f>IFERROR(AH4518*0.1, "N/A")</f>
        <v>6.4</v>
      </c>
      <c r="AH4518">
        <v>64</v>
      </c>
      <c r="AI4518">
        <v>119.9915</v>
      </c>
      <c r="AJ4518">
        <v>12</v>
      </c>
      <c r="AK4518">
        <v>75</v>
      </c>
    </row>
    <row r="4519" spans="1:37" x14ac:dyDescent="0.3">
      <c r="A4519">
        <v>4518</v>
      </c>
      <c r="B4519">
        <v>0</v>
      </c>
      <c r="C4519">
        <v>8.4411699999999996</v>
      </c>
      <c r="D4519">
        <v>12.5358</v>
      </c>
      <c r="E4519" t="s">
        <v>7127</v>
      </c>
      <c r="F4519" t="s">
        <v>7129</v>
      </c>
      <c r="G4519" t="s">
        <v>37</v>
      </c>
      <c r="H4519">
        <v>0</v>
      </c>
      <c r="I4519">
        <v>26.473759999999999</v>
      </c>
      <c r="J4519">
        <v>14.8</v>
      </c>
      <c r="K4519">
        <v>56</v>
      </c>
      <c r="L4519">
        <v>30.87688</v>
      </c>
      <c r="M4519">
        <v>38.87377</v>
      </c>
      <c r="N4519">
        <v>12.47376</v>
      </c>
      <c r="O4519">
        <v>26.4</v>
      </c>
      <c r="P4519">
        <v>26.373760000000001</v>
      </c>
      <c r="Q4519">
        <v>24.273759999999999</v>
      </c>
      <c r="R4519">
        <v>30.57377</v>
      </c>
      <c r="S4519">
        <v>22.273759999999999</v>
      </c>
      <c r="T4519">
        <v>624.47529999999995</v>
      </c>
      <c r="U4519">
        <v>224</v>
      </c>
      <c r="V4519">
        <v>0</v>
      </c>
      <c r="W4519">
        <v>138.78710000000001</v>
      </c>
      <c r="X4519">
        <v>490.73759999999999</v>
      </c>
      <c r="Y4519">
        <v>0</v>
      </c>
      <c r="Z4519">
        <v>122.7376</v>
      </c>
      <c r="AA4519">
        <v>0</v>
      </c>
      <c r="AB4519">
        <v>0.53049120000000005</v>
      </c>
      <c r="AC4519">
        <v>0.28008070000000002</v>
      </c>
      <c r="AD4519">
        <v>0.54319229999999996</v>
      </c>
      <c r="AE4519">
        <v>0.74777459999999996</v>
      </c>
      <c r="AF4519">
        <v>429.37819999999999</v>
      </c>
      <c r="AG4519">
        <f>IFERROR(AH4519*0.1, "N/A")</f>
        <v>6.4</v>
      </c>
      <c r="AH4519">
        <v>64</v>
      </c>
      <c r="AI4519">
        <v>119.9915</v>
      </c>
      <c r="AJ4519">
        <v>12</v>
      </c>
      <c r="AK4519">
        <v>75</v>
      </c>
    </row>
    <row r="4520" spans="1:37" x14ac:dyDescent="0.3">
      <c r="A4520">
        <v>4519</v>
      </c>
      <c r="B4520">
        <v>50</v>
      </c>
      <c r="C4520">
        <v>2.4583300000000001</v>
      </c>
      <c r="D4520">
        <v>12.541700000000001</v>
      </c>
      <c r="E4520" t="s">
        <v>7130</v>
      </c>
      <c r="F4520" t="s">
        <v>7131</v>
      </c>
      <c r="G4520" t="s">
        <v>39</v>
      </c>
      <c r="H4520">
        <v>0</v>
      </c>
      <c r="I4520">
        <v>28.904240000000001</v>
      </c>
      <c r="J4520">
        <v>13.6</v>
      </c>
      <c r="K4520">
        <v>57</v>
      </c>
      <c r="L4520">
        <v>25.553139999999999</v>
      </c>
      <c r="M4520">
        <v>40.404240000000001</v>
      </c>
      <c r="N4520">
        <v>16.74051</v>
      </c>
      <c r="O4520">
        <v>23.663730000000001</v>
      </c>
      <c r="P4520">
        <v>27.644749999999998</v>
      </c>
      <c r="Q4520">
        <v>26.104240000000001</v>
      </c>
      <c r="R4520">
        <v>32.444749999999999</v>
      </c>
      <c r="S4520">
        <v>26.104240000000001</v>
      </c>
      <c r="T4520">
        <v>638.56269999999995</v>
      </c>
      <c r="U4520">
        <v>193.95760000000001</v>
      </c>
      <c r="V4520">
        <v>0</v>
      </c>
      <c r="W4520">
        <v>124</v>
      </c>
      <c r="X4520">
        <v>469.73899999999998</v>
      </c>
      <c r="Y4520">
        <v>0</v>
      </c>
      <c r="Z4520">
        <v>51.781359999999999</v>
      </c>
      <c r="AA4520">
        <v>0</v>
      </c>
      <c r="AB4520">
        <v>3.5737290000000002</v>
      </c>
      <c r="AC4520">
        <v>0.44601079999999999</v>
      </c>
      <c r="AD4520">
        <v>2.005827</v>
      </c>
      <c r="AE4520">
        <v>0.57809690000000002</v>
      </c>
      <c r="AF4520">
        <v>194.22880000000001</v>
      </c>
      <c r="AG4520">
        <f>IFERROR(AH4520*0.1, "N/A")</f>
        <v>6.6781360000000012</v>
      </c>
      <c r="AH4520">
        <v>66.781360000000006</v>
      </c>
      <c r="AI4520">
        <v>138.50319999999999</v>
      </c>
      <c r="AJ4520">
        <v>17.437290000000001</v>
      </c>
      <c r="AK4520">
        <v>58.562710000000003</v>
      </c>
    </row>
    <row r="4521" spans="1:37" x14ac:dyDescent="0.3">
      <c r="A4521">
        <v>4520</v>
      </c>
      <c r="B4521">
        <v>79</v>
      </c>
      <c r="C4521">
        <v>2.7357300000000002</v>
      </c>
      <c r="D4521">
        <v>12.5435</v>
      </c>
      <c r="E4521" t="s">
        <v>7132</v>
      </c>
      <c r="F4521" t="s">
        <v>7133</v>
      </c>
      <c r="G4521" t="s">
        <v>39</v>
      </c>
      <c r="H4521">
        <v>0</v>
      </c>
      <c r="I4521">
        <v>29.1</v>
      </c>
      <c r="J4521">
        <v>13.5</v>
      </c>
      <c r="K4521">
        <v>57</v>
      </c>
      <c r="L4521">
        <v>25.49</v>
      </c>
      <c r="M4521">
        <v>40.5</v>
      </c>
      <c r="N4521">
        <v>17.100000000000001</v>
      </c>
      <c r="O4521">
        <v>23.4</v>
      </c>
      <c r="P4521">
        <v>27.8</v>
      </c>
      <c r="Q4521">
        <v>26.3</v>
      </c>
      <c r="R4521">
        <v>32.6</v>
      </c>
      <c r="S4521">
        <v>26.3</v>
      </c>
      <c r="T4521">
        <v>633</v>
      </c>
      <c r="U4521">
        <v>197</v>
      </c>
      <c r="V4521">
        <v>0</v>
      </c>
      <c r="W4521">
        <v>125</v>
      </c>
      <c r="X4521">
        <v>461</v>
      </c>
      <c r="Y4521">
        <v>0</v>
      </c>
      <c r="Z4521">
        <v>51</v>
      </c>
      <c r="AA4521">
        <v>1</v>
      </c>
      <c r="AB4521">
        <v>4.236605</v>
      </c>
      <c r="AC4521">
        <v>3.071691E-2</v>
      </c>
      <c r="AD4521">
        <v>2.617801</v>
      </c>
      <c r="AE4521">
        <v>0.50926389999999999</v>
      </c>
      <c r="AF4521">
        <v>166.26439999999999</v>
      </c>
      <c r="AG4521">
        <f>IFERROR(AH4521*0.1, "N/A")</f>
        <v>6.3489830000000005</v>
      </c>
      <c r="AH4521">
        <v>63.489829999999998</v>
      </c>
      <c r="AI4521">
        <v>217.96449999999999</v>
      </c>
      <c r="AJ4521">
        <v>25.323730000000001</v>
      </c>
      <c r="AK4521">
        <v>51.510170000000002</v>
      </c>
    </row>
    <row r="4522" spans="1:37" x14ac:dyDescent="0.3">
      <c r="A4522">
        <v>4521</v>
      </c>
      <c r="B4522">
        <v>14.3</v>
      </c>
      <c r="C4522">
        <v>9.4435599999999997</v>
      </c>
      <c r="D4522">
        <v>12.565099999999999</v>
      </c>
      <c r="E4522" t="s">
        <v>7134</v>
      </c>
      <c r="F4522" t="s">
        <v>7135</v>
      </c>
      <c r="G4522" t="s">
        <v>39</v>
      </c>
      <c r="H4522">
        <v>0</v>
      </c>
      <c r="I4522">
        <v>27.2</v>
      </c>
      <c r="J4522">
        <v>15.9</v>
      </c>
      <c r="K4522">
        <v>56</v>
      </c>
      <c r="L4522">
        <v>34.26</v>
      </c>
      <c r="M4522">
        <v>40.5</v>
      </c>
      <c r="N4522">
        <v>12.3</v>
      </c>
      <c r="O4522">
        <v>28.2</v>
      </c>
      <c r="P4522">
        <v>27.5</v>
      </c>
      <c r="Q4522">
        <v>24.5</v>
      </c>
      <c r="R4522">
        <v>31.6</v>
      </c>
      <c r="S4522">
        <v>22.4</v>
      </c>
      <c r="T4522">
        <v>491</v>
      </c>
      <c r="U4522">
        <v>194</v>
      </c>
      <c r="V4522">
        <v>0</v>
      </c>
      <c r="W4522">
        <v>151</v>
      </c>
      <c r="X4522">
        <v>406</v>
      </c>
      <c r="Y4522">
        <v>0</v>
      </c>
      <c r="Z4522">
        <v>78</v>
      </c>
      <c r="AA4522">
        <v>0</v>
      </c>
      <c r="AB4522">
        <v>0.69368859999999999</v>
      </c>
      <c r="AC4522">
        <v>0.18435389999999999</v>
      </c>
      <c r="AD4522">
        <v>1.1687780000000001</v>
      </c>
      <c r="AE4522">
        <v>0.65802179999999999</v>
      </c>
      <c r="AF4522">
        <v>365.1823</v>
      </c>
      <c r="AG4522">
        <f>IFERROR(AH4522*0.1, "N/A")</f>
        <v>6.1000000000000005</v>
      </c>
      <c r="AH4522">
        <v>61</v>
      </c>
      <c r="AI4522">
        <v>200.56489999999999</v>
      </c>
      <c r="AJ4522">
        <v>10.969340000000001</v>
      </c>
      <c r="AK4522">
        <v>66.153319999999994</v>
      </c>
    </row>
    <row r="4523" spans="1:37" x14ac:dyDescent="0.3">
      <c r="A4523">
        <v>4522</v>
      </c>
      <c r="B4523">
        <v>0</v>
      </c>
      <c r="C4523">
        <v>9.4435599999999997</v>
      </c>
      <c r="D4523">
        <v>12.565099999999999</v>
      </c>
      <c r="E4523" t="s">
        <v>7134</v>
      </c>
      <c r="F4523" t="s">
        <v>7136</v>
      </c>
      <c r="G4523" t="s">
        <v>37</v>
      </c>
      <c r="H4523">
        <v>0</v>
      </c>
      <c r="I4523">
        <v>27.2</v>
      </c>
      <c r="J4523">
        <v>15.9</v>
      </c>
      <c r="K4523">
        <v>56</v>
      </c>
      <c r="L4523">
        <v>34.26</v>
      </c>
      <c r="M4523">
        <v>40.5</v>
      </c>
      <c r="N4523">
        <v>12.3</v>
      </c>
      <c r="O4523">
        <v>28.2</v>
      </c>
      <c r="P4523">
        <v>27.5</v>
      </c>
      <c r="Q4523">
        <v>24.5</v>
      </c>
      <c r="R4523">
        <v>31.6</v>
      </c>
      <c r="S4523">
        <v>22.4</v>
      </c>
      <c r="T4523">
        <v>491</v>
      </c>
      <c r="U4523">
        <v>194</v>
      </c>
      <c r="V4523">
        <v>0</v>
      </c>
      <c r="W4523">
        <v>151</v>
      </c>
      <c r="X4523">
        <v>406</v>
      </c>
      <c r="Y4523">
        <v>0</v>
      </c>
      <c r="Z4523">
        <v>78</v>
      </c>
      <c r="AA4523">
        <v>0</v>
      </c>
      <c r="AB4523">
        <v>0.69368859999999999</v>
      </c>
      <c r="AC4523">
        <v>0.18435389999999999</v>
      </c>
      <c r="AD4523">
        <v>1.1687780000000001</v>
      </c>
      <c r="AE4523">
        <v>0.65802179999999999</v>
      </c>
      <c r="AF4523">
        <v>365.1823</v>
      </c>
      <c r="AG4523">
        <f>IFERROR(AH4523*0.1, "N/A")</f>
        <v>6.1000000000000005</v>
      </c>
      <c r="AH4523">
        <v>61</v>
      </c>
      <c r="AI4523">
        <v>200.56489999999999</v>
      </c>
      <c r="AJ4523">
        <v>10.969340000000001</v>
      </c>
      <c r="AK4523">
        <v>66.153319999999994</v>
      </c>
    </row>
    <row r="4524" spans="1:37" x14ac:dyDescent="0.3">
      <c r="A4524">
        <v>4523</v>
      </c>
      <c r="B4524">
        <v>38</v>
      </c>
      <c r="C4524">
        <v>2.8522799999999999</v>
      </c>
      <c r="D4524">
        <v>12.5953</v>
      </c>
      <c r="E4524" t="s">
        <v>7137</v>
      </c>
      <c r="F4524" t="s">
        <v>7138</v>
      </c>
      <c r="G4524" t="s">
        <v>39</v>
      </c>
      <c r="H4524">
        <v>0</v>
      </c>
      <c r="I4524">
        <v>29.1</v>
      </c>
      <c r="J4524">
        <v>13.5</v>
      </c>
      <c r="K4524">
        <v>57</v>
      </c>
      <c r="L4524">
        <v>25.45</v>
      </c>
      <c r="M4524">
        <v>40.5</v>
      </c>
      <c r="N4524">
        <v>17.2</v>
      </c>
      <c r="O4524">
        <v>23.3</v>
      </c>
      <c r="P4524">
        <v>27.8</v>
      </c>
      <c r="Q4524">
        <v>26.3</v>
      </c>
      <c r="R4524">
        <v>32.6</v>
      </c>
      <c r="S4524">
        <v>26.3</v>
      </c>
      <c r="T4524">
        <v>627</v>
      </c>
      <c r="U4524">
        <v>197</v>
      </c>
      <c r="V4524">
        <v>0</v>
      </c>
      <c r="W4524">
        <v>124</v>
      </c>
      <c r="X4524">
        <v>455</v>
      </c>
      <c r="Y4524">
        <v>0</v>
      </c>
      <c r="Z4524">
        <v>52</v>
      </c>
      <c r="AA4524">
        <v>0</v>
      </c>
      <c r="AB4524">
        <v>3.5670639999999998</v>
      </c>
      <c r="AC4524">
        <v>9.8339849999999999E-3</v>
      </c>
      <c r="AD4524">
        <v>0.83812249999999999</v>
      </c>
      <c r="AE4524">
        <v>0.69019269999999999</v>
      </c>
      <c r="AF4524">
        <v>178.33789999999999</v>
      </c>
      <c r="AG4524">
        <f>IFERROR(AH4524*0.1, "N/A")</f>
        <v>5.4139220000000003</v>
      </c>
      <c r="AH4524">
        <v>54.139220000000002</v>
      </c>
      <c r="AI4524">
        <v>219.2064</v>
      </c>
      <c r="AJ4524">
        <v>15.44312</v>
      </c>
      <c r="AK4524">
        <v>68.933790000000002</v>
      </c>
    </row>
    <row r="4525" spans="1:37" x14ac:dyDescent="0.3">
      <c r="A4525">
        <v>4524</v>
      </c>
      <c r="B4525">
        <v>0</v>
      </c>
      <c r="C4525">
        <v>2.8522799999999999</v>
      </c>
      <c r="D4525">
        <v>12.5953</v>
      </c>
      <c r="E4525" t="s">
        <v>7137</v>
      </c>
      <c r="F4525" t="s">
        <v>7139</v>
      </c>
      <c r="G4525" t="s">
        <v>37</v>
      </c>
      <c r="H4525">
        <v>0</v>
      </c>
      <c r="I4525">
        <v>29.1</v>
      </c>
      <c r="J4525">
        <v>13.5</v>
      </c>
      <c r="K4525">
        <v>57</v>
      </c>
      <c r="L4525">
        <v>25.45</v>
      </c>
      <c r="M4525">
        <v>40.5</v>
      </c>
      <c r="N4525">
        <v>17.2</v>
      </c>
      <c r="O4525">
        <v>23.3</v>
      </c>
      <c r="P4525">
        <v>27.8</v>
      </c>
      <c r="Q4525">
        <v>26.3</v>
      </c>
      <c r="R4525">
        <v>32.6</v>
      </c>
      <c r="S4525">
        <v>26.3</v>
      </c>
      <c r="T4525">
        <v>627</v>
      </c>
      <c r="U4525">
        <v>197</v>
      </c>
      <c r="V4525">
        <v>0</v>
      </c>
      <c r="W4525">
        <v>124</v>
      </c>
      <c r="X4525">
        <v>455</v>
      </c>
      <c r="Y4525">
        <v>0</v>
      </c>
      <c r="Z4525">
        <v>52</v>
      </c>
      <c r="AA4525">
        <v>0</v>
      </c>
      <c r="AB4525">
        <v>3.5670639999999998</v>
      </c>
      <c r="AC4525">
        <v>9.8339849999999999E-3</v>
      </c>
      <c r="AD4525">
        <v>0.83812249999999999</v>
      </c>
      <c r="AE4525">
        <v>0.69019269999999999</v>
      </c>
      <c r="AF4525">
        <v>178.33789999999999</v>
      </c>
      <c r="AG4525">
        <f>IFERROR(AH4525*0.1, "N/A")</f>
        <v>5.4139220000000003</v>
      </c>
      <c r="AH4525">
        <v>54.139220000000002</v>
      </c>
      <c r="AI4525">
        <v>219.2064</v>
      </c>
      <c r="AJ4525">
        <v>15.44312</v>
      </c>
      <c r="AK4525">
        <v>68.933790000000002</v>
      </c>
    </row>
    <row r="4526" spans="1:37" x14ac:dyDescent="0.3">
      <c r="A4526">
        <v>4525</v>
      </c>
      <c r="B4526">
        <v>2.1</v>
      </c>
      <c r="C4526">
        <v>3.4666700000000001</v>
      </c>
      <c r="D4526">
        <v>12.6</v>
      </c>
      <c r="E4526" t="s">
        <v>7140</v>
      </c>
      <c r="F4526" t="s">
        <v>7141</v>
      </c>
      <c r="G4526" t="s">
        <v>39</v>
      </c>
      <c r="H4526">
        <v>1987</v>
      </c>
      <c r="I4526">
        <v>28.942710000000002</v>
      </c>
      <c r="J4526">
        <v>13.3</v>
      </c>
      <c r="K4526">
        <v>57.1678</v>
      </c>
      <c r="L4526">
        <v>25.20112</v>
      </c>
      <c r="M4526">
        <v>40.383220000000001</v>
      </c>
      <c r="N4526">
        <v>17.399999999999999</v>
      </c>
      <c r="O4526">
        <v>22.983219999999999</v>
      </c>
      <c r="P4526">
        <v>27.653390000000002</v>
      </c>
      <c r="Q4526">
        <v>26.2</v>
      </c>
      <c r="R4526">
        <v>32.442709999999998</v>
      </c>
      <c r="S4526">
        <v>26.2</v>
      </c>
      <c r="T4526">
        <v>613.73900000000003</v>
      </c>
      <c r="U4526">
        <v>187</v>
      </c>
      <c r="V4526">
        <v>0</v>
      </c>
      <c r="W4526">
        <v>124</v>
      </c>
      <c r="X4526">
        <v>446.5729</v>
      </c>
      <c r="Y4526">
        <v>0</v>
      </c>
      <c r="Z4526">
        <v>54.869489999999999</v>
      </c>
      <c r="AA4526">
        <v>0</v>
      </c>
      <c r="AB4526">
        <v>1.3877949999999999</v>
      </c>
      <c r="AC4526">
        <v>1.948569</v>
      </c>
      <c r="AD4526">
        <v>1.833232</v>
      </c>
      <c r="AE4526">
        <v>0.67103259999999998</v>
      </c>
      <c r="AF4526">
        <v>202.09829999999999</v>
      </c>
      <c r="AG4526">
        <f>IFERROR(AH4526*0.1, "N/A")</f>
        <v>5.3000000000000007</v>
      </c>
      <c r="AH4526">
        <v>53</v>
      </c>
      <c r="AI4526">
        <v>256.1497</v>
      </c>
      <c r="AJ4526">
        <v>9</v>
      </c>
      <c r="AK4526">
        <v>77</v>
      </c>
    </row>
    <row r="4527" spans="1:37" x14ac:dyDescent="0.3">
      <c r="A4527">
        <v>4526</v>
      </c>
      <c r="B4527">
        <v>0</v>
      </c>
      <c r="C4527">
        <v>3.4666700000000001</v>
      </c>
      <c r="D4527">
        <v>12.6</v>
      </c>
      <c r="E4527" t="s">
        <v>7140</v>
      </c>
      <c r="F4527" t="s">
        <v>7142</v>
      </c>
      <c r="G4527" t="s">
        <v>37</v>
      </c>
      <c r="H4527">
        <v>1987</v>
      </c>
      <c r="I4527">
        <v>28.942710000000002</v>
      </c>
      <c r="J4527">
        <v>13.3</v>
      </c>
      <c r="K4527">
        <v>57.1678</v>
      </c>
      <c r="L4527">
        <v>25.20112</v>
      </c>
      <c r="M4527">
        <v>40.383220000000001</v>
      </c>
      <c r="N4527">
        <v>17.399999999999999</v>
      </c>
      <c r="O4527">
        <v>22.983219999999999</v>
      </c>
      <c r="P4527">
        <v>27.653390000000002</v>
      </c>
      <c r="Q4527">
        <v>26.2</v>
      </c>
      <c r="R4527">
        <v>32.442709999999998</v>
      </c>
      <c r="S4527">
        <v>26.2</v>
      </c>
      <c r="T4527">
        <v>613.73900000000003</v>
      </c>
      <c r="U4527">
        <v>187</v>
      </c>
      <c r="V4527">
        <v>0</v>
      </c>
      <c r="W4527">
        <v>124</v>
      </c>
      <c r="X4527">
        <v>446.5729</v>
      </c>
      <c r="Y4527">
        <v>0</v>
      </c>
      <c r="Z4527">
        <v>54.869489999999999</v>
      </c>
      <c r="AA4527">
        <v>0</v>
      </c>
      <c r="AB4527">
        <v>1.3877949999999999</v>
      </c>
      <c r="AC4527">
        <v>1.948569</v>
      </c>
      <c r="AD4527">
        <v>1.833232</v>
      </c>
      <c r="AE4527">
        <v>0.67103259999999998</v>
      </c>
      <c r="AF4527">
        <v>202.09829999999999</v>
      </c>
      <c r="AG4527">
        <f>IFERROR(AH4527*0.1, "N/A")</f>
        <v>5.3000000000000007</v>
      </c>
      <c r="AH4527">
        <v>53</v>
      </c>
      <c r="AI4527">
        <v>256.1497</v>
      </c>
      <c r="AJ4527">
        <v>9</v>
      </c>
      <c r="AK4527">
        <v>77</v>
      </c>
    </row>
    <row r="4528" spans="1:37" x14ac:dyDescent="0.3">
      <c r="A4528">
        <v>4527</v>
      </c>
      <c r="B4528">
        <v>43.2</v>
      </c>
      <c r="C4528">
        <v>2.9329999999999998</v>
      </c>
      <c r="D4528">
        <v>12.617000000000001</v>
      </c>
      <c r="E4528" t="s">
        <v>7143</v>
      </c>
      <c r="F4528" t="s">
        <v>7144</v>
      </c>
      <c r="G4528" t="s">
        <v>39</v>
      </c>
      <c r="H4528">
        <v>1987</v>
      </c>
      <c r="I4528">
        <v>29.1</v>
      </c>
      <c r="J4528">
        <v>13.4</v>
      </c>
      <c r="K4528">
        <v>57</v>
      </c>
      <c r="L4528">
        <v>25.621120000000001</v>
      </c>
      <c r="M4528">
        <v>40.549149999999997</v>
      </c>
      <c r="N4528">
        <v>17.2</v>
      </c>
      <c r="O4528">
        <v>23.349150000000002</v>
      </c>
      <c r="P4528">
        <v>27.817689999999999</v>
      </c>
      <c r="Q4528">
        <v>26.2</v>
      </c>
      <c r="R4528">
        <v>32.6</v>
      </c>
      <c r="S4528">
        <v>26.2</v>
      </c>
      <c r="T4528">
        <v>621.53060000000005</v>
      </c>
      <c r="U4528">
        <v>196</v>
      </c>
      <c r="V4528">
        <v>0</v>
      </c>
      <c r="W4528">
        <v>126</v>
      </c>
      <c r="X4528">
        <v>453.3537</v>
      </c>
      <c r="Y4528">
        <v>0</v>
      </c>
      <c r="Z4528">
        <v>53</v>
      </c>
      <c r="AA4528">
        <v>0</v>
      </c>
      <c r="AB4528">
        <v>0.1981291</v>
      </c>
      <c r="AC4528">
        <v>0.75953999999999999</v>
      </c>
      <c r="AD4528">
        <v>1.821032</v>
      </c>
      <c r="AE4528">
        <v>0.6718847</v>
      </c>
      <c r="AF4528">
        <v>178.04759999999999</v>
      </c>
      <c r="AG4528">
        <f>IFERROR(AH4528*0.1, "N/A")</f>
        <v>6</v>
      </c>
      <c r="AH4528">
        <v>60</v>
      </c>
      <c r="AI4528">
        <v>167.50409999999999</v>
      </c>
      <c r="AJ4528">
        <v>5.5425170000000001</v>
      </c>
      <c r="AK4528">
        <v>85.399659999999997</v>
      </c>
    </row>
    <row r="4529" spans="1:37" x14ac:dyDescent="0.3">
      <c r="A4529">
        <v>4528</v>
      </c>
      <c r="B4529">
        <v>4</v>
      </c>
      <c r="C4529">
        <v>3.5430600000000001</v>
      </c>
      <c r="D4529">
        <v>12.619400000000001</v>
      </c>
      <c r="E4529" t="s">
        <v>7145</v>
      </c>
      <c r="F4529" t="s">
        <v>7146</v>
      </c>
      <c r="G4529" t="s">
        <v>39</v>
      </c>
      <c r="H4529">
        <v>1987</v>
      </c>
      <c r="I4529">
        <v>28.9</v>
      </c>
      <c r="J4529">
        <v>13.3</v>
      </c>
      <c r="K4529">
        <v>57</v>
      </c>
      <c r="L4529">
        <v>25.15</v>
      </c>
      <c r="M4529">
        <v>40.299999999999997</v>
      </c>
      <c r="N4529">
        <v>17.3</v>
      </c>
      <c r="O4529">
        <v>23</v>
      </c>
      <c r="P4529">
        <v>27.7</v>
      </c>
      <c r="Q4529">
        <v>26.2</v>
      </c>
      <c r="R4529">
        <v>32.4</v>
      </c>
      <c r="S4529">
        <v>26.1</v>
      </c>
      <c r="T4529">
        <v>607</v>
      </c>
      <c r="U4529">
        <v>186</v>
      </c>
      <c r="V4529">
        <v>0</v>
      </c>
      <c r="W4529">
        <v>126</v>
      </c>
      <c r="X4529">
        <v>444</v>
      </c>
      <c r="Y4529">
        <v>0</v>
      </c>
      <c r="Z4529">
        <v>52</v>
      </c>
      <c r="AA4529">
        <v>0</v>
      </c>
      <c r="AB4529">
        <v>6.349405</v>
      </c>
      <c r="AC4529">
        <v>3.9580160000000003E-2</v>
      </c>
      <c r="AD4529">
        <v>0.83889449999999999</v>
      </c>
      <c r="AE4529">
        <v>0.6756837</v>
      </c>
      <c r="AF4529">
        <v>202.98650000000001</v>
      </c>
      <c r="AG4529">
        <f>IFERROR(AH4529*0.1, "N/A")</f>
        <v>5.8996620000000002</v>
      </c>
      <c r="AH4529">
        <v>58.99662</v>
      </c>
      <c r="AI4529">
        <v>176.4709</v>
      </c>
      <c r="AJ4529">
        <v>12.00169</v>
      </c>
      <c r="AK4529">
        <v>73.998310000000004</v>
      </c>
    </row>
    <row r="4530" spans="1:37" x14ac:dyDescent="0.3">
      <c r="A4530">
        <v>4529</v>
      </c>
      <c r="B4530">
        <v>0</v>
      </c>
      <c r="C4530">
        <v>3.5430600000000001</v>
      </c>
      <c r="D4530">
        <v>12.619400000000001</v>
      </c>
      <c r="E4530" t="s">
        <v>7145</v>
      </c>
      <c r="F4530" t="s">
        <v>7147</v>
      </c>
      <c r="G4530" t="s">
        <v>37</v>
      </c>
      <c r="H4530">
        <v>1987</v>
      </c>
      <c r="I4530">
        <v>28.9</v>
      </c>
      <c r="J4530">
        <v>13.3</v>
      </c>
      <c r="K4530">
        <v>57</v>
      </c>
      <c r="L4530">
        <v>25.15</v>
      </c>
      <c r="M4530">
        <v>40.299999999999997</v>
      </c>
      <c r="N4530">
        <v>17.3</v>
      </c>
      <c r="O4530">
        <v>23</v>
      </c>
      <c r="P4530">
        <v>27.7</v>
      </c>
      <c r="Q4530">
        <v>26.2</v>
      </c>
      <c r="R4530">
        <v>32.4</v>
      </c>
      <c r="S4530">
        <v>26.1</v>
      </c>
      <c r="T4530">
        <v>607</v>
      </c>
      <c r="U4530">
        <v>186</v>
      </c>
      <c r="V4530">
        <v>0</v>
      </c>
      <c r="W4530">
        <v>126</v>
      </c>
      <c r="X4530">
        <v>444</v>
      </c>
      <c r="Y4530">
        <v>0</v>
      </c>
      <c r="Z4530">
        <v>52</v>
      </c>
      <c r="AA4530">
        <v>0</v>
      </c>
      <c r="AB4530">
        <v>6.349405</v>
      </c>
      <c r="AC4530">
        <v>3.9580160000000003E-2</v>
      </c>
      <c r="AD4530">
        <v>0.83889449999999999</v>
      </c>
      <c r="AE4530">
        <v>0.6756837</v>
      </c>
      <c r="AF4530">
        <v>202.98650000000001</v>
      </c>
      <c r="AG4530">
        <f>IFERROR(AH4530*0.1, "N/A")</f>
        <v>5.8996620000000002</v>
      </c>
      <c r="AH4530">
        <v>58.99662</v>
      </c>
      <c r="AI4530">
        <v>176.4709</v>
      </c>
      <c r="AJ4530">
        <v>12.00169</v>
      </c>
      <c r="AK4530">
        <v>73.998310000000004</v>
      </c>
    </row>
    <row r="4531" spans="1:37" x14ac:dyDescent="0.3">
      <c r="A4531">
        <v>4530</v>
      </c>
      <c r="B4531">
        <v>41.9</v>
      </c>
      <c r="C4531">
        <v>1.64008</v>
      </c>
      <c r="D4531">
        <v>12.6669</v>
      </c>
      <c r="E4531" t="s">
        <v>7148</v>
      </c>
      <c r="F4531" t="s">
        <v>7149</v>
      </c>
      <c r="G4531" t="s">
        <v>39</v>
      </c>
      <c r="H4531">
        <v>0</v>
      </c>
      <c r="I4531">
        <v>28.6</v>
      </c>
      <c r="J4531">
        <v>14</v>
      </c>
      <c r="K4531">
        <v>58</v>
      </c>
      <c r="L4531">
        <v>24.820930000000001</v>
      </c>
      <c r="M4531">
        <v>40.1</v>
      </c>
      <c r="N4531">
        <v>16.2</v>
      </c>
      <c r="O4531">
        <v>23.9</v>
      </c>
      <c r="P4531">
        <v>27.3</v>
      </c>
      <c r="Q4531">
        <v>25.89678</v>
      </c>
      <c r="R4531">
        <v>32</v>
      </c>
      <c r="S4531">
        <v>25.89678</v>
      </c>
      <c r="T4531">
        <v>630.09640000000002</v>
      </c>
      <c r="U4531">
        <v>191.03210000000001</v>
      </c>
      <c r="V4531">
        <v>0</v>
      </c>
      <c r="W4531">
        <v>127</v>
      </c>
      <c r="X4531">
        <v>471.03210000000001</v>
      </c>
      <c r="Y4531">
        <v>0</v>
      </c>
      <c r="Z4531">
        <v>49.064300000000003</v>
      </c>
      <c r="AA4531">
        <v>0</v>
      </c>
      <c r="AB4531">
        <v>8.4223300000000005</v>
      </c>
      <c r="AC4531">
        <v>2.0005479999999999E-2</v>
      </c>
      <c r="AD4531">
        <v>1.357496</v>
      </c>
      <c r="AE4531">
        <v>0.68284929999999999</v>
      </c>
      <c r="AF4531">
        <v>245.31639999999999</v>
      </c>
      <c r="AG4531">
        <f>IFERROR(AH4531*0.1, "N/A")</f>
        <v>5.8081220000000009</v>
      </c>
      <c r="AH4531">
        <v>58.081220000000002</v>
      </c>
      <c r="AI4531">
        <v>218.9074</v>
      </c>
      <c r="AJ4531">
        <v>16.184429999999999</v>
      </c>
      <c r="AK4531">
        <v>63.856180000000002</v>
      </c>
    </row>
    <row r="4532" spans="1:37" x14ac:dyDescent="0.3">
      <c r="A4532">
        <v>4531</v>
      </c>
      <c r="B4532">
        <v>73.3</v>
      </c>
      <c r="C4532">
        <v>1.9411499999999999</v>
      </c>
      <c r="D4532">
        <v>12.702500000000001</v>
      </c>
      <c r="E4532" t="s">
        <v>7150</v>
      </c>
      <c r="F4532" t="s">
        <v>7151</v>
      </c>
      <c r="G4532" t="s">
        <v>39</v>
      </c>
      <c r="H4532">
        <v>0</v>
      </c>
      <c r="I4532">
        <v>28.7</v>
      </c>
      <c r="J4532">
        <v>14</v>
      </c>
      <c r="K4532">
        <v>57.587139999999998</v>
      </c>
      <c r="L4532">
        <v>25.767800000000001</v>
      </c>
      <c r="M4532">
        <v>40.341290000000001</v>
      </c>
      <c r="N4532">
        <v>16.2</v>
      </c>
      <c r="O4532">
        <v>24.141290000000001</v>
      </c>
      <c r="P4532">
        <v>27.5</v>
      </c>
      <c r="Q4532">
        <v>25.8</v>
      </c>
      <c r="R4532">
        <v>32.200000000000003</v>
      </c>
      <c r="S4532">
        <v>25.8</v>
      </c>
      <c r="T4532">
        <v>631.23860000000002</v>
      </c>
      <c r="U4532">
        <v>192</v>
      </c>
      <c r="V4532">
        <v>0</v>
      </c>
      <c r="W4532">
        <v>127.41289999999999</v>
      </c>
      <c r="X4532">
        <v>469.41289999999998</v>
      </c>
      <c r="Y4532">
        <v>0</v>
      </c>
      <c r="Z4532">
        <v>50.412860000000002</v>
      </c>
      <c r="AA4532">
        <v>0</v>
      </c>
      <c r="AB4532">
        <v>5.2453470000000002E-2</v>
      </c>
      <c r="AC4532">
        <v>2.9346999999999999</v>
      </c>
      <c r="AD4532">
        <v>0.99896019999999996</v>
      </c>
      <c r="AE4532">
        <v>0.67529980000000001</v>
      </c>
      <c r="AF4532">
        <v>230.23859999999999</v>
      </c>
      <c r="AG4532">
        <f>IFERROR(AH4532*0.1, "N/A")</f>
        <v>5.8257190000000003</v>
      </c>
      <c r="AH4532">
        <v>58.257190000000001</v>
      </c>
      <c r="AI4532">
        <v>206.55350000000001</v>
      </c>
      <c r="AJ4532">
        <v>16.60406</v>
      </c>
      <c r="AK4532">
        <v>66.654820000000001</v>
      </c>
    </row>
    <row r="4533" spans="1:37" x14ac:dyDescent="0.3">
      <c r="A4533">
        <v>4532</v>
      </c>
      <c r="B4533">
        <v>4</v>
      </c>
      <c r="C4533">
        <v>3.5583300000000002</v>
      </c>
      <c r="D4533">
        <v>12.7042</v>
      </c>
      <c r="E4533" t="s">
        <v>7152</v>
      </c>
      <c r="F4533" t="s">
        <v>7153</v>
      </c>
      <c r="G4533" t="s">
        <v>39</v>
      </c>
      <c r="H4533">
        <v>1987</v>
      </c>
      <c r="I4533">
        <v>28.8</v>
      </c>
      <c r="J4533">
        <v>13.3</v>
      </c>
      <c r="K4533">
        <v>57</v>
      </c>
      <c r="L4533">
        <v>25.478079999999999</v>
      </c>
      <c r="M4533">
        <v>40.299999999999997</v>
      </c>
      <c r="N4533">
        <v>17.1601</v>
      </c>
      <c r="O4533">
        <v>23.139900000000001</v>
      </c>
      <c r="P4533">
        <v>27.6</v>
      </c>
      <c r="Q4533">
        <v>26</v>
      </c>
      <c r="R4533">
        <v>32.299999999999997</v>
      </c>
      <c r="S4533">
        <v>25.9</v>
      </c>
      <c r="T4533">
        <v>586.798</v>
      </c>
      <c r="U4533">
        <v>182</v>
      </c>
      <c r="V4533">
        <v>0</v>
      </c>
      <c r="W4533">
        <v>127.202</v>
      </c>
      <c r="X4533">
        <v>435.399</v>
      </c>
      <c r="Y4533">
        <v>0</v>
      </c>
      <c r="Z4533">
        <v>45.398980000000002</v>
      </c>
      <c r="AA4533">
        <v>0</v>
      </c>
      <c r="AB4533">
        <v>3.0933820000000001</v>
      </c>
      <c r="AC4533">
        <v>8.2024029999999998E-2</v>
      </c>
      <c r="AD4533">
        <v>1.5641039999999999</v>
      </c>
      <c r="AE4533">
        <v>0.67551090000000003</v>
      </c>
      <c r="AF4533">
        <v>231.13069999999999</v>
      </c>
      <c r="AG4533">
        <f>IFERROR(AH4533*0.1, "N/A")</f>
        <v>5.2601019999999998</v>
      </c>
      <c r="AH4533">
        <v>52.601019999999998</v>
      </c>
      <c r="AI4533">
        <v>171.13679999999999</v>
      </c>
      <c r="AJ4533">
        <v>11.60102</v>
      </c>
      <c r="AK4533">
        <v>76</v>
      </c>
    </row>
    <row r="4534" spans="1:37" x14ac:dyDescent="0.3">
      <c r="A4534">
        <v>4533</v>
      </c>
      <c r="B4534">
        <v>0</v>
      </c>
      <c r="C4534">
        <v>3.5583300000000002</v>
      </c>
      <c r="D4534">
        <v>12.7042</v>
      </c>
      <c r="E4534" t="s">
        <v>7152</v>
      </c>
      <c r="F4534" t="s">
        <v>7154</v>
      </c>
      <c r="G4534" t="s">
        <v>37</v>
      </c>
      <c r="H4534">
        <v>1987</v>
      </c>
      <c r="I4534">
        <v>28.8</v>
      </c>
      <c r="J4534">
        <v>13.3</v>
      </c>
      <c r="K4534">
        <v>57</v>
      </c>
      <c r="L4534">
        <v>25.478079999999999</v>
      </c>
      <c r="M4534">
        <v>40.299999999999997</v>
      </c>
      <c r="N4534">
        <v>17.1601</v>
      </c>
      <c r="O4534">
        <v>23.139900000000001</v>
      </c>
      <c r="P4534">
        <v>27.6</v>
      </c>
      <c r="Q4534">
        <v>26</v>
      </c>
      <c r="R4534">
        <v>32.299999999999997</v>
      </c>
      <c r="S4534">
        <v>25.9</v>
      </c>
      <c r="T4534">
        <v>586.798</v>
      </c>
      <c r="U4534">
        <v>182</v>
      </c>
      <c r="V4534">
        <v>0</v>
      </c>
      <c r="W4534">
        <v>127.202</v>
      </c>
      <c r="X4534">
        <v>435.399</v>
      </c>
      <c r="Y4534">
        <v>0</v>
      </c>
      <c r="Z4534">
        <v>45.398980000000002</v>
      </c>
      <c r="AA4534">
        <v>0</v>
      </c>
      <c r="AB4534">
        <v>3.0933820000000001</v>
      </c>
      <c r="AC4534">
        <v>8.2024029999999998E-2</v>
      </c>
      <c r="AD4534">
        <v>1.5641039999999999</v>
      </c>
      <c r="AE4534">
        <v>0.67551090000000003</v>
      </c>
      <c r="AF4534">
        <v>231.13069999999999</v>
      </c>
      <c r="AG4534">
        <f>IFERROR(AH4534*0.1, "N/A")</f>
        <v>5.2601019999999998</v>
      </c>
      <c r="AH4534">
        <v>52.601019999999998</v>
      </c>
      <c r="AI4534">
        <v>171.13679999999999</v>
      </c>
      <c r="AJ4534">
        <v>11.60102</v>
      </c>
      <c r="AK4534">
        <v>76</v>
      </c>
    </row>
    <row r="4535" spans="1:37" x14ac:dyDescent="0.3">
      <c r="A4535">
        <v>4534</v>
      </c>
      <c r="B4535">
        <v>6</v>
      </c>
      <c r="C4535">
        <v>3.64818</v>
      </c>
      <c r="D4535">
        <v>12.7057</v>
      </c>
      <c r="E4535" t="s">
        <v>7155</v>
      </c>
      <c r="F4535" t="s">
        <v>7156</v>
      </c>
      <c r="G4535" t="s">
        <v>39</v>
      </c>
      <c r="H4535">
        <v>1987</v>
      </c>
      <c r="I4535">
        <v>29</v>
      </c>
      <c r="J4535">
        <v>13.3</v>
      </c>
      <c r="K4535">
        <v>57</v>
      </c>
      <c r="L4535">
        <v>25.61</v>
      </c>
      <c r="M4535">
        <v>40.5</v>
      </c>
      <c r="N4535">
        <v>17.3</v>
      </c>
      <c r="O4535">
        <v>23.2</v>
      </c>
      <c r="P4535">
        <v>27.8</v>
      </c>
      <c r="Q4535">
        <v>26.2</v>
      </c>
      <c r="R4535">
        <v>32.5</v>
      </c>
      <c r="S4535">
        <v>26.1</v>
      </c>
      <c r="T4535">
        <v>569</v>
      </c>
      <c r="U4535">
        <v>178</v>
      </c>
      <c r="V4535">
        <v>0</v>
      </c>
      <c r="W4535">
        <v>129</v>
      </c>
      <c r="X4535">
        <v>428</v>
      </c>
      <c r="Y4535">
        <v>0</v>
      </c>
      <c r="Z4535">
        <v>39</v>
      </c>
      <c r="AA4535">
        <v>0</v>
      </c>
      <c r="AB4535">
        <v>1.891173</v>
      </c>
      <c r="AC4535">
        <v>1.0792970000000001E-2</v>
      </c>
      <c r="AD4535">
        <v>1.255849</v>
      </c>
      <c r="AE4535">
        <v>0.69896069999999999</v>
      </c>
      <c r="AF4535">
        <v>190.24789999999999</v>
      </c>
      <c r="AG4535">
        <f>IFERROR(AH4535*0.1, "N/A")</f>
        <v>5.533277</v>
      </c>
      <c r="AH4535">
        <v>55.332769999999996</v>
      </c>
      <c r="AI4535">
        <v>127.4096</v>
      </c>
      <c r="AJ4535">
        <v>9.7470289999999995</v>
      </c>
      <c r="AK4535">
        <v>74.604410000000001</v>
      </c>
    </row>
    <row r="4536" spans="1:37" x14ac:dyDescent="0.3">
      <c r="A4536">
        <v>4535</v>
      </c>
      <c r="B4536">
        <v>0</v>
      </c>
      <c r="C4536">
        <v>3.64818</v>
      </c>
      <c r="D4536">
        <v>12.7057</v>
      </c>
      <c r="E4536" t="s">
        <v>7155</v>
      </c>
      <c r="F4536" t="s">
        <v>7157</v>
      </c>
      <c r="G4536" t="s">
        <v>37</v>
      </c>
      <c r="H4536">
        <v>1987</v>
      </c>
      <c r="I4536">
        <v>29</v>
      </c>
      <c r="J4536">
        <v>13.3</v>
      </c>
      <c r="K4536">
        <v>57</v>
      </c>
      <c r="L4536">
        <v>25.61</v>
      </c>
      <c r="M4536">
        <v>40.5</v>
      </c>
      <c r="N4536">
        <v>17.3</v>
      </c>
      <c r="O4536">
        <v>23.2</v>
      </c>
      <c r="P4536">
        <v>27.8</v>
      </c>
      <c r="Q4536">
        <v>26.2</v>
      </c>
      <c r="R4536">
        <v>32.5</v>
      </c>
      <c r="S4536">
        <v>26.1</v>
      </c>
      <c r="T4536">
        <v>569</v>
      </c>
      <c r="U4536">
        <v>178</v>
      </c>
      <c r="V4536">
        <v>0</v>
      </c>
      <c r="W4536">
        <v>129</v>
      </c>
      <c r="X4536">
        <v>428</v>
      </c>
      <c r="Y4536">
        <v>0</v>
      </c>
      <c r="Z4536">
        <v>39</v>
      </c>
      <c r="AA4536">
        <v>0</v>
      </c>
      <c r="AB4536">
        <v>1.891173</v>
      </c>
      <c r="AC4536">
        <v>1.0792970000000001E-2</v>
      </c>
      <c r="AD4536">
        <v>1.255849</v>
      </c>
      <c r="AE4536">
        <v>0.69896069999999999</v>
      </c>
      <c r="AF4536">
        <v>190.24789999999999</v>
      </c>
      <c r="AG4536">
        <f>IFERROR(AH4536*0.1, "N/A")</f>
        <v>5.533277</v>
      </c>
      <c r="AH4536">
        <v>55.332769999999996</v>
      </c>
      <c r="AI4536">
        <v>127.4096</v>
      </c>
      <c r="AJ4536">
        <v>9.7470289999999995</v>
      </c>
      <c r="AK4536">
        <v>74.604410000000001</v>
      </c>
    </row>
    <row r="4537" spans="1:37" x14ac:dyDescent="0.3">
      <c r="A4537">
        <v>4536</v>
      </c>
      <c r="B4537">
        <v>80</v>
      </c>
      <c r="C4537">
        <v>2.33535</v>
      </c>
      <c r="D4537">
        <v>12.707599999999999</v>
      </c>
      <c r="E4537" t="s">
        <v>7158</v>
      </c>
      <c r="F4537" t="s">
        <v>7159</v>
      </c>
      <c r="G4537" t="s">
        <v>39</v>
      </c>
      <c r="H4537">
        <v>0</v>
      </c>
      <c r="I4537">
        <v>28.7</v>
      </c>
      <c r="J4537">
        <v>13.8</v>
      </c>
      <c r="K4537">
        <v>57</v>
      </c>
      <c r="L4537">
        <v>26.21</v>
      </c>
      <c r="M4537">
        <v>40.299999999999997</v>
      </c>
      <c r="N4537">
        <v>16.2</v>
      </c>
      <c r="O4537">
        <v>24.1</v>
      </c>
      <c r="P4537">
        <v>27.6</v>
      </c>
      <c r="Q4537">
        <v>25.7</v>
      </c>
      <c r="R4537">
        <v>32.200000000000003</v>
      </c>
      <c r="S4537">
        <v>25.7</v>
      </c>
      <c r="T4537">
        <v>630</v>
      </c>
      <c r="U4537">
        <v>190</v>
      </c>
      <c r="V4537">
        <v>0</v>
      </c>
      <c r="W4537">
        <v>127</v>
      </c>
      <c r="X4537">
        <v>470</v>
      </c>
      <c r="Y4537">
        <v>0</v>
      </c>
      <c r="Z4537">
        <v>46</v>
      </c>
      <c r="AA4537">
        <v>0</v>
      </c>
      <c r="AB4537">
        <v>2.2314150000000001</v>
      </c>
      <c r="AC4537">
        <v>1.2180939999999999E-2</v>
      </c>
      <c r="AD4537">
        <v>1.5848340000000001</v>
      </c>
      <c r="AE4537">
        <v>0.68228259999999996</v>
      </c>
      <c r="AF4537">
        <v>242.22069999999999</v>
      </c>
      <c r="AG4537">
        <f>IFERROR(AH4537*0.1, "N/A")</f>
        <v>5.2456710000000006</v>
      </c>
      <c r="AH4537">
        <v>52.456710000000001</v>
      </c>
      <c r="AI4537">
        <v>212.60419999999999</v>
      </c>
      <c r="AJ4537">
        <v>8.3225809999999996</v>
      </c>
      <c r="AK4537">
        <v>81.220709999999997</v>
      </c>
    </row>
    <row r="4538" spans="1:37" x14ac:dyDescent="0.3">
      <c r="A4538">
        <v>4537</v>
      </c>
      <c r="B4538">
        <v>73.900000000000006</v>
      </c>
      <c r="C4538">
        <v>1.9262300000000001</v>
      </c>
      <c r="D4538">
        <v>12.715</v>
      </c>
      <c r="E4538" t="s">
        <v>7160</v>
      </c>
      <c r="F4538" t="s">
        <v>7161</v>
      </c>
      <c r="G4538" t="s">
        <v>39</v>
      </c>
      <c r="H4538">
        <v>0</v>
      </c>
      <c r="I4538">
        <v>28.7</v>
      </c>
      <c r="J4538">
        <v>14</v>
      </c>
      <c r="K4538">
        <v>57</v>
      </c>
      <c r="L4538">
        <v>25.87</v>
      </c>
      <c r="M4538">
        <v>40.4</v>
      </c>
      <c r="N4538">
        <v>16.2</v>
      </c>
      <c r="O4538">
        <v>24.2</v>
      </c>
      <c r="P4538">
        <v>27.5</v>
      </c>
      <c r="Q4538">
        <v>25.8</v>
      </c>
      <c r="R4538">
        <v>32.200000000000003</v>
      </c>
      <c r="S4538">
        <v>25.7</v>
      </c>
      <c r="T4538">
        <v>628</v>
      </c>
      <c r="U4538">
        <v>191</v>
      </c>
      <c r="V4538">
        <v>0</v>
      </c>
      <c r="W4538">
        <v>127</v>
      </c>
      <c r="X4538">
        <v>467</v>
      </c>
      <c r="Y4538">
        <v>0</v>
      </c>
      <c r="Z4538">
        <v>50</v>
      </c>
      <c r="AA4538">
        <v>0</v>
      </c>
      <c r="AB4538">
        <v>6.2909879999999996</v>
      </c>
      <c r="AC4538">
        <v>1.1066329999999999E-2</v>
      </c>
      <c r="AD4538">
        <v>0.87145950000000005</v>
      </c>
      <c r="AE4538">
        <v>0.68287430000000005</v>
      </c>
      <c r="AF4538">
        <v>229.31120000000001</v>
      </c>
      <c r="AG4538">
        <f>IFERROR(AH4538*0.1, "N/A")</f>
        <v>5.9901359999999997</v>
      </c>
      <c r="AH4538">
        <v>59.901359999999997</v>
      </c>
      <c r="AI4538">
        <v>233.36750000000001</v>
      </c>
      <c r="AJ4538">
        <v>13.836729999999999</v>
      </c>
      <c r="AK4538">
        <v>69.294219999999996</v>
      </c>
    </row>
    <row r="4539" spans="1:37" x14ac:dyDescent="0.3">
      <c r="A4539">
        <v>4538</v>
      </c>
      <c r="B4539">
        <v>0</v>
      </c>
      <c r="C4539">
        <v>2.4912999999999998</v>
      </c>
      <c r="D4539">
        <v>12.7385</v>
      </c>
      <c r="E4539" t="s">
        <v>7162</v>
      </c>
      <c r="F4539" t="s">
        <v>7163</v>
      </c>
      <c r="G4539" t="s">
        <v>39</v>
      </c>
      <c r="H4539">
        <v>0</v>
      </c>
      <c r="I4539">
        <v>29.1</v>
      </c>
      <c r="J4539">
        <v>13.704420000000001</v>
      </c>
      <c r="K4539">
        <v>56.044220000000003</v>
      </c>
      <c r="L4539">
        <v>26.609660000000002</v>
      </c>
      <c r="M4539">
        <v>40.795580000000001</v>
      </c>
      <c r="N4539">
        <v>16.7</v>
      </c>
      <c r="O4539">
        <v>24.095580000000002</v>
      </c>
      <c r="P4539">
        <v>27.904419999999998</v>
      </c>
      <c r="Q4539">
        <v>26.2</v>
      </c>
      <c r="R4539">
        <v>32.69558</v>
      </c>
      <c r="S4539">
        <v>26.00442</v>
      </c>
      <c r="T4539">
        <v>611</v>
      </c>
      <c r="U4539">
        <v>188</v>
      </c>
      <c r="V4539">
        <v>0</v>
      </c>
      <c r="W4539">
        <v>128</v>
      </c>
      <c r="X4539">
        <v>455</v>
      </c>
      <c r="Y4539">
        <v>0</v>
      </c>
      <c r="Z4539">
        <v>45</v>
      </c>
      <c r="AA4539">
        <v>0</v>
      </c>
      <c r="AB4539">
        <v>2.3183639999999999</v>
      </c>
      <c r="AC4539">
        <v>8.3698239999999993E-2</v>
      </c>
      <c r="AD4539">
        <v>2.602535</v>
      </c>
      <c r="AE4539">
        <v>0.58469819999999995</v>
      </c>
      <c r="AF4539">
        <v>169.8861</v>
      </c>
      <c r="AG4539">
        <f>IFERROR(AH4539*0.1, "N/A")</f>
        <v>5.9490569999999998</v>
      </c>
      <c r="AH4539">
        <v>59.490569999999998</v>
      </c>
      <c r="AI4539">
        <v>151.70050000000001</v>
      </c>
      <c r="AJ4539">
        <v>24.735849999999999</v>
      </c>
      <c r="AK4539">
        <v>51.490569999999998</v>
      </c>
    </row>
    <row r="4540" spans="1:37" x14ac:dyDescent="0.3">
      <c r="A4540">
        <v>4539</v>
      </c>
      <c r="B4540">
        <v>44.7</v>
      </c>
      <c r="C4540">
        <v>1.9611099999999999</v>
      </c>
      <c r="D4540">
        <v>12.744400000000001</v>
      </c>
      <c r="E4540" t="s">
        <v>7164</v>
      </c>
      <c r="F4540" t="s">
        <v>7165</v>
      </c>
      <c r="G4540" t="s">
        <v>39</v>
      </c>
      <c r="H4540">
        <v>0</v>
      </c>
      <c r="I4540">
        <v>28.8</v>
      </c>
      <c r="J4540">
        <v>14</v>
      </c>
      <c r="K4540">
        <v>57</v>
      </c>
      <c r="L4540">
        <v>26</v>
      </c>
      <c r="M4540">
        <v>40.5</v>
      </c>
      <c r="N4540">
        <v>16.3</v>
      </c>
      <c r="O4540">
        <v>24.2</v>
      </c>
      <c r="P4540">
        <v>27.6</v>
      </c>
      <c r="Q4540">
        <v>25.9</v>
      </c>
      <c r="R4540">
        <v>32.299999999999997</v>
      </c>
      <c r="S4540">
        <v>25.8</v>
      </c>
      <c r="T4540">
        <v>621</v>
      </c>
      <c r="U4540">
        <v>190</v>
      </c>
      <c r="V4540">
        <v>0</v>
      </c>
      <c r="W4540">
        <v>129</v>
      </c>
      <c r="X4540">
        <v>464</v>
      </c>
      <c r="Y4540">
        <v>0</v>
      </c>
      <c r="Z4540">
        <v>47</v>
      </c>
      <c r="AA4540">
        <v>0</v>
      </c>
      <c r="AB4540">
        <v>7.5972939999999998</v>
      </c>
      <c r="AC4540">
        <v>0.13280939999999999</v>
      </c>
      <c r="AD4540">
        <v>1.3657969999999999</v>
      </c>
      <c r="AE4540">
        <v>0.68124620000000002</v>
      </c>
      <c r="AF4540">
        <v>221.48390000000001</v>
      </c>
      <c r="AG4540">
        <f>IFERROR(AH4540*0.1, "N/A")</f>
        <v>5.5</v>
      </c>
      <c r="AH4540">
        <v>55</v>
      </c>
      <c r="AI4540">
        <v>210.73269999999999</v>
      </c>
      <c r="AJ4540">
        <v>13</v>
      </c>
      <c r="AK4540">
        <v>75</v>
      </c>
    </row>
    <row r="4541" spans="1:37" x14ac:dyDescent="0.3">
      <c r="A4541">
        <v>4540</v>
      </c>
      <c r="B4541">
        <v>46.3</v>
      </c>
      <c r="C4541">
        <v>1.6409</v>
      </c>
      <c r="D4541">
        <v>12.7493</v>
      </c>
      <c r="E4541" t="s">
        <v>7166</v>
      </c>
      <c r="F4541" t="s">
        <v>7167</v>
      </c>
      <c r="G4541" t="s">
        <v>39</v>
      </c>
      <c r="H4541">
        <v>0</v>
      </c>
      <c r="I4541">
        <v>28.684920000000002</v>
      </c>
      <c r="J4541">
        <v>14.1</v>
      </c>
      <c r="K4541">
        <v>58</v>
      </c>
      <c r="L4541">
        <v>25.663340000000002</v>
      </c>
      <c r="M4541">
        <v>40.288469999999997</v>
      </c>
      <c r="N4541">
        <v>16.100000000000001</v>
      </c>
      <c r="O4541">
        <v>24.188479999999998</v>
      </c>
      <c r="P4541">
        <v>27.421019999999999</v>
      </c>
      <c r="Q4541">
        <v>25.8</v>
      </c>
      <c r="R4541">
        <v>32.184919999999998</v>
      </c>
      <c r="S4541">
        <v>25.78491</v>
      </c>
      <c r="T4541">
        <v>604.45249999999999</v>
      </c>
      <c r="U4541">
        <v>183</v>
      </c>
      <c r="V4541">
        <v>0</v>
      </c>
      <c r="W4541">
        <v>128</v>
      </c>
      <c r="X4541">
        <v>455</v>
      </c>
      <c r="Y4541">
        <v>0</v>
      </c>
      <c r="Z4541">
        <v>43.488140000000001</v>
      </c>
      <c r="AA4541">
        <v>1</v>
      </c>
      <c r="AB4541">
        <v>4.8157670000000001</v>
      </c>
      <c r="AC4541">
        <v>5.615448E-2</v>
      </c>
      <c r="AD4541">
        <v>2.058853</v>
      </c>
      <c r="AE4541">
        <v>0.6870193</v>
      </c>
      <c r="AF4541">
        <v>234.53049999999999</v>
      </c>
      <c r="AG4541">
        <f>IFERROR(AH4541*0.1, "N/A")</f>
        <v>6.1498309999999998</v>
      </c>
      <c r="AH4541">
        <v>61.498309999999996</v>
      </c>
      <c r="AI4541">
        <v>128.375</v>
      </c>
      <c r="AJ4541">
        <v>16.91356</v>
      </c>
      <c r="AK4541">
        <v>64.055930000000004</v>
      </c>
    </row>
    <row r="4542" spans="1:37" x14ac:dyDescent="0.3">
      <c r="A4542">
        <v>4541</v>
      </c>
      <c r="B4542">
        <v>51.7</v>
      </c>
      <c r="C4542">
        <v>2.1716000000000002</v>
      </c>
      <c r="D4542">
        <v>12.754099999999999</v>
      </c>
      <c r="E4542" t="s">
        <v>7168</v>
      </c>
      <c r="F4542" t="s">
        <v>7169</v>
      </c>
      <c r="G4542" t="s">
        <v>39</v>
      </c>
      <c r="H4542">
        <v>0</v>
      </c>
      <c r="I4542">
        <v>28.9</v>
      </c>
      <c r="J4542">
        <v>13.9</v>
      </c>
      <c r="K4542">
        <v>57</v>
      </c>
      <c r="L4542">
        <v>25.93</v>
      </c>
      <c r="M4542">
        <v>40.5</v>
      </c>
      <c r="N4542">
        <v>16.399999999999999</v>
      </c>
      <c r="O4542">
        <v>24.1</v>
      </c>
      <c r="P4542">
        <v>27.7</v>
      </c>
      <c r="Q4542">
        <v>27.8</v>
      </c>
      <c r="R4542">
        <v>32.4</v>
      </c>
      <c r="S4542">
        <v>25.9</v>
      </c>
      <c r="T4542">
        <v>628</v>
      </c>
      <c r="U4542">
        <v>188</v>
      </c>
      <c r="V4542">
        <v>0</v>
      </c>
      <c r="W4542">
        <v>129</v>
      </c>
      <c r="X4542">
        <v>472</v>
      </c>
      <c r="Y4542">
        <v>0</v>
      </c>
      <c r="Z4542">
        <v>42</v>
      </c>
      <c r="AA4542">
        <v>0</v>
      </c>
      <c r="AB4542">
        <v>4.4974429999999996</v>
      </c>
      <c r="AC4542">
        <v>198.66059999999999</v>
      </c>
      <c r="AD4542">
        <v>2.0974650000000001</v>
      </c>
      <c r="AE4542">
        <v>0.68967259999999997</v>
      </c>
      <c r="AF4542">
        <v>201.07669999999999</v>
      </c>
      <c r="AG4542">
        <f>IFERROR(AH4542*0.1, "N/A")</f>
        <v>5.6170360000000006</v>
      </c>
      <c r="AH4542">
        <v>56.170360000000002</v>
      </c>
      <c r="AI4542">
        <v>270.1549</v>
      </c>
      <c r="AJ4542">
        <v>24.582619999999999</v>
      </c>
      <c r="AK4542">
        <v>46.906300000000002</v>
      </c>
    </row>
    <row r="4543" spans="1:37" x14ac:dyDescent="0.3">
      <c r="A4543">
        <v>4542</v>
      </c>
      <c r="B4543">
        <v>67</v>
      </c>
      <c r="C4543">
        <v>2.3166699999999998</v>
      </c>
      <c r="D4543">
        <v>12.7667</v>
      </c>
      <c r="E4543" t="s">
        <v>7170</v>
      </c>
      <c r="F4543" t="s">
        <v>7171</v>
      </c>
      <c r="G4543" t="s">
        <v>39</v>
      </c>
      <c r="H4543">
        <v>0</v>
      </c>
      <c r="I4543">
        <v>28.943290000000001</v>
      </c>
      <c r="J4543">
        <v>13.84329</v>
      </c>
      <c r="K4543">
        <v>57</v>
      </c>
      <c r="L4543">
        <v>26.267569999999999</v>
      </c>
      <c r="M4543">
        <v>40.543289999999999</v>
      </c>
      <c r="N4543">
        <v>16.425809999999998</v>
      </c>
      <c r="O4543">
        <v>24.11749</v>
      </c>
      <c r="P4543">
        <v>27.84329</v>
      </c>
      <c r="Q4543">
        <v>25.964179999999999</v>
      </c>
      <c r="R4543">
        <v>32.425809999999998</v>
      </c>
      <c r="S4543">
        <v>25.825810000000001</v>
      </c>
      <c r="T4543">
        <v>618.35820000000001</v>
      </c>
      <c r="U4543">
        <v>187</v>
      </c>
      <c r="V4543">
        <v>0</v>
      </c>
      <c r="W4543">
        <v>128.35820000000001</v>
      </c>
      <c r="X4543">
        <v>463.35820000000001</v>
      </c>
      <c r="Y4543">
        <v>0</v>
      </c>
      <c r="Z4543">
        <v>43</v>
      </c>
      <c r="AA4543">
        <v>0</v>
      </c>
      <c r="AB4543">
        <v>3.5361630000000002</v>
      </c>
      <c r="AC4543">
        <v>0.10926379999999999</v>
      </c>
      <c r="AD4543">
        <v>1.6447149999999999</v>
      </c>
      <c r="AE4543">
        <v>0.68240809999999996</v>
      </c>
      <c r="AF4543">
        <v>195.73339999999999</v>
      </c>
      <c r="AG4543">
        <f>IFERROR(AH4543*0.1, "N/A")</f>
        <v>5.5308999999999999</v>
      </c>
      <c r="AH4543">
        <v>55.308999999999997</v>
      </c>
      <c r="AI4543">
        <v>116.4676</v>
      </c>
      <c r="AJ4543">
        <v>13.44312</v>
      </c>
      <c r="AK4543">
        <v>72.123940000000005</v>
      </c>
    </row>
    <row r="4544" spans="1:37" x14ac:dyDescent="0.3">
      <c r="A4544">
        <v>4543</v>
      </c>
      <c r="B4544">
        <v>31.1</v>
      </c>
      <c r="C4544">
        <v>2.2092999999999998</v>
      </c>
      <c r="D4544">
        <v>12.783300000000001</v>
      </c>
      <c r="E4544" t="s">
        <v>7172</v>
      </c>
      <c r="F4544" t="s">
        <v>7173</v>
      </c>
      <c r="G4544" t="s">
        <v>39</v>
      </c>
      <c r="H4544">
        <v>0</v>
      </c>
      <c r="I4544">
        <v>28.926189999999998</v>
      </c>
      <c r="J4544">
        <v>13.9</v>
      </c>
      <c r="K4544">
        <v>57</v>
      </c>
      <c r="L4544">
        <v>26.375710000000002</v>
      </c>
      <c r="M4544">
        <v>40.5</v>
      </c>
      <c r="N4544">
        <v>16.252379999999999</v>
      </c>
      <c r="O4544">
        <v>24.247620000000001</v>
      </c>
      <c r="P4544">
        <v>27.8</v>
      </c>
      <c r="Q4544">
        <v>27.254760000000001</v>
      </c>
      <c r="R4544">
        <v>32.4</v>
      </c>
      <c r="S4544">
        <v>25.752379999999999</v>
      </c>
      <c r="T4544">
        <v>621.26189999999997</v>
      </c>
      <c r="U4544">
        <v>187</v>
      </c>
      <c r="V4544">
        <v>0</v>
      </c>
      <c r="W4544">
        <v>130</v>
      </c>
      <c r="X4544">
        <v>467</v>
      </c>
      <c r="Y4544">
        <v>0</v>
      </c>
      <c r="Z4544">
        <v>41.261899999999997</v>
      </c>
      <c r="AA4544">
        <v>0</v>
      </c>
      <c r="AB4544">
        <v>10.363939999999999</v>
      </c>
      <c r="AC4544">
        <v>3.28496E-2</v>
      </c>
      <c r="AD4544">
        <v>2.6334369999999998</v>
      </c>
      <c r="AE4544">
        <v>0.68297350000000001</v>
      </c>
      <c r="AF4544">
        <v>203.3793</v>
      </c>
      <c r="AG4544">
        <f>IFERROR(AH4544*0.1, "N/A")</f>
        <v>5.6000000000000005</v>
      </c>
      <c r="AH4544">
        <v>56</v>
      </c>
      <c r="AI4544">
        <v>129.09790000000001</v>
      </c>
      <c r="AJ4544">
        <v>11</v>
      </c>
      <c r="AK4544">
        <v>76</v>
      </c>
    </row>
    <row r="4545" spans="1:37" x14ac:dyDescent="0.3">
      <c r="A4545">
        <v>4544</v>
      </c>
      <c r="B4545">
        <v>80</v>
      </c>
      <c r="C4545">
        <v>2.47587</v>
      </c>
      <c r="D4545">
        <v>12.793699999999999</v>
      </c>
      <c r="E4545" t="s">
        <v>7174</v>
      </c>
      <c r="F4545" t="s">
        <v>7175</v>
      </c>
      <c r="G4545" t="s">
        <v>39</v>
      </c>
      <c r="H4545">
        <v>0</v>
      </c>
      <c r="I4545">
        <v>29.1</v>
      </c>
      <c r="J4545">
        <v>13.8</v>
      </c>
      <c r="K4545">
        <v>57</v>
      </c>
      <c r="L4545">
        <v>26.69</v>
      </c>
      <c r="M4545">
        <v>40.700000000000003</v>
      </c>
      <c r="N4545">
        <v>16.600000000000001</v>
      </c>
      <c r="O4545">
        <v>24.1</v>
      </c>
      <c r="P4545">
        <v>28</v>
      </c>
      <c r="Q4545">
        <v>26.1</v>
      </c>
      <c r="R4545">
        <v>32.6</v>
      </c>
      <c r="S4545">
        <v>25.9</v>
      </c>
      <c r="T4545">
        <v>602</v>
      </c>
      <c r="U4545">
        <v>186</v>
      </c>
      <c r="V4545">
        <v>0</v>
      </c>
      <c r="W4545">
        <v>127</v>
      </c>
      <c r="X4545">
        <v>451</v>
      </c>
      <c r="Y4545">
        <v>0</v>
      </c>
      <c r="Z4545">
        <v>43</v>
      </c>
      <c r="AA4545">
        <v>0</v>
      </c>
      <c r="AB4545">
        <v>7.6194680000000004</v>
      </c>
      <c r="AC4545">
        <v>1.0357649999999999E-2</v>
      </c>
      <c r="AD4545">
        <v>0.81837190000000004</v>
      </c>
      <c r="AE4545">
        <v>0.6811258</v>
      </c>
      <c r="AF4545">
        <v>176.7953</v>
      </c>
      <c r="AG4545">
        <f>IFERROR(AH4545*0.1, "N/A")</f>
        <v>5.8994920000000004</v>
      </c>
      <c r="AH4545">
        <v>58.99492</v>
      </c>
      <c r="AI4545">
        <v>127.053</v>
      </c>
      <c r="AJ4545">
        <v>17.986460000000001</v>
      </c>
      <c r="AK4545">
        <v>61.018610000000002</v>
      </c>
    </row>
    <row r="4546" spans="1:37" x14ac:dyDescent="0.3">
      <c r="A4546">
        <v>4545</v>
      </c>
      <c r="B4546">
        <v>0</v>
      </c>
      <c r="C4546">
        <v>2.47587</v>
      </c>
      <c r="D4546">
        <v>12.793699999999999</v>
      </c>
      <c r="E4546" t="s">
        <v>7174</v>
      </c>
      <c r="F4546" t="s">
        <v>7176</v>
      </c>
      <c r="G4546" t="s">
        <v>37</v>
      </c>
      <c r="H4546">
        <v>0</v>
      </c>
      <c r="I4546">
        <v>29.1</v>
      </c>
      <c r="J4546">
        <v>13.8</v>
      </c>
      <c r="K4546">
        <v>57</v>
      </c>
      <c r="L4546">
        <v>26.69</v>
      </c>
      <c r="M4546">
        <v>40.700000000000003</v>
      </c>
      <c r="N4546">
        <v>16.600000000000001</v>
      </c>
      <c r="O4546">
        <v>24.1</v>
      </c>
      <c r="P4546">
        <v>28</v>
      </c>
      <c r="Q4546">
        <v>26.1</v>
      </c>
      <c r="R4546">
        <v>32.6</v>
      </c>
      <c r="S4546">
        <v>25.9</v>
      </c>
      <c r="T4546">
        <v>602</v>
      </c>
      <c r="U4546">
        <v>186</v>
      </c>
      <c r="V4546">
        <v>0</v>
      </c>
      <c r="W4546">
        <v>127</v>
      </c>
      <c r="X4546">
        <v>451</v>
      </c>
      <c r="Y4546">
        <v>0</v>
      </c>
      <c r="Z4546">
        <v>43</v>
      </c>
      <c r="AA4546">
        <v>0</v>
      </c>
      <c r="AB4546">
        <v>7.6194680000000004</v>
      </c>
      <c r="AC4546">
        <v>1.0357649999999999E-2</v>
      </c>
      <c r="AD4546">
        <v>0.81837190000000004</v>
      </c>
      <c r="AE4546">
        <v>0.6811258</v>
      </c>
      <c r="AF4546">
        <v>176.7953</v>
      </c>
      <c r="AG4546">
        <f>IFERROR(AH4546*0.1, "N/A")</f>
        <v>5.8994920000000004</v>
      </c>
      <c r="AH4546">
        <v>58.99492</v>
      </c>
      <c r="AI4546">
        <v>127.053</v>
      </c>
      <c r="AJ4546">
        <v>17.986460000000001</v>
      </c>
      <c r="AK4546">
        <v>61.018610000000002</v>
      </c>
    </row>
    <row r="4547" spans="1:37" x14ac:dyDescent="0.3">
      <c r="A4547">
        <v>4546</v>
      </c>
      <c r="B4547">
        <v>6</v>
      </c>
      <c r="C4547">
        <v>3.6397200000000001</v>
      </c>
      <c r="D4547">
        <v>12.7981</v>
      </c>
      <c r="E4547" t="s">
        <v>7177</v>
      </c>
      <c r="F4547" t="s">
        <v>7178</v>
      </c>
      <c r="G4547" t="s">
        <v>39</v>
      </c>
      <c r="H4547">
        <v>1987</v>
      </c>
      <c r="I4547">
        <v>28.9</v>
      </c>
      <c r="J4547">
        <v>13.4</v>
      </c>
      <c r="K4547">
        <v>57</v>
      </c>
      <c r="L4547">
        <v>25.76</v>
      </c>
      <c r="M4547">
        <v>40.4</v>
      </c>
      <c r="N4547">
        <v>17.100000000000001</v>
      </c>
      <c r="O4547">
        <v>23.3</v>
      </c>
      <c r="P4547">
        <v>27.8</v>
      </c>
      <c r="Q4547">
        <v>27.9</v>
      </c>
      <c r="R4547">
        <v>32.4</v>
      </c>
      <c r="S4547">
        <v>25.9</v>
      </c>
      <c r="T4547">
        <v>535</v>
      </c>
      <c r="U4547">
        <v>174</v>
      </c>
      <c r="V4547">
        <v>0</v>
      </c>
      <c r="W4547">
        <v>135</v>
      </c>
      <c r="X4547">
        <v>415</v>
      </c>
      <c r="Y4547">
        <v>0</v>
      </c>
      <c r="Z4547">
        <v>27</v>
      </c>
      <c r="AA4547">
        <v>0</v>
      </c>
      <c r="AB4547">
        <v>7.8831879999999996</v>
      </c>
      <c r="AC4547">
        <v>7.3881849999999999E-2</v>
      </c>
      <c r="AD4547">
        <v>1.212402</v>
      </c>
      <c r="AE4547">
        <v>0.66518440000000001</v>
      </c>
      <c r="AF4547">
        <v>216.3175</v>
      </c>
      <c r="AG4547">
        <f>IFERROR(AH4547*0.1, "N/A")</f>
        <v>5.3275040000000002</v>
      </c>
      <c r="AH4547">
        <v>53.275039999999997</v>
      </c>
      <c r="AI4547">
        <v>109.88500000000001</v>
      </c>
      <c r="AJ4547">
        <v>10.01868</v>
      </c>
      <c r="AK4547">
        <v>74.137519999999995</v>
      </c>
    </row>
    <row r="4548" spans="1:37" x14ac:dyDescent="0.3">
      <c r="A4548">
        <v>4547</v>
      </c>
      <c r="B4548">
        <v>0</v>
      </c>
      <c r="C4548">
        <v>3.6397200000000001</v>
      </c>
      <c r="D4548">
        <v>12.7981</v>
      </c>
      <c r="E4548" t="s">
        <v>7177</v>
      </c>
      <c r="F4548" t="s">
        <v>7179</v>
      </c>
      <c r="G4548" t="s">
        <v>37</v>
      </c>
      <c r="H4548">
        <v>1987</v>
      </c>
      <c r="I4548">
        <v>28.9</v>
      </c>
      <c r="J4548">
        <v>13.4</v>
      </c>
      <c r="K4548">
        <v>57</v>
      </c>
      <c r="L4548">
        <v>25.76</v>
      </c>
      <c r="M4548">
        <v>40.4</v>
      </c>
      <c r="N4548">
        <v>17.100000000000001</v>
      </c>
      <c r="O4548">
        <v>23.3</v>
      </c>
      <c r="P4548">
        <v>27.8</v>
      </c>
      <c r="Q4548">
        <v>27.9</v>
      </c>
      <c r="R4548">
        <v>32.4</v>
      </c>
      <c r="S4548">
        <v>25.9</v>
      </c>
      <c r="T4548">
        <v>535</v>
      </c>
      <c r="U4548">
        <v>174</v>
      </c>
      <c r="V4548">
        <v>0</v>
      </c>
      <c r="W4548">
        <v>135</v>
      </c>
      <c r="X4548">
        <v>415</v>
      </c>
      <c r="Y4548">
        <v>0</v>
      </c>
      <c r="Z4548">
        <v>27</v>
      </c>
      <c r="AA4548">
        <v>0</v>
      </c>
      <c r="AB4548">
        <v>7.8831879999999996</v>
      </c>
      <c r="AC4548">
        <v>7.3881849999999999E-2</v>
      </c>
      <c r="AD4548">
        <v>1.212402</v>
      </c>
      <c r="AE4548">
        <v>0.66518440000000001</v>
      </c>
      <c r="AF4548">
        <v>216.3175</v>
      </c>
      <c r="AG4548">
        <f>IFERROR(AH4548*0.1, "N/A")</f>
        <v>5.3275040000000002</v>
      </c>
      <c r="AH4548">
        <v>53.275039999999997</v>
      </c>
      <c r="AI4548">
        <v>109.88500000000001</v>
      </c>
      <c r="AJ4548">
        <v>10.01868</v>
      </c>
      <c r="AK4548">
        <v>74.137519999999995</v>
      </c>
    </row>
    <row r="4549" spans="1:37" x14ac:dyDescent="0.3">
      <c r="A4549">
        <v>4548</v>
      </c>
      <c r="B4549">
        <v>73.3</v>
      </c>
      <c r="C4549">
        <v>1.75142</v>
      </c>
      <c r="D4549">
        <v>12.802899999999999</v>
      </c>
      <c r="E4549" t="s">
        <v>7180</v>
      </c>
      <c r="F4549" t="s">
        <v>7181</v>
      </c>
      <c r="G4549" t="s">
        <v>39</v>
      </c>
      <c r="H4549">
        <v>0</v>
      </c>
      <c r="I4549">
        <v>28.8</v>
      </c>
      <c r="J4549">
        <v>14.1</v>
      </c>
      <c r="K4549">
        <v>58</v>
      </c>
      <c r="L4549">
        <v>25.71</v>
      </c>
      <c r="M4549">
        <v>40.4</v>
      </c>
      <c r="N4549">
        <v>16.100000000000001</v>
      </c>
      <c r="O4549">
        <v>24.3</v>
      </c>
      <c r="P4549">
        <v>27.7</v>
      </c>
      <c r="Q4549">
        <v>27.7</v>
      </c>
      <c r="R4549">
        <v>32.200000000000003</v>
      </c>
      <c r="S4549">
        <v>25.8</v>
      </c>
      <c r="T4549">
        <v>586</v>
      </c>
      <c r="U4549">
        <v>180</v>
      </c>
      <c r="V4549">
        <v>0</v>
      </c>
      <c r="W4549">
        <v>131</v>
      </c>
      <c r="X4549">
        <v>445</v>
      </c>
      <c r="Y4549">
        <v>0</v>
      </c>
      <c r="Z4549">
        <v>40</v>
      </c>
      <c r="AA4549">
        <v>0</v>
      </c>
      <c r="AB4549">
        <v>4.1758369999999996</v>
      </c>
      <c r="AC4549">
        <v>9.2551049999999996E-3</v>
      </c>
      <c r="AD4549">
        <v>1.10598</v>
      </c>
      <c r="AE4549">
        <v>0.68049789999999999</v>
      </c>
      <c r="AF4549">
        <v>222.91220000000001</v>
      </c>
      <c r="AG4549">
        <f>IFERROR(AH4549*0.1, "N/A")</f>
        <v>5.7719589999999998</v>
      </c>
      <c r="AH4549">
        <v>57.719589999999997</v>
      </c>
      <c r="AI4549">
        <v>188.14269999999999</v>
      </c>
      <c r="AJ4549">
        <v>22.2348</v>
      </c>
      <c r="AK4549">
        <v>51.795610000000003</v>
      </c>
    </row>
    <row r="4550" spans="1:37" x14ac:dyDescent="0.3">
      <c r="A4550">
        <v>4549</v>
      </c>
      <c r="B4550">
        <v>71.7</v>
      </c>
      <c r="C4550">
        <v>2.4582999999999999</v>
      </c>
      <c r="D4550">
        <v>12.815300000000001</v>
      </c>
      <c r="E4550" t="s">
        <v>7182</v>
      </c>
      <c r="F4550" t="s">
        <v>7183</v>
      </c>
      <c r="G4550" t="s">
        <v>39</v>
      </c>
      <c r="H4550">
        <v>0</v>
      </c>
      <c r="I4550">
        <v>29.180820000000001</v>
      </c>
      <c r="J4550">
        <v>13.8</v>
      </c>
      <c r="K4550">
        <v>57</v>
      </c>
      <c r="L4550">
        <v>26.49494</v>
      </c>
      <c r="M4550">
        <v>40.780810000000002</v>
      </c>
      <c r="N4550">
        <v>16.680820000000001</v>
      </c>
      <c r="O4550">
        <v>24.1</v>
      </c>
      <c r="P4550">
        <v>28.080819999999999</v>
      </c>
      <c r="Q4550">
        <v>26.180820000000001</v>
      </c>
      <c r="R4550">
        <v>32.680819999999997</v>
      </c>
      <c r="S4550">
        <v>25.980810000000002</v>
      </c>
      <c r="T4550">
        <v>600.19190000000003</v>
      </c>
      <c r="U4550">
        <v>185</v>
      </c>
      <c r="V4550">
        <v>0</v>
      </c>
      <c r="W4550">
        <v>127</v>
      </c>
      <c r="X4550">
        <v>450</v>
      </c>
      <c r="Y4550">
        <v>0</v>
      </c>
      <c r="Z4550">
        <v>42.191850000000002</v>
      </c>
      <c r="AA4550">
        <v>0</v>
      </c>
      <c r="AB4550">
        <v>5.6604390000000002</v>
      </c>
      <c r="AC4550">
        <v>0.2403623</v>
      </c>
      <c r="AD4550">
        <v>1.9459310000000001</v>
      </c>
      <c r="AE4550">
        <v>0.64396039999999999</v>
      </c>
      <c r="AF4550">
        <v>177.21899999999999</v>
      </c>
      <c r="AG4550">
        <f>IFERROR(AH4550*0.1, "N/A")</f>
        <v>6.2808150000000005</v>
      </c>
      <c r="AH4550">
        <v>62.808149999999998</v>
      </c>
      <c r="AI4550">
        <v>269.62380000000002</v>
      </c>
      <c r="AJ4550">
        <v>17.616299999999999</v>
      </c>
      <c r="AK4550">
        <v>62.767400000000002</v>
      </c>
    </row>
    <row r="4551" spans="1:37" x14ac:dyDescent="0.3">
      <c r="A4551">
        <v>4550</v>
      </c>
      <c r="B4551">
        <v>0</v>
      </c>
      <c r="C4551">
        <v>2.4582999999999999</v>
      </c>
      <c r="D4551">
        <v>12.815300000000001</v>
      </c>
      <c r="E4551" t="s">
        <v>7182</v>
      </c>
      <c r="F4551" t="s">
        <v>7184</v>
      </c>
      <c r="G4551" t="s">
        <v>37</v>
      </c>
      <c r="H4551">
        <v>0</v>
      </c>
      <c r="I4551">
        <v>29.180820000000001</v>
      </c>
      <c r="J4551">
        <v>13.8</v>
      </c>
      <c r="K4551">
        <v>57</v>
      </c>
      <c r="L4551">
        <v>26.49494</v>
      </c>
      <c r="M4551">
        <v>40.780810000000002</v>
      </c>
      <c r="N4551">
        <v>16.680820000000001</v>
      </c>
      <c r="O4551">
        <v>24.1</v>
      </c>
      <c r="P4551">
        <v>28.080819999999999</v>
      </c>
      <c r="Q4551">
        <v>26.180820000000001</v>
      </c>
      <c r="R4551">
        <v>32.680819999999997</v>
      </c>
      <c r="S4551">
        <v>25.980810000000002</v>
      </c>
      <c r="T4551">
        <v>600.19190000000003</v>
      </c>
      <c r="U4551">
        <v>185</v>
      </c>
      <c r="V4551">
        <v>0</v>
      </c>
      <c r="W4551">
        <v>127</v>
      </c>
      <c r="X4551">
        <v>450</v>
      </c>
      <c r="Y4551">
        <v>0</v>
      </c>
      <c r="Z4551">
        <v>42.191850000000002</v>
      </c>
      <c r="AA4551">
        <v>0</v>
      </c>
      <c r="AB4551">
        <v>5.6604390000000002</v>
      </c>
      <c r="AC4551">
        <v>0.2403623</v>
      </c>
      <c r="AD4551">
        <v>1.9459310000000001</v>
      </c>
      <c r="AE4551">
        <v>0.64396039999999999</v>
      </c>
      <c r="AF4551">
        <v>177.21899999999999</v>
      </c>
      <c r="AG4551">
        <f>IFERROR(AH4551*0.1, "N/A")</f>
        <v>6.2808150000000005</v>
      </c>
      <c r="AH4551">
        <v>62.808149999999998</v>
      </c>
      <c r="AI4551">
        <v>269.62380000000002</v>
      </c>
      <c r="AJ4551">
        <v>17.616299999999999</v>
      </c>
      <c r="AK4551">
        <v>62.767400000000002</v>
      </c>
    </row>
    <row r="4552" spans="1:37" x14ac:dyDescent="0.3">
      <c r="A4552">
        <v>4551</v>
      </c>
      <c r="B4552">
        <v>31.5</v>
      </c>
      <c r="C4552">
        <v>2.4218199999999999</v>
      </c>
      <c r="D4552">
        <v>12.832100000000001</v>
      </c>
      <c r="E4552" t="s">
        <v>7185</v>
      </c>
      <c r="F4552" t="s">
        <v>7186</v>
      </c>
      <c r="G4552" t="s">
        <v>39</v>
      </c>
      <c r="H4552">
        <v>0</v>
      </c>
      <c r="I4552">
        <v>29.1</v>
      </c>
      <c r="J4552">
        <v>13.8</v>
      </c>
      <c r="K4552">
        <v>56</v>
      </c>
      <c r="L4552">
        <v>26.65</v>
      </c>
      <c r="M4552">
        <v>40.799999999999997</v>
      </c>
      <c r="N4552">
        <v>16.5</v>
      </c>
      <c r="O4552">
        <v>24.3</v>
      </c>
      <c r="P4552">
        <v>28.1</v>
      </c>
      <c r="Q4552">
        <v>26.1</v>
      </c>
      <c r="R4552">
        <v>32.6</v>
      </c>
      <c r="S4552">
        <v>25.9</v>
      </c>
      <c r="T4552">
        <v>600</v>
      </c>
      <c r="U4552">
        <v>184</v>
      </c>
      <c r="V4552">
        <v>0</v>
      </c>
      <c r="W4552">
        <v>128</v>
      </c>
      <c r="X4552">
        <v>451</v>
      </c>
      <c r="Y4552">
        <v>0</v>
      </c>
      <c r="Z4552">
        <v>41</v>
      </c>
      <c r="AA4552">
        <v>0</v>
      </c>
      <c r="AB4552">
        <v>5.0086409999999999</v>
      </c>
      <c r="AC4552">
        <v>3.2322490000000002E-2</v>
      </c>
      <c r="AD4552">
        <v>3.3327659999999999</v>
      </c>
      <c r="AE4552">
        <v>0.4760896</v>
      </c>
      <c r="AF4552">
        <v>172.03559999999999</v>
      </c>
      <c r="AG4552">
        <f>IFERROR(AH4552*0.1, "N/A")</f>
        <v>6.2</v>
      </c>
      <c r="AH4552">
        <v>62</v>
      </c>
      <c r="AI4552">
        <v>159.10509999999999</v>
      </c>
      <c r="AJ4552">
        <v>16</v>
      </c>
      <c r="AK4552">
        <v>66</v>
      </c>
    </row>
    <row r="4553" spans="1:37" x14ac:dyDescent="0.3">
      <c r="A4553">
        <v>4552</v>
      </c>
      <c r="B4553">
        <v>54.6</v>
      </c>
      <c r="C4553">
        <v>2.44055</v>
      </c>
      <c r="D4553">
        <v>12.8355</v>
      </c>
      <c r="E4553" t="s">
        <v>7187</v>
      </c>
      <c r="F4553" t="s">
        <v>7188</v>
      </c>
      <c r="G4553" t="s">
        <v>39</v>
      </c>
      <c r="H4553">
        <v>0</v>
      </c>
      <c r="I4553">
        <v>29.1</v>
      </c>
      <c r="J4553">
        <v>13.8</v>
      </c>
      <c r="K4553">
        <v>57</v>
      </c>
      <c r="L4553">
        <v>26.37</v>
      </c>
      <c r="M4553">
        <v>40.700000000000003</v>
      </c>
      <c r="N4553">
        <v>16.600000000000001</v>
      </c>
      <c r="O4553">
        <v>24.1</v>
      </c>
      <c r="P4553">
        <v>28</v>
      </c>
      <c r="Q4553">
        <v>26.1</v>
      </c>
      <c r="R4553">
        <v>32.6</v>
      </c>
      <c r="S4553">
        <v>25.9</v>
      </c>
      <c r="T4553">
        <v>598</v>
      </c>
      <c r="U4553">
        <v>184</v>
      </c>
      <c r="V4553">
        <v>0</v>
      </c>
      <c r="W4553">
        <v>130</v>
      </c>
      <c r="X4553">
        <v>449</v>
      </c>
      <c r="Y4553">
        <v>0</v>
      </c>
      <c r="Z4553">
        <v>134</v>
      </c>
      <c r="AA4553">
        <v>0</v>
      </c>
      <c r="AB4553">
        <v>5.5794860000000002</v>
      </c>
      <c r="AC4553">
        <v>9.1580889999999995E-3</v>
      </c>
      <c r="AD4553">
        <v>0.88875789999999999</v>
      </c>
      <c r="AE4553">
        <v>0.62857790000000002</v>
      </c>
      <c r="AF4553">
        <v>176.4847</v>
      </c>
      <c r="AG4553">
        <f>IFERROR(AH4553*0.1, "N/A")</f>
        <v>5.9094920000000002</v>
      </c>
      <c r="AH4553">
        <v>59.094920000000002</v>
      </c>
      <c r="AI4553">
        <v>216.29490000000001</v>
      </c>
      <c r="AJ4553">
        <v>18</v>
      </c>
      <c r="AK4553">
        <v>60.071190000000001</v>
      </c>
    </row>
    <row r="4554" spans="1:37" x14ac:dyDescent="0.3">
      <c r="A4554">
        <v>4553</v>
      </c>
      <c r="B4554">
        <v>48.3</v>
      </c>
      <c r="C4554">
        <v>1.9565699999999999</v>
      </c>
      <c r="D4554">
        <v>12.858499999999999</v>
      </c>
      <c r="E4554" t="s">
        <v>7189</v>
      </c>
      <c r="F4554" t="s">
        <v>7190</v>
      </c>
      <c r="G4554" t="s">
        <v>39</v>
      </c>
      <c r="H4554">
        <v>0</v>
      </c>
      <c r="I4554">
        <v>28.8</v>
      </c>
      <c r="J4554">
        <v>14.1</v>
      </c>
      <c r="K4554">
        <v>57</v>
      </c>
      <c r="L4554">
        <v>26.414159999999999</v>
      </c>
      <c r="M4554">
        <v>40.552970000000002</v>
      </c>
      <c r="N4554">
        <v>16</v>
      </c>
      <c r="O4554">
        <v>24.552969999999998</v>
      </c>
      <c r="P4554">
        <v>27.8</v>
      </c>
      <c r="Q4554">
        <v>27.6</v>
      </c>
      <c r="R4554">
        <v>32.299999999999997</v>
      </c>
      <c r="S4554">
        <v>25.7</v>
      </c>
      <c r="T4554">
        <v>589.94060000000002</v>
      </c>
      <c r="U4554">
        <v>186</v>
      </c>
      <c r="V4554">
        <v>0</v>
      </c>
      <c r="W4554">
        <v>129</v>
      </c>
      <c r="X4554">
        <v>443.47030000000001</v>
      </c>
      <c r="Y4554">
        <v>0</v>
      </c>
      <c r="Z4554">
        <v>43</v>
      </c>
      <c r="AA4554">
        <v>0</v>
      </c>
      <c r="AB4554">
        <v>6.6590790000000002</v>
      </c>
      <c r="AC4554">
        <v>0.13126389999999999</v>
      </c>
      <c r="AD4554">
        <v>1.672822</v>
      </c>
      <c r="AE4554">
        <v>0.59543690000000005</v>
      </c>
      <c r="AF4554">
        <v>227.511</v>
      </c>
      <c r="AG4554">
        <f>IFERROR(AH4554*0.1, "N/A")</f>
        <v>6.2</v>
      </c>
      <c r="AH4554">
        <v>62</v>
      </c>
      <c r="AI4554">
        <v>292.77659999999997</v>
      </c>
      <c r="AJ4554">
        <v>25.083189999999998</v>
      </c>
      <c r="AK4554">
        <v>54.916809999999998</v>
      </c>
    </row>
    <row r="4555" spans="1:37" x14ac:dyDescent="0.3">
      <c r="A4555">
        <v>4554</v>
      </c>
      <c r="B4555">
        <v>36.700000000000003</v>
      </c>
      <c r="C4555">
        <v>1.8666700000000001</v>
      </c>
      <c r="D4555">
        <v>12.872199999999999</v>
      </c>
      <c r="E4555" t="s">
        <v>7191</v>
      </c>
      <c r="F4555" t="s">
        <v>7192</v>
      </c>
      <c r="G4555" t="s">
        <v>39</v>
      </c>
      <c r="H4555">
        <v>0</v>
      </c>
      <c r="I4555">
        <v>28.9</v>
      </c>
      <c r="J4555">
        <v>14.1</v>
      </c>
      <c r="K4555">
        <v>57</v>
      </c>
      <c r="L4555">
        <v>26.463249999999999</v>
      </c>
      <c r="M4555">
        <v>40.548220000000001</v>
      </c>
      <c r="N4555">
        <v>16.100000000000001</v>
      </c>
      <c r="O4555">
        <v>24.448219999999999</v>
      </c>
      <c r="P4555">
        <v>27.8</v>
      </c>
      <c r="Q4555">
        <v>27.7</v>
      </c>
      <c r="R4555">
        <v>32.348219999999998</v>
      </c>
      <c r="S4555">
        <v>25.7</v>
      </c>
      <c r="T4555">
        <v>579</v>
      </c>
      <c r="U4555">
        <v>182</v>
      </c>
      <c r="V4555">
        <v>0</v>
      </c>
      <c r="W4555">
        <v>129</v>
      </c>
      <c r="X4555">
        <v>437</v>
      </c>
      <c r="Y4555">
        <v>0</v>
      </c>
      <c r="Z4555">
        <v>41</v>
      </c>
      <c r="AA4555">
        <v>0</v>
      </c>
      <c r="AB4555">
        <v>5.5986469999999997</v>
      </c>
      <c r="AC4555">
        <v>1.555993E-2</v>
      </c>
      <c r="AD4555">
        <v>1.324365</v>
      </c>
      <c r="AE4555">
        <v>0.68354970000000004</v>
      </c>
      <c r="AF4555">
        <v>215.88489999999999</v>
      </c>
      <c r="AG4555">
        <f>IFERROR(AH4555*0.1, "N/A")</f>
        <v>5.4673430000000005</v>
      </c>
      <c r="AH4555">
        <v>54.673430000000003</v>
      </c>
      <c r="AI4555">
        <v>121.8651</v>
      </c>
      <c r="AJ4555">
        <v>18.245349999999998</v>
      </c>
      <c r="AK4555">
        <v>61.243650000000002</v>
      </c>
    </row>
    <row r="4556" spans="1:37" x14ac:dyDescent="0.3">
      <c r="A4556">
        <v>4555</v>
      </c>
      <c r="B4556">
        <v>61</v>
      </c>
      <c r="C4556">
        <v>2.3180999999999998</v>
      </c>
      <c r="D4556">
        <v>12.8841</v>
      </c>
      <c r="E4556" t="s">
        <v>7193</v>
      </c>
      <c r="F4556" t="s">
        <v>7194</v>
      </c>
      <c r="G4556" t="s">
        <v>39</v>
      </c>
      <c r="H4556">
        <v>0</v>
      </c>
      <c r="I4556">
        <v>28.9</v>
      </c>
      <c r="J4556">
        <v>13.9</v>
      </c>
      <c r="K4556">
        <v>56</v>
      </c>
      <c r="L4556">
        <v>27.077349999999999</v>
      </c>
      <c r="M4556">
        <v>40.6</v>
      </c>
      <c r="N4556">
        <v>16.2</v>
      </c>
      <c r="O4556">
        <v>24.4</v>
      </c>
      <c r="P4556">
        <v>27.9</v>
      </c>
      <c r="Q4556">
        <v>25.8</v>
      </c>
      <c r="R4556">
        <v>32.5</v>
      </c>
      <c r="S4556">
        <v>25.6</v>
      </c>
      <c r="T4556">
        <v>601.24490000000003</v>
      </c>
      <c r="U4556">
        <v>183</v>
      </c>
      <c r="V4556">
        <v>0</v>
      </c>
      <c r="W4556">
        <v>128</v>
      </c>
      <c r="X4556">
        <v>451.24489999999997</v>
      </c>
      <c r="Y4556">
        <v>0</v>
      </c>
      <c r="Z4556">
        <v>135</v>
      </c>
      <c r="AA4556">
        <v>0</v>
      </c>
      <c r="AB4556">
        <v>3.5860590000000001</v>
      </c>
      <c r="AC4556">
        <v>3.5360669999999997E-2</v>
      </c>
      <c r="AD4556">
        <v>1.805053</v>
      </c>
      <c r="AE4556">
        <v>0.64421620000000002</v>
      </c>
      <c r="AF4556">
        <v>216.2551</v>
      </c>
      <c r="AG4556">
        <f>IFERROR(AH4556*0.1, "N/A")</f>
        <v>5.4329929999999997</v>
      </c>
      <c r="AH4556">
        <v>54.329929999999997</v>
      </c>
      <c r="AI4556">
        <v>135.8169</v>
      </c>
      <c r="AJ4556">
        <v>7.4931970000000003</v>
      </c>
      <c r="AK4556">
        <v>79.802719999999994</v>
      </c>
    </row>
    <row r="4557" spans="1:37" x14ac:dyDescent="0.3">
      <c r="A4557">
        <v>4556</v>
      </c>
      <c r="B4557">
        <v>35</v>
      </c>
      <c r="C4557">
        <v>2.41065</v>
      </c>
      <c r="D4557">
        <v>12.891500000000001</v>
      </c>
      <c r="E4557" t="s">
        <v>7195</v>
      </c>
      <c r="F4557" t="s">
        <v>7196</v>
      </c>
      <c r="G4557" t="s">
        <v>39</v>
      </c>
      <c r="H4557">
        <v>0</v>
      </c>
      <c r="I4557">
        <v>29.133109999999999</v>
      </c>
      <c r="J4557">
        <v>13.9</v>
      </c>
      <c r="K4557">
        <v>56</v>
      </c>
      <c r="L4557">
        <v>27.283719999999999</v>
      </c>
      <c r="M4557">
        <v>40.9</v>
      </c>
      <c r="N4557">
        <v>16.433109999999999</v>
      </c>
      <c r="O4557">
        <v>24.466889999999999</v>
      </c>
      <c r="P4557">
        <v>28.133109999999999</v>
      </c>
      <c r="Q4557">
        <v>26</v>
      </c>
      <c r="R4557">
        <v>32.700000000000003</v>
      </c>
      <c r="S4557">
        <v>25.8</v>
      </c>
      <c r="T4557">
        <v>590.33789999999999</v>
      </c>
      <c r="U4557">
        <v>181.66890000000001</v>
      </c>
      <c r="V4557">
        <v>0</v>
      </c>
      <c r="W4557">
        <v>128.66890000000001</v>
      </c>
      <c r="X4557">
        <v>444.66890000000001</v>
      </c>
      <c r="Y4557">
        <v>0</v>
      </c>
      <c r="Z4557">
        <v>131.66890000000001</v>
      </c>
      <c r="AA4557">
        <v>0</v>
      </c>
      <c r="AB4557">
        <v>6.0891320000000002</v>
      </c>
      <c r="AC4557">
        <v>3.6545149999999998E-2</v>
      </c>
      <c r="AD4557">
        <v>1.0931770000000001</v>
      </c>
      <c r="AE4557">
        <v>0.69411460000000003</v>
      </c>
      <c r="AF4557">
        <v>178.0136</v>
      </c>
      <c r="AG4557">
        <f>IFERROR(AH4557*0.1, "N/A")</f>
        <v>5.7825130000000007</v>
      </c>
      <c r="AH4557">
        <v>57.825130000000001</v>
      </c>
      <c r="AI4557">
        <v>93.840760000000003</v>
      </c>
      <c r="AJ4557">
        <v>11.04754</v>
      </c>
      <c r="AK4557">
        <v>75.400679999999994</v>
      </c>
    </row>
    <row r="4558" spans="1:37" x14ac:dyDescent="0.3">
      <c r="A4558">
        <v>4557</v>
      </c>
      <c r="B4558">
        <v>89.5</v>
      </c>
      <c r="C4558">
        <v>2.3847200000000002</v>
      </c>
      <c r="D4558">
        <v>12.894399999999999</v>
      </c>
      <c r="E4558" t="s">
        <v>7197</v>
      </c>
      <c r="F4558" t="s">
        <v>7198</v>
      </c>
      <c r="G4558" t="s">
        <v>39</v>
      </c>
      <c r="H4558">
        <v>0</v>
      </c>
      <c r="I4558">
        <v>29.1</v>
      </c>
      <c r="J4558">
        <v>13.9</v>
      </c>
      <c r="K4558">
        <v>56</v>
      </c>
      <c r="L4558">
        <v>27.39</v>
      </c>
      <c r="M4558">
        <v>40.9</v>
      </c>
      <c r="N4558">
        <v>16.399999999999999</v>
      </c>
      <c r="O4558">
        <v>24.5</v>
      </c>
      <c r="P4558">
        <v>28.1</v>
      </c>
      <c r="Q4558">
        <v>26</v>
      </c>
      <c r="R4558">
        <v>32.700000000000003</v>
      </c>
      <c r="S4558">
        <v>25.8</v>
      </c>
      <c r="T4558">
        <v>591</v>
      </c>
      <c r="U4558">
        <v>181</v>
      </c>
      <c r="V4558">
        <v>0</v>
      </c>
      <c r="W4558">
        <v>129</v>
      </c>
      <c r="X4558">
        <v>445</v>
      </c>
      <c r="Y4558">
        <v>0</v>
      </c>
      <c r="Z4558">
        <v>132</v>
      </c>
      <c r="AA4558">
        <v>0</v>
      </c>
      <c r="AB4558">
        <v>5.882123</v>
      </c>
      <c r="AC4558">
        <v>1.4381440000000001E-2</v>
      </c>
      <c r="AD4558">
        <v>1.3983669999999999</v>
      </c>
      <c r="AE4558">
        <v>0.54930889999999999</v>
      </c>
      <c r="AF4558">
        <v>172.85669999999999</v>
      </c>
      <c r="AG4558">
        <f>IFERROR(AH4558*0.1, "N/A")</f>
        <v>6.1281619999999997</v>
      </c>
      <c r="AH4558">
        <v>61.281619999999997</v>
      </c>
      <c r="AI4558">
        <v>146.82409999999999</v>
      </c>
      <c r="AJ4558">
        <v>24.94941</v>
      </c>
      <c r="AK4558">
        <v>53.05059</v>
      </c>
    </row>
    <row r="4559" spans="1:37" x14ac:dyDescent="0.3">
      <c r="A4559">
        <v>4558</v>
      </c>
      <c r="B4559">
        <v>9</v>
      </c>
      <c r="C4559">
        <v>2.4060700000000002</v>
      </c>
      <c r="D4559">
        <v>12.951000000000001</v>
      </c>
      <c r="E4559" t="s">
        <v>7199</v>
      </c>
      <c r="F4559" t="s">
        <v>7200</v>
      </c>
      <c r="G4559" t="s">
        <v>39</v>
      </c>
      <c r="H4559">
        <v>0</v>
      </c>
      <c r="I4559">
        <v>29.1</v>
      </c>
      <c r="J4559">
        <v>13.9</v>
      </c>
      <c r="K4559">
        <v>56</v>
      </c>
      <c r="L4559">
        <v>27.69</v>
      </c>
      <c r="M4559">
        <v>40.799999999999997</v>
      </c>
      <c r="N4559">
        <v>16.3</v>
      </c>
      <c r="O4559">
        <v>24.5</v>
      </c>
      <c r="P4559">
        <v>28.1</v>
      </c>
      <c r="Q4559">
        <v>25.9</v>
      </c>
      <c r="R4559">
        <v>32.700000000000003</v>
      </c>
      <c r="S4559">
        <v>25.6</v>
      </c>
      <c r="T4559">
        <v>583</v>
      </c>
      <c r="U4559">
        <v>179</v>
      </c>
      <c r="V4559">
        <v>0</v>
      </c>
      <c r="W4559">
        <v>130</v>
      </c>
      <c r="X4559">
        <v>440</v>
      </c>
      <c r="Y4559">
        <v>0</v>
      </c>
      <c r="Z4559">
        <v>129</v>
      </c>
      <c r="AA4559">
        <v>0</v>
      </c>
      <c r="AB4559">
        <v>9.3138489999999994</v>
      </c>
      <c r="AC4559">
        <v>1.6866289999999999E-2</v>
      </c>
      <c r="AD4559">
        <v>1.8535839999999999</v>
      </c>
      <c r="AE4559">
        <v>0.69246229999999998</v>
      </c>
      <c r="AF4559">
        <v>196.92740000000001</v>
      </c>
      <c r="AG4559">
        <f>IFERROR(AH4559*0.1, "N/A")</f>
        <v>5.0054049999999997</v>
      </c>
      <c r="AH4559">
        <v>50.054049999999997</v>
      </c>
      <c r="AI4559">
        <v>173.47370000000001</v>
      </c>
      <c r="AJ4559">
        <v>10.55912</v>
      </c>
      <c r="AK4559">
        <v>78.947640000000007</v>
      </c>
    </row>
    <row r="4560" spans="1:37" x14ac:dyDescent="0.3">
      <c r="A4560">
        <v>4559</v>
      </c>
      <c r="B4560">
        <v>41.2</v>
      </c>
      <c r="C4560">
        <v>2.2964500000000001</v>
      </c>
      <c r="D4560">
        <v>12.973699999999999</v>
      </c>
      <c r="E4560" t="s">
        <v>7201</v>
      </c>
      <c r="F4560" t="s">
        <v>7202</v>
      </c>
      <c r="G4560" t="s">
        <v>39</v>
      </c>
      <c r="H4560">
        <v>0</v>
      </c>
      <c r="I4560">
        <v>28.9</v>
      </c>
      <c r="J4560">
        <v>14</v>
      </c>
      <c r="K4560">
        <v>56</v>
      </c>
      <c r="L4560">
        <v>27.38</v>
      </c>
      <c r="M4560">
        <v>40.700000000000003</v>
      </c>
      <c r="N4560">
        <v>16</v>
      </c>
      <c r="O4560">
        <v>24.7</v>
      </c>
      <c r="P4560">
        <v>28</v>
      </c>
      <c r="Q4560">
        <v>25.8</v>
      </c>
      <c r="R4560">
        <v>32.5</v>
      </c>
      <c r="S4560">
        <v>25.5</v>
      </c>
      <c r="T4560">
        <v>587</v>
      </c>
      <c r="U4560">
        <v>179</v>
      </c>
      <c r="V4560">
        <v>0</v>
      </c>
      <c r="W4560">
        <v>131</v>
      </c>
      <c r="X4560">
        <v>442</v>
      </c>
      <c r="Y4560">
        <v>0</v>
      </c>
      <c r="Z4560">
        <v>131</v>
      </c>
      <c r="AA4560">
        <v>0</v>
      </c>
      <c r="AB4560">
        <v>1.8297079999999999</v>
      </c>
      <c r="AC4560">
        <v>0.11712450000000001</v>
      </c>
      <c r="AD4560">
        <v>1.8216140000000001</v>
      </c>
      <c r="AE4560">
        <v>0.68596040000000003</v>
      </c>
      <c r="AF4560">
        <v>214.82509999999999</v>
      </c>
      <c r="AG4560">
        <f>IFERROR(AH4560*0.1, "N/A")</f>
        <v>5.5049239999999999</v>
      </c>
      <c r="AH4560">
        <v>55.049239999999998</v>
      </c>
      <c r="AI4560">
        <v>159.91569999999999</v>
      </c>
      <c r="AJ4560">
        <v>8.8047540000000009</v>
      </c>
      <c r="AK4560">
        <v>79.195250000000001</v>
      </c>
    </row>
    <row r="4561" spans="1:37" x14ac:dyDescent="0.3">
      <c r="A4561">
        <v>4560</v>
      </c>
      <c r="B4561">
        <v>21.1</v>
      </c>
      <c r="C4561">
        <v>8.9030000000000005</v>
      </c>
      <c r="D4561">
        <v>12.993</v>
      </c>
      <c r="E4561" t="s">
        <v>7203</v>
      </c>
      <c r="F4561" t="s">
        <v>7204</v>
      </c>
      <c r="G4561" t="s">
        <v>39</v>
      </c>
      <c r="H4561">
        <v>1987</v>
      </c>
      <c r="I4561">
        <v>26.9</v>
      </c>
      <c r="J4561">
        <v>15.8</v>
      </c>
      <c r="K4561">
        <v>53</v>
      </c>
      <c r="L4561">
        <v>40.29</v>
      </c>
      <c r="M4561">
        <v>40.299999999999997</v>
      </c>
      <c r="N4561">
        <v>10.7</v>
      </c>
      <c r="O4561">
        <v>29.6</v>
      </c>
      <c r="P4561">
        <v>28.2</v>
      </c>
      <c r="Q4561">
        <v>21.4</v>
      </c>
      <c r="R4561">
        <v>31.8</v>
      </c>
      <c r="S4561">
        <v>21.2</v>
      </c>
      <c r="T4561">
        <v>469</v>
      </c>
      <c r="U4561">
        <v>173</v>
      </c>
      <c r="V4561">
        <v>0</v>
      </c>
      <c r="W4561">
        <v>148</v>
      </c>
      <c r="X4561">
        <v>392</v>
      </c>
      <c r="Y4561">
        <v>0</v>
      </c>
      <c r="Z4561">
        <v>69</v>
      </c>
      <c r="AA4561">
        <v>0</v>
      </c>
      <c r="AB4561">
        <v>0.47196199999999999</v>
      </c>
      <c r="AC4561">
        <v>2.0621919999999998E-2</v>
      </c>
      <c r="AD4561">
        <v>0.88576140000000003</v>
      </c>
      <c r="AE4561">
        <v>0.84580659999999996</v>
      </c>
      <c r="AF4561">
        <v>395.78039999999999</v>
      </c>
      <c r="AG4561">
        <f>IFERROR(AH4561*0.1, "N/A")</f>
        <v>6.900169</v>
      </c>
      <c r="AH4561">
        <v>69.001689999999996</v>
      </c>
      <c r="AI4561">
        <v>169.0985</v>
      </c>
      <c r="AJ4561">
        <v>16.15034</v>
      </c>
      <c r="AK4561">
        <v>70.26182</v>
      </c>
    </row>
    <row r="4562" spans="1:37" x14ac:dyDescent="0.3">
      <c r="A4562">
        <v>4561</v>
      </c>
      <c r="B4562">
        <v>10</v>
      </c>
      <c r="C4562">
        <v>7.0418500000000002</v>
      </c>
      <c r="D4562">
        <v>13.0116</v>
      </c>
      <c r="E4562" t="s">
        <v>7205</v>
      </c>
      <c r="F4562" t="s">
        <v>7206</v>
      </c>
      <c r="G4562" t="s">
        <v>39</v>
      </c>
      <c r="H4562">
        <v>0</v>
      </c>
      <c r="I4562">
        <v>26.6</v>
      </c>
      <c r="J4562">
        <v>14.4</v>
      </c>
      <c r="K4562">
        <v>55</v>
      </c>
      <c r="L4562">
        <v>30.18937</v>
      </c>
      <c r="M4562">
        <v>38.9</v>
      </c>
      <c r="N4562">
        <v>12.946859999999999</v>
      </c>
      <c r="O4562">
        <v>25.953140000000001</v>
      </c>
      <c r="P4562">
        <v>26.3</v>
      </c>
      <c r="Q4562">
        <v>22.746860000000002</v>
      </c>
      <c r="R4562">
        <v>30.6</v>
      </c>
      <c r="S4562">
        <v>22.7</v>
      </c>
      <c r="T4562">
        <v>579</v>
      </c>
      <c r="U4562">
        <v>199</v>
      </c>
      <c r="V4562">
        <v>0</v>
      </c>
      <c r="W4562">
        <v>136</v>
      </c>
      <c r="X4562">
        <v>458</v>
      </c>
      <c r="Y4562">
        <v>0</v>
      </c>
      <c r="Z4562">
        <v>108</v>
      </c>
      <c r="AA4562">
        <v>0</v>
      </c>
      <c r="AB4562">
        <v>9.8730039999999999</v>
      </c>
      <c r="AC4562">
        <v>5.1650950000000001E-2</v>
      </c>
      <c r="AD4562">
        <v>0.89738629999999997</v>
      </c>
      <c r="AE4562">
        <v>0.70528919999999995</v>
      </c>
      <c r="AF4562">
        <v>435.35649999999998</v>
      </c>
      <c r="AG4562">
        <f>IFERROR(AH4562*0.1, "N/A")</f>
        <v>6.3385400000000001</v>
      </c>
      <c r="AH4562">
        <v>63.385399999999997</v>
      </c>
      <c r="AI4562">
        <v>95.917109999999994</v>
      </c>
      <c r="AJ4562">
        <v>16.916810000000002</v>
      </c>
      <c r="AK4562">
        <v>66.697789999999998</v>
      </c>
    </row>
    <row r="4563" spans="1:37" x14ac:dyDescent="0.3">
      <c r="A4563">
        <v>4562</v>
      </c>
      <c r="B4563">
        <v>0</v>
      </c>
      <c r="C4563">
        <v>7.0418500000000002</v>
      </c>
      <c r="D4563">
        <v>13.0116</v>
      </c>
      <c r="E4563" t="s">
        <v>7205</v>
      </c>
      <c r="F4563" t="s">
        <v>7207</v>
      </c>
      <c r="G4563" t="s">
        <v>37</v>
      </c>
      <c r="H4563">
        <v>0</v>
      </c>
      <c r="I4563">
        <v>26.6</v>
      </c>
      <c r="J4563">
        <v>14.4</v>
      </c>
      <c r="K4563">
        <v>55</v>
      </c>
      <c r="L4563">
        <v>30.18937</v>
      </c>
      <c r="M4563">
        <v>38.9</v>
      </c>
      <c r="N4563">
        <v>12.946859999999999</v>
      </c>
      <c r="O4563">
        <v>25.953140000000001</v>
      </c>
      <c r="P4563">
        <v>26.3</v>
      </c>
      <c r="Q4563">
        <v>22.746860000000002</v>
      </c>
      <c r="R4563">
        <v>30.6</v>
      </c>
      <c r="S4563">
        <v>22.7</v>
      </c>
      <c r="T4563">
        <v>579</v>
      </c>
      <c r="U4563">
        <v>199</v>
      </c>
      <c r="V4563">
        <v>0</v>
      </c>
      <c r="W4563">
        <v>136</v>
      </c>
      <c r="X4563">
        <v>458</v>
      </c>
      <c r="Y4563">
        <v>0</v>
      </c>
      <c r="Z4563">
        <v>108</v>
      </c>
      <c r="AA4563">
        <v>0</v>
      </c>
      <c r="AB4563">
        <v>9.8730039999999999</v>
      </c>
      <c r="AC4563">
        <v>5.1650950000000001E-2</v>
      </c>
      <c r="AD4563">
        <v>0.89738629999999997</v>
      </c>
      <c r="AE4563">
        <v>0.70528919999999995</v>
      </c>
      <c r="AF4563">
        <v>435.35649999999998</v>
      </c>
      <c r="AG4563">
        <f>IFERROR(AH4563*0.1, "N/A")</f>
        <v>6.3385400000000001</v>
      </c>
      <c r="AH4563">
        <v>63.385399999999997</v>
      </c>
      <c r="AI4563">
        <v>95.917109999999994</v>
      </c>
      <c r="AJ4563">
        <v>16.916810000000002</v>
      </c>
      <c r="AK4563">
        <v>66.697789999999998</v>
      </c>
    </row>
    <row r="4564" spans="1:37" x14ac:dyDescent="0.3">
      <c r="A4564">
        <v>4563</v>
      </c>
      <c r="B4564">
        <v>0</v>
      </c>
      <c r="C4564">
        <v>2.9318200000000001</v>
      </c>
      <c r="D4564">
        <v>13.0159</v>
      </c>
      <c r="E4564" t="s">
        <v>7208</v>
      </c>
      <c r="F4564" t="s">
        <v>7209</v>
      </c>
      <c r="G4564" t="s">
        <v>39</v>
      </c>
      <c r="H4564">
        <v>0</v>
      </c>
      <c r="I4564">
        <v>29.194600000000001</v>
      </c>
      <c r="J4564">
        <v>13.7</v>
      </c>
      <c r="K4564">
        <v>57</v>
      </c>
      <c r="L4564">
        <v>27.032990000000002</v>
      </c>
      <c r="M4564">
        <v>40.700000000000003</v>
      </c>
      <c r="N4564">
        <v>16.8</v>
      </c>
      <c r="O4564">
        <v>23.9</v>
      </c>
      <c r="P4564">
        <v>28.2</v>
      </c>
      <c r="Q4564">
        <v>26.1</v>
      </c>
      <c r="R4564">
        <v>32.700000000000003</v>
      </c>
      <c r="S4564">
        <v>25.8</v>
      </c>
      <c r="T4564">
        <v>563.89210000000003</v>
      </c>
      <c r="U4564">
        <v>189.946</v>
      </c>
      <c r="V4564">
        <v>0</v>
      </c>
      <c r="W4564">
        <v>131.1079</v>
      </c>
      <c r="X4564">
        <v>432.89210000000003</v>
      </c>
      <c r="Y4564">
        <v>0</v>
      </c>
      <c r="Z4564">
        <v>118</v>
      </c>
      <c r="AA4564">
        <v>0</v>
      </c>
      <c r="AB4564">
        <v>1.403705</v>
      </c>
      <c r="AC4564">
        <v>9.0350659999999996E-3</v>
      </c>
      <c r="AD4564">
        <v>1.088473</v>
      </c>
      <c r="AE4564">
        <v>0.7019801</v>
      </c>
      <c r="AF4564">
        <v>188.7319</v>
      </c>
      <c r="AG4564">
        <f>IFERROR(AH4564*0.1, "N/A")</f>
        <v>5.6580100000000009</v>
      </c>
      <c r="AH4564">
        <v>56.580100000000002</v>
      </c>
      <c r="AI4564">
        <v>176.03829999999999</v>
      </c>
      <c r="AJ4564">
        <v>11.099489999999999</v>
      </c>
      <c r="AK4564">
        <v>76.124790000000004</v>
      </c>
    </row>
    <row r="4565" spans="1:37" x14ac:dyDescent="0.3">
      <c r="A4565">
        <v>4564</v>
      </c>
      <c r="B4565">
        <v>0</v>
      </c>
      <c r="C4565">
        <v>9.2852999999999994</v>
      </c>
      <c r="D4565">
        <v>13.020300000000001</v>
      </c>
      <c r="E4565" t="s">
        <v>7210</v>
      </c>
      <c r="F4565" t="s">
        <v>7211</v>
      </c>
      <c r="G4565" t="s">
        <v>39</v>
      </c>
      <c r="H4565">
        <v>0</v>
      </c>
      <c r="I4565">
        <v>27.3</v>
      </c>
      <c r="J4565">
        <v>15.7</v>
      </c>
      <c r="K4565">
        <v>55</v>
      </c>
      <c r="L4565">
        <v>36.67</v>
      </c>
      <c r="M4565">
        <v>40.4</v>
      </c>
      <c r="N4565">
        <v>12</v>
      </c>
      <c r="O4565">
        <v>28.4</v>
      </c>
      <c r="P4565">
        <v>27.9</v>
      </c>
      <c r="Q4565">
        <v>22.4</v>
      </c>
      <c r="R4565">
        <v>31.9</v>
      </c>
      <c r="S4565">
        <v>22.1</v>
      </c>
      <c r="T4565">
        <v>372</v>
      </c>
      <c r="U4565">
        <v>145</v>
      </c>
      <c r="V4565">
        <v>0</v>
      </c>
      <c r="W4565">
        <v>150</v>
      </c>
      <c r="X4565">
        <v>317</v>
      </c>
      <c r="Y4565">
        <v>0</v>
      </c>
      <c r="Z4565">
        <v>48</v>
      </c>
      <c r="AA4565">
        <v>0</v>
      </c>
      <c r="AB4565">
        <v>0.85719409999999996</v>
      </c>
      <c r="AC4565">
        <v>2.4122810000000001E-2</v>
      </c>
      <c r="AD4565">
        <v>1.1587670000000001</v>
      </c>
      <c r="AE4565">
        <v>0.70533999999999997</v>
      </c>
      <c r="AF4565">
        <v>374.15570000000002</v>
      </c>
      <c r="AG4565">
        <f>IFERROR(AH4565*0.1, "N/A")</f>
        <v>6.7475470000000008</v>
      </c>
      <c r="AH4565">
        <v>67.475470000000001</v>
      </c>
      <c r="AI4565">
        <v>186.42189999999999</v>
      </c>
      <c r="AJ4565">
        <v>9.5431469999999994</v>
      </c>
      <c r="AK4565">
        <v>81.996619999999993</v>
      </c>
    </row>
    <row r="4566" spans="1:37" x14ac:dyDescent="0.3">
      <c r="A4566">
        <v>4565</v>
      </c>
      <c r="B4566">
        <v>0</v>
      </c>
      <c r="C4566">
        <v>9.2852999999999994</v>
      </c>
      <c r="D4566">
        <v>13.020300000000001</v>
      </c>
      <c r="E4566" t="s">
        <v>7210</v>
      </c>
      <c r="F4566" t="s">
        <v>7212</v>
      </c>
      <c r="G4566" t="s">
        <v>37</v>
      </c>
      <c r="H4566">
        <v>0</v>
      </c>
      <c r="I4566">
        <v>27.3</v>
      </c>
      <c r="J4566">
        <v>15.7</v>
      </c>
      <c r="K4566">
        <v>55</v>
      </c>
      <c r="L4566">
        <v>36.67</v>
      </c>
      <c r="M4566">
        <v>40.4</v>
      </c>
      <c r="N4566">
        <v>12</v>
      </c>
      <c r="O4566">
        <v>28.4</v>
      </c>
      <c r="P4566">
        <v>27.9</v>
      </c>
      <c r="Q4566">
        <v>22.4</v>
      </c>
      <c r="R4566">
        <v>31.9</v>
      </c>
      <c r="S4566">
        <v>22.1</v>
      </c>
      <c r="T4566">
        <v>372</v>
      </c>
      <c r="U4566">
        <v>145</v>
      </c>
      <c r="V4566">
        <v>0</v>
      </c>
      <c r="W4566">
        <v>150</v>
      </c>
      <c r="X4566">
        <v>317</v>
      </c>
      <c r="Y4566">
        <v>0</v>
      </c>
      <c r="Z4566">
        <v>48</v>
      </c>
      <c r="AA4566">
        <v>0</v>
      </c>
      <c r="AB4566">
        <v>0.85719409999999996</v>
      </c>
      <c r="AC4566">
        <v>2.4122810000000001E-2</v>
      </c>
      <c r="AD4566">
        <v>1.1587670000000001</v>
      </c>
      <c r="AE4566">
        <v>0.70533999999999997</v>
      </c>
      <c r="AF4566">
        <v>374.15570000000002</v>
      </c>
      <c r="AG4566">
        <f>IFERROR(AH4566*0.1, "N/A")</f>
        <v>6.7475470000000008</v>
      </c>
      <c r="AH4566">
        <v>67.475470000000001</v>
      </c>
      <c r="AI4566">
        <v>186.42189999999999</v>
      </c>
      <c r="AJ4566">
        <v>9.5431469999999994</v>
      </c>
      <c r="AK4566">
        <v>81.996619999999993</v>
      </c>
    </row>
    <row r="4567" spans="1:37" x14ac:dyDescent="0.3">
      <c r="A4567">
        <v>4566</v>
      </c>
      <c r="B4567">
        <v>0</v>
      </c>
      <c r="C4567">
        <v>6.97464</v>
      </c>
      <c r="D4567">
        <v>13.026300000000001</v>
      </c>
      <c r="E4567" t="s">
        <v>7213</v>
      </c>
      <c r="F4567" t="s">
        <v>7214</v>
      </c>
      <c r="G4567" t="s">
        <v>39</v>
      </c>
      <c r="H4567">
        <v>0</v>
      </c>
      <c r="I4567">
        <v>26.40034</v>
      </c>
      <c r="J4567">
        <v>14.4</v>
      </c>
      <c r="K4567">
        <v>56</v>
      </c>
      <c r="L4567">
        <v>29.841049999999999</v>
      </c>
      <c r="M4567">
        <v>38.6</v>
      </c>
      <c r="N4567">
        <v>12.9</v>
      </c>
      <c r="O4567">
        <v>25.7</v>
      </c>
      <c r="P4567">
        <v>26.1</v>
      </c>
      <c r="Q4567">
        <v>22.6</v>
      </c>
      <c r="R4567">
        <v>30.300339999999998</v>
      </c>
      <c r="S4567">
        <v>22.6</v>
      </c>
      <c r="T4567">
        <v>572</v>
      </c>
      <c r="U4567">
        <v>196</v>
      </c>
      <c r="V4567">
        <v>0</v>
      </c>
      <c r="W4567">
        <v>137</v>
      </c>
      <c r="X4567">
        <v>452</v>
      </c>
      <c r="Y4567">
        <v>0</v>
      </c>
      <c r="Z4567">
        <v>108</v>
      </c>
      <c r="AA4567">
        <v>0</v>
      </c>
      <c r="AB4567">
        <v>6.4945659999999998</v>
      </c>
      <c r="AC4567">
        <v>2.4714030000000001E-2</v>
      </c>
      <c r="AD4567">
        <v>1.7725299999999999</v>
      </c>
      <c r="AE4567">
        <v>0.70623360000000002</v>
      </c>
      <c r="AF4567">
        <v>478.04919999999998</v>
      </c>
      <c r="AG4567">
        <f>IFERROR(AH4567*0.1, "N/A")</f>
        <v>6.3635590000000004</v>
      </c>
      <c r="AH4567">
        <v>63.635590000000001</v>
      </c>
      <c r="AI4567">
        <v>68.721260000000001</v>
      </c>
      <c r="AJ4567">
        <v>13.622030000000001</v>
      </c>
      <c r="AK4567">
        <v>72.371189999999999</v>
      </c>
    </row>
    <row r="4568" spans="1:37" x14ac:dyDescent="0.3">
      <c r="A4568">
        <v>4567</v>
      </c>
      <c r="B4568">
        <v>0</v>
      </c>
      <c r="C4568">
        <v>6.97464</v>
      </c>
      <c r="D4568">
        <v>13.026300000000001</v>
      </c>
      <c r="E4568" t="s">
        <v>7213</v>
      </c>
      <c r="F4568" t="s">
        <v>7215</v>
      </c>
      <c r="G4568" t="s">
        <v>37</v>
      </c>
      <c r="H4568">
        <v>0</v>
      </c>
      <c r="I4568">
        <v>26.40034</v>
      </c>
      <c r="J4568">
        <v>14.4</v>
      </c>
      <c r="K4568">
        <v>56</v>
      </c>
      <c r="L4568">
        <v>29.841049999999999</v>
      </c>
      <c r="M4568">
        <v>38.6</v>
      </c>
      <c r="N4568">
        <v>12.9</v>
      </c>
      <c r="O4568">
        <v>25.7</v>
      </c>
      <c r="P4568">
        <v>26.1</v>
      </c>
      <c r="Q4568">
        <v>22.6</v>
      </c>
      <c r="R4568">
        <v>30.300339999999998</v>
      </c>
      <c r="S4568">
        <v>22.6</v>
      </c>
      <c r="T4568">
        <v>572</v>
      </c>
      <c r="U4568">
        <v>196</v>
      </c>
      <c r="V4568">
        <v>0</v>
      </c>
      <c r="W4568">
        <v>137</v>
      </c>
      <c r="X4568">
        <v>452</v>
      </c>
      <c r="Y4568">
        <v>0</v>
      </c>
      <c r="Z4568">
        <v>108</v>
      </c>
      <c r="AA4568">
        <v>0</v>
      </c>
      <c r="AB4568">
        <v>6.4945659999999998</v>
      </c>
      <c r="AC4568">
        <v>2.4714030000000001E-2</v>
      </c>
      <c r="AD4568">
        <v>1.7725299999999999</v>
      </c>
      <c r="AE4568">
        <v>0.70623360000000002</v>
      </c>
      <c r="AF4568">
        <v>478.04919999999998</v>
      </c>
      <c r="AG4568">
        <f>IFERROR(AH4568*0.1, "N/A")</f>
        <v>6.3635590000000004</v>
      </c>
      <c r="AH4568">
        <v>63.635590000000001</v>
      </c>
      <c r="AI4568">
        <v>68.721260000000001</v>
      </c>
      <c r="AJ4568">
        <v>13.622030000000001</v>
      </c>
      <c r="AK4568">
        <v>72.371189999999999</v>
      </c>
    </row>
    <row r="4569" spans="1:37" x14ac:dyDescent="0.3">
      <c r="A4569">
        <v>4568</v>
      </c>
      <c r="B4569">
        <v>59.6</v>
      </c>
      <c r="C4569">
        <v>2.3276699999999999</v>
      </c>
      <c r="D4569">
        <v>13.026899999999999</v>
      </c>
      <c r="E4569" t="s">
        <v>7216</v>
      </c>
      <c r="F4569" t="s">
        <v>7217</v>
      </c>
      <c r="G4569" t="s">
        <v>39</v>
      </c>
      <c r="H4569">
        <v>0</v>
      </c>
      <c r="I4569">
        <v>29</v>
      </c>
      <c r="J4569">
        <v>14</v>
      </c>
      <c r="K4569">
        <v>56</v>
      </c>
      <c r="L4569">
        <v>27.8</v>
      </c>
      <c r="M4569">
        <v>40.799999999999997</v>
      </c>
      <c r="N4569">
        <v>16.100000000000001</v>
      </c>
      <c r="O4569">
        <v>24.7</v>
      </c>
      <c r="P4569">
        <v>28</v>
      </c>
      <c r="Q4569">
        <v>25.8</v>
      </c>
      <c r="R4569">
        <v>32.700000000000003</v>
      </c>
      <c r="S4569">
        <v>25.5</v>
      </c>
      <c r="T4569">
        <v>578</v>
      </c>
      <c r="U4569">
        <v>176</v>
      </c>
      <c r="V4569">
        <v>0</v>
      </c>
      <c r="W4569">
        <v>128</v>
      </c>
      <c r="X4569">
        <v>435</v>
      </c>
      <c r="Y4569">
        <v>0</v>
      </c>
      <c r="Z4569">
        <v>128</v>
      </c>
      <c r="AA4569">
        <v>0</v>
      </c>
      <c r="AB4569">
        <v>1.270059</v>
      </c>
      <c r="AC4569">
        <v>2.276889E-2</v>
      </c>
      <c r="AD4569">
        <v>0.92798499999999995</v>
      </c>
      <c r="AE4569">
        <v>0.67560739999999997</v>
      </c>
      <c r="AF4569">
        <v>212.32149999999999</v>
      </c>
      <c r="AG4569">
        <f>IFERROR(AH4569*0.1, "N/A")</f>
        <v>6.2563450000000005</v>
      </c>
      <c r="AH4569">
        <v>62.563450000000003</v>
      </c>
      <c r="AI4569">
        <v>129.8827</v>
      </c>
      <c r="AJ4569">
        <v>8.7089680000000005</v>
      </c>
      <c r="AK4569">
        <v>76.873099999999994</v>
      </c>
    </row>
    <row r="4570" spans="1:37" x14ac:dyDescent="0.3">
      <c r="A4570">
        <v>4569</v>
      </c>
      <c r="B4570">
        <v>0</v>
      </c>
      <c r="C4570">
        <v>3.0308700000000002</v>
      </c>
      <c r="D4570">
        <v>13.044700000000001</v>
      </c>
      <c r="E4570" t="s">
        <v>7218</v>
      </c>
      <c r="F4570" t="s">
        <v>7219</v>
      </c>
      <c r="G4570" t="s">
        <v>39</v>
      </c>
      <c r="H4570">
        <v>0</v>
      </c>
      <c r="I4570">
        <v>28.9</v>
      </c>
      <c r="J4570">
        <v>13.7</v>
      </c>
      <c r="K4570">
        <v>57</v>
      </c>
      <c r="L4570">
        <v>26.87</v>
      </c>
      <c r="M4570">
        <v>40.5</v>
      </c>
      <c r="N4570">
        <v>16.7</v>
      </c>
      <c r="O4570">
        <v>23.8</v>
      </c>
      <c r="P4570">
        <v>27.9</v>
      </c>
      <c r="Q4570">
        <v>25.6</v>
      </c>
      <c r="R4570">
        <v>32.5</v>
      </c>
      <c r="S4570">
        <v>25.6</v>
      </c>
      <c r="T4570">
        <v>575</v>
      </c>
      <c r="U4570">
        <v>195</v>
      </c>
      <c r="V4570">
        <v>0</v>
      </c>
      <c r="W4570">
        <v>133</v>
      </c>
      <c r="X4570">
        <v>441</v>
      </c>
      <c r="Y4570">
        <v>0</v>
      </c>
      <c r="Z4570">
        <v>120</v>
      </c>
      <c r="AA4570">
        <v>0</v>
      </c>
      <c r="AB4570">
        <v>0.28237240000000002</v>
      </c>
      <c r="AC4570">
        <v>0.89994540000000001</v>
      </c>
      <c r="AD4570">
        <v>1.529409</v>
      </c>
      <c r="AE4570">
        <v>0.69434770000000001</v>
      </c>
      <c r="AF4570">
        <v>239.51689999999999</v>
      </c>
      <c r="AG4570">
        <f>IFERROR(AH4570*0.1, "N/A")</f>
        <v>5.3449150000000003</v>
      </c>
      <c r="AH4570">
        <v>53.449150000000003</v>
      </c>
      <c r="AI4570">
        <v>55.334989999999998</v>
      </c>
      <c r="AJ4570">
        <v>10.522030000000001</v>
      </c>
      <c r="AK4570">
        <v>78.588139999999996</v>
      </c>
    </row>
    <row r="4571" spans="1:37" x14ac:dyDescent="0.3">
      <c r="A4571">
        <v>4570</v>
      </c>
      <c r="B4571">
        <v>0</v>
      </c>
      <c r="C4571">
        <v>3.0308700000000002</v>
      </c>
      <c r="D4571">
        <v>13.044700000000001</v>
      </c>
      <c r="E4571" t="s">
        <v>7218</v>
      </c>
      <c r="F4571" t="s">
        <v>7220</v>
      </c>
      <c r="G4571" t="s">
        <v>37</v>
      </c>
      <c r="H4571">
        <v>0</v>
      </c>
      <c r="I4571">
        <v>28.9</v>
      </c>
      <c r="J4571">
        <v>13.7</v>
      </c>
      <c r="K4571">
        <v>57</v>
      </c>
      <c r="L4571">
        <v>26.87</v>
      </c>
      <c r="M4571">
        <v>40.5</v>
      </c>
      <c r="N4571">
        <v>16.7</v>
      </c>
      <c r="O4571">
        <v>23.8</v>
      </c>
      <c r="P4571">
        <v>27.9</v>
      </c>
      <c r="Q4571">
        <v>25.6</v>
      </c>
      <c r="R4571">
        <v>32.5</v>
      </c>
      <c r="S4571">
        <v>25.6</v>
      </c>
      <c r="T4571">
        <v>575</v>
      </c>
      <c r="U4571">
        <v>195</v>
      </c>
      <c r="V4571">
        <v>0</v>
      </c>
      <c r="W4571">
        <v>133</v>
      </c>
      <c r="X4571">
        <v>441</v>
      </c>
      <c r="Y4571">
        <v>0</v>
      </c>
      <c r="Z4571">
        <v>120</v>
      </c>
      <c r="AA4571">
        <v>0</v>
      </c>
      <c r="AB4571">
        <v>0.28237240000000002</v>
      </c>
      <c r="AC4571">
        <v>0.89994540000000001</v>
      </c>
      <c r="AD4571">
        <v>1.529409</v>
      </c>
      <c r="AE4571">
        <v>0.69434770000000001</v>
      </c>
      <c r="AF4571">
        <v>239.51689999999999</v>
      </c>
      <c r="AG4571">
        <f>IFERROR(AH4571*0.1, "N/A")</f>
        <v>5.3449150000000003</v>
      </c>
      <c r="AH4571">
        <v>53.449150000000003</v>
      </c>
      <c r="AI4571">
        <v>55.334989999999998</v>
      </c>
      <c r="AJ4571">
        <v>10.522030000000001</v>
      </c>
      <c r="AK4571">
        <v>78.588139999999996</v>
      </c>
    </row>
    <row r="4572" spans="1:37" x14ac:dyDescent="0.3">
      <c r="A4572">
        <v>4571</v>
      </c>
      <c r="B4572">
        <v>0</v>
      </c>
      <c r="C4572">
        <v>3.38246</v>
      </c>
      <c r="D4572">
        <v>13.0616</v>
      </c>
      <c r="E4572" t="s">
        <v>7221</v>
      </c>
      <c r="F4572" t="s">
        <v>7222</v>
      </c>
      <c r="G4572" t="s">
        <v>39</v>
      </c>
      <c r="H4572">
        <v>0</v>
      </c>
      <c r="I4572">
        <v>28.8</v>
      </c>
      <c r="J4572">
        <v>13.6</v>
      </c>
      <c r="K4572">
        <v>57</v>
      </c>
      <c r="L4572">
        <v>26.531130000000001</v>
      </c>
      <c r="M4572">
        <v>40.299999999999997</v>
      </c>
      <c r="N4572">
        <v>16.8</v>
      </c>
      <c r="O4572">
        <v>23.5</v>
      </c>
      <c r="P4572">
        <v>27.9</v>
      </c>
      <c r="Q4572">
        <v>25.6</v>
      </c>
      <c r="R4572">
        <v>32.394089999999998</v>
      </c>
      <c r="S4572">
        <v>25.6</v>
      </c>
      <c r="T4572">
        <v>539.94090000000006</v>
      </c>
      <c r="U4572">
        <v>176.9409</v>
      </c>
      <c r="V4572">
        <v>0</v>
      </c>
      <c r="W4572">
        <v>129.17740000000001</v>
      </c>
      <c r="X4572">
        <v>410.9409</v>
      </c>
      <c r="Y4572">
        <v>0</v>
      </c>
      <c r="Z4572">
        <v>116</v>
      </c>
      <c r="AA4572">
        <v>0</v>
      </c>
      <c r="AB4572">
        <v>2.6950970000000001</v>
      </c>
      <c r="AC4572">
        <v>8.696868E-3</v>
      </c>
      <c r="AD4572">
        <v>1.007061</v>
      </c>
      <c r="AE4572">
        <v>0.6936023</v>
      </c>
      <c r="AF4572">
        <v>246.89859999999999</v>
      </c>
      <c r="AG4572">
        <f>IFERROR(AH4572*0.1, "N/A")</f>
        <v>5.6606420000000002</v>
      </c>
      <c r="AH4572">
        <v>56.60642</v>
      </c>
      <c r="AI4572">
        <v>251.71109999999999</v>
      </c>
      <c r="AJ4572">
        <v>8.3699320000000004</v>
      </c>
      <c r="AK4572">
        <v>82</v>
      </c>
    </row>
    <row r="4573" spans="1:37" x14ac:dyDescent="0.3">
      <c r="A4573">
        <v>4572</v>
      </c>
      <c r="B4573">
        <v>0</v>
      </c>
      <c r="C4573">
        <v>3.38246</v>
      </c>
      <c r="D4573">
        <v>13.0616</v>
      </c>
      <c r="E4573" t="s">
        <v>7221</v>
      </c>
      <c r="F4573" t="s">
        <v>7223</v>
      </c>
      <c r="G4573" t="s">
        <v>37</v>
      </c>
      <c r="H4573">
        <v>0</v>
      </c>
      <c r="I4573">
        <v>28.8</v>
      </c>
      <c r="J4573">
        <v>13.6</v>
      </c>
      <c r="K4573">
        <v>57</v>
      </c>
      <c r="L4573">
        <v>26.531130000000001</v>
      </c>
      <c r="M4573">
        <v>40.299999999999997</v>
      </c>
      <c r="N4573">
        <v>16.8</v>
      </c>
      <c r="O4573">
        <v>23.5</v>
      </c>
      <c r="P4573">
        <v>27.9</v>
      </c>
      <c r="Q4573">
        <v>25.6</v>
      </c>
      <c r="R4573">
        <v>32.394089999999998</v>
      </c>
      <c r="S4573">
        <v>25.6</v>
      </c>
      <c r="T4573">
        <v>539.94090000000006</v>
      </c>
      <c r="U4573">
        <v>176.9409</v>
      </c>
      <c r="V4573">
        <v>0</v>
      </c>
      <c r="W4573">
        <v>129.17740000000001</v>
      </c>
      <c r="X4573">
        <v>410.9409</v>
      </c>
      <c r="Y4573">
        <v>0</v>
      </c>
      <c r="Z4573">
        <v>116</v>
      </c>
      <c r="AA4573">
        <v>0</v>
      </c>
      <c r="AB4573">
        <v>2.6950970000000001</v>
      </c>
      <c r="AC4573">
        <v>8.696868E-3</v>
      </c>
      <c r="AD4573">
        <v>1.007061</v>
      </c>
      <c r="AE4573">
        <v>0.6936023</v>
      </c>
      <c r="AF4573">
        <v>246.89859999999999</v>
      </c>
      <c r="AG4573">
        <f>IFERROR(AH4573*0.1, "N/A")</f>
        <v>5.6606420000000002</v>
      </c>
      <c r="AH4573">
        <v>56.60642</v>
      </c>
      <c r="AI4573">
        <v>251.71109999999999</v>
      </c>
      <c r="AJ4573">
        <v>8.3699320000000004</v>
      </c>
      <c r="AK4573">
        <v>82</v>
      </c>
    </row>
    <row r="4574" spans="1:37" x14ac:dyDescent="0.3">
      <c r="A4574">
        <v>4573</v>
      </c>
      <c r="B4574">
        <v>44.7</v>
      </c>
      <c r="C4574">
        <v>1.43306</v>
      </c>
      <c r="D4574">
        <v>13.066700000000001</v>
      </c>
      <c r="E4574" t="s">
        <v>7224</v>
      </c>
      <c r="F4574" t="s">
        <v>7225</v>
      </c>
      <c r="G4574" t="s">
        <v>39</v>
      </c>
      <c r="H4574">
        <v>0</v>
      </c>
      <c r="I4574">
        <v>28.8</v>
      </c>
      <c r="J4574">
        <v>14.29644</v>
      </c>
      <c r="K4574">
        <v>57.352539999999998</v>
      </c>
      <c r="L4574">
        <v>26.522020000000001</v>
      </c>
      <c r="M4574">
        <v>40.5</v>
      </c>
      <c r="N4574">
        <v>15.83881</v>
      </c>
      <c r="O4574">
        <v>24.661190000000001</v>
      </c>
      <c r="P4574">
        <v>27.761189999999999</v>
      </c>
      <c r="Q4574">
        <v>25.70356</v>
      </c>
      <c r="R4574">
        <v>32.203560000000003</v>
      </c>
      <c r="S4574">
        <v>25.56831</v>
      </c>
      <c r="T4574">
        <v>560.35249999999996</v>
      </c>
      <c r="U4574">
        <v>164</v>
      </c>
      <c r="V4574">
        <v>0</v>
      </c>
      <c r="W4574">
        <v>128</v>
      </c>
      <c r="X4574">
        <v>412</v>
      </c>
      <c r="Y4574">
        <v>0</v>
      </c>
      <c r="Z4574">
        <v>137</v>
      </c>
      <c r="AA4574">
        <v>0</v>
      </c>
      <c r="AB4574">
        <v>6.4038979999999999</v>
      </c>
      <c r="AC4574">
        <v>3.9931120000000001E-2</v>
      </c>
      <c r="AD4574">
        <v>0.76942370000000004</v>
      </c>
      <c r="AE4574">
        <v>0.68137009999999998</v>
      </c>
      <c r="AF4574">
        <v>240.77119999999999</v>
      </c>
      <c r="AG4574">
        <f>IFERROR(AH4574*0.1, "N/A")</f>
        <v>5.9069490000000009</v>
      </c>
      <c r="AH4574">
        <v>59.069490000000002</v>
      </c>
      <c r="AI4574">
        <v>175.3169</v>
      </c>
      <c r="AJ4574">
        <v>18.91356</v>
      </c>
      <c r="AK4574">
        <v>65.067800000000005</v>
      </c>
    </row>
    <row r="4575" spans="1:37" x14ac:dyDescent="0.3">
      <c r="A4575">
        <v>4574</v>
      </c>
      <c r="B4575">
        <v>0</v>
      </c>
      <c r="C4575">
        <v>9.0933299999999999</v>
      </c>
      <c r="D4575">
        <v>13.093299999999999</v>
      </c>
      <c r="E4575" t="s">
        <v>7226</v>
      </c>
      <c r="F4575" t="s">
        <v>7227</v>
      </c>
      <c r="G4575" t="s">
        <v>39</v>
      </c>
      <c r="H4575">
        <v>0</v>
      </c>
      <c r="I4575">
        <v>27.2</v>
      </c>
      <c r="J4575">
        <v>15.6</v>
      </c>
      <c r="K4575">
        <v>54</v>
      </c>
      <c r="L4575">
        <v>37.909999999999997</v>
      </c>
      <c r="M4575">
        <v>40.4</v>
      </c>
      <c r="N4575">
        <v>11.7</v>
      </c>
      <c r="O4575">
        <v>28.7</v>
      </c>
      <c r="P4575">
        <v>28.1</v>
      </c>
      <c r="Q4575">
        <v>22.1</v>
      </c>
      <c r="R4575">
        <v>31.9</v>
      </c>
      <c r="S4575">
        <v>21.8</v>
      </c>
      <c r="T4575">
        <v>397</v>
      </c>
      <c r="U4575">
        <v>149</v>
      </c>
      <c r="V4575">
        <v>0</v>
      </c>
      <c r="W4575">
        <v>149</v>
      </c>
      <c r="X4575">
        <v>337</v>
      </c>
      <c r="Y4575">
        <v>0</v>
      </c>
      <c r="Z4575">
        <v>52</v>
      </c>
      <c r="AA4575">
        <v>0</v>
      </c>
      <c r="AB4575">
        <v>1.9834099999999999</v>
      </c>
      <c r="AC4575">
        <v>1.2473730000000001E-2</v>
      </c>
      <c r="AD4575">
        <v>0.92145690000000002</v>
      </c>
      <c r="AE4575">
        <v>0.70344309999999999</v>
      </c>
      <c r="AF4575">
        <v>387.6413</v>
      </c>
      <c r="AG4575">
        <f>IFERROR(AH4575*0.1, "N/A")</f>
        <v>6.6000000000000005</v>
      </c>
      <c r="AH4575">
        <v>66</v>
      </c>
      <c r="AI4575">
        <v>218.48500000000001</v>
      </c>
      <c r="AJ4575">
        <v>10.75296</v>
      </c>
      <c r="AK4575">
        <v>78.837559999999996</v>
      </c>
    </row>
    <row r="4576" spans="1:37" x14ac:dyDescent="0.3">
      <c r="A4576">
        <v>4575</v>
      </c>
      <c r="B4576">
        <v>0</v>
      </c>
      <c r="C4576">
        <v>9.0933299999999999</v>
      </c>
      <c r="D4576">
        <v>13.093299999999999</v>
      </c>
      <c r="E4576" t="s">
        <v>7226</v>
      </c>
      <c r="F4576" t="s">
        <v>7228</v>
      </c>
      <c r="G4576" t="s">
        <v>37</v>
      </c>
      <c r="H4576">
        <v>0</v>
      </c>
      <c r="I4576">
        <v>27.2</v>
      </c>
      <c r="J4576">
        <v>15.6</v>
      </c>
      <c r="K4576">
        <v>54</v>
      </c>
      <c r="L4576">
        <v>37.909999999999997</v>
      </c>
      <c r="M4576">
        <v>40.4</v>
      </c>
      <c r="N4576">
        <v>11.7</v>
      </c>
      <c r="O4576">
        <v>28.7</v>
      </c>
      <c r="P4576">
        <v>28.1</v>
      </c>
      <c r="Q4576">
        <v>22.1</v>
      </c>
      <c r="R4576">
        <v>31.9</v>
      </c>
      <c r="S4576">
        <v>21.8</v>
      </c>
      <c r="T4576">
        <v>397</v>
      </c>
      <c r="U4576">
        <v>149</v>
      </c>
      <c r="V4576">
        <v>0</v>
      </c>
      <c r="W4576">
        <v>149</v>
      </c>
      <c r="X4576">
        <v>337</v>
      </c>
      <c r="Y4576">
        <v>0</v>
      </c>
      <c r="Z4576">
        <v>52</v>
      </c>
      <c r="AA4576">
        <v>0</v>
      </c>
      <c r="AB4576">
        <v>1.9834099999999999</v>
      </c>
      <c r="AC4576">
        <v>1.2473730000000001E-2</v>
      </c>
      <c r="AD4576">
        <v>0.92145690000000002</v>
      </c>
      <c r="AE4576">
        <v>0.70344309999999999</v>
      </c>
      <c r="AF4576">
        <v>387.6413</v>
      </c>
      <c r="AG4576">
        <f>IFERROR(AH4576*0.1, "N/A")</f>
        <v>6.6000000000000005</v>
      </c>
      <c r="AH4576">
        <v>66</v>
      </c>
      <c r="AI4576">
        <v>218.48500000000001</v>
      </c>
      <c r="AJ4576">
        <v>10.75296</v>
      </c>
      <c r="AK4576">
        <v>78.837559999999996</v>
      </c>
    </row>
    <row r="4577" spans="1:37" x14ac:dyDescent="0.3">
      <c r="A4577">
        <v>4576</v>
      </c>
      <c r="B4577">
        <v>0</v>
      </c>
      <c r="C4577">
        <v>8.2306500000000007</v>
      </c>
      <c r="D4577">
        <v>13.0936</v>
      </c>
      <c r="E4577" t="s">
        <v>7229</v>
      </c>
      <c r="F4577" t="s">
        <v>7230</v>
      </c>
      <c r="G4577" t="s">
        <v>39</v>
      </c>
      <c r="H4577">
        <v>0</v>
      </c>
      <c r="I4577">
        <v>26.5</v>
      </c>
      <c r="J4577">
        <v>14.7</v>
      </c>
      <c r="K4577">
        <v>57</v>
      </c>
      <c r="L4577">
        <v>29.23</v>
      </c>
      <c r="M4577">
        <v>38.700000000000003</v>
      </c>
      <c r="N4577">
        <v>13</v>
      </c>
      <c r="O4577">
        <v>25.7</v>
      </c>
      <c r="P4577">
        <v>26.1</v>
      </c>
      <c r="Q4577">
        <v>22.9</v>
      </c>
      <c r="R4577">
        <v>30.4</v>
      </c>
      <c r="S4577">
        <v>22.5</v>
      </c>
      <c r="T4577">
        <v>538</v>
      </c>
      <c r="U4577">
        <v>200</v>
      </c>
      <c r="V4577">
        <v>0</v>
      </c>
      <c r="W4577">
        <v>144</v>
      </c>
      <c r="X4577">
        <v>436</v>
      </c>
      <c r="Y4577">
        <v>0</v>
      </c>
      <c r="Z4577">
        <v>92</v>
      </c>
      <c r="AA4577">
        <v>0</v>
      </c>
      <c r="AB4577">
        <v>7.5204110000000002</v>
      </c>
      <c r="AC4577">
        <v>1.265639E-2</v>
      </c>
      <c r="AD4577">
        <v>1.235052</v>
      </c>
      <c r="AE4577">
        <v>0.74421459999999995</v>
      </c>
      <c r="AF4577">
        <v>484.6644</v>
      </c>
      <c r="AG4577">
        <f>IFERROR(AH4577*0.1, "N/A")</f>
        <v>7.1000000000000005</v>
      </c>
      <c r="AH4577">
        <v>71</v>
      </c>
      <c r="AI4577">
        <v>148.8937</v>
      </c>
      <c r="AJ4577">
        <v>16.967960000000001</v>
      </c>
      <c r="AK4577">
        <v>68.895449999999997</v>
      </c>
    </row>
    <row r="4578" spans="1:37" x14ac:dyDescent="0.3">
      <c r="A4578">
        <v>4577</v>
      </c>
      <c r="B4578">
        <v>0</v>
      </c>
      <c r="C4578">
        <v>8.2306500000000007</v>
      </c>
      <c r="D4578">
        <v>13.0936</v>
      </c>
      <c r="E4578" t="s">
        <v>7229</v>
      </c>
      <c r="F4578" t="s">
        <v>7231</v>
      </c>
      <c r="G4578" t="s">
        <v>37</v>
      </c>
      <c r="H4578">
        <v>0</v>
      </c>
      <c r="I4578">
        <v>26.5</v>
      </c>
      <c r="J4578">
        <v>14.7</v>
      </c>
      <c r="K4578">
        <v>57</v>
      </c>
      <c r="L4578">
        <v>29.23</v>
      </c>
      <c r="M4578">
        <v>38.700000000000003</v>
      </c>
      <c r="N4578">
        <v>13</v>
      </c>
      <c r="O4578">
        <v>25.7</v>
      </c>
      <c r="P4578">
        <v>26.1</v>
      </c>
      <c r="Q4578">
        <v>22.9</v>
      </c>
      <c r="R4578">
        <v>30.4</v>
      </c>
      <c r="S4578">
        <v>22.5</v>
      </c>
      <c r="T4578">
        <v>538</v>
      </c>
      <c r="U4578">
        <v>200</v>
      </c>
      <c r="V4578">
        <v>0</v>
      </c>
      <c r="W4578">
        <v>144</v>
      </c>
      <c r="X4578">
        <v>436</v>
      </c>
      <c r="Y4578">
        <v>0</v>
      </c>
      <c r="Z4578">
        <v>92</v>
      </c>
      <c r="AA4578">
        <v>0</v>
      </c>
      <c r="AB4578">
        <v>7.5204110000000002</v>
      </c>
      <c r="AC4578">
        <v>1.265639E-2</v>
      </c>
      <c r="AD4578">
        <v>1.235052</v>
      </c>
      <c r="AE4578">
        <v>0.74421459999999995</v>
      </c>
      <c r="AF4578">
        <v>484.6644</v>
      </c>
      <c r="AG4578">
        <f>IFERROR(AH4578*0.1, "N/A")</f>
        <v>7.1000000000000005</v>
      </c>
      <c r="AH4578">
        <v>71</v>
      </c>
      <c r="AI4578">
        <v>148.8937</v>
      </c>
      <c r="AJ4578">
        <v>16.967960000000001</v>
      </c>
      <c r="AK4578">
        <v>68.895449999999997</v>
      </c>
    </row>
    <row r="4579" spans="1:37" x14ac:dyDescent="0.3">
      <c r="A4579">
        <v>4578</v>
      </c>
      <c r="B4579">
        <v>21.7</v>
      </c>
      <c r="C4579">
        <v>2.0112800000000002</v>
      </c>
      <c r="D4579">
        <v>13.096299999999999</v>
      </c>
      <c r="E4579" t="s">
        <v>7232</v>
      </c>
      <c r="F4579" t="s">
        <v>7233</v>
      </c>
      <c r="G4579" t="s">
        <v>39</v>
      </c>
      <c r="H4579">
        <v>0</v>
      </c>
      <c r="I4579">
        <v>29</v>
      </c>
      <c r="J4579">
        <v>14.2</v>
      </c>
      <c r="K4579">
        <v>56</v>
      </c>
      <c r="L4579">
        <v>27.63</v>
      </c>
      <c r="M4579">
        <v>40.9</v>
      </c>
      <c r="N4579">
        <v>15.9</v>
      </c>
      <c r="O4579">
        <v>25</v>
      </c>
      <c r="P4579">
        <v>28</v>
      </c>
      <c r="Q4579">
        <v>25.8</v>
      </c>
      <c r="R4579">
        <v>32.6</v>
      </c>
      <c r="S4579">
        <v>25.6</v>
      </c>
      <c r="T4579">
        <v>558</v>
      </c>
      <c r="U4579">
        <v>175</v>
      </c>
      <c r="V4579">
        <v>0</v>
      </c>
      <c r="W4579">
        <v>130</v>
      </c>
      <c r="X4579">
        <v>419</v>
      </c>
      <c r="Y4579">
        <v>0</v>
      </c>
      <c r="Z4579">
        <v>125</v>
      </c>
      <c r="AA4579">
        <v>0</v>
      </c>
      <c r="AB4579">
        <v>4.5069150000000002</v>
      </c>
      <c r="AC4579">
        <v>1.4833610000000001E-2</v>
      </c>
      <c r="AD4579">
        <v>1.287433</v>
      </c>
      <c r="AE4579">
        <v>0.4767286</v>
      </c>
      <c r="AF4579">
        <v>211.75380000000001</v>
      </c>
      <c r="AG4579">
        <f>IFERROR(AH4579*0.1, "N/A")</f>
        <v>5.8000000000000007</v>
      </c>
      <c r="AH4579">
        <v>58</v>
      </c>
      <c r="AI4579">
        <v>171.8947</v>
      </c>
      <c r="AJ4579">
        <v>25</v>
      </c>
      <c r="AK4579">
        <v>49</v>
      </c>
    </row>
    <row r="4580" spans="1:37" x14ac:dyDescent="0.3">
      <c r="A4580">
        <v>4579</v>
      </c>
      <c r="B4580">
        <v>48.3</v>
      </c>
      <c r="C4580">
        <v>1.91648</v>
      </c>
      <c r="D4580">
        <v>13.1068</v>
      </c>
      <c r="E4580" t="s">
        <v>7234</v>
      </c>
      <c r="F4580" t="s">
        <v>7235</v>
      </c>
      <c r="G4580" t="s">
        <v>39</v>
      </c>
      <c r="H4580">
        <v>0</v>
      </c>
      <c r="I4580">
        <v>29</v>
      </c>
      <c r="J4580">
        <v>14.3</v>
      </c>
      <c r="K4580">
        <v>57</v>
      </c>
      <c r="L4580">
        <v>27.568999999999999</v>
      </c>
      <c r="M4580">
        <v>40.9</v>
      </c>
      <c r="N4580">
        <v>15.9</v>
      </c>
      <c r="O4580">
        <v>25</v>
      </c>
      <c r="P4580">
        <v>28</v>
      </c>
      <c r="Q4580">
        <v>25.8</v>
      </c>
      <c r="R4580">
        <v>32.6</v>
      </c>
      <c r="S4580">
        <v>25.6</v>
      </c>
      <c r="T4580">
        <v>553.10019999999997</v>
      </c>
      <c r="U4580">
        <v>171.1002</v>
      </c>
      <c r="V4580">
        <v>0</v>
      </c>
      <c r="W4580">
        <v>128</v>
      </c>
      <c r="X4580">
        <v>413.10019999999997</v>
      </c>
      <c r="Y4580">
        <v>0</v>
      </c>
      <c r="Z4580">
        <v>126</v>
      </c>
      <c r="AA4580">
        <v>0</v>
      </c>
      <c r="AB4580">
        <v>3.1534789999999999</v>
      </c>
      <c r="AC4580">
        <v>2.227345E-2</v>
      </c>
      <c r="AD4580">
        <v>1.308783</v>
      </c>
      <c r="AE4580">
        <v>0.63890720000000001</v>
      </c>
      <c r="AF4580">
        <v>211.36840000000001</v>
      </c>
      <c r="AG4580">
        <f>IFERROR(AH4580*0.1, "N/A")</f>
        <v>5.7388790000000007</v>
      </c>
      <c r="AH4580">
        <v>57.38879</v>
      </c>
      <c r="AI4580">
        <v>228.48920000000001</v>
      </c>
      <c r="AJ4580">
        <v>14.263159999999999</v>
      </c>
      <c r="AK4580">
        <v>66.113749999999996</v>
      </c>
    </row>
    <row r="4581" spans="1:37" x14ac:dyDescent="0.3">
      <c r="A4581">
        <v>4580</v>
      </c>
      <c r="B4581">
        <v>49.2</v>
      </c>
      <c r="C4581">
        <v>2.3650000000000002</v>
      </c>
      <c r="D4581">
        <v>13.109</v>
      </c>
      <c r="E4581" t="s">
        <v>7236</v>
      </c>
      <c r="F4581" t="s">
        <v>7237</v>
      </c>
      <c r="G4581" t="s">
        <v>39</v>
      </c>
      <c r="H4581">
        <v>1987</v>
      </c>
      <c r="I4581">
        <v>29.2</v>
      </c>
      <c r="J4581">
        <v>14.09966</v>
      </c>
      <c r="K4581">
        <v>56</v>
      </c>
      <c r="L4581">
        <v>28.100639999999999</v>
      </c>
      <c r="M4581">
        <v>41</v>
      </c>
      <c r="N4581">
        <v>16.2</v>
      </c>
      <c r="O4581">
        <v>24.8</v>
      </c>
      <c r="P4581">
        <v>28.3</v>
      </c>
      <c r="Q4581">
        <v>25.9</v>
      </c>
      <c r="R4581">
        <v>32.9</v>
      </c>
      <c r="S4581">
        <v>25.6</v>
      </c>
      <c r="T4581">
        <v>558.01020000000005</v>
      </c>
      <c r="U4581">
        <v>171</v>
      </c>
      <c r="V4581">
        <v>0</v>
      </c>
      <c r="W4581">
        <v>130.0034</v>
      </c>
      <c r="X4581">
        <v>422.0068</v>
      </c>
      <c r="Y4581">
        <v>0</v>
      </c>
      <c r="Z4581">
        <v>123</v>
      </c>
      <c r="AA4581">
        <v>0</v>
      </c>
      <c r="AB4581">
        <v>1.74034</v>
      </c>
      <c r="AC4581">
        <v>1.6475239999999999E-2</v>
      </c>
      <c r="AD4581">
        <v>1.5883989999999999</v>
      </c>
      <c r="AE4581">
        <v>0.48362060000000001</v>
      </c>
      <c r="AF4581">
        <v>176.5085</v>
      </c>
      <c r="AG4581">
        <f>IFERROR(AH4581*0.1, "N/A")</f>
        <v>6.9</v>
      </c>
      <c r="AH4581">
        <v>69</v>
      </c>
      <c r="AI4581">
        <v>94.856759999999994</v>
      </c>
      <c r="AJ4581">
        <v>19.905080000000002</v>
      </c>
      <c r="AK4581">
        <v>61</v>
      </c>
    </row>
    <row r="4582" spans="1:37" x14ac:dyDescent="0.3">
      <c r="A4582">
        <v>4581</v>
      </c>
      <c r="B4582">
        <v>30</v>
      </c>
      <c r="C4582">
        <v>2.36111</v>
      </c>
      <c r="D4582">
        <v>13.1167</v>
      </c>
      <c r="E4582" t="s">
        <v>7238</v>
      </c>
      <c r="F4582" t="s">
        <v>7239</v>
      </c>
      <c r="G4582" t="s">
        <v>39</v>
      </c>
      <c r="H4582">
        <v>0</v>
      </c>
      <c r="I4582">
        <v>29.2</v>
      </c>
      <c r="J4582">
        <v>14.1</v>
      </c>
      <c r="K4582">
        <v>56</v>
      </c>
      <c r="L4582">
        <v>28.391169999999999</v>
      </c>
      <c r="M4582">
        <v>41.083190000000002</v>
      </c>
      <c r="N4582">
        <v>16.2</v>
      </c>
      <c r="O4582">
        <v>24.883189999999999</v>
      </c>
      <c r="P4582">
        <v>28.3</v>
      </c>
      <c r="Q4582">
        <v>25.9</v>
      </c>
      <c r="R4582">
        <v>32.9</v>
      </c>
      <c r="S4582">
        <v>25.6</v>
      </c>
      <c r="T4582">
        <v>556.33619999999996</v>
      </c>
      <c r="U4582">
        <v>170.16810000000001</v>
      </c>
      <c r="V4582">
        <v>0</v>
      </c>
      <c r="W4582">
        <v>130</v>
      </c>
      <c r="X4582">
        <v>421.16809999999998</v>
      </c>
      <c r="Y4582">
        <v>0</v>
      </c>
      <c r="Z4582">
        <v>122.1681</v>
      </c>
      <c r="AA4582">
        <v>0</v>
      </c>
      <c r="AB4582">
        <v>6.6551720000000003</v>
      </c>
      <c r="AC4582">
        <v>1.2203840000000001E-2</v>
      </c>
      <c r="AD4582">
        <v>1.5632090000000001</v>
      </c>
      <c r="AE4582">
        <v>0.51679169999999996</v>
      </c>
      <c r="AF4582">
        <v>179.601</v>
      </c>
      <c r="AG4582">
        <f>IFERROR(AH4582*0.1, "N/A")</f>
        <v>6.5373510000000001</v>
      </c>
      <c r="AH4582">
        <v>65.373509999999996</v>
      </c>
      <c r="AI4582">
        <v>203.80670000000001</v>
      </c>
      <c r="AJ4582">
        <v>21.252970000000001</v>
      </c>
      <c r="AK4582">
        <v>57.329369999999997</v>
      </c>
    </row>
    <row r="4583" spans="1:37" x14ac:dyDescent="0.3">
      <c r="A4583">
        <v>4582</v>
      </c>
      <c r="B4583">
        <v>40</v>
      </c>
      <c r="C4583">
        <v>1.7991699999999999</v>
      </c>
      <c r="D4583">
        <v>13.117800000000001</v>
      </c>
      <c r="E4583" t="s">
        <v>7240</v>
      </c>
      <c r="F4583" t="s">
        <v>7241</v>
      </c>
      <c r="G4583" t="s">
        <v>39</v>
      </c>
      <c r="H4583">
        <v>0</v>
      </c>
      <c r="I4583">
        <v>28.9</v>
      </c>
      <c r="J4583">
        <v>14.3</v>
      </c>
      <c r="K4583">
        <v>57</v>
      </c>
      <c r="L4583">
        <v>27.25</v>
      </c>
      <c r="M4583">
        <v>40.799999999999997</v>
      </c>
      <c r="N4583">
        <v>15.8</v>
      </c>
      <c r="O4583">
        <v>25</v>
      </c>
      <c r="P4583">
        <v>27.9</v>
      </c>
      <c r="Q4583">
        <v>25.8</v>
      </c>
      <c r="R4583">
        <v>32.5</v>
      </c>
      <c r="S4583">
        <v>25.6</v>
      </c>
      <c r="T4583">
        <v>549</v>
      </c>
      <c r="U4583">
        <v>165</v>
      </c>
      <c r="V4583">
        <v>0</v>
      </c>
      <c r="W4583">
        <v>128</v>
      </c>
      <c r="X4583">
        <v>406</v>
      </c>
      <c r="Y4583">
        <v>0</v>
      </c>
      <c r="Z4583">
        <v>129</v>
      </c>
      <c r="AA4583">
        <v>0</v>
      </c>
      <c r="AB4583">
        <v>7.3208770000000003</v>
      </c>
      <c r="AC4583">
        <v>1.51734E-2</v>
      </c>
      <c r="AD4583">
        <v>0.88841060000000005</v>
      </c>
      <c r="AE4583">
        <v>0.66229009999999999</v>
      </c>
      <c r="AF4583">
        <v>217.24109999999999</v>
      </c>
      <c r="AG4583">
        <f>IFERROR(AH4583*0.1, "N/A")</f>
        <v>6.0273339999999997</v>
      </c>
      <c r="AH4583">
        <v>60.273339999999997</v>
      </c>
      <c r="AI4583">
        <v>90.158699999999996</v>
      </c>
      <c r="AJ4583">
        <v>21.726659999999999</v>
      </c>
      <c r="AK4583">
        <v>55.546689999999998</v>
      </c>
    </row>
    <row r="4584" spans="1:37" x14ac:dyDescent="0.3">
      <c r="A4584">
        <v>4583</v>
      </c>
      <c r="B4584">
        <v>0</v>
      </c>
      <c r="C4584">
        <v>2.8511000000000002</v>
      </c>
      <c r="D4584">
        <v>13.120699999999999</v>
      </c>
      <c r="E4584" t="s">
        <v>7242</v>
      </c>
      <c r="F4584" t="s">
        <v>7243</v>
      </c>
      <c r="G4584" t="s">
        <v>39</v>
      </c>
      <c r="H4584">
        <v>0</v>
      </c>
      <c r="I4584">
        <v>29.1</v>
      </c>
      <c r="J4584">
        <v>13.8</v>
      </c>
      <c r="K4584">
        <v>57</v>
      </c>
      <c r="L4584">
        <v>27.31983</v>
      </c>
      <c r="M4584">
        <v>40.799999999999997</v>
      </c>
      <c r="N4584">
        <v>16.600000000000001</v>
      </c>
      <c r="O4584">
        <v>24.2</v>
      </c>
      <c r="P4584">
        <v>28.2</v>
      </c>
      <c r="Q4584">
        <v>27.7</v>
      </c>
      <c r="R4584">
        <v>32.700000000000003</v>
      </c>
      <c r="S4584">
        <v>25.7</v>
      </c>
      <c r="T4584">
        <v>533</v>
      </c>
      <c r="U4584">
        <v>185.98310000000001</v>
      </c>
      <c r="V4584">
        <v>0</v>
      </c>
      <c r="W4584">
        <v>137</v>
      </c>
      <c r="X4584">
        <v>418.98309999999998</v>
      </c>
      <c r="Y4584">
        <v>0</v>
      </c>
      <c r="Z4584">
        <v>103.01690000000001</v>
      </c>
      <c r="AA4584">
        <v>0</v>
      </c>
      <c r="AB4584">
        <v>0.78085090000000001</v>
      </c>
      <c r="AC4584">
        <v>0.1133874</v>
      </c>
      <c r="AD4584">
        <v>1.688507</v>
      </c>
      <c r="AE4584">
        <v>0.70797589999999999</v>
      </c>
      <c r="AF4584">
        <v>187.5119</v>
      </c>
      <c r="AG4584">
        <f>IFERROR(AH4584*0.1, "N/A")</f>
        <v>6.9915250000000002</v>
      </c>
      <c r="AH4584">
        <v>69.91525</v>
      </c>
      <c r="AI4584">
        <v>197.34960000000001</v>
      </c>
      <c r="AJ4584">
        <v>5.9491529999999999</v>
      </c>
      <c r="AK4584">
        <v>87.067800000000005</v>
      </c>
    </row>
    <row r="4585" spans="1:37" x14ac:dyDescent="0.3">
      <c r="A4585">
        <v>4584</v>
      </c>
      <c r="B4585">
        <v>0</v>
      </c>
      <c r="C4585">
        <v>2.91568</v>
      </c>
      <c r="D4585">
        <v>13.1211</v>
      </c>
      <c r="E4585" t="s">
        <v>7244</v>
      </c>
      <c r="F4585" t="s">
        <v>7245</v>
      </c>
      <c r="G4585" t="s">
        <v>39</v>
      </c>
      <c r="H4585">
        <v>0</v>
      </c>
      <c r="I4585">
        <v>29.1</v>
      </c>
      <c r="J4585">
        <v>13.8</v>
      </c>
      <c r="K4585">
        <v>57</v>
      </c>
      <c r="L4585">
        <v>26.9</v>
      </c>
      <c r="M4585">
        <v>40.799999999999997</v>
      </c>
      <c r="N4585">
        <v>16.8</v>
      </c>
      <c r="O4585">
        <v>24</v>
      </c>
      <c r="P4585">
        <v>28.2</v>
      </c>
      <c r="Q4585">
        <v>26.1</v>
      </c>
      <c r="R4585">
        <v>32.700000000000003</v>
      </c>
      <c r="S4585">
        <v>25.8</v>
      </c>
      <c r="T4585">
        <v>541</v>
      </c>
      <c r="U4585">
        <v>186</v>
      </c>
      <c r="V4585">
        <v>0</v>
      </c>
      <c r="W4585">
        <v>134</v>
      </c>
      <c r="X4585">
        <v>419</v>
      </c>
      <c r="Y4585">
        <v>0</v>
      </c>
      <c r="Z4585">
        <v>109</v>
      </c>
      <c r="AA4585">
        <v>0</v>
      </c>
      <c r="AB4585">
        <v>0.42588900000000002</v>
      </c>
      <c r="AC4585">
        <v>2.151125</v>
      </c>
      <c r="AD4585">
        <v>1.9961249999999999</v>
      </c>
      <c r="AE4585">
        <v>0.72227790000000003</v>
      </c>
      <c r="AF4585">
        <v>186.61080000000001</v>
      </c>
      <c r="AG4585">
        <f>IFERROR(AH4585*0.1, "N/A")</f>
        <v>5.8192890000000004</v>
      </c>
      <c r="AH4585">
        <v>58.192889999999998</v>
      </c>
      <c r="AI4585">
        <v>229.1439</v>
      </c>
      <c r="AJ4585">
        <v>4</v>
      </c>
      <c r="AK4585">
        <v>91</v>
      </c>
    </row>
    <row r="4586" spans="1:37" x14ac:dyDescent="0.3">
      <c r="A4586">
        <v>4585</v>
      </c>
      <c r="B4586">
        <v>7.7</v>
      </c>
      <c r="C4586">
        <v>8.3722600000000007</v>
      </c>
      <c r="D4586">
        <v>13.123100000000001</v>
      </c>
      <c r="E4586" t="s">
        <v>7246</v>
      </c>
      <c r="F4586" t="s">
        <v>7247</v>
      </c>
      <c r="G4586" t="s">
        <v>39</v>
      </c>
      <c r="H4586">
        <v>0</v>
      </c>
      <c r="I4586">
        <v>26.6</v>
      </c>
      <c r="J4586">
        <v>14.8</v>
      </c>
      <c r="K4586">
        <v>56</v>
      </c>
      <c r="L4586">
        <v>30.74</v>
      </c>
      <c r="M4586">
        <v>38.799999999999997</v>
      </c>
      <c r="N4586">
        <v>12.7</v>
      </c>
      <c r="O4586">
        <v>26.1</v>
      </c>
      <c r="P4586">
        <v>26.5</v>
      </c>
      <c r="Q4586">
        <v>22.7</v>
      </c>
      <c r="R4586">
        <v>30.6</v>
      </c>
      <c r="S4586">
        <v>22.3</v>
      </c>
      <c r="T4586">
        <v>475</v>
      </c>
      <c r="U4586">
        <v>170</v>
      </c>
      <c r="V4586">
        <v>0</v>
      </c>
      <c r="W4586">
        <v>144</v>
      </c>
      <c r="X4586">
        <v>387</v>
      </c>
      <c r="Y4586">
        <v>0</v>
      </c>
      <c r="Z4586">
        <v>79</v>
      </c>
      <c r="AA4586">
        <v>0</v>
      </c>
      <c r="AB4586">
        <v>1.9600979999999999</v>
      </c>
      <c r="AC4586">
        <v>1.3617570000000001E-2</v>
      </c>
      <c r="AD4586">
        <v>1.2645949999999999</v>
      </c>
      <c r="AE4586">
        <v>0.71704950000000001</v>
      </c>
      <c r="AF4586">
        <v>468.46350000000001</v>
      </c>
      <c r="AG4586">
        <f>IFERROR(AH4586*0.1, "N/A")</f>
        <v>7.3000000000000007</v>
      </c>
      <c r="AH4586">
        <v>73</v>
      </c>
      <c r="AI4586">
        <v>259.28289999999998</v>
      </c>
      <c r="AJ4586">
        <v>14</v>
      </c>
      <c r="AK4586">
        <v>71</v>
      </c>
    </row>
    <row r="4587" spans="1:37" x14ac:dyDescent="0.3">
      <c r="A4587">
        <v>4586</v>
      </c>
      <c r="B4587">
        <v>0</v>
      </c>
      <c r="C4587">
        <v>8.3722600000000007</v>
      </c>
      <c r="D4587">
        <v>13.123100000000001</v>
      </c>
      <c r="E4587" t="s">
        <v>7246</v>
      </c>
      <c r="F4587" t="s">
        <v>7248</v>
      </c>
      <c r="G4587" t="s">
        <v>37</v>
      </c>
      <c r="H4587">
        <v>0</v>
      </c>
      <c r="I4587">
        <v>26.6</v>
      </c>
      <c r="J4587">
        <v>14.8</v>
      </c>
      <c r="K4587">
        <v>56</v>
      </c>
      <c r="L4587">
        <v>30.74</v>
      </c>
      <c r="M4587">
        <v>38.799999999999997</v>
      </c>
      <c r="N4587">
        <v>12.7</v>
      </c>
      <c r="O4587">
        <v>26.1</v>
      </c>
      <c r="P4587">
        <v>26.5</v>
      </c>
      <c r="Q4587">
        <v>22.7</v>
      </c>
      <c r="R4587">
        <v>30.6</v>
      </c>
      <c r="S4587">
        <v>22.3</v>
      </c>
      <c r="T4587">
        <v>475</v>
      </c>
      <c r="U4587">
        <v>170</v>
      </c>
      <c r="V4587">
        <v>0</v>
      </c>
      <c r="W4587">
        <v>144</v>
      </c>
      <c r="X4587">
        <v>387</v>
      </c>
      <c r="Y4587">
        <v>0</v>
      </c>
      <c r="Z4587">
        <v>79</v>
      </c>
      <c r="AA4587">
        <v>0</v>
      </c>
      <c r="AB4587">
        <v>1.9600979999999999</v>
      </c>
      <c r="AC4587">
        <v>1.3617570000000001E-2</v>
      </c>
      <c r="AD4587">
        <v>1.2645949999999999</v>
      </c>
      <c r="AE4587">
        <v>0.71704950000000001</v>
      </c>
      <c r="AF4587">
        <v>468.46350000000001</v>
      </c>
      <c r="AG4587">
        <f>IFERROR(AH4587*0.1, "N/A")</f>
        <v>7.3000000000000007</v>
      </c>
      <c r="AH4587">
        <v>73</v>
      </c>
      <c r="AI4587">
        <v>259.28289999999998</v>
      </c>
      <c r="AJ4587">
        <v>14</v>
      </c>
      <c r="AK4587">
        <v>71</v>
      </c>
    </row>
    <row r="4588" spans="1:37" x14ac:dyDescent="0.3">
      <c r="A4588">
        <v>4587</v>
      </c>
      <c r="B4588">
        <v>0</v>
      </c>
      <c r="C4588">
        <v>2.8388900000000001</v>
      </c>
      <c r="D4588">
        <v>13.127800000000001</v>
      </c>
      <c r="E4588" t="s">
        <v>7249</v>
      </c>
      <c r="F4588" t="s">
        <v>7250</v>
      </c>
      <c r="G4588" t="s">
        <v>39</v>
      </c>
      <c r="H4588">
        <v>0</v>
      </c>
      <c r="I4588">
        <v>29.1</v>
      </c>
      <c r="J4588">
        <v>13.8</v>
      </c>
      <c r="K4588">
        <v>57</v>
      </c>
      <c r="L4588">
        <v>27.32</v>
      </c>
      <c r="M4588">
        <v>40.799999999999997</v>
      </c>
      <c r="N4588">
        <v>16.600000000000001</v>
      </c>
      <c r="O4588">
        <v>24.2</v>
      </c>
      <c r="P4588">
        <v>28.2</v>
      </c>
      <c r="Q4588">
        <v>27.7</v>
      </c>
      <c r="R4588">
        <v>32.700000000000003</v>
      </c>
      <c r="S4588">
        <v>25.7</v>
      </c>
      <c r="T4588">
        <v>532</v>
      </c>
      <c r="U4588">
        <v>185</v>
      </c>
      <c r="V4588">
        <v>0</v>
      </c>
      <c r="W4588">
        <v>137</v>
      </c>
      <c r="X4588">
        <v>417</v>
      </c>
      <c r="Y4588">
        <v>0</v>
      </c>
      <c r="Z4588">
        <v>104</v>
      </c>
      <c r="AA4588">
        <v>0</v>
      </c>
      <c r="AB4588">
        <v>1.3186739999999999</v>
      </c>
      <c r="AC4588">
        <v>0.32432470000000002</v>
      </c>
      <c r="AD4588">
        <v>1.092597</v>
      </c>
      <c r="AE4588">
        <v>0.71683509999999995</v>
      </c>
      <c r="AF4588">
        <v>191.55350000000001</v>
      </c>
      <c r="AG4588">
        <f>IFERROR(AH4588*0.1, "N/A")</f>
        <v>5.3570460000000004</v>
      </c>
      <c r="AH4588">
        <v>53.570459999999997</v>
      </c>
      <c r="AI4588">
        <v>235.1405</v>
      </c>
      <c r="AJ4588">
        <v>5.2292019999999999</v>
      </c>
      <c r="AK4588">
        <v>88</v>
      </c>
    </row>
    <row r="4589" spans="1:37" x14ac:dyDescent="0.3">
      <c r="A4589">
        <v>4588</v>
      </c>
      <c r="B4589">
        <v>29</v>
      </c>
      <c r="C4589">
        <v>1.72963</v>
      </c>
      <c r="D4589">
        <v>13.1287</v>
      </c>
      <c r="E4589" t="s">
        <v>7251</v>
      </c>
      <c r="F4589" t="s">
        <v>7252</v>
      </c>
      <c r="G4589" t="s">
        <v>39</v>
      </c>
      <c r="H4589">
        <v>0</v>
      </c>
      <c r="I4589">
        <v>28.9</v>
      </c>
      <c r="J4589">
        <v>14.3</v>
      </c>
      <c r="K4589">
        <v>57</v>
      </c>
      <c r="L4589">
        <v>27.27</v>
      </c>
      <c r="M4589">
        <v>40.799999999999997</v>
      </c>
      <c r="N4589">
        <v>15.8</v>
      </c>
      <c r="O4589">
        <v>25</v>
      </c>
      <c r="P4589">
        <v>27.9</v>
      </c>
      <c r="Q4589">
        <v>25.8</v>
      </c>
      <c r="R4589">
        <v>32.5</v>
      </c>
      <c r="S4589">
        <v>25.6</v>
      </c>
      <c r="T4589">
        <v>545</v>
      </c>
      <c r="U4589">
        <v>164</v>
      </c>
      <c r="V4589">
        <v>0</v>
      </c>
      <c r="W4589">
        <v>128</v>
      </c>
      <c r="X4589">
        <v>404</v>
      </c>
      <c r="Y4589">
        <v>0</v>
      </c>
      <c r="Z4589">
        <v>129</v>
      </c>
      <c r="AA4589">
        <v>0</v>
      </c>
      <c r="AB4589">
        <v>7.6006780000000003</v>
      </c>
      <c r="AC4589">
        <v>8.7671079999999992E-3</v>
      </c>
      <c r="AD4589">
        <v>1.680758</v>
      </c>
      <c r="AE4589">
        <v>0.68458870000000005</v>
      </c>
      <c r="AF4589">
        <v>220.55179999999999</v>
      </c>
      <c r="AG4589">
        <f>IFERROR(AH4589*0.1, "N/A")</f>
        <v>5.6200340000000004</v>
      </c>
      <c r="AH4589">
        <v>56.200339999999997</v>
      </c>
      <c r="AI4589">
        <v>274.14030000000002</v>
      </c>
      <c r="AJ4589">
        <v>13.969440000000001</v>
      </c>
      <c r="AK4589">
        <v>73.045839999999998</v>
      </c>
    </row>
    <row r="4590" spans="1:37" x14ac:dyDescent="0.3">
      <c r="A4590">
        <v>4589</v>
      </c>
      <c r="B4590">
        <v>44</v>
      </c>
      <c r="C4590">
        <v>1.9441999999999999</v>
      </c>
      <c r="D4590">
        <v>13.1355</v>
      </c>
      <c r="E4590" t="s">
        <v>7253</v>
      </c>
      <c r="F4590" t="s">
        <v>7254</v>
      </c>
      <c r="G4590" t="s">
        <v>39</v>
      </c>
      <c r="H4590">
        <v>0</v>
      </c>
      <c r="I4590">
        <v>29.1</v>
      </c>
      <c r="J4590">
        <v>14.3</v>
      </c>
      <c r="K4590">
        <v>56</v>
      </c>
      <c r="L4590">
        <v>27.57</v>
      </c>
      <c r="M4590">
        <v>41</v>
      </c>
      <c r="N4590">
        <v>15.9</v>
      </c>
      <c r="O4590">
        <v>25.1</v>
      </c>
      <c r="P4590">
        <v>28.1</v>
      </c>
      <c r="Q4590">
        <v>25.8</v>
      </c>
      <c r="R4590">
        <v>32.6</v>
      </c>
      <c r="S4590">
        <v>25.6</v>
      </c>
      <c r="T4590">
        <v>549</v>
      </c>
      <c r="U4590">
        <v>171</v>
      </c>
      <c r="V4590">
        <v>0</v>
      </c>
      <c r="W4590">
        <v>130</v>
      </c>
      <c r="X4590">
        <v>411</v>
      </c>
      <c r="Y4590">
        <v>0</v>
      </c>
      <c r="Z4590">
        <v>124</v>
      </c>
      <c r="AA4590">
        <v>0</v>
      </c>
      <c r="AB4590">
        <v>5.8624320000000001</v>
      </c>
      <c r="AC4590">
        <v>1.538871E-2</v>
      </c>
      <c r="AD4590">
        <v>2.4311690000000001</v>
      </c>
      <c r="AE4590">
        <v>0.67505780000000004</v>
      </c>
      <c r="AF4590">
        <v>209.02029999999999</v>
      </c>
      <c r="AG4590">
        <f>IFERROR(AH4590*0.1, "N/A")</f>
        <v>5.4565140000000003</v>
      </c>
      <c r="AH4590">
        <v>54.56514</v>
      </c>
      <c r="AI4590">
        <v>123.2764</v>
      </c>
      <c r="AJ4590">
        <v>9.717428</v>
      </c>
      <c r="AK4590">
        <v>73.260580000000004</v>
      </c>
    </row>
    <row r="4591" spans="1:37" x14ac:dyDescent="0.3">
      <c r="A4591">
        <v>4590</v>
      </c>
      <c r="B4591">
        <v>0</v>
      </c>
      <c r="C4591">
        <v>3.4402699999999999</v>
      </c>
      <c r="D4591">
        <v>13.1425</v>
      </c>
      <c r="E4591" t="s">
        <v>7255</v>
      </c>
      <c r="F4591" t="s">
        <v>7256</v>
      </c>
      <c r="G4591" t="s">
        <v>39</v>
      </c>
      <c r="H4591">
        <v>0</v>
      </c>
      <c r="I4591">
        <v>28.8</v>
      </c>
      <c r="J4591">
        <v>13.6</v>
      </c>
      <c r="K4591">
        <v>57</v>
      </c>
      <c r="L4591">
        <v>26.57</v>
      </c>
      <c r="M4591">
        <v>40.4</v>
      </c>
      <c r="N4591">
        <v>16.8</v>
      </c>
      <c r="O4591">
        <v>23.6</v>
      </c>
      <c r="P4591">
        <v>27.9</v>
      </c>
      <c r="Q4591">
        <v>25.8</v>
      </c>
      <c r="R4591">
        <v>32.4</v>
      </c>
      <c r="S4591">
        <v>25.6</v>
      </c>
      <c r="T4591">
        <v>513</v>
      </c>
      <c r="U4591">
        <v>170</v>
      </c>
      <c r="V4591">
        <v>0</v>
      </c>
      <c r="W4591">
        <v>134</v>
      </c>
      <c r="X4591">
        <v>395</v>
      </c>
      <c r="Y4591">
        <v>0</v>
      </c>
      <c r="Z4591">
        <v>107</v>
      </c>
      <c r="AA4591">
        <v>0</v>
      </c>
      <c r="AB4591">
        <v>5.206423</v>
      </c>
      <c r="AC4591">
        <v>8.7833960000000003E-2</v>
      </c>
      <c r="AD4591">
        <v>1.4958370000000001</v>
      </c>
      <c r="AE4591">
        <v>0.69528100000000004</v>
      </c>
      <c r="AF4591">
        <v>240.2876</v>
      </c>
      <c r="AG4591">
        <f>IFERROR(AH4591*0.1, "N/A")</f>
        <v>5.6725890000000003</v>
      </c>
      <c r="AH4591">
        <v>56.72589</v>
      </c>
      <c r="AI4591">
        <v>177.59549999999999</v>
      </c>
      <c r="AJ4591">
        <v>5.9441620000000004</v>
      </c>
      <c r="AK4591">
        <v>84</v>
      </c>
    </row>
    <row r="4592" spans="1:37" x14ac:dyDescent="0.3">
      <c r="A4592">
        <v>4591</v>
      </c>
      <c r="B4592">
        <v>0</v>
      </c>
      <c r="C4592">
        <v>3.4402699999999999</v>
      </c>
      <c r="D4592">
        <v>13.1425</v>
      </c>
      <c r="E4592" t="s">
        <v>7255</v>
      </c>
      <c r="F4592" t="s">
        <v>7257</v>
      </c>
      <c r="G4592" t="s">
        <v>37</v>
      </c>
      <c r="H4592">
        <v>0</v>
      </c>
      <c r="I4592">
        <v>28.8</v>
      </c>
      <c r="J4592">
        <v>13.6</v>
      </c>
      <c r="K4592">
        <v>57</v>
      </c>
      <c r="L4592">
        <v>26.57</v>
      </c>
      <c r="M4592">
        <v>40.4</v>
      </c>
      <c r="N4592">
        <v>16.8</v>
      </c>
      <c r="O4592">
        <v>23.6</v>
      </c>
      <c r="P4592">
        <v>27.9</v>
      </c>
      <c r="Q4592">
        <v>25.8</v>
      </c>
      <c r="R4592">
        <v>32.4</v>
      </c>
      <c r="S4592">
        <v>25.6</v>
      </c>
      <c r="T4592">
        <v>513</v>
      </c>
      <c r="U4592">
        <v>170</v>
      </c>
      <c r="V4592">
        <v>0</v>
      </c>
      <c r="W4592">
        <v>134</v>
      </c>
      <c r="X4592">
        <v>395</v>
      </c>
      <c r="Y4592">
        <v>0</v>
      </c>
      <c r="Z4592">
        <v>107</v>
      </c>
      <c r="AA4592">
        <v>0</v>
      </c>
      <c r="AB4592">
        <v>5.206423</v>
      </c>
      <c r="AC4592">
        <v>8.7833960000000003E-2</v>
      </c>
      <c r="AD4592">
        <v>1.4958370000000001</v>
      </c>
      <c r="AE4592">
        <v>0.69528100000000004</v>
      </c>
      <c r="AF4592">
        <v>240.2876</v>
      </c>
      <c r="AG4592">
        <f>IFERROR(AH4592*0.1, "N/A")</f>
        <v>5.6725890000000003</v>
      </c>
      <c r="AH4592">
        <v>56.72589</v>
      </c>
      <c r="AI4592">
        <v>177.59549999999999</v>
      </c>
      <c r="AJ4592">
        <v>5.9441620000000004</v>
      </c>
      <c r="AK4592">
        <v>84</v>
      </c>
    </row>
    <row r="4593" spans="1:37" x14ac:dyDescent="0.3">
      <c r="A4593">
        <v>4592</v>
      </c>
      <c r="B4593">
        <v>67.5</v>
      </c>
      <c r="C4593">
        <v>2.35582</v>
      </c>
      <c r="D4593">
        <v>13.1493</v>
      </c>
      <c r="E4593" t="s">
        <v>7258</v>
      </c>
      <c r="F4593" t="s">
        <v>7259</v>
      </c>
      <c r="G4593" t="s">
        <v>39</v>
      </c>
      <c r="H4593">
        <v>0</v>
      </c>
      <c r="I4593">
        <v>29.2</v>
      </c>
      <c r="J4593">
        <v>14.1</v>
      </c>
      <c r="K4593">
        <v>56</v>
      </c>
      <c r="L4593">
        <v>28.38</v>
      </c>
      <c r="M4593">
        <v>41.1</v>
      </c>
      <c r="N4593">
        <v>16.2</v>
      </c>
      <c r="O4593">
        <v>24.9</v>
      </c>
      <c r="P4593">
        <v>28.3</v>
      </c>
      <c r="Q4593">
        <v>25.9</v>
      </c>
      <c r="R4593">
        <v>32.9</v>
      </c>
      <c r="S4593">
        <v>25.6</v>
      </c>
      <c r="T4593">
        <v>553</v>
      </c>
      <c r="U4593">
        <v>169</v>
      </c>
      <c r="V4593">
        <v>0</v>
      </c>
      <c r="W4593">
        <v>129</v>
      </c>
      <c r="X4593">
        <v>419</v>
      </c>
      <c r="Y4593">
        <v>0</v>
      </c>
      <c r="Z4593">
        <v>121</v>
      </c>
      <c r="AA4593">
        <v>0</v>
      </c>
      <c r="AB4593">
        <v>0.48920429999999998</v>
      </c>
      <c r="AC4593">
        <v>2.4520630000000002E-2</v>
      </c>
      <c r="AD4593">
        <v>1.0951599999999999</v>
      </c>
      <c r="AE4593">
        <v>0.60641009999999995</v>
      </c>
      <c r="AF4593">
        <v>176.78919999999999</v>
      </c>
      <c r="AG4593">
        <f>IFERROR(AH4593*0.1, "N/A")</f>
        <v>5.9686340000000007</v>
      </c>
      <c r="AH4593">
        <v>59.686340000000001</v>
      </c>
      <c r="AI4593">
        <v>160.4873</v>
      </c>
      <c r="AJ4593">
        <v>13.183809999999999</v>
      </c>
      <c r="AK4593">
        <v>69.99494</v>
      </c>
    </row>
    <row r="4594" spans="1:37" x14ac:dyDescent="0.3">
      <c r="A4594">
        <v>4593</v>
      </c>
      <c r="B4594">
        <v>89</v>
      </c>
      <c r="C4594">
        <v>2.3691</v>
      </c>
      <c r="D4594">
        <v>13.158200000000001</v>
      </c>
      <c r="E4594" t="s">
        <v>7260</v>
      </c>
      <c r="F4594" t="s">
        <v>7261</v>
      </c>
      <c r="G4594" t="s">
        <v>39</v>
      </c>
      <c r="H4594">
        <v>0</v>
      </c>
      <c r="I4594">
        <v>29.2</v>
      </c>
      <c r="J4594">
        <v>14.1</v>
      </c>
      <c r="K4594">
        <v>56</v>
      </c>
      <c r="L4594">
        <v>28.373429999999999</v>
      </c>
      <c r="M4594">
        <v>41.1</v>
      </c>
      <c r="N4594">
        <v>16.17428</v>
      </c>
      <c r="O4594">
        <v>24.925719999999998</v>
      </c>
      <c r="P4594">
        <v>28.32572</v>
      </c>
      <c r="Q4594">
        <v>25.9</v>
      </c>
      <c r="R4594">
        <v>32.9</v>
      </c>
      <c r="S4594">
        <v>25.574280000000002</v>
      </c>
      <c r="T4594">
        <v>550.48559999999998</v>
      </c>
      <c r="U4594">
        <v>168.74279999999999</v>
      </c>
      <c r="V4594">
        <v>0</v>
      </c>
      <c r="W4594">
        <v>131</v>
      </c>
      <c r="X4594">
        <v>416.74279999999999</v>
      </c>
      <c r="Y4594">
        <v>0</v>
      </c>
      <c r="Z4594">
        <v>120.7428</v>
      </c>
      <c r="AA4594">
        <v>0</v>
      </c>
      <c r="AB4594">
        <v>3.2402700000000002</v>
      </c>
      <c r="AC4594">
        <v>5.8984590000000003E-2</v>
      </c>
      <c r="AD4594">
        <v>2.0120420000000001</v>
      </c>
      <c r="AE4594">
        <v>0.49253209999999997</v>
      </c>
      <c r="AF4594">
        <v>176.39760000000001</v>
      </c>
      <c r="AG4594">
        <f>IFERROR(AH4594*0.1, "N/A")</f>
        <v>5.7123220000000003</v>
      </c>
      <c r="AH4594">
        <v>57.123220000000003</v>
      </c>
      <c r="AI4594">
        <v>295.85899999999998</v>
      </c>
      <c r="AJ4594">
        <v>28.938389999999998</v>
      </c>
      <c r="AK4594">
        <v>49.184829999999998</v>
      </c>
    </row>
    <row r="4595" spans="1:37" x14ac:dyDescent="0.3">
      <c r="A4595">
        <v>4594</v>
      </c>
      <c r="B4595">
        <v>30.5</v>
      </c>
      <c r="C4595">
        <v>2.34152</v>
      </c>
      <c r="D4595">
        <v>13.161099999999999</v>
      </c>
      <c r="E4595" t="s">
        <v>7262</v>
      </c>
      <c r="F4595" t="s">
        <v>7263</v>
      </c>
      <c r="G4595" t="s">
        <v>39</v>
      </c>
      <c r="H4595">
        <v>0</v>
      </c>
      <c r="I4595">
        <v>29</v>
      </c>
      <c r="J4595">
        <v>14.1</v>
      </c>
      <c r="K4595">
        <v>56</v>
      </c>
      <c r="L4595">
        <v>28.29392</v>
      </c>
      <c r="M4595">
        <v>40.9</v>
      </c>
      <c r="N4595">
        <v>16</v>
      </c>
      <c r="O4595">
        <v>24.9</v>
      </c>
      <c r="P4595">
        <v>28.1</v>
      </c>
      <c r="Q4595">
        <v>25.7</v>
      </c>
      <c r="R4595">
        <v>32.700000000000003</v>
      </c>
      <c r="S4595">
        <v>25.4</v>
      </c>
      <c r="T4595">
        <v>555</v>
      </c>
      <c r="U4595">
        <v>170</v>
      </c>
      <c r="V4595">
        <v>0</v>
      </c>
      <c r="W4595">
        <v>129</v>
      </c>
      <c r="X4595">
        <v>420</v>
      </c>
      <c r="Y4595">
        <v>0</v>
      </c>
      <c r="Z4595">
        <v>122</v>
      </c>
      <c r="AA4595">
        <v>0</v>
      </c>
      <c r="AB4595">
        <v>21.027370000000001</v>
      </c>
      <c r="AC4595">
        <v>1.555812E-2</v>
      </c>
      <c r="AD4595">
        <v>1.295229</v>
      </c>
      <c r="AE4595">
        <v>0.67560010000000004</v>
      </c>
      <c r="AF4595">
        <v>212.15369999999999</v>
      </c>
      <c r="AG4595">
        <f>IFERROR(AH4595*0.1, "N/A")</f>
        <v>5.6000000000000005</v>
      </c>
      <c r="AH4595">
        <v>56</v>
      </c>
      <c r="AI4595">
        <v>263.21710000000002</v>
      </c>
      <c r="AJ4595">
        <v>8.1993240000000007</v>
      </c>
      <c r="AK4595">
        <v>81</v>
      </c>
    </row>
    <row r="4596" spans="1:37" x14ac:dyDescent="0.3">
      <c r="A4596">
        <v>4595</v>
      </c>
      <c r="B4596">
        <v>72.5</v>
      </c>
      <c r="C4596">
        <v>2.3437999999999999</v>
      </c>
      <c r="D4596">
        <v>13.1958</v>
      </c>
      <c r="E4596" t="s">
        <v>7264</v>
      </c>
      <c r="F4596" t="s">
        <v>7265</v>
      </c>
      <c r="G4596" t="s">
        <v>39</v>
      </c>
      <c r="H4596">
        <v>0</v>
      </c>
      <c r="I4596">
        <v>29.1</v>
      </c>
      <c r="J4596">
        <v>14.1</v>
      </c>
      <c r="K4596">
        <v>56</v>
      </c>
      <c r="L4596">
        <v>28.66</v>
      </c>
      <c r="M4596">
        <v>41</v>
      </c>
      <c r="N4596">
        <v>15.9</v>
      </c>
      <c r="O4596">
        <v>25.1</v>
      </c>
      <c r="P4596">
        <v>28.2</v>
      </c>
      <c r="Q4596">
        <v>25.8</v>
      </c>
      <c r="R4596">
        <v>32.799999999999997</v>
      </c>
      <c r="S4596">
        <v>25.4</v>
      </c>
      <c r="T4596">
        <v>548</v>
      </c>
      <c r="U4596">
        <v>168</v>
      </c>
      <c r="V4596">
        <v>0</v>
      </c>
      <c r="W4596">
        <v>131</v>
      </c>
      <c r="X4596">
        <v>415</v>
      </c>
      <c r="Y4596">
        <v>0</v>
      </c>
      <c r="Z4596">
        <v>120</v>
      </c>
      <c r="AA4596">
        <v>0</v>
      </c>
      <c r="AB4596">
        <v>27.183579999999999</v>
      </c>
      <c r="AC4596">
        <v>6.2794039999999995E-2</v>
      </c>
      <c r="AD4596">
        <v>1.0349900000000001</v>
      </c>
      <c r="AE4596">
        <v>0.683948</v>
      </c>
      <c r="AF4596">
        <v>203.33160000000001</v>
      </c>
      <c r="AG4596">
        <f>IFERROR(AH4596*0.1, "N/A")</f>
        <v>5.708799</v>
      </c>
      <c r="AH4596">
        <v>57.087989999999998</v>
      </c>
      <c r="AI4596">
        <v>103.8627</v>
      </c>
      <c r="AJ4596">
        <v>9.9153979999999997</v>
      </c>
      <c r="AK4596">
        <v>79.561760000000007</v>
      </c>
    </row>
    <row r="4597" spans="1:37" x14ac:dyDescent="0.3">
      <c r="A4597">
        <v>4596</v>
      </c>
      <c r="B4597">
        <v>0</v>
      </c>
      <c r="C4597">
        <v>8.3325200000000006</v>
      </c>
      <c r="D4597">
        <v>13.2</v>
      </c>
      <c r="E4597" t="s">
        <v>7266</v>
      </c>
      <c r="F4597" t="s">
        <v>7267</v>
      </c>
      <c r="G4597" t="s">
        <v>39</v>
      </c>
      <c r="H4597">
        <v>0</v>
      </c>
      <c r="I4597">
        <v>26.8</v>
      </c>
      <c r="J4597">
        <v>14.8</v>
      </c>
      <c r="K4597">
        <v>56.64237</v>
      </c>
      <c r="L4597">
        <v>30.672910000000002</v>
      </c>
      <c r="M4597">
        <v>39</v>
      </c>
      <c r="N4597">
        <v>13.06424</v>
      </c>
      <c r="O4597">
        <v>25.935759999999998</v>
      </c>
      <c r="P4597">
        <v>26.7</v>
      </c>
      <c r="Q4597">
        <v>22.9</v>
      </c>
      <c r="R4597">
        <v>30.8</v>
      </c>
      <c r="S4597">
        <v>22.6</v>
      </c>
      <c r="T4597">
        <v>455.71530000000001</v>
      </c>
      <c r="U4597">
        <v>165</v>
      </c>
      <c r="V4597">
        <v>0</v>
      </c>
      <c r="W4597">
        <v>144.9271</v>
      </c>
      <c r="X4597">
        <v>372.71530000000001</v>
      </c>
      <c r="Y4597">
        <v>0</v>
      </c>
      <c r="Z4597">
        <v>75</v>
      </c>
      <c r="AA4597">
        <v>0</v>
      </c>
      <c r="AB4597">
        <v>4.407114</v>
      </c>
      <c r="AC4597">
        <v>1.6793720000000002E-2</v>
      </c>
      <c r="AD4597">
        <v>1.2463169999999999</v>
      </c>
      <c r="AE4597">
        <v>0.74940410000000002</v>
      </c>
      <c r="AF4597">
        <v>450.16269999999997</v>
      </c>
      <c r="AG4597">
        <f>IFERROR(AH4597*0.1, "N/A")</f>
        <v>6.4</v>
      </c>
      <c r="AH4597">
        <v>64</v>
      </c>
      <c r="AI4597">
        <v>148.09700000000001</v>
      </c>
      <c r="AJ4597">
        <v>16</v>
      </c>
      <c r="AK4597">
        <v>70</v>
      </c>
    </row>
    <row r="4598" spans="1:37" x14ac:dyDescent="0.3">
      <c r="A4598">
        <v>4597</v>
      </c>
      <c r="B4598">
        <v>0</v>
      </c>
      <c r="C4598">
        <v>8.3325200000000006</v>
      </c>
      <c r="D4598">
        <v>13.2</v>
      </c>
      <c r="E4598" t="s">
        <v>7266</v>
      </c>
      <c r="F4598" t="s">
        <v>7268</v>
      </c>
      <c r="G4598" t="s">
        <v>37</v>
      </c>
      <c r="H4598">
        <v>0</v>
      </c>
      <c r="I4598">
        <v>26.8</v>
      </c>
      <c r="J4598">
        <v>14.8</v>
      </c>
      <c r="K4598">
        <v>56.64237</v>
      </c>
      <c r="L4598">
        <v>30.672910000000002</v>
      </c>
      <c r="M4598">
        <v>39</v>
      </c>
      <c r="N4598">
        <v>13.06424</v>
      </c>
      <c r="O4598">
        <v>25.935759999999998</v>
      </c>
      <c r="P4598">
        <v>26.7</v>
      </c>
      <c r="Q4598">
        <v>22.9</v>
      </c>
      <c r="R4598">
        <v>30.8</v>
      </c>
      <c r="S4598">
        <v>22.6</v>
      </c>
      <c r="T4598">
        <v>455.71530000000001</v>
      </c>
      <c r="U4598">
        <v>165</v>
      </c>
      <c r="V4598">
        <v>0</v>
      </c>
      <c r="W4598">
        <v>144.9271</v>
      </c>
      <c r="X4598">
        <v>372.71530000000001</v>
      </c>
      <c r="Y4598">
        <v>0</v>
      </c>
      <c r="Z4598">
        <v>75</v>
      </c>
      <c r="AA4598">
        <v>0</v>
      </c>
      <c r="AB4598">
        <v>4.407114</v>
      </c>
      <c r="AC4598">
        <v>1.6793720000000002E-2</v>
      </c>
      <c r="AD4598">
        <v>1.2463169999999999</v>
      </c>
      <c r="AE4598">
        <v>0.74940410000000002</v>
      </c>
      <c r="AF4598">
        <v>450.16269999999997</v>
      </c>
      <c r="AG4598">
        <f>IFERROR(AH4598*0.1, "N/A")</f>
        <v>6.4</v>
      </c>
      <c r="AH4598">
        <v>64</v>
      </c>
      <c r="AI4598">
        <v>148.09700000000001</v>
      </c>
      <c r="AJ4598">
        <v>16</v>
      </c>
      <c r="AK4598">
        <v>70</v>
      </c>
    </row>
    <row r="4599" spans="1:37" x14ac:dyDescent="0.3">
      <c r="A4599">
        <v>4598</v>
      </c>
      <c r="B4599">
        <v>0</v>
      </c>
      <c r="C4599">
        <v>2.7749999999999999</v>
      </c>
      <c r="D4599">
        <v>13.213900000000001</v>
      </c>
      <c r="E4599" t="s">
        <v>7269</v>
      </c>
      <c r="F4599" t="s">
        <v>7270</v>
      </c>
      <c r="G4599" t="s">
        <v>39</v>
      </c>
      <c r="H4599">
        <v>1985</v>
      </c>
      <c r="I4599">
        <v>28.9</v>
      </c>
      <c r="J4599">
        <v>13.9</v>
      </c>
      <c r="K4599">
        <v>56.601019999999998</v>
      </c>
      <c r="L4599">
        <v>27.535450000000001</v>
      </c>
      <c r="M4599">
        <v>40.639899999999997</v>
      </c>
      <c r="N4599">
        <v>16.3</v>
      </c>
      <c r="O4599">
        <v>24.3399</v>
      </c>
      <c r="P4599">
        <v>28</v>
      </c>
      <c r="Q4599">
        <v>27.360099999999999</v>
      </c>
      <c r="R4599">
        <v>32.639899999999997</v>
      </c>
      <c r="S4599">
        <v>25.460100000000001</v>
      </c>
      <c r="T4599">
        <v>520</v>
      </c>
      <c r="U4599">
        <v>176</v>
      </c>
      <c r="V4599">
        <v>0</v>
      </c>
      <c r="W4599">
        <v>135</v>
      </c>
      <c r="X4599">
        <v>403</v>
      </c>
      <c r="Y4599">
        <v>0</v>
      </c>
      <c r="Z4599">
        <v>107</v>
      </c>
      <c r="AA4599">
        <v>0</v>
      </c>
      <c r="AB4599">
        <v>1.1967779999999999</v>
      </c>
      <c r="AC4599">
        <v>0.53688480000000005</v>
      </c>
      <c r="AD4599">
        <v>1.3455729999999999</v>
      </c>
      <c r="AE4599">
        <v>0.67372299999999996</v>
      </c>
      <c r="AF4599">
        <v>229.46180000000001</v>
      </c>
      <c r="AG4599">
        <f>IFERROR(AH4599*0.1, "N/A")</f>
        <v>5.1371820000000001</v>
      </c>
      <c r="AH4599">
        <v>51.37182</v>
      </c>
      <c r="AI4599">
        <v>186.41909999999999</v>
      </c>
      <c r="AJ4599">
        <v>5</v>
      </c>
      <c r="AK4599">
        <v>85.059420000000003</v>
      </c>
    </row>
    <row r="4600" spans="1:37" x14ac:dyDescent="0.3">
      <c r="A4600">
        <v>4599</v>
      </c>
      <c r="B4600">
        <v>10</v>
      </c>
      <c r="C4600">
        <v>1.8605700000000001</v>
      </c>
      <c r="D4600">
        <v>13.2163</v>
      </c>
      <c r="E4600" t="s">
        <v>7271</v>
      </c>
      <c r="F4600" t="s">
        <v>7272</v>
      </c>
      <c r="G4600" t="s">
        <v>39</v>
      </c>
      <c r="H4600">
        <v>0</v>
      </c>
      <c r="I4600">
        <v>29.008150000000001</v>
      </c>
      <c r="J4600">
        <v>14.308149999999999</v>
      </c>
      <c r="K4600">
        <v>56</v>
      </c>
      <c r="L4600">
        <v>27.88222</v>
      </c>
      <c r="M4600">
        <v>41</v>
      </c>
      <c r="N4600">
        <v>15.7</v>
      </c>
      <c r="O4600">
        <v>25.3</v>
      </c>
      <c r="P4600">
        <v>28.008150000000001</v>
      </c>
      <c r="Q4600">
        <v>25.8</v>
      </c>
      <c r="R4600">
        <v>32.700000000000003</v>
      </c>
      <c r="S4600">
        <v>25.591850000000001</v>
      </c>
      <c r="T4600">
        <v>536.75549999999998</v>
      </c>
      <c r="U4600">
        <v>166</v>
      </c>
      <c r="V4600">
        <v>0</v>
      </c>
      <c r="W4600">
        <v>129</v>
      </c>
      <c r="X4600">
        <v>400.83699999999999</v>
      </c>
      <c r="Y4600">
        <v>0</v>
      </c>
      <c r="Z4600">
        <v>121.91849999999999</v>
      </c>
      <c r="AA4600">
        <v>0</v>
      </c>
      <c r="AB4600">
        <v>9.8825059999999993</v>
      </c>
      <c r="AC4600">
        <v>1.6453760000000001E-2</v>
      </c>
      <c r="AD4600">
        <v>1.4964980000000001</v>
      </c>
      <c r="AE4600">
        <v>0.69603090000000001</v>
      </c>
      <c r="AF4600">
        <v>218.32599999999999</v>
      </c>
      <c r="AG4600">
        <f>IFERROR(AH4600*0.1, "N/A")</f>
        <v>5.5910020000000005</v>
      </c>
      <c r="AH4600">
        <v>55.910020000000003</v>
      </c>
      <c r="AI4600">
        <v>27.663440000000001</v>
      </c>
      <c r="AJ4600">
        <v>12.497450000000001</v>
      </c>
      <c r="AK4600">
        <v>72.34975</v>
      </c>
    </row>
    <row r="4601" spans="1:37" x14ac:dyDescent="0.3">
      <c r="A4601">
        <v>4600</v>
      </c>
      <c r="B4601">
        <v>20</v>
      </c>
      <c r="C4601">
        <v>11.5709</v>
      </c>
      <c r="D4601">
        <v>13.220499999999999</v>
      </c>
      <c r="E4601" t="s">
        <v>7273</v>
      </c>
      <c r="F4601" t="s">
        <v>7274</v>
      </c>
      <c r="G4601" t="s">
        <v>39</v>
      </c>
      <c r="H4601">
        <v>0</v>
      </c>
      <c r="I4601">
        <v>27.3</v>
      </c>
      <c r="J4601">
        <v>15.2</v>
      </c>
      <c r="K4601">
        <v>55</v>
      </c>
      <c r="L4601">
        <v>33.93</v>
      </c>
      <c r="M4601">
        <v>40.1</v>
      </c>
      <c r="N4601">
        <v>12.6</v>
      </c>
      <c r="O4601">
        <v>27.5</v>
      </c>
      <c r="P4601">
        <v>27.6</v>
      </c>
      <c r="Q4601">
        <v>24.6</v>
      </c>
      <c r="R4601">
        <v>31.6</v>
      </c>
      <c r="S4601">
        <v>22.4</v>
      </c>
      <c r="T4601">
        <v>295</v>
      </c>
      <c r="U4601">
        <v>123</v>
      </c>
      <c r="V4601">
        <v>0</v>
      </c>
      <c r="W4601">
        <v>158</v>
      </c>
      <c r="X4601">
        <v>254</v>
      </c>
      <c r="Y4601">
        <v>0</v>
      </c>
      <c r="Z4601">
        <v>35</v>
      </c>
      <c r="AA4601">
        <v>0</v>
      </c>
      <c r="AB4601">
        <v>6.0673950000000003</v>
      </c>
      <c r="AC4601">
        <v>1.603255E-2</v>
      </c>
      <c r="AD4601">
        <v>4.1194259999999998</v>
      </c>
      <c r="AE4601">
        <v>0.66273159999999998</v>
      </c>
      <c r="AF4601">
        <v>335.47469999999998</v>
      </c>
      <c r="AG4601">
        <f>IFERROR(AH4601*0.1, "N/A")</f>
        <v>6.7736490000000007</v>
      </c>
      <c r="AH4601">
        <v>67.736490000000003</v>
      </c>
      <c r="AI4601">
        <v>230.9966</v>
      </c>
      <c r="AJ4601">
        <v>7.2635139999999998</v>
      </c>
      <c r="AK4601">
        <v>86.472970000000004</v>
      </c>
    </row>
    <row r="4602" spans="1:37" x14ac:dyDescent="0.3">
      <c r="A4602">
        <v>4601</v>
      </c>
      <c r="B4602">
        <v>0</v>
      </c>
      <c r="C4602">
        <v>11.5709</v>
      </c>
      <c r="D4602">
        <v>13.220499999999999</v>
      </c>
      <c r="E4602" t="s">
        <v>7273</v>
      </c>
      <c r="F4602" t="s">
        <v>7275</v>
      </c>
      <c r="G4602" t="s">
        <v>37</v>
      </c>
      <c r="H4602">
        <v>0</v>
      </c>
      <c r="I4602">
        <v>27.3</v>
      </c>
      <c r="J4602">
        <v>15.2</v>
      </c>
      <c r="K4602">
        <v>55</v>
      </c>
      <c r="L4602">
        <v>33.93</v>
      </c>
      <c r="M4602">
        <v>40.1</v>
      </c>
      <c r="N4602">
        <v>12.6</v>
      </c>
      <c r="O4602">
        <v>27.5</v>
      </c>
      <c r="P4602">
        <v>27.6</v>
      </c>
      <c r="Q4602">
        <v>24.6</v>
      </c>
      <c r="R4602">
        <v>31.6</v>
      </c>
      <c r="S4602">
        <v>22.4</v>
      </c>
      <c r="T4602">
        <v>295</v>
      </c>
      <c r="U4602">
        <v>123</v>
      </c>
      <c r="V4602">
        <v>0</v>
      </c>
      <c r="W4602">
        <v>158</v>
      </c>
      <c r="X4602">
        <v>254</v>
      </c>
      <c r="Y4602">
        <v>0</v>
      </c>
      <c r="Z4602">
        <v>35</v>
      </c>
      <c r="AA4602">
        <v>0</v>
      </c>
      <c r="AB4602">
        <v>6.0673950000000003</v>
      </c>
      <c r="AC4602">
        <v>1.603255E-2</v>
      </c>
      <c r="AD4602">
        <v>4.1194259999999998</v>
      </c>
      <c r="AE4602">
        <v>0.66273159999999998</v>
      </c>
      <c r="AF4602">
        <v>335.47469999999998</v>
      </c>
      <c r="AG4602">
        <f>IFERROR(AH4602*0.1, "N/A")</f>
        <v>6.7736490000000007</v>
      </c>
      <c r="AH4602">
        <v>67.736490000000003</v>
      </c>
      <c r="AI4602">
        <v>230.9966</v>
      </c>
      <c r="AJ4602">
        <v>7.2635139999999998</v>
      </c>
      <c r="AK4602">
        <v>86.472970000000004</v>
      </c>
    </row>
    <row r="4603" spans="1:37" x14ac:dyDescent="0.3">
      <c r="A4603">
        <v>4602</v>
      </c>
      <c r="B4603">
        <v>0</v>
      </c>
      <c r="C4603">
        <v>6.58162</v>
      </c>
      <c r="D4603">
        <v>13.2227</v>
      </c>
      <c r="E4603" t="s">
        <v>7276</v>
      </c>
      <c r="F4603" t="s">
        <v>7277</v>
      </c>
      <c r="G4603" t="s">
        <v>39</v>
      </c>
      <c r="H4603">
        <v>0</v>
      </c>
      <c r="I4603">
        <v>27.2</v>
      </c>
      <c r="J4603">
        <v>14.5</v>
      </c>
      <c r="K4603">
        <v>56</v>
      </c>
      <c r="L4603">
        <v>29.77</v>
      </c>
      <c r="M4603">
        <v>39.5</v>
      </c>
      <c r="N4603">
        <v>13.8</v>
      </c>
      <c r="O4603">
        <v>25.7</v>
      </c>
      <c r="P4603">
        <v>26.9</v>
      </c>
      <c r="Q4603">
        <v>25.4</v>
      </c>
      <c r="R4603">
        <v>31.2</v>
      </c>
      <c r="S4603">
        <v>23.4</v>
      </c>
      <c r="T4603">
        <v>505</v>
      </c>
      <c r="U4603">
        <v>175</v>
      </c>
      <c r="V4603">
        <v>0</v>
      </c>
      <c r="W4603">
        <v>139</v>
      </c>
      <c r="X4603">
        <v>407</v>
      </c>
      <c r="Y4603">
        <v>0</v>
      </c>
      <c r="Z4603">
        <v>90</v>
      </c>
      <c r="AA4603">
        <v>0</v>
      </c>
      <c r="AB4603">
        <v>1.0086569999999999</v>
      </c>
      <c r="AC4603">
        <v>2.2093350000000001E-2</v>
      </c>
      <c r="AD4603">
        <v>1.1096170000000001</v>
      </c>
      <c r="AE4603">
        <v>0.4966449</v>
      </c>
      <c r="AF4603">
        <v>373.24790000000002</v>
      </c>
      <c r="AG4603">
        <f>IFERROR(AH4603*0.1, "N/A")</f>
        <v>6.0492360000000005</v>
      </c>
      <c r="AH4603">
        <v>60.492359999999998</v>
      </c>
      <c r="AI4603">
        <v>129.0378</v>
      </c>
      <c r="AJ4603">
        <v>13.49236</v>
      </c>
      <c r="AK4603">
        <v>69.339560000000006</v>
      </c>
    </row>
    <row r="4604" spans="1:37" x14ac:dyDescent="0.3">
      <c r="A4604">
        <v>4603</v>
      </c>
      <c r="B4604">
        <v>0</v>
      </c>
      <c r="C4604">
        <v>6.58162</v>
      </c>
      <c r="D4604">
        <v>13.2227</v>
      </c>
      <c r="E4604" t="s">
        <v>7276</v>
      </c>
      <c r="F4604" t="s">
        <v>7278</v>
      </c>
      <c r="G4604" t="s">
        <v>37</v>
      </c>
      <c r="H4604">
        <v>0</v>
      </c>
      <c r="I4604">
        <v>27.2</v>
      </c>
      <c r="J4604">
        <v>14.5</v>
      </c>
      <c r="K4604">
        <v>56</v>
      </c>
      <c r="L4604">
        <v>29.77</v>
      </c>
      <c r="M4604">
        <v>39.5</v>
      </c>
      <c r="N4604">
        <v>13.8</v>
      </c>
      <c r="O4604">
        <v>25.7</v>
      </c>
      <c r="P4604">
        <v>26.9</v>
      </c>
      <c r="Q4604">
        <v>25.4</v>
      </c>
      <c r="R4604">
        <v>31.2</v>
      </c>
      <c r="S4604">
        <v>23.4</v>
      </c>
      <c r="T4604">
        <v>505</v>
      </c>
      <c r="U4604">
        <v>175</v>
      </c>
      <c r="V4604">
        <v>0</v>
      </c>
      <c r="W4604">
        <v>139</v>
      </c>
      <c r="X4604">
        <v>407</v>
      </c>
      <c r="Y4604">
        <v>0</v>
      </c>
      <c r="Z4604">
        <v>90</v>
      </c>
      <c r="AA4604">
        <v>0</v>
      </c>
      <c r="AB4604">
        <v>1.0086569999999999</v>
      </c>
      <c r="AC4604">
        <v>2.2093350000000001E-2</v>
      </c>
      <c r="AD4604">
        <v>1.1096170000000001</v>
      </c>
      <c r="AE4604">
        <v>0.4966449</v>
      </c>
      <c r="AF4604">
        <v>373.24790000000002</v>
      </c>
      <c r="AG4604">
        <f>IFERROR(AH4604*0.1, "N/A")</f>
        <v>6.0492360000000005</v>
      </c>
      <c r="AH4604">
        <v>60.492359999999998</v>
      </c>
      <c r="AI4604">
        <v>129.0378</v>
      </c>
      <c r="AJ4604">
        <v>13.49236</v>
      </c>
      <c r="AK4604">
        <v>69.339560000000006</v>
      </c>
    </row>
    <row r="4605" spans="1:37" x14ac:dyDescent="0.3">
      <c r="A4605">
        <v>4604</v>
      </c>
      <c r="B4605">
        <v>0</v>
      </c>
      <c r="C4605">
        <v>11.2608</v>
      </c>
      <c r="D4605">
        <v>13.2302</v>
      </c>
      <c r="E4605" t="s">
        <v>7279</v>
      </c>
      <c r="F4605" t="s">
        <v>7280</v>
      </c>
      <c r="G4605" t="s">
        <v>39</v>
      </c>
      <c r="H4605">
        <v>0</v>
      </c>
      <c r="I4605">
        <v>27.1</v>
      </c>
      <c r="J4605">
        <v>15.2</v>
      </c>
      <c r="K4605">
        <v>56</v>
      </c>
      <c r="L4605">
        <v>32.700000000000003</v>
      </c>
      <c r="M4605">
        <v>39.700000000000003</v>
      </c>
      <c r="N4605">
        <v>12.6</v>
      </c>
      <c r="O4605">
        <v>27.1</v>
      </c>
      <c r="P4605">
        <v>27.3</v>
      </c>
      <c r="Q4605">
        <v>24.5</v>
      </c>
      <c r="R4605">
        <v>31.2</v>
      </c>
      <c r="S4605">
        <v>22.4</v>
      </c>
      <c r="T4605">
        <v>302</v>
      </c>
      <c r="U4605">
        <v>122</v>
      </c>
      <c r="V4605">
        <v>0</v>
      </c>
      <c r="W4605">
        <v>154</v>
      </c>
      <c r="X4605">
        <v>260</v>
      </c>
      <c r="Y4605">
        <v>0</v>
      </c>
      <c r="Z4605">
        <v>37</v>
      </c>
      <c r="AA4605">
        <v>0</v>
      </c>
      <c r="AB4605">
        <v>4.0813629999999996</v>
      </c>
      <c r="AC4605">
        <v>2.0982770000000001E-2</v>
      </c>
      <c r="AD4605">
        <v>2.2758600000000002</v>
      </c>
      <c r="AE4605">
        <v>0.63659889999999997</v>
      </c>
      <c r="AF4605">
        <v>334.2559</v>
      </c>
      <c r="AG4605">
        <f>IFERROR(AH4605*0.1, "N/A")</f>
        <v>6.7606780000000004</v>
      </c>
      <c r="AH4605">
        <v>67.606780000000001</v>
      </c>
      <c r="AI4605">
        <v>25.782</v>
      </c>
      <c r="AJ4605">
        <v>6.3186439999999999</v>
      </c>
      <c r="AK4605">
        <v>87.681359999999998</v>
      </c>
    </row>
    <row r="4606" spans="1:37" x14ac:dyDescent="0.3">
      <c r="A4606">
        <v>4605</v>
      </c>
      <c r="B4606">
        <v>0</v>
      </c>
      <c r="C4606">
        <v>11.2608</v>
      </c>
      <c r="D4606">
        <v>13.2302</v>
      </c>
      <c r="E4606" t="s">
        <v>7279</v>
      </c>
      <c r="F4606" t="s">
        <v>7281</v>
      </c>
      <c r="G4606" t="s">
        <v>37</v>
      </c>
      <c r="H4606">
        <v>0</v>
      </c>
      <c r="I4606">
        <v>27.1</v>
      </c>
      <c r="J4606">
        <v>15.2</v>
      </c>
      <c r="K4606">
        <v>56</v>
      </c>
      <c r="L4606">
        <v>32.700000000000003</v>
      </c>
      <c r="M4606">
        <v>39.700000000000003</v>
      </c>
      <c r="N4606">
        <v>12.6</v>
      </c>
      <c r="O4606">
        <v>27.1</v>
      </c>
      <c r="P4606">
        <v>27.3</v>
      </c>
      <c r="Q4606">
        <v>24.5</v>
      </c>
      <c r="R4606">
        <v>31.2</v>
      </c>
      <c r="S4606">
        <v>22.4</v>
      </c>
      <c r="T4606">
        <v>302</v>
      </c>
      <c r="U4606">
        <v>122</v>
      </c>
      <c r="V4606">
        <v>0</v>
      </c>
      <c r="W4606">
        <v>154</v>
      </c>
      <c r="X4606">
        <v>260</v>
      </c>
      <c r="Y4606">
        <v>0</v>
      </c>
      <c r="Z4606">
        <v>37</v>
      </c>
      <c r="AA4606">
        <v>0</v>
      </c>
      <c r="AB4606">
        <v>4.0813629999999996</v>
      </c>
      <c r="AC4606">
        <v>2.0982770000000001E-2</v>
      </c>
      <c r="AD4606">
        <v>2.2758600000000002</v>
      </c>
      <c r="AE4606">
        <v>0.63659889999999997</v>
      </c>
      <c r="AF4606">
        <v>334.2559</v>
      </c>
      <c r="AG4606">
        <f>IFERROR(AH4606*0.1, "N/A")</f>
        <v>6.7606780000000004</v>
      </c>
      <c r="AH4606">
        <v>67.606780000000001</v>
      </c>
      <c r="AI4606">
        <v>25.782</v>
      </c>
      <c r="AJ4606">
        <v>6.3186439999999999</v>
      </c>
      <c r="AK4606">
        <v>87.681359999999998</v>
      </c>
    </row>
    <row r="4607" spans="1:37" x14ac:dyDescent="0.3">
      <c r="A4607">
        <v>4606</v>
      </c>
      <c r="B4607">
        <v>0</v>
      </c>
      <c r="C4607">
        <v>11.5916</v>
      </c>
      <c r="D4607">
        <v>13.2302</v>
      </c>
      <c r="E4607" t="s">
        <v>7282</v>
      </c>
      <c r="F4607" t="s">
        <v>7283</v>
      </c>
      <c r="G4607" t="s">
        <v>39</v>
      </c>
      <c r="H4607">
        <v>0</v>
      </c>
      <c r="I4607">
        <v>27.3</v>
      </c>
      <c r="J4607">
        <v>15.2</v>
      </c>
      <c r="K4607">
        <v>55</v>
      </c>
      <c r="L4607">
        <v>34.005830000000003</v>
      </c>
      <c r="M4607">
        <v>40.1</v>
      </c>
      <c r="N4607">
        <v>12.6</v>
      </c>
      <c r="O4607">
        <v>27.5</v>
      </c>
      <c r="P4607">
        <v>27.7</v>
      </c>
      <c r="Q4607">
        <v>24.57085</v>
      </c>
      <c r="R4607">
        <v>31.529150000000001</v>
      </c>
      <c r="S4607">
        <v>22.4</v>
      </c>
      <c r="T4607">
        <v>293</v>
      </c>
      <c r="U4607">
        <v>122</v>
      </c>
      <c r="V4607">
        <v>0</v>
      </c>
      <c r="W4607">
        <v>157</v>
      </c>
      <c r="X4607">
        <v>253</v>
      </c>
      <c r="Y4607">
        <v>0</v>
      </c>
      <c r="Z4607">
        <v>34</v>
      </c>
      <c r="AA4607">
        <v>0</v>
      </c>
      <c r="AB4607">
        <v>1.5127010000000001</v>
      </c>
      <c r="AC4607">
        <v>0.19918920000000001</v>
      </c>
      <c r="AD4607">
        <v>2.7922950000000002</v>
      </c>
      <c r="AE4607">
        <v>0.55536629999999998</v>
      </c>
      <c r="AF4607">
        <v>335.04070000000002</v>
      </c>
      <c r="AG4607">
        <f>IFERROR(AH4607*0.1, "N/A")</f>
        <v>6.6444070000000002</v>
      </c>
      <c r="AH4607">
        <v>66.444069999999996</v>
      </c>
      <c r="AI4607">
        <v>214.21870000000001</v>
      </c>
      <c r="AJ4607">
        <v>10.350849999999999</v>
      </c>
      <c r="AK4607">
        <v>78.889830000000003</v>
      </c>
    </row>
    <row r="4608" spans="1:37" x14ac:dyDescent="0.3">
      <c r="A4608">
        <v>4607</v>
      </c>
      <c r="B4608">
        <v>0</v>
      </c>
      <c r="C4608">
        <v>11.5916</v>
      </c>
      <c r="D4608">
        <v>13.2302</v>
      </c>
      <c r="E4608" t="s">
        <v>7282</v>
      </c>
      <c r="F4608" t="s">
        <v>7284</v>
      </c>
      <c r="G4608" t="s">
        <v>37</v>
      </c>
      <c r="H4608">
        <v>0</v>
      </c>
      <c r="I4608">
        <v>27.3</v>
      </c>
      <c r="J4608">
        <v>15.2</v>
      </c>
      <c r="K4608">
        <v>55</v>
      </c>
      <c r="L4608">
        <v>34.005830000000003</v>
      </c>
      <c r="M4608">
        <v>40.1</v>
      </c>
      <c r="N4608">
        <v>12.6</v>
      </c>
      <c r="O4608">
        <v>27.5</v>
      </c>
      <c r="P4608">
        <v>27.7</v>
      </c>
      <c r="Q4608">
        <v>24.57085</v>
      </c>
      <c r="R4608">
        <v>31.529150000000001</v>
      </c>
      <c r="S4608">
        <v>22.4</v>
      </c>
      <c r="T4608">
        <v>293</v>
      </c>
      <c r="U4608">
        <v>122</v>
      </c>
      <c r="V4608">
        <v>0</v>
      </c>
      <c r="W4608">
        <v>157</v>
      </c>
      <c r="X4608">
        <v>253</v>
      </c>
      <c r="Y4608">
        <v>0</v>
      </c>
      <c r="Z4608">
        <v>34</v>
      </c>
      <c r="AA4608">
        <v>0</v>
      </c>
      <c r="AB4608">
        <v>1.5127010000000001</v>
      </c>
      <c r="AC4608">
        <v>0.19918920000000001</v>
      </c>
      <c r="AD4608">
        <v>2.7922950000000002</v>
      </c>
      <c r="AE4608">
        <v>0.55536629999999998</v>
      </c>
      <c r="AF4608">
        <v>335.04070000000002</v>
      </c>
      <c r="AG4608">
        <f>IFERROR(AH4608*0.1, "N/A")</f>
        <v>6.6444070000000002</v>
      </c>
      <c r="AH4608">
        <v>66.444069999999996</v>
      </c>
      <c r="AI4608">
        <v>214.21870000000001</v>
      </c>
      <c r="AJ4608">
        <v>10.350849999999999</v>
      </c>
      <c r="AK4608">
        <v>78.889830000000003</v>
      </c>
    </row>
    <row r="4609" spans="1:37" x14ac:dyDescent="0.3">
      <c r="A4609">
        <v>4608</v>
      </c>
      <c r="B4609">
        <v>0</v>
      </c>
      <c r="C4609">
        <v>10.0654</v>
      </c>
      <c r="D4609">
        <v>13.241899999999999</v>
      </c>
      <c r="E4609" t="s">
        <v>7285</v>
      </c>
      <c r="F4609" t="s">
        <v>7286</v>
      </c>
      <c r="G4609" t="s">
        <v>39</v>
      </c>
      <c r="H4609">
        <v>0</v>
      </c>
      <c r="I4609">
        <v>27.3</v>
      </c>
      <c r="J4609">
        <v>15.5</v>
      </c>
      <c r="K4609">
        <v>56.37182</v>
      </c>
      <c r="L4609">
        <v>31.86795</v>
      </c>
      <c r="M4609">
        <v>40.299999999999997</v>
      </c>
      <c r="N4609">
        <v>13.137180000000001</v>
      </c>
      <c r="O4609">
        <v>27.16282</v>
      </c>
      <c r="P4609">
        <v>27.3</v>
      </c>
      <c r="Q4609">
        <v>24.9</v>
      </c>
      <c r="R4609">
        <v>31.5</v>
      </c>
      <c r="S4609">
        <v>22.83718</v>
      </c>
      <c r="T4609">
        <v>395.62819999999999</v>
      </c>
      <c r="U4609">
        <v>148</v>
      </c>
      <c r="V4609">
        <v>0</v>
      </c>
      <c r="W4609">
        <v>149.4873</v>
      </c>
      <c r="X4609">
        <v>331.62819999999999</v>
      </c>
      <c r="Y4609">
        <v>0</v>
      </c>
      <c r="Z4609">
        <v>58</v>
      </c>
      <c r="AA4609">
        <v>0</v>
      </c>
      <c r="AB4609">
        <v>0.50661920000000005</v>
      </c>
      <c r="AC4609">
        <v>3.436795</v>
      </c>
      <c r="AD4609">
        <v>0.89031039999999995</v>
      </c>
      <c r="AE4609">
        <v>0.63902930000000002</v>
      </c>
      <c r="AF4609">
        <v>355.07299999999998</v>
      </c>
      <c r="AG4609">
        <f>IFERROR(AH4609*0.1, "N/A")</f>
        <v>6.7952460000000006</v>
      </c>
      <c r="AH4609">
        <v>67.952460000000002</v>
      </c>
      <c r="AI4609">
        <v>153.1052</v>
      </c>
      <c r="AJ4609">
        <v>8.0271650000000001</v>
      </c>
      <c r="AK4609">
        <v>83.925299999999993</v>
      </c>
    </row>
    <row r="4610" spans="1:37" x14ac:dyDescent="0.3">
      <c r="A4610">
        <v>4609</v>
      </c>
      <c r="B4610">
        <v>0</v>
      </c>
      <c r="C4610">
        <v>10.0654</v>
      </c>
      <c r="D4610">
        <v>13.241899999999999</v>
      </c>
      <c r="E4610" t="s">
        <v>7285</v>
      </c>
      <c r="F4610" t="s">
        <v>7287</v>
      </c>
      <c r="G4610" t="s">
        <v>37</v>
      </c>
      <c r="H4610">
        <v>0</v>
      </c>
      <c r="I4610">
        <v>27.3</v>
      </c>
      <c r="J4610">
        <v>15.5</v>
      </c>
      <c r="K4610">
        <v>56.37182</v>
      </c>
      <c r="L4610">
        <v>31.86795</v>
      </c>
      <c r="M4610">
        <v>40.299999999999997</v>
      </c>
      <c r="N4610">
        <v>13.137180000000001</v>
      </c>
      <c r="O4610">
        <v>27.16282</v>
      </c>
      <c r="P4610">
        <v>27.3</v>
      </c>
      <c r="Q4610">
        <v>24.9</v>
      </c>
      <c r="R4610">
        <v>31.5</v>
      </c>
      <c r="S4610">
        <v>22.83718</v>
      </c>
      <c r="T4610">
        <v>395.62819999999999</v>
      </c>
      <c r="U4610">
        <v>148</v>
      </c>
      <c r="V4610">
        <v>0</v>
      </c>
      <c r="W4610">
        <v>149.4873</v>
      </c>
      <c r="X4610">
        <v>331.62819999999999</v>
      </c>
      <c r="Y4610">
        <v>0</v>
      </c>
      <c r="Z4610">
        <v>58</v>
      </c>
      <c r="AA4610">
        <v>0</v>
      </c>
      <c r="AB4610">
        <v>0.50661920000000005</v>
      </c>
      <c r="AC4610">
        <v>3.436795</v>
      </c>
      <c r="AD4610">
        <v>0.89031039999999995</v>
      </c>
      <c r="AE4610">
        <v>0.63902930000000002</v>
      </c>
      <c r="AF4610">
        <v>355.07299999999998</v>
      </c>
      <c r="AG4610">
        <f>IFERROR(AH4610*0.1, "N/A")</f>
        <v>6.7952460000000006</v>
      </c>
      <c r="AH4610">
        <v>67.952460000000002</v>
      </c>
      <c r="AI4610">
        <v>153.1052</v>
      </c>
      <c r="AJ4610">
        <v>8.0271650000000001</v>
      </c>
      <c r="AK4610">
        <v>83.925299999999993</v>
      </c>
    </row>
    <row r="4611" spans="1:37" x14ac:dyDescent="0.3">
      <c r="A4611">
        <v>4610</v>
      </c>
      <c r="B4611">
        <v>0</v>
      </c>
      <c r="C4611">
        <v>10.543900000000001</v>
      </c>
      <c r="D4611">
        <v>13.244</v>
      </c>
      <c r="E4611" t="s">
        <v>7288</v>
      </c>
      <c r="F4611" t="s">
        <v>7289</v>
      </c>
      <c r="G4611" t="s">
        <v>39</v>
      </c>
      <c r="H4611">
        <v>0</v>
      </c>
      <c r="I4611">
        <v>27.1</v>
      </c>
      <c r="J4611">
        <v>15.4</v>
      </c>
      <c r="K4611">
        <v>57</v>
      </c>
      <c r="L4611">
        <v>30.85</v>
      </c>
      <c r="M4611">
        <v>39.799999999999997</v>
      </c>
      <c r="N4611">
        <v>12.8</v>
      </c>
      <c r="O4611">
        <v>27</v>
      </c>
      <c r="P4611">
        <v>27</v>
      </c>
      <c r="Q4611">
        <v>24.7</v>
      </c>
      <c r="R4611">
        <v>31</v>
      </c>
      <c r="S4611">
        <v>22.7</v>
      </c>
      <c r="T4611">
        <v>370</v>
      </c>
      <c r="U4611">
        <v>143</v>
      </c>
      <c r="V4611">
        <v>0</v>
      </c>
      <c r="W4611">
        <v>155</v>
      </c>
      <c r="X4611">
        <v>314</v>
      </c>
      <c r="Y4611">
        <v>0</v>
      </c>
      <c r="Z4611">
        <v>51</v>
      </c>
      <c r="AA4611">
        <v>0</v>
      </c>
      <c r="AB4611">
        <v>0.63051009999999996</v>
      </c>
      <c r="AC4611">
        <v>1.183828E-2</v>
      </c>
      <c r="AD4611">
        <v>3.0433590000000001</v>
      </c>
      <c r="AE4611">
        <v>0.45331179999999999</v>
      </c>
      <c r="AF4611">
        <v>346.33390000000003</v>
      </c>
      <c r="AG4611">
        <f>IFERROR(AH4611*0.1, "N/A")</f>
        <v>6.6815250000000006</v>
      </c>
      <c r="AH4611">
        <v>66.815250000000006</v>
      </c>
      <c r="AI4611">
        <v>134.55369999999999</v>
      </c>
      <c r="AJ4611">
        <v>8.1627120000000009</v>
      </c>
      <c r="AK4611">
        <v>84.586439999999996</v>
      </c>
    </row>
    <row r="4612" spans="1:37" x14ac:dyDescent="0.3">
      <c r="A4612">
        <v>4611</v>
      </c>
      <c r="B4612">
        <v>0</v>
      </c>
      <c r="C4612">
        <v>10.543900000000001</v>
      </c>
      <c r="D4612">
        <v>13.244</v>
      </c>
      <c r="E4612" t="s">
        <v>7288</v>
      </c>
      <c r="F4612" t="s">
        <v>7290</v>
      </c>
      <c r="G4612" t="s">
        <v>37</v>
      </c>
      <c r="H4612">
        <v>0</v>
      </c>
      <c r="I4612">
        <v>27.1</v>
      </c>
      <c r="J4612">
        <v>15.4</v>
      </c>
      <c r="K4612">
        <v>57</v>
      </c>
      <c r="L4612">
        <v>30.85</v>
      </c>
      <c r="M4612">
        <v>39.799999999999997</v>
      </c>
      <c r="N4612">
        <v>12.8</v>
      </c>
      <c r="O4612">
        <v>27</v>
      </c>
      <c r="P4612">
        <v>27</v>
      </c>
      <c r="Q4612">
        <v>24.7</v>
      </c>
      <c r="R4612">
        <v>31</v>
      </c>
      <c r="S4612">
        <v>22.7</v>
      </c>
      <c r="T4612">
        <v>370</v>
      </c>
      <c r="U4612">
        <v>143</v>
      </c>
      <c r="V4612">
        <v>0</v>
      </c>
      <c r="W4612">
        <v>155</v>
      </c>
      <c r="X4612">
        <v>314</v>
      </c>
      <c r="Y4612">
        <v>0</v>
      </c>
      <c r="Z4612">
        <v>51</v>
      </c>
      <c r="AA4612">
        <v>0</v>
      </c>
      <c r="AB4612">
        <v>0.63051009999999996</v>
      </c>
      <c r="AC4612">
        <v>1.183828E-2</v>
      </c>
      <c r="AD4612">
        <v>3.0433590000000001</v>
      </c>
      <c r="AE4612">
        <v>0.45331179999999999</v>
      </c>
      <c r="AF4612">
        <v>346.33390000000003</v>
      </c>
      <c r="AG4612">
        <f>IFERROR(AH4612*0.1, "N/A")</f>
        <v>6.6815250000000006</v>
      </c>
      <c r="AH4612">
        <v>66.815250000000006</v>
      </c>
      <c r="AI4612">
        <v>134.55369999999999</v>
      </c>
      <c r="AJ4612">
        <v>8.1627120000000009</v>
      </c>
      <c r="AK4612">
        <v>84.586439999999996</v>
      </c>
    </row>
    <row r="4613" spans="1:37" x14ac:dyDescent="0.3">
      <c r="A4613">
        <v>4612</v>
      </c>
      <c r="B4613">
        <v>13</v>
      </c>
      <c r="C4613">
        <v>2.8650500000000001</v>
      </c>
      <c r="D4613">
        <v>13.247299999999999</v>
      </c>
      <c r="E4613" t="s">
        <v>7291</v>
      </c>
      <c r="F4613" t="s">
        <v>7292</v>
      </c>
      <c r="G4613" t="s">
        <v>39</v>
      </c>
      <c r="H4613">
        <v>0</v>
      </c>
      <c r="I4613">
        <v>29.2</v>
      </c>
      <c r="J4613">
        <v>13.8</v>
      </c>
      <c r="K4613">
        <v>56</v>
      </c>
      <c r="L4613">
        <v>27.57</v>
      </c>
      <c r="M4613">
        <v>40.9</v>
      </c>
      <c r="N4613">
        <v>16.600000000000001</v>
      </c>
      <c r="O4613">
        <v>24.3</v>
      </c>
      <c r="P4613">
        <v>28.2</v>
      </c>
      <c r="Q4613">
        <v>27.7</v>
      </c>
      <c r="R4613">
        <v>32.799999999999997</v>
      </c>
      <c r="S4613">
        <v>25.7</v>
      </c>
      <c r="T4613">
        <v>520</v>
      </c>
      <c r="U4613">
        <v>179</v>
      </c>
      <c r="V4613">
        <v>0</v>
      </c>
      <c r="W4613">
        <v>134</v>
      </c>
      <c r="X4613">
        <v>401</v>
      </c>
      <c r="Y4613">
        <v>0</v>
      </c>
      <c r="Z4613">
        <v>108</v>
      </c>
      <c r="AA4613">
        <v>0</v>
      </c>
      <c r="AB4613">
        <v>1.8353630000000001</v>
      </c>
      <c r="AC4613">
        <v>1.249422E-2</v>
      </c>
      <c r="AD4613">
        <v>1.638436</v>
      </c>
      <c r="AE4613">
        <v>0.70040789999999997</v>
      </c>
      <c r="AF4613">
        <v>195.54990000000001</v>
      </c>
      <c r="AG4613">
        <f>IFERROR(AH4613*0.1, "N/A")</f>
        <v>6.1708970000000001</v>
      </c>
      <c r="AH4613">
        <v>61.708970000000001</v>
      </c>
      <c r="AI4613">
        <v>179.22030000000001</v>
      </c>
      <c r="AJ4613">
        <v>5</v>
      </c>
      <c r="AK4613">
        <v>88.142129999999995</v>
      </c>
    </row>
    <row r="4614" spans="1:37" x14ac:dyDescent="0.3">
      <c r="A4614">
        <v>4613</v>
      </c>
      <c r="B4614">
        <v>0</v>
      </c>
      <c r="C4614">
        <v>10.0556</v>
      </c>
      <c r="D4614">
        <v>13.2514</v>
      </c>
      <c r="E4614" t="s">
        <v>7293</v>
      </c>
      <c r="F4614" t="s">
        <v>7294</v>
      </c>
      <c r="G4614" t="s">
        <v>39</v>
      </c>
      <c r="H4614">
        <v>0</v>
      </c>
      <c r="I4614">
        <v>27.3</v>
      </c>
      <c r="J4614">
        <v>15.5</v>
      </c>
      <c r="K4614">
        <v>57</v>
      </c>
      <c r="L4614">
        <v>31.65</v>
      </c>
      <c r="M4614">
        <v>40.299999999999997</v>
      </c>
      <c r="N4614">
        <v>13.2</v>
      </c>
      <c r="O4614">
        <v>27.1</v>
      </c>
      <c r="P4614">
        <v>27.3</v>
      </c>
      <c r="Q4614">
        <v>24.9</v>
      </c>
      <c r="R4614">
        <v>31.4</v>
      </c>
      <c r="S4614">
        <v>22.9</v>
      </c>
      <c r="T4614">
        <v>394</v>
      </c>
      <c r="U4614">
        <v>147</v>
      </c>
      <c r="V4614">
        <v>0</v>
      </c>
      <c r="W4614">
        <v>152</v>
      </c>
      <c r="X4614">
        <v>330</v>
      </c>
      <c r="Y4614">
        <v>0</v>
      </c>
      <c r="Z4614">
        <v>58</v>
      </c>
      <c r="AA4614">
        <v>0</v>
      </c>
      <c r="AB4614">
        <v>0.60828099999999996</v>
      </c>
      <c r="AC4614">
        <v>2.586126E-2</v>
      </c>
      <c r="AD4614">
        <v>0.76635109999999995</v>
      </c>
      <c r="AE4614">
        <v>0.63890709999999995</v>
      </c>
      <c r="AF4614">
        <v>356.4941</v>
      </c>
      <c r="AG4614">
        <f>IFERROR(AH4614*0.1, "N/A")</f>
        <v>6.5</v>
      </c>
      <c r="AH4614">
        <v>65</v>
      </c>
      <c r="AI4614">
        <v>174.87970000000001</v>
      </c>
      <c r="AJ4614">
        <v>9.7969539999999995</v>
      </c>
      <c r="AK4614">
        <v>80.406090000000006</v>
      </c>
    </row>
    <row r="4615" spans="1:37" x14ac:dyDescent="0.3">
      <c r="A4615">
        <v>4614</v>
      </c>
      <c r="B4615">
        <v>0</v>
      </c>
      <c r="C4615">
        <v>10.0556</v>
      </c>
      <c r="D4615">
        <v>13.2514</v>
      </c>
      <c r="E4615" t="s">
        <v>7293</v>
      </c>
      <c r="F4615" t="s">
        <v>7295</v>
      </c>
      <c r="G4615" t="s">
        <v>37</v>
      </c>
      <c r="H4615">
        <v>0</v>
      </c>
      <c r="I4615">
        <v>27.3</v>
      </c>
      <c r="J4615">
        <v>15.5</v>
      </c>
      <c r="K4615">
        <v>57</v>
      </c>
      <c r="L4615">
        <v>31.65</v>
      </c>
      <c r="M4615">
        <v>40.299999999999997</v>
      </c>
      <c r="N4615">
        <v>13.2</v>
      </c>
      <c r="O4615">
        <v>27.1</v>
      </c>
      <c r="P4615">
        <v>27.3</v>
      </c>
      <c r="Q4615">
        <v>24.9</v>
      </c>
      <c r="R4615">
        <v>31.4</v>
      </c>
      <c r="S4615">
        <v>22.9</v>
      </c>
      <c r="T4615">
        <v>394</v>
      </c>
      <c r="U4615">
        <v>147</v>
      </c>
      <c r="V4615">
        <v>0</v>
      </c>
      <c r="W4615">
        <v>152</v>
      </c>
      <c r="X4615">
        <v>330</v>
      </c>
      <c r="Y4615">
        <v>0</v>
      </c>
      <c r="Z4615">
        <v>58</v>
      </c>
      <c r="AA4615">
        <v>0</v>
      </c>
      <c r="AB4615">
        <v>0.60828099999999996</v>
      </c>
      <c r="AC4615">
        <v>2.586126E-2</v>
      </c>
      <c r="AD4615">
        <v>0.76635109999999995</v>
      </c>
      <c r="AE4615">
        <v>0.63890709999999995</v>
      </c>
      <c r="AF4615">
        <v>356.4941</v>
      </c>
      <c r="AG4615">
        <f>IFERROR(AH4615*0.1, "N/A")</f>
        <v>6.5</v>
      </c>
      <c r="AH4615">
        <v>65</v>
      </c>
      <c r="AI4615">
        <v>174.87970000000001</v>
      </c>
      <c r="AJ4615">
        <v>9.7969539999999995</v>
      </c>
      <c r="AK4615">
        <v>80.406090000000006</v>
      </c>
    </row>
    <row r="4616" spans="1:37" x14ac:dyDescent="0.3">
      <c r="A4616">
        <v>4615</v>
      </c>
      <c r="B4616">
        <v>0</v>
      </c>
      <c r="C4616">
        <v>11.2315</v>
      </c>
      <c r="D4616">
        <v>13.252599999999999</v>
      </c>
      <c r="E4616" t="s">
        <v>7296</v>
      </c>
      <c r="F4616" t="s">
        <v>7297</v>
      </c>
      <c r="G4616" t="s">
        <v>39</v>
      </c>
      <c r="H4616">
        <v>0</v>
      </c>
      <c r="I4616">
        <v>27.1</v>
      </c>
      <c r="J4616">
        <v>15.3</v>
      </c>
      <c r="K4616">
        <v>56</v>
      </c>
      <c r="L4616">
        <v>32.39</v>
      </c>
      <c r="M4616">
        <v>39.700000000000003</v>
      </c>
      <c r="N4616">
        <v>12.6</v>
      </c>
      <c r="O4616">
        <v>27.1</v>
      </c>
      <c r="P4616">
        <v>27.3</v>
      </c>
      <c r="Q4616">
        <v>24.5</v>
      </c>
      <c r="R4616">
        <v>31.2</v>
      </c>
      <c r="S4616">
        <v>22.5</v>
      </c>
      <c r="T4616">
        <v>300</v>
      </c>
      <c r="U4616">
        <v>120</v>
      </c>
      <c r="V4616">
        <v>0</v>
      </c>
      <c r="W4616">
        <v>153</v>
      </c>
      <c r="X4616">
        <v>258</v>
      </c>
      <c r="Y4616">
        <v>0</v>
      </c>
      <c r="Z4616">
        <v>37</v>
      </c>
      <c r="AA4616">
        <v>0</v>
      </c>
      <c r="AB4616">
        <v>4.9362019999999998</v>
      </c>
      <c r="AC4616">
        <v>3.4192100000000001</v>
      </c>
      <c r="AD4616">
        <v>1.637346</v>
      </c>
      <c r="AE4616">
        <v>0.57198459999999995</v>
      </c>
      <c r="AF4616">
        <v>336.31479999999999</v>
      </c>
      <c r="AG4616">
        <f>IFERROR(AH4616*0.1, "N/A")</f>
        <v>6.6000000000000005</v>
      </c>
      <c r="AH4616">
        <v>66</v>
      </c>
      <c r="AI4616">
        <v>111.1506</v>
      </c>
      <c r="AJ4616">
        <v>5.3905719999999997</v>
      </c>
      <c r="AK4616">
        <v>84</v>
      </c>
    </row>
    <row r="4617" spans="1:37" x14ac:dyDescent="0.3">
      <c r="A4617">
        <v>4616</v>
      </c>
      <c r="B4617">
        <v>0</v>
      </c>
      <c r="C4617">
        <v>11.2315</v>
      </c>
      <c r="D4617">
        <v>13.252599999999999</v>
      </c>
      <c r="E4617" t="s">
        <v>7296</v>
      </c>
      <c r="F4617" t="s">
        <v>7298</v>
      </c>
      <c r="G4617" t="s">
        <v>37</v>
      </c>
      <c r="H4617">
        <v>0</v>
      </c>
      <c r="I4617">
        <v>27.1</v>
      </c>
      <c r="J4617">
        <v>15.3</v>
      </c>
      <c r="K4617">
        <v>56</v>
      </c>
      <c r="L4617">
        <v>32.39</v>
      </c>
      <c r="M4617">
        <v>39.700000000000003</v>
      </c>
      <c r="N4617">
        <v>12.6</v>
      </c>
      <c r="O4617">
        <v>27.1</v>
      </c>
      <c r="P4617">
        <v>27.3</v>
      </c>
      <c r="Q4617">
        <v>24.5</v>
      </c>
      <c r="R4617">
        <v>31.2</v>
      </c>
      <c r="S4617">
        <v>22.5</v>
      </c>
      <c r="T4617">
        <v>300</v>
      </c>
      <c r="U4617">
        <v>120</v>
      </c>
      <c r="V4617">
        <v>0</v>
      </c>
      <c r="W4617">
        <v>153</v>
      </c>
      <c r="X4617">
        <v>258</v>
      </c>
      <c r="Y4617">
        <v>0</v>
      </c>
      <c r="Z4617">
        <v>37</v>
      </c>
      <c r="AA4617">
        <v>0</v>
      </c>
      <c r="AB4617">
        <v>4.9362019999999998</v>
      </c>
      <c r="AC4617">
        <v>3.4192100000000001</v>
      </c>
      <c r="AD4617">
        <v>1.637346</v>
      </c>
      <c r="AE4617">
        <v>0.57198459999999995</v>
      </c>
      <c r="AF4617">
        <v>336.31479999999999</v>
      </c>
      <c r="AG4617">
        <f>IFERROR(AH4617*0.1, "N/A")</f>
        <v>6.6000000000000005</v>
      </c>
      <c r="AH4617">
        <v>66</v>
      </c>
      <c r="AI4617">
        <v>111.1506</v>
      </c>
      <c r="AJ4617">
        <v>5.3905719999999997</v>
      </c>
      <c r="AK4617">
        <v>84</v>
      </c>
    </row>
    <row r="4618" spans="1:37" x14ac:dyDescent="0.3">
      <c r="A4618">
        <v>4617</v>
      </c>
      <c r="B4618">
        <v>0</v>
      </c>
      <c r="C4618">
        <v>12.460599999999999</v>
      </c>
      <c r="D4618">
        <v>13.281499999999999</v>
      </c>
      <c r="E4618" t="s">
        <v>7299</v>
      </c>
      <c r="F4618" t="s">
        <v>7300</v>
      </c>
      <c r="G4618" t="s">
        <v>39</v>
      </c>
      <c r="H4618">
        <v>0</v>
      </c>
      <c r="I4618">
        <v>27.3</v>
      </c>
      <c r="J4618">
        <v>15.1</v>
      </c>
      <c r="K4618">
        <v>55</v>
      </c>
      <c r="L4618">
        <v>34.61</v>
      </c>
      <c r="M4618">
        <v>39.9</v>
      </c>
      <c r="N4618">
        <v>12.6</v>
      </c>
      <c r="O4618">
        <v>27.3</v>
      </c>
      <c r="P4618">
        <v>28.1</v>
      </c>
      <c r="Q4618">
        <v>24.3</v>
      </c>
      <c r="R4618">
        <v>31.4</v>
      </c>
      <c r="S4618">
        <v>22.2</v>
      </c>
      <c r="T4618">
        <v>296</v>
      </c>
      <c r="U4618">
        <v>139</v>
      </c>
      <c r="V4618">
        <v>0</v>
      </c>
      <c r="W4618">
        <v>165</v>
      </c>
      <c r="X4618">
        <v>256</v>
      </c>
      <c r="Y4618">
        <v>0</v>
      </c>
      <c r="Z4618">
        <v>34</v>
      </c>
      <c r="AA4618">
        <v>0</v>
      </c>
      <c r="AB4618">
        <v>0.47021010000000002</v>
      </c>
      <c r="AC4618">
        <v>1.9745849999999999E-2</v>
      </c>
      <c r="AD4618">
        <v>1.0326919999999999</v>
      </c>
      <c r="AE4618">
        <v>0.6333761</v>
      </c>
      <c r="AF4618">
        <v>308.21660000000003</v>
      </c>
      <c r="AG4618">
        <f>IFERROR(AH4618*0.1, "N/A")</f>
        <v>6.4570220000000011</v>
      </c>
      <c r="AH4618">
        <v>64.570220000000006</v>
      </c>
      <c r="AI4618">
        <v>223.1207</v>
      </c>
      <c r="AJ4618">
        <v>6.5702199999999999</v>
      </c>
      <c r="AK4618">
        <v>81.140439999999998</v>
      </c>
    </row>
    <row r="4619" spans="1:37" x14ac:dyDescent="0.3">
      <c r="A4619">
        <v>4618</v>
      </c>
      <c r="B4619">
        <v>0</v>
      </c>
      <c r="C4619">
        <v>12.460599999999999</v>
      </c>
      <c r="D4619">
        <v>13.281499999999999</v>
      </c>
      <c r="E4619" t="s">
        <v>7299</v>
      </c>
      <c r="F4619" t="s">
        <v>7301</v>
      </c>
      <c r="G4619" t="s">
        <v>37</v>
      </c>
      <c r="H4619">
        <v>0</v>
      </c>
      <c r="I4619">
        <v>27.3</v>
      </c>
      <c r="J4619">
        <v>15.1</v>
      </c>
      <c r="K4619">
        <v>55</v>
      </c>
      <c r="L4619">
        <v>34.61</v>
      </c>
      <c r="M4619">
        <v>39.9</v>
      </c>
      <c r="N4619">
        <v>12.6</v>
      </c>
      <c r="O4619">
        <v>27.3</v>
      </c>
      <c r="P4619">
        <v>28.1</v>
      </c>
      <c r="Q4619">
        <v>24.3</v>
      </c>
      <c r="R4619">
        <v>31.4</v>
      </c>
      <c r="S4619">
        <v>22.2</v>
      </c>
      <c r="T4619">
        <v>296</v>
      </c>
      <c r="U4619">
        <v>139</v>
      </c>
      <c r="V4619">
        <v>0</v>
      </c>
      <c r="W4619">
        <v>165</v>
      </c>
      <c r="X4619">
        <v>256</v>
      </c>
      <c r="Y4619">
        <v>0</v>
      </c>
      <c r="Z4619">
        <v>34</v>
      </c>
      <c r="AA4619">
        <v>0</v>
      </c>
      <c r="AB4619">
        <v>0.47021010000000002</v>
      </c>
      <c r="AC4619">
        <v>1.9745849999999999E-2</v>
      </c>
      <c r="AD4619">
        <v>1.0326919999999999</v>
      </c>
      <c r="AE4619">
        <v>0.6333761</v>
      </c>
      <c r="AF4619">
        <v>308.21660000000003</v>
      </c>
      <c r="AG4619">
        <f>IFERROR(AH4619*0.1, "N/A")</f>
        <v>6.4570220000000011</v>
      </c>
      <c r="AH4619">
        <v>64.570220000000006</v>
      </c>
      <c r="AI4619">
        <v>223.1207</v>
      </c>
      <c r="AJ4619">
        <v>6.5702199999999999</v>
      </c>
      <c r="AK4619">
        <v>81.140439999999998</v>
      </c>
    </row>
    <row r="4620" spans="1:37" x14ac:dyDescent="0.3">
      <c r="A4620">
        <v>4619</v>
      </c>
      <c r="B4620">
        <v>6.1</v>
      </c>
      <c r="C4620">
        <v>2.3149999999999999</v>
      </c>
      <c r="D4620">
        <v>13.284000000000001</v>
      </c>
      <c r="E4620" t="s">
        <v>7302</v>
      </c>
      <c r="F4620" t="s">
        <v>7303</v>
      </c>
      <c r="G4620" t="s">
        <v>39</v>
      </c>
      <c r="H4620">
        <v>1987</v>
      </c>
      <c r="I4620">
        <v>29.1</v>
      </c>
      <c r="J4620">
        <v>14.2</v>
      </c>
      <c r="K4620">
        <v>56</v>
      </c>
      <c r="L4620">
        <v>28.94426</v>
      </c>
      <c r="M4620">
        <v>41.1</v>
      </c>
      <c r="N4620">
        <v>15.8</v>
      </c>
      <c r="O4620">
        <v>25.3</v>
      </c>
      <c r="P4620">
        <v>28.295259999999999</v>
      </c>
      <c r="Q4620">
        <v>25.7</v>
      </c>
      <c r="R4620">
        <v>32.9</v>
      </c>
      <c r="S4620">
        <v>25.4</v>
      </c>
      <c r="T4620">
        <v>538.09479999999996</v>
      </c>
      <c r="U4620">
        <v>167</v>
      </c>
      <c r="V4620">
        <v>0</v>
      </c>
      <c r="W4620">
        <v>130.90520000000001</v>
      </c>
      <c r="X4620">
        <v>409.04739999999998</v>
      </c>
      <c r="Y4620">
        <v>0</v>
      </c>
      <c r="Z4620">
        <v>116.0474</v>
      </c>
      <c r="AA4620">
        <v>0</v>
      </c>
      <c r="AB4620">
        <v>2.1020270000000001</v>
      </c>
      <c r="AC4620">
        <v>0.94887889999999997</v>
      </c>
      <c r="AD4620">
        <v>1.905529</v>
      </c>
      <c r="AE4620">
        <v>0.58755179999999996</v>
      </c>
      <c r="AF4620">
        <v>201.8579</v>
      </c>
      <c r="AG4620">
        <f>IFERROR(AH4620*0.1, "N/A")</f>
        <v>5.6000000000000005</v>
      </c>
      <c r="AH4620">
        <v>56</v>
      </c>
      <c r="AI4620">
        <v>106.76090000000001</v>
      </c>
      <c r="AJ4620">
        <v>12.94078</v>
      </c>
      <c r="AK4620">
        <v>75.759730000000005</v>
      </c>
    </row>
    <row r="4621" spans="1:37" x14ac:dyDescent="0.3">
      <c r="A4621">
        <v>4620</v>
      </c>
      <c r="B4621">
        <v>6.7</v>
      </c>
      <c r="C4621">
        <v>12.4856</v>
      </c>
      <c r="D4621">
        <v>13.2905</v>
      </c>
      <c r="E4621" t="s">
        <v>7304</v>
      </c>
      <c r="F4621" t="s">
        <v>7305</v>
      </c>
      <c r="G4621" t="s">
        <v>39</v>
      </c>
      <c r="H4621">
        <v>0</v>
      </c>
      <c r="I4621">
        <v>27.3</v>
      </c>
      <c r="J4621">
        <v>15.1</v>
      </c>
      <c r="K4621">
        <v>55</v>
      </c>
      <c r="L4621">
        <v>34.79</v>
      </c>
      <c r="M4621">
        <v>39.9</v>
      </c>
      <c r="N4621">
        <v>12.6</v>
      </c>
      <c r="O4621">
        <v>27.3</v>
      </c>
      <c r="P4621">
        <v>28.1</v>
      </c>
      <c r="Q4621">
        <v>24.3</v>
      </c>
      <c r="R4621">
        <v>31.4</v>
      </c>
      <c r="S4621">
        <v>22.2</v>
      </c>
      <c r="T4621">
        <v>298</v>
      </c>
      <c r="U4621">
        <v>141</v>
      </c>
      <c r="V4621">
        <v>0</v>
      </c>
      <c r="W4621">
        <v>167</v>
      </c>
      <c r="X4621">
        <v>258</v>
      </c>
      <c r="Y4621">
        <v>0</v>
      </c>
      <c r="Z4621">
        <v>34</v>
      </c>
      <c r="AA4621">
        <v>0</v>
      </c>
      <c r="AB4621">
        <v>0.83015910000000004</v>
      </c>
      <c r="AC4621">
        <v>2.681805E-2</v>
      </c>
      <c r="AD4621">
        <v>1.151724</v>
      </c>
      <c r="AE4621">
        <v>0.56470450000000005</v>
      </c>
      <c r="AF4621">
        <v>307.05590000000001</v>
      </c>
      <c r="AG4621">
        <f>IFERROR(AH4621*0.1, "N/A")</f>
        <v>6.4564409999999999</v>
      </c>
      <c r="AH4621">
        <v>64.564409999999995</v>
      </c>
      <c r="AI4621">
        <v>114.3206</v>
      </c>
      <c r="AJ4621">
        <v>8.330508</v>
      </c>
      <c r="AK4621">
        <v>79.789829999999995</v>
      </c>
    </row>
    <row r="4622" spans="1:37" x14ac:dyDescent="0.3">
      <c r="A4622">
        <v>4621</v>
      </c>
      <c r="B4622">
        <v>0</v>
      </c>
      <c r="C4622">
        <v>12.4856</v>
      </c>
      <c r="D4622">
        <v>13.2905</v>
      </c>
      <c r="E4622" t="s">
        <v>7304</v>
      </c>
      <c r="F4622" t="s">
        <v>7306</v>
      </c>
      <c r="G4622" t="s">
        <v>37</v>
      </c>
      <c r="H4622">
        <v>0</v>
      </c>
      <c r="I4622">
        <v>27.3</v>
      </c>
      <c r="J4622">
        <v>15.1</v>
      </c>
      <c r="K4622">
        <v>55</v>
      </c>
      <c r="L4622">
        <v>34.79</v>
      </c>
      <c r="M4622">
        <v>39.9</v>
      </c>
      <c r="N4622">
        <v>12.6</v>
      </c>
      <c r="O4622">
        <v>27.3</v>
      </c>
      <c r="P4622">
        <v>28.1</v>
      </c>
      <c r="Q4622">
        <v>24.3</v>
      </c>
      <c r="R4622">
        <v>31.4</v>
      </c>
      <c r="S4622">
        <v>22.2</v>
      </c>
      <c r="T4622">
        <v>298</v>
      </c>
      <c r="U4622">
        <v>141</v>
      </c>
      <c r="V4622">
        <v>0</v>
      </c>
      <c r="W4622">
        <v>167</v>
      </c>
      <c r="X4622">
        <v>258</v>
      </c>
      <c r="Y4622">
        <v>0</v>
      </c>
      <c r="Z4622">
        <v>34</v>
      </c>
      <c r="AA4622">
        <v>0</v>
      </c>
      <c r="AB4622">
        <v>0.83015910000000004</v>
      </c>
      <c r="AC4622">
        <v>2.681805E-2</v>
      </c>
      <c r="AD4622">
        <v>1.151724</v>
      </c>
      <c r="AE4622">
        <v>0.56470450000000005</v>
      </c>
      <c r="AF4622">
        <v>307.05590000000001</v>
      </c>
      <c r="AG4622">
        <f>IFERROR(AH4622*0.1, "N/A")</f>
        <v>6.4564409999999999</v>
      </c>
      <c r="AH4622">
        <v>64.564409999999995</v>
      </c>
      <c r="AI4622">
        <v>114.3206</v>
      </c>
      <c r="AJ4622">
        <v>8.330508</v>
      </c>
      <c r="AK4622">
        <v>79.789829999999995</v>
      </c>
    </row>
    <row r="4623" spans="1:37" x14ac:dyDescent="0.3">
      <c r="A4623">
        <v>4622</v>
      </c>
      <c r="B4623">
        <v>70.5</v>
      </c>
      <c r="C4623">
        <v>2.3462000000000001</v>
      </c>
      <c r="D4623">
        <v>13.294</v>
      </c>
      <c r="E4623" t="s">
        <v>7307</v>
      </c>
      <c r="F4623" t="s">
        <v>7308</v>
      </c>
      <c r="G4623" t="s">
        <v>39</v>
      </c>
      <c r="H4623">
        <v>1990</v>
      </c>
      <c r="I4623">
        <v>29.2</v>
      </c>
      <c r="J4623">
        <v>14.2</v>
      </c>
      <c r="K4623">
        <v>56</v>
      </c>
      <c r="L4623">
        <v>28.79</v>
      </c>
      <c r="M4623">
        <v>41.2</v>
      </c>
      <c r="N4623">
        <v>15.9</v>
      </c>
      <c r="O4623">
        <v>25.3</v>
      </c>
      <c r="P4623">
        <v>28.4</v>
      </c>
      <c r="Q4623">
        <v>25.9</v>
      </c>
      <c r="R4623">
        <v>33</v>
      </c>
      <c r="S4623">
        <v>25.5</v>
      </c>
      <c r="T4623">
        <v>531</v>
      </c>
      <c r="U4623">
        <v>163</v>
      </c>
      <c r="V4623">
        <v>0</v>
      </c>
      <c r="W4623">
        <v>130</v>
      </c>
      <c r="X4623">
        <v>406</v>
      </c>
      <c r="Y4623">
        <v>0</v>
      </c>
      <c r="Z4623">
        <v>113</v>
      </c>
      <c r="AA4623">
        <v>0</v>
      </c>
      <c r="AB4623">
        <v>6.6618709999999997</v>
      </c>
      <c r="AC4623">
        <v>2.3615339999999999E-2</v>
      </c>
      <c r="AD4623">
        <v>1.2784500000000001</v>
      </c>
      <c r="AE4623">
        <v>0.65226890000000004</v>
      </c>
      <c r="AF4623">
        <v>184.1797</v>
      </c>
      <c r="AG4623">
        <f>IFERROR(AH4623*0.1, "N/A")</f>
        <v>6.9605080000000008</v>
      </c>
      <c r="AH4623">
        <v>69.605080000000001</v>
      </c>
      <c r="AI4623">
        <v>208.08539999999999</v>
      </c>
      <c r="AJ4623">
        <v>19.2</v>
      </c>
      <c r="AK4623">
        <v>63.55932</v>
      </c>
    </row>
    <row r="4624" spans="1:37" x14ac:dyDescent="0.3">
      <c r="A4624">
        <v>4623</v>
      </c>
      <c r="B4624">
        <v>98.3</v>
      </c>
      <c r="C4624">
        <v>2.34415</v>
      </c>
      <c r="D4624">
        <v>13.2942</v>
      </c>
      <c r="E4624" t="s">
        <v>7309</v>
      </c>
      <c r="F4624" t="s">
        <v>7310</v>
      </c>
      <c r="G4624" t="s">
        <v>39</v>
      </c>
      <c r="H4624">
        <v>0</v>
      </c>
      <c r="I4624">
        <v>29.2</v>
      </c>
      <c r="J4624">
        <v>14.2</v>
      </c>
      <c r="K4624">
        <v>56</v>
      </c>
      <c r="L4624">
        <v>28.79</v>
      </c>
      <c r="M4624">
        <v>41.2</v>
      </c>
      <c r="N4624">
        <v>15.9</v>
      </c>
      <c r="O4624">
        <v>25.3</v>
      </c>
      <c r="P4624">
        <v>28.4</v>
      </c>
      <c r="Q4624">
        <v>25.9</v>
      </c>
      <c r="R4624">
        <v>33</v>
      </c>
      <c r="S4624">
        <v>25.5</v>
      </c>
      <c r="T4624">
        <v>531</v>
      </c>
      <c r="U4624">
        <v>163</v>
      </c>
      <c r="V4624">
        <v>0</v>
      </c>
      <c r="W4624">
        <v>130</v>
      </c>
      <c r="X4624">
        <v>406</v>
      </c>
      <c r="Y4624">
        <v>0</v>
      </c>
      <c r="Z4624">
        <v>113</v>
      </c>
      <c r="AA4624">
        <v>0</v>
      </c>
      <c r="AB4624">
        <v>4.9294929999999999</v>
      </c>
      <c r="AC4624">
        <v>1.9608879999999999E-2</v>
      </c>
      <c r="AD4624">
        <v>1.9238379999999999</v>
      </c>
      <c r="AE4624">
        <v>0.65226890000000004</v>
      </c>
      <c r="AF4624">
        <v>181.71019999999999</v>
      </c>
      <c r="AG4624">
        <f>IFERROR(AH4624*0.1, "N/A")</f>
        <v>6.0859319999999997</v>
      </c>
      <c r="AH4624">
        <v>60.859319999999997</v>
      </c>
      <c r="AI4624">
        <v>227.29910000000001</v>
      </c>
      <c r="AJ4624">
        <v>27.11017</v>
      </c>
      <c r="AK4624">
        <v>49.327120000000001</v>
      </c>
    </row>
    <row r="4625" spans="1:37" x14ac:dyDescent="0.3">
      <c r="A4625">
        <v>4624</v>
      </c>
      <c r="B4625">
        <v>0</v>
      </c>
      <c r="C4625">
        <v>8.2420500000000008</v>
      </c>
      <c r="D4625">
        <v>13.295199999999999</v>
      </c>
      <c r="E4625" t="s">
        <v>7311</v>
      </c>
      <c r="F4625" t="s">
        <v>7312</v>
      </c>
      <c r="G4625" t="s">
        <v>39</v>
      </c>
      <c r="H4625">
        <v>0</v>
      </c>
      <c r="I4625">
        <v>26.951350000000001</v>
      </c>
      <c r="J4625">
        <v>14.7</v>
      </c>
      <c r="K4625">
        <v>56</v>
      </c>
      <c r="L4625">
        <v>30.496220000000001</v>
      </c>
      <c r="M4625">
        <v>39.151350000000001</v>
      </c>
      <c r="N4625">
        <v>13.3</v>
      </c>
      <c r="O4625">
        <v>25.85135</v>
      </c>
      <c r="P4625">
        <v>26.651350000000001</v>
      </c>
      <c r="Q4625">
        <v>23.1</v>
      </c>
      <c r="R4625">
        <v>31</v>
      </c>
      <c r="S4625">
        <v>22.8</v>
      </c>
      <c r="T4625">
        <v>452</v>
      </c>
      <c r="U4625">
        <v>168.48650000000001</v>
      </c>
      <c r="V4625">
        <v>0</v>
      </c>
      <c r="W4625">
        <v>146</v>
      </c>
      <c r="X4625">
        <v>369.48649999999998</v>
      </c>
      <c r="Y4625">
        <v>0</v>
      </c>
      <c r="Z4625">
        <v>72.513509999999997</v>
      </c>
      <c r="AA4625">
        <v>0</v>
      </c>
      <c r="AB4625">
        <v>11.12872</v>
      </c>
      <c r="AC4625">
        <v>1.1416229999999999E-2</v>
      </c>
      <c r="AD4625">
        <v>2.6069010000000001</v>
      </c>
      <c r="AE4625">
        <v>0.64852430000000005</v>
      </c>
      <c r="AF4625">
        <v>442.07940000000002</v>
      </c>
      <c r="AG4625">
        <f>IFERROR(AH4625*0.1, "N/A")</f>
        <v>6.9140199999999998</v>
      </c>
      <c r="AH4625">
        <v>69.140199999999993</v>
      </c>
      <c r="AI4625">
        <v>162.52959999999999</v>
      </c>
      <c r="AJ4625">
        <v>13.44088</v>
      </c>
      <c r="AK4625">
        <v>71.513509999999997</v>
      </c>
    </row>
    <row r="4626" spans="1:37" x14ac:dyDescent="0.3">
      <c r="A4626">
        <v>4625</v>
      </c>
      <c r="B4626">
        <v>0</v>
      </c>
      <c r="C4626">
        <v>8.2420500000000008</v>
      </c>
      <c r="D4626">
        <v>13.295199999999999</v>
      </c>
      <c r="E4626" t="s">
        <v>7311</v>
      </c>
      <c r="F4626" t="s">
        <v>7313</v>
      </c>
      <c r="G4626" t="s">
        <v>37</v>
      </c>
      <c r="H4626">
        <v>0</v>
      </c>
      <c r="I4626">
        <v>26.951350000000001</v>
      </c>
      <c r="J4626">
        <v>14.7</v>
      </c>
      <c r="K4626">
        <v>56</v>
      </c>
      <c r="L4626">
        <v>30.496220000000001</v>
      </c>
      <c r="M4626">
        <v>39.151350000000001</v>
      </c>
      <c r="N4626">
        <v>13.3</v>
      </c>
      <c r="O4626">
        <v>25.85135</v>
      </c>
      <c r="P4626">
        <v>26.651350000000001</v>
      </c>
      <c r="Q4626">
        <v>23.1</v>
      </c>
      <c r="R4626">
        <v>31</v>
      </c>
      <c r="S4626">
        <v>22.8</v>
      </c>
      <c r="T4626">
        <v>452</v>
      </c>
      <c r="U4626">
        <v>168.48650000000001</v>
      </c>
      <c r="V4626">
        <v>0</v>
      </c>
      <c r="W4626">
        <v>146</v>
      </c>
      <c r="X4626">
        <v>369.48649999999998</v>
      </c>
      <c r="Y4626">
        <v>0</v>
      </c>
      <c r="Z4626">
        <v>72.513509999999997</v>
      </c>
      <c r="AA4626">
        <v>0</v>
      </c>
      <c r="AB4626">
        <v>11.12872</v>
      </c>
      <c r="AC4626">
        <v>1.1416229999999999E-2</v>
      </c>
      <c r="AD4626">
        <v>2.6069010000000001</v>
      </c>
      <c r="AE4626">
        <v>0.64852430000000005</v>
      </c>
      <c r="AF4626">
        <v>442.07940000000002</v>
      </c>
      <c r="AG4626">
        <f>IFERROR(AH4626*0.1, "N/A")</f>
        <v>6.9140199999999998</v>
      </c>
      <c r="AH4626">
        <v>69.140199999999993</v>
      </c>
      <c r="AI4626">
        <v>162.52959999999999</v>
      </c>
      <c r="AJ4626">
        <v>13.44088</v>
      </c>
      <c r="AK4626">
        <v>71.513509999999997</v>
      </c>
    </row>
    <row r="4627" spans="1:37" x14ac:dyDescent="0.3">
      <c r="A4627">
        <v>4626</v>
      </c>
      <c r="B4627">
        <v>72.5</v>
      </c>
      <c r="C4627">
        <v>2.3450000000000002</v>
      </c>
      <c r="D4627">
        <v>13.295299999999999</v>
      </c>
      <c r="E4627" t="s">
        <v>7314</v>
      </c>
      <c r="F4627" t="s">
        <v>7315</v>
      </c>
      <c r="G4627" t="s">
        <v>39</v>
      </c>
      <c r="H4627">
        <v>1986</v>
      </c>
      <c r="I4627">
        <v>29.2</v>
      </c>
      <c r="J4627">
        <v>14.2</v>
      </c>
      <c r="K4627">
        <v>56</v>
      </c>
      <c r="L4627">
        <v>28.79</v>
      </c>
      <c r="M4627">
        <v>41.2</v>
      </c>
      <c r="N4627">
        <v>15.9</v>
      </c>
      <c r="O4627">
        <v>25.3</v>
      </c>
      <c r="P4627">
        <v>28.4</v>
      </c>
      <c r="Q4627">
        <v>25.9</v>
      </c>
      <c r="R4627">
        <v>33</v>
      </c>
      <c r="S4627">
        <v>25.5</v>
      </c>
      <c r="T4627">
        <v>531</v>
      </c>
      <c r="U4627">
        <v>163</v>
      </c>
      <c r="V4627">
        <v>0</v>
      </c>
      <c r="W4627">
        <v>130</v>
      </c>
      <c r="X4627">
        <v>406</v>
      </c>
      <c r="Y4627">
        <v>0</v>
      </c>
      <c r="Z4627">
        <v>113</v>
      </c>
      <c r="AA4627">
        <v>0</v>
      </c>
      <c r="AB4627">
        <v>7.9288150000000002</v>
      </c>
      <c r="AC4627">
        <v>1.146903E-2</v>
      </c>
      <c r="AD4627">
        <v>0.92717459999999996</v>
      </c>
      <c r="AE4627">
        <v>0.65226890000000004</v>
      </c>
      <c r="AF4627">
        <v>184.239</v>
      </c>
      <c r="AG4627">
        <f>IFERROR(AH4627*0.1, "N/A")</f>
        <v>6.1654240000000007</v>
      </c>
      <c r="AH4627">
        <v>61.654240000000001</v>
      </c>
      <c r="AI4627">
        <v>218.05709999999999</v>
      </c>
      <c r="AJ4627">
        <v>21.08305</v>
      </c>
      <c r="AK4627">
        <v>60.461019999999998</v>
      </c>
    </row>
    <row r="4628" spans="1:37" x14ac:dyDescent="0.3">
      <c r="A4628">
        <v>4627</v>
      </c>
      <c r="B4628">
        <v>54.6</v>
      </c>
      <c r="C4628">
        <v>2.3374199999999998</v>
      </c>
      <c r="D4628">
        <v>13.3055</v>
      </c>
      <c r="E4628" t="s">
        <v>7316</v>
      </c>
      <c r="F4628" t="s">
        <v>7317</v>
      </c>
      <c r="G4628" t="s">
        <v>39</v>
      </c>
      <c r="H4628">
        <v>2004</v>
      </c>
      <c r="I4628">
        <v>29.2</v>
      </c>
      <c r="J4628">
        <v>14.2</v>
      </c>
      <c r="K4628">
        <v>56</v>
      </c>
      <c r="L4628">
        <v>28.85</v>
      </c>
      <c r="M4628">
        <v>41.2</v>
      </c>
      <c r="N4628">
        <v>15.9</v>
      </c>
      <c r="O4628">
        <v>25.3</v>
      </c>
      <c r="P4628">
        <v>28.4</v>
      </c>
      <c r="Q4628">
        <v>25.9</v>
      </c>
      <c r="R4628">
        <v>33</v>
      </c>
      <c r="S4628">
        <v>25.5</v>
      </c>
      <c r="T4628">
        <v>529</v>
      </c>
      <c r="U4628">
        <v>163</v>
      </c>
      <c r="V4628">
        <v>0</v>
      </c>
      <c r="W4628">
        <v>130</v>
      </c>
      <c r="X4628">
        <v>405</v>
      </c>
      <c r="Y4628">
        <v>0</v>
      </c>
      <c r="Z4628">
        <v>112</v>
      </c>
      <c r="AA4628">
        <v>0</v>
      </c>
      <c r="AB4628">
        <v>5.2691480000000004</v>
      </c>
      <c r="AC4628">
        <v>9.9368730000000006E-3</v>
      </c>
      <c r="AD4628">
        <v>0.77911430000000004</v>
      </c>
      <c r="AE4628">
        <v>0.67872049999999995</v>
      </c>
      <c r="AF4628">
        <v>184.41480000000001</v>
      </c>
      <c r="AG4628">
        <f>IFERROR(AH4628*0.1, "N/A")</f>
        <v>6.3274870000000005</v>
      </c>
      <c r="AH4628">
        <v>63.27487</v>
      </c>
      <c r="AI4628">
        <v>212.70140000000001</v>
      </c>
      <c r="AJ4628">
        <v>16.318719999999999</v>
      </c>
      <c r="AK4628">
        <v>67.254639999999995</v>
      </c>
    </row>
    <row r="4629" spans="1:37" x14ac:dyDescent="0.3">
      <c r="A4629">
        <v>4628</v>
      </c>
      <c r="B4629">
        <v>93</v>
      </c>
      <c r="C4629">
        <v>2.3388900000000001</v>
      </c>
      <c r="D4629">
        <v>13.3056</v>
      </c>
      <c r="E4629" t="s">
        <v>7318</v>
      </c>
      <c r="F4629" t="s">
        <v>7319</v>
      </c>
      <c r="G4629" t="s">
        <v>39</v>
      </c>
      <c r="H4629">
        <v>0</v>
      </c>
      <c r="I4629">
        <v>29.2</v>
      </c>
      <c r="J4629">
        <v>14.2</v>
      </c>
      <c r="K4629">
        <v>56</v>
      </c>
      <c r="L4629">
        <v>28.85</v>
      </c>
      <c r="M4629">
        <v>41.2</v>
      </c>
      <c r="N4629">
        <v>15.9</v>
      </c>
      <c r="O4629">
        <v>25.3</v>
      </c>
      <c r="P4629">
        <v>28.4</v>
      </c>
      <c r="Q4629">
        <v>25.9</v>
      </c>
      <c r="R4629">
        <v>33</v>
      </c>
      <c r="S4629">
        <v>25.5</v>
      </c>
      <c r="T4629">
        <v>529</v>
      </c>
      <c r="U4629">
        <v>163</v>
      </c>
      <c r="V4629">
        <v>0</v>
      </c>
      <c r="W4629">
        <v>130</v>
      </c>
      <c r="X4629">
        <v>405</v>
      </c>
      <c r="Y4629">
        <v>0</v>
      </c>
      <c r="Z4629">
        <v>112</v>
      </c>
      <c r="AA4629">
        <v>0</v>
      </c>
      <c r="AB4629">
        <v>6.5962969999999999</v>
      </c>
      <c r="AC4629">
        <v>0.1812134</v>
      </c>
      <c r="AD4629">
        <v>1.032098</v>
      </c>
      <c r="AE4629">
        <v>0.67872049999999995</v>
      </c>
      <c r="AF4629">
        <v>184.79159999999999</v>
      </c>
      <c r="AG4629">
        <f>IFERROR(AH4629*0.1, "N/A")</f>
        <v>6.1273949999999999</v>
      </c>
      <c r="AH4629">
        <v>61.273949999999999</v>
      </c>
      <c r="AI4629">
        <v>216.8767</v>
      </c>
      <c r="AJ4629">
        <v>14.74118</v>
      </c>
      <c r="AK4629">
        <v>71.894120000000001</v>
      </c>
    </row>
    <row r="4630" spans="1:37" x14ac:dyDescent="0.3">
      <c r="A4630">
        <v>4629</v>
      </c>
      <c r="B4630">
        <v>60</v>
      </c>
      <c r="C4630">
        <v>2.3302800000000001</v>
      </c>
      <c r="D4630">
        <v>13.3078</v>
      </c>
      <c r="E4630" t="s">
        <v>7320</v>
      </c>
      <c r="F4630" t="s">
        <v>7321</v>
      </c>
      <c r="G4630" t="s">
        <v>39</v>
      </c>
      <c r="H4630">
        <v>0</v>
      </c>
      <c r="I4630">
        <v>29.2</v>
      </c>
      <c r="J4630">
        <v>14.2</v>
      </c>
      <c r="K4630">
        <v>56</v>
      </c>
      <c r="L4630">
        <v>29.07</v>
      </c>
      <c r="M4630">
        <v>41.3</v>
      </c>
      <c r="N4630">
        <v>16</v>
      </c>
      <c r="O4630">
        <v>25.3</v>
      </c>
      <c r="P4630">
        <v>28.4</v>
      </c>
      <c r="Q4630">
        <v>25.9</v>
      </c>
      <c r="R4630">
        <v>33.1</v>
      </c>
      <c r="S4630">
        <v>25.5</v>
      </c>
      <c r="T4630">
        <v>530.91859999999997</v>
      </c>
      <c r="U4630">
        <v>163.97290000000001</v>
      </c>
      <c r="V4630">
        <v>0</v>
      </c>
      <c r="W4630">
        <v>130</v>
      </c>
      <c r="X4630">
        <v>405.94580000000002</v>
      </c>
      <c r="Y4630">
        <v>0</v>
      </c>
      <c r="Z4630">
        <v>112.9729</v>
      </c>
      <c r="AA4630">
        <v>0</v>
      </c>
      <c r="AB4630">
        <v>4.5579650000000003</v>
      </c>
      <c r="AC4630">
        <v>8.322744E-3</v>
      </c>
      <c r="AD4630">
        <v>1.1348659999999999</v>
      </c>
      <c r="AE4630">
        <v>0.68732040000000005</v>
      </c>
      <c r="AF4630">
        <v>180.70339999999999</v>
      </c>
      <c r="AG4630">
        <f>IFERROR(AH4630*0.1, "N/A")</f>
        <v>6.3355930000000003</v>
      </c>
      <c r="AH4630">
        <v>63.355930000000001</v>
      </c>
      <c r="AI4630">
        <v>184.51159999999999</v>
      </c>
      <c r="AJ4630">
        <v>24.338979999999999</v>
      </c>
      <c r="AK4630">
        <v>53.237290000000002</v>
      </c>
    </row>
    <row r="4631" spans="1:37" x14ac:dyDescent="0.3">
      <c r="A4631">
        <v>4630</v>
      </c>
      <c r="B4631">
        <v>58.4</v>
      </c>
      <c r="C4631">
        <v>2.3308300000000002</v>
      </c>
      <c r="D4631">
        <v>13.3081</v>
      </c>
      <c r="E4631" t="s">
        <v>7322</v>
      </c>
      <c r="F4631" t="s">
        <v>7323</v>
      </c>
      <c r="G4631" t="s">
        <v>39</v>
      </c>
      <c r="H4631">
        <v>2004</v>
      </c>
      <c r="I4631">
        <v>29.2</v>
      </c>
      <c r="J4631">
        <v>14.2</v>
      </c>
      <c r="K4631">
        <v>56</v>
      </c>
      <c r="L4631">
        <v>29.07</v>
      </c>
      <c r="M4631">
        <v>41.3</v>
      </c>
      <c r="N4631">
        <v>16</v>
      </c>
      <c r="O4631">
        <v>25.3</v>
      </c>
      <c r="P4631">
        <v>28.4</v>
      </c>
      <c r="Q4631">
        <v>25.9</v>
      </c>
      <c r="R4631">
        <v>33.1</v>
      </c>
      <c r="S4631">
        <v>25.5</v>
      </c>
      <c r="T4631">
        <v>530.46370000000002</v>
      </c>
      <c r="U4631">
        <v>163.8212</v>
      </c>
      <c r="V4631">
        <v>0</v>
      </c>
      <c r="W4631">
        <v>130</v>
      </c>
      <c r="X4631">
        <v>405.64249999999998</v>
      </c>
      <c r="Y4631">
        <v>0</v>
      </c>
      <c r="Z4631">
        <v>112.8212</v>
      </c>
      <c r="AA4631">
        <v>0</v>
      </c>
      <c r="AB4631">
        <v>2.8828040000000001</v>
      </c>
      <c r="AC4631">
        <v>8.7016790000000004E-3</v>
      </c>
      <c r="AD4631">
        <v>0.91108029999999995</v>
      </c>
      <c r="AE4631">
        <v>0.68732040000000005</v>
      </c>
      <c r="AF4631">
        <v>181.32550000000001</v>
      </c>
      <c r="AG4631">
        <f>IFERROR(AH4631*0.1, "N/A")</f>
        <v>6.2876900000000004</v>
      </c>
      <c r="AH4631">
        <v>62.876899999999999</v>
      </c>
      <c r="AI4631">
        <v>106.46259999999999</v>
      </c>
      <c r="AJ4631">
        <v>20.694769999999998</v>
      </c>
      <c r="AK4631">
        <v>58.61551</v>
      </c>
    </row>
    <row r="4632" spans="1:37" x14ac:dyDescent="0.3">
      <c r="A4632">
        <v>4631</v>
      </c>
      <c r="B4632">
        <v>64.099999999999994</v>
      </c>
      <c r="C4632">
        <v>2.3250600000000001</v>
      </c>
      <c r="D4632">
        <v>13.312099999999999</v>
      </c>
      <c r="E4632" t="s">
        <v>7324</v>
      </c>
      <c r="F4632" t="s">
        <v>7325</v>
      </c>
      <c r="G4632" t="s">
        <v>39</v>
      </c>
      <c r="H4632">
        <v>2004</v>
      </c>
      <c r="I4632">
        <v>29.2</v>
      </c>
      <c r="J4632">
        <v>14.2</v>
      </c>
      <c r="K4632">
        <v>56</v>
      </c>
      <c r="L4632">
        <v>29.076080000000001</v>
      </c>
      <c r="M4632">
        <v>41.3</v>
      </c>
      <c r="N4632">
        <v>16</v>
      </c>
      <c r="O4632">
        <v>25.3</v>
      </c>
      <c r="P4632">
        <v>28.4</v>
      </c>
      <c r="Q4632">
        <v>25.869589999999999</v>
      </c>
      <c r="R4632">
        <v>33.1</v>
      </c>
      <c r="S4632">
        <v>25.5</v>
      </c>
      <c r="T4632">
        <v>528</v>
      </c>
      <c r="U4632">
        <v>163.30410000000001</v>
      </c>
      <c r="V4632">
        <v>0</v>
      </c>
      <c r="W4632">
        <v>130</v>
      </c>
      <c r="X4632">
        <v>404</v>
      </c>
      <c r="Y4632">
        <v>0</v>
      </c>
      <c r="Z4632">
        <v>112</v>
      </c>
      <c r="AA4632">
        <v>0</v>
      </c>
      <c r="AB4632">
        <v>2.7168950000000001</v>
      </c>
      <c r="AC4632">
        <v>1.19075E-2</v>
      </c>
      <c r="AD4632">
        <v>1.2775049999999999</v>
      </c>
      <c r="AE4632">
        <v>0.68732040000000005</v>
      </c>
      <c r="AF4632">
        <v>178.26859999999999</v>
      </c>
      <c r="AG4632">
        <f>IFERROR(AH4632*0.1, "N/A")</f>
        <v>6.5087840000000003</v>
      </c>
      <c r="AH4632">
        <v>65.08784</v>
      </c>
      <c r="AI4632">
        <v>241.25630000000001</v>
      </c>
      <c r="AJ4632">
        <v>25.64865</v>
      </c>
      <c r="AK4632">
        <v>53.222969999999997</v>
      </c>
    </row>
    <row r="4633" spans="1:37" x14ac:dyDescent="0.3">
      <c r="A4633">
        <v>4632</v>
      </c>
      <c r="B4633">
        <v>50</v>
      </c>
      <c r="C4633">
        <v>12.5784</v>
      </c>
      <c r="D4633">
        <v>13.3133</v>
      </c>
      <c r="E4633" t="s">
        <v>7326</v>
      </c>
      <c r="F4633" t="s">
        <v>7327</v>
      </c>
      <c r="G4633" t="s">
        <v>39</v>
      </c>
      <c r="H4633">
        <v>0</v>
      </c>
      <c r="I4633">
        <v>27.2</v>
      </c>
      <c r="J4633">
        <v>15.1</v>
      </c>
      <c r="K4633">
        <v>55</v>
      </c>
      <c r="L4633">
        <v>34.61</v>
      </c>
      <c r="M4633">
        <v>39.799999999999997</v>
      </c>
      <c r="N4633">
        <v>12.5</v>
      </c>
      <c r="O4633">
        <v>27.3</v>
      </c>
      <c r="P4633">
        <v>28.2</v>
      </c>
      <c r="Q4633">
        <v>24.3</v>
      </c>
      <c r="R4633">
        <v>31.3</v>
      </c>
      <c r="S4633">
        <v>22.2</v>
      </c>
      <c r="T4633">
        <v>304</v>
      </c>
      <c r="U4633">
        <v>146</v>
      </c>
      <c r="V4633">
        <v>0</v>
      </c>
      <c r="W4633">
        <v>166</v>
      </c>
      <c r="X4633">
        <v>265</v>
      </c>
      <c r="Y4633">
        <v>0</v>
      </c>
      <c r="Z4633">
        <v>32</v>
      </c>
      <c r="AA4633">
        <v>0</v>
      </c>
      <c r="AB4633">
        <v>0.35739720000000003</v>
      </c>
      <c r="AC4633">
        <v>2.770924E-2</v>
      </c>
      <c r="AD4633">
        <v>1.401624</v>
      </c>
      <c r="AE4633">
        <v>0.62666089999999997</v>
      </c>
      <c r="AF4633">
        <v>303.67910000000001</v>
      </c>
      <c r="AG4633">
        <f>IFERROR(AH4633*0.1, "N/A")</f>
        <v>7.4030559999999994</v>
      </c>
      <c r="AH4633">
        <v>74.030559999999994</v>
      </c>
      <c r="AI4633">
        <v>167.55250000000001</v>
      </c>
      <c r="AJ4633">
        <v>8.0899830000000001</v>
      </c>
      <c r="AK4633">
        <v>79.910020000000003</v>
      </c>
    </row>
    <row r="4634" spans="1:37" x14ac:dyDescent="0.3">
      <c r="A4634">
        <v>4633</v>
      </c>
      <c r="B4634">
        <v>0</v>
      </c>
      <c r="C4634">
        <v>12.5784</v>
      </c>
      <c r="D4634">
        <v>13.3133</v>
      </c>
      <c r="E4634" t="s">
        <v>7326</v>
      </c>
      <c r="F4634" t="s">
        <v>7328</v>
      </c>
      <c r="G4634" t="s">
        <v>37</v>
      </c>
      <c r="H4634">
        <v>0</v>
      </c>
      <c r="I4634">
        <v>27.2</v>
      </c>
      <c r="J4634">
        <v>15.1</v>
      </c>
      <c r="K4634">
        <v>55</v>
      </c>
      <c r="L4634">
        <v>34.61</v>
      </c>
      <c r="M4634">
        <v>39.799999999999997</v>
      </c>
      <c r="N4634">
        <v>12.5</v>
      </c>
      <c r="O4634">
        <v>27.3</v>
      </c>
      <c r="P4634">
        <v>28.2</v>
      </c>
      <c r="Q4634">
        <v>24.3</v>
      </c>
      <c r="R4634">
        <v>31.3</v>
      </c>
      <c r="S4634">
        <v>22.2</v>
      </c>
      <c r="T4634">
        <v>304</v>
      </c>
      <c r="U4634">
        <v>146</v>
      </c>
      <c r="V4634">
        <v>0</v>
      </c>
      <c r="W4634">
        <v>166</v>
      </c>
      <c r="X4634">
        <v>265</v>
      </c>
      <c r="Y4634">
        <v>0</v>
      </c>
      <c r="Z4634">
        <v>32</v>
      </c>
      <c r="AA4634">
        <v>0</v>
      </c>
      <c r="AB4634">
        <v>0.35739720000000003</v>
      </c>
      <c r="AC4634">
        <v>2.770924E-2</v>
      </c>
      <c r="AD4634">
        <v>1.401624</v>
      </c>
      <c r="AE4634">
        <v>0.62666089999999997</v>
      </c>
      <c r="AF4634">
        <v>303.67910000000001</v>
      </c>
      <c r="AG4634">
        <f>IFERROR(AH4634*0.1, "N/A")</f>
        <v>7.4030559999999994</v>
      </c>
      <c r="AH4634">
        <v>74.030559999999994</v>
      </c>
      <c r="AI4634">
        <v>167.55250000000001</v>
      </c>
      <c r="AJ4634">
        <v>8.0899830000000001</v>
      </c>
      <c r="AK4634">
        <v>79.910020000000003</v>
      </c>
    </row>
    <row r="4635" spans="1:37" x14ac:dyDescent="0.3">
      <c r="A4635">
        <v>4634</v>
      </c>
      <c r="B4635">
        <v>0</v>
      </c>
      <c r="C4635">
        <v>4.1517900000000001</v>
      </c>
      <c r="D4635">
        <v>13.314299999999999</v>
      </c>
      <c r="E4635" t="s">
        <v>7329</v>
      </c>
      <c r="F4635" t="s">
        <v>7330</v>
      </c>
      <c r="G4635" t="s">
        <v>39</v>
      </c>
      <c r="H4635">
        <v>0</v>
      </c>
      <c r="I4635">
        <v>28.9</v>
      </c>
      <c r="J4635">
        <v>13.8</v>
      </c>
      <c r="K4635">
        <v>57</v>
      </c>
      <c r="L4635">
        <v>26.73</v>
      </c>
      <c r="M4635">
        <v>40.5</v>
      </c>
      <c r="N4635">
        <v>16.7</v>
      </c>
      <c r="O4635">
        <v>23.8</v>
      </c>
      <c r="P4635">
        <v>28</v>
      </c>
      <c r="Q4635">
        <v>25.6</v>
      </c>
      <c r="R4635">
        <v>32.5</v>
      </c>
      <c r="S4635">
        <v>25.6</v>
      </c>
      <c r="T4635">
        <v>523</v>
      </c>
      <c r="U4635">
        <v>172</v>
      </c>
      <c r="V4635">
        <v>0</v>
      </c>
      <c r="W4635">
        <v>132</v>
      </c>
      <c r="X4635">
        <v>400</v>
      </c>
      <c r="Y4635">
        <v>0</v>
      </c>
      <c r="Z4635">
        <v>105</v>
      </c>
      <c r="AA4635">
        <v>0</v>
      </c>
      <c r="AB4635">
        <v>0.76864339999999998</v>
      </c>
      <c r="AC4635">
        <v>0.67186310000000005</v>
      </c>
      <c r="AD4635">
        <v>0.64038119999999998</v>
      </c>
      <c r="AE4635">
        <v>0.69397880000000001</v>
      </c>
      <c r="AF4635">
        <v>220.55250000000001</v>
      </c>
      <c r="AG4635">
        <f>IFERROR(AH4635*0.1, "N/A")</f>
        <v>5.9913559999999997</v>
      </c>
      <c r="AH4635">
        <v>59.913559999999997</v>
      </c>
      <c r="AI4635">
        <v>105.2221</v>
      </c>
      <c r="AJ4635">
        <v>7.1898309999999999</v>
      </c>
      <c r="AK4635">
        <v>80.157629999999997</v>
      </c>
    </row>
    <row r="4636" spans="1:37" x14ac:dyDescent="0.3">
      <c r="A4636">
        <v>4635</v>
      </c>
      <c r="B4636">
        <v>0</v>
      </c>
      <c r="C4636">
        <v>4.1517900000000001</v>
      </c>
      <c r="D4636">
        <v>13.314299999999999</v>
      </c>
      <c r="E4636" t="s">
        <v>7329</v>
      </c>
      <c r="F4636" t="s">
        <v>7331</v>
      </c>
      <c r="G4636" t="s">
        <v>37</v>
      </c>
      <c r="H4636">
        <v>0</v>
      </c>
      <c r="I4636">
        <v>28.9</v>
      </c>
      <c r="J4636">
        <v>13.8</v>
      </c>
      <c r="K4636">
        <v>57</v>
      </c>
      <c r="L4636">
        <v>26.73</v>
      </c>
      <c r="M4636">
        <v>40.5</v>
      </c>
      <c r="N4636">
        <v>16.7</v>
      </c>
      <c r="O4636">
        <v>23.8</v>
      </c>
      <c r="P4636">
        <v>28</v>
      </c>
      <c r="Q4636">
        <v>25.6</v>
      </c>
      <c r="R4636">
        <v>32.5</v>
      </c>
      <c r="S4636">
        <v>25.6</v>
      </c>
      <c r="T4636">
        <v>523</v>
      </c>
      <c r="U4636">
        <v>172</v>
      </c>
      <c r="V4636">
        <v>0</v>
      </c>
      <c r="W4636">
        <v>132</v>
      </c>
      <c r="X4636">
        <v>400</v>
      </c>
      <c r="Y4636">
        <v>0</v>
      </c>
      <c r="Z4636">
        <v>105</v>
      </c>
      <c r="AA4636">
        <v>0</v>
      </c>
      <c r="AB4636">
        <v>0.76864339999999998</v>
      </c>
      <c r="AC4636">
        <v>0.67186310000000005</v>
      </c>
      <c r="AD4636">
        <v>0.64038119999999998</v>
      </c>
      <c r="AE4636">
        <v>0.69397880000000001</v>
      </c>
      <c r="AF4636">
        <v>220.55250000000001</v>
      </c>
      <c r="AG4636">
        <f>IFERROR(AH4636*0.1, "N/A")</f>
        <v>5.9913559999999997</v>
      </c>
      <c r="AH4636">
        <v>59.913559999999997</v>
      </c>
      <c r="AI4636">
        <v>105.2221</v>
      </c>
      <c r="AJ4636">
        <v>7.1898309999999999</v>
      </c>
      <c r="AK4636">
        <v>80.157629999999997</v>
      </c>
    </row>
    <row r="4637" spans="1:37" x14ac:dyDescent="0.3">
      <c r="A4637">
        <v>4636</v>
      </c>
      <c r="B4637">
        <v>0</v>
      </c>
      <c r="C4637">
        <v>11.8786</v>
      </c>
      <c r="D4637">
        <v>13.3177</v>
      </c>
      <c r="E4637" t="s">
        <v>7332</v>
      </c>
      <c r="F4637" t="s">
        <v>7333</v>
      </c>
      <c r="G4637" t="s">
        <v>39</v>
      </c>
      <c r="H4637">
        <v>0</v>
      </c>
      <c r="I4637">
        <v>27.6</v>
      </c>
      <c r="J4637">
        <v>15.1</v>
      </c>
      <c r="K4637">
        <v>54</v>
      </c>
      <c r="L4637">
        <v>34.5</v>
      </c>
      <c r="M4637">
        <v>40.6</v>
      </c>
      <c r="N4637">
        <v>12.9</v>
      </c>
      <c r="O4637">
        <v>27.7</v>
      </c>
      <c r="P4637">
        <v>28.2</v>
      </c>
      <c r="Q4637">
        <v>24.8</v>
      </c>
      <c r="R4637">
        <v>31.9</v>
      </c>
      <c r="S4637">
        <v>22.6</v>
      </c>
      <c r="T4637">
        <v>287</v>
      </c>
      <c r="U4637">
        <v>120</v>
      </c>
      <c r="V4637">
        <v>0</v>
      </c>
      <c r="W4637">
        <v>160</v>
      </c>
      <c r="X4637">
        <v>247</v>
      </c>
      <c r="Y4637">
        <v>0</v>
      </c>
      <c r="Z4637">
        <v>35</v>
      </c>
      <c r="AA4637">
        <v>0</v>
      </c>
      <c r="AB4637">
        <v>0.99661869999999997</v>
      </c>
      <c r="AC4637">
        <v>8.4070519999999999E-3</v>
      </c>
      <c r="AD4637">
        <v>3.0456669999999999</v>
      </c>
      <c r="AE4637">
        <v>0.39630530000000003</v>
      </c>
      <c r="AF4637">
        <v>319.5729</v>
      </c>
      <c r="AG4637">
        <f>IFERROR(AH4637*0.1, "N/A")</f>
        <v>6.7728809999999999</v>
      </c>
      <c r="AH4637">
        <v>67.728809999999996</v>
      </c>
      <c r="AI4637">
        <v>166.25309999999999</v>
      </c>
      <c r="AJ4637">
        <v>13.6661</v>
      </c>
      <c r="AK4637">
        <v>72.989829999999998</v>
      </c>
    </row>
    <row r="4638" spans="1:37" x14ac:dyDescent="0.3">
      <c r="A4638">
        <v>4637</v>
      </c>
      <c r="B4638">
        <v>27.4</v>
      </c>
      <c r="C4638">
        <v>2.3365200000000002</v>
      </c>
      <c r="D4638">
        <v>13.3184</v>
      </c>
      <c r="E4638" t="s">
        <v>7334</v>
      </c>
      <c r="F4638" t="s">
        <v>7335</v>
      </c>
      <c r="G4638" t="s">
        <v>39</v>
      </c>
      <c r="H4638">
        <v>2004</v>
      </c>
      <c r="I4638">
        <v>29.2</v>
      </c>
      <c r="J4638">
        <v>14.2</v>
      </c>
      <c r="K4638">
        <v>56</v>
      </c>
      <c r="L4638">
        <v>28.71</v>
      </c>
      <c r="M4638">
        <v>41.2</v>
      </c>
      <c r="N4638">
        <v>15.9</v>
      </c>
      <c r="O4638">
        <v>25.3</v>
      </c>
      <c r="P4638">
        <v>28.4</v>
      </c>
      <c r="Q4638">
        <v>25.9</v>
      </c>
      <c r="R4638">
        <v>33</v>
      </c>
      <c r="S4638">
        <v>25.5</v>
      </c>
      <c r="T4638">
        <v>526</v>
      </c>
      <c r="U4638">
        <v>162</v>
      </c>
      <c r="V4638">
        <v>0</v>
      </c>
      <c r="W4638">
        <v>132</v>
      </c>
      <c r="X4638">
        <v>402</v>
      </c>
      <c r="Y4638">
        <v>0</v>
      </c>
      <c r="Z4638">
        <v>112</v>
      </c>
      <c r="AA4638">
        <v>0</v>
      </c>
      <c r="AB4638">
        <v>1.5552220000000001</v>
      </c>
      <c r="AC4638">
        <v>1.028389E-2</v>
      </c>
      <c r="AD4638">
        <v>1.281987</v>
      </c>
      <c r="AE4638">
        <v>0.68245909999999999</v>
      </c>
      <c r="AF4638">
        <v>184.99160000000001</v>
      </c>
      <c r="AG4638">
        <f>IFERROR(AH4638*0.1, "N/A")</f>
        <v>5.5</v>
      </c>
      <c r="AH4638">
        <v>55</v>
      </c>
      <c r="AI4638">
        <v>180.58279999999999</v>
      </c>
      <c r="AJ4638">
        <v>12</v>
      </c>
      <c r="AK4638">
        <v>72</v>
      </c>
    </row>
    <row r="4639" spans="1:37" x14ac:dyDescent="0.3">
      <c r="A4639">
        <v>4638</v>
      </c>
      <c r="B4639">
        <v>0</v>
      </c>
      <c r="C4639">
        <v>13.047599999999999</v>
      </c>
      <c r="D4639">
        <v>13.3202</v>
      </c>
      <c r="E4639" t="s">
        <v>7336</v>
      </c>
      <c r="F4639" t="s">
        <v>7337</v>
      </c>
      <c r="G4639" t="s">
        <v>39</v>
      </c>
      <c r="H4639">
        <v>0</v>
      </c>
      <c r="I4639">
        <v>27</v>
      </c>
      <c r="J4639">
        <v>15.1</v>
      </c>
      <c r="K4639">
        <v>56</v>
      </c>
      <c r="L4639">
        <v>34.31</v>
      </c>
      <c r="M4639">
        <v>39.299999999999997</v>
      </c>
      <c r="N4639">
        <v>12.5</v>
      </c>
      <c r="O4639">
        <v>26.8</v>
      </c>
      <c r="P4639">
        <v>28.1</v>
      </c>
      <c r="Q4639">
        <v>24</v>
      </c>
      <c r="R4639">
        <v>31</v>
      </c>
      <c r="S4639">
        <v>22</v>
      </c>
      <c r="T4639">
        <v>288</v>
      </c>
      <c r="U4639">
        <v>133</v>
      </c>
      <c r="V4639">
        <v>0</v>
      </c>
      <c r="W4639">
        <v>162</v>
      </c>
      <c r="X4639">
        <v>253</v>
      </c>
      <c r="Y4639">
        <v>0</v>
      </c>
      <c r="Z4639">
        <v>29</v>
      </c>
      <c r="AA4639">
        <v>0</v>
      </c>
      <c r="AB4639">
        <v>1.0267550000000001</v>
      </c>
      <c r="AC4639">
        <v>2.029614</v>
      </c>
      <c r="AD4639">
        <v>1.7345759999999999</v>
      </c>
      <c r="AE4639">
        <v>0.16525380000000001</v>
      </c>
      <c r="AF4639">
        <v>293.0539</v>
      </c>
      <c r="AG4639">
        <f>IFERROR(AH4639*0.1, "N/A")</f>
        <v>7.1752529999999997</v>
      </c>
      <c r="AH4639">
        <v>71.752529999999993</v>
      </c>
      <c r="AI4639">
        <v>187.0478</v>
      </c>
      <c r="AJ4639">
        <v>9.0757580000000004</v>
      </c>
      <c r="AK4639">
        <v>79.348479999999995</v>
      </c>
    </row>
    <row r="4640" spans="1:37" x14ac:dyDescent="0.3">
      <c r="A4640">
        <v>4639</v>
      </c>
      <c r="B4640">
        <v>0</v>
      </c>
      <c r="C4640">
        <v>13.047599999999999</v>
      </c>
      <c r="D4640">
        <v>13.3202</v>
      </c>
      <c r="E4640" t="s">
        <v>7336</v>
      </c>
      <c r="F4640" t="s">
        <v>7338</v>
      </c>
      <c r="G4640" t="s">
        <v>37</v>
      </c>
      <c r="H4640">
        <v>0</v>
      </c>
      <c r="I4640">
        <v>27</v>
      </c>
      <c r="J4640">
        <v>15.1</v>
      </c>
      <c r="K4640">
        <v>56</v>
      </c>
      <c r="L4640">
        <v>34.31</v>
      </c>
      <c r="M4640">
        <v>39.299999999999997</v>
      </c>
      <c r="N4640">
        <v>12.5</v>
      </c>
      <c r="O4640">
        <v>26.8</v>
      </c>
      <c r="P4640">
        <v>28.1</v>
      </c>
      <c r="Q4640">
        <v>24</v>
      </c>
      <c r="R4640">
        <v>31</v>
      </c>
      <c r="S4640">
        <v>22</v>
      </c>
      <c r="T4640">
        <v>288</v>
      </c>
      <c r="U4640">
        <v>133</v>
      </c>
      <c r="V4640">
        <v>0</v>
      </c>
      <c r="W4640">
        <v>162</v>
      </c>
      <c r="X4640">
        <v>253</v>
      </c>
      <c r="Y4640">
        <v>0</v>
      </c>
      <c r="Z4640">
        <v>29</v>
      </c>
      <c r="AA4640">
        <v>0</v>
      </c>
      <c r="AB4640">
        <v>1.0267550000000001</v>
      </c>
      <c r="AC4640">
        <v>2.029614</v>
      </c>
      <c r="AD4640">
        <v>1.7345759999999999</v>
      </c>
      <c r="AE4640">
        <v>0.16525380000000001</v>
      </c>
      <c r="AF4640">
        <v>293.0539</v>
      </c>
      <c r="AG4640">
        <f>IFERROR(AH4640*0.1, "N/A")</f>
        <v>7.1752529999999997</v>
      </c>
      <c r="AH4640">
        <v>71.752529999999993</v>
      </c>
      <c r="AI4640">
        <v>187.0478</v>
      </c>
      <c r="AJ4640">
        <v>9.0757580000000004</v>
      </c>
      <c r="AK4640">
        <v>79.348479999999995</v>
      </c>
    </row>
    <row r="4641" spans="1:37" x14ac:dyDescent="0.3">
      <c r="A4641">
        <v>4640</v>
      </c>
      <c r="B4641">
        <v>41</v>
      </c>
      <c r="C4641">
        <v>2.3294000000000001</v>
      </c>
      <c r="D4641">
        <v>13.321999999999999</v>
      </c>
      <c r="E4641" t="s">
        <v>7339</v>
      </c>
      <c r="F4641" t="s">
        <v>7340</v>
      </c>
      <c r="G4641" t="s">
        <v>39</v>
      </c>
      <c r="H4641">
        <v>2004</v>
      </c>
      <c r="I4641">
        <v>29.2</v>
      </c>
      <c r="J4641">
        <v>14.2</v>
      </c>
      <c r="K4641">
        <v>55</v>
      </c>
      <c r="L4641">
        <v>29.3</v>
      </c>
      <c r="M4641">
        <v>41.3</v>
      </c>
      <c r="N4641">
        <v>15.9</v>
      </c>
      <c r="O4641">
        <v>25.4</v>
      </c>
      <c r="P4641">
        <v>28.4</v>
      </c>
      <c r="Q4641">
        <v>25.8</v>
      </c>
      <c r="R4641">
        <v>33.1</v>
      </c>
      <c r="S4641">
        <v>25.5</v>
      </c>
      <c r="T4641">
        <v>527</v>
      </c>
      <c r="U4641">
        <v>163</v>
      </c>
      <c r="V4641">
        <v>0</v>
      </c>
      <c r="W4641">
        <v>132</v>
      </c>
      <c r="X4641">
        <v>403</v>
      </c>
      <c r="Y4641">
        <v>0</v>
      </c>
      <c r="Z4641">
        <v>112</v>
      </c>
      <c r="AA4641">
        <v>0</v>
      </c>
      <c r="AB4641">
        <v>5.3252569999999997</v>
      </c>
      <c r="AC4641">
        <v>8.3222669999999995E-3</v>
      </c>
      <c r="AD4641">
        <v>1.4688479999999999</v>
      </c>
      <c r="AE4641">
        <v>0.72601830000000001</v>
      </c>
      <c r="AF4641">
        <v>184.4949</v>
      </c>
      <c r="AG4641">
        <f>IFERROR(AH4641*0.1, "N/A")</f>
        <v>5.5484850000000003</v>
      </c>
      <c r="AH4641">
        <v>55.484850000000002</v>
      </c>
      <c r="AI4641">
        <v>105.3193</v>
      </c>
      <c r="AJ4641">
        <v>14.787879999999999</v>
      </c>
      <c r="AK4641">
        <v>70.065659999999994</v>
      </c>
    </row>
    <row r="4642" spans="1:37" x14ac:dyDescent="0.3">
      <c r="A4642">
        <v>4641</v>
      </c>
      <c r="B4642">
        <v>81</v>
      </c>
      <c r="C4642">
        <v>2.30328</v>
      </c>
      <c r="D4642">
        <v>13.3299</v>
      </c>
      <c r="E4642" t="s">
        <v>7341</v>
      </c>
      <c r="F4642" t="s">
        <v>7342</v>
      </c>
      <c r="G4642" t="s">
        <v>39</v>
      </c>
      <c r="H4642">
        <v>0</v>
      </c>
      <c r="I4642">
        <v>29.3</v>
      </c>
      <c r="J4642">
        <v>14.2</v>
      </c>
      <c r="K4642">
        <v>56</v>
      </c>
      <c r="L4642">
        <v>29</v>
      </c>
      <c r="M4642">
        <v>41.3</v>
      </c>
      <c r="N4642">
        <v>16</v>
      </c>
      <c r="O4642">
        <v>25.3</v>
      </c>
      <c r="P4642">
        <v>28.4</v>
      </c>
      <c r="Q4642">
        <v>25.9</v>
      </c>
      <c r="R4642">
        <v>33.1</v>
      </c>
      <c r="S4642">
        <v>25.5</v>
      </c>
      <c r="T4642">
        <v>525</v>
      </c>
      <c r="U4642">
        <v>164</v>
      </c>
      <c r="V4642">
        <v>0</v>
      </c>
      <c r="W4642">
        <v>132</v>
      </c>
      <c r="X4642">
        <v>402</v>
      </c>
      <c r="Y4642">
        <v>0</v>
      </c>
      <c r="Z4642">
        <v>111</v>
      </c>
      <c r="AA4642">
        <v>0</v>
      </c>
      <c r="AB4642">
        <v>6.5480520000000002</v>
      </c>
      <c r="AC4642">
        <v>8.4768880000000001E-3</v>
      </c>
      <c r="AD4642">
        <v>0.58485450000000005</v>
      </c>
      <c r="AE4642">
        <v>0.63782130000000004</v>
      </c>
      <c r="AF4642">
        <v>179.6447</v>
      </c>
      <c r="AG4642">
        <f>IFERROR(AH4642*0.1, "N/A")</f>
        <v>6.1693740000000004</v>
      </c>
      <c r="AH4642">
        <v>61.693739999999998</v>
      </c>
      <c r="AI4642">
        <v>154.7055</v>
      </c>
      <c r="AJ4642">
        <v>30.571909999999999</v>
      </c>
      <c r="AK4642">
        <v>48.428089999999997</v>
      </c>
    </row>
    <row r="4643" spans="1:37" x14ac:dyDescent="0.3">
      <c r="A4643">
        <v>4642</v>
      </c>
      <c r="B4643">
        <v>18.8</v>
      </c>
      <c r="C4643">
        <v>8.3741400000000006</v>
      </c>
      <c r="D4643">
        <v>13.333600000000001</v>
      </c>
      <c r="E4643" t="s">
        <v>7343</v>
      </c>
      <c r="F4643" t="s">
        <v>7344</v>
      </c>
      <c r="G4643" t="s">
        <v>39</v>
      </c>
      <c r="H4643">
        <v>0</v>
      </c>
      <c r="I4643">
        <v>26.95618</v>
      </c>
      <c r="J4643">
        <v>14.756180000000001</v>
      </c>
      <c r="K4643">
        <v>56</v>
      </c>
      <c r="L4643">
        <v>31.453029999999998</v>
      </c>
      <c r="M4643">
        <v>39.1</v>
      </c>
      <c r="N4643">
        <v>13.04382</v>
      </c>
      <c r="O4643">
        <v>26.056180000000001</v>
      </c>
      <c r="P4643">
        <v>26.856179999999998</v>
      </c>
      <c r="Q4643">
        <v>22.9</v>
      </c>
      <c r="R4643">
        <v>31</v>
      </c>
      <c r="S4643">
        <v>22.6</v>
      </c>
      <c r="T4643">
        <v>432.56180000000001</v>
      </c>
      <c r="U4643">
        <v>162</v>
      </c>
      <c r="V4643">
        <v>0</v>
      </c>
      <c r="W4643">
        <v>145</v>
      </c>
      <c r="X4643">
        <v>355.56180000000001</v>
      </c>
      <c r="Y4643">
        <v>0</v>
      </c>
      <c r="Z4643">
        <v>68</v>
      </c>
      <c r="AA4643">
        <v>0</v>
      </c>
      <c r="AB4643">
        <v>4.8827400000000001</v>
      </c>
      <c r="AC4643">
        <v>8.3218779999999996E-3</v>
      </c>
      <c r="AD4643">
        <v>1.399473</v>
      </c>
      <c r="AE4643">
        <v>0.7222653</v>
      </c>
      <c r="AF4643">
        <v>468</v>
      </c>
      <c r="AG4643">
        <f>IFERROR(AH4643*0.1, "N/A")</f>
        <v>6.5</v>
      </c>
      <c r="AH4643">
        <v>65</v>
      </c>
      <c r="AI4643">
        <v>251.7996</v>
      </c>
      <c r="AJ4643">
        <v>13</v>
      </c>
      <c r="AK4643">
        <v>74</v>
      </c>
    </row>
    <row r="4644" spans="1:37" x14ac:dyDescent="0.3">
      <c r="A4644">
        <v>4643</v>
      </c>
      <c r="B4644">
        <v>0</v>
      </c>
      <c r="C4644">
        <v>8.3741400000000006</v>
      </c>
      <c r="D4644">
        <v>13.333600000000001</v>
      </c>
      <c r="E4644" t="s">
        <v>7343</v>
      </c>
      <c r="F4644" t="s">
        <v>7345</v>
      </c>
      <c r="G4644" t="s">
        <v>37</v>
      </c>
      <c r="H4644">
        <v>0</v>
      </c>
      <c r="I4644">
        <v>26.95618</v>
      </c>
      <c r="J4644">
        <v>14.756180000000001</v>
      </c>
      <c r="K4644">
        <v>56</v>
      </c>
      <c r="L4644">
        <v>31.453029999999998</v>
      </c>
      <c r="M4644">
        <v>39.1</v>
      </c>
      <c r="N4644">
        <v>13.04382</v>
      </c>
      <c r="O4644">
        <v>26.056180000000001</v>
      </c>
      <c r="P4644">
        <v>26.856179999999998</v>
      </c>
      <c r="Q4644">
        <v>22.9</v>
      </c>
      <c r="R4644">
        <v>31</v>
      </c>
      <c r="S4644">
        <v>22.6</v>
      </c>
      <c r="T4644">
        <v>432.56180000000001</v>
      </c>
      <c r="U4644">
        <v>162</v>
      </c>
      <c r="V4644">
        <v>0</v>
      </c>
      <c r="W4644">
        <v>145</v>
      </c>
      <c r="X4644">
        <v>355.56180000000001</v>
      </c>
      <c r="Y4644">
        <v>0</v>
      </c>
      <c r="Z4644">
        <v>68</v>
      </c>
      <c r="AA4644">
        <v>0</v>
      </c>
      <c r="AB4644">
        <v>4.8827400000000001</v>
      </c>
      <c r="AC4644">
        <v>8.3218779999999996E-3</v>
      </c>
      <c r="AD4644">
        <v>1.399473</v>
      </c>
      <c r="AE4644">
        <v>0.7222653</v>
      </c>
      <c r="AF4644">
        <v>468</v>
      </c>
      <c r="AG4644">
        <f>IFERROR(AH4644*0.1, "N/A")</f>
        <v>6.5</v>
      </c>
      <c r="AH4644">
        <v>65</v>
      </c>
      <c r="AI4644">
        <v>251.7996</v>
      </c>
      <c r="AJ4644">
        <v>13</v>
      </c>
      <c r="AK4644">
        <v>74</v>
      </c>
    </row>
    <row r="4645" spans="1:37" x14ac:dyDescent="0.3">
      <c r="A4645">
        <v>4644</v>
      </c>
      <c r="B4645">
        <v>21</v>
      </c>
      <c r="C4645">
        <v>2.2455599999999998</v>
      </c>
      <c r="D4645">
        <v>13.335599999999999</v>
      </c>
      <c r="E4645" t="s">
        <v>7346</v>
      </c>
      <c r="F4645" t="s">
        <v>7347</v>
      </c>
      <c r="G4645" t="s">
        <v>39</v>
      </c>
      <c r="H4645">
        <v>0</v>
      </c>
      <c r="I4645">
        <v>29.2</v>
      </c>
      <c r="J4645">
        <v>14.2</v>
      </c>
      <c r="K4645">
        <v>55</v>
      </c>
      <c r="L4645">
        <v>29.27</v>
      </c>
      <c r="M4645">
        <v>41.4</v>
      </c>
      <c r="N4645">
        <v>15.8</v>
      </c>
      <c r="O4645">
        <v>25.6</v>
      </c>
      <c r="P4645">
        <v>28.4</v>
      </c>
      <c r="Q4645">
        <v>25.8</v>
      </c>
      <c r="R4645">
        <v>33.1</v>
      </c>
      <c r="S4645">
        <v>25.5</v>
      </c>
      <c r="T4645">
        <v>529</v>
      </c>
      <c r="U4645">
        <v>166</v>
      </c>
      <c r="V4645">
        <v>0</v>
      </c>
      <c r="W4645">
        <v>130</v>
      </c>
      <c r="X4645">
        <v>404</v>
      </c>
      <c r="Y4645">
        <v>0</v>
      </c>
      <c r="Z4645">
        <v>113</v>
      </c>
      <c r="AA4645">
        <v>0</v>
      </c>
      <c r="AB4645">
        <v>2.8936199999999999</v>
      </c>
      <c r="AC4645">
        <v>5.1369499999999997</v>
      </c>
      <c r="AD4645">
        <v>1.018122</v>
      </c>
      <c r="AE4645">
        <v>0.32655719999999999</v>
      </c>
      <c r="AF4645">
        <v>180.1412</v>
      </c>
      <c r="AG4645">
        <f>IFERROR(AH4645*0.1, "N/A")</f>
        <v>6.4426890000000006</v>
      </c>
      <c r="AH4645">
        <v>64.42689</v>
      </c>
      <c r="AI4645">
        <v>62.456510000000002</v>
      </c>
      <c r="AJ4645">
        <v>15.06218</v>
      </c>
      <c r="AK4645">
        <v>69.892439999999993</v>
      </c>
    </row>
    <row r="4646" spans="1:37" x14ac:dyDescent="0.3">
      <c r="A4646">
        <v>4645</v>
      </c>
      <c r="B4646">
        <v>0</v>
      </c>
      <c r="C4646">
        <v>7.8147200000000003</v>
      </c>
      <c r="D4646">
        <v>13.347200000000001</v>
      </c>
      <c r="E4646" t="s">
        <v>7348</v>
      </c>
      <c r="F4646" t="s">
        <v>7349</v>
      </c>
      <c r="G4646" t="s">
        <v>39</v>
      </c>
      <c r="H4646">
        <v>0</v>
      </c>
      <c r="I4646">
        <v>27</v>
      </c>
      <c r="J4646">
        <v>14.5</v>
      </c>
      <c r="K4646">
        <v>55</v>
      </c>
      <c r="L4646">
        <v>30.58</v>
      </c>
      <c r="M4646">
        <v>39.299999999999997</v>
      </c>
      <c r="N4646">
        <v>13.3</v>
      </c>
      <c r="O4646">
        <v>26</v>
      </c>
      <c r="P4646">
        <v>26.5</v>
      </c>
      <c r="Q4646">
        <v>23.2</v>
      </c>
      <c r="R4646">
        <v>31</v>
      </c>
      <c r="S4646">
        <v>22.9</v>
      </c>
      <c r="T4646">
        <v>477</v>
      </c>
      <c r="U4646">
        <v>182</v>
      </c>
      <c r="V4646">
        <v>0</v>
      </c>
      <c r="W4646">
        <v>149</v>
      </c>
      <c r="X4646">
        <v>393</v>
      </c>
      <c r="Y4646">
        <v>0</v>
      </c>
      <c r="Z4646">
        <v>76</v>
      </c>
      <c r="AA4646">
        <v>0</v>
      </c>
      <c r="AB4646">
        <v>2.6394199999999999</v>
      </c>
      <c r="AC4646">
        <v>8.7522589999999997E-2</v>
      </c>
      <c r="AD4646">
        <v>1.003199</v>
      </c>
      <c r="AE4646">
        <v>0.68811800000000001</v>
      </c>
      <c r="AF4646">
        <v>415.45690000000002</v>
      </c>
      <c r="AG4646">
        <f>IFERROR(AH4646*0.1, "N/A")</f>
        <v>6.7549920000000006</v>
      </c>
      <c r="AH4646">
        <v>67.54992</v>
      </c>
      <c r="AI4646">
        <v>140.23509999999999</v>
      </c>
      <c r="AJ4646">
        <v>14.96785</v>
      </c>
      <c r="AK4646">
        <v>71.17259</v>
      </c>
    </row>
    <row r="4647" spans="1:37" x14ac:dyDescent="0.3">
      <c r="A4647">
        <v>4646</v>
      </c>
      <c r="B4647">
        <v>0</v>
      </c>
      <c r="C4647">
        <v>7.8147200000000003</v>
      </c>
      <c r="D4647">
        <v>13.347200000000001</v>
      </c>
      <c r="E4647" t="s">
        <v>7348</v>
      </c>
      <c r="F4647" t="s">
        <v>7350</v>
      </c>
      <c r="G4647" t="s">
        <v>37</v>
      </c>
      <c r="H4647">
        <v>0</v>
      </c>
      <c r="I4647">
        <v>27</v>
      </c>
      <c r="J4647">
        <v>14.5</v>
      </c>
      <c r="K4647">
        <v>55</v>
      </c>
      <c r="L4647">
        <v>30.58</v>
      </c>
      <c r="M4647">
        <v>39.299999999999997</v>
      </c>
      <c r="N4647">
        <v>13.3</v>
      </c>
      <c r="O4647">
        <v>26</v>
      </c>
      <c r="P4647">
        <v>26.5</v>
      </c>
      <c r="Q4647">
        <v>23.2</v>
      </c>
      <c r="R4647">
        <v>31</v>
      </c>
      <c r="S4647">
        <v>22.9</v>
      </c>
      <c r="T4647">
        <v>477</v>
      </c>
      <c r="U4647">
        <v>182</v>
      </c>
      <c r="V4647">
        <v>0</v>
      </c>
      <c r="W4647">
        <v>149</v>
      </c>
      <c r="X4647">
        <v>393</v>
      </c>
      <c r="Y4647">
        <v>0</v>
      </c>
      <c r="Z4647">
        <v>76</v>
      </c>
      <c r="AA4647">
        <v>0</v>
      </c>
      <c r="AB4647">
        <v>2.6394199999999999</v>
      </c>
      <c r="AC4647">
        <v>8.7522589999999997E-2</v>
      </c>
      <c r="AD4647">
        <v>1.003199</v>
      </c>
      <c r="AE4647">
        <v>0.68811800000000001</v>
      </c>
      <c r="AF4647">
        <v>415.45690000000002</v>
      </c>
      <c r="AG4647">
        <f>IFERROR(AH4647*0.1, "N/A")</f>
        <v>6.7549920000000006</v>
      </c>
      <c r="AH4647">
        <v>67.54992</v>
      </c>
      <c r="AI4647">
        <v>140.23509999999999</v>
      </c>
      <c r="AJ4647">
        <v>14.96785</v>
      </c>
      <c r="AK4647">
        <v>71.17259</v>
      </c>
    </row>
    <row r="4648" spans="1:37" x14ac:dyDescent="0.3">
      <c r="A4648">
        <v>4647</v>
      </c>
      <c r="B4648">
        <v>83.3</v>
      </c>
      <c r="C4648">
        <v>2.2475000000000001</v>
      </c>
      <c r="D4648">
        <v>13.3597</v>
      </c>
      <c r="E4648" t="s">
        <v>7351</v>
      </c>
      <c r="F4648" t="s">
        <v>7352</v>
      </c>
      <c r="G4648" t="s">
        <v>39</v>
      </c>
      <c r="H4648">
        <v>0</v>
      </c>
      <c r="I4648">
        <v>29.3</v>
      </c>
      <c r="J4648">
        <v>14.3</v>
      </c>
      <c r="K4648">
        <v>55</v>
      </c>
      <c r="L4648">
        <v>29.12</v>
      </c>
      <c r="M4648">
        <v>41.4</v>
      </c>
      <c r="N4648">
        <v>15.8</v>
      </c>
      <c r="O4648">
        <v>25.6</v>
      </c>
      <c r="P4648">
        <v>28.5</v>
      </c>
      <c r="Q4648">
        <v>25.8</v>
      </c>
      <c r="R4648">
        <v>33</v>
      </c>
      <c r="S4648">
        <v>25.5</v>
      </c>
      <c r="T4648">
        <v>523</v>
      </c>
      <c r="U4648">
        <v>165</v>
      </c>
      <c r="V4648">
        <v>0</v>
      </c>
      <c r="W4648">
        <v>132</v>
      </c>
      <c r="X4648">
        <v>401</v>
      </c>
      <c r="Y4648">
        <v>0</v>
      </c>
      <c r="Z4648">
        <v>110</v>
      </c>
      <c r="AA4648">
        <v>0</v>
      </c>
      <c r="AB4648">
        <v>4.5905189999999996</v>
      </c>
      <c r="AC4648">
        <v>0.1228312</v>
      </c>
      <c r="AD4648">
        <v>2.9883899999999999</v>
      </c>
      <c r="AE4648">
        <v>0.6857645</v>
      </c>
      <c r="AF4648">
        <v>184.20140000000001</v>
      </c>
      <c r="AG4648">
        <f>IFERROR(AH4648*0.1, "N/A")</f>
        <v>6.4306260000000002</v>
      </c>
      <c r="AH4648">
        <v>64.306259999999995</v>
      </c>
      <c r="AI4648">
        <v>87.974729999999994</v>
      </c>
      <c r="AJ4648">
        <v>18.043990000000001</v>
      </c>
      <c r="AK4648">
        <v>63.915399999999998</v>
      </c>
    </row>
    <row r="4649" spans="1:37" x14ac:dyDescent="0.3">
      <c r="A4649">
        <v>4648</v>
      </c>
      <c r="B4649">
        <v>0</v>
      </c>
      <c r="C4649">
        <v>2.2475000000000001</v>
      </c>
      <c r="D4649">
        <v>13.3597</v>
      </c>
      <c r="E4649" t="s">
        <v>7351</v>
      </c>
      <c r="F4649" t="s">
        <v>7353</v>
      </c>
      <c r="G4649" t="s">
        <v>37</v>
      </c>
      <c r="H4649">
        <v>0</v>
      </c>
      <c r="I4649">
        <v>29.3</v>
      </c>
      <c r="J4649">
        <v>14.3</v>
      </c>
      <c r="K4649">
        <v>55</v>
      </c>
      <c r="L4649">
        <v>29.12</v>
      </c>
      <c r="M4649">
        <v>41.4</v>
      </c>
      <c r="N4649">
        <v>15.8</v>
      </c>
      <c r="O4649">
        <v>25.6</v>
      </c>
      <c r="P4649">
        <v>28.5</v>
      </c>
      <c r="Q4649">
        <v>25.8</v>
      </c>
      <c r="R4649">
        <v>33</v>
      </c>
      <c r="S4649">
        <v>25.5</v>
      </c>
      <c r="T4649">
        <v>523</v>
      </c>
      <c r="U4649">
        <v>165</v>
      </c>
      <c r="V4649">
        <v>0</v>
      </c>
      <c r="W4649">
        <v>132</v>
      </c>
      <c r="X4649">
        <v>401</v>
      </c>
      <c r="Y4649">
        <v>0</v>
      </c>
      <c r="Z4649">
        <v>110</v>
      </c>
      <c r="AA4649">
        <v>0</v>
      </c>
      <c r="AB4649">
        <v>4.5905189999999996</v>
      </c>
      <c r="AC4649">
        <v>0.1228312</v>
      </c>
      <c r="AD4649">
        <v>2.9883899999999999</v>
      </c>
      <c r="AE4649">
        <v>0.6857645</v>
      </c>
      <c r="AF4649">
        <v>184.20140000000001</v>
      </c>
      <c r="AG4649">
        <f>IFERROR(AH4649*0.1, "N/A")</f>
        <v>6.4306260000000002</v>
      </c>
      <c r="AH4649">
        <v>64.306259999999995</v>
      </c>
      <c r="AI4649">
        <v>87.974729999999994</v>
      </c>
      <c r="AJ4649">
        <v>18.043990000000001</v>
      </c>
      <c r="AK4649">
        <v>63.915399999999998</v>
      </c>
    </row>
    <row r="4650" spans="1:37" x14ac:dyDescent="0.3">
      <c r="A4650">
        <v>4649</v>
      </c>
      <c r="B4650">
        <v>0</v>
      </c>
      <c r="C4650">
        <v>7.1520299999999999</v>
      </c>
      <c r="D4650">
        <v>13.363099999999999</v>
      </c>
      <c r="E4650" t="s">
        <v>7354</v>
      </c>
      <c r="F4650" t="s">
        <v>7355</v>
      </c>
      <c r="G4650" t="s">
        <v>39</v>
      </c>
      <c r="H4650">
        <v>0</v>
      </c>
      <c r="I4650">
        <v>27.3</v>
      </c>
      <c r="J4650">
        <v>14.5</v>
      </c>
      <c r="K4650">
        <v>54</v>
      </c>
      <c r="L4650">
        <v>32.700000000000003</v>
      </c>
      <c r="M4650">
        <v>39.700000000000003</v>
      </c>
      <c r="N4650">
        <v>13.1</v>
      </c>
      <c r="O4650">
        <v>26.6</v>
      </c>
      <c r="P4650">
        <v>27.3</v>
      </c>
      <c r="Q4650">
        <v>25.1</v>
      </c>
      <c r="R4650">
        <v>31.6</v>
      </c>
      <c r="S4650">
        <v>22.9</v>
      </c>
      <c r="T4650">
        <v>482</v>
      </c>
      <c r="U4650">
        <v>174</v>
      </c>
      <c r="V4650">
        <v>0</v>
      </c>
      <c r="W4650">
        <v>144</v>
      </c>
      <c r="X4650">
        <v>394</v>
      </c>
      <c r="Y4650">
        <v>0</v>
      </c>
      <c r="Z4650">
        <v>80</v>
      </c>
      <c r="AA4650">
        <v>0</v>
      </c>
      <c r="AB4650">
        <v>0.37841219999999998</v>
      </c>
      <c r="AC4650">
        <v>0.1748092</v>
      </c>
      <c r="AD4650">
        <v>0.967001</v>
      </c>
      <c r="AE4650">
        <v>0.76839290000000005</v>
      </c>
      <c r="AF4650">
        <v>353.68799999999999</v>
      </c>
      <c r="AG4650">
        <f>IFERROR(AH4650*0.1, "N/A")</f>
        <v>6.3155140000000003</v>
      </c>
      <c r="AH4650">
        <v>63.155140000000003</v>
      </c>
      <c r="AI4650">
        <v>223.059</v>
      </c>
      <c r="AJ4650">
        <v>21.359190000000002</v>
      </c>
      <c r="AK4650">
        <v>58.861719999999998</v>
      </c>
    </row>
    <row r="4651" spans="1:37" x14ac:dyDescent="0.3">
      <c r="A4651">
        <v>4650</v>
      </c>
      <c r="B4651">
        <v>0</v>
      </c>
      <c r="C4651">
        <v>7.1520299999999999</v>
      </c>
      <c r="D4651">
        <v>13.363099999999999</v>
      </c>
      <c r="E4651" t="s">
        <v>7354</v>
      </c>
      <c r="F4651" t="s">
        <v>7356</v>
      </c>
      <c r="G4651" t="s">
        <v>37</v>
      </c>
      <c r="H4651">
        <v>0</v>
      </c>
      <c r="I4651">
        <v>27.3</v>
      </c>
      <c r="J4651">
        <v>14.5</v>
      </c>
      <c r="K4651">
        <v>54</v>
      </c>
      <c r="L4651">
        <v>32.700000000000003</v>
      </c>
      <c r="M4651">
        <v>39.700000000000003</v>
      </c>
      <c r="N4651">
        <v>13.1</v>
      </c>
      <c r="O4651">
        <v>26.6</v>
      </c>
      <c r="P4651">
        <v>27.3</v>
      </c>
      <c r="Q4651">
        <v>25.1</v>
      </c>
      <c r="R4651">
        <v>31.6</v>
      </c>
      <c r="S4651">
        <v>22.9</v>
      </c>
      <c r="T4651">
        <v>482</v>
      </c>
      <c r="U4651">
        <v>174</v>
      </c>
      <c r="V4651">
        <v>0</v>
      </c>
      <c r="W4651">
        <v>144</v>
      </c>
      <c r="X4651">
        <v>394</v>
      </c>
      <c r="Y4651">
        <v>0</v>
      </c>
      <c r="Z4651">
        <v>80</v>
      </c>
      <c r="AA4651">
        <v>0</v>
      </c>
      <c r="AB4651">
        <v>0.37841219999999998</v>
      </c>
      <c r="AC4651">
        <v>0.1748092</v>
      </c>
      <c r="AD4651">
        <v>0.967001</v>
      </c>
      <c r="AE4651">
        <v>0.76839290000000005</v>
      </c>
      <c r="AF4651">
        <v>353.68799999999999</v>
      </c>
      <c r="AG4651">
        <f>IFERROR(AH4651*0.1, "N/A")</f>
        <v>6.3155140000000003</v>
      </c>
      <c r="AH4651">
        <v>63.155140000000003</v>
      </c>
      <c r="AI4651">
        <v>223.059</v>
      </c>
      <c r="AJ4651">
        <v>21.359190000000002</v>
      </c>
      <c r="AK4651">
        <v>58.861719999999998</v>
      </c>
    </row>
    <row r="4652" spans="1:37" x14ac:dyDescent="0.3">
      <c r="A4652">
        <v>4651</v>
      </c>
      <c r="B4652">
        <v>10</v>
      </c>
      <c r="C4652">
        <v>6.5937000000000001</v>
      </c>
      <c r="D4652">
        <v>13.3657</v>
      </c>
      <c r="E4652" t="s">
        <v>7357</v>
      </c>
      <c r="F4652" t="s">
        <v>7358</v>
      </c>
      <c r="G4652" t="s">
        <v>39</v>
      </c>
      <c r="H4652">
        <v>0</v>
      </c>
      <c r="I4652">
        <v>27.5</v>
      </c>
      <c r="J4652">
        <v>14.5</v>
      </c>
      <c r="K4652">
        <v>56</v>
      </c>
      <c r="L4652">
        <v>30.24</v>
      </c>
      <c r="M4652">
        <v>39.700000000000003</v>
      </c>
      <c r="N4652">
        <v>14</v>
      </c>
      <c r="O4652">
        <v>25.7</v>
      </c>
      <c r="P4652">
        <v>27.2</v>
      </c>
      <c r="Q4652">
        <v>25.7</v>
      </c>
      <c r="R4652">
        <v>31.5</v>
      </c>
      <c r="S4652">
        <v>23.6</v>
      </c>
      <c r="T4652">
        <v>468</v>
      </c>
      <c r="U4652">
        <v>165</v>
      </c>
      <c r="V4652">
        <v>0</v>
      </c>
      <c r="W4652">
        <v>141</v>
      </c>
      <c r="X4652">
        <v>382</v>
      </c>
      <c r="Y4652">
        <v>0</v>
      </c>
      <c r="Z4652">
        <v>79</v>
      </c>
      <c r="AA4652">
        <v>0</v>
      </c>
      <c r="AB4652">
        <v>3.9964490000000001</v>
      </c>
      <c r="AC4652">
        <v>0.1216706</v>
      </c>
      <c r="AD4652">
        <v>1.9218280000000001</v>
      </c>
      <c r="AE4652">
        <v>0.63602559999999997</v>
      </c>
      <c r="AF4652">
        <v>322.58710000000002</v>
      </c>
      <c r="AG4652">
        <f>IFERROR(AH4652*0.1, "N/A")</f>
        <v>6.1000000000000005</v>
      </c>
      <c r="AH4652">
        <v>61</v>
      </c>
      <c r="AI4652">
        <v>219.5788</v>
      </c>
      <c r="AJ4652">
        <v>12.83249</v>
      </c>
      <c r="AK4652">
        <v>73.167509999999993</v>
      </c>
    </row>
    <row r="4653" spans="1:37" x14ac:dyDescent="0.3">
      <c r="A4653">
        <v>4652</v>
      </c>
      <c r="B4653">
        <v>0</v>
      </c>
      <c r="C4653">
        <v>6.5937000000000001</v>
      </c>
      <c r="D4653">
        <v>13.3657</v>
      </c>
      <c r="E4653" t="s">
        <v>7357</v>
      </c>
      <c r="F4653" t="s">
        <v>7359</v>
      </c>
      <c r="G4653" t="s">
        <v>37</v>
      </c>
      <c r="H4653">
        <v>0</v>
      </c>
      <c r="I4653">
        <v>27.5</v>
      </c>
      <c r="J4653">
        <v>14.5</v>
      </c>
      <c r="K4653">
        <v>56</v>
      </c>
      <c r="L4653">
        <v>30.24</v>
      </c>
      <c r="M4653">
        <v>39.700000000000003</v>
      </c>
      <c r="N4653">
        <v>14</v>
      </c>
      <c r="O4653">
        <v>25.7</v>
      </c>
      <c r="P4653">
        <v>27.2</v>
      </c>
      <c r="Q4653">
        <v>25.7</v>
      </c>
      <c r="R4653">
        <v>31.5</v>
      </c>
      <c r="S4653">
        <v>23.6</v>
      </c>
      <c r="T4653">
        <v>468</v>
      </c>
      <c r="U4653">
        <v>165</v>
      </c>
      <c r="V4653">
        <v>0</v>
      </c>
      <c r="W4653">
        <v>141</v>
      </c>
      <c r="X4653">
        <v>382</v>
      </c>
      <c r="Y4653">
        <v>0</v>
      </c>
      <c r="Z4653">
        <v>79</v>
      </c>
      <c r="AA4653">
        <v>0</v>
      </c>
      <c r="AB4653">
        <v>3.9964490000000001</v>
      </c>
      <c r="AC4653">
        <v>0.1216706</v>
      </c>
      <c r="AD4653">
        <v>1.9218280000000001</v>
      </c>
      <c r="AE4653">
        <v>0.63602559999999997</v>
      </c>
      <c r="AF4653">
        <v>322.58710000000002</v>
      </c>
      <c r="AG4653">
        <f>IFERROR(AH4653*0.1, "N/A")</f>
        <v>6.1000000000000005</v>
      </c>
      <c r="AH4653">
        <v>61</v>
      </c>
      <c r="AI4653">
        <v>219.5788</v>
      </c>
      <c r="AJ4653">
        <v>12.83249</v>
      </c>
      <c r="AK4653">
        <v>73.167509999999993</v>
      </c>
    </row>
    <row r="4654" spans="1:37" x14ac:dyDescent="0.3">
      <c r="A4654">
        <v>4653</v>
      </c>
      <c r="B4654">
        <v>58.6</v>
      </c>
      <c r="C4654">
        <v>2.2374200000000002</v>
      </c>
      <c r="D4654">
        <v>13.377800000000001</v>
      </c>
      <c r="E4654" t="s">
        <v>7360</v>
      </c>
      <c r="F4654" t="s">
        <v>7361</v>
      </c>
      <c r="G4654" t="s">
        <v>39</v>
      </c>
      <c r="H4654">
        <v>1985</v>
      </c>
      <c r="I4654">
        <v>29.2</v>
      </c>
      <c r="J4654">
        <v>14.3</v>
      </c>
      <c r="K4654">
        <v>56</v>
      </c>
      <c r="L4654">
        <v>29.05</v>
      </c>
      <c r="M4654">
        <v>41.3</v>
      </c>
      <c r="N4654">
        <v>15.8</v>
      </c>
      <c r="O4654">
        <v>25.5</v>
      </c>
      <c r="P4654">
        <v>28.4</v>
      </c>
      <c r="Q4654">
        <v>25.7</v>
      </c>
      <c r="R4654">
        <v>33</v>
      </c>
      <c r="S4654">
        <v>25.5</v>
      </c>
      <c r="T4654">
        <v>523</v>
      </c>
      <c r="U4654">
        <v>165</v>
      </c>
      <c r="V4654">
        <v>0</v>
      </c>
      <c r="W4654">
        <v>132</v>
      </c>
      <c r="X4654">
        <v>400</v>
      </c>
      <c r="Y4654">
        <v>0</v>
      </c>
      <c r="Z4654">
        <v>110</v>
      </c>
      <c r="AA4654">
        <v>0</v>
      </c>
      <c r="AB4654">
        <v>1.678417</v>
      </c>
      <c r="AC4654">
        <v>11484.14</v>
      </c>
      <c r="AD4654">
        <v>2.4304030000000001</v>
      </c>
      <c r="AE4654">
        <v>0.69623579999999996</v>
      </c>
      <c r="AF4654">
        <v>180.8954</v>
      </c>
      <c r="AG4654">
        <f>IFERROR(AH4654*0.1, "N/A")</f>
        <v>5.6008430000000002</v>
      </c>
      <c r="AH4654">
        <v>56.008429999999997</v>
      </c>
      <c r="AI4654">
        <v>157.63570000000001</v>
      </c>
      <c r="AJ4654">
        <v>11.295109999999999</v>
      </c>
      <c r="AK4654">
        <v>71</v>
      </c>
    </row>
    <row r="4655" spans="1:37" x14ac:dyDescent="0.3">
      <c r="A4655">
        <v>4654</v>
      </c>
      <c r="B4655">
        <v>0</v>
      </c>
      <c r="C4655">
        <v>2.2374200000000002</v>
      </c>
      <c r="D4655">
        <v>13.377800000000001</v>
      </c>
      <c r="E4655" t="s">
        <v>7360</v>
      </c>
      <c r="F4655" t="s">
        <v>7362</v>
      </c>
      <c r="G4655" t="s">
        <v>37</v>
      </c>
      <c r="H4655">
        <v>1985</v>
      </c>
      <c r="I4655">
        <v>29.2</v>
      </c>
      <c r="J4655">
        <v>14.3</v>
      </c>
      <c r="K4655">
        <v>56</v>
      </c>
      <c r="L4655">
        <v>29.05</v>
      </c>
      <c r="M4655">
        <v>41.3</v>
      </c>
      <c r="N4655">
        <v>15.8</v>
      </c>
      <c r="O4655">
        <v>25.5</v>
      </c>
      <c r="P4655">
        <v>28.4</v>
      </c>
      <c r="Q4655">
        <v>25.7</v>
      </c>
      <c r="R4655">
        <v>33</v>
      </c>
      <c r="S4655">
        <v>25.5</v>
      </c>
      <c r="T4655">
        <v>523</v>
      </c>
      <c r="U4655">
        <v>165</v>
      </c>
      <c r="V4655">
        <v>0</v>
      </c>
      <c r="W4655">
        <v>132</v>
      </c>
      <c r="X4655">
        <v>400</v>
      </c>
      <c r="Y4655">
        <v>0</v>
      </c>
      <c r="Z4655">
        <v>110</v>
      </c>
      <c r="AA4655">
        <v>0</v>
      </c>
      <c r="AB4655">
        <v>1.678417</v>
      </c>
      <c r="AC4655">
        <v>11484.14</v>
      </c>
      <c r="AD4655">
        <v>2.4304030000000001</v>
      </c>
      <c r="AE4655">
        <v>0.69623579999999996</v>
      </c>
      <c r="AF4655">
        <v>180.8954</v>
      </c>
      <c r="AG4655">
        <f>IFERROR(AH4655*0.1, "N/A")</f>
        <v>5.6008430000000002</v>
      </c>
      <c r="AH4655">
        <v>56.008429999999997</v>
      </c>
      <c r="AI4655">
        <v>157.63570000000001</v>
      </c>
      <c r="AJ4655">
        <v>11.295109999999999</v>
      </c>
      <c r="AK4655">
        <v>71</v>
      </c>
    </row>
    <row r="4656" spans="1:37" x14ac:dyDescent="0.3">
      <c r="A4656">
        <v>4655</v>
      </c>
      <c r="B4656">
        <v>2</v>
      </c>
      <c r="C4656">
        <v>8.9847199999999994</v>
      </c>
      <c r="D4656">
        <v>13.377800000000001</v>
      </c>
      <c r="E4656" t="s">
        <v>7363</v>
      </c>
      <c r="F4656" t="s">
        <v>7364</v>
      </c>
      <c r="G4656" t="s">
        <v>39</v>
      </c>
      <c r="H4656">
        <v>0</v>
      </c>
      <c r="I4656">
        <v>27.7</v>
      </c>
      <c r="J4656">
        <v>15.1</v>
      </c>
      <c r="K4656">
        <v>55</v>
      </c>
      <c r="L4656">
        <v>35.17</v>
      </c>
      <c r="M4656">
        <v>40.299999999999997</v>
      </c>
      <c r="N4656">
        <v>13</v>
      </c>
      <c r="O4656">
        <v>27.3</v>
      </c>
      <c r="P4656">
        <v>28.1</v>
      </c>
      <c r="Q4656">
        <v>23</v>
      </c>
      <c r="R4656">
        <v>32.1</v>
      </c>
      <c r="S4656">
        <v>22.7</v>
      </c>
      <c r="T4656">
        <v>384</v>
      </c>
      <c r="U4656">
        <v>146</v>
      </c>
      <c r="V4656">
        <v>0</v>
      </c>
      <c r="W4656">
        <v>150</v>
      </c>
      <c r="X4656">
        <v>327</v>
      </c>
      <c r="Y4656">
        <v>0</v>
      </c>
      <c r="Z4656">
        <v>49</v>
      </c>
      <c r="AA4656">
        <v>0</v>
      </c>
      <c r="AB4656">
        <v>7.8555700000000002</v>
      </c>
      <c r="AC4656">
        <v>1844.3030000000001</v>
      </c>
      <c r="AD4656">
        <v>3.1947290000000002</v>
      </c>
      <c r="AE4656">
        <v>0.72614000000000001</v>
      </c>
      <c r="AF4656">
        <v>401.4307</v>
      </c>
      <c r="AG4656">
        <f>IFERROR(AH4656*0.1, "N/A")</f>
        <v>6.7292230000000011</v>
      </c>
      <c r="AH4656">
        <v>67.292230000000004</v>
      </c>
      <c r="AI4656">
        <v>234.595</v>
      </c>
      <c r="AJ4656">
        <v>15.01689</v>
      </c>
      <c r="AK4656">
        <v>73.228039999999993</v>
      </c>
    </row>
    <row r="4657" spans="1:37" x14ac:dyDescent="0.3">
      <c r="A4657">
        <v>4656</v>
      </c>
      <c r="B4657">
        <v>80</v>
      </c>
      <c r="C4657">
        <v>2.2288999999999999</v>
      </c>
      <c r="D4657">
        <v>13.379799999999999</v>
      </c>
      <c r="E4657" t="s">
        <v>7365</v>
      </c>
      <c r="F4657" t="s">
        <v>7366</v>
      </c>
      <c r="G4657" t="s">
        <v>39</v>
      </c>
      <c r="H4657">
        <v>0</v>
      </c>
      <c r="I4657">
        <v>29.2</v>
      </c>
      <c r="J4657">
        <v>14.3</v>
      </c>
      <c r="K4657">
        <v>55</v>
      </c>
      <c r="L4657">
        <v>28.84</v>
      </c>
      <c r="M4657">
        <v>41.4</v>
      </c>
      <c r="N4657">
        <v>15.8</v>
      </c>
      <c r="O4657">
        <v>25.6</v>
      </c>
      <c r="P4657">
        <v>28.5</v>
      </c>
      <c r="Q4657">
        <v>25.8</v>
      </c>
      <c r="R4657">
        <v>33</v>
      </c>
      <c r="S4657">
        <v>25.6</v>
      </c>
      <c r="T4657">
        <v>524</v>
      </c>
      <c r="U4657">
        <v>165</v>
      </c>
      <c r="V4657">
        <v>0</v>
      </c>
      <c r="W4657">
        <v>132</v>
      </c>
      <c r="X4657">
        <v>400</v>
      </c>
      <c r="Y4657">
        <v>0</v>
      </c>
      <c r="Z4657">
        <v>111</v>
      </c>
      <c r="AA4657">
        <v>0</v>
      </c>
      <c r="AB4657">
        <v>5.9528759999999998</v>
      </c>
      <c r="AC4657">
        <v>1.5766280000000001E-2</v>
      </c>
      <c r="AD4657">
        <v>1.0677639999999999</v>
      </c>
      <c r="AE4657">
        <v>0.69737539999999998</v>
      </c>
      <c r="AF4657">
        <v>182.6712</v>
      </c>
      <c r="AG4657">
        <f>IFERROR(AH4657*0.1, "N/A")</f>
        <v>5.8998309999999998</v>
      </c>
      <c r="AH4657">
        <v>58.998309999999996</v>
      </c>
      <c r="AI4657">
        <v>172.5008</v>
      </c>
      <c r="AJ4657">
        <v>11.754239999999999</v>
      </c>
      <c r="AK4657">
        <v>76.835589999999996</v>
      </c>
    </row>
    <row r="4658" spans="1:37" x14ac:dyDescent="0.3">
      <c r="A4658">
        <v>4657</v>
      </c>
      <c r="B4658">
        <v>0</v>
      </c>
      <c r="C4658">
        <v>2.2288999999999999</v>
      </c>
      <c r="D4658">
        <v>13.379799999999999</v>
      </c>
      <c r="E4658" t="s">
        <v>7365</v>
      </c>
      <c r="F4658" t="s">
        <v>7367</v>
      </c>
      <c r="G4658" t="s">
        <v>37</v>
      </c>
      <c r="H4658">
        <v>0</v>
      </c>
      <c r="I4658">
        <v>29.2</v>
      </c>
      <c r="J4658">
        <v>14.3</v>
      </c>
      <c r="K4658">
        <v>55</v>
      </c>
      <c r="L4658">
        <v>28.84</v>
      </c>
      <c r="M4658">
        <v>41.4</v>
      </c>
      <c r="N4658">
        <v>15.8</v>
      </c>
      <c r="O4658">
        <v>25.6</v>
      </c>
      <c r="P4658">
        <v>28.5</v>
      </c>
      <c r="Q4658">
        <v>25.8</v>
      </c>
      <c r="R4658">
        <v>33</v>
      </c>
      <c r="S4658">
        <v>25.6</v>
      </c>
      <c r="T4658">
        <v>524</v>
      </c>
      <c r="U4658">
        <v>165</v>
      </c>
      <c r="V4658">
        <v>0</v>
      </c>
      <c r="W4658">
        <v>132</v>
      </c>
      <c r="X4658">
        <v>400</v>
      </c>
      <c r="Y4658">
        <v>0</v>
      </c>
      <c r="Z4658">
        <v>111</v>
      </c>
      <c r="AA4658">
        <v>0</v>
      </c>
      <c r="AB4658">
        <v>5.9528759999999998</v>
      </c>
      <c r="AC4658">
        <v>1.5766280000000001E-2</v>
      </c>
      <c r="AD4658">
        <v>1.0677639999999999</v>
      </c>
      <c r="AE4658">
        <v>0.69737539999999998</v>
      </c>
      <c r="AF4658">
        <v>182.6712</v>
      </c>
      <c r="AG4658">
        <f>IFERROR(AH4658*0.1, "N/A")</f>
        <v>5.8998309999999998</v>
      </c>
      <c r="AH4658">
        <v>58.998309999999996</v>
      </c>
      <c r="AI4658">
        <v>172.5008</v>
      </c>
      <c r="AJ4658">
        <v>11.754239999999999</v>
      </c>
      <c r="AK4658">
        <v>76.835589999999996</v>
      </c>
    </row>
    <row r="4659" spans="1:37" x14ac:dyDescent="0.3">
      <c r="A4659">
        <v>4658</v>
      </c>
      <c r="B4659">
        <v>40</v>
      </c>
      <c r="C4659">
        <v>2.2086100000000002</v>
      </c>
      <c r="D4659">
        <v>13.3828</v>
      </c>
      <c r="E4659" t="s">
        <v>7368</v>
      </c>
      <c r="F4659" t="s">
        <v>7369</v>
      </c>
      <c r="G4659" t="s">
        <v>39</v>
      </c>
      <c r="H4659">
        <v>1986</v>
      </c>
      <c r="I4659">
        <v>29.3</v>
      </c>
      <c r="J4659">
        <v>14.3</v>
      </c>
      <c r="K4659">
        <v>55</v>
      </c>
      <c r="L4659">
        <v>28.925219999999999</v>
      </c>
      <c r="M4659">
        <v>41.4</v>
      </c>
      <c r="N4659">
        <v>15.8</v>
      </c>
      <c r="O4659">
        <v>25.6</v>
      </c>
      <c r="P4659">
        <v>28.526949999999999</v>
      </c>
      <c r="Q4659">
        <v>25.8</v>
      </c>
      <c r="R4659">
        <v>33.034750000000003</v>
      </c>
      <c r="S4659">
        <v>25.6</v>
      </c>
      <c r="T4659">
        <v>524.46609999999998</v>
      </c>
      <c r="U4659">
        <v>166</v>
      </c>
      <c r="V4659">
        <v>0</v>
      </c>
      <c r="W4659">
        <v>132</v>
      </c>
      <c r="X4659">
        <v>400.73559999999998</v>
      </c>
      <c r="Y4659">
        <v>0</v>
      </c>
      <c r="Z4659">
        <v>110.73050000000001</v>
      </c>
      <c r="AA4659">
        <v>0</v>
      </c>
      <c r="AB4659">
        <v>1.5527089999999999</v>
      </c>
      <c r="AC4659">
        <v>1.439819E-2</v>
      </c>
      <c r="AD4659">
        <v>1.658766</v>
      </c>
      <c r="AE4659">
        <v>0.64014689999999996</v>
      </c>
      <c r="AF4659">
        <v>178.79320000000001</v>
      </c>
      <c r="AG4659">
        <f>IFERROR(AH4659*0.1, "N/A")</f>
        <v>6.2942369999999999</v>
      </c>
      <c r="AH4659">
        <v>62.942369999999997</v>
      </c>
      <c r="AI4659">
        <v>126.4038</v>
      </c>
      <c r="AJ4659">
        <v>30.27458</v>
      </c>
      <c r="AK4659">
        <v>44.328809999999997</v>
      </c>
    </row>
    <row r="4660" spans="1:37" x14ac:dyDescent="0.3">
      <c r="A4660">
        <v>4659</v>
      </c>
      <c r="B4660">
        <v>90.2</v>
      </c>
      <c r="C4660">
        <v>2.1970000000000001</v>
      </c>
      <c r="D4660">
        <v>13.382999999999999</v>
      </c>
      <c r="E4660" t="s">
        <v>7370</v>
      </c>
      <c r="F4660" t="s">
        <v>7371</v>
      </c>
      <c r="G4660" t="s">
        <v>39</v>
      </c>
      <c r="H4660">
        <v>1987</v>
      </c>
      <c r="I4660">
        <v>29.3</v>
      </c>
      <c r="J4660">
        <v>14.3</v>
      </c>
      <c r="K4660">
        <v>55</v>
      </c>
      <c r="L4660">
        <v>29.050370000000001</v>
      </c>
      <c r="M4660">
        <v>41.4</v>
      </c>
      <c r="N4660">
        <v>15.8</v>
      </c>
      <c r="O4660">
        <v>25.6</v>
      </c>
      <c r="P4660">
        <v>28.6</v>
      </c>
      <c r="Q4660">
        <v>25.8</v>
      </c>
      <c r="R4660">
        <v>33.1</v>
      </c>
      <c r="S4660">
        <v>25.556609999999999</v>
      </c>
      <c r="T4660">
        <v>525.56610000000001</v>
      </c>
      <c r="U4660">
        <v>167</v>
      </c>
      <c r="V4660">
        <v>0</v>
      </c>
      <c r="W4660">
        <v>132</v>
      </c>
      <c r="X4660">
        <v>402</v>
      </c>
      <c r="Y4660">
        <v>0</v>
      </c>
      <c r="Z4660">
        <v>110.56610000000001</v>
      </c>
      <c r="AA4660">
        <v>0</v>
      </c>
      <c r="AB4660">
        <v>2.56338</v>
      </c>
      <c r="AC4660">
        <v>8.5740460000000001E-3</v>
      </c>
      <c r="AD4660">
        <v>1.2348669999999999</v>
      </c>
      <c r="AE4660">
        <v>0.37573119999999999</v>
      </c>
      <c r="AF4660">
        <v>178.44069999999999</v>
      </c>
      <c r="AG4660">
        <f>IFERROR(AH4660*0.1, "N/A")</f>
        <v>6.6000000000000005</v>
      </c>
      <c r="AH4660">
        <v>66</v>
      </c>
      <c r="AI4660">
        <v>87.368250000000003</v>
      </c>
      <c r="AJ4660">
        <v>31</v>
      </c>
      <c r="AK4660">
        <v>49</v>
      </c>
    </row>
    <row r="4661" spans="1:37" x14ac:dyDescent="0.3">
      <c r="A4661">
        <v>4660</v>
      </c>
      <c r="B4661">
        <v>29</v>
      </c>
      <c r="C4661">
        <v>2.1771699999999998</v>
      </c>
      <c r="D4661">
        <v>13.384399999999999</v>
      </c>
      <c r="E4661" t="s">
        <v>7372</v>
      </c>
      <c r="F4661" t="s">
        <v>7373</v>
      </c>
      <c r="G4661" t="s">
        <v>39</v>
      </c>
      <c r="H4661">
        <v>0</v>
      </c>
      <c r="I4661">
        <v>29.3</v>
      </c>
      <c r="J4661">
        <v>14.4</v>
      </c>
      <c r="K4661">
        <v>56</v>
      </c>
      <c r="L4661">
        <v>29.18</v>
      </c>
      <c r="M4661">
        <v>41.4</v>
      </c>
      <c r="N4661">
        <v>15.7</v>
      </c>
      <c r="O4661">
        <v>25.7</v>
      </c>
      <c r="P4661">
        <v>28.5</v>
      </c>
      <c r="Q4661">
        <v>25.8</v>
      </c>
      <c r="R4661">
        <v>33</v>
      </c>
      <c r="S4661">
        <v>25.5</v>
      </c>
      <c r="T4661">
        <v>525</v>
      </c>
      <c r="U4661">
        <v>167</v>
      </c>
      <c r="V4661">
        <v>0</v>
      </c>
      <c r="W4661">
        <v>132</v>
      </c>
      <c r="X4661">
        <v>402</v>
      </c>
      <c r="Y4661">
        <v>0</v>
      </c>
      <c r="Z4661">
        <v>110</v>
      </c>
      <c r="AA4661">
        <v>0</v>
      </c>
      <c r="AB4661">
        <v>22.285789999999999</v>
      </c>
      <c r="AC4661">
        <v>2.4045509999999999E-2</v>
      </c>
      <c r="AD4661">
        <v>1.1020160000000001</v>
      </c>
      <c r="AE4661">
        <v>0.57318349999999996</v>
      </c>
      <c r="AF4661">
        <v>198.8629</v>
      </c>
      <c r="AG4661">
        <f>IFERROR(AH4661*0.1, "N/A")</f>
        <v>6.5568530000000003</v>
      </c>
      <c r="AH4661">
        <v>65.568529999999996</v>
      </c>
      <c r="AI4661">
        <v>100.61620000000001</v>
      </c>
      <c r="AJ4661">
        <v>20.409479999999999</v>
      </c>
      <c r="AK4661">
        <v>61.38579</v>
      </c>
    </row>
    <row r="4662" spans="1:37" x14ac:dyDescent="0.3">
      <c r="A4662">
        <v>4661</v>
      </c>
      <c r="B4662">
        <v>0</v>
      </c>
      <c r="C4662">
        <v>11.0527</v>
      </c>
      <c r="D4662">
        <v>13.3858</v>
      </c>
      <c r="E4662" t="s">
        <v>7374</v>
      </c>
      <c r="F4662" t="s">
        <v>7375</v>
      </c>
      <c r="G4662" t="s">
        <v>39</v>
      </c>
      <c r="H4662">
        <v>0</v>
      </c>
      <c r="I4662">
        <v>27.1</v>
      </c>
      <c r="J4662">
        <v>15.3</v>
      </c>
      <c r="K4662">
        <v>56</v>
      </c>
      <c r="L4662">
        <v>32.07</v>
      </c>
      <c r="M4662">
        <v>39.700000000000003</v>
      </c>
      <c r="N4662">
        <v>12.8</v>
      </c>
      <c r="O4662">
        <v>26.9</v>
      </c>
      <c r="P4662">
        <v>27.3</v>
      </c>
      <c r="Q4662">
        <v>24.6</v>
      </c>
      <c r="R4662">
        <v>31.2</v>
      </c>
      <c r="S4662">
        <v>22.6</v>
      </c>
      <c r="T4662">
        <v>293</v>
      </c>
      <c r="U4662">
        <v>113</v>
      </c>
      <c r="V4662">
        <v>0</v>
      </c>
      <c r="W4662">
        <v>156</v>
      </c>
      <c r="X4662">
        <v>254</v>
      </c>
      <c r="Y4662">
        <v>0</v>
      </c>
      <c r="Z4662">
        <v>35</v>
      </c>
      <c r="AA4662">
        <v>0</v>
      </c>
      <c r="AB4662">
        <v>2.1212900000000001</v>
      </c>
      <c r="AC4662">
        <v>2.2065310000000001E-2</v>
      </c>
      <c r="AD4662">
        <v>1.0081789999999999</v>
      </c>
      <c r="AE4662">
        <v>0.52474710000000002</v>
      </c>
      <c r="AF4662">
        <v>341.57089999999999</v>
      </c>
      <c r="AG4662">
        <f>IFERROR(AH4662*0.1, "N/A")</f>
        <v>7</v>
      </c>
      <c r="AH4662">
        <v>70</v>
      </c>
      <c r="AI4662">
        <v>117.9905</v>
      </c>
      <c r="AJ4662">
        <v>8.0439190000000007</v>
      </c>
      <c r="AK4662">
        <v>80.978039999999993</v>
      </c>
    </row>
    <row r="4663" spans="1:37" x14ac:dyDescent="0.3">
      <c r="A4663">
        <v>4662</v>
      </c>
      <c r="B4663">
        <v>0</v>
      </c>
      <c r="C4663">
        <v>11.0527</v>
      </c>
      <c r="D4663">
        <v>13.3858</v>
      </c>
      <c r="E4663" t="s">
        <v>7374</v>
      </c>
      <c r="F4663" t="s">
        <v>7376</v>
      </c>
      <c r="G4663" t="s">
        <v>37</v>
      </c>
      <c r="H4663">
        <v>0</v>
      </c>
      <c r="I4663">
        <v>27.1</v>
      </c>
      <c r="J4663">
        <v>15.3</v>
      </c>
      <c r="K4663">
        <v>56</v>
      </c>
      <c r="L4663">
        <v>32.07</v>
      </c>
      <c r="M4663">
        <v>39.700000000000003</v>
      </c>
      <c r="N4663">
        <v>12.8</v>
      </c>
      <c r="O4663">
        <v>26.9</v>
      </c>
      <c r="P4663">
        <v>27.3</v>
      </c>
      <c r="Q4663">
        <v>24.6</v>
      </c>
      <c r="R4663">
        <v>31.2</v>
      </c>
      <c r="S4663">
        <v>22.6</v>
      </c>
      <c r="T4663">
        <v>293</v>
      </c>
      <c r="U4663">
        <v>113</v>
      </c>
      <c r="V4663">
        <v>0</v>
      </c>
      <c r="W4663">
        <v>156</v>
      </c>
      <c r="X4663">
        <v>254</v>
      </c>
      <c r="Y4663">
        <v>0</v>
      </c>
      <c r="Z4663">
        <v>35</v>
      </c>
      <c r="AA4663">
        <v>0</v>
      </c>
      <c r="AB4663">
        <v>2.1212900000000001</v>
      </c>
      <c r="AC4663">
        <v>2.2065310000000001E-2</v>
      </c>
      <c r="AD4663">
        <v>1.0081789999999999</v>
      </c>
      <c r="AE4663">
        <v>0.52474710000000002</v>
      </c>
      <c r="AF4663">
        <v>341.57089999999999</v>
      </c>
      <c r="AG4663">
        <f>IFERROR(AH4663*0.1, "N/A")</f>
        <v>7</v>
      </c>
      <c r="AH4663">
        <v>70</v>
      </c>
      <c r="AI4663">
        <v>117.9905</v>
      </c>
      <c r="AJ4663">
        <v>8.0439190000000007</v>
      </c>
      <c r="AK4663">
        <v>80.978039999999993</v>
      </c>
    </row>
    <row r="4664" spans="1:37" x14ac:dyDescent="0.3">
      <c r="A4664">
        <v>4663</v>
      </c>
      <c r="B4664">
        <v>0</v>
      </c>
      <c r="C4664">
        <v>11.5237</v>
      </c>
      <c r="D4664">
        <v>13.3908</v>
      </c>
      <c r="E4664" t="s">
        <v>7377</v>
      </c>
      <c r="F4664" t="s">
        <v>7378</v>
      </c>
      <c r="G4664" t="s">
        <v>39</v>
      </c>
      <c r="H4664">
        <v>0</v>
      </c>
      <c r="I4664">
        <v>27.3</v>
      </c>
      <c r="J4664">
        <v>15.2</v>
      </c>
      <c r="K4664">
        <v>55</v>
      </c>
      <c r="L4664">
        <v>33.83</v>
      </c>
      <c r="M4664">
        <v>40.1</v>
      </c>
      <c r="N4664">
        <v>12.7</v>
      </c>
      <c r="O4664">
        <v>27.4</v>
      </c>
      <c r="P4664">
        <v>27.7</v>
      </c>
      <c r="Q4664">
        <v>24.6</v>
      </c>
      <c r="R4664">
        <v>31.5</v>
      </c>
      <c r="S4664">
        <v>22.4</v>
      </c>
      <c r="T4664">
        <v>256</v>
      </c>
      <c r="U4664">
        <v>109</v>
      </c>
      <c r="V4664">
        <v>0</v>
      </c>
      <c r="W4664">
        <v>160</v>
      </c>
      <c r="X4664">
        <v>224</v>
      </c>
      <c r="Y4664">
        <v>0</v>
      </c>
      <c r="Z4664">
        <v>28</v>
      </c>
      <c r="AA4664">
        <v>0</v>
      </c>
      <c r="AB4664">
        <v>13.06911</v>
      </c>
      <c r="AC4664">
        <v>3.0596020000000002E-2</v>
      </c>
      <c r="AD4664">
        <v>0.6251215</v>
      </c>
      <c r="AE4664">
        <v>0.31555329999999998</v>
      </c>
      <c r="AF4664">
        <v>339.74189999999999</v>
      </c>
      <c r="AG4664">
        <f>IFERROR(AH4664*0.1, "N/A")</f>
        <v>7.1212220000000004</v>
      </c>
      <c r="AH4664">
        <v>71.212220000000002</v>
      </c>
      <c r="AI4664">
        <v>32.418430000000001</v>
      </c>
      <c r="AJ4664">
        <v>9.7877759999999991</v>
      </c>
      <c r="AK4664">
        <v>81.212220000000002</v>
      </c>
    </row>
    <row r="4665" spans="1:37" x14ac:dyDescent="0.3">
      <c r="A4665">
        <v>4664</v>
      </c>
      <c r="B4665">
        <v>0</v>
      </c>
      <c r="C4665">
        <v>11.5237</v>
      </c>
      <c r="D4665">
        <v>13.3908</v>
      </c>
      <c r="E4665" t="s">
        <v>7377</v>
      </c>
      <c r="F4665" t="s">
        <v>7379</v>
      </c>
      <c r="G4665" t="s">
        <v>37</v>
      </c>
      <c r="H4665">
        <v>0</v>
      </c>
      <c r="I4665">
        <v>27.3</v>
      </c>
      <c r="J4665">
        <v>15.2</v>
      </c>
      <c r="K4665">
        <v>55</v>
      </c>
      <c r="L4665">
        <v>33.83</v>
      </c>
      <c r="M4665">
        <v>40.1</v>
      </c>
      <c r="N4665">
        <v>12.7</v>
      </c>
      <c r="O4665">
        <v>27.4</v>
      </c>
      <c r="P4665">
        <v>27.7</v>
      </c>
      <c r="Q4665">
        <v>24.6</v>
      </c>
      <c r="R4665">
        <v>31.5</v>
      </c>
      <c r="S4665">
        <v>22.4</v>
      </c>
      <c r="T4665">
        <v>256</v>
      </c>
      <c r="U4665">
        <v>109</v>
      </c>
      <c r="V4665">
        <v>0</v>
      </c>
      <c r="W4665">
        <v>160</v>
      </c>
      <c r="X4665">
        <v>224</v>
      </c>
      <c r="Y4665">
        <v>0</v>
      </c>
      <c r="Z4665">
        <v>28</v>
      </c>
      <c r="AA4665">
        <v>0</v>
      </c>
      <c r="AB4665">
        <v>13.06911</v>
      </c>
      <c r="AC4665">
        <v>3.0596020000000002E-2</v>
      </c>
      <c r="AD4665">
        <v>0.6251215</v>
      </c>
      <c r="AE4665">
        <v>0.31555329999999998</v>
      </c>
      <c r="AF4665">
        <v>339.74189999999999</v>
      </c>
      <c r="AG4665">
        <f>IFERROR(AH4665*0.1, "N/A")</f>
        <v>7.1212220000000004</v>
      </c>
      <c r="AH4665">
        <v>71.212220000000002</v>
      </c>
      <c r="AI4665">
        <v>32.418430000000001</v>
      </c>
      <c r="AJ4665">
        <v>9.7877759999999991</v>
      </c>
      <c r="AK4665">
        <v>81.212220000000002</v>
      </c>
    </row>
    <row r="4666" spans="1:37" x14ac:dyDescent="0.3">
      <c r="A4666">
        <v>4665</v>
      </c>
      <c r="B4666">
        <v>4</v>
      </c>
      <c r="C4666">
        <v>9.1612200000000001</v>
      </c>
      <c r="D4666">
        <v>13.3934</v>
      </c>
      <c r="E4666" t="s">
        <v>7380</v>
      </c>
      <c r="F4666" t="s">
        <v>7381</v>
      </c>
      <c r="G4666" t="s">
        <v>39</v>
      </c>
      <c r="H4666">
        <v>0</v>
      </c>
      <c r="I4666">
        <v>27.8</v>
      </c>
      <c r="J4666">
        <v>15.1</v>
      </c>
      <c r="K4666">
        <v>55</v>
      </c>
      <c r="L4666">
        <v>34.79</v>
      </c>
      <c r="M4666">
        <v>40.5</v>
      </c>
      <c r="N4666">
        <v>13.4</v>
      </c>
      <c r="O4666">
        <v>27.1</v>
      </c>
      <c r="P4666">
        <v>28</v>
      </c>
      <c r="Q4666">
        <v>23.3</v>
      </c>
      <c r="R4666">
        <v>32.299999999999997</v>
      </c>
      <c r="S4666">
        <v>22.9</v>
      </c>
      <c r="T4666">
        <v>367</v>
      </c>
      <c r="U4666">
        <v>138</v>
      </c>
      <c r="V4666">
        <v>0</v>
      </c>
      <c r="W4666">
        <v>151</v>
      </c>
      <c r="X4666">
        <v>311</v>
      </c>
      <c r="Y4666">
        <v>0</v>
      </c>
      <c r="Z4666">
        <v>49</v>
      </c>
      <c r="AA4666">
        <v>0</v>
      </c>
      <c r="AB4666">
        <v>10.09174</v>
      </c>
      <c r="AC4666">
        <v>1.271127E-2</v>
      </c>
      <c r="AD4666">
        <v>2.9169740000000002</v>
      </c>
      <c r="AE4666">
        <v>0.72665389999999996</v>
      </c>
      <c r="AF4666">
        <v>391.3356</v>
      </c>
      <c r="AG4666">
        <f>IFERROR(AH4666*0.1, "N/A")</f>
        <v>6.8155140000000003</v>
      </c>
      <c r="AH4666">
        <v>68.155140000000003</v>
      </c>
      <c r="AI4666">
        <v>249.34790000000001</v>
      </c>
      <c r="AJ4666">
        <v>12</v>
      </c>
      <c r="AK4666">
        <v>76</v>
      </c>
    </row>
    <row r="4667" spans="1:37" x14ac:dyDescent="0.3">
      <c r="A4667">
        <v>4666</v>
      </c>
      <c r="B4667">
        <v>87</v>
      </c>
      <c r="C4667">
        <v>2.2029200000000002</v>
      </c>
      <c r="D4667">
        <v>13.395799999999999</v>
      </c>
      <c r="E4667" t="s">
        <v>7382</v>
      </c>
      <c r="F4667" t="s">
        <v>7383</v>
      </c>
      <c r="G4667" t="s">
        <v>39</v>
      </c>
      <c r="H4667">
        <v>0</v>
      </c>
      <c r="I4667">
        <v>29.3</v>
      </c>
      <c r="J4667">
        <v>14.3</v>
      </c>
      <c r="K4667">
        <v>55</v>
      </c>
      <c r="L4667">
        <v>28.87</v>
      </c>
      <c r="M4667">
        <v>41.4</v>
      </c>
      <c r="N4667">
        <v>15.8</v>
      </c>
      <c r="O4667">
        <v>25.6</v>
      </c>
      <c r="P4667">
        <v>28.6</v>
      </c>
      <c r="Q4667">
        <v>25.8</v>
      </c>
      <c r="R4667">
        <v>33</v>
      </c>
      <c r="S4667">
        <v>25.6</v>
      </c>
      <c r="T4667">
        <v>523</v>
      </c>
      <c r="U4667">
        <v>166</v>
      </c>
      <c r="V4667">
        <v>0</v>
      </c>
      <c r="W4667">
        <v>132</v>
      </c>
      <c r="X4667">
        <v>400</v>
      </c>
      <c r="Y4667">
        <v>0</v>
      </c>
      <c r="Z4667">
        <v>110</v>
      </c>
      <c r="AA4667">
        <v>0</v>
      </c>
      <c r="AB4667">
        <v>4.5873309999999998</v>
      </c>
      <c r="AC4667">
        <v>1.1285109999999999E-2</v>
      </c>
      <c r="AD4667">
        <v>1.069196</v>
      </c>
      <c r="AE4667">
        <v>0.67643180000000003</v>
      </c>
      <c r="AF4667">
        <v>182.49160000000001</v>
      </c>
      <c r="AG4667">
        <f>IFERROR(AH4667*0.1, "N/A")</f>
        <v>6.3000000000000007</v>
      </c>
      <c r="AH4667">
        <v>63</v>
      </c>
      <c r="AI4667">
        <v>185.4024</v>
      </c>
      <c r="AJ4667">
        <v>16</v>
      </c>
      <c r="AK4667">
        <v>66</v>
      </c>
    </row>
    <row r="4668" spans="1:37" x14ac:dyDescent="0.3">
      <c r="A4668">
        <v>4667</v>
      </c>
      <c r="B4668">
        <v>4</v>
      </c>
      <c r="C4668">
        <v>9.0564199999999992</v>
      </c>
      <c r="D4668">
        <v>13.3971</v>
      </c>
      <c r="E4668" t="s">
        <v>7384</v>
      </c>
      <c r="F4668" t="s">
        <v>7385</v>
      </c>
      <c r="G4668" t="s">
        <v>39</v>
      </c>
      <c r="H4668">
        <v>0</v>
      </c>
      <c r="I4668">
        <v>27.8</v>
      </c>
      <c r="J4668">
        <v>15</v>
      </c>
      <c r="K4668">
        <v>54</v>
      </c>
      <c r="L4668">
        <v>35.200000000000003</v>
      </c>
      <c r="M4668">
        <v>40.5</v>
      </c>
      <c r="N4668">
        <v>13.2</v>
      </c>
      <c r="O4668">
        <v>27.3</v>
      </c>
      <c r="P4668">
        <v>28.1</v>
      </c>
      <c r="Q4668">
        <v>23.1</v>
      </c>
      <c r="R4668">
        <v>32.200000000000003</v>
      </c>
      <c r="S4668">
        <v>22.8</v>
      </c>
      <c r="T4668">
        <v>378</v>
      </c>
      <c r="U4668">
        <v>143</v>
      </c>
      <c r="V4668">
        <v>0</v>
      </c>
      <c r="W4668">
        <v>151</v>
      </c>
      <c r="X4668">
        <v>321</v>
      </c>
      <c r="Y4668">
        <v>0</v>
      </c>
      <c r="Z4668">
        <v>49</v>
      </c>
      <c r="AA4668">
        <v>0</v>
      </c>
      <c r="AB4668">
        <v>5.3377759999999999</v>
      </c>
      <c r="AC4668">
        <v>8.4039179999999998E-3</v>
      </c>
      <c r="AD4668">
        <v>0.71246529999999997</v>
      </c>
      <c r="AE4668">
        <v>0.71523599999999998</v>
      </c>
      <c r="AF4668">
        <v>396.27820000000003</v>
      </c>
      <c r="AG4668">
        <f>IFERROR(AH4668*0.1, "N/A")</f>
        <v>6.5214169999999996</v>
      </c>
      <c r="AH4668">
        <v>65.214169999999996</v>
      </c>
      <c r="AI4668">
        <v>108.9931</v>
      </c>
      <c r="AJ4668">
        <v>14.89376</v>
      </c>
      <c r="AK4668">
        <v>75.308599999999998</v>
      </c>
    </row>
    <row r="4669" spans="1:37" x14ac:dyDescent="0.3">
      <c r="A4669">
        <v>4668</v>
      </c>
      <c r="B4669">
        <v>82</v>
      </c>
      <c r="C4669">
        <v>2.1819999999999999</v>
      </c>
      <c r="D4669">
        <v>13.4</v>
      </c>
      <c r="E4669" t="s">
        <v>7386</v>
      </c>
      <c r="F4669" t="s">
        <v>7387</v>
      </c>
      <c r="G4669" t="s">
        <v>39</v>
      </c>
      <c r="H4669">
        <v>1987</v>
      </c>
      <c r="I4669">
        <v>29.3</v>
      </c>
      <c r="J4669">
        <v>14.4</v>
      </c>
      <c r="K4669">
        <v>56</v>
      </c>
      <c r="L4669">
        <v>29.2</v>
      </c>
      <c r="M4669">
        <v>41.4</v>
      </c>
      <c r="N4669">
        <v>15.7</v>
      </c>
      <c r="O4669">
        <v>25.7</v>
      </c>
      <c r="P4669">
        <v>28.6</v>
      </c>
      <c r="Q4669">
        <v>25.8</v>
      </c>
      <c r="R4669">
        <v>33.1</v>
      </c>
      <c r="S4669">
        <v>25.5</v>
      </c>
      <c r="T4669">
        <v>523.25549999999998</v>
      </c>
      <c r="U4669">
        <v>167</v>
      </c>
      <c r="V4669">
        <v>0</v>
      </c>
      <c r="W4669">
        <v>132</v>
      </c>
      <c r="X4669">
        <v>400.6277</v>
      </c>
      <c r="Y4669">
        <v>0</v>
      </c>
      <c r="Z4669">
        <v>109.6277</v>
      </c>
      <c r="AA4669">
        <v>0</v>
      </c>
      <c r="AB4669">
        <v>1.307606</v>
      </c>
      <c r="AC4669">
        <v>0.16675619999999999</v>
      </c>
      <c r="AD4669">
        <v>0.71041200000000004</v>
      </c>
      <c r="AE4669">
        <v>0.48578969999999999</v>
      </c>
      <c r="AF4669">
        <v>178.47380000000001</v>
      </c>
      <c r="AG4669" t="str">
        <f>IFERROR(AH4669*0.1, "N/A")</f>
        <v>N/A</v>
      </c>
      <c r="AH4669" t="s">
        <v>729</v>
      </c>
      <c r="AI4669">
        <v>210.56360000000001</v>
      </c>
      <c r="AJ4669" t="s">
        <v>729</v>
      </c>
      <c r="AK4669" t="s">
        <v>729</v>
      </c>
    </row>
    <row r="4670" spans="1:37" x14ac:dyDescent="0.3">
      <c r="A4670">
        <v>4669</v>
      </c>
      <c r="B4670">
        <v>0</v>
      </c>
      <c r="C4670">
        <v>13.113</v>
      </c>
      <c r="D4670">
        <v>13.4</v>
      </c>
      <c r="E4670" t="s">
        <v>7388</v>
      </c>
      <c r="F4670" t="s">
        <v>7389</v>
      </c>
      <c r="G4670" t="s">
        <v>39</v>
      </c>
      <c r="H4670">
        <v>0</v>
      </c>
      <c r="I4670">
        <v>27.1</v>
      </c>
      <c r="J4670">
        <v>15.1</v>
      </c>
      <c r="K4670">
        <v>56</v>
      </c>
      <c r="L4670">
        <v>34.312550000000002</v>
      </c>
      <c r="M4670">
        <v>39.299999999999997</v>
      </c>
      <c r="N4670">
        <v>12.5</v>
      </c>
      <c r="O4670">
        <v>26.8</v>
      </c>
      <c r="P4670">
        <v>28.2</v>
      </c>
      <c r="Q4670">
        <v>24.1</v>
      </c>
      <c r="R4670">
        <v>31</v>
      </c>
      <c r="S4670">
        <v>22</v>
      </c>
      <c r="T4670">
        <v>275.88319999999999</v>
      </c>
      <c r="U4670">
        <v>128.6277</v>
      </c>
      <c r="V4670">
        <v>0</v>
      </c>
      <c r="W4670">
        <v>165.23349999999999</v>
      </c>
      <c r="X4670">
        <v>243.88319999999999</v>
      </c>
      <c r="Y4670">
        <v>0</v>
      </c>
      <c r="Z4670">
        <v>27</v>
      </c>
      <c r="AA4670">
        <v>0</v>
      </c>
      <c r="AB4670">
        <v>2.383095</v>
      </c>
      <c r="AC4670">
        <v>1.1486980000000001E-2</v>
      </c>
      <c r="AD4670">
        <v>1.4918560000000001</v>
      </c>
      <c r="AE4670">
        <v>0.27680329999999997</v>
      </c>
      <c r="AF4670">
        <v>294.11680000000001</v>
      </c>
      <c r="AG4670">
        <f>IFERROR(AH4670*0.1, "N/A")</f>
        <v>6.7507610000000007</v>
      </c>
      <c r="AH4670">
        <v>67.50761</v>
      </c>
      <c r="AI4670">
        <v>174.08760000000001</v>
      </c>
      <c r="AJ4670">
        <v>8.0033840000000005</v>
      </c>
      <c r="AK4670">
        <v>83.480540000000005</v>
      </c>
    </row>
    <row r="4671" spans="1:37" x14ac:dyDescent="0.3">
      <c r="A4671">
        <v>4670</v>
      </c>
      <c r="B4671">
        <v>0</v>
      </c>
      <c r="C4671">
        <v>13.113</v>
      </c>
      <c r="D4671">
        <v>13.4</v>
      </c>
      <c r="E4671" t="s">
        <v>7388</v>
      </c>
      <c r="F4671" t="s">
        <v>7390</v>
      </c>
      <c r="G4671" t="s">
        <v>37</v>
      </c>
      <c r="H4671">
        <v>0</v>
      </c>
      <c r="I4671">
        <v>27.1</v>
      </c>
      <c r="J4671">
        <v>15.1</v>
      </c>
      <c r="K4671">
        <v>56</v>
      </c>
      <c r="L4671">
        <v>34.312550000000002</v>
      </c>
      <c r="M4671">
        <v>39.299999999999997</v>
      </c>
      <c r="N4671">
        <v>12.5</v>
      </c>
      <c r="O4671">
        <v>26.8</v>
      </c>
      <c r="P4671">
        <v>28.2</v>
      </c>
      <c r="Q4671">
        <v>24.1</v>
      </c>
      <c r="R4671">
        <v>31</v>
      </c>
      <c r="S4671">
        <v>22</v>
      </c>
      <c r="T4671">
        <v>275.88319999999999</v>
      </c>
      <c r="U4671">
        <v>128.6277</v>
      </c>
      <c r="V4671">
        <v>0</v>
      </c>
      <c r="W4671">
        <v>165.23349999999999</v>
      </c>
      <c r="X4671">
        <v>243.88319999999999</v>
      </c>
      <c r="Y4671">
        <v>0</v>
      </c>
      <c r="Z4671">
        <v>27</v>
      </c>
      <c r="AA4671">
        <v>0</v>
      </c>
      <c r="AB4671">
        <v>2.383095</v>
      </c>
      <c r="AC4671">
        <v>1.1486980000000001E-2</v>
      </c>
      <c r="AD4671">
        <v>1.4918560000000001</v>
      </c>
      <c r="AE4671">
        <v>0.27680329999999997</v>
      </c>
      <c r="AF4671">
        <v>294.11680000000001</v>
      </c>
      <c r="AG4671">
        <f>IFERROR(AH4671*0.1, "N/A")</f>
        <v>6.7507610000000007</v>
      </c>
      <c r="AH4671">
        <v>67.50761</v>
      </c>
      <c r="AI4671">
        <v>174.08760000000001</v>
      </c>
      <c r="AJ4671">
        <v>8.0033840000000005</v>
      </c>
      <c r="AK4671">
        <v>83.480540000000005</v>
      </c>
    </row>
    <row r="4672" spans="1:37" x14ac:dyDescent="0.3">
      <c r="A4672">
        <v>4671</v>
      </c>
      <c r="B4672">
        <v>37.5</v>
      </c>
      <c r="C4672">
        <v>2.1966700000000001</v>
      </c>
      <c r="D4672">
        <v>13.400600000000001</v>
      </c>
      <c r="E4672" t="s">
        <v>7391</v>
      </c>
      <c r="F4672" t="s">
        <v>7392</v>
      </c>
      <c r="G4672" t="s">
        <v>39</v>
      </c>
      <c r="H4672">
        <v>1986</v>
      </c>
      <c r="I4672">
        <v>29.3</v>
      </c>
      <c r="J4672">
        <v>14.3</v>
      </c>
      <c r="K4672">
        <v>55</v>
      </c>
      <c r="L4672">
        <v>28.857109999999999</v>
      </c>
      <c r="M4672">
        <v>41.4</v>
      </c>
      <c r="N4672">
        <v>15.8</v>
      </c>
      <c r="O4672">
        <v>25.6</v>
      </c>
      <c r="P4672">
        <v>28.6</v>
      </c>
      <c r="Q4672">
        <v>25.8</v>
      </c>
      <c r="R4672">
        <v>33</v>
      </c>
      <c r="S4672">
        <v>25.51445</v>
      </c>
      <c r="T4672">
        <v>520.43359999999996</v>
      </c>
      <c r="U4672">
        <v>166</v>
      </c>
      <c r="V4672">
        <v>0</v>
      </c>
      <c r="W4672">
        <v>131.14449999999999</v>
      </c>
      <c r="X4672">
        <v>399.14449999999999</v>
      </c>
      <c r="Y4672">
        <v>0</v>
      </c>
      <c r="Z4672">
        <v>109.14449999999999</v>
      </c>
      <c r="AA4672">
        <v>0</v>
      </c>
      <c r="AB4672">
        <v>5.3890700000000002</v>
      </c>
      <c r="AC4672">
        <v>8.3196050000000007E-3</v>
      </c>
      <c r="AD4672">
        <v>0.84979830000000001</v>
      </c>
      <c r="AE4672">
        <v>0.65877390000000002</v>
      </c>
      <c r="AF4672">
        <v>182.37479999999999</v>
      </c>
      <c r="AG4672">
        <f>IFERROR(AH4672*0.1, "N/A")</f>
        <v>6.1670590000000001</v>
      </c>
      <c r="AH4672">
        <v>61.670589999999997</v>
      </c>
      <c r="AI4672">
        <v>152.4076</v>
      </c>
      <c r="AJ4672">
        <v>20.847059999999999</v>
      </c>
      <c r="AK4672">
        <v>61.482349999999997</v>
      </c>
    </row>
    <row r="4673" spans="1:37" x14ac:dyDescent="0.3">
      <c r="A4673">
        <v>4672</v>
      </c>
      <c r="B4673">
        <v>77.099999999999994</v>
      </c>
      <c r="C4673">
        <v>2.1913900000000002</v>
      </c>
      <c r="D4673">
        <v>13.4047</v>
      </c>
      <c r="E4673" t="s">
        <v>7393</v>
      </c>
      <c r="F4673" t="s">
        <v>7394</v>
      </c>
      <c r="G4673" t="s">
        <v>39</v>
      </c>
      <c r="H4673">
        <v>1986</v>
      </c>
      <c r="I4673">
        <v>29.3</v>
      </c>
      <c r="J4673">
        <v>14.38832</v>
      </c>
      <c r="K4673">
        <v>55.883249999999997</v>
      </c>
      <c r="L4673">
        <v>29.027819999999998</v>
      </c>
      <c r="M4673">
        <v>41.4</v>
      </c>
      <c r="N4673">
        <v>15.8</v>
      </c>
      <c r="O4673">
        <v>25.6</v>
      </c>
      <c r="P4673">
        <v>28.6</v>
      </c>
      <c r="Q4673">
        <v>25.8</v>
      </c>
      <c r="R4673">
        <v>33.088320000000003</v>
      </c>
      <c r="S4673">
        <v>25.588329999999999</v>
      </c>
      <c r="T4673">
        <v>520.88319999999999</v>
      </c>
      <c r="U4673">
        <v>166.88319999999999</v>
      </c>
      <c r="V4673">
        <v>0</v>
      </c>
      <c r="W4673">
        <v>131.88319999999999</v>
      </c>
      <c r="X4673">
        <v>399.88319999999999</v>
      </c>
      <c r="Y4673">
        <v>0</v>
      </c>
      <c r="Z4673">
        <v>109</v>
      </c>
      <c r="AA4673">
        <v>0</v>
      </c>
      <c r="AB4673">
        <v>5.311159</v>
      </c>
      <c r="AC4673">
        <v>8.7558610000000002E-3</v>
      </c>
      <c r="AD4673">
        <v>0.70202850000000006</v>
      </c>
      <c r="AE4673">
        <v>0.65877390000000002</v>
      </c>
      <c r="AF4673">
        <v>184.423</v>
      </c>
      <c r="AG4673">
        <f>IFERROR(AH4673*0.1, "N/A")</f>
        <v>6.1000000000000005</v>
      </c>
      <c r="AH4673">
        <v>61</v>
      </c>
      <c r="AI4673">
        <v>109.43380000000001</v>
      </c>
      <c r="AJ4673">
        <v>20.649750000000001</v>
      </c>
      <c r="AK4673">
        <v>57.934010000000001</v>
      </c>
    </row>
    <row r="4674" spans="1:37" x14ac:dyDescent="0.3">
      <c r="A4674">
        <v>4673</v>
      </c>
      <c r="B4674">
        <v>2</v>
      </c>
      <c r="C4674">
        <v>8.8517200000000003</v>
      </c>
      <c r="D4674">
        <v>13.4056</v>
      </c>
      <c r="E4674" t="s">
        <v>7395</v>
      </c>
      <c r="F4674" t="s">
        <v>7396</v>
      </c>
      <c r="G4674" t="s">
        <v>39</v>
      </c>
      <c r="H4674">
        <v>0</v>
      </c>
      <c r="I4674">
        <v>27.6</v>
      </c>
      <c r="J4674">
        <v>14.9</v>
      </c>
      <c r="K4674">
        <v>54</v>
      </c>
      <c r="L4674">
        <v>35.049999999999997</v>
      </c>
      <c r="M4674">
        <v>40.200000000000003</v>
      </c>
      <c r="N4674">
        <v>13.1</v>
      </c>
      <c r="O4674">
        <v>27.1</v>
      </c>
      <c r="P4674">
        <v>28.1</v>
      </c>
      <c r="Q4674">
        <v>23</v>
      </c>
      <c r="R4674">
        <v>32</v>
      </c>
      <c r="S4674">
        <v>22.6</v>
      </c>
      <c r="T4674">
        <v>391</v>
      </c>
      <c r="U4674">
        <v>151</v>
      </c>
      <c r="V4674">
        <v>0</v>
      </c>
      <c r="W4674">
        <v>153</v>
      </c>
      <c r="X4674">
        <v>333</v>
      </c>
      <c r="Y4674">
        <v>0</v>
      </c>
      <c r="Z4674">
        <v>50</v>
      </c>
      <c r="AA4674">
        <v>0</v>
      </c>
      <c r="AB4674">
        <v>3.6422979999999998</v>
      </c>
      <c r="AC4674">
        <v>1.8117020000000001E-2</v>
      </c>
      <c r="AD4674">
        <v>2.4558770000000001</v>
      </c>
      <c r="AE4674">
        <v>0.70267389999999996</v>
      </c>
      <c r="AF4674">
        <v>408.78339999999997</v>
      </c>
      <c r="AG4674">
        <f>IFERROR(AH4674*0.1, "N/A")</f>
        <v>6.8918780000000002</v>
      </c>
      <c r="AH4674">
        <v>68.918779999999998</v>
      </c>
      <c r="AI4674">
        <v>157.2311</v>
      </c>
      <c r="AJ4674">
        <v>9.0812179999999998</v>
      </c>
      <c r="AK4674">
        <v>77.988159999999993</v>
      </c>
    </row>
    <row r="4675" spans="1:37" x14ac:dyDescent="0.3">
      <c r="A4675">
        <v>4674</v>
      </c>
      <c r="B4675">
        <v>0</v>
      </c>
      <c r="C4675">
        <v>3.4447800000000002</v>
      </c>
      <c r="D4675">
        <v>13.410299999999999</v>
      </c>
      <c r="E4675" t="s">
        <v>7397</v>
      </c>
      <c r="F4675" t="s">
        <v>7398</v>
      </c>
      <c r="G4675" t="s">
        <v>39</v>
      </c>
      <c r="H4675">
        <v>0</v>
      </c>
      <c r="I4675">
        <v>28.9</v>
      </c>
      <c r="J4675">
        <v>13.7</v>
      </c>
      <c r="K4675">
        <v>57</v>
      </c>
      <c r="L4675">
        <v>26.81</v>
      </c>
      <c r="M4675">
        <v>40.4</v>
      </c>
      <c r="N4675">
        <v>16.7</v>
      </c>
      <c r="O4675">
        <v>23.7</v>
      </c>
      <c r="P4675">
        <v>28.1</v>
      </c>
      <c r="Q4675">
        <v>27.4</v>
      </c>
      <c r="R4675">
        <v>32.4</v>
      </c>
      <c r="S4675">
        <v>25.5</v>
      </c>
      <c r="T4675">
        <v>471</v>
      </c>
      <c r="U4675">
        <v>158</v>
      </c>
      <c r="V4675">
        <v>0</v>
      </c>
      <c r="W4675">
        <v>135</v>
      </c>
      <c r="X4675">
        <v>368</v>
      </c>
      <c r="Y4675">
        <v>0</v>
      </c>
      <c r="Z4675">
        <v>95</v>
      </c>
      <c r="AA4675">
        <v>0</v>
      </c>
      <c r="AB4675">
        <v>1.3106450000000001</v>
      </c>
      <c r="AC4675">
        <v>2.4248409999999998</v>
      </c>
      <c r="AD4675">
        <v>0.7504054</v>
      </c>
      <c r="AE4675">
        <v>0.69281309999999996</v>
      </c>
      <c r="AF4675">
        <v>244.52029999999999</v>
      </c>
      <c r="AG4675">
        <f>IFERROR(AH4675*0.1, "N/A")</f>
        <v>6.2952700000000004</v>
      </c>
      <c r="AH4675">
        <v>62.9527</v>
      </c>
      <c r="AI4675">
        <v>117.0087</v>
      </c>
      <c r="AJ4675">
        <v>7</v>
      </c>
      <c r="AK4675">
        <v>81.905410000000003</v>
      </c>
    </row>
    <row r="4676" spans="1:37" x14ac:dyDescent="0.3">
      <c r="A4676">
        <v>4675</v>
      </c>
      <c r="B4676">
        <v>0</v>
      </c>
      <c r="C4676">
        <v>3.4447800000000002</v>
      </c>
      <c r="D4676">
        <v>13.410299999999999</v>
      </c>
      <c r="E4676" t="s">
        <v>7397</v>
      </c>
      <c r="F4676" t="s">
        <v>7399</v>
      </c>
      <c r="G4676" t="s">
        <v>37</v>
      </c>
      <c r="H4676">
        <v>0</v>
      </c>
      <c r="I4676">
        <v>28.9</v>
      </c>
      <c r="J4676">
        <v>13.7</v>
      </c>
      <c r="K4676">
        <v>57</v>
      </c>
      <c r="L4676">
        <v>26.81</v>
      </c>
      <c r="M4676">
        <v>40.4</v>
      </c>
      <c r="N4676">
        <v>16.7</v>
      </c>
      <c r="O4676">
        <v>23.7</v>
      </c>
      <c r="P4676">
        <v>28.1</v>
      </c>
      <c r="Q4676">
        <v>27.4</v>
      </c>
      <c r="R4676">
        <v>32.4</v>
      </c>
      <c r="S4676">
        <v>25.5</v>
      </c>
      <c r="T4676">
        <v>471</v>
      </c>
      <c r="U4676">
        <v>158</v>
      </c>
      <c r="V4676">
        <v>0</v>
      </c>
      <c r="W4676">
        <v>135</v>
      </c>
      <c r="X4676">
        <v>368</v>
      </c>
      <c r="Y4676">
        <v>0</v>
      </c>
      <c r="Z4676">
        <v>95</v>
      </c>
      <c r="AA4676">
        <v>0</v>
      </c>
      <c r="AB4676">
        <v>1.3106450000000001</v>
      </c>
      <c r="AC4676">
        <v>2.4248409999999998</v>
      </c>
      <c r="AD4676">
        <v>0.7504054</v>
      </c>
      <c r="AE4676">
        <v>0.69281309999999996</v>
      </c>
      <c r="AF4676">
        <v>244.52029999999999</v>
      </c>
      <c r="AG4676">
        <f>IFERROR(AH4676*0.1, "N/A")</f>
        <v>6.2952700000000004</v>
      </c>
      <c r="AH4676">
        <v>62.9527</v>
      </c>
      <c r="AI4676">
        <v>117.0087</v>
      </c>
      <c r="AJ4676">
        <v>7</v>
      </c>
      <c r="AK4676">
        <v>81.905410000000003</v>
      </c>
    </row>
    <row r="4677" spans="1:37" x14ac:dyDescent="0.3">
      <c r="A4677">
        <v>4676</v>
      </c>
      <c r="B4677">
        <v>48.4</v>
      </c>
      <c r="C4677">
        <v>2.0333299999999999</v>
      </c>
      <c r="D4677">
        <v>13.411099999999999</v>
      </c>
      <c r="E4677" t="s">
        <v>7400</v>
      </c>
      <c r="F4677" t="s">
        <v>7401</v>
      </c>
      <c r="G4677" t="s">
        <v>39</v>
      </c>
      <c r="H4677">
        <v>0</v>
      </c>
      <c r="I4677">
        <v>28.9</v>
      </c>
      <c r="J4677">
        <v>14.5</v>
      </c>
      <c r="K4677">
        <v>56</v>
      </c>
      <c r="L4677">
        <v>28.815660000000001</v>
      </c>
      <c r="M4677">
        <v>41</v>
      </c>
      <c r="N4677">
        <v>15.2</v>
      </c>
      <c r="O4677">
        <v>25.8</v>
      </c>
      <c r="P4677">
        <v>27.914239999999999</v>
      </c>
      <c r="Q4677">
        <v>25.485759999999999</v>
      </c>
      <c r="R4677">
        <v>32.6</v>
      </c>
      <c r="S4677">
        <v>25.2</v>
      </c>
      <c r="T4677">
        <v>518.5729</v>
      </c>
      <c r="U4677">
        <v>170</v>
      </c>
      <c r="V4677">
        <v>0</v>
      </c>
      <c r="W4677">
        <v>131</v>
      </c>
      <c r="X4677">
        <v>396.85759999999999</v>
      </c>
      <c r="Y4677">
        <v>0</v>
      </c>
      <c r="Z4677">
        <v>108.7153</v>
      </c>
      <c r="AA4677">
        <v>0</v>
      </c>
      <c r="AB4677">
        <v>6.6822090000000003</v>
      </c>
      <c r="AC4677">
        <v>7.1248880000000001E-2</v>
      </c>
      <c r="AD4677">
        <v>0.5864916</v>
      </c>
      <c r="AE4677">
        <v>0.50092400000000004</v>
      </c>
      <c r="AF4677">
        <v>260.99149999999997</v>
      </c>
      <c r="AG4677">
        <f>IFERROR(AH4677*0.1, "N/A")</f>
        <v>5.195932</v>
      </c>
      <c r="AH4677">
        <v>51.959319999999998</v>
      </c>
      <c r="AI4677">
        <v>125.7277</v>
      </c>
      <c r="AJ4677">
        <v>20.050850000000001</v>
      </c>
      <c r="AK4677">
        <v>64.116950000000003</v>
      </c>
    </row>
    <row r="4678" spans="1:37" x14ac:dyDescent="0.3">
      <c r="A4678">
        <v>4677</v>
      </c>
      <c r="B4678">
        <v>3.3</v>
      </c>
      <c r="C4678">
        <v>2.7553700000000001</v>
      </c>
      <c r="D4678">
        <v>13.4124</v>
      </c>
      <c r="E4678" t="s">
        <v>7402</v>
      </c>
      <c r="F4678" t="s">
        <v>7403</v>
      </c>
      <c r="G4678" t="s">
        <v>39</v>
      </c>
      <c r="H4678">
        <v>0</v>
      </c>
      <c r="I4678">
        <v>29.2</v>
      </c>
      <c r="J4678">
        <v>14</v>
      </c>
      <c r="K4678">
        <v>57</v>
      </c>
      <c r="L4678">
        <v>27.81</v>
      </c>
      <c r="M4678">
        <v>40.9</v>
      </c>
      <c r="N4678">
        <v>16.399999999999999</v>
      </c>
      <c r="O4678">
        <v>24.5</v>
      </c>
      <c r="P4678">
        <v>28.3</v>
      </c>
      <c r="Q4678">
        <v>27.6</v>
      </c>
      <c r="R4678">
        <v>32.799999999999997</v>
      </c>
      <c r="S4678">
        <v>25.6</v>
      </c>
      <c r="T4678">
        <v>477</v>
      </c>
      <c r="U4678">
        <v>159</v>
      </c>
      <c r="V4678">
        <v>0</v>
      </c>
      <c r="W4678">
        <v>135</v>
      </c>
      <c r="X4678">
        <v>368</v>
      </c>
      <c r="Y4678">
        <v>0</v>
      </c>
      <c r="Z4678">
        <v>100</v>
      </c>
      <c r="AA4678">
        <v>0</v>
      </c>
      <c r="AB4678">
        <v>0.81112919999999999</v>
      </c>
      <c r="AC4678">
        <v>2142.9940000000001</v>
      </c>
      <c r="AD4678">
        <v>1.4294849999999999</v>
      </c>
      <c r="AE4678">
        <v>0.61987499999999995</v>
      </c>
      <c r="AF4678">
        <v>195.80439999999999</v>
      </c>
      <c r="AG4678">
        <f>IFERROR(AH4678*0.1, "N/A")</f>
        <v>5.891737</v>
      </c>
      <c r="AH4678">
        <v>58.917369999999998</v>
      </c>
      <c r="AI4678">
        <v>224.29300000000001</v>
      </c>
      <c r="AJ4678">
        <v>12.89376</v>
      </c>
      <c r="AK4678">
        <v>72.246210000000005</v>
      </c>
    </row>
    <row r="4679" spans="1:37" x14ac:dyDescent="0.3">
      <c r="A4679">
        <v>4678</v>
      </c>
      <c r="B4679">
        <v>21.2</v>
      </c>
      <c r="C4679">
        <v>2.1786099999999999</v>
      </c>
      <c r="D4679">
        <v>13.4133</v>
      </c>
      <c r="E4679" t="s">
        <v>7404</v>
      </c>
      <c r="F4679" t="s">
        <v>7405</v>
      </c>
      <c r="G4679" t="s">
        <v>39</v>
      </c>
      <c r="H4679">
        <v>1986</v>
      </c>
      <c r="I4679">
        <v>29.3</v>
      </c>
      <c r="J4679">
        <v>14.4</v>
      </c>
      <c r="K4679">
        <v>56</v>
      </c>
      <c r="L4679">
        <v>28.93</v>
      </c>
      <c r="M4679">
        <v>41.4</v>
      </c>
      <c r="N4679">
        <v>15.8</v>
      </c>
      <c r="O4679">
        <v>25.6</v>
      </c>
      <c r="P4679">
        <v>28.6</v>
      </c>
      <c r="Q4679">
        <v>25.8</v>
      </c>
      <c r="R4679">
        <v>33</v>
      </c>
      <c r="S4679">
        <v>25.5</v>
      </c>
      <c r="T4679">
        <v>521</v>
      </c>
      <c r="U4679">
        <v>167</v>
      </c>
      <c r="V4679">
        <v>0</v>
      </c>
      <c r="W4679">
        <v>132</v>
      </c>
      <c r="X4679">
        <v>400</v>
      </c>
      <c r="Y4679">
        <v>0</v>
      </c>
      <c r="Z4679">
        <v>109</v>
      </c>
      <c r="AA4679">
        <v>0</v>
      </c>
      <c r="AB4679">
        <v>3.169756</v>
      </c>
      <c r="AC4679">
        <v>1.0609749999999999E-2</v>
      </c>
      <c r="AD4679">
        <v>1.492378</v>
      </c>
      <c r="AE4679">
        <v>0.4651362</v>
      </c>
      <c r="AF4679">
        <v>181.69759999999999</v>
      </c>
      <c r="AG4679">
        <f>IFERROR(AH4679*0.1, "N/A")</f>
        <v>5.5871620000000002</v>
      </c>
      <c r="AH4679">
        <v>55.87162</v>
      </c>
      <c r="AI4679">
        <v>206.77889999999999</v>
      </c>
      <c r="AJ4679">
        <v>31.31757</v>
      </c>
      <c r="AK4679">
        <v>46.7027</v>
      </c>
    </row>
    <row r="4680" spans="1:37" x14ac:dyDescent="0.3">
      <c r="A4680">
        <v>4679</v>
      </c>
      <c r="B4680">
        <v>0</v>
      </c>
      <c r="C4680">
        <v>3.3445100000000001</v>
      </c>
      <c r="D4680">
        <v>13.413500000000001</v>
      </c>
      <c r="E4680" t="s">
        <v>7406</v>
      </c>
      <c r="F4680" t="s">
        <v>7407</v>
      </c>
      <c r="G4680" t="s">
        <v>39</v>
      </c>
      <c r="H4680">
        <v>0</v>
      </c>
      <c r="I4680">
        <v>28.9</v>
      </c>
      <c r="J4680">
        <v>13.8</v>
      </c>
      <c r="K4680">
        <v>57</v>
      </c>
      <c r="L4680">
        <v>27.07</v>
      </c>
      <c r="M4680">
        <v>40.4</v>
      </c>
      <c r="N4680">
        <v>16.600000000000001</v>
      </c>
      <c r="O4680">
        <v>23.8</v>
      </c>
      <c r="P4680">
        <v>28.1</v>
      </c>
      <c r="Q4680">
        <v>27.3</v>
      </c>
      <c r="R4680">
        <v>32.5</v>
      </c>
      <c r="S4680">
        <v>25.4</v>
      </c>
      <c r="T4680">
        <v>476</v>
      </c>
      <c r="U4680">
        <v>162</v>
      </c>
      <c r="V4680">
        <v>0</v>
      </c>
      <c r="W4680">
        <v>136</v>
      </c>
      <c r="X4680">
        <v>371</v>
      </c>
      <c r="Y4680">
        <v>0</v>
      </c>
      <c r="Z4680">
        <v>97</v>
      </c>
      <c r="AA4680">
        <v>0</v>
      </c>
      <c r="AB4680">
        <v>0</v>
      </c>
      <c r="AC4680">
        <v>0.54528560000000004</v>
      </c>
      <c r="AD4680">
        <v>0.60373379999999999</v>
      </c>
      <c r="AE4680">
        <v>0.55637749999999997</v>
      </c>
      <c r="AF4680">
        <v>241.83279999999999</v>
      </c>
      <c r="AG4680">
        <f>IFERROR(AH4680*0.1, "N/A")</f>
        <v>5.3190880000000007</v>
      </c>
      <c r="AH4680">
        <v>53.19088</v>
      </c>
      <c r="AI4680">
        <v>106.1636</v>
      </c>
      <c r="AJ4680">
        <v>9.3817570000000003</v>
      </c>
      <c r="AK4680">
        <v>77.82432</v>
      </c>
    </row>
    <row r="4681" spans="1:37" x14ac:dyDescent="0.3">
      <c r="A4681">
        <v>4680</v>
      </c>
      <c r="B4681">
        <v>0</v>
      </c>
      <c r="C4681">
        <v>3.3445100000000001</v>
      </c>
      <c r="D4681">
        <v>13.413500000000001</v>
      </c>
      <c r="E4681" t="s">
        <v>7406</v>
      </c>
      <c r="F4681" t="s">
        <v>7408</v>
      </c>
      <c r="G4681" t="s">
        <v>37</v>
      </c>
      <c r="H4681">
        <v>0</v>
      </c>
      <c r="I4681">
        <v>28.9</v>
      </c>
      <c r="J4681">
        <v>13.8</v>
      </c>
      <c r="K4681">
        <v>57</v>
      </c>
      <c r="L4681">
        <v>27.07</v>
      </c>
      <c r="M4681">
        <v>40.4</v>
      </c>
      <c r="N4681">
        <v>16.600000000000001</v>
      </c>
      <c r="O4681">
        <v>23.8</v>
      </c>
      <c r="P4681">
        <v>28.1</v>
      </c>
      <c r="Q4681">
        <v>27.3</v>
      </c>
      <c r="R4681">
        <v>32.5</v>
      </c>
      <c r="S4681">
        <v>25.4</v>
      </c>
      <c r="T4681">
        <v>476</v>
      </c>
      <c r="U4681">
        <v>162</v>
      </c>
      <c r="V4681">
        <v>0</v>
      </c>
      <c r="W4681">
        <v>136</v>
      </c>
      <c r="X4681">
        <v>371</v>
      </c>
      <c r="Y4681">
        <v>0</v>
      </c>
      <c r="Z4681">
        <v>97</v>
      </c>
      <c r="AA4681">
        <v>0</v>
      </c>
      <c r="AB4681">
        <v>0</v>
      </c>
      <c r="AC4681">
        <v>0.54528560000000004</v>
      </c>
      <c r="AD4681">
        <v>0.60373379999999999</v>
      </c>
      <c r="AE4681">
        <v>0.55637749999999997</v>
      </c>
      <c r="AF4681">
        <v>241.83279999999999</v>
      </c>
      <c r="AG4681">
        <f>IFERROR(AH4681*0.1, "N/A")</f>
        <v>5.3190880000000007</v>
      </c>
      <c r="AH4681">
        <v>53.19088</v>
      </c>
      <c r="AI4681">
        <v>106.1636</v>
      </c>
      <c r="AJ4681">
        <v>9.3817570000000003</v>
      </c>
      <c r="AK4681">
        <v>77.82432</v>
      </c>
    </row>
    <row r="4682" spans="1:37" x14ac:dyDescent="0.3">
      <c r="A4682">
        <v>4681</v>
      </c>
      <c r="B4682">
        <v>0</v>
      </c>
      <c r="C4682">
        <v>3.3443999999999998</v>
      </c>
      <c r="D4682">
        <v>13.4137</v>
      </c>
      <c r="E4682" t="s">
        <v>7409</v>
      </c>
      <c r="F4682" t="s">
        <v>7410</v>
      </c>
      <c r="G4682" t="s">
        <v>39</v>
      </c>
      <c r="H4682">
        <v>0</v>
      </c>
      <c r="I4682">
        <v>28.9</v>
      </c>
      <c r="J4682">
        <v>13.8</v>
      </c>
      <c r="K4682">
        <v>57</v>
      </c>
      <c r="L4682">
        <v>27.07</v>
      </c>
      <c r="M4682">
        <v>40.4</v>
      </c>
      <c r="N4682">
        <v>16.600000000000001</v>
      </c>
      <c r="O4682">
        <v>23.8</v>
      </c>
      <c r="P4682">
        <v>28.1</v>
      </c>
      <c r="Q4682">
        <v>27.3</v>
      </c>
      <c r="R4682">
        <v>32.5</v>
      </c>
      <c r="S4682">
        <v>25.4</v>
      </c>
      <c r="T4682">
        <v>476</v>
      </c>
      <c r="U4682">
        <v>162</v>
      </c>
      <c r="V4682">
        <v>0</v>
      </c>
      <c r="W4682">
        <v>136</v>
      </c>
      <c r="X4682">
        <v>371</v>
      </c>
      <c r="Y4682">
        <v>0</v>
      </c>
      <c r="Z4682">
        <v>97</v>
      </c>
      <c r="AA4682">
        <v>0</v>
      </c>
      <c r="AB4682">
        <v>6.779558E-4</v>
      </c>
      <c r="AC4682">
        <v>0.65189629999999998</v>
      </c>
      <c r="AD4682">
        <v>0.66934700000000003</v>
      </c>
      <c r="AE4682">
        <v>0.55637749999999997</v>
      </c>
      <c r="AF4682">
        <v>241.72030000000001</v>
      </c>
      <c r="AG4682">
        <f>IFERROR(AH4682*0.1, "N/A")</f>
        <v>5.367966</v>
      </c>
      <c r="AH4682">
        <v>53.679659999999998</v>
      </c>
      <c r="AI4682">
        <v>101.8342</v>
      </c>
      <c r="AJ4682">
        <v>10.350849999999999</v>
      </c>
      <c r="AK4682">
        <v>76.532200000000003</v>
      </c>
    </row>
    <row r="4683" spans="1:37" x14ac:dyDescent="0.3">
      <c r="A4683">
        <v>4682</v>
      </c>
      <c r="B4683">
        <v>0</v>
      </c>
      <c r="C4683">
        <v>3.3443999999999998</v>
      </c>
      <c r="D4683">
        <v>13.4137</v>
      </c>
      <c r="E4683" t="s">
        <v>7409</v>
      </c>
      <c r="F4683" t="s">
        <v>7411</v>
      </c>
      <c r="G4683" t="s">
        <v>37</v>
      </c>
      <c r="H4683">
        <v>0</v>
      </c>
      <c r="I4683">
        <v>28.9</v>
      </c>
      <c r="J4683">
        <v>13.8</v>
      </c>
      <c r="K4683">
        <v>57</v>
      </c>
      <c r="L4683">
        <v>27.07</v>
      </c>
      <c r="M4683">
        <v>40.4</v>
      </c>
      <c r="N4683">
        <v>16.600000000000001</v>
      </c>
      <c r="O4683">
        <v>23.8</v>
      </c>
      <c r="P4683">
        <v>28.1</v>
      </c>
      <c r="Q4683">
        <v>27.3</v>
      </c>
      <c r="R4683">
        <v>32.5</v>
      </c>
      <c r="S4683">
        <v>25.4</v>
      </c>
      <c r="T4683">
        <v>476</v>
      </c>
      <c r="U4683">
        <v>162</v>
      </c>
      <c r="V4683">
        <v>0</v>
      </c>
      <c r="W4683">
        <v>136</v>
      </c>
      <c r="X4683">
        <v>371</v>
      </c>
      <c r="Y4683">
        <v>0</v>
      </c>
      <c r="Z4683">
        <v>97</v>
      </c>
      <c r="AA4683">
        <v>0</v>
      </c>
      <c r="AB4683">
        <v>6.779558E-4</v>
      </c>
      <c r="AC4683">
        <v>0.65189629999999998</v>
      </c>
      <c r="AD4683">
        <v>0.66934700000000003</v>
      </c>
      <c r="AE4683">
        <v>0.55637749999999997</v>
      </c>
      <c r="AF4683">
        <v>241.72030000000001</v>
      </c>
      <c r="AG4683">
        <f>IFERROR(AH4683*0.1, "N/A")</f>
        <v>5.367966</v>
      </c>
      <c r="AH4683">
        <v>53.679659999999998</v>
      </c>
      <c r="AI4683">
        <v>101.8342</v>
      </c>
      <c r="AJ4683">
        <v>10.350849999999999</v>
      </c>
      <c r="AK4683">
        <v>76.532200000000003</v>
      </c>
    </row>
    <row r="4684" spans="1:37" x14ac:dyDescent="0.3">
      <c r="A4684">
        <v>4683</v>
      </c>
      <c r="B4684">
        <v>57.6</v>
      </c>
      <c r="C4684">
        <v>2.1780599999999999</v>
      </c>
      <c r="D4684">
        <v>13.415800000000001</v>
      </c>
      <c r="E4684" t="s">
        <v>7412</v>
      </c>
      <c r="F4684" t="s">
        <v>7413</v>
      </c>
      <c r="G4684" t="s">
        <v>39</v>
      </c>
      <c r="H4684">
        <v>1987</v>
      </c>
      <c r="I4684">
        <v>29.3</v>
      </c>
      <c r="J4684">
        <v>14.4</v>
      </c>
      <c r="K4684">
        <v>56</v>
      </c>
      <c r="L4684">
        <v>28.94342</v>
      </c>
      <c r="M4684">
        <v>41.4</v>
      </c>
      <c r="N4684">
        <v>15.8</v>
      </c>
      <c r="O4684">
        <v>25.6</v>
      </c>
      <c r="P4684">
        <v>28.6</v>
      </c>
      <c r="Q4684">
        <v>25.8</v>
      </c>
      <c r="R4684">
        <v>33</v>
      </c>
      <c r="S4684">
        <v>25.5</v>
      </c>
      <c r="T4684">
        <v>521</v>
      </c>
      <c r="U4684">
        <v>167</v>
      </c>
      <c r="V4684">
        <v>0</v>
      </c>
      <c r="W4684">
        <v>132</v>
      </c>
      <c r="X4684">
        <v>400</v>
      </c>
      <c r="Y4684">
        <v>0</v>
      </c>
      <c r="Z4684">
        <v>109</v>
      </c>
      <c r="AA4684">
        <v>0</v>
      </c>
      <c r="AB4684">
        <v>3.1091530000000001</v>
      </c>
      <c r="AC4684">
        <v>9.0382069999999995E-3</v>
      </c>
      <c r="AD4684">
        <v>1.2744789999999999</v>
      </c>
      <c r="AE4684">
        <v>0.66671040000000004</v>
      </c>
      <c r="AF4684">
        <v>182.3492</v>
      </c>
      <c r="AG4684">
        <f>IFERROR(AH4684*0.1, "N/A")</f>
        <v>6.4427120000000002</v>
      </c>
      <c r="AH4684">
        <v>64.427120000000002</v>
      </c>
      <c r="AI4684">
        <v>115.6994</v>
      </c>
      <c r="AJ4684">
        <v>18.966100000000001</v>
      </c>
      <c r="AK4684">
        <v>62.247459999999997</v>
      </c>
    </row>
    <row r="4685" spans="1:37" x14ac:dyDescent="0.3">
      <c r="A4685">
        <v>4684</v>
      </c>
      <c r="B4685">
        <v>90.4</v>
      </c>
      <c r="C4685">
        <v>2.21333</v>
      </c>
      <c r="D4685">
        <v>13.4161</v>
      </c>
      <c r="E4685" t="s">
        <v>7414</v>
      </c>
      <c r="F4685" t="s">
        <v>7415</v>
      </c>
      <c r="G4685" t="s">
        <v>39</v>
      </c>
      <c r="H4685">
        <v>1987</v>
      </c>
      <c r="I4685">
        <v>29.2</v>
      </c>
      <c r="J4685">
        <v>14.3</v>
      </c>
      <c r="K4685">
        <v>55</v>
      </c>
      <c r="L4685">
        <v>28.837980000000002</v>
      </c>
      <c r="M4685">
        <v>41.3</v>
      </c>
      <c r="N4685">
        <v>15.7</v>
      </c>
      <c r="O4685">
        <v>25.6</v>
      </c>
      <c r="P4685">
        <v>28.5</v>
      </c>
      <c r="Q4685">
        <v>25.668009999999999</v>
      </c>
      <c r="R4685">
        <v>32.9</v>
      </c>
      <c r="S4685">
        <v>25.46801</v>
      </c>
      <c r="T4685">
        <v>520</v>
      </c>
      <c r="U4685">
        <v>166</v>
      </c>
      <c r="V4685">
        <v>0</v>
      </c>
      <c r="W4685">
        <v>131</v>
      </c>
      <c r="X4685">
        <v>399</v>
      </c>
      <c r="Y4685">
        <v>0</v>
      </c>
      <c r="Z4685">
        <v>109</v>
      </c>
      <c r="AA4685">
        <v>0</v>
      </c>
      <c r="AB4685">
        <v>19.075089999999999</v>
      </c>
      <c r="AC4685">
        <v>1.079801E-2</v>
      </c>
      <c r="AD4685">
        <v>1.603299</v>
      </c>
      <c r="AE4685">
        <v>0.7001636</v>
      </c>
      <c r="AF4685">
        <v>204.5438</v>
      </c>
      <c r="AG4685">
        <f>IFERROR(AH4685*0.1, "N/A")</f>
        <v>5.791582</v>
      </c>
      <c r="AH4685">
        <v>57.915819999999997</v>
      </c>
      <c r="AI4685">
        <v>194.0889</v>
      </c>
      <c r="AJ4685">
        <v>12.04209</v>
      </c>
      <c r="AK4685">
        <v>74.878789999999995</v>
      </c>
    </row>
    <row r="4686" spans="1:37" x14ac:dyDescent="0.3">
      <c r="A4686">
        <v>4685</v>
      </c>
      <c r="B4686">
        <v>96</v>
      </c>
      <c r="C4686">
        <v>2.1930000000000001</v>
      </c>
      <c r="D4686">
        <v>13.417</v>
      </c>
      <c r="E4686" t="s">
        <v>7416</v>
      </c>
      <c r="F4686" t="s">
        <v>7417</v>
      </c>
      <c r="G4686" t="s">
        <v>39</v>
      </c>
      <c r="H4686">
        <v>1987</v>
      </c>
      <c r="I4686">
        <v>29.203029999999998</v>
      </c>
      <c r="J4686">
        <v>14.39697</v>
      </c>
      <c r="K4686">
        <v>55.969700000000003</v>
      </c>
      <c r="L4686">
        <v>29.053940000000001</v>
      </c>
      <c r="M4686">
        <v>41.4</v>
      </c>
      <c r="N4686">
        <v>15.70303</v>
      </c>
      <c r="O4686">
        <v>25.69697</v>
      </c>
      <c r="P4686">
        <v>28.6</v>
      </c>
      <c r="Q4686">
        <v>25.703029999999998</v>
      </c>
      <c r="R4686">
        <v>33</v>
      </c>
      <c r="S4686">
        <v>25.5</v>
      </c>
      <c r="T4686">
        <v>520</v>
      </c>
      <c r="U4686">
        <v>166</v>
      </c>
      <c r="V4686">
        <v>0</v>
      </c>
      <c r="W4686">
        <v>131</v>
      </c>
      <c r="X4686">
        <v>399</v>
      </c>
      <c r="Y4686">
        <v>0</v>
      </c>
      <c r="Z4686">
        <v>109</v>
      </c>
      <c r="AA4686">
        <v>0</v>
      </c>
      <c r="AB4686">
        <v>5.2673360000000002</v>
      </c>
      <c r="AC4686">
        <v>2.2156080000000002E-2</v>
      </c>
      <c r="AD4686">
        <v>0.93913270000000004</v>
      </c>
      <c r="AE4686">
        <v>0.73461960000000004</v>
      </c>
      <c r="AF4686">
        <v>184.38220000000001</v>
      </c>
      <c r="AG4686">
        <f>IFERROR(AH4686*0.1, "N/A")</f>
        <v>6.1949490000000003</v>
      </c>
      <c r="AH4686">
        <v>61.949489999999997</v>
      </c>
      <c r="AI4686">
        <v>235.28380000000001</v>
      </c>
      <c r="AJ4686">
        <v>11.949490000000001</v>
      </c>
      <c r="AK4686">
        <v>73.050510000000003</v>
      </c>
    </row>
    <row r="4687" spans="1:37" x14ac:dyDescent="0.3">
      <c r="A4687">
        <v>4686</v>
      </c>
      <c r="B4687">
        <v>78.900000000000006</v>
      </c>
      <c r="C4687">
        <v>2.198</v>
      </c>
      <c r="D4687">
        <v>13.417</v>
      </c>
      <c r="E4687" t="s">
        <v>7418</v>
      </c>
      <c r="F4687" t="s">
        <v>7419</v>
      </c>
      <c r="G4687" t="s">
        <v>39</v>
      </c>
      <c r="H4687">
        <v>1987</v>
      </c>
      <c r="I4687">
        <v>29.203189999999999</v>
      </c>
      <c r="J4687">
        <v>14.39681</v>
      </c>
      <c r="K4687">
        <v>55.968069999999997</v>
      </c>
      <c r="L4687">
        <v>29.053609999999999</v>
      </c>
      <c r="M4687">
        <v>41.4</v>
      </c>
      <c r="N4687">
        <v>15.703189999999999</v>
      </c>
      <c r="O4687">
        <v>25.696809999999999</v>
      </c>
      <c r="P4687">
        <v>28.6</v>
      </c>
      <c r="Q4687">
        <v>25.703189999999999</v>
      </c>
      <c r="R4687">
        <v>33</v>
      </c>
      <c r="S4687">
        <v>25.5</v>
      </c>
      <c r="T4687">
        <v>520</v>
      </c>
      <c r="U4687">
        <v>166</v>
      </c>
      <c r="V4687">
        <v>0</v>
      </c>
      <c r="W4687">
        <v>131</v>
      </c>
      <c r="X4687">
        <v>399</v>
      </c>
      <c r="Y4687">
        <v>0</v>
      </c>
      <c r="Z4687">
        <v>109</v>
      </c>
      <c r="AA4687">
        <v>0</v>
      </c>
      <c r="AB4687">
        <v>1.5092449999999999</v>
      </c>
      <c r="AC4687">
        <v>8.5847079999999999E-3</v>
      </c>
      <c r="AD4687">
        <v>0.84168940000000003</v>
      </c>
      <c r="AE4687">
        <v>0.73444849999999995</v>
      </c>
      <c r="AF4687">
        <v>184.65209999999999</v>
      </c>
      <c r="AG4687">
        <f>IFERROR(AH4687*0.1, "N/A")</f>
        <v>5.8357980000000005</v>
      </c>
      <c r="AH4687">
        <v>58.357979999999998</v>
      </c>
      <c r="AI4687">
        <v>137.30090000000001</v>
      </c>
      <c r="AJ4687">
        <v>10.35798</v>
      </c>
      <c r="AK4687">
        <v>77.284030000000001</v>
      </c>
    </row>
    <row r="4688" spans="1:37" x14ac:dyDescent="0.3">
      <c r="A4688">
        <v>4687</v>
      </c>
      <c r="B4688">
        <v>26.8</v>
      </c>
      <c r="C4688">
        <v>2.1838899999999999</v>
      </c>
      <c r="D4688">
        <v>13.4247</v>
      </c>
      <c r="E4688" t="s">
        <v>7420</v>
      </c>
      <c r="F4688" t="s">
        <v>7421</v>
      </c>
      <c r="G4688" t="s">
        <v>39</v>
      </c>
      <c r="H4688">
        <v>1986</v>
      </c>
      <c r="I4688">
        <v>29.29222</v>
      </c>
      <c r="J4688">
        <v>14.4</v>
      </c>
      <c r="K4688">
        <v>55.922170000000001</v>
      </c>
      <c r="L4688">
        <v>29.04533</v>
      </c>
      <c r="M4688">
        <v>41.4</v>
      </c>
      <c r="N4688">
        <v>15.78443</v>
      </c>
      <c r="O4688">
        <v>25.615570000000002</v>
      </c>
      <c r="P4688">
        <v>28.6</v>
      </c>
      <c r="Q4688">
        <v>25.79222</v>
      </c>
      <c r="R4688">
        <v>32.992220000000003</v>
      </c>
      <c r="S4688">
        <v>25.5</v>
      </c>
      <c r="T4688">
        <v>519.84429999999998</v>
      </c>
      <c r="U4688">
        <v>166</v>
      </c>
      <c r="V4688">
        <v>0</v>
      </c>
      <c r="W4688">
        <v>131</v>
      </c>
      <c r="X4688">
        <v>398.92219999999998</v>
      </c>
      <c r="Y4688">
        <v>0</v>
      </c>
      <c r="Z4688">
        <v>108.9222</v>
      </c>
      <c r="AA4688">
        <v>0</v>
      </c>
      <c r="AB4688">
        <v>2.018103</v>
      </c>
      <c r="AC4688">
        <v>0.95092189999999999</v>
      </c>
      <c r="AD4688">
        <v>0.57071240000000001</v>
      </c>
      <c r="AE4688">
        <v>0.78915639999999998</v>
      </c>
      <c r="AF4688">
        <v>182.7766</v>
      </c>
      <c r="AG4688">
        <f>IFERROR(AH4688*0.1, "N/A")</f>
        <v>5.7263960000000003</v>
      </c>
      <c r="AH4688">
        <v>57.263959999999997</v>
      </c>
      <c r="AI4688">
        <v>119.17149999999999</v>
      </c>
      <c r="AJ4688">
        <v>15</v>
      </c>
      <c r="AK4688">
        <v>70</v>
      </c>
    </row>
    <row r="4689" spans="1:37" x14ac:dyDescent="0.3">
      <c r="A4689">
        <v>4688</v>
      </c>
      <c r="B4689">
        <v>60.2</v>
      </c>
      <c r="C4689">
        <v>2.16872</v>
      </c>
      <c r="D4689">
        <v>13.4277</v>
      </c>
      <c r="E4689" t="s">
        <v>7422</v>
      </c>
      <c r="F4689" t="s">
        <v>7423</v>
      </c>
      <c r="G4689" t="s">
        <v>39</v>
      </c>
      <c r="H4689">
        <v>0</v>
      </c>
      <c r="I4689">
        <v>29.3</v>
      </c>
      <c r="J4689">
        <v>14.4</v>
      </c>
      <c r="K4689">
        <v>56</v>
      </c>
      <c r="L4689">
        <v>29.05</v>
      </c>
      <c r="M4689">
        <v>41.4</v>
      </c>
      <c r="N4689">
        <v>15.7</v>
      </c>
      <c r="O4689">
        <v>25.7</v>
      </c>
      <c r="P4689">
        <v>28.6</v>
      </c>
      <c r="Q4689">
        <v>25.8</v>
      </c>
      <c r="R4689">
        <v>33</v>
      </c>
      <c r="S4689">
        <v>25.5</v>
      </c>
      <c r="T4689">
        <v>519</v>
      </c>
      <c r="U4689">
        <v>167</v>
      </c>
      <c r="V4689">
        <v>0</v>
      </c>
      <c r="W4689">
        <v>132</v>
      </c>
      <c r="X4689">
        <v>399</v>
      </c>
      <c r="Y4689">
        <v>0</v>
      </c>
      <c r="Z4689">
        <v>108</v>
      </c>
      <c r="AA4689">
        <v>0</v>
      </c>
      <c r="AB4689">
        <v>4.7286479999999997</v>
      </c>
      <c r="AC4689">
        <v>5.5749159999999999E-2</v>
      </c>
      <c r="AD4689">
        <v>1.185772</v>
      </c>
      <c r="AE4689">
        <v>0.75043329999999997</v>
      </c>
      <c r="AF4689">
        <v>181.7458</v>
      </c>
      <c r="AG4689">
        <f>IFERROR(AH4689*0.1, "N/A")</f>
        <v>6.2862710000000002</v>
      </c>
      <c r="AH4689">
        <v>62.86271</v>
      </c>
      <c r="AI4689">
        <v>264.8236</v>
      </c>
      <c r="AJ4689">
        <v>20.218640000000001</v>
      </c>
      <c r="AK4689">
        <v>59.562710000000003</v>
      </c>
    </row>
    <row r="4690" spans="1:37" x14ac:dyDescent="0.3">
      <c r="A4690">
        <v>4689</v>
      </c>
      <c r="B4690">
        <v>92.1</v>
      </c>
      <c r="C4690">
        <v>2.1875</v>
      </c>
      <c r="D4690">
        <v>13.428100000000001</v>
      </c>
      <c r="E4690" t="s">
        <v>7424</v>
      </c>
      <c r="F4690" t="s">
        <v>7425</v>
      </c>
      <c r="G4690" t="s">
        <v>39</v>
      </c>
      <c r="H4690">
        <v>0</v>
      </c>
      <c r="I4690">
        <v>29.2</v>
      </c>
      <c r="J4690">
        <v>14.4</v>
      </c>
      <c r="K4690">
        <v>55</v>
      </c>
      <c r="L4690">
        <v>28.99</v>
      </c>
      <c r="M4690">
        <v>41.4</v>
      </c>
      <c r="N4690">
        <v>15.6</v>
      </c>
      <c r="O4690">
        <v>25.8</v>
      </c>
      <c r="P4690">
        <v>28.6</v>
      </c>
      <c r="Q4690">
        <v>25.7</v>
      </c>
      <c r="R4690">
        <v>32.9</v>
      </c>
      <c r="S4690">
        <v>25.5</v>
      </c>
      <c r="T4690">
        <v>518</v>
      </c>
      <c r="U4690">
        <v>166</v>
      </c>
      <c r="V4690">
        <v>0</v>
      </c>
      <c r="W4690">
        <v>131</v>
      </c>
      <c r="X4690">
        <v>398</v>
      </c>
      <c r="Y4690">
        <v>0</v>
      </c>
      <c r="Z4690">
        <v>108</v>
      </c>
      <c r="AA4690">
        <v>0</v>
      </c>
      <c r="AB4690">
        <v>3.742753</v>
      </c>
      <c r="AC4690">
        <v>1.7799720000000002E-2</v>
      </c>
      <c r="AD4690">
        <v>1.6715329999999999</v>
      </c>
      <c r="AE4690">
        <v>0.78915639999999998</v>
      </c>
      <c r="AF4690">
        <v>187.44280000000001</v>
      </c>
      <c r="AG4690">
        <f>IFERROR(AH4690*0.1, "N/A")</f>
        <v>5.8755890000000006</v>
      </c>
      <c r="AH4690">
        <v>58.755890000000001</v>
      </c>
      <c r="AI4690">
        <v>148.78639999999999</v>
      </c>
      <c r="AJ4690">
        <v>12.048819999999999</v>
      </c>
      <c r="AK4690">
        <v>73.877099999999999</v>
      </c>
    </row>
    <row r="4691" spans="1:37" x14ac:dyDescent="0.3">
      <c r="A4691">
        <v>4690</v>
      </c>
      <c r="B4691">
        <v>91.6</v>
      </c>
      <c r="C4691">
        <v>2.1957</v>
      </c>
      <c r="D4691">
        <v>13.4285</v>
      </c>
      <c r="E4691" t="s">
        <v>7426</v>
      </c>
      <c r="F4691" t="s">
        <v>7427</v>
      </c>
      <c r="G4691" t="s">
        <v>39</v>
      </c>
      <c r="H4691">
        <v>0</v>
      </c>
      <c r="I4691">
        <v>29.2</v>
      </c>
      <c r="J4691">
        <v>14.4</v>
      </c>
      <c r="K4691">
        <v>56</v>
      </c>
      <c r="L4691">
        <v>28.85</v>
      </c>
      <c r="M4691">
        <v>41.4</v>
      </c>
      <c r="N4691">
        <v>15.7</v>
      </c>
      <c r="O4691">
        <v>25.7</v>
      </c>
      <c r="P4691">
        <v>28.6</v>
      </c>
      <c r="Q4691">
        <v>25.7</v>
      </c>
      <c r="R4691">
        <v>32.9</v>
      </c>
      <c r="S4691">
        <v>25.5</v>
      </c>
      <c r="T4691">
        <v>518</v>
      </c>
      <c r="U4691">
        <v>166</v>
      </c>
      <c r="V4691">
        <v>0</v>
      </c>
      <c r="W4691">
        <v>131</v>
      </c>
      <c r="X4691">
        <v>398</v>
      </c>
      <c r="Y4691">
        <v>0</v>
      </c>
      <c r="Z4691">
        <v>108</v>
      </c>
      <c r="AA4691">
        <v>0</v>
      </c>
      <c r="AB4691">
        <v>1.412353</v>
      </c>
      <c r="AC4691">
        <v>7.1799520000000006E-2</v>
      </c>
      <c r="AD4691">
        <v>1.2089749999999999</v>
      </c>
      <c r="AE4691">
        <v>0.76286169999999998</v>
      </c>
      <c r="AF4691">
        <v>187.62440000000001</v>
      </c>
      <c r="AG4691">
        <f>IFERROR(AH4691*0.1, "N/A")</f>
        <v>5.6451780000000005</v>
      </c>
      <c r="AH4691">
        <v>56.451779999999999</v>
      </c>
      <c r="AI4691">
        <v>112.9926</v>
      </c>
      <c r="AJ4691">
        <v>10.1912</v>
      </c>
      <c r="AK4691">
        <v>76.272419999999997</v>
      </c>
    </row>
    <row r="4692" spans="1:37" x14ac:dyDescent="0.3">
      <c r="A4692">
        <v>4691</v>
      </c>
      <c r="B4692">
        <v>61.3</v>
      </c>
      <c r="C4692">
        <v>2.1964000000000001</v>
      </c>
      <c r="D4692">
        <v>13.4298</v>
      </c>
      <c r="E4692" t="s">
        <v>7428</v>
      </c>
      <c r="F4692" t="s">
        <v>7429</v>
      </c>
      <c r="G4692" t="s">
        <v>39</v>
      </c>
      <c r="H4692">
        <v>1990</v>
      </c>
      <c r="I4692">
        <v>29.2</v>
      </c>
      <c r="J4692">
        <v>14.4</v>
      </c>
      <c r="K4692">
        <v>56</v>
      </c>
      <c r="L4692">
        <v>28.85</v>
      </c>
      <c r="M4692">
        <v>41.4</v>
      </c>
      <c r="N4692">
        <v>15.7</v>
      </c>
      <c r="O4692">
        <v>25.7</v>
      </c>
      <c r="P4692">
        <v>28.6</v>
      </c>
      <c r="Q4692">
        <v>25.7</v>
      </c>
      <c r="R4692">
        <v>32.9</v>
      </c>
      <c r="S4692">
        <v>25.5</v>
      </c>
      <c r="T4692">
        <v>518</v>
      </c>
      <c r="U4692">
        <v>166</v>
      </c>
      <c r="V4692">
        <v>0</v>
      </c>
      <c r="W4692">
        <v>131</v>
      </c>
      <c r="X4692">
        <v>398</v>
      </c>
      <c r="Y4692">
        <v>0</v>
      </c>
      <c r="Z4692">
        <v>108</v>
      </c>
      <c r="AA4692">
        <v>0</v>
      </c>
      <c r="AB4692">
        <v>3.0785269999999998</v>
      </c>
      <c r="AC4692">
        <v>6.901873E-2</v>
      </c>
      <c r="AD4692">
        <v>2.0515659999999998</v>
      </c>
      <c r="AE4692">
        <v>0.76286169999999998</v>
      </c>
      <c r="AF4692">
        <v>189.56540000000001</v>
      </c>
      <c r="AG4692">
        <f>IFERROR(AH4692*0.1, "N/A")</f>
        <v>5.6000000000000005</v>
      </c>
      <c r="AH4692">
        <v>56</v>
      </c>
      <c r="AI4692">
        <v>197.7259</v>
      </c>
      <c r="AJ4692">
        <v>10</v>
      </c>
      <c r="AK4692">
        <v>76</v>
      </c>
    </row>
    <row r="4693" spans="1:37" x14ac:dyDescent="0.3">
      <c r="A4693">
        <v>4692</v>
      </c>
      <c r="B4693">
        <v>63.6</v>
      </c>
      <c r="C4693">
        <v>2.1958299999999999</v>
      </c>
      <c r="D4693">
        <v>13.43</v>
      </c>
      <c r="E4693" t="s">
        <v>7430</v>
      </c>
      <c r="F4693" t="s">
        <v>7431</v>
      </c>
      <c r="G4693" t="s">
        <v>39</v>
      </c>
      <c r="H4693">
        <v>1986</v>
      </c>
      <c r="I4693">
        <v>29.2</v>
      </c>
      <c r="J4693">
        <v>14.4</v>
      </c>
      <c r="K4693">
        <v>56</v>
      </c>
      <c r="L4693">
        <v>28.85</v>
      </c>
      <c r="M4693">
        <v>41.4</v>
      </c>
      <c r="N4693">
        <v>15.7</v>
      </c>
      <c r="O4693">
        <v>25.7</v>
      </c>
      <c r="P4693">
        <v>28.6</v>
      </c>
      <c r="Q4693">
        <v>25.7</v>
      </c>
      <c r="R4693">
        <v>32.9</v>
      </c>
      <c r="S4693">
        <v>25.5</v>
      </c>
      <c r="T4693">
        <v>518</v>
      </c>
      <c r="U4693">
        <v>166</v>
      </c>
      <c r="V4693">
        <v>0</v>
      </c>
      <c r="W4693">
        <v>131</v>
      </c>
      <c r="X4693">
        <v>398</v>
      </c>
      <c r="Y4693">
        <v>0</v>
      </c>
      <c r="Z4693">
        <v>108</v>
      </c>
      <c r="AA4693">
        <v>0</v>
      </c>
      <c r="AB4693">
        <v>2.969935</v>
      </c>
      <c r="AC4693">
        <v>2.6529480000000001E-2</v>
      </c>
      <c r="AD4693">
        <v>1.5927210000000001</v>
      </c>
      <c r="AE4693">
        <v>0.76286169999999998</v>
      </c>
      <c r="AF4693">
        <v>188.8091</v>
      </c>
      <c r="AG4693">
        <f>IFERROR(AH4693*0.1, "N/A")</f>
        <v>5.616047</v>
      </c>
      <c r="AH4693">
        <v>56.160469999999997</v>
      </c>
      <c r="AI4693">
        <v>211.4632</v>
      </c>
      <c r="AJ4693">
        <v>10.16047</v>
      </c>
      <c r="AK4693">
        <v>76.042230000000004</v>
      </c>
    </row>
    <row r="4694" spans="1:37" x14ac:dyDescent="0.3">
      <c r="A4694">
        <v>4693</v>
      </c>
      <c r="B4694">
        <v>0</v>
      </c>
      <c r="C4694">
        <v>4.2149999999999999</v>
      </c>
      <c r="D4694">
        <v>13.4328</v>
      </c>
      <c r="E4694" t="s">
        <v>7432</v>
      </c>
      <c r="F4694" t="s">
        <v>7433</v>
      </c>
      <c r="G4694" t="s">
        <v>39</v>
      </c>
      <c r="H4694">
        <v>0</v>
      </c>
      <c r="I4694">
        <v>28.808800000000002</v>
      </c>
      <c r="J4694">
        <v>13.8088</v>
      </c>
      <c r="K4694">
        <v>57.087989999999998</v>
      </c>
      <c r="L4694">
        <v>27.220960000000002</v>
      </c>
      <c r="M4694">
        <v>40.5</v>
      </c>
      <c r="N4694">
        <v>16.600000000000001</v>
      </c>
      <c r="O4694">
        <v>23.9</v>
      </c>
      <c r="P4694">
        <v>27.908799999999999</v>
      </c>
      <c r="Q4694">
        <v>25.7088</v>
      </c>
      <c r="R4694">
        <v>32.5</v>
      </c>
      <c r="S4694">
        <v>25.408799999999999</v>
      </c>
      <c r="T4694">
        <v>506.82400000000001</v>
      </c>
      <c r="U4694">
        <v>169</v>
      </c>
      <c r="V4694">
        <v>0</v>
      </c>
      <c r="W4694">
        <v>132.91200000000001</v>
      </c>
      <c r="X4694">
        <v>390.82400000000001</v>
      </c>
      <c r="Y4694">
        <v>0</v>
      </c>
      <c r="Z4694">
        <v>101</v>
      </c>
      <c r="AA4694">
        <v>0</v>
      </c>
      <c r="AB4694">
        <v>1.930112</v>
      </c>
      <c r="AC4694">
        <v>0.1222751</v>
      </c>
      <c r="AD4694">
        <v>1.2805709999999999</v>
      </c>
      <c r="AE4694">
        <v>0.52182360000000005</v>
      </c>
      <c r="AF4694">
        <v>243.32149999999999</v>
      </c>
      <c r="AG4694">
        <f>IFERROR(AH4694*0.1, "N/A")</f>
        <v>5.5749580000000005</v>
      </c>
      <c r="AH4694">
        <v>55.749580000000002</v>
      </c>
      <c r="AI4694">
        <v>106.542</v>
      </c>
      <c r="AJ4694">
        <v>9.8460239999999999</v>
      </c>
      <c r="AK4694">
        <v>79.55668</v>
      </c>
    </row>
    <row r="4695" spans="1:37" x14ac:dyDescent="0.3">
      <c r="A4695">
        <v>4694</v>
      </c>
      <c r="B4695">
        <v>0</v>
      </c>
      <c r="C4695">
        <v>4.2149999999999999</v>
      </c>
      <c r="D4695">
        <v>13.4328</v>
      </c>
      <c r="E4695" t="s">
        <v>7432</v>
      </c>
      <c r="F4695" t="s">
        <v>7434</v>
      </c>
      <c r="G4695" t="s">
        <v>37</v>
      </c>
      <c r="H4695">
        <v>0</v>
      </c>
      <c r="I4695">
        <v>28.808800000000002</v>
      </c>
      <c r="J4695">
        <v>13.8088</v>
      </c>
      <c r="K4695">
        <v>57.087989999999998</v>
      </c>
      <c r="L4695">
        <v>27.220960000000002</v>
      </c>
      <c r="M4695">
        <v>40.5</v>
      </c>
      <c r="N4695">
        <v>16.600000000000001</v>
      </c>
      <c r="O4695">
        <v>23.9</v>
      </c>
      <c r="P4695">
        <v>27.908799999999999</v>
      </c>
      <c r="Q4695">
        <v>25.7088</v>
      </c>
      <c r="R4695">
        <v>32.5</v>
      </c>
      <c r="S4695">
        <v>25.408799999999999</v>
      </c>
      <c r="T4695">
        <v>506.82400000000001</v>
      </c>
      <c r="U4695">
        <v>169</v>
      </c>
      <c r="V4695">
        <v>0</v>
      </c>
      <c r="W4695">
        <v>132.91200000000001</v>
      </c>
      <c r="X4695">
        <v>390.82400000000001</v>
      </c>
      <c r="Y4695">
        <v>0</v>
      </c>
      <c r="Z4695">
        <v>101</v>
      </c>
      <c r="AA4695">
        <v>0</v>
      </c>
      <c r="AB4695">
        <v>1.930112</v>
      </c>
      <c r="AC4695">
        <v>0.1222751</v>
      </c>
      <c r="AD4695">
        <v>1.2805709999999999</v>
      </c>
      <c r="AE4695">
        <v>0.52182360000000005</v>
      </c>
      <c r="AF4695">
        <v>243.32149999999999</v>
      </c>
      <c r="AG4695">
        <f>IFERROR(AH4695*0.1, "N/A")</f>
        <v>5.5749580000000005</v>
      </c>
      <c r="AH4695">
        <v>55.749580000000002</v>
      </c>
      <c r="AI4695">
        <v>106.542</v>
      </c>
      <c r="AJ4695">
        <v>9.8460239999999999</v>
      </c>
      <c r="AK4695">
        <v>79.55668</v>
      </c>
    </row>
    <row r="4696" spans="1:37" x14ac:dyDescent="0.3">
      <c r="A4696">
        <v>4695</v>
      </c>
      <c r="B4696">
        <v>86</v>
      </c>
      <c r="C4696">
        <v>2.1829999999999998</v>
      </c>
      <c r="D4696">
        <v>13.433999999999999</v>
      </c>
      <c r="E4696" t="s">
        <v>7435</v>
      </c>
      <c r="F4696" t="s">
        <v>7436</v>
      </c>
      <c r="G4696" t="s">
        <v>39</v>
      </c>
      <c r="H4696">
        <v>1987</v>
      </c>
      <c r="I4696">
        <v>29.240849999999998</v>
      </c>
      <c r="J4696">
        <v>14.4</v>
      </c>
      <c r="K4696">
        <v>55</v>
      </c>
      <c r="L4696">
        <v>29.172709999999999</v>
      </c>
      <c r="M4696">
        <v>41.4</v>
      </c>
      <c r="N4696">
        <v>15.6</v>
      </c>
      <c r="O4696">
        <v>25.8</v>
      </c>
      <c r="P4696">
        <v>28.6</v>
      </c>
      <c r="Q4696">
        <v>25.643049999999999</v>
      </c>
      <c r="R4696">
        <v>32.997799999999998</v>
      </c>
      <c r="S4696">
        <v>25.496780000000001</v>
      </c>
      <c r="T4696">
        <v>517.46270000000004</v>
      </c>
      <c r="U4696">
        <v>166.4085</v>
      </c>
      <c r="V4696">
        <v>0</v>
      </c>
      <c r="W4696">
        <v>131.03219999999999</v>
      </c>
      <c r="X4696">
        <v>397.46269999999998</v>
      </c>
      <c r="Y4696">
        <v>0</v>
      </c>
      <c r="Z4696">
        <v>108</v>
      </c>
      <c r="AA4696">
        <v>0</v>
      </c>
      <c r="AB4696">
        <v>0.32186629999999999</v>
      </c>
      <c r="AC4696">
        <v>0.83868589999999998</v>
      </c>
      <c r="AD4696">
        <v>1.8253360000000001</v>
      </c>
      <c r="AE4696">
        <v>0.81978119999999999</v>
      </c>
      <c r="AF4696">
        <v>184.52029999999999</v>
      </c>
      <c r="AG4696">
        <f>IFERROR(AH4696*0.1, "N/A")</f>
        <v>5.7898310000000004</v>
      </c>
      <c r="AH4696">
        <v>57.898310000000002</v>
      </c>
      <c r="AI4696">
        <v>98.470820000000003</v>
      </c>
      <c r="AJ4696">
        <v>13.464410000000001</v>
      </c>
      <c r="AK4696">
        <v>72.85763</v>
      </c>
    </row>
    <row r="4697" spans="1:37" x14ac:dyDescent="0.3">
      <c r="A4697">
        <v>4696</v>
      </c>
      <c r="B4697">
        <v>84.9</v>
      </c>
      <c r="C4697">
        <v>2.1829999999999998</v>
      </c>
      <c r="D4697">
        <v>13.436</v>
      </c>
      <c r="E4697" t="s">
        <v>7437</v>
      </c>
      <c r="F4697" t="s">
        <v>7438</v>
      </c>
      <c r="G4697" t="s">
        <v>39</v>
      </c>
      <c r="H4697">
        <v>1987</v>
      </c>
      <c r="I4697">
        <v>29.240639999999999</v>
      </c>
      <c r="J4697">
        <v>14.4</v>
      </c>
      <c r="K4697">
        <v>55</v>
      </c>
      <c r="L4697">
        <v>29.17315</v>
      </c>
      <c r="M4697">
        <v>41.4</v>
      </c>
      <c r="N4697">
        <v>15.6</v>
      </c>
      <c r="O4697">
        <v>25.8</v>
      </c>
      <c r="P4697">
        <v>28.6</v>
      </c>
      <c r="Q4697">
        <v>25.640640000000001</v>
      </c>
      <c r="R4697">
        <v>33</v>
      </c>
      <c r="S4697">
        <v>25.5</v>
      </c>
      <c r="T4697">
        <v>517.40639999999996</v>
      </c>
      <c r="U4697">
        <v>166.40639999999999</v>
      </c>
      <c r="V4697">
        <v>0</v>
      </c>
      <c r="W4697">
        <v>131</v>
      </c>
      <c r="X4697">
        <v>397.40640000000002</v>
      </c>
      <c r="Y4697">
        <v>0</v>
      </c>
      <c r="Z4697">
        <v>108</v>
      </c>
      <c r="AA4697">
        <v>0</v>
      </c>
      <c r="AB4697">
        <v>1.3281609999999999</v>
      </c>
      <c r="AC4697">
        <v>1.086476</v>
      </c>
      <c r="AD4697">
        <v>1.31853</v>
      </c>
      <c r="AE4697">
        <v>0.81978119999999999</v>
      </c>
      <c r="AF4697">
        <v>184.0523</v>
      </c>
      <c r="AG4697">
        <f>IFERROR(AH4697*0.1, "N/A")</f>
        <v>5.7812820000000009</v>
      </c>
      <c r="AH4697">
        <v>57.812820000000002</v>
      </c>
      <c r="AI4697">
        <v>145.8468</v>
      </c>
      <c r="AJ4697">
        <v>12</v>
      </c>
      <c r="AK4697">
        <v>73.187179999999998</v>
      </c>
    </row>
    <row r="4698" spans="1:37" x14ac:dyDescent="0.3">
      <c r="A4698">
        <v>4697</v>
      </c>
      <c r="B4698">
        <v>4</v>
      </c>
      <c r="C4698">
        <v>10.425800000000001</v>
      </c>
      <c r="D4698">
        <v>13.4381</v>
      </c>
      <c r="E4698" t="s">
        <v>7439</v>
      </c>
      <c r="F4698" t="s">
        <v>7440</v>
      </c>
      <c r="G4698" t="s">
        <v>39</v>
      </c>
      <c r="H4698">
        <v>0</v>
      </c>
      <c r="I4698">
        <v>27.199829999999999</v>
      </c>
      <c r="J4698">
        <v>15.3</v>
      </c>
      <c r="K4698">
        <v>57</v>
      </c>
      <c r="L4698">
        <v>31.209980000000002</v>
      </c>
      <c r="M4698">
        <v>39.9</v>
      </c>
      <c r="N4698">
        <v>13.1</v>
      </c>
      <c r="O4698">
        <v>26.8</v>
      </c>
      <c r="P4698">
        <v>27.199829999999999</v>
      </c>
      <c r="Q4698">
        <v>24.8</v>
      </c>
      <c r="R4698">
        <v>31.2</v>
      </c>
      <c r="S4698">
        <v>22.8</v>
      </c>
      <c r="T4698">
        <v>353</v>
      </c>
      <c r="U4698">
        <v>137</v>
      </c>
      <c r="V4698">
        <v>0</v>
      </c>
      <c r="W4698">
        <v>154</v>
      </c>
      <c r="X4698">
        <v>303</v>
      </c>
      <c r="Y4698">
        <v>0</v>
      </c>
      <c r="Z4698">
        <v>46</v>
      </c>
      <c r="AA4698">
        <v>0</v>
      </c>
      <c r="AB4698">
        <v>1.61551</v>
      </c>
      <c r="AC4698">
        <v>16.052790000000002</v>
      </c>
      <c r="AD4698">
        <v>1.325321</v>
      </c>
      <c r="AE4698">
        <v>0.26080379999999997</v>
      </c>
      <c r="AF4698">
        <v>352.6003</v>
      </c>
      <c r="AG4698">
        <f>IFERROR(AH4698*0.1, "N/A")</f>
        <v>7.0096120000000006</v>
      </c>
      <c r="AH4698">
        <v>70.096119999999999</v>
      </c>
      <c r="AI4698">
        <v>202.44329999999999</v>
      </c>
      <c r="AJ4698">
        <v>11.99663</v>
      </c>
      <c r="AK4698">
        <v>78.861720000000005</v>
      </c>
    </row>
    <row r="4699" spans="1:37" x14ac:dyDescent="0.3">
      <c r="A4699">
        <v>4698</v>
      </c>
      <c r="B4699">
        <v>7.1</v>
      </c>
      <c r="C4699">
        <v>2.2341700000000002</v>
      </c>
      <c r="D4699">
        <v>13.438599999999999</v>
      </c>
      <c r="E4699" t="s">
        <v>7441</v>
      </c>
      <c r="F4699" t="s">
        <v>7442</v>
      </c>
      <c r="G4699" t="s">
        <v>39</v>
      </c>
      <c r="H4699">
        <v>1986</v>
      </c>
      <c r="I4699">
        <v>29.1</v>
      </c>
      <c r="J4699">
        <v>14.3</v>
      </c>
      <c r="K4699">
        <v>55</v>
      </c>
      <c r="L4699">
        <v>29.08</v>
      </c>
      <c r="M4699">
        <v>41.3</v>
      </c>
      <c r="N4699">
        <v>15.7</v>
      </c>
      <c r="O4699">
        <v>25.6</v>
      </c>
      <c r="P4699">
        <v>28.4</v>
      </c>
      <c r="Q4699">
        <v>25.6</v>
      </c>
      <c r="R4699">
        <v>32.9</v>
      </c>
      <c r="S4699">
        <v>25.4</v>
      </c>
      <c r="T4699">
        <v>512</v>
      </c>
      <c r="U4699">
        <v>163</v>
      </c>
      <c r="V4699">
        <v>0</v>
      </c>
      <c r="W4699">
        <v>132</v>
      </c>
      <c r="X4699">
        <v>393</v>
      </c>
      <c r="Y4699">
        <v>0</v>
      </c>
      <c r="Z4699">
        <v>107</v>
      </c>
      <c r="AA4699">
        <v>0</v>
      </c>
      <c r="AB4699">
        <v>4.937398</v>
      </c>
      <c r="AC4699">
        <v>3.2837159999999997E-2</v>
      </c>
      <c r="AD4699">
        <v>1.2006950000000001</v>
      </c>
      <c r="AE4699">
        <v>0.59150849999999999</v>
      </c>
      <c r="AF4699">
        <v>189.87139999999999</v>
      </c>
      <c r="AG4699">
        <f>IFERROR(AH4699*0.1, "N/A")</f>
        <v>6.2302880000000007</v>
      </c>
      <c r="AH4699">
        <v>62.302880000000002</v>
      </c>
      <c r="AI4699">
        <v>192.98869999999999</v>
      </c>
      <c r="AJ4699">
        <v>17</v>
      </c>
      <c r="AK4699">
        <v>64.651439999999994</v>
      </c>
    </row>
    <row r="4700" spans="1:37" x14ac:dyDescent="0.3">
      <c r="A4700">
        <v>4699</v>
      </c>
      <c r="B4700">
        <v>86</v>
      </c>
      <c r="C4700">
        <v>2.1761699999999999</v>
      </c>
      <c r="D4700">
        <v>13.439500000000001</v>
      </c>
      <c r="E4700" t="s">
        <v>7443</v>
      </c>
      <c r="F4700" t="s">
        <v>7444</v>
      </c>
      <c r="G4700" t="s">
        <v>39</v>
      </c>
      <c r="H4700">
        <v>1987</v>
      </c>
      <c r="I4700">
        <v>29.3</v>
      </c>
      <c r="J4700">
        <v>14.4</v>
      </c>
      <c r="K4700">
        <v>55</v>
      </c>
      <c r="L4700">
        <v>29.28</v>
      </c>
      <c r="M4700">
        <v>41.4</v>
      </c>
      <c r="N4700">
        <v>15.6</v>
      </c>
      <c r="O4700">
        <v>25.8</v>
      </c>
      <c r="P4700">
        <v>28.6</v>
      </c>
      <c r="Q4700">
        <v>25.7</v>
      </c>
      <c r="R4700">
        <v>33</v>
      </c>
      <c r="S4700">
        <v>25.5</v>
      </c>
      <c r="T4700">
        <v>518</v>
      </c>
      <c r="U4700">
        <v>167</v>
      </c>
      <c r="V4700">
        <v>0</v>
      </c>
      <c r="W4700">
        <v>131</v>
      </c>
      <c r="X4700">
        <v>398</v>
      </c>
      <c r="Y4700">
        <v>0</v>
      </c>
      <c r="Z4700">
        <v>108</v>
      </c>
      <c r="AA4700">
        <v>0</v>
      </c>
      <c r="AB4700">
        <v>1.3804000000000001</v>
      </c>
      <c r="AC4700">
        <v>2.1812559999999999</v>
      </c>
      <c r="AD4700">
        <v>1.268635</v>
      </c>
      <c r="AE4700">
        <v>0.82767310000000005</v>
      </c>
      <c r="AF4700">
        <v>183.4426</v>
      </c>
      <c r="AG4700">
        <f>IFERROR(AH4700*0.1, "N/A")</f>
        <v>5.7326009999999998</v>
      </c>
      <c r="AH4700">
        <v>57.326009999999997</v>
      </c>
      <c r="AI4700">
        <v>102.8653</v>
      </c>
      <c r="AJ4700">
        <v>12.09291</v>
      </c>
      <c r="AK4700">
        <v>68.847970000000004</v>
      </c>
    </row>
    <row r="4701" spans="1:37" x14ac:dyDescent="0.3">
      <c r="A4701">
        <v>4700</v>
      </c>
      <c r="B4701">
        <v>45.3</v>
      </c>
      <c r="C4701">
        <v>2.1612900000000002</v>
      </c>
      <c r="D4701">
        <v>13.439500000000001</v>
      </c>
      <c r="E4701" t="s">
        <v>7445</v>
      </c>
      <c r="F4701" t="s">
        <v>7446</v>
      </c>
      <c r="G4701" t="s">
        <v>39</v>
      </c>
      <c r="H4701">
        <v>1983</v>
      </c>
      <c r="I4701">
        <v>29.3</v>
      </c>
      <c r="J4701">
        <v>14.4</v>
      </c>
      <c r="K4701">
        <v>56</v>
      </c>
      <c r="L4701">
        <v>28.78</v>
      </c>
      <c r="M4701">
        <v>41.4</v>
      </c>
      <c r="N4701">
        <v>15.7</v>
      </c>
      <c r="O4701">
        <v>25.7</v>
      </c>
      <c r="P4701">
        <v>28.6</v>
      </c>
      <c r="Q4701">
        <v>25.8</v>
      </c>
      <c r="R4701">
        <v>33</v>
      </c>
      <c r="S4701">
        <v>25.6</v>
      </c>
      <c r="T4701">
        <v>519</v>
      </c>
      <c r="U4701">
        <v>167</v>
      </c>
      <c r="V4701">
        <v>0</v>
      </c>
      <c r="W4701">
        <v>131</v>
      </c>
      <c r="X4701">
        <v>398</v>
      </c>
      <c r="Y4701">
        <v>0</v>
      </c>
      <c r="Z4701">
        <v>109</v>
      </c>
      <c r="AA4701">
        <v>0</v>
      </c>
      <c r="AB4701">
        <v>2.877329</v>
      </c>
      <c r="AC4701">
        <v>8.3182959999999993E-3</v>
      </c>
      <c r="AD4701">
        <v>0.91173079999999995</v>
      </c>
      <c r="AE4701">
        <v>0.77987490000000004</v>
      </c>
      <c r="AF4701">
        <v>182.25550000000001</v>
      </c>
      <c r="AG4701">
        <f>IFERROR(AH4701*0.1, "N/A")</f>
        <v>6.0037230000000008</v>
      </c>
      <c r="AH4701">
        <v>60.037230000000001</v>
      </c>
      <c r="AI4701">
        <v>192.1807</v>
      </c>
      <c r="AJ4701">
        <v>24.316410000000001</v>
      </c>
      <c r="AK4701">
        <v>51.56176</v>
      </c>
    </row>
    <row r="4702" spans="1:37" x14ac:dyDescent="0.3">
      <c r="A4702">
        <v>4701</v>
      </c>
      <c r="B4702">
        <v>41.3</v>
      </c>
      <c r="C4702">
        <v>2.2105899999999998</v>
      </c>
      <c r="D4702">
        <v>13.4422</v>
      </c>
      <c r="E4702" t="s">
        <v>7447</v>
      </c>
      <c r="F4702" t="s">
        <v>7448</v>
      </c>
      <c r="G4702" t="s">
        <v>39</v>
      </c>
      <c r="H4702">
        <v>1987</v>
      </c>
      <c r="I4702">
        <v>29.1</v>
      </c>
      <c r="J4702">
        <v>14.3</v>
      </c>
      <c r="K4702">
        <v>55</v>
      </c>
      <c r="L4702">
        <v>28.794229999999999</v>
      </c>
      <c r="M4702">
        <v>41.201689999999999</v>
      </c>
      <c r="N4702">
        <v>15.6</v>
      </c>
      <c r="O4702">
        <v>25.601690000000001</v>
      </c>
      <c r="P4702">
        <v>28.401689999999999</v>
      </c>
      <c r="Q4702">
        <v>25.6</v>
      </c>
      <c r="R4702">
        <v>32.801690000000001</v>
      </c>
      <c r="S4702">
        <v>25.4</v>
      </c>
      <c r="T4702">
        <v>516</v>
      </c>
      <c r="U4702">
        <v>165</v>
      </c>
      <c r="V4702">
        <v>0</v>
      </c>
      <c r="W4702">
        <v>131</v>
      </c>
      <c r="X4702">
        <v>396</v>
      </c>
      <c r="Y4702">
        <v>0</v>
      </c>
      <c r="Z4702">
        <v>108</v>
      </c>
      <c r="AA4702">
        <v>0</v>
      </c>
      <c r="AB4702">
        <v>4.503044</v>
      </c>
      <c r="AC4702">
        <v>1.4356259999999999E-2</v>
      </c>
      <c r="AD4702">
        <v>0.82713910000000002</v>
      </c>
      <c r="AE4702">
        <v>0.5250089</v>
      </c>
      <c r="AF4702">
        <v>209.87309999999999</v>
      </c>
      <c r="AG4702">
        <f>IFERROR(AH4702*0.1, "N/A")</f>
        <v>5.6517770000000001</v>
      </c>
      <c r="AH4702">
        <v>56.517769999999999</v>
      </c>
      <c r="AI4702">
        <v>188.04400000000001</v>
      </c>
      <c r="AJ4702">
        <v>12.25888</v>
      </c>
      <c r="AK4702">
        <v>74.741119999999995</v>
      </c>
    </row>
    <row r="4703" spans="1:37" x14ac:dyDescent="0.3">
      <c r="A4703">
        <v>4702</v>
      </c>
      <c r="B4703">
        <v>0</v>
      </c>
      <c r="C4703">
        <v>6.5046099999999996</v>
      </c>
      <c r="D4703">
        <v>13.442299999999999</v>
      </c>
      <c r="E4703" t="s">
        <v>7449</v>
      </c>
      <c r="F4703" t="s">
        <v>7450</v>
      </c>
      <c r="G4703" t="s">
        <v>39</v>
      </c>
      <c r="H4703">
        <v>0</v>
      </c>
      <c r="I4703">
        <v>27.5</v>
      </c>
      <c r="J4703">
        <v>14.5</v>
      </c>
      <c r="K4703">
        <v>56</v>
      </c>
      <c r="L4703">
        <v>29.61</v>
      </c>
      <c r="M4703">
        <v>39.6</v>
      </c>
      <c r="N4703">
        <v>14.1</v>
      </c>
      <c r="O4703">
        <v>25.5</v>
      </c>
      <c r="P4703">
        <v>27.1</v>
      </c>
      <c r="Q4703">
        <v>25.7</v>
      </c>
      <c r="R4703">
        <v>31.4</v>
      </c>
      <c r="S4703">
        <v>23.6</v>
      </c>
      <c r="T4703">
        <v>448</v>
      </c>
      <c r="U4703">
        <v>159</v>
      </c>
      <c r="V4703">
        <v>0</v>
      </c>
      <c r="W4703">
        <v>144</v>
      </c>
      <c r="X4703">
        <v>370</v>
      </c>
      <c r="Y4703">
        <v>0</v>
      </c>
      <c r="Z4703">
        <v>73</v>
      </c>
      <c r="AA4703">
        <v>0</v>
      </c>
      <c r="AB4703">
        <v>3.0587</v>
      </c>
      <c r="AC4703">
        <v>2.799478E-2</v>
      </c>
      <c r="AD4703">
        <v>1.253592</v>
      </c>
      <c r="AE4703">
        <v>0.31464740000000002</v>
      </c>
      <c r="AF4703">
        <v>349.5668</v>
      </c>
      <c r="AG4703">
        <f>IFERROR(AH4703*0.1, "N/A")</f>
        <v>6.1000000000000005</v>
      </c>
      <c r="AH4703">
        <v>61</v>
      </c>
      <c r="AI4703">
        <v>174.35230000000001</v>
      </c>
      <c r="AJ4703">
        <v>15.986459999999999</v>
      </c>
      <c r="AK4703">
        <v>71</v>
      </c>
    </row>
    <row r="4704" spans="1:37" x14ac:dyDescent="0.3">
      <c r="A4704">
        <v>4703</v>
      </c>
      <c r="B4704">
        <v>0</v>
      </c>
      <c r="C4704">
        <v>6.5046099999999996</v>
      </c>
      <c r="D4704">
        <v>13.442299999999999</v>
      </c>
      <c r="E4704" t="s">
        <v>7449</v>
      </c>
      <c r="F4704" t="s">
        <v>7451</v>
      </c>
      <c r="G4704" t="s">
        <v>37</v>
      </c>
      <c r="H4704">
        <v>0</v>
      </c>
      <c r="I4704">
        <v>27.5</v>
      </c>
      <c r="J4704">
        <v>14.5</v>
      </c>
      <c r="K4704">
        <v>56</v>
      </c>
      <c r="L4704">
        <v>29.61</v>
      </c>
      <c r="M4704">
        <v>39.6</v>
      </c>
      <c r="N4704">
        <v>14.1</v>
      </c>
      <c r="O4704">
        <v>25.5</v>
      </c>
      <c r="P4704">
        <v>27.1</v>
      </c>
      <c r="Q4704">
        <v>25.7</v>
      </c>
      <c r="R4704">
        <v>31.4</v>
      </c>
      <c r="S4704">
        <v>23.6</v>
      </c>
      <c r="T4704">
        <v>448</v>
      </c>
      <c r="U4704">
        <v>159</v>
      </c>
      <c r="V4704">
        <v>0</v>
      </c>
      <c r="W4704">
        <v>144</v>
      </c>
      <c r="X4704">
        <v>370</v>
      </c>
      <c r="Y4704">
        <v>0</v>
      </c>
      <c r="Z4704">
        <v>73</v>
      </c>
      <c r="AA4704">
        <v>0</v>
      </c>
      <c r="AB4704">
        <v>3.0587</v>
      </c>
      <c r="AC4704">
        <v>2.799478E-2</v>
      </c>
      <c r="AD4704">
        <v>1.253592</v>
      </c>
      <c r="AE4704">
        <v>0.31464740000000002</v>
      </c>
      <c r="AF4704">
        <v>349.5668</v>
      </c>
      <c r="AG4704">
        <f>IFERROR(AH4704*0.1, "N/A")</f>
        <v>6.1000000000000005</v>
      </c>
      <c r="AH4704">
        <v>61</v>
      </c>
      <c r="AI4704">
        <v>174.35230000000001</v>
      </c>
      <c r="AJ4704">
        <v>15.986459999999999</v>
      </c>
      <c r="AK4704">
        <v>71</v>
      </c>
    </row>
    <row r="4705" spans="1:37" x14ac:dyDescent="0.3">
      <c r="A4705">
        <v>4704</v>
      </c>
      <c r="B4705">
        <v>59.3</v>
      </c>
      <c r="C4705">
        <v>2.1222500000000002</v>
      </c>
      <c r="D4705">
        <v>13.4452</v>
      </c>
      <c r="E4705" t="s">
        <v>7452</v>
      </c>
      <c r="F4705" t="s">
        <v>7453</v>
      </c>
      <c r="G4705" t="s">
        <v>39</v>
      </c>
      <c r="H4705">
        <v>0</v>
      </c>
      <c r="I4705">
        <v>29.2</v>
      </c>
      <c r="J4705">
        <v>14.5</v>
      </c>
      <c r="K4705">
        <v>55</v>
      </c>
      <c r="L4705">
        <v>29.35</v>
      </c>
      <c r="M4705">
        <v>41.4</v>
      </c>
      <c r="N4705">
        <v>15.5</v>
      </c>
      <c r="O4705">
        <v>25.9</v>
      </c>
      <c r="P4705">
        <v>28.4</v>
      </c>
      <c r="Q4705">
        <v>25.7</v>
      </c>
      <c r="R4705">
        <v>33</v>
      </c>
      <c r="S4705">
        <v>25.5</v>
      </c>
      <c r="T4705">
        <v>521</v>
      </c>
      <c r="U4705">
        <v>169</v>
      </c>
      <c r="V4705">
        <v>0</v>
      </c>
      <c r="W4705">
        <v>132</v>
      </c>
      <c r="X4705">
        <v>400</v>
      </c>
      <c r="Y4705">
        <v>0</v>
      </c>
      <c r="Z4705">
        <v>107</v>
      </c>
      <c r="AA4705">
        <v>0</v>
      </c>
      <c r="AB4705">
        <v>25.622389999999999</v>
      </c>
      <c r="AC4705">
        <v>1.5796000000000001E-2</v>
      </c>
      <c r="AD4705">
        <v>1.509088</v>
      </c>
      <c r="AE4705">
        <v>0.56783720000000004</v>
      </c>
      <c r="AF4705">
        <v>204.52690000000001</v>
      </c>
      <c r="AG4705">
        <f>IFERROR(AH4705*0.1, "N/A")</f>
        <v>6.3917510000000002</v>
      </c>
      <c r="AH4705">
        <v>63.91751</v>
      </c>
      <c r="AI4705">
        <v>139.31540000000001</v>
      </c>
      <c r="AJ4705">
        <v>14.063969999999999</v>
      </c>
      <c r="AK4705">
        <v>69.003370000000004</v>
      </c>
    </row>
    <row r="4706" spans="1:37" x14ac:dyDescent="0.3">
      <c r="A4706">
        <v>4705</v>
      </c>
      <c r="B4706">
        <v>79</v>
      </c>
      <c r="C4706">
        <v>2.2144400000000002</v>
      </c>
      <c r="D4706">
        <v>13.447800000000001</v>
      </c>
      <c r="E4706" t="s">
        <v>7454</v>
      </c>
      <c r="F4706" t="s">
        <v>7455</v>
      </c>
      <c r="G4706" t="s">
        <v>39</v>
      </c>
      <c r="H4706">
        <v>1986</v>
      </c>
      <c r="I4706">
        <v>29.1</v>
      </c>
      <c r="J4706">
        <v>14.3</v>
      </c>
      <c r="K4706">
        <v>55</v>
      </c>
      <c r="L4706">
        <v>28.79</v>
      </c>
      <c r="M4706">
        <v>41.2</v>
      </c>
      <c r="N4706">
        <v>15.6</v>
      </c>
      <c r="O4706">
        <v>25.6</v>
      </c>
      <c r="P4706">
        <v>28.4</v>
      </c>
      <c r="Q4706">
        <v>25.6</v>
      </c>
      <c r="R4706">
        <v>32.799999999999997</v>
      </c>
      <c r="S4706">
        <v>25.4</v>
      </c>
      <c r="T4706">
        <v>516</v>
      </c>
      <c r="U4706">
        <v>165</v>
      </c>
      <c r="V4706">
        <v>0</v>
      </c>
      <c r="W4706">
        <v>131</v>
      </c>
      <c r="X4706">
        <v>396</v>
      </c>
      <c r="Y4706">
        <v>0</v>
      </c>
      <c r="Z4706">
        <v>108</v>
      </c>
      <c r="AA4706">
        <v>0</v>
      </c>
      <c r="AB4706">
        <v>4.8263449999999999</v>
      </c>
      <c r="AC4706">
        <v>4.5173089999999999E-2</v>
      </c>
      <c r="AD4706">
        <v>1.732542</v>
      </c>
      <c r="AE4706">
        <v>0.52468159999999997</v>
      </c>
      <c r="AF4706">
        <v>212.02029999999999</v>
      </c>
      <c r="AG4706">
        <f>IFERROR(AH4706*0.1, "N/A")</f>
        <v>5.523142</v>
      </c>
      <c r="AH4706">
        <v>55.23142</v>
      </c>
      <c r="AI4706">
        <v>244.20500000000001</v>
      </c>
      <c r="AJ4706">
        <v>17</v>
      </c>
      <c r="AK4706">
        <v>65</v>
      </c>
    </row>
    <row r="4707" spans="1:37" x14ac:dyDescent="0.3">
      <c r="A4707">
        <v>4706</v>
      </c>
      <c r="B4707">
        <v>59.6</v>
      </c>
      <c r="C4707">
        <v>2.1244399999999999</v>
      </c>
      <c r="D4707">
        <v>13.447800000000001</v>
      </c>
      <c r="E4707" t="s">
        <v>7456</v>
      </c>
      <c r="F4707" t="s">
        <v>7457</v>
      </c>
      <c r="G4707" t="s">
        <v>39</v>
      </c>
      <c r="H4707">
        <v>1999</v>
      </c>
      <c r="I4707">
        <v>29.2</v>
      </c>
      <c r="J4707">
        <v>14.5</v>
      </c>
      <c r="K4707">
        <v>55</v>
      </c>
      <c r="L4707">
        <v>29.35</v>
      </c>
      <c r="M4707">
        <v>41.4</v>
      </c>
      <c r="N4707">
        <v>15.5</v>
      </c>
      <c r="O4707">
        <v>25.9</v>
      </c>
      <c r="P4707">
        <v>28.4</v>
      </c>
      <c r="Q4707">
        <v>25.7</v>
      </c>
      <c r="R4707">
        <v>33</v>
      </c>
      <c r="S4707">
        <v>25.5</v>
      </c>
      <c r="T4707">
        <v>521</v>
      </c>
      <c r="U4707">
        <v>169</v>
      </c>
      <c r="V4707">
        <v>0</v>
      </c>
      <c r="W4707">
        <v>132</v>
      </c>
      <c r="X4707">
        <v>400</v>
      </c>
      <c r="Y4707">
        <v>0</v>
      </c>
      <c r="Z4707">
        <v>107</v>
      </c>
      <c r="AA4707">
        <v>0</v>
      </c>
      <c r="AB4707">
        <v>10.546110000000001</v>
      </c>
      <c r="AC4707">
        <v>3.7360909999999997E-2</v>
      </c>
      <c r="AD4707">
        <v>3.542694</v>
      </c>
      <c r="AE4707">
        <v>0.56783720000000004</v>
      </c>
      <c r="AF4707">
        <v>190.67910000000001</v>
      </c>
      <c r="AG4707">
        <f>IFERROR(AH4707*0.1, "N/A")</f>
        <v>6.4</v>
      </c>
      <c r="AH4707">
        <v>64</v>
      </c>
      <c r="AI4707">
        <v>56.882429999999999</v>
      </c>
      <c r="AJ4707">
        <v>13</v>
      </c>
      <c r="AK4707">
        <v>71</v>
      </c>
    </row>
    <row r="4708" spans="1:37" x14ac:dyDescent="0.3">
      <c r="A4708">
        <v>4707</v>
      </c>
      <c r="B4708">
        <v>94</v>
      </c>
      <c r="C4708">
        <v>2.149</v>
      </c>
      <c r="D4708">
        <v>13.452</v>
      </c>
      <c r="E4708" t="s">
        <v>7458</v>
      </c>
      <c r="F4708" t="s">
        <v>7459</v>
      </c>
      <c r="G4708" t="s">
        <v>39</v>
      </c>
      <c r="H4708">
        <v>1987</v>
      </c>
      <c r="I4708">
        <v>29.3</v>
      </c>
      <c r="J4708">
        <v>14.40287</v>
      </c>
      <c r="K4708">
        <v>55.028669999999998</v>
      </c>
      <c r="L4708">
        <v>29.04541</v>
      </c>
      <c r="M4708">
        <v>41.5</v>
      </c>
      <c r="N4708">
        <v>15.7</v>
      </c>
      <c r="O4708">
        <v>25.8</v>
      </c>
      <c r="P4708">
        <v>28.502870000000001</v>
      </c>
      <c r="Q4708">
        <v>25.8</v>
      </c>
      <c r="R4708">
        <v>33</v>
      </c>
      <c r="S4708">
        <v>25.6</v>
      </c>
      <c r="T4708">
        <v>517.02869999999996</v>
      </c>
      <c r="U4708">
        <v>167.97130000000001</v>
      </c>
      <c r="V4708">
        <v>0</v>
      </c>
      <c r="W4708">
        <v>131</v>
      </c>
      <c r="X4708">
        <v>397.02870000000001</v>
      </c>
      <c r="Y4708">
        <v>0</v>
      </c>
      <c r="Z4708">
        <v>108</v>
      </c>
      <c r="AA4708">
        <v>0</v>
      </c>
      <c r="AB4708">
        <v>9.6624699999999994E-2</v>
      </c>
      <c r="AC4708">
        <v>0.72203790000000001</v>
      </c>
      <c r="AD4708">
        <v>0.97412759999999998</v>
      </c>
      <c r="AE4708">
        <v>0.81054190000000004</v>
      </c>
      <c r="AF4708">
        <v>179.1164</v>
      </c>
      <c r="AG4708">
        <f>IFERROR(AH4708*0.1, "N/A")</f>
        <v>5.8015180000000006</v>
      </c>
      <c r="AH4708">
        <v>58.015180000000001</v>
      </c>
      <c r="AI4708">
        <v>139.60640000000001</v>
      </c>
      <c r="AJ4708">
        <v>30.986509999999999</v>
      </c>
      <c r="AK4708">
        <v>45.956159999999997</v>
      </c>
    </row>
    <row r="4709" spans="1:37" x14ac:dyDescent="0.3">
      <c r="A4709">
        <v>4708</v>
      </c>
      <c r="B4709">
        <v>15</v>
      </c>
      <c r="C4709">
        <v>2.1523699999999999</v>
      </c>
      <c r="D4709">
        <v>13.4582</v>
      </c>
      <c r="E4709" t="s">
        <v>7460</v>
      </c>
      <c r="F4709" t="s">
        <v>7461</v>
      </c>
      <c r="G4709" t="s">
        <v>39</v>
      </c>
      <c r="H4709">
        <v>0</v>
      </c>
      <c r="I4709">
        <v>29.3</v>
      </c>
      <c r="J4709">
        <v>14.5</v>
      </c>
      <c r="K4709">
        <v>55.767679999999999</v>
      </c>
      <c r="L4709">
        <v>28.913229999999999</v>
      </c>
      <c r="M4709">
        <v>41.5</v>
      </c>
      <c r="N4709">
        <v>15.676769999999999</v>
      </c>
      <c r="O4709">
        <v>25.823229999999999</v>
      </c>
      <c r="P4709">
        <v>28.6</v>
      </c>
      <c r="Q4709">
        <v>25.8</v>
      </c>
      <c r="R4709">
        <v>33</v>
      </c>
      <c r="S4709">
        <v>25.57677</v>
      </c>
      <c r="T4709">
        <v>517.303</v>
      </c>
      <c r="U4709">
        <v>167</v>
      </c>
      <c r="V4709">
        <v>0</v>
      </c>
      <c r="W4709">
        <v>131.697</v>
      </c>
      <c r="X4709">
        <v>397.53539999999998</v>
      </c>
      <c r="Y4709">
        <v>0</v>
      </c>
      <c r="Z4709">
        <v>107.7677</v>
      </c>
      <c r="AA4709">
        <v>0</v>
      </c>
      <c r="AB4709">
        <v>0.99342529999999996</v>
      </c>
      <c r="AC4709">
        <v>3.2528309999999998E-2</v>
      </c>
      <c r="AD4709">
        <v>1.3285960000000001</v>
      </c>
      <c r="AE4709">
        <v>0.81054190000000004</v>
      </c>
      <c r="AF4709">
        <v>180.702</v>
      </c>
      <c r="AG4709">
        <f>IFERROR(AH4709*0.1, "N/A")</f>
        <v>6.68771</v>
      </c>
      <c r="AH4709">
        <v>66.877099999999999</v>
      </c>
      <c r="AI4709">
        <v>242.21629999999999</v>
      </c>
      <c r="AJ4709">
        <v>20.624580000000002</v>
      </c>
      <c r="AK4709">
        <v>60.043770000000002</v>
      </c>
    </row>
    <row r="4710" spans="1:37" x14ac:dyDescent="0.3">
      <c r="A4710">
        <v>4709</v>
      </c>
      <c r="B4710">
        <v>24</v>
      </c>
      <c r="C4710">
        <v>2.9286500000000002</v>
      </c>
      <c r="D4710">
        <v>13.459300000000001</v>
      </c>
      <c r="E4710" t="s">
        <v>7462</v>
      </c>
      <c r="F4710" t="s">
        <v>7463</v>
      </c>
      <c r="G4710" t="s">
        <v>39</v>
      </c>
      <c r="H4710">
        <v>0</v>
      </c>
      <c r="I4710">
        <v>29.101019999999998</v>
      </c>
      <c r="J4710">
        <v>13.9</v>
      </c>
      <c r="K4710">
        <v>57</v>
      </c>
      <c r="L4710">
        <v>27.638680000000001</v>
      </c>
      <c r="M4710">
        <v>40.9</v>
      </c>
      <c r="N4710">
        <v>16.600000000000001</v>
      </c>
      <c r="O4710">
        <v>24.3</v>
      </c>
      <c r="P4710">
        <v>28.301020000000001</v>
      </c>
      <c r="Q4710">
        <v>25.901019999999999</v>
      </c>
      <c r="R4710">
        <v>32.801020000000001</v>
      </c>
      <c r="S4710">
        <v>25.601019999999998</v>
      </c>
      <c r="T4710">
        <v>483.02030000000002</v>
      </c>
      <c r="U4710">
        <v>166</v>
      </c>
      <c r="V4710">
        <v>0</v>
      </c>
      <c r="W4710">
        <v>134</v>
      </c>
      <c r="X4710">
        <v>373.0102</v>
      </c>
      <c r="Y4710">
        <v>0</v>
      </c>
      <c r="Z4710">
        <v>100.0102</v>
      </c>
      <c r="AA4710">
        <v>0</v>
      </c>
      <c r="AB4710">
        <v>1.276105</v>
      </c>
      <c r="AC4710">
        <v>1.2293149999999999E-2</v>
      </c>
      <c r="AD4710">
        <v>1.1864840000000001</v>
      </c>
      <c r="AE4710">
        <v>0.72922359999999997</v>
      </c>
      <c r="AF4710">
        <v>197.1542</v>
      </c>
      <c r="AG4710">
        <f>IFERROR(AH4710*0.1, "N/A")</f>
        <v>5.576441</v>
      </c>
      <c r="AH4710">
        <v>55.764409999999998</v>
      </c>
      <c r="AI4710">
        <v>175.43469999999999</v>
      </c>
      <c r="AJ4710">
        <v>10.99492</v>
      </c>
      <c r="AK4710">
        <v>81.235590000000002</v>
      </c>
    </row>
    <row r="4711" spans="1:37" x14ac:dyDescent="0.3">
      <c r="A4711">
        <v>4710</v>
      </c>
      <c r="B4711">
        <v>0</v>
      </c>
      <c r="C4711">
        <v>4.3409500000000003</v>
      </c>
      <c r="D4711">
        <v>13.460800000000001</v>
      </c>
      <c r="E4711" t="s">
        <v>7464</v>
      </c>
      <c r="F4711" t="s">
        <v>7465</v>
      </c>
      <c r="G4711" t="s">
        <v>39</v>
      </c>
      <c r="H4711">
        <v>0</v>
      </c>
      <c r="I4711">
        <v>28.6</v>
      </c>
      <c r="J4711">
        <v>13.9</v>
      </c>
      <c r="K4711">
        <v>57</v>
      </c>
      <c r="L4711">
        <v>27.24</v>
      </c>
      <c r="M4711">
        <v>40.299999999999997</v>
      </c>
      <c r="N4711">
        <v>16.3</v>
      </c>
      <c r="O4711">
        <v>24</v>
      </c>
      <c r="P4711">
        <v>27.8</v>
      </c>
      <c r="Q4711">
        <v>25.5</v>
      </c>
      <c r="R4711">
        <v>32.299999999999997</v>
      </c>
      <c r="S4711">
        <v>25.2</v>
      </c>
      <c r="T4711">
        <v>513</v>
      </c>
      <c r="U4711">
        <v>171</v>
      </c>
      <c r="V4711">
        <v>0</v>
      </c>
      <c r="W4711">
        <v>134</v>
      </c>
      <c r="X4711">
        <v>394</v>
      </c>
      <c r="Y4711">
        <v>0</v>
      </c>
      <c r="Z4711">
        <v>104</v>
      </c>
      <c r="AA4711">
        <v>0</v>
      </c>
      <c r="AB4711">
        <v>1.254624</v>
      </c>
      <c r="AC4711">
        <v>0.35901539999999998</v>
      </c>
      <c r="AD4711">
        <v>2.027253</v>
      </c>
      <c r="AE4711">
        <v>0.69372020000000001</v>
      </c>
      <c r="AF4711">
        <v>274.35079999999999</v>
      </c>
      <c r="AG4711">
        <f>IFERROR(AH4711*0.1, "N/A")</f>
        <v>5.8543000000000003</v>
      </c>
      <c r="AH4711">
        <v>58.542999999999999</v>
      </c>
      <c r="AI4711">
        <v>238.80500000000001</v>
      </c>
      <c r="AJ4711">
        <v>11.82968</v>
      </c>
      <c r="AK4711">
        <v>78.11636</v>
      </c>
    </row>
    <row r="4712" spans="1:37" x14ac:dyDescent="0.3">
      <c r="A4712">
        <v>4711</v>
      </c>
      <c r="B4712">
        <v>0</v>
      </c>
      <c r="C4712">
        <v>4.3409500000000003</v>
      </c>
      <c r="D4712">
        <v>13.460800000000001</v>
      </c>
      <c r="E4712" t="s">
        <v>7464</v>
      </c>
      <c r="F4712" t="s">
        <v>7466</v>
      </c>
      <c r="G4712" t="s">
        <v>37</v>
      </c>
      <c r="H4712">
        <v>0</v>
      </c>
      <c r="I4712">
        <v>28.6</v>
      </c>
      <c r="J4712">
        <v>13.9</v>
      </c>
      <c r="K4712">
        <v>57</v>
      </c>
      <c r="L4712">
        <v>27.24</v>
      </c>
      <c r="M4712">
        <v>40.299999999999997</v>
      </c>
      <c r="N4712">
        <v>16.3</v>
      </c>
      <c r="O4712">
        <v>24</v>
      </c>
      <c r="P4712">
        <v>27.8</v>
      </c>
      <c r="Q4712">
        <v>25.5</v>
      </c>
      <c r="R4712">
        <v>32.299999999999997</v>
      </c>
      <c r="S4712">
        <v>25.2</v>
      </c>
      <c r="T4712">
        <v>513</v>
      </c>
      <c r="U4712">
        <v>171</v>
      </c>
      <c r="V4712">
        <v>0</v>
      </c>
      <c r="W4712">
        <v>134</v>
      </c>
      <c r="X4712">
        <v>394</v>
      </c>
      <c r="Y4712">
        <v>0</v>
      </c>
      <c r="Z4712">
        <v>104</v>
      </c>
      <c r="AA4712">
        <v>0</v>
      </c>
      <c r="AB4712">
        <v>1.254624</v>
      </c>
      <c r="AC4712">
        <v>0.35901539999999998</v>
      </c>
      <c r="AD4712">
        <v>2.027253</v>
      </c>
      <c r="AE4712">
        <v>0.69372020000000001</v>
      </c>
      <c r="AF4712">
        <v>274.35079999999999</v>
      </c>
      <c r="AG4712">
        <f>IFERROR(AH4712*0.1, "N/A")</f>
        <v>5.8543000000000003</v>
      </c>
      <c r="AH4712">
        <v>58.542999999999999</v>
      </c>
      <c r="AI4712">
        <v>238.80500000000001</v>
      </c>
      <c r="AJ4712">
        <v>11.82968</v>
      </c>
      <c r="AK4712">
        <v>78.11636</v>
      </c>
    </row>
    <row r="4713" spans="1:37" x14ac:dyDescent="0.3">
      <c r="A4713">
        <v>4712</v>
      </c>
      <c r="B4713">
        <v>94.1</v>
      </c>
      <c r="C4713">
        <v>2.1404800000000002</v>
      </c>
      <c r="D4713">
        <v>13.461</v>
      </c>
      <c r="E4713" t="s">
        <v>7467</v>
      </c>
      <c r="F4713" t="s">
        <v>7468</v>
      </c>
      <c r="G4713" t="s">
        <v>39</v>
      </c>
      <c r="H4713">
        <v>1987</v>
      </c>
      <c r="I4713">
        <v>29.3</v>
      </c>
      <c r="J4713">
        <v>14.5</v>
      </c>
      <c r="K4713">
        <v>55</v>
      </c>
      <c r="L4713">
        <v>29.54</v>
      </c>
      <c r="M4713">
        <v>41.5</v>
      </c>
      <c r="N4713">
        <v>15.6</v>
      </c>
      <c r="O4713">
        <v>25.9</v>
      </c>
      <c r="P4713">
        <v>28.5</v>
      </c>
      <c r="Q4713">
        <v>25.8</v>
      </c>
      <c r="R4713">
        <v>33.1</v>
      </c>
      <c r="S4713">
        <v>25.6</v>
      </c>
      <c r="T4713">
        <v>517</v>
      </c>
      <c r="U4713">
        <v>168</v>
      </c>
      <c r="V4713">
        <v>0</v>
      </c>
      <c r="W4713">
        <v>131</v>
      </c>
      <c r="X4713">
        <v>397</v>
      </c>
      <c r="Y4713">
        <v>0</v>
      </c>
      <c r="Z4713">
        <v>107</v>
      </c>
      <c r="AA4713">
        <v>0</v>
      </c>
      <c r="AB4713">
        <v>1.792251</v>
      </c>
      <c r="AC4713">
        <v>1.438067E-2</v>
      </c>
      <c r="AD4713">
        <v>1.1015729999999999</v>
      </c>
      <c r="AE4713">
        <v>0.75448999999999999</v>
      </c>
      <c r="AF4713">
        <v>178.83840000000001</v>
      </c>
      <c r="AG4713">
        <f>IFERROR(AH4713*0.1, "N/A")</f>
        <v>5.706061</v>
      </c>
      <c r="AH4713">
        <v>57.060609999999997</v>
      </c>
      <c r="AI4713">
        <v>171.56620000000001</v>
      </c>
      <c r="AJ4713">
        <v>26.49832</v>
      </c>
      <c r="AK4713">
        <v>54.481479999999998</v>
      </c>
    </row>
    <row r="4714" spans="1:37" x14ac:dyDescent="0.3">
      <c r="A4714">
        <v>4713</v>
      </c>
      <c r="B4714">
        <v>6.7</v>
      </c>
      <c r="C4714">
        <v>2.2369400000000002</v>
      </c>
      <c r="D4714">
        <v>13.4611</v>
      </c>
      <c r="E4714" t="s">
        <v>7469</v>
      </c>
      <c r="F4714" t="s">
        <v>7470</v>
      </c>
      <c r="G4714" t="s">
        <v>39</v>
      </c>
      <c r="H4714">
        <v>1986</v>
      </c>
      <c r="I4714">
        <v>29.2</v>
      </c>
      <c r="J4714">
        <v>14.4</v>
      </c>
      <c r="K4714">
        <v>56</v>
      </c>
      <c r="L4714">
        <v>28.76</v>
      </c>
      <c r="M4714">
        <v>41.3</v>
      </c>
      <c r="N4714">
        <v>15.7</v>
      </c>
      <c r="O4714">
        <v>25.6</v>
      </c>
      <c r="P4714">
        <v>28.5</v>
      </c>
      <c r="Q4714">
        <v>25.7</v>
      </c>
      <c r="R4714">
        <v>33</v>
      </c>
      <c r="S4714">
        <v>25.5</v>
      </c>
      <c r="T4714">
        <v>504</v>
      </c>
      <c r="U4714">
        <v>162</v>
      </c>
      <c r="V4714">
        <v>0</v>
      </c>
      <c r="W4714">
        <v>131</v>
      </c>
      <c r="X4714">
        <v>389</v>
      </c>
      <c r="Y4714">
        <v>0</v>
      </c>
      <c r="Z4714">
        <v>104</v>
      </c>
      <c r="AA4714">
        <v>0</v>
      </c>
      <c r="AB4714">
        <v>1.7103200000000001</v>
      </c>
      <c r="AC4714">
        <v>0.3793956</v>
      </c>
      <c r="AD4714">
        <v>1.125075</v>
      </c>
      <c r="AE4714">
        <v>0.47454299999999999</v>
      </c>
      <c r="AF4714">
        <v>190.34180000000001</v>
      </c>
      <c r="AG4714">
        <f>IFERROR(AH4714*0.1, "N/A")</f>
        <v>5.4</v>
      </c>
      <c r="AH4714">
        <v>54</v>
      </c>
      <c r="AI4714">
        <v>233.35820000000001</v>
      </c>
      <c r="AJ4714">
        <v>16.60575</v>
      </c>
      <c r="AK4714">
        <v>67.005080000000007</v>
      </c>
    </row>
    <row r="4715" spans="1:37" x14ac:dyDescent="0.3">
      <c r="A4715">
        <v>4714</v>
      </c>
      <c r="B4715">
        <v>0</v>
      </c>
      <c r="C4715">
        <v>8.9797499999999992</v>
      </c>
      <c r="D4715">
        <v>13.4671</v>
      </c>
      <c r="E4715" t="s">
        <v>7471</v>
      </c>
      <c r="F4715" t="s">
        <v>7472</v>
      </c>
      <c r="G4715" t="s">
        <v>39</v>
      </c>
      <c r="H4715">
        <v>0</v>
      </c>
      <c r="I4715">
        <v>27.8</v>
      </c>
      <c r="J4715">
        <v>14.9</v>
      </c>
      <c r="K4715">
        <v>55</v>
      </c>
      <c r="L4715">
        <v>34.51538</v>
      </c>
      <c r="M4715">
        <v>40.299999999999997</v>
      </c>
      <c r="N4715">
        <v>13.48718</v>
      </c>
      <c r="O4715">
        <v>26.812819999999999</v>
      </c>
      <c r="P4715">
        <v>28.1</v>
      </c>
      <c r="Q4715">
        <v>23.2</v>
      </c>
      <c r="R4715">
        <v>32.1</v>
      </c>
      <c r="S4715">
        <v>22.887180000000001</v>
      </c>
      <c r="T4715">
        <v>383.74369999999999</v>
      </c>
      <c r="U4715">
        <v>147.87180000000001</v>
      </c>
      <c r="V4715">
        <v>0</v>
      </c>
      <c r="W4715">
        <v>150.51259999999999</v>
      </c>
      <c r="X4715">
        <v>325.87180000000001</v>
      </c>
      <c r="Y4715">
        <v>0</v>
      </c>
      <c r="Z4715">
        <v>49.871839999999999</v>
      </c>
      <c r="AA4715">
        <v>0</v>
      </c>
      <c r="AB4715">
        <v>9.8310449999999994E-2</v>
      </c>
      <c r="AC4715">
        <v>7.0717600000000003</v>
      </c>
      <c r="AD4715">
        <v>1.3755390000000001</v>
      </c>
      <c r="AE4715">
        <v>0.67406460000000001</v>
      </c>
      <c r="AF4715">
        <v>418.5548</v>
      </c>
      <c r="AG4715">
        <f>IFERROR(AH4715*0.1, "N/A")</f>
        <v>6.4</v>
      </c>
      <c r="AH4715">
        <v>64</v>
      </c>
      <c r="AI4715">
        <v>205.8389</v>
      </c>
      <c r="AJ4715">
        <v>9.372681</v>
      </c>
      <c r="AK4715">
        <v>74.603710000000007</v>
      </c>
    </row>
    <row r="4716" spans="1:37" x14ac:dyDescent="0.3">
      <c r="A4716">
        <v>4715</v>
      </c>
      <c r="B4716">
        <v>66</v>
      </c>
      <c r="C4716">
        <v>2.17164</v>
      </c>
      <c r="D4716">
        <v>13.467700000000001</v>
      </c>
      <c r="E4716" t="s">
        <v>7473</v>
      </c>
      <c r="F4716" t="s">
        <v>7474</v>
      </c>
      <c r="G4716" t="s">
        <v>39</v>
      </c>
      <c r="H4716">
        <v>1987</v>
      </c>
      <c r="I4716">
        <v>29.1</v>
      </c>
      <c r="J4716">
        <v>14.4</v>
      </c>
      <c r="K4716">
        <v>55</v>
      </c>
      <c r="L4716">
        <v>29.13</v>
      </c>
      <c r="M4716">
        <v>41.2</v>
      </c>
      <c r="N4716">
        <v>15.4</v>
      </c>
      <c r="O4716">
        <v>25.8</v>
      </c>
      <c r="P4716">
        <v>28.4</v>
      </c>
      <c r="Q4716">
        <v>25.3</v>
      </c>
      <c r="R4716">
        <v>32.799999999999997</v>
      </c>
      <c r="S4716">
        <v>25.3</v>
      </c>
      <c r="T4716">
        <v>521</v>
      </c>
      <c r="U4716">
        <v>168</v>
      </c>
      <c r="V4716">
        <v>0</v>
      </c>
      <c r="W4716">
        <v>131</v>
      </c>
      <c r="X4716">
        <v>399</v>
      </c>
      <c r="Y4716">
        <v>0</v>
      </c>
      <c r="Z4716">
        <v>108</v>
      </c>
      <c r="AA4716">
        <v>0</v>
      </c>
      <c r="AB4716">
        <v>10.060409999999999</v>
      </c>
      <c r="AC4716">
        <v>3.4577900000000002E-2</v>
      </c>
      <c r="AD4716">
        <v>2.0164499999999999</v>
      </c>
      <c r="AE4716">
        <v>0.83004359999999999</v>
      </c>
      <c r="AF4716">
        <v>208.23859999999999</v>
      </c>
      <c r="AG4716">
        <f>IFERROR(AH4716*0.1, "N/A")</f>
        <v>6.255668</v>
      </c>
      <c r="AH4716">
        <v>62.55668</v>
      </c>
      <c r="AI4716">
        <v>275.06009999999998</v>
      </c>
      <c r="AJ4716">
        <v>17.2758</v>
      </c>
      <c r="AK4716">
        <v>67.407780000000002</v>
      </c>
    </row>
    <row r="4717" spans="1:37" x14ac:dyDescent="0.3">
      <c r="A4717">
        <v>4716</v>
      </c>
      <c r="B4717">
        <v>100</v>
      </c>
      <c r="C4717">
        <v>2.1393</v>
      </c>
      <c r="D4717">
        <v>13.468400000000001</v>
      </c>
      <c r="E4717" t="s">
        <v>7475</v>
      </c>
      <c r="F4717" t="s">
        <v>7476</v>
      </c>
      <c r="G4717" t="s">
        <v>39</v>
      </c>
      <c r="H4717">
        <v>2000</v>
      </c>
      <c r="I4717">
        <v>29.3</v>
      </c>
      <c r="J4717">
        <v>14.5</v>
      </c>
      <c r="K4717">
        <v>55</v>
      </c>
      <c r="L4717">
        <v>29.44</v>
      </c>
      <c r="M4717">
        <v>41.6</v>
      </c>
      <c r="N4717">
        <v>15.5</v>
      </c>
      <c r="O4717">
        <v>26.1</v>
      </c>
      <c r="P4717">
        <v>28.5</v>
      </c>
      <c r="Q4717">
        <v>25.8</v>
      </c>
      <c r="R4717">
        <v>33.1</v>
      </c>
      <c r="S4717">
        <v>25.6</v>
      </c>
      <c r="T4717">
        <v>515</v>
      </c>
      <c r="U4717">
        <v>168</v>
      </c>
      <c r="V4717">
        <v>0</v>
      </c>
      <c r="W4717">
        <v>134</v>
      </c>
      <c r="X4717">
        <v>397</v>
      </c>
      <c r="Y4717">
        <v>0</v>
      </c>
      <c r="Z4717">
        <v>105</v>
      </c>
      <c r="AA4717">
        <v>0</v>
      </c>
      <c r="AB4717">
        <v>3.908099</v>
      </c>
      <c r="AC4717">
        <v>1.0337010000000001E-2</v>
      </c>
      <c r="AD4717">
        <v>1.0643670000000001</v>
      </c>
      <c r="AE4717">
        <v>0.75132399999999999</v>
      </c>
      <c r="AF4717">
        <v>180.73519999999999</v>
      </c>
      <c r="AG4717">
        <f>IFERROR(AH4717*0.1, "N/A")</f>
        <v>6.1126480000000001</v>
      </c>
      <c r="AH4717">
        <v>61.126480000000001</v>
      </c>
      <c r="AI4717">
        <v>220.45429999999999</v>
      </c>
      <c r="AJ4717">
        <v>28.620570000000001</v>
      </c>
      <c r="AK4717">
        <v>53.873519999999999</v>
      </c>
    </row>
    <row r="4718" spans="1:37" x14ac:dyDescent="0.3">
      <c r="A4718">
        <v>4717</v>
      </c>
      <c r="B4718">
        <v>33.799999999999997</v>
      </c>
      <c r="C4718">
        <v>2.1775000000000002</v>
      </c>
      <c r="D4718">
        <v>13.4719</v>
      </c>
      <c r="E4718" t="s">
        <v>7477</v>
      </c>
      <c r="F4718" t="s">
        <v>7478</v>
      </c>
      <c r="G4718" t="s">
        <v>39</v>
      </c>
      <c r="H4718">
        <v>2000</v>
      </c>
      <c r="I4718">
        <v>29.1</v>
      </c>
      <c r="J4718">
        <v>14.4</v>
      </c>
      <c r="K4718">
        <v>56</v>
      </c>
      <c r="L4718">
        <v>28.96</v>
      </c>
      <c r="M4718">
        <v>41.2</v>
      </c>
      <c r="N4718">
        <v>15.5</v>
      </c>
      <c r="O4718">
        <v>25.7</v>
      </c>
      <c r="P4718">
        <v>28.4</v>
      </c>
      <c r="Q4718">
        <v>25.3</v>
      </c>
      <c r="R4718">
        <v>32.700000000000003</v>
      </c>
      <c r="S4718">
        <v>25.3</v>
      </c>
      <c r="T4718">
        <v>520</v>
      </c>
      <c r="U4718">
        <v>167</v>
      </c>
      <c r="V4718">
        <v>0</v>
      </c>
      <c r="W4718">
        <v>131</v>
      </c>
      <c r="X4718">
        <v>398</v>
      </c>
      <c r="Y4718">
        <v>0</v>
      </c>
      <c r="Z4718">
        <v>108</v>
      </c>
      <c r="AA4718">
        <v>0</v>
      </c>
      <c r="AB4718">
        <v>22.42155</v>
      </c>
      <c r="AC4718">
        <v>1.789454E-2</v>
      </c>
      <c r="AD4718">
        <v>0.59591939999999999</v>
      </c>
      <c r="AE4718">
        <v>0.7885723</v>
      </c>
      <c r="AF4718">
        <v>221.73060000000001</v>
      </c>
      <c r="AG4718">
        <f>IFERROR(AH4718*0.1, "N/A")</f>
        <v>5.9402360000000005</v>
      </c>
      <c r="AH4718">
        <v>59.402360000000002</v>
      </c>
      <c r="AI4718">
        <v>183.78559999999999</v>
      </c>
      <c r="AJ4718">
        <v>27.218859999999999</v>
      </c>
      <c r="AK4718">
        <v>56.378790000000002</v>
      </c>
    </row>
    <row r="4719" spans="1:37" x14ac:dyDescent="0.3">
      <c r="A4719">
        <v>4718</v>
      </c>
      <c r="B4719">
        <v>14.3</v>
      </c>
      <c r="C4719">
        <v>8.5530899999999992</v>
      </c>
      <c r="D4719">
        <v>13.473800000000001</v>
      </c>
      <c r="E4719" t="s">
        <v>7479</v>
      </c>
      <c r="F4719" t="s">
        <v>7480</v>
      </c>
      <c r="G4719" t="s">
        <v>39</v>
      </c>
      <c r="H4719">
        <v>0</v>
      </c>
      <c r="I4719">
        <v>27.4</v>
      </c>
      <c r="J4719">
        <v>14.7</v>
      </c>
      <c r="K4719">
        <v>55</v>
      </c>
      <c r="L4719">
        <v>33.06</v>
      </c>
      <c r="M4719">
        <v>39.6</v>
      </c>
      <c r="N4719">
        <v>13.3</v>
      </c>
      <c r="O4719">
        <v>26.3</v>
      </c>
      <c r="P4719">
        <v>27.6</v>
      </c>
      <c r="Q4719">
        <v>23.1</v>
      </c>
      <c r="R4719">
        <v>31.6</v>
      </c>
      <c r="S4719">
        <v>22.7</v>
      </c>
      <c r="T4719">
        <v>396</v>
      </c>
      <c r="U4719">
        <v>157</v>
      </c>
      <c r="V4719">
        <v>0</v>
      </c>
      <c r="W4719">
        <v>150</v>
      </c>
      <c r="X4719">
        <v>333</v>
      </c>
      <c r="Y4719">
        <v>0</v>
      </c>
      <c r="Z4719">
        <v>54</v>
      </c>
      <c r="AA4719">
        <v>0</v>
      </c>
      <c r="AB4719">
        <v>7.5212589999999997</v>
      </c>
      <c r="AC4719">
        <v>1.649397E-2</v>
      </c>
      <c r="AD4719">
        <v>2.243112</v>
      </c>
      <c r="AE4719">
        <v>0.72339240000000005</v>
      </c>
      <c r="AF4719">
        <v>436.51100000000002</v>
      </c>
      <c r="AG4719">
        <f>IFERROR(AH4719*0.1, "N/A")</f>
        <v>7.5001689999999996</v>
      </c>
      <c r="AH4719">
        <v>75.001689999999996</v>
      </c>
      <c r="AI4719">
        <v>158.54079999999999</v>
      </c>
      <c r="AJ4719">
        <v>10.458679999999999</v>
      </c>
      <c r="AK4719">
        <v>76.541319999999999</v>
      </c>
    </row>
    <row r="4720" spans="1:37" x14ac:dyDescent="0.3">
      <c r="A4720">
        <v>4719</v>
      </c>
      <c r="B4720">
        <v>0</v>
      </c>
      <c r="C4720">
        <v>8.5530899999999992</v>
      </c>
      <c r="D4720">
        <v>13.473800000000001</v>
      </c>
      <c r="E4720" t="s">
        <v>7479</v>
      </c>
      <c r="F4720" t="s">
        <v>7481</v>
      </c>
      <c r="G4720" t="s">
        <v>37</v>
      </c>
      <c r="H4720">
        <v>0</v>
      </c>
      <c r="I4720">
        <v>27.4</v>
      </c>
      <c r="J4720">
        <v>14.7</v>
      </c>
      <c r="K4720">
        <v>55</v>
      </c>
      <c r="L4720">
        <v>33.06</v>
      </c>
      <c r="M4720">
        <v>39.6</v>
      </c>
      <c r="N4720">
        <v>13.3</v>
      </c>
      <c r="O4720">
        <v>26.3</v>
      </c>
      <c r="P4720">
        <v>27.6</v>
      </c>
      <c r="Q4720">
        <v>23.1</v>
      </c>
      <c r="R4720">
        <v>31.6</v>
      </c>
      <c r="S4720">
        <v>22.7</v>
      </c>
      <c r="T4720">
        <v>396</v>
      </c>
      <c r="U4720">
        <v>157</v>
      </c>
      <c r="V4720">
        <v>0</v>
      </c>
      <c r="W4720">
        <v>150</v>
      </c>
      <c r="X4720">
        <v>333</v>
      </c>
      <c r="Y4720">
        <v>0</v>
      </c>
      <c r="Z4720">
        <v>54</v>
      </c>
      <c r="AA4720">
        <v>0</v>
      </c>
      <c r="AB4720">
        <v>7.5212589999999997</v>
      </c>
      <c r="AC4720">
        <v>1.649397E-2</v>
      </c>
      <c r="AD4720">
        <v>2.243112</v>
      </c>
      <c r="AE4720">
        <v>0.72339240000000005</v>
      </c>
      <c r="AF4720">
        <v>436.51100000000002</v>
      </c>
      <c r="AG4720">
        <f>IFERROR(AH4720*0.1, "N/A")</f>
        <v>7.5001689999999996</v>
      </c>
      <c r="AH4720">
        <v>75.001689999999996</v>
      </c>
      <c r="AI4720">
        <v>158.54079999999999</v>
      </c>
      <c r="AJ4720">
        <v>10.458679999999999</v>
      </c>
      <c r="AK4720">
        <v>76.541319999999999</v>
      </c>
    </row>
    <row r="4721" spans="1:37" x14ac:dyDescent="0.3">
      <c r="A4721">
        <v>4720</v>
      </c>
      <c r="B4721">
        <v>42.4</v>
      </c>
      <c r="C4721">
        <v>2.0980599999999998</v>
      </c>
      <c r="D4721">
        <v>13.482799999999999</v>
      </c>
      <c r="E4721" t="s">
        <v>7482</v>
      </c>
      <c r="F4721" t="s">
        <v>7483</v>
      </c>
      <c r="G4721" t="s">
        <v>39</v>
      </c>
      <c r="H4721">
        <v>2000</v>
      </c>
      <c r="I4721">
        <v>29.3</v>
      </c>
      <c r="J4721">
        <v>14.6</v>
      </c>
      <c r="K4721">
        <v>55</v>
      </c>
      <c r="L4721">
        <v>29.64</v>
      </c>
      <c r="M4721">
        <v>41.6</v>
      </c>
      <c r="N4721">
        <v>15.4</v>
      </c>
      <c r="O4721">
        <v>26.2</v>
      </c>
      <c r="P4721">
        <v>28.5</v>
      </c>
      <c r="Q4721">
        <v>25.7</v>
      </c>
      <c r="R4721">
        <v>33.1</v>
      </c>
      <c r="S4721">
        <v>25.5</v>
      </c>
      <c r="T4721">
        <v>510</v>
      </c>
      <c r="U4721">
        <v>168</v>
      </c>
      <c r="V4721">
        <v>0</v>
      </c>
      <c r="W4721">
        <v>133</v>
      </c>
      <c r="X4721">
        <v>393</v>
      </c>
      <c r="Y4721">
        <v>0</v>
      </c>
      <c r="Z4721">
        <v>105</v>
      </c>
      <c r="AA4721">
        <v>0</v>
      </c>
      <c r="AB4721">
        <v>2.2922630000000002</v>
      </c>
      <c r="AC4721">
        <v>1.6927649999999999E-2</v>
      </c>
      <c r="AD4721">
        <v>1.3526419999999999</v>
      </c>
      <c r="AE4721">
        <v>0.91569979999999995</v>
      </c>
      <c r="AF4721">
        <v>184.23230000000001</v>
      </c>
      <c r="AG4721">
        <f>IFERROR(AH4721*0.1, "N/A")</f>
        <v>6.0910770000000003</v>
      </c>
      <c r="AH4721">
        <v>60.910769999999999</v>
      </c>
      <c r="AI4721">
        <v>122.8659</v>
      </c>
      <c r="AJ4721">
        <v>23.234010000000001</v>
      </c>
      <c r="AK4721">
        <v>58.728960000000001</v>
      </c>
    </row>
    <row r="4722" spans="1:37" x14ac:dyDescent="0.3">
      <c r="A4722">
        <v>4721</v>
      </c>
      <c r="B4722">
        <v>26.7</v>
      </c>
      <c r="C4722">
        <v>2.1368200000000002</v>
      </c>
      <c r="D4722">
        <v>13.4838</v>
      </c>
      <c r="E4722" t="s">
        <v>7484</v>
      </c>
      <c r="F4722" t="s">
        <v>7485</v>
      </c>
      <c r="G4722" t="s">
        <v>39</v>
      </c>
      <c r="H4722">
        <v>0</v>
      </c>
      <c r="I4722">
        <v>29.241250000000001</v>
      </c>
      <c r="J4722">
        <v>14.55875</v>
      </c>
      <c r="K4722">
        <v>55</v>
      </c>
      <c r="L4722">
        <v>29.357240000000001</v>
      </c>
      <c r="M4722">
        <v>41.541249999999998</v>
      </c>
      <c r="N4722">
        <v>15.44125</v>
      </c>
      <c r="O4722">
        <v>26.1</v>
      </c>
      <c r="P4722">
        <v>28.44125</v>
      </c>
      <c r="Q4722">
        <v>25.741250000000001</v>
      </c>
      <c r="R4722">
        <v>33.041249999999998</v>
      </c>
      <c r="S4722">
        <v>25.541250000000002</v>
      </c>
      <c r="T4722">
        <v>515.35019999999997</v>
      </c>
      <c r="U4722">
        <v>167.58750000000001</v>
      </c>
      <c r="V4722">
        <v>0</v>
      </c>
      <c r="W4722">
        <v>131.82490000000001</v>
      </c>
      <c r="X4722">
        <v>396.17509999999999</v>
      </c>
      <c r="Y4722">
        <v>0</v>
      </c>
      <c r="Z4722">
        <v>106.1751</v>
      </c>
      <c r="AA4722">
        <v>0</v>
      </c>
      <c r="AB4722">
        <v>3.0996630000000001</v>
      </c>
      <c r="AC4722">
        <v>9.454746E-2</v>
      </c>
      <c r="AD4722">
        <v>1.5351220000000001</v>
      </c>
      <c r="AE4722">
        <v>0.73653020000000002</v>
      </c>
      <c r="AF4722">
        <v>193.52189999999999</v>
      </c>
      <c r="AG4722">
        <f>IFERROR(AH4722*0.1, "N/A")</f>
        <v>6.6294610000000009</v>
      </c>
      <c r="AH4722">
        <v>66.294610000000006</v>
      </c>
      <c r="AI4722">
        <v>106.2217</v>
      </c>
      <c r="AJ4722">
        <v>16.563970000000001</v>
      </c>
      <c r="AK4722">
        <v>64.44444</v>
      </c>
    </row>
    <row r="4723" spans="1:37" x14ac:dyDescent="0.3">
      <c r="A4723">
        <v>4722</v>
      </c>
      <c r="B4723">
        <v>14.3</v>
      </c>
      <c r="C4723">
        <v>2.1160000000000001</v>
      </c>
      <c r="D4723">
        <v>13.484</v>
      </c>
      <c r="E4723" t="s">
        <v>7486</v>
      </c>
      <c r="F4723" t="s">
        <v>7487</v>
      </c>
      <c r="G4723" t="s">
        <v>39</v>
      </c>
      <c r="H4723">
        <v>1987</v>
      </c>
      <c r="I4723">
        <v>29.3</v>
      </c>
      <c r="J4723">
        <v>14.6</v>
      </c>
      <c r="K4723">
        <v>55</v>
      </c>
      <c r="L4723">
        <v>29.496569999999998</v>
      </c>
      <c r="M4723">
        <v>41.6</v>
      </c>
      <c r="N4723">
        <v>15.46571</v>
      </c>
      <c r="O4723">
        <v>26.13429</v>
      </c>
      <c r="P4723">
        <v>28.5</v>
      </c>
      <c r="Q4723">
        <v>25.8</v>
      </c>
      <c r="R4723">
        <v>33.1</v>
      </c>
      <c r="S4723">
        <v>25.561990000000002</v>
      </c>
      <c r="T4723">
        <v>510.63339999999999</v>
      </c>
      <c r="U4723">
        <v>168</v>
      </c>
      <c r="V4723">
        <v>0</v>
      </c>
      <c r="W4723">
        <v>133</v>
      </c>
      <c r="X4723">
        <v>394</v>
      </c>
      <c r="Y4723">
        <v>0</v>
      </c>
      <c r="Z4723">
        <v>104.2534</v>
      </c>
      <c r="AA4723">
        <v>0</v>
      </c>
      <c r="AB4723">
        <v>0.87111019999999995</v>
      </c>
      <c r="AC4723">
        <v>0.1048451</v>
      </c>
      <c r="AD4723">
        <v>0.53984109999999996</v>
      </c>
      <c r="AE4723">
        <v>0.80634329999999999</v>
      </c>
      <c r="AF4723">
        <v>179.70949999999999</v>
      </c>
      <c r="AG4723">
        <f>IFERROR(AH4723*0.1, "N/A")</f>
        <v>5.9908780000000004</v>
      </c>
      <c r="AH4723">
        <v>59.90878</v>
      </c>
      <c r="AI4723">
        <v>132.3203</v>
      </c>
      <c r="AJ4723">
        <v>34.273650000000004</v>
      </c>
      <c r="AK4723">
        <v>43.34122</v>
      </c>
    </row>
    <row r="4724" spans="1:37" x14ac:dyDescent="0.3">
      <c r="A4724">
        <v>4723</v>
      </c>
      <c r="B4724">
        <v>0</v>
      </c>
      <c r="C4724">
        <v>12.429500000000001</v>
      </c>
      <c r="D4724">
        <v>13.4849</v>
      </c>
      <c r="E4724" t="s">
        <v>7488</v>
      </c>
      <c r="F4724" t="s">
        <v>7489</v>
      </c>
      <c r="G4724" t="s">
        <v>39</v>
      </c>
      <c r="H4724">
        <v>0</v>
      </c>
      <c r="I4724">
        <v>27.4</v>
      </c>
      <c r="J4724">
        <v>15.1</v>
      </c>
      <c r="K4724">
        <v>54</v>
      </c>
      <c r="L4724">
        <v>35.33</v>
      </c>
      <c r="M4724">
        <v>40.200000000000003</v>
      </c>
      <c r="N4724">
        <v>12.7</v>
      </c>
      <c r="O4724">
        <v>27.5</v>
      </c>
      <c r="P4724">
        <v>28.4</v>
      </c>
      <c r="Q4724">
        <v>24.4</v>
      </c>
      <c r="R4724">
        <v>31.6</v>
      </c>
      <c r="S4724">
        <v>22.3</v>
      </c>
      <c r="T4724">
        <v>242</v>
      </c>
      <c r="U4724">
        <v>112</v>
      </c>
      <c r="V4724">
        <v>0</v>
      </c>
      <c r="W4724">
        <v>161</v>
      </c>
      <c r="X4724">
        <v>209</v>
      </c>
      <c r="Y4724">
        <v>0</v>
      </c>
      <c r="Z4724">
        <v>28</v>
      </c>
      <c r="AA4724">
        <v>0</v>
      </c>
      <c r="AB4724">
        <v>0.55955270000000001</v>
      </c>
      <c r="AC4724">
        <v>3.1142130000000001E-2</v>
      </c>
      <c r="AD4724">
        <v>1.1940390000000001</v>
      </c>
      <c r="AE4724">
        <v>0.15487300000000001</v>
      </c>
      <c r="AF4724">
        <v>304.46359999999999</v>
      </c>
      <c r="AG4724">
        <f>IFERROR(AH4724*0.1, "N/A")</f>
        <v>7.0280880000000003</v>
      </c>
      <c r="AH4724">
        <v>70.280879999999996</v>
      </c>
      <c r="AI4724">
        <v>197.4325</v>
      </c>
      <c r="AJ4724">
        <v>9.5177659999999999</v>
      </c>
      <c r="AK4724">
        <v>78.910319999999999</v>
      </c>
    </row>
    <row r="4725" spans="1:37" x14ac:dyDescent="0.3">
      <c r="A4725">
        <v>4724</v>
      </c>
      <c r="B4725">
        <v>0</v>
      </c>
      <c r="C4725">
        <v>12.429500000000001</v>
      </c>
      <c r="D4725">
        <v>13.4849</v>
      </c>
      <c r="E4725" t="s">
        <v>7488</v>
      </c>
      <c r="F4725" t="s">
        <v>7490</v>
      </c>
      <c r="G4725" t="s">
        <v>37</v>
      </c>
      <c r="H4725">
        <v>0</v>
      </c>
      <c r="I4725">
        <v>27.4</v>
      </c>
      <c r="J4725">
        <v>15.1</v>
      </c>
      <c r="K4725">
        <v>54</v>
      </c>
      <c r="L4725">
        <v>35.33</v>
      </c>
      <c r="M4725">
        <v>40.200000000000003</v>
      </c>
      <c r="N4725">
        <v>12.7</v>
      </c>
      <c r="O4725">
        <v>27.5</v>
      </c>
      <c r="P4725">
        <v>28.4</v>
      </c>
      <c r="Q4725">
        <v>24.4</v>
      </c>
      <c r="R4725">
        <v>31.6</v>
      </c>
      <c r="S4725">
        <v>22.3</v>
      </c>
      <c r="T4725">
        <v>242</v>
      </c>
      <c r="U4725">
        <v>112</v>
      </c>
      <c r="V4725">
        <v>0</v>
      </c>
      <c r="W4725">
        <v>161</v>
      </c>
      <c r="X4725">
        <v>209</v>
      </c>
      <c r="Y4725">
        <v>0</v>
      </c>
      <c r="Z4725">
        <v>28</v>
      </c>
      <c r="AA4725">
        <v>0</v>
      </c>
      <c r="AB4725">
        <v>0.55955270000000001</v>
      </c>
      <c r="AC4725">
        <v>3.1142130000000001E-2</v>
      </c>
      <c r="AD4725">
        <v>1.1940390000000001</v>
      </c>
      <c r="AE4725">
        <v>0.15487300000000001</v>
      </c>
      <c r="AF4725">
        <v>304.46359999999999</v>
      </c>
      <c r="AG4725">
        <f>IFERROR(AH4725*0.1, "N/A")</f>
        <v>7.0280880000000003</v>
      </c>
      <c r="AH4725">
        <v>70.280879999999996</v>
      </c>
      <c r="AI4725">
        <v>197.4325</v>
      </c>
      <c r="AJ4725">
        <v>9.5177659999999999</v>
      </c>
      <c r="AK4725">
        <v>78.910319999999999</v>
      </c>
    </row>
    <row r="4726" spans="1:37" x14ac:dyDescent="0.3">
      <c r="A4726">
        <v>4725</v>
      </c>
      <c r="B4726">
        <v>50</v>
      </c>
      <c r="C4726">
        <v>2.1074999999999999</v>
      </c>
      <c r="D4726">
        <v>13.485799999999999</v>
      </c>
      <c r="E4726" t="s">
        <v>7491</v>
      </c>
      <c r="F4726" t="s">
        <v>7492</v>
      </c>
      <c r="G4726" t="s">
        <v>39</v>
      </c>
      <c r="H4726">
        <v>0</v>
      </c>
      <c r="I4726">
        <v>29.3</v>
      </c>
      <c r="J4726">
        <v>14.6</v>
      </c>
      <c r="K4726">
        <v>55</v>
      </c>
      <c r="L4726">
        <v>29.56</v>
      </c>
      <c r="M4726">
        <v>41.6</v>
      </c>
      <c r="N4726">
        <v>15.4</v>
      </c>
      <c r="O4726">
        <v>26.2</v>
      </c>
      <c r="P4726">
        <v>28.5</v>
      </c>
      <c r="Q4726">
        <v>25.8</v>
      </c>
      <c r="R4726">
        <v>33.1</v>
      </c>
      <c r="S4726">
        <v>25.5</v>
      </c>
      <c r="T4726">
        <v>510</v>
      </c>
      <c r="U4726">
        <v>168</v>
      </c>
      <c r="V4726">
        <v>0</v>
      </c>
      <c r="W4726">
        <v>133</v>
      </c>
      <c r="X4726">
        <v>394</v>
      </c>
      <c r="Y4726">
        <v>0</v>
      </c>
      <c r="Z4726">
        <v>104</v>
      </c>
      <c r="AA4726">
        <v>0</v>
      </c>
      <c r="AB4726">
        <v>9.0962739999999993</v>
      </c>
      <c r="AC4726">
        <v>9.2877040000000008E-3</v>
      </c>
      <c r="AD4726">
        <v>1.1306510000000001</v>
      </c>
      <c r="AE4726">
        <v>0.89598290000000003</v>
      </c>
      <c r="AF4726">
        <v>187.9932</v>
      </c>
      <c r="AG4726">
        <f>IFERROR(AH4726*0.1, "N/A")</f>
        <v>5.9913710000000009</v>
      </c>
      <c r="AH4726">
        <v>59.913710000000002</v>
      </c>
      <c r="AI4726">
        <v>108.43819999999999</v>
      </c>
      <c r="AJ4726">
        <v>26.17259</v>
      </c>
      <c r="AK4726">
        <v>55.741120000000002</v>
      </c>
    </row>
    <row r="4727" spans="1:37" x14ac:dyDescent="0.3">
      <c r="A4727">
        <v>4726</v>
      </c>
      <c r="B4727">
        <v>40</v>
      </c>
      <c r="C4727">
        <v>2.1005600000000002</v>
      </c>
      <c r="D4727">
        <v>13.4878</v>
      </c>
      <c r="E4727" t="s">
        <v>7493</v>
      </c>
      <c r="F4727" t="s">
        <v>7494</v>
      </c>
      <c r="G4727" t="s">
        <v>39</v>
      </c>
      <c r="H4727">
        <v>2000</v>
      </c>
      <c r="I4727">
        <v>29.3</v>
      </c>
      <c r="J4727">
        <v>14.6</v>
      </c>
      <c r="K4727">
        <v>55</v>
      </c>
      <c r="L4727">
        <v>29.564800000000002</v>
      </c>
      <c r="M4727">
        <v>41.6</v>
      </c>
      <c r="N4727">
        <v>15.4</v>
      </c>
      <c r="O4727">
        <v>26.2</v>
      </c>
      <c r="P4727">
        <v>28.5</v>
      </c>
      <c r="Q4727">
        <v>25.8</v>
      </c>
      <c r="R4727">
        <v>33.1</v>
      </c>
      <c r="S4727">
        <v>25.5</v>
      </c>
      <c r="T4727">
        <v>509.75970000000001</v>
      </c>
      <c r="U4727">
        <v>168</v>
      </c>
      <c r="V4727">
        <v>0</v>
      </c>
      <c r="W4727">
        <v>133</v>
      </c>
      <c r="X4727">
        <v>393.75970000000001</v>
      </c>
      <c r="Y4727">
        <v>0</v>
      </c>
      <c r="Z4727">
        <v>104</v>
      </c>
      <c r="AA4727">
        <v>0</v>
      </c>
      <c r="AB4727">
        <v>10.774609999999999</v>
      </c>
      <c r="AC4727">
        <v>1.151104E-2</v>
      </c>
      <c r="AD4727">
        <v>1.078357</v>
      </c>
      <c r="AE4727">
        <v>0.77483930000000001</v>
      </c>
      <c r="AF4727">
        <v>189.13030000000001</v>
      </c>
      <c r="AG4727">
        <f>IFERROR(AH4727*0.1, "N/A")</f>
        <v>5.9759729999999998</v>
      </c>
      <c r="AH4727">
        <v>59.759729999999998</v>
      </c>
      <c r="AI4727">
        <v>119.35339999999999</v>
      </c>
      <c r="AJ4727">
        <v>27.480540000000001</v>
      </c>
      <c r="AK4727">
        <v>55.519460000000002</v>
      </c>
    </row>
    <row r="4728" spans="1:37" x14ac:dyDescent="0.3">
      <c r="A4728">
        <v>4727</v>
      </c>
      <c r="B4728">
        <v>55</v>
      </c>
      <c r="C4728">
        <v>2.09389</v>
      </c>
      <c r="D4728">
        <v>13.4923</v>
      </c>
      <c r="E4728" t="s">
        <v>7495</v>
      </c>
      <c r="F4728" t="s">
        <v>7496</v>
      </c>
      <c r="G4728" t="s">
        <v>39</v>
      </c>
      <c r="H4728">
        <v>0</v>
      </c>
      <c r="I4728">
        <v>29.3</v>
      </c>
      <c r="J4728">
        <v>14.6</v>
      </c>
      <c r="K4728">
        <v>55</v>
      </c>
      <c r="L4728">
        <v>29.238579999999999</v>
      </c>
      <c r="M4728">
        <v>41.6</v>
      </c>
      <c r="N4728">
        <v>15.489850000000001</v>
      </c>
      <c r="O4728">
        <v>26.110150000000001</v>
      </c>
      <c r="P4728">
        <v>28.5</v>
      </c>
      <c r="Q4728">
        <v>25.8</v>
      </c>
      <c r="R4728">
        <v>33.1</v>
      </c>
      <c r="S4728">
        <v>25.589849999999998</v>
      </c>
      <c r="T4728">
        <v>504.50760000000002</v>
      </c>
      <c r="U4728">
        <v>167.10149999999999</v>
      </c>
      <c r="V4728">
        <v>0</v>
      </c>
      <c r="W4728">
        <v>132.10149999999999</v>
      </c>
      <c r="X4728">
        <v>390.30459999999999</v>
      </c>
      <c r="Y4728">
        <v>0</v>
      </c>
      <c r="Z4728">
        <v>102.203</v>
      </c>
      <c r="AA4728">
        <v>0</v>
      </c>
      <c r="AB4728">
        <v>8.5138800000000003</v>
      </c>
      <c r="AC4728">
        <v>8.3164780000000004E-3</v>
      </c>
      <c r="AD4728">
        <v>0.53678919999999997</v>
      </c>
      <c r="AE4728">
        <v>0.88874209999999998</v>
      </c>
      <c r="AF4728">
        <v>187.19460000000001</v>
      </c>
      <c r="AG4728">
        <f>IFERROR(AH4728*0.1, "N/A")</f>
        <v>5.7964470000000006</v>
      </c>
      <c r="AH4728">
        <v>57.964469999999999</v>
      </c>
      <c r="AI4728">
        <v>187.1354</v>
      </c>
      <c r="AJ4728">
        <v>27.33503</v>
      </c>
      <c r="AK4728">
        <v>53.664969999999997</v>
      </c>
    </row>
    <row r="4729" spans="1:37" x14ac:dyDescent="0.3">
      <c r="A4729">
        <v>4728</v>
      </c>
      <c r="B4729">
        <v>53.1</v>
      </c>
      <c r="C4729">
        <v>2.0136699999999998</v>
      </c>
      <c r="D4729">
        <v>13.492599999999999</v>
      </c>
      <c r="E4729" t="s">
        <v>7497</v>
      </c>
      <c r="F4729" t="s">
        <v>7498</v>
      </c>
      <c r="G4729" t="s">
        <v>39</v>
      </c>
      <c r="H4729">
        <v>0</v>
      </c>
      <c r="I4729">
        <v>29.1</v>
      </c>
      <c r="J4729">
        <v>14.7</v>
      </c>
      <c r="K4729">
        <v>56</v>
      </c>
      <c r="L4729">
        <v>28.88</v>
      </c>
      <c r="M4729">
        <v>41.3</v>
      </c>
      <c r="N4729">
        <v>15.3</v>
      </c>
      <c r="O4729">
        <v>26</v>
      </c>
      <c r="P4729">
        <v>28.2</v>
      </c>
      <c r="Q4729">
        <v>25.5</v>
      </c>
      <c r="R4729">
        <v>32.799999999999997</v>
      </c>
      <c r="S4729">
        <v>25.5</v>
      </c>
      <c r="T4729">
        <v>489</v>
      </c>
      <c r="U4729">
        <v>166</v>
      </c>
      <c r="V4729">
        <v>0</v>
      </c>
      <c r="W4729">
        <v>135</v>
      </c>
      <c r="X4729">
        <v>378</v>
      </c>
      <c r="Y4729">
        <v>0</v>
      </c>
      <c r="Z4729">
        <v>98</v>
      </c>
      <c r="AA4729">
        <v>0</v>
      </c>
      <c r="AB4729">
        <v>5.9942539999999997</v>
      </c>
      <c r="AC4729">
        <v>4.31864E-2</v>
      </c>
      <c r="AD4729">
        <v>1.0635220000000001</v>
      </c>
      <c r="AE4729">
        <v>0.58283070000000003</v>
      </c>
      <c r="AF4729">
        <v>218.89850000000001</v>
      </c>
      <c r="AG4729">
        <f>IFERROR(AH4729*0.1, "N/A")</f>
        <v>5.3879860000000006</v>
      </c>
      <c r="AH4729">
        <v>53.879860000000001</v>
      </c>
      <c r="AI4729">
        <v>107.7535</v>
      </c>
      <c r="AJ4729">
        <v>11.120139999999999</v>
      </c>
      <c r="AK4729">
        <v>75.439930000000004</v>
      </c>
    </row>
    <row r="4730" spans="1:37" x14ac:dyDescent="0.3">
      <c r="A4730">
        <v>4729</v>
      </c>
      <c r="B4730">
        <v>34.299999999999997</v>
      </c>
      <c r="C4730">
        <v>2.12954</v>
      </c>
      <c r="D4730">
        <v>13.492800000000001</v>
      </c>
      <c r="E4730" t="s">
        <v>7499</v>
      </c>
      <c r="F4730" t="s">
        <v>7500</v>
      </c>
      <c r="G4730" t="s">
        <v>39</v>
      </c>
      <c r="H4730">
        <v>2000</v>
      </c>
      <c r="I4730">
        <v>29.2</v>
      </c>
      <c r="J4730">
        <v>14.6</v>
      </c>
      <c r="K4730">
        <v>55</v>
      </c>
      <c r="L4730">
        <v>29.67</v>
      </c>
      <c r="M4730">
        <v>41.5</v>
      </c>
      <c r="N4730">
        <v>15.3</v>
      </c>
      <c r="O4730">
        <v>26.2</v>
      </c>
      <c r="P4730">
        <v>28.4</v>
      </c>
      <c r="Q4730">
        <v>25.6</v>
      </c>
      <c r="R4730">
        <v>33</v>
      </c>
      <c r="S4730">
        <v>25.4</v>
      </c>
      <c r="T4730">
        <v>516</v>
      </c>
      <c r="U4730">
        <v>169</v>
      </c>
      <c r="V4730">
        <v>0</v>
      </c>
      <c r="W4730">
        <v>131</v>
      </c>
      <c r="X4730">
        <v>397</v>
      </c>
      <c r="Y4730">
        <v>0</v>
      </c>
      <c r="Z4730">
        <v>106</v>
      </c>
      <c r="AA4730">
        <v>0</v>
      </c>
      <c r="AB4730">
        <v>32.946120000000001</v>
      </c>
      <c r="AC4730">
        <v>3.3167479999999999E-2</v>
      </c>
      <c r="AD4730">
        <v>1.7492209999999999</v>
      </c>
      <c r="AE4730">
        <v>0.82830610000000005</v>
      </c>
      <c r="AF4730">
        <v>210.16669999999999</v>
      </c>
      <c r="AG4730">
        <f>IFERROR(AH4730*0.1, "N/A")</f>
        <v>6.4338380000000006</v>
      </c>
      <c r="AH4730">
        <v>64.338380000000001</v>
      </c>
      <c r="AI4730">
        <v>204.17080000000001</v>
      </c>
      <c r="AJ4730">
        <v>15.58081</v>
      </c>
      <c r="AK4730">
        <v>67.550510000000003</v>
      </c>
    </row>
    <row r="4731" spans="1:37" x14ac:dyDescent="0.3">
      <c r="A4731">
        <v>4730</v>
      </c>
      <c r="B4731">
        <v>7.2</v>
      </c>
      <c r="C4731">
        <v>2.1554000000000002</v>
      </c>
      <c r="D4731">
        <v>13.4948</v>
      </c>
      <c r="E4731" t="s">
        <v>7501</v>
      </c>
      <c r="F4731" t="s">
        <v>7502</v>
      </c>
      <c r="G4731" t="s">
        <v>39</v>
      </c>
      <c r="H4731">
        <v>2000</v>
      </c>
      <c r="I4731">
        <v>29.1</v>
      </c>
      <c r="J4731">
        <v>14.5</v>
      </c>
      <c r="K4731">
        <v>55</v>
      </c>
      <c r="L4731">
        <v>29.39</v>
      </c>
      <c r="M4731">
        <v>41.3</v>
      </c>
      <c r="N4731">
        <v>15.3</v>
      </c>
      <c r="O4731">
        <v>26</v>
      </c>
      <c r="P4731">
        <v>28.3</v>
      </c>
      <c r="Q4731">
        <v>25.3</v>
      </c>
      <c r="R4731">
        <v>32.799999999999997</v>
      </c>
      <c r="S4731">
        <v>25.3</v>
      </c>
      <c r="T4731">
        <v>518</v>
      </c>
      <c r="U4731">
        <v>168</v>
      </c>
      <c r="V4731">
        <v>0</v>
      </c>
      <c r="W4731">
        <v>131</v>
      </c>
      <c r="X4731">
        <v>397</v>
      </c>
      <c r="Y4731">
        <v>0</v>
      </c>
      <c r="Z4731">
        <v>107</v>
      </c>
      <c r="AA4731">
        <v>0</v>
      </c>
      <c r="AB4731">
        <v>9.7548879999999993</v>
      </c>
      <c r="AC4731">
        <v>1.01365E-2</v>
      </c>
      <c r="AD4731">
        <v>0.77031470000000002</v>
      </c>
      <c r="AE4731">
        <v>0.80607459999999997</v>
      </c>
      <c r="AF4731">
        <v>225.3451</v>
      </c>
      <c r="AG4731">
        <f>IFERROR(AH4731*0.1, "N/A")</f>
        <v>6.3405720000000008</v>
      </c>
      <c r="AH4731">
        <v>63.405720000000002</v>
      </c>
      <c r="AI4731">
        <v>78.31053</v>
      </c>
      <c r="AJ4731">
        <v>26.39057</v>
      </c>
      <c r="AK4731">
        <v>56.346800000000002</v>
      </c>
    </row>
    <row r="4732" spans="1:37" x14ac:dyDescent="0.3">
      <c r="A4732">
        <v>4731</v>
      </c>
      <c r="B4732">
        <v>55.2</v>
      </c>
      <c r="C4732">
        <v>2.63198</v>
      </c>
      <c r="D4732">
        <v>13.496700000000001</v>
      </c>
      <c r="E4732" t="s">
        <v>7503</v>
      </c>
      <c r="F4732" t="s">
        <v>7504</v>
      </c>
      <c r="G4732" t="s">
        <v>39</v>
      </c>
      <c r="H4732">
        <v>0</v>
      </c>
      <c r="I4732">
        <v>28.9</v>
      </c>
      <c r="J4732">
        <v>14.1</v>
      </c>
      <c r="K4732">
        <v>56</v>
      </c>
      <c r="L4732">
        <v>28.07</v>
      </c>
      <c r="M4732">
        <v>40.799999999999997</v>
      </c>
      <c r="N4732">
        <v>15.9</v>
      </c>
      <c r="O4732">
        <v>24.9</v>
      </c>
      <c r="P4732">
        <v>28.2</v>
      </c>
      <c r="Q4732">
        <v>27.2</v>
      </c>
      <c r="R4732">
        <v>32.6</v>
      </c>
      <c r="S4732">
        <v>25.3</v>
      </c>
      <c r="T4732">
        <v>456</v>
      </c>
      <c r="U4732">
        <v>150</v>
      </c>
      <c r="V4732">
        <v>0</v>
      </c>
      <c r="W4732">
        <v>133</v>
      </c>
      <c r="X4732">
        <v>354</v>
      </c>
      <c r="Y4732">
        <v>0</v>
      </c>
      <c r="Z4732">
        <v>95</v>
      </c>
      <c r="AA4732">
        <v>0</v>
      </c>
      <c r="AB4732">
        <v>6.4057409999999999</v>
      </c>
      <c r="AC4732">
        <v>1.9709109999999998E-2</v>
      </c>
      <c r="AD4732">
        <v>1.5600750000000001</v>
      </c>
      <c r="AE4732">
        <v>0.68118179999999995</v>
      </c>
      <c r="AF4732">
        <v>244.59800000000001</v>
      </c>
      <c r="AG4732">
        <f>IFERROR(AH4732*0.1, "N/A")</f>
        <v>5.3160470000000002</v>
      </c>
      <c r="AH4732">
        <v>53.160469999999997</v>
      </c>
      <c r="AI4732">
        <v>202.9299</v>
      </c>
      <c r="AJ4732">
        <v>5.844595</v>
      </c>
      <c r="AK4732">
        <v>87.010140000000007</v>
      </c>
    </row>
    <row r="4733" spans="1:37" x14ac:dyDescent="0.3">
      <c r="A4733">
        <v>4732</v>
      </c>
      <c r="B4733">
        <v>16.100000000000001</v>
      </c>
      <c r="C4733">
        <v>2.23333</v>
      </c>
      <c r="D4733">
        <v>13.5</v>
      </c>
      <c r="E4733" t="s">
        <v>7505</v>
      </c>
      <c r="F4733" t="s">
        <v>7506</v>
      </c>
      <c r="G4733" t="s">
        <v>39</v>
      </c>
      <c r="H4733">
        <v>1986</v>
      </c>
      <c r="I4733">
        <v>29.2</v>
      </c>
      <c r="J4733">
        <v>14.4</v>
      </c>
      <c r="K4733">
        <v>55.763509999999997</v>
      </c>
      <c r="L4733">
        <v>29.064119999999999</v>
      </c>
      <c r="M4733">
        <v>41.36233</v>
      </c>
      <c r="N4733">
        <v>15.638680000000001</v>
      </c>
      <c r="O4733">
        <v>25.723649999999999</v>
      </c>
      <c r="P4733">
        <v>28.5</v>
      </c>
      <c r="Q4733">
        <v>25.638680000000001</v>
      </c>
      <c r="R4733">
        <v>32.938679999999998</v>
      </c>
      <c r="S4733">
        <v>25.438680000000002</v>
      </c>
      <c r="T4733">
        <v>495.16050000000001</v>
      </c>
      <c r="U4733">
        <v>160.38679999999999</v>
      </c>
      <c r="V4733">
        <v>0</v>
      </c>
      <c r="W4733">
        <v>132.15029999999999</v>
      </c>
      <c r="X4733">
        <v>382.77359999999999</v>
      </c>
      <c r="Y4733">
        <v>0</v>
      </c>
      <c r="Z4733">
        <v>101.38679999999999</v>
      </c>
      <c r="AA4733">
        <v>0</v>
      </c>
      <c r="AB4733">
        <v>7.8403679999999998</v>
      </c>
      <c r="AC4733">
        <v>9.5664830000000006E-3</v>
      </c>
      <c r="AD4733">
        <v>0.9436002</v>
      </c>
      <c r="AE4733">
        <v>0.55004330000000001</v>
      </c>
      <c r="AF4733">
        <v>198.09970000000001</v>
      </c>
      <c r="AG4733">
        <f>IFERROR(AH4733*0.1, "N/A")</f>
        <v>5.616047</v>
      </c>
      <c r="AH4733">
        <v>56.160469999999997</v>
      </c>
      <c r="AI4733">
        <v>189.75200000000001</v>
      </c>
      <c r="AJ4733">
        <v>26</v>
      </c>
      <c r="AK4733">
        <v>56.61318</v>
      </c>
    </row>
    <row r="4734" spans="1:37" x14ac:dyDescent="0.3">
      <c r="A4734">
        <v>4733</v>
      </c>
      <c r="B4734">
        <v>12.1</v>
      </c>
      <c r="C4734">
        <v>9.2807700000000004</v>
      </c>
      <c r="D4734">
        <v>13.5024</v>
      </c>
      <c r="E4734" t="s">
        <v>7507</v>
      </c>
      <c r="F4734" t="s">
        <v>7508</v>
      </c>
      <c r="G4734" t="s">
        <v>39</v>
      </c>
      <c r="H4734">
        <v>0</v>
      </c>
      <c r="I4734">
        <v>27.8</v>
      </c>
      <c r="J4734">
        <v>15</v>
      </c>
      <c r="K4734">
        <v>56</v>
      </c>
      <c r="L4734">
        <v>33.21</v>
      </c>
      <c r="M4734">
        <v>40.4</v>
      </c>
      <c r="N4734">
        <v>13.8</v>
      </c>
      <c r="O4734">
        <v>26.6</v>
      </c>
      <c r="P4734">
        <v>27.8</v>
      </c>
      <c r="Q4734">
        <v>23.6</v>
      </c>
      <c r="R4734">
        <v>32.1</v>
      </c>
      <c r="S4734">
        <v>23.2</v>
      </c>
      <c r="T4734">
        <v>357</v>
      </c>
      <c r="U4734">
        <v>133</v>
      </c>
      <c r="V4734">
        <v>0</v>
      </c>
      <c r="W4734">
        <v>151</v>
      </c>
      <c r="X4734">
        <v>301</v>
      </c>
      <c r="Y4734">
        <v>0</v>
      </c>
      <c r="Z4734">
        <v>49</v>
      </c>
      <c r="AA4734">
        <v>0</v>
      </c>
      <c r="AB4734">
        <v>8.1784800000000004</v>
      </c>
      <c r="AC4734">
        <v>5.2222780000000003E-2</v>
      </c>
      <c r="AD4734">
        <v>0.68386769999999997</v>
      </c>
      <c r="AE4734">
        <v>0.66365300000000005</v>
      </c>
      <c r="AF4734">
        <v>418.96780000000001</v>
      </c>
      <c r="AG4734">
        <f>IFERROR(AH4734*0.1, "N/A")</f>
        <v>6.4</v>
      </c>
      <c r="AH4734">
        <v>64</v>
      </c>
      <c r="AI4734">
        <v>228.9676</v>
      </c>
      <c r="AJ4734">
        <v>13.850849999999999</v>
      </c>
      <c r="AK4734">
        <v>74.277969999999996</v>
      </c>
    </row>
    <row r="4735" spans="1:37" x14ac:dyDescent="0.3">
      <c r="A4735">
        <v>4734</v>
      </c>
      <c r="B4735">
        <v>0</v>
      </c>
      <c r="C4735">
        <v>9.2807700000000004</v>
      </c>
      <c r="D4735">
        <v>13.5024</v>
      </c>
      <c r="E4735" t="s">
        <v>7507</v>
      </c>
      <c r="F4735" t="s">
        <v>7509</v>
      </c>
      <c r="G4735" t="s">
        <v>37</v>
      </c>
      <c r="H4735">
        <v>0</v>
      </c>
      <c r="I4735">
        <v>27.8</v>
      </c>
      <c r="J4735">
        <v>15</v>
      </c>
      <c r="K4735">
        <v>56</v>
      </c>
      <c r="L4735">
        <v>33.21</v>
      </c>
      <c r="M4735">
        <v>40.4</v>
      </c>
      <c r="N4735">
        <v>13.8</v>
      </c>
      <c r="O4735">
        <v>26.6</v>
      </c>
      <c r="P4735">
        <v>27.8</v>
      </c>
      <c r="Q4735">
        <v>23.6</v>
      </c>
      <c r="R4735">
        <v>32.1</v>
      </c>
      <c r="S4735">
        <v>23.2</v>
      </c>
      <c r="T4735">
        <v>357</v>
      </c>
      <c r="U4735">
        <v>133</v>
      </c>
      <c r="V4735">
        <v>0</v>
      </c>
      <c r="W4735">
        <v>151</v>
      </c>
      <c r="X4735">
        <v>301</v>
      </c>
      <c r="Y4735">
        <v>0</v>
      </c>
      <c r="Z4735">
        <v>49</v>
      </c>
      <c r="AA4735">
        <v>0</v>
      </c>
      <c r="AB4735">
        <v>8.1784800000000004</v>
      </c>
      <c r="AC4735">
        <v>5.2222780000000003E-2</v>
      </c>
      <c r="AD4735">
        <v>0.68386769999999997</v>
      </c>
      <c r="AE4735">
        <v>0.66365300000000005</v>
      </c>
      <c r="AF4735">
        <v>418.96780000000001</v>
      </c>
      <c r="AG4735">
        <f>IFERROR(AH4735*0.1, "N/A")</f>
        <v>6.4</v>
      </c>
      <c r="AH4735">
        <v>64</v>
      </c>
      <c r="AI4735">
        <v>228.9676</v>
      </c>
      <c r="AJ4735">
        <v>13.850849999999999</v>
      </c>
      <c r="AK4735">
        <v>74.277969999999996</v>
      </c>
    </row>
    <row r="4736" spans="1:37" x14ac:dyDescent="0.3">
      <c r="A4736">
        <v>4735</v>
      </c>
      <c r="B4736">
        <v>2</v>
      </c>
      <c r="C4736">
        <v>9.0166699999999995</v>
      </c>
      <c r="D4736">
        <v>13.502800000000001</v>
      </c>
      <c r="E4736" t="s">
        <v>7510</v>
      </c>
      <c r="F4736" t="s">
        <v>7511</v>
      </c>
      <c r="G4736" t="s">
        <v>39</v>
      </c>
      <c r="H4736">
        <v>0</v>
      </c>
      <c r="I4736">
        <v>27.9</v>
      </c>
      <c r="J4736">
        <v>14.8</v>
      </c>
      <c r="K4736">
        <v>55</v>
      </c>
      <c r="L4736">
        <v>34.227209999999999</v>
      </c>
      <c r="M4736">
        <v>40.374409999999997</v>
      </c>
      <c r="N4736">
        <v>13.7</v>
      </c>
      <c r="O4736">
        <v>26.674410000000002</v>
      </c>
      <c r="P4736">
        <v>28.1</v>
      </c>
      <c r="Q4736">
        <v>23.4</v>
      </c>
      <c r="R4736">
        <v>32.200000000000003</v>
      </c>
      <c r="S4736">
        <v>23.07441</v>
      </c>
      <c r="T4736">
        <v>379</v>
      </c>
      <c r="U4736">
        <v>147</v>
      </c>
      <c r="V4736">
        <v>0</v>
      </c>
      <c r="W4736">
        <v>153</v>
      </c>
      <c r="X4736">
        <v>322</v>
      </c>
      <c r="Y4736">
        <v>0</v>
      </c>
      <c r="Z4736">
        <v>50</v>
      </c>
      <c r="AA4736">
        <v>0</v>
      </c>
      <c r="AB4736">
        <v>0.30674410000000002</v>
      </c>
      <c r="AC4736">
        <v>8.9181300000000005E-2</v>
      </c>
      <c r="AD4736">
        <v>0.91894710000000002</v>
      </c>
      <c r="AE4736">
        <v>0.67461380000000004</v>
      </c>
      <c r="AF4736">
        <v>412.01010000000002</v>
      </c>
      <c r="AG4736">
        <f>IFERROR(AH4736*0.1, "N/A")</f>
        <v>7.0457910000000004</v>
      </c>
      <c r="AH4736">
        <v>70.457909999999998</v>
      </c>
      <c r="AI4736">
        <v>152.0968</v>
      </c>
      <c r="AJ4736">
        <v>11.43098</v>
      </c>
      <c r="AK4736">
        <v>76.171719999999993</v>
      </c>
    </row>
    <row r="4737" spans="1:37" x14ac:dyDescent="0.3">
      <c r="A4737">
        <v>4736</v>
      </c>
      <c r="B4737">
        <v>12</v>
      </c>
      <c r="C4737">
        <v>9.1808499999999995</v>
      </c>
      <c r="D4737">
        <v>13.5032</v>
      </c>
      <c r="E4737" t="s">
        <v>7512</v>
      </c>
      <c r="F4737" t="s">
        <v>7513</v>
      </c>
      <c r="G4737" t="s">
        <v>39</v>
      </c>
      <c r="H4737">
        <v>0</v>
      </c>
      <c r="I4737">
        <v>28.1</v>
      </c>
      <c r="J4737">
        <v>14.9</v>
      </c>
      <c r="K4737">
        <v>56</v>
      </c>
      <c r="L4737">
        <v>33.75</v>
      </c>
      <c r="M4737">
        <v>40.6</v>
      </c>
      <c r="N4737">
        <v>14</v>
      </c>
      <c r="O4737">
        <v>26.6</v>
      </c>
      <c r="P4737">
        <v>28.1</v>
      </c>
      <c r="Q4737">
        <v>23.7</v>
      </c>
      <c r="R4737">
        <v>32.4</v>
      </c>
      <c r="S4737">
        <v>23.3</v>
      </c>
      <c r="T4737">
        <v>362</v>
      </c>
      <c r="U4737">
        <v>138</v>
      </c>
      <c r="V4737">
        <v>0</v>
      </c>
      <c r="W4737">
        <v>150</v>
      </c>
      <c r="X4737">
        <v>307</v>
      </c>
      <c r="Y4737">
        <v>0</v>
      </c>
      <c r="Z4737">
        <v>49</v>
      </c>
      <c r="AA4737">
        <v>0</v>
      </c>
      <c r="AB4737">
        <v>3.3626149999999999</v>
      </c>
      <c r="AC4737">
        <v>8.9774220000000002E-2</v>
      </c>
      <c r="AD4737">
        <v>0.83318950000000003</v>
      </c>
      <c r="AE4737">
        <v>0.70984139999999996</v>
      </c>
      <c r="AF4737">
        <v>390.26900000000001</v>
      </c>
      <c r="AG4737">
        <f>IFERROR(AH4737*0.1, "N/A")</f>
        <v>6.8263959999999999</v>
      </c>
      <c r="AH4737">
        <v>68.263959999999997</v>
      </c>
      <c r="AI4737">
        <v>264.91899999999998</v>
      </c>
      <c r="AJ4737">
        <v>13.35533</v>
      </c>
      <c r="AK4737">
        <v>74.248729999999995</v>
      </c>
    </row>
    <row r="4738" spans="1:37" x14ac:dyDescent="0.3">
      <c r="A4738">
        <v>4737</v>
      </c>
      <c r="B4738">
        <v>9.6999999999999993</v>
      </c>
      <c r="C4738">
        <v>2.1144400000000001</v>
      </c>
      <c r="D4738">
        <v>13.504200000000001</v>
      </c>
      <c r="E4738" t="s">
        <v>7514</v>
      </c>
      <c r="F4738" t="s">
        <v>7515</v>
      </c>
      <c r="G4738" t="s">
        <v>39</v>
      </c>
      <c r="H4738">
        <v>2000</v>
      </c>
      <c r="I4738">
        <v>29.2</v>
      </c>
      <c r="J4738">
        <v>14.7</v>
      </c>
      <c r="K4738">
        <v>55</v>
      </c>
      <c r="L4738">
        <v>29.56</v>
      </c>
      <c r="M4738">
        <v>41.6</v>
      </c>
      <c r="N4738">
        <v>15.2</v>
      </c>
      <c r="O4738">
        <v>26.4</v>
      </c>
      <c r="P4738">
        <v>28.4</v>
      </c>
      <c r="Q4738">
        <v>25.7</v>
      </c>
      <c r="R4738">
        <v>33</v>
      </c>
      <c r="S4738">
        <v>25.4</v>
      </c>
      <c r="T4738">
        <v>513</v>
      </c>
      <c r="U4738">
        <v>169</v>
      </c>
      <c r="V4738">
        <v>0</v>
      </c>
      <c r="W4738">
        <v>134</v>
      </c>
      <c r="X4738">
        <v>395</v>
      </c>
      <c r="Y4738">
        <v>0</v>
      </c>
      <c r="Z4738">
        <v>105</v>
      </c>
      <c r="AA4738">
        <v>0</v>
      </c>
      <c r="AB4738">
        <v>30.890180000000001</v>
      </c>
      <c r="AC4738">
        <v>2.263658E-2</v>
      </c>
      <c r="AD4738">
        <v>0.7997725</v>
      </c>
      <c r="AE4738">
        <v>0.79181520000000005</v>
      </c>
      <c r="AF4738">
        <v>206.2424</v>
      </c>
      <c r="AG4738">
        <f>IFERROR(AH4738*0.1, "N/A")</f>
        <v>6.6000000000000005</v>
      </c>
      <c r="AH4738">
        <v>66</v>
      </c>
      <c r="AI4738">
        <v>215.50020000000001</v>
      </c>
      <c r="AJ4738">
        <v>21.604810000000001</v>
      </c>
      <c r="AK4738">
        <v>58.395189999999999</v>
      </c>
    </row>
    <row r="4739" spans="1:37" x14ac:dyDescent="0.3">
      <c r="A4739">
        <v>4738</v>
      </c>
      <c r="B4739">
        <v>10</v>
      </c>
      <c r="C4739">
        <v>2.1405599999999998</v>
      </c>
      <c r="D4739">
        <v>13.505000000000001</v>
      </c>
      <c r="E4739" t="s">
        <v>7516</v>
      </c>
      <c r="F4739" t="s">
        <v>7517</v>
      </c>
      <c r="G4739" t="s">
        <v>39</v>
      </c>
      <c r="H4739">
        <v>0</v>
      </c>
      <c r="I4739">
        <v>29.1</v>
      </c>
      <c r="J4739">
        <v>14.6</v>
      </c>
      <c r="K4739">
        <v>55</v>
      </c>
      <c r="L4739">
        <v>29.57</v>
      </c>
      <c r="M4739">
        <v>41.4</v>
      </c>
      <c r="N4739">
        <v>15.2</v>
      </c>
      <c r="O4739">
        <v>26.2</v>
      </c>
      <c r="P4739">
        <v>28.3</v>
      </c>
      <c r="Q4739">
        <v>25.6</v>
      </c>
      <c r="R4739">
        <v>32.9</v>
      </c>
      <c r="S4739">
        <v>25.3</v>
      </c>
      <c r="T4739">
        <v>515</v>
      </c>
      <c r="U4739">
        <v>168</v>
      </c>
      <c r="V4739">
        <v>0</v>
      </c>
      <c r="W4739">
        <v>134</v>
      </c>
      <c r="X4739">
        <v>396</v>
      </c>
      <c r="Y4739">
        <v>0</v>
      </c>
      <c r="Z4739">
        <v>106</v>
      </c>
      <c r="AA4739">
        <v>0</v>
      </c>
      <c r="AB4739">
        <v>4.0213590000000003</v>
      </c>
      <c r="AC4739">
        <v>5.0559310000000003E-2</v>
      </c>
      <c r="AD4739">
        <v>1.2639609999999999</v>
      </c>
      <c r="AE4739">
        <v>0.92332820000000004</v>
      </c>
      <c r="AF4739">
        <v>222.78809999999999</v>
      </c>
      <c r="AG4739">
        <f>IFERROR(AH4739*0.1, "N/A")</f>
        <v>6.3325420000000001</v>
      </c>
      <c r="AH4739">
        <v>63.325420000000001</v>
      </c>
      <c r="AI4739">
        <v>161.71039999999999</v>
      </c>
      <c r="AJ4739">
        <v>24.988140000000001</v>
      </c>
      <c r="AK4739">
        <v>57.035589999999999</v>
      </c>
    </row>
    <row r="4740" spans="1:37" x14ac:dyDescent="0.3">
      <c r="A4740">
        <v>4739</v>
      </c>
      <c r="B4740">
        <v>31.7</v>
      </c>
      <c r="C4740">
        <v>2.0744099999999999</v>
      </c>
      <c r="D4740">
        <v>13.506500000000001</v>
      </c>
      <c r="E4740" t="s">
        <v>7518</v>
      </c>
      <c r="F4740" t="s">
        <v>7519</v>
      </c>
      <c r="G4740" t="s">
        <v>39</v>
      </c>
      <c r="H4740">
        <v>0</v>
      </c>
      <c r="I4740">
        <v>29.4</v>
      </c>
      <c r="J4740">
        <v>14.7</v>
      </c>
      <c r="K4740">
        <v>55.979730000000004</v>
      </c>
      <c r="L4740">
        <v>29.362639999999999</v>
      </c>
      <c r="M4740">
        <v>41.6</v>
      </c>
      <c r="N4740">
        <v>15.397970000000001</v>
      </c>
      <c r="O4740">
        <v>26.202030000000001</v>
      </c>
      <c r="P4740">
        <v>28.40203</v>
      </c>
      <c r="Q4740">
        <v>25.897970000000001</v>
      </c>
      <c r="R4740">
        <v>33.1</v>
      </c>
      <c r="S4740">
        <v>25.6</v>
      </c>
      <c r="T4740">
        <v>499.02030000000002</v>
      </c>
      <c r="U4740">
        <v>167</v>
      </c>
      <c r="V4740">
        <v>0</v>
      </c>
      <c r="W4740">
        <v>134</v>
      </c>
      <c r="X4740">
        <v>386.02030000000002</v>
      </c>
      <c r="Y4740">
        <v>0</v>
      </c>
      <c r="Z4740">
        <v>101</v>
      </c>
      <c r="AA4740">
        <v>0</v>
      </c>
      <c r="AB4740">
        <v>4.3912230000000001</v>
      </c>
      <c r="AC4740">
        <v>8.8779029999999995E-3</v>
      </c>
      <c r="AD4740">
        <v>0.97351120000000002</v>
      </c>
      <c r="AE4740">
        <v>0.68934770000000001</v>
      </c>
      <c r="AF4740">
        <v>184.15029999999999</v>
      </c>
      <c r="AG4740">
        <f>IFERROR(AH4740*0.1, "N/A")</f>
        <v>6.467568</v>
      </c>
      <c r="AH4740">
        <v>64.67568</v>
      </c>
      <c r="AI4740">
        <v>211.16749999999999</v>
      </c>
      <c r="AJ4740">
        <v>30.06757</v>
      </c>
      <c r="AK4740">
        <v>49.62838</v>
      </c>
    </row>
    <row r="4741" spans="1:37" x14ac:dyDescent="0.3">
      <c r="A4741">
        <v>4740</v>
      </c>
      <c r="B4741">
        <v>1.2</v>
      </c>
      <c r="C4741">
        <v>2.1411099999999998</v>
      </c>
      <c r="D4741">
        <v>13.5067</v>
      </c>
      <c r="E4741" t="s">
        <v>7520</v>
      </c>
      <c r="F4741" t="s">
        <v>7521</v>
      </c>
      <c r="G4741" t="s">
        <v>39</v>
      </c>
      <c r="H4741">
        <v>2000</v>
      </c>
      <c r="I4741">
        <v>29.1</v>
      </c>
      <c r="J4741">
        <v>14.6</v>
      </c>
      <c r="K4741">
        <v>55</v>
      </c>
      <c r="L4741">
        <v>29.519549999999999</v>
      </c>
      <c r="M4741">
        <v>41.4</v>
      </c>
      <c r="N4741">
        <v>15.21364</v>
      </c>
      <c r="O4741">
        <v>26.186360000000001</v>
      </c>
      <c r="P4741">
        <v>28.3</v>
      </c>
      <c r="Q4741">
        <v>25.6</v>
      </c>
      <c r="R4741">
        <v>32.9</v>
      </c>
      <c r="S4741">
        <v>25.313639999999999</v>
      </c>
      <c r="T4741">
        <v>515</v>
      </c>
      <c r="U4741">
        <v>168</v>
      </c>
      <c r="V4741">
        <v>0</v>
      </c>
      <c r="W4741">
        <v>134</v>
      </c>
      <c r="X4741">
        <v>396</v>
      </c>
      <c r="Y4741">
        <v>0</v>
      </c>
      <c r="Z4741">
        <v>106</v>
      </c>
      <c r="AA4741">
        <v>0</v>
      </c>
      <c r="AB4741">
        <v>3.2606069999999998</v>
      </c>
      <c r="AC4741">
        <v>1.516204E-2</v>
      </c>
      <c r="AD4741">
        <v>0.88739029999999997</v>
      </c>
      <c r="AE4741">
        <v>0.92408999999999997</v>
      </c>
      <c r="AF4741">
        <v>222.62289999999999</v>
      </c>
      <c r="AG4741">
        <f>IFERROR(AH4741*0.1, "N/A")</f>
        <v>6.48569</v>
      </c>
      <c r="AH4741">
        <v>64.856899999999996</v>
      </c>
      <c r="AI4741">
        <v>38.855499999999999</v>
      </c>
      <c r="AJ4741">
        <v>25.210439999999998</v>
      </c>
      <c r="AK4741">
        <v>56.996630000000003</v>
      </c>
    </row>
    <row r="4742" spans="1:37" x14ac:dyDescent="0.3">
      <c r="A4742">
        <v>4741</v>
      </c>
      <c r="B4742">
        <v>20</v>
      </c>
      <c r="C4742">
        <v>2.13056</v>
      </c>
      <c r="D4742">
        <v>13.507199999999999</v>
      </c>
      <c r="E4742" t="s">
        <v>7522</v>
      </c>
      <c r="F4742" t="s">
        <v>7523</v>
      </c>
      <c r="G4742" t="s">
        <v>39</v>
      </c>
      <c r="H4742">
        <v>0</v>
      </c>
      <c r="I4742">
        <v>29.1</v>
      </c>
      <c r="J4742">
        <v>14.7</v>
      </c>
      <c r="K4742">
        <v>55.979730000000004</v>
      </c>
      <c r="L4742">
        <v>29.47588</v>
      </c>
      <c r="M4742">
        <v>41.4</v>
      </c>
      <c r="N4742">
        <v>15.19797</v>
      </c>
      <c r="O4742">
        <v>26.202030000000001</v>
      </c>
      <c r="P4742">
        <v>28.202030000000001</v>
      </c>
      <c r="Q4742">
        <v>25.502030000000001</v>
      </c>
      <c r="R4742">
        <v>32.802030000000002</v>
      </c>
      <c r="S4742">
        <v>25.3</v>
      </c>
      <c r="T4742">
        <v>515.89859999999999</v>
      </c>
      <c r="U4742">
        <v>168.97970000000001</v>
      </c>
      <c r="V4742">
        <v>0</v>
      </c>
      <c r="W4742">
        <v>131.04050000000001</v>
      </c>
      <c r="X4742">
        <v>396.93920000000003</v>
      </c>
      <c r="Y4742">
        <v>0</v>
      </c>
      <c r="Z4742">
        <v>105.95950000000001</v>
      </c>
      <c r="AA4742">
        <v>0</v>
      </c>
      <c r="AB4742">
        <v>9.4592910000000003</v>
      </c>
      <c r="AC4742">
        <v>9.8752430000000006E-3</v>
      </c>
      <c r="AD4742">
        <v>0.89877850000000004</v>
      </c>
      <c r="AE4742">
        <v>0.92344280000000001</v>
      </c>
      <c r="AF4742">
        <v>222.38679999999999</v>
      </c>
      <c r="AG4742">
        <f>IFERROR(AH4742*0.1, "N/A")</f>
        <v>5.9609800000000002</v>
      </c>
      <c r="AH4742">
        <v>59.6098</v>
      </c>
      <c r="AI4742">
        <v>141.6335</v>
      </c>
      <c r="AJ4742">
        <v>24.92568</v>
      </c>
      <c r="AK4742">
        <v>59.26182</v>
      </c>
    </row>
    <row r="4743" spans="1:37" x14ac:dyDescent="0.3">
      <c r="A4743">
        <v>4742</v>
      </c>
      <c r="B4743">
        <v>52</v>
      </c>
      <c r="C4743">
        <v>2.0539299999999998</v>
      </c>
      <c r="D4743">
        <v>13.507300000000001</v>
      </c>
      <c r="E4743" t="s">
        <v>7524</v>
      </c>
      <c r="F4743" t="s">
        <v>7525</v>
      </c>
      <c r="G4743" t="s">
        <v>39</v>
      </c>
      <c r="H4743">
        <v>0</v>
      </c>
      <c r="I4743">
        <v>29.306080000000001</v>
      </c>
      <c r="J4743">
        <v>14.7</v>
      </c>
      <c r="K4743">
        <v>55.060809999999996</v>
      </c>
      <c r="L4743">
        <v>29.35182</v>
      </c>
      <c r="M4743">
        <v>41.6</v>
      </c>
      <c r="N4743">
        <v>15.31216</v>
      </c>
      <c r="O4743">
        <v>26.287839999999999</v>
      </c>
      <c r="P4743">
        <v>28.5</v>
      </c>
      <c r="Q4743">
        <v>25.806080000000001</v>
      </c>
      <c r="R4743">
        <v>33.106079999999999</v>
      </c>
      <c r="S4743">
        <v>25.606079999999999</v>
      </c>
      <c r="T4743">
        <v>493.8784</v>
      </c>
      <c r="U4743">
        <v>166</v>
      </c>
      <c r="V4743">
        <v>0</v>
      </c>
      <c r="W4743">
        <v>133</v>
      </c>
      <c r="X4743">
        <v>382.93920000000003</v>
      </c>
      <c r="Y4743">
        <v>0</v>
      </c>
      <c r="Z4743">
        <v>98.939189999999996</v>
      </c>
      <c r="AA4743">
        <v>0</v>
      </c>
      <c r="AB4743">
        <v>5.1689129999999999</v>
      </c>
      <c r="AC4743">
        <v>1.194019E-2</v>
      </c>
      <c r="AD4743">
        <v>0.85137010000000002</v>
      </c>
      <c r="AE4743">
        <v>0.69522099999999998</v>
      </c>
      <c r="AF4743">
        <v>183.7551</v>
      </c>
      <c r="AG4743">
        <f>IFERROR(AH4743*0.1, "N/A")</f>
        <v>6.4863180000000007</v>
      </c>
      <c r="AH4743">
        <v>64.86318</v>
      </c>
      <c r="AI4743">
        <v>96.234409999999997</v>
      </c>
      <c r="AJ4743">
        <v>13.80912</v>
      </c>
      <c r="AK4743">
        <v>68.251689999999996</v>
      </c>
    </row>
    <row r="4744" spans="1:37" x14ac:dyDescent="0.3">
      <c r="A4744">
        <v>4743</v>
      </c>
      <c r="B4744">
        <v>30.8</v>
      </c>
      <c r="C4744">
        <v>2.085</v>
      </c>
      <c r="D4744">
        <v>13.508100000000001</v>
      </c>
      <c r="E4744" t="s">
        <v>7526</v>
      </c>
      <c r="F4744" t="s">
        <v>7527</v>
      </c>
      <c r="G4744" t="s">
        <v>39</v>
      </c>
      <c r="H4744">
        <v>2000</v>
      </c>
      <c r="I4744">
        <v>29.362729999999999</v>
      </c>
      <c r="J4744">
        <v>14.7</v>
      </c>
      <c r="K4744">
        <v>55</v>
      </c>
      <c r="L4744">
        <v>29.660119999999999</v>
      </c>
      <c r="M4744">
        <v>41.6</v>
      </c>
      <c r="N4744">
        <v>15.3</v>
      </c>
      <c r="O4744">
        <v>26.3</v>
      </c>
      <c r="P4744">
        <v>28.437270000000002</v>
      </c>
      <c r="Q4744">
        <v>25.8</v>
      </c>
      <c r="R4744">
        <v>33.162730000000003</v>
      </c>
      <c r="S4744">
        <v>25.537269999999999</v>
      </c>
      <c r="T4744">
        <v>500.11799999999999</v>
      </c>
      <c r="U4744">
        <v>167</v>
      </c>
      <c r="V4744">
        <v>0</v>
      </c>
      <c r="W4744">
        <v>134.37270000000001</v>
      </c>
      <c r="X4744">
        <v>387.74540000000002</v>
      </c>
      <c r="Y4744">
        <v>0</v>
      </c>
      <c r="Z4744">
        <v>100.37269999999999</v>
      </c>
      <c r="AA4744">
        <v>0</v>
      </c>
      <c r="AB4744">
        <v>6.7252960000000002</v>
      </c>
      <c r="AC4744">
        <v>1.4318040000000001E-2</v>
      </c>
      <c r="AD4744">
        <v>0.89536879999999996</v>
      </c>
      <c r="AE4744">
        <v>0.70836730000000003</v>
      </c>
      <c r="AF4744">
        <v>183.59530000000001</v>
      </c>
      <c r="AG4744">
        <f>IFERROR(AH4744*0.1, "N/A")</f>
        <v>6.5</v>
      </c>
      <c r="AH4744">
        <v>65</v>
      </c>
      <c r="AI4744">
        <v>97.501170000000002</v>
      </c>
      <c r="AJ4744">
        <v>27.483979999999999</v>
      </c>
      <c r="AK4744">
        <v>55.516019999999997</v>
      </c>
    </row>
    <row r="4745" spans="1:37" x14ac:dyDescent="0.3">
      <c r="A4745">
        <v>4744</v>
      </c>
      <c r="B4745">
        <v>0</v>
      </c>
      <c r="C4745">
        <v>2.3576000000000001</v>
      </c>
      <c r="D4745">
        <v>13.5082</v>
      </c>
      <c r="E4745" t="s">
        <v>7528</v>
      </c>
      <c r="F4745" t="s">
        <v>7529</v>
      </c>
      <c r="G4745" t="s">
        <v>39</v>
      </c>
      <c r="H4745">
        <v>1986</v>
      </c>
      <c r="I4745">
        <v>29.095780000000001</v>
      </c>
      <c r="J4745">
        <v>14.3</v>
      </c>
      <c r="K4745">
        <v>56</v>
      </c>
      <c r="L4745">
        <v>28.914020000000001</v>
      </c>
      <c r="M4745">
        <v>41.157089999999997</v>
      </c>
      <c r="N4745">
        <v>15.695779999999999</v>
      </c>
      <c r="O4745">
        <v>25.461320000000001</v>
      </c>
      <c r="P4745">
        <v>28.395779999999998</v>
      </c>
      <c r="Q4745">
        <v>27.295780000000001</v>
      </c>
      <c r="R4745">
        <v>32.895780000000002</v>
      </c>
      <c r="S4745">
        <v>25.357089999999999</v>
      </c>
      <c r="T4745">
        <v>464.61989999999997</v>
      </c>
      <c r="U4745">
        <v>150.90880000000001</v>
      </c>
      <c r="V4745">
        <v>0</v>
      </c>
      <c r="W4745">
        <v>135.2534</v>
      </c>
      <c r="X4745">
        <v>362.07089999999999</v>
      </c>
      <c r="Y4745">
        <v>0</v>
      </c>
      <c r="Z4745">
        <v>94.548990000000003</v>
      </c>
      <c r="AA4745">
        <v>0</v>
      </c>
      <c r="AB4745">
        <v>8.7334499999999995</v>
      </c>
      <c r="AC4745">
        <v>5.3028659999999998E-2</v>
      </c>
      <c r="AD4745">
        <v>2.0426310000000001</v>
      </c>
      <c r="AE4745">
        <v>0.54080329999999999</v>
      </c>
      <c r="AF4745">
        <v>223.23310000000001</v>
      </c>
      <c r="AG4745">
        <f>IFERROR(AH4745*0.1, "N/A")</f>
        <v>5.0400340000000003</v>
      </c>
      <c r="AH4745">
        <v>50.40034</v>
      </c>
      <c r="AI4745">
        <v>231.63159999999999</v>
      </c>
      <c r="AJ4745">
        <v>9.4003379999999996</v>
      </c>
      <c r="AK4745">
        <v>80.733109999999996</v>
      </c>
    </row>
    <row r="4746" spans="1:37" x14ac:dyDescent="0.3">
      <c r="A4746">
        <v>4745</v>
      </c>
      <c r="B4746">
        <v>0</v>
      </c>
      <c r="C4746">
        <v>2.3576000000000001</v>
      </c>
      <c r="D4746">
        <v>13.5082</v>
      </c>
      <c r="E4746" t="s">
        <v>7528</v>
      </c>
      <c r="F4746" t="s">
        <v>7530</v>
      </c>
      <c r="G4746" t="s">
        <v>37</v>
      </c>
      <c r="H4746">
        <v>1985</v>
      </c>
      <c r="I4746">
        <v>29.095780000000001</v>
      </c>
      <c r="J4746">
        <v>14.3</v>
      </c>
      <c r="K4746">
        <v>56</v>
      </c>
      <c r="L4746">
        <v>28.914020000000001</v>
      </c>
      <c r="M4746">
        <v>41.157089999999997</v>
      </c>
      <c r="N4746">
        <v>15.695779999999999</v>
      </c>
      <c r="O4746">
        <v>25.461320000000001</v>
      </c>
      <c r="P4746">
        <v>28.395779999999998</v>
      </c>
      <c r="Q4746">
        <v>27.295780000000001</v>
      </c>
      <c r="R4746">
        <v>32.895780000000002</v>
      </c>
      <c r="S4746">
        <v>25.357089999999999</v>
      </c>
      <c r="T4746">
        <v>464.61989999999997</v>
      </c>
      <c r="U4746">
        <v>150.90880000000001</v>
      </c>
      <c r="V4746">
        <v>0</v>
      </c>
      <c r="W4746">
        <v>135.2534</v>
      </c>
      <c r="X4746">
        <v>362.07089999999999</v>
      </c>
      <c r="Y4746">
        <v>0</v>
      </c>
      <c r="Z4746">
        <v>94.548990000000003</v>
      </c>
      <c r="AA4746">
        <v>0</v>
      </c>
      <c r="AB4746">
        <v>8.7334499999999995</v>
      </c>
      <c r="AC4746">
        <v>5.3028659999999998E-2</v>
      </c>
      <c r="AD4746">
        <v>2.0426310000000001</v>
      </c>
      <c r="AE4746">
        <v>0.54080329999999999</v>
      </c>
      <c r="AF4746">
        <v>223.23310000000001</v>
      </c>
      <c r="AG4746">
        <f>IFERROR(AH4746*0.1, "N/A")</f>
        <v>5.0400340000000003</v>
      </c>
      <c r="AH4746">
        <v>50.40034</v>
      </c>
      <c r="AI4746">
        <v>231.63159999999999</v>
      </c>
      <c r="AJ4746">
        <v>9.4003379999999996</v>
      </c>
      <c r="AK4746">
        <v>80.733109999999996</v>
      </c>
    </row>
    <row r="4747" spans="1:37" x14ac:dyDescent="0.3">
      <c r="A4747">
        <v>4746</v>
      </c>
      <c r="B4747">
        <v>10.8</v>
      </c>
      <c r="C4747">
        <v>2.1386099999999999</v>
      </c>
      <c r="D4747">
        <v>13.509399999999999</v>
      </c>
      <c r="E4747" t="s">
        <v>7531</v>
      </c>
      <c r="F4747" t="s">
        <v>7532</v>
      </c>
      <c r="G4747" t="s">
        <v>39</v>
      </c>
      <c r="H4747">
        <v>2000</v>
      </c>
      <c r="I4747">
        <v>29.1</v>
      </c>
      <c r="J4747">
        <v>14.6</v>
      </c>
      <c r="K4747">
        <v>55</v>
      </c>
      <c r="L4747">
        <v>29.45</v>
      </c>
      <c r="M4747">
        <v>41.4</v>
      </c>
      <c r="N4747">
        <v>15.2</v>
      </c>
      <c r="O4747">
        <v>26.2</v>
      </c>
      <c r="P4747">
        <v>28.3</v>
      </c>
      <c r="Q4747">
        <v>25.6</v>
      </c>
      <c r="R4747">
        <v>32.9</v>
      </c>
      <c r="S4747">
        <v>25.4</v>
      </c>
      <c r="T4747">
        <v>511</v>
      </c>
      <c r="U4747">
        <v>168</v>
      </c>
      <c r="V4747">
        <v>0</v>
      </c>
      <c r="W4747">
        <v>133</v>
      </c>
      <c r="X4747">
        <v>394</v>
      </c>
      <c r="Y4747">
        <v>0</v>
      </c>
      <c r="Z4747">
        <v>104</v>
      </c>
      <c r="AA4747">
        <v>0</v>
      </c>
      <c r="AB4747">
        <v>1.6483239999999999</v>
      </c>
      <c r="AC4747">
        <v>0.13995830000000001</v>
      </c>
      <c r="AD4747">
        <v>0.86572899999999997</v>
      </c>
      <c r="AE4747">
        <v>0.92408999999999997</v>
      </c>
      <c r="AF4747">
        <v>220.33160000000001</v>
      </c>
      <c r="AG4747">
        <f>IFERROR(AH4747*0.1, "N/A")</f>
        <v>6.7084180000000009</v>
      </c>
      <c r="AH4747">
        <v>67.084180000000003</v>
      </c>
      <c r="AI4747">
        <v>169.72909999999999</v>
      </c>
      <c r="AJ4747">
        <v>25.686869999999999</v>
      </c>
      <c r="AK4747">
        <v>56.313130000000001</v>
      </c>
    </row>
    <row r="4748" spans="1:37" x14ac:dyDescent="0.3">
      <c r="A4748">
        <v>4747</v>
      </c>
      <c r="B4748">
        <v>6.5</v>
      </c>
      <c r="C4748">
        <v>2.1269399999999998</v>
      </c>
      <c r="D4748">
        <v>13.5108</v>
      </c>
      <c r="E4748" t="s">
        <v>7533</v>
      </c>
      <c r="F4748" t="s">
        <v>7534</v>
      </c>
      <c r="G4748" t="s">
        <v>39</v>
      </c>
      <c r="H4748">
        <v>2000</v>
      </c>
      <c r="I4748">
        <v>29.1</v>
      </c>
      <c r="J4748">
        <v>14.7</v>
      </c>
      <c r="K4748">
        <v>55</v>
      </c>
      <c r="L4748">
        <v>29.76</v>
      </c>
      <c r="M4748">
        <v>41.4</v>
      </c>
      <c r="N4748">
        <v>15.1</v>
      </c>
      <c r="O4748">
        <v>26.3</v>
      </c>
      <c r="P4748">
        <v>28.3</v>
      </c>
      <c r="Q4748">
        <v>25.6</v>
      </c>
      <c r="R4748">
        <v>32.9</v>
      </c>
      <c r="S4748">
        <v>25.3</v>
      </c>
      <c r="T4748">
        <v>511</v>
      </c>
      <c r="U4748">
        <v>168</v>
      </c>
      <c r="V4748">
        <v>0</v>
      </c>
      <c r="W4748">
        <v>133</v>
      </c>
      <c r="X4748">
        <v>394</v>
      </c>
      <c r="Y4748">
        <v>0</v>
      </c>
      <c r="Z4748">
        <v>104</v>
      </c>
      <c r="AA4748">
        <v>0</v>
      </c>
      <c r="AB4748">
        <v>9.9820969999999996</v>
      </c>
      <c r="AC4748">
        <v>1.8640460000000001E-2</v>
      </c>
      <c r="AD4748">
        <v>0.88535560000000002</v>
      </c>
      <c r="AE4748">
        <v>0.92320500000000005</v>
      </c>
      <c r="AF4748">
        <v>219.77359999999999</v>
      </c>
      <c r="AG4748">
        <f>IFERROR(AH4748*0.1, "N/A")</f>
        <v>6.361993</v>
      </c>
      <c r="AH4748">
        <v>63.619929999999997</v>
      </c>
      <c r="AI4748">
        <v>249.89850000000001</v>
      </c>
      <c r="AJ4748">
        <v>22.58953</v>
      </c>
      <c r="AK4748">
        <v>61.820950000000003</v>
      </c>
    </row>
    <row r="4749" spans="1:37" x14ac:dyDescent="0.3">
      <c r="A4749">
        <v>4748</v>
      </c>
      <c r="B4749">
        <v>40</v>
      </c>
      <c r="C4749">
        <v>2.121</v>
      </c>
      <c r="D4749">
        <v>13.510999999999999</v>
      </c>
      <c r="E4749" t="s">
        <v>7535</v>
      </c>
      <c r="F4749" t="s">
        <v>7536</v>
      </c>
      <c r="G4749" t="s">
        <v>39</v>
      </c>
      <c r="H4749">
        <v>1987</v>
      </c>
      <c r="I4749">
        <v>29.2</v>
      </c>
      <c r="J4749">
        <v>14.7</v>
      </c>
      <c r="K4749">
        <v>55</v>
      </c>
      <c r="L4749">
        <v>29.33</v>
      </c>
      <c r="M4749">
        <v>41.6</v>
      </c>
      <c r="N4749">
        <v>15.2</v>
      </c>
      <c r="O4749">
        <v>26.4</v>
      </c>
      <c r="P4749">
        <v>28.3</v>
      </c>
      <c r="Q4749">
        <v>25.7</v>
      </c>
      <c r="R4749">
        <v>33</v>
      </c>
      <c r="S4749">
        <v>25.5</v>
      </c>
      <c r="T4749">
        <v>510</v>
      </c>
      <c r="U4749">
        <v>168</v>
      </c>
      <c r="V4749">
        <v>0</v>
      </c>
      <c r="W4749">
        <v>133</v>
      </c>
      <c r="X4749">
        <v>394</v>
      </c>
      <c r="Y4749">
        <v>0</v>
      </c>
      <c r="Z4749">
        <v>103</v>
      </c>
      <c r="AA4749">
        <v>0</v>
      </c>
      <c r="AB4749">
        <v>4.9747950000000003</v>
      </c>
      <c r="AC4749">
        <v>7.1628730000000002E-2</v>
      </c>
      <c r="AD4749">
        <v>1.1404639999999999</v>
      </c>
      <c r="AE4749">
        <v>0.91875150000000005</v>
      </c>
      <c r="AF4749">
        <v>212.28739999999999</v>
      </c>
      <c r="AG4749">
        <f>IFERROR(AH4749*0.1, "N/A")</f>
        <v>6.08</v>
      </c>
      <c r="AH4749">
        <v>60.8</v>
      </c>
      <c r="AI4749">
        <v>261.50389999999999</v>
      </c>
      <c r="AJ4749">
        <v>23.178149999999999</v>
      </c>
      <c r="AK4749">
        <v>59.021850000000001</v>
      </c>
    </row>
    <row r="4750" spans="1:37" x14ac:dyDescent="0.3">
      <c r="A4750">
        <v>4749</v>
      </c>
      <c r="B4750">
        <v>32</v>
      </c>
      <c r="C4750">
        <v>12.948499999999999</v>
      </c>
      <c r="D4750">
        <v>13.5116</v>
      </c>
      <c r="E4750" t="s">
        <v>7537</v>
      </c>
      <c r="F4750" t="s">
        <v>7538</v>
      </c>
      <c r="G4750" t="s">
        <v>39</v>
      </c>
      <c r="H4750">
        <v>0</v>
      </c>
      <c r="I4750">
        <v>27.2</v>
      </c>
      <c r="J4750">
        <v>15.1</v>
      </c>
      <c r="K4750">
        <v>55</v>
      </c>
      <c r="L4750">
        <v>34.81</v>
      </c>
      <c r="M4750">
        <v>39.6</v>
      </c>
      <c r="N4750">
        <v>12.6</v>
      </c>
      <c r="O4750">
        <v>27</v>
      </c>
      <c r="P4750">
        <v>28.3</v>
      </c>
      <c r="Q4750">
        <v>24.1</v>
      </c>
      <c r="R4750">
        <v>31.2</v>
      </c>
      <c r="S4750">
        <v>22</v>
      </c>
      <c r="T4750">
        <v>252</v>
      </c>
      <c r="U4750">
        <v>119</v>
      </c>
      <c r="V4750">
        <v>0</v>
      </c>
      <c r="W4750">
        <v>164</v>
      </c>
      <c r="X4750">
        <v>223</v>
      </c>
      <c r="Y4750">
        <v>0</v>
      </c>
      <c r="Z4750">
        <v>24</v>
      </c>
      <c r="AA4750">
        <v>0</v>
      </c>
      <c r="AB4750">
        <v>0.76064169999999998</v>
      </c>
      <c r="AC4750">
        <v>8.0952930000000006E-2</v>
      </c>
      <c r="AD4750">
        <v>1.9176040000000001</v>
      </c>
      <c r="AE4750">
        <v>0.608155</v>
      </c>
      <c r="AF4750">
        <v>295.57429999999999</v>
      </c>
      <c r="AG4750">
        <f>IFERROR(AH4750*0.1, "N/A")</f>
        <v>6.8643580000000002</v>
      </c>
      <c r="AH4750">
        <v>68.64358</v>
      </c>
      <c r="AI4750">
        <v>138.18199999999999</v>
      </c>
      <c r="AJ4750">
        <v>15.27027</v>
      </c>
      <c r="AK4750">
        <v>68.869929999999997</v>
      </c>
    </row>
    <row r="4751" spans="1:37" x14ac:dyDescent="0.3">
      <c r="A4751">
        <v>4750</v>
      </c>
      <c r="B4751">
        <v>16.7</v>
      </c>
      <c r="C4751">
        <v>2.1080800000000002</v>
      </c>
      <c r="D4751">
        <v>13.5121</v>
      </c>
      <c r="E4751" t="s">
        <v>7539</v>
      </c>
      <c r="F4751" t="s">
        <v>7540</v>
      </c>
      <c r="G4751" t="s">
        <v>39</v>
      </c>
      <c r="H4751">
        <v>0</v>
      </c>
      <c r="I4751">
        <v>29.271039999999999</v>
      </c>
      <c r="J4751">
        <v>14.7</v>
      </c>
      <c r="K4751">
        <v>55</v>
      </c>
      <c r="L4751">
        <v>29.485790000000001</v>
      </c>
      <c r="M4751">
        <v>41.6</v>
      </c>
      <c r="N4751">
        <v>15.271039999999999</v>
      </c>
      <c r="O4751">
        <v>26.328959999999999</v>
      </c>
      <c r="P4751">
        <v>28.371040000000001</v>
      </c>
      <c r="Q4751">
        <v>25.771039999999999</v>
      </c>
      <c r="R4751">
        <v>33.071040000000004</v>
      </c>
      <c r="S4751">
        <v>25.5</v>
      </c>
      <c r="T4751">
        <v>506.15820000000002</v>
      </c>
      <c r="U4751">
        <v>167.28960000000001</v>
      </c>
      <c r="V4751">
        <v>0</v>
      </c>
      <c r="W4751">
        <v>132.28960000000001</v>
      </c>
      <c r="X4751">
        <v>390.86869999999999</v>
      </c>
      <c r="Y4751">
        <v>0</v>
      </c>
      <c r="Z4751">
        <v>103</v>
      </c>
      <c r="AA4751">
        <v>0</v>
      </c>
      <c r="AB4751">
        <v>7.5910820000000001</v>
      </c>
      <c r="AC4751">
        <v>2.610935E-2</v>
      </c>
      <c r="AD4751">
        <v>3.0212020000000002</v>
      </c>
      <c r="AE4751">
        <v>0.80472469999999996</v>
      </c>
      <c r="AF4751">
        <v>195.404</v>
      </c>
      <c r="AG4751">
        <f>IFERROR(AH4751*0.1, "N/A")</f>
        <v>6.2944440000000004</v>
      </c>
      <c r="AH4751">
        <v>62.94444</v>
      </c>
      <c r="AI4751">
        <v>208.87780000000001</v>
      </c>
      <c r="AJ4751">
        <v>23.3064</v>
      </c>
      <c r="AK4751">
        <v>58.61448</v>
      </c>
    </row>
    <row r="4752" spans="1:37" x14ac:dyDescent="0.3">
      <c r="A4752">
        <v>4751</v>
      </c>
      <c r="B4752">
        <v>0</v>
      </c>
      <c r="C4752">
        <v>11.620200000000001</v>
      </c>
      <c r="D4752">
        <v>13.512600000000001</v>
      </c>
      <c r="E4752" t="s">
        <v>7541</v>
      </c>
      <c r="F4752" t="s">
        <v>7542</v>
      </c>
      <c r="G4752" t="s">
        <v>39</v>
      </c>
      <c r="H4752">
        <v>0</v>
      </c>
      <c r="I4752">
        <v>27.4</v>
      </c>
      <c r="J4752">
        <v>15.2</v>
      </c>
      <c r="K4752">
        <v>55</v>
      </c>
      <c r="L4752">
        <v>34.020000000000003</v>
      </c>
      <c r="M4752">
        <v>40.200000000000003</v>
      </c>
      <c r="N4752">
        <v>12.8</v>
      </c>
      <c r="O4752">
        <v>27.4</v>
      </c>
      <c r="P4752">
        <v>28</v>
      </c>
      <c r="Q4752">
        <v>24.5</v>
      </c>
      <c r="R4752">
        <v>31.6</v>
      </c>
      <c r="S4752">
        <v>22.4</v>
      </c>
      <c r="T4752">
        <v>230</v>
      </c>
      <c r="U4752">
        <v>96</v>
      </c>
      <c r="V4752">
        <v>0</v>
      </c>
      <c r="W4752">
        <v>159</v>
      </c>
      <c r="X4752">
        <v>202</v>
      </c>
      <c r="Y4752">
        <v>0</v>
      </c>
      <c r="Z4752">
        <v>24</v>
      </c>
      <c r="AA4752">
        <v>0</v>
      </c>
      <c r="AB4752">
        <v>0.72284199999999998</v>
      </c>
      <c r="AC4752">
        <v>3.3840259999999997E-2</v>
      </c>
      <c r="AD4752">
        <v>1.532788</v>
      </c>
      <c r="AE4752">
        <v>0.19425790000000001</v>
      </c>
      <c r="AF4752">
        <v>339.04399999999998</v>
      </c>
      <c r="AG4752">
        <f>IFERROR(AH4752*0.1, "N/A")</f>
        <v>6.5341790000000008</v>
      </c>
      <c r="AH4752">
        <v>65.341790000000003</v>
      </c>
      <c r="AI4752">
        <v>181.01349999999999</v>
      </c>
      <c r="AJ4752">
        <v>7.182741</v>
      </c>
      <c r="AK4752">
        <v>86.840950000000007</v>
      </c>
    </row>
    <row r="4753" spans="1:37" x14ac:dyDescent="0.3">
      <c r="A4753">
        <v>4752</v>
      </c>
      <c r="B4753">
        <v>0</v>
      </c>
      <c r="C4753">
        <v>11.620200000000001</v>
      </c>
      <c r="D4753">
        <v>13.512600000000001</v>
      </c>
      <c r="E4753" t="s">
        <v>7541</v>
      </c>
      <c r="F4753" t="s">
        <v>7543</v>
      </c>
      <c r="G4753" t="s">
        <v>37</v>
      </c>
      <c r="H4753">
        <v>0</v>
      </c>
      <c r="I4753">
        <v>27.4</v>
      </c>
      <c r="J4753">
        <v>15.2</v>
      </c>
      <c r="K4753">
        <v>55</v>
      </c>
      <c r="L4753">
        <v>34.020000000000003</v>
      </c>
      <c r="M4753">
        <v>40.200000000000003</v>
      </c>
      <c r="N4753">
        <v>12.8</v>
      </c>
      <c r="O4753">
        <v>27.4</v>
      </c>
      <c r="P4753">
        <v>28</v>
      </c>
      <c r="Q4753">
        <v>24.5</v>
      </c>
      <c r="R4753">
        <v>31.6</v>
      </c>
      <c r="S4753">
        <v>22.4</v>
      </c>
      <c r="T4753">
        <v>230</v>
      </c>
      <c r="U4753">
        <v>96</v>
      </c>
      <c r="V4753">
        <v>0</v>
      </c>
      <c r="W4753">
        <v>159</v>
      </c>
      <c r="X4753">
        <v>202</v>
      </c>
      <c r="Y4753">
        <v>0</v>
      </c>
      <c r="Z4753">
        <v>24</v>
      </c>
      <c r="AA4753">
        <v>0</v>
      </c>
      <c r="AB4753">
        <v>0.72284199999999998</v>
      </c>
      <c r="AC4753">
        <v>3.3840259999999997E-2</v>
      </c>
      <c r="AD4753">
        <v>1.532788</v>
      </c>
      <c r="AE4753">
        <v>0.19425790000000001</v>
      </c>
      <c r="AF4753">
        <v>339.04399999999998</v>
      </c>
      <c r="AG4753">
        <f>IFERROR(AH4753*0.1, "N/A")</f>
        <v>6.5341790000000008</v>
      </c>
      <c r="AH4753">
        <v>65.341790000000003</v>
      </c>
      <c r="AI4753">
        <v>181.01349999999999</v>
      </c>
      <c r="AJ4753">
        <v>7.182741</v>
      </c>
      <c r="AK4753">
        <v>86.840950000000007</v>
      </c>
    </row>
    <row r="4754" spans="1:37" x14ac:dyDescent="0.3">
      <c r="A4754">
        <v>4753</v>
      </c>
      <c r="B4754">
        <v>0.03</v>
      </c>
      <c r="C4754">
        <v>2.1013899999999999</v>
      </c>
      <c r="D4754">
        <v>13.513299999999999</v>
      </c>
      <c r="E4754" t="s">
        <v>7544</v>
      </c>
      <c r="F4754" t="s">
        <v>7545</v>
      </c>
      <c r="G4754" t="s">
        <v>37</v>
      </c>
      <c r="H4754">
        <v>1985</v>
      </c>
      <c r="I4754">
        <v>29.3</v>
      </c>
      <c r="J4754">
        <v>14.7</v>
      </c>
      <c r="K4754">
        <v>55</v>
      </c>
      <c r="L4754">
        <v>29.48</v>
      </c>
      <c r="M4754">
        <v>41.6</v>
      </c>
      <c r="N4754">
        <v>15.3</v>
      </c>
      <c r="O4754">
        <v>26.3</v>
      </c>
      <c r="P4754">
        <v>28.4</v>
      </c>
      <c r="Q4754">
        <v>25.8</v>
      </c>
      <c r="R4754">
        <v>33.1</v>
      </c>
      <c r="S4754">
        <v>25.5</v>
      </c>
      <c r="T4754">
        <v>505</v>
      </c>
      <c r="U4754">
        <v>167</v>
      </c>
      <c r="V4754">
        <v>0</v>
      </c>
      <c r="W4754">
        <v>132</v>
      </c>
      <c r="X4754">
        <v>390</v>
      </c>
      <c r="Y4754">
        <v>0</v>
      </c>
      <c r="Z4754">
        <v>103</v>
      </c>
      <c r="AA4754">
        <v>0</v>
      </c>
      <c r="AB4754">
        <v>26.95102</v>
      </c>
      <c r="AC4754">
        <v>9.4574259999999997E-3</v>
      </c>
      <c r="AD4754">
        <v>2.2706499999999998</v>
      </c>
      <c r="AE4754">
        <v>0.81857930000000001</v>
      </c>
      <c r="AF4754">
        <v>206.89660000000001</v>
      </c>
      <c r="AG4754">
        <f>IFERROR(AH4754*0.1, "N/A")</f>
        <v>6.7533900000000004</v>
      </c>
      <c r="AH4754">
        <v>67.533900000000003</v>
      </c>
      <c r="AI4754">
        <v>181.114</v>
      </c>
      <c r="AJ4754">
        <v>25.11356</v>
      </c>
      <c r="AK4754">
        <v>53.403390000000002</v>
      </c>
    </row>
    <row r="4755" spans="1:37" x14ac:dyDescent="0.3">
      <c r="A4755">
        <v>4754</v>
      </c>
      <c r="B4755">
        <v>11.7</v>
      </c>
      <c r="C4755">
        <v>2.1102799999999999</v>
      </c>
      <c r="D4755">
        <v>13.513299999999999</v>
      </c>
      <c r="E4755" t="s">
        <v>7546</v>
      </c>
      <c r="F4755" t="s">
        <v>7547</v>
      </c>
      <c r="G4755" t="s">
        <v>39</v>
      </c>
      <c r="H4755">
        <v>0</v>
      </c>
      <c r="I4755">
        <v>29.2</v>
      </c>
      <c r="J4755">
        <v>14.7</v>
      </c>
      <c r="K4755">
        <v>55</v>
      </c>
      <c r="L4755">
        <v>29.5</v>
      </c>
      <c r="M4755">
        <v>41.6</v>
      </c>
      <c r="N4755">
        <v>15.2</v>
      </c>
      <c r="O4755">
        <v>26.4</v>
      </c>
      <c r="P4755">
        <v>28.3</v>
      </c>
      <c r="Q4755">
        <v>25.7</v>
      </c>
      <c r="R4755">
        <v>33</v>
      </c>
      <c r="S4755">
        <v>25.5</v>
      </c>
      <c r="T4755">
        <v>509</v>
      </c>
      <c r="U4755">
        <v>168</v>
      </c>
      <c r="V4755">
        <v>0</v>
      </c>
      <c r="W4755">
        <v>133</v>
      </c>
      <c r="X4755">
        <v>393</v>
      </c>
      <c r="Y4755">
        <v>0</v>
      </c>
      <c r="Z4755">
        <v>103</v>
      </c>
      <c r="AA4755">
        <v>0</v>
      </c>
      <c r="AB4755">
        <v>15.48359</v>
      </c>
      <c r="AC4755">
        <v>4.0495280000000002E-2</v>
      </c>
      <c r="AD4755">
        <v>1.4703630000000001</v>
      </c>
      <c r="AE4755">
        <v>0.89667909999999995</v>
      </c>
      <c r="AF4755">
        <v>201.6447</v>
      </c>
      <c r="AG4755">
        <f>IFERROR(AH4755*0.1, "N/A")</f>
        <v>6.1940780000000002</v>
      </c>
      <c r="AH4755">
        <v>61.940779999999997</v>
      </c>
      <c r="AI4755">
        <v>159.1506</v>
      </c>
      <c r="AJ4755">
        <v>20.152280000000001</v>
      </c>
      <c r="AK4755">
        <v>59.94585</v>
      </c>
    </row>
    <row r="4756" spans="1:37" x14ac:dyDescent="0.3">
      <c r="A4756">
        <v>4755</v>
      </c>
      <c r="B4756">
        <v>6.7</v>
      </c>
      <c r="C4756">
        <v>2.13056</v>
      </c>
      <c r="D4756">
        <v>13.5139</v>
      </c>
      <c r="E4756" t="s">
        <v>7548</v>
      </c>
      <c r="F4756" t="s">
        <v>7549</v>
      </c>
      <c r="G4756" t="s">
        <v>39</v>
      </c>
      <c r="H4756">
        <v>0</v>
      </c>
      <c r="I4756">
        <v>29.1</v>
      </c>
      <c r="J4756">
        <v>14.7</v>
      </c>
      <c r="K4756">
        <v>55</v>
      </c>
      <c r="L4756">
        <v>29.76</v>
      </c>
      <c r="M4756">
        <v>41.4</v>
      </c>
      <c r="N4756">
        <v>15.1</v>
      </c>
      <c r="O4756">
        <v>26.3</v>
      </c>
      <c r="P4756">
        <v>28.3</v>
      </c>
      <c r="Q4756">
        <v>25.6</v>
      </c>
      <c r="R4756">
        <v>32.9</v>
      </c>
      <c r="S4756">
        <v>25.3</v>
      </c>
      <c r="T4756">
        <v>511</v>
      </c>
      <c r="U4756">
        <v>168</v>
      </c>
      <c r="V4756">
        <v>0</v>
      </c>
      <c r="W4756">
        <v>133</v>
      </c>
      <c r="X4756">
        <v>394</v>
      </c>
      <c r="Y4756">
        <v>0</v>
      </c>
      <c r="Z4756">
        <v>104</v>
      </c>
      <c r="AA4756">
        <v>0</v>
      </c>
      <c r="AB4756">
        <v>2.4413149999999999</v>
      </c>
      <c r="AC4756">
        <v>4.947402E-2</v>
      </c>
      <c r="AD4756">
        <v>1.2216</v>
      </c>
      <c r="AE4756">
        <v>0.92707309999999998</v>
      </c>
      <c r="AF4756">
        <v>217.34399999999999</v>
      </c>
      <c r="AG4756">
        <f>IFERROR(AH4756*0.1, "N/A")</f>
        <v>5.8618890000000006</v>
      </c>
      <c r="AH4756">
        <v>58.61889</v>
      </c>
      <c r="AI4756">
        <v>190.44059999999999</v>
      </c>
      <c r="AJ4756">
        <v>27.28668</v>
      </c>
      <c r="AK4756">
        <v>57.406410000000001</v>
      </c>
    </row>
    <row r="4757" spans="1:37" x14ac:dyDescent="0.3">
      <c r="A4757">
        <v>4756</v>
      </c>
      <c r="B4757">
        <v>8.3000000000000007</v>
      </c>
      <c r="C4757">
        <v>2.12521</v>
      </c>
      <c r="D4757">
        <v>13.5168</v>
      </c>
      <c r="E4757" t="s">
        <v>7550</v>
      </c>
      <c r="F4757" t="s">
        <v>7551</v>
      </c>
      <c r="G4757" t="s">
        <v>39</v>
      </c>
      <c r="H4757">
        <v>0</v>
      </c>
      <c r="I4757">
        <v>29.17953</v>
      </c>
      <c r="J4757">
        <v>14.7</v>
      </c>
      <c r="K4757">
        <v>55</v>
      </c>
      <c r="L4757">
        <v>29.527799999999999</v>
      </c>
      <c r="M4757">
        <v>41.545520000000003</v>
      </c>
      <c r="N4757">
        <v>15.165990000000001</v>
      </c>
      <c r="O4757">
        <v>26.379529999999999</v>
      </c>
      <c r="P4757">
        <v>28.286460000000002</v>
      </c>
      <c r="Q4757">
        <v>25.665990000000001</v>
      </c>
      <c r="R4757">
        <v>32.979529999999997</v>
      </c>
      <c r="S4757">
        <v>25.445519999999998</v>
      </c>
      <c r="T4757">
        <v>509.03210000000001</v>
      </c>
      <c r="U4757">
        <v>167.60910000000001</v>
      </c>
      <c r="V4757">
        <v>0</v>
      </c>
      <c r="W4757">
        <v>133</v>
      </c>
      <c r="X4757">
        <v>393.2183</v>
      </c>
      <c r="Y4757">
        <v>0</v>
      </c>
      <c r="Z4757">
        <v>103.2047</v>
      </c>
      <c r="AA4757">
        <v>0</v>
      </c>
      <c r="AB4757">
        <v>4.4140389999999998</v>
      </c>
      <c r="AC4757">
        <v>3.3192359999999997E-2</v>
      </c>
      <c r="AD4757">
        <v>0.76646009999999998</v>
      </c>
      <c r="AE4757">
        <v>0.93302759999999996</v>
      </c>
      <c r="AF4757">
        <v>214.98650000000001</v>
      </c>
      <c r="AG4757">
        <f>IFERROR(AH4757*0.1, "N/A")</f>
        <v>6.0989849999999999</v>
      </c>
      <c r="AH4757">
        <v>60.989849999999997</v>
      </c>
      <c r="AI4757">
        <v>288.90289999999999</v>
      </c>
      <c r="AJ4757">
        <v>25.299489999999999</v>
      </c>
      <c r="AK4757">
        <v>58.390860000000004</v>
      </c>
    </row>
    <row r="4758" spans="1:37" x14ac:dyDescent="0.3">
      <c r="A4758">
        <v>4757</v>
      </c>
      <c r="B4758">
        <v>5</v>
      </c>
      <c r="C4758">
        <v>2.11944</v>
      </c>
      <c r="D4758">
        <v>13.5181</v>
      </c>
      <c r="E4758" t="s">
        <v>7552</v>
      </c>
      <c r="F4758" t="s">
        <v>7553</v>
      </c>
      <c r="G4758" t="s">
        <v>39</v>
      </c>
      <c r="H4758">
        <v>0</v>
      </c>
      <c r="I4758">
        <v>29.2</v>
      </c>
      <c r="J4758">
        <v>14.7</v>
      </c>
      <c r="K4758">
        <v>55</v>
      </c>
      <c r="L4758">
        <v>29.5</v>
      </c>
      <c r="M4758">
        <v>41.6</v>
      </c>
      <c r="N4758">
        <v>15.2</v>
      </c>
      <c r="O4758">
        <v>26.4</v>
      </c>
      <c r="P4758">
        <v>28.3</v>
      </c>
      <c r="Q4758">
        <v>25.7</v>
      </c>
      <c r="R4758">
        <v>33</v>
      </c>
      <c r="S4758">
        <v>25.5</v>
      </c>
      <c r="T4758">
        <v>507</v>
      </c>
      <c r="U4758">
        <v>167</v>
      </c>
      <c r="V4758">
        <v>0</v>
      </c>
      <c r="W4758">
        <v>133</v>
      </c>
      <c r="X4758">
        <v>392</v>
      </c>
      <c r="Y4758">
        <v>0</v>
      </c>
      <c r="Z4758">
        <v>103</v>
      </c>
      <c r="AA4758">
        <v>0</v>
      </c>
      <c r="AB4758">
        <v>0.70626109999999998</v>
      </c>
      <c r="AC4758">
        <v>1.6375550000000001</v>
      </c>
      <c r="AD4758">
        <v>0.7726518</v>
      </c>
      <c r="AE4758">
        <v>0.93302759999999996</v>
      </c>
      <c r="AF4758">
        <v>209.47880000000001</v>
      </c>
      <c r="AG4758">
        <f>IFERROR(AH4758*0.1, "N/A")</f>
        <v>5.9783420000000005</v>
      </c>
      <c r="AH4758">
        <v>59.78342</v>
      </c>
      <c r="AI4758">
        <v>123.87820000000001</v>
      </c>
      <c r="AJ4758">
        <v>25.95431</v>
      </c>
      <c r="AK4758">
        <v>58.764809999999997</v>
      </c>
    </row>
    <row r="4759" spans="1:37" x14ac:dyDescent="0.3">
      <c r="A4759">
        <v>4758</v>
      </c>
      <c r="B4759">
        <v>8.4</v>
      </c>
      <c r="C4759">
        <v>2.1091700000000002</v>
      </c>
      <c r="D4759">
        <v>13.518599999999999</v>
      </c>
      <c r="E4759" t="s">
        <v>7554</v>
      </c>
      <c r="F4759" t="s">
        <v>7555</v>
      </c>
      <c r="G4759" t="s">
        <v>39</v>
      </c>
      <c r="H4759">
        <v>2000</v>
      </c>
      <c r="I4759">
        <v>29.2</v>
      </c>
      <c r="J4759">
        <v>14.799659999999999</v>
      </c>
      <c r="K4759">
        <v>55.996630000000003</v>
      </c>
      <c r="L4759">
        <v>29.619599999999998</v>
      </c>
      <c r="M4759">
        <v>41.6</v>
      </c>
      <c r="N4759">
        <v>15.2</v>
      </c>
      <c r="O4759">
        <v>26.4</v>
      </c>
      <c r="P4759">
        <v>28.3</v>
      </c>
      <c r="Q4759">
        <v>25.7</v>
      </c>
      <c r="R4759">
        <v>33</v>
      </c>
      <c r="S4759">
        <v>25.5</v>
      </c>
      <c r="T4759">
        <v>505</v>
      </c>
      <c r="U4759">
        <v>167.0034</v>
      </c>
      <c r="V4759">
        <v>0</v>
      </c>
      <c r="W4759">
        <v>132</v>
      </c>
      <c r="X4759">
        <v>390.0034</v>
      </c>
      <c r="Y4759">
        <v>0</v>
      </c>
      <c r="Z4759">
        <v>102.9966</v>
      </c>
      <c r="AA4759">
        <v>0</v>
      </c>
      <c r="AB4759">
        <v>7.4765569999999997</v>
      </c>
      <c r="AC4759">
        <v>0.20925489999999999</v>
      </c>
      <c r="AD4759">
        <v>3.540279</v>
      </c>
      <c r="AE4759">
        <v>0.91695070000000001</v>
      </c>
      <c r="AF4759">
        <v>200.4469</v>
      </c>
      <c r="AG4759">
        <f>IFERROR(AH4759*0.1, "N/A")</f>
        <v>5.4053959999999996</v>
      </c>
      <c r="AH4759">
        <v>54.053959999999996</v>
      </c>
      <c r="AI4759">
        <v>256.69159999999999</v>
      </c>
      <c r="AJ4759">
        <v>27.956160000000001</v>
      </c>
      <c r="AK4759">
        <v>48.087690000000002</v>
      </c>
    </row>
    <row r="4760" spans="1:37" x14ac:dyDescent="0.3">
      <c r="A4760">
        <v>4759</v>
      </c>
      <c r="B4760">
        <v>10.8</v>
      </c>
      <c r="C4760">
        <v>2.1183299999999998</v>
      </c>
      <c r="D4760">
        <v>13.519399999999999</v>
      </c>
      <c r="E4760" t="s">
        <v>7556</v>
      </c>
      <c r="F4760" t="s">
        <v>7557</v>
      </c>
      <c r="G4760" t="s">
        <v>39</v>
      </c>
      <c r="H4760">
        <v>2000</v>
      </c>
      <c r="I4760">
        <v>29.2</v>
      </c>
      <c r="J4760">
        <v>14.7</v>
      </c>
      <c r="K4760">
        <v>55</v>
      </c>
      <c r="L4760">
        <v>29.5</v>
      </c>
      <c r="M4760">
        <v>41.6</v>
      </c>
      <c r="N4760">
        <v>15.2</v>
      </c>
      <c r="O4760">
        <v>26.4</v>
      </c>
      <c r="P4760">
        <v>28.3</v>
      </c>
      <c r="Q4760">
        <v>25.7</v>
      </c>
      <c r="R4760">
        <v>33</v>
      </c>
      <c r="S4760">
        <v>25.5</v>
      </c>
      <c r="T4760">
        <v>507</v>
      </c>
      <c r="U4760">
        <v>167</v>
      </c>
      <c r="V4760">
        <v>0</v>
      </c>
      <c r="W4760">
        <v>133</v>
      </c>
      <c r="X4760">
        <v>392</v>
      </c>
      <c r="Y4760">
        <v>0</v>
      </c>
      <c r="Z4760">
        <v>103</v>
      </c>
      <c r="AA4760">
        <v>0</v>
      </c>
      <c r="AB4760">
        <v>4.8530290000000003</v>
      </c>
      <c r="AC4760">
        <v>3.8078359999999999E-2</v>
      </c>
      <c r="AD4760">
        <v>1.3041940000000001</v>
      </c>
      <c r="AE4760">
        <v>0.93302759999999996</v>
      </c>
      <c r="AF4760">
        <v>208.5909</v>
      </c>
      <c r="AG4760">
        <f>IFERROR(AH4760*0.1, "N/A")</f>
        <v>6.1676770000000003</v>
      </c>
      <c r="AH4760">
        <v>61.676769999999998</v>
      </c>
      <c r="AI4760">
        <v>114.20780000000001</v>
      </c>
      <c r="AJ4760">
        <v>27.316500000000001</v>
      </c>
      <c r="AK4760">
        <v>57.683500000000002</v>
      </c>
    </row>
    <row r="4761" spans="1:37" x14ac:dyDescent="0.3">
      <c r="A4761">
        <v>4760</v>
      </c>
      <c r="B4761">
        <v>8.3000000000000007</v>
      </c>
      <c r="C4761">
        <v>2.1105</v>
      </c>
      <c r="D4761">
        <v>13.5198</v>
      </c>
      <c r="E4761" t="s">
        <v>7558</v>
      </c>
      <c r="F4761" t="s">
        <v>7559</v>
      </c>
      <c r="G4761" t="s">
        <v>39</v>
      </c>
      <c r="H4761">
        <v>0</v>
      </c>
      <c r="I4761">
        <v>29.2</v>
      </c>
      <c r="J4761">
        <v>14.8</v>
      </c>
      <c r="K4761">
        <v>56</v>
      </c>
      <c r="L4761">
        <v>29.62</v>
      </c>
      <c r="M4761">
        <v>41.6</v>
      </c>
      <c r="N4761">
        <v>15.2</v>
      </c>
      <c r="O4761">
        <v>26.4</v>
      </c>
      <c r="P4761">
        <v>28.3</v>
      </c>
      <c r="Q4761">
        <v>25.7</v>
      </c>
      <c r="R4761">
        <v>33</v>
      </c>
      <c r="S4761">
        <v>25.5</v>
      </c>
      <c r="T4761">
        <v>505</v>
      </c>
      <c r="U4761">
        <v>167</v>
      </c>
      <c r="V4761">
        <v>0</v>
      </c>
      <c r="W4761">
        <v>132</v>
      </c>
      <c r="X4761">
        <v>390</v>
      </c>
      <c r="Y4761">
        <v>0</v>
      </c>
      <c r="Z4761">
        <v>103</v>
      </c>
      <c r="AA4761">
        <v>0</v>
      </c>
      <c r="AB4761">
        <v>6.8314760000000003</v>
      </c>
      <c r="AC4761">
        <v>1.6574849999999999E-2</v>
      </c>
      <c r="AD4761">
        <v>2.636666</v>
      </c>
      <c r="AE4761">
        <v>0.91711540000000003</v>
      </c>
      <c r="AF4761">
        <v>205.59389999999999</v>
      </c>
      <c r="AG4761">
        <f>IFERROR(AH4761*0.1, "N/A")</f>
        <v>5.3358710000000009</v>
      </c>
      <c r="AH4761">
        <v>53.358710000000002</v>
      </c>
      <c r="AI4761">
        <v>281.21710000000002</v>
      </c>
      <c r="AJ4761">
        <v>27.754650000000002</v>
      </c>
      <c r="AK4761">
        <v>53.629440000000002</v>
      </c>
    </row>
    <row r="4762" spans="1:37" x14ac:dyDescent="0.3">
      <c r="A4762">
        <v>4761</v>
      </c>
      <c r="B4762">
        <v>98</v>
      </c>
      <c r="C4762">
        <v>2.1150000000000002</v>
      </c>
      <c r="D4762">
        <v>13.520799999999999</v>
      </c>
      <c r="E4762" t="s">
        <v>7560</v>
      </c>
      <c r="F4762" t="s">
        <v>7561</v>
      </c>
      <c r="G4762" t="s">
        <v>39</v>
      </c>
      <c r="H4762">
        <v>0</v>
      </c>
      <c r="I4762">
        <v>29.2</v>
      </c>
      <c r="J4762">
        <v>14.8</v>
      </c>
      <c r="K4762">
        <v>56</v>
      </c>
      <c r="L4762">
        <v>29.62</v>
      </c>
      <c r="M4762">
        <v>41.6</v>
      </c>
      <c r="N4762">
        <v>15.2</v>
      </c>
      <c r="O4762">
        <v>26.4</v>
      </c>
      <c r="P4762">
        <v>28.3</v>
      </c>
      <c r="Q4762">
        <v>25.7</v>
      </c>
      <c r="R4762">
        <v>33</v>
      </c>
      <c r="S4762">
        <v>25.5</v>
      </c>
      <c r="T4762">
        <v>505</v>
      </c>
      <c r="U4762">
        <v>167</v>
      </c>
      <c r="V4762">
        <v>0</v>
      </c>
      <c r="W4762">
        <v>132</v>
      </c>
      <c r="X4762">
        <v>390</v>
      </c>
      <c r="Y4762">
        <v>0</v>
      </c>
      <c r="Z4762">
        <v>103</v>
      </c>
      <c r="AA4762">
        <v>0</v>
      </c>
      <c r="AB4762">
        <v>3.9025319999999999</v>
      </c>
      <c r="AC4762">
        <v>9.4013089999999994E-2</v>
      </c>
      <c r="AD4762">
        <v>0.71329520000000002</v>
      </c>
      <c r="AE4762">
        <v>0.91711540000000003</v>
      </c>
      <c r="AF4762">
        <v>206.96960000000001</v>
      </c>
      <c r="AG4762">
        <f>IFERROR(AH4762*0.1, "N/A")</f>
        <v>6.1045610000000003</v>
      </c>
      <c r="AH4762">
        <v>61.045610000000003</v>
      </c>
      <c r="AI4762">
        <v>133.74</v>
      </c>
      <c r="AJ4762">
        <v>25.38176</v>
      </c>
      <c r="AK4762">
        <v>58.80912</v>
      </c>
    </row>
    <row r="4763" spans="1:37" x14ac:dyDescent="0.3">
      <c r="A4763">
        <v>4762</v>
      </c>
      <c r="B4763">
        <v>8.5</v>
      </c>
      <c r="C4763">
        <v>2.1133299999999999</v>
      </c>
      <c r="D4763">
        <v>13.5214</v>
      </c>
      <c r="E4763" t="s">
        <v>7562</v>
      </c>
      <c r="F4763" t="s">
        <v>7563</v>
      </c>
      <c r="G4763" t="s">
        <v>39</v>
      </c>
      <c r="H4763">
        <v>2000</v>
      </c>
      <c r="I4763">
        <v>29.2</v>
      </c>
      <c r="J4763">
        <v>14.8</v>
      </c>
      <c r="K4763">
        <v>56</v>
      </c>
      <c r="L4763">
        <v>29.62</v>
      </c>
      <c r="M4763">
        <v>41.6</v>
      </c>
      <c r="N4763">
        <v>15.2</v>
      </c>
      <c r="O4763">
        <v>26.4</v>
      </c>
      <c r="P4763">
        <v>28.3</v>
      </c>
      <c r="Q4763">
        <v>25.7</v>
      </c>
      <c r="R4763">
        <v>33</v>
      </c>
      <c r="S4763">
        <v>25.5</v>
      </c>
      <c r="T4763">
        <v>505</v>
      </c>
      <c r="U4763">
        <v>167</v>
      </c>
      <c r="V4763">
        <v>0</v>
      </c>
      <c r="W4763">
        <v>132</v>
      </c>
      <c r="X4763">
        <v>390</v>
      </c>
      <c r="Y4763">
        <v>0</v>
      </c>
      <c r="Z4763">
        <v>103</v>
      </c>
      <c r="AA4763">
        <v>0</v>
      </c>
      <c r="AB4763">
        <v>2.1011890000000002</v>
      </c>
      <c r="AC4763">
        <v>0.28140789999999999</v>
      </c>
      <c r="AD4763">
        <v>0.68618299999999999</v>
      </c>
      <c r="AE4763">
        <v>0.91711540000000003</v>
      </c>
      <c r="AF4763">
        <v>206.0778</v>
      </c>
      <c r="AG4763">
        <f>IFERROR(AH4763*0.1, "N/A")</f>
        <v>5.6546529999999997</v>
      </c>
      <c r="AH4763">
        <v>56.546529999999997</v>
      </c>
      <c r="AI4763">
        <v>218.0462</v>
      </c>
      <c r="AJ4763">
        <v>27.22673</v>
      </c>
      <c r="AK4763">
        <v>57.433160000000001</v>
      </c>
    </row>
    <row r="4764" spans="1:37" x14ac:dyDescent="0.3">
      <c r="A4764">
        <v>4763</v>
      </c>
      <c r="B4764">
        <v>0</v>
      </c>
      <c r="C4764">
        <v>11.574</v>
      </c>
      <c r="D4764">
        <v>13.5214</v>
      </c>
      <c r="E4764" t="s">
        <v>7564</v>
      </c>
      <c r="F4764" t="s">
        <v>7565</v>
      </c>
      <c r="G4764" t="s">
        <v>39</v>
      </c>
      <c r="H4764">
        <v>0</v>
      </c>
      <c r="I4764">
        <v>27.4</v>
      </c>
      <c r="J4764">
        <v>15.2</v>
      </c>
      <c r="K4764">
        <v>55</v>
      </c>
      <c r="L4764">
        <v>34.07</v>
      </c>
      <c r="M4764">
        <v>40.299999999999997</v>
      </c>
      <c r="N4764">
        <v>12.8</v>
      </c>
      <c r="O4764">
        <v>27.5</v>
      </c>
      <c r="P4764">
        <v>27.9</v>
      </c>
      <c r="Q4764">
        <v>24.6</v>
      </c>
      <c r="R4764">
        <v>31.6</v>
      </c>
      <c r="S4764">
        <v>22.4</v>
      </c>
      <c r="T4764">
        <v>228</v>
      </c>
      <c r="U4764">
        <v>96</v>
      </c>
      <c r="V4764">
        <v>0</v>
      </c>
      <c r="W4764">
        <v>158</v>
      </c>
      <c r="X4764">
        <v>201</v>
      </c>
      <c r="Y4764">
        <v>0</v>
      </c>
      <c r="Z4764">
        <v>24</v>
      </c>
      <c r="AA4764">
        <v>0</v>
      </c>
      <c r="AB4764">
        <v>11.57382</v>
      </c>
      <c r="AC4764">
        <v>1.9721249999999999E-2</v>
      </c>
      <c r="AD4764">
        <v>0.69505919999999999</v>
      </c>
      <c r="AE4764">
        <v>0.14853710000000001</v>
      </c>
      <c r="AF4764">
        <v>340.91719999999998</v>
      </c>
      <c r="AG4764">
        <f>IFERROR(AH4764*0.1, "N/A")</f>
        <v>7.2996619999999997</v>
      </c>
      <c r="AH4764">
        <v>72.996619999999993</v>
      </c>
      <c r="AI4764">
        <v>63.64734</v>
      </c>
      <c r="AJ4764">
        <v>0</v>
      </c>
      <c r="AK4764">
        <v>97.998310000000004</v>
      </c>
    </row>
    <row r="4765" spans="1:37" x14ac:dyDescent="0.3">
      <c r="A4765">
        <v>4764</v>
      </c>
      <c r="B4765">
        <v>0</v>
      </c>
      <c r="C4765">
        <v>11.574</v>
      </c>
      <c r="D4765">
        <v>13.5214</v>
      </c>
      <c r="E4765" t="s">
        <v>7564</v>
      </c>
      <c r="F4765" t="s">
        <v>7566</v>
      </c>
      <c r="G4765" t="s">
        <v>37</v>
      </c>
      <c r="H4765">
        <v>0</v>
      </c>
      <c r="I4765">
        <v>27.4</v>
      </c>
      <c r="J4765">
        <v>15.2</v>
      </c>
      <c r="K4765">
        <v>55</v>
      </c>
      <c r="L4765">
        <v>34.07</v>
      </c>
      <c r="M4765">
        <v>40.299999999999997</v>
      </c>
      <c r="N4765">
        <v>12.8</v>
      </c>
      <c r="O4765">
        <v>27.5</v>
      </c>
      <c r="P4765">
        <v>27.9</v>
      </c>
      <c r="Q4765">
        <v>24.6</v>
      </c>
      <c r="R4765">
        <v>31.6</v>
      </c>
      <c r="S4765">
        <v>22.4</v>
      </c>
      <c r="T4765">
        <v>228</v>
      </c>
      <c r="U4765">
        <v>96</v>
      </c>
      <c r="V4765">
        <v>0</v>
      </c>
      <c r="W4765">
        <v>158</v>
      </c>
      <c r="X4765">
        <v>201</v>
      </c>
      <c r="Y4765">
        <v>0</v>
      </c>
      <c r="Z4765">
        <v>24</v>
      </c>
      <c r="AA4765">
        <v>0</v>
      </c>
      <c r="AB4765">
        <v>11.57382</v>
      </c>
      <c r="AC4765">
        <v>1.9721249999999999E-2</v>
      </c>
      <c r="AD4765">
        <v>0.69505919999999999</v>
      </c>
      <c r="AE4765">
        <v>0.14853710000000001</v>
      </c>
      <c r="AF4765">
        <v>340.91719999999998</v>
      </c>
      <c r="AG4765">
        <f>IFERROR(AH4765*0.1, "N/A")</f>
        <v>7.2996619999999997</v>
      </c>
      <c r="AH4765">
        <v>72.996619999999993</v>
      </c>
      <c r="AI4765">
        <v>63.64734</v>
      </c>
      <c r="AJ4765">
        <v>0</v>
      </c>
      <c r="AK4765">
        <v>97.998310000000004</v>
      </c>
    </row>
    <row r="4766" spans="1:37" x14ac:dyDescent="0.3">
      <c r="A4766">
        <v>4765</v>
      </c>
      <c r="B4766">
        <v>8.3000000000000007</v>
      </c>
      <c r="C4766">
        <v>2.1480600000000001</v>
      </c>
      <c r="D4766">
        <v>13.5228</v>
      </c>
      <c r="E4766" t="s">
        <v>7567</v>
      </c>
      <c r="F4766" t="s">
        <v>7568</v>
      </c>
      <c r="G4766" t="s">
        <v>39</v>
      </c>
      <c r="H4766">
        <v>2000</v>
      </c>
      <c r="I4766">
        <v>29.1</v>
      </c>
      <c r="J4766">
        <v>14.6</v>
      </c>
      <c r="K4766">
        <v>55</v>
      </c>
      <c r="L4766">
        <v>29.51</v>
      </c>
      <c r="M4766">
        <v>41.4</v>
      </c>
      <c r="N4766">
        <v>15.2</v>
      </c>
      <c r="O4766">
        <v>26.2</v>
      </c>
      <c r="P4766">
        <v>28.3</v>
      </c>
      <c r="Q4766">
        <v>25.6</v>
      </c>
      <c r="R4766">
        <v>32.9</v>
      </c>
      <c r="S4766">
        <v>25.3</v>
      </c>
      <c r="T4766">
        <v>505</v>
      </c>
      <c r="U4766">
        <v>166</v>
      </c>
      <c r="V4766">
        <v>0</v>
      </c>
      <c r="W4766">
        <v>132</v>
      </c>
      <c r="X4766">
        <v>391</v>
      </c>
      <c r="Y4766">
        <v>0</v>
      </c>
      <c r="Z4766">
        <v>103</v>
      </c>
      <c r="AA4766">
        <v>0</v>
      </c>
      <c r="AB4766">
        <v>0.58936109999999997</v>
      </c>
      <c r="AC4766">
        <v>0.20361489999999999</v>
      </c>
      <c r="AD4766">
        <v>0.93838849999999996</v>
      </c>
      <c r="AE4766">
        <v>0.85839430000000005</v>
      </c>
      <c r="AF4766">
        <v>218.64699999999999</v>
      </c>
      <c r="AG4766">
        <f>IFERROR(AH4766*0.1, "N/A")</f>
        <v>6.158277</v>
      </c>
      <c r="AH4766">
        <v>61.582769999999996</v>
      </c>
      <c r="AI4766">
        <v>181.3819</v>
      </c>
      <c r="AJ4766">
        <v>28.19595</v>
      </c>
      <c r="AK4766">
        <v>54.59628</v>
      </c>
    </row>
    <row r="4767" spans="1:37" x14ac:dyDescent="0.3">
      <c r="A4767">
        <v>4766</v>
      </c>
      <c r="B4767">
        <v>4.0999999999999996</v>
      </c>
      <c r="C4767">
        <v>9.0555599999999998</v>
      </c>
      <c r="D4767">
        <v>13.525</v>
      </c>
      <c r="E4767" t="s">
        <v>7569</v>
      </c>
      <c r="F4767" t="s">
        <v>7570</v>
      </c>
      <c r="G4767" t="s">
        <v>39</v>
      </c>
      <c r="H4767">
        <v>0</v>
      </c>
      <c r="I4767">
        <v>28</v>
      </c>
      <c r="J4767">
        <v>14.8</v>
      </c>
      <c r="K4767">
        <v>55</v>
      </c>
      <c r="L4767">
        <v>33.881180000000001</v>
      </c>
      <c r="M4767">
        <v>40.4</v>
      </c>
      <c r="N4767">
        <v>13.9</v>
      </c>
      <c r="O4767">
        <v>26.5</v>
      </c>
      <c r="P4767">
        <v>28.148820000000001</v>
      </c>
      <c r="Q4767">
        <v>23.6</v>
      </c>
      <c r="R4767">
        <v>32.299999999999997</v>
      </c>
      <c r="S4767">
        <v>23.2</v>
      </c>
      <c r="T4767">
        <v>375</v>
      </c>
      <c r="U4767">
        <v>145</v>
      </c>
      <c r="V4767">
        <v>0</v>
      </c>
      <c r="W4767">
        <v>151</v>
      </c>
      <c r="X4767">
        <v>319</v>
      </c>
      <c r="Y4767">
        <v>0</v>
      </c>
      <c r="Z4767">
        <v>50</v>
      </c>
      <c r="AA4767">
        <v>0</v>
      </c>
      <c r="AB4767">
        <v>0.94512119999999999</v>
      </c>
      <c r="AC4767">
        <v>7.2622799999999996</v>
      </c>
      <c r="AD4767">
        <v>1.0235339999999999</v>
      </c>
      <c r="AE4767">
        <v>0.71453259999999996</v>
      </c>
      <c r="AF4767">
        <v>402.77100000000002</v>
      </c>
      <c r="AG4767">
        <f>IFERROR(AH4767*0.1, "N/A")</f>
        <v>6.9</v>
      </c>
      <c r="AH4767">
        <v>69</v>
      </c>
      <c r="AI4767">
        <v>278.23110000000003</v>
      </c>
      <c r="AJ4767">
        <v>11.338380000000001</v>
      </c>
      <c r="AK4767">
        <v>77.441079999999999</v>
      </c>
    </row>
    <row r="4768" spans="1:37" x14ac:dyDescent="0.3">
      <c r="A4768">
        <v>4767</v>
      </c>
      <c r="B4768">
        <v>8</v>
      </c>
      <c r="C4768">
        <v>2.12778</v>
      </c>
      <c r="D4768">
        <v>13.5261</v>
      </c>
      <c r="E4768" t="s">
        <v>7571</v>
      </c>
      <c r="F4768" t="s">
        <v>7572</v>
      </c>
      <c r="G4768" t="s">
        <v>39</v>
      </c>
      <c r="H4768">
        <v>2000</v>
      </c>
      <c r="I4768">
        <v>29.2</v>
      </c>
      <c r="J4768">
        <v>14.7</v>
      </c>
      <c r="K4768">
        <v>55</v>
      </c>
      <c r="L4768">
        <v>29.61</v>
      </c>
      <c r="M4768">
        <v>41.5</v>
      </c>
      <c r="N4768">
        <v>15.1</v>
      </c>
      <c r="O4768">
        <v>26.4</v>
      </c>
      <c r="P4768">
        <v>28.3</v>
      </c>
      <c r="Q4768">
        <v>25.6</v>
      </c>
      <c r="R4768">
        <v>32.9</v>
      </c>
      <c r="S4768">
        <v>25.4</v>
      </c>
      <c r="T4768">
        <v>502</v>
      </c>
      <c r="U4768">
        <v>166</v>
      </c>
      <c r="V4768">
        <v>0</v>
      </c>
      <c r="W4768">
        <v>135</v>
      </c>
      <c r="X4768">
        <v>389</v>
      </c>
      <c r="Y4768">
        <v>0</v>
      </c>
      <c r="Z4768">
        <v>102</v>
      </c>
      <c r="AA4768">
        <v>0</v>
      </c>
      <c r="AB4768">
        <v>0.49202220000000002</v>
      </c>
      <c r="AC4768">
        <v>2.6410800000000001</v>
      </c>
      <c r="AD4768">
        <v>1.4856560000000001</v>
      </c>
      <c r="AE4768">
        <v>0.93355010000000005</v>
      </c>
      <c r="AF4768">
        <v>212.67570000000001</v>
      </c>
      <c r="AG4768">
        <f>IFERROR(AH4768*0.1, "N/A")</f>
        <v>6.1123940000000001</v>
      </c>
      <c r="AH4768">
        <v>61.123939999999997</v>
      </c>
      <c r="AI4768">
        <v>252.5728</v>
      </c>
      <c r="AJ4768">
        <v>26.735140000000001</v>
      </c>
      <c r="AK4768">
        <v>56.414259999999999</v>
      </c>
    </row>
    <row r="4769" spans="1:37" x14ac:dyDescent="0.3">
      <c r="A4769">
        <v>4768</v>
      </c>
      <c r="B4769">
        <v>81.7</v>
      </c>
      <c r="C4769">
        <v>2.06332</v>
      </c>
      <c r="D4769">
        <v>13.527699999999999</v>
      </c>
      <c r="E4769" t="s">
        <v>7573</v>
      </c>
      <c r="F4769" t="s">
        <v>7574</v>
      </c>
      <c r="G4769" t="s">
        <v>39</v>
      </c>
      <c r="H4769">
        <v>0</v>
      </c>
      <c r="I4769">
        <v>29.2</v>
      </c>
      <c r="J4769">
        <v>14.7</v>
      </c>
      <c r="K4769">
        <v>55</v>
      </c>
      <c r="L4769">
        <v>29.39</v>
      </c>
      <c r="M4769">
        <v>41.5</v>
      </c>
      <c r="N4769">
        <v>15.2</v>
      </c>
      <c r="O4769">
        <v>26.3</v>
      </c>
      <c r="P4769">
        <v>28.3</v>
      </c>
      <c r="Q4769">
        <v>25.7</v>
      </c>
      <c r="R4769">
        <v>33</v>
      </c>
      <c r="S4769">
        <v>25.5</v>
      </c>
      <c r="T4769">
        <v>493</v>
      </c>
      <c r="U4769">
        <v>167</v>
      </c>
      <c r="V4769">
        <v>0</v>
      </c>
      <c r="W4769">
        <v>133</v>
      </c>
      <c r="X4769">
        <v>383</v>
      </c>
      <c r="Y4769">
        <v>0</v>
      </c>
      <c r="Z4769">
        <v>98</v>
      </c>
      <c r="AA4769">
        <v>0</v>
      </c>
      <c r="AB4769">
        <v>26.04336</v>
      </c>
      <c r="AC4769">
        <v>3.8291939999999997E-2</v>
      </c>
      <c r="AD4769">
        <v>1.2685390000000001</v>
      </c>
      <c r="AE4769">
        <v>0.84251379999999998</v>
      </c>
      <c r="AF4769">
        <v>209.92439999999999</v>
      </c>
      <c r="AG4769">
        <f>IFERROR(AH4769*0.1, "N/A")</f>
        <v>6.4010080000000009</v>
      </c>
      <c r="AH4769">
        <v>64.010080000000002</v>
      </c>
      <c r="AI4769">
        <v>245.8963</v>
      </c>
      <c r="AJ4769">
        <v>18.989920000000001</v>
      </c>
      <c r="AK4769">
        <v>64.979830000000007</v>
      </c>
    </row>
    <row r="4770" spans="1:37" x14ac:dyDescent="0.3">
      <c r="A4770">
        <v>4769</v>
      </c>
      <c r="B4770">
        <v>28.6</v>
      </c>
      <c r="C4770">
        <v>2.0813899999999999</v>
      </c>
      <c r="D4770">
        <v>13.53</v>
      </c>
      <c r="E4770" t="s">
        <v>7575</v>
      </c>
      <c r="F4770" t="s">
        <v>7576</v>
      </c>
      <c r="G4770" t="s">
        <v>39</v>
      </c>
      <c r="H4770">
        <v>2000</v>
      </c>
      <c r="I4770">
        <v>29.1</v>
      </c>
      <c r="J4770">
        <v>14.7</v>
      </c>
      <c r="K4770">
        <v>55</v>
      </c>
      <c r="L4770">
        <v>29.55</v>
      </c>
      <c r="M4770">
        <v>41.5</v>
      </c>
      <c r="N4770">
        <v>15.1</v>
      </c>
      <c r="O4770">
        <v>26.4</v>
      </c>
      <c r="P4770">
        <v>28.2</v>
      </c>
      <c r="Q4770">
        <v>25.6</v>
      </c>
      <c r="R4770">
        <v>32.9</v>
      </c>
      <c r="S4770">
        <v>25.4</v>
      </c>
      <c r="T4770">
        <v>498</v>
      </c>
      <c r="U4770">
        <v>167</v>
      </c>
      <c r="V4770">
        <v>0</v>
      </c>
      <c r="W4770">
        <v>134</v>
      </c>
      <c r="X4770">
        <v>386</v>
      </c>
      <c r="Y4770">
        <v>0</v>
      </c>
      <c r="Z4770">
        <v>100</v>
      </c>
      <c r="AA4770">
        <v>0</v>
      </c>
      <c r="AB4770">
        <v>24.594580000000001</v>
      </c>
      <c r="AC4770">
        <v>6.151235E-2</v>
      </c>
      <c r="AD4770">
        <v>0.93005680000000002</v>
      </c>
      <c r="AE4770">
        <v>0.88872969999999996</v>
      </c>
      <c r="AF4770">
        <v>219.0812</v>
      </c>
      <c r="AG4770">
        <f>IFERROR(AH4770*0.1, "N/A")</f>
        <v>6.0884940000000007</v>
      </c>
      <c r="AH4770">
        <v>60.88494</v>
      </c>
      <c r="AI4770">
        <v>241.06450000000001</v>
      </c>
      <c r="AJ4770">
        <v>15.77665</v>
      </c>
      <c r="AK4770">
        <v>68.763109999999998</v>
      </c>
    </row>
    <row r="4771" spans="1:37" x14ac:dyDescent="0.3">
      <c r="A4771">
        <v>4770</v>
      </c>
      <c r="B4771">
        <v>11.7</v>
      </c>
      <c r="C4771">
        <v>2.1194000000000002</v>
      </c>
      <c r="D4771">
        <v>13.5306</v>
      </c>
      <c r="E4771" t="s">
        <v>7577</v>
      </c>
      <c r="F4771" t="s">
        <v>7578</v>
      </c>
      <c r="G4771" t="s">
        <v>39</v>
      </c>
      <c r="H4771">
        <v>0</v>
      </c>
      <c r="I4771">
        <v>29.2</v>
      </c>
      <c r="J4771">
        <v>14.8</v>
      </c>
      <c r="K4771">
        <v>56</v>
      </c>
      <c r="L4771">
        <v>29.57</v>
      </c>
      <c r="M4771">
        <v>41.6</v>
      </c>
      <c r="N4771">
        <v>15.2</v>
      </c>
      <c r="O4771">
        <v>26.4</v>
      </c>
      <c r="P4771">
        <v>28.3</v>
      </c>
      <c r="Q4771">
        <v>25.7</v>
      </c>
      <c r="R4771">
        <v>33</v>
      </c>
      <c r="S4771">
        <v>25.5</v>
      </c>
      <c r="T4771">
        <v>503</v>
      </c>
      <c r="U4771">
        <v>167</v>
      </c>
      <c r="V4771">
        <v>0</v>
      </c>
      <c r="W4771">
        <v>135</v>
      </c>
      <c r="X4771">
        <v>390</v>
      </c>
      <c r="Y4771">
        <v>0</v>
      </c>
      <c r="Z4771">
        <v>102</v>
      </c>
      <c r="AA4771">
        <v>0</v>
      </c>
      <c r="AB4771">
        <v>5.4494040000000004</v>
      </c>
      <c r="AC4771">
        <v>0.1425237</v>
      </c>
      <c r="AD4771">
        <v>1.33565</v>
      </c>
      <c r="AE4771">
        <v>0.9278284</v>
      </c>
      <c r="AF4771">
        <v>212.01689999999999</v>
      </c>
      <c r="AG4771">
        <f>IFERROR(AH4771*0.1, "N/A")</f>
        <v>6.1079530000000002</v>
      </c>
      <c r="AH4771">
        <v>61.079529999999998</v>
      </c>
      <c r="AI4771">
        <v>225.5266</v>
      </c>
      <c r="AJ4771">
        <v>26.367170000000002</v>
      </c>
      <c r="AK4771">
        <v>57.155670000000001</v>
      </c>
    </row>
    <row r="4772" spans="1:37" x14ac:dyDescent="0.3">
      <c r="A4772">
        <v>4771</v>
      </c>
      <c r="B4772">
        <v>6.7</v>
      </c>
      <c r="C4772">
        <v>2.1180599999999998</v>
      </c>
      <c r="D4772">
        <v>13.5319</v>
      </c>
      <c r="E4772" t="s">
        <v>7579</v>
      </c>
      <c r="F4772" t="s">
        <v>7580</v>
      </c>
      <c r="G4772" t="s">
        <v>39</v>
      </c>
      <c r="H4772">
        <v>2000</v>
      </c>
      <c r="I4772">
        <v>29.2</v>
      </c>
      <c r="J4772">
        <v>14.8</v>
      </c>
      <c r="K4772">
        <v>56</v>
      </c>
      <c r="L4772">
        <v>29.57</v>
      </c>
      <c r="M4772">
        <v>41.6</v>
      </c>
      <c r="N4772">
        <v>15.2</v>
      </c>
      <c r="O4772">
        <v>26.4</v>
      </c>
      <c r="P4772">
        <v>28.3</v>
      </c>
      <c r="Q4772">
        <v>25.7</v>
      </c>
      <c r="R4772">
        <v>33</v>
      </c>
      <c r="S4772">
        <v>25.5</v>
      </c>
      <c r="T4772">
        <v>503</v>
      </c>
      <c r="U4772">
        <v>167</v>
      </c>
      <c r="V4772">
        <v>0</v>
      </c>
      <c r="W4772">
        <v>135</v>
      </c>
      <c r="X4772">
        <v>390</v>
      </c>
      <c r="Y4772">
        <v>0</v>
      </c>
      <c r="Z4772">
        <v>102</v>
      </c>
      <c r="AA4772">
        <v>0</v>
      </c>
      <c r="AB4772">
        <v>7.9533769999999997</v>
      </c>
      <c r="AC4772">
        <v>1.2697409999999999E-2</v>
      </c>
      <c r="AD4772">
        <v>1.1557599999999999</v>
      </c>
      <c r="AE4772">
        <v>0.93387719999999996</v>
      </c>
      <c r="AF4772">
        <v>214.39019999999999</v>
      </c>
      <c r="AG4772">
        <f>IFERROR(AH4772*0.1, "N/A")</f>
        <v>6.1516890000000002</v>
      </c>
      <c r="AH4772">
        <v>61.516889999999997</v>
      </c>
      <c r="AI4772">
        <v>154.32980000000001</v>
      </c>
      <c r="AJ4772">
        <v>26.48311</v>
      </c>
      <c r="AK4772">
        <v>57.258450000000003</v>
      </c>
    </row>
    <row r="4773" spans="1:37" x14ac:dyDescent="0.3">
      <c r="A4773">
        <v>4772</v>
      </c>
      <c r="B4773">
        <v>25</v>
      </c>
      <c r="C4773">
        <v>2.0958100000000002</v>
      </c>
      <c r="D4773">
        <v>13.532299999999999</v>
      </c>
      <c r="E4773" t="s">
        <v>7581</v>
      </c>
      <c r="F4773" t="s">
        <v>7582</v>
      </c>
      <c r="G4773" t="s">
        <v>39</v>
      </c>
      <c r="H4773">
        <v>0</v>
      </c>
      <c r="I4773">
        <v>29.1</v>
      </c>
      <c r="J4773">
        <v>14.7</v>
      </c>
      <c r="K4773">
        <v>55</v>
      </c>
      <c r="L4773">
        <v>29.58128</v>
      </c>
      <c r="M4773">
        <v>41.5</v>
      </c>
      <c r="N4773">
        <v>15.1</v>
      </c>
      <c r="O4773">
        <v>26.4</v>
      </c>
      <c r="P4773">
        <v>28.2</v>
      </c>
      <c r="Q4773">
        <v>25.6</v>
      </c>
      <c r="R4773">
        <v>32.9</v>
      </c>
      <c r="S4773">
        <v>25.399329999999999</v>
      </c>
      <c r="T4773">
        <v>501.96629999999999</v>
      </c>
      <c r="U4773">
        <v>167</v>
      </c>
      <c r="V4773">
        <v>0</v>
      </c>
      <c r="W4773">
        <v>134.9933</v>
      </c>
      <c r="X4773">
        <v>388.98649999999998</v>
      </c>
      <c r="Y4773">
        <v>0</v>
      </c>
      <c r="Z4773">
        <v>100.98650000000001</v>
      </c>
      <c r="AA4773">
        <v>0</v>
      </c>
      <c r="AB4773">
        <v>11.402369999999999</v>
      </c>
      <c r="AC4773">
        <v>1.0166039999999999E-2</v>
      </c>
      <c r="AD4773">
        <v>0.51935100000000001</v>
      </c>
      <c r="AE4773">
        <v>0.93484259999999997</v>
      </c>
      <c r="AF4773">
        <v>221.1703</v>
      </c>
      <c r="AG4773">
        <f>IFERROR(AH4773*0.1, "N/A")</f>
        <v>5.7222600000000003</v>
      </c>
      <c r="AH4773">
        <v>57.2226</v>
      </c>
      <c r="AI4773">
        <v>146.7791</v>
      </c>
      <c r="AJ4773">
        <v>28.647549999999999</v>
      </c>
      <c r="AK4773">
        <v>54.22766</v>
      </c>
    </row>
    <row r="4774" spans="1:37" x14ac:dyDescent="0.3">
      <c r="A4774">
        <v>4773</v>
      </c>
      <c r="B4774">
        <v>28.3</v>
      </c>
      <c r="C4774">
        <v>2.1273499999999999</v>
      </c>
      <c r="D4774">
        <v>13.5345</v>
      </c>
      <c r="E4774" t="s">
        <v>7583</v>
      </c>
      <c r="F4774" t="s">
        <v>7584</v>
      </c>
      <c r="G4774" t="s">
        <v>39</v>
      </c>
      <c r="H4774">
        <v>0</v>
      </c>
      <c r="I4774">
        <v>29.1</v>
      </c>
      <c r="J4774">
        <v>14.7</v>
      </c>
      <c r="K4774">
        <v>55</v>
      </c>
      <c r="L4774">
        <v>29.77</v>
      </c>
      <c r="M4774">
        <v>41.4</v>
      </c>
      <c r="N4774">
        <v>15.1</v>
      </c>
      <c r="O4774">
        <v>26.3</v>
      </c>
      <c r="P4774">
        <v>28.2</v>
      </c>
      <c r="Q4774">
        <v>25.6</v>
      </c>
      <c r="R4774">
        <v>32.9</v>
      </c>
      <c r="S4774">
        <v>25.3</v>
      </c>
      <c r="T4774">
        <v>500</v>
      </c>
      <c r="U4774">
        <v>166</v>
      </c>
      <c r="V4774">
        <v>0</v>
      </c>
      <c r="W4774">
        <v>134</v>
      </c>
      <c r="X4774">
        <v>388</v>
      </c>
      <c r="Y4774">
        <v>0</v>
      </c>
      <c r="Z4774">
        <v>101</v>
      </c>
      <c r="AA4774">
        <v>0</v>
      </c>
      <c r="AB4774">
        <v>11.06739</v>
      </c>
      <c r="AC4774">
        <v>9.8319879999999998E-3</v>
      </c>
      <c r="AD4774">
        <v>0.67585729999999999</v>
      </c>
      <c r="AE4774">
        <v>0.93646339999999995</v>
      </c>
      <c r="AF4774">
        <v>221.48990000000001</v>
      </c>
      <c r="AG4774">
        <f>IFERROR(AH4774*0.1, "N/A")</f>
        <v>6.2614860000000006</v>
      </c>
      <c r="AH4774">
        <v>62.61486</v>
      </c>
      <c r="AI4774">
        <v>132.607</v>
      </c>
      <c r="AJ4774">
        <v>24.46284</v>
      </c>
      <c r="AK4774">
        <v>58.86824</v>
      </c>
    </row>
    <row r="4775" spans="1:37" x14ac:dyDescent="0.3">
      <c r="A4775">
        <v>4774</v>
      </c>
      <c r="B4775">
        <v>56.5</v>
      </c>
      <c r="C4775">
        <v>2.0047999999999999</v>
      </c>
      <c r="D4775">
        <v>13.534700000000001</v>
      </c>
      <c r="E4775" t="s">
        <v>7585</v>
      </c>
      <c r="F4775" t="s">
        <v>7586</v>
      </c>
      <c r="G4775" t="s">
        <v>39</v>
      </c>
      <c r="H4775">
        <v>2001</v>
      </c>
      <c r="I4775">
        <v>29.4</v>
      </c>
      <c r="J4775">
        <v>14.7</v>
      </c>
      <c r="K4775">
        <v>56</v>
      </c>
      <c r="L4775">
        <v>29.67</v>
      </c>
      <c r="M4775">
        <v>41.7</v>
      </c>
      <c r="N4775">
        <v>15.5</v>
      </c>
      <c r="O4775">
        <v>26.2</v>
      </c>
      <c r="P4775">
        <v>28.5</v>
      </c>
      <c r="Q4775">
        <v>25.9</v>
      </c>
      <c r="R4775">
        <v>33.200000000000003</v>
      </c>
      <c r="S4775">
        <v>25.6</v>
      </c>
      <c r="T4775">
        <v>475</v>
      </c>
      <c r="U4775">
        <v>163</v>
      </c>
      <c r="V4775">
        <v>0</v>
      </c>
      <c r="W4775">
        <v>136</v>
      </c>
      <c r="X4775">
        <v>370</v>
      </c>
      <c r="Y4775">
        <v>0</v>
      </c>
      <c r="Z4775">
        <v>94</v>
      </c>
      <c r="AA4775">
        <v>0</v>
      </c>
      <c r="AB4775">
        <v>20.616849999999999</v>
      </c>
      <c r="AC4775">
        <v>3.0217879999999999E-2</v>
      </c>
      <c r="AD4775">
        <v>2.768891</v>
      </c>
      <c r="AE4775">
        <v>0.41198639999999997</v>
      </c>
      <c r="AF4775">
        <v>210.90049999999999</v>
      </c>
      <c r="AG4775">
        <f>IFERROR(AH4775*0.1, "N/A")</f>
        <v>6.7580100000000005</v>
      </c>
      <c r="AH4775">
        <v>67.580100000000002</v>
      </c>
      <c r="AI4775">
        <v>140.55879999999999</v>
      </c>
      <c r="AJ4775">
        <v>20.134910000000001</v>
      </c>
      <c r="AK4775">
        <v>64.151769999999999</v>
      </c>
    </row>
    <row r="4776" spans="1:37" x14ac:dyDescent="0.3">
      <c r="A4776">
        <v>4775</v>
      </c>
      <c r="B4776">
        <v>5</v>
      </c>
      <c r="C4776">
        <v>9.0124600000000008</v>
      </c>
      <c r="D4776">
        <v>13.5351</v>
      </c>
      <c r="E4776" t="s">
        <v>7587</v>
      </c>
      <c r="F4776" t="s">
        <v>7588</v>
      </c>
      <c r="G4776" t="s">
        <v>39</v>
      </c>
      <c r="H4776">
        <v>0</v>
      </c>
      <c r="I4776">
        <v>27.9</v>
      </c>
      <c r="J4776">
        <v>14.7</v>
      </c>
      <c r="K4776">
        <v>55</v>
      </c>
      <c r="L4776">
        <v>34.020000000000003</v>
      </c>
      <c r="M4776">
        <v>40.299999999999997</v>
      </c>
      <c r="N4776">
        <v>13.8</v>
      </c>
      <c r="O4776">
        <v>26.5</v>
      </c>
      <c r="P4776">
        <v>28.1</v>
      </c>
      <c r="Q4776">
        <v>23.4</v>
      </c>
      <c r="R4776">
        <v>32.200000000000003</v>
      </c>
      <c r="S4776">
        <v>23.1</v>
      </c>
      <c r="T4776">
        <v>379</v>
      </c>
      <c r="U4776">
        <v>148</v>
      </c>
      <c r="V4776">
        <v>0</v>
      </c>
      <c r="W4776">
        <v>153</v>
      </c>
      <c r="X4776">
        <v>322</v>
      </c>
      <c r="Y4776">
        <v>0</v>
      </c>
      <c r="Z4776">
        <v>50</v>
      </c>
      <c r="AA4776">
        <v>0</v>
      </c>
      <c r="AB4776">
        <v>4.6837580000000001</v>
      </c>
      <c r="AC4776">
        <v>1.8304310000000001E-2</v>
      </c>
      <c r="AD4776">
        <v>1.2990010000000001</v>
      </c>
      <c r="AE4776">
        <v>0.71700030000000003</v>
      </c>
      <c r="AF4776">
        <v>426.2724</v>
      </c>
      <c r="AG4776">
        <f>IFERROR(AH4776*0.1, "N/A")</f>
        <v>6.6411170000000004</v>
      </c>
      <c r="AH4776">
        <v>66.411169999999998</v>
      </c>
      <c r="AI4776">
        <v>171.23410000000001</v>
      </c>
      <c r="AJ4776">
        <v>6.9221659999999998</v>
      </c>
      <c r="AK4776">
        <v>80.099829999999997</v>
      </c>
    </row>
    <row r="4777" spans="1:37" x14ac:dyDescent="0.3">
      <c r="A4777">
        <v>4776</v>
      </c>
      <c r="B4777">
        <v>0</v>
      </c>
      <c r="C4777">
        <v>9.0124600000000008</v>
      </c>
      <c r="D4777">
        <v>13.5351</v>
      </c>
      <c r="E4777" t="s">
        <v>7587</v>
      </c>
      <c r="F4777" t="s">
        <v>7589</v>
      </c>
      <c r="G4777" t="s">
        <v>37</v>
      </c>
      <c r="H4777">
        <v>0</v>
      </c>
      <c r="I4777">
        <v>27.9</v>
      </c>
      <c r="J4777">
        <v>14.7</v>
      </c>
      <c r="K4777">
        <v>55</v>
      </c>
      <c r="L4777">
        <v>34.020000000000003</v>
      </c>
      <c r="M4777">
        <v>40.299999999999997</v>
      </c>
      <c r="N4777">
        <v>13.8</v>
      </c>
      <c r="O4777">
        <v>26.5</v>
      </c>
      <c r="P4777">
        <v>28.1</v>
      </c>
      <c r="Q4777">
        <v>23.4</v>
      </c>
      <c r="R4777">
        <v>32.200000000000003</v>
      </c>
      <c r="S4777">
        <v>23.1</v>
      </c>
      <c r="T4777">
        <v>379</v>
      </c>
      <c r="U4777">
        <v>148</v>
      </c>
      <c r="V4777">
        <v>0</v>
      </c>
      <c r="W4777">
        <v>153</v>
      </c>
      <c r="X4777">
        <v>322</v>
      </c>
      <c r="Y4777">
        <v>0</v>
      </c>
      <c r="Z4777">
        <v>50</v>
      </c>
      <c r="AA4777">
        <v>0</v>
      </c>
      <c r="AB4777">
        <v>4.6837580000000001</v>
      </c>
      <c r="AC4777">
        <v>1.8304310000000001E-2</v>
      </c>
      <c r="AD4777">
        <v>1.2990010000000001</v>
      </c>
      <c r="AE4777">
        <v>0.71700030000000003</v>
      </c>
      <c r="AF4777">
        <v>426.2724</v>
      </c>
      <c r="AG4777">
        <f>IFERROR(AH4777*0.1, "N/A")</f>
        <v>6.6411170000000004</v>
      </c>
      <c r="AH4777">
        <v>66.411169999999998</v>
      </c>
      <c r="AI4777">
        <v>171.23410000000001</v>
      </c>
      <c r="AJ4777">
        <v>6.9221659999999998</v>
      </c>
      <c r="AK4777">
        <v>80.099829999999997</v>
      </c>
    </row>
    <row r="4778" spans="1:37" x14ac:dyDescent="0.3">
      <c r="A4778">
        <v>4777</v>
      </c>
      <c r="B4778">
        <v>13.4</v>
      </c>
      <c r="C4778">
        <v>2.0816699999999999</v>
      </c>
      <c r="D4778">
        <v>13.535299999999999</v>
      </c>
      <c r="E4778" t="s">
        <v>7590</v>
      </c>
      <c r="F4778" t="s">
        <v>7591</v>
      </c>
      <c r="G4778" t="s">
        <v>39</v>
      </c>
      <c r="H4778">
        <v>2000</v>
      </c>
      <c r="I4778">
        <v>29.2</v>
      </c>
      <c r="J4778">
        <v>14.7</v>
      </c>
      <c r="K4778">
        <v>55</v>
      </c>
      <c r="L4778">
        <v>29.6</v>
      </c>
      <c r="M4778">
        <v>41.5</v>
      </c>
      <c r="N4778">
        <v>15.1</v>
      </c>
      <c r="O4778">
        <v>26.4</v>
      </c>
      <c r="P4778">
        <v>28.2</v>
      </c>
      <c r="Q4778">
        <v>25.6</v>
      </c>
      <c r="R4778">
        <v>33</v>
      </c>
      <c r="S4778">
        <v>25.4</v>
      </c>
      <c r="T4778">
        <v>494</v>
      </c>
      <c r="U4778">
        <v>166</v>
      </c>
      <c r="V4778">
        <v>0</v>
      </c>
      <c r="W4778">
        <v>133</v>
      </c>
      <c r="X4778">
        <v>384</v>
      </c>
      <c r="Y4778">
        <v>0</v>
      </c>
      <c r="Z4778">
        <v>99</v>
      </c>
      <c r="AA4778">
        <v>0</v>
      </c>
      <c r="AB4778">
        <v>1.346193</v>
      </c>
      <c r="AC4778">
        <v>9.0241089999999996E-2</v>
      </c>
      <c r="AD4778">
        <v>0.92770209999999997</v>
      </c>
      <c r="AE4778">
        <v>0.92314070000000004</v>
      </c>
      <c r="AF4778">
        <v>219.24369999999999</v>
      </c>
      <c r="AG4778">
        <f>IFERROR(AH4778*0.1, "N/A")</f>
        <v>5.7808799999999998</v>
      </c>
      <c r="AH4778">
        <v>57.808799999999998</v>
      </c>
      <c r="AI4778">
        <v>235.2122</v>
      </c>
      <c r="AJ4778">
        <v>18.681899999999999</v>
      </c>
      <c r="AK4778">
        <v>67.240269999999995</v>
      </c>
    </row>
    <row r="4779" spans="1:37" x14ac:dyDescent="0.3">
      <c r="A4779">
        <v>4778</v>
      </c>
      <c r="B4779">
        <v>84.3</v>
      </c>
      <c r="C4779">
        <v>2.00583</v>
      </c>
      <c r="D4779">
        <v>13.535399999999999</v>
      </c>
      <c r="E4779" t="s">
        <v>7592</v>
      </c>
      <c r="F4779" t="s">
        <v>7593</v>
      </c>
      <c r="G4779" t="s">
        <v>39</v>
      </c>
      <c r="H4779">
        <v>0</v>
      </c>
      <c r="I4779">
        <v>29.4</v>
      </c>
      <c r="J4779">
        <v>14.7</v>
      </c>
      <c r="K4779">
        <v>56</v>
      </c>
      <c r="L4779">
        <v>29.67</v>
      </c>
      <c r="M4779">
        <v>41.7</v>
      </c>
      <c r="N4779">
        <v>15.5</v>
      </c>
      <c r="O4779">
        <v>26.2</v>
      </c>
      <c r="P4779">
        <v>28.5</v>
      </c>
      <c r="Q4779">
        <v>25.9</v>
      </c>
      <c r="R4779">
        <v>33.200000000000003</v>
      </c>
      <c r="S4779">
        <v>25.6</v>
      </c>
      <c r="T4779">
        <v>475</v>
      </c>
      <c r="U4779">
        <v>163</v>
      </c>
      <c r="V4779">
        <v>0</v>
      </c>
      <c r="W4779">
        <v>136</v>
      </c>
      <c r="X4779">
        <v>370</v>
      </c>
      <c r="Y4779">
        <v>0</v>
      </c>
      <c r="Z4779">
        <v>94</v>
      </c>
      <c r="AA4779">
        <v>0</v>
      </c>
      <c r="AB4779">
        <v>24.856249999999999</v>
      </c>
      <c r="AC4779">
        <v>1.338551E-2</v>
      </c>
      <c r="AD4779">
        <v>4.8718560000000002</v>
      </c>
      <c r="AE4779">
        <v>0.41198639999999997</v>
      </c>
      <c r="AF4779">
        <v>201.95779999999999</v>
      </c>
      <c r="AG4779">
        <f>IFERROR(AH4779*0.1, "N/A")</f>
        <v>6.6280410000000005</v>
      </c>
      <c r="AH4779">
        <v>66.280410000000003</v>
      </c>
      <c r="AI4779">
        <v>53.072049999999997</v>
      </c>
      <c r="AJ4779">
        <v>21.69088</v>
      </c>
      <c r="AK4779">
        <v>59.869929999999997</v>
      </c>
    </row>
    <row r="4780" spans="1:37" x14ac:dyDescent="0.3">
      <c r="A4780">
        <v>4779</v>
      </c>
      <c r="B4780">
        <v>10</v>
      </c>
      <c r="C4780">
        <v>2.13056</v>
      </c>
      <c r="D4780">
        <v>13.5375</v>
      </c>
      <c r="E4780" t="s">
        <v>7594</v>
      </c>
      <c r="F4780" t="s">
        <v>7595</v>
      </c>
      <c r="G4780" t="s">
        <v>39</v>
      </c>
      <c r="H4780">
        <v>0</v>
      </c>
      <c r="I4780">
        <v>29.1</v>
      </c>
      <c r="J4780">
        <v>14.7</v>
      </c>
      <c r="K4780">
        <v>55</v>
      </c>
      <c r="L4780">
        <v>29.77</v>
      </c>
      <c r="M4780">
        <v>41.4</v>
      </c>
      <c r="N4780">
        <v>15.1</v>
      </c>
      <c r="O4780">
        <v>26.3</v>
      </c>
      <c r="P4780">
        <v>28.2</v>
      </c>
      <c r="Q4780">
        <v>25.6</v>
      </c>
      <c r="R4780">
        <v>32.9</v>
      </c>
      <c r="S4780">
        <v>25.3</v>
      </c>
      <c r="T4780">
        <v>500</v>
      </c>
      <c r="U4780">
        <v>166</v>
      </c>
      <c r="V4780">
        <v>0</v>
      </c>
      <c r="W4780">
        <v>134</v>
      </c>
      <c r="X4780">
        <v>388</v>
      </c>
      <c r="Y4780">
        <v>0</v>
      </c>
      <c r="Z4780">
        <v>101</v>
      </c>
      <c r="AA4780">
        <v>0</v>
      </c>
      <c r="AB4780">
        <v>2.6033620000000002</v>
      </c>
      <c r="AC4780">
        <v>1.7552149999999999E-2</v>
      </c>
      <c r="AD4780">
        <v>0.90753249999999996</v>
      </c>
      <c r="AE4780">
        <v>0.93646339999999995</v>
      </c>
      <c r="AF4780">
        <v>224.52440000000001</v>
      </c>
      <c r="AG4780">
        <f>IFERROR(AH4780*0.1, "N/A")</f>
        <v>6.6297479999999993</v>
      </c>
      <c r="AH4780">
        <v>66.297479999999993</v>
      </c>
      <c r="AI4780">
        <v>194.2038</v>
      </c>
      <c r="AJ4780">
        <v>22.38824</v>
      </c>
      <c r="AK4780">
        <v>58.921010000000003</v>
      </c>
    </row>
    <row r="4781" spans="1:37" x14ac:dyDescent="0.3">
      <c r="A4781">
        <v>4780</v>
      </c>
      <c r="B4781">
        <v>0</v>
      </c>
      <c r="C4781">
        <v>2.9341699999999999</v>
      </c>
      <c r="D4781">
        <v>13.5406</v>
      </c>
      <c r="E4781" t="s">
        <v>7596</v>
      </c>
      <c r="F4781" t="s">
        <v>7597</v>
      </c>
      <c r="G4781" t="s">
        <v>39</v>
      </c>
      <c r="H4781">
        <v>0</v>
      </c>
      <c r="I4781">
        <v>29.2</v>
      </c>
      <c r="J4781">
        <v>14</v>
      </c>
      <c r="K4781">
        <v>57</v>
      </c>
      <c r="L4781">
        <v>27.87</v>
      </c>
      <c r="M4781">
        <v>41</v>
      </c>
      <c r="N4781">
        <v>16.5</v>
      </c>
      <c r="O4781">
        <v>24.5</v>
      </c>
      <c r="P4781">
        <v>28.4</v>
      </c>
      <c r="Q4781">
        <v>25.9</v>
      </c>
      <c r="R4781">
        <v>32.9</v>
      </c>
      <c r="S4781">
        <v>25.6</v>
      </c>
      <c r="T4781">
        <v>462</v>
      </c>
      <c r="U4781">
        <v>159</v>
      </c>
      <c r="V4781">
        <v>0</v>
      </c>
      <c r="W4781">
        <v>135</v>
      </c>
      <c r="X4781">
        <v>358</v>
      </c>
      <c r="Y4781">
        <v>0</v>
      </c>
      <c r="Z4781">
        <v>95</v>
      </c>
      <c r="AA4781">
        <v>0</v>
      </c>
      <c r="AB4781">
        <v>1.4589799999999999</v>
      </c>
      <c r="AC4781">
        <v>8.5685050000000006E-3</v>
      </c>
      <c r="AD4781">
        <v>0.78016560000000001</v>
      </c>
      <c r="AE4781">
        <v>0.72104389999999996</v>
      </c>
      <c r="AF4781">
        <v>200.81360000000001</v>
      </c>
      <c r="AG4781">
        <f>IFERROR(AH4781*0.1, "N/A")</f>
        <v>5.7</v>
      </c>
      <c r="AH4781">
        <v>57</v>
      </c>
      <c r="AI4781">
        <v>217.55240000000001</v>
      </c>
      <c r="AJ4781">
        <v>14</v>
      </c>
      <c r="AK4781">
        <v>75.172880000000006</v>
      </c>
    </row>
    <row r="4782" spans="1:37" x14ac:dyDescent="0.3">
      <c r="A4782">
        <v>4781</v>
      </c>
      <c r="B4782">
        <v>65.900000000000006</v>
      </c>
      <c r="C4782">
        <v>2.2505500000000001</v>
      </c>
      <c r="D4782">
        <v>13.540800000000001</v>
      </c>
      <c r="E4782" t="s">
        <v>7598</v>
      </c>
      <c r="F4782" t="s">
        <v>7599</v>
      </c>
      <c r="G4782" t="s">
        <v>39</v>
      </c>
      <c r="H4782">
        <v>0</v>
      </c>
      <c r="I4782">
        <v>29.2</v>
      </c>
      <c r="J4782">
        <v>14.4</v>
      </c>
      <c r="K4782">
        <v>55.7348</v>
      </c>
      <c r="L4782">
        <v>29.242429999999999</v>
      </c>
      <c r="M4782">
        <v>41.326520000000002</v>
      </c>
      <c r="N4782">
        <v>15.6</v>
      </c>
      <c r="O4782">
        <v>25.726520000000001</v>
      </c>
      <c r="P4782">
        <v>28.4</v>
      </c>
      <c r="Q4782">
        <v>25.626519999999999</v>
      </c>
      <c r="R4782">
        <v>32.926519999999996</v>
      </c>
      <c r="S4782">
        <v>25.4</v>
      </c>
      <c r="T4782">
        <v>479</v>
      </c>
      <c r="U4782">
        <v>157</v>
      </c>
      <c r="V4782">
        <v>0</v>
      </c>
      <c r="W4782">
        <v>136</v>
      </c>
      <c r="X4782">
        <v>373</v>
      </c>
      <c r="Y4782">
        <v>0</v>
      </c>
      <c r="Z4782">
        <v>97</v>
      </c>
      <c r="AA4782">
        <v>0</v>
      </c>
      <c r="AB4782">
        <v>2.256926</v>
      </c>
      <c r="AC4782">
        <v>1.9289780000000001</v>
      </c>
      <c r="AD4782">
        <v>1.436809</v>
      </c>
      <c r="AE4782">
        <v>0.28833560000000003</v>
      </c>
      <c r="AF4782">
        <v>209.61150000000001</v>
      </c>
      <c r="AG4782">
        <f>IFERROR(AH4782*0.1, "N/A")</f>
        <v>5.3423990000000003</v>
      </c>
      <c r="AH4782">
        <v>53.423990000000003</v>
      </c>
      <c r="AI4782">
        <v>181.88509999999999</v>
      </c>
      <c r="AJ4782">
        <v>9.1334459999999993</v>
      </c>
      <c r="AK4782">
        <v>81.265199999999993</v>
      </c>
    </row>
    <row r="4783" spans="1:37" x14ac:dyDescent="0.3">
      <c r="A4783">
        <v>4782</v>
      </c>
      <c r="B4783">
        <v>0</v>
      </c>
      <c r="C4783">
        <v>9.1950400000000005</v>
      </c>
      <c r="D4783">
        <v>13.542199999999999</v>
      </c>
      <c r="E4783" t="s">
        <v>7600</v>
      </c>
      <c r="F4783" t="s">
        <v>7601</v>
      </c>
      <c r="G4783" t="s">
        <v>39</v>
      </c>
      <c r="H4783">
        <v>0</v>
      </c>
      <c r="I4783">
        <v>28.04034</v>
      </c>
      <c r="J4783">
        <v>14.840339999999999</v>
      </c>
      <c r="K4783">
        <v>56</v>
      </c>
      <c r="L4783">
        <v>33.232610000000001</v>
      </c>
      <c r="M4783">
        <v>40.54034</v>
      </c>
      <c r="N4783">
        <v>14.2</v>
      </c>
      <c r="O4783">
        <v>26.340340000000001</v>
      </c>
      <c r="P4783">
        <v>28</v>
      </c>
      <c r="Q4783">
        <v>23.8</v>
      </c>
      <c r="R4783">
        <v>32.299999999999997</v>
      </c>
      <c r="S4783">
        <v>23.4</v>
      </c>
      <c r="T4783">
        <v>362.59660000000002</v>
      </c>
      <c r="U4783">
        <v>138</v>
      </c>
      <c r="V4783">
        <v>0</v>
      </c>
      <c r="W4783">
        <v>149</v>
      </c>
      <c r="X4783">
        <v>306</v>
      </c>
      <c r="Y4783">
        <v>0</v>
      </c>
      <c r="Z4783">
        <v>50</v>
      </c>
      <c r="AA4783">
        <v>0</v>
      </c>
      <c r="AB4783">
        <v>1.0423469999999999</v>
      </c>
      <c r="AC4783">
        <v>0.27675899999999998</v>
      </c>
      <c r="AD4783">
        <v>2.0136599999999998</v>
      </c>
      <c r="AE4783">
        <v>0.71567329999999996</v>
      </c>
      <c r="AF4783">
        <v>398.1311</v>
      </c>
      <c r="AG4783">
        <f>IFERROR(AH4783*0.1, "N/A")</f>
        <v>6.8011759999999999</v>
      </c>
      <c r="AH4783">
        <v>68.011759999999995</v>
      </c>
      <c r="AI4783">
        <v>120.0711</v>
      </c>
      <c r="AJ4783">
        <v>9</v>
      </c>
      <c r="AK4783">
        <v>80.023529999999994</v>
      </c>
    </row>
    <row r="4784" spans="1:37" x14ac:dyDescent="0.3">
      <c r="A4784">
        <v>4783</v>
      </c>
      <c r="B4784">
        <v>0</v>
      </c>
      <c r="C4784">
        <v>9.1950400000000005</v>
      </c>
      <c r="D4784">
        <v>13.542199999999999</v>
      </c>
      <c r="E4784" t="s">
        <v>7600</v>
      </c>
      <c r="F4784" t="s">
        <v>7602</v>
      </c>
      <c r="G4784" t="s">
        <v>37</v>
      </c>
      <c r="H4784">
        <v>0</v>
      </c>
      <c r="I4784">
        <v>28.04034</v>
      </c>
      <c r="J4784">
        <v>14.840339999999999</v>
      </c>
      <c r="K4784">
        <v>56</v>
      </c>
      <c r="L4784">
        <v>33.232610000000001</v>
      </c>
      <c r="M4784">
        <v>40.54034</v>
      </c>
      <c r="N4784">
        <v>14.2</v>
      </c>
      <c r="O4784">
        <v>26.340340000000001</v>
      </c>
      <c r="P4784">
        <v>28</v>
      </c>
      <c r="Q4784">
        <v>23.8</v>
      </c>
      <c r="R4784">
        <v>32.299999999999997</v>
      </c>
      <c r="S4784">
        <v>23.4</v>
      </c>
      <c r="T4784">
        <v>362.59660000000002</v>
      </c>
      <c r="U4784">
        <v>138</v>
      </c>
      <c r="V4784">
        <v>0</v>
      </c>
      <c r="W4784">
        <v>149</v>
      </c>
      <c r="X4784">
        <v>306</v>
      </c>
      <c r="Y4784">
        <v>0</v>
      </c>
      <c r="Z4784">
        <v>50</v>
      </c>
      <c r="AA4784">
        <v>0</v>
      </c>
      <c r="AB4784">
        <v>1.0423469999999999</v>
      </c>
      <c r="AC4784">
        <v>0.27675899999999998</v>
      </c>
      <c r="AD4784">
        <v>2.0136599999999998</v>
      </c>
      <c r="AE4784">
        <v>0.71567329999999996</v>
      </c>
      <c r="AF4784">
        <v>398.1311</v>
      </c>
      <c r="AG4784">
        <f>IFERROR(AH4784*0.1, "N/A")</f>
        <v>6.8011759999999999</v>
      </c>
      <c r="AH4784">
        <v>68.011759999999995</v>
      </c>
      <c r="AI4784">
        <v>120.0711</v>
      </c>
      <c r="AJ4784">
        <v>9</v>
      </c>
      <c r="AK4784">
        <v>80.023529999999994</v>
      </c>
    </row>
    <row r="4785" spans="1:37" x14ac:dyDescent="0.3">
      <c r="A4785">
        <v>4784</v>
      </c>
      <c r="B4785">
        <v>4.4000000000000004</v>
      </c>
      <c r="C4785">
        <v>2.0897199999999998</v>
      </c>
      <c r="D4785">
        <v>13.5425</v>
      </c>
      <c r="E4785" t="s">
        <v>7603</v>
      </c>
      <c r="F4785" t="s">
        <v>7604</v>
      </c>
      <c r="G4785" t="s">
        <v>39</v>
      </c>
      <c r="H4785">
        <v>2000</v>
      </c>
      <c r="I4785">
        <v>29.18291</v>
      </c>
      <c r="J4785">
        <v>14.7</v>
      </c>
      <c r="K4785">
        <v>55</v>
      </c>
      <c r="L4785">
        <v>29.65513</v>
      </c>
      <c r="M4785">
        <v>41.5</v>
      </c>
      <c r="N4785">
        <v>15.1</v>
      </c>
      <c r="O4785">
        <v>26.4</v>
      </c>
      <c r="P4785">
        <v>28.282910000000001</v>
      </c>
      <c r="Q4785">
        <v>25.68291</v>
      </c>
      <c r="R4785">
        <v>32.982909999999997</v>
      </c>
      <c r="S4785">
        <v>25.382909999999999</v>
      </c>
      <c r="T4785">
        <v>494.5127</v>
      </c>
      <c r="U4785">
        <v>166.17089999999999</v>
      </c>
      <c r="V4785">
        <v>0</v>
      </c>
      <c r="W4785">
        <v>133.17089999999999</v>
      </c>
      <c r="X4785">
        <v>384.34179999999998</v>
      </c>
      <c r="Y4785">
        <v>0</v>
      </c>
      <c r="Z4785">
        <v>99</v>
      </c>
      <c r="AA4785">
        <v>0</v>
      </c>
      <c r="AB4785">
        <v>8.8285970000000002</v>
      </c>
      <c r="AC4785">
        <v>2.289035E-2</v>
      </c>
      <c r="AD4785">
        <v>1.3286020000000001</v>
      </c>
      <c r="AE4785">
        <v>0.93343880000000001</v>
      </c>
      <c r="AF4785">
        <v>220.11840000000001</v>
      </c>
      <c r="AG4785">
        <f>IFERROR(AH4785*0.1, "N/A")</f>
        <v>5.9944160000000002</v>
      </c>
      <c r="AH4785">
        <v>59.944159999999997</v>
      </c>
      <c r="AI4785">
        <v>82.678190000000001</v>
      </c>
      <c r="AJ4785">
        <v>26.736039999999999</v>
      </c>
      <c r="AK4785">
        <v>56.89002</v>
      </c>
    </row>
    <row r="4786" spans="1:37" x14ac:dyDescent="0.3">
      <c r="A4786">
        <v>4785</v>
      </c>
      <c r="B4786">
        <v>1.4</v>
      </c>
      <c r="C4786">
        <v>2.2400000000000002</v>
      </c>
      <c r="D4786">
        <v>13.5444</v>
      </c>
      <c r="E4786" t="s">
        <v>7605</v>
      </c>
      <c r="F4786" t="s">
        <v>7606</v>
      </c>
      <c r="G4786" t="s">
        <v>39</v>
      </c>
      <c r="H4786">
        <v>1986</v>
      </c>
      <c r="I4786">
        <v>29.2</v>
      </c>
      <c r="J4786">
        <v>14.4</v>
      </c>
      <c r="K4786">
        <v>55</v>
      </c>
      <c r="L4786">
        <v>29.57</v>
      </c>
      <c r="M4786">
        <v>41.4</v>
      </c>
      <c r="N4786">
        <v>15.6</v>
      </c>
      <c r="O4786">
        <v>25.8</v>
      </c>
      <c r="P4786">
        <v>28.4</v>
      </c>
      <c r="Q4786">
        <v>25.6</v>
      </c>
      <c r="R4786">
        <v>33</v>
      </c>
      <c r="S4786">
        <v>25.4</v>
      </c>
      <c r="T4786">
        <v>480</v>
      </c>
      <c r="U4786">
        <v>158</v>
      </c>
      <c r="V4786">
        <v>0</v>
      </c>
      <c r="W4786">
        <v>133</v>
      </c>
      <c r="X4786">
        <v>374</v>
      </c>
      <c r="Y4786">
        <v>0</v>
      </c>
      <c r="Z4786">
        <v>97</v>
      </c>
      <c r="AA4786">
        <v>0</v>
      </c>
      <c r="AB4786">
        <v>3.3842590000000001</v>
      </c>
      <c r="AC4786">
        <v>9.5668349999999992E-3</v>
      </c>
      <c r="AD4786">
        <v>1.3679790000000001</v>
      </c>
      <c r="AE4786">
        <v>0.58676620000000002</v>
      </c>
      <c r="AF4786">
        <v>206.86969999999999</v>
      </c>
      <c r="AG4786">
        <f>IFERROR(AH4786*0.1, "N/A")</f>
        <v>5.4896790000000006</v>
      </c>
      <c r="AH4786">
        <v>54.896790000000003</v>
      </c>
      <c r="AI4786">
        <v>247.8862</v>
      </c>
      <c r="AJ4786">
        <v>9.7123519999999992</v>
      </c>
      <c r="AK4786">
        <v>79.597290000000001</v>
      </c>
    </row>
    <row r="4787" spans="1:37" x14ac:dyDescent="0.3">
      <c r="A4787">
        <v>4786</v>
      </c>
      <c r="B4787">
        <v>3.2</v>
      </c>
      <c r="C4787">
        <v>2.1047199999999999</v>
      </c>
      <c r="D4787">
        <v>13.549200000000001</v>
      </c>
      <c r="E4787" t="s">
        <v>7607</v>
      </c>
      <c r="F4787" t="s">
        <v>7608</v>
      </c>
      <c r="G4787" t="s">
        <v>39</v>
      </c>
      <c r="H4787">
        <v>2000</v>
      </c>
      <c r="I4787">
        <v>29.2</v>
      </c>
      <c r="J4787">
        <v>14.7</v>
      </c>
      <c r="K4787">
        <v>55</v>
      </c>
      <c r="L4787">
        <v>29.32</v>
      </c>
      <c r="M4787">
        <v>41.5</v>
      </c>
      <c r="N4787">
        <v>15.2</v>
      </c>
      <c r="O4787">
        <v>26.3</v>
      </c>
      <c r="P4787">
        <v>28.3</v>
      </c>
      <c r="Q4787">
        <v>25.7</v>
      </c>
      <c r="R4787">
        <v>33</v>
      </c>
      <c r="S4787">
        <v>25.5</v>
      </c>
      <c r="T4787">
        <v>495</v>
      </c>
      <c r="U4787">
        <v>166</v>
      </c>
      <c r="V4787">
        <v>0</v>
      </c>
      <c r="W4787">
        <v>134</v>
      </c>
      <c r="X4787">
        <v>385</v>
      </c>
      <c r="Y4787">
        <v>0</v>
      </c>
      <c r="Z4787">
        <v>99</v>
      </c>
      <c r="AA4787">
        <v>0</v>
      </c>
      <c r="AB4787">
        <v>5.0570240000000002</v>
      </c>
      <c r="AC4787">
        <v>0.34667520000000002</v>
      </c>
      <c r="AD4787">
        <v>1.3580730000000001</v>
      </c>
      <c r="AE4787">
        <v>0.90818259999999995</v>
      </c>
      <c r="AF4787">
        <v>217.08629999999999</v>
      </c>
      <c r="AG4787">
        <f>IFERROR(AH4787*0.1, "N/A")</f>
        <v>6.4439930000000007</v>
      </c>
      <c r="AH4787">
        <v>64.439930000000004</v>
      </c>
      <c r="AI4787">
        <v>137.78960000000001</v>
      </c>
      <c r="AJ4787">
        <v>27.11506</v>
      </c>
      <c r="AK4787">
        <v>55</v>
      </c>
    </row>
    <row r="4788" spans="1:37" x14ac:dyDescent="0.3">
      <c r="A4788">
        <v>4787</v>
      </c>
      <c r="B4788">
        <v>55.9</v>
      </c>
      <c r="C4788">
        <v>2.02142</v>
      </c>
      <c r="D4788">
        <v>13.5511</v>
      </c>
      <c r="E4788" t="s">
        <v>7609</v>
      </c>
      <c r="F4788" t="s">
        <v>7610</v>
      </c>
      <c r="G4788" t="s">
        <v>39</v>
      </c>
      <c r="H4788">
        <v>0</v>
      </c>
      <c r="I4788">
        <v>29.3</v>
      </c>
      <c r="J4788">
        <v>14.7</v>
      </c>
      <c r="K4788">
        <v>56</v>
      </c>
      <c r="L4788">
        <v>29.32</v>
      </c>
      <c r="M4788">
        <v>41.6</v>
      </c>
      <c r="N4788">
        <v>15.4</v>
      </c>
      <c r="O4788">
        <v>26.2</v>
      </c>
      <c r="P4788">
        <v>28.4</v>
      </c>
      <c r="Q4788">
        <v>25.8</v>
      </c>
      <c r="R4788">
        <v>33.1</v>
      </c>
      <c r="S4788">
        <v>25.6</v>
      </c>
      <c r="T4788">
        <v>474</v>
      </c>
      <c r="U4788">
        <v>163</v>
      </c>
      <c r="V4788">
        <v>0</v>
      </c>
      <c r="W4788">
        <v>136</v>
      </c>
      <c r="X4788">
        <v>370</v>
      </c>
      <c r="Y4788">
        <v>0</v>
      </c>
      <c r="Z4788">
        <v>93</v>
      </c>
      <c r="AA4788">
        <v>0</v>
      </c>
      <c r="AB4788">
        <v>5.2296820000000004</v>
      </c>
      <c r="AC4788">
        <v>0.3173185</v>
      </c>
      <c r="AD4788">
        <v>1.569388</v>
      </c>
      <c r="AE4788">
        <v>0.75865780000000005</v>
      </c>
      <c r="AF4788">
        <v>187.21250000000001</v>
      </c>
      <c r="AG4788">
        <f>IFERROR(AH4788*0.1, "N/A")</f>
        <v>6.8748740000000002</v>
      </c>
      <c r="AH4788">
        <v>68.748739999999998</v>
      </c>
      <c r="AI4788">
        <v>216.8279</v>
      </c>
      <c r="AJ4788">
        <v>15.367620000000001</v>
      </c>
      <c r="AK4788">
        <v>66.622259999999997</v>
      </c>
    </row>
    <row r="4789" spans="1:37" x14ac:dyDescent="0.3">
      <c r="A4789">
        <v>4788</v>
      </c>
      <c r="B4789">
        <v>61.3</v>
      </c>
      <c r="C4789">
        <v>1.9703200000000001</v>
      </c>
      <c r="D4789">
        <v>13.552199999999999</v>
      </c>
      <c r="E4789" t="s">
        <v>7611</v>
      </c>
      <c r="F4789" t="s">
        <v>7612</v>
      </c>
      <c r="G4789" t="s">
        <v>39</v>
      </c>
      <c r="H4789">
        <v>0</v>
      </c>
      <c r="I4789">
        <v>29.1</v>
      </c>
      <c r="J4789">
        <v>14.6</v>
      </c>
      <c r="K4789">
        <v>55</v>
      </c>
      <c r="L4789">
        <v>29.26</v>
      </c>
      <c r="M4789">
        <v>41.3</v>
      </c>
      <c r="N4789">
        <v>15.2</v>
      </c>
      <c r="O4789">
        <v>26.1</v>
      </c>
      <c r="P4789">
        <v>28.3</v>
      </c>
      <c r="Q4789">
        <v>25.6</v>
      </c>
      <c r="R4789">
        <v>32.799999999999997</v>
      </c>
      <c r="S4789">
        <v>25.3</v>
      </c>
      <c r="T4789">
        <v>469</v>
      </c>
      <c r="U4789">
        <v>162</v>
      </c>
      <c r="V4789">
        <v>0</v>
      </c>
      <c r="W4789">
        <v>134</v>
      </c>
      <c r="X4789">
        <v>366</v>
      </c>
      <c r="Y4789">
        <v>0</v>
      </c>
      <c r="Z4789">
        <v>92</v>
      </c>
      <c r="AA4789">
        <v>0</v>
      </c>
      <c r="AB4789">
        <v>16.137979999999999</v>
      </c>
      <c r="AC4789">
        <v>3.1650669999999999E-2</v>
      </c>
      <c r="AD4789">
        <v>1.564848</v>
      </c>
      <c r="AE4789">
        <v>0.61700379999999999</v>
      </c>
      <c r="AF4789">
        <v>225.07390000000001</v>
      </c>
      <c r="AG4789">
        <f>IFERROR(AH4789*0.1, "N/A")</f>
        <v>5.2067230000000002</v>
      </c>
      <c r="AH4789">
        <v>52.067230000000002</v>
      </c>
      <c r="AI4789">
        <v>175.68889999999999</v>
      </c>
      <c r="AJ4789">
        <v>13.06723</v>
      </c>
      <c r="AK4789">
        <v>75.932770000000005</v>
      </c>
    </row>
    <row r="4790" spans="1:37" x14ac:dyDescent="0.3">
      <c r="A4790">
        <v>4789</v>
      </c>
      <c r="B4790">
        <v>67.599999999999994</v>
      </c>
      <c r="C4790">
        <v>1.98458</v>
      </c>
      <c r="D4790">
        <v>13.559699999999999</v>
      </c>
      <c r="E4790" t="s">
        <v>7613</v>
      </c>
      <c r="F4790" t="s">
        <v>7614</v>
      </c>
      <c r="G4790" t="s">
        <v>39</v>
      </c>
      <c r="H4790">
        <v>0</v>
      </c>
      <c r="I4790">
        <v>29.4</v>
      </c>
      <c r="J4790">
        <v>14.7</v>
      </c>
      <c r="K4790">
        <v>56</v>
      </c>
      <c r="L4790">
        <v>29.58</v>
      </c>
      <c r="M4790">
        <v>41.7</v>
      </c>
      <c r="N4790">
        <v>15.5</v>
      </c>
      <c r="O4790">
        <v>26.2</v>
      </c>
      <c r="P4790">
        <v>28.5</v>
      </c>
      <c r="Q4790">
        <v>25.9</v>
      </c>
      <c r="R4790">
        <v>33.200000000000003</v>
      </c>
      <c r="S4790">
        <v>25.6</v>
      </c>
      <c r="T4790">
        <v>466</v>
      </c>
      <c r="U4790">
        <v>161</v>
      </c>
      <c r="V4790">
        <v>0</v>
      </c>
      <c r="W4790">
        <v>137</v>
      </c>
      <c r="X4790">
        <v>364</v>
      </c>
      <c r="Y4790">
        <v>0</v>
      </c>
      <c r="Z4790">
        <v>92</v>
      </c>
      <c r="AA4790">
        <v>0</v>
      </c>
      <c r="AB4790">
        <v>16.846620000000001</v>
      </c>
      <c r="AC4790">
        <v>9.1035459999999999E-2</v>
      </c>
      <c r="AD4790">
        <v>2.159259</v>
      </c>
      <c r="AE4790">
        <v>0.53773990000000005</v>
      </c>
      <c r="AF4790">
        <v>199.84970000000001</v>
      </c>
      <c r="AG4790">
        <f>IFERROR(AH4790*0.1, "N/A")</f>
        <v>6.5045609999999998</v>
      </c>
      <c r="AH4790">
        <v>65.045609999999996</v>
      </c>
      <c r="AI4790">
        <v>88.200460000000007</v>
      </c>
      <c r="AJ4790">
        <v>17.67568</v>
      </c>
      <c r="AK4790">
        <v>67.542230000000004</v>
      </c>
    </row>
    <row r="4791" spans="1:37" x14ac:dyDescent="0.3">
      <c r="A4791">
        <v>4790</v>
      </c>
      <c r="B4791">
        <v>4.2</v>
      </c>
      <c r="C4791">
        <v>2.1211099999999998</v>
      </c>
      <c r="D4791">
        <v>13.56</v>
      </c>
      <c r="E4791" t="s">
        <v>7615</v>
      </c>
      <c r="F4791" t="s">
        <v>7616</v>
      </c>
      <c r="G4791" t="s">
        <v>39</v>
      </c>
      <c r="H4791">
        <v>2000</v>
      </c>
      <c r="I4791">
        <v>29.1</v>
      </c>
      <c r="J4791">
        <v>14.7</v>
      </c>
      <c r="K4791">
        <v>56</v>
      </c>
      <c r="L4791">
        <v>29.41</v>
      </c>
      <c r="M4791">
        <v>41.4</v>
      </c>
      <c r="N4791">
        <v>15.2</v>
      </c>
      <c r="O4791">
        <v>26.2</v>
      </c>
      <c r="P4791">
        <v>28.3</v>
      </c>
      <c r="Q4791">
        <v>25.6</v>
      </c>
      <c r="R4791">
        <v>32.9</v>
      </c>
      <c r="S4791">
        <v>25.4</v>
      </c>
      <c r="T4791">
        <v>489</v>
      </c>
      <c r="U4791">
        <v>164</v>
      </c>
      <c r="V4791">
        <v>0</v>
      </c>
      <c r="W4791">
        <v>136</v>
      </c>
      <c r="X4791">
        <v>381</v>
      </c>
      <c r="Y4791">
        <v>0</v>
      </c>
      <c r="Z4791">
        <v>97</v>
      </c>
      <c r="AA4791">
        <v>0</v>
      </c>
      <c r="AB4791">
        <v>0.84434909999999996</v>
      </c>
      <c r="AC4791">
        <v>3.506538E-2</v>
      </c>
      <c r="AD4791">
        <v>0.61743309999999996</v>
      </c>
      <c r="AE4791">
        <v>0.86262039999999995</v>
      </c>
      <c r="AF4791">
        <v>228.80609999999999</v>
      </c>
      <c r="AG4791">
        <f>IFERROR(AH4791*0.1, "N/A")</f>
        <v>6.4332210000000005</v>
      </c>
      <c r="AH4791">
        <v>64.332210000000003</v>
      </c>
      <c r="AI4791">
        <v>109.27370000000001</v>
      </c>
      <c r="AJ4791">
        <v>25.66779</v>
      </c>
      <c r="AK4791">
        <v>55.332210000000003</v>
      </c>
    </row>
    <row r="4792" spans="1:37" x14ac:dyDescent="0.3">
      <c r="A4792">
        <v>4791</v>
      </c>
      <c r="B4792">
        <v>8</v>
      </c>
      <c r="C4792">
        <v>9.2305600000000005</v>
      </c>
      <c r="D4792">
        <v>13.5611</v>
      </c>
      <c r="E4792" t="s">
        <v>7617</v>
      </c>
      <c r="F4792" t="s">
        <v>7618</v>
      </c>
      <c r="G4792" t="s">
        <v>39</v>
      </c>
      <c r="H4792">
        <v>0</v>
      </c>
      <c r="I4792">
        <v>28.1</v>
      </c>
      <c r="J4792">
        <v>14.8</v>
      </c>
      <c r="K4792">
        <v>56</v>
      </c>
      <c r="L4792">
        <v>33.08</v>
      </c>
      <c r="M4792">
        <v>40.5</v>
      </c>
      <c r="N4792">
        <v>14.2</v>
      </c>
      <c r="O4792">
        <v>26.3</v>
      </c>
      <c r="P4792">
        <v>28</v>
      </c>
      <c r="Q4792">
        <v>23.8</v>
      </c>
      <c r="R4792">
        <v>32.299999999999997</v>
      </c>
      <c r="S4792">
        <v>23.4</v>
      </c>
      <c r="T4792">
        <v>361</v>
      </c>
      <c r="U4792">
        <v>137</v>
      </c>
      <c r="V4792">
        <v>0</v>
      </c>
      <c r="W4792">
        <v>148</v>
      </c>
      <c r="X4792">
        <v>304</v>
      </c>
      <c r="Y4792">
        <v>0</v>
      </c>
      <c r="Z4792">
        <v>50</v>
      </c>
      <c r="AA4792">
        <v>0</v>
      </c>
      <c r="AB4792">
        <v>2.497471</v>
      </c>
      <c r="AC4792">
        <v>0.1628193</v>
      </c>
      <c r="AD4792">
        <v>2.5614650000000001</v>
      </c>
      <c r="AE4792">
        <v>0.71873370000000003</v>
      </c>
      <c r="AF4792">
        <v>401.83080000000001</v>
      </c>
      <c r="AG4792">
        <f>IFERROR(AH4792*0.1, "N/A")</f>
        <v>6.7900170000000006</v>
      </c>
      <c r="AH4792">
        <v>67.900170000000003</v>
      </c>
      <c r="AI4792">
        <v>114.6562</v>
      </c>
      <c r="AJ4792">
        <v>8.099831</v>
      </c>
      <c r="AK4792">
        <v>80.820639999999997</v>
      </c>
    </row>
    <row r="4793" spans="1:37" x14ac:dyDescent="0.3">
      <c r="A4793">
        <v>4792</v>
      </c>
      <c r="B4793">
        <v>90.6</v>
      </c>
      <c r="C4793">
        <v>2.0156000000000001</v>
      </c>
      <c r="D4793">
        <v>13.563000000000001</v>
      </c>
      <c r="E4793" t="s">
        <v>7619</v>
      </c>
      <c r="F4793" t="s">
        <v>7620</v>
      </c>
      <c r="G4793" t="s">
        <v>39</v>
      </c>
      <c r="H4793">
        <v>2000</v>
      </c>
      <c r="I4793">
        <v>29.3</v>
      </c>
      <c r="J4793">
        <v>14.7</v>
      </c>
      <c r="K4793">
        <v>56</v>
      </c>
      <c r="L4793">
        <v>29.45</v>
      </c>
      <c r="M4793">
        <v>41.5</v>
      </c>
      <c r="N4793">
        <v>15.4</v>
      </c>
      <c r="O4793">
        <v>26.1</v>
      </c>
      <c r="P4793">
        <v>28.4</v>
      </c>
      <c r="Q4793">
        <v>25.8</v>
      </c>
      <c r="R4793">
        <v>33</v>
      </c>
      <c r="S4793">
        <v>25.5</v>
      </c>
      <c r="T4793">
        <v>472</v>
      </c>
      <c r="U4793">
        <v>162</v>
      </c>
      <c r="V4793">
        <v>0</v>
      </c>
      <c r="W4793">
        <v>135</v>
      </c>
      <c r="X4793">
        <v>368</v>
      </c>
      <c r="Y4793">
        <v>0</v>
      </c>
      <c r="Z4793">
        <v>93</v>
      </c>
      <c r="AA4793">
        <v>0</v>
      </c>
      <c r="AB4793">
        <v>24.394929999999999</v>
      </c>
      <c r="AC4793">
        <v>1.15161E-2</v>
      </c>
      <c r="AD4793">
        <v>1.452617</v>
      </c>
      <c r="AE4793">
        <v>0.68766000000000005</v>
      </c>
      <c r="AF4793">
        <v>204.78890000000001</v>
      </c>
      <c r="AG4793">
        <f>IFERROR(AH4793*0.1, "N/A")</f>
        <v>5.6935200000000004</v>
      </c>
      <c r="AH4793">
        <v>56.935200000000002</v>
      </c>
      <c r="AI4793">
        <v>226.09119999999999</v>
      </c>
      <c r="AJ4793">
        <v>13</v>
      </c>
      <c r="AK4793">
        <v>76</v>
      </c>
    </row>
    <row r="4794" spans="1:37" x14ac:dyDescent="0.3">
      <c r="A4794">
        <v>4793</v>
      </c>
      <c r="B4794">
        <v>6.7</v>
      </c>
      <c r="C4794">
        <v>2.137</v>
      </c>
      <c r="D4794">
        <v>13.563499999999999</v>
      </c>
      <c r="E4794" t="s">
        <v>7621</v>
      </c>
      <c r="F4794" t="s">
        <v>7622</v>
      </c>
      <c r="G4794" t="s">
        <v>39</v>
      </c>
      <c r="H4794">
        <v>0</v>
      </c>
      <c r="I4794">
        <v>29.1</v>
      </c>
      <c r="J4794">
        <v>14.7</v>
      </c>
      <c r="K4794">
        <v>56</v>
      </c>
      <c r="L4794">
        <v>29.44</v>
      </c>
      <c r="M4794">
        <v>41.4</v>
      </c>
      <c r="N4794">
        <v>15.2</v>
      </c>
      <c r="O4794">
        <v>26.2</v>
      </c>
      <c r="P4794">
        <v>28.3</v>
      </c>
      <c r="Q4794">
        <v>25.6</v>
      </c>
      <c r="R4794">
        <v>32.9</v>
      </c>
      <c r="S4794">
        <v>25.4</v>
      </c>
      <c r="T4794">
        <v>491</v>
      </c>
      <c r="U4794">
        <v>163</v>
      </c>
      <c r="V4794">
        <v>0</v>
      </c>
      <c r="W4794">
        <v>135</v>
      </c>
      <c r="X4794">
        <v>381</v>
      </c>
      <c r="Y4794">
        <v>0</v>
      </c>
      <c r="Z4794">
        <v>99</v>
      </c>
      <c r="AA4794">
        <v>0</v>
      </c>
      <c r="AB4794">
        <v>11.20473</v>
      </c>
      <c r="AC4794">
        <v>3.1525999999999998E-2</v>
      </c>
      <c r="AD4794">
        <v>1.395724</v>
      </c>
      <c r="AE4794">
        <v>0.78834119999999996</v>
      </c>
      <c r="AF4794">
        <v>229.18270000000001</v>
      </c>
      <c r="AG4794">
        <f>IFERROR(AH4794*0.1, "N/A")</f>
        <v>6.008629</v>
      </c>
      <c r="AH4794">
        <v>60.086289999999998</v>
      </c>
      <c r="AI4794">
        <v>145.05670000000001</v>
      </c>
      <c r="AJ4794">
        <v>12.292719999999999</v>
      </c>
      <c r="AK4794">
        <v>69.431470000000004</v>
      </c>
    </row>
    <row r="4795" spans="1:37" x14ac:dyDescent="0.3">
      <c r="A4795">
        <v>4794</v>
      </c>
      <c r="B4795">
        <v>75</v>
      </c>
      <c r="C4795">
        <v>1.9766999999999999</v>
      </c>
      <c r="D4795">
        <v>13.5661</v>
      </c>
      <c r="E4795" t="s">
        <v>7623</v>
      </c>
      <c r="F4795" t="s">
        <v>7624</v>
      </c>
      <c r="G4795" t="s">
        <v>39</v>
      </c>
      <c r="H4795">
        <v>0</v>
      </c>
      <c r="I4795">
        <v>29.33052</v>
      </c>
      <c r="J4795">
        <v>14.7</v>
      </c>
      <c r="K4795">
        <v>56</v>
      </c>
      <c r="L4795">
        <v>29.472529999999999</v>
      </c>
      <c r="M4795">
        <v>41.530520000000003</v>
      </c>
      <c r="N4795">
        <v>15.43052</v>
      </c>
      <c r="O4795">
        <v>26.1</v>
      </c>
      <c r="P4795">
        <v>28.430520000000001</v>
      </c>
      <c r="Q4795">
        <v>25.83052</v>
      </c>
      <c r="R4795">
        <v>33.030520000000003</v>
      </c>
      <c r="S4795">
        <v>25.530519999999999</v>
      </c>
      <c r="T4795">
        <v>464.69479999999999</v>
      </c>
      <c r="U4795">
        <v>160.69479999999999</v>
      </c>
      <c r="V4795">
        <v>0</v>
      </c>
      <c r="W4795">
        <v>136.69479999999999</v>
      </c>
      <c r="X4795">
        <v>363.3895</v>
      </c>
      <c r="Y4795">
        <v>0</v>
      </c>
      <c r="Z4795">
        <v>91.305229999999995</v>
      </c>
      <c r="AA4795">
        <v>0</v>
      </c>
      <c r="AB4795">
        <v>14.94974</v>
      </c>
      <c r="AC4795">
        <v>2.4030869999999999E-2</v>
      </c>
      <c r="AD4795">
        <v>1.6332169999999999</v>
      </c>
      <c r="AE4795">
        <v>0.61836740000000001</v>
      </c>
      <c r="AF4795">
        <v>198.1096</v>
      </c>
      <c r="AG4795">
        <f>IFERROR(AH4795*0.1, "N/A")</f>
        <v>6.1249580000000003</v>
      </c>
      <c r="AH4795">
        <v>61.249580000000002</v>
      </c>
      <c r="AI4795">
        <v>76.715789999999998</v>
      </c>
      <c r="AJ4795">
        <v>16.013490000000001</v>
      </c>
      <c r="AK4795">
        <v>68.134910000000005</v>
      </c>
    </row>
    <row r="4796" spans="1:37" x14ac:dyDescent="0.3">
      <c r="A4796">
        <v>4795</v>
      </c>
      <c r="B4796">
        <v>4</v>
      </c>
      <c r="C4796">
        <v>8.8902199999999993</v>
      </c>
      <c r="D4796">
        <v>13.5687</v>
      </c>
      <c r="E4796" t="s">
        <v>7625</v>
      </c>
      <c r="F4796" t="s">
        <v>7626</v>
      </c>
      <c r="G4796" t="s">
        <v>39</v>
      </c>
      <c r="H4796">
        <v>0</v>
      </c>
      <c r="I4796">
        <v>27.9</v>
      </c>
      <c r="J4796">
        <v>14.6</v>
      </c>
      <c r="K4796">
        <v>55</v>
      </c>
      <c r="L4796">
        <v>34.4</v>
      </c>
      <c r="M4796">
        <v>40.200000000000003</v>
      </c>
      <c r="N4796">
        <v>13.7</v>
      </c>
      <c r="O4796">
        <v>26.5</v>
      </c>
      <c r="P4796">
        <v>28.2</v>
      </c>
      <c r="Q4796">
        <v>23.3</v>
      </c>
      <c r="R4796">
        <v>32.200000000000003</v>
      </c>
      <c r="S4796">
        <v>23</v>
      </c>
      <c r="T4796">
        <v>382</v>
      </c>
      <c r="U4796">
        <v>152</v>
      </c>
      <c r="V4796">
        <v>0</v>
      </c>
      <c r="W4796">
        <v>155</v>
      </c>
      <c r="X4796">
        <v>326</v>
      </c>
      <c r="Y4796">
        <v>0</v>
      </c>
      <c r="Z4796">
        <v>49</v>
      </c>
      <c r="AA4796">
        <v>0</v>
      </c>
      <c r="AB4796">
        <v>4.3713939999999996</v>
      </c>
      <c r="AC4796">
        <v>9.6435510000000002E-3</v>
      </c>
      <c r="AD4796">
        <v>0.78971139999999995</v>
      </c>
      <c r="AE4796">
        <v>0.73617790000000005</v>
      </c>
      <c r="AF4796">
        <v>414.00670000000002</v>
      </c>
      <c r="AG4796">
        <f>IFERROR(AH4796*0.1, "N/A")</f>
        <v>7.2222219999999995</v>
      </c>
      <c r="AH4796">
        <v>72.222219999999993</v>
      </c>
      <c r="AI4796">
        <v>173.61799999999999</v>
      </c>
      <c r="AJ4796">
        <v>16.400670000000002</v>
      </c>
      <c r="AK4796">
        <v>69.744110000000006</v>
      </c>
    </row>
    <row r="4797" spans="1:37" x14ac:dyDescent="0.3">
      <c r="A4797">
        <v>4796</v>
      </c>
      <c r="B4797">
        <v>42.2</v>
      </c>
      <c r="C4797">
        <v>1.99028</v>
      </c>
      <c r="D4797">
        <v>13.571400000000001</v>
      </c>
      <c r="E4797" t="s">
        <v>7627</v>
      </c>
      <c r="F4797" t="s">
        <v>7628</v>
      </c>
      <c r="G4797" t="s">
        <v>39</v>
      </c>
      <c r="H4797">
        <v>2000</v>
      </c>
      <c r="I4797">
        <v>29.4</v>
      </c>
      <c r="J4797">
        <v>14.7</v>
      </c>
      <c r="K4797">
        <v>56</v>
      </c>
      <c r="L4797">
        <v>29.4</v>
      </c>
      <c r="M4797">
        <v>41.6</v>
      </c>
      <c r="N4797">
        <v>15.5</v>
      </c>
      <c r="O4797">
        <v>26.1</v>
      </c>
      <c r="P4797">
        <v>28.5</v>
      </c>
      <c r="Q4797">
        <v>25.9</v>
      </c>
      <c r="R4797">
        <v>33.1</v>
      </c>
      <c r="S4797">
        <v>25.6</v>
      </c>
      <c r="T4797">
        <v>466</v>
      </c>
      <c r="U4797">
        <v>161</v>
      </c>
      <c r="V4797">
        <v>0</v>
      </c>
      <c r="W4797">
        <v>137</v>
      </c>
      <c r="X4797">
        <v>364</v>
      </c>
      <c r="Y4797">
        <v>0</v>
      </c>
      <c r="Z4797">
        <v>92</v>
      </c>
      <c r="AA4797">
        <v>0</v>
      </c>
      <c r="AB4797">
        <v>7.5199990000000003</v>
      </c>
      <c r="AC4797">
        <v>8.3137750000000007E-3</v>
      </c>
      <c r="AD4797">
        <v>1.9389799999999999</v>
      </c>
      <c r="AE4797">
        <v>0.5375624</v>
      </c>
      <c r="AF4797">
        <v>188.6</v>
      </c>
      <c r="AG4797">
        <f>IFERROR(AH4797*0.1, "N/A")</f>
        <v>7.1373110000000004</v>
      </c>
      <c r="AH4797">
        <v>71.373109999999997</v>
      </c>
      <c r="AI4797">
        <v>126.9991</v>
      </c>
      <c r="AJ4797">
        <v>22.248740000000002</v>
      </c>
      <c r="AK4797">
        <v>58.643700000000003</v>
      </c>
    </row>
    <row r="4798" spans="1:37" x14ac:dyDescent="0.3">
      <c r="A4798">
        <v>4797</v>
      </c>
      <c r="B4798">
        <v>0</v>
      </c>
      <c r="C4798">
        <v>9.4932700000000008</v>
      </c>
      <c r="D4798">
        <v>13.573700000000001</v>
      </c>
      <c r="E4798" t="s">
        <v>7629</v>
      </c>
      <c r="F4798" t="s">
        <v>7630</v>
      </c>
      <c r="G4798" t="s">
        <v>39</v>
      </c>
      <c r="H4798">
        <v>0</v>
      </c>
      <c r="I4798">
        <v>27.8</v>
      </c>
      <c r="J4798">
        <v>15</v>
      </c>
      <c r="K4798">
        <v>56</v>
      </c>
      <c r="L4798">
        <v>32.380000000000003</v>
      </c>
      <c r="M4798">
        <v>40.4</v>
      </c>
      <c r="N4798">
        <v>13.9</v>
      </c>
      <c r="O4798">
        <v>26.5</v>
      </c>
      <c r="P4798">
        <v>27.6</v>
      </c>
      <c r="Q4798">
        <v>23.6</v>
      </c>
      <c r="R4798">
        <v>32</v>
      </c>
      <c r="S4798">
        <v>23.3</v>
      </c>
      <c r="T4798">
        <v>342</v>
      </c>
      <c r="U4798">
        <v>124</v>
      </c>
      <c r="V4798">
        <v>0</v>
      </c>
      <c r="W4798">
        <v>150</v>
      </c>
      <c r="X4798">
        <v>288</v>
      </c>
      <c r="Y4798">
        <v>0</v>
      </c>
      <c r="Z4798">
        <v>48</v>
      </c>
      <c r="AA4798">
        <v>0</v>
      </c>
      <c r="AB4798">
        <v>2.8162400000000001</v>
      </c>
      <c r="AC4798">
        <v>1.1316139999999999</v>
      </c>
      <c r="AD4798">
        <v>2.8924379999999998</v>
      </c>
      <c r="AE4798">
        <v>0.64962319999999996</v>
      </c>
      <c r="AF4798">
        <v>405.70729999999998</v>
      </c>
      <c r="AG4798">
        <f>IFERROR(AH4798*0.1, "N/A")</f>
        <v>6.5054150000000011</v>
      </c>
      <c r="AH4798">
        <v>65.054150000000007</v>
      </c>
      <c r="AI4798">
        <v>33.86627</v>
      </c>
      <c r="AJ4798">
        <v>11.19628</v>
      </c>
      <c r="AK4798">
        <v>77.983080000000001</v>
      </c>
    </row>
    <row r="4799" spans="1:37" x14ac:dyDescent="0.3">
      <c r="A4799">
        <v>4798</v>
      </c>
      <c r="B4799">
        <v>0</v>
      </c>
      <c r="C4799">
        <v>9.4932700000000008</v>
      </c>
      <c r="D4799">
        <v>13.573700000000001</v>
      </c>
      <c r="E4799" t="s">
        <v>7629</v>
      </c>
      <c r="F4799" t="s">
        <v>7631</v>
      </c>
      <c r="G4799" t="s">
        <v>37</v>
      </c>
      <c r="H4799">
        <v>0</v>
      </c>
      <c r="I4799">
        <v>27.8</v>
      </c>
      <c r="J4799">
        <v>15</v>
      </c>
      <c r="K4799">
        <v>56</v>
      </c>
      <c r="L4799">
        <v>32.380000000000003</v>
      </c>
      <c r="M4799">
        <v>40.4</v>
      </c>
      <c r="N4799">
        <v>13.9</v>
      </c>
      <c r="O4799">
        <v>26.5</v>
      </c>
      <c r="P4799">
        <v>27.6</v>
      </c>
      <c r="Q4799">
        <v>23.6</v>
      </c>
      <c r="R4799">
        <v>32</v>
      </c>
      <c r="S4799">
        <v>23.3</v>
      </c>
      <c r="T4799">
        <v>342</v>
      </c>
      <c r="U4799">
        <v>124</v>
      </c>
      <c r="V4799">
        <v>0</v>
      </c>
      <c r="W4799">
        <v>150</v>
      </c>
      <c r="X4799">
        <v>288</v>
      </c>
      <c r="Y4799">
        <v>0</v>
      </c>
      <c r="Z4799">
        <v>48</v>
      </c>
      <c r="AA4799">
        <v>0</v>
      </c>
      <c r="AB4799">
        <v>2.8162400000000001</v>
      </c>
      <c r="AC4799">
        <v>1.1316139999999999</v>
      </c>
      <c r="AD4799">
        <v>2.8924379999999998</v>
      </c>
      <c r="AE4799">
        <v>0.64962319999999996</v>
      </c>
      <c r="AF4799">
        <v>405.70729999999998</v>
      </c>
      <c r="AG4799">
        <f>IFERROR(AH4799*0.1, "N/A")</f>
        <v>6.5054150000000011</v>
      </c>
      <c r="AH4799">
        <v>65.054150000000007</v>
      </c>
      <c r="AI4799">
        <v>33.86627</v>
      </c>
      <c r="AJ4799">
        <v>11.19628</v>
      </c>
      <c r="AK4799">
        <v>77.983080000000001</v>
      </c>
    </row>
    <row r="4800" spans="1:37" x14ac:dyDescent="0.3">
      <c r="A4800">
        <v>4799</v>
      </c>
      <c r="B4800">
        <v>52</v>
      </c>
      <c r="C4800">
        <v>2.00353</v>
      </c>
      <c r="D4800">
        <v>13.574299999999999</v>
      </c>
      <c r="E4800" t="s">
        <v>7632</v>
      </c>
      <c r="F4800" t="s">
        <v>7633</v>
      </c>
      <c r="G4800" t="s">
        <v>39</v>
      </c>
      <c r="H4800">
        <v>0</v>
      </c>
      <c r="I4800">
        <v>29.4</v>
      </c>
      <c r="J4800">
        <v>14.7</v>
      </c>
      <c r="K4800">
        <v>56</v>
      </c>
      <c r="L4800">
        <v>29.58</v>
      </c>
      <c r="M4800">
        <v>41.7</v>
      </c>
      <c r="N4800">
        <v>15.5</v>
      </c>
      <c r="O4800">
        <v>26.2</v>
      </c>
      <c r="P4800">
        <v>28.5</v>
      </c>
      <c r="Q4800">
        <v>25.9</v>
      </c>
      <c r="R4800">
        <v>33.200000000000003</v>
      </c>
      <c r="S4800">
        <v>25.6</v>
      </c>
      <c r="T4800">
        <v>467</v>
      </c>
      <c r="U4800">
        <v>161</v>
      </c>
      <c r="V4800">
        <v>0</v>
      </c>
      <c r="W4800">
        <v>137</v>
      </c>
      <c r="X4800">
        <v>365</v>
      </c>
      <c r="Y4800">
        <v>0</v>
      </c>
      <c r="Z4800">
        <v>92</v>
      </c>
      <c r="AA4800">
        <v>0</v>
      </c>
      <c r="AB4800">
        <v>5.9489020000000004</v>
      </c>
      <c r="AC4800">
        <v>2.5361519999999999E-2</v>
      </c>
      <c r="AD4800">
        <v>1.1012660000000001</v>
      </c>
      <c r="AE4800">
        <v>0.55474909999999999</v>
      </c>
      <c r="AF4800">
        <v>183.59190000000001</v>
      </c>
      <c r="AG4800">
        <f>IFERROR(AH4800*0.1, "N/A")</f>
        <v>5.8568300000000004</v>
      </c>
      <c r="AH4800">
        <v>58.568300000000001</v>
      </c>
      <c r="AI4800">
        <v>138.2167</v>
      </c>
      <c r="AJ4800">
        <v>18.809439999999999</v>
      </c>
      <c r="AK4800">
        <v>61.78246</v>
      </c>
    </row>
    <row r="4801" spans="1:37" x14ac:dyDescent="0.3">
      <c r="A4801">
        <v>4800</v>
      </c>
      <c r="B4801">
        <v>6</v>
      </c>
      <c r="C4801">
        <v>9.3948999999999998</v>
      </c>
      <c r="D4801">
        <v>13.575100000000001</v>
      </c>
      <c r="E4801" t="s">
        <v>7634</v>
      </c>
      <c r="F4801" t="s">
        <v>7635</v>
      </c>
      <c r="G4801" t="s">
        <v>39</v>
      </c>
      <c r="H4801">
        <v>0</v>
      </c>
      <c r="I4801">
        <v>26.83182</v>
      </c>
      <c r="J4801">
        <v>14.96818</v>
      </c>
      <c r="K4801">
        <v>56</v>
      </c>
      <c r="L4801">
        <v>32.756819999999998</v>
      </c>
      <c r="M4801">
        <v>39.4</v>
      </c>
      <c r="N4801">
        <v>13.03182</v>
      </c>
      <c r="O4801">
        <v>26.368179999999999</v>
      </c>
      <c r="P4801">
        <v>26.9</v>
      </c>
      <c r="Q4801">
        <v>22.631820000000001</v>
      </c>
      <c r="R4801">
        <v>31.1</v>
      </c>
      <c r="S4801">
        <v>22.3</v>
      </c>
      <c r="T4801">
        <v>357.36360000000002</v>
      </c>
      <c r="U4801">
        <v>132</v>
      </c>
      <c r="V4801">
        <v>0</v>
      </c>
      <c r="W4801">
        <v>151.68180000000001</v>
      </c>
      <c r="X4801">
        <v>300.68180000000001</v>
      </c>
      <c r="Y4801">
        <v>0</v>
      </c>
      <c r="Z4801">
        <v>49.681820000000002</v>
      </c>
      <c r="AA4801">
        <v>0</v>
      </c>
      <c r="AB4801">
        <v>148.71889999999999</v>
      </c>
      <c r="AC4801">
        <v>2.2155729999999998E-2</v>
      </c>
      <c r="AD4801">
        <v>4.6677540000000004</v>
      </c>
      <c r="AE4801">
        <v>0.61174709999999999</v>
      </c>
      <c r="AF4801">
        <v>590.23400000000004</v>
      </c>
      <c r="AG4801">
        <f>IFERROR(AH4801*0.1, "N/A")</f>
        <v>7.2774410000000005</v>
      </c>
      <c r="AH4801">
        <v>72.774410000000003</v>
      </c>
      <c r="AI4801">
        <v>243.3974</v>
      </c>
      <c r="AJ4801">
        <v>20.104379999999999</v>
      </c>
      <c r="AK4801">
        <v>60.932659999999998</v>
      </c>
    </row>
    <row r="4802" spans="1:37" x14ac:dyDescent="0.3">
      <c r="A4802">
        <v>4801</v>
      </c>
      <c r="B4802">
        <v>72</v>
      </c>
      <c r="C4802">
        <v>9.1261299999999999</v>
      </c>
      <c r="D4802">
        <v>13.581899999999999</v>
      </c>
      <c r="E4802" t="s">
        <v>7636</v>
      </c>
      <c r="F4802" t="s">
        <v>7637</v>
      </c>
      <c r="G4802" t="s">
        <v>39</v>
      </c>
      <c r="H4802">
        <v>0</v>
      </c>
      <c r="I4802">
        <v>28.1</v>
      </c>
      <c r="J4802">
        <v>14.7</v>
      </c>
      <c r="K4802">
        <v>56</v>
      </c>
      <c r="L4802">
        <v>33.17</v>
      </c>
      <c r="M4802">
        <v>40.5</v>
      </c>
      <c r="N4802">
        <v>14.4</v>
      </c>
      <c r="O4802">
        <v>26.1</v>
      </c>
      <c r="P4802">
        <v>28.1</v>
      </c>
      <c r="Q4802">
        <v>23.9</v>
      </c>
      <c r="R4802">
        <v>32.4</v>
      </c>
      <c r="S4802">
        <v>23.5</v>
      </c>
      <c r="T4802">
        <v>368</v>
      </c>
      <c r="U4802">
        <v>142</v>
      </c>
      <c r="V4802">
        <v>0</v>
      </c>
      <c r="W4802">
        <v>153</v>
      </c>
      <c r="X4802">
        <v>312</v>
      </c>
      <c r="Y4802">
        <v>0</v>
      </c>
      <c r="Z4802">
        <v>50</v>
      </c>
      <c r="AA4802">
        <v>0</v>
      </c>
      <c r="AB4802">
        <v>1.0585359999999999</v>
      </c>
      <c r="AC4802">
        <v>15.66142</v>
      </c>
      <c r="AD4802">
        <v>0.25279940000000001</v>
      </c>
      <c r="AE4802">
        <v>0.7177017</v>
      </c>
      <c r="AF4802">
        <v>403.39089999999999</v>
      </c>
      <c r="AG4802">
        <f>IFERROR(AH4802*0.1, "N/A")</f>
        <v>6.6294420000000009</v>
      </c>
      <c r="AH4802">
        <v>66.294420000000002</v>
      </c>
      <c r="AI4802">
        <v>87.256129999999999</v>
      </c>
      <c r="AJ4802">
        <v>12</v>
      </c>
      <c r="AK4802">
        <v>77</v>
      </c>
    </row>
    <row r="4803" spans="1:37" x14ac:dyDescent="0.3">
      <c r="A4803">
        <v>4802</v>
      </c>
      <c r="B4803">
        <v>70</v>
      </c>
      <c r="C4803">
        <v>1.9278200000000001</v>
      </c>
      <c r="D4803">
        <v>13.582599999999999</v>
      </c>
      <c r="E4803" t="s">
        <v>7638</v>
      </c>
      <c r="F4803" t="s">
        <v>7639</v>
      </c>
      <c r="G4803" t="s">
        <v>39</v>
      </c>
      <c r="H4803">
        <v>0</v>
      </c>
      <c r="I4803">
        <v>29.20101</v>
      </c>
      <c r="J4803">
        <v>14.6</v>
      </c>
      <c r="K4803">
        <v>56</v>
      </c>
      <c r="L4803">
        <v>28.910509999999999</v>
      </c>
      <c r="M4803">
        <v>41.301009999999998</v>
      </c>
      <c r="N4803">
        <v>15.401009999999999</v>
      </c>
      <c r="O4803">
        <v>25.9</v>
      </c>
      <c r="P4803">
        <v>28.301010000000002</v>
      </c>
      <c r="Q4803">
        <v>25.70101</v>
      </c>
      <c r="R4803">
        <v>32.901009999999999</v>
      </c>
      <c r="S4803">
        <v>25.500509999999998</v>
      </c>
      <c r="T4803">
        <v>457.97980000000001</v>
      </c>
      <c r="U4803">
        <v>158.9949</v>
      </c>
      <c r="V4803">
        <v>0</v>
      </c>
      <c r="W4803">
        <v>135.01519999999999</v>
      </c>
      <c r="X4803">
        <v>357.98480000000001</v>
      </c>
      <c r="Y4803">
        <v>0</v>
      </c>
      <c r="Z4803">
        <v>89.99494</v>
      </c>
      <c r="AA4803">
        <v>0</v>
      </c>
      <c r="AB4803">
        <v>24.047889999999999</v>
      </c>
      <c r="AC4803">
        <v>2.362243E-2</v>
      </c>
      <c r="AD4803">
        <v>3.5754299999999999</v>
      </c>
      <c r="AE4803">
        <v>0.4685937</v>
      </c>
      <c r="AF4803">
        <v>208.8432</v>
      </c>
      <c r="AG4803">
        <f>IFERROR(AH4803*0.1, "N/A")</f>
        <v>5.5576730000000003</v>
      </c>
      <c r="AH4803">
        <v>55.576729999999998</v>
      </c>
      <c r="AI4803">
        <v>22.32048</v>
      </c>
      <c r="AJ4803">
        <v>12.57673</v>
      </c>
      <c r="AK4803">
        <v>75.423270000000002</v>
      </c>
    </row>
    <row r="4804" spans="1:37" x14ac:dyDescent="0.3">
      <c r="A4804">
        <v>4803</v>
      </c>
      <c r="B4804">
        <v>93.9</v>
      </c>
      <c r="C4804">
        <v>1.9611000000000001</v>
      </c>
      <c r="D4804">
        <v>13.583299999999999</v>
      </c>
      <c r="E4804" t="s">
        <v>7640</v>
      </c>
      <c r="F4804" t="s">
        <v>7641</v>
      </c>
      <c r="G4804" t="s">
        <v>39</v>
      </c>
      <c r="H4804">
        <v>0</v>
      </c>
      <c r="I4804">
        <v>29.4</v>
      </c>
      <c r="J4804">
        <v>14.65882</v>
      </c>
      <c r="K4804">
        <v>55.588239999999999</v>
      </c>
      <c r="L4804">
        <v>29.428820000000002</v>
      </c>
      <c r="M4804">
        <v>41.6</v>
      </c>
      <c r="N4804">
        <v>15.5</v>
      </c>
      <c r="O4804">
        <v>26.1</v>
      </c>
      <c r="P4804">
        <v>28.5</v>
      </c>
      <c r="Q4804">
        <v>25.9</v>
      </c>
      <c r="R4804">
        <v>33.141179999999999</v>
      </c>
      <c r="S4804">
        <v>25.6</v>
      </c>
      <c r="T4804">
        <v>458.7647</v>
      </c>
      <c r="U4804">
        <v>159</v>
      </c>
      <c r="V4804">
        <v>0</v>
      </c>
      <c r="W4804">
        <v>135</v>
      </c>
      <c r="X4804">
        <v>358.58819999999997</v>
      </c>
      <c r="Y4804">
        <v>0</v>
      </c>
      <c r="Z4804">
        <v>90.176469999999995</v>
      </c>
      <c r="AA4804">
        <v>0</v>
      </c>
      <c r="AB4804">
        <v>9.3808419999999995</v>
      </c>
      <c r="AC4804">
        <v>8.3552750000000005E-3</v>
      </c>
      <c r="AD4804">
        <v>1.7277880000000001</v>
      </c>
      <c r="AE4804">
        <v>0.44770599999999999</v>
      </c>
      <c r="AF4804">
        <v>191.61680000000001</v>
      </c>
      <c r="AG4804">
        <f>IFERROR(AH4804*0.1, "N/A")</f>
        <v>6.6964709999999998</v>
      </c>
      <c r="AH4804">
        <v>66.964709999999997</v>
      </c>
      <c r="AI4804">
        <v>168.64619999999999</v>
      </c>
      <c r="AJ4804">
        <v>25.030249999999999</v>
      </c>
      <c r="AK4804">
        <v>56.95966</v>
      </c>
    </row>
    <row r="4805" spans="1:37" x14ac:dyDescent="0.3">
      <c r="A4805">
        <v>4804</v>
      </c>
      <c r="B4805">
        <v>0.4</v>
      </c>
      <c r="C4805">
        <v>1.9611000000000001</v>
      </c>
      <c r="D4805">
        <v>13.583299999999999</v>
      </c>
      <c r="E4805" t="s">
        <v>7640</v>
      </c>
      <c r="F4805" t="s">
        <v>7642</v>
      </c>
      <c r="G4805" t="s">
        <v>37</v>
      </c>
      <c r="H4805">
        <v>0</v>
      </c>
      <c r="I4805">
        <v>29.4</v>
      </c>
      <c r="J4805">
        <v>14.65882</v>
      </c>
      <c r="K4805">
        <v>55.588239999999999</v>
      </c>
      <c r="L4805">
        <v>29.428820000000002</v>
      </c>
      <c r="M4805">
        <v>41.6</v>
      </c>
      <c r="N4805">
        <v>15.5</v>
      </c>
      <c r="O4805">
        <v>26.1</v>
      </c>
      <c r="P4805">
        <v>28.5</v>
      </c>
      <c r="Q4805">
        <v>25.9</v>
      </c>
      <c r="R4805">
        <v>33.141179999999999</v>
      </c>
      <c r="S4805">
        <v>25.6</v>
      </c>
      <c r="T4805">
        <v>458.7647</v>
      </c>
      <c r="U4805">
        <v>159</v>
      </c>
      <c r="V4805">
        <v>0</v>
      </c>
      <c r="W4805">
        <v>135</v>
      </c>
      <c r="X4805">
        <v>358.58819999999997</v>
      </c>
      <c r="Y4805">
        <v>0</v>
      </c>
      <c r="Z4805">
        <v>90.176469999999995</v>
      </c>
      <c r="AA4805">
        <v>0</v>
      </c>
      <c r="AB4805">
        <v>9.3808419999999995</v>
      </c>
      <c r="AC4805">
        <v>8.3552750000000005E-3</v>
      </c>
      <c r="AD4805">
        <v>1.7277880000000001</v>
      </c>
      <c r="AE4805">
        <v>0.44770599999999999</v>
      </c>
      <c r="AF4805">
        <v>191.61680000000001</v>
      </c>
      <c r="AG4805">
        <f>IFERROR(AH4805*0.1, "N/A")</f>
        <v>6.6964709999999998</v>
      </c>
      <c r="AH4805">
        <v>66.964709999999997</v>
      </c>
      <c r="AI4805">
        <v>168.64619999999999</v>
      </c>
      <c r="AJ4805">
        <v>25.030249999999999</v>
      </c>
      <c r="AK4805">
        <v>56.95966</v>
      </c>
    </row>
    <row r="4806" spans="1:37" x14ac:dyDescent="0.3">
      <c r="A4806">
        <v>4805</v>
      </c>
      <c r="B4806">
        <v>77.900000000000006</v>
      </c>
      <c r="C4806">
        <v>1.9607000000000001</v>
      </c>
      <c r="D4806">
        <v>13.5847</v>
      </c>
      <c r="E4806" t="s">
        <v>7643</v>
      </c>
      <c r="F4806" t="s">
        <v>7644</v>
      </c>
      <c r="G4806" t="s">
        <v>39</v>
      </c>
      <c r="H4806">
        <v>0</v>
      </c>
      <c r="I4806">
        <v>29.4</v>
      </c>
      <c r="J4806">
        <v>14.6</v>
      </c>
      <c r="K4806">
        <v>55</v>
      </c>
      <c r="L4806">
        <v>29.47</v>
      </c>
      <c r="M4806">
        <v>41.6</v>
      </c>
      <c r="N4806">
        <v>15.5</v>
      </c>
      <c r="O4806">
        <v>26.1</v>
      </c>
      <c r="P4806">
        <v>28.5</v>
      </c>
      <c r="Q4806">
        <v>25.9</v>
      </c>
      <c r="R4806">
        <v>33.200000000000003</v>
      </c>
      <c r="S4806">
        <v>25.6</v>
      </c>
      <c r="T4806">
        <v>457</v>
      </c>
      <c r="U4806">
        <v>159</v>
      </c>
      <c r="V4806">
        <v>0</v>
      </c>
      <c r="W4806">
        <v>135</v>
      </c>
      <c r="X4806">
        <v>358</v>
      </c>
      <c r="Y4806">
        <v>0</v>
      </c>
      <c r="Z4806">
        <v>89</v>
      </c>
      <c r="AA4806">
        <v>0</v>
      </c>
      <c r="AB4806">
        <v>9.1538000000000004</v>
      </c>
      <c r="AC4806">
        <v>1.2434819999999999E-2</v>
      </c>
      <c r="AD4806">
        <v>1.7191510000000001</v>
      </c>
      <c r="AE4806">
        <v>0.43427670000000002</v>
      </c>
      <c r="AF4806">
        <v>188.7056</v>
      </c>
      <c r="AG4806">
        <f>IFERROR(AH4806*0.1, "N/A")</f>
        <v>6.0549920000000004</v>
      </c>
      <c r="AH4806">
        <v>60.54992</v>
      </c>
      <c r="AI4806">
        <v>107.28449999999999</v>
      </c>
      <c r="AJ4806">
        <v>29.967849999999999</v>
      </c>
      <c r="AK4806">
        <v>49.734349999999999</v>
      </c>
    </row>
    <row r="4807" spans="1:37" x14ac:dyDescent="0.3">
      <c r="A4807">
        <v>4806</v>
      </c>
      <c r="B4807">
        <v>0</v>
      </c>
      <c r="C4807">
        <v>1.9607000000000001</v>
      </c>
      <c r="D4807">
        <v>13.5847</v>
      </c>
      <c r="E4807" t="s">
        <v>7643</v>
      </c>
      <c r="F4807" t="s">
        <v>7645</v>
      </c>
      <c r="G4807" t="s">
        <v>37</v>
      </c>
      <c r="H4807">
        <v>0</v>
      </c>
      <c r="I4807">
        <v>29.4</v>
      </c>
      <c r="J4807">
        <v>14.6</v>
      </c>
      <c r="K4807">
        <v>55</v>
      </c>
      <c r="L4807">
        <v>29.47</v>
      </c>
      <c r="M4807">
        <v>41.6</v>
      </c>
      <c r="N4807">
        <v>15.5</v>
      </c>
      <c r="O4807">
        <v>26.1</v>
      </c>
      <c r="P4807">
        <v>28.5</v>
      </c>
      <c r="Q4807">
        <v>25.9</v>
      </c>
      <c r="R4807">
        <v>33.200000000000003</v>
      </c>
      <c r="S4807">
        <v>25.6</v>
      </c>
      <c r="T4807">
        <v>457</v>
      </c>
      <c r="U4807">
        <v>159</v>
      </c>
      <c r="V4807">
        <v>0</v>
      </c>
      <c r="W4807">
        <v>135</v>
      </c>
      <c r="X4807">
        <v>358</v>
      </c>
      <c r="Y4807">
        <v>0</v>
      </c>
      <c r="Z4807">
        <v>89</v>
      </c>
      <c r="AA4807">
        <v>0</v>
      </c>
      <c r="AB4807">
        <v>9.1538000000000004</v>
      </c>
      <c r="AC4807">
        <v>1.2434819999999999E-2</v>
      </c>
      <c r="AD4807">
        <v>1.7191510000000001</v>
      </c>
      <c r="AE4807">
        <v>0.43427670000000002</v>
      </c>
      <c r="AF4807">
        <v>188.7056</v>
      </c>
      <c r="AG4807">
        <f>IFERROR(AH4807*0.1, "N/A")</f>
        <v>6.0549920000000004</v>
      </c>
      <c r="AH4807">
        <v>60.54992</v>
      </c>
      <c r="AI4807">
        <v>107.28449999999999</v>
      </c>
      <c r="AJ4807">
        <v>29.967849999999999</v>
      </c>
      <c r="AK4807">
        <v>49.734349999999999</v>
      </c>
    </row>
    <row r="4808" spans="1:37" x14ac:dyDescent="0.3">
      <c r="A4808">
        <v>4807</v>
      </c>
      <c r="B4808">
        <v>69.7</v>
      </c>
      <c r="C4808">
        <v>1.9930600000000001</v>
      </c>
      <c r="D4808">
        <v>13.5869</v>
      </c>
      <c r="E4808" t="s">
        <v>7646</v>
      </c>
      <c r="F4808" t="s">
        <v>7647</v>
      </c>
      <c r="G4808" t="s">
        <v>39</v>
      </c>
      <c r="H4808">
        <v>0</v>
      </c>
      <c r="I4808">
        <v>29.2</v>
      </c>
      <c r="J4808">
        <v>14.7</v>
      </c>
      <c r="K4808">
        <v>56</v>
      </c>
      <c r="L4808">
        <v>29.49</v>
      </c>
      <c r="M4808">
        <v>41.4</v>
      </c>
      <c r="N4808">
        <v>15.3</v>
      </c>
      <c r="O4808">
        <v>26.1</v>
      </c>
      <c r="P4808">
        <v>28.3</v>
      </c>
      <c r="Q4808">
        <v>25.7</v>
      </c>
      <c r="R4808">
        <v>32.9</v>
      </c>
      <c r="S4808">
        <v>25.4</v>
      </c>
      <c r="T4808">
        <v>464</v>
      </c>
      <c r="U4808">
        <v>161</v>
      </c>
      <c r="V4808">
        <v>0</v>
      </c>
      <c r="W4808">
        <v>137</v>
      </c>
      <c r="X4808">
        <v>363</v>
      </c>
      <c r="Y4808">
        <v>0</v>
      </c>
      <c r="Z4808">
        <v>91</v>
      </c>
      <c r="AA4808">
        <v>0</v>
      </c>
      <c r="AB4808">
        <v>22.252770000000002</v>
      </c>
      <c r="AC4808">
        <v>3.5404430000000001E-2</v>
      </c>
      <c r="AD4808">
        <v>3.4184480000000002</v>
      </c>
      <c r="AE4808">
        <v>0.61274519999999999</v>
      </c>
      <c r="AF4808">
        <v>203.80670000000001</v>
      </c>
      <c r="AG4808">
        <f>IFERROR(AH4808*0.1, "N/A")</f>
        <v>6.8000000000000007</v>
      </c>
      <c r="AH4808">
        <v>68</v>
      </c>
      <c r="AI4808">
        <v>199.9092</v>
      </c>
      <c r="AJ4808">
        <v>17.892440000000001</v>
      </c>
      <c r="AK4808">
        <v>64.473950000000002</v>
      </c>
    </row>
    <row r="4809" spans="1:37" x14ac:dyDescent="0.3">
      <c r="A4809">
        <v>4808</v>
      </c>
      <c r="B4809">
        <v>6.3</v>
      </c>
      <c r="C4809">
        <v>2.11056</v>
      </c>
      <c r="D4809">
        <v>13.588900000000001</v>
      </c>
      <c r="E4809" t="s">
        <v>7648</v>
      </c>
      <c r="F4809" t="s">
        <v>7649</v>
      </c>
      <c r="G4809" t="s">
        <v>39</v>
      </c>
      <c r="H4809">
        <v>2000</v>
      </c>
      <c r="I4809">
        <v>29.1</v>
      </c>
      <c r="J4809">
        <v>14.7</v>
      </c>
      <c r="K4809">
        <v>56</v>
      </c>
      <c r="L4809">
        <v>29.32</v>
      </c>
      <c r="M4809">
        <v>41.4</v>
      </c>
      <c r="N4809">
        <v>15.2</v>
      </c>
      <c r="O4809">
        <v>26.2</v>
      </c>
      <c r="P4809">
        <v>28.3</v>
      </c>
      <c r="Q4809">
        <v>25.6</v>
      </c>
      <c r="R4809">
        <v>32.9</v>
      </c>
      <c r="S4809">
        <v>25.4</v>
      </c>
      <c r="T4809">
        <v>479</v>
      </c>
      <c r="U4809">
        <v>162</v>
      </c>
      <c r="V4809">
        <v>0</v>
      </c>
      <c r="W4809">
        <v>136</v>
      </c>
      <c r="X4809">
        <v>374</v>
      </c>
      <c r="Y4809">
        <v>0</v>
      </c>
      <c r="Z4809">
        <v>95</v>
      </c>
      <c r="AA4809">
        <v>0</v>
      </c>
      <c r="AB4809">
        <v>0.48819899999999999</v>
      </c>
      <c r="AC4809">
        <v>0.92325919999999995</v>
      </c>
      <c r="AD4809">
        <v>0.96002290000000001</v>
      </c>
      <c r="AE4809">
        <v>0.83189429999999998</v>
      </c>
      <c r="AF4809">
        <v>223.54300000000001</v>
      </c>
      <c r="AG4809">
        <f>IFERROR(AH4809*0.1, "N/A")</f>
        <v>6.7622260000000001</v>
      </c>
      <c r="AH4809">
        <v>67.622259999999997</v>
      </c>
      <c r="AI4809">
        <v>75.423150000000007</v>
      </c>
      <c r="AJ4809">
        <v>23.204049999999999</v>
      </c>
      <c r="AK4809">
        <v>58.052280000000003</v>
      </c>
    </row>
    <row r="4810" spans="1:37" x14ac:dyDescent="0.3">
      <c r="A4810">
        <v>4809</v>
      </c>
      <c r="B4810">
        <v>91.4</v>
      </c>
      <c r="C4810">
        <v>1.93611</v>
      </c>
      <c r="D4810">
        <v>13.588900000000001</v>
      </c>
      <c r="E4810" t="s">
        <v>7650</v>
      </c>
      <c r="F4810" t="s">
        <v>7651</v>
      </c>
      <c r="G4810" t="s">
        <v>39</v>
      </c>
      <c r="H4810">
        <v>0</v>
      </c>
      <c r="I4810">
        <v>29.4</v>
      </c>
      <c r="J4810">
        <v>14.6</v>
      </c>
      <c r="K4810">
        <v>56</v>
      </c>
      <c r="L4810">
        <v>29.2</v>
      </c>
      <c r="M4810">
        <v>41.6</v>
      </c>
      <c r="N4810">
        <v>15.6</v>
      </c>
      <c r="O4810">
        <v>26</v>
      </c>
      <c r="P4810">
        <v>28.5</v>
      </c>
      <c r="Q4810">
        <v>25.9</v>
      </c>
      <c r="R4810">
        <v>33.200000000000003</v>
      </c>
      <c r="S4810">
        <v>25.6</v>
      </c>
      <c r="T4810">
        <v>456</v>
      </c>
      <c r="U4810">
        <v>158</v>
      </c>
      <c r="V4810">
        <v>0</v>
      </c>
      <c r="W4810">
        <v>134</v>
      </c>
      <c r="X4810">
        <v>356</v>
      </c>
      <c r="Y4810">
        <v>0</v>
      </c>
      <c r="Z4810">
        <v>90</v>
      </c>
      <c r="AA4810">
        <v>0</v>
      </c>
      <c r="AB4810">
        <v>4.9336120000000001</v>
      </c>
      <c r="AC4810">
        <v>8.4528999999999993E-3</v>
      </c>
      <c r="AD4810">
        <v>1.629686</v>
      </c>
      <c r="AE4810">
        <v>0.28950409999999999</v>
      </c>
      <c r="AF4810">
        <v>185.24870000000001</v>
      </c>
      <c r="AG4810">
        <f>IFERROR(AH4810*0.1, "N/A")</f>
        <v>6.6000000000000005</v>
      </c>
      <c r="AH4810">
        <v>66</v>
      </c>
      <c r="AI4810">
        <v>135.4615</v>
      </c>
      <c r="AJ4810">
        <v>24.586549999999999</v>
      </c>
      <c r="AK4810">
        <v>55.826889999999999</v>
      </c>
    </row>
    <row r="4811" spans="1:37" x14ac:dyDescent="0.3">
      <c r="A4811">
        <v>4810</v>
      </c>
      <c r="B4811">
        <v>18.3</v>
      </c>
      <c r="C4811">
        <v>2.1153400000000002</v>
      </c>
      <c r="D4811">
        <v>13.5907</v>
      </c>
      <c r="E4811" t="s">
        <v>7652</v>
      </c>
      <c r="F4811" t="s">
        <v>7653</v>
      </c>
      <c r="G4811" t="s">
        <v>39</v>
      </c>
      <c r="H4811">
        <v>0</v>
      </c>
      <c r="I4811">
        <v>29.1</v>
      </c>
      <c r="J4811">
        <v>14.7</v>
      </c>
      <c r="K4811">
        <v>56</v>
      </c>
      <c r="L4811">
        <v>29.3216</v>
      </c>
      <c r="M4811">
        <v>41.4</v>
      </c>
      <c r="N4811">
        <v>15.2</v>
      </c>
      <c r="O4811">
        <v>26.2</v>
      </c>
      <c r="P4811">
        <v>28.3</v>
      </c>
      <c r="Q4811">
        <v>25.6</v>
      </c>
      <c r="R4811">
        <v>32.9</v>
      </c>
      <c r="S4811">
        <v>25.399159999999998</v>
      </c>
      <c r="T4811">
        <v>478.95780000000002</v>
      </c>
      <c r="U4811">
        <v>161.99160000000001</v>
      </c>
      <c r="V4811">
        <v>0</v>
      </c>
      <c r="W4811">
        <v>135.99160000000001</v>
      </c>
      <c r="X4811">
        <v>373.97469999999998</v>
      </c>
      <c r="Y4811">
        <v>0</v>
      </c>
      <c r="Z4811">
        <v>94.983140000000006</v>
      </c>
      <c r="AA4811">
        <v>0</v>
      </c>
      <c r="AB4811">
        <v>4.8898729999999997</v>
      </c>
      <c r="AC4811">
        <v>3.3897150000000001E-2</v>
      </c>
      <c r="AD4811">
        <v>1.4247620000000001</v>
      </c>
      <c r="AE4811">
        <v>0.83189429999999998</v>
      </c>
      <c r="AF4811">
        <v>225.2277</v>
      </c>
      <c r="AG4811">
        <f>IFERROR(AH4811*0.1, "N/A")</f>
        <v>6.674874</v>
      </c>
      <c r="AH4811">
        <v>66.748739999999998</v>
      </c>
      <c r="AI4811">
        <v>130.01589999999999</v>
      </c>
      <c r="AJ4811">
        <v>21.239460000000001</v>
      </c>
      <c r="AK4811">
        <v>57.048900000000003</v>
      </c>
    </row>
    <row r="4812" spans="1:37" x14ac:dyDescent="0.3">
      <c r="A4812">
        <v>4811</v>
      </c>
      <c r="B4812">
        <v>0</v>
      </c>
      <c r="C4812">
        <v>9.0714500000000005</v>
      </c>
      <c r="D4812">
        <v>13.5914</v>
      </c>
      <c r="E4812" t="s">
        <v>7654</v>
      </c>
      <c r="F4812" t="s">
        <v>7655</v>
      </c>
      <c r="G4812" t="s">
        <v>39</v>
      </c>
      <c r="H4812">
        <v>0</v>
      </c>
      <c r="I4812">
        <v>28</v>
      </c>
      <c r="J4812">
        <v>14.6</v>
      </c>
      <c r="K4812">
        <v>55.424959999999999</v>
      </c>
      <c r="L4812">
        <v>33.239260000000002</v>
      </c>
      <c r="M4812">
        <v>40.299999999999997</v>
      </c>
      <c r="N4812">
        <v>14.184990000000001</v>
      </c>
      <c r="O4812">
        <v>26.115010000000002</v>
      </c>
      <c r="P4812">
        <v>28.057500000000001</v>
      </c>
      <c r="Q4812">
        <v>23.7425</v>
      </c>
      <c r="R4812">
        <v>32.2425</v>
      </c>
      <c r="S4812">
        <v>23.342500000000001</v>
      </c>
      <c r="T4812">
        <v>374.42500000000001</v>
      </c>
      <c r="U4812">
        <v>146.42500000000001</v>
      </c>
      <c r="V4812">
        <v>0</v>
      </c>
      <c r="W4812">
        <v>151.42500000000001</v>
      </c>
      <c r="X4812">
        <v>318.42500000000001</v>
      </c>
      <c r="Y4812">
        <v>0</v>
      </c>
      <c r="Z4812">
        <v>50</v>
      </c>
      <c r="AA4812">
        <v>0</v>
      </c>
      <c r="AB4812">
        <v>1.9411449999999999</v>
      </c>
      <c r="AC4812">
        <v>0.13655690000000001</v>
      </c>
      <c r="AD4812">
        <v>1.1565209999999999</v>
      </c>
      <c r="AE4812">
        <v>0.70260529999999999</v>
      </c>
      <c r="AF4812">
        <v>425.35239999999999</v>
      </c>
      <c r="AG4812">
        <f>IFERROR(AH4812*0.1, "N/A")</f>
        <v>6.6271500000000003</v>
      </c>
      <c r="AH4812">
        <v>66.271500000000003</v>
      </c>
      <c r="AI4812">
        <v>115.04510000000001</v>
      </c>
      <c r="AJ4812">
        <v>8</v>
      </c>
      <c r="AK4812">
        <v>80</v>
      </c>
    </row>
    <row r="4813" spans="1:37" x14ac:dyDescent="0.3">
      <c r="A4813">
        <v>4812</v>
      </c>
      <c r="B4813">
        <v>0</v>
      </c>
      <c r="C4813">
        <v>9.0714500000000005</v>
      </c>
      <c r="D4813">
        <v>13.5914</v>
      </c>
      <c r="E4813" t="s">
        <v>7654</v>
      </c>
      <c r="F4813" t="s">
        <v>7656</v>
      </c>
      <c r="G4813" t="s">
        <v>37</v>
      </c>
      <c r="H4813">
        <v>0</v>
      </c>
      <c r="I4813">
        <v>28</v>
      </c>
      <c r="J4813">
        <v>14.6</v>
      </c>
      <c r="K4813">
        <v>55.424959999999999</v>
      </c>
      <c r="L4813">
        <v>33.239260000000002</v>
      </c>
      <c r="M4813">
        <v>40.299999999999997</v>
      </c>
      <c r="N4813">
        <v>14.184990000000001</v>
      </c>
      <c r="O4813">
        <v>26.115010000000002</v>
      </c>
      <c r="P4813">
        <v>28.057500000000001</v>
      </c>
      <c r="Q4813">
        <v>23.7425</v>
      </c>
      <c r="R4813">
        <v>32.2425</v>
      </c>
      <c r="S4813">
        <v>23.342500000000001</v>
      </c>
      <c r="T4813">
        <v>374.42500000000001</v>
      </c>
      <c r="U4813">
        <v>146.42500000000001</v>
      </c>
      <c r="V4813">
        <v>0</v>
      </c>
      <c r="W4813">
        <v>151.42500000000001</v>
      </c>
      <c r="X4813">
        <v>318.42500000000001</v>
      </c>
      <c r="Y4813">
        <v>0</v>
      </c>
      <c r="Z4813">
        <v>50</v>
      </c>
      <c r="AA4813">
        <v>0</v>
      </c>
      <c r="AB4813">
        <v>1.9411449999999999</v>
      </c>
      <c r="AC4813">
        <v>0.13655690000000001</v>
      </c>
      <c r="AD4813">
        <v>1.1565209999999999</v>
      </c>
      <c r="AE4813">
        <v>0.70260529999999999</v>
      </c>
      <c r="AF4813">
        <v>425.35239999999999</v>
      </c>
      <c r="AG4813">
        <f>IFERROR(AH4813*0.1, "N/A")</f>
        <v>6.6271500000000003</v>
      </c>
      <c r="AH4813">
        <v>66.271500000000003</v>
      </c>
      <c r="AI4813">
        <v>115.04510000000001</v>
      </c>
      <c r="AJ4813">
        <v>8</v>
      </c>
      <c r="AK4813">
        <v>80</v>
      </c>
    </row>
    <row r="4814" spans="1:37" x14ac:dyDescent="0.3">
      <c r="A4814">
        <v>4813</v>
      </c>
      <c r="B4814">
        <v>78</v>
      </c>
      <c r="C4814">
        <v>1.9296800000000001</v>
      </c>
      <c r="D4814">
        <v>13.5984</v>
      </c>
      <c r="E4814" t="s">
        <v>7657</v>
      </c>
      <c r="F4814" t="s">
        <v>7658</v>
      </c>
      <c r="G4814" t="s">
        <v>39</v>
      </c>
      <c r="H4814">
        <v>0</v>
      </c>
      <c r="I4814">
        <v>29.4</v>
      </c>
      <c r="J4814">
        <v>14.6</v>
      </c>
      <c r="K4814">
        <v>56</v>
      </c>
      <c r="L4814">
        <v>29.08</v>
      </c>
      <c r="M4814">
        <v>41.5</v>
      </c>
      <c r="N4814">
        <v>15.6</v>
      </c>
      <c r="O4814">
        <v>25.9</v>
      </c>
      <c r="P4814">
        <v>28.5</v>
      </c>
      <c r="Q4814">
        <v>25.9</v>
      </c>
      <c r="R4814">
        <v>33.1</v>
      </c>
      <c r="S4814">
        <v>25.6</v>
      </c>
      <c r="T4814">
        <v>451</v>
      </c>
      <c r="U4814">
        <v>157</v>
      </c>
      <c r="V4814">
        <v>0</v>
      </c>
      <c r="W4814">
        <v>137</v>
      </c>
      <c r="X4814">
        <v>353</v>
      </c>
      <c r="Y4814">
        <v>0</v>
      </c>
      <c r="Z4814">
        <v>89</v>
      </c>
      <c r="AA4814">
        <v>0</v>
      </c>
      <c r="AB4814">
        <v>7.7241920000000004</v>
      </c>
      <c r="AC4814">
        <v>8.5801000000000002E-3</v>
      </c>
      <c r="AD4814">
        <v>2.147329</v>
      </c>
      <c r="AE4814">
        <v>0.4831666</v>
      </c>
      <c r="AF4814">
        <v>187.01349999999999</v>
      </c>
      <c r="AG4814">
        <f>IFERROR(AH4814*0.1, "N/A")</f>
        <v>5.9631129999999999</v>
      </c>
      <c r="AH4814">
        <v>59.631129999999999</v>
      </c>
      <c r="AI4814">
        <v>178.2688</v>
      </c>
      <c r="AJ4814">
        <v>28.631129999999999</v>
      </c>
      <c r="AK4814">
        <v>49.329949999999997</v>
      </c>
    </row>
    <row r="4815" spans="1:37" x14ac:dyDescent="0.3">
      <c r="A4815">
        <v>4814</v>
      </c>
      <c r="B4815">
        <v>8</v>
      </c>
      <c r="C4815">
        <v>9.0704700000000003</v>
      </c>
      <c r="D4815">
        <v>13.6038</v>
      </c>
      <c r="E4815" t="s">
        <v>7659</v>
      </c>
      <c r="F4815" t="s">
        <v>7660</v>
      </c>
      <c r="G4815" t="s">
        <v>39</v>
      </c>
      <c r="H4815">
        <v>0</v>
      </c>
      <c r="I4815">
        <v>28.1</v>
      </c>
      <c r="J4815">
        <v>14.6</v>
      </c>
      <c r="K4815">
        <v>55</v>
      </c>
      <c r="L4815">
        <v>33.28</v>
      </c>
      <c r="M4815">
        <v>40.4</v>
      </c>
      <c r="N4815">
        <v>14.3</v>
      </c>
      <c r="O4815">
        <v>26.1</v>
      </c>
      <c r="P4815">
        <v>28</v>
      </c>
      <c r="Q4815">
        <v>23.8</v>
      </c>
      <c r="R4815">
        <v>32.299999999999997</v>
      </c>
      <c r="S4815">
        <v>23.4</v>
      </c>
      <c r="T4815">
        <v>376</v>
      </c>
      <c r="U4815">
        <v>147</v>
      </c>
      <c r="V4815">
        <v>0</v>
      </c>
      <c r="W4815">
        <v>151</v>
      </c>
      <c r="X4815">
        <v>319</v>
      </c>
      <c r="Y4815">
        <v>0</v>
      </c>
      <c r="Z4815">
        <v>51</v>
      </c>
      <c r="AA4815">
        <v>0</v>
      </c>
      <c r="AB4815">
        <v>0.40220529999999999</v>
      </c>
      <c r="AC4815">
        <v>0.99364699999999995</v>
      </c>
      <c r="AD4815">
        <v>0.78941300000000003</v>
      </c>
      <c r="AE4815">
        <v>0.70249850000000003</v>
      </c>
      <c r="AF4815">
        <v>419.78640000000001</v>
      </c>
      <c r="AG4815">
        <f>IFERROR(AH4815*0.1, "N/A")</f>
        <v>6.7</v>
      </c>
      <c r="AH4815">
        <v>67</v>
      </c>
      <c r="AI4815">
        <v>65.260980000000004</v>
      </c>
      <c r="AJ4815">
        <v>6.0881360000000004</v>
      </c>
      <c r="AK4815">
        <v>80.033900000000003</v>
      </c>
    </row>
    <row r="4816" spans="1:37" x14ac:dyDescent="0.3">
      <c r="A4816">
        <v>4815</v>
      </c>
      <c r="B4816">
        <v>11.3</v>
      </c>
      <c r="C4816">
        <v>1.9955499999999999</v>
      </c>
      <c r="D4816">
        <v>13.605700000000001</v>
      </c>
      <c r="E4816" t="s">
        <v>7661</v>
      </c>
      <c r="F4816" t="s">
        <v>7662</v>
      </c>
      <c r="G4816" t="s">
        <v>39</v>
      </c>
      <c r="H4816">
        <v>0</v>
      </c>
      <c r="I4816">
        <v>29.2</v>
      </c>
      <c r="J4816">
        <v>14.7</v>
      </c>
      <c r="K4816">
        <v>56</v>
      </c>
      <c r="L4816">
        <v>29.65</v>
      </c>
      <c r="M4816">
        <v>41.4</v>
      </c>
      <c r="N4816">
        <v>15.2</v>
      </c>
      <c r="O4816">
        <v>26.2</v>
      </c>
      <c r="P4816">
        <v>28.3</v>
      </c>
      <c r="Q4816">
        <v>25.6</v>
      </c>
      <c r="R4816">
        <v>32.9</v>
      </c>
      <c r="S4816">
        <v>25.3</v>
      </c>
      <c r="T4816">
        <v>461</v>
      </c>
      <c r="U4816">
        <v>160</v>
      </c>
      <c r="V4816">
        <v>0</v>
      </c>
      <c r="W4816">
        <v>136</v>
      </c>
      <c r="X4816">
        <v>361</v>
      </c>
      <c r="Y4816">
        <v>0</v>
      </c>
      <c r="Z4816">
        <v>90</v>
      </c>
      <c r="AA4816">
        <v>0</v>
      </c>
      <c r="AB4816">
        <v>7.1846300000000003</v>
      </c>
      <c r="AC4816">
        <v>9.8992720000000006E-3</v>
      </c>
      <c r="AD4816">
        <v>1.128401</v>
      </c>
      <c r="AE4816">
        <v>0.72991760000000006</v>
      </c>
      <c r="AF4816">
        <v>224.8682</v>
      </c>
      <c r="AG4816">
        <f>IFERROR(AH4816*0.1, "N/A")</f>
        <v>5.6854730000000009</v>
      </c>
      <c r="AH4816">
        <v>56.854730000000004</v>
      </c>
      <c r="AI4816">
        <v>185.10319999999999</v>
      </c>
      <c r="AJ4816">
        <v>11.90034</v>
      </c>
      <c r="AK4816">
        <v>73.344589999999997</v>
      </c>
    </row>
    <row r="4817" spans="1:37" x14ac:dyDescent="0.3">
      <c r="A4817">
        <v>4816</v>
      </c>
      <c r="B4817">
        <v>72.7</v>
      </c>
      <c r="C4817">
        <v>1.8716299999999999</v>
      </c>
      <c r="D4817">
        <v>13.612399999999999</v>
      </c>
      <c r="E4817" t="s">
        <v>7663</v>
      </c>
      <c r="F4817" t="s">
        <v>7664</v>
      </c>
      <c r="G4817" t="s">
        <v>39</v>
      </c>
      <c r="H4817">
        <v>0</v>
      </c>
      <c r="I4817">
        <v>29.4</v>
      </c>
      <c r="J4817">
        <v>14.6</v>
      </c>
      <c r="K4817">
        <v>56</v>
      </c>
      <c r="L4817">
        <v>29.3</v>
      </c>
      <c r="M4817">
        <v>41.5</v>
      </c>
      <c r="N4817">
        <v>15.6</v>
      </c>
      <c r="O4817">
        <v>25.9</v>
      </c>
      <c r="P4817">
        <v>28.6</v>
      </c>
      <c r="Q4817">
        <v>25.9</v>
      </c>
      <c r="R4817">
        <v>33.1</v>
      </c>
      <c r="S4817">
        <v>25.6</v>
      </c>
      <c r="T4817">
        <v>444</v>
      </c>
      <c r="U4817">
        <v>155</v>
      </c>
      <c r="V4817">
        <v>0</v>
      </c>
      <c r="W4817">
        <v>135</v>
      </c>
      <c r="X4817">
        <v>347</v>
      </c>
      <c r="Y4817">
        <v>0</v>
      </c>
      <c r="Z4817">
        <v>88</v>
      </c>
      <c r="AA4817">
        <v>0</v>
      </c>
      <c r="AB4817">
        <v>5.539453</v>
      </c>
      <c r="AC4817">
        <v>9.9664339999999997E-3</v>
      </c>
      <c r="AD4817">
        <v>0.9213964</v>
      </c>
      <c r="AE4817">
        <v>0.34739809999999999</v>
      </c>
      <c r="AF4817">
        <v>190.00839999999999</v>
      </c>
      <c r="AG4817">
        <f>IFERROR(AH4817*0.1, "N/A")</f>
        <v>5.6716690000000005</v>
      </c>
      <c r="AH4817">
        <v>56.71669</v>
      </c>
      <c r="AI4817">
        <v>36.094799999999999</v>
      </c>
      <c r="AJ4817">
        <v>17.291740000000001</v>
      </c>
      <c r="AK4817">
        <v>65.274870000000007</v>
      </c>
    </row>
    <row r="4818" spans="1:37" x14ac:dyDescent="0.3">
      <c r="A4818">
        <v>4817</v>
      </c>
      <c r="B4818">
        <v>0</v>
      </c>
      <c r="C4818">
        <v>1.8666700000000001</v>
      </c>
      <c r="D4818">
        <v>13.6167</v>
      </c>
      <c r="E4818" t="s">
        <v>7665</v>
      </c>
      <c r="F4818" t="s">
        <v>7666</v>
      </c>
      <c r="G4818" t="s">
        <v>37</v>
      </c>
      <c r="H4818">
        <v>2004</v>
      </c>
      <c r="I4818">
        <v>29.376139999999999</v>
      </c>
      <c r="J4818">
        <v>14.6</v>
      </c>
      <c r="K4818">
        <v>56</v>
      </c>
      <c r="L4818">
        <v>29.078430000000001</v>
      </c>
      <c r="M4818">
        <v>41.448219999999999</v>
      </c>
      <c r="N4818">
        <v>15.62673</v>
      </c>
      <c r="O4818">
        <v>25.821490000000001</v>
      </c>
      <c r="P4818">
        <v>28.576139999999999</v>
      </c>
      <c r="Q4818">
        <v>25.876139999999999</v>
      </c>
      <c r="R4818">
        <v>33.076140000000002</v>
      </c>
      <c r="S4818">
        <v>25.602879999999999</v>
      </c>
      <c r="T4818">
        <v>443.14550000000003</v>
      </c>
      <c r="U4818">
        <v>155</v>
      </c>
      <c r="V4818">
        <v>0</v>
      </c>
      <c r="W4818">
        <v>136.6396</v>
      </c>
      <c r="X4818">
        <v>346.45350000000002</v>
      </c>
      <c r="Y4818">
        <v>0</v>
      </c>
      <c r="Z4818">
        <v>87.692049999999995</v>
      </c>
      <c r="AA4818">
        <v>0</v>
      </c>
      <c r="AB4818">
        <v>1.5642959999999999</v>
      </c>
      <c r="AC4818">
        <v>0.1291437</v>
      </c>
      <c r="AD4818">
        <v>1.40648</v>
      </c>
      <c r="AE4818">
        <v>0.31682519999999997</v>
      </c>
      <c r="AF4818">
        <v>188.32320000000001</v>
      </c>
      <c r="AG4818">
        <f>IFERROR(AH4818*0.1, "N/A")</f>
        <v>7.3482230000000008</v>
      </c>
      <c r="AH4818">
        <v>73.482230000000001</v>
      </c>
      <c r="AI4818">
        <v>94.180949999999996</v>
      </c>
      <c r="AJ4818">
        <v>19</v>
      </c>
      <c r="AK4818">
        <v>51.857869999999998</v>
      </c>
    </row>
    <row r="4819" spans="1:37" x14ac:dyDescent="0.3">
      <c r="A4819">
        <v>4818</v>
      </c>
      <c r="B4819">
        <v>3</v>
      </c>
      <c r="C4819">
        <v>1.8666700000000001</v>
      </c>
      <c r="D4819">
        <v>13.6167</v>
      </c>
      <c r="E4819" t="s">
        <v>7665</v>
      </c>
      <c r="F4819" t="s">
        <v>7667</v>
      </c>
      <c r="G4819" t="s">
        <v>39</v>
      </c>
      <c r="H4819">
        <v>2004</v>
      </c>
      <c r="I4819">
        <v>29.376139999999999</v>
      </c>
      <c r="J4819">
        <v>14.6</v>
      </c>
      <c r="K4819">
        <v>56</v>
      </c>
      <c r="L4819">
        <v>29.078430000000001</v>
      </c>
      <c r="M4819">
        <v>41.448219999999999</v>
      </c>
      <c r="N4819">
        <v>15.62673</v>
      </c>
      <c r="O4819">
        <v>25.821490000000001</v>
      </c>
      <c r="P4819">
        <v>28.576139999999999</v>
      </c>
      <c r="Q4819">
        <v>25.876139999999999</v>
      </c>
      <c r="R4819">
        <v>33.076140000000002</v>
      </c>
      <c r="S4819">
        <v>25.602879999999999</v>
      </c>
      <c r="T4819">
        <v>443.14550000000003</v>
      </c>
      <c r="U4819">
        <v>155</v>
      </c>
      <c r="V4819">
        <v>0</v>
      </c>
      <c r="W4819">
        <v>136.6396</v>
      </c>
      <c r="X4819">
        <v>346.45350000000002</v>
      </c>
      <c r="Y4819">
        <v>0</v>
      </c>
      <c r="Z4819">
        <v>87.692049999999995</v>
      </c>
      <c r="AA4819">
        <v>0</v>
      </c>
      <c r="AB4819">
        <v>1.5642959999999999</v>
      </c>
      <c r="AC4819">
        <v>0.1291437</v>
      </c>
      <c r="AD4819">
        <v>1.40648</v>
      </c>
      <c r="AE4819">
        <v>0.31682519999999997</v>
      </c>
      <c r="AF4819">
        <v>188.32320000000001</v>
      </c>
      <c r="AG4819">
        <f>IFERROR(AH4819*0.1, "N/A")</f>
        <v>7.3482230000000008</v>
      </c>
      <c r="AH4819">
        <v>73.482230000000001</v>
      </c>
      <c r="AI4819">
        <v>94.180949999999996</v>
      </c>
      <c r="AJ4819">
        <v>19</v>
      </c>
      <c r="AK4819">
        <v>51.857869999999998</v>
      </c>
    </row>
    <row r="4820" spans="1:37" x14ac:dyDescent="0.3">
      <c r="A4820">
        <v>4819</v>
      </c>
      <c r="B4820">
        <v>0</v>
      </c>
      <c r="C4820">
        <v>9.1782199999999996</v>
      </c>
      <c r="D4820">
        <v>13.617699999999999</v>
      </c>
      <c r="E4820" t="s">
        <v>7668</v>
      </c>
      <c r="F4820" t="s">
        <v>7669</v>
      </c>
      <c r="G4820" t="s">
        <v>39</v>
      </c>
      <c r="H4820">
        <v>0</v>
      </c>
      <c r="I4820">
        <v>28.2</v>
      </c>
      <c r="J4820">
        <v>14.7</v>
      </c>
      <c r="K4820">
        <v>56</v>
      </c>
      <c r="L4820">
        <v>32.5</v>
      </c>
      <c r="M4820">
        <v>40.6</v>
      </c>
      <c r="N4820">
        <v>14.7</v>
      </c>
      <c r="O4820">
        <v>25.9</v>
      </c>
      <c r="P4820">
        <v>28</v>
      </c>
      <c r="Q4820">
        <v>24.1</v>
      </c>
      <c r="R4820">
        <v>32.4</v>
      </c>
      <c r="S4820">
        <v>23.7</v>
      </c>
      <c r="T4820">
        <v>362</v>
      </c>
      <c r="U4820">
        <v>140</v>
      </c>
      <c r="V4820">
        <v>0</v>
      </c>
      <c r="W4820">
        <v>150</v>
      </c>
      <c r="X4820">
        <v>307</v>
      </c>
      <c r="Y4820">
        <v>0</v>
      </c>
      <c r="Z4820">
        <v>49</v>
      </c>
      <c r="AA4820">
        <v>0</v>
      </c>
      <c r="AB4820">
        <v>11.238519999999999</v>
      </c>
      <c r="AC4820">
        <v>5.2089990000000003E-2</v>
      </c>
      <c r="AD4820">
        <v>1.4782930000000001</v>
      </c>
      <c r="AE4820">
        <v>0.6889651</v>
      </c>
      <c r="AF4820">
        <v>401.1875</v>
      </c>
      <c r="AG4820">
        <f>IFERROR(AH4820*0.1, "N/A")</f>
        <v>6.7628380000000012</v>
      </c>
      <c r="AH4820">
        <v>67.628380000000007</v>
      </c>
      <c r="AI4820">
        <v>172.1386</v>
      </c>
      <c r="AJ4820">
        <v>8.9966220000000003</v>
      </c>
      <c r="AK4820">
        <v>79.996619999999993</v>
      </c>
    </row>
    <row r="4821" spans="1:37" x14ac:dyDescent="0.3">
      <c r="A4821">
        <v>4820</v>
      </c>
      <c r="B4821">
        <v>61.8</v>
      </c>
      <c r="C4821">
        <v>1.8801000000000001</v>
      </c>
      <c r="D4821">
        <v>13.6182</v>
      </c>
      <c r="E4821" t="s">
        <v>7670</v>
      </c>
      <c r="F4821" t="s">
        <v>7671</v>
      </c>
      <c r="G4821" t="s">
        <v>39</v>
      </c>
      <c r="H4821">
        <v>2001</v>
      </c>
      <c r="I4821">
        <v>29.4</v>
      </c>
      <c r="J4821">
        <v>14.6</v>
      </c>
      <c r="K4821">
        <v>56</v>
      </c>
      <c r="L4821">
        <v>29.18</v>
      </c>
      <c r="M4821">
        <v>41.5</v>
      </c>
      <c r="N4821">
        <v>15.6</v>
      </c>
      <c r="O4821">
        <v>25.9</v>
      </c>
      <c r="P4821">
        <v>28.6</v>
      </c>
      <c r="Q4821">
        <v>25.9</v>
      </c>
      <c r="R4821">
        <v>33.1</v>
      </c>
      <c r="S4821">
        <v>25.6</v>
      </c>
      <c r="T4821">
        <v>444</v>
      </c>
      <c r="U4821">
        <v>155</v>
      </c>
      <c r="V4821">
        <v>0</v>
      </c>
      <c r="W4821">
        <v>135</v>
      </c>
      <c r="X4821">
        <v>347</v>
      </c>
      <c r="Y4821">
        <v>0</v>
      </c>
      <c r="Z4821">
        <v>88</v>
      </c>
      <c r="AA4821">
        <v>0</v>
      </c>
      <c r="AB4821">
        <v>4.4418870000000004</v>
      </c>
      <c r="AC4821">
        <v>1.0923749999999999E-2</v>
      </c>
      <c r="AD4821">
        <v>1.0737159999999999</v>
      </c>
      <c r="AE4821">
        <v>0.37951859999999998</v>
      </c>
      <c r="AF4821">
        <v>185.91220000000001</v>
      </c>
      <c r="AG4821">
        <f>IFERROR(AH4821*0.1, "N/A")</f>
        <v>6.288176</v>
      </c>
      <c r="AH4821">
        <v>62.88176</v>
      </c>
      <c r="AI4821">
        <v>132.20429999999999</v>
      </c>
      <c r="AJ4821">
        <v>32.91892</v>
      </c>
      <c r="AK4821">
        <v>47.08108</v>
      </c>
    </row>
    <row r="4822" spans="1:37" x14ac:dyDescent="0.3">
      <c r="A4822">
        <v>4821</v>
      </c>
      <c r="B4822">
        <v>8</v>
      </c>
      <c r="C4822">
        <v>9.4355200000000004</v>
      </c>
      <c r="D4822">
        <v>13.619199999999999</v>
      </c>
      <c r="E4822" t="s">
        <v>7672</v>
      </c>
      <c r="F4822" t="s">
        <v>7673</v>
      </c>
      <c r="G4822" t="s">
        <v>39</v>
      </c>
      <c r="H4822">
        <v>0</v>
      </c>
      <c r="I4822">
        <v>27.8</v>
      </c>
      <c r="J4822">
        <v>14.9</v>
      </c>
      <c r="K4822">
        <v>56</v>
      </c>
      <c r="L4822">
        <v>32.26</v>
      </c>
      <c r="M4822">
        <v>40.4</v>
      </c>
      <c r="N4822">
        <v>14.2</v>
      </c>
      <c r="O4822">
        <v>26.2</v>
      </c>
      <c r="P4822">
        <v>27.7</v>
      </c>
      <c r="Q4822">
        <v>23.7</v>
      </c>
      <c r="R4822">
        <v>32</v>
      </c>
      <c r="S4822">
        <v>23.4</v>
      </c>
      <c r="T4822">
        <v>338</v>
      </c>
      <c r="U4822">
        <v>126</v>
      </c>
      <c r="V4822">
        <v>0</v>
      </c>
      <c r="W4822">
        <v>150</v>
      </c>
      <c r="X4822">
        <v>286</v>
      </c>
      <c r="Y4822">
        <v>0</v>
      </c>
      <c r="Z4822">
        <v>47</v>
      </c>
      <c r="AA4822">
        <v>0</v>
      </c>
      <c r="AB4822">
        <v>7.7003539999999999</v>
      </c>
      <c r="AC4822">
        <v>1.31983E-2</v>
      </c>
      <c r="AD4822">
        <v>1.3844829999999999</v>
      </c>
      <c r="AE4822">
        <v>0.47530030000000001</v>
      </c>
      <c r="AF4822">
        <v>408.44260000000003</v>
      </c>
      <c r="AG4822">
        <f>IFERROR(AH4822*0.1, "N/A")</f>
        <v>6.6101349999999996</v>
      </c>
      <c r="AH4822">
        <v>66.101349999999996</v>
      </c>
      <c r="AI4822">
        <v>202.977</v>
      </c>
      <c r="AJ4822">
        <v>9</v>
      </c>
      <c r="AK4822">
        <v>81</v>
      </c>
    </row>
    <row r="4823" spans="1:37" x14ac:dyDescent="0.3">
      <c r="A4823">
        <v>4822</v>
      </c>
      <c r="B4823">
        <v>72</v>
      </c>
      <c r="C4823">
        <v>9.0969999999999995</v>
      </c>
      <c r="D4823">
        <v>13.6225</v>
      </c>
      <c r="E4823" t="s">
        <v>7674</v>
      </c>
      <c r="F4823" t="s">
        <v>7675</v>
      </c>
      <c r="G4823" t="s">
        <v>39</v>
      </c>
      <c r="H4823">
        <v>0</v>
      </c>
      <c r="I4823">
        <v>28.2</v>
      </c>
      <c r="J4823">
        <v>14.6</v>
      </c>
      <c r="K4823">
        <v>56</v>
      </c>
      <c r="L4823">
        <v>32.840000000000003</v>
      </c>
      <c r="M4823">
        <v>40.5</v>
      </c>
      <c r="N4823">
        <v>14.5</v>
      </c>
      <c r="O4823">
        <v>26</v>
      </c>
      <c r="P4823">
        <v>28.1</v>
      </c>
      <c r="Q4823">
        <v>24</v>
      </c>
      <c r="R4823">
        <v>32.4</v>
      </c>
      <c r="S4823">
        <v>23.6</v>
      </c>
      <c r="T4823">
        <v>372</v>
      </c>
      <c r="U4823">
        <v>146</v>
      </c>
      <c r="V4823">
        <v>0</v>
      </c>
      <c r="W4823">
        <v>150</v>
      </c>
      <c r="X4823">
        <v>316</v>
      </c>
      <c r="Y4823">
        <v>0</v>
      </c>
      <c r="Z4823">
        <v>50</v>
      </c>
      <c r="AA4823">
        <v>0</v>
      </c>
      <c r="AB4823">
        <v>1.8421369999999999</v>
      </c>
      <c r="AC4823">
        <v>1.610932</v>
      </c>
      <c r="AD4823">
        <v>0.40644000000000002</v>
      </c>
      <c r="AE4823">
        <v>0.70448489999999997</v>
      </c>
      <c r="AF4823">
        <v>413.76900000000001</v>
      </c>
      <c r="AG4823">
        <f>IFERROR(AH4823*0.1, "N/A")</f>
        <v>6.913322</v>
      </c>
      <c r="AH4823">
        <v>69.133219999999994</v>
      </c>
      <c r="AI4823">
        <v>107.88849999999999</v>
      </c>
      <c r="AJ4823">
        <v>9.1332210000000007</v>
      </c>
      <c r="AK4823">
        <v>75.866780000000006</v>
      </c>
    </row>
    <row r="4824" spans="1:37" x14ac:dyDescent="0.3">
      <c r="A4824">
        <v>4823</v>
      </c>
      <c r="B4824">
        <v>93.1</v>
      </c>
      <c r="C4824">
        <v>1.8596699999999999</v>
      </c>
      <c r="D4824">
        <v>13.6235</v>
      </c>
      <c r="E4824" t="s">
        <v>7676</v>
      </c>
      <c r="F4824" t="s">
        <v>7677</v>
      </c>
      <c r="G4824" t="s">
        <v>39</v>
      </c>
      <c r="H4824">
        <v>0</v>
      </c>
      <c r="I4824">
        <v>29.4</v>
      </c>
      <c r="J4824">
        <v>14.6</v>
      </c>
      <c r="K4824">
        <v>56</v>
      </c>
      <c r="L4824">
        <v>29.13</v>
      </c>
      <c r="M4824">
        <v>41.4</v>
      </c>
      <c r="N4824">
        <v>15.6</v>
      </c>
      <c r="O4824">
        <v>25.8</v>
      </c>
      <c r="P4824">
        <v>28.6</v>
      </c>
      <c r="Q4824">
        <v>25.9</v>
      </c>
      <c r="R4824">
        <v>33.1</v>
      </c>
      <c r="S4824">
        <v>25.6</v>
      </c>
      <c r="T4824">
        <v>442</v>
      </c>
      <c r="U4824">
        <v>155</v>
      </c>
      <c r="V4824">
        <v>0</v>
      </c>
      <c r="W4824">
        <v>138</v>
      </c>
      <c r="X4824">
        <v>346</v>
      </c>
      <c r="Y4824">
        <v>0</v>
      </c>
      <c r="Z4824">
        <v>87</v>
      </c>
      <c r="AA4824">
        <v>0</v>
      </c>
      <c r="AB4824">
        <v>4.0732819999999998</v>
      </c>
      <c r="AC4824">
        <v>1.0183920000000001E-2</v>
      </c>
      <c r="AD4824">
        <v>0.63035830000000004</v>
      </c>
      <c r="AE4824">
        <v>0.3575065</v>
      </c>
      <c r="AF4824">
        <v>189.9983</v>
      </c>
      <c r="AG4824">
        <f>IFERROR(AH4824*0.1, "N/A")</f>
        <v>6.7517650000000007</v>
      </c>
      <c r="AH4824">
        <v>67.517650000000003</v>
      </c>
      <c r="AI4824">
        <v>129.9194</v>
      </c>
      <c r="AJ4824">
        <v>20.228570000000001</v>
      </c>
      <c r="AK4824">
        <v>57.527729999999998</v>
      </c>
    </row>
    <row r="4825" spans="1:37" x14ac:dyDescent="0.3">
      <c r="A4825">
        <v>4824</v>
      </c>
      <c r="B4825">
        <v>70</v>
      </c>
      <c r="C4825">
        <v>8.9448299999999996</v>
      </c>
      <c r="D4825">
        <v>13.6373</v>
      </c>
      <c r="E4825" t="s">
        <v>7678</v>
      </c>
      <c r="F4825" t="s">
        <v>7679</v>
      </c>
      <c r="G4825" t="s">
        <v>39</v>
      </c>
      <c r="H4825">
        <v>0</v>
      </c>
      <c r="I4825">
        <v>28</v>
      </c>
      <c r="J4825">
        <v>14.4</v>
      </c>
      <c r="K4825">
        <v>55</v>
      </c>
      <c r="L4825">
        <v>33.6</v>
      </c>
      <c r="M4825">
        <v>40.1</v>
      </c>
      <c r="N4825">
        <v>14</v>
      </c>
      <c r="O4825">
        <v>26.1</v>
      </c>
      <c r="P4825">
        <v>28.3</v>
      </c>
      <c r="Q4825">
        <v>23.5</v>
      </c>
      <c r="R4825">
        <v>32.200000000000003</v>
      </c>
      <c r="S4825">
        <v>23.2</v>
      </c>
      <c r="T4825">
        <v>381</v>
      </c>
      <c r="U4825">
        <v>152</v>
      </c>
      <c r="V4825">
        <v>0</v>
      </c>
      <c r="W4825">
        <v>155</v>
      </c>
      <c r="X4825">
        <v>324</v>
      </c>
      <c r="Y4825">
        <v>0</v>
      </c>
      <c r="Z4825">
        <v>51</v>
      </c>
      <c r="AA4825">
        <v>0</v>
      </c>
      <c r="AB4825">
        <v>13.88669</v>
      </c>
      <c r="AC4825">
        <v>1.2313360000000001E-2</v>
      </c>
      <c r="AD4825">
        <v>1.137756</v>
      </c>
      <c r="AE4825">
        <v>0.70582449999999997</v>
      </c>
      <c r="AF4825">
        <v>433.601</v>
      </c>
      <c r="AG4825">
        <f>IFERROR(AH4825*0.1, "N/A")</f>
        <v>6.5186869999999999</v>
      </c>
      <c r="AH4825">
        <v>65.186869999999999</v>
      </c>
      <c r="AI4825">
        <v>289.49340000000001</v>
      </c>
      <c r="AJ4825">
        <v>9.9377099999999992</v>
      </c>
      <c r="AK4825">
        <v>78.124579999999995</v>
      </c>
    </row>
    <row r="4826" spans="1:37" x14ac:dyDescent="0.3">
      <c r="A4826">
        <v>4825</v>
      </c>
      <c r="B4826">
        <v>100</v>
      </c>
      <c r="C4826">
        <v>1.881</v>
      </c>
      <c r="D4826">
        <v>13.6373</v>
      </c>
      <c r="E4826" t="s">
        <v>7680</v>
      </c>
      <c r="F4826" t="s">
        <v>7681</v>
      </c>
      <c r="G4826" t="s">
        <v>39</v>
      </c>
      <c r="H4826">
        <v>0</v>
      </c>
      <c r="I4826">
        <v>29.1</v>
      </c>
      <c r="J4826">
        <v>14.6</v>
      </c>
      <c r="K4826">
        <v>56</v>
      </c>
      <c r="L4826">
        <v>28.81</v>
      </c>
      <c r="M4826">
        <v>41.2</v>
      </c>
      <c r="N4826">
        <v>15.5</v>
      </c>
      <c r="O4826">
        <v>25.7</v>
      </c>
      <c r="P4826">
        <v>28.4</v>
      </c>
      <c r="Q4826">
        <v>25.7</v>
      </c>
      <c r="R4826">
        <v>32.799999999999997</v>
      </c>
      <c r="S4826">
        <v>25.4</v>
      </c>
      <c r="T4826">
        <v>441</v>
      </c>
      <c r="U4826">
        <v>155</v>
      </c>
      <c r="V4826">
        <v>0</v>
      </c>
      <c r="W4826">
        <v>138</v>
      </c>
      <c r="X4826">
        <v>346</v>
      </c>
      <c r="Y4826">
        <v>0</v>
      </c>
      <c r="Z4826">
        <v>86</v>
      </c>
      <c r="AA4826">
        <v>0</v>
      </c>
      <c r="AB4826">
        <v>19.858160000000002</v>
      </c>
      <c r="AC4826">
        <v>8.8702680000000006E-3</v>
      </c>
      <c r="AD4826">
        <v>2.4412099999999999</v>
      </c>
      <c r="AE4826">
        <v>0.55312190000000006</v>
      </c>
      <c r="AF4826">
        <v>210.8723</v>
      </c>
      <c r="AG4826">
        <f>IFERROR(AH4826*0.1, "N/A")</f>
        <v>6.5336129999999999</v>
      </c>
      <c r="AH4826">
        <v>65.336129999999997</v>
      </c>
      <c r="AI4826">
        <v>207.3006</v>
      </c>
      <c r="AJ4826">
        <v>16.55462</v>
      </c>
      <c r="AK4826">
        <v>63.781509999999997</v>
      </c>
    </row>
    <row r="4827" spans="1:37" x14ac:dyDescent="0.3">
      <c r="A4827">
        <v>4826</v>
      </c>
      <c r="B4827">
        <v>70</v>
      </c>
      <c r="C4827">
        <v>8.9611099999999997</v>
      </c>
      <c r="D4827">
        <v>13.6417</v>
      </c>
      <c r="E4827" t="s">
        <v>7682</v>
      </c>
      <c r="F4827" t="s">
        <v>7683</v>
      </c>
      <c r="G4827" t="s">
        <v>39</v>
      </c>
      <c r="H4827">
        <v>0</v>
      </c>
      <c r="I4827">
        <v>28</v>
      </c>
      <c r="J4827">
        <v>14.5</v>
      </c>
      <c r="K4827">
        <v>55</v>
      </c>
      <c r="L4827">
        <v>33.835250000000002</v>
      </c>
      <c r="M4827">
        <v>40.200000000000003</v>
      </c>
      <c r="N4827">
        <v>14</v>
      </c>
      <c r="O4827">
        <v>26.2</v>
      </c>
      <c r="P4827">
        <v>28.257909999999999</v>
      </c>
      <c r="Q4827">
        <v>23.542090000000002</v>
      </c>
      <c r="R4827">
        <v>32.242089999999997</v>
      </c>
      <c r="S4827">
        <v>23.2</v>
      </c>
      <c r="T4827">
        <v>381</v>
      </c>
      <c r="U4827">
        <v>152</v>
      </c>
      <c r="V4827">
        <v>0</v>
      </c>
      <c r="W4827">
        <v>155</v>
      </c>
      <c r="X4827">
        <v>324</v>
      </c>
      <c r="Y4827">
        <v>0</v>
      </c>
      <c r="Z4827">
        <v>51</v>
      </c>
      <c r="AA4827">
        <v>0</v>
      </c>
      <c r="AB4827">
        <v>0.54091259999999997</v>
      </c>
      <c r="AC4827">
        <v>0.27692519999999998</v>
      </c>
      <c r="AD4827">
        <v>1.710099</v>
      </c>
      <c r="AE4827">
        <v>0.71228639999999999</v>
      </c>
      <c r="AF4827">
        <v>431.2525</v>
      </c>
      <c r="AG4827">
        <f>IFERROR(AH4827*0.1, "N/A")</f>
        <v>6.7996629999999998</v>
      </c>
      <c r="AH4827">
        <v>67.996629999999996</v>
      </c>
      <c r="AI4827">
        <v>267.8886</v>
      </c>
      <c r="AJ4827">
        <v>8.1531990000000008</v>
      </c>
      <c r="AK4827">
        <v>78.323229999999995</v>
      </c>
    </row>
    <row r="4828" spans="1:37" x14ac:dyDescent="0.3">
      <c r="A4828">
        <v>4827</v>
      </c>
      <c r="B4828">
        <v>54</v>
      </c>
      <c r="C4828">
        <v>1.7806299999999999</v>
      </c>
      <c r="D4828">
        <v>13.6442</v>
      </c>
      <c r="E4828" t="s">
        <v>7684</v>
      </c>
      <c r="F4828" t="s">
        <v>7685</v>
      </c>
      <c r="G4828" t="s">
        <v>39</v>
      </c>
      <c r="H4828">
        <v>0</v>
      </c>
      <c r="I4828">
        <v>29.2</v>
      </c>
      <c r="J4828">
        <v>14.5</v>
      </c>
      <c r="K4828">
        <v>56</v>
      </c>
      <c r="L4828">
        <v>28.92</v>
      </c>
      <c r="M4828">
        <v>41.2</v>
      </c>
      <c r="N4828">
        <v>15.6</v>
      </c>
      <c r="O4828">
        <v>25.6</v>
      </c>
      <c r="P4828">
        <v>28.5</v>
      </c>
      <c r="Q4828">
        <v>25.7</v>
      </c>
      <c r="R4828">
        <v>32.9</v>
      </c>
      <c r="S4828">
        <v>25.4</v>
      </c>
      <c r="T4828">
        <v>434</v>
      </c>
      <c r="U4828">
        <v>152</v>
      </c>
      <c r="V4828">
        <v>0</v>
      </c>
      <c r="W4828">
        <v>136</v>
      </c>
      <c r="X4828">
        <v>340</v>
      </c>
      <c r="Y4828">
        <v>0</v>
      </c>
      <c r="Z4828">
        <v>86</v>
      </c>
      <c r="AA4828">
        <v>0</v>
      </c>
      <c r="AB4828">
        <v>35.171280000000003</v>
      </c>
      <c r="AC4828">
        <v>1.37866E-2</v>
      </c>
      <c r="AD4828">
        <v>3.3740139999999998</v>
      </c>
      <c r="AE4828">
        <v>0.57053509999999996</v>
      </c>
      <c r="AF4828">
        <v>235.08109999999999</v>
      </c>
      <c r="AG4828">
        <f>IFERROR(AH4828*0.1, "N/A")</f>
        <v>5.4964530000000007</v>
      </c>
      <c r="AH4828">
        <v>54.964530000000003</v>
      </c>
      <c r="AI4828">
        <v>132.15270000000001</v>
      </c>
      <c r="AJ4828">
        <v>5.0472970000000004</v>
      </c>
      <c r="AK4828">
        <v>84.929050000000004</v>
      </c>
    </row>
    <row r="4829" spans="1:37" x14ac:dyDescent="0.3">
      <c r="A4829">
        <v>4828</v>
      </c>
      <c r="B4829">
        <v>42.9</v>
      </c>
      <c r="C4829">
        <v>1.8658699999999999</v>
      </c>
      <c r="D4829">
        <v>13.649900000000001</v>
      </c>
      <c r="E4829" t="s">
        <v>7686</v>
      </c>
      <c r="F4829" t="s">
        <v>7687</v>
      </c>
      <c r="G4829" t="s">
        <v>39</v>
      </c>
      <c r="H4829">
        <v>0</v>
      </c>
      <c r="I4829">
        <v>29.1</v>
      </c>
      <c r="J4829">
        <v>14.6</v>
      </c>
      <c r="K4829">
        <v>56</v>
      </c>
      <c r="L4829">
        <v>28.86271</v>
      </c>
      <c r="M4829">
        <v>41.2</v>
      </c>
      <c r="N4829">
        <v>15.5</v>
      </c>
      <c r="O4829">
        <v>25.7</v>
      </c>
      <c r="P4829">
        <v>28.4</v>
      </c>
      <c r="Q4829">
        <v>25.6</v>
      </c>
      <c r="R4829">
        <v>32.799999999999997</v>
      </c>
      <c r="S4829">
        <v>25.4</v>
      </c>
      <c r="T4829">
        <v>437.96469999999999</v>
      </c>
      <c r="U4829">
        <v>154</v>
      </c>
      <c r="V4829">
        <v>0</v>
      </c>
      <c r="W4829">
        <v>137</v>
      </c>
      <c r="X4829">
        <v>344</v>
      </c>
      <c r="Y4829">
        <v>0</v>
      </c>
      <c r="Z4829">
        <v>85.482349999999997</v>
      </c>
      <c r="AA4829">
        <v>0</v>
      </c>
      <c r="AB4829">
        <v>31.57798</v>
      </c>
      <c r="AC4829">
        <v>1.544886E-2</v>
      </c>
      <c r="AD4829">
        <v>2.2384400000000002</v>
      </c>
      <c r="AE4829">
        <v>0.43794810000000001</v>
      </c>
      <c r="AF4829">
        <v>232.43190000000001</v>
      </c>
      <c r="AG4829">
        <f>IFERROR(AH4829*0.1, "N/A")</f>
        <v>6.2</v>
      </c>
      <c r="AH4829">
        <v>62</v>
      </c>
      <c r="AI4829">
        <v>111.24550000000001</v>
      </c>
      <c r="AJ4829">
        <v>16</v>
      </c>
      <c r="AK4829">
        <v>70</v>
      </c>
    </row>
    <row r="4830" spans="1:37" x14ac:dyDescent="0.3">
      <c r="A4830">
        <v>4829</v>
      </c>
      <c r="B4830">
        <v>42.1</v>
      </c>
      <c r="C4830">
        <v>1.8163499999999999</v>
      </c>
      <c r="D4830">
        <v>13.650399999999999</v>
      </c>
      <c r="E4830" t="s">
        <v>7688</v>
      </c>
      <c r="F4830" t="s">
        <v>7689</v>
      </c>
      <c r="G4830" t="s">
        <v>39</v>
      </c>
      <c r="H4830">
        <v>0</v>
      </c>
      <c r="I4830">
        <v>29.389700000000001</v>
      </c>
      <c r="J4830">
        <v>14.5</v>
      </c>
      <c r="K4830">
        <v>56</v>
      </c>
      <c r="L4830">
        <v>29.074850000000001</v>
      </c>
      <c r="M4830">
        <v>41.489699999999999</v>
      </c>
      <c r="N4830">
        <v>15.692909999999999</v>
      </c>
      <c r="O4830">
        <v>25.796790000000001</v>
      </c>
      <c r="P4830">
        <v>28.689699999999998</v>
      </c>
      <c r="Q4830">
        <v>25.889700000000001</v>
      </c>
      <c r="R4830">
        <v>33.189700000000002</v>
      </c>
      <c r="S4830">
        <v>25.59291</v>
      </c>
      <c r="T4830">
        <v>432.23820000000001</v>
      </c>
      <c r="U4830">
        <v>152.03210000000001</v>
      </c>
      <c r="V4830">
        <v>0</v>
      </c>
      <c r="W4830">
        <v>135.03210000000001</v>
      </c>
      <c r="X4830">
        <v>338.13510000000002</v>
      </c>
      <c r="Y4830">
        <v>0</v>
      </c>
      <c r="Z4830">
        <v>86.103039999999993</v>
      </c>
      <c r="AA4830">
        <v>0</v>
      </c>
      <c r="AB4830">
        <v>6.5690799999999996</v>
      </c>
      <c r="AC4830">
        <v>9.7991970000000008E-3</v>
      </c>
      <c r="AD4830">
        <v>1.251781</v>
      </c>
      <c r="AE4830">
        <v>0.33090389999999997</v>
      </c>
      <c r="AF4830">
        <v>190.57769999999999</v>
      </c>
      <c r="AG4830">
        <f>IFERROR(AH4830*0.1, "N/A")</f>
        <v>7.2530410000000005</v>
      </c>
      <c r="AH4830">
        <v>72.530410000000003</v>
      </c>
      <c r="AI4830">
        <v>59.55227</v>
      </c>
      <c r="AJ4830">
        <v>21.46959</v>
      </c>
      <c r="AK4830">
        <v>61.530410000000003</v>
      </c>
    </row>
    <row r="4831" spans="1:37" x14ac:dyDescent="0.3">
      <c r="A4831">
        <v>4830</v>
      </c>
      <c r="B4831">
        <v>12.9</v>
      </c>
      <c r="C4831">
        <v>8.7072199999999995</v>
      </c>
      <c r="D4831">
        <v>13.650499999999999</v>
      </c>
      <c r="E4831" t="s">
        <v>7690</v>
      </c>
      <c r="F4831" t="s">
        <v>7691</v>
      </c>
      <c r="G4831" t="s">
        <v>39</v>
      </c>
      <c r="H4831">
        <v>0</v>
      </c>
      <c r="I4831">
        <v>27.7</v>
      </c>
      <c r="J4831">
        <v>14.5</v>
      </c>
      <c r="K4831">
        <v>55</v>
      </c>
      <c r="L4831">
        <v>33.407910000000001</v>
      </c>
      <c r="M4831">
        <v>39.805239999999998</v>
      </c>
      <c r="N4831">
        <v>13.7</v>
      </c>
      <c r="O4831">
        <v>26.105239999999998</v>
      </c>
      <c r="P4831">
        <v>28</v>
      </c>
      <c r="Q4831">
        <v>23.305240000000001</v>
      </c>
      <c r="R4831">
        <v>31.905239999999999</v>
      </c>
      <c r="S4831">
        <v>23</v>
      </c>
      <c r="T4831">
        <v>369</v>
      </c>
      <c r="U4831">
        <v>151</v>
      </c>
      <c r="V4831">
        <v>0</v>
      </c>
      <c r="W4831">
        <v>156</v>
      </c>
      <c r="X4831">
        <v>316</v>
      </c>
      <c r="Y4831">
        <v>0</v>
      </c>
      <c r="Z4831">
        <v>46</v>
      </c>
      <c r="AA4831">
        <v>0</v>
      </c>
      <c r="AB4831">
        <v>3.6947709999999998</v>
      </c>
      <c r="AC4831">
        <v>4.2074300000000002E-2</v>
      </c>
      <c r="AD4831">
        <v>2.107148</v>
      </c>
      <c r="AE4831">
        <v>0.58488660000000003</v>
      </c>
      <c r="AF4831">
        <v>441.89699999999999</v>
      </c>
      <c r="AG4831">
        <f>IFERROR(AH4831*0.1, "N/A")</f>
        <v>7.3037160000000005</v>
      </c>
      <c r="AH4831">
        <v>73.03716</v>
      </c>
      <c r="AI4831">
        <v>162.03039999999999</v>
      </c>
      <c r="AJ4831">
        <v>11</v>
      </c>
      <c r="AK4831">
        <v>77.01858</v>
      </c>
    </row>
    <row r="4832" spans="1:37" x14ac:dyDescent="0.3">
      <c r="A4832">
        <v>4831</v>
      </c>
      <c r="B4832">
        <v>16.7</v>
      </c>
      <c r="C4832">
        <v>2.8960300000000001</v>
      </c>
      <c r="D4832">
        <v>13.650600000000001</v>
      </c>
      <c r="E4832" t="s">
        <v>7692</v>
      </c>
      <c r="F4832" t="s">
        <v>7693</v>
      </c>
      <c r="G4832" t="s">
        <v>39</v>
      </c>
      <c r="H4832">
        <v>0</v>
      </c>
      <c r="I4832">
        <v>29.2</v>
      </c>
      <c r="J4832">
        <v>14</v>
      </c>
      <c r="K4832">
        <v>57</v>
      </c>
      <c r="L4832">
        <v>27.971109999999999</v>
      </c>
      <c r="M4832">
        <v>40.901859999999999</v>
      </c>
      <c r="N4832">
        <v>16.5</v>
      </c>
      <c r="O4832">
        <v>24.401859999999999</v>
      </c>
      <c r="P4832">
        <v>28.4</v>
      </c>
      <c r="Q4832">
        <v>25.801860000000001</v>
      </c>
      <c r="R4832">
        <v>32.9</v>
      </c>
      <c r="S4832">
        <v>25.6</v>
      </c>
      <c r="T4832">
        <v>430.01859999999999</v>
      </c>
      <c r="U4832">
        <v>148.01859999999999</v>
      </c>
      <c r="V4832">
        <v>0</v>
      </c>
      <c r="W4832">
        <v>137.01859999999999</v>
      </c>
      <c r="X4832">
        <v>336.01859999999999</v>
      </c>
      <c r="Y4832">
        <v>0</v>
      </c>
      <c r="Z4832">
        <v>87</v>
      </c>
      <c r="AA4832">
        <v>0</v>
      </c>
      <c r="AB4832">
        <v>1.5136799999999999</v>
      </c>
      <c r="AC4832">
        <v>0.30329509999999998</v>
      </c>
      <c r="AD4832">
        <v>1.3480589999999999</v>
      </c>
      <c r="AE4832">
        <v>0.65939579999999998</v>
      </c>
      <c r="AF4832">
        <v>204.22300000000001</v>
      </c>
      <c r="AG4832">
        <f>IFERROR(AH4832*0.1, "N/A")</f>
        <v>5.6780410000000003</v>
      </c>
      <c r="AH4832">
        <v>56.780410000000003</v>
      </c>
      <c r="AI4832">
        <v>215.94540000000001</v>
      </c>
      <c r="AJ4832">
        <v>9.6097970000000004</v>
      </c>
      <c r="AK4832">
        <v>82.780410000000003</v>
      </c>
    </row>
    <row r="4833" spans="1:37" x14ac:dyDescent="0.3">
      <c r="A4833">
        <v>4832</v>
      </c>
      <c r="B4833">
        <v>33.799999999999997</v>
      </c>
      <c r="C4833">
        <v>1.8304499999999999</v>
      </c>
      <c r="D4833">
        <v>13.658200000000001</v>
      </c>
      <c r="E4833" t="s">
        <v>7694</v>
      </c>
      <c r="F4833" t="s">
        <v>7695</v>
      </c>
      <c r="G4833" t="s">
        <v>39</v>
      </c>
      <c r="H4833">
        <v>0</v>
      </c>
      <c r="I4833">
        <v>29.4</v>
      </c>
      <c r="J4833">
        <v>14.5</v>
      </c>
      <c r="K4833">
        <v>56</v>
      </c>
      <c r="L4833">
        <v>28.987590000000001</v>
      </c>
      <c r="M4833">
        <v>41.5</v>
      </c>
      <c r="N4833">
        <v>15.7</v>
      </c>
      <c r="O4833">
        <v>25.8</v>
      </c>
      <c r="P4833">
        <v>28.7</v>
      </c>
      <c r="Q4833">
        <v>25.9</v>
      </c>
      <c r="R4833">
        <v>33.168970000000002</v>
      </c>
      <c r="S4833">
        <v>25.7</v>
      </c>
      <c r="T4833">
        <v>430.93090000000001</v>
      </c>
      <c r="U4833">
        <v>152</v>
      </c>
      <c r="V4833">
        <v>0</v>
      </c>
      <c r="W4833">
        <v>137.06909999999999</v>
      </c>
      <c r="X4833">
        <v>337.62060000000002</v>
      </c>
      <c r="Y4833">
        <v>0</v>
      </c>
      <c r="Z4833">
        <v>85.310289999999995</v>
      </c>
      <c r="AA4833">
        <v>0</v>
      </c>
      <c r="AB4833">
        <v>2.6145070000000001</v>
      </c>
      <c r="AC4833">
        <v>2.582926E-2</v>
      </c>
      <c r="AD4833">
        <v>1.0354669999999999</v>
      </c>
      <c r="AE4833">
        <v>0.38321640000000001</v>
      </c>
      <c r="AF4833">
        <v>183.70320000000001</v>
      </c>
      <c r="AG4833" t="str">
        <f>IFERROR(AH4833*0.1, "N/A")</f>
        <v>N/A</v>
      </c>
      <c r="AH4833" t="s">
        <v>729</v>
      </c>
      <c r="AI4833">
        <v>156.64410000000001</v>
      </c>
      <c r="AJ4833" t="s">
        <v>729</v>
      </c>
      <c r="AK4833" t="s">
        <v>729</v>
      </c>
    </row>
    <row r="4834" spans="1:37" x14ac:dyDescent="0.3">
      <c r="A4834">
        <v>4833</v>
      </c>
      <c r="B4834">
        <v>65.7</v>
      </c>
      <c r="C4834">
        <v>1.7750999999999999</v>
      </c>
      <c r="D4834">
        <v>13.6592</v>
      </c>
      <c r="E4834" t="s">
        <v>7696</v>
      </c>
      <c r="F4834" t="s">
        <v>7697</v>
      </c>
      <c r="G4834" t="s">
        <v>39</v>
      </c>
      <c r="H4834">
        <v>0</v>
      </c>
      <c r="I4834">
        <v>29.4</v>
      </c>
      <c r="J4834">
        <v>14.5</v>
      </c>
      <c r="K4834">
        <v>56</v>
      </c>
      <c r="L4834">
        <v>28.845559999999999</v>
      </c>
      <c r="M4834">
        <v>41.4</v>
      </c>
      <c r="N4834">
        <v>15.8</v>
      </c>
      <c r="O4834">
        <v>25.6</v>
      </c>
      <c r="P4834">
        <v>28.7</v>
      </c>
      <c r="Q4834">
        <v>26</v>
      </c>
      <c r="R4834">
        <v>33.146299999999997</v>
      </c>
      <c r="S4834">
        <v>25.7</v>
      </c>
      <c r="T4834">
        <v>427</v>
      </c>
      <c r="U4834">
        <v>150</v>
      </c>
      <c r="V4834">
        <v>0</v>
      </c>
      <c r="W4834">
        <v>137</v>
      </c>
      <c r="X4834">
        <v>335</v>
      </c>
      <c r="Y4834">
        <v>0</v>
      </c>
      <c r="Z4834">
        <v>84</v>
      </c>
      <c r="AA4834">
        <v>0</v>
      </c>
      <c r="AB4834">
        <v>14.01953</v>
      </c>
      <c r="AC4834">
        <v>1.1780580000000001E-2</v>
      </c>
      <c r="AD4834">
        <v>1.3595520000000001</v>
      </c>
      <c r="AE4834">
        <v>0.31164619999999998</v>
      </c>
      <c r="AF4834">
        <v>201.57409999999999</v>
      </c>
      <c r="AG4834">
        <f>IFERROR(AH4834*0.1, "N/A")</f>
        <v>5.9084180000000011</v>
      </c>
      <c r="AH4834">
        <v>59.084180000000003</v>
      </c>
      <c r="AI4834">
        <v>239.28210000000001</v>
      </c>
      <c r="AJ4834">
        <v>12.397309999999999</v>
      </c>
      <c r="AK4834">
        <v>74.05556</v>
      </c>
    </row>
    <row r="4835" spans="1:37" x14ac:dyDescent="0.3">
      <c r="A4835">
        <v>4834</v>
      </c>
      <c r="B4835">
        <v>85.7</v>
      </c>
      <c r="C4835">
        <v>1.8540000000000001</v>
      </c>
      <c r="D4835">
        <v>13.6593</v>
      </c>
      <c r="E4835" t="s">
        <v>7698</v>
      </c>
      <c r="F4835" t="s">
        <v>7699</v>
      </c>
      <c r="G4835" t="s">
        <v>39</v>
      </c>
      <c r="H4835">
        <v>1999</v>
      </c>
      <c r="I4835">
        <v>29.3</v>
      </c>
      <c r="J4835">
        <v>14.5</v>
      </c>
      <c r="K4835">
        <v>56</v>
      </c>
      <c r="L4835">
        <v>29.12</v>
      </c>
      <c r="M4835">
        <v>41.4</v>
      </c>
      <c r="N4835">
        <v>15.6</v>
      </c>
      <c r="O4835">
        <v>25.8</v>
      </c>
      <c r="P4835">
        <v>28.6</v>
      </c>
      <c r="Q4835">
        <v>25.8</v>
      </c>
      <c r="R4835">
        <v>33.1</v>
      </c>
      <c r="S4835">
        <v>25.6</v>
      </c>
      <c r="T4835">
        <v>432</v>
      </c>
      <c r="U4835">
        <v>153</v>
      </c>
      <c r="V4835">
        <v>0</v>
      </c>
      <c r="W4835">
        <v>136</v>
      </c>
      <c r="X4835">
        <v>340</v>
      </c>
      <c r="Y4835">
        <v>0</v>
      </c>
      <c r="Z4835">
        <v>84</v>
      </c>
      <c r="AA4835">
        <v>0</v>
      </c>
      <c r="AB4835">
        <v>20.831700000000001</v>
      </c>
      <c r="AC4835">
        <v>3.3327320000000001E-2</v>
      </c>
      <c r="AD4835">
        <v>2.4379580000000001</v>
      </c>
      <c r="AE4835">
        <v>0.61316029999999999</v>
      </c>
      <c r="AF4835">
        <v>206.75040000000001</v>
      </c>
      <c r="AG4835">
        <f>IFERROR(AH4835*0.1, "N/A")</f>
        <v>5.9689709999999998</v>
      </c>
      <c r="AH4835">
        <v>59.689709999999998</v>
      </c>
      <c r="AI4835">
        <v>191.59780000000001</v>
      </c>
      <c r="AJ4835">
        <v>12.844860000000001</v>
      </c>
      <c r="AK4835">
        <v>76.237769999999998</v>
      </c>
    </row>
    <row r="4836" spans="1:37" x14ac:dyDescent="0.3">
      <c r="A4836">
        <v>4835</v>
      </c>
      <c r="B4836">
        <v>22.6</v>
      </c>
      <c r="C4836">
        <v>0.95833000000000002</v>
      </c>
      <c r="D4836">
        <v>13.661099999999999</v>
      </c>
      <c r="E4836" t="s">
        <v>7700</v>
      </c>
      <c r="F4836" t="s">
        <v>7701</v>
      </c>
      <c r="G4836" t="s">
        <v>39</v>
      </c>
      <c r="H4836">
        <v>0</v>
      </c>
      <c r="I4836">
        <v>28.8</v>
      </c>
      <c r="J4836">
        <v>14.5</v>
      </c>
      <c r="K4836">
        <v>58</v>
      </c>
      <c r="L4836">
        <v>27.536529999999999</v>
      </c>
      <c r="M4836">
        <v>40.4</v>
      </c>
      <c r="N4836">
        <v>15.5</v>
      </c>
      <c r="O4836">
        <v>24.9</v>
      </c>
      <c r="P4836">
        <v>28.1</v>
      </c>
      <c r="Q4836">
        <v>25.1</v>
      </c>
      <c r="R4836">
        <v>32.4</v>
      </c>
      <c r="S4836">
        <v>25.1</v>
      </c>
      <c r="T4836">
        <v>461</v>
      </c>
      <c r="U4836">
        <v>157</v>
      </c>
      <c r="V4836">
        <v>0</v>
      </c>
      <c r="W4836">
        <v>135</v>
      </c>
      <c r="X4836">
        <v>359</v>
      </c>
      <c r="Y4836">
        <v>0</v>
      </c>
      <c r="Z4836">
        <v>91</v>
      </c>
      <c r="AA4836">
        <v>0</v>
      </c>
      <c r="AB4836">
        <v>1.2097610000000001</v>
      </c>
      <c r="AC4836">
        <v>0.64080870000000001</v>
      </c>
      <c r="AD4836">
        <v>2.160091</v>
      </c>
      <c r="AE4836">
        <v>0.59834279999999995</v>
      </c>
      <c r="AF4836">
        <v>259.4495</v>
      </c>
      <c r="AG4836">
        <f>IFERROR(AH4836*0.1, "N/A")</f>
        <v>6.1949490000000003</v>
      </c>
      <c r="AH4836">
        <v>61.949489999999997</v>
      </c>
      <c r="AI4836">
        <v>132.2517</v>
      </c>
      <c r="AJ4836">
        <v>7.0909089999999999</v>
      </c>
      <c r="AK4836">
        <v>83.274410000000003</v>
      </c>
    </row>
    <row r="4837" spans="1:37" x14ac:dyDescent="0.3">
      <c r="A4837">
        <v>4836</v>
      </c>
      <c r="B4837">
        <v>22.2</v>
      </c>
      <c r="C4837">
        <v>4.0187999999999997</v>
      </c>
      <c r="D4837">
        <v>13.661099999999999</v>
      </c>
      <c r="E4837" t="s">
        <v>7702</v>
      </c>
      <c r="F4837" t="s">
        <v>7703</v>
      </c>
      <c r="G4837" t="s">
        <v>39</v>
      </c>
      <c r="H4837">
        <v>0</v>
      </c>
      <c r="I4837">
        <v>29</v>
      </c>
      <c r="J4837">
        <v>13.9</v>
      </c>
      <c r="K4837">
        <v>57</v>
      </c>
      <c r="L4837">
        <v>27.43</v>
      </c>
      <c r="M4837">
        <v>40.6</v>
      </c>
      <c r="N4837">
        <v>16.600000000000001</v>
      </c>
      <c r="O4837">
        <v>24</v>
      </c>
      <c r="P4837">
        <v>28.2</v>
      </c>
      <c r="Q4837">
        <v>25.8</v>
      </c>
      <c r="R4837">
        <v>32.700000000000003</v>
      </c>
      <c r="S4837">
        <v>25.5</v>
      </c>
      <c r="T4837">
        <v>451</v>
      </c>
      <c r="U4837">
        <v>155</v>
      </c>
      <c r="V4837">
        <v>0</v>
      </c>
      <c r="W4837">
        <v>139</v>
      </c>
      <c r="X4837">
        <v>356</v>
      </c>
      <c r="Y4837">
        <v>0</v>
      </c>
      <c r="Z4837">
        <v>84</v>
      </c>
      <c r="AA4837">
        <v>0</v>
      </c>
      <c r="AB4837">
        <v>2.0188600000000001</v>
      </c>
      <c r="AC4837">
        <v>8.7024449999999996E-3</v>
      </c>
      <c r="AD4837">
        <v>1.8824730000000001</v>
      </c>
      <c r="AE4837">
        <v>0.62826400000000004</v>
      </c>
      <c r="AF4837">
        <v>231.1481</v>
      </c>
      <c r="AG4837">
        <f>IFERROR(AH4837*0.1, "N/A")</f>
        <v>6.0707070000000005</v>
      </c>
      <c r="AH4837">
        <v>60.707070000000002</v>
      </c>
      <c r="AI4837">
        <v>213.06780000000001</v>
      </c>
      <c r="AJ4837">
        <v>5</v>
      </c>
      <c r="AK4837">
        <v>88.752529999999993</v>
      </c>
    </row>
    <row r="4838" spans="1:37" x14ac:dyDescent="0.3">
      <c r="A4838">
        <v>4837</v>
      </c>
      <c r="B4838">
        <v>50</v>
      </c>
      <c r="C4838">
        <v>1.7722199999999999</v>
      </c>
      <c r="D4838">
        <v>13.661099999999999</v>
      </c>
      <c r="E4838" t="s">
        <v>7704</v>
      </c>
      <c r="F4838" t="s">
        <v>7705</v>
      </c>
      <c r="G4838" t="s">
        <v>39</v>
      </c>
      <c r="H4838">
        <v>0</v>
      </c>
      <c r="I4838">
        <v>29.4</v>
      </c>
      <c r="J4838">
        <v>14.5</v>
      </c>
      <c r="K4838">
        <v>56</v>
      </c>
      <c r="L4838">
        <v>28.91</v>
      </c>
      <c r="M4838">
        <v>41.4</v>
      </c>
      <c r="N4838">
        <v>15.8</v>
      </c>
      <c r="O4838">
        <v>25.6</v>
      </c>
      <c r="P4838">
        <v>28.7</v>
      </c>
      <c r="Q4838">
        <v>26</v>
      </c>
      <c r="R4838">
        <v>33.200000000000003</v>
      </c>
      <c r="S4838">
        <v>25.7</v>
      </c>
      <c r="T4838">
        <v>427</v>
      </c>
      <c r="U4838">
        <v>150</v>
      </c>
      <c r="V4838">
        <v>0</v>
      </c>
      <c r="W4838">
        <v>137</v>
      </c>
      <c r="X4838">
        <v>335</v>
      </c>
      <c r="Y4838">
        <v>0</v>
      </c>
      <c r="Z4838">
        <v>84</v>
      </c>
      <c r="AA4838">
        <v>0</v>
      </c>
      <c r="AB4838">
        <v>3.498653</v>
      </c>
      <c r="AC4838">
        <v>0.62801989999999996</v>
      </c>
      <c r="AD4838">
        <v>3.542313</v>
      </c>
      <c r="AE4838">
        <v>0.3711778</v>
      </c>
      <c r="AF4838">
        <v>197.42089999999999</v>
      </c>
      <c r="AG4838">
        <f>IFERROR(AH4838*0.1, "N/A")</f>
        <v>6.5309759999999999</v>
      </c>
      <c r="AH4838">
        <v>65.309759999999997</v>
      </c>
      <c r="AI4838">
        <v>155.48560000000001</v>
      </c>
      <c r="AJ4838">
        <v>14.309760000000001</v>
      </c>
      <c r="AK4838">
        <v>71.225589999999997</v>
      </c>
    </row>
    <row r="4839" spans="1:37" x14ac:dyDescent="0.3">
      <c r="A4839">
        <v>4838</v>
      </c>
      <c r="B4839">
        <v>10</v>
      </c>
      <c r="C4839">
        <v>8.9998699999999996</v>
      </c>
      <c r="D4839">
        <v>13.662800000000001</v>
      </c>
      <c r="E4839" t="s">
        <v>7706</v>
      </c>
      <c r="F4839" t="s">
        <v>7707</v>
      </c>
      <c r="G4839" t="s">
        <v>39</v>
      </c>
      <c r="H4839">
        <v>0</v>
      </c>
      <c r="I4839">
        <v>28.077310000000001</v>
      </c>
      <c r="J4839">
        <v>14.4</v>
      </c>
      <c r="K4839">
        <v>55</v>
      </c>
      <c r="L4839">
        <v>33.543610000000001</v>
      </c>
      <c r="M4839">
        <v>40.299999999999997</v>
      </c>
      <c r="N4839">
        <v>14.2</v>
      </c>
      <c r="O4839">
        <v>26.1</v>
      </c>
      <c r="P4839">
        <v>28.2</v>
      </c>
      <c r="Q4839">
        <v>23.7</v>
      </c>
      <c r="R4839">
        <v>32.299999999999997</v>
      </c>
      <c r="S4839">
        <v>23.3</v>
      </c>
      <c r="T4839">
        <v>382</v>
      </c>
      <c r="U4839">
        <v>152</v>
      </c>
      <c r="V4839">
        <v>0</v>
      </c>
      <c r="W4839">
        <v>154</v>
      </c>
      <c r="X4839">
        <v>324</v>
      </c>
      <c r="Y4839">
        <v>0</v>
      </c>
      <c r="Z4839">
        <v>52</v>
      </c>
      <c r="AA4839">
        <v>0</v>
      </c>
      <c r="AB4839">
        <v>1.765366</v>
      </c>
      <c r="AC4839">
        <v>5.1051550000000001E-2</v>
      </c>
      <c r="AD4839">
        <v>1.0622419999999999</v>
      </c>
      <c r="AE4839">
        <v>0.70199900000000004</v>
      </c>
      <c r="AF4839">
        <v>440.39830000000001</v>
      </c>
      <c r="AG4839">
        <f>IFERROR(AH4839*0.1, "N/A")</f>
        <v>6.7710920000000003</v>
      </c>
      <c r="AH4839">
        <v>67.710920000000002</v>
      </c>
      <c r="AI4839">
        <v>230.54310000000001</v>
      </c>
      <c r="AJ4839">
        <v>7.8571429999999998</v>
      </c>
      <c r="AK4839">
        <v>80.810079999999999</v>
      </c>
    </row>
    <row r="4840" spans="1:37" x14ac:dyDescent="0.3">
      <c r="A4840">
        <v>4839</v>
      </c>
      <c r="B4840">
        <v>86</v>
      </c>
      <c r="C4840">
        <v>1.73282</v>
      </c>
      <c r="D4840">
        <v>13.6647</v>
      </c>
      <c r="E4840" t="s">
        <v>7708</v>
      </c>
      <c r="F4840" t="s">
        <v>7709</v>
      </c>
      <c r="G4840" t="s">
        <v>39</v>
      </c>
      <c r="H4840">
        <v>0</v>
      </c>
      <c r="I4840">
        <v>29.3</v>
      </c>
      <c r="J4840">
        <v>14.5</v>
      </c>
      <c r="K4840">
        <v>56</v>
      </c>
      <c r="L4840">
        <v>28.5</v>
      </c>
      <c r="M4840">
        <v>41.2</v>
      </c>
      <c r="N4840">
        <v>15.7</v>
      </c>
      <c r="O4840">
        <v>25.5</v>
      </c>
      <c r="P4840">
        <v>28.6</v>
      </c>
      <c r="Q4840">
        <v>25.8</v>
      </c>
      <c r="R4840">
        <v>32.9</v>
      </c>
      <c r="S4840">
        <v>25.5</v>
      </c>
      <c r="T4840">
        <v>427</v>
      </c>
      <c r="U4840">
        <v>150</v>
      </c>
      <c r="V4840">
        <v>0</v>
      </c>
      <c r="W4840">
        <v>138</v>
      </c>
      <c r="X4840">
        <v>337</v>
      </c>
      <c r="Y4840">
        <v>0</v>
      </c>
      <c r="Z4840">
        <v>82</v>
      </c>
      <c r="AA4840">
        <v>0</v>
      </c>
      <c r="AB4840">
        <v>12.606070000000001</v>
      </c>
      <c r="AC4840">
        <v>9.1093749999999994E-3</v>
      </c>
      <c r="AD4840">
        <v>3.149321</v>
      </c>
      <c r="AE4840">
        <v>0.57297770000000003</v>
      </c>
      <c r="AF4840">
        <v>220.8836</v>
      </c>
      <c r="AG4840">
        <f>IFERROR(AH4840*0.1, "N/A")</f>
        <v>5.8000000000000007</v>
      </c>
      <c r="AH4840">
        <v>58</v>
      </c>
      <c r="AI4840">
        <v>178.2698</v>
      </c>
      <c r="AJ4840">
        <v>12</v>
      </c>
      <c r="AK4840">
        <v>77</v>
      </c>
    </row>
    <row r="4841" spans="1:37" x14ac:dyDescent="0.3">
      <c r="A4841">
        <v>4840</v>
      </c>
      <c r="B4841">
        <v>34</v>
      </c>
      <c r="C4841">
        <v>9.4488000000000003</v>
      </c>
      <c r="D4841">
        <v>13.664899999999999</v>
      </c>
      <c r="E4841" t="s">
        <v>7710</v>
      </c>
      <c r="F4841" t="s">
        <v>7711</v>
      </c>
      <c r="G4841" t="s">
        <v>39</v>
      </c>
      <c r="H4841">
        <v>0</v>
      </c>
      <c r="I4841">
        <v>27.7</v>
      </c>
      <c r="J4841">
        <v>14.9</v>
      </c>
      <c r="K4841">
        <v>57</v>
      </c>
      <c r="L4841">
        <v>31.81</v>
      </c>
      <c r="M4841">
        <v>40.200000000000003</v>
      </c>
      <c r="N4841">
        <v>14.1</v>
      </c>
      <c r="O4841">
        <v>26.1</v>
      </c>
      <c r="P4841">
        <v>27.5</v>
      </c>
      <c r="Q4841">
        <v>23.7</v>
      </c>
      <c r="R4841">
        <v>31.8</v>
      </c>
      <c r="S4841">
        <v>23.3</v>
      </c>
      <c r="T4841">
        <v>335</v>
      </c>
      <c r="U4841">
        <v>126</v>
      </c>
      <c r="V4841">
        <v>0</v>
      </c>
      <c r="W4841">
        <v>154</v>
      </c>
      <c r="X4841">
        <v>284</v>
      </c>
      <c r="Y4841">
        <v>0</v>
      </c>
      <c r="Z4841">
        <v>46</v>
      </c>
      <c r="AA4841">
        <v>0</v>
      </c>
      <c r="AB4841">
        <v>5.6834160000000002</v>
      </c>
      <c r="AC4841">
        <v>4.5869890000000003E-2</v>
      </c>
      <c r="AD4841">
        <v>0.99193719999999996</v>
      </c>
      <c r="AE4841">
        <v>0.71727529999999995</v>
      </c>
      <c r="AF4841">
        <v>436.23520000000002</v>
      </c>
      <c r="AG4841">
        <f>IFERROR(AH4841*0.1, "N/A")</f>
        <v>6.7</v>
      </c>
      <c r="AH4841">
        <v>67</v>
      </c>
      <c r="AI4841">
        <v>138.84729999999999</v>
      </c>
      <c r="AJ4841">
        <v>10</v>
      </c>
      <c r="AK4841">
        <v>84</v>
      </c>
    </row>
    <row r="4842" spans="1:37" x14ac:dyDescent="0.3">
      <c r="A4842">
        <v>4841</v>
      </c>
      <c r="B4842">
        <v>70</v>
      </c>
      <c r="C4842">
        <v>1.8376699999999999</v>
      </c>
      <c r="D4842">
        <v>13.6655</v>
      </c>
      <c r="E4842" t="s">
        <v>7712</v>
      </c>
      <c r="F4842" t="s">
        <v>7713</v>
      </c>
      <c r="G4842" t="s">
        <v>39</v>
      </c>
      <c r="H4842">
        <v>0</v>
      </c>
      <c r="I4842">
        <v>29.4</v>
      </c>
      <c r="J4842">
        <v>14.5</v>
      </c>
      <c r="K4842">
        <v>56</v>
      </c>
      <c r="L4842">
        <v>28.91</v>
      </c>
      <c r="M4842">
        <v>41.4</v>
      </c>
      <c r="N4842">
        <v>15.7</v>
      </c>
      <c r="O4842">
        <v>25.7</v>
      </c>
      <c r="P4842">
        <v>28.7</v>
      </c>
      <c r="Q4842">
        <v>25.9</v>
      </c>
      <c r="R4842">
        <v>33.1</v>
      </c>
      <c r="S4842">
        <v>25.7</v>
      </c>
      <c r="T4842">
        <v>431</v>
      </c>
      <c r="U4842">
        <v>152</v>
      </c>
      <c r="V4842">
        <v>0</v>
      </c>
      <c r="W4842">
        <v>139</v>
      </c>
      <c r="X4842">
        <v>338</v>
      </c>
      <c r="Y4842">
        <v>0</v>
      </c>
      <c r="Z4842">
        <v>85</v>
      </c>
      <c r="AA4842">
        <v>0</v>
      </c>
      <c r="AB4842">
        <v>6.1008399999999998</v>
      </c>
      <c r="AC4842">
        <v>2.1808109999999999E-2</v>
      </c>
      <c r="AD4842">
        <v>1.2896110000000001</v>
      </c>
      <c r="AE4842">
        <v>0.4826975</v>
      </c>
      <c r="AF4842">
        <v>190.18289999999999</v>
      </c>
      <c r="AG4842">
        <f>IFERROR(AH4842*0.1, "N/A")</f>
        <v>6.6560400000000008</v>
      </c>
      <c r="AH4842">
        <v>66.560400000000001</v>
      </c>
      <c r="AI4842">
        <v>174.0026</v>
      </c>
      <c r="AJ4842">
        <v>17.273489999999999</v>
      </c>
      <c r="AK4842">
        <v>70.563760000000002</v>
      </c>
    </row>
    <row r="4843" spans="1:37" x14ac:dyDescent="0.3">
      <c r="A4843">
        <v>4842</v>
      </c>
      <c r="B4843">
        <v>37</v>
      </c>
      <c r="C4843">
        <v>1.7833300000000001</v>
      </c>
      <c r="D4843">
        <v>13.666700000000001</v>
      </c>
      <c r="E4843" t="s">
        <v>7714</v>
      </c>
      <c r="F4843" t="s">
        <v>7715</v>
      </c>
      <c r="G4843" t="s">
        <v>39</v>
      </c>
      <c r="H4843">
        <v>1987</v>
      </c>
      <c r="I4843">
        <v>29.4</v>
      </c>
      <c r="J4843">
        <v>14.5</v>
      </c>
      <c r="K4843">
        <v>56</v>
      </c>
      <c r="L4843">
        <v>28.847100000000001</v>
      </c>
      <c r="M4843">
        <v>41.4</v>
      </c>
      <c r="N4843">
        <v>15.8</v>
      </c>
      <c r="O4843">
        <v>25.6</v>
      </c>
      <c r="P4843">
        <v>28.7</v>
      </c>
      <c r="Q4843">
        <v>25.97804</v>
      </c>
      <c r="R4843">
        <v>33.121960000000001</v>
      </c>
      <c r="S4843">
        <v>25.678039999999999</v>
      </c>
      <c r="T4843">
        <v>427.14190000000002</v>
      </c>
      <c r="U4843">
        <v>150.4358</v>
      </c>
      <c r="V4843">
        <v>0</v>
      </c>
      <c r="W4843">
        <v>137.4358</v>
      </c>
      <c r="X4843">
        <v>335.43579999999997</v>
      </c>
      <c r="Y4843">
        <v>0</v>
      </c>
      <c r="Z4843">
        <v>83.70608</v>
      </c>
      <c r="AA4843">
        <v>0</v>
      </c>
      <c r="AB4843">
        <v>3.1305779999999999</v>
      </c>
      <c r="AC4843">
        <v>8.6614369999999993E-3</v>
      </c>
      <c r="AD4843">
        <v>0.61912420000000001</v>
      </c>
      <c r="AE4843">
        <v>0.2981145</v>
      </c>
      <c r="AF4843">
        <v>185.91050000000001</v>
      </c>
      <c r="AG4843" t="str">
        <f>IFERROR(AH4843*0.1, "N/A")</f>
        <v>N/A</v>
      </c>
      <c r="AH4843" t="s">
        <v>729</v>
      </c>
      <c r="AI4843">
        <v>93.138919999999999</v>
      </c>
      <c r="AJ4843" t="s">
        <v>729</v>
      </c>
      <c r="AK4843" t="s">
        <v>729</v>
      </c>
    </row>
    <row r="4844" spans="1:37" x14ac:dyDescent="0.3">
      <c r="A4844">
        <v>4843</v>
      </c>
      <c r="B4844">
        <v>0</v>
      </c>
      <c r="C4844">
        <v>1.7833300000000001</v>
      </c>
      <c r="D4844">
        <v>13.666700000000001</v>
      </c>
      <c r="E4844" t="s">
        <v>7714</v>
      </c>
      <c r="F4844" t="s">
        <v>7716</v>
      </c>
      <c r="G4844" t="s">
        <v>37</v>
      </c>
      <c r="H4844">
        <v>2004</v>
      </c>
      <c r="I4844">
        <v>29.4</v>
      </c>
      <c r="J4844">
        <v>14.5</v>
      </c>
      <c r="K4844">
        <v>56</v>
      </c>
      <c r="L4844">
        <v>28.847100000000001</v>
      </c>
      <c r="M4844">
        <v>41.4</v>
      </c>
      <c r="N4844">
        <v>15.8</v>
      </c>
      <c r="O4844">
        <v>25.6</v>
      </c>
      <c r="P4844">
        <v>28.7</v>
      </c>
      <c r="Q4844">
        <v>25.97804</v>
      </c>
      <c r="R4844">
        <v>33.121960000000001</v>
      </c>
      <c r="S4844">
        <v>25.678039999999999</v>
      </c>
      <c r="T4844">
        <v>427.14190000000002</v>
      </c>
      <c r="U4844">
        <v>150.4358</v>
      </c>
      <c r="V4844">
        <v>0</v>
      </c>
      <c r="W4844">
        <v>137.4358</v>
      </c>
      <c r="X4844">
        <v>335.43579999999997</v>
      </c>
      <c r="Y4844">
        <v>0</v>
      </c>
      <c r="Z4844">
        <v>83.70608</v>
      </c>
      <c r="AA4844">
        <v>0</v>
      </c>
      <c r="AB4844">
        <v>3.1305779999999999</v>
      </c>
      <c r="AC4844">
        <v>8.6614369999999993E-3</v>
      </c>
      <c r="AD4844">
        <v>0.61912420000000001</v>
      </c>
      <c r="AE4844">
        <v>0.2981145</v>
      </c>
      <c r="AF4844">
        <v>185.91050000000001</v>
      </c>
      <c r="AG4844" t="str">
        <f>IFERROR(AH4844*0.1, "N/A")</f>
        <v>N/A</v>
      </c>
      <c r="AH4844" t="s">
        <v>729</v>
      </c>
      <c r="AI4844">
        <v>93.138919999999999</v>
      </c>
      <c r="AJ4844" t="s">
        <v>729</v>
      </c>
      <c r="AK4844" t="s">
        <v>729</v>
      </c>
    </row>
    <row r="4845" spans="1:37" x14ac:dyDescent="0.3">
      <c r="A4845">
        <v>4844</v>
      </c>
      <c r="B4845">
        <v>96.3</v>
      </c>
      <c r="C4845">
        <v>1.51667</v>
      </c>
      <c r="D4845">
        <v>13.666700000000001</v>
      </c>
      <c r="E4845" t="s">
        <v>7717</v>
      </c>
      <c r="F4845" t="s">
        <v>7718</v>
      </c>
      <c r="G4845" t="s">
        <v>39</v>
      </c>
      <c r="H4845">
        <v>1999</v>
      </c>
      <c r="I4845">
        <v>29.3</v>
      </c>
      <c r="J4845">
        <v>14.4</v>
      </c>
      <c r="K4845">
        <v>57</v>
      </c>
      <c r="L4845">
        <v>28.281030000000001</v>
      </c>
      <c r="M4845">
        <v>41.1</v>
      </c>
      <c r="N4845">
        <v>15.9</v>
      </c>
      <c r="O4845">
        <v>25.2</v>
      </c>
      <c r="P4845">
        <v>28.54365</v>
      </c>
      <c r="Q4845">
        <v>25.895769999999999</v>
      </c>
      <c r="R4845">
        <v>33</v>
      </c>
      <c r="S4845">
        <v>25.6</v>
      </c>
      <c r="T4845">
        <v>425.91370000000001</v>
      </c>
      <c r="U4845">
        <v>148.74959999999999</v>
      </c>
      <c r="V4845">
        <v>0</v>
      </c>
      <c r="W4845">
        <v>138.74959999999999</v>
      </c>
      <c r="X4845">
        <v>340.49919999999997</v>
      </c>
      <c r="Y4845">
        <v>0</v>
      </c>
      <c r="Z4845">
        <v>77.414550000000006</v>
      </c>
      <c r="AA4845">
        <v>0</v>
      </c>
      <c r="AB4845">
        <v>2.0470410000000001</v>
      </c>
      <c r="AC4845">
        <v>3.4858859999999998E-2</v>
      </c>
      <c r="AD4845">
        <v>0.89838030000000002</v>
      </c>
      <c r="AE4845">
        <v>0.46386939999999999</v>
      </c>
      <c r="AF4845">
        <v>201.10319999999999</v>
      </c>
      <c r="AG4845">
        <f>IFERROR(AH4845*0.1, "N/A")</f>
        <v>6.6774959999999997</v>
      </c>
      <c r="AH4845">
        <v>66.774959999999993</v>
      </c>
      <c r="AI4845">
        <v>65.586129999999997</v>
      </c>
      <c r="AJ4845">
        <v>20.179359999999999</v>
      </c>
      <c r="AK4845">
        <v>64.137060000000005</v>
      </c>
    </row>
    <row r="4846" spans="1:37" x14ac:dyDescent="0.3">
      <c r="A4846">
        <v>4845</v>
      </c>
      <c r="B4846">
        <v>85.7</v>
      </c>
      <c r="C4846">
        <v>1.74444</v>
      </c>
      <c r="D4846">
        <v>13.666700000000001</v>
      </c>
      <c r="E4846" t="s">
        <v>7719</v>
      </c>
      <c r="F4846" t="s">
        <v>7720</v>
      </c>
      <c r="G4846" t="s">
        <v>39</v>
      </c>
      <c r="H4846">
        <v>0</v>
      </c>
      <c r="I4846">
        <v>29.258780000000002</v>
      </c>
      <c r="J4846">
        <v>14.5</v>
      </c>
      <c r="K4846">
        <v>56</v>
      </c>
      <c r="L4846">
        <v>28.864699999999999</v>
      </c>
      <c r="M4846">
        <v>41.258780000000002</v>
      </c>
      <c r="N4846">
        <v>15.688179999999999</v>
      </c>
      <c r="O4846">
        <v>25.570609999999999</v>
      </c>
      <c r="P4846">
        <v>28.529389999999999</v>
      </c>
      <c r="Q4846">
        <v>25.788180000000001</v>
      </c>
      <c r="R4846">
        <v>32.98818</v>
      </c>
      <c r="S4846">
        <v>25.48818</v>
      </c>
      <c r="T4846">
        <v>427.53039999999999</v>
      </c>
      <c r="U4846">
        <v>150.41220000000001</v>
      </c>
      <c r="V4846">
        <v>0</v>
      </c>
      <c r="W4846">
        <v>137.70609999999999</v>
      </c>
      <c r="X4846">
        <v>336.82429999999999</v>
      </c>
      <c r="Y4846">
        <v>0</v>
      </c>
      <c r="Z4846">
        <v>82.70608</v>
      </c>
      <c r="AA4846">
        <v>0</v>
      </c>
      <c r="AB4846">
        <v>9.5273620000000001</v>
      </c>
      <c r="AC4846">
        <v>8.4635790000000002E-2</v>
      </c>
      <c r="AD4846">
        <v>3.6604730000000001</v>
      </c>
      <c r="AE4846">
        <v>0.40472930000000001</v>
      </c>
      <c r="AF4846">
        <v>196.66720000000001</v>
      </c>
      <c r="AG4846">
        <f>IFERROR(AH4846*0.1, "N/A")</f>
        <v>6.1226349999999998</v>
      </c>
      <c r="AH4846">
        <v>61.226349999999996</v>
      </c>
      <c r="AI4846">
        <v>174.9684</v>
      </c>
      <c r="AJ4846">
        <v>21.93074</v>
      </c>
      <c r="AK4846">
        <v>57.248309999999996</v>
      </c>
    </row>
    <row r="4847" spans="1:37" x14ac:dyDescent="0.3">
      <c r="A4847">
        <v>4846</v>
      </c>
      <c r="B4847">
        <v>75.400000000000006</v>
      </c>
      <c r="C4847">
        <v>1.7898000000000001</v>
      </c>
      <c r="D4847">
        <v>13.670500000000001</v>
      </c>
      <c r="E4847" t="s">
        <v>7721</v>
      </c>
      <c r="F4847" t="s">
        <v>7722</v>
      </c>
      <c r="G4847" t="s">
        <v>39</v>
      </c>
      <c r="H4847">
        <v>0</v>
      </c>
      <c r="I4847">
        <v>29.4</v>
      </c>
      <c r="J4847">
        <v>14.5</v>
      </c>
      <c r="K4847">
        <v>56</v>
      </c>
      <c r="L4847">
        <v>29.05</v>
      </c>
      <c r="M4847">
        <v>41.4</v>
      </c>
      <c r="N4847">
        <v>15.8</v>
      </c>
      <c r="O4847">
        <v>25.6</v>
      </c>
      <c r="P4847">
        <v>28.7</v>
      </c>
      <c r="Q4847">
        <v>25.9</v>
      </c>
      <c r="R4847">
        <v>33.200000000000003</v>
      </c>
      <c r="S4847">
        <v>25.6</v>
      </c>
      <c r="T4847">
        <v>426</v>
      </c>
      <c r="U4847">
        <v>150</v>
      </c>
      <c r="V4847">
        <v>0</v>
      </c>
      <c r="W4847">
        <v>137</v>
      </c>
      <c r="X4847">
        <v>335</v>
      </c>
      <c r="Y4847">
        <v>0</v>
      </c>
      <c r="Z4847">
        <v>83</v>
      </c>
      <c r="AA4847">
        <v>0</v>
      </c>
      <c r="AB4847">
        <v>10.00474</v>
      </c>
      <c r="AC4847">
        <v>1.2240940000000001E-2</v>
      </c>
      <c r="AD4847">
        <v>2.1796440000000001</v>
      </c>
      <c r="AE4847">
        <v>0.42684329999999998</v>
      </c>
      <c r="AF4847">
        <v>191.6233</v>
      </c>
      <c r="AG4847">
        <f>IFERROR(AH4847*0.1, "N/A")</f>
        <v>5.8000000000000007</v>
      </c>
      <c r="AH4847">
        <v>58</v>
      </c>
      <c r="AI4847">
        <v>195.34479999999999</v>
      </c>
      <c r="AJ4847">
        <v>20</v>
      </c>
      <c r="AK4847">
        <v>59</v>
      </c>
    </row>
    <row r="4848" spans="1:37" x14ac:dyDescent="0.3">
      <c r="A4848">
        <v>4847</v>
      </c>
      <c r="B4848">
        <v>88</v>
      </c>
      <c r="C4848">
        <v>9.3611500000000003</v>
      </c>
      <c r="D4848">
        <v>13.670500000000001</v>
      </c>
      <c r="E4848" t="s">
        <v>7723</v>
      </c>
      <c r="F4848" t="s">
        <v>7724</v>
      </c>
      <c r="G4848" t="s">
        <v>39</v>
      </c>
      <c r="H4848">
        <v>0</v>
      </c>
      <c r="I4848">
        <v>27.9</v>
      </c>
      <c r="J4848">
        <v>14.8</v>
      </c>
      <c r="K4848">
        <v>57</v>
      </c>
      <c r="L4848">
        <v>32.229999999999997</v>
      </c>
      <c r="M4848">
        <v>40.299999999999997</v>
      </c>
      <c r="N4848">
        <v>14.4</v>
      </c>
      <c r="O4848">
        <v>25.9</v>
      </c>
      <c r="P4848">
        <v>27.7</v>
      </c>
      <c r="Q4848">
        <v>23.8</v>
      </c>
      <c r="R4848">
        <v>32</v>
      </c>
      <c r="S4848">
        <v>23.4</v>
      </c>
      <c r="T4848">
        <v>342</v>
      </c>
      <c r="U4848">
        <v>130</v>
      </c>
      <c r="V4848">
        <v>0</v>
      </c>
      <c r="W4848">
        <v>151</v>
      </c>
      <c r="X4848">
        <v>288</v>
      </c>
      <c r="Y4848">
        <v>0</v>
      </c>
      <c r="Z4848">
        <v>48</v>
      </c>
      <c r="AA4848">
        <v>0</v>
      </c>
      <c r="AB4848">
        <v>8.8510279999999995</v>
      </c>
      <c r="AC4848">
        <v>8.3103689999999997E-3</v>
      </c>
      <c r="AD4848">
        <v>0.95290010000000003</v>
      </c>
      <c r="AE4848">
        <v>0.70328630000000003</v>
      </c>
      <c r="AF4848">
        <v>431.66219999999998</v>
      </c>
      <c r="AG4848">
        <f>IFERROR(AH4848*0.1, "N/A")</f>
        <v>6.602703</v>
      </c>
      <c r="AH4848">
        <v>66.027029999999996</v>
      </c>
      <c r="AI4848">
        <v>104.6349</v>
      </c>
      <c r="AJ4848">
        <v>6.0270270000000004</v>
      </c>
      <c r="AK4848">
        <v>84</v>
      </c>
    </row>
    <row r="4849" spans="1:37" x14ac:dyDescent="0.3">
      <c r="A4849">
        <v>4848</v>
      </c>
      <c r="B4849">
        <v>76</v>
      </c>
      <c r="C4849">
        <v>1.8111699999999999</v>
      </c>
      <c r="D4849">
        <v>13.671200000000001</v>
      </c>
      <c r="E4849" t="s">
        <v>7725</v>
      </c>
      <c r="F4849" t="s">
        <v>7726</v>
      </c>
      <c r="G4849" t="s">
        <v>39</v>
      </c>
      <c r="H4849">
        <v>2001</v>
      </c>
      <c r="I4849">
        <v>29.4</v>
      </c>
      <c r="J4849">
        <v>14.5</v>
      </c>
      <c r="K4849">
        <v>56</v>
      </c>
      <c r="L4849">
        <v>29.32</v>
      </c>
      <c r="M4849">
        <v>41.4</v>
      </c>
      <c r="N4849">
        <v>15.7</v>
      </c>
      <c r="O4849">
        <v>25.7</v>
      </c>
      <c r="P4849">
        <v>28.7</v>
      </c>
      <c r="Q4849">
        <v>25.8</v>
      </c>
      <c r="R4849">
        <v>33.1</v>
      </c>
      <c r="S4849">
        <v>25.5</v>
      </c>
      <c r="T4849">
        <v>428</v>
      </c>
      <c r="U4849">
        <v>151</v>
      </c>
      <c r="V4849">
        <v>0</v>
      </c>
      <c r="W4849">
        <v>138</v>
      </c>
      <c r="X4849">
        <v>336</v>
      </c>
      <c r="Y4849">
        <v>0</v>
      </c>
      <c r="Z4849">
        <v>84</v>
      </c>
      <c r="AA4849">
        <v>0</v>
      </c>
      <c r="AB4849">
        <v>4.9184419999999998</v>
      </c>
      <c r="AC4849">
        <v>0.23223389999999999</v>
      </c>
      <c r="AD4849">
        <v>2.178655</v>
      </c>
      <c r="AE4849">
        <v>0.55872569999999999</v>
      </c>
      <c r="AF4849">
        <v>192.6277</v>
      </c>
      <c r="AG4849">
        <f>IFERROR(AH4849*0.1, "N/A")</f>
        <v>6.3000000000000007</v>
      </c>
      <c r="AH4849">
        <v>63</v>
      </c>
      <c r="AI4849">
        <v>218.42930000000001</v>
      </c>
      <c r="AJ4849">
        <v>16</v>
      </c>
      <c r="AK4849">
        <v>67</v>
      </c>
    </row>
    <row r="4850" spans="1:37" x14ac:dyDescent="0.3">
      <c r="A4850">
        <v>4849</v>
      </c>
      <c r="B4850">
        <v>54.4</v>
      </c>
      <c r="C4850">
        <v>1.7785200000000001</v>
      </c>
      <c r="D4850">
        <v>13.671799999999999</v>
      </c>
      <c r="E4850" t="s">
        <v>7727</v>
      </c>
      <c r="F4850" t="s">
        <v>7728</v>
      </c>
      <c r="G4850" t="s">
        <v>39</v>
      </c>
      <c r="H4850">
        <v>0</v>
      </c>
      <c r="I4850">
        <v>29.4</v>
      </c>
      <c r="J4850">
        <v>14.5</v>
      </c>
      <c r="K4850">
        <v>56</v>
      </c>
      <c r="L4850">
        <v>28.79</v>
      </c>
      <c r="M4850">
        <v>41.4</v>
      </c>
      <c r="N4850">
        <v>15.8</v>
      </c>
      <c r="O4850">
        <v>25.6</v>
      </c>
      <c r="P4850">
        <v>28.7</v>
      </c>
      <c r="Q4850">
        <v>26</v>
      </c>
      <c r="R4850">
        <v>33.1</v>
      </c>
      <c r="S4850">
        <v>25.7</v>
      </c>
      <c r="T4850">
        <v>426</v>
      </c>
      <c r="U4850">
        <v>150</v>
      </c>
      <c r="V4850">
        <v>0</v>
      </c>
      <c r="W4850">
        <v>137</v>
      </c>
      <c r="X4850">
        <v>335</v>
      </c>
      <c r="Y4850">
        <v>0</v>
      </c>
      <c r="Z4850">
        <v>83</v>
      </c>
      <c r="AA4850">
        <v>0</v>
      </c>
      <c r="AB4850">
        <v>3.3580109999999999</v>
      </c>
      <c r="AC4850">
        <v>0.1708385</v>
      </c>
      <c r="AD4850">
        <v>1.292408</v>
      </c>
      <c r="AE4850">
        <v>0.38838729999999999</v>
      </c>
      <c r="AF4850">
        <v>187.3862</v>
      </c>
      <c r="AG4850" t="str">
        <f>IFERROR(AH4850*0.1, "N/A")</f>
        <v>N/A</v>
      </c>
      <c r="AH4850" t="s">
        <v>729</v>
      </c>
      <c r="AI4850">
        <v>224.631</v>
      </c>
      <c r="AJ4850" t="s">
        <v>729</v>
      </c>
      <c r="AK4850" t="s">
        <v>729</v>
      </c>
    </row>
    <row r="4851" spans="1:37" x14ac:dyDescent="0.3">
      <c r="A4851">
        <v>4850</v>
      </c>
      <c r="B4851">
        <v>86.2</v>
      </c>
      <c r="C4851">
        <v>1.7644200000000001</v>
      </c>
      <c r="D4851">
        <v>13.671900000000001</v>
      </c>
      <c r="E4851" t="s">
        <v>7729</v>
      </c>
      <c r="F4851" t="s">
        <v>7730</v>
      </c>
      <c r="G4851" t="s">
        <v>39</v>
      </c>
      <c r="H4851">
        <v>0</v>
      </c>
      <c r="I4851">
        <v>29.4</v>
      </c>
      <c r="J4851">
        <v>14.5</v>
      </c>
      <c r="K4851">
        <v>56</v>
      </c>
      <c r="L4851">
        <v>29.04</v>
      </c>
      <c r="M4851">
        <v>41.4</v>
      </c>
      <c r="N4851">
        <v>15.8</v>
      </c>
      <c r="O4851">
        <v>25.6</v>
      </c>
      <c r="P4851">
        <v>28.7</v>
      </c>
      <c r="Q4851">
        <v>25.9</v>
      </c>
      <c r="R4851">
        <v>33.200000000000003</v>
      </c>
      <c r="S4851">
        <v>25.6</v>
      </c>
      <c r="T4851">
        <v>425</v>
      </c>
      <c r="U4851">
        <v>150</v>
      </c>
      <c r="V4851">
        <v>0</v>
      </c>
      <c r="W4851">
        <v>137</v>
      </c>
      <c r="X4851">
        <v>335</v>
      </c>
      <c r="Y4851">
        <v>0</v>
      </c>
      <c r="Z4851">
        <v>82</v>
      </c>
      <c r="AA4851">
        <v>0</v>
      </c>
      <c r="AB4851">
        <v>2.3966370000000001</v>
      </c>
      <c r="AC4851">
        <v>2.6371889999999999E-2</v>
      </c>
      <c r="AD4851">
        <v>1.2035229999999999</v>
      </c>
      <c r="AE4851">
        <v>0.41302309999999998</v>
      </c>
      <c r="AF4851">
        <v>186.02860000000001</v>
      </c>
      <c r="AG4851" t="str">
        <f>IFERROR(AH4851*0.1, "N/A")</f>
        <v>N/A</v>
      </c>
      <c r="AH4851" t="s">
        <v>729</v>
      </c>
      <c r="AI4851">
        <v>42.903660000000002</v>
      </c>
      <c r="AJ4851" t="s">
        <v>729</v>
      </c>
      <c r="AK4851" t="s">
        <v>729</v>
      </c>
    </row>
    <row r="4852" spans="1:37" x14ac:dyDescent="0.3">
      <c r="A4852">
        <v>4851</v>
      </c>
      <c r="B4852">
        <v>0</v>
      </c>
      <c r="C4852">
        <v>1.8127800000000001</v>
      </c>
      <c r="D4852">
        <v>13.6722</v>
      </c>
      <c r="E4852" t="s">
        <v>7731</v>
      </c>
      <c r="F4852" t="s">
        <v>7732</v>
      </c>
      <c r="G4852" t="s">
        <v>37</v>
      </c>
      <c r="H4852">
        <v>2004</v>
      </c>
      <c r="I4852">
        <v>29.4</v>
      </c>
      <c r="J4852">
        <v>14.5</v>
      </c>
      <c r="K4852">
        <v>56</v>
      </c>
      <c r="L4852">
        <v>29.32</v>
      </c>
      <c r="M4852">
        <v>41.4</v>
      </c>
      <c r="N4852">
        <v>15.7</v>
      </c>
      <c r="O4852">
        <v>25.7</v>
      </c>
      <c r="P4852">
        <v>28.7</v>
      </c>
      <c r="Q4852">
        <v>25.8</v>
      </c>
      <c r="R4852">
        <v>33.1</v>
      </c>
      <c r="S4852">
        <v>25.5</v>
      </c>
      <c r="T4852">
        <v>428</v>
      </c>
      <c r="U4852">
        <v>151</v>
      </c>
      <c r="V4852">
        <v>0</v>
      </c>
      <c r="W4852">
        <v>138</v>
      </c>
      <c r="X4852">
        <v>336</v>
      </c>
      <c r="Y4852">
        <v>0</v>
      </c>
      <c r="Z4852">
        <v>84</v>
      </c>
      <c r="AA4852">
        <v>0</v>
      </c>
      <c r="AB4852">
        <v>4.7678450000000003</v>
      </c>
      <c r="AC4852">
        <v>0.17265730000000001</v>
      </c>
      <c r="AD4852">
        <v>0.86410719999999996</v>
      </c>
      <c r="AE4852">
        <v>0.56412209999999996</v>
      </c>
      <c r="AF4852">
        <v>192.97120000000001</v>
      </c>
      <c r="AG4852">
        <f>IFERROR(AH4852*0.1, "N/A")</f>
        <v>6.1377330000000008</v>
      </c>
      <c r="AH4852">
        <v>61.377330000000001</v>
      </c>
      <c r="AI4852">
        <v>117.1087</v>
      </c>
      <c r="AJ4852">
        <v>13.900169999999999</v>
      </c>
      <c r="AK4852">
        <v>71.218270000000004</v>
      </c>
    </row>
    <row r="4853" spans="1:37" x14ac:dyDescent="0.3">
      <c r="A4853">
        <v>4852</v>
      </c>
      <c r="B4853">
        <v>0.9</v>
      </c>
      <c r="C4853">
        <v>1.8127800000000001</v>
      </c>
      <c r="D4853">
        <v>13.6722</v>
      </c>
      <c r="E4853" t="s">
        <v>7731</v>
      </c>
      <c r="F4853" t="s">
        <v>7733</v>
      </c>
      <c r="G4853" t="s">
        <v>39</v>
      </c>
      <c r="H4853">
        <v>2004</v>
      </c>
      <c r="I4853">
        <v>29.4</v>
      </c>
      <c r="J4853">
        <v>14.5</v>
      </c>
      <c r="K4853">
        <v>56</v>
      </c>
      <c r="L4853">
        <v>29.32</v>
      </c>
      <c r="M4853">
        <v>41.4</v>
      </c>
      <c r="N4853">
        <v>15.7</v>
      </c>
      <c r="O4853">
        <v>25.7</v>
      </c>
      <c r="P4853">
        <v>28.7</v>
      </c>
      <c r="Q4853">
        <v>25.8</v>
      </c>
      <c r="R4853">
        <v>33.1</v>
      </c>
      <c r="S4853">
        <v>25.5</v>
      </c>
      <c r="T4853">
        <v>428</v>
      </c>
      <c r="U4853">
        <v>151</v>
      </c>
      <c r="V4853">
        <v>0</v>
      </c>
      <c r="W4853">
        <v>138</v>
      </c>
      <c r="X4853">
        <v>336</v>
      </c>
      <c r="Y4853">
        <v>0</v>
      </c>
      <c r="Z4853">
        <v>84</v>
      </c>
      <c r="AA4853">
        <v>0</v>
      </c>
      <c r="AB4853">
        <v>4.7678450000000003</v>
      </c>
      <c r="AC4853">
        <v>0.17265730000000001</v>
      </c>
      <c r="AD4853">
        <v>0.86410719999999996</v>
      </c>
      <c r="AE4853">
        <v>0.56412209999999996</v>
      </c>
      <c r="AF4853">
        <v>192.97120000000001</v>
      </c>
      <c r="AG4853">
        <f>IFERROR(AH4853*0.1, "N/A")</f>
        <v>6.1377330000000008</v>
      </c>
      <c r="AH4853">
        <v>61.377330000000001</v>
      </c>
      <c r="AI4853">
        <v>117.1087</v>
      </c>
      <c r="AJ4853">
        <v>13.900169999999999</v>
      </c>
      <c r="AK4853">
        <v>71.218270000000004</v>
      </c>
    </row>
    <row r="4854" spans="1:37" x14ac:dyDescent="0.3">
      <c r="A4854">
        <v>4853</v>
      </c>
      <c r="B4854">
        <v>0</v>
      </c>
      <c r="C4854">
        <v>1.8102</v>
      </c>
      <c r="D4854">
        <v>13.6723</v>
      </c>
      <c r="E4854" t="s">
        <v>7734</v>
      </c>
      <c r="F4854" t="s">
        <v>7735</v>
      </c>
      <c r="G4854" t="s">
        <v>37</v>
      </c>
      <c r="H4854">
        <v>1985</v>
      </c>
      <c r="I4854">
        <v>29.4</v>
      </c>
      <c r="J4854">
        <v>14.5</v>
      </c>
      <c r="K4854">
        <v>56</v>
      </c>
      <c r="L4854">
        <v>29.32</v>
      </c>
      <c r="M4854">
        <v>41.4</v>
      </c>
      <c r="N4854">
        <v>15.7</v>
      </c>
      <c r="O4854">
        <v>25.7</v>
      </c>
      <c r="P4854">
        <v>28.7</v>
      </c>
      <c r="Q4854">
        <v>25.8</v>
      </c>
      <c r="R4854">
        <v>33.1</v>
      </c>
      <c r="S4854">
        <v>25.5</v>
      </c>
      <c r="T4854">
        <v>428</v>
      </c>
      <c r="U4854">
        <v>151</v>
      </c>
      <c r="V4854">
        <v>0</v>
      </c>
      <c r="W4854">
        <v>138</v>
      </c>
      <c r="X4854">
        <v>336</v>
      </c>
      <c r="Y4854">
        <v>0</v>
      </c>
      <c r="Z4854">
        <v>84</v>
      </c>
      <c r="AA4854">
        <v>0</v>
      </c>
      <c r="AB4854">
        <v>1.0400370000000001</v>
      </c>
      <c r="AC4854">
        <v>0.30491990000000002</v>
      </c>
      <c r="AD4854">
        <v>1.498621</v>
      </c>
      <c r="AE4854">
        <v>0.54864020000000002</v>
      </c>
      <c r="AF4854">
        <v>192.73650000000001</v>
      </c>
      <c r="AG4854">
        <f>IFERROR(AH4854*0.1, "N/A")</f>
        <v>6.2380070000000005</v>
      </c>
      <c r="AH4854">
        <v>62.380070000000003</v>
      </c>
      <c r="AI4854">
        <v>138.8956</v>
      </c>
      <c r="AJ4854">
        <v>13.9848</v>
      </c>
      <c r="AK4854">
        <v>70.697640000000007</v>
      </c>
    </row>
    <row r="4855" spans="1:37" x14ac:dyDescent="0.3">
      <c r="A4855">
        <v>4854</v>
      </c>
      <c r="B4855">
        <v>43.1</v>
      </c>
      <c r="C4855">
        <v>1.8140000000000001</v>
      </c>
      <c r="D4855">
        <v>13.673</v>
      </c>
      <c r="E4855" t="s">
        <v>7736</v>
      </c>
      <c r="F4855" t="s">
        <v>7737</v>
      </c>
      <c r="G4855" t="s">
        <v>39</v>
      </c>
      <c r="H4855">
        <v>1987</v>
      </c>
      <c r="I4855">
        <v>29.4</v>
      </c>
      <c r="J4855">
        <v>14.5</v>
      </c>
      <c r="K4855">
        <v>56</v>
      </c>
      <c r="L4855">
        <v>29.32</v>
      </c>
      <c r="M4855">
        <v>41.4</v>
      </c>
      <c r="N4855">
        <v>15.7</v>
      </c>
      <c r="O4855">
        <v>25.7</v>
      </c>
      <c r="P4855">
        <v>28.7</v>
      </c>
      <c r="Q4855">
        <v>25.8</v>
      </c>
      <c r="R4855">
        <v>33.1</v>
      </c>
      <c r="S4855">
        <v>25.5</v>
      </c>
      <c r="T4855">
        <v>428</v>
      </c>
      <c r="U4855">
        <v>151</v>
      </c>
      <c r="V4855">
        <v>0</v>
      </c>
      <c r="W4855">
        <v>138</v>
      </c>
      <c r="X4855">
        <v>336</v>
      </c>
      <c r="Y4855">
        <v>0</v>
      </c>
      <c r="Z4855">
        <v>84</v>
      </c>
      <c r="AA4855">
        <v>0</v>
      </c>
      <c r="AB4855">
        <v>6.5399640000000003</v>
      </c>
      <c r="AC4855">
        <v>4.8011520000000002E-2</v>
      </c>
      <c r="AD4855">
        <v>1.297099</v>
      </c>
      <c r="AE4855">
        <v>0.56412209999999996</v>
      </c>
      <c r="AF4855">
        <v>194.3963</v>
      </c>
      <c r="AG4855">
        <f>IFERROR(AH4855*0.1, "N/A")</f>
        <v>6.1865090000000009</v>
      </c>
      <c r="AH4855">
        <v>61.865090000000002</v>
      </c>
      <c r="AI4855">
        <v>157.29689999999999</v>
      </c>
      <c r="AJ4855">
        <v>13.038790000000001</v>
      </c>
      <c r="AK4855">
        <v>73.88364</v>
      </c>
    </row>
    <row r="4856" spans="1:37" x14ac:dyDescent="0.3">
      <c r="A4856">
        <v>4855</v>
      </c>
      <c r="B4856">
        <v>8</v>
      </c>
      <c r="C4856">
        <v>8.3832799999999992</v>
      </c>
      <c r="D4856">
        <v>13.6737</v>
      </c>
      <c r="E4856" t="s">
        <v>7738</v>
      </c>
      <c r="F4856" t="s">
        <v>7739</v>
      </c>
      <c r="G4856" t="s">
        <v>39</v>
      </c>
      <c r="H4856">
        <v>0</v>
      </c>
      <c r="I4856">
        <v>27.531929999999999</v>
      </c>
      <c r="J4856">
        <v>14.568070000000001</v>
      </c>
      <c r="K4856">
        <v>56</v>
      </c>
      <c r="L4856">
        <v>31.835039999999999</v>
      </c>
      <c r="M4856">
        <v>39.631929999999997</v>
      </c>
      <c r="N4856">
        <v>13.83193</v>
      </c>
      <c r="O4856">
        <v>25.8</v>
      </c>
      <c r="P4856">
        <v>27.5</v>
      </c>
      <c r="Q4856">
        <v>23.531929999999999</v>
      </c>
      <c r="R4856">
        <v>31.7</v>
      </c>
      <c r="S4856">
        <v>23.131930000000001</v>
      </c>
      <c r="T4856">
        <v>370</v>
      </c>
      <c r="U4856">
        <v>151</v>
      </c>
      <c r="V4856">
        <v>0</v>
      </c>
      <c r="W4856">
        <v>155</v>
      </c>
      <c r="X4856">
        <v>314</v>
      </c>
      <c r="Y4856">
        <v>0</v>
      </c>
      <c r="Z4856">
        <v>50</v>
      </c>
      <c r="AA4856">
        <v>0</v>
      </c>
      <c r="AB4856">
        <v>4.7040230000000003</v>
      </c>
      <c r="AC4856">
        <v>1.804511E-2</v>
      </c>
      <c r="AD4856">
        <v>1.424167</v>
      </c>
      <c r="AE4856">
        <v>0.61164859999999999</v>
      </c>
      <c r="AF4856">
        <v>430.18990000000002</v>
      </c>
      <c r="AG4856">
        <f>IFERROR(AH4856*0.1, "N/A")</f>
        <v>6.7537820000000002</v>
      </c>
      <c r="AH4856">
        <v>67.537819999999996</v>
      </c>
      <c r="AI4856">
        <v>275.73469999999998</v>
      </c>
      <c r="AJ4856">
        <v>16.934449999999998</v>
      </c>
      <c r="AK4856">
        <v>69.941180000000003</v>
      </c>
    </row>
    <row r="4857" spans="1:37" x14ac:dyDescent="0.3">
      <c r="A4857">
        <v>4856</v>
      </c>
      <c r="B4857">
        <v>14</v>
      </c>
      <c r="C4857">
        <v>9.1840499999999992</v>
      </c>
      <c r="D4857">
        <v>13.6746</v>
      </c>
      <c r="E4857" t="s">
        <v>7740</v>
      </c>
      <c r="F4857" t="s">
        <v>7741</v>
      </c>
      <c r="G4857" t="s">
        <v>39</v>
      </c>
      <c r="H4857">
        <v>0</v>
      </c>
      <c r="I4857">
        <v>28.317309999999999</v>
      </c>
      <c r="J4857">
        <v>14.6</v>
      </c>
      <c r="K4857">
        <v>56</v>
      </c>
      <c r="L4857">
        <v>32.112520000000004</v>
      </c>
      <c r="M4857">
        <v>40.617310000000003</v>
      </c>
      <c r="N4857">
        <v>14.917310000000001</v>
      </c>
      <c r="O4857">
        <v>25.7</v>
      </c>
      <c r="P4857">
        <v>28</v>
      </c>
      <c r="Q4857">
        <v>24.3</v>
      </c>
      <c r="R4857">
        <v>32.417310000000001</v>
      </c>
      <c r="S4857">
        <v>23.82471</v>
      </c>
      <c r="T4857">
        <v>358.07389999999998</v>
      </c>
      <c r="U4857">
        <v>139.07390000000001</v>
      </c>
      <c r="V4857">
        <v>0</v>
      </c>
      <c r="W4857">
        <v>153.07390000000001</v>
      </c>
      <c r="X4857">
        <v>303.07389999999998</v>
      </c>
      <c r="Y4857">
        <v>0</v>
      </c>
      <c r="Z4857">
        <v>49</v>
      </c>
      <c r="AA4857">
        <v>0</v>
      </c>
      <c r="AB4857">
        <v>6.0482279999999999</v>
      </c>
      <c r="AC4857">
        <v>3.409301E-2</v>
      </c>
      <c r="AD4857">
        <v>0.58667720000000001</v>
      </c>
      <c r="AE4857">
        <v>0.70805340000000005</v>
      </c>
      <c r="AF4857">
        <v>400.03359999999998</v>
      </c>
      <c r="AG4857">
        <f>IFERROR(AH4857*0.1, "N/A")</f>
        <v>6.9208400000000001</v>
      </c>
      <c r="AH4857">
        <v>69.208399999999997</v>
      </c>
      <c r="AI4857">
        <v>66.494010000000003</v>
      </c>
      <c r="AJ4857">
        <v>17.46218</v>
      </c>
      <c r="AK4857">
        <v>69.015129999999999</v>
      </c>
    </row>
    <row r="4858" spans="1:37" x14ac:dyDescent="0.3">
      <c r="A4858">
        <v>4857</v>
      </c>
      <c r="B4858">
        <v>56.4</v>
      </c>
      <c r="C4858">
        <v>1.76528</v>
      </c>
      <c r="D4858">
        <v>13.674899999999999</v>
      </c>
      <c r="E4858" t="s">
        <v>7742</v>
      </c>
      <c r="F4858" t="s">
        <v>7743</v>
      </c>
      <c r="G4858" t="s">
        <v>39</v>
      </c>
      <c r="H4858">
        <v>0</v>
      </c>
      <c r="I4858">
        <v>29.4</v>
      </c>
      <c r="J4858">
        <v>14.5</v>
      </c>
      <c r="K4858">
        <v>56</v>
      </c>
      <c r="L4858">
        <v>29.070889999999999</v>
      </c>
      <c r="M4858">
        <v>41.4</v>
      </c>
      <c r="N4858">
        <v>15.8</v>
      </c>
      <c r="O4858">
        <v>25.6</v>
      </c>
      <c r="P4858">
        <v>28.661380000000001</v>
      </c>
      <c r="Q4858">
        <v>25.9</v>
      </c>
      <c r="R4858">
        <v>33.200000000000003</v>
      </c>
      <c r="S4858">
        <v>25.63862</v>
      </c>
      <c r="T4858">
        <v>423.8415</v>
      </c>
      <c r="U4858">
        <v>149.6138</v>
      </c>
      <c r="V4858">
        <v>0</v>
      </c>
      <c r="W4858">
        <v>136.6138</v>
      </c>
      <c r="X4858">
        <v>334.22770000000003</v>
      </c>
      <c r="Y4858">
        <v>0</v>
      </c>
      <c r="Z4858">
        <v>81.613829999999993</v>
      </c>
      <c r="AA4858">
        <v>0</v>
      </c>
      <c r="AB4858">
        <v>0.60168759999999999</v>
      </c>
      <c r="AC4858">
        <v>1.7747790000000001</v>
      </c>
      <c r="AD4858">
        <v>1.1816089999999999</v>
      </c>
      <c r="AE4858">
        <v>0.41302309999999998</v>
      </c>
      <c r="AF4858">
        <v>185.96799999999999</v>
      </c>
      <c r="AG4858" t="str">
        <f>IFERROR(AH4858*0.1, "N/A")</f>
        <v>N/A</v>
      </c>
      <c r="AH4858" t="s">
        <v>729</v>
      </c>
      <c r="AI4858">
        <v>127.056</v>
      </c>
      <c r="AJ4858" t="s">
        <v>729</v>
      </c>
      <c r="AK4858" t="s">
        <v>729</v>
      </c>
    </row>
    <row r="4859" spans="1:37" x14ac:dyDescent="0.3">
      <c r="A4859">
        <v>4858</v>
      </c>
      <c r="B4859">
        <v>0</v>
      </c>
      <c r="C4859">
        <v>10.3804</v>
      </c>
      <c r="D4859">
        <v>13.6753</v>
      </c>
      <c r="E4859" t="s">
        <v>7744</v>
      </c>
      <c r="F4859" t="s">
        <v>7745</v>
      </c>
      <c r="G4859" t="s">
        <v>39</v>
      </c>
      <c r="H4859">
        <v>0</v>
      </c>
      <c r="I4859">
        <v>27.1</v>
      </c>
      <c r="J4859">
        <v>15.3</v>
      </c>
      <c r="K4859">
        <v>57.71669</v>
      </c>
      <c r="L4859">
        <v>30.8325</v>
      </c>
      <c r="M4859">
        <v>39.700000000000003</v>
      </c>
      <c r="N4859">
        <v>13.37167</v>
      </c>
      <c r="O4859">
        <v>26.328330000000001</v>
      </c>
      <c r="P4859">
        <v>27.071670000000001</v>
      </c>
      <c r="Q4859">
        <v>24.7</v>
      </c>
      <c r="R4859">
        <v>31.1</v>
      </c>
      <c r="S4859">
        <v>22.77167</v>
      </c>
      <c r="T4859">
        <v>334</v>
      </c>
      <c r="U4859">
        <v>133</v>
      </c>
      <c r="V4859">
        <v>0</v>
      </c>
      <c r="W4859">
        <v>160</v>
      </c>
      <c r="X4859">
        <v>291</v>
      </c>
      <c r="Y4859">
        <v>0</v>
      </c>
      <c r="Z4859">
        <v>40</v>
      </c>
      <c r="AA4859">
        <v>0</v>
      </c>
      <c r="AB4859">
        <v>2.1264850000000002</v>
      </c>
      <c r="AC4859">
        <v>8.8707330000000004E-3</v>
      </c>
      <c r="AD4859">
        <v>1.9430160000000001</v>
      </c>
      <c r="AE4859">
        <v>0.45630969999999998</v>
      </c>
      <c r="AF4859">
        <v>368.12310000000002</v>
      </c>
      <c r="AG4859">
        <f>IFERROR(AH4859*0.1, "N/A")</f>
        <v>6.9394600000000004</v>
      </c>
      <c r="AH4859">
        <v>69.394599999999997</v>
      </c>
      <c r="AI4859">
        <v>114.2405</v>
      </c>
      <c r="AJ4859">
        <v>8.0674539999999997</v>
      </c>
      <c r="AK4859">
        <v>82.836420000000004</v>
      </c>
    </row>
    <row r="4860" spans="1:37" x14ac:dyDescent="0.3">
      <c r="A4860">
        <v>4859</v>
      </c>
      <c r="B4860">
        <v>0</v>
      </c>
      <c r="C4860">
        <v>10.3804</v>
      </c>
      <c r="D4860">
        <v>13.6753</v>
      </c>
      <c r="E4860" t="s">
        <v>7744</v>
      </c>
      <c r="F4860" t="s">
        <v>7746</v>
      </c>
      <c r="G4860" t="s">
        <v>37</v>
      </c>
      <c r="H4860">
        <v>0</v>
      </c>
      <c r="I4860">
        <v>27.1</v>
      </c>
      <c r="J4860">
        <v>15.3</v>
      </c>
      <c r="K4860">
        <v>57.71669</v>
      </c>
      <c r="L4860">
        <v>30.8325</v>
      </c>
      <c r="M4860">
        <v>39.700000000000003</v>
      </c>
      <c r="N4860">
        <v>13.37167</v>
      </c>
      <c r="O4860">
        <v>26.328330000000001</v>
      </c>
      <c r="P4860">
        <v>27.071670000000001</v>
      </c>
      <c r="Q4860">
        <v>24.7</v>
      </c>
      <c r="R4860">
        <v>31.1</v>
      </c>
      <c r="S4860">
        <v>22.77167</v>
      </c>
      <c r="T4860">
        <v>334</v>
      </c>
      <c r="U4860">
        <v>133</v>
      </c>
      <c r="V4860">
        <v>0</v>
      </c>
      <c r="W4860">
        <v>160</v>
      </c>
      <c r="X4860">
        <v>291</v>
      </c>
      <c r="Y4860">
        <v>0</v>
      </c>
      <c r="Z4860">
        <v>40</v>
      </c>
      <c r="AA4860">
        <v>0</v>
      </c>
      <c r="AB4860">
        <v>2.1264850000000002</v>
      </c>
      <c r="AC4860">
        <v>8.8707330000000004E-3</v>
      </c>
      <c r="AD4860">
        <v>1.9430160000000001</v>
      </c>
      <c r="AE4860">
        <v>0.45630969999999998</v>
      </c>
      <c r="AF4860">
        <v>368.12310000000002</v>
      </c>
      <c r="AG4860">
        <f>IFERROR(AH4860*0.1, "N/A")</f>
        <v>6.9394600000000004</v>
      </c>
      <c r="AH4860">
        <v>69.394599999999997</v>
      </c>
      <c r="AI4860">
        <v>114.2405</v>
      </c>
      <c r="AJ4860">
        <v>8.0674539999999997</v>
      </c>
      <c r="AK4860">
        <v>82.836420000000004</v>
      </c>
    </row>
    <row r="4861" spans="1:37" x14ac:dyDescent="0.3">
      <c r="A4861">
        <v>4860</v>
      </c>
      <c r="B4861">
        <v>88</v>
      </c>
      <c r="C4861">
        <v>8.5282300000000006</v>
      </c>
      <c r="D4861">
        <v>13.68</v>
      </c>
      <c r="E4861" t="s">
        <v>7747</v>
      </c>
      <c r="F4861" t="s">
        <v>7748</v>
      </c>
      <c r="G4861" t="s">
        <v>39</v>
      </c>
      <c r="H4861">
        <v>0</v>
      </c>
      <c r="I4861">
        <v>27.7</v>
      </c>
      <c r="J4861">
        <v>14.5</v>
      </c>
      <c r="K4861">
        <v>55</v>
      </c>
      <c r="L4861">
        <v>32.69</v>
      </c>
      <c r="M4861">
        <v>39.700000000000003</v>
      </c>
      <c r="N4861">
        <v>13.8</v>
      </c>
      <c r="O4861">
        <v>25.9</v>
      </c>
      <c r="P4861">
        <v>27.8</v>
      </c>
      <c r="Q4861">
        <v>23.4</v>
      </c>
      <c r="R4861">
        <v>31.8</v>
      </c>
      <c r="S4861">
        <v>23</v>
      </c>
      <c r="T4861">
        <v>357</v>
      </c>
      <c r="U4861">
        <v>149</v>
      </c>
      <c r="V4861">
        <v>0</v>
      </c>
      <c r="W4861">
        <v>157</v>
      </c>
      <c r="X4861">
        <v>306</v>
      </c>
      <c r="Y4861">
        <v>0</v>
      </c>
      <c r="Z4861">
        <v>45</v>
      </c>
      <c r="AA4861">
        <v>0</v>
      </c>
      <c r="AB4861">
        <v>2.5304760000000002</v>
      </c>
      <c r="AC4861">
        <v>2.03932</v>
      </c>
      <c r="AD4861">
        <v>2.4929209999999999</v>
      </c>
      <c r="AE4861">
        <v>0.64650909999999995</v>
      </c>
      <c r="AF4861">
        <v>439.62119999999999</v>
      </c>
      <c r="AG4861">
        <f>IFERROR(AH4861*0.1, "N/A")</f>
        <v>6.2178450000000005</v>
      </c>
      <c r="AH4861">
        <v>62.178449999999998</v>
      </c>
      <c r="AI4861">
        <v>170.68010000000001</v>
      </c>
      <c r="AJ4861">
        <v>17.6431</v>
      </c>
      <c r="AK4861">
        <v>65.892259999999993</v>
      </c>
    </row>
    <row r="4862" spans="1:37" x14ac:dyDescent="0.3">
      <c r="A4862">
        <v>4861</v>
      </c>
      <c r="B4862">
        <v>50</v>
      </c>
      <c r="C4862">
        <v>1.7355799999999999</v>
      </c>
      <c r="D4862">
        <v>13.680099999999999</v>
      </c>
      <c r="E4862" t="s">
        <v>7749</v>
      </c>
      <c r="F4862" t="s">
        <v>7750</v>
      </c>
      <c r="G4862" t="s">
        <v>39</v>
      </c>
      <c r="H4862">
        <v>0</v>
      </c>
      <c r="I4862">
        <v>29.4</v>
      </c>
      <c r="J4862">
        <v>14.5</v>
      </c>
      <c r="K4862">
        <v>56</v>
      </c>
      <c r="L4862">
        <v>28.94</v>
      </c>
      <c r="M4862">
        <v>41.4</v>
      </c>
      <c r="N4862">
        <v>15.8</v>
      </c>
      <c r="O4862">
        <v>25.6</v>
      </c>
      <c r="P4862">
        <v>28.6</v>
      </c>
      <c r="Q4862">
        <v>25.9</v>
      </c>
      <c r="R4862">
        <v>33.200000000000003</v>
      </c>
      <c r="S4862">
        <v>25.7</v>
      </c>
      <c r="T4862">
        <v>422</v>
      </c>
      <c r="U4862">
        <v>149</v>
      </c>
      <c r="V4862">
        <v>0</v>
      </c>
      <c r="W4862">
        <v>137</v>
      </c>
      <c r="X4862">
        <v>334</v>
      </c>
      <c r="Y4862">
        <v>0</v>
      </c>
      <c r="Z4862">
        <v>80</v>
      </c>
      <c r="AA4862">
        <v>0</v>
      </c>
      <c r="AB4862">
        <v>6.1737330000000004</v>
      </c>
      <c r="AC4862">
        <v>2.2579740000000001E-2</v>
      </c>
      <c r="AD4862">
        <v>0.62889550000000005</v>
      </c>
      <c r="AE4862">
        <v>0.39481240000000001</v>
      </c>
      <c r="AF4862">
        <v>191.96459999999999</v>
      </c>
      <c r="AG4862">
        <f>IFERROR(AH4862*0.1, "N/A")</f>
        <v>6.6589810000000007</v>
      </c>
      <c r="AH4862">
        <v>66.58981</v>
      </c>
      <c r="AI4862">
        <v>110.4015</v>
      </c>
      <c r="AJ4862">
        <v>22.949059999999999</v>
      </c>
      <c r="AK4862">
        <v>58.729219999999998</v>
      </c>
    </row>
    <row r="4863" spans="1:37" x14ac:dyDescent="0.3">
      <c r="A4863">
        <v>4862</v>
      </c>
      <c r="B4863">
        <v>0</v>
      </c>
      <c r="C4863">
        <v>1.7166699999999999</v>
      </c>
      <c r="D4863">
        <v>13.683299999999999</v>
      </c>
      <c r="E4863" t="s">
        <v>7751</v>
      </c>
      <c r="F4863" t="s">
        <v>7752</v>
      </c>
      <c r="G4863" t="s">
        <v>37</v>
      </c>
      <c r="H4863">
        <v>2004</v>
      </c>
      <c r="I4863">
        <v>29.381889999999999</v>
      </c>
      <c r="J4863">
        <v>14.5</v>
      </c>
      <c r="K4863">
        <v>56</v>
      </c>
      <c r="L4863">
        <v>29.022449999999999</v>
      </c>
      <c r="M4863">
        <v>41.381900000000002</v>
      </c>
      <c r="N4863">
        <v>15.799149999999999</v>
      </c>
      <c r="O4863">
        <v>25.582740000000001</v>
      </c>
      <c r="P4863">
        <v>28.649750000000001</v>
      </c>
      <c r="Q4863">
        <v>25.881889999999999</v>
      </c>
      <c r="R4863">
        <v>33.181899999999999</v>
      </c>
      <c r="S4863">
        <v>25.631640000000001</v>
      </c>
      <c r="T4863">
        <v>419.21319999999997</v>
      </c>
      <c r="U4863">
        <v>148.18100000000001</v>
      </c>
      <c r="V4863">
        <v>0</v>
      </c>
      <c r="W4863">
        <v>138.76650000000001</v>
      </c>
      <c r="X4863">
        <v>332.53469999999999</v>
      </c>
      <c r="Y4863">
        <v>0</v>
      </c>
      <c r="Z4863">
        <v>79</v>
      </c>
      <c r="AA4863">
        <v>0</v>
      </c>
      <c r="AB4863">
        <v>6.5712289999999998</v>
      </c>
      <c r="AC4863">
        <v>4.72729E-2</v>
      </c>
      <c r="AD4863">
        <v>1.5655479999999999</v>
      </c>
      <c r="AE4863">
        <v>0.37221090000000001</v>
      </c>
      <c r="AF4863">
        <v>191.04230000000001</v>
      </c>
      <c r="AG4863">
        <f>IFERROR(AH4863*0.1, "N/A")</f>
        <v>6.1512690000000001</v>
      </c>
      <c r="AH4863">
        <v>61.512689999999999</v>
      </c>
      <c r="AI4863">
        <v>50.372340000000001</v>
      </c>
      <c r="AJ4863">
        <v>13</v>
      </c>
      <c r="AK4863">
        <v>71</v>
      </c>
    </row>
    <row r="4864" spans="1:37" x14ac:dyDescent="0.3">
      <c r="A4864">
        <v>4863</v>
      </c>
      <c r="B4864">
        <v>0</v>
      </c>
      <c r="C4864">
        <v>1.7166699999999999</v>
      </c>
      <c r="D4864">
        <v>13.683299999999999</v>
      </c>
      <c r="E4864" t="s">
        <v>7751</v>
      </c>
      <c r="F4864" t="s">
        <v>7753</v>
      </c>
      <c r="G4864" t="s">
        <v>39</v>
      </c>
      <c r="H4864">
        <v>2004</v>
      </c>
      <c r="I4864">
        <v>29.381889999999999</v>
      </c>
      <c r="J4864">
        <v>14.5</v>
      </c>
      <c r="K4864">
        <v>56</v>
      </c>
      <c r="L4864">
        <v>29.022449999999999</v>
      </c>
      <c r="M4864">
        <v>41.381900000000002</v>
      </c>
      <c r="N4864">
        <v>15.799149999999999</v>
      </c>
      <c r="O4864">
        <v>25.582740000000001</v>
      </c>
      <c r="P4864">
        <v>28.649750000000001</v>
      </c>
      <c r="Q4864">
        <v>25.881889999999999</v>
      </c>
      <c r="R4864">
        <v>33.181899999999999</v>
      </c>
      <c r="S4864">
        <v>25.631640000000001</v>
      </c>
      <c r="T4864">
        <v>419.21319999999997</v>
      </c>
      <c r="U4864">
        <v>148.18100000000001</v>
      </c>
      <c r="V4864">
        <v>0</v>
      </c>
      <c r="W4864">
        <v>138.76650000000001</v>
      </c>
      <c r="X4864">
        <v>332.53469999999999</v>
      </c>
      <c r="Y4864">
        <v>0</v>
      </c>
      <c r="Z4864">
        <v>79</v>
      </c>
      <c r="AA4864">
        <v>0</v>
      </c>
      <c r="AB4864">
        <v>6.5712289999999998</v>
      </c>
      <c r="AC4864">
        <v>4.72729E-2</v>
      </c>
      <c r="AD4864">
        <v>1.5655479999999999</v>
      </c>
      <c r="AE4864">
        <v>0.37221090000000001</v>
      </c>
      <c r="AF4864">
        <v>191.04230000000001</v>
      </c>
      <c r="AG4864">
        <f>IFERROR(AH4864*0.1, "N/A")</f>
        <v>6.1512690000000001</v>
      </c>
      <c r="AH4864">
        <v>61.512689999999999</v>
      </c>
      <c r="AI4864">
        <v>50.372340000000001</v>
      </c>
      <c r="AJ4864">
        <v>13</v>
      </c>
      <c r="AK4864">
        <v>71</v>
      </c>
    </row>
    <row r="4865" spans="1:37" x14ac:dyDescent="0.3">
      <c r="A4865">
        <v>4864</v>
      </c>
      <c r="B4865">
        <v>18.7</v>
      </c>
      <c r="C4865">
        <v>1.7829999999999999</v>
      </c>
      <c r="D4865">
        <v>13.683999999999999</v>
      </c>
      <c r="E4865" t="s">
        <v>7754</v>
      </c>
      <c r="F4865" t="s">
        <v>7755</v>
      </c>
      <c r="G4865" t="s">
        <v>39</v>
      </c>
      <c r="H4865">
        <v>1987</v>
      </c>
      <c r="I4865">
        <v>29.262560000000001</v>
      </c>
      <c r="J4865">
        <v>14.5</v>
      </c>
      <c r="K4865">
        <v>56</v>
      </c>
      <c r="L4865">
        <v>28.856459999999998</v>
      </c>
      <c r="M4865">
        <v>41.262560000000001</v>
      </c>
      <c r="N4865">
        <v>15.7</v>
      </c>
      <c r="O4865">
        <v>25.562560000000001</v>
      </c>
      <c r="P4865">
        <v>28.6</v>
      </c>
      <c r="Q4865">
        <v>25.862559999999998</v>
      </c>
      <c r="R4865">
        <v>33.025129999999997</v>
      </c>
      <c r="S4865">
        <v>25.562560000000001</v>
      </c>
      <c r="T4865">
        <v>423</v>
      </c>
      <c r="U4865">
        <v>150</v>
      </c>
      <c r="V4865">
        <v>0</v>
      </c>
      <c r="W4865">
        <v>137</v>
      </c>
      <c r="X4865">
        <v>334</v>
      </c>
      <c r="Y4865">
        <v>0</v>
      </c>
      <c r="Z4865">
        <v>81</v>
      </c>
      <c r="AA4865">
        <v>0</v>
      </c>
      <c r="AB4865">
        <v>6.9617290000000001</v>
      </c>
      <c r="AC4865">
        <v>0.27357769999999998</v>
      </c>
      <c r="AD4865">
        <v>0.6890442</v>
      </c>
      <c r="AE4865">
        <v>0.64704589999999995</v>
      </c>
      <c r="AF4865">
        <v>202.1737</v>
      </c>
      <c r="AG4865">
        <f>IFERROR(AH4865*0.1, "N/A")</f>
        <v>5.7625630000000001</v>
      </c>
      <c r="AH4865">
        <v>57.625630000000001</v>
      </c>
      <c r="AI4865">
        <v>32.542270000000002</v>
      </c>
      <c r="AJ4865">
        <v>13</v>
      </c>
      <c r="AK4865">
        <v>77</v>
      </c>
    </row>
    <row r="4866" spans="1:37" x14ac:dyDescent="0.3">
      <c r="A4866">
        <v>4865</v>
      </c>
      <c r="B4866">
        <v>16.100000000000001</v>
      </c>
      <c r="C4866">
        <v>1.766</v>
      </c>
      <c r="D4866">
        <v>13.685</v>
      </c>
      <c r="E4866" t="s">
        <v>7756</v>
      </c>
      <c r="F4866" t="s">
        <v>7757</v>
      </c>
      <c r="G4866" t="s">
        <v>39</v>
      </c>
      <c r="H4866">
        <v>1987</v>
      </c>
      <c r="I4866">
        <v>29.4</v>
      </c>
      <c r="J4866">
        <v>14.5</v>
      </c>
      <c r="K4866">
        <v>56</v>
      </c>
      <c r="L4866">
        <v>29.26</v>
      </c>
      <c r="M4866">
        <v>41.4</v>
      </c>
      <c r="N4866">
        <v>15.8</v>
      </c>
      <c r="O4866">
        <v>25.6</v>
      </c>
      <c r="P4866">
        <v>28.7</v>
      </c>
      <c r="Q4866">
        <v>25.8</v>
      </c>
      <c r="R4866">
        <v>33.1</v>
      </c>
      <c r="S4866">
        <v>25.5</v>
      </c>
      <c r="T4866">
        <v>422</v>
      </c>
      <c r="U4866">
        <v>149</v>
      </c>
      <c r="V4866">
        <v>0</v>
      </c>
      <c r="W4866">
        <v>136</v>
      </c>
      <c r="X4866">
        <v>333</v>
      </c>
      <c r="Y4866">
        <v>0</v>
      </c>
      <c r="Z4866">
        <v>81</v>
      </c>
      <c r="AA4866">
        <v>0</v>
      </c>
      <c r="AB4866">
        <v>4.5981389999999998</v>
      </c>
      <c r="AC4866">
        <v>3.100383E-2</v>
      </c>
      <c r="AD4866">
        <v>1.2968500000000001</v>
      </c>
      <c r="AE4866">
        <v>0.60560349999999996</v>
      </c>
      <c r="AF4866">
        <v>192.08629999999999</v>
      </c>
      <c r="AG4866">
        <f>IFERROR(AH4866*0.1, "N/A")</f>
        <v>5.7732660000000005</v>
      </c>
      <c r="AH4866">
        <v>57.732660000000003</v>
      </c>
      <c r="AI4866">
        <v>153.0505</v>
      </c>
      <c r="AJ4866">
        <v>15.566839999999999</v>
      </c>
      <c r="AK4866">
        <v>71.866330000000005</v>
      </c>
    </row>
    <row r="4867" spans="1:37" x14ac:dyDescent="0.3">
      <c r="A4867">
        <v>4866</v>
      </c>
      <c r="B4867">
        <v>87.8</v>
      </c>
      <c r="C4867">
        <v>1.7272799999999999</v>
      </c>
      <c r="D4867">
        <v>13.6853</v>
      </c>
      <c r="E4867" t="s">
        <v>7758</v>
      </c>
      <c r="F4867" t="s">
        <v>7759</v>
      </c>
      <c r="G4867" t="s">
        <v>39</v>
      </c>
      <c r="H4867">
        <v>0</v>
      </c>
      <c r="I4867">
        <v>29.4</v>
      </c>
      <c r="J4867">
        <v>14.5</v>
      </c>
      <c r="K4867">
        <v>56</v>
      </c>
      <c r="L4867">
        <v>28.96</v>
      </c>
      <c r="M4867">
        <v>41.4</v>
      </c>
      <c r="N4867">
        <v>15.9</v>
      </c>
      <c r="O4867">
        <v>25.5</v>
      </c>
      <c r="P4867">
        <v>28.7</v>
      </c>
      <c r="Q4867">
        <v>25.9</v>
      </c>
      <c r="R4867">
        <v>33.200000000000003</v>
      </c>
      <c r="S4867">
        <v>25.7</v>
      </c>
      <c r="T4867">
        <v>419</v>
      </c>
      <c r="U4867">
        <v>148</v>
      </c>
      <c r="V4867">
        <v>0</v>
      </c>
      <c r="W4867">
        <v>140</v>
      </c>
      <c r="X4867">
        <v>332</v>
      </c>
      <c r="Y4867">
        <v>0</v>
      </c>
      <c r="Z4867">
        <v>79</v>
      </c>
      <c r="AA4867">
        <v>0</v>
      </c>
      <c r="AB4867">
        <v>8.2915650000000003</v>
      </c>
      <c r="AC4867">
        <v>1.303231E-2</v>
      </c>
      <c r="AD4867">
        <v>2.2274340000000001</v>
      </c>
      <c r="AE4867">
        <v>0.32107160000000001</v>
      </c>
      <c r="AF4867">
        <v>192.4503</v>
      </c>
      <c r="AG4867">
        <f>IFERROR(AH4867*0.1, "N/A")</f>
        <v>6.4844860000000004</v>
      </c>
      <c r="AH4867">
        <v>64.844859999999997</v>
      </c>
      <c r="AI4867">
        <v>191.06120000000001</v>
      </c>
      <c r="AJ4867">
        <v>29.249580000000002</v>
      </c>
      <c r="AK4867">
        <v>52.38449</v>
      </c>
    </row>
    <row r="4868" spans="1:37" x14ac:dyDescent="0.3">
      <c r="A4868">
        <v>4867</v>
      </c>
      <c r="B4868">
        <v>30.8</v>
      </c>
      <c r="C4868">
        <v>1.7263900000000001</v>
      </c>
      <c r="D4868">
        <v>13.6875</v>
      </c>
      <c r="E4868" t="s">
        <v>7760</v>
      </c>
      <c r="F4868" t="s">
        <v>7761</v>
      </c>
      <c r="G4868" t="s">
        <v>39</v>
      </c>
      <c r="H4868">
        <v>0</v>
      </c>
      <c r="I4868">
        <v>29.4</v>
      </c>
      <c r="J4868">
        <v>14.5</v>
      </c>
      <c r="K4868">
        <v>56</v>
      </c>
      <c r="L4868">
        <v>28.96</v>
      </c>
      <c r="M4868">
        <v>41.4</v>
      </c>
      <c r="N4868">
        <v>15.9</v>
      </c>
      <c r="O4868">
        <v>25.5</v>
      </c>
      <c r="P4868">
        <v>28.7</v>
      </c>
      <c r="Q4868">
        <v>25.9</v>
      </c>
      <c r="R4868">
        <v>33.200000000000003</v>
      </c>
      <c r="S4868">
        <v>25.7</v>
      </c>
      <c r="T4868">
        <v>419</v>
      </c>
      <c r="U4868">
        <v>148</v>
      </c>
      <c r="V4868">
        <v>0</v>
      </c>
      <c r="W4868">
        <v>140</v>
      </c>
      <c r="X4868">
        <v>332</v>
      </c>
      <c r="Y4868">
        <v>0</v>
      </c>
      <c r="Z4868">
        <v>79</v>
      </c>
      <c r="AA4868">
        <v>0</v>
      </c>
      <c r="AB4868">
        <v>7.8082399999999996</v>
      </c>
      <c r="AC4868">
        <v>8.4214819999999992E-3</v>
      </c>
      <c r="AD4868">
        <v>1.977803</v>
      </c>
      <c r="AE4868">
        <v>0.32751370000000002</v>
      </c>
      <c r="AF4868">
        <v>191.96129999999999</v>
      </c>
      <c r="AG4868">
        <f>IFERROR(AH4868*0.1, "N/A")</f>
        <v>7.0946220000000002</v>
      </c>
      <c r="AH4868">
        <v>70.946219999999997</v>
      </c>
      <c r="AI4868">
        <v>206.90110000000001</v>
      </c>
      <c r="AJ4868">
        <v>26.04034</v>
      </c>
      <c r="AK4868">
        <v>55.952939999999998</v>
      </c>
    </row>
    <row r="4869" spans="1:37" x14ac:dyDescent="0.3">
      <c r="A4869">
        <v>4868</v>
      </c>
      <c r="B4869">
        <v>71.099999999999994</v>
      </c>
      <c r="C4869">
        <v>2.38944</v>
      </c>
      <c r="D4869">
        <v>13.6911</v>
      </c>
      <c r="E4869" t="s">
        <v>7762</v>
      </c>
      <c r="F4869" t="s">
        <v>7763</v>
      </c>
      <c r="G4869" t="s">
        <v>39</v>
      </c>
      <c r="H4869">
        <v>0</v>
      </c>
      <c r="I4869">
        <v>28.9</v>
      </c>
      <c r="J4869">
        <v>14.3</v>
      </c>
      <c r="K4869">
        <v>56</v>
      </c>
      <c r="L4869">
        <v>29.15</v>
      </c>
      <c r="M4869">
        <v>40.9</v>
      </c>
      <c r="N4869">
        <v>15.5</v>
      </c>
      <c r="O4869">
        <v>25.4</v>
      </c>
      <c r="P4869">
        <v>28.2</v>
      </c>
      <c r="Q4869">
        <v>27.1</v>
      </c>
      <c r="R4869">
        <v>32.700000000000003</v>
      </c>
      <c r="S4869">
        <v>25.1</v>
      </c>
      <c r="T4869">
        <v>425.58819999999997</v>
      </c>
      <c r="U4869">
        <v>144</v>
      </c>
      <c r="V4869">
        <v>0</v>
      </c>
      <c r="W4869">
        <v>137</v>
      </c>
      <c r="X4869">
        <v>337</v>
      </c>
      <c r="Y4869">
        <v>0</v>
      </c>
      <c r="Z4869">
        <v>82.588239999999999</v>
      </c>
      <c r="AA4869">
        <v>0</v>
      </c>
      <c r="AB4869">
        <v>1.245698</v>
      </c>
      <c r="AC4869">
        <v>2.0641489999999998E-2</v>
      </c>
      <c r="AD4869">
        <v>0.56764709999999996</v>
      </c>
      <c r="AE4869">
        <v>0.26006499999999999</v>
      </c>
      <c r="AF4869">
        <v>268.8202</v>
      </c>
      <c r="AG4869">
        <f>IFERROR(AH4869*0.1, "N/A")</f>
        <v>5.3163030000000004</v>
      </c>
      <c r="AH4869">
        <v>53.163029999999999</v>
      </c>
      <c r="AI4869">
        <v>123.6617</v>
      </c>
      <c r="AJ4869">
        <v>18.726050000000001</v>
      </c>
      <c r="AK4869">
        <v>67.715969999999999</v>
      </c>
    </row>
    <row r="4870" spans="1:37" x14ac:dyDescent="0.3">
      <c r="A4870">
        <v>4869</v>
      </c>
      <c r="B4870">
        <v>74.5</v>
      </c>
      <c r="C4870">
        <v>1.7436499999999999</v>
      </c>
      <c r="D4870">
        <v>13.6912</v>
      </c>
      <c r="E4870" t="s">
        <v>7764</v>
      </c>
      <c r="F4870" t="s">
        <v>7765</v>
      </c>
      <c r="G4870" t="s">
        <v>39</v>
      </c>
      <c r="H4870">
        <v>0</v>
      </c>
      <c r="I4870">
        <v>29.4</v>
      </c>
      <c r="J4870">
        <v>14.5</v>
      </c>
      <c r="K4870">
        <v>56</v>
      </c>
      <c r="L4870">
        <v>29.044709999999998</v>
      </c>
      <c r="M4870">
        <v>41.4</v>
      </c>
      <c r="N4870">
        <v>15.8</v>
      </c>
      <c r="O4870">
        <v>25.6</v>
      </c>
      <c r="P4870">
        <v>28.650079999999999</v>
      </c>
      <c r="Q4870">
        <v>25.850079999999998</v>
      </c>
      <c r="R4870">
        <v>33.150080000000003</v>
      </c>
      <c r="S4870">
        <v>25.650079999999999</v>
      </c>
      <c r="T4870">
        <v>418.50080000000003</v>
      </c>
      <c r="U4870">
        <v>148</v>
      </c>
      <c r="V4870">
        <v>0</v>
      </c>
      <c r="W4870">
        <v>139.5008</v>
      </c>
      <c r="X4870">
        <v>331.50080000000003</v>
      </c>
      <c r="Y4870">
        <v>0</v>
      </c>
      <c r="Z4870">
        <v>79</v>
      </c>
      <c r="AA4870">
        <v>0</v>
      </c>
      <c r="AB4870">
        <v>0.95932859999999998</v>
      </c>
      <c r="AC4870">
        <v>3.216306E-2</v>
      </c>
      <c r="AD4870">
        <v>1.8496889999999999</v>
      </c>
      <c r="AE4870">
        <v>0.65816339999999995</v>
      </c>
      <c r="AF4870">
        <v>186.48570000000001</v>
      </c>
      <c r="AG4870">
        <f>IFERROR(AH4870*0.1, "N/A")</f>
        <v>6.1171430000000004</v>
      </c>
      <c r="AH4870">
        <v>61.171430000000001</v>
      </c>
      <c r="AI4870">
        <v>194.5652</v>
      </c>
      <c r="AJ4870">
        <v>21.473949999999999</v>
      </c>
      <c r="AK4870">
        <v>57.526049999999998</v>
      </c>
    </row>
    <row r="4871" spans="1:37" x14ac:dyDescent="0.3">
      <c r="A4871">
        <v>4870</v>
      </c>
      <c r="B4871">
        <v>0</v>
      </c>
      <c r="C4871">
        <v>1.7436499999999999</v>
      </c>
      <c r="D4871">
        <v>13.6912</v>
      </c>
      <c r="E4871" t="s">
        <v>7764</v>
      </c>
      <c r="F4871" t="s">
        <v>7766</v>
      </c>
      <c r="G4871" t="s">
        <v>37</v>
      </c>
      <c r="H4871">
        <v>0</v>
      </c>
      <c r="I4871">
        <v>29.4</v>
      </c>
      <c r="J4871">
        <v>14.5</v>
      </c>
      <c r="K4871">
        <v>56</v>
      </c>
      <c r="L4871">
        <v>29.044709999999998</v>
      </c>
      <c r="M4871">
        <v>41.4</v>
      </c>
      <c r="N4871">
        <v>15.8</v>
      </c>
      <c r="O4871">
        <v>25.6</v>
      </c>
      <c r="P4871">
        <v>28.650079999999999</v>
      </c>
      <c r="Q4871">
        <v>25.850079999999998</v>
      </c>
      <c r="R4871">
        <v>33.150080000000003</v>
      </c>
      <c r="S4871">
        <v>25.650079999999999</v>
      </c>
      <c r="T4871">
        <v>418.50080000000003</v>
      </c>
      <c r="U4871">
        <v>148</v>
      </c>
      <c r="V4871">
        <v>0</v>
      </c>
      <c r="W4871">
        <v>139.5008</v>
      </c>
      <c r="X4871">
        <v>331.50080000000003</v>
      </c>
      <c r="Y4871">
        <v>0</v>
      </c>
      <c r="Z4871">
        <v>79</v>
      </c>
      <c r="AA4871">
        <v>0</v>
      </c>
      <c r="AB4871">
        <v>0.95932859999999998</v>
      </c>
      <c r="AC4871">
        <v>3.216306E-2</v>
      </c>
      <c r="AD4871">
        <v>1.8496889999999999</v>
      </c>
      <c r="AE4871">
        <v>0.65816339999999995</v>
      </c>
      <c r="AF4871">
        <v>186.48570000000001</v>
      </c>
      <c r="AG4871">
        <f>IFERROR(AH4871*0.1, "N/A")</f>
        <v>6.1171430000000004</v>
      </c>
      <c r="AH4871">
        <v>61.171430000000001</v>
      </c>
      <c r="AI4871">
        <v>194.5652</v>
      </c>
      <c r="AJ4871">
        <v>21.473949999999999</v>
      </c>
      <c r="AK4871">
        <v>57.526049999999998</v>
      </c>
    </row>
    <row r="4872" spans="1:37" x14ac:dyDescent="0.3">
      <c r="A4872">
        <v>4871</v>
      </c>
      <c r="B4872">
        <v>90</v>
      </c>
      <c r="C4872">
        <v>1.7351000000000001</v>
      </c>
      <c r="D4872">
        <v>13.6919</v>
      </c>
      <c r="E4872" t="s">
        <v>7767</v>
      </c>
      <c r="F4872" t="s">
        <v>7768</v>
      </c>
      <c r="G4872" t="s">
        <v>39</v>
      </c>
      <c r="H4872">
        <v>0</v>
      </c>
      <c r="I4872">
        <v>29.4</v>
      </c>
      <c r="J4872">
        <v>14.5</v>
      </c>
      <c r="K4872">
        <v>56</v>
      </c>
      <c r="L4872">
        <v>29.068490000000001</v>
      </c>
      <c r="M4872">
        <v>41.4</v>
      </c>
      <c r="N4872">
        <v>15.8</v>
      </c>
      <c r="O4872">
        <v>25.6</v>
      </c>
      <c r="P4872">
        <v>28.7</v>
      </c>
      <c r="Q4872">
        <v>25.9</v>
      </c>
      <c r="R4872">
        <v>33.200000000000003</v>
      </c>
      <c r="S4872">
        <v>25.602519999999998</v>
      </c>
      <c r="T4872">
        <v>418.02519999999998</v>
      </c>
      <c r="U4872">
        <v>148</v>
      </c>
      <c r="V4872">
        <v>0</v>
      </c>
      <c r="W4872">
        <v>139.02520000000001</v>
      </c>
      <c r="X4872">
        <v>331.02519999999998</v>
      </c>
      <c r="Y4872">
        <v>0</v>
      </c>
      <c r="Z4872">
        <v>79</v>
      </c>
      <c r="AA4872">
        <v>0</v>
      </c>
      <c r="AB4872">
        <v>1.9126000000000001</v>
      </c>
      <c r="AC4872">
        <v>1.80856E-2</v>
      </c>
      <c r="AD4872">
        <v>1.9703649999999999</v>
      </c>
      <c r="AE4872">
        <v>0.54021379999999997</v>
      </c>
      <c r="AF4872">
        <v>188.9143</v>
      </c>
      <c r="AG4872">
        <f>IFERROR(AH4872*0.1, "N/A")</f>
        <v>5.9005040000000006</v>
      </c>
      <c r="AH4872">
        <v>59.005040000000001</v>
      </c>
      <c r="AI4872">
        <v>255.31890000000001</v>
      </c>
      <c r="AJ4872">
        <v>24.46218</v>
      </c>
      <c r="AK4872">
        <v>54.59496</v>
      </c>
    </row>
    <row r="4873" spans="1:37" x14ac:dyDescent="0.3">
      <c r="A4873">
        <v>4872</v>
      </c>
      <c r="B4873">
        <v>0</v>
      </c>
      <c r="C4873">
        <v>1.7351000000000001</v>
      </c>
      <c r="D4873">
        <v>13.6919</v>
      </c>
      <c r="E4873" t="s">
        <v>7767</v>
      </c>
      <c r="F4873" t="s">
        <v>7769</v>
      </c>
      <c r="G4873" t="s">
        <v>37</v>
      </c>
      <c r="H4873">
        <v>0</v>
      </c>
      <c r="I4873">
        <v>29.4</v>
      </c>
      <c r="J4873">
        <v>14.5</v>
      </c>
      <c r="K4873">
        <v>56</v>
      </c>
      <c r="L4873">
        <v>29.068490000000001</v>
      </c>
      <c r="M4873">
        <v>41.4</v>
      </c>
      <c r="N4873">
        <v>15.8</v>
      </c>
      <c r="O4873">
        <v>25.6</v>
      </c>
      <c r="P4873">
        <v>28.7</v>
      </c>
      <c r="Q4873">
        <v>25.9</v>
      </c>
      <c r="R4873">
        <v>33.200000000000003</v>
      </c>
      <c r="S4873">
        <v>25.602519999999998</v>
      </c>
      <c r="T4873">
        <v>418.02519999999998</v>
      </c>
      <c r="U4873">
        <v>148</v>
      </c>
      <c r="V4873">
        <v>0</v>
      </c>
      <c r="W4873">
        <v>139.02520000000001</v>
      </c>
      <c r="X4873">
        <v>331.02519999999998</v>
      </c>
      <c r="Y4873">
        <v>0</v>
      </c>
      <c r="Z4873">
        <v>79</v>
      </c>
      <c r="AA4873">
        <v>0</v>
      </c>
      <c r="AB4873">
        <v>1.9126000000000001</v>
      </c>
      <c r="AC4873">
        <v>1.80856E-2</v>
      </c>
      <c r="AD4873">
        <v>1.9703649999999999</v>
      </c>
      <c r="AE4873">
        <v>0.54021379999999997</v>
      </c>
      <c r="AF4873">
        <v>188.9143</v>
      </c>
      <c r="AG4873">
        <f>IFERROR(AH4873*0.1, "N/A")</f>
        <v>5.9005040000000006</v>
      </c>
      <c r="AH4873">
        <v>59.005040000000001</v>
      </c>
      <c r="AI4873">
        <v>255.31890000000001</v>
      </c>
      <c r="AJ4873">
        <v>24.46218</v>
      </c>
      <c r="AK4873">
        <v>54.59496</v>
      </c>
    </row>
    <row r="4874" spans="1:37" x14ac:dyDescent="0.3">
      <c r="A4874">
        <v>4873</v>
      </c>
      <c r="B4874">
        <v>2</v>
      </c>
      <c r="C4874">
        <v>1.5580799999999999</v>
      </c>
      <c r="D4874">
        <v>13.693</v>
      </c>
      <c r="E4874" t="s">
        <v>7770</v>
      </c>
      <c r="F4874" t="s">
        <v>7771</v>
      </c>
      <c r="G4874" t="s">
        <v>39</v>
      </c>
      <c r="H4874">
        <v>0</v>
      </c>
      <c r="I4874">
        <v>29.387730000000001</v>
      </c>
      <c r="J4874">
        <v>14.4</v>
      </c>
      <c r="K4874">
        <v>56.122689999999999</v>
      </c>
      <c r="L4874">
        <v>28.656500000000001</v>
      </c>
      <c r="M4874">
        <v>41.187730000000002</v>
      </c>
      <c r="N4874">
        <v>15.9</v>
      </c>
      <c r="O4874">
        <v>25.28773</v>
      </c>
      <c r="P4874">
        <v>28.6</v>
      </c>
      <c r="Q4874">
        <v>25.887730000000001</v>
      </c>
      <c r="R4874">
        <v>33.087730000000001</v>
      </c>
      <c r="S4874">
        <v>25.587730000000001</v>
      </c>
      <c r="T4874">
        <v>418.87729999999999</v>
      </c>
      <c r="U4874">
        <v>147</v>
      </c>
      <c r="V4874">
        <v>0</v>
      </c>
      <c r="W4874">
        <v>140.87729999999999</v>
      </c>
      <c r="X4874">
        <v>335.87729999999999</v>
      </c>
      <c r="Y4874">
        <v>0</v>
      </c>
      <c r="Z4874">
        <v>75</v>
      </c>
      <c r="AA4874">
        <v>0</v>
      </c>
      <c r="AB4874">
        <v>4.8643669999999997</v>
      </c>
      <c r="AC4874">
        <v>1.0194949999999999E-2</v>
      </c>
      <c r="AD4874">
        <v>1.3833420000000001</v>
      </c>
      <c r="AE4874">
        <v>0.68883810000000001</v>
      </c>
      <c r="AF4874">
        <v>211.2235</v>
      </c>
      <c r="AG4874">
        <f>IFERROR(AH4874*0.1, "N/A")</f>
        <v>6.2423530000000005</v>
      </c>
      <c r="AH4874">
        <v>62.42353</v>
      </c>
      <c r="AI4874">
        <v>247.75569999999999</v>
      </c>
      <c r="AJ4874">
        <v>11.848739999999999</v>
      </c>
      <c r="AK4874">
        <v>76.746219999999994</v>
      </c>
    </row>
    <row r="4875" spans="1:37" x14ac:dyDescent="0.3">
      <c r="A4875">
        <v>4874</v>
      </c>
      <c r="B4875">
        <v>5.3</v>
      </c>
      <c r="C4875">
        <v>8.0956499999999991</v>
      </c>
      <c r="D4875">
        <v>13.6934</v>
      </c>
      <c r="E4875" t="s">
        <v>7772</v>
      </c>
      <c r="F4875" t="s">
        <v>7773</v>
      </c>
      <c r="G4875" t="s">
        <v>39</v>
      </c>
      <c r="H4875">
        <v>0</v>
      </c>
      <c r="I4875">
        <v>27.5</v>
      </c>
      <c r="J4875">
        <v>14.5</v>
      </c>
      <c r="K4875">
        <v>56</v>
      </c>
      <c r="L4875">
        <v>30.55</v>
      </c>
      <c r="M4875">
        <v>39.6</v>
      </c>
      <c r="N4875">
        <v>14</v>
      </c>
      <c r="O4875">
        <v>25.6</v>
      </c>
      <c r="P4875">
        <v>27.2</v>
      </c>
      <c r="Q4875">
        <v>23.7</v>
      </c>
      <c r="R4875">
        <v>31.5</v>
      </c>
      <c r="S4875">
        <v>23.3</v>
      </c>
      <c r="T4875">
        <v>385</v>
      </c>
      <c r="U4875">
        <v>153</v>
      </c>
      <c r="V4875">
        <v>0</v>
      </c>
      <c r="W4875">
        <v>150</v>
      </c>
      <c r="X4875">
        <v>323</v>
      </c>
      <c r="Y4875">
        <v>0</v>
      </c>
      <c r="Z4875">
        <v>55</v>
      </c>
      <c r="AA4875">
        <v>0</v>
      </c>
      <c r="AB4875">
        <v>0.15186060000000001</v>
      </c>
      <c r="AC4875">
        <v>5.0701390000000002</v>
      </c>
      <c r="AD4875">
        <v>1.2520210000000001</v>
      </c>
      <c r="AE4875">
        <v>0.71308879999999997</v>
      </c>
      <c r="AF4875">
        <v>424.71359999999999</v>
      </c>
      <c r="AG4875">
        <f>IFERROR(AH4875*0.1, "N/A")</f>
        <v>7.0574580000000005</v>
      </c>
      <c r="AH4875">
        <v>70.574579999999997</v>
      </c>
      <c r="AI4875">
        <v>132.2808</v>
      </c>
      <c r="AJ4875">
        <v>13.533899999999999</v>
      </c>
      <c r="AK4875">
        <v>72.574579999999997</v>
      </c>
    </row>
    <row r="4876" spans="1:37" x14ac:dyDescent="0.3">
      <c r="A4876">
        <v>4875</v>
      </c>
      <c r="B4876">
        <v>0</v>
      </c>
      <c r="C4876">
        <v>8.0956499999999991</v>
      </c>
      <c r="D4876">
        <v>13.6934</v>
      </c>
      <c r="E4876" t="s">
        <v>7772</v>
      </c>
      <c r="F4876" t="s">
        <v>7774</v>
      </c>
      <c r="G4876" t="s">
        <v>37</v>
      </c>
      <c r="H4876">
        <v>0</v>
      </c>
      <c r="I4876">
        <v>27.5</v>
      </c>
      <c r="J4876">
        <v>14.5</v>
      </c>
      <c r="K4876">
        <v>56</v>
      </c>
      <c r="L4876">
        <v>30.55</v>
      </c>
      <c r="M4876">
        <v>39.6</v>
      </c>
      <c r="N4876">
        <v>14</v>
      </c>
      <c r="O4876">
        <v>25.6</v>
      </c>
      <c r="P4876">
        <v>27.2</v>
      </c>
      <c r="Q4876">
        <v>23.7</v>
      </c>
      <c r="R4876">
        <v>31.5</v>
      </c>
      <c r="S4876">
        <v>23.3</v>
      </c>
      <c r="T4876">
        <v>385</v>
      </c>
      <c r="U4876">
        <v>153</v>
      </c>
      <c r="V4876">
        <v>0</v>
      </c>
      <c r="W4876">
        <v>150</v>
      </c>
      <c r="X4876">
        <v>323</v>
      </c>
      <c r="Y4876">
        <v>0</v>
      </c>
      <c r="Z4876">
        <v>55</v>
      </c>
      <c r="AA4876">
        <v>0</v>
      </c>
      <c r="AB4876">
        <v>0.15186060000000001</v>
      </c>
      <c r="AC4876">
        <v>5.0701390000000002</v>
      </c>
      <c r="AD4876">
        <v>1.2520210000000001</v>
      </c>
      <c r="AE4876">
        <v>0.71308879999999997</v>
      </c>
      <c r="AF4876">
        <v>424.71359999999999</v>
      </c>
      <c r="AG4876">
        <f>IFERROR(AH4876*0.1, "N/A")</f>
        <v>7.0574580000000005</v>
      </c>
      <c r="AH4876">
        <v>70.574579999999997</v>
      </c>
      <c r="AI4876">
        <v>132.2808</v>
      </c>
      <c r="AJ4876">
        <v>13.533899999999999</v>
      </c>
      <c r="AK4876">
        <v>72.574579999999997</v>
      </c>
    </row>
    <row r="4877" spans="1:37" x14ac:dyDescent="0.3">
      <c r="A4877">
        <v>4876</v>
      </c>
      <c r="B4877">
        <v>8</v>
      </c>
      <c r="C4877">
        <v>8.3142800000000001</v>
      </c>
      <c r="D4877">
        <v>13.6937</v>
      </c>
      <c r="E4877" t="s">
        <v>7775</v>
      </c>
      <c r="F4877" t="s">
        <v>7776</v>
      </c>
      <c r="G4877" t="s">
        <v>39</v>
      </c>
      <c r="H4877">
        <v>0</v>
      </c>
      <c r="I4877">
        <v>27.5</v>
      </c>
      <c r="J4877">
        <v>14.5</v>
      </c>
      <c r="K4877">
        <v>56</v>
      </c>
      <c r="L4877">
        <v>31.23</v>
      </c>
      <c r="M4877">
        <v>39.5</v>
      </c>
      <c r="N4877">
        <v>13.9</v>
      </c>
      <c r="O4877">
        <v>25.6</v>
      </c>
      <c r="P4877">
        <v>27.4</v>
      </c>
      <c r="Q4877">
        <v>23.5</v>
      </c>
      <c r="R4877">
        <v>31.5</v>
      </c>
      <c r="S4877">
        <v>23.1</v>
      </c>
      <c r="T4877">
        <v>371</v>
      </c>
      <c r="U4877">
        <v>150</v>
      </c>
      <c r="V4877">
        <v>0</v>
      </c>
      <c r="W4877">
        <v>155</v>
      </c>
      <c r="X4877">
        <v>314</v>
      </c>
      <c r="Y4877">
        <v>0</v>
      </c>
      <c r="Z4877">
        <v>51</v>
      </c>
      <c r="AA4877">
        <v>0</v>
      </c>
      <c r="AB4877">
        <v>0.71399440000000003</v>
      </c>
      <c r="AC4877">
        <v>0.11534</v>
      </c>
      <c r="AD4877">
        <v>0.85246569999999999</v>
      </c>
      <c r="AE4877">
        <v>0.70872880000000005</v>
      </c>
      <c r="AF4877">
        <v>445.02870000000001</v>
      </c>
      <c r="AG4877">
        <f>IFERROR(AH4877*0.1, "N/A")</f>
        <v>7.2925800000000001</v>
      </c>
      <c r="AH4877">
        <v>72.925799999999995</v>
      </c>
      <c r="AI4877">
        <v>84.488020000000006</v>
      </c>
      <c r="AJ4877">
        <v>12.900510000000001</v>
      </c>
      <c r="AK4877">
        <v>74.900509999999997</v>
      </c>
    </row>
    <row r="4878" spans="1:37" x14ac:dyDescent="0.3">
      <c r="A4878">
        <v>4877</v>
      </c>
      <c r="B4878">
        <v>20</v>
      </c>
      <c r="C4878">
        <v>9.5133799999999997</v>
      </c>
      <c r="D4878">
        <v>13.6938</v>
      </c>
      <c r="E4878" t="s">
        <v>7777</v>
      </c>
      <c r="F4878" t="s">
        <v>7778</v>
      </c>
      <c r="G4878" t="s">
        <v>39</v>
      </c>
      <c r="H4878">
        <v>0</v>
      </c>
      <c r="I4878">
        <v>27.8</v>
      </c>
      <c r="J4878">
        <v>14.9</v>
      </c>
      <c r="K4878">
        <v>57</v>
      </c>
      <c r="L4878">
        <v>31.82</v>
      </c>
      <c r="M4878">
        <v>40.299999999999997</v>
      </c>
      <c r="N4878">
        <v>14.2</v>
      </c>
      <c r="O4878">
        <v>26.1</v>
      </c>
      <c r="P4878">
        <v>27.6</v>
      </c>
      <c r="Q4878">
        <v>23.8</v>
      </c>
      <c r="R4878">
        <v>31.9</v>
      </c>
      <c r="S4878">
        <v>23.4</v>
      </c>
      <c r="T4878">
        <v>327</v>
      </c>
      <c r="U4878">
        <v>123</v>
      </c>
      <c r="V4878">
        <v>0</v>
      </c>
      <c r="W4878">
        <v>150</v>
      </c>
      <c r="X4878">
        <v>276</v>
      </c>
      <c r="Y4878">
        <v>0</v>
      </c>
      <c r="Z4878">
        <v>46</v>
      </c>
      <c r="AA4878">
        <v>0</v>
      </c>
      <c r="AB4878">
        <v>18.721810000000001</v>
      </c>
      <c r="AC4878">
        <v>1.592199E-2</v>
      </c>
      <c r="AD4878">
        <v>2.8234020000000002</v>
      </c>
      <c r="AE4878">
        <v>0.68044300000000002</v>
      </c>
      <c r="AF4878">
        <v>416.38589999999999</v>
      </c>
      <c r="AG4878">
        <f>IFERROR(AH4878*0.1, "N/A")</f>
        <v>7</v>
      </c>
      <c r="AH4878">
        <v>70</v>
      </c>
      <c r="AI4878">
        <v>128.5454</v>
      </c>
      <c r="AJ4878">
        <v>15.003360000000001</v>
      </c>
      <c r="AK4878">
        <v>72.986580000000004</v>
      </c>
    </row>
    <row r="4879" spans="1:37" x14ac:dyDescent="0.3">
      <c r="A4879">
        <v>4878</v>
      </c>
      <c r="B4879">
        <v>8</v>
      </c>
      <c r="C4879">
        <v>8.3194400000000002</v>
      </c>
      <c r="D4879">
        <v>13.6958</v>
      </c>
      <c r="E4879" t="s">
        <v>7779</v>
      </c>
      <c r="F4879" t="s">
        <v>7780</v>
      </c>
      <c r="G4879" t="s">
        <v>39</v>
      </c>
      <c r="H4879">
        <v>0</v>
      </c>
      <c r="I4879">
        <v>27.5</v>
      </c>
      <c r="J4879">
        <v>14.5</v>
      </c>
      <c r="K4879">
        <v>56</v>
      </c>
      <c r="L4879">
        <v>31.2</v>
      </c>
      <c r="M4879">
        <v>39.5</v>
      </c>
      <c r="N4879">
        <v>13.8</v>
      </c>
      <c r="O4879">
        <v>25.7</v>
      </c>
      <c r="P4879">
        <v>27.4</v>
      </c>
      <c r="Q4879">
        <v>23.5</v>
      </c>
      <c r="R4879">
        <v>31.5</v>
      </c>
      <c r="S4879">
        <v>23.1</v>
      </c>
      <c r="T4879">
        <v>371</v>
      </c>
      <c r="U4879">
        <v>150</v>
      </c>
      <c r="V4879">
        <v>0</v>
      </c>
      <c r="W4879">
        <v>155</v>
      </c>
      <c r="X4879">
        <v>314</v>
      </c>
      <c r="Y4879">
        <v>0</v>
      </c>
      <c r="Z4879">
        <v>51</v>
      </c>
      <c r="AA4879">
        <v>0</v>
      </c>
      <c r="AB4879">
        <v>2.508772</v>
      </c>
      <c r="AC4879">
        <v>1.056109</v>
      </c>
      <c r="AD4879">
        <v>1.443559</v>
      </c>
      <c r="AE4879">
        <v>0.69063940000000001</v>
      </c>
      <c r="AF4879">
        <v>447.56490000000002</v>
      </c>
      <c r="AG4879">
        <f>IFERROR(AH4879*0.1, "N/A")</f>
        <v>7.4</v>
      </c>
      <c r="AH4879">
        <v>74</v>
      </c>
      <c r="AI4879">
        <v>49.744549999999997</v>
      </c>
      <c r="AJ4879">
        <v>12</v>
      </c>
      <c r="AK4879">
        <v>74</v>
      </c>
    </row>
    <row r="4880" spans="1:37" x14ac:dyDescent="0.3">
      <c r="A4880">
        <v>4879</v>
      </c>
      <c r="B4880">
        <v>0</v>
      </c>
      <c r="C4880">
        <v>1.75</v>
      </c>
      <c r="D4880">
        <v>13.7</v>
      </c>
      <c r="E4880" t="s">
        <v>7781</v>
      </c>
      <c r="F4880" t="s">
        <v>7782</v>
      </c>
      <c r="G4880" t="s">
        <v>37</v>
      </c>
      <c r="H4880">
        <v>2004</v>
      </c>
      <c r="I4880">
        <v>29.38767</v>
      </c>
      <c r="J4880">
        <v>14.5</v>
      </c>
      <c r="K4880">
        <v>56</v>
      </c>
      <c r="L4880">
        <v>29.181940000000001</v>
      </c>
      <c r="M4880">
        <v>41.365540000000003</v>
      </c>
      <c r="N4880">
        <v>15.8</v>
      </c>
      <c r="O4880">
        <v>25.565539999999999</v>
      </c>
      <c r="P4880">
        <v>28.658110000000001</v>
      </c>
      <c r="Q4880">
        <v>25.8</v>
      </c>
      <c r="R4880">
        <v>33.1</v>
      </c>
      <c r="S4880">
        <v>25.52956</v>
      </c>
      <c r="T4880">
        <v>416.95100000000002</v>
      </c>
      <c r="U4880">
        <v>148</v>
      </c>
      <c r="V4880">
        <v>0</v>
      </c>
      <c r="W4880">
        <v>139</v>
      </c>
      <c r="X4880">
        <v>330.29559999999998</v>
      </c>
      <c r="Y4880">
        <v>0</v>
      </c>
      <c r="Z4880">
        <v>78.655410000000003</v>
      </c>
      <c r="AA4880">
        <v>0</v>
      </c>
      <c r="AB4880">
        <v>1.708785</v>
      </c>
      <c r="AC4880">
        <v>0.2789393</v>
      </c>
      <c r="AD4880">
        <v>0.62614939999999997</v>
      </c>
      <c r="AE4880">
        <v>0.50537200000000004</v>
      </c>
      <c r="AF4880">
        <v>196.0557</v>
      </c>
      <c r="AG4880">
        <f>IFERROR(AH4880*0.1, "N/A")</f>
        <v>6.34375</v>
      </c>
      <c r="AH4880">
        <v>63.4375</v>
      </c>
      <c r="AI4880">
        <v>115.0553</v>
      </c>
      <c r="AJ4880">
        <v>17.03716</v>
      </c>
      <c r="AK4880">
        <v>63.01182</v>
      </c>
    </row>
    <row r="4881" spans="1:37" x14ac:dyDescent="0.3">
      <c r="A4881">
        <v>4880</v>
      </c>
      <c r="B4881">
        <v>5.8</v>
      </c>
      <c r="C4881">
        <v>1.75</v>
      </c>
      <c r="D4881">
        <v>13.7</v>
      </c>
      <c r="E4881" t="s">
        <v>7781</v>
      </c>
      <c r="F4881" t="s">
        <v>7783</v>
      </c>
      <c r="G4881" t="s">
        <v>39</v>
      </c>
      <c r="H4881">
        <v>2004</v>
      </c>
      <c r="I4881">
        <v>29.38767</v>
      </c>
      <c r="J4881">
        <v>14.5</v>
      </c>
      <c r="K4881">
        <v>56</v>
      </c>
      <c r="L4881">
        <v>29.181940000000001</v>
      </c>
      <c r="M4881">
        <v>41.365540000000003</v>
      </c>
      <c r="N4881">
        <v>15.8</v>
      </c>
      <c r="O4881">
        <v>25.565539999999999</v>
      </c>
      <c r="P4881">
        <v>28.658110000000001</v>
      </c>
      <c r="Q4881">
        <v>25.8</v>
      </c>
      <c r="R4881">
        <v>33.1</v>
      </c>
      <c r="S4881">
        <v>25.52956</v>
      </c>
      <c r="T4881">
        <v>416.95100000000002</v>
      </c>
      <c r="U4881">
        <v>148</v>
      </c>
      <c r="V4881">
        <v>0</v>
      </c>
      <c r="W4881">
        <v>139</v>
      </c>
      <c r="X4881">
        <v>330.29559999999998</v>
      </c>
      <c r="Y4881">
        <v>0</v>
      </c>
      <c r="Z4881">
        <v>78.655410000000003</v>
      </c>
      <c r="AA4881">
        <v>0</v>
      </c>
      <c r="AB4881">
        <v>1.708785</v>
      </c>
      <c r="AC4881">
        <v>0.2789393</v>
      </c>
      <c r="AD4881">
        <v>0.62614939999999997</v>
      </c>
      <c r="AE4881">
        <v>0.50537200000000004</v>
      </c>
      <c r="AF4881">
        <v>196.0557</v>
      </c>
      <c r="AG4881">
        <f>IFERROR(AH4881*0.1, "N/A")</f>
        <v>6.34375</v>
      </c>
      <c r="AH4881">
        <v>63.4375</v>
      </c>
      <c r="AI4881">
        <v>115.0553</v>
      </c>
      <c r="AJ4881">
        <v>17.03716</v>
      </c>
      <c r="AK4881">
        <v>63.01182</v>
      </c>
    </row>
    <row r="4882" spans="1:37" x14ac:dyDescent="0.3">
      <c r="A4882">
        <v>4881</v>
      </c>
      <c r="B4882">
        <v>46.3</v>
      </c>
      <c r="C4882">
        <v>1.7861100000000001</v>
      </c>
      <c r="D4882">
        <v>13.7</v>
      </c>
      <c r="E4882" t="s">
        <v>7784</v>
      </c>
      <c r="F4882" t="s">
        <v>7785</v>
      </c>
      <c r="G4882" t="s">
        <v>39</v>
      </c>
      <c r="H4882">
        <v>0</v>
      </c>
      <c r="I4882">
        <v>29.2</v>
      </c>
      <c r="J4882">
        <v>14.5</v>
      </c>
      <c r="K4882">
        <v>56</v>
      </c>
      <c r="L4882">
        <v>29.369409999999998</v>
      </c>
      <c r="M4882">
        <v>41.2</v>
      </c>
      <c r="N4882">
        <v>15.6</v>
      </c>
      <c r="O4882">
        <v>25.6</v>
      </c>
      <c r="P4882">
        <v>28.465710000000001</v>
      </c>
      <c r="Q4882">
        <v>25.63429</v>
      </c>
      <c r="R4882">
        <v>33</v>
      </c>
      <c r="S4882">
        <v>25.334289999999999</v>
      </c>
      <c r="T4882">
        <v>422.31420000000003</v>
      </c>
      <c r="U4882">
        <v>150</v>
      </c>
      <c r="V4882">
        <v>0</v>
      </c>
      <c r="W4882">
        <v>136.65710000000001</v>
      </c>
      <c r="X4882">
        <v>333.65710000000001</v>
      </c>
      <c r="Y4882">
        <v>0</v>
      </c>
      <c r="Z4882">
        <v>80.657089999999997</v>
      </c>
      <c r="AA4882">
        <v>0</v>
      </c>
      <c r="AB4882">
        <v>19.17146</v>
      </c>
      <c r="AC4882">
        <v>1.134112E-2</v>
      </c>
      <c r="AD4882">
        <v>2.1029019999999998</v>
      </c>
      <c r="AE4882">
        <v>0.28392400000000001</v>
      </c>
      <c r="AF4882">
        <v>232.6182</v>
      </c>
      <c r="AG4882">
        <f>IFERROR(AH4882*0.1, "N/A")</f>
        <v>6.0959460000000005</v>
      </c>
      <c r="AH4882">
        <v>60.95946</v>
      </c>
      <c r="AI4882">
        <v>189.72210000000001</v>
      </c>
      <c r="AJ4882">
        <v>22.02027</v>
      </c>
      <c r="AK4882">
        <v>63.95946</v>
      </c>
    </row>
    <row r="4883" spans="1:37" x14ac:dyDescent="0.3">
      <c r="A4883">
        <v>4882</v>
      </c>
      <c r="B4883">
        <v>6</v>
      </c>
      <c r="C4883">
        <v>8.3640299999999996</v>
      </c>
      <c r="D4883">
        <v>13.7021</v>
      </c>
      <c r="E4883" t="s">
        <v>7786</v>
      </c>
      <c r="F4883" t="s">
        <v>7787</v>
      </c>
      <c r="G4883" t="s">
        <v>39</v>
      </c>
      <c r="H4883">
        <v>0</v>
      </c>
      <c r="I4883">
        <v>27.5</v>
      </c>
      <c r="J4883">
        <v>14.5</v>
      </c>
      <c r="K4883">
        <v>56</v>
      </c>
      <c r="L4883">
        <v>31.4</v>
      </c>
      <c r="M4883">
        <v>39.6</v>
      </c>
      <c r="N4883">
        <v>13.9</v>
      </c>
      <c r="O4883">
        <v>25.7</v>
      </c>
      <c r="P4883">
        <v>27.4</v>
      </c>
      <c r="Q4883">
        <v>23.5</v>
      </c>
      <c r="R4883">
        <v>31.6</v>
      </c>
      <c r="S4883">
        <v>23.1</v>
      </c>
      <c r="T4883">
        <v>368</v>
      </c>
      <c r="U4883">
        <v>150</v>
      </c>
      <c r="V4883">
        <v>0</v>
      </c>
      <c r="W4883">
        <v>155</v>
      </c>
      <c r="X4883">
        <v>312</v>
      </c>
      <c r="Y4883">
        <v>0</v>
      </c>
      <c r="Z4883">
        <v>50</v>
      </c>
      <c r="AA4883">
        <v>0</v>
      </c>
      <c r="AB4883">
        <v>10.26627</v>
      </c>
      <c r="AC4883">
        <v>2.0633660000000002E-2</v>
      </c>
      <c r="AD4883">
        <v>2.0540859999999999</v>
      </c>
      <c r="AE4883">
        <v>0.70372369999999995</v>
      </c>
      <c r="AF4883">
        <v>442.87580000000003</v>
      </c>
      <c r="AG4883">
        <f>IFERROR(AH4883*0.1, "N/A")</f>
        <v>6.6714770000000003</v>
      </c>
      <c r="AH4883">
        <v>66.714770000000001</v>
      </c>
      <c r="AI4883">
        <v>116.4404</v>
      </c>
      <c r="AJ4883">
        <v>9.3674499999999998</v>
      </c>
      <c r="AK4883">
        <v>80.54195</v>
      </c>
    </row>
    <row r="4884" spans="1:37" x14ac:dyDescent="0.3">
      <c r="A4884">
        <v>4883</v>
      </c>
      <c r="B4884">
        <v>41.3</v>
      </c>
      <c r="C4884">
        <v>7.9338300000000004</v>
      </c>
      <c r="D4884">
        <v>13.702400000000001</v>
      </c>
      <c r="E4884" t="s">
        <v>7788</v>
      </c>
      <c r="F4884" t="s">
        <v>7789</v>
      </c>
      <c r="G4884" t="s">
        <v>39</v>
      </c>
      <c r="H4884">
        <v>0</v>
      </c>
      <c r="I4884">
        <v>27.500679999999999</v>
      </c>
      <c r="J4884">
        <v>14.5</v>
      </c>
      <c r="K4884">
        <v>56</v>
      </c>
      <c r="L4884">
        <v>30.529730000000001</v>
      </c>
      <c r="M4884">
        <v>39.600679999999997</v>
      </c>
      <c r="N4884">
        <v>14.000679999999999</v>
      </c>
      <c r="O4884">
        <v>25.6</v>
      </c>
      <c r="P4884">
        <v>27.200679999999998</v>
      </c>
      <c r="Q4884">
        <v>23.712199999999999</v>
      </c>
      <c r="R4884">
        <v>31.500679999999999</v>
      </c>
      <c r="S4884">
        <v>23.400680000000001</v>
      </c>
      <c r="T4884">
        <v>399.0068</v>
      </c>
      <c r="U4884">
        <v>156.0068</v>
      </c>
      <c r="V4884">
        <v>0</v>
      </c>
      <c r="W4884">
        <v>149.0068</v>
      </c>
      <c r="X4884">
        <v>333.0068</v>
      </c>
      <c r="Y4884">
        <v>0</v>
      </c>
      <c r="Z4884">
        <v>59.006779999999999</v>
      </c>
      <c r="AA4884">
        <v>0</v>
      </c>
      <c r="AB4884">
        <v>17.464919999999999</v>
      </c>
      <c r="AC4884">
        <v>1.6393149999999999E-2</v>
      </c>
      <c r="AD4884">
        <v>3.048845</v>
      </c>
      <c r="AE4884">
        <v>0.62917829999999997</v>
      </c>
      <c r="AF4884">
        <v>410.79660000000001</v>
      </c>
      <c r="AG4884">
        <f>IFERROR(AH4884*0.1, "N/A")</f>
        <v>6.392881</v>
      </c>
      <c r="AH4884">
        <v>63.928809999999999</v>
      </c>
      <c r="AI4884">
        <v>251.08160000000001</v>
      </c>
      <c r="AJ4884">
        <v>12.006779999999999</v>
      </c>
      <c r="AK4884">
        <v>75.006780000000006</v>
      </c>
    </row>
    <row r="4885" spans="1:37" x14ac:dyDescent="0.3">
      <c r="A4885">
        <v>4884</v>
      </c>
      <c r="B4885">
        <v>95.7</v>
      </c>
      <c r="C4885">
        <v>1.7255799999999999</v>
      </c>
      <c r="D4885">
        <v>13.7029</v>
      </c>
      <c r="E4885" t="s">
        <v>7790</v>
      </c>
      <c r="F4885" t="s">
        <v>7791</v>
      </c>
      <c r="G4885" t="s">
        <v>39</v>
      </c>
      <c r="H4885">
        <v>0</v>
      </c>
      <c r="I4885">
        <v>29.400670000000002</v>
      </c>
      <c r="J4885">
        <v>14.5</v>
      </c>
      <c r="K4885">
        <v>56.006709999999998</v>
      </c>
      <c r="L4885">
        <v>29.12792</v>
      </c>
      <c r="M4885">
        <v>41.4</v>
      </c>
      <c r="N4885">
        <v>15.80134</v>
      </c>
      <c r="O4885">
        <v>25.598659999999999</v>
      </c>
      <c r="P4885">
        <v>28.7</v>
      </c>
      <c r="Q4885">
        <v>25.900670000000002</v>
      </c>
      <c r="R4885">
        <v>33.200000000000003</v>
      </c>
      <c r="S4885">
        <v>25.600670000000001</v>
      </c>
      <c r="T4885">
        <v>413.98660000000001</v>
      </c>
      <c r="U4885">
        <v>147</v>
      </c>
      <c r="V4885">
        <v>0</v>
      </c>
      <c r="W4885">
        <v>138</v>
      </c>
      <c r="X4885">
        <v>329</v>
      </c>
      <c r="Y4885">
        <v>0</v>
      </c>
      <c r="Z4885">
        <v>76.993290000000002</v>
      </c>
      <c r="AA4885">
        <v>0</v>
      </c>
      <c r="AB4885">
        <v>3.7026819999999998</v>
      </c>
      <c r="AC4885">
        <v>1.069326E-2</v>
      </c>
      <c r="AD4885">
        <v>1.176077</v>
      </c>
      <c r="AE4885">
        <v>0.59679990000000005</v>
      </c>
      <c r="AF4885">
        <v>188.8372</v>
      </c>
      <c r="AG4885">
        <f>IFERROR(AH4885*0.1, "N/A")</f>
        <v>6.5046980000000012</v>
      </c>
      <c r="AH4885">
        <v>65.046980000000005</v>
      </c>
      <c r="AI4885">
        <v>201.9333</v>
      </c>
      <c r="AJ4885">
        <v>18.47315</v>
      </c>
      <c r="AK4885">
        <v>64.600669999999994</v>
      </c>
    </row>
    <row r="4886" spans="1:37" x14ac:dyDescent="0.3">
      <c r="A4886">
        <v>4885</v>
      </c>
      <c r="B4886">
        <v>63.8</v>
      </c>
      <c r="C4886">
        <v>1.556</v>
      </c>
      <c r="D4886">
        <v>13.705</v>
      </c>
      <c r="E4886" t="s">
        <v>7792</v>
      </c>
      <c r="F4886" t="s">
        <v>7793</v>
      </c>
      <c r="G4886" t="s">
        <v>39</v>
      </c>
      <c r="H4886">
        <v>0</v>
      </c>
      <c r="I4886">
        <v>29.3</v>
      </c>
      <c r="J4886">
        <v>14.4</v>
      </c>
      <c r="K4886">
        <v>57</v>
      </c>
      <c r="L4886">
        <v>28.56</v>
      </c>
      <c r="M4886">
        <v>41.1</v>
      </c>
      <c r="N4886">
        <v>15.9</v>
      </c>
      <c r="O4886">
        <v>25.2</v>
      </c>
      <c r="P4886">
        <v>28.6</v>
      </c>
      <c r="Q4886">
        <v>25.8</v>
      </c>
      <c r="R4886">
        <v>33</v>
      </c>
      <c r="S4886">
        <v>25.5</v>
      </c>
      <c r="T4886">
        <v>417</v>
      </c>
      <c r="U4886">
        <v>147</v>
      </c>
      <c r="V4886">
        <v>0</v>
      </c>
      <c r="W4886">
        <v>140</v>
      </c>
      <c r="X4886">
        <v>335</v>
      </c>
      <c r="Y4886">
        <v>0</v>
      </c>
      <c r="Z4886">
        <v>74</v>
      </c>
      <c r="AA4886">
        <v>0</v>
      </c>
      <c r="AB4886">
        <v>5.6706079999999996</v>
      </c>
      <c r="AC4886">
        <v>3.7222650000000003E-2</v>
      </c>
      <c r="AD4886">
        <v>1.219298</v>
      </c>
      <c r="AE4886">
        <v>0.7032796</v>
      </c>
      <c r="AF4886">
        <v>210.49160000000001</v>
      </c>
      <c r="AG4886">
        <f>IFERROR(AH4886*0.1, "N/A")</f>
        <v>5.9437500000000005</v>
      </c>
      <c r="AH4886">
        <v>59.4375</v>
      </c>
      <c r="AI4886">
        <v>213.9237</v>
      </c>
      <c r="AJ4886">
        <v>12.48311</v>
      </c>
      <c r="AK4886">
        <v>74.04392</v>
      </c>
    </row>
    <row r="4887" spans="1:37" x14ac:dyDescent="0.3">
      <c r="A4887">
        <v>4886</v>
      </c>
      <c r="B4887">
        <v>80</v>
      </c>
      <c r="C4887">
        <v>9.0259</v>
      </c>
      <c r="D4887">
        <v>13.707100000000001</v>
      </c>
      <c r="E4887" t="s">
        <v>7794</v>
      </c>
      <c r="F4887" t="s">
        <v>7795</v>
      </c>
      <c r="G4887" t="s">
        <v>39</v>
      </c>
      <c r="H4887">
        <v>0</v>
      </c>
      <c r="I4887">
        <v>28.009640000000001</v>
      </c>
      <c r="J4887">
        <v>14.4</v>
      </c>
      <c r="K4887">
        <v>55</v>
      </c>
      <c r="L4887">
        <v>33.443959999999997</v>
      </c>
      <c r="M4887">
        <v>40.290349999999997</v>
      </c>
      <c r="N4887">
        <v>14.390359999999999</v>
      </c>
      <c r="O4887">
        <v>25.9</v>
      </c>
      <c r="P4887">
        <v>28.2</v>
      </c>
      <c r="Q4887">
        <v>23.7</v>
      </c>
      <c r="R4887">
        <v>32.290349999999997</v>
      </c>
      <c r="S4887">
        <v>23.309640000000002</v>
      </c>
      <c r="T4887">
        <v>381</v>
      </c>
      <c r="U4887">
        <v>152.09639999999999</v>
      </c>
      <c r="V4887">
        <v>0</v>
      </c>
      <c r="W4887">
        <v>154.09639999999999</v>
      </c>
      <c r="X4887">
        <v>323.09640000000002</v>
      </c>
      <c r="Y4887">
        <v>0</v>
      </c>
      <c r="Z4887">
        <v>51.903550000000003</v>
      </c>
      <c r="AA4887">
        <v>0</v>
      </c>
      <c r="AB4887">
        <v>2.1400860000000002</v>
      </c>
      <c r="AC4887">
        <v>8.9390159999999996E-2</v>
      </c>
      <c r="AD4887">
        <v>1.1043259999999999</v>
      </c>
      <c r="AE4887">
        <v>0.72262360000000003</v>
      </c>
      <c r="AF4887">
        <v>439.54649999999998</v>
      </c>
      <c r="AG4887">
        <f>IFERROR(AH4887*0.1, "N/A")</f>
        <v>6.6719120000000007</v>
      </c>
      <c r="AH4887">
        <v>66.719120000000004</v>
      </c>
      <c r="AI4887">
        <v>117.7346</v>
      </c>
      <c r="AJ4887">
        <v>12</v>
      </c>
      <c r="AK4887">
        <v>75.458539999999999</v>
      </c>
    </row>
    <row r="4888" spans="1:37" x14ac:dyDescent="0.3">
      <c r="A4888">
        <v>4887</v>
      </c>
      <c r="B4888">
        <v>40.799999999999997</v>
      </c>
      <c r="C4888">
        <v>1.8190200000000001</v>
      </c>
      <c r="D4888">
        <v>13.7072</v>
      </c>
      <c r="E4888" t="s">
        <v>7796</v>
      </c>
      <c r="F4888" t="s">
        <v>7797</v>
      </c>
      <c r="G4888" t="s">
        <v>39</v>
      </c>
      <c r="H4888">
        <v>0</v>
      </c>
      <c r="I4888">
        <v>29.4</v>
      </c>
      <c r="J4888">
        <v>14.5</v>
      </c>
      <c r="K4888">
        <v>56</v>
      </c>
      <c r="L4888">
        <v>29.15</v>
      </c>
      <c r="M4888">
        <v>41.4</v>
      </c>
      <c r="N4888">
        <v>15.7</v>
      </c>
      <c r="O4888">
        <v>25.7</v>
      </c>
      <c r="P4888">
        <v>28.6</v>
      </c>
      <c r="Q4888">
        <v>25.8</v>
      </c>
      <c r="R4888">
        <v>33.1</v>
      </c>
      <c r="S4888">
        <v>25.5</v>
      </c>
      <c r="T4888">
        <v>419</v>
      </c>
      <c r="U4888">
        <v>150</v>
      </c>
      <c r="V4888">
        <v>0</v>
      </c>
      <c r="W4888">
        <v>140</v>
      </c>
      <c r="X4888">
        <v>332</v>
      </c>
      <c r="Y4888">
        <v>0</v>
      </c>
      <c r="Z4888">
        <v>80</v>
      </c>
      <c r="AA4888">
        <v>0</v>
      </c>
      <c r="AB4888">
        <v>1.893081</v>
      </c>
      <c r="AC4888">
        <v>3.2408010000000001E-2</v>
      </c>
      <c r="AD4888">
        <v>1.2605679999999999</v>
      </c>
      <c r="AE4888">
        <v>0.5779685</v>
      </c>
      <c r="AF4888">
        <v>200.45779999999999</v>
      </c>
      <c r="AG4888">
        <f>IFERROR(AH4888*0.1, "N/A")</f>
        <v>5.6986490000000005</v>
      </c>
      <c r="AH4888">
        <v>56.986490000000003</v>
      </c>
      <c r="AI4888">
        <v>154.24170000000001</v>
      </c>
      <c r="AJ4888">
        <v>11.63345</v>
      </c>
      <c r="AK4888">
        <v>72.46284</v>
      </c>
    </row>
    <row r="4889" spans="1:37" x14ac:dyDescent="0.3">
      <c r="A4889">
        <v>4888</v>
      </c>
      <c r="B4889">
        <v>96.7</v>
      </c>
      <c r="C4889">
        <v>1.7169300000000001</v>
      </c>
      <c r="D4889">
        <v>13.7102</v>
      </c>
      <c r="E4889" t="s">
        <v>7798</v>
      </c>
      <c r="F4889" t="s">
        <v>7799</v>
      </c>
      <c r="G4889" t="s">
        <v>39</v>
      </c>
      <c r="H4889">
        <v>0</v>
      </c>
      <c r="I4889">
        <v>29.4</v>
      </c>
      <c r="J4889">
        <v>14.5</v>
      </c>
      <c r="K4889">
        <v>56</v>
      </c>
      <c r="L4889">
        <v>28.860199999999999</v>
      </c>
      <c r="M4889">
        <v>41.328279999999999</v>
      </c>
      <c r="N4889">
        <v>15.828279999999999</v>
      </c>
      <c r="O4889">
        <v>25.5</v>
      </c>
      <c r="P4889">
        <v>28.7</v>
      </c>
      <c r="Q4889">
        <v>25.9</v>
      </c>
      <c r="R4889">
        <v>33.1</v>
      </c>
      <c r="S4889">
        <v>25.6</v>
      </c>
      <c r="T4889">
        <v>412</v>
      </c>
      <c r="U4889">
        <v>147</v>
      </c>
      <c r="V4889">
        <v>0</v>
      </c>
      <c r="W4889">
        <v>138</v>
      </c>
      <c r="X4889">
        <v>329</v>
      </c>
      <c r="Y4889">
        <v>0</v>
      </c>
      <c r="Z4889">
        <v>76</v>
      </c>
      <c r="AA4889">
        <v>0</v>
      </c>
      <c r="AB4889">
        <v>5.4311480000000003</v>
      </c>
      <c r="AC4889">
        <v>1.7219419999999999E-2</v>
      </c>
      <c r="AD4889">
        <v>3.262912</v>
      </c>
      <c r="AE4889">
        <v>0.52279699999999996</v>
      </c>
      <c r="AF4889">
        <v>192.61449999999999</v>
      </c>
      <c r="AG4889">
        <f>IFERROR(AH4889*0.1, "N/A")</f>
        <v>6.6848479999999997</v>
      </c>
      <c r="AH4889">
        <v>66.848479999999995</v>
      </c>
      <c r="AI4889">
        <v>184.0395</v>
      </c>
      <c r="AJ4889">
        <v>17</v>
      </c>
      <c r="AK4889">
        <v>68.434340000000006</v>
      </c>
    </row>
    <row r="4890" spans="1:37" x14ac:dyDescent="0.3">
      <c r="A4890">
        <v>4889</v>
      </c>
      <c r="B4890">
        <v>4</v>
      </c>
      <c r="C4890">
        <v>9.1555499999999999</v>
      </c>
      <c r="D4890">
        <v>13.7111</v>
      </c>
      <c r="E4890" t="s">
        <v>7800</v>
      </c>
      <c r="F4890" t="s">
        <v>7801</v>
      </c>
      <c r="G4890" t="s">
        <v>39</v>
      </c>
      <c r="H4890">
        <v>0</v>
      </c>
      <c r="I4890">
        <v>28.3</v>
      </c>
      <c r="J4890">
        <v>14.5</v>
      </c>
      <c r="K4890">
        <v>57</v>
      </c>
      <c r="L4890">
        <v>31.95</v>
      </c>
      <c r="M4890">
        <v>40.5</v>
      </c>
      <c r="N4890">
        <v>15.1</v>
      </c>
      <c r="O4890">
        <v>25.4</v>
      </c>
      <c r="P4890">
        <v>28</v>
      </c>
      <c r="Q4890">
        <v>24.4</v>
      </c>
      <c r="R4890">
        <v>32.5</v>
      </c>
      <c r="S4890">
        <v>23.9</v>
      </c>
      <c r="T4890">
        <v>359</v>
      </c>
      <c r="U4890">
        <v>142</v>
      </c>
      <c r="V4890">
        <v>0</v>
      </c>
      <c r="W4890">
        <v>155</v>
      </c>
      <c r="X4890">
        <v>305</v>
      </c>
      <c r="Y4890">
        <v>0</v>
      </c>
      <c r="Z4890">
        <v>49</v>
      </c>
      <c r="AA4890">
        <v>0</v>
      </c>
      <c r="AB4890">
        <v>6.0526039999999997</v>
      </c>
      <c r="AC4890">
        <v>8.3787689999999995E-3</v>
      </c>
      <c r="AD4890">
        <v>0.43684859999999998</v>
      </c>
      <c r="AE4890">
        <v>0.64495639999999999</v>
      </c>
      <c r="AF4890">
        <v>406.20839999999998</v>
      </c>
      <c r="AG4890">
        <f>IFERROR(AH4890*0.1, "N/A")</f>
        <v>6.9015130000000005</v>
      </c>
      <c r="AH4890">
        <v>69.015129999999999</v>
      </c>
      <c r="AI4890">
        <v>106.8261</v>
      </c>
      <c r="AJ4890">
        <v>22</v>
      </c>
      <c r="AK4890">
        <v>62.015129999999999</v>
      </c>
    </row>
    <row r="4891" spans="1:37" x14ac:dyDescent="0.3">
      <c r="A4891">
        <v>4890</v>
      </c>
      <c r="B4891">
        <v>22</v>
      </c>
      <c r="C4891">
        <v>9.0623299999999993</v>
      </c>
      <c r="D4891">
        <v>13.711499999999999</v>
      </c>
      <c r="E4891" t="s">
        <v>7802</v>
      </c>
      <c r="F4891" t="s">
        <v>7803</v>
      </c>
      <c r="G4891" t="s">
        <v>39</v>
      </c>
      <c r="H4891">
        <v>0</v>
      </c>
      <c r="I4891">
        <v>28.1</v>
      </c>
      <c r="J4891">
        <v>14.4</v>
      </c>
      <c r="K4891">
        <v>56</v>
      </c>
      <c r="L4891">
        <v>32.840000000000003</v>
      </c>
      <c r="M4891">
        <v>40.200000000000003</v>
      </c>
      <c r="N4891">
        <v>14.5</v>
      </c>
      <c r="O4891">
        <v>25.7</v>
      </c>
      <c r="P4891">
        <v>28.1</v>
      </c>
      <c r="Q4891">
        <v>23.9</v>
      </c>
      <c r="R4891">
        <v>32.200000000000003</v>
      </c>
      <c r="S4891">
        <v>23.4</v>
      </c>
      <c r="T4891">
        <v>377</v>
      </c>
      <c r="U4891">
        <v>150</v>
      </c>
      <c r="V4891">
        <v>0</v>
      </c>
      <c r="W4891">
        <v>152</v>
      </c>
      <c r="X4891">
        <v>319</v>
      </c>
      <c r="Y4891">
        <v>0</v>
      </c>
      <c r="Z4891">
        <v>52</v>
      </c>
      <c r="AA4891">
        <v>0</v>
      </c>
      <c r="AB4891">
        <v>0.99864549999999996</v>
      </c>
      <c r="AC4891">
        <v>0.164412</v>
      </c>
      <c r="AD4891">
        <v>1.449827</v>
      </c>
      <c r="AE4891">
        <v>0.71525260000000002</v>
      </c>
      <c r="AF4891">
        <v>448.15539999999999</v>
      </c>
      <c r="AG4891">
        <f>IFERROR(AH4891*0.1, "N/A")</f>
        <v>6.5641890000000007</v>
      </c>
      <c r="AH4891">
        <v>65.641890000000004</v>
      </c>
      <c r="AI4891">
        <v>275.23630000000003</v>
      </c>
      <c r="AJ4891">
        <v>9.8395270000000004</v>
      </c>
      <c r="AK4891">
        <v>76.065880000000007</v>
      </c>
    </row>
    <row r="4892" spans="1:37" x14ac:dyDescent="0.3">
      <c r="A4892">
        <v>4891</v>
      </c>
      <c r="B4892">
        <v>14</v>
      </c>
      <c r="C4892">
        <v>9.1194400000000009</v>
      </c>
      <c r="D4892">
        <v>13.713900000000001</v>
      </c>
      <c r="E4892" t="s">
        <v>7804</v>
      </c>
      <c r="F4892" t="s">
        <v>7805</v>
      </c>
      <c r="G4892" t="s">
        <v>39</v>
      </c>
      <c r="H4892">
        <v>0</v>
      </c>
      <c r="I4892">
        <v>28.1</v>
      </c>
      <c r="J4892">
        <v>14.5</v>
      </c>
      <c r="K4892">
        <v>56</v>
      </c>
      <c r="L4892">
        <v>32.46</v>
      </c>
      <c r="M4892">
        <v>40.4</v>
      </c>
      <c r="N4892">
        <v>14.7</v>
      </c>
      <c r="O4892">
        <v>25.7</v>
      </c>
      <c r="P4892">
        <v>28</v>
      </c>
      <c r="Q4892">
        <v>24</v>
      </c>
      <c r="R4892">
        <v>32.299999999999997</v>
      </c>
      <c r="S4892">
        <v>23.6</v>
      </c>
      <c r="T4892">
        <v>368</v>
      </c>
      <c r="U4892">
        <v>145</v>
      </c>
      <c r="V4892">
        <v>0</v>
      </c>
      <c r="W4892">
        <v>153</v>
      </c>
      <c r="X4892">
        <v>311</v>
      </c>
      <c r="Y4892">
        <v>0</v>
      </c>
      <c r="Z4892">
        <v>51</v>
      </c>
      <c r="AA4892">
        <v>0</v>
      </c>
      <c r="AB4892">
        <v>0.74880239999999998</v>
      </c>
      <c r="AC4892">
        <v>4.5488679999999997E-2</v>
      </c>
      <c r="AD4892">
        <v>1.7470859999999999</v>
      </c>
      <c r="AE4892">
        <v>0.73115419999999998</v>
      </c>
      <c r="AF4892">
        <v>433.93770000000001</v>
      </c>
      <c r="AG4892">
        <f>IFERROR(AH4892*0.1, "N/A")</f>
        <v>6.7570710000000007</v>
      </c>
      <c r="AH4892">
        <v>67.570710000000005</v>
      </c>
      <c r="AI4892">
        <v>139.2336</v>
      </c>
      <c r="AJ4892">
        <v>10.69192</v>
      </c>
      <c r="AK4892">
        <v>76.984849999999994</v>
      </c>
    </row>
    <row r="4893" spans="1:37" x14ac:dyDescent="0.3">
      <c r="A4893">
        <v>4892</v>
      </c>
      <c r="B4893">
        <v>20</v>
      </c>
      <c r="C4893">
        <v>9.0886999999999993</v>
      </c>
      <c r="D4893">
        <v>13.714</v>
      </c>
      <c r="E4893" t="s">
        <v>7806</v>
      </c>
      <c r="F4893" t="s">
        <v>7807</v>
      </c>
      <c r="G4893" t="s">
        <v>39</v>
      </c>
      <c r="H4893">
        <v>0</v>
      </c>
      <c r="I4893">
        <v>28.1</v>
      </c>
      <c r="J4893">
        <v>14.4</v>
      </c>
      <c r="K4893">
        <v>55</v>
      </c>
      <c r="L4893">
        <v>33.200000000000003</v>
      </c>
      <c r="M4893">
        <v>40.299999999999997</v>
      </c>
      <c r="N4893">
        <v>14.5</v>
      </c>
      <c r="O4893">
        <v>25.8</v>
      </c>
      <c r="P4893">
        <v>28.1</v>
      </c>
      <c r="Q4893">
        <v>23.9</v>
      </c>
      <c r="R4893">
        <v>32.299999999999997</v>
      </c>
      <c r="S4893">
        <v>23.5</v>
      </c>
      <c r="T4893">
        <v>374</v>
      </c>
      <c r="U4893">
        <v>148</v>
      </c>
      <c r="V4893">
        <v>0</v>
      </c>
      <c r="W4893">
        <v>150</v>
      </c>
      <c r="X4893">
        <v>316</v>
      </c>
      <c r="Y4893">
        <v>0</v>
      </c>
      <c r="Z4893">
        <v>52</v>
      </c>
      <c r="AA4893">
        <v>0</v>
      </c>
      <c r="AB4893">
        <v>7.1035409999999999</v>
      </c>
      <c r="AC4893">
        <v>1.331657E-2</v>
      </c>
      <c r="AD4893">
        <v>1.98027</v>
      </c>
      <c r="AE4893">
        <v>0.74289479999999997</v>
      </c>
      <c r="AF4893">
        <v>447.77100000000002</v>
      </c>
      <c r="AG4893">
        <f>IFERROR(AH4893*0.1, "N/A")</f>
        <v>7.1154880000000009</v>
      </c>
      <c r="AH4893">
        <v>71.154880000000006</v>
      </c>
      <c r="AI4893">
        <v>64.030450000000002</v>
      </c>
      <c r="AJ4893">
        <v>14.077439999999999</v>
      </c>
      <c r="AK4893">
        <v>72.228960000000001</v>
      </c>
    </row>
    <row r="4894" spans="1:37" x14ac:dyDescent="0.3">
      <c r="A4894">
        <v>4893</v>
      </c>
      <c r="B4894">
        <v>0</v>
      </c>
      <c r="C4894">
        <v>1.3640000000000001</v>
      </c>
      <c r="D4894">
        <v>13.718999999999999</v>
      </c>
      <c r="E4894" t="s">
        <v>7808</v>
      </c>
      <c r="F4894" t="s">
        <v>7809</v>
      </c>
      <c r="G4894" t="s">
        <v>37</v>
      </c>
      <c r="H4894">
        <v>1987</v>
      </c>
      <c r="I4894">
        <v>29.2</v>
      </c>
      <c r="J4894">
        <v>14.4</v>
      </c>
      <c r="K4894">
        <v>57</v>
      </c>
      <c r="L4894">
        <v>28.26</v>
      </c>
      <c r="M4894">
        <v>41</v>
      </c>
      <c r="N4894">
        <v>15.9</v>
      </c>
      <c r="O4894">
        <v>25.1</v>
      </c>
      <c r="P4894">
        <v>28.5</v>
      </c>
      <c r="Q4894">
        <v>25.8</v>
      </c>
      <c r="R4894">
        <v>32.799999999999997</v>
      </c>
      <c r="S4894">
        <v>25.5</v>
      </c>
      <c r="T4894">
        <v>424</v>
      </c>
      <c r="U4894">
        <v>152</v>
      </c>
      <c r="V4894">
        <v>0</v>
      </c>
      <c r="W4894">
        <v>141</v>
      </c>
      <c r="X4894">
        <v>343</v>
      </c>
      <c r="Y4894">
        <v>0</v>
      </c>
      <c r="Z4894">
        <v>73</v>
      </c>
      <c r="AA4894">
        <v>0</v>
      </c>
      <c r="AB4894">
        <v>3.5929060000000002</v>
      </c>
      <c r="AC4894">
        <v>1.1957779999999999E-2</v>
      </c>
      <c r="AD4894">
        <v>1.4910190000000001</v>
      </c>
      <c r="AE4894">
        <v>0.70818219999999998</v>
      </c>
      <c r="AF4894">
        <v>228.07769999999999</v>
      </c>
      <c r="AG4894">
        <f>IFERROR(AH4894*0.1, "N/A")</f>
        <v>6.1091220000000002</v>
      </c>
      <c r="AH4894">
        <v>61.09122</v>
      </c>
      <c r="AI4894">
        <v>228.07339999999999</v>
      </c>
      <c r="AJ4894">
        <v>7</v>
      </c>
      <c r="AK4894">
        <v>83</v>
      </c>
    </row>
    <row r="4895" spans="1:37" x14ac:dyDescent="0.3">
      <c r="A4895">
        <v>4894</v>
      </c>
      <c r="B4895">
        <v>38</v>
      </c>
      <c r="C4895">
        <v>8.9183299999999992</v>
      </c>
      <c r="D4895">
        <v>13.7194</v>
      </c>
      <c r="E4895" t="s">
        <v>7810</v>
      </c>
      <c r="F4895" t="s">
        <v>7811</v>
      </c>
      <c r="G4895" t="s">
        <v>39</v>
      </c>
      <c r="H4895">
        <v>0</v>
      </c>
      <c r="I4895">
        <v>27.9</v>
      </c>
      <c r="J4895">
        <v>14.3</v>
      </c>
      <c r="K4895">
        <v>55</v>
      </c>
      <c r="L4895">
        <v>33.590000000000003</v>
      </c>
      <c r="M4895">
        <v>40</v>
      </c>
      <c r="N4895">
        <v>14</v>
      </c>
      <c r="O4895">
        <v>26</v>
      </c>
      <c r="P4895">
        <v>28.3</v>
      </c>
      <c r="Q4895">
        <v>23.4</v>
      </c>
      <c r="R4895">
        <v>32.1</v>
      </c>
      <c r="S4895">
        <v>23.1</v>
      </c>
      <c r="T4895">
        <v>379</v>
      </c>
      <c r="U4895">
        <v>154</v>
      </c>
      <c r="V4895">
        <v>0</v>
      </c>
      <c r="W4895">
        <v>155</v>
      </c>
      <c r="X4895">
        <v>323</v>
      </c>
      <c r="Y4895">
        <v>0</v>
      </c>
      <c r="Z4895">
        <v>50</v>
      </c>
      <c r="AA4895">
        <v>0</v>
      </c>
      <c r="AB4895">
        <v>5.45268</v>
      </c>
      <c r="AC4895">
        <v>3.156167E-2</v>
      </c>
      <c r="AD4895">
        <v>2.2132689999999999</v>
      </c>
      <c r="AE4895">
        <v>0.43307820000000002</v>
      </c>
      <c r="AF4895">
        <v>444.48989999999998</v>
      </c>
      <c r="AG4895">
        <f>IFERROR(AH4895*0.1, "N/A")</f>
        <v>6.8000000000000007</v>
      </c>
      <c r="AH4895">
        <v>68</v>
      </c>
      <c r="AI4895">
        <v>173.08330000000001</v>
      </c>
      <c r="AJ4895">
        <v>12.280200000000001</v>
      </c>
      <c r="AK4895">
        <v>77.008390000000006</v>
      </c>
    </row>
    <row r="4896" spans="1:37" x14ac:dyDescent="0.3">
      <c r="A4896">
        <v>4895</v>
      </c>
      <c r="B4896">
        <v>84.6</v>
      </c>
      <c r="C4896">
        <v>1.70347</v>
      </c>
      <c r="D4896">
        <v>13.719799999999999</v>
      </c>
      <c r="E4896" t="s">
        <v>7812</v>
      </c>
      <c r="F4896" t="s">
        <v>7813</v>
      </c>
      <c r="G4896" t="s">
        <v>39</v>
      </c>
      <c r="H4896">
        <v>0</v>
      </c>
      <c r="I4896">
        <v>29.4</v>
      </c>
      <c r="J4896">
        <v>14.5</v>
      </c>
      <c r="K4896">
        <v>56</v>
      </c>
      <c r="L4896">
        <v>28.85</v>
      </c>
      <c r="M4896">
        <v>41.4</v>
      </c>
      <c r="N4896">
        <v>15.9</v>
      </c>
      <c r="O4896">
        <v>25.5</v>
      </c>
      <c r="P4896">
        <v>28.7</v>
      </c>
      <c r="Q4896">
        <v>25.9</v>
      </c>
      <c r="R4896">
        <v>33.200000000000003</v>
      </c>
      <c r="S4896">
        <v>25.7</v>
      </c>
      <c r="T4896">
        <v>409</v>
      </c>
      <c r="U4896">
        <v>146</v>
      </c>
      <c r="V4896">
        <v>0</v>
      </c>
      <c r="W4896">
        <v>138</v>
      </c>
      <c r="X4896">
        <v>328</v>
      </c>
      <c r="Y4896">
        <v>0</v>
      </c>
      <c r="Z4896">
        <v>74</v>
      </c>
      <c r="AA4896">
        <v>0</v>
      </c>
      <c r="AB4896">
        <v>3.974612</v>
      </c>
      <c r="AC4896">
        <v>0.2502489</v>
      </c>
      <c r="AD4896">
        <v>1.478288</v>
      </c>
      <c r="AE4896">
        <v>0.48326010000000003</v>
      </c>
      <c r="AF4896">
        <v>194.01689999999999</v>
      </c>
      <c r="AG4896">
        <f>IFERROR(AH4896*0.1, "N/A")</f>
        <v>6.3346870000000006</v>
      </c>
      <c r="AH4896">
        <v>63.346870000000003</v>
      </c>
      <c r="AI4896">
        <v>174.66659999999999</v>
      </c>
      <c r="AJ4896">
        <v>28.187819999999999</v>
      </c>
      <c r="AK4896">
        <v>55.22166</v>
      </c>
    </row>
    <row r="4897" spans="1:37" x14ac:dyDescent="0.3">
      <c r="A4897">
        <v>4896</v>
      </c>
      <c r="B4897">
        <v>0</v>
      </c>
      <c r="C4897">
        <v>8.2670200000000005</v>
      </c>
      <c r="D4897">
        <v>13.720700000000001</v>
      </c>
      <c r="E4897" t="s">
        <v>7814</v>
      </c>
      <c r="F4897" t="s">
        <v>7815</v>
      </c>
      <c r="G4897" t="s">
        <v>39</v>
      </c>
      <c r="H4897">
        <v>0</v>
      </c>
      <c r="I4897">
        <v>27.5</v>
      </c>
      <c r="J4897">
        <v>14.59764</v>
      </c>
      <c r="K4897">
        <v>56</v>
      </c>
      <c r="L4897">
        <v>31.256689999999999</v>
      </c>
      <c r="M4897">
        <v>39.597630000000002</v>
      </c>
      <c r="N4897">
        <v>13.9</v>
      </c>
      <c r="O4897">
        <v>25.69764</v>
      </c>
      <c r="P4897">
        <v>27.4</v>
      </c>
      <c r="Q4897">
        <v>23.5</v>
      </c>
      <c r="R4897">
        <v>31.597639999999998</v>
      </c>
      <c r="S4897">
        <v>23.2</v>
      </c>
      <c r="T4897">
        <v>372</v>
      </c>
      <c r="U4897">
        <v>150</v>
      </c>
      <c r="V4897">
        <v>0</v>
      </c>
      <c r="W4897">
        <v>151</v>
      </c>
      <c r="X4897">
        <v>315</v>
      </c>
      <c r="Y4897">
        <v>0</v>
      </c>
      <c r="Z4897">
        <v>51</v>
      </c>
      <c r="AA4897">
        <v>0</v>
      </c>
      <c r="AB4897">
        <v>10.46654</v>
      </c>
      <c r="AC4897">
        <v>1.4568080000000001E-2</v>
      </c>
      <c r="AD4897">
        <v>1.385486</v>
      </c>
      <c r="AE4897">
        <v>0.72170369999999995</v>
      </c>
      <c r="AF4897">
        <v>441.01519999999999</v>
      </c>
      <c r="AG4897">
        <f>IFERROR(AH4897*0.1, "N/A")</f>
        <v>6.8209460000000011</v>
      </c>
      <c r="AH4897">
        <v>68.209460000000007</v>
      </c>
      <c r="AI4897">
        <v>203.64189999999999</v>
      </c>
      <c r="AJ4897">
        <v>12.02365</v>
      </c>
      <c r="AK4897">
        <v>74.96284</v>
      </c>
    </row>
    <row r="4898" spans="1:37" x14ac:dyDescent="0.3">
      <c r="A4898">
        <v>4897</v>
      </c>
      <c r="B4898">
        <v>87.1</v>
      </c>
      <c r="C4898">
        <v>1.7486999999999999</v>
      </c>
      <c r="D4898">
        <v>13.721500000000001</v>
      </c>
      <c r="E4898" t="s">
        <v>7816</v>
      </c>
      <c r="F4898" t="s">
        <v>7817</v>
      </c>
      <c r="G4898" t="s">
        <v>39</v>
      </c>
      <c r="H4898">
        <v>0</v>
      </c>
      <c r="I4898">
        <v>29.3</v>
      </c>
      <c r="J4898">
        <v>14.5</v>
      </c>
      <c r="K4898">
        <v>56</v>
      </c>
      <c r="L4898">
        <v>29.03</v>
      </c>
      <c r="M4898">
        <v>41.3</v>
      </c>
      <c r="N4898">
        <v>15.7</v>
      </c>
      <c r="O4898">
        <v>25.6</v>
      </c>
      <c r="P4898">
        <v>28.6</v>
      </c>
      <c r="Q4898">
        <v>25.8</v>
      </c>
      <c r="R4898">
        <v>33.1</v>
      </c>
      <c r="S4898">
        <v>25.5</v>
      </c>
      <c r="T4898">
        <v>411</v>
      </c>
      <c r="U4898">
        <v>147</v>
      </c>
      <c r="V4898">
        <v>0</v>
      </c>
      <c r="W4898">
        <v>138</v>
      </c>
      <c r="X4898">
        <v>328</v>
      </c>
      <c r="Y4898">
        <v>0</v>
      </c>
      <c r="Z4898">
        <v>76</v>
      </c>
      <c r="AA4898">
        <v>0</v>
      </c>
      <c r="AB4898">
        <v>9.2566609999999994</v>
      </c>
      <c r="AC4898">
        <v>0.1053205</v>
      </c>
      <c r="AD4898">
        <v>2.370762</v>
      </c>
      <c r="AE4898">
        <v>0.2802673</v>
      </c>
      <c r="AF4898">
        <v>212.9325</v>
      </c>
      <c r="AG4898">
        <f>IFERROR(AH4898*0.1, "N/A")</f>
        <v>5.494098000000001</v>
      </c>
      <c r="AH4898">
        <v>54.940980000000003</v>
      </c>
      <c r="AI4898">
        <v>253.49930000000001</v>
      </c>
      <c r="AJ4898">
        <v>12.986510000000001</v>
      </c>
      <c r="AK4898">
        <v>75.396289999999993</v>
      </c>
    </row>
    <row r="4899" spans="1:37" x14ac:dyDescent="0.3">
      <c r="A4899">
        <v>4898</v>
      </c>
      <c r="B4899">
        <v>90.5</v>
      </c>
      <c r="C4899">
        <v>1.6819999999999999</v>
      </c>
      <c r="D4899">
        <v>13.724600000000001</v>
      </c>
      <c r="E4899" t="s">
        <v>7818</v>
      </c>
      <c r="F4899" t="s">
        <v>7819</v>
      </c>
      <c r="G4899" t="s">
        <v>39</v>
      </c>
      <c r="H4899">
        <v>0</v>
      </c>
      <c r="I4899">
        <v>29.4</v>
      </c>
      <c r="J4899">
        <v>14.402189999999999</v>
      </c>
      <c r="K4899">
        <v>56</v>
      </c>
      <c r="L4899">
        <v>28.83803</v>
      </c>
      <c r="M4899">
        <v>41.302190000000003</v>
      </c>
      <c r="N4899">
        <v>15.9</v>
      </c>
      <c r="O4899">
        <v>25.402190000000001</v>
      </c>
      <c r="P4899">
        <v>28.7</v>
      </c>
      <c r="Q4899">
        <v>25.902190000000001</v>
      </c>
      <c r="R4899">
        <v>33.1</v>
      </c>
      <c r="S4899">
        <v>25.60219</v>
      </c>
      <c r="T4899">
        <v>406.97809999999998</v>
      </c>
      <c r="U4899">
        <v>145.97810000000001</v>
      </c>
      <c r="V4899">
        <v>0</v>
      </c>
      <c r="W4899">
        <v>141.97810000000001</v>
      </c>
      <c r="X4899">
        <v>327.97809999999998</v>
      </c>
      <c r="Y4899">
        <v>0</v>
      </c>
      <c r="Z4899">
        <v>72</v>
      </c>
      <c r="AA4899">
        <v>0</v>
      </c>
      <c r="AB4899">
        <v>5.3526129999999998</v>
      </c>
      <c r="AC4899">
        <v>1.541207E-2</v>
      </c>
      <c r="AD4899">
        <v>1.6005590000000001</v>
      </c>
      <c r="AE4899">
        <v>0.31976749999999998</v>
      </c>
      <c r="AF4899">
        <v>195.31700000000001</v>
      </c>
      <c r="AG4899">
        <f>IFERROR(AH4899*0.1, "N/A")</f>
        <v>6.2134910000000003</v>
      </c>
      <c r="AH4899">
        <v>62.134909999999998</v>
      </c>
      <c r="AI4899">
        <v>52.683810000000001</v>
      </c>
      <c r="AJ4899">
        <v>25.261379999999999</v>
      </c>
      <c r="AK4899">
        <v>56.490729999999999</v>
      </c>
    </row>
    <row r="4900" spans="1:37" x14ac:dyDescent="0.3">
      <c r="A4900">
        <v>4899</v>
      </c>
      <c r="B4900">
        <v>44.2</v>
      </c>
      <c r="C4900">
        <v>3.0502199999999999</v>
      </c>
      <c r="D4900">
        <v>13.729200000000001</v>
      </c>
      <c r="E4900" t="s">
        <v>7820</v>
      </c>
      <c r="F4900" t="s">
        <v>7821</v>
      </c>
      <c r="G4900" t="s">
        <v>39</v>
      </c>
      <c r="H4900">
        <v>0</v>
      </c>
      <c r="I4900">
        <v>29.1</v>
      </c>
      <c r="J4900">
        <v>13.91436</v>
      </c>
      <c r="K4900">
        <v>57</v>
      </c>
      <c r="L4900">
        <v>27.948509999999999</v>
      </c>
      <c r="M4900">
        <v>40.814360000000001</v>
      </c>
      <c r="N4900">
        <v>16.5</v>
      </c>
      <c r="O4900">
        <v>24.314360000000001</v>
      </c>
      <c r="P4900">
        <v>28.4</v>
      </c>
      <c r="Q4900">
        <v>25.814360000000001</v>
      </c>
      <c r="R4900">
        <v>32.9</v>
      </c>
      <c r="S4900">
        <v>25.5</v>
      </c>
      <c r="T4900">
        <v>415</v>
      </c>
      <c r="U4900">
        <v>146</v>
      </c>
      <c r="V4900">
        <v>0</v>
      </c>
      <c r="W4900">
        <v>138</v>
      </c>
      <c r="X4900">
        <v>326</v>
      </c>
      <c r="Y4900">
        <v>0</v>
      </c>
      <c r="Z4900">
        <v>83</v>
      </c>
      <c r="AA4900">
        <v>0</v>
      </c>
      <c r="AB4900">
        <v>2.4180799999999998</v>
      </c>
      <c r="AC4900">
        <v>2.802671E-2</v>
      </c>
      <c r="AD4900">
        <v>0.70914670000000002</v>
      </c>
      <c r="AE4900">
        <v>0.4675861</v>
      </c>
      <c r="AF4900">
        <v>211.2432</v>
      </c>
      <c r="AG4900">
        <f>IFERROR(AH4900*0.1, "N/A")</f>
        <v>5.671284</v>
      </c>
      <c r="AH4900">
        <v>56.71284</v>
      </c>
      <c r="AI4900">
        <v>182.9177</v>
      </c>
      <c r="AJ4900">
        <v>10.71284</v>
      </c>
      <c r="AK4900">
        <v>80.28716</v>
      </c>
    </row>
    <row r="4901" spans="1:37" x14ac:dyDescent="0.3">
      <c r="A4901">
        <v>4900</v>
      </c>
      <c r="B4901">
        <v>65.099999999999994</v>
      </c>
      <c r="C4901">
        <v>1.73377</v>
      </c>
      <c r="D4901">
        <v>13.731400000000001</v>
      </c>
      <c r="E4901" t="s">
        <v>7822</v>
      </c>
      <c r="F4901" t="s">
        <v>7823</v>
      </c>
      <c r="G4901" t="s">
        <v>39</v>
      </c>
      <c r="H4901">
        <v>0</v>
      </c>
      <c r="I4901">
        <v>29.347059999999999</v>
      </c>
      <c r="J4901">
        <v>14.5</v>
      </c>
      <c r="K4901">
        <v>56</v>
      </c>
      <c r="L4901">
        <v>29.082940000000001</v>
      </c>
      <c r="M4901">
        <v>41.247059999999998</v>
      </c>
      <c r="N4901">
        <v>15.747059999999999</v>
      </c>
      <c r="O4901">
        <v>25.5</v>
      </c>
      <c r="P4901">
        <v>28.59412</v>
      </c>
      <c r="Q4901">
        <v>25.794119999999999</v>
      </c>
      <c r="R4901">
        <v>33.047060000000002</v>
      </c>
      <c r="S4901">
        <v>25.547059999999998</v>
      </c>
      <c r="T4901">
        <v>409</v>
      </c>
      <c r="U4901">
        <v>147</v>
      </c>
      <c r="V4901">
        <v>0</v>
      </c>
      <c r="W4901">
        <v>138</v>
      </c>
      <c r="X4901">
        <v>328</v>
      </c>
      <c r="Y4901">
        <v>0</v>
      </c>
      <c r="Z4901">
        <v>75</v>
      </c>
      <c r="AA4901">
        <v>0</v>
      </c>
      <c r="AB4901">
        <v>7.969576</v>
      </c>
      <c r="AC4901">
        <v>0.121271</v>
      </c>
      <c r="AD4901">
        <v>1.293714</v>
      </c>
      <c r="AE4901">
        <v>0.26988240000000002</v>
      </c>
      <c r="AF4901">
        <v>217.91759999999999</v>
      </c>
      <c r="AG4901">
        <f>IFERROR(AH4901*0.1, "N/A")</f>
        <v>5.6828570000000003</v>
      </c>
      <c r="AH4901">
        <v>56.828569999999999</v>
      </c>
      <c r="AI4901">
        <v>149.374</v>
      </c>
      <c r="AJ4901">
        <v>13.497479999999999</v>
      </c>
      <c r="AK4901">
        <v>73.058819999999997</v>
      </c>
    </row>
    <row r="4902" spans="1:37" x14ac:dyDescent="0.3">
      <c r="A4902">
        <v>4901</v>
      </c>
      <c r="B4902">
        <v>83</v>
      </c>
      <c r="C4902">
        <v>1.6151800000000001</v>
      </c>
      <c r="D4902">
        <v>13.7342</v>
      </c>
      <c r="E4902" t="s">
        <v>7824</v>
      </c>
      <c r="F4902" t="s">
        <v>7825</v>
      </c>
      <c r="G4902" t="s">
        <v>39</v>
      </c>
      <c r="H4902">
        <v>0</v>
      </c>
      <c r="I4902">
        <v>29.49916</v>
      </c>
      <c r="J4902">
        <v>14.4</v>
      </c>
      <c r="K4902">
        <v>56</v>
      </c>
      <c r="L4902">
        <v>28.930340000000001</v>
      </c>
      <c r="M4902">
        <v>41.299160000000001</v>
      </c>
      <c r="N4902">
        <v>15.99916</v>
      </c>
      <c r="O4902">
        <v>25.3</v>
      </c>
      <c r="P4902">
        <v>28.79832</v>
      </c>
      <c r="Q4902">
        <v>25.9</v>
      </c>
      <c r="R4902">
        <v>33.199159999999999</v>
      </c>
      <c r="S4902">
        <v>25.699159999999999</v>
      </c>
      <c r="T4902">
        <v>403.02530000000002</v>
      </c>
      <c r="U4902">
        <v>144.00839999999999</v>
      </c>
      <c r="V4902">
        <v>0</v>
      </c>
      <c r="W4902">
        <v>141.00839999999999</v>
      </c>
      <c r="X4902">
        <v>327.00839999999999</v>
      </c>
      <c r="Y4902">
        <v>0</v>
      </c>
      <c r="Z4902">
        <v>69.016840000000002</v>
      </c>
      <c r="AA4902">
        <v>0</v>
      </c>
      <c r="AB4902">
        <v>5.6223939999999999</v>
      </c>
      <c r="AC4902">
        <v>1.0853730000000001E-2</v>
      </c>
      <c r="AD4902">
        <v>1.977177</v>
      </c>
      <c r="AE4902">
        <v>0.58645639999999999</v>
      </c>
      <c r="AF4902">
        <v>202.65989999999999</v>
      </c>
      <c r="AG4902">
        <f>IFERROR(AH4902*0.1, "N/A")</f>
        <v>6.6000000000000005</v>
      </c>
      <c r="AH4902">
        <v>66</v>
      </c>
      <c r="AI4902">
        <v>182.97730000000001</v>
      </c>
      <c r="AJ4902">
        <v>14.19192</v>
      </c>
      <c r="AK4902">
        <v>71.410769999999999</v>
      </c>
    </row>
    <row r="4903" spans="1:37" x14ac:dyDescent="0.3">
      <c r="A4903">
        <v>4902</v>
      </c>
      <c r="B4903">
        <v>14.3</v>
      </c>
      <c r="C4903">
        <v>9.3739000000000008</v>
      </c>
      <c r="D4903">
        <v>13.7369</v>
      </c>
      <c r="E4903" t="s">
        <v>7826</v>
      </c>
      <c r="F4903" t="s">
        <v>7827</v>
      </c>
      <c r="G4903" t="s">
        <v>39</v>
      </c>
      <c r="H4903">
        <v>0</v>
      </c>
      <c r="I4903">
        <v>27.9</v>
      </c>
      <c r="J4903">
        <v>14.7</v>
      </c>
      <c r="K4903">
        <v>56</v>
      </c>
      <c r="L4903">
        <v>32.020000000000003</v>
      </c>
      <c r="M4903">
        <v>40.299999999999997</v>
      </c>
      <c r="N4903">
        <v>14.4</v>
      </c>
      <c r="O4903">
        <v>25.9</v>
      </c>
      <c r="P4903">
        <v>27.7</v>
      </c>
      <c r="Q4903">
        <v>23.9</v>
      </c>
      <c r="R4903">
        <v>32</v>
      </c>
      <c r="S4903">
        <v>23.5</v>
      </c>
      <c r="T4903">
        <v>332</v>
      </c>
      <c r="U4903">
        <v>128</v>
      </c>
      <c r="V4903">
        <v>0</v>
      </c>
      <c r="W4903">
        <v>153</v>
      </c>
      <c r="X4903">
        <v>281</v>
      </c>
      <c r="Y4903">
        <v>0</v>
      </c>
      <c r="Z4903">
        <v>46</v>
      </c>
      <c r="AA4903">
        <v>0</v>
      </c>
      <c r="AB4903">
        <v>5.5557939999999997</v>
      </c>
      <c r="AC4903">
        <v>1.2469060000000001E-2</v>
      </c>
      <c r="AD4903">
        <v>1.6292219999999999</v>
      </c>
      <c r="AE4903">
        <v>0.49565179999999998</v>
      </c>
      <c r="AF4903">
        <v>432.9966</v>
      </c>
      <c r="AG4903">
        <f>IFERROR(AH4903*0.1, "N/A")</f>
        <v>6.9200000000000008</v>
      </c>
      <c r="AH4903">
        <v>69.2</v>
      </c>
      <c r="AI4903">
        <v>181.6575</v>
      </c>
      <c r="AJ4903">
        <v>13</v>
      </c>
      <c r="AK4903">
        <v>74.400000000000006</v>
      </c>
    </row>
    <row r="4904" spans="1:37" x14ac:dyDescent="0.3">
      <c r="A4904">
        <v>4903</v>
      </c>
      <c r="B4904">
        <v>96.1</v>
      </c>
      <c r="C4904">
        <v>1.68225</v>
      </c>
      <c r="D4904">
        <v>13.739000000000001</v>
      </c>
      <c r="E4904" t="s">
        <v>7828</v>
      </c>
      <c r="F4904" t="s">
        <v>7829</v>
      </c>
      <c r="G4904" t="s">
        <v>39</v>
      </c>
      <c r="H4904">
        <v>0</v>
      </c>
      <c r="I4904">
        <v>29.5</v>
      </c>
      <c r="J4904">
        <v>14.5</v>
      </c>
      <c r="K4904">
        <v>56</v>
      </c>
      <c r="L4904">
        <v>28.89</v>
      </c>
      <c r="M4904">
        <v>41.4</v>
      </c>
      <c r="N4904">
        <v>15.9</v>
      </c>
      <c r="O4904">
        <v>25.5</v>
      </c>
      <c r="P4904">
        <v>28.8</v>
      </c>
      <c r="Q4904">
        <v>26</v>
      </c>
      <c r="R4904">
        <v>33.200000000000003</v>
      </c>
      <c r="S4904">
        <v>25.7</v>
      </c>
      <c r="T4904">
        <v>404</v>
      </c>
      <c r="U4904">
        <v>145</v>
      </c>
      <c r="V4904">
        <v>0</v>
      </c>
      <c r="W4904">
        <v>141</v>
      </c>
      <c r="X4904">
        <v>326</v>
      </c>
      <c r="Y4904">
        <v>0</v>
      </c>
      <c r="Z4904">
        <v>71</v>
      </c>
      <c r="AA4904">
        <v>0</v>
      </c>
      <c r="AB4904">
        <v>3.2214879999999999</v>
      </c>
      <c r="AC4904">
        <v>4.3761149999999999E-2</v>
      </c>
      <c r="AD4904">
        <v>1.8335889999999999</v>
      </c>
      <c r="AE4904">
        <v>0.2722812</v>
      </c>
      <c r="AF4904">
        <v>190.6413</v>
      </c>
      <c r="AG4904">
        <f>IFERROR(AH4904*0.1, "N/A")</f>
        <v>6.6815569999999997</v>
      </c>
      <c r="AH4904">
        <v>66.815569999999994</v>
      </c>
      <c r="AI4904">
        <v>85.650469999999999</v>
      </c>
      <c r="AJ4904">
        <v>29.1692</v>
      </c>
      <c r="AK4904">
        <v>53.362099999999998</v>
      </c>
    </row>
    <row r="4905" spans="1:37" x14ac:dyDescent="0.3">
      <c r="A4905">
        <v>4904</v>
      </c>
      <c r="B4905">
        <v>56.7</v>
      </c>
      <c r="C4905">
        <v>1.60378</v>
      </c>
      <c r="D4905">
        <v>13.7399</v>
      </c>
      <c r="E4905" t="s">
        <v>7830</v>
      </c>
      <c r="F4905" t="s">
        <v>7831</v>
      </c>
      <c r="G4905" t="s">
        <v>39</v>
      </c>
      <c r="H4905">
        <v>0</v>
      </c>
      <c r="I4905">
        <v>29.4</v>
      </c>
      <c r="J4905">
        <v>14.4</v>
      </c>
      <c r="K4905">
        <v>56</v>
      </c>
      <c r="L4905">
        <v>28.77</v>
      </c>
      <c r="M4905">
        <v>41.3</v>
      </c>
      <c r="N4905">
        <v>16</v>
      </c>
      <c r="O4905">
        <v>25.3</v>
      </c>
      <c r="P4905">
        <v>28.7</v>
      </c>
      <c r="Q4905">
        <v>25.9</v>
      </c>
      <c r="R4905">
        <v>33.1</v>
      </c>
      <c r="S4905">
        <v>25.6</v>
      </c>
      <c r="T4905">
        <v>403</v>
      </c>
      <c r="U4905">
        <v>144</v>
      </c>
      <c r="V4905">
        <v>0</v>
      </c>
      <c r="W4905">
        <v>141</v>
      </c>
      <c r="X4905">
        <v>327</v>
      </c>
      <c r="Y4905">
        <v>0</v>
      </c>
      <c r="Z4905">
        <v>69</v>
      </c>
      <c r="AA4905">
        <v>0</v>
      </c>
      <c r="AB4905">
        <v>4.5478800000000001</v>
      </c>
      <c r="AC4905">
        <v>0.42677389999999998</v>
      </c>
      <c r="AD4905">
        <v>2.146414</v>
      </c>
      <c r="AE4905">
        <v>0.65473349999999997</v>
      </c>
      <c r="AF4905">
        <v>199.286</v>
      </c>
      <c r="AG4905">
        <f>IFERROR(AH4905*0.1, "N/A")</f>
        <v>6.588832</v>
      </c>
      <c r="AH4905">
        <v>65.888319999999993</v>
      </c>
      <c r="AI4905">
        <v>141.36519999999999</v>
      </c>
      <c r="AJ4905">
        <v>12.13198</v>
      </c>
      <c r="AK4905">
        <v>73.817260000000005</v>
      </c>
    </row>
    <row r="4906" spans="1:37" x14ac:dyDescent="0.3">
      <c r="A4906">
        <v>4905</v>
      </c>
      <c r="B4906">
        <v>70</v>
      </c>
      <c r="C4906">
        <v>1.7668999999999999</v>
      </c>
      <c r="D4906">
        <v>13.740500000000001</v>
      </c>
      <c r="E4906" t="s">
        <v>7832</v>
      </c>
      <c r="F4906" t="s">
        <v>7833</v>
      </c>
      <c r="G4906" t="s">
        <v>39</v>
      </c>
      <c r="H4906">
        <v>0</v>
      </c>
      <c r="I4906">
        <v>29.3</v>
      </c>
      <c r="J4906">
        <v>14.5</v>
      </c>
      <c r="K4906">
        <v>56</v>
      </c>
      <c r="L4906">
        <v>29.07779</v>
      </c>
      <c r="M4906">
        <v>41.2</v>
      </c>
      <c r="N4906">
        <v>15.7</v>
      </c>
      <c r="O4906">
        <v>25.5</v>
      </c>
      <c r="P4906">
        <v>28.55649</v>
      </c>
      <c r="Q4906">
        <v>25.7</v>
      </c>
      <c r="R4906">
        <v>33</v>
      </c>
      <c r="S4906">
        <v>25.5</v>
      </c>
      <c r="T4906">
        <v>410</v>
      </c>
      <c r="U4906">
        <v>147</v>
      </c>
      <c r="V4906">
        <v>0</v>
      </c>
      <c r="W4906">
        <v>138</v>
      </c>
      <c r="X4906">
        <v>328</v>
      </c>
      <c r="Y4906">
        <v>0</v>
      </c>
      <c r="Z4906">
        <v>75</v>
      </c>
      <c r="AA4906">
        <v>0</v>
      </c>
      <c r="AB4906">
        <v>6.392747</v>
      </c>
      <c r="AC4906">
        <v>1.4626429999999999E-2</v>
      </c>
      <c r="AD4906">
        <v>1.443781</v>
      </c>
      <c r="AE4906">
        <v>0.27587669999999997</v>
      </c>
      <c r="AF4906">
        <v>222.20570000000001</v>
      </c>
      <c r="AG4906">
        <f>IFERROR(AH4906*0.1, "N/A")</f>
        <v>5.5074199999999998</v>
      </c>
      <c r="AH4906">
        <v>55.074199999999998</v>
      </c>
      <c r="AI4906">
        <v>148.73869999999999</v>
      </c>
      <c r="AJ4906">
        <v>16.462060000000001</v>
      </c>
      <c r="AK4906">
        <v>69.065770000000001</v>
      </c>
    </row>
    <row r="4907" spans="1:37" x14ac:dyDescent="0.3">
      <c r="A4907">
        <v>4906</v>
      </c>
      <c r="B4907">
        <v>0</v>
      </c>
      <c r="C4907">
        <v>6.0526200000000001</v>
      </c>
      <c r="D4907">
        <v>13.7409</v>
      </c>
      <c r="E4907" t="s">
        <v>7834</v>
      </c>
      <c r="F4907" t="s">
        <v>7835</v>
      </c>
      <c r="G4907" t="s">
        <v>39</v>
      </c>
      <c r="H4907">
        <v>0</v>
      </c>
      <c r="I4907">
        <v>28.1</v>
      </c>
      <c r="J4907">
        <v>14.5</v>
      </c>
      <c r="K4907">
        <v>58</v>
      </c>
      <c r="L4907">
        <v>28.628</v>
      </c>
      <c r="M4907">
        <v>40.1</v>
      </c>
      <c r="N4907">
        <v>15.1</v>
      </c>
      <c r="O4907">
        <v>25</v>
      </c>
      <c r="P4907">
        <v>27.59272</v>
      </c>
      <c r="Q4907">
        <v>26.4</v>
      </c>
      <c r="R4907">
        <v>32</v>
      </c>
      <c r="S4907">
        <v>24.4</v>
      </c>
      <c r="T4907">
        <v>448.85449999999997</v>
      </c>
      <c r="U4907">
        <v>161</v>
      </c>
      <c r="V4907">
        <v>0</v>
      </c>
      <c r="W4907">
        <v>144</v>
      </c>
      <c r="X4907">
        <v>367</v>
      </c>
      <c r="Y4907">
        <v>0</v>
      </c>
      <c r="Z4907">
        <v>75.854479999999995</v>
      </c>
      <c r="AA4907">
        <v>0</v>
      </c>
      <c r="AB4907">
        <v>5.4480490000000001</v>
      </c>
      <c r="AC4907">
        <v>1.064146E-2</v>
      </c>
      <c r="AD4907">
        <v>1.2107859999999999</v>
      </c>
      <c r="AE4907">
        <v>0.70161269999999998</v>
      </c>
      <c r="AF4907">
        <v>296.61079999999998</v>
      </c>
      <c r="AG4907">
        <f>IFERROR(AH4907*0.1, "N/A")</f>
        <v>6.2269040000000002</v>
      </c>
      <c r="AH4907">
        <v>62.269039999999997</v>
      </c>
      <c r="AI4907">
        <v>92.144890000000004</v>
      </c>
      <c r="AJ4907">
        <v>10.038919999999999</v>
      </c>
      <c r="AK4907">
        <v>79.269040000000004</v>
      </c>
    </row>
    <row r="4908" spans="1:37" x14ac:dyDescent="0.3">
      <c r="A4908">
        <v>4907</v>
      </c>
      <c r="B4908">
        <v>0</v>
      </c>
      <c r="C4908">
        <v>6.0526200000000001</v>
      </c>
      <c r="D4908">
        <v>13.7409</v>
      </c>
      <c r="E4908" t="s">
        <v>7834</v>
      </c>
      <c r="F4908" t="s">
        <v>7836</v>
      </c>
      <c r="G4908" t="s">
        <v>37</v>
      </c>
      <c r="H4908">
        <v>0</v>
      </c>
      <c r="I4908">
        <v>28.1</v>
      </c>
      <c r="J4908">
        <v>14.5</v>
      </c>
      <c r="K4908">
        <v>58</v>
      </c>
      <c r="L4908">
        <v>28.628</v>
      </c>
      <c r="M4908">
        <v>40.1</v>
      </c>
      <c r="N4908">
        <v>15.1</v>
      </c>
      <c r="O4908">
        <v>25</v>
      </c>
      <c r="P4908">
        <v>27.59272</v>
      </c>
      <c r="Q4908">
        <v>26.4</v>
      </c>
      <c r="R4908">
        <v>32</v>
      </c>
      <c r="S4908">
        <v>24.4</v>
      </c>
      <c r="T4908">
        <v>448.85449999999997</v>
      </c>
      <c r="U4908">
        <v>161</v>
      </c>
      <c r="V4908">
        <v>0</v>
      </c>
      <c r="W4908">
        <v>144</v>
      </c>
      <c r="X4908">
        <v>367</v>
      </c>
      <c r="Y4908">
        <v>0</v>
      </c>
      <c r="Z4908">
        <v>75.854479999999995</v>
      </c>
      <c r="AA4908">
        <v>0</v>
      </c>
      <c r="AB4908">
        <v>5.4480490000000001</v>
      </c>
      <c r="AC4908">
        <v>1.064146E-2</v>
      </c>
      <c r="AD4908">
        <v>1.2107859999999999</v>
      </c>
      <c r="AE4908">
        <v>0.70161269999999998</v>
      </c>
      <c r="AF4908">
        <v>296.61079999999998</v>
      </c>
      <c r="AG4908">
        <f>IFERROR(AH4908*0.1, "N/A")</f>
        <v>6.2269040000000002</v>
      </c>
      <c r="AH4908">
        <v>62.269039999999997</v>
      </c>
      <c r="AI4908">
        <v>92.144890000000004</v>
      </c>
      <c r="AJ4908">
        <v>10.038919999999999</v>
      </c>
      <c r="AK4908">
        <v>79.269040000000004</v>
      </c>
    </row>
    <row r="4909" spans="1:37" x14ac:dyDescent="0.3">
      <c r="A4909">
        <v>4908</v>
      </c>
      <c r="B4909">
        <v>63.9</v>
      </c>
      <c r="C4909">
        <v>3.0607700000000002</v>
      </c>
      <c r="D4909">
        <v>13.7416</v>
      </c>
      <c r="E4909" t="s">
        <v>7837</v>
      </c>
      <c r="F4909" t="s">
        <v>7838</v>
      </c>
      <c r="G4909" t="s">
        <v>39</v>
      </c>
      <c r="H4909">
        <v>0</v>
      </c>
      <c r="I4909">
        <v>29.1</v>
      </c>
      <c r="J4909">
        <v>14</v>
      </c>
      <c r="K4909">
        <v>57</v>
      </c>
      <c r="L4909">
        <v>27.722529999999999</v>
      </c>
      <c r="M4909">
        <v>40.799999999999997</v>
      </c>
      <c r="N4909">
        <v>16.5</v>
      </c>
      <c r="O4909">
        <v>24.3</v>
      </c>
      <c r="P4909">
        <v>28.357340000000001</v>
      </c>
      <c r="Q4909">
        <v>25.8</v>
      </c>
      <c r="R4909">
        <v>32.742660000000001</v>
      </c>
      <c r="S4909">
        <v>25.5</v>
      </c>
      <c r="T4909">
        <v>414</v>
      </c>
      <c r="U4909">
        <v>146</v>
      </c>
      <c r="V4909">
        <v>0</v>
      </c>
      <c r="W4909">
        <v>138</v>
      </c>
      <c r="X4909">
        <v>326</v>
      </c>
      <c r="Y4909">
        <v>0</v>
      </c>
      <c r="Z4909">
        <v>82</v>
      </c>
      <c r="AA4909">
        <v>0</v>
      </c>
      <c r="AB4909">
        <v>7.5961210000000001</v>
      </c>
      <c r="AC4909">
        <v>9.8069699999999999E-3</v>
      </c>
      <c r="AD4909">
        <v>1.7173320000000001</v>
      </c>
      <c r="AE4909">
        <v>0.63012440000000003</v>
      </c>
      <c r="AF4909">
        <v>219.47219999999999</v>
      </c>
      <c r="AG4909">
        <f>IFERROR(AH4909*0.1, "N/A")</f>
        <v>5.8000000000000007</v>
      </c>
      <c r="AH4909">
        <v>58</v>
      </c>
      <c r="AI4909">
        <v>246.20070000000001</v>
      </c>
      <c r="AJ4909">
        <v>10</v>
      </c>
      <c r="AK4909">
        <v>82</v>
      </c>
    </row>
    <row r="4910" spans="1:37" x14ac:dyDescent="0.3">
      <c r="A4910">
        <v>4909</v>
      </c>
      <c r="B4910">
        <v>24</v>
      </c>
      <c r="C4910">
        <v>8.6882000000000001</v>
      </c>
      <c r="D4910">
        <v>13.7425</v>
      </c>
      <c r="E4910" t="s">
        <v>7839</v>
      </c>
      <c r="F4910" t="s">
        <v>7840</v>
      </c>
      <c r="G4910" t="s">
        <v>39</v>
      </c>
      <c r="H4910">
        <v>0</v>
      </c>
      <c r="I4910">
        <v>27.6</v>
      </c>
      <c r="J4910">
        <v>14.4</v>
      </c>
      <c r="K4910">
        <v>55</v>
      </c>
      <c r="L4910">
        <v>33.29</v>
      </c>
      <c r="M4910">
        <v>39.700000000000003</v>
      </c>
      <c r="N4910">
        <v>13.7</v>
      </c>
      <c r="O4910">
        <v>26</v>
      </c>
      <c r="P4910">
        <v>27.9</v>
      </c>
      <c r="Q4910">
        <v>23.3</v>
      </c>
      <c r="R4910">
        <v>31.8</v>
      </c>
      <c r="S4910">
        <v>22.9</v>
      </c>
      <c r="T4910">
        <v>359</v>
      </c>
      <c r="U4910">
        <v>149</v>
      </c>
      <c r="V4910">
        <v>0</v>
      </c>
      <c r="W4910">
        <v>158</v>
      </c>
      <c r="X4910">
        <v>308</v>
      </c>
      <c r="Y4910">
        <v>0</v>
      </c>
      <c r="Z4910">
        <v>45</v>
      </c>
      <c r="AA4910">
        <v>0</v>
      </c>
      <c r="AB4910">
        <v>6.908792</v>
      </c>
      <c r="AC4910">
        <v>1.1647859999999999E-2</v>
      </c>
      <c r="AD4910">
        <v>1.7514590000000001</v>
      </c>
      <c r="AE4910">
        <v>0.58277950000000001</v>
      </c>
      <c r="AF4910">
        <v>466.8091</v>
      </c>
      <c r="AG4910">
        <f>IFERROR(AH4910*0.1, "N/A")</f>
        <v>6.5956080000000004</v>
      </c>
      <c r="AH4910">
        <v>65.95608</v>
      </c>
      <c r="AI4910">
        <v>186.68369999999999</v>
      </c>
      <c r="AJ4910">
        <v>13</v>
      </c>
      <c r="AK4910">
        <v>72.060810000000004</v>
      </c>
    </row>
    <row r="4911" spans="1:37" x14ac:dyDescent="0.3">
      <c r="A4911">
        <v>4910</v>
      </c>
      <c r="B4911">
        <v>95.4</v>
      </c>
      <c r="C4911">
        <v>1.57999</v>
      </c>
      <c r="D4911">
        <v>13.744199999999999</v>
      </c>
      <c r="E4911" t="s">
        <v>7841</v>
      </c>
      <c r="F4911" t="s">
        <v>7842</v>
      </c>
      <c r="G4911" t="s">
        <v>39</v>
      </c>
      <c r="H4911">
        <v>0</v>
      </c>
      <c r="I4911">
        <v>29.3</v>
      </c>
      <c r="J4911">
        <v>14.4</v>
      </c>
      <c r="K4911">
        <v>57</v>
      </c>
      <c r="L4911">
        <v>28.48</v>
      </c>
      <c r="M4911">
        <v>41.1</v>
      </c>
      <c r="N4911">
        <v>15.9</v>
      </c>
      <c r="O4911">
        <v>25.2</v>
      </c>
      <c r="P4911">
        <v>28.6</v>
      </c>
      <c r="Q4911">
        <v>25.8</v>
      </c>
      <c r="R4911">
        <v>33</v>
      </c>
      <c r="S4911">
        <v>25.5</v>
      </c>
      <c r="T4911">
        <v>405</v>
      </c>
      <c r="U4911">
        <v>145</v>
      </c>
      <c r="V4911">
        <v>0</v>
      </c>
      <c r="W4911">
        <v>142</v>
      </c>
      <c r="X4911">
        <v>329</v>
      </c>
      <c r="Y4911">
        <v>0</v>
      </c>
      <c r="Z4911">
        <v>69</v>
      </c>
      <c r="AA4911">
        <v>0</v>
      </c>
      <c r="AB4911">
        <v>4.6929410000000003</v>
      </c>
      <c r="AC4911">
        <v>0.1456846</v>
      </c>
      <c r="AD4911">
        <v>0.8931443</v>
      </c>
      <c r="AE4911">
        <v>0.68831960000000003</v>
      </c>
      <c r="AF4911">
        <v>214.5361</v>
      </c>
      <c r="AG4911">
        <f>IFERROR(AH4911*0.1, "N/A")</f>
        <v>5.6016810000000001</v>
      </c>
      <c r="AH4911">
        <v>56.01681</v>
      </c>
      <c r="AI4911">
        <v>154.98330000000001</v>
      </c>
      <c r="AJ4911">
        <v>8</v>
      </c>
      <c r="AK4911">
        <v>84</v>
      </c>
    </row>
    <row r="4912" spans="1:37" x14ac:dyDescent="0.3">
      <c r="A4912">
        <v>4911</v>
      </c>
      <c r="B4912">
        <v>53.2</v>
      </c>
      <c r="C4912">
        <v>1.0075700000000001</v>
      </c>
      <c r="D4912">
        <v>13.744400000000001</v>
      </c>
      <c r="E4912" t="s">
        <v>7843</v>
      </c>
      <c r="F4912" t="s">
        <v>7844</v>
      </c>
      <c r="G4912" t="s">
        <v>39</v>
      </c>
      <c r="H4912">
        <v>0</v>
      </c>
      <c r="I4912">
        <v>28.9</v>
      </c>
      <c r="J4912">
        <v>14.5</v>
      </c>
      <c r="K4912">
        <v>58</v>
      </c>
      <c r="L4912">
        <v>27.64</v>
      </c>
      <c r="M4912">
        <v>40.5</v>
      </c>
      <c r="N4912">
        <v>15.6</v>
      </c>
      <c r="O4912">
        <v>24.9</v>
      </c>
      <c r="P4912">
        <v>28.2</v>
      </c>
      <c r="Q4912">
        <v>25.2</v>
      </c>
      <c r="R4912">
        <v>32.5</v>
      </c>
      <c r="S4912">
        <v>25.2</v>
      </c>
      <c r="T4912">
        <v>442</v>
      </c>
      <c r="U4912">
        <v>154</v>
      </c>
      <c r="V4912">
        <v>0</v>
      </c>
      <c r="W4912">
        <v>139</v>
      </c>
      <c r="X4912">
        <v>348</v>
      </c>
      <c r="Y4912">
        <v>0</v>
      </c>
      <c r="Z4912">
        <v>84</v>
      </c>
      <c r="AA4912">
        <v>0</v>
      </c>
      <c r="AB4912">
        <v>2.7189199999999998</v>
      </c>
      <c r="AC4912">
        <v>0.1627921</v>
      </c>
      <c r="AD4912">
        <v>1.6096410000000001</v>
      </c>
      <c r="AE4912">
        <v>0.70746509999999996</v>
      </c>
      <c r="AF4912">
        <v>243.76179999999999</v>
      </c>
      <c r="AG4912">
        <f>IFERROR(AH4912*0.1, "N/A")</f>
        <v>5.9932429999999997</v>
      </c>
      <c r="AH4912">
        <v>59.932429999999997</v>
      </c>
      <c r="AI4912">
        <v>219.09049999999999</v>
      </c>
      <c r="AJ4912">
        <v>17.54392</v>
      </c>
      <c r="AK4912">
        <v>65.195949999999996</v>
      </c>
    </row>
    <row r="4913" spans="1:37" x14ac:dyDescent="0.3">
      <c r="A4913">
        <v>4912</v>
      </c>
      <c r="B4913">
        <v>39.700000000000003</v>
      </c>
      <c r="C4913">
        <v>3.0862799999999999</v>
      </c>
      <c r="D4913">
        <v>13.747199999999999</v>
      </c>
      <c r="E4913" t="s">
        <v>7845</v>
      </c>
      <c r="F4913" t="s">
        <v>7846</v>
      </c>
      <c r="G4913" t="s">
        <v>39</v>
      </c>
      <c r="H4913">
        <v>0</v>
      </c>
      <c r="I4913">
        <v>29</v>
      </c>
      <c r="J4913">
        <v>14</v>
      </c>
      <c r="K4913">
        <v>57</v>
      </c>
      <c r="L4913">
        <v>27.95</v>
      </c>
      <c r="M4913">
        <v>40.700000000000003</v>
      </c>
      <c r="N4913">
        <v>16.399999999999999</v>
      </c>
      <c r="O4913">
        <v>24.3</v>
      </c>
      <c r="P4913">
        <v>28.3</v>
      </c>
      <c r="Q4913">
        <v>25.6</v>
      </c>
      <c r="R4913">
        <v>32.700000000000003</v>
      </c>
      <c r="S4913">
        <v>25.3</v>
      </c>
      <c r="T4913">
        <v>415</v>
      </c>
      <c r="U4913">
        <v>147</v>
      </c>
      <c r="V4913">
        <v>0</v>
      </c>
      <c r="W4913">
        <v>139</v>
      </c>
      <c r="X4913">
        <v>327</v>
      </c>
      <c r="Y4913">
        <v>0</v>
      </c>
      <c r="Z4913">
        <v>82</v>
      </c>
      <c r="AA4913">
        <v>0</v>
      </c>
      <c r="AB4913">
        <v>4.7842960000000003</v>
      </c>
      <c r="AC4913">
        <v>0.1441084</v>
      </c>
      <c r="AD4913">
        <v>2.2931680000000001</v>
      </c>
      <c r="AE4913">
        <v>0.49527690000000002</v>
      </c>
      <c r="AF4913">
        <v>236.65539999999999</v>
      </c>
      <c r="AG4913">
        <f>IFERROR(AH4913*0.1, "N/A")</f>
        <v>5.6001690000000011</v>
      </c>
      <c r="AH4913">
        <v>56.001690000000004</v>
      </c>
      <c r="AI4913">
        <v>204.2159</v>
      </c>
      <c r="AJ4913">
        <v>8.8141890000000007</v>
      </c>
      <c r="AK4913">
        <v>80.1875</v>
      </c>
    </row>
    <row r="4914" spans="1:37" x14ac:dyDescent="0.3">
      <c r="A4914">
        <v>4913</v>
      </c>
      <c r="B4914">
        <v>83.3</v>
      </c>
      <c r="C4914">
        <v>1.69262</v>
      </c>
      <c r="D4914">
        <v>13.7486</v>
      </c>
      <c r="E4914" t="s">
        <v>7847</v>
      </c>
      <c r="F4914" t="s">
        <v>7848</v>
      </c>
      <c r="G4914" t="s">
        <v>39</v>
      </c>
      <c r="H4914">
        <v>0</v>
      </c>
      <c r="I4914">
        <v>29.4</v>
      </c>
      <c r="J4914">
        <v>14.4</v>
      </c>
      <c r="K4914">
        <v>56</v>
      </c>
      <c r="L4914">
        <v>29.04</v>
      </c>
      <c r="M4914">
        <v>41.3</v>
      </c>
      <c r="N4914">
        <v>15.9</v>
      </c>
      <c r="O4914">
        <v>25.4</v>
      </c>
      <c r="P4914">
        <v>28.8</v>
      </c>
      <c r="Q4914">
        <v>25.9</v>
      </c>
      <c r="R4914">
        <v>33.200000000000003</v>
      </c>
      <c r="S4914">
        <v>25.6</v>
      </c>
      <c r="T4914">
        <v>401</v>
      </c>
      <c r="U4914">
        <v>145</v>
      </c>
      <c r="V4914">
        <v>0</v>
      </c>
      <c r="W4914">
        <v>141</v>
      </c>
      <c r="X4914">
        <v>324</v>
      </c>
      <c r="Y4914">
        <v>0</v>
      </c>
      <c r="Z4914">
        <v>71</v>
      </c>
      <c r="AA4914">
        <v>0</v>
      </c>
      <c r="AB4914">
        <v>8.3560409999999994</v>
      </c>
      <c r="AC4914">
        <v>2.4421100000000001E-2</v>
      </c>
      <c r="AD4914">
        <v>1.962553</v>
      </c>
      <c r="AE4914">
        <v>0.28498400000000002</v>
      </c>
      <c r="AF4914">
        <v>195.9111</v>
      </c>
      <c r="AG4914">
        <f>IFERROR(AH4914*0.1, "N/A")</f>
        <v>6.0241610000000003</v>
      </c>
      <c r="AH4914">
        <v>60.241610000000001</v>
      </c>
      <c r="AI4914">
        <v>178.06880000000001</v>
      </c>
      <c r="AJ4914">
        <v>29.838930000000001</v>
      </c>
      <c r="AK4914">
        <v>53.161070000000002</v>
      </c>
    </row>
    <row r="4915" spans="1:37" x14ac:dyDescent="0.3">
      <c r="A4915">
        <v>4914</v>
      </c>
      <c r="B4915">
        <v>32.700000000000003</v>
      </c>
      <c r="C4915">
        <v>9.2040000000000006</v>
      </c>
      <c r="D4915">
        <v>13.748900000000001</v>
      </c>
      <c r="E4915" t="s">
        <v>7849</v>
      </c>
      <c r="F4915" t="s">
        <v>7850</v>
      </c>
      <c r="G4915" t="s">
        <v>39</v>
      </c>
      <c r="H4915">
        <v>0</v>
      </c>
      <c r="I4915">
        <v>28.3</v>
      </c>
      <c r="J4915">
        <v>14.5</v>
      </c>
      <c r="K4915">
        <v>56</v>
      </c>
      <c r="L4915">
        <v>31.96</v>
      </c>
      <c r="M4915">
        <v>40.6</v>
      </c>
      <c r="N4915">
        <v>15</v>
      </c>
      <c r="O4915">
        <v>25.6</v>
      </c>
      <c r="P4915">
        <v>28</v>
      </c>
      <c r="Q4915">
        <v>24.3</v>
      </c>
      <c r="R4915">
        <v>32.4</v>
      </c>
      <c r="S4915">
        <v>23.9</v>
      </c>
      <c r="T4915">
        <v>346.96120000000002</v>
      </c>
      <c r="U4915">
        <v>137</v>
      </c>
      <c r="V4915">
        <v>0</v>
      </c>
      <c r="W4915">
        <v>155</v>
      </c>
      <c r="X4915">
        <v>295</v>
      </c>
      <c r="Y4915">
        <v>0</v>
      </c>
      <c r="Z4915">
        <v>47.961210000000001</v>
      </c>
      <c r="AA4915">
        <v>0</v>
      </c>
      <c r="AB4915">
        <v>3.8242889999999998</v>
      </c>
      <c r="AC4915">
        <v>9.0081120000000004E-3</v>
      </c>
      <c r="AD4915">
        <v>0.81531869999999995</v>
      </c>
      <c r="AE4915">
        <v>0.70708660000000001</v>
      </c>
      <c r="AF4915">
        <v>404.74029999999999</v>
      </c>
      <c r="AG4915">
        <f>IFERROR(AH4915*0.1, "N/A")</f>
        <v>6.8588530000000008</v>
      </c>
      <c r="AH4915">
        <v>68.588530000000006</v>
      </c>
      <c r="AI4915">
        <v>143.04050000000001</v>
      </c>
      <c r="AJ4915">
        <v>10.63744</v>
      </c>
      <c r="AK4915">
        <v>75.799329999999998</v>
      </c>
    </row>
    <row r="4916" spans="1:37" x14ac:dyDescent="0.3">
      <c r="A4916">
        <v>4915</v>
      </c>
      <c r="B4916">
        <v>25</v>
      </c>
      <c r="C4916">
        <v>7.9909999999999997</v>
      </c>
      <c r="D4916">
        <v>13.750999999999999</v>
      </c>
      <c r="E4916" t="s">
        <v>7851</v>
      </c>
      <c r="F4916" t="s">
        <v>7852</v>
      </c>
      <c r="G4916" t="s">
        <v>39</v>
      </c>
      <c r="H4916">
        <v>1987</v>
      </c>
      <c r="I4916">
        <v>27.6</v>
      </c>
      <c r="J4916">
        <v>14.582129999999999</v>
      </c>
      <c r="K4916">
        <v>56.821249999999999</v>
      </c>
      <c r="L4916">
        <v>30.487870000000001</v>
      </c>
      <c r="M4916">
        <v>39.700000000000003</v>
      </c>
      <c r="N4916">
        <v>14.2</v>
      </c>
      <c r="O4916">
        <v>25.5</v>
      </c>
      <c r="P4916">
        <v>27.3</v>
      </c>
      <c r="Q4916">
        <v>25.582129999999999</v>
      </c>
      <c r="R4916">
        <v>31.6</v>
      </c>
      <c r="S4916">
        <v>23.482119999999998</v>
      </c>
      <c r="T4916">
        <v>388.82119999999998</v>
      </c>
      <c r="U4916">
        <v>154</v>
      </c>
      <c r="V4916">
        <v>0</v>
      </c>
      <c r="W4916">
        <v>151.8212</v>
      </c>
      <c r="X4916">
        <v>326.82119999999998</v>
      </c>
      <c r="Y4916">
        <v>0</v>
      </c>
      <c r="Z4916">
        <v>56</v>
      </c>
      <c r="AA4916">
        <v>0</v>
      </c>
      <c r="AB4916">
        <v>0.14519589999999999</v>
      </c>
      <c r="AC4916">
        <v>1.1693229999999999</v>
      </c>
      <c r="AD4916">
        <v>0.93031010000000003</v>
      </c>
      <c r="AE4916">
        <v>0.83693949999999995</v>
      </c>
      <c r="AF4916">
        <v>401.38619999999997</v>
      </c>
      <c r="AG4916">
        <f>IFERROR(AH4916*0.1, "N/A")</f>
        <v>6.7372680000000003</v>
      </c>
      <c r="AH4916">
        <v>67.372680000000003</v>
      </c>
      <c r="AI4916">
        <v>97.288700000000006</v>
      </c>
      <c r="AJ4916">
        <v>25.870149999999999</v>
      </c>
      <c r="AK4916">
        <v>55.308599999999998</v>
      </c>
    </row>
    <row r="4917" spans="1:37" x14ac:dyDescent="0.3">
      <c r="A4917">
        <v>4916</v>
      </c>
      <c r="B4917">
        <v>38</v>
      </c>
      <c r="C4917">
        <v>8.84192</v>
      </c>
      <c r="D4917">
        <v>13.7517</v>
      </c>
      <c r="E4917" t="s">
        <v>7853</v>
      </c>
      <c r="F4917" t="s">
        <v>7854</v>
      </c>
      <c r="G4917" t="s">
        <v>39</v>
      </c>
      <c r="H4917">
        <v>0</v>
      </c>
      <c r="I4917">
        <v>27.90287</v>
      </c>
      <c r="J4917">
        <v>14.3</v>
      </c>
      <c r="K4917">
        <v>54.971330000000002</v>
      </c>
      <c r="L4917">
        <v>33.919139999999999</v>
      </c>
      <c r="M4917">
        <v>40.1</v>
      </c>
      <c r="N4917">
        <v>14.09713</v>
      </c>
      <c r="O4917">
        <v>26.002870000000001</v>
      </c>
      <c r="P4917">
        <v>28.202870000000001</v>
      </c>
      <c r="Q4917">
        <v>23.5</v>
      </c>
      <c r="R4917">
        <v>32.200000000000003</v>
      </c>
      <c r="S4917">
        <v>23.102869999999999</v>
      </c>
      <c r="T4917">
        <v>369.9427</v>
      </c>
      <c r="U4917">
        <v>151</v>
      </c>
      <c r="V4917">
        <v>0</v>
      </c>
      <c r="W4917">
        <v>156</v>
      </c>
      <c r="X4917">
        <v>315.9427</v>
      </c>
      <c r="Y4917">
        <v>0</v>
      </c>
      <c r="Z4917">
        <v>48</v>
      </c>
      <c r="AA4917">
        <v>0</v>
      </c>
      <c r="AB4917">
        <v>8.5698109999999996</v>
      </c>
      <c r="AC4917">
        <v>8.994007E-3</v>
      </c>
      <c r="AD4917">
        <v>1.6447160000000001</v>
      </c>
      <c r="AE4917">
        <v>0.70203729999999998</v>
      </c>
      <c r="AF4917">
        <v>444.02530000000002</v>
      </c>
      <c r="AG4917">
        <f>IFERROR(AH4917*0.1, "N/A")</f>
        <v>6.8000000000000007</v>
      </c>
      <c r="AH4917">
        <v>68</v>
      </c>
      <c r="AI4917">
        <v>269.29860000000002</v>
      </c>
      <c r="AJ4917">
        <v>13.02867</v>
      </c>
      <c r="AK4917">
        <v>72.480609999999999</v>
      </c>
    </row>
    <row r="4918" spans="1:37" x14ac:dyDescent="0.3">
      <c r="A4918">
        <v>4917</v>
      </c>
      <c r="B4918">
        <v>0</v>
      </c>
      <c r="C4918">
        <v>8.4823299999999993</v>
      </c>
      <c r="D4918">
        <v>13.752800000000001</v>
      </c>
      <c r="E4918" t="s">
        <v>7855</v>
      </c>
      <c r="F4918" t="s">
        <v>7856</v>
      </c>
      <c r="G4918" t="s">
        <v>39</v>
      </c>
      <c r="H4918">
        <v>0</v>
      </c>
      <c r="I4918">
        <v>27.6</v>
      </c>
      <c r="J4918">
        <v>14.5</v>
      </c>
      <c r="K4918">
        <v>56</v>
      </c>
      <c r="L4918">
        <v>32.28</v>
      </c>
      <c r="M4918">
        <v>39.6</v>
      </c>
      <c r="N4918">
        <v>13.9</v>
      </c>
      <c r="O4918">
        <v>25.7</v>
      </c>
      <c r="P4918">
        <v>27.7</v>
      </c>
      <c r="Q4918">
        <v>23.4</v>
      </c>
      <c r="R4918">
        <v>31.7</v>
      </c>
      <c r="S4918">
        <v>23</v>
      </c>
      <c r="T4918">
        <v>353</v>
      </c>
      <c r="U4918">
        <v>147</v>
      </c>
      <c r="V4918">
        <v>0</v>
      </c>
      <c r="W4918">
        <v>155</v>
      </c>
      <c r="X4918">
        <v>303</v>
      </c>
      <c r="Y4918">
        <v>0</v>
      </c>
      <c r="Z4918">
        <v>44</v>
      </c>
      <c r="AA4918">
        <v>0</v>
      </c>
      <c r="AB4918">
        <v>5.7025309999999996</v>
      </c>
      <c r="AC4918">
        <v>5.1739149999999998E-2</v>
      </c>
      <c r="AD4918">
        <v>0.85885469999999997</v>
      </c>
      <c r="AE4918">
        <v>0.62040740000000005</v>
      </c>
      <c r="AF4918">
        <v>460.38010000000003</v>
      </c>
      <c r="AG4918">
        <f>IFERROR(AH4918*0.1, "N/A")</f>
        <v>6.4802359999999997</v>
      </c>
      <c r="AH4918">
        <v>64.802359999999993</v>
      </c>
      <c r="AI4918">
        <v>187.9889</v>
      </c>
      <c r="AJ4918">
        <v>14.80236</v>
      </c>
      <c r="AK4918">
        <v>69.395269999999996</v>
      </c>
    </row>
    <row r="4919" spans="1:37" x14ac:dyDescent="0.3">
      <c r="A4919">
        <v>4918</v>
      </c>
      <c r="B4919">
        <v>52.2</v>
      </c>
      <c r="C4919">
        <v>1.7090000000000001</v>
      </c>
      <c r="D4919">
        <v>13.754</v>
      </c>
      <c r="E4919" t="s">
        <v>7857</v>
      </c>
      <c r="F4919" t="s">
        <v>7858</v>
      </c>
      <c r="G4919" t="s">
        <v>39</v>
      </c>
      <c r="H4919">
        <v>0</v>
      </c>
      <c r="I4919">
        <v>29.4</v>
      </c>
      <c r="J4919">
        <v>14.483470000000001</v>
      </c>
      <c r="K4919">
        <v>56.834739999999996</v>
      </c>
      <c r="L4919">
        <v>28.90653</v>
      </c>
      <c r="M4919">
        <v>41.3</v>
      </c>
      <c r="N4919">
        <v>15.9</v>
      </c>
      <c r="O4919">
        <v>25.4</v>
      </c>
      <c r="P4919">
        <v>28.8</v>
      </c>
      <c r="Q4919">
        <v>25.883469999999999</v>
      </c>
      <c r="R4919">
        <v>33.1</v>
      </c>
      <c r="S4919">
        <v>25.6</v>
      </c>
      <c r="T4919">
        <v>400</v>
      </c>
      <c r="U4919">
        <v>145</v>
      </c>
      <c r="V4919">
        <v>0</v>
      </c>
      <c r="W4919">
        <v>140</v>
      </c>
      <c r="X4919">
        <v>324</v>
      </c>
      <c r="Y4919">
        <v>0</v>
      </c>
      <c r="Z4919">
        <v>70</v>
      </c>
      <c r="AA4919">
        <v>0</v>
      </c>
      <c r="AB4919">
        <v>1.5333950000000001</v>
      </c>
      <c r="AC4919">
        <v>0.42015580000000002</v>
      </c>
      <c r="AD4919">
        <v>1.7875749999999999</v>
      </c>
      <c r="AE4919">
        <v>0.3384355</v>
      </c>
      <c r="AF4919">
        <v>197.02189999999999</v>
      </c>
      <c r="AG4919">
        <f>IFERROR(AH4919*0.1, "N/A")</f>
        <v>5.6669480000000005</v>
      </c>
      <c r="AH4919">
        <v>56.66948</v>
      </c>
      <c r="AI4919">
        <v>192.9588</v>
      </c>
      <c r="AJ4919">
        <v>16</v>
      </c>
      <c r="AK4919">
        <v>66.335579999999993</v>
      </c>
    </row>
    <row r="4920" spans="1:37" x14ac:dyDescent="0.3">
      <c r="A4920">
        <v>4919</v>
      </c>
      <c r="B4920">
        <v>2</v>
      </c>
      <c r="C4920">
        <v>9.1160700000000006</v>
      </c>
      <c r="D4920">
        <v>13.7554</v>
      </c>
      <c r="E4920" t="s">
        <v>7859</v>
      </c>
      <c r="F4920" t="s">
        <v>7860</v>
      </c>
      <c r="G4920" t="s">
        <v>39</v>
      </c>
      <c r="H4920">
        <v>0</v>
      </c>
      <c r="I4920">
        <v>28.2</v>
      </c>
      <c r="J4920">
        <v>14.4</v>
      </c>
      <c r="K4920">
        <v>56</v>
      </c>
      <c r="L4920">
        <v>32.299999999999997</v>
      </c>
      <c r="M4920">
        <v>40.299999999999997</v>
      </c>
      <c r="N4920">
        <v>14.8</v>
      </c>
      <c r="O4920">
        <v>25.5</v>
      </c>
      <c r="P4920">
        <v>28.1</v>
      </c>
      <c r="Q4920">
        <v>24.1</v>
      </c>
      <c r="R4920">
        <v>32.299999999999997</v>
      </c>
      <c r="S4920">
        <v>23.6</v>
      </c>
      <c r="T4920">
        <v>364</v>
      </c>
      <c r="U4920">
        <v>145</v>
      </c>
      <c r="V4920">
        <v>0</v>
      </c>
      <c r="W4920">
        <v>152</v>
      </c>
      <c r="X4920">
        <v>308</v>
      </c>
      <c r="Y4920">
        <v>0</v>
      </c>
      <c r="Z4920">
        <v>51</v>
      </c>
      <c r="AA4920">
        <v>0</v>
      </c>
      <c r="AB4920">
        <v>3.326276</v>
      </c>
      <c r="AC4920">
        <v>1.436194E-2</v>
      </c>
      <c r="AD4920">
        <v>1.928167</v>
      </c>
      <c r="AE4920">
        <v>0.70592489999999997</v>
      </c>
      <c r="AF4920">
        <v>435.14580000000001</v>
      </c>
      <c r="AG4920">
        <f>IFERROR(AH4920*0.1, "N/A")</f>
        <v>6.8000000000000007</v>
      </c>
      <c r="AH4920">
        <v>68</v>
      </c>
      <c r="AI4920">
        <v>177.60550000000001</v>
      </c>
      <c r="AJ4920">
        <v>12</v>
      </c>
      <c r="AK4920">
        <v>74.657629999999997</v>
      </c>
    </row>
    <row r="4921" spans="1:37" x14ac:dyDescent="0.3">
      <c r="A4921">
        <v>4920</v>
      </c>
      <c r="B4921">
        <v>74.3</v>
      </c>
      <c r="C4921">
        <v>1.6666700000000001</v>
      </c>
      <c r="D4921">
        <v>13.7583</v>
      </c>
      <c r="E4921" t="s">
        <v>7861</v>
      </c>
      <c r="F4921" t="s">
        <v>7862</v>
      </c>
      <c r="G4921" t="s">
        <v>39</v>
      </c>
      <c r="H4921">
        <v>0</v>
      </c>
      <c r="I4921">
        <v>29.475549999999998</v>
      </c>
      <c r="J4921">
        <v>14.4</v>
      </c>
      <c r="K4921">
        <v>56</v>
      </c>
      <c r="L4921">
        <v>29.028739999999999</v>
      </c>
      <c r="M4921">
        <v>41.375549999999997</v>
      </c>
      <c r="N4921">
        <v>15.998989999999999</v>
      </c>
      <c r="O4921">
        <v>25.376560000000001</v>
      </c>
      <c r="P4921">
        <v>28.8</v>
      </c>
      <c r="Q4921">
        <v>25.975549999999998</v>
      </c>
      <c r="R4921">
        <v>33.223439999999997</v>
      </c>
      <c r="S4921">
        <v>25.675550000000001</v>
      </c>
      <c r="T4921">
        <v>397.4907</v>
      </c>
      <c r="U4921">
        <v>143.7251</v>
      </c>
      <c r="V4921">
        <v>0</v>
      </c>
      <c r="W4921">
        <v>139.7251</v>
      </c>
      <c r="X4921">
        <v>322.7251</v>
      </c>
      <c r="Y4921">
        <v>0</v>
      </c>
      <c r="Z4921">
        <v>68.521079999999998</v>
      </c>
      <c r="AA4921">
        <v>0</v>
      </c>
      <c r="AB4921">
        <v>3.869815</v>
      </c>
      <c r="AC4921">
        <v>0.25168649999999998</v>
      </c>
      <c r="AD4921">
        <v>0.9575977</v>
      </c>
      <c r="AE4921">
        <v>0.2910875</v>
      </c>
      <c r="AF4921">
        <v>192.08090000000001</v>
      </c>
      <c r="AG4921">
        <f>IFERROR(AH4921*0.1, "N/A")</f>
        <v>6.6305230000000002</v>
      </c>
      <c r="AH4921">
        <v>66.305229999999995</v>
      </c>
      <c r="AI4921">
        <v>189.7276</v>
      </c>
      <c r="AJ4921">
        <v>29.645869999999999</v>
      </c>
      <c r="AK4921">
        <v>54.141649999999998</v>
      </c>
    </row>
    <row r="4922" spans="1:37" x14ac:dyDescent="0.3">
      <c r="A4922">
        <v>4921</v>
      </c>
      <c r="B4922">
        <v>42</v>
      </c>
      <c r="C4922">
        <v>9.4237699999999993</v>
      </c>
      <c r="D4922">
        <v>13.7605</v>
      </c>
      <c r="E4922" t="s">
        <v>7863</v>
      </c>
      <c r="F4922" t="s">
        <v>7864</v>
      </c>
      <c r="G4922" t="s">
        <v>39</v>
      </c>
      <c r="H4922">
        <v>0</v>
      </c>
      <c r="I4922">
        <v>27.7</v>
      </c>
      <c r="J4922">
        <v>14.8</v>
      </c>
      <c r="K4922">
        <v>57</v>
      </c>
      <c r="L4922">
        <v>32.24</v>
      </c>
      <c r="M4922">
        <v>40.1</v>
      </c>
      <c r="N4922">
        <v>14.2</v>
      </c>
      <c r="O4922">
        <v>25.9</v>
      </c>
      <c r="P4922">
        <v>27.5</v>
      </c>
      <c r="Q4922">
        <v>23.6</v>
      </c>
      <c r="R4922">
        <v>31.8</v>
      </c>
      <c r="S4922">
        <v>23.2</v>
      </c>
      <c r="T4922">
        <v>326</v>
      </c>
      <c r="U4922">
        <v>126</v>
      </c>
      <c r="V4922">
        <v>0</v>
      </c>
      <c r="W4922">
        <v>151</v>
      </c>
      <c r="X4922">
        <v>276</v>
      </c>
      <c r="Y4922">
        <v>0</v>
      </c>
      <c r="Z4922">
        <v>45</v>
      </c>
      <c r="AA4922">
        <v>0</v>
      </c>
      <c r="AB4922">
        <v>13.356629999999999</v>
      </c>
      <c r="AC4922">
        <v>0.16258590000000001</v>
      </c>
      <c r="AD4922">
        <v>0.94848840000000001</v>
      </c>
      <c r="AE4922">
        <v>0.71115680000000003</v>
      </c>
      <c r="AF4922">
        <v>465.43700000000001</v>
      </c>
      <c r="AG4922">
        <f>IFERROR(AH4922*0.1, "N/A")</f>
        <v>6.6860500000000007</v>
      </c>
      <c r="AH4922">
        <v>66.860500000000002</v>
      </c>
      <c r="AI4922">
        <v>182.4529</v>
      </c>
      <c r="AJ4922">
        <v>11.1395</v>
      </c>
      <c r="AK4922">
        <v>80.139499999999998</v>
      </c>
    </row>
    <row r="4923" spans="1:37" x14ac:dyDescent="0.3">
      <c r="A4923">
        <v>4922</v>
      </c>
      <c r="B4923">
        <v>35</v>
      </c>
      <c r="C4923">
        <v>1.62937</v>
      </c>
      <c r="D4923">
        <v>13.7628</v>
      </c>
      <c r="E4923" t="s">
        <v>7865</v>
      </c>
      <c r="F4923" t="s">
        <v>7866</v>
      </c>
      <c r="G4923" t="s">
        <v>39</v>
      </c>
      <c r="H4923">
        <v>0</v>
      </c>
      <c r="I4923">
        <v>29.4</v>
      </c>
      <c r="J4923">
        <v>14.4</v>
      </c>
      <c r="K4923">
        <v>56</v>
      </c>
      <c r="L4923">
        <v>29.07</v>
      </c>
      <c r="M4923">
        <v>41.3</v>
      </c>
      <c r="N4923">
        <v>15.9</v>
      </c>
      <c r="O4923">
        <v>25.4</v>
      </c>
      <c r="P4923">
        <v>28.8</v>
      </c>
      <c r="Q4923">
        <v>25.8</v>
      </c>
      <c r="R4923">
        <v>33.200000000000003</v>
      </c>
      <c r="S4923">
        <v>25.6</v>
      </c>
      <c r="T4923">
        <v>398</v>
      </c>
      <c r="U4923">
        <v>143</v>
      </c>
      <c r="V4923">
        <v>0</v>
      </c>
      <c r="W4923">
        <v>140</v>
      </c>
      <c r="X4923">
        <v>324</v>
      </c>
      <c r="Y4923">
        <v>0</v>
      </c>
      <c r="Z4923">
        <v>67</v>
      </c>
      <c r="AA4923">
        <v>0</v>
      </c>
      <c r="AB4923">
        <v>4.8184440000000004</v>
      </c>
      <c r="AC4923">
        <v>8.2129599999999997E-2</v>
      </c>
      <c r="AD4923">
        <v>1.5778509999999999</v>
      </c>
      <c r="AE4923">
        <v>0.6263919</v>
      </c>
      <c r="AF4923">
        <v>197.066</v>
      </c>
      <c r="AG4923">
        <f>IFERROR(AH4923*0.1, "N/A")</f>
        <v>6.4360410000000003</v>
      </c>
      <c r="AH4923">
        <v>64.360410000000002</v>
      </c>
      <c r="AI4923">
        <v>110.569</v>
      </c>
      <c r="AJ4923">
        <v>15.72081</v>
      </c>
      <c r="AK4923">
        <v>64.55838</v>
      </c>
    </row>
    <row r="4924" spans="1:37" x14ac:dyDescent="0.3">
      <c r="A4924">
        <v>4923</v>
      </c>
      <c r="B4924">
        <v>20</v>
      </c>
      <c r="C4924">
        <v>8.7969500000000007</v>
      </c>
      <c r="D4924">
        <v>13.772500000000001</v>
      </c>
      <c r="E4924" t="s">
        <v>7867</v>
      </c>
      <c r="F4924" t="s">
        <v>7868</v>
      </c>
      <c r="G4924" t="s">
        <v>39</v>
      </c>
      <c r="H4924">
        <v>0</v>
      </c>
      <c r="I4924">
        <v>27.9</v>
      </c>
      <c r="J4924">
        <v>14.3</v>
      </c>
      <c r="K4924">
        <v>55</v>
      </c>
      <c r="L4924">
        <v>33.76</v>
      </c>
      <c r="M4924">
        <v>40</v>
      </c>
      <c r="N4924">
        <v>14</v>
      </c>
      <c r="O4924">
        <v>26</v>
      </c>
      <c r="P4924">
        <v>28.2</v>
      </c>
      <c r="Q4924">
        <v>23.5</v>
      </c>
      <c r="R4924">
        <v>32.1</v>
      </c>
      <c r="S4924">
        <v>23.1</v>
      </c>
      <c r="T4924">
        <v>362</v>
      </c>
      <c r="U4924">
        <v>149</v>
      </c>
      <c r="V4924">
        <v>0</v>
      </c>
      <c r="W4924">
        <v>154</v>
      </c>
      <c r="X4924">
        <v>310</v>
      </c>
      <c r="Y4924">
        <v>0</v>
      </c>
      <c r="Z4924">
        <v>46</v>
      </c>
      <c r="AA4924">
        <v>0</v>
      </c>
      <c r="AB4924">
        <v>0.33243450000000002</v>
      </c>
      <c r="AC4924">
        <v>24.918869999999998</v>
      </c>
      <c r="AD4924">
        <v>1.2224930000000001</v>
      </c>
      <c r="AE4924">
        <v>0.56535829999999998</v>
      </c>
      <c r="AF4924">
        <v>446.363</v>
      </c>
      <c r="AG4924">
        <f>IFERROR(AH4924*0.1, "N/A")</f>
        <v>6.5147900000000014</v>
      </c>
      <c r="AH4924">
        <v>65.147900000000007</v>
      </c>
      <c r="AI4924">
        <v>187.72329999999999</v>
      </c>
      <c r="AJ4924">
        <v>16</v>
      </c>
      <c r="AK4924">
        <v>68.443700000000007</v>
      </c>
    </row>
    <row r="4925" spans="1:37" x14ac:dyDescent="0.3">
      <c r="A4925">
        <v>4924</v>
      </c>
      <c r="B4925">
        <v>90</v>
      </c>
      <c r="C4925">
        <v>1.4347700000000001</v>
      </c>
      <c r="D4925">
        <v>13.7775</v>
      </c>
      <c r="E4925" t="s">
        <v>7869</v>
      </c>
      <c r="F4925" t="s">
        <v>7870</v>
      </c>
      <c r="G4925" t="s">
        <v>39</v>
      </c>
      <c r="H4925">
        <v>0</v>
      </c>
      <c r="I4925">
        <v>29.1</v>
      </c>
      <c r="J4925">
        <v>14.4</v>
      </c>
      <c r="K4925">
        <v>57</v>
      </c>
      <c r="L4925">
        <v>28.81</v>
      </c>
      <c r="M4925">
        <v>40.9</v>
      </c>
      <c r="N4925">
        <v>15.8</v>
      </c>
      <c r="O4925">
        <v>25.1</v>
      </c>
      <c r="P4925">
        <v>28.5</v>
      </c>
      <c r="Q4925">
        <v>25.6</v>
      </c>
      <c r="R4925">
        <v>32.9</v>
      </c>
      <c r="S4925">
        <v>25.3</v>
      </c>
      <c r="T4925">
        <v>411</v>
      </c>
      <c r="U4925">
        <v>149</v>
      </c>
      <c r="V4925">
        <v>0</v>
      </c>
      <c r="W4925">
        <v>141</v>
      </c>
      <c r="X4925">
        <v>336</v>
      </c>
      <c r="Y4925">
        <v>0</v>
      </c>
      <c r="Z4925">
        <v>67</v>
      </c>
      <c r="AA4925">
        <v>0</v>
      </c>
      <c r="AB4925">
        <v>10.084350000000001</v>
      </c>
      <c r="AC4925">
        <v>4.4134600000000003E-2</v>
      </c>
      <c r="AD4925">
        <v>1.355888</v>
      </c>
      <c r="AE4925">
        <v>0.30673479999999997</v>
      </c>
      <c r="AF4925">
        <v>234.899</v>
      </c>
      <c r="AG4925">
        <f>IFERROR(AH4925*0.1, "N/A")</f>
        <v>5.5025250000000003</v>
      </c>
      <c r="AH4925">
        <v>55.02525</v>
      </c>
      <c r="AI4925">
        <v>251.91759999999999</v>
      </c>
      <c r="AJ4925">
        <v>12.008419999999999</v>
      </c>
      <c r="AK4925">
        <v>78.983159999999998</v>
      </c>
    </row>
    <row r="4926" spans="1:37" x14ac:dyDescent="0.3">
      <c r="A4926">
        <v>4925</v>
      </c>
      <c r="B4926">
        <v>43.3</v>
      </c>
      <c r="C4926">
        <v>5.2078699999999998</v>
      </c>
      <c r="D4926">
        <v>13.779199999999999</v>
      </c>
      <c r="E4926" t="s">
        <v>7871</v>
      </c>
      <c r="F4926" t="s">
        <v>7872</v>
      </c>
      <c r="G4926" t="s">
        <v>39</v>
      </c>
      <c r="H4926">
        <v>0</v>
      </c>
      <c r="I4926">
        <v>28.6922</v>
      </c>
      <c r="J4926">
        <v>14.292199999999999</v>
      </c>
      <c r="K4926">
        <v>58</v>
      </c>
      <c r="L4926">
        <v>27.744679999999999</v>
      </c>
      <c r="M4926">
        <v>40.084409999999998</v>
      </c>
      <c r="N4926">
        <v>15.68441</v>
      </c>
      <c r="O4926">
        <v>24.4</v>
      </c>
      <c r="P4926">
        <v>28.392199999999999</v>
      </c>
      <c r="Q4926">
        <v>26.884409999999999</v>
      </c>
      <c r="R4926">
        <v>32.384410000000003</v>
      </c>
      <c r="S4926">
        <v>25.084409999999998</v>
      </c>
      <c r="T4926">
        <v>481.23390000000001</v>
      </c>
      <c r="U4926">
        <v>161.078</v>
      </c>
      <c r="V4926">
        <v>0</v>
      </c>
      <c r="W4926">
        <v>133.078</v>
      </c>
      <c r="X4926">
        <v>372.15589999999997</v>
      </c>
      <c r="Y4926">
        <v>0</v>
      </c>
      <c r="Z4926">
        <v>100.078</v>
      </c>
      <c r="AA4926">
        <v>0</v>
      </c>
      <c r="AB4926">
        <v>7.9874679999999998</v>
      </c>
      <c r="AC4926">
        <v>2.5145049999999999E-2</v>
      </c>
      <c r="AD4926">
        <v>1.920639</v>
      </c>
      <c r="AE4926">
        <v>0.72373279999999995</v>
      </c>
      <c r="AF4926">
        <v>274.15249999999997</v>
      </c>
      <c r="AG4926">
        <f>IFERROR(AH4926*0.1, "N/A")</f>
        <v>5.9077970000000004</v>
      </c>
      <c r="AH4926">
        <v>59.077970000000001</v>
      </c>
      <c r="AI4926">
        <v>301.17450000000002</v>
      </c>
      <c r="AJ4926">
        <v>14.077970000000001</v>
      </c>
      <c r="AK4926">
        <v>74</v>
      </c>
    </row>
    <row r="4927" spans="1:37" x14ac:dyDescent="0.3">
      <c r="A4927">
        <v>4926</v>
      </c>
      <c r="B4927">
        <v>60.2</v>
      </c>
      <c r="C4927">
        <v>8.9278700000000004</v>
      </c>
      <c r="D4927">
        <v>13.7835</v>
      </c>
      <c r="E4927" t="s">
        <v>7873</v>
      </c>
      <c r="F4927" t="s">
        <v>7874</v>
      </c>
      <c r="G4927" t="s">
        <v>39</v>
      </c>
      <c r="H4927">
        <v>0</v>
      </c>
      <c r="I4927">
        <v>28</v>
      </c>
      <c r="J4927">
        <v>14.2</v>
      </c>
      <c r="K4927">
        <v>54</v>
      </c>
      <c r="L4927">
        <v>34.006219999999999</v>
      </c>
      <c r="M4927">
        <v>40.1</v>
      </c>
      <c r="N4927">
        <v>14.131030000000001</v>
      </c>
      <c r="O4927">
        <v>25.968969999999999</v>
      </c>
      <c r="P4927">
        <v>28.4</v>
      </c>
      <c r="Q4927">
        <v>23.5</v>
      </c>
      <c r="R4927">
        <v>32.200000000000003</v>
      </c>
      <c r="S4927">
        <v>23.131029999999999</v>
      </c>
      <c r="T4927">
        <v>374.31029999999998</v>
      </c>
      <c r="U4927">
        <v>154</v>
      </c>
      <c r="V4927">
        <v>0</v>
      </c>
      <c r="W4927">
        <v>154</v>
      </c>
      <c r="X4927">
        <v>320</v>
      </c>
      <c r="Y4927">
        <v>0</v>
      </c>
      <c r="Z4927">
        <v>49.310290000000002</v>
      </c>
      <c r="AA4927">
        <v>0</v>
      </c>
      <c r="AB4927">
        <v>7.173508</v>
      </c>
      <c r="AC4927">
        <v>9.1608790000000002E-3</v>
      </c>
      <c r="AD4927">
        <v>1.230324</v>
      </c>
      <c r="AE4927">
        <v>0.61968319999999999</v>
      </c>
      <c r="AF4927">
        <v>453.90559999999999</v>
      </c>
      <c r="AG4927">
        <f>IFERROR(AH4927*0.1, "N/A")</f>
        <v>6.877066000000001</v>
      </c>
      <c r="AH4927">
        <v>68.770660000000007</v>
      </c>
      <c r="AI4927">
        <v>119.1221</v>
      </c>
      <c r="AJ4927">
        <v>19.806069999999998</v>
      </c>
      <c r="AK4927">
        <v>62.229340000000001</v>
      </c>
    </row>
    <row r="4928" spans="1:37" x14ac:dyDescent="0.3">
      <c r="A4928">
        <v>4927</v>
      </c>
      <c r="B4928">
        <v>30</v>
      </c>
      <c r="C4928">
        <v>8.9668299999999999</v>
      </c>
      <c r="D4928">
        <v>13.7851</v>
      </c>
      <c r="E4928" t="s">
        <v>7875</v>
      </c>
      <c r="F4928" t="s">
        <v>7876</v>
      </c>
      <c r="G4928" t="s">
        <v>39</v>
      </c>
      <c r="H4928">
        <v>0</v>
      </c>
      <c r="I4928">
        <v>28</v>
      </c>
      <c r="J4928">
        <v>14.2</v>
      </c>
      <c r="K4928">
        <v>54</v>
      </c>
      <c r="L4928">
        <v>34.027819999999998</v>
      </c>
      <c r="M4928">
        <v>40.1</v>
      </c>
      <c r="N4928">
        <v>14.1</v>
      </c>
      <c r="O4928">
        <v>26</v>
      </c>
      <c r="P4928">
        <v>28.362179999999999</v>
      </c>
      <c r="Q4928">
        <v>23.5</v>
      </c>
      <c r="R4928">
        <v>32.200000000000003</v>
      </c>
      <c r="S4928">
        <v>23.162189999999999</v>
      </c>
      <c r="T4928">
        <v>378.75630000000001</v>
      </c>
      <c r="U4928">
        <v>155.37819999999999</v>
      </c>
      <c r="V4928">
        <v>0</v>
      </c>
      <c r="W4928">
        <v>155.37819999999999</v>
      </c>
      <c r="X4928">
        <v>323.37819999999999</v>
      </c>
      <c r="Y4928">
        <v>0</v>
      </c>
      <c r="Z4928">
        <v>50.378149999999998</v>
      </c>
      <c r="AA4928">
        <v>0</v>
      </c>
      <c r="AB4928">
        <v>2.8932730000000002</v>
      </c>
      <c r="AC4928">
        <v>2.6063840000000001E-2</v>
      </c>
      <c r="AD4928">
        <v>1.1240840000000001</v>
      </c>
      <c r="AE4928">
        <v>0.75425390000000003</v>
      </c>
      <c r="AF4928">
        <v>457.78660000000002</v>
      </c>
      <c r="AG4928">
        <f>IFERROR(AH4928*0.1, "N/A")</f>
        <v>7.2299160000000002</v>
      </c>
      <c r="AH4928">
        <v>72.299160000000001</v>
      </c>
      <c r="AI4928">
        <v>160.65180000000001</v>
      </c>
      <c r="AJ4928">
        <v>12.978149999999999</v>
      </c>
      <c r="AK4928">
        <v>69.383189999999999</v>
      </c>
    </row>
    <row r="4929" spans="1:37" x14ac:dyDescent="0.3">
      <c r="A4929">
        <v>4928</v>
      </c>
      <c r="B4929">
        <v>78</v>
      </c>
      <c r="C4929">
        <v>9.1861099999999993</v>
      </c>
      <c r="D4929">
        <v>13.7889</v>
      </c>
      <c r="E4929" t="s">
        <v>7877</v>
      </c>
      <c r="F4929" t="s">
        <v>7878</v>
      </c>
      <c r="G4929" t="s">
        <v>39</v>
      </c>
      <c r="H4929">
        <v>0</v>
      </c>
      <c r="I4929">
        <v>28.2</v>
      </c>
      <c r="J4929">
        <v>14.5</v>
      </c>
      <c r="K4929">
        <v>56</v>
      </c>
      <c r="L4929">
        <v>31.96</v>
      </c>
      <c r="M4929">
        <v>40.5</v>
      </c>
      <c r="N4929">
        <v>14.9</v>
      </c>
      <c r="O4929">
        <v>25.6</v>
      </c>
      <c r="P4929">
        <v>28</v>
      </c>
      <c r="Q4929">
        <v>24.2</v>
      </c>
      <c r="R4929">
        <v>32.4</v>
      </c>
      <c r="S4929">
        <v>23.8</v>
      </c>
      <c r="T4929">
        <v>345</v>
      </c>
      <c r="U4929">
        <v>137</v>
      </c>
      <c r="V4929">
        <v>0</v>
      </c>
      <c r="W4929">
        <v>155</v>
      </c>
      <c r="X4929">
        <v>293</v>
      </c>
      <c r="Y4929">
        <v>0</v>
      </c>
      <c r="Z4929">
        <v>48</v>
      </c>
      <c r="AA4929">
        <v>0</v>
      </c>
      <c r="AB4929">
        <v>10.32667</v>
      </c>
      <c r="AC4929">
        <v>2.0124530000000002E-2</v>
      </c>
      <c r="AD4929">
        <v>1.8516820000000001</v>
      </c>
      <c r="AE4929">
        <v>0.71342830000000002</v>
      </c>
      <c r="AF4929">
        <v>419.70299999999997</v>
      </c>
      <c r="AG4929">
        <f>IFERROR(AH4929*0.1, "N/A")</f>
        <v>6.9964770000000005</v>
      </c>
      <c r="AH4929">
        <v>69.964770000000001</v>
      </c>
      <c r="AI4929">
        <v>177.7079</v>
      </c>
      <c r="AJ4929">
        <v>9</v>
      </c>
      <c r="AK4929">
        <v>79.003360000000001</v>
      </c>
    </row>
    <row r="4930" spans="1:37" x14ac:dyDescent="0.3">
      <c r="A4930">
        <v>4929</v>
      </c>
      <c r="B4930">
        <v>75</v>
      </c>
      <c r="C4930">
        <v>5.1321199999999996</v>
      </c>
      <c r="D4930">
        <v>13.789199999999999</v>
      </c>
      <c r="E4930" t="s">
        <v>7879</v>
      </c>
      <c r="F4930" t="s">
        <v>7880</v>
      </c>
      <c r="G4930" t="s">
        <v>39</v>
      </c>
      <c r="H4930">
        <v>0</v>
      </c>
      <c r="I4930">
        <v>28.7</v>
      </c>
      <c r="J4930">
        <v>14.2</v>
      </c>
      <c r="K4930">
        <v>58</v>
      </c>
      <c r="L4930">
        <v>27.59</v>
      </c>
      <c r="M4930">
        <v>40.1</v>
      </c>
      <c r="N4930">
        <v>15.7</v>
      </c>
      <c r="O4930">
        <v>24.4</v>
      </c>
      <c r="P4930">
        <v>28.4</v>
      </c>
      <c r="Q4930">
        <v>26.9</v>
      </c>
      <c r="R4930">
        <v>32.4</v>
      </c>
      <c r="S4930">
        <v>25.1</v>
      </c>
      <c r="T4930">
        <v>472</v>
      </c>
      <c r="U4930">
        <v>158</v>
      </c>
      <c r="V4930">
        <v>0</v>
      </c>
      <c r="W4930">
        <v>134</v>
      </c>
      <c r="X4930">
        <v>366</v>
      </c>
      <c r="Y4930">
        <v>0</v>
      </c>
      <c r="Z4930">
        <v>97</v>
      </c>
      <c r="AA4930">
        <v>0</v>
      </c>
      <c r="AB4930">
        <v>2.2946010000000001</v>
      </c>
      <c r="AC4930">
        <v>2.6546219999999999E-2</v>
      </c>
      <c r="AD4930">
        <v>1.2192989999999999</v>
      </c>
      <c r="AE4930">
        <v>0.72470040000000002</v>
      </c>
      <c r="AF4930">
        <v>265.85469999999998</v>
      </c>
      <c r="AG4930">
        <f>IFERROR(AH4930*0.1, "N/A")</f>
        <v>6.2820950000000009</v>
      </c>
      <c r="AH4930">
        <v>62.820950000000003</v>
      </c>
      <c r="AI4930">
        <v>234.18950000000001</v>
      </c>
      <c r="AJ4930">
        <v>10.69257</v>
      </c>
      <c r="AK4930">
        <v>79.179050000000004</v>
      </c>
    </row>
    <row r="4931" spans="1:37" x14ac:dyDescent="0.3">
      <c r="A4931">
        <v>4930</v>
      </c>
      <c r="B4931">
        <v>0</v>
      </c>
      <c r="C4931">
        <v>8.4083799999999993</v>
      </c>
      <c r="D4931">
        <v>13.792899999999999</v>
      </c>
      <c r="E4931" t="s">
        <v>7881</v>
      </c>
      <c r="F4931" t="s">
        <v>7882</v>
      </c>
      <c r="G4931" t="s">
        <v>39</v>
      </c>
      <c r="H4931">
        <v>0</v>
      </c>
      <c r="I4931">
        <v>27.6</v>
      </c>
      <c r="J4931">
        <v>14.5</v>
      </c>
      <c r="K4931">
        <v>56</v>
      </c>
      <c r="L4931">
        <v>31.779039999999998</v>
      </c>
      <c r="M4931">
        <v>39.63655</v>
      </c>
      <c r="N4931">
        <v>13.93655</v>
      </c>
      <c r="O4931">
        <v>25.7</v>
      </c>
      <c r="P4931">
        <v>27.7</v>
      </c>
      <c r="Q4931">
        <v>23.536549999999998</v>
      </c>
      <c r="R4931">
        <v>31.7</v>
      </c>
      <c r="S4931">
        <v>23.13655</v>
      </c>
      <c r="T4931">
        <v>350</v>
      </c>
      <c r="U4931">
        <v>145</v>
      </c>
      <c r="V4931">
        <v>0</v>
      </c>
      <c r="W4931">
        <v>155</v>
      </c>
      <c r="X4931">
        <v>301</v>
      </c>
      <c r="Y4931">
        <v>0</v>
      </c>
      <c r="Z4931">
        <v>44</v>
      </c>
      <c r="AA4931">
        <v>0</v>
      </c>
      <c r="AB4931">
        <v>1.3076209999999999</v>
      </c>
      <c r="AC4931">
        <v>1.148239E-2</v>
      </c>
      <c r="AD4931">
        <v>1.067653</v>
      </c>
      <c r="AE4931">
        <v>0.70907370000000003</v>
      </c>
      <c r="AF4931">
        <v>446.19459999999998</v>
      </c>
      <c r="AG4931">
        <f>IFERROR(AH4931*0.1, "N/A")</f>
        <v>7.3365480000000005</v>
      </c>
      <c r="AH4931">
        <v>73.365480000000005</v>
      </c>
      <c r="AI4931">
        <v>43.394379999999998</v>
      </c>
      <c r="AJ4931">
        <v>11.26904</v>
      </c>
      <c r="AK4931">
        <v>75.715739999999997</v>
      </c>
    </row>
    <row r="4932" spans="1:37" x14ac:dyDescent="0.3">
      <c r="A4932">
        <v>4931</v>
      </c>
      <c r="B4932">
        <v>5</v>
      </c>
      <c r="C4932">
        <v>3.0142699999999998</v>
      </c>
      <c r="D4932">
        <v>13.794499999999999</v>
      </c>
      <c r="E4932" t="s">
        <v>7883</v>
      </c>
      <c r="F4932" t="s">
        <v>7884</v>
      </c>
      <c r="G4932" t="s">
        <v>39</v>
      </c>
      <c r="H4932">
        <v>0</v>
      </c>
      <c r="I4932">
        <v>29.2</v>
      </c>
      <c r="J4932">
        <v>14</v>
      </c>
      <c r="K4932">
        <v>57</v>
      </c>
      <c r="L4932">
        <v>27.96</v>
      </c>
      <c r="M4932">
        <v>40.9</v>
      </c>
      <c r="N4932">
        <v>16.5</v>
      </c>
      <c r="O4932">
        <v>24.4</v>
      </c>
      <c r="P4932">
        <v>28.5</v>
      </c>
      <c r="Q4932">
        <v>25.9</v>
      </c>
      <c r="R4932">
        <v>32.9</v>
      </c>
      <c r="S4932">
        <v>25.5</v>
      </c>
      <c r="T4932">
        <v>397</v>
      </c>
      <c r="U4932">
        <v>140</v>
      </c>
      <c r="V4932">
        <v>0</v>
      </c>
      <c r="W4932">
        <v>137</v>
      </c>
      <c r="X4932">
        <v>315</v>
      </c>
      <c r="Y4932">
        <v>0</v>
      </c>
      <c r="Z4932">
        <v>77</v>
      </c>
      <c r="AA4932">
        <v>0</v>
      </c>
      <c r="AB4932">
        <v>0.92407620000000001</v>
      </c>
      <c r="AC4932">
        <v>0.88178809999999996</v>
      </c>
      <c r="AD4932">
        <v>2.119656</v>
      </c>
      <c r="AE4932">
        <v>0.63582459999999996</v>
      </c>
      <c r="AF4932">
        <v>205.1027</v>
      </c>
      <c r="AG4932">
        <f>IFERROR(AH4932*0.1, "N/A")</f>
        <v>6.3727270000000003</v>
      </c>
      <c r="AH4932">
        <v>63.727269999999997</v>
      </c>
      <c r="AI4932">
        <v>170.86600000000001</v>
      </c>
      <c r="AJ4932">
        <v>7</v>
      </c>
      <c r="AK4932">
        <v>83.136359999999996</v>
      </c>
    </row>
    <row r="4933" spans="1:37" x14ac:dyDescent="0.3">
      <c r="A4933">
        <v>4932</v>
      </c>
      <c r="B4933">
        <v>15</v>
      </c>
      <c r="C4933">
        <v>5.1000300000000003</v>
      </c>
      <c r="D4933">
        <v>13.7965</v>
      </c>
      <c r="E4933" t="s">
        <v>7885</v>
      </c>
      <c r="F4933" t="s">
        <v>7886</v>
      </c>
      <c r="G4933" t="s">
        <v>39</v>
      </c>
      <c r="H4933">
        <v>0</v>
      </c>
      <c r="I4933">
        <v>28.8</v>
      </c>
      <c r="J4933">
        <v>14.2</v>
      </c>
      <c r="K4933">
        <v>57</v>
      </c>
      <c r="L4933">
        <v>28.177820000000001</v>
      </c>
      <c r="M4933">
        <v>40.299999999999997</v>
      </c>
      <c r="N4933">
        <v>15.7</v>
      </c>
      <c r="O4933">
        <v>24.6</v>
      </c>
      <c r="P4933">
        <v>28.4</v>
      </c>
      <c r="Q4933">
        <v>26.9</v>
      </c>
      <c r="R4933">
        <v>32.5</v>
      </c>
      <c r="S4933">
        <v>25.1</v>
      </c>
      <c r="T4933">
        <v>468</v>
      </c>
      <c r="U4933">
        <v>157</v>
      </c>
      <c r="V4933">
        <v>0</v>
      </c>
      <c r="W4933">
        <v>133</v>
      </c>
      <c r="X4933">
        <v>363</v>
      </c>
      <c r="Y4933">
        <v>0</v>
      </c>
      <c r="Z4933">
        <v>96</v>
      </c>
      <c r="AA4933">
        <v>0</v>
      </c>
      <c r="AB4933">
        <v>3.0803609999999999</v>
      </c>
      <c r="AC4933">
        <v>1.5670320000000001E-2</v>
      </c>
      <c r="AD4933">
        <v>1.0374289999999999</v>
      </c>
      <c r="AE4933">
        <v>0.72483470000000005</v>
      </c>
      <c r="AF4933">
        <v>263.30290000000002</v>
      </c>
      <c r="AG4933">
        <f>IFERROR(AH4933*0.1, "N/A")</f>
        <v>6.4067679999999996</v>
      </c>
      <c r="AH4933">
        <v>64.067679999999996</v>
      </c>
      <c r="AI4933">
        <v>242.624</v>
      </c>
      <c r="AJ4933">
        <v>21.546530000000001</v>
      </c>
      <c r="AK4933">
        <v>62.453470000000003</v>
      </c>
    </row>
    <row r="4934" spans="1:37" x14ac:dyDescent="0.3">
      <c r="A4934">
        <v>4933</v>
      </c>
      <c r="B4934">
        <v>0</v>
      </c>
      <c r="C4934">
        <v>1.5820000000000001</v>
      </c>
      <c r="D4934">
        <v>13.8</v>
      </c>
      <c r="E4934" t="s">
        <v>7887</v>
      </c>
      <c r="F4934" t="s">
        <v>7888</v>
      </c>
      <c r="G4934" t="s">
        <v>37</v>
      </c>
      <c r="H4934">
        <v>1987</v>
      </c>
      <c r="I4934">
        <v>29.358149999999998</v>
      </c>
      <c r="J4934">
        <v>14.4</v>
      </c>
      <c r="K4934">
        <v>56.581510000000002</v>
      </c>
      <c r="L4934">
        <v>29.110710000000001</v>
      </c>
      <c r="M4934">
        <v>41.2</v>
      </c>
      <c r="N4934">
        <v>15.95815</v>
      </c>
      <c r="O4934">
        <v>25.241849999999999</v>
      </c>
      <c r="P4934">
        <v>28.758150000000001</v>
      </c>
      <c r="Q4934">
        <v>25.858149999999998</v>
      </c>
      <c r="R4934">
        <v>33.158149999999999</v>
      </c>
      <c r="S4934">
        <v>25.5</v>
      </c>
      <c r="T4934">
        <v>392.25549999999998</v>
      </c>
      <c r="U4934">
        <v>141.41849999999999</v>
      </c>
      <c r="V4934">
        <v>0</v>
      </c>
      <c r="W4934">
        <v>142.41849999999999</v>
      </c>
      <c r="X4934">
        <v>321.83699999999999</v>
      </c>
      <c r="Y4934">
        <v>0</v>
      </c>
      <c r="Z4934">
        <v>63.418489999999998</v>
      </c>
      <c r="AA4934">
        <v>0</v>
      </c>
      <c r="AB4934">
        <v>13.82269</v>
      </c>
      <c r="AC4934">
        <v>1.1404869999999999E-2</v>
      </c>
      <c r="AD4934">
        <v>1.457705</v>
      </c>
      <c r="AE4934">
        <v>0.69447740000000002</v>
      </c>
      <c r="AF4934">
        <v>208.2672</v>
      </c>
      <c r="AG4934">
        <f>IFERROR(AH4934*0.1, "N/A")</f>
        <v>5.9006720000000001</v>
      </c>
      <c r="AH4934">
        <v>59.006720000000001</v>
      </c>
      <c r="AI4934">
        <v>90.572789999999998</v>
      </c>
      <c r="AJ4934">
        <v>9</v>
      </c>
      <c r="AK4934">
        <v>81.006720000000001</v>
      </c>
    </row>
    <row r="4935" spans="1:37" x14ac:dyDescent="0.3">
      <c r="A4935">
        <v>4934</v>
      </c>
      <c r="B4935">
        <v>1.7</v>
      </c>
      <c r="C4935">
        <v>5.25</v>
      </c>
      <c r="D4935">
        <v>13.8</v>
      </c>
      <c r="E4935" t="s">
        <v>7889</v>
      </c>
      <c r="F4935" t="s">
        <v>7890</v>
      </c>
      <c r="G4935" t="s">
        <v>39</v>
      </c>
      <c r="H4935">
        <v>0</v>
      </c>
      <c r="I4935">
        <v>28.7</v>
      </c>
      <c r="J4935">
        <v>14.21686</v>
      </c>
      <c r="K4935">
        <v>57.284990000000001</v>
      </c>
      <c r="L4935">
        <v>27.788250000000001</v>
      </c>
      <c r="M4935">
        <v>40.0715</v>
      </c>
      <c r="N4935">
        <v>15.6</v>
      </c>
      <c r="O4935">
        <v>24.471499999999999</v>
      </c>
      <c r="P4935">
        <v>28.4</v>
      </c>
      <c r="Q4935">
        <v>26.811640000000001</v>
      </c>
      <c r="R4935">
        <v>32.299999999999997</v>
      </c>
      <c r="S4935">
        <v>25</v>
      </c>
      <c r="T4935">
        <v>480.08600000000001</v>
      </c>
      <c r="U4935">
        <v>161.13319999999999</v>
      </c>
      <c r="V4935">
        <v>0</v>
      </c>
      <c r="W4935">
        <v>134.57669999999999</v>
      </c>
      <c r="X4935">
        <v>371.5514</v>
      </c>
      <c r="Y4935">
        <v>0</v>
      </c>
      <c r="Z4935">
        <v>99.534570000000002</v>
      </c>
      <c r="AA4935">
        <v>0</v>
      </c>
      <c r="AB4935">
        <v>2.1468950000000002</v>
      </c>
      <c r="AC4935">
        <v>0.1452608</v>
      </c>
      <c r="AD4935">
        <v>2.336363</v>
      </c>
      <c r="AE4935">
        <v>0.91065339999999995</v>
      </c>
      <c r="AF4935">
        <v>272.19060000000002</v>
      </c>
      <c r="AG4935">
        <f>IFERROR(AH4935*0.1, "N/A")</f>
        <v>6.8020240000000003</v>
      </c>
      <c r="AH4935">
        <v>68.020240000000001</v>
      </c>
      <c r="AI4935">
        <v>199.46299999999999</v>
      </c>
      <c r="AJ4935">
        <v>26.291740000000001</v>
      </c>
      <c r="AK4935">
        <v>55.979759999999999</v>
      </c>
    </row>
    <row r="4936" spans="1:37" x14ac:dyDescent="0.3">
      <c r="A4936">
        <v>4935</v>
      </c>
      <c r="B4936">
        <v>56</v>
      </c>
      <c r="C4936">
        <v>1.5902799999999999</v>
      </c>
      <c r="D4936">
        <v>13.8</v>
      </c>
      <c r="E4936" t="s">
        <v>7891</v>
      </c>
      <c r="F4936" t="s">
        <v>7892</v>
      </c>
      <c r="G4936" t="s">
        <v>39</v>
      </c>
      <c r="H4936">
        <v>0</v>
      </c>
      <c r="I4936">
        <v>29.416360000000001</v>
      </c>
      <c r="J4936">
        <v>14.4</v>
      </c>
      <c r="K4936">
        <v>56.581789999999998</v>
      </c>
      <c r="L4936">
        <v>28.802379999999999</v>
      </c>
      <c r="M4936">
        <v>41.258180000000003</v>
      </c>
      <c r="N4936">
        <v>16.016359999999999</v>
      </c>
      <c r="O4936">
        <v>25.241820000000001</v>
      </c>
      <c r="P4936">
        <v>28.81636</v>
      </c>
      <c r="Q4936">
        <v>25.916360000000001</v>
      </c>
      <c r="R4936">
        <v>33.158180000000002</v>
      </c>
      <c r="S4936">
        <v>25.61636</v>
      </c>
      <c r="T4936">
        <v>391.6728</v>
      </c>
      <c r="U4936">
        <v>141.41820000000001</v>
      </c>
      <c r="V4936">
        <v>0</v>
      </c>
      <c r="W4936">
        <v>142.41820000000001</v>
      </c>
      <c r="X4936">
        <v>321.25459999999998</v>
      </c>
      <c r="Y4936">
        <v>0</v>
      </c>
      <c r="Z4936">
        <v>63.418210000000002</v>
      </c>
      <c r="AA4936">
        <v>0</v>
      </c>
      <c r="AB4936">
        <v>8.8244500000000006</v>
      </c>
      <c r="AC4936">
        <v>1.250197</v>
      </c>
      <c r="AD4936">
        <v>1.8999790000000001</v>
      </c>
      <c r="AE4936">
        <v>0.65254060000000003</v>
      </c>
      <c r="AF4936">
        <v>203.0455</v>
      </c>
      <c r="AG4936">
        <f>IFERROR(AH4936*0.1, "N/A")</f>
        <v>6.6979760000000006</v>
      </c>
      <c r="AH4936">
        <v>66.979759999999999</v>
      </c>
      <c r="AI4936">
        <v>106.78660000000001</v>
      </c>
      <c r="AJ4936">
        <v>14.02698</v>
      </c>
      <c r="AK4936">
        <v>71.993250000000003</v>
      </c>
    </row>
    <row r="4937" spans="1:37" x14ac:dyDescent="0.3">
      <c r="A4937">
        <v>4936</v>
      </c>
      <c r="B4937">
        <v>66.7</v>
      </c>
      <c r="C4937">
        <v>1.3567</v>
      </c>
      <c r="D4937">
        <v>13.8</v>
      </c>
      <c r="E4937" t="s">
        <v>7893</v>
      </c>
      <c r="F4937" t="s">
        <v>7894</v>
      </c>
      <c r="G4937" t="s">
        <v>39</v>
      </c>
      <c r="H4937">
        <v>0</v>
      </c>
      <c r="I4937">
        <v>29.3</v>
      </c>
      <c r="J4937">
        <v>14.4</v>
      </c>
      <c r="K4937">
        <v>57</v>
      </c>
      <c r="L4937">
        <v>28.54035</v>
      </c>
      <c r="M4937">
        <v>41.05818</v>
      </c>
      <c r="N4937">
        <v>16</v>
      </c>
      <c r="O4937">
        <v>25.05818</v>
      </c>
      <c r="P4937">
        <v>28.758179999999999</v>
      </c>
      <c r="Q4937">
        <v>27.4</v>
      </c>
      <c r="R4937">
        <v>33</v>
      </c>
      <c r="S4937">
        <v>25.5</v>
      </c>
      <c r="T4937">
        <v>408.83640000000003</v>
      </c>
      <c r="U4937">
        <v>151</v>
      </c>
      <c r="V4937">
        <v>0</v>
      </c>
      <c r="W4937">
        <v>143</v>
      </c>
      <c r="X4937">
        <v>336.83640000000003</v>
      </c>
      <c r="Y4937">
        <v>0</v>
      </c>
      <c r="Z4937">
        <v>65</v>
      </c>
      <c r="AA4937">
        <v>0</v>
      </c>
      <c r="AB4937">
        <v>7.9515929999999999</v>
      </c>
      <c r="AC4937">
        <v>1.600946E-2</v>
      </c>
      <c r="AD4937">
        <v>0.99424659999999998</v>
      </c>
      <c r="AE4937">
        <v>0.64489510000000005</v>
      </c>
      <c r="AF4937">
        <v>211.8331</v>
      </c>
      <c r="AG4937">
        <f>IFERROR(AH4937*0.1, "N/A")</f>
        <v>6.0284990000000001</v>
      </c>
      <c r="AH4937">
        <v>60.284990000000001</v>
      </c>
      <c r="AI4937">
        <v>129.10839999999999</v>
      </c>
      <c r="AJ4937">
        <v>13.708259999999999</v>
      </c>
      <c r="AK4937">
        <v>71.576729999999998</v>
      </c>
    </row>
    <row r="4938" spans="1:37" x14ac:dyDescent="0.3">
      <c r="A4938">
        <v>4937</v>
      </c>
      <c r="B4938">
        <v>1.7</v>
      </c>
      <c r="C4938">
        <v>5.2214</v>
      </c>
      <c r="D4938">
        <v>13.802199999999999</v>
      </c>
      <c r="E4938" t="s">
        <v>7895</v>
      </c>
      <c r="F4938" t="s">
        <v>7896</v>
      </c>
      <c r="G4938" t="s">
        <v>39</v>
      </c>
      <c r="H4938">
        <v>0</v>
      </c>
      <c r="I4938">
        <v>28.7</v>
      </c>
      <c r="J4938">
        <v>14.3</v>
      </c>
      <c r="K4938">
        <v>58</v>
      </c>
      <c r="L4938">
        <v>27.72</v>
      </c>
      <c r="M4938">
        <v>40</v>
      </c>
      <c r="N4938">
        <v>15.6</v>
      </c>
      <c r="O4938">
        <v>24.4</v>
      </c>
      <c r="P4938">
        <v>28.4</v>
      </c>
      <c r="Q4938">
        <v>26.8</v>
      </c>
      <c r="R4938">
        <v>32.299999999999997</v>
      </c>
      <c r="S4938">
        <v>25</v>
      </c>
      <c r="T4938">
        <v>476</v>
      </c>
      <c r="U4938">
        <v>159</v>
      </c>
      <c r="V4938">
        <v>0</v>
      </c>
      <c r="W4938">
        <v>135</v>
      </c>
      <c r="X4938">
        <v>368</v>
      </c>
      <c r="Y4938">
        <v>0</v>
      </c>
      <c r="Z4938">
        <v>99</v>
      </c>
      <c r="AA4938">
        <v>0</v>
      </c>
      <c r="AB4938">
        <v>6.4123390000000002</v>
      </c>
      <c r="AC4938">
        <v>1.5853929999999999E-2</v>
      </c>
      <c r="AD4938">
        <v>0.49997039999999998</v>
      </c>
      <c r="AE4938">
        <v>0.77265410000000001</v>
      </c>
      <c r="AF4938">
        <v>275.625</v>
      </c>
      <c r="AG4938">
        <f>IFERROR(AH4938*0.1, "N/A")</f>
        <v>6</v>
      </c>
      <c r="AH4938">
        <v>60</v>
      </c>
      <c r="AI4938">
        <v>68.392489999999995</v>
      </c>
      <c r="AJ4938">
        <v>13.8277</v>
      </c>
      <c r="AK4938">
        <v>74.861490000000003</v>
      </c>
    </row>
    <row r="4939" spans="1:37" x14ac:dyDescent="0.3">
      <c r="A4939">
        <v>4938</v>
      </c>
      <c r="B4939">
        <v>74</v>
      </c>
      <c r="C4939">
        <v>8.9833300000000005</v>
      </c>
      <c r="D4939">
        <v>13.808299999999999</v>
      </c>
      <c r="E4939" t="s">
        <v>7897</v>
      </c>
      <c r="F4939" t="s">
        <v>7898</v>
      </c>
      <c r="G4939" t="s">
        <v>39</v>
      </c>
      <c r="H4939">
        <v>0</v>
      </c>
      <c r="I4939">
        <v>28.049579999999999</v>
      </c>
      <c r="J4939">
        <v>14.2</v>
      </c>
      <c r="K4939">
        <v>54.25714</v>
      </c>
      <c r="L4939">
        <v>33.615929999999999</v>
      </c>
      <c r="M4939">
        <v>40.14958</v>
      </c>
      <c r="N4939">
        <v>14.267060000000001</v>
      </c>
      <c r="O4939">
        <v>25.88252</v>
      </c>
      <c r="P4939">
        <v>28.391760000000001</v>
      </c>
      <c r="Q4939">
        <v>23.575289999999999</v>
      </c>
      <c r="R4939">
        <v>32.200000000000003</v>
      </c>
      <c r="S4939">
        <v>23.275289999999998</v>
      </c>
      <c r="T4939">
        <v>377.3193</v>
      </c>
      <c r="U4939">
        <v>154.9076</v>
      </c>
      <c r="V4939">
        <v>0</v>
      </c>
      <c r="W4939">
        <v>154.9076</v>
      </c>
      <c r="X4939">
        <v>321.3193</v>
      </c>
      <c r="Y4939">
        <v>0</v>
      </c>
      <c r="Z4939">
        <v>51</v>
      </c>
      <c r="AA4939">
        <v>0</v>
      </c>
      <c r="AB4939">
        <v>10.38706</v>
      </c>
      <c r="AC4939">
        <v>1.106946E-2</v>
      </c>
      <c r="AD4939">
        <v>1.7559039999999999</v>
      </c>
      <c r="AE4939">
        <v>0.94343909999999997</v>
      </c>
      <c r="AF4939">
        <v>461.34789999999998</v>
      </c>
      <c r="AG4939">
        <f>IFERROR(AH4939*0.1, "N/A")</f>
        <v>6.8678990000000004</v>
      </c>
      <c r="AH4939">
        <v>68.678989999999999</v>
      </c>
      <c r="AI4939">
        <v>283.30919999999998</v>
      </c>
      <c r="AJ4939">
        <v>24.339500000000001</v>
      </c>
      <c r="AK4939">
        <v>57</v>
      </c>
    </row>
    <row r="4940" spans="1:37" x14ac:dyDescent="0.3">
      <c r="A4940">
        <v>4939</v>
      </c>
      <c r="B4940">
        <v>4</v>
      </c>
      <c r="C4940">
        <v>1.3933</v>
      </c>
      <c r="D4940">
        <v>13.815200000000001</v>
      </c>
      <c r="E4940" t="s">
        <v>7899</v>
      </c>
      <c r="F4940" t="s">
        <v>7900</v>
      </c>
      <c r="G4940" t="s">
        <v>39</v>
      </c>
      <c r="H4940">
        <v>1987</v>
      </c>
      <c r="I4940">
        <v>29.3</v>
      </c>
      <c r="J4940">
        <v>14.3</v>
      </c>
      <c r="K4940">
        <v>57</v>
      </c>
      <c r="L4940">
        <v>28.3</v>
      </c>
      <c r="M4940">
        <v>40.9</v>
      </c>
      <c r="N4940">
        <v>16</v>
      </c>
      <c r="O4940">
        <v>24.9</v>
      </c>
      <c r="P4940">
        <v>28.7</v>
      </c>
      <c r="Q4940">
        <v>27.4</v>
      </c>
      <c r="R4940">
        <v>32.9</v>
      </c>
      <c r="S4940">
        <v>25.5</v>
      </c>
      <c r="T4940">
        <v>406</v>
      </c>
      <c r="U4940">
        <v>150</v>
      </c>
      <c r="V4940">
        <v>0</v>
      </c>
      <c r="W4940">
        <v>146</v>
      </c>
      <c r="X4940">
        <v>335</v>
      </c>
      <c r="Y4940">
        <v>0</v>
      </c>
      <c r="Z4940">
        <v>64</v>
      </c>
      <c r="AA4940">
        <v>0</v>
      </c>
      <c r="AB4940">
        <v>10.3032</v>
      </c>
      <c r="AC4940">
        <v>2.3084360000000002E-2</v>
      </c>
      <c r="AD4940">
        <v>2.1516410000000001</v>
      </c>
      <c r="AE4940">
        <v>0.64108350000000003</v>
      </c>
      <c r="AF4940">
        <v>212.97980000000001</v>
      </c>
      <c r="AG4940">
        <f>IFERROR(AH4940*0.1, "N/A")</f>
        <v>6.3444440000000002</v>
      </c>
      <c r="AH4940">
        <v>63.44444</v>
      </c>
      <c r="AI4940">
        <v>296.32010000000002</v>
      </c>
      <c r="AJ4940">
        <v>7.4814809999999996</v>
      </c>
      <c r="AK4940">
        <v>79.037040000000005</v>
      </c>
    </row>
    <row r="4941" spans="1:37" x14ac:dyDescent="0.3">
      <c r="A4941">
        <v>4940</v>
      </c>
      <c r="B4941">
        <v>0</v>
      </c>
      <c r="C4941">
        <v>1.3933</v>
      </c>
      <c r="D4941">
        <v>13.815200000000001</v>
      </c>
      <c r="E4941" t="s">
        <v>7899</v>
      </c>
      <c r="F4941" t="s">
        <v>7901</v>
      </c>
      <c r="G4941" t="s">
        <v>37</v>
      </c>
      <c r="H4941">
        <v>1987</v>
      </c>
      <c r="I4941">
        <v>29.3</v>
      </c>
      <c r="J4941">
        <v>14.3</v>
      </c>
      <c r="K4941">
        <v>57</v>
      </c>
      <c r="L4941">
        <v>28.3</v>
      </c>
      <c r="M4941">
        <v>40.9</v>
      </c>
      <c r="N4941">
        <v>16</v>
      </c>
      <c r="O4941">
        <v>24.9</v>
      </c>
      <c r="P4941">
        <v>28.7</v>
      </c>
      <c r="Q4941">
        <v>27.4</v>
      </c>
      <c r="R4941">
        <v>32.9</v>
      </c>
      <c r="S4941">
        <v>25.5</v>
      </c>
      <c r="T4941">
        <v>406</v>
      </c>
      <c r="U4941">
        <v>150</v>
      </c>
      <c r="V4941">
        <v>0</v>
      </c>
      <c r="W4941">
        <v>146</v>
      </c>
      <c r="X4941">
        <v>335</v>
      </c>
      <c r="Y4941">
        <v>0</v>
      </c>
      <c r="Z4941">
        <v>64</v>
      </c>
      <c r="AA4941">
        <v>0</v>
      </c>
      <c r="AB4941">
        <v>10.3032</v>
      </c>
      <c r="AC4941">
        <v>2.3084360000000002E-2</v>
      </c>
      <c r="AD4941">
        <v>2.1516410000000001</v>
      </c>
      <c r="AE4941">
        <v>0.64108350000000003</v>
      </c>
      <c r="AF4941">
        <v>212.97980000000001</v>
      </c>
      <c r="AG4941">
        <f>IFERROR(AH4941*0.1, "N/A")</f>
        <v>6.3444440000000002</v>
      </c>
      <c r="AH4941">
        <v>63.44444</v>
      </c>
      <c r="AI4941">
        <v>296.32010000000002</v>
      </c>
      <c r="AJ4941">
        <v>7.4814809999999996</v>
      </c>
      <c r="AK4941">
        <v>79.037040000000005</v>
      </c>
    </row>
    <row r="4942" spans="1:37" x14ac:dyDescent="0.3">
      <c r="A4942">
        <v>4941</v>
      </c>
      <c r="B4942">
        <v>100</v>
      </c>
      <c r="C4942">
        <v>9.4340499999999992</v>
      </c>
      <c r="D4942">
        <v>13.821400000000001</v>
      </c>
      <c r="E4942" t="s">
        <v>7902</v>
      </c>
      <c r="F4942" t="s">
        <v>7903</v>
      </c>
      <c r="G4942" t="s">
        <v>39</v>
      </c>
      <c r="H4942">
        <v>0</v>
      </c>
      <c r="I4942">
        <v>27.002700000000001</v>
      </c>
      <c r="J4942">
        <v>14.799659999999999</v>
      </c>
      <c r="K4942">
        <v>56.99662</v>
      </c>
      <c r="L4942">
        <v>31.940439999999999</v>
      </c>
      <c r="M4942">
        <v>39.402369999999998</v>
      </c>
      <c r="N4942">
        <v>13.602370000000001</v>
      </c>
      <c r="O4942">
        <v>25.8</v>
      </c>
      <c r="P4942">
        <v>26.90203</v>
      </c>
      <c r="Q4942">
        <v>23.002359999999999</v>
      </c>
      <c r="R4942">
        <v>31.102699999999999</v>
      </c>
      <c r="S4942">
        <v>22.602370000000001</v>
      </c>
      <c r="T4942">
        <v>323.96620000000001</v>
      </c>
      <c r="U4942">
        <v>125.98990000000001</v>
      </c>
      <c r="V4942">
        <v>0</v>
      </c>
      <c r="W4942">
        <v>151.0034</v>
      </c>
      <c r="X4942">
        <v>275.97300000000001</v>
      </c>
      <c r="Y4942">
        <v>0</v>
      </c>
      <c r="Z4942">
        <v>42.99662</v>
      </c>
      <c r="AA4942">
        <v>0</v>
      </c>
      <c r="AB4942">
        <v>54.707430000000002</v>
      </c>
      <c r="AC4942">
        <v>1.2878540000000001E-2</v>
      </c>
      <c r="AD4942">
        <v>6.1335730000000002</v>
      </c>
      <c r="AE4942">
        <v>0.68908510000000001</v>
      </c>
      <c r="AF4942">
        <v>497.78379999999999</v>
      </c>
      <c r="AG4942">
        <f>IFERROR(AH4942*0.1, "N/A")</f>
        <v>6.7013509999999998</v>
      </c>
      <c r="AH4942">
        <v>67.013509999999997</v>
      </c>
      <c r="AI4942">
        <v>248.8587</v>
      </c>
      <c r="AJ4942">
        <v>14</v>
      </c>
      <c r="AK4942">
        <v>73.003380000000007</v>
      </c>
    </row>
    <row r="4943" spans="1:37" x14ac:dyDescent="0.3">
      <c r="A4943">
        <v>4942</v>
      </c>
      <c r="B4943">
        <v>70</v>
      </c>
      <c r="C4943">
        <v>1.58056</v>
      </c>
      <c r="D4943">
        <v>13.8222</v>
      </c>
      <c r="E4943" t="s">
        <v>7904</v>
      </c>
      <c r="F4943" t="s">
        <v>7905</v>
      </c>
      <c r="G4943" t="s">
        <v>39</v>
      </c>
      <c r="H4943">
        <v>0</v>
      </c>
      <c r="I4943">
        <v>29.4</v>
      </c>
      <c r="J4943">
        <v>14.3</v>
      </c>
      <c r="K4943">
        <v>56</v>
      </c>
      <c r="L4943">
        <v>29.14</v>
      </c>
      <c r="M4943">
        <v>41.3</v>
      </c>
      <c r="N4943">
        <v>16</v>
      </c>
      <c r="O4943">
        <v>25.3</v>
      </c>
      <c r="P4943">
        <v>28.8</v>
      </c>
      <c r="Q4943">
        <v>25.8</v>
      </c>
      <c r="R4943">
        <v>33.200000000000003</v>
      </c>
      <c r="S4943">
        <v>25.6</v>
      </c>
      <c r="T4943">
        <v>388</v>
      </c>
      <c r="U4943">
        <v>140</v>
      </c>
      <c r="V4943">
        <v>0</v>
      </c>
      <c r="W4943">
        <v>141</v>
      </c>
      <c r="X4943">
        <v>319</v>
      </c>
      <c r="Y4943">
        <v>0</v>
      </c>
      <c r="Z4943">
        <v>62</v>
      </c>
      <c r="AA4943">
        <v>0</v>
      </c>
      <c r="AB4943">
        <v>2.9456060000000002</v>
      </c>
      <c r="AC4943">
        <v>3.7920089999999997E-2</v>
      </c>
      <c r="AD4943">
        <v>1.788222</v>
      </c>
      <c r="AE4943">
        <v>0.59833420000000004</v>
      </c>
      <c r="AF4943">
        <v>196.96279999999999</v>
      </c>
      <c r="AG4943">
        <f>IFERROR(AH4943*0.1, "N/A")</f>
        <v>6.5902029999999998</v>
      </c>
      <c r="AH4943">
        <v>65.902029999999996</v>
      </c>
      <c r="AI4943">
        <v>115.31659999999999</v>
      </c>
      <c r="AJ4943">
        <v>17.04054</v>
      </c>
      <c r="AK4943">
        <v>65.251689999999996</v>
      </c>
    </row>
    <row r="4944" spans="1:37" x14ac:dyDescent="0.3">
      <c r="A4944">
        <v>4943</v>
      </c>
      <c r="B4944">
        <v>98</v>
      </c>
      <c r="C4944">
        <v>9.109</v>
      </c>
      <c r="D4944">
        <v>13.8338</v>
      </c>
      <c r="E4944" t="s">
        <v>7906</v>
      </c>
      <c r="F4944" t="s">
        <v>7907</v>
      </c>
      <c r="G4944" t="s">
        <v>39</v>
      </c>
      <c r="H4944">
        <v>0</v>
      </c>
      <c r="I4944">
        <v>28.3</v>
      </c>
      <c r="J4944">
        <v>14.4</v>
      </c>
      <c r="K4944">
        <v>56</v>
      </c>
      <c r="L4944">
        <v>32.348889999999997</v>
      </c>
      <c r="M4944">
        <v>40.4</v>
      </c>
      <c r="N4944">
        <v>14.803710000000001</v>
      </c>
      <c r="O4944">
        <v>25.59629</v>
      </c>
      <c r="P4944">
        <v>28.2</v>
      </c>
      <c r="Q4944">
        <v>24.1</v>
      </c>
      <c r="R4944">
        <v>32.4</v>
      </c>
      <c r="S4944">
        <v>23.703710000000001</v>
      </c>
      <c r="T4944">
        <v>345.07420000000002</v>
      </c>
      <c r="U4944">
        <v>140</v>
      </c>
      <c r="V4944">
        <v>0</v>
      </c>
      <c r="W4944">
        <v>156</v>
      </c>
      <c r="X4944">
        <v>294.07420000000002</v>
      </c>
      <c r="Y4944">
        <v>0</v>
      </c>
      <c r="Z4944">
        <v>47</v>
      </c>
      <c r="AA4944">
        <v>0</v>
      </c>
      <c r="AB4944">
        <v>2.113991</v>
      </c>
      <c r="AC4944">
        <v>1.106357E-2</v>
      </c>
      <c r="AD4944">
        <v>1.3986780000000001</v>
      </c>
      <c r="AE4944">
        <v>0.60748179999999996</v>
      </c>
      <c r="AF4944">
        <v>419.86849999999998</v>
      </c>
      <c r="AG4944">
        <f>IFERROR(AH4944*0.1, "N/A")</f>
        <v>6.9</v>
      </c>
      <c r="AH4944">
        <v>69</v>
      </c>
      <c r="AI4944">
        <v>216.00229999999999</v>
      </c>
      <c r="AJ4944">
        <v>18</v>
      </c>
      <c r="AK4944">
        <v>69</v>
      </c>
    </row>
    <row r="4945" spans="1:37" x14ac:dyDescent="0.3">
      <c r="A4945">
        <v>4944</v>
      </c>
      <c r="B4945">
        <v>0</v>
      </c>
      <c r="C4945">
        <v>9.5749999999999993</v>
      </c>
      <c r="D4945">
        <v>13.8361</v>
      </c>
      <c r="E4945" t="s">
        <v>7908</v>
      </c>
      <c r="F4945" t="s">
        <v>7909</v>
      </c>
      <c r="G4945" t="s">
        <v>39</v>
      </c>
      <c r="H4945">
        <v>0</v>
      </c>
      <c r="I4945">
        <v>27.6</v>
      </c>
      <c r="J4945">
        <v>14.86115</v>
      </c>
      <c r="K4945">
        <v>57</v>
      </c>
      <c r="L4945">
        <v>31.39115</v>
      </c>
      <c r="M4945">
        <v>40</v>
      </c>
      <c r="N4945">
        <v>14.13885</v>
      </c>
      <c r="O4945">
        <v>25.861149999999999</v>
      </c>
      <c r="P4945">
        <v>27.4</v>
      </c>
      <c r="Q4945">
        <v>25.3</v>
      </c>
      <c r="R4945">
        <v>31.7</v>
      </c>
      <c r="S4945">
        <v>23.3</v>
      </c>
      <c r="T4945">
        <v>306.61149999999998</v>
      </c>
      <c r="U4945">
        <v>120</v>
      </c>
      <c r="V4945">
        <v>0</v>
      </c>
      <c r="W4945">
        <v>155</v>
      </c>
      <c r="X4945">
        <v>262.61149999999998</v>
      </c>
      <c r="Y4945">
        <v>0</v>
      </c>
      <c r="Z4945">
        <v>41</v>
      </c>
      <c r="AA4945">
        <v>0</v>
      </c>
      <c r="AB4945">
        <v>4.3898619999999999</v>
      </c>
      <c r="AC4945">
        <v>0.13358719999999999</v>
      </c>
      <c r="AD4945">
        <v>3.1035949999999999</v>
      </c>
      <c r="AE4945">
        <v>0.70888709999999999</v>
      </c>
      <c r="AF4945">
        <v>425.96620000000001</v>
      </c>
      <c r="AG4945">
        <f>IFERROR(AH4945*0.1, "N/A")</f>
        <v>6.8672300000000011</v>
      </c>
      <c r="AH4945">
        <v>68.672300000000007</v>
      </c>
      <c r="AI4945">
        <v>68.094849999999994</v>
      </c>
      <c r="AJ4945">
        <v>7.2229729999999996</v>
      </c>
      <c r="AK4945">
        <v>86.836150000000004</v>
      </c>
    </row>
    <row r="4946" spans="1:37" x14ac:dyDescent="0.3">
      <c r="A4946">
        <v>4945</v>
      </c>
      <c r="B4946">
        <v>81.7</v>
      </c>
      <c r="C4946">
        <v>4.7618200000000002</v>
      </c>
      <c r="D4946">
        <v>13.837899999999999</v>
      </c>
      <c r="E4946" t="s">
        <v>7910</v>
      </c>
      <c r="F4946" t="s">
        <v>7911</v>
      </c>
      <c r="G4946" t="s">
        <v>39</v>
      </c>
      <c r="H4946">
        <v>0</v>
      </c>
      <c r="I4946">
        <v>28.8</v>
      </c>
      <c r="J4946">
        <v>14.1</v>
      </c>
      <c r="K4946">
        <v>57</v>
      </c>
      <c r="L4946">
        <v>28.44</v>
      </c>
      <c r="M4946">
        <v>40.5</v>
      </c>
      <c r="N4946">
        <v>15.9</v>
      </c>
      <c r="O4946">
        <v>24.6</v>
      </c>
      <c r="P4946">
        <v>28.5</v>
      </c>
      <c r="Q4946">
        <v>26.9</v>
      </c>
      <c r="R4946">
        <v>32.6</v>
      </c>
      <c r="S4946">
        <v>25</v>
      </c>
      <c r="T4946">
        <v>448</v>
      </c>
      <c r="U4946">
        <v>152</v>
      </c>
      <c r="V4946">
        <v>0</v>
      </c>
      <c r="W4946">
        <v>135</v>
      </c>
      <c r="X4946">
        <v>350</v>
      </c>
      <c r="Y4946">
        <v>0</v>
      </c>
      <c r="Z4946">
        <v>90</v>
      </c>
      <c r="AA4946">
        <v>0</v>
      </c>
      <c r="AB4946">
        <v>2.6226020000000001</v>
      </c>
      <c r="AC4946">
        <v>2.148245E-2</v>
      </c>
      <c r="AD4946">
        <v>0.91317630000000005</v>
      </c>
      <c r="AE4946">
        <v>0.5166499</v>
      </c>
      <c r="AF4946">
        <v>267.6644</v>
      </c>
      <c r="AG4946">
        <f>IFERROR(AH4946*0.1, "N/A")</f>
        <v>5.8000000000000007</v>
      </c>
      <c r="AH4946">
        <v>58</v>
      </c>
      <c r="AI4946">
        <v>163.5934</v>
      </c>
      <c r="AJ4946">
        <v>12.797639999999999</v>
      </c>
      <c r="AK4946">
        <v>76.202359999999999</v>
      </c>
    </row>
    <row r="4947" spans="1:37" x14ac:dyDescent="0.3">
      <c r="A4947">
        <v>4946</v>
      </c>
      <c r="B4947">
        <v>0</v>
      </c>
      <c r="C4947">
        <v>5.2970300000000003</v>
      </c>
      <c r="D4947">
        <v>13.8385</v>
      </c>
      <c r="E4947" t="s">
        <v>7912</v>
      </c>
      <c r="F4947" t="s">
        <v>7913</v>
      </c>
      <c r="G4947" t="s">
        <v>39</v>
      </c>
      <c r="H4947">
        <v>0</v>
      </c>
      <c r="I4947">
        <v>28.7</v>
      </c>
      <c r="J4947">
        <v>14.3</v>
      </c>
      <c r="K4947">
        <v>58</v>
      </c>
      <c r="L4947">
        <v>27.66</v>
      </c>
      <c r="M4947">
        <v>40</v>
      </c>
      <c r="N4947">
        <v>15.6</v>
      </c>
      <c r="O4947">
        <v>24.4</v>
      </c>
      <c r="P4947">
        <v>28.4</v>
      </c>
      <c r="Q4947">
        <v>26.8</v>
      </c>
      <c r="R4947">
        <v>32.299999999999997</v>
      </c>
      <c r="S4947">
        <v>25</v>
      </c>
      <c r="T4947">
        <v>470</v>
      </c>
      <c r="U4947">
        <v>156</v>
      </c>
      <c r="V4947">
        <v>0</v>
      </c>
      <c r="W4947">
        <v>134</v>
      </c>
      <c r="X4947">
        <v>365</v>
      </c>
      <c r="Y4947">
        <v>0</v>
      </c>
      <c r="Z4947">
        <v>97</v>
      </c>
      <c r="AA4947">
        <v>0</v>
      </c>
      <c r="AB4947">
        <v>8.9043840000000003</v>
      </c>
      <c r="AC4947">
        <v>1.158149E-2</v>
      </c>
      <c r="AD4947">
        <v>1.96347</v>
      </c>
      <c r="AE4947">
        <v>0.68218319999999999</v>
      </c>
      <c r="AF4947">
        <v>280.42660000000001</v>
      </c>
      <c r="AG4947">
        <f>IFERROR(AH4947*0.1, "N/A")</f>
        <v>6.8000000000000007</v>
      </c>
      <c r="AH4947">
        <v>68</v>
      </c>
      <c r="AI4947">
        <v>198.3569</v>
      </c>
      <c r="AJ4947">
        <v>22.0489</v>
      </c>
      <c r="AK4947">
        <v>59.426639999999999</v>
      </c>
    </row>
    <row r="4948" spans="1:37" x14ac:dyDescent="0.3">
      <c r="A4948">
        <v>4947</v>
      </c>
      <c r="B4948">
        <v>28.3</v>
      </c>
      <c r="C4948">
        <v>1.35002</v>
      </c>
      <c r="D4948">
        <v>13.841799999999999</v>
      </c>
      <c r="E4948" t="s">
        <v>7914</v>
      </c>
      <c r="F4948" t="s">
        <v>7915</v>
      </c>
      <c r="G4948" t="s">
        <v>39</v>
      </c>
      <c r="H4948">
        <v>0</v>
      </c>
      <c r="I4948">
        <v>29.3</v>
      </c>
      <c r="J4948">
        <v>14.30622</v>
      </c>
      <c r="K4948">
        <v>57.062179999999998</v>
      </c>
      <c r="L4948">
        <v>28.185970000000001</v>
      </c>
      <c r="M4948">
        <v>40.900840000000002</v>
      </c>
      <c r="N4948">
        <v>16.007059999999999</v>
      </c>
      <c r="O4948">
        <v>24.89378</v>
      </c>
      <c r="P4948">
        <v>28.7</v>
      </c>
      <c r="Q4948">
        <v>27.4</v>
      </c>
      <c r="R4948">
        <v>32.962519999999998</v>
      </c>
      <c r="S4948">
        <v>25.507059999999999</v>
      </c>
      <c r="T4948">
        <v>403.07060000000001</v>
      </c>
      <c r="U4948">
        <v>152</v>
      </c>
      <c r="V4948">
        <v>0</v>
      </c>
      <c r="W4948">
        <v>147</v>
      </c>
      <c r="X4948">
        <v>335</v>
      </c>
      <c r="Y4948">
        <v>0</v>
      </c>
      <c r="Z4948">
        <v>61.070590000000003</v>
      </c>
      <c r="AA4948">
        <v>0</v>
      </c>
      <c r="AB4948">
        <v>1.605885</v>
      </c>
      <c r="AC4948">
        <v>3900.4969999999998</v>
      </c>
      <c r="AD4948">
        <v>1.618911</v>
      </c>
      <c r="AE4948">
        <v>0.65911759999999997</v>
      </c>
      <c r="AF4948">
        <v>214.57310000000001</v>
      </c>
      <c r="AG4948">
        <f>IFERROR(AH4948*0.1, "N/A")</f>
        <v>6.2258820000000004</v>
      </c>
      <c r="AH4948">
        <v>62.25882</v>
      </c>
      <c r="AI4948">
        <v>167.27799999999999</v>
      </c>
      <c r="AJ4948">
        <v>18.563030000000001</v>
      </c>
      <c r="AK4948">
        <v>69.599999999999994</v>
      </c>
    </row>
    <row r="4949" spans="1:37" x14ac:dyDescent="0.3">
      <c r="A4949">
        <v>4948</v>
      </c>
      <c r="B4949">
        <v>6.7</v>
      </c>
      <c r="C4949">
        <v>5.2377500000000001</v>
      </c>
      <c r="D4949">
        <v>13.8422</v>
      </c>
      <c r="E4949" t="s">
        <v>7916</v>
      </c>
      <c r="F4949" t="s">
        <v>7917</v>
      </c>
      <c r="G4949" t="s">
        <v>39</v>
      </c>
      <c r="H4949">
        <v>0</v>
      </c>
      <c r="I4949">
        <v>28.7</v>
      </c>
      <c r="J4949">
        <v>14.3</v>
      </c>
      <c r="K4949">
        <v>58</v>
      </c>
      <c r="L4949">
        <v>27.78</v>
      </c>
      <c r="M4949">
        <v>40</v>
      </c>
      <c r="N4949">
        <v>15.6</v>
      </c>
      <c r="O4949">
        <v>24.4</v>
      </c>
      <c r="P4949">
        <v>28.3</v>
      </c>
      <c r="Q4949">
        <v>26.8</v>
      </c>
      <c r="R4949">
        <v>32.299999999999997</v>
      </c>
      <c r="S4949">
        <v>25</v>
      </c>
      <c r="T4949">
        <v>463</v>
      </c>
      <c r="U4949">
        <v>153</v>
      </c>
      <c r="V4949">
        <v>0</v>
      </c>
      <c r="W4949">
        <v>135</v>
      </c>
      <c r="X4949">
        <v>359</v>
      </c>
      <c r="Y4949">
        <v>0</v>
      </c>
      <c r="Z4949">
        <v>96</v>
      </c>
      <c r="AA4949">
        <v>0</v>
      </c>
      <c r="AB4949">
        <v>5.450088</v>
      </c>
      <c r="AC4949">
        <v>3.9589409999999998E-2</v>
      </c>
      <c r="AD4949">
        <v>1.5703510000000001</v>
      </c>
      <c r="AE4949">
        <v>0.76846800000000004</v>
      </c>
      <c r="AF4949">
        <v>274.91230000000002</v>
      </c>
      <c r="AG4949">
        <f>IFERROR(AH4949*0.1, "N/A")</f>
        <v>6.7996629999999998</v>
      </c>
      <c r="AH4949">
        <v>67.996629999999996</v>
      </c>
      <c r="AI4949">
        <v>286.7824</v>
      </c>
      <c r="AJ4949">
        <v>20.924109999999999</v>
      </c>
      <c r="AK4949">
        <v>63.99494</v>
      </c>
    </row>
    <row r="4950" spans="1:37" x14ac:dyDescent="0.3">
      <c r="A4950">
        <v>4949</v>
      </c>
      <c r="B4950">
        <v>88.3</v>
      </c>
      <c r="C4950">
        <v>1.6088800000000001</v>
      </c>
      <c r="D4950">
        <v>13.844099999999999</v>
      </c>
      <c r="E4950" t="s">
        <v>7918</v>
      </c>
      <c r="F4950" t="s">
        <v>7919</v>
      </c>
      <c r="G4950" t="s">
        <v>39</v>
      </c>
      <c r="H4950">
        <v>0</v>
      </c>
      <c r="I4950">
        <v>29.4</v>
      </c>
      <c r="J4950">
        <v>14.4</v>
      </c>
      <c r="K4950">
        <v>57</v>
      </c>
      <c r="L4950">
        <v>29.14</v>
      </c>
      <c r="M4950">
        <v>41.3</v>
      </c>
      <c r="N4950">
        <v>16.100000000000001</v>
      </c>
      <c r="O4950">
        <v>25.2</v>
      </c>
      <c r="P4950">
        <v>28.9</v>
      </c>
      <c r="Q4950">
        <v>25.9</v>
      </c>
      <c r="R4950">
        <v>33.200000000000003</v>
      </c>
      <c r="S4950">
        <v>25.6</v>
      </c>
      <c r="T4950">
        <v>378</v>
      </c>
      <c r="U4950">
        <v>138</v>
      </c>
      <c r="V4950">
        <v>0</v>
      </c>
      <c r="W4950">
        <v>143</v>
      </c>
      <c r="X4950">
        <v>313</v>
      </c>
      <c r="Y4950">
        <v>0</v>
      </c>
      <c r="Z4950">
        <v>58</v>
      </c>
      <c r="AA4950">
        <v>0</v>
      </c>
      <c r="AB4950">
        <v>2.466726</v>
      </c>
      <c r="AC4950">
        <v>9.6661910000000004E-2</v>
      </c>
      <c r="AD4950">
        <v>1.5899319999999999</v>
      </c>
      <c r="AE4950">
        <v>0.52631099999999997</v>
      </c>
      <c r="AF4950">
        <v>194.98650000000001</v>
      </c>
      <c r="AG4950">
        <f>IFERROR(AH4950*0.1, "N/A")</f>
        <v>6.3971280000000004</v>
      </c>
      <c r="AH4950">
        <v>63.97128</v>
      </c>
      <c r="AI4950">
        <v>174.578</v>
      </c>
      <c r="AJ4950">
        <v>19.94257</v>
      </c>
      <c r="AK4950">
        <v>64.114859999999993</v>
      </c>
    </row>
    <row r="4951" spans="1:37" x14ac:dyDescent="0.3">
      <c r="A4951">
        <v>4950</v>
      </c>
      <c r="B4951">
        <v>48.5</v>
      </c>
      <c r="C4951">
        <v>9.5044699999999995</v>
      </c>
      <c r="D4951">
        <v>13.8454</v>
      </c>
      <c r="E4951" t="s">
        <v>7920</v>
      </c>
      <c r="F4951" t="s">
        <v>7921</v>
      </c>
      <c r="G4951" t="s">
        <v>39</v>
      </c>
      <c r="H4951">
        <v>0</v>
      </c>
      <c r="I4951">
        <v>27.6</v>
      </c>
      <c r="J4951">
        <v>14.8</v>
      </c>
      <c r="K4951">
        <v>57</v>
      </c>
      <c r="L4951">
        <v>31.73</v>
      </c>
      <c r="M4951">
        <v>40</v>
      </c>
      <c r="N4951">
        <v>14.2</v>
      </c>
      <c r="O4951">
        <v>25.8</v>
      </c>
      <c r="P4951">
        <v>27.5</v>
      </c>
      <c r="Q4951">
        <v>25.3</v>
      </c>
      <c r="R4951">
        <v>31.8</v>
      </c>
      <c r="S4951">
        <v>23.2</v>
      </c>
      <c r="T4951">
        <v>307</v>
      </c>
      <c r="U4951">
        <v>121</v>
      </c>
      <c r="V4951">
        <v>0</v>
      </c>
      <c r="W4951">
        <v>156</v>
      </c>
      <c r="X4951">
        <v>263</v>
      </c>
      <c r="Y4951">
        <v>0</v>
      </c>
      <c r="Z4951">
        <v>41</v>
      </c>
      <c r="AA4951">
        <v>0</v>
      </c>
      <c r="AB4951">
        <v>16.585850000000001</v>
      </c>
      <c r="AC4951">
        <v>9.2425389999999993E-3</v>
      </c>
      <c r="AD4951">
        <v>1.317307</v>
      </c>
      <c r="AE4951">
        <v>0.70601400000000003</v>
      </c>
      <c r="AF4951">
        <v>449.6678</v>
      </c>
      <c r="AG4951">
        <f>IFERROR(AH4951*0.1, "N/A")</f>
        <v>6.8153459999999999</v>
      </c>
      <c r="AH4951">
        <v>68.153459999999995</v>
      </c>
      <c r="AI4951">
        <v>212.87180000000001</v>
      </c>
      <c r="AJ4951">
        <v>6.7116360000000004</v>
      </c>
      <c r="AK4951">
        <v>86.465429999999998</v>
      </c>
    </row>
    <row r="4952" spans="1:37" x14ac:dyDescent="0.3">
      <c r="A4952">
        <v>4951</v>
      </c>
      <c r="B4952">
        <v>40</v>
      </c>
      <c r="C4952">
        <v>1.57264</v>
      </c>
      <c r="D4952">
        <v>13.846299999999999</v>
      </c>
      <c r="E4952" t="s">
        <v>7922</v>
      </c>
      <c r="F4952" t="s">
        <v>7923</v>
      </c>
      <c r="G4952" t="s">
        <v>39</v>
      </c>
      <c r="H4952">
        <v>0</v>
      </c>
      <c r="I4952">
        <v>29.5</v>
      </c>
      <c r="J4952">
        <v>14.4</v>
      </c>
      <c r="K4952">
        <v>57</v>
      </c>
      <c r="L4952">
        <v>28.8</v>
      </c>
      <c r="M4952">
        <v>41.3</v>
      </c>
      <c r="N4952">
        <v>16.100000000000001</v>
      </c>
      <c r="O4952">
        <v>25.2</v>
      </c>
      <c r="P4952">
        <v>28.9</v>
      </c>
      <c r="Q4952">
        <v>25.9</v>
      </c>
      <c r="R4952">
        <v>33.200000000000003</v>
      </c>
      <c r="S4952">
        <v>25.7</v>
      </c>
      <c r="T4952">
        <v>386</v>
      </c>
      <c r="U4952">
        <v>139</v>
      </c>
      <c r="V4952">
        <v>0</v>
      </c>
      <c r="W4952">
        <v>141</v>
      </c>
      <c r="X4952">
        <v>318</v>
      </c>
      <c r="Y4952">
        <v>0</v>
      </c>
      <c r="Z4952">
        <v>61</v>
      </c>
      <c r="AA4952">
        <v>0</v>
      </c>
      <c r="AB4952">
        <v>4.4500010000000003</v>
      </c>
      <c r="AC4952">
        <v>1.108632E-2</v>
      </c>
      <c r="AD4952">
        <v>1.1748799999999999</v>
      </c>
      <c r="AE4952">
        <v>0.53670229999999997</v>
      </c>
      <c r="AF4952">
        <v>197.28960000000001</v>
      </c>
      <c r="AG4952">
        <f>IFERROR(AH4952*0.1, "N/A")</f>
        <v>6.8257580000000004</v>
      </c>
      <c r="AH4952">
        <v>68.257580000000004</v>
      </c>
      <c r="AI4952">
        <v>161.57990000000001</v>
      </c>
      <c r="AJ4952">
        <v>17.545449999999999</v>
      </c>
      <c r="AK4952">
        <v>67.712119999999999</v>
      </c>
    </row>
    <row r="4953" spans="1:37" x14ac:dyDescent="0.3">
      <c r="A4953">
        <v>4952</v>
      </c>
      <c r="B4953">
        <v>0</v>
      </c>
      <c r="C4953">
        <v>1</v>
      </c>
      <c r="D4953">
        <v>13.848000000000001</v>
      </c>
      <c r="E4953" t="s">
        <v>7924</v>
      </c>
      <c r="F4953" t="s">
        <v>7925</v>
      </c>
      <c r="G4953" t="s">
        <v>37</v>
      </c>
      <c r="H4953">
        <v>1987</v>
      </c>
      <c r="I4953">
        <v>28.596800000000002</v>
      </c>
      <c r="J4953">
        <v>14.5</v>
      </c>
      <c r="K4953">
        <v>58</v>
      </c>
      <c r="L4953">
        <v>27.938310000000001</v>
      </c>
      <c r="M4953">
        <v>40.162390000000002</v>
      </c>
      <c r="N4953">
        <v>15.296799999999999</v>
      </c>
      <c r="O4953">
        <v>24.865600000000001</v>
      </c>
      <c r="P4953">
        <v>27.9312</v>
      </c>
      <c r="Q4953">
        <v>24.831199999999999</v>
      </c>
      <c r="R4953">
        <v>32.2624</v>
      </c>
      <c r="S4953">
        <v>24.831199999999999</v>
      </c>
      <c r="T4953">
        <v>428.7201</v>
      </c>
      <c r="U4953">
        <v>152.34399999999999</v>
      </c>
      <c r="V4953">
        <v>0</v>
      </c>
      <c r="W4953">
        <v>137.96799999999999</v>
      </c>
      <c r="X4953">
        <v>340.03199999999998</v>
      </c>
      <c r="Y4953">
        <v>0</v>
      </c>
      <c r="Z4953">
        <v>78.688029999999998</v>
      </c>
      <c r="AA4953">
        <v>0</v>
      </c>
      <c r="AB4953">
        <v>15.01315</v>
      </c>
      <c r="AC4953">
        <v>9.2915280000000003E-2</v>
      </c>
      <c r="AD4953">
        <v>1.5467599999999999</v>
      </c>
      <c r="AE4953">
        <v>0.50094209999999995</v>
      </c>
      <c r="AF4953">
        <v>307.13319999999999</v>
      </c>
      <c r="AG4953">
        <f>IFERROR(AH4953*0.1, "N/A")</f>
        <v>6.5138280000000002</v>
      </c>
      <c r="AH4953">
        <v>65.138279999999995</v>
      </c>
      <c r="AI4953">
        <v>142.45949999999999</v>
      </c>
      <c r="AJ4953">
        <v>13.344010000000001</v>
      </c>
      <c r="AK4953">
        <v>72.263069999999999</v>
      </c>
    </row>
    <row r="4954" spans="1:37" x14ac:dyDescent="0.3">
      <c r="A4954">
        <v>4953</v>
      </c>
      <c r="B4954">
        <v>62</v>
      </c>
      <c r="C4954">
        <v>9.0916700000000006</v>
      </c>
      <c r="D4954">
        <v>13.8514</v>
      </c>
      <c r="E4954" t="s">
        <v>7926</v>
      </c>
      <c r="F4954" t="s">
        <v>7927</v>
      </c>
      <c r="G4954" t="s">
        <v>39</v>
      </c>
      <c r="H4954">
        <v>0</v>
      </c>
      <c r="I4954">
        <v>28.2</v>
      </c>
      <c r="J4954">
        <v>14.3</v>
      </c>
      <c r="K4954">
        <v>55</v>
      </c>
      <c r="L4954">
        <v>32.492699999999999</v>
      </c>
      <c r="M4954">
        <v>40.299999999999997</v>
      </c>
      <c r="N4954">
        <v>14.7</v>
      </c>
      <c r="O4954">
        <v>25.6</v>
      </c>
      <c r="P4954">
        <v>28.264189999999999</v>
      </c>
      <c r="Q4954">
        <v>24.035810000000001</v>
      </c>
      <c r="R4954">
        <v>32.299999999999997</v>
      </c>
      <c r="S4954">
        <v>23.7</v>
      </c>
      <c r="T4954">
        <v>344.28379999999999</v>
      </c>
      <c r="U4954">
        <v>139.64189999999999</v>
      </c>
      <c r="V4954">
        <v>0</v>
      </c>
      <c r="W4954">
        <v>155.64189999999999</v>
      </c>
      <c r="X4954">
        <v>293.64190000000002</v>
      </c>
      <c r="Y4954">
        <v>0</v>
      </c>
      <c r="Z4954">
        <v>46.641889999999997</v>
      </c>
      <c r="AA4954">
        <v>0</v>
      </c>
      <c r="AB4954">
        <v>2.842406</v>
      </c>
      <c r="AC4954">
        <v>4.8253249999999998E-2</v>
      </c>
      <c r="AD4954">
        <v>1.5560290000000001</v>
      </c>
      <c r="AE4954">
        <v>0.71253880000000003</v>
      </c>
      <c r="AF4954">
        <v>421.60640000000001</v>
      </c>
      <c r="AG4954">
        <f>IFERROR(AH4954*0.1, "N/A")</f>
        <v>7.111993</v>
      </c>
      <c r="AH4954">
        <v>71.119929999999997</v>
      </c>
      <c r="AI4954">
        <v>160.0573</v>
      </c>
      <c r="AJ4954">
        <v>17.26858</v>
      </c>
      <c r="AK4954">
        <v>69.285470000000004</v>
      </c>
    </row>
    <row r="4955" spans="1:37" x14ac:dyDescent="0.3">
      <c r="A4955">
        <v>4954</v>
      </c>
      <c r="B4955">
        <v>6.9</v>
      </c>
      <c r="C4955">
        <v>10.122999999999999</v>
      </c>
      <c r="D4955">
        <v>13.8514</v>
      </c>
      <c r="E4955" t="s">
        <v>7928</v>
      </c>
      <c r="F4955" t="s">
        <v>7929</v>
      </c>
      <c r="G4955" t="s">
        <v>39</v>
      </c>
      <c r="H4955">
        <v>0</v>
      </c>
      <c r="I4955">
        <v>27.1</v>
      </c>
      <c r="J4955">
        <v>15.2</v>
      </c>
      <c r="K4955">
        <v>58</v>
      </c>
      <c r="L4955">
        <v>30.42</v>
      </c>
      <c r="M4955">
        <v>39.700000000000003</v>
      </c>
      <c r="N4955">
        <v>13.6</v>
      </c>
      <c r="O4955">
        <v>26.1</v>
      </c>
      <c r="P4955">
        <v>27</v>
      </c>
      <c r="Q4955">
        <v>24.9</v>
      </c>
      <c r="R4955">
        <v>31.1</v>
      </c>
      <c r="S4955">
        <v>22.9</v>
      </c>
      <c r="T4955">
        <v>330</v>
      </c>
      <c r="U4955">
        <v>134</v>
      </c>
      <c r="V4955">
        <v>0</v>
      </c>
      <c r="W4955">
        <v>160</v>
      </c>
      <c r="X4955">
        <v>289</v>
      </c>
      <c r="Y4955">
        <v>0</v>
      </c>
      <c r="Z4955">
        <v>38</v>
      </c>
      <c r="AA4955">
        <v>0</v>
      </c>
      <c r="AB4955">
        <v>2.3255140000000001</v>
      </c>
      <c r="AC4955">
        <v>2.1026630000000001E-2</v>
      </c>
      <c r="AD4955">
        <v>1.4891300000000001</v>
      </c>
      <c r="AE4955">
        <v>0.51911119999999999</v>
      </c>
      <c r="AF4955">
        <v>384.94260000000003</v>
      </c>
      <c r="AG4955">
        <f>IFERROR(AH4955*0.1, "N/A")</f>
        <v>7.2413850000000002</v>
      </c>
      <c r="AH4955">
        <v>72.413849999999996</v>
      </c>
      <c r="AI4955">
        <v>261.74590000000001</v>
      </c>
      <c r="AJ4955">
        <v>19.73649</v>
      </c>
      <c r="AK4955">
        <v>68.951009999999997</v>
      </c>
    </row>
    <row r="4956" spans="1:37" x14ac:dyDescent="0.3">
      <c r="A4956">
        <v>4955</v>
      </c>
      <c r="B4956">
        <v>30</v>
      </c>
      <c r="C4956">
        <v>1.47268</v>
      </c>
      <c r="D4956">
        <v>13.8515</v>
      </c>
      <c r="E4956" t="s">
        <v>7930</v>
      </c>
      <c r="F4956" t="s">
        <v>7931</v>
      </c>
      <c r="G4956" t="s">
        <v>39</v>
      </c>
      <c r="H4956">
        <v>0</v>
      </c>
      <c r="I4956">
        <v>29.4</v>
      </c>
      <c r="J4956">
        <v>14.3</v>
      </c>
      <c r="K4956">
        <v>57</v>
      </c>
      <c r="L4956">
        <v>28.82</v>
      </c>
      <c r="M4956">
        <v>41.1</v>
      </c>
      <c r="N4956">
        <v>16.100000000000001</v>
      </c>
      <c r="O4956">
        <v>25</v>
      </c>
      <c r="P4956">
        <v>28.9</v>
      </c>
      <c r="Q4956">
        <v>25.9</v>
      </c>
      <c r="R4956">
        <v>33.1</v>
      </c>
      <c r="S4956">
        <v>25.6</v>
      </c>
      <c r="T4956">
        <v>397</v>
      </c>
      <c r="U4956">
        <v>145</v>
      </c>
      <c r="V4956">
        <v>0</v>
      </c>
      <c r="W4956">
        <v>142</v>
      </c>
      <c r="X4956">
        <v>328</v>
      </c>
      <c r="Y4956">
        <v>0</v>
      </c>
      <c r="Z4956">
        <v>61</v>
      </c>
      <c r="AA4956">
        <v>0</v>
      </c>
      <c r="AB4956">
        <v>8.259029</v>
      </c>
      <c r="AC4956">
        <v>1.8764659999999999E-2</v>
      </c>
      <c r="AD4956">
        <v>0.82128860000000004</v>
      </c>
      <c r="AE4956">
        <v>0.65070510000000004</v>
      </c>
      <c r="AF4956">
        <v>204.76220000000001</v>
      </c>
      <c r="AG4956">
        <f>IFERROR(AH4956*0.1, "N/A")</f>
        <v>6.4435080000000005</v>
      </c>
      <c r="AH4956">
        <v>64.435079999999999</v>
      </c>
      <c r="AI4956">
        <v>149.57069999999999</v>
      </c>
      <c r="AJ4956">
        <v>15.568300000000001</v>
      </c>
      <c r="AK4956">
        <v>70.851600000000005</v>
      </c>
    </row>
    <row r="4957" spans="1:37" x14ac:dyDescent="0.3">
      <c r="A4957">
        <v>4956</v>
      </c>
      <c r="B4957">
        <v>35.6</v>
      </c>
      <c r="C4957">
        <v>9.3428799999999992</v>
      </c>
      <c r="D4957">
        <v>13.8558</v>
      </c>
      <c r="E4957" t="s">
        <v>7932</v>
      </c>
      <c r="F4957" t="s">
        <v>7933</v>
      </c>
      <c r="G4957" t="s">
        <v>39</v>
      </c>
      <c r="H4957">
        <v>0</v>
      </c>
      <c r="I4957">
        <v>28</v>
      </c>
      <c r="J4957">
        <v>14.7</v>
      </c>
      <c r="K4957">
        <v>57</v>
      </c>
      <c r="L4957">
        <v>31.96</v>
      </c>
      <c r="M4957">
        <v>40.299999999999997</v>
      </c>
      <c r="N4957">
        <v>14.6</v>
      </c>
      <c r="O4957">
        <v>25.7</v>
      </c>
      <c r="P4957">
        <v>27.8</v>
      </c>
      <c r="Q4957">
        <v>24</v>
      </c>
      <c r="R4957">
        <v>32.1</v>
      </c>
      <c r="S4957">
        <v>23.5</v>
      </c>
      <c r="T4957">
        <v>314</v>
      </c>
      <c r="U4957">
        <v>125</v>
      </c>
      <c r="V4957">
        <v>0</v>
      </c>
      <c r="W4957">
        <v>153</v>
      </c>
      <c r="X4957">
        <v>268</v>
      </c>
      <c r="Y4957">
        <v>0</v>
      </c>
      <c r="Z4957">
        <v>42</v>
      </c>
      <c r="AA4957">
        <v>0</v>
      </c>
      <c r="AB4957">
        <v>3.546967</v>
      </c>
      <c r="AC4957">
        <v>1.29312E-2</v>
      </c>
      <c r="AD4957">
        <v>1.658256</v>
      </c>
      <c r="AE4957">
        <v>0.56280549999999996</v>
      </c>
      <c r="AF4957">
        <v>424.81479999999999</v>
      </c>
      <c r="AG4957">
        <f>IFERROR(AH4957*0.1, "N/A")</f>
        <v>6.7860270000000007</v>
      </c>
      <c r="AH4957">
        <v>67.86027</v>
      </c>
      <c r="AI4957">
        <v>228.49299999999999</v>
      </c>
      <c r="AJ4957">
        <v>15.39899</v>
      </c>
      <c r="AK4957">
        <v>72.905720000000002</v>
      </c>
    </row>
    <row r="4958" spans="1:37" x14ac:dyDescent="0.3">
      <c r="A4958">
        <v>4957</v>
      </c>
      <c r="B4958">
        <v>0</v>
      </c>
      <c r="C4958">
        <v>1.47</v>
      </c>
      <c r="D4958">
        <v>13.856</v>
      </c>
      <c r="E4958" t="s">
        <v>7934</v>
      </c>
      <c r="F4958" t="s">
        <v>7935</v>
      </c>
      <c r="G4958" t="s">
        <v>37</v>
      </c>
      <c r="H4958">
        <v>1987</v>
      </c>
      <c r="I4958">
        <v>29.4</v>
      </c>
      <c r="J4958">
        <v>14.3</v>
      </c>
      <c r="K4958">
        <v>57</v>
      </c>
      <c r="L4958">
        <v>28.82</v>
      </c>
      <c r="M4958">
        <v>41.1</v>
      </c>
      <c r="N4958">
        <v>16.100000000000001</v>
      </c>
      <c r="O4958">
        <v>25</v>
      </c>
      <c r="P4958">
        <v>28.9</v>
      </c>
      <c r="Q4958">
        <v>25.9</v>
      </c>
      <c r="R4958">
        <v>33.1</v>
      </c>
      <c r="S4958">
        <v>25.6</v>
      </c>
      <c r="T4958">
        <v>397</v>
      </c>
      <c r="U4958">
        <v>145</v>
      </c>
      <c r="V4958">
        <v>0</v>
      </c>
      <c r="W4958">
        <v>142</v>
      </c>
      <c r="X4958">
        <v>328</v>
      </c>
      <c r="Y4958">
        <v>0</v>
      </c>
      <c r="Z4958">
        <v>61</v>
      </c>
      <c r="AA4958">
        <v>0</v>
      </c>
      <c r="AB4958">
        <v>0.69645590000000002</v>
      </c>
      <c r="AC4958">
        <v>0.31999680000000003</v>
      </c>
      <c r="AD4958">
        <v>1.8573710000000001</v>
      </c>
      <c r="AE4958">
        <v>0.61960329999999997</v>
      </c>
      <c r="AF4958">
        <v>198.67740000000001</v>
      </c>
      <c r="AG4958">
        <f>IFERROR(AH4958*0.1, "N/A")</f>
        <v>6.3447640000000005</v>
      </c>
      <c r="AH4958">
        <v>63.44764</v>
      </c>
      <c r="AI4958">
        <v>217.91419999999999</v>
      </c>
      <c r="AJ4958">
        <v>9.45777</v>
      </c>
      <c r="AK4958">
        <v>76.608109999999996</v>
      </c>
    </row>
    <row r="4959" spans="1:37" x14ac:dyDescent="0.3">
      <c r="A4959">
        <v>4958</v>
      </c>
      <c r="B4959">
        <v>2</v>
      </c>
      <c r="C4959">
        <v>8.78383</v>
      </c>
      <c r="D4959">
        <v>13.8581</v>
      </c>
      <c r="E4959" t="s">
        <v>7936</v>
      </c>
      <c r="F4959" t="s">
        <v>7937</v>
      </c>
      <c r="G4959" t="s">
        <v>39</v>
      </c>
      <c r="H4959">
        <v>0</v>
      </c>
      <c r="I4959">
        <v>27.8</v>
      </c>
      <c r="J4959">
        <v>14.3</v>
      </c>
      <c r="K4959">
        <v>55</v>
      </c>
      <c r="L4959">
        <v>33.28434</v>
      </c>
      <c r="M4959">
        <v>39.811489999999999</v>
      </c>
      <c r="N4959">
        <v>14.01149</v>
      </c>
      <c r="O4959">
        <v>25.8</v>
      </c>
      <c r="P4959">
        <v>28.011489999999998</v>
      </c>
      <c r="Q4959">
        <v>23.411490000000001</v>
      </c>
      <c r="R4959">
        <v>32</v>
      </c>
      <c r="S4959">
        <v>23.1</v>
      </c>
      <c r="T4959">
        <v>348.45609999999999</v>
      </c>
      <c r="U4959">
        <v>144.65710000000001</v>
      </c>
      <c r="V4959">
        <v>0</v>
      </c>
      <c r="W4959">
        <v>156.3716</v>
      </c>
      <c r="X4959">
        <v>300.42739999999998</v>
      </c>
      <c r="Y4959">
        <v>0</v>
      </c>
      <c r="Z4959">
        <v>44.02872</v>
      </c>
      <c r="AA4959">
        <v>0</v>
      </c>
      <c r="AB4959">
        <v>3.5508359999999999</v>
      </c>
      <c r="AC4959">
        <v>7.4571379999999996</v>
      </c>
      <c r="AD4959">
        <v>0.86106550000000004</v>
      </c>
      <c r="AE4959">
        <v>0.68194140000000003</v>
      </c>
      <c r="AF4959">
        <v>474.01519999999999</v>
      </c>
      <c r="AG4959">
        <f>IFERROR(AH4959*0.1, "N/A")</f>
        <v>6.7481420000000005</v>
      </c>
      <c r="AH4959">
        <v>67.48142</v>
      </c>
      <c r="AI4959">
        <v>167.95</v>
      </c>
      <c r="AJ4959">
        <v>12.34966</v>
      </c>
      <c r="AK4959">
        <v>75.05574</v>
      </c>
    </row>
    <row r="4960" spans="1:37" x14ac:dyDescent="0.3">
      <c r="A4960">
        <v>4959</v>
      </c>
      <c r="B4960">
        <v>46</v>
      </c>
      <c r="C4960">
        <v>9.1149799999999992</v>
      </c>
      <c r="D4960">
        <v>13.8589</v>
      </c>
      <c r="E4960" t="s">
        <v>7938</v>
      </c>
      <c r="F4960" t="s">
        <v>7939</v>
      </c>
      <c r="G4960" t="s">
        <v>39</v>
      </c>
      <c r="H4960">
        <v>0</v>
      </c>
      <c r="I4960">
        <v>28.2</v>
      </c>
      <c r="J4960">
        <v>14.305569999999999</v>
      </c>
      <c r="K4960">
        <v>56</v>
      </c>
      <c r="L4960">
        <v>32.245010000000001</v>
      </c>
      <c r="M4960">
        <v>40.30556</v>
      </c>
      <c r="N4960">
        <v>14.8</v>
      </c>
      <c r="O4960">
        <v>25.505559999999999</v>
      </c>
      <c r="P4960">
        <v>28.2</v>
      </c>
      <c r="Q4960">
        <v>24.1</v>
      </c>
      <c r="R4960">
        <v>32.30556</v>
      </c>
      <c r="S4960">
        <v>23.7</v>
      </c>
      <c r="T4960">
        <v>338.11130000000003</v>
      </c>
      <c r="U4960">
        <v>137.0556</v>
      </c>
      <c r="V4960">
        <v>0</v>
      </c>
      <c r="W4960">
        <v>152.1113</v>
      </c>
      <c r="X4960">
        <v>288.11130000000003</v>
      </c>
      <c r="Y4960">
        <v>0</v>
      </c>
      <c r="Z4960">
        <v>46</v>
      </c>
      <c r="AA4960">
        <v>0</v>
      </c>
      <c r="AB4960">
        <v>1.4131450000000001</v>
      </c>
      <c r="AC4960">
        <v>1.1664509999999999E-2</v>
      </c>
      <c r="AD4960">
        <v>0.6965481</v>
      </c>
      <c r="AE4960">
        <v>0.65425540000000004</v>
      </c>
      <c r="AF4960">
        <v>421.0607</v>
      </c>
      <c r="AG4960">
        <f>IFERROR(AH4960*0.1, "N/A")</f>
        <v>6.4077570000000001</v>
      </c>
      <c r="AH4960">
        <v>64.077569999999994</v>
      </c>
      <c r="AI4960">
        <v>148.33459999999999</v>
      </c>
      <c r="AJ4960">
        <v>20.6172</v>
      </c>
      <c r="AK4960">
        <v>66.155140000000003</v>
      </c>
    </row>
    <row r="4961" spans="1:37" x14ac:dyDescent="0.3">
      <c r="A4961">
        <v>4960</v>
      </c>
      <c r="B4961">
        <v>0</v>
      </c>
      <c r="C4961">
        <v>8.9057200000000005</v>
      </c>
      <c r="D4961">
        <v>13.8674</v>
      </c>
      <c r="E4961" t="s">
        <v>7940</v>
      </c>
      <c r="F4961" t="s">
        <v>7941</v>
      </c>
      <c r="G4961" t="s">
        <v>39</v>
      </c>
      <c r="H4961">
        <v>0</v>
      </c>
      <c r="I4961">
        <v>27.9</v>
      </c>
      <c r="J4961">
        <v>14.2</v>
      </c>
      <c r="K4961">
        <v>54</v>
      </c>
      <c r="L4961">
        <v>33.75</v>
      </c>
      <c r="M4961">
        <v>40</v>
      </c>
      <c r="N4961">
        <v>14.1</v>
      </c>
      <c r="O4961">
        <v>25.9</v>
      </c>
      <c r="P4961">
        <v>28.2</v>
      </c>
      <c r="Q4961">
        <v>23.5</v>
      </c>
      <c r="R4961">
        <v>32.1</v>
      </c>
      <c r="S4961">
        <v>23.1</v>
      </c>
      <c r="T4961">
        <v>352</v>
      </c>
      <c r="U4961">
        <v>145</v>
      </c>
      <c r="V4961">
        <v>0</v>
      </c>
      <c r="W4961">
        <v>155</v>
      </c>
      <c r="X4961">
        <v>302</v>
      </c>
      <c r="Y4961">
        <v>0</v>
      </c>
      <c r="Z4961">
        <v>46</v>
      </c>
      <c r="AA4961">
        <v>0</v>
      </c>
      <c r="AB4961">
        <v>4.179017</v>
      </c>
      <c r="AC4961">
        <v>4.6045129999999997E-2</v>
      </c>
      <c r="AD4961">
        <v>0.73149770000000003</v>
      </c>
      <c r="AE4961">
        <v>0.64551130000000001</v>
      </c>
      <c r="AF4961">
        <v>460.10570000000001</v>
      </c>
      <c r="AG4961">
        <f>IFERROR(AH4961*0.1, "N/A")</f>
        <v>6.5986580000000004</v>
      </c>
      <c r="AH4961">
        <v>65.986580000000004</v>
      </c>
      <c r="AI4961">
        <v>126.8134</v>
      </c>
      <c r="AJ4961">
        <v>10.98658</v>
      </c>
      <c r="AK4961">
        <v>77.652680000000004</v>
      </c>
    </row>
    <row r="4962" spans="1:37" x14ac:dyDescent="0.3">
      <c r="A4962">
        <v>4961</v>
      </c>
      <c r="B4962">
        <v>6</v>
      </c>
      <c r="C4962">
        <v>9.3186</v>
      </c>
      <c r="D4962">
        <v>13.869</v>
      </c>
      <c r="E4962" t="s">
        <v>7942</v>
      </c>
      <c r="F4962" t="s">
        <v>7943</v>
      </c>
      <c r="G4962" t="s">
        <v>39</v>
      </c>
      <c r="H4962">
        <v>0</v>
      </c>
      <c r="I4962">
        <v>28</v>
      </c>
      <c r="J4962">
        <v>14.6</v>
      </c>
      <c r="K4962">
        <v>57</v>
      </c>
      <c r="L4962">
        <v>31.76</v>
      </c>
      <c r="M4962">
        <v>40.299999999999997</v>
      </c>
      <c r="N4962">
        <v>14.7</v>
      </c>
      <c r="O4962">
        <v>25.6</v>
      </c>
      <c r="P4962">
        <v>27.8</v>
      </c>
      <c r="Q4962">
        <v>24</v>
      </c>
      <c r="R4962">
        <v>32.1</v>
      </c>
      <c r="S4962">
        <v>23.6</v>
      </c>
      <c r="T4962">
        <v>313</v>
      </c>
      <c r="U4962">
        <v>125</v>
      </c>
      <c r="V4962">
        <v>0</v>
      </c>
      <c r="W4962">
        <v>152</v>
      </c>
      <c r="X4962">
        <v>267</v>
      </c>
      <c r="Y4962">
        <v>0</v>
      </c>
      <c r="Z4962">
        <v>42</v>
      </c>
      <c r="AA4962">
        <v>0</v>
      </c>
      <c r="AB4962">
        <v>4.6109920000000004</v>
      </c>
      <c r="AC4962">
        <v>1.9987080000000001E-2</v>
      </c>
      <c r="AD4962">
        <v>1.188088</v>
      </c>
      <c r="AE4962">
        <v>0.71896729999999998</v>
      </c>
      <c r="AF4962">
        <v>423.95780000000002</v>
      </c>
      <c r="AG4962">
        <f>IFERROR(AH4962*0.1, "N/A")</f>
        <v>6.9</v>
      </c>
      <c r="AH4962">
        <v>69</v>
      </c>
      <c r="AI4962">
        <v>224.22210000000001</v>
      </c>
      <c r="AJ4962">
        <v>17.59459</v>
      </c>
      <c r="AK4962">
        <v>68.304050000000004</v>
      </c>
    </row>
    <row r="4963" spans="1:37" x14ac:dyDescent="0.3">
      <c r="A4963">
        <v>4962</v>
      </c>
      <c r="B4963">
        <v>35</v>
      </c>
      <c r="C4963">
        <v>1.28955</v>
      </c>
      <c r="D4963">
        <v>13.8782</v>
      </c>
      <c r="E4963" t="s">
        <v>7944</v>
      </c>
      <c r="F4963" t="s">
        <v>7945</v>
      </c>
      <c r="G4963" t="s">
        <v>39</v>
      </c>
      <c r="H4963">
        <v>0</v>
      </c>
      <c r="I4963">
        <v>29.3</v>
      </c>
      <c r="J4963">
        <v>14.3</v>
      </c>
      <c r="K4963">
        <v>57</v>
      </c>
      <c r="L4963">
        <v>28.3</v>
      </c>
      <c r="M4963">
        <v>40.9</v>
      </c>
      <c r="N4963">
        <v>16</v>
      </c>
      <c r="O4963">
        <v>24.9</v>
      </c>
      <c r="P4963">
        <v>28.8</v>
      </c>
      <c r="Q4963">
        <v>27.3</v>
      </c>
      <c r="R4963">
        <v>32.9</v>
      </c>
      <c r="S4963">
        <v>25.4</v>
      </c>
      <c r="T4963">
        <v>401</v>
      </c>
      <c r="U4963">
        <v>152</v>
      </c>
      <c r="V4963">
        <v>0</v>
      </c>
      <c r="W4963">
        <v>146</v>
      </c>
      <c r="X4963">
        <v>333</v>
      </c>
      <c r="Y4963">
        <v>0</v>
      </c>
      <c r="Z4963">
        <v>61</v>
      </c>
      <c r="AA4963">
        <v>0</v>
      </c>
      <c r="AB4963">
        <v>2.3050570000000001</v>
      </c>
      <c r="AC4963">
        <v>2093.683</v>
      </c>
      <c r="AD4963">
        <v>2.8709699999999998</v>
      </c>
      <c r="AE4963">
        <v>0.66404220000000003</v>
      </c>
      <c r="AF4963">
        <v>213.7336</v>
      </c>
      <c r="AG4963">
        <f>IFERROR(AH4963*0.1, "N/A")</f>
        <v>6.2903880000000001</v>
      </c>
      <c r="AH4963">
        <v>62.903880000000001</v>
      </c>
      <c r="AI4963">
        <v>219.8192</v>
      </c>
      <c r="AJ4963">
        <v>12.929169999999999</v>
      </c>
      <c r="AK4963">
        <v>76.268129999999999</v>
      </c>
    </row>
    <row r="4964" spans="1:37" x14ac:dyDescent="0.3">
      <c r="A4964">
        <v>4963</v>
      </c>
      <c r="B4964">
        <v>5.8</v>
      </c>
      <c r="C4964">
        <v>1.27752</v>
      </c>
      <c r="D4964">
        <v>13.879</v>
      </c>
      <c r="E4964" t="s">
        <v>7946</v>
      </c>
      <c r="F4964" t="s">
        <v>7947</v>
      </c>
      <c r="G4964" t="s">
        <v>39</v>
      </c>
      <c r="H4964">
        <v>0</v>
      </c>
      <c r="I4964">
        <v>29.3</v>
      </c>
      <c r="J4964">
        <v>14.3</v>
      </c>
      <c r="K4964">
        <v>57</v>
      </c>
      <c r="L4964">
        <v>28.3</v>
      </c>
      <c r="M4964">
        <v>40.9</v>
      </c>
      <c r="N4964">
        <v>16</v>
      </c>
      <c r="O4964">
        <v>24.9</v>
      </c>
      <c r="P4964">
        <v>28.8</v>
      </c>
      <c r="Q4964">
        <v>27.3</v>
      </c>
      <c r="R4964">
        <v>32.9</v>
      </c>
      <c r="S4964">
        <v>25.4</v>
      </c>
      <c r="T4964">
        <v>402</v>
      </c>
      <c r="U4964">
        <v>152</v>
      </c>
      <c r="V4964">
        <v>0</v>
      </c>
      <c r="W4964">
        <v>146</v>
      </c>
      <c r="X4964">
        <v>333</v>
      </c>
      <c r="Y4964">
        <v>0</v>
      </c>
      <c r="Z4964">
        <v>62</v>
      </c>
      <c r="AA4964">
        <v>0</v>
      </c>
      <c r="AB4964">
        <v>2.1154890000000002</v>
      </c>
      <c r="AC4964">
        <v>0.26293440000000001</v>
      </c>
      <c r="AD4964">
        <v>1.973557</v>
      </c>
      <c r="AE4964">
        <v>0.68708179999999996</v>
      </c>
      <c r="AF4964">
        <v>216.18860000000001</v>
      </c>
      <c r="AG4964">
        <f>IFERROR(AH4964*0.1, "N/A")</f>
        <v>6.2607740000000005</v>
      </c>
      <c r="AH4964">
        <v>62.60774</v>
      </c>
      <c r="AI4964">
        <v>90.856629999999996</v>
      </c>
      <c r="AJ4964">
        <v>10.215490000000001</v>
      </c>
      <c r="AK4964">
        <v>80.784509999999997</v>
      </c>
    </row>
    <row r="4965" spans="1:37" x14ac:dyDescent="0.3">
      <c r="A4965">
        <v>4964</v>
      </c>
      <c r="B4965">
        <v>0</v>
      </c>
      <c r="C4965">
        <v>5.1944299999999997</v>
      </c>
      <c r="D4965">
        <v>13.8797</v>
      </c>
      <c r="E4965" t="s">
        <v>7948</v>
      </c>
      <c r="F4965" t="s">
        <v>7949</v>
      </c>
      <c r="G4965" t="s">
        <v>39</v>
      </c>
      <c r="H4965">
        <v>0</v>
      </c>
      <c r="I4965">
        <v>28.7</v>
      </c>
      <c r="J4965">
        <v>14.2</v>
      </c>
      <c r="K4965">
        <v>57</v>
      </c>
      <c r="L4965">
        <v>28.02</v>
      </c>
      <c r="M4965">
        <v>40.1</v>
      </c>
      <c r="N4965">
        <v>15.6</v>
      </c>
      <c r="O4965">
        <v>24.5</v>
      </c>
      <c r="P4965">
        <v>28.4</v>
      </c>
      <c r="Q4965">
        <v>26.9</v>
      </c>
      <c r="R4965">
        <v>32.4</v>
      </c>
      <c r="S4965">
        <v>25</v>
      </c>
      <c r="T4965">
        <v>450</v>
      </c>
      <c r="U4965">
        <v>148</v>
      </c>
      <c r="V4965">
        <v>0</v>
      </c>
      <c r="W4965">
        <v>134</v>
      </c>
      <c r="X4965">
        <v>349</v>
      </c>
      <c r="Y4965">
        <v>0</v>
      </c>
      <c r="Z4965">
        <v>93</v>
      </c>
      <c r="AA4965">
        <v>0</v>
      </c>
      <c r="AB4965">
        <v>28.564689999999999</v>
      </c>
      <c r="AC4965">
        <v>3.0505540000000001E-2</v>
      </c>
      <c r="AD4965">
        <v>2.7474660000000002</v>
      </c>
      <c r="AE4965">
        <v>0.72231730000000005</v>
      </c>
      <c r="AF4965">
        <v>286.84969999999998</v>
      </c>
      <c r="AG4965">
        <f>IFERROR(AH4965*0.1, "N/A")</f>
        <v>6.5378380000000007</v>
      </c>
      <c r="AH4965">
        <v>65.378380000000007</v>
      </c>
      <c r="AI4965">
        <v>34.649909999999998</v>
      </c>
      <c r="AJ4965">
        <v>15.37838</v>
      </c>
      <c r="AK4965">
        <v>70.432429999999997</v>
      </c>
    </row>
    <row r="4966" spans="1:37" x14ac:dyDescent="0.3">
      <c r="A4966">
        <v>4965</v>
      </c>
      <c r="B4966">
        <v>0</v>
      </c>
      <c r="C4966">
        <v>1.276</v>
      </c>
      <c r="D4966">
        <v>13.881</v>
      </c>
      <c r="E4966" t="s">
        <v>7950</v>
      </c>
      <c r="F4966" t="s">
        <v>7951</v>
      </c>
      <c r="G4966" t="s">
        <v>37</v>
      </c>
      <c r="H4966">
        <v>1987</v>
      </c>
      <c r="I4966">
        <v>29.3</v>
      </c>
      <c r="J4966">
        <v>14.3</v>
      </c>
      <c r="K4966">
        <v>57</v>
      </c>
      <c r="L4966">
        <v>28.3</v>
      </c>
      <c r="M4966">
        <v>40.9</v>
      </c>
      <c r="N4966">
        <v>16</v>
      </c>
      <c r="O4966">
        <v>24.9</v>
      </c>
      <c r="P4966">
        <v>28.8</v>
      </c>
      <c r="Q4966">
        <v>27.3</v>
      </c>
      <c r="R4966">
        <v>32.9</v>
      </c>
      <c r="S4966">
        <v>25.4</v>
      </c>
      <c r="T4966">
        <v>402</v>
      </c>
      <c r="U4966">
        <v>152</v>
      </c>
      <c r="V4966">
        <v>0</v>
      </c>
      <c r="W4966">
        <v>146</v>
      </c>
      <c r="X4966">
        <v>333</v>
      </c>
      <c r="Y4966">
        <v>0</v>
      </c>
      <c r="Z4966">
        <v>62</v>
      </c>
      <c r="AA4966">
        <v>0</v>
      </c>
      <c r="AB4966">
        <v>5.9951119999999998</v>
      </c>
      <c r="AC4966">
        <v>1.7961979999999999E-2</v>
      </c>
      <c r="AD4966">
        <v>2.2912439999999998</v>
      </c>
      <c r="AE4966">
        <v>0.68708179999999996</v>
      </c>
      <c r="AF4966">
        <v>217.0993</v>
      </c>
      <c r="AG4966">
        <f>IFERROR(AH4966*0.1, "N/A")</f>
        <v>6.2</v>
      </c>
      <c r="AH4966">
        <v>62</v>
      </c>
      <c r="AI4966">
        <v>176.71</v>
      </c>
      <c r="AJ4966">
        <v>9.7020199999999992</v>
      </c>
      <c r="AK4966">
        <v>80.595960000000005</v>
      </c>
    </row>
    <row r="4967" spans="1:37" x14ac:dyDescent="0.3">
      <c r="A4967">
        <v>4966</v>
      </c>
      <c r="B4967">
        <v>0</v>
      </c>
      <c r="C4967">
        <v>8.5805600000000002</v>
      </c>
      <c r="D4967">
        <v>13.8819</v>
      </c>
      <c r="E4967" t="s">
        <v>7952</v>
      </c>
      <c r="F4967" t="s">
        <v>7953</v>
      </c>
      <c r="G4967" t="s">
        <v>39</v>
      </c>
      <c r="H4967">
        <v>0</v>
      </c>
      <c r="I4967">
        <v>27.7</v>
      </c>
      <c r="J4967">
        <v>14.4</v>
      </c>
      <c r="K4967">
        <v>56</v>
      </c>
      <c r="L4967">
        <v>32.799999999999997</v>
      </c>
      <c r="M4967">
        <v>39.700000000000003</v>
      </c>
      <c r="N4967">
        <v>14</v>
      </c>
      <c r="O4967">
        <v>25.7</v>
      </c>
      <c r="P4967">
        <v>27.7</v>
      </c>
      <c r="Q4967">
        <v>23.4</v>
      </c>
      <c r="R4967">
        <v>31.9</v>
      </c>
      <c r="S4967">
        <v>23.1</v>
      </c>
      <c r="T4967">
        <v>337</v>
      </c>
      <c r="U4967">
        <v>141</v>
      </c>
      <c r="V4967">
        <v>0</v>
      </c>
      <c r="W4967">
        <v>155</v>
      </c>
      <c r="X4967">
        <v>292</v>
      </c>
      <c r="Y4967">
        <v>0</v>
      </c>
      <c r="Z4967">
        <v>40</v>
      </c>
      <c r="AA4967">
        <v>0</v>
      </c>
      <c r="AB4967">
        <v>2.765984</v>
      </c>
      <c r="AC4967">
        <v>2.4517569999999999E-2</v>
      </c>
      <c r="AD4967">
        <v>1.5956760000000001</v>
      </c>
      <c r="AE4967">
        <v>0.57716559999999995</v>
      </c>
      <c r="AF4967">
        <v>467.35860000000002</v>
      </c>
      <c r="AG4967">
        <f>IFERROR(AH4967*0.1, "N/A")</f>
        <v>6.7813130000000008</v>
      </c>
      <c r="AH4967">
        <v>67.813130000000001</v>
      </c>
      <c r="AI4967">
        <v>257.9855</v>
      </c>
      <c r="AJ4967">
        <v>13.937709999999999</v>
      </c>
      <c r="AK4967">
        <v>73</v>
      </c>
    </row>
    <row r="4968" spans="1:37" x14ac:dyDescent="0.3">
      <c r="A4968">
        <v>4967</v>
      </c>
      <c r="B4968">
        <v>84</v>
      </c>
      <c r="C4968">
        <v>1.50647</v>
      </c>
      <c r="D4968">
        <v>13.882199999999999</v>
      </c>
      <c r="E4968" t="s">
        <v>7954</v>
      </c>
      <c r="F4968" t="s">
        <v>7955</v>
      </c>
      <c r="G4968" t="s">
        <v>39</v>
      </c>
      <c r="H4968">
        <v>0</v>
      </c>
      <c r="I4968">
        <v>29.4</v>
      </c>
      <c r="J4968">
        <v>14.3</v>
      </c>
      <c r="K4968">
        <v>57</v>
      </c>
      <c r="L4968">
        <v>28.85</v>
      </c>
      <c r="M4968">
        <v>41.1</v>
      </c>
      <c r="N4968">
        <v>16.100000000000001</v>
      </c>
      <c r="O4968">
        <v>25</v>
      </c>
      <c r="P4968">
        <v>28.9</v>
      </c>
      <c r="Q4968">
        <v>25.9</v>
      </c>
      <c r="R4968">
        <v>33.1</v>
      </c>
      <c r="S4968">
        <v>25.5</v>
      </c>
      <c r="T4968">
        <v>391</v>
      </c>
      <c r="U4968">
        <v>142</v>
      </c>
      <c r="V4968">
        <v>0</v>
      </c>
      <c r="W4968">
        <v>143</v>
      </c>
      <c r="X4968">
        <v>323</v>
      </c>
      <c r="Y4968">
        <v>0</v>
      </c>
      <c r="Z4968">
        <v>60</v>
      </c>
      <c r="AA4968">
        <v>0</v>
      </c>
      <c r="AB4968">
        <v>0.81447769999999997</v>
      </c>
      <c r="AC4968">
        <v>0.30300969999999999</v>
      </c>
      <c r="AD4968">
        <v>1.106708</v>
      </c>
      <c r="AE4968">
        <v>0.50771390000000005</v>
      </c>
      <c r="AF4968">
        <v>198.66669999999999</v>
      </c>
      <c r="AG4968">
        <f>IFERROR(AH4968*0.1, "N/A")</f>
        <v>6.2272730000000003</v>
      </c>
      <c r="AH4968">
        <v>62.272730000000003</v>
      </c>
      <c r="AI4968">
        <v>174.19040000000001</v>
      </c>
      <c r="AJ4968">
        <v>14.045450000000001</v>
      </c>
      <c r="AK4968">
        <v>70.734009999999998</v>
      </c>
    </row>
    <row r="4969" spans="1:37" x14ac:dyDescent="0.3">
      <c r="A4969">
        <v>4968</v>
      </c>
      <c r="B4969">
        <v>15</v>
      </c>
      <c r="C4969">
        <v>1.53318</v>
      </c>
      <c r="D4969">
        <v>13.885199999999999</v>
      </c>
      <c r="E4969" t="s">
        <v>7956</v>
      </c>
      <c r="F4969" t="s">
        <v>7957</v>
      </c>
      <c r="G4969" t="s">
        <v>39</v>
      </c>
      <c r="H4969">
        <v>0</v>
      </c>
      <c r="I4969">
        <v>29.5</v>
      </c>
      <c r="J4969">
        <v>14.3</v>
      </c>
      <c r="K4969">
        <v>56</v>
      </c>
      <c r="L4969">
        <v>28.9</v>
      </c>
      <c r="M4969">
        <v>41.3</v>
      </c>
      <c r="N4969">
        <v>16.2</v>
      </c>
      <c r="O4969">
        <v>25.1</v>
      </c>
      <c r="P4969">
        <v>29</v>
      </c>
      <c r="Q4969">
        <v>26</v>
      </c>
      <c r="R4969">
        <v>33.299999999999997</v>
      </c>
      <c r="S4969">
        <v>25.7</v>
      </c>
      <c r="T4969">
        <v>384.38409999999999</v>
      </c>
      <c r="U4969">
        <v>138.69200000000001</v>
      </c>
      <c r="V4969">
        <v>0</v>
      </c>
      <c r="W4969">
        <v>142.23179999999999</v>
      </c>
      <c r="X4969">
        <v>317.69200000000001</v>
      </c>
      <c r="Y4969">
        <v>0</v>
      </c>
      <c r="Z4969">
        <v>58.692050000000002</v>
      </c>
      <c r="AA4969">
        <v>0</v>
      </c>
      <c r="AB4969">
        <v>0.73367660000000001</v>
      </c>
      <c r="AC4969">
        <v>3387.1529999999998</v>
      </c>
      <c r="AD4969">
        <v>1.4593590000000001</v>
      </c>
      <c r="AE4969">
        <v>0.30242370000000002</v>
      </c>
      <c r="AF4969">
        <v>194.94589999999999</v>
      </c>
      <c r="AG4969">
        <f>IFERROR(AH4969*0.1, "N/A")</f>
        <v>6.5</v>
      </c>
      <c r="AH4969">
        <v>65</v>
      </c>
      <c r="AI4969">
        <v>107.28400000000001</v>
      </c>
      <c r="AJ4969">
        <v>19.61591</v>
      </c>
      <c r="AK4969">
        <v>62.768189999999997</v>
      </c>
    </row>
    <row r="4970" spans="1:37" x14ac:dyDescent="0.3">
      <c r="A4970">
        <v>4969</v>
      </c>
      <c r="B4970">
        <v>42.1</v>
      </c>
      <c r="C4970">
        <v>5.4471999999999996</v>
      </c>
      <c r="D4970">
        <v>13.8857</v>
      </c>
      <c r="E4970" t="s">
        <v>7958</v>
      </c>
      <c r="F4970" t="s">
        <v>7959</v>
      </c>
      <c r="G4970" t="s">
        <v>39</v>
      </c>
      <c r="H4970">
        <v>0</v>
      </c>
      <c r="I4970">
        <v>28.6</v>
      </c>
      <c r="J4970">
        <v>14.3</v>
      </c>
      <c r="K4970">
        <v>57</v>
      </c>
      <c r="L4970">
        <v>28.19</v>
      </c>
      <c r="M4970">
        <v>40.200000000000003</v>
      </c>
      <c r="N4970">
        <v>15.5</v>
      </c>
      <c r="O4970">
        <v>24.7</v>
      </c>
      <c r="P4970">
        <v>28.2</v>
      </c>
      <c r="Q4970">
        <v>26.7</v>
      </c>
      <c r="R4970">
        <v>32.299999999999997</v>
      </c>
      <c r="S4970">
        <v>24.8</v>
      </c>
      <c r="T4970">
        <v>454</v>
      </c>
      <c r="U4970">
        <v>148</v>
      </c>
      <c r="V4970">
        <v>0</v>
      </c>
      <c r="W4970">
        <v>137</v>
      </c>
      <c r="X4970">
        <v>353</v>
      </c>
      <c r="Y4970">
        <v>0</v>
      </c>
      <c r="Z4970">
        <v>94</v>
      </c>
      <c r="AA4970">
        <v>0</v>
      </c>
      <c r="AB4970">
        <v>5.7971399999999997</v>
      </c>
      <c r="AC4970">
        <v>244.57749999999999</v>
      </c>
      <c r="AD4970">
        <v>2.9929139999999999</v>
      </c>
      <c r="AE4970">
        <v>0.56309609999999999</v>
      </c>
      <c r="AF4970">
        <v>282.9126</v>
      </c>
      <c r="AG4970" t="str">
        <f>IFERROR(AH4970*0.1, "N/A")</f>
        <v>N/A</v>
      </c>
      <c r="AH4970" t="s">
        <v>729</v>
      </c>
      <c r="AI4970">
        <v>277.58339999999998</v>
      </c>
      <c r="AJ4970" t="s">
        <v>729</v>
      </c>
      <c r="AK4970" t="s">
        <v>729</v>
      </c>
    </row>
    <row r="4971" spans="1:37" x14ac:dyDescent="0.3">
      <c r="A4971">
        <v>4970</v>
      </c>
      <c r="B4971">
        <v>0</v>
      </c>
      <c r="C4971">
        <v>5.4471999999999996</v>
      </c>
      <c r="D4971">
        <v>13.8857</v>
      </c>
      <c r="E4971" t="s">
        <v>7958</v>
      </c>
      <c r="F4971" t="s">
        <v>7960</v>
      </c>
      <c r="G4971" t="s">
        <v>37</v>
      </c>
      <c r="H4971">
        <v>0</v>
      </c>
      <c r="I4971">
        <v>28.6</v>
      </c>
      <c r="J4971">
        <v>14.3</v>
      </c>
      <c r="K4971">
        <v>57</v>
      </c>
      <c r="L4971">
        <v>28.19</v>
      </c>
      <c r="M4971">
        <v>40.200000000000003</v>
      </c>
      <c r="N4971">
        <v>15.5</v>
      </c>
      <c r="O4971">
        <v>24.7</v>
      </c>
      <c r="P4971">
        <v>28.2</v>
      </c>
      <c r="Q4971">
        <v>26.7</v>
      </c>
      <c r="R4971">
        <v>32.299999999999997</v>
      </c>
      <c r="S4971">
        <v>24.8</v>
      </c>
      <c r="T4971">
        <v>454</v>
      </c>
      <c r="U4971">
        <v>148</v>
      </c>
      <c r="V4971">
        <v>0</v>
      </c>
      <c r="W4971">
        <v>137</v>
      </c>
      <c r="X4971">
        <v>353</v>
      </c>
      <c r="Y4971">
        <v>0</v>
      </c>
      <c r="Z4971">
        <v>94</v>
      </c>
      <c r="AA4971">
        <v>0</v>
      </c>
      <c r="AB4971">
        <v>5.7971399999999997</v>
      </c>
      <c r="AC4971">
        <v>244.57749999999999</v>
      </c>
      <c r="AD4971">
        <v>2.9929139999999999</v>
      </c>
      <c r="AE4971">
        <v>0.56309609999999999</v>
      </c>
      <c r="AF4971">
        <v>282.9126</v>
      </c>
      <c r="AG4971" t="str">
        <f>IFERROR(AH4971*0.1, "N/A")</f>
        <v>N/A</v>
      </c>
      <c r="AH4971" t="s">
        <v>729</v>
      </c>
      <c r="AI4971">
        <v>277.58339999999998</v>
      </c>
      <c r="AJ4971" t="s">
        <v>729</v>
      </c>
      <c r="AK4971" t="s">
        <v>729</v>
      </c>
    </row>
    <row r="4972" spans="1:37" x14ac:dyDescent="0.3">
      <c r="A4972">
        <v>4971</v>
      </c>
      <c r="B4972">
        <v>48.3</v>
      </c>
      <c r="C4972">
        <v>5.3435300000000003</v>
      </c>
      <c r="D4972">
        <v>13.8873</v>
      </c>
      <c r="E4972" t="s">
        <v>7961</v>
      </c>
      <c r="F4972" t="s">
        <v>7962</v>
      </c>
      <c r="G4972" t="s">
        <v>39</v>
      </c>
      <c r="H4972">
        <v>0</v>
      </c>
      <c r="I4972">
        <v>28.6</v>
      </c>
      <c r="J4972">
        <v>14.3</v>
      </c>
      <c r="K4972">
        <v>58</v>
      </c>
      <c r="L4972">
        <v>28.21</v>
      </c>
      <c r="M4972">
        <v>40.1</v>
      </c>
      <c r="N4972">
        <v>15.5</v>
      </c>
      <c r="O4972">
        <v>24.6</v>
      </c>
      <c r="P4972">
        <v>28.3</v>
      </c>
      <c r="Q4972">
        <v>26.8</v>
      </c>
      <c r="R4972">
        <v>32.299999999999997</v>
      </c>
      <c r="S4972">
        <v>24.9</v>
      </c>
      <c r="T4972">
        <v>447</v>
      </c>
      <c r="U4972">
        <v>145</v>
      </c>
      <c r="V4972">
        <v>0</v>
      </c>
      <c r="W4972">
        <v>135</v>
      </c>
      <c r="X4972">
        <v>349</v>
      </c>
      <c r="Y4972">
        <v>0</v>
      </c>
      <c r="Z4972">
        <v>91</v>
      </c>
      <c r="AA4972">
        <v>0</v>
      </c>
      <c r="AB4972">
        <v>6.908245</v>
      </c>
      <c r="AC4972">
        <v>4.8024369999999997E-2</v>
      </c>
      <c r="AD4972">
        <v>1.1639790000000001</v>
      </c>
      <c r="AE4972">
        <v>0.71267080000000005</v>
      </c>
      <c r="AF4972">
        <v>284.6644</v>
      </c>
      <c r="AG4972">
        <f>IFERROR(AH4972*0.1, "N/A")</f>
        <v>6.9824619999999999</v>
      </c>
      <c r="AH4972">
        <v>69.824619999999996</v>
      </c>
      <c r="AI4972">
        <v>178.1567</v>
      </c>
      <c r="AJ4972">
        <v>23.77403</v>
      </c>
      <c r="AK4972">
        <v>59.197299999999998</v>
      </c>
    </row>
    <row r="4973" spans="1:37" x14ac:dyDescent="0.3">
      <c r="A4973">
        <v>4972</v>
      </c>
      <c r="B4973">
        <v>0</v>
      </c>
      <c r="C4973">
        <v>8.7256300000000007</v>
      </c>
      <c r="D4973">
        <v>13.887600000000001</v>
      </c>
      <c r="E4973" t="s">
        <v>7963</v>
      </c>
      <c r="F4973" t="s">
        <v>7964</v>
      </c>
      <c r="G4973" t="s">
        <v>39</v>
      </c>
      <c r="H4973">
        <v>0</v>
      </c>
      <c r="I4973">
        <v>27.6</v>
      </c>
      <c r="J4973">
        <v>14.3</v>
      </c>
      <c r="K4973">
        <v>55</v>
      </c>
      <c r="L4973">
        <v>33.268540000000002</v>
      </c>
      <c r="M4973">
        <v>39.700000000000003</v>
      </c>
      <c r="N4973">
        <v>13.8758</v>
      </c>
      <c r="O4973">
        <v>25.824200000000001</v>
      </c>
      <c r="P4973">
        <v>27.875800000000002</v>
      </c>
      <c r="Q4973">
        <v>23.3</v>
      </c>
      <c r="R4973">
        <v>31.8</v>
      </c>
      <c r="S4973">
        <v>22.9</v>
      </c>
      <c r="T4973">
        <v>341.75799999999998</v>
      </c>
      <c r="U4973">
        <v>142</v>
      </c>
      <c r="V4973">
        <v>0</v>
      </c>
      <c r="W4973">
        <v>157</v>
      </c>
      <c r="X4973">
        <v>295</v>
      </c>
      <c r="Y4973">
        <v>0</v>
      </c>
      <c r="Z4973">
        <v>42.757980000000003</v>
      </c>
      <c r="AA4973">
        <v>0</v>
      </c>
      <c r="AB4973">
        <v>8.2252159999999996</v>
      </c>
      <c r="AC4973">
        <v>9.9773120000000003E-3</v>
      </c>
      <c r="AD4973">
        <v>1.2311399999999999</v>
      </c>
      <c r="AE4973">
        <v>0.57514089999999995</v>
      </c>
      <c r="AF4973">
        <v>498.1345</v>
      </c>
      <c r="AG4973">
        <f>IFERROR(AH4973*0.1, "N/A")</f>
        <v>6.9554620000000007</v>
      </c>
      <c r="AH4973">
        <v>69.55462</v>
      </c>
      <c r="AI4973">
        <v>212.59540000000001</v>
      </c>
      <c r="AJ4973">
        <v>10.7042</v>
      </c>
      <c r="AK4973">
        <v>74.551259999999999</v>
      </c>
    </row>
    <row r="4974" spans="1:37" x14ac:dyDescent="0.3">
      <c r="A4974">
        <v>4973</v>
      </c>
      <c r="B4974">
        <v>4</v>
      </c>
      <c r="C4974">
        <v>9.0214200000000009</v>
      </c>
      <c r="D4974">
        <v>13.8879</v>
      </c>
      <c r="E4974" t="s">
        <v>7965</v>
      </c>
      <c r="F4974" t="s">
        <v>7966</v>
      </c>
      <c r="G4974" t="s">
        <v>39</v>
      </c>
      <c r="H4974">
        <v>0</v>
      </c>
      <c r="I4974">
        <v>28</v>
      </c>
      <c r="J4974">
        <v>14.2</v>
      </c>
      <c r="K4974">
        <v>55</v>
      </c>
      <c r="L4974">
        <v>33.04</v>
      </c>
      <c r="M4974">
        <v>40</v>
      </c>
      <c r="N4974">
        <v>14.4</v>
      </c>
      <c r="O4974">
        <v>25.6</v>
      </c>
      <c r="P4974">
        <v>28.2</v>
      </c>
      <c r="Q4974">
        <v>23.7</v>
      </c>
      <c r="R4974">
        <v>32.1</v>
      </c>
      <c r="S4974">
        <v>23.3</v>
      </c>
      <c r="T4974">
        <v>344</v>
      </c>
      <c r="U4974">
        <v>141</v>
      </c>
      <c r="V4974">
        <v>0</v>
      </c>
      <c r="W4974">
        <v>156</v>
      </c>
      <c r="X4974">
        <v>294</v>
      </c>
      <c r="Y4974">
        <v>0</v>
      </c>
      <c r="Z4974">
        <v>46</v>
      </c>
      <c r="AA4974">
        <v>0</v>
      </c>
      <c r="AB4974">
        <v>23.577649999999998</v>
      </c>
      <c r="AC4974">
        <v>2.0075639999999999E-2</v>
      </c>
      <c r="AD4974">
        <v>3.7289810000000001</v>
      </c>
      <c r="AE4974">
        <v>0.64935849999999995</v>
      </c>
      <c r="AF4974">
        <v>468.1506</v>
      </c>
      <c r="AG4974">
        <f>IFERROR(AH4974*0.1, "N/A")</f>
        <v>7.1000000000000005</v>
      </c>
      <c r="AH4974">
        <v>71</v>
      </c>
      <c r="AI4974">
        <v>304.90339999999998</v>
      </c>
      <c r="AJ4974">
        <v>16</v>
      </c>
      <c r="AK4974">
        <v>69.175970000000007</v>
      </c>
    </row>
    <row r="4975" spans="1:37" x14ac:dyDescent="0.3">
      <c r="A4975">
        <v>4974</v>
      </c>
      <c r="B4975">
        <v>10</v>
      </c>
      <c r="C4975">
        <v>9.1704699999999999</v>
      </c>
      <c r="D4975">
        <v>13.8911</v>
      </c>
      <c r="E4975" t="s">
        <v>7967</v>
      </c>
      <c r="F4975" t="s">
        <v>7968</v>
      </c>
      <c r="G4975" t="s">
        <v>39</v>
      </c>
      <c r="H4975">
        <v>0</v>
      </c>
      <c r="I4975">
        <v>27.717510000000001</v>
      </c>
      <c r="J4975">
        <v>14.4</v>
      </c>
      <c r="K4975">
        <v>56</v>
      </c>
      <c r="L4975">
        <v>32.342219999999998</v>
      </c>
      <c r="M4975">
        <v>39.83502</v>
      </c>
      <c r="N4975">
        <v>14.33502</v>
      </c>
      <c r="O4975">
        <v>25.5</v>
      </c>
      <c r="P4975">
        <v>27.717510000000001</v>
      </c>
      <c r="Q4975">
        <v>23.535019999999999</v>
      </c>
      <c r="R4975">
        <v>31.817509999999999</v>
      </c>
      <c r="S4975">
        <v>23.135020000000001</v>
      </c>
      <c r="T4975">
        <v>327.47469999999998</v>
      </c>
      <c r="U4975">
        <v>132.6498</v>
      </c>
      <c r="V4975">
        <v>0</v>
      </c>
      <c r="W4975">
        <v>153.6498</v>
      </c>
      <c r="X4975">
        <v>279.47469999999998</v>
      </c>
      <c r="Y4975">
        <v>0</v>
      </c>
      <c r="Z4975">
        <v>44</v>
      </c>
      <c r="AA4975">
        <v>0</v>
      </c>
      <c r="AB4975">
        <v>14.50522</v>
      </c>
      <c r="AC4975">
        <v>1.5836670000000001E-2</v>
      </c>
      <c r="AD4975">
        <v>1.653699</v>
      </c>
      <c r="AE4975">
        <v>0.59039719999999996</v>
      </c>
      <c r="AF4975">
        <v>493.86869999999999</v>
      </c>
      <c r="AG4975">
        <f>IFERROR(AH4975*0.1, "N/A")</f>
        <v>6.8907410000000002</v>
      </c>
      <c r="AH4975">
        <v>68.907409999999999</v>
      </c>
      <c r="AI4975">
        <v>46.109430000000003</v>
      </c>
      <c r="AJ4975">
        <v>14.882149999999999</v>
      </c>
      <c r="AK4975">
        <v>68.412459999999996</v>
      </c>
    </row>
    <row r="4976" spans="1:37" x14ac:dyDescent="0.3">
      <c r="A4976">
        <v>4975</v>
      </c>
      <c r="B4976">
        <v>82</v>
      </c>
      <c r="C4976">
        <v>3.0200499999999999</v>
      </c>
      <c r="D4976">
        <v>13.8919</v>
      </c>
      <c r="E4976" t="s">
        <v>7969</v>
      </c>
      <c r="F4976" t="s">
        <v>7970</v>
      </c>
      <c r="G4976" t="s">
        <v>39</v>
      </c>
      <c r="H4976">
        <v>0</v>
      </c>
      <c r="I4976">
        <v>29.1</v>
      </c>
      <c r="J4976">
        <v>14</v>
      </c>
      <c r="K4976">
        <v>57</v>
      </c>
      <c r="L4976">
        <v>28.30592</v>
      </c>
      <c r="M4976">
        <v>40.740139999999997</v>
      </c>
      <c r="N4976">
        <v>16.420069999999999</v>
      </c>
      <c r="O4976">
        <v>24.320070000000001</v>
      </c>
      <c r="P4976">
        <v>28.5</v>
      </c>
      <c r="Q4976">
        <v>27.3</v>
      </c>
      <c r="R4976">
        <v>32.820070000000001</v>
      </c>
      <c r="S4976">
        <v>25.420069999999999</v>
      </c>
      <c r="T4976">
        <v>380.20069999999998</v>
      </c>
      <c r="U4976">
        <v>137</v>
      </c>
      <c r="V4976">
        <v>0</v>
      </c>
      <c r="W4976">
        <v>142</v>
      </c>
      <c r="X4976">
        <v>306</v>
      </c>
      <c r="Y4976">
        <v>0</v>
      </c>
      <c r="Z4976">
        <v>71.200670000000002</v>
      </c>
      <c r="AA4976">
        <v>0</v>
      </c>
      <c r="AB4976">
        <v>5.7146679999999996</v>
      </c>
      <c r="AC4976">
        <v>5.3917840000000002E-2</v>
      </c>
      <c r="AD4976">
        <v>1.532259</v>
      </c>
      <c r="AE4976">
        <v>0.50778559999999995</v>
      </c>
      <c r="AF4976">
        <v>219.1703</v>
      </c>
      <c r="AG4976">
        <f>IFERROR(AH4976*0.1, "N/A")</f>
        <v>6.2</v>
      </c>
      <c r="AH4976">
        <v>62</v>
      </c>
      <c r="AI4976">
        <v>183.2397</v>
      </c>
      <c r="AJ4976">
        <v>12</v>
      </c>
      <c r="AK4976">
        <v>72</v>
      </c>
    </row>
    <row r="4977" spans="1:37" x14ac:dyDescent="0.3">
      <c r="A4977">
        <v>4976</v>
      </c>
      <c r="B4977">
        <v>26.7</v>
      </c>
      <c r="C4977">
        <v>3.07158</v>
      </c>
      <c r="D4977">
        <v>13.897500000000001</v>
      </c>
      <c r="E4977" t="s">
        <v>7971</v>
      </c>
      <c r="F4977" t="s">
        <v>7972</v>
      </c>
      <c r="G4977" t="s">
        <v>39</v>
      </c>
      <c r="H4977">
        <v>0</v>
      </c>
      <c r="I4977">
        <v>29.1</v>
      </c>
      <c r="J4977">
        <v>14</v>
      </c>
      <c r="K4977">
        <v>57</v>
      </c>
      <c r="L4977">
        <v>28.07</v>
      </c>
      <c r="M4977">
        <v>40.9</v>
      </c>
      <c r="N4977">
        <v>16.600000000000001</v>
      </c>
      <c r="O4977">
        <v>24.3</v>
      </c>
      <c r="P4977">
        <v>28.5</v>
      </c>
      <c r="Q4977">
        <v>27.4</v>
      </c>
      <c r="R4977">
        <v>32.9</v>
      </c>
      <c r="S4977">
        <v>25.5</v>
      </c>
      <c r="T4977">
        <v>380</v>
      </c>
      <c r="U4977">
        <v>137</v>
      </c>
      <c r="V4977">
        <v>0</v>
      </c>
      <c r="W4977">
        <v>143</v>
      </c>
      <c r="X4977">
        <v>306</v>
      </c>
      <c r="Y4977">
        <v>0</v>
      </c>
      <c r="Z4977">
        <v>71</v>
      </c>
      <c r="AA4977">
        <v>0</v>
      </c>
      <c r="AB4977">
        <v>3.6995</v>
      </c>
      <c r="AC4977">
        <v>2.592589E-2</v>
      </c>
      <c r="AD4977">
        <v>1.8095870000000001</v>
      </c>
      <c r="AE4977">
        <v>0.48955759999999998</v>
      </c>
      <c r="AF4977">
        <v>213.6756</v>
      </c>
      <c r="AG4977">
        <f>IFERROR(AH4977*0.1, "N/A")</f>
        <v>6.5798320000000006</v>
      </c>
      <c r="AH4977">
        <v>65.798320000000004</v>
      </c>
      <c r="AI4977">
        <v>91.822339999999997</v>
      </c>
      <c r="AJ4977">
        <v>13.865550000000001</v>
      </c>
      <c r="AK4977">
        <v>73.268910000000005</v>
      </c>
    </row>
    <row r="4978" spans="1:37" x14ac:dyDescent="0.3">
      <c r="A4978">
        <v>4977</v>
      </c>
      <c r="B4978">
        <v>2.9</v>
      </c>
      <c r="C4978">
        <v>1.2052700000000001</v>
      </c>
      <c r="D4978">
        <v>13.911300000000001</v>
      </c>
      <c r="E4978" t="s">
        <v>7973</v>
      </c>
      <c r="F4978" t="s">
        <v>7974</v>
      </c>
      <c r="G4978" t="s">
        <v>39</v>
      </c>
      <c r="H4978">
        <v>0</v>
      </c>
      <c r="I4978">
        <v>29.2</v>
      </c>
      <c r="J4978">
        <v>14.4</v>
      </c>
      <c r="K4978">
        <v>58</v>
      </c>
      <c r="L4978">
        <v>28.31</v>
      </c>
      <c r="M4978">
        <v>40.700000000000003</v>
      </c>
      <c r="N4978">
        <v>15.9</v>
      </c>
      <c r="O4978">
        <v>24.8</v>
      </c>
      <c r="P4978">
        <v>28.7</v>
      </c>
      <c r="Q4978">
        <v>27.2</v>
      </c>
      <c r="R4978">
        <v>32.799999999999997</v>
      </c>
      <c r="S4978">
        <v>25.4</v>
      </c>
      <c r="T4978">
        <v>401</v>
      </c>
      <c r="U4978">
        <v>151</v>
      </c>
      <c r="V4978">
        <v>0</v>
      </c>
      <c r="W4978">
        <v>145</v>
      </c>
      <c r="X4978">
        <v>330</v>
      </c>
      <c r="Y4978">
        <v>0</v>
      </c>
      <c r="Z4978">
        <v>64</v>
      </c>
      <c r="AA4978">
        <v>0</v>
      </c>
      <c r="AB4978">
        <v>8.450507</v>
      </c>
      <c r="AC4978">
        <v>2.727373E-2</v>
      </c>
      <c r="AD4978">
        <v>3.5156999999999998</v>
      </c>
      <c r="AE4978">
        <v>0.70785580000000003</v>
      </c>
      <c r="AF4978">
        <v>225.8792</v>
      </c>
      <c r="AG4978">
        <f>IFERROR(AH4978*0.1, "N/A")</f>
        <v>6.2479870000000002</v>
      </c>
      <c r="AH4978">
        <v>62.479869999999998</v>
      </c>
      <c r="AI4978">
        <v>191.25620000000001</v>
      </c>
      <c r="AJ4978">
        <v>11</v>
      </c>
      <c r="AK4978">
        <v>78.013419999999996</v>
      </c>
    </row>
    <row r="4979" spans="1:37" x14ac:dyDescent="0.3">
      <c r="A4979">
        <v>4978</v>
      </c>
      <c r="B4979">
        <v>0</v>
      </c>
      <c r="C4979">
        <v>1.2067000000000001</v>
      </c>
      <c r="D4979">
        <v>13.911899999999999</v>
      </c>
      <c r="E4979" t="s">
        <v>7975</v>
      </c>
      <c r="F4979" t="s">
        <v>7976</v>
      </c>
      <c r="G4979" t="s">
        <v>37</v>
      </c>
      <c r="H4979">
        <v>1987</v>
      </c>
      <c r="I4979">
        <v>29.2</v>
      </c>
      <c r="J4979">
        <v>14.4</v>
      </c>
      <c r="K4979">
        <v>58</v>
      </c>
      <c r="L4979">
        <v>28.31</v>
      </c>
      <c r="M4979">
        <v>40.700000000000003</v>
      </c>
      <c r="N4979">
        <v>15.9</v>
      </c>
      <c r="O4979">
        <v>24.8</v>
      </c>
      <c r="P4979">
        <v>28.7</v>
      </c>
      <c r="Q4979">
        <v>27.2</v>
      </c>
      <c r="R4979">
        <v>32.799999999999997</v>
      </c>
      <c r="S4979">
        <v>25.4</v>
      </c>
      <c r="T4979">
        <v>401</v>
      </c>
      <c r="U4979">
        <v>151</v>
      </c>
      <c r="V4979">
        <v>0</v>
      </c>
      <c r="W4979">
        <v>145</v>
      </c>
      <c r="X4979">
        <v>330</v>
      </c>
      <c r="Y4979">
        <v>0</v>
      </c>
      <c r="Z4979">
        <v>64</v>
      </c>
      <c r="AA4979">
        <v>0</v>
      </c>
      <c r="AB4979">
        <v>10.65278</v>
      </c>
      <c r="AC4979">
        <v>6.061909E-2</v>
      </c>
      <c r="AD4979">
        <v>2.0016859999999999</v>
      </c>
      <c r="AE4979">
        <v>0.70793269999999997</v>
      </c>
      <c r="AF4979">
        <v>226.58680000000001</v>
      </c>
      <c r="AG4979">
        <f>IFERROR(AH4979*0.1, "N/A")</f>
        <v>6.3268130000000005</v>
      </c>
      <c r="AH4979">
        <v>63.268129999999999</v>
      </c>
      <c r="AI4979">
        <v>181.45009999999999</v>
      </c>
      <c r="AJ4979">
        <v>10.2715</v>
      </c>
      <c r="AK4979">
        <v>79.617199999999997</v>
      </c>
    </row>
    <row r="4980" spans="1:37" x14ac:dyDescent="0.3">
      <c r="A4980">
        <v>4979</v>
      </c>
      <c r="B4980">
        <v>12</v>
      </c>
      <c r="C4980">
        <v>8.98827</v>
      </c>
      <c r="D4980">
        <v>13.9152</v>
      </c>
      <c r="E4980" t="s">
        <v>7977</v>
      </c>
      <c r="F4980" t="s">
        <v>7978</v>
      </c>
      <c r="G4980" t="s">
        <v>39</v>
      </c>
      <c r="H4980">
        <v>0</v>
      </c>
      <c r="I4980">
        <v>28.1</v>
      </c>
      <c r="J4980">
        <v>14.2</v>
      </c>
      <c r="K4980">
        <v>55</v>
      </c>
      <c r="L4980">
        <v>33.03</v>
      </c>
      <c r="M4980">
        <v>40.1</v>
      </c>
      <c r="N4980">
        <v>14.4</v>
      </c>
      <c r="O4980">
        <v>25.7</v>
      </c>
      <c r="P4980">
        <v>28.3</v>
      </c>
      <c r="Q4980">
        <v>23.8</v>
      </c>
      <c r="R4980">
        <v>32.200000000000003</v>
      </c>
      <c r="S4980">
        <v>23.4</v>
      </c>
      <c r="T4980">
        <v>336</v>
      </c>
      <c r="U4980">
        <v>138</v>
      </c>
      <c r="V4980">
        <v>0</v>
      </c>
      <c r="W4980">
        <v>153</v>
      </c>
      <c r="X4980">
        <v>288</v>
      </c>
      <c r="Y4980">
        <v>0</v>
      </c>
      <c r="Z4980">
        <v>44</v>
      </c>
      <c r="AA4980">
        <v>0</v>
      </c>
      <c r="AB4980">
        <v>13.084479999999999</v>
      </c>
      <c r="AC4980">
        <v>1.7919589999999999E-2</v>
      </c>
      <c r="AD4980">
        <v>3.8502809999999998</v>
      </c>
      <c r="AE4980">
        <v>0.73249719999999996</v>
      </c>
      <c r="AF4980">
        <v>457.92919999999998</v>
      </c>
      <c r="AG4980">
        <f>IFERROR(AH4980*0.1, "N/A")</f>
        <v>6.6000000000000005</v>
      </c>
      <c r="AH4980">
        <v>66</v>
      </c>
      <c r="AI4980">
        <v>161.0795</v>
      </c>
      <c r="AJ4980">
        <v>8.9291739999999997</v>
      </c>
      <c r="AK4980">
        <v>76.357500000000002</v>
      </c>
    </row>
    <row r="4981" spans="1:37" x14ac:dyDescent="0.3">
      <c r="A4981">
        <v>4980</v>
      </c>
      <c r="B4981">
        <v>50</v>
      </c>
      <c r="C4981">
        <v>1.2421</v>
      </c>
      <c r="D4981">
        <v>13.9177</v>
      </c>
      <c r="E4981" t="s">
        <v>7979</v>
      </c>
      <c r="F4981" t="s">
        <v>7980</v>
      </c>
      <c r="G4981" t="s">
        <v>39</v>
      </c>
      <c r="H4981">
        <v>0</v>
      </c>
      <c r="I4981">
        <v>29.2</v>
      </c>
      <c r="J4981">
        <v>14.4</v>
      </c>
      <c r="K4981">
        <v>57</v>
      </c>
      <c r="L4981">
        <v>28.39791</v>
      </c>
      <c r="M4981">
        <v>40.9</v>
      </c>
      <c r="N4981">
        <v>16</v>
      </c>
      <c r="O4981">
        <v>24.9</v>
      </c>
      <c r="P4981">
        <v>28.7</v>
      </c>
      <c r="Q4981">
        <v>27.3</v>
      </c>
      <c r="R4981">
        <v>32.9</v>
      </c>
      <c r="S4981">
        <v>25.4</v>
      </c>
      <c r="T4981">
        <v>397.05220000000003</v>
      </c>
      <c r="U4981">
        <v>151</v>
      </c>
      <c r="V4981">
        <v>0</v>
      </c>
      <c r="W4981">
        <v>144</v>
      </c>
      <c r="X4981">
        <v>329</v>
      </c>
      <c r="Y4981">
        <v>0</v>
      </c>
      <c r="Z4981">
        <v>61.052190000000003</v>
      </c>
      <c r="AA4981">
        <v>0</v>
      </c>
      <c r="AB4981">
        <v>1.8732260000000001</v>
      </c>
      <c r="AC4981">
        <v>1.449305E-2</v>
      </c>
      <c r="AD4981">
        <v>0.70765990000000001</v>
      </c>
      <c r="AE4981">
        <v>0.66704929999999996</v>
      </c>
      <c r="AF4981">
        <v>219.7929</v>
      </c>
      <c r="AG4981">
        <f>IFERROR(AH4981*0.1, "N/A")</f>
        <v>6.4947810000000006</v>
      </c>
      <c r="AH4981">
        <v>64.947810000000004</v>
      </c>
      <c r="AI4981">
        <v>277.00569999999999</v>
      </c>
      <c r="AJ4981">
        <v>21.353539999999999</v>
      </c>
      <c r="AK4981">
        <v>62.436030000000002</v>
      </c>
    </row>
    <row r="4982" spans="1:37" x14ac:dyDescent="0.3">
      <c r="A4982">
        <v>4981</v>
      </c>
      <c r="B4982">
        <v>96.7</v>
      </c>
      <c r="C4982">
        <v>1.57433</v>
      </c>
      <c r="D4982">
        <v>13.9198</v>
      </c>
      <c r="E4982" t="s">
        <v>7981</v>
      </c>
      <c r="F4982" t="s">
        <v>7982</v>
      </c>
      <c r="G4982" t="s">
        <v>39</v>
      </c>
      <c r="H4982">
        <v>0</v>
      </c>
      <c r="I4982">
        <v>29.5</v>
      </c>
      <c r="J4982">
        <v>14.3</v>
      </c>
      <c r="K4982">
        <v>57</v>
      </c>
      <c r="L4982">
        <v>28.871320000000001</v>
      </c>
      <c r="M4982">
        <v>41.3</v>
      </c>
      <c r="N4982">
        <v>16.3</v>
      </c>
      <c r="O4982">
        <v>25</v>
      </c>
      <c r="P4982">
        <v>29</v>
      </c>
      <c r="Q4982">
        <v>25.982600000000001</v>
      </c>
      <c r="R4982">
        <v>33.299999999999997</v>
      </c>
      <c r="S4982">
        <v>25.682600000000001</v>
      </c>
      <c r="T4982">
        <v>371</v>
      </c>
      <c r="U4982">
        <v>133</v>
      </c>
      <c r="V4982">
        <v>0</v>
      </c>
      <c r="W4982">
        <v>145</v>
      </c>
      <c r="X4982">
        <v>308.17399999999998</v>
      </c>
      <c r="Y4982">
        <v>0</v>
      </c>
      <c r="Z4982">
        <v>55</v>
      </c>
      <c r="AA4982">
        <v>0</v>
      </c>
      <c r="AB4982">
        <v>2.0077769999999999</v>
      </c>
      <c r="AC4982">
        <v>0.29101749999999998</v>
      </c>
      <c r="AD4982">
        <v>1.4798899999999999</v>
      </c>
      <c r="AE4982">
        <v>0.58830839999999995</v>
      </c>
      <c r="AF4982">
        <v>195.53720000000001</v>
      </c>
      <c r="AG4982">
        <f>IFERROR(AH4982*0.1, "N/A")</f>
        <v>6.2153720000000003</v>
      </c>
      <c r="AH4982">
        <v>62.15372</v>
      </c>
      <c r="AI4982">
        <v>237.9743</v>
      </c>
      <c r="AJ4982">
        <v>18.47128</v>
      </c>
      <c r="AK4982">
        <v>61.20946</v>
      </c>
    </row>
    <row r="4983" spans="1:37" x14ac:dyDescent="0.3">
      <c r="A4983">
        <v>4982</v>
      </c>
      <c r="B4983">
        <v>87.8</v>
      </c>
      <c r="C4983">
        <v>9.2593499999999995</v>
      </c>
      <c r="D4983">
        <v>13.9215</v>
      </c>
      <c r="E4983" t="s">
        <v>7983</v>
      </c>
      <c r="F4983" t="s">
        <v>7984</v>
      </c>
      <c r="G4983" t="s">
        <v>39</v>
      </c>
      <c r="H4983">
        <v>0</v>
      </c>
      <c r="I4983">
        <v>28</v>
      </c>
      <c r="J4983">
        <v>14.5</v>
      </c>
      <c r="K4983">
        <v>56</v>
      </c>
      <c r="L4983">
        <v>31.91</v>
      </c>
      <c r="M4983">
        <v>40.200000000000003</v>
      </c>
      <c r="N4983">
        <v>14.7</v>
      </c>
      <c r="O4983">
        <v>25.5</v>
      </c>
      <c r="P4983">
        <v>27.8</v>
      </c>
      <c r="Q4983">
        <v>24</v>
      </c>
      <c r="R4983">
        <v>32.1</v>
      </c>
      <c r="S4983">
        <v>23.6</v>
      </c>
      <c r="T4983">
        <v>308</v>
      </c>
      <c r="U4983">
        <v>125</v>
      </c>
      <c r="V4983">
        <v>0</v>
      </c>
      <c r="W4983">
        <v>156</v>
      </c>
      <c r="X4983">
        <v>264</v>
      </c>
      <c r="Y4983">
        <v>0</v>
      </c>
      <c r="Z4983">
        <v>40</v>
      </c>
      <c r="AA4983">
        <v>0</v>
      </c>
      <c r="AB4983">
        <v>17.733840000000001</v>
      </c>
      <c r="AC4983">
        <v>2.749016E-2</v>
      </c>
      <c r="AD4983">
        <v>3.254893</v>
      </c>
      <c r="AE4983">
        <v>0.64291920000000002</v>
      </c>
      <c r="AF4983">
        <v>448.31479999999999</v>
      </c>
      <c r="AG4983">
        <f>IFERROR(AH4983*0.1, "N/A")</f>
        <v>7</v>
      </c>
      <c r="AH4983">
        <v>70</v>
      </c>
      <c r="AI4983">
        <v>200.10059999999999</v>
      </c>
      <c r="AJ4983">
        <v>16.095960000000002</v>
      </c>
      <c r="AK4983">
        <v>69.424239999999998</v>
      </c>
    </row>
    <row r="4984" spans="1:37" x14ac:dyDescent="0.3">
      <c r="A4984">
        <v>4983</v>
      </c>
      <c r="B4984">
        <v>50</v>
      </c>
      <c r="C4984">
        <v>9.3367699999999996</v>
      </c>
      <c r="D4984">
        <v>13.930400000000001</v>
      </c>
      <c r="E4984" t="s">
        <v>7985</v>
      </c>
      <c r="F4984" t="s">
        <v>7986</v>
      </c>
      <c r="G4984" t="s">
        <v>39</v>
      </c>
      <c r="H4984">
        <v>0</v>
      </c>
      <c r="I4984">
        <v>27.9</v>
      </c>
      <c r="J4984">
        <v>14.6</v>
      </c>
      <c r="K4984">
        <v>57</v>
      </c>
      <c r="L4984">
        <v>31.66</v>
      </c>
      <c r="M4984">
        <v>40.1</v>
      </c>
      <c r="N4984">
        <v>14.5</v>
      </c>
      <c r="O4984">
        <v>25.6</v>
      </c>
      <c r="P4984">
        <v>27.7</v>
      </c>
      <c r="Q4984">
        <v>23.9</v>
      </c>
      <c r="R4984">
        <v>32</v>
      </c>
      <c r="S4984">
        <v>23.5</v>
      </c>
      <c r="T4984">
        <v>302</v>
      </c>
      <c r="U4984">
        <v>122</v>
      </c>
      <c r="V4984">
        <v>0</v>
      </c>
      <c r="W4984">
        <v>153</v>
      </c>
      <c r="X4984">
        <v>258</v>
      </c>
      <c r="Y4984">
        <v>0</v>
      </c>
      <c r="Z4984">
        <v>40</v>
      </c>
      <c r="AA4984">
        <v>0</v>
      </c>
      <c r="AB4984">
        <v>8.6223589999999994</v>
      </c>
      <c r="AC4984">
        <v>2.3578370000000001E-2</v>
      </c>
      <c r="AD4984">
        <v>0.64147829999999995</v>
      </c>
      <c r="AE4984">
        <v>0.42658380000000001</v>
      </c>
      <c r="AF4984">
        <v>438.53609999999998</v>
      </c>
      <c r="AG4984">
        <f>IFERROR(AH4984*0.1, "N/A")</f>
        <v>6.9072270000000007</v>
      </c>
      <c r="AH4984">
        <v>69.072270000000003</v>
      </c>
      <c r="AI4984">
        <v>161.94040000000001</v>
      </c>
      <c r="AJ4984">
        <v>12.82353</v>
      </c>
      <c r="AK4984">
        <v>72.927729999999997</v>
      </c>
    </row>
    <row r="4985" spans="1:37" x14ac:dyDescent="0.3">
      <c r="A4985">
        <v>4984</v>
      </c>
      <c r="B4985">
        <v>0</v>
      </c>
      <c r="C4985">
        <v>1.5333300000000001</v>
      </c>
      <c r="D4985">
        <v>13.933299999999999</v>
      </c>
      <c r="E4985" t="s">
        <v>7987</v>
      </c>
      <c r="F4985" t="s">
        <v>7988</v>
      </c>
      <c r="G4985" t="s">
        <v>37</v>
      </c>
      <c r="H4985">
        <v>1987</v>
      </c>
      <c r="I4985">
        <v>29.55067</v>
      </c>
      <c r="J4985">
        <v>14.3</v>
      </c>
      <c r="K4985">
        <v>57</v>
      </c>
      <c r="L4985">
        <v>28.855340000000002</v>
      </c>
      <c r="M4985">
        <v>41.201340000000002</v>
      </c>
      <c r="N4985">
        <v>16.3</v>
      </c>
      <c r="O4985">
        <v>24.901340000000001</v>
      </c>
      <c r="P4985">
        <v>29.016279999999998</v>
      </c>
      <c r="Q4985">
        <v>25.950669999999999</v>
      </c>
      <c r="R4985">
        <v>33.242620000000002</v>
      </c>
      <c r="S4985">
        <v>25.650670000000002</v>
      </c>
      <c r="T4985">
        <v>379.06709999999998</v>
      </c>
      <c r="U4985">
        <v>137.57380000000001</v>
      </c>
      <c r="V4985">
        <v>0</v>
      </c>
      <c r="W4985">
        <v>143.57380000000001</v>
      </c>
      <c r="X4985">
        <v>314.06709999999998</v>
      </c>
      <c r="Y4985">
        <v>0</v>
      </c>
      <c r="Z4985">
        <v>57</v>
      </c>
      <c r="AA4985">
        <v>0</v>
      </c>
      <c r="AB4985">
        <v>1.4986550000000001</v>
      </c>
      <c r="AC4985">
        <v>0.78103719999999999</v>
      </c>
      <c r="AD4985">
        <v>1.080212</v>
      </c>
      <c r="AE4985">
        <v>0.4431581</v>
      </c>
      <c r="AF4985">
        <v>193.0419</v>
      </c>
      <c r="AG4985">
        <f>IFERROR(AH4985*0.1, "N/A")</f>
        <v>6.5</v>
      </c>
      <c r="AH4985">
        <v>65</v>
      </c>
      <c r="AI4985">
        <v>133.90459999999999</v>
      </c>
      <c r="AJ4985">
        <v>14</v>
      </c>
      <c r="AK4985">
        <v>71</v>
      </c>
    </row>
    <row r="4986" spans="1:37" x14ac:dyDescent="0.3">
      <c r="A4986">
        <v>4985</v>
      </c>
      <c r="B4986">
        <v>15.6</v>
      </c>
      <c r="C4986">
        <v>9.0769800000000007</v>
      </c>
      <c r="D4986">
        <v>13.933299999999999</v>
      </c>
      <c r="E4986" t="s">
        <v>7989</v>
      </c>
      <c r="F4986" t="s">
        <v>7990</v>
      </c>
      <c r="G4986" t="s">
        <v>39</v>
      </c>
      <c r="H4986">
        <v>0</v>
      </c>
      <c r="I4986">
        <v>28.1</v>
      </c>
      <c r="J4986">
        <v>14.3</v>
      </c>
      <c r="K4986">
        <v>55</v>
      </c>
      <c r="L4986">
        <v>32.773530000000001</v>
      </c>
      <c r="M4986">
        <v>40.200000000000003</v>
      </c>
      <c r="N4986">
        <v>14.6</v>
      </c>
      <c r="O4986">
        <v>25.6</v>
      </c>
      <c r="P4986">
        <v>28.1</v>
      </c>
      <c r="Q4986">
        <v>23.9</v>
      </c>
      <c r="R4986">
        <v>32.200000000000003</v>
      </c>
      <c r="S4986">
        <v>23.5</v>
      </c>
      <c r="T4986">
        <v>321.19189999999998</v>
      </c>
      <c r="U4986">
        <v>130.83840000000001</v>
      </c>
      <c r="V4986">
        <v>0</v>
      </c>
      <c r="W4986">
        <v>156</v>
      </c>
      <c r="X4986">
        <v>274.67680000000001</v>
      </c>
      <c r="Y4986">
        <v>0</v>
      </c>
      <c r="Z4986">
        <v>42.676769999999998</v>
      </c>
      <c r="AA4986">
        <v>0</v>
      </c>
      <c r="AB4986">
        <v>8.4609450000000006</v>
      </c>
      <c r="AC4986">
        <v>8.4269489999999996E-3</v>
      </c>
      <c r="AD4986">
        <v>1.858114</v>
      </c>
      <c r="AE4986">
        <v>0.51913209999999999</v>
      </c>
      <c r="AF4986">
        <v>442.16669999999999</v>
      </c>
      <c r="AG4986">
        <f>IFERROR(AH4986*0.1, "N/A")</f>
        <v>6.6664980000000007</v>
      </c>
      <c r="AH4986">
        <v>66.66498</v>
      </c>
      <c r="AI4986">
        <v>181.96440000000001</v>
      </c>
      <c r="AJ4986">
        <v>12</v>
      </c>
      <c r="AK4986">
        <v>74.877099999999999</v>
      </c>
    </row>
    <row r="4987" spans="1:37" x14ac:dyDescent="0.3">
      <c r="A4987">
        <v>4986</v>
      </c>
      <c r="B4987">
        <v>17.8</v>
      </c>
      <c r="C4987">
        <v>1.5287500000000001</v>
      </c>
      <c r="D4987">
        <v>13.934200000000001</v>
      </c>
      <c r="E4987" t="s">
        <v>7991</v>
      </c>
      <c r="F4987" t="s">
        <v>7992</v>
      </c>
      <c r="G4987" t="s">
        <v>39</v>
      </c>
      <c r="H4987">
        <v>0</v>
      </c>
      <c r="I4987">
        <v>29.585570000000001</v>
      </c>
      <c r="J4987">
        <v>14.3</v>
      </c>
      <c r="K4987">
        <v>57</v>
      </c>
      <c r="L4987">
        <v>28.76896</v>
      </c>
      <c r="M4987">
        <v>41.271140000000003</v>
      </c>
      <c r="N4987">
        <v>16.3</v>
      </c>
      <c r="O4987">
        <v>24.971139999999998</v>
      </c>
      <c r="P4987">
        <v>29.085570000000001</v>
      </c>
      <c r="Q4987">
        <v>25.985569999999999</v>
      </c>
      <c r="R4987">
        <v>33.200000000000003</v>
      </c>
      <c r="S4987">
        <v>25.685569999999998</v>
      </c>
      <c r="T4987">
        <v>379.14429999999999</v>
      </c>
      <c r="U4987">
        <v>138</v>
      </c>
      <c r="V4987">
        <v>0</v>
      </c>
      <c r="W4987">
        <v>144</v>
      </c>
      <c r="X4987">
        <v>314.14429999999999</v>
      </c>
      <c r="Y4987">
        <v>0</v>
      </c>
      <c r="Z4987">
        <v>57</v>
      </c>
      <c r="AA4987">
        <v>0</v>
      </c>
      <c r="AB4987">
        <v>3.4800300000000002</v>
      </c>
      <c r="AC4987">
        <v>1.162996E-2</v>
      </c>
      <c r="AD4987">
        <v>1.7580229999999999</v>
      </c>
      <c r="AE4987">
        <v>0.37160290000000001</v>
      </c>
      <c r="AF4987">
        <v>202.35230000000001</v>
      </c>
      <c r="AG4987">
        <f>IFERROR(AH4987*0.1, "N/A")</f>
        <v>6.5877520000000009</v>
      </c>
      <c r="AH4987">
        <v>65.877520000000004</v>
      </c>
      <c r="AI4987">
        <v>142.55009999999999</v>
      </c>
      <c r="AJ4987">
        <v>15.746639999999999</v>
      </c>
      <c r="AK4987">
        <v>72.021810000000002</v>
      </c>
    </row>
    <row r="4988" spans="1:37" x14ac:dyDescent="0.3">
      <c r="A4988">
        <v>4987</v>
      </c>
      <c r="B4988">
        <v>10.8</v>
      </c>
      <c r="C4988">
        <v>9.1631699999999991</v>
      </c>
      <c r="D4988">
        <v>13.9412</v>
      </c>
      <c r="E4988" t="s">
        <v>7993</v>
      </c>
      <c r="F4988" t="s">
        <v>7994</v>
      </c>
      <c r="G4988" t="s">
        <v>39</v>
      </c>
      <c r="H4988">
        <v>0</v>
      </c>
      <c r="I4988">
        <v>27.893270000000001</v>
      </c>
      <c r="J4988">
        <v>14.4</v>
      </c>
      <c r="K4988">
        <v>56</v>
      </c>
      <c r="L4988">
        <v>32.20673</v>
      </c>
      <c r="M4988">
        <v>39.993270000000003</v>
      </c>
      <c r="N4988">
        <v>14.58653</v>
      </c>
      <c r="O4988">
        <v>25.40673</v>
      </c>
      <c r="P4988">
        <v>27.893270000000001</v>
      </c>
      <c r="Q4988">
        <v>23.79327</v>
      </c>
      <c r="R4988">
        <v>31.993269999999999</v>
      </c>
      <c r="S4988">
        <v>23.393270000000001</v>
      </c>
      <c r="T4988">
        <v>313.86529999999999</v>
      </c>
      <c r="U4988">
        <v>127.9327</v>
      </c>
      <c r="V4988">
        <v>0</v>
      </c>
      <c r="W4988">
        <v>152.93270000000001</v>
      </c>
      <c r="X4988">
        <v>268.86529999999999</v>
      </c>
      <c r="Y4988">
        <v>0</v>
      </c>
      <c r="Z4988">
        <v>41</v>
      </c>
      <c r="AA4988">
        <v>0</v>
      </c>
      <c r="AB4988">
        <v>10.63015</v>
      </c>
      <c r="AC4988">
        <v>4.9707109999999999E-2</v>
      </c>
      <c r="AD4988">
        <v>3.1511550000000002</v>
      </c>
      <c r="AE4988">
        <v>0.44144830000000002</v>
      </c>
      <c r="AF4988">
        <v>467.56229999999999</v>
      </c>
      <c r="AG4988">
        <f>IFERROR(AH4988*0.1, "N/A")</f>
        <v>7.1244110000000012</v>
      </c>
      <c r="AH4988">
        <v>71.244110000000006</v>
      </c>
      <c r="AI4988">
        <v>199.90110000000001</v>
      </c>
      <c r="AJ4988">
        <v>14</v>
      </c>
      <c r="AK4988">
        <v>74.675079999999994</v>
      </c>
    </row>
    <row r="4989" spans="1:37" x14ac:dyDescent="0.3">
      <c r="A4989">
        <v>4988</v>
      </c>
      <c r="B4989">
        <v>0</v>
      </c>
      <c r="C4989">
        <v>8.2760899999999999</v>
      </c>
      <c r="D4989">
        <v>13.9438</v>
      </c>
      <c r="E4989" t="s">
        <v>7995</v>
      </c>
      <c r="F4989" t="s">
        <v>7996</v>
      </c>
      <c r="G4989" t="s">
        <v>39</v>
      </c>
      <c r="H4989">
        <v>0</v>
      </c>
      <c r="I4989">
        <v>27.7</v>
      </c>
      <c r="J4989">
        <v>14.5</v>
      </c>
      <c r="K4989">
        <v>56</v>
      </c>
      <c r="L4989">
        <v>31.60932</v>
      </c>
      <c r="M4989">
        <v>39.700000000000003</v>
      </c>
      <c r="N4989">
        <v>14.2</v>
      </c>
      <c r="O4989">
        <v>25.5</v>
      </c>
      <c r="P4989">
        <v>27.6</v>
      </c>
      <c r="Q4989">
        <v>25.4</v>
      </c>
      <c r="R4989">
        <v>31.8</v>
      </c>
      <c r="S4989">
        <v>23.3</v>
      </c>
      <c r="T4989">
        <v>342.0068</v>
      </c>
      <c r="U4989">
        <v>139.0068</v>
      </c>
      <c r="V4989">
        <v>0</v>
      </c>
      <c r="W4989">
        <v>155.0068</v>
      </c>
      <c r="X4989">
        <v>293.0068</v>
      </c>
      <c r="Y4989">
        <v>0</v>
      </c>
      <c r="Z4989">
        <v>44</v>
      </c>
      <c r="AA4989">
        <v>0</v>
      </c>
      <c r="AB4989">
        <v>1.8376650000000001</v>
      </c>
      <c r="AC4989">
        <v>0.1692428</v>
      </c>
      <c r="AD4989">
        <v>1.457193</v>
      </c>
      <c r="AE4989">
        <v>0.71058489999999996</v>
      </c>
      <c r="AF4989">
        <v>432.54899999999998</v>
      </c>
      <c r="AG4989">
        <f>IFERROR(AH4989*0.1, "N/A")</f>
        <v>7.3939190000000004</v>
      </c>
      <c r="AH4989">
        <v>73.939189999999996</v>
      </c>
      <c r="AI4989">
        <v>221.8657</v>
      </c>
      <c r="AJ4989">
        <v>13.00676</v>
      </c>
      <c r="AK4989">
        <v>70.00676</v>
      </c>
    </row>
    <row r="4990" spans="1:37" x14ac:dyDescent="0.3">
      <c r="A4990">
        <v>4989</v>
      </c>
      <c r="B4990">
        <v>0</v>
      </c>
      <c r="C4990">
        <v>8.2760899999999999</v>
      </c>
      <c r="D4990">
        <v>13.9438</v>
      </c>
      <c r="E4990" t="s">
        <v>7995</v>
      </c>
      <c r="F4990" t="s">
        <v>7997</v>
      </c>
      <c r="G4990" t="s">
        <v>37</v>
      </c>
      <c r="H4990">
        <v>0</v>
      </c>
      <c r="I4990">
        <v>27.7</v>
      </c>
      <c r="J4990">
        <v>14.5</v>
      </c>
      <c r="K4990">
        <v>56</v>
      </c>
      <c r="L4990">
        <v>31.60932</v>
      </c>
      <c r="M4990">
        <v>39.700000000000003</v>
      </c>
      <c r="N4990">
        <v>14.2</v>
      </c>
      <c r="O4990">
        <v>25.5</v>
      </c>
      <c r="P4990">
        <v>27.6</v>
      </c>
      <c r="Q4990">
        <v>25.4</v>
      </c>
      <c r="R4990">
        <v>31.8</v>
      </c>
      <c r="S4990">
        <v>23.3</v>
      </c>
      <c r="T4990">
        <v>342.0068</v>
      </c>
      <c r="U4990">
        <v>139.0068</v>
      </c>
      <c r="V4990">
        <v>0</v>
      </c>
      <c r="W4990">
        <v>155.0068</v>
      </c>
      <c r="X4990">
        <v>293.0068</v>
      </c>
      <c r="Y4990">
        <v>0</v>
      </c>
      <c r="Z4990">
        <v>44</v>
      </c>
      <c r="AA4990">
        <v>0</v>
      </c>
      <c r="AB4990">
        <v>1.8376650000000001</v>
      </c>
      <c r="AC4990">
        <v>0.1692428</v>
      </c>
      <c r="AD4990">
        <v>1.457193</v>
      </c>
      <c r="AE4990">
        <v>0.71058489999999996</v>
      </c>
      <c r="AF4990">
        <v>432.54899999999998</v>
      </c>
      <c r="AG4990">
        <f>IFERROR(AH4990*0.1, "N/A")</f>
        <v>7.3939190000000004</v>
      </c>
      <c r="AH4990">
        <v>73.939189999999996</v>
      </c>
      <c r="AI4990">
        <v>221.8657</v>
      </c>
      <c r="AJ4990">
        <v>13.00676</v>
      </c>
      <c r="AK4990">
        <v>70.00676</v>
      </c>
    </row>
    <row r="4991" spans="1:37" x14ac:dyDescent="0.3">
      <c r="A4991">
        <v>4990</v>
      </c>
      <c r="B4991">
        <v>0</v>
      </c>
      <c r="C4991">
        <v>10.4892</v>
      </c>
      <c r="D4991">
        <v>13.9496</v>
      </c>
      <c r="E4991" t="s">
        <v>7998</v>
      </c>
      <c r="F4991" t="s">
        <v>7999</v>
      </c>
      <c r="G4991" t="s">
        <v>39</v>
      </c>
      <c r="H4991">
        <v>0</v>
      </c>
      <c r="I4991">
        <v>26.92483</v>
      </c>
      <c r="J4991">
        <v>15.2</v>
      </c>
      <c r="K4991">
        <v>58</v>
      </c>
      <c r="L4991">
        <v>30.45</v>
      </c>
      <c r="M4991">
        <v>39.4</v>
      </c>
      <c r="N4991">
        <v>13.4</v>
      </c>
      <c r="O4991">
        <v>26</v>
      </c>
      <c r="P4991">
        <v>27.024830000000001</v>
      </c>
      <c r="Q4991">
        <v>24.6</v>
      </c>
      <c r="R4991">
        <v>30.9</v>
      </c>
      <c r="S4991">
        <v>22.7</v>
      </c>
      <c r="T4991">
        <v>298</v>
      </c>
      <c r="U4991">
        <v>123</v>
      </c>
      <c r="V4991">
        <v>0</v>
      </c>
      <c r="W4991">
        <v>163</v>
      </c>
      <c r="X4991">
        <v>264</v>
      </c>
      <c r="Y4991">
        <v>0</v>
      </c>
      <c r="Z4991">
        <v>32</v>
      </c>
      <c r="AA4991">
        <v>0</v>
      </c>
      <c r="AB4991">
        <v>6.169969</v>
      </c>
      <c r="AC4991">
        <v>4.4720139999999999E-2</v>
      </c>
      <c r="AD4991">
        <v>2.1350389999999999</v>
      </c>
      <c r="AE4991">
        <v>0.22549630000000001</v>
      </c>
      <c r="AF4991">
        <v>383.58890000000002</v>
      </c>
      <c r="AG4991">
        <f>IFERROR(AH4991*0.1, "N/A")</f>
        <v>7.2931209999999993</v>
      </c>
      <c r="AH4991">
        <v>72.931209999999993</v>
      </c>
      <c r="AI4991">
        <v>227.5316</v>
      </c>
      <c r="AJ4991">
        <v>9</v>
      </c>
      <c r="AK4991">
        <v>83</v>
      </c>
    </row>
    <row r="4992" spans="1:37" x14ac:dyDescent="0.3">
      <c r="A4992">
        <v>4991</v>
      </c>
      <c r="B4992">
        <v>21.7</v>
      </c>
      <c r="C4992">
        <v>5.6151299999999997</v>
      </c>
      <c r="D4992">
        <v>13.964700000000001</v>
      </c>
      <c r="E4992" t="s">
        <v>8000</v>
      </c>
      <c r="F4992" t="s">
        <v>8001</v>
      </c>
      <c r="G4992" t="s">
        <v>39</v>
      </c>
      <c r="H4992">
        <v>0</v>
      </c>
      <c r="I4992">
        <v>28.5</v>
      </c>
      <c r="J4992">
        <v>14.4</v>
      </c>
      <c r="K4992">
        <v>58</v>
      </c>
      <c r="L4992">
        <v>28.82</v>
      </c>
      <c r="M4992">
        <v>40.200000000000003</v>
      </c>
      <c r="N4992">
        <v>15.4</v>
      </c>
      <c r="O4992">
        <v>24.8</v>
      </c>
      <c r="P4992">
        <v>28</v>
      </c>
      <c r="Q4992">
        <v>26.7</v>
      </c>
      <c r="R4992">
        <v>32.299999999999997</v>
      </c>
      <c r="S4992">
        <v>24.7</v>
      </c>
      <c r="T4992">
        <v>451</v>
      </c>
      <c r="U4992">
        <v>151</v>
      </c>
      <c r="V4992">
        <v>0</v>
      </c>
      <c r="W4992">
        <v>137</v>
      </c>
      <c r="X4992">
        <v>351</v>
      </c>
      <c r="Y4992">
        <v>0</v>
      </c>
      <c r="Z4992">
        <v>94</v>
      </c>
      <c r="AA4992">
        <v>0</v>
      </c>
      <c r="AB4992">
        <v>3.645931</v>
      </c>
      <c r="AC4992">
        <v>0.14746890000000001</v>
      </c>
      <c r="AD4992">
        <v>1.050586</v>
      </c>
      <c r="AE4992">
        <v>0.64361610000000002</v>
      </c>
      <c r="AF4992">
        <v>297.49829999999997</v>
      </c>
      <c r="AG4992">
        <f>IFERROR(AH4992*0.1, "N/A")</f>
        <v>7.1000000000000005</v>
      </c>
      <c r="AH4992">
        <v>71</v>
      </c>
      <c r="AI4992">
        <v>269.74040000000002</v>
      </c>
      <c r="AJ4992">
        <v>25.95946</v>
      </c>
      <c r="AK4992">
        <v>56.04054</v>
      </c>
    </row>
    <row r="4993" spans="1:37" x14ac:dyDescent="0.3">
      <c r="A4993">
        <v>4992</v>
      </c>
      <c r="B4993">
        <v>2</v>
      </c>
      <c r="C4993">
        <v>9.1418199999999992</v>
      </c>
      <c r="D4993">
        <v>13.9688</v>
      </c>
      <c r="E4993" t="s">
        <v>8002</v>
      </c>
      <c r="F4993" t="s">
        <v>8003</v>
      </c>
      <c r="G4993" t="s">
        <v>39</v>
      </c>
      <c r="H4993">
        <v>0</v>
      </c>
      <c r="I4993">
        <v>27.61544</v>
      </c>
      <c r="J4993">
        <v>14.4</v>
      </c>
      <c r="K4993">
        <v>56</v>
      </c>
      <c r="L4993">
        <v>32.616849999999999</v>
      </c>
      <c r="M4993">
        <v>39.807720000000003</v>
      </c>
      <c r="N4993">
        <v>14.215439999999999</v>
      </c>
      <c r="O4993">
        <v>25.592279999999999</v>
      </c>
      <c r="P4993">
        <v>27.61544</v>
      </c>
      <c r="Q4993">
        <v>23.41544</v>
      </c>
      <c r="R4993">
        <v>31.80772</v>
      </c>
      <c r="S4993">
        <v>23.11544</v>
      </c>
      <c r="T4993">
        <v>309.76850000000002</v>
      </c>
      <c r="U4993">
        <v>126.9228</v>
      </c>
      <c r="V4993">
        <v>0</v>
      </c>
      <c r="W4993">
        <v>156.9228</v>
      </c>
      <c r="X4993">
        <v>265.84559999999999</v>
      </c>
      <c r="Y4993">
        <v>0</v>
      </c>
      <c r="Z4993">
        <v>40</v>
      </c>
      <c r="AA4993">
        <v>0</v>
      </c>
      <c r="AB4993">
        <v>17.9161</v>
      </c>
      <c r="AC4993">
        <v>8.7037820000000002E-3</v>
      </c>
      <c r="AD4993">
        <v>2.9514360000000002</v>
      </c>
      <c r="AE4993">
        <v>0.53687700000000005</v>
      </c>
      <c r="AF4993">
        <v>490.92619999999999</v>
      </c>
      <c r="AG4993">
        <f>IFERROR(AH4993*0.1, "N/A")</f>
        <v>7.0845640000000003</v>
      </c>
      <c r="AH4993">
        <v>70.845640000000003</v>
      </c>
      <c r="AI4993">
        <v>267.18209999999999</v>
      </c>
      <c r="AJ4993">
        <v>13.92282</v>
      </c>
      <c r="AK4993">
        <v>74.154359999999997</v>
      </c>
    </row>
    <row r="4994" spans="1:37" x14ac:dyDescent="0.3">
      <c r="A4994">
        <v>4993</v>
      </c>
      <c r="B4994">
        <v>44</v>
      </c>
      <c r="C4994">
        <v>9.0379799999999992</v>
      </c>
      <c r="D4994">
        <v>13.970700000000001</v>
      </c>
      <c r="E4994" t="s">
        <v>8004</v>
      </c>
      <c r="F4994" t="s">
        <v>8005</v>
      </c>
      <c r="G4994" t="s">
        <v>39</v>
      </c>
      <c r="H4994">
        <v>0</v>
      </c>
      <c r="I4994">
        <v>28.1</v>
      </c>
      <c r="J4994">
        <v>14.3</v>
      </c>
      <c r="K4994">
        <v>55</v>
      </c>
      <c r="L4994">
        <v>32.93</v>
      </c>
      <c r="M4994">
        <v>40.200000000000003</v>
      </c>
      <c r="N4994">
        <v>14.5</v>
      </c>
      <c r="O4994">
        <v>25.7</v>
      </c>
      <c r="P4994">
        <v>28.2</v>
      </c>
      <c r="Q4994">
        <v>23.8</v>
      </c>
      <c r="R4994">
        <v>32.200000000000003</v>
      </c>
      <c r="S4994">
        <v>23.4</v>
      </c>
      <c r="T4994">
        <v>309</v>
      </c>
      <c r="U4994">
        <v>127</v>
      </c>
      <c r="V4994">
        <v>0</v>
      </c>
      <c r="W4994">
        <v>157</v>
      </c>
      <c r="X4994">
        <v>266</v>
      </c>
      <c r="Y4994">
        <v>0</v>
      </c>
      <c r="Z4994">
        <v>40</v>
      </c>
      <c r="AA4994">
        <v>0</v>
      </c>
      <c r="AB4994">
        <v>1.5824229999999999</v>
      </c>
      <c r="AC4994">
        <v>3.1975999999999997E-2</v>
      </c>
      <c r="AD4994">
        <v>0.82986360000000003</v>
      </c>
      <c r="AE4994">
        <v>0.48522949999999998</v>
      </c>
      <c r="AF4994">
        <v>435.5059</v>
      </c>
      <c r="AG4994">
        <f>IFERROR(AH4994*0.1, "N/A")</f>
        <v>6.8000000000000007</v>
      </c>
      <c r="AH4994">
        <v>68</v>
      </c>
      <c r="AI4994">
        <v>103.0932</v>
      </c>
      <c r="AJ4994">
        <v>12</v>
      </c>
      <c r="AK4994">
        <v>75</v>
      </c>
    </row>
    <row r="4995" spans="1:37" x14ac:dyDescent="0.3">
      <c r="A4995">
        <v>4994</v>
      </c>
      <c r="B4995">
        <v>0</v>
      </c>
      <c r="C4995">
        <v>1.5549999999999999</v>
      </c>
      <c r="D4995">
        <v>13.974399999999999</v>
      </c>
      <c r="E4995" t="s">
        <v>8006</v>
      </c>
      <c r="F4995" t="s">
        <v>8007</v>
      </c>
      <c r="G4995" t="s">
        <v>39</v>
      </c>
      <c r="H4995">
        <v>2001</v>
      </c>
      <c r="I4995">
        <v>29.6</v>
      </c>
      <c r="J4995">
        <v>14.3</v>
      </c>
      <c r="K4995">
        <v>57</v>
      </c>
      <c r="L4995">
        <v>29.079609999999999</v>
      </c>
      <c r="M4995">
        <v>41.294809999999998</v>
      </c>
      <c r="N4995">
        <v>16.3</v>
      </c>
      <c r="O4995">
        <v>24.994810000000001</v>
      </c>
      <c r="P4995">
        <v>29.10519</v>
      </c>
      <c r="Q4995">
        <v>26</v>
      </c>
      <c r="R4995">
        <v>33.299999999999997</v>
      </c>
      <c r="S4995">
        <v>25.7</v>
      </c>
      <c r="T4995">
        <v>375.05189999999999</v>
      </c>
      <c r="U4995">
        <v>137.05189999999999</v>
      </c>
      <c r="V4995">
        <v>0</v>
      </c>
      <c r="W4995">
        <v>143</v>
      </c>
      <c r="X4995">
        <v>312</v>
      </c>
      <c r="Y4995">
        <v>0</v>
      </c>
      <c r="Z4995">
        <v>55.051929999999999</v>
      </c>
      <c r="AA4995">
        <v>0</v>
      </c>
      <c r="AB4995">
        <v>0.97888909999999996</v>
      </c>
      <c r="AC4995">
        <v>4.4807180000000002E-2</v>
      </c>
      <c r="AD4995">
        <v>0.50907020000000003</v>
      </c>
      <c r="AE4995">
        <v>0.53547389999999995</v>
      </c>
      <c r="AF4995">
        <v>198.3903</v>
      </c>
      <c r="AG4995">
        <f>IFERROR(AH4995*0.1, "N/A")</f>
        <v>6.6316580000000007</v>
      </c>
      <c r="AH4995">
        <v>66.316580000000002</v>
      </c>
      <c r="AI4995">
        <v>139.60849999999999</v>
      </c>
      <c r="AJ4995">
        <v>16.949750000000002</v>
      </c>
      <c r="AK4995">
        <v>66.417090000000002</v>
      </c>
    </row>
    <row r="4996" spans="1:37" x14ac:dyDescent="0.3">
      <c r="A4996">
        <v>4995</v>
      </c>
      <c r="B4996">
        <v>8</v>
      </c>
      <c r="C4996">
        <v>9.2320700000000002</v>
      </c>
      <c r="D4996">
        <v>13.975199999999999</v>
      </c>
      <c r="E4996" t="s">
        <v>8008</v>
      </c>
      <c r="F4996" t="s">
        <v>8009</v>
      </c>
      <c r="G4996" t="s">
        <v>39</v>
      </c>
      <c r="H4996">
        <v>0</v>
      </c>
      <c r="I4996">
        <v>27.9</v>
      </c>
      <c r="J4996">
        <v>14.5</v>
      </c>
      <c r="K4996">
        <v>56</v>
      </c>
      <c r="L4996">
        <v>32.206569999999999</v>
      </c>
      <c r="M4996">
        <v>40.1</v>
      </c>
      <c r="N4996">
        <v>14.560840000000001</v>
      </c>
      <c r="O4996">
        <v>25.539159999999999</v>
      </c>
      <c r="P4996">
        <v>27.8</v>
      </c>
      <c r="Q4996">
        <v>23.8</v>
      </c>
      <c r="R4996">
        <v>32</v>
      </c>
      <c r="S4996">
        <v>23.4</v>
      </c>
      <c r="T4996">
        <v>298.1748</v>
      </c>
      <c r="U4996">
        <v>122.3916</v>
      </c>
      <c r="V4996">
        <v>0</v>
      </c>
      <c r="W4996">
        <v>156.042</v>
      </c>
      <c r="X4996">
        <v>256.1748</v>
      </c>
      <c r="Y4996">
        <v>0</v>
      </c>
      <c r="Z4996">
        <v>39</v>
      </c>
      <c r="AA4996">
        <v>0</v>
      </c>
      <c r="AB4996">
        <v>2.340846</v>
      </c>
      <c r="AC4996">
        <v>0.3019327</v>
      </c>
      <c r="AD4996">
        <v>0.83419969999999999</v>
      </c>
      <c r="AE4996">
        <v>0.54881259999999998</v>
      </c>
      <c r="AF4996">
        <v>448.43360000000001</v>
      </c>
      <c r="AG4996">
        <f>IFERROR(AH4996*0.1, "N/A")</f>
        <v>6.9984870000000008</v>
      </c>
      <c r="AH4996">
        <v>69.984870000000001</v>
      </c>
      <c r="AI4996">
        <v>88.850939999999994</v>
      </c>
      <c r="AJ4996">
        <v>12</v>
      </c>
      <c r="AK4996">
        <v>74.015129999999999</v>
      </c>
    </row>
    <row r="4997" spans="1:37" x14ac:dyDescent="0.3">
      <c r="A4997">
        <v>4996</v>
      </c>
      <c r="B4997">
        <v>36</v>
      </c>
      <c r="C4997">
        <v>9.2783800000000003</v>
      </c>
      <c r="D4997">
        <v>13.9893</v>
      </c>
      <c r="E4997" t="s">
        <v>8010</v>
      </c>
      <c r="F4997" t="s">
        <v>8011</v>
      </c>
      <c r="G4997" t="s">
        <v>39</v>
      </c>
      <c r="H4997">
        <v>0</v>
      </c>
      <c r="I4997">
        <v>27.9</v>
      </c>
      <c r="J4997">
        <v>14.5</v>
      </c>
      <c r="K4997">
        <v>56</v>
      </c>
      <c r="L4997">
        <v>31.78</v>
      </c>
      <c r="M4997">
        <v>40</v>
      </c>
      <c r="N4997">
        <v>14.5</v>
      </c>
      <c r="O4997">
        <v>25.5</v>
      </c>
      <c r="P4997">
        <v>27.8</v>
      </c>
      <c r="Q4997">
        <v>23.8</v>
      </c>
      <c r="R4997">
        <v>31.9</v>
      </c>
      <c r="S4997">
        <v>23.4</v>
      </c>
      <c r="T4997">
        <v>293</v>
      </c>
      <c r="U4997">
        <v>120</v>
      </c>
      <c r="V4997">
        <v>0</v>
      </c>
      <c r="W4997">
        <v>155</v>
      </c>
      <c r="X4997">
        <v>251</v>
      </c>
      <c r="Y4997">
        <v>0</v>
      </c>
      <c r="Z4997">
        <v>38</v>
      </c>
      <c r="AA4997">
        <v>0</v>
      </c>
      <c r="AB4997">
        <v>0.45682869999999998</v>
      </c>
      <c r="AC4997">
        <v>0.50274419999999997</v>
      </c>
      <c r="AD4997">
        <v>1.0658669999999999</v>
      </c>
      <c r="AE4997">
        <v>0.38416790000000001</v>
      </c>
      <c r="AF4997">
        <v>452.85829999999999</v>
      </c>
      <c r="AG4997">
        <f>IFERROR(AH4997*0.1, "N/A")</f>
        <v>7.0736930000000005</v>
      </c>
      <c r="AH4997">
        <v>70.736930000000001</v>
      </c>
      <c r="AI4997">
        <v>219.0241</v>
      </c>
      <c r="AJ4997">
        <v>14</v>
      </c>
      <c r="AK4997">
        <v>71.274870000000007</v>
      </c>
    </row>
    <row r="4998" spans="1:37" x14ac:dyDescent="0.3">
      <c r="A4998">
        <v>4997</v>
      </c>
      <c r="B4998">
        <v>54</v>
      </c>
      <c r="C4998">
        <v>1.5293000000000001</v>
      </c>
      <c r="D4998">
        <v>13.9975</v>
      </c>
      <c r="E4998" t="s">
        <v>8012</v>
      </c>
      <c r="F4998" t="s">
        <v>8013</v>
      </c>
      <c r="G4998" t="s">
        <v>39</v>
      </c>
      <c r="H4998">
        <v>0</v>
      </c>
      <c r="I4998">
        <v>29.6</v>
      </c>
      <c r="J4998">
        <v>14.2</v>
      </c>
      <c r="K4998">
        <v>57</v>
      </c>
      <c r="L4998">
        <v>28.9</v>
      </c>
      <c r="M4998">
        <v>41.3</v>
      </c>
      <c r="N4998">
        <v>16.399999999999999</v>
      </c>
      <c r="O4998">
        <v>24.9</v>
      </c>
      <c r="P4998">
        <v>29.2</v>
      </c>
      <c r="Q4998">
        <v>26</v>
      </c>
      <c r="R4998">
        <v>33.299999999999997</v>
      </c>
      <c r="S4998">
        <v>25.7</v>
      </c>
      <c r="T4998">
        <v>378</v>
      </c>
      <c r="U4998">
        <v>140</v>
      </c>
      <c r="V4998">
        <v>0</v>
      </c>
      <c r="W4998">
        <v>144</v>
      </c>
      <c r="X4998">
        <v>314</v>
      </c>
      <c r="Y4998">
        <v>0</v>
      </c>
      <c r="Z4998">
        <v>56</v>
      </c>
      <c r="AA4998">
        <v>0</v>
      </c>
      <c r="AB4998">
        <v>0.97996329999999998</v>
      </c>
      <c r="AC4998">
        <v>3.9999149999999997E-2</v>
      </c>
      <c r="AD4998">
        <v>1.7084600000000001</v>
      </c>
      <c r="AE4998">
        <v>0.58838849999999998</v>
      </c>
      <c r="AF4998">
        <v>196.37209999999999</v>
      </c>
      <c r="AG4998">
        <f>IFERROR(AH4998*0.1, "N/A")</f>
        <v>5.8429290000000007</v>
      </c>
      <c r="AH4998">
        <v>58.429290000000002</v>
      </c>
      <c r="AI4998">
        <v>224.23330000000001</v>
      </c>
      <c r="AJ4998">
        <v>32.570709999999998</v>
      </c>
      <c r="AK4998">
        <v>51.429290000000002</v>
      </c>
    </row>
    <row r="4999" spans="1:37" x14ac:dyDescent="0.3">
      <c r="A4999">
        <v>4998</v>
      </c>
      <c r="B4999">
        <v>73.3</v>
      </c>
      <c r="C4999">
        <v>1.1818</v>
      </c>
      <c r="D4999">
        <v>14.001300000000001</v>
      </c>
      <c r="E4999" t="s">
        <v>8014</v>
      </c>
      <c r="F4999" t="s">
        <v>8015</v>
      </c>
      <c r="G4999" t="s">
        <v>39</v>
      </c>
      <c r="H4999">
        <v>0</v>
      </c>
      <c r="I4999">
        <v>29.1</v>
      </c>
      <c r="J4999">
        <v>14.3</v>
      </c>
      <c r="K4999">
        <v>57</v>
      </c>
      <c r="L4999">
        <v>28.22</v>
      </c>
      <c r="M4999">
        <v>40.6</v>
      </c>
      <c r="N4999">
        <v>15.9</v>
      </c>
      <c r="O4999">
        <v>24.7</v>
      </c>
      <c r="P4999">
        <v>28.6</v>
      </c>
      <c r="Q4999">
        <v>27.1</v>
      </c>
      <c r="R4999">
        <v>32.700000000000003</v>
      </c>
      <c r="S4999">
        <v>25.3</v>
      </c>
      <c r="T4999">
        <v>388</v>
      </c>
      <c r="U4999">
        <v>147</v>
      </c>
      <c r="V4999">
        <v>0</v>
      </c>
      <c r="W4999">
        <v>144</v>
      </c>
      <c r="X4999">
        <v>319</v>
      </c>
      <c r="Y4999">
        <v>0</v>
      </c>
      <c r="Z4999">
        <v>62</v>
      </c>
      <c r="AA4999">
        <v>0</v>
      </c>
      <c r="AB4999">
        <v>8.4668349999999997</v>
      </c>
      <c r="AC4999">
        <v>0.1025205</v>
      </c>
      <c r="AD4999">
        <v>0.43435479999999999</v>
      </c>
      <c r="AE4999">
        <v>0.61890199999999995</v>
      </c>
      <c r="AF4999">
        <v>248.86699999999999</v>
      </c>
      <c r="AG4999">
        <f>IFERROR(AH4999*0.1, "N/A")</f>
        <v>5.9018520000000008</v>
      </c>
      <c r="AH4999">
        <v>59.018520000000002</v>
      </c>
      <c r="AI4999">
        <v>28.795570000000001</v>
      </c>
      <c r="AJ4999">
        <v>10.410769999999999</v>
      </c>
      <c r="AK4999">
        <v>80.607740000000007</v>
      </c>
    </row>
    <row r="5000" spans="1:37" x14ac:dyDescent="0.3">
      <c r="A5000">
        <v>4999</v>
      </c>
      <c r="B5000">
        <v>13.3</v>
      </c>
      <c r="C5000">
        <v>3.2144499999999998</v>
      </c>
      <c r="D5000">
        <v>14.010999999999999</v>
      </c>
      <c r="E5000" t="s">
        <v>8016</v>
      </c>
      <c r="F5000" t="s">
        <v>8017</v>
      </c>
      <c r="G5000" t="s">
        <v>39</v>
      </c>
      <c r="H5000">
        <v>0</v>
      </c>
      <c r="I5000">
        <v>29.1</v>
      </c>
      <c r="J5000">
        <v>13.9</v>
      </c>
      <c r="K5000">
        <v>57</v>
      </c>
      <c r="L5000">
        <v>28.66</v>
      </c>
      <c r="M5000">
        <v>40.799999999999997</v>
      </c>
      <c r="N5000">
        <v>16.5</v>
      </c>
      <c r="O5000">
        <v>24.3</v>
      </c>
      <c r="P5000">
        <v>28.5</v>
      </c>
      <c r="Q5000">
        <v>27.3</v>
      </c>
      <c r="R5000">
        <v>32.9</v>
      </c>
      <c r="S5000">
        <v>25.3</v>
      </c>
      <c r="T5000">
        <v>360</v>
      </c>
      <c r="U5000">
        <v>132</v>
      </c>
      <c r="V5000">
        <v>0</v>
      </c>
      <c r="W5000">
        <v>143</v>
      </c>
      <c r="X5000">
        <v>295</v>
      </c>
      <c r="Y5000">
        <v>0</v>
      </c>
      <c r="Z5000">
        <v>62</v>
      </c>
      <c r="AA5000">
        <v>0</v>
      </c>
      <c r="AB5000">
        <v>4.1530319999999996</v>
      </c>
      <c r="AC5000">
        <v>8.2984259999999994E-3</v>
      </c>
      <c r="AD5000">
        <v>1.0403830000000001</v>
      </c>
      <c r="AE5000">
        <v>0.62968840000000004</v>
      </c>
      <c r="AF5000">
        <v>216.28280000000001</v>
      </c>
      <c r="AG5000">
        <f>IFERROR(AH5000*0.1, "N/A")</f>
        <v>5.9</v>
      </c>
      <c r="AH5000">
        <v>59</v>
      </c>
      <c r="AI5000">
        <v>113.87860000000001</v>
      </c>
      <c r="AJ5000">
        <v>13.744109999999999</v>
      </c>
      <c r="AK5000">
        <v>77.488219999999998</v>
      </c>
    </row>
    <row r="5001" spans="1:37" x14ac:dyDescent="0.3">
      <c r="A5001">
        <v>5000</v>
      </c>
      <c r="B5001">
        <v>0</v>
      </c>
      <c r="C5001">
        <v>5.3201200000000002</v>
      </c>
      <c r="D5001">
        <v>14.013</v>
      </c>
      <c r="E5001" t="s">
        <v>8018</v>
      </c>
      <c r="F5001" t="s">
        <v>8019</v>
      </c>
      <c r="G5001" t="s">
        <v>39</v>
      </c>
      <c r="H5001">
        <v>0</v>
      </c>
      <c r="I5001">
        <v>28.7</v>
      </c>
      <c r="J5001">
        <v>14.3</v>
      </c>
      <c r="K5001">
        <v>57</v>
      </c>
      <c r="L5001">
        <v>28.8</v>
      </c>
      <c r="M5001">
        <v>40.200000000000003</v>
      </c>
      <c r="N5001">
        <v>15.5</v>
      </c>
      <c r="O5001">
        <v>24.7</v>
      </c>
      <c r="P5001">
        <v>28.4</v>
      </c>
      <c r="Q5001">
        <v>26.8</v>
      </c>
      <c r="R5001">
        <v>32.5</v>
      </c>
      <c r="S5001">
        <v>24.9</v>
      </c>
      <c r="T5001">
        <v>409</v>
      </c>
      <c r="U5001">
        <v>129</v>
      </c>
      <c r="V5001">
        <v>0</v>
      </c>
      <c r="W5001">
        <v>133</v>
      </c>
      <c r="X5001">
        <v>319</v>
      </c>
      <c r="Y5001">
        <v>0</v>
      </c>
      <c r="Z5001">
        <v>84</v>
      </c>
      <c r="AA5001">
        <v>0</v>
      </c>
      <c r="AB5001">
        <v>7.0976439999999998</v>
      </c>
      <c r="AC5001">
        <v>2.1606469999999999E-2</v>
      </c>
      <c r="AD5001">
        <v>1.416461</v>
      </c>
      <c r="AE5001">
        <v>0.73582780000000003</v>
      </c>
      <c r="AF5001">
        <v>281.78250000000003</v>
      </c>
      <c r="AG5001">
        <f>IFERROR(AH5001*0.1, "N/A")</f>
        <v>6.8807760000000009</v>
      </c>
      <c r="AH5001">
        <v>68.807760000000002</v>
      </c>
      <c r="AI5001">
        <v>263.71469999999999</v>
      </c>
      <c r="AJ5001">
        <v>20.903880000000001</v>
      </c>
      <c r="AK5001">
        <v>64.134910000000005</v>
      </c>
    </row>
    <row r="5002" spans="1:37" x14ac:dyDescent="0.3">
      <c r="A5002">
        <v>5001</v>
      </c>
      <c r="B5002">
        <v>69</v>
      </c>
      <c r="C5002">
        <v>9.5881500000000006</v>
      </c>
      <c r="D5002">
        <v>14.0227</v>
      </c>
      <c r="E5002" t="s">
        <v>8020</v>
      </c>
      <c r="F5002" t="s">
        <v>8021</v>
      </c>
      <c r="G5002" t="s">
        <v>39</v>
      </c>
      <c r="H5002">
        <v>0</v>
      </c>
      <c r="I5002">
        <v>27.7</v>
      </c>
      <c r="J5002">
        <v>14.8</v>
      </c>
      <c r="K5002">
        <v>57</v>
      </c>
      <c r="L5002">
        <v>31.4</v>
      </c>
      <c r="M5002">
        <v>40</v>
      </c>
      <c r="N5002">
        <v>14.3</v>
      </c>
      <c r="O5002">
        <v>25.7</v>
      </c>
      <c r="P5002">
        <v>27.5</v>
      </c>
      <c r="Q5002">
        <v>25.3</v>
      </c>
      <c r="R5002">
        <v>31.7</v>
      </c>
      <c r="S5002">
        <v>23.3</v>
      </c>
      <c r="T5002">
        <v>281</v>
      </c>
      <c r="U5002">
        <v>115</v>
      </c>
      <c r="V5002">
        <v>0</v>
      </c>
      <c r="W5002">
        <v>157</v>
      </c>
      <c r="X5002">
        <v>242</v>
      </c>
      <c r="Y5002">
        <v>0</v>
      </c>
      <c r="Z5002">
        <v>36</v>
      </c>
      <c r="AA5002">
        <v>0</v>
      </c>
      <c r="AB5002">
        <v>3.7452920000000001</v>
      </c>
      <c r="AC5002">
        <v>8.2980099999999998E-3</v>
      </c>
      <c r="AD5002">
        <v>1.555382</v>
      </c>
      <c r="AE5002">
        <v>0.58204990000000001</v>
      </c>
      <c r="AF5002">
        <v>420.51679999999999</v>
      </c>
      <c r="AG5002">
        <f>IFERROR(AH5002*0.1, "N/A")</f>
        <v>6.6439390000000005</v>
      </c>
      <c r="AH5002">
        <v>66.439390000000003</v>
      </c>
      <c r="AI5002">
        <v>246.30340000000001</v>
      </c>
      <c r="AJ5002">
        <v>20.41414</v>
      </c>
      <c r="AK5002">
        <v>62.292929999999998</v>
      </c>
    </row>
    <row r="5003" spans="1:37" x14ac:dyDescent="0.3">
      <c r="A5003">
        <v>5002</v>
      </c>
      <c r="B5003">
        <v>65</v>
      </c>
      <c r="C5003">
        <v>1.98889</v>
      </c>
      <c r="D5003">
        <v>14.027799999999999</v>
      </c>
      <c r="E5003" t="s">
        <v>8022</v>
      </c>
      <c r="F5003" t="s">
        <v>8023</v>
      </c>
      <c r="G5003" t="s">
        <v>39</v>
      </c>
      <c r="H5003">
        <v>0</v>
      </c>
      <c r="I5003">
        <v>29.4</v>
      </c>
      <c r="J5003">
        <v>14.4</v>
      </c>
      <c r="K5003">
        <v>57</v>
      </c>
      <c r="L5003">
        <v>28.96</v>
      </c>
      <c r="M5003">
        <v>41.2</v>
      </c>
      <c r="N5003">
        <v>16</v>
      </c>
      <c r="O5003">
        <v>25.2</v>
      </c>
      <c r="P5003">
        <v>28.9</v>
      </c>
      <c r="Q5003">
        <v>25.8</v>
      </c>
      <c r="R5003">
        <v>33.1</v>
      </c>
      <c r="S5003">
        <v>25.5</v>
      </c>
      <c r="T5003">
        <v>367</v>
      </c>
      <c r="U5003">
        <v>136</v>
      </c>
      <c r="V5003">
        <v>0</v>
      </c>
      <c r="W5003">
        <v>144</v>
      </c>
      <c r="X5003">
        <v>302</v>
      </c>
      <c r="Y5003">
        <v>0</v>
      </c>
      <c r="Z5003">
        <v>60</v>
      </c>
      <c r="AA5003">
        <v>0</v>
      </c>
      <c r="AB5003">
        <v>0.60016990000000003</v>
      </c>
      <c r="AC5003">
        <v>7.8059729999999998</v>
      </c>
      <c r="AD5003">
        <v>1.347575</v>
      </c>
      <c r="AE5003">
        <v>0.61341920000000005</v>
      </c>
      <c r="AF5003">
        <v>218.30799999999999</v>
      </c>
      <c r="AG5003">
        <f>IFERROR(AH5003*0.1, "N/A")</f>
        <v>6.4</v>
      </c>
      <c r="AH5003">
        <v>64</v>
      </c>
      <c r="AI5003">
        <v>195.80770000000001</v>
      </c>
      <c r="AJ5003">
        <v>11.2775</v>
      </c>
      <c r="AK5003">
        <v>78.722499999999997</v>
      </c>
    </row>
    <row r="5004" spans="1:37" x14ac:dyDescent="0.3">
      <c r="A5004">
        <v>5003</v>
      </c>
      <c r="B5004">
        <v>51.7</v>
      </c>
      <c r="C5004">
        <v>0.76666500000000004</v>
      </c>
      <c r="D5004">
        <v>14.027799999999999</v>
      </c>
      <c r="E5004" t="s">
        <v>8024</v>
      </c>
      <c r="F5004" t="s">
        <v>8025</v>
      </c>
      <c r="G5004" t="s">
        <v>39</v>
      </c>
      <c r="H5004">
        <v>0</v>
      </c>
      <c r="I5004">
        <v>28.8</v>
      </c>
      <c r="J5004">
        <v>14.6</v>
      </c>
      <c r="K5004">
        <v>58</v>
      </c>
      <c r="L5004">
        <v>27.953140000000001</v>
      </c>
      <c r="M5004">
        <v>40.299999999999997</v>
      </c>
      <c r="N5004">
        <v>15.383470000000001</v>
      </c>
      <c r="O5004">
        <v>24.916530000000002</v>
      </c>
      <c r="P5004">
        <v>28.3</v>
      </c>
      <c r="Q5004">
        <v>25</v>
      </c>
      <c r="R5004">
        <v>32.4</v>
      </c>
      <c r="S5004">
        <v>25</v>
      </c>
      <c r="T5004">
        <v>405</v>
      </c>
      <c r="U5004">
        <v>144</v>
      </c>
      <c r="V5004">
        <v>0</v>
      </c>
      <c r="W5004">
        <v>139</v>
      </c>
      <c r="X5004">
        <v>319</v>
      </c>
      <c r="Y5004">
        <v>0</v>
      </c>
      <c r="Z5004">
        <v>77</v>
      </c>
      <c r="AA5004">
        <v>0</v>
      </c>
      <c r="AB5004">
        <v>9.3588699999999996</v>
      </c>
      <c r="AC5004">
        <v>9.4872440000000006E-3</v>
      </c>
      <c r="AD5004">
        <v>1.1917679999999999</v>
      </c>
      <c r="AE5004">
        <v>0.39502510000000002</v>
      </c>
      <c r="AF5004">
        <v>257.29340000000002</v>
      </c>
      <c r="AG5004">
        <f>IFERROR(AH5004*0.1, "N/A")</f>
        <v>6.479089000000001</v>
      </c>
      <c r="AH5004">
        <v>64.790890000000005</v>
      </c>
      <c r="AI5004">
        <v>171.1927</v>
      </c>
      <c r="AJ5004">
        <v>27.969650000000001</v>
      </c>
      <c r="AK5004">
        <v>55.804380000000002</v>
      </c>
    </row>
    <row r="5005" spans="1:37" x14ac:dyDescent="0.3">
      <c r="A5005">
        <v>5004</v>
      </c>
      <c r="B5005">
        <v>4</v>
      </c>
      <c r="C5005">
        <v>8.9457699999999996</v>
      </c>
      <c r="D5005">
        <v>14.0291</v>
      </c>
      <c r="E5005" t="s">
        <v>8026</v>
      </c>
      <c r="F5005" t="s">
        <v>8027</v>
      </c>
      <c r="G5005" t="s">
        <v>39</v>
      </c>
      <c r="H5005">
        <v>0</v>
      </c>
      <c r="I5005">
        <v>27.9</v>
      </c>
      <c r="J5005">
        <v>14.3</v>
      </c>
      <c r="K5005">
        <v>56</v>
      </c>
      <c r="L5005">
        <v>32.53</v>
      </c>
      <c r="M5005">
        <v>39.9</v>
      </c>
      <c r="N5005">
        <v>14.4</v>
      </c>
      <c r="O5005">
        <v>25.5</v>
      </c>
      <c r="P5005">
        <v>28</v>
      </c>
      <c r="Q5005">
        <v>23.7</v>
      </c>
      <c r="R5005">
        <v>32</v>
      </c>
      <c r="S5005">
        <v>23.3</v>
      </c>
      <c r="T5005">
        <v>308</v>
      </c>
      <c r="U5005">
        <v>128</v>
      </c>
      <c r="V5005">
        <v>0</v>
      </c>
      <c r="W5005">
        <v>158</v>
      </c>
      <c r="X5005">
        <v>266</v>
      </c>
      <c r="Y5005">
        <v>0</v>
      </c>
      <c r="Z5005">
        <v>39</v>
      </c>
      <c r="AA5005">
        <v>0</v>
      </c>
      <c r="AB5005">
        <v>3.6215069999999998</v>
      </c>
      <c r="AC5005">
        <v>9.8039589999999992E-3</v>
      </c>
      <c r="AD5005">
        <v>1.0323709999999999</v>
      </c>
      <c r="AE5005">
        <v>0.58781410000000001</v>
      </c>
      <c r="AF5005">
        <v>462.26389999999998</v>
      </c>
      <c r="AG5005">
        <f>IFERROR(AH5005*0.1, "N/A")</f>
        <v>7.2379829999999998</v>
      </c>
      <c r="AH5005">
        <v>72.379829999999998</v>
      </c>
      <c r="AI5005">
        <v>91.333640000000003</v>
      </c>
      <c r="AJ5005">
        <v>10.206720000000001</v>
      </c>
      <c r="AK5005">
        <v>76.793279999999996</v>
      </c>
    </row>
    <row r="5006" spans="1:37" x14ac:dyDescent="0.3">
      <c r="A5006">
        <v>5005</v>
      </c>
      <c r="B5006">
        <v>4.0999999999999996</v>
      </c>
      <c r="C5006">
        <v>9.7436500000000006</v>
      </c>
      <c r="D5006">
        <v>14.03</v>
      </c>
      <c r="E5006" t="s">
        <v>8028</v>
      </c>
      <c r="F5006" t="s">
        <v>8029</v>
      </c>
      <c r="G5006" t="s">
        <v>39</v>
      </c>
      <c r="H5006">
        <v>0</v>
      </c>
      <c r="I5006">
        <v>27.4</v>
      </c>
      <c r="J5006">
        <v>14.9</v>
      </c>
      <c r="K5006">
        <v>57</v>
      </c>
      <c r="L5006">
        <v>31.26</v>
      </c>
      <c r="M5006">
        <v>39.799999999999997</v>
      </c>
      <c r="N5006">
        <v>14</v>
      </c>
      <c r="O5006">
        <v>25.8</v>
      </c>
      <c r="P5006">
        <v>27.3</v>
      </c>
      <c r="Q5006">
        <v>25.1</v>
      </c>
      <c r="R5006">
        <v>31.5</v>
      </c>
      <c r="S5006">
        <v>23.1</v>
      </c>
      <c r="T5006">
        <v>289</v>
      </c>
      <c r="U5006">
        <v>118</v>
      </c>
      <c r="V5006">
        <v>0</v>
      </c>
      <c r="W5006">
        <v>155</v>
      </c>
      <c r="X5006">
        <v>249</v>
      </c>
      <c r="Y5006">
        <v>0</v>
      </c>
      <c r="Z5006">
        <v>37</v>
      </c>
      <c r="AA5006">
        <v>0</v>
      </c>
      <c r="AB5006">
        <v>2.9137749999999998</v>
      </c>
      <c r="AC5006">
        <v>1.0459359999999999E-2</v>
      </c>
      <c r="AD5006">
        <v>2.227166</v>
      </c>
      <c r="AE5006">
        <v>0.28983769999999998</v>
      </c>
      <c r="AF5006">
        <v>423.43869999999998</v>
      </c>
      <c r="AG5006">
        <f>IFERROR(AH5006*0.1, "N/A")</f>
        <v>7</v>
      </c>
      <c r="AH5006">
        <v>70</v>
      </c>
      <c r="AI5006">
        <v>113.54940000000001</v>
      </c>
      <c r="AJ5006">
        <v>14</v>
      </c>
      <c r="AK5006">
        <v>71</v>
      </c>
    </row>
    <row r="5007" spans="1:37" x14ac:dyDescent="0.3">
      <c r="A5007">
        <v>5006</v>
      </c>
      <c r="B5007">
        <v>0</v>
      </c>
      <c r="C5007">
        <v>4.2653499999999998</v>
      </c>
      <c r="D5007">
        <v>14.030099999999999</v>
      </c>
      <c r="E5007" t="s">
        <v>8030</v>
      </c>
      <c r="F5007" t="s">
        <v>8031</v>
      </c>
      <c r="G5007" t="s">
        <v>39</v>
      </c>
      <c r="H5007">
        <v>0</v>
      </c>
      <c r="I5007">
        <v>28.9</v>
      </c>
      <c r="J5007">
        <v>14</v>
      </c>
      <c r="K5007">
        <v>56</v>
      </c>
      <c r="L5007">
        <v>29.15</v>
      </c>
      <c r="M5007">
        <v>40.6</v>
      </c>
      <c r="N5007">
        <v>15.9</v>
      </c>
      <c r="O5007">
        <v>24.7</v>
      </c>
      <c r="P5007">
        <v>28.6</v>
      </c>
      <c r="Q5007">
        <v>25.2</v>
      </c>
      <c r="R5007">
        <v>32.700000000000003</v>
      </c>
      <c r="S5007">
        <v>25</v>
      </c>
      <c r="T5007">
        <v>406</v>
      </c>
      <c r="U5007">
        <v>140</v>
      </c>
      <c r="V5007">
        <v>0</v>
      </c>
      <c r="W5007">
        <v>139</v>
      </c>
      <c r="X5007">
        <v>321</v>
      </c>
      <c r="Y5007">
        <v>0</v>
      </c>
      <c r="Z5007">
        <v>77</v>
      </c>
      <c r="AA5007">
        <v>0</v>
      </c>
      <c r="AB5007">
        <v>0.18960099999999999</v>
      </c>
      <c r="AC5007">
        <v>3.5265420000000001</v>
      </c>
      <c r="AD5007">
        <v>0.78384310000000001</v>
      </c>
      <c r="AE5007">
        <v>0.66701690000000002</v>
      </c>
      <c r="AF5007">
        <v>273.94630000000001</v>
      </c>
      <c r="AG5007">
        <f>IFERROR(AH5007*0.1, "N/A")</f>
        <v>5.5946309999999997</v>
      </c>
      <c r="AH5007">
        <v>55.946309999999997</v>
      </c>
      <c r="AI5007">
        <v>144.31549999999999</v>
      </c>
      <c r="AJ5007">
        <v>9.1073830000000005</v>
      </c>
      <c r="AK5007">
        <v>79.892619999999994</v>
      </c>
    </row>
    <row r="5008" spans="1:37" x14ac:dyDescent="0.3">
      <c r="A5008">
        <v>5007</v>
      </c>
      <c r="B5008">
        <v>0</v>
      </c>
      <c r="C5008">
        <v>4.2653499999999998</v>
      </c>
      <c r="D5008">
        <v>14.030099999999999</v>
      </c>
      <c r="E5008" t="s">
        <v>8030</v>
      </c>
      <c r="F5008" t="s">
        <v>8032</v>
      </c>
      <c r="G5008" t="s">
        <v>37</v>
      </c>
      <c r="H5008">
        <v>0</v>
      </c>
      <c r="I5008">
        <v>28.9</v>
      </c>
      <c r="J5008">
        <v>14</v>
      </c>
      <c r="K5008">
        <v>56</v>
      </c>
      <c r="L5008">
        <v>29.15</v>
      </c>
      <c r="M5008">
        <v>40.6</v>
      </c>
      <c r="N5008">
        <v>15.9</v>
      </c>
      <c r="O5008">
        <v>24.7</v>
      </c>
      <c r="P5008">
        <v>28.6</v>
      </c>
      <c r="Q5008">
        <v>25.2</v>
      </c>
      <c r="R5008">
        <v>32.700000000000003</v>
      </c>
      <c r="S5008">
        <v>25</v>
      </c>
      <c r="T5008">
        <v>406</v>
      </c>
      <c r="U5008">
        <v>140</v>
      </c>
      <c r="V5008">
        <v>0</v>
      </c>
      <c r="W5008">
        <v>139</v>
      </c>
      <c r="X5008">
        <v>321</v>
      </c>
      <c r="Y5008">
        <v>0</v>
      </c>
      <c r="Z5008">
        <v>77</v>
      </c>
      <c r="AA5008">
        <v>0</v>
      </c>
      <c r="AB5008">
        <v>0.18960099999999999</v>
      </c>
      <c r="AC5008">
        <v>3.5265420000000001</v>
      </c>
      <c r="AD5008">
        <v>0.78384310000000001</v>
      </c>
      <c r="AE5008">
        <v>0.66701690000000002</v>
      </c>
      <c r="AF5008">
        <v>273.94630000000001</v>
      </c>
      <c r="AG5008">
        <f>IFERROR(AH5008*0.1, "N/A")</f>
        <v>5.5946309999999997</v>
      </c>
      <c r="AH5008">
        <v>55.946309999999997</v>
      </c>
      <c r="AI5008">
        <v>144.31549999999999</v>
      </c>
      <c r="AJ5008">
        <v>9.1073830000000005</v>
      </c>
      <c r="AK5008">
        <v>79.892619999999994</v>
      </c>
    </row>
    <row r="5009" spans="1:37" x14ac:dyDescent="0.3">
      <c r="A5009">
        <v>5008</v>
      </c>
      <c r="B5009">
        <v>0</v>
      </c>
      <c r="C5009">
        <v>6.4134500000000001</v>
      </c>
      <c r="D5009">
        <v>14.0322</v>
      </c>
      <c r="E5009" t="s">
        <v>8033</v>
      </c>
      <c r="F5009" t="s">
        <v>8034</v>
      </c>
      <c r="G5009" t="s">
        <v>39</v>
      </c>
      <c r="H5009">
        <v>0</v>
      </c>
      <c r="I5009">
        <v>27.7</v>
      </c>
      <c r="J5009">
        <v>14.6</v>
      </c>
      <c r="K5009">
        <v>58</v>
      </c>
      <c r="L5009">
        <v>29.39</v>
      </c>
      <c r="M5009">
        <v>39.700000000000003</v>
      </c>
      <c r="N5009">
        <v>14.6</v>
      </c>
      <c r="O5009">
        <v>25.1</v>
      </c>
      <c r="P5009">
        <v>27.3</v>
      </c>
      <c r="Q5009">
        <v>25.9</v>
      </c>
      <c r="R5009">
        <v>31.7</v>
      </c>
      <c r="S5009">
        <v>23.9</v>
      </c>
      <c r="T5009">
        <v>402</v>
      </c>
      <c r="U5009">
        <v>158</v>
      </c>
      <c r="V5009">
        <v>0</v>
      </c>
      <c r="W5009">
        <v>151</v>
      </c>
      <c r="X5009">
        <v>341</v>
      </c>
      <c r="Y5009">
        <v>0</v>
      </c>
      <c r="Z5009">
        <v>58</v>
      </c>
      <c r="AA5009">
        <v>0</v>
      </c>
      <c r="AB5009">
        <v>4.6126690000000004</v>
      </c>
      <c r="AC5009">
        <v>8.3957779999999996E-3</v>
      </c>
      <c r="AD5009">
        <v>0.86220960000000002</v>
      </c>
      <c r="AE5009">
        <v>0.69690810000000003</v>
      </c>
      <c r="AF5009">
        <v>352.89859999999999</v>
      </c>
      <c r="AG5009">
        <f>IFERROR(AH5009*0.1, "N/A")</f>
        <v>6.3000000000000007</v>
      </c>
      <c r="AH5009">
        <v>63</v>
      </c>
      <c r="AI5009">
        <v>109.8574</v>
      </c>
      <c r="AJ5009">
        <v>10</v>
      </c>
      <c r="AK5009">
        <v>75.211150000000004</v>
      </c>
    </row>
    <row r="5010" spans="1:37" x14ac:dyDescent="0.3">
      <c r="A5010">
        <v>5009</v>
      </c>
      <c r="B5010">
        <v>0</v>
      </c>
      <c r="C5010">
        <v>6.4134500000000001</v>
      </c>
      <c r="D5010">
        <v>14.0322</v>
      </c>
      <c r="E5010" t="s">
        <v>8033</v>
      </c>
      <c r="F5010" t="s">
        <v>8035</v>
      </c>
      <c r="G5010" t="s">
        <v>37</v>
      </c>
      <c r="H5010">
        <v>0</v>
      </c>
      <c r="I5010">
        <v>27.7</v>
      </c>
      <c r="J5010">
        <v>14.6</v>
      </c>
      <c r="K5010">
        <v>58</v>
      </c>
      <c r="L5010">
        <v>29.39</v>
      </c>
      <c r="M5010">
        <v>39.700000000000003</v>
      </c>
      <c r="N5010">
        <v>14.6</v>
      </c>
      <c r="O5010">
        <v>25.1</v>
      </c>
      <c r="P5010">
        <v>27.3</v>
      </c>
      <c r="Q5010">
        <v>25.9</v>
      </c>
      <c r="R5010">
        <v>31.7</v>
      </c>
      <c r="S5010">
        <v>23.9</v>
      </c>
      <c r="T5010">
        <v>402</v>
      </c>
      <c r="U5010">
        <v>158</v>
      </c>
      <c r="V5010">
        <v>0</v>
      </c>
      <c r="W5010">
        <v>151</v>
      </c>
      <c r="X5010">
        <v>341</v>
      </c>
      <c r="Y5010">
        <v>0</v>
      </c>
      <c r="Z5010">
        <v>58</v>
      </c>
      <c r="AA5010">
        <v>0</v>
      </c>
      <c r="AB5010">
        <v>4.6126690000000004</v>
      </c>
      <c r="AC5010">
        <v>8.3957779999999996E-3</v>
      </c>
      <c r="AD5010">
        <v>0.86220960000000002</v>
      </c>
      <c r="AE5010">
        <v>0.69690810000000003</v>
      </c>
      <c r="AF5010">
        <v>352.89859999999999</v>
      </c>
      <c r="AG5010">
        <f>IFERROR(AH5010*0.1, "N/A")</f>
        <v>6.3000000000000007</v>
      </c>
      <c r="AH5010">
        <v>63</v>
      </c>
      <c r="AI5010">
        <v>109.8574</v>
      </c>
      <c r="AJ5010">
        <v>10</v>
      </c>
      <c r="AK5010">
        <v>75.211150000000004</v>
      </c>
    </row>
    <row r="5011" spans="1:37" x14ac:dyDescent="0.3">
      <c r="A5011">
        <v>5010</v>
      </c>
      <c r="B5011">
        <v>3.3</v>
      </c>
      <c r="C5011">
        <v>5.9923999999999999</v>
      </c>
      <c r="D5011">
        <v>14.036300000000001</v>
      </c>
      <c r="E5011" t="s">
        <v>8036</v>
      </c>
      <c r="F5011" t="s">
        <v>8037</v>
      </c>
      <c r="G5011" t="s">
        <v>39</v>
      </c>
      <c r="H5011">
        <v>0</v>
      </c>
      <c r="I5011">
        <v>28.3</v>
      </c>
      <c r="J5011">
        <v>14.5</v>
      </c>
      <c r="K5011">
        <v>58</v>
      </c>
      <c r="L5011">
        <v>28.87951</v>
      </c>
      <c r="M5011">
        <v>40.1</v>
      </c>
      <c r="N5011">
        <v>15.3</v>
      </c>
      <c r="O5011">
        <v>24.8</v>
      </c>
      <c r="P5011">
        <v>27.604880000000001</v>
      </c>
      <c r="Q5011">
        <v>24.8</v>
      </c>
      <c r="R5011">
        <v>32.1</v>
      </c>
      <c r="S5011">
        <v>24.5</v>
      </c>
      <c r="T5011">
        <v>427.0976</v>
      </c>
      <c r="U5011">
        <v>157</v>
      </c>
      <c r="V5011">
        <v>0</v>
      </c>
      <c r="W5011">
        <v>145</v>
      </c>
      <c r="X5011">
        <v>350</v>
      </c>
      <c r="Y5011">
        <v>0</v>
      </c>
      <c r="Z5011">
        <v>71.097639999999998</v>
      </c>
      <c r="AA5011">
        <v>0</v>
      </c>
      <c r="AB5011">
        <v>0.47054499999999999</v>
      </c>
      <c r="AC5011">
        <v>0.15608649999999999</v>
      </c>
      <c r="AD5011">
        <v>0.80691559999999996</v>
      </c>
      <c r="AE5011">
        <v>0.69871340000000004</v>
      </c>
      <c r="AF5011">
        <v>305.51850000000002</v>
      </c>
      <c r="AG5011">
        <f>IFERROR(AH5011*0.1, "N/A")</f>
        <v>6.9</v>
      </c>
      <c r="AH5011">
        <v>69</v>
      </c>
      <c r="AI5011">
        <v>156.69749999999999</v>
      </c>
      <c r="AJ5011">
        <v>26</v>
      </c>
      <c r="AK5011">
        <v>56.883839999999999</v>
      </c>
    </row>
    <row r="5012" spans="1:37" x14ac:dyDescent="0.3">
      <c r="A5012">
        <v>5011</v>
      </c>
      <c r="B5012">
        <v>0</v>
      </c>
      <c r="C5012">
        <v>8.8111099999999993</v>
      </c>
      <c r="D5012">
        <v>14.0389</v>
      </c>
      <c r="E5012" t="s">
        <v>8038</v>
      </c>
      <c r="F5012" t="s">
        <v>8039</v>
      </c>
      <c r="G5012" t="s">
        <v>39</v>
      </c>
      <c r="H5012">
        <v>0</v>
      </c>
      <c r="I5012">
        <v>27.9</v>
      </c>
      <c r="J5012">
        <v>14.3</v>
      </c>
      <c r="K5012">
        <v>55</v>
      </c>
      <c r="L5012">
        <v>32.76</v>
      </c>
      <c r="M5012">
        <v>39.9</v>
      </c>
      <c r="N5012">
        <v>14.3</v>
      </c>
      <c r="O5012">
        <v>25.6</v>
      </c>
      <c r="P5012">
        <v>28</v>
      </c>
      <c r="Q5012">
        <v>23.6</v>
      </c>
      <c r="R5012">
        <v>32</v>
      </c>
      <c r="S5012">
        <v>23.2</v>
      </c>
      <c r="T5012">
        <v>314</v>
      </c>
      <c r="U5012">
        <v>131</v>
      </c>
      <c r="V5012">
        <v>0</v>
      </c>
      <c r="W5012">
        <v>156</v>
      </c>
      <c r="X5012">
        <v>272</v>
      </c>
      <c r="Y5012">
        <v>0</v>
      </c>
      <c r="Z5012">
        <v>38</v>
      </c>
      <c r="AA5012">
        <v>0</v>
      </c>
      <c r="AB5012">
        <v>0.84404469999999998</v>
      </c>
      <c r="AC5012">
        <v>8.7855290000000003E-3</v>
      </c>
      <c r="AD5012">
        <v>0.35373329999999997</v>
      </c>
      <c r="AE5012">
        <v>0.62751089999999998</v>
      </c>
      <c r="AF5012">
        <v>457.8655</v>
      </c>
      <c r="AG5012">
        <f>IFERROR(AH5012*0.1, "N/A")</f>
        <v>6.6631929999999997</v>
      </c>
      <c r="AH5012">
        <v>66.631929999999997</v>
      </c>
      <c r="AI5012">
        <v>23.96387</v>
      </c>
      <c r="AJ5012">
        <v>11.450419999999999</v>
      </c>
      <c r="AK5012">
        <v>75.631929999999997</v>
      </c>
    </row>
    <row r="5013" spans="1:37" x14ac:dyDescent="0.3">
      <c r="A5013">
        <v>5012</v>
      </c>
      <c r="B5013">
        <v>90</v>
      </c>
      <c r="C5013">
        <v>9.3389000000000006</v>
      </c>
      <c r="D5013">
        <v>14.0434</v>
      </c>
      <c r="E5013" t="s">
        <v>8040</v>
      </c>
      <c r="F5013" t="s">
        <v>8041</v>
      </c>
      <c r="G5013" t="s">
        <v>39</v>
      </c>
      <c r="H5013">
        <v>0</v>
      </c>
      <c r="I5013">
        <v>27.7</v>
      </c>
      <c r="J5013">
        <v>14.6</v>
      </c>
      <c r="K5013">
        <v>57</v>
      </c>
      <c r="L5013">
        <v>31.95</v>
      </c>
      <c r="M5013">
        <v>39.9</v>
      </c>
      <c r="N5013">
        <v>14.4</v>
      </c>
      <c r="O5013">
        <v>25.5</v>
      </c>
      <c r="P5013">
        <v>27.6</v>
      </c>
      <c r="Q5013">
        <v>25.3</v>
      </c>
      <c r="R5013">
        <v>31.8</v>
      </c>
      <c r="S5013">
        <v>23.2</v>
      </c>
      <c r="T5013">
        <v>281</v>
      </c>
      <c r="U5013">
        <v>116</v>
      </c>
      <c r="V5013">
        <v>0</v>
      </c>
      <c r="W5013">
        <v>156</v>
      </c>
      <c r="X5013">
        <v>242</v>
      </c>
      <c r="Y5013">
        <v>0</v>
      </c>
      <c r="Z5013">
        <v>36</v>
      </c>
      <c r="AA5013">
        <v>0</v>
      </c>
      <c r="AB5013">
        <v>1.5198739999999999</v>
      </c>
      <c r="AC5013">
        <v>2.5506290000000001E-2</v>
      </c>
      <c r="AD5013">
        <v>1.1497539999999999</v>
      </c>
      <c r="AE5013">
        <v>0.47915570000000002</v>
      </c>
      <c r="AF5013">
        <v>459.92590000000001</v>
      </c>
      <c r="AG5013">
        <f>IFERROR(AH5013*0.1, "N/A")</f>
        <v>7.1000000000000005</v>
      </c>
      <c r="AH5013">
        <v>71</v>
      </c>
      <c r="AI5013">
        <v>127.91379999999999</v>
      </c>
      <c r="AJ5013">
        <v>12</v>
      </c>
      <c r="AK5013">
        <v>75.452860000000001</v>
      </c>
    </row>
    <row r="5014" spans="1:37" x14ac:dyDescent="0.3">
      <c r="A5014">
        <v>5013</v>
      </c>
      <c r="B5014">
        <v>3.3</v>
      </c>
      <c r="C5014">
        <v>5.8710000000000004</v>
      </c>
      <c r="D5014">
        <v>14.0448</v>
      </c>
      <c r="E5014" t="s">
        <v>8042</v>
      </c>
      <c r="F5014" t="s">
        <v>8043</v>
      </c>
      <c r="G5014" t="s">
        <v>39</v>
      </c>
      <c r="H5014">
        <v>0</v>
      </c>
      <c r="I5014">
        <v>28.3</v>
      </c>
      <c r="J5014">
        <v>14.4</v>
      </c>
      <c r="K5014">
        <v>58</v>
      </c>
      <c r="L5014">
        <v>29.1</v>
      </c>
      <c r="M5014">
        <v>40.1</v>
      </c>
      <c r="N5014">
        <v>15.3</v>
      </c>
      <c r="O5014">
        <v>24.8</v>
      </c>
      <c r="P5014">
        <v>27.7</v>
      </c>
      <c r="Q5014">
        <v>26.5</v>
      </c>
      <c r="R5014">
        <v>32.200000000000003</v>
      </c>
      <c r="S5014">
        <v>24.5</v>
      </c>
      <c r="T5014">
        <v>432</v>
      </c>
      <c r="U5014">
        <v>155</v>
      </c>
      <c r="V5014">
        <v>0</v>
      </c>
      <c r="W5014">
        <v>141</v>
      </c>
      <c r="X5014">
        <v>349</v>
      </c>
      <c r="Y5014">
        <v>0</v>
      </c>
      <c r="Z5014">
        <v>78</v>
      </c>
      <c r="AA5014">
        <v>0</v>
      </c>
      <c r="AB5014">
        <v>2.9478140000000002</v>
      </c>
      <c r="AC5014">
        <v>8.9793670000000003E-3</v>
      </c>
      <c r="AD5014">
        <v>2.0052940000000001</v>
      </c>
      <c r="AE5014">
        <v>0.69604889999999997</v>
      </c>
      <c r="AF5014">
        <v>329.13260000000002</v>
      </c>
      <c r="AG5014">
        <f>IFERROR(AH5014*0.1, "N/A")</f>
        <v>6.6231539999999995</v>
      </c>
      <c r="AH5014">
        <v>66.231539999999995</v>
      </c>
      <c r="AI5014">
        <v>208.50710000000001</v>
      </c>
      <c r="AJ5014">
        <v>15.030200000000001</v>
      </c>
      <c r="AK5014">
        <v>70.734899999999996</v>
      </c>
    </row>
    <row r="5015" spans="1:37" x14ac:dyDescent="0.3">
      <c r="A5015">
        <v>5014</v>
      </c>
      <c r="B5015">
        <v>11.7</v>
      </c>
      <c r="C5015">
        <v>5.6706000000000003</v>
      </c>
      <c r="D5015">
        <v>14.0687</v>
      </c>
      <c r="E5015" t="s">
        <v>8044</v>
      </c>
      <c r="F5015" t="s">
        <v>8045</v>
      </c>
      <c r="G5015" t="s">
        <v>39</v>
      </c>
      <c r="H5015">
        <v>0</v>
      </c>
      <c r="I5015">
        <v>28.5</v>
      </c>
      <c r="J5015">
        <v>14.4</v>
      </c>
      <c r="K5015">
        <v>57</v>
      </c>
      <c r="L5015">
        <v>29.07</v>
      </c>
      <c r="M5015">
        <v>40.200000000000003</v>
      </c>
      <c r="N5015">
        <v>15.3</v>
      </c>
      <c r="O5015">
        <v>24.9</v>
      </c>
      <c r="P5015">
        <v>29.1</v>
      </c>
      <c r="Q5015">
        <v>26.6</v>
      </c>
      <c r="R5015">
        <v>32.299999999999997</v>
      </c>
      <c r="S5015">
        <v>24.7</v>
      </c>
      <c r="T5015">
        <v>442</v>
      </c>
      <c r="U5015">
        <v>152</v>
      </c>
      <c r="V5015">
        <v>0</v>
      </c>
      <c r="W5015">
        <v>140</v>
      </c>
      <c r="X5015">
        <v>345</v>
      </c>
      <c r="Y5015">
        <v>0</v>
      </c>
      <c r="Z5015">
        <v>91</v>
      </c>
      <c r="AA5015">
        <v>0</v>
      </c>
      <c r="AB5015">
        <v>6.401688</v>
      </c>
      <c r="AC5015">
        <v>2.8450590000000001E-2</v>
      </c>
      <c r="AD5015">
        <v>0.91684200000000005</v>
      </c>
      <c r="AE5015">
        <v>0.76316410000000001</v>
      </c>
      <c r="AF5015">
        <v>311.10270000000003</v>
      </c>
      <c r="AG5015">
        <f>IFERROR(AH5015*0.1, "N/A")</f>
        <v>7</v>
      </c>
      <c r="AH5015">
        <v>70</v>
      </c>
      <c r="AI5015">
        <v>242.20840000000001</v>
      </c>
      <c r="AJ5015">
        <v>23.85859</v>
      </c>
      <c r="AK5015">
        <v>57.14141</v>
      </c>
    </row>
    <row r="5016" spans="1:37" x14ac:dyDescent="0.3">
      <c r="A5016">
        <v>5015</v>
      </c>
      <c r="B5016">
        <v>3.3</v>
      </c>
      <c r="C5016">
        <v>5.9583300000000001</v>
      </c>
      <c r="D5016">
        <v>14.0753</v>
      </c>
      <c r="E5016" t="s">
        <v>8046</v>
      </c>
      <c r="F5016" t="s">
        <v>8047</v>
      </c>
      <c r="G5016" t="s">
        <v>39</v>
      </c>
      <c r="H5016">
        <v>0</v>
      </c>
      <c r="I5016">
        <v>28.256589999999999</v>
      </c>
      <c r="J5016">
        <v>14.5</v>
      </c>
      <c r="K5016">
        <v>58</v>
      </c>
      <c r="L5016">
        <v>28.709050000000001</v>
      </c>
      <c r="M5016">
        <v>40.1</v>
      </c>
      <c r="N5016">
        <v>15.29105</v>
      </c>
      <c r="O5016">
        <v>24.808949999999999</v>
      </c>
      <c r="P5016">
        <v>27.6</v>
      </c>
      <c r="Q5016">
        <v>24.791049999999998</v>
      </c>
      <c r="R5016">
        <v>32.091050000000003</v>
      </c>
      <c r="S5016">
        <v>24.491050000000001</v>
      </c>
      <c r="T5016">
        <v>425</v>
      </c>
      <c r="U5016">
        <v>155</v>
      </c>
      <c r="V5016">
        <v>0</v>
      </c>
      <c r="W5016">
        <v>144</v>
      </c>
      <c r="X5016">
        <v>346</v>
      </c>
      <c r="Y5016">
        <v>0</v>
      </c>
      <c r="Z5016">
        <v>73</v>
      </c>
      <c r="AA5016">
        <v>0</v>
      </c>
      <c r="AB5016">
        <v>10.15269</v>
      </c>
      <c r="AC5016">
        <v>8.2961609999999998E-3</v>
      </c>
      <c r="AD5016">
        <v>1.696477</v>
      </c>
      <c r="AE5016">
        <v>0.70687089999999997</v>
      </c>
      <c r="AF5016">
        <v>332.89190000000002</v>
      </c>
      <c r="AG5016">
        <f>IFERROR(AH5016*0.1, "N/A")</f>
        <v>6.9344590000000004</v>
      </c>
      <c r="AH5016">
        <v>69.344589999999997</v>
      </c>
      <c r="AI5016">
        <v>120.223</v>
      </c>
      <c r="AJ5016">
        <v>17.68919</v>
      </c>
      <c r="AK5016">
        <v>64.344589999999997</v>
      </c>
    </row>
    <row r="5017" spans="1:37" x14ac:dyDescent="0.3">
      <c r="A5017">
        <v>5016</v>
      </c>
      <c r="B5017">
        <v>78</v>
      </c>
      <c r="C5017">
        <v>9.5478199999999998</v>
      </c>
      <c r="D5017">
        <v>14.0771</v>
      </c>
      <c r="E5017" t="s">
        <v>8048</v>
      </c>
      <c r="F5017" t="s">
        <v>8049</v>
      </c>
      <c r="G5017" t="s">
        <v>39</v>
      </c>
      <c r="H5017">
        <v>0</v>
      </c>
      <c r="I5017">
        <v>27.7</v>
      </c>
      <c r="J5017">
        <v>14.7</v>
      </c>
      <c r="K5017">
        <v>57</v>
      </c>
      <c r="L5017">
        <v>31.35</v>
      </c>
      <c r="M5017">
        <v>40</v>
      </c>
      <c r="N5017">
        <v>14.4</v>
      </c>
      <c r="O5017">
        <v>25.6</v>
      </c>
      <c r="P5017">
        <v>27.6</v>
      </c>
      <c r="Q5017">
        <v>25.3</v>
      </c>
      <c r="R5017">
        <v>31.7</v>
      </c>
      <c r="S5017">
        <v>23.3</v>
      </c>
      <c r="T5017">
        <v>273</v>
      </c>
      <c r="U5017">
        <v>113</v>
      </c>
      <c r="V5017">
        <v>0</v>
      </c>
      <c r="W5017">
        <v>159</v>
      </c>
      <c r="X5017">
        <v>235</v>
      </c>
      <c r="Y5017">
        <v>0</v>
      </c>
      <c r="Z5017">
        <v>35</v>
      </c>
      <c r="AA5017">
        <v>0</v>
      </c>
      <c r="AB5017">
        <v>1.4038889999999999</v>
      </c>
      <c r="AC5017">
        <v>8.2960870000000006E-3</v>
      </c>
      <c r="AD5017">
        <v>0.6872045</v>
      </c>
      <c r="AE5017">
        <v>0.66876650000000004</v>
      </c>
      <c r="AF5017">
        <v>424.74029999999999</v>
      </c>
      <c r="AG5017">
        <f>IFERROR(AH5017*0.1, "N/A")</f>
        <v>6.8003370000000007</v>
      </c>
      <c r="AH5017">
        <v>68.003370000000004</v>
      </c>
      <c r="AI5017">
        <v>154.4999</v>
      </c>
      <c r="AJ5017">
        <v>19.305230000000002</v>
      </c>
      <c r="AK5017">
        <v>64.286680000000004</v>
      </c>
    </row>
    <row r="5018" spans="1:37" x14ac:dyDescent="0.3">
      <c r="A5018">
        <v>5017</v>
      </c>
      <c r="B5018">
        <v>23.3</v>
      </c>
      <c r="C5018">
        <v>3.14107</v>
      </c>
      <c r="D5018">
        <v>14.0825</v>
      </c>
      <c r="E5018" t="s">
        <v>8050</v>
      </c>
      <c r="F5018" t="s">
        <v>8051</v>
      </c>
      <c r="G5018" t="s">
        <v>39</v>
      </c>
      <c r="H5018">
        <v>0</v>
      </c>
      <c r="I5018">
        <v>29.1</v>
      </c>
      <c r="J5018">
        <v>14</v>
      </c>
      <c r="K5018">
        <v>57</v>
      </c>
      <c r="L5018">
        <v>28.20025</v>
      </c>
      <c r="M5018">
        <v>40.73997</v>
      </c>
      <c r="N5018">
        <v>16.5</v>
      </c>
      <c r="O5018">
        <v>24.23997</v>
      </c>
      <c r="P5018">
        <v>28.5</v>
      </c>
      <c r="Q5018">
        <v>27.3</v>
      </c>
      <c r="R5018">
        <v>32.839970000000001</v>
      </c>
      <c r="S5018">
        <v>25.39545</v>
      </c>
      <c r="T5018">
        <v>368.27820000000003</v>
      </c>
      <c r="U5018">
        <v>134.21080000000001</v>
      </c>
      <c r="V5018">
        <v>0</v>
      </c>
      <c r="W5018">
        <v>146.21080000000001</v>
      </c>
      <c r="X5018">
        <v>300.42160000000001</v>
      </c>
      <c r="Y5018">
        <v>0</v>
      </c>
      <c r="Z5018">
        <v>65.811130000000006</v>
      </c>
      <c r="AA5018">
        <v>0</v>
      </c>
      <c r="AB5018">
        <v>3.6819579999999998</v>
      </c>
      <c r="AC5018">
        <v>1.0464299999999999E-2</v>
      </c>
      <c r="AD5018">
        <v>1.0448869999999999</v>
      </c>
      <c r="AE5018">
        <v>0.61489890000000003</v>
      </c>
      <c r="AF5018">
        <v>222.489</v>
      </c>
      <c r="AG5018">
        <f>IFERROR(AH5018*0.1, "N/A")</f>
        <v>5.9863410000000004</v>
      </c>
      <c r="AH5018">
        <v>59.863410000000002</v>
      </c>
      <c r="AI5018">
        <v>62.677</v>
      </c>
      <c r="AJ5018">
        <v>6.2107929999999998</v>
      </c>
      <c r="AK5018">
        <v>82.091059999999999</v>
      </c>
    </row>
    <row r="5019" spans="1:37" x14ac:dyDescent="0.3">
      <c r="A5019">
        <v>5018</v>
      </c>
      <c r="B5019">
        <v>36.9</v>
      </c>
      <c r="C5019">
        <v>5.3281000000000001</v>
      </c>
      <c r="D5019">
        <v>14.0831</v>
      </c>
      <c r="E5019" t="s">
        <v>8052</v>
      </c>
      <c r="F5019" t="s">
        <v>8053</v>
      </c>
      <c r="G5019" t="s">
        <v>39</v>
      </c>
      <c r="H5019">
        <v>0</v>
      </c>
      <c r="I5019">
        <v>28.7</v>
      </c>
      <c r="J5019">
        <v>14.3</v>
      </c>
      <c r="K5019">
        <v>57</v>
      </c>
      <c r="L5019">
        <v>28.89</v>
      </c>
      <c r="M5019">
        <v>40.200000000000003</v>
      </c>
      <c r="N5019">
        <v>15.4</v>
      </c>
      <c r="O5019">
        <v>24.8</v>
      </c>
      <c r="P5019">
        <v>28.4</v>
      </c>
      <c r="Q5019">
        <v>26.7</v>
      </c>
      <c r="R5019">
        <v>32.5</v>
      </c>
      <c r="S5019">
        <v>24.8</v>
      </c>
      <c r="T5019">
        <v>404</v>
      </c>
      <c r="U5019">
        <v>129.68620000000001</v>
      </c>
      <c r="V5019">
        <v>0</v>
      </c>
      <c r="W5019">
        <v>136</v>
      </c>
      <c r="X5019">
        <v>315.68619999999999</v>
      </c>
      <c r="Y5019">
        <v>0</v>
      </c>
      <c r="Z5019">
        <v>83</v>
      </c>
      <c r="AA5019">
        <v>0</v>
      </c>
      <c r="AB5019">
        <v>3.5780340000000002</v>
      </c>
      <c r="AC5019">
        <v>1.3028390000000001E-2</v>
      </c>
      <c r="AD5019">
        <v>0.38838289999999998</v>
      </c>
      <c r="AE5019">
        <v>0.54250350000000003</v>
      </c>
      <c r="AF5019">
        <v>302.27179999999998</v>
      </c>
      <c r="AG5019">
        <f>IFERROR(AH5019*0.1, "N/A")</f>
        <v>6.8313760000000006</v>
      </c>
      <c r="AH5019">
        <v>68.313760000000002</v>
      </c>
      <c r="AI5019">
        <v>74.194590000000005</v>
      </c>
      <c r="AJ5019">
        <v>16.005030000000001</v>
      </c>
      <c r="AK5019">
        <v>72.313760000000002</v>
      </c>
    </row>
    <row r="5020" spans="1:37" x14ac:dyDescent="0.3">
      <c r="A5020">
        <v>5019</v>
      </c>
      <c r="B5020">
        <v>0</v>
      </c>
      <c r="C5020">
        <v>5.3281000000000001</v>
      </c>
      <c r="D5020">
        <v>14.0831</v>
      </c>
      <c r="E5020" t="s">
        <v>8052</v>
      </c>
      <c r="F5020" t="s">
        <v>8054</v>
      </c>
      <c r="G5020" t="s">
        <v>37</v>
      </c>
      <c r="H5020">
        <v>0</v>
      </c>
      <c r="I5020">
        <v>28.7</v>
      </c>
      <c r="J5020">
        <v>14.3</v>
      </c>
      <c r="K5020">
        <v>57</v>
      </c>
      <c r="L5020">
        <v>28.89</v>
      </c>
      <c r="M5020">
        <v>40.200000000000003</v>
      </c>
      <c r="N5020">
        <v>15.4</v>
      </c>
      <c r="O5020">
        <v>24.8</v>
      </c>
      <c r="P5020">
        <v>28.4</v>
      </c>
      <c r="Q5020">
        <v>26.7</v>
      </c>
      <c r="R5020">
        <v>32.5</v>
      </c>
      <c r="S5020">
        <v>24.8</v>
      </c>
      <c r="T5020">
        <v>404</v>
      </c>
      <c r="U5020">
        <v>129.68620000000001</v>
      </c>
      <c r="V5020">
        <v>0</v>
      </c>
      <c r="W5020">
        <v>136</v>
      </c>
      <c r="X5020">
        <v>315.68619999999999</v>
      </c>
      <c r="Y5020">
        <v>0</v>
      </c>
      <c r="Z5020">
        <v>83</v>
      </c>
      <c r="AA5020">
        <v>0</v>
      </c>
      <c r="AB5020">
        <v>3.5780340000000002</v>
      </c>
      <c r="AC5020">
        <v>1.3028390000000001E-2</v>
      </c>
      <c r="AD5020">
        <v>0.38838289999999998</v>
      </c>
      <c r="AE5020">
        <v>0.54250350000000003</v>
      </c>
      <c r="AF5020">
        <v>302.27179999999998</v>
      </c>
      <c r="AG5020">
        <f>IFERROR(AH5020*0.1, "N/A")</f>
        <v>6.8313760000000006</v>
      </c>
      <c r="AH5020">
        <v>68.313760000000002</v>
      </c>
      <c r="AI5020">
        <v>74.194590000000005</v>
      </c>
      <c r="AJ5020">
        <v>16.005030000000001</v>
      </c>
      <c r="AK5020">
        <v>72.313760000000002</v>
      </c>
    </row>
    <row r="5021" spans="1:37" x14ac:dyDescent="0.3">
      <c r="A5021">
        <v>5020</v>
      </c>
      <c r="B5021">
        <v>0</v>
      </c>
      <c r="C5021">
        <v>10.5404</v>
      </c>
      <c r="D5021">
        <v>14.1059</v>
      </c>
      <c r="E5021" t="s">
        <v>8055</v>
      </c>
      <c r="F5021" t="s">
        <v>8056</v>
      </c>
      <c r="G5021" t="s">
        <v>39</v>
      </c>
      <c r="H5021">
        <v>0</v>
      </c>
      <c r="I5021">
        <v>27</v>
      </c>
      <c r="J5021">
        <v>15.2</v>
      </c>
      <c r="K5021">
        <v>58</v>
      </c>
      <c r="L5021">
        <v>31.13</v>
      </c>
      <c r="M5021">
        <v>39.4</v>
      </c>
      <c r="N5021">
        <v>13.3</v>
      </c>
      <c r="O5021">
        <v>26.1</v>
      </c>
      <c r="P5021">
        <v>27.2</v>
      </c>
      <c r="Q5021">
        <v>24.5</v>
      </c>
      <c r="R5021">
        <v>30.9</v>
      </c>
      <c r="S5021">
        <v>22.5</v>
      </c>
      <c r="T5021">
        <v>272</v>
      </c>
      <c r="U5021">
        <v>114</v>
      </c>
      <c r="V5021">
        <v>0</v>
      </c>
      <c r="W5021">
        <v>163</v>
      </c>
      <c r="X5021">
        <v>241</v>
      </c>
      <c r="Y5021">
        <v>0</v>
      </c>
      <c r="Z5021">
        <v>29</v>
      </c>
      <c r="AA5021">
        <v>0</v>
      </c>
      <c r="AB5021">
        <v>8.2833860000000001</v>
      </c>
      <c r="AC5021">
        <v>1.9220600000000001E-2</v>
      </c>
      <c r="AD5021">
        <v>3.6268389999999999</v>
      </c>
      <c r="AE5021">
        <v>0.14586360000000001</v>
      </c>
      <c r="AF5021">
        <v>390.62079999999997</v>
      </c>
      <c r="AG5021">
        <f>IFERROR(AH5021*0.1, "N/A")</f>
        <v>6.5503360000000006</v>
      </c>
      <c r="AH5021">
        <v>65.503360000000001</v>
      </c>
      <c r="AI5021">
        <v>289.65550000000002</v>
      </c>
      <c r="AJ5021">
        <v>9.1258389999999991</v>
      </c>
      <c r="AK5021">
        <v>79.949659999999994</v>
      </c>
    </row>
    <row r="5022" spans="1:37" x14ac:dyDescent="0.3">
      <c r="A5022">
        <v>5021</v>
      </c>
      <c r="B5022">
        <v>0</v>
      </c>
      <c r="C5022">
        <v>10.5404</v>
      </c>
      <c r="D5022">
        <v>14.1059</v>
      </c>
      <c r="E5022" t="s">
        <v>8055</v>
      </c>
      <c r="F5022" t="s">
        <v>8057</v>
      </c>
      <c r="G5022" t="s">
        <v>37</v>
      </c>
      <c r="H5022">
        <v>0</v>
      </c>
      <c r="I5022">
        <v>27</v>
      </c>
      <c r="J5022">
        <v>15.2</v>
      </c>
      <c r="K5022">
        <v>58</v>
      </c>
      <c r="L5022">
        <v>31.13</v>
      </c>
      <c r="M5022">
        <v>39.4</v>
      </c>
      <c r="N5022">
        <v>13.3</v>
      </c>
      <c r="O5022">
        <v>26.1</v>
      </c>
      <c r="P5022">
        <v>27.2</v>
      </c>
      <c r="Q5022">
        <v>24.5</v>
      </c>
      <c r="R5022">
        <v>30.9</v>
      </c>
      <c r="S5022">
        <v>22.5</v>
      </c>
      <c r="T5022">
        <v>272</v>
      </c>
      <c r="U5022">
        <v>114</v>
      </c>
      <c r="V5022">
        <v>0</v>
      </c>
      <c r="W5022">
        <v>163</v>
      </c>
      <c r="X5022">
        <v>241</v>
      </c>
      <c r="Y5022">
        <v>0</v>
      </c>
      <c r="Z5022">
        <v>29</v>
      </c>
      <c r="AA5022">
        <v>0</v>
      </c>
      <c r="AB5022">
        <v>8.2833860000000001</v>
      </c>
      <c r="AC5022">
        <v>1.9220600000000001E-2</v>
      </c>
      <c r="AD5022">
        <v>3.6268389999999999</v>
      </c>
      <c r="AE5022">
        <v>0.14586360000000001</v>
      </c>
      <c r="AF5022">
        <v>390.62079999999997</v>
      </c>
      <c r="AG5022">
        <f>IFERROR(AH5022*0.1, "N/A")</f>
        <v>6.5503360000000006</v>
      </c>
      <c r="AH5022">
        <v>65.503360000000001</v>
      </c>
      <c r="AI5022">
        <v>289.65550000000002</v>
      </c>
      <c r="AJ5022">
        <v>9.1258389999999991</v>
      </c>
      <c r="AK5022">
        <v>79.949659999999994</v>
      </c>
    </row>
    <row r="5023" spans="1:37" x14ac:dyDescent="0.3">
      <c r="A5023">
        <v>5022</v>
      </c>
      <c r="B5023">
        <v>12.5</v>
      </c>
      <c r="C5023">
        <v>5.6287599999999998</v>
      </c>
      <c r="D5023">
        <v>14.122299999999999</v>
      </c>
      <c r="E5023" t="s">
        <v>8058</v>
      </c>
      <c r="F5023" t="s">
        <v>8059</v>
      </c>
      <c r="G5023" t="s">
        <v>39</v>
      </c>
      <c r="H5023">
        <v>0</v>
      </c>
      <c r="I5023">
        <v>28.5</v>
      </c>
      <c r="J5023">
        <v>14.4</v>
      </c>
      <c r="K5023">
        <v>58</v>
      </c>
      <c r="L5023">
        <v>29.17</v>
      </c>
      <c r="M5023">
        <v>40.1</v>
      </c>
      <c r="N5023">
        <v>15.3</v>
      </c>
      <c r="O5023">
        <v>24.8</v>
      </c>
      <c r="P5023">
        <v>28.1</v>
      </c>
      <c r="Q5023">
        <v>26.6</v>
      </c>
      <c r="R5023">
        <v>32.299999999999997</v>
      </c>
      <c r="S5023">
        <v>24.6</v>
      </c>
      <c r="T5023">
        <v>435</v>
      </c>
      <c r="U5023">
        <v>147</v>
      </c>
      <c r="V5023">
        <v>0</v>
      </c>
      <c r="W5023">
        <v>137</v>
      </c>
      <c r="X5023">
        <v>339</v>
      </c>
      <c r="Y5023">
        <v>0</v>
      </c>
      <c r="Z5023">
        <v>91</v>
      </c>
      <c r="AA5023">
        <v>0</v>
      </c>
      <c r="AB5023">
        <v>6.8211130000000004</v>
      </c>
      <c r="AC5023">
        <v>4.1430990000000001E-2</v>
      </c>
      <c r="AD5023">
        <v>2.4645419999999998</v>
      </c>
      <c r="AE5023">
        <v>0.38666709999999999</v>
      </c>
      <c r="AF5023">
        <v>331</v>
      </c>
      <c r="AG5023">
        <f>IFERROR(AH5023*0.1, "N/A")</f>
        <v>7.266667</v>
      </c>
      <c r="AH5023">
        <v>72.666669999999996</v>
      </c>
      <c r="AI5023">
        <v>60.893189999999997</v>
      </c>
      <c r="AJ5023">
        <v>23.492460000000001</v>
      </c>
      <c r="AK5023">
        <v>61.802349999999997</v>
      </c>
    </row>
    <row r="5024" spans="1:37" x14ac:dyDescent="0.3">
      <c r="A5024">
        <v>5023</v>
      </c>
      <c r="B5024">
        <v>0</v>
      </c>
      <c r="C5024">
        <v>5.6287599999999998</v>
      </c>
      <c r="D5024">
        <v>14.122299999999999</v>
      </c>
      <c r="E5024" t="s">
        <v>8058</v>
      </c>
      <c r="F5024" t="s">
        <v>8060</v>
      </c>
      <c r="G5024" t="s">
        <v>37</v>
      </c>
      <c r="H5024">
        <v>0</v>
      </c>
      <c r="I5024">
        <v>28.5</v>
      </c>
      <c r="J5024">
        <v>14.4</v>
      </c>
      <c r="K5024">
        <v>58</v>
      </c>
      <c r="L5024">
        <v>29.17</v>
      </c>
      <c r="M5024">
        <v>40.1</v>
      </c>
      <c r="N5024">
        <v>15.3</v>
      </c>
      <c r="O5024">
        <v>24.8</v>
      </c>
      <c r="P5024">
        <v>28.1</v>
      </c>
      <c r="Q5024">
        <v>26.6</v>
      </c>
      <c r="R5024">
        <v>32.299999999999997</v>
      </c>
      <c r="S5024">
        <v>24.6</v>
      </c>
      <c r="T5024">
        <v>435</v>
      </c>
      <c r="U5024">
        <v>147</v>
      </c>
      <c r="V5024">
        <v>0</v>
      </c>
      <c r="W5024">
        <v>137</v>
      </c>
      <c r="X5024">
        <v>339</v>
      </c>
      <c r="Y5024">
        <v>0</v>
      </c>
      <c r="Z5024">
        <v>91</v>
      </c>
      <c r="AA5024">
        <v>0</v>
      </c>
      <c r="AB5024">
        <v>6.8211130000000004</v>
      </c>
      <c r="AC5024">
        <v>4.1430990000000001E-2</v>
      </c>
      <c r="AD5024">
        <v>2.4645419999999998</v>
      </c>
      <c r="AE5024">
        <v>0.38666709999999999</v>
      </c>
      <c r="AF5024">
        <v>331</v>
      </c>
      <c r="AG5024">
        <f>IFERROR(AH5024*0.1, "N/A")</f>
        <v>7.266667</v>
      </c>
      <c r="AH5024">
        <v>72.666669999999996</v>
      </c>
      <c r="AI5024">
        <v>60.893189999999997</v>
      </c>
      <c r="AJ5024">
        <v>23.492460000000001</v>
      </c>
      <c r="AK5024">
        <v>61.802349999999997</v>
      </c>
    </row>
    <row r="5025" spans="1:37" x14ac:dyDescent="0.3">
      <c r="A5025">
        <v>5024</v>
      </c>
      <c r="B5025">
        <v>39.200000000000003</v>
      </c>
      <c r="C5025">
        <v>9.8175699999999999</v>
      </c>
      <c r="D5025">
        <v>14.127800000000001</v>
      </c>
      <c r="E5025" t="s">
        <v>8061</v>
      </c>
      <c r="F5025" t="s">
        <v>8062</v>
      </c>
      <c r="G5025" t="s">
        <v>39</v>
      </c>
      <c r="H5025">
        <v>0</v>
      </c>
      <c r="I5025">
        <v>27.4</v>
      </c>
      <c r="J5025">
        <v>14.9</v>
      </c>
      <c r="K5025">
        <v>57</v>
      </c>
      <c r="L5025">
        <v>31.05161</v>
      </c>
      <c r="M5025">
        <v>39.701009999999997</v>
      </c>
      <c r="N5025">
        <v>14</v>
      </c>
      <c r="O5025">
        <v>25.70101</v>
      </c>
      <c r="P5025">
        <v>27.301010000000002</v>
      </c>
      <c r="Q5025">
        <v>25.001010000000001</v>
      </c>
      <c r="R5025">
        <v>31.4</v>
      </c>
      <c r="S5025">
        <v>23</v>
      </c>
      <c r="T5025">
        <v>279</v>
      </c>
      <c r="U5025">
        <v>117</v>
      </c>
      <c r="V5025">
        <v>0</v>
      </c>
      <c r="W5025">
        <v>158</v>
      </c>
      <c r="X5025">
        <v>242</v>
      </c>
      <c r="Y5025">
        <v>0</v>
      </c>
      <c r="Z5025">
        <v>35</v>
      </c>
      <c r="AA5025">
        <v>0</v>
      </c>
      <c r="AB5025">
        <v>1.018133</v>
      </c>
      <c r="AC5025">
        <v>3.4763509999999997E-2</v>
      </c>
      <c r="AD5025">
        <v>1.3288120000000001</v>
      </c>
      <c r="AE5025">
        <v>0.40517160000000002</v>
      </c>
      <c r="AF5025">
        <v>411.77350000000001</v>
      </c>
      <c r="AG5025">
        <f>IFERROR(AH5025*0.1, "N/A")</f>
        <v>7.2979870000000009</v>
      </c>
      <c r="AH5025">
        <v>72.979870000000005</v>
      </c>
      <c r="AI5025">
        <v>157.85509999999999</v>
      </c>
      <c r="AJ5025">
        <v>13.989929999999999</v>
      </c>
      <c r="AK5025">
        <v>73.989930000000001</v>
      </c>
    </row>
    <row r="5026" spans="1:37" x14ac:dyDescent="0.3">
      <c r="A5026">
        <v>5025</v>
      </c>
      <c r="B5026">
        <v>0</v>
      </c>
      <c r="C5026">
        <v>8.8784200000000002</v>
      </c>
      <c r="D5026">
        <v>14.132099999999999</v>
      </c>
      <c r="E5026" t="s">
        <v>8063</v>
      </c>
      <c r="F5026" t="s">
        <v>8064</v>
      </c>
      <c r="G5026" t="s">
        <v>39</v>
      </c>
      <c r="H5026">
        <v>0</v>
      </c>
      <c r="I5026">
        <v>27.8</v>
      </c>
      <c r="J5026">
        <v>14.3</v>
      </c>
      <c r="K5026">
        <v>56</v>
      </c>
      <c r="L5026">
        <v>32.68</v>
      </c>
      <c r="M5026">
        <v>39.9</v>
      </c>
      <c r="N5026">
        <v>14.4</v>
      </c>
      <c r="O5026">
        <v>25.5</v>
      </c>
      <c r="P5026">
        <v>28</v>
      </c>
      <c r="Q5026">
        <v>25.2</v>
      </c>
      <c r="R5026">
        <v>32</v>
      </c>
      <c r="S5026">
        <v>23.2</v>
      </c>
      <c r="T5026">
        <v>293</v>
      </c>
      <c r="U5026">
        <v>123</v>
      </c>
      <c r="V5026">
        <v>0</v>
      </c>
      <c r="W5026">
        <v>159</v>
      </c>
      <c r="X5026">
        <v>256</v>
      </c>
      <c r="Y5026">
        <v>0</v>
      </c>
      <c r="Z5026">
        <v>35</v>
      </c>
      <c r="AA5026">
        <v>0</v>
      </c>
      <c r="AB5026">
        <v>2.1818070000000001</v>
      </c>
      <c r="AC5026">
        <v>8.6152829999999996E-3</v>
      </c>
      <c r="AD5026">
        <v>0.52462509999999996</v>
      </c>
      <c r="AE5026">
        <v>0.508324</v>
      </c>
      <c r="AF5026">
        <v>458.09089999999998</v>
      </c>
      <c r="AG5026">
        <f>IFERROR(AH5026*0.1, "N/A")</f>
        <v>6.8000000000000007</v>
      </c>
      <c r="AH5026">
        <v>68</v>
      </c>
      <c r="AI5026">
        <v>56.018239999999999</v>
      </c>
      <c r="AJ5026">
        <v>10.351850000000001</v>
      </c>
      <c r="AK5026">
        <v>77.668350000000004</v>
      </c>
    </row>
    <row r="5027" spans="1:37" x14ac:dyDescent="0.3">
      <c r="A5027">
        <v>5026</v>
      </c>
      <c r="B5027">
        <v>14.7</v>
      </c>
      <c r="C5027">
        <v>9.6921499999999998</v>
      </c>
      <c r="D5027">
        <v>14.1378</v>
      </c>
      <c r="E5027" t="s">
        <v>8065</v>
      </c>
      <c r="F5027" t="s">
        <v>8066</v>
      </c>
      <c r="G5027" t="s">
        <v>39</v>
      </c>
      <c r="H5027">
        <v>0</v>
      </c>
      <c r="I5027">
        <v>27.429919999999999</v>
      </c>
      <c r="J5027">
        <v>14.8</v>
      </c>
      <c r="K5027">
        <v>57</v>
      </c>
      <c r="L5027">
        <v>31.265129999999999</v>
      </c>
      <c r="M5027">
        <v>39.72992</v>
      </c>
      <c r="N5027">
        <v>14.1</v>
      </c>
      <c r="O5027">
        <v>25.629919999999998</v>
      </c>
      <c r="P5027">
        <v>27.4</v>
      </c>
      <c r="Q5027">
        <v>25.1</v>
      </c>
      <c r="R5027">
        <v>31.5</v>
      </c>
      <c r="S5027">
        <v>23.1</v>
      </c>
      <c r="T5027">
        <v>272</v>
      </c>
      <c r="U5027">
        <v>114</v>
      </c>
      <c r="V5027">
        <v>0</v>
      </c>
      <c r="W5027">
        <v>160</v>
      </c>
      <c r="X5027">
        <v>235</v>
      </c>
      <c r="Y5027">
        <v>0</v>
      </c>
      <c r="Z5027">
        <v>34</v>
      </c>
      <c r="AA5027">
        <v>0</v>
      </c>
      <c r="AB5027">
        <v>4.3841979999999996</v>
      </c>
      <c r="AC5027">
        <v>8.293913E-3</v>
      </c>
      <c r="AD5027">
        <v>1.3541430000000001</v>
      </c>
      <c r="AE5027">
        <v>0.53303489999999998</v>
      </c>
      <c r="AF5027">
        <v>429.59829999999999</v>
      </c>
      <c r="AG5027">
        <f>IFERROR(AH5027*0.1, "N/A")</f>
        <v>7.0700840000000005</v>
      </c>
      <c r="AH5027">
        <v>70.700839999999999</v>
      </c>
      <c r="AI5027">
        <v>128.4015</v>
      </c>
      <c r="AJ5027">
        <v>15.68571</v>
      </c>
      <c r="AK5027">
        <v>72.015129999999999</v>
      </c>
    </row>
    <row r="5028" spans="1:37" x14ac:dyDescent="0.3">
      <c r="A5028">
        <v>5027</v>
      </c>
      <c r="B5028">
        <v>72</v>
      </c>
      <c r="C5028">
        <v>9.4841999999999995</v>
      </c>
      <c r="D5028">
        <v>14.1394</v>
      </c>
      <c r="E5028" t="s">
        <v>8067</v>
      </c>
      <c r="F5028" t="s">
        <v>8068</v>
      </c>
      <c r="G5028" t="s">
        <v>39</v>
      </c>
      <c r="H5028">
        <v>0</v>
      </c>
      <c r="I5028">
        <v>27.7</v>
      </c>
      <c r="J5028">
        <v>14.7</v>
      </c>
      <c r="K5028">
        <v>57</v>
      </c>
      <c r="L5028">
        <v>31.39865</v>
      </c>
      <c r="M5028">
        <v>39.9</v>
      </c>
      <c r="N5028">
        <v>14.3</v>
      </c>
      <c r="O5028">
        <v>25.6</v>
      </c>
      <c r="P5028">
        <v>27.6</v>
      </c>
      <c r="Q5028">
        <v>25.3</v>
      </c>
      <c r="R5028">
        <v>31.7</v>
      </c>
      <c r="S5028">
        <v>23.3</v>
      </c>
      <c r="T5028">
        <v>263</v>
      </c>
      <c r="U5028">
        <v>110</v>
      </c>
      <c r="V5028">
        <v>0</v>
      </c>
      <c r="W5028">
        <v>161</v>
      </c>
      <c r="X5028">
        <v>227</v>
      </c>
      <c r="Y5028">
        <v>0</v>
      </c>
      <c r="Z5028">
        <v>33</v>
      </c>
      <c r="AA5028">
        <v>0</v>
      </c>
      <c r="AB5028">
        <v>2.3016860000000001</v>
      </c>
      <c r="AC5028">
        <v>9.8157810000000009E-3</v>
      </c>
      <c r="AD5028">
        <v>1.0641149999999999</v>
      </c>
      <c r="AE5028">
        <v>0.69013979999999997</v>
      </c>
      <c r="AF5028">
        <v>435.44779999999997</v>
      </c>
      <c r="AG5028">
        <f>IFERROR(AH5028*0.1, "N/A")</f>
        <v>7.3000000000000007</v>
      </c>
      <c r="AH5028">
        <v>73</v>
      </c>
      <c r="AI5028">
        <v>159.23949999999999</v>
      </c>
      <c r="AJ5028">
        <v>17.033670000000001</v>
      </c>
      <c r="AK5028">
        <v>66.932659999999998</v>
      </c>
    </row>
    <row r="5029" spans="1:37" x14ac:dyDescent="0.3">
      <c r="A5029">
        <v>5028</v>
      </c>
      <c r="B5029">
        <v>3.3</v>
      </c>
      <c r="C5029">
        <v>5.9130200000000004</v>
      </c>
      <c r="D5029">
        <v>14.139799999999999</v>
      </c>
      <c r="E5029" t="s">
        <v>8069</v>
      </c>
      <c r="F5029" t="s">
        <v>8070</v>
      </c>
      <c r="G5029" t="s">
        <v>39</v>
      </c>
      <c r="H5029">
        <v>0</v>
      </c>
      <c r="I5029">
        <v>28.2</v>
      </c>
      <c r="J5029">
        <v>14.5</v>
      </c>
      <c r="K5029">
        <v>58</v>
      </c>
      <c r="L5029">
        <v>29.08</v>
      </c>
      <c r="M5029">
        <v>40.1</v>
      </c>
      <c r="N5029">
        <v>15.2</v>
      </c>
      <c r="O5029">
        <v>24.9</v>
      </c>
      <c r="P5029">
        <v>27.7</v>
      </c>
      <c r="Q5029">
        <v>24.7</v>
      </c>
      <c r="R5029">
        <v>32.1</v>
      </c>
      <c r="S5029">
        <v>24.4</v>
      </c>
      <c r="T5029">
        <v>424</v>
      </c>
      <c r="U5029">
        <v>153</v>
      </c>
      <c r="V5029">
        <v>0</v>
      </c>
      <c r="W5029">
        <v>143</v>
      </c>
      <c r="X5029">
        <v>343</v>
      </c>
      <c r="Y5029">
        <v>0</v>
      </c>
      <c r="Z5029">
        <v>75</v>
      </c>
      <c r="AA5029">
        <v>0</v>
      </c>
      <c r="AB5029">
        <v>1.4959769999999999</v>
      </c>
      <c r="AC5029">
        <v>1.529346E-2</v>
      </c>
      <c r="AD5029">
        <v>1.6633370000000001</v>
      </c>
      <c r="AE5029">
        <v>0.62444759999999999</v>
      </c>
      <c r="AF5029">
        <v>341.07049999999998</v>
      </c>
      <c r="AG5029">
        <f>IFERROR(AH5029*0.1, "N/A")</f>
        <v>7.0229870000000005</v>
      </c>
      <c r="AH5029">
        <v>70.229870000000005</v>
      </c>
      <c r="AI5029">
        <v>213.59209999999999</v>
      </c>
      <c r="AJ5029">
        <v>16.689599999999999</v>
      </c>
      <c r="AK5029">
        <v>70.310400000000001</v>
      </c>
    </row>
    <row r="5030" spans="1:37" x14ac:dyDescent="0.3">
      <c r="A5030">
        <v>5029</v>
      </c>
      <c r="B5030">
        <v>28.3</v>
      </c>
      <c r="C5030">
        <v>5.6405799999999999</v>
      </c>
      <c r="D5030">
        <v>14.1456</v>
      </c>
      <c r="E5030" t="s">
        <v>8071</v>
      </c>
      <c r="F5030" t="s">
        <v>8072</v>
      </c>
      <c r="G5030" t="s">
        <v>39</v>
      </c>
      <c r="H5030">
        <v>0</v>
      </c>
      <c r="I5030">
        <v>28.5</v>
      </c>
      <c r="J5030">
        <v>14.4</v>
      </c>
      <c r="K5030">
        <v>57</v>
      </c>
      <c r="L5030">
        <v>29.23</v>
      </c>
      <c r="M5030">
        <v>40.299999999999997</v>
      </c>
      <c r="N5030">
        <v>15.4</v>
      </c>
      <c r="O5030">
        <v>24.9</v>
      </c>
      <c r="P5030">
        <v>28.2</v>
      </c>
      <c r="Q5030">
        <v>26.7</v>
      </c>
      <c r="R5030">
        <v>32.4</v>
      </c>
      <c r="S5030">
        <v>24.7</v>
      </c>
      <c r="T5030">
        <v>431</v>
      </c>
      <c r="U5030">
        <v>146</v>
      </c>
      <c r="V5030">
        <v>0</v>
      </c>
      <c r="W5030">
        <v>140</v>
      </c>
      <c r="X5030">
        <v>337</v>
      </c>
      <c r="Y5030">
        <v>0</v>
      </c>
      <c r="Z5030">
        <v>89</v>
      </c>
      <c r="AA5030">
        <v>0</v>
      </c>
      <c r="AB5030">
        <v>3.2644160000000002</v>
      </c>
      <c r="AC5030">
        <v>2.0488920000000001E-2</v>
      </c>
      <c r="AD5030">
        <v>1.2629490000000001</v>
      </c>
      <c r="AE5030">
        <v>0.74485040000000002</v>
      </c>
      <c r="AF5030">
        <v>318.05900000000003</v>
      </c>
      <c r="AG5030">
        <f>IFERROR(AH5030*0.1, "N/A")</f>
        <v>6.9986509999999997</v>
      </c>
      <c r="AH5030">
        <v>69.986509999999996</v>
      </c>
      <c r="AI5030">
        <v>256.78739999999999</v>
      </c>
      <c r="AJ5030">
        <v>22.986509999999999</v>
      </c>
      <c r="AK5030">
        <v>62.013489999999997</v>
      </c>
    </row>
    <row r="5031" spans="1:37" x14ac:dyDescent="0.3">
      <c r="A5031">
        <v>5030</v>
      </c>
      <c r="B5031">
        <v>0</v>
      </c>
      <c r="C5031">
        <v>7.6107899999999997</v>
      </c>
      <c r="D5031">
        <v>14.1547</v>
      </c>
      <c r="E5031" t="s">
        <v>8073</v>
      </c>
      <c r="F5031" t="s">
        <v>8074</v>
      </c>
      <c r="G5031" t="s">
        <v>39</v>
      </c>
      <c r="H5031">
        <v>0</v>
      </c>
      <c r="I5031">
        <v>27.7</v>
      </c>
      <c r="J5031">
        <v>14.6</v>
      </c>
      <c r="K5031">
        <v>56</v>
      </c>
      <c r="L5031">
        <v>31.91</v>
      </c>
      <c r="M5031">
        <v>39.799999999999997</v>
      </c>
      <c r="N5031">
        <v>14</v>
      </c>
      <c r="O5031">
        <v>25.8</v>
      </c>
      <c r="P5031">
        <v>27.7</v>
      </c>
      <c r="Q5031">
        <v>23.6</v>
      </c>
      <c r="R5031">
        <v>31.8</v>
      </c>
      <c r="S5031">
        <v>23.3</v>
      </c>
      <c r="T5031">
        <v>329</v>
      </c>
      <c r="U5031">
        <v>126</v>
      </c>
      <c r="V5031">
        <v>0</v>
      </c>
      <c r="W5031">
        <v>151</v>
      </c>
      <c r="X5031">
        <v>278</v>
      </c>
      <c r="Y5031">
        <v>0</v>
      </c>
      <c r="Z5031">
        <v>47</v>
      </c>
      <c r="AA5031">
        <v>0</v>
      </c>
      <c r="AB5031">
        <v>1.7764260000000001</v>
      </c>
      <c r="AC5031">
        <v>1.7577869999999999E-2</v>
      </c>
      <c r="AD5031">
        <v>1.4289430000000001</v>
      </c>
      <c r="AE5031">
        <v>0.63827659999999997</v>
      </c>
      <c r="AF5031">
        <v>405.83330000000001</v>
      </c>
      <c r="AG5031">
        <f>IFERROR(AH5031*0.1, "N/A")</f>
        <v>6.8728960000000008</v>
      </c>
      <c r="AH5031">
        <v>68.728960000000001</v>
      </c>
      <c r="AI5031">
        <v>234.68260000000001</v>
      </c>
      <c r="AJ5031">
        <v>9.8131310000000003</v>
      </c>
      <c r="AK5031">
        <v>75.915819999999997</v>
      </c>
    </row>
    <row r="5032" spans="1:37" x14ac:dyDescent="0.3">
      <c r="A5032">
        <v>5031</v>
      </c>
      <c r="B5032">
        <v>0</v>
      </c>
      <c r="C5032">
        <v>7.6107899999999997</v>
      </c>
      <c r="D5032">
        <v>14.1547</v>
      </c>
      <c r="E5032" t="s">
        <v>8073</v>
      </c>
      <c r="F5032" t="s">
        <v>8075</v>
      </c>
      <c r="G5032" t="s">
        <v>37</v>
      </c>
      <c r="H5032">
        <v>0</v>
      </c>
      <c r="I5032">
        <v>27.7</v>
      </c>
      <c r="J5032">
        <v>14.6</v>
      </c>
      <c r="K5032">
        <v>56</v>
      </c>
      <c r="L5032">
        <v>31.91</v>
      </c>
      <c r="M5032">
        <v>39.799999999999997</v>
      </c>
      <c r="N5032">
        <v>14</v>
      </c>
      <c r="O5032">
        <v>25.8</v>
      </c>
      <c r="P5032">
        <v>27.7</v>
      </c>
      <c r="Q5032">
        <v>23.6</v>
      </c>
      <c r="R5032">
        <v>31.8</v>
      </c>
      <c r="S5032">
        <v>23.3</v>
      </c>
      <c r="T5032">
        <v>329</v>
      </c>
      <c r="U5032">
        <v>126</v>
      </c>
      <c r="V5032">
        <v>0</v>
      </c>
      <c r="W5032">
        <v>151</v>
      </c>
      <c r="X5032">
        <v>278</v>
      </c>
      <c r="Y5032">
        <v>0</v>
      </c>
      <c r="Z5032">
        <v>47</v>
      </c>
      <c r="AA5032">
        <v>0</v>
      </c>
      <c r="AB5032">
        <v>1.7764260000000001</v>
      </c>
      <c r="AC5032">
        <v>1.7577869999999999E-2</v>
      </c>
      <c r="AD5032">
        <v>1.4289430000000001</v>
      </c>
      <c r="AE5032">
        <v>0.63827659999999997</v>
      </c>
      <c r="AF5032">
        <v>405.83330000000001</v>
      </c>
      <c r="AG5032">
        <f>IFERROR(AH5032*0.1, "N/A")</f>
        <v>6.8728960000000008</v>
      </c>
      <c r="AH5032">
        <v>68.728960000000001</v>
      </c>
      <c r="AI5032">
        <v>234.68260000000001</v>
      </c>
      <c r="AJ5032">
        <v>9.8131310000000003</v>
      </c>
      <c r="AK5032">
        <v>75.915819999999997</v>
      </c>
    </row>
    <row r="5033" spans="1:37" x14ac:dyDescent="0.3">
      <c r="A5033">
        <v>5032</v>
      </c>
      <c r="B5033">
        <v>81.7</v>
      </c>
      <c r="C5033">
        <v>1.5049699999999999</v>
      </c>
      <c r="D5033">
        <v>14.158099999999999</v>
      </c>
      <c r="E5033" t="s">
        <v>8076</v>
      </c>
      <c r="F5033" t="s">
        <v>8077</v>
      </c>
      <c r="G5033" t="s">
        <v>39</v>
      </c>
      <c r="H5033">
        <v>0</v>
      </c>
      <c r="I5033">
        <v>29.7</v>
      </c>
      <c r="J5033">
        <v>14.1</v>
      </c>
      <c r="K5033">
        <v>57</v>
      </c>
      <c r="L5033">
        <v>29.336870000000001</v>
      </c>
      <c r="M5033">
        <v>41.3</v>
      </c>
      <c r="N5033">
        <v>16.600000000000001</v>
      </c>
      <c r="O5033">
        <v>24.7</v>
      </c>
      <c r="P5033">
        <v>29.4</v>
      </c>
      <c r="Q5033">
        <v>25.9</v>
      </c>
      <c r="R5033">
        <v>33.4</v>
      </c>
      <c r="S5033">
        <v>25.6</v>
      </c>
      <c r="T5033">
        <v>390.93779999999998</v>
      </c>
      <c r="U5033">
        <v>147.3126</v>
      </c>
      <c r="V5033">
        <v>0</v>
      </c>
      <c r="W5033">
        <v>142.3126</v>
      </c>
      <c r="X5033">
        <v>318.62520000000001</v>
      </c>
      <c r="Y5033">
        <v>0</v>
      </c>
      <c r="Z5033">
        <v>62.312609999999999</v>
      </c>
      <c r="AA5033">
        <v>0</v>
      </c>
      <c r="AB5033">
        <v>1.789747</v>
      </c>
      <c r="AC5033">
        <v>0.23305480000000001</v>
      </c>
      <c r="AD5033">
        <v>2.0189979999999998</v>
      </c>
      <c r="AE5033">
        <v>0.39080480000000001</v>
      </c>
      <c r="AF5033">
        <v>199.4084</v>
      </c>
      <c r="AG5033">
        <f>IFERROR(AH5033*0.1, "N/A")</f>
        <v>6.7</v>
      </c>
      <c r="AH5033">
        <v>67</v>
      </c>
      <c r="AI5033">
        <v>162.92429999999999</v>
      </c>
      <c r="AJ5033">
        <v>17.16807</v>
      </c>
      <c r="AK5033">
        <v>67.663870000000003</v>
      </c>
    </row>
    <row r="5034" spans="1:37" x14ac:dyDescent="0.3">
      <c r="A5034">
        <v>5033</v>
      </c>
      <c r="B5034">
        <v>0</v>
      </c>
      <c r="C5034">
        <v>1.5</v>
      </c>
      <c r="D5034">
        <v>14.166700000000001</v>
      </c>
      <c r="E5034" t="s">
        <v>8078</v>
      </c>
      <c r="F5034" t="s">
        <v>8079</v>
      </c>
      <c r="G5034" t="s">
        <v>39</v>
      </c>
      <c r="H5034">
        <v>2001</v>
      </c>
      <c r="I5034">
        <v>29.60877</v>
      </c>
      <c r="J5034">
        <v>14.1</v>
      </c>
      <c r="K5034">
        <v>57</v>
      </c>
      <c r="L5034">
        <v>29.252949999999998</v>
      </c>
      <c r="M5034">
        <v>41.3</v>
      </c>
      <c r="N5034">
        <v>16.646540000000002</v>
      </c>
      <c r="O5034">
        <v>24.653459999999999</v>
      </c>
      <c r="P5034">
        <v>29.4</v>
      </c>
      <c r="Q5034">
        <v>25.9</v>
      </c>
      <c r="R5034">
        <v>33.4</v>
      </c>
      <c r="S5034">
        <v>25.6</v>
      </c>
      <c r="T5034">
        <v>393.91230000000002</v>
      </c>
      <c r="U5034">
        <v>148</v>
      </c>
      <c r="V5034">
        <v>0</v>
      </c>
      <c r="W5034">
        <v>143</v>
      </c>
      <c r="X5034">
        <v>320</v>
      </c>
      <c r="Y5034">
        <v>0</v>
      </c>
      <c r="Z5034">
        <v>63</v>
      </c>
      <c r="AA5034">
        <v>0</v>
      </c>
      <c r="AB5034">
        <v>1.4949399999999999</v>
      </c>
      <c r="AC5034">
        <v>0.16171650000000001</v>
      </c>
      <c r="AD5034">
        <v>1.6831449999999999</v>
      </c>
      <c r="AE5034">
        <v>0.66457040000000001</v>
      </c>
      <c r="AF5034">
        <v>201.2698</v>
      </c>
      <c r="AG5034">
        <f>IFERROR(AH5034*0.1, "N/A")</f>
        <v>6.8590220000000004</v>
      </c>
      <c r="AH5034">
        <v>68.590220000000002</v>
      </c>
      <c r="AI5034">
        <v>103.7458</v>
      </c>
      <c r="AJ5034">
        <v>18.647549999999999</v>
      </c>
      <c r="AK5034">
        <v>67.352450000000005</v>
      </c>
    </row>
    <row r="5035" spans="1:37" x14ac:dyDescent="0.3">
      <c r="A5035">
        <v>5034</v>
      </c>
      <c r="B5035">
        <v>100</v>
      </c>
      <c r="C5035">
        <v>6.2166499999999996</v>
      </c>
      <c r="D5035">
        <v>14.166700000000001</v>
      </c>
      <c r="E5035" t="s">
        <v>8080</v>
      </c>
      <c r="F5035" t="s">
        <v>8081</v>
      </c>
      <c r="G5035" t="s">
        <v>39</v>
      </c>
      <c r="H5035">
        <v>0</v>
      </c>
      <c r="I5035">
        <v>27.877949999999998</v>
      </c>
      <c r="J5035">
        <v>14.5</v>
      </c>
      <c r="K5035">
        <v>58</v>
      </c>
      <c r="L5035">
        <v>29.337879999999998</v>
      </c>
      <c r="M5035">
        <v>39.795119999999997</v>
      </c>
      <c r="N5035">
        <v>14.8</v>
      </c>
      <c r="O5035">
        <v>24.99512</v>
      </c>
      <c r="P5035">
        <v>27.3766</v>
      </c>
      <c r="Q5035">
        <v>24.323399999999999</v>
      </c>
      <c r="R5035">
        <v>31.8</v>
      </c>
      <c r="S5035">
        <v>24</v>
      </c>
      <c r="T5035">
        <v>418.04880000000003</v>
      </c>
      <c r="U5035">
        <v>164</v>
      </c>
      <c r="V5035">
        <v>0</v>
      </c>
      <c r="W5035">
        <v>151</v>
      </c>
      <c r="X5035">
        <v>351.04880000000003</v>
      </c>
      <c r="Y5035">
        <v>0</v>
      </c>
      <c r="Z5035">
        <v>62</v>
      </c>
      <c r="AA5035">
        <v>0</v>
      </c>
      <c r="AB5035">
        <v>2.860951</v>
      </c>
      <c r="AC5035">
        <v>1.747926E-2</v>
      </c>
      <c r="AD5035">
        <v>0.86437390000000003</v>
      </c>
      <c r="AE5035">
        <v>0.57052170000000002</v>
      </c>
      <c r="AF5035">
        <v>359.31990000000002</v>
      </c>
      <c r="AG5035">
        <f>IFERROR(AH5035*0.1, "N/A")</f>
        <v>6.353199</v>
      </c>
      <c r="AH5035">
        <v>63.53199</v>
      </c>
      <c r="AI5035">
        <v>237.86359999999999</v>
      </c>
      <c r="AJ5035">
        <v>12.53199</v>
      </c>
      <c r="AK5035">
        <v>75.234009999999998</v>
      </c>
    </row>
    <row r="5036" spans="1:37" x14ac:dyDescent="0.3">
      <c r="A5036">
        <v>5035</v>
      </c>
      <c r="B5036">
        <v>0</v>
      </c>
      <c r="C5036">
        <v>6.2166499999999996</v>
      </c>
      <c r="D5036">
        <v>14.166700000000001</v>
      </c>
      <c r="E5036" t="s">
        <v>8080</v>
      </c>
      <c r="F5036" t="s">
        <v>8082</v>
      </c>
      <c r="G5036" t="s">
        <v>37</v>
      </c>
      <c r="H5036">
        <v>0</v>
      </c>
      <c r="I5036">
        <v>27.877949999999998</v>
      </c>
      <c r="J5036">
        <v>14.5</v>
      </c>
      <c r="K5036">
        <v>58</v>
      </c>
      <c r="L5036">
        <v>29.337879999999998</v>
      </c>
      <c r="M5036">
        <v>39.795119999999997</v>
      </c>
      <c r="N5036">
        <v>14.8</v>
      </c>
      <c r="O5036">
        <v>24.99512</v>
      </c>
      <c r="P5036">
        <v>27.3766</v>
      </c>
      <c r="Q5036">
        <v>24.323399999999999</v>
      </c>
      <c r="R5036">
        <v>31.8</v>
      </c>
      <c r="S5036">
        <v>24</v>
      </c>
      <c r="T5036">
        <v>418.04880000000003</v>
      </c>
      <c r="U5036">
        <v>164</v>
      </c>
      <c r="V5036">
        <v>0</v>
      </c>
      <c r="W5036">
        <v>151</v>
      </c>
      <c r="X5036">
        <v>351.04880000000003</v>
      </c>
      <c r="Y5036">
        <v>0</v>
      </c>
      <c r="Z5036">
        <v>62</v>
      </c>
      <c r="AA5036">
        <v>0</v>
      </c>
      <c r="AB5036">
        <v>2.860951</v>
      </c>
      <c r="AC5036">
        <v>1.747926E-2</v>
      </c>
      <c r="AD5036">
        <v>0.86437390000000003</v>
      </c>
      <c r="AE5036">
        <v>0.57052170000000002</v>
      </c>
      <c r="AF5036">
        <v>359.31990000000002</v>
      </c>
      <c r="AG5036">
        <f>IFERROR(AH5036*0.1, "N/A")</f>
        <v>6.353199</v>
      </c>
      <c r="AH5036">
        <v>63.53199</v>
      </c>
      <c r="AI5036">
        <v>237.86359999999999</v>
      </c>
      <c r="AJ5036">
        <v>12.53199</v>
      </c>
      <c r="AK5036">
        <v>75.234009999999998</v>
      </c>
    </row>
    <row r="5037" spans="1:37" x14ac:dyDescent="0.3">
      <c r="A5037">
        <v>5036</v>
      </c>
      <c r="B5037">
        <v>0</v>
      </c>
      <c r="C5037">
        <v>2.31298</v>
      </c>
      <c r="D5037">
        <v>14.173500000000001</v>
      </c>
      <c r="E5037" t="s">
        <v>8083</v>
      </c>
      <c r="F5037" t="s">
        <v>8084</v>
      </c>
      <c r="G5037" t="s">
        <v>39</v>
      </c>
      <c r="H5037">
        <v>0</v>
      </c>
      <c r="I5037">
        <v>29.2</v>
      </c>
      <c r="J5037">
        <v>14.3</v>
      </c>
      <c r="K5037">
        <v>57</v>
      </c>
      <c r="L5037">
        <v>29.11</v>
      </c>
      <c r="M5037">
        <v>41</v>
      </c>
      <c r="N5037">
        <v>16</v>
      </c>
      <c r="O5037">
        <v>25</v>
      </c>
      <c r="P5037">
        <v>28.8</v>
      </c>
      <c r="Q5037">
        <v>27.2</v>
      </c>
      <c r="R5037">
        <v>33</v>
      </c>
      <c r="S5037">
        <v>25.3</v>
      </c>
      <c r="T5037">
        <v>370</v>
      </c>
      <c r="U5037">
        <v>131</v>
      </c>
      <c r="V5037">
        <v>0</v>
      </c>
      <c r="W5037">
        <v>141</v>
      </c>
      <c r="X5037">
        <v>299</v>
      </c>
      <c r="Y5037">
        <v>0</v>
      </c>
      <c r="Z5037">
        <v>66</v>
      </c>
      <c r="AA5037">
        <v>0</v>
      </c>
      <c r="AB5037">
        <v>1.372371</v>
      </c>
      <c r="AC5037">
        <v>3.7336840000000003E-2</v>
      </c>
      <c r="AD5037">
        <v>1.1843840000000001</v>
      </c>
      <c r="AE5037">
        <v>0.23715849999999999</v>
      </c>
      <c r="AF5037">
        <v>245.6482</v>
      </c>
      <c r="AG5037">
        <f>IFERROR(AH5037*0.1, "N/A")</f>
        <v>5.6924619999999999</v>
      </c>
      <c r="AH5037">
        <v>56.924619999999997</v>
      </c>
      <c r="AI5037">
        <v>144.54830000000001</v>
      </c>
      <c r="AJ5037">
        <v>7.0251260000000002</v>
      </c>
      <c r="AK5037">
        <v>81.025130000000004</v>
      </c>
    </row>
    <row r="5038" spans="1:37" x14ac:dyDescent="0.3">
      <c r="A5038">
        <v>5037</v>
      </c>
      <c r="B5038">
        <v>0</v>
      </c>
      <c r="C5038">
        <v>2.31298</v>
      </c>
      <c r="D5038">
        <v>14.173500000000001</v>
      </c>
      <c r="E5038" t="s">
        <v>8083</v>
      </c>
      <c r="F5038" t="s">
        <v>8085</v>
      </c>
      <c r="G5038" t="s">
        <v>37</v>
      </c>
      <c r="H5038">
        <v>0</v>
      </c>
      <c r="I5038">
        <v>29.2</v>
      </c>
      <c r="J5038">
        <v>14.3</v>
      </c>
      <c r="K5038">
        <v>57</v>
      </c>
      <c r="L5038">
        <v>29.11</v>
      </c>
      <c r="M5038">
        <v>41</v>
      </c>
      <c r="N5038">
        <v>16</v>
      </c>
      <c r="O5038">
        <v>25</v>
      </c>
      <c r="P5038">
        <v>28.8</v>
      </c>
      <c r="Q5038">
        <v>27.2</v>
      </c>
      <c r="R5038">
        <v>33</v>
      </c>
      <c r="S5038">
        <v>25.3</v>
      </c>
      <c r="T5038">
        <v>370</v>
      </c>
      <c r="U5038">
        <v>131</v>
      </c>
      <c r="V5038">
        <v>0</v>
      </c>
      <c r="W5038">
        <v>141</v>
      </c>
      <c r="X5038">
        <v>299</v>
      </c>
      <c r="Y5038">
        <v>0</v>
      </c>
      <c r="Z5038">
        <v>66</v>
      </c>
      <c r="AA5038">
        <v>0</v>
      </c>
      <c r="AB5038">
        <v>1.372371</v>
      </c>
      <c r="AC5038">
        <v>3.7336840000000003E-2</v>
      </c>
      <c r="AD5038">
        <v>1.1843840000000001</v>
      </c>
      <c r="AE5038">
        <v>0.23715849999999999</v>
      </c>
      <c r="AF5038">
        <v>245.6482</v>
      </c>
      <c r="AG5038">
        <f>IFERROR(AH5038*0.1, "N/A")</f>
        <v>5.6924619999999999</v>
      </c>
      <c r="AH5038">
        <v>56.924619999999997</v>
      </c>
      <c r="AI5038">
        <v>144.54830000000001</v>
      </c>
      <c r="AJ5038">
        <v>7.0251260000000002</v>
      </c>
      <c r="AK5038">
        <v>81.025130000000004</v>
      </c>
    </row>
    <row r="5039" spans="1:37" x14ac:dyDescent="0.3">
      <c r="A5039">
        <v>5038</v>
      </c>
      <c r="B5039">
        <v>0</v>
      </c>
      <c r="C5039">
        <v>2.3138800000000002</v>
      </c>
      <c r="D5039">
        <v>14.1736</v>
      </c>
      <c r="E5039" t="s">
        <v>8086</v>
      </c>
      <c r="F5039" t="s">
        <v>8087</v>
      </c>
      <c r="G5039" t="s">
        <v>39</v>
      </c>
      <c r="H5039">
        <v>0</v>
      </c>
      <c r="I5039">
        <v>29.2</v>
      </c>
      <c r="J5039">
        <v>14.3</v>
      </c>
      <c r="K5039">
        <v>57</v>
      </c>
      <c r="L5039">
        <v>29.11</v>
      </c>
      <c r="M5039">
        <v>41</v>
      </c>
      <c r="N5039">
        <v>16</v>
      </c>
      <c r="O5039">
        <v>25</v>
      </c>
      <c r="P5039">
        <v>28.8</v>
      </c>
      <c r="Q5039">
        <v>27.2</v>
      </c>
      <c r="R5039">
        <v>33</v>
      </c>
      <c r="S5039">
        <v>25.3</v>
      </c>
      <c r="T5039">
        <v>370</v>
      </c>
      <c r="U5039">
        <v>131</v>
      </c>
      <c r="V5039">
        <v>0</v>
      </c>
      <c r="W5039">
        <v>141</v>
      </c>
      <c r="X5039">
        <v>299</v>
      </c>
      <c r="Y5039">
        <v>0</v>
      </c>
      <c r="Z5039">
        <v>66</v>
      </c>
      <c r="AA5039">
        <v>0</v>
      </c>
      <c r="AB5039">
        <v>0.84992380000000001</v>
      </c>
      <c r="AC5039">
        <v>2.186362E-2</v>
      </c>
      <c r="AD5039">
        <v>0.83644890000000005</v>
      </c>
      <c r="AE5039">
        <v>0.23715849999999999</v>
      </c>
      <c r="AF5039">
        <v>244.4271</v>
      </c>
      <c r="AG5039">
        <f>IFERROR(AH5039*0.1, "N/A")</f>
        <v>5.7</v>
      </c>
      <c r="AH5039">
        <v>57</v>
      </c>
      <c r="AI5039">
        <v>139.48330000000001</v>
      </c>
      <c r="AJ5039">
        <v>7</v>
      </c>
      <c r="AK5039">
        <v>81</v>
      </c>
    </row>
    <row r="5040" spans="1:37" x14ac:dyDescent="0.3">
      <c r="A5040">
        <v>5039</v>
      </c>
      <c r="B5040">
        <v>0</v>
      </c>
      <c r="C5040">
        <v>2.3138800000000002</v>
      </c>
      <c r="D5040">
        <v>14.1736</v>
      </c>
      <c r="E5040" t="s">
        <v>8086</v>
      </c>
      <c r="F5040" t="s">
        <v>8088</v>
      </c>
      <c r="G5040" t="s">
        <v>37</v>
      </c>
      <c r="H5040">
        <v>0</v>
      </c>
      <c r="I5040">
        <v>29.2</v>
      </c>
      <c r="J5040">
        <v>14.3</v>
      </c>
      <c r="K5040">
        <v>57</v>
      </c>
      <c r="L5040">
        <v>29.11</v>
      </c>
      <c r="M5040">
        <v>41</v>
      </c>
      <c r="N5040">
        <v>16</v>
      </c>
      <c r="O5040">
        <v>25</v>
      </c>
      <c r="P5040">
        <v>28.8</v>
      </c>
      <c r="Q5040">
        <v>27.2</v>
      </c>
      <c r="R5040">
        <v>33</v>
      </c>
      <c r="S5040">
        <v>25.3</v>
      </c>
      <c r="T5040">
        <v>370</v>
      </c>
      <c r="U5040">
        <v>131</v>
      </c>
      <c r="V5040">
        <v>0</v>
      </c>
      <c r="W5040">
        <v>141</v>
      </c>
      <c r="X5040">
        <v>299</v>
      </c>
      <c r="Y5040">
        <v>0</v>
      </c>
      <c r="Z5040">
        <v>66</v>
      </c>
      <c r="AA5040">
        <v>0</v>
      </c>
      <c r="AB5040">
        <v>0.84992380000000001</v>
      </c>
      <c r="AC5040">
        <v>2.186362E-2</v>
      </c>
      <c r="AD5040">
        <v>0.83644890000000005</v>
      </c>
      <c r="AE5040">
        <v>0.23715849999999999</v>
      </c>
      <c r="AF5040">
        <v>244.4271</v>
      </c>
      <c r="AG5040">
        <f>IFERROR(AH5040*0.1, "N/A")</f>
        <v>5.7</v>
      </c>
      <c r="AH5040">
        <v>57</v>
      </c>
      <c r="AI5040">
        <v>139.48330000000001</v>
      </c>
      <c r="AJ5040">
        <v>7</v>
      </c>
      <c r="AK5040">
        <v>81</v>
      </c>
    </row>
    <row r="5041" spans="1:37" x14ac:dyDescent="0.3">
      <c r="A5041">
        <v>5040</v>
      </c>
      <c r="B5041">
        <v>70</v>
      </c>
      <c r="C5041">
        <v>9.7615200000000009</v>
      </c>
      <c r="D5041">
        <v>14.177</v>
      </c>
      <c r="E5041" t="s">
        <v>8089</v>
      </c>
      <c r="F5041" t="s">
        <v>8090</v>
      </c>
      <c r="G5041" t="s">
        <v>39</v>
      </c>
      <c r="H5041">
        <v>0</v>
      </c>
      <c r="I5041">
        <v>27.4</v>
      </c>
      <c r="J5041">
        <v>14.9</v>
      </c>
      <c r="K5041">
        <v>58</v>
      </c>
      <c r="L5041">
        <v>30.94</v>
      </c>
      <c r="M5041">
        <v>39.700000000000003</v>
      </c>
      <c r="N5041">
        <v>14.1</v>
      </c>
      <c r="O5041">
        <v>25.6</v>
      </c>
      <c r="P5041">
        <v>27.4</v>
      </c>
      <c r="Q5041">
        <v>25</v>
      </c>
      <c r="R5041">
        <v>31.4</v>
      </c>
      <c r="S5041">
        <v>23.1</v>
      </c>
      <c r="T5041">
        <v>271</v>
      </c>
      <c r="U5041">
        <v>114</v>
      </c>
      <c r="V5041">
        <v>0</v>
      </c>
      <c r="W5041">
        <v>160</v>
      </c>
      <c r="X5041">
        <v>235</v>
      </c>
      <c r="Y5041">
        <v>0</v>
      </c>
      <c r="Z5041">
        <v>34</v>
      </c>
      <c r="AA5041">
        <v>0</v>
      </c>
      <c r="AB5041">
        <v>0.62890670000000004</v>
      </c>
      <c r="AC5041">
        <v>1.2569319999999999</v>
      </c>
      <c r="AD5041">
        <v>1.260418</v>
      </c>
      <c r="AE5041">
        <v>0.53625310000000004</v>
      </c>
      <c r="AF5041">
        <v>420.10590000000002</v>
      </c>
      <c r="AG5041">
        <f>IFERROR(AH5041*0.1, "N/A")</f>
        <v>6.5956299999999999</v>
      </c>
      <c r="AH5041">
        <v>65.956299999999999</v>
      </c>
      <c r="AI5041">
        <v>92.368340000000003</v>
      </c>
      <c r="AJ5041">
        <v>18.021850000000001</v>
      </c>
      <c r="AK5041">
        <v>69.934449999999998</v>
      </c>
    </row>
    <row r="5042" spans="1:37" x14ac:dyDescent="0.3">
      <c r="A5042">
        <v>5041</v>
      </c>
      <c r="B5042">
        <v>75</v>
      </c>
      <c r="C5042">
        <v>1.43513</v>
      </c>
      <c r="D5042">
        <v>14.1777</v>
      </c>
      <c r="E5042" t="s">
        <v>8091</v>
      </c>
      <c r="F5042" t="s">
        <v>8092</v>
      </c>
      <c r="G5042" t="s">
        <v>39</v>
      </c>
      <c r="H5042">
        <v>0</v>
      </c>
      <c r="I5042">
        <v>29.7</v>
      </c>
      <c r="J5042">
        <v>14.1</v>
      </c>
      <c r="K5042">
        <v>57</v>
      </c>
      <c r="L5042">
        <v>29.14</v>
      </c>
      <c r="M5042">
        <v>41.3</v>
      </c>
      <c r="N5042">
        <v>16.7</v>
      </c>
      <c r="O5042">
        <v>24.6</v>
      </c>
      <c r="P5042">
        <v>29.5</v>
      </c>
      <c r="Q5042">
        <v>26</v>
      </c>
      <c r="R5042">
        <v>33.4</v>
      </c>
      <c r="S5042">
        <v>25.6</v>
      </c>
      <c r="T5042">
        <v>388</v>
      </c>
      <c r="U5042">
        <v>146</v>
      </c>
      <c r="V5042">
        <v>0</v>
      </c>
      <c r="W5042">
        <v>141</v>
      </c>
      <c r="X5042">
        <v>315</v>
      </c>
      <c r="Y5042">
        <v>0</v>
      </c>
      <c r="Z5042">
        <v>63</v>
      </c>
      <c r="AA5042">
        <v>0</v>
      </c>
      <c r="AB5042">
        <v>0.89966619999999997</v>
      </c>
      <c r="AC5042">
        <v>0.31037120000000001</v>
      </c>
      <c r="AD5042">
        <v>1.437316</v>
      </c>
      <c r="AE5042">
        <v>0.4260623</v>
      </c>
      <c r="AF5042">
        <v>198.77269999999999</v>
      </c>
      <c r="AG5042">
        <f>IFERROR(AH5042*0.1, "N/A")</f>
        <v>6.8956230000000005</v>
      </c>
      <c r="AH5042">
        <v>68.956230000000005</v>
      </c>
      <c r="AI5042">
        <v>139.749</v>
      </c>
      <c r="AJ5042">
        <v>29.46801</v>
      </c>
      <c r="AK5042">
        <v>53.47475</v>
      </c>
    </row>
    <row r="5043" spans="1:37" x14ac:dyDescent="0.3">
      <c r="A5043">
        <v>5042</v>
      </c>
      <c r="B5043">
        <v>0</v>
      </c>
      <c r="C5043">
        <v>1.4358299999999999</v>
      </c>
      <c r="D5043">
        <v>14.180300000000001</v>
      </c>
      <c r="E5043" t="s">
        <v>8093</v>
      </c>
      <c r="F5043" t="s">
        <v>8094</v>
      </c>
      <c r="G5043" t="s">
        <v>37</v>
      </c>
      <c r="H5043">
        <v>2004</v>
      </c>
      <c r="I5043">
        <v>29.7</v>
      </c>
      <c r="J5043">
        <v>14.1</v>
      </c>
      <c r="K5043">
        <v>57</v>
      </c>
      <c r="L5043">
        <v>29.14</v>
      </c>
      <c r="M5043">
        <v>41.3</v>
      </c>
      <c r="N5043">
        <v>16.7</v>
      </c>
      <c r="O5043">
        <v>24.6</v>
      </c>
      <c r="P5043">
        <v>29.5</v>
      </c>
      <c r="Q5043">
        <v>26</v>
      </c>
      <c r="R5043">
        <v>33.4</v>
      </c>
      <c r="S5043">
        <v>25.6</v>
      </c>
      <c r="T5043">
        <v>388</v>
      </c>
      <c r="U5043">
        <v>146</v>
      </c>
      <c r="V5043">
        <v>0</v>
      </c>
      <c r="W5043">
        <v>141</v>
      </c>
      <c r="X5043">
        <v>315</v>
      </c>
      <c r="Y5043">
        <v>0</v>
      </c>
      <c r="Z5043">
        <v>63</v>
      </c>
      <c r="AA5043">
        <v>0</v>
      </c>
      <c r="AB5043">
        <v>8.209574E-2</v>
      </c>
      <c r="AC5043">
        <v>8.3232429999999996E-2</v>
      </c>
      <c r="AD5043">
        <v>1.1325609999999999</v>
      </c>
      <c r="AE5043">
        <v>0.34213270000000001</v>
      </c>
      <c r="AF5043">
        <v>198</v>
      </c>
      <c r="AG5043">
        <f>IFERROR(AH5043*0.1, "N/A")</f>
        <v>6.3304049999999998</v>
      </c>
      <c r="AH5043">
        <v>63.304049999999997</v>
      </c>
      <c r="AI5043">
        <v>217.93539999999999</v>
      </c>
      <c r="AJ5043">
        <v>32.41554</v>
      </c>
      <c r="AK5043">
        <v>49.207769999999996</v>
      </c>
    </row>
    <row r="5044" spans="1:37" x14ac:dyDescent="0.3">
      <c r="A5044">
        <v>5043</v>
      </c>
      <c r="B5044">
        <v>6.1</v>
      </c>
      <c r="C5044">
        <v>1.4358299999999999</v>
      </c>
      <c r="D5044">
        <v>14.180300000000001</v>
      </c>
      <c r="E5044" t="s">
        <v>8093</v>
      </c>
      <c r="F5044" t="s">
        <v>8095</v>
      </c>
      <c r="G5044" t="s">
        <v>39</v>
      </c>
      <c r="H5044">
        <v>2004</v>
      </c>
      <c r="I5044">
        <v>29.7</v>
      </c>
      <c r="J5044">
        <v>14.1</v>
      </c>
      <c r="K5044">
        <v>57</v>
      </c>
      <c r="L5044">
        <v>29.14</v>
      </c>
      <c r="M5044">
        <v>41.3</v>
      </c>
      <c r="N5044">
        <v>16.7</v>
      </c>
      <c r="O5044">
        <v>24.6</v>
      </c>
      <c r="P5044">
        <v>29.5</v>
      </c>
      <c r="Q5044">
        <v>26</v>
      </c>
      <c r="R5044">
        <v>33.4</v>
      </c>
      <c r="S5044">
        <v>25.6</v>
      </c>
      <c r="T5044">
        <v>388</v>
      </c>
      <c r="U5044">
        <v>146</v>
      </c>
      <c r="V5044">
        <v>0</v>
      </c>
      <c r="W5044">
        <v>141</v>
      </c>
      <c r="X5044">
        <v>315</v>
      </c>
      <c r="Y5044">
        <v>0</v>
      </c>
      <c r="Z5044">
        <v>63</v>
      </c>
      <c r="AA5044">
        <v>0</v>
      </c>
      <c r="AB5044">
        <v>8.209574E-2</v>
      </c>
      <c r="AC5044">
        <v>8.3232429999999996E-2</v>
      </c>
      <c r="AD5044">
        <v>1.1325609999999999</v>
      </c>
      <c r="AE5044">
        <v>0.34213270000000001</v>
      </c>
      <c r="AF5044">
        <v>198</v>
      </c>
      <c r="AG5044">
        <f>IFERROR(AH5044*0.1, "N/A")</f>
        <v>6.3304049999999998</v>
      </c>
      <c r="AH5044">
        <v>63.304049999999997</v>
      </c>
      <c r="AI5044">
        <v>217.93539999999999</v>
      </c>
      <c r="AJ5044">
        <v>32.41554</v>
      </c>
      <c r="AK5044">
        <v>49.207769999999996</v>
      </c>
    </row>
    <row r="5045" spans="1:37" x14ac:dyDescent="0.3">
      <c r="A5045">
        <v>5044</v>
      </c>
      <c r="B5045">
        <v>100</v>
      </c>
      <c r="C5045">
        <v>1.0361100000000001</v>
      </c>
      <c r="D5045">
        <v>14.1806</v>
      </c>
      <c r="E5045" t="s">
        <v>8096</v>
      </c>
      <c r="F5045" t="s">
        <v>8097</v>
      </c>
      <c r="G5045" t="s">
        <v>39</v>
      </c>
      <c r="H5045">
        <v>0</v>
      </c>
      <c r="I5045">
        <v>29.1</v>
      </c>
      <c r="J5045">
        <v>14.4</v>
      </c>
      <c r="K5045">
        <v>58</v>
      </c>
      <c r="L5045">
        <v>28.14</v>
      </c>
      <c r="M5045">
        <v>40.5</v>
      </c>
      <c r="N5045">
        <v>15.8</v>
      </c>
      <c r="O5045">
        <v>24.7</v>
      </c>
      <c r="P5045">
        <v>28.7</v>
      </c>
      <c r="Q5045">
        <v>26.9</v>
      </c>
      <c r="R5045">
        <v>32.700000000000003</v>
      </c>
      <c r="S5045">
        <v>25.2</v>
      </c>
      <c r="T5045">
        <v>359</v>
      </c>
      <c r="U5045">
        <v>137</v>
      </c>
      <c r="V5045">
        <v>0</v>
      </c>
      <c r="W5045">
        <v>146</v>
      </c>
      <c r="X5045">
        <v>293</v>
      </c>
      <c r="Y5045">
        <v>0</v>
      </c>
      <c r="Z5045">
        <v>61</v>
      </c>
      <c r="AA5045">
        <v>0</v>
      </c>
      <c r="AB5045">
        <v>4.7562300000000004</v>
      </c>
      <c r="AC5045">
        <v>67.317660000000004</v>
      </c>
      <c r="AD5045">
        <v>2.9824359999999999</v>
      </c>
      <c r="AE5045">
        <v>0.69647910000000002</v>
      </c>
      <c r="AF5045">
        <v>253.97139999999999</v>
      </c>
      <c r="AG5045">
        <f>IFERROR(AH5045*0.1, "N/A")</f>
        <v>6.6390570000000002</v>
      </c>
      <c r="AH5045">
        <v>66.390569999999997</v>
      </c>
      <c r="AI5045">
        <v>239.77449999999999</v>
      </c>
      <c r="AJ5045">
        <v>12.454549999999999</v>
      </c>
      <c r="AK5045">
        <v>76.383840000000006</v>
      </c>
    </row>
    <row r="5046" spans="1:37" x14ac:dyDescent="0.3">
      <c r="A5046">
        <v>5045</v>
      </c>
      <c r="B5046">
        <v>75</v>
      </c>
      <c r="C5046">
        <v>1.48403</v>
      </c>
      <c r="D5046">
        <v>14.1807</v>
      </c>
      <c r="E5046" t="s">
        <v>8098</v>
      </c>
      <c r="F5046" t="s">
        <v>8099</v>
      </c>
      <c r="G5046" t="s">
        <v>39</v>
      </c>
      <c r="H5046">
        <v>0</v>
      </c>
      <c r="I5046">
        <v>29.7</v>
      </c>
      <c r="J5046">
        <v>14.1</v>
      </c>
      <c r="K5046">
        <v>57</v>
      </c>
      <c r="L5046">
        <v>29.21</v>
      </c>
      <c r="M5046">
        <v>41.3</v>
      </c>
      <c r="N5046">
        <v>16.7</v>
      </c>
      <c r="O5046">
        <v>24.6</v>
      </c>
      <c r="P5046">
        <v>29.5</v>
      </c>
      <c r="Q5046">
        <v>25.9</v>
      </c>
      <c r="R5046">
        <v>33.4</v>
      </c>
      <c r="S5046">
        <v>25.6</v>
      </c>
      <c r="T5046">
        <v>395</v>
      </c>
      <c r="U5046">
        <v>148</v>
      </c>
      <c r="V5046">
        <v>0</v>
      </c>
      <c r="W5046">
        <v>143</v>
      </c>
      <c r="X5046">
        <v>320</v>
      </c>
      <c r="Y5046">
        <v>0</v>
      </c>
      <c r="Z5046">
        <v>64</v>
      </c>
      <c r="AA5046">
        <v>0</v>
      </c>
      <c r="AB5046">
        <v>2.2423489999999999</v>
      </c>
      <c r="AC5046">
        <v>1.318421E-2</v>
      </c>
      <c r="AD5046">
        <v>1.941559</v>
      </c>
      <c r="AE5046">
        <v>0.45703189999999999</v>
      </c>
      <c r="AF5046">
        <v>199.74619999999999</v>
      </c>
      <c r="AG5046">
        <f>IFERROR(AH5046*0.1, "N/A")</f>
        <v>6.7142860000000004</v>
      </c>
      <c r="AH5046">
        <v>67.142859999999999</v>
      </c>
      <c r="AI5046">
        <v>186.07400000000001</v>
      </c>
      <c r="AJ5046">
        <v>24.857140000000001</v>
      </c>
      <c r="AK5046">
        <v>54.142859999999999</v>
      </c>
    </row>
    <row r="5047" spans="1:37" x14ac:dyDescent="0.3">
      <c r="A5047">
        <v>5046</v>
      </c>
      <c r="B5047">
        <v>0</v>
      </c>
      <c r="C5047">
        <v>1.48403</v>
      </c>
      <c r="D5047">
        <v>14.1807</v>
      </c>
      <c r="E5047" t="s">
        <v>8098</v>
      </c>
      <c r="F5047" t="s">
        <v>8100</v>
      </c>
      <c r="G5047" t="s">
        <v>37</v>
      </c>
      <c r="H5047">
        <v>0</v>
      </c>
      <c r="I5047">
        <v>29.7</v>
      </c>
      <c r="J5047">
        <v>14.1</v>
      </c>
      <c r="K5047">
        <v>57</v>
      </c>
      <c r="L5047">
        <v>29.21</v>
      </c>
      <c r="M5047">
        <v>41.3</v>
      </c>
      <c r="N5047">
        <v>16.7</v>
      </c>
      <c r="O5047">
        <v>24.6</v>
      </c>
      <c r="P5047">
        <v>29.5</v>
      </c>
      <c r="Q5047">
        <v>25.9</v>
      </c>
      <c r="R5047">
        <v>33.4</v>
      </c>
      <c r="S5047">
        <v>25.6</v>
      </c>
      <c r="T5047">
        <v>395</v>
      </c>
      <c r="U5047">
        <v>148</v>
      </c>
      <c r="V5047">
        <v>0</v>
      </c>
      <c r="W5047">
        <v>143</v>
      </c>
      <c r="X5047">
        <v>320</v>
      </c>
      <c r="Y5047">
        <v>0</v>
      </c>
      <c r="Z5047">
        <v>64</v>
      </c>
      <c r="AA5047">
        <v>0</v>
      </c>
      <c r="AB5047">
        <v>2.2423489999999999</v>
      </c>
      <c r="AC5047">
        <v>1.318421E-2</v>
      </c>
      <c r="AD5047">
        <v>1.941559</v>
      </c>
      <c r="AE5047">
        <v>0.45703189999999999</v>
      </c>
      <c r="AF5047">
        <v>199.74619999999999</v>
      </c>
      <c r="AG5047">
        <f>IFERROR(AH5047*0.1, "N/A")</f>
        <v>6.7142860000000004</v>
      </c>
      <c r="AH5047">
        <v>67.142859999999999</v>
      </c>
      <c r="AI5047">
        <v>186.07400000000001</v>
      </c>
      <c r="AJ5047">
        <v>24.857140000000001</v>
      </c>
      <c r="AK5047">
        <v>54.142859999999999</v>
      </c>
    </row>
    <row r="5048" spans="1:37" x14ac:dyDescent="0.3">
      <c r="A5048">
        <v>5047</v>
      </c>
      <c r="B5048">
        <v>24.6</v>
      </c>
      <c r="C5048">
        <v>2.8406799999999999</v>
      </c>
      <c r="D5048">
        <v>14.1822</v>
      </c>
      <c r="E5048" t="s">
        <v>8101</v>
      </c>
      <c r="F5048" t="s">
        <v>8102</v>
      </c>
      <c r="G5048" t="s">
        <v>39</v>
      </c>
      <c r="H5048">
        <v>0</v>
      </c>
      <c r="I5048">
        <v>29.202020000000001</v>
      </c>
      <c r="J5048">
        <v>14.1</v>
      </c>
      <c r="K5048">
        <v>57</v>
      </c>
      <c r="L5048">
        <v>28.151620000000001</v>
      </c>
      <c r="M5048">
        <v>40.9</v>
      </c>
      <c r="N5048">
        <v>16.5</v>
      </c>
      <c r="O5048">
        <v>24.4</v>
      </c>
      <c r="P5048">
        <v>28.8</v>
      </c>
      <c r="Q5048">
        <v>27.3</v>
      </c>
      <c r="R5048">
        <v>32.902030000000003</v>
      </c>
      <c r="S5048">
        <v>25.5</v>
      </c>
      <c r="T5048">
        <v>391.97980000000001</v>
      </c>
      <c r="U5048">
        <v>136</v>
      </c>
      <c r="V5048">
        <v>0</v>
      </c>
      <c r="W5048">
        <v>140</v>
      </c>
      <c r="X5048">
        <v>311.97980000000001</v>
      </c>
      <c r="Y5048">
        <v>0</v>
      </c>
      <c r="Z5048">
        <v>76</v>
      </c>
      <c r="AA5048">
        <v>0</v>
      </c>
      <c r="AB5048">
        <v>0.61197650000000003</v>
      </c>
      <c r="AC5048">
        <v>1.2934879999999999E-2</v>
      </c>
      <c r="AD5048">
        <v>0.85460069999999999</v>
      </c>
      <c r="AE5048">
        <v>0.6503795</v>
      </c>
      <c r="AF5048">
        <v>216.73689999999999</v>
      </c>
      <c r="AG5048">
        <f>IFERROR(AH5048*0.1, "N/A")</f>
        <v>6.6979760000000006</v>
      </c>
      <c r="AH5048">
        <v>66.979759999999999</v>
      </c>
      <c r="AI5048">
        <v>205.8339</v>
      </c>
      <c r="AJ5048">
        <v>6</v>
      </c>
      <c r="AK5048">
        <v>85.959530000000001</v>
      </c>
    </row>
    <row r="5049" spans="1:37" x14ac:dyDescent="0.3">
      <c r="A5049">
        <v>5048</v>
      </c>
      <c r="B5049">
        <v>0</v>
      </c>
      <c r="C5049">
        <v>1.48333</v>
      </c>
      <c r="D5049">
        <v>14.183299999999999</v>
      </c>
      <c r="E5049" t="s">
        <v>8103</v>
      </c>
      <c r="F5049" t="s">
        <v>8104</v>
      </c>
      <c r="G5049" t="s">
        <v>37</v>
      </c>
      <c r="H5049">
        <v>2004</v>
      </c>
      <c r="I5049">
        <v>29.7</v>
      </c>
      <c r="J5049">
        <v>14.1</v>
      </c>
      <c r="K5049">
        <v>57</v>
      </c>
      <c r="L5049">
        <v>29.189240000000002</v>
      </c>
      <c r="M5049">
        <v>41.3</v>
      </c>
      <c r="N5049">
        <v>16.677569999999999</v>
      </c>
      <c r="O5049">
        <v>24.622430000000001</v>
      </c>
      <c r="P5049">
        <v>29.473690000000001</v>
      </c>
      <c r="Q5049">
        <v>25.957339999999999</v>
      </c>
      <c r="R5049">
        <v>33.4</v>
      </c>
      <c r="S5049">
        <v>25.62631</v>
      </c>
      <c r="T5049">
        <v>394.95280000000002</v>
      </c>
      <c r="U5049">
        <v>148.26310000000001</v>
      </c>
      <c r="V5049">
        <v>0</v>
      </c>
      <c r="W5049">
        <v>141.63740000000001</v>
      </c>
      <c r="X5049">
        <v>319.95280000000002</v>
      </c>
      <c r="Y5049">
        <v>0</v>
      </c>
      <c r="Z5049">
        <v>64</v>
      </c>
      <c r="AA5049">
        <v>0</v>
      </c>
      <c r="AB5049">
        <v>1.4315389999999999</v>
      </c>
      <c r="AC5049">
        <v>0.15201529999999999</v>
      </c>
      <c r="AD5049">
        <v>2.1584759999999998</v>
      </c>
      <c r="AE5049">
        <v>0.45701180000000002</v>
      </c>
      <c r="AF5049">
        <v>195.74870000000001</v>
      </c>
      <c r="AG5049">
        <f>IFERROR(AH5049*0.1, "N/A")</f>
        <v>6.9279929999999998</v>
      </c>
      <c r="AH5049">
        <v>69.279929999999993</v>
      </c>
      <c r="AI5049">
        <v>120.55289999999999</v>
      </c>
      <c r="AJ5049">
        <v>20.991569999999999</v>
      </c>
      <c r="AK5049">
        <v>63.682969999999997</v>
      </c>
    </row>
    <row r="5050" spans="1:37" x14ac:dyDescent="0.3">
      <c r="A5050">
        <v>5049</v>
      </c>
      <c r="B5050">
        <v>7.7</v>
      </c>
      <c r="C5050">
        <v>1.48333</v>
      </c>
      <c r="D5050">
        <v>14.183299999999999</v>
      </c>
      <c r="E5050" t="s">
        <v>8103</v>
      </c>
      <c r="F5050" t="s">
        <v>8105</v>
      </c>
      <c r="G5050" t="s">
        <v>39</v>
      </c>
      <c r="H5050">
        <v>2004</v>
      </c>
      <c r="I5050">
        <v>29.7</v>
      </c>
      <c r="J5050">
        <v>14.1</v>
      </c>
      <c r="K5050">
        <v>57</v>
      </c>
      <c r="L5050">
        <v>29.189240000000002</v>
      </c>
      <c r="M5050">
        <v>41.3</v>
      </c>
      <c r="N5050">
        <v>16.677569999999999</v>
      </c>
      <c r="O5050">
        <v>24.622430000000001</v>
      </c>
      <c r="P5050">
        <v>29.473690000000001</v>
      </c>
      <c r="Q5050">
        <v>25.957339999999999</v>
      </c>
      <c r="R5050">
        <v>33.4</v>
      </c>
      <c r="S5050">
        <v>25.62631</v>
      </c>
      <c r="T5050">
        <v>394.95280000000002</v>
      </c>
      <c r="U5050">
        <v>148.26310000000001</v>
      </c>
      <c r="V5050">
        <v>0</v>
      </c>
      <c r="W5050">
        <v>141.63740000000001</v>
      </c>
      <c r="X5050">
        <v>319.95280000000002</v>
      </c>
      <c r="Y5050">
        <v>0</v>
      </c>
      <c r="Z5050">
        <v>64</v>
      </c>
      <c r="AA5050">
        <v>0</v>
      </c>
      <c r="AB5050">
        <v>1.4315389999999999</v>
      </c>
      <c r="AC5050">
        <v>0.15201529999999999</v>
      </c>
      <c r="AD5050">
        <v>2.1584759999999998</v>
      </c>
      <c r="AE5050">
        <v>0.45701180000000002</v>
      </c>
      <c r="AF5050">
        <v>195.74870000000001</v>
      </c>
      <c r="AG5050">
        <f>IFERROR(AH5050*0.1, "N/A")</f>
        <v>6.9279929999999998</v>
      </c>
      <c r="AH5050">
        <v>69.279929999999993</v>
      </c>
      <c r="AI5050">
        <v>120.55289999999999</v>
      </c>
      <c r="AJ5050">
        <v>20.991569999999999</v>
      </c>
      <c r="AK5050">
        <v>63.682969999999997</v>
      </c>
    </row>
    <row r="5051" spans="1:37" x14ac:dyDescent="0.3">
      <c r="A5051">
        <v>5050</v>
      </c>
      <c r="B5051">
        <v>97</v>
      </c>
      <c r="C5051">
        <v>1.4833000000000001</v>
      </c>
      <c r="D5051">
        <v>14.183299999999999</v>
      </c>
      <c r="E5051" t="s">
        <v>8106</v>
      </c>
      <c r="F5051" t="s">
        <v>8107</v>
      </c>
      <c r="G5051" t="s">
        <v>39</v>
      </c>
      <c r="H5051">
        <v>0</v>
      </c>
      <c r="I5051">
        <v>29.7</v>
      </c>
      <c r="J5051">
        <v>14.1</v>
      </c>
      <c r="K5051">
        <v>57</v>
      </c>
      <c r="L5051">
        <v>29.19125</v>
      </c>
      <c r="M5051">
        <v>41.3</v>
      </c>
      <c r="N5051">
        <v>16.67605</v>
      </c>
      <c r="O5051">
        <v>24.623950000000001</v>
      </c>
      <c r="P5051">
        <v>29.474540000000001</v>
      </c>
      <c r="Q5051">
        <v>25.958850000000002</v>
      </c>
      <c r="R5051">
        <v>33.4</v>
      </c>
      <c r="S5051">
        <v>25.62546</v>
      </c>
      <c r="T5051">
        <v>394.92070000000001</v>
      </c>
      <c r="U5051">
        <v>148.25460000000001</v>
      </c>
      <c r="V5051">
        <v>0</v>
      </c>
      <c r="W5051">
        <v>141.64760000000001</v>
      </c>
      <c r="X5051">
        <v>319.92070000000001</v>
      </c>
      <c r="Y5051">
        <v>0</v>
      </c>
      <c r="Z5051">
        <v>64</v>
      </c>
      <c r="AA5051">
        <v>0</v>
      </c>
      <c r="AB5051">
        <v>1.449751</v>
      </c>
      <c r="AC5051">
        <v>0.15346960000000001</v>
      </c>
      <c r="AD5051">
        <v>2.1773980000000002</v>
      </c>
      <c r="AE5051">
        <v>0.45701180000000002</v>
      </c>
      <c r="AF5051">
        <v>195.73859999999999</v>
      </c>
      <c r="AG5051">
        <f>IFERROR(AH5051*0.1, "N/A")</f>
        <v>6.9291740000000006</v>
      </c>
      <c r="AH5051">
        <v>69.291740000000004</v>
      </c>
      <c r="AI5051">
        <v>118.6802</v>
      </c>
      <c r="AJ5051">
        <v>21.069140000000001</v>
      </c>
      <c r="AK5051">
        <v>63.519390000000001</v>
      </c>
    </row>
    <row r="5052" spans="1:37" x14ac:dyDescent="0.3">
      <c r="A5052">
        <v>5051</v>
      </c>
      <c r="B5052">
        <v>0</v>
      </c>
      <c r="C5052">
        <v>1.4833000000000001</v>
      </c>
      <c r="D5052">
        <v>14.183299999999999</v>
      </c>
      <c r="E5052" t="s">
        <v>8106</v>
      </c>
      <c r="F5052" t="s">
        <v>8108</v>
      </c>
      <c r="G5052" t="s">
        <v>37</v>
      </c>
      <c r="H5052">
        <v>0</v>
      </c>
      <c r="I5052">
        <v>29.7</v>
      </c>
      <c r="J5052">
        <v>14.1</v>
      </c>
      <c r="K5052">
        <v>57</v>
      </c>
      <c r="L5052">
        <v>29.19125</v>
      </c>
      <c r="M5052">
        <v>41.3</v>
      </c>
      <c r="N5052">
        <v>16.67605</v>
      </c>
      <c r="O5052">
        <v>24.623950000000001</v>
      </c>
      <c r="P5052">
        <v>29.474540000000001</v>
      </c>
      <c r="Q5052">
        <v>25.958850000000002</v>
      </c>
      <c r="R5052">
        <v>33.4</v>
      </c>
      <c r="S5052">
        <v>25.62546</v>
      </c>
      <c r="T5052">
        <v>394.92070000000001</v>
      </c>
      <c r="U5052">
        <v>148.25460000000001</v>
      </c>
      <c r="V5052">
        <v>0</v>
      </c>
      <c r="W5052">
        <v>141.64760000000001</v>
      </c>
      <c r="X5052">
        <v>319.92070000000001</v>
      </c>
      <c r="Y5052">
        <v>0</v>
      </c>
      <c r="Z5052">
        <v>64</v>
      </c>
      <c r="AA5052">
        <v>0</v>
      </c>
      <c r="AB5052">
        <v>1.449751</v>
      </c>
      <c r="AC5052">
        <v>0.15346960000000001</v>
      </c>
      <c r="AD5052">
        <v>2.1773980000000002</v>
      </c>
      <c r="AE5052">
        <v>0.45701180000000002</v>
      </c>
      <c r="AF5052">
        <v>195.73859999999999</v>
      </c>
      <c r="AG5052">
        <f>IFERROR(AH5052*0.1, "N/A")</f>
        <v>6.9291740000000006</v>
      </c>
      <c r="AH5052">
        <v>69.291740000000004</v>
      </c>
      <c r="AI5052">
        <v>118.6802</v>
      </c>
      <c r="AJ5052">
        <v>21.069140000000001</v>
      </c>
      <c r="AK5052">
        <v>63.519390000000001</v>
      </c>
    </row>
    <row r="5053" spans="1:37" x14ac:dyDescent="0.3">
      <c r="A5053">
        <v>5052</v>
      </c>
      <c r="B5053">
        <v>100</v>
      </c>
      <c r="C5053">
        <v>1.48631</v>
      </c>
      <c r="D5053">
        <v>14.1875</v>
      </c>
      <c r="E5053" t="s">
        <v>8109</v>
      </c>
      <c r="F5053" t="s">
        <v>8110</v>
      </c>
      <c r="G5053" t="s">
        <v>39</v>
      </c>
      <c r="H5053">
        <v>1999</v>
      </c>
      <c r="I5053">
        <v>29.7</v>
      </c>
      <c r="J5053">
        <v>14.1</v>
      </c>
      <c r="K5053">
        <v>57</v>
      </c>
      <c r="L5053">
        <v>29.07</v>
      </c>
      <c r="M5053">
        <v>41.3</v>
      </c>
      <c r="N5053">
        <v>16.7</v>
      </c>
      <c r="O5053">
        <v>24.6</v>
      </c>
      <c r="P5053">
        <v>29.4</v>
      </c>
      <c r="Q5053">
        <v>26</v>
      </c>
      <c r="R5053">
        <v>33.4</v>
      </c>
      <c r="S5053">
        <v>25.7</v>
      </c>
      <c r="T5053">
        <v>396</v>
      </c>
      <c r="U5053">
        <v>149</v>
      </c>
      <c r="V5053">
        <v>0</v>
      </c>
      <c r="W5053">
        <v>139</v>
      </c>
      <c r="X5053">
        <v>321</v>
      </c>
      <c r="Y5053">
        <v>0</v>
      </c>
      <c r="Z5053">
        <v>64</v>
      </c>
      <c r="AA5053">
        <v>0</v>
      </c>
      <c r="AB5053">
        <v>2.9715500000000001</v>
      </c>
      <c r="AC5053">
        <v>5.0785129999999998E-2</v>
      </c>
      <c r="AD5053">
        <v>2.5877819999999998</v>
      </c>
      <c r="AE5053">
        <v>0.45161030000000002</v>
      </c>
      <c r="AF5053">
        <v>202.73910000000001</v>
      </c>
      <c r="AG5053">
        <f>IFERROR(AH5053*0.1, "N/A")</f>
        <v>6.9181820000000007</v>
      </c>
      <c r="AH5053">
        <v>69.181820000000002</v>
      </c>
      <c r="AI5053">
        <v>162.09010000000001</v>
      </c>
      <c r="AJ5053">
        <v>19.727270000000001</v>
      </c>
      <c r="AK5053">
        <v>62.877099999999999</v>
      </c>
    </row>
    <row r="5054" spans="1:37" x14ac:dyDescent="0.3">
      <c r="A5054">
        <v>5053</v>
      </c>
      <c r="B5054">
        <v>0</v>
      </c>
      <c r="C5054">
        <v>2.05166</v>
      </c>
      <c r="D5054">
        <v>14.190200000000001</v>
      </c>
      <c r="E5054" t="s">
        <v>8111</v>
      </c>
      <c r="F5054" t="s">
        <v>8112</v>
      </c>
      <c r="G5054" t="s">
        <v>39</v>
      </c>
      <c r="H5054">
        <v>0</v>
      </c>
      <c r="I5054">
        <v>29.2</v>
      </c>
      <c r="J5054">
        <v>14.3</v>
      </c>
      <c r="K5054">
        <v>57</v>
      </c>
      <c r="L5054">
        <v>29.28</v>
      </c>
      <c r="M5054">
        <v>40.9</v>
      </c>
      <c r="N5054">
        <v>15.9</v>
      </c>
      <c r="O5054">
        <v>25</v>
      </c>
      <c r="P5054">
        <v>28.9</v>
      </c>
      <c r="Q5054">
        <v>27.2</v>
      </c>
      <c r="R5054">
        <v>33</v>
      </c>
      <c r="S5054">
        <v>25.2</v>
      </c>
      <c r="T5054">
        <v>361</v>
      </c>
      <c r="U5054">
        <v>132</v>
      </c>
      <c r="V5054">
        <v>0</v>
      </c>
      <c r="W5054">
        <v>140</v>
      </c>
      <c r="X5054">
        <v>296</v>
      </c>
      <c r="Y5054">
        <v>0</v>
      </c>
      <c r="Z5054">
        <v>60</v>
      </c>
      <c r="AA5054">
        <v>0</v>
      </c>
      <c r="AB5054">
        <v>1.609081</v>
      </c>
      <c r="AC5054">
        <v>0.1044257</v>
      </c>
      <c r="AD5054">
        <v>1.2183759999999999</v>
      </c>
      <c r="AE5054">
        <v>0.22885079999999999</v>
      </c>
      <c r="AF5054">
        <v>253.58150000000001</v>
      </c>
      <c r="AG5054">
        <f>IFERROR(AH5054*0.1, "N/A")</f>
        <v>5.5490760000000003</v>
      </c>
      <c r="AH5054">
        <v>55.490760000000002</v>
      </c>
      <c r="AI5054">
        <v>236.5068</v>
      </c>
      <c r="AJ5054">
        <v>11.14622</v>
      </c>
      <c r="AK5054">
        <v>77.137820000000005</v>
      </c>
    </row>
    <row r="5055" spans="1:37" x14ac:dyDescent="0.3">
      <c r="A5055">
        <v>5054</v>
      </c>
      <c r="B5055">
        <v>0</v>
      </c>
      <c r="C5055">
        <v>2.05166</v>
      </c>
      <c r="D5055">
        <v>14.190200000000001</v>
      </c>
      <c r="E5055" t="s">
        <v>8111</v>
      </c>
      <c r="F5055" t="s">
        <v>8113</v>
      </c>
      <c r="G5055" t="s">
        <v>37</v>
      </c>
      <c r="H5055">
        <v>0</v>
      </c>
      <c r="I5055">
        <v>29.2</v>
      </c>
      <c r="J5055">
        <v>14.3</v>
      </c>
      <c r="K5055">
        <v>57</v>
      </c>
      <c r="L5055">
        <v>29.28</v>
      </c>
      <c r="M5055">
        <v>40.9</v>
      </c>
      <c r="N5055">
        <v>15.9</v>
      </c>
      <c r="O5055">
        <v>25</v>
      </c>
      <c r="P5055">
        <v>28.9</v>
      </c>
      <c r="Q5055">
        <v>27.2</v>
      </c>
      <c r="R5055">
        <v>33</v>
      </c>
      <c r="S5055">
        <v>25.2</v>
      </c>
      <c r="T5055">
        <v>361</v>
      </c>
      <c r="U5055">
        <v>132</v>
      </c>
      <c r="V5055">
        <v>0</v>
      </c>
      <c r="W5055">
        <v>140</v>
      </c>
      <c r="X5055">
        <v>296</v>
      </c>
      <c r="Y5055">
        <v>0</v>
      </c>
      <c r="Z5055">
        <v>60</v>
      </c>
      <c r="AA5055">
        <v>0</v>
      </c>
      <c r="AB5055">
        <v>1.609081</v>
      </c>
      <c r="AC5055">
        <v>0.1044257</v>
      </c>
      <c r="AD5055">
        <v>1.2183759999999999</v>
      </c>
      <c r="AE5055">
        <v>0.22885079999999999</v>
      </c>
      <c r="AF5055">
        <v>253.58150000000001</v>
      </c>
      <c r="AG5055">
        <f>IFERROR(AH5055*0.1, "N/A")</f>
        <v>5.5490760000000003</v>
      </c>
      <c r="AH5055">
        <v>55.490760000000002</v>
      </c>
      <c r="AI5055">
        <v>236.5068</v>
      </c>
      <c r="AJ5055">
        <v>11.14622</v>
      </c>
      <c r="AK5055">
        <v>77.137820000000005</v>
      </c>
    </row>
    <row r="5056" spans="1:37" x14ac:dyDescent="0.3">
      <c r="A5056">
        <v>5055</v>
      </c>
      <c r="B5056">
        <v>0</v>
      </c>
      <c r="C5056">
        <v>7.4615499999999999</v>
      </c>
      <c r="D5056">
        <v>14.1907</v>
      </c>
      <c r="E5056" t="s">
        <v>8114</v>
      </c>
      <c r="F5056" t="s">
        <v>8115</v>
      </c>
      <c r="G5056" t="s">
        <v>39</v>
      </c>
      <c r="H5056">
        <v>0</v>
      </c>
      <c r="I5056">
        <v>27.6</v>
      </c>
      <c r="J5056">
        <v>14.6</v>
      </c>
      <c r="K5056">
        <v>56</v>
      </c>
      <c r="L5056">
        <v>32.159999999999997</v>
      </c>
      <c r="M5056">
        <v>39.700000000000003</v>
      </c>
      <c r="N5056">
        <v>13.8</v>
      </c>
      <c r="O5056">
        <v>25.9</v>
      </c>
      <c r="P5056">
        <v>27.6</v>
      </c>
      <c r="Q5056">
        <v>23.5</v>
      </c>
      <c r="R5056">
        <v>31.8</v>
      </c>
      <c r="S5056">
        <v>23.2</v>
      </c>
      <c r="T5056">
        <v>316</v>
      </c>
      <c r="U5056">
        <v>119</v>
      </c>
      <c r="V5056">
        <v>0</v>
      </c>
      <c r="W5056">
        <v>150</v>
      </c>
      <c r="X5056">
        <v>266</v>
      </c>
      <c r="Y5056">
        <v>0</v>
      </c>
      <c r="Z5056">
        <v>46</v>
      </c>
      <c r="AA5056">
        <v>0</v>
      </c>
      <c r="AB5056">
        <v>1.270581</v>
      </c>
      <c r="AC5056">
        <v>8.2920270000000004E-3</v>
      </c>
      <c r="AD5056">
        <v>1.292278</v>
      </c>
      <c r="AE5056">
        <v>0.68921730000000003</v>
      </c>
      <c r="AF5056">
        <v>420.68740000000003</v>
      </c>
      <c r="AG5056">
        <f>IFERROR(AH5056*0.1, "N/A")</f>
        <v>7.4470590000000003</v>
      </c>
      <c r="AH5056">
        <v>74.470590000000001</v>
      </c>
      <c r="AI5056">
        <v>146.40989999999999</v>
      </c>
      <c r="AJ5056">
        <v>10.99328</v>
      </c>
      <c r="AK5056">
        <v>74.457139999999995</v>
      </c>
    </row>
    <row r="5057" spans="1:37" x14ac:dyDescent="0.3">
      <c r="A5057">
        <v>5056</v>
      </c>
      <c r="B5057">
        <v>0</v>
      </c>
      <c r="C5057">
        <v>7.4615499999999999</v>
      </c>
      <c r="D5057">
        <v>14.1907</v>
      </c>
      <c r="E5057" t="s">
        <v>8114</v>
      </c>
      <c r="F5057" t="s">
        <v>8116</v>
      </c>
      <c r="G5057" t="s">
        <v>37</v>
      </c>
      <c r="H5057">
        <v>0</v>
      </c>
      <c r="I5057">
        <v>27.6</v>
      </c>
      <c r="J5057">
        <v>14.6</v>
      </c>
      <c r="K5057">
        <v>56</v>
      </c>
      <c r="L5057">
        <v>32.159999999999997</v>
      </c>
      <c r="M5057">
        <v>39.700000000000003</v>
      </c>
      <c r="N5057">
        <v>13.8</v>
      </c>
      <c r="O5057">
        <v>25.9</v>
      </c>
      <c r="P5057">
        <v>27.6</v>
      </c>
      <c r="Q5057">
        <v>23.5</v>
      </c>
      <c r="R5057">
        <v>31.8</v>
      </c>
      <c r="S5057">
        <v>23.2</v>
      </c>
      <c r="T5057">
        <v>316</v>
      </c>
      <c r="U5057">
        <v>119</v>
      </c>
      <c r="V5057">
        <v>0</v>
      </c>
      <c r="W5057">
        <v>150</v>
      </c>
      <c r="X5057">
        <v>266</v>
      </c>
      <c r="Y5057">
        <v>0</v>
      </c>
      <c r="Z5057">
        <v>46</v>
      </c>
      <c r="AA5057">
        <v>0</v>
      </c>
      <c r="AB5057">
        <v>1.270581</v>
      </c>
      <c r="AC5057">
        <v>8.2920270000000004E-3</v>
      </c>
      <c r="AD5057">
        <v>1.292278</v>
      </c>
      <c r="AE5057">
        <v>0.68921730000000003</v>
      </c>
      <c r="AF5057">
        <v>420.68740000000003</v>
      </c>
      <c r="AG5057">
        <f>IFERROR(AH5057*0.1, "N/A")</f>
        <v>7.4470590000000003</v>
      </c>
      <c r="AH5057">
        <v>74.470590000000001</v>
      </c>
      <c r="AI5057">
        <v>146.40989999999999</v>
      </c>
      <c r="AJ5057">
        <v>10.99328</v>
      </c>
      <c r="AK5057">
        <v>74.457139999999995</v>
      </c>
    </row>
    <row r="5058" spans="1:37" x14ac:dyDescent="0.3">
      <c r="A5058">
        <v>5057</v>
      </c>
      <c r="B5058">
        <v>0</v>
      </c>
      <c r="C5058">
        <v>2.0520299999999998</v>
      </c>
      <c r="D5058">
        <v>14.1913</v>
      </c>
      <c r="E5058" t="s">
        <v>8117</v>
      </c>
      <c r="F5058" t="s">
        <v>8118</v>
      </c>
      <c r="G5058" t="s">
        <v>39</v>
      </c>
      <c r="H5058">
        <v>0</v>
      </c>
      <c r="I5058">
        <v>29.2</v>
      </c>
      <c r="J5058">
        <v>14.3</v>
      </c>
      <c r="K5058">
        <v>57</v>
      </c>
      <c r="L5058">
        <v>29.305150000000001</v>
      </c>
      <c r="M5058">
        <v>40.9</v>
      </c>
      <c r="N5058">
        <v>15.9</v>
      </c>
      <c r="O5058">
        <v>25</v>
      </c>
      <c r="P5058">
        <v>28.9</v>
      </c>
      <c r="Q5058">
        <v>27.172049999999999</v>
      </c>
      <c r="R5058">
        <v>33</v>
      </c>
      <c r="S5058">
        <v>25.2</v>
      </c>
      <c r="T5058">
        <v>361.27949999999998</v>
      </c>
      <c r="U5058">
        <v>132</v>
      </c>
      <c r="V5058">
        <v>0</v>
      </c>
      <c r="W5058">
        <v>140</v>
      </c>
      <c r="X5058">
        <v>296</v>
      </c>
      <c r="Y5058">
        <v>0</v>
      </c>
      <c r="Z5058">
        <v>60.27946</v>
      </c>
      <c r="AA5058">
        <v>0</v>
      </c>
      <c r="AB5058">
        <v>0.93131180000000002</v>
      </c>
      <c r="AC5058">
        <v>0.12636230000000001</v>
      </c>
      <c r="AD5058">
        <v>1.678742</v>
      </c>
      <c r="AE5058">
        <v>0.22885079999999999</v>
      </c>
      <c r="AF5058">
        <v>253.07740000000001</v>
      </c>
      <c r="AG5058">
        <f>IFERROR(AH5058*0.1, "N/A")</f>
        <v>5.3577440000000003</v>
      </c>
      <c r="AH5058">
        <v>53.577440000000003</v>
      </c>
      <c r="AI5058">
        <v>152.78399999999999</v>
      </c>
      <c r="AJ5058">
        <v>10.518520000000001</v>
      </c>
      <c r="AK5058">
        <v>79.609430000000003</v>
      </c>
    </row>
    <row r="5059" spans="1:37" x14ac:dyDescent="0.3">
      <c r="A5059">
        <v>5058</v>
      </c>
      <c r="B5059">
        <v>0</v>
      </c>
      <c r="C5059">
        <v>2.0520299999999998</v>
      </c>
      <c r="D5059">
        <v>14.1913</v>
      </c>
      <c r="E5059" t="s">
        <v>8117</v>
      </c>
      <c r="F5059" t="s">
        <v>8119</v>
      </c>
      <c r="G5059" t="s">
        <v>37</v>
      </c>
      <c r="H5059">
        <v>0</v>
      </c>
      <c r="I5059">
        <v>29.2</v>
      </c>
      <c r="J5059">
        <v>14.3</v>
      </c>
      <c r="K5059">
        <v>57</v>
      </c>
      <c r="L5059">
        <v>29.305150000000001</v>
      </c>
      <c r="M5059">
        <v>40.9</v>
      </c>
      <c r="N5059">
        <v>15.9</v>
      </c>
      <c r="O5059">
        <v>25</v>
      </c>
      <c r="P5059">
        <v>28.9</v>
      </c>
      <c r="Q5059">
        <v>27.172049999999999</v>
      </c>
      <c r="R5059">
        <v>33</v>
      </c>
      <c r="S5059">
        <v>25.2</v>
      </c>
      <c r="T5059">
        <v>361.27949999999998</v>
      </c>
      <c r="U5059">
        <v>132</v>
      </c>
      <c r="V5059">
        <v>0</v>
      </c>
      <c r="W5059">
        <v>140</v>
      </c>
      <c r="X5059">
        <v>296</v>
      </c>
      <c r="Y5059">
        <v>0</v>
      </c>
      <c r="Z5059">
        <v>60.27946</v>
      </c>
      <c r="AA5059">
        <v>0</v>
      </c>
      <c r="AB5059">
        <v>0.93131180000000002</v>
      </c>
      <c r="AC5059">
        <v>0.12636230000000001</v>
      </c>
      <c r="AD5059">
        <v>1.678742</v>
      </c>
      <c r="AE5059">
        <v>0.22885079999999999</v>
      </c>
      <c r="AF5059">
        <v>253.07740000000001</v>
      </c>
      <c r="AG5059">
        <f>IFERROR(AH5059*0.1, "N/A")</f>
        <v>5.3577440000000003</v>
      </c>
      <c r="AH5059">
        <v>53.577440000000003</v>
      </c>
      <c r="AI5059">
        <v>152.78399999999999</v>
      </c>
      <c r="AJ5059">
        <v>10.518520000000001</v>
      </c>
      <c r="AK5059">
        <v>79.609430000000003</v>
      </c>
    </row>
    <row r="5060" spans="1:37" x14ac:dyDescent="0.3">
      <c r="A5060">
        <v>5059</v>
      </c>
      <c r="B5060">
        <v>95</v>
      </c>
      <c r="C5060">
        <v>1.43635</v>
      </c>
      <c r="D5060">
        <v>14.1919</v>
      </c>
      <c r="E5060" t="s">
        <v>8120</v>
      </c>
      <c r="F5060" t="s">
        <v>8121</v>
      </c>
      <c r="G5060" t="s">
        <v>39</v>
      </c>
      <c r="H5060">
        <v>0</v>
      </c>
      <c r="I5060">
        <v>29.7</v>
      </c>
      <c r="J5060">
        <v>14.1</v>
      </c>
      <c r="K5060">
        <v>57</v>
      </c>
      <c r="L5060">
        <v>28.97711</v>
      </c>
      <c r="M5060">
        <v>41.3</v>
      </c>
      <c r="N5060">
        <v>16.7</v>
      </c>
      <c r="O5060">
        <v>24.6</v>
      </c>
      <c r="P5060">
        <v>29.5</v>
      </c>
      <c r="Q5060">
        <v>26</v>
      </c>
      <c r="R5060">
        <v>33.4</v>
      </c>
      <c r="S5060">
        <v>25.67681</v>
      </c>
      <c r="T5060">
        <v>386.2319</v>
      </c>
      <c r="U5060">
        <v>145</v>
      </c>
      <c r="V5060">
        <v>0</v>
      </c>
      <c r="W5060">
        <v>140</v>
      </c>
      <c r="X5060">
        <v>313.2319</v>
      </c>
      <c r="Y5060">
        <v>0</v>
      </c>
      <c r="Z5060">
        <v>63</v>
      </c>
      <c r="AA5060">
        <v>0</v>
      </c>
      <c r="AB5060">
        <v>3.3615499999999998E-4</v>
      </c>
      <c r="AC5060">
        <v>1.558059E-2</v>
      </c>
      <c r="AD5060">
        <v>1.358967</v>
      </c>
      <c r="AE5060">
        <v>0.35246509999999998</v>
      </c>
      <c r="AF5060">
        <v>194.84370000000001</v>
      </c>
      <c r="AG5060">
        <f>IFERROR(AH5060*0.1, "N/A")</f>
        <v>6.5413449999999997</v>
      </c>
      <c r="AH5060">
        <v>65.413449999999997</v>
      </c>
      <c r="AI5060">
        <v>154.2826</v>
      </c>
      <c r="AJ5060">
        <v>31.791599999999999</v>
      </c>
      <c r="AK5060">
        <v>47.117649999999998</v>
      </c>
    </row>
    <row r="5061" spans="1:37" x14ac:dyDescent="0.3">
      <c r="A5061">
        <v>5060</v>
      </c>
      <c r="B5061">
        <v>0</v>
      </c>
      <c r="C5061">
        <v>1.43635</v>
      </c>
      <c r="D5061">
        <v>14.1919</v>
      </c>
      <c r="E5061" t="s">
        <v>8120</v>
      </c>
      <c r="F5061" t="s">
        <v>8122</v>
      </c>
      <c r="G5061" t="s">
        <v>37</v>
      </c>
      <c r="H5061">
        <v>0</v>
      </c>
      <c r="I5061">
        <v>29.7</v>
      </c>
      <c r="J5061">
        <v>14.1</v>
      </c>
      <c r="K5061">
        <v>57</v>
      </c>
      <c r="L5061">
        <v>28.97711</v>
      </c>
      <c r="M5061">
        <v>41.3</v>
      </c>
      <c r="N5061">
        <v>16.7</v>
      </c>
      <c r="O5061">
        <v>24.6</v>
      </c>
      <c r="P5061">
        <v>29.5</v>
      </c>
      <c r="Q5061">
        <v>26</v>
      </c>
      <c r="R5061">
        <v>33.4</v>
      </c>
      <c r="S5061">
        <v>25.67681</v>
      </c>
      <c r="T5061">
        <v>386.2319</v>
      </c>
      <c r="U5061">
        <v>145</v>
      </c>
      <c r="V5061">
        <v>0</v>
      </c>
      <c r="W5061">
        <v>140</v>
      </c>
      <c r="X5061">
        <v>313.2319</v>
      </c>
      <c r="Y5061">
        <v>0</v>
      </c>
      <c r="Z5061">
        <v>63</v>
      </c>
      <c r="AA5061">
        <v>0</v>
      </c>
      <c r="AB5061">
        <v>3.3615499999999998E-4</v>
      </c>
      <c r="AC5061">
        <v>1.558059E-2</v>
      </c>
      <c r="AD5061">
        <v>1.358967</v>
      </c>
      <c r="AE5061">
        <v>0.35246509999999998</v>
      </c>
      <c r="AF5061">
        <v>194.84370000000001</v>
      </c>
      <c r="AG5061">
        <f>IFERROR(AH5061*0.1, "N/A")</f>
        <v>6.5413449999999997</v>
      </c>
      <c r="AH5061">
        <v>65.413449999999997</v>
      </c>
      <c r="AI5061">
        <v>154.2826</v>
      </c>
      <c r="AJ5061">
        <v>31.791599999999999</v>
      </c>
      <c r="AK5061">
        <v>47.117649999999998</v>
      </c>
    </row>
    <row r="5062" spans="1:37" x14ac:dyDescent="0.3">
      <c r="A5062">
        <v>5061</v>
      </c>
      <c r="B5062">
        <v>0</v>
      </c>
      <c r="C5062">
        <v>2.4935299999999998</v>
      </c>
      <c r="D5062">
        <v>14.193300000000001</v>
      </c>
      <c r="E5062" t="s">
        <v>8123</v>
      </c>
      <c r="F5062" t="s">
        <v>8124</v>
      </c>
      <c r="G5062" t="s">
        <v>39</v>
      </c>
      <c r="H5062">
        <v>0</v>
      </c>
      <c r="I5062">
        <v>29</v>
      </c>
      <c r="J5062">
        <v>14.3</v>
      </c>
      <c r="K5062">
        <v>57</v>
      </c>
      <c r="L5062">
        <v>28.58</v>
      </c>
      <c r="M5062">
        <v>40.700000000000003</v>
      </c>
      <c r="N5062">
        <v>16</v>
      </c>
      <c r="O5062">
        <v>24.7</v>
      </c>
      <c r="P5062">
        <v>28.6</v>
      </c>
      <c r="Q5062">
        <v>27.1</v>
      </c>
      <c r="R5062">
        <v>32.700000000000003</v>
      </c>
      <c r="S5062">
        <v>25.2</v>
      </c>
      <c r="T5062">
        <v>387</v>
      </c>
      <c r="U5062">
        <v>135</v>
      </c>
      <c r="V5062">
        <v>0</v>
      </c>
      <c r="W5062">
        <v>138</v>
      </c>
      <c r="X5062">
        <v>309</v>
      </c>
      <c r="Y5062">
        <v>0</v>
      </c>
      <c r="Z5062">
        <v>73</v>
      </c>
      <c r="AA5062">
        <v>0</v>
      </c>
      <c r="AB5062">
        <v>2.2561399999999998</v>
      </c>
      <c r="AC5062">
        <v>1.30162E-2</v>
      </c>
      <c r="AD5062">
        <v>0.83196829999999999</v>
      </c>
      <c r="AE5062">
        <v>0.2360862</v>
      </c>
      <c r="AF5062">
        <v>272.1866</v>
      </c>
      <c r="AG5062">
        <f>IFERROR(AH5062*0.1, "N/A")</f>
        <v>5.3653779999999998</v>
      </c>
      <c r="AH5062">
        <v>53.653779999999998</v>
      </c>
      <c r="AI5062">
        <v>148.23679999999999</v>
      </c>
      <c r="AJ5062">
        <v>10.346220000000001</v>
      </c>
      <c r="AK5062">
        <v>79.653779999999998</v>
      </c>
    </row>
    <row r="5063" spans="1:37" x14ac:dyDescent="0.3">
      <c r="A5063">
        <v>5062</v>
      </c>
      <c r="B5063">
        <v>0</v>
      </c>
      <c r="C5063">
        <v>2.4935299999999998</v>
      </c>
      <c r="D5063">
        <v>14.193300000000001</v>
      </c>
      <c r="E5063" t="s">
        <v>8123</v>
      </c>
      <c r="F5063" t="s">
        <v>8125</v>
      </c>
      <c r="G5063" t="s">
        <v>37</v>
      </c>
      <c r="H5063">
        <v>0</v>
      </c>
      <c r="I5063">
        <v>29</v>
      </c>
      <c r="J5063">
        <v>14.3</v>
      </c>
      <c r="K5063">
        <v>57</v>
      </c>
      <c r="L5063">
        <v>28.58</v>
      </c>
      <c r="M5063">
        <v>40.700000000000003</v>
      </c>
      <c r="N5063">
        <v>16</v>
      </c>
      <c r="O5063">
        <v>24.7</v>
      </c>
      <c r="P5063">
        <v>28.6</v>
      </c>
      <c r="Q5063">
        <v>27.1</v>
      </c>
      <c r="R5063">
        <v>32.700000000000003</v>
      </c>
      <c r="S5063">
        <v>25.2</v>
      </c>
      <c r="T5063">
        <v>387</v>
      </c>
      <c r="U5063">
        <v>135</v>
      </c>
      <c r="V5063">
        <v>0</v>
      </c>
      <c r="W5063">
        <v>138</v>
      </c>
      <c r="X5063">
        <v>309</v>
      </c>
      <c r="Y5063">
        <v>0</v>
      </c>
      <c r="Z5063">
        <v>73</v>
      </c>
      <c r="AA5063">
        <v>0</v>
      </c>
      <c r="AB5063">
        <v>2.2561399999999998</v>
      </c>
      <c r="AC5063">
        <v>1.30162E-2</v>
      </c>
      <c r="AD5063">
        <v>0.83196829999999999</v>
      </c>
      <c r="AE5063">
        <v>0.2360862</v>
      </c>
      <c r="AF5063">
        <v>272.1866</v>
      </c>
      <c r="AG5063">
        <f>IFERROR(AH5063*0.1, "N/A")</f>
        <v>5.3653779999999998</v>
      </c>
      <c r="AH5063">
        <v>53.653779999999998</v>
      </c>
      <c r="AI5063">
        <v>148.23679999999999</v>
      </c>
      <c r="AJ5063">
        <v>10.346220000000001</v>
      </c>
      <c r="AK5063">
        <v>79.653779999999998</v>
      </c>
    </row>
    <row r="5064" spans="1:37" x14ac:dyDescent="0.3">
      <c r="A5064">
        <v>5063</v>
      </c>
      <c r="B5064">
        <v>0</v>
      </c>
      <c r="C5064">
        <v>7.5135800000000001</v>
      </c>
      <c r="D5064">
        <v>14.195</v>
      </c>
      <c r="E5064" t="s">
        <v>8126</v>
      </c>
      <c r="F5064" t="s">
        <v>8127</v>
      </c>
      <c r="G5064" t="s">
        <v>39</v>
      </c>
      <c r="H5064">
        <v>0</v>
      </c>
      <c r="I5064">
        <v>27.6</v>
      </c>
      <c r="J5064">
        <v>14.6</v>
      </c>
      <c r="K5064">
        <v>56</v>
      </c>
      <c r="L5064">
        <v>31.83</v>
      </c>
      <c r="M5064">
        <v>39.6</v>
      </c>
      <c r="N5064">
        <v>13.8</v>
      </c>
      <c r="O5064">
        <v>25.8</v>
      </c>
      <c r="P5064">
        <v>27.6</v>
      </c>
      <c r="Q5064">
        <v>23.5</v>
      </c>
      <c r="R5064">
        <v>31.7</v>
      </c>
      <c r="S5064">
        <v>23.1</v>
      </c>
      <c r="T5064">
        <v>317</v>
      </c>
      <c r="U5064">
        <v>120</v>
      </c>
      <c r="V5064">
        <v>0</v>
      </c>
      <c r="W5064">
        <v>150</v>
      </c>
      <c r="X5064">
        <v>267</v>
      </c>
      <c r="Y5064">
        <v>0</v>
      </c>
      <c r="Z5064">
        <v>46</v>
      </c>
      <c r="AA5064">
        <v>0</v>
      </c>
      <c r="AB5064">
        <v>2.5702060000000002</v>
      </c>
      <c r="AC5064">
        <v>7.1946209999999997E-2</v>
      </c>
      <c r="AD5064">
        <v>1.5874569999999999</v>
      </c>
      <c r="AE5064">
        <v>0.68072109999999997</v>
      </c>
      <c r="AF5064">
        <v>427.93939999999998</v>
      </c>
      <c r="AG5064">
        <f>IFERROR(AH5064*0.1, "N/A")</f>
        <v>7.3365320000000001</v>
      </c>
      <c r="AH5064">
        <v>73.365319999999997</v>
      </c>
      <c r="AI5064">
        <v>199.15710000000001</v>
      </c>
      <c r="AJ5064">
        <v>7.3653199999999996</v>
      </c>
      <c r="AK5064">
        <v>81.634680000000003</v>
      </c>
    </row>
    <row r="5065" spans="1:37" x14ac:dyDescent="0.3">
      <c r="A5065">
        <v>5064</v>
      </c>
      <c r="B5065">
        <v>0</v>
      </c>
      <c r="C5065">
        <v>7.5135800000000001</v>
      </c>
      <c r="D5065">
        <v>14.195</v>
      </c>
      <c r="E5065" t="s">
        <v>8126</v>
      </c>
      <c r="F5065" t="s">
        <v>8128</v>
      </c>
      <c r="G5065" t="s">
        <v>37</v>
      </c>
      <c r="H5065">
        <v>0</v>
      </c>
      <c r="I5065">
        <v>27.6</v>
      </c>
      <c r="J5065">
        <v>14.6</v>
      </c>
      <c r="K5065">
        <v>56</v>
      </c>
      <c r="L5065">
        <v>31.83</v>
      </c>
      <c r="M5065">
        <v>39.6</v>
      </c>
      <c r="N5065">
        <v>13.8</v>
      </c>
      <c r="O5065">
        <v>25.8</v>
      </c>
      <c r="P5065">
        <v>27.6</v>
      </c>
      <c r="Q5065">
        <v>23.5</v>
      </c>
      <c r="R5065">
        <v>31.7</v>
      </c>
      <c r="S5065">
        <v>23.1</v>
      </c>
      <c r="T5065">
        <v>317</v>
      </c>
      <c r="U5065">
        <v>120</v>
      </c>
      <c r="V5065">
        <v>0</v>
      </c>
      <c r="W5065">
        <v>150</v>
      </c>
      <c r="X5065">
        <v>267</v>
      </c>
      <c r="Y5065">
        <v>0</v>
      </c>
      <c r="Z5065">
        <v>46</v>
      </c>
      <c r="AA5065">
        <v>0</v>
      </c>
      <c r="AB5065">
        <v>2.5702060000000002</v>
      </c>
      <c r="AC5065">
        <v>7.1946209999999997E-2</v>
      </c>
      <c r="AD5065">
        <v>1.5874569999999999</v>
      </c>
      <c r="AE5065">
        <v>0.68072109999999997</v>
      </c>
      <c r="AF5065">
        <v>427.93939999999998</v>
      </c>
      <c r="AG5065">
        <f>IFERROR(AH5065*0.1, "N/A")</f>
        <v>7.3365320000000001</v>
      </c>
      <c r="AH5065">
        <v>73.365319999999997</v>
      </c>
      <c r="AI5065">
        <v>199.15710000000001</v>
      </c>
      <c r="AJ5065">
        <v>7.3653199999999996</v>
      </c>
      <c r="AK5065">
        <v>81.634680000000003</v>
      </c>
    </row>
    <row r="5066" spans="1:37" x14ac:dyDescent="0.3">
      <c r="A5066">
        <v>5065</v>
      </c>
      <c r="B5066">
        <v>7.1</v>
      </c>
      <c r="C5066">
        <v>2.16723</v>
      </c>
      <c r="D5066">
        <v>14.1959</v>
      </c>
      <c r="E5066" t="s">
        <v>8129</v>
      </c>
      <c r="F5066" t="s">
        <v>8130</v>
      </c>
      <c r="G5066" t="s">
        <v>39</v>
      </c>
      <c r="H5066">
        <v>0</v>
      </c>
      <c r="I5066">
        <v>29.411300000000001</v>
      </c>
      <c r="J5066">
        <v>14.3</v>
      </c>
      <c r="K5066">
        <v>56</v>
      </c>
      <c r="L5066">
        <v>29.33502</v>
      </c>
      <c r="M5066">
        <v>41.2</v>
      </c>
      <c r="N5066">
        <v>16.100000000000001</v>
      </c>
      <c r="O5066">
        <v>25.1</v>
      </c>
      <c r="P5066">
        <v>29.1</v>
      </c>
      <c r="Q5066">
        <v>27.4</v>
      </c>
      <c r="R5066">
        <v>33.200000000000003</v>
      </c>
      <c r="S5066">
        <v>25.4</v>
      </c>
      <c r="T5066">
        <v>360</v>
      </c>
      <c r="U5066">
        <v>130</v>
      </c>
      <c r="V5066">
        <v>0</v>
      </c>
      <c r="W5066">
        <v>139</v>
      </c>
      <c r="X5066">
        <v>294</v>
      </c>
      <c r="Y5066">
        <v>0</v>
      </c>
      <c r="Z5066">
        <v>61</v>
      </c>
      <c r="AA5066">
        <v>0</v>
      </c>
      <c r="AB5066">
        <v>6.252948</v>
      </c>
      <c r="AC5066">
        <v>2.582624E-2</v>
      </c>
      <c r="AD5066">
        <v>2.841472</v>
      </c>
      <c r="AE5066">
        <v>0.38851829999999998</v>
      </c>
      <c r="AF5066">
        <v>217.69479999999999</v>
      </c>
      <c r="AG5066">
        <f>IFERROR(AH5066*0.1, "N/A")</f>
        <v>6.7082629999999996</v>
      </c>
      <c r="AH5066">
        <v>67.082629999999995</v>
      </c>
      <c r="AI5066">
        <v>215.6259</v>
      </c>
      <c r="AJ5066">
        <v>15.19899</v>
      </c>
      <c r="AK5066">
        <v>64.954470000000001</v>
      </c>
    </row>
    <row r="5067" spans="1:37" x14ac:dyDescent="0.3">
      <c r="A5067">
        <v>5066</v>
      </c>
      <c r="B5067">
        <v>0</v>
      </c>
      <c r="C5067">
        <v>7.8900499999999996</v>
      </c>
      <c r="D5067">
        <v>14.196999999999999</v>
      </c>
      <c r="E5067" t="s">
        <v>8131</v>
      </c>
      <c r="F5067" t="s">
        <v>8132</v>
      </c>
      <c r="G5067" t="s">
        <v>39</v>
      </c>
      <c r="H5067">
        <v>0</v>
      </c>
      <c r="I5067">
        <v>27.7</v>
      </c>
      <c r="J5067">
        <v>14.6</v>
      </c>
      <c r="K5067">
        <v>57</v>
      </c>
      <c r="L5067">
        <v>31.56</v>
      </c>
      <c r="M5067">
        <v>39.700000000000003</v>
      </c>
      <c r="N5067">
        <v>14.2</v>
      </c>
      <c r="O5067">
        <v>25.5</v>
      </c>
      <c r="P5067">
        <v>27.7</v>
      </c>
      <c r="Q5067">
        <v>25.4</v>
      </c>
      <c r="R5067">
        <v>31.8</v>
      </c>
      <c r="S5067">
        <v>23.3</v>
      </c>
      <c r="T5067">
        <v>323</v>
      </c>
      <c r="U5067">
        <v>128</v>
      </c>
      <c r="V5067">
        <v>0</v>
      </c>
      <c r="W5067">
        <v>157</v>
      </c>
      <c r="X5067">
        <v>276</v>
      </c>
      <c r="Y5067">
        <v>0</v>
      </c>
      <c r="Z5067">
        <v>43</v>
      </c>
      <c r="AA5067">
        <v>0</v>
      </c>
      <c r="AB5067">
        <v>5.9966429999999997</v>
      </c>
      <c r="AC5067">
        <v>9.9083360000000002E-3</v>
      </c>
      <c r="AD5067">
        <v>3.3008829999999998</v>
      </c>
      <c r="AE5067">
        <v>0.69076959999999998</v>
      </c>
      <c r="AF5067">
        <v>433.32769999999999</v>
      </c>
      <c r="AG5067">
        <f>IFERROR(AH5067*0.1, "N/A")</f>
        <v>6.7805040000000005</v>
      </c>
      <c r="AH5067">
        <v>67.805040000000005</v>
      </c>
      <c r="AI5067">
        <v>277.68239999999997</v>
      </c>
      <c r="AJ5067">
        <v>10.458819999999999</v>
      </c>
      <c r="AK5067">
        <v>74.633610000000004</v>
      </c>
    </row>
    <row r="5068" spans="1:37" x14ac:dyDescent="0.3">
      <c r="A5068">
        <v>5067</v>
      </c>
      <c r="B5068">
        <v>0</v>
      </c>
      <c r="C5068">
        <v>7.8900499999999996</v>
      </c>
      <c r="D5068">
        <v>14.196999999999999</v>
      </c>
      <c r="E5068" t="s">
        <v>8131</v>
      </c>
      <c r="F5068" t="s">
        <v>8133</v>
      </c>
      <c r="G5068" t="s">
        <v>37</v>
      </c>
      <c r="H5068">
        <v>0</v>
      </c>
      <c r="I5068">
        <v>27.7</v>
      </c>
      <c r="J5068">
        <v>14.6</v>
      </c>
      <c r="K5068">
        <v>57</v>
      </c>
      <c r="L5068">
        <v>31.56</v>
      </c>
      <c r="M5068">
        <v>39.700000000000003</v>
      </c>
      <c r="N5068">
        <v>14.2</v>
      </c>
      <c r="O5068">
        <v>25.5</v>
      </c>
      <c r="P5068">
        <v>27.7</v>
      </c>
      <c r="Q5068">
        <v>25.4</v>
      </c>
      <c r="R5068">
        <v>31.8</v>
      </c>
      <c r="S5068">
        <v>23.3</v>
      </c>
      <c r="T5068">
        <v>323</v>
      </c>
      <c r="U5068">
        <v>128</v>
      </c>
      <c r="V5068">
        <v>0</v>
      </c>
      <c r="W5068">
        <v>157</v>
      </c>
      <c r="X5068">
        <v>276</v>
      </c>
      <c r="Y5068">
        <v>0</v>
      </c>
      <c r="Z5068">
        <v>43</v>
      </c>
      <c r="AA5068">
        <v>0</v>
      </c>
      <c r="AB5068">
        <v>5.9966429999999997</v>
      </c>
      <c r="AC5068">
        <v>9.9083360000000002E-3</v>
      </c>
      <c r="AD5068">
        <v>3.3008829999999998</v>
      </c>
      <c r="AE5068">
        <v>0.69076959999999998</v>
      </c>
      <c r="AF5068">
        <v>433.32769999999999</v>
      </c>
      <c r="AG5068">
        <f>IFERROR(AH5068*0.1, "N/A")</f>
        <v>6.7805040000000005</v>
      </c>
      <c r="AH5068">
        <v>67.805040000000005</v>
      </c>
      <c r="AI5068">
        <v>277.68239999999997</v>
      </c>
      <c r="AJ5068">
        <v>10.458819999999999</v>
      </c>
      <c r="AK5068">
        <v>74.633610000000004</v>
      </c>
    </row>
    <row r="5069" spans="1:37" x14ac:dyDescent="0.3">
      <c r="A5069">
        <v>5068</v>
      </c>
      <c r="B5069">
        <v>17.600000000000001</v>
      </c>
      <c r="C5069">
        <v>3.42963</v>
      </c>
      <c r="D5069">
        <v>14.203900000000001</v>
      </c>
      <c r="E5069" t="s">
        <v>8134</v>
      </c>
      <c r="F5069" t="s">
        <v>8135</v>
      </c>
      <c r="G5069" t="s">
        <v>39</v>
      </c>
      <c r="H5069">
        <v>0</v>
      </c>
      <c r="I5069">
        <v>29.1</v>
      </c>
      <c r="J5069">
        <v>13.9</v>
      </c>
      <c r="K5069">
        <v>56</v>
      </c>
      <c r="L5069">
        <v>29.4</v>
      </c>
      <c r="M5069">
        <v>40.700000000000003</v>
      </c>
      <c r="N5069">
        <v>16.2</v>
      </c>
      <c r="O5069">
        <v>24.5</v>
      </c>
      <c r="P5069">
        <v>28.8</v>
      </c>
      <c r="Q5069">
        <v>27</v>
      </c>
      <c r="R5069">
        <v>32.9</v>
      </c>
      <c r="S5069">
        <v>25.1</v>
      </c>
      <c r="T5069">
        <v>352</v>
      </c>
      <c r="U5069">
        <v>128</v>
      </c>
      <c r="V5069">
        <v>0</v>
      </c>
      <c r="W5069">
        <v>145</v>
      </c>
      <c r="X5069">
        <v>290</v>
      </c>
      <c r="Y5069">
        <v>0</v>
      </c>
      <c r="Z5069">
        <v>58</v>
      </c>
      <c r="AA5069">
        <v>0</v>
      </c>
      <c r="AB5069">
        <v>0.66285400000000005</v>
      </c>
      <c r="AC5069">
        <v>2.9124629999999999E-2</v>
      </c>
      <c r="AD5069">
        <v>1.564775</v>
      </c>
      <c r="AE5069">
        <v>0.65181109999999998</v>
      </c>
      <c r="AF5069">
        <v>224.29750000000001</v>
      </c>
      <c r="AG5069">
        <f>IFERROR(AH5069*0.1, "N/A")</f>
        <v>6.8984870000000003</v>
      </c>
      <c r="AH5069">
        <v>68.984870000000001</v>
      </c>
      <c r="AI5069">
        <v>183.5899</v>
      </c>
      <c r="AJ5069">
        <v>3.0403359999999999</v>
      </c>
      <c r="AK5069">
        <v>92.919330000000002</v>
      </c>
    </row>
    <row r="5070" spans="1:37" x14ac:dyDescent="0.3">
      <c r="A5070">
        <v>5069</v>
      </c>
      <c r="B5070">
        <v>16.7</v>
      </c>
      <c r="C5070">
        <v>5.7084799999999998</v>
      </c>
      <c r="D5070">
        <v>14.2057</v>
      </c>
      <c r="E5070" t="s">
        <v>8136</v>
      </c>
      <c r="F5070" t="s">
        <v>8137</v>
      </c>
      <c r="G5070" t="s">
        <v>39</v>
      </c>
      <c r="H5070">
        <v>0</v>
      </c>
      <c r="I5070">
        <v>28.493110000000001</v>
      </c>
      <c r="J5070">
        <v>14.4</v>
      </c>
      <c r="K5070">
        <v>57</v>
      </c>
      <c r="L5070">
        <v>29.422070000000001</v>
      </c>
      <c r="M5070">
        <v>40.200000000000003</v>
      </c>
      <c r="N5070">
        <v>15.3</v>
      </c>
      <c r="O5070">
        <v>24.9</v>
      </c>
      <c r="P5070">
        <v>28.1</v>
      </c>
      <c r="Q5070">
        <v>26.593109999999999</v>
      </c>
      <c r="R5070">
        <v>32.299999999999997</v>
      </c>
      <c r="S5070">
        <v>24.5</v>
      </c>
      <c r="T5070">
        <v>431</v>
      </c>
      <c r="U5070">
        <v>147</v>
      </c>
      <c r="V5070">
        <v>0</v>
      </c>
      <c r="W5070">
        <v>141</v>
      </c>
      <c r="X5070">
        <v>338</v>
      </c>
      <c r="Y5070">
        <v>0</v>
      </c>
      <c r="Z5070">
        <v>88</v>
      </c>
      <c r="AA5070">
        <v>0</v>
      </c>
      <c r="AB5070">
        <v>5.3707399999999996</v>
      </c>
      <c r="AC5070">
        <v>9.8382829999999998E-3</v>
      </c>
      <c r="AD5070">
        <v>1.258276</v>
      </c>
      <c r="AE5070">
        <v>0.66964380000000001</v>
      </c>
      <c r="AF5070">
        <v>335.80169999999998</v>
      </c>
      <c r="AG5070">
        <f>IFERROR(AH5070*0.1, "N/A")</f>
        <v>7.3857140000000001</v>
      </c>
      <c r="AH5070">
        <v>73.857140000000001</v>
      </c>
      <c r="AI5070">
        <v>225.76779999999999</v>
      </c>
      <c r="AJ5070">
        <v>25.063870000000001</v>
      </c>
      <c r="AK5070">
        <v>59.005040000000001</v>
      </c>
    </row>
    <row r="5071" spans="1:37" x14ac:dyDescent="0.3">
      <c r="A5071">
        <v>5070</v>
      </c>
      <c r="B5071">
        <v>90</v>
      </c>
      <c r="C5071">
        <v>0.9194</v>
      </c>
      <c r="D5071">
        <v>14.206200000000001</v>
      </c>
      <c r="E5071" t="s">
        <v>8138</v>
      </c>
      <c r="F5071" t="s">
        <v>8139</v>
      </c>
      <c r="G5071" t="s">
        <v>39</v>
      </c>
      <c r="H5071">
        <v>0</v>
      </c>
      <c r="I5071">
        <v>29</v>
      </c>
      <c r="J5071">
        <v>14.5</v>
      </c>
      <c r="K5071">
        <v>58</v>
      </c>
      <c r="L5071">
        <v>28.07</v>
      </c>
      <c r="M5071">
        <v>40.5</v>
      </c>
      <c r="N5071">
        <v>15.7</v>
      </c>
      <c r="O5071">
        <v>24.8</v>
      </c>
      <c r="P5071">
        <v>28.8</v>
      </c>
      <c r="Q5071">
        <v>26.9</v>
      </c>
      <c r="R5071">
        <v>32.700000000000003</v>
      </c>
      <c r="S5071">
        <v>25.2</v>
      </c>
      <c r="T5071">
        <v>359</v>
      </c>
      <c r="U5071">
        <v>136</v>
      </c>
      <c r="V5071">
        <v>0</v>
      </c>
      <c r="W5071">
        <v>146</v>
      </c>
      <c r="X5071">
        <v>293</v>
      </c>
      <c r="Y5071">
        <v>0</v>
      </c>
      <c r="Z5071">
        <v>61</v>
      </c>
      <c r="AA5071">
        <v>0</v>
      </c>
      <c r="AB5071">
        <v>3.3710930000000001</v>
      </c>
      <c r="AC5071">
        <v>0.16013930000000001</v>
      </c>
      <c r="AD5071">
        <v>1.690852</v>
      </c>
      <c r="AE5071">
        <v>0.68390340000000005</v>
      </c>
      <c r="AF5071">
        <v>246.4504</v>
      </c>
      <c r="AG5071">
        <f>IFERROR(AH5071*0.1, "N/A")</f>
        <v>6.5917649999999997</v>
      </c>
      <c r="AH5071">
        <v>65.917649999999995</v>
      </c>
      <c r="AI5071">
        <v>253.91229999999999</v>
      </c>
      <c r="AJ5071">
        <v>18.154620000000001</v>
      </c>
      <c r="AK5071">
        <v>62.845379999999999</v>
      </c>
    </row>
    <row r="5072" spans="1:37" x14ac:dyDescent="0.3">
      <c r="A5072">
        <v>5071</v>
      </c>
      <c r="B5072">
        <v>97.7</v>
      </c>
      <c r="C5072">
        <v>0.91939899999999997</v>
      </c>
      <c r="D5072">
        <v>14.206200000000001</v>
      </c>
      <c r="E5072" t="s">
        <v>8140</v>
      </c>
      <c r="F5072" t="s">
        <v>8141</v>
      </c>
      <c r="G5072" t="s">
        <v>39</v>
      </c>
      <c r="H5072">
        <v>0</v>
      </c>
      <c r="I5072">
        <v>29</v>
      </c>
      <c r="J5072">
        <v>14.5</v>
      </c>
      <c r="K5072">
        <v>58</v>
      </c>
      <c r="L5072">
        <v>28.07</v>
      </c>
      <c r="M5072">
        <v>40.5</v>
      </c>
      <c r="N5072">
        <v>15.7</v>
      </c>
      <c r="O5072">
        <v>24.8</v>
      </c>
      <c r="P5072">
        <v>28.8</v>
      </c>
      <c r="Q5072">
        <v>26.9</v>
      </c>
      <c r="R5072">
        <v>32.700000000000003</v>
      </c>
      <c r="S5072">
        <v>25.2</v>
      </c>
      <c r="T5072">
        <v>359</v>
      </c>
      <c r="U5072">
        <v>136</v>
      </c>
      <c r="V5072">
        <v>0</v>
      </c>
      <c r="W5072">
        <v>146</v>
      </c>
      <c r="X5072">
        <v>293</v>
      </c>
      <c r="Y5072">
        <v>0</v>
      </c>
      <c r="Z5072">
        <v>61</v>
      </c>
      <c r="AA5072">
        <v>0</v>
      </c>
      <c r="AB5072">
        <v>3.3710930000000001</v>
      </c>
      <c r="AC5072">
        <v>0.16013930000000001</v>
      </c>
      <c r="AD5072">
        <v>1.690852</v>
      </c>
      <c r="AE5072">
        <v>0.68390340000000005</v>
      </c>
      <c r="AF5072">
        <v>246.4504</v>
      </c>
      <c r="AG5072">
        <f>IFERROR(AH5072*0.1, "N/A")</f>
        <v>6.5917649999999997</v>
      </c>
      <c r="AH5072">
        <v>65.917649999999995</v>
      </c>
      <c r="AI5072">
        <v>253.91229999999999</v>
      </c>
      <c r="AJ5072">
        <v>18.154620000000001</v>
      </c>
      <c r="AK5072">
        <v>62.845379999999999</v>
      </c>
    </row>
    <row r="5073" spans="1:37" x14ac:dyDescent="0.3">
      <c r="A5073">
        <v>5072</v>
      </c>
      <c r="B5073">
        <v>0</v>
      </c>
      <c r="C5073">
        <v>0.91939899999999997</v>
      </c>
      <c r="D5073">
        <v>14.206200000000001</v>
      </c>
      <c r="E5073" t="s">
        <v>8140</v>
      </c>
      <c r="F5073" t="s">
        <v>8142</v>
      </c>
      <c r="G5073" t="s">
        <v>37</v>
      </c>
      <c r="H5073">
        <v>0</v>
      </c>
      <c r="I5073">
        <v>29</v>
      </c>
      <c r="J5073">
        <v>14.5</v>
      </c>
      <c r="K5073">
        <v>58</v>
      </c>
      <c r="L5073">
        <v>28.07</v>
      </c>
      <c r="M5073">
        <v>40.5</v>
      </c>
      <c r="N5073">
        <v>15.7</v>
      </c>
      <c r="O5073">
        <v>24.8</v>
      </c>
      <c r="P5073">
        <v>28.8</v>
      </c>
      <c r="Q5073">
        <v>26.9</v>
      </c>
      <c r="R5073">
        <v>32.700000000000003</v>
      </c>
      <c r="S5073">
        <v>25.2</v>
      </c>
      <c r="T5073">
        <v>359</v>
      </c>
      <c r="U5073">
        <v>136</v>
      </c>
      <c r="V5073">
        <v>0</v>
      </c>
      <c r="W5073">
        <v>146</v>
      </c>
      <c r="X5073">
        <v>293</v>
      </c>
      <c r="Y5073">
        <v>0</v>
      </c>
      <c r="Z5073">
        <v>61</v>
      </c>
      <c r="AA5073">
        <v>0</v>
      </c>
      <c r="AB5073">
        <v>3.3710930000000001</v>
      </c>
      <c r="AC5073">
        <v>0.16013930000000001</v>
      </c>
      <c r="AD5073">
        <v>1.690852</v>
      </c>
      <c r="AE5073">
        <v>0.68390340000000005</v>
      </c>
      <c r="AF5073">
        <v>246.4504</v>
      </c>
      <c r="AG5073">
        <f>IFERROR(AH5073*0.1, "N/A")</f>
        <v>6.5917649999999997</v>
      </c>
      <c r="AH5073">
        <v>65.917649999999995</v>
      </c>
      <c r="AI5073">
        <v>253.91229999999999</v>
      </c>
      <c r="AJ5073">
        <v>18.154620000000001</v>
      </c>
      <c r="AK5073">
        <v>62.845379999999999</v>
      </c>
    </row>
    <row r="5074" spans="1:37" x14ac:dyDescent="0.3">
      <c r="A5074">
        <v>5073</v>
      </c>
      <c r="B5074">
        <v>0</v>
      </c>
      <c r="C5074">
        <v>5.2713000000000001</v>
      </c>
      <c r="D5074">
        <v>14.207599999999999</v>
      </c>
      <c r="E5074" t="s">
        <v>8143</v>
      </c>
      <c r="F5074" t="s">
        <v>8144</v>
      </c>
      <c r="G5074" t="s">
        <v>39</v>
      </c>
      <c r="H5074">
        <v>0</v>
      </c>
      <c r="I5074">
        <v>28.9</v>
      </c>
      <c r="J5074">
        <v>14.3</v>
      </c>
      <c r="K5074">
        <v>57</v>
      </c>
      <c r="L5074">
        <v>29.47</v>
      </c>
      <c r="M5074">
        <v>40.5</v>
      </c>
      <c r="N5074">
        <v>15.5</v>
      </c>
      <c r="O5074">
        <v>25</v>
      </c>
      <c r="P5074">
        <v>28.8</v>
      </c>
      <c r="Q5074">
        <v>26.8</v>
      </c>
      <c r="R5074">
        <v>32.700000000000003</v>
      </c>
      <c r="S5074">
        <v>24.9</v>
      </c>
      <c r="T5074">
        <v>388</v>
      </c>
      <c r="U5074">
        <v>128</v>
      </c>
      <c r="V5074">
        <v>0</v>
      </c>
      <c r="W5074">
        <v>136</v>
      </c>
      <c r="X5074">
        <v>305</v>
      </c>
      <c r="Y5074">
        <v>0</v>
      </c>
      <c r="Z5074">
        <v>78</v>
      </c>
      <c r="AA5074">
        <v>0</v>
      </c>
      <c r="AB5074">
        <v>1.296298</v>
      </c>
      <c r="AC5074">
        <v>1.0789989999999999E-2</v>
      </c>
      <c r="AD5074">
        <v>0.66623189999999999</v>
      </c>
      <c r="AE5074">
        <v>0.59244719999999995</v>
      </c>
      <c r="AF5074">
        <v>276.69869999999997</v>
      </c>
      <c r="AG5074">
        <f>IFERROR(AH5074*0.1, "N/A")</f>
        <v>6.8000000000000007</v>
      </c>
      <c r="AH5074">
        <v>68</v>
      </c>
      <c r="AI5074">
        <v>120.81229999999999</v>
      </c>
      <c r="AJ5074">
        <v>20</v>
      </c>
      <c r="AK5074">
        <v>64</v>
      </c>
    </row>
    <row r="5075" spans="1:37" x14ac:dyDescent="0.3">
      <c r="A5075">
        <v>5074</v>
      </c>
      <c r="B5075">
        <v>5</v>
      </c>
      <c r="C5075">
        <v>5.7477</v>
      </c>
      <c r="D5075">
        <v>14.209899999999999</v>
      </c>
      <c r="E5075" t="s">
        <v>8145</v>
      </c>
      <c r="F5075" t="s">
        <v>8146</v>
      </c>
      <c r="G5075" t="s">
        <v>39</v>
      </c>
      <c r="H5075">
        <v>0</v>
      </c>
      <c r="I5075">
        <v>28.4</v>
      </c>
      <c r="J5075">
        <v>14.4</v>
      </c>
      <c r="K5075">
        <v>57</v>
      </c>
      <c r="L5075">
        <v>29.42</v>
      </c>
      <c r="M5075">
        <v>40.200000000000003</v>
      </c>
      <c r="N5075">
        <v>15.2</v>
      </c>
      <c r="O5075">
        <v>25</v>
      </c>
      <c r="P5075">
        <v>28</v>
      </c>
      <c r="Q5075">
        <v>24.8</v>
      </c>
      <c r="R5075">
        <v>32.299999999999997</v>
      </c>
      <c r="S5075">
        <v>24.5</v>
      </c>
      <c r="T5075">
        <v>433</v>
      </c>
      <c r="U5075">
        <v>148</v>
      </c>
      <c r="V5075">
        <v>0</v>
      </c>
      <c r="W5075">
        <v>137</v>
      </c>
      <c r="X5075">
        <v>340</v>
      </c>
      <c r="Y5075">
        <v>0</v>
      </c>
      <c r="Z5075">
        <v>87</v>
      </c>
      <c r="AA5075">
        <v>0</v>
      </c>
      <c r="AB5075">
        <v>11.07709</v>
      </c>
      <c r="AC5075">
        <v>1.2660360000000001E-2</v>
      </c>
      <c r="AD5075">
        <v>1.5909489999999999</v>
      </c>
      <c r="AE5075">
        <v>0.65403140000000004</v>
      </c>
      <c r="AF5075">
        <v>344.92259999999999</v>
      </c>
      <c r="AG5075">
        <f>IFERROR(AH5075*0.1, "N/A")</f>
        <v>7.2244110000000008</v>
      </c>
      <c r="AH5075">
        <v>72.244110000000006</v>
      </c>
      <c r="AI5075">
        <v>222.88210000000001</v>
      </c>
      <c r="AJ5075">
        <v>25.58249</v>
      </c>
      <c r="AK5075">
        <v>57.447809999999997</v>
      </c>
    </row>
    <row r="5076" spans="1:37" x14ac:dyDescent="0.3">
      <c r="A5076">
        <v>5075</v>
      </c>
      <c r="B5076">
        <v>53.3</v>
      </c>
      <c r="C5076">
        <v>1.45</v>
      </c>
      <c r="D5076">
        <v>14.2111</v>
      </c>
      <c r="E5076" t="s">
        <v>8147</v>
      </c>
      <c r="F5076" t="s">
        <v>8148</v>
      </c>
      <c r="G5076" t="s">
        <v>39</v>
      </c>
      <c r="H5076">
        <v>0</v>
      </c>
      <c r="I5076">
        <v>29.6</v>
      </c>
      <c r="J5076">
        <v>14.1</v>
      </c>
      <c r="K5076">
        <v>57</v>
      </c>
      <c r="L5076">
        <v>29.045649999999998</v>
      </c>
      <c r="M5076">
        <v>41.2</v>
      </c>
      <c r="N5076">
        <v>16.638819999999999</v>
      </c>
      <c r="O5076">
        <v>24.56118</v>
      </c>
      <c r="P5076">
        <v>29.4</v>
      </c>
      <c r="Q5076">
        <v>25.93882</v>
      </c>
      <c r="R5076">
        <v>33.299999999999997</v>
      </c>
      <c r="S5076">
        <v>25.638819999999999</v>
      </c>
      <c r="T5076">
        <v>388.2235</v>
      </c>
      <c r="U5076">
        <v>145.61179999999999</v>
      </c>
      <c r="V5076">
        <v>0</v>
      </c>
      <c r="W5076">
        <v>139.61179999999999</v>
      </c>
      <c r="X5076">
        <v>313.2235</v>
      </c>
      <c r="Y5076">
        <v>0</v>
      </c>
      <c r="Z5076">
        <v>64</v>
      </c>
      <c r="AA5076">
        <v>0</v>
      </c>
      <c r="AB5076">
        <v>18.60941</v>
      </c>
      <c r="AC5076">
        <v>1.458988E-2</v>
      </c>
      <c r="AD5076">
        <v>2.1521129999999999</v>
      </c>
      <c r="AE5076">
        <v>0.50446349999999995</v>
      </c>
      <c r="AF5076">
        <v>214.81180000000001</v>
      </c>
      <c r="AG5076">
        <f>IFERROR(AH5076*0.1, "N/A")</f>
        <v>6.9949580000000005</v>
      </c>
      <c r="AH5076">
        <v>69.949579999999997</v>
      </c>
      <c r="AI5076">
        <v>128.45320000000001</v>
      </c>
      <c r="AJ5076">
        <v>21.588239999999999</v>
      </c>
      <c r="AK5076">
        <v>64.599999999999994</v>
      </c>
    </row>
    <row r="5077" spans="1:37" x14ac:dyDescent="0.3">
      <c r="A5077">
        <v>5076</v>
      </c>
      <c r="B5077">
        <v>3</v>
      </c>
      <c r="C5077">
        <v>3.1915399999999998</v>
      </c>
      <c r="D5077">
        <v>14.213900000000001</v>
      </c>
      <c r="E5077" t="s">
        <v>8149</v>
      </c>
      <c r="F5077" t="s">
        <v>8150</v>
      </c>
      <c r="G5077" t="s">
        <v>39</v>
      </c>
      <c r="H5077">
        <v>0</v>
      </c>
      <c r="I5077">
        <v>28.963699999999999</v>
      </c>
      <c r="J5077">
        <v>14</v>
      </c>
      <c r="K5077">
        <v>57.636969999999998</v>
      </c>
      <c r="L5077">
        <v>28.026990000000001</v>
      </c>
      <c r="M5077">
        <v>40.6</v>
      </c>
      <c r="N5077">
        <v>16.463699999999999</v>
      </c>
      <c r="O5077">
        <v>24.136299999999999</v>
      </c>
      <c r="P5077">
        <v>28.463699999999999</v>
      </c>
      <c r="Q5077">
        <v>27.163699999999999</v>
      </c>
      <c r="R5077">
        <v>32.700000000000003</v>
      </c>
      <c r="S5077">
        <v>25.2637</v>
      </c>
      <c r="T5077">
        <v>390.637</v>
      </c>
      <c r="U5077">
        <v>141</v>
      </c>
      <c r="V5077">
        <v>0</v>
      </c>
      <c r="W5077">
        <v>145</v>
      </c>
      <c r="X5077">
        <v>316.637</v>
      </c>
      <c r="Y5077">
        <v>0</v>
      </c>
      <c r="Z5077">
        <v>70</v>
      </c>
      <c r="AA5077">
        <v>0</v>
      </c>
      <c r="AB5077">
        <v>12.54135</v>
      </c>
      <c r="AC5077">
        <v>8.3608640000000008E-3</v>
      </c>
      <c r="AD5077">
        <v>3.5609160000000002</v>
      </c>
      <c r="AE5077">
        <v>0.1694021</v>
      </c>
      <c r="AF5077">
        <v>254.1849</v>
      </c>
      <c r="AG5077">
        <f>IFERROR(AH5077*0.1, "N/A")</f>
        <v>5.6134450000000005</v>
      </c>
      <c r="AH5077">
        <v>56.134450000000001</v>
      </c>
      <c r="AI5077">
        <v>202.9683</v>
      </c>
      <c r="AJ5077">
        <v>6.6235290000000004</v>
      </c>
      <c r="AK5077">
        <v>82.285709999999995</v>
      </c>
    </row>
    <row r="5078" spans="1:37" x14ac:dyDescent="0.3">
      <c r="A5078">
        <v>5077</v>
      </c>
      <c r="B5078">
        <v>0</v>
      </c>
      <c r="C5078">
        <v>3.1915399999999998</v>
      </c>
      <c r="D5078">
        <v>14.213900000000001</v>
      </c>
      <c r="E5078" t="s">
        <v>8149</v>
      </c>
      <c r="F5078" t="s">
        <v>8151</v>
      </c>
      <c r="G5078" t="s">
        <v>37</v>
      </c>
      <c r="H5078">
        <v>0</v>
      </c>
      <c r="I5078">
        <v>28.963699999999999</v>
      </c>
      <c r="J5078">
        <v>14</v>
      </c>
      <c r="K5078">
        <v>57.636969999999998</v>
      </c>
      <c r="L5078">
        <v>28.026990000000001</v>
      </c>
      <c r="M5078">
        <v>40.6</v>
      </c>
      <c r="N5078">
        <v>16.463699999999999</v>
      </c>
      <c r="O5078">
        <v>24.136299999999999</v>
      </c>
      <c r="P5078">
        <v>28.463699999999999</v>
      </c>
      <c r="Q5078">
        <v>27.163699999999999</v>
      </c>
      <c r="R5078">
        <v>32.700000000000003</v>
      </c>
      <c r="S5078">
        <v>25.2637</v>
      </c>
      <c r="T5078">
        <v>390.637</v>
      </c>
      <c r="U5078">
        <v>141</v>
      </c>
      <c r="V5078">
        <v>0</v>
      </c>
      <c r="W5078">
        <v>145</v>
      </c>
      <c r="X5078">
        <v>316.637</v>
      </c>
      <c r="Y5078">
        <v>0</v>
      </c>
      <c r="Z5078">
        <v>70</v>
      </c>
      <c r="AA5078">
        <v>0</v>
      </c>
      <c r="AB5078">
        <v>12.54135</v>
      </c>
      <c r="AC5078">
        <v>8.3608640000000008E-3</v>
      </c>
      <c r="AD5078">
        <v>3.5609160000000002</v>
      </c>
      <c r="AE5078">
        <v>0.1694021</v>
      </c>
      <c r="AF5078">
        <v>254.1849</v>
      </c>
      <c r="AG5078">
        <f>IFERROR(AH5078*0.1, "N/A")</f>
        <v>5.6134450000000005</v>
      </c>
      <c r="AH5078">
        <v>56.134450000000001</v>
      </c>
      <c r="AI5078">
        <v>202.9683</v>
      </c>
      <c r="AJ5078">
        <v>6.6235290000000004</v>
      </c>
      <c r="AK5078">
        <v>82.285709999999995</v>
      </c>
    </row>
    <row r="5079" spans="1:37" x14ac:dyDescent="0.3">
      <c r="A5079">
        <v>5078</v>
      </c>
      <c r="B5079">
        <v>0</v>
      </c>
      <c r="C5079">
        <v>8.2303700000000006</v>
      </c>
      <c r="D5079">
        <v>14.215199999999999</v>
      </c>
      <c r="E5079" t="s">
        <v>8152</v>
      </c>
      <c r="F5079" t="s">
        <v>8153</v>
      </c>
      <c r="G5079" t="s">
        <v>39</v>
      </c>
      <c r="H5079">
        <v>0</v>
      </c>
      <c r="I5079">
        <v>27.7</v>
      </c>
      <c r="J5079">
        <v>14.5</v>
      </c>
      <c r="K5079">
        <v>56</v>
      </c>
      <c r="L5079">
        <v>31.77</v>
      </c>
      <c r="M5079">
        <v>39.700000000000003</v>
      </c>
      <c r="N5079">
        <v>14.2</v>
      </c>
      <c r="O5079">
        <v>25.5</v>
      </c>
      <c r="P5079">
        <v>27.7</v>
      </c>
      <c r="Q5079">
        <v>25.3</v>
      </c>
      <c r="R5079">
        <v>31.8</v>
      </c>
      <c r="S5079">
        <v>23.3</v>
      </c>
      <c r="T5079">
        <v>300</v>
      </c>
      <c r="U5079">
        <v>121</v>
      </c>
      <c r="V5079">
        <v>0</v>
      </c>
      <c r="W5079">
        <v>155</v>
      </c>
      <c r="X5079">
        <v>261</v>
      </c>
      <c r="Y5079">
        <v>0</v>
      </c>
      <c r="Z5079">
        <v>35</v>
      </c>
      <c r="AA5079">
        <v>0</v>
      </c>
      <c r="AB5079">
        <v>2.685692</v>
      </c>
      <c r="AC5079">
        <v>5.1868209999999998E-2</v>
      </c>
      <c r="AD5079">
        <v>1.8865419999999999</v>
      </c>
      <c r="AE5079">
        <v>0.58748429999999996</v>
      </c>
      <c r="AF5079">
        <v>443.50839999999999</v>
      </c>
      <c r="AG5079">
        <f>IFERROR(AH5079*0.1, "N/A")</f>
        <v>7.3929289999999996</v>
      </c>
      <c r="AH5079">
        <v>73.929289999999995</v>
      </c>
      <c r="AI5079">
        <v>214.83279999999999</v>
      </c>
      <c r="AJ5079">
        <v>9.0707070000000005</v>
      </c>
      <c r="AK5079">
        <v>78.070710000000005</v>
      </c>
    </row>
    <row r="5080" spans="1:37" x14ac:dyDescent="0.3">
      <c r="A5080">
        <v>5079</v>
      </c>
      <c r="B5080">
        <v>0</v>
      </c>
      <c r="C5080">
        <v>8.2303700000000006</v>
      </c>
      <c r="D5080">
        <v>14.215199999999999</v>
      </c>
      <c r="E5080" t="s">
        <v>8152</v>
      </c>
      <c r="F5080" t="s">
        <v>8154</v>
      </c>
      <c r="G5080" t="s">
        <v>37</v>
      </c>
      <c r="H5080">
        <v>0</v>
      </c>
      <c r="I5080">
        <v>27.7</v>
      </c>
      <c r="J5080">
        <v>14.5</v>
      </c>
      <c r="K5080">
        <v>56</v>
      </c>
      <c r="L5080">
        <v>31.77</v>
      </c>
      <c r="M5080">
        <v>39.700000000000003</v>
      </c>
      <c r="N5080">
        <v>14.2</v>
      </c>
      <c r="O5080">
        <v>25.5</v>
      </c>
      <c r="P5080">
        <v>27.7</v>
      </c>
      <c r="Q5080">
        <v>25.3</v>
      </c>
      <c r="R5080">
        <v>31.8</v>
      </c>
      <c r="S5080">
        <v>23.3</v>
      </c>
      <c r="T5080">
        <v>300</v>
      </c>
      <c r="U5080">
        <v>121</v>
      </c>
      <c r="V5080">
        <v>0</v>
      </c>
      <c r="W5080">
        <v>155</v>
      </c>
      <c r="X5080">
        <v>261</v>
      </c>
      <c r="Y5080">
        <v>0</v>
      </c>
      <c r="Z5080">
        <v>35</v>
      </c>
      <c r="AA5080">
        <v>0</v>
      </c>
      <c r="AB5080">
        <v>2.685692</v>
      </c>
      <c r="AC5080">
        <v>5.1868209999999998E-2</v>
      </c>
      <c r="AD5080">
        <v>1.8865419999999999</v>
      </c>
      <c r="AE5080">
        <v>0.58748429999999996</v>
      </c>
      <c r="AF5080">
        <v>443.50839999999999</v>
      </c>
      <c r="AG5080">
        <f>IFERROR(AH5080*0.1, "N/A")</f>
        <v>7.3929289999999996</v>
      </c>
      <c r="AH5080">
        <v>73.929289999999995</v>
      </c>
      <c r="AI5080">
        <v>214.83279999999999</v>
      </c>
      <c r="AJ5080">
        <v>9.0707070000000005</v>
      </c>
      <c r="AK5080">
        <v>78.070710000000005</v>
      </c>
    </row>
    <row r="5081" spans="1:37" x14ac:dyDescent="0.3">
      <c r="A5081">
        <v>5080</v>
      </c>
      <c r="B5081">
        <v>92.3</v>
      </c>
      <c r="C5081">
        <v>1.45139</v>
      </c>
      <c r="D5081">
        <v>14.223599999999999</v>
      </c>
      <c r="E5081" t="s">
        <v>8155</v>
      </c>
      <c r="F5081" t="s">
        <v>8156</v>
      </c>
      <c r="G5081" t="s">
        <v>39</v>
      </c>
      <c r="H5081">
        <v>0</v>
      </c>
      <c r="I5081">
        <v>29.6</v>
      </c>
      <c r="J5081">
        <v>14.1</v>
      </c>
      <c r="K5081">
        <v>57</v>
      </c>
      <c r="L5081">
        <v>29.11</v>
      </c>
      <c r="M5081">
        <v>41.2</v>
      </c>
      <c r="N5081">
        <v>16.600000000000001</v>
      </c>
      <c r="O5081">
        <v>24.6</v>
      </c>
      <c r="P5081">
        <v>29.4</v>
      </c>
      <c r="Q5081">
        <v>25.9</v>
      </c>
      <c r="R5081">
        <v>33.299999999999997</v>
      </c>
      <c r="S5081">
        <v>25.6</v>
      </c>
      <c r="T5081">
        <v>386</v>
      </c>
      <c r="U5081">
        <v>145</v>
      </c>
      <c r="V5081">
        <v>0</v>
      </c>
      <c r="W5081">
        <v>139</v>
      </c>
      <c r="X5081">
        <v>312</v>
      </c>
      <c r="Y5081">
        <v>0</v>
      </c>
      <c r="Z5081">
        <v>64</v>
      </c>
      <c r="AA5081">
        <v>0</v>
      </c>
      <c r="AB5081">
        <v>3.5031889999999999</v>
      </c>
      <c r="AC5081">
        <v>0.1898128</v>
      </c>
      <c r="AD5081">
        <v>1.9702470000000001</v>
      </c>
      <c r="AE5081">
        <v>0.45275700000000002</v>
      </c>
      <c r="AF5081">
        <v>211.4992</v>
      </c>
      <c r="AG5081">
        <f>IFERROR(AH5081*0.1, "N/A")</f>
        <v>6.7618489999999998</v>
      </c>
      <c r="AH5081">
        <v>67.618489999999994</v>
      </c>
      <c r="AI5081">
        <v>223.1396</v>
      </c>
      <c r="AJ5081">
        <v>16.921009999999999</v>
      </c>
      <c r="AK5081">
        <v>65.336129999999997</v>
      </c>
    </row>
    <row r="5082" spans="1:37" x14ac:dyDescent="0.3">
      <c r="A5082">
        <v>5081</v>
      </c>
      <c r="B5082">
        <v>0</v>
      </c>
      <c r="C5082">
        <v>10.1214</v>
      </c>
      <c r="D5082">
        <v>14.2257</v>
      </c>
      <c r="E5082" t="s">
        <v>8157</v>
      </c>
      <c r="F5082" t="s">
        <v>8158</v>
      </c>
      <c r="G5082" t="s">
        <v>39</v>
      </c>
      <c r="H5082">
        <v>0</v>
      </c>
      <c r="I5082">
        <v>27</v>
      </c>
      <c r="J5082">
        <v>15.1</v>
      </c>
      <c r="K5082">
        <v>58</v>
      </c>
      <c r="L5082">
        <v>30.82</v>
      </c>
      <c r="M5082">
        <v>39.4</v>
      </c>
      <c r="N5082">
        <v>13.6</v>
      </c>
      <c r="O5082">
        <v>25.8</v>
      </c>
      <c r="P5082">
        <v>27.1</v>
      </c>
      <c r="Q5082">
        <v>24.6</v>
      </c>
      <c r="R5082">
        <v>31</v>
      </c>
      <c r="S5082">
        <v>22.7</v>
      </c>
      <c r="T5082">
        <v>279</v>
      </c>
      <c r="U5082">
        <v>120</v>
      </c>
      <c r="V5082">
        <v>0</v>
      </c>
      <c r="W5082">
        <v>161</v>
      </c>
      <c r="X5082">
        <v>245</v>
      </c>
      <c r="Y5082">
        <v>0</v>
      </c>
      <c r="Z5082">
        <v>32</v>
      </c>
      <c r="AA5082">
        <v>0</v>
      </c>
      <c r="AB5082">
        <v>3.8957899999999999</v>
      </c>
      <c r="AC5082">
        <v>0.1230523</v>
      </c>
      <c r="AD5082">
        <v>1.500359</v>
      </c>
      <c r="AE5082">
        <v>0.58701760000000003</v>
      </c>
      <c r="AF5082">
        <v>422.61180000000002</v>
      </c>
      <c r="AG5082">
        <f>IFERROR(AH5082*0.1, "N/A")</f>
        <v>6.8000000000000007</v>
      </c>
      <c r="AH5082">
        <v>68</v>
      </c>
      <c r="AI5082">
        <v>179.066</v>
      </c>
      <c r="AJ5082">
        <v>11</v>
      </c>
      <c r="AK5082">
        <v>78</v>
      </c>
    </row>
    <row r="5083" spans="1:37" x14ac:dyDescent="0.3">
      <c r="A5083">
        <v>5082</v>
      </c>
      <c r="B5083">
        <v>0</v>
      </c>
      <c r="C5083">
        <v>10.1214</v>
      </c>
      <c r="D5083">
        <v>14.2257</v>
      </c>
      <c r="E5083" t="s">
        <v>8157</v>
      </c>
      <c r="F5083" t="s">
        <v>8159</v>
      </c>
      <c r="G5083" t="s">
        <v>37</v>
      </c>
      <c r="H5083">
        <v>0</v>
      </c>
      <c r="I5083">
        <v>27</v>
      </c>
      <c r="J5083">
        <v>15.1</v>
      </c>
      <c r="K5083">
        <v>58</v>
      </c>
      <c r="L5083">
        <v>30.82</v>
      </c>
      <c r="M5083">
        <v>39.4</v>
      </c>
      <c r="N5083">
        <v>13.6</v>
      </c>
      <c r="O5083">
        <v>25.8</v>
      </c>
      <c r="P5083">
        <v>27.1</v>
      </c>
      <c r="Q5083">
        <v>24.6</v>
      </c>
      <c r="R5083">
        <v>31</v>
      </c>
      <c r="S5083">
        <v>22.7</v>
      </c>
      <c r="T5083">
        <v>279</v>
      </c>
      <c r="U5083">
        <v>120</v>
      </c>
      <c r="V5083">
        <v>0</v>
      </c>
      <c r="W5083">
        <v>161</v>
      </c>
      <c r="X5083">
        <v>245</v>
      </c>
      <c r="Y5083">
        <v>0</v>
      </c>
      <c r="Z5083">
        <v>32</v>
      </c>
      <c r="AA5083">
        <v>0</v>
      </c>
      <c r="AB5083">
        <v>3.8957899999999999</v>
      </c>
      <c r="AC5083">
        <v>0.1230523</v>
      </c>
      <c r="AD5083">
        <v>1.500359</v>
      </c>
      <c r="AE5083">
        <v>0.58701760000000003</v>
      </c>
      <c r="AF5083">
        <v>422.61180000000002</v>
      </c>
      <c r="AG5083">
        <f>IFERROR(AH5083*0.1, "N/A")</f>
        <v>6.8000000000000007</v>
      </c>
      <c r="AH5083">
        <v>68</v>
      </c>
      <c r="AI5083">
        <v>179.066</v>
      </c>
      <c r="AJ5083">
        <v>11</v>
      </c>
      <c r="AK5083">
        <v>78</v>
      </c>
    </row>
    <row r="5084" spans="1:37" x14ac:dyDescent="0.3">
      <c r="A5084">
        <v>5083</v>
      </c>
      <c r="B5084">
        <v>75.3</v>
      </c>
      <c r="C5084">
        <v>10.048500000000001</v>
      </c>
      <c r="D5084">
        <v>14.2278</v>
      </c>
      <c r="E5084" t="s">
        <v>8160</v>
      </c>
      <c r="F5084" t="s">
        <v>8161</v>
      </c>
      <c r="G5084" t="s">
        <v>39</v>
      </c>
      <c r="H5084">
        <v>0</v>
      </c>
      <c r="I5084">
        <v>27.1</v>
      </c>
      <c r="J5084">
        <v>15</v>
      </c>
      <c r="K5084">
        <v>58</v>
      </c>
      <c r="L5084">
        <v>30.7</v>
      </c>
      <c r="M5084">
        <v>39.4</v>
      </c>
      <c r="N5084">
        <v>13.8</v>
      </c>
      <c r="O5084">
        <v>25.6</v>
      </c>
      <c r="P5084">
        <v>27.3</v>
      </c>
      <c r="Q5084">
        <v>24.7</v>
      </c>
      <c r="R5084">
        <v>31.1</v>
      </c>
      <c r="S5084">
        <v>22.8</v>
      </c>
      <c r="T5084">
        <v>277</v>
      </c>
      <c r="U5084">
        <v>119</v>
      </c>
      <c r="V5084">
        <v>0</v>
      </c>
      <c r="W5084">
        <v>159</v>
      </c>
      <c r="X5084">
        <v>242</v>
      </c>
      <c r="Y5084">
        <v>0</v>
      </c>
      <c r="Z5084">
        <v>33</v>
      </c>
      <c r="AA5084">
        <v>0</v>
      </c>
      <c r="AB5084">
        <v>0.80657590000000001</v>
      </c>
      <c r="AC5084">
        <v>5.8185419999999999</v>
      </c>
      <c r="AD5084">
        <v>1.4696</v>
      </c>
      <c r="AE5084">
        <v>0.15772169999999999</v>
      </c>
      <c r="AF5084">
        <v>409.3322</v>
      </c>
      <c r="AG5084">
        <f>IFERROR(AH5084*0.1, "N/A")</f>
        <v>6.924283</v>
      </c>
      <c r="AH5084">
        <v>69.242829999999998</v>
      </c>
      <c r="AI5084">
        <v>209.34700000000001</v>
      </c>
      <c r="AJ5084">
        <v>14.74705</v>
      </c>
      <c r="AK5084">
        <v>73.414839999999998</v>
      </c>
    </row>
    <row r="5085" spans="1:37" x14ac:dyDescent="0.3">
      <c r="A5085">
        <v>5084</v>
      </c>
      <c r="B5085">
        <v>95</v>
      </c>
      <c r="C5085">
        <v>1.4464999999999999</v>
      </c>
      <c r="D5085">
        <v>14.2285</v>
      </c>
      <c r="E5085" t="s">
        <v>8162</v>
      </c>
      <c r="F5085" t="s">
        <v>8163</v>
      </c>
      <c r="G5085" t="s">
        <v>39</v>
      </c>
      <c r="H5085">
        <v>0</v>
      </c>
      <c r="I5085">
        <v>29.6</v>
      </c>
      <c r="J5085">
        <v>14.1</v>
      </c>
      <c r="K5085">
        <v>57</v>
      </c>
      <c r="L5085">
        <v>28.98</v>
      </c>
      <c r="M5085">
        <v>41.2</v>
      </c>
      <c r="N5085">
        <v>16.7</v>
      </c>
      <c r="O5085">
        <v>24.5</v>
      </c>
      <c r="P5085">
        <v>29.5</v>
      </c>
      <c r="Q5085">
        <v>26</v>
      </c>
      <c r="R5085">
        <v>33.299999999999997</v>
      </c>
      <c r="S5085">
        <v>25.6</v>
      </c>
      <c r="T5085">
        <v>382</v>
      </c>
      <c r="U5085">
        <v>144</v>
      </c>
      <c r="V5085">
        <v>0</v>
      </c>
      <c r="W5085">
        <v>142</v>
      </c>
      <c r="X5085">
        <v>309</v>
      </c>
      <c r="Y5085">
        <v>0</v>
      </c>
      <c r="Z5085">
        <v>63</v>
      </c>
      <c r="AA5085">
        <v>0</v>
      </c>
      <c r="AB5085">
        <v>2.9407700000000001</v>
      </c>
      <c r="AC5085">
        <v>6.0761089999999997E-2</v>
      </c>
      <c r="AD5085">
        <v>3.2084830000000002</v>
      </c>
      <c r="AE5085">
        <v>0.58158980000000005</v>
      </c>
      <c r="AF5085">
        <v>207.7483</v>
      </c>
      <c r="AG5085">
        <f>IFERROR(AH5085*0.1, "N/A")</f>
        <v>6.8000000000000007</v>
      </c>
      <c r="AH5085">
        <v>68</v>
      </c>
      <c r="AI5085">
        <v>117.9496</v>
      </c>
      <c r="AJ5085">
        <v>18.585570000000001</v>
      </c>
      <c r="AK5085">
        <v>64.828860000000006</v>
      </c>
    </row>
    <row r="5086" spans="1:37" x14ac:dyDescent="0.3">
      <c r="A5086">
        <v>5085</v>
      </c>
      <c r="B5086">
        <v>0</v>
      </c>
      <c r="C5086">
        <v>1.4464999999999999</v>
      </c>
      <c r="D5086">
        <v>14.2285</v>
      </c>
      <c r="E5086" t="s">
        <v>8162</v>
      </c>
      <c r="F5086" t="s">
        <v>8164</v>
      </c>
      <c r="G5086" t="s">
        <v>37</v>
      </c>
      <c r="H5086">
        <v>0</v>
      </c>
      <c r="I5086">
        <v>29.6</v>
      </c>
      <c r="J5086">
        <v>14.1</v>
      </c>
      <c r="K5086">
        <v>57</v>
      </c>
      <c r="L5086">
        <v>28.98</v>
      </c>
      <c r="M5086">
        <v>41.2</v>
      </c>
      <c r="N5086">
        <v>16.7</v>
      </c>
      <c r="O5086">
        <v>24.5</v>
      </c>
      <c r="P5086">
        <v>29.5</v>
      </c>
      <c r="Q5086">
        <v>26</v>
      </c>
      <c r="R5086">
        <v>33.299999999999997</v>
      </c>
      <c r="S5086">
        <v>25.6</v>
      </c>
      <c r="T5086">
        <v>382</v>
      </c>
      <c r="U5086">
        <v>144</v>
      </c>
      <c r="V5086">
        <v>0</v>
      </c>
      <c r="W5086">
        <v>142</v>
      </c>
      <c r="X5086">
        <v>309</v>
      </c>
      <c r="Y5086">
        <v>0</v>
      </c>
      <c r="Z5086">
        <v>63</v>
      </c>
      <c r="AA5086">
        <v>0</v>
      </c>
      <c r="AB5086">
        <v>2.9407700000000001</v>
      </c>
      <c r="AC5086">
        <v>6.0761089999999997E-2</v>
      </c>
      <c r="AD5086">
        <v>3.2084830000000002</v>
      </c>
      <c r="AE5086">
        <v>0.58158980000000005</v>
      </c>
      <c r="AF5086">
        <v>207.7483</v>
      </c>
      <c r="AG5086">
        <f>IFERROR(AH5086*0.1, "N/A")</f>
        <v>6.8000000000000007</v>
      </c>
      <c r="AH5086">
        <v>68</v>
      </c>
      <c r="AI5086">
        <v>117.9496</v>
      </c>
      <c r="AJ5086">
        <v>18.585570000000001</v>
      </c>
      <c r="AK5086">
        <v>64.828860000000006</v>
      </c>
    </row>
    <row r="5087" spans="1:37" x14ac:dyDescent="0.3">
      <c r="A5087">
        <v>5086</v>
      </c>
      <c r="B5087">
        <v>8.9</v>
      </c>
      <c r="C5087">
        <v>2.11389</v>
      </c>
      <c r="D5087">
        <v>14.238899999999999</v>
      </c>
      <c r="E5087" t="s">
        <v>8165</v>
      </c>
      <c r="F5087" t="s">
        <v>8166</v>
      </c>
      <c r="G5087" t="s">
        <v>39</v>
      </c>
      <c r="H5087">
        <v>0</v>
      </c>
      <c r="I5087">
        <v>29.4</v>
      </c>
      <c r="J5087">
        <v>14.3</v>
      </c>
      <c r="K5087">
        <v>57</v>
      </c>
      <c r="L5087">
        <v>29.26</v>
      </c>
      <c r="M5087">
        <v>41.1</v>
      </c>
      <c r="N5087">
        <v>16.100000000000001</v>
      </c>
      <c r="O5087">
        <v>25</v>
      </c>
      <c r="P5087">
        <v>29.1</v>
      </c>
      <c r="Q5087">
        <v>27.3</v>
      </c>
      <c r="R5087">
        <v>33.1</v>
      </c>
      <c r="S5087">
        <v>25.4</v>
      </c>
      <c r="T5087">
        <v>363</v>
      </c>
      <c r="U5087">
        <v>131</v>
      </c>
      <c r="V5087">
        <v>0</v>
      </c>
      <c r="W5087">
        <v>140</v>
      </c>
      <c r="X5087">
        <v>295</v>
      </c>
      <c r="Y5087">
        <v>0</v>
      </c>
      <c r="Z5087">
        <v>62</v>
      </c>
      <c r="AA5087">
        <v>0</v>
      </c>
      <c r="AB5087">
        <v>8.0496649999999992</v>
      </c>
      <c r="AC5087">
        <v>2.3321660000000001E-2</v>
      </c>
      <c r="AD5087">
        <v>1.0546340000000001</v>
      </c>
      <c r="AE5087">
        <v>0.33144980000000002</v>
      </c>
      <c r="AF5087">
        <v>223.28790000000001</v>
      </c>
      <c r="AG5087">
        <f>IFERROR(AH5087*0.1, "N/A")</f>
        <v>6.9587540000000008</v>
      </c>
      <c r="AH5087">
        <v>69.587540000000004</v>
      </c>
      <c r="AI5087">
        <v>190.65629999999999</v>
      </c>
      <c r="AJ5087">
        <v>18.27441</v>
      </c>
      <c r="AK5087">
        <v>66.183499999999995</v>
      </c>
    </row>
    <row r="5088" spans="1:37" x14ac:dyDescent="0.3">
      <c r="A5088">
        <v>5087</v>
      </c>
      <c r="B5088">
        <v>67.5</v>
      </c>
      <c r="C5088">
        <v>1.5310699999999999</v>
      </c>
      <c r="D5088">
        <v>14.2402</v>
      </c>
      <c r="E5088" t="s">
        <v>8167</v>
      </c>
      <c r="F5088" t="s">
        <v>8168</v>
      </c>
      <c r="G5088" t="s">
        <v>39</v>
      </c>
      <c r="H5088">
        <v>0</v>
      </c>
      <c r="I5088">
        <v>29.6</v>
      </c>
      <c r="J5088">
        <v>14.1</v>
      </c>
      <c r="K5088">
        <v>57</v>
      </c>
      <c r="L5088">
        <v>29.14</v>
      </c>
      <c r="M5088">
        <v>41.2</v>
      </c>
      <c r="N5088">
        <v>16.600000000000001</v>
      </c>
      <c r="O5088">
        <v>24.6</v>
      </c>
      <c r="P5088">
        <v>29.4</v>
      </c>
      <c r="Q5088">
        <v>25.9</v>
      </c>
      <c r="R5088">
        <v>33.299999999999997</v>
      </c>
      <c r="S5088">
        <v>25.5</v>
      </c>
      <c r="T5088">
        <v>385</v>
      </c>
      <c r="U5088">
        <v>146</v>
      </c>
      <c r="V5088">
        <v>0</v>
      </c>
      <c r="W5088">
        <v>140</v>
      </c>
      <c r="X5088">
        <v>312</v>
      </c>
      <c r="Y5088">
        <v>0</v>
      </c>
      <c r="Z5088">
        <v>63</v>
      </c>
      <c r="AA5088">
        <v>0</v>
      </c>
      <c r="AB5088">
        <v>1.2921180000000001</v>
      </c>
      <c r="AC5088">
        <v>1.057144E-2</v>
      </c>
      <c r="AD5088">
        <v>1.616344</v>
      </c>
      <c r="AE5088">
        <v>0.40385310000000002</v>
      </c>
      <c r="AF5088">
        <v>214.4648</v>
      </c>
      <c r="AG5088">
        <f>IFERROR(AH5088*0.1, "N/A")</f>
        <v>6.4068790000000009</v>
      </c>
      <c r="AH5088">
        <v>64.068790000000007</v>
      </c>
      <c r="AI5088">
        <v>185.31460000000001</v>
      </c>
      <c r="AJ5088">
        <v>17.80705</v>
      </c>
      <c r="AK5088">
        <v>67.001679999999993</v>
      </c>
    </row>
    <row r="5089" spans="1:37" x14ac:dyDescent="0.3">
      <c r="A5089">
        <v>5088</v>
      </c>
      <c r="B5089">
        <v>0</v>
      </c>
      <c r="C5089">
        <v>6.4127299999999998</v>
      </c>
      <c r="D5089">
        <v>14.2416</v>
      </c>
      <c r="E5089" t="s">
        <v>8169</v>
      </c>
      <c r="F5089" t="s">
        <v>8170</v>
      </c>
      <c r="G5089" t="s">
        <v>39</v>
      </c>
      <c r="H5089">
        <v>0</v>
      </c>
      <c r="I5089">
        <v>27.727989999999998</v>
      </c>
      <c r="J5089">
        <v>14.572010000000001</v>
      </c>
      <c r="K5089">
        <v>57</v>
      </c>
      <c r="L5089">
        <v>30.197569999999999</v>
      </c>
      <c r="M5089">
        <v>39.700000000000003</v>
      </c>
      <c r="N5089">
        <v>14.4</v>
      </c>
      <c r="O5089">
        <v>25.3</v>
      </c>
      <c r="P5089">
        <v>27.32799</v>
      </c>
      <c r="Q5089">
        <v>25.727989999999998</v>
      </c>
      <c r="R5089">
        <v>31.755990000000001</v>
      </c>
      <c r="S5089">
        <v>23.7</v>
      </c>
      <c r="T5089">
        <v>372.7201</v>
      </c>
      <c r="U5089">
        <v>148</v>
      </c>
      <c r="V5089">
        <v>0</v>
      </c>
      <c r="W5089">
        <v>150.7201</v>
      </c>
      <c r="X5089">
        <v>317.7201</v>
      </c>
      <c r="Y5089">
        <v>0</v>
      </c>
      <c r="Z5089">
        <v>52</v>
      </c>
      <c r="AA5089">
        <v>0</v>
      </c>
      <c r="AB5089">
        <v>4.4654109999999996</v>
      </c>
      <c r="AC5089">
        <v>3.6390470000000001E-2</v>
      </c>
      <c r="AD5089">
        <v>1.1190899999999999</v>
      </c>
      <c r="AE5089">
        <v>0.68835279999999999</v>
      </c>
      <c r="AF5089">
        <v>382.7808</v>
      </c>
      <c r="AG5089">
        <f>IFERROR(AH5089*0.1, "N/A")</f>
        <v>6.4951100000000004</v>
      </c>
      <c r="AH5089">
        <v>64.951099999999997</v>
      </c>
      <c r="AI5089">
        <v>180.44239999999999</v>
      </c>
      <c r="AJ5089">
        <v>13.03373</v>
      </c>
      <c r="AK5089">
        <v>75.868470000000002</v>
      </c>
    </row>
    <row r="5090" spans="1:37" x14ac:dyDescent="0.3">
      <c r="A5090">
        <v>5089</v>
      </c>
      <c r="B5090">
        <v>0</v>
      </c>
      <c r="C5090">
        <v>6.4127299999999998</v>
      </c>
      <c r="D5090">
        <v>14.2416</v>
      </c>
      <c r="E5090" t="s">
        <v>8169</v>
      </c>
      <c r="F5090" t="s">
        <v>8171</v>
      </c>
      <c r="G5090" t="s">
        <v>37</v>
      </c>
      <c r="H5090">
        <v>0</v>
      </c>
      <c r="I5090">
        <v>27.727989999999998</v>
      </c>
      <c r="J5090">
        <v>14.572010000000001</v>
      </c>
      <c r="K5090">
        <v>57</v>
      </c>
      <c r="L5090">
        <v>30.197569999999999</v>
      </c>
      <c r="M5090">
        <v>39.700000000000003</v>
      </c>
      <c r="N5090">
        <v>14.4</v>
      </c>
      <c r="O5090">
        <v>25.3</v>
      </c>
      <c r="P5090">
        <v>27.32799</v>
      </c>
      <c r="Q5090">
        <v>25.727989999999998</v>
      </c>
      <c r="R5090">
        <v>31.755990000000001</v>
      </c>
      <c r="S5090">
        <v>23.7</v>
      </c>
      <c r="T5090">
        <v>372.7201</v>
      </c>
      <c r="U5090">
        <v>148</v>
      </c>
      <c r="V5090">
        <v>0</v>
      </c>
      <c r="W5090">
        <v>150.7201</v>
      </c>
      <c r="X5090">
        <v>317.7201</v>
      </c>
      <c r="Y5090">
        <v>0</v>
      </c>
      <c r="Z5090">
        <v>52</v>
      </c>
      <c r="AA5090">
        <v>0</v>
      </c>
      <c r="AB5090">
        <v>4.4654109999999996</v>
      </c>
      <c r="AC5090">
        <v>3.6390470000000001E-2</v>
      </c>
      <c r="AD5090">
        <v>1.1190899999999999</v>
      </c>
      <c r="AE5090">
        <v>0.68835279999999999</v>
      </c>
      <c r="AF5090">
        <v>382.7808</v>
      </c>
      <c r="AG5090">
        <f>IFERROR(AH5090*0.1, "N/A")</f>
        <v>6.4951100000000004</v>
      </c>
      <c r="AH5090">
        <v>64.951099999999997</v>
      </c>
      <c r="AI5090">
        <v>180.44239999999999</v>
      </c>
      <c r="AJ5090">
        <v>13.03373</v>
      </c>
      <c r="AK5090">
        <v>75.868470000000002</v>
      </c>
    </row>
    <row r="5091" spans="1:37" x14ac:dyDescent="0.3">
      <c r="A5091">
        <v>5090</v>
      </c>
      <c r="B5091">
        <v>20</v>
      </c>
      <c r="C5091">
        <v>3.2968999999999999</v>
      </c>
      <c r="D5091">
        <v>14.2423</v>
      </c>
      <c r="E5091" t="s">
        <v>8172</v>
      </c>
      <c r="F5091" t="s">
        <v>8173</v>
      </c>
      <c r="G5091" t="s">
        <v>39</v>
      </c>
      <c r="H5091">
        <v>0</v>
      </c>
      <c r="I5091">
        <v>29.1</v>
      </c>
      <c r="J5091">
        <v>13.9</v>
      </c>
      <c r="K5091">
        <v>57</v>
      </c>
      <c r="L5091">
        <v>28.78558</v>
      </c>
      <c r="M5091">
        <v>40.700000000000003</v>
      </c>
      <c r="N5091">
        <v>16.399999999999999</v>
      </c>
      <c r="O5091">
        <v>24.3</v>
      </c>
      <c r="P5091">
        <v>28.7</v>
      </c>
      <c r="Q5091">
        <v>27.1</v>
      </c>
      <c r="R5091">
        <v>32.9</v>
      </c>
      <c r="S5091">
        <v>25.2</v>
      </c>
      <c r="T5091">
        <v>365.83980000000003</v>
      </c>
      <c r="U5091">
        <v>132</v>
      </c>
      <c r="V5091">
        <v>0</v>
      </c>
      <c r="W5091">
        <v>145</v>
      </c>
      <c r="X5091">
        <v>299</v>
      </c>
      <c r="Y5091">
        <v>0</v>
      </c>
      <c r="Z5091">
        <v>62</v>
      </c>
      <c r="AA5091">
        <v>0</v>
      </c>
      <c r="AB5091">
        <v>5.2116429999999996</v>
      </c>
      <c r="AC5091">
        <v>3.8473159999999999E-2</v>
      </c>
      <c r="AD5091">
        <v>1.4573659999999999</v>
      </c>
      <c r="AE5091">
        <v>0.28149689999999999</v>
      </c>
      <c r="AF5091">
        <v>223.1096</v>
      </c>
      <c r="AG5091">
        <f>IFERROR(AH5091*0.1, "N/A")</f>
        <v>6.2300170000000001</v>
      </c>
      <c r="AH5091">
        <v>62.300170000000001</v>
      </c>
      <c r="AI5091">
        <v>187.34100000000001</v>
      </c>
      <c r="AJ5091">
        <v>15.24958</v>
      </c>
      <c r="AK5091">
        <v>72.200670000000002</v>
      </c>
    </row>
    <row r="5092" spans="1:37" x14ac:dyDescent="0.3">
      <c r="A5092">
        <v>5091</v>
      </c>
      <c r="B5092">
        <v>20</v>
      </c>
      <c r="C5092">
        <v>7.5328099999999996</v>
      </c>
      <c r="D5092">
        <v>14.2454</v>
      </c>
      <c r="E5092" t="s">
        <v>8174</v>
      </c>
      <c r="F5092" t="s">
        <v>8175</v>
      </c>
      <c r="G5092" t="s">
        <v>39</v>
      </c>
      <c r="H5092">
        <v>0</v>
      </c>
      <c r="I5092">
        <v>27.7</v>
      </c>
      <c r="J5092">
        <v>14.6</v>
      </c>
      <c r="K5092">
        <v>56</v>
      </c>
      <c r="L5092">
        <v>31.916060000000002</v>
      </c>
      <c r="M5092">
        <v>39.714599999999997</v>
      </c>
      <c r="N5092">
        <v>14</v>
      </c>
      <c r="O5092">
        <v>25.714600000000001</v>
      </c>
      <c r="P5092">
        <v>27.7</v>
      </c>
      <c r="Q5092">
        <v>25.3</v>
      </c>
      <c r="R5092">
        <v>31.9</v>
      </c>
      <c r="S5092">
        <v>23.285399999999999</v>
      </c>
      <c r="T5092">
        <v>308.2919</v>
      </c>
      <c r="U5092">
        <v>118.146</v>
      </c>
      <c r="V5092">
        <v>0</v>
      </c>
      <c r="W5092">
        <v>153.14599999999999</v>
      </c>
      <c r="X5092">
        <v>262.14600000000002</v>
      </c>
      <c r="Y5092">
        <v>0</v>
      </c>
      <c r="Z5092">
        <v>43.145969999999998</v>
      </c>
      <c r="AA5092">
        <v>0</v>
      </c>
      <c r="AB5092">
        <v>3.2119179999999998</v>
      </c>
      <c r="AC5092">
        <v>6.185595E-2</v>
      </c>
      <c r="AD5092">
        <v>2.0066109999999999</v>
      </c>
      <c r="AE5092">
        <v>0.68837490000000001</v>
      </c>
      <c r="AF5092">
        <v>416.39600000000002</v>
      </c>
      <c r="AG5092">
        <f>IFERROR(AH5092*0.1, "N/A")</f>
        <v>7.685403</v>
      </c>
      <c r="AH5092">
        <v>76.854029999999995</v>
      </c>
      <c r="AI5092">
        <v>149.6454</v>
      </c>
      <c r="AJ5092">
        <v>12.14597</v>
      </c>
      <c r="AK5092">
        <v>72</v>
      </c>
    </row>
    <row r="5093" spans="1:37" x14ac:dyDescent="0.3">
      <c r="A5093">
        <v>5092</v>
      </c>
      <c r="B5093">
        <v>0</v>
      </c>
      <c r="C5093">
        <v>7.5328099999999996</v>
      </c>
      <c r="D5093">
        <v>14.2454</v>
      </c>
      <c r="E5093" t="s">
        <v>8174</v>
      </c>
      <c r="F5093" t="s">
        <v>8176</v>
      </c>
      <c r="G5093" t="s">
        <v>37</v>
      </c>
      <c r="H5093">
        <v>0</v>
      </c>
      <c r="I5093">
        <v>27.7</v>
      </c>
      <c r="J5093">
        <v>14.6</v>
      </c>
      <c r="K5093">
        <v>56</v>
      </c>
      <c r="L5093">
        <v>31.916060000000002</v>
      </c>
      <c r="M5093">
        <v>39.714599999999997</v>
      </c>
      <c r="N5093">
        <v>14</v>
      </c>
      <c r="O5093">
        <v>25.714600000000001</v>
      </c>
      <c r="P5093">
        <v>27.7</v>
      </c>
      <c r="Q5093">
        <v>25.3</v>
      </c>
      <c r="R5093">
        <v>31.9</v>
      </c>
      <c r="S5093">
        <v>23.285399999999999</v>
      </c>
      <c r="T5093">
        <v>308.2919</v>
      </c>
      <c r="U5093">
        <v>118.146</v>
      </c>
      <c r="V5093">
        <v>0</v>
      </c>
      <c r="W5093">
        <v>153.14599999999999</v>
      </c>
      <c r="X5093">
        <v>262.14600000000002</v>
      </c>
      <c r="Y5093">
        <v>0</v>
      </c>
      <c r="Z5093">
        <v>43.145969999999998</v>
      </c>
      <c r="AA5093">
        <v>0</v>
      </c>
      <c r="AB5093">
        <v>3.2119179999999998</v>
      </c>
      <c r="AC5093">
        <v>6.185595E-2</v>
      </c>
      <c r="AD5093">
        <v>2.0066109999999999</v>
      </c>
      <c r="AE5093">
        <v>0.68837490000000001</v>
      </c>
      <c r="AF5093">
        <v>416.39600000000002</v>
      </c>
      <c r="AG5093">
        <f>IFERROR(AH5093*0.1, "N/A")</f>
        <v>7.685403</v>
      </c>
      <c r="AH5093">
        <v>76.854029999999995</v>
      </c>
      <c r="AI5093">
        <v>149.6454</v>
      </c>
      <c r="AJ5093">
        <v>12.14597</v>
      </c>
      <c r="AK5093">
        <v>72</v>
      </c>
    </row>
    <row r="5094" spans="1:37" x14ac:dyDescent="0.3">
      <c r="A5094">
        <v>5093</v>
      </c>
      <c r="B5094">
        <v>0</v>
      </c>
      <c r="C5094">
        <v>13.117000000000001</v>
      </c>
      <c r="D5094">
        <v>14.250999999999999</v>
      </c>
      <c r="E5094" t="s">
        <v>8177</v>
      </c>
      <c r="F5094" t="s">
        <v>8178</v>
      </c>
      <c r="G5094" t="s">
        <v>39</v>
      </c>
      <c r="H5094">
        <v>1987</v>
      </c>
      <c r="I5094">
        <v>27.496970000000001</v>
      </c>
      <c r="J5094">
        <v>15.1</v>
      </c>
      <c r="K5094">
        <v>55</v>
      </c>
      <c r="L5094">
        <v>38.275149999999996</v>
      </c>
      <c r="M5094">
        <v>40.096969999999999</v>
      </c>
      <c r="N5094">
        <v>12.70303</v>
      </c>
      <c r="O5094">
        <v>27.393940000000001</v>
      </c>
      <c r="P5094">
        <v>29.596969999999999</v>
      </c>
      <c r="Q5094">
        <v>23.7</v>
      </c>
      <c r="R5094">
        <v>31.4</v>
      </c>
      <c r="S5094">
        <v>21.7</v>
      </c>
      <c r="T5094">
        <v>199.03030000000001</v>
      </c>
      <c r="U5094">
        <v>106</v>
      </c>
      <c r="V5094">
        <v>0</v>
      </c>
      <c r="W5094">
        <v>183</v>
      </c>
      <c r="X5094">
        <v>181</v>
      </c>
      <c r="Y5094">
        <v>0</v>
      </c>
      <c r="Z5094">
        <v>72</v>
      </c>
      <c r="AA5094">
        <v>0</v>
      </c>
      <c r="AB5094">
        <v>2.5835020000000002</v>
      </c>
      <c r="AC5094">
        <v>2.9419089999999998E-2</v>
      </c>
      <c r="AD5094">
        <v>0.46476000000000001</v>
      </c>
      <c r="AE5094">
        <v>0.30386010000000002</v>
      </c>
      <c r="AF5094">
        <v>283.67169999999999</v>
      </c>
      <c r="AG5094">
        <f>IFERROR(AH5094*0.1, "N/A")</f>
        <v>7.9409090000000013</v>
      </c>
      <c r="AH5094">
        <v>79.409090000000006</v>
      </c>
      <c r="AI5094">
        <v>173.91419999999999</v>
      </c>
      <c r="AJ5094">
        <v>14.575760000000001</v>
      </c>
      <c r="AK5094">
        <v>73.424239999999998</v>
      </c>
    </row>
    <row r="5095" spans="1:37" x14ac:dyDescent="0.3">
      <c r="A5095">
        <v>5094</v>
      </c>
      <c r="B5095">
        <v>3.3</v>
      </c>
      <c r="C5095">
        <v>5.7680999999999996</v>
      </c>
      <c r="D5095">
        <v>14.2758</v>
      </c>
      <c r="E5095" t="s">
        <v>8179</v>
      </c>
      <c r="F5095" t="s">
        <v>8180</v>
      </c>
      <c r="G5095" t="s">
        <v>39</v>
      </c>
      <c r="H5095">
        <v>0</v>
      </c>
      <c r="I5095">
        <v>28.302679999999999</v>
      </c>
      <c r="J5095">
        <v>14.4</v>
      </c>
      <c r="K5095">
        <v>57</v>
      </c>
      <c r="L5095">
        <v>29.807860000000002</v>
      </c>
      <c r="M5095">
        <v>40.102679999999999</v>
      </c>
      <c r="N5095">
        <v>15.102679999999999</v>
      </c>
      <c r="O5095">
        <v>25</v>
      </c>
      <c r="P5095">
        <v>27.90268</v>
      </c>
      <c r="Q5095">
        <v>24.602679999999999</v>
      </c>
      <c r="R5095">
        <v>32.202680000000001</v>
      </c>
      <c r="S5095">
        <v>24.302679999999999</v>
      </c>
      <c r="T5095">
        <v>428.05360000000002</v>
      </c>
      <c r="U5095">
        <v>148</v>
      </c>
      <c r="V5095">
        <v>0</v>
      </c>
      <c r="W5095">
        <v>140.02680000000001</v>
      </c>
      <c r="X5095">
        <v>338.02679999999998</v>
      </c>
      <c r="Y5095">
        <v>0</v>
      </c>
      <c r="Z5095">
        <v>84.026799999999994</v>
      </c>
      <c r="AA5095">
        <v>0</v>
      </c>
      <c r="AB5095">
        <v>2.9944600000000001</v>
      </c>
      <c r="AC5095">
        <v>1.4300800000000001E-2</v>
      </c>
      <c r="AD5095">
        <v>1.4451240000000001</v>
      </c>
      <c r="AE5095">
        <v>0.60071980000000003</v>
      </c>
      <c r="AF5095">
        <v>359.79559999999998</v>
      </c>
      <c r="AG5095">
        <f>IFERROR(AH5095*0.1, "N/A")</f>
        <v>7.3328310000000005</v>
      </c>
      <c r="AH5095">
        <v>73.328310000000002</v>
      </c>
      <c r="AI5095">
        <v>124.2637</v>
      </c>
      <c r="AJ5095">
        <v>27.328309999999998</v>
      </c>
      <c r="AK5095">
        <v>54.343380000000003</v>
      </c>
    </row>
    <row r="5096" spans="1:37" x14ac:dyDescent="0.3">
      <c r="A5096">
        <v>5095</v>
      </c>
      <c r="B5096">
        <v>0</v>
      </c>
      <c r="C5096">
        <v>8.4108099999999997</v>
      </c>
      <c r="D5096">
        <v>14.2821</v>
      </c>
      <c r="E5096" t="s">
        <v>8181</v>
      </c>
      <c r="F5096" t="s">
        <v>8182</v>
      </c>
      <c r="G5096" t="s">
        <v>39</v>
      </c>
      <c r="H5096">
        <v>0</v>
      </c>
      <c r="I5096">
        <v>27.8</v>
      </c>
      <c r="J5096">
        <v>14.5</v>
      </c>
      <c r="K5096">
        <v>57</v>
      </c>
      <c r="L5096">
        <v>31.83</v>
      </c>
      <c r="M5096">
        <v>39.700000000000003</v>
      </c>
      <c r="N5096">
        <v>14.3</v>
      </c>
      <c r="O5096">
        <v>25.4</v>
      </c>
      <c r="P5096">
        <v>27.8</v>
      </c>
      <c r="Q5096">
        <v>23.7</v>
      </c>
      <c r="R5096">
        <v>31.8</v>
      </c>
      <c r="S5096">
        <v>23.3</v>
      </c>
      <c r="T5096">
        <v>276</v>
      </c>
      <c r="U5096">
        <v>112</v>
      </c>
      <c r="V5096">
        <v>0</v>
      </c>
      <c r="W5096">
        <v>157</v>
      </c>
      <c r="X5096">
        <v>243</v>
      </c>
      <c r="Y5096">
        <v>0</v>
      </c>
      <c r="Z5096">
        <v>30</v>
      </c>
      <c r="AA5096">
        <v>0</v>
      </c>
      <c r="AB5096">
        <v>1.8922810000000001</v>
      </c>
      <c r="AC5096">
        <v>0.45297799999999999</v>
      </c>
      <c r="AD5096">
        <v>2.1200329999999998</v>
      </c>
      <c r="AE5096">
        <v>0.56413639999999998</v>
      </c>
      <c r="AF5096">
        <v>448.56380000000001</v>
      </c>
      <c r="AG5096">
        <f>IFERROR(AH5096*0.1, "N/A")</f>
        <v>7.5384230000000008</v>
      </c>
      <c r="AH5096">
        <v>75.384230000000002</v>
      </c>
      <c r="AI5096">
        <v>205.50229999999999</v>
      </c>
      <c r="AJ5096">
        <v>10.662750000000001</v>
      </c>
      <c r="AK5096">
        <v>76.035229999999999</v>
      </c>
    </row>
    <row r="5097" spans="1:37" x14ac:dyDescent="0.3">
      <c r="A5097">
        <v>5096</v>
      </c>
      <c r="B5097">
        <v>0</v>
      </c>
      <c r="C5097">
        <v>8.4108099999999997</v>
      </c>
      <c r="D5097">
        <v>14.2821</v>
      </c>
      <c r="E5097" t="s">
        <v>8181</v>
      </c>
      <c r="F5097" t="s">
        <v>8183</v>
      </c>
      <c r="G5097" t="s">
        <v>37</v>
      </c>
      <c r="H5097">
        <v>0</v>
      </c>
      <c r="I5097">
        <v>27.8</v>
      </c>
      <c r="J5097">
        <v>14.5</v>
      </c>
      <c r="K5097">
        <v>57</v>
      </c>
      <c r="L5097">
        <v>31.83</v>
      </c>
      <c r="M5097">
        <v>39.700000000000003</v>
      </c>
      <c r="N5097">
        <v>14.3</v>
      </c>
      <c r="O5097">
        <v>25.4</v>
      </c>
      <c r="P5097">
        <v>27.8</v>
      </c>
      <c r="Q5097">
        <v>23.7</v>
      </c>
      <c r="R5097">
        <v>31.8</v>
      </c>
      <c r="S5097">
        <v>23.3</v>
      </c>
      <c r="T5097">
        <v>276</v>
      </c>
      <c r="U5097">
        <v>112</v>
      </c>
      <c r="V5097">
        <v>0</v>
      </c>
      <c r="W5097">
        <v>157</v>
      </c>
      <c r="X5097">
        <v>243</v>
      </c>
      <c r="Y5097">
        <v>0</v>
      </c>
      <c r="Z5097">
        <v>30</v>
      </c>
      <c r="AA5097">
        <v>0</v>
      </c>
      <c r="AB5097">
        <v>1.8922810000000001</v>
      </c>
      <c r="AC5097">
        <v>0.45297799999999999</v>
      </c>
      <c r="AD5097">
        <v>2.1200329999999998</v>
      </c>
      <c r="AE5097">
        <v>0.56413639999999998</v>
      </c>
      <c r="AF5097">
        <v>448.56380000000001</v>
      </c>
      <c r="AG5097">
        <f>IFERROR(AH5097*0.1, "N/A")</f>
        <v>7.5384230000000008</v>
      </c>
      <c r="AH5097">
        <v>75.384230000000002</v>
      </c>
      <c r="AI5097">
        <v>205.50229999999999</v>
      </c>
      <c r="AJ5097">
        <v>10.662750000000001</v>
      </c>
      <c r="AK5097">
        <v>76.035229999999999</v>
      </c>
    </row>
    <row r="5098" spans="1:37" x14ac:dyDescent="0.3">
      <c r="A5098">
        <v>5097</v>
      </c>
      <c r="B5098">
        <v>81.7</v>
      </c>
      <c r="C5098">
        <v>1.4</v>
      </c>
      <c r="D5098">
        <v>14.283300000000001</v>
      </c>
      <c r="E5098" t="s">
        <v>8184</v>
      </c>
      <c r="F5098" t="s">
        <v>8185</v>
      </c>
      <c r="G5098" t="s">
        <v>39</v>
      </c>
      <c r="H5098">
        <v>0</v>
      </c>
      <c r="I5098">
        <v>29.6</v>
      </c>
      <c r="J5098">
        <v>14.1</v>
      </c>
      <c r="K5098">
        <v>57</v>
      </c>
      <c r="L5098">
        <v>28.96246</v>
      </c>
      <c r="M5098">
        <v>41.2</v>
      </c>
      <c r="N5098">
        <v>16.582409999999999</v>
      </c>
      <c r="O5098">
        <v>24.61759</v>
      </c>
      <c r="P5098">
        <v>29.441210000000002</v>
      </c>
      <c r="Q5098">
        <v>25.941210000000002</v>
      </c>
      <c r="R5098">
        <v>33.241210000000002</v>
      </c>
      <c r="S5098">
        <v>25.6</v>
      </c>
      <c r="T5098">
        <v>363.62479999999999</v>
      </c>
      <c r="U5098">
        <v>139</v>
      </c>
      <c r="V5098">
        <v>0</v>
      </c>
      <c r="W5098">
        <v>141.36349999999999</v>
      </c>
      <c r="X5098">
        <v>295.72699999999998</v>
      </c>
      <c r="Y5098">
        <v>0</v>
      </c>
      <c r="Z5098">
        <v>59.897820000000003</v>
      </c>
      <c r="AA5098">
        <v>0</v>
      </c>
      <c r="AB5098">
        <v>3.2607949999999999</v>
      </c>
      <c r="AC5098">
        <v>4.3705969999999997E-2</v>
      </c>
      <c r="AD5098">
        <v>2.6374200000000001</v>
      </c>
      <c r="AE5098">
        <v>0.304616</v>
      </c>
      <c r="AF5098">
        <v>207.97319999999999</v>
      </c>
      <c r="AG5098">
        <f>IFERROR(AH5098*0.1, "N/A")</f>
        <v>6.3452260000000003</v>
      </c>
      <c r="AH5098">
        <v>63.452260000000003</v>
      </c>
      <c r="AI5098">
        <v>111.5869</v>
      </c>
      <c r="AJ5098">
        <v>16</v>
      </c>
      <c r="AK5098">
        <v>65</v>
      </c>
    </row>
    <row r="5099" spans="1:37" x14ac:dyDescent="0.3">
      <c r="A5099">
        <v>5098</v>
      </c>
      <c r="B5099">
        <v>0</v>
      </c>
      <c r="C5099">
        <v>1.4019999999999999</v>
      </c>
      <c r="D5099">
        <v>14.288</v>
      </c>
      <c r="E5099" t="s">
        <v>8186</v>
      </c>
      <c r="F5099" t="s">
        <v>8187</v>
      </c>
      <c r="G5099" t="s">
        <v>37</v>
      </c>
      <c r="H5099">
        <v>1987</v>
      </c>
      <c r="I5099">
        <v>29.6</v>
      </c>
      <c r="J5099">
        <v>14.1</v>
      </c>
      <c r="K5099">
        <v>57</v>
      </c>
      <c r="L5099">
        <v>28.98</v>
      </c>
      <c r="M5099">
        <v>41.2</v>
      </c>
      <c r="N5099">
        <v>16.5</v>
      </c>
      <c r="O5099">
        <v>24.7</v>
      </c>
      <c r="P5099">
        <v>29.4</v>
      </c>
      <c r="Q5099">
        <v>25.9</v>
      </c>
      <c r="R5099">
        <v>33.200000000000003</v>
      </c>
      <c r="S5099">
        <v>25.6</v>
      </c>
      <c r="T5099">
        <v>363</v>
      </c>
      <c r="U5099">
        <v>139</v>
      </c>
      <c r="V5099">
        <v>0</v>
      </c>
      <c r="W5099">
        <v>141</v>
      </c>
      <c r="X5099">
        <v>295</v>
      </c>
      <c r="Y5099">
        <v>0</v>
      </c>
      <c r="Z5099">
        <v>60</v>
      </c>
      <c r="AA5099">
        <v>0</v>
      </c>
      <c r="AB5099">
        <v>8.0865469999999995</v>
      </c>
      <c r="AC5099">
        <v>5.1750499999999998E-2</v>
      </c>
      <c r="AD5099">
        <v>2.789504</v>
      </c>
      <c r="AE5099">
        <v>0.3049442</v>
      </c>
      <c r="AF5099">
        <v>213.15459999999999</v>
      </c>
      <c r="AG5099">
        <f>IFERROR(AH5099*0.1, "N/A")</f>
        <v>6.1625210000000008</v>
      </c>
      <c r="AH5099">
        <v>61.625210000000003</v>
      </c>
      <c r="AI5099">
        <v>128.46440000000001</v>
      </c>
      <c r="AJ5099">
        <v>12.300840000000001</v>
      </c>
      <c r="AK5099">
        <v>74.025210000000001</v>
      </c>
    </row>
    <row r="5100" spans="1:37" x14ac:dyDescent="0.3">
      <c r="A5100">
        <v>5099</v>
      </c>
      <c r="B5100">
        <v>0</v>
      </c>
      <c r="C5100">
        <v>3.3915700000000002</v>
      </c>
      <c r="D5100">
        <v>14.2902</v>
      </c>
      <c r="E5100" t="s">
        <v>8188</v>
      </c>
      <c r="F5100" t="s">
        <v>8189</v>
      </c>
      <c r="G5100" t="s">
        <v>39</v>
      </c>
      <c r="H5100">
        <v>0</v>
      </c>
      <c r="I5100">
        <v>29.1</v>
      </c>
      <c r="J5100">
        <v>13.9</v>
      </c>
      <c r="K5100">
        <v>56</v>
      </c>
      <c r="L5100">
        <v>30.218520000000002</v>
      </c>
      <c r="M5100">
        <v>40.799999999999997</v>
      </c>
      <c r="N5100">
        <v>16.100000000000001</v>
      </c>
      <c r="O5100">
        <v>24.7</v>
      </c>
      <c r="P5100">
        <v>28.9</v>
      </c>
      <c r="Q5100">
        <v>26.9</v>
      </c>
      <c r="R5100">
        <v>33</v>
      </c>
      <c r="S5100">
        <v>24.98574</v>
      </c>
      <c r="T5100">
        <v>359</v>
      </c>
      <c r="U5100">
        <v>130</v>
      </c>
      <c r="V5100">
        <v>0</v>
      </c>
      <c r="W5100">
        <v>148</v>
      </c>
      <c r="X5100">
        <v>295</v>
      </c>
      <c r="Y5100">
        <v>0</v>
      </c>
      <c r="Z5100">
        <v>59</v>
      </c>
      <c r="AA5100">
        <v>0</v>
      </c>
      <c r="AB5100">
        <v>0.91006359999999997</v>
      </c>
      <c r="AC5100">
        <v>1.012413E-2</v>
      </c>
      <c r="AD5100">
        <v>1.022751</v>
      </c>
      <c r="AE5100">
        <v>0.7029263</v>
      </c>
      <c r="AF5100">
        <v>226.8742</v>
      </c>
      <c r="AG5100">
        <f>IFERROR(AH5100*0.1, "N/A")</f>
        <v>6.5285229999999999</v>
      </c>
      <c r="AH5100">
        <v>65.285229999999999</v>
      </c>
      <c r="AI5100">
        <v>232.6934</v>
      </c>
      <c r="AJ5100">
        <v>3</v>
      </c>
      <c r="AK5100">
        <v>92</v>
      </c>
    </row>
    <row r="5101" spans="1:37" x14ac:dyDescent="0.3">
      <c r="A5101">
        <v>5100</v>
      </c>
      <c r="B5101">
        <v>0</v>
      </c>
      <c r="C5101">
        <v>3.3915700000000002</v>
      </c>
      <c r="D5101">
        <v>14.2902</v>
      </c>
      <c r="E5101" t="s">
        <v>8188</v>
      </c>
      <c r="F5101" t="s">
        <v>8190</v>
      </c>
      <c r="G5101" t="s">
        <v>37</v>
      </c>
      <c r="H5101">
        <v>0</v>
      </c>
      <c r="I5101">
        <v>29.1</v>
      </c>
      <c r="J5101">
        <v>13.9</v>
      </c>
      <c r="K5101">
        <v>56</v>
      </c>
      <c r="L5101">
        <v>30.218520000000002</v>
      </c>
      <c r="M5101">
        <v>40.799999999999997</v>
      </c>
      <c r="N5101">
        <v>16.100000000000001</v>
      </c>
      <c r="O5101">
        <v>24.7</v>
      </c>
      <c r="P5101">
        <v>28.9</v>
      </c>
      <c r="Q5101">
        <v>26.9</v>
      </c>
      <c r="R5101">
        <v>33</v>
      </c>
      <c r="S5101">
        <v>24.98574</v>
      </c>
      <c r="T5101">
        <v>359</v>
      </c>
      <c r="U5101">
        <v>130</v>
      </c>
      <c r="V5101">
        <v>0</v>
      </c>
      <c r="W5101">
        <v>148</v>
      </c>
      <c r="X5101">
        <v>295</v>
      </c>
      <c r="Y5101">
        <v>0</v>
      </c>
      <c r="Z5101">
        <v>59</v>
      </c>
      <c r="AA5101">
        <v>0</v>
      </c>
      <c r="AB5101">
        <v>0.91006359999999997</v>
      </c>
      <c r="AC5101">
        <v>1.012413E-2</v>
      </c>
      <c r="AD5101">
        <v>1.022751</v>
      </c>
      <c r="AE5101">
        <v>0.7029263</v>
      </c>
      <c r="AF5101">
        <v>226.8742</v>
      </c>
      <c r="AG5101">
        <f>IFERROR(AH5101*0.1, "N/A")</f>
        <v>6.5285229999999999</v>
      </c>
      <c r="AH5101">
        <v>65.285229999999999</v>
      </c>
      <c r="AI5101">
        <v>232.6934</v>
      </c>
      <c r="AJ5101">
        <v>3</v>
      </c>
      <c r="AK5101">
        <v>92</v>
      </c>
    </row>
    <row r="5102" spans="1:37" x14ac:dyDescent="0.3">
      <c r="A5102">
        <v>5101</v>
      </c>
      <c r="B5102">
        <v>0</v>
      </c>
      <c r="C5102">
        <v>7.3319900000000002</v>
      </c>
      <c r="D5102">
        <v>14.292199999999999</v>
      </c>
      <c r="E5102" t="s">
        <v>8191</v>
      </c>
      <c r="F5102" t="s">
        <v>8192</v>
      </c>
      <c r="G5102" t="s">
        <v>39</v>
      </c>
      <c r="H5102">
        <v>0</v>
      </c>
      <c r="I5102">
        <v>27.7</v>
      </c>
      <c r="J5102">
        <v>14.7</v>
      </c>
      <c r="K5102">
        <v>56</v>
      </c>
      <c r="L5102">
        <v>32.1</v>
      </c>
      <c r="M5102">
        <v>39.700000000000003</v>
      </c>
      <c r="N5102">
        <v>13.8</v>
      </c>
      <c r="O5102">
        <v>25.9</v>
      </c>
      <c r="P5102">
        <v>27.7</v>
      </c>
      <c r="Q5102">
        <v>25.2</v>
      </c>
      <c r="R5102">
        <v>31.8</v>
      </c>
      <c r="S5102">
        <v>23.2</v>
      </c>
      <c r="T5102">
        <v>297</v>
      </c>
      <c r="U5102">
        <v>113</v>
      </c>
      <c r="V5102">
        <v>0</v>
      </c>
      <c r="W5102">
        <v>155</v>
      </c>
      <c r="X5102">
        <v>255</v>
      </c>
      <c r="Y5102">
        <v>0</v>
      </c>
      <c r="Z5102">
        <v>40</v>
      </c>
      <c r="AA5102">
        <v>0</v>
      </c>
      <c r="AB5102">
        <v>2.3130709999999999</v>
      </c>
      <c r="AC5102">
        <v>2.3240730000000001E-2</v>
      </c>
      <c r="AD5102">
        <v>1.24821</v>
      </c>
      <c r="AE5102">
        <v>0.69028849999999997</v>
      </c>
      <c r="AF5102">
        <v>417.35849999999999</v>
      </c>
      <c r="AG5102">
        <f>IFERROR(AH5102*0.1, "N/A")</f>
        <v>6.9003350000000001</v>
      </c>
      <c r="AH5102">
        <v>69.003349999999998</v>
      </c>
      <c r="AI5102">
        <v>124.71250000000001</v>
      </c>
      <c r="AJ5102">
        <v>7.9932999999999996</v>
      </c>
      <c r="AK5102">
        <v>77.016750000000002</v>
      </c>
    </row>
    <row r="5103" spans="1:37" x14ac:dyDescent="0.3">
      <c r="A5103">
        <v>5102</v>
      </c>
      <c r="B5103">
        <v>0</v>
      </c>
      <c r="C5103">
        <v>7.3319900000000002</v>
      </c>
      <c r="D5103">
        <v>14.292199999999999</v>
      </c>
      <c r="E5103" t="s">
        <v>8191</v>
      </c>
      <c r="F5103" t="s">
        <v>8193</v>
      </c>
      <c r="G5103" t="s">
        <v>37</v>
      </c>
      <c r="H5103">
        <v>0</v>
      </c>
      <c r="I5103">
        <v>27.7</v>
      </c>
      <c r="J5103">
        <v>14.7</v>
      </c>
      <c r="K5103">
        <v>56</v>
      </c>
      <c r="L5103">
        <v>32.1</v>
      </c>
      <c r="M5103">
        <v>39.700000000000003</v>
      </c>
      <c r="N5103">
        <v>13.8</v>
      </c>
      <c r="O5103">
        <v>25.9</v>
      </c>
      <c r="P5103">
        <v>27.7</v>
      </c>
      <c r="Q5103">
        <v>25.2</v>
      </c>
      <c r="R5103">
        <v>31.8</v>
      </c>
      <c r="S5103">
        <v>23.2</v>
      </c>
      <c r="T5103">
        <v>297</v>
      </c>
      <c r="U5103">
        <v>113</v>
      </c>
      <c r="V5103">
        <v>0</v>
      </c>
      <c r="W5103">
        <v>155</v>
      </c>
      <c r="X5103">
        <v>255</v>
      </c>
      <c r="Y5103">
        <v>0</v>
      </c>
      <c r="Z5103">
        <v>40</v>
      </c>
      <c r="AA5103">
        <v>0</v>
      </c>
      <c r="AB5103">
        <v>2.3130709999999999</v>
      </c>
      <c r="AC5103">
        <v>2.3240730000000001E-2</v>
      </c>
      <c r="AD5103">
        <v>1.24821</v>
      </c>
      <c r="AE5103">
        <v>0.69028849999999997</v>
      </c>
      <c r="AF5103">
        <v>417.35849999999999</v>
      </c>
      <c r="AG5103">
        <f>IFERROR(AH5103*0.1, "N/A")</f>
        <v>6.9003350000000001</v>
      </c>
      <c r="AH5103">
        <v>69.003349999999998</v>
      </c>
      <c r="AI5103">
        <v>124.71250000000001</v>
      </c>
      <c r="AJ5103">
        <v>7.9932999999999996</v>
      </c>
      <c r="AK5103">
        <v>77.016750000000002</v>
      </c>
    </row>
    <row r="5104" spans="1:37" x14ac:dyDescent="0.3">
      <c r="A5104">
        <v>5103</v>
      </c>
      <c r="B5104">
        <v>100</v>
      </c>
      <c r="C5104">
        <v>4.6459299999999999</v>
      </c>
      <c r="D5104">
        <v>14.297700000000001</v>
      </c>
      <c r="E5104" t="s">
        <v>8194</v>
      </c>
      <c r="F5104" t="s">
        <v>8195</v>
      </c>
      <c r="G5104" t="s">
        <v>39</v>
      </c>
      <c r="H5104">
        <v>0</v>
      </c>
      <c r="I5104">
        <v>29.1</v>
      </c>
      <c r="J5104">
        <v>14.2</v>
      </c>
      <c r="K5104">
        <v>56</v>
      </c>
      <c r="L5104">
        <v>30.6</v>
      </c>
      <c r="M5104">
        <v>40.799999999999997</v>
      </c>
      <c r="N5104">
        <v>15.6</v>
      </c>
      <c r="O5104">
        <v>25.2</v>
      </c>
      <c r="P5104">
        <v>29.1</v>
      </c>
      <c r="Q5104">
        <v>26.9</v>
      </c>
      <c r="R5104">
        <v>33</v>
      </c>
      <c r="S5104">
        <v>24.9</v>
      </c>
      <c r="T5104">
        <v>361</v>
      </c>
      <c r="U5104">
        <v>126</v>
      </c>
      <c r="V5104">
        <v>0</v>
      </c>
      <c r="W5104">
        <v>137</v>
      </c>
      <c r="X5104">
        <v>288</v>
      </c>
      <c r="Y5104">
        <v>0</v>
      </c>
      <c r="Z5104">
        <v>69</v>
      </c>
      <c r="AA5104">
        <v>0</v>
      </c>
      <c r="AB5104">
        <v>5.6397729999999999</v>
      </c>
      <c r="AC5104">
        <v>8.3159619999999997E-3</v>
      </c>
      <c r="AD5104">
        <v>1.022373</v>
      </c>
      <c r="AE5104">
        <v>0.47826590000000002</v>
      </c>
      <c r="AF5104">
        <v>269.32209999999998</v>
      </c>
      <c r="AG5104">
        <f>IFERROR(AH5104*0.1, "N/A")</f>
        <v>6.1375840000000004</v>
      </c>
      <c r="AH5104">
        <v>61.375839999999997</v>
      </c>
      <c r="AI5104">
        <v>154.27160000000001</v>
      </c>
      <c r="AJ5104">
        <v>10.37584</v>
      </c>
      <c r="AK5104">
        <v>76.872479999999996</v>
      </c>
    </row>
    <row r="5105" spans="1:37" x14ac:dyDescent="0.3">
      <c r="A5105">
        <v>5104</v>
      </c>
      <c r="B5105">
        <v>0</v>
      </c>
      <c r="C5105">
        <v>4.6459299999999999</v>
      </c>
      <c r="D5105">
        <v>14.297700000000001</v>
      </c>
      <c r="E5105" t="s">
        <v>8194</v>
      </c>
      <c r="F5105" t="s">
        <v>8196</v>
      </c>
      <c r="G5105" t="s">
        <v>37</v>
      </c>
      <c r="H5105">
        <v>0</v>
      </c>
      <c r="I5105">
        <v>29.1</v>
      </c>
      <c r="J5105">
        <v>14.2</v>
      </c>
      <c r="K5105">
        <v>56</v>
      </c>
      <c r="L5105">
        <v>30.6</v>
      </c>
      <c r="M5105">
        <v>40.799999999999997</v>
      </c>
      <c r="N5105">
        <v>15.6</v>
      </c>
      <c r="O5105">
        <v>25.2</v>
      </c>
      <c r="P5105">
        <v>29.1</v>
      </c>
      <c r="Q5105">
        <v>26.9</v>
      </c>
      <c r="R5105">
        <v>33</v>
      </c>
      <c r="S5105">
        <v>24.9</v>
      </c>
      <c r="T5105">
        <v>361</v>
      </c>
      <c r="U5105">
        <v>126</v>
      </c>
      <c r="V5105">
        <v>0</v>
      </c>
      <c r="W5105">
        <v>137</v>
      </c>
      <c r="X5105">
        <v>288</v>
      </c>
      <c r="Y5105">
        <v>0</v>
      </c>
      <c r="Z5105">
        <v>69</v>
      </c>
      <c r="AA5105">
        <v>0</v>
      </c>
      <c r="AB5105">
        <v>5.6397729999999999</v>
      </c>
      <c r="AC5105">
        <v>8.3159619999999997E-3</v>
      </c>
      <c r="AD5105">
        <v>1.022373</v>
      </c>
      <c r="AE5105">
        <v>0.47826590000000002</v>
      </c>
      <c r="AF5105">
        <v>269.32209999999998</v>
      </c>
      <c r="AG5105">
        <f>IFERROR(AH5105*0.1, "N/A")</f>
        <v>6.1375840000000004</v>
      </c>
      <c r="AH5105">
        <v>61.375839999999997</v>
      </c>
      <c r="AI5105">
        <v>154.27160000000001</v>
      </c>
      <c r="AJ5105">
        <v>10.37584</v>
      </c>
      <c r="AK5105">
        <v>76.872479999999996</v>
      </c>
    </row>
    <row r="5106" spans="1:37" x14ac:dyDescent="0.3">
      <c r="A5106">
        <v>5105</v>
      </c>
      <c r="B5106">
        <v>0</v>
      </c>
      <c r="C5106">
        <v>8.0434599999999996</v>
      </c>
      <c r="D5106">
        <v>14.301</v>
      </c>
      <c r="E5106" t="s">
        <v>8197</v>
      </c>
      <c r="F5106" t="s">
        <v>8198</v>
      </c>
      <c r="G5106" t="s">
        <v>39</v>
      </c>
      <c r="H5106">
        <v>0</v>
      </c>
      <c r="I5106">
        <v>27.601520000000001</v>
      </c>
      <c r="J5106">
        <v>14.6</v>
      </c>
      <c r="K5106">
        <v>57</v>
      </c>
      <c r="L5106">
        <v>31.808029999999999</v>
      </c>
      <c r="M5106">
        <v>39.700000000000003</v>
      </c>
      <c r="N5106">
        <v>14.1</v>
      </c>
      <c r="O5106">
        <v>25.6</v>
      </c>
      <c r="P5106">
        <v>27.6</v>
      </c>
      <c r="Q5106">
        <v>25.3</v>
      </c>
      <c r="R5106">
        <v>31.8</v>
      </c>
      <c r="S5106">
        <v>23.2</v>
      </c>
      <c r="T5106">
        <v>295.01519999999999</v>
      </c>
      <c r="U5106">
        <v>119</v>
      </c>
      <c r="V5106">
        <v>0</v>
      </c>
      <c r="W5106">
        <v>158</v>
      </c>
      <c r="X5106">
        <v>256</v>
      </c>
      <c r="Y5106">
        <v>0</v>
      </c>
      <c r="Z5106">
        <v>36.015149999999998</v>
      </c>
      <c r="AA5106">
        <v>0</v>
      </c>
      <c r="AB5106">
        <v>2.2381980000000001</v>
      </c>
      <c r="AC5106">
        <v>2.161298E-2</v>
      </c>
      <c r="AD5106">
        <v>3.7741539999999998</v>
      </c>
      <c r="AE5106">
        <v>0.69083720000000004</v>
      </c>
      <c r="AF5106">
        <v>445.23230000000001</v>
      </c>
      <c r="AG5106">
        <f>IFERROR(AH5106*0.1, "N/A")</f>
        <v>6.9695290000000005</v>
      </c>
      <c r="AH5106">
        <v>69.69529</v>
      </c>
      <c r="AI5106">
        <v>303.19470000000001</v>
      </c>
      <c r="AJ5106">
        <v>8.9276090000000003</v>
      </c>
      <c r="AK5106">
        <v>80.454549999999998</v>
      </c>
    </row>
    <row r="5107" spans="1:37" x14ac:dyDescent="0.3">
      <c r="A5107">
        <v>5106</v>
      </c>
      <c r="B5107">
        <v>0</v>
      </c>
      <c r="C5107">
        <v>8.0434599999999996</v>
      </c>
      <c r="D5107">
        <v>14.301</v>
      </c>
      <c r="E5107" t="s">
        <v>8197</v>
      </c>
      <c r="F5107" t="s">
        <v>8199</v>
      </c>
      <c r="G5107" t="s">
        <v>37</v>
      </c>
      <c r="H5107">
        <v>0</v>
      </c>
      <c r="I5107">
        <v>27.601520000000001</v>
      </c>
      <c r="J5107">
        <v>14.6</v>
      </c>
      <c r="K5107">
        <v>57</v>
      </c>
      <c r="L5107">
        <v>31.808029999999999</v>
      </c>
      <c r="M5107">
        <v>39.700000000000003</v>
      </c>
      <c r="N5107">
        <v>14.1</v>
      </c>
      <c r="O5107">
        <v>25.6</v>
      </c>
      <c r="P5107">
        <v>27.6</v>
      </c>
      <c r="Q5107">
        <v>25.3</v>
      </c>
      <c r="R5107">
        <v>31.8</v>
      </c>
      <c r="S5107">
        <v>23.2</v>
      </c>
      <c r="T5107">
        <v>295.01519999999999</v>
      </c>
      <c r="U5107">
        <v>119</v>
      </c>
      <c r="V5107">
        <v>0</v>
      </c>
      <c r="W5107">
        <v>158</v>
      </c>
      <c r="X5107">
        <v>256</v>
      </c>
      <c r="Y5107">
        <v>0</v>
      </c>
      <c r="Z5107">
        <v>36.015149999999998</v>
      </c>
      <c r="AA5107">
        <v>0</v>
      </c>
      <c r="AB5107">
        <v>2.2381980000000001</v>
      </c>
      <c r="AC5107">
        <v>2.161298E-2</v>
      </c>
      <c r="AD5107">
        <v>3.7741539999999998</v>
      </c>
      <c r="AE5107">
        <v>0.69083720000000004</v>
      </c>
      <c r="AF5107">
        <v>445.23230000000001</v>
      </c>
      <c r="AG5107">
        <f>IFERROR(AH5107*0.1, "N/A")</f>
        <v>6.9695290000000005</v>
      </c>
      <c r="AH5107">
        <v>69.69529</v>
      </c>
      <c r="AI5107">
        <v>303.19470000000001</v>
      </c>
      <c r="AJ5107">
        <v>8.9276090000000003</v>
      </c>
      <c r="AK5107">
        <v>80.454549999999998</v>
      </c>
    </row>
    <row r="5108" spans="1:37" x14ac:dyDescent="0.3">
      <c r="A5108">
        <v>5107</v>
      </c>
      <c r="B5108">
        <v>14</v>
      </c>
      <c r="C5108">
        <v>0.47079900000000002</v>
      </c>
      <c r="D5108">
        <v>14.3071</v>
      </c>
      <c r="E5108" t="s">
        <v>8200</v>
      </c>
      <c r="F5108" t="s">
        <v>8201</v>
      </c>
      <c r="G5108" t="s">
        <v>39</v>
      </c>
      <c r="H5108">
        <v>0</v>
      </c>
      <c r="I5108">
        <v>28.8</v>
      </c>
      <c r="J5108">
        <v>14.9</v>
      </c>
      <c r="K5108">
        <v>57</v>
      </c>
      <c r="L5108">
        <v>30</v>
      </c>
      <c r="M5108">
        <v>40.4</v>
      </c>
      <c r="N5108">
        <v>14.7</v>
      </c>
      <c r="O5108">
        <v>25.7</v>
      </c>
      <c r="P5108">
        <v>28.8</v>
      </c>
      <c r="Q5108">
        <v>26.3</v>
      </c>
      <c r="R5108">
        <v>32.6</v>
      </c>
      <c r="S5108">
        <v>24.5</v>
      </c>
      <c r="T5108">
        <v>374</v>
      </c>
      <c r="U5108">
        <v>132</v>
      </c>
      <c r="V5108">
        <v>0</v>
      </c>
      <c r="W5108">
        <v>140</v>
      </c>
      <c r="X5108">
        <v>302</v>
      </c>
      <c r="Y5108">
        <v>0</v>
      </c>
      <c r="Z5108">
        <v>65</v>
      </c>
      <c r="AA5108">
        <v>0</v>
      </c>
      <c r="AB5108">
        <v>3.5379830000000001</v>
      </c>
      <c r="AC5108">
        <v>2.1074820000000001E-2</v>
      </c>
      <c r="AD5108">
        <v>2.082827</v>
      </c>
      <c r="AE5108">
        <v>0.53219930000000004</v>
      </c>
      <c r="AF5108">
        <v>289.61849999999998</v>
      </c>
      <c r="AG5108">
        <f>IFERROR(AH5108*0.1, "N/A")</f>
        <v>6.667059000000001</v>
      </c>
      <c r="AH5108">
        <v>66.670590000000004</v>
      </c>
      <c r="AI5108">
        <v>183.37889999999999</v>
      </c>
      <c r="AJ5108">
        <v>7.7714290000000004</v>
      </c>
      <c r="AK5108">
        <v>83.457139999999995</v>
      </c>
    </row>
    <row r="5109" spans="1:37" x14ac:dyDescent="0.3">
      <c r="A5109">
        <v>5108</v>
      </c>
      <c r="B5109">
        <v>0</v>
      </c>
      <c r="C5109">
        <v>3.52081</v>
      </c>
      <c r="D5109">
        <v>14.3119</v>
      </c>
      <c r="E5109" t="s">
        <v>8202</v>
      </c>
      <c r="F5109" t="s">
        <v>8203</v>
      </c>
      <c r="G5109" t="s">
        <v>39</v>
      </c>
      <c r="H5109">
        <v>0</v>
      </c>
      <c r="I5109">
        <v>29</v>
      </c>
      <c r="J5109">
        <v>13.9</v>
      </c>
      <c r="K5109">
        <v>54</v>
      </c>
      <c r="L5109">
        <v>31.98</v>
      </c>
      <c r="M5109">
        <v>40.799999999999997</v>
      </c>
      <c r="N5109">
        <v>15.5</v>
      </c>
      <c r="O5109">
        <v>25.3</v>
      </c>
      <c r="P5109">
        <v>29.1</v>
      </c>
      <c r="Q5109">
        <v>26.5</v>
      </c>
      <c r="R5109">
        <v>33.1</v>
      </c>
      <c r="S5109">
        <v>24.5</v>
      </c>
      <c r="T5109">
        <v>356</v>
      </c>
      <c r="U5109">
        <v>129</v>
      </c>
      <c r="V5109">
        <v>0</v>
      </c>
      <c r="W5109">
        <v>147</v>
      </c>
      <c r="X5109">
        <v>294</v>
      </c>
      <c r="Y5109">
        <v>0</v>
      </c>
      <c r="Z5109">
        <v>57</v>
      </c>
      <c r="AA5109">
        <v>0</v>
      </c>
      <c r="AB5109">
        <v>3.1550569999999998</v>
      </c>
      <c r="AC5109">
        <v>8.5597610000000005E-2</v>
      </c>
      <c r="AD5109">
        <v>2.266588</v>
      </c>
      <c r="AE5109">
        <v>0.54295269999999995</v>
      </c>
      <c r="AF5109">
        <v>248.798</v>
      </c>
      <c r="AG5109">
        <f>IFERROR(AH5109*0.1, "N/A")</f>
        <v>5.921717000000001</v>
      </c>
      <c r="AH5109">
        <v>59.217170000000003</v>
      </c>
      <c r="AI5109">
        <v>207.4436</v>
      </c>
      <c r="AJ5109">
        <v>8</v>
      </c>
      <c r="AK5109">
        <v>81.427610000000001</v>
      </c>
    </row>
    <row r="5110" spans="1:37" x14ac:dyDescent="0.3">
      <c r="A5110">
        <v>5109</v>
      </c>
      <c r="B5110">
        <v>0</v>
      </c>
      <c r="C5110">
        <v>3.52081</v>
      </c>
      <c r="D5110">
        <v>14.3119</v>
      </c>
      <c r="E5110" t="s">
        <v>8202</v>
      </c>
      <c r="F5110" t="s">
        <v>8204</v>
      </c>
      <c r="G5110" t="s">
        <v>37</v>
      </c>
      <c r="H5110">
        <v>0</v>
      </c>
      <c r="I5110">
        <v>29</v>
      </c>
      <c r="J5110">
        <v>13.9</v>
      </c>
      <c r="K5110">
        <v>54</v>
      </c>
      <c r="L5110">
        <v>31.98</v>
      </c>
      <c r="M5110">
        <v>40.799999999999997</v>
      </c>
      <c r="N5110">
        <v>15.5</v>
      </c>
      <c r="O5110">
        <v>25.3</v>
      </c>
      <c r="P5110">
        <v>29.1</v>
      </c>
      <c r="Q5110">
        <v>26.5</v>
      </c>
      <c r="R5110">
        <v>33.1</v>
      </c>
      <c r="S5110">
        <v>24.5</v>
      </c>
      <c r="T5110">
        <v>356</v>
      </c>
      <c r="U5110">
        <v>129</v>
      </c>
      <c r="V5110">
        <v>0</v>
      </c>
      <c r="W5110">
        <v>147</v>
      </c>
      <c r="X5110">
        <v>294</v>
      </c>
      <c r="Y5110">
        <v>0</v>
      </c>
      <c r="Z5110">
        <v>57</v>
      </c>
      <c r="AA5110">
        <v>0</v>
      </c>
      <c r="AB5110">
        <v>3.1550569999999998</v>
      </c>
      <c r="AC5110">
        <v>8.5597610000000005E-2</v>
      </c>
      <c r="AD5110">
        <v>2.266588</v>
      </c>
      <c r="AE5110">
        <v>0.54295269999999995</v>
      </c>
      <c r="AF5110">
        <v>248.798</v>
      </c>
      <c r="AG5110">
        <f>IFERROR(AH5110*0.1, "N/A")</f>
        <v>5.921717000000001</v>
      </c>
      <c r="AH5110">
        <v>59.217170000000003</v>
      </c>
      <c r="AI5110">
        <v>207.4436</v>
      </c>
      <c r="AJ5110">
        <v>8</v>
      </c>
      <c r="AK5110">
        <v>81.427610000000001</v>
      </c>
    </row>
    <row r="5111" spans="1:37" x14ac:dyDescent="0.3">
      <c r="A5111">
        <v>5110</v>
      </c>
      <c r="B5111">
        <v>0</v>
      </c>
      <c r="C5111">
        <v>3.22329</v>
      </c>
      <c r="D5111">
        <v>14.3127</v>
      </c>
      <c r="E5111" t="s">
        <v>8205</v>
      </c>
      <c r="F5111" t="s">
        <v>8206</v>
      </c>
      <c r="G5111" t="s">
        <v>39</v>
      </c>
      <c r="H5111">
        <v>0</v>
      </c>
      <c r="I5111">
        <v>29</v>
      </c>
      <c r="J5111">
        <v>14</v>
      </c>
      <c r="K5111">
        <v>57</v>
      </c>
      <c r="L5111">
        <v>28.32</v>
      </c>
      <c r="M5111">
        <v>40.6</v>
      </c>
      <c r="N5111">
        <v>16.399999999999999</v>
      </c>
      <c r="O5111">
        <v>24.2</v>
      </c>
      <c r="P5111">
        <v>28.6</v>
      </c>
      <c r="Q5111">
        <v>27.1</v>
      </c>
      <c r="R5111">
        <v>32.700000000000003</v>
      </c>
      <c r="S5111">
        <v>25.2</v>
      </c>
      <c r="T5111">
        <v>375</v>
      </c>
      <c r="U5111">
        <v>134</v>
      </c>
      <c r="V5111">
        <v>0</v>
      </c>
      <c r="W5111">
        <v>143</v>
      </c>
      <c r="X5111">
        <v>305</v>
      </c>
      <c r="Y5111">
        <v>0</v>
      </c>
      <c r="Z5111">
        <v>65</v>
      </c>
      <c r="AA5111">
        <v>0</v>
      </c>
      <c r="AB5111">
        <v>1.4148160000000001</v>
      </c>
      <c r="AC5111">
        <v>0.58970210000000001</v>
      </c>
      <c r="AD5111">
        <v>1.1155569999999999</v>
      </c>
      <c r="AE5111">
        <v>0.29137049999999998</v>
      </c>
      <c r="AF5111">
        <v>239.2088</v>
      </c>
      <c r="AG5111">
        <f>IFERROR(AH5111*0.1, "N/A")</f>
        <v>5.8111110000000004</v>
      </c>
      <c r="AH5111">
        <v>58.111109999999996</v>
      </c>
      <c r="AI5111">
        <v>238.07130000000001</v>
      </c>
      <c r="AJ5111">
        <v>8.6094279999999994</v>
      </c>
      <c r="AK5111">
        <v>80.010099999999994</v>
      </c>
    </row>
    <row r="5112" spans="1:37" x14ac:dyDescent="0.3">
      <c r="A5112">
        <v>5111</v>
      </c>
      <c r="B5112">
        <v>0</v>
      </c>
      <c r="C5112">
        <v>3.22329</v>
      </c>
      <c r="D5112">
        <v>14.3127</v>
      </c>
      <c r="E5112" t="s">
        <v>8205</v>
      </c>
      <c r="F5112" t="s">
        <v>8207</v>
      </c>
      <c r="G5112" t="s">
        <v>37</v>
      </c>
      <c r="H5112">
        <v>0</v>
      </c>
      <c r="I5112">
        <v>29</v>
      </c>
      <c r="J5112">
        <v>14</v>
      </c>
      <c r="K5112">
        <v>57</v>
      </c>
      <c r="L5112">
        <v>28.32</v>
      </c>
      <c r="M5112">
        <v>40.6</v>
      </c>
      <c r="N5112">
        <v>16.399999999999999</v>
      </c>
      <c r="O5112">
        <v>24.2</v>
      </c>
      <c r="P5112">
        <v>28.6</v>
      </c>
      <c r="Q5112">
        <v>27.1</v>
      </c>
      <c r="R5112">
        <v>32.700000000000003</v>
      </c>
      <c r="S5112">
        <v>25.2</v>
      </c>
      <c r="T5112">
        <v>375</v>
      </c>
      <c r="U5112">
        <v>134</v>
      </c>
      <c r="V5112">
        <v>0</v>
      </c>
      <c r="W5112">
        <v>143</v>
      </c>
      <c r="X5112">
        <v>305</v>
      </c>
      <c r="Y5112">
        <v>0</v>
      </c>
      <c r="Z5112">
        <v>65</v>
      </c>
      <c r="AA5112">
        <v>0</v>
      </c>
      <c r="AB5112">
        <v>1.4148160000000001</v>
      </c>
      <c r="AC5112">
        <v>0.58970210000000001</v>
      </c>
      <c r="AD5112">
        <v>1.1155569999999999</v>
      </c>
      <c r="AE5112">
        <v>0.29137049999999998</v>
      </c>
      <c r="AF5112">
        <v>239.2088</v>
      </c>
      <c r="AG5112">
        <f>IFERROR(AH5112*0.1, "N/A")</f>
        <v>5.8111110000000004</v>
      </c>
      <c r="AH5112">
        <v>58.111109999999996</v>
      </c>
      <c r="AI5112">
        <v>238.07130000000001</v>
      </c>
      <c r="AJ5112">
        <v>8.6094279999999994</v>
      </c>
      <c r="AK5112">
        <v>80.010099999999994</v>
      </c>
    </row>
    <row r="5113" spans="1:37" x14ac:dyDescent="0.3">
      <c r="A5113">
        <v>5112</v>
      </c>
      <c r="B5113">
        <v>89.3</v>
      </c>
      <c r="C5113">
        <v>1.2999000000000001</v>
      </c>
      <c r="D5113">
        <v>14.3131</v>
      </c>
      <c r="E5113" t="s">
        <v>8208</v>
      </c>
      <c r="F5113" t="s">
        <v>8209</v>
      </c>
      <c r="G5113" t="s">
        <v>39</v>
      </c>
      <c r="H5113">
        <v>0</v>
      </c>
      <c r="I5113">
        <v>29.5</v>
      </c>
      <c r="J5113">
        <v>14.2</v>
      </c>
      <c r="K5113">
        <v>57</v>
      </c>
      <c r="L5113">
        <v>28.531179999999999</v>
      </c>
      <c r="M5113">
        <v>41.054119999999998</v>
      </c>
      <c r="N5113">
        <v>16.5</v>
      </c>
      <c r="O5113">
        <v>24.554120000000001</v>
      </c>
      <c r="P5113">
        <v>29.4</v>
      </c>
      <c r="Q5113">
        <v>25.9</v>
      </c>
      <c r="R5113">
        <v>33.200000000000003</v>
      </c>
      <c r="S5113">
        <v>25.6</v>
      </c>
      <c r="T5113">
        <v>341.08240000000001</v>
      </c>
      <c r="U5113">
        <v>133</v>
      </c>
      <c r="V5113">
        <v>0</v>
      </c>
      <c r="W5113">
        <v>143.5412</v>
      </c>
      <c r="X5113">
        <v>280.08240000000001</v>
      </c>
      <c r="Y5113">
        <v>0</v>
      </c>
      <c r="Z5113">
        <v>55</v>
      </c>
      <c r="AA5113">
        <v>0</v>
      </c>
      <c r="AB5113">
        <v>5.9586569999999996</v>
      </c>
      <c r="AC5113">
        <v>8.5104670000000007E-3</v>
      </c>
      <c r="AD5113">
        <v>1.0710550000000001</v>
      </c>
      <c r="AE5113">
        <v>0.53103909999999999</v>
      </c>
      <c r="AF5113">
        <v>210.78819999999999</v>
      </c>
      <c r="AG5113">
        <f>IFERROR(AH5113*0.1, "N/A")</f>
        <v>6.6885710000000005</v>
      </c>
      <c r="AH5113">
        <v>66.885710000000003</v>
      </c>
      <c r="AI5113">
        <v>119.2338</v>
      </c>
      <c r="AJ5113">
        <v>18.363029999999998</v>
      </c>
      <c r="AK5113">
        <v>67.636970000000005</v>
      </c>
    </row>
    <row r="5114" spans="1:37" x14ac:dyDescent="0.3">
      <c r="A5114">
        <v>5113</v>
      </c>
      <c r="B5114">
        <v>46.7</v>
      </c>
      <c r="C5114">
        <v>2.0901700000000001</v>
      </c>
      <c r="D5114">
        <v>14.315099999999999</v>
      </c>
      <c r="E5114" t="s">
        <v>8210</v>
      </c>
      <c r="F5114" t="s">
        <v>8211</v>
      </c>
      <c r="G5114" t="s">
        <v>39</v>
      </c>
      <c r="H5114">
        <v>0</v>
      </c>
      <c r="I5114">
        <v>29.4</v>
      </c>
      <c r="J5114">
        <v>14.3</v>
      </c>
      <c r="K5114">
        <v>57</v>
      </c>
      <c r="L5114">
        <v>29.11</v>
      </c>
      <c r="M5114">
        <v>41</v>
      </c>
      <c r="N5114">
        <v>16.100000000000001</v>
      </c>
      <c r="O5114">
        <v>24.9</v>
      </c>
      <c r="P5114">
        <v>29.2</v>
      </c>
      <c r="Q5114">
        <v>25.7</v>
      </c>
      <c r="R5114">
        <v>33.200000000000003</v>
      </c>
      <c r="S5114">
        <v>25.5</v>
      </c>
      <c r="T5114">
        <v>368</v>
      </c>
      <c r="U5114">
        <v>133</v>
      </c>
      <c r="V5114">
        <v>0</v>
      </c>
      <c r="W5114">
        <v>141</v>
      </c>
      <c r="X5114">
        <v>296</v>
      </c>
      <c r="Y5114">
        <v>0</v>
      </c>
      <c r="Z5114">
        <v>64</v>
      </c>
      <c r="AA5114">
        <v>0</v>
      </c>
      <c r="AB5114">
        <v>3.6504180000000002</v>
      </c>
      <c r="AC5114">
        <v>3.266401E-2</v>
      </c>
      <c r="AD5114">
        <v>1.816149</v>
      </c>
      <c r="AE5114">
        <v>0.38001610000000002</v>
      </c>
      <c r="AF5114">
        <v>233.1893</v>
      </c>
      <c r="AG5114">
        <f>IFERROR(AH5114*0.1, "N/A")</f>
        <v>6.3830820000000008</v>
      </c>
      <c r="AH5114">
        <v>63.830820000000003</v>
      </c>
      <c r="AI5114">
        <v>145.83179999999999</v>
      </c>
      <c r="AJ5114">
        <v>19.1005</v>
      </c>
      <c r="AK5114">
        <v>64.933000000000007</v>
      </c>
    </row>
    <row r="5115" spans="1:37" x14ac:dyDescent="0.3">
      <c r="A5115">
        <v>5114</v>
      </c>
      <c r="B5115">
        <v>0</v>
      </c>
      <c r="C5115">
        <v>9.6156000000000006</v>
      </c>
      <c r="D5115">
        <v>14.3161</v>
      </c>
      <c r="E5115" t="s">
        <v>8212</v>
      </c>
      <c r="F5115" t="s">
        <v>8213</v>
      </c>
      <c r="G5115" t="s">
        <v>39</v>
      </c>
      <c r="H5115">
        <v>0</v>
      </c>
      <c r="I5115">
        <v>27.3</v>
      </c>
      <c r="J5115">
        <v>14.8</v>
      </c>
      <c r="K5115">
        <v>57</v>
      </c>
      <c r="L5115">
        <v>31.36</v>
      </c>
      <c r="M5115">
        <v>39.5</v>
      </c>
      <c r="N5115">
        <v>13.9</v>
      </c>
      <c r="O5115">
        <v>25.6</v>
      </c>
      <c r="P5115">
        <v>27.3</v>
      </c>
      <c r="Q5115">
        <v>24.8</v>
      </c>
      <c r="R5115">
        <v>31.3</v>
      </c>
      <c r="S5115">
        <v>22.8</v>
      </c>
      <c r="T5115">
        <v>250.76050000000001</v>
      </c>
      <c r="U5115">
        <v>107</v>
      </c>
      <c r="V5115">
        <v>0</v>
      </c>
      <c r="W5115">
        <v>163</v>
      </c>
      <c r="X5115">
        <v>218</v>
      </c>
      <c r="Y5115">
        <v>0</v>
      </c>
      <c r="Z5115">
        <v>30.760470000000002</v>
      </c>
      <c r="AA5115">
        <v>0</v>
      </c>
      <c r="AB5115">
        <v>3.6703359999999998</v>
      </c>
      <c r="AC5115">
        <v>1.7213599999999999E-2</v>
      </c>
      <c r="AD5115">
        <v>1.548292</v>
      </c>
      <c r="AE5115">
        <v>0.57768540000000002</v>
      </c>
      <c r="AF5115">
        <v>472.48070000000001</v>
      </c>
      <c r="AG5115">
        <f>IFERROR(AH5115*0.1, "N/A")</f>
        <v>7.6000000000000005</v>
      </c>
      <c r="AH5115">
        <v>76</v>
      </c>
      <c r="AI5115">
        <v>165.25649999999999</v>
      </c>
      <c r="AJ5115">
        <v>10</v>
      </c>
      <c r="AK5115">
        <v>76.150750000000002</v>
      </c>
    </row>
    <row r="5116" spans="1:37" x14ac:dyDescent="0.3">
      <c r="A5116">
        <v>5115</v>
      </c>
      <c r="B5116">
        <v>0</v>
      </c>
      <c r="C5116">
        <v>1.3</v>
      </c>
      <c r="D5116">
        <v>14.316700000000001</v>
      </c>
      <c r="E5116" t="s">
        <v>8214</v>
      </c>
      <c r="F5116" t="s">
        <v>8215</v>
      </c>
      <c r="G5116" t="s">
        <v>37</v>
      </c>
      <c r="H5116">
        <v>2004</v>
      </c>
      <c r="I5116">
        <v>29.5</v>
      </c>
      <c r="J5116">
        <v>14.2</v>
      </c>
      <c r="K5116">
        <v>57</v>
      </c>
      <c r="L5116">
        <v>28.657720000000001</v>
      </c>
      <c r="M5116">
        <v>41.017710000000001</v>
      </c>
      <c r="N5116">
        <v>16.5</v>
      </c>
      <c r="O5116">
        <v>24.517710000000001</v>
      </c>
      <c r="P5116">
        <v>29.4</v>
      </c>
      <c r="Q5116">
        <v>25.9</v>
      </c>
      <c r="R5116">
        <v>33.127989999999997</v>
      </c>
      <c r="S5116">
        <v>25.527989999999999</v>
      </c>
      <c r="T5116">
        <v>340.08600000000001</v>
      </c>
      <c r="U5116">
        <v>132.7319</v>
      </c>
      <c r="V5116">
        <v>0</v>
      </c>
      <c r="W5116">
        <v>143.1771</v>
      </c>
      <c r="X5116">
        <v>279.08600000000001</v>
      </c>
      <c r="Y5116">
        <v>0</v>
      </c>
      <c r="Z5116">
        <v>55</v>
      </c>
      <c r="AA5116">
        <v>0</v>
      </c>
      <c r="AB5116">
        <v>5.2976359999999998</v>
      </c>
      <c r="AC5116">
        <v>2.366041E-2</v>
      </c>
      <c r="AD5116">
        <v>0.92662199999999995</v>
      </c>
      <c r="AE5116">
        <v>0.33897739999999998</v>
      </c>
      <c r="AF5116">
        <v>211.59360000000001</v>
      </c>
      <c r="AG5116">
        <f>IFERROR(AH5116*0.1, "N/A")</f>
        <v>6.4</v>
      </c>
      <c r="AH5116">
        <v>64</v>
      </c>
      <c r="AI5116">
        <v>169.23769999999999</v>
      </c>
      <c r="AJ5116">
        <v>12.370990000000001</v>
      </c>
      <c r="AK5116">
        <v>76.516019999999997</v>
      </c>
    </row>
    <row r="5117" spans="1:37" x14ac:dyDescent="0.3">
      <c r="A5117">
        <v>5116</v>
      </c>
      <c r="B5117">
        <v>1</v>
      </c>
      <c r="C5117">
        <v>1.3</v>
      </c>
      <c r="D5117">
        <v>14.316700000000001</v>
      </c>
      <c r="E5117" t="s">
        <v>8214</v>
      </c>
      <c r="F5117" t="s">
        <v>8216</v>
      </c>
      <c r="G5117" t="s">
        <v>39</v>
      </c>
      <c r="H5117">
        <v>2004</v>
      </c>
      <c r="I5117">
        <v>29.5</v>
      </c>
      <c r="J5117">
        <v>14.2</v>
      </c>
      <c r="K5117">
        <v>57</v>
      </c>
      <c r="L5117">
        <v>28.657720000000001</v>
      </c>
      <c r="M5117">
        <v>41.017710000000001</v>
      </c>
      <c r="N5117">
        <v>16.5</v>
      </c>
      <c r="O5117">
        <v>24.517710000000001</v>
      </c>
      <c r="P5117">
        <v>29.4</v>
      </c>
      <c r="Q5117">
        <v>25.9</v>
      </c>
      <c r="R5117">
        <v>33.127989999999997</v>
      </c>
      <c r="S5117">
        <v>25.527989999999999</v>
      </c>
      <c r="T5117">
        <v>340.08600000000001</v>
      </c>
      <c r="U5117">
        <v>132.7319</v>
      </c>
      <c r="V5117">
        <v>0</v>
      </c>
      <c r="W5117">
        <v>143.1771</v>
      </c>
      <c r="X5117">
        <v>279.08600000000001</v>
      </c>
      <c r="Y5117">
        <v>0</v>
      </c>
      <c r="Z5117">
        <v>55</v>
      </c>
      <c r="AA5117">
        <v>0</v>
      </c>
      <c r="AB5117">
        <v>5.2976359999999998</v>
      </c>
      <c r="AC5117">
        <v>2.366041E-2</v>
      </c>
      <c r="AD5117">
        <v>0.92662199999999995</v>
      </c>
      <c r="AE5117">
        <v>0.33897739999999998</v>
      </c>
      <c r="AF5117">
        <v>211.59360000000001</v>
      </c>
      <c r="AG5117">
        <f>IFERROR(AH5117*0.1, "N/A")</f>
        <v>6.4</v>
      </c>
      <c r="AH5117">
        <v>64</v>
      </c>
      <c r="AI5117">
        <v>169.23769999999999</v>
      </c>
      <c r="AJ5117">
        <v>12.370990000000001</v>
      </c>
      <c r="AK5117">
        <v>76.516019999999997</v>
      </c>
    </row>
    <row r="5118" spans="1:37" x14ac:dyDescent="0.3">
      <c r="A5118">
        <v>5117</v>
      </c>
      <c r="B5118">
        <v>5.9</v>
      </c>
      <c r="C5118">
        <v>1.3</v>
      </c>
      <c r="D5118">
        <v>14.3217</v>
      </c>
      <c r="E5118" t="s">
        <v>8217</v>
      </c>
      <c r="F5118" t="s">
        <v>8218</v>
      </c>
      <c r="G5118" t="s">
        <v>37</v>
      </c>
      <c r="H5118">
        <v>2004</v>
      </c>
      <c r="I5118">
        <v>29.5</v>
      </c>
      <c r="J5118">
        <v>14.2</v>
      </c>
      <c r="K5118">
        <v>57</v>
      </c>
      <c r="L5118">
        <v>28.70158</v>
      </c>
      <c r="M5118">
        <v>41</v>
      </c>
      <c r="N5118">
        <v>16.5</v>
      </c>
      <c r="O5118">
        <v>24.5</v>
      </c>
      <c r="P5118">
        <v>29.4</v>
      </c>
      <c r="Q5118">
        <v>25.9</v>
      </c>
      <c r="R5118">
        <v>33.1</v>
      </c>
      <c r="S5118">
        <v>25.5</v>
      </c>
      <c r="T5118">
        <v>339.6275</v>
      </c>
      <c r="U5118">
        <v>132.6275</v>
      </c>
      <c r="V5118">
        <v>0</v>
      </c>
      <c r="W5118">
        <v>143</v>
      </c>
      <c r="X5118">
        <v>278.6275</v>
      </c>
      <c r="Y5118">
        <v>0</v>
      </c>
      <c r="Z5118">
        <v>55</v>
      </c>
      <c r="AA5118">
        <v>0</v>
      </c>
      <c r="AB5118">
        <v>8.2498290000000001</v>
      </c>
      <c r="AC5118">
        <v>8.2872850000000001E-3</v>
      </c>
      <c r="AD5118">
        <v>1.427122</v>
      </c>
      <c r="AE5118">
        <v>0.33897739999999998</v>
      </c>
      <c r="AF5118">
        <v>216.9195</v>
      </c>
      <c r="AG5118">
        <f>IFERROR(AH5118*0.1, "N/A")</f>
        <v>6.3889260000000005</v>
      </c>
      <c r="AH5118">
        <v>63.88926</v>
      </c>
      <c r="AI5118">
        <v>81.192869999999999</v>
      </c>
      <c r="AJ5118">
        <v>9.6140939999999997</v>
      </c>
      <c r="AK5118">
        <v>80.365769999999998</v>
      </c>
    </row>
    <row r="5119" spans="1:37" x14ac:dyDescent="0.3">
      <c r="A5119">
        <v>5118</v>
      </c>
      <c r="B5119">
        <v>9.6</v>
      </c>
      <c r="C5119">
        <v>1.3</v>
      </c>
      <c r="D5119">
        <v>14.3217</v>
      </c>
      <c r="E5119" t="s">
        <v>8217</v>
      </c>
      <c r="F5119" t="s">
        <v>8219</v>
      </c>
      <c r="G5119" t="s">
        <v>39</v>
      </c>
      <c r="H5119">
        <v>2004</v>
      </c>
      <c r="I5119">
        <v>29.5</v>
      </c>
      <c r="J5119">
        <v>14.2</v>
      </c>
      <c r="K5119">
        <v>57</v>
      </c>
      <c r="L5119">
        <v>28.70158</v>
      </c>
      <c r="M5119">
        <v>41</v>
      </c>
      <c r="N5119">
        <v>16.5</v>
      </c>
      <c r="O5119">
        <v>24.5</v>
      </c>
      <c r="P5119">
        <v>29.4</v>
      </c>
      <c r="Q5119">
        <v>25.9</v>
      </c>
      <c r="R5119">
        <v>33.1</v>
      </c>
      <c r="S5119">
        <v>25.5</v>
      </c>
      <c r="T5119">
        <v>339.6275</v>
      </c>
      <c r="U5119">
        <v>132.6275</v>
      </c>
      <c r="V5119">
        <v>0</v>
      </c>
      <c r="W5119">
        <v>143</v>
      </c>
      <c r="X5119">
        <v>278.6275</v>
      </c>
      <c r="Y5119">
        <v>0</v>
      </c>
      <c r="Z5119">
        <v>55</v>
      </c>
      <c r="AA5119">
        <v>0</v>
      </c>
      <c r="AB5119">
        <v>8.2498290000000001</v>
      </c>
      <c r="AC5119">
        <v>8.2872850000000001E-3</v>
      </c>
      <c r="AD5119">
        <v>1.427122</v>
      </c>
      <c r="AE5119">
        <v>0.33897739999999998</v>
      </c>
      <c r="AF5119">
        <v>216.9195</v>
      </c>
      <c r="AG5119">
        <f>IFERROR(AH5119*0.1, "N/A")</f>
        <v>6.3889260000000005</v>
      </c>
      <c r="AH5119">
        <v>63.88926</v>
      </c>
      <c r="AI5119">
        <v>81.192869999999999</v>
      </c>
      <c r="AJ5119">
        <v>9.6140939999999997</v>
      </c>
      <c r="AK5119">
        <v>80.365769999999998</v>
      </c>
    </row>
    <row r="5120" spans="1:37" x14ac:dyDescent="0.3">
      <c r="A5120">
        <v>5119</v>
      </c>
      <c r="B5120">
        <v>10</v>
      </c>
      <c r="C5120">
        <v>3.3205499999999999</v>
      </c>
      <c r="D5120">
        <v>14.334199999999999</v>
      </c>
      <c r="E5120" t="s">
        <v>8220</v>
      </c>
      <c r="F5120" t="s">
        <v>8221</v>
      </c>
      <c r="G5120" t="s">
        <v>39</v>
      </c>
      <c r="H5120">
        <v>0</v>
      </c>
      <c r="I5120">
        <v>29.1</v>
      </c>
      <c r="J5120">
        <v>13.9</v>
      </c>
      <c r="K5120">
        <v>56</v>
      </c>
      <c r="L5120">
        <v>29.23376</v>
      </c>
      <c r="M5120">
        <v>40.799999999999997</v>
      </c>
      <c r="N5120">
        <v>16.3</v>
      </c>
      <c r="O5120">
        <v>24.5</v>
      </c>
      <c r="P5120">
        <v>28.8</v>
      </c>
      <c r="Q5120">
        <v>27.1</v>
      </c>
      <c r="R5120">
        <v>33</v>
      </c>
      <c r="S5120">
        <v>25.197649999999999</v>
      </c>
      <c r="T5120">
        <v>363.97649999999999</v>
      </c>
      <c r="U5120">
        <v>130</v>
      </c>
      <c r="V5120">
        <v>0</v>
      </c>
      <c r="W5120">
        <v>144</v>
      </c>
      <c r="X5120">
        <v>297</v>
      </c>
      <c r="Y5120">
        <v>0</v>
      </c>
      <c r="Z5120">
        <v>61</v>
      </c>
      <c r="AA5120">
        <v>0</v>
      </c>
      <c r="AB5120">
        <v>3.382857</v>
      </c>
      <c r="AC5120">
        <v>2.0765860000000001E-2</v>
      </c>
      <c r="AD5120">
        <v>1.4478740000000001</v>
      </c>
      <c r="AE5120">
        <v>0.4874385</v>
      </c>
      <c r="AF5120">
        <v>222.64709999999999</v>
      </c>
      <c r="AG5120">
        <f>IFERROR(AH5120*0.1, "N/A")</f>
        <v>5.7764710000000008</v>
      </c>
      <c r="AH5120">
        <v>57.764710000000001</v>
      </c>
      <c r="AI5120">
        <v>192.28960000000001</v>
      </c>
      <c r="AJ5120">
        <v>10.64202</v>
      </c>
      <c r="AK5120">
        <v>78.529409999999999</v>
      </c>
    </row>
    <row r="5121" spans="1:37" x14ac:dyDescent="0.3">
      <c r="A5121">
        <v>5120</v>
      </c>
      <c r="B5121">
        <v>8.3000000000000007</v>
      </c>
      <c r="C5121">
        <v>2.1686700000000001</v>
      </c>
      <c r="D5121">
        <v>14.3369</v>
      </c>
      <c r="E5121" t="s">
        <v>8222</v>
      </c>
      <c r="F5121" t="s">
        <v>8223</v>
      </c>
      <c r="G5121" t="s">
        <v>39</v>
      </c>
      <c r="H5121">
        <v>0</v>
      </c>
      <c r="I5121">
        <v>29.4</v>
      </c>
      <c r="J5121">
        <v>14.3</v>
      </c>
      <c r="K5121">
        <v>57</v>
      </c>
      <c r="L5121">
        <v>29.11</v>
      </c>
      <c r="M5121">
        <v>41.1</v>
      </c>
      <c r="N5121">
        <v>16.2</v>
      </c>
      <c r="O5121">
        <v>24.9</v>
      </c>
      <c r="P5121">
        <v>29.1</v>
      </c>
      <c r="Q5121">
        <v>27.3</v>
      </c>
      <c r="R5121">
        <v>33.200000000000003</v>
      </c>
      <c r="S5121">
        <v>25.5</v>
      </c>
      <c r="T5121">
        <v>363</v>
      </c>
      <c r="U5121">
        <v>131</v>
      </c>
      <c r="V5121">
        <v>0</v>
      </c>
      <c r="W5121">
        <v>139</v>
      </c>
      <c r="X5121">
        <v>293</v>
      </c>
      <c r="Y5121">
        <v>0</v>
      </c>
      <c r="Z5121">
        <v>64</v>
      </c>
      <c r="AA5121">
        <v>0</v>
      </c>
      <c r="AB5121">
        <v>2.3471440000000001</v>
      </c>
      <c r="AC5121">
        <v>0.67586020000000002</v>
      </c>
      <c r="AD5121">
        <v>0.65997039999999996</v>
      </c>
      <c r="AE5121">
        <v>0.23196020000000001</v>
      </c>
      <c r="AF5121">
        <v>233.10570000000001</v>
      </c>
      <c r="AG5121">
        <f>IFERROR(AH5121*0.1, "N/A")</f>
        <v>5.9236579999999996</v>
      </c>
      <c r="AH5121">
        <v>59.236579999999996</v>
      </c>
      <c r="AI5121">
        <v>48.55151</v>
      </c>
      <c r="AJ5121">
        <v>7.968121</v>
      </c>
      <c r="AK5121">
        <v>83.406040000000004</v>
      </c>
    </row>
    <row r="5122" spans="1:37" x14ac:dyDescent="0.3">
      <c r="A5122">
        <v>5121</v>
      </c>
      <c r="B5122">
        <v>96.7</v>
      </c>
      <c r="C5122">
        <v>1.25753</v>
      </c>
      <c r="D5122">
        <v>14.3499</v>
      </c>
      <c r="E5122" t="s">
        <v>8224</v>
      </c>
      <c r="F5122" t="s">
        <v>8225</v>
      </c>
      <c r="G5122" t="s">
        <v>39</v>
      </c>
      <c r="H5122">
        <v>0</v>
      </c>
      <c r="I5122">
        <v>29.5</v>
      </c>
      <c r="J5122">
        <v>14.2</v>
      </c>
      <c r="K5122">
        <v>57</v>
      </c>
      <c r="L5122">
        <v>28.519279999999998</v>
      </c>
      <c r="M5122">
        <v>40.931319999999999</v>
      </c>
      <c r="N5122">
        <v>16.331320000000002</v>
      </c>
      <c r="O5122">
        <v>24.6</v>
      </c>
      <c r="P5122">
        <v>29.4</v>
      </c>
      <c r="Q5122">
        <v>27.23132</v>
      </c>
      <c r="R5122">
        <v>33.1</v>
      </c>
      <c r="S5122">
        <v>25.531320000000001</v>
      </c>
      <c r="T5122">
        <v>328.31319999999999</v>
      </c>
      <c r="U5122">
        <v>128.31319999999999</v>
      </c>
      <c r="V5122">
        <v>0</v>
      </c>
      <c r="W5122">
        <v>143.31319999999999</v>
      </c>
      <c r="X5122">
        <v>269.31319999999999</v>
      </c>
      <c r="Y5122">
        <v>0</v>
      </c>
      <c r="Z5122">
        <v>54</v>
      </c>
      <c r="AA5122">
        <v>0</v>
      </c>
      <c r="AB5122">
        <v>10.33216</v>
      </c>
      <c r="AC5122">
        <v>1.6641920000000001E-2</v>
      </c>
      <c r="AD5122">
        <v>1.345626</v>
      </c>
      <c r="AE5122">
        <v>0.60530709999999999</v>
      </c>
      <c r="AF5122">
        <v>214.41210000000001</v>
      </c>
      <c r="AG5122">
        <f>IFERROR(AH5122*0.1, "N/A")</f>
        <v>6.5</v>
      </c>
      <c r="AH5122">
        <v>65</v>
      </c>
      <c r="AI5122">
        <v>225.14160000000001</v>
      </c>
      <c r="AJ5122">
        <v>18</v>
      </c>
      <c r="AK5122">
        <v>69</v>
      </c>
    </row>
    <row r="5123" spans="1:37" x14ac:dyDescent="0.3">
      <c r="A5123">
        <v>5122</v>
      </c>
      <c r="B5123">
        <v>0</v>
      </c>
      <c r="C5123">
        <v>1.264</v>
      </c>
      <c r="D5123">
        <v>14.35</v>
      </c>
      <c r="E5123" t="s">
        <v>8226</v>
      </c>
      <c r="F5123" t="s">
        <v>8227</v>
      </c>
      <c r="G5123" t="s">
        <v>37</v>
      </c>
      <c r="H5123">
        <v>1987</v>
      </c>
      <c r="I5123">
        <v>29.423829999999999</v>
      </c>
      <c r="J5123">
        <v>14.2</v>
      </c>
      <c r="K5123">
        <v>57</v>
      </c>
      <c r="L5123">
        <v>28.519970000000001</v>
      </c>
      <c r="M5123">
        <v>40.976170000000003</v>
      </c>
      <c r="N5123">
        <v>16.323820000000001</v>
      </c>
      <c r="O5123">
        <v>24.652349999999998</v>
      </c>
      <c r="P5123">
        <v>29.323820000000001</v>
      </c>
      <c r="Q5123">
        <v>27.2</v>
      </c>
      <c r="R5123">
        <v>33.1</v>
      </c>
      <c r="S5123">
        <v>25.5</v>
      </c>
      <c r="T5123">
        <v>329</v>
      </c>
      <c r="U5123">
        <v>129</v>
      </c>
      <c r="V5123">
        <v>0</v>
      </c>
      <c r="W5123">
        <v>144</v>
      </c>
      <c r="X5123">
        <v>270</v>
      </c>
      <c r="Y5123">
        <v>0</v>
      </c>
      <c r="Z5123">
        <v>54</v>
      </c>
      <c r="AA5123">
        <v>0</v>
      </c>
      <c r="AB5123">
        <v>9.0046970000000002</v>
      </c>
      <c r="AC5123">
        <v>8.2862720000000008E-3</v>
      </c>
      <c r="AD5123">
        <v>2.3882669999999999</v>
      </c>
      <c r="AE5123">
        <v>0.33108280000000001</v>
      </c>
      <c r="AF5123">
        <v>218.27520000000001</v>
      </c>
      <c r="AG5123">
        <f>IFERROR(AH5123*0.1, "N/A")</f>
        <v>6.4</v>
      </c>
      <c r="AH5123">
        <v>64</v>
      </c>
      <c r="AI5123">
        <v>168.60650000000001</v>
      </c>
      <c r="AJ5123">
        <v>8</v>
      </c>
      <c r="AK5123">
        <v>83</v>
      </c>
    </row>
    <row r="5124" spans="1:37" x14ac:dyDescent="0.3">
      <c r="A5124">
        <v>5123</v>
      </c>
      <c r="B5124">
        <v>10</v>
      </c>
      <c r="C5124">
        <v>3.3340000000000001</v>
      </c>
      <c r="D5124">
        <v>14.352</v>
      </c>
      <c r="E5124" t="s">
        <v>8228</v>
      </c>
      <c r="F5124" t="s">
        <v>8229</v>
      </c>
      <c r="G5124" t="s">
        <v>39</v>
      </c>
      <c r="H5124">
        <v>1987</v>
      </c>
      <c r="I5124">
        <v>29.120200000000001</v>
      </c>
      <c r="J5124">
        <v>13.9</v>
      </c>
      <c r="K5124">
        <v>56</v>
      </c>
      <c r="L5124">
        <v>29.9299</v>
      </c>
      <c r="M5124">
        <v>40.799999999999997</v>
      </c>
      <c r="N5124">
        <v>16.120200000000001</v>
      </c>
      <c r="O5124">
        <v>24.6798</v>
      </c>
      <c r="P5124">
        <v>28.9</v>
      </c>
      <c r="Q5124">
        <v>26.920200000000001</v>
      </c>
      <c r="R5124">
        <v>33.020200000000003</v>
      </c>
      <c r="S5124">
        <v>25.020199999999999</v>
      </c>
      <c r="T5124">
        <v>362.798</v>
      </c>
      <c r="U5124">
        <v>130</v>
      </c>
      <c r="V5124">
        <v>0</v>
      </c>
      <c r="W5124">
        <v>143</v>
      </c>
      <c r="X5124">
        <v>296.798</v>
      </c>
      <c r="Y5124">
        <v>0</v>
      </c>
      <c r="Z5124">
        <v>60</v>
      </c>
      <c r="AA5124">
        <v>0</v>
      </c>
      <c r="AB5124">
        <v>0.26633200000000001</v>
      </c>
      <c r="AC5124">
        <v>3.025723E-2</v>
      </c>
      <c r="AD5124">
        <v>1.5165500000000001</v>
      </c>
      <c r="AE5124">
        <v>0.61616890000000002</v>
      </c>
      <c r="AF5124">
        <v>222.98650000000001</v>
      </c>
      <c r="AG5124">
        <f>IFERROR(AH5124*0.1, "N/A")</f>
        <v>6.4501679999999997</v>
      </c>
      <c r="AH5124">
        <v>64.501679999999993</v>
      </c>
      <c r="AI5124">
        <v>160.34280000000001</v>
      </c>
      <c r="AJ5124">
        <v>5.8198650000000001</v>
      </c>
      <c r="AK5124">
        <v>86.05556</v>
      </c>
    </row>
    <row r="5125" spans="1:37" x14ac:dyDescent="0.3">
      <c r="A5125">
        <v>5124</v>
      </c>
      <c r="B5125">
        <v>26</v>
      </c>
      <c r="C5125">
        <v>3.3194400000000002</v>
      </c>
      <c r="D5125">
        <v>14.3528</v>
      </c>
      <c r="E5125" t="s">
        <v>8230</v>
      </c>
      <c r="F5125" t="s">
        <v>8231</v>
      </c>
      <c r="G5125" t="s">
        <v>39</v>
      </c>
      <c r="H5125">
        <v>0</v>
      </c>
      <c r="I5125">
        <v>29.2</v>
      </c>
      <c r="J5125">
        <v>13.9</v>
      </c>
      <c r="K5125">
        <v>56</v>
      </c>
      <c r="L5125">
        <v>29.6</v>
      </c>
      <c r="M5125">
        <v>40.799999999999997</v>
      </c>
      <c r="N5125">
        <v>16.2</v>
      </c>
      <c r="O5125">
        <v>24.6</v>
      </c>
      <c r="P5125">
        <v>28.9</v>
      </c>
      <c r="Q5125">
        <v>27.1</v>
      </c>
      <c r="R5125">
        <v>33</v>
      </c>
      <c r="S5125">
        <v>25.1</v>
      </c>
      <c r="T5125">
        <v>363</v>
      </c>
      <c r="U5125">
        <v>130</v>
      </c>
      <c r="V5125">
        <v>0</v>
      </c>
      <c r="W5125">
        <v>143</v>
      </c>
      <c r="X5125">
        <v>296</v>
      </c>
      <c r="Y5125">
        <v>0</v>
      </c>
      <c r="Z5125">
        <v>61</v>
      </c>
      <c r="AA5125">
        <v>0</v>
      </c>
      <c r="AB5125">
        <v>3.1480679999999999</v>
      </c>
      <c r="AC5125">
        <v>10046.48</v>
      </c>
      <c r="AD5125">
        <v>0.88059710000000002</v>
      </c>
      <c r="AE5125">
        <v>0.51227180000000005</v>
      </c>
      <c r="AF5125">
        <v>222.91759999999999</v>
      </c>
      <c r="AG5125">
        <f>IFERROR(AH5125*0.1, "N/A")</f>
        <v>6.5</v>
      </c>
      <c r="AH5125">
        <v>65</v>
      </c>
      <c r="AI5125">
        <v>117.97280000000001</v>
      </c>
      <c r="AJ5125">
        <v>15.152939999999999</v>
      </c>
      <c r="AK5125">
        <v>72</v>
      </c>
    </row>
    <row r="5126" spans="1:37" x14ac:dyDescent="0.3">
      <c r="A5126">
        <v>5125</v>
      </c>
      <c r="B5126">
        <v>53.3</v>
      </c>
      <c r="C5126">
        <v>9.1141299999999994</v>
      </c>
      <c r="D5126">
        <v>14.359</v>
      </c>
      <c r="E5126" t="s">
        <v>8232</v>
      </c>
      <c r="F5126" t="s">
        <v>8233</v>
      </c>
      <c r="G5126" t="s">
        <v>39</v>
      </c>
      <c r="H5126">
        <v>0</v>
      </c>
      <c r="I5126">
        <v>27.6</v>
      </c>
      <c r="J5126">
        <v>14.5</v>
      </c>
      <c r="K5126">
        <v>56.778889999999997</v>
      </c>
      <c r="L5126">
        <v>31.892859999999999</v>
      </c>
      <c r="M5126">
        <v>39.722110000000001</v>
      </c>
      <c r="N5126">
        <v>14.277889999999999</v>
      </c>
      <c r="O5126">
        <v>25.444220000000001</v>
      </c>
      <c r="P5126">
        <v>27.622109999999999</v>
      </c>
      <c r="Q5126">
        <v>25.1</v>
      </c>
      <c r="R5126">
        <v>31.7</v>
      </c>
      <c r="S5126">
        <v>23.07789</v>
      </c>
      <c r="T5126">
        <v>253</v>
      </c>
      <c r="U5126">
        <v>106</v>
      </c>
      <c r="V5126">
        <v>0</v>
      </c>
      <c r="W5126">
        <v>156</v>
      </c>
      <c r="X5126">
        <v>220</v>
      </c>
      <c r="Y5126">
        <v>0</v>
      </c>
      <c r="Z5126">
        <v>31</v>
      </c>
      <c r="AA5126">
        <v>0</v>
      </c>
      <c r="AB5126">
        <v>3.3765589999999999</v>
      </c>
      <c r="AC5126">
        <v>5.712685E-2</v>
      </c>
      <c r="AD5126">
        <v>0.70665160000000005</v>
      </c>
      <c r="AE5126">
        <v>0.56459930000000003</v>
      </c>
      <c r="AF5126">
        <v>474.3032</v>
      </c>
      <c r="AG5126">
        <f>IFERROR(AH5126*0.1, "N/A")</f>
        <v>7.6738690000000007</v>
      </c>
      <c r="AH5126">
        <v>76.738690000000005</v>
      </c>
      <c r="AI5126">
        <v>76.292339999999996</v>
      </c>
      <c r="AJ5126">
        <v>10.891120000000001</v>
      </c>
      <c r="AK5126">
        <v>77.065330000000003</v>
      </c>
    </row>
    <row r="5127" spans="1:37" x14ac:dyDescent="0.3">
      <c r="A5127">
        <v>5126</v>
      </c>
      <c r="B5127">
        <v>1.7</v>
      </c>
      <c r="C5127">
        <v>5.88178</v>
      </c>
      <c r="D5127">
        <v>14.366400000000001</v>
      </c>
      <c r="E5127" t="s">
        <v>8234</v>
      </c>
      <c r="F5127" t="s">
        <v>8235</v>
      </c>
      <c r="G5127" t="s">
        <v>39</v>
      </c>
      <c r="H5127">
        <v>0</v>
      </c>
      <c r="I5127">
        <v>28.2</v>
      </c>
      <c r="J5127">
        <v>14.5</v>
      </c>
      <c r="K5127">
        <v>57</v>
      </c>
      <c r="L5127">
        <v>29.64866</v>
      </c>
      <c r="M5127">
        <v>40</v>
      </c>
      <c r="N5127">
        <v>14.9</v>
      </c>
      <c r="O5127">
        <v>25.1</v>
      </c>
      <c r="P5127">
        <v>27.9</v>
      </c>
      <c r="Q5127">
        <v>24.5</v>
      </c>
      <c r="R5127">
        <v>32.1</v>
      </c>
      <c r="S5127">
        <v>24.2</v>
      </c>
      <c r="T5127">
        <v>420</v>
      </c>
      <c r="U5127">
        <v>151</v>
      </c>
      <c r="V5127">
        <v>0</v>
      </c>
      <c r="W5127">
        <v>141</v>
      </c>
      <c r="X5127">
        <v>338</v>
      </c>
      <c r="Y5127">
        <v>0</v>
      </c>
      <c r="Z5127">
        <v>76</v>
      </c>
      <c r="AA5127">
        <v>0</v>
      </c>
      <c r="AB5127">
        <v>0.90302059999999995</v>
      </c>
      <c r="AC5127">
        <v>0.3584598</v>
      </c>
      <c r="AD5127">
        <v>1.2189680000000001</v>
      </c>
      <c r="AE5127">
        <v>0.59929619999999995</v>
      </c>
      <c r="AF5127">
        <v>382.0772</v>
      </c>
      <c r="AG5127">
        <f>IFERROR(AH5127*0.1, "N/A")</f>
        <v>7.1000000000000005</v>
      </c>
      <c r="AH5127">
        <v>71</v>
      </c>
      <c r="AI5127">
        <v>242.2431</v>
      </c>
      <c r="AJ5127">
        <v>25.55369</v>
      </c>
      <c r="AK5127">
        <v>58.263420000000004</v>
      </c>
    </row>
    <row r="5128" spans="1:37" x14ac:dyDescent="0.3">
      <c r="A5128">
        <v>5127</v>
      </c>
      <c r="B5128">
        <v>76.8</v>
      </c>
      <c r="C5128">
        <v>1.2137199999999999</v>
      </c>
      <c r="D5128">
        <v>14.373100000000001</v>
      </c>
      <c r="E5128" t="s">
        <v>8236</v>
      </c>
      <c r="F5128" t="s">
        <v>8237</v>
      </c>
      <c r="G5128" t="s">
        <v>39</v>
      </c>
      <c r="H5128">
        <v>0</v>
      </c>
      <c r="I5128">
        <v>29.5</v>
      </c>
      <c r="J5128">
        <v>14.3</v>
      </c>
      <c r="K5128">
        <v>58</v>
      </c>
      <c r="L5128">
        <v>28.45</v>
      </c>
      <c r="M5128">
        <v>41</v>
      </c>
      <c r="N5128">
        <v>16.399999999999999</v>
      </c>
      <c r="O5128">
        <v>24.6</v>
      </c>
      <c r="P5128">
        <v>29.4</v>
      </c>
      <c r="Q5128">
        <v>27.2</v>
      </c>
      <c r="R5128">
        <v>33.1</v>
      </c>
      <c r="S5128">
        <v>25.5</v>
      </c>
      <c r="T5128">
        <v>317</v>
      </c>
      <c r="U5128">
        <v>125</v>
      </c>
      <c r="V5128">
        <v>0</v>
      </c>
      <c r="W5128">
        <v>144</v>
      </c>
      <c r="X5128">
        <v>261</v>
      </c>
      <c r="Y5128">
        <v>0</v>
      </c>
      <c r="Z5128">
        <v>52</v>
      </c>
      <c r="AA5128">
        <v>0</v>
      </c>
      <c r="AB5128">
        <v>1.8865080000000001</v>
      </c>
      <c r="AC5128">
        <v>0.42814540000000001</v>
      </c>
      <c r="AD5128">
        <v>1.7998130000000001</v>
      </c>
      <c r="AE5128">
        <v>0.33503139999999998</v>
      </c>
      <c r="AF5128">
        <v>207.41820000000001</v>
      </c>
      <c r="AG5128">
        <f>IFERROR(AH5128*0.1, "N/A")</f>
        <v>6.2</v>
      </c>
      <c r="AH5128">
        <v>62</v>
      </c>
      <c r="AI5128">
        <v>121.14149999999999</v>
      </c>
      <c r="AJ5128">
        <v>23</v>
      </c>
      <c r="AK5128">
        <v>56</v>
      </c>
    </row>
    <row r="5129" spans="1:37" x14ac:dyDescent="0.3">
      <c r="A5129">
        <v>5128</v>
      </c>
      <c r="B5129">
        <v>0</v>
      </c>
      <c r="C5129">
        <v>7.30694</v>
      </c>
      <c r="D5129">
        <v>14.3781</v>
      </c>
      <c r="E5129" t="s">
        <v>8238</v>
      </c>
      <c r="F5129" t="s">
        <v>8239</v>
      </c>
      <c r="G5129" t="s">
        <v>39</v>
      </c>
      <c r="H5129">
        <v>0</v>
      </c>
      <c r="I5129">
        <v>27.7</v>
      </c>
      <c r="J5129">
        <v>14.6</v>
      </c>
      <c r="K5129">
        <v>56</v>
      </c>
      <c r="L5129">
        <v>32.31</v>
      </c>
      <c r="M5129">
        <v>39.799999999999997</v>
      </c>
      <c r="N5129">
        <v>13.9</v>
      </c>
      <c r="O5129">
        <v>25.9</v>
      </c>
      <c r="P5129">
        <v>27.7</v>
      </c>
      <c r="Q5129">
        <v>25.2</v>
      </c>
      <c r="R5129">
        <v>31.9</v>
      </c>
      <c r="S5129">
        <v>23.2</v>
      </c>
      <c r="T5129">
        <v>295</v>
      </c>
      <c r="U5129">
        <v>113</v>
      </c>
      <c r="V5129">
        <v>0</v>
      </c>
      <c r="W5129">
        <v>155</v>
      </c>
      <c r="X5129">
        <v>254</v>
      </c>
      <c r="Y5129">
        <v>0</v>
      </c>
      <c r="Z5129">
        <v>39</v>
      </c>
      <c r="AA5129">
        <v>0</v>
      </c>
      <c r="AB5129">
        <v>4.7369180000000002</v>
      </c>
      <c r="AC5129">
        <v>8.7467130000000004E-2</v>
      </c>
      <c r="AD5129">
        <v>1.104282</v>
      </c>
      <c r="AE5129">
        <v>0.6869111</v>
      </c>
      <c r="AF5129">
        <v>421.93790000000001</v>
      </c>
      <c r="AG5129">
        <f>IFERROR(AH5129*0.1, "N/A")</f>
        <v>6.8751679999999995</v>
      </c>
      <c r="AH5129">
        <v>68.751679999999993</v>
      </c>
      <c r="AI5129">
        <v>231.82550000000001</v>
      </c>
      <c r="AJ5129">
        <v>7</v>
      </c>
      <c r="AK5129">
        <v>80</v>
      </c>
    </row>
    <row r="5130" spans="1:37" x14ac:dyDescent="0.3">
      <c r="A5130">
        <v>5129</v>
      </c>
      <c r="B5130">
        <v>0</v>
      </c>
      <c r="C5130">
        <v>7.30694</v>
      </c>
      <c r="D5130">
        <v>14.3781</v>
      </c>
      <c r="E5130" t="s">
        <v>8238</v>
      </c>
      <c r="F5130" t="s">
        <v>8240</v>
      </c>
      <c r="G5130" t="s">
        <v>37</v>
      </c>
      <c r="H5130">
        <v>0</v>
      </c>
      <c r="I5130">
        <v>27.7</v>
      </c>
      <c r="J5130">
        <v>14.6</v>
      </c>
      <c r="K5130">
        <v>56</v>
      </c>
      <c r="L5130">
        <v>32.31</v>
      </c>
      <c r="M5130">
        <v>39.799999999999997</v>
      </c>
      <c r="N5130">
        <v>13.9</v>
      </c>
      <c r="O5130">
        <v>25.9</v>
      </c>
      <c r="P5130">
        <v>27.7</v>
      </c>
      <c r="Q5130">
        <v>25.2</v>
      </c>
      <c r="R5130">
        <v>31.9</v>
      </c>
      <c r="S5130">
        <v>23.2</v>
      </c>
      <c r="T5130">
        <v>295</v>
      </c>
      <c r="U5130">
        <v>113</v>
      </c>
      <c r="V5130">
        <v>0</v>
      </c>
      <c r="W5130">
        <v>155</v>
      </c>
      <c r="X5130">
        <v>254</v>
      </c>
      <c r="Y5130">
        <v>0</v>
      </c>
      <c r="Z5130">
        <v>39</v>
      </c>
      <c r="AA5130">
        <v>0</v>
      </c>
      <c r="AB5130">
        <v>4.7369180000000002</v>
      </c>
      <c r="AC5130">
        <v>8.7467130000000004E-2</v>
      </c>
      <c r="AD5130">
        <v>1.104282</v>
      </c>
      <c r="AE5130">
        <v>0.6869111</v>
      </c>
      <c r="AF5130">
        <v>421.93790000000001</v>
      </c>
      <c r="AG5130">
        <f>IFERROR(AH5130*0.1, "N/A")</f>
        <v>6.8751679999999995</v>
      </c>
      <c r="AH5130">
        <v>68.751679999999993</v>
      </c>
      <c r="AI5130">
        <v>231.82550000000001</v>
      </c>
      <c r="AJ5130">
        <v>7</v>
      </c>
      <c r="AK5130">
        <v>80</v>
      </c>
    </row>
    <row r="5131" spans="1:37" x14ac:dyDescent="0.3">
      <c r="A5131">
        <v>5130</v>
      </c>
      <c r="B5131">
        <v>92</v>
      </c>
      <c r="C5131">
        <v>1.2142299999999999</v>
      </c>
      <c r="D5131">
        <v>14.3811</v>
      </c>
      <c r="E5131" t="s">
        <v>8241</v>
      </c>
      <c r="F5131" t="s">
        <v>8242</v>
      </c>
      <c r="G5131" t="s">
        <v>39</v>
      </c>
      <c r="H5131">
        <v>0</v>
      </c>
      <c r="I5131">
        <v>29.5</v>
      </c>
      <c r="J5131">
        <v>14.3</v>
      </c>
      <c r="K5131">
        <v>58</v>
      </c>
      <c r="L5131">
        <v>28.58</v>
      </c>
      <c r="M5131">
        <v>41</v>
      </c>
      <c r="N5131">
        <v>16.399999999999999</v>
      </c>
      <c r="O5131">
        <v>24.6</v>
      </c>
      <c r="P5131">
        <v>29.3</v>
      </c>
      <c r="Q5131">
        <v>27.2</v>
      </c>
      <c r="R5131">
        <v>33.1</v>
      </c>
      <c r="S5131">
        <v>25.5</v>
      </c>
      <c r="T5131">
        <v>316</v>
      </c>
      <c r="U5131">
        <v>125</v>
      </c>
      <c r="V5131">
        <v>0</v>
      </c>
      <c r="W5131">
        <v>144</v>
      </c>
      <c r="X5131">
        <v>260</v>
      </c>
      <c r="Y5131">
        <v>0</v>
      </c>
      <c r="Z5131">
        <v>52</v>
      </c>
      <c r="AA5131">
        <v>0</v>
      </c>
      <c r="AB5131">
        <v>4.3674540000000004</v>
      </c>
      <c r="AC5131">
        <v>2.2325350000000001E-2</v>
      </c>
      <c r="AD5131">
        <v>2.33738</v>
      </c>
      <c r="AE5131">
        <v>0.40738360000000001</v>
      </c>
      <c r="AF5131">
        <v>210.13419999999999</v>
      </c>
      <c r="AG5131">
        <f>IFERROR(AH5131*0.1, "N/A")</f>
        <v>6.5</v>
      </c>
      <c r="AH5131">
        <v>65</v>
      </c>
      <c r="AI5131">
        <v>185.43100000000001</v>
      </c>
      <c r="AJ5131">
        <v>11.27181</v>
      </c>
      <c r="AK5131">
        <v>76.456379999999996</v>
      </c>
    </row>
    <row r="5132" spans="1:37" x14ac:dyDescent="0.3">
      <c r="A5132">
        <v>5131</v>
      </c>
      <c r="B5132">
        <v>0</v>
      </c>
      <c r="C5132">
        <v>1.2166699999999999</v>
      </c>
      <c r="D5132">
        <v>14.3833</v>
      </c>
      <c r="E5132" t="s">
        <v>8243</v>
      </c>
      <c r="F5132" t="s">
        <v>8244</v>
      </c>
      <c r="G5132" t="s">
        <v>37</v>
      </c>
      <c r="H5132">
        <v>2004</v>
      </c>
      <c r="I5132">
        <v>29.5</v>
      </c>
      <c r="J5132">
        <v>14.2835</v>
      </c>
      <c r="K5132">
        <v>57.023569999999999</v>
      </c>
      <c r="L5132">
        <v>28.284040000000001</v>
      </c>
      <c r="M5132">
        <v>41</v>
      </c>
      <c r="N5132">
        <v>16.318850000000001</v>
      </c>
      <c r="O5132">
        <v>24.681149999999999</v>
      </c>
      <c r="P5132">
        <v>29.3</v>
      </c>
      <c r="Q5132">
        <v>27.2</v>
      </c>
      <c r="R5132">
        <v>33.1</v>
      </c>
      <c r="S5132">
        <v>25.5</v>
      </c>
      <c r="T5132">
        <v>315.81990000000002</v>
      </c>
      <c r="U5132">
        <v>124.8199</v>
      </c>
      <c r="V5132">
        <v>0</v>
      </c>
      <c r="W5132">
        <v>143.81989999999999</v>
      </c>
      <c r="X5132">
        <v>259.81990000000002</v>
      </c>
      <c r="Y5132">
        <v>0</v>
      </c>
      <c r="Z5132">
        <v>52</v>
      </c>
      <c r="AA5132">
        <v>0</v>
      </c>
      <c r="AB5132">
        <v>0.41885699999999998</v>
      </c>
      <c r="AC5132">
        <v>0.52201739999999996</v>
      </c>
      <c r="AD5132">
        <v>1.8978550000000001</v>
      </c>
      <c r="AE5132">
        <v>0.51532599999999995</v>
      </c>
      <c r="AF5132">
        <v>208.28280000000001</v>
      </c>
      <c r="AG5132">
        <f>IFERROR(AH5132*0.1, "N/A")</f>
        <v>6.4819870000000002</v>
      </c>
      <c r="AH5132">
        <v>64.819869999999995</v>
      </c>
      <c r="AI5132">
        <v>191.7876</v>
      </c>
      <c r="AJ5132">
        <v>10.39226</v>
      </c>
      <c r="AK5132">
        <v>78.109430000000003</v>
      </c>
    </row>
    <row r="5133" spans="1:37" x14ac:dyDescent="0.3">
      <c r="A5133">
        <v>5132</v>
      </c>
      <c r="B5133">
        <v>4</v>
      </c>
      <c r="C5133">
        <v>1.2166699999999999</v>
      </c>
      <c r="D5133">
        <v>14.3833</v>
      </c>
      <c r="E5133" t="s">
        <v>8243</v>
      </c>
      <c r="F5133" t="s">
        <v>8245</v>
      </c>
      <c r="G5133" t="s">
        <v>39</v>
      </c>
      <c r="H5133">
        <v>2004</v>
      </c>
      <c r="I5133">
        <v>29.5</v>
      </c>
      <c r="J5133">
        <v>14.2835</v>
      </c>
      <c r="K5133">
        <v>57.023569999999999</v>
      </c>
      <c r="L5133">
        <v>28.284040000000001</v>
      </c>
      <c r="M5133">
        <v>41</v>
      </c>
      <c r="N5133">
        <v>16.318850000000001</v>
      </c>
      <c r="O5133">
        <v>24.681149999999999</v>
      </c>
      <c r="P5133">
        <v>29.3</v>
      </c>
      <c r="Q5133">
        <v>27.2</v>
      </c>
      <c r="R5133">
        <v>33.1</v>
      </c>
      <c r="S5133">
        <v>25.5</v>
      </c>
      <c r="T5133">
        <v>315.81990000000002</v>
      </c>
      <c r="U5133">
        <v>124.8199</v>
      </c>
      <c r="V5133">
        <v>0</v>
      </c>
      <c r="W5133">
        <v>143.81989999999999</v>
      </c>
      <c r="X5133">
        <v>259.81990000000002</v>
      </c>
      <c r="Y5133">
        <v>0</v>
      </c>
      <c r="Z5133">
        <v>52</v>
      </c>
      <c r="AA5133">
        <v>0</v>
      </c>
      <c r="AB5133">
        <v>0.41885699999999998</v>
      </c>
      <c r="AC5133">
        <v>0.52201739999999996</v>
      </c>
      <c r="AD5133">
        <v>1.8978550000000001</v>
      </c>
      <c r="AE5133">
        <v>0.51532599999999995</v>
      </c>
      <c r="AF5133">
        <v>208.28280000000001</v>
      </c>
      <c r="AG5133">
        <f>IFERROR(AH5133*0.1, "N/A")</f>
        <v>6.4819870000000002</v>
      </c>
      <c r="AH5133">
        <v>64.819869999999995</v>
      </c>
      <c r="AI5133">
        <v>191.7876</v>
      </c>
      <c r="AJ5133">
        <v>10.39226</v>
      </c>
      <c r="AK5133">
        <v>78.109430000000003</v>
      </c>
    </row>
    <row r="5134" spans="1:37" x14ac:dyDescent="0.3">
      <c r="A5134">
        <v>5133</v>
      </c>
      <c r="B5134">
        <v>75</v>
      </c>
      <c r="C5134">
        <v>1.1255500000000001</v>
      </c>
      <c r="D5134">
        <v>14.3947</v>
      </c>
      <c r="E5134" t="s">
        <v>8246</v>
      </c>
      <c r="F5134" t="s">
        <v>8247</v>
      </c>
      <c r="G5134" t="s">
        <v>39</v>
      </c>
      <c r="H5134">
        <v>0</v>
      </c>
      <c r="I5134">
        <v>29.4</v>
      </c>
      <c r="J5134">
        <v>14.3</v>
      </c>
      <c r="K5134">
        <v>58</v>
      </c>
      <c r="L5134">
        <v>28.4</v>
      </c>
      <c r="M5134">
        <v>40.799999999999997</v>
      </c>
      <c r="N5134">
        <v>16.2</v>
      </c>
      <c r="O5134">
        <v>24.6</v>
      </c>
      <c r="P5134">
        <v>29.3</v>
      </c>
      <c r="Q5134">
        <v>27.1</v>
      </c>
      <c r="R5134">
        <v>32.9</v>
      </c>
      <c r="S5134">
        <v>25.4</v>
      </c>
      <c r="T5134">
        <v>306</v>
      </c>
      <c r="U5134">
        <v>122</v>
      </c>
      <c r="V5134">
        <v>0</v>
      </c>
      <c r="W5134">
        <v>146</v>
      </c>
      <c r="X5134">
        <v>253</v>
      </c>
      <c r="Y5134">
        <v>0</v>
      </c>
      <c r="Z5134">
        <v>50</v>
      </c>
      <c r="AA5134">
        <v>0</v>
      </c>
      <c r="AB5134">
        <v>1.415124</v>
      </c>
      <c r="AC5134">
        <v>0.38979259999999999</v>
      </c>
      <c r="AD5134">
        <v>1.217646</v>
      </c>
      <c r="AE5134">
        <v>0.48033910000000002</v>
      </c>
      <c r="AF5134">
        <v>216.67060000000001</v>
      </c>
      <c r="AG5134">
        <f>IFERROR(AH5134*0.1, "N/A")</f>
        <v>6.5405040000000003</v>
      </c>
      <c r="AH5134">
        <v>65.40504</v>
      </c>
      <c r="AI5134">
        <v>285.40260000000001</v>
      </c>
      <c r="AJ5134">
        <v>12</v>
      </c>
      <c r="AK5134">
        <v>74.215130000000002</v>
      </c>
    </row>
    <row r="5135" spans="1:37" x14ac:dyDescent="0.3">
      <c r="A5135">
        <v>5134</v>
      </c>
      <c r="B5135">
        <v>0</v>
      </c>
      <c r="C5135">
        <v>8.0912199999999999</v>
      </c>
      <c r="D5135">
        <v>14.395300000000001</v>
      </c>
      <c r="E5135" t="s">
        <v>8248</v>
      </c>
      <c r="F5135" t="s">
        <v>8249</v>
      </c>
      <c r="G5135" t="s">
        <v>39</v>
      </c>
      <c r="H5135">
        <v>0</v>
      </c>
      <c r="I5135">
        <v>27.7</v>
      </c>
      <c r="J5135">
        <v>14.6</v>
      </c>
      <c r="K5135">
        <v>57</v>
      </c>
      <c r="L5135">
        <v>32</v>
      </c>
      <c r="M5135">
        <v>39.799999999999997</v>
      </c>
      <c r="N5135">
        <v>14.2</v>
      </c>
      <c r="O5135">
        <v>25.6</v>
      </c>
      <c r="P5135">
        <v>27.8</v>
      </c>
      <c r="Q5135">
        <v>25.3</v>
      </c>
      <c r="R5135">
        <v>31.9</v>
      </c>
      <c r="S5135">
        <v>23.2</v>
      </c>
      <c r="T5135">
        <v>279</v>
      </c>
      <c r="U5135">
        <v>113</v>
      </c>
      <c r="V5135">
        <v>0</v>
      </c>
      <c r="W5135">
        <v>156</v>
      </c>
      <c r="X5135">
        <v>243</v>
      </c>
      <c r="Y5135">
        <v>0</v>
      </c>
      <c r="Z5135">
        <v>33</v>
      </c>
      <c r="AA5135">
        <v>0</v>
      </c>
      <c r="AB5135">
        <v>1.753844</v>
      </c>
      <c r="AC5135">
        <v>0.34334870000000001</v>
      </c>
      <c r="AD5135">
        <v>3.595332</v>
      </c>
      <c r="AE5135">
        <v>0.49654690000000001</v>
      </c>
      <c r="AF5135">
        <v>433.13760000000002</v>
      </c>
      <c r="AG5135">
        <f>IFERROR(AH5135*0.1, "N/A")</f>
        <v>7.1100669999999999</v>
      </c>
      <c r="AH5135">
        <v>71.100669999999994</v>
      </c>
      <c r="AI5135">
        <v>207.23740000000001</v>
      </c>
      <c r="AJ5135">
        <v>10.02013</v>
      </c>
      <c r="AK5135">
        <v>76.979870000000005</v>
      </c>
    </row>
    <row r="5136" spans="1:37" x14ac:dyDescent="0.3">
      <c r="A5136">
        <v>5135</v>
      </c>
      <c r="B5136">
        <v>0</v>
      </c>
      <c r="C5136">
        <v>8.0912199999999999</v>
      </c>
      <c r="D5136">
        <v>14.395300000000001</v>
      </c>
      <c r="E5136" t="s">
        <v>8248</v>
      </c>
      <c r="F5136" t="s">
        <v>8250</v>
      </c>
      <c r="G5136" t="s">
        <v>37</v>
      </c>
      <c r="H5136">
        <v>0</v>
      </c>
      <c r="I5136">
        <v>27.7</v>
      </c>
      <c r="J5136">
        <v>14.6</v>
      </c>
      <c r="K5136">
        <v>57</v>
      </c>
      <c r="L5136">
        <v>32</v>
      </c>
      <c r="M5136">
        <v>39.799999999999997</v>
      </c>
      <c r="N5136">
        <v>14.2</v>
      </c>
      <c r="O5136">
        <v>25.6</v>
      </c>
      <c r="P5136">
        <v>27.8</v>
      </c>
      <c r="Q5136">
        <v>25.3</v>
      </c>
      <c r="R5136">
        <v>31.9</v>
      </c>
      <c r="S5136">
        <v>23.2</v>
      </c>
      <c r="T5136">
        <v>279</v>
      </c>
      <c r="U5136">
        <v>113</v>
      </c>
      <c r="V5136">
        <v>0</v>
      </c>
      <c r="W5136">
        <v>156</v>
      </c>
      <c r="X5136">
        <v>243</v>
      </c>
      <c r="Y5136">
        <v>0</v>
      </c>
      <c r="Z5136">
        <v>33</v>
      </c>
      <c r="AA5136">
        <v>0</v>
      </c>
      <c r="AB5136">
        <v>1.753844</v>
      </c>
      <c r="AC5136">
        <v>0.34334870000000001</v>
      </c>
      <c r="AD5136">
        <v>3.595332</v>
      </c>
      <c r="AE5136">
        <v>0.49654690000000001</v>
      </c>
      <c r="AF5136">
        <v>433.13760000000002</v>
      </c>
      <c r="AG5136">
        <f>IFERROR(AH5136*0.1, "N/A")</f>
        <v>7.1100669999999999</v>
      </c>
      <c r="AH5136">
        <v>71.100669999999994</v>
      </c>
      <c r="AI5136">
        <v>207.23740000000001</v>
      </c>
      <c r="AJ5136">
        <v>10.02013</v>
      </c>
      <c r="AK5136">
        <v>76.979870000000005</v>
      </c>
    </row>
    <row r="5137" spans="1:37" x14ac:dyDescent="0.3">
      <c r="A5137">
        <v>5136</v>
      </c>
      <c r="B5137">
        <v>0</v>
      </c>
      <c r="C5137">
        <v>6.1204599999999996</v>
      </c>
      <c r="D5137">
        <v>14.3957</v>
      </c>
      <c r="E5137" t="s">
        <v>8251</v>
      </c>
      <c r="F5137" t="s">
        <v>8252</v>
      </c>
      <c r="G5137" t="s">
        <v>39</v>
      </c>
      <c r="H5137">
        <v>0</v>
      </c>
      <c r="I5137">
        <v>28.1</v>
      </c>
      <c r="J5137">
        <v>14.5</v>
      </c>
      <c r="K5137">
        <v>57</v>
      </c>
      <c r="L5137">
        <v>30.12</v>
      </c>
      <c r="M5137">
        <v>40</v>
      </c>
      <c r="N5137">
        <v>14.8</v>
      </c>
      <c r="O5137">
        <v>25.2</v>
      </c>
      <c r="P5137">
        <v>27.7</v>
      </c>
      <c r="Q5137">
        <v>24.4</v>
      </c>
      <c r="R5137">
        <v>32.1</v>
      </c>
      <c r="S5137">
        <v>24</v>
      </c>
      <c r="T5137">
        <v>396</v>
      </c>
      <c r="U5137">
        <v>151</v>
      </c>
      <c r="V5137">
        <v>0</v>
      </c>
      <c r="W5137">
        <v>147</v>
      </c>
      <c r="X5137">
        <v>329</v>
      </c>
      <c r="Y5137">
        <v>0</v>
      </c>
      <c r="Z5137">
        <v>62</v>
      </c>
      <c r="AA5137">
        <v>0</v>
      </c>
      <c r="AB5137">
        <v>0.69681300000000002</v>
      </c>
      <c r="AC5137">
        <v>0.2409435</v>
      </c>
      <c r="AD5137">
        <v>1.1490670000000001</v>
      </c>
      <c r="AE5137">
        <v>0.67991679999999999</v>
      </c>
      <c r="AF5137">
        <v>382.43380000000002</v>
      </c>
      <c r="AG5137">
        <f>IFERROR(AH5137*0.1, "N/A")</f>
        <v>6.6000000000000005</v>
      </c>
      <c r="AH5137">
        <v>66</v>
      </c>
      <c r="AI5137">
        <v>111.84480000000001</v>
      </c>
      <c r="AJ5137">
        <v>11.031829999999999</v>
      </c>
      <c r="AK5137">
        <v>75.904520000000005</v>
      </c>
    </row>
    <row r="5138" spans="1:37" x14ac:dyDescent="0.3">
      <c r="A5138">
        <v>5137</v>
      </c>
      <c r="B5138">
        <v>0</v>
      </c>
      <c r="C5138">
        <v>6.1204599999999996</v>
      </c>
      <c r="D5138">
        <v>14.3957</v>
      </c>
      <c r="E5138" t="s">
        <v>8251</v>
      </c>
      <c r="F5138" t="s">
        <v>8253</v>
      </c>
      <c r="G5138" t="s">
        <v>37</v>
      </c>
      <c r="H5138">
        <v>0</v>
      </c>
      <c r="I5138">
        <v>28.1</v>
      </c>
      <c r="J5138">
        <v>14.5</v>
      </c>
      <c r="K5138">
        <v>57</v>
      </c>
      <c r="L5138">
        <v>30.12</v>
      </c>
      <c r="M5138">
        <v>40</v>
      </c>
      <c r="N5138">
        <v>14.8</v>
      </c>
      <c r="O5138">
        <v>25.2</v>
      </c>
      <c r="P5138">
        <v>27.7</v>
      </c>
      <c r="Q5138">
        <v>24.4</v>
      </c>
      <c r="R5138">
        <v>32.1</v>
      </c>
      <c r="S5138">
        <v>24</v>
      </c>
      <c r="T5138">
        <v>396</v>
      </c>
      <c r="U5138">
        <v>151</v>
      </c>
      <c r="V5138">
        <v>0</v>
      </c>
      <c r="W5138">
        <v>147</v>
      </c>
      <c r="X5138">
        <v>329</v>
      </c>
      <c r="Y5138">
        <v>0</v>
      </c>
      <c r="Z5138">
        <v>62</v>
      </c>
      <c r="AA5138">
        <v>0</v>
      </c>
      <c r="AB5138">
        <v>0.69681300000000002</v>
      </c>
      <c r="AC5138">
        <v>0.2409435</v>
      </c>
      <c r="AD5138">
        <v>1.1490670000000001</v>
      </c>
      <c r="AE5138">
        <v>0.67991679999999999</v>
      </c>
      <c r="AF5138">
        <v>382.43380000000002</v>
      </c>
      <c r="AG5138">
        <f>IFERROR(AH5138*0.1, "N/A")</f>
        <v>6.6000000000000005</v>
      </c>
      <c r="AH5138">
        <v>66</v>
      </c>
      <c r="AI5138">
        <v>111.84480000000001</v>
      </c>
      <c r="AJ5138">
        <v>11.031829999999999</v>
      </c>
      <c r="AK5138">
        <v>75.904520000000005</v>
      </c>
    </row>
    <row r="5139" spans="1:37" x14ac:dyDescent="0.3">
      <c r="A5139">
        <v>5138</v>
      </c>
      <c r="B5139">
        <v>0</v>
      </c>
      <c r="C5139">
        <v>4.9930700000000003</v>
      </c>
      <c r="D5139">
        <v>14.395799999999999</v>
      </c>
      <c r="E5139" t="s">
        <v>8254</v>
      </c>
      <c r="F5139" t="s">
        <v>8255</v>
      </c>
      <c r="G5139" t="s">
        <v>39</v>
      </c>
      <c r="H5139">
        <v>0</v>
      </c>
      <c r="I5139">
        <v>29.1</v>
      </c>
      <c r="J5139">
        <v>14.2</v>
      </c>
      <c r="K5139">
        <v>55</v>
      </c>
      <c r="L5139">
        <v>30.95</v>
      </c>
      <c r="M5139">
        <v>40.799999999999997</v>
      </c>
      <c r="N5139">
        <v>15.4</v>
      </c>
      <c r="O5139">
        <v>25.4</v>
      </c>
      <c r="P5139">
        <v>29.1</v>
      </c>
      <c r="Q5139">
        <v>26.8</v>
      </c>
      <c r="R5139">
        <v>33.1</v>
      </c>
      <c r="S5139">
        <v>24.9</v>
      </c>
      <c r="T5139">
        <v>356</v>
      </c>
      <c r="U5139">
        <v>125</v>
      </c>
      <c r="V5139">
        <v>0</v>
      </c>
      <c r="W5139">
        <v>140</v>
      </c>
      <c r="X5139">
        <v>286</v>
      </c>
      <c r="Y5139">
        <v>0</v>
      </c>
      <c r="Z5139">
        <v>66</v>
      </c>
      <c r="AA5139">
        <v>0</v>
      </c>
      <c r="AB5139">
        <v>1.07104</v>
      </c>
      <c r="AC5139">
        <v>1.8424340000000001E-2</v>
      </c>
      <c r="AD5139">
        <v>1.394023</v>
      </c>
      <c r="AE5139">
        <v>0.44770599999999999</v>
      </c>
      <c r="AF5139">
        <v>283.13470000000001</v>
      </c>
      <c r="AG5139">
        <f>IFERROR(AH5139*0.1, "N/A")</f>
        <v>6.6942760000000012</v>
      </c>
      <c r="AH5139">
        <v>66.942760000000007</v>
      </c>
      <c r="AI5139">
        <v>270.2296</v>
      </c>
      <c r="AJ5139">
        <v>17.97138</v>
      </c>
      <c r="AK5139">
        <v>70.057239999999993</v>
      </c>
    </row>
    <row r="5140" spans="1:37" x14ac:dyDescent="0.3">
      <c r="A5140">
        <v>5139</v>
      </c>
      <c r="B5140">
        <v>0</v>
      </c>
      <c r="C5140">
        <v>8.0854900000000001</v>
      </c>
      <c r="D5140">
        <v>14.4125</v>
      </c>
      <c r="E5140" t="s">
        <v>8256</v>
      </c>
      <c r="F5140" t="s">
        <v>8257</v>
      </c>
      <c r="G5140" t="s">
        <v>39</v>
      </c>
      <c r="H5140">
        <v>0</v>
      </c>
      <c r="I5140">
        <v>27.7</v>
      </c>
      <c r="J5140">
        <v>14.6</v>
      </c>
      <c r="K5140">
        <v>57</v>
      </c>
      <c r="L5140">
        <v>31.77</v>
      </c>
      <c r="M5140">
        <v>39.700000000000003</v>
      </c>
      <c r="N5140">
        <v>14.2</v>
      </c>
      <c r="O5140">
        <v>25.5</v>
      </c>
      <c r="P5140">
        <v>27.8</v>
      </c>
      <c r="Q5140">
        <v>25.3</v>
      </c>
      <c r="R5140">
        <v>31.8</v>
      </c>
      <c r="S5140">
        <v>23.2</v>
      </c>
      <c r="T5140">
        <v>277</v>
      </c>
      <c r="U5140">
        <v>112</v>
      </c>
      <c r="V5140">
        <v>0</v>
      </c>
      <c r="W5140">
        <v>155</v>
      </c>
      <c r="X5140">
        <v>241</v>
      </c>
      <c r="Y5140">
        <v>0</v>
      </c>
      <c r="Z5140">
        <v>33</v>
      </c>
      <c r="AA5140">
        <v>0</v>
      </c>
      <c r="AB5140">
        <v>4.5499109999999998</v>
      </c>
      <c r="AC5140">
        <v>6.3974520000000007E-2</v>
      </c>
      <c r="AD5140">
        <v>2.2862330000000002</v>
      </c>
      <c r="AE5140">
        <v>0.70052049999999999</v>
      </c>
      <c r="AF5140">
        <v>447.78660000000002</v>
      </c>
      <c r="AG5140">
        <f>IFERROR(AH5140*0.1, "N/A")</f>
        <v>7.292269000000001</v>
      </c>
      <c r="AH5140">
        <v>72.922690000000003</v>
      </c>
      <c r="AI5140">
        <v>137.3768</v>
      </c>
      <c r="AJ5140">
        <v>11</v>
      </c>
      <c r="AK5140">
        <v>75.307559999999995</v>
      </c>
    </row>
    <row r="5141" spans="1:37" x14ac:dyDescent="0.3">
      <c r="A5141">
        <v>5140</v>
      </c>
      <c r="B5141">
        <v>0</v>
      </c>
      <c r="C5141">
        <v>8.0854900000000001</v>
      </c>
      <c r="D5141">
        <v>14.4125</v>
      </c>
      <c r="E5141" t="s">
        <v>8256</v>
      </c>
      <c r="F5141" t="s">
        <v>8258</v>
      </c>
      <c r="G5141" t="s">
        <v>37</v>
      </c>
      <c r="H5141">
        <v>0</v>
      </c>
      <c r="I5141">
        <v>27.7</v>
      </c>
      <c r="J5141">
        <v>14.6</v>
      </c>
      <c r="K5141">
        <v>57</v>
      </c>
      <c r="L5141">
        <v>31.77</v>
      </c>
      <c r="M5141">
        <v>39.700000000000003</v>
      </c>
      <c r="N5141">
        <v>14.2</v>
      </c>
      <c r="O5141">
        <v>25.5</v>
      </c>
      <c r="P5141">
        <v>27.8</v>
      </c>
      <c r="Q5141">
        <v>25.3</v>
      </c>
      <c r="R5141">
        <v>31.8</v>
      </c>
      <c r="S5141">
        <v>23.2</v>
      </c>
      <c r="T5141">
        <v>277</v>
      </c>
      <c r="U5141">
        <v>112</v>
      </c>
      <c r="V5141">
        <v>0</v>
      </c>
      <c r="W5141">
        <v>155</v>
      </c>
      <c r="X5141">
        <v>241</v>
      </c>
      <c r="Y5141">
        <v>0</v>
      </c>
      <c r="Z5141">
        <v>33</v>
      </c>
      <c r="AA5141">
        <v>0</v>
      </c>
      <c r="AB5141">
        <v>4.5499109999999998</v>
      </c>
      <c r="AC5141">
        <v>6.3974520000000007E-2</v>
      </c>
      <c r="AD5141">
        <v>2.2862330000000002</v>
      </c>
      <c r="AE5141">
        <v>0.70052049999999999</v>
      </c>
      <c r="AF5141">
        <v>447.78660000000002</v>
      </c>
      <c r="AG5141">
        <f>IFERROR(AH5141*0.1, "N/A")</f>
        <v>7.292269000000001</v>
      </c>
      <c r="AH5141">
        <v>72.922690000000003</v>
      </c>
      <c r="AI5141">
        <v>137.3768</v>
      </c>
      <c r="AJ5141">
        <v>11</v>
      </c>
      <c r="AK5141">
        <v>75.307559999999995</v>
      </c>
    </row>
    <row r="5142" spans="1:37" x14ac:dyDescent="0.3">
      <c r="A5142">
        <v>5141</v>
      </c>
      <c r="B5142">
        <v>4.3</v>
      </c>
      <c r="C5142">
        <v>1.1225000000000001</v>
      </c>
      <c r="D5142">
        <v>14.4178</v>
      </c>
      <c r="E5142" t="s">
        <v>8259</v>
      </c>
      <c r="F5142" t="s">
        <v>8260</v>
      </c>
      <c r="G5142" t="s">
        <v>39</v>
      </c>
      <c r="H5142">
        <v>0</v>
      </c>
      <c r="I5142">
        <v>29.301169999999999</v>
      </c>
      <c r="J5142">
        <v>14.3</v>
      </c>
      <c r="K5142">
        <v>57.988259999999997</v>
      </c>
      <c r="L5142">
        <v>28.440470000000001</v>
      </c>
      <c r="M5142">
        <v>40.702350000000003</v>
      </c>
      <c r="N5142">
        <v>16.10117</v>
      </c>
      <c r="O5142">
        <v>24.60117</v>
      </c>
      <c r="P5142">
        <v>29.3</v>
      </c>
      <c r="Q5142">
        <v>27.001169999999998</v>
      </c>
      <c r="R5142">
        <v>32.901179999999997</v>
      </c>
      <c r="S5142">
        <v>25.301169999999999</v>
      </c>
      <c r="T5142">
        <v>303.01170000000002</v>
      </c>
      <c r="U5142">
        <v>120.0117</v>
      </c>
      <c r="V5142">
        <v>0</v>
      </c>
      <c r="W5142">
        <v>144</v>
      </c>
      <c r="X5142">
        <v>250.01169999999999</v>
      </c>
      <c r="Y5142">
        <v>0</v>
      </c>
      <c r="Z5142">
        <v>50</v>
      </c>
      <c r="AA5142">
        <v>0</v>
      </c>
      <c r="AB5142">
        <v>8.8958110000000001</v>
      </c>
      <c r="AC5142">
        <v>9.6598099999999996E-3</v>
      </c>
      <c r="AD5142">
        <v>2.174588</v>
      </c>
      <c r="AE5142">
        <v>0.27820859999999997</v>
      </c>
      <c r="AF5142">
        <v>215.2903</v>
      </c>
      <c r="AG5142">
        <f>IFERROR(AH5142*0.1, "N/A")</f>
        <v>7.5134230000000004</v>
      </c>
      <c r="AH5142">
        <v>75.134230000000002</v>
      </c>
      <c r="AI5142">
        <v>128.88900000000001</v>
      </c>
      <c r="AJ5142">
        <v>24.44631</v>
      </c>
      <c r="AK5142">
        <v>60.234900000000003</v>
      </c>
    </row>
    <row r="5143" spans="1:37" x14ac:dyDescent="0.3">
      <c r="A5143">
        <v>5142</v>
      </c>
      <c r="B5143">
        <v>3.3</v>
      </c>
      <c r="C5143">
        <v>0.89711700000000005</v>
      </c>
      <c r="D5143">
        <v>14.4185</v>
      </c>
      <c r="E5143" t="s">
        <v>8261</v>
      </c>
      <c r="F5143" t="s">
        <v>8262</v>
      </c>
      <c r="G5143" t="s">
        <v>39</v>
      </c>
      <c r="H5143">
        <v>0</v>
      </c>
      <c r="I5143">
        <v>29</v>
      </c>
      <c r="J5143">
        <v>14.5</v>
      </c>
      <c r="K5143">
        <v>58</v>
      </c>
      <c r="L5143">
        <v>28.31</v>
      </c>
      <c r="M5143">
        <v>40.4</v>
      </c>
      <c r="N5143">
        <v>15.6</v>
      </c>
      <c r="O5143">
        <v>24.8</v>
      </c>
      <c r="P5143">
        <v>28.9</v>
      </c>
      <c r="Q5143">
        <v>26.6</v>
      </c>
      <c r="R5143">
        <v>32.6</v>
      </c>
      <c r="S5143">
        <v>25</v>
      </c>
      <c r="T5143">
        <v>329</v>
      </c>
      <c r="U5143">
        <v>127</v>
      </c>
      <c r="V5143">
        <v>0</v>
      </c>
      <c r="W5143">
        <v>145</v>
      </c>
      <c r="X5143">
        <v>271</v>
      </c>
      <c r="Y5143">
        <v>0</v>
      </c>
      <c r="Z5143">
        <v>54</v>
      </c>
      <c r="AA5143">
        <v>0</v>
      </c>
      <c r="AB5143">
        <v>1.2948109999999999</v>
      </c>
      <c r="AC5143">
        <v>1.0441229999999999</v>
      </c>
      <c r="AD5143">
        <v>2.098122</v>
      </c>
      <c r="AE5143">
        <v>0.3084382</v>
      </c>
      <c r="AF5143">
        <v>266.22239999999999</v>
      </c>
      <c r="AG5143">
        <f>IFERROR(AH5143*0.1, "N/A")</f>
        <v>6.3000000000000007</v>
      </c>
      <c r="AH5143">
        <v>63</v>
      </c>
      <c r="AI5143">
        <v>157.6866</v>
      </c>
      <c r="AJ5143">
        <v>11.918060000000001</v>
      </c>
      <c r="AK5143">
        <v>78.081940000000003</v>
      </c>
    </row>
    <row r="5144" spans="1:37" x14ac:dyDescent="0.3">
      <c r="A5144">
        <v>5143</v>
      </c>
      <c r="B5144">
        <v>43.3</v>
      </c>
      <c r="C5144">
        <v>6.4546700000000001</v>
      </c>
      <c r="D5144">
        <v>14.4206</v>
      </c>
      <c r="E5144" t="s">
        <v>8263</v>
      </c>
      <c r="F5144" t="s">
        <v>8264</v>
      </c>
      <c r="G5144" t="s">
        <v>39</v>
      </c>
      <c r="H5144">
        <v>0</v>
      </c>
      <c r="I5144">
        <v>27.9</v>
      </c>
      <c r="J5144">
        <v>14.6</v>
      </c>
      <c r="K5144">
        <v>57</v>
      </c>
      <c r="L5144">
        <v>31.1</v>
      </c>
      <c r="M5144">
        <v>39.799999999999997</v>
      </c>
      <c r="N5144">
        <v>14.4</v>
      </c>
      <c r="O5144">
        <v>25.4</v>
      </c>
      <c r="P5144">
        <v>27.7</v>
      </c>
      <c r="Q5144">
        <v>25.7</v>
      </c>
      <c r="R5144">
        <v>32</v>
      </c>
      <c r="S5144">
        <v>23.6</v>
      </c>
      <c r="T5144">
        <v>334</v>
      </c>
      <c r="U5144">
        <v>131</v>
      </c>
      <c r="V5144">
        <v>0</v>
      </c>
      <c r="W5144">
        <v>156</v>
      </c>
      <c r="X5144">
        <v>286</v>
      </c>
      <c r="Y5144">
        <v>0</v>
      </c>
      <c r="Z5144">
        <v>46</v>
      </c>
      <c r="AA5144">
        <v>0</v>
      </c>
      <c r="AB5144">
        <v>26.121549999999999</v>
      </c>
      <c r="AC5144">
        <v>8.2837029999999999E-3</v>
      </c>
      <c r="AD5144">
        <v>0.87075579999999997</v>
      </c>
      <c r="AE5144">
        <v>0.68998939999999997</v>
      </c>
      <c r="AF5144">
        <v>393.52530000000002</v>
      </c>
      <c r="AG5144">
        <f>IFERROR(AH5144*0.1, "N/A")</f>
        <v>6.5737370000000004</v>
      </c>
      <c r="AH5144">
        <v>65.737369999999999</v>
      </c>
      <c r="AI5144">
        <v>150.5754</v>
      </c>
      <c r="AJ5144">
        <v>11</v>
      </c>
      <c r="AK5144">
        <v>79</v>
      </c>
    </row>
    <row r="5145" spans="1:37" x14ac:dyDescent="0.3">
      <c r="A5145">
        <v>5144</v>
      </c>
      <c r="B5145">
        <v>0</v>
      </c>
      <c r="C5145">
        <v>8.4845400000000009</v>
      </c>
      <c r="D5145">
        <v>14.423999999999999</v>
      </c>
      <c r="E5145" t="s">
        <v>8265</v>
      </c>
      <c r="F5145" t="s">
        <v>8266</v>
      </c>
      <c r="G5145" t="s">
        <v>39</v>
      </c>
      <c r="H5145">
        <v>0</v>
      </c>
      <c r="I5145">
        <v>27.899830000000001</v>
      </c>
      <c r="J5145">
        <v>14.5</v>
      </c>
      <c r="K5145">
        <v>56</v>
      </c>
      <c r="L5145">
        <v>32.030320000000003</v>
      </c>
      <c r="M5145">
        <v>39.999830000000003</v>
      </c>
      <c r="N5145">
        <v>14.4</v>
      </c>
      <c r="O5145">
        <v>25.599830000000001</v>
      </c>
      <c r="P5145">
        <v>27.9</v>
      </c>
      <c r="Q5145">
        <v>25.4</v>
      </c>
      <c r="R5145">
        <v>32</v>
      </c>
      <c r="S5145">
        <v>23.399830000000001</v>
      </c>
      <c r="T5145">
        <v>254.9983</v>
      </c>
      <c r="U5145">
        <v>104.9983</v>
      </c>
      <c r="V5145">
        <v>0</v>
      </c>
      <c r="W5145">
        <v>160</v>
      </c>
      <c r="X5145">
        <v>225.9983</v>
      </c>
      <c r="Y5145">
        <v>0</v>
      </c>
      <c r="Z5145">
        <v>27</v>
      </c>
      <c r="AA5145">
        <v>0</v>
      </c>
      <c r="AB5145">
        <v>8.3370719999999992</v>
      </c>
      <c r="AC5145">
        <v>1.362063E-2</v>
      </c>
      <c r="AD5145">
        <v>1.0572170000000001</v>
      </c>
      <c r="AE5145">
        <v>0.58404339999999999</v>
      </c>
      <c r="AF5145">
        <v>437.19130000000001</v>
      </c>
      <c r="AG5145">
        <f>IFERROR(AH5145*0.1, "N/A")</f>
        <v>7.4562080000000002</v>
      </c>
      <c r="AH5145">
        <v>74.562079999999995</v>
      </c>
      <c r="AI5145">
        <v>56.68477</v>
      </c>
      <c r="AJ5145">
        <v>11</v>
      </c>
      <c r="AK5145">
        <v>75.315439999999995</v>
      </c>
    </row>
    <row r="5146" spans="1:37" x14ac:dyDescent="0.3">
      <c r="A5146">
        <v>5145</v>
      </c>
      <c r="B5146">
        <v>0</v>
      </c>
      <c r="C5146">
        <v>8.4845400000000009</v>
      </c>
      <c r="D5146">
        <v>14.423999999999999</v>
      </c>
      <c r="E5146" t="s">
        <v>8265</v>
      </c>
      <c r="F5146" t="s">
        <v>8267</v>
      </c>
      <c r="G5146" t="s">
        <v>37</v>
      </c>
      <c r="H5146">
        <v>0</v>
      </c>
      <c r="I5146">
        <v>27.899830000000001</v>
      </c>
      <c r="J5146">
        <v>14.5</v>
      </c>
      <c r="K5146">
        <v>56</v>
      </c>
      <c r="L5146">
        <v>32.030320000000003</v>
      </c>
      <c r="M5146">
        <v>39.999830000000003</v>
      </c>
      <c r="N5146">
        <v>14.4</v>
      </c>
      <c r="O5146">
        <v>25.599830000000001</v>
      </c>
      <c r="P5146">
        <v>27.9</v>
      </c>
      <c r="Q5146">
        <v>25.4</v>
      </c>
      <c r="R5146">
        <v>32</v>
      </c>
      <c r="S5146">
        <v>23.399830000000001</v>
      </c>
      <c r="T5146">
        <v>254.9983</v>
      </c>
      <c r="U5146">
        <v>104.9983</v>
      </c>
      <c r="V5146">
        <v>0</v>
      </c>
      <c r="W5146">
        <v>160</v>
      </c>
      <c r="X5146">
        <v>225.9983</v>
      </c>
      <c r="Y5146">
        <v>0</v>
      </c>
      <c r="Z5146">
        <v>27</v>
      </c>
      <c r="AA5146">
        <v>0</v>
      </c>
      <c r="AB5146">
        <v>8.3370719999999992</v>
      </c>
      <c r="AC5146">
        <v>1.362063E-2</v>
      </c>
      <c r="AD5146">
        <v>1.0572170000000001</v>
      </c>
      <c r="AE5146">
        <v>0.58404339999999999</v>
      </c>
      <c r="AF5146">
        <v>437.19130000000001</v>
      </c>
      <c r="AG5146">
        <f>IFERROR(AH5146*0.1, "N/A")</f>
        <v>7.4562080000000002</v>
      </c>
      <c r="AH5146">
        <v>74.562079999999995</v>
      </c>
      <c r="AI5146">
        <v>56.68477</v>
      </c>
      <c r="AJ5146">
        <v>11</v>
      </c>
      <c r="AK5146">
        <v>75.315439999999995</v>
      </c>
    </row>
    <row r="5147" spans="1:37" x14ac:dyDescent="0.3">
      <c r="A5147">
        <v>5146</v>
      </c>
      <c r="B5147">
        <v>18.3</v>
      </c>
      <c r="C5147">
        <v>5.12303</v>
      </c>
      <c r="D5147">
        <v>14.4284</v>
      </c>
      <c r="E5147" t="s">
        <v>8268</v>
      </c>
      <c r="F5147" t="s">
        <v>8269</v>
      </c>
      <c r="G5147" t="s">
        <v>39</v>
      </c>
      <c r="H5147">
        <v>0</v>
      </c>
      <c r="I5147">
        <v>29.1</v>
      </c>
      <c r="J5147">
        <v>14.3</v>
      </c>
      <c r="K5147">
        <v>56</v>
      </c>
      <c r="L5147">
        <v>30.8</v>
      </c>
      <c r="M5147">
        <v>40.799999999999997</v>
      </c>
      <c r="N5147">
        <v>15.4</v>
      </c>
      <c r="O5147">
        <v>25.4</v>
      </c>
      <c r="P5147">
        <v>29.1</v>
      </c>
      <c r="Q5147">
        <v>26.8</v>
      </c>
      <c r="R5147">
        <v>33</v>
      </c>
      <c r="S5147">
        <v>24.9</v>
      </c>
      <c r="T5147">
        <v>369</v>
      </c>
      <c r="U5147">
        <v>128</v>
      </c>
      <c r="V5147">
        <v>0</v>
      </c>
      <c r="W5147">
        <v>139</v>
      </c>
      <c r="X5147">
        <v>294</v>
      </c>
      <c r="Y5147">
        <v>0</v>
      </c>
      <c r="Z5147">
        <v>70</v>
      </c>
      <c r="AA5147">
        <v>0</v>
      </c>
      <c r="AB5147">
        <v>9.0180799999999994</v>
      </c>
      <c r="AC5147">
        <v>1.10168E-2</v>
      </c>
      <c r="AD5147">
        <v>1.882563</v>
      </c>
      <c r="AE5147">
        <v>0.35915190000000002</v>
      </c>
      <c r="AF5147">
        <v>296.52760000000001</v>
      </c>
      <c r="AG5147">
        <f>IFERROR(AH5147*0.1, "N/A")</f>
        <v>6.7251260000000004</v>
      </c>
      <c r="AH5147">
        <v>67.251260000000002</v>
      </c>
      <c r="AI5147">
        <v>256.0881</v>
      </c>
      <c r="AJ5147">
        <v>20.54439</v>
      </c>
      <c r="AK5147">
        <v>65.710220000000007</v>
      </c>
    </row>
    <row r="5148" spans="1:37" x14ac:dyDescent="0.3">
      <c r="A5148">
        <v>5147</v>
      </c>
      <c r="B5148">
        <v>61.7</v>
      </c>
      <c r="C5148">
        <v>2.7694399999999999</v>
      </c>
      <c r="D5148">
        <v>14.431900000000001</v>
      </c>
      <c r="E5148" t="s">
        <v>8270</v>
      </c>
      <c r="F5148" t="s">
        <v>8271</v>
      </c>
      <c r="G5148" t="s">
        <v>39</v>
      </c>
      <c r="H5148">
        <v>0</v>
      </c>
      <c r="I5148">
        <v>29.3</v>
      </c>
      <c r="J5148">
        <v>14.2</v>
      </c>
      <c r="K5148">
        <v>58</v>
      </c>
      <c r="L5148">
        <v>28.5</v>
      </c>
      <c r="M5148">
        <v>40.9</v>
      </c>
      <c r="N5148">
        <v>16.5</v>
      </c>
      <c r="O5148">
        <v>24.4</v>
      </c>
      <c r="P5148">
        <v>29</v>
      </c>
      <c r="Q5148">
        <v>27.3</v>
      </c>
      <c r="R5148">
        <v>33</v>
      </c>
      <c r="S5148">
        <v>25.4</v>
      </c>
      <c r="T5148">
        <v>402</v>
      </c>
      <c r="U5148">
        <v>136</v>
      </c>
      <c r="V5148">
        <v>0</v>
      </c>
      <c r="W5148">
        <v>137</v>
      </c>
      <c r="X5148">
        <v>315</v>
      </c>
      <c r="Y5148">
        <v>0</v>
      </c>
      <c r="Z5148">
        <v>82</v>
      </c>
      <c r="AA5148">
        <v>0</v>
      </c>
      <c r="AB5148">
        <v>0.87587119999999996</v>
      </c>
      <c r="AC5148">
        <v>25.005520000000001</v>
      </c>
      <c r="AD5148">
        <v>0.96026069999999997</v>
      </c>
      <c r="AE5148">
        <v>0.26507330000000001</v>
      </c>
      <c r="AF5148">
        <v>224.54939999999999</v>
      </c>
      <c r="AG5148">
        <f>IFERROR(AH5148*0.1, "N/A")</f>
        <v>6.6192630000000001</v>
      </c>
      <c r="AH5148">
        <v>66.192629999999994</v>
      </c>
      <c r="AI5148">
        <v>219.15989999999999</v>
      </c>
      <c r="AJ5148">
        <v>15.634840000000001</v>
      </c>
      <c r="AK5148">
        <v>68.157449999999997</v>
      </c>
    </row>
    <row r="5149" spans="1:37" x14ac:dyDescent="0.3">
      <c r="A5149">
        <v>5148</v>
      </c>
      <c r="B5149">
        <v>0</v>
      </c>
      <c r="C5149">
        <v>8.3749599999999997</v>
      </c>
      <c r="D5149">
        <v>14.4343</v>
      </c>
      <c r="E5149" t="s">
        <v>8272</v>
      </c>
      <c r="F5149" t="s">
        <v>8273</v>
      </c>
      <c r="G5149" t="s">
        <v>39</v>
      </c>
      <c r="H5149">
        <v>0</v>
      </c>
      <c r="I5149">
        <v>27.7</v>
      </c>
      <c r="J5149">
        <v>14.6</v>
      </c>
      <c r="K5149">
        <v>57</v>
      </c>
      <c r="L5149">
        <v>31.944320000000001</v>
      </c>
      <c r="M5149">
        <v>39.799999999999997</v>
      </c>
      <c r="N5149">
        <v>14.2</v>
      </c>
      <c r="O5149">
        <v>25.6</v>
      </c>
      <c r="P5149">
        <v>27.8</v>
      </c>
      <c r="Q5149">
        <v>25.2</v>
      </c>
      <c r="R5149">
        <v>31.8</v>
      </c>
      <c r="S5149">
        <v>23.2</v>
      </c>
      <c r="T5149">
        <v>256</v>
      </c>
      <c r="U5149">
        <v>104</v>
      </c>
      <c r="V5149">
        <v>0</v>
      </c>
      <c r="W5149">
        <v>160</v>
      </c>
      <c r="X5149">
        <v>227</v>
      </c>
      <c r="Y5149">
        <v>0</v>
      </c>
      <c r="Z5149">
        <v>27</v>
      </c>
      <c r="AA5149">
        <v>0</v>
      </c>
      <c r="AB5149">
        <v>2.1726809999999999</v>
      </c>
      <c r="AC5149">
        <v>2.1888319999999999E-2</v>
      </c>
      <c r="AD5149">
        <v>2.5756320000000001</v>
      </c>
      <c r="AE5149">
        <v>0.58002480000000001</v>
      </c>
      <c r="AF5149">
        <v>455.7201</v>
      </c>
      <c r="AG5149">
        <f>IFERROR(AH5149*0.1, "N/A")</f>
        <v>7.9458680000000008</v>
      </c>
      <c r="AH5149">
        <v>79.458680000000001</v>
      </c>
      <c r="AI5149">
        <v>178.64349999999999</v>
      </c>
      <c r="AJ5149">
        <v>11.011799999999999</v>
      </c>
      <c r="AK5149">
        <v>77.042159999999996</v>
      </c>
    </row>
    <row r="5150" spans="1:37" x14ac:dyDescent="0.3">
      <c r="A5150">
        <v>5149</v>
      </c>
      <c r="B5150">
        <v>0</v>
      </c>
      <c r="C5150">
        <v>8.3749599999999997</v>
      </c>
      <c r="D5150">
        <v>14.4343</v>
      </c>
      <c r="E5150" t="s">
        <v>8272</v>
      </c>
      <c r="F5150" t="s">
        <v>8274</v>
      </c>
      <c r="G5150" t="s">
        <v>37</v>
      </c>
      <c r="H5150">
        <v>0</v>
      </c>
      <c r="I5150">
        <v>27.7</v>
      </c>
      <c r="J5150">
        <v>14.6</v>
      </c>
      <c r="K5150">
        <v>57</v>
      </c>
      <c r="L5150">
        <v>31.944320000000001</v>
      </c>
      <c r="M5150">
        <v>39.799999999999997</v>
      </c>
      <c r="N5150">
        <v>14.2</v>
      </c>
      <c r="O5150">
        <v>25.6</v>
      </c>
      <c r="P5150">
        <v>27.8</v>
      </c>
      <c r="Q5150">
        <v>25.2</v>
      </c>
      <c r="R5150">
        <v>31.8</v>
      </c>
      <c r="S5150">
        <v>23.2</v>
      </c>
      <c r="T5150">
        <v>256</v>
      </c>
      <c r="U5150">
        <v>104</v>
      </c>
      <c r="V5150">
        <v>0</v>
      </c>
      <c r="W5150">
        <v>160</v>
      </c>
      <c r="X5150">
        <v>227</v>
      </c>
      <c r="Y5150">
        <v>0</v>
      </c>
      <c r="Z5150">
        <v>27</v>
      </c>
      <c r="AA5150">
        <v>0</v>
      </c>
      <c r="AB5150">
        <v>2.1726809999999999</v>
      </c>
      <c r="AC5150">
        <v>2.1888319999999999E-2</v>
      </c>
      <c r="AD5150">
        <v>2.5756320000000001</v>
      </c>
      <c r="AE5150">
        <v>0.58002480000000001</v>
      </c>
      <c r="AF5150">
        <v>455.7201</v>
      </c>
      <c r="AG5150">
        <f>IFERROR(AH5150*0.1, "N/A")</f>
        <v>7.9458680000000008</v>
      </c>
      <c r="AH5150">
        <v>79.458680000000001</v>
      </c>
      <c r="AI5150">
        <v>178.64349999999999</v>
      </c>
      <c r="AJ5150">
        <v>11.011799999999999</v>
      </c>
      <c r="AK5150">
        <v>77.042159999999996</v>
      </c>
    </row>
    <row r="5151" spans="1:37" x14ac:dyDescent="0.3">
      <c r="A5151">
        <v>5150</v>
      </c>
      <c r="B5151">
        <v>0</v>
      </c>
      <c r="C5151">
        <v>1.1333299999999999</v>
      </c>
      <c r="D5151">
        <v>14.45</v>
      </c>
      <c r="E5151" t="s">
        <v>8275</v>
      </c>
      <c r="F5151" t="s">
        <v>8276</v>
      </c>
      <c r="G5151" t="s">
        <v>37</v>
      </c>
      <c r="H5151">
        <v>2004</v>
      </c>
      <c r="I5151">
        <v>29.4</v>
      </c>
      <c r="J5151">
        <v>14.3</v>
      </c>
      <c r="K5151">
        <v>57.5563</v>
      </c>
      <c r="L5151">
        <v>28.324069999999999</v>
      </c>
      <c r="M5151">
        <v>40.844369999999998</v>
      </c>
      <c r="N5151">
        <v>16.2</v>
      </c>
      <c r="O5151">
        <v>24.644369999999999</v>
      </c>
      <c r="P5151">
        <v>29.4</v>
      </c>
      <c r="Q5151">
        <v>27.1</v>
      </c>
      <c r="R5151">
        <v>33</v>
      </c>
      <c r="S5151">
        <v>25.4</v>
      </c>
      <c r="T5151">
        <v>299</v>
      </c>
      <c r="U5151">
        <v>119</v>
      </c>
      <c r="V5151">
        <v>0</v>
      </c>
      <c r="W5151">
        <v>148</v>
      </c>
      <c r="X5151">
        <v>247</v>
      </c>
      <c r="Y5151">
        <v>0</v>
      </c>
      <c r="Z5151">
        <v>49</v>
      </c>
      <c r="AA5151">
        <v>0</v>
      </c>
      <c r="AB5151">
        <v>0.88705299999999998</v>
      </c>
      <c r="AC5151">
        <v>0.11583019999999999</v>
      </c>
      <c r="AD5151">
        <v>1.852762</v>
      </c>
      <c r="AE5151">
        <v>0.3345822</v>
      </c>
      <c r="AF5151">
        <v>207.1798</v>
      </c>
      <c r="AG5151">
        <f>IFERROR(AH5151*0.1, "N/A")</f>
        <v>6.8201679999999998</v>
      </c>
      <c r="AH5151">
        <v>68.201679999999996</v>
      </c>
      <c r="AI5151">
        <v>142.6241</v>
      </c>
      <c r="AJ5151">
        <v>18.59328</v>
      </c>
      <c r="AK5151">
        <v>65.406720000000007</v>
      </c>
    </row>
    <row r="5152" spans="1:37" x14ac:dyDescent="0.3">
      <c r="A5152">
        <v>5151</v>
      </c>
      <c r="B5152">
        <v>1.4</v>
      </c>
      <c r="C5152">
        <v>1.1333299999999999</v>
      </c>
      <c r="D5152">
        <v>14.45</v>
      </c>
      <c r="E5152" t="s">
        <v>8275</v>
      </c>
      <c r="F5152" t="s">
        <v>8277</v>
      </c>
      <c r="G5152" t="s">
        <v>39</v>
      </c>
      <c r="H5152">
        <v>2004</v>
      </c>
      <c r="I5152">
        <v>29.4</v>
      </c>
      <c r="J5152">
        <v>14.3</v>
      </c>
      <c r="K5152">
        <v>57.5563</v>
      </c>
      <c r="L5152">
        <v>28.324069999999999</v>
      </c>
      <c r="M5152">
        <v>40.844369999999998</v>
      </c>
      <c r="N5152">
        <v>16.2</v>
      </c>
      <c r="O5152">
        <v>24.644369999999999</v>
      </c>
      <c r="P5152">
        <v>29.4</v>
      </c>
      <c r="Q5152">
        <v>27.1</v>
      </c>
      <c r="R5152">
        <v>33</v>
      </c>
      <c r="S5152">
        <v>25.4</v>
      </c>
      <c r="T5152">
        <v>299</v>
      </c>
      <c r="U5152">
        <v>119</v>
      </c>
      <c r="V5152">
        <v>0</v>
      </c>
      <c r="W5152">
        <v>148</v>
      </c>
      <c r="X5152">
        <v>247</v>
      </c>
      <c r="Y5152">
        <v>0</v>
      </c>
      <c r="Z5152">
        <v>49</v>
      </c>
      <c r="AA5152">
        <v>0</v>
      </c>
      <c r="AB5152">
        <v>0.88705299999999998</v>
      </c>
      <c r="AC5152">
        <v>0.11583019999999999</v>
      </c>
      <c r="AD5152">
        <v>1.852762</v>
      </c>
      <c r="AE5152">
        <v>0.3345822</v>
      </c>
      <c r="AF5152">
        <v>207.1798</v>
      </c>
      <c r="AG5152">
        <f>IFERROR(AH5152*0.1, "N/A")</f>
        <v>6.8201679999999998</v>
      </c>
      <c r="AH5152">
        <v>68.201679999999996</v>
      </c>
      <c r="AI5152">
        <v>142.6241</v>
      </c>
      <c r="AJ5152">
        <v>18.59328</v>
      </c>
      <c r="AK5152">
        <v>65.406720000000007</v>
      </c>
    </row>
    <row r="5153" spans="1:37" x14ac:dyDescent="0.3">
      <c r="A5153">
        <v>5152</v>
      </c>
      <c r="B5153">
        <v>0</v>
      </c>
      <c r="C5153">
        <v>0.85028300000000001</v>
      </c>
      <c r="D5153">
        <v>14.451700000000001</v>
      </c>
      <c r="E5153" t="s">
        <v>8278</v>
      </c>
      <c r="F5153" t="s">
        <v>8279</v>
      </c>
      <c r="G5153" t="s">
        <v>39</v>
      </c>
      <c r="H5153">
        <v>0</v>
      </c>
      <c r="I5153">
        <v>29</v>
      </c>
      <c r="J5153">
        <v>14.5</v>
      </c>
      <c r="K5153">
        <v>58</v>
      </c>
      <c r="L5153">
        <v>28.34</v>
      </c>
      <c r="M5153">
        <v>40.4</v>
      </c>
      <c r="N5153">
        <v>15.6</v>
      </c>
      <c r="O5153">
        <v>24.8</v>
      </c>
      <c r="P5153">
        <v>29.012309999999999</v>
      </c>
      <c r="Q5153">
        <v>26.7</v>
      </c>
      <c r="R5153">
        <v>32.6</v>
      </c>
      <c r="S5153">
        <v>25</v>
      </c>
      <c r="T5153">
        <v>330.24619999999999</v>
      </c>
      <c r="U5153">
        <v>128</v>
      </c>
      <c r="V5153">
        <v>0</v>
      </c>
      <c r="W5153">
        <v>146.12309999999999</v>
      </c>
      <c r="X5153">
        <v>273.12310000000002</v>
      </c>
      <c r="Y5153">
        <v>0</v>
      </c>
      <c r="Z5153">
        <v>53</v>
      </c>
      <c r="AA5153">
        <v>0</v>
      </c>
      <c r="AB5153">
        <v>1.733552</v>
      </c>
      <c r="AC5153">
        <v>1.157881E-2</v>
      </c>
      <c r="AD5153">
        <v>1.8432729999999999</v>
      </c>
      <c r="AE5153">
        <v>0.59898839999999998</v>
      </c>
      <c r="AF5153">
        <v>262.08089999999999</v>
      </c>
      <c r="AG5153">
        <f>IFERROR(AH5153*0.1, "N/A")</f>
        <v>6.2650930000000002</v>
      </c>
      <c r="AH5153">
        <v>62.650930000000002</v>
      </c>
      <c r="AI5153">
        <v>106.58150000000001</v>
      </c>
      <c r="AJ5153">
        <v>4.4266439999999996</v>
      </c>
      <c r="AK5153">
        <v>86.472179999999994</v>
      </c>
    </row>
    <row r="5154" spans="1:37" x14ac:dyDescent="0.3">
      <c r="A5154">
        <v>5153</v>
      </c>
      <c r="B5154">
        <v>0</v>
      </c>
      <c r="C5154">
        <v>1.1319999999999999</v>
      </c>
      <c r="D5154">
        <v>14.452</v>
      </c>
      <c r="E5154" t="s">
        <v>8280</v>
      </c>
      <c r="F5154" t="s">
        <v>8281</v>
      </c>
      <c r="G5154" t="s">
        <v>37</v>
      </c>
      <c r="H5154">
        <v>1987</v>
      </c>
      <c r="I5154">
        <v>29.4</v>
      </c>
      <c r="J5154">
        <v>14.3</v>
      </c>
      <c r="K5154">
        <v>57</v>
      </c>
      <c r="L5154">
        <v>28.32</v>
      </c>
      <c r="M5154">
        <v>40.9</v>
      </c>
      <c r="N5154">
        <v>16.2</v>
      </c>
      <c r="O5154">
        <v>24.7</v>
      </c>
      <c r="P5154">
        <v>29.4</v>
      </c>
      <c r="Q5154">
        <v>27.1</v>
      </c>
      <c r="R5154">
        <v>33</v>
      </c>
      <c r="S5154">
        <v>25.4</v>
      </c>
      <c r="T5154">
        <v>299</v>
      </c>
      <c r="U5154">
        <v>119</v>
      </c>
      <c r="V5154">
        <v>0</v>
      </c>
      <c r="W5154">
        <v>148</v>
      </c>
      <c r="X5154">
        <v>247</v>
      </c>
      <c r="Y5154">
        <v>0</v>
      </c>
      <c r="Z5154">
        <v>49</v>
      </c>
      <c r="AA5154">
        <v>0</v>
      </c>
      <c r="AB5154">
        <v>1.698984</v>
      </c>
      <c r="AC5154">
        <v>8.3103380000000004E-3</v>
      </c>
      <c r="AD5154">
        <v>1.0279</v>
      </c>
      <c r="AE5154">
        <v>0.34397299999999997</v>
      </c>
      <c r="AF5154">
        <v>209.85230000000001</v>
      </c>
      <c r="AG5154">
        <f>IFERROR(AH5154*0.1, "N/A")</f>
        <v>6.8000000000000007</v>
      </c>
      <c r="AH5154">
        <v>68</v>
      </c>
      <c r="AI5154">
        <v>221.23429999999999</v>
      </c>
      <c r="AJ5154">
        <v>18</v>
      </c>
      <c r="AK5154">
        <v>67</v>
      </c>
    </row>
    <row r="5155" spans="1:37" x14ac:dyDescent="0.3">
      <c r="A5155">
        <v>5154</v>
      </c>
      <c r="B5155">
        <v>82.6</v>
      </c>
      <c r="C5155">
        <v>1.1295999999999999</v>
      </c>
      <c r="D5155">
        <v>14.452199999999999</v>
      </c>
      <c r="E5155" t="s">
        <v>8282</v>
      </c>
      <c r="F5155" t="s">
        <v>8283</v>
      </c>
      <c r="G5155" t="s">
        <v>39</v>
      </c>
      <c r="H5155">
        <v>0</v>
      </c>
      <c r="I5155">
        <v>29.4</v>
      </c>
      <c r="J5155">
        <v>14.3</v>
      </c>
      <c r="K5155">
        <v>57</v>
      </c>
      <c r="L5155">
        <v>28.32</v>
      </c>
      <c r="M5155">
        <v>40.9</v>
      </c>
      <c r="N5155">
        <v>16.2</v>
      </c>
      <c r="O5155">
        <v>24.7</v>
      </c>
      <c r="P5155">
        <v>29.4</v>
      </c>
      <c r="Q5155">
        <v>27.1</v>
      </c>
      <c r="R5155">
        <v>33</v>
      </c>
      <c r="S5155">
        <v>25.4</v>
      </c>
      <c r="T5155">
        <v>299</v>
      </c>
      <c r="U5155">
        <v>119</v>
      </c>
      <c r="V5155">
        <v>0</v>
      </c>
      <c r="W5155">
        <v>148</v>
      </c>
      <c r="X5155">
        <v>247</v>
      </c>
      <c r="Y5155">
        <v>0</v>
      </c>
      <c r="Z5155">
        <v>49</v>
      </c>
      <c r="AA5155">
        <v>0</v>
      </c>
      <c r="AB5155">
        <v>1.2239070000000001</v>
      </c>
      <c r="AC5155">
        <v>3.0360000000000002E-2</v>
      </c>
      <c r="AD5155">
        <v>1.339072</v>
      </c>
      <c r="AE5155">
        <v>0.34397299999999997</v>
      </c>
      <c r="AF5155">
        <v>210.72739999999999</v>
      </c>
      <c r="AG5155">
        <f>IFERROR(AH5155*0.1, "N/A")</f>
        <v>6.9168899999999995</v>
      </c>
      <c r="AH5155">
        <v>69.168899999999994</v>
      </c>
      <c r="AI5155">
        <v>95.00103</v>
      </c>
      <c r="AJ5155">
        <v>19.466560000000001</v>
      </c>
      <c r="AK5155">
        <v>62.404679999999999</v>
      </c>
    </row>
    <row r="5156" spans="1:37" x14ac:dyDescent="0.3">
      <c r="A5156">
        <v>5155</v>
      </c>
      <c r="B5156">
        <v>0</v>
      </c>
      <c r="C5156">
        <v>4.6168500000000003</v>
      </c>
      <c r="D5156">
        <v>14.457800000000001</v>
      </c>
      <c r="E5156" t="s">
        <v>8284</v>
      </c>
      <c r="F5156" t="s">
        <v>8285</v>
      </c>
      <c r="G5156" t="s">
        <v>39</v>
      </c>
      <c r="H5156">
        <v>0</v>
      </c>
      <c r="I5156">
        <v>29.016279999999998</v>
      </c>
      <c r="J5156">
        <v>14.2</v>
      </c>
      <c r="K5156">
        <v>55.899329999999999</v>
      </c>
      <c r="L5156">
        <v>31.410150000000002</v>
      </c>
      <c r="M5156">
        <v>40.700000000000003</v>
      </c>
      <c r="N5156">
        <v>15.38993</v>
      </c>
      <c r="O5156">
        <v>25.31007</v>
      </c>
      <c r="P5156">
        <v>29.1</v>
      </c>
      <c r="Q5156">
        <v>26.68993</v>
      </c>
      <c r="R5156">
        <v>33</v>
      </c>
      <c r="S5156">
        <v>24.68993</v>
      </c>
      <c r="T5156">
        <v>344</v>
      </c>
      <c r="U5156">
        <v>120</v>
      </c>
      <c r="V5156">
        <v>0</v>
      </c>
      <c r="W5156">
        <v>140</v>
      </c>
      <c r="X5156">
        <v>275</v>
      </c>
      <c r="Y5156">
        <v>0</v>
      </c>
      <c r="Z5156">
        <v>65</v>
      </c>
      <c r="AA5156">
        <v>0</v>
      </c>
      <c r="AB5156">
        <v>0.74748990000000004</v>
      </c>
      <c r="AC5156">
        <v>0.17766180000000001</v>
      </c>
      <c r="AD5156">
        <v>2.3876559999999998</v>
      </c>
      <c r="AE5156">
        <v>0.24649280000000001</v>
      </c>
      <c r="AF5156">
        <v>302.75170000000003</v>
      </c>
      <c r="AG5156">
        <f>IFERROR(AH5156*0.1, "N/A")</f>
        <v>6.2768459999999999</v>
      </c>
      <c r="AH5156">
        <v>62.768459999999997</v>
      </c>
      <c r="AI5156">
        <v>277.06560000000002</v>
      </c>
      <c r="AJ5156">
        <v>8.9127519999999993</v>
      </c>
      <c r="AK5156">
        <v>79.748320000000007</v>
      </c>
    </row>
    <row r="5157" spans="1:37" x14ac:dyDescent="0.3">
      <c r="A5157">
        <v>5156</v>
      </c>
      <c r="B5157">
        <v>11.7</v>
      </c>
      <c r="C5157">
        <v>2.0311699999999999</v>
      </c>
      <c r="D5157">
        <v>14.458600000000001</v>
      </c>
      <c r="E5157" t="s">
        <v>8286</v>
      </c>
      <c r="F5157" t="s">
        <v>8287</v>
      </c>
      <c r="G5157" t="s">
        <v>39</v>
      </c>
      <c r="H5157">
        <v>0</v>
      </c>
      <c r="I5157">
        <v>29.5</v>
      </c>
      <c r="J5157">
        <v>14.3</v>
      </c>
      <c r="K5157">
        <v>57</v>
      </c>
      <c r="L5157">
        <v>29.40166</v>
      </c>
      <c r="M5157">
        <v>41.1</v>
      </c>
      <c r="N5157">
        <v>16.23094</v>
      </c>
      <c r="O5157">
        <v>24.869060000000001</v>
      </c>
      <c r="P5157">
        <v>29.3</v>
      </c>
      <c r="Q5157">
        <v>25.8</v>
      </c>
      <c r="R5157">
        <v>33.230939999999997</v>
      </c>
      <c r="S5157">
        <v>25.4</v>
      </c>
      <c r="T5157">
        <v>350.69060000000002</v>
      </c>
      <c r="U5157">
        <v>130</v>
      </c>
      <c r="V5157">
        <v>0</v>
      </c>
      <c r="W5157">
        <v>139</v>
      </c>
      <c r="X5157">
        <v>282</v>
      </c>
      <c r="Y5157">
        <v>0</v>
      </c>
      <c r="Z5157">
        <v>60</v>
      </c>
      <c r="AA5157">
        <v>0</v>
      </c>
      <c r="AB5157">
        <v>3.9130410000000002</v>
      </c>
      <c r="AC5157">
        <v>1.3392930000000001E-2</v>
      </c>
      <c r="AD5157">
        <v>1.06002</v>
      </c>
      <c r="AE5157">
        <v>0.24521100000000001</v>
      </c>
      <c r="AF5157">
        <v>229.73410000000001</v>
      </c>
      <c r="AG5157">
        <f>IFERROR(AH5157*0.1, "N/A")</f>
        <v>6.8571910000000003</v>
      </c>
      <c r="AH5157">
        <v>68.571910000000003</v>
      </c>
      <c r="AI5157">
        <v>125.13120000000001</v>
      </c>
      <c r="AJ5157">
        <v>14.488289999999999</v>
      </c>
      <c r="AK5157">
        <v>70.790970000000002</v>
      </c>
    </row>
    <row r="5158" spans="1:37" x14ac:dyDescent="0.3">
      <c r="A5158">
        <v>5157</v>
      </c>
      <c r="B5158">
        <v>16.600000000000001</v>
      </c>
      <c r="C5158">
        <v>5.2515799999999997</v>
      </c>
      <c r="D5158">
        <v>14.4597</v>
      </c>
      <c r="E5158" t="s">
        <v>8288</v>
      </c>
      <c r="F5158" t="s">
        <v>8289</v>
      </c>
      <c r="G5158" t="s">
        <v>39</v>
      </c>
      <c r="H5158">
        <v>0</v>
      </c>
      <c r="I5158">
        <v>29</v>
      </c>
      <c r="J5158">
        <v>14.3</v>
      </c>
      <c r="K5158">
        <v>56</v>
      </c>
      <c r="L5158">
        <v>30.81</v>
      </c>
      <c r="M5158">
        <v>40.700000000000003</v>
      </c>
      <c r="N5158">
        <v>15.3</v>
      </c>
      <c r="O5158">
        <v>25.4</v>
      </c>
      <c r="P5158">
        <v>28.9</v>
      </c>
      <c r="Q5158">
        <v>26.7</v>
      </c>
      <c r="R5158">
        <v>33</v>
      </c>
      <c r="S5158">
        <v>24.8</v>
      </c>
      <c r="T5158">
        <v>383</v>
      </c>
      <c r="U5158">
        <v>132</v>
      </c>
      <c r="V5158">
        <v>0</v>
      </c>
      <c r="W5158">
        <v>140</v>
      </c>
      <c r="X5158">
        <v>305</v>
      </c>
      <c r="Y5158">
        <v>0</v>
      </c>
      <c r="Z5158">
        <v>73</v>
      </c>
      <c r="AA5158">
        <v>0</v>
      </c>
      <c r="AB5158">
        <v>0.16650680000000001</v>
      </c>
      <c r="AC5158">
        <v>0.44126369999999998</v>
      </c>
      <c r="AD5158">
        <v>1.3192219999999999</v>
      </c>
      <c r="AE5158">
        <v>0.50623580000000001</v>
      </c>
      <c r="AF5158">
        <v>309.29649999999998</v>
      </c>
      <c r="AG5158">
        <f>IFERROR(AH5158*0.1, "N/A")</f>
        <v>7.1155779999999993</v>
      </c>
      <c r="AH5158">
        <v>71.155779999999993</v>
      </c>
      <c r="AI5158">
        <v>38.606369999999998</v>
      </c>
      <c r="AJ5158">
        <v>20</v>
      </c>
      <c r="AK5158">
        <v>65.844220000000007</v>
      </c>
    </row>
    <row r="5159" spans="1:37" x14ac:dyDescent="0.3">
      <c r="A5159">
        <v>5158</v>
      </c>
      <c r="B5159">
        <v>88.3</v>
      </c>
      <c r="C5159">
        <v>0.78634999999999999</v>
      </c>
      <c r="D5159">
        <v>14.461</v>
      </c>
      <c r="E5159" t="s">
        <v>8290</v>
      </c>
      <c r="F5159" t="s">
        <v>8291</v>
      </c>
      <c r="G5159" t="s">
        <v>39</v>
      </c>
      <c r="H5159">
        <v>0</v>
      </c>
      <c r="I5159">
        <v>28.9</v>
      </c>
      <c r="J5159">
        <v>14.6</v>
      </c>
      <c r="K5159">
        <v>58</v>
      </c>
      <c r="L5159">
        <v>28.25</v>
      </c>
      <c r="M5159">
        <v>40.299999999999997</v>
      </c>
      <c r="N5159">
        <v>15.5</v>
      </c>
      <c r="O5159">
        <v>24.8</v>
      </c>
      <c r="P5159">
        <v>29</v>
      </c>
      <c r="Q5159">
        <v>26.6</v>
      </c>
      <c r="R5159">
        <v>32.5</v>
      </c>
      <c r="S5159">
        <v>24.9</v>
      </c>
      <c r="T5159">
        <v>338</v>
      </c>
      <c r="U5159">
        <v>130</v>
      </c>
      <c r="V5159">
        <v>0</v>
      </c>
      <c r="W5159">
        <v>145</v>
      </c>
      <c r="X5159">
        <v>280</v>
      </c>
      <c r="Y5159">
        <v>0</v>
      </c>
      <c r="Z5159">
        <v>53</v>
      </c>
      <c r="AA5159">
        <v>0</v>
      </c>
      <c r="AB5159">
        <v>2.3709690000000001</v>
      </c>
      <c r="AC5159">
        <v>2.8779180000000001E-2</v>
      </c>
      <c r="AD5159">
        <v>1.8435410000000001</v>
      </c>
      <c r="AE5159">
        <v>0.40438220000000002</v>
      </c>
      <c r="AF5159">
        <v>265.44630000000001</v>
      </c>
      <c r="AG5159">
        <f>IFERROR(AH5159*0.1, "N/A")</f>
        <v>6.6000000000000005</v>
      </c>
      <c r="AH5159">
        <v>66</v>
      </c>
      <c r="AI5159">
        <v>118.60250000000001</v>
      </c>
      <c r="AJ5159">
        <v>9</v>
      </c>
      <c r="AK5159">
        <v>77</v>
      </c>
    </row>
    <row r="5160" spans="1:37" x14ac:dyDescent="0.3">
      <c r="A5160">
        <v>5159</v>
      </c>
      <c r="B5160">
        <v>35</v>
      </c>
      <c r="C5160">
        <v>1.0746</v>
      </c>
      <c r="D5160">
        <v>14.4718</v>
      </c>
      <c r="E5160" t="s">
        <v>8292</v>
      </c>
      <c r="F5160" t="s">
        <v>8293</v>
      </c>
      <c r="G5160" t="s">
        <v>39</v>
      </c>
      <c r="H5160">
        <v>0</v>
      </c>
      <c r="I5160">
        <v>29.4</v>
      </c>
      <c r="J5160">
        <v>14.4</v>
      </c>
      <c r="K5160">
        <v>58</v>
      </c>
      <c r="L5160">
        <v>28.010439999999999</v>
      </c>
      <c r="M5160">
        <v>40.799999999999997</v>
      </c>
      <c r="N5160">
        <v>16.2</v>
      </c>
      <c r="O5160">
        <v>24.6</v>
      </c>
      <c r="P5160">
        <v>29.4</v>
      </c>
      <c r="Q5160">
        <v>27.1</v>
      </c>
      <c r="R5160">
        <v>32.9</v>
      </c>
      <c r="S5160">
        <v>25.4</v>
      </c>
      <c r="T5160">
        <v>298.97809999999998</v>
      </c>
      <c r="U5160">
        <v>118</v>
      </c>
      <c r="V5160">
        <v>0</v>
      </c>
      <c r="W5160">
        <v>148</v>
      </c>
      <c r="X5160">
        <v>247.97810000000001</v>
      </c>
      <c r="Y5160">
        <v>0</v>
      </c>
      <c r="Z5160">
        <v>48</v>
      </c>
      <c r="AA5160">
        <v>0</v>
      </c>
      <c r="AB5160">
        <v>0.29090680000000002</v>
      </c>
      <c r="AC5160">
        <v>4.692399</v>
      </c>
      <c r="AD5160">
        <v>1.7613700000000001</v>
      </c>
      <c r="AE5160">
        <v>0.30960739999999998</v>
      </c>
      <c r="AF5160">
        <v>210.44280000000001</v>
      </c>
      <c r="AG5160">
        <f>IFERROR(AH5160*0.1, "N/A")</f>
        <v>6.6557239999999993</v>
      </c>
      <c r="AH5160">
        <v>66.557239999999993</v>
      </c>
      <c r="AI5160">
        <v>199.86330000000001</v>
      </c>
      <c r="AJ5160">
        <v>10.41582</v>
      </c>
      <c r="AK5160">
        <v>76.584180000000003</v>
      </c>
    </row>
    <row r="5161" spans="1:37" x14ac:dyDescent="0.3">
      <c r="A5161">
        <v>5160</v>
      </c>
      <c r="B5161">
        <v>68</v>
      </c>
      <c r="C5161">
        <v>1.0932999999999999</v>
      </c>
      <c r="D5161">
        <v>14.4739</v>
      </c>
      <c r="E5161" t="s">
        <v>8294</v>
      </c>
      <c r="F5161" t="s">
        <v>8295</v>
      </c>
      <c r="G5161" t="s">
        <v>39</v>
      </c>
      <c r="H5161">
        <v>0</v>
      </c>
      <c r="I5161">
        <v>29.4</v>
      </c>
      <c r="J5161">
        <v>14.3</v>
      </c>
      <c r="K5161">
        <v>58</v>
      </c>
      <c r="L5161">
        <v>28.0517</v>
      </c>
      <c r="M5161">
        <v>40.793610000000001</v>
      </c>
      <c r="N5161">
        <v>16.2</v>
      </c>
      <c r="O5161">
        <v>24.593610000000002</v>
      </c>
      <c r="P5161">
        <v>29.3</v>
      </c>
      <c r="Q5161">
        <v>27.1</v>
      </c>
      <c r="R5161">
        <v>32.993609999999997</v>
      </c>
      <c r="S5161">
        <v>25.5</v>
      </c>
      <c r="T5161">
        <v>296.8723</v>
      </c>
      <c r="U5161">
        <v>117.9361</v>
      </c>
      <c r="V5161">
        <v>0</v>
      </c>
      <c r="W5161">
        <v>147.8723</v>
      </c>
      <c r="X5161">
        <v>246.8723</v>
      </c>
      <c r="Y5161">
        <v>0</v>
      </c>
      <c r="Z5161">
        <v>47</v>
      </c>
      <c r="AA5161">
        <v>0</v>
      </c>
      <c r="AB5161">
        <v>0.81075569999999997</v>
      </c>
      <c r="AC5161">
        <v>1.463627</v>
      </c>
      <c r="AD5161">
        <v>1.823429</v>
      </c>
      <c r="AE5161">
        <v>0.23875279999999999</v>
      </c>
      <c r="AF5161">
        <v>208.39830000000001</v>
      </c>
      <c r="AG5161" t="str">
        <f>IFERROR(AH5161*0.1, "N/A")</f>
        <v>N/A</v>
      </c>
      <c r="AH5161" t="s">
        <v>729</v>
      </c>
      <c r="AI5161">
        <v>284.90120000000002</v>
      </c>
      <c r="AJ5161" t="s">
        <v>729</v>
      </c>
      <c r="AK5161" t="s">
        <v>729</v>
      </c>
    </row>
    <row r="5162" spans="1:37" x14ac:dyDescent="0.3">
      <c r="A5162">
        <v>5161</v>
      </c>
      <c r="B5162">
        <v>94.5</v>
      </c>
      <c r="C5162">
        <v>1.1027800000000001</v>
      </c>
      <c r="D5162">
        <v>14.497199999999999</v>
      </c>
      <c r="E5162" t="s">
        <v>8296</v>
      </c>
      <c r="F5162" t="s">
        <v>8297</v>
      </c>
      <c r="G5162" t="s">
        <v>39</v>
      </c>
      <c r="H5162">
        <v>0</v>
      </c>
      <c r="I5162">
        <v>29.4</v>
      </c>
      <c r="J5162">
        <v>14.4</v>
      </c>
      <c r="K5162">
        <v>58</v>
      </c>
      <c r="L5162">
        <v>27.69</v>
      </c>
      <c r="M5162">
        <v>40.700000000000003</v>
      </c>
      <c r="N5162">
        <v>16.2</v>
      </c>
      <c r="O5162">
        <v>24.5</v>
      </c>
      <c r="P5162">
        <v>29.4</v>
      </c>
      <c r="Q5162">
        <v>27.1</v>
      </c>
      <c r="R5162">
        <v>32.9</v>
      </c>
      <c r="S5162">
        <v>25.5</v>
      </c>
      <c r="T5162">
        <v>295</v>
      </c>
      <c r="U5162">
        <v>117</v>
      </c>
      <c r="V5162">
        <v>0</v>
      </c>
      <c r="W5162">
        <v>146</v>
      </c>
      <c r="X5162">
        <v>245</v>
      </c>
      <c r="Y5162">
        <v>0</v>
      </c>
      <c r="Z5162">
        <v>47</v>
      </c>
      <c r="AA5162">
        <v>0</v>
      </c>
      <c r="AB5162">
        <v>0.60789130000000002</v>
      </c>
      <c r="AC5162">
        <v>9.211805E-3</v>
      </c>
      <c r="AD5162">
        <v>1.225949</v>
      </c>
      <c r="AE5162">
        <v>0.34862480000000001</v>
      </c>
      <c r="AF5162">
        <v>211.59559999999999</v>
      </c>
      <c r="AG5162">
        <f>IFERROR(AH5162*0.1, "N/A")</f>
        <v>6.4092280000000006</v>
      </c>
      <c r="AH5162">
        <v>64.092280000000002</v>
      </c>
      <c r="AI5162">
        <v>135.85900000000001</v>
      </c>
      <c r="AJ5162">
        <v>29.83221</v>
      </c>
      <c r="AK5162">
        <v>51.857379999999999</v>
      </c>
    </row>
    <row r="5163" spans="1:37" x14ac:dyDescent="0.3">
      <c r="A5163">
        <v>5162</v>
      </c>
      <c r="B5163">
        <v>0</v>
      </c>
      <c r="C5163">
        <v>3.55246</v>
      </c>
      <c r="D5163">
        <v>14.5017</v>
      </c>
      <c r="E5163" t="s">
        <v>8298</v>
      </c>
      <c r="F5163" t="s">
        <v>8299</v>
      </c>
      <c r="G5163" t="s">
        <v>39</v>
      </c>
      <c r="H5163">
        <v>0</v>
      </c>
      <c r="I5163">
        <v>29.2</v>
      </c>
      <c r="J5163">
        <v>14</v>
      </c>
      <c r="K5163">
        <v>54</v>
      </c>
      <c r="L5163">
        <v>33.58</v>
      </c>
      <c r="M5163">
        <v>41</v>
      </c>
      <c r="N5163">
        <v>15.2</v>
      </c>
      <c r="O5163">
        <v>25.8</v>
      </c>
      <c r="P5163">
        <v>29.5</v>
      </c>
      <c r="Q5163">
        <v>26.5</v>
      </c>
      <c r="R5163">
        <v>33.4</v>
      </c>
      <c r="S5163">
        <v>24.4</v>
      </c>
      <c r="T5163">
        <v>333</v>
      </c>
      <c r="U5163">
        <v>122</v>
      </c>
      <c r="V5163">
        <v>0</v>
      </c>
      <c r="W5163">
        <v>148</v>
      </c>
      <c r="X5163">
        <v>277</v>
      </c>
      <c r="Y5163">
        <v>0</v>
      </c>
      <c r="Z5163">
        <v>51</v>
      </c>
      <c r="AA5163">
        <v>0</v>
      </c>
      <c r="AB5163">
        <v>3.1567129999999999</v>
      </c>
      <c r="AC5163">
        <v>7.0006640000000004</v>
      </c>
      <c r="AD5163">
        <v>1.9564600000000001</v>
      </c>
      <c r="AE5163">
        <v>0.14702109999999999</v>
      </c>
      <c r="AF5163">
        <v>240.59229999999999</v>
      </c>
      <c r="AG5163">
        <f>IFERROR(AH5163*0.1, "N/A")</f>
        <v>6.3226510000000005</v>
      </c>
      <c r="AH5163">
        <v>63.226509999999998</v>
      </c>
      <c r="AI5163">
        <v>229.4246</v>
      </c>
      <c r="AJ5163">
        <v>8.4815439999999995</v>
      </c>
      <c r="AK5163">
        <v>80.689599999999999</v>
      </c>
    </row>
    <row r="5164" spans="1:37" x14ac:dyDescent="0.3">
      <c r="A5164">
        <v>5163</v>
      </c>
      <c r="B5164">
        <v>0</v>
      </c>
      <c r="C5164">
        <v>3.55246</v>
      </c>
      <c r="D5164">
        <v>14.5017</v>
      </c>
      <c r="E5164" t="s">
        <v>8298</v>
      </c>
      <c r="F5164" t="s">
        <v>8300</v>
      </c>
      <c r="G5164" t="s">
        <v>37</v>
      </c>
      <c r="H5164">
        <v>0</v>
      </c>
      <c r="I5164">
        <v>29.2</v>
      </c>
      <c r="J5164">
        <v>14</v>
      </c>
      <c r="K5164">
        <v>54</v>
      </c>
      <c r="L5164">
        <v>33.58</v>
      </c>
      <c r="M5164">
        <v>41</v>
      </c>
      <c r="N5164">
        <v>15.2</v>
      </c>
      <c r="O5164">
        <v>25.8</v>
      </c>
      <c r="P5164">
        <v>29.5</v>
      </c>
      <c r="Q5164">
        <v>26.5</v>
      </c>
      <c r="R5164">
        <v>33.4</v>
      </c>
      <c r="S5164">
        <v>24.4</v>
      </c>
      <c r="T5164">
        <v>333</v>
      </c>
      <c r="U5164">
        <v>122</v>
      </c>
      <c r="V5164">
        <v>0</v>
      </c>
      <c r="W5164">
        <v>148</v>
      </c>
      <c r="X5164">
        <v>277</v>
      </c>
      <c r="Y5164">
        <v>0</v>
      </c>
      <c r="Z5164">
        <v>51</v>
      </c>
      <c r="AA5164">
        <v>0</v>
      </c>
      <c r="AB5164">
        <v>3.1567129999999999</v>
      </c>
      <c r="AC5164">
        <v>7.0006640000000004</v>
      </c>
      <c r="AD5164">
        <v>1.9564600000000001</v>
      </c>
      <c r="AE5164">
        <v>0.14702109999999999</v>
      </c>
      <c r="AF5164">
        <v>240.59229999999999</v>
      </c>
      <c r="AG5164">
        <f>IFERROR(AH5164*0.1, "N/A")</f>
        <v>6.3226510000000005</v>
      </c>
      <c r="AH5164">
        <v>63.226509999999998</v>
      </c>
      <c r="AI5164">
        <v>229.4246</v>
      </c>
      <c r="AJ5164">
        <v>8.4815439999999995</v>
      </c>
      <c r="AK5164">
        <v>80.689599999999999</v>
      </c>
    </row>
    <row r="5165" spans="1:37" x14ac:dyDescent="0.3">
      <c r="A5165">
        <v>5164</v>
      </c>
      <c r="B5165">
        <v>75.8</v>
      </c>
      <c r="C5165">
        <v>0.44708300000000001</v>
      </c>
      <c r="D5165">
        <v>14.504099999999999</v>
      </c>
      <c r="E5165" t="s">
        <v>8301</v>
      </c>
      <c r="F5165" t="s">
        <v>8302</v>
      </c>
      <c r="G5165" t="s">
        <v>39</v>
      </c>
      <c r="H5165">
        <v>0</v>
      </c>
      <c r="I5165">
        <v>29</v>
      </c>
      <c r="J5165">
        <v>14.8</v>
      </c>
      <c r="K5165">
        <v>57</v>
      </c>
      <c r="L5165">
        <v>30.26</v>
      </c>
      <c r="M5165">
        <v>40.6</v>
      </c>
      <c r="N5165">
        <v>15</v>
      </c>
      <c r="O5165">
        <v>25.6</v>
      </c>
      <c r="P5165">
        <v>29.3</v>
      </c>
      <c r="Q5165">
        <v>26.4</v>
      </c>
      <c r="R5165">
        <v>32.799999999999997</v>
      </c>
      <c r="S5165">
        <v>24.7</v>
      </c>
      <c r="T5165">
        <v>341</v>
      </c>
      <c r="U5165">
        <v>121</v>
      </c>
      <c r="V5165">
        <v>0</v>
      </c>
      <c r="W5165">
        <v>143</v>
      </c>
      <c r="X5165">
        <v>280</v>
      </c>
      <c r="Y5165">
        <v>0</v>
      </c>
      <c r="Z5165">
        <v>55</v>
      </c>
      <c r="AA5165">
        <v>0</v>
      </c>
      <c r="AB5165">
        <v>1.173773</v>
      </c>
      <c r="AC5165">
        <v>62.301870000000001</v>
      </c>
      <c r="AD5165">
        <v>1.1033809999999999</v>
      </c>
      <c r="AE5165">
        <v>0.61853919999999996</v>
      </c>
      <c r="AF5165">
        <v>260.2756</v>
      </c>
      <c r="AG5165">
        <f>IFERROR(AH5165*0.1, "N/A")</f>
        <v>6</v>
      </c>
      <c r="AH5165">
        <v>60</v>
      </c>
      <c r="AI5165">
        <v>91.804609999999997</v>
      </c>
      <c r="AJ5165">
        <v>16</v>
      </c>
      <c r="AK5165">
        <v>71</v>
      </c>
    </row>
    <row r="5166" spans="1:37" x14ac:dyDescent="0.3">
      <c r="A5166">
        <v>5165</v>
      </c>
      <c r="B5166">
        <v>0</v>
      </c>
      <c r="C5166">
        <v>1.232</v>
      </c>
      <c r="D5166">
        <v>14.518000000000001</v>
      </c>
      <c r="E5166" t="s">
        <v>8303</v>
      </c>
      <c r="F5166" t="s">
        <v>8304</v>
      </c>
      <c r="G5166" t="s">
        <v>37</v>
      </c>
      <c r="H5166">
        <v>1987</v>
      </c>
      <c r="I5166">
        <v>29.4</v>
      </c>
      <c r="J5166">
        <v>14.3</v>
      </c>
      <c r="K5166">
        <v>58</v>
      </c>
      <c r="L5166">
        <v>28.25</v>
      </c>
      <c r="M5166">
        <v>40.9</v>
      </c>
      <c r="N5166">
        <v>16.3</v>
      </c>
      <c r="O5166">
        <v>24.6</v>
      </c>
      <c r="P5166">
        <v>29.4</v>
      </c>
      <c r="Q5166">
        <v>27.1</v>
      </c>
      <c r="R5166">
        <v>33</v>
      </c>
      <c r="S5166">
        <v>25.4</v>
      </c>
      <c r="T5166">
        <v>297</v>
      </c>
      <c r="U5166">
        <v>118</v>
      </c>
      <c r="V5166">
        <v>0</v>
      </c>
      <c r="W5166">
        <v>147</v>
      </c>
      <c r="X5166">
        <v>246</v>
      </c>
      <c r="Y5166">
        <v>0</v>
      </c>
      <c r="Z5166">
        <v>47</v>
      </c>
      <c r="AA5166">
        <v>0</v>
      </c>
      <c r="AB5166">
        <v>1.2833049999999999</v>
      </c>
      <c r="AC5166">
        <v>0.354161</v>
      </c>
      <c r="AD5166">
        <v>2.2486199999999998</v>
      </c>
      <c r="AE5166">
        <v>0.42018050000000001</v>
      </c>
      <c r="AF5166">
        <v>224.68950000000001</v>
      </c>
      <c r="AG5166">
        <f>IFERROR(AH5166*0.1, "N/A")</f>
        <v>6.3243740000000006</v>
      </c>
      <c r="AH5166">
        <v>63.243740000000003</v>
      </c>
      <c r="AI5166">
        <v>202.84</v>
      </c>
      <c r="AJ5166">
        <v>11.75459</v>
      </c>
      <c r="AK5166">
        <v>73.333889999999997</v>
      </c>
    </row>
    <row r="5167" spans="1:37" x14ac:dyDescent="0.3">
      <c r="A5167">
        <v>5166</v>
      </c>
      <c r="B5167">
        <v>6.7</v>
      </c>
      <c r="C5167">
        <v>5.3722700000000003</v>
      </c>
      <c r="D5167">
        <v>14.520300000000001</v>
      </c>
      <c r="E5167" t="s">
        <v>8305</v>
      </c>
      <c r="F5167" t="s">
        <v>8306</v>
      </c>
      <c r="G5167" t="s">
        <v>39</v>
      </c>
      <c r="H5167">
        <v>0</v>
      </c>
      <c r="I5167">
        <v>28.8</v>
      </c>
      <c r="J5167">
        <v>14.4</v>
      </c>
      <c r="K5167">
        <v>56</v>
      </c>
      <c r="L5167">
        <v>30.98</v>
      </c>
      <c r="M5167">
        <v>40.5</v>
      </c>
      <c r="N5167">
        <v>15.1</v>
      </c>
      <c r="O5167">
        <v>25.4</v>
      </c>
      <c r="P5167">
        <v>28.7</v>
      </c>
      <c r="Q5167">
        <v>26.5</v>
      </c>
      <c r="R5167">
        <v>32.700000000000003</v>
      </c>
      <c r="S5167">
        <v>24.5</v>
      </c>
      <c r="T5167">
        <v>374</v>
      </c>
      <c r="U5167">
        <v>132</v>
      </c>
      <c r="V5167">
        <v>0</v>
      </c>
      <c r="W5167">
        <v>138</v>
      </c>
      <c r="X5167">
        <v>297</v>
      </c>
      <c r="Y5167">
        <v>0</v>
      </c>
      <c r="Z5167">
        <v>72</v>
      </c>
      <c r="AA5167">
        <v>0</v>
      </c>
      <c r="AB5167">
        <v>32.124569999999999</v>
      </c>
      <c r="AC5167">
        <v>3.6814039999999999E-2</v>
      </c>
      <c r="AD5167">
        <v>1.341243</v>
      </c>
      <c r="AE5167">
        <v>0.50264600000000004</v>
      </c>
      <c r="AF5167">
        <v>356.78449999999998</v>
      </c>
      <c r="AG5167">
        <f>IFERROR(AH5167*0.1, "N/A")</f>
        <v>6.9937709999999997</v>
      </c>
      <c r="AH5167">
        <v>69.937709999999996</v>
      </c>
      <c r="AI5167">
        <v>133.4915</v>
      </c>
      <c r="AJ5167">
        <v>23.688549999999999</v>
      </c>
      <c r="AK5167">
        <v>60.50168</v>
      </c>
    </row>
    <row r="5168" spans="1:37" x14ac:dyDescent="0.3">
      <c r="A5168">
        <v>5167</v>
      </c>
      <c r="B5168">
        <v>3.6</v>
      </c>
      <c r="C5168">
        <v>3.5450900000000001</v>
      </c>
      <c r="D5168">
        <v>14.526899999999999</v>
      </c>
      <c r="E5168" t="s">
        <v>8307</v>
      </c>
      <c r="F5168" t="s">
        <v>8308</v>
      </c>
      <c r="G5168" t="s">
        <v>39</v>
      </c>
      <c r="H5168">
        <v>0</v>
      </c>
      <c r="I5168">
        <v>29.2</v>
      </c>
      <c r="J5168">
        <v>14</v>
      </c>
      <c r="K5168">
        <v>54</v>
      </c>
      <c r="L5168">
        <v>33.270000000000003</v>
      </c>
      <c r="M5168">
        <v>40.9</v>
      </c>
      <c r="N5168">
        <v>15.3</v>
      </c>
      <c r="O5168">
        <v>25.6</v>
      </c>
      <c r="P5168">
        <v>29.6</v>
      </c>
      <c r="Q5168">
        <v>26.5</v>
      </c>
      <c r="R5168">
        <v>33.299999999999997</v>
      </c>
      <c r="S5168">
        <v>24.5</v>
      </c>
      <c r="T5168">
        <v>331</v>
      </c>
      <c r="U5168">
        <v>121</v>
      </c>
      <c r="V5168">
        <v>0</v>
      </c>
      <c r="W5168">
        <v>147</v>
      </c>
      <c r="X5168">
        <v>275</v>
      </c>
      <c r="Y5168">
        <v>0</v>
      </c>
      <c r="Z5168">
        <v>51</v>
      </c>
      <c r="AA5168">
        <v>0</v>
      </c>
      <c r="AB5168">
        <v>2.5093830000000001</v>
      </c>
      <c r="AC5168">
        <v>0.1139479</v>
      </c>
      <c r="AD5168">
        <v>1.128298</v>
      </c>
      <c r="AE5168">
        <v>0.1292701</v>
      </c>
      <c r="AF5168">
        <v>248.35509999999999</v>
      </c>
      <c r="AG5168">
        <f>IFERROR(AH5168*0.1, "N/A")</f>
        <v>5.9664990000000007</v>
      </c>
      <c r="AH5168">
        <v>59.664990000000003</v>
      </c>
      <c r="AI5168">
        <v>110.393</v>
      </c>
      <c r="AJ5168">
        <v>6.9715239999999996</v>
      </c>
      <c r="AK5168">
        <v>81.887770000000003</v>
      </c>
    </row>
    <row r="5169" spans="1:37" x14ac:dyDescent="0.3">
      <c r="A5169">
        <v>5168</v>
      </c>
      <c r="B5169">
        <v>0</v>
      </c>
      <c r="C5169">
        <v>3.5450900000000001</v>
      </c>
      <c r="D5169">
        <v>14.526899999999999</v>
      </c>
      <c r="E5169" t="s">
        <v>8307</v>
      </c>
      <c r="F5169" t="s">
        <v>8309</v>
      </c>
      <c r="G5169" t="s">
        <v>37</v>
      </c>
      <c r="H5169">
        <v>0</v>
      </c>
      <c r="I5169">
        <v>29.2</v>
      </c>
      <c r="J5169">
        <v>14</v>
      </c>
      <c r="K5169">
        <v>54</v>
      </c>
      <c r="L5169">
        <v>33.270000000000003</v>
      </c>
      <c r="M5169">
        <v>40.9</v>
      </c>
      <c r="N5169">
        <v>15.3</v>
      </c>
      <c r="O5169">
        <v>25.6</v>
      </c>
      <c r="P5169">
        <v>29.6</v>
      </c>
      <c r="Q5169">
        <v>26.5</v>
      </c>
      <c r="R5169">
        <v>33.299999999999997</v>
      </c>
      <c r="S5169">
        <v>24.5</v>
      </c>
      <c r="T5169">
        <v>331</v>
      </c>
      <c r="U5169">
        <v>121</v>
      </c>
      <c r="V5169">
        <v>0</v>
      </c>
      <c r="W5169">
        <v>147</v>
      </c>
      <c r="X5169">
        <v>275</v>
      </c>
      <c r="Y5169">
        <v>0</v>
      </c>
      <c r="Z5169">
        <v>51</v>
      </c>
      <c r="AA5169">
        <v>0</v>
      </c>
      <c r="AB5169">
        <v>2.5093830000000001</v>
      </c>
      <c r="AC5169">
        <v>0.1139479</v>
      </c>
      <c r="AD5169">
        <v>1.128298</v>
      </c>
      <c r="AE5169">
        <v>0.1292701</v>
      </c>
      <c r="AF5169">
        <v>248.35509999999999</v>
      </c>
      <c r="AG5169">
        <f>IFERROR(AH5169*0.1, "N/A")</f>
        <v>5.9664990000000007</v>
      </c>
      <c r="AH5169">
        <v>59.664990000000003</v>
      </c>
      <c r="AI5169">
        <v>110.393</v>
      </c>
      <c r="AJ5169">
        <v>6.9715239999999996</v>
      </c>
      <c r="AK5169">
        <v>81.887770000000003</v>
      </c>
    </row>
    <row r="5170" spans="1:37" x14ac:dyDescent="0.3">
      <c r="A5170">
        <v>5169</v>
      </c>
      <c r="B5170">
        <v>45.2</v>
      </c>
      <c r="C5170">
        <v>1.0972</v>
      </c>
      <c r="D5170">
        <v>14.5319</v>
      </c>
      <c r="E5170" t="s">
        <v>8310</v>
      </c>
      <c r="F5170" t="s">
        <v>8311</v>
      </c>
      <c r="G5170" t="s">
        <v>39</v>
      </c>
      <c r="H5170">
        <v>0</v>
      </c>
      <c r="I5170">
        <v>29.4</v>
      </c>
      <c r="J5170">
        <v>14.4</v>
      </c>
      <c r="K5170">
        <v>58</v>
      </c>
      <c r="L5170">
        <v>27.9</v>
      </c>
      <c r="M5170">
        <v>40.700000000000003</v>
      </c>
      <c r="N5170">
        <v>16.2</v>
      </c>
      <c r="O5170">
        <v>24.5</v>
      </c>
      <c r="P5170">
        <v>29.5</v>
      </c>
      <c r="Q5170">
        <v>27.1</v>
      </c>
      <c r="R5170">
        <v>32.9</v>
      </c>
      <c r="S5170">
        <v>25.4</v>
      </c>
      <c r="T5170">
        <v>292</v>
      </c>
      <c r="U5170">
        <v>115</v>
      </c>
      <c r="V5170">
        <v>0</v>
      </c>
      <c r="W5170">
        <v>145</v>
      </c>
      <c r="X5170">
        <v>243</v>
      </c>
      <c r="Y5170">
        <v>0</v>
      </c>
      <c r="Z5170">
        <v>46</v>
      </c>
      <c r="AA5170">
        <v>0</v>
      </c>
      <c r="AB5170">
        <v>0.94345749999999995</v>
      </c>
      <c r="AC5170">
        <v>8.2796169999999995E-3</v>
      </c>
      <c r="AD5170">
        <v>1.5320879999999999</v>
      </c>
      <c r="AE5170">
        <v>0.3965708</v>
      </c>
      <c r="AF5170">
        <v>212.255</v>
      </c>
      <c r="AG5170">
        <f>IFERROR(AH5170*0.1, "N/A")</f>
        <v>6.7286910000000013</v>
      </c>
      <c r="AH5170">
        <v>67.286910000000006</v>
      </c>
      <c r="AI5170">
        <v>233.8785</v>
      </c>
      <c r="AJ5170">
        <v>20.617450000000002</v>
      </c>
      <c r="AK5170">
        <v>64.382549999999995</v>
      </c>
    </row>
    <row r="5171" spans="1:37" x14ac:dyDescent="0.3">
      <c r="A5171">
        <v>5170</v>
      </c>
      <c r="B5171">
        <v>0</v>
      </c>
      <c r="C5171">
        <v>1.0972</v>
      </c>
      <c r="D5171">
        <v>14.5319</v>
      </c>
      <c r="E5171" t="s">
        <v>8310</v>
      </c>
      <c r="F5171" t="s">
        <v>8312</v>
      </c>
      <c r="G5171" t="s">
        <v>37</v>
      </c>
      <c r="H5171">
        <v>0</v>
      </c>
      <c r="I5171">
        <v>29.4</v>
      </c>
      <c r="J5171">
        <v>14.4</v>
      </c>
      <c r="K5171">
        <v>58</v>
      </c>
      <c r="L5171">
        <v>27.9</v>
      </c>
      <c r="M5171">
        <v>40.700000000000003</v>
      </c>
      <c r="N5171">
        <v>16.2</v>
      </c>
      <c r="O5171">
        <v>24.5</v>
      </c>
      <c r="P5171">
        <v>29.5</v>
      </c>
      <c r="Q5171">
        <v>27.1</v>
      </c>
      <c r="R5171">
        <v>32.9</v>
      </c>
      <c r="S5171">
        <v>25.4</v>
      </c>
      <c r="T5171">
        <v>292</v>
      </c>
      <c r="U5171">
        <v>115</v>
      </c>
      <c r="V5171">
        <v>0</v>
      </c>
      <c r="W5171">
        <v>145</v>
      </c>
      <c r="X5171">
        <v>243</v>
      </c>
      <c r="Y5171">
        <v>0</v>
      </c>
      <c r="Z5171">
        <v>46</v>
      </c>
      <c r="AA5171">
        <v>0</v>
      </c>
      <c r="AB5171">
        <v>0.94345749999999995</v>
      </c>
      <c r="AC5171">
        <v>8.2796169999999995E-3</v>
      </c>
      <c r="AD5171">
        <v>1.5320879999999999</v>
      </c>
      <c r="AE5171">
        <v>0.3965708</v>
      </c>
      <c r="AF5171">
        <v>212.255</v>
      </c>
      <c r="AG5171">
        <f>IFERROR(AH5171*0.1, "N/A")</f>
        <v>6.7286910000000013</v>
      </c>
      <c r="AH5171">
        <v>67.286910000000006</v>
      </c>
      <c r="AI5171">
        <v>233.8785</v>
      </c>
      <c r="AJ5171">
        <v>20.617450000000002</v>
      </c>
      <c r="AK5171">
        <v>64.382549999999995</v>
      </c>
    </row>
    <row r="5172" spans="1:37" x14ac:dyDescent="0.3">
      <c r="A5172">
        <v>5171</v>
      </c>
      <c r="B5172">
        <v>45.9</v>
      </c>
      <c r="C5172">
        <v>1.0999000000000001</v>
      </c>
      <c r="D5172">
        <v>14.5327</v>
      </c>
      <c r="E5172" t="s">
        <v>8313</v>
      </c>
      <c r="F5172" t="s">
        <v>8314</v>
      </c>
      <c r="G5172" t="s">
        <v>39</v>
      </c>
      <c r="H5172">
        <v>0</v>
      </c>
      <c r="I5172">
        <v>29.4</v>
      </c>
      <c r="J5172">
        <v>14.39179</v>
      </c>
      <c r="K5172">
        <v>58</v>
      </c>
      <c r="L5172">
        <v>27.956299999999999</v>
      </c>
      <c r="M5172">
        <v>40.700000000000003</v>
      </c>
      <c r="N5172">
        <v>16.2</v>
      </c>
      <c r="O5172">
        <v>24.5</v>
      </c>
      <c r="P5172">
        <v>29.5</v>
      </c>
      <c r="Q5172">
        <v>27.060130000000001</v>
      </c>
      <c r="R5172">
        <v>32.9</v>
      </c>
      <c r="S5172">
        <v>25.4</v>
      </c>
      <c r="T5172">
        <v>291.58629999999999</v>
      </c>
      <c r="U5172">
        <v>115</v>
      </c>
      <c r="V5172">
        <v>0</v>
      </c>
      <c r="W5172">
        <v>144.60130000000001</v>
      </c>
      <c r="X5172">
        <v>242.58629999999999</v>
      </c>
      <c r="Y5172">
        <v>0</v>
      </c>
      <c r="Z5172">
        <v>46</v>
      </c>
      <c r="AA5172">
        <v>0</v>
      </c>
      <c r="AB5172">
        <v>0.1125635</v>
      </c>
      <c r="AC5172">
        <v>0.4541597</v>
      </c>
      <c r="AD5172">
        <v>0.96087800000000001</v>
      </c>
      <c r="AE5172">
        <v>0.37928499999999998</v>
      </c>
      <c r="AF5172">
        <v>210.31489999999999</v>
      </c>
      <c r="AG5172">
        <f>IFERROR(AH5172*0.1, "N/A")</f>
        <v>6.6996650000000004</v>
      </c>
      <c r="AH5172">
        <v>66.996650000000002</v>
      </c>
      <c r="AI5172">
        <v>208.97040000000001</v>
      </c>
      <c r="AJ5172">
        <v>17.212730000000001</v>
      </c>
      <c r="AK5172">
        <v>67.787270000000007</v>
      </c>
    </row>
    <row r="5173" spans="1:37" x14ac:dyDescent="0.3">
      <c r="A5173">
        <v>5172</v>
      </c>
      <c r="B5173">
        <v>0</v>
      </c>
      <c r="C5173">
        <v>1.0999000000000001</v>
      </c>
      <c r="D5173">
        <v>14.5327</v>
      </c>
      <c r="E5173" t="s">
        <v>8313</v>
      </c>
      <c r="F5173" t="s">
        <v>8315</v>
      </c>
      <c r="G5173" t="s">
        <v>37</v>
      </c>
      <c r="H5173">
        <v>0</v>
      </c>
      <c r="I5173">
        <v>29.4</v>
      </c>
      <c r="J5173">
        <v>14.39179</v>
      </c>
      <c r="K5173">
        <v>58</v>
      </c>
      <c r="L5173">
        <v>27.956299999999999</v>
      </c>
      <c r="M5173">
        <v>40.700000000000003</v>
      </c>
      <c r="N5173">
        <v>16.2</v>
      </c>
      <c r="O5173">
        <v>24.5</v>
      </c>
      <c r="P5173">
        <v>29.5</v>
      </c>
      <c r="Q5173">
        <v>27.060130000000001</v>
      </c>
      <c r="R5173">
        <v>32.9</v>
      </c>
      <c r="S5173">
        <v>25.4</v>
      </c>
      <c r="T5173">
        <v>291.58629999999999</v>
      </c>
      <c r="U5173">
        <v>115</v>
      </c>
      <c r="V5173">
        <v>0</v>
      </c>
      <c r="W5173">
        <v>144.60130000000001</v>
      </c>
      <c r="X5173">
        <v>242.58629999999999</v>
      </c>
      <c r="Y5173">
        <v>0</v>
      </c>
      <c r="Z5173">
        <v>46</v>
      </c>
      <c r="AA5173">
        <v>0</v>
      </c>
      <c r="AB5173">
        <v>0.1125635</v>
      </c>
      <c r="AC5173">
        <v>0.4541597</v>
      </c>
      <c r="AD5173">
        <v>0.96087800000000001</v>
      </c>
      <c r="AE5173">
        <v>0.37928499999999998</v>
      </c>
      <c r="AF5173">
        <v>210.31489999999999</v>
      </c>
      <c r="AG5173">
        <f>IFERROR(AH5173*0.1, "N/A")</f>
        <v>6.6996650000000004</v>
      </c>
      <c r="AH5173">
        <v>66.996650000000002</v>
      </c>
      <c r="AI5173">
        <v>208.97040000000001</v>
      </c>
      <c r="AJ5173">
        <v>17.212730000000001</v>
      </c>
      <c r="AK5173">
        <v>67.787270000000007</v>
      </c>
    </row>
    <row r="5174" spans="1:37" x14ac:dyDescent="0.3">
      <c r="A5174">
        <v>5173</v>
      </c>
      <c r="B5174">
        <v>0</v>
      </c>
      <c r="C5174">
        <v>3.5409700000000002</v>
      </c>
      <c r="D5174">
        <v>14.5345</v>
      </c>
      <c r="E5174" t="s">
        <v>8316</v>
      </c>
      <c r="F5174" t="s">
        <v>8317</v>
      </c>
      <c r="G5174" t="s">
        <v>39</v>
      </c>
      <c r="H5174">
        <v>0</v>
      </c>
      <c r="I5174">
        <v>29.2</v>
      </c>
      <c r="J5174">
        <v>14</v>
      </c>
      <c r="K5174">
        <v>54</v>
      </c>
      <c r="L5174">
        <v>33.409999999999997</v>
      </c>
      <c r="M5174">
        <v>40.9</v>
      </c>
      <c r="N5174">
        <v>15.2</v>
      </c>
      <c r="O5174">
        <v>25.7</v>
      </c>
      <c r="P5174">
        <v>29.5</v>
      </c>
      <c r="Q5174">
        <v>26.5</v>
      </c>
      <c r="R5174">
        <v>33.299999999999997</v>
      </c>
      <c r="S5174">
        <v>24.4</v>
      </c>
      <c r="T5174">
        <v>331</v>
      </c>
      <c r="U5174">
        <v>121</v>
      </c>
      <c r="V5174">
        <v>0</v>
      </c>
      <c r="W5174">
        <v>147</v>
      </c>
      <c r="X5174">
        <v>275</v>
      </c>
      <c r="Y5174">
        <v>0</v>
      </c>
      <c r="Z5174">
        <v>51</v>
      </c>
      <c r="AA5174">
        <v>0</v>
      </c>
      <c r="AB5174">
        <v>2.9582959999999998</v>
      </c>
      <c r="AC5174">
        <v>2.180147E-2</v>
      </c>
      <c r="AD5174">
        <v>1.533655</v>
      </c>
      <c r="AE5174">
        <v>0.12938640000000001</v>
      </c>
      <c r="AF5174">
        <v>249.3467</v>
      </c>
      <c r="AG5174">
        <f>IFERROR(AH5174*0.1, "N/A")</f>
        <v>5.8000000000000007</v>
      </c>
      <c r="AH5174">
        <v>58</v>
      </c>
      <c r="AI5174">
        <v>125.9601</v>
      </c>
      <c r="AJ5174">
        <v>6.9497489999999997</v>
      </c>
      <c r="AK5174">
        <v>81.366829999999993</v>
      </c>
    </row>
    <row r="5175" spans="1:37" x14ac:dyDescent="0.3">
      <c r="A5175">
        <v>5174</v>
      </c>
      <c r="B5175">
        <v>0</v>
      </c>
      <c r="C5175">
        <v>3.5409700000000002</v>
      </c>
      <c r="D5175">
        <v>14.5345</v>
      </c>
      <c r="E5175" t="s">
        <v>8316</v>
      </c>
      <c r="F5175" t="s">
        <v>8318</v>
      </c>
      <c r="G5175" t="s">
        <v>37</v>
      </c>
      <c r="H5175">
        <v>0</v>
      </c>
      <c r="I5175">
        <v>29.2</v>
      </c>
      <c r="J5175">
        <v>14</v>
      </c>
      <c r="K5175">
        <v>54</v>
      </c>
      <c r="L5175">
        <v>33.409999999999997</v>
      </c>
      <c r="M5175">
        <v>40.9</v>
      </c>
      <c r="N5175">
        <v>15.2</v>
      </c>
      <c r="O5175">
        <v>25.7</v>
      </c>
      <c r="P5175">
        <v>29.5</v>
      </c>
      <c r="Q5175">
        <v>26.5</v>
      </c>
      <c r="R5175">
        <v>33.299999999999997</v>
      </c>
      <c r="S5175">
        <v>24.4</v>
      </c>
      <c r="T5175">
        <v>331</v>
      </c>
      <c r="U5175">
        <v>121</v>
      </c>
      <c r="V5175">
        <v>0</v>
      </c>
      <c r="W5175">
        <v>147</v>
      </c>
      <c r="X5175">
        <v>275</v>
      </c>
      <c r="Y5175">
        <v>0</v>
      </c>
      <c r="Z5175">
        <v>51</v>
      </c>
      <c r="AA5175">
        <v>0</v>
      </c>
      <c r="AB5175">
        <v>2.9582959999999998</v>
      </c>
      <c r="AC5175">
        <v>2.180147E-2</v>
      </c>
      <c r="AD5175">
        <v>1.533655</v>
      </c>
      <c r="AE5175">
        <v>0.12938640000000001</v>
      </c>
      <c r="AF5175">
        <v>249.3467</v>
      </c>
      <c r="AG5175">
        <f>IFERROR(AH5175*0.1, "N/A")</f>
        <v>5.8000000000000007</v>
      </c>
      <c r="AH5175">
        <v>58</v>
      </c>
      <c r="AI5175">
        <v>125.9601</v>
      </c>
      <c r="AJ5175">
        <v>6.9497489999999997</v>
      </c>
      <c r="AK5175">
        <v>81.366829999999993</v>
      </c>
    </row>
    <row r="5176" spans="1:37" x14ac:dyDescent="0.3">
      <c r="A5176">
        <v>5175</v>
      </c>
      <c r="B5176">
        <v>0</v>
      </c>
      <c r="C5176">
        <v>2.39499</v>
      </c>
      <c r="D5176">
        <v>14.5434</v>
      </c>
      <c r="E5176" t="s">
        <v>8319</v>
      </c>
      <c r="F5176" t="s">
        <v>8320</v>
      </c>
      <c r="G5176" t="s">
        <v>39</v>
      </c>
      <c r="H5176">
        <v>0</v>
      </c>
      <c r="I5176">
        <v>29.3</v>
      </c>
      <c r="J5176">
        <v>14.3</v>
      </c>
      <c r="K5176">
        <v>57</v>
      </c>
      <c r="L5176">
        <v>29.31</v>
      </c>
      <c r="M5176">
        <v>40.9</v>
      </c>
      <c r="N5176">
        <v>16.100000000000001</v>
      </c>
      <c r="O5176">
        <v>24.8</v>
      </c>
      <c r="P5176">
        <v>29.2</v>
      </c>
      <c r="Q5176">
        <v>27.1</v>
      </c>
      <c r="R5176">
        <v>33.1</v>
      </c>
      <c r="S5176">
        <v>25.3</v>
      </c>
      <c r="T5176">
        <v>359</v>
      </c>
      <c r="U5176">
        <v>129</v>
      </c>
      <c r="V5176">
        <v>0</v>
      </c>
      <c r="W5176">
        <v>142</v>
      </c>
      <c r="X5176">
        <v>289</v>
      </c>
      <c r="Y5176">
        <v>0</v>
      </c>
      <c r="Z5176">
        <v>64</v>
      </c>
      <c r="AA5176">
        <v>0</v>
      </c>
      <c r="AB5176">
        <v>2.4803679999999999</v>
      </c>
      <c r="AC5176">
        <v>0.15530720000000001</v>
      </c>
      <c r="AD5176">
        <v>1.3843430000000001</v>
      </c>
      <c r="AE5176">
        <v>0.2465975</v>
      </c>
      <c r="AF5176">
        <v>256.94299999999998</v>
      </c>
      <c r="AG5176">
        <f>IFERROR(AH5176*0.1, "N/A")</f>
        <v>5.9</v>
      </c>
      <c r="AH5176">
        <v>59</v>
      </c>
      <c r="AI5176">
        <v>144.2253</v>
      </c>
      <c r="AJ5176">
        <v>6.936242</v>
      </c>
      <c r="AK5176">
        <v>85.063760000000002</v>
      </c>
    </row>
    <row r="5177" spans="1:37" x14ac:dyDescent="0.3">
      <c r="A5177">
        <v>5176</v>
      </c>
      <c r="B5177">
        <v>0</v>
      </c>
      <c r="C5177">
        <v>2.39499</v>
      </c>
      <c r="D5177">
        <v>14.5434</v>
      </c>
      <c r="E5177" t="s">
        <v>8319</v>
      </c>
      <c r="F5177" t="s">
        <v>8321</v>
      </c>
      <c r="G5177" t="s">
        <v>37</v>
      </c>
      <c r="H5177">
        <v>0</v>
      </c>
      <c r="I5177">
        <v>29.3</v>
      </c>
      <c r="J5177">
        <v>14.3</v>
      </c>
      <c r="K5177">
        <v>57</v>
      </c>
      <c r="L5177">
        <v>29.31</v>
      </c>
      <c r="M5177">
        <v>40.9</v>
      </c>
      <c r="N5177">
        <v>16.100000000000001</v>
      </c>
      <c r="O5177">
        <v>24.8</v>
      </c>
      <c r="P5177">
        <v>29.2</v>
      </c>
      <c r="Q5177">
        <v>27.1</v>
      </c>
      <c r="R5177">
        <v>33.1</v>
      </c>
      <c r="S5177">
        <v>25.3</v>
      </c>
      <c r="T5177">
        <v>359</v>
      </c>
      <c r="U5177">
        <v>129</v>
      </c>
      <c r="V5177">
        <v>0</v>
      </c>
      <c r="W5177">
        <v>142</v>
      </c>
      <c r="X5177">
        <v>289</v>
      </c>
      <c r="Y5177">
        <v>0</v>
      </c>
      <c r="Z5177">
        <v>64</v>
      </c>
      <c r="AA5177">
        <v>0</v>
      </c>
      <c r="AB5177">
        <v>2.4803679999999999</v>
      </c>
      <c r="AC5177">
        <v>0.15530720000000001</v>
      </c>
      <c r="AD5177">
        <v>1.3843430000000001</v>
      </c>
      <c r="AE5177">
        <v>0.2465975</v>
      </c>
      <c r="AF5177">
        <v>256.94299999999998</v>
      </c>
      <c r="AG5177">
        <f>IFERROR(AH5177*0.1, "N/A")</f>
        <v>5.9</v>
      </c>
      <c r="AH5177">
        <v>59</v>
      </c>
      <c r="AI5177">
        <v>144.2253</v>
      </c>
      <c r="AJ5177">
        <v>6.936242</v>
      </c>
      <c r="AK5177">
        <v>85.063760000000002</v>
      </c>
    </row>
    <row r="5178" spans="1:37" x14ac:dyDescent="0.3">
      <c r="A5178">
        <v>5177</v>
      </c>
      <c r="B5178">
        <v>0</v>
      </c>
      <c r="C5178">
        <v>2.3949799999999999</v>
      </c>
      <c r="D5178">
        <v>14.5434</v>
      </c>
      <c r="E5178" t="s">
        <v>8322</v>
      </c>
      <c r="F5178" t="s">
        <v>8323</v>
      </c>
      <c r="G5178" t="s">
        <v>39</v>
      </c>
      <c r="H5178">
        <v>0</v>
      </c>
      <c r="I5178">
        <v>29.3</v>
      </c>
      <c r="J5178">
        <v>14.3</v>
      </c>
      <c r="K5178">
        <v>57</v>
      </c>
      <c r="L5178">
        <v>29.31</v>
      </c>
      <c r="M5178">
        <v>40.9</v>
      </c>
      <c r="N5178">
        <v>16.100000000000001</v>
      </c>
      <c r="O5178">
        <v>24.8</v>
      </c>
      <c r="P5178">
        <v>29.2</v>
      </c>
      <c r="Q5178">
        <v>27.1</v>
      </c>
      <c r="R5178">
        <v>33.1</v>
      </c>
      <c r="S5178">
        <v>25.3</v>
      </c>
      <c r="T5178">
        <v>359</v>
      </c>
      <c r="U5178">
        <v>129</v>
      </c>
      <c r="V5178">
        <v>0</v>
      </c>
      <c r="W5178">
        <v>142</v>
      </c>
      <c r="X5178">
        <v>289</v>
      </c>
      <c r="Y5178">
        <v>0</v>
      </c>
      <c r="Z5178">
        <v>64</v>
      </c>
      <c r="AA5178">
        <v>0</v>
      </c>
      <c r="AB5178">
        <v>2.4814370000000001</v>
      </c>
      <c r="AC5178">
        <v>0.15943969999999999</v>
      </c>
      <c r="AD5178">
        <v>1.3819539999999999</v>
      </c>
      <c r="AE5178">
        <v>0.2465975</v>
      </c>
      <c r="AF5178">
        <v>256.95479999999998</v>
      </c>
      <c r="AG5178">
        <f>IFERROR(AH5178*0.1, "N/A")</f>
        <v>5.9</v>
      </c>
      <c r="AH5178">
        <v>59</v>
      </c>
      <c r="AI5178">
        <v>146.9571</v>
      </c>
      <c r="AJ5178">
        <v>6.9364549999999996</v>
      </c>
      <c r="AK5178">
        <v>85.063550000000006</v>
      </c>
    </row>
    <row r="5179" spans="1:37" x14ac:dyDescent="0.3">
      <c r="A5179">
        <v>5178</v>
      </c>
      <c r="B5179">
        <v>0</v>
      </c>
      <c r="C5179">
        <v>2.3949799999999999</v>
      </c>
      <c r="D5179">
        <v>14.5434</v>
      </c>
      <c r="E5179" t="s">
        <v>8322</v>
      </c>
      <c r="F5179" t="s">
        <v>8324</v>
      </c>
      <c r="G5179" t="s">
        <v>37</v>
      </c>
      <c r="H5179">
        <v>0</v>
      </c>
      <c r="I5179">
        <v>29.3</v>
      </c>
      <c r="J5179">
        <v>14.3</v>
      </c>
      <c r="K5179">
        <v>57</v>
      </c>
      <c r="L5179">
        <v>29.31</v>
      </c>
      <c r="M5179">
        <v>40.9</v>
      </c>
      <c r="N5179">
        <v>16.100000000000001</v>
      </c>
      <c r="O5179">
        <v>24.8</v>
      </c>
      <c r="P5179">
        <v>29.2</v>
      </c>
      <c r="Q5179">
        <v>27.1</v>
      </c>
      <c r="R5179">
        <v>33.1</v>
      </c>
      <c r="S5179">
        <v>25.3</v>
      </c>
      <c r="T5179">
        <v>359</v>
      </c>
      <c r="U5179">
        <v>129</v>
      </c>
      <c r="V5179">
        <v>0</v>
      </c>
      <c r="W5179">
        <v>142</v>
      </c>
      <c r="X5179">
        <v>289</v>
      </c>
      <c r="Y5179">
        <v>0</v>
      </c>
      <c r="Z5179">
        <v>64</v>
      </c>
      <c r="AA5179">
        <v>0</v>
      </c>
      <c r="AB5179">
        <v>2.4814370000000001</v>
      </c>
      <c r="AC5179">
        <v>0.15943969999999999</v>
      </c>
      <c r="AD5179">
        <v>1.3819539999999999</v>
      </c>
      <c r="AE5179">
        <v>0.2465975</v>
      </c>
      <c r="AF5179">
        <v>256.95479999999998</v>
      </c>
      <c r="AG5179">
        <f>IFERROR(AH5179*0.1, "N/A")</f>
        <v>5.9</v>
      </c>
      <c r="AH5179">
        <v>59</v>
      </c>
      <c r="AI5179">
        <v>146.9571</v>
      </c>
      <c r="AJ5179">
        <v>6.9364549999999996</v>
      </c>
      <c r="AK5179">
        <v>85.063550000000006</v>
      </c>
    </row>
    <row r="5180" spans="1:37" x14ac:dyDescent="0.3">
      <c r="A5180">
        <v>5179</v>
      </c>
      <c r="B5180">
        <v>0</v>
      </c>
      <c r="C5180">
        <v>1.0820000000000001</v>
      </c>
      <c r="D5180">
        <v>14.552</v>
      </c>
      <c r="E5180" t="s">
        <v>8325</v>
      </c>
      <c r="F5180" t="s">
        <v>8326</v>
      </c>
      <c r="G5180" t="s">
        <v>37</v>
      </c>
      <c r="H5180">
        <v>1987</v>
      </c>
      <c r="I5180">
        <v>29.4</v>
      </c>
      <c r="J5180">
        <v>14.4</v>
      </c>
      <c r="K5180">
        <v>58</v>
      </c>
      <c r="L5180">
        <v>28.02</v>
      </c>
      <c r="M5180">
        <v>40.700000000000003</v>
      </c>
      <c r="N5180">
        <v>16.2</v>
      </c>
      <c r="O5180">
        <v>24.5</v>
      </c>
      <c r="P5180">
        <v>29.5</v>
      </c>
      <c r="Q5180">
        <v>27</v>
      </c>
      <c r="R5180">
        <v>32.9</v>
      </c>
      <c r="S5180">
        <v>25.4</v>
      </c>
      <c r="T5180">
        <v>291</v>
      </c>
      <c r="U5180">
        <v>115</v>
      </c>
      <c r="V5180">
        <v>0</v>
      </c>
      <c r="W5180">
        <v>144</v>
      </c>
      <c r="X5180">
        <v>242</v>
      </c>
      <c r="Y5180">
        <v>0</v>
      </c>
      <c r="Z5180">
        <v>46</v>
      </c>
      <c r="AA5180">
        <v>0</v>
      </c>
      <c r="AB5180">
        <v>2.905205</v>
      </c>
      <c r="AC5180">
        <v>5.9507400000000002E-2</v>
      </c>
      <c r="AD5180">
        <v>1.0216959999999999</v>
      </c>
      <c r="AE5180">
        <v>0.37444860000000002</v>
      </c>
      <c r="AF5180">
        <v>215.01009999999999</v>
      </c>
      <c r="AG5180">
        <f>IFERROR(AH5180*0.1, "N/A")</f>
        <v>6.6447990000000008</v>
      </c>
      <c r="AH5180">
        <v>66.447990000000004</v>
      </c>
      <c r="AI5180">
        <v>132.6979</v>
      </c>
      <c r="AJ5180">
        <v>18.447990000000001</v>
      </c>
      <c r="AK5180">
        <v>61.253360000000001</v>
      </c>
    </row>
    <row r="5181" spans="1:37" x14ac:dyDescent="0.3">
      <c r="A5181">
        <v>5180</v>
      </c>
      <c r="B5181">
        <v>60</v>
      </c>
      <c r="C5181">
        <v>1.08338</v>
      </c>
      <c r="D5181">
        <v>14.552199999999999</v>
      </c>
      <c r="E5181" t="s">
        <v>8327</v>
      </c>
      <c r="F5181" t="s">
        <v>8328</v>
      </c>
      <c r="G5181" t="s">
        <v>39</v>
      </c>
      <c r="H5181">
        <v>0</v>
      </c>
      <c r="I5181">
        <v>29.4</v>
      </c>
      <c r="J5181">
        <v>14.4</v>
      </c>
      <c r="K5181">
        <v>58</v>
      </c>
      <c r="L5181">
        <v>28.01483</v>
      </c>
      <c r="M5181">
        <v>40.700000000000003</v>
      </c>
      <c r="N5181">
        <v>16.2</v>
      </c>
      <c r="O5181">
        <v>24.5</v>
      </c>
      <c r="P5181">
        <v>29.5</v>
      </c>
      <c r="Q5181">
        <v>27</v>
      </c>
      <c r="R5181">
        <v>32.9</v>
      </c>
      <c r="S5181">
        <v>25.4</v>
      </c>
      <c r="T5181">
        <v>291</v>
      </c>
      <c r="U5181">
        <v>115</v>
      </c>
      <c r="V5181">
        <v>0</v>
      </c>
      <c r="W5181">
        <v>144</v>
      </c>
      <c r="X5181">
        <v>242</v>
      </c>
      <c r="Y5181">
        <v>0</v>
      </c>
      <c r="Z5181">
        <v>46</v>
      </c>
      <c r="AA5181">
        <v>0</v>
      </c>
      <c r="AB5181">
        <v>3.467006</v>
      </c>
      <c r="AC5181">
        <v>8.2788670000000005E-3</v>
      </c>
      <c r="AD5181">
        <v>0.50226159999999997</v>
      </c>
      <c r="AE5181">
        <v>0.37444860000000002</v>
      </c>
      <c r="AF5181">
        <v>215.3081</v>
      </c>
      <c r="AG5181">
        <f>IFERROR(AH5181*0.1, "N/A")</f>
        <v>6.8067340000000005</v>
      </c>
      <c r="AH5181">
        <v>68.067340000000002</v>
      </c>
      <c r="AI5181">
        <v>141.13740000000001</v>
      </c>
      <c r="AJ5181">
        <v>16.966329999999999</v>
      </c>
      <c r="AK5181">
        <v>66.134680000000003</v>
      </c>
    </row>
    <row r="5182" spans="1:37" x14ac:dyDescent="0.3">
      <c r="A5182">
        <v>5181</v>
      </c>
      <c r="B5182">
        <v>0</v>
      </c>
      <c r="C5182">
        <v>1.08338</v>
      </c>
      <c r="D5182">
        <v>14.552199999999999</v>
      </c>
      <c r="E5182" t="s">
        <v>8327</v>
      </c>
      <c r="F5182" t="s">
        <v>8329</v>
      </c>
      <c r="G5182" t="s">
        <v>37</v>
      </c>
      <c r="H5182">
        <v>0</v>
      </c>
      <c r="I5182">
        <v>29.4</v>
      </c>
      <c r="J5182">
        <v>14.4</v>
      </c>
      <c r="K5182">
        <v>58</v>
      </c>
      <c r="L5182">
        <v>28.01483</v>
      </c>
      <c r="M5182">
        <v>40.700000000000003</v>
      </c>
      <c r="N5182">
        <v>16.2</v>
      </c>
      <c r="O5182">
        <v>24.5</v>
      </c>
      <c r="P5182">
        <v>29.5</v>
      </c>
      <c r="Q5182">
        <v>27</v>
      </c>
      <c r="R5182">
        <v>32.9</v>
      </c>
      <c r="S5182">
        <v>25.4</v>
      </c>
      <c r="T5182">
        <v>291</v>
      </c>
      <c r="U5182">
        <v>115</v>
      </c>
      <c r="V5182">
        <v>0</v>
      </c>
      <c r="W5182">
        <v>144</v>
      </c>
      <c r="X5182">
        <v>242</v>
      </c>
      <c r="Y5182">
        <v>0</v>
      </c>
      <c r="Z5182">
        <v>46</v>
      </c>
      <c r="AA5182">
        <v>0</v>
      </c>
      <c r="AB5182">
        <v>3.467006</v>
      </c>
      <c r="AC5182">
        <v>8.2788670000000005E-3</v>
      </c>
      <c r="AD5182">
        <v>0.50226159999999997</v>
      </c>
      <c r="AE5182">
        <v>0.37444860000000002</v>
      </c>
      <c r="AF5182">
        <v>215.3081</v>
      </c>
      <c r="AG5182">
        <f>IFERROR(AH5182*0.1, "N/A")</f>
        <v>6.8067340000000005</v>
      </c>
      <c r="AH5182">
        <v>68.067340000000002</v>
      </c>
      <c r="AI5182">
        <v>141.13740000000001</v>
      </c>
      <c r="AJ5182">
        <v>16.966329999999999</v>
      </c>
      <c r="AK5182">
        <v>66.134680000000003</v>
      </c>
    </row>
    <row r="5183" spans="1:37" x14ac:dyDescent="0.3">
      <c r="A5183">
        <v>5182</v>
      </c>
      <c r="B5183">
        <v>100</v>
      </c>
      <c r="C5183">
        <v>5.3149199999999999</v>
      </c>
      <c r="D5183">
        <v>14.552199999999999</v>
      </c>
      <c r="E5183" t="s">
        <v>8330</v>
      </c>
      <c r="F5183" t="s">
        <v>8331</v>
      </c>
      <c r="G5183" t="s">
        <v>39</v>
      </c>
      <c r="H5183">
        <v>0</v>
      </c>
      <c r="I5183">
        <v>28.9</v>
      </c>
      <c r="J5183">
        <v>14.3</v>
      </c>
      <c r="K5183">
        <v>55</v>
      </c>
      <c r="L5183">
        <v>31.35</v>
      </c>
      <c r="M5183">
        <v>40.700000000000003</v>
      </c>
      <c r="N5183">
        <v>15.1</v>
      </c>
      <c r="O5183">
        <v>25.6</v>
      </c>
      <c r="P5183">
        <v>28.9</v>
      </c>
      <c r="Q5183">
        <v>26.5</v>
      </c>
      <c r="R5183">
        <v>32.9</v>
      </c>
      <c r="S5183">
        <v>24.6</v>
      </c>
      <c r="T5183">
        <v>369</v>
      </c>
      <c r="U5183">
        <v>131</v>
      </c>
      <c r="V5183">
        <v>0</v>
      </c>
      <c r="W5183">
        <v>141</v>
      </c>
      <c r="X5183">
        <v>295</v>
      </c>
      <c r="Y5183">
        <v>0</v>
      </c>
      <c r="Z5183">
        <v>69</v>
      </c>
      <c r="AA5183">
        <v>0</v>
      </c>
      <c r="AB5183">
        <v>0.91835129999999998</v>
      </c>
      <c r="AC5183">
        <v>9.0317500000000006</v>
      </c>
      <c r="AD5183">
        <v>1.6668860000000001</v>
      </c>
      <c r="AE5183">
        <v>0.53556959999999998</v>
      </c>
      <c r="AF5183">
        <v>341.32150000000001</v>
      </c>
      <c r="AG5183">
        <f>IFERROR(AH5183*0.1, "N/A")</f>
        <v>6.8000000000000007</v>
      </c>
      <c r="AH5183">
        <v>68</v>
      </c>
      <c r="AI5183">
        <v>257.76429999999999</v>
      </c>
      <c r="AJ5183">
        <v>13.76094</v>
      </c>
      <c r="AK5183">
        <v>76.239059999999995</v>
      </c>
    </row>
    <row r="5184" spans="1:37" x14ac:dyDescent="0.3">
      <c r="A5184">
        <v>5183</v>
      </c>
      <c r="B5184">
        <v>0</v>
      </c>
      <c r="C5184">
        <v>5.3149199999999999</v>
      </c>
      <c r="D5184">
        <v>14.552199999999999</v>
      </c>
      <c r="E5184" t="s">
        <v>8330</v>
      </c>
      <c r="F5184" t="s">
        <v>8332</v>
      </c>
      <c r="G5184" t="s">
        <v>37</v>
      </c>
      <c r="H5184">
        <v>0</v>
      </c>
      <c r="I5184">
        <v>28.9</v>
      </c>
      <c r="J5184">
        <v>14.3</v>
      </c>
      <c r="K5184">
        <v>55</v>
      </c>
      <c r="L5184">
        <v>31.35</v>
      </c>
      <c r="M5184">
        <v>40.700000000000003</v>
      </c>
      <c r="N5184">
        <v>15.1</v>
      </c>
      <c r="O5184">
        <v>25.6</v>
      </c>
      <c r="P5184">
        <v>28.9</v>
      </c>
      <c r="Q5184">
        <v>26.5</v>
      </c>
      <c r="R5184">
        <v>32.9</v>
      </c>
      <c r="S5184">
        <v>24.6</v>
      </c>
      <c r="T5184">
        <v>369</v>
      </c>
      <c r="U5184">
        <v>131</v>
      </c>
      <c r="V5184">
        <v>0</v>
      </c>
      <c r="W5184">
        <v>141</v>
      </c>
      <c r="X5184">
        <v>295</v>
      </c>
      <c r="Y5184">
        <v>0</v>
      </c>
      <c r="Z5184">
        <v>69</v>
      </c>
      <c r="AA5184">
        <v>0</v>
      </c>
      <c r="AB5184">
        <v>0.91835129999999998</v>
      </c>
      <c r="AC5184">
        <v>9.0317500000000006</v>
      </c>
      <c r="AD5184">
        <v>1.6668860000000001</v>
      </c>
      <c r="AE5184">
        <v>0.53556959999999998</v>
      </c>
      <c r="AF5184">
        <v>341.32150000000001</v>
      </c>
      <c r="AG5184">
        <f>IFERROR(AH5184*0.1, "N/A")</f>
        <v>6.8000000000000007</v>
      </c>
      <c r="AH5184">
        <v>68</v>
      </c>
      <c r="AI5184">
        <v>257.76429999999999</v>
      </c>
      <c r="AJ5184">
        <v>13.76094</v>
      </c>
      <c r="AK5184">
        <v>76.239059999999995</v>
      </c>
    </row>
    <row r="5185" spans="1:37" x14ac:dyDescent="0.3">
      <c r="A5185">
        <v>5184</v>
      </c>
      <c r="B5185">
        <v>58.1</v>
      </c>
      <c r="C5185">
        <v>1.0806</v>
      </c>
      <c r="D5185">
        <v>14.5528</v>
      </c>
      <c r="E5185" t="s">
        <v>8333</v>
      </c>
      <c r="F5185" t="s">
        <v>8334</v>
      </c>
      <c r="G5185" t="s">
        <v>39</v>
      </c>
      <c r="H5185">
        <v>0</v>
      </c>
      <c r="I5185">
        <v>29.4</v>
      </c>
      <c r="J5185">
        <v>14.4</v>
      </c>
      <c r="K5185">
        <v>58</v>
      </c>
      <c r="L5185">
        <v>28.02</v>
      </c>
      <c r="M5185">
        <v>40.700000000000003</v>
      </c>
      <c r="N5185">
        <v>16.2</v>
      </c>
      <c r="O5185">
        <v>24.5</v>
      </c>
      <c r="P5185">
        <v>29.5</v>
      </c>
      <c r="Q5185">
        <v>27</v>
      </c>
      <c r="R5185">
        <v>32.9</v>
      </c>
      <c r="S5185">
        <v>25.4</v>
      </c>
      <c r="T5185">
        <v>291</v>
      </c>
      <c r="U5185">
        <v>115</v>
      </c>
      <c r="V5185">
        <v>0</v>
      </c>
      <c r="W5185">
        <v>144</v>
      </c>
      <c r="X5185">
        <v>242</v>
      </c>
      <c r="Y5185">
        <v>0</v>
      </c>
      <c r="Z5185">
        <v>46</v>
      </c>
      <c r="AA5185">
        <v>0</v>
      </c>
      <c r="AB5185">
        <v>3.2470699999999999</v>
      </c>
      <c r="AC5185">
        <v>8.4452520000000003E-3</v>
      </c>
      <c r="AD5185">
        <v>1.058071</v>
      </c>
      <c r="AE5185">
        <v>0.39470359999999999</v>
      </c>
      <c r="AF5185">
        <v>215.3099</v>
      </c>
      <c r="AG5185">
        <f>IFERROR(AH5185*0.1, "N/A")</f>
        <v>6.9</v>
      </c>
      <c r="AH5185">
        <v>69</v>
      </c>
      <c r="AI5185">
        <v>195.72030000000001</v>
      </c>
      <c r="AJ5185">
        <v>20.949750000000002</v>
      </c>
      <c r="AK5185">
        <v>57.117249999999999</v>
      </c>
    </row>
    <row r="5186" spans="1:37" x14ac:dyDescent="0.3">
      <c r="A5186">
        <v>5185</v>
      </c>
      <c r="B5186">
        <v>0</v>
      </c>
      <c r="C5186">
        <v>1.0806</v>
      </c>
      <c r="D5186">
        <v>14.5528</v>
      </c>
      <c r="E5186" t="s">
        <v>8333</v>
      </c>
      <c r="F5186" t="s">
        <v>8335</v>
      </c>
      <c r="G5186" t="s">
        <v>37</v>
      </c>
      <c r="H5186">
        <v>0</v>
      </c>
      <c r="I5186">
        <v>29.4</v>
      </c>
      <c r="J5186">
        <v>14.4</v>
      </c>
      <c r="K5186">
        <v>58</v>
      </c>
      <c r="L5186">
        <v>28.02</v>
      </c>
      <c r="M5186">
        <v>40.700000000000003</v>
      </c>
      <c r="N5186">
        <v>16.2</v>
      </c>
      <c r="O5186">
        <v>24.5</v>
      </c>
      <c r="P5186">
        <v>29.5</v>
      </c>
      <c r="Q5186">
        <v>27</v>
      </c>
      <c r="R5186">
        <v>32.9</v>
      </c>
      <c r="S5186">
        <v>25.4</v>
      </c>
      <c r="T5186">
        <v>291</v>
      </c>
      <c r="U5186">
        <v>115</v>
      </c>
      <c r="V5186">
        <v>0</v>
      </c>
      <c r="W5186">
        <v>144</v>
      </c>
      <c r="X5186">
        <v>242</v>
      </c>
      <c r="Y5186">
        <v>0</v>
      </c>
      <c r="Z5186">
        <v>46</v>
      </c>
      <c r="AA5186">
        <v>0</v>
      </c>
      <c r="AB5186">
        <v>3.2470699999999999</v>
      </c>
      <c r="AC5186">
        <v>8.4452520000000003E-3</v>
      </c>
      <c r="AD5186">
        <v>1.058071</v>
      </c>
      <c r="AE5186">
        <v>0.39470359999999999</v>
      </c>
      <c r="AF5186">
        <v>215.3099</v>
      </c>
      <c r="AG5186">
        <f>IFERROR(AH5186*0.1, "N/A")</f>
        <v>6.9</v>
      </c>
      <c r="AH5186">
        <v>69</v>
      </c>
      <c r="AI5186">
        <v>195.72030000000001</v>
      </c>
      <c r="AJ5186">
        <v>20.949750000000002</v>
      </c>
      <c r="AK5186">
        <v>57.117249999999999</v>
      </c>
    </row>
    <row r="5187" spans="1:37" x14ac:dyDescent="0.3">
      <c r="A5187">
        <v>5186</v>
      </c>
      <c r="B5187">
        <v>0</v>
      </c>
      <c r="C5187">
        <v>3.3432599999999999</v>
      </c>
      <c r="D5187">
        <v>14.553100000000001</v>
      </c>
      <c r="E5187" t="s">
        <v>8336</v>
      </c>
      <c r="F5187" t="s">
        <v>8337</v>
      </c>
      <c r="G5187" t="s">
        <v>39</v>
      </c>
      <c r="H5187">
        <v>0</v>
      </c>
      <c r="I5187">
        <v>29.3</v>
      </c>
      <c r="J5187">
        <v>14</v>
      </c>
      <c r="K5187">
        <v>56</v>
      </c>
      <c r="L5187">
        <v>30.06</v>
      </c>
      <c r="M5187">
        <v>40.799999999999997</v>
      </c>
      <c r="N5187">
        <v>16.2</v>
      </c>
      <c r="O5187">
        <v>24.6</v>
      </c>
      <c r="P5187">
        <v>29.3</v>
      </c>
      <c r="Q5187">
        <v>27.1</v>
      </c>
      <c r="R5187">
        <v>33.200000000000003</v>
      </c>
      <c r="S5187">
        <v>25.2</v>
      </c>
      <c r="T5187">
        <v>334</v>
      </c>
      <c r="U5187">
        <v>120</v>
      </c>
      <c r="V5187">
        <v>0</v>
      </c>
      <c r="W5187">
        <v>147</v>
      </c>
      <c r="X5187">
        <v>275</v>
      </c>
      <c r="Y5187">
        <v>0</v>
      </c>
      <c r="Z5187">
        <v>53</v>
      </c>
      <c r="AA5187">
        <v>0</v>
      </c>
      <c r="AB5187">
        <v>0.79040739999999998</v>
      </c>
      <c r="AC5187">
        <v>6.972892E-2</v>
      </c>
      <c r="AD5187">
        <v>1.6813499999999999</v>
      </c>
      <c r="AE5187">
        <v>0.3463678</v>
      </c>
      <c r="AF5187">
        <v>223.9545</v>
      </c>
      <c r="AG5187">
        <f>IFERROR(AH5187*0.1, "N/A")</f>
        <v>6.5</v>
      </c>
      <c r="AH5187">
        <v>65</v>
      </c>
      <c r="AI5187">
        <v>174.13759999999999</v>
      </c>
      <c r="AJ5187">
        <v>8.7811450000000004</v>
      </c>
      <c r="AK5187">
        <v>80.577439999999996</v>
      </c>
    </row>
    <row r="5188" spans="1:37" x14ac:dyDescent="0.3">
      <c r="A5188">
        <v>5187</v>
      </c>
      <c r="B5188">
        <v>0</v>
      </c>
      <c r="C5188">
        <v>3.3432599999999999</v>
      </c>
      <c r="D5188">
        <v>14.553100000000001</v>
      </c>
      <c r="E5188" t="s">
        <v>8336</v>
      </c>
      <c r="F5188" t="s">
        <v>8338</v>
      </c>
      <c r="G5188" t="s">
        <v>37</v>
      </c>
      <c r="H5188">
        <v>0</v>
      </c>
      <c r="I5188">
        <v>29.3</v>
      </c>
      <c r="J5188">
        <v>14</v>
      </c>
      <c r="K5188">
        <v>56</v>
      </c>
      <c r="L5188">
        <v>30.06</v>
      </c>
      <c r="M5188">
        <v>40.799999999999997</v>
      </c>
      <c r="N5188">
        <v>16.2</v>
      </c>
      <c r="O5188">
        <v>24.6</v>
      </c>
      <c r="P5188">
        <v>29.3</v>
      </c>
      <c r="Q5188">
        <v>27.1</v>
      </c>
      <c r="R5188">
        <v>33.200000000000003</v>
      </c>
      <c r="S5188">
        <v>25.2</v>
      </c>
      <c r="T5188">
        <v>334</v>
      </c>
      <c r="U5188">
        <v>120</v>
      </c>
      <c r="V5188">
        <v>0</v>
      </c>
      <c r="W5188">
        <v>147</v>
      </c>
      <c r="X5188">
        <v>275</v>
      </c>
      <c r="Y5188">
        <v>0</v>
      </c>
      <c r="Z5188">
        <v>53</v>
      </c>
      <c r="AA5188">
        <v>0</v>
      </c>
      <c r="AB5188">
        <v>0.79040739999999998</v>
      </c>
      <c r="AC5188">
        <v>6.972892E-2</v>
      </c>
      <c r="AD5188">
        <v>1.6813499999999999</v>
      </c>
      <c r="AE5188">
        <v>0.3463678</v>
      </c>
      <c r="AF5188">
        <v>223.9545</v>
      </c>
      <c r="AG5188">
        <f>IFERROR(AH5188*0.1, "N/A")</f>
        <v>6.5</v>
      </c>
      <c r="AH5188">
        <v>65</v>
      </c>
      <c r="AI5188">
        <v>174.13759999999999</v>
      </c>
      <c r="AJ5188">
        <v>8.7811450000000004</v>
      </c>
      <c r="AK5188">
        <v>80.577439999999996</v>
      </c>
    </row>
    <row r="5189" spans="1:37" x14ac:dyDescent="0.3">
      <c r="A5189">
        <v>5188</v>
      </c>
      <c r="B5189">
        <v>0</v>
      </c>
      <c r="C5189">
        <v>3.3432599999999999</v>
      </c>
      <c r="D5189">
        <v>14.5533</v>
      </c>
      <c r="E5189" t="s">
        <v>8339</v>
      </c>
      <c r="F5189" t="s">
        <v>8340</v>
      </c>
      <c r="G5189" t="s">
        <v>39</v>
      </c>
      <c r="H5189">
        <v>0</v>
      </c>
      <c r="I5189">
        <v>29.3</v>
      </c>
      <c r="J5189">
        <v>14</v>
      </c>
      <c r="K5189">
        <v>56</v>
      </c>
      <c r="L5189">
        <v>30.06</v>
      </c>
      <c r="M5189">
        <v>40.799999999999997</v>
      </c>
      <c r="N5189">
        <v>16.2</v>
      </c>
      <c r="O5189">
        <v>24.6</v>
      </c>
      <c r="P5189">
        <v>29.3</v>
      </c>
      <c r="Q5189">
        <v>27.1</v>
      </c>
      <c r="R5189">
        <v>33.200000000000003</v>
      </c>
      <c r="S5189">
        <v>25.2</v>
      </c>
      <c r="T5189">
        <v>334</v>
      </c>
      <c r="U5189">
        <v>120</v>
      </c>
      <c r="V5189">
        <v>0</v>
      </c>
      <c r="W5189">
        <v>147</v>
      </c>
      <c r="X5189">
        <v>275</v>
      </c>
      <c r="Y5189">
        <v>0</v>
      </c>
      <c r="Z5189">
        <v>53</v>
      </c>
      <c r="AA5189">
        <v>0</v>
      </c>
      <c r="AB5189">
        <v>0.79245299999999996</v>
      </c>
      <c r="AC5189">
        <v>6.8730920000000001E-2</v>
      </c>
      <c r="AD5189">
        <v>1.8173410000000001</v>
      </c>
      <c r="AE5189">
        <v>0.34647559999999999</v>
      </c>
      <c r="AF5189">
        <v>223.86580000000001</v>
      </c>
      <c r="AG5189">
        <f>IFERROR(AH5189*0.1, "N/A")</f>
        <v>6.5</v>
      </c>
      <c r="AH5189">
        <v>65</v>
      </c>
      <c r="AI5189">
        <v>166.69839999999999</v>
      </c>
      <c r="AJ5189">
        <v>9.1174499999999998</v>
      </c>
      <c r="AK5189">
        <v>80.162750000000003</v>
      </c>
    </row>
    <row r="5190" spans="1:37" x14ac:dyDescent="0.3">
      <c r="A5190">
        <v>5189</v>
      </c>
      <c r="B5190">
        <v>0</v>
      </c>
      <c r="C5190">
        <v>3.3432599999999999</v>
      </c>
      <c r="D5190">
        <v>14.5533</v>
      </c>
      <c r="E5190" t="s">
        <v>8339</v>
      </c>
      <c r="F5190" t="s">
        <v>8341</v>
      </c>
      <c r="G5190" t="s">
        <v>37</v>
      </c>
      <c r="H5190">
        <v>0</v>
      </c>
      <c r="I5190">
        <v>29.3</v>
      </c>
      <c r="J5190">
        <v>14</v>
      </c>
      <c r="K5190">
        <v>56</v>
      </c>
      <c r="L5190">
        <v>30.06</v>
      </c>
      <c r="M5190">
        <v>40.799999999999997</v>
      </c>
      <c r="N5190">
        <v>16.2</v>
      </c>
      <c r="O5190">
        <v>24.6</v>
      </c>
      <c r="P5190">
        <v>29.3</v>
      </c>
      <c r="Q5190">
        <v>27.1</v>
      </c>
      <c r="R5190">
        <v>33.200000000000003</v>
      </c>
      <c r="S5190">
        <v>25.2</v>
      </c>
      <c r="T5190">
        <v>334</v>
      </c>
      <c r="U5190">
        <v>120</v>
      </c>
      <c r="V5190">
        <v>0</v>
      </c>
      <c r="W5190">
        <v>147</v>
      </c>
      <c r="X5190">
        <v>275</v>
      </c>
      <c r="Y5190">
        <v>0</v>
      </c>
      <c r="Z5190">
        <v>53</v>
      </c>
      <c r="AA5190">
        <v>0</v>
      </c>
      <c r="AB5190">
        <v>0.79245299999999996</v>
      </c>
      <c r="AC5190">
        <v>6.8730920000000001E-2</v>
      </c>
      <c r="AD5190">
        <v>1.8173410000000001</v>
      </c>
      <c r="AE5190">
        <v>0.34647559999999999</v>
      </c>
      <c r="AF5190">
        <v>223.86580000000001</v>
      </c>
      <c r="AG5190">
        <f>IFERROR(AH5190*0.1, "N/A")</f>
        <v>6.5</v>
      </c>
      <c r="AH5190">
        <v>65</v>
      </c>
      <c r="AI5190">
        <v>166.69839999999999</v>
      </c>
      <c r="AJ5190">
        <v>9.1174499999999998</v>
      </c>
      <c r="AK5190">
        <v>80.162750000000003</v>
      </c>
    </row>
    <row r="5191" spans="1:37" x14ac:dyDescent="0.3">
      <c r="A5191">
        <v>5190</v>
      </c>
      <c r="B5191">
        <v>0</v>
      </c>
      <c r="C5191">
        <v>7.2515799999999997</v>
      </c>
      <c r="D5191">
        <v>14.5548</v>
      </c>
      <c r="E5191" t="s">
        <v>8342</v>
      </c>
      <c r="F5191" t="s">
        <v>8343</v>
      </c>
      <c r="G5191" t="s">
        <v>39</v>
      </c>
      <c r="H5191">
        <v>0</v>
      </c>
      <c r="I5191">
        <v>27.8</v>
      </c>
      <c r="J5191">
        <v>14.7</v>
      </c>
      <c r="K5191">
        <v>56</v>
      </c>
      <c r="L5191">
        <v>32.79</v>
      </c>
      <c r="M5191">
        <v>39.9</v>
      </c>
      <c r="N5191">
        <v>13.9</v>
      </c>
      <c r="O5191">
        <v>26</v>
      </c>
      <c r="P5191">
        <v>27.9</v>
      </c>
      <c r="Q5191">
        <v>25.2</v>
      </c>
      <c r="R5191">
        <v>32</v>
      </c>
      <c r="S5191">
        <v>23.2</v>
      </c>
      <c r="T5191">
        <v>309</v>
      </c>
      <c r="U5191">
        <v>118</v>
      </c>
      <c r="V5191">
        <v>0</v>
      </c>
      <c r="W5191">
        <v>155</v>
      </c>
      <c r="X5191">
        <v>267</v>
      </c>
      <c r="Y5191">
        <v>0</v>
      </c>
      <c r="Z5191">
        <v>40</v>
      </c>
      <c r="AA5191">
        <v>0</v>
      </c>
      <c r="AB5191">
        <v>2.9031790000000002</v>
      </c>
      <c r="AC5191">
        <v>8.9455360000000005E-3</v>
      </c>
      <c r="AD5191">
        <v>1.5108999999999999</v>
      </c>
      <c r="AE5191">
        <v>0.50914809999999999</v>
      </c>
      <c r="AF5191">
        <v>426.38260000000002</v>
      </c>
      <c r="AG5191">
        <f>IFERROR(AH5191*0.1, "N/A")</f>
        <v>7.5241609999999994</v>
      </c>
      <c r="AH5191">
        <v>75.241609999999994</v>
      </c>
      <c r="AI5191">
        <v>126.51990000000001</v>
      </c>
      <c r="AJ5191">
        <v>11.28356</v>
      </c>
      <c r="AK5191">
        <v>72.805369999999996</v>
      </c>
    </row>
    <row r="5192" spans="1:37" x14ac:dyDescent="0.3">
      <c r="A5192">
        <v>5191</v>
      </c>
      <c r="B5192">
        <v>0</v>
      </c>
      <c r="C5192">
        <v>7.2515799999999997</v>
      </c>
      <c r="D5192">
        <v>14.5548</v>
      </c>
      <c r="E5192" t="s">
        <v>8342</v>
      </c>
      <c r="F5192" t="s">
        <v>8344</v>
      </c>
      <c r="G5192" t="s">
        <v>37</v>
      </c>
      <c r="H5192">
        <v>0</v>
      </c>
      <c r="I5192">
        <v>27.8</v>
      </c>
      <c r="J5192">
        <v>14.7</v>
      </c>
      <c r="K5192">
        <v>56</v>
      </c>
      <c r="L5192">
        <v>32.79</v>
      </c>
      <c r="M5192">
        <v>39.9</v>
      </c>
      <c r="N5192">
        <v>13.9</v>
      </c>
      <c r="O5192">
        <v>26</v>
      </c>
      <c r="P5192">
        <v>27.9</v>
      </c>
      <c r="Q5192">
        <v>25.2</v>
      </c>
      <c r="R5192">
        <v>32</v>
      </c>
      <c r="S5192">
        <v>23.2</v>
      </c>
      <c r="T5192">
        <v>309</v>
      </c>
      <c r="U5192">
        <v>118</v>
      </c>
      <c r="V5192">
        <v>0</v>
      </c>
      <c r="W5192">
        <v>155</v>
      </c>
      <c r="X5192">
        <v>267</v>
      </c>
      <c r="Y5192">
        <v>0</v>
      </c>
      <c r="Z5192">
        <v>40</v>
      </c>
      <c r="AA5192">
        <v>0</v>
      </c>
      <c r="AB5192">
        <v>2.9031790000000002</v>
      </c>
      <c r="AC5192">
        <v>8.9455360000000005E-3</v>
      </c>
      <c r="AD5192">
        <v>1.5108999999999999</v>
      </c>
      <c r="AE5192">
        <v>0.50914809999999999</v>
      </c>
      <c r="AF5192">
        <v>426.38260000000002</v>
      </c>
      <c r="AG5192">
        <f>IFERROR(AH5192*0.1, "N/A")</f>
        <v>7.5241609999999994</v>
      </c>
      <c r="AH5192">
        <v>75.241609999999994</v>
      </c>
      <c r="AI5192">
        <v>126.51990000000001</v>
      </c>
      <c r="AJ5192">
        <v>11.28356</v>
      </c>
      <c r="AK5192">
        <v>72.805369999999996</v>
      </c>
    </row>
    <row r="5193" spans="1:37" x14ac:dyDescent="0.3">
      <c r="A5193">
        <v>5192</v>
      </c>
      <c r="B5193">
        <v>0</v>
      </c>
      <c r="C5193">
        <v>0.72499999999999998</v>
      </c>
      <c r="D5193">
        <v>14.577</v>
      </c>
      <c r="E5193" t="s">
        <v>8345</v>
      </c>
      <c r="F5193" t="s">
        <v>8346</v>
      </c>
      <c r="G5193" t="s">
        <v>37</v>
      </c>
      <c r="H5193">
        <v>1987</v>
      </c>
      <c r="I5193">
        <v>29.1</v>
      </c>
      <c r="J5193">
        <v>14.6</v>
      </c>
      <c r="K5193">
        <v>58</v>
      </c>
      <c r="L5193">
        <v>28.204419999999999</v>
      </c>
      <c r="M5193">
        <v>40.4</v>
      </c>
      <c r="N5193">
        <v>15.5</v>
      </c>
      <c r="O5193">
        <v>24.9</v>
      </c>
      <c r="P5193">
        <v>29.3</v>
      </c>
      <c r="Q5193">
        <v>26.6</v>
      </c>
      <c r="R5193">
        <v>32.6</v>
      </c>
      <c r="S5193">
        <v>25</v>
      </c>
      <c r="T5193">
        <v>335.44220000000001</v>
      </c>
      <c r="U5193">
        <v>130.44220000000001</v>
      </c>
      <c r="V5193">
        <v>0</v>
      </c>
      <c r="W5193">
        <v>149.2312</v>
      </c>
      <c r="X5193">
        <v>280.88440000000003</v>
      </c>
      <c r="Y5193">
        <v>0</v>
      </c>
      <c r="Z5193">
        <v>49.557789999999997</v>
      </c>
      <c r="AA5193">
        <v>0</v>
      </c>
      <c r="AB5193">
        <v>0.67688519999999996</v>
      </c>
      <c r="AC5193">
        <v>144.0077</v>
      </c>
      <c r="AD5193">
        <v>1.1053580000000001</v>
      </c>
      <c r="AE5193">
        <v>0.56637979999999999</v>
      </c>
      <c r="AF5193">
        <v>242.49250000000001</v>
      </c>
      <c r="AG5193">
        <f>IFERROR(AH5193*0.1, "N/A")</f>
        <v>6.7</v>
      </c>
      <c r="AH5193">
        <v>67</v>
      </c>
      <c r="AI5193">
        <v>163.77549999999999</v>
      </c>
      <c r="AJ5193">
        <v>17</v>
      </c>
      <c r="AK5193">
        <v>69.557789999999997</v>
      </c>
    </row>
    <row r="5194" spans="1:37" x14ac:dyDescent="0.3">
      <c r="A5194">
        <v>5193</v>
      </c>
      <c r="B5194">
        <v>90</v>
      </c>
      <c r="C5194">
        <v>0.73570000000000002</v>
      </c>
      <c r="D5194">
        <v>14.581200000000001</v>
      </c>
      <c r="E5194" t="s">
        <v>8347</v>
      </c>
      <c r="F5194" t="s">
        <v>8348</v>
      </c>
      <c r="G5194" t="s">
        <v>39</v>
      </c>
      <c r="H5194">
        <v>0</v>
      </c>
      <c r="I5194">
        <v>29.1</v>
      </c>
      <c r="J5194">
        <v>14.6</v>
      </c>
      <c r="K5194">
        <v>58</v>
      </c>
      <c r="L5194">
        <v>28.46</v>
      </c>
      <c r="M5194">
        <v>40.4</v>
      </c>
      <c r="N5194">
        <v>15.5</v>
      </c>
      <c r="O5194">
        <v>24.9</v>
      </c>
      <c r="P5194">
        <v>29.3</v>
      </c>
      <c r="Q5194">
        <v>26.7</v>
      </c>
      <c r="R5194">
        <v>32.6</v>
      </c>
      <c r="S5194">
        <v>25</v>
      </c>
      <c r="T5194">
        <v>334</v>
      </c>
      <c r="U5194">
        <v>130</v>
      </c>
      <c r="V5194">
        <v>0</v>
      </c>
      <c r="W5194">
        <v>151</v>
      </c>
      <c r="X5194">
        <v>279</v>
      </c>
      <c r="Y5194">
        <v>0</v>
      </c>
      <c r="Z5194">
        <v>50</v>
      </c>
      <c r="AA5194">
        <v>0</v>
      </c>
      <c r="AB5194">
        <v>0.14060220000000001</v>
      </c>
      <c r="AC5194">
        <v>193.7576</v>
      </c>
      <c r="AD5194">
        <v>1.058478</v>
      </c>
      <c r="AE5194">
        <v>0.52643479999999998</v>
      </c>
      <c r="AF5194">
        <v>240.21979999999999</v>
      </c>
      <c r="AG5194">
        <f>IFERROR(AH5194*0.1, "N/A")</f>
        <v>6.7389259999999993</v>
      </c>
      <c r="AH5194">
        <v>67.389259999999993</v>
      </c>
      <c r="AI5194">
        <v>115.3233</v>
      </c>
      <c r="AJ5194">
        <v>18.481539999999999</v>
      </c>
      <c r="AK5194">
        <v>65.927850000000007</v>
      </c>
    </row>
    <row r="5195" spans="1:37" x14ac:dyDescent="0.3">
      <c r="A5195">
        <v>5194</v>
      </c>
      <c r="B5195">
        <v>28.3</v>
      </c>
      <c r="C5195">
        <v>1.04525</v>
      </c>
      <c r="D5195">
        <v>14.596500000000001</v>
      </c>
      <c r="E5195" t="s">
        <v>8349</v>
      </c>
      <c r="F5195" t="s">
        <v>8350</v>
      </c>
      <c r="G5195" t="s">
        <v>39</v>
      </c>
      <c r="H5195">
        <v>0</v>
      </c>
      <c r="I5195">
        <v>29.4</v>
      </c>
      <c r="J5195">
        <v>14.4</v>
      </c>
      <c r="K5195">
        <v>59</v>
      </c>
      <c r="L5195">
        <v>27.75</v>
      </c>
      <c r="M5195">
        <v>40.6</v>
      </c>
      <c r="N5195">
        <v>16.2</v>
      </c>
      <c r="O5195">
        <v>24.4</v>
      </c>
      <c r="P5195">
        <v>29.4</v>
      </c>
      <c r="Q5195">
        <v>27</v>
      </c>
      <c r="R5195">
        <v>32.9</v>
      </c>
      <c r="S5195">
        <v>25.4</v>
      </c>
      <c r="T5195">
        <v>289</v>
      </c>
      <c r="U5195">
        <v>114</v>
      </c>
      <c r="V5195">
        <v>0</v>
      </c>
      <c r="W5195">
        <v>144</v>
      </c>
      <c r="X5195">
        <v>241</v>
      </c>
      <c r="Y5195">
        <v>0</v>
      </c>
      <c r="Z5195">
        <v>45</v>
      </c>
      <c r="AA5195">
        <v>0</v>
      </c>
      <c r="AB5195">
        <v>3.4432390000000002</v>
      </c>
      <c r="AC5195">
        <v>1.0902729999999999E-2</v>
      </c>
      <c r="AD5195">
        <v>3.164307</v>
      </c>
      <c r="AE5195">
        <v>0.43385550000000001</v>
      </c>
      <c r="AF5195">
        <v>218.92490000000001</v>
      </c>
      <c r="AG5195">
        <f>IFERROR(AH5195*0.1, "N/A")</f>
        <v>6.5726209999999998</v>
      </c>
      <c r="AH5195">
        <v>65.726209999999995</v>
      </c>
      <c r="AI5195">
        <v>174.37289999999999</v>
      </c>
      <c r="AJ5195">
        <v>12.34224</v>
      </c>
      <c r="AK5195">
        <v>73.707849999999993</v>
      </c>
    </row>
    <row r="5196" spans="1:37" x14ac:dyDescent="0.3">
      <c r="A5196">
        <v>5195</v>
      </c>
      <c r="B5196">
        <v>8.3000000000000007</v>
      </c>
      <c r="C5196">
        <v>0.29028300000000001</v>
      </c>
      <c r="D5196">
        <v>14.6126</v>
      </c>
      <c r="E5196" t="s">
        <v>8351</v>
      </c>
      <c r="F5196" t="s">
        <v>8352</v>
      </c>
      <c r="G5196" t="s">
        <v>39</v>
      </c>
      <c r="H5196">
        <v>0</v>
      </c>
      <c r="I5196">
        <v>29.1</v>
      </c>
      <c r="J5196">
        <v>14.9</v>
      </c>
      <c r="K5196">
        <v>57</v>
      </c>
      <c r="L5196">
        <v>31.63</v>
      </c>
      <c r="M5196">
        <v>40.799999999999997</v>
      </c>
      <c r="N5196">
        <v>14.9</v>
      </c>
      <c r="O5196">
        <v>25.9</v>
      </c>
      <c r="P5196">
        <v>29.6</v>
      </c>
      <c r="Q5196">
        <v>25.1</v>
      </c>
      <c r="R5196">
        <v>33</v>
      </c>
      <c r="S5196">
        <v>24.5</v>
      </c>
      <c r="T5196">
        <v>323</v>
      </c>
      <c r="U5196">
        <v>112</v>
      </c>
      <c r="V5196">
        <v>0</v>
      </c>
      <c r="W5196">
        <v>144</v>
      </c>
      <c r="X5196">
        <v>264</v>
      </c>
      <c r="Y5196">
        <v>0</v>
      </c>
      <c r="Z5196">
        <v>52</v>
      </c>
      <c r="AA5196">
        <v>0</v>
      </c>
      <c r="AB5196">
        <v>4.1385940000000003</v>
      </c>
      <c r="AC5196">
        <v>8.9571200000000007E-3</v>
      </c>
      <c r="AD5196">
        <v>1.4469289999999999</v>
      </c>
      <c r="AE5196">
        <v>0.65104340000000005</v>
      </c>
      <c r="AF5196">
        <v>253.5386</v>
      </c>
      <c r="AG5196">
        <f>IFERROR(AH5196*0.1, "N/A")</f>
        <v>6.4</v>
      </c>
      <c r="AH5196">
        <v>64</v>
      </c>
      <c r="AI5196">
        <v>162.0882</v>
      </c>
      <c r="AJ5196">
        <v>9.1040270000000003</v>
      </c>
      <c r="AK5196">
        <v>72.947990000000004</v>
      </c>
    </row>
    <row r="5197" spans="1:37" x14ac:dyDescent="0.3">
      <c r="A5197">
        <v>5196</v>
      </c>
      <c r="B5197">
        <v>4</v>
      </c>
      <c r="C5197">
        <v>6.8082399999999996</v>
      </c>
      <c r="D5197">
        <v>14.6168</v>
      </c>
      <c r="E5197" t="s">
        <v>8353</v>
      </c>
      <c r="F5197" t="s">
        <v>8354</v>
      </c>
      <c r="G5197" t="s">
        <v>39</v>
      </c>
      <c r="H5197">
        <v>0</v>
      </c>
      <c r="I5197">
        <v>28.1</v>
      </c>
      <c r="J5197">
        <v>14.7</v>
      </c>
      <c r="K5197">
        <v>56</v>
      </c>
      <c r="L5197">
        <v>32.407420000000002</v>
      </c>
      <c r="M5197">
        <v>40.252679999999998</v>
      </c>
      <c r="N5197">
        <v>14.3</v>
      </c>
      <c r="O5197">
        <v>25.952680000000001</v>
      </c>
      <c r="P5197">
        <v>28.2</v>
      </c>
      <c r="Q5197">
        <v>25.7</v>
      </c>
      <c r="R5197">
        <v>32.376339999999999</v>
      </c>
      <c r="S5197">
        <v>23.6</v>
      </c>
      <c r="T5197">
        <v>299.09230000000002</v>
      </c>
      <c r="U5197">
        <v>115.09229999999999</v>
      </c>
      <c r="V5197">
        <v>0</v>
      </c>
      <c r="W5197">
        <v>156.5386</v>
      </c>
      <c r="X5197">
        <v>257.09230000000002</v>
      </c>
      <c r="Y5197">
        <v>0</v>
      </c>
      <c r="Z5197">
        <v>41</v>
      </c>
      <c r="AA5197">
        <v>0</v>
      </c>
      <c r="AB5197">
        <v>1.35839</v>
      </c>
      <c r="AC5197">
        <v>4.1007929999999998E-2</v>
      </c>
      <c r="AD5197">
        <v>1.0494049999999999</v>
      </c>
      <c r="AE5197">
        <v>0.2384944</v>
      </c>
      <c r="AF5197">
        <v>365.05369999999999</v>
      </c>
      <c r="AG5197">
        <f>IFERROR(AH5197*0.1, "N/A")</f>
        <v>6.6000000000000005</v>
      </c>
      <c r="AH5197">
        <v>66</v>
      </c>
      <c r="AI5197">
        <v>112.4152</v>
      </c>
      <c r="AJ5197">
        <v>11.572150000000001</v>
      </c>
      <c r="AK5197">
        <v>75.427850000000007</v>
      </c>
    </row>
    <row r="5198" spans="1:37" x14ac:dyDescent="0.3">
      <c r="A5198">
        <v>5197</v>
      </c>
      <c r="B5198">
        <v>88</v>
      </c>
      <c r="C5198">
        <v>0.97433099999999995</v>
      </c>
      <c r="D5198">
        <v>14.6297</v>
      </c>
      <c r="E5198" t="s">
        <v>8355</v>
      </c>
      <c r="F5198" t="s">
        <v>8356</v>
      </c>
      <c r="G5198" t="s">
        <v>39</v>
      </c>
      <c r="H5198">
        <v>0</v>
      </c>
      <c r="I5198">
        <v>29.3</v>
      </c>
      <c r="J5198">
        <v>14.4</v>
      </c>
      <c r="K5198">
        <v>58</v>
      </c>
      <c r="L5198">
        <v>27.9557</v>
      </c>
      <c r="M5198">
        <v>40.523359999999997</v>
      </c>
      <c r="N5198">
        <v>16</v>
      </c>
      <c r="O5198">
        <v>24.52336</v>
      </c>
      <c r="P5198">
        <v>29.4</v>
      </c>
      <c r="Q5198">
        <v>26.823360000000001</v>
      </c>
      <c r="R5198">
        <v>32.72336</v>
      </c>
      <c r="S5198">
        <v>25.3</v>
      </c>
      <c r="T5198">
        <v>296.29919999999998</v>
      </c>
      <c r="U5198">
        <v>116.7664</v>
      </c>
      <c r="V5198">
        <v>0</v>
      </c>
      <c r="W5198">
        <v>146.7664</v>
      </c>
      <c r="X5198">
        <v>245.53280000000001</v>
      </c>
      <c r="Y5198">
        <v>0</v>
      </c>
      <c r="Z5198">
        <v>46.766390000000001</v>
      </c>
      <c r="AA5198">
        <v>0</v>
      </c>
      <c r="AB5198">
        <v>0.23259769999999999</v>
      </c>
      <c r="AC5198">
        <v>4.5928339999999998E-2</v>
      </c>
      <c r="AD5198">
        <v>1.661672</v>
      </c>
      <c r="AE5198">
        <v>0.26576339999999998</v>
      </c>
      <c r="AF5198">
        <v>216.80500000000001</v>
      </c>
      <c r="AG5198">
        <f>IFERROR(AH5198*0.1, "N/A")</f>
        <v>6.1868910000000001</v>
      </c>
      <c r="AH5198">
        <v>61.86891</v>
      </c>
      <c r="AI5198">
        <v>221.05269999999999</v>
      </c>
      <c r="AJ5198">
        <v>26.13109</v>
      </c>
      <c r="AK5198">
        <v>56.102519999999998</v>
      </c>
    </row>
    <row r="5199" spans="1:37" x14ac:dyDescent="0.3">
      <c r="A5199">
        <v>5198</v>
      </c>
      <c r="B5199">
        <v>0</v>
      </c>
      <c r="C5199">
        <v>0.97433099999999995</v>
      </c>
      <c r="D5199">
        <v>14.6297</v>
      </c>
      <c r="E5199" t="s">
        <v>8355</v>
      </c>
      <c r="F5199" t="s">
        <v>8357</v>
      </c>
      <c r="G5199" t="s">
        <v>37</v>
      </c>
      <c r="H5199">
        <v>0</v>
      </c>
      <c r="I5199">
        <v>29.3</v>
      </c>
      <c r="J5199">
        <v>14.4</v>
      </c>
      <c r="K5199">
        <v>58</v>
      </c>
      <c r="L5199">
        <v>27.9557</v>
      </c>
      <c r="M5199">
        <v>40.523359999999997</v>
      </c>
      <c r="N5199">
        <v>16</v>
      </c>
      <c r="O5199">
        <v>24.52336</v>
      </c>
      <c r="P5199">
        <v>29.4</v>
      </c>
      <c r="Q5199">
        <v>26.823360000000001</v>
      </c>
      <c r="R5199">
        <v>32.72336</v>
      </c>
      <c r="S5199">
        <v>25.3</v>
      </c>
      <c r="T5199">
        <v>296.29919999999998</v>
      </c>
      <c r="U5199">
        <v>116.7664</v>
      </c>
      <c r="V5199">
        <v>0</v>
      </c>
      <c r="W5199">
        <v>146.7664</v>
      </c>
      <c r="X5199">
        <v>245.53280000000001</v>
      </c>
      <c r="Y5199">
        <v>0</v>
      </c>
      <c r="Z5199">
        <v>46.766390000000001</v>
      </c>
      <c r="AA5199">
        <v>0</v>
      </c>
      <c r="AB5199">
        <v>0.23259769999999999</v>
      </c>
      <c r="AC5199">
        <v>4.5928339999999998E-2</v>
      </c>
      <c r="AD5199">
        <v>1.661672</v>
      </c>
      <c r="AE5199">
        <v>0.26576339999999998</v>
      </c>
      <c r="AF5199">
        <v>216.80500000000001</v>
      </c>
      <c r="AG5199">
        <f>IFERROR(AH5199*0.1, "N/A")</f>
        <v>6.1868910000000001</v>
      </c>
      <c r="AH5199">
        <v>61.86891</v>
      </c>
      <c r="AI5199">
        <v>221.05269999999999</v>
      </c>
      <c r="AJ5199">
        <v>26.13109</v>
      </c>
      <c r="AK5199">
        <v>56.102519999999998</v>
      </c>
    </row>
    <row r="5200" spans="1:37" x14ac:dyDescent="0.3">
      <c r="A5200">
        <v>5199</v>
      </c>
      <c r="B5200">
        <v>84.9</v>
      </c>
      <c r="C5200">
        <v>0.9778</v>
      </c>
      <c r="D5200">
        <v>14.6333</v>
      </c>
      <c r="E5200" t="s">
        <v>8358</v>
      </c>
      <c r="F5200" t="s">
        <v>8359</v>
      </c>
      <c r="G5200" t="s">
        <v>39</v>
      </c>
      <c r="H5200">
        <v>0</v>
      </c>
      <c r="I5200">
        <v>29.3</v>
      </c>
      <c r="J5200">
        <v>14.4</v>
      </c>
      <c r="K5200">
        <v>58</v>
      </c>
      <c r="L5200">
        <v>27.98837</v>
      </c>
      <c r="M5200">
        <v>40.569629999999997</v>
      </c>
      <c r="N5200">
        <v>16</v>
      </c>
      <c r="O5200">
        <v>24.56963</v>
      </c>
      <c r="P5200">
        <v>29.4</v>
      </c>
      <c r="Q5200">
        <v>26.869630000000001</v>
      </c>
      <c r="R5200">
        <v>32.769629999999999</v>
      </c>
      <c r="S5200">
        <v>25.3</v>
      </c>
      <c r="T5200">
        <v>294</v>
      </c>
      <c r="U5200">
        <v>116</v>
      </c>
      <c r="V5200">
        <v>0</v>
      </c>
      <c r="W5200">
        <v>146</v>
      </c>
      <c r="X5200">
        <v>244</v>
      </c>
      <c r="Y5200">
        <v>0</v>
      </c>
      <c r="Z5200">
        <v>46</v>
      </c>
      <c r="AA5200">
        <v>0</v>
      </c>
      <c r="AB5200">
        <v>1.7473069999999999</v>
      </c>
      <c r="AC5200">
        <v>7.2912809999999995E-2</v>
      </c>
      <c r="AD5200">
        <v>1.271002</v>
      </c>
      <c r="AE5200">
        <v>0.286908</v>
      </c>
      <c r="AF5200">
        <v>217.60400000000001</v>
      </c>
      <c r="AG5200">
        <f>IFERROR(AH5200*0.1, "N/A")</f>
        <v>7</v>
      </c>
      <c r="AH5200">
        <v>70</v>
      </c>
      <c r="AI5200">
        <v>44.632739999999998</v>
      </c>
      <c r="AJ5200">
        <v>16.145969999999998</v>
      </c>
      <c r="AK5200">
        <v>68.70805</v>
      </c>
    </row>
    <row r="5201" spans="1:37" x14ac:dyDescent="0.3">
      <c r="A5201">
        <v>5200</v>
      </c>
      <c r="B5201">
        <v>0.9</v>
      </c>
      <c r="C5201">
        <v>0.9778</v>
      </c>
      <c r="D5201">
        <v>14.6333</v>
      </c>
      <c r="E5201" t="s">
        <v>8358</v>
      </c>
      <c r="F5201" t="s">
        <v>8360</v>
      </c>
      <c r="G5201" t="s">
        <v>37</v>
      </c>
      <c r="H5201">
        <v>0</v>
      </c>
      <c r="I5201">
        <v>29.3</v>
      </c>
      <c r="J5201">
        <v>14.4</v>
      </c>
      <c r="K5201">
        <v>58</v>
      </c>
      <c r="L5201">
        <v>27.98837</v>
      </c>
      <c r="M5201">
        <v>40.569629999999997</v>
      </c>
      <c r="N5201">
        <v>16</v>
      </c>
      <c r="O5201">
        <v>24.56963</v>
      </c>
      <c r="P5201">
        <v>29.4</v>
      </c>
      <c r="Q5201">
        <v>26.869630000000001</v>
      </c>
      <c r="R5201">
        <v>32.769629999999999</v>
      </c>
      <c r="S5201">
        <v>25.3</v>
      </c>
      <c r="T5201">
        <v>294</v>
      </c>
      <c r="U5201">
        <v>116</v>
      </c>
      <c r="V5201">
        <v>0</v>
      </c>
      <c r="W5201">
        <v>146</v>
      </c>
      <c r="X5201">
        <v>244</v>
      </c>
      <c r="Y5201">
        <v>0</v>
      </c>
      <c r="Z5201">
        <v>46</v>
      </c>
      <c r="AA5201">
        <v>0</v>
      </c>
      <c r="AB5201">
        <v>1.7473069999999999</v>
      </c>
      <c r="AC5201">
        <v>7.2912809999999995E-2</v>
      </c>
      <c r="AD5201">
        <v>1.271002</v>
      </c>
      <c r="AE5201">
        <v>0.286908</v>
      </c>
      <c r="AF5201">
        <v>217.60400000000001</v>
      </c>
      <c r="AG5201">
        <f>IFERROR(AH5201*0.1, "N/A")</f>
        <v>7</v>
      </c>
      <c r="AH5201">
        <v>70</v>
      </c>
      <c r="AI5201">
        <v>44.632739999999998</v>
      </c>
      <c r="AJ5201">
        <v>16.145969999999998</v>
      </c>
      <c r="AK5201">
        <v>68.70805</v>
      </c>
    </row>
    <row r="5202" spans="1:37" x14ac:dyDescent="0.3">
      <c r="A5202">
        <v>5201</v>
      </c>
      <c r="B5202">
        <v>0</v>
      </c>
      <c r="C5202">
        <v>0.97899999999999998</v>
      </c>
      <c r="D5202">
        <v>14.634</v>
      </c>
      <c r="E5202" t="s">
        <v>8361</v>
      </c>
      <c r="F5202" t="s">
        <v>8362</v>
      </c>
      <c r="G5202" t="s">
        <v>37</v>
      </c>
      <c r="H5202">
        <v>1987</v>
      </c>
      <c r="I5202">
        <v>29.3</v>
      </c>
      <c r="J5202">
        <v>14.4</v>
      </c>
      <c r="K5202">
        <v>58</v>
      </c>
      <c r="L5202">
        <v>27.893270000000001</v>
      </c>
      <c r="M5202">
        <v>40.513689999999997</v>
      </c>
      <c r="N5202">
        <v>16</v>
      </c>
      <c r="O5202">
        <v>24.51369</v>
      </c>
      <c r="P5202">
        <v>29.4</v>
      </c>
      <c r="Q5202">
        <v>26.813690000000001</v>
      </c>
      <c r="R5202">
        <v>32.71369</v>
      </c>
      <c r="S5202">
        <v>25.3</v>
      </c>
      <c r="T5202">
        <v>294</v>
      </c>
      <c r="U5202">
        <v>116</v>
      </c>
      <c r="V5202">
        <v>0</v>
      </c>
      <c r="W5202">
        <v>146</v>
      </c>
      <c r="X5202">
        <v>244</v>
      </c>
      <c r="Y5202">
        <v>0</v>
      </c>
      <c r="Z5202">
        <v>46</v>
      </c>
      <c r="AA5202">
        <v>0</v>
      </c>
      <c r="AB5202">
        <v>1.685802</v>
      </c>
      <c r="AC5202">
        <v>5.7820009999999998E-2</v>
      </c>
      <c r="AD5202">
        <v>1.1113310000000001</v>
      </c>
      <c r="AE5202">
        <v>0.286908</v>
      </c>
      <c r="AF5202">
        <v>216.11189999999999</v>
      </c>
      <c r="AG5202">
        <f>IFERROR(AH5202*0.1, "N/A")</f>
        <v>7.0402339999999999</v>
      </c>
      <c r="AH5202">
        <v>70.402339999999995</v>
      </c>
      <c r="AI5202">
        <v>175.74600000000001</v>
      </c>
      <c r="AJ5202">
        <v>15.7379</v>
      </c>
      <c r="AK5202">
        <v>69.031720000000007</v>
      </c>
    </row>
    <row r="5203" spans="1:37" x14ac:dyDescent="0.3">
      <c r="A5203">
        <v>5202</v>
      </c>
      <c r="B5203">
        <v>49.5</v>
      </c>
      <c r="C5203">
        <v>0.83141699999999996</v>
      </c>
      <c r="D5203">
        <v>14.6431</v>
      </c>
      <c r="E5203" t="s">
        <v>8363</v>
      </c>
      <c r="F5203" t="s">
        <v>8364</v>
      </c>
      <c r="G5203" t="s">
        <v>39</v>
      </c>
      <c r="H5203">
        <v>0</v>
      </c>
      <c r="I5203">
        <v>29.1</v>
      </c>
      <c r="J5203">
        <v>14.5</v>
      </c>
      <c r="K5203">
        <v>58</v>
      </c>
      <c r="L5203">
        <v>28.01</v>
      </c>
      <c r="M5203">
        <v>40.299999999999997</v>
      </c>
      <c r="N5203">
        <v>15.7</v>
      </c>
      <c r="O5203">
        <v>24.6</v>
      </c>
      <c r="P5203">
        <v>29.3</v>
      </c>
      <c r="Q5203">
        <v>26.6</v>
      </c>
      <c r="R5203">
        <v>32.6</v>
      </c>
      <c r="S5203">
        <v>25.1</v>
      </c>
      <c r="T5203">
        <v>315</v>
      </c>
      <c r="U5203">
        <v>123</v>
      </c>
      <c r="V5203">
        <v>0</v>
      </c>
      <c r="W5203">
        <v>146</v>
      </c>
      <c r="X5203">
        <v>261</v>
      </c>
      <c r="Y5203">
        <v>0</v>
      </c>
      <c r="Z5203">
        <v>49</v>
      </c>
      <c r="AA5203">
        <v>0</v>
      </c>
      <c r="AB5203">
        <v>4.3509250000000002</v>
      </c>
      <c r="AC5203">
        <v>1.33458E-2</v>
      </c>
      <c r="AD5203">
        <v>1.2965679999999999</v>
      </c>
      <c r="AE5203">
        <v>0.32927410000000001</v>
      </c>
      <c r="AF5203">
        <v>237.58260000000001</v>
      </c>
      <c r="AG5203">
        <f>IFERROR(AH5203*0.1, "N/A")</f>
        <v>6.7</v>
      </c>
      <c r="AH5203">
        <v>67</v>
      </c>
      <c r="AI5203">
        <v>99.173630000000003</v>
      </c>
      <c r="AJ5203">
        <v>11.140230000000001</v>
      </c>
      <c r="AK5203">
        <v>78.121870000000001</v>
      </c>
    </row>
    <row r="5204" spans="1:37" x14ac:dyDescent="0.3">
      <c r="A5204">
        <v>5203</v>
      </c>
      <c r="B5204">
        <v>88.5</v>
      </c>
      <c r="C5204">
        <v>0.53333299999999995</v>
      </c>
      <c r="D5204">
        <v>14.65</v>
      </c>
      <c r="E5204" t="s">
        <v>8365</v>
      </c>
      <c r="F5204" t="s">
        <v>8366</v>
      </c>
      <c r="G5204" t="s">
        <v>39</v>
      </c>
      <c r="H5204">
        <v>2004</v>
      </c>
      <c r="I5204">
        <v>29.1</v>
      </c>
      <c r="J5204">
        <v>14.7</v>
      </c>
      <c r="K5204">
        <v>58</v>
      </c>
      <c r="L5204">
        <v>29.195730000000001</v>
      </c>
      <c r="M5204">
        <v>40.478149999999999</v>
      </c>
      <c r="N5204">
        <v>15.285209999999999</v>
      </c>
      <c r="O5204">
        <v>25.19294</v>
      </c>
      <c r="P5204">
        <v>29.4</v>
      </c>
      <c r="Q5204">
        <v>26.458819999999999</v>
      </c>
      <c r="R5204">
        <v>32.621850000000002</v>
      </c>
      <c r="S5204">
        <v>24.80706</v>
      </c>
      <c r="T5204">
        <v>327.07060000000001</v>
      </c>
      <c r="U5204">
        <v>121.0706</v>
      </c>
      <c r="V5204">
        <v>0</v>
      </c>
      <c r="W5204">
        <v>145.07060000000001</v>
      </c>
      <c r="X5204">
        <v>272.07060000000001</v>
      </c>
      <c r="Y5204">
        <v>0</v>
      </c>
      <c r="Z5204">
        <v>50</v>
      </c>
      <c r="AA5204">
        <v>0</v>
      </c>
      <c r="AB5204">
        <v>1.8754569999999999</v>
      </c>
      <c r="AC5204">
        <v>9.0790549999999998E-2</v>
      </c>
      <c r="AD5204">
        <v>1.5129539999999999</v>
      </c>
      <c r="AE5204">
        <v>0.48395660000000001</v>
      </c>
      <c r="AF5204">
        <v>248.24369999999999</v>
      </c>
      <c r="AG5204">
        <f>IFERROR(AH5204*0.1, "N/A")</f>
        <v>6.3710920000000009</v>
      </c>
      <c r="AH5204">
        <v>63.710920000000002</v>
      </c>
      <c r="AI5204">
        <v>128.6317</v>
      </c>
      <c r="AJ5204">
        <v>26.710920000000002</v>
      </c>
      <c r="AK5204">
        <v>55.421849999999999</v>
      </c>
    </row>
    <row r="5205" spans="1:37" x14ac:dyDescent="0.3">
      <c r="A5205">
        <v>5204</v>
      </c>
      <c r="B5205">
        <v>31</v>
      </c>
      <c r="C5205">
        <v>0.54788300000000001</v>
      </c>
      <c r="D5205">
        <v>14.6523</v>
      </c>
      <c r="E5205" t="s">
        <v>8367</v>
      </c>
      <c r="F5205" t="s">
        <v>8368</v>
      </c>
      <c r="G5205" t="s">
        <v>39</v>
      </c>
      <c r="H5205">
        <v>0</v>
      </c>
      <c r="I5205">
        <v>29</v>
      </c>
      <c r="J5205">
        <v>14.7</v>
      </c>
      <c r="K5205">
        <v>58</v>
      </c>
      <c r="L5205">
        <v>29.31</v>
      </c>
      <c r="M5205">
        <v>40.4</v>
      </c>
      <c r="N5205">
        <v>15.2</v>
      </c>
      <c r="O5205">
        <v>25.2</v>
      </c>
      <c r="P5205">
        <v>29.4</v>
      </c>
      <c r="Q5205">
        <v>26.4</v>
      </c>
      <c r="R5205">
        <v>32.6</v>
      </c>
      <c r="S5205">
        <v>24.8</v>
      </c>
      <c r="T5205">
        <v>328</v>
      </c>
      <c r="U5205">
        <v>122</v>
      </c>
      <c r="V5205">
        <v>0</v>
      </c>
      <c r="W5205">
        <v>146</v>
      </c>
      <c r="X5205">
        <v>273</v>
      </c>
      <c r="Y5205">
        <v>0</v>
      </c>
      <c r="Z5205">
        <v>50</v>
      </c>
      <c r="AA5205">
        <v>0</v>
      </c>
      <c r="AB5205">
        <v>6.5944750000000001</v>
      </c>
      <c r="AC5205">
        <v>3.4221509999999997E-2</v>
      </c>
      <c r="AD5205">
        <v>2.0447500000000001</v>
      </c>
      <c r="AE5205">
        <v>0.44172790000000001</v>
      </c>
      <c r="AF5205">
        <v>253.04849999999999</v>
      </c>
      <c r="AG5205">
        <f>IFERROR(AH5205*0.1, "N/A")</f>
        <v>6.5299329999999998</v>
      </c>
      <c r="AH5205">
        <v>65.299329999999998</v>
      </c>
      <c r="AI5205">
        <v>120.97369999999999</v>
      </c>
      <c r="AJ5205">
        <v>12.02007</v>
      </c>
      <c r="AK5205">
        <v>74.979929999999996</v>
      </c>
    </row>
    <row r="5206" spans="1:37" x14ac:dyDescent="0.3">
      <c r="A5206">
        <v>5205</v>
      </c>
      <c r="B5206">
        <v>0</v>
      </c>
      <c r="C5206">
        <v>0.53400000000000003</v>
      </c>
      <c r="D5206">
        <v>14.654</v>
      </c>
      <c r="E5206" t="s">
        <v>8369</v>
      </c>
      <c r="F5206" t="s">
        <v>8370</v>
      </c>
      <c r="G5206" t="s">
        <v>37</v>
      </c>
      <c r="H5206">
        <v>1987</v>
      </c>
      <c r="I5206">
        <v>29.1</v>
      </c>
      <c r="J5206">
        <v>14.7</v>
      </c>
      <c r="K5206">
        <v>58</v>
      </c>
      <c r="L5206">
        <v>29.41255</v>
      </c>
      <c r="M5206">
        <v>40.41695</v>
      </c>
      <c r="N5206">
        <v>15.216950000000001</v>
      </c>
      <c r="O5206">
        <v>25.2</v>
      </c>
      <c r="P5206">
        <v>29.4</v>
      </c>
      <c r="Q5206">
        <v>26.41695</v>
      </c>
      <c r="R5206">
        <v>32.683050000000001</v>
      </c>
      <c r="S5206">
        <v>24.8</v>
      </c>
      <c r="T5206">
        <v>327</v>
      </c>
      <c r="U5206">
        <v>121</v>
      </c>
      <c r="V5206">
        <v>0</v>
      </c>
      <c r="W5206">
        <v>145</v>
      </c>
      <c r="X5206">
        <v>272</v>
      </c>
      <c r="Y5206">
        <v>0</v>
      </c>
      <c r="Z5206">
        <v>50</v>
      </c>
      <c r="AA5206">
        <v>0</v>
      </c>
      <c r="AB5206">
        <v>4.5515059999999998</v>
      </c>
      <c r="AC5206">
        <v>6.9588079999999997E-2</v>
      </c>
      <c r="AD5206">
        <v>0.9767574</v>
      </c>
      <c r="AE5206">
        <v>0.48395660000000001</v>
      </c>
      <c r="AF5206">
        <v>250.77010000000001</v>
      </c>
      <c r="AG5206">
        <f>IFERROR(AH5206*0.1, "N/A")</f>
        <v>6.4573830000000001</v>
      </c>
      <c r="AH5206">
        <v>64.573830000000001</v>
      </c>
      <c r="AI5206">
        <v>148.17009999999999</v>
      </c>
      <c r="AJ5206">
        <v>16.87416</v>
      </c>
      <c r="AK5206">
        <v>70.912750000000003</v>
      </c>
    </row>
    <row r="5207" spans="1:37" x14ac:dyDescent="0.3">
      <c r="A5207">
        <v>5206</v>
      </c>
      <c r="B5207">
        <v>28.3</v>
      </c>
      <c r="C5207">
        <v>5.3296700000000001</v>
      </c>
      <c r="D5207">
        <v>14.6736</v>
      </c>
      <c r="E5207" t="s">
        <v>8371</v>
      </c>
      <c r="F5207" t="s">
        <v>8372</v>
      </c>
      <c r="G5207" t="s">
        <v>39</v>
      </c>
      <c r="H5207">
        <v>0</v>
      </c>
      <c r="I5207">
        <v>28.8</v>
      </c>
      <c r="J5207">
        <v>14.3</v>
      </c>
      <c r="K5207">
        <v>55</v>
      </c>
      <c r="L5207">
        <v>32.22</v>
      </c>
      <c r="M5207">
        <v>40.700000000000003</v>
      </c>
      <c r="N5207">
        <v>14.9</v>
      </c>
      <c r="O5207">
        <v>25.8</v>
      </c>
      <c r="P5207">
        <v>29</v>
      </c>
      <c r="Q5207">
        <v>26.3</v>
      </c>
      <c r="R5207">
        <v>32.9</v>
      </c>
      <c r="S5207">
        <v>24.3</v>
      </c>
      <c r="T5207">
        <v>363</v>
      </c>
      <c r="U5207">
        <v>130</v>
      </c>
      <c r="V5207">
        <v>0</v>
      </c>
      <c r="W5207">
        <v>139</v>
      </c>
      <c r="X5207">
        <v>291</v>
      </c>
      <c r="Y5207">
        <v>0</v>
      </c>
      <c r="Z5207">
        <v>66</v>
      </c>
      <c r="AA5207">
        <v>0</v>
      </c>
      <c r="AB5207">
        <v>15.57723</v>
      </c>
      <c r="AC5207">
        <v>1.7962559999999999E-2</v>
      </c>
      <c r="AD5207">
        <v>0.83662099999999995</v>
      </c>
      <c r="AE5207">
        <v>0.22688059999999999</v>
      </c>
      <c r="AF5207">
        <v>370.43720000000002</v>
      </c>
      <c r="AG5207">
        <f>IFERROR(AH5207*0.1, "N/A")</f>
        <v>7.2214410000000004</v>
      </c>
      <c r="AH5207">
        <v>72.214410000000001</v>
      </c>
      <c r="AI5207">
        <v>231.63210000000001</v>
      </c>
      <c r="AJ5207">
        <v>20.437190000000001</v>
      </c>
      <c r="AK5207">
        <v>62.216079999999998</v>
      </c>
    </row>
    <row r="5208" spans="1:37" x14ac:dyDescent="0.3">
      <c r="A5208">
        <v>5207</v>
      </c>
      <c r="B5208">
        <v>0</v>
      </c>
      <c r="C5208">
        <v>0.94599999999999995</v>
      </c>
      <c r="D5208">
        <v>14.686999999999999</v>
      </c>
      <c r="E5208" t="s">
        <v>8373</v>
      </c>
      <c r="F5208" t="s">
        <v>8374</v>
      </c>
      <c r="G5208" t="s">
        <v>37</v>
      </c>
      <c r="H5208">
        <v>1987</v>
      </c>
      <c r="I5208">
        <v>29.2</v>
      </c>
      <c r="J5208">
        <v>14.4</v>
      </c>
      <c r="K5208">
        <v>59</v>
      </c>
      <c r="L5208">
        <v>27.47</v>
      </c>
      <c r="M5208">
        <v>40.4</v>
      </c>
      <c r="N5208">
        <v>16</v>
      </c>
      <c r="O5208">
        <v>24.4</v>
      </c>
      <c r="P5208">
        <v>29.4</v>
      </c>
      <c r="Q5208">
        <v>26.8</v>
      </c>
      <c r="R5208">
        <v>32.6</v>
      </c>
      <c r="S5208">
        <v>25.3</v>
      </c>
      <c r="T5208">
        <v>295</v>
      </c>
      <c r="U5208">
        <v>117</v>
      </c>
      <c r="V5208">
        <v>0</v>
      </c>
      <c r="W5208">
        <v>147</v>
      </c>
      <c r="X5208">
        <v>244</v>
      </c>
      <c r="Y5208">
        <v>0</v>
      </c>
      <c r="Z5208">
        <v>46</v>
      </c>
      <c r="AA5208">
        <v>0</v>
      </c>
      <c r="AB5208">
        <v>2.4591319999999999</v>
      </c>
      <c r="AC5208">
        <v>9.0249759999999998E-2</v>
      </c>
      <c r="AD5208">
        <v>0.57421460000000002</v>
      </c>
      <c r="AE5208">
        <v>0.28420260000000003</v>
      </c>
      <c r="AF5208">
        <v>226.3082</v>
      </c>
      <c r="AG5208">
        <f>IFERROR(AH5208*0.1, "N/A")</f>
        <v>6.2862650000000002</v>
      </c>
      <c r="AH5208">
        <v>62.862650000000002</v>
      </c>
      <c r="AI5208">
        <v>64.85369</v>
      </c>
      <c r="AJ5208">
        <v>10</v>
      </c>
      <c r="AK5208">
        <v>76.504189999999994</v>
      </c>
    </row>
    <row r="5209" spans="1:37" x14ac:dyDescent="0.3">
      <c r="A5209">
        <v>5208</v>
      </c>
      <c r="B5209">
        <v>24</v>
      </c>
      <c r="C5209">
        <v>0.32029999999999997</v>
      </c>
      <c r="D5209">
        <v>14.7079</v>
      </c>
      <c r="E5209" t="s">
        <v>8375</v>
      </c>
      <c r="F5209" t="s">
        <v>8376</v>
      </c>
      <c r="G5209" t="s">
        <v>39</v>
      </c>
      <c r="H5209">
        <v>0</v>
      </c>
      <c r="I5209">
        <v>29.1</v>
      </c>
      <c r="J5209">
        <v>14.8</v>
      </c>
      <c r="K5209">
        <v>57</v>
      </c>
      <c r="L5209">
        <v>30.547219999999999</v>
      </c>
      <c r="M5209">
        <v>40.6</v>
      </c>
      <c r="N5209">
        <v>15</v>
      </c>
      <c r="O5209">
        <v>25.6</v>
      </c>
      <c r="P5209">
        <v>29.6</v>
      </c>
      <c r="Q5209">
        <v>25.2</v>
      </c>
      <c r="R5209">
        <v>32.83361</v>
      </c>
      <c r="S5209">
        <v>24.66639</v>
      </c>
      <c r="T5209">
        <v>313.66390000000001</v>
      </c>
      <c r="U5209">
        <v>111</v>
      </c>
      <c r="V5209">
        <v>0</v>
      </c>
      <c r="W5209">
        <v>141.66390000000001</v>
      </c>
      <c r="X5209">
        <v>258.66390000000001</v>
      </c>
      <c r="Y5209">
        <v>0</v>
      </c>
      <c r="Z5209">
        <v>49</v>
      </c>
      <c r="AA5209">
        <v>0</v>
      </c>
      <c r="AB5209">
        <v>2.7424719999999998</v>
      </c>
      <c r="AC5209">
        <v>1.116456E-2</v>
      </c>
      <c r="AD5209">
        <v>1.2975840000000001</v>
      </c>
      <c r="AE5209">
        <v>0.34595579999999998</v>
      </c>
      <c r="AF5209">
        <v>256.94479999999999</v>
      </c>
      <c r="AG5209">
        <f>IFERROR(AH5209*0.1, "N/A")</f>
        <v>6.5023410000000004</v>
      </c>
      <c r="AH5209">
        <v>65.023409999999998</v>
      </c>
      <c r="AI5209">
        <v>223.98570000000001</v>
      </c>
      <c r="AJ5209">
        <v>10.38462</v>
      </c>
      <c r="AK5209">
        <v>76.080269999999999</v>
      </c>
    </row>
    <row r="5210" spans="1:37" x14ac:dyDescent="0.3">
      <c r="A5210">
        <v>5209</v>
      </c>
      <c r="B5210">
        <v>0</v>
      </c>
      <c r="C5210">
        <v>5.3299099999999999</v>
      </c>
      <c r="D5210">
        <v>14.714499999999999</v>
      </c>
      <c r="E5210" t="s">
        <v>8377</v>
      </c>
      <c r="F5210" t="s">
        <v>8378</v>
      </c>
      <c r="G5210" t="s">
        <v>39</v>
      </c>
      <c r="H5210">
        <v>0</v>
      </c>
      <c r="I5210">
        <v>28.8</v>
      </c>
      <c r="J5210">
        <v>14.4</v>
      </c>
      <c r="K5210">
        <v>55</v>
      </c>
      <c r="L5210">
        <v>32.24</v>
      </c>
      <c r="M5210">
        <v>40.700000000000003</v>
      </c>
      <c r="N5210">
        <v>14.8</v>
      </c>
      <c r="O5210">
        <v>25.9</v>
      </c>
      <c r="P5210">
        <v>28.9</v>
      </c>
      <c r="Q5210">
        <v>26.3</v>
      </c>
      <c r="R5210">
        <v>32.9</v>
      </c>
      <c r="S5210">
        <v>24.3</v>
      </c>
      <c r="T5210">
        <v>364</v>
      </c>
      <c r="U5210">
        <v>131</v>
      </c>
      <c r="V5210">
        <v>0</v>
      </c>
      <c r="W5210">
        <v>140</v>
      </c>
      <c r="X5210">
        <v>292</v>
      </c>
      <c r="Y5210">
        <v>0</v>
      </c>
      <c r="Z5210">
        <v>66</v>
      </c>
      <c r="AA5210">
        <v>0</v>
      </c>
      <c r="AB5210">
        <v>6.6693519999999999</v>
      </c>
      <c r="AC5210">
        <v>1.4924440000000001E-2</v>
      </c>
      <c r="AD5210">
        <v>1.6294740000000001</v>
      </c>
      <c r="AE5210">
        <v>0.34195179999999997</v>
      </c>
      <c r="AF5210">
        <v>383.34339999999997</v>
      </c>
      <c r="AG5210">
        <f>IFERROR(AH5210*0.1, "N/A")</f>
        <v>6.3000000000000007</v>
      </c>
      <c r="AH5210">
        <v>63</v>
      </c>
      <c r="AI5210">
        <v>204.67240000000001</v>
      </c>
      <c r="AJ5210">
        <v>12</v>
      </c>
      <c r="AK5210">
        <v>76</v>
      </c>
    </row>
    <row r="5211" spans="1:37" x14ac:dyDescent="0.3">
      <c r="A5211">
        <v>5210</v>
      </c>
      <c r="B5211">
        <v>0</v>
      </c>
      <c r="C5211">
        <v>5.3299099999999999</v>
      </c>
      <c r="D5211">
        <v>14.714499999999999</v>
      </c>
      <c r="E5211" t="s">
        <v>8377</v>
      </c>
      <c r="F5211" t="s">
        <v>8379</v>
      </c>
      <c r="G5211" t="s">
        <v>37</v>
      </c>
      <c r="H5211">
        <v>0</v>
      </c>
      <c r="I5211">
        <v>28.8</v>
      </c>
      <c r="J5211">
        <v>14.4</v>
      </c>
      <c r="K5211">
        <v>55</v>
      </c>
      <c r="L5211">
        <v>32.24</v>
      </c>
      <c r="M5211">
        <v>40.700000000000003</v>
      </c>
      <c r="N5211">
        <v>14.8</v>
      </c>
      <c r="O5211">
        <v>25.9</v>
      </c>
      <c r="P5211">
        <v>28.9</v>
      </c>
      <c r="Q5211">
        <v>26.3</v>
      </c>
      <c r="R5211">
        <v>32.9</v>
      </c>
      <c r="S5211">
        <v>24.3</v>
      </c>
      <c r="T5211">
        <v>364</v>
      </c>
      <c r="U5211">
        <v>131</v>
      </c>
      <c r="V5211">
        <v>0</v>
      </c>
      <c r="W5211">
        <v>140</v>
      </c>
      <c r="X5211">
        <v>292</v>
      </c>
      <c r="Y5211">
        <v>0</v>
      </c>
      <c r="Z5211">
        <v>66</v>
      </c>
      <c r="AA5211">
        <v>0</v>
      </c>
      <c r="AB5211">
        <v>6.6693519999999999</v>
      </c>
      <c r="AC5211">
        <v>1.4924440000000001E-2</v>
      </c>
      <c r="AD5211">
        <v>1.6294740000000001</v>
      </c>
      <c r="AE5211">
        <v>0.34195179999999997</v>
      </c>
      <c r="AF5211">
        <v>383.34339999999997</v>
      </c>
      <c r="AG5211">
        <f>IFERROR(AH5211*0.1, "N/A")</f>
        <v>6.3000000000000007</v>
      </c>
      <c r="AH5211">
        <v>63</v>
      </c>
      <c r="AI5211">
        <v>204.67240000000001</v>
      </c>
      <c r="AJ5211">
        <v>12</v>
      </c>
      <c r="AK5211">
        <v>76</v>
      </c>
    </row>
    <row r="5212" spans="1:37" x14ac:dyDescent="0.3">
      <c r="A5212">
        <v>5211</v>
      </c>
      <c r="B5212">
        <v>0</v>
      </c>
      <c r="C5212">
        <v>4.8373100000000004</v>
      </c>
      <c r="D5212">
        <v>14.714600000000001</v>
      </c>
      <c r="E5212" t="s">
        <v>8380</v>
      </c>
      <c r="F5212" t="s">
        <v>8381</v>
      </c>
      <c r="G5212" t="s">
        <v>39</v>
      </c>
      <c r="H5212">
        <v>0</v>
      </c>
      <c r="I5212">
        <v>29.1</v>
      </c>
      <c r="J5212">
        <v>14.3</v>
      </c>
      <c r="K5212">
        <v>55</v>
      </c>
      <c r="L5212">
        <v>32.5</v>
      </c>
      <c r="M5212">
        <v>41</v>
      </c>
      <c r="N5212">
        <v>15.1</v>
      </c>
      <c r="O5212">
        <v>25.9</v>
      </c>
      <c r="P5212">
        <v>29.4</v>
      </c>
      <c r="Q5212">
        <v>26.5</v>
      </c>
      <c r="R5212">
        <v>33.200000000000003</v>
      </c>
      <c r="S5212">
        <v>24.6</v>
      </c>
      <c r="T5212">
        <v>331</v>
      </c>
      <c r="U5212">
        <v>116</v>
      </c>
      <c r="V5212">
        <v>0</v>
      </c>
      <c r="W5212">
        <v>139</v>
      </c>
      <c r="X5212">
        <v>263</v>
      </c>
      <c r="Y5212">
        <v>0</v>
      </c>
      <c r="Z5212">
        <v>64</v>
      </c>
      <c r="AA5212">
        <v>0</v>
      </c>
      <c r="AB5212">
        <v>4.3231089999999996</v>
      </c>
      <c r="AC5212">
        <v>1.1238349999999999E-2</v>
      </c>
      <c r="AD5212">
        <v>1.7356469999999999</v>
      </c>
      <c r="AE5212">
        <v>0.39382319999999998</v>
      </c>
      <c r="AF5212">
        <v>322.05860000000001</v>
      </c>
      <c r="AG5212">
        <f>IFERROR(AH5212*0.1, "N/A")</f>
        <v>6.3810720000000005</v>
      </c>
      <c r="AH5212">
        <v>63.810720000000003</v>
      </c>
      <c r="AI5212">
        <v>184.92670000000001</v>
      </c>
      <c r="AJ5212">
        <v>8.5946400000000001</v>
      </c>
      <c r="AK5212">
        <v>79.594639999999998</v>
      </c>
    </row>
    <row r="5213" spans="1:37" x14ac:dyDescent="0.3">
      <c r="A5213">
        <v>5212</v>
      </c>
      <c r="B5213">
        <v>0</v>
      </c>
      <c r="C5213">
        <v>4.8373100000000004</v>
      </c>
      <c r="D5213">
        <v>14.714600000000001</v>
      </c>
      <c r="E5213" t="s">
        <v>8380</v>
      </c>
      <c r="F5213" t="s">
        <v>8382</v>
      </c>
      <c r="G5213" t="s">
        <v>37</v>
      </c>
      <c r="H5213">
        <v>0</v>
      </c>
      <c r="I5213">
        <v>29.1</v>
      </c>
      <c r="J5213">
        <v>14.3</v>
      </c>
      <c r="K5213">
        <v>55</v>
      </c>
      <c r="L5213">
        <v>32.5</v>
      </c>
      <c r="M5213">
        <v>41</v>
      </c>
      <c r="N5213">
        <v>15.1</v>
      </c>
      <c r="O5213">
        <v>25.9</v>
      </c>
      <c r="P5213">
        <v>29.4</v>
      </c>
      <c r="Q5213">
        <v>26.5</v>
      </c>
      <c r="R5213">
        <v>33.200000000000003</v>
      </c>
      <c r="S5213">
        <v>24.6</v>
      </c>
      <c r="T5213">
        <v>331</v>
      </c>
      <c r="U5213">
        <v>116</v>
      </c>
      <c r="V5213">
        <v>0</v>
      </c>
      <c r="W5213">
        <v>139</v>
      </c>
      <c r="X5213">
        <v>263</v>
      </c>
      <c r="Y5213">
        <v>0</v>
      </c>
      <c r="Z5213">
        <v>64</v>
      </c>
      <c r="AA5213">
        <v>0</v>
      </c>
      <c r="AB5213">
        <v>4.3231089999999996</v>
      </c>
      <c r="AC5213">
        <v>1.1238349999999999E-2</v>
      </c>
      <c r="AD5213">
        <v>1.7356469999999999</v>
      </c>
      <c r="AE5213">
        <v>0.39382319999999998</v>
      </c>
      <c r="AF5213">
        <v>322.05860000000001</v>
      </c>
      <c r="AG5213">
        <f>IFERROR(AH5213*0.1, "N/A")</f>
        <v>6.3810720000000005</v>
      </c>
      <c r="AH5213">
        <v>63.810720000000003</v>
      </c>
      <c r="AI5213">
        <v>184.92670000000001</v>
      </c>
      <c r="AJ5213">
        <v>8.5946400000000001</v>
      </c>
      <c r="AK5213">
        <v>79.594639999999998</v>
      </c>
    </row>
    <row r="5214" spans="1:37" x14ac:dyDescent="0.3">
      <c r="A5214">
        <v>5213</v>
      </c>
      <c r="B5214">
        <v>0</v>
      </c>
      <c r="C5214">
        <v>0.91666700000000001</v>
      </c>
      <c r="D5214">
        <v>14.716699999999999</v>
      </c>
      <c r="E5214" t="s">
        <v>8383</v>
      </c>
      <c r="F5214" t="s">
        <v>8384</v>
      </c>
      <c r="G5214" t="s">
        <v>37</v>
      </c>
      <c r="H5214">
        <v>1987</v>
      </c>
      <c r="I5214">
        <v>29.280670000000001</v>
      </c>
      <c r="J5214">
        <v>14.4</v>
      </c>
      <c r="K5214">
        <v>59</v>
      </c>
      <c r="L5214">
        <v>27.579160000000002</v>
      </c>
      <c r="M5214">
        <v>40.4</v>
      </c>
      <c r="N5214">
        <v>16</v>
      </c>
      <c r="O5214">
        <v>24.4</v>
      </c>
      <c r="P5214">
        <v>29.5</v>
      </c>
      <c r="Q5214">
        <v>25.8</v>
      </c>
      <c r="R5214">
        <v>32.680669999999999</v>
      </c>
      <c r="S5214">
        <v>25.3</v>
      </c>
      <c r="T5214">
        <v>297.16969999999998</v>
      </c>
      <c r="U5214">
        <v>117.16970000000001</v>
      </c>
      <c r="V5214">
        <v>0</v>
      </c>
      <c r="W5214">
        <v>147</v>
      </c>
      <c r="X5214">
        <v>244.16970000000001</v>
      </c>
      <c r="Y5214">
        <v>0</v>
      </c>
      <c r="Z5214">
        <v>47</v>
      </c>
      <c r="AA5214">
        <v>0</v>
      </c>
      <c r="AB5214">
        <v>1.449579</v>
      </c>
      <c r="AC5214">
        <v>84934.27</v>
      </c>
      <c r="AD5214">
        <v>2.0720900000000002</v>
      </c>
      <c r="AE5214">
        <v>0.34188990000000002</v>
      </c>
      <c r="AF5214">
        <v>221.88910000000001</v>
      </c>
      <c r="AG5214">
        <f>IFERROR(AH5214*0.1, "N/A")</f>
        <v>6.2762300000000009</v>
      </c>
      <c r="AH5214">
        <v>62.762300000000003</v>
      </c>
      <c r="AI5214">
        <v>229.54150000000001</v>
      </c>
      <c r="AJ5214">
        <v>24.47541</v>
      </c>
      <c r="AK5214">
        <v>59.930329999999998</v>
      </c>
    </row>
    <row r="5215" spans="1:37" x14ac:dyDescent="0.3">
      <c r="A5215">
        <v>5214</v>
      </c>
      <c r="B5215">
        <v>11.7</v>
      </c>
      <c r="C5215">
        <v>5.08955</v>
      </c>
      <c r="D5215">
        <v>14.717700000000001</v>
      </c>
      <c r="E5215" t="s">
        <v>8385</v>
      </c>
      <c r="F5215" t="s">
        <v>8386</v>
      </c>
      <c r="G5215" t="s">
        <v>39</v>
      </c>
      <c r="H5215">
        <v>0</v>
      </c>
      <c r="I5215">
        <v>29.1</v>
      </c>
      <c r="J5215">
        <v>14.3</v>
      </c>
      <c r="K5215">
        <v>55</v>
      </c>
      <c r="L5215">
        <v>32.566070000000003</v>
      </c>
      <c r="M5215">
        <v>41</v>
      </c>
      <c r="N5215">
        <v>15.0052</v>
      </c>
      <c r="O5215">
        <v>25.994800000000001</v>
      </c>
      <c r="P5215">
        <v>29.205200000000001</v>
      </c>
      <c r="Q5215">
        <v>24.805199999999999</v>
      </c>
      <c r="R5215">
        <v>33.200000000000003</v>
      </c>
      <c r="S5215">
        <v>24.505199999999999</v>
      </c>
      <c r="T5215">
        <v>345</v>
      </c>
      <c r="U5215">
        <v>124</v>
      </c>
      <c r="V5215">
        <v>0</v>
      </c>
      <c r="W5215">
        <v>141</v>
      </c>
      <c r="X5215">
        <v>273</v>
      </c>
      <c r="Y5215">
        <v>0</v>
      </c>
      <c r="Z5215">
        <v>66</v>
      </c>
      <c r="AA5215">
        <v>0</v>
      </c>
      <c r="AB5215">
        <v>7.6478010000000003</v>
      </c>
      <c r="AC5215">
        <v>1.092391E-2</v>
      </c>
      <c r="AD5215">
        <v>1.3166549999999999</v>
      </c>
      <c r="AE5215">
        <v>0.2485213</v>
      </c>
      <c r="AF5215">
        <v>341.51679999999999</v>
      </c>
      <c r="AG5215">
        <f>IFERROR(AH5215*0.1, "N/A")</f>
        <v>6.5466440000000006</v>
      </c>
      <c r="AH5215">
        <v>65.466440000000006</v>
      </c>
      <c r="AI5215">
        <v>156.96250000000001</v>
      </c>
      <c r="AJ5215">
        <v>14.157719999999999</v>
      </c>
      <c r="AK5215">
        <v>73.239930000000001</v>
      </c>
    </row>
    <row r="5216" spans="1:37" x14ac:dyDescent="0.3">
      <c r="A5216">
        <v>5215</v>
      </c>
      <c r="B5216">
        <v>0</v>
      </c>
      <c r="C5216">
        <v>0.29799999999999999</v>
      </c>
      <c r="D5216">
        <v>14.718</v>
      </c>
      <c r="E5216" t="s">
        <v>8387</v>
      </c>
      <c r="F5216" t="s">
        <v>8388</v>
      </c>
      <c r="G5216" t="s">
        <v>37</v>
      </c>
      <c r="H5216">
        <v>1987</v>
      </c>
      <c r="I5216">
        <v>29.1</v>
      </c>
      <c r="J5216">
        <v>14.8</v>
      </c>
      <c r="K5216">
        <v>57</v>
      </c>
      <c r="L5216">
        <v>30.77</v>
      </c>
      <c r="M5216">
        <v>40.6</v>
      </c>
      <c r="N5216">
        <v>15</v>
      </c>
      <c r="O5216">
        <v>25.6</v>
      </c>
      <c r="P5216">
        <v>29.6</v>
      </c>
      <c r="Q5216">
        <v>25.1</v>
      </c>
      <c r="R5216">
        <v>32.799999999999997</v>
      </c>
      <c r="S5216">
        <v>24.6</v>
      </c>
      <c r="T5216">
        <v>314</v>
      </c>
      <c r="U5216">
        <v>111</v>
      </c>
      <c r="V5216">
        <v>0</v>
      </c>
      <c r="W5216">
        <v>141</v>
      </c>
      <c r="X5216">
        <v>258</v>
      </c>
      <c r="Y5216">
        <v>0</v>
      </c>
      <c r="Z5216">
        <v>49</v>
      </c>
      <c r="AA5216">
        <v>0</v>
      </c>
      <c r="AB5216">
        <v>18.860779999999998</v>
      </c>
      <c r="AC5216">
        <v>2.6254510000000002E-2</v>
      </c>
      <c r="AD5216">
        <v>1.2774430000000001</v>
      </c>
      <c r="AE5216">
        <v>0.40250190000000002</v>
      </c>
      <c r="AF5216">
        <v>259.42399999999998</v>
      </c>
      <c r="AG5216">
        <f>IFERROR(AH5216*0.1, "N/A")</f>
        <v>6.5682800000000006</v>
      </c>
      <c r="AH5216">
        <v>65.6828</v>
      </c>
      <c r="AI5216">
        <v>121.68519999999999</v>
      </c>
      <c r="AJ5216">
        <v>6.3238729999999999</v>
      </c>
      <c r="AK5216">
        <v>83.676130000000001</v>
      </c>
    </row>
    <row r="5217" spans="1:37" x14ac:dyDescent="0.3">
      <c r="A5217">
        <v>5216</v>
      </c>
      <c r="B5217">
        <v>92</v>
      </c>
      <c r="C5217">
        <v>0.90923299999999996</v>
      </c>
      <c r="D5217">
        <v>14.722899999999999</v>
      </c>
      <c r="E5217" t="s">
        <v>8389</v>
      </c>
      <c r="F5217" t="s">
        <v>8390</v>
      </c>
      <c r="G5217" t="s">
        <v>39</v>
      </c>
      <c r="H5217">
        <v>0</v>
      </c>
      <c r="I5217">
        <v>29.3</v>
      </c>
      <c r="J5217">
        <v>14.4</v>
      </c>
      <c r="K5217">
        <v>59</v>
      </c>
      <c r="L5217">
        <v>27.54</v>
      </c>
      <c r="M5217">
        <v>40.4</v>
      </c>
      <c r="N5217">
        <v>16</v>
      </c>
      <c r="O5217">
        <v>24.4</v>
      </c>
      <c r="P5217">
        <v>29.5</v>
      </c>
      <c r="Q5217">
        <v>25.8</v>
      </c>
      <c r="R5217">
        <v>32.700000000000003</v>
      </c>
      <c r="S5217">
        <v>25.3</v>
      </c>
      <c r="T5217">
        <v>297</v>
      </c>
      <c r="U5217">
        <v>117</v>
      </c>
      <c r="V5217">
        <v>0</v>
      </c>
      <c r="W5217">
        <v>147</v>
      </c>
      <c r="X5217">
        <v>244</v>
      </c>
      <c r="Y5217">
        <v>0</v>
      </c>
      <c r="Z5217">
        <v>47</v>
      </c>
      <c r="AA5217">
        <v>0</v>
      </c>
      <c r="AB5217">
        <v>3.6832180000000001</v>
      </c>
      <c r="AC5217">
        <v>0.66979420000000001</v>
      </c>
      <c r="AD5217">
        <v>0.7710361</v>
      </c>
      <c r="AE5217">
        <v>0.32790249999999999</v>
      </c>
      <c r="AF5217">
        <v>223.9547</v>
      </c>
      <c r="AG5217">
        <f>IFERROR(AH5217*0.1, "N/A")</f>
        <v>6.7</v>
      </c>
      <c r="AH5217">
        <v>67</v>
      </c>
      <c r="AI5217">
        <v>101.6515</v>
      </c>
      <c r="AJ5217">
        <v>30</v>
      </c>
      <c r="AK5217">
        <v>50</v>
      </c>
    </row>
    <row r="5218" spans="1:37" x14ac:dyDescent="0.3">
      <c r="A5218">
        <v>5217</v>
      </c>
      <c r="B5218">
        <v>12.5</v>
      </c>
      <c r="C5218">
        <v>0.67500000000000004</v>
      </c>
      <c r="D5218">
        <v>14.7293</v>
      </c>
      <c r="E5218" t="s">
        <v>8391</v>
      </c>
      <c r="F5218" t="s">
        <v>8392</v>
      </c>
      <c r="G5218" t="s">
        <v>39</v>
      </c>
      <c r="H5218">
        <v>0</v>
      </c>
      <c r="I5218">
        <v>29.1</v>
      </c>
      <c r="J5218">
        <v>14.6</v>
      </c>
      <c r="K5218">
        <v>59</v>
      </c>
      <c r="L5218">
        <v>28.181560000000001</v>
      </c>
      <c r="M5218">
        <v>40.299999999999997</v>
      </c>
      <c r="N5218">
        <v>15.6</v>
      </c>
      <c r="O5218">
        <v>24.7</v>
      </c>
      <c r="P5218">
        <v>29.4</v>
      </c>
      <c r="Q5218">
        <v>26.580739999999999</v>
      </c>
      <c r="R5218">
        <v>32.6</v>
      </c>
      <c r="S5218">
        <v>25</v>
      </c>
      <c r="T5218">
        <v>319</v>
      </c>
      <c r="U5218">
        <v>122</v>
      </c>
      <c r="V5218">
        <v>0</v>
      </c>
      <c r="W5218">
        <v>148</v>
      </c>
      <c r="X5218">
        <v>266</v>
      </c>
      <c r="Y5218">
        <v>0</v>
      </c>
      <c r="Z5218">
        <v>48</v>
      </c>
      <c r="AA5218">
        <v>0</v>
      </c>
      <c r="AB5218">
        <v>0.97386799999999996</v>
      </c>
      <c r="AC5218">
        <v>0.35061389999999998</v>
      </c>
      <c r="AD5218">
        <v>3.3514699999999999</v>
      </c>
      <c r="AE5218">
        <v>0.32078800000000002</v>
      </c>
      <c r="AF5218">
        <v>236.8827</v>
      </c>
      <c r="AG5218">
        <f>IFERROR(AH5218*0.1, "N/A")</f>
        <v>6.4185930000000004</v>
      </c>
      <c r="AH5218">
        <v>64.185929999999999</v>
      </c>
      <c r="AI5218">
        <v>185.80850000000001</v>
      </c>
      <c r="AJ5218">
        <v>6.6499160000000002</v>
      </c>
      <c r="AK5218">
        <v>83.728639999999999</v>
      </c>
    </row>
    <row r="5219" spans="1:37" x14ac:dyDescent="0.3">
      <c r="A5219">
        <v>5218</v>
      </c>
      <c r="B5219">
        <v>80</v>
      </c>
      <c r="C5219">
        <v>0.91133299999999995</v>
      </c>
      <c r="D5219">
        <v>14.730399999999999</v>
      </c>
      <c r="E5219" t="s">
        <v>8393</v>
      </c>
      <c r="F5219" t="s">
        <v>8394</v>
      </c>
      <c r="G5219" t="s">
        <v>39</v>
      </c>
      <c r="H5219">
        <v>0</v>
      </c>
      <c r="I5219">
        <v>29.3</v>
      </c>
      <c r="J5219">
        <v>14.4</v>
      </c>
      <c r="K5219">
        <v>59</v>
      </c>
      <c r="L5219">
        <v>27.66</v>
      </c>
      <c r="M5219">
        <v>40.4</v>
      </c>
      <c r="N5219">
        <v>16</v>
      </c>
      <c r="O5219">
        <v>24.4</v>
      </c>
      <c r="P5219">
        <v>29.5</v>
      </c>
      <c r="Q5219">
        <v>25.8</v>
      </c>
      <c r="R5219">
        <v>32.700000000000003</v>
      </c>
      <c r="S5219">
        <v>25.3</v>
      </c>
      <c r="T5219">
        <v>297</v>
      </c>
      <c r="U5219">
        <v>117</v>
      </c>
      <c r="V5219">
        <v>0</v>
      </c>
      <c r="W5219">
        <v>147</v>
      </c>
      <c r="X5219">
        <v>244</v>
      </c>
      <c r="Y5219">
        <v>0</v>
      </c>
      <c r="Z5219">
        <v>47</v>
      </c>
      <c r="AA5219">
        <v>0</v>
      </c>
      <c r="AB5219">
        <v>2.363521</v>
      </c>
      <c r="AC5219">
        <v>1.237364E-2</v>
      </c>
      <c r="AD5219">
        <v>0.92924189999999995</v>
      </c>
      <c r="AE5219">
        <v>0.40386230000000001</v>
      </c>
      <c r="AF5219">
        <v>223.28909999999999</v>
      </c>
      <c r="AG5219">
        <f>IFERROR(AH5219*0.1, "N/A")</f>
        <v>6.0840339999999999</v>
      </c>
      <c r="AH5219">
        <v>60.840339999999998</v>
      </c>
      <c r="AI5219">
        <v>124.7717</v>
      </c>
      <c r="AJ5219">
        <v>34.42353</v>
      </c>
      <c r="AK5219">
        <v>51.208399999999997</v>
      </c>
    </row>
    <row r="5220" spans="1:37" x14ac:dyDescent="0.3">
      <c r="A5220">
        <v>5219</v>
      </c>
      <c r="B5220">
        <v>0</v>
      </c>
      <c r="C5220">
        <v>0.68200000000000005</v>
      </c>
      <c r="D5220">
        <v>14.731999999999999</v>
      </c>
      <c r="E5220" t="s">
        <v>8395</v>
      </c>
      <c r="F5220" t="s">
        <v>8396</v>
      </c>
      <c r="G5220" t="s">
        <v>37</v>
      </c>
      <c r="H5220">
        <v>1987</v>
      </c>
      <c r="I5220">
        <v>29.1</v>
      </c>
      <c r="J5220">
        <v>14.6</v>
      </c>
      <c r="K5220">
        <v>59</v>
      </c>
      <c r="L5220">
        <v>28.17</v>
      </c>
      <c r="M5220">
        <v>40.299999999999997</v>
      </c>
      <c r="N5220">
        <v>15.6</v>
      </c>
      <c r="O5220">
        <v>24.7</v>
      </c>
      <c r="P5220">
        <v>29.4</v>
      </c>
      <c r="Q5220">
        <v>26.6</v>
      </c>
      <c r="R5220">
        <v>32.6</v>
      </c>
      <c r="S5220">
        <v>25</v>
      </c>
      <c r="T5220">
        <v>319</v>
      </c>
      <c r="U5220">
        <v>122</v>
      </c>
      <c r="V5220">
        <v>0</v>
      </c>
      <c r="W5220">
        <v>148</v>
      </c>
      <c r="X5220">
        <v>266</v>
      </c>
      <c r="Y5220">
        <v>0</v>
      </c>
      <c r="Z5220">
        <v>48</v>
      </c>
      <c r="AA5220">
        <v>0</v>
      </c>
      <c r="AB5220">
        <v>9.2633100000000006</v>
      </c>
      <c r="AC5220">
        <v>8.5632069999999998E-3</v>
      </c>
      <c r="AD5220">
        <v>1.943233</v>
      </c>
      <c r="AE5220">
        <v>0.30964360000000002</v>
      </c>
      <c r="AF5220">
        <v>244.06200000000001</v>
      </c>
      <c r="AG5220">
        <f>IFERROR(AH5220*0.1, "N/A")</f>
        <v>6.8000000000000007</v>
      </c>
      <c r="AH5220">
        <v>68</v>
      </c>
      <c r="AI5220">
        <v>236.98</v>
      </c>
      <c r="AJ5220">
        <v>9.3467339999999997</v>
      </c>
      <c r="AK5220">
        <v>78.653270000000006</v>
      </c>
    </row>
    <row r="5221" spans="1:37" x14ac:dyDescent="0.3">
      <c r="A5221">
        <v>5220</v>
      </c>
      <c r="B5221">
        <v>0</v>
      </c>
      <c r="C5221">
        <v>0.92400000000000004</v>
      </c>
      <c r="D5221">
        <v>14.738</v>
      </c>
      <c r="E5221" t="s">
        <v>8397</v>
      </c>
      <c r="F5221" t="s">
        <v>8398</v>
      </c>
      <c r="G5221" t="s">
        <v>37</v>
      </c>
      <c r="H5221">
        <v>1987</v>
      </c>
      <c r="I5221">
        <v>29.3</v>
      </c>
      <c r="J5221">
        <v>14.4</v>
      </c>
      <c r="K5221">
        <v>59</v>
      </c>
      <c r="L5221">
        <v>27.3</v>
      </c>
      <c r="M5221">
        <v>40.4</v>
      </c>
      <c r="N5221">
        <v>16</v>
      </c>
      <c r="O5221">
        <v>24.4</v>
      </c>
      <c r="P5221">
        <v>29.5</v>
      </c>
      <c r="Q5221">
        <v>25.8</v>
      </c>
      <c r="R5221">
        <v>32.6</v>
      </c>
      <c r="S5221">
        <v>25.3</v>
      </c>
      <c r="T5221">
        <v>296</v>
      </c>
      <c r="U5221">
        <v>117</v>
      </c>
      <c r="V5221">
        <v>0</v>
      </c>
      <c r="W5221">
        <v>147</v>
      </c>
      <c r="X5221">
        <v>244</v>
      </c>
      <c r="Y5221">
        <v>0</v>
      </c>
      <c r="Z5221">
        <v>46</v>
      </c>
      <c r="AA5221">
        <v>0</v>
      </c>
      <c r="AB5221">
        <v>5.3440560000000001</v>
      </c>
      <c r="AC5221">
        <v>3.1937840000000002E-2</v>
      </c>
      <c r="AD5221">
        <v>1.113213</v>
      </c>
      <c r="AE5221">
        <v>0.36091279999999998</v>
      </c>
      <c r="AF5221">
        <v>230.20439999999999</v>
      </c>
      <c r="AG5221">
        <f>IFERROR(AH5221*0.1, "N/A")</f>
        <v>6.5</v>
      </c>
      <c r="AH5221">
        <v>65</v>
      </c>
      <c r="AI5221">
        <v>140.2791</v>
      </c>
      <c r="AJ5221">
        <v>15.809049999999999</v>
      </c>
      <c r="AK5221">
        <v>70.25461</v>
      </c>
    </row>
    <row r="5222" spans="1:37" x14ac:dyDescent="0.3">
      <c r="A5222">
        <v>5221</v>
      </c>
      <c r="B5222">
        <v>28.6</v>
      </c>
      <c r="C5222">
        <v>0.37385000000000002</v>
      </c>
      <c r="D5222">
        <v>14.74</v>
      </c>
      <c r="E5222" t="s">
        <v>8399</v>
      </c>
      <c r="F5222" t="s">
        <v>8400</v>
      </c>
      <c r="G5222" t="s">
        <v>39</v>
      </c>
      <c r="H5222">
        <v>0</v>
      </c>
      <c r="I5222">
        <v>29.099</v>
      </c>
      <c r="J5222">
        <v>14.798999999999999</v>
      </c>
      <c r="K5222">
        <v>57.989980000000003</v>
      </c>
      <c r="L5222">
        <v>30.159700000000001</v>
      </c>
      <c r="M5222">
        <v>40.499000000000002</v>
      </c>
      <c r="N5222">
        <v>15.099</v>
      </c>
      <c r="O5222">
        <v>25.4</v>
      </c>
      <c r="P5222">
        <v>29.599</v>
      </c>
      <c r="Q5222">
        <v>25.199000000000002</v>
      </c>
      <c r="R5222">
        <v>32.698999999999998</v>
      </c>
      <c r="S5222">
        <v>24.6</v>
      </c>
      <c r="T5222">
        <v>316.02</v>
      </c>
      <c r="U5222">
        <v>113.01</v>
      </c>
      <c r="V5222">
        <v>0</v>
      </c>
      <c r="W5222">
        <v>142.01</v>
      </c>
      <c r="X5222">
        <v>260.02</v>
      </c>
      <c r="Y5222">
        <v>0</v>
      </c>
      <c r="Z5222">
        <v>49</v>
      </c>
      <c r="AA5222">
        <v>0</v>
      </c>
      <c r="AB5222">
        <v>6.3993440000000001</v>
      </c>
      <c r="AC5222">
        <v>9.6170249999999999E-2</v>
      </c>
      <c r="AD5222">
        <v>1.0125420000000001</v>
      </c>
      <c r="AE5222">
        <v>0.26042480000000001</v>
      </c>
      <c r="AF5222">
        <v>257.34559999999999</v>
      </c>
      <c r="AG5222">
        <f>IFERROR(AH5222*0.1, "N/A")</f>
        <v>6.31419</v>
      </c>
      <c r="AH5222">
        <v>63.1419</v>
      </c>
      <c r="AI5222">
        <v>174.1138</v>
      </c>
      <c r="AJ5222">
        <v>10.18197</v>
      </c>
      <c r="AK5222">
        <v>73.201999999999998</v>
      </c>
    </row>
    <row r="5223" spans="1:37" x14ac:dyDescent="0.3">
      <c r="A5223">
        <v>5222</v>
      </c>
      <c r="B5223">
        <v>0</v>
      </c>
      <c r="C5223">
        <v>0.36499999999999999</v>
      </c>
      <c r="D5223">
        <v>14.742000000000001</v>
      </c>
      <c r="E5223" t="s">
        <v>8401</v>
      </c>
      <c r="F5223" t="s">
        <v>8402</v>
      </c>
      <c r="G5223" t="s">
        <v>37</v>
      </c>
      <c r="H5223">
        <v>1987</v>
      </c>
      <c r="I5223">
        <v>29.1</v>
      </c>
      <c r="J5223">
        <v>14.7</v>
      </c>
      <c r="K5223">
        <v>57</v>
      </c>
      <c r="L5223">
        <v>30.271409999999999</v>
      </c>
      <c r="M5223">
        <v>40.503520000000002</v>
      </c>
      <c r="N5223">
        <v>15.10352</v>
      </c>
      <c r="O5223">
        <v>25.4</v>
      </c>
      <c r="P5223">
        <v>29.6</v>
      </c>
      <c r="Q5223">
        <v>25.2</v>
      </c>
      <c r="R5223">
        <v>32.703519999999997</v>
      </c>
      <c r="S5223">
        <v>24.60352</v>
      </c>
      <c r="T5223">
        <v>316</v>
      </c>
      <c r="U5223">
        <v>113</v>
      </c>
      <c r="V5223">
        <v>0</v>
      </c>
      <c r="W5223">
        <v>142</v>
      </c>
      <c r="X5223">
        <v>260</v>
      </c>
      <c r="Y5223">
        <v>0</v>
      </c>
      <c r="Z5223">
        <v>49</v>
      </c>
      <c r="AA5223">
        <v>0</v>
      </c>
      <c r="AB5223">
        <v>6.984928</v>
      </c>
      <c r="AC5223">
        <v>8.271848E-3</v>
      </c>
      <c r="AD5223">
        <v>2.160015</v>
      </c>
      <c r="AE5223">
        <v>0.36384860000000002</v>
      </c>
      <c r="AF5223">
        <v>253.13069999999999</v>
      </c>
      <c r="AG5223">
        <f>IFERROR(AH5223*0.1, "N/A")</f>
        <v>6.5494140000000005</v>
      </c>
      <c r="AH5223">
        <v>65.494140000000002</v>
      </c>
      <c r="AI5223">
        <v>142.89320000000001</v>
      </c>
      <c r="AJ5223">
        <v>11.01173</v>
      </c>
      <c r="AK5223">
        <v>75.252930000000006</v>
      </c>
    </row>
    <row r="5224" spans="1:37" x14ac:dyDescent="0.3">
      <c r="A5224">
        <v>5223</v>
      </c>
      <c r="B5224">
        <v>0</v>
      </c>
      <c r="C5224">
        <v>0.88400000000000001</v>
      </c>
      <c r="D5224">
        <v>14.75</v>
      </c>
      <c r="E5224" t="s">
        <v>8403</v>
      </c>
      <c r="F5224" t="s">
        <v>8404</v>
      </c>
      <c r="G5224" t="s">
        <v>37</v>
      </c>
      <c r="H5224">
        <v>1987</v>
      </c>
      <c r="I5224">
        <v>29.224920000000001</v>
      </c>
      <c r="J5224">
        <v>14.5</v>
      </c>
      <c r="K5224">
        <v>59</v>
      </c>
      <c r="L5224">
        <v>27.419969999999999</v>
      </c>
      <c r="M5224">
        <v>40.4</v>
      </c>
      <c r="N5224">
        <v>16</v>
      </c>
      <c r="O5224">
        <v>24.4</v>
      </c>
      <c r="P5224">
        <v>29.5</v>
      </c>
      <c r="Q5224">
        <v>26.049160000000001</v>
      </c>
      <c r="R5224">
        <v>32.6</v>
      </c>
      <c r="S5224">
        <v>25.3</v>
      </c>
      <c r="T5224">
        <v>298.50170000000003</v>
      </c>
      <c r="U5224">
        <v>117.7508</v>
      </c>
      <c r="V5224">
        <v>0</v>
      </c>
      <c r="W5224">
        <v>148.7508</v>
      </c>
      <c r="X5224">
        <v>246.7508</v>
      </c>
      <c r="Y5224">
        <v>0</v>
      </c>
      <c r="Z5224">
        <v>46</v>
      </c>
      <c r="AA5224">
        <v>0</v>
      </c>
      <c r="AB5224">
        <v>2.4426399999999999</v>
      </c>
      <c r="AC5224">
        <v>3.8121160000000001E-2</v>
      </c>
      <c r="AD5224">
        <v>1.0528390000000001</v>
      </c>
      <c r="AE5224">
        <v>0.25085540000000001</v>
      </c>
      <c r="AF5224">
        <v>224.29769999999999</v>
      </c>
      <c r="AG5224">
        <f>IFERROR(AH5224*0.1, "N/A")</f>
        <v>6.8000000000000007</v>
      </c>
      <c r="AH5224">
        <v>68</v>
      </c>
      <c r="AI5224">
        <v>182.5017</v>
      </c>
      <c r="AJ5224">
        <v>20.799330000000001</v>
      </c>
      <c r="AK5224">
        <v>67.200670000000002</v>
      </c>
    </row>
    <row r="5225" spans="1:37" x14ac:dyDescent="0.3">
      <c r="A5225">
        <v>5224</v>
      </c>
      <c r="B5225">
        <v>0</v>
      </c>
      <c r="C5225">
        <v>0.61199999999999999</v>
      </c>
      <c r="D5225">
        <v>14.750999999999999</v>
      </c>
      <c r="E5225" t="s">
        <v>8405</v>
      </c>
      <c r="F5225" t="s">
        <v>8406</v>
      </c>
      <c r="G5225" t="s">
        <v>37</v>
      </c>
      <c r="H5225">
        <v>1987</v>
      </c>
      <c r="I5225">
        <v>29.2</v>
      </c>
      <c r="J5225">
        <v>14.6</v>
      </c>
      <c r="K5225">
        <v>58</v>
      </c>
      <c r="L5225">
        <v>28.457899999999999</v>
      </c>
      <c r="M5225">
        <v>40.4</v>
      </c>
      <c r="N5225">
        <v>15.6</v>
      </c>
      <c r="O5225">
        <v>24.8</v>
      </c>
      <c r="P5225">
        <v>29.5</v>
      </c>
      <c r="Q5225">
        <v>26.6</v>
      </c>
      <c r="R5225">
        <v>32.700000000000003</v>
      </c>
      <c r="S5225">
        <v>25.00301</v>
      </c>
      <c r="T5225">
        <v>318.0301</v>
      </c>
      <c r="U5225">
        <v>121</v>
      </c>
      <c r="V5225">
        <v>0</v>
      </c>
      <c r="W5225">
        <v>147.0301</v>
      </c>
      <c r="X5225">
        <v>265.0301</v>
      </c>
      <c r="Y5225">
        <v>0</v>
      </c>
      <c r="Z5225">
        <v>48</v>
      </c>
      <c r="AA5225">
        <v>0</v>
      </c>
      <c r="AB5225">
        <v>2.2973270000000001</v>
      </c>
      <c r="AC5225">
        <v>1.6874400000000001E-2</v>
      </c>
      <c r="AD5225">
        <v>2.130109</v>
      </c>
      <c r="AE5225">
        <v>0.32298519999999997</v>
      </c>
      <c r="AF5225">
        <v>230.27209999999999</v>
      </c>
      <c r="AG5225">
        <f>IFERROR(AH5225*0.1, "N/A")</f>
        <v>6.2397330000000002</v>
      </c>
      <c r="AH5225">
        <v>62.397329999999997</v>
      </c>
      <c r="AI5225">
        <v>142.6728</v>
      </c>
      <c r="AJ5225">
        <v>14.96327</v>
      </c>
      <c r="AK5225">
        <v>71.926540000000003</v>
      </c>
    </row>
    <row r="5226" spans="1:37" x14ac:dyDescent="0.3">
      <c r="A5226">
        <v>5225</v>
      </c>
      <c r="B5226">
        <v>10.199999999999999</v>
      </c>
      <c r="C5226">
        <v>0.64651700000000001</v>
      </c>
      <c r="D5226">
        <v>14.7525</v>
      </c>
      <c r="E5226" t="s">
        <v>8407</v>
      </c>
      <c r="F5226" t="s">
        <v>8408</v>
      </c>
      <c r="G5226" t="s">
        <v>39</v>
      </c>
      <c r="H5226">
        <v>0</v>
      </c>
      <c r="I5226">
        <v>29.2</v>
      </c>
      <c r="J5226">
        <v>14.6</v>
      </c>
      <c r="K5226">
        <v>58</v>
      </c>
      <c r="L5226">
        <v>28.42</v>
      </c>
      <c r="M5226">
        <v>40.4</v>
      </c>
      <c r="N5226">
        <v>15.6</v>
      </c>
      <c r="O5226">
        <v>24.8</v>
      </c>
      <c r="P5226">
        <v>29.4</v>
      </c>
      <c r="Q5226">
        <v>26.6</v>
      </c>
      <c r="R5226">
        <v>32.700000000000003</v>
      </c>
      <c r="S5226">
        <v>25</v>
      </c>
      <c r="T5226">
        <v>318</v>
      </c>
      <c r="U5226">
        <v>121</v>
      </c>
      <c r="V5226">
        <v>0</v>
      </c>
      <c r="W5226">
        <v>147</v>
      </c>
      <c r="X5226">
        <v>265</v>
      </c>
      <c r="Y5226">
        <v>0</v>
      </c>
      <c r="Z5226">
        <v>48</v>
      </c>
      <c r="AA5226">
        <v>0</v>
      </c>
      <c r="AB5226">
        <v>2.0546850000000001</v>
      </c>
      <c r="AC5226">
        <v>6419.9629999999997</v>
      </c>
      <c r="AD5226">
        <v>1.340724</v>
      </c>
      <c r="AE5226">
        <v>0.29031940000000001</v>
      </c>
      <c r="AF5226">
        <v>229.47659999999999</v>
      </c>
      <c r="AG5226">
        <f>IFERROR(AH5226*0.1, "N/A")</f>
        <v>6.1483280000000002</v>
      </c>
      <c r="AH5226">
        <v>61.483280000000001</v>
      </c>
      <c r="AI5226">
        <v>51.932929999999999</v>
      </c>
      <c r="AJ5226">
        <v>12.501670000000001</v>
      </c>
      <c r="AK5226">
        <v>74.050169999999994</v>
      </c>
    </row>
    <row r="5227" spans="1:37" x14ac:dyDescent="0.3">
      <c r="A5227">
        <v>5226</v>
      </c>
      <c r="B5227">
        <v>6.7</v>
      </c>
      <c r="C5227">
        <v>5.77475</v>
      </c>
      <c r="D5227">
        <v>14.755800000000001</v>
      </c>
      <c r="E5227" t="s">
        <v>8409</v>
      </c>
      <c r="F5227" t="s">
        <v>8410</v>
      </c>
      <c r="G5227" t="s">
        <v>39</v>
      </c>
      <c r="H5227">
        <v>0</v>
      </c>
      <c r="I5227">
        <v>28.6</v>
      </c>
      <c r="J5227">
        <v>14.5</v>
      </c>
      <c r="K5227">
        <v>56</v>
      </c>
      <c r="L5227">
        <v>31.777650000000001</v>
      </c>
      <c r="M5227">
        <v>40.58907</v>
      </c>
      <c r="N5227">
        <v>14.8</v>
      </c>
      <c r="O5227">
        <v>25.789079999999998</v>
      </c>
      <c r="P5227">
        <v>28.689080000000001</v>
      </c>
      <c r="Q5227">
        <v>26.189080000000001</v>
      </c>
      <c r="R5227">
        <v>32.689079999999997</v>
      </c>
      <c r="S5227">
        <v>24.189080000000001</v>
      </c>
      <c r="T5227">
        <v>397</v>
      </c>
      <c r="U5227">
        <v>143</v>
      </c>
      <c r="V5227">
        <v>0</v>
      </c>
      <c r="W5227">
        <v>143</v>
      </c>
      <c r="X5227">
        <v>325</v>
      </c>
      <c r="Y5227">
        <v>0</v>
      </c>
      <c r="Z5227">
        <v>66</v>
      </c>
      <c r="AA5227">
        <v>0</v>
      </c>
      <c r="AB5227">
        <v>18.907720000000001</v>
      </c>
      <c r="AC5227">
        <v>8.2713430000000004E-3</v>
      </c>
      <c r="AD5227">
        <v>1.992882</v>
      </c>
      <c r="AE5227">
        <v>0.56346419999999997</v>
      </c>
      <c r="AF5227">
        <v>392.81009999999998</v>
      </c>
      <c r="AG5227">
        <f>IFERROR(AH5227*0.1, "N/A")</f>
        <v>7.3052099999999998</v>
      </c>
      <c r="AH5227">
        <v>73.052099999999996</v>
      </c>
      <c r="AI5227">
        <v>235.1217</v>
      </c>
      <c r="AJ5227">
        <v>22.011759999999999</v>
      </c>
      <c r="AK5227">
        <v>61.988239999999998</v>
      </c>
    </row>
    <row r="5228" spans="1:37" x14ac:dyDescent="0.3">
      <c r="A5228">
        <v>5227</v>
      </c>
      <c r="B5228">
        <v>34</v>
      </c>
      <c r="C5228">
        <v>0.54503299999999999</v>
      </c>
      <c r="D5228">
        <v>14.771100000000001</v>
      </c>
      <c r="E5228" t="s">
        <v>8411</v>
      </c>
      <c r="F5228" t="s">
        <v>8412</v>
      </c>
      <c r="G5228" t="s">
        <v>39</v>
      </c>
      <c r="H5228">
        <v>0</v>
      </c>
      <c r="I5228">
        <v>29.2</v>
      </c>
      <c r="J5228">
        <v>14.6</v>
      </c>
      <c r="K5228">
        <v>58</v>
      </c>
      <c r="L5228">
        <v>28.4</v>
      </c>
      <c r="M5228">
        <v>40.4</v>
      </c>
      <c r="N5228">
        <v>15.5</v>
      </c>
      <c r="O5228">
        <v>24.9</v>
      </c>
      <c r="P5228">
        <v>29.5</v>
      </c>
      <c r="Q5228">
        <v>26.6</v>
      </c>
      <c r="R5228">
        <v>32.700000000000003</v>
      </c>
      <c r="S5228">
        <v>25.1</v>
      </c>
      <c r="T5228">
        <v>318</v>
      </c>
      <c r="U5228">
        <v>118</v>
      </c>
      <c r="V5228">
        <v>0</v>
      </c>
      <c r="W5228">
        <v>146</v>
      </c>
      <c r="X5228">
        <v>264</v>
      </c>
      <c r="Y5228">
        <v>0</v>
      </c>
      <c r="Z5228">
        <v>48</v>
      </c>
      <c r="AA5228">
        <v>0</v>
      </c>
      <c r="AB5228">
        <v>1.759066</v>
      </c>
      <c r="AC5228">
        <v>9792.1880000000001</v>
      </c>
      <c r="AD5228">
        <v>1.3534310000000001</v>
      </c>
      <c r="AE5228">
        <v>0.25211030000000001</v>
      </c>
      <c r="AF5228">
        <v>232.9434</v>
      </c>
      <c r="AG5228">
        <f>IFERROR(AH5228*0.1, "N/A")</f>
        <v>6.2986690000000003</v>
      </c>
      <c r="AH5228">
        <v>62.986690000000003</v>
      </c>
      <c r="AI5228">
        <v>156.90129999999999</v>
      </c>
      <c r="AJ5228">
        <v>16.013310000000001</v>
      </c>
      <c r="AK5228">
        <v>69.960070000000002</v>
      </c>
    </row>
    <row r="5229" spans="1:37" x14ac:dyDescent="0.3">
      <c r="A5229">
        <v>5228</v>
      </c>
      <c r="B5229">
        <v>3.3</v>
      </c>
      <c r="C5229">
        <v>5.5922000000000001</v>
      </c>
      <c r="D5229">
        <v>14.7721</v>
      </c>
      <c r="E5229" t="s">
        <v>8413</v>
      </c>
      <c r="F5229" t="s">
        <v>8414</v>
      </c>
      <c r="G5229" t="s">
        <v>39</v>
      </c>
      <c r="H5229">
        <v>0</v>
      </c>
      <c r="I5229">
        <v>28.9</v>
      </c>
      <c r="J5229">
        <v>14.4</v>
      </c>
      <c r="K5229">
        <v>55</v>
      </c>
      <c r="L5229">
        <v>32.243389999999998</v>
      </c>
      <c r="M5229">
        <v>40.799999999999997</v>
      </c>
      <c r="N5229">
        <v>14.9</v>
      </c>
      <c r="O5229">
        <v>25.9</v>
      </c>
      <c r="P5229">
        <v>29</v>
      </c>
      <c r="Q5229">
        <v>26.4</v>
      </c>
      <c r="R5229">
        <v>32.9</v>
      </c>
      <c r="S5229">
        <v>24.366610000000001</v>
      </c>
      <c r="T5229">
        <v>384.66609999999997</v>
      </c>
      <c r="U5229">
        <v>137</v>
      </c>
      <c r="V5229">
        <v>0</v>
      </c>
      <c r="W5229">
        <v>139.6661</v>
      </c>
      <c r="X5229">
        <v>309.66609999999997</v>
      </c>
      <c r="Y5229">
        <v>0</v>
      </c>
      <c r="Z5229">
        <v>68</v>
      </c>
      <c r="AA5229">
        <v>0</v>
      </c>
      <c r="AB5229">
        <v>0.97662389999999999</v>
      </c>
      <c r="AC5229">
        <v>5.6509809999999998</v>
      </c>
      <c r="AD5229">
        <v>0.83418510000000001</v>
      </c>
      <c r="AE5229">
        <v>0.45339180000000001</v>
      </c>
      <c r="AF5229">
        <v>352.36559999999997</v>
      </c>
      <c r="AG5229">
        <f>IFERROR(AH5229*0.1, "N/A")</f>
        <v>7.0570950000000003</v>
      </c>
      <c r="AH5229">
        <v>70.570949999999996</v>
      </c>
      <c r="AI5229">
        <v>307.53879999999998</v>
      </c>
      <c r="AJ5229">
        <v>26.07179</v>
      </c>
      <c r="AK5229">
        <v>53.594320000000003</v>
      </c>
    </row>
    <row r="5230" spans="1:37" x14ac:dyDescent="0.3">
      <c r="A5230">
        <v>5229</v>
      </c>
      <c r="B5230">
        <v>46</v>
      </c>
      <c r="C5230">
        <v>0.38505</v>
      </c>
      <c r="D5230">
        <v>14.7928</v>
      </c>
      <c r="E5230" t="s">
        <v>8415</v>
      </c>
      <c r="F5230" t="s">
        <v>8416</v>
      </c>
      <c r="G5230" t="s">
        <v>39</v>
      </c>
      <c r="H5230">
        <v>0</v>
      </c>
      <c r="I5230">
        <v>29.2</v>
      </c>
      <c r="J5230">
        <v>14.7</v>
      </c>
      <c r="K5230">
        <v>58</v>
      </c>
      <c r="L5230">
        <v>29.54</v>
      </c>
      <c r="M5230">
        <v>40.5</v>
      </c>
      <c r="N5230">
        <v>15.4</v>
      </c>
      <c r="O5230">
        <v>25.1</v>
      </c>
      <c r="P5230">
        <v>29.7</v>
      </c>
      <c r="Q5230">
        <v>26.5</v>
      </c>
      <c r="R5230">
        <v>32.799999999999997</v>
      </c>
      <c r="S5230">
        <v>24.9</v>
      </c>
      <c r="T5230">
        <v>312</v>
      </c>
      <c r="U5230">
        <v>113</v>
      </c>
      <c r="V5230">
        <v>0</v>
      </c>
      <c r="W5230">
        <v>142</v>
      </c>
      <c r="X5230">
        <v>258</v>
      </c>
      <c r="Y5230">
        <v>0</v>
      </c>
      <c r="Z5230">
        <v>48</v>
      </c>
      <c r="AA5230">
        <v>0</v>
      </c>
      <c r="AB5230">
        <v>3.855693</v>
      </c>
      <c r="AC5230">
        <v>1.456228E-2</v>
      </c>
      <c r="AD5230">
        <v>2.0581839999999998</v>
      </c>
      <c r="AE5230">
        <v>0.30812810000000002</v>
      </c>
      <c r="AF5230">
        <v>238.7124</v>
      </c>
      <c r="AG5230">
        <f>IFERROR(AH5230*0.1, "N/A")</f>
        <v>6.2750839999999997</v>
      </c>
      <c r="AH5230">
        <v>62.750839999999997</v>
      </c>
      <c r="AI5230">
        <v>145.16749999999999</v>
      </c>
      <c r="AJ5230">
        <v>16.531770000000002</v>
      </c>
      <c r="AK5230">
        <v>69.755849999999995</v>
      </c>
    </row>
    <row r="5231" spans="1:37" x14ac:dyDescent="0.3">
      <c r="A5231">
        <v>5230</v>
      </c>
      <c r="B5231">
        <v>1.7</v>
      </c>
      <c r="C5231">
        <v>5.9302999999999999</v>
      </c>
      <c r="D5231">
        <v>14.7966</v>
      </c>
      <c r="E5231" t="s">
        <v>8417</v>
      </c>
      <c r="F5231" t="s">
        <v>8418</v>
      </c>
      <c r="G5231" t="s">
        <v>39</v>
      </c>
      <c r="H5231">
        <v>0</v>
      </c>
      <c r="I5231">
        <v>28.3</v>
      </c>
      <c r="J5231">
        <v>14.6</v>
      </c>
      <c r="K5231">
        <v>56</v>
      </c>
      <c r="L5231">
        <v>32.25</v>
      </c>
      <c r="M5231">
        <v>40.299999999999997</v>
      </c>
      <c r="N5231">
        <v>14.4</v>
      </c>
      <c r="O5231">
        <v>25.9</v>
      </c>
      <c r="P5231">
        <v>28.3</v>
      </c>
      <c r="Q5231">
        <v>25.8</v>
      </c>
      <c r="R5231">
        <v>32.4</v>
      </c>
      <c r="S5231">
        <v>23.8</v>
      </c>
      <c r="T5231">
        <v>385</v>
      </c>
      <c r="U5231">
        <v>140</v>
      </c>
      <c r="V5231">
        <v>0</v>
      </c>
      <c r="W5231">
        <v>145</v>
      </c>
      <c r="X5231">
        <v>320</v>
      </c>
      <c r="Y5231">
        <v>0</v>
      </c>
      <c r="Z5231">
        <v>61</v>
      </c>
      <c r="AA5231">
        <v>0</v>
      </c>
      <c r="AB5231">
        <v>8.6913260000000001</v>
      </c>
      <c r="AC5231">
        <v>1.6194429999999999E-2</v>
      </c>
      <c r="AD5231">
        <v>1.8197449999999999</v>
      </c>
      <c r="AE5231">
        <v>0.3026044</v>
      </c>
      <c r="AF5231">
        <v>425.90320000000003</v>
      </c>
      <c r="AG5231">
        <f>IFERROR(AH5231*0.1, "N/A")</f>
        <v>7.3824709999999998</v>
      </c>
      <c r="AH5231">
        <v>73.824709999999996</v>
      </c>
      <c r="AI5231">
        <v>219.33779999999999</v>
      </c>
      <c r="AJ5231">
        <v>29.17529</v>
      </c>
      <c r="AK5231">
        <v>53.824710000000003</v>
      </c>
    </row>
    <row r="5232" spans="1:37" x14ac:dyDescent="0.3">
      <c r="A5232">
        <v>5231</v>
      </c>
      <c r="B5232">
        <v>0</v>
      </c>
      <c r="C5232">
        <v>0.88400000000000001</v>
      </c>
      <c r="D5232">
        <v>14.802</v>
      </c>
      <c r="E5232" t="s">
        <v>8419</v>
      </c>
      <c r="F5232" t="s">
        <v>8420</v>
      </c>
      <c r="G5232" t="s">
        <v>37</v>
      </c>
      <c r="H5232">
        <v>1987</v>
      </c>
      <c r="I5232">
        <v>29.2</v>
      </c>
      <c r="J5232">
        <v>14.5</v>
      </c>
      <c r="K5232">
        <v>59</v>
      </c>
      <c r="L5232">
        <v>27.18</v>
      </c>
      <c r="M5232">
        <v>40.299999999999997</v>
      </c>
      <c r="N5232">
        <v>16</v>
      </c>
      <c r="O5232">
        <v>24.3</v>
      </c>
      <c r="P5232">
        <v>29.5</v>
      </c>
      <c r="Q5232">
        <v>26.8</v>
      </c>
      <c r="R5232">
        <v>32.6</v>
      </c>
      <c r="S5232">
        <v>25.3</v>
      </c>
      <c r="T5232">
        <v>294</v>
      </c>
      <c r="U5232">
        <v>116</v>
      </c>
      <c r="V5232">
        <v>0</v>
      </c>
      <c r="W5232">
        <v>147</v>
      </c>
      <c r="X5232">
        <v>244</v>
      </c>
      <c r="Y5232">
        <v>0</v>
      </c>
      <c r="Z5232">
        <v>45</v>
      </c>
      <c r="AA5232">
        <v>0</v>
      </c>
      <c r="AB5232">
        <v>5.2424080000000002</v>
      </c>
      <c r="AC5232">
        <v>9.3740769999999998E-3</v>
      </c>
      <c r="AD5232">
        <v>1.133367</v>
      </c>
      <c r="AE5232">
        <v>0.17827870000000001</v>
      </c>
      <c r="AF5232">
        <v>230.25540000000001</v>
      </c>
      <c r="AG5232">
        <f>IFERROR(AH5232*0.1, "N/A")</f>
        <v>6.8000000000000007</v>
      </c>
      <c r="AH5232">
        <v>68</v>
      </c>
      <c r="AI5232">
        <v>186.1087</v>
      </c>
      <c r="AJ5232">
        <v>18.12688</v>
      </c>
      <c r="AK5232">
        <v>66.25376</v>
      </c>
    </row>
    <row r="5233" spans="1:37" x14ac:dyDescent="0.3">
      <c r="A5233">
        <v>5232</v>
      </c>
      <c r="B5233">
        <v>0</v>
      </c>
      <c r="C5233">
        <v>0.36499999999999999</v>
      </c>
      <c r="D5233">
        <v>14.802</v>
      </c>
      <c r="E5233" t="s">
        <v>8421</v>
      </c>
      <c r="F5233" t="s">
        <v>8422</v>
      </c>
      <c r="G5233" t="s">
        <v>37</v>
      </c>
      <c r="H5233">
        <v>1987</v>
      </c>
      <c r="I5233">
        <v>29.2</v>
      </c>
      <c r="J5233">
        <v>14.7</v>
      </c>
      <c r="K5233">
        <v>58</v>
      </c>
      <c r="L5233">
        <v>29.87</v>
      </c>
      <c r="M5233">
        <v>40.5</v>
      </c>
      <c r="N5233">
        <v>15.3</v>
      </c>
      <c r="O5233">
        <v>25.2</v>
      </c>
      <c r="P5233">
        <v>29.8</v>
      </c>
      <c r="Q5233">
        <v>25.3</v>
      </c>
      <c r="R5233">
        <v>32.799999999999997</v>
      </c>
      <c r="S5233">
        <v>24.8</v>
      </c>
      <c r="T5233">
        <v>313</v>
      </c>
      <c r="U5233">
        <v>113</v>
      </c>
      <c r="V5233">
        <v>0</v>
      </c>
      <c r="W5233">
        <v>141</v>
      </c>
      <c r="X5233">
        <v>258</v>
      </c>
      <c r="Y5233">
        <v>0</v>
      </c>
      <c r="Z5233">
        <v>48</v>
      </c>
      <c r="AA5233">
        <v>0</v>
      </c>
      <c r="AB5233">
        <v>1.0687329999999999</v>
      </c>
      <c r="AC5233">
        <v>1.077262E-2</v>
      </c>
      <c r="AD5233">
        <v>0.56457889999999999</v>
      </c>
      <c r="AE5233">
        <v>0.26001439999999998</v>
      </c>
      <c r="AF5233">
        <v>236.76249999999999</v>
      </c>
      <c r="AG5233">
        <f>IFERROR(AH5233*0.1, "N/A")</f>
        <v>5.7443140000000001</v>
      </c>
      <c r="AH5233">
        <v>57.44314</v>
      </c>
      <c r="AI5233">
        <v>220.80080000000001</v>
      </c>
      <c r="AJ5233">
        <v>32.784280000000003</v>
      </c>
      <c r="AK5233">
        <v>49.040129999999998</v>
      </c>
    </row>
    <row r="5234" spans="1:37" x14ac:dyDescent="0.3">
      <c r="A5234">
        <v>5233</v>
      </c>
      <c r="B5234">
        <v>5</v>
      </c>
      <c r="C5234">
        <v>5.4471999999999996</v>
      </c>
      <c r="D5234">
        <v>14.8032</v>
      </c>
      <c r="E5234" t="s">
        <v>8423</v>
      </c>
      <c r="F5234" t="s">
        <v>8424</v>
      </c>
      <c r="G5234" t="s">
        <v>39</v>
      </c>
      <c r="H5234">
        <v>0</v>
      </c>
      <c r="I5234">
        <v>28.5</v>
      </c>
      <c r="J5234">
        <v>14.4</v>
      </c>
      <c r="K5234">
        <v>55</v>
      </c>
      <c r="L5234">
        <v>32.450000000000003</v>
      </c>
      <c r="M5234">
        <v>40.5</v>
      </c>
      <c r="N5234">
        <v>14.5</v>
      </c>
      <c r="O5234">
        <v>26</v>
      </c>
      <c r="P5234">
        <v>28.7</v>
      </c>
      <c r="Q5234">
        <v>25.9</v>
      </c>
      <c r="R5234">
        <v>32.6</v>
      </c>
      <c r="S5234">
        <v>23.9</v>
      </c>
      <c r="T5234">
        <v>378</v>
      </c>
      <c r="U5234">
        <v>135</v>
      </c>
      <c r="V5234">
        <v>0</v>
      </c>
      <c r="W5234">
        <v>140</v>
      </c>
      <c r="X5234">
        <v>302</v>
      </c>
      <c r="Y5234">
        <v>0</v>
      </c>
      <c r="Z5234">
        <v>69</v>
      </c>
      <c r="AA5234">
        <v>0</v>
      </c>
      <c r="AB5234">
        <v>6.2548570000000003</v>
      </c>
      <c r="AC5234">
        <v>0.1071146</v>
      </c>
      <c r="AD5234">
        <v>1.1895370000000001</v>
      </c>
      <c r="AE5234">
        <v>0.3195809</v>
      </c>
      <c r="AF5234">
        <v>438.28519999999997</v>
      </c>
      <c r="AG5234">
        <f>IFERROR(AH5234*0.1, "N/A")</f>
        <v>7.2</v>
      </c>
      <c r="AH5234">
        <v>72</v>
      </c>
      <c r="AI5234">
        <v>126.9751</v>
      </c>
      <c r="AJ5234">
        <v>16.598990000000001</v>
      </c>
      <c r="AK5234">
        <v>69.401009999999999</v>
      </c>
    </row>
    <row r="5235" spans="1:37" x14ac:dyDescent="0.3">
      <c r="A5235">
        <v>5234</v>
      </c>
      <c r="B5235">
        <v>70</v>
      </c>
      <c r="C5235">
        <v>0.876</v>
      </c>
      <c r="D5235">
        <v>14.8101</v>
      </c>
      <c r="E5235" t="s">
        <v>8425</v>
      </c>
      <c r="F5235" t="s">
        <v>8426</v>
      </c>
      <c r="G5235" t="s">
        <v>39</v>
      </c>
      <c r="H5235">
        <v>0</v>
      </c>
      <c r="I5235">
        <v>29.2</v>
      </c>
      <c r="J5235">
        <v>14.4</v>
      </c>
      <c r="K5235">
        <v>59</v>
      </c>
      <c r="L5235">
        <v>27.3</v>
      </c>
      <c r="M5235">
        <v>40.299999999999997</v>
      </c>
      <c r="N5235">
        <v>16</v>
      </c>
      <c r="O5235">
        <v>24.3</v>
      </c>
      <c r="P5235">
        <v>29.5</v>
      </c>
      <c r="Q5235">
        <v>26.8</v>
      </c>
      <c r="R5235">
        <v>32.6</v>
      </c>
      <c r="S5235">
        <v>25.3</v>
      </c>
      <c r="T5235">
        <v>295</v>
      </c>
      <c r="U5235">
        <v>116</v>
      </c>
      <c r="V5235">
        <v>0</v>
      </c>
      <c r="W5235">
        <v>147</v>
      </c>
      <c r="X5235">
        <v>245</v>
      </c>
      <c r="Y5235">
        <v>0</v>
      </c>
      <c r="Z5235">
        <v>45</v>
      </c>
      <c r="AA5235">
        <v>0</v>
      </c>
      <c r="AB5235">
        <v>2.9874079999999998</v>
      </c>
      <c r="AC5235">
        <v>0.25422899999999998</v>
      </c>
      <c r="AD5235">
        <v>2.2405590000000002</v>
      </c>
      <c r="AE5235">
        <v>0.25225170000000002</v>
      </c>
      <c r="AF5235">
        <v>226.77680000000001</v>
      </c>
      <c r="AG5235">
        <f>IFERROR(AH5235*0.1, "N/A")</f>
        <v>6.0030200000000002</v>
      </c>
      <c r="AH5235">
        <v>60.030200000000001</v>
      </c>
      <c r="AI5235">
        <v>208.6669</v>
      </c>
      <c r="AJ5235">
        <v>32.743290000000002</v>
      </c>
      <c r="AK5235">
        <v>49.899329999999999</v>
      </c>
    </row>
    <row r="5236" spans="1:37" x14ac:dyDescent="0.3">
      <c r="A5236">
        <v>5235</v>
      </c>
      <c r="B5236">
        <v>0</v>
      </c>
      <c r="C5236">
        <v>4.7765899999999997</v>
      </c>
      <c r="D5236">
        <v>14.8203</v>
      </c>
      <c r="E5236" t="s">
        <v>8427</v>
      </c>
      <c r="F5236" t="s">
        <v>8428</v>
      </c>
      <c r="G5236" t="s">
        <v>39</v>
      </c>
      <c r="H5236">
        <v>0</v>
      </c>
      <c r="I5236">
        <v>29.2</v>
      </c>
      <c r="J5236">
        <v>14.3</v>
      </c>
      <c r="K5236">
        <v>55</v>
      </c>
      <c r="L5236">
        <v>33.15</v>
      </c>
      <c r="M5236">
        <v>41</v>
      </c>
      <c r="N5236">
        <v>15</v>
      </c>
      <c r="O5236">
        <v>26</v>
      </c>
      <c r="P5236">
        <v>29.5</v>
      </c>
      <c r="Q5236">
        <v>26.5</v>
      </c>
      <c r="R5236">
        <v>33.299999999999997</v>
      </c>
      <c r="S5236">
        <v>24.5</v>
      </c>
      <c r="T5236">
        <v>320</v>
      </c>
      <c r="U5236">
        <v>111</v>
      </c>
      <c r="V5236">
        <v>0</v>
      </c>
      <c r="W5236">
        <v>140</v>
      </c>
      <c r="X5236">
        <v>255</v>
      </c>
      <c r="Y5236">
        <v>0</v>
      </c>
      <c r="Z5236">
        <v>61</v>
      </c>
      <c r="AA5236">
        <v>0</v>
      </c>
      <c r="AB5236">
        <v>4.874797</v>
      </c>
      <c r="AC5236">
        <v>1.254833E-2</v>
      </c>
      <c r="AD5236">
        <v>1.0649489999999999</v>
      </c>
      <c r="AE5236">
        <v>0.2311716</v>
      </c>
      <c r="AF5236">
        <v>326.35230000000001</v>
      </c>
      <c r="AG5236">
        <f>IFERROR(AH5236*0.1, "N/A")</f>
        <v>6.6819699999999997</v>
      </c>
      <c r="AH5236">
        <v>66.819699999999997</v>
      </c>
      <c r="AI5236">
        <v>116.59690000000001</v>
      </c>
      <c r="AJ5236">
        <v>10.24708</v>
      </c>
      <c r="AK5236">
        <v>82.325540000000004</v>
      </c>
    </row>
    <row r="5237" spans="1:37" x14ac:dyDescent="0.3">
      <c r="A5237">
        <v>5236</v>
      </c>
      <c r="B5237">
        <v>0</v>
      </c>
      <c r="C5237">
        <v>4.7765899999999997</v>
      </c>
      <c r="D5237">
        <v>14.8203</v>
      </c>
      <c r="E5237" t="s">
        <v>8427</v>
      </c>
      <c r="F5237" t="s">
        <v>8429</v>
      </c>
      <c r="G5237" t="s">
        <v>37</v>
      </c>
      <c r="H5237">
        <v>0</v>
      </c>
      <c r="I5237">
        <v>29.2</v>
      </c>
      <c r="J5237">
        <v>14.3</v>
      </c>
      <c r="K5237">
        <v>55</v>
      </c>
      <c r="L5237">
        <v>33.15</v>
      </c>
      <c r="M5237">
        <v>41</v>
      </c>
      <c r="N5237">
        <v>15</v>
      </c>
      <c r="O5237">
        <v>26</v>
      </c>
      <c r="P5237">
        <v>29.5</v>
      </c>
      <c r="Q5237">
        <v>26.5</v>
      </c>
      <c r="R5237">
        <v>33.299999999999997</v>
      </c>
      <c r="S5237">
        <v>24.5</v>
      </c>
      <c r="T5237">
        <v>320</v>
      </c>
      <c r="U5237">
        <v>111</v>
      </c>
      <c r="V5237">
        <v>0</v>
      </c>
      <c r="W5237">
        <v>140</v>
      </c>
      <c r="X5237">
        <v>255</v>
      </c>
      <c r="Y5237">
        <v>0</v>
      </c>
      <c r="Z5237">
        <v>61</v>
      </c>
      <c r="AA5237">
        <v>0</v>
      </c>
      <c r="AB5237">
        <v>4.874797</v>
      </c>
      <c r="AC5237">
        <v>1.254833E-2</v>
      </c>
      <c r="AD5237">
        <v>1.0649489999999999</v>
      </c>
      <c r="AE5237">
        <v>0.2311716</v>
      </c>
      <c r="AF5237">
        <v>326.35230000000001</v>
      </c>
      <c r="AG5237">
        <f>IFERROR(AH5237*0.1, "N/A")</f>
        <v>6.6819699999999997</v>
      </c>
      <c r="AH5237">
        <v>66.819699999999997</v>
      </c>
      <c r="AI5237">
        <v>116.59690000000001</v>
      </c>
      <c r="AJ5237">
        <v>10.24708</v>
      </c>
      <c r="AK5237">
        <v>82.325540000000004</v>
      </c>
    </row>
    <row r="5238" spans="1:37" x14ac:dyDescent="0.3">
      <c r="A5238">
        <v>5237</v>
      </c>
      <c r="B5238">
        <v>0</v>
      </c>
      <c r="C5238">
        <v>5.7441000000000004</v>
      </c>
      <c r="D5238">
        <v>14.8378</v>
      </c>
      <c r="E5238" t="s">
        <v>8430</v>
      </c>
      <c r="F5238" t="s">
        <v>8431</v>
      </c>
      <c r="G5238" t="s">
        <v>39</v>
      </c>
      <c r="H5238">
        <v>0</v>
      </c>
      <c r="I5238">
        <v>28.4</v>
      </c>
      <c r="J5238">
        <v>14.5</v>
      </c>
      <c r="K5238">
        <v>55</v>
      </c>
      <c r="L5238">
        <v>32.450000000000003</v>
      </c>
      <c r="M5238">
        <v>40.4</v>
      </c>
      <c r="N5238">
        <v>14.4</v>
      </c>
      <c r="O5238">
        <v>26</v>
      </c>
      <c r="P5238">
        <v>28.5</v>
      </c>
      <c r="Q5238">
        <v>25.8</v>
      </c>
      <c r="R5238">
        <v>32.5</v>
      </c>
      <c r="S5238">
        <v>23.8</v>
      </c>
      <c r="T5238">
        <v>387</v>
      </c>
      <c r="U5238">
        <v>139</v>
      </c>
      <c r="V5238">
        <v>0</v>
      </c>
      <c r="W5238">
        <v>143</v>
      </c>
      <c r="X5238">
        <v>317</v>
      </c>
      <c r="Y5238">
        <v>0</v>
      </c>
      <c r="Z5238">
        <v>64</v>
      </c>
      <c r="AA5238">
        <v>0</v>
      </c>
      <c r="AB5238">
        <v>25.006160000000001</v>
      </c>
      <c r="AC5238">
        <v>2.268268E-2</v>
      </c>
      <c r="AD5238">
        <v>3.70851</v>
      </c>
      <c r="AE5238">
        <v>0.4065954</v>
      </c>
      <c r="AF5238">
        <v>426.3467</v>
      </c>
      <c r="AG5238">
        <f>IFERROR(AH5238*0.1, "N/A")</f>
        <v>7.4</v>
      </c>
      <c r="AH5238">
        <v>74</v>
      </c>
      <c r="AI5238">
        <v>253.66720000000001</v>
      </c>
      <c r="AJ5238">
        <v>27.265000000000001</v>
      </c>
      <c r="AK5238">
        <v>53.89</v>
      </c>
    </row>
    <row r="5239" spans="1:37" x14ac:dyDescent="0.3">
      <c r="A5239">
        <v>5238</v>
      </c>
      <c r="B5239">
        <v>38.299999999999997</v>
      </c>
      <c r="C5239">
        <v>2.6771699999999998</v>
      </c>
      <c r="D5239">
        <v>14.8522</v>
      </c>
      <c r="E5239" t="s">
        <v>8432</v>
      </c>
      <c r="F5239" t="s">
        <v>8433</v>
      </c>
      <c r="G5239" t="s">
        <v>39</v>
      </c>
      <c r="H5239">
        <v>0</v>
      </c>
      <c r="I5239">
        <v>29.5</v>
      </c>
      <c r="J5239">
        <v>14.3</v>
      </c>
      <c r="K5239">
        <v>57</v>
      </c>
      <c r="L5239">
        <v>30.37</v>
      </c>
      <c r="M5239">
        <v>41.1</v>
      </c>
      <c r="N5239">
        <v>16.100000000000001</v>
      </c>
      <c r="O5239">
        <v>25</v>
      </c>
      <c r="P5239">
        <v>29.7</v>
      </c>
      <c r="Q5239">
        <v>27</v>
      </c>
      <c r="R5239">
        <v>33.4</v>
      </c>
      <c r="S5239">
        <v>25.2</v>
      </c>
      <c r="T5239">
        <v>330</v>
      </c>
      <c r="U5239">
        <v>120</v>
      </c>
      <c r="V5239">
        <v>0</v>
      </c>
      <c r="W5239">
        <v>145</v>
      </c>
      <c r="X5239">
        <v>273</v>
      </c>
      <c r="Y5239">
        <v>0</v>
      </c>
      <c r="Z5239">
        <v>52</v>
      </c>
      <c r="AA5239">
        <v>0</v>
      </c>
      <c r="AB5239">
        <v>2.0555400000000001</v>
      </c>
      <c r="AC5239">
        <v>1.0140450000000001E-2</v>
      </c>
      <c r="AD5239">
        <v>0.89386690000000002</v>
      </c>
      <c r="AE5239">
        <v>0.24417430000000001</v>
      </c>
      <c r="AF5239">
        <v>238.5369</v>
      </c>
      <c r="AG5239">
        <f>IFERROR(AH5239*0.1, "N/A")</f>
        <v>6.7677850000000008</v>
      </c>
      <c r="AH5239">
        <v>67.677850000000007</v>
      </c>
      <c r="AI5239">
        <v>120.6888</v>
      </c>
      <c r="AJ5239">
        <v>6.6694630000000004</v>
      </c>
      <c r="AK5239">
        <v>86.661069999999995</v>
      </c>
    </row>
    <row r="5240" spans="1:37" x14ac:dyDescent="0.3">
      <c r="A5240">
        <v>5239</v>
      </c>
      <c r="B5240">
        <v>70</v>
      </c>
      <c r="C5240">
        <v>5.5243700000000002</v>
      </c>
      <c r="D5240">
        <v>14.8574</v>
      </c>
      <c r="E5240" t="s">
        <v>8434</v>
      </c>
      <c r="F5240" t="s">
        <v>8435</v>
      </c>
      <c r="G5240" t="s">
        <v>39</v>
      </c>
      <c r="H5240">
        <v>0</v>
      </c>
      <c r="I5240">
        <v>28.415320000000001</v>
      </c>
      <c r="J5240">
        <v>14.4</v>
      </c>
      <c r="K5240">
        <v>54.994950000000003</v>
      </c>
      <c r="L5240">
        <v>32.807490000000001</v>
      </c>
      <c r="M5240">
        <v>40.486870000000003</v>
      </c>
      <c r="N5240">
        <v>14.38636</v>
      </c>
      <c r="O5240">
        <v>26.10051</v>
      </c>
      <c r="P5240">
        <v>28.58737</v>
      </c>
      <c r="Q5240">
        <v>25.78687</v>
      </c>
      <c r="R5240">
        <v>32.55791</v>
      </c>
      <c r="S5240">
        <v>23.81532</v>
      </c>
      <c r="T5240">
        <v>377.42090000000002</v>
      </c>
      <c r="U5240">
        <v>134.71039999999999</v>
      </c>
      <c r="V5240">
        <v>0</v>
      </c>
      <c r="W5240">
        <v>140.71039999999999</v>
      </c>
      <c r="X5240">
        <v>303.42090000000002</v>
      </c>
      <c r="Y5240">
        <v>0</v>
      </c>
      <c r="Z5240">
        <v>67</v>
      </c>
      <c r="AA5240">
        <v>0</v>
      </c>
      <c r="AB5240">
        <v>17.878270000000001</v>
      </c>
      <c r="AC5240">
        <v>8.7129180000000001E-3</v>
      </c>
      <c r="AD5240">
        <v>3.9246059999999998</v>
      </c>
      <c r="AE5240">
        <v>0.23372889999999999</v>
      </c>
      <c r="AF5240">
        <v>436.37709999999998</v>
      </c>
      <c r="AG5240">
        <f>IFERROR(AH5240*0.1, "N/A")</f>
        <v>7.1749160000000005</v>
      </c>
      <c r="AH5240">
        <v>71.749160000000003</v>
      </c>
      <c r="AI5240">
        <v>52.651119999999999</v>
      </c>
      <c r="AJ5240">
        <v>23.10774</v>
      </c>
      <c r="AK5240">
        <v>60.89226</v>
      </c>
    </row>
    <row r="5241" spans="1:37" x14ac:dyDescent="0.3">
      <c r="A5241">
        <v>5240</v>
      </c>
      <c r="B5241">
        <v>0</v>
      </c>
      <c r="C5241">
        <v>5.2629999999999999</v>
      </c>
      <c r="D5241">
        <v>14.901899999999999</v>
      </c>
      <c r="E5241" t="s">
        <v>8436</v>
      </c>
      <c r="F5241" t="s">
        <v>8437</v>
      </c>
      <c r="G5241" t="s">
        <v>39</v>
      </c>
      <c r="H5241">
        <v>0</v>
      </c>
      <c r="I5241">
        <v>29.1</v>
      </c>
      <c r="J5241">
        <v>14.4</v>
      </c>
      <c r="K5241">
        <v>54</v>
      </c>
      <c r="L5241">
        <v>33.51</v>
      </c>
      <c r="M5241">
        <v>41.2</v>
      </c>
      <c r="N5241">
        <v>14.8</v>
      </c>
      <c r="O5241">
        <v>26.4</v>
      </c>
      <c r="P5241">
        <v>29.4</v>
      </c>
      <c r="Q5241">
        <v>24.7</v>
      </c>
      <c r="R5241">
        <v>33.299999999999997</v>
      </c>
      <c r="S5241">
        <v>24.4</v>
      </c>
      <c r="T5241">
        <v>360</v>
      </c>
      <c r="U5241">
        <v>128</v>
      </c>
      <c r="V5241">
        <v>0</v>
      </c>
      <c r="W5241">
        <v>137</v>
      </c>
      <c r="X5241">
        <v>284</v>
      </c>
      <c r="Y5241">
        <v>0</v>
      </c>
      <c r="Z5241">
        <v>68</v>
      </c>
      <c r="AA5241">
        <v>0</v>
      </c>
      <c r="AB5241">
        <v>9.0546019999999992</v>
      </c>
      <c r="AC5241">
        <v>3.6511250000000002E-2</v>
      </c>
      <c r="AD5241">
        <v>1.7831779999999999</v>
      </c>
      <c r="AE5241">
        <v>0.53129459999999995</v>
      </c>
      <c r="AF5241">
        <v>369.23950000000002</v>
      </c>
      <c r="AG5241">
        <f>IFERROR(AH5241*0.1, "N/A")</f>
        <v>7.1035180000000002</v>
      </c>
      <c r="AH5241">
        <v>71.035179999999997</v>
      </c>
      <c r="AI5241">
        <v>225.13740000000001</v>
      </c>
      <c r="AJ5241">
        <v>22.036850000000001</v>
      </c>
      <c r="AK5241">
        <v>57.891120000000001</v>
      </c>
    </row>
    <row r="5242" spans="1:37" x14ac:dyDescent="0.3">
      <c r="A5242">
        <v>5241</v>
      </c>
      <c r="B5242">
        <v>0</v>
      </c>
      <c r="C5242">
        <v>5.2629999999999999</v>
      </c>
      <c r="D5242">
        <v>14.901899999999999</v>
      </c>
      <c r="E5242" t="s">
        <v>8436</v>
      </c>
      <c r="F5242" t="s">
        <v>8438</v>
      </c>
      <c r="G5242" t="s">
        <v>37</v>
      </c>
      <c r="H5242">
        <v>0</v>
      </c>
      <c r="I5242">
        <v>29.1</v>
      </c>
      <c r="J5242">
        <v>14.4</v>
      </c>
      <c r="K5242">
        <v>54</v>
      </c>
      <c r="L5242">
        <v>33.51</v>
      </c>
      <c r="M5242">
        <v>41.2</v>
      </c>
      <c r="N5242">
        <v>14.8</v>
      </c>
      <c r="O5242">
        <v>26.4</v>
      </c>
      <c r="P5242">
        <v>29.4</v>
      </c>
      <c r="Q5242">
        <v>24.7</v>
      </c>
      <c r="R5242">
        <v>33.299999999999997</v>
      </c>
      <c r="S5242">
        <v>24.4</v>
      </c>
      <c r="T5242">
        <v>360</v>
      </c>
      <c r="U5242">
        <v>128</v>
      </c>
      <c r="V5242">
        <v>0</v>
      </c>
      <c r="W5242">
        <v>137</v>
      </c>
      <c r="X5242">
        <v>284</v>
      </c>
      <c r="Y5242">
        <v>0</v>
      </c>
      <c r="Z5242">
        <v>68</v>
      </c>
      <c r="AA5242">
        <v>0</v>
      </c>
      <c r="AB5242">
        <v>9.0546019999999992</v>
      </c>
      <c r="AC5242">
        <v>3.6511250000000002E-2</v>
      </c>
      <c r="AD5242">
        <v>1.7831779999999999</v>
      </c>
      <c r="AE5242">
        <v>0.53129459999999995</v>
      </c>
      <c r="AF5242">
        <v>369.23950000000002</v>
      </c>
      <c r="AG5242">
        <f>IFERROR(AH5242*0.1, "N/A")</f>
        <v>7.1035180000000002</v>
      </c>
      <c r="AH5242">
        <v>71.035179999999997</v>
      </c>
      <c r="AI5242">
        <v>225.13740000000001</v>
      </c>
      <c r="AJ5242">
        <v>22.036850000000001</v>
      </c>
      <c r="AK5242">
        <v>57.891120000000001</v>
      </c>
    </row>
    <row r="5243" spans="1:37" x14ac:dyDescent="0.3">
      <c r="A5243">
        <v>5242</v>
      </c>
      <c r="B5243">
        <v>30</v>
      </c>
      <c r="C5243">
        <v>0.84663299999999997</v>
      </c>
      <c r="D5243">
        <v>14.9072</v>
      </c>
      <c r="E5243" t="s">
        <v>8439</v>
      </c>
      <c r="F5243" t="s">
        <v>8440</v>
      </c>
      <c r="G5243" t="s">
        <v>39</v>
      </c>
      <c r="H5243">
        <v>0</v>
      </c>
      <c r="I5243">
        <v>29.2</v>
      </c>
      <c r="J5243">
        <v>14.4</v>
      </c>
      <c r="K5243">
        <v>59</v>
      </c>
      <c r="L5243">
        <v>27.08</v>
      </c>
      <c r="M5243">
        <v>40.200000000000003</v>
      </c>
      <c r="N5243">
        <v>16</v>
      </c>
      <c r="O5243">
        <v>24.2</v>
      </c>
      <c r="P5243">
        <v>29.5</v>
      </c>
      <c r="Q5243">
        <v>26.6</v>
      </c>
      <c r="R5243">
        <v>32.5</v>
      </c>
      <c r="S5243">
        <v>25.2</v>
      </c>
      <c r="T5243">
        <v>294</v>
      </c>
      <c r="U5243">
        <v>115</v>
      </c>
      <c r="V5243">
        <v>0</v>
      </c>
      <c r="W5243">
        <v>147</v>
      </c>
      <c r="X5243">
        <v>245</v>
      </c>
      <c r="Y5243">
        <v>0</v>
      </c>
      <c r="Z5243">
        <v>44</v>
      </c>
      <c r="AA5243">
        <v>0</v>
      </c>
      <c r="AB5243">
        <v>1.042473</v>
      </c>
      <c r="AC5243">
        <v>0.14593210000000001</v>
      </c>
      <c r="AD5243">
        <v>1.3739220000000001</v>
      </c>
      <c r="AE5243">
        <v>0.17406379999999999</v>
      </c>
      <c r="AF5243">
        <v>228.47829999999999</v>
      </c>
      <c r="AG5243">
        <f>IFERROR(AH5243*0.1, "N/A")</f>
        <v>6.8890410000000006</v>
      </c>
      <c r="AH5243">
        <v>68.890410000000003</v>
      </c>
      <c r="AI5243">
        <v>239.4795</v>
      </c>
      <c r="AJ5243">
        <v>22.657530000000001</v>
      </c>
      <c r="AK5243">
        <v>58.397260000000003</v>
      </c>
    </row>
    <row r="5244" spans="1:37" x14ac:dyDescent="0.3">
      <c r="A5244">
        <v>5243</v>
      </c>
      <c r="B5244">
        <v>58.3</v>
      </c>
      <c r="C5244">
        <v>0.78333299999999995</v>
      </c>
      <c r="D5244">
        <v>14.916700000000001</v>
      </c>
      <c r="E5244" t="s">
        <v>8441</v>
      </c>
      <c r="F5244" t="s">
        <v>8442</v>
      </c>
      <c r="G5244" t="s">
        <v>39</v>
      </c>
      <c r="H5244">
        <v>0</v>
      </c>
      <c r="I5244">
        <v>29.2</v>
      </c>
      <c r="J5244">
        <v>14.4</v>
      </c>
      <c r="K5244">
        <v>59.656619999999997</v>
      </c>
      <c r="L5244">
        <v>26.630600000000001</v>
      </c>
      <c r="M5244">
        <v>40.03434</v>
      </c>
      <c r="N5244">
        <v>16</v>
      </c>
      <c r="O5244">
        <v>24.03434</v>
      </c>
      <c r="P5244">
        <v>29.565660000000001</v>
      </c>
      <c r="Q5244">
        <v>26.7</v>
      </c>
      <c r="R5244">
        <v>32.4</v>
      </c>
      <c r="S5244">
        <v>25.3</v>
      </c>
      <c r="T5244">
        <v>301</v>
      </c>
      <c r="U5244">
        <v>117</v>
      </c>
      <c r="V5244">
        <v>0</v>
      </c>
      <c r="W5244">
        <v>144</v>
      </c>
      <c r="X5244">
        <v>251</v>
      </c>
      <c r="Y5244">
        <v>0</v>
      </c>
      <c r="Z5244">
        <v>45</v>
      </c>
      <c r="AA5244">
        <v>0</v>
      </c>
      <c r="AB5244">
        <v>3.9038520000000001</v>
      </c>
      <c r="AC5244">
        <v>4.235129E-2</v>
      </c>
      <c r="AD5244">
        <v>1.6032519999999999</v>
      </c>
      <c r="AE5244">
        <v>0.3771988</v>
      </c>
      <c r="AF5244">
        <v>228.48410000000001</v>
      </c>
      <c r="AG5244">
        <f>IFERROR(AH5244*0.1, "N/A")</f>
        <v>7</v>
      </c>
      <c r="AH5244">
        <v>70</v>
      </c>
      <c r="AI5244">
        <v>74.633989999999997</v>
      </c>
      <c r="AJ5244">
        <v>23</v>
      </c>
      <c r="AK5244">
        <v>64</v>
      </c>
    </row>
    <row r="5245" spans="1:37" x14ac:dyDescent="0.3">
      <c r="A5245">
        <v>5244</v>
      </c>
      <c r="B5245">
        <v>0</v>
      </c>
      <c r="C5245">
        <v>0.84799999999999998</v>
      </c>
      <c r="D5245">
        <v>14.917</v>
      </c>
      <c r="E5245" t="s">
        <v>8443</v>
      </c>
      <c r="F5245" t="s">
        <v>8444</v>
      </c>
      <c r="G5245" t="s">
        <v>37</v>
      </c>
      <c r="H5245">
        <v>1987</v>
      </c>
      <c r="I5245">
        <v>29.1</v>
      </c>
      <c r="J5245">
        <v>14.4</v>
      </c>
      <c r="K5245">
        <v>59</v>
      </c>
      <c r="L5245">
        <v>26.75562</v>
      </c>
      <c r="M5245">
        <v>40.011710000000001</v>
      </c>
      <c r="N5245">
        <v>15.911709999999999</v>
      </c>
      <c r="O5245">
        <v>24.1</v>
      </c>
      <c r="P5245">
        <v>29.411709999999999</v>
      </c>
      <c r="Q5245">
        <v>26.611709999999999</v>
      </c>
      <c r="R5245">
        <v>32.299999999999997</v>
      </c>
      <c r="S5245">
        <v>25.21171</v>
      </c>
      <c r="T5245">
        <v>295</v>
      </c>
      <c r="U5245">
        <v>116</v>
      </c>
      <c r="V5245">
        <v>0</v>
      </c>
      <c r="W5245">
        <v>148</v>
      </c>
      <c r="X5245">
        <v>246</v>
      </c>
      <c r="Y5245">
        <v>0</v>
      </c>
      <c r="Z5245">
        <v>44</v>
      </c>
      <c r="AA5245">
        <v>0</v>
      </c>
      <c r="AB5245">
        <v>25.411380000000001</v>
      </c>
      <c r="AC5245">
        <v>3.0628490000000001E-2</v>
      </c>
      <c r="AD5245">
        <v>3.1062059999999998</v>
      </c>
      <c r="AE5245">
        <v>0.16599410000000001</v>
      </c>
      <c r="AF5245">
        <v>253.5652</v>
      </c>
      <c r="AG5245">
        <f>IFERROR(AH5245*0.1, "N/A")</f>
        <v>7</v>
      </c>
      <c r="AH5245">
        <v>70</v>
      </c>
      <c r="AI5245">
        <v>225.95339999999999</v>
      </c>
      <c r="AJ5245">
        <v>22</v>
      </c>
      <c r="AK5245">
        <v>63</v>
      </c>
    </row>
    <row r="5246" spans="1:37" x14ac:dyDescent="0.3">
      <c r="A5246">
        <v>5245</v>
      </c>
      <c r="B5246">
        <v>11.8</v>
      </c>
      <c r="C5246">
        <v>3.42943</v>
      </c>
      <c r="D5246">
        <v>14.930099999999999</v>
      </c>
      <c r="E5246" t="s">
        <v>8445</v>
      </c>
      <c r="F5246" t="s">
        <v>8446</v>
      </c>
      <c r="G5246" t="s">
        <v>39</v>
      </c>
      <c r="H5246">
        <v>0</v>
      </c>
      <c r="I5246">
        <v>29.5</v>
      </c>
      <c r="J5246">
        <v>14.2</v>
      </c>
      <c r="K5246">
        <v>55</v>
      </c>
      <c r="L5246">
        <v>32.299999999999997</v>
      </c>
      <c r="M5246">
        <v>41.2</v>
      </c>
      <c r="N5246">
        <v>15.8</v>
      </c>
      <c r="O5246">
        <v>25.4</v>
      </c>
      <c r="P5246">
        <v>29.9</v>
      </c>
      <c r="Q5246">
        <v>26.8</v>
      </c>
      <c r="R5246">
        <v>33.5</v>
      </c>
      <c r="S5246">
        <v>24.9</v>
      </c>
      <c r="T5246">
        <v>269</v>
      </c>
      <c r="U5246">
        <v>100</v>
      </c>
      <c r="V5246">
        <v>0</v>
      </c>
      <c r="W5246">
        <v>147</v>
      </c>
      <c r="X5246">
        <v>224</v>
      </c>
      <c r="Y5246">
        <v>0</v>
      </c>
      <c r="Z5246">
        <v>41</v>
      </c>
      <c r="AA5246">
        <v>0</v>
      </c>
      <c r="AB5246">
        <v>0.3968354</v>
      </c>
      <c r="AC5246">
        <v>0.80077509999999996</v>
      </c>
      <c r="AD5246">
        <v>1.083018</v>
      </c>
      <c r="AE5246">
        <v>0.32237369999999999</v>
      </c>
      <c r="AF5246">
        <v>236.4023</v>
      </c>
      <c r="AG5246">
        <f>IFERROR(AH5246*0.1, "N/A")</f>
        <v>6.4846410000000008</v>
      </c>
      <c r="AH5246">
        <v>64.846410000000006</v>
      </c>
      <c r="AI5246">
        <v>129.7422</v>
      </c>
      <c r="AJ5246">
        <v>18.734559999999998</v>
      </c>
      <c r="AK5246">
        <v>66.402339999999995</v>
      </c>
    </row>
    <row r="5247" spans="1:37" x14ac:dyDescent="0.3">
      <c r="A5247">
        <v>5246</v>
      </c>
      <c r="B5247">
        <v>0</v>
      </c>
      <c r="C5247">
        <v>4.9433699999999998</v>
      </c>
      <c r="D5247">
        <v>14.930099999999999</v>
      </c>
      <c r="E5247" t="s">
        <v>8447</v>
      </c>
      <c r="F5247" t="s">
        <v>8448</v>
      </c>
      <c r="G5247" t="s">
        <v>39</v>
      </c>
      <c r="H5247">
        <v>0</v>
      </c>
      <c r="I5247">
        <v>29</v>
      </c>
      <c r="J5247">
        <v>14.3</v>
      </c>
      <c r="K5247">
        <v>54</v>
      </c>
      <c r="L5247">
        <v>33.630000000000003</v>
      </c>
      <c r="M5247">
        <v>41</v>
      </c>
      <c r="N5247">
        <v>14.7</v>
      </c>
      <c r="O5247">
        <v>26.3</v>
      </c>
      <c r="P5247">
        <v>29.3</v>
      </c>
      <c r="Q5247">
        <v>24.5</v>
      </c>
      <c r="R5247">
        <v>33.1</v>
      </c>
      <c r="S5247">
        <v>24.2</v>
      </c>
      <c r="T5247">
        <v>328</v>
      </c>
      <c r="U5247">
        <v>115</v>
      </c>
      <c r="V5247">
        <v>0</v>
      </c>
      <c r="W5247">
        <v>137</v>
      </c>
      <c r="X5247">
        <v>259</v>
      </c>
      <c r="Y5247">
        <v>0</v>
      </c>
      <c r="Z5247">
        <v>63</v>
      </c>
      <c r="AA5247">
        <v>0</v>
      </c>
      <c r="AB5247">
        <v>5.8838330000000001</v>
      </c>
      <c r="AC5247">
        <v>4.6379110000000001E-2</v>
      </c>
      <c r="AD5247">
        <v>1.236917</v>
      </c>
      <c r="AE5247">
        <v>0.2268695</v>
      </c>
      <c r="AF5247">
        <v>370.255</v>
      </c>
      <c r="AG5247">
        <f>IFERROR(AH5247*0.1, "N/A")</f>
        <v>6.6858329999999997</v>
      </c>
      <c r="AH5247">
        <v>66.858329999999995</v>
      </c>
      <c r="AI5247">
        <v>247.68369999999999</v>
      </c>
      <c r="AJ5247">
        <v>4.9649999999999999</v>
      </c>
      <c r="AK5247">
        <v>85.346670000000003</v>
      </c>
    </row>
    <row r="5248" spans="1:37" x14ac:dyDescent="0.3">
      <c r="A5248">
        <v>5247</v>
      </c>
      <c r="B5248">
        <v>0</v>
      </c>
      <c r="C5248">
        <v>4.9433699999999998</v>
      </c>
      <c r="D5248">
        <v>14.930099999999999</v>
      </c>
      <c r="E5248" t="s">
        <v>8447</v>
      </c>
      <c r="F5248" t="s">
        <v>8449</v>
      </c>
      <c r="G5248" t="s">
        <v>37</v>
      </c>
      <c r="H5248">
        <v>0</v>
      </c>
      <c r="I5248">
        <v>29</v>
      </c>
      <c r="J5248">
        <v>14.3</v>
      </c>
      <c r="K5248">
        <v>54</v>
      </c>
      <c r="L5248">
        <v>33.630000000000003</v>
      </c>
      <c r="M5248">
        <v>41</v>
      </c>
      <c r="N5248">
        <v>14.7</v>
      </c>
      <c r="O5248">
        <v>26.3</v>
      </c>
      <c r="P5248">
        <v>29.3</v>
      </c>
      <c r="Q5248">
        <v>24.5</v>
      </c>
      <c r="R5248">
        <v>33.1</v>
      </c>
      <c r="S5248">
        <v>24.2</v>
      </c>
      <c r="T5248">
        <v>328</v>
      </c>
      <c r="U5248">
        <v>115</v>
      </c>
      <c r="V5248">
        <v>0</v>
      </c>
      <c r="W5248">
        <v>137</v>
      </c>
      <c r="X5248">
        <v>259</v>
      </c>
      <c r="Y5248">
        <v>0</v>
      </c>
      <c r="Z5248">
        <v>63</v>
      </c>
      <c r="AA5248">
        <v>0</v>
      </c>
      <c r="AB5248">
        <v>5.8838330000000001</v>
      </c>
      <c r="AC5248">
        <v>4.6379110000000001E-2</v>
      </c>
      <c r="AD5248">
        <v>1.236917</v>
      </c>
      <c r="AE5248">
        <v>0.2268695</v>
      </c>
      <c r="AF5248">
        <v>370.255</v>
      </c>
      <c r="AG5248">
        <f>IFERROR(AH5248*0.1, "N/A")</f>
        <v>6.6858329999999997</v>
      </c>
      <c r="AH5248">
        <v>66.858329999999995</v>
      </c>
      <c r="AI5248">
        <v>247.68369999999999</v>
      </c>
      <c r="AJ5248">
        <v>4.9649999999999999</v>
      </c>
      <c r="AK5248">
        <v>85.346670000000003</v>
      </c>
    </row>
    <row r="5249" spans="1:37" x14ac:dyDescent="0.3">
      <c r="A5249">
        <v>5248</v>
      </c>
      <c r="B5249">
        <v>46</v>
      </c>
      <c r="C5249">
        <v>0.78159999999999996</v>
      </c>
      <c r="D5249">
        <v>14.944000000000001</v>
      </c>
      <c r="E5249" t="s">
        <v>8450</v>
      </c>
      <c r="F5249" t="s">
        <v>8451</v>
      </c>
      <c r="G5249" t="s">
        <v>39</v>
      </c>
      <c r="H5249">
        <v>0</v>
      </c>
      <c r="I5249">
        <v>29.2</v>
      </c>
      <c r="J5249">
        <v>14.4</v>
      </c>
      <c r="K5249">
        <v>60</v>
      </c>
      <c r="L5249">
        <v>26.27</v>
      </c>
      <c r="M5249">
        <v>40</v>
      </c>
      <c r="N5249">
        <v>16</v>
      </c>
      <c r="O5249">
        <v>24</v>
      </c>
      <c r="P5249">
        <v>29.6</v>
      </c>
      <c r="Q5249">
        <v>26.6</v>
      </c>
      <c r="R5249">
        <v>32.299999999999997</v>
      </c>
      <c r="S5249">
        <v>25.3</v>
      </c>
      <c r="T5249">
        <v>300</v>
      </c>
      <c r="U5249">
        <v>116</v>
      </c>
      <c r="V5249">
        <v>0</v>
      </c>
      <c r="W5249">
        <v>144</v>
      </c>
      <c r="X5249">
        <v>250</v>
      </c>
      <c r="Y5249">
        <v>0</v>
      </c>
      <c r="Z5249">
        <v>45</v>
      </c>
      <c r="AA5249">
        <v>0</v>
      </c>
      <c r="AB5249">
        <v>2.0397940000000001</v>
      </c>
      <c r="AC5249">
        <v>2.1006070000000002E-2</v>
      </c>
      <c r="AD5249">
        <v>1.258068</v>
      </c>
      <c r="AE5249">
        <v>0.21627930000000001</v>
      </c>
      <c r="AF5249">
        <v>227.3896</v>
      </c>
      <c r="AG5249">
        <f>IFERROR(AH5249*0.1, "N/A")</f>
        <v>7</v>
      </c>
      <c r="AH5249">
        <v>70</v>
      </c>
      <c r="AI5249">
        <v>246.8835</v>
      </c>
      <c r="AJ5249">
        <v>23</v>
      </c>
      <c r="AK5249">
        <v>58</v>
      </c>
    </row>
    <row r="5250" spans="1:37" x14ac:dyDescent="0.3">
      <c r="A5250">
        <v>5249</v>
      </c>
      <c r="B5250">
        <v>0</v>
      </c>
      <c r="C5250">
        <v>0.78200000000000003</v>
      </c>
      <c r="D5250">
        <v>14.952</v>
      </c>
      <c r="E5250" t="s">
        <v>8452</v>
      </c>
      <c r="F5250" t="s">
        <v>8453</v>
      </c>
      <c r="G5250" t="s">
        <v>37</v>
      </c>
      <c r="H5250">
        <v>1987</v>
      </c>
      <c r="I5250">
        <v>29.2</v>
      </c>
      <c r="J5250">
        <v>14.4</v>
      </c>
      <c r="K5250">
        <v>60</v>
      </c>
      <c r="L5250">
        <v>26.3</v>
      </c>
      <c r="M5250">
        <v>40</v>
      </c>
      <c r="N5250">
        <v>16</v>
      </c>
      <c r="O5250">
        <v>24</v>
      </c>
      <c r="P5250">
        <v>29.6</v>
      </c>
      <c r="Q5250">
        <v>26.7</v>
      </c>
      <c r="R5250">
        <v>32.299999999999997</v>
      </c>
      <c r="S5250">
        <v>25.3</v>
      </c>
      <c r="T5250">
        <v>300</v>
      </c>
      <c r="U5250">
        <v>116</v>
      </c>
      <c r="V5250">
        <v>0</v>
      </c>
      <c r="W5250">
        <v>144</v>
      </c>
      <c r="X5250">
        <v>250</v>
      </c>
      <c r="Y5250">
        <v>0</v>
      </c>
      <c r="Z5250">
        <v>45</v>
      </c>
      <c r="AA5250">
        <v>0</v>
      </c>
      <c r="AB5250">
        <v>2.300332</v>
      </c>
      <c r="AC5250">
        <v>1.318102E-2</v>
      </c>
      <c r="AD5250">
        <v>0.97428619999999999</v>
      </c>
      <c r="AE5250">
        <v>0.18414929999999999</v>
      </c>
      <c r="AF5250">
        <v>230.59829999999999</v>
      </c>
      <c r="AG5250">
        <f>IFERROR(AH5250*0.1, "N/A")</f>
        <v>7.0558329999999998</v>
      </c>
      <c r="AH5250">
        <v>70.558329999999998</v>
      </c>
      <c r="AI5250">
        <v>150.4605</v>
      </c>
      <c r="AJ5250">
        <v>26.393329999999999</v>
      </c>
      <c r="AK5250">
        <v>60.465000000000003</v>
      </c>
    </row>
    <row r="5251" spans="1:37" x14ac:dyDescent="0.3">
      <c r="A5251">
        <v>5250</v>
      </c>
      <c r="B5251">
        <v>28.3</v>
      </c>
      <c r="C5251">
        <v>2.3529200000000001</v>
      </c>
      <c r="D5251">
        <v>14.981400000000001</v>
      </c>
      <c r="E5251" t="s">
        <v>8454</v>
      </c>
      <c r="F5251" t="s">
        <v>8455</v>
      </c>
      <c r="G5251" t="s">
        <v>39</v>
      </c>
      <c r="H5251">
        <v>0</v>
      </c>
      <c r="I5251">
        <v>29.5</v>
      </c>
      <c r="J5251">
        <v>14.4</v>
      </c>
      <c r="K5251">
        <v>56</v>
      </c>
      <c r="L5251">
        <v>31.11</v>
      </c>
      <c r="M5251">
        <v>41.1</v>
      </c>
      <c r="N5251">
        <v>15.8</v>
      </c>
      <c r="O5251">
        <v>25.3</v>
      </c>
      <c r="P5251">
        <v>29.9</v>
      </c>
      <c r="Q5251">
        <v>26.8</v>
      </c>
      <c r="R5251">
        <v>33.299999999999997</v>
      </c>
      <c r="S5251">
        <v>25</v>
      </c>
      <c r="T5251">
        <v>300</v>
      </c>
      <c r="U5251">
        <v>116</v>
      </c>
      <c r="V5251">
        <v>0</v>
      </c>
      <c r="W5251">
        <v>146</v>
      </c>
      <c r="X5251">
        <v>253</v>
      </c>
      <c r="Y5251">
        <v>0</v>
      </c>
      <c r="Z5251">
        <v>42</v>
      </c>
      <c r="AA5251">
        <v>0</v>
      </c>
      <c r="AB5251">
        <v>5.9592559999999999</v>
      </c>
      <c r="AC5251">
        <v>3.1092600000000001E-2</v>
      </c>
      <c r="AD5251">
        <v>1.091307</v>
      </c>
      <c r="AE5251">
        <v>0.19696369999999999</v>
      </c>
      <c r="AF5251">
        <v>263.32549999999998</v>
      </c>
      <c r="AG5251">
        <f>IFERROR(AH5251*0.1, "N/A")</f>
        <v>6.9173620000000007</v>
      </c>
      <c r="AH5251">
        <v>69.17362</v>
      </c>
      <c r="AI5251">
        <v>198.9117</v>
      </c>
      <c r="AJ5251">
        <v>8.0434059999999992</v>
      </c>
      <c r="AK5251">
        <v>83.739570000000001</v>
      </c>
    </row>
    <row r="5252" spans="1:37" x14ac:dyDescent="0.3">
      <c r="A5252">
        <v>5251</v>
      </c>
      <c r="B5252">
        <v>17.600000000000001</v>
      </c>
      <c r="C5252">
        <v>5.0833000000000004</v>
      </c>
      <c r="D5252">
        <v>15.0197</v>
      </c>
      <c r="E5252" t="s">
        <v>8456</v>
      </c>
      <c r="F5252" t="s">
        <v>8457</v>
      </c>
      <c r="G5252" t="s">
        <v>39</v>
      </c>
      <c r="H5252">
        <v>0</v>
      </c>
      <c r="I5252">
        <v>29.2</v>
      </c>
      <c r="J5252">
        <v>14.329219999999999</v>
      </c>
      <c r="K5252">
        <v>54</v>
      </c>
      <c r="L5252">
        <v>34.094160000000002</v>
      </c>
      <c r="M5252">
        <v>41.229219999999998</v>
      </c>
      <c r="N5252">
        <v>14.8</v>
      </c>
      <c r="O5252">
        <v>26.429220000000001</v>
      </c>
      <c r="P5252">
        <v>29.6</v>
      </c>
      <c r="Q5252">
        <v>24.7</v>
      </c>
      <c r="R5252">
        <v>33.4</v>
      </c>
      <c r="S5252">
        <v>24.3</v>
      </c>
      <c r="T5252">
        <v>330</v>
      </c>
      <c r="U5252">
        <v>116</v>
      </c>
      <c r="V5252">
        <v>0</v>
      </c>
      <c r="W5252">
        <v>139</v>
      </c>
      <c r="X5252">
        <v>260</v>
      </c>
      <c r="Y5252">
        <v>0</v>
      </c>
      <c r="Z5252">
        <v>63</v>
      </c>
      <c r="AA5252">
        <v>0</v>
      </c>
      <c r="AB5252">
        <v>4.1601169999999996</v>
      </c>
      <c r="AC5252">
        <v>1.075776E-2</v>
      </c>
      <c r="AD5252">
        <v>1.411699</v>
      </c>
      <c r="AE5252">
        <v>0.2460688</v>
      </c>
      <c r="AF5252">
        <v>352.85640000000001</v>
      </c>
      <c r="AG5252">
        <f>IFERROR(AH5252*0.1, "N/A")</f>
        <v>6.8003339999999994</v>
      </c>
      <c r="AH5252">
        <v>68.003339999999994</v>
      </c>
      <c r="AI5252">
        <v>142.24950000000001</v>
      </c>
      <c r="AJ5252">
        <v>11.387309999999999</v>
      </c>
      <c r="AK5252">
        <v>78.974959999999996</v>
      </c>
    </row>
    <row r="5253" spans="1:37" x14ac:dyDescent="0.3">
      <c r="A5253">
        <v>5252</v>
      </c>
      <c r="B5253">
        <v>0</v>
      </c>
      <c r="C5253">
        <v>5.0833000000000004</v>
      </c>
      <c r="D5253">
        <v>15.0197</v>
      </c>
      <c r="E5253" t="s">
        <v>8456</v>
      </c>
      <c r="F5253" t="s">
        <v>8458</v>
      </c>
      <c r="G5253" t="s">
        <v>37</v>
      </c>
      <c r="H5253">
        <v>0</v>
      </c>
      <c r="I5253">
        <v>29.2</v>
      </c>
      <c r="J5253">
        <v>14.329219999999999</v>
      </c>
      <c r="K5253">
        <v>54</v>
      </c>
      <c r="L5253">
        <v>34.094160000000002</v>
      </c>
      <c r="M5253">
        <v>41.229219999999998</v>
      </c>
      <c r="N5253">
        <v>14.8</v>
      </c>
      <c r="O5253">
        <v>26.429220000000001</v>
      </c>
      <c r="P5253">
        <v>29.6</v>
      </c>
      <c r="Q5253">
        <v>24.7</v>
      </c>
      <c r="R5253">
        <v>33.4</v>
      </c>
      <c r="S5253">
        <v>24.3</v>
      </c>
      <c r="T5253">
        <v>330</v>
      </c>
      <c r="U5253">
        <v>116</v>
      </c>
      <c r="V5253">
        <v>0</v>
      </c>
      <c r="W5253">
        <v>139</v>
      </c>
      <c r="X5253">
        <v>260</v>
      </c>
      <c r="Y5253">
        <v>0</v>
      </c>
      <c r="Z5253">
        <v>63</v>
      </c>
      <c r="AA5253">
        <v>0</v>
      </c>
      <c r="AB5253">
        <v>4.1601169999999996</v>
      </c>
      <c r="AC5253">
        <v>1.075776E-2</v>
      </c>
      <c r="AD5253">
        <v>1.411699</v>
      </c>
      <c r="AE5253">
        <v>0.2460688</v>
      </c>
      <c r="AF5253">
        <v>352.85640000000001</v>
      </c>
      <c r="AG5253">
        <f>IFERROR(AH5253*0.1, "N/A")</f>
        <v>6.8003339999999994</v>
      </c>
      <c r="AH5253">
        <v>68.003339999999994</v>
      </c>
      <c r="AI5253">
        <v>142.24950000000001</v>
      </c>
      <c r="AJ5253">
        <v>11.387309999999999</v>
      </c>
      <c r="AK5253">
        <v>78.974959999999996</v>
      </c>
    </row>
    <row r="5254" spans="1:37" x14ac:dyDescent="0.3">
      <c r="A5254">
        <v>5253</v>
      </c>
      <c r="B5254">
        <v>6.5</v>
      </c>
      <c r="C5254">
        <v>5.6344500000000002</v>
      </c>
      <c r="D5254">
        <v>15.0505</v>
      </c>
      <c r="E5254" t="s">
        <v>8459</v>
      </c>
      <c r="F5254" t="s">
        <v>8460</v>
      </c>
      <c r="G5254" t="s">
        <v>39</v>
      </c>
      <c r="H5254">
        <v>0</v>
      </c>
      <c r="I5254">
        <v>28.8</v>
      </c>
      <c r="J5254">
        <v>14.5</v>
      </c>
      <c r="K5254">
        <v>54</v>
      </c>
      <c r="L5254">
        <v>33.680320000000002</v>
      </c>
      <c r="M5254">
        <v>40.9</v>
      </c>
      <c r="N5254">
        <v>14.5</v>
      </c>
      <c r="O5254">
        <v>26.4</v>
      </c>
      <c r="P5254">
        <v>29.2</v>
      </c>
      <c r="Q5254">
        <v>25.9621</v>
      </c>
      <c r="R5254">
        <v>32.9621</v>
      </c>
      <c r="S5254">
        <v>23.9621</v>
      </c>
      <c r="T5254">
        <v>347.37900000000002</v>
      </c>
      <c r="U5254">
        <v>125</v>
      </c>
      <c r="V5254">
        <v>0</v>
      </c>
      <c r="W5254">
        <v>145.1052</v>
      </c>
      <c r="X5254">
        <v>284.37900000000002</v>
      </c>
      <c r="Y5254">
        <v>0</v>
      </c>
      <c r="Z5254">
        <v>57</v>
      </c>
      <c r="AA5254">
        <v>0</v>
      </c>
      <c r="AB5254">
        <v>13.093159999999999</v>
      </c>
      <c r="AC5254">
        <v>8.5773940000000003E-3</v>
      </c>
      <c r="AD5254">
        <v>1.315577</v>
      </c>
      <c r="AE5254">
        <v>0.43675439999999999</v>
      </c>
      <c r="AF5254">
        <v>402.45740000000001</v>
      </c>
      <c r="AG5254">
        <f>IFERROR(AH5254*0.1, "N/A")</f>
        <v>7</v>
      </c>
      <c r="AH5254">
        <v>70</v>
      </c>
      <c r="AI5254">
        <v>67.769750000000002</v>
      </c>
      <c r="AJ5254">
        <v>25.916530000000002</v>
      </c>
      <c r="AK5254">
        <v>57.050080000000001</v>
      </c>
    </row>
    <row r="5255" spans="1:37" x14ac:dyDescent="0.3">
      <c r="A5255">
        <v>5254</v>
      </c>
      <c r="B5255">
        <v>0</v>
      </c>
      <c r="C5255">
        <v>1.5943799999999999</v>
      </c>
      <c r="D5255">
        <v>15.070399999999999</v>
      </c>
      <c r="E5255" t="s">
        <v>8461</v>
      </c>
      <c r="F5255" t="s">
        <v>8462</v>
      </c>
      <c r="G5255" t="s">
        <v>39</v>
      </c>
      <c r="H5255">
        <v>0</v>
      </c>
      <c r="I5255">
        <v>29.2</v>
      </c>
      <c r="J5255">
        <v>14.4</v>
      </c>
      <c r="K5255">
        <v>58</v>
      </c>
      <c r="L5255">
        <v>29.24</v>
      </c>
      <c r="M5255">
        <v>40.5</v>
      </c>
      <c r="N5255">
        <v>15.8</v>
      </c>
      <c r="O5255">
        <v>24.7</v>
      </c>
      <c r="P5255">
        <v>29.7</v>
      </c>
      <c r="Q5255">
        <v>26.5</v>
      </c>
      <c r="R5255">
        <v>32.700000000000003</v>
      </c>
      <c r="S5255">
        <v>24.9</v>
      </c>
      <c r="T5255">
        <v>242</v>
      </c>
      <c r="U5255">
        <v>102</v>
      </c>
      <c r="V5255">
        <v>0</v>
      </c>
      <c r="W5255">
        <v>151</v>
      </c>
      <c r="X5255">
        <v>208</v>
      </c>
      <c r="Y5255">
        <v>0</v>
      </c>
      <c r="Z5255">
        <v>31</v>
      </c>
      <c r="AA5255">
        <v>0</v>
      </c>
      <c r="AB5255">
        <v>3.8113830000000002</v>
      </c>
      <c r="AC5255">
        <v>1.8967669999999999E-2</v>
      </c>
      <c r="AD5255">
        <v>1.646949</v>
      </c>
      <c r="AE5255">
        <v>0.2119703</v>
      </c>
      <c r="AF5255">
        <v>288.29149999999998</v>
      </c>
      <c r="AG5255">
        <f>IFERROR(AH5255*0.1, "N/A")</f>
        <v>6.5030150000000013</v>
      </c>
      <c r="AH5255">
        <v>65.030150000000006</v>
      </c>
      <c r="AI5255">
        <v>163.0283</v>
      </c>
      <c r="AJ5255">
        <v>13.984920000000001</v>
      </c>
      <c r="AK5255">
        <v>75.030150000000006</v>
      </c>
    </row>
    <row r="5256" spans="1:37" x14ac:dyDescent="0.3">
      <c r="A5256">
        <v>5255</v>
      </c>
      <c r="B5256">
        <v>0</v>
      </c>
      <c r="C5256">
        <v>1.5943799999999999</v>
      </c>
      <c r="D5256">
        <v>15.070399999999999</v>
      </c>
      <c r="E5256" t="s">
        <v>8461</v>
      </c>
      <c r="F5256" t="s">
        <v>8463</v>
      </c>
      <c r="G5256" t="s">
        <v>37</v>
      </c>
      <c r="H5256">
        <v>0</v>
      </c>
      <c r="I5256">
        <v>29.2</v>
      </c>
      <c r="J5256">
        <v>14.4</v>
      </c>
      <c r="K5256">
        <v>58</v>
      </c>
      <c r="L5256">
        <v>29.24</v>
      </c>
      <c r="M5256">
        <v>40.5</v>
      </c>
      <c r="N5256">
        <v>15.8</v>
      </c>
      <c r="O5256">
        <v>24.7</v>
      </c>
      <c r="P5256">
        <v>29.7</v>
      </c>
      <c r="Q5256">
        <v>26.5</v>
      </c>
      <c r="R5256">
        <v>32.700000000000003</v>
      </c>
      <c r="S5256">
        <v>24.9</v>
      </c>
      <c r="T5256">
        <v>242</v>
      </c>
      <c r="U5256">
        <v>102</v>
      </c>
      <c r="V5256">
        <v>0</v>
      </c>
      <c r="W5256">
        <v>151</v>
      </c>
      <c r="X5256">
        <v>208</v>
      </c>
      <c r="Y5256">
        <v>0</v>
      </c>
      <c r="Z5256">
        <v>31</v>
      </c>
      <c r="AA5256">
        <v>0</v>
      </c>
      <c r="AB5256">
        <v>3.8113830000000002</v>
      </c>
      <c r="AC5256">
        <v>1.8967669999999999E-2</v>
      </c>
      <c r="AD5256">
        <v>1.646949</v>
      </c>
      <c r="AE5256">
        <v>0.2119703</v>
      </c>
      <c r="AF5256">
        <v>288.29149999999998</v>
      </c>
      <c r="AG5256">
        <f>IFERROR(AH5256*0.1, "N/A")</f>
        <v>6.5030150000000013</v>
      </c>
      <c r="AH5256">
        <v>65.030150000000006</v>
      </c>
      <c r="AI5256">
        <v>163.0283</v>
      </c>
      <c r="AJ5256">
        <v>13.984920000000001</v>
      </c>
      <c r="AK5256">
        <v>75.030150000000006</v>
      </c>
    </row>
    <row r="5257" spans="1:37" x14ac:dyDescent="0.3">
      <c r="A5257">
        <v>5256</v>
      </c>
      <c r="B5257">
        <v>0</v>
      </c>
      <c r="C5257">
        <v>6.4905200000000001</v>
      </c>
      <c r="D5257">
        <v>15.0853</v>
      </c>
      <c r="E5257" t="s">
        <v>8464</v>
      </c>
      <c r="F5257" t="s">
        <v>8465</v>
      </c>
      <c r="G5257" t="s">
        <v>39</v>
      </c>
      <c r="H5257">
        <v>0</v>
      </c>
      <c r="I5257">
        <v>27.9</v>
      </c>
      <c r="J5257">
        <v>14.7</v>
      </c>
      <c r="K5257">
        <v>55</v>
      </c>
      <c r="L5257">
        <v>33.693199999999997</v>
      </c>
      <c r="M5257">
        <v>40.198</v>
      </c>
      <c r="N5257">
        <v>13.698</v>
      </c>
      <c r="O5257">
        <v>26.5</v>
      </c>
      <c r="P5257">
        <v>28.3</v>
      </c>
      <c r="Q5257">
        <v>25</v>
      </c>
      <c r="R5257">
        <v>32.1</v>
      </c>
      <c r="S5257">
        <v>23.097999999999999</v>
      </c>
      <c r="T5257">
        <v>279.98</v>
      </c>
      <c r="U5257">
        <v>101</v>
      </c>
      <c r="V5257">
        <v>0</v>
      </c>
      <c r="W5257">
        <v>149.97999999999999</v>
      </c>
      <c r="X5257">
        <v>237.98</v>
      </c>
      <c r="Y5257">
        <v>0</v>
      </c>
      <c r="Z5257">
        <v>40</v>
      </c>
      <c r="AA5257">
        <v>0</v>
      </c>
      <c r="AB5257">
        <v>3.2714639999999999</v>
      </c>
      <c r="AC5257">
        <v>2.6734529999999999E-2</v>
      </c>
      <c r="AD5257">
        <v>1.653802</v>
      </c>
      <c r="AE5257">
        <v>0.1583726</v>
      </c>
      <c r="AF5257">
        <v>476.5376</v>
      </c>
      <c r="AG5257">
        <f>IFERROR(AH5257*0.1, "N/A")</f>
        <v>6.6001670000000008</v>
      </c>
      <c r="AH5257">
        <v>66.001670000000004</v>
      </c>
      <c r="AI5257">
        <v>143.5977</v>
      </c>
      <c r="AJ5257">
        <v>17.011690000000002</v>
      </c>
      <c r="AK5257">
        <v>74.944909999999993</v>
      </c>
    </row>
    <row r="5258" spans="1:37" x14ac:dyDescent="0.3">
      <c r="A5258">
        <v>5257</v>
      </c>
      <c r="B5258">
        <v>0</v>
      </c>
      <c r="C5258">
        <v>6.4905200000000001</v>
      </c>
      <c r="D5258">
        <v>15.0853</v>
      </c>
      <c r="E5258" t="s">
        <v>8464</v>
      </c>
      <c r="F5258" t="s">
        <v>8466</v>
      </c>
      <c r="G5258" t="s">
        <v>37</v>
      </c>
      <c r="H5258">
        <v>0</v>
      </c>
      <c r="I5258">
        <v>27.9</v>
      </c>
      <c r="J5258">
        <v>14.7</v>
      </c>
      <c r="K5258">
        <v>55</v>
      </c>
      <c r="L5258">
        <v>33.693199999999997</v>
      </c>
      <c r="M5258">
        <v>40.198</v>
      </c>
      <c r="N5258">
        <v>13.698</v>
      </c>
      <c r="O5258">
        <v>26.5</v>
      </c>
      <c r="P5258">
        <v>28.3</v>
      </c>
      <c r="Q5258">
        <v>25</v>
      </c>
      <c r="R5258">
        <v>32.1</v>
      </c>
      <c r="S5258">
        <v>23.097999999999999</v>
      </c>
      <c r="T5258">
        <v>279.98</v>
      </c>
      <c r="U5258">
        <v>101</v>
      </c>
      <c r="V5258">
        <v>0</v>
      </c>
      <c r="W5258">
        <v>149.97999999999999</v>
      </c>
      <c r="X5258">
        <v>237.98</v>
      </c>
      <c r="Y5258">
        <v>0</v>
      </c>
      <c r="Z5258">
        <v>40</v>
      </c>
      <c r="AA5258">
        <v>0</v>
      </c>
      <c r="AB5258">
        <v>3.2714639999999999</v>
      </c>
      <c r="AC5258">
        <v>2.6734529999999999E-2</v>
      </c>
      <c r="AD5258">
        <v>1.653802</v>
      </c>
      <c r="AE5258">
        <v>0.1583726</v>
      </c>
      <c r="AF5258">
        <v>476.5376</v>
      </c>
      <c r="AG5258">
        <f>IFERROR(AH5258*0.1, "N/A")</f>
        <v>6.6001670000000008</v>
      </c>
      <c r="AH5258">
        <v>66.001670000000004</v>
      </c>
      <c r="AI5258">
        <v>143.5977</v>
      </c>
      <c r="AJ5258">
        <v>17.011690000000002</v>
      </c>
      <c r="AK5258">
        <v>74.944909999999993</v>
      </c>
    </row>
    <row r="5259" spans="1:37" x14ac:dyDescent="0.3">
      <c r="A5259">
        <v>5258</v>
      </c>
      <c r="B5259">
        <v>38.299999999999997</v>
      </c>
      <c r="C5259">
        <v>5.6666699999999999</v>
      </c>
      <c r="D5259">
        <v>15.1</v>
      </c>
      <c r="E5259" t="s">
        <v>8467</v>
      </c>
      <c r="F5259" t="s">
        <v>8468</v>
      </c>
      <c r="G5259" t="s">
        <v>39</v>
      </c>
      <c r="H5259">
        <v>0</v>
      </c>
      <c r="I5259">
        <v>28.8</v>
      </c>
      <c r="J5259">
        <v>14.5</v>
      </c>
      <c r="K5259">
        <v>54</v>
      </c>
      <c r="L5259">
        <v>33.90278</v>
      </c>
      <c r="M5259">
        <v>40.953830000000004</v>
      </c>
      <c r="N5259">
        <v>14.472</v>
      </c>
      <c r="O5259">
        <v>26.481829999999999</v>
      </c>
      <c r="P5259">
        <v>29.2</v>
      </c>
      <c r="Q5259">
        <v>25.912500000000001</v>
      </c>
      <c r="R5259">
        <v>33</v>
      </c>
      <c r="S5259">
        <v>23.95383</v>
      </c>
      <c r="T5259">
        <v>337.01830000000001</v>
      </c>
      <c r="U5259">
        <v>121.30670000000001</v>
      </c>
      <c r="V5259">
        <v>0</v>
      </c>
      <c r="W5259">
        <v>143.72</v>
      </c>
      <c r="X5259">
        <v>277.30669999999998</v>
      </c>
      <c r="Y5259">
        <v>0</v>
      </c>
      <c r="Z5259">
        <v>54.711669999999998</v>
      </c>
      <c r="AA5259">
        <v>0</v>
      </c>
      <c r="AB5259">
        <v>0</v>
      </c>
      <c r="AC5259">
        <v>2.2669069999999999E-2</v>
      </c>
      <c r="AD5259">
        <v>2.4016049999999998E-3</v>
      </c>
      <c r="AE5259">
        <v>0.3662784</v>
      </c>
      <c r="AF5259">
        <v>388</v>
      </c>
      <c r="AG5259" t="str">
        <f>IFERROR(AH5259*0.1, "N/A")</f>
        <v>N/A</v>
      </c>
      <c r="AH5259" t="s">
        <v>729</v>
      </c>
      <c r="AI5259">
        <v>0.45</v>
      </c>
      <c r="AJ5259" t="s">
        <v>729</v>
      </c>
      <c r="AK5259" t="s">
        <v>729</v>
      </c>
    </row>
    <row r="5260" spans="1:37" x14ac:dyDescent="0.3">
      <c r="A5260">
        <v>5259</v>
      </c>
      <c r="B5260">
        <v>70.900000000000006</v>
      </c>
      <c r="C5260">
        <v>5.6711</v>
      </c>
      <c r="D5260">
        <v>15.1153</v>
      </c>
      <c r="E5260" t="s">
        <v>8469</v>
      </c>
      <c r="F5260" t="s">
        <v>8470</v>
      </c>
      <c r="G5260" t="s">
        <v>39</v>
      </c>
      <c r="H5260">
        <v>0</v>
      </c>
      <c r="I5260">
        <v>28.7</v>
      </c>
      <c r="J5260">
        <v>14.6</v>
      </c>
      <c r="K5260">
        <v>55</v>
      </c>
      <c r="L5260">
        <v>33.89</v>
      </c>
      <c r="M5260">
        <v>40.9</v>
      </c>
      <c r="N5260">
        <v>14.4</v>
      </c>
      <c r="O5260">
        <v>26.5</v>
      </c>
      <c r="P5260">
        <v>29.1</v>
      </c>
      <c r="Q5260">
        <v>25.8</v>
      </c>
      <c r="R5260">
        <v>32.9</v>
      </c>
      <c r="S5260">
        <v>23.8</v>
      </c>
      <c r="T5260">
        <v>336</v>
      </c>
      <c r="U5260">
        <v>121</v>
      </c>
      <c r="V5260">
        <v>0</v>
      </c>
      <c r="W5260">
        <v>144</v>
      </c>
      <c r="X5260">
        <v>277</v>
      </c>
      <c r="Y5260">
        <v>0</v>
      </c>
      <c r="Z5260">
        <v>54</v>
      </c>
      <c r="AA5260">
        <v>0</v>
      </c>
      <c r="AB5260">
        <v>30.368069999999999</v>
      </c>
      <c r="AC5260">
        <v>1.8738680000000001E-2</v>
      </c>
      <c r="AD5260">
        <v>6.3597729999999997</v>
      </c>
      <c r="AE5260">
        <v>0.44112699999999999</v>
      </c>
      <c r="AF5260">
        <v>420.36959999999999</v>
      </c>
      <c r="AG5260">
        <f>IFERROR(AH5260*0.1, "N/A")</f>
        <v>6.8918059999999999</v>
      </c>
      <c r="AH5260">
        <v>68.918059999999997</v>
      </c>
      <c r="AI5260">
        <v>139.15010000000001</v>
      </c>
      <c r="AJ5260">
        <v>12.88796</v>
      </c>
      <c r="AK5260">
        <v>75.096990000000005</v>
      </c>
    </row>
    <row r="5261" spans="1:37" x14ac:dyDescent="0.3">
      <c r="A5261">
        <v>5260</v>
      </c>
      <c r="B5261">
        <v>0</v>
      </c>
      <c r="C5261">
        <v>5.6711</v>
      </c>
      <c r="D5261">
        <v>15.1153</v>
      </c>
      <c r="E5261" t="s">
        <v>8469</v>
      </c>
      <c r="F5261" t="s">
        <v>8471</v>
      </c>
      <c r="G5261" t="s">
        <v>37</v>
      </c>
      <c r="H5261">
        <v>0</v>
      </c>
      <c r="I5261">
        <v>28.7</v>
      </c>
      <c r="J5261">
        <v>14.6</v>
      </c>
      <c r="K5261">
        <v>55</v>
      </c>
      <c r="L5261">
        <v>33.89</v>
      </c>
      <c r="M5261">
        <v>40.9</v>
      </c>
      <c r="N5261">
        <v>14.4</v>
      </c>
      <c r="O5261">
        <v>26.5</v>
      </c>
      <c r="P5261">
        <v>29.1</v>
      </c>
      <c r="Q5261">
        <v>25.8</v>
      </c>
      <c r="R5261">
        <v>32.9</v>
      </c>
      <c r="S5261">
        <v>23.8</v>
      </c>
      <c r="T5261">
        <v>336</v>
      </c>
      <c r="U5261">
        <v>121</v>
      </c>
      <c r="V5261">
        <v>0</v>
      </c>
      <c r="W5261">
        <v>144</v>
      </c>
      <c r="X5261">
        <v>277</v>
      </c>
      <c r="Y5261">
        <v>0</v>
      </c>
      <c r="Z5261">
        <v>54</v>
      </c>
      <c r="AA5261">
        <v>0</v>
      </c>
      <c r="AB5261">
        <v>30.368069999999999</v>
      </c>
      <c r="AC5261">
        <v>1.8738680000000001E-2</v>
      </c>
      <c r="AD5261">
        <v>6.3597729999999997</v>
      </c>
      <c r="AE5261">
        <v>0.44112699999999999</v>
      </c>
      <c r="AF5261">
        <v>420.36959999999999</v>
      </c>
      <c r="AG5261">
        <f>IFERROR(AH5261*0.1, "N/A")</f>
        <v>6.8918059999999999</v>
      </c>
      <c r="AH5261">
        <v>68.918059999999997</v>
      </c>
      <c r="AI5261">
        <v>139.15010000000001</v>
      </c>
      <c r="AJ5261">
        <v>12.88796</v>
      </c>
      <c r="AK5261">
        <v>75.096990000000005</v>
      </c>
    </row>
    <row r="5262" spans="1:37" x14ac:dyDescent="0.3">
      <c r="A5262">
        <v>5261</v>
      </c>
      <c r="B5262">
        <v>4</v>
      </c>
      <c r="C5262">
        <v>6.8188899999999997</v>
      </c>
      <c r="D5262">
        <v>15.1477</v>
      </c>
      <c r="E5262" t="s">
        <v>8472</v>
      </c>
      <c r="F5262" t="s">
        <v>8473</v>
      </c>
      <c r="G5262" t="s">
        <v>39</v>
      </c>
      <c r="H5262">
        <v>0</v>
      </c>
      <c r="I5262">
        <v>28.2</v>
      </c>
      <c r="J5262">
        <v>14.8</v>
      </c>
      <c r="K5262">
        <v>55</v>
      </c>
      <c r="L5262">
        <v>34.340000000000003</v>
      </c>
      <c r="M5262">
        <v>40.6</v>
      </c>
      <c r="N5262">
        <v>13.9</v>
      </c>
      <c r="O5262">
        <v>26.7</v>
      </c>
      <c r="P5262">
        <v>28.8</v>
      </c>
      <c r="Q5262">
        <v>25.3</v>
      </c>
      <c r="R5262">
        <v>32.5</v>
      </c>
      <c r="S5262">
        <v>23.3</v>
      </c>
      <c r="T5262">
        <v>272</v>
      </c>
      <c r="U5262">
        <v>102</v>
      </c>
      <c r="V5262">
        <v>0</v>
      </c>
      <c r="W5262">
        <v>154</v>
      </c>
      <c r="X5262">
        <v>234</v>
      </c>
      <c r="Y5262">
        <v>0</v>
      </c>
      <c r="Z5262">
        <v>37</v>
      </c>
      <c r="AA5262">
        <v>0</v>
      </c>
      <c r="AB5262">
        <v>1.2600990000000001</v>
      </c>
      <c r="AC5262">
        <v>6.9863580000000001</v>
      </c>
      <c r="AD5262">
        <v>0.98211009999999999</v>
      </c>
      <c r="AE5262">
        <v>0.14910409999999999</v>
      </c>
      <c r="AF5262">
        <v>407.22199999999998</v>
      </c>
      <c r="AG5262">
        <f>IFERROR(AH5262*0.1, "N/A")</f>
        <v>6.782972</v>
      </c>
      <c r="AH5262">
        <v>67.829719999999995</v>
      </c>
      <c r="AI5262">
        <v>173.7698</v>
      </c>
      <c r="AJ5262">
        <v>11.240399999999999</v>
      </c>
      <c r="AK5262">
        <v>77.510850000000005</v>
      </c>
    </row>
    <row r="5263" spans="1:37" x14ac:dyDescent="0.3">
      <c r="A5263">
        <v>5262</v>
      </c>
      <c r="B5263">
        <v>0</v>
      </c>
      <c r="C5263">
        <v>8.5606899999999992</v>
      </c>
      <c r="D5263">
        <v>15.1808</v>
      </c>
      <c r="E5263" t="s">
        <v>8474</v>
      </c>
      <c r="F5263" t="s">
        <v>8475</v>
      </c>
      <c r="G5263" t="s">
        <v>39</v>
      </c>
      <c r="H5263">
        <v>0</v>
      </c>
      <c r="I5263">
        <v>27.6</v>
      </c>
      <c r="J5263">
        <v>14.9</v>
      </c>
      <c r="K5263">
        <v>56</v>
      </c>
      <c r="L5263">
        <v>33.61</v>
      </c>
      <c r="M5263">
        <v>40</v>
      </c>
      <c r="N5263">
        <v>13.8</v>
      </c>
      <c r="O5263">
        <v>26.2</v>
      </c>
      <c r="P5263">
        <v>28.1</v>
      </c>
      <c r="Q5263">
        <v>24.8</v>
      </c>
      <c r="R5263">
        <v>31.8</v>
      </c>
      <c r="S5263">
        <v>22.7</v>
      </c>
      <c r="T5263">
        <v>216</v>
      </c>
      <c r="U5263">
        <v>90</v>
      </c>
      <c r="V5263">
        <v>0</v>
      </c>
      <c r="W5263">
        <v>159</v>
      </c>
      <c r="X5263">
        <v>194</v>
      </c>
      <c r="Y5263">
        <v>0</v>
      </c>
      <c r="Z5263">
        <v>21</v>
      </c>
      <c r="AA5263">
        <v>0</v>
      </c>
      <c r="AB5263">
        <v>4.44747</v>
      </c>
      <c r="AC5263">
        <v>1.027751E-2</v>
      </c>
      <c r="AD5263">
        <v>1.2133860000000001</v>
      </c>
      <c r="AE5263">
        <v>0.16695979999999999</v>
      </c>
      <c r="AF5263">
        <v>470.29700000000003</v>
      </c>
      <c r="AG5263">
        <f>IFERROR(AH5263*0.1, "N/A")</f>
        <v>7.7533560000000001</v>
      </c>
      <c r="AH5263">
        <v>77.533559999999994</v>
      </c>
      <c r="AI5263">
        <v>228.87299999999999</v>
      </c>
      <c r="AJ5263">
        <v>5.0469799999999996</v>
      </c>
      <c r="AK5263">
        <v>89.642619999999994</v>
      </c>
    </row>
    <row r="5264" spans="1:37" x14ac:dyDescent="0.3">
      <c r="A5264">
        <v>5263</v>
      </c>
      <c r="B5264">
        <v>0</v>
      </c>
      <c r="C5264">
        <v>8.5606899999999992</v>
      </c>
      <c r="D5264">
        <v>15.1808</v>
      </c>
      <c r="E5264" t="s">
        <v>8474</v>
      </c>
      <c r="F5264" t="s">
        <v>8476</v>
      </c>
      <c r="G5264" t="s">
        <v>37</v>
      </c>
      <c r="H5264">
        <v>0</v>
      </c>
      <c r="I5264">
        <v>27.6</v>
      </c>
      <c r="J5264">
        <v>14.9</v>
      </c>
      <c r="K5264">
        <v>56</v>
      </c>
      <c r="L5264">
        <v>33.61</v>
      </c>
      <c r="M5264">
        <v>40</v>
      </c>
      <c r="N5264">
        <v>13.8</v>
      </c>
      <c r="O5264">
        <v>26.2</v>
      </c>
      <c r="P5264">
        <v>28.1</v>
      </c>
      <c r="Q5264">
        <v>24.8</v>
      </c>
      <c r="R5264">
        <v>31.8</v>
      </c>
      <c r="S5264">
        <v>22.7</v>
      </c>
      <c r="T5264">
        <v>216</v>
      </c>
      <c r="U5264">
        <v>90</v>
      </c>
      <c r="V5264">
        <v>0</v>
      </c>
      <c r="W5264">
        <v>159</v>
      </c>
      <c r="X5264">
        <v>194</v>
      </c>
      <c r="Y5264">
        <v>0</v>
      </c>
      <c r="Z5264">
        <v>21</v>
      </c>
      <c r="AA5264">
        <v>0</v>
      </c>
      <c r="AB5264">
        <v>4.44747</v>
      </c>
      <c r="AC5264">
        <v>1.027751E-2</v>
      </c>
      <c r="AD5264">
        <v>1.2133860000000001</v>
      </c>
      <c r="AE5264">
        <v>0.16695979999999999</v>
      </c>
      <c r="AF5264">
        <v>470.29700000000003</v>
      </c>
      <c r="AG5264">
        <f>IFERROR(AH5264*0.1, "N/A")</f>
        <v>7.7533560000000001</v>
      </c>
      <c r="AH5264">
        <v>77.533559999999994</v>
      </c>
      <c r="AI5264">
        <v>228.87299999999999</v>
      </c>
      <c r="AJ5264">
        <v>5.0469799999999996</v>
      </c>
      <c r="AK5264">
        <v>89.642619999999994</v>
      </c>
    </row>
    <row r="5265" spans="1:37" x14ac:dyDescent="0.3">
      <c r="A5265">
        <v>5264</v>
      </c>
      <c r="B5265">
        <v>0</v>
      </c>
      <c r="C5265">
        <v>1.3134999999999999</v>
      </c>
      <c r="D5265">
        <v>15.227499999999999</v>
      </c>
      <c r="E5265" t="s">
        <v>8477</v>
      </c>
      <c r="F5265" t="s">
        <v>8478</v>
      </c>
      <c r="G5265" t="s">
        <v>37</v>
      </c>
      <c r="H5265">
        <v>1987</v>
      </c>
      <c r="I5265">
        <v>29.3</v>
      </c>
      <c r="J5265">
        <v>14.4</v>
      </c>
      <c r="K5265">
        <v>59</v>
      </c>
      <c r="L5265">
        <v>27.17</v>
      </c>
      <c r="M5265">
        <v>40.200000000000003</v>
      </c>
      <c r="N5265">
        <v>16.100000000000001</v>
      </c>
      <c r="O5265">
        <v>24.1</v>
      </c>
      <c r="P5265">
        <v>29.9</v>
      </c>
      <c r="Q5265">
        <v>26.6</v>
      </c>
      <c r="R5265">
        <v>32.5</v>
      </c>
      <c r="S5265">
        <v>25.3</v>
      </c>
      <c r="T5265">
        <v>232</v>
      </c>
      <c r="U5265">
        <v>99</v>
      </c>
      <c r="V5265">
        <v>0</v>
      </c>
      <c r="W5265">
        <v>154</v>
      </c>
      <c r="X5265">
        <v>202</v>
      </c>
      <c r="Y5265">
        <v>0</v>
      </c>
      <c r="Z5265">
        <v>27</v>
      </c>
      <c r="AA5265">
        <v>0</v>
      </c>
      <c r="AB5265">
        <v>0.59582060000000003</v>
      </c>
      <c r="AC5265">
        <v>5924.7690000000002</v>
      </c>
      <c r="AD5265">
        <v>0.66041360000000005</v>
      </c>
      <c r="AE5265">
        <v>0.22622800000000001</v>
      </c>
      <c r="AF5265">
        <v>251.41810000000001</v>
      </c>
      <c r="AG5265">
        <f>IFERROR(AH5265*0.1, "N/A")</f>
        <v>6.6973240000000009</v>
      </c>
      <c r="AH5265">
        <v>66.973240000000004</v>
      </c>
      <c r="AI5265">
        <v>101.1771</v>
      </c>
      <c r="AJ5265">
        <v>25.078600000000002</v>
      </c>
      <c r="AK5265">
        <v>55.956519999999998</v>
      </c>
    </row>
    <row r="5266" spans="1:37" x14ac:dyDescent="0.3">
      <c r="A5266">
        <v>5265</v>
      </c>
      <c r="B5266">
        <v>69.099999999999994</v>
      </c>
      <c r="C5266">
        <v>1.3143499999999999</v>
      </c>
      <c r="D5266">
        <v>15.229799999999999</v>
      </c>
      <c r="E5266" t="s">
        <v>8479</v>
      </c>
      <c r="F5266" t="s">
        <v>8480</v>
      </c>
      <c r="G5266" t="s">
        <v>39</v>
      </c>
      <c r="H5266">
        <v>0</v>
      </c>
      <c r="I5266">
        <v>29.3</v>
      </c>
      <c r="J5266">
        <v>14.4</v>
      </c>
      <c r="K5266">
        <v>59</v>
      </c>
      <c r="L5266">
        <v>27.17</v>
      </c>
      <c r="M5266">
        <v>40.200000000000003</v>
      </c>
      <c r="N5266">
        <v>16.100000000000001</v>
      </c>
      <c r="O5266">
        <v>24.1</v>
      </c>
      <c r="P5266">
        <v>29.9</v>
      </c>
      <c r="Q5266">
        <v>26.6</v>
      </c>
      <c r="R5266">
        <v>32.5</v>
      </c>
      <c r="S5266">
        <v>25.3</v>
      </c>
      <c r="T5266">
        <v>232</v>
      </c>
      <c r="U5266">
        <v>99</v>
      </c>
      <c r="V5266">
        <v>0</v>
      </c>
      <c r="W5266">
        <v>154</v>
      </c>
      <c r="X5266">
        <v>202</v>
      </c>
      <c r="Y5266">
        <v>0</v>
      </c>
      <c r="Z5266">
        <v>27</v>
      </c>
      <c r="AA5266">
        <v>0</v>
      </c>
      <c r="AB5266">
        <v>1.9128369999999999</v>
      </c>
      <c r="AC5266">
        <v>5.0028919999999998E-2</v>
      </c>
      <c r="AD5266">
        <v>0.60924179999999994</v>
      </c>
      <c r="AE5266">
        <v>0.22623009999999999</v>
      </c>
      <c r="AF5266">
        <v>252.36170000000001</v>
      </c>
      <c r="AG5266">
        <f>IFERROR(AH5266*0.1, "N/A")</f>
        <v>7.1796670000000011</v>
      </c>
      <c r="AH5266">
        <v>71.796670000000006</v>
      </c>
      <c r="AI5266">
        <v>166.57159999999999</v>
      </c>
      <c r="AJ5266">
        <v>23.856670000000001</v>
      </c>
      <c r="AK5266">
        <v>58.751669999999997</v>
      </c>
    </row>
    <row r="5267" spans="1:37" x14ac:dyDescent="0.3">
      <c r="A5267">
        <v>5266</v>
      </c>
      <c r="B5267">
        <v>30</v>
      </c>
      <c r="C5267">
        <v>5.8573000000000004</v>
      </c>
      <c r="D5267">
        <v>15.2494</v>
      </c>
      <c r="E5267" t="s">
        <v>8481</v>
      </c>
      <c r="F5267" t="s">
        <v>8482</v>
      </c>
      <c r="G5267" t="s">
        <v>39</v>
      </c>
      <c r="H5267">
        <v>0</v>
      </c>
      <c r="I5267">
        <v>28.520199999999999</v>
      </c>
      <c r="J5267">
        <v>14.6</v>
      </c>
      <c r="K5267">
        <v>54</v>
      </c>
      <c r="L5267">
        <v>34.543840000000003</v>
      </c>
      <c r="M5267">
        <v>40.8202</v>
      </c>
      <c r="N5267">
        <v>14.120200000000001</v>
      </c>
      <c r="O5267">
        <v>26.7</v>
      </c>
      <c r="P5267">
        <v>29.2</v>
      </c>
      <c r="Q5267">
        <v>25.6</v>
      </c>
      <c r="R5267">
        <v>32.8202</v>
      </c>
      <c r="S5267">
        <v>23.520199999999999</v>
      </c>
      <c r="T5267">
        <v>304.08179999999999</v>
      </c>
      <c r="U5267">
        <v>109.74290000000001</v>
      </c>
      <c r="V5267">
        <v>0</v>
      </c>
      <c r="W5267">
        <v>146.74289999999999</v>
      </c>
      <c r="X5267">
        <v>253.28380000000001</v>
      </c>
      <c r="Y5267">
        <v>0</v>
      </c>
      <c r="Z5267">
        <v>46.798000000000002</v>
      </c>
      <c r="AA5267">
        <v>0</v>
      </c>
      <c r="AB5267">
        <v>19.074619999999999</v>
      </c>
      <c r="AC5267">
        <v>6.8942619999999996E-2</v>
      </c>
      <c r="AD5267">
        <v>1.021236</v>
      </c>
      <c r="AE5267">
        <v>0.18004619999999999</v>
      </c>
      <c r="AF5267">
        <v>419.05509999999998</v>
      </c>
      <c r="AG5267">
        <f>IFERROR(AH5267*0.1, "N/A")</f>
        <v>7</v>
      </c>
      <c r="AH5267">
        <v>70</v>
      </c>
      <c r="AI5267">
        <v>41.964550000000003</v>
      </c>
      <c r="AJ5267">
        <v>9.8948250000000009</v>
      </c>
      <c r="AK5267">
        <v>79.105180000000004</v>
      </c>
    </row>
    <row r="5268" spans="1:37" x14ac:dyDescent="0.3">
      <c r="A5268">
        <v>5267</v>
      </c>
      <c r="B5268">
        <v>16.7</v>
      </c>
      <c r="C5268">
        <v>5.6140999999999996</v>
      </c>
      <c r="D5268">
        <v>15.2761</v>
      </c>
      <c r="E5268" t="s">
        <v>8483</v>
      </c>
      <c r="F5268" t="s">
        <v>8484</v>
      </c>
      <c r="G5268" t="s">
        <v>39</v>
      </c>
      <c r="H5268">
        <v>0</v>
      </c>
      <c r="I5268">
        <v>28.6</v>
      </c>
      <c r="J5268">
        <v>14.6</v>
      </c>
      <c r="K5268">
        <v>54</v>
      </c>
      <c r="L5268">
        <v>34.619999999999997</v>
      </c>
      <c r="M5268">
        <v>41</v>
      </c>
      <c r="N5268">
        <v>14.1</v>
      </c>
      <c r="O5268">
        <v>26.9</v>
      </c>
      <c r="P5268">
        <v>29.2</v>
      </c>
      <c r="Q5268">
        <v>25.6</v>
      </c>
      <c r="R5268">
        <v>32.9</v>
      </c>
      <c r="S5268">
        <v>23.7</v>
      </c>
      <c r="T5268">
        <v>308</v>
      </c>
      <c r="U5268">
        <v>111</v>
      </c>
      <c r="V5268">
        <v>0</v>
      </c>
      <c r="W5268">
        <v>146</v>
      </c>
      <c r="X5268">
        <v>253</v>
      </c>
      <c r="Y5268">
        <v>0</v>
      </c>
      <c r="Z5268">
        <v>50</v>
      </c>
      <c r="AA5268">
        <v>0</v>
      </c>
      <c r="AB5268">
        <v>0</v>
      </c>
      <c r="AC5268">
        <v>131.17189999999999</v>
      </c>
      <c r="AD5268">
        <v>0</v>
      </c>
      <c r="AE5268">
        <v>0.36053869999999999</v>
      </c>
      <c r="AF5268">
        <v>420</v>
      </c>
      <c r="AG5268" t="str">
        <f>IFERROR(AH5268*0.1, "N/A")</f>
        <v>N/A</v>
      </c>
      <c r="AH5268" t="s">
        <v>729</v>
      </c>
      <c r="AI5268">
        <v>0</v>
      </c>
      <c r="AJ5268" t="s">
        <v>729</v>
      </c>
      <c r="AK5268" t="s">
        <v>729</v>
      </c>
    </row>
    <row r="5269" spans="1:37" x14ac:dyDescent="0.3">
      <c r="A5269">
        <v>5268</v>
      </c>
      <c r="B5269">
        <v>0</v>
      </c>
      <c r="C5269">
        <v>9.0242900000000006</v>
      </c>
      <c r="D5269">
        <v>15.3117</v>
      </c>
      <c r="E5269" t="s">
        <v>8485</v>
      </c>
      <c r="F5269" t="s">
        <v>8486</v>
      </c>
      <c r="G5269" t="s">
        <v>39</v>
      </c>
      <c r="H5269">
        <v>0</v>
      </c>
      <c r="I5269">
        <v>27.3</v>
      </c>
      <c r="J5269">
        <v>15</v>
      </c>
      <c r="K5269">
        <v>56</v>
      </c>
      <c r="L5269">
        <v>33.89</v>
      </c>
      <c r="M5269">
        <v>39.9</v>
      </c>
      <c r="N5269">
        <v>13.4</v>
      </c>
      <c r="O5269">
        <v>26.5</v>
      </c>
      <c r="P5269">
        <v>28</v>
      </c>
      <c r="Q5269">
        <v>24.4</v>
      </c>
      <c r="R5269">
        <v>31.5</v>
      </c>
      <c r="S5269">
        <v>22.4</v>
      </c>
      <c r="T5269">
        <v>199</v>
      </c>
      <c r="U5269">
        <v>84</v>
      </c>
      <c r="V5269">
        <v>0</v>
      </c>
      <c r="W5269">
        <v>164</v>
      </c>
      <c r="X5269">
        <v>178</v>
      </c>
      <c r="Y5269">
        <v>0</v>
      </c>
      <c r="Z5269">
        <v>20</v>
      </c>
      <c r="AA5269">
        <v>0</v>
      </c>
      <c r="AB5269">
        <v>0.441409</v>
      </c>
      <c r="AC5269">
        <v>0.46534900000000001</v>
      </c>
      <c r="AD5269">
        <v>1.6778949999999999</v>
      </c>
      <c r="AE5269">
        <v>0.16919999999999999</v>
      </c>
      <c r="AF5269">
        <v>494.27879999999999</v>
      </c>
      <c r="AG5269">
        <f>IFERROR(AH5269*0.1, "N/A")</f>
        <v>7.7</v>
      </c>
      <c r="AH5269">
        <v>77</v>
      </c>
      <c r="AI5269">
        <v>183.18680000000001</v>
      </c>
      <c r="AJ5269">
        <v>1</v>
      </c>
      <c r="AK5269">
        <v>91.550920000000005</v>
      </c>
    </row>
    <row r="5270" spans="1:37" x14ac:dyDescent="0.3">
      <c r="A5270">
        <v>5269</v>
      </c>
      <c r="B5270">
        <v>0</v>
      </c>
      <c r="C5270">
        <v>9.0242900000000006</v>
      </c>
      <c r="D5270">
        <v>15.3117</v>
      </c>
      <c r="E5270" t="s">
        <v>8485</v>
      </c>
      <c r="F5270" t="s">
        <v>8487</v>
      </c>
      <c r="G5270" t="s">
        <v>37</v>
      </c>
      <c r="H5270">
        <v>0</v>
      </c>
      <c r="I5270">
        <v>27.3</v>
      </c>
      <c r="J5270">
        <v>15</v>
      </c>
      <c r="K5270">
        <v>56</v>
      </c>
      <c r="L5270">
        <v>33.89</v>
      </c>
      <c r="M5270">
        <v>39.9</v>
      </c>
      <c r="N5270">
        <v>13.4</v>
      </c>
      <c r="O5270">
        <v>26.5</v>
      </c>
      <c r="P5270">
        <v>28</v>
      </c>
      <c r="Q5270">
        <v>24.4</v>
      </c>
      <c r="R5270">
        <v>31.5</v>
      </c>
      <c r="S5270">
        <v>22.4</v>
      </c>
      <c r="T5270">
        <v>199</v>
      </c>
      <c r="U5270">
        <v>84</v>
      </c>
      <c r="V5270">
        <v>0</v>
      </c>
      <c r="W5270">
        <v>164</v>
      </c>
      <c r="X5270">
        <v>178</v>
      </c>
      <c r="Y5270">
        <v>0</v>
      </c>
      <c r="Z5270">
        <v>20</v>
      </c>
      <c r="AA5270">
        <v>0</v>
      </c>
      <c r="AB5270">
        <v>0.441409</v>
      </c>
      <c r="AC5270">
        <v>0.46534900000000001</v>
      </c>
      <c r="AD5270">
        <v>1.6778949999999999</v>
      </c>
      <c r="AE5270">
        <v>0.16919999999999999</v>
      </c>
      <c r="AF5270">
        <v>494.27879999999999</v>
      </c>
      <c r="AG5270">
        <f>IFERROR(AH5270*0.1, "N/A")</f>
        <v>7.7</v>
      </c>
      <c r="AH5270">
        <v>77</v>
      </c>
      <c r="AI5270">
        <v>183.18680000000001</v>
      </c>
      <c r="AJ5270">
        <v>1</v>
      </c>
      <c r="AK5270">
        <v>91.550920000000005</v>
      </c>
    </row>
    <row r="5271" spans="1:37" x14ac:dyDescent="0.3">
      <c r="A5271">
        <v>5270</v>
      </c>
      <c r="B5271">
        <v>12</v>
      </c>
      <c r="C5271">
        <v>6.0941000000000001</v>
      </c>
      <c r="D5271">
        <v>15.341699999999999</v>
      </c>
      <c r="E5271" t="s">
        <v>8488</v>
      </c>
      <c r="F5271" t="s">
        <v>8489</v>
      </c>
      <c r="G5271" t="s">
        <v>39</v>
      </c>
      <c r="H5271">
        <v>0</v>
      </c>
      <c r="I5271">
        <v>28.473459999999999</v>
      </c>
      <c r="J5271">
        <v>14.7</v>
      </c>
      <c r="K5271">
        <v>54</v>
      </c>
      <c r="L5271">
        <v>34.952649999999998</v>
      </c>
      <c r="M5271">
        <v>40.873460000000001</v>
      </c>
      <c r="N5271">
        <v>14</v>
      </c>
      <c r="O5271">
        <v>26.873460000000001</v>
      </c>
      <c r="P5271">
        <v>29.27346</v>
      </c>
      <c r="Q5271">
        <v>25.4</v>
      </c>
      <c r="R5271">
        <v>32.700000000000003</v>
      </c>
      <c r="S5271">
        <v>23.4</v>
      </c>
      <c r="T5271">
        <v>272.2654</v>
      </c>
      <c r="U5271">
        <v>98</v>
      </c>
      <c r="V5271">
        <v>0</v>
      </c>
      <c r="W5271">
        <v>150</v>
      </c>
      <c r="X5271">
        <v>228.2654</v>
      </c>
      <c r="Y5271">
        <v>0</v>
      </c>
      <c r="Z5271">
        <v>41</v>
      </c>
      <c r="AA5271">
        <v>0</v>
      </c>
      <c r="AB5271">
        <v>4.4836289999999996</v>
      </c>
      <c r="AC5271">
        <v>9.4884849999999996E-3</v>
      </c>
      <c r="AD5271">
        <v>1.086576</v>
      </c>
      <c r="AE5271">
        <v>0.1585355</v>
      </c>
      <c r="AF5271">
        <v>414.15530000000001</v>
      </c>
      <c r="AG5271">
        <f>IFERROR(AH5271*0.1, "N/A")</f>
        <v>7.0005009999999999</v>
      </c>
      <c r="AH5271">
        <v>70.005009999999999</v>
      </c>
      <c r="AI5271">
        <v>222.26990000000001</v>
      </c>
      <c r="AJ5271">
        <v>12.010020000000001</v>
      </c>
      <c r="AK5271">
        <v>77.979969999999994</v>
      </c>
    </row>
    <row r="5272" spans="1:37" x14ac:dyDescent="0.3">
      <c r="A5272">
        <v>5271</v>
      </c>
      <c r="B5272">
        <v>0</v>
      </c>
      <c r="C5272">
        <v>7.5369599999999997</v>
      </c>
      <c r="D5272">
        <v>15.371700000000001</v>
      </c>
      <c r="E5272" t="s">
        <v>8490</v>
      </c>
      <c r="F5272" t="s">
        <v>8491</v>
      </c>
      <c r="G5272" t="s">
        <v>39</v>
      </c>
      <c r="H5272">
        <v>0</v>
      </c>
      <c r="I5272">
        <v>27.8</v>
      </c>
      <c r="J5272">
        <v>14.9</v>
      </c>
      <c r="K5272">
        <v>55</v>
      </c>
      <c r="L5272">
        <v>35.33</v>
      </c>
      <c r="M5272">
        <v>40.299999999999997</v>
      </c>
      <c r="N5272">
        <v>13.4</v>
      </c>
      <c r="O5272">
        <v>26.9</v>
      </c>
      <c r="P5272">
        <v>28.7</v>
      </c>
      <c r="Q5272">
        <v>24.7</v>
      </c>
      <c r="R5272">
        <v>32.1</v>
      </c>
      <c r="S5272">
        <v>22.6</v>
      </c>
      <c r="T5272">
        <v>232</v>
      </c>
      <c r="U5272">
        <v>95</v>
      </c>
      <c r="V5272">
        <v>0</v>
      </c>
      <c r="W5272">
        <v>157</v>
      </c>
      <c r="X5272">
        <v>204</v>
      </c>
      <c r="Y5272">
        <v>0</v>
      </c>
      <c r="Z5272">
        <v>26</v>
      </c>
      <c r="AA5272">
        <v>0</v>
      </c>
      <c r="AB5272">
        <v>8.5811969999999995</v>
      </c>
      <c r="AC5272">
        <v>1.7824340000000001E-2</v>
      </c>
      <c r="AD5272">
        <v>2.4066000000000001</v>
      </c>
      <c r="AE5272">
        <v>0.1532762</v>
      </c>
      <c r="AF5272">
        <v>478.89260000000002</v>
      </c>
      <c r="AG5272">
        <f>IFERROR(AH5272*0.1, "N/A")</f>
        <v>7.6000000000000005</v>
      </c>
      <c r="AH5272">
        <v>76</v>
      </c>
      <c r="AI5272">
        <v>111.54470000000001</v>
      </c>
      <c r="AJ5272">
        <v>1</v>
      </c>
      <c r="AK5272">
        <v>89.583889999999997</v>
      </c>
    </row>
    <row r="5273" spans="1:37" x14ac:dyDescent="0.3">
      <c r="A5273">
        <v>5272</v>
      </c>
      <c r="B5273">
        <v>0</v>
      </c>
      <c r="C5273">
        <v>7.5369599999999997</v>
      </c>
      <c r="D5273">
        <v>15.371700000000001</v>
      </c>
      <c r="E5273" t="s">
        <v>8490</v>
      </c>
      <c r="F5273" t="s">
        <v>8492</v>
      </c>
      <c r="G5273" t="s">
        <v>37</v>
      </c>
      <c r="H5273">
        <v>0</v>
      </c>
      <c r="I5273">
        <v>27.8</v>
      </c>
      <c r="J5273">
        <v>14.9</v>
      </c>
      <c r="K5273">
        <v>55</v>
      </c>
      <c r="L5273">
        <v>35.33</v>
      </c>
      <c r="M5273">
        <v>40.299999999999997</v>
      </c>
      <c r="N5273">
        <v>13.4</v>
      </c>
      <c r="O5273">
        <v>26.9</v>
      </c>
      <c r="P5273">
        <v>28.7</v>
      </c>
      <c r="Q5273">
        <v>24.7</v>
      </c>
      <c r="R5273">
        <v>32.1</v>
      </c>
      <c r="S5273">
        <v>22.6</v>
      </c>
      <c r="T5273">
        <v>232</v>
      </c>
      <c r="U5273">
        <v>95</v>
      </c>
      <c r="V5273">
        <v>0</v>
      </c>
      <c r="W5273">
        <v>157</v>
      </c>
      <c r="X5273">
        <v>204</v>
      </c>
      <c r="Y5273">
        <v>0</v>
      </c>
      <c r="Z5273">
        <v>26</v>
      </c>
      <c r="AA5273">
        <v>0</v>
      </c>
      <c r="AB5273">
        <v>8.5811969999999995</v>
      </c>
      <c r="AC5273">
        <v>1.7824340000000001E-2</v>
      </c>
      <c r="AD5273">
        <v>2.4066000000000001</v>
      </c>
      <c r="AE5273">
        <v>0.1532762</v>
      </c>
      <c r="AF5273">
        <v>478.89260000000002</v>
      </c>
      <c r="AG5273">
        <f>IFERROR(AH5273*0.1, "N/A")</f>
        <v>7.6000000000000005</v>
      </c>
      <c r="AH5273">
        <v>76</v>
      </c>
      <c r="AI5273">
        <v>111.54470000000001</v>
      </c>
      <c r="AJ5273">
        <v>1</v>
      </c>
      <c r="AK5273">
        <v>89.583889999999997</v>
      </c>
    </row>
    <row r="5274" spans="1:37" x14ac:dyDescent="0.3">
      <c r="A5274">
        <v>5273</v>
      </c>
      <c r="B5274">
        <v>0</v>
      </c>
      <c r="C5274">
        <v>7.5172100000000004</v>
      </c>
      <c r="D5274">
        <v>15.399900000000001</v>
      </c>
      <c r="E5274" t="s">
        <v>8493</v>
      </c>
      <c r="F5274" t="s">
        <v>8494</v>
      </c>
      <c r="G5274" t="s">
        <v>39</v>
      </c>
      <c r="H5274">
        <v>0</v>
      </c>
      <c r="I5274">
        <v>27.747579999999999</v>
      </c>
      <c r="J5274">
        <v>14.9</v>
      </c>
      <c r="K5274">
        <v>55</v>
      </c>
      <c r="L5274">
        <v>35.728110000000001</v>
      </c>
      <c r="M5274">
        <v>40.247579999999999</v>
      </c>
      <c r="N5274">
        <v>13.3</v>
      </c>
      <c r="O5274">
        <v>26.947579999999999</v>
      </c>
      <c r="P5274">
        <v>28.7</v>
      </c>
      <c r="Q5274">
        <v>24.54758</v>
      </c>
      <c r="R5274">
        <v>32.064770000000003</v>
      </c>
      <c r="S5274">
        <v>22.524709999999999</v>
      </c>
      <c r="T5274">
        <v>229.99170000000001</v>
      </c>
      <c r="U5274">
        <v>94.171949999999995</v>
      </c>
      <c r="V5274">
        <v>0</v>
      </c>
      <c r="W5274">
        <v>156.172</v>
      </c>
      <c r="X5274">
        <v>202.81970000000001</v>
      </c>
      <c r="Y5274">
        <v>0</v>
      </c>
      <c r="Z5274">
        <v>25.171949999999999</v>
      </c>
      <c r="AA5274">
        <v>0</v>
      </c>
      <c r="AB5274">
        <v>8.9827929999999991</v>
      </c>
      <c r="AC5274">
        <v>1.2060370000000001E-2</v>
      </c>
      <c r="AD5274">
        <v>2.1769509999999999</v>
      </c>
      <c r="AE5274">
        <v>0.15398139999999999</v>
      </c>
      <c r="AF5274">
        <v>487.63940000000002</v>
      </c>
      <c r="AG5274">
        <f>IFERROR(AH5274*0.1, "N/A")</f>
        <v>7.4</v>
      </c>
      <c r="AH5274">
        <v>74</v>
      </c>
      <c r="AI5274">
        <v>101.895</v>
      </c>
      <c r="AJ5274">
        <v>14</v>
      </c>
      <c r="AK5274">
        <v>77</v>
      </c>
    </row>
    <row r="5275" spans="1:37" x14ac:dyDescent="0.3">
      <c r="A5275">
        <v>5274</v>
      </c>
      <c r="B5275">
        <v>0</v>
      </c>
      <c r="C5275">
        <v>7.5172100000000004</v>
      </c>
      <c r="D5275">
        <v>15.399900000000001</v>
      </c>
      <c r="E5275" t="s">
        <v>8493</v>
      </c>
      <c r="F5275" t="s">
        <v>8495</v>
      </c>
      <c r="G5275" t="s">
        <v>37</v>
      </c>
      <c r="H5275">
        <v>0</v>
      </c>
      <c r="I5275">
        <v>27.747579999999999</v>
      </c>
      <c r="J5275">
        <v>14.9</v>
      </c>
      <c r="K5275">
        <v>55</v>
      </c>
      <c r="L5275">
        <v>35.728110000000001</v>
      </c>
      <c r="M5275">
        <v>40.247579999999999</v>
      </c>
      <c r="N5275">
        <v>13.3</v>
      </c>
      <c r="O5275">
        <v>26.947579999999999</v>
      </c>
      <c r="P5275">
        <v>28.7</v>
      </c>
      <c r="Q5275">
        <v>24.54758</v>
      </c>
      <c r="R5275">
        <v>32.064770000000003</v>
      </c>
      <c r="S5275">
        <v>22.524709999999999</v>
      </c>
      <c r="T5275">
        <v>229.99170000000001</v>
      </c>
      <c r="U5275">
        <v>94.171949999999995</v>
      </c>
      <c r="V5275">
        <v>0</v>
      </c>
      <c r="W5275">
        <v>156.172</v>
      </c>
      <c r="X5275">
        <v>202.81970000000001</v>
      </c>
      <c r="Y5275">
        <v>0</v>
      </c>
      <c r="Z5275">
        <v>25.171949999999999</v>
      </c>
      <c r="AA5275">
        <v>0</v>
      </c>
      <c r="AB5275">
        <v>8.9827929999999991</v>
      </c>
      <c r="AC5275">
        <v>1.2060370000000001E-2</v>
      </c>
      <c r="AD5275">
        <v>2.1769509999999999</v>
      </c>
      <c r="AE5275">
        <v>0.15398139999999999</v>
      </c>
      <c r="AF5275">
        <v>487.63940000000002</v>
      </c>
      <c r="AG5275">
        <f>IFERROR(AH5275*0.1, "N/A")</f>
        <v>7.4</v>
      </c>
      <c r="AH5275">
        <v>74</v>
      </c>
      <c r="AI5275">
        <v>101.895</v>
      </c>
      <c r="AJ5275">
        <v>14</v>
      </c>
      <c r="AK5275">
        <v>77</v>
      </c>
    </row>
    <row r="5276" spans="1:37" x14ac:dyDescent="0.3">
      <c r="A5276">
        <v>5275</v>
      </c>
      <c r="B5276">
        <v>100</v>
      </c>
      <c r="C5276">
        <v>5.7298499999999999</v>
      </c>
      <c r="D5276">
        <v>15.409800000000001</v>
      </c>
      <c r="E5276" t="s">
        <v>8496</v>
      </c>
      <c r="F5276" t="s">
        <v>8497</v>
      </c>
      <c r="G5276" t="s">
        <v>39</v>
      </c>
      <c r="H5276">
        <v>0</v>
      </c>
      <c r="I5276">
        <v>28.4</v>
      </c>
      <c r="J5276">
        <v>14.6</v>
      </c>
      <c r="K5276">
        <v>54</v>
      </c>
      <c r="L5276">
        <v>35.42</v>
      </c>
      <c r="M5276">
        <v>40.799999999999997</v>
      </c>
      <c r="N5276">
        <v>13.8</v>
      </c>
      <c r="O5276">
        <v>27</v>
      </c>
      <c r="P5276">
        <v>29.2</v>
      </c>
      <c r="Q5276">
        <v>25.3</v>
      </c>
      <c r="R5276">
        <v>32.700000000000003</v>
      </c>
      <c r="S5276">
        <v>23.3</v>
      </c>
      <c r="T5276">
        <v>285</v>
      </c>
      <c r="U5276">
        <v>104</v>
      </c>
      <c r="V5276">
        <v>0</v>
      </c>
      <c r="W5276">
        <v>149</v>
      </c>
      <c r="X5276">
        <v>236</v>
      </c>
      <c r="Y5276">
        <v>0</v>
      </c>
      <c r="Z5276">
        <v>45</v>
      </c>
      <c r="AA5276">
        <v>0</v>
      </c>
      <c r="AB5276">
        <v>3.7500079999999998</v>
      </c>
      <c r="AC5276">
        <v>1.0115580000000001E-2</v>
      </c>
      <c r="AD5276">
        <v>0.86771520000000002</v>
      </c>
      <c r="AE5276">
        <v>0.2141632</v>
      </c>
      <c r="AF5276">
        <v>471.72</v>
      </c>
      <c r="AG5276">
        <f>IFERROR(AH5276*0.1, "N/A")</f>
        <v>7.6456670000000004</v>
      </c>
      <c r="AH5276">
        <v>76.456670000000003</v>
      </c>
      <c r="AI5276">
        <v>141.74080000000001</v>
      </c>
      <c r="AJ5276">
        <v>25.003329999999998</v>
      </c>
      <c r="AK5276">
        <v>58.52</v>
      </c>
    </row>
    <row r="5277" spans="1:37" x14ac:dyDescent="0.3">
      <c r="A5277">
        <v>5276</v>
      </c>
      <c r="B5277">
        <v>0</v>
      </c>
      <c r="C5277">
        <v>7.5544000000000002</v>
      </c>
      <c r="D5277">
        <v>15.416600000000001</v>
      </c>
      <c r="E5277" t="s">
        <v>8498</v>
      </c>
      <c r="F5277" t="s">
        <v>8499</v>
      </c>
      <c r="G5277" t="s">
        <v>39</v>
      </c>
      <c r="H5277">
        <v>0</v>
      </c>
      <c r="I5277">
        <v>27.8</v>
      </c>
      <c r="J5277">
        <v>14.9</v>
      </c>
      <c r="K5277">
        <v>54.719059999999999</v>
      </c>
      <c r="L5277">
        <v>35.759</v>
      </c>
      <c r="M5277">
        <v>40.4</v>
      </c>
      <c r="N5277">
        <v>13.37191</v>
      </c>
      <c r="O5277">
        <v>27.028089999999999</v>
      </c>
      <c r="P5277">
        <v>28.8</v>
      </c>
      <c r="Q5277">
        <v>24.67191</v>
      </c>
      <c r="R5277">
        <v>32.200000000000003</v>
      </c>
      <c r="S5277">
        <v>22.6</v>
      </c>
      <c r="T5277">
        <v>226.7191</v>
      </c>
      <c r="U5277">
        <v>93</v>
      </c>
      <c r="V5277">
        <v>0</v>
      </c>
      <c r="W5277">
        <v>162.2809</v>
      </c>
      <c r="X5277">
        <v>200</v>
      </c>
      <c r="Y5277">
        <v>0</v>
      </c>
      <c r="Z5277">
        <v>24.719059999999999</v>
      </c>
      <c r="AA5277">
        <v>0</v>
      </c>
      <c r="AB5277">
        <v>3.0615489999999999</v>
      </c>
      <c r="AC5277">
        <v>3.0309300000000001E-2</v>
      </c>
      <c r="AD5277">
        <v>1.1487430000000001</v>
      </c>
      <c r="AE5277">
        <v>0.1543099</v>
      </c>
      <c r="AF5277">
        <v>474.14049999999997</v>
      </c>
      <c r="AG5277">
        <f>IFERROR(AH5277*0.1, "N/A")</f>
        <v>7.0690640000000009</v>
      </c>
      <c r="AH5277">
        <v>70.690640000000002</v>
      </c>
      <c r="AI5277">
        <v>271.59109999999998</v>
      </c>
      <c r="AJ5277">
        <v>12</v>
      </c>
      <c r="AK5277">
        <v>76</v>
      </c>
    </row>
    <row r="5278" spans="1:37" x14ac:dyDescent="0.3">
      <c r="A5278">
        <v>5277</v>
      </c>
      <c r="B5278">
        <v>0</v>
      </c>
      <c r="C5278">
        <v>7.5544000000000002</v>
      </c>
      <c r="D5278">
        <v>15.416600000000001</v>
      </c>
      <c r="E5278" t="s">
        <v>8498</v>
      </c>
      <c r="F5278" t="s">
        <v>8500</v>
      </c>
      <c r="G5278" t="s">
        <v>37</v>
      </c>
      <c r="H5278">
        <v>0</v>
      </c>
      <c r="I5278">
        <v>27.8</v>
      </c>
      <c r="J5278">
        <v>14.9</v>
      </c>
      <c r="K5278">
        <v>54.719059999999999</v>
      </c>
      <c r="L5278">
        <v>35.759</v>
      </c>
      <c r="M5278">
        <v>40.4</v>
      </c>
      <c r="N5278">
        <v>13.37191</v>
      </c>
      <c r="O5278">
        <v>27.028089999999999</v>
      </c>
      <c r="P5278">
        <v>28.8</v>
      </c>
      <c r="Q5278">
        <v>24.67191</v>
      </c>
      <c r="R5278">
        <v>32.200000000000003</v>
      </c>
      <c r="S5278">
        <v>22.6</v>
      </c>
      <c r="T5278">
        <v>226.7191</v>
      </c>
      <c r="U5278">
        <v>93</v>
      </c>
      <c r="V5278">
        <v>0</v>
      </c>
      <c r="W5278">
        <v>162.2809</v>
      </c>
      <c r="X5278">
        <v>200</v>
      </c>
      <c r="Y5278">
        <v>0</v>
      </c>
      <c r="Z5278">
        <v>24.719059999999999</v>
      </c>
      <c r="AA5278">
        <v>0</v>
      </c>
      <c r="AB5278">
        <v>3.0615489999999999</v>
      </c>
      <c r="AC5278">
        <v>3.0309300000000001E-2</v>
      </c>
      <c r="AD5278">
        <v>1.1487430000000001</v>
      </c>
      <c r="AE5278">
        <v>0.1543099</v>
      </c>
      <c r="AF5278">
        <v>474.14049999999997</v>
      </c>
      <c r="AG5278">
        <f>IFERROR(AH5278*0.1, "N/A")</f>
        <v>7.0690640000000009</v>
      </c>
      <c r="AH5278">
        <v>70.690640000000002</v>
      </c>
      <c r="AI5278">
        <v>271.59109999999998</v>
      </c>
      <c r="AJ5278">
        <v>12</v>
      </c>
      <c r="AK5278">
        <v>76</v>
      </c>
    </row>
    <row r="5279" spans="1:37" x14ac:dyDescent="0.3">
      <c r="A5279">
        <v>5278</v>
      </c>
      <c r="B5279">
        <v>73.3</v>
      </c>
      <c r="C5279">
        <v>6.2833300000000003</v>
      </c>
      <c r="D5279">
        <v>15.433299999999999</v>
      </c>
      <c r="E5279" t="s">
        <v>8501</v>
      </c>
      <c r="F5279" t="s">
        <v>8502</v>
      </c>
      <c r="G5279" t="s">
        <v>39</v>
      </c>
      <c r="H5279">
        <v>0</v>
      </c>
      <c r="I5279">
        <v>28.25676</v>
      </c>
      <c r="J5279">
        <v>14.8</v>
      </c>
      <c r="K5279">
        <v>54.145240000000001</v>
      </c>
      <c r="L5279">
        <v>35.564120000000003</v>
      </c>
      <c r="M5279">
        <v>40.656759999999998</v>
      </c>
      <c r="N5279">
        <v>13.671290000000001</v>
      </c>
      <c r="O5279">
        <v>26.985479999999999</v>
      </c>
      <c r="P5279">
        <v>29.071290000000001</v>
      </c>
      <c r="Q5279">
        <v>25.071290000000001</v>
      </c>
      <c r="R5279">
        <v>32.579630000000002</v>
      </c>
      <c r="S5279">
        <v>23.071290000000001</v>
      </c>
      <c r="T5279">
        <v>252.28710000000001</v>
      </c>
      <c r="U5279">
        <v>91</v>
      </c>
      <c r="V5279">
        <v>0</v>
      </c>
      <c r="W5279">
        <v>145.28710000000001</v>
      </c>
      <c r="X5279">
        <v>212.28710000000001</v>
      </c>
      <c r="Y5279">
        <v>0</v>
      </c>
      <c r="Z5279">
        <v>38</v>
      </c>
      <c r="AA5279">
        <v>0</v>
      </c>
      <c r="AB5279">
        <v>9.5415670000000006</v>
      </c>
      <c r="AC5279">
        <v>1.4495020000000001E-2</v>
      </c>
      <c r="AD5279">
        <v>1.5522609999999999</v>
      </c>
      <c r="AE5279">
        <v>0.36502269999999998</v>
      </c>
      <c r="AF5279">
        <v>462.35230000000001</v>
      </c>
      <c r="AG5279">
        <f>IFERROR(AH5279*0.1, "N/A")</f>
        <v>7.2796330000000005</v>
      </c>
      <c r="AH5279">
        <v>72.796329999999998</v>
      </c>
      <c r="AI5279">
        <v>275.3175</v>
      </c>
      <c r="AJ5279">
        <v>4.7963269999999998</v>
      </c>
      <c r="AK5279">
        <v>87.407349999999994</v>
      </c>
    </row>
    <row r="5280" spans="1:37" x14ac:dyDescent="0.3">
      <c r="A5280">
        <v>5279</v>
      </c>
      <c r="B5280">
        <v>0</v>
      </c>
      <c r="C5280">
        <v>8.3208199999999994</v>
      </c>
      <c r="D5280">
        <v>15.501099999999999</v>
      </c>
      <c r="E5280" t="s">
        <v>8503</v>
      </c>
      <c r="F5280" t="s">
        <v>8504</v>
      </c>
      <c r="G5280" t="s">
        <v>39</v>
      </c>
      <c r="H5280">
        <v>0</v>
      </c>
      <c r="I5280">
        <v>27.5</v>
      </c>
      <c r="J5280">
        <v>15</v>
      </c>
      <c r="K5280">
        <v>55</v>
      </c>
      <c r="L5280">
        <v>35.756010000000003</v>
      </c>
      <c r="M5280">
        <v>40.1</v>
      </c>
      <c r="N5280">
        <v>13.10266</v>
      </c>
      <c r="O5280">
        <v>26.997340000000001</v>
      </c>
      <c r="P5280">
        <v>28.4</v>
      </c>
      <c r="Q5280">
        <v>24.3</v>
      </c>
      <c r="R5280">
        <v>31.8</v>
      </c>
      <c r="S5280">
        <v>22.3</v>
      </c>
      <c r="T5280">
        <v>192.0266</v>
      </c>
      <c r="U5280">
        <v>82</v>
      </c>
      <c r="V5280">
        <v>0</v>
      </c>
      <c r="W5280">
        <v>160</v>
      </c>
      <c r="X5280">
        <v>173.0266</v>
      </c>
      <c r="Y5280">
        <v>0</v>
      </c>
      <c r="Z5280">
        <v>18</v>
      </c>
      <c r="AA5280">
        <v>0</v>
      </c>
      <c r="AB5280">
        <v>1.025744</v>
      </c>
      <c r="AC5280">
        <v>3.198461</v>
      </c>
      <c r="AD5280">
        <v>1.6019350000000001</v>
      </c>
      <c r="AE5280">
        <v>0.15057760000000001</v>
      </c>
      <c r="AF5280">
        <v>507.78899999999999</v>
      </c>
      <c r="AG5280">
        <f>IFERROR(AH5280*0.1, "N/A")</f>
        <v>6.404153</v>
      </c>
      <c r="AH5280">
        <v>64.041529999999995</v>
      </c>
      <c r="AI5280">
        <v>168.70930000000001</v>
      </c>
      <c r="AJ5280">
        <v>10.234220000000001</v>
      </c>
      <c r="AK5280">
        <v>75.863789999999995</v>
      </c>
    </row>
    <row r="5281" spans="1:37" x14ac:dyDescent="0.3">
      <c r="A5281">
        <v>5280</v>
      </c>
      <c r="B5281">
        <v>0</v>
      </c>
      <c r="C5281">
        <v>8.3208199999999994</v>
      </c>
      <c r="D5281">
        <v>15.501099999999999</v>
      </c>
      <c r="E5281" t="s">
        <v>8503</v>
      </c>
      <c r="F5281" t="s">
        <v>8505</v>
      </c>
      <c r="G5281" t="s">
        <v>37</v>
      </c>
      <c r="H5281">
        <v>0</v>
      </c>
      <c r="I5281">
        <v>27.5</v>
      </c>
      <c r="J5281">
        <v>15</v>
      </c>
      <c r="K5281">
        <v>55</v>
      </c>
      <c r="L5281">
        <v>35.756010000000003</v>
      </c>
      <c r="M5281">
        <v>40.1</v>
      </c>
      <c r="N5281">
        <v>13.10266</v>
      </c>
      <c r="O5281">
        <v>26.997340000000001</v>
      </c>
      <c r="P5281">
        <v>28.4</v>
      </c>
      <c r="Q5281">
        <v>24.3</v>
      </c>
      <c r="R5281">
        <v>31.8</v>
      </c>
      <c r="S5281">
        <v>22.3</v>
      </c>
      <c r="T5281">
        <v>192.0266</v>
      </c>
      <c r="U5281">
        <v>82</v>
      </c>
      <c r="V5281">
        <v>0</v>
      </c>
      <c r="W5281">
        <v>160</v>
      </c>
      <c r="X5281">
        <v>173.0266</v>
      </c>
      <c r="Y5281">
        <v>0</v>
      </c>
      <c r="Z5281">
        <v>18</v>
      </c>
      <c r="AA5281">
        <v>0</v>
      </c>
      <c r="AB5281">
        <v>1.025744</v>
      </c>
      <c r="AC5281">
        <v>3.198461</v>
      </c>
      <c r="AD5281">
        <v>1.6019350000000001</v>
      </c>
      <c r="AE5281">
        <v>0.15057760000000001</v>
      </c>
      <c r="AF5281">
        <v>507.78899999999999</v>
      </c>
      <c r="AG5281">
        <f>IFERROR(AH5281*0.1, "N/A")</f>
        <v>6.404153</v>
      </c>
      <c r="AH5281">
        <v>64.041529999999995</v>
      </c>
      <c r="AI5281">
        <v>168.70930000000001</v>
      </c>
      <c r="AJ5281">
        <v>10.234220000000001</v>
      </c>
      <c r="AK5281">
        <v>75.863789999999995</v>
      </c>
    </row>
    <row r="5282" spans="1:37" x14ac:dyDescent="0.3">
      <c r="A5282">
        <v>5281</v>
      </c>
      <c r="B5282">
        <v>68.2</v>
      </c>
      <c r="C5282">
        <v>5.9363999999999999</v>
      </c>
      <c r="D5282">
        <v>15.5633</v>
      </c>
      <c r="E5282" t="s">
        <v>8506</v>
      </c>
      <c r="F5282" t="s">
        <v>8507</v>
      </c>
      <c r="G5282" t="s">
        <v>39</v>
      </c>
      <c r="H5282">
        <v>0</v>
      </c>
      <c r="I5282">
        <v>28.1</v>
      </c>
      <c r="J5282">
        <v>14.7</v>
      </c>
      <c r="K5282">
        <v>54</v>
      </c>
      <c r="L5282">
        <v>36.03</v>
      </c>
      <c r="M5282">
        <v>40.6</v>
      </c>
      <c r="N5282">
        <v>13.4</v>
      </c>
      <c r="O5282">
        <v>27.2</v>
      </c>
      <c r="P5282">
        <v>29.1</v>
      </c>
      <c r="Q5282">
        <v>24.8</v>
      </c>
      <c r="R5282">
        <v>32.4</v>
      </c>
      <c r="S5282">
        <v>22.9</v>
      </c>
      <c r="T5282">
        <v>258</v>
      </c>
      <c r="U5282">
        <v>95</v>
      </c>
      <c r="V5282">
        <v>0</v>
      </c>
      <c r="W5282">
        <v>148</v>
      </c>
      <c r="X5282">
        <v>215</v>
      </c>
      <c r="Y5282">
        <v>0</v>
      </c>
      <c r="Z5282">
        <v>40</v>
      </c>
      <c r="AA5282">
        <v>0</v>
      </c>
      <c r="AB5282">
        <v>3.1089730000000002</v>
      </c>
      <c r="AC5282">
        <v>1.088225E-2</v>
      </c>
      <c r="AD5282">
        <v>1.9418789999999999</v>
      </c>
      <c r="AE5282">
        <v>0.15795329999999999</v>
      </c>
      <c r="AF5282">
        <v>496.3904</v>
      </c>
      <c r="AG5282">
        <f>IFERROR(AH5282*0.1, "N/A")</f>
        <v>7.2</v>
      </c>
      <c r="AH5282">
        <v>72</v>
      </c>
      <c r="AI5282">
        <v>126.7787</v>
      </c>
      <c r="AJ5282">
        <v>12</v>
      </c>
      <c r="AK5282">
        <v>79</v>
      </c>
    </row>
    <row r="5283" spans="1:37" x14ac:dyDescent="0.3">
      <c r="A5283">
        <v>5282</v>
      </c>
      <c r="B5283">
        <v>0</v>
      </c>
      <c r="C5283">
        <v>5.9363999999999999</v>
      </c>
      <c r="D5283">
        <v>15.5633</v>
      </c>
      <c r="E5283" t="s">
        <v>8506</v>
      </c>
      <c r="F5283" t="s">
        <v>8508</v>
      </c>
      <c r="G5283" t="s">
        <v>37</v>
      </c>
      <c r="H5283">
        <v>0</v>
      </c>
      <c r="I5283">
        <v>28.1</v>
      </c>
      <c r="J5283">
        <v>14.7</v>
      </c>
      <c r="K5283">
        <v>54</v>
      </c>
      <c r="L5283">
        <v>36.03</v>
      </c>
      <c r="M5283">
        <v>40.6</v>
      </c>
      <c r="N5283">
        <v>13.4</v>
      </c>
      <c r="O5283">
        <v>27.2</v>
      </c>
      <c r="P5283">
        <v>29.1</v>
      </c>
      <c r="Q5283">
        <v>24.8</v>
      </c>
      <c r="R5283">
        <v>32.4</v>
      </c>
      <c r="S5283">
        <v>22.9</v>
      </c>
      <c r="T5283">
        <v>258</v>
      </c>
      <c r="U5283">
        <v>95</v>
      </c>
      <c r="V5283">
        <v>0</v>
      </c>
      <c r="W5283">
        <v>148</v>
      </c>
      <c r="X5283">
        <v>215</v>
      </c>
      <c r="Y5283">
        <v>0</v>
      </c>
      <c r="Z5283">
        <v>40</v>
      </c>
      <c r="AA5283">
        <v>0</v>
      </c>
      <c r="AB5283">
        <v>3.1089730000000002</v>
      </c>
      <c r="AC5283">
        <v>1.088225E-2</v>
      </c>
      <c r="AD5283">
        <v>1.9418789999999999</v>
      </c>
      <c r="AE5283">
        <v>0.15795329999999999</v>
      </c>
      <c r="AF5283">
        <v>496.3904</v>
      </c>
      <c r="AG5283">
        <f>IFERROR(AH5283*0.1, "N/A")</f>
        <v>7.2</v>
      </c>
      <c r="AH5283">
        <v>72</v>
      </c>
      <c r="AI5283">
        <v>126.7787</v>
      </c>
      <c r="AJ5283">
        <v>12</v>
      </c>
      <c r="AK5283">
        <v>79</v>
      </c>
    </row>
    <row r="5284" spans="1:37" x14ac:dyDescent="0.3">
      <c r="A5284">
        <v>5283</v>
      </c>
      <c r="B5284">
        <v>3.3</v>
      </c>
      <c r="C5284">
        <v>6.5532700000000004</v>
      </c>
      <c r="D5284">
        <v>15.837199999999999</v>
      </c>
      <c r="E5284" t="s">
        <v>8509</v>
      </c>
      <c r="F5284" t="s">
        <v>8510</v>
      </c>
      <c r="G5284" t="s">
        <v>39</v>
      </c>
      <c r="H5284">
        <v>0</v>
      </c>
      <c r="I5284">
        <v>28.3</v>
      </c>
      <c r="J5284">
        <v>14.9</v>
      </c>
      <c r="K5284">
        <v>53</v>
      </c>
      <c r="L5284">
        <v>37.58</v>
      </c>
      <c r="M5284">
        <v>40.9</v>
      </c>
      <c r="N5284">
        <v>13.3</v>
      </c>
      <c r="O5284">
        <v>27.6</v>
      </c>
      <c r="P5284">
        <v>29.7</v>
      </c>
      <c r="Q5284">
        <v>24.7</v>
      </c>
      <c r="R5284">
        <v>32.6</v>
      </c>
      <c r="S5284">
        <v>22.7</v>
      </c>
      <c r="T5284">
        <v>220</v>
      </c>
      <c r="U5284">
        <v>86</v>
      </c>
      <c r="V5284">
        <v>0</v>
      </c>
      <c r="W5284">
        <v>152</v>
      </c>
      <c r="X5284">
        <v>188</v>
      </c>
      <c r="Y5284">
        <v>0</v>
      </c>
      <c r="Z5284">
        <v>30</v>
      </c>
      <c r="AA5284">
        <v>0</v>
      </c>
      <c r="AB5284">
        <v>4.1175699999999997</v>
      </c>
      <c r="AC5284">
        <v>0.81005300000000002</v>
      </c>
      <c r="AD5284">
        <v>1.6706920000000001</v>
      </c>
      <c r="AE5284">
        <v>0.1594315</v>
      </c>
      <c r="AF5284">
        <v>455.91210000000001</v>
      </c>
      <c r="AG5284">
        <f>IFERROR(AH5284*0.1, "N/A")</f>
        <v>7.4</v>
      </c>
      <c r="AH5284">
        <v>74</v>
      </c>
      <c r="AI5284">
        <v>162.8237</v>
      </c>
      <c r="AJ5284">
        <v>5</v>
      </c>
      <c r="AK5284">
        <v>87</v>
      </c>
    </row>
    <row r="5285" spans="1:37" x14ac:dyDescent="0.3">
      <c r="A5285">
        <v>5284</v>
      </c>
      <c r="B5285">
        <v>0</v>
      </c>
      <c r="C5285">
        <v>7.3012600000000001</v>
      </c>
      <c r="D5285">
        <v>16.124099999999999</v>
      </c>
      <c r="E5285" t="s">
        <v>8511</v>
      </c>
      <c r="F5285" t="s">
        <v>8512</v>
      </c>
      <c r="G5285" t="s">
        <v>39</v>
      </c>
      <c r="H5285">
        <v>0</v>
      </c>
      <c r="I5285">
        <v>27.8</v>
      </c>
      <c r="J5285">
        <v>15.2</v>
      </c>
      <c r="K5285">
        <v>53.935429999999997</v>
      </c>
      <c r="L5285">
        <v>39.710329999999999</v>
      </c>
      <c r="M5285">
        <v>40.700000000000003</v>
      </c>
      <c r="N5285">
        <v>12.593540000000001</v>
      </c>
      <c r="O5285">
        <v>28.106459999999998</v>
      </c>
      <c r="P5285">
        <v>29.6</v>
      </c>
      <c r="Q5285">
        <v>23.9</v>
      </c>
      <c r="R5285">
        <v>32.299999999999997</v>
      </c>
      <c r="S5285">
        <v>21.993539999999999</v>
      </c>
      <c r="T5285">
        <v>186</v>
      </c>
      <c r="U5285">
        <v>80</v>
      </c>
      <c r="V5285">
        <v>0</v>
      </c>
      <c r="W5285">
        <v>161</v>
      </c>
      <c r="X5285">
        <v>164</v>
      </c>
      <c r="Y5285">
        <v>0</v>
      </c>
      <c r="Z5285">
        <v>21</v>
      </c>
      <c r="AA5285">
        <v>0</v>
      </c>
      <c r="AB5285">
        <v>3.1863920000000001</v>
      </c>
      <c r="AC5285">
        <v>4.6790350000000001E-2</v>
      </c>
      <c r="AD5285">
        <v>2.5093230000000002</v>
      </c>
      <c r="AE5285">
        <v>3.0363790000000002E-2</v>
      </c>
      <c r="AF5285">
        <v>513.87090000000001</v>
      </c>
      <c r="AG5285">
        <f>IFERROR(AH5285*0.1, "N/A")</f>
        <v>7.9</v>
      </c>
      <c r="AH5285">
        <v>79</v>
      </c>
      <c r="AI5285">
        <v>138.04810000000001</v>
      </c>
      <c r="AJ5285">
        <v>5.708609</v>
      </c>
      <c r="AK5285">
        <v>88.41722</v>
      </c>
    </row>
    <row r="5286" spans="1:37" x14ac:dyDescent="0.3">
      <c r="A5286">
        <v>5285</v>
      </c>
      <c r="B5286">
        <v>0</v>
      </c>
      <c r="C5286">
        <v>7.3012600000000001</v>
      </c>
      <c r="D5286">
        <v>16.124099999999999</v>
      </c>
      <c r="E5286" t="s">
        <v>8511</v>
      </c>
      <c r="F5286" t="s">
        <v>8513</v>
      </c>
      <c r="G5286" t="s">
        <v>37</v>
      </c>
      <c r="H5286">
        <v>0</v>
      </c>
      <c r="I5286">
        <v>27.8</v>
      </c>
      <c r="J5286">
        <v>15.2</v>
      </c>
      <c r="K5286">
        <v>53.935429999999997</v>
      </c>
      <c r="L5286">
        <v>39.710329999999999</v>
      </c>
      <c r="M5286">
        <v>40.700000000000003</v>
      </c>
      <c r="N5286">
        <v>12.593540000000001</v>
      </c>
      <c r="O5286">
        <v>28.106459999999998</v>
      </c>
      <c r="P5286">
        <v>29.6</v>
      </c>
      <c r="Q5286">
        <v>23.9</v>
      </c>
      <c r="R5286">
        <v>32.299999999999997</v>
      </c>
      <c r="S5286">
        <v>21.993539999999999</v>
      </c>
      <c r="T5286">
        <v>186</v>
      </c>
      <c r="U5286">
        <v>80</v>
      </c>
      <c r="V5286">
        <v>0</v>
      </c>
      <c r="W5286">
        <v>161</v>
      </c>
      <c r="X5286">
        <v>164</v>
      </c>
      <c r="Y5286">
        <v>0</v>
      </c>
      <c r="Z5286">
        <v>21</v>
      </c>
      <c r="AA5286">
        <v>0</v>
      </c>
      <c r="AB5286">
        <v>3.1863920000000001</v>
      </c>
      <c r="AC5286">
        <v>4.6790350000000001E-2</v>
      </c>
      <c r="AD5286">
        <v>2.5093230000000002</v>
      </c>
      <c r="AE5286">
        <v>3.0363790000000002E-2</v>
      </c>
      <c r="AF5286">
        <v>513.87090000000001</v>
      </c>
      <c r="AG5286">
        <f>IFERROR(AH5286*0.1, "N/A")</f>
        <v>7.9</v>
      </c>
      <c r="AH5286">
        <v>79</v>
      </c>
      <c r="AI5286">
        <v>138.04810000000001</v>
      </c>
      <c r="AJ5286">
        <v>5.708609</v>
      </c>
      <c r="AK5286">
        <v>88.41722</v>
      </c>
    </row>
    <row r="5287" spans="1:37" x14ac:dyDescent="0.3">
      <c r="A5287">
        <v>5286</v>
      </c>
      <c r="B5287">
        <v>0</v>
      </c>
      <c r="C5287">
        <v>6.5619399999999999</v>
      </c>
      <c r="D5287">
        <v>16.174700000000001</v>
      </c>
      <c r="E5287" t="s">
        <v>8514</v>
      </c>
      <c r="F5287" t="s">
        <v>8515</v>
      </c>
      <c r="G5287" t="s">
        <v>39</v>
      </c>
      <c r="H5287">
        <v>0</v>
      </c>
      <c r="I5287">
        <v>28.1</v>
      </c>
      <c r="J5287">
        <v>15</v>
      </c>
      <c r="K5287">
        <v>53</v>
      </c>
      <c r="L5287">
        <v>39.774619999999999</v>
      </c>
      <c r="M5287">
        <v>40.9</v>
      </c>
      <c r="N5287">
        <v>12.8</v>
      </c>
      <c r="O5287">
        <v>28.1</v>
      </c>
      <c r="P5287">
        <v>29.9</v>
      </c>
      <c r="Q5287">
        <v>24.2</v>
      </c>
      <c r="R5287">
        <v>32.62276</v>
      </c>
      <c r="S5287">
        <v>22.277239999999999</v>
      </c>
      <c r="T5287">
        <v>202</v>
      </c>
      <c r="U5287">
        <v>84</v>
      </c>
      <c r="V5287">
        <v>0</v>
      </c>
      <c r="W5287">
        <v>160</v>
      </c>
      <c r="X5287">
        <v>174</v>
      </c>
      <c r="Y5287">
        <v>0</v>
      </c>
      <c r="Z5287">
        <v>26</v>
      </c>
      <c r="AA5287">
        <v>0</v>
      </c>
      <c r="AB5287">
        <v>3.4134440000000001</v>
      </c>
      <c r="AC5287">
        <v>5.9926989999999999E-2</v>
      </c>
      <c r="AD5287">
        <v>1.6428720000000001</v>
      </c>
      <c r="AE5287">
        <v>0.15218300000000001</v>
      </c>
      <c r="AF5287">
        <v>481.84219999999999</v>
      </c>
      <c r="AG5287">
        <f>IFERROR(AH5287*0.1, "N/A")</f>
        <v>7.8006640000000012</v>
      </c>
      <c r="AH5287">
        <v>78.006640000000004</v>
      </c>
      <c r="AI5287">
        <v>140.8613</v>
      </c>
      <c r="AJ5287">
        <v>1.845515</v>
      </c>
      <c r="AK5287">
        <v>92.931889999999996</v>
      </c>
    </row>
    <row r="5288" spans="1:37" x14ac:dyDescent="0.3">
      <c r="A5288">
        <v>5287</v>
      </c>
      <c r="B5288">
        <v>0</v>
      </c>
      <c r="C5288">
        <v>6.5619399999999999</v>
      </c>
      <c r="D5288">
        <v>16.174700000000001</v>
      </c>
      <c r="E5288" t="s">
        <v>8514</v>
      </c>
      <c r="F5288" t="s">
        <v>8516</v>
      </c>
      <c r="G5288" t="s">
        <v>37</v>
      </c>
      <c r="H5288">
        <v>0</v>
      </c>
      <c r="I5288">
        <v>28.1</v>
      </c>
      <c r="J5288">
        <v>15</v>
      </c>
      <c r="K5288">
        <v>53</v>
      </c>
      <c r="L5288">
        <v>39.774619999999999</v>
      </c>
      <c r="M5288">
        <v>40.9</v>
      </c>
      <c r="N5288">
        <v>12.8</v>
      </c>
      <c r="O5288">
        <v>28.1</v>
      </c>
      <c r="P5288">
        <v>29.9</v>
      </c>
      <c r="Q5288">
        <v>24.2</v>
      </c>
      <c r="R5288">
        <v>32.62276</v>
      </c>
      <c r="S5288">
        <v>22.277239999999999</v>
      </c>
      <c r="T5288">
        <v>202</v>
      </c>
      <c r="U5288">
        <v>84</v>
      </c>
      <c r="V5288">
        <v>0</v>
      </c>
      <c r="W5288">
        <v>160</v>
      </c>
      <c r="X5288">
        <v>174</v>
      </c>
      <c r="Y5288">
        <v>0</v>
      </c>
      <c r="Z5288">
        <v>26</v>
      </c>
      <c r="AA5288">
        <v>0</v>
      </c>
      <c r="AB5288">
        <v>3.4134440000000001</v>
      </c>
      <c r="AC5288">
        <v>5.9926989999999999E-2</v>
      </c>
      <c r="AD5288">
        <v>1.6428720000000001</v>
      </c>
      <c r="AE5288">
        <v>0.15218300000000001</v>
      </c>
      <c r="AF5288">
        <v>481.84219999999999</v>
      </c>
      <c r="AG5288">
        <f>IFERROR(AH5288*0.1, "N/A")</f>
        <v>7.8006640000000012</v>
      </c>
      <c r="AH5288">
        <v>78.006640000000004</v>
      </c>
      <c r="AI5288">
        <v>140.8613</v>
      </c>
      <c r="AJ5288">
        <v>1.845515</v>
      </c>
      <c r="AK5288">
        <v>92.931889999999996</v>
      </c>
    </row>
    <row r="5289" spans="1:37" x14ac:dyDescent="0.3">
      <c r="A5289">
        <v>5288</v>
      </c>
      <c r="B5289">
        <v>0</v>
      </c>
      <c r="C5289">
        <v>7.1097099999999998</v>
      </c>
      <c r="D5289">
        <v>16.204799999999999</v>
      </c>
      <c r="E5289" t="s">
        <v>8517</v>
      </c>
      <c r="F5289" t="s">
        <v>8518</v>
      </c>
      <c r="G5289" t="s">
        <v>39</v>
      </c>
      <c r="H5289">
        <v>0</v>
      </c>
      <c r="I5289">
        <v>27.9</v>
      </c>
      <c r="J5289">
        <v>15.1</v>
      </c>
      <c r="K5289">
        <v>53</v>
      </c>
      <c r="L5289">
        <v>40.33</v>
      </c>
      <c r="M5289">
        <v>40.799999999999997</v>
      </c>
      <c r="N5289">
        <v>12.5</v>
      </c>
      <c r="O5289">
        <v>28.3</v>
      </c>
      <c r="P5289">
        <v>29.8</v>
      </c>
      <c r="Q5289">
        <v>23.9</v>
      </c>
      <c r="R5289">
        <v>32.4</v>
      </c>
      <c r="S5289">
        <v>22</v>
      </c>
      <c r="T5289">
        <v>187</v>
      </c>
      <c r="U5289">
        <v>80</v>
      </c>
      <c r="V5289">
        <v>0</v>
      </c>
      <c r="W5289">
        <v>161</v>
      </c>
      <c r="X5289">
        <v>164</v>
      </c>
      <c r="Y5289">
        <v>0</v>
      </c>
      <c r="Z5289">
        <v>22</v>
      </c>
      <c r="AA5289">
        <v>0</v>
      </c>
      <c r="AB5289">
        <v>6.3900379999999997</v>
      </c>
      <c r="AC5289">
        <v>8.8004569999999994E-3</v>
      </c>
      <c r="AD5289">
        <v>1.845151</v>
      </c>
      <c r="AE5289">
        <v>3.4975729999999997E-2</v>
      </c>
      <c r="AF5289">
        <v>517.86900000000003</v>
      </c>
      <c r="AG5289">
        <f>IFERROR(AH5289*0.1, "N/A")</f>
        <v>8.1</v>
      </c>
      <c r="AH5289">
        <v>81</v>
      </c>
      <c r="AI5289">
        <v>123.2804</v>
      </c>
      <c r="AJ5289">
        <v>5</v>
      </c>
      <c r="AK5289">
        <v>88.145939999999996</v>
      </c>
    </row>
    <row r="5290" spans="1:37" x14ac:dyDescent="0.3">
      <c r="A5290">
        <v>5289</v>
      </c>
      <c r="B5290">
        <v>0</v>
      </c>
      <c r="C5290">
        <v>7.1097099999999998</v>
      </c>
      <c r="D5290">
        <v>16.204799999999999</v>
      </c>
      <c r="E5290" t="s">
        <v>8517</v>
      </c>
      <c r="F5290" t="s">
        <v>8519</v>
      </c>
      <c r="G5290" t="s">
        <v>37</v>
      </c>
      <c r="H5290">
        <v>0</v>
      </c>
      <c r="I5290">
        <v>27.9</v>
      </c>
      <c r="J5290">
        <v>15.1</v>
      </c>
      <c r="K5290">
        <v>53</v>
      </c>
      <c r="L5290">
        <v>40.33</v>
      </c>
      <c r="M5290">
        <v>40.799999999999997</v>
      </c>
      <c r="N5290">
        <v>12.5</v>
      </c>
      <c r="O5290">
        <v>28.3</v>
      </c>
      <c r="P5290">
        <v>29.8</v>
      </c>
      <c r="Q5290">
        <v>23.9</v>
      </c>
      <c r="R5290">
        <v>32.4</v>
      </c>
      <c r="S5290">
        <v>22</v>
      </c>
      <c r="T5290">
        <v>187</v>
      </c>
      <c r="U5290">
        <v>80</v>
      </c>
      <c r="V5290">
        <v>0</v>
      </c>
      <c r="W5290">
        <v>161</v>
      </c>
      <c r="X5290">
        <v>164</v>
      </c>
      <c r="Y5290">
        <v>0</v>
      </c>
      <c r="Z5290">
        <v>22</v>
      </c>
      <c r="AA5290">
        <v>0</v>
      </c>
      <c r="AB5290">
        <v>6.3900379999999997</v>
      </c>
      <c r="AC5290">
        <v>8.8004569999999994E-3</v>
      </c>
      <c r="AD5290">
        <v>1.845151</v>
      </c>
      <c r="AE5290">
        <v>3.4975729999999997E-2</v>
      </c>
      <c r="AF5290">
        <v>517.86900000000003</v>
      </c>
      <c r="AG5290">
        <f>IFERROR(AH5290*0.1, "N/A")</f>
        <v>8.1</v>
      </c>
      <c r="AH5290">
        <v>81</v>
      </c>
      <c r="AI5290">
        <v>123.2804</v>
      </c>
      <c r="AJ5290">
        <v>5</v>
      </c>
      <c r="AK5290">
        <v>88.145939999999996</v>
      </c>
    </row>
    <row r="5291" spans="1:37" x14ac:dyDescent="0.3">
      <c r="A5291">
        <v>5290</v>
      </c>
      <c r="B5291">
        <v>0</v>
      </c>
      <c r="C5291">
        <v>8.1297999999999995</v>
      </c>
      <c r="D5291">
        <v>16.523299999999999</v>
      </c>
      <c r="E5291" t="s">
        <v>8520</v>
      </c>
      <c r="F5291" t="s">
        <v>8521</v>
      </c>
      <c r="G5291" t="s">
        <v>39</v>
      </c>
      <c r="H5291">
        <v>0</v>
      </c>
      <c r="I5291">
        <v>28.1</v>
      </c>
      <c r="J5291">
        <v>15.5</v>
      </c>
      <c r="K5291">
        <v>54</v>
      </c>
      <c r="L5291">
        <v>42.98</v>
      </c>
      <c r="M5291">
        <v>41.1</v>
      </c>
      <c r="N5291">
        <v>12.4</v>
      </c>
      <c r="O5291">
        <v>28.7</v>
      </c>
      <c r="P5291">
        <v>30.6</v>
      </c>
      <c r="Q5291">
        <v>23.8</v>
      </c>
      <c r="R5291">
        <v>32.6</v>
      </c>
      <c r="S5291">
        <v>21.8</v>
      </c>
      <c r="T5291">
        <v>130</v>
      </c>
      <c r="U5291">
        <v>60</v>
      </c>
      <c r="V5291">
        <v>0</v>
      </c>
      <c r="W5291">
        <v>172</v>
      </c>
      <c r="X5291">
        <v>116</v>
      </c>
      <c r="Y5291">
        <v>0</v>
      </c>
      <c r="Z5291">
        <v>14</v>
      </c>
      <c r="AA5291">
        <v>0</v>
      </c>
      <c r="AB5291">
        <v>2.0871089999999999</v>
      </c>
      <c r="AC5291">
        <v>1.2702160000000001E-2</v>
      </c>
      <c r="AD5291">
        <v>1.112174</v>
      </c>
      <c r="AE5291">
        <v>2.8392830000000001E-2</v>
      </c>
      <c r="AF5291">
        <v>444.42309999999998</v>
      </c>
      <c r="AG5291">
        <f>IFERROR(AH5291*0.1, "N/A")</f>
        <v>7.8000000000000007</v>
      </c>
      <c r="AH5291">
        <v>78</v>
      </c>
      <c r="AI5291">
        <v>183.02760000000001</v>
      </c>
      <c r="AJ5291">
        <v>0</v>
      </c>
      <c r="AK5291">
        <v>98</v>
      </c>
    </row>
    <row r="5292" spans="1:37" x14ac:dyDescent="0.3">
      <c r="A5292">
        <v>5291</v>
      </c>
      <c r="B5292">
        <v>0</v>
      </c>
      <c r="C5292">
        <v>8.1297999999999995</v>
      </c>
      <c r="D5292">
        <v>16.523299999999999</v>
      </c>
      <c r="E5292" t="s">
        <v>8520</v>
      </c>
      <c r="F5292" t="s">
        <v>8522</v>
      </c>
      <c r="G5292" t="s">
        <v>37</v>
      </c>
      <c r="H5292">
        <v>0</v>
      </c>
      <c r="I5292">
        <v>28.1</v>
      </c>
      <c r="J5292">
        <v>15.5</v>
      </c>
      <c r="K5292">
        <v>54</v>
      </c>
      <c r="L5292">
        <v>42.98</v>
      </c>
      <c r="M5292">
        <v>41.1</v>
      </c>
      <c r="N5292">
        <v>12.4</v>
      </c>
      <c r="O5292">
        <v>28.7</v>
      </c>
      <c r="P5292">
        <v>30.6</v>
      </c>
      <c r="Q5292">
        <v>23.8</v>
      </c>
      <c r="R5292">
        <v>32.6</v>
      </c>
      <c r="S5292">
        <v>21.8</v>
      </c>
      <c r="T5292">
        <v>130</v>
      </c>
      <c r="U5292">
        <v>60</v>
      </c>
      <c r="V5292">
        <v>0</v>
      </c>
      <c r="W5292">
        <v>172</v>
      </c>
      <c r="X5292">
        <v>116</v>
      </c>
      <c r="Y5292">
        <v>0</v>
      </c>
      <c r="Z5292">
        <v>14</v>
      </c>
      <c r="AA5292">
        <v>0</v>
      </c>
      <c r="AB5292">
        <v>2.0871089999999999</v>
      </c>
      <c r="AC5292">
        <v>1.2702160000000001E-2</v>
      </c>
      <c r="AD5292">
        <v>1.112174</v>
      </c>
      <c r="AE5292">
        <v>2.8392830000000001E-2</v>
      </c>
      <c r="AF5292">
        <v>444.42309999999998</v>
      </c>
      <c r="AG5292">
        <f>IFERROR(AH5292*0.1, "N/A")</f>
        <v>7.8000000000000007</v>
      </c>
      <c r="AH5292">
        <v>78</v>
      </c>
      <c r="AI5292">
        <v>183.02760000000001</v>
      </c>
      <c r="AJ5292">
        <v>0</v>
      </c>
      <c r="AK5292">
        <v>98</v>
      </c>
    </row>
    <row r="5293" spans="1:37" x14ac:dyDescent="0.3">
      <c r="A5293">
        <v>5292</v>
      </c>
      <c r="B5293">
        <v>0</v>
      </c>
      <c r="C5293">
        <v>7.59307</v>
      </c>
      <c r="D5293">
        <v>16.584299999999999</v>
      </c>
      <c r="E5293" t="s">
        <v>8523</v>
      </c>
      <c r="F5293" t="s">
        <v>8524</v>
      </c>
      <c r="G5293" t="s">
        <v>39</v>
      </c>
      <c r="H5293">
        <v>0</v>
      </c>
      <c r="I5293">
        <v>28.4</v>
      </c>
      <c r="J5293">
        <v>15.4</v>
      </c>
      <c r="K5293">
        <v>53</v>
      </c>
      <c r="L5293">
        <v>43.24</v>
      </c>
      <c r="M5293">
        <v>41.4</v>
      </c>
      <c r="N5293">
        <v>12.5</v>
      </c>
      <c r="O5293">
        <v>28.9</v>
      </c>
      <c r="P5293">
        <v>30.9</v>
      </c>
      <c r="Q5293">
        <v>24</v>
      </c>
      <c r="R5293">
        <v>33</v>
      </c>
      <c r="S5293">
        <v>22</v>
      </c>
      <c r="T5293">
        <v>146</v>
      </c>
      <c r="U5293">
        <v>67</v>
      </c>
      <c r="V5293">
        <v>0</v>
      </c>
      <c r="W5293">
        <v>162</v>
      </c>
      <c r="X5293">
        <v>129</v>
      </c>
      <c r="Y5293">
        <v>0</v>
      </c>
      <c r="Z5293">
        <v>17</v>
      </c>
      <c r="AA5293">
        <v>0</v>
      </c>
      <c r="AB5293">
        <v>1.514756</v>
      </c>
      <c r="AC5293">
        <v>1.1747799999999999E-2</v>
      </c>
      <c r="AD5293">
        <v>0.96717229999999998</v>
      </c>
      <c r="AE5293">
        <v>3.2183719999999999E-2</v>
      </c>
      <c r="AF5293">
        <v>428.61360000000002</v>
      </c>
      <c r="AG5293">
        <f>IFERROR(AH5293*0.1, "N/A")</f>
        <v>8.1</v>
      </c>
      <c r="AH5293">
        <v>81</v>
      </c>
      <c r="AI5293">
        <v>119.065</v>
      </c>
      <c r="AJ5293">
        <v>8.3349919999999997</v>
      </c>
      <c r="AK5293">
        <v>80.965170000000001</v>
      </c>
    </row>
    <row r="5294" spans="1:37" x14ac:dyDescent="0.3">
      <c r="A5294">
        <v>5293</v>
      </c>
      <c r="B5294">
        <v>0</v>
      </c>
      <c r="C5294">
        <v>7.59307</v>
      </c>
      <c r="D5294">
        <v>16.584299999999999</v>
      </c>
      <c r="E5294" t="s">
        <v>8523</v>
      </c>
      <c r="F5294" t="s">
        <v>8525</v>
      </c>
      <c r="G5294" t="s">
        <v>37</v>
      </c>
      <c r="H5294">
        <v>0</v>
      </c>
      <c r="I5294">
        <v>28.4</v>
      </c>
      <c r="J5294">
        <v>15.4</v>
      </c>
      <c r="K5294">
        <v>53</v>
      </c>
      <c r="L5294">
        <v>43.24</v>
      </c>
      <c r="M5294">
        <v>41.4</v>
      </c>
      <c r="N5294">
        <v>12.5</v>
      </c>
      <c r="O5294">
        <v>28.9</v>
      </c>
      <c r="P5294">
        <v>30.9</v>
      </c>
      <c r="Q5294">
        <v>24</v>
      </c>
      <c r="R5294">
        <v>33</v>
      </c>
      <c r="S5294">
        <v>22</v>
      </c>
      <c r="T5294">
        <v>146</v>
      </c>
      <c r="U5294">
        <v>67</v>
      </c>
      <c r="V5294">
        <v>0</v>
      </c>
      <c r="W5294">
        <v>162</v>
      </c>
      <c r="X5294">
        <v>129</v>
      </c>
      <c r="Y5294">
        <v>0</v>
      </c>
      <c r="Z5294">
        <v>17</v>
      </c>
      <c r="AA5294">
        <v>0</v>
      </c>
      <c r="AB5294">
        <v>1.514756</v>
      </c>
      <c r="AC5294">
        <v>1.1747799999999999E-2</v>
      </c>
      <c r="AD5294">
        <v>0.96717229999999998</v>
      </c>
      <c r="AE5294">
        <v>3.2183719999999999E-2</v>
      </c>
      <c r="AF5294">
        <v>428.61360000000002</v>
      </c>
      <c r="AG5294">
        <f>IFERROR(AH5294*0.1, "N/A")</f>
        <v>8.1</v>
      </c>
      <c r="AH5294">
        <v>81</v>
      </c>
      <c r="AI5294">
        <v>119.065</v>
      </c>
      <c r="AJ5294">
        <v>8.3349919999999997</v>
      </c>
      <c r="AK5294">
        <v>80.965170000000001</v>
      </c>
    </row>
    <row r="5295" spans="1:37" x14ac:dyDescent="0.3">
      <c r="A5295">
        <v>5294</v>
      </c>
      <c r="B5295">
        <v>0</v>
      </c>
      <c r="C5295">
        <v>7.5726699999999996</v>
      </c>
      <c r="D5295">
        <v>16.590800000000002</v>
      </c>
      <c r="E5295" t="s">
        <v>8526</v>
      </c>
      <c r="F5295" t="s">
        <v>8527</v>
      </c>
      <c r="G5295" t="s">
        <v>39</v>
      </c>
      <c r="H5295">
        <v>0</v>
      </c>
      <c r="I5295">
        <v>28.4</v>
      </c>
      <c r="J5295">
        <v>15.4</v>
      </c>
      <c r="K5295">
        <v>53</v>
      </c>
      <c r="L5295">
        <v>43.09</v>
      </c>
      <c r="M5295">
        <v>41.4</v>
      </c>
      <c r="N5295">
        <v>12.5</v>
      </c>
      <c r="O5295">
        <v>28.9</v>
      </c>
      <c r="P5295">
        <v>30.9</v>
      </c>
      <c r="Q5295">
        <v>24</v>
      </c>
      <c r="R5295">
        <v>32.9</v>
      </c>
      <c r="S5295">
        <v>22</v>
      </c>
      <c r="T5295">
        <v>148</v>
      </c>
      <c r="U5295">
        <v>67</v>
      </c>
      <c r="V5295">
        <v>0</v>
      </c>
      <c r="W5295">
        <v>161</v>
      </c>
      <c r="X5295">
        <v>130</v>
      </c>
      <c r="Y5295">
        <v>0</v>
      </c>
      <c r="Z5295">
        <v>17</v>
      </c>
      <c r="AA5295">
        <v>0</v>
      </c>
      <c r="AB5295">
        <v>1.231903</v>
      </c>
      <c r="AC5295">
        <v>4.4395289999999997E-2</v>
      </c>
      <c r="AD5295">
        <v>1.420839</v>
      </c>
      <c r="AE5295">
        <v>3.2201199999999999E-2</v>
      </c>
      <c r="AF5295">
        <v>429.80500000000001</v>
      </c>
      <c r="AG5295">
        <f>IFERROR(AH5295*0.1, "N/A")</f>
        <v>7.962479000000001</v>
      </c>
      <c r="AH5295">
        <v>79.624790000000004</v>
      </c>
      <c r="AI5295">
        <v>192.64510000000001</v>
      </c>
      <c r="AJ5295">
        <v>11.851240000000001</v>
      </c>
      <c r="AK5295">
        <v>75.561980000000005</v>
      </c>
    </row>
    <row r="5296" spans="1:37" x14ac:dyDescent="0.3">
      <c r="A5296">
        <v>5295</v>
      </c>
      <c r="B5296">
        <v>0</v>
      </c>
      <c r="C5296">
        <v>7.5726699999999996</v>
      </c>
      <c r="D5296">
        <v>16.590800000000002</v>
      </c>
      <c r="E5296" t="s">
        <v>8526</v>
      </c>
      <c r="F5296" t="s">
        <v>8528</v>
      </c>
      <c r="G5296" t="s">
        <v>37</v>
      </c>
      <c r="H5296">
        <v>0</v>
      </c>
      <c r="I5296">
        <v>28.4</v>
      </c>
      <c r="J5296">
        <v>15.4</v>
      </c>
      <c r="K5296">
        <v>53</v>
      </c>
      <c r="L5296">
        <v>43.09</v>
      </c>
      <c r="M5296">
        <v>41.4</v>
      </c>
      <c r="N5296">
        <v>12.5</v>
      </c>
      <c r="O5296">
        <v>28.9</v>
      </c>
      <c r="P5296">
        <v>30.9</v>
      </c>
      <c r="Q5296">
        <v>24</v>
      </c>
      <c r="R5296">
        <v>32.9</v>
      </c>
      <c r="S5296">
        <v>22</v>
      </c>
      <c r="T5296">
        <v>148</v>
      </c>
      <c r="U5296">
        <v>67</v>
      </c>
      <c r="V5296">
        <v>0</v>
      </c>
      <c r="W5296">
        <v>161</v>
      </c>
      <c r="X5296">
        <v>130</v>
      </c>
      <c r="Y5296">
        <v>0</v>
      </c>
      <c r="Z5296">
        <v>17</v>
      </c>
      <c r="AA5296">
        <v>0</v>
      </c>
      <c r="AB5296">
        <v>1.231903</v>
      </c>
      <c r="AC5296">
        <v>4.4395289999999997E-2</v>
      </c>
      <c r="AD5296">
        <v>1.420839</v>
      </c>
      <c r="AE5296">
        <v>3.2201199999999999E-2</v>
      </c>
      <c r="AF5296">
        <v>429.80500000000001</v>
      </c>
      <c r="AG5296">
        <f>IFERROR(AH5296*0.1, "N/A")</f>
        <v>7.962479000000001</v>
      </c>
      <c r="AH5296">
        <v>79.624790000000004</v>
      </c>
      <c r="AI5296">
        <v>192.64510000000001</v>
      </c>
      <c r="AJ5296">
        <v>11.851240000000001</v>
      </c>
      <c r="AK5296">
        <v>75.561980000000005</v>
      </c>
    </row>
    <row r="5297" spans="1:37" x14ac:dyDescent="0.3">
      <c r="A5297">
        <v>5296</v>
      </c>
      <c r="B5297">
        <v>0</v>
      </c>
      <c r="C5297">
        <v>8.2934800000000006</v>
      </c>
      <c r="D5297">
        <v>16.590800000000002</v>
      </c>
      <c r="E5297" t="s">
        <v>8529</v>
      </c>
      <c r="F5297" t="s">
        <v>8530</v>
      </c>
      <c r="G5297" t="s">
        <v>39</v>
      </c>
      <c r="H5297">
        <v>0</v>
      </c>
      <c r="I5297">
        <v>28</v>
      </c>
      <c r="J5297">
        <v>15.5</v>
      </c>
      <c r="K5297">
        <v>53</v>
      </c>
      <c r="L5297">
        <v>43.43</v>
      </c>
      <c r="M5297">
        <v>41.1</v>
      </c>
      <c r="N5297">
        <v>12.2</v>
      </c>
      <c r="O5297">
        <v>28.9</v>
      </c>
      <c r="P5297">
        <v>30.6</v>
      </c>
      <c r="Q5297">
        <v>23.6</v>
      </c>
      <c r="R5297">
        <v>32.6</v>
      </c>
      <c r="S5297">
        <v>21.6</v>
      </c>
      <c r="T5297">
        <v>120</v>
      </c>
      <c r="U5297">
        <v>56</v>
      </c>
      <c r="V5297">
        <v>0</v>
      </c>
      <c r="W5297">
        <v>160</v>
      </c>
      <c r="X5297">
        <v>107</v>
      </c>
      <c r="Y5297">
        <v>0</v>
      </c>
      <c r="Z5297">
        <v>52</v>
      </c>
      <c r="AA5297">
        <v>0</v>
      </c>
      <c r="AB5297">
        <v>2.5454409999999998</v>
      </c>
      <c r="AC5297">
        <v>3.2781089999999999E-2</v>
      </c>
      <c r="AD5297">
        <v>2.1413890000000002</v>
      </c>
      <c r="AE5297">
        <v>2.7918990000000001E-2</v>
      </c>
      <c r="AF5297">
        <v>466.6628</v>
      </c>
      <c r="AG5297">
        <f>IFERROR(AH5297*0.1, "N/A")</f>
        <v>8.0395039999999991</v>
      </c>
      <c r="AH5297">
        <v>80.395039999999995</v>
      </c>
      <c r="AI5297">
        <v>151.22929999999999</v>
      </c>
      <c r="AJ5297">
        <v>0</v>
      </c>
      <c r="AK5297">
        <v>98</v>
      </c>
    </row>
    <row r="5298" spans="1:37" x14ac:dyDescent="0.3">
      <c r="A5298">
        <v>5297</v>
      </c>
      <c r="B5298">
        <v>0</v>
      </c>
      <c r="C5298">
        <v>8.2934800000000006</v>
      </c>
      <c r="D5298">
        <v>16.590800000000002</v>
      </c>
      <c r="E5298" t="s">
        <v>8529</v>
      </c>
      <c r="F5298" t="s">
        <v>8531</v>
      </c>
      <c r="G5298" t="s">
        <v>37</v>
      </c>
      <c r="H5298">
        <v>0</v>
      </c>
      <c r="I5298">
        <v>28</v>
      </c>
      <c r="J5298">
        <v>15.5</v>
      </c>
      <c r="K5298">
        <v>53</v>
      </c>
      <c r="L5298">
        <v>43.43</v>
      </c>
      <c r="M5298">
        <v>41.1</v>
      </c>
      <c r="N5298">
        <v>12.2</v>
      </c>
      <c r="O5298">
        <v>28.9</v>
      </c>
      <c r="P5298">
        <v>30.6</v>
      </c>
      <c r="Q5298">
        <v>23.6</v>
      </c>
      <c r="R5298">
        <v>32.6</v>
      </c>
      <c r="S5298">
        <v>21.6</v>
      </c>
      <c r="T5298">
        <v>120</v>
      </c>
      <c r="U5298">
        <v>56</v>
      </c>
      <c r="V5298">
        <v>0</v>
      </c>
      <c r="W5298">
        <v>160</v>
      </c>
      <c r="X5298">
        <v>107</v>
      </c>
      <c r="Y5298">
        <v>0</v>
      </c>
      <c r="Z5298">
        <v>52</v>
      </c>
      <c r="AA5298">
        <v>0</v>
      </c>
      <c r="AB5298">
        <v>2.5454409999999998</v>
      </c>
      <c r="AC5298">
        <v>3.2781089999999999E-2</v>
      </c>
      <c r="AD5298">
        <v>2.1413890000000002</v>
      </c>
      <c r="AE5298">
        <v>2.7918990000000001E-2</v>
      </c>
      <c r="AF5298">
        <v>466.6628</v>
      </c>
      <c r="AG5298">
        <f>IFERROR(AH5298*0.1, "N/A")</f>
        <v>8.0395039999999991</v>
      </c>
      <c r="AH5298">
        <v>80.395039999999995</v>
      </c>
      <c r="AI5298">
        <v>151.22929999999999</v>
      </c>
      <c r="AJ5298">
        <v>0</v>
      </c>
      <c r="AK5298">
        <v>98</v>
      </c>
    </row>
    <row r="5299" spans="1:37" x14ac:dyDescent="0.3">
      <c r="A5299">
        <v>5298</v>
      </c>
      <c r="B5299">
        <v>2</v>
      </c>
      <c r="C5299">
        <v>7.8139000000000003</v>
      </c>
      <c r="D5299">
        <v>16.889199999999999</v>
      </c>
      <c r="E5299" t="s">
        <v>8532</v>
      </c>
      <c r="F5299" t="s">
        <v>8533</v>
      </c>
      <c r="G5299" t="s">
        <v>39</v>
      </c>
      <c r="H5299">
        <v>0</v>
      </c>
      <c r="I5299">
        <v>28.2</v>
      </c>
      <c r="J5299">
        <v>15.6</v>
      </c>
      <c r="K5299">
        <v>53</v>
      </c>
      <c r="L5299">
        <v>46.1</v>
      </c>
      <c r="M5299">
        <v>41.3</v>
      </c>
      <c r="N5299">
        <v>11.9</v>
      </c>
      <c r="O5299">
        <v>29.4</v>
      </c>
      <c r="P5299">
        <v>31.3</v>
      </c>
      <c r="Q5299">
        <v>23.4</v>
      </c>
      <c r="R5299">
        <v>33</v>
      </c>
      <c r="S5299">
        <v>21.4</v>
      </c>
      <c r="T5299">
        <v>127</v>
      </c>
      <c r="U5299">
        <v>59</v>
      </c>
      <c r="V5299">
        <v>0</v>
      </c>
      <c r="W5299">
        <v>166</v>
      </c>
      <c r="X5299">
        <v>111</v>
      </c>
      <c r="Y5299">
        <v>0</v>
      </c>
      <c r="Z5299">
        <v>55</v>
      </c>
      <c r="AA5299">
        <v>0</v>
      </c>
      <c r="AB5299">
        <v>1.2184820000000001</v>
      </c>
      <c r="AC5299">
        <v>3.34063E-2</v>
      </c>
      <c r="AD5299">
        <v>0.86033660000000001</v>
      </c>
      <c r="AE5299">
        <v>0.23714730000000001</v>
      </c>
      <c r="AF5299">
        <v>458.44880000000001</v>
      </c>
      <c r="AG5299">
        <f>IFERROR(AH5299*0.1, "N/A")</f>
        <v>8</v>
      </c>
      <c r="AH5299">
        <v>80</v>
      </c>
      <c r="AI5299">
        <v>228.82089999999999</v>
      </c>
      <c r="AJ5299">
        <v>21.90099</v>
      </c>
      <c r="AK5299">
        <v>58.09901</v>
      </c>
    </row>
    <row r="5300" spans="1:37" x14ac:dyDescent="0.3">
      <c r="A5300">
        <v>5299</v>
      </c>
      <c r="B5300">
        <v>10</v>
      </c>
      <c r="C5300">
        <v>7.8116700000000003</v>
      </c>
      <c r="D5300">
        <v>17.0456</v>
      </c>
      <c r="E5300" t="s">
        <v>8534</v>
      </c>
      <c r="F5300" t="s">
        <v>8535</v>
      </c>
      <c r="G5300" t="s">
        <v>39</v>
      </c>
      <c r="H5300">
        <v>0</v>
      </c>
      <c r="I5300">
        <v>28.1</v>
      </c>
      <c r="J5300">
        <v>15.6</v>
      </c>
      <c r="K5300">
        <v>52</v>
      </c>
      <c r="L5300">
        <v>46.92</v>
      </c>
      <c r="M5300">
        <v>41.3</v>
      </c>
      <c r="N5300">
        <v>11.6</v>
      </c>
      <c r="O5300">
        <v>29.7</v>
      </c>
      <c r="P5300">
        <v>31.3</v>
      </c>
      <c r="Q5300">
        <v>23.1</v>
      </c>
      <c r="R5300">
        <v>33</v>
      </c>
      <c r="S5300">
        <v>21.2</v>
      </c>
      <c r="T5300">
        <v>119</v>
      </c>
      <c r="U5300">
        <v>56</v>
      </c>
      <c r="V5300">
        <v>0</v>
      </c>
      <c r="W5300">
        <v>172</v>
      </c>
      <c r="X5300">
        <v>104</v>
      </c>
      <c r="Y5300">
        <v>0</v>
      </c>
      <c r="Z5300">
        <v>51</v>
      </c>
      <c r="AA5300">
        <v>0</v>
      </c>
      <c r="AB5300">
        <v>1.9660580000000001</v>
      </c>
      <c r="AC5300">
        <v>0.43534440000000002</v>
      </c>
      <c r="AD5300">
        <v>2.0097420000000001</v>
      </c>
      <c r="AE5300">
        <v>0.1020559</v>
      </c>
      <c r="AF5300">
        <v>474.6343</v>
      </c>
      <c r="AG5300">
        <f>IFERROR(AH5300*0.1, "N/A")</f>
        <v>8</v>
      </c>
      <c r="AH5300">
        <v>80</v>
      </c>
      <c r="AI5300">
        <v>256.81299999999999</v>
      </c>
      <c r="AJ5300">
        <v>11</v>
      </c>
      <c r="AK5300">
        <v>80</v>
      </c>
    </row>
    <row r="5301" spans="1:37" x14ac:dyDescent="0.3">
      <c r="A5301">
        <v>5300</v>
      </c>
      <c r="B5301">
        <v>2</v>
      </c>
      <c r="C5301">
        <v>8.0564999999999998</v>
      </c>
      <c r="D5301">
        <v>17.075600000000001</v>
      </c>
      <c r="E5301" t="s">
        <v>8536</v>
      </c>
      <c r="F5301" t="s">
        <v>8537</v>
      </c>
      <c r="G5301" t="s">
        <v>39</v>
      </c>
      <c r="H5301">
        <v>0</v>
      </c>
      <c r="I5301">
        <v>27.7</v>
      </c>
      <c r="J5301">
        <v>15.6</v>
      </c>
      <c r="K5301">
        <v>52</v>
      </c>
      <c r="L5301">
        <v>47.221539999999997</v>
      </c>
      <c r="M5301">
        <v>40.9</v>
      </c>
      <c r="N5301">
        <v>11.3</v>
      </c>
      <c r="O5301">
        <v>29.6</v>
      </c>
      <c r="P5301">
        <v>31</v>
      </c>
      <c r="Q5301">
        <v>22.7</v>
      </c>
      <c r="R5301">
        <v>32.700000000000003</v>
      </c>
      <c r="S5301">
        <v>20.8</v>
      </c>
      <c r="T5301">
        <v>115</v>
      </c>
      <c r="U5301">
        <v>54</v>
      </c>
      <c r="V5301">
        <v>0</v>
      </c>
      <c r="W5301">
        <v>167</v>
      </c>
      <c r="X5301">
        <v>100</v>
      </c>
      <c r="Y5301">
        <v>0</v>
      </c>
      <c r="Z5301">
        <v>51</v>
      </c>
      <c r="AA5301">
        <v>0</v>
      </c>
      <c r="AB5301">
        <v>1.9221630000000001</v>
      </c>
      <c r="AC5301">
        <v>0.33193929999999999</v>
      </c>
      <c r="AD5301">
        <v>1.0699780000000001</v>
      </c>
      <c r="AE5301">
        <v>0.1153851</v>
      </c>
      <c r="AF5301">
        <v>543.82809999999995</v>
      </c>
      <c r="AG5301">
        <f>IFERROR(AH5301*0.1, "N/A")</f>
        <v>8</v>
      </c>
      <c r="AH5301">
        <v>80</v>
      </c>
      <c r="AI5301">
        <v>245.65860000000001</v>
      </c>
      <c r="AJ5301">
        <v>20.398350000000001</v>
      </c>
      <c r="AK5301">
        <v>64.95702</v>
      </c>
    </row>
    <row r="5302" spans="1:37" x14ac:dyDescent="0.3">
      <c r="A5302">
        <v>5301</v>
      </c>
      <c r="B5302">
        <v>0</v>
      </c>
      <c r="C5302">
        <v>7.5740499999999997</v>
      </c>
      <c r="D5302">
        <v>17.2303</v>
      </c>
      <c r="E5302" t="s">
        <v>8538</v>
      </c>
      <c r="F5302" t="s">
        <v>8539</v>
      </c>
      <c r="G5302" t="s">
        <v>39</v>
      </c>
      <c r="H5302">
        <v>0</v>
      </c>
      <c r="I5302">
        <v>28.289950000000001</v>
      </c>
      <c r="J5302">
        <v>15.5</v>
      </c>
      <c r="K5302">
        <v>52</v>
      </c>
      <c r="L5302">
        <v>47.25508</v>
      </c>
      <c r="M5302">
        <v>41.5</v>
      </c>
      <c r="N5302">
        <v>11.8</v>
      </c>
      <c r="O5302">
        <v>29.7</v>
      </c>
      <c r="P5302">
        <v>31.6</v>
      </c>
      <c r="Q5302">
        <v>23.2</v>
      </c>
      <c r="R5302">
        <v>33.299999999999997</v>
      </c>
      <c r="S5302">
        <v>21.4</v>
      </c>
      <c r="T5302">
        <v>113</v>
      </c>
      <c r="U5302">
        <v>53</v>
      </c>
      <c r="V5302">
        <v>0</v>
      </c>
      <c r="W5302">
        <v>163</v>
      </c>
      <c r="X5302">
        <v>99</v>
      </c>
      <c r="Y5302">
        <v>0</v>
      </c>
      <c r="Z5302">
        <v>48</v>
      </c>
      <c r="AA5302">
        <v>0</v>
      </c>
      <c r="AB5302">
        <v>2.1472709999999999</v>
      </c>
      <c r="AC5302">
        <v>1.604676E-2</v>
      </c>
      <c r="AD5302">
        <v>1.10145</v>
      </c>
      <c r="AE5302">
        <v>0.1031675</v>
      </c>
      <c r="AF5302">
        <v>442.59800000000001</v>
      </c>
      <c r="AG5302">
        <f>IFERROR(AH5302*0.1, "N/A")</f>
        <v>8.2000000000000011</v>
      </c>
      <c r="AH5302">
        <v>82</v>
      </c>
      <c r="AI5302">
        <v>111.5689</v>
      </c>
      <c r="AJ5302">
        <v>14.915979999999999</v>
      </c>
      <c r="AK5302">
        <v>71.084019999999995</v>
      </c>
    </row>
    <row r="5303" spans="1:37" x14ac:dyDescent="0.3">
      <c r="A5303">
        <v>5302</v>
      </c>
      <c r="B5303">
        <v>0</v>
      </c>
      <c r="C5303">
        <v>7.5740499999999997</v>
      </c>
      <c r="D5303">
        <v>17.2303</v>
      </c>
      <c r="E5303" t="s">
        <v>8538</v>
      </c>
      <c r="F5303" t="s">
        <v>8540</v>
      </c>
      <c r="G5303" t="s">
        <v>37</v>
      </c>
      <c r="H5303">
        <v>0</v>
      </c>
      <c r="I5303">
        <v>28.289950000000001</v>
      </c>
      <c r="J5303">
        <v>15.5</v>
      </c>
      <c r="K5303">
        <v>52</v>
      </c>
      <c r="L5303">
        <v>47.25508</v>
      </c>
      <c r="M5303">
        <v>41.5</v>
      </c>
      <c r="N5303">
        <v>11.8</v>
      </c>
      <c r="O5303">
        <v>29.7</v>
      </c>
      <c r="P5303">
        <v>31.6</v>
      </c>
      <c r="Q5303">
        <v>23.2</v>
      </c>
      <c r="R5303">
        <v>33.299999999999997</v>
      </c>
      <c r="S5303">
        <v>21.4</v>
      </c>
      <c r="T5303">
        <v>113</v>
      </c>
      <c r="U5303">
        <v>53</v>
      </c>
      <c r="V5303">
        <v>0</v>
      </c>
      <c r="W5303">
        <v>163</v>
      </c>
      <c r="X5303">
        <v>99</v>
      </c>
      <c r="Y5303">
        <v>0</v>
      </c>
      <c r="Z5303">
        <v>48</v>
      </c>
      <c r="AA5303">
        <v>0</v>
      </c>
      <c r="AB5303">
        <v>2.1472709999999999</v>
      </c>
      <c r="AC5303">
        <v>1.604676E-2</v>
      </c>
      <c r="AD5303">
        <v>1.10145</v>
      </c>
      <c r="AE5303">
        <v>0.1031675</v>
      </c>
      <c r="AF5303">
        <v>442.59800000000001</v>
      </c>
      <c r="AG5303">
        <f>IFERROR(AH5303*0.1, "N/A")</f>
        <v>8.2000000000000011</v>
      </c>
      <c r="AH5303">
        <v>82</v>
      </c>
      <c r="AI5303">
        <v>111.5689</v>
      </c>
      <c r="AJ5303">
        <v>14.915979999999999</v>
      </c>
      <c r="AK5303">
        <v>71.084019999999995</v>
      </c>
    </row>
    <row r="5304" spans="1:37" x14ac:dyDescent="0.3">
      <c r="A5304">
        <v>5303</v>
      </c>
      <c r="B5304">
        <v>7.9</v>
      </c>
      <c r="C5304">
        <v>9.0894999999999992</v>
      </c>
      <c r="D5304">
        <v>17.405999999999999</v>
      </c>
      <c r="E5304" t="s">
        <v>8541</v>
      </c>
      <c r="F5304" t="s">
        <v>8542</v>
      </c>
      <c r="G5304" t="s">
        <v>39</v>
      </c>
      <c r="H5304">
        <v>0</v>
      </c>
      <c r="I5304">
        <v>26.2</v>
      </c>
      <c r="J5304">
        <v>15.7</v>
      </c>
      <c r="K5304">
        <v>53</v>
      </c>
      <c r="L5304">
        <v>47.76</v>
      </c>
      <c r="M5304">
        <v>39.6</v>
      </c>
      <c r="N5304">
        <v>10</v>
      </c>
      <c r="O5304">
        <v>29.6</v>
      </c>
      <c r="P5304">
        <v>30.6</v>
      </c>
      <c r="Q5304">
        <v>21.2</v>
      </c>
      <c r="R5304">
        <v>31.3</v>
      </c>
      <c r="S5304">
        <v>19.3</v>
      </c>
      <c r="T5304">
        <v>59</v>
      </c>
      <c r="U5304">
        <v>28</v>
      </c>
      <c r="V5304">
        <v>0</v>
      </c>
      <c r="W5304">
        <v>174</v>
      </c>
      <c r="X5304">
        <v>53</v>
      </c>
      <c r="Y5304">
        <v>0</v>
      </c>
      <c r="Z5304">
        <v>27</v>
      </c>
      <c r="AA5304">
        <v>0</v>
      </c>
      <c r="AB5304">
        <v>2.497052</v>
      </c>
      <c r="AC5304">
        <v>24.746870000000001</v>
      </c>
      <c r="AD5304">
        <v>1.391397</v>
      </c>
      <c r="AE5304">
        <v>9.85399E-2</v>
      </c>
      <c r="AF5304">
        <v>715.53930000000003</v>
      </c>
      <c r="AG5304">
        <f>IFERROR(AH5304*0.1, "N/A")</f>
        <v>7.9952460000000007</v>
      </c>
      <c r="AH5304">
        <v>79.952460000000002</v>
      </c>
      <c r="AI5304">
        <v>89.132390000000001</v>
      </c>
      <c r="AJ5304">
        <v>0</v>
      </c>
      <c r="AK5304">
        <v>97.78689</v>
      </c>
    </row>
    <row r="5305" spans="1:37" x14ac:dyDescent="0.3">
      <c r="A5305">
        <v>5304</v>
      </c>
      <c r="B5305">
        <v>0</v>
      </c>
      <c r="C5305">
        <v>9.0894999999999992</v>
      </c>
      <c r="D5305">
        <v>17.405999999999999</v>
      </c>
      <c r="E5305" t="s">
        <v>8541</v>
      </c>
      <c r="F5305" t="s">
        <v>8543</v>
      </c>
      <c r="G5305" t="s">
        <v>37</v>
      </c>
      <c r="H5305">
        <v>0</v>
      </c>
      <c r="I5305">
        <v>26.2</v>
      </c>
      <c r="J5305">
        <v>15.7</v>
      </c>
      <c r="K5305">
        <v>53</v>
      </c>
      <c r="L5305">
        <v>47.76</v>
      </c>
      <c r="M5305">
        <v>39.6</v>
      </c>
      <c r="N5305">
        <v>10</v>
      </c>
      <c r="O5305">
        <v>29.6</v>
      </c>
      <c r="P5305">
        <v>30.6</v>
      </c>
      <c r="Q5305">
        <v>21.2</v>
      </c>
      <c r="R5305">
        <v>31.3</v>
      </c>
      <c r="S5305">
        <v>19.3</v>
      </c>
      <c r="T5305">
        <v>59</v>
      </c>
      <c r="U5305">
        <v>28</v>
      </c>
      <c r="V5305">
        <v>0</v>
      </c>
      <c r="W5305">
        <v>174</v>
      </c>
      <c r="X5305">
        <v>53</v>
      </c>
      <c r="Y5305">
        <v>0</v>
      </c>
      <c r="Z5305">
        <v>27</v>
      </c>
      <c r="AA5305">
        <v>0</v>
      </c>
      <c r="AB5305">
        <v>2.497052</v>
      </c>
      <c r="AC5305">
        <v>24.746870000000001</v>
      </c>
      <c r="AD5305">
        <v>1.391397</v>
      </c>
      <c r="AE5305">
        <v>9.85399E-2</v>
      </c>
      <c r="AF5305">
        <v>715.53930000000003</v>
      </c>
      <c r="AG5305">
        <f>IFERROR(AH5305*0.1, "N/A")</f>
        <v>7.9952460000000007</v>
      </c>
      <c r="AH5305">
        <v>79.952460000000002</v>
      </c>
      <c r="AI5305">
        <v>89.132390000000001</v>
      </c>
      <c r="AJ5305">
        <v>0</v>
      </c>
      <c r="AK5305">
        <v>97.78689</v>
      </c>
    </row>
    <row r="5306" spans="1:37" x14ac:dyDescent="0.3">
      <c r="A5306">
        <v>5305</v>
      </c>
      <c r="B5306">
        <v>25</v>
      </c>
      <c r="C5306">
        <v>8.1636299999999995</v>
      </c>
      <c r="D5306">
        <v>17.441299999999998</v>
      </c>
      <c r="E5306" t="s">
        <v>8544</v>
      </c>
      <c r="F5306" t="s">
        <v>8545</v>
      </c>
      <c r="G5306" t="s">
        <v>39</v>
      </c>
      <c r="H5306">
        <v>0</v>
      </c>
      <c r="I5306">
        <v>26.736529999999998</v>
      </c>
      <c r="J5306">
        <v>15.6</v>
      </c>
      <c r="K5306">
        <v>52</v>
      </c>
      <c r="L5306">
        <v>48.652889999999999</v>
      </c>
      <c r="M5306">
        <v>40.057690000000001</v>
      </c>
      <c r="N5306">
        <v>10.157690000000001</v>
      </c>
      <c r="O5306">
        <v>29.9</v>
      </c>
      <c r="P5306">
        <v>31.157689999999999</v>
      </c>
      <c r="Q5306">
        <v>21.536529999999999</v>
      </c>
      <c r="R5306">
        <v>31.936530000000001</v>
      </c>
      <c r="S5306">
        <v>19.63653</v>
      </c>
      <c r="T5306">
        <v>100</v>
      </c>
      <c r="U5306">
        <v>45</v>
      </c>
      <c r="V5306">
        <v>0</v>
      </c>
      <c r="W5306">
        <v>157</v>
      </c>
      <c r="X5306">
        <v>86</v>
      </c>
      <c r="Y5306">
        <v>0</v>
      </c>
      <c r="Z5306">
        <v>46</v>
      </c>
      <c r="AA5306">
        <v>0</v>
      </c>
      <c r="AB5306">
        <v>37.898029999999999</v>
      </c>
      <c r="AC5306">
        <v>1.420627E-2</v>
      </c>
      <c r="AD5306">
        <v>5.1871400000000003</v>
      </c>
      <c r="AE5306">
        <v>0.1014521</v>
      </c>
      <c r="AF5306">
        <v>708.78510000000006</v>
      </c>
      <c r="AG5306">
        <f>IFERROR(AH5306*0.1, "N/A")</f>
        <v>8.2902480000000001</v>
      </c>
      <c r="AH5306">
        <v>82.902479999999997</v>
      </c>
      <c r="AI5306">
        <v>282.36660000000001</v>
      </c>
      <c r="AJ5306">
        <v>9.8049590000000002</v>
      </c>
      <c r="AK5306">
        <v>79.585120000000003</v>
      </c>
    </row>
    <row r="5307" spans="1:37" x14ac:dyDescent="0.3">
      <c r="A5307">
        <v>5306</v>
      </c>
      <c r="B5307">
        <v>0</v>
      </c>
      <c r="C5307">
        <v>8.1636299999999995</v>
      </c>
      <c r="D5307">
        <v>17.441299999999998</v>
      </c>
      <c r="E5307" t="s">
        <v>8544</v>
      </c>
      <c r="F5307" t="s">
        <v>8546</v>
      </c>
      <c r="G5307" t="s">
        <v>37</v>
      </c>
      <c r="H5307">
        <v>0</v>
      </c>
      <c r="I5307">
        <v>26.736529999999998</v>
      </c>
      <c r="J5307">
        <v>15.6</v>
      </c>
      <c r="K5307">
        <v>52</v>
      </c>
      <c r="L5307">
        <v>48.652889999999999</v>
      </c>
      <c r="M5307">
        <v>40.057690000000001</v>
      </c>
      <c r="N5307">
        <v>10.157690000000001</v>
      </c>
      <c r="O5307">
        <v>29.9</v>
      </c>
      <c r="P5307">
        <v>31.157689999999999</v>
      </c>
      <c r="Q5307">
        <v>21.536529999999999</v>
      </c>
      <c r="R5307">
        <v>31.936530000000001</v>
      </c>
      <c r="S5307">
        <v>19.63653</v>
      </c>
      <c r="T5307">
        <v>100</v>
      </c>
      <c r="U5307">
        <v>45</v>
      </c>
      <c r="V5307">
        <v>0</v>
      </c>
      <c r="W5307">
        <v>157</v>
      </c>
      <c r="X5307">
        <v>86</v>
      </c>
      <c r="Y5307">
        <v>0</v>
      </c>
      <c r="Z5307">
        <v>46</v>
      </c>
      <c r="AA5307">
        <v>0</v>
      </c>
      <c r="AB5307">
        <v>37.898029999999999</v>
      </c>
      <c r="AC5307">
        <v>1.420627E-2</v>
      </c>
      <c r="AD5307">
        <v>5.1871400000000003</v>
      </c>
      <c r="AE5307">
        <v>0.1014521</v>
      </c>
      <c r="AF5307">
        <v>708.78510000000006</v>
      </c>
      <c r="AG5307">
        <f>IFERROR(AH5307*0.1, "N/A")</f>
        <v>8.2902480000000001</v>
      </c>
      <c r="AH5307">
        <v>82.902479999999997</v>
      </c>
      <c r="AI5307">
        <v>282.36660000000001</v>
      </c>
      <c r="AJ5307">
        <v>9.8049590000000002</v>
      </c>
      <c r="AK5307">
        <v>79.585120000000003</v>
      </c>
    </row>
    <row r="5308" spans="1:37" x14ac:dyDescent="0.3">
      <c r="A5308">
        <v>5307</v>
      </c>
      <c r="B5308">
        <v>0</v>
      </c>
      <c r="C5308">
        <v>7.5796999999999999</v>
      </c>
      <c r="D5308">
        <v>17.446999999999999</v>
      </c>
      <c r="E5308" t="s">
        <v>8547</v>
      </c>
      <c r="F5308" t="s">
        <v>8548</v>
      </c>
      <c r="G5308" t="s">
        <v>39</v>
      </c>
      <c r="H5308">
        <v>0</v>
      </c>
      <c r="I5308">
        <v>28.2</v>
      </c>
      <c r="J5308">
        <v>15.5</v>
      </c>
      <c r="K5308">
        <v>52</v>
      </c>
      <c r="L5308">
        <v>48.1</v>
      </c>
      <c r="M5308">
        <v>41.5</v>
      </c>
      <c r="N5308">
        <v>11.7</v>
      </c>
      <c r="O5308">
        <v>29.8</v>
      </c>
      <c r="P5308">
        <v>31.7</v>
      </c>
      <c r="Q5308">
        <v>23.1</v>
      </c>
      <c r="R5308">
        <v>33.299999999999997</v>
      </c>
      <c r="S5308">
        <v>21.2</v>
      </c>
      <c r="T5308">
        <v>102</v>
      </c>
      <c r="U5308">
        <v>47</v>
      </c>
      <c r="V5308">
        <v>0</v>
      </c>
      <c r="W5308">
        <v>160</v>
      </c>
      <c r="X5308">
        <v>88</v>
      </c>
      <c r="Y5308">
        <v>0</v>
      </c>
      <c r="Z5308">
        <v>44</v>
      </c>
      <c r="AA5308">
        <v>0</v>
      </c>
      <c r="AB5308">
        <v>1.4607540000000001</v>
      </c>
      <c r="AC5308">
        <v>0.3046661</v>
      </c>
      <c r="AD5308">
        <v>0.98414729999999995</v>
      </c>
      <c r="AE5308">
        <v>0.10598970000000001</v>
      </c>
      <c r="AF5308">
        <v>435.95240000000001</v>
      </c>
      <c r="AG5308">
        <f>IFERROR(AH5308*0.1, "N/A")</f>
        <v>8.4</v>
      </c>
      <c r="AH5308">
        <v>84</v>
      </c>
      <c r="AI5308">
        <v>88.702200000000005</v>
      </c>
      <c r="AJ5308">
        <v>17.423649999999999</v>
      </c>
      <c r="AK5308">
        <v>67.545159999999996</v>
      </c>
    </row>
    <row r="5309" spans="1:37" x14ac:dyDescent="0.3">
      <c r="A5309">
        <v>5308</v>
      </c>
      <c r="B5309">
        <v>0</v>
      </c>
      <c r="C5309">
        <v>7.5796999999999999</v>
      </c>
      <c r="D5309">
        <v>17.446999999999999</v>
      </c>
      <c r="E5309" t="s">
        <v>8547</v>
      </c>
      <c r="F5309" t="s">
        <v>8549</v>
      </c>
      <c r="G5309" t="s">
        <v>37</v>
      </c>
      <c r="H5309">
        <v>0</v>
      </c>
      <c r="I5309">
        <v>28.2</v>
      </c>
      <c r="J5309">
        <v>15.5</v>
      </c>
      <c r="K5309">
        <v>52</v>
      </c>
      <c r="L5309">
        <v>48.1</v>
      </c>
      <c r="M5309">
        <v>41.5</v>
      </c>
      <c r="N5309">
        <v>11.7</v>
      </c>
      <c r="O5309">
        <v>29.8</v>
      </c>
      <c r="P5309">
        <v>31.7</v>
      </c>
      <c r="Q5309">
        <v>23.1</v>
      </c>
      <c r="R5309">
        <v>33.299999999999997</v>
      </c>
      <c r="S5309">
        <v>21.2</v>
      </c>
      <c r="T5309">
        <v>102</v>
      </c>
      <c r="U5309">
        <v>47</v>
      </c>
      <c r="V5309">
        <v>0</v>
      </c>
      <c r="W5309">
        <v>160</v>
      </c>
      <c r="X5309">
        <v>88</v>
      </c>
      <c r="Y5309">
        <v>0</v>
      </c>
      <c r="Z5309">
        <v>44</v>
      </c>
      <c r="AA5309">
        <v>0</v>
      </c>
      <c r="AB5309">
        <v>1.4607540000000001</v>
      </c>
      <c r="AC5309">
        <v>0.3046661</v>
      </c>
      <c r="AD5309">
        <v>0.98414729999999995</v>
      </c>
      <c r="AE5309">
        <v>0.10598970000000001</v>
      </c>
      <c r="AF5309">
        <v>435.95240000000001</v>
      </c>
      <c r="AG5309">
        <f>IFERROR(AH5309*0.1, "N/A")</f>
        <v>8.4</v>
      </c>
      <c r="AH5309">
        <v>84</v>
      </c>
      <c r="AI5309">
        <v>88.702200000000005</v>
      </c>
      <c r="AJ5309">
        <v>17.423649999999999</v>
      </c>
      <c r="AK5309">
        <v>67.545159999999996</v>
      </c>
    </row>
    <row r="5310" spans="1:37" x14ac:dyDescent="0.3">
      <c r="A5310">
        <v>5309</v>
      </c>
      <c r="B5310">
        <v>16.7</v>
      </c>
      <c r="C5310">
        <v>8.2744400000000002</v>
      </c>
      <c r="D5310">
        <v>17.732800000000001</v>
      </c>
      <c r="E5310" t="s">
        <v>8550</v>
      </c>
      <c r="F5310" t="s">
        <v>8551</v>
      </c>
      <c r="G5310" t="s">
        <v>39</v>
      </c>
      <c r="H5310">
        <v>1990</v>
      </c>
      <c r="I5310">
        <v>26.5</v>
      </c>
      <c r="J5310">
        <v>15.6</v>
      </c>
      <c r="K5310">
        <v>52</v>
      </c>
      <c r="L5310">
        <v>49.56</v>
      </c>
      <c r="M5310">
        <v>39.9</v>
      </c>
      <c r="N5310">
        <v>9.9</v>
      </c>
      <c r="O5310">
        <v>30</v>
      </c>
      <c r="P5310">
        <v>31.1</v>
      </c>
      <c r="Q5310">
        <v>21.2</v>
      </c>
      <c r="R5310">
        <v>31.8</v>
      </c>
      <c r="S5310">
        <v>19.3</v>
      </c>
      <c r="T5310">
        <v>86</v>
      </c>
      <c r="U5310">
        <v>38</v>
      </c>
      <c r="V5310">
        <v>0</v>
      </c>
      <c r="W5310">
        <v>151</v>
      </c>
      <c r="X5310">
        <v>74</v>
      </c>
      <c r="Y5310">
        <v>0</v>
      </c>
      <c r="Z5310">
        <v>40</v>
      </c>
      <c r="AA5310">
        <v>0</v>
      </c>
      <c r="AB5310">
        <v>4.5653329999999999</v>
      </c>
      <c r="AC5310">
        <v>1.1387649999999999E-2</v>
      </c>
      <c r="AD5310">
        <v>2.8648920000000002</v>
      </c>
      <c r="AE5310">
        <v>0.106921</v>
      </c>
      <c r="AF5310">
        <v>710.12480000000005</v>
      </c>
      <c r="AG5310">
        <f>IFERROR(AH5310*0.1, "N/A")</f>
        <v>8.243841999999999</v>
      </c>
      <c r="AH5310">
        <v>82.438419999999994</v>
      </c>
      <c r="AI5310">
        <v>212.9905</v>
      </c>
      <c r="AJ5310">
        <v>20.438420000000001</v>
      </c>
      <c r="AK5310">
        <v>58.561579999999999</v>
      </c>
    </row>
    <row r="5311" spans="1:37" x14ac:dyDescent="0.3">
      <c r="A5311">
        <v>5310</v>
      </c>
      <c r="B5311">
        <v>0</v>
      </c>
      <c r="C5311">
        <v>8.4649199999999993</v>
      </c>
      <c r="D5311">
        <v>18.064399999999999</v>
      </c>
      <c r="E5311" t="s">
        <v>8552</v>
      </c>
      <c r="F5311" t="s">
        <v>8553</v>
      </c>
      <c r="G5311" t="s">
        <v>39</v>
      </c>
      <c r="H5311">
        <v>0</v>
      </c>
      <c r="I5311">
        <v>26.4</v>
      </c>
      <c r="J5311">
        <v>15.6</v>
      </c>
      <c r="K5311">
        <v>51</v>
      </c>
      <c r="L5311">
        <v>50.82</v>
      </c>
      <c r="M5311">
        <v>40</v>
      </c>
      <c r="N5311">
        <v>9.6</v>
      </c>
      <c r="O5311">
        <v>30.4</v>
      </c>
      <c r="P5311">
        <v>31.2</v>
      </c>
      <c r="Q5311">
        <v>20.8</v>
      </c>
      <c r="R5311">
        <v>31.8</v>
      </c>
      <c r="S5311">
        <v>19</v>
      </c>
      <c r="T5311">
        <v>67</v>
      </c>
      <c r="U5311">
        <v>29</v>
      </c>
      <c r="V5311">
        <v>0</v>
      </c>
      <c r="W5311">
        <v>155</v>
      </c>
      <c r="X5311">
        <v>58</v>
      </c>
      <c r="Y5311">
        <v>0</v>
      </c>
      <c r="Z5311">
        <v>32</v>
      </c>
      <c r="AA5311">
        <v>0</v>
      </c>
      <c r="AB5311">
        <v>14.881819999999999</v>
      </c>
      <c r="AC5311">
        <v>5.3752660000000001E-2</v>
      </c>
      <c r="AD5311">
        <v>5.8075989999999997</v>
      </c>
      <c r="AE5311">
        <v>1.191558E-2</v>
      </c>
      <c r="AF5311">
        <v>729.85249999999996</v>
      </c>
      <c r="AG5311">
        <f>IFERROR(AH5311*0.1, "N/A")</f>
        <v>8.358689</v>
      </c>
      <c r="AH5311">
        <v>83.586889999999997</v>
      </c>
      <c r="AI5311">
        <v>241.14949999999999</v>
      </c>
      <c r="AJ5311">
        <v>8.1737699999999993</v>
      </c>
      <c r="AK5311">
        <v>81.239339999999999</v>
      </c>
    </row>
    <row r="5312" spans="1:37" x14ac:dyDescent="0.3">
      <c r="A5312">
        <v>5311</v>
      </c>
      <c r="B5312">
        <v>0</v>
      </c>
      <c r="C5312">
        <v>8.4649199999999993</v>
      </c>
      <c r="D5312">
        <v>18.064399999999999</v>
      </c>
      <c r="E5312" t="s">
        <v>8552</v>
      </c>
      <c r="F5312" t="s">
        <v>8554</v>
      </c>
      <c r="G5312" t="s">
        <v>37</v>
      </c>
      <c r="H5312">
        <v>0</v>
      </c>
      <c r="I5312">
        <v>26.4</v>
      </c>
      <c r="J5312">
        <v>15.6</v>
      </c>
      <c r="K5312">
        <v>51</v>
      </c>
      <c r="L5312">
        <v>50.82</v>
      </c>
      <c r="M5312">
        <v>40</v>
      </c>
      <c r="N5312">
        <v>9.6</v>
      </c>
      <c r="O5312">
        <v>30.4</v>
      </c>
      <c r="P5312">
        <v>31.2</v>
      </c>
      <c r="Q5312">
        <v>20.8</v>
      </c>
      <c r="R5312">
        <v>31.8</v>
      </c>
      <c r="S5312">
        <v>19</v>
      </c>
      <c r="T5312">
        <v>67</v>
      </c>
      <c r="U5312">
        <v>29</v>
      </c>
      <c r="V5312">
        <v>0</v>
      </c>
      <c r="W5312">
        <v>155</v>
      </c>
      <c r="X5312">
        <v>58</v>
      </c>
      <c r="Y5312">
        <v>0</v>
      </c>
      <c r="Z5312">
        <v>32</v>
      </c>
      <c r="AA5312">
        <v>0</v>
      </c>
      <c r="AB5312">
        <v>14.881819999999999</v>
      </c>
      <c r="AC5312">
        <v>5.3752660000000001E-2</v>
      </c>
      <c r="AD5312">
        <v>5.8075989999999997</v>
      </c>
      <c r="AE5312">
        <v>1.191558E-2</v>
      </c>
      <c r="AF5312">
        <v>729.85249999999996</v>
      </c>
      <c r="AG5312">
        <f>IFERROR(AH5312*0.1, "N/A")</f>
        <v>8.358689</v>
      </c>
      <c r="AH5312">
        <v>83.586889999999997</v>
      </c>
      <c r="AI5312">
        <v>241.14949999999999</v>
      </c>
      <c r="AJ5312">
        <v>8.1737699999999993</v>
      </c>
      <c r="AK5312">
        <v>81.239339999999999</v>
      </c>
    </row>
    <row r="5313" spans="1:37" x14ac:dyDescent="0.3">
      <c r="A5313">
        <v>5312</v>
      </c>
      <c r="B5313">
        <v>13.3</v>
      </c>
      <c r="C5313">
        <v>8.7761099999999992</v>
      </c>
      <c r="D5313">
        <v>18.112200000000001</v>
      </c>
      <c r="E5313" t="s">
        <v>8555</v>
      </c>
      <c r="F5313" t="s">
        <v>8556</v>
      </c>
      <c r="G5313" t="s">
        <v>39</v>
      </c>
      <c r="H5313">
        <v>1990</v>
      </c>
      <c r="I5313">
        <v>24.2</v>
      </c>
      <c r="J5313">
        <v>15.6</v>
      </c>
      <c r="K5313">
        <v>51</v>
      </c>
      <c r="L5313">
        <v>50.97</v>
      </c>
      <c r="M5313">
        <v>37.799999999999997</v>
      </c>
      <c r="N5313">
        <v>7.5</v>
      </c>
      <c r="O5313">
        <v>30.3</v>
      </c>
      <c r="P5313">
        <v>29.1</v>
      </c>
      <c r="Q5313">
        <v>18.600000000000001</v>
      </c>
      <c r="R5313">
        <v>29.6</v>
      </c>
      <c r="S5313">
        <v>16.8</v>
      </c>
      <c r="T5313">
        <v>72</v>
      </c>
      <c r="U5313">
        <v>30</v>
      </c>
      <c r="V5313">
        <v>0</v>
      </c>
      <c r="W5313">
        <v>137</v>
      </c>
      <c r="X5313">
        <v>61</v>
      </c>
      <c r="Y5313">
        <v>0</v>
      </c>
      <c r="Z5313">
        <v>34</v>
      </c>
      <c r="AA5313">
        <v>0</v>
      </c>
      <c r="AB5313">
        <v>28.16065</v>
      </c>
      <c r="AC5313">
        <v>8.3709730000000003E-3</v>
      </c>
      <c r="AD5313">
        <v>9.5827629999999999</v>
      </c>
      <c r="AE5313">
        <v>1.1729420000000001E-2</v>
      </c>
      <c r="AF5313">
        <v>1110.45</v>
      </c>
      <c r="AG5313">
        <f>IFERROR(AH5313*0.1, "N/A")</f>
        <v>7.7986949999999995</v>
      </c>
      <c r="AH5313">
        <v>77.986949999999993</v>
      </c>
      <c r="AI5313">
        <v>130.99590000000001</v>
      </c>
      <c r="AJ5313">
        <v>18</v>
      </c>
      <c r="AK5313">
        <v>61.605220000000003</v>
      </c>
    </row>
    <row r="5314" spans="1:37" x14ac:dyDescent="0.3">
      <c r="A5314">
        <v>5313</v>
      </c>
      <c r="B5314">
        <v>0</v>
      </c>
      <c r="C5314">
        <v>7.2309200000000002</v>
      </c>
      <c r="D5314">
        <v>18.4422</v>
      </c>
      <c r="E5314" t="s">
        <v>8557</v>
      </c>
      <c r="F5314" t="s">
        <v>8558</v>
      </c>
      <c r="G5314" t="s">
        <v>39</v>
      </c>
      <c r="H5314">
        <v>0</v>
      </c>
      <c r="I5314">
        <v>28.2</v>
      </c>
      <c r="J5314">
        <v>15.4</v>
      </c>
      <c r="K5314">
        <v>50</v>
      </c>
      <c r="L5314">
        <v>51.230849999999997</v>
      </c>
      <c r="M5314">
        <v>41.6</v>
      </c>
      <c r="N5314">
        <v>11.2</v>
      </c>
      <c r="O5314">
        <v>30.4</v>
      </c>
      <c r="P5314">
        <v>32.202109999999998</v>
      </c>
      <c r="Q5314">
        <v>22.5</v>
      </c>
      <c r="R5314">
        <v>33.6</v>
      </c>
      <c r="S5314">
        <v>20.7</v>
      </c>
      <c r="T5314">
        <v>48</v>
      </c>
      <c r="U5314">
        <v>22</v>
      </c>
      <c r="V5314">
        <v>0</v>
      </c>
      <c r="W5314">
        <v>132</v>
      </c>
      <c r="X5314">
        <v>41</v>
      </c>
      <c r="Y5314">
        <v>0</v>
      </c>
      <c r="Z5314">
        <v>19</v>
      </c>
      <c r="AA5314">
        <v>0</v>
      </c>
      <c r="AB5314">
        <v>0.18521460000000001</v>
      </c>
      <c r="AC5314">
        <v>2.7663650000000001E-2</v>
      </c>
      <c r="AD5314">
        <v>0.97077720000000001</v>
      </c>
      <c r="AE5314">
        <v>4.6358789999999997E-2</v>
      </c>
      <c r="AF5314">
        <v>402.50569999999999</v>
      </c>
      <c r="AG5314">
        <f>IFERROR(AH5314*0.1, "N/A")</f>
        <v>7.9</v>
      </c>
      <c r="AH5314">
        <v>79</v>
      </c>
      <c r="AI5314">
        <v>191.99199999999999</v>
      </c>
      <c r="AJ5314">
        <v>0</v>
      </c>
      <c r="AK5314">
        <v>97</v>
      </c>
    </row>
    <row r="5315" spans="1:37" x14ac:dyDescent="0.3">
      <c r="A5315">
        <v>5314</v>
      </c>
      <c r="B5315">
        <v>0</v>
      </c>
      <c r="C5315">
        <v>7.2309200000000002</v>
      </c>
      <c r="D5315">
        <v>18.4422</v>
      </c>
      <c r="E5315" t="s">
        <v>8557</v>
      </c>
      <c r="F5315" t="s">
        <v>8559</v>
      </c>
      <c r="G5315" t="s">
        <v>37</v>
      </c>
      <c r="H5315">
        <v>0</v>
      </c>
      <c r="I5315">
        <v>28.2</v>
      </c>
      <c r="J5315">
        <v>15.4</v>
      </c>
      <c r="K5315">
        <v>50</v>
      </c>
      <c r="L5315">
        <v>51.230849999999997</v>
      </c>
      <c r="M5315">
        <v>41.6</v>
      </c>
      <c r="N5315">
        <v>11.2</v>
      </c>
      <c r="O5315">
        <v>30.4</v>
      </c>
      <c r="P5315">
        <v>32.202109999999998</v>
      </c>
      <c r="Q5315">
        <v>22.5</v>
      </c>
      <c r="R5315">
        <v>33.6</v>
      </c>
      <c r="S5315">
        <v>20.7</v>
      </c>
      <c r="T5315">
        <v>48</v>
      </c>
      <c r="U5315">
        <v>22</v>
      </c>
      <c r="V5315">
        <v>0</v>
      </c>
      <c r="W5315">
        <v>132</v>
      </c>
      <c r="X5315">
        <v>41</v>
      </c>
      <c r="Y5315">
        <v>0</v>
      </c>
      <c r="Z5315">
        <v>19</v>
      </c>
      <c r="AA5315">
        <v>0</v>
      </c>
      <c r="AB5315">
        <v>0.18521460000000001</v>
      </c>
      <c r="AC5315">
        <v>2.7663650000000001E-2</v>
      </c>
      <c r="AD5315">
        <v>0.97077720000000001</v>
      </c>
      <c r="AE5315">
        <v>4.6358789999999997E-2</v>
      </c>
      <c r="AF5315">
        <v>402.50569999999999</v>
      </c>
      <c r="AG5315">
        <f>IFERROR(AH5315*0.1, "N/A")</f>
        <v>7.9</v>
      </c>
      <c r="AH5315">
        <v>79</v>
      </c>
      <c r="AI5315">
        <v>191.99199999999999</v>
      </c>
      <c r="AJ5315">
        <v>0</v>
      </c>
      <c r="AK5315">
        <v>97</v>
      </c>
    </row>
    <row r="5316" spans="1:37" x14ac:dyDescent="0.3">
      <c r="A5316">
        <v>5315</v>
      </c>
      <c r="B5316">
        <v>0</v>
      </c>
      <c r="C5316">
        <v>8.2507900000000003</v>
      </c>
      <c r="D5316">
        <v>19.0428</v>
      </c>
      <c r="E5316" t="s">
        <v>8560</v>
      </c>
      <c r="F5316" t="s">
        <v>8561</v>
      </c>
      <c r="G5316" t="s">
        <v>39</v>
      </c>
      <c r="H5316">
        <v>0</v>
      </c>
      <c r="I5316">
        <v>26.5</v>
      </c>
      <c r="J5316">
        <v>15.5</v>
      </c>
      <c r="K5316">
        <v>50</v>
      </c>
      <c r="L5316">
        <v>53.85671</v>
      </c>
      <c r="M5316">
        <v>40.299999999999997</v>
      </c>
      <c r="N5316">
        <v>9.3000000000000007</v>
      </c>
      <c r="O5316">
        <v>31</v>
      </c>
      <c r="P5316">
        <v>31.9</v>
      </c>
      <c r="Q5316">
        <v>20.5</v>
      </c>
      <c r="R5316">
        <v>32.200000000000003</v>
      </c>
      <c r="S5316">
        <v>18.7</v>
      </c>
      <c r="T5316">
        <v>41</v>
      </c>
      <c r="U5316">
        <v>16</v>
      </c>
      <c r="V5316">
        <v>0</v>
      </c>
      <c r="W5316">
        <v>133</v>
      </c>
      <c r="X5316">
        <v>35</v>
      </c>
      <c r="Y5316">
        <v>0</v>
      </c>
      <c r="Z5316">
        <v>20</v>
      </c>
      <c r="AA5316">
        <v>0</v>
      </c>
      <c r="AB5316">
        <v>11.41769</v>
      </c>
      <c r="AC5316">
        <v>6.1662809999999998E-2</v>
      </c>
      <c r="AD5316">
        <v>3.784211</v>
      </c>
      <c r="AE5316">
        <v>1.170436E-2</v>
      </c>
      <c r="AF5316">
        <v>650.55840000000001</v>
      </c>
      <c r="AG5316">
        <f>IFERROR(AH5316*0.1, "N/A")</f>
        <v>8.076136</v>
      </c>
      <c r="AH5316">
        <v>80.761359999999996</v>
      </c>
      <c r="AI5316">
        <v>189.83840000000001</v>
      </c>
      <c r="AJ5316">
        <v>3.2840910000000001</v>
      </c>
      <c r="AK5316">
        <v>90.384739999999994</v>
      </c>
    </row>
    <row r="5317" spans="1:37" x14ac:dyDescent="0.3">
      <c r="A5317">
        <v>5316</v>
      </c>
      <c r="B5317">
        <v>0</v>
      </c>
      <c r="C5317">
        <v>8.2507900000000003</v>
      </c>
      <c r="D5317">
        <v>19.0428</v>
      </c>
      <c r="E5317" t="s">
        <v>8560</v>
      </c>
      <c r="F5317" t="s">
        <v>8562</v>
      </c>
      <c r="G5317" t="s">
        <v>37</v>
      </c>
      <c r="H5317">
        <v>0</v>
      </c>
      <c r="I5317">
        <v>26.5</v>
      </c>
      <c r="J5317">
        <v>15.5</v>
      </c>
      <c r="K5317">
        <v>50</v>
      </c>
      <c r="L5317">
        <v>53.85671</v>
      </c>
      <c r="M5317">
        <v>40.299999999999997</v>
      </c>
      <c r="N5317">
        <v>9.3000000000000007</v>
      </c>
      <c r="O5317">
        <v>31</v>
      </c>
      <c r="P5317">
        <v>31.9</v>
      </c>
      <c r="Q5317">
        <v>20.5</v>
      </c>
      <c r="R5317">
        <v>32.200000000000003</v>
      </c>
      <c r="S5317">
        <v>18.7</v>
      </c>
      <c r="T5317">
        <v>41</v>
      </c>
      <c r="U5317">
        <v>16</v>
      </c>
      <c r="V5317">
        <v>0</v>
      </c>
      <c r="W5317">
        <v>133</v>
      </c>
      <c r="X5317">
        <v>35</v>
      </c>
      <c r="Y5317">
        <v>0</v>
      </c>
      <c r="Z5317">
        <v>20</v>
      </c>
      <c r="AA5317">
        <v>0</v>
      </c>
      <c r="AB5317">
        <v>11.41769</v>
      </c>
      <c r="AC5317">
        <v>6.1662809999999998E-2</v>
      </c>
      <c r="AD5317">
        <v>3.784211</v>
      </c>
      <c r="AE5317">
        <v>1.170436E-2</v>
      </c>
      <c r="AF5317">
        <v>650.55840000000001</v>
      </c>
      <c r="AG5317">
        <f>IFERROR(AH5317*0.1, "N/A")</f>
        <v>8.076136</v>
      </c>
      <c r="AH5317">
        <v>80.761359999999996</v>
      </c>
      <c r="AI5317">
        <v>189.83840000000001</v>
      </c>
      <c r="AJ5317">
        <v>3.2840910000000001</v>
      </c>
      <c r="AK5317">
        <v>90.384739999999994</v>
      </c>
    </row>
    <row r="5318" spans="1:37" x14ac:dyDescent="0.3">
      <c r="A5318">
        <v>5317</v>
      </c>
      <c r="B5318">
        <v>0</v>
      </c>
      <c r="C5318">
        <v>1.0832999999999999</v>
      </c>
      <c r="D5318">
        <v>14.59</v>
      </c>
      <c r="E5318" t="s">
        <v>8563</v>
      </c>
      <c r="F5318" t="s">
        <v>8564</v>
      </c>
      <c r="G5318" t="s">
        <v>37</v>
      </c>
      <c r="H5318">
        <v>1987</v>
      </c>
      <c r="I5318">
        <v>29.3</v>
      </c>
      <c r="J5318">
        <v>14.354939999999999</v>
      </c>
      <c r="K5318">
        <v>58</v>
      </c>
      <c r="L5318">
        <v>27.836480000000002</v>
      </c>
      <c r="M5318">
        <v>40.6</v>
      </c>
      <c r="N5318">
        <v>16.100000000000001</v>
      </c>
      <c r="O5318">
        <v>24.5</v>
      </c>
      <c r="P5318">
        <v>29.445060000000002</v>
      </c>
      <c r="Q5318">
        <v>26.954940000000001</v>
      </c>
      <c r="R5318">
        <v>32.799999999999997</v>
      </c>
      <c r="S5318">
        <v>25.3</v>
      </c>
      <c r="T5318">
        <v>288.54939999999999</v>
      </c>
      <c r="U5318">
        <v>114</v>
      </c>
      <c r="V5318">
        <v>0</v>
      </c>
      <c r="W5318">
        <v>143</v>
      </c>
      <c r="X5318">
        <v>239.54939999999999</v>
      </c>
      <c r="Y5318">
        <v>0</v>
      </c>
      <c r="Z5318">
        <v>46</v>
      </c>
      <c r="AA5318">
        <v>0</v>
      </c>
      <c r="AB5318">
        <v>1.5117320000000001</v>
      </c>
      <c r="AC5318">
        <v>0.1204863</v>
      </c>
      <c r="AD5318">
        <v>1.755393</v>
      </c>
      <c r="AE5318">
        <v>0.62735470000000004</v>
      </c>
      <c r="AF5318">
        <v>222.96979999999999</v>
      </c>
      <c r="AG5318">
        <f>IFERROR(AH5318*0.1, "N/A")</f>
        <v>6.4487440000000014</v>
      </c>
      <c r="AH5318">
        <v>64.487440000000007</v>
      </c>
      <c r="AI5318">
        <v>128.60169999999999</v>
      </c>
      <c r="AJ5318">
        <v>6.2093800000000003</v>
      </c>
      <c r="AK5318">
        <v>84.879400000000004</v>
      </c>
    </row>
    <row r="5319" spans="1:37" x14ac:dyDescent="0.3">
      <c r="A5319">
        <v>5318</v>
      </c>
      <c r="B5319">
        <v>16.399999999999999</v>
      </c>
      <c r="C5319">
        <v>2.2883309999999999</v>
      </c>
      <c r="D5319">
        <v>13.23169</v>
      </c>
      <c r="E5319" t="s">
        <v>8565</v>
      </c>
      <c r="F5319" t="s">
        <v>8566</v>
      </c>
      <c r="G5319" t="s">
        <v>39</v>
      </c>
      <c r="H5319">
        <v>1987</v>
      </c>
      <c r="I5319">
        <v>29</v>
      </c>
      <c r="J5319">
        <v>14.2</v>
      </c>
      <c r="K5319">
        <v>56</v>
      </c>
      <c r="L5319">
        <v>28.58</v>
      </c>
      <c r="M5319">
        <v>40.9</v>
      </c>
      <c r="N5319">
        <v>15.7</v>
      </c>
      <c r="O5319">
        <v>25.2</v>
      </c>
      <c r="P5319">
        <v>28.1</v>
      </c>
      <c r="Q5319">
        <v>25.6</v>
      </c>
      <c r="R5319">
        <v>32.700000000000003</v>
      </c>
      <c r="S5319">
        <v>25.3</v>
      </c>
      <c r="T5319">
        <v>550</v>
      </c>
      <c r="U5319">
        <v>170</v>
      </c>
      <c r="V5319">
        <v>0</v>
      </c>
      <c r="W5319">
        <v>131</v>
      </c>
      <c r="X5319">
        <v>417</v>
      </c>
      <c r="Y5319">
        <v>0</v>
      </c>
      <c r="Z5319">
        <v>120</v>
      </c>
      <c r="AA5319">
        <v>0</v>
      </c>
      <c r="AB5319">
        <v>8.4352020000000003</v>
      </c>
      <c r="AC5319">
        <v>2.2961519999999999E-2</v>
      </c>
      <c r="AD5319">
        <v>1.2565010000000001</v>
      </c>
      <c r="AE5319">
        <v>0.69362469999999998</v>
      </c>
      <c r="AF5319">
        <v>228.95259999999999</v>
      </c>
      <c r="AG5319">
        <f>IFERROR(AH5319*0.1, "N/A")</f>
        <v>5.1417940000000009</v>
      </c>
      <c r="AH5319">
        <v>51.417940000000002</v>
      </c>
      <c r="AI5319">
        <v>138.27010000000001</v>
      </c>
      <c r="AJ5319">
        <v>7.2910320000000004</v>
      </c>
      <c r="AK5319">
        <v>79.854479999999995</v>
      </c>
    </row>
    <row r="5320" spans="1:37" x14ac:dyDescent="0.3">
      <c r="A5320">
        <v>5319</v>
      </c>
      <c r="B5320">
        <v>42.2</v>
      </c>
      <c r="C5320">
        <v>0.75305599999999995</v>
      </c>
      <c r="D5320">
        <v>14.01056</v>
      </c>
      <c r="E5320" t="s">
        <v>8567</v>
      </c>
      <c r="F5320" t="s">
        <v>8568</v>
      </c>
      <c r="G5320" t="s">
        <v>39</v>
      </c>
      <c r="H5320">
        <v>1987</v>
      </c>
      <c r="I5320">
        <v>28.9</v>
      </c>
      <c r="J5320">
        <v>14.7</v>
      </c>
      <c r="K5320">
        <v>58</v>
      </c>
      <c r="L5320">
        <v>27.98</v>
      </c>
      <c r="M5320">
        <v>40.4</v>
      </c>
      <c r="N5320">
        <v>15.4</v>
      </c>
      <c r="O5320">
        <v>25</v>
      </c>
      <c r="P5320">
        <v>28.3</v>
      </c>
      <c r="Q5320">
        <v>25.1</v>
      </c>
      <c r="R5320">
        <v>32.5</v>
      </c>
      <c r="S5320">
        <v>25.1</v>
      </c>
      <c r="T5320">
        <v>409</v>
      </c>
      <c r="U5320">
        <v>145</v>
      </c>
      <c r="V5320">
        <v>0</v>
      </c>
      <c r="W5320">
        <v>136</v>
      </c>
      <c r="X5320">
        <v>322</v>
      </c>
      <c r="Y5320">
        <v>0</v>
      </c>
      <c r="Z5320">
        <v>78</v>
      </c>
      <c r="AA5320">
        <v>0</v>
      </c>
      <c r="AB5320">
        <v>4.3385809999999996</v>
      </c>
      <c r="AC5320">
        <v>1.381226E-2</v>
      </c>
      <c r="AD5320">
        <v>0.95663560000000003</v>
      </c>
      <c r="AE5320">
        <v>0.55065030000000004</v>
      </c>
      <c r="AF5320">
        <v>243.05029999999999</v>
      </c>
      <c r="AG5320">
        <f>IFERROR(AH5320*0.1, "N/A")</f>
        <v>6.8000000000000007</v>
      </c>
      <c r="AH5320">
        <v>68</v>
      </c>
      <c r="AI5320">
        <v>110.0013</v>
      </c>
      <c r="AJ5320">
        <v>29</v>
      </c>
      <c r="AK5320">
        <v>53</v>
      </c>
    </row>
    <row r="5321" spans="1:37" x14ac:dyDescent="0.3">
      <c r="A5321">
        <v>5320</v>
      </c>
      <c r="B5321">
        <v>0</v>
      </c>
      <c r="C5321">
        <v>13.6166</v>
      </c>
      <c r="D5321">
        <v>-19.124700000000001</v>
      </c>
      <c r="E5321" t="s">
        <v>8569</v>
      </c>
      <c r="F5321" t="s">
        <v>8570</v>
      </c>
      <c r="G5321" t="s">
        <v>39</v>
      </c>
      <c r="H5321">
        <v>1967</v>
      </c>
      <c r="I5321">
        <v>23.655180000000001</v>
      </c>
      <c r="J5321">
        <v>10.1</v>
      </c>
      <c r="K5321">
        <v>56.545310000000001</v>
      </c>
      <c r="L5321">
        <v>24.748899999999999</v>
      </c>
      <c r="M5321">
        <v>31.09094</v>
      </c>
      <c r="N5321">
        <v>13.355180000000001</v>
      </c>
      <c r="O5321">
        <v>17.735759999999999</v>
      </c>
      <c r="P5321">
        <v>25.46489</v>
      </c>
      <c r="Q5321">
        <v>19.755179999999999</v>
      </c>
      <c r="R5321">
        <v>25.800650000000001</v>
      </c>
      <c r="S5321">
        <v>19.755179999999999</v>
      </c>
      <c r="T5321">
        <v>115.4854</v>
      </c>
      <c r="U5321">
        <v>33.441749999999999</v>
      </c>
      <c r="V5321">
        <v>0</v>
      </c>
      <c r="W5321">
        <v>112.479</v>
      </c>
      <c r="X5321">
        <v>83.037220000000005</v>
      </c>
      <c r="Y5321">
        <v>0</v>
      </c>
      <c r="Z5321">
        <v>38.745950000000001</v>
      </c>
      <c r="AA5321">
        <v>0</v>
      </c>
      <c r="AB5321">
        <v>4.8152229999999996</v>
      </c>
      <c r="AC5321">
        <v>0.1497686</v>
      </c>
      <c r="AD5321">
        <v>2.303007</v>
      </c>
      <c r="AE5321">
        <v>0.28686790000000001</v>
      </c>
      <c r="AF5321">
        <v>568.67309999999998</v>
      </c>
      <c r="AG5321">
        <f>IFERROR(AH5321*0.1, "N/A")</f>
        <v>8.1545310000000004</v>
      </c>
      <c r="AH5321">
        <v>81.545310000000001</v>
      </c>
      <c r="AI5321">
        <v>133.35579999999999</v>
      </c>
      <c r="AJ5321">
        <v>13.454689999999999</v>
      </c>
      <c r="AK5321">
        <v>75.090609999999998</v>
      </c>
    </row>
    <row r="5322" spans="1:37" x14ac:dyDescent="0.3">
      <c r="A5322">
        <v>5321</v>
      </c>
      <c r="B5322">
        <v>0</v>
      </c>
      <c r="C5322">
        <v>13.6166</v>
      </c>
      <c r="D5322">
        <v>-19.124700000000001</v>
      </c>
      <c r="E5322" t="s">
        <v>8569</v>
      </c>
      <c r="F5322" t="s">
        <v>8571</v>
      </c>
      <c r="G5322" t="s">
        <v>37</v>
      </c>
      <c r="H5322">
        <v>1967</v>
      </c>
      <c r="I5322">
        <v>23.655180000000001</v>
      </c>
      <c r="J5322">
        <v>10.1</v>
      </c>
      <c r="K5322">
        <v>56.545310000000001</v>
      </c>
      <c r="L5322">
        <v>24.748899999999999</v>
      </c>
      <c r="M5322">
        <v>31.09094</v>
      </c>
      <c r="N5322">
        <v>13.355180000000001</v>
      </c>
      <c r="O5322">
        <v>17.735759999999999</v>
      </c>
      <c r="P5322">
        <v>25.46489</v>
      </c>
      <c r="Q5322">
        <v>19.755179999999999</v>
      </c>
      <c r="R5322">
        <v>25.800650000000001</v>
      </c>
      <c r="S5322">
        <v>19.755179999999999</v>
      </c>
      <c r="T5322">
        <v>115.4854</v>
      </c>
      <c r="U5322">
        <v>33.441749999999999</v>
      </c>
      <c r="V5322">
        <v>0</v>
      </c>
      <c r="W5322">
        <v>112.479</v>
      </c>
      <c r="X5322">
        <v>83.037220000000005</v>
      </c>
      <c r="Y5322">
        <v>0</v>
      </c>
      <c r="Z5322">
        <v>38.745950000000001</v>
      </c>
      <c r="AA5322">
        <v>0</v>
      </c>
      <c r="AB5322">
        <v>4.8152229999999996</v>
      </c>
      <c r="AC5322">
        <v>0.1497686</v>
      </c>
      <c r="AD5322">
        <v>2.303007</v>
      </c>
      <c r="AE5322">
        <v>0.28686790000000001</v>
      </c>
      <c r="AF5322">
        <v>568.67309999999998</v>
      </c>
      <c r="AG5322">
        <f>IFERROR(AH5322*0.1, "N/A")</f>
        <v>8.1545310000000004</v>
      </c>
      <c r="AH5322">
        <v>81.545310000000001</v>
      </c>
      <c r="AI5322">
        <v>133.35579999999999</v>
      </c>
      <c r="AJ5322">
        <v>13.454689999999999</v>
      </c>
      <c r="AK5322">
        <v>75.090609999999998</v>
      </c>
    </row>
    <row r="5323" spans="1:37" x14ac:dyDescent="0.3">
      <c r="A5323">
        <v>5322</v>
      </c>
      <c r="B5323">
        <v>83</v>
      </c>
      <c r="C5323">
        <v>23.6435</v>
      </c>
      <c r="D5323">
        <v>-18.2606</v>
      </c>
      <c r="E5323" t="s">
        <v>8572</v>
      </c>
      <c r="F5323" t="s">
        <v>8573</v>
      </c>
      <c r="G5323" t="s">
        <v>37</v>
      </c>
      <c r="H5323">
        <v>1995</v>
      </c>
      <c r="I5323">
        <v>22</v>
      </c>
      <c r="J5323">
        <v>16.100000000000001</v>
      </c>
      <c r="K5323">
        <v>55</v>
      </c>
      <c r="L5323">
        <v>36.46</v>
      </c>
      <c r="M5323">
        <v>34.700000000000003</v>
      </c>
      <c r="N5323">
        <v>5.8</v>
      </c>
      <c r="O5323">
        <v>28.9</v>
      </c>
      <c r="P5323">
        <v>24.7</v>
      </c>
      <c r="Q5323">
        <v>16.600000000000001</v>
      </c>
      <c r="R5323">
        <v>25.5</v>
      </c>
      <c r="S5323">
        <v>16.600000000000001</v>
      </c>
      <c r="T5323">
        <v>550</v>
      </c>
      <c r="U5323">
        <v>133</v>
      </c>
      <c r="V5323">
        <v>0</v>
      </c>
      <c r="W5323">
        <v>110</v>
      </c>
      <c r="X5323">
        <v>374</v>
      </c>
      <c r="Y5323">
        <v>0</v>
      </c>
      <c r="Z5323">
        <v>188</v>
      </c>
      <c r="AA5323">
        <v>0</v>
      </c>
      <c r="AB5323">
        <v>0.4753984</v>
      </c>
      <c r="AC5323">
        <v>1.4742160000000001E-2</v>
      </c>
      <c r="AD5323">
        <v>2.069448</v>
      </c>
      <c r="AE5323">
        <v>0.29294480000000001</v>
      </c>
      <c r="AF5323">
        <v>949.34199999999998</v>
      </c>
      <c r="AG5323">
        <f>IFERROR(AH5323*0.1, "N/A")</f>
        <v>6.806515000000001</v>
      </c>
      <c r="AH5323">
        <v>68.065150000000003</v>
      </c>
      <c r="AI5323">
        <v>103.25409999999999</v>
      </c>
      <c r="AJ5323">
        <v>10.413679999999999</v>
      </c>
      <c r="AK5323">
        <v>84.239410000000007</v>
      </c>
    </row>
    <row r="5324" spans="1:37" x14ac:dyDescent="0.3">
      <c r="A5324">
        <v>5323</v>
      </c>
      <c r="B5324">
        <v>0</v>
      </c>
      <c r="C5324">
        <v>23.6435</v>
      </c>
      <c r="D5324">
        <v>-18.2606</v>
      </c>
      <c r="E5324" t="s">
        <v>8572</v>
      </c>
      <c r="F5324" t="s">
        <v>8574</v>
      </c>
      <c r="G5324" t="s">
        <v>39</v>
      </c>
      <c r="H5324">
        <v>1995</v>
      </c>
      <c r="I5324">
        <v>22</v>
      </c>
      <c r="J5324">
        <v>16.100000000000001</v>
      </c>
      <c r="K5324">
        <v>55</v>
      </c>
      <c r="L5324">
        <v>36.46</v>
      </c>
      <c r="M5324">
        <v>34.700000000000003</v>
      </c>
      <c r="N5324">
        <v>5.8</v>
      </c>
      <c r="O5324">
        <v>28.9</v>
      </c>
      <c r="P5324">
        <v>24.7</v>
      </c>
      <c r="Q5324">
        <v>16.600000000000001</v>
      </c>
      <c r="R5324">
        <v>25.5</v>
      </c>
      <c r="S5324">
        <v>16.600000000000001</v>
      </c>
      <c r="T5324">
        <v>550</v>
      </c>
      <c r="U5324">
        <v>133</v>
      </c>
      <c r="V5324">
        <v>0</v>
      </c>
      <c r="W5324">
        <v>110</v>
      </c>
      <c r="X5324">
        <v>374</v>
      </c>
      <c r="Y5324">
        <v>0</v>
      </c>
      <c r="Z5324">
        <v>188</v>
      </c>
      <c r="AA5324">
        <v>0</v>
      </c>
      <c r="AB5324">
        <v>0.4753984</v>
      </c>
      <c r="AC5324">
        <v>1.4742160000000001E-2</v>
      </c>
      <c r="AD5324">
        <v>2.069448</v>
      </c>
      <c r="AE5324">
        <v>0.29294480000000001</v>
      </c>
      <c r="AF5324">
        <v>949.34199999999998</v>
      </c>
      <c r="AG5324">
        <f>IFERROR(AH5324*0.1, "N/A")</f>
        <v>6.806515000000001</v>
      </c>
      <c r="AH5324">
        <v>68.065150000000003</v>
      </c>
      <c r="AI5324">
        <v>103.25409999999999</v>
      </c>
      <c r="AJ5324">
        <v>10.413679999999999</v>
      </c>
      <c r="AK5324">
        <v>84.239410000000007</v>
      </c>
    </row>
    <row r="5325" spans="1:37" x14ac:dyDescent="0.3">
      <c r="A5325">
        <v>5324</v>
      </c>
      <c r="B5325">
        <v>63</v>
      </c>
      <c r="C5325">
        <v>23.5594</v>
      </c>
      <c r="D5325">
        <v>-18.238900000000001</v>
      </c>
      <c r="E5325" t="s">
        <v>8575</v>
      </c>
      <c r="F5325" t="s">
        <v>8576</v>
      </c>
      <c r="G5325" t="s">
        <v>37</v>
      </c>
      <c r="H5325">
        <v>1995</v>
      </c>
      <c r="I5325">
        <v>22</v>
      </c>
      <c r="J5325">
        <v>16</v>
      </c>
      <c r="K5325">
        <v>55</v>
      </c>
      <c r="L5325">
        <v>36.729999999999997</v>
      </c>
      <c r="M5325">
        <v>34.700000000000003</v>
      </c>
      <c r="N5325">
        <v>5.7</v>
      </c>
      <c r="O5325">
        <v>29</v>
      </c>
      <c r="P5325">
        <v>24.8</v>
      </c>
      <c r="Q5325">
        <v>16.5</v>
      </c>
      <c r="R5325">
        <v>25.5</v>
      </c>
      <c r="S5325">
        <v>16.5</v>
      </c>
      <c r="T5325">
        <v>551</v>
      </c>
      <c r="U5325">
        <v>132</v>
      </c>
      <c r="V5325">
        <v>0</v>
      </c>
      <c r="W5325">
        <v>110</v>
      </c>
      <c r="X5325">
        <v>373</v>
      </c>
      <c r="Y5325">
        <v>1</v>
      </c>
      <c r="Z5325">
        <v>188</v>
      </c>
      <c r="AA5325">
        <v>1</v>
      </c>
      <c r="AB5325">
        <v>0.250724</v>
      </c>
      <c r="AC5325">
        <v>2.8979189999999998E-2</v>
      </c>
      <c r="AD5325">
        <v>0.72132969999999996</v>
      </c>
      <c r="AE5325">
        <v>0.26300000000000001</v>
      </c>
      <c r="AF5325">
        <v>950.89070000000004</v>
      </c>
      <c r="AG5325">
        <f>IFERROR(AH5325*0.1, "N/A")</f>
        <v>6.5398040000000002</v>
      </c>
      <c r="AH5325">
        <v>65.398039999999995</v>
      </c>
      <c r="AI5325">
        <v>93.278819999999996</v>
      </c>
      <c r="AJ5325">
        <v>8</v>
      </c>
      <c r="AK5325">
        <v>88.779769999999999</v>
      </c>
    </row>
    <row r="5326" spans="1:37" x14ac:dyDescent="0.3">
      <c r="A5326">
        <v>5325</v>
      </c>
      <c r="B5326">
        <v>0</v>
      </c>
      <c r="C5326">
        <v>23.5594</v>
      </c>
      <c r="D5326">
        <v>-18.238900000000001</v>
      </c>
      <c r="E5326" t="s">
        <v>8575</v>
      </c>
      <c r="F5326" t="s">
        <v>8577</v>
      </c>
      <c r="G5326" t="s">
        <v>39</v>
      </c>
      <c r="H5326">
        <v>1995</v>
      </c>
      <c r="I5326">
        <v>22</v>
      </c>
      <c r="J5326">
        <v>16</v>
      </c>
      <c r="K5326">
        <v>55</v>
      </c>
      <c r="L5326">
        <v>36.729999999999997</v>
      </c>
      <c r="M5326">
        <v>34.700000000000003</v>
      </c>
      <c r="N5326">
        <v>5.7</v>
      </c>
      <c r="O5326">
        <v>29</v>
      </c>
      <c r="P5326">
        <v>24.8</v>
      </c>
      <c r="Q5326">
        <v>16.5</v>
      </c>
      <c r="R5326">
        <v>25.5</v>
      </c>
      <c r="S5326">
        <v>16.5</v>
      </c>
      <c r="T5326">
        <v>551</v>
      </c>
      <c r="U5326">
        <v>132</v>
      </c>
      <c r="V5326">
        <v>0</v>
      </c>
      <c r="W5326">
        <v>110</v>
      </c>
      <c r="X5326">
        <v>373</v>
      </c>
      <c r="Y5326">
        <v>1</v>
      </c>
      <c r="Z5326">
        <v>188</v>
      </c>
      <c r="AA5326">
        <v>1</v>
      </c>
      <c r="AB5326">
        <v>0.250724</v>
      </c>
      <c r="AC5326">
        <v>2.8979189999999998E-2</v>
      </c>
      <c r="AD5326">
        <v>0.72132969999999996</v>
      </c>
      <c r="AE5326">
        <v>0.26300000000000001</v>
      </c>
      <c r="AF5326">
        <v>950.89070000000004</v>
      </c>
      <c r="AG5326">
        <f>IFERROR(AH5326*0.1, "N/A")</f>
        <v>6.5398040000000002</v>
      </c>
      <c r="AH5326">
        <v>65.398039999999995</v>
      </c>
      <c r="AI5326">
        <v>93.278819999999996</v>
      </c>
      <c r="AJ5326">
        <v>8</v>
      </c>
      <c r="AK5326">
        <v>88.779769999999999</v>
      </c>
    </row>
    <row r="5327" spans="1:37" x14ac:dyDescent="0.3">
      <c r="A5327">
        <v>5326</v>
      </c>
      <c r="B5327">
        <v>77</v>
      </c>
      <c r="C5327">
        <v>23.4208</v>
      </c>
      <c r="D5327">
        <v>-18.171399999999998</v>
      </c>
      <c r="E5327" t="s">
        <v>8578</v>
      </c>
      <c r="F5327" t="s">
        <v>8579</v>
      </c>
      <c r="G5327" t="s">
        <v>37</v>
      </c>
      <c r="H5327">
        <v>1995</v>
      </c>
      <c r="I5327">
        <v>22</v>
      </c>
      <c r="J5327">
        <v>16</v>
      </c>
      <c r="K5327">
        <v>55</v>
      </c>
      <c r="L5327">
        <v>36.58</v>
      </c>
      <c r="M5327">
        <v>34.6</v>
      </c>
      <c r="N5327">
        <v>5.7</v>
      </c>
      <c r="O5327">
        <v>28.9</v>
      </c>
      <c r="P5327">
        <v>24.7</v>
      </c>
      <c r="Q5327">
        <v>16.600000000000001</v>
      </c>
      <c r="R5327">
        <v>25.5</v>
      </c>
      <c r="S5327">
        <v>16.600000000000001</v>
      </c>
      <c r="T5327">
        <v>556</v>
      </c>
      <c r="U5327">
        <v>132</v>
      </c>
      <c r="V5327">
        <v>0</v>
      </c>
      <c r="W5327">
        <v>108</v>
      </c>
      <c r="X5327">
        <v>375</v>
      </c>
      <c r="Y5327">
        <v>1</v>
      </c>
      <c r="Z5327">
        <v>189</v>
      </c>
      <c r="AA5327">
        <v>1</v>
      </c>
      <c r="AB5327">
        <v>3.1744669999999999</v>
      </c>
      <c r="AC5327">
        <v>1.554052E-2</v>
      </c>
      <c r="AD5327">
        <v>1.1935359999999999</v>
      </c>
      <c r="AE5327">
        <v>0.193908</v>
      </c>
      <c r="AF5327">
        <v>958.81830000000002</v>
      </c>
      <c r="AG5327">
        <f>IFERROR(AH5327*0.1, "N/A")</f>
        <v>6.8857609999999996</v>
      </c>
      <c r="AH5327">
        <v>68.857609999999994</v>
      </c>
      <c r="AI5327">
        <v>105.20910000000001</v>
      </c>
      <c r="AJ5327">
        <v>9.9721770000000003</v>
      </c>
      <c r="AK5327">
        <v>86.92962</v>
      </c>
    </row>
    <row r="5328" spans="1:37" x14ac:dyDescent="0.3">
      <c r="A5328">
        <v>5327</v>
      </c>
      <c r="B5328">
        <v>0</v>
      </c>
      <c r="C5328">
        <v>23.4208</v>
      </c>
      <c r="D5328">
        <v>-18.171399999999998</v>
      </c>
      <c r="E5328" t="s">
        <v>8578</v>
      </c>
      <c r="F5328" t="s">
        <v>8580</v>
      </c>
      <c r="G5328" t="s">
        <v>39</v>
      </c>
      <c r="H5328">
        <v>1995</v>
      </c>
      <c r="I5328">
        <v>22</v>
      </c>
      <c r="J5328">
        <v>16</v>
      </c>
      <c r="K5328">
        <v>55</v>
      </c>
      <c r="L5328">
        <v>36.58</v>
      </c>
      <c r="M5328">
        <v>34.6</v>
      </c>
      <c r="N5328">
        <v>5.7</v>
      </c>
      <c r="O5328">
        <v>28.9</v>
      </c>
      <c r="P5328">
        <v>24.7</v>
      </c>
      <c r="Q5328">
        <v>16.600000000000001</v>
      </c>
      <c r="R5328">
        <v>25.5</v>
      </c>
      <c r="S5328">
        <v>16.600000000000001</v>
      </c>
      <c r="T5328">
        <v>556</v>
      </c>
      <c r="U5328">
        <v>132</v>
      </c>
      <c r="V5328">
        <v>0</v>
      </c>
      <c r="W5328">
        <v>108</v>
      </c>
      <c r="X5328">
        <v>375</v>
      </c>
      <c r="Y5328">
        <v>1</v>
      </c>
      <c r="Z5328">
        <v>189</v>
      </c>
      <c r="AA5328">
        <v>1</v>
      </c>
      <c r="AB5328">
        <v>3.1744669999999999</v>
      </c>
      <c r="AC5328">
        <v>1.554052E-2</v>
      </c>
      <c r="AD5328">
        <v>1.1935359999999999</v>
      </c>
      <c r="AE5328">
        <v>0.193908</v>
      </c>
      <c r="AF5328">
        <v>958.81830000000002</v>
      </c>
      <c r="AG5328">
        <f>IFERROR(AH5328*0.1, "N/A")</f>
        <v>6.8857609999999996</v>
      </c>
      <c r="AH5328">
        <v>68.857609999999994</v>
      </c>
      <c r="AI5328">
        <v>105.20910000000001</v>
      </c>
      <c r="AJ5328">
        <v>9.9721770000000003</v>
      </c>
      <c r="AK5328">
        <v>86.92962</v>
      </c>
    </row>
    <row r="5329" spans="1:37" x14ac:dyDescent="0.3">
      <c r="A5329">
        <v>5328</v>
      </c>
      <c r="B5329">
        <v>1.9</v>
      </c>
      <c r="C5329">
        <v>24.0152</v>
      </c>
      <c r="D5329">
        <v>-18.0716</v>
      </c>
      <c r="E5329" t="s">
        <v>8581</v>
      </c>
      <c r="F5329" t="s">
        <v>8582</v>
      </c>
      <c r="G5329" t="s">
        <v>39</v>
      </c>
      <c r="H5329">
        <v>1967</v>
      </c>
      <c r="I5329">
        <v>21.9</v>
      </c>
      <c r="J5329">
        <v>16.2</v>
      </c>
      <c r="K5329">
        <v>54</v>
      </c>
      <c r="L5329">
        <v>36.83</v>
      </c>
      <c r="M5329">
        <v>35</v>
      </c>
      <c r="N5329">
        <v>5.4</v>
      </c>
      <c r="O5329">
        <v>29.6</v>
      </c>
      <c r="P5329">
        <v>24.6</v>
      </c>
      <c r="Q5329">
        <v>16.399999999999999</v>
      </c>
      <c r="R5329">
        <v>25.5</v>
      </c>
      <c r="S5329">
        <v>16.399999999999999</v>
      </c>
      <c r="T5329">
        <v>580</v>
      </c>
      <c r="U5329">
        <v>141</v>
      </c>
      <c r="V5329">
        <v>0</v>
      </c>
      <c r="W5329">
        <v>110</v>
      </c>
      <c r="X5329">
        <v>398</v>
      </c>
      <c r="Y5329">
        <v>0</v>
      </c>
      <c r="Z5329">
        <v>201</v>
      </c>
      <c r="AA5329">
        <v>0</v>
      </c>
      <c r="AB5329">
        <v>0.35805589999999998</v>
      </c>
      <c r="AC5329">
        <v>6.7898570000000005E-2</v>
      </c>
      <c r="AD5329">
        <v>0.74321349999999997</v>
      </c>
      <c r="AE5329">
        <v>0.27394770000000002</v>
      </c>
      <c r="AF5329">
        <v>934.3279</v>
      </c>
      <c r="AG5329">
        <f>IFERROR(AH5329*0.1, "N/A")</f>
        <v>6.5549760000000008</v>
      </c>
      <c r="AH5329">
        <v>65.549760000000006</v>
      </c>
      <c r="AI5329">
        <v>211.6251</v>
      </c>
      <c r="AJ5329">
        <v>4.1435560000000002</v>
      </c>
      <c r="AK5329">
        <v>92.856440000000006</v>
      </c>
    </row>
    <row r="5330" spans="1:37" x14ac:dyDescent="0.3">
      <c r="A5330">
        <v>5329</v>
      </c>
      <c r="B5330">
        <v>0</v>
      </c>
      <c r="C5330">
        <v>24.0152</v>
      </c>
      <c r="D5330">
        <v>-18.0716</v>
      </c>
      <c r="E5330" t="s">
        <v>8581</v>
      </c>
      <c r="F5330" t="s">
        <v>8583</v>
      </c>
      <c r="G5330" t="s">
        <v>37</v>
      </c>
      <c r="H5330">
        <v>1967</v>
      </c>
      <c r="I5330">
        <v>21.9</v>
      </c>
      <c r="J5330">
        <v>16.2</v>
      </c>
      <c r="K5330">
        <v>54</v>
      </c>
      <c r="L5330">
        <v>36.83</v>
      </c>
      <c r="M5330">
        <v>35</v>
      </c>
      <c r="N5330">
        <v>5.4</v>
      </c>
      <c r="O5330">
        <v>29.6</v>
      </c>
      <c r="P5330">
        <v>24.6</v>
      </c>
      <c r="Q5330">
        <v>16.399999999999999</v>
      </c>
      <c r="R5330">
        <v>25.5</v>
      </c>
      <c r="S5330">
        <v>16.399999999999999</v>
      </c>
      <c r="T5330">
        <v>580</v>
      </c>
      <c r="U5330">
        <v>141</v>
      </c>
      <c r="V5330">
        <v>0</v>
      </c>
      <c r="W5330">
        <v>110</v>
      </c>
      <c r="X5330">
        <v>398</v>
      </c>
      <c r="Y5330">
        <v>0</v>
      </c>
      <c r="Z5330">
        <v>201</v>
      </c>
      <c r="AA5330">
        <v>0</v>
      </c>
      <c r="AB5330">
        <v>0.35805589999999998</v>
      </c>
      <c r="AC5330">
        <v>6.7898570000000005E-2</v>
      </c>
      <c r="AD5330">
        <v>0.74321349999999997</v>
      </c>
      <c r="AE5330">
        <v>0.27394770000000002</v>
      </c>
      <c r="AF5330">
        <v>934.3279</v>
      </c>
      <c r="AG5330">
        <f>IFERROR(AH5330*0.1, "N/A")</f>
        <v>6.5549760000000008</v>
      </c>
      <c r="AH5330">
        <v>65.549760000000006</v>
      </c>
      <c r="AI5330">
        <v>211.6251</v>
      </c>
      <c r="AJ5330">
        <v>4.1435560000000002</v>
      </c>
      <c r="AK5330">
        <v>92.856440000000006</v>
      </c>
    </row>
    <row r="5331" spans="1:37" x14ac:dyDescent="0.3">
      <c r="A5331">
        <v>5330</v>
      </c>
      <c r="B5331">
        <v>0.9</v>
      </c>
      <c r="C5331">
        <v>21.4404</v>
      </c>
      <c r="D5331">
        <v>-18.061599999999999</v>
      </c>
      <c r="E5331" t="s">
        <v>8584</v>
      </c>
      <c r="F5331" t="s">
        <v>8585</v>
      </c>
      <c r="G5331" t="s">
        <v>39</v>
      </c>
      <c r="H5331">
        <v>1967</v>
      </c>
      <c r="I5331">
        <v>21.7</v>
      </c>
      <c r="J5331">
        <v>15.7</v>
      </c>
      <c r="K5331">
        <v>56</v>
      </c>
      <c r="L5331">
        <v>33.1</v>
      </c>
      <c r="M5331">
        <v>34.299999999999997</v>
      </c>
      <c r="N5331">
        <v>6.4</v>
      </c>
      <c r="O5331">
        <v>27.9</v>
      </c>
      <c r="P5331">
        <v>23.6</v>
      </c>
      <c r="Q5331">
        <v>16.8</v>
      </c>
      <c r="R5331">
        <v>25</v>
      </c>
      <c r="S5331">
        <v>16.8</v>
      </c>
      <c r="T5331">
        <v>587</v>
      </c>
      <c r="U5331">
        <v>152</v>
      </c>
      <c r="V5331">
        <v>0</v>
      </c>
      <c r="W5331">
        <v>110</v>
      </c>
      <c r="X5331">
        <v>381</v>
      </c>
      <c r="Y5331">
        <v>0</v>
      </c>
      <c r="Z5331">
        <v>171</v>
      </c>
      <c r="AA5331">
        <v>3</v>
      </c>
      <c r="AB5331">
        <v>11.56546</v>
      </c>
      <c r="AC5331">
        <v>5.5503520000000001E-2</v>
      </c>
      <c r="AD5331">
        <v>1.0345819999999999</v>
      </c>
      <c r="AE5331">
        <v>0.45653120000000003</v>
      </c>
      <c r="AF5331">
        <v>1026.527</v>
      </c>
      <c r="AG5331">
        <f>IFERROR(AH5331*0.1, "N/A")</f>
        <v>6.681997</v>
      </c>
      <c r="AH5331">
        <v>66.819969999999998</v>
      </c>
      <c r="AI5331">
        <v>133.64689999999999</v>
      </c>
      <c r="AJ5331">
        <v>9.9099839999999997</v>
      </c>
      <c r="AK5331">
        <v>80.090019999999996</v>
      </c>
    </row>
    <row r="5332" spans="1:37" x14ac:dyDescent="0.3">
      <c r="A5332">
        <v>5331</v>
      </c>
      <c r="B5332">
        <v>0</v>
      </c>
      <c r="C5332">
        <v>21.4404</v>
      </c>
      <c r="D5332">
        <v>-18.061599999999999</v>
      </c>
      <c r="E5332" t="s">
        <v>8584</v>
      </c>
      <c r="F5332" t="s">
        <v>8586</v>
      </c>
      <c r="G5332" t="s">
        <v>37</v>
      </c>
      <c r="H5332">
        <v>1967</v>
      </c>
      <c r="I5332">
        <v>21.7</v>
      </c>
      <c r="J5332">
        <v>15.7</v>
      </c>
      <c r="K5332">
        <v>56</v>
      </c>
      <c r="L5332">
        <v>33.1</v>
      </c>
      <c r="M5332">
        <v>34.299999999999997</v>
      </c>
      <c r="N5332">
        <v>6.4</v>
      </c>
      <c r="O5332">
        <v>27.9</v>
      </c>
      <c r="P5332">
        <v>23.6</v>
      </c>
      <c r="Q5332">
        <v>16.8</v>
      </c>
      <c r="R5332">
        <v>25</v>
      </c>
      <c r="S5332">
        <v>16.8</v>
      </c>
      <c r="T5332">
        <v>587</v>
      </c>
      <c r="U5332">
        <v>152</v>
      </c>
      <c r="V5332">
        <v>0</v>
      </c>
      <c r="W5332">
        <v>110</v>
      </c>
      <c r="X5332">
        <v>381</v>
      </c>
      <c r="Y5332">
        <v>0</v>
      </c>
      <c r="Z5332">
        <v>171</v>
      </c>
      <c r="AA5332">
        <v>3</v>
      </c>
      <c r="AB5332">
        <v>11.56546</v>
      </c>
      <c r="AC5332">
        <v>5.5503520000000001E-2</v>
      </c>
      <c r="AD5332">
        <v>1.0345819999999999</v>
      </c>
      <c r="AE5332">
        <v>0.45653120000000003</v>
      </c>
      <c r="AF5332">
        <v>1026.527</v>
      </c>
      <c r="AG5332">
        <f>IFERROR(AH5332*0.1, "N/A")</f>
        <v>6.681997</v>
      </c>
      <c r="AH5332">
        <v>66.819969999999998</v>
      </c>
      <c r="AI5332">
        <v>133.64689999999999</v>
      </c>
      <c r="AJ5332">
        <v>9.9099839999999997</v>
      </c>
      <c r="AK5332">
        <v>80.090019999999996</v>
      </c>
    </row>
    <row r="5333" spans="1:37" x14ac:dyDescent="0.3">
      <c r="A5333">
        <v>5332</v>
      </c>
      <c r="B5333">
        <v>75</v>
      </c>
      <c r="C5333">
        <v>23.326899999999998</v>
      </c>
      <c r="D5333">
        <v>-18.0366</v>
      </c>
      <c r="E5333" t="s">
        <v>8587</v>
      </c>
      <c r="F5333" t="s">
        <v>8588</v>
      </c>
      <c r="G5333" t="s">
        <v>37</v>
      </c>
      <c r="H5333">
        <v>1995</v>
      </c>
      <c r="I5333">
        <v>21.9</v>
      </c>
      <c r="J5333">
        <v>16</v>
      </c>
      <c r="K5333">
        <v>55</v>
      </c>
      <c r="L5333">
        <v>36.15</v>
      </c>
      <c r="M5333">
        <v>34.5</v>
      </c>
      <c r="N5333">
        <v>5.7</v>
      </c>
      <c r="O5333">
        <v>28.8</v>
      </c>
      <c r="P5333">
        <v>24.6</v>
      </c>
      <c r="Q5333">
        <v>16.5</v>
      </c>
      <c r="R5333">
        <v>25.3</v>
      </c>
      <c r="S5333">
        <v>16.5</v>
      </c>
      <c r="T5333">
        <v>570</v>
      </c>
      <c r="U5333">
        <v>135</v>
      </c>
      <c r="V5333">
        <v>0</v>
      </c>
      <c r="W5333">
        <v>109</v>
      </c>
      <c r="X5333">
        <v>385</v>
      </c>
      <c r="Y5333">
        <v>1</v>
      </c>
      <c r="Z5333">
        <v>194</v>
      </c>
      <c r="AA5333">
        <v>1</v>
      </c>
      <c r="AB5333">
        <v>8.9568779999999997</v>
      </c>
      <c r="AC5333">
        <v>0.13358819999999999</v>
      </c>
      <c r="AD5333">
        <v>1.5452889999999999</v>
      </c>
      <c r="AE5333">
        <v>0.25814550000000003</v>
      </c>
      <c r="AF5333">
        <v>968.41010000000006</v>
      </c>
      <c r="AG5333">
        <f>IFERROR(AH5333*0.1, "N/A")</f>
        <v>6.4647059999999996</v>
      </c>
      <c r="AH5333">
        <v>64.647059999999996</v>
      </c>
      <c r="AI5333">
        <v>208.75309999999999</v>
      </c>
      <c r="AJ5333">
        <v>9</v>
      </c>
      <c r="AK5333">
        <v>85.486930000000001</v>
      </c>
    </row>
    <row r="5334" spans="1:37" x14ac:dyDescent="0.3">
      <c r="A5334">
        <v>5333</v>
      </c>
      <c r="B5334">
        <v>0</v>
      </c>
      <c r="C5334">
        <v>23.326899999999998</v>
      </c>
      <c r="D5334">
        <v>-18.0366</v>
      </c>
      <c r="E5334" t="s">
        <v>8587</v>
      </c>
      <c r="F5334" t="s">
        <v>8589</v>
      </c>
      <c r="G5334" t="s">
        <v>39</v>
      </c>
      <c r="H5334">
        <v>1995</v>
      </c>
      <c r="I5334">
        <v>21.9</v>
      </c>
      <c r="J5334">
        <v>16</v>
      </c>
      <c r="K5334">
        <v>55</v>
      </c>
      <c r="L5334">
        <v>36.15</v>
      </c>
      <c r="M5334">
        <v>34.5</v>
      </c>
      <c r="N5334">
        <v>5.7</v>
      </c>
      <c r="O5334">
        <v>28.8</v>
      </c>
      <c r="P5334">
        <v>24.6</v>
      </c>
      <c r="Q5334">
        <v>16.5</v>
      </c>
      <c r="R5334">
        <v>25.3</v>
      </c>
      <c r="S5334">
        <v>16.5</v>
      </c>
      <c r="T5334">
        <v>570</v>
      </c>
      <c r="U5334">
        <v>135</v>
      </c>
      <c r="V5334">
        <v>0</v>
      </c>
      <c r="W5334">
        <v>109</v>
      </c>
      <c r="X5334">
        <v>385</v>
      </c>
      <c r="Y5334">
        <v>1</v>
      </c>
      <c r="Z5334">
        <v>194</v>
      </c>
      <c r="AA5334">
        <v>1</v>
      </c>
      <c r="AB5334">
        <v>8.9568779999999997</v>
      </c>
      <c r="AC5334">
        <v>0.13358819999999999</v>
      </c>
      <c r="AD5334">
        <v>1.5452889999999999</v>
      </c>
      <c r="AE5334">
        <v>0.25814550000000003</v>
      </c>
      <c r="AF5334">
        <v>968.41010000000006</v>
      </c>
      <c r="AG5334">
        <f>IFERROR(AH5334*0.1, "N/A")</f>
        <v>6.4647059999999996</v>
      </c>
      <c r="AH5334">
        <v>64.647059999999996</v>
      </c>
      <c r="AI5334">
        <v>208.75309999999999</v>
      </c>
      <c r="AJ5334">
        <v>9</v>
      </c>
      <c r="AK5334">
        <v>85.486930000000001</v>
      </c>
    </row>
    <row r="5335" spans="1:37" x14ac:dyDescent="0.3">
      <c r="A5335">
        <v>5334</v>
      </c>
      <c r="B5335">
        <v>1</v>
      </c>
      <c r="C5335">
        <v>20.5457</v>
      </c>
      <c r="D5335">
        <v>-17.985900000000001</v>
      </c>
      <c r="E5335" t="s">
        <v>8590</v>
      </c>
      <c r="F5335" t="s">
        <v>8591</v>
      </c>
      <c r="G5335" t="s">
        <v>39</v>
      </c>
      <c r="H5335">
        <v>1967</v>
      </c>
      <c r="I5335">
        <v>21.9</v>
      </c>
      <c r="J5335">
        <v>16</v>
      </c>
      <c r="K5335">
        <v>56</v>
      </c>
      <c r="L5335">
        <v>34.130000000000003</v>
      </c>
      <c r="M5335">
        <v>34.4</v>
      </c>
      <c r="N5335">
        <v>6.1</v>
      </c>
      <c r="O5335">
        <v>28.3</v>
      </c>
      <c r="P5335">
        <v>23.9</v>
      </c>
      <c r="Q5335">
        <v>16.899999999999999</v>
      </c>
      <c r="R5335">
        <v>25.3</v>
      </c>
      <c r="S5335">
        <v>16.899999999999999</v>
      </c>
      <c r="T5335">
        <v>592</v>
      </c>
      <c r="U5335">
        <v>154</v>
      </c>
      <c r="V5335">
        <v>0</v>
      </c>
      <c r="W5335">
        <v>109</v>
      </c>
      <c r="X5335">
        <v>388</v>
      </c>
      <c r="Y5335">
        <v>0</v>
      </c>
      <c r="Z5335">
        <v>164</v>
      </c>
      <c r="AA5335">
        <v>0</v>
      </c>
      <c r="AB5335">
        <v>10.776389999999999</v>
      </c>
      <c r="AC5335">
        <v>2.4467019999999999E-2</v>
      </c>
      <c r="AD5335">
        <v>1.4655199999999999</v>
      </c>
      <c r="AE5335">
        <v>0.46917120000000001</v>
      </c>
      <c r="AF5335">
        <v>1050.684</v>
      </c>
      <c r="AG5335">
        <f>IFERROR(AH5335*0.1, "N/A")</f>
        <v>7.305574</v>
      </c>
      <c r="AH5335">
        <v>73.05574</v>
      </c>
      <c r="AI5335">
        <v>57.891350000000003</v>
      </c>
      <c r="AJ5335">
        <v>13.57705</v>
      </c>
      <c r="AK5335">
        <v>73.531149999999997</v>
      </c>
    </row>
    <row r="5336" spans="1:37" x14ac:dyDescent="0.3">
      <c r="A5336">
        <v>5335</v>
      </c>
      <c r="B5336">
        <v>12.5</v>
      </c>
      <c r="C5336">
        <v>20.5457</v>
      </c>
      <c r="D5336">
        <v>-17.985900000000001</v>
      </c>
      <c r="E5336" t="s">
        <v>8590</v>
      </c>
      <c r="F5336" t="s">
        <v>8592</v>
      </c>
      <c r="G5336" t="s">
        <v>37</v>
      </c>
      <c r="H5336">
        <v>1967</v>
      </c>
      <c r="I5336">
        <v>21.9</v>
      </c>
      <c r="J5336">
        <v>16</v>
      </c>
      <c r="K5336">
        <v>56</v>
      </c>
      <c r="L5336">
        <v>34.130000000000003</v>
      </c>
      <c r="M5336">
        <v>34.4</v>
      </c>
      <c r="N5336">
        <v>6.1</v>
      </c>
      <c r="O5336">
        <v>28.3</v>
      </c>
      <c r="P5336">
        <v>23.9</v>
      </c>
      <c r="Q5336">
        <v>16.899999999999999</v>
      </c>
      <c r="R5336">
        <v>25.3</v>
      </c>
      <c r="S5336">
        <v>16.899999999999999</v>
      </c>
      <c r="T5336">
        <v>592</v>
      </c>
      <c r="U5336">
        <v>154</v>
      </c>
      <c r="V5336">
        <v>0</v>
      </c>
      <c r="W5336">
        <v>109</v>
      </c>
      <c r="X5336">
        <v>388</v>
      </c>
      <c r="Y5336">
        <v>0</v>
      </c>
      <c r="Z5336">
        <v>164</v>
      </c>
      <c r="AA5336">
        <v>0</v>
      </c>
      <c r="AB5336">
        <v>10.776389999999999</v>
      </c>
      <c r="AC5336">
        <v>2.4467019999999999E-2</v>
      </c>
      <c r="AD5336">
        <v>1.4655199999999999</v>
      </c>
      <c r="AE5336">
        <v>0.46917120000000001</v>
      </c>
      <c r="AF5336">
        <v>1050.684</v>
      </c>
      <c r="AG5336">
        <f>IFERROR(AH5336*0.1, "N/A")</f>
        <v>7.305574</v>
      </c>
      <c r="AH5336">
        <v>73.05574</v>
      </c>
      <c r="AI5336">
        <v>57.891350000000003</v>
      </c>
      <c r="AJ5336">
        <v>13.57705</v>
      </c>
      <c r="AK5336">
        <v>73.531149999999997</v>
      </c>
    </row>
    <row r="5337" spans="1:37" x14ac:dyDescent="0.3">
      <c r="A5337">
        <v>5336</v>
      </c>
      <c r="B5337">
        <v>90</v>
      </c>
      <c r="C5337">
        <v>23.324000000000002</v>
      </c>
      <c r="D5337">
        <v>-17.956299999999999</v>
      </c>
      <c r="E5337" t="s">
        <v>8593</v>
      </c>
      <c r="F5337" t="s">
        <v>8594</v>
      </c>
      <c r="G5337" t="s">
        <v>37</v>
      </c>
      <c r="H5337">
        <v>1995</v>
      </c>
      <c r="I5337">
        <v>21.899339999999999</v>
      </c>
      <c r="J5337">
        <v>16</v>
      </c>
      <c r="K5337">
        <v>55</v>
      </c>
      <c r="L5337">
        <v>36.099800000000002</v>
      </c>
      <c r="M5337">
        <v>34.499339999999997</v>
      </c>
      <c r="N5337">
        <v>5.699344</v>
      </c>
      <c r="O5337">
        <v>28.8</v>
      </c>
      <c r="P5337">
        <v>24.599340000000002</v>
      </c>
      <c r="Q5337">
        <v>16.5</v>
      </c>
      <c r="R5337">
        <v>25.299340000000001</v>
      </c>
      <c r="S5337">
        <v>16.5</v>
      </c>
      <c r="T5337">
        <v>582.00660000000005</v>
      </c>
      <c r="U5337">
        <v>138</v>
      </c>
      <c r="V5337">
        <v>0</v>
      </c>
      <c r="W5337">
        <v>109</v>
      </c>
      <c r="X5337">
        <v>394</v>
      </c>
      <c r="Y5337">
        <v>1</v>
      </c>
      <c r="Z5337">
        <v>199</v>
      </c>
      <c r="AA5337">
        <v>1</v>
      </c>
      <c r="AB5337">
        <v>15.265700000000001</v>
      </c>
      <c r="AC5337">
        <v>1.112814E-2</v>
      </c>
      <c r="AD5337">
        <v>1.6030470000000001</v>
      </c>
      <c r="AE5337">
        <v>0.34635440000000001</v>
      </c>
      <c r="AF5337">
        <v>975.67539999999997</v>
      </c>
      <c r="AG5337">
        <f>IFERROR(AH5337*0.1, "N/A")</f>
        <v>7.0954100000000002</v>
      </c>
      <c r="AH5337">
        <v>70.954099999999997</v>
      </c>
      <c r="AI5337">
        <v>135.55690000000001</v>
      </c>
      <c r="AJ5337">
        <v>15.96721</v>
      </c>
      <c r="AK5337">
        <v>77.032790000000006</v>
      </c>
    </row>
    <row r="5338" spans="1:37" x14ac:dyDescent="0.3">
      <c r="A5338">
        <v>5337</v>
      </c>
      <c r="B5338">
        <v>0</v>
      </c>
      <c r="C5338">
        <v>23.324000000000002</v>
      </c>
      <c r="D5338">
        <v>-17.956299999999999</v>
      </c>
      <c r="E5338" t="s">
        <v>8593</v>
      </c>
      <c r="F5338" t="s">
        <v>8595</v>
      </c>
      <c r="G5338" t="s">
        <v>39</v>
      </c>
      <c r="H5338">
        <v>1995</v>
      </c>
      <c r="I5338">
        <v>21.899339999999999</v>
      </c>
      <c r="J5338">
        <v>16</v>
      </c>
      <c r="K5338">
        <v>55</v>
      </c>
      <c r="L5338">
        <v>36.099800000000002</v>
      </c>
      <c r="M5338">
        <v>34.499339999999997</v>
      </c>
      <c r="N5338">
        <v>5.699344</v>
      </c>
      <c r="O5338">
        <v>28.8</v>
      </c>
      <c r="P5338">
        <v>24.599340000000002</v>
      </c>
      <c r="Q5338">
        <v>16.5</v>
      </c>
      <c r="R5338">
        <v>25.299340000000001</v>
      </c>
      <c r="S5338">
        <v>16.5</v>
      </c>
      <c r="T5338">
        <v>582.00660000000005</v>
      </c>
      <c r="U5338">
        <v>138</v>
      </c>
      <c r="V5338">
        <v>0</v>
      </c>
      <c r="W5338">
        <v>109</v>
      </c>
      <c r="X5338">
        <v>394</v>
      </c>
      <c r="Y5338">
        <v>1</v>
      </c>
      <c r="Z5338">
        <v>199</v>
      </c>
      <c r="AA5338">
        <v>1</v>
      </c>
      <c r="AB5338">
        <v>15.265700000000001</v>
      </c>
      <c r="AC5338">
        <v>1.112814E-2</v>
      </c>
      <c r="AD5338">
        <v>1.6030470000000001</v>
      </c>
      <c r="AE5338">
        <v>0.34635440000000001</v>
      </c>
      <c r="AF5338">
        <v>975.67539999999997</v>
      </c>
      <c r="AG5338">
        <f>IFERROR(AH5338*0.1, "N/A")</f>
        <v>7.0954100000000002</v>
      </c>
      <c r="AH5338">
        <v>70.954099999999997</v>
      </c>
      <c r="AI5338">
        <v>135.55690000000001</v>
      </c>
      <c r="AJ5338">
        <v>15.96721</v>
      </c>
      <c r="AK5338">
        <v>77.032790000000006</v>
      </c>
    </row>
    <row r="5339" spans="1:37" x14ac:dyDescent="0.3">
      <c r="A5339">
        <v>5338</v>
      </c>
      <c r="B5339">
        <v>8.1999999999999993</v>
      </c>
      <c r="C5339">
        <v>24.147400000000001</v>
      </c>
      <c r="D5339">
        <v>-17.9361</v>
      </c>
      <c r="E5339" t="s">
        <v>8596</v>
      </c>
      <c r="F5339" t="s">
        <v>8597</v>
      </c>
      <c r="G5339" t="s">
        <v>39</v>
      </c>
      <c r="H5339">
        <v>1967</v>
      </c>
      <c r="I5339">
        <v>21.9</v>
      </c>
      <c r="J5339">
        <v>16.3</v>
      </c>
      <c r="K5339">
        <v>54</v>
      </c>
      <c r="L5339">
        <v>36.6</v>
      </c>
      <c r="M5339">
        <v>35</v>
      </c>
      <c r="N5339">
        <v>5.3</v>
      </c>
      <c r="O5339">
        <v>29.7</v>
      </c>
      <c r="P5339">
        <v>24.5</v>
      </c>
      <c r="Q5339">
        <v>16.399999999999999</v>
      </c>
      <c r="R5339">
        <v>25.4</v>
      </c>
      <c r="S5339">
        <v>16.399999999999999</v>
      </c>
      <c r="T5339">
        <v>603</v>
      </c>
      <c r="U5339">
        <v>146</v>
      </c>
      <c r="V5339">
        <v>0</v>
      </c>
      <c r="W5339">
        <v>110</v>
      </c>
      <c r="X5339">
        <v>414</v>
      </c>
      <c r="Y5339">
        <v>1</v>
      </c>
      <c r="Z5339">
        <v>211</v>
      </c>
      <c r="AA5339">
        <v>1</v>
      </c>
      <c r="AB5339">
        <v>0.93202770000000001</v>
      </c>
      <c r="AC5339">
        <v>9.5848610000000001E-2</v>
      </c>
      <c r="AD5339">
        <v>1.1186929999999999</v>
      </c>
      <c r="AE5339">
        <v>0.28905120000000001</v>
      </c>
      <c r="AF5339">
        <v>932.76139999999998</v>
      </c>
      <c r="AG5339">
        <f>IFERROR(AH5339*0.1, "N/A")</f>
        <v>6.7013069999999999</v>
      </c>
      <c r="AH5339">
        <v>67.013069999999999</v>
      </c>
      <c r="AI5339">
        <v>111.2799</v>
      </c>
      <c r="AJ5339">
        <v>5.6617649999999999</v>
      </c>
      <c r="AK5339">
        <v>90.401960000000003</v>
      </c>
    </row>
    <row r="5340" spans="1:37" x14ac:dyDescent="0.3">
      <c r="A5340">
        <v>5339</v>
      </c>
      <c r="B5340">
        <v>0</v>
      </c>
      <c r="C5340">
        <v>24.147400000000001</v>
      </c>
      <c r="D5340">
        <v>-17.9361</v>
      </c>
      <c r="E5340" t="s">
        <v>8596</v>
      </c>
      <c r="F5340" t="s">
        <v>8598</v>
      </c>
      <c r="G5340" t="s">
        <v>37</v>
      </c>
      <c r="H5340">
        <v>1967</v>
      </c>
      <c r="I5340">
        <v>21.9</v>
      </c>
      <c r="J5340">
        <v>16.3</v>
      </c>
      <c r="K5340">
        <v>54</v>
      </c>
      <c r="L5340">
        <v>36.6</v>
      </c>
      <c r="M5340">
        <v>35</v>
      </c>
      <c r="N5340">
        <v>5.3</v>
      </c>
      <c r="O5340">
        <v>29.7</v>
      </c>
      <c r="P5340">
        <v>24.5</v>
      </c>
      <c r="Q5340">
        <v>16.399999999999999</v>
      </c>
      <c r="R5340">
        <v>25.4</v>
      </c>
      <c r="S5340">
        <v>16.399999999999999</v>
      </c>
      <c r="T5340">
        <v>603</v>
      </c>
      <c r="U5340">
        <v>146</v>
      </c>
      <c r="V5340">
        <v>0</v>
      </c>
      <c r="W5340">
        <v>110</v>
      </c>
      <c r="X5340">
        <v>414</v>
      </c>
      <c r="Y5340">
        <v>1</v>
      </c>
      <c r="Z5340">
        <v>211</v>
      </c>
      <c r="AA5340">
        <v>1</v>
      </c>
      <c r="AB5340">
        <v>0.93202770000000001</v>
      </c>
      <c r="AC5340">
        <v>9.5848610000000001E-2</v>
      </c>
      <c r="AD5340">
        <v>1.1186929999999999</v>
      </c>
      <c r="AE5340">
        <v>0.28905120000000001</v>
      </c>
      <c r="AF5340">
        <v>932.76139999999998</v>
      </c>
      <c r="AG5340">
        <f>IFERROR(AH5340*0.1, "N/A")</f>
        <v>6.7013069999999999</v>
      </c>
      <c r="AH5340">
        <v>67.013069999999999</v>
      </c>
      <c r="AI5340">
        <v>111.2799</v>
      </c>
      <c r="AJ5340">
        <v>5.6617649999999999</v>
      </c>
      <c r="AK5340">
        <v>90.401960000000003</v>
      </c>
    </row>
    <row r="5341" spans="1:37" x14ac:dyDescent="0.3">
      <c r="A5341">
        <v>5340</v>
      </c>
      <c r="B5341">
        <v>85</v>
      </c>
      <c r="C5341">
        <v>23.364000000000001</v>
      </c>
      <c r="D5341">
        <v>-17.8582</v>
      </c>
      <c r="E5341" t="s">
        <v>8599</v>
      </c>
      <c r="F5341" t="s">
        <v>8600</v>
      </c>
      <c r="G5341" t="s">
        <v>37</v>
      </c>
      <c r="H5341">
        <v>1995</v>
      </c>
      <c r="I5341">
        <v>21.875779999999999</v>
      </c>
      <c r="J5341">
        <v>16</v>
      </c>
      <c r="K5341">
        <v>55</v>
      </c>
      <c r="L5341">
        <v>36.174840000000003</v>
      </c>
      <c r="M5341">
        <v>34.47578</v>
      </c>
      <c r="N5341">
        <v>5.6</v>
      </c>
      <c r="O5341">
        <v>28.875779999999999</v>
      </c>
      <c r="P5341">
        <v>24.6</v>
      </c>
      <c r="Q5341">
        <v>16.5</v>
      </c>
      <c r="R5341">
        <v>25.275780000000001</v>
      </c>
      <c r="S5341">
        <v>16.5</v>
      </c>
      <c r="T5341">
        <v>595.24220000000003</v>
      </c>
      <c r="U5341">
        <v>141</v>
      </c>
      <c r="V5341">
        <v>0</v>
      </c>
      <c r="W5341">
        <v>110</v>
      </c>
      <c r="X5341">
        <v>403</v>
      </c>
      <c r="Y5341">
        <v>1</v>
      </c>
      <c r="Z5341">
        <v>203.2422</v>
      </c>
      <c r="AA5341">
        <v>1</v>
      </c>
      <c r="AB5341">
        <v>13.40099</v>
      </c>
      <c r="AC5341">
        <v>8.6501579999999998E-3</v>
      </c>
      <c r="AD5341">
        <v>1.8058970000000001</v>
      </c>
      <c r="AE5341">
        <v>0.59259229999999996</v>
      </c>
      <c r="AF5341">
        <v>985.07529999999997</v>
      </c>
      <c r="AG5341">
        <f>IFERROR(AH5341*0.1, "N/A")</f>
        <v>6.9291330000000002</v>
      </c>
      <c r="AH5341">
        <v>69.291330000000002</v>
      </c>
      <c r="AI5341">
        <v>116.35209999999999</v>
      </c>
      <c r="AJ5341">
        <v>8</v>
      </c>
      <c r="AK5341">
        <v>85.715220000000002</v>
      </c>
    </row>
    <row r="5342" spans="1:37" x14ac:dyDescent="0.3">
      <c r="A5342">
        <v>5341</v>
      </c>
      <c r="B5342">
        <v>0</v>
      </c>
      <c r="C5342">
        <v>23.364000000000001</v>
      </c>
      <c r="D5342">
        <v>-17.8582</v>
      </c>
      <c r="E5342" t="s">
        <v>8599</v>
      </c>
      <c r="F5342" t="s">
        <v>8601</v>
      </c>
      <c r="G5342" t="s">
        <v>39</v>
      </c>
      <c r="H5342">
        <v>1995</v>
      </c>
      <c r="I5342">
        <v>21.875779999999999</v>
      </c>
      <c r="J5342">
        <v>16</v>
      </c>
      <c r="K5342">
        <v>55</v>
      </c>
      <c r="L5342">
        <v>36.174840000000003</v>
      </c>
      <c r="M5342">
        <v>34.47578</v>
      </c>
      <c r="N5342">
        <v>5.6</v>
      </c>
      <c r="O5342">
        <v>28.875779999999999</v>
      </c>
      <c r="P5342">
        <v>24.6</v>
      </c>
      <c r="Q5342">
        <v>16.5</v>
      </c>
      <c r="R5342">
        <v>25.275780000000001</v>
      </c>
      <c r="S5342">
        <v>16.5</v>
      </c>
      <c r="T5342">
        <v>595.24220000000003</v>
      </c>
      <c r="U5342">
        <v>141</v>
      </c>
      <c r="V5342">
        <v>0</v>
      </c>
      <c r="W5342">
        <v>110</v>
      </c>
      <c r="X5342">
        <v>403</v>
      </c>
      <c r="Y5342">
        <v>1</v>
      </c>
      <c r="Z5342">
        <v>203.2422</v>
      </c>
      <c r="AA5342">
        <v>1</v>
      </c>
      <c r="AB5342">
        <v>13.40099</v>
      </c>
      <c r="AC5342">
        <v>8.6501579999999998E-3</v>
      </c>
      <c r="AD5342">
        <v>1.8058970000000001</v>
      </c>
      <c r="AE5342">
        <v>0.59259229999999996</v>
      </c>
      <c r="AF5342">
        <v>985.07529999999997</v>
      </c>
      <c r="AG5342">
        <f>IFERROR(AH5342*0.1, "N/A")</f>
        <v>6.9291330000000002</v>
      </c>
      <c r="AH5342">
        <v>69.291330000000002</v>
      </c>
      <c r="AI5342">
        <v>116.35209999999999</v>
      </c>
      <c r="AJ5342">
        <v>8</v>
      </c>
      <c r="AK5342">
        <v>85.715220000000002</v>
      </c>
    </row>
    <row r="5343" spans="1:37" x14ac:dyDescent="0.3">
      <c r="A5343">
        <v>5342</v>
      </c>
      <c r="B5343">
        <v>0</v>
      </c>
      <c r="C5343">
        <v>23.364000000000001</v>
      </c>
      <c r="D5343">
        <v>-17.8582</v>
      </c>
      <c r="E5343" t="s">
        <v>8599</v>
      </c>
      <c r="F5343" t="s">
        <v>8602</v>
      </c>
      <c r="G5343" t="s">
        <v>8603</v>
      </c>
      <c r="H5343">
        <v>1977</v>
      </c>
      <c r="I5343">
        <v>21.875779999999999</v>
      </c>
      <c r="J5343">
        <v>16</v>
      </c>
      <c r="K5343">
        <v>55</v>
      </c>
      <c r="L5343">
        <v>36.174840000000003</v>
      </c>
      <c r="M5343">
        <v>34.47578</v>
      </c>
      <c r="N5343">
        <v>5.6</v>
      </c>
      <c r="O5343">
        <v>28.875779999999999</v>
      </c>
      <c r="P5343">
        <v>24.6</v>
      </c>
      <c r="Q5343">
        <v>16.5</v>
      </c>
      <c r="R5343">
        <v>25.275780000000001</v>
      </c>
      <c r="S5343">
        <v>16.5</v>
      </c>
      <c r="T5343">
        <v>595.24220000000003</v>
      </c>
      <c r="U5343">
        <v>141</v>
      </c>
      <c r="V5343">
        <v>0</v>
      </c>
      <c r="W5343">
        <v>110</v>
      </c>
      <c r="X5343">
        <v>403</v>
      </c>
      <c r="Y5343">
        <v>1</v>
      </c>
      <c r="Z5343">
        <v>203.2422</v>
      </c>
      <c r="AA5343">
        <v>1</v>
      </c>
      <c r="AB5343">
        <v>13.40099</v>
      </c>
      <c r="AC5343">
        <v>8.6501579999999998E-3</v>
      </c>
      <c r="AD5343">
        <v>1.8058970000000001</v>
      </c>
      <c r="AE5343">
        <v>0.59259229999999996</v>
      </c>
      <c r="AF5343">
        <v>985.07529999999997</v>
      </c>
      <c r="AG5343">
        <f>IFERROR(AH5343*0.1, "N/A")</f>
        <v>6.9291330000000002</v>
      </c>
      <c r="AH5343">
        <v>69.291330000000002</v>
      </c>
      <c r="AI5343">
        <v>116.35209999999999</v>
      </c>
      <c r="AJ5343">
        <v>8</v>
      </c>
      <c r="AK5343">
        <v>85.715220000000002</v>
      </c>
    </row>
    <row r="5344" spans="1:37" x14ac:dyDescent="0.3">
      <c r="A5344">
        <v>5343</v>
      </c>
      <c r="B5344">
        <v>50.5</v>
      </c>
      <c r="C5344">
        <v>19.3217</v>
      </c>
      <c r="D5344">
        <v>-17.857900000000001</v>
      </c>
      <c r="E5344" t="s">
        <v>8604</v>
      </c>
      <c r="F5344" t="s">
        <v>8605</v>
      </c>
      <c r="G5344" t="s">
        <v>39</v>
      </c>
      <c r="H5344">
        <v>1967</v>
      </c>
      <c r="I5344">
        <v>22.6</v>
      </c>
      <c r="J5344">
        <v>16.100000000000001</v>
      </c>
      <c r="K5344">
        <v>57</v>
      </c>
      <c r="L5344">
        <v>33.597459999999998</v>
      </c>
      <c r="M5344">
        <v>34.5</v>
      </c>
      <c r="N5344">
        <v>6.6</v>
      </c>
      <c r="O5344">
        <v>27.9</v>
      </c>
      <c r="P5344">
        <v>24.694929999999999</v>
      </c>
      <c r="Q5344">
        <v>17.600000000000001</v>
      </c>
      <c r="R5344">
        <v>25.8</v>
      </c>
      <c r="S5344">
        <v>17.600000000000001</v>
      </c>
      <c r="T5344">
        <v>534.05070000000001</v>
      </c>
      <c r="U5344">
        <v>133</v>
      </c>
      <c r="V5344">
        <v>0</v>
      </c>
      <c r="W5344">
        <v>105.05070000000001</v>
      </c>
      <c r="X5344">
        <v>347.05070000000001</v>
      </c>
      <c r="Y5344">
        <v>1</v>
      </c>
      <c r="Z5344">
        <v>142</v>
      </c>
      <c r="AA5344">
        <v>1</v>
      </c>
      <c r="AB5344">
        <v>5.0821329999999998</v>
      </c>
      <c r="AC5344">
        <v>0.2501602</v>
      </c>
      <c r="AD5344">
        <v>1.422326</v>
      </c>
      <c r="AE5344">
        <v>0.53611889999999995</v>
      </c>
      <c r="AF5344">
        <v>1073.52</v>
      </c>
      <c r="AG5344">
        <f>IFERROR(AH5344*0.1, "N/A")</f>
        <v>7.7</v>
      </c>
      <c r="AH5344">
        <v>77</v>
      </c>
      <c r="AI5344">
        <v>43.483600000000003</v>
      </c>
      <c r="AJ5344">
        <v>8.9263499999999993</v>
      </c>
      <c r="AK5344">
        <v>85.049099999999996</v>
      </c>
    </row>
    <row r="5345" spans="1:37" x14ac:dyDescent="0.3">
      <c r="A5345">
        <v>5344</v>
      </c>
      <c r="B5345">
        <v>11.3</v>
      </c>
      <c r="C5345">
        <v>19.3217</v>
      </c>
      <c r="D5345">
        <v>-17.857900000000001</v>
      </c>
      <c r="E5345" t="s">
        <v>8604</v>
      </c>
      <c r="F5345" t="s">
        <v>8606</v>
      </c>
      <c r="G5345" t="s">
        <v>37</v>
      </c>
      <c r="H5345">
        <v>1967</v>
      </c>
      <c r="I5345">
        <v>22.6</v>
      </c>
      <c r="J5345">
        <v>16.100000000000001</v>
      </c>
      <c r="K5345">
        <v>57</v>
      </c>
      <c r="L5345">
        <v>33.597459999999998</v>
      </c>
      <c r="M5345">
        <v>34.5</v>
      </c>
      <c r="N5345">
        <v>6.6</v>
      </c>
      <c r="O5345">
        <v>27.9</v>
      </c>
      <c r="P5345">
        <v>24.694929999999999</v>
      </c>
      <c r="Q5345">
        <v>17.600000000000001</v>
      </c>
      <c r="R5345">
        <v>25.8</v>
      </c>
      <c r="S5345">
        <v>17.600000000000001</v>
      </c>
      <c r="T5345">
        <v>534.05070000000001</v>
      </c>
      <c r="U5345">
        <v>133</v>
      </c>
      <c r="V5345">
        <v>0</v>
      </c>
      <c r="W5345">
        <v>105.05070000000001</v>
      </c>
      <c r="X5345">
        <v>347.05070000000001</v>
      </c>
      <c r="Y5345">
        <v>1</v>
      </c>
      <c r="Z5345">
        <v>142</v>
      </c>
      <c r="AA5345">
        <v>1</v>
      </c>
      <c r="AB5345">
        <v>5.0821329999999998</v>
      </c>
      <c r="AC5345">
        <v>0.2501602</v>
      </c>
      <c r="AD5345">
        <v>1.422326</v>
      </c>
      <c r="AE5345">
        <v>0.53611889999999995</v>
      </c>
      <c r="AF5345">
        <v>1073.52</v>
      </c>
      <c r="AG5345">
        <f>IFERROR(AH5345*0.1, "N/A")</f>
        <v>7.7</v>
      </c>
      <c r="AH5345">
        <v>77</v>
      </c>
      <c r="AI5345">
        <v>43.483600000000003</v>
      </c>
      <c r="AJ5345">
        <v>8.9263499999999993</v>
      </c>
      <c r="AK5345">
        <v>85.049099999999996</v>
      </c>
    </row>
    <row r="5346" spans="1:37" x14ac:dyDescent="0.3">
      <c r="A5346">
        <v>5345</v>
      </c>
      <c r="B5346">
        <v>73.8</v>
      </c>
      <c r="C5346">
        <v>19.1311</v>
      </c>
      <c r="D5346">
        <v>-17.840399999999999</v>
      </c>
      <c r="E5346" t="s">
        <v>8607</v>
      </c>
      <c r="F5346" t="s">
        <v>8608</v>
      </c>
      <c r="G5346" t="s">
        <v>39</v>
      </c>
      <c r="H5346">
        <v>1967</v>
      </c>
      <c r="I5346">
        <v>22.7</v>
      </c>
      <c r="J5346">
        <v>16.100000000000001</v>
      </c>
      <c r="K5346">
        <v>58</v>
      </c>
      <c r="L5346">
        <v>32.76</v>
      </c>
      <c r="M5346">
        <v>34.4</v>
      </c>
      <c r="N5346">
        <v>6.9</v>
      </c>
      <c r="O5346">
        <v>27.5</v>
      </c>
      <c r="P5346">
        <v>24.7</v>
      </c>
      <c r="Q5346">
        <v>17.8</v>
      </c>
      <c r="R5346">
        <v>25.8</v>
      </c>
      <c r="S5346">
        <v>17.8</v>
      </c>
      <c r="T5346">
        <v>535</v>
      </c>
      <c r="U5346">
        <v>129</v>
      </c>
      <c r="V5346">
        <v>0</v>
      </c>
      <c r="W5346">
        <v>104</v>
      </c>
      <c r="X5346">
        <v>342</v>
      </c>
      <c r="Y5346">
        <v>1</v>
      </c>
      <c r="Z5346">
        <v>148</v>
      </c>
      <c r="AA5346">
        <v>1</v>
      </c>
      <c r="AB5346">
        <v>1.612949</v>
      </c>
      <c r="AC5346">
        <v>1.4424440000000001</v>
      </c>
      <c r="AD5346">
        <v>0.72205620000000004</v>
      </c>
      <c r="AE5346">
        <v>0.4475653</v>
      </c>
      <c r="AF5346">
        <v>1080.47</v>
      </c>
      <c r="AG5346">
        <f>IFERROR(AH5346*0.1, "N/A")</f>
        <v>7.6278229999999994</v>
      </c>
      <c r="AH5346">
        <v>76.278229999999994</v>
      </c>
      <c r="AI5346">
        <v>182.2638</v>
      </c>
      <c r="AJ5346">
        <v>5.3600649999999996</v>
      </c>
      <c r="AK5346">
        <v>90.736500000000007</v>
      </c>
    </row>
    <row r="5347" spans="1:37" x14ac:dyDescent="0.3">
      <c r="A5347">
        <v>5346</v>
      </c>
      <c r="B5347">
        <v>10.5</v>
      </c>
      <c r="C5347">
        <v>19.1311</v>
      </c>
      <c r="D5347">
        <v>-17.840399999999999</v>
      </c>
      <c r="E5347" t="s">
        <v>8607</v>
      </c>
      <c r="F5347" t="s">
        <v>8609</v>
      </c>
      <c r="G5347" t="s">
        <v>37</v>
      </c>
      <c r="H5347">
        <v>1967</v>
      </c>
      <c r="I5347">
        <v>22.7</v>
      </c>
      <c r="J5347">
        <v>16.100000000000001</v>
      </c>
      <c r="K5347">
        <v>58</v>
      </c>
      <c r="L5347">
        <v>32.76</v>
      </c>
      <c r="M5347">
        <v>34.4</v>
      </c>
      <c r="N5347">
        <v>6.9</v>
      </c>
      <c r="O5347">
        <v>27.5</v>
      </c>
      <c r="P5347">
        <v>24.7</v>
      </c>
      <c r="Q5347">
        <v>17.8</v>
      </c>
      <c r="R5347">
        <v>25.8</v>
      </c>
      <c r="S5347">
        <v>17.8</v>
      </c>
      <c r="T5347">
        <v>535</v>
      </c>
      <c r="U5347">
        <v>129</v>
      </c>
      <c r="V5347">
        <v>0</v>
      </c>
      <c r="W5347">
        <v>104</v>
      </c>
      <c r="X5347">
        <v>342</v>
      </c>
      <c r="Y5347">
        <v>1</v>
      </c>
      <c r="Z5347">
        <v>148</v>
      </c>
      <c r="AA5347">
        <v>1</v>
      </c>
      <c r="AB5347">
        <v>1.612949</v>
      </c>
      <c r="AC5347">
        <v>1.4424440000000001</v>
      </c>
      <c r="AD5347">
        <v>0.72205620000000004</v>
      </c>
      <c r="AE5347">
        <v>0.4475653</v>
      </c>
      <c r="AF5347">
        <v>1080.47</v>
      </c>
      <c r="AG5347">
        <f>IFERROR(AH5347*0.1, "N/A")</f>
        <v>7.6278229999999994</v>
      </c>
      <c r="AH5347">
        <v>76.278229999999994</v>
      </c>
      <c r="AI5347">
        <v>182.2638</v>
      </c>
      <c r="AJ5347">
        <v>5.3600649999999996</v>
      </c>
      <c r="AK5347">
        <v>90.736500000000007</v>
      </c>
    </row>
    <row r="5348" spans="1:37" x14ac:dyDescent="0.3">
      <c r="A5348">
        <v>5347</v>
      </c>
      <c r="B5348">
        <v>87</v>
      </c>
      <c r="C5348">
        <v>23.384399999999999</v>
      </c>
      <c r="D5348">
        <v>-17.815000000000001</v>
      </c>
      <c r="E5348" t="s">
        <v>8610</v>
      </c>
      <c r="F5348" t="s">
        <v>8611</v>
      </c>
      <c r="G5348" t="s">
        <v>37</v>
      </c>
      <c r="H5348">
        <v>1995</v>
      </c>
      <c r="I5348">
        <v>21.8</v>
      </c>
      <c r="J5348">
        <v>16</v>
      </c>
      <c r="K5348">
        <v>55</v>
      </c>
      <c r="L5348">
        <v>35.83</v>
      </c>
      <c r="M5348">
        <v>34.4</v>
      </c>
      <c r="N5348">
        <v>5.6</v>
      </c>
      <c r="O5348">
        <v>28.8</v>
      </c>
      <c r="P5348">
        <v>24.5</v>
      </c>
      <c r="Q5348">
        <v>16.5</v>
      </c>
      <c r="R5348">
        <v>25.2</v>
      </c>
      <c r="S5348">
        <v>16.5</v>
      </c>
      <c r="T5348">
        <v>604</v>
      </c>
      <c r="U5348">
        <v>143</v>
      </c>
      <c r="V5348">
        <v>0</v>
      </c>
      <c r="W5348">
        <v>109</v>
      </c>
      <c r="X5348">
        <v>409</v>
      </c>
      <c r="Y5348">
        <v>1</v>
      </c>
      <c r="Z5348">
        <v>208</v>
      </c>
      <c r="AA5348">
        <v>1</v>
      </c>
      <c r="AB5348">
        <v>7.4663199999999996</v>
      </c>
      <c r="AC5348">
        <v>4.1356829999999997E-2</v>
      </c>
      <c r="AD5348">
        <v>2.4155959999999999</v>
      </c>
      <c r="AE5348">
        <v>0.57013139999999995</v>
      </c>
      <c r="AF5348">
        <v>978.83579999999995</v>
      </c>
      <c r="AG5348">
        <f>IFERROR(AH5348*0.1, "N/A")</f>
        <v>7.1072249999999997</v>
      </c>
      <c r="AH5348">
        <v>71.072249999999997</v>
      </c>
      <c r="AI5348">
        <v>174.1277</v>
      </c>
      <c r="AJ5348">
        <v>7.8177339999999997</v>
      </c>
      <c r="AK5348">
        <v>89.182270000000003</v>
      </c>
    </row>
    <row r="5349" spans="1:37" x14ac:dyDescent="0.3">
      <c r="A5349">
        <v>5348</v>
      </c>
      <c r="B5349">
        <v>0</v>
      </c>
      <c r="C5349">
        <v>23.384399999999999</v>
      </c>
      <c r="D5349">
        <v>-17.815000000000001</v>
      </c>
      <c r="E5349" t="s">
        <v>8610</v>
      </c>
      <c r="F5349" t="s">
        <v>8612</v>
      </c>
      <c r="G5349" t="s">
        <v>39</v>
      </c>
      <c r="H5349">
        <v>1995</v>
      </c>
      <c r="I5349">
        <v>21.8</v>
      </c>
      <c r="J5349">
        <v>16</v>
      </c>
      <c r="K5349">
        <v>55</v>
      </c>
      <c r="L5349">
        <v>35.83</v>
      </c>
      <c r="M5349">
        <v>34.4</v>
      </c>
      <c r="N5349">
        <v>5.6</v>
      </c>
      <c r="O5349">
        <v>28.8</v>
      </c>
      <c r="P5349">
        <v>24.5</v>
      </c>
      <c r="Q5349">
        <v>16.5</v>
      </c>
      <c r="R5349">
        <v>25.2</v>
      </c>
      <c r="S5349">
        <v>16.5</v>
      </c>
      <c r="T5349">
        <v>604</v>
      </c>
      <c r="U5349">
        <v>143</v>
      </c>
      <c r="V5349">
        <v>0</v>
      </c>
      <c r="W5349">
        <v>109</v>
      </c>
      <c r="X5349">
        <v>409</v>
      </c>
      <c r="Y5349">
        <v>1</v>
      </c>
      <c r="Z5349">
        <v>208</v>
      </c>
      <c r="AA5349">
        <v>1</v>
      </c>
      <c r="AB5349">
        <v>7.4663199999999996</v>
      </c>
      <c r="AC5349">
        <v>4.1356829999999997E-2</v>
      </c>
      <c r="AD5349">
        <v>2.4155959999999999</v>
      </c>
      <c r="AE5349">
        <v>0.57013139999999995</v>
      </c>
      <c r="AF5349">
        <v>978.83579999999995</v>
      </c>
      <c r="AG5349">
        <f>IFERROR(AH5349*0.1, "N/A")</f>
        <v>7.1072249999999997</v>
      </c>
      <c r="AH5349">
        <v>71.072249999999997</v>
      </c>
      <c r="AI5349">
        <v>174.1277</v>
      </c>
      <c r="AJ5349">
        <v>7.8177339999999997</v>
      </c>
      <c r="AK5349">
        <v>89.182270000000003</v>
      </c>
    </row>
    <row r="5350" spans="1:37" x14ac:dyDescent="0.3">
      <c r="A5350">
        <v>5349</v>
      </c>
      <c r="B5350">
        <v>2.2999999999999998</v>
      </c>
      <c r="C5350">
        <v>24.204799999999999</v>
      </c>
      <c r="D5350">
        <v>-17.794499999999999</v>
      </c>
      <c r="E5350" t="s">
        <v>8613</v>
      </c>
      <c r="F5350" t="s">
        <v>8614</v>
      </c>
      <c r="G5350" t="s">
        <v>39</v>
      </c>
      <c r="H5350">
        <v>1967</v>
      </c>
      <c r="I5350">
        <v>21.7</v>
      </c>
      <c r="J5350">
        <v>16.399999999999999</v>
      </c>
      <c r="K5350">
        <v>54</v>
      </c>
      <c r="L5350">
        <v>36.86</v>
      </c>
      <c r="M5350">
        <v>34.9</v>
      </c>
      <c r="N5350">
        <v>5</v>
      </c>
      <c r="O5350">
        <v>29.9</v>
      </c>
      <c r="P5350">
        <v>24.4</v>
      </c>
      <c r="Q5350">
        <v>16.2</v>
      </c>
      <c r="R5350">
        <v>25.3</v>
      </c>
      <c r="S5350">
        <v>16.2</v>
      </c>
      <c r="T5350">
        <v>630</v>
      </c>
      <c r="U5350">
        <v>152</v>
      </c>
      <c r="V5350">
        <v>0</v>
      </c>
      <c r="W5350">
        <v>111</v>
      </c>
      <c r="X5350">
        <v>433</v>
      </c>
      <c r="Y5350">
        <v>1</v>
      </c>
      <c r="Z5350">
        <v>222</v>
      </c>
      <c r="AA5350">
        <v>1</v>
      </c>
      <c r="AB5350">
        <v>1.107064</v>
      </c>
      <c r="AC5350">
        <v>1.3719800000000001E-2</v>
      </c>
      <c r="AD5350">
        <v>1.0823050000000001</v>
      </c>
      <c r="AE5350">
        <v>0.45022899999999999</v>
      </c>
      <c r="AF5350">
        <v>935.20950000000005</v>
      </c>
      <c r="AG5350">
        <f>IFERROR(AH5350*0.1, "N/A")</f>
        <v>6.8364980000000006</v>
      </c>
      <c r="AH5350">
        <v>68.364980000000003</v>
      </c>
      <c r="AI5350">
        <v>44.433970000000002</v>
      </c>
      <c r="AJ5350">
        <v>7.0032730000000001</v>
      </c>
      <c r="AK5350">
        <v>89.060559999999995</v>
      </c>
    </row>
    <row r="5351" spans="1:37" x14ac:dyDescent="0.3">
      <c r="A5351">
        <v>5350</v>
      </c>
      <c r="B5351">
        <v>0</v>
      </c>
      <c r="C5351">
        <v>24.204799999999999</v>
      </c>
      <c r="D5351">
        <v>-17.794499999999999</v>
      </c>
      <c r="E5351" t="s">
        <v>8613</v>
      </c>
      <c r="F5351" t="s">
        <v>8615</v>
      </c>
      <c r="G5351" t="s">
        <v>37</v>
      </c>
      <c r="H5351">
        <v>1967</v>
      </c>
      <c r="I5351">
        <v>21.7</v>
      </c>
      <c r="J5351">
        <v>16.399999999999999</v>
      </c>
      <c r="K5351">
        <v>54</v>
      </c>
      <c r="L5351">
        <v>36.86</v>
      </c>
      <c r="M5351">
        <v>34.9</v>
      </c>
      <c r="N5351">
        <v>5</v>
      </c>
      <c r="O5351">
        <v>29.9</v>
      </c>
      <c r="P5351">
        <v>24.4</v>
      </c>
      <c r="Q5351">
        <v>16.2</v>
      </c>
      <c r="R5351">
        <v>25.3</v>
      </c>
      <c r="S5351">
        <v>16.2</v>
      </c>
      <c r="T5351">
        <v>630</v>
      </c>
      <c r="U5351">
        <v>152</v>
      </c>
      <c r="V5351">
        <v>0</v>
      </c>
      <c r="W5351">
        <v>111</v>
      </c>
      <c r="X5351">
        <v>433</v>
      </c>
      <c r="Y5351">
        <v>1</v>
      </c>
      <c r="Z5351">
        <v>222</v>
      </c>
      <c r="AA5351">
        <v>1</v>
      </c>
      <c r="AB5351">
        <v>1.107064</v>
      </c>
      <c r="AC5351">
        <v>1.3719800000000001E-2</v>
      </c>
      <c r="AD5351">
        <v>1.0823050000000001</v>
      </c>
      <c r="AE5351">
        <v>0.45022899999999999</v>
      </c>
      <c r="AF5351">
        <v>935.20950000000005</v>
      </c>
      <c r="AG5351">
        <f>IFERROR(AH5351*0.1, "N/A")</f>
        <v>6.8364980000000006</v>
      </c>
      <c r="AH5351">
        <v>68.364980000000003</v>
      </c>
      <c r="AI5351">
        <v>44.433970000000002</v>
      </c>
      <c r="AJ5351">
        <v>7.0032730000000001</v>
      </c>
      <c r="AK5351">
        <v>89.060559999999995</v>
      </c>
    </row>
    <row r="5352" spans="1:37" x14ac:dyDescent="0.3">
      <c r="A5352">
        <v>5351</v>
      </c>
      <c r="B5352">
        <v>0</v>
      </c>
      <c r="C5352">
        <v>15.7636</v>
      </c>
      <c r="D5352">
        <v>-17.780100000000001</v>
      </c>
      <c r="E5352" t="s">
        <v>8616</v>
      </c>
      <c r="F5352" t="s">
        <v>8617</v>
      </c>
      <c r="G5352" t="s">
        <v>39</v>
      </c>
      <c r="H5352">
        <v>1967</v>
      </c>
      <c r="I5352">
        <v>22.5</v>
      </c>
      <c r="J5352">
        <v>16.3</v>
      </c>
      <c r="K5352">
        <v>58</v>
      </c>
      <c r="L5352">
        <v>33.22</v>
      </c>
      <c r="M5352">
        <v>34.5</v>
      </c>
      <c r="N5352">
        <v>6.4</v>
      </c>
      <c r="O5352">
        <v>28.1</v>
      </c>
      <c r="P5352">
        <v>24.7</v>
      </c>
      <c r="Q5352">
        <v>17.399999999999999</v>
      </c>
      <c r="R5352">
        <v>25.5</v>
      </c>
      <c r="S5352">
        <v>17.399999999999999</v>
      </c>
      <c r="T5352">
        <v>484</v>
      </c>
      <c r="U5352">
        <v>118</v>
      </c>
      <c r="V5352">
        <v>0</v>
      </c>
      <c r="W5352">
        <v>107</v>
      </c>
      <c r="X5352">
        <v>325</v>
      </c>
      <c r="Y5352">
        <v>0</v>
      </c>
      <c r="Z5352">
        <v>120</v>
      </c>
      <c r="AA5352">
        <v>0</v>
      </c>
      <c r="AB5352">
        <v>2.198229</v>
      </c>
      <c r="AC5352">
        <v>1.3227549999999999E-2</v>
      </c>
      <c r="AD5352">
        <v>1.884341</v>
      </c>
      <c r="AE5352">
        <v>0.8326403</v>
      </c>
      <c r="AF5352">
        <v>1098.8510000000001</v>
      </c>
      <c r="AG5352">
        <f>IFERROR(AH5352*0.1, "N/A")</f>
        <v>7.9274959999999997</v>
      </c>
      <c r="AH5352">
        <v>79.274959999999993</v>
      </c>
      <c r="AI5352">
        <v>99.324470000000005</v>
      </c>
      <c r="AJ5352">
        <v>17.721769999999999</v>
      </c>
      <c r="AK5352">
        <v>74.278229999999994</v>
      </c>
    </row>
    <row r="5353" spans="1:37" x14ac:dyDescent="0.3">
      <c r="A5353">
        <v>5352</v>
      </c>
      <c r="B5353">
        <v>0</v>
      </c>
      <c r="C5353">
        <v>15.7636</v>
      </c>
      <c r="D5353">
        <v>-17.780100000000001</v>
      </c>
      <c r="E5353" t="s">
        <v>8616</v>
      </c>
      <c r="F5353" t="s">
        <v>8618</v>
      </c>
      <c r="G5353" t="s">
        <v>37</v>
      </c>
      <c r="H5353">
        <v>1967</v>
      </c>
      <c r="I5353">
        <v>22.5</v>
      </c>
      <c r="J5353">
        <v>16.3</v>
      </c>
      <c r="K5353">
        <v>58</v>
      </c>
      <c r="L5353">
        <v>33.22</v>
      </c>
      <c r="M5353">
        <v>34.5</v>
      </c>
      <c r="N5353">
        <v>6.4</v>
      </c>
      <c r="O5353">
        <v>28.1</v>
      </c>
      <c r="P5353">
        <v>24.7</v>
      </c>
      <c r="Q5353">
        <v>17.399999999999999</v>
      </c>
      <c r="R5353">
        <v>25.5</v>
      </c>
      <c r="S5353">
        <v>17.399999999999999</v>
      </c>
      <c r="T5353">
        <v>484</v>
      </c>
      <c r="U5353">
        <v>118</v>
      </c>
      <c r="V5353">
        <v>0</v>
      </c>
      <c r="W5353">
        <v>107</v>
      </c>
      <c r="X5353">
        <v>325</v>
      </c>
      <c r="Y5353">
        <v>0</v>
      </c>
      <c r="Z5353">
        <v>120</v>
      </c>
      <c r="AA5353">
        <v>0</v>
      </c>
      <c r="AB5353">
        <v>2.198229</v>
      </c>
      <c r="AC5353">
        <v>1.3227549999999999E-2</v>
      </c>
      <c r="AD5353">
        <v>1.884341</v>
      </c>
      <c r="AE5353">
        <v>0.8326403</v>
      </c>
      <c r="AF5353">
        <v>1098.8510000000001</v>
      </c>
      <c r="AG5353">
        <f>IFERROR(AH5353*0.1, "N/A")</f>
        <v>7.9274959999999997</v>
      </c>
      <c r="AH5353">
        <v>79.274959999999993</v>
      </c>
      <c r="AI5353">
        <v>99.324470000000005</v>
      </c>
      <c r="AJ5353">
        <v>17.721769999999999</v>
      </c>
      <c r="AK5353">
        <v>74.278229999999994</v>
      </c>
    </row>
    <row r="5354" spans="1:37" x14ac:dyDescent="0.3">
      <c r="A5354">
        <v>5353</v>
      </c>
      <c r="B5354">
        <v>6.7</v>
      </c>
      <c r="C5354">
        <v>24.367799999999999</v>
      </c>
      <c r="D5354">
        <v>-17.776499999999999</v>
      </c>
      <c r="E5354" t="s">
        <v>8619</v>
      </c>
      <c r="F5354" t="s">
        <v>8620</v>
      </c>
      <c r="G5354" t="s">
        <v>39</v>
      </c>
      <c r="H5354">
        <v>1967</v>
      </c>
      <c r="I5354">
        <v>21.8</v>
      </c>
      <c r="J5354">
        <v>16.399999999999999</v>
      </c>
      <c r="K5354">
        <v>54</v>
      </c>
      <c r="L5354">
        <v>36.56</v>
      </c>
      <c r="M5354">
        <v>35.1</v>
      </c>
      <c r="N5354">
        <v>5.0999999999999996</v>
      </c>
      <c r="O5354">
        <v>30</v>
      </c>
      <c r="P5354">
        <v>24.4</v>
      </c>
      <c r="Q5354">
        <v>16.399999999999999</v>
      </c>
      <c r="R5354">
        <v>25.4</v>
      </c>
      <c r="S5354">
        <v>16.399999999999999</v>
      </c>
      <c r="T5354">
        <v>630</v>
      </c>
      <c r="U5354">
        <v>152</v>
      </c>
      <c r="V5354">
        <v>0</v>
      </c>
      <c r="W5354">
        <v>111</v>
      </c>
      <c r="X5354">
        <v>434</v>
      </c>
      <c r="Y5354">
        <v>1</v>
      </c>
      <c r="Z5354">
        <v>224</v>
      </c>
      <c r="AA5354">
        <v>1</v>
      </c>
      <c r="AB5354">
        <v>1.7137610000000001</v>
      </c>
      <c r="AC5354">
        <v>1.053421E-2</v>
      </c>
      <c r="AD5354">
        <v>1.027399</v>
      </c>
      <c r="AE5354">
        <v>0.25083889999999998</v>
      </c>
      <c r="AF5354">
        <v>934.55650000000003</v>
      </c>
      <c r="AG5354">
        <f>IFERROR(AH5354*0.1, "N/A")</f>
        <v>6.6854339999999999</v>
      </c>
      <c r="AH5354">
        <v>66.854339999999993</v>
      </c>
      <c r="AI5354">
        <v>146.94130000000001</v>
      </c>
      <c r="AJ5354">
        <v>12.70867</v>
      </c>
      <c r="AK5354">
        <v>83.289689999999993</v>
      </c>
    </row>
    <row r="5355" spans="1:37" x14ac:dyDescent="0.3">
      <c r="A5355">
        <v>5354</v>
      </c>
      <c r="B5355">
        <v>0</v>
      </c>
      <c r="C5355">
        <v>24.367799999999999</v>
      </c>
      <c r="D5355">
        <v>-17.776499999999999</v>
      </c>
      <c r="E5355" t="s">
        <v>8619</v>
      </c>
      <c r="F5355" t="s">
        <v>8621</v>
      </c>
      <c r="G5355" t="s">
        <v>37</v>
      </c>
      <c r="H5355">
        <v>1967</v>
      </c>
      <c r="I5355">
        <v>21.8</v>
      </c>
      <c r="J5355">
        <v>16.399999999999999</v>
      </c>
      <c r="K5355">
        <v>54</v>
      </c>
      <c r="L5355">
        <v>36.56</v>
      </c>
      <c r="M5355">
        <v>35.1</v>
      </c>
      <c r="N5355">
        <v>5.0999999999999996</v>
      </c>
      <c r="O5355">
        <v>30</v>
      </c>
      <c r="P5355">
        <v>24.4</v>
      </c>
      <c r="Q5355">
        <v>16.399999999999999</v>
      </c>
      <c r="R5355">
        <v>25.4</v>
      </c>
      <c r="S5355">
        <v>16.399999999999999</v>
      </c>
      <c r="T5355">
        <v>630</v>
      </c>
      <c r="U5355">
        <v>152</v>
      </c>
      <c r="V5355">
        <v>0</v>
      </c>
      <c r="W5355">
        <v>111</v>
      </c>
      <c r="X5355">
        <v>434</v>
      </c>
      <c r="Y5355">
        <v>1</v>
      </c>
      <c r="Z5355">
        <v>224</v>
      </c>
      <c r="AA5355">
        <v>1</v>
      </c>
      <c r="AB5355">
        <v>1.7137610000000001</v>
      </c>
      <c r="AC5355">
        <v>1.053421E-2</v>
      </c>
      <c r="AD5355">
        <v>1.027399</v>
      </c>
      <c r="AE5355">
        <v>0.25083889999999998</v>
      </c>
      <c r="AF5355">
        <v>934.55650000000003</v>
      </c>
      <c r="AG5355">
        <f>IFERROR(AH5355*0.1, "N/A")</f>
        <v>6.6854339999999999</v>
      </c>
      <c r="AH5355">
        <v>66.854339999999993</v>
      </c>
      <c r="AI5355">
        <v>146.94130000000001</v>
      </c>
      <c r="AJ5355">
        <v>12.70867</v>
      </c>
      <c r="AK5355">
        <v>83.289689999999993</v>
      </c>
    </row>
    <row r="5356" spans="1:37" x14ac:dyDescent="0.3">
      <c r="A5356">
        <v>5355</v>
      </c>
      <c r="B5356">
        <v>10.3</v>
      </c>
      <c r="C5356">
        <v>24.367799999999999</v>
      </c>
      <c r="D5356">
        <v>-17.776499999999999</v>
      </c>
      <c r="E5356" t="s">
        <v>8619</v>
      </c>
      <c r="F5356" t="s">
        <v>8622</v>
      </c>
      <c r="G5356" t="s">
        <v>8603</v>
      </c>
      <c r="H5356">
        <v>1977</v>
      </c>
      <c r="I5356">
        <v>21.8</v>
      </c>
      <c r="J5356">
        <v>16.399999999999999</v>
      </c>
      <c r="K5356">
        <v>54</v>
      </c>
      <c r="L5356">
        <v>36.56</v>
      </c>
      <c r="M5356">
        <v>35.1</v>
      </c>
      <c r="N5356">
        <v>5.0999999999999996</v>
      </c>
      <c r="O5356">
        <v>30</v>
      </c>
      <c r="P5356">
        <v>24.4</v>
      </c>
      <c r="Q5356">
        <v>16.399999999999999</v>
      </c>
      <c r="R5356">
        <v>25.4</v>
      </c>
      <c r="S5356">
        <v>16.399999999999999</v>
      </c>
      <c r="T5356">
        <v>630</v>
      </c>
      <c r="U5356">
        <v>152</v>
      </c>
      <c r="V5356">
        <v>0</v>
      </c>
      <c r="W5356">
        <v>111</v>
      </c>
      <c r="X5356">
        <v>434</v>
      </c>
      <c r="Y5356">
        <v>1</v>
      </c>
      <c r="Z5356">
        <v>224</v>
      </c>
      <c r="AA5356">
        <v>1</v>
      </c>
      <c r="AB5356">
        <v>1.7137610000000001</v>
      </c>
      <c r="AC5356">
        <v>1.053421E-2</v>
      </c>
      <c r="AD5356">
        <v>1.027399</v>
      </c>
      <c r="AE5356">
        <v>0.25083889999999998</v>
      </c>
      <c r="AF5356">
        <v>934.55650000000003</v>
      </c>
      <c r="AG5356">
        <f>IFERROR(AH5356*0.1, "N/A")</f>
        <v>6.6854339999999999</v>
      </c>
      <c r="AH5356">
        <v>66.854339999999993</v>
      </c>
      <c r="AI5356">
        <v>146.94130000000001</v>
      </c>
      <c r="AJ5356">
        <v>12.70867</v>
      </c>
      <c r="AK5356">
        <v>83.289689999999993</v>
      </c>
    </row>
    <row r="5357" spans="1:37" x14ac:dyDescent="0.3">
      <c r="A5357">
        <v>5356</v>
      </c>
      <c r="B5357">
        <v>94</v>
      </c>
      <c r="C5357">
        <v>23.398</v>
      </c>
      <c r="D5357">
        <v>-17.752300000000002</v>
      </c>
      <c r="E5357" t="s">
        <v>8623</v>
      </c>
      <c r="F5357" t="s">
        <v>8624</v>
      </c>
      <c r="G5357" t="s">
        <v>37</v>
      </c>
      <c r="H5357">
        <v>1995</v>
      </c>
      <c r="I5357">
        <v>21.9</v>
      </c>
      <c r="J5357">
        <v>16</v>
      </c>
      <c r="K5357">
        <v>55</v>
      </c>
      <c r="L5357">
        <v>35.83</v>
      </c>
      <c r="M5357">
        <v>34.5</v>
      </c>
      <c r="N5357">
        <v>5.6</v>
      </c>
      <c r="O5357">
        <v>28.9</v>
      </c>
      <c r="P5357">
        <v>24.6</v>
      </c>
      <c r="Q5357">
        <v>16.5</v>
      </c>
      <c r="R5357">
        <v>25.2</v>
      </c>
      <c r="S5357">
        <v>16.5</v>
      </c>
      <c r="T5357">
        <v>609</v>
      </c>
      <c r="U5357">
        <v>144</v>
      </c>
      <c r="V5357">
        <v>0</v>
      </c>
      <c r="W5357">
        <v>110</v>
      </c>
      <c r="X5357">
        <v>413</v>
      </c>
      <c r="Y5357">
        <v>1</v>
      </c>
      <c r="Z5357">
        <v>209</v>
      </c>
      <c r="AA5357">
        <v>1</v>
      </c>
      <c r="AB5357">
        <v>13.31232</v>
      </c>
      <c r="AC5357">
        <v>1.671166E-2</v>
      </c>
      <c r="AD5357">
        <v>0.94903660000000001</v>
      </c>
      <c r="AE5357">
        <v>0.60301459999999996</v>
      </c>
      <c r="AF5357">
        <v>978.77179999999998</v>
      </c>
      <c r="AG5357">
        <f>IFERROR(AH5357*0.1, "N/A")</f>
        <v>6.6297210000000009</v>
      </c>
      <c r="AH5357">
        <v>66.297210000000007</v>
      </c>
      <c r="AI5357">
        <v>105.3965</v>
      </c>
      <c r="AJ5357">
        <v>11.72414</v>
      </c>
      <c r="AK5357">
        <v>80.402299999999997</v>
      </c>
    </row>
    <row r="5358" spans="1:37" x14ac:dyDescent="0.3">
      <c r="A5358">
        <v>5357</v>
      </c>
      <c r="B5358">
        <v>0</v>
      </c>
      <c r="C5358">
        <v>23.398</v>
      </c>
      <c r="D5358">
        <v>-17.752300000000002</v>
      </c>
      <c r="E5358" t="s">
        <v>8623</v>
      </c>
      <c r="F5358" t="s">
        <v>8625</v>
      </c>
      <c r="G5358" t="s">
        <v>39</v>
      </c>
      <c r="H5358">
        <v>1995</v>
      </c>
      <c r="I5358">
        <v>21.9</v>
      </c>
      <c r="J5358">
        <v>16</v>
      </c>
      <c r="K5358">
        <v>55</v>
      </c>
      <c r="L5358">
        <v>35.83</v>
      </c>
      <c r="M5358">
        <v>34.5</v>
      </c>
      <c r="N5358">
        <v>5.6</v>
      </c>
      <c r="O5358">
        <v>28.9</v>
      </c>
      <c r="P5358">
        <v>24.6</v>
      </c>
      <c r="Q5358">
        <v>16.5</v>
      </c>
      <c r="R5358">
        <v>25.2</v>
      </c>
      <c r="S5358">
        <v>16.5</v>
      </c>
      <c r="T5358">
        <v>609</v>
      </c>
      <c r="U5358">
        <v>144</v>
      </c>
      <c r="V5358">
        <v>0</v>
      </c>
      <c r="W5358">
        <v>110</v>
      </c>
      <c r="X5358">
        <v>413</v>
      </c>
      <c r="Y5358">
        <v>1</v>
      </c>
      <c r="Z5358">
        <v>209</v>
      </c>
      <c r="AA5358">
        <v>1</v>
      </c>
      <c r="AB5358">
        <v>13.31232</v>
      </c>
      <c r="AC5358">
        <v>1.671166E-2</v>
      </c>
      <c r="AD5358">
        <v>0.94903660000000001</v>
      </c>
      <c r="AE5358">
        <v>0.60301459999999996</v>
      </c>
      <c r="AF5358">
        <v>978.77179999999998</v>
      </c>
      <c r="AG5358">
        <f>IFERROR(AH5358*0.1, "N/A")</f>
        <v>6.6297210000000009</v>
      </c>
      <c r="AH5358">
        <v>66.297210000000007</v>
      </c>
      <c r="AI5358">
        <v>105.3965</v>
      </c>
      <c r="AJ5358">
        <v>11.72414</v>
      </c>
      <c r="AK5358">
        <v>80.402299999999997</v>
      </c>
    </row>
    <row r="5359" spans="1:37" x14ac:dyDescent="0.3">
      <c r="A5359">
        <v>5358</v>
      </c>
      <c r="B5359">
        <v>10.199999999999999</v>
      </c>
      <c r="C5359">
        <v>24.632100000000001</v>
      </c>
      <c r="D5359">
        <v>-17.718499999999999</v>
      </c>
      <c r="E5359" t="s">
        <v>8626</v>
      </c>
      <c r="F5359" t="s">
        <v>8627</v>
      </c>
      <c r="G5359" t="s">
        <v>39</v>
      </c>
      <c r="H5359">
        <v>1967</v>
      </c>
      <c r="I5359">
        <v>22</v>
      </c>
      <c r="J5359">
        <v>16.3</v>
      </c>
      <c r="K5359">
        <v>55</v>
      </c>
      <c r="L5359">
        <v>35.340000000000003</v>
      </c>
      <c r="M5359">
        <v>35.4</v>
      </c>
      <c r="N5359">
        <v>5.8</v>
      </c>
      <c r="O5359">
        <v>29.6</v>
      </c>
      <c r="P5359">
        <v>24.4</v>
      </c>
      <c r="Q5359">
        <v>16.8</v>
      </c>
      <c r="R5359">
        <v>25.6</v>
      </c>
      <c r="S5359">
        <v>16.8</v>
      </c>
      <c r="T5359">
        <v>639</v>
      </c>
      <c r="U5359">
        <v>156</v>
      </c>
      <c r="V5359">
        <v>0</v>
      </c>
      <c r="W5359">
        <v>111</v>
      </c>
      <c r="X5359">
        <v>441</v>
      </c>
      <c r="Y5359">
        <v>1</v>
      </c>
      <c r="Z5359">
        <v>233</v>
      </c>
      <c r="AA5359">
        <v>1</v>
      </c>
      <c r="AB5359">
        <v>0.81563269999999999</v>
      </c>
      <c r="AC5359">
        <v>1.0321459999999999E-2</v>
      </c>
      <c r="AD5359">
        <v>1.311744</v>
      </c>
      <c r="AE5359">
        <v>0.2145647</v>
      </c>
      <c r="AF5359">
        <v>934.55259999999998</v>
      </c>
      <c r="AG5359">
        <f>IFERROR(AH5359*0.1, "N/A")</f>
        <v>6.5014799999999999</v>
      </c>
      <c r="AH5359">
        <v>65.014799999999994</v>
      </c>
      <c r="AI5359">
        <v>234.4426</v>
      </c>
      <c r="AJ5359">
        <v>14.99507</v>
      </c>
      <c r="AK5359">
        <v>79.004930000000002</v>
      </c>
    </row>
    <row r="5360" spans="1:37" x14ac:dyDescent="0.3">
      <c r="A5360">
        <v>5359</v>
      </c>
      <c r="B5360">
        <v>0</v>
      </c>
      <c r="C5360">
        <v>24.632100000000001</v>
      </c>
      <c r="D5360">
        <v>-17.718499999999999</v>
      </c>
      <c r="E5360" t="s">
        <v>8626</v>
      </c>
      <c r="F5360" t="s">
        <v>8628</v>
      </c>
      <c r="G5360" t="s">
        <v>37</v>
      </c>
      <c r="H5360">
        <v>1967</v>
      </c>
      <c r="I5360">
        <v>22</v>
      </c>
      <c r="J5360">
        <v>16.3</v>
      </c>
      <c r="K5360">
        <v>55</v>
      </c>
      <c r="L5360">
        <v>35.340000000000003</v>
      </c>
      <c r="M5360">
        <v>35.4</v>
      </c>
      <c r="N5360">
        <v>5.8</v>
      </c>
      <c r="O5360">
        <v>29.6</v>
      </c>
      <c r="P5360">
        <v>24.4</v>
      </c>
      <c r="Q5360">
        <v>16.8</v>
      </c>
      <c r="R5360">
        <v>25.6</v>
      </c>
      <c r="S5360">
        <v>16.8</v>
      </c>
      <c r="T5360">
        <v>639</v>
      </c>
      <c r="U5360">
        <v>156</v>
      </c>
      <c r="V5360">
        <v>0</v>
      </c>
      <c r="W5360">
        <v>111</v>
      </c>
      <c r="X5360">
        <v>441</v>
      </c>
      <c r="Y5360">
        <v>1</v>
      </c>
      <c r="Z5360">
        <v>233</v>
      </c>
      <c r="AA5360">
        <v>1</v>
      </c>
      <c r="AB5360">
        <v>0.81563269999999999</v>
      </c>
      <c r="AC5360">
        <v>1.0321459999999999E-2</v>
      </c>
      <c r="AD5360">
        <v>1.311744</v>
      </c>
      <c r="AE5360">
        <v>0.2145647</v>
      </c>
      <c r="AF5360">
        <v>934.55259999999998</v>
      </c>
      <c r="AG5360">
        <f>IFERROR(AH5360*0.1, "N/A")</f>
        <v>6.5014799999999999</v>
      </c>
      <c r="AH5360">
        <v>65.014799999999994</v>
      </c>
      <c r="AI5360">
        <v>234.4426</v>
      </c>
      <c r="AJ5360">
        <v>14.99507</v>
      </c>
      <c r="AK5360">
        <v>79.004930000000002</v>
      </c>
    </row>
    <row r="5361" spans="1:37" x14ac:dyDescent="0.3">
      <c r="A5361">
        <v>5360</v>
      </c>
      <c r="B5361">
        <v>4</v>
      </c>
      <c r="C5361">
        <v>24.5383</v>
      </c>
      <c r="D5361">
        <v>-17.713000000000001</v>
      </c>
      <c r="E5361" t="s">
        <v>8629</v>
      </c>
      <c r="F5361" t="s">
        <v>8630</v>
      </c>
      <c r="G5361" t="s">
        <v>39</v>
      </c>
      <c r="H5361">
        <v>1977</v>
      </c>
      <c r="I5361">
        <v>21.9</v>
      </c>
      <c r="J5361">
        <v>16.3</v>
      </c>
      <c r="K5361">
        <v>54</v>
      </c>
      <c r="L5361">
        <v>35.99</v>
      </c>
      <c r="M5361">
        <v>35.200000000000003</v>
      </c>
      <c r="N5361">
        <v>5.4</v>
      </c>
      <c r="O5361">
        <v>29.8</v>
      </c>
      <c r="P5361">
        <v>24.4</v>
      </c>
      <c r="Q5361">
        <v>16.5</v>
      </c>
      <c r="R5361">
        <v>25.4</v>
      </c>
      <c r="S5361">
        <v>16.5</v>
      </c>
      <c r="T5361">
        <v>640</v>
      </c>
      <c r="U5361">
        <v>155</v>
      </c>
      <c r="V5361">
        <v>0</v>
      </c>
      <c r="W5361">
        <v>111</v>
      </c>
      <c r="X5361">
        <v>441</v>
      </c>
      <c r="Y5361">
        <v>1</v>
      </c>
      <c r="Z5361">
        <v>232</v>
      </c>
      <c r="AA5361">
        <v>1</v>
      </c>
      <c r="AB5361">
        <v>0.15509139999999999</v>
      </c>
      <c r="AC5361">
        <v>0.30103089999999999</v>
      </c>
      <c r="AD5361">
        <v>0.87399119999999997</v>
      </c>
      <c r="AE5361">
        <v>0.52560859999999998</v>
      </c>
      <c r="AF5361">
        <v>936.06719999999996</v>
      </c>
      <c r="AG5361">
        <f>IFERROR(AH5361*0.1, "N/A")</f>
        <v>6.4</v>
      </c>
      <c r="AH5361">
        <v>64</v>
      </c>
      <c r="AI5361">
        <v>167.941</v>
      </c>
      <c r="AJ5361">
        <v>10.486890000000001</v>
      </c>
      <c r="AK5361">
        <v>86.008200000000002</v>
      </c>
    </row>
    <row r="5362" spans="1:37" x14ac:dyDescent="0.3">
      <c r="A5362">
        <v>5361</v>
      </c>
      <c r="B5362">
        <v>6</v>
      </c>
      <c r="C5362">
        <v>24.5383</v>
      </c>
      <c r="D5362">
        <v>-17.713000000000001</v>
      </c>
      <c r="E5362" t="s">
        <v>8629</v>
      </c>
      <c r="F5362" t="s">
        <v>8631</v>
      </c>
      <c r="G5362" t="s">
        <v>37</v>
      </c>
      <c r="H5362">
        <v>1977</v>
      </c>
      <c r="I5362">
        <v>21.9</v>
      </c>
      <c r="J5362">
        <v>16.3</v>
      </c>
      <c r="K5362">
        <v>54</v>
      </c>
      <c r="L5362">
        <v>35.99</v>
      </c>
      <c r="M5362">
        <v>35.200000000000003</v>
      </c>
      <c r="N5362">
        <v>5.4</v>
      </c>
      <c r="O5362">
        <v>29.8</v>
      </c>
      <c r="P5362">
        <v>24.4</v>
      </c>
      <c r="Q5362">
        <v>16.5</v>
      </c>
      <c r="R5362">
        <v>25.4</v>
      </c>
      <c r="S5362">
        <v>16.5</v>
      </c>
      <c r="T5362">
        <v>640</v>
      </c>
      <c r="U5362">
        <v>155</v>
      </c>
      <c r="V5362">
        <v>0</v>
      </c>
      <c r="W5362">
        <v>111</v>
      </c>
      <c r="X5362">
        <v>441</v>
      </c>
      <c r="Y5362">
        <v>1</v>
      </c>
      <c r="Z5362">
        <v>232</v>
      </c>
      <c r="AA5362">
        <v>1</v>
      </c>
      <c r="AB5362">
        <v>0.15509139999999999</v>
      </c>
      <c r="AC5362">
        <v>0.30103089999999999</v>
      </c>
      <c r="AD5362">
        <v>0.87399119999999997</v>
      </c>
      <c r="AE5362">
        <v>0.52560859999999998</v>
      </c>
      <c r="AF5362">
        <v>936.06719999999996</v>
      </c>
      <c r="AG5362">
        <f>IFERROR(AH5362*0.1, "N/A")</f>
        <v>6.4</v>
      </c>
      <c r="AH5362">
        <v>64</v>
      </c>
      <c r="AI5362">
        <v>167.941</v>
      </c>
      <c r="AJ5362">
        <v>10.486890000000001</v>
      </c>
      <c r="AK5362">
        <v>86.008200000000002</v>
      </c>
    </row>
    <row r="5363" spans="1:37" x14ac:dyDescent="0.3">
      <c r="A5363">
        <v>5362</v>
      </c>
      <c r="B5363">
        <v>0</v>
      </c>
      <c r="C5363">
        <v>24.5383</v>
      </c>
      <c r="D5363">
        <v>-17.713000000000001</v>
      </c>
      <c r="E5363" t="s">
        <v>8629</v>
      </c>
      <c r="F5363" t="s">
        <v>8632</v>
      </c>
      <c r="G5363" t="s">
        <v>8603</v>
      </c>
      <c r="H5363">
        <v>1977</v>
      </c>
      <c r="I5363">
        <v>21.9</v>
      </c>
      <c r="J5363">
        <v>16.3</v>
      </c>
      <c r="K5363">
        <v>54</v>
      </c>
      <c r="L5363">
        <v>35.99</v>
      </c>
      <c r="M5363">
        <v>35.200000000000003</v>
      </c>
      <c r="N5363">
        <v>5.4</v>
      </c>
      <c r="O5363">
        <v>29.8</v>
      </c>
      <c r="P5363">
        <v>24.4</v>
      </c>
      <c r="Q5363">
        <v>16.5</v>
      </c>
      <c r="R5363">
        <v>25.4</v>
      </c>
      <c r="S5363">
        <v>16.5</v>
      </c>
      <c r="T5363">
        <v>640</v>
      </c>
      <c r="U5363">
        <v>155</v>
      </c>
      <c r="V5363">
        <v>0</v>
      </c>
      <c r="W5363">
        <v>111</v>
      </c>
      <c r="X5363">
        <v>441</v>
      </c>
      <c r="Y5363">
        <v>1</v>
      </c>
      <c r="Z5363">
        <v>232</v>
      </c>
      <c r="AA5363">
        <v>1</v>
      </c>
      <c r="AB5363">
        <v>0.15509139999999999</v>
      </c>
      <c r="AC5363">
        <v>0.30103089999999999</v>
      </c>
      <c r="AD5363">
        <v>0.87399119999999997</v>
      </c>
      <c r="AE5363">
        <v>0.52560859999999998</v>
      </c>
      <c r="AF5363">
        <v>936.06719999999996</v>
      </c>
      <c r="AG5363">
        <f>IFERROR(AH5363*0.1, "N/A")</f>
        <v>6.4</v>
      </c>
      <c r="AH5363">
        <v>64</v>
      </c>
      <c r="AI5363">
        <v>167.941</v>
      </c>
      <c r="AJ5363">
        <v>10.486890000000001</v>
      </c>
      <c r="AK5363">
        <v>86.008200000000002</v>
      </c>
    </row>
    <row r="5364" spans="1:37" x14ac:dyDescent="0.3">
      <c r="A5364">
        <v>5363</v>
      </c>
      <c r="B5364">
        <v>96</v>
      </c>
      <c r="C5364">
        <v>23.417899999999999</v>
      </c>
      <c r="D5364">
        <v>-17.693200000000001</v>
      </c>
      <c r="E5364" t="s">
        <v>8633</v>
      </c>
      <c r="F5364" t="s">
        <v>8634</v>
      </c>
      <c r="G5364" t="s">
        <v>37</v>
      </c>
      <c r="H5364">
        <v>1995</v>
      </c>
      <c r="I5364">
        <v>21.7</v>
      </c>
      <c r="J5364">
        <v>16</v>
      </c>
      <c r="K5364">
        <v>55</v>
      </c>
      <c r="L5364">
        <v>35.74</v>
      </c>
      <c r="M5364">
        <v>34.4</v>
      </c>
      <c r="N5364">
        <v>5.4</v>
      </c>
      <c r="O5364">
        <v>29</v>
      </c>
      <c r="P5364">
        <v>24.4</v>
      </c>
      <c r="Q5364">
        <v>16.399999999999999</v>
      </c>
      <c r="R5364">
        <v>25.1</v>
      </c>
      <c r="S5364">
        <v>16.399999999999999</v>
      </c>
      <c r="T5364">
        <v>621</v>
      </c>
      <c r="U5364">
        <v>147</v>
      </c>
      <c r="V5364">
        <v>0</v>
      </c>
      <c r="W5364">
        <v>110</v>
      </c>
      <c r="X5364">
        <v>421</v>
      </c>
      <c r="Y5364">
        <v>1</v>
      </c>
      <c r="Z5364">
        <v>214</v>
      </c>
      <c r="AA5364">
        <v>1</v>
      </c>
      <c r="AB5364">
        <v>20.314530000000001</v>
      </c>
      <c r="AC5364">
        <v>9.3764109999999994E-3</v>
      </c>
      <c r="AD5364">
        <v>1.47611</v>
      </c>
      <c r="AE5364">
        <v>0.40222560000000002</v>
      </c>
      <c r="AF5364">
        <v>986.9624</v>
      </c>
      <c r="AG5364">
        <f>IFERROR(AH5364*0.1, "N/A")</f>
        <v>7.3000000000000007</v>
      </c>
      <c r="AH5364">
        <v>73</v>
      </c>
      <c r="AI5364">
        <v>35.348100000000002</v>
      </c>
      <c r="AJ5364">
        <v>13</v>
      </c>
      <c r="AK5364">
        <v>79</v>
      </c>
    </row>
    <row r="5365" spans="1:37" x14ac:dyDescent="0.3">
      <c r="A5365">
        <v>5364</v>
      </c>
      <c r="B5365">
        <v>0</v>
      </c>
      <c r="C5365">
        <v>23.417899999999999</v>
      </c>
      <c r="D5365">
        <v>-17.693200000000001</v>
      </c>
      <c r="E5365" t="s">
        <v>8633</v>
      </c>
      <c r="F5365" t="s">
        <v>8635</v>
      </c>
      <c r="G5365" t="s">
        <v>39</v>
      </c>
      <c r="H5365">
        <v>1995</v>
      </c>
      <c r="I5365">
        <v>21.7</v>
      </c>
      <c r="J5365">
        <v>16</v>
      </c>
      <c r="K5365">
        <v>55</v>
      </c>
      <c r="L5365">
        <v>35.74</v>
      </c>
      <c r="M5365">
        <v>34.4</v>
      </c>
      <c r="N5365">
        <v>5.4</v>
      </c>
      <c r="O5365">
        <v>29</v>
      </c>
      <c r="P5365">
        <v>24.4</v>
      </c>
      <c r="Q5365">
        <v>16.399999999999999</v>
      </c>
      <c r="R5365">
        <v>25.1</v>
      </c>
      <c r="S5365">
        <v>16.399999999999999</v>
      </c>
      <c r="T5365">
        <v>621</v>
      </c>
      <c r="U5365">
        <v>147</v>
      </c>
      <c r="V5365">
        <v>0</v>
      </c>
      <c r="W5365">
        <v>110</v>
      </c>
      <c r="X5365">
        <v>421</v>
      </c>
      <c r="Y5365">
        <v>1</v>
      </c>
      <c r="Z5365">
        <v>214</v>
      </c>
      <c r="AA5365">
        <v>1</v>
      </c>
      <c r="AB5365">
        <v>20.314530000000001</v>
      </c>
      <c r="AC5365">
        <v>9.3764109999999994E-3</v>
      </c>
      <c r="AD5365">
        <v>1.47611</v>
      </c>
      <c r="AE5365">
        <v>0.40222560000000002</v>
      </c>
      <c r="AF5365">
        <v>986.9624</v>
      </c>
      <c r="AG5365">
        <f>IFERROR(AH5365*0.1, "N/A")</f>
        <v>7.3000000000000007</v>
      </c>
      <c r="AH5365">
        <v>73</v>
      </c>
      <c r="AI5365">
        <v>35.348100000000002</v>
      </c>
      <c r="AJ5365">
        <v>13</v>
      </c>
      <c r="AK5365">
        <v>79</v>
      </c>
    </row>
    <row r="5366" spans="1:37" x14ac:dyDescent="0.3">
      <c r="A5366">
        <v>5365</v>
      </c>
      <c r="B5366">
        <v>0</v>
      </c>
      <c r="C5366">
        <v>23.4132</v>
      </c>
      <c r="D5366">
        <v>-17.641999999999999</v>
      </c>
      <c r="E5366" t="s">
        <v>8636</v>
      </c>
      <c r="F5366" t="s">
        <v>8637</v>
      </c>
      <c r="G5366" t="s">
        <v>39</v>
      </c>
      <c r="H5366">
        <v>1967</v>
      </c>
      <c r="I5366">
        <v>21.9</v>
      </c>
      <c r="J5366">
        <v>16.053190000000001</v>
      </c>
      <c r="K5366">
        <v>55</v>
      </c>
      <c r="L5366">
        <v>35.867449999999998</v>
      </c>
      <c r="M5366">
        <v>34.5</v>
      </c>
      <c r="N5366">
        <v>5.5</v>
      </c>
      <c r="O5366">
        <v>29</v>
      </c>
      <c r="P5366">
        <v>24.5</v>
      </c>
      <c r="Q5366">
        <v>16.553190000000001</v>
      </c>
      <c r="R5366">
        <v>25.3</v>
      </c>
      <c r="S5366">
        <v>16.553190000000001</v>
      </c>
      <c r="T5366">
        <v>623</v>
      </c>
      <c r="U5366">
        <v>147</v>
      </c>
      <c r="V5366">
        <v>0</v>
      </c>
      <c r="W5366">
        <v>111</v>
      </c>
      <c r="X5366">
        <v>423</v>
      </c>
      <c r="Y5366">
        <v>1</v>
      </c>
      <c r="Z5366">
        <v>215</v>
      </c>
      <c r="AA5366">
        <v>1</v>
      </c>
      <c r="AB5366">
        <v>1.8226009999999999</v>
      </c>
      <c r="AC5366">
        <v>2.1764479999999999E-2</v>
      </c>
      <c r="AD5366">
        <v>1.721965</v>
      </c>
      <c r="AE5366">
        <v>0.13605729999999999</v>
      </c>
      <c r="AF5366">
        <v>967.05240000000003</v>
      </c>
      <c r="AG5366">
        <f>IFERROR(AH5366*0.1, "N/A")</f>
        <v>6.2168580000000002</v>
      </c>
      <c r="AH5366">
        <v>62.168579999999999</v>
      </c>
      <c r="AI5366">
        <v>138.2749</v>
      </c>
      <c r="AJ5366">
        <v>19.831420000000001</v>
      </c>
      <c r="AK5366">
        <v>69.168580000000006</v>
      </c>
    </row>
    <row r="5367" spans="1:37" x14ac:dyDescent="0.3">
      <c r="A5367">
        <v>5366</v>
      </c>
      <c r="B5367">
        <v>61.1</v>
      </c>
      <c r="C5367">
        <v>23.4132</v>
      </c>
      <c r="D5367">
        <v>-17.641999999999999</v>
      </c>
      <c r="E5367" t="s">
        <v>8636</v>
      </c>
      <c r="F5367" t="s">
        <v>8638</v>
      </c>
      <c r="G5367" t="s">
        <v>37</v>
      </c>
      <c r="H5367">
        <v>1967</v>
      </c>
      <c r="I5367">
        <v>21.9</v>
      </c>
      <c r="J5367">
        <v>16.053190000000001</v>
      </c>
      <c r="K5367">
        <v>55</v>
      </c>
      <c r="L5367">
        <v>35.867449999999998</v>
      </c>
      <c r="M5367">
        <v>34.5</v>
      </c>
      <c r="N5367">
        <v>5.5</v>
      </c>
      <c r="O5367">
        <v>29</v>
      </c>
      <c r="P5367">
        <v>24.5</v>
      </c>
      <c r="Q5367">
        <v>16.553190000000001</v>
      </c>
      <c r="R5367">
        <v>25.3</v>
      </c>
      <c r="S5367">
        <v>16.553190000000001</v>
      </c>
      <c r="T5367">
        <v>623</v>
      </c>
      <c r="U5367">
        <v>147</v>
      </c>
      <c r="V5367">
        <v>0</v>
      </c>
      <c r="W5367">
        <v>111</v>
      </c>
      <c r="X5367">
        <v>423</v>
      </c>
      <c r="Y5367">
        <v>1</v>
      </c>
      <c r="Z5367">
        <v>215</v>
      </c>
      <c r="AA5367">
        <v>1</v>
      </c>
      <c r="AB5367">
        <v>1.8226009999999999</v>
      </c>
      <c r="AC5367">
        <v>2.1764479999999999E-2</v>
      </c>
      <c r="AD5367">
        <v>1.721965</v>
      </c>
      <c r="AE5367">
        <v>0.13605729999999999</v>
      </c>
      <c r="AF5367">
        <v>967.05240000000003</v>
      </c>
      <c r="AG5367">
        <f>IFERROR(AH5367*0.1, "N/A")</f>
        <v>6.2168580000000002</v>
      </c>
      <c r="AH5367">
        <v>62.168579999999999</v>
      </c>
      <c r="AI5367">
        <v>138.2749</v>
      </c>
      <c r="AJ5367">
        <v>19.831420000000001</v>
      </c>
      <c r="AK5367">
        <v>69.168580000000006</v>
      </c>
    </row>
    <row r="5368" spans="1:37" x14ac:dyDescent="0.3">
      <c r="A5368">
        <v>5367</v>
      </c>
      <c r="B5368">
        <v>55.4</v>
      </c>
      <c r="C5368">
        <v>18.6114</v>
      </c>
      <c r="D5368">
        <v>-17.628900000000002</v>
      </c>
      <c r="E5368" t="s">
        <v>8639</v>
      </c>
      <c r="F5368" t="s">
        <v>8640</v>
      </c>
      <c r="G5368" t="s">
        <v>39</v>
      </c>
      <c r="H5368">
        <v>1967</v>
      </c>
      <c r="I5368">
        <v>23</v>
      </c>
      <c r="J5368">
        <v>16.100000000000001</v>
      </c>
      <c r="K5368">
        <v>60</v>
      </c>
      <c r="L5368">
        <v>31.11</v>
      </c>
      <c r="M5368">
        <v>34.299999999999997</v>
      </c>
      <c r="N5368">
        <v>7.5</v>
      </c>
      <c r="O5368">
        <v>26.8</v>
      </c>
      <c r="P5368">
        <v>25</v>
      </c>
      <c r="Q5368">
        <v>18.3</v>
      </c>
      <c r="R5368">
        <v>25.9</v>
      </c>
      <c r="S5368">
        <v>18.3</v>
      </c>
      <c r="T5368">
        <v>588</v>
      </c>
      <c r="U5368">
        <v>134</v>
      </c>
      <c r="V5368">
        <v>0</v>
      </c>
      <c r="W5368">
        <v>102</v>
      </c>
      <c r="X5368">
        <v>362</v>
      </c>
      <c r="Y5368">
        <v>0</v>
      </c>
      <c r="Z5368">
        <v>180</v>
      </c>
      <c r="AA5368">
        <v>0</v>
      </c>
      <c r="AB5368">
        <v>1.0627070000000001</v>
      </c>
      <c r="AC5368">
        <v>1.1086279999999999</v>
      </c>
      <c r="AD5368">
        <v>0.51227129999999998</v>
      </c>
      <c r="AE5368">
        <v>0.62824259999999998</v>
      </c>
      <c r="AF5368">
        <v>1094.22</v>
      </c>
      <c r="AG5368">
        <f>IFERROR(AH5368*0.1, "N/A")</f>
        <v>7.4004930000000009</v>
      </c>
      <c r="AH5368">
        <v>74.004930000000002</v>
      </c>
      <c r="AI5368">
        <v>126.0545</v>
      </c>
      <c r="AJ5368">
        <v>7.0032839999999998</v>
      </c>
      <c r="AK5368">
        <v>84.996719999999996</v>
      </c>
    </row>
    <row r="5369" spans="1:37" x14ac:dyDescent="0.3">
      <c r="A5369">
        <v>5368</v>
      </c>
      <c r="B5369">
        <v>0</v>
      </c>
      <c r="C5369">
        <v>18.6114</v>
      </c>
      <c r="D5369">
        <v>-17.628900000000002</v>
      </c>
      <c r="E5369" t="s">
        <v>8639</v>
      </c>
      <c r="F5369" t="s">
        <v>8641</v>
      </c>
      <c r="G5369" t="s">
        <v>37</v>
      </c>
      <c r="H5369">
        <v>1967</v>
      </c>
      <c r="I5369">
        <v>23</v>
      </c>
      <c r="J5369">
        <v>16.100000000000001</v>
      </c>
      <c r="K5369">
        <v>60</v>
      </c>
      <c r="L5369">
        <v>31.11</v>
      </c>
      <c r="M5369">
        <v>34.299999999999997</v>
      </c>
      <c r="N5369">
        <v>7.5</v>
      </c>
      <c r="O5369">
        <v>26.8</v>
      </c>
      <c r="P5369">
        <v>25</v>
      </c>
      <c r="Q5369">
        <v>18.3</v>
      </c>
      <c r="R5369">
        <v>25.9</v>
      </c>
      <c r="S5369">
        <v>18.3</v>
      </c>
      <c r="T5369">
        <v>588</v>
      </c>
      <c r="U5369">
        <v>134</v>
      </c>
      <c r="V5369">
        <v>0</v>
      </c>
      <c r="W5369">
        <v>102</v>
      </c>
      <c r="X5369">
        <v>362</v>
      </c>
      <c r="Y5369">
        <v>0</v>
      </c>
      <c r="Z5369">
        <v>180</v>
      </c>
      <c r="AA5369">
        <v>0</v>
      </c>
      <c r="AB5369">
        <v>1.0627070000000001</v>
      </c>
      <c r="AC5369">
        <v>1.1086279999999999</v>
      </c>
      <c r="AD5369">
        <v>0.51227129999999998</v>
      </c>
      <c r="AE5369">
        <v>0.62824259999999998</v>
      </c>
      <c r="AF5369">
        <v>1094.22</v>
      </c>
      <c r="AG5369">
        <f>IFERROR(AH5369*0.1, "N/A")</f>
        <v>7.4004930000000009</v>
      </c>
      <c r="AH5369">
        <v>74.004930000000002</v>
      </c>
      <c r="AI5369">
        <v>126.0545</v>
      </c>
      <c r="AJ5369">
        <v>7.0032839999999998</v>
      </c>
      <c r="AK5369">
        <v>84.996719999999996</v>
      </c>
    </row>
    <row r="5370" spans="1:37" x14ac:dyDescent="0.3">
      <c r="A5370">
        <v>5369</v>
      </c>
      <c r="B5370">
        <v>0</v>
      </c>
      <c r="C5370">
        <v>14.684699999999999</v>
      </c>
      <c r="D5370">
        <v>-17.5915</v>
      </c>
      <c r="E5370" t="s">
        <v>8642</v>
      </c>
      <c r="F5370" t="s">
        <v>8643</v>
      </c>
      <c r="G5370" t="s">
        <v>39</v>
      </c>
      <c r="H5370">
        <v>1967</v>
      </c>
      <c r="I5370">
        <v>22.531359999999999</v>
      </c>
      <c r="J5370">
        <v>15.2</v>
      </c>
      <c r="K5370">
        <v>59</v>
      </c>
      <c r="L5370">
        <v>29.975090000000002</v>
      </c>
      <c r="M5370">
        <v>33.700000000000003</v>
      </c>
      <c r="N5370">
        <v>8.1</v>
      </c>
      <c r="O5370">
        <v>25.6</v>
      </c>
      <c r="P5370">
        <v>24.3</v>
      </c>
      <c r="Q5370">
        <v>18.3</v>
      </c>
      <c r="R5370">
        <v>25.531359999999999</v>
      </c>
      <c r="S5370">
        <v>18</v>
      </c>
      <c r="T5370">
        <v>395</v>
      </c>
      <c r="U5370">
        <v>107</v>
      </c>
      <c r="V5370">
        <v>0</v>
      </c>
      <c r="W5370">
        <v>121</v>
      </c>
      <c r="X5370">
        <v>287</v>
      </c>
      <c r="Y5370">
        <v>0</v>
      </c>
      <c r="Z5370">
        <v>98</v>
      </c>
      <c r="AA5370">
        <v>0</v>
      </c>
      <c r="AB5370">
        <v>1.5341419999999999</v>
      </c>
      <c r="AC5370">
        <v>1.1570459999999999E-2</v>
      </c>
      <c r="AD5370">
        <v>1.705449</v>
      </c>
      <c r="AE5370">
        <v>0.66855989999999998</v>
      </c>
      <c r="AF5370">
        <v>1110.3050000000001</v>
      </c>
      <c r="AG5370">
        <f>IFERROR(AH5370*0.1, "N/A")</f>
        <v>7.7</v>
      </c>
      <c r="AH5370">
        <v>77</v>
      </c>
      <c r="AI5370">
        <v>80.155919999999995</v>
      </c>
      <c r="AJ5370">
        <v>15.10181</v>
      </c>
      <c r="AK5370">
        <v>79.89819</v>
      </c>
    </row>
    <row r="5371" spans="1:37" x14ac:dyDescent="0.3">
      <c r="A5371">
        <v>5370</v>
      </c>
      <c r="B5371">
        <v>0</v>
      </c>
      <c r="C5371">
        <v>14.684699999999999</v>
      </c>
      <c r="D5371">
        <v>-17.5915</v>
      </c>
      <c r="E5371" t="s">
        <v>8642</v>
      </c>
      <c r="F5371" t="s">
        <v>8644</v>
      </c>
      <c r="G5371" t="s">
        <v>37</v>
      </c>
      <c r="H5371">
        <v>1967</v>
      </c>
      <c r="I5371">
        <v>22.531359999999999</v>
      </c>
      <c r="J5371">
        <v>15.2</v>
      </c>
      <c r="K5371">
        <v>59</v>
      </c>
      <c r="L5371">
        <v>29.975090000000002</v>
      </c>
      <c r="M5371">
        <v>33.700000000000003</v>
      </c>
      <c r="N5371">
        <v>8.1</v>
      </c>
      <c r="O5371">
        <v>25.6</v>
      </c>
      <c r="P5371">
        <v>24.3</v>
      </c>
      <c r="Q5371">
        <v>18.3</v>
      </c>
      <c r="R5371">
        <v>25.531359999999999</v>
      </c>
      <c r="S5371">
        <v>18</v>
      </c>
      <c r="T5371">
        <v>395</v>
      </c>
      <c r="U5371">
        <v>107</v>
      </c>
      <c r="V5371">
        <v>0</v>
      </c>
      <c r="W5371">
        <v>121</v>
      </c>
      <c r="X5371">
        <v>287</v>
      </c>
      <c r="Y5371">
        <v>0</v>
      </c>
      <c r="Z5371">
        <v>98</v>
      </c>
      <c r="AA5371">
        <v>0</v>
      </c>
      <c r="AB5371">
        <v>1.5341419999999999</v>
      </c>
      <c r="AC5371">
        <v>1.1570459999999999E-2</v>
      </c>
      <c r="AD5371">
        <v>1.705449</v>
      </c>
      <c r="AE5371">
        <v>0.66855989999999998</v>
      </c>
      <c r="AF5371">
        <v>1110.3050000000001</v>
      </c>
      <c r="AG5371">
        <f>IFERROR(AH5371*0.1, "N/A")</f>
        <v>7.7</v>
      </c>
      <c r="AH5371">
        <v>77</v>
      </c>
      <c r="AI5371">
        <v>80.155919999999995</v>
      </c>
      <c r="AJ5371">
        <v>15.10181</v>
      </c>
      <c r="AK5371">
        <v>79.89819</v>
      </c>
    </row>
    <row r="5372" spans="1:37" x14ac:dyDescent="0.3">
      <c r="A5372">
        <v>5371</v>
      </c>
      <c r="B5372">
        <v>82.2</v>
      </c>
      <c r="C5372">
        <v>24.509799999999998</v>
      </c>
      <c r="D5372">
        <v>-17.554099999999998</v>
      </c>
      <c r="E5372" t="s">
        <v>8645</v>
      </c>
      <c r="F5372" t="s">
        <v>8646</v>
      </c>
      <c r="G5372" t="s">
        <v>39</v>
      </c>
      <c r="H5372">
        <v>1967</v>
      </c>
      <c r="I5372">
        <v>21.7</v>
      </c>
      <c r="J5372">
        <v>16.399999999999999</v>
      </c>
      <c r="K5372">
        <v>54</v>
      </c>
      <c r="L5372">
        <v>36.28</v>
      </c>
      <c r="M5372">
        <v>35.1</v>
      </c>
      <c r="N5372">
        <v>5</v>
      </c>
      <c r="O5372">
        <v>30.1</v>
      </c>
      <c r="P5372">
        <v>24.3</v>
      </c>
      <c r="Q5372">
        <v>16.3</v>
      </c>
      <c r="R5372">
        <v>25.3</v>
      </c>
      <c r="S5372">
        <v>16.3</v>
      </c>
      <c r="T5372">
        <v>666</v>
      </c>
      <c r="U5372">
        <v>160</v>
      </c>
      <c r="V5372">
        <v>0</v>
      </c>
      <c r="W5372">
        <v>111</v>
      </c>
      <c r="X5372">
        <v>458</v>
      </c>
      <c r="Y5372">
        <v>1</v>
      </c>
      <c r="Z5372">
        <v>242</v>
      </c>
      <c r="AA5372">
        <v>1</v>
      </c>
      <c r="AB5372">
        <v>2.2188210000000002</v>
      </c>
      <c r="AC5372">
        <v>1.408129E-2</v>
      </c>
      <c r="AD5372">
        <v>0.6044119</v>
      </c>
      <c r="AE5372">
        <v>0.40225080000000002</v>
      </c>
      <c r="AF5372">
        <v>938.59019999999998</v>
      </c>
      <c r="AG5372">
        <f>IFERROR(AH5372*0.1, "N/A")</f>
        <v>7.3016390000000007</v>
      </c>
      <c r="AH5372">
        <v>73.016390000000001</v>
      </c>
      <c r="AI5372">
        <v>93.365480000000005</v>
      </c>
      <c r="AJ5372">
        <v>19.00328</v>
      </c>
      <c r="AK5372">
        <v>72.019670000000005</v>
      </c>
    </row>
    <row r="5373" spans="1:37" x14ac:dyDescent="0.3">
      <c r="A5373">
        <v>5372</v>
      </c>
      <c r="B5373">
        <v>0</v>
      </c>
      <c r="C5373">
        <v>24.509799999999998</v>
      </c>
      <c r="D5373">
        <v>-17.554099999999998</v>
      </c>
      <c r="E5373" t="s">
        <v>8645</v>
      </c>
      <c r="F5373" t="s">
        <v>8647</v>
      </c>
      <c r="G5373" t="s">
        <v>37</v>
      </c>
      <c r="H5373">
        <v>1967</v>
      </c>
      <c r="I5373">
        <v>21.7</v>
      </c>
      <c r="J5373">
        <v>16.399999999999999</v>
      </c>
      <c r="K5373">
        <v>54</v>
      </c>
      <c r="L5373">
        <v>36.28</v>
      </c>
      <c r="M5373">
        <v>35.1</v>
      </c>
      <c r="N5373">
        <v>5</v>
      </c>
      <c r="O5373">
        <v>30.1</v>
      </c>
      <c r="P5373">
        <v>24.3</v>
      </c>
      <c r="Q5373">
        <v>16.3</v>
      </c>
      <c r="R5373">
        <v>25.3</v>
      </c>
      <c r="S5373">
        <v>16.3</v>
      </c>
      <c r="T5373">
        <v>666</v>
      </c>
      <c r="U5373">
        <v>160</v>
      </c>
      <c r="V5373">
        <v>0</v>
      </c>
      <c r="W5373">
        <v>111</v>
      </c>
      <c r="X5373">
        <v>458</v>
      </c>
      <c r="Y5373">
        <v>1</v>
      </c>
      <c r="Z5373">
        <v>242</v>
      </c>
      <c r="AA5373">
        <v>1</v>
      </c>
      <c r="AB5373">
        <v>2.2188210000000002</v>
      </c>
      <c r="AC5373">
        <v>1.408129E-2</v>
      </c>
      <c r="AD5373">
        <v>0.6044119</v>
      </c>
      <c r="AE5373">
        <v>0.40225080000000002</v>
      </c>
      <c r="AF5373">
        <v>938.59019999999998</v>
      </c>
      <c r="AG5373">
        <f>IFERROR(AH5373*0.1, "N/A")</f>
        <v>7.3016390000000007</v>
      </c>
      <c r="AH5373">
        <v>73.016390000000001</v>
      </c>
      <c r="AI5373">
        <v>93.365480000000005</v>
      </c>
      <c r="AJ5373">
        <v>19.00328</v>
      </c>
      <c r="AK5373">
        <v>72.019670000000005</v>
      </c>
    </row>
    <row r="5374" spans="1:37" x14ac:dyDescent="0.3">
      <c r="A5374">
        <v>5373</v>
      </c>
      <c r="B5374">
        <v>72</v>
      </c>
      <c r="C5374">
        <v>24.352399999999999</v>
      </c>
      <c r="D5374">
        <v>-17.548200000000001</v>
      </c>
      <c r="E5374" t="s">
        <v>8648</v>
      </c>
      <c r="F5374" t="s">
        <v>8649</v>
      </c>
      <c r="G5374" t="s">
        <v>39</v>
      </c>
      <c r="H5374">
        <v>1977</v>
      </c>
      <c r="I5374">
        <v>21.4</v>
      </c>
      <c r="J5374">
        <v>16.600000000000001</v>
      </c>
      <c r="K5374">
        <v>54</v>
      </c>
      <c r="L5374">
        <v>37.44</v>
      </c>
      <c r="M5374">
        <v>35</v>
      </c>
      <c r="N5374">
        <v>4.4000000000000004</v>
      </c>
      <c r="O5374">
        <v>30.6</v>
      </c>
      <c r="P5374">
        <v>24.1</v>
      </c>
      <c r="Q5374">
        <v>15.9</v>
      </c>
      <c r="R5374">
        <v>25.2</v>
      </c>
      <c r="S5374">
        <v>15.9</v>
      </c>
      <c r="T5374">
        <v>675</v>
      </c>
      <c r="U5374">
        <v>160</v>
      </c>
      <c r="V5374">
        <v>0</v>
      </c>
      <c r="W5374">
        <v>111</v>
      </c>
      <c r="X5374">
        <v>463</v>
      </c>
      <c r="Y5374">
        <v>1</v>
      </c>
      <c r="Z5374">
        <v>242</v>
      </c>
      <c r="AA5374">
        <v>1</v>
      </c>
      <c r="AB5374">
        <v>0.74622409999999995</v>
      </c>
      <c r="AC5374">
        <v>0.1913909</v>
      </c>
      <c r="AD5374">
        <v>0.81658730000000002</v>
      </c>
      <c r="AE5374">
        <v>0.29162179999999999</v>
      </c>
      <c r="AF5374">
        <v>939.65129999999999</v>
      </c>
      <c r="AG5374">
        <f>IFERROR(AH5374*0.1, "N/A")</f>
        <v>6.5998360000000007</v>
      </c>
      <c r="AH5374">
        <v>65.998360000000005</v>
      </c>
      <c r="AI5374">
        <v>143.4143</v>
      </c>
      <c r="AJ5374">
        <v>10.56908</v>
      </c>
      <c r="AK5374">
        <v>83.560860000000005</v>
      </c>
    </row>
    <row r="5375" spans="1:37" x14ac:dyDescent="0.3">
      <c r="A5375">
        <v>5374</v>
      </c>
      <c r="B5375">
        <v>0</v>
      </c>
      <c r="C5375">
        <v>24.352399999999999</v>
      </c>
      <c r="D5375">
        <v>-17.548200000000001</v>
      </c>
      <c r="E5375" t="s">
        <v>8648</v>
      </c>
      <c r="F5375" t="s">
        <v>8650</v>
      </c>
      <c r="G5375" t="s">
        <v>37</v>
      </c>
      <c r="H5375">
        <v>1977</v>
      </c>
      <c r="I5375">
        <v>21.4</v>
      </c>
      <c r="J5375">
        <v>16.600000000000001</v>
      </c>
      <c r="K5375">
        <v>54</v>
      </c>
      <c r="L5375">
        <v>37.44</v>
      </c>
      <c r="M5375">
        <v>35</v>
      </c>
      <c r="N5375">
        <v>4.4000000000000004</v>
      </c>
      <c r="O5375">
        <v>30.6</v>
      </c>
      <c r="P5375">
        <v>24.1</v>
      </c>
      <c r="Q5375">
        <v>15.9</v>
      </c>
      <c r="R5375">
        <v>25.2</v>
      </c>
      <c r="S5375">
        <v>15.9</v>
      </c>
      <c r="T5375">
        <v>675</v>
      </c>
      <c r="U5375">
        <v>160</v>
      </c>
      <c r="V5375">
        <v>0</v>
      </c>
      <c r="W5375">
        <v>111</v>
      </c>
      <c r="X5375">
        <v>463</v>
      </c>
      <c r="Y5375">
        <v>1</v>
      </c>
      <c r="Z5375">
        <v>242</v>
      </c>
      <c r="AA5375">
        <v>1</v>
      </c>
      <c r="AB5375">
        <v>0.74622409999999995</v>
      </c>
      <c r="AC5375">
        <v>0.1913909</v>
      </c>
      <c r="AD5375">
        <v>0.81658730000000002</v>
      </c>
      <c r="AE5375">
        <v>0.29162179999999999</v>
      </c>
      <c r="AF5375">
        <v>939.65129999999999</v>
      </c>
      <c r="AG5375">
        <f>IFERROR(AH5375*0.1, "N/A")</f>
        <v>6.5998360000000007</v>
      </c>
      <c r="AH5375">
        <v>65.998360000000005</v>
      </c>
      <c r="AI5375">
        <v>143.4143</v>
      </c>
      <c r="AJ5375">
        <v>10.56908</v>
      </c>
      <c r="AK5375">
        <v>83.560860000000005</v>
      </c>
    </row>
    <row r="5376" spans="1:37" x14ac:dyDescent="0.3">
      <c r="A5376">
        <v>5375</v>
      </c>
      <c r="B5376">
        <v>0</v>
      </c>
      <c r="C5376">
        <v>24.352399999999999</v>
      </c>
      <c r="D5376">
        <v>-17.548200000000001</v>
      </c>
      <c r="E5376" t="s">
        <v>8648</v>
      </c>
      <c r="F5376" t="s">
        <v>8651</v>
      </c>
      <c r="G5376" t="s">
        <v>8603</v>
      </c>
      <c r="H5376">
        <v>1977</v>
      </c>
      <c r="I5376">
        <v>21.4</v>
      </c>
      <c r="J5376">
        <v>16.600000000000001</v>
      </c>
      <c r="K5376">
        <v>54</v>
      </c>
      <c r="L5376">
        <v>37.44</v>
      </c>
      <c r="M5376">
        <v>35</v>
      </c>
      <c r="N5376">
        <v>4.4000000000000004</v>
      </c>
      <c r="O5376">
        <v>30.6</v>
      </c>
      <c r="P5376">
        <v>24.1</v>
      </c>
      <c r="Q5376">
        <v>15.9</v>
      </c>
      <c r="R5376">
        <v>25.2</v>
      </c>
      <c r="S5376">
        <v>15.9</v>
      </c>
      <c r="T5376">
        <v>675</v>
      </c>
      <c r="U5376">
        <v>160</v>
      </c>
      <c r="V5376">
        <v>0</v>
      </c>
      <c r="W5376">
        <v>111</v>
      </c>
      <c r="X5376">
        <v>463</v>
      </c>
      <c r="Y5376">
        <v>1</v>
      </c>
      <c r="Z5376">
        <v>242</v>
      </c>
      <c r="AA5376">
        <v>1</v>
      </c>
      <c r="AB5376">
        <v>0.74622409999999995</v>
      </c>
      <c r="AC5376">
        <v>0.1913909</v>
      </c>
      <c r="AD5376">
        <v>0.81658730000000002</v>
      </c>
      <c r="AE5376">
        <v>0.29162179999999999</v>
      </c>
      <c r="AF5376">
        <v>939.65129999999999</v>
      </c>
      <c r="AG5376">
        <f>IFERROR(AH5376*0.1, "N/A")</f>
        <v>6.5998360000000007</v>
      </c>
      <c r="AH5376">
        <v>65.998360000000005</v>
      </c>
      <c r="AI5376">
        <v>143.4143</v>
      </c>
      <c r="AJ5376">
        <v>10.56908</v>
      </c>
      <c r="AK5376">
        <v>83.560860000000005</v>
      </c>
    </row>
    <row r="5377" spans="1:37" x14ac:dyDescent="0.3">
      <c r="A5377">
        <v>5376</v>
      </c>
      <c r="B5377">
        <v>21.1</v>
      </c>
      <c r="C5377">
        <v>24.275600000000001</v>
      </c>
      <c r="D5377">
        <v>-17.507200000000001</v>
      </c>
      <c r="E5377" t="s">
        <v>8652</v>
      </c>
      <c r="F5377" t="s">
        <v>8653</v>
      </c>
      <c r="G5377" t="s">
        <v>39</v>
      </c>
      <c r="H5377">
        <v>1967</v>
      </c>
      <c r="I5377">
        <v>21.3</v>
      </c>
      <c r="J5377">
        <v>16.600000000000001</v>
      </c>
      <c r="K5377">
        <v>53</v>
      </c>
      <c r="L5377">
        <v>38.08531</v>
      </c>
      <c r="M5377">
        <v>34.9</v>
      </c>
      <c r="N5377">
        <v>4.015625</v>
      </c>
      <c r="O5377">
        <v>30.884370000000001</v>
      </c>
      <c r="P5377">
        <v>24.115629999999999</v>
      </c>
      <c r="Q5377">
        <v>15.7</v>
      </c>
      <c r="R5377">
        <v>25</v>
      </c>
      <c r="S5377">
        <v>15.7</v>
      </c>
      <c r="T5377">
        <v>684.3125</v>
      </c>
      <c r="U5377">
        <v>162</v>
      </c>
      <c r="V5377">
        <v>0</v>
      </c>
      <c r="W5377">
        <v>111</v>
      </c>
      <c r="X5377">
        <v>471.3125</v>
      </c>
      <c r="Y5377">
        <v>1</v>
      </c>
      <c r="Z5377">
        <v>244.15620000000001</v>
      </c>
      <c r="AA5377">
        <v>1</v>
      </c>
      <c r="AB5377">
        <v>3.5434329999999998</v>
      </c>
      <c r="AC5377">
        <v>2.0170259999999999E-2</v>
      </c>
      <c r="AD5377">
        <v>0.85231389999999996</v>
      </c>
      <c r="AE5377">
        <v>0.73116650000000005</v>
      </c>
      <c r="AF5377">
        <v>944.27629999999999</v>
      </c>
      <c r="AG5377">
        <f>IFERROR(AH5377*0.1, "N/A")</f>
        <v>7.7449010000000005</v>
      </c>
      <c r="AH5377">
        <v>77.449010000000001</v>
      </c>
      <c r="AI5377">
        <v>236.05099999999999</v>
      </c>
      <c r="AJ5377">
        <v>16.78783</v>
      </c>
      <c r="AK5377">
        <v>71.379930000000002</v>
      </c>
    </row>
    <row r="5378" spans="1:37" x14ac:dyDescent="0.3">
      <c r="A5378">
        <v>5377</v>
      </c>
      <c r="B5378">
        <v>1.1000000000000001</v>
      </c>
      <c r="C5378">
        <v>24.275600000000001</v>
      </c>
      <c r="D5378">
        <v>-17.507200000000001</v>
      </c>
      <c r="E5378" t="s">
        <v>8652</v>
      </c>
      <c r="F5378" t="s">
        <v>8654</v>
      </c>
      <c r="G5378" t="s">
        <v>37</v>
      </c>
      <c r="H5378">
        <v>1967</v>
      </c>
      <c r="I5378">
        <v>21.3</v>
      </c>
      <c r="J5378">
        <v>16.600000000000001</v>
      </c>
      <c r="K5378">
        <v>53</v>
      </c>
      <c r="L5378">
        <v>38.08531</v>
      </c>
      <c r="M5378">
        <v>34.9</v>
      </c>
      <c r="N5378">
        <v>4.015625</v>
      </c>
      <c r="O5378">
        <v>30.884370000000001</v>
      </c>
      <c r="P5378">
        <v>24.115629999999999</v>
      </c>
      <c r="Q5378">
        <v>15.7</v>
      </c>
      <c r="R5378">
        <v>25</v>
      </c>
      <c r="S5378">
        <v>15.7</v>
      </c>
      <c r="T5378">
        <v>684.3125</v>
      </c>
      <c r="U5378">
        <v>162</v>
      </c>
      <c r="V5378">
        <v>0</v>
      </c>
      <c r="W5378">
        <v>111</v>
      </c>
      <c r="X5378">
        <v>471.3125</v>
      </c>
      <c r="Y5378">
        <v>1</v>
      </c>
      <c r="Z5378">
        <v>244.15620000000001</v>
      </c>
      <c r="AA5378">
        <v>1</v>
      </c>
      <c r="AB5378">
        <v>3.5434329999999998</v>
      </c>
      <c r="AC5378">
        <v>2.0170259999999999E-2</v>
      </c>
      <c r="AD5378">
        <v>0.85231389999999996</v>
      </c>
      <c r="AE5378">
        <v>0.73116650000000005</v>
      </c>
      <c r="AF5378">
        <v>944.27629999999999</v>
      </c>
      <c r="AG5378">
        <f>IFERROR(AH5378*0.1, "N/A")</f>
        <v>7.7449010000000005</v>
      </c>
      <c r="AH5378">
        <v>77.449010000000001</v>
      </c>
      <c r="AI5378">
        <v>236.05099999999999</v>
      </c>
      <c r="AJ5378">
        <v>16.78783</v>
      </c>
      <c r="AK5378">
        <v>71.379930000000002</v>
      </c>
    </row>
    <row r="5379" spans="1:37" x14ac:dyDescent="0.3">
      <c r="A5379">
        <v>5378</v>
      </c>
      <c r="B5379">
        <v>0</v>
      </c>
      <c r="C5379">
        <v>15.867599999999999</v>
      </c>
      <c r="D5379">
        <v>-17.445900000000002</v>
      </c>
      <c r="E5379" t="s">
        <v>8655</v>
      </c>
      <c r="F5379" t="s">
        <v>8656</v>
      </c>
      <c r="G5379" t="s">
        <v>39</v>
      </c>
      <c r="H5379">
        <v>1967</v>
      </c>
      <c r="I5379">
        <v>22.604620000000001</v>
      </c>
      <c r="J5379">
        <v>16.504619999999999</v>
      </c>
      <c r="K5379">
        <v>58</v>
      </c>
      <c r="L5379">
        <v>32.304160000000003</v>
      </c>
      <c r="M5379">
        <v>34.700000000000003</v>
      </c>
      <c r="N5379">
        <v>6.4</v>
      </c>
      <c r="O5379">
        <v>28.3</v>
      </c>
      <c r="P5379">
        <v>24.6</v>
      </c>
      <c r="Q5379">
        <v>17.7</v>
      </c>
      <c r="R5379">
        <v>25.7</v>
      </c>
      <c r="S5379">
        <v>17.7</v>
      </c>
      <c r="T5379">
        <v>551</v>
      </c>
      <c r="U5379">
        <v>133</v>
      </c>
      <c r="V5379">
        <v>0</v>
      </c>
      <c r="W5379">
        <v>108</v>
      </c>
      <c r="X5379">
        <v>364</v>
      </c>
      <c r="Y5379">
        <v>0</v>
      </c>
      <c r="Z5379">
        <v>145</v>
      </c>
      <c r="AA5379">
        <v>0</v>
      </c>
      <c r="AB5379">
        <v>2.1130499999999999</v>
      </c>
      <c r="AC5379">
        <v>9.8994789999999992E-3</v>
      </c>
      <c r="AD5379">
        <v>1.62442</v>
      </c>
      <c r="AE5379">
        <v>0.7121208</v>
      </c>
      <c r="AF5379">
        <v>1109.8050000000001</v>
      </c>
      <c r="AG5379">
        <f>IFERROR(AH5379*0.1, "N/A")</f>
        <v>6.7415840000000005</v>
      </c>
      <c r="AH5379">
        <v>67.415840000000003</v>
      </c>
      <c r="AI5379">
        <v>161.08920000000001</v>
      </c>
      <c r="AJ5379">
        <v>15.67657</v>
      </c>
      <c r="AK5379">
        <v>80.323430000000002</v>
      </c>
    </row>
    <row r="5380" spans="1:37" x14ac:dyDescent="0.3">
      <c r="A5380">
        <v>5379</v>
      </c>
      <c r="B5380">
        <v>0</v>
      </c>
      <c r="C5380">
        <v>15.867599999999999</v>
      </c>
      <c r="D5380">
        <v>-17.445900000000002</v>
      </c>
      <c r="E5380" t="s">
        <v>8655</v>
      </c>
      <c r="F5380" t="s">
        <v>8657</v>
      </c>
      <c r="G5380" t="s">
        <v>37</v>
      </c>
      <c r="H5380">
        <v>1967</v>
      </c>
      <c r="I5380">
        <v>22.604620000000001</v>
      </c>
      <c r="J5380">
        <v>16.504619999999999</v>
      </c>
      <c r="K5380">
        <v>58</v>
      </c>
      <c r="L5380">
        <v>32.304160000000003</v>
      </c>
      <c r="M5380">
        <v>34.700000000000003</v>
      </c>
      <c r="N5380">
        <v>6.4</v>
      </c>
      <c r="O5380">
        <v>28.3</v>
      </c>
      <c r="P5380">
        <v>24.6</v>
      </c>
      <c r="Q5380">
        <v>17.7</v>
      </c>
      <c r="R5380">
        <v>25.7</v>
      </c>
      <c r="S5380">
        <v>17.7</v>
      </c>
      <c r="T5380">
        <v>551</v>
      </c>
      <c r="U5380">
        <v>133</v>
      </c>
      <c r="V5380">
        <v>0</v>
      </c>
      <c r="W5380">
        <v>108</v>
      </c>
      <c r="X5380">
        <v>364</v>
      </c>
      <c r="Y5380">
        <v>0</v>
      </c>
      <c r="Z5380">
        <v>145</v>
      </c>
      <c r="AA5380">
        <v>0</v>
      </c>
      <c r="AB5380">
        <v>2.1130499999999999</v>
      </c>
      <c r="AC5380">
        <v>9.8994789999999992E-3</v>
      </c>
      <c r="AD5380">
        <v>1.62442</v>
      </c>
      <c r="AE5380">
        <v>0.7121208</v>
      </c>
      <c r="AF5380">
        <v>1109.8050000000001</v>
      </c>
      <c r="AG5380">
        <f>IFERROR(AH5380*0.1, "N/A")</f>
        <v>6.7415840000000005</v>
      </c>
      <c r="AH5380">
        <v>67.415840000000003</v>
      </c>
      <c r="AI5380">
        <v>161.08920000000001</v>
      </c>
      <c r="AJ5380">
        <v>15.67657</v>
      </c>
      <c r="AK5380">
        <v>80.323430000000002</v>
      </c>
    </row>
    <row r="5381" spans="1:37" x14ac:dyDescent="0.3">
      <c r="A5381">
        <v>5380</v>
      </c>
      <c r="B5381">
        <v>0.6</v>
      </c>
      <c r="C5381">
        <v>32.583500000000001</v>
      </c>
      <c r="D5381">
        <v>-25.9666</v>
      </c>
      <c r="E5381" t="s">
        <v>8658</v>
      </c>
      <c r="F5381" t="s">
        <v>8659</v>
      </c>
      <c r="G5381" t="s">
        <v>39</v>
      </c>
      <c r="H5381">
        <v>1954</v>
      </c>
      <c r="I5381">
        <v>22.660209999999999</v>
      </c>
      <c r="J5381">
        <v>10.363390000000001</v>
      </c>
      <c r="K5381">
        <v>57</v>
      </c>
      <c r="L5381">
        <v>25.536190000000001</v>
      </c>
      <c r="M5381">
        <v>30.638120000000001</v>
      </c>
      <c r="N5381">
        <v>12.53661</v>
      </c>
      <c r="O5381">
        <v>18.101510000000001</v>
      </c>
      <c r="P5381">
        <v>25.638120000000001</v>
      </c>
      <c r="Q5381">
        <v>19.03661</v>
      </c>
      <c r="R5381">
        <v>25.638120000000001</v>
      </c>
      <c r="S5381">
        <v>19.03661</v>
      </c>
      <c r="T5381">
        <v>788.9864</v>
      </c>
      <c r="U5381">
        <v>160</v>
      </c>
      <c r="V5381">
        <v>16</v>
      </c>
      <c r="W5381">
        <v>67.854770000000002</v>
      </c>
      <c r="X5381">
        <v>386.36610000000002</v>
      </c>
      <c r="Y5381">
        <v>53.237520000000004</v>
      </c>
      <c r="Z5381">
        <v>386.36610000000002</v>
      </c>
      <c r="AA5381">
        <v>53.237520000000004</v>
      </c>
      <c r="AB5381">
        <v>28.897580000000001</v>
      </c>
      <c r="AC5381">
        <v>1.1369020000000001E-2</v>
      </c>
      <c r="AD5381">
        <v>2.2162739999999999</v>
      </c>
      <c r="AE5381">
        <v>0.92857869999999998</v>
      </c>
      <c r="AF5381">
        <v>69.962180000000004</v>
      </c>
      <c r="AG5381">
        <f>IFERROR(AH5381*0.1, "N/A")</f>
        <v>7.0633889999999999</v>
      </c>
      <c r="AH5381">
        <v>70.633889999999994</v>
      </c>
      <c r="AI5381">
        <v>103.9248</v>
      </c>
      <c r="AJ5381">
        <v>28.642969999999998</v>
      </c>
      <c r="AK5381">
        <v>54.624809999999997</v>
      </c>
    </row>
    <row r="5382" spans="1:37" x14ac:dyDescent="0.3">
      <c r="A5382">
        <v>5381</v>
      </c>
      <c r="B5382">
        <v>4</v>
      </c>
      <c r="C5382">
        <v>32.583500000000001</v>
      </c>
      <c r="D5382">
        <v>-25.9666</v>
      </c>
      <c r="E5382" t="s">
        <v>8658</v>
      </c>
      <c r="F5382" t="s">
        <v>8660</v>
      </c>
      <c r="G5382" t="s">
        <v>37</v>
      </c>
      <c r="H5382">
        <v>1954</v>
      </c>
      <c r="I5382">
        <v>22.660209999999999</v>
      </c>
      <c r="J5382">
        <v>10.363390000000001</v>
      </c>
      <c r="K5382">
        <v>57</v>
      </c>
      <c r="L5382">
        <v>25.536190000000001</v>
      </c>
      <c r="M5382">
        <v>30.638120000000001</v>
      </c>
      <c r="N5382">
        <v>12.53661</v>
      </c>
      <c r="O5382">
        <v>18.101510000000001</v>
      </c>
      <c r="P5382">
        <v>25.638120000000001</v>
      </c>
      <c r="Q5382">
        <v>19.03661</v>
      </c>
      <c r="R5382">
        <v>25.638120000000001</v>
      </c>
      <c r="S5382">
        <v>19.03661</v>
      </c>
      <c r="T5382">
        <v>788.9864</v>
      </c>
      <c r="U5382">
        <v>160</v>
      </c>
      <c r="V5382">
        <v>16</v>
      </c>
      <c r="W5382">
        <v>67.854770000000002</v>
      </c>
      <c r="X5382">
        <v>386.36610000000002</v>
      </c>
      <c r="Y5382">
        <v>53.237520000000004</v>
      </c>
      <c r="Z5382">
        <v>386.36610000000002</v>
      </c>
      <c r="AA5382">
        <v>53.237520000000004</v>
      </c>
      <c r="AB5382">
        <v>28.897580000000001</v>
      </c>
      <c r="AC5382">
        <v>1.1369020000000001E-2</v>
      </c>
      <c r="AD5382">
        <v>2.2162739999999999</v>
      </c>
      <c r="AE5382">
        <v>0.92857869999999998</v>
      </c>
      <c r="AF5382">
        <v>69.962180000000004</v>
      </c>
      <c r="AG5382">
        <f>IFERROR(AH5382*0.1, "N/A")</f>
        <v>7.0633889999999999</v>
      </c>
      <c r="AH5382">
        <v>70.633889999999994</v>
      </c>
      <c r="AI5382">
        <v>103.9248</v>
      </c>
      <c r="AJ5382">
        <v>28.642969999999998</v>
      </c>
      <c r="AK5382">
        <v>54.624809999999997</v>
      </c>
    </row>
    <row r="5383" spans="1:37" x14ac:dyDescent="0.3">
      <c r="A5383">
        <v>5382</v>
      </c>
      <c r="B5383">
        <v>0.6</v>
      </c>
      <c r="C5383">
        <v>32.583500000000001</v>
      </c>
      <c r="D5383">
        <v>-25.9666</v>
      </c>
      <c r="E5383" t="s">
        <v>8658</v>
      </c>
      <c r="F5383" t="s">
        <v>8661</v>
      </c>
      <c r="G5383" t="s">
        <v>5859</v>
      </c>
      <c r="H5383">
        <v>1954</v>
      </c>
      <c r="I5383">
        <v>22.660209999999999</v>
      </c>
      <c r="J5383">
        <v>10.363390000000001</v>
      </c>
      <c r="K5383">
        <v>57</v>
      </c>
      <c r="L5383">
        <v>25.536190000000001</v>
      </c>
      <c r="M5383">
        <v>30.638120000000001</v>
      </c>
      <c r="N5383">
        <v>12.53661</v>
      </c>
      <c r="O5383">
        <v>18.101510000000001</v>
      </c>
      <c r="P5383">
        <v>25.638120000000001</v>
      </c>
      <c r="Q5383">
        <v>19.03661</v>
      </c>
      <c r="R5383">
        <v>25.638120000000001</v>
      </c>
      <c r="S5383">
        <v>19.03661</v>
      </c>
      <c r="T5383">
        <v>788.9864</v>
      </c>
      <c r="U5383">
        <v>160</v>
      </c>
      <c r="V5383">
        <v>16</v>
      </c>
      <c r="W5383">
        <v>67.854770000000002</v>
      </c>
      <c r="X5383">
        <v>386.36610000000002</v>
      </c>
      <c r="Y5383">
        <v>53.237520000000004</v>
      </c>
      <c r="Z5383">
        <v>386.36610000000002</v>
      </c>
      <c r="AA5383">
        <v>53.237520000000004</v>
      </c>
      <c r="AB5383">
        <v>28.897580000000001</v>
      </c>
      <c r="AC5383">
        <v>1.1369020000000001E-2</v>
      </c>
      <c r="AD5383">
        <v>2.2162739999999999</v>
      </c>
      <c r="AE5383">
        <v>0.92857869999999998</v>
      </c>
      <c r="AF5383">
        <v>69.962180000000004</v>
      </c>
      <c r="AG5383">
        <f>IFERROR(AH5383*0.1, "N/A")</f>
        <v>7.0633889999999999</v>
      </c>
      <c r="AH5383">
        <v>70.633889999999994</v>
      </c>
      <c r="AI5383">
        <v>103.9248</v>
      </c>
      <c r="AJ5383">
        <v>28.642969999999998</v>
      </c>
      <c r="AK5383">
        <v>54.624809999999997</v>
      </c>
    </row>
    <row r="5384" spans="1:37" x14ac:dyDescent="0.3">
      <c r="A5384">
        <v>5383</v>
      </c>
      <c r="B5384">
        <v>7.1</v>
      </c>
      <c r="C5384">
        <v>32.575600000000001</v>
      </c>
      <c r="D5384">
        <v>-25.946200000000001</v>
      </c>
      <c r="E5384" t="s">
        <v>8662</v>
      </c>
      <c r="F5384" t="s">
        <v>8663</v>
      </c>
      <c r="G5384" t="s">
        <v>39</v>
      </c>
      <c r="H5384">
        <v>2000</v>
      </c>
      <c r="I5384">
        <v>22.8</v>
      </c>
      <c r="J5384">
        <v>10.500299999999999</v>
      </c>
      <c r="K5384">
        <v>57</v>
      </c>
      <c r="L5384">
        <v>25.690370000000001</v>
      </c>
      <c r="M5384">
        <v>30.9</v>
      </c>
      <c r="N5384">
        <v>12.59939</v>
      </c>
      <c r="O5384">
        <v>18.300609999999999</v>
      </c>
      <c r="P5384">
        <v>25.8</v>
      </c>
      <c r="Q5384">
        <v>19.2</v>
      </c>
      <c r="R5384">
        <v>25.8</v>
      </c>
      <c r="S5384">
        <v>19.2</v>
      </c>
      <c r="T5384">
        <v>780.98479999999995</v>
      </c>
      <c r="U5384">
        <v>160</v>
      </c>
      <c r="V5384">
        <v>15</v>
      </c>
      <c r="W5384">
        <v>68.003050000000002</v>
      </c>
      <c r="X5384">
        <v>384.99700000000001</v>
      </c>
      <c r="Y5384">
        <v>51</v>
      </c>
      <c r="Z5384">
        <v>378.99700000000001</v>
      </c>
      <c r="AA5384">
        <v>51</v>
      </c>
      <c r="AB5384">
        <v>2.5121950000000002</v>
      </c>
      <c r="AC5384">
        <v>0.88388449999999996</v>
      </c>
      <c r="AD5384">
        <v>1.281315</v>
      </c>
      <c r="AE5384">
        <v>0.93650639999999996</v>
      </c>
      <c r="AF5384">
        <v>29.16921</v>
      </c>
      <c r="AG5384">
        <f>IFERROR(AH5384*0.1, "N/A")</f>
        <v>7.4</v>
      </c>
      <c r="AH5384">
        <v>74</v>
      </c>
      <c r="AI5384">
        <v>39.842359999999999</v>
      </c>
      <c r="AJ5384">
        <v>29.996949999999998</v>
      </c>
      <c r="AK5384">
        <v>53.003050000000002</v>
      </c>
    </row>
    <row r="5385" spans="1:37" x14ac:dyDescent="0.3">
      <c r="A5385">
        <v>5384</v>
      </c>
      <c r="B5385">
        <v>6.1</v>
      </c>
      <c r="C5385">
        <v>32.582099999999997</v>
      </c>
      <c r="D5385">
        <v>-25.933700000000002</v>
      </c>
      <c r="E5385" t="s">
        <v>8664</v>
      </c>
      <c r="F5385" t="s">
        <v>8665</v>
      </c>
      <c r="G5385" t="s">
        <v>39</v>
      </c>
      <c r="H5385">
        <v>2000</v>
      </c>
      <c r="I5385">
        <v>22.767119999999998</v>
      </c>
      <c r="J5385">
        <v>10.4</v>
      </c>
      <c r="K5385">
        <v>57</v>
      </c>
      <c r="L5385">
        <v>25.47315</v>
      </c>
      <c r="M5385">
        <v>30.732880000000002</v>
      </c>
      <c r="N5385">
        <v>12.6</v>
      </c>
      <c r="O5385">
        <v>18.13288</v>
      </c>
      <c r="P5385">
        <v>25.767119999999998</v>
      </c>
      <c r="Q5385">
        <v>19.167120000000001</v>
      </c>
      <c r="R5385">
        <v>25.767119999999998</v>
      </c>
      <c r="S5385">
        <v>19.167120000000001</v>
      </c>
      <c r="T5385">
        <v>785.97270000000003</v>
      </c>
      <c r="U5385">
        <v>161.3288</v>
      </c>
      <c r="V5385">
        <v>15.32879</v>
      </c>
      <c r="W5385">
        <v>68.328789999999998</v>
      </c>
      <c r="X5385">
        <v>388.9864</v>
      </c>
      <c r="Y5385">
        <v>51.328789999999998</v>
      </c>
      <c r="Z5385">
        <v>388.9864</v>
      </c>
      <c r="AA5385">
        <v>51.328789999999998</v>
      </c>
      <c r="AB5385">
        <v>6.2319699999999996</v>
      </c>
      <c r="AC5385">
        <v>4.5091319999999997E-2</v>
      </c>
      <c r="AD5385">
        <v>2.487107</v>
      </c>
      <c r="AE5385">
        <v>0.92356340000000003</v>
      </c>
      <c r="AF5385">
        <v>38.636360000000003</v>
      </c>
      <c r="AG5385">
        <f>IFERROR(AH5385*0.1, "N/A")</f>
        <v>7.0025760000000012</v>
      </c>
      <c r="AH5385">
        <v>70.025760000000005</v>
      </c>
      <c r="AI5385">
        <v>206.8057</v>
      </c>
      <c r="AJ5385">
        <v>30</v>
      </c>
      <c r="AK5385">
        <v>53</v>
      </c>
    </row>
    <row r="5386" spans="1:37" x14ac:dyDescent="0.3">
      <c r="A5386">
        <v>5385</v>
      </c>
      <c r="B5386">
        <v>43.7</v>
      </c>
      <c r="C5386">
        <v>32.500900000000001</v>
      </c>
      <c r="D5386">
        <v>-25.930800000000001</v>
      </c>
      <c r="E5386" t="s">
        <v>8666</v>
      </c>
      <c r="F5386" t="s">
        <v>8667</v>
      </c>
      <c r="G5386" t="s">
        <v>39</v>
      </c>
      <c r="H5386">
        <v>2009</v>
      </c>
      <c r="I5386">
        <v>22.9</v>
      </c>
      <c r="J5386">
        <v>11.303039999999999</v>
      </c>
      <c r="K5386">
        <v>57.030349999999999</v>
      </c>
      <c r="L5386">
        <v>27.227879999999999</v>
      </c>
      <c r="M5386">
        <v>31.3</v>
      </c>
      <c r="N5386">
        <v>11.8</v>
      </c>
      <c r="O5386">
        <v>19.5</v>
      </c>
      <c r="P5386">
        <v>26</v>
      </c>
      <c r="Q5386">
        <v>19.100000000000001</v>
      </c>
      <c r="R5386">
        <v>26.1</v>
      </c>
      <c r="S5386">
        <v>19.100000000000001</v>
      </c>
      <c r="T5386">
        <v>749.96969999999999</v>
      </c>
      <c r="U5386">
        <v>155</v>
      </c>
      <c r="V5386">
        <v>14</v>
      </c>
      <c r="W5386">
        <v>69</v>
      </c>
      <c r="X5386">
        <v>369</v>
      </c>
      <c r="Y5386">
        <v>46</v>
      </c>
      <c r="Z5386">
        <v>368.03030000000001</v>
      </c>
      <c r="AA5386">
        <v>46</v>
      </c>
      <c r="AB5386">
        <v>20.98968</v>
      </c>
      <c r="AC5386">
        <v>4.6563130000000001E-2</v>
      </c>
      <c r="AD5386">
        <v>2.0360429999999998</v>
      </c>
      <c r="AE5386">
        <v>0.93336529999999995</v>
      </c>
      <c r="AF5386">
        <v>27.59788</v>
      </c>
      <c r="AG5386">
        <f>IFERROR(AH5386*0.1, "N/A")</f>
        <v>7.1000000000000005</v>
      </c>
      <c r="AH5386">
        <v>71</v>
      </c>
      <c r="AI5386">
        <v>204.81649999999999</v>
      </c>
      <c r="AJ5386">
        <v>29</v>
      </c>
      <c r="AK5386">
        <v>58.030349999999999</v>
      </c>
    </row>
    <row r="5387" spans="1:37" x14ac:dyDescent="0.3">
      <c r="A5387">
        <v>5386</v>
      </c>
      <c r="B5387">
        <v>50.9</v>
      </c>
      <c r="C5387">
        <v>32.635800000000003</v>
      </c>
      <c r="D5387">
        <v>-25.924900000000001</v>
      </c>
      <c r="E5387" t="s">
        <v>8668</v>
      </c>
      <c r="F5387" t="s">
        <v>8669</v>
      </c>
      <c r="G5387" t="s">
        <v>39</v>
      </c>
      <c r="H5387">
        <v>2009</v>
      </c>
      <c r="I5387">
        <v>23</v>
      </c>
      <c r="J5387">
        <v>10.386990000000001</v>
      </c>
      <c r="K5387">
        <v>57</v>
      </c>
      <c r="L5387">
        <v>25.764869999999998</v>
      </c>
      <c r="M5387">
        <v>30.986989999999999</v>
      </c>
      <c r="N5387">
        <v>13</v>
      </c>
      <c r="O5387">
        <v>17.986989999999999</v>
      </c>
      <c r="P5387">
        <v>25.986989999999999</v>
      </c>
      <c r="Q5387">
        <v>19.399999999999999</v>
      </c>
      <c r="R5387">
        <v>25.986989999999999</v>
      </c>
      <c r="S5387">
        <v>19.399999999999999</v>
      </c>
      <c r="T5387">
        <v>790</v>
      </c>
      <c r="U5387">
        <v>156</v>
      </c>
      <c r="V5387">
        <v>16</v>
      </c>
      <c r="W5387">
        <v>66</v>
      </c>
      <c r="X5387">
        <v>384</v>
      </c>
      <c r="Y5387">
        <v>57</v>
      </c>
      <c r="Z5387">
        <v>384</v>
      </c>
      <c r="AA5387">
        <v>57</v>
      </c>
      <c r="AB5387">
        <v>3.2697430000000001</v>
      </c>
      <c r="AC5387">
        <v>1.141961E-2</v>
      </c>
      <c r="AD5387">
        <v>1.182936</v>
      </c>
      <c r="AE5387">
        <v>0.75782190000000005</v>
      </c>
      <c r="AF5387">
        <v>6.6701969999999999</v>
      </c>
      <c r="AG5387">
        <f>IFERROR(AH5387*0.1, "N/A")</f>
        <v>7.2397880000000008</v>
      </c>
      <c r="AH5387">
        <v>72.397880000000001</v>
      </c>
      <c r="AI5387">
        <v>196.65710000000001</v>
      </c>
      <c r="AJ5387">
        <v>24.956130000000002</v>
      </c>
      <c r="AK5387">
        <v>59.202719999999999</v>
      </c>
    </row>
    <row r="5388" spans="1:37" x14ac:dyDescent="0.3">
      <c r="A5388">
        <v>5387</v>
      </c>
      <c r="B5388">
        <v>64.2</v>
      </c>
      <c r="C5388">
        <v>32.633600000000001</v>
      </c>
      <c r="D5388">
        <v>-25.916899999999998</v>
      </c>
      <c r="E5388" t="s">
        <v>8670</v>
      </c>
      <c r="F5388" t="s">
        <v>8671</v>
      </c>
      <c r="G5388" t="s">
        <v>39</v>
      </c>
      <c r="H5388">
        <v>2009</v>
      </c>
      <c r="I5388">
        <v>23</v>
      </c>
      <c r="J5388">
        <v>10.4</v>
      </c>
      <c r="K5388">
        <v>57</v>
      </c>
      <c r="L5388">
        <v>25.789059999999999</v>
      </c>
      <c r="M5388">
        <v>31</v>
      </c>
      <c r="N5388">
        <v>13</v>
      </c>
      <c r="O5388">
        <v>18</v>
      </c>
      <c r="P5388">
        <v>26</v>
      </c>
      <c r="Q5388">
        <v>19.399999999999999</v>
      </c>
      <c r="R5388">
        <v>26</v>
      </c>
      <c r="S5388">
        <v>19.399999999999999</v>
      </c>
      <c r="T5388">
        <v>790.26790000000005</v>
      </c>
      <c r="U5388">
        <v>156</v>
      </c>
      <c r="V5388">
        <v>16</v>
      </c>
      <c r="W5388">
        <v>65.864540000000005</v>
      </c>
      <c r="X5388">
        <v>384.27089999999998</v>
      </c>
      <c r="Y5388">
        <v>56.863010000000003</v>
      </c>
      <c r="Z5388">
        <v>383.03809999999999</v>
      </c>
      <c r="AA5388">
        <v>56.863010000000003</v>
      </c>
      <c r="AB5388">
        <v>2.449163</v>
      </c>
      <c r="AC5388">
        <v>1.118511E-2</v>
      </c>
      <c r="AD5388">
        <v>0.93314569999999997</v>
      </c>
      <c r="AE5388">
        <v>0.75424270000000004</v>
      </c>
      <c r="AF5388">
        <v>7.4703200000000001</v>
      </c>
      <c r="AG5388">
        <f>IFERROR(AH5388*0.1, "N/A")</f>
        <v>6.7514460000000005</v>
      </c>
      <c r="AH5388">
        <v>67.51446</v>
      </c>
      <c r="AI5388">
        <v>232.07329999999999</v>
      </c>
      <c r="AJ5388">
        <v>24.246580000000002</v>
      </c>
      <c r="AK5388">
        <v>62.051749999999998</v>
      </c>
    </row>
    <row r="5389" spans="1:37" x14ac:dyDescent="0.3">
      <c r="A5389">
        <v>5388</v>
      </c>
      <c r="B5389">
        <v>20.5</v>
      </c>
      <c r="C5389">
        <v>32.610199999999999</v>
      </c>
      <c r="D5389">
        <v>-25.914999999999999</v>
      </c>
      <c r="E5389" t="s">
        <v>8672</v>
      </c>
      <c r="F5389" t="s">
        <v>8673</v>
      </c>
      <c r="G5389" t="s">
        <v>39</v>
      </c>
      <c r="H5389">
        <v>2000</v>
      </c>
      <c r="I5389">
        <v>22.8</v>
      </c>
      <c r="J5389">
        <v>10.3</v>
      </c>
      <c r="K5389">
        <v>57</v>
      </c>
      <c r="L5389">
        <v>25.58</v>
      </c>
      <c r="M5389">
        <v>30.7</v>
      </c>
      <c r="N5389">
        <v>12.9</v>
      </c>
      <c r="O5389">
        <v>17.8</v>
      </c>
      <c r="P5389">
        <v>25.8</v>
      </c>
      <c r="Q5389">
        <v>19.2</v>
      </c>
      <c r="R5389">
        <v>25.8</v>
      </c>
      <c r="S5389">
        <v>19.2</v>
      </c>
      <c r="T5389">
        <v>803</v>
      </c>
      <c r="U5389">
        <v>161</v>
      </c>
      <c r="V5389">
        <v>16</v>
      </c>
      <c r="W5389">
        <v>67</v>
      </c>
      <c r="X5389">
        <v>394</v>
      </c>
      <c r="Y5389">
        <v>55</v>
      </c>
      <c r="Z5389">
        <v>394</v>
      </c>
      <c r="AA5389">
        <v>55</v>
      </c>
      <c r="AB5389">
        <v>37.836840000000002</v>
      </c>
      <c r="AC5389">
        <v>1.161906E-2</v>
      </c>
      <c r="AD5389">
        <v>2.5617139999999998</v>
      </c>
      <c r="AE5389">
        <v>0.92291540000000005</v>
      </c>
      <c r="AF5389">
        <v>50.155250000000002</v>
      </c>
      <c r="AG5389">
        <f>IFERROR(AH5389*0.1, "N/A")</f>
        <v>7.1196349999999997</v>
      </c>
      <c r="AH5389">
        <v>71.196349999999995</v>
      </c>
      <c r="AI5389">
        <v>129.63929999999999</v>
      </c>
      <c r="AJ5389">
        <v>25.891929999999999</v>
      </c>
      <c r="AK5389">
        <v>60.704720000000002</v>
      </c>
    </row>
    <row r="5390" spans="1:37" x14ac:dyDescent="0.3">
      <c r="A5390">
        <v>5389</v>
      </c>
      <c r="B5390">
        <v>52.9</v>
      </c>
      <c r="C5390">
        <v>32.4861</v>
      </c>
      <c r="D5390">
        <v>-25.898599999999998</v>
      </c>
      <c r="E5390" t="s">
        <v>8674</v>
      </c>
      <c r="F5390" t="s">
        <v>8675</v>
      </c>
      <c r="G5390" t="s">
        <v>39</v>
      </c>
      <c r="H5390">
        <v>2009</v>
      </c>
      <c r="I5390">
        <v>23</v>
      </c>
      <c r="J5390">
        <v>11.5</v>
      </c>
      <c r="K5390">
        <v>59</v>
      </c>
      <c r="L5390">
        <v>26.98</v>
      </c>
      <c r="M5390">
        <v>31.3</v>
      </c>
      <c r="N5390">
        <v>11.9</v>
      </c>
      <c r="O5390">
        <v>19.399999999999999</v>
      </c>
      <c r="P5390">
        <v>26</v>
      </c>
      <c r="Q5390">
        <v>19.100000000000001</v>
      </c>
      <c r="R5390">
        <v>26.1</v>
      </c>
      <c r="S5390">
        <v>19.100000000000001</v>
      </c>
      <c r="T5390">
        <v>752</v>
      </c>
      <c r="U5390">
        <v>155</v>
      </c>
      <c r="V5390">
        <v>14</v>
      </c>
      <c r="W5390">
        <v>70</v>
      </c>
      <c r="X5390">
        <v>371</v>
      </c>
      <c r="Y5390">
        <v>46</v>
      </c>
      <c r="Z5390">
        <v>369</v>
      </c>
      <c r="AA5390">
        <v>46</v>
      </c>
      <c r="AB5390">
        <v>1.7337910000000001</v>
      </c>
      <c r="AC5390">
        <v>3.1614080000000003E-2</v>
      </c>
      <c r="AD5390">
        <v>1.78017</v>
      </c>
      <c r="AE5390">
        <v>0.86882910000000002</v>
      </c>
      <c r="AF5390">
        <v>35.80518</v>
      </c>
      <c r="AG5390">
        <f>IFERROR(AH5390*0.1, "N/A")</f>
        <v>6.6447490000000009</v>
      </c>
      <c r="AH5390">
        <v>66.447490000000002</v>
      </c>
      <c r="AI5390">
        <v>197.8424</v>
      </c>
      <c r="AJ5390">
        <v>25.34703</v>
      </c>
      <c r="AK5390">
        <v>61.324199999999998</v>
      </c>
    </row>
    <row r="5391" spans="1:37" x14ac:dyDescent="0.3">
      <c r="A5391">
        <v>5390</v>
      </c>
      <c r="B5391">
        <v>0.9</v>
      </c>
      <c r="C5391">
        <v>32.674300000000002</v>
      </c>
      <c r="D5391">
        <v>-25.7393</v>
      </c>
      <c r="E5391" t="s">
        <v>8676</v>
      </c>
      <c r="F5391" t="s">
        <v>8677</v>
      </c>
      <c r="G5391" t="s">
        <v>39</v>
      </c>
      <c r="H5391">
        <v>1954</v>
      </c>
      <c r="I5391">
        <v>23.3</v>
      </c>
      <c r="J5391">
        <v>11</v>
      </c>
      <c r="K5391">
        <v>62</v>
      </c>
      <c r="L5391">
        <v>23.99</v>
      </c>
      <c r="M5391">
        <v>31.2</v>
      </c>
      <c r="N5391">
        <v>13.5</v>
      </c>
      <c r="O5391">
        <v>17.7</v>
      </c>
      <c r="P5391">
        <v>26</v>
      </c>
      <c r="Q5391">
        <v>19.899999999999999</v>
      </c>
      <c r="R5391">
        <v>26</v>
      </c>
      <c r="S5391">
        <v>19.899999999999999</v>
      </c>
      <c r="T5391">
        <v>817</v>
      </c>
      <c r="U5391">
        <v>141</v>
      </c>
      <c r="V5391">
        <v>19</v>
      </c>
      <c r="W5391">
        <v>61</v>
      </c>
      <c r="X5391">
        <v>387</v>
      </c>
      <c r="Y5391">
        <v>63</v>
      </c>
      <c r="Z5391">
        <v>368</v>
      </c>
      <c r="AA5391">
        <v>63</v>
      </c>
      <c r="AB5391">
        <v>14.0915</v>
      </c>
      <c r="AC5391">
        <v>6.8997320000000001E-2</v>
      </c>
      <c r="AD5391">
        <v>1.4598340000000001</v>
      </c>
      <c r="AE5391">
        <v>0.72703059999999997</v>
      </c>
      <c r="AF5391">
        <v>30.77542</v>
      </c>
      <c r="AG5391">
        <f>IFERROR(AH5391*0.1, "N/A")</f>
        <v>6.5984830000000008</v>
      </c>
      <c r="AH5391">
        <v>65.984830000000002</v>
      </c>
      <c r="AI5391">
        <v>86.68186</v>
      </c>
      <c r="AJ5391">
        <v>15.984830000000001</v>
      </c>
      <c r="AK5391">
        <v>76.984830000000002</v>
      </c>
    </row>
    <row r="5392" spans="1:37" x14ac:dyDescent="0.3">
      <c r="A5392">
        <v>5391</v>
      </c>
      <c r="B5392">
        <v>1.9</v>
      </c>
      <c r="C5392">
        <v>32.674300000000002</v>
      </c>
      <c r="D5392">
        <v>-25.7393</v>
      </c>
      <c r="E5392" t="s">
        <v>8676</v>
      </c>
      <c r="F5392" t="s">
        <v>8678</v>
      </c>
      <c r="G5392" t="s">
        <v>37</v>
      </c>
      <c r="H5392">
        <v>1954</v>
      </c>
      <c r="I5392">
        <v>23.3</v>
      </c>
      <c r="J5392">
        <v>11</v>
      </c>
      <c r="K5392">
        <v>62</v>
      </c>
      <c r="L5392">
        <v>23.99</v>
      </c>
      <c r="M5392">
        <v>31.2</v>
      </c>
      <c r="N5392">
        <v>13.5</v>
      </c>
      <c r="O5392">
        <v>17.7</v>
      </c>
      <c r="P5392">
        <v>26</v>
      </c>
      <c r="Q5392">
        <v>19.899999999999999</v>
      </c>
      <c r="R5392">
        <v>26</v>
      </c>
      <c r="S5392">
        <v>19.899999999999999</v>
      </c>
      <c r="T5392">
        <v>817</v>
      </c>
      <c r="U5392">
        <v>141</v>
      </c>
      <c r="V5392">
        <v>19</v>
      </c>
      <c r="W5392">
        <v>61</v>
      </c>
      <c r="X5392">
        <v>387</v>
      </c>
      <c r="Y5392">
        <v>63</v>
      </c>
      <c r="Z5392">
        <v>368</v>
      </c>
      <c r="AA5392">
        <v>63</v>
      </c>
      <c r="AB5392">
        <v>14.0915</v>
      </c>
      <c r="AC5392">
        <v>6.8997320000000001E-2</v>
      </c>
      <c r="AD5392">
        <v>1.4598340000000001</v>
      </c>
      <c r="AE5392">
        <v>0.72703059999999997</v>
      </c>
      <c r="AF5392">
        <v>30.77542</v>
      </c>
      <c r="AG5392">
        <f>IFERROR(AH5392*0.1, "N/A")</f>
        <v>6.5984830000000008</v>
      </c>
      <c r="AH5392">
        <v>65.984830000000002</v>
      </c>
      <c r="AI5392">
        <v>86.68186</v>
      </c>
      <c r="AJ5392">
        <v>15.984830000000001</v>
      </c>
      <c r="AK5392">
        <v>76.984830000000002</v>
      </c>
    </row>
    <row r="5393" spans="1:37" x14ac:dyDescent="0.3">
      <c r="A5393">
        <v>5392</v>
      </c>
      <c r="B5393">
        <v>61.8</v>
      </c>
      <c r="C5393">
        <v>32.676400000000001</v>
      </c>
      <c r="D5393">
        <v>-25.736899999999999</v>
      </c>
      <c r="E5393" t="s">
        <v>8679</v>
      </c>
      <c r="F5393" t="s">
        <v>8680</v>
      </c>
      <c r="G5393" t="s">
        <v>39</v>
      </c>
      <c r="H5393">
        <v>1998</v>
      </c>
      <c r="I5393">
        <v>23.5</v>
      </c>
      <c r="J5393">
        <v>11.1</v>
      </c>
      <c r="K5393">
        <v>61</v>
      </c>
      <c r="L5393">
        <v>24.76</v>
      </c>
      <c r="M5393">
        <v>31.5</v>
      </c>
      <c r="N5393">
        <v>13.5</v>
      </c>
      <c r="O5393">
        <v>18</v>
      </c>
      <c r="P5393">
        <v>26.2</v>
      </c>
      <c r="Q5393">
        <v>20</v>
      </c>
      <c r="R5393">
        <v>26.3</v>
      </c>
      <c r="S5393">
        <v>20</v>
      </c>
      <c r="T5393">
        <v>802</v>
      </c>
      <c r="U5393">
        <v>138</v>
      </c>
      <c r="V5393">
        <v>18</v>
      </c>
      <c r="W5393">
        <v>62</v>
      </c>
      <c r="X5393">
        <v>380</v>
      </c>
      <c r="Y5393">
        <v>62</v>
      </c>
      <c r="Z5393">
        <v>360</v>
      </c>
      <c r="AA5393">
        <v>62</v>
      </c>
      <c r="AB5393">
        <v>25.292390000000001</v>
      </c>
      <c r="AC5393">
        <v>0.1096131</v>
      </c>
      <c r="AD5393">
        <v>5.6911620000000003</v>
      </c>
      <c r="AE5393">
        <v>0.60298070000000004</v>
      </c>
      <c r="AF5393">
        <v>26.554030000000001</v>
      </c>
      <c r="AG5393">
        <f>IFERROR(AH5393*0.1, "N/A")</f>
        <v>6.3000000000000007</v>
      </c>
      <c r="AH5393">
        <v>63</v>
      </c>
      <c r="AI5393">
        <v>102.8634</v>
      </c>
      <c r="AJ5393">
        <v>19</v>
      </c>
      <c r="AK5393">
        <v>73</v>
      </c>
    </row>
    <row r="5394" spans="1:37" x14ac:dyDescent="0.3">
      <c r="A5394">
        <v>5393</v>
      </c>
      <c r="B5394">
        <v>0.9</v>
      </c>
      <c r="C5394">
        <v>32.807200000000002</v>
      </c>
      <c r="D5394">
        <v>-25.405100000000001</v>
      </c>
      <c r="E5394" t="s">
        <v>8681</v>
      </c>
      <c r="F5394" t="s">
        <v>8682</v>
      </c>
      <c r="G5394" t="s">
        <v>39</v>
      </c>
      <c r="H5394">
        <v>1954</v>
      </c>
      <c r="I5394">
        <v>23.1</v>
      </c>
      <c r="J5394">
        <v>12.3</v>
      </c>
      <c r="K5394">
        <v>64</v>
      </c>
      <c r="L5394">
        <v>24.1</v>
      </c>
      <c r="M5394">
        <v>31.8</v>
      </c>
      <c r="N5394">
        <v>12.8</v>
      </c>
      <c r="O5394">
        <v>19</v>
      </c>
      <c r="P5394">
        <v>25.5</v>
      </c>
      <c r="Q5394">
        <v>19.5</v>
      </c>
      <c r="R5394">
        <v>25.6</v>
      </c>
      <c r="S5394">
        <v>19.5</v>
      </c>
      <c r="T5394">
        <v>817</v>
      </c>
      <c r="U5394">
        <v>143</v>
      </c>
      <c r="V5394">
        <v>21</v>
      </c>
      <c r="W5394">
        <v>56</v>
      </c>
      <c r="X5394">
        <v>358</v>
      </c>
      <c r="Y5394">
        <v>70</v>
      </c>
      <c r="Z5394">
        <v>353</v>
      </c>
      <c r="AA5394">
        <v>70</v>
      </c>
      <c r="AB5394">
        <v>18.600460000000002</v>
      </c>
      <c r="AC5394">
        <v>1.329465E-2</v>
      </c>
      <c r="AD5394">
        <v>1.6984710000000001</v>
      </c>
      <c r="AE5394">
        <v>0.6814365</v>
      </c>
      <c r="AF5394">
        <v>43.051990000000004</v>
      </c>
      <c r="AG5394">
        <f>IFERROR(AH5394*0.1, "N/A")</f>
        <v>6.2311930000000002</v>
      </c>
      <c r="AH5394">
        <v>62.311929999999997</v>
      </c>
      <c r="AI5394">
        <v>247.67959999999999</v>
      </c>
      <c r="AJ5394">
        <v>19.883790000000001</v>
      </c>
      <c r="AK5394">
        <v>67.954130000000006</v>
      </c>
    </row>
    <row r="5395" spans="1:37" x14ac:dyDescent="0.3">
      <c r="A5395">
        <v>5394</v>
      </c>
      <c r="B5395">
        <v>13.5</v>
      </c>
      <c r="C5395">
        <v>32.807200000000002</v>
      </c>
      <c r="D5395">
        <v>-25.405100000000001</v>
      </c>
      <c r="E5395" t="s">
        <v>8681</v>
      </c>
      <c r="F5395" t="s">
        <v>8683</v>
      </c>
      <c r="G5395" t="s">
        <v>37</v>
      </c>
      <c r="H5395">
        <v>1954</v>
      </c>
      <c r="I5395">
        <v>23.1</v>
      </c>
      <c r="J5395">
        <v>12.3</v>
      </c>
      <c r="K5395">
        <v>64</v>
      </c>
      <c r="L5395">
        <v>24.1</v>
      </c>
      <c r="M5395">
        <v>31.8</v>
      </c>
      <c r="N5395">
        <v>12.8</v>
      </c>
      <c r="O5395">
        <v>19</v>
      </c>
      <c r="P5395">
        <v>25.5</v>
      </c>
      <c r="Q5395">
        <v>19.5</v>
      </c>
      <c r="R5395">
        <v>25.6</v>
      </c>
      <c r="S5395">
        <v>19.5</v>
      </c>
      <c r="T5395">
        <v>817</v>
      </c>
      <c r="U5395">
        <v>143</v>
      </c>
      <c r="V5395">
        <v>21</v>
      </c>
      <c r="W5395">
        <v>56</v>
      </c>
      <c r="X5395">
        <v>358</v>
      </c>
      <c r="Y5395">
        <v>70</v>
      </c>
      <c r="Z5395">
        <v>353</v>
      </c>
      <c r="AA5395">
        <v>70</v>
      </c>
      <c r="AB5395">
        <v>18.600460000000002</v>
      </c>
      <c r="AC5395">
        <v>1.329465E-2</v>
      </c>
      <c r="AD5395">
        <v>1.6984710000000001</v>
      </c>
      <c r="AE5395">
        <v>0.6814365</v>
      </c>
      <c r="AF5395">
        <v>43.051990000000004</v>
      </c>
      <c r="AG5395">
        <f>IFERROR(AH5395*0.1, "N/A")</f>
        <v>6.2311930000000002</v>
      </c>
      <c r="AH5395">
        <v>62.311929999999997</v>
      </c>
      <c r="AI5395">
        <v>247.67959999999999</v>
      </c>
      <c r="AJ5395">
        <v>19.883790000000001</v>
      </c>
      <c r="AK5395">
        <v>67.954130000000006</v>
      </c>
    </row>
    <row r="5396" spans="1:37" x14ac:dyDescent="0.3">
      <c r="A5396">
        <v>5395</v>
      </c>
      <c r="B5396">
        <v>0</v>
      </c>
      <c r="C5396">
        <v>32.245199999999997</v>
      </c>
      <c r="D5396">
        <v>-25.318899999999999</v>
      </c>
      <c r="E5396" t="s">
        <v>8684</v>
      </c>
      <c r="F5396" t="s">
        <v>8685</v>
      </c>
      <c r="G5396" t="s">
        <v>39</v>
      </c>
      <c r="H5396">
        <v>1954</v>
      </c>
      <c r="I5396">
        <v>23.5</v>
      </c>
      <c r="J5396">
        <v>13.9</v>
      </c>
      <c r="K5396">
        <v>60</v>
      </c>
      <c r="L5396">
        <v>30.77</v>
      </c>
      <c r="M5396">
        <v>33.4</v>
      </c>
      <c r="N5396">
        <v>10.4</v>
      </c>
      <c r="O5396">
        <v>23</v>
      </c>
      <c r="P5396">
        <v>26.9</v>
      </c>
      <c r="Q5396">
        <v>19.100000000000001</v>
      </c>
      <c r="R5396">
        <v>26.9</v>
      </c>
      <c r="S5396">
        <v>19.100000000000001</v>
      </c>
      <c r="T5396">
        <v>643</v>
      </c>
      <c r="U5396">
        <v>112</v>
      </c>
      <c r="V5396">
        <v>11</v>
      </c>
      <c r="W5396">
        <v>67</v>
      </c>
      <c r="X5396">
        <v>309</v>
      </c>
      <c r="Y5396">
        <v>39</v>
      </c>
      <c r="Z5396">
        <v>309</v>
      </c>
      <c r="AA5396">
        <v>39</v>
      </c>
      <c r="AB5396">
        <v>2.8238970000000001</v>
      </c>
      <c r="AC5396">
        <v>2.1678989999999999E-2</v>
      </c>
      <c r="AD5396">
        <v>1.8431200000000001</v>
      </c>
      <c r="AE5396">
        <v>0.35989480000000001</v>
      </c>
      <c r="AF5396">
        <v>60.981740000000002</v>
      </c>
      <c r="AG5396">
        <f>IFERROR(AH5396*0.1, "N/A")</f>
        <v>6.9948250000000005</v>
      </c>
      <c r="AH5396">
        <v>69.948250000000002</v>
      </c>
      <c r="AI5396">
        <v>178.7414</v>
      </c>
      <c r="AJ5396">
        <v>27.051749999999998</v>
      </c>
      <c r="AK5396">
        <v>58</v>
      </c>
    </row>
    <row r="5397" spans="1:37" x14ac:dyDescent="0.3">
      <c r="A5397">
        <v>5396</v>
      </c>
      <c r="B5397">
        <v>28.5</v>
      </c>
      <c r="C5397">
        <v>32.245199999999997</v>
      </c>
      <c r="D5397">
        <v>-25.318899999999999</v>
      </c>
      <c r="E5397" t="s">
        <v>8684</v>
      </c>
      <c r="F5397" t="s">
        <v>8686</v>
      </c>
      <c r="G5397" t="s">
        <v>37</v>
      </c>
      <c r="H5397">
        <v>1954</v>
      </c>
      <c r="I5397">
        <v>23.5</v>
      </c>
      <c r="J5397">
        <v>13.9</v>
      </c>
      <c r="K5397">
        <v>60</v>
      </c>
      <c r="L5397">
        <v>30.77</v>
      </c>
      <c r="M5397">
        <v>33.4</v>
      </c>
      <c r="N5397">
        <v>10.4</v>
      </c>
      <c r="O5397">
        <v>23</v>
      </c>
      <c r="P5397">
        <v>26.9</v>
      </c>
      <c r="Q5397">
        <v>19.100000000000001</v>
      </c>
      <c r="R5397">
        <v>26.9</v>
      </c>
      <c r="S5397">
        <v>19.100000000000001</v>
      </c>
      <c r="T5397">
        <v>643</v>
      </c>
      <c r="U5397">
        <v>112</v>
      </c>
      <c r="V5397">
        <v>11</v>
      </c>
      <c r="W5397">
        <v>67</v>
      </c>
      <c r="X5397">
        <v>309</v>
      </c>
      <c r="Y5397">
        <v>39</v>
      </c>
      <c r="Z5397">
        <v>309</v>
      </c>
      <c r="AA5397">
        <v>39</v>
      </c>
      <c r="AB5397">
        <v>2.8238970000000001</v>
      </c>
      <c r="AC5397">
        <v>2.1678989999999999E-2</v>
      </c>
      <c r="AD5397">
        <v>1.8431200000000001</v>
      </c>
      <c r="AE5397">
        <v>0.35989480000000001</v>
      </c>
      <c r="AF5397">
        <v>60.981740000000002</v>
      </c>
      <c r="AG5397">
        <f>IFERROR(AH5397*0.1, "N/A")</f>
        <v>6.9948250000000005</v>
      </c>
      <c r="AH5397">
        <v>69.948250000000002</v>
      </c>
      <c r="AI5397">
        <v>178.7414</v>
      </c>
      <c r="AJ5397">
        <v>27.051749999999998</v>
      </c>
      <c r="AK5397">
        <v>58</v>
      </c>
    </row>
    <row r="5398" spans="1:37" x14ac:dyDescent="0.3">
      <c r="A5398">
        <v>5397</v>
      </c>
      <c r="B5398">
        <v>0</v>
      </c>
      <c r="C5398">
        <v>33.192999999999998</v>
      </c>
      <c r="D5398">
        <v>-25.1646</v>
      </c>
      <c r="E5398" t="s">
        <v>8687</v>
      </c>
      <c r="F5398" t="s">
        <v>8688</v>
      </c>
      <c r="G5398" t="s">
        <v>39</v>
      </c>
      <c r="H5398">
        <v>1954</v>
      </c>
      <c r="I5398">
        <v>22.6</v>
      </c>
      <c r="J5398">
        <v>12.4</v>
      </c>
      <c r="K5398">
        <v>63</v>
      </c>
      <c r="L5398">
        <v>25.58</v>
      </c>
      <c r="M5398">
        <v>31.3</v>
      </c>
      <c r="N5398">
        <v>11.8</v>
      </c>
      <c r="O5398">
        <v>19.5</v>
      </c>
      <c r="P5398">
        <v>25.3</v>
      </c>
      <c r="Q5398">
        <v>19.8</v>
      </c>
      <c r="R5398">
        <v>25.3</v>
      </c>
      <c r="S5398">
        <v>18.8</v>
      </c>
      <c r="T5398">
        <v>914</v>
      </c>
      <c r="U5398">
        <v>163</v>
      </c>
      <c r="V5398">
        <v>28</v>
      </c>
      <c r="W5398">
        <v>52</v>
      </c>
      <c r="X5398">
        <v>396</v>
      </c>
      <c r="Y5398">
        <v>95</v>
      </c>
      <c r="Z5398">
        <v>396</v>
      </c>
      <c r="AA5398">
        <v>103</v>
      </c>
      <c r="AB5398">
        <v>6.8799989999999998</v>
      </c>
      <c r="AC5398">
        <v>2.0281919999999998E-2</v>
      </c>
      <c r="AD5398">
        <v>2.9213230000000001</v>
      </c>
      <c r="AE5398">
        <v>0.20123569999999999</v>
      </c>
      <c r="AF5398">
        <v>54.036639999999998</v>
      </c>
      <c r="AG5398">
        <f>IFERROR(AH5398*0.1, "N/A")</f>
        <v>5.8134350000000001</v>
      </c>
      <c r="AH5398">
        <v>58.134349999999998</v>
      </c>
      <c r="AI5398">
        <v>205.56190000000001</v>
      </c>
      <c r="AJ5398">
        <v>15.93282</v>
      </c>
      <c r="AK5398">
        <v>74.731300000000005</v>
      </c>
    </row>
    <row r="5399" spans="1:37" x14ac:dyDescent="0.3">
      <c r="A5399">
        <v>5398</v>
      </c>
      <c r="B5399">
        <v>7</v>
      </c>
      <c r="C5399">
        <v>33.192999999999998</v>
      </c>
      <c r="D5399">
        <v>-25.1646</v>
      </c>
      <c r="E5399" t="s">
        <v>8687</v>
      </c>
      <c r="F5399" t="s">
        <v>8689</v>
      </c>
      <c r="G5399" t="s">
        <v>37</v>
      </c>
      <c r="H5399">
        <v>1954</v>
      </c>
      <c r="I5399">
        <v>22.6</v>
      </c>
      <c r="J5399">
        <v>12.4</v>
      </c>
      <c r="K5399">
        <v>63</v>
      </c>
      <c r="L5399">
        <v>25.58</v>
      </c>
      <c r="M5399">
        <v>31.3</v>
      </c>
      <c r="N5399">
        <v>11.8</v>
      </c>
      <c r="O5399">
        <v>19.5</v>
      </c>
      <c r="P5399">
        <v>25.3</v>
      </c>
      <c r="Q5399">
        <v>19.8</v>
      </c>
      <c r="R5399">
        <v>25.3</v>
      </c>
      <c r="S5399">
        <v>18.8</v>
      </c>
      <c r="T5399">
        <v>914</v>
      </c>
      <c r="U5399">
        <v>163</v>
      </c>
      <c r="V5399">
        <v>28</v>
      </c>
      <c r="W5399">
        <v>52</v>
      </c>
      <c r="X5399">
        <v>396</v>
      </c>
      <c r="Y5399">
        <v>95</v>
      </c>
      <c r="Z5399">
        <v>396</v>
      </c>
      <c r="AA5399">
        <v>103</v>
      </c>
      <c r="AB5399">
        <v>6.8799989999999998</v>
      </c>
      <c r="AC5399">
        <v>2.0281919999999998E-2</v>
      </c>
      <c r="AD5399">
        <v>2.9213230000000001</v>
      </c>
      <c r="AE5399">
        <v>0.20123569999999999</v>
      </c>
      <c r="AF5399">
        <v>54.036639999999998</v>
      </c>
      <c r="AG5399">
        <f>IFERROR(AH5399*0.1, "N/A")</f>
        <v>5.8134350000000001</v>
      </c>
      <c r="AH5399">
        <v>58.134349999999998</v>
      </c>
      <c r="AI5399">
        <v>205.56190000000001</v>
      </c>
      <c r="AJ5399">
        <v>15.93282</v>
      </c>
      <c r="AK5399">
        <v>74.731300000000005</v>
      </c>
    </row>
    <row r="5400" spans="1:37" x14ac:dyDescent="0.3">
      <c r="A5400">
        <v>5399</v>
      </c>
      <c r="B5400">
        <v>0</v>
      </c>
      <c r="C5400">
        <v>33.950000000000003</v>
      </c>
      <c r="D5400">
        <v>-25.033000000000001</v>
      </c>
      <c r="E5400" t="s">
        <v>8690</v>
      </c>
      <c r="F5400" t="s">
        <v>8691</v>
      </c>
      <c r="G5400" t="s">
        <v>39</v>
      </c>
      <c r="H5400">
        <v>1954</v>
      </c>
      <c r="I5400">
        <v>23.038740000000001</v>
      </c>
      <c r="J5400">
        <v>11.73874</v>
      </c>
      <c r="K5400">
        <v>61</v>
      </c>
      <c r="L5400">
        <v>24.822299999999998</v>
      </c>
      <c r="M5400">
        <v>31.587440000000001</v>
      </c>
      <c r="N5400">
        <v>12.60995</v>
      </c>
      <c r="O5400">
        <v>18.97749</v>
      </c>
      <c r="P5400">
        <v>25.79908</v>
      </c>
      <c r="Q5400">
        <v>20.248699999999999</v>
      </c>
      <c r="R5400">
        <v>25.79908</v>
      </c>
      <c r="S5400">
        <v>19.48836</v>
      </c>
      <c r="T5400">
        <v>867.63710000000003</v>
      </c>
      <c r="U5400">
        <v>128.51300000000001</v>
      </c>
      <c r="V5400">
        <v>29.21593</v>
      </c>
      <c r="W5400">
        <v>45.387439999999998</v>
      </c>
      <c r="X5400">
        <v>356.6386</v>
      </c>
      <c r="Y5400">
        <v>100.3323</v>
      </c>
      <c r="Z5400">
        <v>356.6386</v>
      </c>
      <c r="AA5400">
        <v>119.82850000000001</v>
      </c>
      <c r="AB5400">
        <v>15.203519999999999</v>
      </c>
      <c r="AC5400">
        <v>2.1981489999999999E-2</v>
      </c>
      <c r="AD5400">
        <v>6.9360549999999996</v>
      </c>
      <c r="AE5400">
        <v>0.33493210000000001</v>
      </c>
      <c r="AF5400">
        <v>28.875959999999999</v>
      </c>
      <c r="AG5400">
        <f>IFERROR(AH5400*0.1, "N/A")</f>
        <v>6.1486980000000004</v>
      </c>
      <c r="AH5400">
        <v>61.486980000000003</v>
      </c>
      <c r="AI5400">
        <v>152.7286</v>
      </c>
      <c r="AJ5400">
        <v>16.55743</v>
      </c>
      <c r="AK5400">
        <v>71.698319999999995</v>
      </c>
    </row>
    <row r="5401" spans="1:37" x14ac:dyDescent="0.3">
      <c r="A5401">
        <v>5400</v>
      </c>
      <c r="B5401">
        <v>0</v>
      </c>
      <c r="C5401">
        <v>33.950000000000003</v>
      </c>
      <c r="D5401">
        <v>-25.033000000000001</v>
      </c>
      <c r="E5401" t="s">
        <v>8690</v>
      </c>
      <c r="F5401" t="s">
        <v>8692</v>
      </c>
      <c r="G5401" t="s">
        <v>37</v>
      </c>
      <c r="H5401">
        <v>1954</v>
      </c>
      <c r="I5401">
        <v>23.038740000000001</v>
      </c>
      <c r="J5401">
        <v>11.73874</v>
      </c>
      <c r="K5401">
        <v>61</v>
      </c>
      <c r="L5401">
        <v>24.822299999999998</v>
      </c>
      <c r="M5401">
        <v>31.587440000000001</v>
      </c>
      <c r="N5401">
        <v>12.60995</v>
      </c>
      <c r="O5401">
        <v>18.97749</v>
      </c>
      <c r="P5401">
        <v>25.79908</v>
      </c>
      <c r="Q5401">
        <v>20.248699999999999</v>
      </c>
      <c r="R5401">
        <v>25.79908</v>
      </c>
      <c r="S5401">
        <v>19.48836</v>
      </c>
      <c r="T5401">
        <v>867.63710000000003</v>
      </c>
      <c r="U5401">
        <v>128.51300000000001</v>
      </c>
      <c r="V5401">
        <v>29.21593</v>
      </c>
      <c r="W5401">
        <v>45.387439999999998</v>
      </c>
      <c r="X5401">
        <v>356.6386</v>
      </c>
      <c r="Y5401">
        <v>100.3323</v>
      </c>
      <c r="Z5401">
        <v>356.6386</v>
      </c>
      <c r="AA5401">
        <v>119.82850000000001</v>
      </c>
      <c r="AB5401">
        <v>15.203519999999999</v>
      </c>
      <c r="AC5401">
        <v>2.1981489999999999E-2</v>
      </c>
      <c r="AD5401">
        <v>6.9360549999999996</v>
      </c>
      <c r="AE5401">
        <v>0.33493210000000001</v>
      </c>
      <c r="AF5401">
        <v>28.875959999999999</v>
      </c>
      <c r="AG5401">
        <f>IFERROR(AH5401*0.1, "N/A")</f>
        <v>6.1486980000000004</v>
      </c>
      <c r="AH5401">
        <v>61.486980000000003</v>
      </c>
      <c r="AI5401">
        <v>152.7286</v>
      </c>
      <c r="AJ5401">
        <v>16.55743</v>
      </c>
      <c r="AK5401">
        <v>71.698319999999995</v>
      </c>
    </row>
    <row r="5402" spans="1:37" x14ac:dyDescent="0.3">
      <c r="A5402">
        <v>5401</v>
      </c>
      <c r="B5402">
        <v>1.1000000000000001</v>
      </c>
      <c r="C5402">
        <v>32.6462</v>
      </c>
      <c r="D5402">
        <v>-25.020299999999999</v>
      </c>
      <c r="E5402" t="s">
        <v>8693</v>
      </c>
      <c r="F5402" t="s">
        <v>8694</v>
      </c>
      <c r="G5402" t="s">
        <v>39</v>
      </c>
      <c r="H5402">
        <v>1954</v>
      </c>
      <c r="I5402">
        <v>23.3</v>
      </c>
      <c r="J5402">
        <v>13.5</v>
      </c>
      <c r="K5402">
        <v>61</v>
      </c>
      <c r="L5402">
        <v>29.25</v>
      </c>
      <c r="M5402">
        <v>32.9</v>
      </c>
      <c r="N5402">
        <v>11</v>
      </c>
      <c r="O5402">
        <v>21.9</v>
      </c>
      <c r="P5402">
        <v>26.5</v>
      </c>
      <c r="Q5402">
        <v>19.100000000000001</v>
      </c>
      <c r="R5402">
        <v>26.5</v>
      </c>
      <c r="S5402">
        <v>19.100000000000001</v>
      </c>
      <c r="T5402">
        <v>712</v>
      </c>
      <c r="U5402">
        <v>130</v>
      </c>
      <c r="V5402">
        <v>15</v>
      </c>
      <c r="W5402">
        <v>65</v>
      </c>
      <c r="X5402">
        <v>338</v>
      </c>
      <c r="Y5402">
        <v>53</v>
      </c>
      <c r="Z5402">
        <v>338</v>
      </c>
      <c r="AA5402">
        <v>53</v>
      </c>
      <c r="AB5402">
        <v>2.886371</v>
      </c>
      <c r="AC5402">
        <v>3.4092210000000001</v>
      </c>
      <c r="AD5402">
        <v>1.8828240000000001</v>
      </c>
      <c r="AE5402">
        <v>0.51267739999999995</v>
      </c>
      <c r="AF5402">
        <v>32.558959999999999</v>
      </c>
      <c r="AG5402">
        <f>IFERROR(AH5402*0.1, "N/A")</f>
        <v>6.7</v>
      </c>
      <c r="AH5402">
        <v>67</v>
      </c>
      <c r="AI5402">
        <v>135.0866</v>
      </c>
      <c r="AJ5402">
        <v>23.189889999999998</v>
      </c>
      <c r="AK5402">
        <v>63.807040000000001</v>
      </c>
    </row>
    <row r="5403" spans="1:37" x14ac:dyDescent="0.3">
      <c r="A5403">
        <v>5402</v>
      </c>
      <c r="B5403">
        <v>16.2</v>
      </c>
      <c r="C5403">
        <v>32.6462</v>
      </c>
      <c r="D5403">
        <v>-25.020299999999999</v>
      </c>
      <c r="E5403" t="s">
        <v>8693</v>
      </c>
      <c r="F5403" t="s">
        <v>8695</v>
      </c>
      <c r="G5403" t="s">
        <v>37</v>
      </c>
      <c r="H5403">
        <v>1954</v>
      </c>
      <c r="I5403">
        <v>23.3</v>
      </c>
      <c r="J5403">
        <v>13.5</v>
      </c>
      <c r="K5403">
        <v>61</v>
      </c>
      <c r="L5403">
        <v>29.25</v>
      </c>
      <c r="M5403">
        <v>32.9</v>
      </c>
      <c r="N5403">
        <v>11</v>
      </c>
      <c r="O5403">
        <v>21.9</v>
      </c>
      <c r="P5403">
        <v>26.5</v>
      </c>
      <c r="Q5403">
        <v>19.100000000000001</v>
      </c>
      <c r="R5403">
        <v>26.5</v>
      </c>
      <c r="S5403">
        <v>19.100000000000001</v>
      </c>
      <c r="T5403">
        <v>712</v>
      </c>
      <c r="U5403">
        <v>130</v>
      </c>
      <c r="V5403">
        <v>15</v>
      </c>
      <c r="W5403">
        <v>65</v>
      </c>
      <c r="X5403">
        <v>338</v>
      </c>
      <c r="Y5403">
        <v>53</v>
      </c>
      <c r="Z5403">
        <v>338</v>
      </c>
      <c r="AA5403">
        <v>53</v>
      </c>
      <c r="AB5403">
        <v>2.886371</v>
      </c>
      <c r="AC5403">
        <v>3.4092210000000001</v>
      </c>
      <c r="AD5403">
        <v>1.8828240000000001</v>
      </c>
      <c r="AE5403">
        <v>0.51267739999999995</v>
      </c>
      <c r="AF5403">
        <v>32.558959999999999</v>
      </c>
      <c r="AG5403">
        <f>IFERROR(AH5403*0.1, "N/A")</f>
        <v>6.7</v>
      </c>
      <c r="AH5403">
        <v>67</v>
      </c>
      <c r="AI5403">
        <v>135.0866</v>
      </c>
      <c r="AJ5403">
        <v>23.189889999999998</v>
      </c>
      <c r="AK5403">
        <v>63.807040000000001</v>
      </c>
    </row>
    <row r="5404" spans="1:37" x14ac:dyDescent="0.3">
      <c r="A5404">
        <v>5403</v>
      </c>
      <c r="B5404">
        <v>0</v>
      </c>
      <c r="C5404">
        <v>34.417000000000002</v>
      </c>
      <c r="D5404">
        <v>-24.694400000000002</v>
      </c>
      <c r="E5404" t="s">
        <v>8696</v>
      </c>
      <c r="F5404" t="s">
        <v>8697</v>
      </c>
      <c r="G5404" t="s">
        <v>39</v>
      </c>
      <c r="H5404">
        <v>1954</v>
      </c>
      <c r="I5404">
        <v>23.4</v>
      </c>
      <c r="J5404">
        <v>11.4</v>
      </c>
      <c r="K5404">
        <v>65</v>
      </c>
      <c r="L5404">
        <v>21.798829999999999</v>
      </c>
      <c r="M5404">
        <v>31.4</v>
      </c>
      <c r="N5404">
        <v>13.9</v>
      </c>
      <c r="O5404">
        <v>17.5</v>
      </c>
      <c r="P5404">
        <v>25.8</v>
      </c>
      <c r="Q5404">
        <v>20.9</v>
      </c>
      <c r="R5404">
        <v>25.8</v>
      </c>
      <c r="S5404">
        <v>20.2</v>
      </c>
      <c r="T5404">
        <v>851.97080000000005</v>
      </c>
      <c r="U5404">
        <v>143</v>
      </c>
      <c r="V5404">
        <v>29</v>
      </c>
      <c r="W5404">
        <v>52.029229999999998</v>
      </c>
      <c r="X5404">
        <v>382</v>
      </c>
      <c r="Y5404">
        <v>101</v>
      </c>
      <c r="Z5404">
        <v>382</v>
      </c>
      <c r="AA5404">
        <v>116.9708</v>
      </c>
      <c r="AB5404">
        <v>10.414160000000001</v>
      </c>
      <c r="AC5404">
        <v>1.466189E-2</v>
      </c>
      <c r="AD5404">
        <v>1.7176340000000001</v>
      </c>
      <c r="AE5404">
        <v>0.38121509999999997</v>
      </c>
      <c r="AF5404">
        <v>76.319999999999993</v>
      </c>
      <c r="AG5404">
        <f>IFERROR(AH5404*0.1, "N/A")</f>
        <v>6.1970770000000002</v>
      </c>
      <c r="AH5404">
        <v>61.970770000000002</v>
      </c>
      <c r="AI5404">
        <v>106.3049</v>
      </c>
      <c r="AJ5404">
        <v>20.029229999999998</v>
      </c>
      <c r="AK5404">
        <v>69.261539999999997</v>
      </c>
    </row>
    <row r="5405" spans="1:37" x14ac:dyDescent="0.3">
      <c r="A5405">
        <v>5404</v>
      </c>
      <c r="B5405">
        <v>8</v>
      </c>
      <c r="C5405">
        <v>34.417000000000002</v>
      </c>
      <c r="D5405">
        <v>-24.694400000000002</v>
      </c>
      <c r="E5405" t="s">
        <v>8696</v>
      </c>
      <c r="F5405" t="s">
        <v>8698</v>
      </c>
      <c r="G5405" t="s">
        <v>37</v>
      </c>
      <c r="H5405">
        <v>1954</v>
      </c>
      <c r="I5405">
        <v>23.4</v>
      </c>
      <c r="J5405">
        <v>11.4</v>
      </c>
      <c r="K5405">
        <v>65</v>
      </c>
      <c r="L5405">
        <v>21.798829999999999</v>
      </c>
      <c r="M5405">
        <v>31.4</v>
      </c>
      <c r="N5405">
        <v>13.9</v>
      </c>
      <c r="O5405">
        <v>17.5</v>
      </c>
      <c r="P5405">
        <v>25.8</v>
      </c>
      <c r="Q5405">
        <v>20.9</v>
      </c>
      <c r="R5405">
        <v>25.8</v>
      </c>
      <c r="S5405">
        <v>20.2</v>
      </c>
      <c r="T5405">
        <v>851.97080000000005</v>
      </c>
      <c r="U5405">
        <v>143</v>
      </c>
      <c r="V5405">
        <v>29</v>
      </c>
      <c r="W5405">
        <v>52.029229999999998</v>
      </c>
      <c r="X5405">
        <v>382</v>
      </c>
      <c r="Y5405">
        <v>101</v>
      </c>
      <c r="Z5405">
        <v>382</v>
      </c>
      <c r="AA5405">
        <v>116.9708</v>
      </c>
      <c r="AB5405">
        <v>10.414160000000001</v>
      </c>
      <c r="AC5405">
        <v>1.466189E-2</v>
      </c>
      <c r="AD5405">
        <v>1.7176340000000001</v>
      </c>
      <c r="AE5405">
        <v>0.38121509999999997</v>
      </c>
      <c r="AF5405">
        <v>76.319999999999993</v>
      </c>
      <c r="AG5405">
        <f>IFERROR(AH5405*0.1, "N/A")</f>
        <v>6.1970770000000002</v>
      </c>
      <c r="AH5405">
        <v>61.970770000000002</v>
      </c>
      <c r="AI5405">
        <v>106.3049</v>
      </c>
      <c r="AJ5405">
        <v>20.029229999999998</v>
      </c>
      <c r="AK5405">
        <v>69.261539999999997</v>
      </c>
    </row>
    <row r="5406" spans="1:37" x14ac:dyDescent="0.3">
      <c r="A5406">
        <v>5405</v>
      </c>
      <c r="B5406">
        <v>0.7</v>
      </c>
      <c r="C5406">
        <v>33.533499999999997</v>
      </c>
      <c r="D5406">
        <v>-24.683199999999999</v>
      </c>
      <c r="E5406" t="s">
        <v>8699</v>
      </c>
      <c r="F5406" t="s">
        <v>8700</v>
      </c>
      <c r="G5406" t="s">
        <v>39</v>
      </c>
      <c r="H5406">
        <v>1954</v>
      </c>
      <c r="I5406">
        <v>24.143830000000001</v>
      </c>
      <c r="J5406">
        <v>13.3284</v>
      </c>
      <c r="K5406">
        <v>65.729939999999999</v>
      </c>
      <c r="L5406">
        <v>26.037790000000001</v>
      </c>
      <c r="M5406">
        <v>33.599229999999999</v>
      </c>
      <c r="N5406">
        <v>13.4</v>
      </c>
      <c r="O5406">
        <v>20.19923</v>
      </c>
      <c r="P5406">
        <v>26.799230000000001</v>
      </c>
      <c r="Q5406">
        <v>21.39151</v>
      </c>
      <c r="R5406">
        <v>26.799230000000001</v>
      </c>
      <c r="S5406">
        <v>20.23611</v>
      </c>
      <c r="T5406">
        <v>771.35799999999995</v>
      </c>
      <c r="U5406">
        <v>141.91669999999999</v>
      </c>
      <c r="V5406">
        <v>20.63889</v>
      </c>
      <c r="W5406">
        <v>60</v>
      </c>
      <c r="X5406">
        <v>356.31020000000001</v>
      </c>
      <c r="Y5406">
        <v>68.200620000000001</v>
      </c>
      <c r="Z5406">
        <v>356.31020000000001</v>
      </c>
      <c r="AA5406">
        <v>76.916669999999996</v>
      </c>
      <c r="AB5406">
        <v>32.545990000000003</v>
      </c>
      <c r="AC5406">
        <v>1.6197179999999999E-2</v>
      </c>
      <c r="AD5406">
        <v>4.6542009999999996</v>
      </c>
      <c r="AE5406">
        <v>0.62457790000000002</v>
      </c>
      <c r="AF5406">
        <v>82.074070000000006</v>
      </c>
      <c r="AG5406">
        <f>IFERROR(AH5406*0.1, "N/A")</f>
        <v>6.827623</v>
      </c>
      <c r="AH5406">
        <v>68.276229999999998</v>
      </c>
      <c r="AI5406">
        <v>15.128</v>
      </c>
      <c r="AJ5406">
        <v>28.966049999999999</v>
      </c>
      <c r="AK5406">
        <v>61.00309</v>
      </c>
    </row>
    <row r="5407" spans="1:37" x14ac:dyDescent="0.3">
      <c r="A5407">
        <v>5406</v>
      </c>
      <c r="B5407">
        <v>3.5</v>
      </c>
      <c r="C5407">
        <v>33.533499999999997</v>
      </c>
      <c r="D5407">
        <v>-24.683199999999999</v>
      </c>
      <c r="E5407" t="s">
        <v>8699</v>
      </c>
      <c r="F5407" t="s">
        <v>8701</v>
      </c>
      <c r="G5407" t="s">
        <v>37</v>
      </c>
      <c r="H5407">
        <v>1954</v>
      </c>
      <c r="I5407">
        <v>24.143830000000001</v>
      </c>
      <c r="J5407">
        <v>13.3284</v>
      </c>
      <c r="K5407">
        <v>65.729939999999999</v>
      </c>
      <c r="L5407">
        <v>26.037790000000001</v>
      </c>
      <c r="M5407">
        <v>33.599229999999999</v>
      </c>
      <c r="N5407">
        <v>13.4</v>
      </c>
      <c r="O5407">
        <v>20.19923</v>
      </c>
      <c r="P5407">
        <v>26.799230000000001</v>
      </c>
      <c r="Q5407">
        <v>21.39151</v>
      </c>
      <c r="R5407">
        <v>26.799230000000001</v>
      </c>
      <c r="S5407">
        <v>20.23611</v>
      </c>
      <c r="T5407">
        <v>771.35799999999995</v>
      </c>
      <c r="U5407">
        <v>141.91669999999999</v>
      </c>
      <c r="V5407">
        <v>20.63889</v>
      </c>
      <c r="W5407">
        <v>60</v>
      </c>
      <c r="X5407">
        <v>356.31020000000001</v>
      </c>
      <c r="Y5407">
        <v>68.200620000000001</v>
      </c>
      <c r="Z5407">
        <v>356.31020000000001</v>
      </c>
      <c r="AA5407">
        <v>76.916669999999996</v>
      </c>
      <c r="AB5407">
        <v>32.545990000000003</v>
      </c>
      <c r="AC5407">
        <v>1.6197179999999999E-2</v>
      </c>
      <c r="AD5407">
        <v>4.6542009999999996</v>
      </c>
      <c r="AE5407">
        <v>0.62457790000000002</v>
      </c>
      <c r="AF5407">
        <v>82.074070000000006</v>
      </c>
      <c r="AG5407">
        <f>IFERROR(AH5407*0.1, "N/A")</f>
        <v>6.827623</v>
      </c>
      <c r="AH5407">
        <v>68.276229999999998</v>
      </c>
      <c r="AI5407">
        <v>15.128</v>
      </c>
      <c r="AJ5407">
        <v>28.966049999999999</v>
      </c>
      <c r="AK5407">
        <v>61.00309</v>
      </c>
    </row>
    <row r="5408" spans="1:37" x14ac:dyDescent="0.3">
      <c r="A5408">
        <v>5407</v>
      </c>
      <c r="B5408">
        <v>0</v>
      </c>
      <c r="C5408">
        <v>35.030299999999997</v>
      </c>
      <c r="D5408">
        <v>-24.476900000000001</v>
      </c>
      <c r="E5408" t="s">
        <v>8702</v>
      </c>
      <c r="F5408" t="s">
        <v>8703</v>
      </c>
      <c r="G5408" t="s">
        <v>39</v>
      </c>
      <c r="H5408">
        <v>1954</v>
      </c>
      <c r="I5408">
        <v>23.4</v>
      </c>
      <c r="J5408">
        <v>10.7</v>
      </c>
      <c r="K5408">
        <v>62</v>
      </c>
      <c r="L5408">
        <v>23.42</v>
      </c>
      <c r="M5408">
        <v>31.1</v>
      </c>
      <c r="N5408">
        <v>13.9</v>
      </c>
      <c r="O5408">
        <v>17.2</v>
      </c>
      <c r="P5408">
        <v>25.8</v>
      </c>
      <c r="Q5408">
        <v>22.3</v>
      </c>
      <c r="R5408">
        <v>26</v>
      </c>
      <c r="S5408">
        <v>20</v>
      </c>
      <c r="T5408">
        <v>902</v>
      </c>
      <c r="U5408">
        <v>135</v>
      </c>
      <c r="V5408">
        <v>33</v>
      </c>
      <c r="W5408">
        <v>44</v>
      </c>
      <c r="X5408">
        <v>364</v>
      </c>
      <c r="Y5408">
        <v>110</v>
      </c>
      <c r="Z5408">
        <v>364</v>
      </c>
      <c r="AA5408">
        <v>140</v>
      </c>
      <c r="AB5408">
        <v>15.65911</v>
      </c>
      <c r="AC5408">
        <v>0.13021269999999999</v>
      </c>
      <c r="AD5408">
        <v>3.3921800000000002</v>
      </c>
      <c r="AE5408">
        <v>0.39949810000000002</v>
      </c>
      <c r="AF5408">
        <v>32.12191</v>
      </c>
      <c r="AG5408">
        <f>IFERROR(AH5408*0.1, "N/A")</f>
        <v>6</v>
      </c>
      <c r="AH5408">
        <v>60</v>
      </c>
      <c r="AI5408">
        <v>172.7002</v>
      </c>
      <c r="AJ5408">
        <v>18</v>
      </c>
      <c r="AK5408">
        <v>73</v>
      </c>
    </row>
    <row r="5409" spans="1:37" x14ac:dyDescent="0.3">
      <c r="A5409">
        <v>5408</v>
      </c>
      <c r="B5409">
        <v>7.9</v>
      </c>
      <c r="C5409">
        <v>35.030299999999997</v>
      </c>
      <c r="D5409">
        <v>-24.476900000000001</v>
      </c>
      <c r="E5409" t="s">
        <v>8702</v>
      </c>
      <c r="F5409" t="s">
        <v>8704</v>
      </c>
      <c r="G5409" t="s">
        <v>37</v>
      </c>
      <c r="H5409">
        <v>1954</v>
      </c>
      <c r="I5409">
        <v>23.4</v>
      </c>
      <c r="J5409">
        <v>10.7</v>
      </c>
      <c r="K5409">
        <v>62</v>
      </c>
      <c r="L5409">
        <v>23.42</v>
      </c>
      <c r="M5409">
        <v>31.1</v>
      </c>
      <c r="N5409">
        <v>13.9</v>
      </c>
      <c r="O5409">
        <v>17.2</v>
      </c>
      <c r="P5409">
        <v>25.8</v>
      </c>
      <c r="Q5409">
        <v>22.3</v>
      </c>
      <c r="R5409">
        <v>26</v>
      </c>
      <c r="S5409">
        <v>20</v>
      </c>
      <c r="T5409">
        <v>902</v>
      </c>
      <c r="U5409">
        <v>135</v>
      </c>
      <c r="V5409">
        <v>33</v>
      </c>
      <c r="W5409">
        <v>44</v>
      </c>
      <c r="X5409">
        <v>364</v>
      </c>
      <c r="Y5409">
        <v>110</v>
      </c>
      <c r="Z5409">
        <v>364</v>
      </c>
      <c r="AA5409">
        <v>140</v>
      </c>
      <c r="AB5409">
        <v>15.65911</v>
      </c>
      <c r="AC5409">
        <v>0.13021269999999999</v>
      </c>
      <c r="AD5409">
        <v>3.3921800000000002</v>
      </c>
      <c r="AE5409">
        <v>0.39949810000000002</v>
      </c>
      <c r="AF5409">
        <v>32.12191</v>
      </c>
      <c r="AG5409">
        <f>IFERROR(AH5409*0.1, "N/A")</f>
        <v>6</v>
      </c>
      <c r="AH5409">
        <v>60</v>
      </c>
      <c r="AI5409">
        <v>172.7002</v>
      </c>
      <c r="AJ5409">
        <v>18</v>
      </c>
      <c r="AK5409">
        <v>73</v>
      </c>
    </row>
    <row r="5410" spans="1:37" x14ac:dyDescent="0.3">
      <c r="A5410">
        <v>5409</v>
      </c>
      <c r="B5410">
        <v>55.6</v>
      </c>
      <c r="C5410">
        <v>32.941600000000001</v>
      </c>
      <c r="D5410">
        <v>-24.416399999999999</v>
      </c>
      <c r="E5410" t="s">
        <v>8705</v>
      </c>
      <c r="F5410" t="s">
        <v>8706</v>
      </c>
      <c r="G5410" t="s">
        <v>39</v>
      </c>
      <c r="H5410">
        <v>1957</v>
      </c>
      <c r="I5410">
        <v>24</v>
      </c>
      <c r="J5410">
        <v>13.920680000000001</v>
      </c>
      <c r="K5410">
        <v>60</v>
      </c>
      <c r="L5410">
        <v>30.47607</v>
      </c>
      <c r="M5410">
        <v>34.298609999999996</v>
      </c>
      <c r="N5410">
        <v>11.276389999999999</v>
      </c>
      <c r="O5410">
        <v>23.022220000000001</v>
      </c>
      <c r="P5410">
        <v>27.4</v>
      </c>
      <c r="Q5410">
        <v>19.67793</v>
      </c>
      <c r="R5410">
        <v>27.4</v>
      </c>
      <c r="S5410">
        <v>19.67793</v>
      </c>
      <c r="T5410">
        <v>636.01390000000004</v>
      </c>
      <c r="U5410">
        <v>117</v>
      </c>
      <c r="V5410">
        <v>14</v>
      </c>
      <c r="W5410">
        <v>69</v>
      </c>
      <c r="X5410">
        <v>327</v>
      </c>
      <c r="Y5410">
        <v>48</v>
      </c>
      <c r="Z5410">
        <v>327</v>
      </c>
      <c r="AA5410">
        <v>48</v>
      </c>
      <c r="AB5410">
        <v>9.9876539999999991</v>
      </c>
      <c r="AC5410">
        <v>7.9050240000000001E-3</v>
      </c>
      <c r="AD5410">
        <v>1.045633</v>
      </c>
      <c r="AE5410">
        <v>0.2587197</v>
      </c>
      <c r="AF5410">
        <v>43.001539999999999</v>
      </c>
      <c r="AG5410">
        <f>IFERROR(AH5410*0.1, "N/A")</f>
        <v>6.7601849999999999</v>
      </c>
      <c r="AH5410">
        <v>67.601849999999999</v>
      </c>
      <c r="AI5410">
        <v>134.64169999999999</v>
      </c>
      <c r="AJ5410">
        <v>19.354939999999999</v>
      </c>
      <c r="AK5410">
        <v>70.084879999999998</v>
      </c>
    </row>
    <row r="5411" spans="1:37" x14ac:dyDescent="0.3">
      <c r="A5411">
        <v>5410</v>
      </c>
      <c r="B5411">
        <v>0</v>
      </c>
      <c r="C5411">
        <v>32.941600000000001</v>
      </c>
      <c r="D5411">
        <v>-24.416399999999999</v>
      </c>
      <c r="E5411" t="s">
        <v>8705</v>
      </c>
      <c r="F5411" t="s">
        <v>8707</v>
      </c>
      <c r="G5411" t="s">
        <v>37</v>
      </c>
      <c r="H5411">
        <v>1957</v>
      </c>
      <c r="I5411">
        <v>24</v>
      </c>
      <c r="J5411">
        <v>13.920680000000001</v>
      </c>
      <c r="K5411">
        <v>60</v>
      </c>
      <c r="L5411">
        <v>30.47607</v>
      </c>
      <c r="M5411">
        <v>34.298609999999996</v>
      </c>
      <c r="N5411">
        <v>11.276389999999999</v>
      </c>
      <c r="O5411">
        <v>23.022220000000001</v>
      </c>
      <c r="P5411">
        <v>27.4</v>
      </c>
      <c r="Q5411">
        <v>19.67793</v>
      </c>
      <c r="R5411">
        <v>27.4</v>
      </c>
      <c r="S5411">
        <v>19.67793</v>
      </c>
      <c r="T5411">
        <v>636.01390000000004</v>
      </c>
      <c r="U5411">
        <v>117</v>
      </c>
      <c r="V5411">
        <v>14</v>
      </c>
      <c r="W5411">
        <v>69</v>
      </c>
      <c r="X5411">
        <v>327</v>
      </c>
      <c r="Y5411">
        <v>48</v>
      </c>
      <c r="Z5411">
        <v>327</v>
      </c>
      <c r="AA5411">
        <v>48</v>
      </c>
      <c r="AB5411">
        <v>9.9876539999999991</v>
      </c>
      <c r="AC5411">
        <v>7.9050240000000001E-3</v>
      </c>
      <c r="AD5411">
        <v>1.045633</v>
      </c>
      <c r="AE5411">
        <v>0.2587197</v>
      </c>
      <c r="AF5411">
        <v>43.001539999999999</v>
      </c>
      <c r="AG5411">
        <f>IFERROR(AH5411*0.1, "N/A")</f>
        <v>6.7601849999999999</v>
      </c>
      <c r="AH5411">
        <v>67.601849999999999</v>
      </c>
      <c r="AI5411">
        <v>134.64169999999999</v>
      </c>
      <c r="AJ5411">
        <v>19.354939999999999</v>
      </c>
      <c r="AK5411">
        <v>70.084879999999998</v>
      </c>
    </row>
    <row r="5412" spans="1:37" x14ac:dyDescent="0.3">
      <c r="A5412">
        <v>5411</v>
      </c>
      <c r="B5412">
        <v>0</v>
      </c>
      <c r="C5412">
        <v>34.728000000000002</v>
      </c>
      <c r="D5412">
        <v>-24.065000000000001</v>
      </c>
      <c r="E5412" t="s">
        <v>8708</v>
      </c>
      <c r="F5412" t="s">
        <v>8709</v>
      </c>
      <c r="G5412" t="s">
        <v>39</v>
      </c>
      <c r="H5412">
        <v>1954</v>
      </c>
      <c r="I5412">
        <v>23.6</v>
      </c>
      <c r="J5412">
        <v>13</v>
      </c>
      <c r="K5412">
        <v>68</v>
      </c>
      <c r="L5412">
        <v>22.32</v>
      </c>
      <c r="M5412">
        <v>33</v>
      </c>
      <c r="N5412">
        <v>13.9</v>
      </c>
      <c r="O5412">
        <v>19.100000000000001</v>
      </c>
      <c r="P5412">
        <v>26</v>
      </c>
      <c r="Q5412">
        <v>20.8</v>
      </c>
      <c r="R5412">
        <v>26</v>
      </c>
      <c r="S5412">
        <v>20.399999999999999</v>
      </c>
      <c r="T5412">
        <v>739</v>
      </c>
      <c r="U5412">
        <v>158</v>
      </c>
      <c r="V5412">
        <v>21</v>
      </c>
      <c r="W5412">
        <v>75</v>
      </c>
      <c r="X5412">
        <v>407</v>
      </c>
      <c r="Y5412">
        <v>70</v>
      </c>
      <c r="Z5412">
        <v>407</v>
      </c>
      <c r="AA5412">
        <v>75</v>
      </c>
      <c r="AB5412">
        <v>7.851693</v>
      </c>
      <c r="AC5412">
        <v>1.1594170000000001E-2</v>
      </c>
      <c r="AD5412">
        <v>1.2908249999999999</v>
      </c>
      <c r="AE5412">
        <v>0.57166450000000002</v>
      </c>
      <c r="AF5412">
        <v>155.31479999999999</v>
      </c>
      <c r="AG5412">
        <f>IFERROR(AH5412*0.1, "N/A")</f>
        <v>6.6506170000000004</v>
      </c>
      <c r="AH5412">
        <v>66.506169999999997</v>
      </c>
      <c r="AI5412">
        <v>163.6918</v>
      </c>
      <c r="AJ5412">
        <v>19</v>
      </c>
      <c r="AK5412">
        <v>71</v>
      </c>
    </row>
    <row r="5413" spans="1:37" x14ac:dyDescent="0.3">
      <c r="A5413">
        <v>5412</v>
      </c>
      <c r="B5413">
        <v>0</v>
      </c>
      <c r="C5413">
        <v>34.728000000000002</v>
      </c>
      <c r="D5413">
        <v>-24.065000000000001</v>
      </c>
      <c r="E5413" t="s">
        <v>8708</v>
      </c>
      <c r="F5413" t="s">
        <v>8710</v>
      </c>
      <c r="G5413" t="s">
        <v>37</v>
      </c>
      <c r="H5413">
        <v>1954</v>
      </c>
      <c r="I5413">
        <v>23.6</v>
      </c>
      <c r="J5413">
        <v>13</v>
      </c>
      <c r="K5413">
        <v>68</v>
      </c>
      <c r="L5413">
        <v>22.32</v>
      </c>
      <c r="M5413">
        <v>33</v>
      </c>
      <c r="N5413">
        <v>13.9</v>
      </c>
      <c r="O5413">
        <v>19.100000000000001</v>
      </c>
      <c r="P5413">
        <v>26</v>
      </c>
      <c r="Q5413">
        <v>20.8</v>
      </c>
      <c r="R5413">
        <v>26</v>
      </c>
      <c r="S5413">
        <v>20.399999999999999</v>
      </c>
      <c r="T5413">
        <v>739</v>
      </c>
      <c r="U5413">
        <v>158</v>
      </c>
      <c r="V5413">
        <v>21</v>
      </c>
      <c r="W5413">
        <v>75</v>
      </c>
      <c r="X5413">
        <v>407</v>
      </c>
      <c r="Y5413">
        <v>70</v>
      </c>
      <c r="Z5413">
        <v>407</v>
      </c>
      <c r="AA5413">
        <v>75</v>
      </c>
      <c r="AB5413">
        <v>7.851693</v>
      </c>
      <c r="AC5413">
        <v>1.1594170000000001E-2</v>
      </c>
      <c r="AD5413">
        <v>1.2908249999999999</v>
      </c>
      <c r="AE5413">
        <v>0.57166450000000002</v>
      </c>
      <c r="AF5413">
        <v>155.31479999999999</v>
      </c>
      <c r="AG5413">
        <f>IFERROR(AH5413*0.1, "N/A")</f>
        <v>6.6506170000000004</v>
      </c>
      <c r="AH5413">
        <v>66.506169999999997</v>
      </c>
      <c r="AI5413">
        <v>163.6918</v>
      </c>
      <c r="AJ5413">
        <v>19</v>
      </c>
      <c r="AK5413">
        <v>71</v>
      </c>
    </row>
    <row r="5414" spans="1:37" x14ac:dyDescent="0.3">
      <c r="A5414">
        <v>5413</v>
      </c>
      <c r="B5414">
        <v>0</v>
      </c>
      <c r="C5414">
        <v>35.152999999999999</v>
      </c>
      <c r="D5414">
        <v>-23.884</v>
      </c>
      <c r="E5414" t="s">
        <v>8711</v>
      </c>
      <c r="F5414" t="s">
        <v>8712</v>
      </c>
      <c r="G5414" t="s">
        <v>39</v>
      </c>
      <c r="H5414">
        <v>1954</v>
      </c>
      <c r="I5414">
        <v>22.585249999999998</v>
      </c>
      <c r="J5414">
        <v>11</v>
      </c>
      <c r="K5414">
        <v>61</v>
      </c>
      <c r="L5414">
        <v>25.393450000000001</v>
      </c>
      <c r="M5414">
        <v>30.985250000000001</v>
      </c>
      <c r="N5414">
        <v>13</v>
      </c>
      <c r="O5414">
        <v>17.985250000000001</v>
      </c>
      <c r="P5414">
        <v>25.4</v>
      </c>
      <c r="Q5414">
        <v>19.5</v>
      </c>
      <c r="R5414">
        <v>25.4</v>
      </c>
      <c r="S5414">
        <v>19</v>
      </c>
      <c r="T5414">
        <v>839.91769999999997</v>
      </c>
      <c r="U5414">
        <v>150.29499999999999</v>
      </c>
      <c r="V5414">
        <v>27</v>
      </c>
      <c r="W5414">
        <v>61</v>
      </c>
      <c r="X5414">
        <v>409.88510000000002</v>
      </c>
      <c r="Y5414">
        <v>84.14752</v>
      </c>
      <c r="Z5414">
        <v>404.5745</v>
      </c>
      <c r="AA5414">
        <v>93.14752</v>
      </c>
      <c r="AB5414">
        <v>31.385870000000001</v>
      </c>
      <c r="AC5414">
        <v>2.0459339999999999E-2</v>
      </c>
      <c r="AD5414">
        <v>2.8309510000000002</v>
      </c>
      <c r="AE5414">
        <v>0.53969929999999999</v>
      </c>
      <c r="AF5414">
        <v>108.1677</v>
      </c>
      <c r="AG5414">
        <f>IFERROR(AH5414*0.1, "N/A")</f>
        <v>6.2703420000000003</v>
      </c>
      <c r="AH5414">
        <v>62.703420000000001</v>
      </c>
      <c r="AI5414">
        <v>143.5514</v>
      </c>
      <c r="AJ5414">
        <v>15.642860000000001</v>
      </c>
      <c r="AK5414">
        <v>76.358699999999999</v>
      </c>
    </row>
    <row r="5415" spans="1:37" x14ac:dyDescent="0.3">
      <c r="A5415">
        <v>5414</v>
      </c>
      <c r="B5415">
        <v>9.5</v>
      </c>
      <c r="C5415">
        <v>35.152999999999999</v>
      </c>
      <c r="D5415">
        <v>-23.884</v>
      </c>
      <c r="E5415" t="s">
        <v>8711</v>
      </c>
      <c r="F5415" t="s">
        <v>8713</v>
      </c>
      <c r="G5415" t="s">
        <v>37</v>
      </c>
      <c r="H5415">
        <v>1954</v>
      </c>
      <c r="I5415">
        <v>22.585249999999998</v>
      </c>
      <c r="J5415">
        <v>11</v>
      </c>
      <c r="K5415">
        <v>61</v>
      </c>
      <c r="L5415">
        <v>25.393450000000001</v>
      </c>
      <c r="M5415">
        <v>30.985250000000001</v>
      </c>
      <c r="N5415">
        <v>13</v>
      </c>
      <c r="O5415">
        <v>17.985250000000001</v>
      </c>
      <c r="P5415">
        <v>25.4</v>
      </c>
      <c r="Q5415">
        <v>19.5</v>
      </c>
      <c r="R5415">
        <v>25.4</v>
      </c>
      <c r="S5415">
        <v>19</v>
      </c>
      <c r="T5415">
        <v>839.91769999999997</v>
      </c>
      <c r="U5415">
        <v>150.29499999999999</v>
      </c>
      <c r="V5415">
        <v>27</v>
      </c>
      <c r="W5415">
        <v>61</v>
      </c>
      <c r="X5415">
        <v>409.88510000000002</v>
      </c>
      <c r="Y5415">
        <v>84.14752</v>
      </c>
      <c r="Z5415">
        <v>404.5745</v>
      </c>
      <c r="AA5415">
        <v>93.14752</v>
      </c>
      <c r="AB5415">
        <v>31.385870000000001</v>
      </c>
      <c r="AC5415">
        <v>2.0459339999999999E-2</v>
      </c>
      <c r="AD5415">
        <v>2.8309510000000002</v>
      </c>
      <c r="AE5415">
        <v>0.53969929999999999</v>
      </c>
      <c r="AF5415">
        <v>108.1677</v>
      </c>
      <c r="AG5415">
        <f>IFERROR(AH5415*0.1, "N/A")</f>
        <v>6.2703420000000003</v>
      </c>
      <c r="AH5415">
        <v>62.703420000000001</v>
      </c>
      <c r="AI5415">
        <v>143.5514</v>
      </c>
      <c r="AJ5415">
        <v>15.642860000000001</v>
      </c>
      <c r="AK5415">
        <v>76.358699999999999</v>
      </c>
    </row>
    <row r="5416" spans="1:37" x14ac:dyDescent="0.3">
      <c r="A5416">
        <v>5415</v>
      </c>
      <c r="B5416">
        <v>6.9</v>
      </c>
      <c r="C5416">
        <v>35.388199999999998</v>
      </c>
      <c r="D5416">
        <v>-23.8736</v>
      </c>
      <c r="E5416" t="s">
        <v>8714</v>
      </c>
      <c r="F5416" t="s">
        <v>8715</v>
      </c>
      <c r="G5416" t="s">
        <v>39</v>
      </c>
      <c r="H5416">
        <v>1954</v>
      </c>
      <c r="I5416">
        <v>24</v>
      </c>
      <c r="J5416">
        <v>9.5</v>
      </c>
      <c r="K5416">
        <v>59</v>
      </c>
      <c r="L5416">
        <v>24.03</v>
      </c>
      <c r="M5416">
        <v>31.5</v>
      </c>
      <c r="N5416">
        <v>15.4</v>
      </c>
      <c r="O5416">
        <v>16.100000000000001</v>
      </c>
      <c r="P5416">
        <v>26.7</v>
      </c>
      <c r="Q5416">
        <v>21.1</v>
      </c>
      <c r="R5416">
        <v>26.8</v>
      </c>
      <c r="S5416">
        <v>20.6</v>
      </c>
      <c r="T5416">
        <v>943</v>
      </c>
      <c r="U5416">
        <v>149</v>
      </c>
      <c r="V5416">
        <v>29</v>
      </c>
      <c r="W5416">
        <v>56</v>
      </c>
      <c r="X5416">
        <v>430</v>
      </c>
      <c r="Y5416">
        <v>96</v>
      </c>
      <c r="Z5416">
        <v>398</v>
      </c>
      <c r="AA5416">
        <v>120</v>
      </c>
      <c r="AB5416">
        <v>11.72171</v>
      </c>
      <c r="AC5416">
        <v>8.0478540000000001E-3</v>
      </c>
      <c r="AD5416">
        <v>1.508648</v>
      </c>
      <c r="AE5416">
        <v>0.5171133</v>
      </c>
      <c r="AF5416">
        <v>11.36279</v>
      </c>
      <c r="AG5416">
        <f>IFERROR(AH5416*0.1, "N/A")</f>
        <v>6.5550389999999998</v>
      </c>
      <c r="AH5416">
        <v>65.550389999999993</v>
      </c>
      <c r="AI5416">
        <v>188.88570000000001</v>
      </c>
      <c r="AJ5416">
        <v>29.541090000000001</v>
      </c>
      <c r="AK5416">
        <v>53.913179999999997</v>
      </c>
    </row>
    <row r="5417" spans="1:37" x14ac:dyDescent="0.3">
      <c r="A5417">
        <v>5416</v>
      </c>
      <c r="B5417">
        <v>29.8</v>
      </c>
      <c r="C5417">
        <v>35.388199999999998</v>
      </c>
      <c r="D5417">
        <v>-23.8736</v>
      </c>
      <c r="E5417" t="s">
        <v>8714</v>
      </c>
      <c r="F5417" t="s">
        <v>8716</v>
      </c>
      <c r="G5417" t="s">
        <v>37</v>
      </c>
      <c r="H5417">
        <v>1954</v>
      </c>
      <c r="I5417">
        <v>24</v>
      </c>
      <c r="J5417">
        <v>9.5</v>
      </c>
      <c r="K5417">
        <v>59</v>
      </c>
      <c r="L5417">
        <v>24.03</v>
      </c>
      <c r="M5417">
        <v>31.5</v>
      </c>
      <c r="N5417">
        <v>15.4</v>
      </c>
      <c r="O5417">
        <v>16.100000000000001</v>
      </c>
      <c r="P5417">
        <v>26.7</v>
      </c>
      <c r="Q5417">
        <v>21.1</v>
      </c>
      <c r="R5417">
        <v>26.8</v>
      </c>
      <c r="S5417">
        <v>20.6</v>
      </c>
      <c r="T5417">
        <v>943</v>
      </c>
      <c r="U5417">
        <v>149</v>
      </c>
      <c r="V5417">
        <v>29</v>
      </c>
      <c r="W5417">
        <v>56</v>
      </c>
      <c r="X5417">
        <v>430</v>
      </c>
      <c r="Y5417">
        <v>96</v>
      </c>
      <c r="Z5417">
        <v>398</v>
      </c>
      <c r="AA5417">
        <v>120</v>
      </c>
      <c r="AB5417">
        <v>11.72171</v>
      </c>
      <c r="AC5417">
        <v>8.0478540000000001E-3</v>
      </c>
      <c r="AD5417">
        <v>1.508648</v>
      </c>
      <c r="AE5417">
        <v>0.5171133</v>
      </c>
      <c r="AF5417">
        <v>11.36279</v>
      </c>
      <c r="AG5417">
        <f>IFERROR(AH5417*0.1, "N/A")</f>
        <v>6.5550389999999998</v>
      </c>
      <c r="AH5417">
        <v>65.550389999999993</v>
      </c>
      <c r="AI5417">
        <v>188.88570000000001</v>
      </c>
      <c r="AJ5417">
        <v>29.541090000000001</v>
      </c>
      <c r="AK5417">
        <v>53.913179999999997</v>
      </c>
    </row>
    <row r="5418" spans="1:37" x14ac:dyDescent="0.3">
      <c r="A5418">
        <v>5417</v>
      </c>
      <c r="B5418">
        <v>40</v>
      </c>
      <c r="C5418">
        <v>35.307499999999997</v>
      </c>
      <c r="D5418">
        <v>-23.7196</v>
      </c>
      <c r="E5418" t="s">
        <v>8717</v>
      </c>
      <c r="F5418" t="s">
        <v>8718</v>
      </c>
      <c r="G5418" t="s">
        <v>39</v>
      </c>
      <c r="H5418">
        <v>0</v>
      </c>
      <c r="I5418">
        <v>23.30031</v>
      </c>
      <c r="J5418">
        <v>10.5</v>
      </c>
      <c r="K5418">
        <v>59</v>
      </c>
      <c r="L5418">
        <v>24.72991</v>
      </c>
      <c r="M5418">
        <v>31.500309999999999</v>
      </c>
      <c r="N5418">
        <v>13.900309999999999</v>
      </c>
      <c r="O5418">
        <v>17.600000000000001</v>
      </c>
      <c r="P5418">
        <v>26.100619999999999</v>
      </c>
      <c r="Q5418">
        <v>20.400310000000001</v>
      </c>
      <c r="R5418">
        <v>26.100619999999999</v>
      </c>
      <c r="S5418">
        <v>19.800619999999999</v>
      </c>
      <c r="T5418">
        <v>897.99689999999998</v>
      </c>
      <c r="U5418">
        <v>147.99690000000001</v>
      </c>
      <c r="V5418">
        <v>26</v>
      </c>
      <c r="W5418">
        <v>60</v>
      </c>
      <c r="X5418">
        <v>414.99380000000002</v>
      </c>
      <c r="Y5418">
        <v>82</v>
      </c>
      <c r="Z5418">
        <v>410.0093</v>
      </c>
      <c r="AA5418">
        <v>102.0031</v>
      </c>
      <c r="AB5418">
        <v>18.029350000000001</v>
      </c>
      <c r="AC5418">
        <v>3.2242300000000002E-2</v>
      </c>
      <c r="AD5418">
        <v>2.2345320000000002</v>
      </c>
      <c r="AE5418">
        <v>0.38176660000000001</v>
      </c>
      <c r="AF5418">
        <v>19.476710000000001</v>
      </c>
      <c r="AG5418">
        <f>IFERROR(AH5418*0.1, "N/A")</f>
        <v>6.1153730000000008</v>
      </c>
      <c r="AH5418">
        <v>61.153730000000003</v>
      </c>
      <c r="AI5418">
        <v>91.161439999999999</v>
      </c>
      <c r="AJ5418">
        <v>20.545030000000001</v>
      </c>
      <c r="AK5418">
        <v>71.14752</v>
      </c>
    </row>
    <row r="5419" spans="1:37" x14ac:dyDescent="0.3">
      <c r="A5419">
        <v>5418</v>
      </c>
      <c r="B5419">
        <v>0.8</v>
      </c>
      <c r="C5419">
        <v>35.339199999999998</v>
      </c>
      <c r="D5419">
        <v>-23.655200000000001</v>
      </c>
      <c r="E5419" t="s">
        <v>8719</v>
      </c>
      <c r="F5419" t="s">
        <v>8720</v>
      </c>
      <c r="G5419" t="s">
        <v>39</v>
      </c>
      <c r="H5419">
        <v>1954</v>
      </c>
      <c r="I5419">
        <v>23.1</v>
      </c>
      <c r="J5419">
        <v>10.7</v>
      </c>
      <c r="K5419">
        <v>60</v>
      </c>
      <c r="L5419">
        <v>23.83</v>
      </c>
      <c r="M5419">
        <v>31.4</v>
      </c>
      <c r="N5419">
        <v>13.7</v>
      </c>
      <c r="O5419">
        <v>17.7</v>
      </c>
      <c r="P5419">
        <v>25.8</v>
      </c>
      <c r="Q5419">
        <v>20.3</v>
      </c>
      <c r="R5419">
        <v>25.8</v>
      </c>
      <c r="S5419">
        <v>19.7</v>
      </c>
      <c r="T5419">
        <v>931</v>
      </c>
      <c r="U5419">
        <v>153</v>
      </c>
      <c r="V5419">
        <v>25</v>
      </c>
      <c r="W5419">
        <v>61</v>
      </c>
      <c r="X5419">
        <v>433</v>
      </c>
      <c r="Y5419">
        <v>84</v>
      </c>
      <c r="Z5419">
        <v>433</v>
      </c>
      <c r="AA5419">
        <v>107</v>
      </c>
      <c r="AB5419">
        <v>31.09206</v>
      </c>
      <c r="AC5419">
        <v>0.1068486</v>
      </c>
      <c r="AD5419">
        <v>2.1297700000000002</v>
      </c>
      <c r="AE5419">
        <v>0.40729530000000003</v>
      </c>
      <c r="AF5419">
        <v>54.095019999999998</v>
      </c>
      <c r="AG5419">
        <f>IFERROR(AH5419*0.1, "N/A")</f>
        <v>6.1548290000000003</v>
      </c>
      <c r="AH5419">
        <v>61.548290000000001</v>
      </c>
      <c r="AI5419">
        <v>49.789540000000002</v>
      </c>
      <c r="AJ5419">
        <v>20</v>
      </c>
      <c r="AK5419">
        <v>70.680689999999998</v>
      </c>
    </row>
    <row r="5420" spans="1:37" x14ac:dyDescent="0.3">
      <c r="A5420">
        <v>5419</v>
      </c>
      <c r="B5420">
        <v>34.4</v>
      </c>
      <c r="C5420">
        <v>35.339199999999998</v>
      </c>
      <c r="D5420">
        <v>-23.655200000000001</v>
      </c>
      <c r="E5420" t="s">
        <v>8719</v>
      </c>
      <c r="F5420" t="s">
        <v>8721</v>
      </c>
      <c r="G5420" t="s">
        <v>37</v>
      </c>
      <c r="H5420">
        <v>1954</v>
      </c>
      <c r="I5420">
        <v>23.1</v>
      </c>
      <c r="J5420">
        <v>10.7</v>
      </c>
      <c r="K5420">
        <v>60</v>
      </c>
      <c r="L5420">
        <v>23.83</v>
      </c>
      <c r="M5420">
        <v>31.4</v>
      </c>
      <c r="N5420">
        <v>13.7</v>
      </c>
      <c r="O5420">
        <v>17.7</v>
      </c>
      <c r="P5420">
        <v>25.8</v>
      </c>
      <c r="Q5420">
        <v>20.3</v>
      </c>
      <c r="R5420">
        <v>25.8</v>
      </c>
      <c r="S5420">
        <v>19.7</v>
      </c>
      <c r="T5420">
        <v>931</v>
      </c>
      <c r="U5420">
        <v>153</v>
      </c>
      <c r="V5420">
        <v>25</v>
      </c>
      <c r="W5420">
        <v>61</v>
      </c>
      <c r="X5420">
        <v>433</v>
      </c>
      <c r="Y5420">
        <v>84</v>
      </c>
      <c r="Z5420">
        <v>433</v>
      </c>
      <c r="AA5420">
        <v>107</v>
      </c>
      <c r="AB5420">
        <v>31.09206</v>
      </c>
      <c r="AC5420">
        <v>0.1068486</v>
      </c>
      <c r="AD5420">
        <v>2.1297700000000002</v>
      </c>
      <c r="AE5420">
        <v>0.40729530000000003</v>
      </c>
      <c r="AF5420">
        <v>54.095019999999998</v>
      </c>
      <c r="AG5420">
        <f>IFERROR(AH5420*0.1, "N/A")</f>
        <v>6.1548290000000003</v>
      </c>
      <c r="AH5420">
        <v>61.548290000000001</v>
      </c>
      <c r="AI5420">
        <v>49.789540000000002</v>
      </c>
      <c r="AJ5420">
        <v>20</v>
      </c>
      <c r="AK5420">
        <v>70.680689999999998</v>
      </c>
    </row>
    <row r="5421" spans="1:37" x14ac:dyDescent="0.3">
      <c r="A5421">
        <v>5420</v>
      </c>
      <c r="B5421">
        <v>2</v>
      </c>
      <c r="C5421">
        <v>34.882199999999997</v>
      </c>
      <c r="D5421">
        <v>-19.8383</v>
      </c>
      <c r="E5421" t="s">
        <v>8722</v>
      </c>
      <c r="F5421" t="s">
        <v>8723</v>
      </c>
      <c r="G5421" t="s">
        <v>39</v>
      </c>
      <c r="H5421">
        <v>2009</v>
      </c>
      <c r="I5421">
        <v>24.6</v>
      </c>
      <c r="J5421">
        <v>8.9</v>
      </c>
      <c r="K5421">
        <v>55</v>
      </c>
      <c r="L5421">
        <v>25.55</v>
      </c>
      <c r="M5421">
        <v>31.8</v>
      </c>
      <c r="N5421">
        <v>15.9</v>
      </c>
      <c r="O5421">
        <v>15.9</v>
      </c>
      <c r="P5421">
        <v>27.3</v>
      </c>
      <c r="Q5421">
        <v>21.6</v>
      </c>
      <c r="R5421">
        <v>27.4</v>
      </c>
      <c r="S5421">
        <v>20.9</v>
      </c>
      <c r="T5421">
        <v>1343</v>
      </c>
      <c r="U5421">
        <v>254</v>
      </c>
      <c r="V5421">
        <v>23</v>
      </c>
      <c r="W5421">
        <v>80</v>
      </c>
      <c r="X5421">
        <v>716</v>
      </c>
      <c r="Y5421">
        <v>79</v>
      </c>
      <c r="Z5421">
        <v>703</v>
      </c>
      <c r="AA5421">
        <v>90</v>
      </c>
      <c r="AB5421">
        <v>4.7451610000000004</v>
      </c>
      <c r="AC5421">
        <v>1.0360960000000001E-2</v>
      </c>
      <c r="AD5421">
        <v>0.90590610000000005</v>
      </c>
      <c r="AE5421">
        <v>0.79449099999999995</v>
      </c>
      <c r="AF5421">
        <v>6.2548389999999996</v>
      </c>
      <c r="AG5421">
        <f>IFERROR(AH5421*0.1, "N/A")</f>
        <v>6.8595160000000011</v>
      </c>
      <c r="AH5421">
        <v>68.595160000000007</v>
      </c>
      <c r="AI5421">
        <v>71.696809999999999</v>
      </c>
      <c r="AJ5421">
        <v>25.108059999999998</v>
      </c>
      <c r="AK5421">
        <v>58.85</v>
      </c>
    </row>
    <row r="5422" spans="1:37" x14ac:dyDescent="0.3">
      <c r="A5422">
        <v>5421</v>
      </c>
      <c r="B5422">
        <v>0</v>
      </c>
      <c r="C5422">
        <v>34.882199999999997</v>
      </c>
      <c r="D5422">
        <v>-19.8383</v>
      </c>
      <c r="E5422" t="s">
        <v>8722</v>
      </c>
      <c r="F5422" t="s">
        <v>8724</v>
      </c>
      <c r="G5422" t="s">
        <v>37</v>
      </c>
      <c r="H5422">
        <v>2009</v>
      </c>
      <c r="I5422">
        <v>24.6</v>
      </c>
      <c r="J5422">
        <v>8.9</v>
      </c>
      <c r="K5422">
        <v>55</v>
      </c>
      <c r="L5422">
        <v>25.55</v>
      </c>
      <c r="M5422">
        <v>31.8</v>
      </c>
      <c r="N5422">
        <v>15.9</v>
      </c>
      <c r="O5422">
        <v>15.9</v>
      </c>
      <c r="P5422">
        <v>27.3</v>
      </c>
      <c r="Q5422">
        <v>21.6</v>
      </c>
      <c r="R5422">
        <v>27.4</v>
      </c>
      <c r="S5422">
        <v>20.9</v>
      </c>
      <c r="T5422">
        <v>1343</v>
      </c>
      <c r="U5422">
        <v>254</v>
      </c>
      <c r="V5422">
        <v>23</v>
      </c>
      <c r="W5422">
        <v>80</v>
      </c>
      <c r="X5422">
        <v>716</v>
      </c>
      <c r="Y5422">
        <v>79</v>
      </c>
      <c r="Z5422">
        <v>703</v>
      </c>
      <c r="AA5422">
        <v>90</v>
      </c>
      <c r="AB5422">
        <v>4.7451610000000004</v>
      </c>
      <c r="AC5422">
        <v>1.0360960000000001E-2</v>
      </c>
      <c r="AD5422">
        <v>0.90590610000000005</v>
      </c>
      <c r="AE5422">
        <v>0.79449099999999995</v>
      </c>
      <c r="AF5422">
        <v>6.2548389999999996</v>
      </c>
      <c r="AG5422">
        <f>IFERROR(AH5422*0.1, "N/A")</f>
        <v>6.8595160000000011</v>
      </c>
      <c r="AH5422">
        <v>68.595160000000007</v>
      </c>
      <c r="AI5422">
        <v>71.696809999999999</v>
      </c>
      <c r="AJ5422">
        <v>25.108059999999998</v>
      </c>
      <c r="AK5422">
        <v>58.85</v>
      </c>
    </row>
    <row r="5423" spans="1:37" x14ac:dyDescent="0.3">
      <c r="A5423">
        <v>5422</v>
      </c>
      <c r="B5423">
        <v>33.299999999999997</v>
      </c>
      <c r="C5423">
        <v>34.869900000000001</v>
      </c>
      <c r="D5423">
        <v>-19.779199999999999</v>
      </c>
      <c r="E5423" t="s">
        <v>8725</v>
      </c>
      <c r="F5423" t="s">
        <v>8726</v>
      </c>
      <c r="G5423" t="s">
        <v>39</v>
      </c>
      <c r="H5423">
        <v>0</v>
      </c>
      <c r="I5423">
        <v>24.7</v>
      </c>
      <c r="J5423">
        <v>9.1</v>
      </c>
      <c r="K5423">
        <v>56</v>
      </c>
      <c r="L5423">
        <v>25.89</v>
      </c>
      <c r="M5423">
        <v>31.9</v>
      </c>
      <c r="N5423">
        <v>15.9</v>
      </c>
      <c r="O5423">
        <v>16</v>
      </c>
      <c r="P5423">
        <v>27.4</v>
      </c>
      <c r="Q5423">
        <v>21.6</v>
      </c>
      <c r="R5423">
        <v>27.5</v>
      </c>
      <c r="S5423">
        <v>20.9</v>
      </c>
      <c r="T5423">
        <v>1367</v>
      </c>
      <c r="U5423">
        <v>258</v>
      </c>
      <c r="V5423">
        <v>23</v>
      </c>
      <c r="W5423">
        <v>80</v>
      </c>
      <c r="X5423">
        <v>728</v>
      </c>
      <c r="Y5423">
        <v>80</v>
      </c>
      <c r="Z5423">
        <v>713</v>
      </c>
      <c r="AA5423">
        <v>92</v>
      </c>
      <c r="AB5423">
        <v>11.39292</v>
      </c>
      <c r="AC5423">
        <v>1.421243E-2</v>
      </c>
      <c r="AD5423">
        <v>2.907187</v>
      </c>
      <c r="AE5423">
        <v>0.74124730000000005</v>
      </c>
      <c r="AF5423">
        <v>13.523350000000001</v>
      </c>
      <c r="AG5423">
        <f>IFERROR(AH5423*0.1, "N/A")</f>
        <v>6.2998390000000004</v>
      </c>
      <c r="AH5423">
        <v>62.998390000000001</v>
      </c>
      <c r="AI5423">
        <v>176.31970000000001</v>
      </c>
      <c r="AJ5423">
        <v>28</v>
      </c>
      <c r="AK5423">
        <v>59.993560000000002</v>
      </c>
    </row>
    <row r="5424" spans="1:37" x14ac:dyDescent="0.3">
      <c r="A5424">
        <v>5423</v>
      </c>
      <c r="B5424">
        <v>20</v>
      </c>
      <c r="C5424">
        <v>34.749899999999997</v>
      </c>
      <c r="D5424">
        <v>-19.616599999999998</v>
      </c>
      <c r="E5424" t="s">
        <v>8727</v>
      </c>
      <c r="F5424" t="s">
        <v>8728</v>
      </c>
      <c r="G5424" t="s">
        <v>39</v>
      </c>
      <c r="H5424">
        <v>1957</v>
      </c>
      <c r="I5424">
        <v>24.6</v>
      </c>
      <c r="J5424">
        <v>10.092420000000001</v>
      </c>
      <c r="K5424">
        <v>57.924190000000003</v>
      </c>
      <c r="L5424">
        <v>26.005369999999999</v>
      </c>
      <c r="M5424">
        <v>32.5</v>
      </c>
      <c r="N5424">
        <v>15.15968</v>
      </c>
      <c r="O5424">
        <v>17.340319999999998</v>
      </c>
      <c r="P5424">
        <v>27.359680000000001</v>
      </c>
      <c r="Q5424">
        <v>21.652100000000001</v>
      </c>
      <c r="R5424">
        <v>27.359680000000001</v>
      </c>
      <c r="S5424">
        <v>20.8</v>
      </c>
      <c r="T5424">
        <v>1244.2950000000001</v>
      </c>
      <c r="U5424">
        <v>237.1935</v>
      </c>
      <c r="V5424">
        <v>20</v>
      </c>
      <c r="W5424">
        <v>81.958060000000003</v>
      </c>
      <c r="X5424">
        <v>668.38710000000003</v>
      </c>
      <c r="Y5424">
        <v>68</v>
      </c>
      <c r="Z5424">
        <v>668.38710000000003</v>
      </c>
      <c r="AA5424">
        <v>79</v>
      </c>
      <c r="AB5424">
        <v>8.4424209999999995</v>
      </c>
      <c r="AC5424">
        <v>9.9330730000000006E-3</v>
      </c>
      <c r="AD5424">
        <v>1.0996049999999999</v>
      </c>
      <c r="AE5424">
        <v>0.5462591</v>
      </c>
      <c r="AF5424">
        <v>55.03548</v>
      </c>
      <c r="AG5424">
        <f>IFERROR(AH5424*0.1, "N/A")</f>
        <v>6.2</v>
      </c>
      <c r="AH5424">
        <v>62</v>
      </c>
      <c r="AI5424">
        <v>237.7501</v>
      </c>
      <c r="AJ5424">
        <v>23.2</v>
      </c>
      <c r="AK5424">
        <v>64</v>
      </c>
    </row>
    <row r="5425" spans="1:37" x14ac:dyDescent="0.3">
      <c r="A5425">
        <v>5424</v>
      </c>
      <c r="B5425">
        <v>0</v>
      </c>
      <c r="C5425">
        <v>34.749899999999997</v>
      </c>
      <c r="D5425">
        <v>-19.616599999999998</v>
      </c>
      <c r="E5425" t="s">
        <v>8727</v>
      </c>
      <c r="F5425" t="s">
        <v>8729</v>
      </c>
      <c r="G5425" t="s">
        <v>37</v>
      </c>
      <c r="H5425">
        <v>1957</v>
      </c>
      <c r="I5425">
        <v>24.6</v>
      </c>
      <c r="J5425">
        <v>10.092420000000001</v>
      </c>
      <c r="K5425">
        <v>57.924190000000003</v>
      </c>
      <c r="L5425">
        <v>26.005369999999999</v>
      </c>
      <c r="M5425">
        <v>32.5</v>
      </c>
      <c r="N5425">
        <v>15.15968</v>
      </c>
      <c r="O5425">
        <v>17.340319999999998</v>
      </c>
      <c r="P5425">
        <v>27.359680000000001</v>
      </c>
      <c r="Q5425">
        <v>21.652100000000001</v>
      </c>
      <c r="R5425">
        <v>27.359680000000001</v>
      </c>
      <c r="S5425">
        <v>20.8</v>
      </c>
      <c r="T5425">
        <v>1244.2950000000001</v>
      </c>
      <c r="U5425">
        <v>237.1935</v>
      </c>
      <c r="V5425">
        <v>20</v>
      </c>
      <c r="W5425">
        <v>81.958060000000003</v>
      </c>
      <c r="X5425">
        <v>668.38710000000003</v>
      </c>
      <c r="Y5425">
        <v>68</v>
      </c>
      <c r="Z5425">
        <v>668.38710000000003</v>
      </c>
      <c r="AA5425">
        <v>79</v>
      </c>
      <c r="AB5425">
        <v>8.4424209999999995</v>
      </c>
      <c r="AC5425">
        <v>9.9330730000000006E-3</v>
      </c>
      <c r="AD5425">
        <v>1.0996049999999999</v>
      </c>
      <c r="AE5425">
        <v>0.5462591</v>
      </c>
      <c r="AF5425">
        <v>55.03548</v>
      </c>
      <c r="AG5425">
        <f>IFERROR(AH5425*0.1, "N/A")</f>
        <v>6.2</v>
      </c>
      <c r="AH5425">
        <v>62</v>
      </c>
      <c r="AI5425">
        <v>237.7501</v>
      </c>
      <c r="AJ5425">
        <v>23.2</v>
      </c>
      <c r="AK5425">
        <v>64</v>
      </c>
    </row>
    <row r="5426" spans="1:37" x14ac:dyDescent="0.3">
      <c r="A5426">
        <v>5425</v>
      </c>
      <c r="B5426">
        <v>35</v>
      </c>
      <c r="C5426">
        <v>36.379100000000001</v>
      </c>
      <c r="D5426">
        <v>-18.656199999999998</v>
      </c>
      <c r="E5426" t="s">
        <v>8730</v>
      </c>
      <c r="F5426" t="s">
        <v>8731</v>
      </c>
      <c r="G5426" t="s">
        <v>39</v>
      </c>
      <c r="H5426">
        <v>1956</v>
      </c>
      <c r="I5426">
        <v>25.2</v>
      </c>
      <c r="J5426">
        <v>8.5</v>
      </c>
      <c r="K5426">
        <v>56</v>
      </c>
      <c r="L5426">
        <v>22.49</v>
      </c>
      <c r="M5426">
        <v>31.9</v>
      </c>
      <c r="N5426">
        <v>16.899999999999999</v>
      </c>
      <c r="O5426">
        <v>15</v>
      </c>
      <c r="P5426">
        <v>27.4</v>
      </c>
      <c r="Q5426">
        <v>24</v>
      </c>
      <c r="R5426">
        <v>27.5</v>
      </c>
      <c r="S5426">
        <v>21.9</v>
      </c>
      <c r="T5426">
        <v>1169</v>
      </c>
      <c r="U5426">
        <v>252</v>
      </c>
      <c r="V5426">
        <v>15</v>
      </c>
      <c r="W5426">
        <v>74</v>
      </c>
      <c r="X5426">
        <v>605</v>
      </c>
      <c r="Y5426">
        <v>67</v>
      </c>
      <c r="Z5426">
        <v>582</v>
      </c>
      <c r="AA5426">
        <v>148</v>
      </c>
      <c r="AB5426">
        <v>0.17073169999999999</v>
      </c>
      <c r="AC5426">
        <v>0.30319400000000002</v>
      </c>
      <c r="AD5426">
        <v>1.2930440000000001</v>
      </c>
      <c r="AE5426">
        <v>0.21302760000000001</v>
      </c>
      <c r="AF5426">
        <v>2.1463410000000001</v>
      </c>
      <c r="AG5426">
        <f>IFERROR(AH5426*0.1, "N/A")</f>
        <v>6.1469920000000009</v>
      </c>
      <c r="AH5426">
        <v>61.469920000000002</v>
      </c>
      <c r="AI5426">
        <v>76.452280000000002</v>
      </c>
      <c r="AJ5426">
        <v>23.469919999999998</v>
      </c>
      <c r="AK5426">
        <v>63.530079999999998</v>
      </c>
    </row>
    <row r="5427" spans="1:37" x14ac:dyDescent="0.3">
      <c r="A5427">
        <v>5426</v>
      </c>
      <c r="B5427">
        <v>0</v>
      </c>
      <c r="C5427">
        <v>36.379100000000001</v>
      </c>
      <c r="D5427">
        <v>-18.656199999999998</v>
      </c>
      <c r="E5427" t="s">
        <v>8730</v>
      </c>
      <c r="F5427" t="s">
        <v>8732</v>
      </c>
      <c r="G5427" t="s">
        <v>37</v>
      </c>
      <c r="H5427">
        <v>1956</v>
      </c>
      <c r="I5427">
        <v>25.2</v>
      </c>
      <c r="J5427">
        <v>8.5</v>
      </c>
      <c r="K5427">
        <v>56</v>
      </c>
      <c r="L5427">
        <v>22.49</v>
      </c>
      <c r="M5427">
        <v>31.9</v>
      </c>
      <c r="N5427">
        <v>16.899999999999999</v>
      </c>
      <c r="O5427">
        <v>15</v>
      </c>
      <c r="P5427">
        <v>27.4</v>
      </c>
      <c r="Q5427">
        <v>24</v>
      </c>
      <c r="R5427">
        <v>27.5</v>
      </c>
      <c r="S5427">
        <v>21.9</v>
      </c>
      <c r="T5427">
        <v>1169</v>
      </c>
      <c r="U5427">
        <v>252</v>
      </c>
      <c r="V5427">
        <v>15</v>
      </c>
      <c r="W5427">
        <v>74</v>
      </c>
      <c r="X5427">
        <v>605</v>
      </c>
      <c r="Y5427">
        <v>67</v>
      </c>
      <c r="Z5427">
        <v>582</v>
      </c>
      <c r="AA5427">
        <v>148</v>
      </c>
      <c r="AB5427">
        <v>0.17073169999999999</v>
      </c>
      <c r="AC5427">
        <v>0.30319400000000002</v>
      </c>
      <c r="AD5427">
        <v>1.2930440000000001</v>
      </c>
      <c r="AE5427">
        <v>0.21302760000000001</v>
      </c>
      <c r="AF5427">
        <v>2.1463410000000001</v>
      </c>
      <c r="AG5427">
        <f>IFERROR(AH5427*0.1, "N/A")</f>
        <v>6.1469920000000009</v>
      </c>
      <c r="AH5427">
        <v>61.469920000000002</v>
      </c>
      <c r="AI5427">
        <v>76.452280000000002</v>
      </c>
      <c r="AJ5427">
        <v>23.469919999999998</v>
      </c>
      <c r="AK5427">
        <v>63.530079999999998</v>
      </c>
    </row>
    <row r="5428" spans="1:37" x14ac:dyDescent="0.3">
      <c r="A5428">
        <v>5427</v>
      </c>
      <c r="B5428">
        <v>65</v>
      </c>
      <c r="C5428">
        <v>36.314700000000002</v>
      </c>
      <c r="D5428">
        <v>-18.6358</v>
      </c>
      <c r="E5428" t="s">
        <v>8733</v>
      </c>
      <c r="F5428" t="s">
        <v>8734</v>
      </c>
      <c r="G5428" t="s">
        <v>39</v>
      </c>
      <c r="H5428">
        <v>1956</v>
      </c>
      <c r="I5428">
        <v>25.2</v>
      </c>
      <c r="J5428">
        <v>8.8000000000000007</v>
      </c>
      <c r="K5428">
        <v>57</v>
      </c>
      <c r="L5428">
        <v>22.33</v>
      </c>
      <c r="M5428">
        <v>32</v>
      </c>
      <c r="N5428">
        <v>16.8</v>
      </c>
      <c r="O5428">
        <v>15.2</v>
      </c>
      <c r="P5428">
        <v>27.4</v>
      </c>
      <c r="Q5428">
        <v>24.1</v>
      </c>
      <c r="R5428">
        <v>27.6</v>
      </c>
      <c r="S5428">
        <v>21.9</v>
      </c>
      <c r="T5428">
        <v>1149</v>
      </c>
      <c r="U5428">
        <v>247</v>
      </c>
      <c r="V5428">
        <v>15</v>
      </c>
      <c r="W5428">
        <v>74</v>
      </c>
      <c r="X5428">
        <v>597</v>
      </c>
      <c r="Y5428">
        <v>66</v>
      </c>
      <c r="Z5428">
        <v>574</v>
      </c>
      <c r="AA5428">
        <v>142</v>
      </c>
      <c r="AB5428">
        <v>2.7662870000000002</v>
      </c>
      <c r="AC5428">
        <v>1.4961530000000001E-2</v>
      </c>
      <c r="AD5428">
        <v>2.7307939999999999</v>
      </c>
      <c r="AE5428">
        <v>0.2012177</v>
      </c>
      <c r="AF5428">
        <v>10.35342</v>
      </c>
      <c r="AG5428">
        <f>IFERROR(AH5428*0.1, "N/A")</f>
        <v>5.8000000000000007</v>
      </c>
      <c r="AH5428">
        <v>58</v>
      </c>
      <c r="AI5428">
        <v>107.54989999999999</v>
      </c>
      <c r="AJ5428">
        <v>28.19707</v>
      </c>
      <c r="AK5428">
        <v>59.775239999999997</v>
      </c>
    </row>
    <row r="5429" spans="1:37" x14ac:dyDescent="0.3">
      <c r="A5429">
        <v>5428</v>
      </c>
      <c r="B5429">
        <v>0</v>
      </c>
      <c r="C5429">
        <v>36.314700000000002</v>
      </c>
      <c r="D5429">
        <v>-18.6358</v>
      </c>
      <c r="E5429" t="s">
        <v>8733</v>
      </c>
      <c r="F5429" t="s">
        <v>8735</v>
      </c>
      <c r="G5429" t="s">
        <v>37</v>
      </c>
      <c r="H5429">
        <v>1956</v>
      </c>
      <c r="I5429">
        <v>25.2</v>
      </c>
      <c r="J5429">
        <v>8.8000000000000007</v>
      </c>
      <c r="K5429">
        <v>57</v>
      </c>
      <c r="L5429">
        <v>22.33</v>
      </c>
      <c r="M5429">
        <v>32</v>
      </c>
      <c r="N5429">
        <v>16.8</v>
      </c>
      <c r="O5429">
        <v>15.2</v>
      </c>
      <c r="P5429">
        <v>27.4</v>
      </c>
      <c r="Q5429">
        <v>24.1</v>
      </c>
      <c r="R5429">
        <v>27.6</v>
      </c>
      <c r="S5429">
        <v>21.9</v>
      </c>
      <c r="T5429">
        <v>1149</v>
      </c>
      <c r="U5429">
        <v>247</v>
      </c>
      <c r="V5429">
        <v>15</v>
      </c>
      <c r="W5429">
        <v>74</v>
      </c>
      <c r="X5429">
        <v>597</v>
      </c>
      <c r="Y5429">
        <v>66</v>
      </c>
      <c r="Z5429">
        <v>574</v>
      </c>
      <c r="AA5429">
        <v>142</v>
      </c>
      <c r="AB5429">
        <v>2.7662870000000002</v>
      </c>
      <c r="AC5429">
        <v>1.4961530000000001E-2</v>
      </c>
      <c r="AD5429">
        <v>2.7307939999999999</v>
      </c>
      <c r="AE5429">
        <v>0.2012177</v>
      </c>
      <c r="AF5429">
        <v>10.35342</v>
      </c>
      <c r="AG5429">
        <f>IFERROR(AH5429*0.1, "N/A")</f>
        <v>5.8000000000000007</v>
      </c>
      <c r="AH5429">
        <v>58</v>
      </c>
      <c r="AI5429">
        <v>107.54989999999999</v>
      </c>
      <c r="AJ5429">
        <v>28.19707</v>
      </c>
      <c r="AK5429">
        <v>59.775239999999997</v>
      </c>
    </row>
    <row r="5430" spans="1:37" x14ac:dyDescent="0.3">
      <c r="A5430">
        <v>5429</v>
      </c>
      <c r="B5430">
        <v>65</v>
      </c>
      <c r="C5430">
        <v>36.183300000000003</v>
      </c>
      <c r="D5430">
        <v>-18.533300000000001</v>
      </c>
      <c r="E5430" t="s">
        <v>8736</v>
      </c>
      <c r="F5430" t="s">
        <v>8737</v>
      </c>
      <c r="G5430" t="s">
        <v>39</v>
      </c>
      <c r="H5430">
        <v>1956</v>
      </c>
      <c r="I5430">
        <v>25.255790000000001</v>
      </c>
      <c r="J5430">
        <v>9.7673740000000002</v>
      </c>
      <c r="K5430">
        <v>60.768349999999998</v>
      </c>
      <c r="L5430">
        <v>22.07723</v>
      </c>
      <c r="M5430">
        <v>32.323160000000001</v>
      </c>
      <c r="N5430">
        <v>16.36525</v>
      </c>
      <c r="O5430">
        <v>15.95791</v>
      </c>
      <c r="P5430">
        <v>27.384499999999999</v>
      </c>
      <c r="Q5430">
        <v>24.24812</v>
      </c>
      <c r="R5430">
        <v>27.555789999999998</v>
      </c>
      <c r="S5430">
        <v>22</v>
      </c>
      <c r="T5430">
        <v>1088.729</v>
      </c>
      <c r="U5430">
        <v>232.845</v>
      </c>
      <c r="V5430">
        <v>15</v>
      </c>
      <c r="W5430">
        <v>76</v>
      </c>
      <c r="X5430">
        <v>572.84500000000003</v>
      </c>
      <c r="Y5430">
        <v>59</v>
      </c>
      <c r="Z5430">
        <v>552.84500000000003</v>
      </c>
      <c r="AA5430">
        <v>122.5579</v>
      </c>
      <c r="AB5430">
        <v>1.3140289999999999</v>
      </c>
      <c r="AC5430">
        <v>2.4814800000000001E-2</v>
      </c>
      <c r="AD5430">
        <v>0.87473250000000002</v>
      </c>
      <c r="AE5430">
        <v>0.30579919999999999</v>
      </c>
      <c r="AF5430">
        <v>4.9037519999999999</v>
      </c>
      <c r="AG5430">
        <f>IFERROR(AH5430*0.1, "N/A")</f>
        <v>6.0125610000000007</v>
      </c>
      <c r="AH5430">
        <v>60.125610000000002</v>
      </c>
      <c r="AI5430">
        <v>119.9725</v>
      </c>
      <c r="AJ5430">
        <v>26.61664</v>
      </c>
      <c r="AK5430">
        <v>56.815660000000001</v>
      </c>
    </row>
    <row r="5431" spans="1:37" x14ac:dyDescent="0.3">
      <c r="A5431">
        <v>5430</v>
      </c>
      <c r="B5431">
        <v>5</v>
      </c>
      <c r="C5431">
        <v>36.183300000000003</v>
      </c>
      <c r="D5431">
        <v>-18.533300000000001</v>
      </c>
      <c r="E5431" t="s">
        <v>8736</v>
      </c>
      <c r="F5431" t="s">
        <v>8738</v>
      </c>
      <c r="G5431" t="s">
        <v>37</v>
      </c>
      <c r="H5431">
        <v>1956</v>
      </c>
      <c r="I5431">
        <v>25.255790000000001</v>
      </c>
      <c r="J5431">
        <v>9.7673740000000002</v>
      </c>
      <c r="K5431">
        <v>60.768349999999998</v>
      </c>
      <c r="L5431">
        <v>22.07723</v>
      </c>
      <c r="M5431">
        <v>32.323160000000001</v>
      </c>
      <c r="N5431">
        <v>16.36525</v>
      </c>
      <c r="O5431">
        <v>15.95791</v>
      </c>
      <c r="P5431">
        <v>27.384499999999999</v>
      </c>
      <c r="Q5431">
        <v>24.24812</v>
      </c>
      <c r="R5431">
        <v>27.555789999999998</v>
      </c>
      <c r="S5431">
        <v>22</v>
      </c>
      <c r="T5431">
        <v>1088.729</v>
      </c>
      <c r="U5431">
        <v>232.845</v>
      </c>
      <c r="V5431">
        <v>15</v>
      </c>
      <c r="W5431">
        <v>76</v>
      </c>
      <c r="X5431">
        <v>572.84500000000003</v>
      </c>
      <c r="Y5431">
        <v>59</v>
      </c>
      <c r="Z5431">
        <v>552.84500000000003</v>
      </c>
      <c r="AA5431">
        <v>122.5579</v>
      </c>
      <c r="AB5431">
        <v>1.3140289999999999</v>
      </c>
      <c r="AC5431">
        <v>2.4814800000000001E-2</v>
      </c>
      <c r="AD5431">
        <v>0.87473250000000002</v>
      </c>
      <c r="AE5431">
        <v>0.30579919999999999</v>
      </c>
      <c r="AF5431">
        <v>4.9037519999999999</v>
      </c>
      <c r="AG5431">
        <f>IFERROR(AH5431*0.1, "N/A")</f>
        <v>6.0125610000000007</v>
      </c>
      <c r="AH5431">
        <v>60.125610000000002</v>
      </c>
      <c r="AI5431">
        <v>119.9725</v>
      </c>
      <c r="AJ5431">
        <v>26.61664</v>
      </c>
      <c r="AK5431">
        <v>56.815660000000001</v>
      </c>
    </row>
    <row r="5432" spans="1:37" x14ac:dyDescent="0.3">
      <c r="A5432">
        <v>5431</v>
      </c>
      <c r="B5432">
        <v>70</v>
      </c>
      <c r="C5432">
        <v>36.100499999999997</v>
      </c>
      <c r="D5432">
        <v>-18.398499999999999</v>
      </c>
      <c r="E5432" t="s">
        <v>8739</v>
      </c>
      <c r="F5432" t="s">
        <v>8740</v>
      </c>
      <c r="G5432" t="s">
        <v>39</v>
      </c>
      <c r="H5432">
        <v>1956</v>
      </c>
      <c r="I5432">
        <v>25.299019999999999</v>
      </c>
      <c r="J5432">
        <v>10.60098</v>
      </c>
      <c r="K5432">
        <v>63.009790000000002</v>
      </c>
      <c r="L5432">
        <v>21.748529999999999</v>
      </c>
      <c r="M5432">
        <v>32.700000000000003</v>
      </c>
      <c r="N5432">
        <v>16</v>
      </c>
      <c r="O5432">
        <v>16.7</v>
      </c>
      <c r="P5432">
        <v>27.3</v>
      </c>
      <c r="Q5432">
        <v>24.4</v>
      </c>
      <c r="R5432">
        <v>27.5</v>
      </c>
      <c r="S5432">
        <v>22.1</v>
      </c>
      <c r="T5432">
        <v>1034.961</v>
      </c>
      <c r="U5432">
        <v>222</v>
      </c>
      <c r="V5432">
        <v>14.990209999999999</v>
      </c>
      <c r="W5432">
        <v>79.009789999999995</v>
      </c>
      <c r="X5432">
        <v>553</v>
      </c>
      <c r="Y5432">
        <v>53.990209999999998</v>
      </c>
      <c r="Z5432">
        <v>536</v>
      </c>
      <c r="AA5432">
        <v>102.9902</v>
      </c>
      <c r="AB5432">
        <v>2.590865</v>
      </c>
      <c r="AC5432">
        <v>8.1984929999999994E-3</v>
      </c>
      <c r="AD5432">
        <v>1.344835</v>
      </c>
      <c r="AE5432">
        <v>0.21680579999999999</v>
      </c>
      <c r="AF5432">
        <v>6.7243069999999996</v>
      </c>
      <c r="AG5432">
        <f>IFERROR(AH5432*0.1, "N/A")</f>
        <v>6.357259</v>
      </c>
      <c r="AH5432">
        <v>63.572589999999998</v>
      </c>
      <c r="AI5432">
        <v>76.243620000000007</v>
      </c>
      <c r="AJ5432">
        <v>29.02936</v>
      </c>
      <c r="AK5432">
        <v>53.970640000000003</v>
      </c>
    </row>
    <row r="5433" spans="1:37" x14ac:dyDescent="0.3">
      <c r="A5433">
        <v>5432</v>
      </c>
      <c r="B5433">
        <v>0</v>
      </c>
      <c r="C5433">
        <v>36.100499999999997</v>
      </c>
      <c r="D5433">
        <v>-18.398499999999999</v>
      </c>
      <c r="E5433" t="s">
        <v>8739</v>
      </c>
      <c r="F5433" t="s">
        <v>8741</v>
      </c>
      <c r="G5433" t="s">
        <v>37</v>
      </c>
      <c r="H5433">
        <v>1956</v>
      </c>
      <c r="I5433">
        <v>25.299019999999999</v>
      </c>
      <c r="J5433">
        <v>10.60098</v>
      </c>
      <c r="K5433">
        <v>63.009790000000002</v>
      </c>
      <c r="L5433">
        <v>21.748529999999999</v>
      </c>
      <c r="M5433">
        <v>32.700000000000003</v>
      </c>
      <c r="N5433">
        <v>16</v>
      </c>
      <c r="O5433">
        <v>16.7</v>
      </c>
      <c r="P5433">
        <v>27.3</v>
      </c>
      <c r="Q5433">
        <v>24.4</v>
      </c>
      <c r="R5433">
        <v>27.5</v>
      </c>
      <c r="S5433">
        <v>22.1</v>
      </c>
      <c r="T5433">
        <v>1034.961</v>
      </c>
      <c r="U5433">
        <v>222</v>
      </c>
      <c r="V5433">
        <v>14.990209999999999</v>
      </c>
      <c r="W5433">
        <v>79.009789999999995</v>
      </c>
      <c r="X5433">
        <v>553</v>
      </c>
      <c r="Y5433">
        <v>53.990209999999998</v>
      </c>
      <c r="Z5433">
        <v>536</v>
      </c>
      <c r="AA5433">
        <v>102.9902</v>
      </c>
      <c r="AB5433">
        <v>2.590865</v>
      </c>
      <c r="AC5433">
        <v>8.1984929999999994E-3</v>
      </c>
      <c r="AD5433">
        <v>1.344835</v>
      </c>
      <c r="AE5433">
        <v>0.21680579999999999</v>
      </c>
      <c r="AF5433">
        <v>6.7243069999999996</v>
      </c>
      <c r="AG5433">
        <f>IFERROR(AH5433*0.1, "N/A")</f>
        <v>6.357259</v>
      </c>
      <c r="AH5433">
        <v>63.572589999999998</v>
      </c>
      <c r="AI5433">
        <v>76.243620000000007</v>
      </c>
      <c r="AJ5433">
        <v>29.02936</v>
      </c>
      <c r="AK5433">
        <v>53.970640000000003</v>
      </c>
    </row>
    <row r="5434" spans="1:37" x14ac:dyDescent="0.3">
      <c r="A5434">
        <v>5433</v>
      </c>
      <c r="B5434">
        <v>85</v>
      </c>
      <c r="C5434">
        <v>36.714399999999998</v>
      </c>
      <c r="D5434">
        <v>-18.291899999999998</v>
      </c>
      <c r="E5434" t="s">
        <v>8742</v>
      </c>
      <c r="F5434" t="s">
        <v>8743</v>
      </c>
      <c r="G5434" t="s">
        <v>39</v>
      </c>
      <c r="H5434">
        <v>1956</v>
      </c>
      <c r="I5434">
        <v>25.3</v>
      </c>
      <c r="J5434">
        <v>9.1</v>
      </c>
      <c r="K5434">
        <v>58</v>
      </c>
      <c r="L5434">
        <v>23.981809999999999</v>
      </c>
      <c r="M5434">
        <v>32.1</v>
      </c>
      <c r="N5434">
        <v>16.5</v>
      </c>
      <c r="O5434">
        <v>15.6</v>
      </c>
      <c r="P5434">
        <v>27.6</v>
      </c>
      <c r="Q5434">
        <v>24.02007</v>
      </c>
      <c r="R5434">
        <v>27.7</v>
      </c>
      <c r="S5434">
        <v>21.72007</v>
      </c>
      <c r="T5434">
        <v>1251.5989999999999</v>
      </c>
      <c r="U5434">
        <v>250</v>
      </c>
      <c r="V5434">
        <v>15</v>
      </c>
      <c r="W5434">
        <v>73</v>
      </c>
      <c r="X5434">
        <v>645</v>
      </c>
      <c r="Y5434">
        <v>64</v>
      </c>
      <c r="Z5434">
        <v>615</v>
      </c>
      <c r="AA5434">
        <v>151.79929999999999</v>
      </c>
      <c r="AB5434">
        <v>1.001468</v>
      </c>
      <c r="AC5434">
        <v>2.7190460000000001</v>
      </c>
      <c r="AD5434">
        <v>1.313509</v>
      </c>
      <c r="AE5434">
        <v>0.14872679999999999</v>
      </c>
      <c r="AF5434">
        <v>1.6574230000000001</v>
      </c>
      <c r="AG5434">
        <f>IFERROR(AH5434*0.1, "N/A")</f>
        <v>6.2484500000000001</v>
      </c>
      <c r="AH5434">
        <v>62.484499999999997</v>
      </c>
      <c r="AI5434">
        <v>239.80889999999999</v>
      </c>
      <c r="AJ5434">
        <v>27.74062</v>
      </c>
      <c r="AK5434">
        <v>60.057099999999998</v>
      </c>
    </row>
    <row r="5435" spans="1:37" x14ac:dyDescent="0.3">
      <c r="A5435">
        <v>5434</v>
      </c>
      <c r="B5435">
        <v>0</v>
      </c>
      <c r="C5435">
        <v>36.714399999999998</v>
      </c>
      <c r="D5435">
        <v>-18.291899999999998</v>
      </c>
      <c r="E5435" t="s">
        <v>8742</v>
      </c>
      <c r="F5435" t="s">
        <v>8744</v>
      </c>
      <c r="G5435" t="s">
        <v>37</v>
      </c>
      <c r="H5435">
        <v>1956</v>
      </c>
      <c r="I5435">
        <v>25.3</v>
      </c>
      <c r="J5435">
        <v>9.1</v>
      </c>
      <c r="K5435">
        <v>58</v>
      </c>
      <c r="L5435">
        <v>23.981809999999999</v>
      </c>
      <c r="M5435">
        <v>32.1</v>
      </c>
      <c r="N5435">
        <v>16.5</v>
      </c>
      <c r="O5435">
        <v>15.6</v>
      </c>
      <c r="P5435">
        <v>27.6</v>
      </c>
      <c r="Q5435">
        <v>24.02007</v>
      </c>
      <c r="R5435">
        <v>27.7</v>
      </c>
      <c r="S5435">
        <v>21.72007</v>
      </c>
      <c r="T5435">
        <v>1251.5989999999999</v>
      </c>
      <c r="U5435">
        <v>250</v>
      </c>
      <c r="V5435">
        <v>15</v>
      </c>
      <c r="W5435">
        <v>73</v>
      </c>
      <c r="X5435">
        <v>645</v>
      </c>
      <c r="Y5435">
        <v>64</v>
      </c>
      <c r="Z5435">
        <v>615</v>
      </c>
      <c r="AA5435">
        <v>151.79929999999999</v>
      </c>
      <c r="AB5435">
        <v>1.001468</v>
      </c>
      <c r="AC5435">
        <v>2.7190460000000001</v>
      </c>
      <c r="AD5435">
        <v>1.313509</v>
      </c>
      <c r="AE5435">
        <v>0.14872679999999999</v>
      </c>
      <c r="AF5435">
        <v>1.6574230000000001</v>
      </c>
      <c r="AG5435">
        <f>IFERROR(AH5435*0.1, "N/A")</f>
        <v>6.2484500000000001</v>
      </c>
      <c r="AH5435">
        <v>62.484499999999997</v>
      </c>
      <c r="AI5435">
        <v>239.80889999999999</v>
      </c>
      <c r="AJ5435">
        <v>27.74062</v>
      </c>
      <c r="AK5435">
        <v>60.057099999999998</v>
      </c>
    </row>
    <row r="5436" spans="1:37" x14ac:dyDescent="0.3">
      <c r="A5436">
        <v>5435</v>
      </c>
      <c r="B5436">
        <v>85</v>
      </c>
      <c r="C5436">
        <v>36.654400000000003</v>
      </c>
      <c r="D5436">
        <v>-18.274699999999999</v>
      </c>
      <c r="E5436" t="s">
        <v>8745</v>
      </c>
      <c r="F5436" t="s">
        <v>8746</v>
      </c>
      <c r="G5436" t="s">
        <v>39</v>
      </c>
      <c r="H5436">
        <v>1956</v>
      </c>
      <c r="I5436">
        <v>25.3</v>
      </c>
      <c r="J5436">
        <v>9.1999999999999993</v>
      </c>
      <c r="K5436">
        <v>58</v>
      </c>
      <c r="L5436">
        <v>23.896599999999999</v>
      </c>
      <c r="M5436">
        <v>32.200000000000003</v>
      </c>
      <c r="N5436">
        <v>16.5</v>
      </c>
      <c r="O5436">
        <v>15.7</v>
      </c>
      <c r="P5436">
        <v>27.6</v>
      </c>
      <c r="Q5436">
        <v>24.1</v>
      </c>
      <c r="R5436">
        <v>27.8</v>
      </c>
      <c r="S5436">
        <v>21.8</v>
      </c>
      <c r="T5436">
        <v>1231.9570000000001</v>
      </c>
      <c r="U5436">
        <v>247</v>
      </c>
      <c r="V5436">
        <v>15</v>
      </c>
      <c r="W5436">
        <v>73</v>
      </c>
      <c r="X5436">
        <v>634.95740000000001</v>
      </c>
      <c r="Y5436">
        <v>64</v>
      </c>
      <c r="Z5436">
        <v>607.95740000000001</v>
      </c>
      <c r="AA5436">
        <v>149</v>
      </c>
      <c r="AB5436">
        <v>1.46563</v>
      </c>
      <c r="AC5436">
        <v>1.053158E-2</v>
      </c>
      <c r="AD5436">
        <v>1.865367</v>
      </c>
      <c r="AE5436">
        <v>0.15561549999999999</v>
      </c>
      <c r="AF5436">
        <v>3.3273320000000002</v>
      </c>
      <c r="AG5436">
        <f>IFERROR(AH5436*0.1, "N/A")</f>
        <v>6.0702129999999999</v>
      </c>
      <c r="AH5436">
        <v>60.702129999999997</v>
      </c>
      <c r="AI5436">
        <v>114.1769</v>
      </c>
      <c r="AJ5436">
        <v>23</v>
      </c>
      <c r="AK5436">
        <v>65.148939999999996</v>
      </c>
    </row>
    <row r="5437" spans="1:37" x14ac:dyDescent="0.3">
      <c r="A5437">
        <v>5436</v>
      </c>
      <c r="B5437">
        <v>0</v>
      </c>
      <c r="C5437">
        <v>36.654400000000003</v>
      </c>
      <c r="D5437">
        <v>-18.274699999999999</v>
      </c>
      <c r="E5437" t="s">
        <v>8745</v>
      </c>
      <c r="F5437" t="s">
        <v>8747</v>
      </c>
      <c r="G5437" t="s">
        <v>37</v>
      </c>
      <c r="H5437">
        <v>1956</v>
      </c>
      <c r="I5437">
        <v>25.3</v>
      </c>
      <c r="J5437">
        <v>9.1999999999999993</v>
      </c>
      <c r="K5437">
        <v>58</v>
      </c>
      <c r="L5437">
        <v>23.896599999999999</v>
      </c>
      <c r="M5437">
        <v>32.200000000000003</v>
      </c>
      <c r="N5437">
        <v>16.5</v>
      </c>
      <c r="O5437">
        <v>15.7</v>
      </c>
      <c r="P5437">
        <v>27.6</v>
      </c>
      <c r="Q5437">
        <v>24.1</v>
      </c>
      <c r="R5437">
        <v>27.8</v>
      </c>
      <c r="S5437">
        <v>21.8</v>
      </c>
      <c r="T5437">
        <v>1231.9570000000001</v>
      </c>
      <c r="U5437">
        <v>247</v>
      </c>
      <c r="V5437">
        <v>15</v>
      </c>
      <c r="W5437">
        <v>73</v>
      </c>
      <c r="X5437">
        <v>634.95740000000001</v>
      </c>
      <c r="Y5437">
        <v>64</v>
      </c>
      <c r="Z5437">
        <v>607.95740000000001</v>
      </c>
      <c r="AA5437">
        <v>149</v>
      </c>
      <c r="AB5437">
        <v>1.46563</v>
      </c>
      <c r="AC5437">
        <v>1.053158E-2</v>
      </c>
      <c r="AD5437">
        <v>1.865367</v>
      </c>
      <c r="AE5437">
        <v>0.15561549999999999</v>
      </c>
      <c r="AF5437">
        <v>3.3273320000000002</v>
      </c>
      <c r="AG5437">
        <f>IFERROR(AH5437*0.1, "N/A")</f>
        <v>6.0702129999999999</v>
      </c>
      <c r="AH5437">
        <v>60.702129999999997</v>
      </c>
      <c r="AI5437">
        <v>114.1769</v>
      </c>
      <c r="AJ5437">
        <v>23</v>
      </c>
      <c r="AK5437">
        <v>65.148939999999996</v>
      </c>
    </row>
    <row r="5438" spans="1:37" x14ac:dyDescent="0.3">
      <c r="A5438">
        <v>5437</v>
      </c>
      <c r="B5438">
        <v>100</v>
      </c>
      <c r="C5438">
        <v>35.949399999999997</v>
      </c>
      <c r="D5438">
        <v>-18.1342</v>
      </c>
      <c r="E5438" t="s">
        <v>8748</v>
      </c>
      <c r="F5438" t="s">
        <v>8749</v>
      </c>
      <c r="G5438" t="s">
        <v>39</v>
      </c>
      <c r="H5438">
        <v>1956</v>
      </c>
      <c r="I5438">
        <v>25.3</v>
      </c>
      <c r="J5438">
        <v>11.971030000000001</v>
      </c>
      <c r="K5438">
        <v>65</v>
      </c>
      <c r="L5438">
        <v>21.589980000000001</v>
      </c>
      <c r="M5438">
        <v>33.700000000000003</v>
      </c>
      <c r="N5438">
        <v>15.4</v>
      </c>
      <c r="O5438">
        <v>18.3</v>
      </c>
      <c r="P5438">
        <v>27.170210000000001</v>
      </c>
      <c r="Q5438">
        <v>24.671029999999998</v>
      </c>
      <c r="R5438">
        <v>27.499179999999999</v>
      </c>
      <c r="S5438">
        <v>22.1</v>
      </c>
      <c r="T5438">
        <v>984.87729999999999</v>
      </c>
      <c r="U5438">
        <v>213</v>
      </c>
      <c r="V5438">
        <v>12</v>
      </c>
      <c r="W5438">
        <v>83</v>
      </c>
      <c r="X5438">
        <v>540.29790000000003</v>
      </c>
      <c r="Y5438">
        <v>48</v>
      </c>
      <c r="Z5438">
        <v>532.29790000000003</v>
      </c>
      <c r="AA5438">
        <v>79.289689999999993</v>
      </c>
      <c r="AB5438">
        <v>0.71096530000000002</v>
      </c>
      <c r="AC5438">
        <v>1.2043720000000001E-2</v>
      </c>
      <c r="AD5438">
        <v>1.1109290000000001</v>
      </c>
      <c r="AE5438">
        <v>0.57950610000000002</v>
      </c>
      <c r="AF5438">
        <v>13.338789999999999</v>
      </c>
      <c r="AG5438">
        <f>IFERROR(AH5438*0.1, "N/A")</f>
        <v>6.057938</v>
      </c>
      <c r="AH5438">
        <v>60.57938</v>
      </c>
      <c r="AI5438">
        <v>267.68920000000003</v>
      </c>
      <c r="AJ5438">
        <v>25.671029999999998</v>
      </c>
      <c r="AK5438">
        <v>59.57938</v>
      </c>
    </row>
    <row r="5439" spans="1:37" x14ac:dyDescent="0.3">
      <c r="A5439">
        <v>5438</v>
      </c>
      <c r="B5439">
        <v>0</v>
      </c>
      <c r="C5439">
        <v>35.949399999999997</v>
      </c>
      <c r="D5439">
        <v>-18.1342</v>
      </c>
      <c r="E5439" t="s">
        <v>8748</v>
      </c>
      <c r="F5439" t="s">
        <v>8750</v>
      </c>
      <c r="G5439" t="s">
        <v>37</v>
      </c>
      <c r="H5439">
        <v>1956</v>
      </c>
      <c r="I5439">
        <v>25.3</v>
      </c>
      <c r="J5439">
        <v>11.971030000000001</v>
      </c>
      <c r="K5439">
        <v>65</v>
      </c>
      <c r="L5439">
        <v>21.589980000000001</v>
      </c>
      <c r="M5439">
        <v>33.700000000000003</v>
      </c>
      <c r="N5439">
        <v>15.4</v>
      </c>
      <c r="O5439">
        <v>18.3</v>
      </c>
      <c r="P5439">
        <v>27.170210000000001</v>
      </c>
      <c r="Q5439">
        <v>24.671029999999998</v>
      </c>
      <c r="R5439">
        <v>27.499179999999999</v>
      </c>
      <c r="S5439">
        <v>22.1</v>
      </c>
      <c r="T5439">
        <v>984.87729999999999</v>
      </c>
      <c r="U5439">
        <v>213</v>
      </c>
      <c r="V5439">
        <v>12</v>
      </c>
      <c r="W5439">
        <v>83</v>
      </c>
      <c r="X5439">
        <v>540.29790000000003</v>
      </c>
      <c r="Y5439">
        <v>48</v>
      </c>
      <c r="Z5439">
        <v>532.29790000000003</v>
      </c>
      <c r="AA5439">
        <v>79.289689999999993</v>
      </c>
      <c r="AB5439">
        <v>0.71096530000000002</v>
      </c>
      <c r="AC5439">
        <v>1.2043720000000001E-2</v>
      </c>
      <c r="AD5439">
        <v>1.1109290000000001</v>
      </c>
      <c r="AE5439">
        <v>0.57950610000000002</v>
      </c>
      <c r="AF5439">
        <v>13.338789999999999</v>
      </c>
      <c r="AG5439">
        <f>IFERROR(AH5439*0.1, "N/A")</f>
        <v>6.057938</v>
      </c>
      <c r="AH5439">
        <v>60.57938</v>
      </c>
      <c r="AI5439">
        <v>267.68920000000003</v>
      </c>
      <c r="AJ5439">
        <v>25.671029999999998</v>
      </c>
      <c r="AK5439">
        <v>59.57938</v>
      </c>
    </row>
    <row r="5440" spans="1:37" x14ac:dyDescent="0.3">
      <c r="A5440">
        <v>5439</v>
      </c>
      <c r="B5440">
        <v>100</v>
      </c>
      <c r="C5440">
        <v>35.822400000000002</v>
      </c>
      <c r="D5440">
        <v>-18.091100000000001</v>
      </c>
      <c r="E5440" t="s">
        <v>8751</v>
      </c>
      <c r="F5440" t="s">
        <v>8752</v>
      </c>
      <c r="G5440" t="s">
        <v>39</v>
      </c>
      <c r="H5440">
        <v>1956</v>
      </c>
      <c r="I5440">
        <v>25.3</v>
      </c>
      <c r="J5440">
        <v>12.4</v>
      </c>
      <c r="K5440">
        <v>65</v>
      </c>
      <c r="L5440">
        <v>21.89</v>
      </c>
      <c r="M5440">
        <v>34.1</v>
      </c>
      <c r="N5440">
        <v>15.2</v>
      </c>
      <c r="O5440">
        <v>18.899999999999999</v>
      </c>
      <c r="P5440">
        <v>27</v>
      </c>
      <c r="Q5440">
        <v>24.7</v>
      </c>
      <c r="R5440">
        <v>27.4</v>
      </c>
      <c r="S5440">
        <v>22</v>
      </c>
      <c r="T5440">
        <v>994</v>
      </c>
      <c r="U5440">
        <v>216</v>
      </c>
      <c r="V5440">
        <v>11</v>
      </c>
      <c r="W5440">
        <v>85</v>
      </c>
      <c r="X5440">
        <v>551</v>
      </c>
      <c r="Y5440">
        <v>47</v>
      </c>
      <c r="Z5440">
        <v>448</v>
      </c>
      <c r="AA5440">
        <v>76</v>
      </c>
      <c r="AB5440">
        <v>1.134641</v>
      </c>
      <c r="AC5440">
        <v>0.16631960000000001</v>
      </c>
      <c r="AD5440">
        <v>0.8416323</v>
      </c>
      <c r="AE5440">
        <v>0.35277009999999998</v>
      </c>
      <c r="AF5440">
        <v>14.24837</v>
      </c>
      <c r="AG5440">
        <f>IFERROR(AH5440*0.1, "N/A")</f>
        <v>6.1993460000000002</v>
      </c>
      <c r="AH5440">
        <v>61.993459999999999</v>
      </c>
      <c r="AI5440">
        <v>151.48050000000001</v>
      </c>
      <c r="AJ5440">
        <v>29.933009999999999</v>
      </c>
      <c r="AK5440">
        <v>57.066989999999997</v>
      </c>
    </row>
    <row r="5441" spans="1:37" x14ac:dyDescent="0.3">
      <c r="A5441">
        <v>5440</v>
      </c>
      <c r="B5441">
        <v>0</v>
      </c>
      <c r="C5441">
        <v>35.822400000000002</v>
      </c>
      <c r="D5441">
        <v>-18.091100000000001</v>
      </c>
      <c r="E5441" t="s">
        <v>8751</v>
      </c>
      <c r="F5441" t="s">
        <v>8753</v>
      </c>
      <c r="G5441" t="s">
        <v>37</v>
      </c>
      <c r="H5441">
        <v>1956</v>
      </c>
      <c r="I5441">
        <v>25.3</v>
      </c>
      <c r="J5441">
        <v>12.4</v>
      </c>
      <c r="K5441">
        <v>65</v>
      </c>
      <c r="L5441">
        <v>21.89</v>
      </c>
      <c r="M5441">
        <v>34.1</v>
      </c>
      <c r="N5441">
        <v>15.2</v>
      </c>
      <c r="O5441">
        <v>18.899999999999999</v>
      </c>
      <c r="P5441">
        <v>27</v>
      </c>
      <c r="Q5441">
        <v>24.7</v>
      </c>
      <c r="R5441">
        <v>27.4</v>
      </c>
      <c r="S5441">
        <v>22</v>
      </c>
      <c r="T5441">
        <v>994</v>
      </c>
      <c r="U5441">
        <v>216</v>
      </c>
      <c r="V5441">
        <v>11</v>
      </c>
      <c r="W5441">
        <v>85</v>
      </c>
      <c r="X5441">
        <v>551</v>
      </c>
      <c r="Y5441">
        <v>47</v>
      </c>
      <c r="Z5441">
        <v>448</v>
      </c>
      <c r="AA5441">
        <v>76</v>
      </c>
      <c r="AB5441">
        <v>1.134641</v>
      </c>
      <c r="AC5441">
        <v>0.16631960000000001</v>
      </c>
      <c r="AD5441">
        <v>0.8416323</v>
      </c>
      <c r="AE5441">
        <v>0.35277009999999998</v>
      </c>
      <c r="AF5441">
        <v>14.24837</v>
      </c>
      <c r="AG5441">
        <f>IFERROR(AH5441*0.1, "N/A")</f>
        <v>6.1993460000000002</v>
      </c>
      <c r="AH5441">
        <v>61.993459999999999</v>
      </c>
      <c r="AI5441">
        <v>151.48050000000001</v>
      </c>
      <c r="AJ5441">
        <v>29.933009999999999</v>
      </c>
      <c r="AK5441">
        <v>57.066989999999997</v>
      </c>
    </row>
    <row r="5442" spans="1:37" x14ac:dyDescent="0.3">
      <c r="A5442">
        <v>5441</v>
      </c>
      <c r="B5442">
        <v>100</v>
      </c>
      <c r="C5442">
        <v>36.872</v>
      </c>
      <c r="D5442">
        <v>-18.061900000000001</v>
      </c>
      <c r="E5442" t="s">
        <v>8754</v>
      </c>
      <c r="F5442" t="s">
        <v>8755</v>
      </c>
      <c r="G5442" t="s">
        <v>39</v>
      </c>
      <c r="H5442">
        <v>1956</v>
      </c>
      <c r="I5442">
        <v>25.2</v>
      </c>
      <c r="J5442">
        <v>9.6</v>
      </c>
      <c r="K5442">
        <v>58</v>
      </c>
      <c r="L5442">
        <v>24.65</v>
      </c>
      <c r="M5442">
        <v>32.5</v>
      </c>
      <c r="N5442">
        <v>16.100000000000001</v>
      </c>
      <c r="O5442">
        <v>16.399999999999999</v>
      </c>
      <c r="P5442">
        <v>27.7</v>
      </c>
      <c r="Q5442">
        <v>24.1</v>
      </c>
      <c r="R5442">
        <v>27.7</v>
      </c>
      <c r="S5442">
        <v>21.7</v>
      </c>
      <c r="T5442">
        <v>1327</v>
      </c>
      <c r="U5442">
        <v>252</v>
      </c>
      <c r="V5442">
        <v>16</v>
      </c>
      <c r="W5442">
        <v>73</v>
      </c>
      <c r="X5442">
        <v>685</v>
      </c>
      <c r="Y5442">
        <v>64</v>
      </c>
      <c r="Z5442">
        <v>652</v>
      </c>
      <c r="AA5442">
        <v>151</v>
      </c>
      <c r="AB5442">
        <v>5.9090020000000001</v>
      </c>
      <c r="AC5442">
        <v>8.1344920000000001E-3</v>
      </c>
      <c r="AD5442">
        <v>1.587302</v>
      </c>
      <c r="AE5442">
        <v>0.24133009999999999</v>
      </c>
      <c r="AF5442">
        <v>13.47791</v>
      </c>
      <c r="AG5442">
        <f>IFERROR(AH5442*0.1, "N/A")</f>
        <v>6.2777410000000007</v>
      </c>
      <c r="AH5442">
        <v>62.777410000000003</v>
      </c>
      <c r="AI5442">
        <v>240.3707</v>
      </c>
      <c r="AJ5442">
        <v>29.112929999999999</v>
      </c>
      <c r="AK5442">
        <v>50.554830000000003</v>
      </c>
    </row>
    <row r="5443" spans="1:37" x14ac:dyDescent="0.3">
      <c r="A5443">
        <v>5442</v>
      </c>
      <c r="B5443">
        <v>0</v>
      </c>
      <c r="C5443">
        <v>36.872</v>
      </c>
      <c r="D5443">
        <v>-18.061900000000001</v>
      </c>
      <c r="E5443" t="s">
        <v>8754</v>
      </c>
      <c r="F5443" t="s">
        <v>8756</v>
      </c>
      <c r="G5443" t="s">
        <v>37</v>
      </c>
      <c r="H5443">
        <v>1956</v>
      </c>
      <c r="I5443">
        <v>25.2</v>
      </c>
      <c r="J5443">
        <v>9.6</v>
      </c>
      <c r="K5443">
        <v>58</v>
      </c>
      <c r="L5443">
        <v>24.65</v>
      </c>
      <c r="M5443">
        <v>32.5</v>
      </c>
      <c r="N5443">
        <v>16.100000000000001</v>
      </c>
      <c r="O5443">
        <v>16.399999999999999</v>
      </c>
      <c r="P5443">
        <v>27.7</v>
      </c>
      <c r="Q5443">
        <v>24.1</v>
      </c>
      <c r="R5443">
        <v>27.7</v>
      </c>
      <c r="S5443">
        <v>21.7</v>
      </c>
      <c r="T5443">
        <v>1327</v>
      </c>
      <c r="U5443">
        <v>252</v>
      </c>
      <c r="V5443">
        <v>16</v>
      </c>
      <c r="W5443">
        <v>73</v>
      </c>
      <c r="X5443">
        <v>685</v>
      </c>
      <c r="Y5443">
        <v>64</v>
      </c>
      <c r="Z5443">
        <v>652</v>
      </c>
      <c r="AA5443">
        <v>151</v>
      </c>
      <c r="AB5443">
        <v>5.9090020000000001</v>
      </c>
      <c r="AC5443">
        <v>8.1344920000000001E-3</v>
      </c>
      <c r="AD5443">
        <v>1.587302</v>
      </c>
      <c r="AE5443">
        <v>0.24133009999999999</v>
      </c>
      <c r="AF5443">
        <v>13.47791</v>
      </c>
      <c r="AG5443">
        <f>IFERROR(AH5443*0.1, "N/A")</f>
        <v>6.2777410000000007</v>
      </c>
      <c r="AH5443">
        <v>62.777410000000003</v>
      </c>
      <c r="AI5443">
        <v>240.3707</v>
      </c>
      <c r="AJ5443">
        <v>29.112929999999999</v>
      </c>
      <c r="AK5443">
        <v>50.554830000000003</v>
      </c>
    </row>
    <row r="5444" spans="1:37" x14ac:dyDescent="0.3">
      <c r="A5444">
        <v>5443</v>
      </c>
      <c r="B5444">
        <v>95</v>
      </c>
      <c r="C5444">
        <v>35.850499999999997</v>
      </c>
      <c r="D5444">
        <v>-18.0349</v>
      </c>
      <c r="E5444" t="s">
        <v>8757</v>
      </c>
      <c r="F5444" t="s">
        <v>8758</v>
      </c>
      <c r="G5444" t="s">
        <v>39</v>
      </c>
      <c r="H5444">
        <v>1956</v>
      </c>
      <c r="I5444">
        <v>25.3</v>
      </c>
      <c r="J5444">
        <v>12.4</v>
      </c>
      <c r="K5444">
        <v>65</v>
      </c>
      <c r="L5444">
        <v>22.054020000000001</v>
      </c>
      <c r="M5444">
        <v>34.109969999999997</v>
      </c>
      <c r="N5444">
        <v>15.2</v>
      </c>
      <c r="O5444">
        <v>18.909970000000001</v>
      </c>
      <c r="P5444">
        <v>27.1</v>
      </c>
      <c r="Q5444">
        <v>24.7</v>
      </c>
      <c r="R5444">
        <v>27.409970000000001</v>
      </c>
      <c r="S5444">
        <v>22</v>
      </c>
      <c r="T5444">
        <v>993.09969999999998</v>
      </c>
      <c r="U5444">
        <v>215.09970000000001</v>
      </c>
      <c r="V5444">
        <v>11</v>
      </c>
      <c r="W5444">
        <v>85</v>
      </c>
      <c r="X5444">
        <v>550.09969999999998</v>
      </c>
      <c r="Y5444">
        <v>47</v>
      </c>
      <c r="Z5444">
        <v>447.19929999999999</v>
      </c>
      <c r="AA5444">
        <v>75.900329999999997</v>
      </c>
      <c r="AB5444">
        <v>0.9725492</v>
      </c>
      <c r="AC5444">
        <v>7.9111699999999993E-2</v>
      </c>
      <c r="AD5444">
        <v>1.103113</v>
      </c>
      <c r="AE5444">
        <v>0.29823559999999999</v>
      </c>
      <c r="AF5444">
        <v>13.40686</v>
      </c>
      <c r="AG5444">
        <f>IFERROR(AH5444*0.1, "N/A")</f>
        <v>5.8352940000000002</v>
      </c>
      <c r="AH5444">
        <v>58.352939999999997</v>
      </c>
      <c r="AI5444">
        <v>109.0461</v>
      </c>
      <c r="AJ5444">
        <v>26.839870000000001</v>
      </c>
      <c r="AK5444">
        <v>58.900329999999997</v>
      </c>
    </row>
    <row r="5445" spans="1:37" x14ac:dyDescent="0.3">
      <c r="A5445">
        <v>5444</v>
      </c>
      <c r="B5445">
        <v>10</v>
      </c>
      <c r="C5445">
        <v>35.850499999999997</v>
      </c>
      <c r="D5445">
        <v>-18.0349</v>
      </c>
      <c r="E5445" t="s">
        <v>8757</v>
      </c>
      <c r="F5445" t="s">
        <v>8759</v>
      </c>
      <c r="G5445" t="s">
        <v>37</v>
      </c>
      <c r="H5445">
        <v>1956</v>
      </c>
      <c r="I5445">
        <v>25.3</v>
      </c>
      <c r="J5445">
        <v>12.4</v>
      </c>
      <c r="K5445">
        <v>65</v>
      </c>
      <c r="L5445">
        <v>22.054020000000001</v>
      </c>
      <c r="M5445">
        <v>34.109969999999997</v>
      </c>
      <c r="N5445">
        <v>15.2</v>
      </c>
      <c r="O5445">
        <v>18.909970000000001</v>
      </c>
      <c r="P5445">
        <v>27.1</v>
      </c>
      <c r="Q5445">
        <v>24.7</v>
      </c>
      <c r="R5445">
        <v>27.409970000000001</v>
      </c>
      <c r="S5445">
        <v>22</v>
      </c>
      <c r="T5445">
        <v>993.09969999999998</v>
      </c>
      <c r="U5445">
        <v>215.09970000000001</v>
      </c>
      <c r="V5445">
        <v>11</v>
      </c>
      <c r="W5445">
        <v>85</v>
      </c>
      <c r="X5445">
        <v>550.09969999999998</v>
      </c>
      <c r="Y5445">
        <v>47</v>
      </c>
      <c r="Z5445">
        <v>447.19929999999999</v>
      </c>
      <c r="AA5445">
        <v>75.900329999999997</v>
      </c>
      <c r="AB5445">
        <v>0.9725492</v>
      </c>
      <c r="AC5445">
        <v>7.9111699999999993E-2</v>
      </c>
      <c r="AD5445">
        <v>1.103113</v>
      </c>
      <c r="AE5445">
        <v>0.29823559999999999</v>
      </c>
      <c r="AF5445">
        <v>13.40686</v>
      </c>
      <c r="AG5445">
        <f>IFERROR(AH5445*0.1, "N/A")</f>
        <v>5.8352940000000002</v>
      </c>
      <c r="AH5445">
        <v>58.352939999999997</v>
      </c>
      <c r="AI5445">
        <v>109.0461</v>
      </c>
      <c r="AJ5445">
        <v>26.839870000000001</v>
      </c>
      <c r="AK5445">
        <v>58.900329999999997</v>
      </c>
    </row>
    <row r="5446" spans="1:37" x14ac:dyDescent="0.3">
      <c r="A5446">
        <v>5445</v>
      </c>
      <c r="B5446">
        <v>85</v>
      </c>
      <c r="C5446">
        <v>35.832799999999999</v>
      </c>
      <c r="D5446">
        <v>-17.896100000000001</v>
      </c>
      <c r="E5446" t="s">
        <v>8760</v>
      </c>
      <c r="F5446" t="s">
        <v>8761</v>
      </c>
      <c r="G5446" t="s">
        <v>39</v>
      </c>
      <c r="H5446">
        <v>1956</v>
      </c>
      <c r="I5446">
        <v>25.3</v>
      </c>
      <c r="J5446">
        <v>12.6</v>
      </c>
      <c r="K5446">
        <v>64.431370000000001</v>
      </c>
      <c r="L5446">
        <v>22.18843</v>
      </c>
      <c r="M5446">
        <v>34.456859999999999</v>
      </c>
      <c r="N5446">
        <v>15.043139999999999</v>
      </c>
      <c r="O5446">
        <v>19.413730000000001</v>
      </c>
      <c r="P5446">
        <v>27.3</v>
      </c>
      <c r="Q5446">
        <v>22.9</v>
      </c>
      <c r="R5446">
        <v>27.4</v>
      </c>
      <c r="S5446">
        <v>22</v>
      </c>
      <c r="T5446">
        <v>996</v>
      </c>
      <c r="U5446">
        <v>216</v>
      </c>
      <c r="V5446">
        <v>10</v>
      </c>
      <c r="W5446">
        <v>85</v>
      </c>
      <c r="X5446">
        <v>555</v>
      </c>
      <c r="Y5446">
        <v>46</v>
      </c>
      <c r="Z5446">
        <v>342.98039999999997</v>
      </c>
      <c r="AA5446">
        <v>74</v>
      </c>
      <c r="AB5446">
        <v>0.74003220000000003</v>
      </c>
      <c r="AC5446">
        <v>0.50781980000000004</v>
      </c>
      <c r="AD5446">
        <v>1.0772980000000001</v>
      </c>
      <c r="AE5446">
        <v>0.22899040000000001</v>
      </c>
      <c r="AF5446">
        <v>29.415030000000002</v>
      </c>
      <c r="AG5446">
        <f>IFERROR(AH5446*0.1, "N/A")</f>
        <v>6.3356209999999997</v>
      </c>
      <c r="AH5446">
        <v>63.356209999999997</v>
      </c>
      <c r="AI5446">
        <v>194.17420000000001</v>
      </c>
      <c r="AJ5446">
        <v>23.697710000000001</v>
      </c>
      <c r="AK5446">
        <v>63.946080000000002</v>
      </c>
    </row>
    <row r="5447" spans="1:37" x14ac:dyDescent="0.3">
      <c r="A5447">
        <v>5446</v>
      </c>
      <c r="B5447">
        <v>45</v>
      </c>
      <c r="C5447">
        <v>35.832799999999999</v>
      </c>
      <c r="D5447">
        <v>-17.896100000000001</v>
      </c>
      <c r="E5447" t="s">
        <v>8760</v>
      </c>
      <c r="F5447" t="s">
        <v>8762</v>
      </c>
      <c r="G5447" t="s">
        <v>37</v>
      </c>
      <c r="H5447">
        <v>1956</v>
      </c>
      <c r="I5447">
        <v>25.3</v>
      </c>
      <c r="J5447">
        <v>12.6</v>
      </c>
      <c r="K5447">
        <v>64.431370000000001</v>
      </c>
      <c r="L5447">
        <v>22.18843</v>
      </c>
      <c r="M5447">
        <v>34.456859999999999</v>
      </c>
      <c r="N5447">
        <v>15.043139999999999</v>
      </c>
      <c r="O5447">
        <v>19.413730000000001</v>
      </c>
      <c r="P5447">
        <v>27.3</v>
      </c>
      <c r="Q5447">
        <v>22.9</v>
      </c>
      <c r="R5447">
        <v>27.4</v>
      </c>
      <c r="S5447">
        <v>22</v>
      </c>
      <c r="T5447">
        <v>996</v>
      </c>
      <c r="U5447">
        <v>216</v>
      </c>
      <c r="V5447">
        <v>10</v>
      </c>
      <c r="W5447">
        <v>85</v>
      </c>
      <c r="X5447">
        <v>555</v>
      </c>
      <c r="Y5447">
        <v>46</v>
      </c>
      <c r="Z5447">
        <v>342.98039999999997</v>
      </c>
      <c r="AA5447">
        <v>74</v>
      </c>
      <c r="AB5447">
        <v>0.74003220000000003</v>
      </c>
      <c r="AC5447">
        <v>0.50781980000000004</v>
      </c>
      <c r="AD5447">
        <v>1.0772980000000001</v>
      </c>
      <c r="AE5447">
        <v>0.22899040000000001</v>
      </c>
      <c r="AF5447">
        <v>29.415030000000002</v>
      </c>
      <c r="AG5447">
        <f>IFERROR(AH5447*0.1, "N/A")</f>
        <v>6.3356209999999997</v>
      </c>
      <c r="AH5447">
        <v>63.356209999999997</v>
      </c>
      <c r="AI5447">
        <v>194.17420000000001</v>
      </c>
      <c r="AJ5447">
        <v>23.697710000000001</v>
      </c>
      <c r="AK5447">
        <v>63.946080000000002</v>
      </c>
    </row>
    <row r="5448" spans="1:37" x14ac:dyDescent="0.3">
      <c r="A5448">
        <v>5447</v>
      </c>
      <c r="B5448">
        <v>4.8</v>
      </c>
      <c r="C5448">
        <v>36.887700000000002</v>
      </c>
      <c r="D5448">
        <v>-17.876000000000001</v>
      </c>
      <c r="E5448" t="s">
        <v>8763</v>
      </c>
      <c r="F5448" t="s">
        <v>8764</v>
      </c>
      <c r="G5448" t="s">
        <v>37</v>
      </c>
      <c r="H5448">
        <v>1992</v>
      </c>
      <c r="I5448">
        <v>25.3</v>
      </c>
      <c r="J5448">
        <v>10.199999999999999</v>
      </c>
      <c r="K5448">
        <v>59</v>
      </c>
      <c r="L5448">
        <v>25.48</v>
      </c>
      <c r="M5448">
        <v>33</v>
      </c>
      <c r="N5448">
        <v>15.8</v>
      </c>
      <c r="O5448">
        <v>17.2</v>
      </c>
      <c r="P5448">
        <v>27.8</v>
      </c>
      <c r="Q5448">
        <v>24.1</v>
      </c>
      <c r="R5448">
        <v>27.9</v>
      </c>
      <c r="S5448">
        <v>21.6</v>
      </c>
      <c r="T5448">
        <v>1346</v>
      </c>
      <c r="U5448">
        <v>251</v>
      </c>
      <c r="V5448">
        <v>16</v>
      </c>
      <c r="W5448">
        <v>74</v>
      </c>
      <c r="X5448">
        <v>699</v>
      </c>
      <c r="Y5448">
        <v>62</v>
      </c>
      <c r="Z5448">
        <v>668</v>
      </c>
      <c r="AA5448">
        <v>143</v>
      </c>
      <c r="AB5448">
        <v>0.96307189999999998</v>
      </c>
      <c r="AC5448">
        <v>3.9756449999999999E-2</v>
      </c>
      <c r="AD5448">
        <v>0.92548889999999995</v>
      </c>
      <c r="AE5448">
        <v>0.82100890000000004</v>
      </c>
      <c r="AF5448">
        <v>3.2679740000000002</v>
      </c>
      <c r="AG5448">
        <f>IFERROR(AH5448*0.1, "N/A")</f>
        <v>6.477614</v>
      </c>
      <c r="AH5448">
        <v>64.776139999999998</v>
      </c>
      <c r="AI5448">
        <v>144.72110000000001</v>
      </c>
      <c r="AJ5448">
        <v>29.648689999999998</v>
      </c>
      <c r="AK5448">
        <v>54.540849999999999</v>
      </c>
    </row>
    <row r="5449" spans="1:37" x14ac:dyDescent="0.3">
      <c r="A5449">
        <v>5448</v>
      </c>
      <c r="B5449">
        <v>80</v>
      </c>
      <c r="C5449">
        <v>35.682899999999997</v>
      </c>
      <c r="D5449">
        <v>-17.8476</v>
      </c>
      <c r="E5449" t="s">
        <v>8765</v>
      </c>
      <c r="F5449" t="s">
        <v>8766</v>
      </c>
      <c r="G5449" t="s">
        <v>39</v>
      </c>
      <c r="H5449">
        <v>1956</v>
      </c>
      <c r="I5449">
        <v>25.2</v>
      </c>
      <c r="J5449">
        <v>12.9</v>
      </c>
      <c r="K5449">
        <v>64</v>
      </c>
      <c r="L5449">
        <v>22.91</v>
      </c>
      <c r="M5449">
        <v>34.799999999999997</v>
      </c>
      <c r="N5449">
        <v>14.8</v>
      </c>
      <c r="O5449">
        <v>20</v>
      </c>
      <c r="P5449">
        <v>26.8</v>
      </c>
      <c r="Q5449">
        <v>22.8</v>
      </c>
      <c r="R5449">
        <v>27.4</v>
      </c>
      <c r="S5449">
        <v>21.8</v>
      </c>
      <c r="T5449">
        <v>1007</v>
      </c>
      <c r="U5449">
        <v>219</v>
      </c>
      <c r="V5449">
        <v>9</v>
      </c>
      <c r="W5449">
        <v>88</v>
      </c>
      <c r="X5449">
        <v>565</v>
      </c>
      <c r="Y5449">
        <v>42</v>
      </c>
      <c r="Z5449">
        <v>266</v>
      </c>
      <c r="AA5449">
        <v>71</v>
      </c>
      <c r="AB5449">
        <v>1.897216</v>
      </c>
      <c r="AC5449">
        <v>1.7128239999999999E-2</v>
      </c>
      <c r="AD5449">
        <v>1.029045</v>
      </c>
      <c r="AE5449">
        <v>0.15777079999999999</v>
      </c>
      <c r="AF5449">
        <v>41.353520000000003</v>
      </c>
      <c r="AG5449">
        <f>IFERROR(AH5449*0.1, "N/A")</f>
        <v>6.5</v>
      </c>
      <c r="AH5449">
        <v>65</v>
      </c>
      <c r="AI5449">
        <v>117.5119</v>
      </c>
      <c r="AJ5449">
        <v>22.04092</v>
      </c>
      <c r="AK5449">
        <v>64.986909999999995</v>
      </c>
    </row>
    <row r="5450" spans="1:37" x14ac:dyDescent="0.3">
      <c r="A5450">
        <v>5449</v>
      </c>
      <c r="B5450">
        <v>55</v>
      </c>
      <c r="C5450">
        <v>35.682899999999997</v>
      </c>
      <c r="D5450">
        <v>-17.8476</v>
      </c>
      <c r="E5450" t="s">
        <v>8765</v>
      </c>
      <c r="F5450" t="s">
        <v>8767</v>
      </c>
      <c r="G5450" t="s">
        <v>37</v>
      </c>
      <c r="H5450">
        <v>1956</v>
      </c>
      <c r="I5450">
        <v>25.2</v>
      </c>
      <c r="J5450">
        <v>12.9</v>
      </c>
      <c r="K5450">
        <v>64</v>
      </c>
      <c r="L5450">
        <v>22.91</v>
      </c>
      <c r="M5450">
        <v>34.799999999999997</v>
      </c>
      <c r="N5450">
        <v>14.8</v>
      </c>
      <c r="O5450">
        <v>20</v>
      </c>
      <c r="P5450">
        <v>26.8</v>
      </c>
      <c r="Q5450">
        <v>22.8</v>
      </c>
      <c r="R5450">
        <v>27.4</v>
      </c>
      <c r="S5450">
        <v>21.8</v>
      </c>
      <c r="T5450">
        <v>1007</v>
      </c>
      <c r="U5450">
        <v>219</v>
      </c>
      <c r="V5450">
        <v>9</v>
      </c>
      <c r="W5450">
        <v>88</v>
      </c>
      <c r="X5450">
        <v>565</v>
      </c>
      <c r="Y5450">
        <v>42</v>
      </c>
      <c r="Z5450">
        <v>266</v>
      </c>
      <c r="AA5450">
        <v>71</v>
      </c>
      <c r="AB5450">
        <v>1.897216</v>
      </c>
      <c r="AC5450">
        <v>1.7128239999999999E-2</v>
      </c>
      <c r="AD5450">
        <v>1.029045</v>
      </c>
      <c r="AE5450">
        <v>0.15777079999999999</v>
      </c>
      <c r="AF5450">
        <v>41.353520000000003</v>
      </c>
      <c r="AG5450">
        <f>IFERROR(AH5450*0.1, "N/A")</f>
        <v>6.5</v>
      </c>
      <c r="AH5450">
        <v>65</v>
      </c>
      <c r="AI5450">
        <v>117.5119</v>
      </c>
      <c r="AJ5450">
        <v>22.04092</v>
      </c>
      <c r="AK5450">
        <v>64.986909999999995</v>
      </c>
    </row>
    <row r="5451" spans="1:37" x14ac:dyDescent="0.3">
      <c r="A5451">
        <v>5450</v>
      </c>
      <c r="B5451">
        <v>90</v>
      </c>
      <c r="C5451">
        <v>37.077800000000003</v>
      </c>
      <c r="D5451">
        <v>-17.805299999999999</v>
      </c>
      <c r="E5451" t="s">
        <v>8768</v>
      </c>
      <c r="F5451" t="s">
        <v>8769</v>
      </c>
      <c r="G5451" t="s">
        <v>39</v>
      </c>
      <c r="H5451">
        <v>1956</v>
      </c>
      <c r="I5451">
        <v>25.5</v>
      </c>
      <c r="J5451">
        <v>10.4</v>
      </c>
      <c r="K5451">
        <v>61</v>
      </c>
      <c r="L5451">
        <v>23.07</v>
      </c>
      <c r="M5451">
        <v>33.299999999999997</v>
      </c>
      <c r="N5451">
        <v>16.3</v>
      </c>
      <c r="O5451">
        <v>17</v>
      </c>
      <c r="P5451">
        <v>27.6</v>
      </c>
      <c r="Q5451">
        <v>24.5</v>
      </c>
      <c r="R5451">
        <v>27.8</v>
      </c>
      <c r="S5451">
        <v>22.1</v>
      </c>
      <c r="T5451">
        <v>1325</v>
      </c>
      <c r="U5451">
        <v>260</v>
      </c>
      <c r="V5451">
        <v>15</v>
      </c>
      <c r="W5451">
        <v>76</v>
      </c>
      <c r="X5451">
        <v>704</v>
      </c>
      <c r="Y5451">
        <v>62</v>
      </c>
      <c r="Z5451">
        <v>661</v>
      </c>
      <c r="AA5451">
        <v>143</v>
      </c>
      <c r="AB5451">
        <v>0.68756139999999999</v>
      </c>
      <c r="AC5451">
        <v>0.14236489999999999</v>
      </c>
      <c r="AD5451">
        <v>2.0092789999999998</v>
      </c>
      <c r="AE5451">
        <v>0.25153890000000001</v>
      </c>
      <c r="AF5451">
        <v>1.5679209999999999</v>
      </c>
      <c r="AG5451">
        <f>IFERROR(AH5451*0.1, "N/A")</f>
        <v>6.0857610000000006</v>
      </c>
      <c r="AH5451">
        <v>60.857610000000001</v>
      </c>
      <c r="AI5451">
        <v>95.708879999999994</v>
      </c>
      <c r="AJ5451">
        <v>20.047460000000001</v>
      </c>
      <c r="AK5451">
        <v>65.163669999999996</v>
      </c>
    </row>
    <row r="5452" spans="1:37" x14ac:dyDescent="0.3">
      <c r="A5452">
        <v>5451</v>
      </c>
      <c r="B5452">
        <v>0</v>
      </c>
      <c r="C5452">
        <v>37.077800000000003</v>
      </c>
      <c r="D5452">
        <v>-17.805299999999999</v>
      </c>
      <c r="E5452" t="s">
        <v>8768</v>
      </c>
      <c r="F5452" t="s">
        <v>8770</v>
      </c>
      <c r="G5452" t="s">
        <v>37</v>
      </c>
      <c r="H5452">
        <v>1956</v>
      </c>
      <c r="I5452">
        <v>25.5</v>
      </c>
      <c r="J5452">
        <v>10.4</v>
      </c>
      <c r="K5452">
        <v>61</v>
      </c>
      <c r="L5452">
        <v>23.07</v>
      </c>
      <c r="M5452">
        <v>33.299999999999997</v>
      </c>
      <c r="N5452">
        <v>16.3</v>
      </c>
      <c r="O5452">
        <v>17</v>
      </c>
      <c r="P5452">
        <v>27.6</v>
      </c>
      <c r="Q5452">
        <v>24.5</v>
      </c>
      <c r="R5452">
        <v>27.8</v>
      </c>
      <c r="S5452">
        <v>22.1</v>
      </c>
      <c r="T5452">
        <v>1325</v>
      </c>
      <c r="U5452">
        <v>260</v>
      </c>
      <c r="V5452">
        <v>15</v>
      </c>
      <c r="W5452">
        <v>76</v>
      </c>
      <c r="X5452">
        <v>704</v>
      </c>
      <c r="Y5452">
        <v>62</v>
      </c>
      <c r="Z5452">
        <v>661</v>
      </c>
      <c r="AA5452">
        <v>143</v>
      </c>
      <c r="AB5452">
        <v>0.68756139999999999</v>
      </c>
      <c r="AC5452">
        <v>0.14236489999999999</v>
      </c>
      <c r="AD5452">
        <v>2.0092789999999998</v>
      </c>
      <c r="AE5452">
        <v>0.25153890000000001</v>
      </c>
      <c r="AF5452">
        <v>1.5679209999999999</v>
      </c>
      <c r="AG5452">
        <f>IFERROR(AH5452*0.1, "N/A")</f>
        <v>6.0857610000000006</v>
      </c>
      <c r="AH5452">
        <v>60.857610000000001</v>
      </c>
      <c r="AI5452">
        <v>95.708879999999994</v>
      </c>
      <c r="AJ5452">
        <v>20.047460000000001</v>
      </c>
      <c r="AK5452">
        <v>65.163669999999996</v>
      </c>
    </row>
    <row r="5453" spans="1:37" x14ac:dyDescent="0.3">
      <c r="A5453">
        <v>5452</v>
      </c>
      <c r="B5453">
        <v>95</v>
      </c>
      <c r="C5453">
        <v>36.464399999999998</v>
      </c>
      <c r="D5453">
        <v>-17.803100000000001</v>
      </c>
      <c r="E5453" t="s">
        <v>8771</v>
      </c>
      <c r="F5453" t="s">
        <v>8772</v>
      </c>
      <c r="G5453" t="s">
        <v>39</v>
      </c>
      <c r="H5453">
        <v>1956</v>
      </c>
      <c r="I5453">
        <v>25.4</v>
      </c>
      <c r="J5453">
        <v>11.3</v>
      </c>
      <c r="K5453">
        <v>62</v>
      </c>
      <c r="L5453">
        <v>22.81</v>
      </c>
      <c r="M5453">
        <v>33.700000000000003</v>
      </c>
      <c r="N5453">
        <v>15.7</v>
      </c>
      <c r="O5453">
        <v>18</v>
      </c>
      <c r="P5453">
        <v>27.3</v>
      </c>
      <c r="Q5453">
        <v>24.6</v>
      </c>
      <c r="R5453">
        <v>27.6</v>
      </c>
      <c r="S5453">
        <v>22</v>
      </c>
      <c r="T5453">
        <v>1107</v>
      </c>
      <c r="U5453">
        <v>228</v>
      </c>
      <c r="V5453">
        <v>14</v>
      </c>
      <c r="W5453">
        <v>79</v>
      </c>
      <c r="X5453">
        <v>590</v>
      </c>
      <c r="Y5453">
        <v>53</v>
      </c>
      <c r="Z5453">
        <v>471</v>
      </c>
      <c r="AA5453">
        <v>102</v>
      </c>
      <c r="AB5453">
        <v>1.665025</v>
      </c>
      <c r="AC5453">
        <v>8.9621159999999991E-3</v>
      </c>
      <c r="AD5453">
        <v>1.151017</v>
      </c>
      <c r="AE5453">
        <v>0.18252750000000001</v>
      </c>
      <c r="AF5453">
        <v>11.825939999999999</v>
      </c>
      <c r="AG5453">
        <f>IFERROR(AH5453*0.1, "N/A")</f>
        <v>6.0564860000000005</v>
      </c>
      <c r="AH5453">
        <v>60.564860000000003</v>
      </c>
      <c r="AI5453">
        <v>197.95580000000001</v>
      </c>
      <c r="AJ5453">
        <v>23.806239999999999</v>
      </c>
      <c r="AK5453">
        <v>63.476190000000003</v>
      </c>
    </row>
    <row r="5454" spans="1:37" x14ac:dyDescent="0.3">
      <c r="A5454">
        <v>5453</v>
      </c>
      <c r="B5454">
        <v>20</v>
      </c>
      <c r="C5454">
        <v>36.464399999999998</v>
      </c>
      <c r="D5454">
        <v>-17.803100000000001</v>
      </c>
      <c r="E5454" t="s">
        <v>8771</v>
      </c>
      <c r="F5454" t="s">
        <v>8773</v>
      </c>
      <c r="G5454" t="s">
        <v>37</v>
      </c>
      <c r="H5454">
        <v>1956</v>
      </c>
      <c r="I5454">
        <v>25.4</v>
      </c>
      <c r="J5454">
        <v>11.3</v>
      </c>
      <c r="K5454">
        <v>62</v>
      </c>
      <c r="L5454">
        <v>22.81</v>
      </c>
      <c r="M5454">
        <v>33.700000000000003</v>
      </c>
      <c r="N5454">
        <v>15.7</v>
      </c>
      <c r="O5454">
        <v>18</v>
      </c>
      <c r="P5454">
        <v>27.3</v>
      </c>
      <c r="Q5454">
        <v>24.6</v>
      </c>
      <c r="R5454">
        <v>27.6</v>
      </c>
      <c r="S5454">
        <v>22</v>
      </c>
      <c r="T5454">
        <v>1107</v>
      </c>
      <c r="U5454">
        <v>228</v>
      </c>
      <c r="V5454">
        <v>14</v>
      </c>
      <c r="W5454">
        <v>79</v>
      </c>
      <c r="X5454">
        <v>590</v>
      </c>
      <c r="Y5454">
        <v>53</v>
      </c>
      <c r="Z5454">
        <v>471</v>
      </c>
      <c r="AA5454">
        <v>102</v>
      </c>
      <c r="AB5454">
        <v>1.665025</v>
      </c>
      <c r="AC5454">
        <v>8.9621159999999991E-3</v>
      </c>
      <c r="AD5454">
        <v>1.151017</v>
      </c>
      <c r="AE5454">
        <v>0.18252750000000001</v>
      </c>
      <c r="AF5454">
        <v>11.825939999999999</v>
      </c>
      <c r="AG5454">
        <f>IFERROR(AH5454*0.1, "N/A")</f>
        <v>6.0564860000000005</v>
      </c>
      <c r="AH5454">
        <v>60.564860000000003</v>
      </c>
      <c r="AI5454">
        <v>197.95580000000001</v>
      </c>
      <c r="AJ5454">
        <v>23.806239999999999</v>
      </c>
      <c r="AK5454">
        <v>63.476190000000003</v>
      </c>
    </row>
    <row r="5455" spans="1:37" x14ac:dyDescent="0.3">
      <c r="A5455">
        <v>5454</v>
      </c>
      <c r="B5455">
        <v>85</v>
      </c>
      <c r="C5455">
        <v>36.977800000000002</v>
      </c>
      <c r="D5455">
        <v>-17.795000000000002</v>
      </c>
      <c r="E5455" t="s">
        <v>8774</v>
      </c>
      <c r="F5455" t="s">
        <v>8775</v>
      </c>
      <c r="G5455" t="s">
        <v>39</v>
      </c>
      <c r="H5455">
        <v>1956</v>
      </c>
      <c r="I5455">
        <v>25.5</v>
      </c>
      <c r="J5455">
        <v>10.5</v>
      </c>
      <c r="K5455">
        <v>60</v>
      </c>
      <c r="L5455">
        <v>23.51</v>
      </c>
      <c r="M5455">
        <v>33.4</v>
      </c>
      <c r="N5455">
        <v>16.100000000000001</v>
      </c>
      <c r="O5455">
        <v>17.3</v>
      </c>
      <c r="P5455">
        <v>27.5</v>
      </c>
      <c r="Q5455">
        <v>24.5</v>
      </c>
      <c r="R5455">
        <v>27.7</v>
      </c>
      <c r="S5455">
        <v>22</v>
      </c>
      <c r="T5455">
        <v>1318</v>
      </c>
      <c r="U5455">
        <v>256</v>
      </c>
      <c r="V5455">
        <v>15</v>
      </c>
      <c r="W5455">
        <v>76</v>
      </c>
      <c r="X5455">
        <v>697</v>
      </c>
      <c r="Y5455">
        <v>60</v>
      </c>
      <c r="Z5455">
        <v>514</v>
      </c>
      <c r="AA5455">
        <v>139</v>
      </c>
      <c r="AB5455">
        <v>0.90868859999999996</v>
      </c>
      <c r="AC5455">
        <v>0.70810050000000002</v>
      </c>
      <c r="AD5455">
        <v>1.392935</v>
      </c>
      <c r="AE5455">
        <v>0.32217669999999998</v>
      </c>
      <c r="AF5455">
        <v>3.008197</v>
      </c>
      <c r="AG5455">
        <f>IFERROR(AH5455*0.1, "N/A")</f>
        <v>5.814426000000001</v>
      </c>
      <c r="AH5455">
        <v>58.144260000000003</v>
      </c>
      <c r="AI5455">
        <v>142.12819999999999</v>
      </c>
      <c r="AJ5455">
        <v>20.270489999999999</v>
      </c>
      <c r="AK5455">
        <v>68</v>
      </c>
    </row>
    <row r="5456" spans="1:37" x14ac:dyDescent="0.3">
      <c r="A5456">
        <v>5455</v>
      </c>
      <c r="B5456">
        <v>0</v>
      </c>
      <c r="C5456">
        <v>36.977800000000002</v>
      </c>
      <c r="D5456">
        <v>-17.795000000000002</v>
      </c>
      <c r="E5456" t="s">
        <v>8774</v>
      </c>
      <c r="F5456" t="s">
        <v>8776</v>
      </c>
      <c r="G5456" t="s">
        <v>37</v>
      </c>
      <c r="H5456">
        <v>1956</v>
      </c>
      <c r="I5456">
        <v>25.5</v>
      </c>
      <c r="J5456">
        <v>10.5</v>
      </c>
      <c r="K5456">
        <v>60</v>
      </c>
      <c r="L5456">
        <v>23.51</v>
      </c>
      <c r="M5456">
        <v>33.4</v>
      </c>
      <c r="N5456">
        <v>16.100000000000001</v>
      </c>
      <c r="O5456">
        <v>17.3</v>
      </c>
      <c r="P5456">
        <v>27.5</v>
      </c>
      <c r="Q5456">
        <v>24.5</v>
      </c>
      <c r="R5456">
        <v>27.7</v>
      </c>
      <c r="S5456">
        <v>22</v>
      </c>
      <c r="T5456">
        <v>1318</v>
      </c>
      <c r="U5456">
        <v>256</v>
      </c>
      <c r="V5456">
        <v>15</v>
      </c>
      <c r="W5456">
        <v>76</v>
      </c>
      <c r="X5456">
        <v>697</v>
      </c>
      <c r="Y5456">
        <v>60</v>
      </c>
      <c r="Z5456">
        <v>514</v>
      </c>
      <c r="AA5456">
        <v>139</v>
      </c>
      <c r="AB5456">
        <v>0.90868859999999996</v>
      </c>
      <c r="AC5456">
        <v>0.70810050000000002</v>
      </c>
      <c r="AD5456">
        <v>1.392935</v>
      </c>
      <c r="AE5456">
        <v>0.32217669999999998</v>
      </c>
      <c r="AF5456">
        <v>3.008197</v>
      </c>
      <c r="AG5456">
        <f>IFERROR(AH5456*0.1, "N/A")</f>
        <v>5.814426000000001</v>
      </c>
      <c r="AH5456">
        <v>58.144260000000003</v>
      </c>
      <c r="AI5456">
        <v>142.12819999999999</v>
      </c>
      <c r="AJ5456">
        <v>20.270489999999999</v>
      </c>
      <c r="AK5456">
        <v>68</v>
      </c>
    </row>
    <row r="5457" spans="1:37" x14ac:dyDescent="0.3">
      <c r="A5457">
        <v>5456</v>
      </c>
      <c r="B5457">
        <v>50</v>
      </c>
      <c r="C5457">
        <v>36.272799999999997</v>
      </c>
      <c r="D5457">
        <v>-17.740300000000001</v>
      </c>
      <c r="E5457" t="s">
        <v>8777</v>
      </c>
      <c r="F5457" t="s">
        <v>8778</v>
      </c>
      <c r="G5457" t="s">
        <v>39</v>
      </c>
      <c r="H5457">
        <v>1956</v>
      </c>
      <c r="I5457">
        <v>25.3</v>
      </c>
      <c r="J5457">
        <v>11.8</v>
      </c>
      <c r="K5457">
        <v>63</v>
      </c>
      <c r="L5457">
        <v>22.59</v>
      </c>
      <c r="M5457">
        <v>34</v>
      </c>
      <c r="N5457">
        <v>15.5</v>
      </c>
      <c r="O5457">
        <v>18.5</v>
      </c>
      <c r="P5457">
        <v>27.4</v>
      </c>
      <c r="Q5457">
        <v>24.7</v>
      </c>
      <c r="R5457">
        <v>27.5</v>
      </c>
      <c r="S5457">
        <v>21.9</v>
      </c>
      <c r="T5457">
        <v>1022</v>
      </c>
      <c r="U5457">
        <v>217</v>
      </c>
      <c r="V5457">
        <v>13</v>
      </c>
      <c r="W5457">
        <v>82</v>
      </c>
      <c r="X5457">
        <v>559</v>
      </c>
      <c r="Y5457">
        <v>50</v>
      </c>
      <c r="Z5457">
        <v>457</v>
      </c>
      <c r="AA5457">
        <v>84</v>
      </c>
      <c r="AB5457">
        <v>0.41609220000000002</v>
      </c>
      <c r="AC5457">
        <v>3.9368609999999999</v>
      </c>
      <c r="AD5457">
        <v>2.1464560000000001</v>
      </c>
      <c r="AE5457">
        <v>0.21290799999999999</v>
      </c>
      <c r="AF5457">
        <v>24.62069</v>
      </c>
      <c r="AG5457">
        <f>IFERROR(AH5457*0.1, "N/A")</f>
        <v>6.5919540000000003</v>
      </c>
      <c r="AH5457">
        <v>65.919539999999998</v>
      </c>
      <c r="AI5457">
        <v>171.56479999999999</v>
      </c>
      <c r="AJ5457">
        <v>24.661740000000002</v>
      </c>
      <c r="AK5457">
        <v>61.344830000000002</v>
      </c>
    </row>
    <row r="5458" spans="1:37" x14ac:dyDescent="0.3">
      <c r="A5458">
        <v>5457</v>
      </c>
      <c r="B5458">
        <v>30</v>
      </c>
      <c r="C5458">
        <v>36.272799999999997</v>
      </c>
      <c r="D5458">
        <v>-17.740300000000001</v>
      </c>
      <c r="E5458" t="s">
        <v>8777</v>
      </c>
      <c r="F5458" t="s">
        <v>8779</v>
      </c>
      <c r="G5458" t="s">
        <v>37</v>
      </c>
      <c r="H5458">
        <v>1956</v>
      </c>
      <c r="I5458">
        <v>25.3</v>
      </c>
      <c r="J5458">
        <v>11.8</v>
      </c>
      <c r="K5458">
        <v>63</v>
      </c>
      <c r="L5458">
        <v>22.59</v>
      </c>
      <c r="M5458">
        <v>34</v>
      </c>
      <c r="N5458">
        <v>15.5</v>
      </c>
      <c r="O5458">
        <v>18.5</v>
      </c>
      <c r="P5458">
        <v>27.4</v>
      </c>
      <c r="Q5458">
        <v>24.7</v>
      </c>
      <c r="R5458">
        <v>27.5</v>
      </c>
      <c r="S5458">
        <v>21.9</v>
      </c>
      <c r="T5458">
        <v>1022</v>
      </c>
      <c r="U5458">
        <v>217</v>
      </c>
      <c r="V5458">
        <v>13</v>
      </c>
      <c r="W5458">
        <v>82</v>
      </c>
      <c r="X5458">
        <v>559</v>
      </c>
      <c r="Y5458">
        <v>50</v>
      </c>
      <c r="Z5458">
        <v>457</v>
      </c>
      <c r="AA5458">
        <v>84</v>
      </c>
      <c r="AB5458">
        <v>0.41609220000000002</v>
      </c>
      <c r="AC5458">
        <v>3.9368609999999999</v>
      </c>
      <c r="AD5458">
        <v>2.1464560000000001</v>
      </c>
      <c r="AE5458">
        <v>0.21290799999999999</v>
      </c>
      <c r="AF5458">
        <v>24.62069</v>
      </c>
      <c r="AG5458">
        <f>IFERROR(AH5458*0.1, "N/A")</f>
        <v>6.5919540000000003</v>
      </c>
      <c r="AH5458">
        <v>65.919539999999998</v>
      </c>
      <c r="AI5458">
        <v>171.56479999999999</v>
      </c>
      <c r="AJ5458">
        <v>24.661740000000002</v>
      </c>
      <c r="AK5458">
        <v>61.344830000000002</v>
      </c>
    </row>
    <row r="5459" spans="1:37" x14ac:dyDescent="0.3">
      <c r="A5459">
        <v>5458</v>
      </c>
      <c r="B5459">
        <v>30</v>
      </c>
      <c r="C5459">
        <v>37.191499999999998</v>
      </c>
      <c r="D5459">
        <v>-17.7179</v>
      </c>
      <c r="E5459" t="s">
        <v>8780</v>
      </c>
      <c r="F5459" t="s">
        <v>8781</v>
      </c>
      <c r="G5459" t="s">
        <v>39</v>
      </c>
      <c r="H5459">
        <v>1956</v>
      </c>
      <c r="I5459">
        <v>25.6</v>
      </c>
      <c r="J5459">
        <v>10.6</v>
      </c>
      <c r="K5459">
        <v>61</v>
      </c>
      <c r="L5459">
        <v>22.186889999999998</v>
      </c>
      <c r="M5459">
        <v>33.700000000000003</v>
      </c>
      <c r="N5459">
        <v>16.5</v>
      </c>
      <c r="O5459">
        <v>17.2</v>
      </c>
      <c r="P5459">
        <v>27.590160000000001</v>
      </c>
      <c r="Q5459">
        <v>24.8</v>
      </c>
      <c r="R5459">
        <v>27.8</v>
      </c>
      <c r="S5459">
        <v>22.4</v>
      </c>
      <c r="T5459">
        <v>1306.2950000000001</v>
      </c>
      <c r="U5459">
        <v>264</v>
      </c>
      <c r="V5459">
        <v>14</v>
      </c>
      <c r="W5459">
        <v>77</v>
      </c>
      <c r="X5459">
        <v>705.09839999999997</v>
      </c>
      <c r="Y5459">
        <v>60.09836</v>
      </c>
      <c r="Z5459">
        <v>508</v>
      </c>
      <c r="AA5459">
        <v>140.0984</v>
      </c>
      <c r="AB5459">
        <v>1.926393</v>
      </c>
      <c r="AC5459">
        <v>1.279956E-2</v>
      </c>
      <c r="AD5459">
        <v>1.5502899999999999</v>
      </c>
      <c r="AE5459">
        <v>0.21580060000000001</v>
      </c>
      <c r="AF5459">
        <v>3.137705</v>
      </c>
      <c r="AG5459">
        <f>IFERROR(AH5459*0.1, "N/A")</f>
        <v>5.721311</v>
      </c>
      <c r="AH5459">
        <v>57.21311</v>
      </c>
      <c r="AI5459">
        <v>206.99870000000001</v>
      </c>
      <c r="AJ5459">
        <v>28.508199999999999</v>
      </c>
      <c r="AK5459">
        <v>55.229509999999998</v>
      </c>
    </row>
    <row r="5460" spans="1:37" x14ac:dyDescent="0.3">
      <c r="A5460">
        <v>5459</v>
      </c>
      <c r="B5460">
        <v>0</v>
      </c>
      <c r="C5460">
        <v>37.191499999999998</v>
      </c>
      <c r="D5460">
        <v>-17.7179</v>
      </c>
      <c r="E5460" t="s">
        <v>8780</v>
      </c>
      <c r="F5460" t="s">
        <v>8782</v>
      </c>
      <c r="G5460" t="s">
        <v>37</v>
      </c>
      <c r="H5460">
        <v>1956</v>
      </c>
      <c r="I5460">
        <v>25.6</v>
      </c>
      <c r="J5460">
        <v>10.6</v>
      </c>
      <c r="K5460">
        <v>61</v>
      </c>
      <c r="L5460">
        <v>22.186889999999998</v>
      </c>
      <c r="M5460">
        <v>33.700000000000003</v>
      </c>
      <c r="N5460">
        <v>16.5</v>
      </c>
      <c r="O5460">
        <v>17.2</v>
      </c>
      <c r="P5460">
        <v>27.590160000000001</v>
      </c>
      <c r="Q5460">
        <v>24.8</v>
      </c>
      <c r="R5460">
        <v>27.8</v>
      </c>
      <c r="S5460">
        <v>22.4</v>
      </c>
      <c r="T5460">
        <v>1306.2950000000001</v>
      </c>
      <c r="U5460">
        <v>264</v>
      </c>
      <c r="V5460">
        <v>14</v>
      </c>
      <c r="W5460">
        <v>77</v>
      </c>
      <c r="X5460">
        <v>705.09839999999997</v>
      </c>
      <c r="Y5460">
        <v>60.09836</v>
      </c>
      <c r="Z5460">
        <v>508</v>
      </c>
      <c r="AA5460">
        <v>140.0984</v>
      </c>
      <c r="AB5460">
        <v>1.926393</v>
      </c>
      <c r="AC5460">
        <v>1.279956E-2</v>
      </c>
      <c r="AD5460">
        <v>1.5502899999999999</v>
      </c>
      <c r="AE5460">
        <v>0.21580060000000001</v>
      </c>
      <c r="AF5460">
        <v>3.137705</v>
      </c>
      <c r="AG5460">
        <f>IFERROR(AH5460*0.1, "N/A")</f>
        <v>5.721311</v>
      </c>
      <c r="AH5460">
        <v>57.21311</v>
      </c>
      <c r="AI5460">
        <v>206.99870000000001</v>
      </c>
      <c r="AJ5460">
        <v>28.508199999999999</v>
      </c>
      <c r="AK5460">
        <v>55.229509999999998</v>
      </c>
    </row>
    <row r="5461" spans="1:37" x14ac:dyDescent="0.3">
      <c r="A5461">
        <v>5460</v>
      </c>
      <c r="B5461">
        <v>80</v>
      </c>
      <c r="C5461">
        <v>37.22</v>
      </c>
      <c r="D5461">
        <v>-17.7</v>
      </c>
      <c r="E5461" t="s">
        <v>8783</v>
      </c>
      <c r="F5461" t="s">
        <v>8784</v>
      </c>
      <c r="G5461" t="s">
        <v>39</v>
      </c>
      <c r="H5461">
        <v>1956</v>
      </c>
      <c r="I5461">
        <v>25.6</v>
      </c>
      <c r="J5461">
        <v>10.6</v>
      </c>
      <c r="K5461">
        <v>61</v>
      </c>
      <c r="L5461">
        <v>22.225079999999998</v>
      </c>
      <c r="M5461">
        <v>33.700000000000003</v>
      </c>
      <c r="N5461">
        <v>16.5</v>
      </c>
      <c r="O5461">
        <v>17.2</v>
      </c>
      <c r="P5461">
        <v>27.516940000000002</v>
      </c>
      <c r="Q5461">
        <v>24.8</v>
      </c>
      <c r="R5461">
        <v>27.8</v>
      </c>
      <c r="S5461">
        <v>22.4</v>
      </c>
      <c r="T5461">
        <v>1307.1690000000001</v>
      </c>
      <c r="U5461">
        <v>265</v>
      </c>
      <c r="V5461">
        <v>14</v>
      </c>
      <c r="W5461">
        <v>77</v>
      </c>
      <c r="X5461">
        <v>707</v>
      </c>
      <c r="Y5461">
        <v>61</v>
      </c>
      <c r="Z5461">
        <v>508</v>
      </c>
      <c r="AA5461">
        <v>141</v>
      </c>
      <c r="AB5461">
        <v>0.68963790000000003</v>
      </c>
      <c r="AC5461">
        <v>0.20523530000000001</v>
      </c>
      <c r="AD5461">
        <v>1.01763</v>
      </c>
      <c r="AE5461">
        <v>0.21547089999999999</v>
      </c>
      <c r="AF5461">
        <v>3.572368</v>
      </c>
      <c r="AG5461">
        <f>IFERROR(AH5461*0.1, "N/A")</f>
        <v>5.9830590000000008</v>
      </c>
      <c r="AH5461">
        <v>59.830590000000001</v>
      </c>
      <c r="AI5461">
        <v>149.4134</v>
      </c>
      <c r="AJ5461">
        <v>15.33882</v>
      </c>
      <c r="AK5461">
        <v>71</v>
      </c>
    </row>
    <row r="5462" spans="1:37" x14ac:dyDescent="0.3">
      <c r="A5462">
        <v>5461</v>
      </c>
      <c r="B5462">
        <v>0</v>
      </c>
      <c r="C5462">
        <v>37.22</v>
      </c>
      <c r="D5462">
        <v>-17.7</v>
      </c>
      <c r="E5462" t="s">
        <v>8783</v>
      </c>
      <c r="F5462" t="s">
        <v>8785</v>
      </c>
      <c r="G5462" t="s">
        <v>37</v>
      </c>
      <c r="H5462">
        <v>1956</v>
      </c>
      <c r="I5462">
        <v>25.6</v>
      </c>
      <c r="J5462">
        <v>10.6</v>
      </c>
      <c r="K5462">
        <v>61</v>
      </c>
      <c r="L5462">
        <v>22.225079999999998</v>
      </c>
      <c r="M5462">
        <v>33.700000000000003</v>
      </c>
      <c r="N5462">
        <v>16.5</v>
      </c>
      <c r="O5462">
        <v>17.2</v>
      </c>
      <c r="P5462">
        <v>27.516940000000002</v>
      </c>
      <c r="Q5462">
        <v>24.8</v>
      </c>
      <c r="R5462">
        <v>27.8</v>
      </c>
      <c r="S5462">
        <v>22.4</v>
      </c>
      <c r="T5462">
        <v>1307.1690000000001</v>
      </c>
      <c r="U5462">
        <v>265</v>
      </c>
      <c r="V5462">
        <v>14</v>
      </c>
      <c r="W5462">
        <v>77</v>
      </c>
      <c r="X5462">
        <v>707</v>
      </c>
      <c r="Y5462">
        <v>61</v>
      </c>
      <c r="Z5462">
        <v>508</v>
      </c>
      <c r="AA5462">
        <v>141</v>
      </c>
      <c r="AB5462">
        <v>0.68963790000000003</v>
      </c>
      <c r="AC5462">
        <v>0.20523530000000001</v>
      </c>
      <c r="AD5462">
        <v>1.01763</v>
      </c>
      <c r="AE5462">
        <v>0.21547089999999999</v>
      </c>
      <c r="AF5462">
        <v>3.572368</v>
      </c>
      <c r="AG5462">
        <f>IFERROR(AH5462*0.1, "N/A")</f>
        <v>5.9830590000000008</v>
      </c>
      <c r="AH5462">
        <v>59.830590000000001</v>
      </c>
      <c r="AI5462">
        <v>149.4134</v>
      </c>
      <c r="AJ5462">
        <v>15.33882</v>
      </c>
      <c r="AK5462">
        <v>71</v>
      </c>
    </row>
    <row r="5463" spans="1:37" x14ac:dyDescent="0.3">
      <c r="A5463">
        <v>5462</v>
      </c>
      <c r="B5463">
        <v>95</v>
      </c>
      <c r="C5463">
        <v>37.294199999999996</v>
      </c>
      <c r="D5463">
        <v>-17.658899999999999</v>
      </c>
      <c r="E5463" t="s">
        <v>8786</v>
      </c>
      <c r="F5463" t="s">
        <v>8787</v>
      </c>
      <c r="G5463" t="s">
        <v>39</v>
      </c>
      <c r="H5463">
        <v>1956</v>
      </c>
      <c r="I5463">
        <v>25.7</v>
      </c>
      <c r="J5463">
        <v>10.50361</v>
      </c>
      <c r="K5463">
        <v>61</v>
      </c>
      <c r="L5463">
        <v>21.925170000000001</v>
      </c>
      <c r="M5463">
        <v>33.607219999999998</v>
      </c>
      <c r="N5463">
        <v>16.600000000000001</v>
      </c>
      <c r="O5463">
        <v>17.00722</v>
      </c>
      <c r="P5463">
        <v>27.5</v>
      </c>
      <c r="Q5463">
        <v>24.8</v>
      </c>
      <c r="R5463">
        <v>27.707229999999999</v>
      </c>
      <c r="S5463">
        <v>22.4</v>
      </c>
      <c r="T5463">
        <v>1314.8920000000001</v>
      </c>
      <c r="U5463">
        <v>267</v>
      </c>
      <c r="V5463">
        <v>14</v>
      </c>
      <c r="W5463">
        <v>77</v>
      </c>
      <c r="X5463">
        <v>712.96389999999997</v>
      </c>
      <c r="Y5463">
        <v>62</v>
      </c>
      <c r="Z5463">
        <v>507</v>
      </c>
      <c r="AA5463">
        <v>143.92779999999999</v>
      </c>
      <c r="AB5463">
        <v>1.322824</v>
      </c>
      <c r="AC5463">
        <v>2.713515E-2</v>
      </c>
      <c r="AD5463">
        <v>1.8011029999999999</v>
      </c>
      <c r="AE5463">
        <v>0.2199392</v>
      </c>
      <c r="AF5463">
        <v>7.6091949999999997</v>
      </c>
      <c r="AG5463">
        <f>IFERROR(AH5463*0.1, "N/A")</f>
        <v>5.9338259999999998</v>
      </c>
      <c r="AH5463">
        <v>59.338259999999998</v>
      </c>
      <c r="AI5463">
        <v>233.30850000000001</v>
      </c>
      <c r="AJ5463">
        <v>24.58785</v>
      </c>
      <c r="AK5463">
        <v>62.36289</v>
      </c>
    </row>
    <row r="5464" spans="1:37" x14ac:dyDescent="0.3">
      <c r="A5464">
        <v>5463</v>
      </c>
      <c r="B5464">
        <v>0</v>
      </c>
      <c r="C5464">
        <v>37.294199999999996</v>
      </c>
      <c r="D5464">
        <v>-17.658899999999999</v>
      </c>
      <c r="E5464" t="s">
        <v>8786</v>
      </c>
      <c r="F5464" t="s">
        <v>8788</v>
      </c>
      <c r="G5464" t="s">
        <v>37</v>
      </c>
      <c r="H5464">
        <v>1956</v>
      </c>
      <c r="I5464">
        <v>25.7</v>
      </c>
      <c r="J5464">
        <v>10.50361</v>
      </c>
      <c r="K5464">
        <v>61</v>
      </c>
      <c r="L5464">
        <v>21.925170000000001</v>
      </c>
      <c r="M5464">
        <v>33.607219999999998</v>
      </c>
      <c r="N5464">
        <v>16.600000000000001</v>
      </c>
      <c r="O5464">
        <v>17.00722</v>
      </c>
      <c r="P5464">
        <v>27.5</v>
      </c>
      <c r="Q5464">
        <v>24.8</v>
      </c>
      <c r="R5464">
        <v>27.707229999999999</v>
      </c>
      <c r="S5464">
        <v>22.4</v>
      </c>
      <c r="T5464">
        <v>1314.8920000000001</v>
      </c>
      <c r="U5464">
        <v>267</v>
      </c>
      <c r="V5464">
        <v>14</v>
      </c>
      <c r="W5464">
        <v>77</v>
      </c>
      <c r="X5464">
        <v>712.96389999999997</v>
      </c>
      <c r="Y5464">
        <v>62</v>
      </c>
      <c r="Z5464">
        <v>507</v>
      </c>
      <c r="AA5464">
        <v>143.92779999999999</v>
      </c>
      <c r="AB5464">
        <v>1.322824</v>
      </c>
      <c r="AC5464">
        <v>2.713515E-2</v>
      </c>
      <c r="AD5464">
        <v>1.8011029999999999</v>
      </c>
      <c r="AE5464">
        <v>0.2199392</v>
      </c>
      <c r="AF5464">
        <v>7.6091949999999997</v>
      </c>
      <c r="AG5464">
        <f>IFERROR(AH5464*0.1, "N/A")</f>
        <v>5.9338259999999998</v>
      </c>
      <c r="AH5464">
        <v>59.338259999999998</v>
      </c>
      <c r="AI5464">
        <v>233.30850000000001</v>
      </c>
      <c r="AJ5464">
        <v>24.58785</v>
      </c>
      <c r="AK5464">
        <v>62.36289</v>
      </c>
    </row>
    <row r="5465" spans="1:37" x14ac:dyDescent="0.3">
      <c r="A5465">
        <v>5464</v>
      </c>
      <c r="B5465">
        <v>40</v>
      </c>
      <c r="C5465">
        <v>37.396700000000003</v>
      </c>
      <c r="D5465">
        <v>-17.608000000000001</v>
      </c>
      <c r="E5465" t="s">
        <v>8789</v>
      </c>
      <c r="F5465" t="s">
        <v>8790</v>
      </c>
      <c r="G5465" t="s">
        <v>39</v>
      </c>
      <c r="H5465">
        <v>1956</v>
      </c>
      <c r="I5465">
        <v>25.8</v>
      </c>
      <c r="J5465">
        <v>10.4</v>
      </c>
      <c r="K5465">
        <v>61</v>
      </c>
      <c r="L5465">
        <v>21.901340000000001</v>
      </c>
      <c r="M5465">
        <v>33.700000000000003</v>
      </c>
      <c r="N5465">
        <v>16.7</v>
      </c>
      <c r="O5465">
        <v>17</v>
      </c>
      <c r="P5465">
        <v>27.6</v>
      </c>
      <c r="Q5465">
        <v>24.9</v>
      </c>
      <c r="R5465">
        <v>27.9</v>
      </c>
      <c r="S5465">
        <v>22.499669999999998</v>
      </c>
      <c r="T5465">
        <v>1318.0070000000001</v>
      </c>
      <c r="U5465">
        <v>268</v>
      </c>
      <c r="V5465">
        <v>14</v>
      </c>
      <c r="W5465">
        <v>77</v>
      </c>
      <c r="X5465">
        <v>717</v>
      </c>
      <c r="Y5465">
        <v>63</v>
      </c>
      <c r="Z5465">
        <v>503</v>
      </c>
      <c r="AA5465">
        <v>145.0033</v>
      </c>
      <c r="AB5465">
        <v>8.4917960000000001E-2</v>
      </c>
      <c r="AC5465">
        <v>1.591213</v>
      </c>
      <c r="AD5465">
        <v>1.456699</v>
      </c>
      <c r="AE5465">
        <v>0.19548969999999999</v>
      </c>
      <c r="AF5465">
        <v>1.3114749999999999</v>
      </c>
      <c r="AG5465">
        <f>IFERROR(AH5465*0.1, "N/A")</f>
        <v>6.1045900000000008</v>
      </c>
      <c r="AH5465">
        <v>61.045900000000003</v>
      </c>
      <c r="AI5465">
        <v>80.476510000000005</v>
      </c>
      <c r="AJ5465">
        <v>23.022950000000002</v>
      </c>
      <c r="AK5465">
        <v>63.927869999999999</v>
      </c>
    </row>
    <row r="5466" spans="1:37" x14ac:dyDescent="0.3">
      <c r="A5466">
        <v>5465</v>
      </c>
      <c r="B5466">
        <v>0</v>
      </c>
      <c r="C5466">
        <v>37.396700000000003</v>
      </c>
      <c r="D5466">
        <v>-17.608000000000001</v>
      </c>
      <c r="E5466" t="s">
        <v>8789</v>
      </c>
      <c r="F5466" t="s">
        <v>8791</v>
      </c>
      <c r="G5466" t="s">
        <v>37</v>
      </c>
      <c r="H5466">
        <v>1956</v>
      </c>
      <c r="I5466">
        <v>25.8</v>
      </c>
      <c r="J5466">
        <v>10.4</v>
      </c>
      <c r="K5466">
        <v>61</v>
      </c>
      <c r="L5466">
        <v>21.901340000000001</v>
      </c>
      <c r="M5466">
        <v>33.700000000000003</v>
      </c>
      <c r="N5466">
        <v>16.7</v>
      </c>
      <c r="O5466">
        <v>17</v>
      </c>
      <c r="P5466">
        <v>27.6</v>
      </c>
      <c r="Q5466">
        <v>24.9</v>
      </c>
      <c r="R5466">
        <v>27.9</v>
      </c>
      <c r="S5466">
        <v>22.499669999999998</v>
      </c>
      <c r="T5466">
        <v>1318.0070000000001</v>
      </c>
      <c r="U5466">
        <v>268</v>
      </c>
      <c r="V5466">
        <v>14</v>
      </c>
      <c r="W5466">
        <v>77</v>
      </c>
      <c r="X5466">
        <v>717</v>
      </c>
      <c r="Y5466">
        <v>63</v>
      </c>
      <c r="Z5466">
        <v>503</v>
      </c>
      <c r="AA5466">
        <v>145.0033</v>
      </c>
      <c r="AB5466">
        <v>8.4917960000000001E-2</v>
      </c>
      <c r="AC5466">
        <v>1.591213</v>
      </c>
      <c r="AD5466">
        <v>1.456699</v>
      </c>
      <c r="AE5466">
        <v>0.19548969999999999</v>
      </c>
      <c r="AF5466">
        <v>1.3114749999999999</v>
      </c>
      <c r="AG5466">
        <f>IFERROR(AH5466*0.1, "N/A")</f>
        <v>6.1045900000000008</v>
      </c>
      <c r="AH5466">
        <v>61.045900000000003</v>
      </c>
      <c r="AI5466">
        <v>80.476510000000005</v>
      </c>
      <c r="AJ5466">
        <v>23.022950000000002</v>
      </c>
      <c r="AK5466">
        <v>63.927869999999999</v>
      </c>
    </row>
    <row r="5467" spans="1:37" x14ac:dyDescent="0.3">
      <c r="A5467">
        <v>5466</v>
      </c>
      <c r="B5467">
        <v>45</v>
      </c>
      <c r="C5467">
        <v>36.814100000000003</v>
      </c>
      <c r="D5467">
        <v>-17.595600000000001</v>
      </c>
      <c r="E5467" t="s">
        <v>8792</v>
      </c>
      <c r="F5467" t="s">
        <v>8793</v>
      </c>
      <c r="G5467" t="s">
        <v>39</v>
      </c>
      <c r="H5467">
        <v>1956</v>
      </c>
      <c r="I5467">
        <v>25.6</v>
      </c>
      <c r="J5467">
        <v>11.6</v>
      </c>
      <c r="K5467">
        <v>62</v>
      </c>
      <c r="L5467">
        <v>22.05</v>
      </c>
      <c r="M5467">
        <v>34.4</v>
      </c>
      <c r="N5467">
        <v>15.9</v>
      </c>
      <c r="O5467">
        <v>18.5</v>
      </c>
      <c r="P5467">
        <v>27.3</v>
      </c>
      <c r="Q5467">
        <v>24.9</v>
      </c>
      <c r="R5467">
        <v>27.6</v>
      </c>
      <c r="S5467">
        <v>22.3</v>
      </c>
      <c r="T5467">
        <v>1194</v>
      </c>
      <c r="U5467">
        <v>249</v>
      </c>
      <c r="V5467">
        <v>15</v>
      </c>
      <c r="W5467">
        <v>80</v>
      </c>
      <c r="X5467">
        <v>646</v>
      </c>
      <c r="Y5467">
        <v>56</v>
      </c>
      <c r="Z5467">
        <v>504</v>
      </c>
      <c r="AA5467">
        <v>112</v>
      </c>
      <c r="AB5467">
        <v>8.2486040000000003</v>
      </c>
      <c r="AC5467">
        <v>1.17845E-2</v>
      </c>
      <c r="AD5467">
        <v>0.87729429999999997</v>
      </c>
      <c r="AE5467">
        <v>0.57598970000000005</v>
      </c>
      <c r="AF5467">
        <v>16.825939999999999</v>
      </c>
      <c r="AG5467">
        <f>IFERROR(AH5467*0.1, "N/A")</f>
        <v>6.4962230000000005</v>
      </c>
      <c r="AH5467">
        <v>64.962230000000005</v>
      </c>
      <c r="AI5467">
        <v>187.91290000000001</v>
      </c>
      <c r="AJ5467">
        <v>16.962230000000002</v>
      </c>
      <c r="AK5467">
        <v>74.075530000000001</v>
      </c>
    </row>
    <row r="5468" spans="1:37" x14ac:dyDescent="0.3">
      <c r="A5468">
        <v>5467</v>
      </c>
      <c r="B5468">
        <v>0</v>
      </c>
      <c r="C5468">
        <v>36.814100000000003</v>
      </c>
      <c r="D5468">
        <v>-17.595600000000001</v>
      </c>
      <c r="E5468" t="s">
        <v>8792</v>
      </c>
      <c r="F5468" t="s">
        <v>8794</v>
      </c>
      <c r="G5468" t="s">
        <v>37</v>
      </c>
      <c r="H5468">
        <v>1956</v>
      </c>
      <c r="I5468">
        <v>25.6</v>
      </c>
      <c r="J5468">
        <v>11.6</v>
      </c>
      <c r="K5468">
        <v>62</v>
      </c>
      <c r="L5468">
        <v>22.05</v>
      </c>
      <c r="M5468">
        <v>34.4</v>
      </c>
      <c r="N5468">
        <v>15.9</v>
      </c>
      <c r="O5468">
        <v>18.5</v>
      </c>
      <c r="P5468">
        <v>27.3</v>
      </c>
      <c r="Q5468">
        <v>24.9</v>
      </c>
      <c r="R5468">
        <v>27.6</v>
      </c>
      <c r="S5468">
        <v>22.3</v>
      </c>
      <c r="T5468">
        <v>1194</v>
      </c>
      <c r="U5468">
        <v>249</v>
      </c>
      <c r="V5468">
        <v>15</v>
      </c>
      <c r="W5468">
        <v>80</v>
      </c>
      <c r="X5468">
        <v>646</v>
      </c>
      <c r="Y5468">
        <v>56</v>
      </c>
      <c r="Z5468">
        <v>504</v>
      </c>
      <c r="AA5468">
        <v>112</v>
      </c>
      <c r="AB5468">
        <v>8.2486040000000003</v>
      </c>
      <c r="AC5468">
        <v>1.17845E-2</v>
      </c>
      <c r="AD5468">
        <v>0.87729429999999997</v>
      </c>
      <c r="AE5468">
        <v>0.57598970000000005</v>
      </c>
      <c r="AF5468">
        <v>16.825939999999999</v>
      </c>
      <c r="AG5468">
        <f>IFERROR(AH5468*0.1, "N/A")</f>
        <v>6.4962230000000005</v>
      </c>
      <c r="AH5468">
        <v>64.962230000000005</v>
      </c>
      <c r="AI5468">
        <v>187.91290000000001</v>
      </c>
      <c r="AJ5468">
        <v>16.962230000000002</v>
      </c>
      <c r="AK5468">
        <v>74.075530000000001</v>
      </c>
    </row>
    <row r="5469" spans="1:37" x14ac:dyDescent="0.3">
      <c r="A5469">
        <v>5468</v>
      </c>
      <c r="B5469">
        <v>45</v>
      </c>
      <c r="C5469">
        <v>37.467500000000001</v>
      </c>
      <c r="D5469">
        <v>-17.5594</v>
      </c>
      <c r="E5469" t="s">
        <v>8795</v>
      </c>
      <c r="F5469" t="s">
        <v>8796</v>
      </c>
      <c r="G5469" t="s">
        <v>39</v>
      </c>
      <c r="H5469">
        <v>1956</v>
      </c>
      <c r="I5469">
        <v>25.7</v>
      </c>
      <c r="J5469">
        <v>10.3</v>
      </c>
      <c r="K5469">
        <v>61</v>
      </c>
      <c r="L5469">
        <v>22.299199999999999</v>
      </c>
      <c r="M5469">
        <v>33.6</v>
      </c>
      <c r="N5469">
        <v>16.8</v>
      </c>
      <c r="O5469">
        <v>16.8</v>
      </c>
      <c r="P5469">
        <v>27.6</v>
      </c>
      <c r="Q5469">
        <v>24.8</v>
      </c>
      <c r="R5469">
        <v>27.9</v>
      </c>
      <c r="S5469">
        <v>22.4</v>
      </c>
      <c r="T5469">
        <v>1328.9159999999999</v>
      </c>
      <c r="U5469">
        <v>269</v>
      </c>
      <c r="V5469">
        <v>13</v>
      </c>
      <c r="W5469">
        <v>77</v>
      </c>
      <c r="X5469">
        <v>723.91639999999995</v>
      </c>
      <c r="Y5469">
        <v>63</v>
      </c>
      <c r="Z5469">
        <v>502</v>
      </c>
      <c r="AA5469">
        <v>148</v>
      </c>
      <c r="AB5469">
        <v>3.6227870000000002</v>
      </c>
      <c r="AC5469">
        <v>3.4673990000000002E-2</v>
      </c>
      <c r="AD5469">
        <v>1.721087</v>
      </c>
      <c r="AE5469">
        <v>0.2033393</v>
      </c>
      <c r="AF5469">
        <v>6.3131149999999998</v>
      </c>
      <c r="AG5469">
        <f>IFERROR(AH5469*0.1, "N/A")</f>
        <v>5.906721000000001</v>
      </c>
      <c r="AH5469">
        <v>59.067210000000003</v>
      </c>
      <c r="AI5469">
        <v>188.20760000000001</v>
      </c>
      <c r="AJ5469">
        <v>19.480329999999999</v>
      </c>
      <c r="AK5469">
        <v>66.519670000000005</v>
      </c>
    </row>
    <row r="5470" spans="1:37" x14ac:dyDescent="0.3">
      <c r="A5470">
        <v>5469</v>
      </c>
      <c r="B5470">
        <v>0</v>
      </c>
      <c r="C5470">
        <v>37.467500000000001</v>
      </c>
      <c r="D5470">
        <v>-17.5594</v>
      </c>
      <c r="E5470" t="s">
        <v>8795</v>
      </c>
      <c r="F5470" t="s">
        <v>8797</v>
      </c>
      <c r="G5470" t="s">
        <v>37</v>
      </c>
      <c r="H5470">
        <v>1956</v>
      </c>
      <c r="I5470">
        <v>25.7</v>
      </c>
      <c r="J5470">
        <v>10.3</v>
      </c>
      <c r="K5470">
        <v>61</v>
      </c>
      <c r="L5470">
        <v>22.299199999999999</v>
      </c>
      <c r="M5470">
        <v>33.6</v>
      </c>
      <c r="N5470">
        <v>16.8</v>
      </c>
      <c r="O5470">
        <v>16.8</v>
      </c>
      <c r="P5470">
        <v>27.6</v>
      </c>
      <c r="Q5470">
        <v>24.8</v>
      </c>
      <c r="R5470">
        <v>27.9</v>
      </c>
      <c r="S5470">
        <v>22.4</v>
      </c>
      <c r="T5470">
        <v>1328.9159999999999</v>
      </c>
      <c r="U5470">
        <v>269</v>
      </c>
      <c r="V5470">
        <v>13</v>
      </c>
      <c r="W5470">
        <v>77</v>
      </c>
      <c r="X5470">
        <v>723.91639999999995</v>
      </c>
      <c r="Y5470">
        <v>63</v>
      </c>
      <c r="Z5470">
        <v>502</v>
      </c>
      <c r="AA5470">
        <v>148</v>
      </c>
      <c r="AB5470">
        <v>3.6227870000000002</v>
      </c>
      <c r="AC5470">
        <v>3.4673990000000002E-2</v>
      </c>
      <c r="AD5470">
        <v>1.721087</v>
      </c>
      <c r="AE5470">
        <v>0.2033393</v>
      </c>
      <c r="AF5470">
        <v>6.3131149999999998</v>
      </c>
      <c r="AG5470">
        <f>IFERROR(AH5470*0.1, "N/A")</f>
        <v>5.906721000000001</v>
      </c>
      <c r="AH5470">
        <v>59.067210000000003</v>
      </c>
      <c r="AI5470">
        <v>188.20760000000001</v>
      </c>
      <c r="AJ5470">
        <v>19.480329999999999</v>
      </c>
      <c r="AK5470">
        <v>66.519670000000005</v>
      </c>
    </row>
    <row r="5471" spans="1:37" x14ac:dyDescent="0.3">
      <c r="A5471">
        <v>5470</v>
      </c>
      <c r="B5471">
        <v>70</v>
      </c>
      <c r="C5471">
        <v>37.045299999999997</v>
      </c>
      <c r="D5471">
        <v>-17.5123</v>
      </c>
      <c r="E5471" t="s">
        <v>8798</v>
      </c>
      <c r="F5471" t="s">
        <v>8799</v>
      </c>
      <c r="G5471" t="s">
        <v>39</v>
      </c>
      <c r="H5471">
        <v>1956</v>
      </c>
      <c r="I5471">
        <v>25.8</v>
      </c>
      <c r="J5471">
        <v>11.8</v>
      </c>
      <c r="K5471">
        <v>63</v>
      </c>
      <c r="L5471">
        <v>20.32</v>
      </c>
      <c r="M5471">
        <v>34.9</v>
      </c>
      <c r="N5471">
        <v>16.399999999999999</v>
      </c>
      <c r="O5471">
        <v>18.5</v>
      </c>
      <c r="P5471">
        <v>27.1</v>
      </c>
      <c r="Q5471">
        <v>25.3</v>
      </c>
      <c r="R5471">
        <v>27.9</v>
      </c>
      <c r="S5471">
        <v>22.8</v>
      </c>
      <c r="T5471">
        <v>1216</v>
      </c>
      <c r="U5471">
        <v>264</v>
      </c>
      <c r="V5471">
        <v>13</v>
      </c>
      <c r="W5471">
        <v>81</v>
      </c>
      <c r="X5471">
        <v>674</v>
      </c>
      <c r="Y5471">
        <v>55</v>
      </c>
      <c r="Z5471">
        <v>261</v>
      </c>
      <c r="AA5471">
        <v>116</v>
      </c>
      <c r="AB5471">
        <v>11.189019999999999</v>
      </c>
      <c r="AC5471">
        <v>1.746851E-2</v>
      </c>
      <c r="AD5471">
        <v>2.1625740000000002</v>
      </c>
      <c r="AE5471">
        <v>0.61249480000000001</v>
      </c>
      <c r="AF5471">
        <v>18.55574</v>
      </c>
      <c r="AG5471">
        <f>IFERROR(AH5471*0.1, "N/A")</f>
        <v>6.2</v>
      </c>
      <c r="AH5471">
        <v>62</v>
      </c>
      <c r="AI5471">
        <v>210.6833</v>
      </c>
      <c r="AJ5471">
        <v>16.745899999999999</v>
      </c>
      <c r="AK5471">
        <v>73.508200000000002</v>
      </c>
    </row>
    <row r="5472" spans="1:37" x14ac:dyDescent="0.3">
      <c r="A5472">
        <v>5471</v>
      </c>
      <c r="B5472">
        <v>0</v>
      </c>
      <c r="C5472">
        <v>37.045299999999997</v>
      </c>
      <c r="D5472">
        <v>-17.5123</v>
      </c>
      <c r="E5472" t="s">
        <v>8798</v>
      </c>
      <c r="F5472" t="s">
        <v>8800</v>
      </c>
      <c r="G5472" t="s">
        <v>37</v>
      </c>
      <c r="H5472">
        <v>1956</v>
      </c>
      <c r="I5472">
        <v>25.8</v>
      </c>
      <c r="J5472">
        <v>11.8</v>
      </c>
      <c r="K5472">
        <v>63</v>
      </c>
      <c r="L5472">
        <v>20.32</v>
      </c>
      <c r="M5472">
        <v>34.9</v>
      </c>
      <c r="N5472">
        <v>16.399999999999999</v>
      </c>
      <c r="O5472">
        <v>18.5</v>
      </c>
      <c r="P5472">
        <v>27.1</v>
      </c>
      <c r="Q5472">
        <v>25.3</v>
      </c>
      <c r="R5472">
        <v>27.9</v>
      </c>
      <c r="S5472">
        <v>22.8</v>
      </c>
      <c r="T5472">
        <v>1216</v>
      </c>
      <c r="U5472">
        <v>264</v>
      </c>
      <c r="V5472">
        <v>13</v>
      </c>
      <c r="W5472">
        <v>81</v>
      </c>
      <c r="X5472">
        <v>674</v>
      </c>
      <c r="Y5472">
        <v>55</v>
      </c>
      <c r="Z5472">
        <v>261</v>
      </c>
      <c r="AA5472">
        <v>116</v>
      </c>
      <c r="AB5472">
        <v>11.189019999999999</v>
      </c>
      <c r="AC5472">
        <v>1.746851E-2</v>
      </c>
      <c r="AD5472">
        <v>2.1625740000000002</v>
      </c>
      <c r="AE5472">
        <v>0.61249480000000001</v>
      </c>
      <c r="AF5472">
        <v>18.55574</v>
      </c>
      <c r="AG5472">
        <f>IFERROR(AH5472*0.1, "N/A")</f>
        <v>6.2</v>
      </c>
      <c r="AH5472">
        <v>62</v>
      </c>
      <c r="AI5472">
        <v>210.6833</v>
      </c>
      <c r="AJ5472">
        <v>16.745899999999999</v>
      </c>
      <c r="AK5472">
        <v>73.508200000000002</v>
      </c>
    </row>
    <row r="5473" spans="1:37" x14ac:dyDescent="0.3">
      <c r="A5473">
        <v>5472</v>
      </c>
      <c r="B5473">
        <v>55</v>
      </c>
      <c r="C5473">
        <v>37.108600000000003</v>
      </c>
      <c r="D5473">
        <v>-17.5016</v>
      </c>
      <c r="E5473" t="s">
        <v>8801</v>
      </c>
      <c r="F5473" t="s">
        <v>8802</v>
      </c>
      <c r="G5473" t="s">
        <v>39</v>
      </c>
      <c r="H5473">
        <v>1956</v>
      </c>
      <c r="I5473">
        <v>25.8</v>
      </c>
      <c r="J5473">
        <v>11.6</v>
      </c>
      <c r="K5473">
        <v>63</v>
      </c>
      <c r="L5473">
        <v>20.625070000000001</v>
      </c>
      <c r="M5473">
        <v>34.758459999999999</v>
      </c>
      <c r="N5473">
        <v>16.458459999999999</v>
      </c>
      <c r="O5473">
        <v>18.3</v>
      </c>
      <c r="P5473">
        <v>27.3</v>
      </c>
      <c r="Q5473">
        <v>25.241540000000001</v>
      </c>
      <c r="R5473">
        <v>27.9</v>
      </c>
      <c r="S5473">
        <v>22.8</v>
      </c>
      <c r="T5473">
        <v>1234.923</v>
      </c>
      <c r="U5473">
        <v>264.58460000000002</v>
      </c>
      <c r="V5473">
        <v>14</v>
      </c>
      <c r="W5473">
        <v>80.415440000000004</v>
      </c>
      <c r="X5473">
        <v>680.75369999999998</v>
      </c>
      <c r="Y5473">
        <v>57.584560000000003</v>
      </c>
      <c r="Z5473">
        <v>261</v>
      </c>
      <c r="AA5473">
        <v>121.58459999999999</v>
      </c>
      <c r="AB5473">
        <v>6.4466340000000004</v>
      </c>
      <c r="AC5473">
        <v>9.5545039999999998E-2</v>
      </c>
      <c r="AD5473">
        <v>1.0651349999999999</v>
      </c>
      <c r="AE5473">
        <v>0.23297599999999999</v>
      </c>
      <c r="AF5473">
        <v>13.466340000000001</v>
      </c>
      <c r="AG5473">
        <f>IFERROR(AH5473*0.1, "N/A")</f>
        <v>6.2466340000000002</v>
      </c>
      <c r="AH5473">
        <v>62.466340000000002</v>
      </c>
      <c r="AI5473">
        <v>199.28639999999999</v>
      </c>
      <c r="AJ5473">
        <v>15</v>
      </c>
      <c r="AK5473">
        <v>76.466340000000002</v>
      </c>
    </row>
    <row r="5474" spans="1:37" x14ac:dyDescent="0.3">
      <c r="A5474">
        <v>5473</v>
      </c>
      <c r="B5474">
        <v>0</v>
      </c>
      <c r="C5474">
        <v>37.108600000000003</v>
      </c>
      <c r="D5474">
        <v>-17.5016</v>
      </c>
      <c r="E5474" t="s">
        <v>8801</v>
      </c>
      <c r="F5474" t="s">
        <v>8803</v>
      </c>
      <c r="G5474" t="s">
        <v>37</v>
      </c>
      <c r="H5474">
        <v>1956</v>
      </c>
      <c r="I5474">
        <v>25.8</v>
      </c>
      <c r="J5474">
        <v>11.6</v>
      </c>
      <c r="K5474">
        <v>63</v>
      </c>
      <c r="L5474">
        <v>20.625070000000001</v>
      </c>
      <c r="M5474">
        <v>34.758459999999999</v>
      </c>
      <c r="N5474">
        <v>16.458459999999999</v>
      </c>
      <c r="O5474">
        <v>18.3</v>
      </c>
      <c r="P5474">
        <v>27.3</v>
      </c>
      <c r="Q5474">
        <v>25.241540000000001</v>
      </c>
      <c r="R5474">
        <v>27.9</v>
      </c>
      <c r="S5474">
        <v>22.8</v>
      </c>
      <c r="T5474">
        <v>1234.923</v>
      </c>
      <c r="U5474">
        <v>264.58460000000002</v>
      </c>
      <c r="V5474">
        <v>14</v>
      </c>
      <c r="W5474">
        <v>80.415440000000004</v>
      </c>
      <c r="X5474">
        <v>680.75369999999998</v>
      </c>
      <c r="Y5474">
        <v>57.584560000000003</v>
      </c>
      <c r="Z5474">
        <v>261</v>
      </c>
      <c r="AA5474">
        <v>121.58459999999999</v>
      </c>
      <c r="AB5474">
        <v>6.4466340000000004</v>
      </c>
      <c r="AC5474">
        <v>9.5545039999999998E-2</v>
      </c>
      <c r="AD5474">
        <v>1.0651349999999999</v>
      </c>
      <c r="AE5474">
        <v>0.23297599999999999</v>
      </c>
      <c r="AF5474">
        <v>13.466340000000001</v>
      </c>
      <c r="AG5474">
        <f>IFERROR(AH5474*0.1, "N/A")</f>
        <v>6.2466340000000002</v>
      </c>
      <c r="AH5474">
        <v>62.466340000000002</v>
      </c>
      <c r="AI5474">
        <v>199.28639999999999</v>
      </c>
      <c r="AJ5474">
        <v>15</v>
      </c>
      <c r="AK5474">
        <v>76.466340000000002</v>
      </c>
    </row>
    <row r="5475" spans="1:37" x14ac:dyDescent="0.3">
      <c r="A5475">
        <v>5474</v>
      </c>
      <c r="B5475">
        <v>90</v>
      </c>
      <c r="C5475">
        <v>37.607599999999998</v>
      </c>
      <c r="D5475">
        <v>-17.493400000000001</v>
      </c>
      <c r="E5475" t="s">
        <v>8804</v>
      </c>
      <c r="F5475" t="s">
        <v>8805</v>
      </c>
      <c r="G5475" t="s">
        <v>39</v>
      </c>
      <c r="H5475">
        <v>1956</v>
      </c>
      <c r="I5475">
        <v>25.7</v>
      </c>
      <c r="J5475">
        <v>10</v>
      </c>
      <c r="K5475">
        <v>60</v>
      </c>
      <c r="L5475">
        <v>22.295649999999998</v>
      </c>
      <c r="M5475">
        <v>33.299999999999997</v>
      </c>
      <c r="N5475">
        <v>16.899999999999999</v>
      </c>
      <c r="O5475">
        <v>16.399999999999999</v>
      </c>
      <c r="P5475">
        <v>27.7</v>
      </c>
      <c r="Q5475">
        <v>24.8</v>
      </c>
      <c r="R5475">
        <v>27.9</v>
      </c>
      <c r="S5475">
        <v>22.421749999999999</v>
      </c>
      <c r="T5475">
        <v>1341</v>
      </c>
      <c r="U5475">
        <v>270</v>
      </c>
      <c r="V5475">
        <v>13</v>
      </c>
      <c r="W5475">
        <v>77</v>
      </c>
      <c r="X5475">
        <v>731.21749999999997</v>
      </c>
      <c r="Y5475">
        <v>64</v>
      </c>
      <c r="Z5475">
        <v>623.90120000000002</v>
      </c>
      <c r="AA5475">
        <v>153</v>
      </c>
      <c r="AB5475">
        <v>1.335091</v>
      </c>
      <c r="AC5475">
        <v>1.0740990000000001E-2</v>
      </c>
      <c r="AD5475">
        <v>1.4469689999999999</v>
      </c>
      <c r="AE5475">
        <v>0.3081738</v>
      </c>
      <c r="AF5475">
        <v>7.1499180000000004</v>
      </c>
      <c r="AG5475">
        <f>IFERROR(AH5475*0.1, "N/A")</f>
        <v>5.986326</v>
      </c>
      <c r="AH5475">
        <v>59.863259999999997</v>
      </c>
      <c r="AI5475">
        <v>175.3819</v>
      </c>
      <c r="AJ5475">
        <v>21.838550000000001</v>
      </c>
      <c r="AK5475">
        <v>66.683689999999999</v>
      </c>
    </row>
    <row r="5476" spans="1:37" x14ac:dyDescent="0.3">
      <c r="A5476">
        <v>5475</v>
      </c>
      <c r="B5476">
        <v>20</v>
      </c>
      <c r="C5476">
        <v>37.607599999999998</v>
      </c>
      <c r="D5476">
        <v>-17.493400000000001</v>
      </c>
      <c r="E5476" t="s">
        <v>8804</v>
      </c>
      <c r="F5476" t="s">
        <v>8806</v>
      </c>
      <c r="G5476" t="s">
        <v>37</v>
      </c>
      <c r="H5476">
        <v>1956</v>
      </c>
      <c r="I5476">
        <v>25.7</v>
      </c>
      <c r="J5476">
        <v>10</v>
      </c>
      <c r="K5476">
        <v>60</v>
      </c>
      <c r="L5476">
        <v>22.295649999999998</v>
      </c>
      <c r="M5476">
        <v>33.299999999999997</v>
      </c>
      <c r="N5476">
        <v>16.899999999999999</v>
      </c>
      <c r="O5476">
        <v>16.399999999999999</v>
      </c>
      <c r="P5476">
        <v>27.7</v>
      </c>
      <c r="Q5476">
        <v>24.8</v>
      </c>
      <c r="R5476">
        <v>27.9</v>
      </c>
      <c r="S5476">
        <v>22.421749999999999</v>
      </c>
      <c r="T5476">
        <v>1341</v>
      </c>
      <c r="U5476">
        <v>270</v>
      </c>
      <c r="V5476">
        <v>13</v>
      </c>
      <c r="W5476">
        <v>77</v>
      </c>
      <c r="X5476">
        <v>731.21749999999997</v>
      </c>
      <c r="Y5476">
        <v>64</v>
      </c>
      <c r="Z5476">
        <v>623.90120000000002</v>
      </c>
      <c r="AA5476">
        <v>153</v>
      </c>
      <c r="AB5476">
        <v>1.335091</v>
      </c>
      <c r="AC5476">
        <v>1.0740990000000001E-2</v>
      </c>
      <c r="AD5476">
        <v>1.4469689999999999</v>
      </c>
      <c r="AE5476">
        <v>0.3081738</v>
      </c>
      <c r="AF5476">
        <v>7.1499180000000004</v>
      </c>
      <c r="AG5476">
        <f>IFERROR(AH5476*0.1, "N/A")</f>
        <v>5.986326</v>
      </c>
      <c r="AH5476">
        <v>59.863259999999997</v>
      </c>
      <c r="AI5476">
        <v>175.3819</v>
      </c>
      <c r="AJ5476">
        <v>21.838550000000001</v>
      </c>
      <c r="AK5476">
        <v>66.683689999999999</v>
      </c>
    </row>
    <row r="5477" spans="1:37" x14ac:dyDescent="0.3">
      <c r="A5477">
        <v>5476</v>
      </c>
      <c r="B5477">
        <v>95</v>
      </c>
      <c r="C5477">
        <v>37.286099999999998</v>
      </c>
      <c r="D5477">
        <v>-17.436699999999998</v>
      </c>
      <c r="E5477" t="s">
        <v>8807</v>
      </c>
      <c r="F5477" t="s">
        <v>8808</v>
      </c>
      <c r="G5477" t="s">
        <v>39</v>
      </c>
      <c r="H5477">
        <v>1956</v>
      </c>
      <c r="I5477">
        <v>25.8</v>
      </c>
      <c r="J5477">
        <v>11.2</v>
      </c>
      <c r="K5477">
        <v>62</v>
      </c>
      <c r="L5477">
        <v>22.14</v>
      </c>
      <c r="M5477">
        <v>34.4</v>
      </c>
      <c r="N5477">
        <v>16.5</v>
      </c>
      <c r="O5477">
        <v>17.899999999999999</v>
      </c>
      <c r="P5477">
        <v>27.6</v>
      </c>
      <c r="Q5477">
        <v>25.2</v>
      </c>
      <c r="R5477">
        <v>28</v>
      </c>
      <c r="S5477">
        <v>22.6</v>
      </c>
      <c r="T5477">
        <v>1279</v>
      </c>
      <c r="U5477">
        <v>266</v>
      </c>
      <c r="V5477">
        <v>13</v>
      </c>
      <c r="W5477">
        <v>79</v>
      </c>
      <c r="X5477">
        <v>701</v>
      </c>
      <c r="Y5477">
        <v>62</v>
      </c>
      <c r="Z5477">
        <v>511</v>
      </c>
      <c r="AA5477">
        <v>132</v>
      </c>
      <c r="AB5477">
        <v>6.8759860000000002</v>
      </c>
      <c r="AC5477">
        <v>3.4958860000000001E-2</v>
      </c>
      <c r="AD5477">
        <v>1.490826</v>
      </c>
      <c r="AE5477">
        <v>0.20525560000000001</v>
      </c>
      <c r="AF5477">
        <v>13.42928</v>
      </c>
      <c r="AG5477">
        <f>IFERROR(AH5477*0.1, "N/A")</f>
        <v>6.2146380000000008</v>
      </c>
      <c r="AH5477">
        <v>62.146380000000001</v>
      </c>
      <c r="AI5477">
        <v>162.87190000000001</v>
      </c>
      <c r="AJ5477">
        <v>25.46546</v>
      </c>
      <c r="AK5477">
        <v>59.623359999999998</v>
      </c>
    </row>
    <row r="5478" spans="1:37" x14ac:dyDescent="0.3">
      <c r="A5478">
        <v>5477</v>
      </c>
      <c r="B5478">
        <v>0</v>
      </c>
      <c r="C5478">
        <v>37.286099999999998</v>
      </c>
      <c r="D5478">
        <v>-17.436699999999998</v>
      </c>
      <c r="E5478" t="s">
        <v>8807</v>
      </c>
      <c r="F5478" t="s">
        <v>8809</v>
      </c>
      <c r="G5478" t="s">
        <v>37</v>
      </c>
      <c r="H5478">
        <v>1956</v>
      </c>
      <c r="I5478">
        <v>25.8</v>
      </c>
      <c r="J5478">
        <v>11.2</v>
      </c>
      <c r="K5478">
        <v>62</v>
      </c>
      <c r="L5478">
        <v>22.14</v>
      </c>
      <c r="M5478">
        <v>34.4</v>
      </c>
      <c r="N5478">
        <v>16.5</v>
      </c>
      <c r="O5478">
        <v>17.899999999999999</v>
      </c>
      <c r="P5478">
        <v>27.6</v>
      </c>
      <c r="Q5478">
        <v>25.2</v>
      </c>
      <c r="R5478">
        <v>28</v>
      </c>
      <c r="S5478">
        <v>22.6</v>
      </c>
      <c r="T5478">
        <v>1279</v>
      </c>
      <c r="U5478">
        <v>266</v>
      </c>
      <c r="V5478">
        <v>13</v>
      </c>
      <c r="W5478">
        <v>79</v>
      </c>
      <c r="X5478">
        <v>701</v>
      </c>
      <c r="Y5478">
        <v>62</v>
      </c>
      <c r="Z5478">
        <v>511</v>
      </c>
      <c r="AA5478">
        <v>132</v>
      </c>
      <c r="AB5478">
        <v>6.8759860000000002</v>
      </c>
      <c r="AC5478">
        <v>3.4958860000000001E-2</v>
      </c>
      <c r="AD5478">
        <v>1.490826</v>
      </c>
      <c r="AE5478">
        <v>0.20525560000000001</v>
      </c>
      <c r="AF5478">
        <v>13.42928</v>
      </c>
      <c r="AG5478">
        <f>IFERROR(AH5478*0.1, "N/A")</f>
        <v>6.2146380000000008</v>
      </c>
      <c r="AH5478">
        <v>62.146380000000001</v>
      </c>
      <c r="AI5478">
        <v>162.87190000000001</v>
      </c>
      <c r="AJ5478">
        <v>25.46546</v>
      </c>
      <c r="AK5478">
        <v>59.623359999999998</v>
      </c>
    </row>
    <row r="5479" spans="1:37" x14ac:dyDescent="0.3">
      <c r="A5479">
        <v>5478</v>
      </c>
      <c r="B5479">
        <v>85</v>
      </c>
      <c r="C5479">
        <v>35.353499999999997</v>
      </c>
      <c r="D5479">
        <v>-17.364000000000001</v>
      </c>
      <c r="E5479" t="s">
        <v>8810</v>
      </c>
      <c r="F5479" t="s">
        <v>8811</v>
      </c>
      <c r="G5479" t="s">
        <v>39</v>
      </c>
      <c r="H5479">
        <v>1956</v>
      </c>
      <c r="I5479">
        <v>25.7</v>
      </c>
      <c r="J5479">
        <v>13.4</v>
      </c>
      <c r="K5479">
        <v>61</v>
      </c>
      <c r="L5479">
        <v>26.21</v>
      </c>
      <c r="M5479">
        <v>36.200000000000003</v>
      </c>
      <c r="N5479">
        <v>14.5</v>
      </c>
      <c r="O5479">
        <v>21.7</v>
      </c>
      <c r="P5479">
        <v>28</v>
      </c>
      <c r="Q5479">
        <v>23.2</v>
      </c>
      <c r="R5479">
        <v>28.4</v>
      </c>
      <c r="S5479">
        <v>21.8</v>
      </c>
      <c r="T5479">
        <v>822</v>
      </c>
      <c r="U5479">
        <v>183</v>
      </c>
      <c r="V5479">
        <v>9</v>
      </c>
      <c r="W5479">
        <v>92</v>
      </c>
      <c r="X5479">
        <v>478</v>
      </c>
      <c r="Y5479">
        <v>32</v>
      </c>
      <c r="Z5479">
        <v>248</v>
      </c>
      <c r="AA5479">
        <v>41</v>
      </c>
      <c r="AB5479">
        <v>1.6152960000000001</v>
      </c>
      <c r="AC5479">
        <v>2.4708030000000001</v>
      </c>
      <c r="AD5479">
        <v>0.968113</v>
      </c>
      <c r="AE5479">
        <v>0.17155670000000001</v>
      </c>
      <c r="AF5479">
        <v>38.835529999999999</v>
      </c>
      <c r="AG5479">
        <f>IFERROR(AH5479*0.1, "N/A")</f>
        <v>6.3065790000000002</v>
      </c>
      <c r="AH5479">
        <v>63.06579</v>
      </c>
      <c r="AI5479">
        <v>118.3801</v>
      </c>
      <c r="AJ5479">
        <v>26.335529999999999</v>
      </c>
      <c r="AK5479">
        <v>62.832239999999999</v>
      </c>
    </row>
    <row r="5480" spans="1:37" x14ac:dyDescent="0.3">
      <c r="A5480">
        <v>5479</v>
      </c>
      <c r="B5480">
        <v>0</v>
      </c>
      <c r="C5480">
        <v>35.353499999999997</v>
      </c>
      <c r="D5480">
        <v>-17.364000000000001</v>
      </c>
      <c r="E5480" t="s">
        <v>8810</v>
      </c>
      <c r="F5480" t="s">
        <v>8812</v>
      </c>
      <c r="G5480" t="s">
        <v>37</v>
      </c>
      <c r="H5480">
        <v>1956</v>
      </c>
      <c r="I5480">
        <v>25.7</v>
      </c>
      <c r="J5480">
        <v>13.4</v>
      </c>
      <c r="K5480">
        <v>61</v>
      </c>
      <c r="L5480">
        <v>26.21</v>
      </c>
      <c r="M5480">
        <v>36.200000000000003</v>
      </c>
      <c r="N5480">
        <v>14.5</v>
      </c>
      <c r="O5480">
        <v>21.7</v>
      </c>
      <c r="P5480">
        <v>28</v>
      </c>
      <c r="Q5480">
        <v>23.2</v>
      </c>
      <c r="R5480">
        <v>28.4</v>
      </c>
      <c r="S5480">
        <v>21.8</v>
      </c>
      <c r="T5480">
        <v>822</v>
      </c>
      <c r="U5480">
        <v>183</v>
      </c>
      <c r="V5480">
        <v>9</v>
      </c>
      <c r="W5480">
        <v>92</v>
      </c>
      <c r="X5480">
        <v>478</v>
      </c>
      <c r="Y5480">
        <v>32</v>
      </c>
      <c r="Z5480">
        <v>248</v>
      </c>
      <c r="AA5480">
        <v>41</v>
      </c>
      <c r="AB5480">
        <v>1.6152960000000001</v>
      </c>
      <c r="AC5480">
        <v>2.4708030000000001</v>
      </c>
      <c r="AD5480">
        <v>0.968113</v>
      </c>
      <c r="AE5480">
        <v>0.17155670000000001</v>
      </c>
      <c r="AF5480">
        <v>38.835529999999999</v>
      </c>
      <c r="AG5480">
        <f>IFERROR(AH5480*0.1, "N/A")</f>
        <v>6.3065790000000002</v>
      </c>
      <c r="AH5480">
        <v>63.06579</v>
      </c>
      <c r="AI5480">
        <v>118.3801</v>
      </c>
      <c r="AJ5480">
        <v>26.335529999999999</v>
      </c>
      <c r="AK5480">
        <v>62.832239999999999</v>
      </c>
    </row>
    <row r="5481" spans="1:37" x14ac:dyDescent="0.3">
      <c r="A5481">
        <v>5480</v>
      </c>
      <c r="B5481">
        <v>95</v>
      </c>
      <c r="C5481">
        <v>35.639699999999998</v>
      </c>
      <c r="D5481">
        <v>-17.357500000000002</v>
      </c>
      <c r="E5481" t="s">
        <v>8813</v>
      </c>
      <c r="F5481" t="s">
        <v>8814</v>
      </c>
      <c r="G5481" t="s">
        <v>39</v>
      </c>
      <c r="H5481">
        <v>1956</v>
      </c>
      <c r="I5481">
        <v>23.603459999999998</v>
      </c>
      <c r="J5481">
        <v>12.7</v>
      </c>
      <c r="K5481">
        <v>63</v>
      </c>
      <c r="L5481">
        <v>20.87208</v>
      </c>
      <c r="M5481">
        <v>33.9</v>
      </c>
      <c r="N5481">
        <v>13.903460000000001</v>
      </c>
      <c r="O5481">
        <v>19.99654</v>
      </c>
      <c r="P5481">
        <v>25.3</v>
      </c>
      <c r="Q5481">
        <v>21.79654</v>
      </c>
      <c r="R5481">
        <v>25.8</v>
      </c>
      <c r="S5481">
        <v>20.5</v>
      </c>
      <c r="T5481">
        <v>998.96540000000005</v>
      </c>
      <c r="U5481">
        <v>220</v>
      </c>
      <c r="V5481">
        <v>13</v>
      </c>
      <c r="W5481">
        <v>88</v>
      </c>
      <c r="X5481">
        <v>561.96540000000005</v>
      </c>
      <c r="Y5481">
        <v>52</v>
      </c>
      <c r="Z5481">
        <v>309.93079999999998</v>
      </c>
      <c r="AA5481">
        <v>61.034599999999998</v>
      </c>
      <c r="AB5481">
        <v>25.046289999999999</v>
      </c>
      <c r="AC5481">
        <v>9.4439450000000005E-3</v>
      </c>
      <c r="AD5481">
        <v>1.6454690000000001</v>
      </c>
      <c r="AE5481">
        <v>0.1934883</v>
      </c>
      <c r="AF5481">
        <v>391.68200000000002</v>
      </c>
      <c r="AG5481">
        <f>IFERROR(AH5481*0.1, "N/A")</f>
        <v>6.1000000000000005</v>
      </c>
      <c r="AH5481">
        <v>61</v>
      </c>
      <c r="AI5481">
        <v>140.3004</v>
      </c>
      <c r="AJ5481">
        <v>17.303129999999999</v>
      </c>
      <c r="AK5481">
        <v>73.156509999999997</v>
      </c>
    </row>
    <row r="5482" spans="1:37" x14ac:dyDescent="0.3">
      <c r="A5482">
        <v>5481</v>
      </c>
      <c r="B5482">
        <v>5</v>
      </c>
      <c r="C5482">
        <v>35.639699999999998</v>
      </c>
      <c r="D5482">
        <v>-17.357500000000002</v>
      </c>
      <c r="E5482" t="s">
        <v>8813</v>
      </c>
      <c r="F5482" t="s">
        <v>8815</v>
      </c>
      <c r="G5482" t="s">
        <v>37</v>
      </c>
      <c r="H5482">
        <v>1956</v>
      </c>
      <c r="I5482">
        <v>23.603459999999998</v>
      </c>
      <c r="J5482">
        <v>12.7</v>
      </c>
      <c r="K5482">
        <v>63</v>
      </c>
      <c r="L5482">
        <v>20.87208</v>
      </c>
      <c r="M5482">
        <v>33.9</v>
      </c>
      <c r="N5482">
        <v>13.903460000000001</v>
      </c>
      <c r="O5482">
        <v>19.99654</v>
      </c>
      <c r="P5482">
        <v>25.3</v>
      </c>
      <c r="Q5482">
        <v>21.79654</v>
      </c>
      <c r="R5482">
        <v>25.8</v>
      </c>
      <c r="S5482">
        <v>20.5</v>
      </c>
      <c r="T5482">
        <v>998.96540000000005</v>
      </c>
      <c r="U5482">
        <v>220</v>
      </c>
      <c r="V5482">
        <v>13</v>
      </c>
      <c r="W5482">
        <v>88</v>
      </c>
      <c r="X5482">
        <v>561.96540000000005</v>
      </c>
      <c r="Y5482">
        <v>52</v>
      </c>
      <c r="Z5482">
        <v>309.93079999999998</v>
      </c>
      <c r="AA5482">
        <v>61.034599999999998</v>
      </c>
      <c r="AB5482">
        <v>25.046289999999999</v>
      </c>
      <c r="AC5482">
        <v>9.4439450000000005E-3</v>
      </c>
      <c r="AD5482">
        <v>1.6454690000000001</v>
      </c>
      <c r="AE5482">
        <v>0.1934883</v>
      </c>
      <c r="AF5482">
        <v>391.68200000000002</v>
      </c>
      <c r="AG5482">
        <f>IFERROR(AH5482*0.1, "N/A")</f>
        <v>6.1000000000000005</v>
      </c>
      <c r="AH5482">
        <v>61</v>
      </c>
      <c r="AI5482">
        <v>140.3004</v>
      </c>
      <c r="AJ5482">
        <v>17.303129999999999</v>
      </c>
      <c r="AK5482">
        <v>73.156509999999997</v>
      </c>
    </row>
    <row r="5483" spans="1:37" x14ac:dyDescent="0.3">
      <c r="A5483">
        <v>5482</v>
      </c>
      <c r="B5483">
        <v>100</v>
      </c>
      <c r="C5483">
        <v>37.520299999999999</v>
      </c>
      <c r="D5483">
        <v>-17.318300000000001</v>
      </c>
      <c r="E5483" t="s">
        <v>8816</v>
      </c>
      <c r="F5483" t="s">
        <v>8817</v>
      </c>
      <c r="G5483" t="s">
        <v>39</v>
      </c>
      <c r="H5483">
        <v>1956</v>
      </c>
      <c r="I5483">
        <v>25.8</v>
      </c>
      <c r="J5483">
        <v>10.6</v>
      </c>
      <c r="K5483">
        <v>60</v>
      </c>
      <c r="L5483">
        <v>23.36</v>
      </c>
      <c r="M5483">
        <v>33.9</v>
      </c>
      <c r="N5483">
        <v>16.5</v>
      </c>
      <c r="O5483">
        <v>17.399999999999999</v>
      </c>
      <c r="P5483">
        <v>27.7</v>
      </c>
      <c r="Q5483">
        <v>24.9</v>
      </c>
      <c r="R5483">
        <v>28.1</v>
      </c>
      <c r="S5483">
        <v>22.3</v>
      </c>
      <c r="T5483">
        <v>1339</v>
      </c>
      <c r="U5483">
        <v>270</v>
      </c>
      <c r="V5483">
        <v>12</v>
      </c>
      <c r="W5483">
        <v>78</v>
      </c>
      <c r="X5483">
        <v>732</v>
      </c>
      <c r="Y5483">
        <v>67</v>
      </c>
      <c r="Z5483">
        <v>510</v>
      </c>
      <c r="AA5483">
        <v>145</v>
      </c>
      <c r="AB5483">
        <v>20.21264</v>
      </c>
      <c r="AC5483">
        <v>4.0435190000000003E-2</v>
      </c>
      <c r="AD5483">
        <v>2.168968</v>
      </c>
      <c r="AE5483">
        <v>0.43483460000000002</v>
      </c>
      <c r="AF5483">
        <v>31.883420000000001</v>
      </c>
      <c r="AG5483">
        <f>IFERROR(AH5483*0.1, "N/A")</f>
        <v>6.1106730000000002</v>
      </c>
      <c r="AH5483">
        <v>61.106729999999999</v>
      </c>
      <c r="AI5483">
        <v>191.1352</v>
      </c>
      <c r="AJ5483">
        <v>13.788180000000001</v>
      </c>
      <c r="AK5483">
        <v>78.006569999999996</v>
      </c>
    </row>
    <row r="5484" spans="1:37" x14ac:dyDescent="0.3">
      <c r="A5484">
        <v>5483</v>
      </c>
      <c r="B5484">
        <v>0</v>
      </c>
      <c r="C5484">
        <v>37.520299999999999</v>
      </c>
      <c r="D5484">
        <v>-17.318300000000001</v>
      </c>
      <c r="E5484" t="s">
        <v>8816</v>
      </c>
      <c r="F5484" t="s">
        <v>8818</v>
      </c>
      <c r="G5484" t="s">
        <v>37</v>
      </c>
      <c r="H5484">
        <v>1956</v>
      </c>
      <c r="I5484">
        <v>25.8</v>
      </c>
      <c r="J5484">
        <v>10.6</v>
      </c>
      <c r="K5484">
        <v>60</v>
      </c>
      <c r="L5484">
        <v>23.36</v>
      </c>
      <c r="M5484">
        <v>33.9</v>
      </c>
      <c r="N5484">
        <v>16.5</v>
      </c>
      <c r="O5484">
        <v>17.399999999999999</v>
      </c>
      <c r="P5484">
        <v>27.7</v>
      </c>
      <c r="Q5484">
        <v>24.9</v>
      </c>
      <c r="R5484">
        <v>28.1</v>
      </c>
      <c r="S5484">
        <v>22.3</v>
      </c>
      <c r="T5484">
        <v>1339</v>
      </c>
      <c r="U5484">
        <v>270</v>
      </c>
      <c r="V5484">
        <v>12</v>
      </c>
      <c r="W5484">
        <v>78</v>
      </c>
      <c r="X5484">
        <v>732</v>
      </c>
      <c r="Y5484">
        <v>67</v>
      </c>
      <c r="Z5484">
        <v>510</v>
      </c>
      <c r="AA5484">
        <v>145</v>
      </c>
      <c r="AB5484">
        <v>20.21264</v>
      </c>
      <c r="AC5484">
        <v>4.0435190000000003E-2</v>
      </c>
      <c r="AD5484">
        <v>2.168968</v>
      </c>
      <c r="AE5484">
        <v>0.43483460000000002</v>
      </c>
      <c r="AF5484">
        <v>31.883420000000001</v>
      </c>
      <c r="AG5484">
        <f>IFERROR(AH5484*0.1, "N/A")</f>
        <v>6.1106730000000002</v>
      </c>
      <c r="AH5484">
        <v>61.106729999999999</v>
      </c>
      <c r="AI5484">
        <v>191.1352</v>
      </c>
      <c r="AJ5484">
        <v>13.788180000000001</v>
      </c>
      <c r="AK5484">
        <v>78.006569999999996</v>
      </c>
    </row>
    <row r="5485" spans="1:37" x14ac:dyDescent="0.3">
      <c r="A5485">
        <v>5484</v>
      </c>
      <c r="B5485">
        <v>100</v>
      </c>
      <c r="C5485">
        <v>37.166899999999998</v>
      </c>
      <c r="D5485">
        <v>-17.305599999999998</v>
      </c>
      <c r="E5485" t="s">
        <v>8819</v>
      </c>
      <c r="F5485" t="s">
        <v>8820</v>
      </c>
      <c r="G5485" t="s">
        <v>39</v>
      </c>
      <c r="H5485">
        <v>1956</v>
      </c>
      <c r="I5485">
        <v>25.697209999999998</v>
      </c>
      <c r="J5485">
        <v>11.7</v>
      </c>
      <c r="K5485">
        <v>61.513959999999997</v>
      </c>
      <c r="L5485">
        <v>22.241510000000002</v>
      </c>
      <c r="M5485">
        <v>34.79721</v>
      </c>
      <c r="N5485">
        <v>15.9</v>
      </c>
      <c r="O5485">
        <v>18.897210000000001</v>
      </c>
      <c r="P5485">
        <v>27.197209999999998</v>
      </c>
      <c r="Q5485">
        <v>25.197209999999998</v>
      </c>
      <c r="R5485">
        <v>27.897210000000001</v>
      </c>
      <c r="S5485">
        <v>22.348600000000001</v>
      </c>
      <c r="T5485">
        <v>1238.1669999999999</v>
      </c>
      <c r="U5485">
        <v>263.02789999999999</v>
      </c>
      <c r="V5485">
        <v>13</v>
      </c>
      <c r="W5485">
        <v>81</v>
      </c>
      <c r="X5485">
        <v>679.59770000000003</v>
      </c>
      <c r="Y5485">
        <v>60.513959999999997</v>
      </c>
      <c r="Z5485">
        <v>274.5419</v>
      </c>
      <c r="AA5485">
        <v>116.514</v>
      </c>
      <c r="AB5485">
        <v>22.49409</v>
      </c>
      <c r="AC5485">
        <v>3.3222309999999998E-2</v>
      </c>
      <c r="AD5485">
        <v>1.7332270000000001</v>
      </c>
      <c r="AE5485">
        <v>0.2100012</v>
      </c>
      <c r="AF5485">
        <v>50.781610000000001</v>
      </c>
      <c r="AG5485">
        <f>IFERROR(AH5485*0.1, "N/A")</f>
        <v>6.1410510000000009</v>
      </c>
      <c r="AH5485">
        <v>61.410510000000002</v>
      </c>
      <c r="AI5485">
        <v>177.70529999999999</v>
      </c>
      <c r="AJ5485">
        <v>12.6601</v>
      </c>
      <c r="AK5485">
        <v>78.3399</v>
      </c>
    </row>
    <row r="5486" spans="1:37" x14ac:dyDescent="0.3">
      <c r="A5486">
        <v>5485</v>
      </c>
      <c r="B5486">
        <v>0</v>
      </c>
      <c r="C5486">
        <v>37.166899999999998</v>
      </c>
      <c r="D5486">
        <v>-17.305599999999998</v>
      </c>
      <c r="E5486" t="s">
        <v>8819</v>
      </c>
      <c r="F5486" t="s">
        <v>8821</v>
      </c>
      <c r="G5486" t="s">
        <v>37</v>
      </c>
      <c r="H5486">
        <v>1956</v>
      </c>
      <c r="I5486">
        <v>25.697209999999998</v>
      </c>
      <c r="J5486">
        <v>11.7</v>
      </c>
      <c r="K5486">
        <v>61.513959999999997</v>
      </c>
      <c r="L5486">
        <v>22.241510000000002</v>
      </c>
      <c r="M5486">
        <v>34.79721</v>
      </c>
      <c r="N5486">
        <v>15.9</v>
      </c>
      <c r="O5486">
        <v>18.897210000000001</v>
      </c>
      <c r="P5486">
        <v>27.197209999999998</v>
      </c>
      <c r="Q5486">
        <v>25.197209999999998</v>
      </c>
      <c r="R5486">
        <v>27.897210000000001</v>
      </c>
      <c r="S5486">
        <v>22.348600000000001</v>
      </c>
      <c r="T5486">
        <v>1238.1669999999999</v>
      </c>
      <c r="U5486">
        <v>263.02789999999999</v>
      </c>
      <c r="V5486">
        <v>13</v>
      </c>
      <c r="W5486">
        <v>81</v>
      </c>
      <c r="X5486">
        <v>679.59770000000003</v>
      </c>
      <c r="Y5486">
        <v>60.513959999999997</v>
      </c>
      <c r="Z5486">
        <v>274.5419</v>
      </c>
      <c r="AA5486">
        <v>116.514</v>
      </c>
      <c r="AB5486">
        <v>22.49409</v>
      </c>
      <c r="AC5486">
        <v>3.3222309999999998E-2</v>
      </c>
      <c r="AD5486">
        <v>1.7332270000000001</v>
      </c>
      <c r="AE5486">
        <v>0.2100012</v>
      </c>
      <c r="AF5486">
        <v>50.781610000000001</v>
      </c>
      <c r="AG5486">
        <f>IFERROR(AH5486*0.1, "N/A")</f>
        <v>6.1410510000000009</v>
      </c>
      <c r="AH5486">
        <v>61.410510000000002</v>
      </c>
      <c r="AI5486">
        <v>177.70529999999999</v>
      </c>
      <c r="AJ5486">
        <v>12.6601</v>
      </c>
      <c r="AK5486">
        <v>78.3399</v>
      </c>
    </row>
    <row r="5487" spans="1:37" x14ac:dyDescent="0.3">
      <c r="A5487">
        <v>5486</v>
      </c>
      <c r="B5487">
        <v>35</v>
      </c>
      <c r="C5487">
        <v>37.941899999999997</v>
      </c>
      <c r="D5487">
        <v>-17.278600000000001</v>
      </c>
      <c r="E5487" t="s">
        <v>8822</v>
      </c>
      <c r="F5487" t="s">
        <v>8823</v>
      </c>
      <c r="G5487" t="s">
        <v>39</v>
      </c>
      <c r="H5487">
        <v>1956</v>
      </c>
      <c r="I5487">
        <v>25.3</v>
      </c>
      <c r="J5487">
        <v>9.1999999999999993</v>
      </c>
      <c r="K5487">
        <v>60</v>
      </c>
      <c r="L5487">
        <v>21.84046</v>
      </c>
      <c r="M5487">
        <v>32.200000000000003</v>
      </c>
      <c r="N5487">
        <v>17</v>
      </c>
      <c r="O5487">
        <v>15.2</v>
      </c>
      <c r="P5487">
        <v>27.395230000000002</v>
      </c>
      <c r="Q5487">
        <v>24.3</v>
      </c>
      <c r="R5487">
        <v>27.5</v>
      </c>
      <c r="S5487">
        <v>22.1</v>
      </c>
      <c r="T5487">
        <v>1363.095</v>
      </c>
      <c r="U5487">
        <v>273.04770000000002</v>
      </c>
      <c r="V5487">
        <v>13</v>
      </c>
      <c r="W5487">
        <v>78</v>
      </c>
      <c r="X5487">
        <v>749.04769999999996</v>
      </c>
      <c r="Y5487">
        <v>59.047699999999999</v>
      </c>
      <c r="Z5487">
        <v>643.09540000000004</v>
      </c>
      <c r="AA5487">
        <v>161</v>
      </c>
      <c r="AB5487">
        <v>16.153780000000001</v>
      </c>
      <c r="AC5487">
        <v>9.2845849999999997E-3</v>
      </c>
      <c r="AD5487">
        <v>0.88850589999999996</v>
      </c>
      <c r="AE5487">
        <v>0.25442749999999997</v>
      </c>
      <c r="AF5487">
        <v>47.476970000000001</v>
      </c>
      <c r="AG5487">
        <f>IFERROR(AH5487*0.1, "N/A")</f>
        <v>6.3000000000000007</v>
      </c>
      <c r="AH5487">
        <v>63</v>
      </c>
      <c r="AI5487">
        <v>111.0136</v>
      </c>
      <c r="AJ5487">
        <v>15.449009999999999</v>
      </c>
      <c r="AK5487">
        <v>74.703950000000006</v>
      </c>
    </row>
    <row r="5488" spans="1:37" x14ac:dyDescent="0.3">
      <c r="A5488">
        <v>5487</v>
      </c>
      <c r="B5488">
        <v>0</v>
      </c>
      <c r="C5488">
        <v>37.941899999999997</v>
      </c>
      <c r="D5488">
        <v>-17.278600000000001</v>
      </c>
      <c r="E5488" t="s">
        <v>8822</v>
      </c>
      <c r="F5488" t="s">
        <v>8824</v>
      </c>
      <c r="G5488" t="s">
        <v>37</v>
      </c>
      <c r="H5488">
        <v>1956</v>
      </c>
      <c r="I5488">
        <v>25.3</v>
      </c>
      <c r="J5488">
        <v>9.1999999999999993</v>
      </c>
      <c r="K5488">
        <v>60</v>
      </c>
      <c r="L5488">
        <v>21.84046</v>
      </c>
      <c r="M5488">
        <v>32.200000000000003</v>
      </c>
      <c r="N5488">
        <v>17</v>
      </c>
      <c r="O5488">
        <v>15.2</v>
      </c>
      <c r="P5488">
        <v>27.395230000000002</v>
      </c>
      <c r="Q5488">
        <v>24.3</v>
      </c>
      <c r="R5488">
        <v>27.5</v>
      </c>
      <c r="S5488">
        <v>22.1</v>
      </c>
      <c r="T5488">
        <v>1363.095</v>
      </c>
      <c r="U5488">
        <v>273.04770000000002</v>
      </c>
      <c r="V5488">
        <v>13</v>
      </c>
      <c r="W5488">
        <v>78</v>
      </c>
      <c r="X5488">
        <v>749.04769999999996</v>
      </c>
      <c r="Y5488">
        <v>59.047699999999999</v>
      </c>
      <c r="Z5488">
        <v>643.09540000000004</v>
      </c>
      <c r="AA5488">
        <v>161</v>
      </c>
      <c r="AB5488">
        <v>16.153780000000001</v>
      </c>
      <c r="AC5488">
        <v>9.2845849999999997E-3</v>
      </c>
      <c r="AD5488">
        <v>0.88850589999999996</v>
      </c>
      <c r="AE5488">
        <v>0.25442749999999997</v>
      </c>
      <c r="AF5488">
        <v>47.476970000000001</v>
      </c>
      <c r="AG5488">
        <f>IFERROR(AH5488*0.1, "N/A")</f>
        <v>6.3000000000000007</v>
      </c>
      <c r="AH5488">
        <v>63</v>
      </c>
      <c r="AI5488">
        <v>111.0136</v>
      </c>
      <c r="AJ5488">
        <v>15.449009999999999</v>
      </c>
      <c r="AK5488">
        <v>74.703950000000006</v>
      </c>
    </row>
    <row r="5489" spans="1:37" x14ac:dyDescent="0.3">
      <c r="A5489">
        <v>5488</v>
      </c>
      <c r="B5489">
        <v>40</v>
      </c>
      <c r="C5489">
        <v>38.142299999999999</v>
      </c>
      <c r="D5489">
        <v>-17.266200000000001</v>
      </c>
      <c r="E5489" t="s">
        <v>8825</v>
      </c>
      <c r="F5489" t="s">
        <v>8826</v>
      </c>
      <c r="G5489" t="s">
        <v>39</v>
      </c>
      <c r="H5489">
        <v>1956</v>
      </c>
      <c r="I5489">
        <v>25.249009999999998</v>
      </c>
      <c r="J5489">
        <v>8.525658</v>
      </c>
      <c r="K5489">
        <v>60.023029999999999</v>
      </c>
      <c r="L5489">
        <v>20.43993</v>
      </c>
      <c r="M5489">
        <v>31.546710000000001</v>
      </c>
      <c r="N5489">
        <v>17.52336</v>
      </c>
      <c r="O5489">
        <v>14.02336</v>
      </c>
      <c r="P5489">
        <v>27.24671</v>
      </c>
      <c r="Q5489">
        <v>24.12566</v>
      </c>
      <c r="R5489">
        <v>27.346710000000002</v>
      </c>
      <c r="S5489">
        <v>22.3</v>
      </c>
      <c r="T5489">
        <v>1363.3620000000001</v>
      </c>
      <c r="U5489">
        <v>277.50990000000002</v>
      </c>
      <c r="V5489">
        <v>10.766450000000001</v>
      </c>
      <c r="W5489">
        <v>80</v>
      </c>
      <c r="X5489">
        <v>763.29610000000002</v>
      </c>
      <c r="Y5489">
        <v>52.789470000000001</v>
      </c>
      <c r="Z5489">
        <v>630.78620000000001</v>
      </c>
      <c r="AA5489">
        <v>159.023</v>
      </c>
      <c r="AB5489">
        <v>23.95214</v>
      </c>
      <c r="AC5489">
        <v>3.8014029999999997E-2</v>
      </c>
      <c r="AD5489">
        <v>1.4937609999999999</v>
      </c>
      <c r="AE5489">
        <v>0.46473510000000001</v>
      </c>
      <c r="AF5489">
        <v>25.06579</v>
      </c>
      <c r="AG5489">
        <f>IFERROR(AH5489*0.1, "N/A")</f>
        <v>6.0223680000000002</v>
      </c>
      <c r="AH5489">
        <v>60.223680000000002</v>
      </c>
      <c r="AI5489">
        <v>146.0258</v>
      </c>
      <c r="AJ5489">
        <v>19.370069999999998</v>
      </c>
      <c r="AK5489">
        <v>66.429280000000006</v>
      </c>
    </row>
    <row r="5490" spans="1:37" x14ac:dyDescent="0.3">
      <c r="A5490">
        <v>5489</v>
      </c>
      <c r="B5490">
        <v>0</v>
      </c>
      <c r="C5490">
        <v>38.142299999999999</v>
      </c>
      <c r="D5490">
        <v>-17.266200000000001</v>
      </c>
      <c r="E5490" t="s">
        <v>8825</v>
      </c>
      <c r="F5490" t="s">
        <v>8827</v>
      </c>
      <c r="G5490" t="s">
        <v>37</v>
      </c>
      <c r="H5490">
        <v>1956</v>
      </c>
      <c r="I5490">
        <v>25.249009999999998</v>
      </c>
      <c r="J5490">
        <v>8.525658</v>
      </c>
      <c r="K5490">
        <v>60.023029999999999</v>
      </c>
      <c r="L5490">
        <v>20.43993</v>
      </c>
      <c r="M5490">
        <v>31.546710000000001</v>
      </c>
      <c r="N5490">
        <v>17.52336</v>
      </c>
      <c r="O5490">
        <v>14.02336</v>
      </c>
      <c r="P5490">
        <v>27.24671</v>
      </c>
      <c r="Q5490">
        <v>24.12566</v>
      </c>
      <c r="R5490">
        <v>27.346710000000002</v>
      </c>
      <c r="S5490">
        <v>22.3</v>
      </c>
      <c r="T5490">
        <v>1363.3620000000001</v>
      </c>
      <c r="U5490">
        <v>277.50990000000002</v>
      </c>
      <c r="V5490">
        <v>10.766450000000001</v>
      </c>
      <c r="W5490">
        <v>80</v>
      </c>
      <c r="X5490">
        <v>763.29610000000002</v>
      </c>
      <c r="Y5490">
        <v>52.789470000000001</v>
      </c>
      <c r="Z5490">
        <v>630.78620000000001</v>
      </c>
      <c r="AA5490">
        <v>159.023</v>
      </c>
      <c r="AB5490">
        <v>23.95214</v>
      </c>
      <c r="AC5490">
        <v>3.8014029999999997E-2</v>
      </c>
      <c r="AD5490">
        <v>1.4937609999999999</v>
      </c>
      <c r="AE5490">
        <v>0.46473510000000001</v>
      </c>
      <c r="AF5490">
        <v>25.06579</v>
      </c>
      <c r="AG5490">
        <f>IFERROR(AH5490*0.1, "N/A")</f>
        <v>6.0223680000000002</v>
      </c>
      <c r="AH5490">
        <v>60.223680000000002</v>
      </c>
      <c r="AI5490">
        <v>146.0258</v>
      </c>
      <c r="AJ5490">
        <v>19.370069999999998</v>
      </c>
      <c r="AK5490">
        <v>66.429280000000006</v>
      </c>
    </row>
    <row r="5491" spans="1:37" x14ac:dyDescent="0.3">
      <c r="A5491">
        <v>5490</v>
      </c>
      <c r="B5491">
        <v>95</v>
      </c>
      <c r="C5491">
        <v>37.075800000000001</v>
      </c>
      <c r="D5491">
        <v>-17.265599999999999</v>
      </c>
      <c r="E5491" t="s">
        <v>8828</v>
      </c>
      <c r="F5491" t="s">
        <v>8829</v>
      </c>
      <c r="G5491" t="s">
        <v>39</v>
      </c>
      <c r="H5491">
        <v>1956</v>
      </c>
      <c r="I5491">
        <v>25.709689999999998</v>
      </c>
      <c r="J5491">
        <v>12</v>
      </c>
      <c r="K5491">
        <v>61</v>
      </c>
      <c r="L5491">
        <v>22.998059999999999</v>
      </c>
      <c r="M5491">
        <v>35.200000000000003</v>
      </c>
      <c r="N5491">
        <v>15.8</v>
      </c>
      <c r="O5491">
        <v>19.399999999999999</v>
      </c>
      <c r="P5491">
        <v>27.4</v>
      </c>
      <c r="Q5491">
        <v>25.3</v>
      </c>
      <c r="R5491">
        <v>28.1</v>
      </c>
      <c r="S5491">
        <v>22.3</v>
      </c>
      <c r="T5491">
        <v>1198.903</v>
      </c>
      <c r="U5491">
        <v>257.90309999999999</v>
      </c>
      <c r="V5491">
        <v>13</v>
      </c>
      <c r="W5491">
        <v>82</v>
      </c>
      <c r="X5491">
        <v>657.90309999999999</v>
      </c>
      <c r="Y5491">
        <v>59</v>
      </c>
      <c r="Z5491">
        <v>277</v>
      </c>
      <c r="AA5491">
        <v>107</v>
      </c>
      <c r="AB5491">
        <v>1.6274219999999999</v>
      </c>
      <c r="AC5491">
        <v>1.7184870000000001E-2</v>
      </c>
      <c r="AD5491">
        <v>1.9144810000000001</v>
      </c>
      <c r="AE5491">
        <v>0.24463770000000001</v>
      </c>
      <c r="AF5491">
        <v>21.857140000000001</v>
      </c>
      <c r="AG5491">
        <f>IFERROR(AH5491*0.1, "N/A")</f>
        <v>5.8541870000000005</v>
      </c>
      <c r="AH5491">
        <v>58.541870000000003</v>
      </c>
      <c r="AI5491">
        <v>238.5907</v>
      </c>
      <c r="AJ5491">
        <v>24.827590000000001</v>
      </c>
      <c r="AK5491">
        <v>61.665019999999998</v>
      </c>
    </row>
    <row r="5492" spans="1:37" x14ac:dyDescent="0.3">
      <c r="A5492">
        <v>5491</v>
      </c>
      <c r="B5492">
        <v>5</v>
      </c>
      <c r="C5492">
        <v>37.075800000000001</v>
      </c>
      <c r="D5492">
        <v>-17.265599999999999</v>
      </c>
      <c r="E5492" t="s">
        <v>8828</v>
      </c>
      <c r="F5492" t="s">
        <v>8830</v>
      </c>
      <c r="G5492" t="s">
        <v>37</v>
      </c>
      <c r="H5492">
        <v>1956</v>
      </c>
      <c r="I5492">
        <v>25.709689999999998</v>
      </c>
      <c r="J5492">
        <v>12</v>
      </c>
      <c r="K5492">
        <v>61</v>
      </c>
      <c r="L5492">
        <v>22.998059999999999</v>
      </c>
      <c r="M5492">
        <v>35.200000000000003</v>
      </c>
      <c r="N5492">
        <v>15.8</v>
      </c>
      <c r="O5492">
        <v>19.399999999999999</v>
      </c>
      <c r="P5492">
        <v>27.4</v>
      </c>
      <c r="Q5492">
        <v>25.3</v>
      </c>
      <c r="R5492">
        <v>28.1</v>
      </c>
      <c r="S5492">
        <v>22.3</v>
      </c>
      <c r="T5492">
        <v>1198.903</v>
      </c>
      <c r="U5492">
        <v>257.90309999999999</v>
      </c>
      <c r="V5492">
        <v>13</v>
      </c>
      <c r="W5492">
        <v>82</v>
      </c>
      <c r="X5492">
        <v>657.90309999999999</v>
      </c>
      <c r="Y5492">
        <v>59</v>
      </c>
      <c r="Z5492">
        <v>277</v>
      </c>
      <c r="AA5492">
        <v>107</v>
      </c>
      <c r="AB5492">
        <v>1.6274219999999999</v>
      </c>
      <c r="AC5492">
        <v>1.7184870000000001E-2</v>
      </c>
      <c r="AD5492">
        <v>1.9144810000000001</v>
      </c>
      <c r="AE5492">
        <v>0.24463770000000001</v>
      </c>
      <c r="AF5492">
        <v>21.857140000000001</v>
      </c>
      <c r="AG5492">
        <f>IFERROR(AH5492*0.1, "N/A")</f>
        <v>5.8541870000000005</v>
      </c>
      <c r="AH5492">
        <v>58.541870000000003</v>
      </c>
      <c r="AI5492">
        <v>238.5907</v>
      </c>
      <c r="AJ5492">
        <v>24.827590000000001</v>
      </c>
      <c r="AK5492">
        <v>61.665019999999998</v>
      </c>
    </row>
    <row r="5493" spans="1:37" x14ac:dyDescent="0.3">
      <c r="A5493">
        <v>5492</v>
      </c>
      <c r="B5493">
        <v>70</v>
      </c>
      <c r="C5493">
        <v>35.836300000000001</v>
      </c>
      <c r="D5493">
        <v>-17.257300000000001</v>
      </c>
      <c r="E5493" t="s">
        <v>8831</v>
      </c>
      <c r="F5493" t="s">
        <v>8832</v>
      </c>
      <c r="G5493" t="s">
        <v>39</v>
      </c>
      <c r="H5493">
        <v>1956</v>
      </c>
      <c r="I5493">
        <v>24.1</v>
      </c>
      <c r="J5493">
        <v>12.8</v>
      </c>
      <c r="K5493">
        <v>64</v>
      </c>
      <c r="L5493">
        <v>21.6</v>
      </c>
      <c r="M5493">
        <v>34.299999999999997</v>
      </c>
      <c r="N5493">
        <v>14.3</v>
      </c>
      <c r="O5493">
        <v>20</v>
      </c>
      <c r="P5493">
        <v>25.9</v>
      </c>
      <c r="Q5493">
        <v>22.1</v>
      </c>
      <c r="R5493">
        <v>26.3</v>
      </c>
      <c r="S5493">
        <v>20.9</v>
      </c>
      <c r="T5493">
        <v>925</v>
      </c>
      <c r="U5493">
        <v>204</v>
      </c>
      <c r="V5493">
        <v>13</v>
      </c>
      <c r="W5493">
        <v>88</v>
      </c>
      <c r="X5493">
        <v>541</v>
      </c>
      <c r="Y5493">
        <v>46</v>
      </c>
      <c r="Z5493">
        <v>290</v>
      </c>
      <c r="AA5493">
        <v>53</v>
      </c>
      <c r="AB5493">
        <v>1.6520509999999999</v>
      </c>
      <c r="AC5493">
        <v>5.8408569999999997</v>
      </c>
      <c r="AD5493">
        <v>1.301215</v>
      </c>
      <c r="AE5493">
        <v>0.19360859999999999</v>
      </c>
      <c r="AF5493">
        <v>281.33659999999998</v>
      </c>
      <c r="AG5493">
        <f>IFERROR(AH5493*0.1, "N/A")</f>
        <v>6.2875210000000008</v>
      </c>
      <c r="AH5493">
        <v>62.875210000000003</v>
      </c>
      <c r="AI5493">
        <v>240.7765</v>
      </c>
      <c r="AJ5493">
        <v>19.875209999999999</v>
      </c>
      <c r="AK5493">
        <v>70.968800000000002</v>
      </c>
    </row>
    <row r="5494" spans="1:37" x14ac:dyDescent="0.3">
      <c r="A5494">
        <v>5493</v>
      </c>
      <c r="B5494">
        <v>5</v>
      </c>
      <c r="C5494">
        <v>35.836300000000001</v>
      </c>
      <c r="D5494">
        <v>-17.257300000000001</v>
      </c>
      <c r="E5494" t="s">
        <v>8831</v>
      </c>
      <c r="F5494" t="s">
        <v>8833</v>
      </c>
      <c r="G5494" t="s">
        <v>37</v>
      </c>
      <c r="H5494">
        <v>1956</v>
      </c>
      <c r="I5494">
        <v>24.1</v>
      </c>
      <c r="J5494">
        <v>12.8</v>
      </c>
      <c r="K5494">
        <v>64</v>
      </c>
      <c r="L5494">
        <v>21.6</v>
      </c>
      <c r="M5494">
        <v>34.299999999999997</v>
      </c>
      <c r="N5494">
        <v>14.3</v>
      </c>
      <c r="O5494">
        <v>20</v>
      </c>
      <c r="P5494">
        <v>25.9</v>
      </c>
      <c r="Q5494">
        <v>22.1</v>
      </c>
      <c r="R5494">
        <v>26.3</v>
      </c>
      <c r="S5494">
        <v>20.9</v>
      </c>
      <c r="T5494">
        <v>925</v>
      </c>
      <c r="U5494">
        <v>204</v>
      </c>
      <c r="V5494">
        <v>13</v>
      </c>
      <c r="W5494">
        <v>88</v>
      </c>
      <c r="X5494">
        <v>541</v>
      </c>
      <c r="Y5494">
        <v>46</v>
      </c>
      <c r="Z5494">
        <v>290</v>
      </c>
      <c r="AA5494">
        <v>53</v>
      </c>
      <c r="AB5494">
        <v>1.6520509999999999</v>
      </c>
      <c r="AC5494">
        <v>5.8408569999999997</v>
      </c>
      <c r="AD5494">
        <v>1.301215</v>
      </c>
      <c r="AE5494">
        <v>0.19360859999999999</v>
      </c>
      <c r="AF5494">
        <v>281.33659999999998</v>
      </c>
      <c r="AG5494">
        <f>IFERROR(AH5494*0.1, "N/A")</f>
        <v>6.2875210000000008</v>
      </c>
      <c r="AH5494">
        <v>62.875210000000003</v>
      </c>
      <c r="AI5494">
        <v>240.7765</v>
      </c>
      <c r="AJ5494">
        <v>19.875209999999999</v>
      </c>
      <c r="AK5494">
        <v>70.968800000000002</v>
      </c>
    </row>
    <row r="5495" spans="1:37" x14ac:dyDescent="0.3">
      <c r="A5495">
        <v>5494</v>
      </c>
      <c r="B5495">
        <v>95</v>
      </c>
      <c r="C5495">
        <v>36.981900000000003</v>
      </c>
      <c r="D5495">
        <v>-17.228100000000001</v>
      </c>
      <c r="E5495" t="s">
        <v>8834</v>
      </c>
      <c r="F5495" t="s">
        <v>8835</v>
      </c>
      <c r="G5495" t="s">
        <v>39</v>
      </c>
      <c r="H5495">
        <v>1956</v>
      </c>
      <c r="I5495">
        <v>25.4</v>
      </c>
      <c r="J5495">
        <v>12.1</v>
      </c>
      <c r="K5495">
        <v>62</v>
      </c>
      <c r="L5495">
        <v>22.54</v>
      </c>
      <c r="M5495">
        <v>35</v>
      </c>
      <c r="N5495">
        <v>15.5</v>
      </c>
      <c r="O5495">
        <v>19.5</v>
      </c>
      <c r="P5495">
        <v>26.9</v>
      </c>
      <c r="Q5495">
        <v>25</v>
      </c>
      <c r="R5495">
        <v>27.7</v>
      </c>
      <c r="S5495">
        <v>22.1</v>
      </c>
      <c r="T5495">
        <v>1195</v>
      </c>
      <c r="U5495">
        <v>256</v>
      </c>
      <c r="V5495">
        <v>13</v>
      </c>
      <c r="W5495">
        <v>82</v>
      </c>
      <c r="X5495">
        <v>652</v>
      </c>
      <c r="Y5495">
        <v>60</v>
      </c>
      <c r="Z5495">
        <v>290</v>
      </c>
      <c r="AA5495">
        <v>102</v>
      </c>
      <c r="AB5495">
        <v>1.0131140000000001</v>
      </c>
      <c r="AC5495">
        <v>4.4460949999999999E-2</v>
      </c>
      <c r="AD5495">
        <v>3.3896869999999999</v>
      </c>
      <c r="AE5495">
        <v>0.26738250000000002</v>
      </c>
      <c r="AF5495">
        <v>76.039339999999996</v>
      </c>
      <c r="AG5495">
        <f>IFERROR(AH5495*0.1, "N/A")</f>
        <v>5.9654100000000003</v>
      </c>
      <c r="AH5495">
        <v>59.6541</v>
      </c>
      <c r="AI5495">
        <v>94.779060000000001</v>
      </c>
      <c r="AJ5495">
        <v>12</v>
      </c>
      <c r="AK5495">
        <v>80.6541</v>
      </c>
    </row>
    <row r="5496" spans="1:37" x14ac:dyDescent="0.3">
      <c r="A5496">
        <v>5495</v>
      </c>
      <c r="B5496">
        <v>10</v>
      </c>
      <c r="C5496">
        <v>36.981900000000003</v>
      </c>
      <c r="D5496">
        <v>-17.228100000000001</v>
      </c>
      <c r="E5496" t="s">
        <v>8834</v>
      </c>
      <c r="F5496" t="s">
        <v>8836</v>
      </c>
      <c r="G5496" t="s">
        <v>37</v>
      </c>
      <c r="H5496">
        <v>1956</v>
      </c>
      <c r="I5496">
        <v>25.4</v>
      </c>
      <c r="J5496">
        <v>12.1</v>
      </c>
      <c r="K5496">
        <v>62</v>
      </c>
      <c r="L5496">
        <v>22.54</v>
      </c>
      <c r="M5496">
        <v>35</v>
      </c>
      <c r="N5496">
        <v>15.5</v>
      </c>
      <c r="O5496">
        <v>19.5</v>
      </c>
      <c r="P5496">
        <v>26.9</v>
      </c>
      <c r="Q5496">
        <v>25</v>
      </c>
      <c r="R5496">
        <v>27.7</v>
      </c>
      <c r="S5496">
        <v>22.1</v>
      </c>
      <c r="T5496">
        <v>1195</v>
      </c>
      <c r="U5496">
        <v>256</v>
      </c>
      <c r="V5496">
        <v>13</v>
      </c>
      <c r="W5496">
        <v>82</v>
      </c>
      <c r="X5496">
        <v>652</v>
      </c>
      <c r="Y5496">
        <v>60</v>
      </c>
      <c r="Z5496">
        <v>290</v>
      </c>
      <c r="AA5496">
        <v>102</v>
      </c>
      <c r="AB5496">
        <v>1.0131140000000001</v>
      </c>
      <c r="AC5496">
        <v>4.4460949999999999E-2</v>
      </c>
      <c r="AD5496">
        <v>3.3896869999999999</v>
      </c>
      <c r="AE5496">
        <v>0.26738250000000002</v>
      </c>
      <c r="AF5496">
        <v>76.039339999999996</v>
      </c>
      <c r="AG5496">
        <f>IFERROR(AH5496*0.1, "N/A")</f>
        <v>5.9654100000000003</v>
      </c>
      <c r="AH5496">
        <v>59.6541</v>
      </c>
      <c r="AI5496">
        <v>94.779060000000001</v>
      </c>
      <c r="AJ5496">
        <v>12</v>
      </c>
      <c r="AK5496">
        <v>80.6541</v>
      </c>
    </row>
    <row r="5497" spans="1:37" x14ac:dyDescent="0.3">
      <c r="A5497">
        <v>5496</v>
      </c>
      <c r="B5497">
        <v>80</v>
      </c>
      <c r="C5497">
        <v>35.360599999999998</v>
      </c>
      <c r="D5497">
        <v>-17.2042</v>
      </c>
      <c r="E5497" t="s">
        <v>8837</v>
      </c>
      <c r="F5497" t="s">
        <v>8838</v>
      </c>
      <c r="G5497" t="s">
        <v>39</v>
      </c>
      <c r="H5497">
        <v>1956</v>
      </c>
      <c r="I5497">
        <v>25.7</v>
      </c>
      <c r="J5497">
        <v>13.4</v>
      </c>
      <c r="K5497">
        <v>61</v>
      </c>
      <c r="L5497">
        <v>26.56</v>
      </c>
      <c r="M5497">
        <v>36.299999999999997</v>
      </c>
      <c r="N5497">
        <v>14.4</v>
      </c>
      <c r="O5497">
        <v>21.9</v>
      </c>
      <c r="P5497">
        <v>27.9</v>
      </c>
      <c r="Q5497">
        <v>23.2</v>
      </c>
      <c r="R5497">
        <v>28.4</v>
      </c>
      <c r="S5497">
        <v>21.8</v>
      </c>
      <c r="T5497">
        <v>828</v>
      </c>
      <c r="U5497">
        <v>183</v>
      </c>
      <c r="V5497">
        <v>9</v>
      </c>
      <c r="W5497">
        <v>91</v>
      </c>
      <c r="X5497">
        <v>485</v>
      </c>
      <c r="Y5497">
        <v>33</v>
      </c>
      <c r="Z5497">
        <v>257</v>
      </c>
      <c r="AA5497">
        <v>41</v>
      </c>
      <c r="AB5497">
        <v>10.16452</v>
      </c>
      <c r="AC5497">
        <v>2.1726160000000001E-2</v>
      </c>
      <c r="AD5497">
        <v>1.067447</v>
      </c>
      <c r="AE5497">
        <v>0.28131820000000002</v>
      </c>
      <c r="AF5497">
        <v>41.892740000000003</v>
      </c>
      <c r="AG5497">
        <f>IFERROR(AH5497*0.1, "N/A")</f>
        <v>6.1467000000000001</v>
      </c>
      <c r="AH5497">
        <v>61.466999999999999</v>
      </c>
      <c r="AI5497">
        <v>243.37029999999999</v>
      </c>
      <c r="AJ5497">
        <v>21.466999999999999</v>
      </c>
      <c r="AK5497">
        <v>65.820130000000006</v>
      </c>
    </row>
    <row r="5498" spans="1:37" x14ac:dyDescent="0.3">
      <c r="A5498">
        <v>5497</v>
      </c>
      <c r="B5498">
        <v>5</v>
      </c>
      <c r="C5498">
        <v>35.360599999999998</v>
      </c>
      <c r="D5498">
        <v>-17.2042</v>
      </c>
      <c r="E5498" t="s">
        <v>8837</v>
      </c>
      <c r="F5498" t="s">
        <v>8839</v>
      </c>
      <c r="G5498" t="s">
        <v>37</v>
      </c>
      <c r="H5498">
        <v>1956</v>
      </c>
      <c r="I5498">
        <v>25.7</v>
      </c>
      <c r="J5498">
        <v>13.4</v>
      </c>
      <c r="K5498">
        <v>61</v>
      </c>
      <c r="L5498">
        <v>26.56</v>
      </c>
      <c r="M5498">
        <v>36.299999999999997</v>
      </c>
      <c r="N5498">
        <v>14.4</v>
      </c>
      <c r="O5498">
        <v>21.9</v>
      </c>
      <c r="P5498">
        <v>27.9</v>
      </c>
      <c r="Q5498">
        <v>23.2</v>
      </c>
      <c r="R5498">
        <v>28.4</v>
      </c>
      <c r="S5498">
        <v>21.8</v>
      </c>
      <c r="T5498">
        <v>828</v>
      </c>
      <c r="U5498">
        <v>183</v>
      </c>
      <c r="V5498">
        <v>9</v>
      </c>
      <c r="W5498">
        <v>91</v>
      </c>
      <c r="X5498">
        <v>485</v>
      </c>
      <c r="Y5498">
        <v>33</v>
      </c>
      <c r="Z5498">
        <v>257</v>
      </c>
      <c r="AA5498">
        <v>41</v>
      </c>
      <c r="AB5498">
        <v>10.16452</v>
      </c>
      <c r="AC5498">
        <v>2.1726160000000001E-2</v>
      </c>
      <c r="AD5498">
        <v>1.067447</v>
      </c>
      <c r="AE5498">
        <v>0.28131820000000002</v>
      </c>
      <c r="AF5498">
        <v>41.892740000000003</v>
      </c>
      <c r="AG5498">
        <f>IFERROR(AH5498*0.1, "N/A")</f>
        <v>6.1467000000000001</v>
      </c>
      <c r="AH5498">
        <v>61.466999999999999</v>
      </c>
      <c r="AI5498">
        <v>243.37029999999999</v>
      </c>
      <c r="AJ5498">
        <v>21.466999999999999</v>
      </c>
      <c r="AK5498">
        <v>65.820130000000006</v>
      </c>
    </row>
    <row r="5499" spans="1:37" x14ac:dyDescent="0.3">
      <c r="A5499">
        <v>5498</v>
      </c>
      <c r="B5499">
        <v>55</v>
      </c>
      <c r="C5499">
        <v>38.017299999999999</v>
      </c>
      <c r="D5499">
        <v>-17.1693</v>
      </c>
      <c r="E5499" t="s">
        <v>8840</v>
      </c>
      <c r="F5499" t="s">
        <v>8841</v>
      </c>
      <c r="G5499" t="s">
        <v>39</v>
      </c>
      <c r="H5499">
        <v>1956</v>
      </c>
      <c r="I5499">
        <v>25.4</v>
      </c>
      <c r="J5499">
        <v>9.1067549999999997</v>
      </c>
      <c r="K5499">
        <v>60</v>
      </c>
      <c r="L5499">
        <v>21.64499</v>
      </c>
      <c r="M5499">
        <v>32.206760000000003</v>
      </c>
      <c r="N5499">
        <v>17.193249999999999</v>
      </c>
      <c r="O5499">
        <v>15.01351</v>
      </c>
      <c r="P5499">
        <v>27.4</v>
      </c>
      <c r="Q5499">
        <v>24.393249999999998</v>
      </c>
      <c r="R5499">
        <v>27.6</v>
      </c>
      <c r="S5499">
        <v>22.193249999999999</v>
      </c>
      <c r="T5499">
        <v>1343.405</v>
      </c>
      <c r="U5499">
        <v>269.0675</v>
      </c>
      <c r="V5499">
        <v>11.067550000000001</v>
      </c>
      <c r="W5499">
        <v>77.932450000000003</v>
      </c>
      <c r="X5499">
        <v>738.20259999999996</v>
      </c>
      <c r="Y5499">
        <v>56.135089999999998</v>
      </c>
      <c r="Z5499">
        <v>629.20259999999996</v>
      </c>
      <c r="AA5499">
        <v>160.0675</v>
      </c>
      <c r="AB5499">
        <v>6.2892919999999997</v>
      </c>
      <c r="AC5499">
        <v>6.4463999999999994E-2</v>
      </c>
      <c r="AD5499">
        <v>1.8756060000000001</v>
      </c>
      <c r="AE5499">
        <v>0.33859159999999999</v>
      </c>
      <c r="AF5499">
        <v>20.321249999999999</v>
      </c>
      <c r="AG5499">
        <f>IFERROR(AH5499*0.1, "N/A")</f>
        <v>6.1749590000000003</v>
      </c>
      <c r="AH5499">
        <v>61.749589999999998</v>
      </c>
      <c r="AI5499">
        <v>96.018720000000002</v>
      </c>
      <c r="AJ5499">
        <v>11.771000000000001</v>
      </c>
      <c r="AK5499">
        <v>79.421750000000003</v>
      </c>
    </row>
    <row r="5500" spans="1:37" x14ac:dyDescent="0.3">
      <c r="A5500">
        <v>5499</v>
      </c>
      <c r="B5500">
        <v>0</v>
      </c>
      <c r="C5500">
        <v>38.017299999999999</v>
      </c>
      <c r="D5500">
        <v>-17.1693</v>
      </c>
      <c r="E5500" t="s">
        <v>8840</v>
      </c>
      <c r="F5500" t="s">
        <v>8842</v>
      </c>
      <c r="G5500" t="s">
        <v>37</v>
      </c>
      <c r="H5500">
        <v>1956</v>
      </c>
      <c r="I5500">
        <v>25.4</v>
      </c>
      <c r="J5500">
        <v>9.1067549999999997</v>
      </c>
      <c r="K5500">
        <v>60</v>
      </c>
      <c r="L5500">
        <v>21.64499</v>
      </c>
      <c r="M5500">
        <v>32.206760000000003</v>
      </c>
      <c r="N5500">
        <v>17.193249999999999</v>
      </c>
      <c r="O5500">
        <v>15.01351</v>
      </c>
      <c r="P5500">
        <v>27.4</v>
      </c>
      <c r="Q5500">
        <v>24.393249999999998</v>
      </c>
      <c r="R5500">
        <v>27.6</v>
      </c>
      <c r="S5500">
        <v>22.193249999999999</v>
      </c>
      <c r="T5500">
        <v>1343.405</v>
      </c>
      <c r="U5500">
        <v>269.0675</v>
      </c>
      <c r="V5500">
        <v>11.067550000000001</v>
      </c>
      <c r="W5500">
        <v>77.932450000000003</v>
      </c>
      <c r="X5500">
        <v>738.20259999999996</v>
      </c>
      <c r="Y5500">
        <v>56.135089999999998</v>
      </c>
      <c r="Z5500">
        <v>629.20259999999996</v>
      </c>
      <c r="AA5500">
        <v>160.0675</v>
      </c>
      <c r="AB5500">
        <v>6.2892919999999997</v>
      </c>
      <c r="AC5500">
        <v>6.4463999999999994E-2</v>
      </c>
      <c r="AD5500">
        <v>1.8756060000000001</v>
      </c>
      <c r="AE5500">
        <v>0.33859159999999999</v>
      </c>
      <c r="AF5500">
        <v>20.321249999999999</v>
      </c>
      <c r="AG5500">
        <f>IFERROR(AH5500*0.1, "N/A")</f>
        <v>6.1749590000000003</v>
      </c>
      <c r="AH5500">
        <v>61.749589999999998</v>
      </c>
      <c r="AI5500">
        <v>96.018720000000002</v>
      </c>
      <c r="AJ5500">
        <v>11.771000000000001</v>
      </c>
      <c r="AK5500">
        <v>79.421750000000003</v>
      </c>
    </row>
    <row r="5501" spans="1:37" x14ac:dyDescent="0.3">
      <c r="A5501">
        <v>5500</v>
      </c>
      <c r="B5501">
        <v>100</v>
      </c>
      <c r="C5501">
        <v>35.9619</v>
      </c>
      <c r="D5501">
        <v>-17.158300000000001</v>
      </c>
      <c r="E5501" t="s">
        <v>8843</v>
      </c>
      <c r="F5501" t="s">
        <v>8844</v>
      </c>
      <c r="G5501" t="s">
        <v>39</v>
      </c>
      <c r="H5501">
        <v>1956</v>
      </c>
      <c r="I5501">
        <v>24.3</v>
      </c>
      <c r="J5501">
        <v>12.8</v>
      </c>
      <c r="K5501">
        <v>64</v>
      </c>
      <c r="L5501">
        <v>21.435790000000001</v>
      </c>
      <c r="M5501">
        <v>34.4</v>
      </c>
      <c r="N5501">
        <v>14.6</v>
      </c>
      <c r="O5501">
        <v>19.8</v>
      </c>
      <c r="P5501">
        <v>26.1</v>
      </c>
      <c r="Q5501">
        <v>22.3</v>
      </c>
      <c r="R5501">
        <v>26.584209999999999</v>
      </c>
      <c r="S5501">
        <v>21.2</v>
      </c>
      <c r="T5501">
        <v>928.42110000000002</v>
      </c>
      <c r="U5501">
        <v>201.84209999999999</v>
      </c>
      <c r="V5501">
        <v>13</v>
      </c>
      <c r="W5501">
        <v>88.157889999999995</v>
      </c>
      <c r="X5501">
        <v>546.36839999999995</v>
      </c>
      <c r="Y5501">
        <v>45.842109999999998</v>
      </c>
      <c r="Z5501">
        <v>289.52629999999999</v>
      </c>
      <c r="AA5501">
        <v>52.842109999999998</v>
      </c>
      <c r="AB5501">
        <v>17.518920000000001</v>
      </c>
      <c r="AC5501">
        <v>2.3071560000000001E-2</v>
      </c>
      <c r="AD5501">
        <v>3.0513050000000002</v>
      </c>
      <c r="AE5501">
        <v>0.136013</v>
      </c>
      <c r="AF5501">
        <v>248.95070000000001</v>
      </c>
      <c r="AG5501">
        <f>IFERROR(AH5501*0.1, "N/A")</f>
        <v>6.284211</v>
      </c>
      <c r="AH5501">
        <v>62.842109999999998</v>
      </c>
      <c r="AI5501">
        <v>114.0647</v>
      </c>
      <c r="AJ5501">
        <v>19.294409999999999</v>
      </c>
      <c r="AK5501">
        <v>71.473680000000002</v>
      </c>
    </row>
    <row r="5502" spans="1:37" x14ac:dyDescent="0.3">
      <c r="A5502">
        <v>5501</v>
      </c>
      <c r="B5502">
        <v>15</v>
      </c>
      <c r="C5502">
        <v>35.9619</v>
      </c>
      <c r="D5502">
        <v>-17.158300000000001</v>
      </c>
      <c r="E5502" t="s">
        <v>8843</v>
      </c>
      <c r="F5502" t="s">
        <v>8845</v>
      </c>
      <c r="G5502" t="s">
        <v>37</v>
      </c>
      <c r="H5502">
        <v>1956</v>
      </c>
      <c r="I5502">
        <v>24.3</v>
      </c>
      <c r="J5502">
        <v>12.8</v>
      </c>
      <c r="K5502">
        <v>64</v>
      </c>
      <c r="L5502">
        <v>21.435790000000001</v>
      </c>
      <c r="M5502">
        <v>34.4</v>
      </c>
      <c r="N5502">
        <v>14.6</v>
      </c>
      <c r="O5502">
        <v>19.8</v>
      </c>
      <c r="P5502">
        <v>26.1</v>
      </c>
      <c r="Q5502">
        <v>22.3</v>
      </c>
      <c r="R5502">
        <v>26.584209999999999</v>
      </c>
      <c r="S5502">
        <v>21.2</v>
      </c>
      <c r="T5502">
        <v>928.42110000000002</v>
      </c>
      <c r="U5502">
        <v>201.84209999999999</v>
      </c>
      <c r="V5502">
        <v>13</v>
      </c>
      <c r="W5502">
        <v>88.157889999999995</v>
      </c>
      <c r="X5502">
        <v>546.36839999999995</v>
      </c>
      <c r="Y5502">
        <v>45.842109999999998</v>
      </c>
      <c r="Z5502">
        <v>289.52629999999999</v>
      </c>
      <c r="AA5502">
        <v>52.842109999999998</v>
      </c>
      <c r="AB5502">
        <v>17.518920000000001</v>
      </c>
      <c r="AC5502">
        <v>2.3071560000000001E-2</v>
      </c>
      <c r="AD5502">
        <v>3.0513050000000002</v>
      </c>
      <c r="AE5502">
        <v>0.136013</v>
      </c>
      <c r="AF5502">
        <v>248.95070000000001</v>
      </c>
      <c r="AG5502">
        <f>IFERROR(AH5502*0.1, "N/A")</f>
        <v>6.284211</v>
      </c>
      <c r="AH5502">
        <v>62.842109999999998</v>
      </c>
      <c r="AI5502">
        <v>114.0647</v>
      </c>
      <c r="AJ5502">
        <v>19.294409999999999</v>
      </c>
      <c r="AK5502">
        <v>71.473680000000002</v>
      </c>
    </row>
    <row r="5503" spans="1:37" x14ac:dyDescent="0.3">
      <c r="A5503">
        <v>5502</v>
      </c>
      <c r="B5503">
        <v>45</v>
      </c>
      <c r="C5503">
        <v>38.146900000000002</v>
      </c>
      <c r="D5503">
        <v>-17.1279</v>
      </c>
      <c r="E5503" t="s">
        <v>8846</v>
      </c>
      <c r="F5503" t="s">
        <v>8847</v>
      </c>
      <c r="G5503" t="s">
        <v>39</v>
      </c>
      <c r="H5503">
        <v>1956</v>
      </c>
      <c r="I5503">
        <v>25.3</v>
      </c>
      <c r="J5503">
        <v>9</v>
      </c>
      <c r="K5503">
        <v>61</v>
      </c>
      <c r="L5503">
        <v>21.26</v>
      </c>
      <c r="M5503">
        <v>31.9</v>
      </c>
      <c r="N5503">
        <v>17.2</v>
      </c>
      <c r="O5503">
        <v>14.7</v>
      </c>
      <c r="P5503">
        <v>27.3</v>
      </c>
      <c r="Q5503">
        <v>24.2</v>
      </c>
      <c r="R5503">
        <v>27.4</v>
      </c>
      <c r="S5503">
        <v>22.1</v>
      </c>
      <c r="T5503">
        <v>1347</v>
      </c>
      <c r="U5503">
        <v>271</v>
      </c>
      <c r="V5503">
        <v>11</v>
      </c>
      <c r="W5503">
        <v>78</v>
      </c>
      <c r="X5503">
        <v>745</v>
      </c>
      <c r="Y5503">
        <v>55</v>
      </c>
      <c r="Z5503">
        <v>628</v>
      </c>
      <c r="AA5503">
        <v>158</v>
      </c>
      <c r="AB5503">
        <v>12.10923</v>
      </c>
      <c r="AC5503">
        <v>1.4129279999999999E-2</v>
      </c>
      <c r="AD5503">
        <v>1.5366899999999999</v>
      </c>
      <c r="AE5503">
        <v>0.24989339999999999</v>
      </c>
      <c r="AF5503">
        <v>39.899509999999999</v>
      </c>
      <c r="AG5503">
        <f>IFERROR(AH5503*0.1, "N/A")</f>
        <v>6.3263590000000001</v>
      </c>
      <c r="AH5503">
        <v>63.263590000000001</v>
      </c>
      <c r="AI5503">
        <v>225.85429999999999</v>
      </c>
      <c r="AJ5503">
        <v>9.7907740000000008</v>
      </c>
      <c r="AK5503">
        <v>81.939040000000006</v>
      </c>
    </row>
    <row r="5504" spans="1:37" x14ac:dyDescent="0.3">
      <c r="A5504">
        <v>5503</v>
      </c>
      <c r="B5504">
        <v>0</v>
      </c>
      <c r="C5504">
        <v>38.146900000000002</v>
      </c>
      <c r="D5504">
        <v>-17.1279</v>
      </c>
      <c r="E5504" t="s">
        <v>8846</v>
      </c>
      <c r="F5504" t="s">
        <v>8848</v>
      </c>
      <c r="G5504" t="s">
        <v>37</v>
      </c>
      <c r="H5504">
        <v>1956</v>
      </c>
      <c r="I5504">
        <v>25.3</v>
      </c>
      <c r="J5504">
        <v>9</v>
      </c>
      <c r="K5504">
        <v>61</v>
      </c>
      <c r="L5504">
        <v>21.26</v>
      </c>
      <c r="M5504">
        <v>31.9</v>
      </c>
      <c r="N5504">
        <v>17.2</v>
      </c>
      <c r="O5504">
        <v>14.7</v>
      </c>
      <c r="P5504">
        <v>27.3</v>
      </c>
      <c r="Q5504">
        <v>24.2</v>
      </c>
      <c r="R5504">
        <v>27.4</v>
      </c>
      <c r="S5504">
        <v>22.1</v>
      </c>
      <c r="T5504">
        <v>1347</v>
      </c>
      <c r="U5504">
        <v>271</v>
      </c>
      <c r="V5504">
        <v>11</v>
      </c>
      <c r="W5504">
        <v>78</v>
      </c>
      <c r="X5504">
        <v>745</v>
      </c>
      <c r="Y5504">
        <v>55</v>
      </c>
      <c r="Z5504">
        <v>628</v>
      </c>
      <c r="AA5504">
        <v>158</v>
      </c>
      <c r="AB5504">
        <v>12.10923</v>
      </c>
      <c r="AC5504">
        <v>1.4129279999999999E-2</v>
      </c>
      <c r="AD5504">
        <v>1.5366899999999999</v>
      </c>
      <c r="AE5504">
        <v>0.24989339999999999</v>
      </c>
      <c r="AF5504">
        <v>39.899509999999999</v>
      </c>
      <c r="AG5504">
        <f>IFERROR(AH5504*0.1, "N/A")</f>
        <v>6.3263590000000001</v>
      </c>
      <c r="AH5504">
        <v>63.263590000000001</v>
      </c>
      <c r="AI5504">
        <v>225.85429999999999</v>
      </c>
      <c r="AJ5504">
        <v>9.7907740000000008</v>
      </c>
      <c r="AK5504">
        <v>81.939040000000006</v>
      </c>
    </row>
    <row r="5505" spans="1:37" x14ac:dyDescent="0.3">
      <c r="A5505">
        <v>5504</v>
      </c>
      <c r="B5505">
        <v>90</v>
      </c>
      <c r="C5505">
        <v>36.141399999999997</v>
      </c>
      <c r="D5505">
        <v>-17.042200000000001</v>
      </c>
      <c r="E5505" t="s">
        <v>8849</v>
      </c>
      <c r="F5505" t="s">
        <v>8850</v>
      </c>
      <c r="G5505" t="s">
        <v>39</v>
      </c>
      <c r="H5505">
        <v>1956</v>
      </c>
      <c r="I5505">
        <v>24.537189999999999</v>
      </c>
      <c r="J5505">
        <v>12.7</v>
      </c>
      <c r="K5505">
        <v>63.628100000000003</v>
      </c>
      <c r="L5505">
        <v>21.261310000000002</v>
      </c>
      <c r="M5505">
        <v>34.537190000000002</v>
      </c>
      <c r="N5505">
        <v>14.7</v>
      </c>
      <c r="O5505">
        <v>19.83719</v>
      </c>
      <c r="P5505">
        <v>26.267600000000002</v>
      </c>
      <c r="Q5505">
        <v>22.497689999999999</v>
      </c>
      <c r="R5505">
        <v>26.6676</v>
      </c>
      <c r="S5505">
        <v>21.397690000000001</v>
      </c>
      <c r="T5505">
        <v>1053.327</v>
      </c>
      <c r="U5505">
        <v>220.25620000000001</v>
      </c>
      <c r="V5505">
        <v>15</v>
      </c>
      <c r="W5505">
        <v>85</v>
      </c>
      <c r="X5505">
        <v>599.51239999999996</v>
      </c>
      <c r="Y5505">
        <v>56.2562</v>
      </c>
      <c r="Z5505">
        <v>314.25619999999998</v>
      </c>
      <c r="AA5505">
        <v>66.884299999999996</v>
      </c>
      <c r="AB5505">
        <v>20.69603</v>
      </c>
      <c r="AC5505">
        <v>3.2461200000000003E-2</v>
      </c>
      <c r="AD5505">
        <v>3.9342679999999999</v>
      </c>
      <c r="AE5505">
        <v>0.12995080000000001</v>
      </c>
      <c r="AF5505">
        <v>213.39830000000001</v>
      </c>
      <c r="AG5505">
        <f>IFERROR(AH5505*0.1, "N/A")</f>
        <v>6.1036360000000007</v>
      </c>
      <c r="AH5505">
        <v>61.036360000000002</v>
      </c>
      <c r="AI5505">
        <v>83.356459999999998</v>
      </c>
      <c r="AJ5505">
        <v>22.228100000000001</v>
      </c>
      <c r="AK5505">
        <v>62.771900000000002</v>
      </c>
    </row>
    <row r="5506" spans="1:37" x14ac:dyDescent="0.3">
      <c r="A5506">
        <v>5505</v>
      </c>
      <c r="B5506">
        <v>100</v>
      </c>
      <c r="C5506">
        <v>36.141399999999997</v>
      </c>
      <c r="D5506">
        <v>-17.042200000000001</v>
      </c>
      <c r="E5506" t="s">
        <v>8849</v>
      </c>
      <c r="F5506" t="s">
        <v>8851</v>
      </c>
      <c r="G5506" t="s">
        <v>37</v>
      </c>
      <c r="H5506">
        <v>1956</v>
      </c>
      <c r="I5506">
        <v>24.537189999999999</v>
      </c>
      <c r="J5506">
        <v>12.7</v>
      </c>
      <c r="K5506">
        <v>63.628100000000003</v>
      </c>
      <c r="L5506">
        <v>21.261310000000002</v>
      </c>
      <c r="M5506">
        <v>34.537190000000002</v>
      </c>
      <c r="N5506">
        <v>14.7</v>
      </c>
      <c r="O5506">
        <v>19.83719</v>
      </c>
      <c r="P5506">
        <v>26.267600000000002</v>
      </c>
      <c r="Q5506">
        <v>22.497689999999999</v>
      </c>
      <c r="R5506">
        <v>26.6676</v>
      </c>
      <c r="S5506">
        <v>21.397690000000001</v>
      </c>
      <c r="T5506">
        <v>1053.327</v>
      </c>
      <c r="U5506">
        <v>220.25620000000001</v>
      </c>
      <c r="V5506">
        <v>15</v>
      </c>
      <c r="W5506">
        <v>85</v>
      </c>
      <c r="X5506">
        <v>599.51239999999996</v>
      </c>
      <c r="Y5506">
        <v>56.2562</v>
      </c>
      <c r="Z5506">
        <v>314.25619999999998</v>
      </c>
      <c r="AA5506">
        <v>66.884299999999996</v>
      </c>
      <c r="AB5506">
        <v>20.69603</v>
      </c>
      <c r="AC5506">
        <v>3.2461200000000003E-2</v>
      </c>
      <c r="AD5506">
        <v>3.9342679999999999</v>
      </c>
      <c r="AE5506">
        <v>0.12995080000000001</v>
      </c>
      <c r="AF5506">
        <v>213.39830000000001</v>
      </c>
      <c r="AG5506">
        <f>IFERROR(AH5506*0.1, "N/A")</f>
        <v>6.1036360000000007</v>
      </c>
      <c r="AH5506">
        <v>61.036360000000002</v>
      </c>
      <c r="AI5506">
        <v>83.356459999999998</v>
      </c>
      <c r="AJ5506">
        <v>22.228100000000001</v>
      </c>
      <c r="AK5506">
        <v>62.771900000000002</v>
      </c>
    </row>
    <row r="5507" spans="1:37" x14ac:dyDescent="0.3">
      <c r="A5507">
        <v>5506</v>
      </c>
      <c r="B5507">
        <v>90</v>
      </c>
      <c r="C5507">
        <v>36.777799999999999</v>
      </c>
      <c r="D5507">
        <v>-16.9283</v>
      </c>
      <c r="E5507" t="s">
        <v>8852</v>
      </c>
      <c r="F5507" t="s">
        <v>8853</v>
      </c>
      <c r="G5507" t="s">
        <v>39</v>
      </c>
      <c r="H5507">
        <v>1956</v>
      </c>
      <c r="I5507">
        <v>24.6</v>
      </c>
      <c r="J5507">
        <v>12.4</v>
      </c>
      <c r="K5507">
        <v>60</v>
      </c>
      <c r="L5507">
        <v>23.92</v>
      </c>
      <c r="M5507">
        <v>34.700000000000003</v>
      </c>
      <c r="N5507">
        <v>14.3</v>
      </c>
      <c r="O5507">
        <v>20.399999999999999</v>
      </c>
      <c r="P5507">
        <v>26.6</v>
      </c>
      <c r="Q5507">
        <v>24.4</v>
      </c>
      <c r="R5507">
        <v>27</v>
      </c>
      <c r="S5507">
        <v>21.1</v>
      </c>
      <c r="T5507">
        <v>1265</v>
      </c>
      <c r="U5507">
        <v>256</v>
      </c>
      <c r="V5507">
        <v>15</v>
      </c>
      <c r="W5507">
        <v>82</v>
      </c>
      <c r="X5507">
        <v>681</v>
      </c>
      <c r="Y5507">
        <v>70</v>
      </c>
      <c r="Z5507">
        <v>349</v>
      </c>
      <c r="AA5507">
        <v>91</v>
      </c>
      <c r="AB5507">
        <v>15.84647</v>
      </c>
      <c r="AC5507">
        <v>8.519156E-2</v>
      </c>
      <c r="AD5507">
        <v>2.8518180000000002</v>
      </c>
      <c r="AE5507">
        <v>0.1909409</v>
      </c>
      <c r="AF5507">
        <v>210.69130000000001</v>
      </c>
      <c r="AG5507">
        <f>IFERROR(AH5507*0.1, "N/A")</f>
        <v>5.9806240000000006</v>
      </c>
      <c r="AH5507">
        <v>59.806240000000003</v>
      </c>
      <c r="AI5507">
        <v>136.2396</v>
      </c>
      <c r="AJ5507">
        <v>19.463049999999999</v>
      </c>
      <c r="AK5507">
        <v>70.536950000000004</v>
      </c>
    </row>
    <row r="5508" spans="1:37" x14ac:dyDescent="0.3">
      <c r="A5508">
        <v>5507</v>
      </c>
      <c r="B5508">
        <v>20</v>
      </c>
      <c r="C5508">
        <v>36.777799999999999</v>
      </c>
      <c r="D5508">
        <v>-16.9283</v>
      </c>
      <c r="E5508" t="s">
        <v>8852</v>
      </c>
      <c r="F5508" t="s">
        <v>8854</v>
      </c>
      <c r="G5508" t="s">
        <v>37</v>
      </c>
      <c r="H5508">
        <v>1956</v>
      </c>
      <c r="I5508">
        <v>24.6</v>
      </c>
      <c r="J5508">
        <v>12.4</v>
      </c>
      <c r="K5508">
        <v>60</v>
      </c>
      <c r="L5508">
        <v>23.92</v>
      </c>
      <c r="M5508">
        <v>34.700000000000003</v>
      </c>
      <c r="N5508">
        <v>14.3</v>
      </c>
      <c r="O5508">
        <v>20.399999999999999</v>
      </c>
      <c r="P5508">
        <v>26.6</v>
      </c>
      <c r="Q5508">
        <v>24.4</v>
      </c>
      <c r="R5508">
        <v>27</v>
      </c>
      <c r="S5508">
        <v>21.1</v>
      </c>
      <c r="T5508">
        <v>1265</v>
      </c>
      <c r="U5508">
        <v>256</v>
      </c>
      <c r="V5508">
        <v>15</v>
      </c>
      <c r="W5508">
        <v>82</v>
      </c>
      <c r="X5508">
        <v>681</v>
      </c>
      <c r="Y5508">
        <v>70</v>
      </c>
      <c r="Z5508">
        <v>349</v>
      </c>
      <c r="AA5508">
        <v>91</v>
      </c>
      <c r="AB5508">
        <v>15.84647</v>
      </c>
      <c r="AC5508">
        <v>8.519156E-2</v>
      </c>
      <c r="AD5508">
        <v>2.8518180000000002</v>
      </c>
      <c r="AE5508">
        <v>0.1909409</v>
      </c>
      <c r="AF5508">
        <v>210.69130000000001</v>
      </c>
      <c r="AG5508">
        <f>IFERROR(AH5508*0.1, "N/A")</f>
        <v>5.9806240000000006</v>
      </c>
      <c r="AH5508">
        <v>59.806240000000003</v>
      </c>
      <c r="AI5508">
        <v>136.2396</v>
      </c>
      <c r="AJ5508">
        <v>19.463049999999999</v>
      </c>
      <c r="AK5508">
        <v>70.536950000000004</v>
      </c>
    </row>
    <row r="5509" spans="1:37" x14ac:dyDescent="0.3">
      <c r="A5509">
        <v>5508</v>
      </c>
      <c r="B5509">
        <v>100</v>
      </c>
      <c r="C5509">
        <v>38.3292</v>
      </c>
      <c r="D5509">
        <v>-16.881399999999999</v>
      </c>
      <c r="E5509" t="s">
        <v>8855</v>
      </c>
      <c r="F5509" t="s">
        <v>8856</v>
      </c>
      <c r="G5509" t="s">
        <v>39</v>
      </c>
      <c r="H5509">
        <v>1956</v>
      </c>
      <c r="I5509">
        <v>25.2</v>
      </c>
      <c r="J5509">
        <v>9.4</v>
      </c>
      <c r="K5509">
        <v>60</v>
      </c>
      <c r="L5509">
        <v>22.31</v>
      </c>
      <c r="M5509">
        <v>32.4</v>
      </c>
      <c r="N5509">
        <v>16.899999999999999</v>
      </c>
      <c r="O5509">
        <v>15.5</v>
      </c>
      <c r="P5509">
        <v>27.2</v>
      </c>
      <c r="Q5509">
        <v>24.2</v>
      </c>
      <c r="R5509">
        <v>27.5</v>
      </c>
      <c r="S5509">
        <v>21.9</v>
      </c>
      <c r="T5509">
        <v>1309</v>
      </c>
      <c r="U5509">
        <v>268</v>
      </c>
      <c r="V5509">
        <v>11</v>
      </c>
      <c r="W5509">
        <v>81</v>
      </c>
      <c r="X5509">
        <v>740</v>
      </c>
      <c r="Y5509">
        <v>50</v>
      </c>
      <c r="Z5509">
        <v>638</v>
      </c>
      <c r="AA5509">
        <v>136</v>
      </c>
      <c r="AB5509">
        <v>8.9803619999999995</v>
      </c>
      <c r="AC5509">
        <v>1.6224309999999999E-2</v>
      </c>
      <c r="AD5509">
        <v>0.97167599999999998</v>
      </c>
      <c r="AE5509">
        <v>0.1449116</v>
      </c>
      <c r="AF5509">
        <v>62.800330000000002</v>
      </c>
      <c r="AG5509">
        <f>IFERROR(AH5509*0.1, "N/A")</f>
        <v>6.1589109999999998</v>
      </c>
      <c r="AH5509">
        <v>61.589109999999998</v>
      </c>
      <c r="AI5509">
        <v>140.0772</v>
      </c>
      <c r="AJ5509">
        <v>17.102309999999999</v>
      </c>
      <c r="AK5509">
        <v>73.897689999999997</v>
      </c>
    </row>
    <row r="5510" spans="1:37" x14ac:dyDescent="0.3">
      <c r="A5510">
        <v>5509</v>
      </c>
      <c r="B5510">
        <v>0</v>
      </c>
      <c r="C5510">
        <v>38.3292</v>
      </c>
      <c r="D5510">
        <v>-16.881399999999999</v>
      </c>
      <c r="E5510" t="s">
        <v>8855</v>
      </c>
      <c r="F5510" t="s">
        <v>8857</v>
      </c>
      <c r="G5510" t="s">
        <v>37</v>
      </c>
      <c r="H5510">
        <v>1956</v>
      </c>
      <c r="I5510">
        <v>25.2</v>
      </c>
      <c r="J5510">
        <v>9.4</v>
      </c>
      <c r="K5510">
        <v>60</v>
      </c>
      <c r="L5510">
        <v>22.31</v>
      </c>
      <c r="M5510">
        <v>32.4</v>
      </c>
      <c r="N5510">
        <v>16.899999999999999</v>
      </c>
      <c r="O5510">
        <v>15.5</v>
      </c>
      <c r="P5510">
        <v>27.2</v>
      </c>
      <c r="Q5510">
        <v>24.2</v>
      </c>
      <c r="R5510">
        <v>27.5</v>
      </c>
      <c r="S5510">
        <v>21.9</v>
      </c>
      <c r="T5510">
        <v>1309</v>
      </c>
      <c r="U5510">
        <v>268</v>
      </c>
      <c r="V5510">
        <v>11</v>
      </c>
      <c r="W5510">
        <v>81</v>
      </c>
      <c r="X5510">
        <v>740</v>
      </c>
      <c r="Y5510">
        <v>50</v>
      </c>
      <c r="Z5510">
        <v>638</v>
      </c>
      <c r="AA5510">
        <v>136</v>
      </c>
      <c r="AB5510">
        <v>8.9803619999999995</v>
      </c>
      <c r="AC5510">
        <v>1.6224309999999999E-2</v>
      </c>
      <c r="AD5510">
        <v>0.97167599999999998</v>
      </c>
      <c r="AE5510">
        <v>0.1449116</v>
      </c>
      <c r="AF5510">
        <v>62.800330000000002</v>
      </c>
      <c r="AG5510">
        <f>IFERROR(AH5510*0.1, "N/A")</f>
        <v>6.1589109999999998</v>
      </c>
      <c r="AH5510">
        <v>61.589109999999998</v>
      </c>
      <c r="AI5510">
        <v>140.0772</v>
      </c>
      <c r="AJ5510">
        <v>17.102309999999999</v>
      </c>
      <c r="AK5510">
        <v>73.897689999999997</v>
      </c>
    </row>
    <row r="5511" spans="1:37" x14ac:dyDescent="0.3">
      <c r="A5511">
        <v>5510</v>
      </c>
      <c r="B5511">
        <v>80</v>
      </c>
      <c r="C5511">
        <v>39.035600000000002</v>
      </c>
      <c r="D5511">
        <v>-16.871700000000001</v>
      </c>
      <c r="E5511" t="s">
        <v>8858</v>
      </c>
      <c r="F5511" t="s">
        <v>8859</v>
      </c>
      <c r="G5511" t="s">
        <v>39</v>
      </c>
      <c r="H5511">
        <v>1956</v>
      </c>
      <c r="I5511">
        <v>25.2</v>
      </c>
      <c r="J5511">
        <v>9.1999999999999993</v>
      </c>
      <c r="K5511">
        <v>58</v>
      </c>
      <c r="L5511">
        <v>22.63</v>
      </c>
      <c r="M5511">
        <v>32.4</v>
      </c>
      <c r="N5511">
        <v>16.8</v>
      </c>
      <c r="O5511">
        <v>15.6</v>
      </c>
      <c r="P5511">
        <v>27.3</v>
      </c>
      <c r="Q5511">
        <v>23.9</v>
      </c>
      <c r="R5511">
        <v>27.5</v>
      </c>
      <c r="S5511">
        <v>21.9</v>
      </c>
      <c r="T5511">
        <v>1217</v>
      </c>
      <c r="U5511">
        <v>252</v>
      </c>
      <c r="V5511">
        <v>8</v>
      </c>
      <c r="W5511">
        <v>84</v>
      </c>
      <c r="X5511">
        <v>703</v>
      </c>
      <c r="Y5511">
        <v>39</v>
      </c>
      <c r="Z5511">
        <v>611</v>
      </c>
      <c r="AA5511">
        <v>115</v>
      </c>
      <c r="AB5511">
        <v>3.67056</v>
      </c>
      <c r="AC5511">
        <v>8.4022999999999997E-3</v>
      </c>
      <c r="AD5511">
        <v>1.020545</v>
      </c>
      <c r="AE5511">
        <v>0.16466910000000001</v>
      </c>
      <c r="AF5511">
        <v>44.095390000000002</v>
      </c>
      <c r="AG5511">
        <f>IFERROR(AH5511*0.1, "N/A")</f>
        <v>6.3526319999999998</v>
      </c>
      <c r="AH5511">
        <v>63.526319999999998</v>
      </c>
      <c r="AI5511">
        <v>283.13459999999998</v>
      </c>
      <c r="AJ5511">
        <v>13.62993</v>
      </c>
      <c r="AK5511">
        <v>76.552629999999994</v>
      </c>
    </row>
    <row r="5512" spans="1:37" x14ac:dyDescent="0.3">
      <c r="A5512">
        <v>5511</v>
      </c>
      <c r="B5512">
        <v>0</v>
      </c>
      <c r="C5512">
        <v>39.035600000000002</v>
      </c>
      <c r="D5512">
        <v>-16.871700000000001</v>
      </c>
      <c r="E5512" t="s">
        <v>8858</v>
      </c>
      <c r="F5512" t="s">
        <v>8860</v>
      </c>
      <c r="G5512" t="s">
        <v>37</v>
      </c>
      <c r="H5512">
        <v>1956</v>
      </c>
      <c r="I5512">
        <v>25.2</v>
      </c>
      <c r="J5512">
        <v>9.1999999999999993</v>
      </c>
      <c r="K5512">
        <v>58</v>
      </c>
      <c r="L5512">
        <v>22.63</v>
      </c>
      <c r="M5512">
        <v>32.4</v>
      </c>
      <c r="N5512">
        <v>16.8</v>
      </c>
      <c r="O5512">
        <v>15.6</v>
      </c>
      <c r="P5512">
        <v>27.3</v>
      </c>
      <c r="Q5512">
        <v>23.9</v>
      </c>
      <c r="R5512">
        <v>27.5</v>
      </c>
      <c r="S5512">
        <v>21.9</v>
      </c>
      <c r="T5512">
        <v>1217</v>
      </c>
      <c r="U5512">
        <v>252</v>
      </c>
      <c r="V5512">
        <v>8</v>
      </c>
      <c r="W5512">
        <v>84</v>
      </c>
      <c r="X5512">
        <v>703</v>
      </c>
      <c r="Y5512">
        <v>39</v>
      </c>
      <c r="Z5512">
        <v>611</v>
      </c>
      <c r="AA5512">
        <v>115</v>
      </c>
      <c r="AB5512">
        <v>3.67056</v>
      </c>
      <c r="AC5512">
        <v>8.4022999999999997E-3</v>
      </c>
      <c r="AD5512">
        <v>1.020545</v>
      </c>
      <c r="AE5512">
        <v>0.16466910000000001</v>
      </c>
      <c r="AF5512">
        <v>44.095390000000002</v>
      </c>
      <c r="AG5512">
        <f>IFERROR(AH5512*0.1, "N/A")</f>
        <v>6.3526319999999998</v>
      </c>
      <c r="AH5512">
        <v>63.526319999999998</v>
      </c>
      <c r="AI5512">
        <v>283.13459999999998</v>
      </c>
      <c r="AJ5512">
        <v>13.62993</v>
      </c>
      <c r="AK5512">
        <v>76.552629999999994</v>
      </c>
    </row>
    <row r="5513" spans="1:37" x14ac:dyDescent="0.3">
      <c r="A5513">
        <v>5512</v>
      </c>
      <c r="B5513">
        <v>95</v>
      </c>
      <c r="C5513">
        <v>36.584499999999998</v>
      </c>
      <c r="D5513">
        <v>-16.8629</v>
      </c>
      <c r="E5513" t="s">
        <v>8861</v>
      </c>
      <c r="F5513" t="s">
        <v>8862</v>
      </c>
      <c r="G5513" t="s">
        <v>39</v>
      </c>
      <c r="H5513">
        <v>1956</v>
      </c>
      <c r="I5513">
        <v>24.3</v>
      </c>
      <c r="J5513">
        <v>12.5</v>
      </c>
      <c r="K5513">
        <v>63</v>
      </c>
      <c r="L5513">
        <v>21.89</v>
      </c>
      <c r="M5513">
        <v>34.299999999999997</v>
      </c>
      <c r="N5513">
        <v>14.5</v>
      </c>
      <c r="O5513">
        <v>19.8</v>
      </c>
      <c r="P5513">
        <v>26.2</v>
      </c>
      <c r="Q5513">
        <v>24.1</v>
      </c>
      <c r="R5513">
        <v>26.5</v>
      </c>
      <c r="S5513">
        <v>21.1</v>
      </c>
      <c r="T5513">
        <v>1349</v>
      </c>
      <c r="U5513">
        <v>264</v>
      </c>
      <c r="V5513">
        <v>18</v>
      </c>
      <c r="W5513">
        <v>81</v>
      </c>
      <c r="X5513">
        <v>719</v>
      </c>
      <c r="Y5513">
        <v>76</v>
      </c>
      <c r="Z5513">
        <v>376</v>
      </c>
      <c r="AA5513">
        <v>96</v>
      </c>
      <c r="AB5513">
        <v>28.23677</v>
      </c>
      <c r="AC5513">
        <v>8.1872260000000006E-3</v>
      </c>
      <c r="AD5513">
        <v>3.2208000000000001</v>
      </c>
      <c r="AE5513">
        <v>0.15461859999999999</v>
      </c>
      <c r="AF5513">
        <v>265.7715</v>
      </c>
      <c r="AG5513">
        <f>IFERROR(AH5513*0.1, "N/A")</f>
        <v>5.7</v>
      </c>
      <c r="AH5513">
        <v>57</v>
      </c>
      <c r="AI5513">
        <v>227.65639999999999</v>
      </c>
      <c r="AJ5513">
        <v>25</v>
      </c>
      <c r="AK5513">
        <v>63.731789999999997</v>
      </c>
    </row>
    <row r="5514" spans="1:37" x14ac:dyDescent="0.3">
      <c r="A5514">
        <v>5513</v>
      </c>
      <c r="B5514">
        <v>30</v>
      </c>
      <c r="C5514">
        <v>36.584499999999998</v>
      </c>
      <c r="D5514">
        <v>-16.8629</v>
      </c>
      <c r="E5514" t="s">
        <v>8861</v>
      </c>
      <c r="F5514" t="s">
        <v>8863</v>
      </c>
      <c r="G5514" t="s">
        <v>37</v>
      </c>
      <c r="H5514">
        <v>1956</v>
      </c>
      <c r="I5514">
        <v>24.3</v>
      </c>
      <c r="J5514">
        <v>12.5</v>
      </c>
      <c r="K5514">
        <v>63</v>
      </c>
      <c r="L5514">
        <v>21.89</v>
      </c>
      <c r="M5514">
        <v>34.299999999999997</v>
      </c>
      <c r="N5514">
        <v>14.5</v>
      </c>
      <c r="O5514">
        <v>19.8</v>
      </c>
      <c r="P5514">
        <v>26.2</v>
      </c>
      <c r="Q5514">
        <v>24.1</v>
      </c>
      <c r="R5514">
        <v>26.5</v>
      </c>
      <c r="S5514">
        <v>21.1</v>
      </c>
      <c r="T5514">
        <v>1349</v>
      </c>
      <c r="U5514">
        <v>264</v>
      </c>
      <c r="V5514">
        <v>18</v>
      </c>
      <c r="W5514">
        <v>81</v>
      </c>
      <c r="X5514">
        <v>719</v>
      </c>
      <c r="Y5514">
        <v>76</v>
      </c>
      <c r="Z5514">
        <v>376</v>
      </c>
      <c r="AA5514">
        <v>96</v>
      </c>
      <c r="AB5514">
        <v>28.23677</v>
      </c>
      <c r="AC5514">
        <v>8.1872260000000006E-3</v>
      </c>
      <c r="AD5514">
        <v>3.2208000000000001</v>
      </c>
      <c r="AE5514">
        <v>0.15461859999999999</v>
      </c>
      <c r="AF5514">
        <v>265.7715</v>
      </c>
      <c r="AG5514">
        <f>IFERROR(AH5514*0.1, "N/A")</f>
        <v>5.7</v>
      </c>
      <c r="AH5514">
        <v>57</v>
      </c>
      <c r="AI5514">
        <v>227.65639999999999</v>
      </c>
      <c r="AJ5514">
        <v>25</v>
      </c>
      <c r="AK5514">
        <v>63.731789999999997</v>
      </c>
    </row>
    <row r="5515" spans="1:37" x14ac:dyDescent="0.3">
      <c r="A5515">
        <v>5514</v>
      </c>
      <c r="B5515">
        <v>95</v>
      </c>
      <c r="C5515">
        <v>37.8797</v>
      </c>
      <c r="D5515">
        <v>-16.854199999999999</v>
      </c>
      <c r="E5515" t="s">
        <v>8864</v>
      </c>
      <c r="F5515" t="s">
        <v>8865</v>
      </c>
      <c r="G5515" t="s">
        <v>39</v>
      </c>
      <c r="H5515">
        <v>1956</v>
      </c>
      <c r="I5515">
        <v>25.2</v>
      </c>
      <c r="J5515">
        <v>10.3</v>
      </c>
      <c r="K5515">
        <v>60</v>
      </c>
      <c r="L5515">
        <v>23.3</v>
      </c>
      <c r="M5515">
        <v>33.200000000000003</v>
      </c>
      <c r="N5515">
        <v>16.2</v>
      </c>
      <c r="O5515">
        <v>17</v>
      </c>
      <c r="P5515">
        <v>27.1</v>
      </c>
      <c r="Q5515">
        <v>24.4</v>
      </c>
      <c r="R5515">
        <v>27.5</v>
      </c>
      <c r="S5515">
        <v>21.7</v>
      </c>
      <c r="T5515">
        <v>1336</v>
      </c>
      <c r="U5515">
        <v>271</v>
      </c>
      <c r="V5515">
        <v>13</v>
      </c>
      <c r="W5515">
        <v>80</v>
      </c>
      <c r="X5515">
        <v>743</v>
      </c>
      <c r="Y5515">
        <v>59</v>
      </c>
      <c r="Z5515">
        <v>509</v>
      </c>
      <c r="AA5515">
        <v>136</v>
      </c>
      <c r="AB5515">
        <v>9.2887950000000004</v>
      </c>
      <c r="AC5515">
        <v>1.50128E-2</v>
      </c>
      <c r="AD5515">
        <v>2.3975</v>
      </c>
      <c r="AE5515">
        <v>0.1221103</v>
      </c>
      <c r="AF5515">
        <v>96.996709999999993</v>
      </c>
      <c r="AG5515">
        <f>IFERROR(AH5515*0.1, "N/A")</f>
        <v>6.0148270000000004</v>
      </c>
      <c r="AH5515">
        <v>60.148269999999997</v>
      </c>
      <c r="AI5515">
        <v>155.36840000000001</v>
      </c>
      <c r="AJ5515">
        <v>14.14827</v>
      </c>
      <c r="AK5515">
        <v>76.148269999999997</v>
      </c>
    </row>
    <row r="5516" spans="1:37" x14ac:dyDescent="0.3">
      <c r="A5516">
        <v>5515</v>
      </c>
      <c r="B5516">
        <v>40</v>
      </c>
      <c r="C5516">
        <v>37.8797</v>
      </c>
      <c r="D5516">
        <v>-16.854199999999999</v>
      </c>
      <c r="E5516" t="s">
        <v>8864</v>
      </c>
      <c r="F5516" t="s">
        <v>8866</v>
      </c>
      <c r="G5516" t="s">
        <v>37</v>
      </c>
      <c r="H5516">
        <v>1956</v>
      </c>
      <c r="I5516">
        <v>25.2</v>
      </c>
      <c r="J5516">
        <v>10.3</v>
      </c>
      <c r="K5516">
        <v>60</v>
      </c>
      <c r="L5516">
        <v>23.3</v>
      </c>
      <c r="M5516">
        <v>33.200000000000003</v>
      </c>
      <c r="N5516">
        <v>16.2</v>
      </c>
      <c r="O5516">
        <v>17</v>
      </c>
      <c r="P5516">
        <v>27.1</v>
      </c>
      <c r="Q5516">
        <v>24.4</v>
      </c>
      <c r="R5516">
        <v>27.5</v>
      </c>
      <c r="S5516">
        <v>21.7</v>
      </c>
      <c r="T5516">
        <v>1336</v>
      </c>
      <c r="U5516">
        <v>271</v>
      </c>
      <c r="V5516">
        <v>13</v>
      </c>
      <c r="W5516">
        <v>80</v>
      </c>
      <c r="X5516">
        <v>743</v>
      </c>
      <c r="Y5516">
        <v>59</v>
      </c>
      <c r="Z5516">
        <v>509</v>
      </c>
      <c r="AA5516">
        <v>136</v>
      </c>
      <c r="AB5516">
        <v>9.2887950000000004</v>
      </c>
      <c r="AC5516">
        <v>1.50128E-2</v>
      </c>
      <c r="AD5516">
        <v>2.3975</v>
      </c>
      <c r="AE5516">
        <v>0.1221103</v>
      </c>
      <c r="AF5516">
        <v>96.996709999999993</v>
      </c>
      <c r="AG5516">
        <f>IFERROR(AH5516*0.1, "N/A")</f>
        <v>6.0148270000000004</v>
      </c>
      <c r="AH5516">
        <v>60.148269999999997</v>
      </c>
      <c r="AI5516">
        <v>155.36840000000001</v>
      </c>
      <c r="AJ5516">
        <v>14.14827</v>
      </c>
      <c r="AK5516">
        <v>76.148269999999997</v>
      </c>
    </row>
    <row r="5517" spans="1:37" x14ac:dyDescent="0.3">
      <c r="A5517">
        <v>5516</v>
      </c>
      <c r="B5517">
        <v>90</v>
      </c>
      <c r="C5517">
        <v>36.986499999999999</v>
      </c>
      <c r="D5517">
        <v>-16.840199999999999</v>
      </c>
      <c r="E5517" t="s">
        <v>8867</v>
      </c>
      <c r="F5517" t="s">
        <v>8868</v>
      </c>
      <c r="G5517" t="s">
        <v>39</v>
      </c>
      <c r="H5517">
        <v>1956</v>
      </c>
      <c r="I5517">
        <v>25</v>
      </c>
      <c r="J5517">
        <v>12.3</v>
      </c>
      <c r="K5517">
        <v>58</v>
      </c>
      <c r="L5517">
        <v>27.02</v>
      </c>
      <c r="M5517">
        <v>35.200000000000003</v>
      </c>
      <c r="N5517">
        <v>14.1</v>
      </c>
      <c r="O5517">
        <v>21.1</v>
      </c>
      <c r="P5517">
        <v>27.3</v>
      </c>
      <c r="Q5517">
        <v>22.2</v>
      </c>
      <c r="R5517">
        <v>27.5</v>
      </c>
      <c r="S5517">
        <v>21</v>
      </c>
      <c r="T5517">
        <v>1214</v>
      </c>
      <c r="U5517">
        <v>252</v>
      </c>
      <c r="V5517">
        <v>13</v>
      </c>
      <c r="W5517">
        <v>82</v>
      </c>
      <c r="X5517">
        <v>659</v>
      </c>
      <c r="Y5517">
        <v>67</v>
      </c>
      <c r="Z5517">
        <v>339</v>
      </c>
      <c r="AA5517">
        <v>86</v>
      </c>
      <c r="AB5517">
        <v>42.540559999999999</v>
      </c>
      <c r="AC5517">
        <v>1.6322130000000001E-2</v>
      </c>
      <c r="AD5517">
        <v>3.6512530000000001</v>
      </c>
      <c r="AE5517">
        <v>0.6773401</v>
      </c>
      <c r="AF5517">
        <v>150.28149999999999</v>
      </c>
      <c r="AG5517">
        <f>IFERROR(AH5517*0.1, "N/A")</f>
        <v>6.4622519999999994</v>
      </c>
      <c r="AH5517">
        <v>64.622519999999994</v>
      </c>
      <c r="AI5517">
        <v>210.03819999999999</v>
      </c>
      <c r="AJ5517">
        <v>22.990069999999999</v>
      </c>
      <c r="AK5517">
        <v>66.114239999999995</v>
      </c>
    </row>
    <row r="5518" spans="1:37" x14ac:dyDescent="0.3">
      <c r="A5518">
        <v>5517</v>
      </c>
      <c r="B5518">
        <v>55</v>
      </c>
      <c r="C5518">
        <v>36.986499999999999</v>
      </c>
      <c r="D5518">
        <v>-16.840199999999999</v>
      </c>
      <c r="E5518" t="s">
        <v>8867</v>
      </c>
      <c r="F5518" t="s">
        <v>8869</v>
      </c>
      <c r="G5518" t="s">
        <v>37</v>
      </c>
      <c r="H5518">
        <v>1956</v>
      </c>
      <c r="I5518">
        <v>25</v>
      </c>
      <c r="J5518">
        <v>12.3</v>
      </c>
      <c r="K5518">
        <v>58</v>
      </c>
      <c r="L5518">
        <v>27.02</v>
      </c>
      <c r="M5518">
        <v>35.200000000000003</v>
      </c>
      <c r="N5518">
        <v>14.1</v>
      </c>
      <c r="O5518">
        <v>21.1</v>
      </c>
      <c r="P5518">
        <v>27.3</v>
      </c>
      <c r="Q5518">
        <v>22.2</v>
      </c>
      <c r="R5518">
        <v>27.5</v>
      </c>
      <c r="S5518">
        <v>21</v>
      </c>
      <c r="T5518">
        <v>1214</v>
      </c>
      <c r="U5518">
        <v>252</v>
      </c>
      <c r="V5518">
        <v>13</v>
      </c>
      <c r="W5518">
        <v>82</v>
      </c>
      <c r="X5518">
        <v>659</v>
      </c>
      <c r="Y5518">
        <v>67</v>
      </c>
      <c r="Z5518">
        <v>339</v>
      </c>
      <c r="AA5518">
        <v>86</v>
      </c>
      <c r="AB5518">
        <v>42.540559999999999</v>
      </c>
      <c r="AC5518">
        <v>1.6322130000000001E-2</v>
      </c>
      <c r="AD5518">
        <v>3.6512530000000001</v>
      </c>
      <c r="AE5518">
        <v>0.6773401</v>
      </c>
      <c r="AF5518">
        <v>150.28149999999999</v>
      </c>
      <c r="AG5518">
        <f>IFERROR(AH5518*0.1, "N/A")</f>
        <v>6.4622519999999994</v>
      </c>
      <c r="AH5518">
        <v>64.622519999999994</v>
      </c>
      <c r="AI5518">
        <v>210.03819999999999</v>
      </c>
      <c r="AJ5518">
        <v>22.990069999999999</v>
      </c>
      <c r="AK5518">
        <v>66.114239999999995</v>
      </c>
    </row>
    <row r="5519" spans="1:37" x14ac:dyDescent="0.3">
      <c r="A5519">
        <v>5518</v>
      </c>
      <c r="B5519">
        <v>1.9</v>
      </c>
      <c r="C5519">
        <v>36.987400000000001</v>
      </c>
      <c r="D5519">
        <v>-16.833200000000001</v>
      </c>
      <c r="E5519" t="s">
        <v>8870</v>
      </c>
      <c r="F5519" t="s">
        <v>8871</v>
      </c>
      <c r="G5519" t="s">
        <v>37</v>
      </c>
      <c r="H5519">
        <v>1992</v>
      </c>
      <c r="I5519">
        <v>25.155519999999999</v>
      </c>
      <c r="J5519">
        <v>12.3</v>
      </c>
      <c r="K5519">
        <v>58</v>
      </c>
      <c r="L5519">
        <v>26.724509999999999</v>
      </c>
      <c r="M5519">
        <v>35.355519999999999</v>
      </c>
      <c r="N5519">
        <v>14.255520000000001</v>
      </c>
      <c r="O5519">
        <v>21.1</v>
      </c>
      <c r="P5519">
        <v>27.45552</v>
      </c>
      <c r="Q5519">
        <v>22.43328</v>
      </c>
      <c r="R5519">
        <v>27.655519999999999</v>
      </c>
      <c r="S5519">
        <v>21.155519999999999</v>
      </c>
      <c r="T5519">
        <v>1201.558</v>
      </c>
      <c r="U5519">
        <v>249.66720000000001</v>
      </c>
      <c r="V5519">
        <v>12.22241</v>
      </c>
      <c r="W5519">
        <v>82.777590000000004</v>
      </c>
      <c r="X5519">
        <v>653.55679999999995</v>
      </c>
      <c r="Y5519">
        <v>65.444810000000004</v>
      </c>
      <c r="Z5519">
        <v>335.11200000000002</v>
      </c>
      <c r="AA5519">
        <v>84.444810000000004</v>
      </c>
      <c r="AB5519">
        <v>20.785340000000001</v>
      </c>
      <c r="AC5519">
        <v>8.2829010000000005E-3</v>
      </c>
      <c r="AD5519">
        <v>3.2166540000000001</v>
      </c>
      <c r="AE5519">
        <v>0.65650370000000002</v>
      </c>
      <c r="AF5519">
        <v>127.6392</v>
      </c>
      <c r="AG5519">
        <f>IFERROR(AH5519*0.1, "N/A")</f>
        <v>6.3649090000000008</v>
      </c>
      <c r="AH5519">
        <v>63.649090000000001</v>
      </c>
      <c r="AI5519">
        <v>128.34729999999999</v>
      </c>
      <c r="AJ5519">
        <v>25.947279999999999</v>
      </c>
      <c r="AK5519">
        <v>59.052720000000001</v>
      </c>
    </row>
    <row r="5520" spans="1:37" x14ac:dyDescent="0.3">
      <c r="A5520">
        <v>5519</v>
      </c>
      <c r="B5520">
        <v>100</v>
      </c>
      <c r="C5520">
        <v>38.505600000000001</v>
      </c>
      <c r="D5520">
        <v>-16.8264</v>
      </c>
      <c r="E5520" t="s">
        <v>8872</v>
      </c>
      <c r="F5520" t="s">
        <v>8873</v>
      </c>
      <c r="G5520" t="s">
        <v>39</v>
      </c>
      <c r="H5520">
        <v>1956</v>
      </c>
      <c r="I5520">
        <v>25.4</v>
      </c>
      <c r="J5520">
        <v>9.4</v>
      </c>
      <c r="K5520">
        <v>60</v>
      </c>
      <c r="L5520">
        <v>22.67</v>
      </c>
      <c r="M5520">
        <v>32.5</v>
      </c>
      <c r="N5520">
        <v>16.899999999999999</v>
      </c>
      <c r="O5520">
        <v>15.6</v>
      </c>
      <c r="P5520">
        <v>27.4</v>
      </c>
      <c r="Q5520">
        <v>24.2</v>
      </c>
      <c r="R5520">
        <v>27.6</v>
      </c>
      <c r="S5520">
        <v>22</v>
      </c>
      <c r="T5520">
        <v>1282</v>
      </c>
      <c r="U5520">
        <v>264</v>
      </c>
      <c r="V5520">
        <v>10</v>
      </c>
      <c r="W5520">
        <v>82</v>
      </c>
      <c r="X5520">
        <v>731</v>
      </c>
      <c r="Y5520">
        <v>47</v>
      </c>
      <c r="Z5520">
        <v>632</v>
      </c>
      <c r="AA5520">
        <v>128</v>
      </c>
      <c r="AB5520">
        <v>26.79702</v>
      </c>
      <c r="AC5520">
        <v>8.1887739999999994E-3</v>
      </c>
      <c r="AD5520">
        <v>1.5638529999999999</v>
      </c>
      <c r="AE5520">
        <v>0.2802289</v>
      </c>
      <c r="AF5520">
        <v>45.21358</v>
      </c>
      <c r="AG5520">
        <f>IFERROR(AH5520*0.1, "N/A")</f>
        <v>6.1000000000000005</v>
      </c>
      <c r="AH5520">
        <v>61</v>
      </c>
      <c r="AI5520">
        <v>83.868589999999998</v>
      </c>
      <c r="AJ5520">
        <v>16.950330000000001</v>
      </c>
      <c r="AK5520">
        <v>75.024829999999994</v>
      </c>
    </row>
    <row r="5521" spans="1:37" x14ac:dyDescent="0.3">
      <c r="A5521">
        <v>5520</v>
      </c>
      <c r="B5521">
        <v>0</v>
      </c>
      <c r="C5521">
        <v>38.505600000000001</v>
      </c>
      <c r="D5521">
        <v>-16.8264</v>
      </c>
      <c r="E5521" t="s">
        <v>8872</v>
      </c>
      <c r="F5521" t="s">
        <v>8874</v>
      </c>
      <c r="G5521" t="s">
        <v>37</v>
      </c>
      <c r="H5521">
        <v>1956</v>
      </c>
      <c r="I5521">
        <v>25.4</v>
      </c>
      <c r="J5521">
        <v>9.4</v>
      </c>
      <c r="K5521">
        <v>60</v>
      </c>
      <c r="L5521">
        <v>22.67</v>
      </c>
      <c r="M5521">
        <v>32.5</v>
      </c>
      <c r="N5521">
        <v>16.899999999999999</v>
      </c>
      <c r="O5521">
        <v>15.6</v>
      </c>
      <c r="P5521">
        <v>27.4</v>
      </c>
      <c r="Q5521">
        <v>24.2</v>
      </c>
      <c r="R5521">
        <v>27.6</v>
      </c>
      <c r="S5521">
        <v>22</v>
      </c>
      <c r="T5521">
        <v>1282</v>
      </c>
      <c r="U5521">
        <v>264</v>
      </c>
      <c r="V5521">
        <v>10</v>
      </c>
      <c r="W5521">
        <v>82</v>
      </c>
      <c r="X5521">
        <v>731</v>
      </c>
      <c r="Y5521">
        <v>47</v>
      </c>
      <c r="Z5521">
        <v>632</v>
      </c>
      <c r="AA5521">
        <v>128</v>
      </c>
      <c r="AB5521">
        <v>26.79702</v>
      </c>
      <c r="AC5521">
        <v>8.1887739999999994E-3</v>
      </c>
      <c r="AD5521">
        <v>1.5638529999999999</v>
      </c>
      <c r="AE5521">
        <v>0.2802289</v>
      </c>
      <c r="AF5521">
        <v>45.21358</v>
      </c>
      <c r="AG5521">
        <f>IFERROR(AH5521*0.1, "N/A")</f>
        <v>6.1000000000000005</v>
      </c>
      <c r="AH5521">
        <v>61</v>
      </c>
      <c r="AI5521">
        <v>83.868589999999998</v>
      </c>
      <c r="AJ5521">
        <v>16.950330000000001</v>
      </c>
      <c r="AK5521">
        <v>75.024829999999994</v>
      </c>
    </row>
    <row r="5522" spans="1:37" x14ac:dyDescent="0.3">
      <c r="A5522">
        <v>5521</v>
      </c>
      <c r="B5522">
        <v>2.9</v>
      </c>
      <c r="C5522">
        <v>36.991700000000002</v>
      </c>
      <c r="D5522">
        <v>-16.824100000000001</v>
      </c>
      <c r="E5522" t="s">
        <v>8875</v>
      </c>
      <c r="F5522" t="s">
        <v>8876</v>
      </c>
      <c r="G5522" t="s">
        <v>37</v>
      </c>
      <c r="H5522">
        <v>1992</v>
      </c>
      <c r="I5522">
        <v>25.1</v>
      </c>
      <c r="J5522">
        <v>12.3</v>
      </c>
      <c r="K5522">
        <v>58</v>
      </c>
      <c r="L5522">
        <v>26.72805</v>
      </c>
      <c r="M5522">
        <v>35.299999999999997</v>
      </c>
      <c r="N5522">
        <v>14.2514</v>
      </c>
      <c r="O5522">
        <v>21.0486</v>
      </c>
      <c r="P5522">
        <v>27.4</v>
      </c>
      <c r="Q5522">
        <v>22.4514</v>
      </c>
      <c r="R5522">
        <v>27.7</v>
      </c>
      <c r="S5522">
        <v>21.151399999999999</v>
      </c>
      <c r="T5522">
        <v>1205.43</v>
      </c>
      <c r="U5522">
        <v>249.97210000000001</v>
      </c>
      <c r="V5522">
        <v>12</v>
      </c>
      <c r="W5522">
        <v>82</v>
      </c>
      <c r="X5522">
        <v>655.45809999999994</v>
      </c>
      <c r="Y5522">
        <v>66</v>
      </c>
      <c r="Z5522">
        <v>336.48599999999999</v>
      </c>
      <c r="AA5522">
        <v>85.486040000000003</v>
      </c>
      <c r="AB5522">
        <v>4.4497520000000002</v>
      </c>
      <c r="AC5522">
        <v>0.2594147</v>
      </c>
      <c r="AD5522">
        <v>2.041439</v>
      </c>
      <c r="AE5522">
        <v>0.45910089999999998</v>
      </c>
      <c r="AF5522">
        <v>104.28740000000001</v>
      </c>
      <c r="AG5522">
        <f>IFERROR(AH5522*0.1, "N/A")</f>
        <v>6.4612480000000012</v>
      </c>
      <c r="AH5522">
        <v>64.612480000000005</v>
      </c>
      <c r="AI5522">
        <v>176.6524</v>
      </c>
      <c r="AJ5522">
        <v>28.500820000000001</v>
      </c>
      <c r="AK5522">
        <v>53.955669999999998</v>
      </c>
    </row>
    <row r="5523" spans="1:37" x14ac:dyDescent="0.3">
      <c r="A5523">
        <v>5522</v>
      </c>
      <c r="B5523">
        <v>100</v>
      </c>
      <c r="C5523">
        <v>37.720300000000002</v>
      </c>
      <c r="D5523">
        <v>-16.814399999999999</v>
      </c>
      <c r="E5523" t="s">
        <v>8877</v>
      </c>
      <c r="F5523" t="s">
        <v>8878</v>
      </c>
      <c r="G5523" t="s">
        <v>39</v>
      </c>
      <c r="H5523">
        <v>1956</v>
      </c>
      <c r="I5523">
        <v>25.1</v>
      </c>
      <c r="J5523">
        <v>10.7</v>
      </c>
      <c r="K5523">
        <v>60</v>
      </c>
      <c r="L5523">
        <v>24.34</v>
      </c>
      <c r="M5523">
        <v>33.5</v>
      </c>
      <c r="N5523">
        <v>15.8</v>
      </c>
      <c r="O5523">
        <v>17.7</v>
      </c>
      <c r="P5523">
        <v>27.1</v>
      </c>
      <c r="Q5523">
        <v>24.4</v>
      </c>
      <c r="R5523">
        <v>27.4</v>
      </c>
      <c r="S5523">
        <v>21.5</v>
      </c>
      <c r="T5523">
        <v>1339</v>
      </c>
      <c r="U5523">
        <v>272</v>
      </c>
      <c r="V5523">
        <v>13</v>
      </c>
      <c r="W5523">
        <v>80</v>
      </c>
      <c r="X5523">
        <v>742</v>
      </c>
      <c r="Y5523">
        <v>62</v>
      </c>
      <c r="Z5523">
        <v>527</v>
      </c>
      <c r="AA5523">
        <v>130</v>
      </c>
      <c r="AB5523">
        <v>24.436699999999998</v>
      </c>
      <c r="AC5523">
        <v>8.1892730000000004E-3</v>
      </c>
      <c r="AD5523">
        <v>1.7643930000000001</v>
      </c>
      <c r="AE5523">
        <v>0.1228134</v>
      </c>
      <c r="AF5523">
        <v>129.6628</v>
      </c>
      <c r="AG5523">
        <f>IFERROR(AH5523*0.1, "N/A")</f>
        <v>5.9</v>
      </c>
      <c r="AH5523">
        <v>59</v>
      </c>
      <c r="AI5523">
        <v>206.68049999999999</v>
      </c>
      <c r="AJ5523">
        <v>17</v>
      </c>
      <c r="AK5523">
        <v>76</v>
      </c>
    </row>
    <row r="5524" spans="1:37" x14ac:dyDescent="0.3">
      <c r="A5524">
        <v>5523</v>
      </c>
      <c r="B5524">
        <v>35</v>
      </c>
      <c r="C5524">
        <v>37.720300000000002</v>
      </c>
      <c r="D5524">
        <v>-16.814399999999999</v>
      </c>
      <c r="E5524" t="s">
        <v>8877</v>
      </c>
      <c r="F5524" t="s">
        <v>8879</v>
      </c>
      <c r="G5524" t="s">
        <v>37</v>
      </c>
      <c r="H5524">
        <v>1956</v>
      </c>
      <c r="I5524">
        <v>25.1</v>
      </c>
      <c r="J5524">
        <v>10.7</v>
      </c>
      <c r="K5524">
        <v>60</v>
      </c>
      <c r="L5524">
        <v>24.34</v>
      </c>
      <c r="M5524">
        <v>33.5</v>
      </c>
      <c r="N5524">
        <v>15.8</v>
      </c>
      <c r="O5524">
        <v>17.7</v>
      </c>
      <c r="P5524">
        <v>27.1</v>
      </c>
      <c r="Q5524">
        <v>24.4</v>
      </c>
      <c r="R5524">
        <v>27.4</v>
      </c>
      <c r="S5524">
        <v>21.5</v>
      </c>
      <c r="T5524">
        <v>1339</v>
      </c>
      <c r="U5524">
        <v>272</v>
      </c>
      <c r="V5524">
        <v>13</v>
      </c>
      <c r="W5524">
        <v>80</v>
      </c>
      <c r="X5524">
        <v>742</v>
      </c>
      <c r="Y5524">
        <v>62</v>
      </c>
      <c r="Z5524">
        <v>527</v>
      </c>
      <c r="AA5524">
        <v>130</v>
      </c>
      <c r="AB5524">
        <v>24.436699999999998</v>
      </c>
      <c r="AC5524">
        <v>8.1892730000000004E-3</v>
      </c>
      <c r="AD5524">
        <v>1.7643930000000001</v>
      </c>
      <c r="AE5524">
        <v>0.1228134</v>
      </c>
      <c r="AF5524">
        <v>129.6628</v>
      </c>
      <c r="AG5524">
        <f>IFERROR(AH5524*0.1, "N/A")</f>
        <v>5.9</v>
      </c>
      <c r="AH5524">
        <v>59</v>
      </c>
      <c r="AI5524">
        <v>206.68049999999999</v>
      </c>
      <c r="AJ5524">
        <v>17</v>
      </c>
      <c r="AK5524">
        <v>76</v>
      </c>
    </row>
    <row r="5525" spans="1:37" x14ac:dyDescent="0.3">
      <c r="A5525">
        <v>5524</v>
      </c>
      <c r="B5525">
        <v>100</v>
      </c>
      <c r="C5525">
        <v>36.5916</v>
      </c>
      <c r="D5525">
        <v>-16.782800000000002</v>
      </c>
      <c r="E5525" t="s">
        <v>8880</v>
      </c>
      <c r="F5525" t="s">
        <v>8881</v>
      </c>
      <c r="G5525" t="s">
        <v>39</v>
      </c>
      <c r="H5525">
        <v>1956</v>
      </c>
      <c r="I5525">
        <v>24.3</v>
      </c>
      <c r="J5525">
        <v>12.6</v>
      </c>
      <c r="K5525">
        <v>63</v>
      </c>
      <c r="L5525">
        <v>21.383030000000002</v>
      </c>
      <c r="M5525">
        <v>34.319339999999997</v>
      </c>
      <c r="N5525">
        <v>14.41934</v>
      </c>
      <c r="O5525">
        <v>19.899999999999999</v>
      </c>
      <c r="P5525">
        <v>26.119340000000001</v>
      </c>
      <c r="Q5525">
        <v>23.832560000000001</v>
      </c>
      <c r="R5525">
        <v>26.434550000000002</v>
      </c>
      <c r="S5525">
        <v>21.2</v>
      </c>
      <c r="T5525">
        <v>1406.8209999999999</v>
      </c>
      <c r="U5525">
        <v>269.84789999999998</v>
      </c>
      <c r="V5525">
        <v>19</v>
      </c>
      <c r="W5525">
        <v>80.34545</v>
      </c>
      <c r="X5525">
        <v>744.85289999999998</v>
      </c>
      <c r="Y5525">
        <v>79.847930000000005</v>
      </c>
      <c r="Z5525">
        <v>392.35039999999998</v>
      </c>
      <c r="AA5525">
        <v>100.3091</v>
      </c>
      <c r="AB5525">
        <v>4.5132209999999997</v>
      </c>
      <c r="AC5525">
        <v>0.14905370000000001</v>
      </c>
      <c r="AD5525">
        <v>1.83127</v>
      </c>
      <c r="AE5525">
        <v>0.19380459999999999</v>
      </c>
      <c r="AF5525">
        <v>262.59339999999997</v>
      </c>
      <c r="AG5525">
        <f>IFERROR(AH5525*0.1, "N/A")</f>
        <v>5.8520660000000007</v>
      </c>
      <c r="AH5525">
        <v>58.520659999999999</v>
      </c>
      <c r="AI5525">
        <v>171.73509999999999</v>
      </c>
      <c r="AJ5525">
        <v>20.70909</v>
      </c>
      <c r="AK5525">
        <v>71.130579999999995</v>
      </c>
    </row>
    <row r="5526" spans="1:37" x14ac:dyDescent="0.3">
      <c r="A5526">
        <v>5525</v>
      </c>
      <c r="B5526">
        <v>40</v>
      </c>
      <c r="C5526">
        <v>36.5916</v>
      </c>
      <c r="D5526">
        <v>-16.782800000000002</v>
      </c>
      <c r="E5526" t="s">
        <v>8880</v>
      </c>
      <c r="F5526" t="s">
        <v>8882</v>
      </c>
      <c r="G5526" t="s">
        <v>37</v>
      </c>
      <c r="H5526">
        <v>1956</v>
      </c>
      <c r="I5526">
        <v>24.3</v>
      </c>
      <c r="J5526">
        <v>12.6</v>
      </c>
      <c r="K5526">
        <v>63</v>
      </c>
      <c r="L5526">
        <v>21.383030000000002</v>
      </c>
      <c r="M5526">
        <v>34.319339999999997</v>
      </c>
      <c r="N5526">
        <v>14.41934</v>
      </c>
      <c r="O5526">
        <v>19.899999999999999</v>
      </c>
      <c r="P5526">
        <v>26.119340000000001</v>
      </c>
      <c r="Q5526">
        <v>23.832560000000001</v>
      </c>
      <c r="R5526">
        <v>26.434550000000002</v>
      </c>
      <c r="S5526">
        <v>21.2</v>
      </c>
      <c r="T5526">
        <v>1406.8209999999999</v>
      </c>
      <c r="U5526">
        <v>269.84789999999998</v>
      </c>
      <c r="V5526">
        <v>19</v>
      </c>
      <c r="W5526">
        <v>80.34545</v>
      </c>
      <c r="X5526">
        <v>744.85289999999998</v>
      </c>
      <c r="Y5526">
        <v>79.847930000000005</v>
      </c>
      <c r="Z5526">
        <v>392.35039999999998</v>
      </c>
      <c r="AA5526">
        <v>100.3091</v>
      </c>
      <c r="AB5526">
        <v>4.5132209999999997</v>
      </c>
      <c r="AC5526">
        <v>0.14905370000000001</v>
      </c>
      <c r="AD5526">
        <v>1.83127</v>
      </c>
      <c r="AE5526">
        <v>0.19380459999999999</v>
      </c>
      <c r="AF5526">
        <v>262.59339999999997</v>
      </c>
      <c r="AG5526">
        <f>IFERROR(AH5526*0.1, "N/A")</f>
        <v>5.8520660000000007</v>
      </c>
      <c r="AH5526">
        <v>58.520659999999999</v>
      </c>
      <c r="AI5526">
        <v>171.73509999999999</v>
      </c>
      <c r="AJ5526">
        <v>20.70909</v>
      </c>
      <c r="AK5526">
        <v>71.130579999999995</v>
      </c>
    </row>
    <row r="5527" spans="1:37" x14ac:dyDescent="0.3">
      <c r="A5527">
        <v>5526</v>
      </c>
      <c r="B5527">
        <v>77.5</v>
      </c>
      <c r="C5527">
        <v>39.222000000000001</v>
      </c>
      <c r="D5527">
        <v>-16.756799999999998</v>
      </c>
      <c r="E5527" t="s">
        <v>8883</v>
      </c>
      <c r="F5527" t="s">
        <v>8884</v>
      </c>
      <c r="G5527" t="s">
        <v>39</v>
      </c>
      <c r="H5527">
        <v>1957</v>
      </c>
      <c r="I5527">
        <v>25.4</v>
      </c>
      <c r="J5527">
        <v>9.3000000000000007</v>
      </c>
      <c r="K5527">
        <v>58</v>
      </c>
      <c r="L5527">
        <v>22.96</v>
      </c>
      <c r="M5527">
        <v>32.799999999999997</v>
      </c>
      <c r="N5527">
        <v>16.899999999999999</v>
      </c>
      <c r="O5527">
        <v>15.9</v>
      </c>
      <c r="P5527">
        <v>27.5</v>
      </c>
      <c r="Q5527">
        <v>24</v>
      </c>
      <c r="R5527">
        <v>27.8</v>
      </c>
      <c r="S5527">
        <v>22</v>
      </c>
      <c r="T5527">
        <v>1178</v>
      </c>
      <c r="U5527">
        <v>244</v>
      </c>
      <c r="V5527">
        <v>8</v>
      </c>
      <c r="W5527">
        <v>85</v>
      </c>
      <c r="X5527">
        <v>685</v>
      </c>
      <c r="Y5527">
        <v>36</v>
      </c>
      <c r="Z5527">
        <v>599</v>
      </c>
      <c r="AA5527">
        <v>106</v>
      </c>
      <c r="AB5527">
        <v>6.2443900000000001</v>
      </c>
      <c r="AC5527">
        <v>1.076009E-2</v>
      </c>
      <c r="AD5527">
        <v>0.97166640000000004</v>
      </c>
      <c r="AE5527">
        <v>0.62970660000000001</v>
      </c>
      <c r="AF5527">
        <v>8.0544550000000008</v>
      </c>
      <c r="AG5527">
        <f>IFERROR(AH5527*0.1, "N/A")</f>
        <v>5.9189770000000008</v>
      </c>
      <c r="AH5527">
        <v>59.189770000000003</v>
      </c>
      <c r="AI5527">
        <v>130.3586</v>
      </c>
      <c r="AJ5527">
        <v>21.379539999999999</v>
      </c>
      <c r="AK5527">
        <v>65</v>
      </c>
    </row>
    <row r="5528" spans="1:37" x14ac:dyDescent="0.3">
      <c r="A5528">
        <v>5527</v>
      </c>
      <c r="B5528">
        <v>1.3</v>
      </c>
      <c r="C5528">
        <v>39.222000000000001</v>
      </c>
      <c r="D5528">
        <v>-16.756799999999998</v>
      </c>
      <c r="E5528" t="s">
        <v>8883</v>
      </c>
      <c r="F5528" t="s">
        <v>8885</v>
      </c>
      <c r="G5528" t="s">
        <v>37</v>
      </c>
      <c r="H5528">
        <v>1957</v>
      </c>
      <c r="I5528">
        <v>25.4</v>
      </c>
      <c r="J5528">
        <v>9.3000000000000007</v>
      </c>
      <c r="K5528">
        <v>58</v>
      </c>
      <c r="L5528">
        <v>22.96</v>
      </c>
      <c r="M5528">
        <v>32.799999999999997</v>
      </c>
      <c r="N5528">
        <v>16.899999999999999</v>
      </c>
      <c r="O5528">
        <v>15.9</v>
      </c>
      <c r="P5528">
        <v>27.5</v>
      </c>
      <c r="Q5528">
        <v>24</v>
      </c>
      <c r="R5528">
        <v>27.8</v>
      </c>
      <c r="S5528">
        <v>22</v>
      </c>
      <c r="T5528">
        <v>1178</v>
      </c>
      <c r="U5528">
        <v>244</v>
      </c>
      <c r="V5528">
        <v>8</v>
      </c>
      <c r="W5528">
        <v>85</v>
      </c>
      <c r="X5528">
        <v>685</v>
      </c>
      <c r="Y5528">
        <v>36</v>
      </c>
      <c r="Z5528">
        <v>599</v>
      </c>
      <c r="AA5528">
        <v>106</v>
      </c>
      <c r="AB5528">
        <v>6.2443900000000001</v>
      </c>
      <c r="AC5528">
        <v>1.076009E-2</v>
      </c>
      <c r="AD5528">
        <v>0.97166640000000004</v>
      </c>
      <c r="AE5528">
        <v>0.62970660000000001</v>
      </c>
      <c r="AF5528">
        <v>8.0544550000000008</v>
      </c>
      <c r="AG5528">
        <f>IFERROR(AH5528*0.1, "N/A")</f>
        <v>5.9189770000000008</v>
      </c>
      <c r="AH5528">
        <v>59.189770000000003</v>
      </c>
      <c r="AI5528">
        <v>130.3586</v>
      </c>
      <c r="AJ5528">
        <v>21.379539999999999</v>
      </c>
      <c r="AK5528">
        <v>65</v>
      </c>
    </row>
    <row r="5529" spans="1:37" x14ac:dyDescent="0.3">
      <c r="A5529">
        <v>5528</v>
      </c>
      <c r="B5529">
        <v>100</v>
      </c>
      <c r="C5529">
        <v>38.879399999999997</v>
      </c>
      <c r="D5529">
        <v>-16.7531</v>
      </c>
      <c r="E5529" t="s">
        <v>8886</v>
      </c>
      <c r="F5529" t="s">
        <v>8887</v>
      </c>
      <c r="G5529" t="s">
        <v>39</v>
      </c>
      <c r="H5529">
        <v>1956</v>
      </c>
      <c r="I5529">
        <v>25.4</v>
      </c>
      <c r="J5529">
        <v>9.5</v>
      </c>
      <c r="K5529">
        <v>60</v>
      </c>
      <c r="L5529">
        <v>22.64</v>
      </c>
      <c r="M5529">
        <v>32.700000000000003</v>
      </c>
      <c r="N5529">
        <v>16.899999999999999</v>
      </c>
      <c r="O5529">
        <v>15.8</v>
      </c>
      <c r="P5529">
        <v>27.5</v>
      </c>
      <c r="Q5529">
        <v>24.2</v>
      </c>
      <c r="R5529">
        <v>27.7</v>
      </c>
      <c r="S5529">
        <v>22.1</v>
      </c>
      <c r="T5529">
        <v>1224</v>
      </c>
      <c r="U5529">
        <v>255</v>
      </c>
      <c r="V5529">
        <v>9</v>
      </c>
      <c r="W5529">
        <v>84</v>
      </c>
      <c r="X5529">
        <v>707</v>
      </c>
      <c r="Y5529">
        <v>40</v>
      </c>
      <c r="Z5529">
        <v>616</v>
      </c>
      <c r="AA5529">
        <v>113</v>
      </c>
      <c r="AB5529">
        <v>3.4278420000000001</v>
      </c>
      <c r="AC5529">
        <v>1.466982E-2</v>
      </c>
      <c r="AD5529">
        <v>1.031485</v>
      </c>
      <c r="AE5529">
        <v>0.13832929999999999</v>
      </c>
      <c r="AF5529">
        <v>22.079080000000001</v>
      </c>
      <c r="AG5529">
        <f>IFERROR(AH5529*0.1, "N/A")</f>
        <v>6.1584840000000005</v>
      </c>
      <c r="AH5529">
        <v>61.58484</v>
      </c>
      <c r="AI5529">
        <v>213.25409999999999</v>
      </c>
      <c r="AJ5529">
        <v>19.194400000000002</v>
      </c>
      <c r="AK5529">
        <v>67.220759999999999</v>
      </c>
    </row>
    <row r="5530" spans="1:37" x14ac:dyDescent="0.3">
      <c r="A5530">
        <v>5529</v>
      </c>
      <c r="B5530">
        <v>0</v>
      </c>
      <c r="C5530">
        <v>38.879399999999997</v>
      </c>
      <c r="D5530">
        <v>-16.7531</v>
      </c>
      <c r="E5530" t="s">
        <v>8886</v>
      </c>
      <c r="F5530" t="s">
        <v>8888</v>
      </c>
      <c r="G5530" t="s">
        <v>37</v>
      </c>
      <c r="H5530">
        <v>1956</v>
      </c>
      <c r="I5530">
        <v>25.4</v>
      </c>
      <c r="J5530">
        <v>9.5</v>
      </c>
      <c r="K5530">
        <v>60</v>
      </c>
      <c r="L5530">
        <v>22.64</v>
      </c>
      <c r="M5530">
        <v>32.700000000000003</v>
      </c>
      <c r="N5530">
        <v>16.899999999999999</v>
      </c>
      <c r="O5530">
        <v>15.8</v>
      </c>
      <c r="P5530">
        <v>27.5</v>
      </c>
      <c r="Q5530">
        <v>24.2</v>
      </c>
      <c r="R5530">
        <v>27.7</v>
      </c>
      <c r="S5530">
        <v>22.1</v>
      </c>
      <c r="T5530">
        <v>1224</v>
      </c>
      <c r="U5530">
        <v>255</v>
      </c>
      <c r="V5530">
        <v>9</v>
      </c>
      <c r="W5530">
        <v>84</v>
      </c>
      <c r="X5530">
        <v>707</v>
      </c>
      <c r="Y5530">
        <v>40</v>
      </c>
      <c r="Z5530">
        <v>616</v>
      </c>
      <c r="AA5530">
        <v>113</v>
      </c>
      <c r="AB5530">
        <v>3.4278420000000001</v>
      </c>
      <c r="AC5530">
        <v>1.466982E-2</v>
      </c>
      <c r="AD5530">
        <v>1.031485</v>
      </c>
      <c r="AE5530">
        <v>0.13832929999999999</v>
      </c>
      <c r="AF5530">
        <v>22.079080000000001</v>
      </c>
      <c r="AG5530">
        <f>IFERROR(AH5530*0.1, "N/A")</f>
        <v>6.1584840000000005</v>
      </c>
      <c r="AH5530">
        <v>61.58484</v>
      </c>
      <c r="AI5530">
        <v>213.25409999999999</v>
      </c>
      <c r="AJ5530">
        <v>19.194400000000002</v>
      </c>
      <c r="AK5530">
        <v>67.220759999999999</v>
      </c>
    </row>
    <row r="5531" spans="1:37" x14ac:dyDescent="0.3">
      <c r="A5531">
        <v>5530</v>
      </c>
      <c r="B5531">
        <v>70</v>
      </c>
      <c r="C5531">
        <v>35.3461</v>
      </c>
      <c r="D5531">
        <v>-16.6919</v>
      </c>
      <c r="E5531" t="s">
        <v>8889</v>
      </c>
      <c r="F5531" t="s">
        <v>8890</v>
      </c>
      <c r="G5531" t="s">
        <v>39</v>
      </c>
      <c r="H5531">
        <v>1956</v>
      </c>
      <c r="I5531">
        <v>25.5</v>
      </c>
      <c r="J5531">
        <v>12.9</v>
      </c>
      <c r="K5531">
        <v>58</v>
      </c>
      <c r="L5531">
        <v>28.079160000000002</v>
      </c>
      <c r="M5531">
        <v>36.1</v>
      </c>
      <c r="N5531">
        <v>14</v>
      </c>
      <c r="O5531">
        <v>22.1</v>
      </c>
      <c r="P5531">
        <v>27.72711</v>
      </c>
      <c r="Q5531">
        <v>23</v>
      </c>
      <c r="R5531">
        <v>28.4</v>
      </c>
      <c r="S5531">
        <v>21.4</v>
      </c>
      <c r="T5531">
        <v>956.27110000000005</v>
      </c>
      <c r="U5531">
        <v>204.27109999999999</v>
      </c>
      <c r="V5531">
        <v>9</v>
      </c>
      <c r="W5531">
        <v>90</v>
      </c>
      <c r="X5531">
        <v>558.27110000000005</v>
      </c>
      <c r="Y5531">
        <v>43</v>
      </c>
      <c r="Z5531">
        <v>306</v>
      </c>
      <c r="AA5531">
        <v>57</v>
      </c>
      <c r="AB5531">
        <v>0.36446200000000001</v>
      </c>
      <c r="AC5531">
        <v>127.12430000000001</v>
      </c>
      <c r="AD5531">
        <v>1.446985</v>
      </c>
      <c r="AE5531">
        <v>0.1601447</v>
      </c>
      <c r="AF5531">
        <v>58.07273</v>
      </c>
      <c r="AG5531">
        <f>IFERROR(AH5531*0.1, "N/A")</f>
        <v>6.4019830000000004</v>
      </c>
      <c r="AH5531">
        <v>64.019829999999999</v>
      </c>
      <c r="AI5531">
        <v>149.88640000000001</v>
      </c>
      <c r="AJ5531">
        <v>22.12397</v>
      </c>
      <c r="AK5531">
        <v>65.109089999999995</v>
      </c>
    </row>
    <row r="5532" spans="1:37" x14ac:dyDescent="0.3">
      <c r="A5532">
        <v>5531</v>
      </c>
      <c r="B5532">
        <v>75</v>
      </c>
      <c r="C5532">
        <v>35.3461</v>
      </c>
      <c r="D5532">
        <v>-16.6919</v>
      </c>
      <c r="E5532" t="s">
        <v>8889</v>
      </c>
      <c r="F5532" t="s">
        <v>8891</v>
      </c>
      <c r="G5532" t="s">
        <v>37</v>
      </c>
      <c r="H5532">
        <v>1956</v>
      </c>
      <c r="I5532">
        <v>25.5</v>
      </c>
      <c r="J5532">
        <v>12.9</v>
      </c>
      <c r="K5532">
        <v>58</v>
      </c>
      <c r="L5532">
        <v>28.079160000000002</v>
      </c>
      <c r="M5532">
        <v>36.1</v>
      </c>
      <c r="N5532">
        <v>14</v>
      </c>
      <c r="O5532">
        <v>22.1</v>
      </c>
      <c r="P5532">
        <v>27.72711</v>
      </c>
      <c r="Q5532">
        <v>23</v>
      </c>
      <c r="R5532">
        <v>28.4</v>
      </c>
      <c r="S5532">
        <v>21.4</v>
      </c>
      <c r="T5532">
        <v>956.27110000000005</v>
      </c>
      <c r="U5532">
        <v>204.27109999999999</v>
      </c>
      <c r="V5532">
        <v>9</v>
      </c>
      <c r="W5532">
        <v>90</v>
      </c>
      <c r="X5532">
        <v>558.27110000000005</v>
      </c>
      <c r="Y5532">
        <v>43</v>
      </c>
      <c r="Z5532">
        <v>306</v>
      </c>
      <c r="AA5532">
        <v>57</v>
      </c>
      <c r="AB5532">
        <v>0.36446200000000001</v>
      </c>
      <c r="AC5532">
        <v>127.12430000000001</v>
      </c>
      <c r="AD5532">
        <v>1.446985</v>
      </c>
      <c r="AE5532">
        <v>0.1601447</v>
      </c>
      <c r="AF5532">
        <v>58.07273</v>
      </c>
      <c r="AG5532">
        <f>IFERROR(AH5532*0.1, "N/A")</f>
        <v>6.4019830000000004</v>
      </c>
      <c r="AH5532">
        <v>64.019829999999999</v>
      </c>
      <c r="AI5532">
        <v>149.88640000000001</v>
      </c>
      <c r="AJ5532">
        <v>22.12397</v>
      </c>
      <c r="AK5532">
        <v>65.109089999999995</v>
      </c>
    </row>
    <row r="5533" spans="1:37" x14ac:dyDescent="0.3">
      <c r="A5533">
        <v>5532</v>
      </c>
      <c r="B5533">
        <v>100</v>
      </c>
      <c r="C5533">
        <v>37.2532</v>
      </c>
      <c r="D5533">
        <v>-16.657699999999998</v>
      </c>
      <c r="E5533" t="s">
        <v>8892</v>
      </c>
      <c r="F5533" t="s">
        <v>8893</v>
      </c>
      <c r="G5533" t="s">
        <v>39</v>
      </c>
      <c r="H5533">
        <v>1956</v>
      </c>
      <c r="I5533">
        <v>24.997019999999999</v>
      </c>
      <c r="J5533">
        <v>11.9</v>
      </c>
      <c r="K5533">
        <v>58.970199999999998</v>
      </c>
      <c r="L5533">
        <v>26.102979999999999</v>
      </c>
      <c r="M5533">
        <v>34.799999999999997</v>
      </c>
      <c r="N5533">
        <v>14.69702</v>
      </c>
      <c r="O5533">
        <v>20.102979999999999</v>
      </c>
      <c r="P5533">
        <v>26.9</v>
      </c>
      <c r="Q5533">
        <v>24.5</v>
      </c>
      <c r="R5533">
        <v>27.5</v>
      </c>
      <c r="S5533">
        <v>21.097020000000001</v>
      </c>
      <c r="T5533">
        <v>1323.0889999999999</v>
      </c>
      <c r="U5533">
        <v>268</v>
      </c>
      <c r="V5533">
        <v>14</v>
      </c>
      <c r="W5533">
        <v>82</v>
      </c>
      <c r="X5533">
        <v>721.02980000000002</v>
      </c>
      <c r="Y5533">
        <v>67.029799999999994</v>
      </c>
      <c r="Z5533">
        <v>332.02980000000002</v>
      </c>
      <c r="AA5533">
        <v>103.02979999999999</v>
      </c>
      <c r="AB5533">
        <v>14.08708</v>
      </c>
      <c r="AC5533">
        <v>4.832028E-2</v>
      </c>
      <c r="AD5533">
        <v>1.873732</v>
      </c>
      <c r="AE5533">
        <v>0.24057120000000001</v>
      </c>
      <c r="AF5533">
        <v>170.87909999999999</v>
      </c>
      <c r="AG5533">
        <f>IFERROR(AH5533*0.1, "N/A")</f>
        <v>6.3000000000000007</v>
      </c>
      <c r="AH5533">
        <v>63</v>
      </c>
      <c r="AI5533">
        <v>44.924320000000002</v>
      </c>
      <c r="AJ5533">
        <v>24.357620000000001</v>
      </c>
      <c r="AK5533">
        <v>62.642380000000003</v>
      </c>
    </row>
    <row r="5534" spans="1:37" x14ac:dyDescent="0.3">
      <c r="A5534">
        <v>5533</v>
      </c>
      <c r="B5534">
        <v>0</v>
      </c>
      <c r="C5534">
        <v>37.2532</v>
      </c>
      <c r="D5534">
        <v>-16.657699999999998</v>
      </c>
      <c r="E5534" t="s">
        <v>8892</v>
      </c>
      <c r="F5534" t="s">
        <v>8894</v>
      </c>
      <c r="G5534" t="s">
        <v>37</v>
      </c>
      <c r="H5534">
        <v>1956</v>
      </c>
      <c r="I5534">
        <v>24.997019999999999</v>
      </c>
      <c r="J5534">
        <v>11.9</v>
      </c>
      <c r="K5534">
        <v>58.970199999999998</v>
      </c>
      <c r="L5534">
        <v>26.102979999999999</v>
      </c>
      <c r="M5534">
        <v>34.799999999999997</v>
      </c>
      <c r="N5534">
        <v>14.69702</v>
      </c>
      <c r="O5534">
        <v>20.102979999999999</v>
      </c>
      <c r="P5534">
        <v>26.9</v>
      </c>
      <c r="Q5534">
        <v>24.5</v>
      </c>
      <c r="R5534">
        <v>27.5</v>
      </c>
      <c r="S5534">
        <v>21.097020000000001</v>
      </c>
      <c r="T5534">
        <v>1323.0889999999999</v>
      </c>
      <c r="U5534">
        <v>268</v>
      </c>
      <c r="V5534">
        <v>14</v>
      </c>
      <c r="W5534">
        <v>82</v>
      </c>
      <c r="X5534">
        <v>721.02980000000002</v>
      </c>
      <c r="Y5534">
        <v>67.029799999999994</v>
      </c>
      <c r="Z5534">
        <v>332.02980000000002</v>
      </c>
      <c r="AA5534">
        <v>103.02979999999999</v>
      </c>
      <c r="AB5534">
        <v>14.08708</v>
      </c>
      <c r="AC5534">
        <v>4.832028E-2</v>
      </c>
      <c r="AD5534">
        <v>1.873732</v>
      </c>
      <c r="AE5534">
        <v>0.24057120000000001</v>
      </c>
      <c r="AF5534">
        <v>170.87909999999999</v>
      </c>
      <c r="AG5534">
        <f>IFERROR(AH5534*0.1, "N/A")</f>
        <v>6.3000000000000007</v>
      </c>
      <c r="AH5534">
        <v>63</v>
      </c>
      <c r="AI5534">
        <v>44.924320000000002</v>
      </c>
      <c r="AJ5534">
        <v>24.357620000000001</v>
      </c>
      <c r="AK5534">
        <v>62.642380000000003</v>
      </c>
    </row>
    <row r="5535" spans="1:37" x14ac:dyDescent="0.3">
      <c r="A5535">
        <v>5534</v>
      </c>
      <c r="B5535">
        <v>100</v>
      </c>
      <c r="C5535">
        <v>37.221499999999999</v>
      </c>
      <c r="D5535">
        <v>-16.633199999999999</v>
      </c>
      <c r="E5535" t="s">
        <v>8895</v>
      </c>
      <c r="F5535" t="s">
        <v>8896</v>
      </c>
      <c r="G5535" t="s">
        <v>39</v>
      </c>
      <c r="H5535">
        <v>1956</v>
      </c>
      <c r="I5535">
        <v>24.84769</v>
      </c>
      <c r="J5535">
        <v>12</v>
      </c>
      <c r="K5535">
        <v>59</v>
      </c>
      <c r="L5535">
        <v>25.723230000000001</v>
      </c>
      <c r="M5535">
        <v>34.700000000000003</v>
      </c>
      <c r="N5535">
        <v>14.6</v>
      </c>
      <c r="O5535">
        <v>20.100000000000001</v>
      </c>
      <c r="P5535">
        <v>26.747689999999999</v>
      </c>
      <c r="Q5535">
        <v>24.447690000000001</v>
      </c>
      <c r="R5535">
        <v>27.352309999999999</v>
      </c>
      <c r="S5535">
        <v>21</v>
      </c>
      <c r="T5535">
        <v>1340</v>
      </c>
      <c r="U5535">
        <v>270</v>
      </c>
      <c r="V5535">
        <v>14</v>
      </c>
      <c r="W5535">
        <v>82</v>
      </c>
      <c r="X5535">
        <v>729.5231</v>
      </c>
      <c r="Y5535">
        <v>68.476900000000001</v>
      </c>
      <c r="Z5535">
        <v>341</v>
      </c>
      <c r="AA5535">
        <v>102</v>
      </c>
      <c r="AB5535">
        <v>1.0204629999999999</v>
      </c>
      <c r="AC5535">
        <v>0.34376760000000001</v>
      </c>
      <c r="AD5535">
        <v>2.0656569999999999</v>
      </c>
      <c r="AE5535">
        <v>0.18926789999999999</v>
      </c>
      <c r="AF5535">
        <v>181.2954</v>
      </c>
      <c r="AG5535">
        <f>IFERROR(AH5535*0.1, "N/A")</f>
        <v>6.2968650000000004</v>
      </c>
      <c r="AH5535">
        <v>62.968649999999997</v>
      </c>
      <c r="AI5535">
        <v>193.2706</v>
      </c>
      <c r="AJ5535">
        <v>31</v>
      </c>
      <c r="AK5535">
        <v>55</v>
      </c>
    </row>
    <row r="5536" spans="1:37" x14ac:dyDescent="0.3">
      <c r="A5536">
        <v>5535</v>
      </c>
      <c r="B5536">
        <v>20</v>
      </c>
      <c r="C5536">
        <v>37.221499999999999</v>
      </c>
      <c r="D5536">
        <v>-16.633199999999999</v>
      </c>
      <c r="E5536" t="s">
        <v>8895</v>
      </c>
      <c r="F5536" t="s">
        <v>8897</v>
      </c>
      <c r="G5536" t="s">
        <v>37</v>
      </c>
      <c r="H5536">
        <v>1956</v>
      </c>
      <c r="I5536">
        <v>24.84769</v>
      </c>
      <c r="J5536">
        <v>12</v>
      </c>
      <c r="K5536">
        <v>59</v>
      </c>
      <c r="L5536">
        <v>25.723230000000001</v>
      </c>
      <c r="M5536">
        <v>34.700000000000003</v>
      </c>
      <c r="N5536">
        <v>14.6</v>
      </c>
      <c r="O5536">
        <v>20.100000000000001</v>
      </c>
      <c r="P5536">
        <v>26.747689999999999</v>
      </c>
      <c r="Q5536">
        <v>24.447690000000001</v>
      </c>
      <c r="R5536">
        <v>27.352309999999999</v>
      </c>
      <c r="S5536">
        <v>21</v>
      </c>
      <c r="T5536">
        <v>1340</v>
      </c>
      <c r="U5536">
        <v>270</v>
      </c>
      <c r="V5536">
        <v>14</v>
      </c>
      <c r="W5536">
        <v>82</v>
      </c>
      <c r="X5536">
        <v>729.5231</v>
      </c>
      <c r="Y5536">
        <v>68.476900000000001</v>
      </c>
      <c r="Z5536">
        <v>341</v>
      </c>
      <c r="AA5536">
        <v>102</v>
      </c>
      <c r="AB5536">
        <v>1.0204629999999999</v>
      </c>
      <c r="AC5536">
        <v>0.34376760000000001</v>
      </c>
      <c r="AD5536">
        <v>2.0656569999999999</v>
      </c>
      <c r="AE5536">
        <v>0.18926789999999999</v>
      </c>
      <c r="AF5536">
        <v>181.2954</v>
      </c>
      <c r="AG5536">
        <f>IFERROR(AH5536*0.1, "N/A")</f>
        <v>6.2968650000000004</v>
      </c>
      <c r="AH5536">
        <v>62.968649999999997</v>
      </c>
      <c r="AI5536">
        <v>193.2706</v>
      </c>
      <c r="AJ5536">
        <v>31</v>
      </c>
      <c r="AK5536">
        <v>55</v>
      </c>
    </row>
    <row r="5537" spans="1:37" x14ac:dyDescent="0.3">
      <c r="A5537">
        <v>5536</v>
      </c>
      <c r="B5537">
        <v>90</v>
      </c>
      <c r="C5537">
        <v>36.042499999999997</v>
      </c>
      <c r="D5537">
        <v>-16.4558</v>
      </c>
      <c r="E5537" t="s">
        <v>8898</v>
      </c>
      <c r="F5537" t="s">
        <v>8899</v>
      </c>
      <c r="G5537" t="s">
        <v>39</v>
      </c>
      <c r="H5537">
        <v>1956</v>
      </c>
      <c r="I5537">
        <v>23.5</v>
      </c>
      <c r="J5537">
        <v>12.6</v>
      </c>
      <c r="K5537">
        <v>65</v>
      </c>
      <c r="L5537">
        <v>18.73</v>
      </c>
      <c r="M5537">
        <v>33.299999999999997</v>
      </c>
      <c r="N5537">
        <v>14</v>
      </c>
      <c r="O5537">
        <v>19.3</v>
      </c>
      <c r="P5537">
        <v>24.7</v>
      </c>
      <c r="Q5537">
        <v>23.5</v>
      </c>
      <c r="R5537">
        <v>25.4</v>
      </c>
      <c r="S5537">
        <v>20.8</v>
      </c>
      <c r="T5537">
        <v>1644</v>
      </c>
      <c r="U5537">
        <v>296</v>
      </c>
      <c r="V5537">
        <v>24</v>
      </c>
      <c r="W5537">
        <v>77</v>
      </c>
      <c r="X5537">
        <v>845</v>
      </c>
      <c r="Y5537">
        <v>99</v>
      </c>
      <c r="Z5537">
        <v>451</v>
      </c>
      <c r="AA5537">
        <v>130</v>
      </c>
      <c r="AB5537">
        <v>5.7297450000000003</v>
      </c>
      <c r="AC5537">
        <v>3.4579970000000002E-2</v>
      </c>
      <c r="AD5537">
        <v>2.734524</v>
      </c>
      <c r="AE5537">
        <v>0.22141730000000001</v>
      </c>
      <c r="AF5537">
        <v>426.25119999999998</v>
      </c>
      <c r="AG5537">
        <f>IFERROR(AH5537*0.1, "N/A")</f>
        <v>6</v>
      </c>
      <c r="AH5537">
        <v>60</v>
      </c>
      <c r="AI5537">
        <v>275.81029999999998</v>
      </c>
      <c r="AJ5537">
        <v>26.66281</v>
      </c>
      <c r="AK5537">
        <v>61.505789999999998</v>
      </c>
    </row>
    <row r="5538" spans="1:37" x14ac:dyDescent="0.3">
      <c r="A5538">
        <v>5537</v>
      </c>
      <c r="B5538">
        <v>5</v>
      </c>
      <c r="C5538">
        <v>36.042499999999997</v>
      </c>
      <c r="D5538">
        <v>-16.4558</v>
      </c>
      <c r="E5538" t="s">
        <v>8898</v>
      </c>
      <c r="F5538" t="s">
        <v>8900</v>
      </c>
      <c r="G5538" t="s">
        <v>37</v>
      </c>
      <c r="H5538">
        <v>1956</v>
      </c>
      <c r="I5538">
        <v>23.5</v>
      </c>
      <c r="J5538">
        <v>12.6</v>
      </c>
      <c r="K5538">
        <v>65</v>
      </c>
      <c r="L5538">
        <v>18.73</v>
      </c>
      <c r="M5538">
        <v>33.299999999999997</v>
      </c>
      <c r="N5538">
        <v>14</v>
      </c>
      <c r="O5538">
        <v>19.3</v>
      </c>
      <c r="P5538">
        <v>24.7</v>
      </c>
      <c r="Q5538">
        <v>23.5</v>
      </c>
      <c r="R5538">
        <v>25.4</v>
      </c>
      <c r="S5538">
        <v>20.8</v>
      </c>
      <c r="T5538">
        <v>1644</v>
      </c>
      <c r="U5538">
        <v>296</v>
      </c>
      <c r="V5538">
        <v>24</v>
      </c>
      <c r="W5538">
        <v>77</v>
      </c>
      <c r="X5538">
        <v>845</v>
      </c>
      <c r="Y5538">
        <v>99</v>
      </c>
      <c r="Z5538">
        <v>451</v>
      </c>
      <c r="AA5538">
        <v>130</v>
      </c>
      <c r="AB5538">
        <v>5.7297450000000003</v>
      </c>
      <c r="AC5538">
        <v>3.4579970000000002E-2</v>
      </c>
      <c r="AD5538">
        <v>2.734524</v>
      </c>
      <c r="AE5538">
        <v>0.22141730000000001</v>
      </c>
      <c r="AF5538">
        <v>426.25119999999998</v>
      </c>
      <c r="AG5538">
        <f>IFERROR(AH5538*0.1, "N/A")</f>
        <v>6</v>
      </c>
      <c r="AH5538">
        <v>60</v>
      </c>
      <c r="AI5538">
        <v>275.81029999999998</v>
      </c>
      <c r="AJ5538">
        <v>26.66281</v>
      </c>
      <c r="AK5538">
        <v>61.505789999999998</v>
      </c>
    </row>
    <row r="5539" spans="1:37" x14ac:dyDescent="0.3">
      <c r="A5539">
        <v>5538</v>
      </c>
      <c r="B5539">
        <v>95</v>
      </c>
      <c r="C5539">
        <v>37.592100000000002</v>
      </c>
      <c r="D5539">
        <v>-16.433399999999999</v>
      </c>
      <c r="E5539" t="s">
        <v>8901</v>
      </c>
      <c r="F5539" t="s">
        <v>8902</v>
      </c>
      <c r="G5539" t="s">
        <v>39</v>
      </c>
      <c r="H5539">
        <v>1956</v>
      </c>
      <c r="I5539">
        <v>24.796520000000001</v>
      </c>
      <c r="J5539">
        <v>11.42454</v>
      </c>
      <c r="K5539">
        <v>58</v>
      </c>
      <c r="L5539">
        <v>25.984940000000002</v>
      </c>
      <c r="M5539">
        <v>34.160530000000001</v>
      </c>
      <c r="N5539">
        <v>14.55705</v>
      </c>
      <c r="O5539">
        <v>19.603480000000001</v>
      </c>
      <c r="P5539">
        <v>26.796520000000001</v>
      </c>
      <c r="Q5539">
        <v>24.25705</v>
      </c>
      <c r="R5539">
        <v>27.293030000000002</v>
      </c>
      <c r="S5539">
        <v>20.896519999999999</v>
      </c>
      <c r="T5539">
        <v>1358.779</v>
      </c>
      <c r="U5539">
        <v>276.3947</v>
      </c>
      <c r="V5539">
        <v>14.034829999999999</v>
      </c>
      <c r="W5539">
        <v>83.394689999999997</v>
      </c>
      <c r="X5539">
        <v>764.42949999999996</v>
      </c>
      <c r="Y5539">
        <v>62.280270000000002</v>
      </c>
      <c r="Z5539">
        <v>366.80270000000002</v>
      </c>
      <c r="AA5539">
        <v>109</v>
      </c>
      <c r="AB5539">
        <v>32.868490000000001</v>
      </c>
      <c r="AC5539">
        <v>8.2460759999999998E-3</v>
      </c>
      <c r="AD5539">
        <v>2.5064380000000002</v>
      </c>
      <c r="AE5539">
        <v>0.19698189999999999</v>
      </c>
      <c r="AF5539">
        <v>221.34989999999999</v>
      </c>
      <c r="AG5539">
        <f>IFERROR(AH5539*0.1, "N/A")</f>
        <v>6.3552239999999998</v>
      </c>
      <c r="AH5539">
        <v>63.552239999999998</v>
      </c>
      <c r="AI5539">
        <v>233.48099999999999</v>
      </c>
      <c r="AJ5539">
        <v>19.815919999999998</v>
      </c>
      <c r="AK5539">
        <v>68.938640000000007</v>
      </c>
    </row>
    <row r="5540" spans="1:37" x14ac:dyDescent="0.3">
      <c r="A5540">
        <v>5539</v>
      </c>
      <c r="B5540">
        <v>10</v>
      </c>
      <c r="C5540">
        <v>37.592100000000002</v>
      </c>
      <c r="D5540">
        <v>-16.433399999999999</v>
      </c>
      <c r="E5540" t="s">
        <v>8901</v>
      </c>
      <c r="F5540" t="s">
        <v>8903</v>
      </c>
      <c r="G5540" t="s">
        <v>37</v>
      </c>
      <c r="H5540">
        <v>1956</v>
      </c>
      <c r="I5540">
        <v>24.796520000000001</v>
      </c>
      <c r="J5540">
        <v>11.42454</v>
      </c>
      <c r="K5540">
        <v>58</v>
      </c>
      <c r="L5540">
        <v>25.984940000000002</v>
      </c>
      <c r="M5540">
        <v>34.160530000000001</v>
      </c>
      <c r="N5540">
        <v>14.55705</v>
      </c>
      <c r="O5540">
        <v>19.603480000000001</v>
      </c>
      <c r="P5540">
        <v>26.796520000000001</v>
      </c>
      <c r="Q5540">
        <v>24.25705</v>
      </c>
      <c r="R5540">
        <v>27.293030000000002</v>
      </c>
      <c r="S5540">
        <v>20.896519999999999</v>
      </c>
      <c r="T5540">
        <v>1358.779</v>
      </c>
      <c r="U5540">
        <v>276.3947</v>
      </c>
      <c r="V5540">
        <v>14.034829999999999</v>
      </c>
      <c r="W5540">
        <v>83.394689999999997</v>
      </c>
      <c r="X5540">
        <v>764.42949999999996</v>
      </c>
      <c r="Y5540">
        <v>62.280270000000002</v>
      </c>
      <c r="Z5540">
        <v>366.80270000000002</v>
      </c>
      <c r="AA5540">
        <v>109</v>
      </c>
      <c r="AB5540">
        <v>32.868490000000001</v>
      </c>
      <c r="AC5540">
        <v>8.2460759999999998E-3</v>
      </c>
      <c r="AD5540">
        <v>2.5064380000000002</v>
      </c>
      <c r="AE5540">
        <v>0.19698189999999999</v>
      </c>
      <c r="AF5540">
        <v>221.34989999999999</v>
      </c>
      <c r="AG5540">
        <f>IFERROR(AH5540*0.1, "N/A")</f>
        <v>6.3552239999999998</v>
      </c>
      <c r="AH5540">
        <v>63.552239999999998</v>
      </c>
      <c r="AI5540">
        <v>233.48099999999999</v>
      </c>
      <c r="AJ5540">
        <v>19.815919999999998</v>
      </c>
      <c r="AK5540">
        <v>68.938640000000007</v>
      </c>
    </row>
    <row r="5541" spans="1:37" x14ac:dyDescent="0.3">
      <c r="A5541">
        <v>5540</v>
      </c>
      <c r="B5541">
        <v>85</v>
      </c>
      <c r="C5541">
        <v>36.75</v>
      </c>
      <c r="D5541">
        <v>-16.429400000000001</v>
      </c>
      <c r="E5541" t="s">
        <v>8904</v>
      </c>
      <c r="F5541" t="s">
        <v>8905</v>
      </c>
      <c r="G5541" t="s">
        <v>39</v>
      </c>
      <c r="H5541">
        <v>1956</v>
      </c>
      <c r="I5541">
        <v>24.7</v>
      </c>
      <c r="J5541">
        <v>12.844390000000001</v>
      </c>
      <c r="K5541">
        <v>63</v>
      </c>
      <c r="L5541">
        <v>22.116479999999999</v>
      </c>
      <c r="M5541">
        <v>34.988779999999998</v>
      </c>
      <c r="N5541">
        <v>14.8</v>
      </c>
      <c r="O5541">
        <v>20.188780000000001</v>
      </c>
      <c r="P5541">
        <v>26.155609999999999</v>
      </c>
      <c r="Q5541">
        <v>24.744389999999999</v>
      </c>
      <c r="R5541">
        <v>26.944389999999999</v>
      </c>
      <c r="S5541">
        <v>21.5</v>
      </c>
      <c r="T5541">
        <v>1594.673</v>
      </c>
      <c r="U5541">
        <v>291.55610000000001</v>
      </c>
      <c r="V5541">
        <v>21.55611</v>
      </c>
      <c r="W5541">
        <v>81.443889999999996</v>
      </c>
      <c r="X5541">
        <v>854.78049999999996</v>
      </c>
      <c r="Y5541">
        <v>84.112210000000005</v>
      </c>
      <c r="Z5541">
        <v>435.2244</v>
      </c>
      <c r="AA5541">
        <v>110</v>
      </c>
      <c r="AB5541">
        <v>19.721620000000001</v>
      </c>
      <c r="AC5541">
        <v>8.2189450000000001E-3</v>
      </c>
      <c r="AD5541">
        <v>3.182023</v>
      </c>
      <c r="AE5541">
        <v>0.3027823</v>
      </c>
      <c r="AF5541">
        <v>272.75740000000002</v>
      </c>
      <c r="AG5541">
        <f>IFERROR(AH5541*0.1, "N/A")</f>
        <v>5.8445540000000005</v>
      </c>
      <c r="AH5541">
        <v>58.445540000000001</v>
      </c>
      <c r="AI5541">
        <v>37.32985</v>
      </c>
      <c r="AJ5541">
        <v>24.44389</v>
      </c>
      <c r="AK5541">
        <v>63</v>
      </c>
    </row>
    <row r="5542" spans="1:37" x14ac:dyDescent="0.3">
      <c r="A5542">
        <v>5541</v>
      </c>
      <c r="B5542">
        <v>5</v>
      </c>
      <c r="C5542">
        <v>36.75</v>
      </c>
      <c r="D5542">
        <v>-16.429400000000001</v>
      </c>
      <c r="E5542" t="s">
        <v>8904</v>
      </c>
      <c r="F5542" t="s">
        <v>8906</v>
      </c>
      <c r="G5542" t="s">
        <v>37</v>
      </c>
      <c r="H5542">
        <v>1956</v>
      </c>
      <c r="I5542">
        <v>24.7</v>
      </c>
      <c r="J5542">
        <v>12.844390000000001</v>
      </c>
      <c r="K5542">
        <v>63</v>
      </c>
      <c r="L5542">
        <v>22.116479999999999</v>
      </c>
      <c r="M5542">
        <v>34.988779999999998</v>
      </c>
      <c r="N5542">
        <v>14.8</v>
      </c>
      <c r="O5542">
        <v>20.188780000000001</v>
      </c>
      <c r="P5542">
        <v>26.155609999999999</v>
      </c>
      <c r="Q5542">
        <v>24.744389999999999</v>
      </c>
      <c r="R5542">
        <v>26.944389999999999</v>
      </c>
      <c r="S5542">
        <v>21.5</v>
      </c>
      <c r="T5542">
        <v>1594.673</v>
      </c>
      <c r="U5542">
        <v>291.55610000000001</v>
      </c>
      <c r="V5542">
        <v>21.55611</v>
      </c>
      <c r="W5542">
        <v>81.443889999999996</v>
      </c>
      <c r="X5542">
        <v>854.78049999999996</v>
      </c>
      <c r="Y5542">
        <v>84.112210000000005</v>
      </c>
      <c r="Z5542">
        <v>435.2244</v>
      </c>
      <c r="AA5542">
        <v>110</v>
      </c>
      <c r="AB5542">
        <v>19.721620000000001</v>
      </c>
      <c r="AC5542">
        <v>8.2189450000000001E-3</v>
      </c>
      <c r="AD5542">
        <v>3.182023</v>
      </c>
      <c r="AE5542">
        <v>0.3027823</v>
      </c>
      <c r="AF5542">
        <v>272.75740000000002</v>
      </c>
      <c r="AG5542">
        <f>IFERROR(AH5542*0.1, "N/A")</f>
        <v>5.8445540000000005</v>
      </c>
      <c r="AH5542">
        <v>58.445540000000001</v>
      </c>
      <c r="AI5542">
        <v>37.32985</v>
      </c>
      <c r="AJ5542">
        <v>24.44389</v>
      </c>
      <c r="AK5542">
        <v>63</v>
      </c>
    </row>
    <row r="5543" spans="1:37" x14ac:dyDescent="0.3">
      <c r="A5543">
        <v>5542</v>
      </c>
      <c r="B5543">
        <v>55</v>
      </c>
      <c r="C5543">
        <v>36.662199999999999</v>
      </c>
      <c r="D5543">
        <v>-16.418399999999998</v>
      </c>
      <c r="E5543" t="s">
        <v>8907</v>
      </c>
      <c r="F5543" t="s">
        <v>8908</v>
      </c>
      <c r="G5543" t="s">
        <v>39</v>
      </c>
      <c r="H5543">
        <v>1956</v>
      </c>
      <c r="I5543">
        <v>24.4</v>
      </c>
      <c r="J5543">
        <v>12.9</v>
      </c>
      <c r="K5543">
        <v>65</v>
      </c>
      <c r="L5543">
        <v>20.68</v>
      </c>
      <c r="M5543">
        <v>34.6</v>
      </c>
      <c r="N5543">
        <v>14.8</v>
      </c>
      <c r="O5543">
        <v>19.8</v>
      </c>
      <c r="P5543">
        <v>25.8</v>
      </c>
      <c r="Q5543">
        <v>24.5</v>
      </c>
      <c r="R5543">
        <v>26.6</v>
      </c>
      <c r="S5543">
        <v>21.5</v>
      </c>
      <c r="T5543">
        <v>1659</v>
      </c>
      <c r="U5543">
        <v>300</v>
      </c>
      <c r="V5543">
        <v>23</v>
      </c>
      <c r="W5543">
        <v>80</v>
      </c>
      <c r="X5543">
        <v>883</v>
      </c>
      <c r="Y5543">
        <v>89</v>
      </c>
      <c r="Z5543">
        <v>450</v>
      </c>
      <c r="AA5543">
        <v>117</v>
      </c>
      <c r="AB5543">
        <v>12.554040000000001</v>
      </c>
      <c r="AC5543">
        <v>4.1246390000000001E-2</v>
      </c>
      <c r="AD5543">
        <v>3.0444680000000002</v>
      </c>
      <c r="AE5543">
        <v>0.12997529999999999</v>
      </c>
      <c r="AF5543">
        <v>297.74549999999999</v>
      </c>
      <c r="AG5543">
        <f>IFERROR(AH5543*0.1, "N/A")</f>
        <v>6.0343800000000005</v>
      </c>
      <c r="AH5543">
        <v>60.343800000000002</v>
      </c>
      <c r="AI5543">
        <v>250.10929999999999</v>
      </c>
      <c r="AJ5543">
        <v>26.28595</v>
      </c>
      <c r="AK5543">
        <v>56.383470000000003</v>
      </c>
    </row>
    <row r="5544" spans="1:37" x14ac:dyDescent="0.3">
      <c r="A5544">
        <v>5543</v>
      </c>
      <c r="B5544">
        <v>60</v>
      </c>
      <c r="C5544">
        <v>36.662199999999999</v>
      </c>
      <c r="D5544">
        <v>-16.418399999999998</v>
      </c>
      <c r="E5544" t="s">
        <v>8907</v>
      </c>
      <c r="F5544" t="s">
        <v>8909</v>
      </c>
      <c r="G5544" t="s">
        <v>37</v>
      </c>
      <c r="H5544">
        <v>1956</v>
      </c>
      <c r="I5544">
        <v>24.4</v>
      </c>
      <c r="J5544">
        <v>12.9</v>
      </c>
      <c r="K5544">
        <v>65</v>
      </c>
      <c r="L5544">
        <v>20.68</v>
      </c>
      <c r="M5544">
        <v>34.6</v>
      </c>
      <c r="N5544">
        <v>14.8</v>
      </c>
      <c r="O5544">
        <v>19.8</v>
      </c>
      <c r="P5544">
        <v>25.8</v>
      </c>
      <c r="Q5544">
        <v>24.5</v>
      </c>
      <c r="R5544">
        <v>26.6</v>
      </c>
      <c r="S5544">
        <v>21.5</v>
      </c>
      <c r="T5544">
        <v>1659</v>
      </c>
      <c r="U5544">
        <v>300</v>
      </c>
      <c r="V5544">
        <v>23</v>
      </c>
      <c r="W5544">
        <v>80</v>
      </c>
      <c r="X5544">
        <v>883</v>
      </c>
      <c r="Y5544">
        <v>89</v>
      </c>
      <c r="Z5544">
        <v>450</v>
      </c>
      <c r="AA5544">
        <v>117</v>
      </c>
      <c r="AB5544">
        <v>12.554040000000001</v>
      </c>
      <c r="AC5544">
        <v>4.1246390000000001E-2</v>
      </c>
      <c r="AD5544">
        <v>3.0444680000000002</v>
      </c>
      <c r="AE5544">
        <v>0.12997529999999999</v>
      </c>
      <c r="AF5544">
        <v>297.74549999999999</v>
      </c>
      <c r="AG5544">
        <f>IFERROR(AH5544*0.1, "N/A")</f>
        <v>6.0343800000000005</v>
      </c>
      <c r="AH5544">
        <v>60.343800000000002</v>
      </c>
      <c r="AI5544">
        <v>250.10929999999999</v>
      </c>
      <c r="AJ5544">
        <v>26.28595</v>
      </c>
      <c r="AK5544">
        <v>56.383470000000003</v>
      </c>
    </row>
    <row r="5545" spans="1:37" x14ac:dyDescent="0.3">
      <c r="A5545">
        <v>5544</v>
      </c>
      <c r="B5545">
        <v>55</v>
      </c>
      <c r="C5545">
        <v>36.462800000000001</v>
      </c>
      <c r="D5545">
        <v>-16.415800000000001</v>
      </c>
      <c r="E5545" t="s">
        <v>8910</v>
      </c>
      <c r="F5545" t="s">
        <v>8911</v>
      </c>
      <c r="G5545" t="s">
        <v>39</v>
      </c>
      <c r="H5545">
        <v>1956</v>
      </c>
      <c r="I5545">
        <v>24.3</v>
      </c>
      <c r="J5545">
        <v>12.8</v>
      </c>
      <c r="K5545">
        <v>67</v>
      </c>
      <c r="L5545">
        <v>17.64</v>
      </c>
      <c r="M5545">
        <v>34</v>
      </c>
      <c r="N5545">
        <v>14.9</v>
      </c>
      <c r="O5545">
        <v>19.100000000000001</v>
      </c>
      <c r="P5545">
        <v>25.4</v>
      </c>
      <c r="Q5545">
        <v>24.2</v>
      </c>
      <c r="R5545">
        <v>26.1</v>
      </c>
      <c r="S5545">
        <v>21.7</v>
      </c>
      <c r="T5545">
        <v>1755</v>
      </c>
      <c r="U5545">
        <v>312</v>
      </c>
      <c r="V5545">
        <v>25</v>
      </c>
      <c r="W5545">
        <v>79</v>
      </c>
      <c r="X5545">
        <v>917</v>
      </c>
      <c r="Y5545">
        <v>98</v>
      </c>
      <c r="Z5545">
        <v>472</v>
      </c>
      <c r="AA5545">
        <v>129</v>
      </c>
      <c r="AB5545">
        <v>37.199010000000001</v>
      </c>
      <c r="AC5545">
        <v>8.5038909999999995E-3</v>
      </c>
      <c r="AD5545">
        <v>4.3535190000000004</v>
      </c>
      <c r="AE5545">
        <v>0.12648429999999999</v>
      </c>
      <c r="AF5545">
        <v>307.3152</v>
      </c>
      <c r="AG5545">
        <f>IFERROR(AH5545*0.1, "N/A")</f>
        <v>5.7298679999999997</v>
      </c>
      <c r="AH5545">
        <v>57.298679999999997</v>
      </c>
      <c r="AI5545">
        <v>82.220050000000001</v>
      </c>
      <c r="AJ5545">
        <v>27.204619999999998</v>
      </c>
      <c r="AK5545">
        <v>52.4604</v>
      </c>
    </row>
    <row r="5546" spans="1:37" x14ac:dyDescent="0.3">
      <c r="A5546">
        <v>5545</v>
      </c>
      <c r="B5546">
        <v>25</v>
      </c>
      <c r="C5546">
        <v>36.462800000000001</v>
      </c>
      <c r="D5546">
        <v>-16.415800000000001</v>
      </c>
      <c r="E5546" t="s">
        <v>8910</v>
      </c>
      <c r="F5546" t="s">
        <v>8912</v>
      </c>
      <c r="G5546" t="s">
        <v>37</v>
      </c>
      <c r="H5546">
        <v>1956</v>
      </c>
      <c r="I5546">
        <v>24.3</v>
      </c>
      <c r="J5546">
        <v>12.8</v>
      </c>
      <c r="K5546">
        <v>67</v>
      </c>
      <c r="L5546">
        <v>17.64</v>
      </c>
      <c r="M5546">
        <v>34</v>
      </c>
      <c r="N5546">
        <v>14.9</v>
      </c>
      <c r="O5546">
        <v>19.100000000000001</v>
      </c>
      <c r="P5546">
        <v>25.4</v>
      </c>
      <c r="Q5546">
        <v>24.2</v>
      </c>
      <c r="R5546">
        <v>26.1</v>
      </c>
      <c r="S5546">
        <v>21.7</v>
      </c>
      <c r="T5546">
        <v>1755</v>
      </c>
      <c r="U5546">
        <v>312</v>
      </c>
      <c r="V5546">
        <v>25</v>
      </c>
      <c r="W5546">
        <v>79</v>
      </c>
      <c r="X5546">
        <v>917</v>
      </c>
      <c r="Y5546">
        <v>98</v>
      </c>
      <c r="Z5546">
        <v>472</v>
      </c>
      <c r="AA5546">
        <v>129</v>
      </c>
      <c r="AB5546">
        <v>37.199010000000001</v>
      </c>
      <c r="AC5546">
        <v>8.5038909999999995E-3</v>
      </c>
      <c r="AD5546">
        <v>4.3535190000000004</v>
      </c>
      <c r="AE5546">
        <v>0.12648429999999999</v>
      </c>
      <c r="AF5546">
        <v>307.3152</v>
      </c>
      <c r="AG5546">
        <f>IFERROR(AH5546*0.1, "N/A")</f>
        <v>5.7298679999999997</v>
      </c>
      <c r="AH5546">
        <v>57.298679999999997</v>
      </c>
      <c r="AI5546">
        <v>82.220050000000001</v>
      </c>
      <c r="AJ5546">
        <v>27.204619999999998</v>
      </c>
      <c r="AK5546">
        <v>52.4604</v>
      </c>
    </row>
    <row r="5547" spans="1:37" x14ac:dyDescent="0.3">
      <c r="A5547">
        <v>5546</v>
      </c>
      <c r="B5547">
        <v>65</v>
      </c>
      <c r="C5547">
        <v>35.433900000000001</v>
      </c>
      <c r="D5547">
        <v>-16.319199999999999</v>
      </c>
      <c r="E5547" t="s">
        <v>8913</v>
      </c>
      <c r="F5547" t="s">
        <v>8914</v>
      </c>
      <c r="G5547" t="s">
        <v>39</v>
      </c>
      <c r="H5547">
        <v>1956</v>
      </c>
      <c r="I5547">
        <v>22.4</v>
      </c>
      <c r="J5547">
        <v>11.9</v>
      </c>
      <c r="K5547">
        <v>59</v>
      </c>
      <c r="L5547">
        <v>25.851199999999999</v>
      </c>
      <c r="M5547">
        <v>32.1</v>
      </c>
      <c r="N5547">
        <v>12</v>
      </c>
      <c r="O5547">
        <v>20.100000000000001</v>
      </c>
      <c r="P5547">
        <v>24.6</v>
      </c>
      <c r="Q5547">
        <v>19.899999999999999</v>
      </c>
      <c r="R5547">
        <v>25</v>
      </c>
      <c r="S5547">
        <v>18.600000000000001</v>
      </c>
      <c r="T5547">
        <v>1438.86</v>
      </c>
      <c r="U5547">
        <v>265.98009999999999</v>
      </c>
      <c r="V5547">
        <v>18</v>
      </c>
      <c r="W5547">
        <v>78.980069999999998</v>
      </c>
      <c r="X5547">
        <v>756.9402</v>
      </c>
      <c r="Y5547">
        <v>82</v>
      </c>
      <c r="Z5547">
        <v>418.96010000000001</v>
      </c>
      <c r="AA5547">
        <v>108</v>
      </c>
      <c r="AB5547">
        <v>26.092030000000001</v>
      </c>
      <c r="AC5547">
        <v>1.3365139999999999E-2</v>
      </c>
      <c r="AD5547">
        <v>4.6074380000000001</v>
      </c>
      <c r="AE5547">
        <v>0.2154713</v>
      </c>
      <c r="AF5547">
        <v>571.86540000000002</v>
      </c>
      <c r="AG5547">
        <f>IFERROR(AH5547*0.1, "N/A")</f>
        <v>6.1980070000000005</v>
      </c>
      <c r="AH5547">
        <v>61.980069999999998</v>
      </c>
      <c r="AI5547">
        <v>240.3586</v>
      </c>
      <c r="AJ5547">
        <v>31.66113</v>
      </c>
      <c r="AK5547">
        <v>53.212620000000001</v>
      </c>
    </row>
    <row r="5548" spans="1:37" x14ac:dyDescent="0.3">
      <c r="A5548">
        <v>5547</v>
      </c>
      <c r="B5548">
        <v>10</v>
      </c>
      <c r="C5548">
        <v>35.433900000000001</v>
      </c>
      <c r="D5548">
        <v>-16.319199999999999</v>
      </c>
      <c r="E5548" t="s">
        <v>8913</v>
      </c>
      <c r="F5548" t="s">
        <v>8915</v>
      </c>
      <c r="G5548" t="s">
        <v>37</v>
      </c>
      <c r="H5548">
        <v>1956</v>
      </c>
      <c r="I5548">
        <v>22.4</v>
      </c>
      <c r="J5548">
        <v>11.9</v>
      </c>
      <c r="K5548">
        <v>59</v>
      </c>
      <c r="L5548">
        <v>25.851199999999999</v>
      </c>
      <c r="M5548">
        <v>32.1</v>
      </c>
      <c r="N5548">
        <v>12</v>
      </c>
      <c r="O5548">
        <v>20.100000000000001</v>
      </c>
      <c r="P5548">
        <v>24.6</v>
      </c>
      <c r="Q5548">
        <v>19.899999999999999</v>
      </c>
      <c r="R5548">
        <v>25</v>
      </c>
      <c r="S5548">
        <v>18.600000000000001</v>
      </c>
      <c r="T5548">
        <v>1438.86</v>
      </c>
      <c r="U5548">
        <v>265.98009999999999</v>
      </c>
      <c r="V5548">
        <v>18</v>
      </c>
      <c r="W5548">
        <v>78.980069999999998</v>
      </c>
      <c r="X5548">
        <v>756.9402</v>
      </c>
      <c r="Y5548">
        <v>82</v>
      </c>
      <c r="Z5548">
        <v>418.96010000000001</v>
      </c>
      <c r="AA5548">
        <v>108</v>
      </c>
      <c r="AB5548">
        <v>26.092030000000001</v>
      </c>
      <c r="AC5548">
        <v>1.3365139999999999E-2</v>
      </c>
      <c r="AD5548">
        <v>4.6074380000000001</v>
      </c>
      <c r="AE5548">
        <v>0.2154713</v>
      </c>
      <c r="AF5548">
        <v>571.86540000000002</v>
      </c>
      <c r="AG5548">
        <f>IFERROR(AH5548*0.1, "N/A")</f>
        <v>6.1980070000000005</v>
      </c>
      <c r="AH5548">
        <v>61.980069999999998</v>
      </c>
      <c r="AI5548">
        <v>240.3586</v>
      </c>
      <c r="AJ5548">
        <v>31.66113</v>
      </c>
      <c r="AK5548">
        <v>53.212620000000001</v>
      </c>
    </row>
    <row r="5549" spans="1:37" x14ac:dyDescent="0.3">
      <c r="A5549">
        <v>5548</v>
      </c>
      <c r="B5549">
        <v>95</v>
      </c>
      <c r="C5549">
        <v>37.300600000000003</v>
      </c>
      <c r="D5549">
        <v>-16.283899999999999</v>
      </c>
      <c r="E5549" t="s">
        <v>8916</v>
      </c>
      <c r="F5549" t="s">
        <v>8917</v>
      </c>
      <c r="G5549" t="s">
        <v>39</v>
      </c>
      <c r="H5549">
        <v>1956</v>
      </c>
      <c r="I5549">
        <v>23.739339999999999</v>
      </c>
      <c r="J5549">
        <v>11.90066</v>
      </c>
      <c r="K5549">
        <v>56</v>
      </c>
      <c r="L5549">
        <v>26.303799999999999</v>
      </c>
      <c r="M5549">
        <v>33.837519999999998</v>
      </c>
      <c r="N5549">
        <v>12.639340000000001</v>
      </c>
      <c r="O5549">
        <v>21.198180000000001</v>
      </c>
      <c r="P5549">
        <v>25.697690000000001</v>
      </c>
      <c r="Q5549">
        <v>23.239339999999999</v>
      </c>
      <c r="R5549">
        <v>26.27984</v>
      </c>
      <c r="S5549">
        <v>19.779170000000001</v>
      </c>
      <c r="T5549">
        <v>1510.9739999999999</v>
      </c>
      <c r="U5549">
        <v>296.21319999999997</v>
      </c>
      <c r="V5549">
        <v>18</v>
      </c>
      <c r="W5549">
        <v>83</v>
      </c>
      <c r="X5549">
        <v>839.06780000000003</v>
      </c>
      <c r="Y5549">
        <v>73.023139999999998</v>
      </c>
      <c r="Z5549">
        <v>375.24790000000002</v>
      </c>
      <c r="AA5549">
        <v>112.0347</v>
      </c>
      <c r="AB5549">
        <v>27.043980000000001</v>
      </c>
      <c r="AC5549">
        <v>1.011159E-2</v>
      </c>
      <c r="AD5549">
        <v>5.4580130000000002</v>
      </c>
      <c r="AE5549">
        <v>0.224692</v>
      </c>
      <c r="AF5549">
        <v>395.36360000000002</v>
      </c>
      <c r="AG5549">
        <f>IFERROR(AH5549*0.1, "N/A")</f>
        <v>5.8595040000000003</v>
      </c>
      <c r="AH5549">
        <v>58.595039999999997</v>
      </c>
      <c r="AI5549">
        <v>49.549129999999998</v>
      </c>
      <c r="AJ5549">
        <v>19.190079999999998</v>
      </c>
      <c r="AK5549">
        <v>71.803309999999996</v>
      </c>
    </row>
    <row r="5550" spans="1:37" x14ac:dyDescent="0.3">
      <c r="A5550">
        <v>5549</v>
      </c>
      <c r="B5550">
        <v>0</v>
      </c>
      <c r="C5550">
        <v>37.300600000000003</v>
      </c>
      <c r="D5550">
        <v>-16.283899999999999</v>
      </c>
      <c r="E5550" t="s">
        <v>8916</v>
      </c>
      <c r="F5550" t="s">
        <v>8918</v>
      </c>
      <c r="G5550" t="s">
        <v>37</v>
      </c>
      <c r="H5550">
        <v>1956</v>
      </c>
      <c r="I5550">
        <v>23.739339999999999</v>
      </c>
      <c r="J5550">
        <v>11.90066</v>
      </c>
      <c r="K5550">
        <v>56</v>
      </c>
      <c r="L5550">
        <v>26.303799999999999</v>
      </c>
      <c r="M5550">
        <v>33.837519999999998</v>
      </c>
      <c r="N5550">
        <v>12.639340000000001</v>
      </c>
      <c r="O5550">
        <v>21.198180000000001</v>
      </c>
      <c r="P5550">
        <v>25.697690000000001</v>
      </c>
      <c r="Q5550">
        <v>23.239339999999999</v>
      </c>
      <c r="R5550">
        <v>26.27984</v>
      </c>
      <c r="S5550">
        <v>19.779170000000001</v>
      </c>
      <c r="T5550">
        <v>1510.9739999999999</v>
      </c>
      <c r="U5550">
        <v>296.21319999999997</v>
      </c>
      <c r="V5550">
        <v>18</v>
      </c>
      <c r="W5550">
        <v>83</v>
      </c>
      <c r="X5550">
        <v>839.06780000000003</v>
      </c>
      <c r="Y5550">
        <v>73.023139999999998</v>
      </c>
      <c r="Z5550">
        <v>375.24790000000002</v>
      </c>
      <c r="AA5550">
        <v>112.0347</v>
      </c>
      <c r="AB5550">
        <v>27.043980000000001</v>
      </c>
      <c r="AC5550">
        <v>1.011159E-2</v>
      </c>
      <c r="AD5550">
        <v>5.4580130000000002</v>
      </c>
      <c r="AE5550">
        <v>0.224692</v>
      </c>
      <c r="AF5550">
        <v>395.36360000000002</v>
      </c>
      <c r="AG5550">
        <f>IFERROR(AH5550*0.1, "N/A")</f>
        <v>5.8595040000000003</v>
      </c>
      <c r="AH5550">
        <v>58.595039999999997</v>
      </c>
      <c r="AI5550">
        <v>49.549129999999998</v>
      </c>
      <c r="AJ5550">
        <v>19.190079999999998</v>
      </c>
      <c r="AK5550">
        <v>71.803309999999996</v>
      </c>
    </row>
    <row r="5551" spans="1:37" x14ac:dyDescent="0.3">
      <c r="A5551">
        <v>5550</v>
      </c>
      <c r="B5551">
        <v>85</v>
      </c>
      <c r="C5551">
        <v>36.951099999999997</v>
      </c>
      <c r="D5551">
        <v>-16.278300000000002</v>
      </c>
      <c r="E5551" t="s">
        <v>8919</v>
      </c>
      <c r="F5551" t="s">
        <v>8920</v>
      </c>
      <c r="G5551" t="s">
        <v>39</v>
      </c>
      <c r="H5551">
        <v>1956</v>
      </c>
      <c r="I5551">
        <v>24.2</v>
      </c>
      <c r="J5551">
        <v>12.6</v>
      </c>
      <c r="K5551">
        <v>60.031559999999999</v>
      </c>
      <c r="L5551">
        <v>23.820630000000001</v>
      </c>
      <c r="M5551">
        <v>34.496839999999999</v>
      </c>
      <c r="N5551">
        <v>13.8</v>
      </c>
      <c r="O5551">
        <v>20.696840000000002</v>
      </c>
      <c r="P5551">
        <v>25.803159999999998</v>
      </c>
      <c r="Q5551">
        <v>23.996839999999999</v>
      </c>
      <c r="R5551">
        <v>26.6</v>
      </c>
      <c r="S5551">
        <v>20.6</v>
      </c>
      <c r="T5551">
        <v>1593.1890000000001</v>
      </c>
      <c r="U5551">
        <v>300.03160000000003</v>
      </c>
      <c r="V5551">
        <v>20.031559999999999</v>
      </c>
      <c r="W5551">
        <v>82</v>
      </c>
      <c r="X5551">
        <v>866.06309999999996</v>
      </c>
      <c r="Y5551">
        <v>81.031559999999999</v>
      </c>
      <c r="Z5551">
        <v>419.06310000000002</v>
      </c>
      <c r="AA5551">
        <v>113</v>
      </c>
      <c r="AB5551">
        <v>12.84553</v>
      </c>
      <c r="AC5551">
        <v>8.2662099999999995E-3</v>
      </c>
      <c r="AD5551">
        <v>2.3346079999999998</v>
      </c>
      <c r="AE5551">
        <v>0.1018614</v>
      </c>
      <c r="AF5551">
        <v>343.49169999999998</v>
      </c>
      <c r="AG5551">
        <f>IFERROR(AH5551*0.1, "N/A")</f>
        <v>5.9031560000000001</v>
      </c>
      <c r="AH5551">
        <v>59.031559999999999</v>
      </c>
      <c r="AI5551">
        <v>116.7482</v>
      </c>
      <c r="AJ5551">
        <v>21.02824</v>
      </c>
      <c r="AK5551">
        <v>67.006640000000004</v>
      </c>
    </row>
    <row r="5552" spans="1:37" x14ac:dyDescent="0.3">
      <c r="A5552">
        <v>5551</v>
      </c>
      <c r="B5552">
        <v>10</v>
      </c>
      <c r="C5552">
        <v>36.951099999999997</v>
      </c>
      <c r="D5552">
        <v>-16.278300000000002</v>
      </c>
      <c r="E5552" t="s">
        <v>8919</v>
      </c>
      <c r="F5552" t="s">
        <v>8921</v>
      </c>
      <c r="G5552" t="s">
        <v>37</v>
      </c>
      <c r="H5552">
        <v>1956</v>
      </c>
      <c r="I5552">
        <v>24.2</v>
      </c>
      <c r="J5552">
        <v>12.6</v>
      </c>
      <c r="K5552">
        <v>60.031559999999999</v>
      </c>
      <c r="L5552">
        <v>23.820630000000001</v>
      </c>
      <c r="M5552">
        <v>34.496839999999999</v>
      </c>
      <c r="N5552">
        <v>13.8</v>
      </c>
      <c r="O5552">
        <v>20.696840000000002</v>
      </c>
      <c r="P5552">
        <v>25.803159999999998</v>
      </c>
      <c r="Q5552">
        <v>23.996839999999999</v>
      </c>
      <c r="R5552">
        <v>26.6</v>
      </c>
      <c r="S5552">
        <v>20.6</v>
      </c>
      <c r="T5552">
        <v>1593.1890000000001</v>
      </c>
      <c r="U5552">
        <v>300.03160000000003</v>
      </c>
      <c r="V5552">
        <v>20.031559999999999</v>
      </c>
      <c r="W5552">
        <v>82</v>
      </c>
      <c r="X5552">
        <v>866.06309999999996</v>
      </c>
      <c r="Y5552">
        <v>81.031559999999999</v>
      </c>
      <c r="Z5552">
        <v>419.06310000000002</v>
      </c>
      <c r="AA5552">
        <v>113</v>
      </c>
      <c r="AB5552">
        <v>12.84553</v>
      </c>
      <c r="AC5552">
        <v>8.2662099999999995E-3</v>
      </c>
      <c r="AD5552">
        <v>2.3346079999999998</v>
      </c>
      <c r="AE5552">
        <v>0.1018614</v>
      </c>
      <c r="AF5552">
        <v>343.49169999999998</v>
      </c>
      <c r="AG5552">
        <f>IFERROR(AH5552*0.1, "N/A")</f>
        <v>5.9031560000000001</v>
      </c>
      <c r="AH5552">
        <v>59.031559999999999</v>
      </c>
      <c r="AI5552">
        <v>116.7482</v>
      </c>
      <c r="AJ5552">
        <v>21.02824</v>
      </c>
      <c r="AK5552">
        <v>67.006640000000004</v>
      </c>
    </row>
    <row r="5553" spans="1:37" x14ac:dyDescent="0.3">
      <c r="A5553">
        <v>5552</v>
      </c>
      <c r="B5553">
        <v>100</v>
      </c>
      <c r="C5553">
        <v>37.229199999999999</v>
      </c>
      <c r="D5553">
        <v>-16.274999999999999</v>
      </c>
      <c r="E5553" t="s">
        <v>8922</v>
      </c>
      <c r="F5553" t="s">
        <v>8923</v>
      </c>
      <c r="G5553" t="s">
        <v>39</v>
      </c>
      <c r="H5553">
        <v>1956</v>
      </c>
      <c r="I5553">
        <v>24.266449999999999</v>
      </c>
      <c r="J5553">
        <v>12.1</v>
      </c>
      <c r="K5553">
        <v>56</v>
      </c>
      <c r="L5553">
        <v>26.14658</v>
      </c>
      <c r="M5553">
        <v>34.466450000000002</v>
      </c>
      <c r="N5553">
        <v>13.166449999999999</v>
      </c>
      <c r="O5553">
        <v>21.3</v>
      </c>
      <c r="P5553">
        <v>26.06645</v>
      </c>
      <c r="Q5553">
        <v>23.8</v>
      </c>
      <c r="R5553">
        <v>26.766449999999999</v>
      </c>
      <c r="S5553">
        <v>20.266449999999999</v>
      </c>
      <c r="T5553">
        <v>1479.691</v>
      </c>
      <c r="U5553">
        <v>290.33550000000002</v>
      </c>
      <c r="V5553">
        <v>17.335540000000002</v>
      </c>
      <c r="W5553">
        <v>83.335539999999995</v>
      </c>
      <c r="X5553">
        <v>821.67769999999996</v>
      </c>
      <c r="Y5553">
        <v>71.67107</v>
      </c>
      <c r="Z5553">
        <v>372.67110000000002</v>
      </c>
      <c r="AA5553">
        <v>106.6711</v>
      </c>
      <c r="AB5553">
        <v>14.72035</v>
      </c>
      <c r="AC5553">
        <v>3.910454E-2</v>
      </c>
      <c r="AD5553">
        <v>2.3930539999999998</v>
      </c>
      <c r="AE5553">
        <v>0.2137859</v>
      </c>
      <c r="AF5553">
        <v>310.78179999999998</v>
      </c>
      <c r="AG5553">
        <f>IFERROR(AH5553*0.1, "N/A")</f>
        <v>6.2021490000000004</v>
      </c>
      <c r="AH5553">
        <v>62.02149</v>
      </c>
      <c r="AI5553">
        <v>122.5029</v>
      </c>
      <c r="AJ5553">
        <v>18.224789999999999</v>
      </c>
      <c r="AK5553">
        <v>70.752070000000003</v>
      </c>
    </row>
    <row r="5554" spans="1:37" x14ac:dyDescent="0.3">
      <c r="A5554">
        <v>5553</v>
      </c>
      <c r="B5554">
        <v>5</v>
      </c>
      <c r="C5554">
        <v>37.229199999999999</v>
      </c>
      <c r="D5554">
        <v>-16.274999999999999</v>
      </c>
      <c r="E5554" t="s">
        <v>8922</v>
      </c>
      <c r="F5554" t="s">
        <v>8924</v>
      </c>
      <c r="G5554" t="s">
        <v>37</v>
      </c>
      <c r="H5554">
        <v>1956</v>
      </c>
      <c r="I5554">
        <v>24.266449999999999</v>
      </c>
      <c r="J5554">
        <v>12.1</v>
      </c>
      <c r="K5554">
        <v>56</v>
      </c>
      <c r="L5554">
        <v>26.14658</v>
      </c>
      <c r="M5554">
        <v>34.466450000000002</v>
      </c>
      <c r="N5554">
        <v>13.166449999999999</v>
      </c>
      <c r="O5554">
        <v>21.3</v>
      </c>
      <c r="P5554">
        <v>26.06645</v>
      </c>
      <c r="Q5554">
        <v>23.8</v>
      </c>
      <c r="R5554">
        <v>26.766449999999999</v>
      </c>
      <c r="S5554">
        <v>20.266449999999999</v>
      </c>
      <c r="T5554">
        <v>1479.691</v>
      </c>
      <c r="U5554">
        <v>290.33550000000002</v>
      </c>
      <c r="V5554">
        <v>17.335540000000002</v>
      </c>
      <c r="W5554">
        <v>83.335539999999995</v>
      </c>
      <c r="X5554">
        <v>821.67769999999996</v>
      </c>
      <c r="Y5554">
        <v>71.67107</v>
      </c>
      <c r="Z5554">
        <v>372.67110000000002</v>
      </c>
      <c r="AA5554">
        <v>106.6711</v>
      </c>
      <c r="AB5554">
        <v>14.72035</v>
      </c>
      <c r="AC5554">
        <v>3.910454E-2</v>
      </c>
      <c r="AD5554">
        <v>2.3930539999999998</v>
      </c>
      <c r="AE5554">
        <v>0.2137859</v>
      </c>
      <c r="AF5554">
        <v>310.78179999999998</v>
      </c>
      <c r="AG5554">
        <f>IFERROR(AH5554*0.1, "N/A")</f>
        <v>6.2021490000000004</v>
      </c>
      <c r="AH5554">
        <v>62.02149</v>
      </c>
      <c r="AI5554">
        <v>122.5029</v>
      </c>
      <c r="AJ5554">
        <v>18.224789999999999</v>
      </c>
      <c r="AK5554">
        <v>70.752070000000003</v>
      </c>
    </row>
    <row r="5555" spans="1:37" x14ac:dyDescent="0.3">
      <c r="A5555">
        <v>5554</v>
      </c>
      <c r="B5555">
        <v>90</v>
      </c>
      <c r="C5555">
        <v>35.735799999999998</v>
      </c>
      <c r="D5555">
        <v>-16.2578</v>
      </c>
      <c r="E5555" t="s">
        <v>8925</v>
      </c>
      <c r="F5555" t="s">
        <v>8926</v>
      </c>
      <c r="G5555" t="s">
        <v>39</v>
      </c>
      <c r="H5555">
        <v>1956</v>
      </c>
      <c r="I5555">
        <v>22.3</v>
      </c>
      <c r="J5555">
        <v>12.1</v>
      </c>
      <c r="K5555">
        <v>62</v>
      </c>
      <c r="L5555">
        <v>21.96</v>
      </c>
      <c r="M5555">
        <v>31.9</v>
      </c>
      <c r="N5555">
        <v>12.5</v>
      </c>
      <c r="O5555">
        <v>19.399999999999999</v>
      </c>
      <c r="P5555">
        <v>23.8</v>
      </c>
      <c r="Q5555">
        <v>22</v>
      </c>
      <c r="R5555">
        <v>24.5</v>
      </c>
      <c r="S5555">
        <v>19</v>
      </c>
      <c r="T5555">
        <v>1697</v>
      </c>
      <c r="U5555">
        <v>302</v>
      </c>
      <c r="V5555">
        <v>25</v>
      </c>
      <c r="W5555">
        <v>75</v>
      </c>
      <c r="X5555">
        <v>867</v>
      </c>
      <c r="Y5555">
        <v>109</v>
      </c>
      <c r="Z5555">
        <v>456</v>
      </c>
      <c r="AA5555">
        <v>149</v>
      </c>
      <c r="AB5555">
        <v>30.50665</v>
      </c>
      <c r="AC5555">
        <v>1.018404E-2</v>
      </c>
      <c r="AD5555">
        <v>1.1762999999999999</v>
      </c>
      <c r="AE5555">
        <v>0.2077551</v>
      </c>
      <c r="AF5555">
        <v>665.68539999999996</v>
      </c>
      <c r="AG5555">
        <f>IFERROR(AH5555*0.1, "N/A")</f>
        <v>5.7</v>
      </c>
      <c r="AH5555">
        <v>57</v>
      </c>
      <c r="AI5555">
        <v>282.17759999999998</v>
      </c>
      <c r="AJ5555">
        <v>27</v>
      </c>
      <c r="AK5555">
        <v>60.993380000000002</v>
      </c>
    </row>
    <row r="5556" spans="1:37" x14ac:dyDescent="0.3">
      <c r="A5556">
        <v>5555</v>
      </c>
      <c r="B5556">
        <v>0</v>
      </c>
      <c r="C5556">
        <v>35.735799999999998</v>
      </c>
      <c r="D5556">
        <v>-16.2578</v>
      </c>
      <c r="E5556" t="s">
        <v>8925</v>
      </c>
      <c r="F5556" t="s">
        <v>8927</v>
      </c>
      <c r="G5556" t="s">
        <v>37</v>
      </c>
      <c r="H5556">
        <v>1956</v>
      </c>
      <c r="I5556">
        <v>22.3</v>
      </c>
      <c r="J5556">
        <v>12.1</v>
      </c>
      <c r="K5556">
        <v>62</v>
      </c>
      <c r="L5556">
        <v>21.96</v>
      </c>
      <c r="M5556">
        <v>31.9</v>
      </c>
      <c r="N5556">
        <v>12.5</v>
      </c>
      <c r="O5556">
        <v>19.399999999999999</v>
      </c>
      <c r="P5556">
        <v>23.8</v>
      </c>
      <c r="Q5556">
        <v>22</v>
      </c>
      <c r="R5556">
        <v>24.5</v>
      </c>
      <c r="S5556">
        <v>19</v>
      </c>
      <c r="T5556">
        <v>1697</v>
      </c>
      <c r="U5556">
        <v>302</v>
      </c>
      <c r="V5556">
        <v>25</v>
      </c>
      <c r="W5556">
        <v>75</v>
      </c>
      <c r="X5556">
        <v>867</v>
      </c>
      <c r="Y5556">
        <v>109</v>
      </c>
      <c r="Z5556">
        <v>456</v>
      </c>
      <c r="AA5556">
        <v>149</v>
      </c>
      <c r="AB5556">
        <v>30.50665</v>
      </c>
      <c r="AC5556">
        <v>1.018404E-2</v>
      </c>
      <c r="AD5556">
        <v>1.1762999999999999</v>
      </c>
      <c r="AE5556">
        <v>0.2077551</v>
      </c>
      <c r="AF5556">
        <v>665.68539999999996</v>
      </c>
      <c r="AG5556">
        <f>IFERROR(AH5556*0.1, "N/A")</f>
        <v>5.7</v>
      </c>
      <c r="AH5556">
        <v>57</v>
      </c>
      <c r="AI5556">
        <v>282.17759999999998</v>
      </c>
      <c r="AJ5556">
        <v>27</v>
      </c>
      <c r="AK5556">
        <v>60.993380000000002</v>
      </c>
    </row>
    <row r="5557" spans="1:37" x14ac:dyDescent="0.3">
      <c r="A5557">
        <v>5556</v>
      </c>
      <c r="B5557">
        <v>91.3</v>
      </c>
      <c r="C5557">
        <v>39.910600000000002</v>
      </c>
      <c r="D5557">
        <v>-16.230699999999999</v>
      </c>
      <c r="E5557" t="s">
        <v>8928</v>
      </c>
      <c r="F5557" t="s">
        <v>8929</v>
      </c>
      <c r="G5557" t="s">
        <v>39</v>
      </c>
      <c r="H5557">
        <v>1957</v>
      </c>
      <c r="I5557">
        <v>25.8</v>
      </c>
      <c r="J5557">
        <v>9.9</v>
      </c>
      <c r="K5557">
        <v>61</v>
      </c>
      <c r="L5557">
        <v>21.49</v>
      </c>
      <c r="M5557">
        <v>33.1</v>
      </c>
      <c r="N5557">
        <v>17</v>
      </c>
      <c r="O5557">
        <v>16.100000000000001</v>
      </c>
      <c r="P5557">
        <v>27.6</v>
      </c>
      <c r="Q5557">
        <v>24.6</v>
      </c>
      <c r="R5557">
        <v>28.1</v>
      </c>
      <c r="S5557">
        <v>22.6</v>
      </c>
      <c r="T5557">
        <v>1137</v>
      </c>
      <c r="U5557">
        <v>234</v>
      </c>
      <c r="V5557">
        <v>7</v>
      </c>
      <c r="W5557">
        <v>80</v>
      </c>
      <c r="X5557">
        <v>610</v>
      </c>
      <c r="Y5557">
        <v>36</v>
      </c>
      <c r="Z5557">
        <v>546</v>
      </c>
      <c r="AA5557">
        <v>118</v>
      </c>
      <c r="AB5557">
        <v>13.16273</v>
      </c>
      <c r="AC5557">
        <v>9.4026170000000003E-3</v>
      </c>
      <c r="AD5557">
        <v>2.4096519999999999</v>
      </c>
      <c r="AE5557">
        <v>0.52043839999999997</v>
      </c>
      <c r="AF5557">
        <v>10.08319</v>
      </c>
      <c r="AG5557">
        <f>IFERROR(AH5557*0.1, "N/A")</f>
        <v>5.9427620000000001</v>
      </c>
      <c r="AH5557">
        <v>59.427619999999997</v>
      </c>
      <c r="AI5557">
        <v>190.2388</v>
      </c>
      <c r="AJ5557">
        <v>23.717140000000001</v>
      </c>
      <c r="AK5557">
        <v>61.567390000000003</v>
      </c>
    </row>
    <row r="5558" spans="1:37" x14ac:dyDescent="0.3">
      <c r="A5558">
        <v>5557</v>
      </c>
      <c r="B5558">
        <v>0</v>
      </c>
      <c r="C5558">
        <v>39.910600000000002</v>
      </c>
      <c r="D5558">
        <v>-16.230699999999999</v>
      </c>
      <c r="E5558" t="s">
        <v>8928</v>
      </c>
      <c r="F5558" t="s">
        <v>8930</v>
      </c>
      <c r="G5558" t="s">
        <v>37</v>
      </c>
      <c r="H5558">
        <v>1957</v>
      </c>
      <c r="I5558">
        <v>25.8</v>
      </c>
      <c r="J5558">
        <v>9.9</v>
      </c>
      <c r="K5558">
        <v>61</v>
      </c>
      <c r="L5558">
        <v>21.49</v>
      </c>
      <c r="M5558">
        <v>33.1</v>
      </c>
      <c r="N5558">
        <v>17</v>
      </c>
      <c r="O5558">
        <v>16.100000000000001</v>
      </c>
      <c r="P5558">
        <v>27.6</v>
      </c>
      <c r="Q5558">
        <v>24.6</v>
      </c>
      <c r="R5558">
        <v>28.1</v>
      </c>
      <c r="S5558">
        <v>22.6</v>
      </c>
      <c r="T5558">
        <v>1137</v>
      </c>
      <c r="U5558">
        <v>234</v>
      </c>
      <c r="V5558">
        <v>7</v>
      </c>
      <c r="W5558">
        <v>80</v>
      </c>
      <c r="X5558">
        <v>610</v>
      </c>
      <c r="Y5558">
        <v>36</v>
      </c>
      <c r="Z5558">
        <v>546</v>
      </c>
      <c r="AA5558">
        <v>118</v>
      </c>
      <c r="AB5558">
        <v>13.16273</v>
      </c>
      <c r="AC5558">
        <v>9.4026170000000003E-3</v>
      </c>
      <c r="AD5558">
        <v>2.4096519999999999</v>
      </c>
      <c r="AE5558">
        <v>0.52043839999999997</v>
      </c>
      <c r="AF5558">
        <v>10.08319</v>
      </c>
      <c r="AG5558">
        <f>IFERROR(AH5558*0.1, "N/A")</f>
        <v>5.9427620000000001</v>
      </c>
      <c r="AH5558">
        <v>59.427619999999997</v>
      </c>
      <c r="AI5558">
        <v>190.2388</v>
      </c>
      <c r="AJ5558">
        <v>23.717140000000001</v>
      </c>
      <c r="AK5558">
        <v>61.567390000000003</v>
      </c>
    </row>
    <row r="5559" spans="1:37" x14ac:dyDescent="0.3">
      <c r="A5559">
        <v>5558</v>
      </c>
      <c r="B5559">
        <v>90</v>
      </c>
      <c r="C5559">
        <v>37.361699999999999</v>
      </c>
      <c r="D5559">
        <v>-16.209199999999999</v>
      </c>
      <c r="E5559" t="s">
        <v>8931</v>
      </c>
      <c r="F5559" t="s">
        <v>8932</v>
      </c>
      <c r="G5559" t="s">
        <v>39</v>
      </c>
      <c r="H5559">
        <v>1956</v>
      </c>
      <c r="I5559">
        <v>23.8</v>
      </c>
      <c r="J5559">
        <v>11.9</v>
      </c>
      <c r="K5559">
        <v>55</v>
      </c>
      <c r="L5559">
        <v>26.59</v>
      </c>
      <c r="M5559">
        <v>33.9</v>
      </c>
      <c r="N5559">
        <v>12.6</v>
      </c>
      <c r="O5559">
        <v>21.3</v>
      </c>
      <c r="P5559">
        <v>25.8</v>
      </c>
      <c r="Q5559">
        <v>23.3</v>
      </c>
      <c r="R5559">
        <v>26.4</v>
      </c>
      <c r="S5559">
        <v>19.8</v>
      </c>
      <c r="T5559">
        <v>1487</v>
      </c>
      <c r="U5559">
        <v>294</v>
      </c>
      <c r="V5559">
        <v>17</v>
      </c>
      <c r="W5559">
        <v>85</v>
      </c>
      <c r="X5559">
        <v>834</v>
      </c>
      <c r="Y5559">
        <v>70</v>
      </c>
      <c r="Z5559">
        <v>366</v>
      </c>
      <c r="AA5559">
        <v>109</v>
      </c>
      <c r="AB5559">
        <v>26.128250000000001</v>
      </c>
      <c r="AC5559">
        <v>1.249143E-2</v>
      </c>
      <c r="AD5559">
        <v>3.4621490000000001</v>
      </c>
      <c r="AE5559">
        <v>0.21341570000000001</v>
      </c>
      <c r="AF5559">
        <v>385.50740000000002</v>
      </c>
      <c r="AG5559">
        <f>IFERROR(AH5559*0.1, "N/A")</f>
        <v>5.7479340000000008</v>
      </c>
      <c r="AH5559">
        <v>57.479340000000001</v>
      </c>
      <c r="AI5559">
        <v>27.974019999999999</v>
      </c>
      <c r="AJ5559">
        <v>21.479340000000001</v>
      </c>
      <c r="AK5559">
        <v>68.520660000000007</v>
      </c>
    </row>
    <row r="5560" spans="1:37" x14ac:dyDescent="0.3">
      <c r="A5560">
        <v>5559</v>
      </c>
      <c r="B5560">
        <v>5</v>
      </c>
      <c r="C5560">
        <v>37.361699999999999</v>
      </c>
      <c r="D5560">
        <v>-16.209199999999999</v>
      </c>
      <c r="E5560" t="s">
        <v>8931</v>
      </c>
      <c r="F5560" t="s">
        <v>8933</v>
      </c>
      <c r="G5560" t="s">
        <v>37</v>
      </c>
      <c r="H5560">
        <v>1956</v>
      </c>
      <c r="I5560">
        <v>23.8</v>
      </c>
      <c r="J5560">
        <v>11.9</v>
      </c>
      <c r="K5560">
        <v>55</v>
      </c>
      <c r="L5560">
        <v>26.59</v>
      </c>
      <c r="M5560">
        <v>33.9</v>
      </c>
      <c r="N5560">
        <v>12.6</v>
      </c>
      <c r="O5560">
        <v>21.3</v>
      </c>
      <c r="P5560">
        <v>25.8</v>
      </c>
      <c r="Q5560">
        <v>23.3</v>
      </c>
      <c r="R5560">
        <v>26.4</v>
      </c>
      <c r="S5560">
        <v>19.8</v>
      </c>
      <c r="T5560">
        <v>1487</v>
      </c>
      <c r="U5560">
        <v>294</v>
      </c>
      <c r="V5560">
        <v>17</v>
      </c>
      <c r="W5560">
        <v>85</v>
      </c>
      <c r="X5560">
        <v>834</v>
      </c>
      <c r="Y5560">
        <v>70</v>
      </c>
      <c r="Z5560">
        <v>366</v>
      </c>
      <c r="AA5560">
        <v>109</v>
      </c>
      <c r="AB5560">
        <v>26.128250000000001</v>
      </c>
      <c r="AC5560">
        <v>1.249143E-2</v>
      </c>
      <c r="AD5560">
        <v>3.4621490000000001</v>
      </c>
      <c r="AE5560">
        <v>0.21341570000000001</v>
      </c>
      <c r="AF5560">
        <v>385.50740000000002</v>
      </c>
      <c r="AG5560">
        <f>IFERROR(AH5560*0.1, "N/A")</f>
        <v>5.7479340000000008</v>
      </c>
      <c r="AH5560">
        <v>57.479340000000001</v>
      </c>
      <c r="AI5560">
        <v>27.974019999999999</v>
      </c>
      <c r="AJ5560">
        <v>21.479340000000001</v>
      </c>
      <c r="AK5560">
        <v>68.520660000000007</v>
      </c>
    </row>
    <row r="5561" spans="1:37" x14ac:dyDescent="0.3">
      <c r="A5561">
        <v>5560</v>
      </c>
      <c r="B5561">
        <v>100</v>
      </c>
      <c r="C5561">
        <v>38.345799999999997</v>
      </c>
      <c r="D5561">
        <v>-16.209199999999999</v>
      </c>
      <c r="E5561" t="s">
        <v>8934</v>
      </c>
      <c r="F5561" t="s">
        <v>8935</v>
      </c>
      <c r="G5561" t="s">
        <v>39</v>
      </c>
      <c r="H5561">
        <v>1956</v>
      </c>
      <c r="I5561">
        <v>24.7</v>
      </c>
      <c r="J5561">
        <v>10.9</v>
      </c>
      <c r="K5561">
        <v>60</v>
      </c>
      <c r="L5561">
        <v>24.6</v>
      </c>
      <c r="M5561">
        <v>33.299999999999997</v>
      </c>
      <c r="N5561">
        <v>15.3</v>
      </c>
      <c r="O5561">
        <v>18</v>
      </c>
      <c r="P5561">
        <v>26.7</v>
      </c>
      <c r="Q5561">
        <v>23.9</v>
      </c>
      <c r="R5561">
        <v>27</v>
      </c>
      <c r="S5561">
        <v>21</v>
      </c>
      <c r="T5561">
        <v>1292</v>
      </c>
      <c r="U5561">
        <v>270</v>
      </c>
      <c r="V5561">
        <v>12</v>
      </c>
      <c r="W5561">
        <v>86</v>
      </c>
      <c r="X5561">
        <v>747</v>
      </c>
      <c r="Y5561">
        <v>51</v>
      </c>
      <c r="Z5561">
        <v>534</v>
      </c>
      <c r="AA5561">
        <v>99</v>
      </c>
      <c r="AB5561">
        <v>22.753640000000001</v>
      </c>
      <c r="AC5561">
        <v>2.6098570000000001E-2</v>
      </c>
      <c r="AD5561">
        <v>2.871864</v>
      </c>
      <c r="AE5561">
        <v>0.18549470000000001</v>
      </c>
      <c r="AF5561">
        <v>236.46029999999999</v>
      </c>
      <c r="AG5561">
        <f>IFERROR(AH5561*0.1, "N/A")</f>
        <v>5.9672190000000001</v>
      </c>
      <c r="AH5561">
        <v>59.672190000000001</v>
      </c>
      <c r="AI5561">
        <v>134.25559999999999</v>
      </c>
      <c r="AJ5561">
        <v>17.081130000000002</v>
      </c>
      <c r="AK5561">
        <v>73.685429999999997</v>
      </c>
    </row>
    <row r="5562" spans="1:37" x14ac:dyDescent="0.3">
      <c r="A5562">
        <v>5561</v>
      </c>
      <c r="B5562">
        <v>5</v>
      </c>
      <c r="C5562">
        <v>38.345799999999997</v>
      </c>
      <c r="D5562">
        <v>-16.209199999999999</v>
      </c>
      <c r="E5562" t="s">
        <v>8934</v>
      </c>
      <c r="F5562" t="s">
        <v>8936</v>
      </c>
      <c r="G5562" t="s">
        <v>37</v>
      </c>
      <c r="H5562">
        <v>1956</v>
      </c>
      <c r="I5562">
        <v>24.7</v>
      </c>
      <c r="J5562">
        <v>10.9</v>
      </c>
      <c r="K5562">
        <v>60</v>
      </c>
      <c r="L5562">
        <v>24.6</v>
      </c>
      <c r="M5562">
        <v>33.299999999999997</v>
      </c>
      <c r="N5562">
        <v>15.3</v>
      </c>
      <c r="O5562">
        <v>18</v>
      </c>
      <c r="P5562">
        <v>26.7</v>
      </c>
      <c r="Q5562">
        <v>23.9</v>
      </c>
      <c r="R5562">
        <v>27</v>
      </c>
      <c r="S5562">
        <v>21</v>
      </c>
      <c r="T5562">
        <v>1292</v>
      </c>
      <c r="U5562">
        <v>270</v>
      </c>
      <c r="V5562">
        <v>12</v>
      </c>
      <c r="W5562">
        <v>86</v>
      </c>
      <c r="X5562">
        <v>747</v>
      </c>
      <c r="Y5562">
        <v>51</v>
      </c>
      <c r="Z5562">
        <v>534</v>
      </c>
      <c r="AA5562">
        <v>99</v>
      </c>
      <c r="AB5562">
        <v>22.753640000000001</v>
      </c>
      <c r="AC5562">
        <v>2.6098570000000001E-2</v>
      </c>
      <c r="AD5562">
        <v>2.871864</v>
      </c>
      <c r="AE5562">
        <v>0.18549470000000001</v>
      </c>
      <c r="AF5562">
        <v>236.46029999999999</v>
      </c>
      <c r="AG5562">
        <f>IFERROR(AH5562*0.1, "N/A")</f>
        <v>5.9672190000000001</v>
      </c>
      <c r="AH5562">
        <v>59.672190000000001</v>
      </c>
      <c r="AI5562">
        <v>134.25559999999999</v>
      </c>
      <c r="AJ5562">
        <v>17.081130000000002</v>
      </c>
      <c r="AK5562">
        <v>73.685429999999997</v>
      </c>
    </row>
    <row r="5563" spans="1:37" x14ac:dyDescent="0.3">
      <c r="A5563">
        <v>5562</v>
      </c>
      <c r="B5563">
        <v>80</v>
      </c>
      <c r="C5563">
        <v>36.828800000000001</v>
      </c>
      <c r="D5563">
        <v>-16.1828</v>
      </c>
      <c r="E5563" t="s">
        <v>8937</v>
      </c>
      <c r="F5563" t="s">
        <v>8938</v>
      </c>
      <c r="G5563" t="s">
        <v>39</v>
      </c>
      <c r="H5563">
        <v>1956</v>
      </c>
      <c r="I5563">
        <v>23.7</v>
      </c>
      <c r="J5563">
        <v>12.8</v>
      </c>
      <c r="K5563">
        <v>63</v>
      </c>
      <c r="L5563">
        <v>22.49342</v>
      </c>
      <c r="M5563">
        <v>33.879269999999998</v>
      </c>
      <c r="N5563">
        <v>13.6</v>
      </c>
      <c r="O5563">
        <v>20.27927</v>
      </c>
      <c r="P5563">
        <v>25.379270000000002</v>
      </c>
      <c r="Q5563">
        <v>23.4</v>
      </c>
      <c r="R5563">
        <v>25.879270000000002</v>
      </c>
      <c r="S5563">
        <v>20.379270000000002</v>
      </c>
      <c r="T5563">
        <v>1722.28</v>
      </c>
      <c r="U5563">
        <v>318.20729999999998</v>
      </c>
      <c r="V5563">
        <v>23</v>
      </c>
      <c r="W5563">
        <v>80.792699999999996</v>
      </c>
      <c r="X5563">
        <v>925.82920000000001</v>
      </c>
      <c r="Y5563">
        <v>90.207300000000004</v>
      </c>
      <c r="Z5563">
        <v>454.62189999999998</v>
      </c>
      <c r="AA5563">
        <v>122.41459999999999</v>
      </c>
      <c r="AB5563">
        <v>27.101680000000002</v>
      </c>
      <c r="AC5563">
        <v>1.3270250000000001E-2</v>
      </c>
      <c r="AD5563">
        <v>2.4235129999999998</v>
      </c>
      <c r="AE5563">
        <v>0.1735767</v>
      </c>
      <c r="AF5563">
        <v>451.30349999999999</v>
      </c>
      <c r="AG5563">
        <f>IFERROR(AH5563*0.1, "N/A")</f>
        <v>5.609121</v>
      </c>
      <c r="AH5563">
        <v>56.091209999999997</v>
      </c>
      <c r="AI5563">
        <v>233.3047</v>
      </c>
      <c r="AJ5563">
        <v>21.220559999999999</v>
      </c>
      <c r="AK5563">
        <v>70.235489999999999</v>
      </c>
    </row>
    <row r="5564" spans="1:37" x14ac:dyDescent="0.3">
      <c r="A5564">
        <v>5563</v>
      </c>
      <c r="B5564">
        <v>30</v>
      </c>
      <c r="C5564">
        <v>36.828800000000001</v>
      </c>
      <c r="D5564">
        <v>-16.1828</v>
      </c>
      <c r="E5564" t="s">
        <v>8937</v>
      </c>
      <c r="F5564" t="s">
        <v>8939</v>
      </c>
      <c r="G5564" t="s">
        <v>37</v>
      </c>
      <c r="H5564">
        <v>1956</v>
      </c>
      <c r="I5564">
        <v>23.7</v>
      </c>
      <c r="J5564">
        <v>12.8</v>
      </c>
      <c r="K5564">
        <v>63</v>
      </c>
      <c r="L5564">
        <v>22.49342</v>
      </c>
      <c r="M5564">
        <v>33.879269999999998</v>
      </c>
      <c r="N5564">
        <v>13.6</v>
      </c>
      <c r="O5564">
        <v>20.27927</v>
      </c>
      <c r="P5564">
        <v>25.379270000000002</v>
      </c>
      <c r="Q5564">
        <v>23.4</v>
      </c>
      <c r="R5564">
        <v>25.879270000000002</v>
      </c>
      <c r="S5564">
        <v>20.379270000000002</v>
      </c>
      <c r="T5564">
        <v>1722.28</v>
      </c>
      <c r="U5564">
        <v>318.20729999999998</v>
      </c>
      <c r="V5564">
        <v>23</v>
      </c>
      <c r="W5564">
        <v>80.792699999999996</v>
      </c>
      <c r="X5564">
        <v>925.82920000000001</v>
      </c>
      <c r="Y5564">
        <v>90.207300000000004</v>
      </c>
      <c r="Z5564">
        <v>454.62189999999998</v>
      </c>
      <c r="AA5564">
        <v>122.41459999999999</v>
      </c>
      <c r="AB5564">
        <v>27.101680000000002</v>
      </c>
      <c r="AC5564">
        <v>1.3270250000000001E-2</v>
      </c>
      <c r="AD5564">
        <v>2.4235129999999998</v>
      </c>
      <c r="AE5564">
        <v>0.1735767</v>
      </c>
      <c r="AF5564">
        <v>451.30349999999999</v>
      </c>
      <c r="AG5564">
        <f>IFERROR(AH5564*0.1, "N/A")</f>
        <v>5.609121</v>
      </c>
      <c r="AH5564">
        <v>56.091209999999997</v>
      </c>
      <c r="AI5564">
        <v>233.3047</v>
      </c>
      <c r="AJ5564">
        <v>21.220559999999999</v>
      </c>
      <c r="AK5564">
        <v>70.235489999999999</v>
      </c>
    </row>
    <row r="5565" spans="1:37" x14ac:dyDescent="0.3">
      <c r="A5565">
        <v>5564</v>
      </c>
      <c r="B5565">
        <v>85</v>
      </c>
      <c r="C5565">
        <v>35.689</v>
      </c>
      <c r="D5565">
        <v>-16.166399999999999</v>
      </c>
      <c r="E5565" t="s">
        <v>8940</v>
      </c>
      <c r="F5565" t="s">
        <v>8941</v>
      </c>
      <c r="G5565" t="s">
        <v>39</v>
      </c>
      <c r="H5565">
        <v>1956</v>
      </c>
      <c r="I5565">
        <v>22.1</v>
      </c>
      <c r="J5565">
        <v>12.2</v>
      </c>
      <c r="K5565">
        <v>60</v>
      </c>
      <c r="L5565">
        <v>24.768809999999998</v>
      </c>
      <c r="M5565">
        <v>31.9</v>
      </c>
      <c r="N5565">
        <v>11.8</v>
      </c>
      <c r="O5565">
        <v>20.100000000000001</v>
      </c>
      <c r="P5565">
        <v>24</v>
      </c>
      <c r="Q5565">
        <v>19.600000000000001</v>
      </c>
      <c r="R5565">
        <v>24.5</v>
      </c>
      <c r="S5565">
        <v>18.399999999999999</v>
      </c>
      <c r="T5565">
        <v>1690.94</v>
      </c>
      <c r="U5565">
        <v>302</v>
      </c>
      <c r="V5565">
        <v>24</v>
      </c>
      <c r="W5565">
        <v>75</v>
      </c>
      <c r="X5565">
        <v>864</v>
      </c>
      <c r="Y5565">
        <v>108</v>
      </c>
      <c r="Z5565">
        <v>456</v>
      </c>
      <c r="AA5565">
        <v>145</v>
      </c>
      <c r="AB5565">
        <v>10.226330000000001</v>
      </c>
      <c r="AC5565">
        <v>2.4825179999999999E-2</v>
      </c>
      <c r="AD5565">
        <v>1.8118190000000001</v>
      </c>
      <c r="AE5565">
        <v>0.22883110000000001</v>
      </c>
      <c r="AF5565">
        <v>611.447</v>
      </c>
      <c r="AG5565">
        <f>IFERROR(AH5565*0.1, "N/A")</f>
        <v>6.3630789999999999</v>
      </c>
      <c r="AH5565">
        <v>63.630789999999998</v>
      </c>
      <c r="AI5565">
        <v>38.244909999999997</v>
      </c>
      <c r="AJ5565">
        <v>28.261590000000002</v>
      </c>
      <c r="AK5565">
        <v>58</v>
      </c>
    </row>
    <row r="5566" spans="1:37" x14ac:dyDescent="0.3">
      <c r="A5566">
        <v>5565</v>
      </c>
      <c r="B5566">
        <v>0</v>
      </c>
      <c r="C5566">
        <v>35.689</v>
      </c>
      <c r="D5566">
        <v>-16.166399999999999</v>
      </c>
      <c r="E5566" t="s">
        <v>8940</v>
      </c>
      <c r="F5566" t="s">
        <v>8942</v>
      </c>
      <c r="G5566" t="s">
        <v>37</v>
      </c>
      <c r="H5566">
        <v>1956</v>
      </c>
      <c r="I5566">
        <v>22.1</v>
      </c>
      <c r="J5566">
        <v>12.2</v>
      </c>
      <c r="K5566">
        <v>60</v>
      </c>
      <c r="L5566">
        <v>24.768809999999998</v>
      </c>
      <c r="M5566">
        <v>31.9</v>
      </c>
      <c r="N5566">
        <v>11.8</v>
      </c>
      <c r="O5566">
        <v>20.100000000000001</v>
      </c>
      <c r="P5566">
        <v>24</v>
      </c>
      <c r="Q5566">
        <v>19.600000000000001</v>
      </c>
      <c r="R5566">
        <v>24.5</v>
      </c>
      <c r="S5566">
        <v>18.399999999999999</v>
      </c>
      <c r="T5566">
        <v>1690.94</v>
      </c>
      <c r="U5566">
        <v>302</v>
      </c>
      <c r="V5566">
        <v>24</v>
      </c>
      <c r="W5566">
        <v>75</v>
      </c>
      <c r="X5566">
        <v>864</v>
      </c>
      <c r="Y5566">
        <v>108</v>
      </c>
      <c r="Z5566">
        <v>456</v>
      </c>
      <c r="AA5566">
        <v>145</v>
      </c>
      <c r="AB5566">
        <v>10.226330000000001</v>
      </c>
      <c r="AC5566">
        <v>2.4825179999999999E-2</v>
      </c>
      <c r="AD5566">
        <v>1.8118190000000001</v>
      </c>
      <c r="AE5566">
        <v>0.22883110000000001</v>
      </c>
      <c r="AF5566">
        <v>611.447</v>
      </c>
      <c r="AG5566">
        <f>IFERROR(AH5566*0.1, "N/A")</f>
        <v>6.3630789999999999</v>
      </c>
      <c r="AH5566">
        <v>63.630789999999998</v>
      </c>
      <c r="AI5566">
        <v>38.244909999999997</v>
      </c>
      <c r="AJ5566">
        <v>28.261590000000002</v>
      </c>
      <c r="AK5566">
        <v>58</v>
      </c>
    </row>
    <row r="5567" spans="1:37" x14ac:dyDescent="0.3">
      <c r="A5567">
        <v>5566</v>
      </c>
      <c r="B5567">
        <v>0</v>
      </c>
      <c r="C5567">
        <v>33.7333</v>
      </c>
      <c r="D5567">
        <v>-16.116499999999998</v>
      </c>
      <c r="E5567" t="s">
        <v>8943</v>
      </c>
      <c r="F5567" t="s">
        <v>8944</v>
      </c>
      <c r="G5567" t="s">
        <v>39</v>
      </c>
      <c r="H5567">
        <v>1957</v>
      </c>
      <c r="I5567">
        <v>26.320959999999999</v>
      </c>
      <c r="J5567">
        <v>12.4</v>
      </c>
      <c r="K5567">
        <v>57</v>
      </c>
      <c r="L5567">
        <v>27.10539</v>
      </c>
      <c r="M5567">
        <v>36.700000000000003</v>
      </c>
      <c r="N5567">
        <v>15.12097</v>
      </c>
      <c r="O5567">
        <v>21.579039999999999</v>
      </c>
      <c r="P5567">
        <v>28.2</v>
      </c>
      <c r="Q5567">
        <v>23.920960000000001</v>
      </c>
      <c r="R5567">
        <v>29.3</v>
      </c>
      <c r="S5567">
        <v>22.365559999999999</v>
      </c>
      <c r="T5567">
        <v>685</v>
      </c>
      <c r="U5567">
        <v>175</v>
      </c>
      <c r="V5567">
        <v>3</v>
      </c>
      <c r="W5567">
        <v>112</v>
      </c>
      <c r="X5567">
        <v>478</v>
      </c>
      <c r="Y5567">
        <v>10</v>
      </c>
      <c r="Z5567">
        <v>212</v>
      </c>
      <c r="AA5567">
        <v>14</v>
      </c>
      <c r="AB5567">
        <v>19.979710000000001</v>
      </c>
      <c r="AC5567">
        <v>3.3693439999999998E-2</v>
      </c>
      <c r="AD5567">
        <v>2.5238909999999999</v>
      </c>
      <c r="AE5567">
        <v>0.62361330000000004</v>
      </c>
      <c r="AF5567">
        <v>181.04990000000001</v>
      </c>
      <c r="AG5567">
        <f>IFERROR(AH5567*0.1, "N/A")</f>
        <v>7.200666</v>
      </c>
      <c r="AH5567">
        <v>72.006659999999997</v>
      </c>
      <c r="AI5567">
        <v>169.00890000000001</v>
      </c>
      <c r="AJ5567">
        <v>28.637270000000001</v>
      </c>
      <c r="AK5567">
        <v>59.05491</v>
      </c>
    </row>
    <row r="5568" spans="1:37" x14ac:dyDescent="0.3">
      <c r="A5568">
        <v>5567</v>
      </c>
      <c r="B5568">
        <v>50</v>
      </c>
      <c r="C5568">
        <v>33.7333</v>
      </c>
      <c r="D5568">
        <v>-16.116499999999998</v>
      </c>
      <c r="E5568" t="s">
        <v>8943</v>
      </c>
      <c r="F5568" t="s">
        <v>8945</v>
      </c>
      <c r="G5568" t="s">
        <v>37</v>
      </c>
      <c r="H5568">
        <v>1957</v>
      </c>
      <c r="I5568">
        <v>26.320959999999999</v>
      </c>
      <c r="J5568">
        <v>12.4</v>
      </c>
      <c r="K5568">
        <v>57</v>
      </c>
      <c r="L5568">
        <v>27.10539</v>
      </c>
      <c r="M5568">
        <v>36.700000000000003</v>
      </c>
      <c r="N5568">
        <v>15.12097</v>
      </c>
      <c r="O5568">
        <v>21.579039999999999</v>
      </c>
      <c r="P5568">
        <v>28.2</v>
      </c>
      <c r="Q5568">
        <v>23.920960000000001</v>
      </c>
      <c r="R5568">
        <v>29.3</v>
      </c>
      <c r="S5568">
        <v>22.365559999999999</v>
      </c>
      <c r="T5568">
        <v>685</v>
      </c>
      <c r="U5568">
        <v>175</v>
      </c>
      <c r="V5568">
        <v>3</v>
      </c>
      <c r="W5568">
        <v>112</v>
      </c>
      <c r="X5568">
        <v>478</v>
      </c>
      <c r="Y5568">
        <v>10</v>
      </c>
      <c r="Z5568">
        <v>212</v>
      </c>
      <c r="AA5568">
        <v>14</v>
      </c>
      <c r="AB5568">
        <v>19.979710000000001</v>
      </c>
      <c r="AC5568">
        <v>3.3693439999999998E-2</v>
      </c>
      <c r="AD5568">
        <v>2.5238909999999999</v>
      </c>
      <c r="AE5568">
        <v>0.62361330000000004</v>
      </c>
      <c r="AF5568">
        <v>181.04990000000001</v>
      </c>
      <c r="AG5568">
        <f>IFERROR(AH5568*0.1, "N/A")</f>
        <v>7.200666</v>
      </c>
      <c r="AH5568">
        <v>72.006659999999997</v>
      </c>
      <c r="AI5568">
        <v>169.00890000000001</v>
      </c>
      <c r="AJ5568">
        <v>28.637270000000001</v>
      </c>
      <c r="AK5568">
        <v>59.05491</v>
      </c>
    </row>
    <row r="5569" spans="1:37" x14ac:dyDescent="0.3">
      <c r="A5569">
        <v>5568</v>
      </c>
      <c r="B5569">
        <v>100</v>
      </c>
      <c r="C5569">
        <v>38.443100000000001</v>
      </c>
      <c r="D5569">
        <v>-16.0931</v>
      </c>
      <c r="E5569" t="s">
        <v>8946</v>
      </c>
      <c r="F5569" t="s">
        <v>8947</v>
      </c>
      <c r="G5569" t="s">
        <v>39</v>
      </c>
      <c r="H5569">
        <v>1956</v>
      </c>
      <c r="I5569">
        <v>24.6</v>
      </c>
      <c r="J5569">
        <v>11.1</v>
      </c>
      <c r="K5569">
        <v>60</v>
      </c>
      <c r="L5569">
        <v>24.06</v>
      </c>
      <c r="M5569">
        <v>33.5</v>
      </c>
      <c r="N5569">
        <v>15.3</v>
      </c>
      <c r="O5569">
        <v>18.2</v>
      </c>
      <c r="P5569">
        <v>26.5</v>
      </c>
      <c r="Q5569">
        <v>23.9</v>
      </c>
      <c r="R5569">
        <v>26.9</v>
      </c>
      <c r="S5569">
        <v>21</v>
      </c>
      <c r="T5569">
        <v>1276</v>
      </c>
      <c r="U5569">
        <v>269</v>
      </c>
      <c r="V5569">
        <v>12</v>
      </c>
      <c r="W5569">
        <v>87</v>
      </c>
      <c r="X5569">
        <v>741</v>
      </c>
      <c r="Y5569">
        <v>49</v>
      </c>
      <c r="Z5569">
        <v>538</v>
      </c>
      <c r="AA5569">
        <v>91</v>
      </c>
      <c r="AB5569">
        <v>9.1129160000000002</v>
      </c>
      <c r="AC5569">
        <v>6.8093979999999998E-2</v>
      </c>
      <c r="AD5569">
        <v>2.7656079999999998</v>
      </c>
      <c r="AE5569">
        <v>0.1549673</v>
      </c>
      <c r="AF5569">
        <v>264.74340000000001</v>
      </c>
      <c r="AG5569">
        <f>IFERROR(AH5569*0.1, "N/A")</f>
        <v>5.7943710000000008</v>
      </c>
      <c r="AH5569">
        <v>57.943710000000003</v>
      </c>
      <c r="AI5569">
        <v>211.9633</v>
      </c>
      <c r="AJ5569">
        <v>19.519870000000001</v>
      </c>
      <c r="AK5569">
        <v>70.056290000000004</v>
      </c>
    </row>
    <row r="5570" spans="1:37" x14ac:dyDescent="0.3">
      <c r="A5570">
        <v>5569</v>
      </c>
      <c r="B5570">
        <v>20</v>
      </c>
      <c r="C5570">
        <v>38.443100000000001</v>
      </c>
      <c r="D5570">
        <v>-16.0931</v>
      </c>
      <c r="E5570" t="s">
        <v>8946</v>
      </c>
      <c r="F5570" t="s">
        <v>8948</v>
      </c>
      <c r="G5570" t="s">
        <v>37</v>
      </c>
      <c r="H5570">
        <v>1956</v>
      </c>
      <c r="I5570">
        <v>24.6</v>
      </c>
      <c r="J5570">
        <v>11.1</v>
      </c>
      <c r="K5570">
        <v>60</v>
      </c>
      <c r="L5570">
        <v>24.06</v>
      </c>
      <c r="M5570">
        <v>33.5</v>
      </c>
      <c r="N5570">
        <v>15.3</v>
      </c>
      <c r="O5570">
        <v>18.2</v>
      </c>
      <c r="P5570">
        <v>26.5</v>
      </c>
      <c r="Q5570">
        <v>23.9</v>
      </c>
      <c r="R5570">
        <v>26.9</v>
      </c>
      <c r="S5570">
        <v>21</v>
      </c>
      <c r="T5570">
        <v>1276</v>
      </c>
      <c r="U5570">
        <v>269</v>
      </c>
      <c r="V5570">
        <v>12</v>
      </c>
      <c r="W5570">
        <v>87</v>
      </c>
      <c r="X5570">
        <v>741</v>
      </c>
      <c r="Y5570">
        <v>49</v>
      </c>
      <c r="Z5570">
        <v>538</v>
      </c>
      <c r="AA5570">
        <v>91</v>
      </c>
      <c r="AB5570">
        <v>9.1129160000000002</v>
      </c>
      <c r="AC5570">
        <v>6.8093979999999998E-2</v>
      </c>
      <c r="AD5570">
        <v>2.7656079999999998</v>
      </c>
      <c r="AE5570">
        <v>0.1549673</v>
      </c>
      <c r="AF5570">
        <v>264.74340000000001</v>
      </c>
      <c r="AG5570">
        <f>IFERROR(AH5570*0.1, "N/A")</f>
        <v>5.7943710000000008</v>
      </c>
      <c r="AH5570">
        <v>57.943710000000003</v>
      </c>
      <c r="AI5570">
        <v>211.9633</v>
      </c>
      <c r="AJ5570">
        <v>19.519870000000001</v>
      </c>
      <c r="AK5570">
        <v>70.056290000000004</v>
      </c>
    </row>
    <row r="5571" spans="1:37" x14ac:dyDescent="0.3">
      <c r="A5571">
        <v>5570</v>
      </c>
      <c r="B5571">
        <v>85</v>
      </c>
      <c r="C5571">
        <v>37.1631</v>
      </c>
      <c r="D5571">
        <v>-16.055099999999999</v>
      </c>
      <c r="E5571" t="s">
        <v>8949</v>
      </c>
      <c r="F5571" t="s">
        <v>8950</v>
      </c>
      <c r="G5571" t="s">
        <v>39</v>
      </c>
      <c r="H5571">
        <v>1956</v>
      </c>
      <c r="I5571">
        <v>23.3</v>
      </c>
      <c r="J5571">
        <v>12.2</v>
      </c>
      <c r="K5571">
        <v>55</v>
      </c>
      <c r="L5571">
        <v>26.57</v>
      </c>
      <c r="M5571">
        <v>33.6</v>
      </c>
      <c r="N5571">
        <v>11.5</v>
      </c>
      <c r="O5571">
        <v>22.1</v>
      </c>
      <c r="P5571">
        <v>25.2</v>
      </c>
      <c r="Q5571">
        <v>22.8</v>
      </c>
      <c r="R5571">
        <v>25.9</v>
      </c>
      <c r="S5571">
        <v>19.3</v>
      </c>
      <c r="T5571">
        <v>1599</v>
      </c>
      <c r="U5571">
        <v>308</v>
      </c>
      <c r="V5571">
        <v>20</v>
      </c>
      <c r="W5571">
        <v>84</v>
      </c>
      <c r="X5571">
        <v>891</v>
      </c>
      <c r="Y5571">
        <v>76</v>
      </c>
      <c r="Z5571">
        <v>402</v>
      </c>
      <c r="AA5571">
        <v>113</v>
      </c>
      <c r="AB5571">
        <v>20.988350000000001</v>
      </c>
      <c r="AC5571">
        <v>1.129843E-2</v>
      </c>
      <c r="AD5571">
        <v>3.9743909999999998</v>
      </c>
      <c r="AE5571">
        <v>0.43180610000000003</v>
      </c>
      <c r="AF5571">
        <v>466.31279999999998</v>
      </c>
      <c r="AG5571">
        <f>IFERROR(AH5571*0.1, "N/A")</f>
        <v>5.8000000000000007</v>
      </c>
      <c r="AH5571">
        <v>58</v>
      </c>
      <c r="AI5571">
        <v>209.13829999999999</v>
      </c>
      <c r="AJ5571">
        <v>18.896840000000001</v>
      </c>
      <c r="AK5571">
        <v>72.103160000000003</v>
      </c>
    </row>
    <row r="5572" spans="1:37" x14ac:dyDescent="0.3">
      <c r="A5572">
        <v>5571</v>
      </c>
      <c r="B5572">
        <v>5</v>
      </c>
      <c r="C5572">
        <v>37.1631</v>
      </c>
      <c r="D5572">
        <v>-16.055099999999999</v>
      </c>
      <c r="E5572" t="s">
        <v>8949</v>
      </c>
      <c r="F5572" t="s">
        <v>8951</v>
      </c>
      <c r="G5572" t="s">
        <v>37</v>
      </c>
      <c r="H5572">
        <v>1956</v>
      </c>
      <c r="I5572">
        <v>23.3</v>
      </c>
      <c r="J5572">
        <v>12.2</v>
      </c>
      <c r="K5572">
        <v>55</v>
      </c>
      <c r="L5572">
        <v>26.57</v>
      </c>
      <c r="M5572">
        <v>33.6</v>
      </c>
      <c r="N5572">
        <v>11.5</v>
      </c>
      <c r="O5572">
        <v>22.1</v>
      </c>
      <c r="P5572">
        <v>25.2</v>
      </c>
      <c r="Q5572">
        <v>22.8</v>
      </c>
      <c r="R5572">
        <v>25.9</v>
      </c>
      <c r="S5572">
        <v>19.3</v>
      </c>
      <c r="T5572">
        <v>1599</v>
      </c>
      <c r="U5572">
        <v>308</v>
      </c>
      <c r="V5572">
        <v>20</v>
      </c>
      <c r="W5572">
        <v>84</v>
      </c>
      <c r="X5572">
        <v>891</v>
      </c>
      <c r="Y5572">
        <v>76</v>
      </c>
      <c r="Z5572">
        <v>402</v>
      </c>
      <c r="AA5572">
        <v>113</v>
      </c>
      <c r="AB5572">
        <v>20.988350000000001</v>
      </c>
      <c r="AC5572">
        <v>1.129843E-2</v>
      </c>
      <c r="AD5572">
        <v>3.9743909999999998</v>
      </c>
      <c r="AE5572">
        <v>0.43180610000000003</v>
      </c>
      <c r="AF5572">
        <v>466.31279999999998</v>
      </c>
      <c r="AG5572">
        <f>IFERROR(AH5572*0.1, "N/A")</f>
        <v>5.8000000000000007</v>
      </c>
      <c r="AH5572">
        <v>58</v>
      </c>
      <c r="AI5572">
        <v>209.13829999999999</v>
      </c>
      <c r="AJ5572">
        <v>18.896840000000001</v>
      </c>
      <c r="AK5572">
        <v>72.103160000000003</v>
      </c>
    </row>
    <row r="5573" spans="1:37" x14ac:dyDescent="0.3">
      <c r="A5573">
        <v>5572</v>
      </c>
      <c r="B5573">
        <v>80</v>
      </c>
      <c r="C5573">
        <v>36.997399999999999</v>
      </c>
      <c r="D5573">
        <v>-16.042400000000001</v>
      </c>
      <c r="E5573" t="s">
        <v>8952</v>
      </c>
      <c r="F5573" t="s">
        <v>8953</v>
      </c>
      <c r="G5573" t="s">
        <v>39</v>
      </c>
      <c r="H5573">
        <v>1956</v>
      </c>
      <c r="I5573">
        <v>23.471830000000001</v>
      </c>
      <c r="J5573">
        <v>12.6</v>
      </c>
      <c r="K5573">
        <v>58</v>
      </c>
      <c r="L5573">
        <v>25.502680000000002</v>
      </c>
      <c r="M5573">
        <v>33.843670000000003</v>
      </c>
      <c r="N5573">
        <v>12.371829999999999</v>
      </c>
      <c r="O5573">
        <v>21.471830000000001</v>
      </c>
      <c r="P5573">
        <v>25.371829999999999</v>
      </c>
      <c r="Q5573">
        <v>22.971830000000001</v>
      </c>
      <c r="R5573">
        <v>25.843669999999999</v>
      </c>
      <c r="S5573">
        <v>19.571829999999999</v>
      </c>
      <c r="T5573">
        <v>1664.943</v>
      </c>
      <c r="U5573">
        <v>315.56330000000003</v>
      </c>
      <c r="V5573">
        <v>21</v>
      </c>
      <c r="W5573">
        <v>82</v>
      </c>
      <c r="X5573">
        <v>912.69</v>
      </c>
      <c r="Y5573">
        <v>83.281670000000005</v>
      </c>
      <c r="Z5573">
        <v>428.84500000000003</v>
      </c>
      <c r="AA5573">
        <v>116.845</v>
      </c>
      <c r="AB5573">
        <v>14.55233</v>
      </c>
      <c r="AC5573">
        <v>4.434039E-2</v>
      </c>
      <c r="AD5573">
        <v>3.7623069999999998</v>
      </c>
      <c r="AE5573">
        <v>0.2386442</v>
      </c>
      <c r="AF5573">
        <v>465.77330000000001</v>
      </c>
      <c r="AG5573">
        <f>IFERROR(AH5573*0.1, "N/A")</f>
        <v>5.6945000000000006</v>
      </c>
      <c r="AH5573">
        <v>56.945</v>
      </c>
      <c r="AI5573">
        <v>125.3297</v>
      </c>
      <c r="AJ5573">
        <v>19.948329999999999</v>
      </c>
      <c r="AK5573">
        <v>70.666669999999996</v>
      </c>
    </row>
    <row r="5574" spans="1:37" x14ac:dyDescent="0.3">
      <c r="A5574">
        <v>5573</v>
      </c>
      <c r="B5574">
        <v>0</v>
      </c>
      <c r="C5574">
        <v>36.997399999999999</v>
      </c>
      <c r="D5574">
        <v>-16.042400000000001</v>
      </c>
      <c r="E5574" t="s">
        <v>8952</v>
      </c>
      <c r="F5574" t="s">
        <v>8954</v>
      </c>
      <c r="G5574" t="s">
        <v>37</v>
      </c>
      <c r="H5574">
        <v>1956</v>
      </c>
      <c r="I5574">
        <v>23.471830000000001</v>
      </c>
      <c r="J5574">
        <v>12.6</v>
      </c>
      <c r="K5574">
        <v>58</v>
      </c>
      <c r="L5574">
        <v>25.502680000000002</v>
      </c>
      <c r="M5574">
        <v>33.843670000000003</v>
      </c>
      <c r="N5574">
        <v>12.371829999999999</v>
      </c>
      <c r="O5574">
        <v>21.471830000000001</v>
      </c>
      <c r="P5574">
        <v>25.371829999999999</v>
      </c>
      <c r="Q5574">
        <v>22.971830000000001</v>
      </c>
      <c r="R5574">
        <v>25.843669999999999</v>
      </c>
      <c r="S5574">
        <v>19.571829999999999</v>
      </c>
      <c r="T5574">
        <v>1664.943</v>
      </c>
      <c r="U5574">
        <v>315.56330000000003</v>
      </c>
      <c r="V5574">
        <v>21</v>
      </c>
      <c r="W5574">
        <v>82</v>
      </c>
      <c r="X5574">
        <v>912.69</v>
      </c>
      <c r="Y5574">
        <v>83.281670000000005</v>
      </c>
      <c r="Z5574">
        <v>428.84500000000003</v>
      </c>
      <c r="AA5574">
        <v>116.845</v>
      </c>
      <c r="AB5574">
        <v>14.55233</v>
      </c>
      <c r="AC5574">
        <v>4.434039E-2</v>
      </c>
      <c r="AD5574">
        <v>3.7623069999999998</v>
      </c>
      <c r="AE5574">
        <v>0.2386442</v>
      </c>
      <c r="AF5574">
        <v>465.77330000000001</v>
      </c>
      <c r="AG5574">
        <f>IFERROR(AH5574*0.1, "N/A")</f>
        <v>5.6945000000000006</v>
      </c>
      <c r="AH5574">
        <v>56.945</v>
      </c>
      <c r="AI5574">
        <v>125.3297</v>
      </c>
      <c r="AJ5574">
        <v>19.948329999999999</v>
      </c>
      <c r="AK5574">
        <v>70.666669999999996</v>
      </c>
    </row>
    <row r="5575" spans="1:37" x14ac:dyDescent="0.3">
      <c r="A5575">
        <v>5574</v>
      </c>
      <c r="B5575">
        <v>100</v>
      </c>
      <c r="C5575">
        <v>37.339199999999998</v>
      </c>
      <c r="D5575">
        <v>-15.988099999999999</v>
      </c>
      <c r="E5575" t="s">
        <v>8955</v>
      </c>
      <c r="F5575" t="s">
        <v>8956</v>
      </c>
      <c r="G5575" t="s">
        <v>39</v>
      </c>
      <c r="H5575">
        <v>1956</v>
      </c>
      <c r="I5575">
        <v>23.2</v>
      </c>
      <c r="J5575">
        <v>12</v>
      </c>
      <c r="K5575">
        <v>54</v>
      </c>
      <c r="L5575">
        <v>27.18</v>
      </c>
      <c r="M5575">
        <v>33.5</v>
      </c>
      <c r="N5575">
        <v>11.6</v>
      </c>
      <c r="O5575">
        <v>21.9</v>
      </c>
      <c r="P5575">
        <v>25.2</v>
      </c>
      <c r="Q5575">
        <v>22.7</v>
      </c>
      <c r="R5575">
        <v>25.8</v>
      </c>
      <c r="S5575">
        <v>19.100000000000001</v>
      </c>
      <c r="T5575">
        <v>1552</v>
      </c>
      <c r="U5575">
        <v>304</v>
      </c>
      <c r="V5575">
        <v>18</v>
      </c>
      <c r="W5575">
        <v>86</v>
      </c>
      <c r="X5575">
        <v>878</v>
      </c>
      <c r="Y5575">
        <v>71</v>
      </c>
      <c r="Z5575">
        <v>386</v>
      </c>
      <c r="AA5575">
        <v>107</v>
      </c>
      <c r="AB5575">
        <v>28.890910000000002</v>
      </c>
      <c r="AC5575">
        <v>1.134132E-2</v>
      </c>
      <c r="AD5575">
        <v>3.670083</v>
      </c>
      <c r="AE5575">
        <v>0.21638479999999999</v>
      </c>
      <c r="AF5575">
        <v>488.1225</v>
      </c>
      <c r="AG5575">
        <f>IFERROR(AH5575*0.1, "N/A")</f>
        <v>5.5635760000000003</v>
      </c>
      <c r="AH5575">
        <v>55.635759999999998</v>
      </c>
      <c r="AI5575">
        <v>308.19909999999999</v>
      </c>
      <c r="AJ5575">
        <v>20.96358</v>
      </c>
      <c r="AK5575">
        <v>69.145700000000005</v>
      </c>
    </row>
    <row r="5576" spans="1:37" x14ac:dyDescent="0.3">
      <c r="A5576">
        <v>5575</v>
      </c>
      <c r="B5576">
        <v>0</v>
      </c>
      <c r="C5576">
        <v>37.339199999999998</v>
      </c>
      <c r="D5576">
        <v>-15.988099999999999</v>
      </c>
      <c r="E5576" t="s">
        <v>8955</v>
      </c>
      <c r="F5576" t="s">
        <v>8957</v>
      </c>
      <c r="G5576" t="s">
        <v>37</v>
      </c>
      <c r="H5576">
        <v>1956</v>
      </c>
      <c r="I5576">
        <v>23.2</v>
      </c>
      <c r="J5576">
        <v>12</v>
      </c>
      <c r="K5576">
        <v>54</v>
      </c>
      <c r="L5576">
        <v>27.18</v>
      </c>
      <c r="M5576">
        <v>33.5</v>
      </c>
      <c r="N5576">
        <v>11.6</v>
      </c>
      <c r="O5576">
        <v>21.9</v>
      </c>
      <c r="P5576">
        <v>25.2</v>
      </c>
      <c r="Q5576">
        <v>22.7</v>
      </c>
      <c r="R5576">
        <v>25.8</v>
      </c>
      <c r="S5576">
        <v>19.100000000000001</v>
      </c>
      <c r="T5576">
        <v>1552</v>
      </c>
      <c r="U5576">
        <v>304</v>
      </c>
      <c r="V5576">
        <v>18</v>
      </c>
      <c r="W5576">
        <v>86</v>
      </c>
      <c r="X5576">
        <v>878</v>
      </c>
      <c r="Y5576">
        <v>71</v>
      </c>
      <c r="Z5576">
        <v>386</v>
      </c>
      <c r="AA5576">
        <v>107</v>
      </c>
      <c r="AB5576">
        <v>28.890910000000002</v>
      </c>
      <c r="AC5576">
        <v>1.134132E-2</v>
      </c>
      <c r="AD5576">
        <v>3.670083</v>
      </c>
      <c r="AE5576">
        <v>0.21638479999999999</v>
      </c>
      <c r="AF5576">
        <v>488.1225</v>
      </c>
      <c r="AG5576">
        <f>IFERROR(AH5576*0.1, "N/A")</f>
        <v>5.5635760000000003</v>
      </c>
      <c r="AH5576">
        <v>55.635759999999998</v>
      </c>
      <c r="AI5576">
        <v>308.19909999999999</v>
      </c>
      <c r="AJ5576">
        <v>20.96358</v>
      </c>
      <c r="AK5576">
        <v>69.145700000000005</v>
      </c>
    </row>
    <row r="5577" spans="1:37" x14ac:dyDescent="0.3">
      <c r="A5577">
        <v>5576</v>
      </c>
      <c r="B5577">
        <v>80</v>
      </c>
      <c r="C5577">
        <v>36.865900000000003</v>
      </c>
      <c r="D5577">
        <v>-15.954700000000001</v>
      </c>
      <c r="E5577" t="s">
        <v>8958</v>
      </c>
      <c r="F5577" t="s">
        <v>8959</v>
      </c>
      <c r="G5577" t="s">
        <v>39</v>
      </c>
      <c r="H5577">
        <v>1956</v>
      </c>
      <c r="I5577">
        <v>23</v>
      </c>
      <c r="J5577">
        <v>13</v>
      </c>
      <c r="K5577">
        <v>63</v>
      </c>
      <c r="L5577">
        <v>23.85</v>
      </c>
      <c r="M5577">
        <v>33.299999999999997</v>
      </c>
      <c r="N5577">
        <v>12.8</v>
      </c>
      <c r="O5577">
        <v>20.5</v>
      </c>
      <c r="P5577">
        <v>24.9</v>
      </c>
      <c r="Q5577">
        <v>22.6</v>
      </c>
      <c r="R5577">
        <v>25.2</v>
      </c>
      <c r="S5577">
        <v>19.399999999999999</v>
      </c>
      <c r="T5577">
        <v>1763</v>
      </c>
      <c r="U5577">
        <v>331</v>
      </c>
      <c r="V5577">
        <v>23</v>
      </c>
      <c r="W5577">
        <v>81</v>
      </c>
      <c r="X5577">
        <v>947</v>
      </c>
      <c r="Y5577">
        <v>92</v>
      </c>
      <c r="Z5577">
        <v>759</v>
      </c>
      <c r="AA5577">
        <v>121</v>
      </c>
      <c r="AB5577">
        <v>38.132080000000002</v>
      </c>
      <c r="AC5577">
        <v>8.27957E-3</v>
      </c>
      <c r="AD5577">
        <v>3.6934149999999999</v>
      </c>
      <c r="AE5577">
        <v>0.24005989999999999</v>
      </c>
      <c r="AF5577">
        <v>576.80370000000005</v>
      </c>
      <c r="AG5577">
        <f>IFERROR(AH5577*0.1, "N/A")</f>
        <v>5.6262900000000009</v>
      </c>
      <c r="AH5577">
        <v>56.262900000000002</v>
      </c>
      <c r="AI5577">
        <v>110.3297</v>
      </c>
      <c r="AJ5577">
        <v>24.474209999999999</v>
      </c>
      <c r="AK5577">
        <v>65.788690000000003</v>
      </c>
    </row>
    <row r="5578" spans="1:37" x14ac:dyDescent="0.3">
      <c r="A5578">
        <v>5577</v>
      </c>
      <c r="B5578">
        <v>0</v>
      </c>
      <c r="C5578">
        <v>36.865900000000003</v>
      </c>
      <c r="D5578">
        <v>-15.954700000000001</v>
      </c>
      <c r="E5578" t="s">
        <v>8958</v>
      </c>
      <c r="F5578" t="s">
        <v>8960</v>
      </c>
      <c r="G5578" t="s">
        <v>37</v>
      </c>
      <c r="H5578">
        <v>1956</v>
      </c>
      <c r="I5578">
        <v>23</v>
      </c>
      <c r="J5578">
        <v>13</v>
      </c>
      <c r="K5578">
        <v>63</v>
      </c>
      <c r="L5578">
        <v>23.85</v>
      </c>
      <c r="M5578">
        <v>33.299999999999997</v>
      </c>
      <c r="N5578">
        <v>12.8</v>
      </c>
      <c r="O5578">
        <v>20.5</v>
      </c>
      <c r="P5578">
        <v>24.9</v>
      </c>
      <c r="Q5578">
        <v>22.6</v>
      </c>
      <c r="R5578">
        <v>25.2</v>
      </c>
      <c r="S5578">
        <v>19.399999999999999</v>
      </c>
      <c r="T5578">
        <v>1763</v>
      </c>
      <c r="U5578">
        <v>331</v>
      </c>
      <c r="V5578">
        <v>23</v>
      </c>
      <c r="W5578">
        <v>81</v>
      </c>
      <c r="X5578">
        <v>947</v>
      </c>
      <c r="Y5578">
        <v>92</v>
      </c>
      <c r="Z5578">
        <v>759</v>
      </c>
      <c r="AA5578">
        <v>121</v>
      </c>
      <c r="AB5578">
        <v>38.132080000000002</v>
      </c>
      <c r="AC5578">
        <v>8.27957E-3</v>
      </c>
      <c r="AD5578">
        <v>3.6934149999999999</v>
      </c>
      <c r="AE5578">
        <v>0.24005989999999999</v>
      </c>
      <c r="AF5578">
        <v>576.80370000000005</v>
      </c>
      <c r="AG5578">
        <f>IFERROR(AH5578*0.1, "N/A")</f>
        <v>5.6262900000000009</v>
      </c>
      <c r="AH5578">
        <v>56.262900000000002</v>
      </c>
      <c r="AI5578">
        <v>110.3297</v>
      </c>
      <c r="AJ5578">
        <v>24.474209999999999</v>
      </c>
      <c r="AK5578">
        <v>65.788690000000003</v>
      </c>
    </row>
    <row r="5579" spans="1:37" x14ac:dyDescent="0.3">
      <c r="A5579">
        <v>5578</v>
      </c>
      <c r="B5579">
        <v>85</v>
      </c>
      <c r="C5579">
        <v>37.127499999999998</v>
      </c>
      <c r="D5579">
        <v>-15.953200000000001</v>
      </c>
      <c r="E5579" t="s">
        <v>8961</v>
      </c>
      <c r="F5579" t="s">
        <v>8962</v>
      </c>
      <c r="G5579" t="s">
        <v>39</v>
      </c>
      <c r="H5579">
        <v>1956</v>
      </c>
      <c r="I5579">
        <v>23.5</v>
      </c>
      <c r="J5579">
        <v>12.4</v>
      </c>
      <c r="K5579">
        <v>56</v>
      </c>
      <c r="L5579">
        <v>26.57</v>
      </c>
      <c r="M5579">
        <v>34</v>
      </c>
      <c r="N5579">
        <v>12</v>
      </c>
      <c r="O5579">
        <v>22</v>
      </c>
      <c r="P5579">
        <v>25.4</v>
      </c>
      <c r="Q5579">
        <v>23.1</v>
      </c>
      <c r="R5579">
        <v>26.1</v>
      </c>
      <c r="S5579">
        <v>19.5</v>
      </c>
      <c r="T5579">
        <v>1591</v>
      </c>
      <c r="U5579">
        <v>307</v>
      </c>
      <c r="V5579">
        <v>19</v>
      </c>
      <c r="W5579">
        <v>84</v>
      </c>
      <c r="X5579">
        <v>889</v>
      </c>
      <c r="Y5579">
        <v>76</v>
      </c>
      <c r="Z5579">
        <v>403</v>
      </c>
      <c r="AA5579">
        <v>109</v>
      </c>
      <c r="AB5579">
        <v>24.45937</v>
      </c>
      <c r="AC5579">
        <v>4.2338180000000003E-2</v>
      </c>
      <c r="AD5579">
        <v>3.6128979999999999</v>
      </c>
      <c r="AE5579">
        <v>0.28305370000000002</v>
      </c>
      <c r="AF5579">
        <v>429.47430000000003</v>
      </c>
      <c r="AG5579">
        <f>IFERROR(AH5579*0.1, "N/A")</f>
        <v>5.9547260000000009</v>
      </c>
      <c r="AH5579">
        <v>59.547260000000001</v>
      </c>
      <c r="AI5579">
        <v>200.2954</v>
      </c>
      <c r="AJ5579">
        <v>20.699829999999999</v>
      </c>
      <c r="AK5579">
        <v>67.694860000000006</v>
      </c>
    </row>
    <row r="5580" spans="1:37" x14ac:dyDescent="0.3">
      <c r="A5580">
        <v>5579</v>
      </c>
      <c r="B5580">
        <v>0</v>
      </c>
      <c r="C5580">
        <v>37.127499999999998</v>
      </c>
      <c r="D5580">
        <v>-15.953200000000001</v>
      </c>
      <c r="E5580" t="s">
        <v>8961</v>
      </c>
      <c r="F5580" t="s">
        <v>8963</v>
      </c>
      <c r="G5580" t="s">
        <v>37</v>
      </c>
      <c r="H5580">
        <v>1956</v>
      </c>
      <c r="I5580">
        <v>23.5</v>
      </c>
      <c r="J5580">
        <v>12.4</v>
      </c>
      <c r="K5580">
        <v>56</v>
      </c>
      <c r="L5580">
        <v>26.57</v>
      </c>
      <c r="M5580">
        <v>34</v>
      </c>
      <c r="N5580">
        <v>12</v>
      </c>
      <c r="O5580">
        <v>22</v>
      </c>
      <c r="P5580">
        <v>25.4</v>
      </c>
      <c r="Q5580">
        <v>23.1</v>
      </c>
      <c r="R5580">
        <v>26.1</v>
      </c>
      <c r="S5580">
        <v>19.5</v>
      </c>
      <c r="T5580">
        <v>1591</v>
      </c>
      <c r="U5580">
        <v>307</v>
      </c>
      <c r="V5580">
        <v>19</v>
      </c>
      <c r="W5580">
        <v>84</v>
      </c>
      <c r="X5580">
        <v>889</v>
      </c>
      <c r="Y5580">
        <v>76</v>
      </c>
      <c r="Z5580">
        <v>403</v>
      </c>
      <c r="AA5580">
        <v>109</v>
      </c>
      <c r="AB5580">
        <v>24.45937</v>
      </c>
      <c r="AC5580">
        <v>4.2338180000000003E-2</v>
      </c>
      <c r="AD5580">
        <v>3.6128979999999999</v>
      </c>
      <c r="AE5580">
        <v>0.28305370000000002</v>
      </c>
      <c r="AF5580">
        <v>429.47430000000003</v>
      </c>
      <c r="AG5580">
        <f>IFERROR(AH5580*0.1, "N/A")</f>
        <v>5.9547260000000009</v>
      </c>
      <c r="AH5580">
        <v>59.547260000000001</v>
      </c>
      <c r="AI5580">
        <v>200.2954</v>
      </c>
      <c r="AJ5580">
        <v>20.699829999999999</v>
      </c>
      <c r="AK5580">
        <v>67.694860000000006</v>
      </c>
    </row>
    <row r="5581" spans="1:37" x14ac:dyDescent="0.3">
      <c r="A5581">
        <v>5580</v>
      </c>
      <c r="B5581">
        <v>100</v>
      </c>
      <c r="C5581">
        <v>38.628300000000003</v>
      </c>
      <c r="D5581">
        <v>-15.8925</v>
      </c>
      <c r="E5581" t="s">
        <v>8964</v>
      </c>
      <c r="F5581" t="s">
        <v>8965</v>
      </c>
      <c r="G5581" t="s">
        <v>39</v>
      </c>
      <c r="H5581">
        <v>1956</v>
      </c>
      <c r="I5581">
        <v>23.180900000000001</v>
      </c>
      <c r="J5581">
        <v>11.2201</v>
      </c>
      <c r="K5581">
        <v>61</v>
      </c>
      <c r="L5581">
        <v>23.188189999999999</v>
      </c>
      <c r="M5581">
        <v>32.201000000000001</v>
      </c>
      <c r="N5581">
        <v>14.0608</v>
      </c>
      <c r="O5581">
        <v>18.1402</v>
      </c>
      <c r="P5581">
        <v>25.001000000000001</v>
      </c>
      <c r="Q5581">
        <v>22.5809</v>
      </c>
      <c r="R5581">
        <v>25.401</v>
      </c>
      <c r="S5581">
        <v>19.680900000000001</v>
      </c>
      <c r="T5581">
        <v>1314.7539999999999</v>
      </c>
      <c r="U5581">
        <v>276.392</v>
      </c>
      <c r="V5581">
        <v>12</v>
      </c>
      <c r="W5581">
        <v>88.200999999999993</v>
      </c>
      <c r="X5581">
        <v>759.37710000000004</v>
      </c>
      <c r="Y5581">
        <v>51.598010000000002</v>
      </c>
      <c r="Z5581">
        <v>570.77909999999997</v>
      </c>
      <c r="AA5581">
        <v>84.196010000000001</v>
      </c>
      <c r="AB5581">
        <v>406.88839999999999</v>
      </c>
      <c r="AC5581">
        <v>1.255967E-2</v>
      </c>
      <c r="AD5581">
        <v>27.379829999999998</v>
      </c>
      <c r="AE5581">
        <v>0.14962349999999999</v>
      </c>
      <c r="AF5581">
        <v>640.66610000000003</v>
      </c>
      <c r="AG5581">
        <f>IFERROR(AH5581*0.1, "N/A")</f>
        <v>6.2201000000000004</v>
      </c>
      <c r="AH5581">
        <v>62.201000000000001</v>
      </c>
      <c r="AI5581">
        <v>195.02969999999999</v>
      </c>
      <c r="AJ5581">
        <v>23.798999999999999</v>
      </c>
      <c r="AK5581">
        <v>59.602989999999998</v>
      </c>
    </row>
    <row r="5582" spans="1:37" x14ac:dyDescent="0.3">
      <c r="A5582">
        <v>5581</v>
      </c>
      <c r="B5582">
        <v>5</v>
      </c>
      <c r="C5582">
        <v>38.628300000000003</v>
      </c>
      <c r="D5582">
        <v>-15.8925</v>
      </c>
      <c r="E5582" t="s">
        <v>8964</v>
      </c>
      <c r="F5582" t="s">
        <v>8966</v>
      </c>
      <c r="G5582" t="s">
        <v>37</v>
      </c>
      <c r="H5582">
        <v>1956</v>
      </c>
      <c r="I5582">
        <v>23.180900000000001</v>
      </c>
      <c r="J5582">
        <v>11.2201</v>
      </c>
      <c r="K5582">
        <v>61</v>
      </c>
      <c r="L5582">
        <v>23.188189999999999</v>
      </c>
      <c r="M5582">
        <v>32.201000000000001</v>
      </c>
      <c r="N5582">
        <v>14.0608</v>
      </c>
      <c r="O5582">
        <v>18.1402</v>
      </c>
      <c r="P5582">
        <v>25.001000000000001</v>
      </c>
      <c r="Q5582">
        <v>22.5809</v>
      </c>
      <c r="R5582">
        <v>25.401</v>
      </c>
      <c r="S5582">
        <v>19.680900000000001</v>
      </c>
      <c r="T5582">
        <v>1314.7539999999999</v>
      </c>
      <c r="U5582">
        <v>276.392</v>
      </c>
      <c r="V5582">
        <v>12</v>
      </c>
      <c r="W5582">
        <v>88.200999999999993</v>
      </c>
      <c r="X5582">
        <v>759.37710000000004</v>
      </c>
      <c r="Y5582">
        <v>51.598010000000002</v>
      </c>
      <c r="Z5582">
        <v>570.77909999999997</v>
      </c>
      <c r="AA5582">
        <v>84.196010000000001</v>
      </c>
      <c r="AB5582">
        <v>406.88839999999999</v>
      </c>
      <c r="AC5582">
        <v>1.255967E-2</v>
      </c>
      <c r="AD5582">
        <v>27.379829999999998</v>
      </c>
      <c r="AE5582">
        <v>0.14962349999999999</v>
      </c>
      <c r="AF5582">
        <v>640.66610000000003</v>
      </c>
      <c r="AG5582">
        <f>IFERROR(AH5582*0.1, "N/A")</f>
        <v>6.2201000000000004</v>
      </c>
      <c r="AH5582">
        <v>62.201000000000001</v>
      </c>
      <c r="AI5582">
        <v>195.02969999999999</v>
      </c>
      <c r="AJ5582">
        <v>23.798999999999999</v>
      </c>
      <c r="AK5582">
        <v>59.602989999999998</v>
      </c>
    </row>
    <row r="5583" spans="1:37" x14ac:dyDescent="0.3">
      <c r="A5583">
        <v>5582</v>
      </c>
      <c r="B5583">
        <v>100</v>
      </c>
      <c r="C5583">
        <v>38.691699999999997</v>
      </c>
      <c r="D5583">
        <v>-15.815</v>
      </c>
      <c r="E5583" t="s">
        <v>8967</v>
      </c>
      <c r="F5583" t="s">
        <v>8968</v>
      </c>
      <c r="G5583" t="s">
        <v>39</v>
      </c>
      <c r="H5583">
        <v>1956</v>
      </c>
      <c r="I5583">
        <v>24.83933</v>
      </c>
      <c r="J5583">
        <v>11.51967</v>
      </c>
      <c r="K5583">
        <v>61.196669999999997</v>
      </c>
      <c r="L5583">
        <v>23.54147</v>
      </c>
      <c r="M5583">
        <v>34.139330000000001</v>
      </c>
      <c r="N5583">
        <v>15.51967</v>
      </c>
      <c r="O5583">
        <v>18.619669999999999</v>
      </c>
      <c r="P5583">
        <v>26.639330000000001</v>
      </c>
      <c r="Q5583">
        <v>24.219670000000001</v>
      </c>
      <c r="R5583">
        <v>27.139330000000001</v>
      </c>
      <c r="S5583">
        <v>21.319669999999999</v>
      </c>
      <c r="T5583">
        <v>1216.0329999999999</v>
      </c>
      <c r="U5583">
        <v>258.80329999999998</v>
      </c>
      <c r="V5583">
        <v>10.803330000000001</v>
      </c>
      <c r="W5583">
        <v>90</v>
      </c>
      <c r="X5583">
        <v>709.2133</v>
      </c>
      <c r="Y5583">
        <v>45.803330000000003</v>
      </c>
      <c r="Z5583">
        <v>530.2133</v>
      </c>
      <c r="AA5583">
        <v>73.803330000000003</v>
      </c>
      <c r="AB5583">
        <v>19.127839999999999</v>
      </c>
      <c r="AC5583">
        <v>1.513026E-2</v>
      </c>
      <c r="AD5583">
        <v>4.2121820000000003</v>
      </c>
      <c r="AE5583">
        <v>0.1282566</v>
      </c>
      <c r="AF5583">
        <v>275.30500000000001</v>
      </c>
      <c r="AG5583">
        <f>IFERROR(AH5583*0.1, "N/A")</f>
        <v>5.7208329999999998</v>
      </c>
      <c r="AH5583">
        <v>57.208329999999997</v>
      </c>
      <c r="AI5583">
        <v>303.19409999999999</v>
      </c>
      <c r="AJ5583">
        <v>19.405000000000001</v>
      </c>
      <c r="AK5583">
        <v>70.61833</v>
      </c>
    </row>
    <row r="5584" spans="1:37" x14ac:dyDescent="0.3">
      <c r="A5584">
        <v>5583</v>
      </c>
      <c r="B5584">
        <v>20</v>
      </c>
      <c r="C5584">
        <v>38.691699999999997</v>
      </c>
      <c r="D5584">
        <v>-15.815</v>
      </c>
      <c r="E5584" t="s">
        <v>8967</v>
      </c>
      <c r="F5584" t="s">
        <v>8969</v>
      </c>
      <c r="G5584" t="s">
        <v>37</v>
      </c>
      <c r="H5584">
        <v>1956</v>
      </c>
      <c r="I5584">
        <v>24.83933</v>
      </c>
      <c r="J5584">
        <v>11.51967</v>
      </c>
      <c r="K5584">
        <v>61.196669999999997</v>
      </c>
      <c r="L5584">
        <v>23.54147</v>
      </c>
      <c r="M5584">
        <v>34.139330000000001</v>
      </c>
      <c r="N5584">
        <v>15.51967</v>
      </c>
      <c r="O5584">
        <v>18.619669999999999</v>
      </c>
      <c r="P5584">
        <v>26.639330000000001</v>
      </c>
      <c r="Q5584">
        <v>24.219670000000001</v>
      </c>
      <c r="R5584">
        <v>27.139330000000001</v>
      </c>
      <c r="S5584">
        <v>21.319669999999999</v>
      </c>
      <c r="T5584">
        <v>1216.0329999999999</v>
      </c>
      <c r="U5584">
        <v>258.80329999999998</v>
      </c>
      <c r="V5584">
        <v>10.803330000000001</v>
      </c>
      <c r="W5584">
        <v>90</v>
      </c>
      <c r="X5584">
        <v>709.2133</v>
      </c>
      <c r="Y5584">
        <v>45.803330000000003</v>
      </c>
      <c r="Z5584">
        <v>530.2133</v>
      </c>
      <c r="AA5584">
        <v>73.803330000000003</v>
      </c>
      <c r="AB5584">
        <v>19.127839999999999</v>
      </c>
      <c r="AC5584">
        <v>1.513026E-2</v>
      </c>
      <c r="AD5584">
        <v>4.2121820000000003</v>
      </c>
      <c r="AE5584">
        <v>0.1282566</v>
      </c>
      <c r="AF5584">
        <v>275.30500000000001</v>
      </c>
      <c r="AG5584">
        <f>IFERROR(AH5584*0.1, "N/A")</f>
        <v>5.7208329999999998</v>
      </c>
      <c r="AH5584">
        <v>57.208329999999997</v>
      </c>
      <c r="AI5584">
        <v>303.19409999999999</v>
      </c>
      <c r="AJ5584">
        <v>19.405000000000001</v>
      </c>
      <c r="AK5584">
        <v>70.61833</v>
      </c>
    </row>
    <row r="5585" spans="1:37" x14ac:dyDescent="0.3">
      <c r="A5585">
        <v>5584</v>
      </c>
      <c r="B5585">
        <v>85</v>
      </c>
      <c r="C5585">
        <v>37.114400000000003</v>
      </c>
      <c r="D5585">
        <v>-15.802199999999999</v>
      </c>
      <c r="E5585" t="s">
        <v>8970</v>
      </c>
      <c r="F5585" t="s">
        <v>8971</v>
      </c>
      <c r="G5585" t="s">
        <v>39</v>
      </c>
      <c r="H5585">
        <v>1956</v>
      </c>
      <c r="I5585">
        <v>23</v>
      </c>
      <c r="J5585">
        <v>12.5</v>
      </c>
      <c r="K5585">
        <v>58</v>
      </c>
      <c r="L5585">
        <v>26.04</v>
      </c>
      <c r="M5585">
        <v>33.5</v>
      </c>
      <c r="N5585">
        <v>12.1</v>
      </c>
      <c r="O5585">
        <v>21.4</v>
      </c>
      <c r="P5585">
        <v>24.9</v>
      </c>
      <c r="Q5585">
        <v>22.6</v>
      </c>
      <c r="R5585">
        <v>25.6</v>
      </c>
      <c r="S5585">
        <v>19.100000000000001</v>
      </c>
      <c r="T5585">
        <v>1664</v>
      </c>
      <c r="U5585">
        <v>315</v>
      </c>
      <c r="V5585">
        <v>20</v>
      </c>
      <c r="W5585">
        <v>84</v>
      </c>
      <c r="X5585">
        <v>923</v>
      </c>
      <c r="Y5585">
        <v>80</v>
      </c>
      <c r="Z5585">
        <v>427</v>
      </c>
      <c r="AA5585">
        <v>111</v>
      </c>
      <c r="AB5585">
        <v>26.738350000000001</v>
      </c>
      <c r="AC5585">
        <v>1.348502E-2</v>
      </c>
      <c r="AD5585">
        <v>3.3353449999999998</v>
      </c>
      <c r="AE5585">
        <v>0.2159046</v>
      </c>
      <c r="AF5585">
        <v>543.01670000000001</v>
      </c>
      <c r="AG5585">
        <f>IFERROR(AH5585*0.1, "N/A")</f>
        <v>5.7</v>
      </c>
      <c r="AH5585">
        <v>57</v>
      </c>
      <c r="AI5585">
        <v>295.66120000000001</v>
      </c>
      <c r="AJ5585">
        <v>21.805</v>
      </c>
      <c r="AK5585">
        <v>71.194999999999993</v>
      </c>
    </row>
    <row r="5586" spans="1:37" x14ac:dyDescent="0.3">
      <c r="A5586">
        <v>5585</v>
      </c>
      <c r="B5586">
        <v>0</v>
      </c>
      <c r="C5586">
        <v>37.114400000000003</v>
      </c>
      <c r="D5586">
        <v>-15.802199999999999</v>
      </c>
      <c r="E5586" t="s">
        <v>8970</v>
      </c>
      <c r="F5586" t="s">
        <v>8972</v>
      </c>
      <c r="G5586" t="s">
        <v>37</v>
      </c>
      <c r="H5586">
        <v>1956</v>
      </c>
      <c r="I5586">
        <v>23</v>
      </c>
      <c r="J5586">
        <v>12.5</v>
      </c>
      <c r="K5586">
        <v>58</v>
      </c>
      <c r="L5586">
        <v>26.04</v>
      </c>
      <c r="M5586">
        <v>33.5</v>
      </c>
      <c r="N5586">
        <v>12.1</v>
      </c>
      <c r="O5586">
        <v>21.4</v>
      </c>
      <c r="P5586">
        <v>24.9</v>
      </c>
      <c r="Q5586">
        <v>22.6</v>
      </c>
      <c r="R5586">
        <v>25.6</v>
      </c>
      <c r="S5586">
        <v>19.100000000000001</v>
      </c>
      <c r="T5586">
        <v>1664</v>
      </c>
      <c r="U5586">
        <v>315</v>
      </c>
      <c r="V5586">
        <v>20</v>
      </c>
      <c r="W5586">
        <v>84</v>
      </c>
      <c r="X5586">
        <v>923</v>
      </c>
      <c r="Y5586">
        <v>80</v>
      </c>
      <c r="Z5586">
        <v>427</v>
      </c>
      <c r="AA5586">
        <v>111</v>
      </c>
      <c r="AB5586">
        <v>26.738350000000001</v>
      </c>
      <c r="AC5586">
        <v>1.348502E-2</v>
      </c>
      <c r="AD5586">
        <v>3.3353449999999998</v>
      </c>
      <c r="AE5586">
        <v>0.2159046</v>
      </c>
      <c r="AF5586">
        <v>543.01670000000001</v>
      </c>
      <c r="AG5586">
        <f>IFERROR(AH5586*0.1, "N/A")</f>
        <v>5.7</v>
      </c>
      <c r="AH5586">
        <v>57</v>
      </c>
      <c r="AI5586">
        <v>295.66120000000001</v>
      </c>
      <c r="AJ5586">
        <v>21.805</v>
      </c>
      <c r="AK5586">
        <v>71.194999999999993</v>
      </c>
    </row>
    <row r="5587" spans="1:37" x14ac:dyDescent="0.3">
      <c r="A5587">
        <v>5586</v>
      </c>
      <c r="B5587">
        <v>86.3</v>
      </c>
      <c r="C5587">
        <v>39.237400000000001</v>
      </c>
      <c r="D5587">
        <v>-15.779</v>
      </c>
      <c r="E5587" t="s">
        <v>8973</v>
      </c>
      <c r="F5587" t="s">
        <v>8974</v>
      </c>
      <c r="G5587" t="s">
        <v>39</v>
      </c>
      <c r="H5587">
        <v>1957</v>
      </c>
      <c r="I5587">
        <v>25.9</v>
      </c>
      <c r="J5587">
        <v>11.9</v>
      </c>
      <c r="K5587">
        <v>63</v>
      </c>
      <c r="L5587">
        <v>22</v>
      </c>
      <c r="M5587">
        <v>35.4</v>
      </c>
      <c r="N5587">
        <v>16.600000000000001</v>
      </c>
      <c r="O5587">
        <v>18.8</v>
      </c>
      <c r="P5587">
        <v>27.6</v>
      </c>
      <c r="Q5587">
        <v>25.3</v>
      </c>
      <c r="R5587">
        <v>28.1</v>
      </c>
      <c r="S5587">
        <v>22.6</v>
      </c>
      <c r="T5587">
        <v>1169</v>
      </c>
      <c r="U5587">
        <v>246</v>
      </c>
      <c r="V5587">
        <v>10</v>
      </c>
      <c r="W5587">
        <v>88</v>
      </c>
      <c r="X5587">
        <v>668</v>
      </c>
      <c r="Y5587">
        <v>45</v>
      </c>
      <c r="Z5587">
        <v>509</v>
      </c>
      <c r="AA5587">
        <v>72</v>
      </c>
      <c r="AB5587">
        <v>15.478899999999999</v>
      </c>
      <c r="AC5587">
        <v>1.545183E-2</v>
      </c>
      <c r="AD5587">
        <v>1.7934490000000001</v>
      </c>
      <c r="AE5587">
        <v>0.25497789999999998</v>
      </c>
      <c r="AF5587">
        <v>141.108</v>
      </c>
      <c r="AG5587">
        <f>IFERROR(AH5587*0.1, "N/A")</f>
        <v>6.3000000000000007</v>
      </c>
      <c r="AH5587">
        <v>63</v>
      </c>
      <c r="AI5587">
        <v>82.805539999999993</v>
      </c>
      <c r="AJ5587">
        <v>18.83389</v>
      </c>
      <c r="AK5587">
        <v>72.332229999999996</v>
      </c>
    </row>
    <row r="5588" spans="1:37" x14ac:dyDescent="0.3">
      <c r="A5588">
        <v>5587</v>
      </c>
      <c r="B5588">
        <v>40</v>
      </c>
      <c r="C5588">
        <v>39.237400000000001</v>
      </c>
      <c r="D5588">
        <v>-15.779</v>
      </c>
      <c r="E5588" t="s">
        <v>8973</v>
      </c>
      <c r="F5588" t="s">
        <v>8975</v>
      </c>
      <c r="G5588" t="s">
        <v>37</v>
      </c>
      <c r="H5588">
        <v>1957</v>
      </c>
      <c r="I5588">
        <v>25.9</v>
      </c>
      <c r="J5588">
        <v>11.9</v>
      </c>
      <c r="K5588">
        <v>63</v>
      </c>
      <c r="L5588">
        <v>22</v>
      </c>
      <c r="M5588">
        <v>35.4</v>
      </c>
      <c r="N5588">
        <v>16.600000000000001</v>
      </c>
      <c r="O5588">
        <v>18.8</v>
      </c>
      <c r="P5588">
        <v>27.6</v>
      </c>
      <c r="Q5588">
        <v>25.3</v>
      </c>
      <c r="R5588">
        <v>28.1</v>
      </c>
      <c r="S5588">
        <v>22.6</v>
      </c>
      <c r="T5588">
        <v>1169</v>
      </c>
      <c r="U5588">
        <v>246</v>
      </c>
      <c r="V5588">
        <v>10</v>
      </c>
      <c r="W5588">
        <v>88</v>
      </c>
      <c r="X5588">
        <v>668</v>
      </c>
      <c r="Y5588">
        <v>45</v>
      </c>
      <c r="Z5588">
        <v>509</v>
      </c>
      <c r="AA5588">
        <v>72</v>
      </c>
      <c r="AB5588">
        <v>15.478899999999999</v>
      </c>
      <c r="AC5588">
        <v>1.545183E-2</v>
      </c>
      <c r="AD5588">
        <v>1.7934490000000001</v>
      </c>
      <c r="AE5588">
        <v>0.25497789999999998</v>
      </c>
      <c r="AF5588">
        <v>141.108</v>
      </c>
      <c r="AG5588">
        <f>IFERROR(AH5588*0.1, "N/A")</f>
        <v>6.3000000000000007</v>
      </c>
      <c r="AH5588">
        <v>63</v>
      </c>
      <c r="AI5588">
        <v>82.805539999999993</v>
      </c>
      <c r="AJ5588">
        <v>18.83389</v>
      </c>
      <c r="AK5588">
        <v>72.332229999999996</v>
      </c>
    </row>
    <row r="5589" spans="1:37" x14ac:dyDescent="0.3">
      <c r="A5589">
        <v>5588</v>
      </c>
      <c r="B5589">
        <v>95</v>
      </c>
      <c r="C5589">
        <v>36.0167</v>
      </c>
      <c r="D5589">
        <v>-15.773899999999999</v>
      </c>
      <c r="E5589" t="s">
        <v>8976</v>
      </c>
      <c r="F5589" t="s">
        <v>8977</v>
      </c>
      <c r="G5589" t="s">
        <v>39</v>
      </c>
      <c r="H5589">
        <v>1956</v>
      </c>
      <c r="I5589">
        <v>22.4</v>
      </c>
      <c r="J5589">
        <v>11.9</v>
      </c>
      <c r="K5589">
        <v>62.22833</v>
      </c>
      <c r="L5589">
        <v>20.933319999999998</v>
      </c>
      <c r="M5589">
        <v>31.777170000000002</v>
      </c>
      <c r="N5589">
        <v>12.82283</v>
      </c>
      <c r="O5589">
        <v>18.954329999999999</v>
      </c>
      <c r="P5589">
        <v>23.777170000000002</v>
      </c>
      <c r="Q5589">
        <v>20.222829999999998</v>
      </c>
      <c r="R5589">
        <v>24.477170000000001</v>
      </c>
      <c r="S5589">
        <v>19.222829999999998</v>
      </c>
      <c r="T5589">
        <v>1729.827</v>
      </c>
      <c r="U5589">
        <v>314.22829999999999</v>
      </c>
      <c r="V5589">
        <v>21.22833</v>
      </c>
      <c r="W5589">
        <v>80.22833</v>
      </c>
      <c r="X5589">
        <v>918.68499999999995</v>
      </c>
      <c r="Y5589">
        <v>89.22833</v>
      </c>
      <c r="Z5589">
        <v>468.45670000000001</v>
      </c>
      <c r="AA5589">
        <v>117.2283</v>
      </c>
      <c r="AB5589">
        <v>10.649850000000001</v>
      </c>
      <c r="AC5589">
        <v>1.5997620000000001E-2</v>
      </c>
      <c r="AD5589">
        <v>1.399419</v>
      </c>
      <c r="AE5589">
        <v>0.16771990000000001</v>
      </c>
      <c r="AF5589">
        <v>738.06330000000003</v>
      </c>
      <c r="AG5589">
        <f>IFERROR(AH5589*0.1, "N/A")</f>
        <v>5.7543329999999999</v>
      </c>
      <c r="AH5589">
        <v>57.543329999999997</v>
      </c>
      <c r="AI5589">
        <v>12.68159</v>
      </c>
      <c r="AJ5589">
        <v>16.954999999999998</v>
      </c>
      <c r="AK5589">
        <v>76.861670000000004</v>
      </c>
    </row>
    <row r="5590" spans="1:37" x14ac:dyDescent="0.3">
      <c r="A5590">
        <v>5589</v>
      </c>
      <c r="B5590">
        <v>0</v>
      </c>
      <c r="C5590">
        <v>36.0167</v>
      </c>
      <c r="D5590">
        <v>-15.773899999999999</v>
      </c>
      <c r="E5590" t="s">
        <v>8976</v>
      </c>
      <c r="F5590" t="s">
        <v>8978</v>
      </c>
      <c r="G5590" t="s">
        <v>37</v>
      </c>
      <c r="H5590">
        <v>1956</v>
      </c>
      <c r="I5590">
        <v>22.4</v>
      </c>
      <c r="J5590">
        <v>11.9</v>
      </c>
      <c r="K5590">
        <v>62.22833</v>
      </c>
      <c r="L5590">
        <v>20.933319999999998</v>
      </c>
      <c r="M5590">
        <v>31.777170000000002</v>
      </c>
      <c r="N5590">
        <v>12.82283</v>
      </c>
      <c r="O5590">
        <v>18.954329999999999</v>
      </c>
      <c r="P5590">
        <v>23.777170000000002</v>
      </c>
      <c r="Q5590">
        <v>20.222829999999998</v>
      </c>
      <c r="R5590">
        <v>24.477170000000001</v>
      </c>
      <c r="S5590">
        <v>19.222829999999998</v>
      </c>
      <c r="T5590">
        <v>1729.827</v>
      </c>
      <c r="U5590">
        <v>314.22829999999999</v>
      </c>
      <c r="V5590">
        <v>21.22833</v>
      </c>
      <c r="W5590">
        <v>80.22833</v>
      </c>
      <c r="X5590">
        <v>918.68499999999995</v>
      </c>
      <c r="Y5590">
        <v>89.22833</v>
      </c>
      <c r="Z5590">
        <v>468.45670000000001</v>
      </c>
      <c r="AA5590">
        <v>117.2283</v>
      </c>
      <c r="AB5590">
        <v>10.649850000000001</v>
      </c>
      <c r="AC5590">
        <v>1.5997620000000001E-2</v>
      </c>
      <c r="AD5590">
        <v>1.399419</v>
      </c>
      <c r="AE5590">
        <v>0.16771990000000001</v>
      </c>
      <c r="AF5590">
        <v>738.06330000000003</v>
      </c>
      <c r="AG5590">
        <f>IFERROR(AH5590*0.1, "N/A")</f>
        <v>5.7543329999999999</v>
      </c>
      <c r="AH5590">
        <v>57.543329999999997</v>
      </c>
      <c r="AI5590">
        <v>12.68159</v>
      </c>
      <c r="AJ5590">
        <v>16.954999999999998</v>
      </c>
      <c r="AK5590">
        <v>76.861670000000004</v>
      </c>
    </row>
    <row r="5591" spans="1:37" x14ac:dyDescent="0.3">
      <c r="A5591">
        <v>5590</v>
      </c>
      <c r="B5591">
        <v>90</v>
      </c>
      <c r="C5591">
        <v>37.567599999999999</v>
      </c>
      <c r="D5591">
        <v>-15.6989</v>
      </c>
      <c r="E5591" t="s">
        <v>8979</v>
      </c>
      <c r="F5591" t="s">
        <v>8980</v>
      </c>
      <c r="G5591" t="s">
        <v>39</v>
      </c>
      <c r="H5591">
        <v>1956</v>
      </c>
      <c r="I5591">
        <v>22.6</v>
      </c>
      <c r="J5591">
        <v>12</v>
      </c>
      <c r="K5591">
        <v>59</v>
      </c>
      <c r="L5591">
        <v>26.34</v>
      </c>
      <c r="M5591">
        <v>32.6</v>
      </c>
      <c r="N5591">
        <v>12.3</v>
      </c>
      <c r="O5591">
        <v>20.3</v>
      </c>
      <c r="P5591">
        <v>24.6</v>
      </c>
      <c r="Q5591">
        <v>22</v>
      </c>
      <c r="R5591">
        <v>25</v>
      </c>
      <c r="S5591">
        <v>18.600000000000001</v>
      </c>
      <c r="T5591">
        <v>1481</v>
      </c>
      <c r="U5591">
        <v>301</v>
      </c>
      <c r="V5591">
        <v>17</v>
      </c>
      <c r="W5591">
        <v>91</v>
      </c>
      <c r="X5591">
        <v>869</v>
      </c>
      <c r="Y5591">
        <v>62</v>
      </c>
      <c r="Z5591">
        <v>374</v>
      </c>
      <c r="AA5591">
        <v>84</v>
      </c>
      <c r="AB5591">
        <v>40.151009999999999</v>
      </c>
      <c r="AC5591">
        <v>2.0284690000000001E-2</v>
      </c>
      <c r="AD5591">
        <v>3.8241529999999999</v>
      </c>
      <c r="AE5591">
        <v>0.156973</v>
      </c>
      <c r="AF5591">
        <v>628.55349999999999</v>
      </c>
      <c r="AG5591">
        <f>IFERROR(AH5591*0.1, "N/A")</f>
        <v>5.6000000000000005</v>
      </c>
      <c r="AH5591">
        <v>56</v>
      </c>
      <c r="AI5591">
        <v>122.5424</v>
      </c>
      <c r="AJ5591">
        <v>25</v>
      </c>
      <c r="AK5591">
        <v>66</v>
      </c>
    </row>
    <row r="5592" spans="1:37" x14ac:dyDescent="0.3">
      <c r="A5592">
        <v>5591</v>
      </c>
      <c r="B5592">
        <v>0</v>
      </c>
      <c r="C5592">
        <v>37.567599999999999</v>
      </c>
      <c r="D5592">
        <v>-15.6989</v>
      </c>
      <c r="E5592" t="s">
        <v>8979</v>
      </c>
      <c r="F5592" t="s">
        <v>8981</v>
      </c>
      <c r="G5592" t="s">
        <v>37</v>
      </c>
      <c r="H5592">
        <v>1956</v>
      </c>
      <c r="I5592">
        <v>22.6</v>
      </c>
      <c r="J5592">
        <v>12</v>
      </c>
      <c r="K5592">
        <v>59</v>
      </c>
      <c r="L5592">
        <v>26.34</v>
      </c>
      <c r="M5592">
        <v>32.6</v>
      </c>
      <c r="N5592">
        <v>12.3</v>
      </c>
      <c r="O5592">
        <v>20.3</v>
      </c>
      <c r="P5592">
        <v>24.6</v>
      </c>
      <c r="Q5592">
        <v>22</v>
      </c>
      <c r="R5592">
        <v>25</v>
      </c>
      <c r="S5592">
        <v>18.600000000000001</v>
      </c>
      <c r="T5592">
        <v>1481</v>
      </c>
      <c r="U5592">
        <v>301</v>
      </c>
      <c r="V5592">
        <v>17</v>
      </c>
      <c r="W5592">
        <v>91</v>
      </c>
      <c r="X5592">
        <v>869</v>
      </c>
      <c r="Y5592">
        <v>62</v>
      </c>
      <c r="Z5592">
        <v>374</v>
      </c>
      <c r="AA5592">
        <v>84</v>
      </c>
      <c r="AB5592">
        <v>40.151009999999999</v>
      </c>
      <c r="AC5592">
        <v>2.0284690000000001E-2</v>
      </c>
      <c r="AD5592">
        <v>3.8241529999999999</v>
      </c>
      <c r="AE5592">
        <v>0.156973</v>
      </c>
      <c r="AF5592">
        <v>628.55349999999999</v>
      </c>
      <c r="AG5592">
        <f>IFERROR(AH5592*0.1, "N/A")</f>
        <v>5.6000000000000005</v>
      </c>
      <c r="AH5592">
        <v>56</v>
      </c>
      <c r="AI5592">
        <v>122.5424</v>
      </c>
      <c r="AJ5592">
        <v>25</v>
      </c>
      <c r="AK5592">
        <v>66</v>
      </c>
    </row>
    <row r="5593" spans="1:37" x14ac:dyDescent="0.3">
      <c r="A5593">
        <v>5592</v>
      </c>
      <c r="B5593">
        <v>90</v>
      </c>
      <c r="C5593">
        <v>37.733400000000003</v>
      </c>
      <c r="D5593">
        <v>-15.679</v>
      </c>
      <c r="E5593" t="s">
        <v>8982</v>
      </c>
      <c r="F5593" t="s">
        <v>8983</v>
      </c>
      <c r="G5593" t="s">
        <v>39</v>
      </c>
      <c r="H5593">
        <v>1956</v>
      </c>
      <c r="I5593">
        <v>23.02413</v>
      </c>
      <c r="J5593">
        <v>11.9</v>
      </c>
      <c r="K5593">
        <v>58.758740000000003</v>
      </c>
      <c r="L5593">
        <v>26.328600000000002</v>
      </c>
      <c r="M5593">
        <v>32.924129999999998</v>
      </c>
      <c r="N5593">
        <v>12.8</v>
      </c>
      <c r="O5593">
        <v>20.124130000000001</v>
      </c>
      <c r="P5593">
        <v>25.02413</v>
      </c>
      <c r="Q5593">
        <v>22.52413</v>
      </c>
      <c r="R5593">
        <v>25.52413</v>
      </c>
      <c r="S5593">
        <v>19.124130000000001</v>
      </c>
      <c r="T5593">
        <v>1381.3109999999999</v>
      </c>
      <c r="U5593">
        <v>292.75869999999998</v>
      </c>
      <c r="V5593">
        <v>15</v>
      </c>
      <c r="W5593">
        <v>94</v>
      </c>
      <c r="X5593">
        <v>829.03489999999999</v>
      </c>
      <c r="Y5593">
        <v>55.758740000000003</v>
      </c>
      <c r="Z5593">
        <v>344.27620000000002</v>
      </c>
      <c r="AA5593">
        <v>75</v>
      </c>
      <c r="AB5593">
        <v>19.410170000000001</v>
      </c>
      <c r="AC5593">
        <v>1.84998E-2</v>
      </c>
      <c r="AD5593">
        <v>2.5388069999999998</v>
      </c>
      <c r="AE5593">
        <v>0.15697829999999999</v>
      </c>
      <c r="AF5593">
        <v>548.98</v>
      </c>
      <c r="AG5593">
        <f>IFERROR(AH5593*0.1, "N/A")</f>
        <v>5.9191350000000007</v>
      </c>
      <c r="AH5593">
        <v>59.19135</v>
      </c>
      <c r="AI5593">
        <v>99.032910000000001</v>
      </c>
      <c r="AJ5593">
        <v>18.24126</v>
      </c>
      <c r="AK5593">
        <v>73.993340000000003</v>
      </c>
    </row>
    <row r="5594" spans="1:37" x14ac:dyDescent="0.3">
      <c r="A5594">
        <v>5593</v>
      </c>
      <c r="B5594">
        <v>0</v>
      </c>
      <c r="C5594">
        <v>37.733400000000003</v>
      </c>
      <c r="D5594">
        <v>-15.679</v>
      </c>
      <c r="E5594" t="s">
        <v>8982</v>
      </c>
      <c r="F5594" t="s">
        <v>8984</v>
      </c>
      <c r="G5594" t="s">
        <v>37</v>
      </c>
      <c r="H5594">
        <v>1956</v>
      </c>
      <c r="I5594">
        <v>23.02413</v>
      </c>
      <c r="J5594">
        <v>11.9</v>
      </c>
      <c r="K5594">
        <v>58.758740000000003</v>
      </c>
      <c r="L5594">
        <v>26.328600000000002</v>
      </c>
      <c r="M5594">
        <v>32.924129999999998</v>
      </c>
      <c r="N5594">
        <v>12.8</v>
      </c>
      <c r="O5594">
        <v>20.124130000000001</v>
      </c>
      <c r="P5594">
        <v>25.02413</v>
      </c>
      <c r="Q5594">
        <v>22.52413</v>
      </c>
      <c r="R5594">
        <v>25.52413</v>
      </c>
      <c r="S5594">
        <v>19.124130000000001</v>
      </c>
      <c r="T5594">
        <v>1381.3109999999999</v>
      </c>
      <c r="U5594">
        <v>292.75869999999998</v>
      </c>
      <c r="V5594">
        <v>15</v>
      </c>
      <c r="W5594">
        <v>94</v>
      </c>
      <c r="X5594">
        <v>829.03489999999999</v>
      </c>
      <c r="Y5594">
        <v>55.758740000000003</v>
      </c>
      <c r="Z5594">
        <v>344.27620000000002</v>
      </c>
      <c r="AA5594">
        <v>75</v>
      </c>
      <c r="AB5594">
        <v>19.410170000000001</v>
      </c>
      <c r="AC5594">
        <v>1.84998E-2</v>
      </c>
      <c r="AD5594">
        <v>2.5388069999999998</v>
      </c>
      <c r="AE5594">
        <v>0.15697829999999999</v>
      </c>
      <c r="AF5594">
        <v>548.98</v>
      </c>
      <c r="AG5594">
        <f>IFERROR(AH5594*0.1, "N/A")</f>
        <v>5.9191350000000007</v>
      </c>
      <c r="AH5594">
        <v>59.19135</v>
      </c>
      <c r="AI5594">
        <v>99.032910000000001</v>
      </c>
      <c r="AJ5594">
        <v>18.24126</v>
      </c>
      <c r="AK5594">
        <v>73.993340000000003</v>
      </c>
    </row>
    <row r="5595" spans="1:37" x14ac:dyDescent="0.3">
      <c r="A5595">
        <v>5594</v>
      </c>
      <c r="B5595">
        <v>95</v>
      </c>
      <c r="C5595">
        <v>38.3352</v>
      </c>
      <c r="D5595">
        <v>-15.638500000000001</v>
      </c>
      <c r="E5595" t="s">
        <v>8985</v>
      </c>
      <c r="F5595" t="s">
        <v>8986</v>
      </c>
      <c r="G5595" t="s">
        <v>39</v>
      </c>
      <c r="H5595">
        <v>1956</v>
      </c>
      <c r="I5595">
        <v>23.9</v>
      </c>
      <c r="J5595">
        <v>11.8</v>
      </c>
      <c r="K5595">
        <v>61</v>
      </c>
      <c r="L5595">
        <v>23.98</v>
      </c>
      <c r="M5595">
        <v>33.299999999999997</v>
      </c>
      <c r="N5595">
        <v>14.2</v>
      </c>
      <c r="O5595">
        <v>19.100000000000001</v>
      </c>
      <c r="P5595">
        <v>25.8</v>
      </c>
      <c r="Q5595">
        <v>23.4</v>
      </c>
      <c r="R5595">
        <v>26.2</v>
      </c>
      <c r="S5595">
        <v>20.3</v>
      </c>
      <c r="T5595">
        <v>1246</v>
      </c>
      <c r="U5595">
        <v>270</v>
      </c>
      <c r="V5595">
        <v>11</v>
      </c>
      <c r="W5595">
        <v>93</v>
      </c>
      <c r="X5595">
        <v>739</v>
      </c>
      <c r="Y5595">
        <v>46</v>
      </c>
      <c r="Z5595">
        <v>309</v>
      </c>
      <c r="AA5595">
        <v>66</v>
      </c>
      <c r="AB5595">
        <v>9.0332190000000008</v>
      </c>
      <c r="AC5595">
        <v>5.2367200000000003E-2</v>
      </c>
      <c r="AD5595">
        <v>4.0148010000000003</v>
      </c>
      <c r="AE5595">
        <v>0.12697810000000001</v>
      </c>
      <c r="AF5595">
        <v>430.76130000000001</v>
      </c>
      <c r="AG5595">
        <f>IFERROR(AH5595*0.1, "N/A")</f>
        <v>5.5510850000000005</v>
      </c>
      <c r="AH5595">
        <v>55.510849999999998</v>
      </c>
      <c r="AI5595">
        <v>61.250140000000002</v>
      </c>
      <c r="AJ5595">
        <v>24.878129999999999</v>
      </c>
      <c r="AK5595">
        <v>63.669449999999998</v>
      </c>
    </row>
    <row r="5596" spans="1:37" x14ac:dyDescent="0.3">
      <c r="A5596">
        <v>5595</v>
      </c>
      <c r="B5596">
        <v>5</v>
      </c>
      <c r="C5596">
        <v>38.3352</v>
      </c>
      <c r="D5596">
        <v>-15.638500000000001</v>
      </c>
      <c r="E5596" t="s">
        <v>8985</v>
      </c>
      <c r="F5596" t="s">
        <v>8987</v>
      </c>
      <c r="G5596" t="s">
        <v>37</v>
      </c>
      <c r="H5596">
        <v>1956</v>
      </c>
      <c r="I5596">
        <v>23.9</v>
      </c>
      <c r="J5596">
        <v>11.8</v>
      </c>
      <c r="K5596">
        <v>61</v>
      </c>
      <c r="L5596">
        <v>23.98</v>
      </c>
      <c r="M5596">
        <v>33.299999999999997</v>
      </c>
      <c r="N5596">
        <v>14.2</v>
      </c>
      <c r="O5596">
        <v>19.100000000000001</v>
      </c>
      <c r="P5596">
        <v>25.8</v>
      </c>
      <c r="Q5596">
        <v>23.4</v>
      </c>
      <c r="R5596">
        <v>26.2</v>
      </c>
      <c r="S5596">
        <v>20.3</v>
      </c>
      <c r="T5596">
        <v>1246</v>
      </c>
      <c r="U5596">
        <v>270</v>
      </c>
      <c r="V5596">
        <v>11</v>
      </c>
      <c r="W5596">
        <v>93</v>
      </c>
      <c r="X5596">
        <v>739</v>
      </c>
      <c r="Y5596">
        <v>46</v>
      </c>
      <c r="Z5596">
        <v>309</v>
      </c>
      <c r="AA5596">
        <v>66</v>
      </c>
      <c r="AB5596">
        <v>9.0332190000000008</v>
      </c>
      <c r="AC5596">
        <v>5.2367200000000003E-2</v>
      </c>
      <c r="AD5596">
        <v>4.0148010000000003</v>
      </c>
      <c r="AE5596">
        <v>0.12697810000000001</v>
      </c>
      <c r="AF5596">
        <v>430.76130000000001</v>
      </c>
      <c r="AG5596">
        <f>IFERROR(AH5596*0.1, "N/A")</f>
        <v>5.5510850000000005</v>
      </c>
      <c r="AH5596">
        <v>55.510849999999998</v>
      </c>
      <c r="AI5596">
        <v>61.250140000000002</v>
      </c>
      <c r="AJ5596">
        <v>24.878129999999999</v>
      </c>
      <c r="AK5596">
        <v>63.669449999999998</v>
      </c>
    </row>
    <row r="5597" spans="1:37" x14ac:dyDescent="0.3">
      <c r="A5597">
        <v>5596</v>
      </c>
      <c r="B5597">
        <v>81.3</v>
      </c>
      <c r="C5597">
        <v>40.413499999999999</v>
      </c>
      <c r="D5597">
        <v>-15.5657</v>
      </c>
      <c r="E5597" t="s">
        <v>8988</v>
      </c>
      <c r="F5597" t="s">
        <v>8989</v>
      </c>
      <c r="G5597" t="s">
        <v>39</v>
      </c>
      <c r="H5597">
        <v>1957</v>
      </c>
      <c r="I5597">
        <v>24.6</v>
      </c>
      <c r="J5597">
        <v>10.6</v>
      </c>
      <c r="K5597">
        <v>66</v>
      </c>
      <c r="L5597">
        <v>19.03</v>
      </c>
      <c r="M5597">
        <v>32.299999999999997</v>
      </c>
      <c r="N5597">
        <v>16.3</v>
      </c>
      <c r="O5597">
        <v>16</v>
      </c>
      <c r="P5597">
        <v>26.3</v>
      </c>
      <c r="Q5597">
        <v>23.4</v>
      </c>
      <c r="R5597">
        <v>26.7</v>
      </c>
      <c r="S5597">
        <v>21.9</v>
      </c>
      <c r="T5597">
        <v>1031</v>
      </c>
      <c r="U5597">
        <v>226</v>
      </c>
      <c r="V5597">
        <v>3</v>
      </c>
      <c r="W5597">
        <v>87</v>
      </c>
      <c r="X5597">
        <v>604</v>
      </c>
      <c r="Y5597">
        <v>30</v>
      </c>
      <c r="Z5597">
        <v>515</v>
      </c>
      <c r="AA5597">
        <v>104</v>
      </c>
      <c r="AB5597">
        <v>40.54083</v>
      </c>
      <c r="AC5597">
        <v>1.9488289999999998E-2</v>
      </c>
      <c r="AD5597">
        <v>2.0164010000000001</v>
      </c>
      <c r="AE5597">
        <v>0.16117400000000001</v>
      </c>
      <c r="AF5597">
        <v>68.221670000000003</v>
      </c>
      <c r="AG5597">
        <f>IFERROR(AH5597*0.1, "N/A")</f>
        <v>6.2095000000000002</v>
      </c>
      <c r="AH5597">
        <v>62.094999999999999</v>
      </c>
      <c r="AI5597">
        <v>155.7543</v>
      </c>
      <c r="AJ5597">
        <v>11.285</v>
      </c>
      <c r="AK5597">
        <v>81.62</v>
      </c>
    </row>
    <row r="5598" spans="1:37" x14ac:dyDescent="0.3">
      <c r="A5598">
        <v>5597</v>
      </c>
      <c r="B5598">
        <v>0</v>
      </c>
      <c r="C5598">
        <v>40.413499999999999</v>
      </c>
      <c r="D5598">
        <v>-15.5657</v>
      </c>
      <c r="E5598" t="s">
        <v>8988</v>
      </c>
      <c r="F5598" t="s">
        <v>8990</v>
      </c>
      <c r="G5598" t="s">
        <v>37</v>
      </c>
      <c r="H5598">
        <v>1957</v>
      </c>
      <c r="I5598">
        <v>24.6</v>
      </c>
      <c r="J5598">
        <v>10.6</v>
      </c>
      <c r="K5598">
        <v>66</v>
      </c>
      <c r="L5598">
        <v>19.03</v>
      </c>
      <c r="M5598">
        <v>32.299999999999997</v>
      </c>
      <c r="N5598">
        <v>16.3</v>
      </c>
      <c r="O5598">
        <v>16</v>
      </c>
      <c r="P5598">
        <v>26.3</v>
      </c>
      <c r="Q5598">
        <v>23.4</v>
      </c>
      <c r="R5598">
        <v>26.7</v>
      </c>
      <c r="S5598">
        <v>21.9</v>
      </c>
      <c r="T5598">
        <v>1031</v>
      </c>
      <c r="U5598">
        <v>226</v>
      </c>
      <c r="V5598">
        <v>3</v>
      </c>
      <c r="W5598">
        <v>87</v>
      </c>
      <c r="X5598">
        <v>604</v>
      </c>
      <c r="Y5598">
        <v>30</v>
      </c>
      <c r="Z5598">
        <v>515</v>
      </c>
      <c r="AA5598">
        <v>104</v>
      </c>
      <c r="AB5598">
        <v>40.54083</v>
      </c>
      <c r="AC5598">
        <v>1.9488289999999998E-2</v>
      </c>
      <c r="AD5598">
        <v>2.0164010000000001</v>
      </c>
      <c r="AE5598">
        <v>0.16117400000000001</v>
      </c>
      <c r="AF5598">
        <v>68.221670000000003</v>
      </c>
      <c r="AG5598">
        <f>IFERROR(AH5598*0.1, "N/A")</f>
        <v>6.2095000000000002</v>
      </c>
      <c r="AH5598">
        <v>62.094999999999999</v>
      </c>
      <c r="AI5598">
        <v>155.7543</v>
      </c>
      <c r="AJ5598">
        <v>11.285</v>
      </c>
      <c r="AK5598">
        <v>81.62</v>
      </c>
    </row>
    <row r="5599" spans="1:37" x14ac:dyDescent="0.3">
      <c r="A5599">
        <v>5598</v>
      </c>
      <c r="B5599">
        <v>85</v>
      </c>
      <c r="C5599">
        <v>36.882800000000003</v>
      </c>
      <c r="D5599">
        <v>-15.5383</v>
      </c>
      <c r="E5599" t="s">
        <v>8991</v>
      </c>
      <c r="F5599" t="s">
        <v>8992</v>
      </c>
      <c r="G5599" t="s">
        <v>39</v>
      </c>
      <c r="H5599">
        <v>1956</v>
      </c>
      <c r="I5599">
        <v>22.532050000000002</v>
      </c>
      <c r="J5599">
        <v>12.43205</v>
      </c>
      <c r="K5599">
        <v>61</v>
      </c>
      <c r="L5599">
        <v>24.37641</v>
      </c>
      <c r="M5599">
        <v>33.032049999999998</v>
      </c>
      <c r="N5599">
        <v>12.7</v>
      </c>
      <c r="O5599">
        <v>20.332049999999999</v>
      </c>
      <c r="P5599">
        <v>24.232050000000001</v>
      </c>
      <c r="Q5599">
        <v>20.13205</v>
      </c>
      <c r="R5599">
        <v>24.93205</v>
      </c>
      <c r="S5599">
        <v>18.832049999999999</v>
      </c>
      <c r="T5599">
        <v>1787.4739999999999</v>
      </c>
      <c r="U5599">
        <v>329.35890000000001</v>
      </c>
      <c r="V5599">
        <v>20</v>
      </c>
      <c r="W5599">
        <v>82</v>
      </c>
      <c r="X5599">
        <v>960.71789999999999</v>
      </c>
      <c r="Y5599">
        <v>90.358930000000001</v>
      </c>
      <c r="Z5599">
        <v>479.71789999999999</v>
      </c>
      <c r="AA5599">
        <v>116.35890000000001</v>
      </c>
      <c r="AB5599">
        <v>25.602830000000001</v>
      </c>
      <c r="AC5599">
        <v>9.4108779999999993E-3</v>
      </c>
      <c r="AD5599">
        <v>1.382973</v>
      </c>
      <c r="AE5599">
        <v>0.2258801</v>
      </c>
      <c r="AF5599">
        <v>657.01170000000002</v>
      </c>
      <c r="AG5599">
        <f>IFERROR(AH5599*0.1, "N/A")</f>
        <v>5.8808010000000008</v>
      </c>
      <c r="AH5599">
        <v>58.808010000000003</v>
      </c>
      <c r="AI5599">
        <v>36.071190000000001</v>
      </c>
      <c r="AJ5599">
        <v>21.20701</v>
      </c>
      <c r="AK5599">
        <v>67.654420000000002</v>
      </c>
    </row>
    <row r="5600" spans="1:37" x14ac:dyDescent="0.3">
      <c r="A5600">
        <v>5599</v>
      </c>
      <c r="B5600">
        <v>0</v>
      </c>
      <c r="C5600">
        <v>36.882800000000003</v>
      </c>
      <c r="D5600">
        <v>-15.5383</v>
      </c>
      <c r="E5600" t="s">
        <v>8991</v>
      </c>
      <c r="F5600" t="s">
        <v>8993</v>
      </c>
      <c r="G5600" t="s">
        <v>37</v>
      </c>
      <c r="H5600">
        <v>1956</v>
      </c>
      <c r="I5600">
        <v>22.532050000000002</v>
      </c>
      <c r="J5600">
        <v>12.43205</v>
      </c>
      <c r="K5600">
        <v>61</v>
      </c>
      <c r="L5600">
        <v>24.37641</v>
      </c>
      <c r="M5600">
        <v>33.032049999999998</v>
      </c>
      <c r="N5600">
        <v>12.7</v>
      </c>
      <c r="O5600">
        <v>20.332049999999999</v>
      </c>
      <c r="P5600">
        <v>24.232050000000001</v>
      </c>
      <c r="Q5600">
        <v>20.13205</v>
      </c>
      <c r="R5600">
        <v>24.93205</v>
      </c>
      <c r="S5600">
        <v>18.832049999999999</v>
      </c>
      <c r="T5600">
        <v>1787.4739999999999</v>
      </c>
      <c r="U5600">
        <v>329.35890000000001</v>
      </c>
      <c r="V5600">
        <v>20</v>
      </c>
      <c r="W5600">
        <v>82</v>
      </c>
      <c r="X5600">
        <v>960.71789999999999</v>
      </c>
      <c r="Y5600">
        <v>90.358930000000001</v>
      </c>
      <c r="Z5600">
        <v>479.71789999999999</v>
      </c>
      <c r="AA5600">
        <v>116.35890000000001</v>
      </c>
      <c r="AB5600">
        <v>25.602830000000001</v>
      </c>
      <c r="AC5600">
        <v>9.4108779999999993E-3</v>
      </c>
      <c r="AD5600">
        <v>1.382973</v>
      </c>
      <c r="AE5600">
        <v>0.2258801</v>
      </c>
      <c r="AF5600">
        <v>657.01170000000002</v>
      </c>
      <c r="AG5600">
        <f>IFERROR(AH5600*0.1, "N/A")</f>
        <v>5.8808010000000008</v>
      </c>
      <c r="AH5600">
        <v>58.808010000000003</v>
      </c>
      <c r="AI5600">
        <v>36.071190000000001</v>
      </c>
      <c r="AJ5600">
        <v>21.20701</v>
      </c>
      <c r="AK5600">
        <v>67.654420000000002</v>
      </c>
    </row>
    <row r="5601" spans="1:37" x14ac:dyDescent="0.3">
      <c r="A5601">
        <v>5600</v>
      </c>
      <c r="B5601">
        <v>20</v>
      </c>
      <c r="C5601">
        <v>37.3001</v>
      </c>
      <c r="D5601">
        <v>-15.5274</v>
      </c>
      <c r="E5601" t="s">
        <v>8994</v>
      </c>
      <c r="F5601" t="s">
        <v>8995</v>
      </c>
      <c r="G5601" t="s">
        <v>39</v>
      </c>
      <c r="H5601">
        <v>1956</v>
      </c>
      <c r="I5601">
        <v>22.32817</v>
      </c>
      <c r="J5601">
        <v>12.5</v>
      </c>
      <c r="K5601">
        <v>60</v>
      </c>
      <c r="L5601">
        <v>25.633520000000001</v>
      </c>
      <c r="M5601">
        <v>32.728169999999999</v>
      </c>
      <c r="N5601">
        <v>12.1</v>
      </c>
      <c r="O5601">
        <v>20.628170000000001</v>
      </c>
      <c r="P5601">
        <v>24.128170000000001</v>
      </c>
      <c r="Q5601">
        <v>22</v>
      </c>
      <c r="R5601">
        <v>24.82817</v>
      </c>
      <c r="S5601">
        <v>18.399999999999999</v>
      </c>
      <c r="T5601">
        <v>1560.4369999999999</v>
      </c>
      <c r="U5601">
        <v>304.7183</v>
      </c>
      <c r="V5601">
        <v>16</v>
      </c>
      <c r="W5601">
        <v>89.281670000000005</v>
      </c>
      <c r="X5601">
        <v>900.43669999999997</v>
      </c>
      <c r="Y5601">
        <v>65</v>
      </c>
      <c r="Z5601">
        <v>404</v>
      </c>
      <c r="AA5601">
        <v>84</v>
      </c>
      <c r="AB5601">
        <v>10.169650000000001</v>
      </c>
      <c r="AC5601">
        <v>3.3984350000000003E-2</v>
      </c>
      <c r="AD5601">
        <v>3.423705</v>
      </c>
      <c r="AE5601">
        <v>0.1990883</v>
      </c>
      <c r="AF5601">
        <v>647.35</v>
      </c>
      <c r="AG5601">
        <f>IFERROR(AH5601*0.1, "N/A")</f>
        <v>5.6718330000000003</v>
      </c>
      <c r="AH5601">
        <v>56.718330000000002</v>
      </c>
      <c r="AI5601">
        <v>127.9076</v>
      </c>
      <c r="AJ5601">
        <v>22.718330000000002</v>
      </c>
      <c r="AK5601">
        <v>65</v>
      </c>
    </row>
    <row r="5602" spans="1:37" x14ac:dyDescent="0.3">
      <c r="A5602">
        <v>5601</v>
      </c>
      <c r="B5602">
        <v>0</v>
      </c>
      <c r="C5602">
        <v>37.3001</v>
      </c>
      <c r="D5602">
        <v>-15.5274</v>
      </c>
      <c r="E5602" t="s">
        <v>8994</v>
      </c>
      <c r="F5602" t="s">
        <v>8996</v>
      </c>
      <c r="G5602" t="s">
        <v>37</v>
      </c>
      <c r="H5602">
        <v>1956</v>
      </c>
      <c r="I5602">
        <v>22.32817</v>
      </c>
      <c r="J5602">
        <v>12.5</v>
      </c>
      <c r="K5602">
        <v>60</v>
      </c>
      <c r="L5602">
        <v>25.633520000000001</v>
      </c>
      <c r="M5602">
        <v>32.728169999999999</v>
      </c>
      <c r="N5602">
        <v>12.1</v>
      </c>
      <c r="O5602">
        <v>20.628170000000001</v>
      </c>
      <c r="P5602">
        <v>24.128170000000001</v>
      </c>
      <c r="Q5602">
        <v>22</v>
      </c>
      <c r="R5602">
        <v>24.82817</v>
      </c>
      <c r="S5602">
        <v>18.399999999999999</v>
      </c>
      <c r="T5602">
        <v>1560.4369999999999</v>
      </c>
      <c r="U5602">
        <v>304.7183</v>
      </c>
      <c r="V5602">
        <v>16</v>
      </c>
      <c r="W5602">
        <v>89.281670000000005</v>
      </c>
      <c r="X5602">
        <v>900.43669999999997</v>
      </c>
      <c r="Y5602">
        <v>65</v>
      </c>
      <c r="Z5602">
        <v>404</v>
      </c>
      <c r="AA5602">
        <v>84</v>
      </c>
      <c r="AB5602">
        <v>10.169650000000001</v>
      </c>
      <c r="AC5602">
        <v>3.3984350000000003E-2</v>
      </c>
      <c r="AD5602">
        <v>3.423705</v>
      </c>
      <c r="AE5602">
        <v>0.1990883</v>
      </c>
      <c r="AF5602">
        <v>647.35</v>
      </c>
      <c r="AG5602">
        <f>IFERROR(AH5602*0.1, "N/A")</f>
        <v>5.6718330000000003</v>
      </c>
      <c r="AH5602">
        <v>56.718330000000002</v>
      </c>
      <c r="AI5602">
        <v>127.9076</v>
      </c>
      <c r="AJ5602">
        <v>22.718330000000002</v>
      </c>
      <c r="AK5602">
        <v>65</v>
      </c>
    </row>
    <row r="5603" spans="1:37" x14ac:dyDescent="0.3">
      <c r="A5603">
        <v>5602</v>
      </c>
      <c r="B5603">
        <v>95</v>
      </c>
      <c r="C5603">
        <v>38.254399999999997</v>
      </c>
      <c r="D5603">
        <v>-15.5124</v>
      </c>
      <c r="E5603" t="s">
        <v>8997</v>
      </c>
      <c r="F5603" t="s">
        <v>8998</v>
      </c>
      <c r="G5603" t="s">
        <v>39</v>
      </c>
      <c r="H5603">
        <v>1956</v>
      </c>
      <c r="I5603">
        <v>23.4</v>
      </c>
      <c r="J5603">
        <v>11.9</v>
      </c>
      <c r="K5603">
        <v>61</v>
      </c>
      <c r="L5603">
        <v>23.57</v>
      </c>
      <c r="M5603">
        <v>32.799999999999997</v>
      </c>
      <c r="N5603">
        <v>13.6</v>
      </c>
      <c r="O5603">
        <v>19.2</v>
      </c>
      <c r="P5603">
        <v>25.2</v>
      </c>
      <c r="Q5603">
        <v>22.9</v>
      </c>
      <c r="R5603">
        <v>25.6</v>
      </c>
      <c r="S5603">
        <v>19.899999999999999</v>
      </c>
      <c r="T5603">
        <v>1249</v>
      </c>
      <c r="U5603">
        <v>273</v>
      </c>
      <c r="V5603">
        <v>11</v>
      </c>
      <c r="W5603">
        <v>95</v>
      </c>
      <c r="X5603">
        <v>747</v>
      </c>
      <c r="Y5603">
        <v>44</v>
      </c>
      <c r="Z5603">
        <v>318</v>
      </c>
      <c r="AA5603">
        <v>58</v>
      </c>
      <c r="AB5603">
        <v>40.841299999999997</v>
      </c>
      <c r="AC5603">
        <v>8.6559040000000007E-3</v>
      </c>
      <c r="AD5603">
        <v>1.093229</v>
      </c>
      <c r="AE5603">
        <v>0.17704839999999999</v>
      </c>
      <c r="AF5603">
        <v>516.14880000000005</v>
      </c>
      <c r="AG5603">
        <f>IFERROR(AH5603*0.1, "N/A")</f>
        <v>5.5376250000000002</v>
      </c>
      <c r="AH5603">
        <v>55.376249999999999</v>
      </c>
      <c r="AI5603">
        <v>165.72219999999999</v>
      </c>
      <c r="AJ5603">
        <v>19.89967</v>
      </c>
      <c r="AK5603">
        <v>72.958190000000002</v>
      </c>
    </row>
    <row r="5604" spans="1:37" x14ac:dyDescent="0.3">
      <c r="A5604">
        <v>5603</v>
      </c>
      <c r="B5604">
        <v>0</v>
      </c>
      <c r="C5604">
        <v>38.254399999999997</v>
      </c>
      <c r="D5604">
        <v>-15.5124</v>
      </c>
      <c r="E5604" t="s">
        <v>8997</v>
      </c>
      <c r="F5604" t="s">
        <v>8999</v>
      </c>
      <c r="G5604" t="s">
        <v>37</v>
      </c>
      <c r="H5604">
        <v>1956</v>
      </c>
      <c r="I5604">
        <v>23.4</v>
      </c>
      <c r="J5604">
        <v>11.9</v>
      </c>
      <c r="K5604">
        <v>61</v>
      </c>
      <c r="L5604">
        <v>23.57</v>
      </c>
      <c r="M5604">
        <v>32.799999999999997</v>
      </c>
      <c r="N5604">
        <v>13.6</v>
      </c>
      <c r="O5604">
        <v>19.2</v>
      </c>
      <c r="P5604">
        <v>25.2</v>
      </c>
      <c r="Q5604">
        <v>22.9</v>
      </c>
      <c r="R5604">
        <v>25.6</v>
      </c>
      <c r="S5604">
        <v>19.899999999999999</v>
      </c>
      <c r="T5604">
        <v>1249</v>
      </c>
      <c r="U5604">
        <v>273</v>
      </c>
      <c r="V5604">
        <v>11</v>
      </c>
      <c r="W5604">
        <v>95</v>
      </c>
      <c r="X5604">
        <v>747</v>
      </c>
      <c r="Y5604">
        <v>44</v>
      </c>
      <c r="Z5604">
        <v>318</v>
      </c>
      <c r="AA5604">
        <v>58</v>
      </c>
      <c r="AB5604">
        <v>40.841299999999997</v>
      </c>
      <c r="AC5604">
        <v>8.6559040000000007E-3</v>
      </c>
      <c r="AD5604">
        <v>1.093229</v>
      </c>
      <c r="AE5604">
        <v>0.17704839999999999</v>
      </c>
      <c r="AF5604">
        <v>516.14880000000005</v>
      </c>
      <c r="AG5604">
        <f>IFERROR(AH5604*0.1, "N/A")</f>
        <v>5.5376250000000002</v>
      </c>
      <c r="AH5604">
        <v>55.376249999999999</v>
      </c>
      <c r="AI5604">
        <v>165.72219999999999</v>
      </c>
      <c r="AJ5604">
        <v>19.89967</v>
      </c>
      <c r="AK5604">
        <v>72.958190000000002</v>
      </c>
    </row>
    <row r="5605" spans="1:37" x14ac:dyDescent="0.3">
      <c r="A5605">
        <v>5604</v>
      </c>
      <c r="B5605">
        <v>100</v>
      </c>
      <c r="C5605">
        <v>36.259700000000002</v>
      </c>
      <c r="D5605">
        <v>-15.485300000000001</v>
      </c>
      <c r="E5605" t="s">
        <v>9000</v>
      </c>
      <c r="F5605" t="s">
        <v>9001</v>
      </c>
      <c r="G5605" t="s">
        <v>39</v>
      </c>
      <c r="H5605">
        <v>1956</v>
      </c>
      <c r="I5605">
        <v>22.1</v>
      </c>
      <c r="J5605">
        <v>11.8</v>
      </c>
      <c r="K5605">
        <v>62</v>
      </c>
      <c r="L5605">
        <v>21.04</v>
      </c>
      <c r="M5605">
        <v>31.6</v>
      </c>
      <c r="N5605">
        <v>12.7</v>
      </c>
      <c r="O5605">
        <v>18.899999999999999</v>
      </c>
      <c r="P5605">
        <v>23.8</v>
      </c>
      <c r="Q5605">
        <v>20.100000000000001</v>
      </c>
      <c r="R5605">
        <v>24.3</v>
      </c>
      <c r="S5605">
        <v>19</v>
      </c>
      <c r="T5605">
        <v>1566</v>
      </c>
      <c r="U5605">
        <v>298</v>
      </c>
      <c r="V5605">
        <v>17</v>
      </c>
      <c r="W5605">
        <v>87</v>
      </c>
      <c r="X5605">
        <v>864</v>
      </c>
      <c r="Y5605">
        <v>65</v>
      </c>
      <c r="Z5605">
        <v>443</v>
      </c>
      <c r="AA5605">
        <v>81</v>
      </c>
      <c r="AB5605">
        <v>82.986170000000001</v>
      </c>
      <c r="AC5605">
        <v>1.5552679999999999E-2</v>
      </c>
      <c r="AD5605">
        <v>18.273420000000002</v>
      </c>
      <c r="AE5605">
        <v>0.14775769999999999</v>
      </c>
      <c r="AF5605">
        <v>858.08</v>
      </c>
      <c r="AG5605">
        <f>IFERROR(AH5605*0.1, "N/A")</f>
        <v>5.7001670000000004</v>
      </c>
      <c r="AH5605">
        <v>57.001669999999997</v>
      </c>
      <c r="AI5605">
        <v>158.2432</v>
      </c>
      <c r="AJ5605">
        <v>25.008330000000001</v>
      </c>
      <c r="AK5605">
        <v>62</v>
      </c>
    </row>
    <row r="5606" spans="1:37" x14ac:dyDescent="0.3">
      <c r="A5606">
        <v>5605</v>
      </c>
      <c r="B5606">
        <v>0</v>
      </c>
      <c r="C5606">
        <v>36.259700000000002</v>
      </c>
      <c r="D5606">
        <v>-15.485300000000001</v>
      </c>
      <c r="E5606" t="s">
        <v>9000</v>
      </c>
      <c r="F5606" t="s">
        <v>9002</v>
      </c>
      <c r="G5606" t="s">
        <v>37</v>
      </c>
      <c r="H5606">
        <v>1956</v>
      </c>
      <c r="I5606">
        <v>22.1</v>
      </c>
      <c r="J5606">
        <v>11.8</v>
      </c>
      <c r="K5606">
        <v>62</v>
      </c>
      <c r="L5606">
        <v>21.04</v>
      </c>
      <c r="M5606">
        <v>31.6</v>
      </c>
      <c r="N5606">
        <v>12.7</v>
      </c>
      <c r="O5606">
        <v>18.899999999999999</v>
      </c>
      <c r="P5606">
        <v>23.8</v>
      </c>
      <c r="Q5606">
        <v>20.100000000000001</v>
      </c>
      <c r="R5606">
        <v>24.3</v>
      </c>
      <c r="S5606">
        <v>19</v>
      </c>
      <c r="T5606">
        <v>1566</v>
      </c>
      <c r="U5606">
        <v>298</v>
      </c>
      <c r="V5606">
        <v>17</v>
      </c>
      <c r="W5606">
        <v>87</v>
      </c>
      <c r="X5606">
        <v>864</v>
      </c>
      <c r="Y5606">
        <v>65</v>
      </c>
      <c r="Z5606">
        <v>443</v>
      </c>
      <c r="AA5606">
        <v>81</v>
      </c>
      <c r="AB5606">
        <v>82.986170000000001</v>
      </c>
      <c r="AC5606">
        <v>1.5552679999999999E-2</v>
      </c>
      <c r="AD5606">
        <v>18.273420000000002</v>
      </c>
      <c r="AE5606">
        <v>0.14775769999999999</v>
      </c>
      <c r="AF5606">
        <v>858.08</v>
      </c>
      <c r="AG5606">
        <f>IFERROR(AH5606*0.1, "N/A")</f>
        <v>5.7001670000000004</v>
      </c>
      <c r="AH5606">
        <v>57.001669999999997</v>
      </c>
      <c r="AI5606">
        <v>158.2432</v>
      </c>
      <c r="AJ5606">
        <v>25.008330000000001</v>
      </c>
      <c r="AK5606">
        <v>62</v>
      </c>
    </row>
    <row r="5607" spans="1:37" x14ac:dyDescent="0.3">
      <c r="A5607">
        <v>5606</v>
      </c>
      <c r="B5607">
        <v>100</v>
      </c>
      <c r="C5607">
        <v>36.067799999999998</v>
      </c>
      <c r="D5607">
        <v>-15.464700000000001</v>
      </c>
      <c r="E5607" t="s">
        <v>9003</v>
      </c>
      <c r="F5607" t="s">
        <v>9004</v>
      </c>
      <c r="G5607" t="s">
        <v>39</v>
      </c>
      <c r="H5607">
        <v>1956</v>
      </c>
      <c r="I5607">
        <v>22.6</v>
      </c>
      <c r="J5607">
        <v>11.8</v>
      </c>
      <c r="K5607">
        <v>61</v>
      </c>
      <c r="L5607">
        <v>21.94</v>
      </c>
      <c r="M5607">
        <v>32.1</v>
      </c>
      <c r="N5607">
        <v>12.9</v>
      </c>
      <c r="O5607">
        <v>19.2</v>
      </c>
      <c r="P5607">
        <v>24.3</v>
      </c>
      <c r="Q5607">
        <v>20.5</v>
      </c>
      <c r="R5607">
        <v>24.9</v>
      </c>
      <c r="S5607">
        <v>19.399999999999999</v>
      </c>
      <c r="T5607">
        <v>1489</v>
      </c>
      <c r="U5607">
        <v>290</v>
      </c>
      <c r="V5607">
        <v>15</v>
      </c>
      <c r="W5607">
        <v>88</v>
      </c>
      <c r="X5607">
        <v>838</v>
      </c>
      <c r="Y5607">
        <v>58</v>
      </c>
      <c r="Z5607">
        <v>423</v>
      </c>
      <c r="AA5607">
        <v>72</v>
      </c>
      <c r="AB5607">
        <v>10.05481</v>
      </c>
      <c r="AC5607">
        <v>3.8115860000000001E-2</v>
      </c>
      <c r="AD5607">
        <v>1.7613160000000001</v>
      </c>
      <c r="AE5607">
        <v>0.14806150000000001</v>
      </c>
      <c r="AF5607">
        <v>699.97829999999999</v>
      </c>
      <c r="AG5607">
        <f>IFERROR(AH5607*0.1, "N/A")</f>
        <v>5.798</v>
      </c>
      <c r="AH5607">
        <v>57.98</v>
      </c>
      <c r="AI5607">
        <v>127.5887</v>
      </c>
      <c r="AJ5607">
        <v>22</v>
      </c>
      <c r="AK5607">
        <v>68</v>
      </c>
    </row>
    <row r="5608" spans="1:37" x14ac:dyDescent="0.3">
      <c r="A5608">
        <v>5607</v>
      </c>
      <c r="B5608">
        <v>0</v>
      </c>
      <c r="C5608">
        <v>36.067799999999998</v>
      </c>
      <c r="D5608">
        <v>-15.464700000000001</v>
      </c>
      <c r="E5608" t="s">
        <v>9003</v>
      </c>
      <c r="F5608" t="s">
        <v>9005</v>
      </c>
      <c r="G5608" t="s">
        <v>37</v>
      </c>
      <c r="H5608">
        <v>1956</v>
      </c>
      <c r="I5608">
        <v>22.6</v>
      </c>
      <c r="J5608">
        <v>11.8</v>
      </c>
      <c r="K5608">
        <v>61</v>
      </c>
      <c r="L5608">
        <v>21.94</v>
      </c>
      <c r="M5608">
        <v>32.1</v>
      </c>
      <c r="N5608">
        <v>12.9</v>
      </c>
      <c r="O5608">
        <v>19.2</v>
      </c>
      <c r="P5608">
        <v>24.3</v>
      </c>
      <c r="Q5608">
        <v>20.5</v>
      </c>
      <c r="R5608">
        <v>24.9</v>
      </c>
      <c r="S5608">
        <v>19.399999999999999</v>
      </c>
      <c r="T5608">
        <v>1489</v>
      </c>
      <c r="U5608">
        <v>290</v>
      </c>
      <c r="V5608">
        <v>15</v>
      </c>
      <c r="W5608">
        <v>88</v>
      </c>
      <c r="X5608">
        <v>838</v>
      </c>
      <c r="Y5608">
        <v>58</v>
      </c>
      <c r="Z5608">
        <v>423</v>
      </c>
      <c r="AA5608">
        <v>72</v>
      </c>
      <c r="AB5608">
        <v>10.05481</v>
      </c>
      <c r="AC5608">
        <v>3.8115860000000001E-2</v>
      </c>
      <c r="AD5608">
        <v>1.7613160000000001</v>
      </c>
      <c r="AE5608">
        <v>0.14806150000000001</v>
      </c>
      <c r="AF5608">
        <v>699.97829999999999</v>
      </c>
      <c r="AG5608">
        <f>IFERROR(AH5608*0.1, "N/A")</f>
        <v>5.798</v>
      </c>
      <c r="AH5608">
        <v>57.98</v>
      </c>
      <c r="AI5608">
        <v>127.5887</v>
      </c>
      <c r="AJ5608">
        <v>22</v>
      </c>
      <c r="AK5608">
        <v>68</v>
      </c>
    </row>
    <row r="5609" spans="1:37" x14ac:dyDescent="0.3">
      <c r="A5609">
        <v>5608</v>
      </c>
      <c r="B5609">
        <v>60</v>
      </c>
      <c r="C5609">
        <v>37.033700000000003</v>
      </c>
      <c r="D5609">
        <v>-15.453099999999999</v>
      </c>
      <c r="E5609" t="s">
        <v>9006</v>
      </c>
      <c r="F5609" t="s">
        <v>9007</v>
      </c>
      <c r="G5609" t="s">
        <v>39</v>
      </c>
      <c r="H5609">
        <v>1956</v>
      </c>
      <c r="I5609">
        <v>21.89095</v>
      </c>
      <c r="J5609">
        <v>12.29548</v>
      </c>
      <c r="K5609">
        <v>60</v>
      </c>
      <c r="L5609">
        <v>24.661809999999999</v>
      </c>
      <c r="M5609">
        <v>32.295479999999998</v>
      </c>
      <c r="N5609">
        <v>12.09548</v>
      </c>
      <c r="O5609">
        <v>20.2</v>
      </c>
      <c r="P5609">
        <v>23.590959999999999</v>
      </c>
      <c r="Q5609">
        <v>19.495480000000001</v>
      </c>
      <c r="R5609">
        <v>24.295480000000001</v>
      </c>
      <c r="S5609">
        <v>18.19096</v>
      </c>
      <c r="T5609">
        <v>1808.2260000000001</v>
      </c>
      <c r="U5609">
        <v>344</v>
      </c>
      <c r="V5609">
        <v>19</v>
      </c>
      <c r="W5609">
        <v>83</v>
      </c>
      <c r="X5609">
        <v>985.09050000000002</v>
      </c>
      <c r="Y5609">
        <v>89</v>
      </c>
      <c r="Z5609">
        <v>479.13569999999999</v>
      </c>
      <c r="AA5609">
        <v>115</v>
      </c>
      <c r="AB5609">
        <v>37.182569999999998</v>
      </c>
      <c r="AC5609">
        <v>3.9553150000000002E-2</v>
      </c>
      <c r="AD5609">
        <v>11.42789</v>
      </c>
      <c r="AE5609">
        <v>0.23637549999999999</v>
      </c>
      <c r="AF5609">
        <v>774.09550000000002</v>
      </c>
      <c r="AG5609">
        <f>IFERROR(AH5609*0.1, "N/A")</f>
        <v>5.6385260000000006</v>
      </c>
      <c r="AH5609">
        <v>56.385260000000002</v>
      </c>
      <c r="AI5609">
        <v>197.67080000000001</v>
      </c>
      <c r="AJ5609">
        <v>33.24456</v>
      </c>
      <c r="AK5609">
        <v>50.427140000000001</v>
      </c>
    </row>
    <row r="5610" spans="1:37" x14ac:dyDescent="0.3">
      <c r="A5610">
        <v>5609</v>
      </c>
      <c r="B5610">
        <v>0</v>
      </c>
      <c r="C5610">
        <v>37.033700000000003</v>
      </c>
      <c r="D5610">
        <v>-15.453099999999999</v>
      </c>
      <c r="E5610" t="s">
        <v>9006</v>
      </c>
      <c r="F5610" t="s">
        <v>9008</v>
      </c>
      <c r="G5610" t="s">
        <v>37</v>
      </c>
      <c r="H5610">
        <v>1956</v>
      </c>
      <c r="I5610">
        <v>21.89095</v>
      </c>
      <c r="J5610">
        <v>12.29548</v>
      </c>
      <c r="K5610">
        <v>60</v>
      </c>
      <c r="L5610">
        <v>24.661809999999999</v>
      </c>
      <c r="M5610">
        <v>32.295479999999998</v>
      </c>
      <c r="N5610">
        <v>12.09548</v>
      </c>
      <c r="O5610">
        <v>20.2</v>
      </c>
      <c r="P5610">
        <v>23.590959999999999</v>
      </c>
      <c r="Q5610">
        <v>19.495480000000001</v>
      </c>
      <c r="R5610">
        <v>24.295480000000001</v>
      </c>
      <c r="S5610">
        <v>18.19096</v>
      </c>
      <c r="T5610">
        <v>1808.2260000000001</v>
      </c>
      <c r="U5610">
        <v>344</v>
      </c>
      <c r="V5610">
        <v>19</v>
      </c>
      <c r="W5610">
        <v>83</v>
      </c>
      <c r="X5610">
        <v>985.09050000000002</v>
      </c>
      <c r="Y5610">
        <v>89</v>
      </c>
      <c r="Z5610">
        <v>479.13569999999999</v>
      </c>
      <c r="AA5610">
        <v>115</v>
      </c>
      <c r="AB5610">
        <v>37.182569999999998</v>
      </c>
      <c r="AC5610">
        <v>3.9553150000000002E-2</v>
      </c>
      <c r="AD5610">
        <v>11.42789</v>
      </c>
      <c r="AE5610">
        <v>0.23637549999999999</v>
      </c>
      <c r="AF5610">
        <v>774.09550000000002</v>
      </c>
      <c r="AG5610">
        <f>IFERROR(AH5610*0.1, "N/A")</f>
        <v>5.6385260000000006</v>
      </c>
      <c r="AH5610">
        <v>56.385260000000002</v>
      </c>
      <c r="AI5610">
        <v>197.67080000000001</v>
      </c>
      <c r="AJ5610">
        <v>33.24456</v>
      </c>
      <c r="AK5610">
        <v>50.427140000000001</v>
      </c>
    </row>
    <row r="5611" spans="1:37" x14ac:dyDescent="0.3">
      <c r="A5611">
        <v>5610</v>
      </c>
      <c r="B5611">
        <v>40</v>
      </c>
      <c r="C5611">
        <v>37.435699999999997</v>
      </c>
      <c r="D5611">
        <v>-15.395</v>
      </c>
      <c r="E5611" t="s">
        <v>9009</v>
      </c>
      <c r="F5611" t="s">
        <v>9010</v>
      </c>
      <c r="G5611" t="s">
        <v>39</v>
      </c>
      <c r="H5611">
        <v>1956</v>
      </c>
      <c r="I5611">
        <v>21.7</v>
      </c>
      <c r="J5611">
        <v>12.5</v>
      </c>
      <c r="K5611">
        <v>61</v>
      </c>
      <c r="L5611">
        <v>24.29</v>
      </c>
      <c r="M5611">
        <v>31.8</v>
      </c>
      <c r="N5611">
        <v>11.4</v>
      </c>
      <c r="O5611">
        <v>20.399999999999999</v>
      </c>
      <c r="P5611">
        <v>23.4</v>
      </c>
      <c r="Q5611">
        <v>21.3</v>
      </c>
      <c r="R5611">
        <v>24</v>
      </c>
      <c r="S5611">
        <v>18</v>
      </c>
      <c r="T5611">
        <v>1431</v>
      </c>
      <c r="U5611">
        <v>296</v>
      </c>
      <c r="V5611">
        <v>13</v>
      </c>
      <c r="W5611">
        <v>95</v>
      </c>
      <c r="X5611">
        <v>859</v>
      </c>
      <c r="Y5611">
        <v>50</v>
      </c>
      <c r="Z5611">
        <v>372</v>
      </c>
      <c r="AA5611">
        <v>61</v>
      </c>
      <c r="AB5611">
        <v>6.3783510000000003</v>
      </c>
      <c r="AC5611">
        <v>0.40730509999999998</v>
      </c>
      <c r="AD5611">
        <v>4.5472469999999996</v>
      </c>
      <c r="AE5611">
        <v>0.2044067</v>
      </c>
      <c r="AF5611">
        <v>750.63390000000004</v>
      </c>
      <c r="AG5611">
        <f>IFERROR(AH5611*0.1, "N/A")</f>
        <v>5.7</v>
      </c>
      <c r="AH5611">
        <v>57</v>
      </c>
      <c r="AI5611">
        <v>123.2273</v>
      </c>
      <c r="AJ5611">
        <v>22.099830000000001</v>
      </c>
      <c r="AK5611">
        <v>67.490849999999995</v>
      </c>
    </row>
    <row r="5612" spans="1:37" x14ac:dyDescent="0.3">
      <c r="A5612">
        <v>5611</v>
      </c>
      <c r="B5612">
        <v>0</v>
      </c>
      <c r="C5612">
        <v>37.435699999999997</v>
      </c>
      <c r="D5612">
        <v>-15.395</v>
      </c>
      <c r="E5612" t="s">
        <v>9009</v>
      </c>
      <c r="F5612" t="s">
        <v>9011</v>
      </c>
      <c r="G5612" t="s">
        <v>37</v>
      </c>
      <c r="H5612">
        <v>1956</v>
      </c>
      <c r="I5612">
        <v>21.7</v>
      </c>
      <c r="J5612">
        <v>12.5</v>
      </c>
      <c r="K5612">
        <v>61</v>
      </c>
      <c r="L5612">
        <v>24.29</v>
      </c>
      <c r="M5612">
        <v>31.8</v>
      </c>
      <c r="N5612">
        <v>11.4</v>
      </c>
      <c r="O5612">
        <v>20.399999999999999</v>
      </c>
      <c r="P5612">
        <v>23.4</v>
      </c>
      <c r="Q5612">
        <v>21.3</v>
      </c>
      <c r="R5612">
        <v>24</v>
      </c>
      <c r="S5612">
        <v>18</v>
      </c>
      <c r="T5612">
        <v>1431</v>
      </c>
      <c r="U5612">
        <v>296</v>
      </c>
      <c r="V5612">
        <v>13</v>
      </c>
      <c r="W5612">
        <v>95</v>
      </c>
      <c r="X5612">
        <v>859</v>
      </c>
      <c r="Y5612">
        <v>50</v>
      </c>
      <c r="Z5612">
        <v>372</v>
      </c>
      <c r="AA5612">
        <v>61</v>
      </c>
      <c r="AB5612">
        <v>6.3783510000000003</v>
      </c>
      <c r="AC5612">
        <v>0.40730509999999998</v>
      </c>
      <c r="AD5612">
        <v>4.5472469999999996</v>
      </c>
      <c r="AE5612">
        <v>0.2044067</v>
      </c>
      <c r="AF5612">
        <v>750.63390000000004</v>
      </c>
      <c r="AG5612">
        <f>IFERROR(AH5612*0.1, "N/A")</f>
        <v>5.7</v>
      </c>
      <c r="AH5612">
        <v>57</v>
      </c>
      <c r="AI5612">
        <v>123.2273</v>
      </c>
      <c r="AJ5612">
        <v>22.099830000000001</v>
      </c>
      <c r="AK5612">
        <v>67.490849999999995</v>
      </c>
    </row>
    <row r="5613" spans="1:37" x14ac:dyDescent="0.3">
      <c r="A5613">
        <v>5612</v>
      </c>
      <c r="B5613">
        <v>100</v>
      </c>
      <c r="C5613">
        <v>36.568100000000001</v>
      </c>
      <c r="D5613">
        <v>-15.3658</v>
      </c>
      <c r="E5613" t="s">
        <v>9012</v>
      </c>
      <c r="F5613" t="s">
        <v>9013</v>
      </c>
      <c r="G5613" t="s">
        <v>39</v>
      </c>
      <c r="H5613">
        <v>1956</v>
      </c>
      <c r="I5613">
        <v>22.201329999999999</v>
      </c>
      <c r="J5613">
        <v>11.90067</v>
      </c>
      <c r="K5613">
        <v>61</v>
      </c>
      <c r="L5613">
        <v>21.861730000000001</v>
      </c>
      <c r="M5613">
        <v>32.101329999999997</v>
      </c>
      <c r="N5613">
        <v>12.700670000000001</v>
      </c>
      <c r="O5613">
        <v>19.400670000000002</v>
      </c>
      <c r="P5613">
        <v>24.001000000000001</v>
      </c>
      <c r="Q5613">
        <v>20.100999999999999</v>
      </c>
      <c r="R5613">
        <v>24.501329999999999</v>
      </c>
      <c r="S5613">
        <v>19.00067</v>
      </c>
      <c r="T5613">
        <v>1466.94</v>
      </c>
      <c r="U5613">
        <v>284.99</v>
      </c>
      <c r="V5613">
        <v>15</v>
      </c>
      <c r="W5613">
        <v>88.003330000000005</v>
      </c>
      <c r="X5613">
        <v>824.96669999999995</v>
      </c>
      <c r="Y5613">
        <v>57.993340000000003</v>
      </c>
      <c r="Z5613">
        <v>418.98</v>
      </c>
      <c r="AA5613">
        <v>70.990020000000001</v>
      </c>
      <c r="AB5613">
        <v>40.483020000000003</v>
      </c>
      <c r="AC5613">
        <v>0.1071178</v>
      </c>
      <c r="AD5613">
        <v>5.3031490000000003</v>
      </c>
      <c r="AE5613">
        <v>0.18712899999999999</v>
      </c>
      <c r="AF5613">
        <v>771.58900000000006</v>
      </c>
      <c r="AG5613">
        <f>IFERROR(AH5613*0.1, "N/A")</f>
        <v>5.8608989999999999</v>
      </c>
      <c r="AH5613">
        <v>58.608989999999999</v>
      </c>
      <c r="AI5613">
        <v>132.96690000000001</v>
      </c>
      <c r="AJ5613">
        <v>26.988350000000001</v>
      </c>
      <c r="AK5613">
        <v>55.590679999999999</v>
      </c>
    </row>
    <row r="5614" spans="1:37" x14ac:dyDescent="0.3">
      <c r="A5614">
        <v>5613</v>
      </c>
      <c r="B5614">
        <v>0</v>
      </c>
      <c r="C5614">
        <v>36.568100000000001</v>
      </c>
      <c r="D5614">
        <v>-15.3658</v>
      </c>
      <c r="E5614" t="s">
        <v>9012</v>
      </c>
      <c r="F5614" t="s">
        <v>9014</v>
      </c>
      <c r="G5614" t="s">
        <v>37</v>
      </c>
      <c r="H5614">
        <v>1956</v>
      </c>
      <c r="I5614">
        <v>22.201329999999999</v>
      </c>
      <c r="J5614">
        <v>11.90067</v>
      </c>
      <c r="K5614">
        <v>61</v>
      </c>
      <c r="L5614">
        <v>21.861730000000001</v>
      </c>
      <c r="M5614">
        <v>32.101329999999997</v>
      </c>
      <c r="N5614">
        <v>12.700670000000001</v>
      </c>
      <c r="O5614">
        <v>19.400670000000002</v>
      </c>
      <c r="P5614">
        <v>24.001000000000001</v>
      </c>
      <c r="Q5614">
        <v>20.100999999999999</v>
      </c>
      <c r="R5614">
        <v>24.501329999999999</v>
      </c>
      <c r="S5614">
        <v>19.00067</v>
      </c>
      <c r="T5614">
        <v>1466.94</v>
      </c>
      <c r="U5614">
        <v>284.99</v>
      </c>
      <c r="V5614">
        <v>15</v>
      </c>
      <c r="W5614">
        <v>88.003330000000005</v>
      </c>
      <c r="X5614">
        <v>824.96669999999995</v>
      </c>
      <c r="Y5614">
        <v>57.993340000000003</v>
      </c>
      <c r="Z5614">
        <v>418.98</v>
      </c>
      <c r="AA5614">
        <v>70.990020000000001</v>
      </c>
      <c r="AB5614">
        <v>40.483020000000003</v>
      </c>
      <c r="AC5614">
        <v>0.1071178</v>
      </c>
      <c r="AD5614">
        <v>5.3031490000000003</v>
      </c>
      <c r="AE5614">
        <v>0.18712899999999999</v>
      </c>
      <c r="AF5614">
        <v>771.58900000000006</v>
      </c>
      <c r="AG5614">
        <f>IFERROR(AH5614*0.1, "N/A")</f>
        <v>5.8608989999999999</v>
      </c>
      <c r="AH5614">
        <v>58.608989999999999</v>
      </c>
      <c r="AI5614">
        <v>132.96690000000001</v>
      </c>
      <c r="AJ5614">
        <v>26.988350000000001</v>
      </c>
      <c r="AK5614">
        <v>55.590679999999999</v>
      </c>
    </row>
    <row r="5615" spans="1:37" x14ac:dyDescent="0.3">
      <c r="A5615">
        <v>5614</v>
      </c>
      <c r="B5615">
        <v>95</v>
      </c>
      <c r="C5615">
        <v>36.914200000000001</v>
      </c>
      <c r="D5615">
        <v>-15.190799999999999</v>
      </c>
      <c r="E5615" t="s">
        <v>9015</v>
      </c>
      <c r="F5615" t="s">
        <v>9016</v>
      </c>
      <c r="G5615" t="s">
        <v>39</v>
      </c>
      <c r="H5615">
        <v>1956</v>
      </c>
      <c r="I5615">
        <v>22.5</v>
      </c>
      <c r="J5615">
        <v>12.4</v>
      </c>
      <c r="K5615">
        <v>60.949750000000002</v>
      </c>
      <c r="L5615">
        <v>23.305579999999999</v>
      </c>
      <c r="M5615">
        <v>32.710050000000003</v>
      </c>
      <c r="N5615">
        <v>12.4</v>
      </c>
      <c r="O5615">
        <v>20.31005</v>
      </c>
      <c r="P5615">
        <v>24.205030000000001</v>
      </c>
      <c r="Q5615">
        <v>20.305019999999999</v>
      </c>
      <c r="R5615">
        <v>24.90502</v>
      </c>
      <c r="S5615">
        <v>19</v>
      </c>
      <c r="T5615">
        <v>1267.5029999999999</v>
      </c>
      <c r="U5615">
        <v>265.05029999999999</v>
      </c>
      <c r="V5615">
        <v>11.05025</v>
      </c>
      <c r="W5615">
        <v>95</v>
      </c>
      <c r="X5615">
        <v>747.1508</v>
      </c>
      <c r="Y5615">
        <v>38.050249999999998</v>
      </c>
      <c r="Z5615">
        <v>352.10050000000001</v>
      </c>
      <c r="AA5615">
        <v>45</v>
      </c>
      <c r="AB5615">
        <v>1.8822319999999999</v>
      </c>
      <c r="AC5615">
        <v>79.007829999999998</v>
      </c>
      <c r="AD5615">
        <v>2.2197619999999998</v>
      </c>
      <c r="AE5615">
        <v>0.1787193</v>
      </c>
      <c r="AF5615">
        <v>706.08040000000005</v>
      </c>
      <c r="AG5615">
        <f>IFERROR(AH5615*0.1, "N/A")</f>
        <v>5.8514240000000006</v>
      </c>
      <c r="AH5615">
        <v>58.514240000000001</v>
      </c>
      <c r="AI5615">
        <v>75.46772</v>
      </c>
      <c r="AJ5615">
        <v>23.802350000000001</v>
      </c>
      <c r="AK5615">
        <v>64.268010000000004</v>
      </c>
    </row>
    <row r="5616" spans="1:37" x14ac:dyDescent="0.3">
      <c r="A5616">
        <v>5615</v>
      </c>
      <c r="B5616">
        <v>0</v>
      </c>
      <c r="C5616">
        <v>36.914200000000001</v>
      </c>
      <c r="D5616">
        <v>-15.190799999999999</v>
      </c>
      <c r="E5616" t="s">
        <v>9015</v>
      </c>
      <c r="F5616" t="s">
        <v>9017</v>
      </c>
      <c r="G5616" t="s">
        <v>37</v>
      </c>
      <c r="H5616">
        <v>1956</v>
      </c>
      <c r="I5616">
        <v>22.5</v>
      </c>
      <c r="J5616">
        <v>12.4</v>
      </c>
      <c r="K5616">
        <v>60.949750000000002</v>
      </c>
      <c r="L5616">
        <v>23.305579999999999</v>
      </c>
      <c r="M5616">
        <v>32.710050000000003</v>
      </c>
      <c r="N5616">
        <v>12.4</v>
      </c>
      <c r="O5616">
        <v>20.31005</v>
      </c>
      <c r="P5616">
        <v>24.205030000000001</v>
      </c>
      <c r="Q5616">
        <v>20.305019999999999</v>
      </c>
      <c r="R5616">
        <v>24.90502</v>
      </c>
      <c r="S5616">
        <v>19</v>
      </c>
      <c r="T5616">
        <v>1267.5029999999999</v>
      </c>
      <c r="U5616">
        <v>265.05029999999999</v>
      </c>
      <c r="V5616">
        <v>11.05025</v>
      </c>
      <c r="W5616">
        <v>95</v>
      </c>
      <c r="X5616">
        <v>747.1508</v>
      </c>
      <c r="Y5616">
        <v>38.050249999999998</v>
      </c>
      <c r="Z5616">
        <v>352.10050000000001</v>
      </c>
      <c r="AA5616">
        <v>45</v>
      </c>
      <c r="AB5616">
        <v>1.8822319999999999</v>
      </c>
      <c r="AC5616">
        <v>79.007829999999998</v>
      </c>
      <c r="AD5616">
        <v>2.2197619999999998</v>
      </c>
      <c r="AE5616">
        <v>0.1787193</v>
      </c>
      <c r="AF5616">
        <v>706.08040000000005</v>
      </c>
      <c r="AG5616">
        <f>IFERROR(AH5616*0.1, "N/A")</f>
        <v>5.8514240000000006</v>
      </c>
      <c r="AH5616">
        <v>58.514240000000001</v>
      </c>
      <c r="AI5616">
        <v>75.46772</v>
      </c>
      <c r="AJ5616">
        <v>23.802350000000001</v>
      </c>
      <c r="AK5616">
        <v>64.268010000000004</v>
      </c>
    </row>
    <row r="5617" spans="1:37" x14ac:dyDescent="0.3">
      <c r="A5617">
        <v>5616</v>
      </c>
      <c r="B5617">
        <v>95</v>
      </c>
      <c r="C5617">
        <v>36.804299999999998</v>
      </c>
      <c r="D5617">
        <v>-15.172800000000001</v>
      </c>
      <c r="E5617" t="s">
        <v>9018</v>
      </c>
      <c r="F5617" t="s">
        <v>9019</v>
      </c>
      <c r="G5617" t="s">
        <v>39</v>
      </c>
      <c r="H5617">
        <v>1956</v>
      </c>
      <c r="I5617">
        <v>22.9</v>
      </c>
      <c r="J5617">
        <v>12.2</v>
      </c>
      <c r="K5617">
        <v>60</v>
      </c>
      <c r="L5617">
        <v>23.13</v>
      </c>
      <c r="M5617">
        <v>33</v>
      </c>
      <c r="N5617">
        <v>12.9</v>
      </c>
      <c r="O5617">
        <v>20.100000000000001</v>
      </c>
      <c r="P5617">
        <v>24.6</v>
      </c>
      <c r="Q5617">
        <v>20.7</v>
      </c>
      <c r="R5617">
        <v>25.3</v>
      </c>
      <c r="S5617">
        <v>19.5</v>
      </c>
      <c r="T5617">
        <v>1168</v>
      </c>
      <c r="U5617">
        <v>252</v>
      </c>
      <c r="V5617">
        <v>9</v>
      </c>
      <c r="W5617">
        <v>97</v>
      </c>
      <c r="X5617">
        <v>712</v>
      </c>
      <c r="Y5617">
        <v>33</v>
      </c>
      <c r="Z5617">
        <v>336</v>
      </c>
      <c r="AA5617">
        <v>36</v>
      </c>
      <c r="AB5617">
        <v>20.518709999999999</v>
      </c>
      <c r="AC5617">
        <v>9.7741059999999994E-3</v>
      </c>
      <c r="AD5617">
        <v>1.667678</v>
      </c>
      <c r="AE5617">
        <v>0.1990912</v>
      </c>
      <c r="AF5617">
        <v>694.36450000000002</v>
      </c>
      <c r="AG5617">
        <f>IFERROR(AH5617*0.1, "N/A")</f>
        <v>5.8787630000000002</v>
      </c>
      <c r="AH5617">
        <v>58.78763</v>
      </c>
      <c r="AI5617">
        <v>89.607500000000002</v>
      </c>
      <c r="AJ5617">
        <v>29.780940000000001</v>
      </c>
      <c r="AK5617">
        <v>55.804349999999999</v>
      </c>
    </row>
    <row r="5618" spans="1:37" x14ac:dyDescent="0.3">
      <c r="A5618">
        <v>5617</v>
      </c>
      <c r="B5618">
        <v>0</v>
      </c>
      <c r="C5618">
        <v>36.804299999999998</v>
      </c>
      <c r="D5618">
        <v>-15.172800000000001</v>
      </c>
      <c r="E5618" t="s">
        <v>9018</v>
      </c>
      <c r="F5618" t="s">
        <v>9020</v>
      </c>
      <c r="G5618" t="s">
        <v>37</v>
      </c>
      <c r="H5618">
        <v>1956</v>
      </c>
      <c r="I5618">
        <v>22.9</v>
      </c>
      <c r="J5618">
        <v>12.2</v>
      </c>
      <c r="K5618">
        <v>60</v>
      </c>
      <c r="L5618">
        <v>23.13</v>
      </c>
      <c r="M5618">
        <v>33</v>
      </c>
      <c r="N5618">
        <v>12.9</v>
      </c>
      <c r="O5618">
        <v>20.100000000000001</v>
      </c>
      <c r="P5618">
        <v>24.6</v>
      </c>
      <c r="Q5618">
        <v>20.7</v>
      </c>
      <c r="R5618">
        <v>25.3</v>
      </c>
      <c r="S5618">
        <v>19.5</v>
      </c>
      <c r="T5618">
        <v>1168</v>
      </c>
      <c r="U5618">
        <v>252</v>
      </c>
      <c r="V5618">
        <v>9</v>
      </c>
      <c r="W5618">
        <v>97</v>
      </c>
      <c r="X5618">
        <v>712</v>
      </c>
      <c r="Y5618">
        <v>33</v>
      </c>
      <c r="Z5618">
        <v>336</v>
      </c>
      <c r="AA5618">
        <v>36</v>
      </c>
      <c r="AB5618">
        <v>20.518709999999999</v>
      </c>
      <c r="AC5618">
        <v>9.7741059999999994E-3</v>
      </c>
      <c r="AD5618">
        <v>1.667678</v>
      </c>
      <c r="AE5618">
        <v>0.1990912</v>
      </c>
      <c r="AF5618">
        <v>694.36450000000002</v>
      </c>
      <c r="AG5618">
        <f>IFERROR(AH5618*0.1, "N/A")</f>
        <v>5.8787630000000002</v>
      </c>
      <c r="AH5618">
        <v>58.78763</v>
      </c>
      <c r="AI5618">
        <v>89.607500000000002</v>
      </c>
      <c r="AJ5618">
        <v>29.780940000000001</v>
      </c>
      <c r="AK5618">
        <v>55.804349999999999</v>
      </c>
    </row>
    <row r="5619" spans="1:37" x14ac:dyDescent="0.3">
      <c r="A5619">
        <v>5618</v>
      </c>
      <c r="B5619">
        <v>91.7</v>
      </c>
      <c r="C5619">
        <v>39.266800000000003</v>
      </c>
      <c r="D5619">
        <v>-15.116199999999999</v>
      </c>
      <c r="E5619" t="s">
        <v>9021</v>
      </c>
      <c r="F5619" t="s">
        <v>9022</v>
      </c>
      <c r="G5619" t="s">
        <v>39</v>
      </c>
      <c r="H5619">
        <v>1957</v>
      </c>
      <c r="I5619">
        <v>24.7</v>
      </c>
      <c r="J5619">
        <v>11.9</v>
      </c>
      <c r="K5619">
        <v>62</v>
      </c>
      <c r="L5619">
        <v>22.702770000000001</v>
      </c>
      <c r="M5619">
        <v>34.112520000000004</v>
      </c>
      <c r="N5619">
        <v>15.20351</v>
      </c>
      <c r="O5619">
        <v>18.909009999999999</v>
      </c>
      <c r="P5619">
        <v>26.303509999999999</v>
      </c>
      <c r="Q5619">
        <v>22.2</v>
      </c>
      <c r="R5619">
        <v>26.9</v>
      </c>
      <c r="S5619">
        <v>21.2</v>
      </c>
      <c r="T5619">
        <v>1093.25</v>
      </c>
      <c r="U5619">
        <v>241</v>
      </c>
      <c r="V5619">
        <v>7</v>
      </c>
      <c r="W5619">
        <v>95</v>
      </c>
      <c r="X5619">
        <v>653.12519999999995</v>
      </c>
      <c r="Y5619">
        <v>35</v>
      </c>
      <c r="Z5619">
        <v>504</v>
      </c>
      <c r="AA5619">
        <v>44</v>
      </c>
      <c r="AB5619">
        <v>27.5656</v>
      </c>
      <c r="AC5619">
        <v>4.5217800000000002E-2</v>
      </c>
      <c r="AD5619">
        <v>2.4434559999999999</v>
      </c>
      <c r="AE5619">
        <v>0.90731539999999999</v>
      </c>
      <c r="AF5619">
        <v>429.74119999999999</v>
      </c>
      <c r="AG5619">
        <f>IFERROR(AH5619*0.1, "N/A")</f>
        <v>6.872955000000001</v>
      </c>
      <c r="AH5619">
        <v>68.729550000000003</v>
      </c>
      <c r="AI5619">
        <v>170.28360000000001</v>
      </c>
      <c r="AJ5619">
        <v>24.909849999999999</v>
      </c>
      <c r="AK5619">
        <v>58.090150000000001</v>
      </c>
    </row>
    <row r="5620" spans="1:37" x14ac:dyDescent="0.3">
      <c r="A5620">
        <v>5619</v>
      </c>
      <c r="B5620">
        <v>18.3</v>
      </c>
      <c r="C5620">
        <v>39.266800000000003</v>
      </c>
      <c r="D5620">
        <v>-15.116199999999999</v>
      </c>
      <c r="E5620" t="s">
        <v>9021</v>
      </c>
      <c r="F5620" t="s">
        <v>9023</v>
      </c>
      <c r="G5620" t="s">
        <v>37</v>
      </c>
      <c r="H5620">
        <v>1957</v>
      </c>
      <c r="I5620">
        <v>24.7</v>
      </c>
      <c r="J5620">
        <v>11.9</v>
      </c>
      <c r="K5620">
        <v>62</v>
      </c>
      <c r="L5620">
        <v>22.702770000000001</v>
      </c>
      <c r="M5620">
        <v>34.112520000000004</v>
      </c>
      <c r="N5620">
        <v>15.20351</v>
      </c>
      <c r="O5620">
        <v>18.909009999999999</v>
      </c>
      <c r="P5620">
        <v>26.303509999999999</v>
      </c>
      <c r="Q5620">
        <v>22.2</v>
      </c>
      <c r="R5620">
        <v>26.9</v>
      </c>
      <c r="S5620">
        <v>21.2</v>
      </c>
      <c r="T5620">
        <v>1093.25</v>
      </c>
      <c r="U5620">
        <v>241</v>
      </c>
      <c r="V5620">
        <v>7</v>
      </c>
      <c r="W5620">
        <v>95</v>
      </c>
      <c r="X5620">
        <v>653.12519999999995</v>
      </c>
      <c r="Y5620">
        <v>35</v>
      </c>
      <c r="Z5620">
        <v>504</v>
      </c>
      <c r="AA5620">
        <v>44</v>
      </c>
      <c r="AB5620">
        <v>27.5656</v>
      </c>
      <c r="AC5620">
        <v>4.5217800000000002E-2</v>
      </c>
      <c r="AD5620">
        <v>2.4434559999999999</v>
      </c>
      <c r="AE5620">
        <v>0.90731539999999999</v>
      </c>
      <c r="AF5620">
        <v>429.74119999999999</v>
      </c>
      <c r="AG5620">
        <f>IFERROR(AH5620*0.1, "N/A")</f>
        <v>6.872955000000001</v>
      </c>
      <c r="AH5620">
        <v>68.729550000000003</v>
      </c>
      <c r="AI5620">
        <v>170.28360000000001</v>
      </c>
      <c r="AJ5620">
        <v>24.909849999999999</v>
      </c>
      <c r="AK5620">
        <v>58.090150000000001</v>
      </c>
    </row>
    <row r="5621" spans="1:37" x14ac:dyDescent="0.3">
      <c r="A5621">
        <v>5620</v>
      </c>
      <c r="B5621">
        <v>97.5</v>
      </c>
      <c r="C5621">
        <v>38.234699999999997</v>
      </c>
      <c r="D5621">
        <v>-15.0509</v>
      </c>
      <c r="E5621" t="s">
        <v>9024</v>
      </c>
      <c r="F5621" t="s">
        <v>9025</v>
      </c>
      <c r="G5621" t="s">
        <v>39</v>
      </c>
      <c r="H5621">
        <v>1957</v>
      </c>
      <c r="I5621">
        <v>22.625419999999998</v>
      </c>
      <c r="J5621">
        <v>12.1</v>
      </c>
      <c r="K5621">
        <v>62.127090000000003</v>
      </c>
      <c r="L5621">
        <v>21.624580000000002</v>
      </c>
      <c r="M5621">
        <v>32.1</v>
      </c>
      <c r="N5621">
        <v>12.812709999999999</v>
      </c>
      <c r="O5621">
        <v>19.287289999999999</v>
      </c>
      <c r="P5621">
        <v>24.13813</v>
      </c>
      <c r="Q5621">
        <v>20.412710000000001</v>
      </c>
      <c r="R5621">
        <v>24.812709999999999</v>
      </c>
      <c r="S5621">
        <v>19.412710000000001</v>
      </c>
      <c r="T5621">
        <v>1181.2370000000001</v>
      </c>
      <c r="U5621">
        <v>270.87290000000002</v>
      </c>
      <c r="V5621">
        <v>7</v>
      </c>
      <c r="W5621">
        <v>100</v>
      </c>
      <c r="X5621">
        <v>718.49159999999995</v>
      </c>
      <c r="Y5621">
        <v>29</v>
      </c>
      <c r="Z5621">
        <v>322.87290000000002</v>
      </c>
      <c r="AA5621">
        <v>33</v>
      </c>
      <c r="AB5621">
        <v>26.318739999999998</v>
      </c>
      <c r="AC5621">
        <v>3.877307E-2</v>
      </c>
      <c r="AD5621">
        <v>3.0520529999999999</v>
      </c>
      <c r="AE5621">
        <v>0.1834982</v>
      </c>
      <c r="AF5621">
        <v>648.30269999999996</v>
      </c>
      <c r="AG5621">
        <f>IFERROR(AH5621*0.1, "N/A")</f>
        <v>5.7635450000000006</v>
      </c>
      <c r="AH5621">
        <v>57.635449999999999</v>
      </c>
      <c r="AI5621">
        <v>133.73419999999999</v>
      </c>
      <c r="AJ5621">
        <v>19.142140000000001</v>
      </c>
      <c r="AK5621">
        <v>73.921400000000006</v>
      </c>
    </row>
    <row r="5622" spans="1:37" x14ac:dyDescent="0.3">
      <c r="A5622">
        <v>5621</v>
      </c>
      <c r="B5622">
        <v>0</v>
      </c>
      <c r="C5622">
        <v>38.234699999999997</v>
      </c>
      <c r="D5622">
        <v>-15.0509</v>
      </c>
      <c r="E5622" t="s">
        <v>9024</v>
      </c>
      <c r="F5622" t="s">
        <v>9026</v>
      </c>
      <c r="G5622" t="s">
        <v>37</v>
      </c>
      <c r="H5622">
        <v>1957</v>
      </c>
      <c r="I5622">
        <v>22.625419999999998</v>
      </c>
      <c r="J5622">
        <v>12.1</v>
      </c>
      <c r="K5622">
        <v>62.127090000000003</v>
      </c>
      <c r="L5622">
        <v>21.624580000000002</v>
      </c>
      <c r="M5622">
        <v>32.1</v>
      </c>
      <c r="N5622">
        <v>12.812709999999999</v>
      </c>
      <c r="O5622">
        <v>19.287289999999999</v>
      </c>
      <c r="P5622">
        <v>24.13813</v>
      </c>
      <c r="Q5622">
        <v>20.412710000000001</v>
      </c>
      <c r="R5622">
        <v>24.812709999999999</v>
      </c>
      <c r="S5622">
        <v>19.412710000000001</v>
      </c>
      <c r="T5622">
        <v>1181.2370000000001</v>
      </c>
      <c r="U5622">
        <v>270.87290000000002</v>
      </c>
      <c r="V5622">
        <v>7</v>
      </c>
      <c r="W5622">
        <v>100</v>
      </c>
      <c r="X5622">
        <v>718.49159999999995</v>
      </c>
      <c r="Y5622">
        <v>29</v>
      </c>
      <c r="Z5622">
        <v>322.87290000000002</v>
      </c>
      <c r="AA5622">
        <v>33</v>
      </c>
      <c r="AB5622">
        <v>26.318739999999998</v>
      </c>
      <c r="AC5622">
        <v>3.877307E-2</v>
      </c>
      <c r="AD5622">
        <v>3.0520529999999999</v>
      </c>
      <c r="AE5622">
        <v>0.1834982</v>
      </c>
      <c r="AF5622">
        <v>648.30269999999996</v>
      </c>
      <c r="AG5622">
        <f>IFERROR(AH5622*0.1, "N/A")</f>
        <v>5.7635450000000006</v>
      </c>
      <c r="AH5622">
        <v>57.635449999999999</v>
      </c>
      <c r="AI5622">
        <v>133.73419999999999</v>
      </c>
      <c r="AJ5622">
        <v>19.142140000000001</v>
      </c>
      <c r="AK5622">
        <v>73.921400000000006</v>
      </c>
    </row>
    <row r="5623" spans="1:37" x14ac:dyDescent="0.3">
      <c r="A5623">
        <v>5622</v>
      </c>
      <c r="B5623">
        <v>40</v>
      </c>
      <c r="C5623">
        <v>40.731699999999996</v>
      </c>
      <c r="D5623">
        <v>-15.0381</v>
      </c>
      <c r="E5623" t="s">
        <v>9027</v>
      </c>
      <c r="F5623" t="s">
        <v>9028</v>
      </c>
      <c r="G5623" t="s">
        <v>39</v>
      </c>
      <c r="H5623">
        <v>1957</v>
      </c>
      <c r="I5623" t="s">
        <v>729</v>
      </c>
      <c r="J5623" t="s">
        <v>729</v>
      </c>
      <c r="K5623" t="s">
        <v>729</v>
      </c>
      <c r="L5623" t="s">
        <v>729</v>
      </c>
      <c r="M5623" t="s">
        <v>729</v>
      </c>
      <c r="N5623" t="s">
        <v>729</v>
      </c>
      <c r="O5623" t="s">
        <v>729</v>
      </c>
      <c r="P5623" t="s">
        <v>729</v>
      </c>
      <c r="Q5623" t="s">
        <v>729</v>
      </c>
      <c r="R5623" t="s">
        <v>729</v>
      </c>
      <c r="S5623" t="s">
        <v>729</v>
      </c>
      <c r="T5623" t="s">
        <v>729</v>
      </c>
      <c r="U5623" t="s">
        <v>729</v>
      </c>
      <c r="V5623" t="s">
        <v>729</v>
      </c>
      <c r="W5623" t="s">
        <v>729</v>
      </c>
      <c r="X5623" t="s">
        <v>729</v>
      </c>
      <c r="Y5623" t="s">
        <v>729</v>
      </c>
      <c r="Z5623" t="s">
        <v>729</v>
      </c>
      <c r="AA5623" t="s">
        <v>729</v>
      </c>
      <c r="AB5623" t="s">
        <v>729</v>
      </c>
      <c r="AC5623" t="s">
        <v>729</v>
      </c>
      <c r="AD5623" t="s">
        <v>729</v>
      </c>
      <c r="AE5623" t="s">
        <v>729</v>
      </c>
      <c r="AF5623" t="s">
        <v>729</v>
      </c>
      <c r="AG5623" t="str">
        <f>IFERROR(AH5623*0.1, "N/A")</f>
        <v>N/A</v>
      </c>
      <c r="AH5623" t="s">
        <v>729</v>
      </c>
      <c r="AI5623" t="s">
        <v>729</v>
      </c>
      <c r="AJ5623" t="s">
        <v>729</v>
      </c>
      <c r="AK5623" t="s">
        <v>729</v>
      </c>
    </row>
    <row r="5624" spans="1:37" x14ac:dyDescent="0.3">
      <c r="A5624">
        <v>5623</v>
      </c>
      <c r="B5624">
        <v>0</v>
      </c>
      <c r="C5624">
        <v>40.731699999999996</v>
      </c>
      <c r="D5624">
        <v>-15.0381</v>
      </c>
      <c r="E5624" t="s">
        <v>9027</v>
      </c>
      <c r="F5624" t="s">
        <v>9029</v>
      </c>
      <c r="G5624" t="s">
        <v>37</v>
      </c>
      <c r="H5624">
        <v>1957</v>
      </c>
      <c r="I5624" t="s">
        <v>729</v>
      </c>
      <c r="J5624" t="s">
        <v>729</v>
      </c>
      <c r="K5624" t="s">
        <v>729</v>
      </c>
      <c r="L5624" t="s">
        <v>729</v>
      </c>
      <c r="M5624" t="s">
        <v>729</v>
      </c>
      <c r="N5624" t="s">
        <v>729</v>
      </c>
      <c r="O5624" t="s">
        <v>729</v>
      </c>
      <c r="P5624" t="s">
        <v>729</v>
      </c>
      <c r="Q5624" t="s">
        <v>729</v>
      </c>
      <c r="R5624" t="s">
        <v>729</v>
      </c>
      <c r="S5624" t="s">
        <v>729</v>
      </c>
      <c r="T5624" t="s">
        <v>729</v>
      </c>
      <c r="U5624" t="s">
        <v>729</v>
      </c>
      <c r="V5624" t="s">
        <v>729</v>
      </c>
      <c r="W5624" t="s">
        <v>729</v>
      </c>
      <c r="X5624" t="s">
        <v>729</v>
      </c>
      <c r="Y5624" t="s">
        <v>729</v>
      </c>
      <c r="Z5624" t="s">
        <v>729</v>
      </c>
      <c r="AA5624" t="s">
        <v>729</v>
      </c>
      <c r="AB5624" t="s">
        <v>729</v>
      </c>
      <c r="AC5624" t="s">
        <v>729</v>
      </c>
      <c r="AD5624" t="s">
        <v>729</v>
      </c>
      <c r="AE5624" t="s">
        <v>729</v>
      </c>
      <c r="AF5624" t="s">
        <v>729</v>
      </c>
      <c r="AG5624" t="str">
        <f>IFERROR(AH5624*0.1, "N/A")</f>
        <v>N/A</v>
      </c>
      <c r="AH5624" t="s">
        <v>729</v>
      </c>
      <c r="AI5624" t="s">
        <v>729</v>
      </c>
      <c r="AJ5624" t="s">
        <v>729</v>
      </c>
      <c r="AK5624" t="s">
        <v>729</v>
      </c>
    </row>
    <row r="5625" spans="1:37" x14ac:dyDescent="0.3">
      <c r="A5625">
        <v>5624</v>
      </c>
      <c r="B5625">
        <v>97.5</v>
      </c>
      <c r="C5625">
        <v>39.845999999999997</v>
      </c>
      <c r="D5625">
        <v>-14.9598</v>
      </c>
      <c r="E5625" t="s">
        <v>9030</v>
      </c>
      <c r="F5625" t="s">
        <v>9031</v>
      </c>
      <c r="G5625" t="s">
        <v>39</v>
      </c>
      <c r="H5625">
        <v>1957</v>
      </c>
      <c r="I5625">
        <v>24.1</v>
      </c>
      <c r="J5625">
        <v>12.1</v>
      </c>
      <c r="K5625">
        <v>75</v>
      </c>
      <c r="L5625">
        <v>11.82</v>
      </c>
      <c r="M5625">
        <v>31.9</v>
      </c>
      <c r="N5625">
        <v>15.9</v>
      </c>
      <c r="O5625">
        <v>16</v>
      </c>
      <c r="P5625">
        <v>25</v>
      </c>
      <c r="Q5625">
        <v>22.7</v>
      </c>
      <c r="R5625">
        <v>25.3</v>
      </c>
      <c r="S5625">
        <v>22.3</v>
      </c>
      <c r="T5625">
        <v>1023</v>
      </c>
      <c r="U5625">
        <v>244</v>
      </c>
      <c r="V5625">
        <v>6</v>
      </c>
      <c r="W5625">
        <v>105</v>
      </c>
      <c r="X5625">
        <v>647</v>
      </c>
      <c r="Y5625">
        <v>27</v>
      </c>
      <c r="Z5625">
        <v>486</v>
      </c>
      <c r="AA5625">
        <v>32</v>
      </c>
      <c r="AB5625">
        <v>10.203519999999999</v>
      </c>
      <c r="AC5625">
        <v>1.659656E-2</v>
      </c>
      <c r="AD5625">
        <v>1.556848</v>
      </c>
      <c r="AE5625">
        <v>0.29358070000000003</v>
      </c>
      <c r="AF5625">
        <v>262.47739999999999</v>
      </c>
      <c r="AG5625">
        <f>IFERROR(AH5625*0.1, "N/A")</f>
        <v>6</v>
      </c>
      <c r="AH5625">
        <v>60</v>
      </c>
      <c r="AI5625">
        <v>114.1426</v>
      </c>
      <c r="AJ5625">
        <v>15</v>
      </c>
      <c r="AK5625">
        <v>76.778890000000004</v>
      </c>
    </row>
    <row r="5626" spans="1:37" x14ac:dyDescent="0.3">
      <c r="A5626">
        <v>5625</v>
      </c>
      <c r="B5626">
        <v>12.5</v>
      </c>
      <c r="C5626">
        <v>39.845999999999997</v>
      </c>
      <c r="D5626">
        <v>-14.9598</v>
      </c>
      <c r="E5626" t="s">
        <v>9030</v>
      </c>
      <c r="F5626" t="s">
        <v>9032</v>
      </c>
      <c r="G5626" t="s">
        <v>37</v>
      </c>
      <c r="H5626">
        <v>1957</v>
      </c>
      <c r="I5626">
        <v>24.1</v>
      </c>
      <c r="J5626">
        <v>12.1</v>
      </c>
      <c r="K5626">
        <v>75</v>
      </c>
      <c r="L5626">
        <v>11.82</v>
      </c>
      <c r="M5626">
        <v>31.9</v>
      </c>
      <c r="N5626">
        <v>15.9</v>
      </c>
      <c r="O5626">
        <v>16</v>
      </c>
      <c r="P5626">
        <v>25</v>
      </c>
      <c r="Q5626">
        <v>22.7</v>
      </c>
      <c r="R5626">
        <v>25.3</v>
      </c>
      <c r="S5626">
        <v>22.3</v>
      </c>
      <c r="T5626">
        <v>1023</v>
      </c>
      <c r="U5626">
        <v>244</v>
      </c>
      <c r="V5626">
        <v>6</v>
      </c>
      <c r="W5626">
        <v>105</v>
      </c>
      <c r="X5626">
        <v>647</v>
      </c>
      <c r="Y5626">
        <v>27</v>
      </c>
      <c r="Z5626">
        <v>486</v>
      </c>
      <c r="AA5626">
        <v>32</v>
      </c>
      <c r="AB5626">
        <v>10.203519999999999</v>
      </c>
      <c r="AC5626">
        <v>1.659656E-2</v>
      </c>
      <c r="AD5626">
        <v>1.556848</v>
      </c>
      <c r="AE5626">
        <v>0.29358070000000003</v>
      </c>
      <c r="AF5626">
        <v>262.47739999999999</v>
      </c>
      <c r="AG5626">
        <f>IFERROR(AH5626*0.1, "N/A")</f>
        <v>6</v>
      </c>
      <c r="AH5626">
        <v>60</v>
      </c>
      <c r="AI5626">
        <v>114.1426</v>
      </c>
      <c r="AJ5626">
        <v>15</v>
      </c>
      <c r="AK5626">
        <v>76.778890000000004</v>
      </c>
    </row>
    <row r="5627" spans="1:37" x14ac:dyDescent="0.3">
      <c r="A5627">
        <v>5626</v>
      </c>
      <c r="B5627">
        <v>51</v>
      </c>
      <c r="C5627">
        <v>40.554400000000001</v>
      </c>
      <c r="D5627">
        <v>-14.883699999999999</v>
      </c>
      <c r="E5627" t="s">
        <v>9033</v>
      </c>
      <c r="F5627" t="s">
        <v>9034</v>
      </c>
      <c r="G5627" t="s">
        <v>39</v>
      </c>
      <c r="H5627">
        <v>1957</v>
      </c>
      <c r="I5627">
        <v>25.2</v>
      </c>
      <c r="J5627">
        <v>10.5</v>
      </c>
      <c r="K5627">
        <v>68</v>
      </c>
      <c r="L5627">
        <v>18.04626</v>
      </c>
      <c r="M5627">
        <v>32.299999999999997</v>
      </c>
      <c r="N5627">
        <v>17</v>
      </c>
      <c r="O5627">
        <v>15.3</v>
      </c>
      <c r="P5627">
        <v>26.8</v>
      </c>
      <c r="Q5627">
        <v>23.9</v>
      </c>
      <c r="R5627">
        <v>27</v>
      </c>
      <c r="S5627">
        <v>22.6</v>
      </c>
      <c r="T5627">
        <v>911.21479999999997</v>
      </c>
      <c r="U5627">
        <v>201.80369999999999</v>
      </c>
      <c r="V5627">
        <v>8</v>
      </c>
      <c r="W5627">
        <v>92.196309999999997</v>
      </c>
      <c r="X5627">
        <v>545.80370000000005</v>
      </c>
      <c r="Y5627">
        <v>29</v>
      </c>
      <c r="Z5627">
        <v>373.60739999999998</v>
      </c>
      <c r="AA5627">
        <v>64</v>
      </c>
      <c r="AB5627">
        <v>12.57835</v>
      </c>
      <c r="AC5627">
        <v>9.7645189999999993E-3</v>
      </c>
      <c r="AD5627">
        <v>1.3613630000000001</v>
      </c>
      <c r="AE5627">
        <v>0.18050060000000001</v>
      </c>
      <c r="AF5627">
        <v>78.421139999999994</v>
      </c>
      <c r="AG5627">
        <f>IFERROR(AH5627*0.1, "N/A")</f>
        <v>6.0092280000000002</v>
      </c>
      <c r="AH5627">
        <v>60.092280000000002</v>
      </c>
      <c r="AI5627">
        <v>73.599350000000001</v>
      </c>
      <c r="AJ5627">
        <v>21.617450000000002</v>
      </c>
      <c r="AK5627">
        <v>68.984899999999996</v>
      </c>
    </row>
    <row r="5628" spans="1:37" x14ac:dyDescent="0.3">
      <c r="A5628">
        <v>5627</v>
      </c>
      <c r="B5628">
        <v>11</v>
      </c>
      <c r="C5628">
        <v>40.554400000000001</v>
      </c>
      <c r="D5628">
        <v>-14.883699999999999</v>
      </c>
      <c r="E5628" t="s">
        <v>9033</v>
      </c>
      <c r="F5628" t="s">
        <v>9035</v>
      </c>
      <c r="G5628" t="s">
        <v>37</v>
      </c>
      <c r="H5628">
        <v>1957</v>
      </c>
      <c r="I5628">
        <v>25.2</v>
      </c>
      <c r="J5628">
        <v>10.5</v>
      </c>
      <c r="K5628">
        <v>68</v>
      </c>
      <c r="L5628">
        <v>18.04626</v>
      </c>
      <c r="M5628">
        <v>32.299999999999997</v>
      </c>
      <c r="N5628">
        <v>17</v>
      </c>
      <c r="O5628">
        <v>15.3</v>
      </c>
      <c r="P5628">
        <v>26.8</v>
      </c>
      <c r="Q5628">
        <v>23.9</v>
      </c>
      <c r="R5628">
        <v>27</v>
      </c>
      <c r="S5628">
        <v>22.6</v>
      </c>
      <c r="T5628">
        <v>911.21479999999997</v>
      </c>
      <c r="U5628">
        <v>201.80369999999999</v>
      </c>
      <c r="V5628">
        <v>8</v>
      </c>
      <c r="W5628">
        <v>92.196309999999997</v>
      </c>
      <c r="X5628">
        <v>545.80370000000005</v>
      </c>
      <c r="Y5628">
        <v>29</v>
      </c>
      <c r="Z5628">
        <v>373.60739999999998</v>
      </c>
      <c r="AA5628">
        <v>64</v>
      </c>
      <c r="AB5628">
        <v>12.57835</v>
      </c>
      <c r="AC5628">
        <v>9.7645189999999993E-3</v>
      </c>
      <c r="AD5628">
        <v>1.3613630000000001</v>
      </c>
      <c r="AE5628">
        <v>0.18050060000000001</v>
      </c>
      <c r="AF5628">
        <v>78.421139999999994</v>
      </c>
      <c r="AG5628">
        <f>IFERROR(AH5628*0.1, "N/A")</f>
        <v>6.0092280000000002</v>
      </c>
      <c r="AH5628">
        <v>60.092280000000002</v>
      </c>
      <c r="AI5628">
        <v>73.599350000000001</v>
      </c>
      <c r="AJ5628">
        <v>21.617450000000002</v>
      </c>
      <c r="AK5628">
        <v>68.984899999999996</v>
      </c>
    </row>
    <row r="5629" spans="1:37" x14ac:dyDescent="0.3">
      <c r="A5629">
        <v>5628</v>
      </c>
      <c r="B5629">
        <v>98.3</v>
      </c>
      <c r="C5629">
        <v>37.383299999999998</v>
      </c>
      <c r="D5629">
        <v>-14.745699999999999</v>
      </c>
      <c r="E5629" t="s">
        <v>9036</v>
      </c>
      <c r="F5629" t="s">
        <v>9037</v>
      </c>
      <c r="G5629" t="s">
        <v>39</v>
      </c>
      <c r="H5629">
        <v>1957</v>
      </c>
      <c r="I5629">
        <v>22.65662</v>
      </c>
      <c r="J5629">
        <v>13.6</v>
      </c>
      <c r="K5629">
        <v>62</v>
      </c>
      <c r="L5629">
        <v>22.472429999999999</v>
      </c>
      <c r="M5629">
        <v>32.700000000000003</v>
      </c>
      <c r="N5629">
        <v>11.1</v>
      </c>
      <c r="O5629">
        <v>21.6</v>
      </c>
      <c r="P5629">
        <v>24.056619999999999</v>
      </c>
      <c r="Q5629">
        <v>19.256620000000002</v>
      </c>
      <c r="R5629">
        <v>24.9</v>
      </c>
      <c r="S5629">
        <v>19.256620000000002</v>
      </c>
      <c r="T5629">
        <v>968.86770000000001</v>
      </c>
      <c r="U5629">
        <v>253</v>
      </c>
      <c r="V5629">
        <v>1</v>
      </c>
      <c r="W5629">
        <v>118</v>
      </c>
      <c r="X5629">
        <v>667.43380000000002</v>
      </c>
      <c r="Y5629">
        <v>5</v>
      </c>
      <c r="Z5629">
        <v>244.43379999999999</v>
      </c>
      <c r="AA5629">
        <v>5</v>
      </c>
      <c r="AB5629">
        <v>0.47438190000000002</v>
      </c>
      <c r="AC5629">
        <v>3.85181</v>
      </c>
      <c r="AD5629">
        <v>1.57992</v>
      </c>
      <c r="AE5629">
        <v>0.127247</v>
      </c>
      <c r="AF5629">
        <v>583.77890000000002</v>
      </c>
      <c r="AG5629">
        <f>IFERROR(AH5629*0.1, "N/A")</f>
        <v>5.943384</v>
      </c>
      <c r="AH5629">
        <v>59.433839999999996</v>
      </c>
      <c r="AI5629">
        <v>175.54920000000001</v>
      </c>
      <c r="AJ5629">
        <v>25.57789</v>
      </c>
      <c r="AK5629">
        <v>60.422110000000004</v>
      </c>
    </row>
    <row r="5630" spans="1:37" x14ac:dyDescent="0.3">
      <c r="A5630">
        <v>5629</v>
      </c>
      <c r="B5630">
        <v>3.3</v>
      </c>
      <c r="C5630">
        <v>37.383299999999998</v>
      </c>
      <c r="D5630">
        <v>-14.745699999999999</v>
      </c>
      <c r="E5630" t="s">
        <v>9036</v>
      </c>
      <c r="F5630" t="s">
        <v>9038</v>
      </c>
      <c r="G5630" t="s">
        <v>37</v>
      </c>
      <c r="H5630">
        <v>1957</v>
      </c>
      <c r="I5630">
        <v>22.65662</v>
      </c>
      <c r="J5630">
        <v>13.6</v>
      </c>
      <c r="K5630">
        <v>62</v>
      </c>
      <c r="L5630">
        <v>22.472429999999999</v>
      </c>
      <c r="M5630">
        <v>32.700000000000003</v>
      </c>
      <c r="N5630">
        <v>11.1</v>
      </c>
      <c r="O5630">
        <v>21.6</v>
      </c>
      <c r="P5630">
        <v>24.056619999999999</v>
      </c>
      <c r="Q5630">
        <v>19.256620000000002</v>
      </c>
      <c r="R5630">
        <v>24.9</v>
      </c>
      <c r="S5630">
        <v>19.256620000000002</v>
      </c>
      <c r="T5630">
        <v>968.86770000000001</v>
      </c>
      <c r="U5630">
        <v>253</v>
      </c>
      <c r="V5630">
        <v>1</v>
      </c>
      <c r="W5630">
        <v>118</v>
      </c>
      <c r="X5630">
        <v>667.43380000000002</v>
      </c>
      <c r="Y5630">
        <v>5</v>
      </c>
      <c r="Z5630">
        <v>244.43379999999999</v>
      </c>
      <c r="AA5630">
        <v>5</v>
      </c>
      <c r="AB5630">
        <v>0.47438190000000002</v>
      </c>
      <c r="AC5630">
        <v>3.85181</v>
      </c>
      <c r="AD5630">
        <v>1.57992</v>
      </c>
      <c r="AE5630">
        <v>0.127247</v>
      </c>
      <c r="AF5630">
        <v>583.77890000000002</v>
      </c>
      <c r="AG5630">
        <f>IFERROR(AH5630*0.1, "N/A")</f>
        <v>5.943384</v>
      </c>
      <c r="AH5630">
        <v>59.433839999999996</v>
      </c>
      <c r="AI5630">
        <v>175.54920000000001</v>
      </c>
      <c r="AJ5630">
        <v>25.57789</v>
      </c>
      <c r="AK5630">
        <v>60.422110000000004</v>
      </c>
    </row>
    <row r="5631" spans="1:37" x14ac:dyDescent="0.3">
      <c r="A5631">
        <v>5630</v>
      </c>
      <c r="B5631">
        <v>96.3</v>
      </c>
      <c r="C5631">
        <v>39.575600000000001</v>
      </c>
      <c r="D5631">
        <v>-14.5762</v>
      </c>
      <c r="E5631" t="s">
        <v>9039</v>
      </c>
      <c r="F5631" t="s">
        <v>9040</v>
      </c>
      <c r="G5631" t="s">
        <v>39</v>
      </c>
      <c r="H5631">
        <v>1957</v>
      </c>
      <c r="I5631">
        <v>24.322310000000002</v>
      </c>
      <c r="J5631">
        <v>12.2</v>
      </c>
      <c r="K5631">
        <v>69.776849999999996</v>
      </c>
      <c r="L5631">
        <v>16.443560000000002</v>
      </c>
      <c r="M5631">
        <v>32.722320000000003</v>
      </c>
      <c r="N5631">
        <v>15.27768</v>
      </c>
      <c r="O5631">
        <v>17.44463</v>
      </c>
      <c r="P5631">
        <v>25.422319999999999</v>
      </c>
      <c r="Q5631">
        <v>22.5</v>
      </c>
      <c r="R5631">
        <v>26</v>
      </c>
      <c r="S5631">
        <v>21.8</v>
      </c>
      <c r="T5631">
        <v>1090.5540000000001</v>
      </c>
      <c r="U5631">
        <v>254</v>
      </c>
      <c r="V5631">
        <v>5.7768459999999999</v>
      </c>
      <c r="W5631">
        <v>107</v>
      </c>
      <c r="X5631">
        <v>693.77679999999998</v>
      </c>
      <c r="Y5631">
        <v>19.77685</v>
      </c>
      <c r="Z5631">
        <v>331.88760000000002</v>
      </c>
      <c r="AA5631">
        <v>21.77685</v>
      </c>
      <c r="AB5631">
        <v>20.997479999999999</v>
      </c>
      <c r="AC5631">
        <v>2.2264409999999998E-2</v>
      </c>
      <c r="AD5631">
        <v>1.395823</v>
      </c>
      <c r="AE5631">
        <v>0.17162849999999999</v>
      </c>
      <c r="AF5631">
        <v>399.15769999999998</v>
      </c>
      <c r="AG5631">
        <f>IFERROR(AH5631*0.1, "N/A")</f>
        <v>6.0548660000000005</v>
      </c>
      <c r="AH5631">
        <v>60.548659999999998</v>
      </c>
      <c r="AI5631">
        <v>221.28550000000001</v>
      </c>
      <c r="AJ5631">
        <v>18.605699999999999</v>
      </c>
      <c r="AK5631">
        <v>72.845640000000003</v>
      </c>
    </row>
    <row r="5632" spans="1:37" x14ac:dyDescent="0.3">
      <c r="A5632">
        <v>5631</v>
      </c>
      <c r="B5632">
        <v>1.3</v>
      </c>
      <c r="C5632">
        <v>39.575600000000001</v>
      </c>
      <c r="D5632">
        <v>-14.5762</v>
      </c>
      <c r="E5632" t="s">
        <v>9039</v>
      </c>
      <c r="F5632" t="s">
        <v>9041</v>
      </c>
      <c r="G5632" t="s">
        <v>37</v>
      </c>
      <c r="H5632">
        <v>1957</v>
      </c>
      <c r="I5632">
        <v>24.322310000000002</v>
      </c>
      <c r="J5632">
        <v>12.2</v>
      </c>
      <c r="K5632">
        <v>69.776849999999996</v>
      </c>
      <c r="L5632">
        <v>16.443560000000002</v>
      </c>
      <c r="M5632">
        <v>32.722320000000003</v>
      </c>
      <c r="N5632">
        <v>15.27768</v>
      </c>
      <c r="O5632">
        <v>17.44463</v>
      </c>
      <c r="P5632">
        <v>25.422319999999999</v>
      </c>
      <c r="Q5632">
        <v>22.5</v>
      </c>
      <c r="R5632">
        <v>26</v>
      </c>
      <c r="S5632">
        <v>21.8</v>
      </c>
      <c r="T5632">
        <v>1090.5540000000001</v>
      </c>
      <c r="U5632">
        <v>254</v>
      </c>
      <c r="V5632">
        <v>5.7768459999999999</v>
      </c>
      <c r="W5632">
        <v>107</v>
      </c>
      <c r="X5632">
        <v>693.77679999999998</v>
      </c>
      <c r="Y5632">
        <v>19.77685</v>
      </c>
      <c r="Z5632">
        <v>331.88760000000002</v>
      </c>
      <c r="AA5632">
        <v>21.77685</v>
      </c>
      <c r="AB5632">
        <v>20.997479999999999</v>
      </c>
      <c r="AC5632">
        <v>2.2264409999999998E-2</v>
      </c>
      <c r="AD5632">
        <v>1.395823</v>
      </c>
      <c r="AE5632">
        <v>0.17162849999999999</v>
      </c>
      <c r="AF5632">
        <v>399.15769999999998</v>
      </c>
      <c r="AG5632">
        <f>IFERROR(AH5632*0.1, "N/A")</f>
        <v>6.0548660000000005</v>
      </c>
      <c r="AH5632">
        <v>60.548659999999998</v>
      </c>
      <c r="AI5632">
        <v>221.28550000000001</v>
      </c>
      <c r="AJ5632">
        <v>18.605699999999999</v>
      </c>
      <c r="AK5632">
        <v>72.845640000000003</v>
      </c>
    </row>
    <row r="5633" spans="1:37" x14ac:dyDescent="0.3">
      <c r="A5633">
        <v>5632</v>
      </c>
      <c r="B5633">
        <v>66.3</v>
      </c>
      <c r="C5633">
        <v>40.689</v>
      </c>
      <c r="D5633">
        <v>-14.564299999999999</v>
      </c>
      <c r="E5633" t="s">
        <v>9042</v>
      </c>
      <c r="F5633" t="s">
        <v>9043</v>
      </c>
      <c r="G5633" t="s">
        <v>39</v>
      </c>
      <c r="H5633">
        <v>1957</v>
      </c>
      <c r="I5633">
        <v>24.9</v>
      </c>
      <c r="J5633">
        <v>10.5</v>
      </c>
      <c r="K5633">
        <v>75</v>
      </c>
      <c r="L5633">
        <v>13.42</v>
      </c>
      <c r="M5633">
        <v>31.3</v>
      </c>
      <c r="N5633">
        <v>17.3</v>
      </c>
      <c r="O5633">
        <v>14</v>
      </c>
      <c r="P5633">
        <v>26.2</v>
      </c>
      <c r="Q5633">
        <v>24</v>
      </c>
      <c r="R5633">
        <v>26.3</v>
      </c>
      <c r="S5633">
        <v>23</v>
      </c>
      <c r="T5633">
        <v>844</v>
      </c>
      <c r="U5633">
        <v>196</v>
      </c>
      <c r="V5633">
        <v>7</v>
      </c>
      <c r="W5633">
        <v>102</v>
      </c>
      <c r="X5633">
        <v>547</v>
      </c>
      <c r="Y5633">
        <v>25</v>
      </c>
      <c r="Z5633">
        <v>505</v>
      </c>
      <c r="AA5633">
        <v>37</v>
      </c>
      <c r="AB5633">
        <v>10.98962</v>
      </c>
      <c r="AC5633">
        <v>6.2955360000000002E-2</v>
      </c>
      <c r="AD5633">
        <v>0.97130760000000005</v>
      </c>
      <c r="AE5633">
        <v>0.91981409999999997</v>
      </c>
      <c r="AF5633">
        <v>130.89609999999999</v>
      </c>
      <c r="AG5633">
        <f>IFERROR(AH5633*0.1, "N/A")</f>
        <v>6.2058630000000008</v>
      </c>
      <c r="AH5633">
        <v>62.058630000000001</v>
      </c>
      <c r="AI5633">
        <v>89.049049999999994</v>
      </c>
      <c r="AJ5633">
        <v>19.291460000000001</v>
      </c>
      <c r="AK5633">
        <v>67.991619999999998</v>
      </c>
    </row>
    <row r="5634" spans="1:37" x14ac:dyDescent="0.3">
      <c r="A5634">
        <v>5633</v>
      </c>
      <c r="B5634">
        <v>0</v>
      </c>
      <c r="C5634">
        <v>40.689</v>
      </c>
      <c r="D5634">
        <v>-14.564299999999999</v>
      </c>
      <c r="E5634" t="s">
        <v>9042</v>
      </c>
      <c r="F5634" t="s">
        <v>9044</v>
      </c>
      <c r="G5634" t="s">
        <v>37</v>
      </c>
      <c r="H5634">
        <v>1957</v>
      </c>
      <c r="I5634">
        <v>24.9</v>
      </c>
      <c r="J5634">
        <v>10.5</v>
      </c>
      <c r="K5634">
        <v>75</v>
      </c>
      <c r="L5634">
        <v>13.42</v>
      </c>
      <c r="M5634">
        <v>31.3</v>
      </c>
      <c r="N5634">
        <v>17.3</v>
      </c>
      <c r="O5634">
        <v>14</v>
      </c>
      <c r="P5634">
        <v>26.2</v>
      </c>
      <c r="Q5634">
        <v>24</v>
      </c>
      <c r="R5634">
        <v>26.3</v>
      </c>
      <c r="S5634">
        <v>23</v>
      </c>
      <c r="T5634">
        <v>844</v>
      </c>
      <c r="U5634">
        <v>196</v>
      </c>
      <c r="V5634">
        <v>7</v>
      </c>
      <c r="W5634">
        <v>102</v>
      </c>
      <c r="X5634">
        <v>547</v>
      </c>
      <c r="Y5634">
        <v>25</v>
      </c>
      <c r="Z5634">
        <v>505</v>
      </c>
      <c r="AA5634">
        <v>37</v>
      </c>
      <c r="AB5634">
        <v>10.98962</v>
      </c>
      <c r="AC5634">
        <v>6.2955360000000002E-2</v>
      </c>
      <c r="AD5634">
        <v>0.97130760000000005</v>
      </c>
      <c r="AE5634">
        <v>0.91981409999999997</v>
      </c>
      <c r="AF5634">
        <v>130.89609999999999</v>
      </c>
      <c r="AG5634">
        <f>IFERROR(AH5634*0.1, "N/A")</f>
        <v>6.2058630000000008</v>
      </c>
      <c r="AH5634">
        <v>62.058630000000001</v>
      </c>
      <c r="AI5634">
        <v>89.049049999999994</v>
      </c>
      <c r="AJ5634">
        <v>19.291460000000001</v>
      </c>
      <c r="AK5634">
        <v>67.991619999999998</v>
      </c>
    </row>
    <row r="5635" spans="1:37" x14ac:dyDescent="0.3">
      <c r="A5635">
        <v>5634</v>
      </c>
      <c r="B5635">
        <v>61.7</v>
      </c>
      <c r="C5635">
        <v>40.5212</v>
      </c>
      <c r="D5635">
        <v>-14.1829</v>
      </c>
      <c r="E5635" t="s">
        <v>9045</v>
      </c>
      <c r="F5635" t="s">
        <v>9046</v>
      </c>
      <c r="G5635" t="s">
        <v>39</v>
      </c>
      <c r="H5635">
        <v>1957</v>
      </c>
      <c r="I5635">
        <v>24.8</v>
      </c>
      <c r="J5635">
        <v>11</v>
      </c>
      <c r="K5635">
        <v>72</v>
      </c>
      <c r="L5635">
        <v>14.721310000000001</v>
      </c>
      <c r="M5635">
        <v>31.5</v>
      </c>
      <c r="N5635">
        <v>16.39461</v>
      </c>
      <c r="O5635">
        <v>15.10539</v>
      </c>
      <c r="P5635">
        <v>26.3</v>
      </c>
      <c r="Q5635">
        <v>22.9</v>
      </c>
      <c r="R5635">
        <v>26.39461</v>
      </c>
      <c r="S5635">
        <v>22.794609999999999</v>
      </c>
      <c r="T5635">
        <v>764.32320000000004</v>
      </c>
      <c r="U5635">
        <v>192.0539</v>
      </c>
      <c r="V5635">
        <v>5</v>
      </c>
      <c r="W5635">
        <v>107.9461</v>
      </c>
      <c r="X5635">
        <v>507.26940000000002</v>
      </c>
      <c r="Y5635">
        <v>18</v>
      </c>
      <c r="Z5635">
        <v>483.21550000000002</v>
      </c>
      <c r="AA5635">
        <v>28</v>
      </c>
      <c r="AB5635">
        <v>15.51835</v>
      </c>
      <c r="AC5635">
        <v>1.7505929999999999E-2</v>
      </c>
      <c r="AD5635">
        <v>3.351146</v>
      </c>
      <c r="AE5635">
        <v>0.37663669999999999</v>
      </c>
      <c r="AF5635">
        <v>21.134679999999999</v>
      </c>
      <c r="AG5635">
        <f>IFERROR(AH5635*0.1, "N/A")</f>
        <v>6.2</v>
      </c>
      <c r="AH5635">
        <v>62</v>
      </c>
      <c r="AI5635">
        <v>55.389319999999998</v>
      </c>
      <c r="AJ5635">
        <v>21</v>
      </c>
      <c r="AK5635">
        <v>67</v>
      </c>
    </row>
    <row r="5636" spans="1:37" x14ac:dyDescent="0.3">
      <c r="A5636">
        <v>5635</v>
      </c>
      <c r="B5636">
        <v>0</v>
      </c>
      <c r="C5636">
        <v>40.5212</v>
      </c>
      <c r="D5636">
        <v>-14.1829</v>
      </c>
      <c r="E5636" t="s">
        <v>9045</v>
      </c>
      <c r="F5636" t="s">
        <v>9047</v>
      </c>
      <c r="G5636" t="s">
        <v>37</v>
      </c>
      <c r="H5636">
        <v>1957</v>
      </c>
      <c r="I5636">
        <v>24.8</v>
      </c>
      <c r="J5636">
        <v>11</v>
      </c>
      <c r="K5636">
        <v>72</v>
      </c>
      <c r="L5636">
        <v>14.721310000000001</v>
      </c>
      <c r="M5636">
        <v>31.5</v>
      </c>
      <c r="N5636">
        <v>16.39461</v>
      </c>
      <c r="O5636">
        <v>15.10539</v>
      </c>
      <c r="P5636">
        <v>26.3</v>
      </c>
      <c r="Q5636">
        <v>22.9</v>
      </c>
      <c r="R5636">
        <v>26.39461</v>
      </c>
      <c r="S5636">
        <v>22.794609999999999</v>
      </c>
      <c r="T5636">
        <v>764.32320000000004</v>
      </c>
      <c r="U5636">
        <v>192.0539</v>
      </c>
      <c r="V5636">
        <v>5</v>
      </c>
      <c r="W5636">
        <v>107.9461</v>
      </c>
      <c r="X5636">
        <v>507.26940000000002</v>
      </c>
      <c r="Y5636">
        <v>18</v>
      </c>
      <c r="Z5636">
        <v>483.21550000000002</v>
      </c>
      <c r="AA5636">
        <v>28</v>
      </c>
      <c r="AB5636">
        <v>15.51835</v>
      </c>
      <c r="AC5636">
        <v>1.7505929999999999E-2</v>
      </c>
      <c r="AD5636">
        <v>3.351146</v>
      </c>
      <c r="AE5636">
        <v>0.37663669999999999</v>
      </c>
      <c r="AF5636">
        <v>21.134679999999999</v>
      </c>
      <c r="AG5636">
        <f>IFERROR(AH5636*0.1, "N/A")</f>
        <v>6.2</v>
      </c>
      <c r="AH5636">
        <v>62</v>
      </c>
      <c r="AI5636">
        <v>55.389319999999998</v>
      </c>
      <c r="AJ5636">
        <v>21</v>
      </c>
      <c r="AK5636">
        <v>67</v>
      </c>
    </row>
    <row r="5637" spans="1:37" x14ac:dyDescent="0.3">
      <c r="A5637">
        <v>5636</v>
      </c>
      <c r="B5637">
        <v>26</v>
      </c>
      <c r="C5637">
        <v>35.943800000000003</v>
      </c>
      <c r="D5637">
        <v>-14.13</v>
      </c>
      <c r="E5637" t="s">
        <v>9048</v>
      </c>
      <c r="F5637" t="s">
        <v>9049</v>
      </c>
      <c r="G5637" t="s">
        <v>39</v>
      </c>
      <c r="H5637">
        <v>1964</v>
      </c>
      <c r="I5637">
        <v>23.5</v>
      </c>
      <c r="J5637">
        <v>11.1</v>
      </c>
      <c r="K5637">
        <v>59</v>
      </c>
      <c r="L5637">
        <v>21.3</v>
      </c>
      <c r="M5637">
        <v>32.5</v>
      </c>
      <c r="N5637">
        <v>13.9</v>
      </c>
      <c r="O5637">
        <v>18.600000000000001</v>
      </c>
      <c r="P5637">
        <v>24.8</v>
      </c>
      <c r="Q5637">
        <v>20.399999999999999</v>
      </c>
      <c r="R5637">
        <v>26</v>
      </c>
      <c r="S5637">
        <v>20.399999999999999</v>
      </c>
      <c r="T5637">
        <v>1032</v>
      </c>
      <c r="U5637">
        <v>258</v>
      </c>
      <c r="V5637">
        <v>1</v>
      </c>
      <c r="W5637">
        <v>113</v>
      </c>
      <c r="X5637">
        <v>690</v>
      </c>
      <c r="Y5637">
        <v>4</v>
      </c>
      <c r="Z5637">
        <v>288</v>
      </c>
      <c r="AA5637">
        <v>4</v>
      </c>
      <c r="AB5637">
        <v>14.75094</v>
      </c>
      <c r="AC5637">
        <v>9.3711860000000001E-3</v>
      </c>
      <c r="AD5637">
        <v>1.103102</v>
      </c>
      <c r="AE5637">
        <v>0.17694979999999999</v>
      </c>
      <c r="AF5637">
        <v>667.37440000000004</v>
      </c>
      <c r="AG5637">
        <f>IFERROR(AH5637*0.1, "N/A")</f>
        <v>5.7155140000000006</v>
      </c>
      <c r="AH5637">
        <v>57.155140000000003</v>
      </c>
      <c r="AI5637">
        <v>224.93209999999999</v>
      </c>
      <c r="AJ5637">
        <v>19.182120000000001</v>
      </c>
      <c r="AK5637">
        <v>72.337270000000004</v>
      </c>
    </row>
    <row r="5638" spans="1:37" x14ac:dyDescent="0.3">
      <c r="A5638">
        <v>5637</v>
      </c>
      <c r="B5638">
        <v>6.7</v>
      </c>
      <c r="C5638">
        <v>35.943800000000003</v>
      </c>
      <c r="D5638">
        <v>-14.13</v>
      </c>
      <c r="E5638" t="s">
        <v>9048</v>
      </c>
      <c r="F5638" t="s">
        <v>9050</v>
      </c>
      <c r="G5638" t="s">
        <v>37</v>
      </c>
      <c r="H5638">
        <v>1964</v>
      </c>
      <c r="I5638">
        <v>23.5</v>
      </c>
      <c r="J5638">
        <v>11.1</v>
      </c>
      <c r="K5638">
        <v>59</v>
      </c>
      <c r="L5638">
        <v>21.3</v>
      </c>
      <c r="M5638">
        <v>32.5</v>
      </c>
      <c r="N5638">
        <v>13.9</v>
      </c>
      <c r="O5638">
        <v>18.600000000000001</v>
      </c>
      <c r="P5638">
        <v>24.8</v>
      </c>
      <c r="Q5638">
        <v>20.399999999999999</v>
      </c>
      <c r="R5638">
        <v>26</v>
      </c>
      <c r="S5638">
        <v>20.399999999999999</v>
      </c>
      <c r="T5638">
        <v>1032</v>
      </c>
      <c r="U5638">
        <v>258</v>
      </c>
      <c r="V5638">
        <v>1</v>
      </c>
      <c r="W5638">
        <v>113</v>
      </c>
      <c r="X5638">
        <v>690</v>
      </c>
      <c r="Y5638">
        <v>4</v>
      </c>
      <c r="Z5638">
        <v>288</v>
      </c>
      <c r="AA5638">
        <v>4</v>
      </c>
      <c r="AB5638">
        <v>14.75094</v>
      </c>
      <c r="AC5638">
        <v>9.3711860000000001E-3</v>
      </c>
      <c r="AD5638">
        <v>1.103102</v>
      </c>
      <c r="AE5638">
        <v>0.17694979999999999</v>
      </c>
      <c r="AF5638">
        <v>667.37440000000004</v>
      </c>
      <c r="AG5638">
        <f>IFERROR(AH5638*0.1, "N/A")</f>
        <v>5.7155140000000006</v>
      </c>
      <c r="AH5638">
        <v>57.155140000000003</v>
      </c>
      <c r="AI5638">
        <v>224.93209999999999</v>
      </c>
      <c r="AJ5638">
        <v>19.182120000000001</v>
      </c>
      <c r="AK5638">
        <v>72.337270000000004</v>
      </c>
    </row>
    <row r="5639" spans="1:37" x14ac:dyDescent="0.3">
      <c r="A5639">
        <v>5638</v>
      </c>
      <c r="B5639">
        <v>98.3</v>
      </c>
      <c r="C5639">
        <v>39.819499999999998</v>
      </c>
      <c r="D5639">
        <v>-13.8994</v>
      </c>
      <c r="E5639" t="s">
        <v>9051</v>
      </c>
      <c r="F5639" t="s">
        <v>9052</v>
      </c>
      <c r="G5639" t="s">
        <v>39</v>
      </c>
      <c r="H5639">
        <v>1957</v>
      </c>
      <c r="I5639">
        <v>24.5</v>
      </c>
      <c r="J5639">
        <v>12.1</v>
      </c>
      <c r="K5639">
        <v>72</v>
      </c>
      <c r="L5639">
        <v>15.38556</v>
      </c>
      <c r="M5639">
        <v>32.370370000000001</v>
      </c>
      <c r="N5639">
        <v>15.6</v>
      </c>
      <c r="O5639">
        <v>16.77037</v>
      </c>
      <c r="P5639">
        <v>25.77037</v>
      </c>
      <c r="Q5639">
        <v>22.8</v>
      </c>
      <c r="R5639">
        <v>26.07037</v>
      </c>
      <c r="S5639">
        <v>22</v>
      </c>
      <c r="T5639">
        <v>993.18520000000001</v>
      </c>
      <c r="U5639">
        <v>238</v>
      </c>
      <c r="V5639">
        <v>4</v>
      </c>
      <c r="W5639">
        <v>108.7037</v>
      </c>
      <c r="X5639">
        <v>641.29629999999997</v>
      </c>
      <c r="Y5639">
        <v>13</v>
      </c>
      <c r="Z5639">
        <v>633.59259999999995</v>
      </c>
      <c r="AA5639">
        <v>15</v>
      </c>
      <c r="AB5639">
        <v>9.4643119999999996</v>
      </c>
      <c r="AC5639">
        <v>4.9967980000000002E-2</v>
      </c>
      <c r="AD5639">
        <v>2.3852790000000001</v>
      </c>
      <c r="AE5639">
        <v>0.1978972</v>
      </c>
      <c r="AF5639">
        <v>305.73059999999998</v>
      </c>
      <c r="AG5639">
        <f>IFERROR(AH5639*0.1, "N/A")</f>
        <v>6.0072390000000002</v>
      </c>
      <c r="AH5639">
        <v>60.072389999999999</v>
      </c>
      <c r="AI5639">
        <v>306.83690000000001</v>
      </c>
      <c r="AJ5639">
        <v>17.011780000000002</v>
      </c>
      <c r="AK5639">
        <v>71.097639999999998</v>
      </c>
    </row>
    <row r="5640" spans="1:37" x14ac:dyDescent="0.3">
      <c r="A5640">
        <v>5639</v>
      </c>
      <c r="B5640">
        <v>0</v>
      </c>
      <c r="C5640">
        <v>39.819499999999998</v>
      </c>
      <c r="D5640">
        <v>-13.8994</v>
      </c>
      <c r="E5640" t="s">
        <v>9051</v>
      </c>
      <c r="F5640" t="s">
        <v>9053</v>
      </c>
      <c r="G5640" t="s">
        <v>37</v>
      </c>
      <c r="H5640">
        <v>1957</v>
      </c>
      <c r="I5640">
        <v>24.5</v>
      </c>
      <c r="J5640">
        <v>12.1</v>
      </c>
      <c r="K5640">
        <v>72</v>
      </c>
      <c r="L5640">
        <v>15.38556</v>
      </c>
      <c r="M5640">
        <v>32.370370000000001</v>
      </c>
      <c r="N5640">
        <v>15.6</v>
      </c>
      <c r="O5640">
        <v>16.77037</v>
      </c>
      <c r="P5640">
        <v>25.77037</v>
      </c>
      <c r="Q5640">
        <v>22.8</v>
      </c>
      <c r="R5640">
        <v>26.07037</v>
      </c>
      <c r="S5640">
        <v>22</v>
      </c>
      <c r="T5640">
        <v>993.18520000000001</v>
      </c>
      <c r="U5640">
        <v>238</v>
      </c>
      <c r="V5640">
        <v>4</v>
      </c>
      <c r="W5640">
        <v>108.7037</v>
      </c>
      <c r="X5640">
        <v>641.29629999999997</v>
      </c>
      <c r="Y5640">
        <v>13</v>
      </c>
      <c r="Z5640">
        <v>633.59259999999995</v>
      </c>
      <c r="AA5640">
        <v>15</v>
      </c>
      <c r="AB5640">
        <v>9.4643119999999996</v>
      </c>
      <c r="AC5640">
        <v>4.9967980000000002E-2</v>
      </c>
      <c r="AD5640">
        <v>2.3852790000000001</v>
      </c>
      <c r="AE5640">
        <v>0.1978972</v>
      </c>
      <c r="AF5640">
        <v>305.73059999999998</v>
      </c>
      <c r="AG5640">
        <f>IFERROR(AH5640*0.1, "N/A")</f>
        <v>6.0072390000000002</v>
      </c>
      <c r="AH5640">
        <v>60.072389999999999</v>
      </c>
      <c r="AI5640">
        <v>306.83690000000001</v>
      </c>
      <c r="AJ5640">
        <v>17.011780000000002</v>
      </c>
      <c r="AK5640">
        <v>71.097639999999998</v>
      </c>
    </row>
    <row r="5641" spans="1:37" x14ac:dyDescent="0.3">
      <c r="A5641">
        <v>5640</v>
      </c>
      <c r="B5641">
        <v>77.5</v>
      </c>
      <c r="C5641">
        <v>40.5471</v>
      </c>
      <c r="D5641">
        <v>-13.3415</v>
      </c>
      <c r="E5641" t="s">
        <v>9054</v>
      </c>
      <c r="F5641" t="s">
        <v>9055</v>
      </c>
      <c r="G5641" t="s">
        <v>39</v>
      </c>
      <c r="H5641">
        <v>1957</v>
      </c>
      <c r="I5641">
        <v>25.7</v>
      </c>
      <c r="J5641">
        <v>10.5</v>
      </c>
      <c r="K5641">
        <v>72.73854</v>
      </c>
      <c r="L5641">
        <v>14.671379999999999</v>
      </c>
      <c r="M5641">
        <v>32.299999999999997</v>
      </c>
      <c r="N5641">
        <v>17.973849999999999</v>
      </c>
      <c r="O5641">
        <v>14.32615</v>
      </c>
      <c r="P5641">
        <v>27.2</v>
      </c>
      <c r="Q5641">
        <v>24.5</v>
      </c>
      <c r="R5641">
        <v>27.3</v>
      </c>
      <c r="S5641">
        <v>23.673850000000002</v>
      </c>
      <c r="T5641">
        <v>817.26149999999996</v>
      </c>
      <c r="U5641">
        <v>180</v>
      </c>
      <c r="V5641">
        <v>4</v>
      </c>
      <c r="W5641">
        <v>97</v>
      </c>
      <c r="X5641">
        <v>487.26150000000001</v>
      </c>
      <c r="Y5641">
        <v>18</v>
      </c>
      <c r="Z5641">
        <v>441.26150000000001</v>
      </c>
      <c r="AA5641">
        <v>32</v>
      </c>
      <c r="AB5641">
        <v>0.64940600000000004</v>
      </c>
      <c r="AC5641">
        <v>0.30924299999999999</v>
      </c>
      <c r="AD5641">
        <v>0.69880909999999996</v>
      </c>
      <c r="AE5641">
        <v>0.60473440000000001</v>
      </c>
      <c r="AF5641">
        <v>9.531409</v>
      </c>
      <c r="AG5641">
        <f>IFERROR(AH5641*0.1, "N/A")</f>
        <v>6.5</v>
      </c>
      <c r="AH5641">
        <v>65</v>
      </c>
      <c r="AI5641">
        <v>85.891769999999994</v>
      </c>
      <c r="AJ5641">
        <v>16</v>
      </c>
      <c r="AK5641">
        <v>72</v>
      </c>
    </row>
    <row r="5642" spans="1:37" x14ac:dyDescent="0.3">
      <c r="A5642">
        <v>5641</v>
      </c>
      <c r="B5642">
        <v>0</v>
      </c>
      <c r="C5642">
        <v>40.5471</v>
      </c>
      <c r="D5642">
        <v>-13.3415</v>
      </c>
      <c r="E5642" t="s">
        <v>9054</v>
      </c>
      <c r="F5642" t="s">
        <v>9056</v>
      </c>
      <c r="G5642" t="s">
        <v>37</v>
      </c>
      <c r="H5642">
        <v>1957</v>
      </c>
      <c r="I5642">
        <v>25.7</v>
      </c>
      <c r="J5642">
        <v>10.5</v>
      </c>
      <c r="K5642">
        <v>72.73854</v>
      </c>
      <c r="L5642">
        <v>14.671379999999999</v>
      </c>
      <c r="M5642">
        <v>32.299999999999997</v>
      </c>
      <c r="N5642">
        <v>17.973849999999999</v>
      </c>
      <c r="O5642">
        <v>14.32615</v>
      </c>
      <c r="P5642">
        <v>27.2</v>
      </c>
      <c r="Q5642">
        <v>24.5</v>
      </c>
      <c r="R5642">
        <v>27.3</v>
      </c>
      <c r="S5642">
        <v>23.673850000000002</v>
      </c>
      <c r="T5642">
        <v>817.26149999999996</v>
      </c>
      <c r="U5642">
        <v>180</v>
      </c>
      <c r="V5642">
        <v>4</v>
      </c>
      <c r="W5642">
        <v>97</v>
      </c>
      <c r="X5642">
        <v>487.26150000000001</v>
      </c>
      <c r="Y5642">
        <v>18</v>
      </c>
      <c r="Z5642">
        <v>441.26150000000001</v>
      </c>
      <c r="AA5642">
        <v>32</v>
      </c>
      <c r="AB5642">
        <v>0.64940600000000004</v>
      </c>
      <c r="AC5642">
        <v>0.30924299999999999</v>
      </c>
      <c r="AD5642">
        <v>0.69880909999999996</v>
      </c>
      <c r="AE5642">
        <v>0.60473440000000001</v>
      </c>
      <c r="AF5642">
        <v>9.531409</v>
      </c>
      <c r="AG5642">
        <f>IFERROR(AH5642*0.1, "N/A")</f>
        <v>6.5</v>
      </c>
      <c r="AH5642">
        <v>65</v>
      </c>
      <c r="AI5642">
        <v>85.891769999999994</v>
      </c>
      <c r="AJ5642">
        <v>16</v>
      </c>
      <c r="AK5642">
        <v>72</v>
      </c>
    </row>
    <row r="5643" spans="1:37" x14ac:dyDescent="0.3">
      <c r="A5643">
        <v>5642</v>
      </c>
      <c r="B5643">
        <v>96</v>
      </c>
      <c r="C5643">
        <v>39.0002</v>
      </c>
      <c r="D5643">
        <v>-13.1168</v>
      </c>
      <c r="E5643" t="s">
        <v>9057</v>
      </c>
      <c r="F5643" t="s">
        <v>9058</v>
      </c>
      <c r="G5643" t="s">
        <v>39</v>
      </c>
      <c r="H5643">
        <v>1957</v>
      </c>
      <c r="I5643">
        <v>24.337289999999999</v>
      </c>
      <c r="J5643">
        <v>12</v>
      </c>
      <c r="K5643">
        <v>64.062709999999996</v>
      </c>
      <c r="L5643">
        <v>17.503900000000002</v>
      </c>
      <c r="M5643">
        <v>33.631019999999999</v>
      </c>
      <c r="N5643">
        <v>15.13729</v>
      </c>
      <c r="O5643">
        <v>18.493729999999999</v>
      </c>
      <c r="P5643">
        <v>25.691870000000002</v>
      </c>
      <c r="Q5643">
        <v>22.337289999999999</v>
      </c>
      <c r="R5643">
        <v>26.13729</v>
      </c>
      <c r="S5643">
        <v>21.668310000000002</v>
      </c>
      <c r="T5643">
        <v>996.85590000000002</v>
      </c>
      <c r="U5643">
        <v>249</v>
      </c>
      <c r="V5643">
        <v>2</v>
      </c>
      <c r="W5643">
        <v>112</v>
      </c>
      <c r="X5643">
        <v>657.54579999999999</v>
      </c>
      <c r="Y5643">
        <v>7</v>
      </c>
      <c r="Z5643">
        <v>256</v>
      </c>
      <c r="AA5643">
        <v>8</v>
      </c>
      <c r="AB5643">
        <v>0.43644759999999999</v>
      </c>
      <c r="AC5643">
        <v>0.37339840000000002</v>
      </c>
      <c r="AD5643">
        <v>1.0277559999999999</v>
      </c>
      <c r="AE5643">
        <v>0.60998839999999999</v>
      </c>
      <c r="AF5643">
        <v>497.81360000000001</v>
      </c>
      <c r="AG5643">
        <f>IFERROR(AH5643*0.1, "N/A")</f>
        <v>6.042034000000001</v>
      </c>
      <c r="AH5643">
        <v>60.420340000000003</v>
      </c>
      <c r="AI5643">
        <v>118.7002</v>
      </c>
      <c r="AJ5643">
        <v>18.210170000000002</v>
      </c>
      <c r="AK5643">
        <v>73.538979999999995</v>
      </c>
    </row>
    <row r="5644" spans="1:37" x14ac:dyDescent="0.3">
      <c r="A5644">
        <v>5643</v>
      </c>
      <c r="B5644">
        <v>0</v>
      </c>
      <c r="C5644">
        <v>39.0002</v>
      </c>
      <c r="D5644">
        <v>-13.1168</v>
      </c>
      <c r="E5644" t="s">
        <v>9057</v>
      </c>
      <c r="F5644" t="s">
        <v>9059</v>
      </c>
      <c r="G5644" t="s">
        <v>37</v>
      </c>
      <c r="H5644">
        <v>1957</v>
      </c>
      <c r="I5644">
        <v>24.337289999999999</v>
      </c>
      <c r="J5644">
        <v>12</v>
      </c>
      <c r="K5644">
        <v>64.062709999999996</v>
      </c>
      <c r="L5644">
        <v>17.503900000000002</v>
      </c>
      <c r="M5644">
        <v>33.631019999999999</v>
      </c>
      <c r="N5644">
        <v>15.13729</v>
      </c>
      <c r="O5644">
        <v>18.493729999999999</v>
      </c>
      <c r="P5644">
        <v>25.691870000000002</v>
      </c>
      <c r="Q5644">
        <v>22.337289999999999</v>
      </c>
      <c r="R5644">
        <v>26.13729</v>
      </c>
      <c r="S5644">
        <v>21.668310000000002</v>
      </c>
      <c r="T5644">
        <v>996.85590000000002</v>
      </c>
      <c r="U5644">
        <v>249</v>
      </c>
      <c r="V5644">
        <v>2</v>
      </c>
      <c r="W5644">
        <v>112</v>
      </c>
      <c r="X5644">
        <v>657.54579999999999</v>
      </c>
      <c r="Y5644">
        <v>7</v>
      </c>
      <c r="Z5644">
        <v>256</v>
      </c>
      <c r="AA5644">
        <v>8</v>
      </c>
      <c r="AB5644">
        <v>0.43644759999999999</v>
      </c>
      <c r="AC5644">
        <v>0.37339840000000002</v>
      </c>
      <c r="AD5644">
        <v>1.0277559999999999</v>
      </c>
      <c r="AE5644">
        <v>0.60998839999999999</v>
      </c>
      <c r="AF5644">
        <v>497.81360000000001</v>
      </c>
      <c r="AG5644">
        <f>IFERROR(AH5644*0.1, "N/A")</f>
        <v>6.042034000000001</v>
      </c>
      <c r="AH5644">
        <v>60.420340000000003</v>
      </c>
      <c r="AI5644">
        <v>118.7002</v>
      </c>
      <c r="AJ5644">
        <v>18.210170000000002</v>
      </c>
      <c r="AK5644">
        <v>73.538979999999995</v>
      </c>
    </row>
    <row r="5645" spans="1:37" x14ac:dyDescent="0.3">
      <c r="A5645">
        <v>5644</v>
      </c>
      <c r="B5645">
        <v>22.9</v>
      </c>
      <c r="C5645">
        <v>39.613300000000002</v>
      </c>
      <c r="D5645">
        <v>-13.0747</v>
      </c>
      <c r="E5645" t="s">
        <v>9060</v>
      </c>
      <c r="F5645" t="s">
        <v>9061</v>
      </c>
      <c r="G5645" t="s">
        <v>39</v>
      </c>
      <c r="H5645">
        <v>1997</v>
      </c>
      <c r="I5645">
        <v>25.4</v>
      </c>
      <c r="J5645">
        <v>11.8</v>
      </c>
      <c r="K5645">
        <v>76</v>
      </c>
      <c r="L5645">
        <v>9.871848</v>
      </c>
      <c r="M5645">
        <v>33</v>
      </c>
      <c r="N5645">
        <v>17.600000000000001</v>
      </c>
      <c r="O5645">
        <v>15.4</v>
      </c>
      <c r="P5645">
        <v>26.1</v>
      </c>
      <c r="Q5645">
        <v>24.225930000000002</v>
      </c>
      <c r="R5645">
        <v>26.32593</v>
      </c>
      <c r="S5645">
        <v>23.82593</v>
      </c>
      <c r="T5645">
        <v>1094.963</v>
      </c>
      <c r="U5645">
        <v>269.7407</v>
      </c>
      <c r="V5645">
        <v>3</v>
      </c>
      <c r="W5645">
        <v>108</v>
      </c>
      <c r="X5645">
        <v>697.48140000000001</v>
      </c>
      <c r="Y5645">
        <v>14.740679999999999</v>
      </c>
      <c r="Z5645">
        <v>334.9051</v>
      </c>
      <c r="AA5645">
        <v>18.740680000000001</v>
      </c>
      <c r="AB5645">
        <v>19.059840000000001</v>
      </c>
      <c r="AC5645">
        <v>1.8313099999999999E-2</v>
      </c>
      <c r="AD5645">
        <v>1.905931</v>
      </c>
      <c r="AE5645">
        <v>0.14660490000000001</v>
      </c>
      <c r="AF5645">
        <v>402.92540000000002</v>
      </c>
      <c r="AG5645">
        <f>IFERROR(AH5645*0.1, "N/A")</f>
        <v>5.9079660000000001</v>
      </c>
      <c r="AH5645">
        <v>59.079659999999997</v>
      </c>
      <c r="AI5645">
        <v>250.23419999999999</v>
      </c>
      <c r="AJ5645">
        <v>17.159320000000001</v>
      </c>
      <c r="AK5645">
        <v>73</v>
      </c>
    </row>
    <row r="5646" spans="1:37" x14ac:dyDescent="0.3">
      <c r="A5646">
        <v>5645</v>
      </c>
      <c r="B5646">
        <v>83.3</v>
      </c>
      <c r="C5646">
        <v>40.517899999999997</v>
      </c>
      <c r="D5646">
        <v>-12.972899999999999</v>
      </c>
      <c r="E5646" t="s">
        <v>9062</v>
      </c>
      <c r="F5646" t="s">
        <v>9063</v>
      </c>
      <c r="G5646" t="s">
        <v>39</v>
      </c>
      <c r="H5646">
        <v>1957</v>
      </c>
      <c r="I5646">
        <v>26.2</v>
      </c>
      <c r="J5646">
        <v>9.1999999999999993</v>
      </c>
      <c r="K5646">
        <v>72</v>
      </c>
      <c r="L5646">
        <v>13.7</v>
      </c>
      <c r="M5646">
        <v>32</v>
      </c>
      <c r="N5646">
        <v>19.3</v>
      </c>
      <c r="O5646">
        <v>12.7</v>
      </c>
      <c r="P5646">
        <v>27.5</v>
      </c>
      <c r="Q5646">
        <v>25.4</v>
      </c>
      <c r="R5646">
        <v>27.6</v>
      </c>
      <c r="S5646">
        <v>24.2</v>
      </c>
      <c r="T5646">
        <v>882</v>
      </c>
      <c r="U5646">
        <v>199</v>
      </c>
      <c r="V5646">
        <v>4</v>
      </c>
      <c r="W5646">
        <v>96</v>
      </c>
      <c r="X5646">
        <v>523</v>
      </c>
      <c r="Y5646">
        <v>18</v>
      </c>
      <c r="Z5646">
        <v>451</v>
      </c>
      <c r="AA5646">
        <v>35</v>
      </c>
      <c r="AB5646">
        <v>67.403899999999993</v>
      </c>
      <c r="AC5646">
        <v>8.8706440000000004E-3</v>
      </c>
      <c r="AD5646">
        <v>6.7489410000000003</v>
      </c>
      <c r="AE5646">
        <v>0.82928369999999996</v>
      </c>
      <c r="AF5646">
        <v>69.130510000000001</v>
      </c>
      <c r="AG5646">
        <f>IFERROR(AH5646*0.1, "N/A")</f>
        <v>6.3322029999999998</v>
      </c>
      <c r="AH5646">
        <v>63.322029999999998</v>
      </c>
      <c r="AI5646">
        <v>251.60140000000001</v>
      </c>
      <c r="AJ5646">
        <v>25.983049999999999</v>
      </c>
      <c r="AK5646">
        <v>62.00508</v>
      </c>
    </row>
    <row r="5647" spans="1:37" x14ac:dyDescent="0.3">
      <c r="A5647">
        <v>5646</v>
      </c>
      <c r="B5647">
        <v>0</v>
      </c>
      <c r="C5647">
        <v>40.517899999999997</v>
      </c>
      <c r="D5647">
        <v>-12.972899999999999</v>
      </c>
      <c r="E5647" t="s">
        <v>9062</v>
      </c>
      <c r="F5647" t="s">
        <v>9064</v>
      </c>
      <c r="G5647" t="s">
        <v>37</v>
      </c>
      <c r="H5647">
        <v>1957</v>
      </c>
      <c r="I5647">
        <v>26.2</v>
      </c>
      <c r="J5647">
        <v>9.1999999999999993</v>
      </c>
      <c r="K5647">
        <v>72</v>
      </c>
      <c r="L5647">
        <v>13.7</v>
      </c>
      <c r="M5647">
        <v>32</v>
      </c>
      <c r="N5647">
        <v>19.3</v>
      </c>
      <c r="O5647">
        <v>12.7</v>
      </c>
      <c r="P5647">
        <v>27.5</v>
      </c>
      <c r="Q5647">
        <v>25.4</v>
      </c>
      <c r="R5647">
        <v>27.6</v>
      </c>
      <c r="S5647">
        <v>24.2</v>
      </c>
      <c r="T5647">
        <v>882</v>
      </c>
      <c r="U5647">
        <v>199</v>
      </c>
      <c r="V5647">
        <v>4</v>
      </c>
      <c r="W5647">
        <v>96</v>
      </c>
      <c r="X5647">
        <v>523</v>
      </c>
      <c r="Y5647">
        <v>18</v>
      </c>
      <c r="Z5647">
        <v>451</v>
      </c>
      <c r="AA5647">
        <v>35</v>
      </c>
      <c r="AB5647">
        <v>67.403899999999993</v>
      </c>
      <c r="AC5647">
        <v>8.8706440000000004E-3</v>
      </c>
      <c r="AD5647">
        <v>6.7489410000000003</v>
      </c>
      <c r="AE5647">
        <v>0.82928369999999996</v>
      </c>
      <c r="AF5647">
        <v>69.130510000000001</v>
      </c>
      <c r="AG5647">
        <f>IFERROR(AH5647*0.1, "N/A")</f>
        <v>6.3322029999999998</v>
      </c>
      <c r="AH5647">
        <v>63.322029999999998</v>
      </c>
      <c r="AI5647">
        <v>251.60140000000001</v>
      </c>
      <c r="AJ5647">
        <v>25.983049999999999</v>
      </c>
      <c r="AK5647">
        <v>62.00508</v>
      </c>
    </row>
    <row r="5648" spans="1:37" x14ac:dyDescent="0.3">
      <c r="A5648">
        <v>5647</v>
      </c>
      <c r="B5648">
        <v>5</v>
      </c>
      <c r="C5648">
        <v>40.507800000000003</v>
      </c>
      <c r="D5648">
        <v>-12.960800000000001</v>
      </c>
      <c r="E5648" t="s">
        <v>9065</v>
      </c>
      <c r="F5648" t="s">
        <v>9066</v>
      </c>
      <c r="G5648" t="s">
        <v>39</v>
      </c>
      <c r="H5648">
        <v>1997</v>
      </c>
      <c r="I5648">
        <v>26.4</v>
      </c>
      <c r="J5648">
        <v>9.3000000000000007</v>
      </c>
      <c r="K5648">
        <v>72</v>
      </c>
      <c r="L5648">
        <v>13.68</v>
      </c>
      <c r="M5648">
        <v>32.200000000000003</v>
      </c>
      <c r="N5648">
        <v>19.399999999999999</v>
      </c>
      <c r="O5648">
        <v>12.8</v>
      </c>
      <c r="P5648">
        <v>27.6</v>
      </c>
      <c r="Q5648">
        <v>25.6</v>
      </c>
      <c r="R5648">
        <v>27.7</v>
      </c>
      <c r="S5648">
        <v>24.3</v>
      </c>
      <c r="T5648">
        <v>879</v>
      </c>
      <c r="U5648">
        <v>198</v>
      </c>
      <c r="V5648">
        <v>4</v>
      </c>
      <c r="W5648">
        <v>96</v>
      </c>
      <c r="X5648">
        <v>522</v>
      </c>
      <c r="Y5648">
        <v>18</v>
      </c>
      <c r="Z5648">
        <v>450</v>
      </c>
      <c r="AA5648">
        <v>34</v>
      </c>
      <c r="AB5648">
        <v>4.6179059999999996</v>
      </c>
      <c r="AC5648">
        <v>7.4120539999999999E-2</v>
      </c>
      <c r="AD5648">
        <v>1.376466</v>
      </c>
      <c r="AE5648">
        <v>0.84868509999999997</v>
      </c>
      <c r="AF5648">
        <v>15.49155</v>
      </c>
      <c r="AG5648">
        <f>IFERROR(AH5648*0.1, "N/A")</f>
        <v>6.5407089999999997</v>
      </c>
      <c r="AH5648">
        <v>65.407089999999997</v>
      </c>
      <c r="AI5648">
        <v>50.67248</v>
      </c>
      <c r="AJ5648">
        <v>24.59291</v>
      </c>
      <c r="AK5648">
        <v>62.22128</v>
      </c>
    </row>
    <row r="5649" spans="1:37" x14ac:dyDescent="0.3">
      <c r="A5649">
        <v>5648</v>
      </c>
      <c r="B5649">
        <v>81</v>
      </c>
      <c r="C5649">
        <v>40.390999999999998</v>
      </c>
      <c r="D5649">
        <v>-12.5184</v>
      </c>
      <c r="E5649" t="s">
        <v>9067</v>
      </c>
      <c r="F5649" t="s">
        <v>9068</v>
      </c>
      <c r="G5649" t="s">
        <v>39</v>
      </c>
      <c r="H5649">
        <v>1957</v>
      </c>
      <c r="I5649">
        <v>25.4</v>
      </c>
      <c r="J5649">
        <v>10.4</v>
      </c>
      <c r="K5649">
        <v>78</v>
      </c>
      <c r="L5649">
        <v>10.51</v>
      </c>
      <c r="M5649">
        <v>31.6</v>
      </c>
      <c r="N5649">
        <v>18.399999999999999</v>
      </c>
      <c r="O5649">
        <v>13.2</v>
      </c>
      <c r="P5649">
        <v>26.4</v>
      </c>
      <c r="Q5649">
        <v>24.6</v>
      </c>
      <c r="R5649">
        <v>26.4</v>
      </c>
      <c r="S5649">
        <v>23.8</v>
      </c>
      <c r="T5649">
        <v>974</v>
      </c>
      <c r="U5649">
        <v>218</v>
      </c>
      <c r="V5649">
        <v>3</v>
      </c>
      <c r="W5649">
        <v>98</v>
      </c>
      <c r="X5649">
        <v>597</v>
      </c>
      <c r="Y5649">
        <v>17</v>
      </c>
      <c r="Z5649">
        <v>597</v>
      </c>
      <c r="AA5649">
        <v>31</v>
      </c>
      <c r="AB5649">
        <v>7.441357</v>
      </c>
      <c r="AC5649">
        <v>1.540951E-2</v>
      </c>
      <c r="AD5649">
        <v>1.5538639999999999</v>
      </c>
      <c r="AE5649">
        <v>0.16352050000000001</v>
      </c>
      <c r="AF5649">
        <v>33.398310000000002</v>
      </c>
      <c r="AG5649">
        <f>IFERROR(AH5649*0.1, "N/A")</f>
        <v>6.4</v>
      </c>
      <c r="AH5649">
        <v>64</v>
      </c>
      <c r="AI5649">
        <v>179.3646</v>
      </c>
      <c r="AJ5649">
        <v>25</v>
      </c>
      <c r="AK5649">
        <v>60</v>
      </c>
    </row>
    <row r="5650" spans="1:37" x14ac:dyDescent="0.3">
      <c r="A5650">
        <v>5649</v>
      </c>
      <c r="B5650">
        <v>0</v>
      </c>
      <c r="C5650">
        <v>40.390999999999998</v>
      </c>
      <c r="D5650">
        <v>-12.5184</v>
      </c>
      <c r="E5650" t="s">
        <v>9067</v>
      </c>
      <c r="F5650" t="s">
        <v>9069</v>
      </c>
      <c r="G5650" t="s">
        <v>37</v>
      </c>
      <c r="H5650">
        <v>1957</v>
      </c>
      <c r="I5650">
        <v>25.4</v>
      </c>
      <c r="J5650">
        <v>10.4</v>
      </c>
      <c r="K5650">
        <v>78</v>
      </c>
      <c r="L5650">
        <v>10.51</v>
      </c>
      <c r="M5650">
        <v>31.6</v>
      </c>
      <c r="N5650">
        <v>18.399999999999999</v>
      </c>
      <c r="O5650">
        <v>13.2</v>
      </c>
      <c r="P5650">
        <v>26.4</v>
      </c>
      <c r="Q5650">
        <v>24.6</v>
      </c>
      <c r="R5650">
        <v>26.4</v>
      </c>
      <c r="S5650">
        <v>23.8</v>
      </c>
      <c r="T5650">
        <v>974</v>
      </c>
      <c r="U5650">
        <v>218</v>
      </c>
      <c r="V5650">
        <v>3</v>
      </c>
      <c r="W5650">
        <v>98</v>
      </c>
      <c r="X5650">
        <v>597</v>
      </c>
      <c r="Y5650">
        <v>17</v>
      </c>
      <c r="Z5650">
        <v>597</v>
      </c>
      <c r="AA5650">
        <v>31</v>
      </c>
      <c r="AB5650">
        <v>7.441357</v>
      </c>
      <c r="AC5650">
        <v>1.540951E-2</v>
      </c>
      <c r="AD5650">
        <v>1.5538639999999999</v>
      </c>
      <c r="AE5650">
        <v>0.16352050000000001</v>
      </c>
      <c r="AF5650">
        <v>33.398310000000002</v>
      </c>
      <c r="AG5650">
        <f>IFERROR(AH5650*0.1, "N/A")</f>
        <v>6.4</v>
      </c>
      <c r="AH5650">
        <v>64</v>
      </c>
      <c r="AI5650">
        <v>179.3646</v>
      </c>
      <c r="AJ5650">
        <v>25</v>
      </c>
      <c r="AK5650">
        <v>60</v>
      </c>
    </row>
    <row r="5651" spans="1:37" x14ac:dyDescent="0.3">
      <c r="A5651">
        <v>5650</v>
      </c>
      <c r="B5651">
        <v>8.3000000000000007</v>
      </c>
      <c r="C5651">
        <v>40.587400000000002</v>
      </c>
      <c r="D5651">
        <v>-12.342599999999999</v>
      </c>
      <c r="E5651" t="s">
        <v>9070</v>
      </c>
      <c r="F5651" t="s">
        <v>9071</v>
      </c>
      <c r="G5651" t="s">
        <v>39</v>
      </c>
      <c r="H5651">
        <v>1957</v>
      </c>
      <c r="I5651" t="s">
        <v>729</v>
      </c>
      <c r="J5651" t="s">
        <v>729</v>
      </c>
      <c r="K5651" t="s">
        <v>729</v>
      </c>
      <c r="L5651" t="s">
        <v>729</v>
      </c>
      <c r="M5651" t="s">
        <v>729</v>
      </c>
      <c r="N5651" t="s">
        <v>729</v>
      </c>
      <c r="O5651" t="s">
        <v>729</v>
      </c>
      <c r="P5651" t="s">
        <v>729</v>
      </c>
      <c r="Q5651" t="s">
        <v>729</v>
      </c>
      <c r="R5651" t="s">
        <v>729</v>
      </c>
      <c r="S5651" t="s">
        <v>729</v>
      </c>
      <c r="T5651" t="s">
        <v>729</v>
      </c>
      <c r="U5651" t="s">
        <v>729</v>
      </c>
      <c r="V5651" t="s">
        <v>729</v>
      </c>
      <c r="W5651" t="s">
        <v>729</v>
      </c>
      <c r="X5651" t="s">
        <v>729</v>
      </c>
      <c r="Y5651" t="s">
        <v>729</v>
      </c>
      <c r="Z5651" t="s">
        <v>729</v>
      </c>
      <c r="AA5651" t="s">
        <v>729</v>
      </c>
      <c r="AB5651" t="s">
        <v>729</v>
      </c>
      <c r="AC5651" t="s">
        <v>729</v>
      </c>
      <c r="AD5651" t="s">
        <v>729</v>
      </c>
      <c r="AE5651" t="s">
        <v>729</v>
      </c>
      <c r="AF5651" t="s">
        <v>729</v>
      </c>
      <c r="AG5651" t="str">
        <f>IFERROR(AH5651*0.1, "N/A")</f>
        <v>N/A</v>
      </c>
      <c r="AH5651" t="s">
        <v>729</v>
      </c>
      <c r="AI5651" t="s">
        <v>729</v>
      </c>
      <c r="AJ5651" t="s">
        <v>729</v>
      </c>
      <c r="AK5651" t="s">
        <v>729</v>
      </c>
    </row>
    <row r="5652" spans="1:37" x14ac:dyDescent="0.3">
      <c r="A5652">
        <v>5651</v>
      </c>
      <c r="B5652">
        <v>0</v>
      </c>
      <c r="C5652">
        <v>40.587400000000002</v>
      </c>
      <c r="D5652">
        <v>-12.342599999999999</v>
      </c>
      <c r="E5652" t="s">
        <v>9070</v>
      </c>
      <c r="F5652" t="s">
        <v>9072</v>
      </c>
      <c r="G5652" t="s">
        <v>37</v>
      </c>
      <c r="H5652">
        <v>1957</v>
      </c>
      <c r="I5652" t="s">
        <v>729</v>
      </c>
      <c r="J5652" t="s">
        <v>729</v>
      </c>
      <c r="K5652" t="s">
        <v>729</v>
      </c>
      <c r="L5652" t="s">
        <v>729</v>
      </c>
      <c r="M5652" t="s">
        <v>729</v>
      </c>
      <c r="N5652" t="s">
        <v>729</v>
      </c>
      <c r="O5652" t="s">
        <v>729</v>
      </c>
      <c r="P5652" t="s">
        <v>729</v>
      </c>
      <c r="Q5652" t="s">
        <v>729</v>
      </c>
      <c r="R5652" t="s">
        <v>729</v>
      </c>
      <c r="S5652" t="s">
        <v>729</v>
      </c>
      <c r="T5652" t="s">
        <v>729</v>
      </c>
      <c r="U5652" t="s">
        <v>729</v>
      </c>
      <c r="V5652" t="s">
        <v>729</v>
      </c>
      <c r="W5652" t="s">
        <v>729</v>
      </c>
      <c r="X5652" t="s">
        <v>729</v>
      </c>
      <c r="Y5652" t="s">
        <v>729</v>
      </c>
      <c r="Z5652" t="s">
        <v>729</v>
      </c>
      <c r="AA5652" t="s">
        <v>729</v>
      </c>
      <c r="AB5652" t="s">
        <v>729</v>
      </c>
      <c r="AC5652" t="s">
        <v>729</v>
      </c>
      <c r="AD5652" t="s">
        <v>729</v>
      </c>
      <c r="AE5652" t="s">
        <v>729</v>
      </c>
      <c r="AF5652" t="s">
        <v>729</v>
      </c>
      <c r="AG5652" t="str">
        <f>IFERROR(AH5652*0.1, "N/A")</f>
        <v>N/A</v>
      </c>
      <c r="AH5652" t="s">
        <v>729</v>
      </c>
      <c r="AI5652" t="s">
        <v>729</v>
      </c>
      <c r="AJ5652" t="s">
        <v>729</v>
      </c>
      <c r="AK5652" t="s">
        <v>729</v>
      </c>
    </row>
    <row r="5653" spans="1:37" x14ac:dyDescent="0.3">
      <c r="A5653">
        <v>5652</v>
      </c>
      <c r="B5653">
        <v>70</v>
      </c>
      <c r="C5653">
        <v>40.120399999999997</v>
      </c>
      <c r="D5653">
        <v>-12.252000000000001</v>
      </c>
      <c r="E5653" t="s">
        <v>9073</v>
      </c>
      <c r="F5653" t="s">
        <v>9074</v>
      </c>
      <c r="G5653" t="s">
        <v>39</v>
      </c>
      <c r="H5653">
        <v>1957</v>
      </c>
      <c r="I5653">
        <v>24.3</v>
      </c>
      <c r="J5653">
        <v>10.9</v>
      </c>
      <c r="K5653">
        <v>76</v>
      </c>
      <c r="L5653">
        <v>11.1</v>
      </c>
      <c r="M5653">
        <v>31.4</v>
      </c>
      <c r="N5653">
        <v>17.2</v>
      </c>
      <c r="O5653">
        <v>14.2</v>
      </c>
      <c r="P5653">
        <v>25.2</v>
      </c>
      <c r="Q5653">
        <v>22.6</v>
      </c>
      <c r="R5653">
        <v>25.4</v>
      </c>
      <c r="S5653">
        <v>22.6</v>
      </c>
      <c r="T5653">
        <v>1193</v>
      </c>
      <c r="U5653">
        <v>287</v>
      </c>
      <c r="V5653">
        <v>4</v>
      </c>
      <c r="W5653">
        <v>107</v>
      </c>
      <c r="X5653">
        <v>765</v>
      </c>
      <c r="Y5653">
        <v>19</v>
      </c>
      <c r="Z5653">
        <v>540</v>
      </c>
      <c r="AA5653">
        <v>19</v>
      </c>
      <c r="AB5653">
        <v>82.340040000000002</v>
      </c>
      <c r="AC5653">
        <v>0.33341100000000001</v>
      </c>
      <c r="AD5653">
        <v>5.8265099999999999</v>
      </c>
      <c r="AE5653">
        <v>0.24665629999999999</v>
      </c>
      <c r="AF5653">
        <v>433.73939999999999</v>
      </c>
      <c r="AG5653">
        <f>IFERROR(AH5653*0.1, "N/A")</f>
        <v>5.4017040000000005</v>
      </c>
      <c r="AH5653">
        <v>54.017040000000001</v>
      </c>
      <c r="AI5653">
        <v>32.729979999999998</v>
      </c>
      <c r="AJ5653">
        <v>24.337309999999999</v>
      </c>
      <c r="AK5653">
        <v>64.253829999999994</v>
      </c>
    </row>
    <row r="5654" spans="1:37" x14ac:dyDescent="0.3">
      <c r="A5654">
        <v>5653</v>
      </c>
      <c r="B5654">
        <v>0</v>
      </c>
      <c r="C5654">
        <v>40.120399999999997</v>
      </c>
      <c r="D5654">
        <v>-12.252000000000001</v>
      </c>
      <c r="E5654" t="s">
        <v>9073</v>
      </c>
      <c r="F5654" t="s">
        <v>9075</v>
      </c>
      <c r="G5654" t="s">
        <v>37</v>
      </c>
      <c r="H5654">
        <v>1957</v>
      </c>
      <c r="I5654">
        <v>24.3</v>
      </c>
      <c r="J5654">
        <v>10.9</v>
      </c>
      <c r="K5654">
        <v>76</v>
      </c>
      <c r="L5654">
        <v>11.1</v>
      </c>
      <c r="M5654">
        <v>31.4</v>
      </c>
      <c r="N5654">
        <v>17.2</v>
      </c>
      <c r="O5654">
        <v>14.2</v>
      </c>
      <c r="P5654">
        <v>25.2</v>
      </c>
      <c r="Q5654">
        <v>22.6</v>
      </c>
      <c r="R5654">
        <v>25.4</v>
      </c>
      <c r="S5654">
        <v>22.6</v>
      </c>
      <c r="T5654">
        <v>1193</v>
      </c>
      <c r="U5654">
        <v>287</v>
      </c>
      <c r="V5654">
        <v>4</v>
      </c>
      <c r="W5654">
        <v>107</v>
      </c>
      <c r="X5654">
        <v>765</v>
      </c>
      <c r="Y5654">
        <v>19</v>
      </c>
      <c r="Z5654">
        <v>540</v>
      </c>
      <c r="AA5654">
        <v>19</v>
      </c>
      <c r="AB5654">
        <v>82.340040000000002</v>
      </c>
      <c r="AC5654">
        <v>0.33341100000000001</v>
      </c>
      <c r="AD5654">
        <v>5.8265099999999999</v>
      </c>
      <c r="AE5654">
        <v>0.24665629999999999</v>
      </c>
      <c r="AF5654">
        <v>433.73939999999999</v>
      </c>
      <c r="AG5654">
        <f>IFERROR(AH5654*0.1, "N/A")</f>
        <v>5.4017040000000005</v>
      </c>
      <c r="AH5654">
        <v>54.017040000000001</v>
      </c>
      <c r="AI5654">
        <v>32.729979999999998</v>
      </c>
      <c r="AJ5654">
        <v>24.337309999999999</v>
      </c>
      <c r="AK5654">
        <v>64.253829999999994</v>
      </c>
    </row>
    <row r="5655" spans="1:37" x14ac:dyDescent="0.3">
      <c r="A5655">
        <v>5654</v>
      </c>
      <c r="B5655">
        <v>32</v>
      </c>
      <c r="C5655">
        <v>38.759300000000003</v>
      </c>
      <c r="D5655">
        <v>-11.625299999999999</v>
      </c>
      <c r="E5655" t="s">
        <v>9076</v>
      </c>
      <c r="F5655" t="s">
        <v>9077</v>
      </c>
      <c r="G5655" t="s">
        <v>39</v>
      </c>
      <c r="H5655">
        <v>1957</v>
      </c>
      <c r="I5655">
        <v>25.7</v>
      </c>
      <c r="J5655">
        <v>10.90667</v>
      </c>
      <c r="K5655">
        <v>66</v>
      </c>
      <c r="L5655">
        <v>15.888680000000001</v>
      </c>
      <c r="M5655">
        <v>33.80547</v>
      </c>
      <c r="N5655">
        <v>17.3</v>
      </c>
      <c r="O5655">
        <v>16.505469999999999</v>
      </c>
      <c r="P5655">
        <v>26.60547</v>
      </c>
      <c r="Q5655">
        <v>23.30547</v>
      </c>
      <c r="R5655">
        <v>27.405470000000001</v>
      </c>
      <c r="S5655">
        <v>23.30547</v>
      </c>
      <c r="T5655">
        <v>1017.557</v>
      </c>
      <c r="U5655">
        <v>227.61199999999999</v>
      </c>
      <c r="V5655">
        <v>1</v>
      </c>
      <c r="W5655">
        <v>110</v>
      </c>
      <c r="X5655">
        <v>658.61199999999997</v>
      </c>
      <c r="Y5655">
        <v>5</v>
      </c>
      <c r="Z5655">
        <v>455.61200000000002</v>
      </c>
      <c r="AA5655">
        <v>5</v>
      </c>
      <c r="AB5655">
        <v>1.66137</v>
      </c>
      <c r="AC5655">
        <v>8.9343569999999997E-2</v>
      </c>
      <c r="AD5655">
        <v>1.2143109999999999</v>
      </c>
      <c r="AE5655">
        <v>3.7296429999999998E-2</v>
      </c>
      <c r="AF5655">
        <v>291.00170000000003</v>
      </c>
      <c r="AG5655">
        <f>IFERROR(AH5655*0.1, "N/A")</f>
        <v>6.4066670000000006</v>
      </c>
      <c r="AH5655">
        <v>64.066670000000002</v>
      </c>
      <c r="AI5655">
        <v>253.03299999999999</v>
      </c>
      <c r="AJ5655">
        <v>25.90427</v>
      </c>
      <c r="AK5655">
        <v>61.962389999999999</v>
      </c>
    </row>
    <row r="5656" spans="1:37" x14ac:dyDescent="0.3">
      <c r="A5656">
        <v>5655</v>
      </c>
      <c r="B5656">
        <v>0</v>
      </c>
      <c r="C5656">
        <v>38.759300000000003</v>
      </c>
      <c r="D5656">
        <v>-11.625299999999999</v>
      </c>
      <c r="E5656" t="s">
        <v>9076</v>
      </c>
      <c r="F5656" t="s">
        <v>9078</v>
      </c>
      <c r="G5656" t="s">
        <v>37</v>
      </c>
      <c r="H5656">
        <v>1957</v>
      </c>
      <c r="I5656">
        <v>25.7</v>
      </c>
      <c r="J5656">
        <v>10.90667</v>
      </c>
      <c r="K5656">
        <v>66</v>
      </c>
      <c r="L5656">
        <v>15.888680000000001</v>
      </c>
      <c r="M5656">
        <v>33.80547</v>
      </c>
      <c r="N5656">
        <v>17.3</v>
      </c>
      <c r="O5656">
        <v>16.505469999999999</v>
      </c>
      <c r="P5656">
        <v>26.60547</v>
      </c>
      <c r="Q5656">
        <v>23.30547</v>
      </c>
      <c r="R5656">
        <v>27.405470000000001</v>
      </c>
      <c r="S5656">
        <v>23.30547</v>
      </c>
      <c r="T5656">
        <v>1017.557</v>
      </c>
      <c r="U5656">
        <v>227.61199999999999</v>
      </c>
      <c r="V5656">
        <v>1</v>
      </c>
      <c r="W5656">
        <v>110</v>
      </c>
      <c r="X5656">
        <v>658.61199999999997</v>
      </c>
      <c r="Y5656">
        <v>5</v>
      </c>
      <c r="Z5656">
        <v>455.61200000000002</v>
      </c>
      <c r="AA5656">
        <v>5</v>
      </c>
      <c r="AB5656">
        <v>1.66137</v>
      </c>
      <c r="AC5656">
        <v>8.9343569999999997E-2</v>
      </c>
      <c r="AD5656">
        <v>1.2143109999999999</v>
      </c>
      <c r="AE5656">
        <v>3.7296429999999998E-2</v>
      </c>
      <c r="AF5656">
        <v>291.00170000000003</v>
      </c>
      <c r="AG5656">
        <f>IFERROR(AH5656*0.1, "N/A")</f>
        <v>6.4066670000000006</v>
      </c>
      <c r="AH5656">
        <v>64.066670000000002</v>
      </c>
      <c r="AI5656">
        <v>253.03299999999999</v>
      </c>
      <c r="AJ5656">
        <v>25.90427</v>
      </c>
      <c r="AK5656">
        <v>61.962389999999999</v>
      </c>
    </row>
    <row r="5657" spans="1:37" x14ac:dyDescent="0.3">
      <c r="A5657">
        <v>5656</v>
      </c>
      <c r="B5657">
        <v>57.5</v>
      </c>
      <c r="C5657">
        <v>40.3523</v>
      </c>
      <c r="D5657">
        <v>-11.3536</v>
      </c>
      <c r="E5657" t="s">
        <v>9079</v>
      </c>
      <c r="F5657" t="s">
        <v>9080</v>
      </c>
      <c r="G5657" t="s">
        <v>39</v>
      </c>
      <c r="H5657">
        <v>1957</v>
      </c>
      <c r="I5657">
        <v>25.6</v>
      </c>
      <c r="J5657">
        <v>9.9</v>
      </c>
      <c r="K5657">
        <v>70</v>
      </c>
      <c r="L5657">
        <v>14.28</v>
      </c>
      <c r="M5657">
        <v>32.4</v>
      </c>
      <c r="N5657">
        <v>18.3</v>
      </c>
      <c r="O5657">
        <v>14.1</v>
      </c>
      <c r="P5657">
        <v>26.8</v>
      </c>
      <c r="Q5657">
        <v>23.7</v>
      </c>
      <c r="R5657">
        <v>27.1</v>
      </c>
      <c r="S5657">
        <v>23.6</v>
      </c>
      <c r="T5657">
        <v>1009</v>
      </c>
      <c r="U5657">
        <v>217</v>
      </c>
      <c r="V5657">
        <v>8</v>
      </c>
      <c r="W5657">
        <v>89</v>
      </c>
      <c r="X5657">
        <v>567</v>
      </c>
      <c r="Y5657">
        <v>30</v>
      </c>
      <c r="Z5657">
        <v>461</v>
      </c>
      <c r="AA5657">
        <v>39</v>
      </c>
      <c r="AB5657">
        <v>0.33839570000000002</v>
      </c>
      <c r="AC5657">
        <v>6.0074269999999999E-2</v>
      </c>
      <c r="AD5657">
        <v>0.50571080000000002</v>
      </c>
      <c r="AE5657">
        <v>0.63007219999999997</v>
      </c>
      <c r="AF5657">
        <v>20.385670000000001</v>
      </c>
      <c r="AG5657">
        <f>IFERROR(AH5657*0.1, "N/A")</f>
        <v>6.3240610000000004</v>
      </c>
      <c r="AH5657">
        <v>63.240609999999997</v>
      </c>
      <c r="AI5657">
        <v>113.2688</v>
      </c>
      <c r="AJ5657">
        <v>23.525600000000001</v>
      </c>
      <c r="AK5657">
        <v>64.489760000000004</v>
      </c>
    </row>
    <row r="5658" spans="1:37" x14ac:dyDescent="0.3">
      <c r="A5658">
        <v>5657</v>
      </c>
      <c r="B5658">
        <v>0</v>
      </c>
      <c r="C5658">
        <v>40.3523</v>
      </c>
      <c r="D5658">
        <v>-11.3536</v>
      </c>
      <c r="E5658" t="s">
        <v>9079</v>
      </c>
      <c r="F5658" t="s">
        <v>9081</v>
      </c>
      <c r="G5658" t="s">
        <v>37</v>
      </c>
      <c r="H5658">
        <v>1957</v>
      </c>
      <c r="I5658">
        <v>25.6</v>
      </c>
      <c r="J5658">
        <v>9.9</v>
      </c>
      <c r="K5658">
        <v>70</v>
      </c>
      <c r="L5658">
        <v>14.28</v>
      </c>
      <c r="M5658">
        <v>32.4</v>
      </c>
      <c r="N5658">
        <v>18.3</v>
      </c>
      <c r="O5658">
        <v>14.1</v>
      </c>
      <c r="P5658">
        <v>26.8</v>
      </c>
      <c r="Q5658">
        <v>23.7</v>
      </c>
      <c r="R5658">
        <v>27.1</v>
      </c>
      <c r="S5658">
        <v>23.6</v>
      </c>
      <c r="T5658">
        <v>1009</v>
      </c>
      <c r="U5658">
        <v>217</v>
      </c>
      <c r="V5658">
        <v>8</v>
      </c>
      <c r="W5658">
        <v>89</v>
      </c>
      <c r="X5658">
        <v>567</v>
      </c>
      <c r="Y5658">
        <v>30</v>
      </c>
      <c r="Z5658">
        <v>461</v>
      </c>
      <c r="AA5658">
        <v>39</v>
      </c>
      <c r="AB5658">
        <v>0.33839570000000002</v>
      </c>
      <c r="AC5658">
        <v>6.0074269999999999E-2</v>
      </c>
      <c r="AD5658">
        <v>0.50571080000000002</v>
      </c>
      <c r="AE5658">
        <v>0.63007219999999997</v>
      </c>
      <c r="AF5658">
        <v>20.385670000000001</v>
      </c>
      <c r="AG5658">
        <f>IFERROR(AH5658*0.1, "N/A")</f>
        <v>6.3240610000000004</v>
      </c>
      <c r="AH5658">
        <v>63.240609999999997</v>
      </c>
      <c r="AI5658">
        <v>113.2688</v>
      </c>
      <c r="AJ5658">
        <v>23.525600000000001</v>
      </c>
      <c r="AK5658">
        <v>64.489760000000004</v>
      </c>
    </row>
    <row r="5659" spans="1:37" x14ac:dyDescent="0.3">
      <c r="A5659">
        <v>5658</v>
      </c>
      <c r="B5659">
        <v>92.5</v>
      </c>
      <c r="C5659">
        <v>40.474600000000002</v>
      </c>
      <c r="D5659">
        <v>-10.7743</v>
      </c>
      <c r="E5659" t="s">
        <v>9082</v>
      </c>
      <c r="F5659" t="s">
        <v>9083</v>
      </c>
      <c r="G5659" t="s">
        <v>39</v>
      </c>
      <c r="H5659">
        <v>1957</v>
      </c>
      <c r="I5659">
        <v>25.200340000000001</v>
      </c>
      <c r="J5659">
        <v>10.3</v>
      </c>
      <c r="K5659">
        <v>73.001710000000003</v>
      </c>
      <c r="L5659">
        <v>12.629440000000001</v>
      </c>
      <c r="M5659">
        <v>31.9</v>
      </c>
      <c r="N5659">
        <v>17.90034</v>
      </c>
      <c r="O5659">
        <v>13.99966</v>
      </c>
      <c r="P5659">
        <v>26.500170000000001</v>
      </c>
      <c r="Q5659">
        <v>24.000509999999998</v>
      </c>
      <c r="R5659">
        <v>26.6</v>
      </c>
      <c r="S5659">
        <v>23.500340000000001</v>
      </c>
      <c r="T5659">
        <v>1121.9880000000001</v>
      </c>
      <c r="U5659">
        <v>226</v>
      </c>
      <c r="V5659">
        <v>12</v>
      </c>
      <c r="W5659">
        <v>81.001710000000003</v>
      </c>
      <c r="X5659">
        <v>594.99490000000003</v>
      </c>
      <c r="Y5659">
        <v>45</v>
      </c>
      <c r="Z5659">
        <v>536.99149999999997</v>
      </c>
      <c r="AA5659">
        <v>60</v>
      </c>
      <c r="AB5659">
        <v>11.04</v>
      </c>
      <c r="AC5659">
        <v>4.6925639999999998E-2</v>
      </c>
      <c r="AD5659">
        <v>6.1686740000000002</v>
      </c>
      <c r="AE5659">
        <v>0.39740550000000002</v>
      </c>
      <c r="AF5659">
        <v>20.883759999999999</v>
      </c>
      <c r="AG5659">
        <f>IFERROR(AH5659*0.1, "N/A")</f>
        <v>5.8005130000000005</v>
      </c>
      <c r="AH5659">
        <v>58.005130000000001</v>
      </c>
      <c r="AI5659">
        <v>92.058369999999996</v>
      </c>
      <c r="AJ5659">
        <v>18.010259999999999</v>
      </c>
      <c r="AK5659">
        <v>73.996579999999994</v>
      </c>
    </row>
    <row r="5660" spans="1:37" x14ac:dyDescent="0.3">
      <c r="A5660">
        <v>5659</v>
      </c>
      <c r="B5660">
        <v>0</v>
      </c>
      <c r="C5660">
        <v>40.474600000000002</v>
      </c>
      <c r="D5660">
        <v>-10.7743</v>
      </c>
      <c r="E5660" t="s">
        <v>9082</v>
      </c>
      <c r="F5660" t="s">
        <v>9084</v>
      </c>
      <c r="G5660" t="s">
        <v>37</v>
      </c>
      <c r="H5660">
        <v>1957</v>
      </c>
      <c r="I5660">
        <v>25.200340000000001</v>
      </c>
      <c r="J5660">
        <v>10.3</v>
      </c>
      <c r="K5660">
        <v>73.001710000000003</v>
      </c>
      <c r="L5660">
        <v>12.629440000000001</v>
      </c>
      <c r="M5660">
        <v>31.9</v>
      </c>
      <c r="N5660">
        <v>17.90034</v>
      </c>
      <c r="O5660">
        <v>13.99966</v>
      </c>
      <c r="P5660">
        <v>26.500170000000001</v>
      </c>
      <c r="Q5660">
        <v>24.000509999999998</v>
      </c>
      <c r="R5660">
        <v>26.6</v>
      </c>
      <c r="S5660">
        <v>23.500340000000001</v>
      </c>
      <c r="T5660">
        <v>1121.9880000000001</v>
      </c>
      <c r="U5660">
        <v>226</v>
      </c>
      <c r="V5660">
        <v>12</v>
      </c>
      <c r="W5660">
        <v>81.001710000000003</v>
      </c>
      <c r="X5660">
        <v>594.99490000000003</v>
      </c>
      <c r="Y5660">
        <v>45</v>
      </c>
      <c r="Z5660">
        <v>536.99149999999997</v>
      </c>
      <c r="AA5660">
        <v>60</v>
      </c>
      <c r="AB5660">
        <v>11.04</v>
      </c>
      <c r="AC5660">
        <v>4.6925639999999998E-2</v>
      </c>
      <c r="AD5660">
        <v>6.1686740000000002</v>
      </c>
      <c r="AE5660">
        <v>0.39740550000000002</v>
      </c>
      <c r="AF5660">
        <v>20.883759999999999</v>
      </c>
      <c r="AG5660">
        <f>IFERROR(AH5660*0.1, "N/A")</f>
        <v>5.8005130000000005</v>
      </c>
      <c r="AH5660">
        <v>58.005130000000001</v>
      </c>
      <c r="AI5660">
        <v>92.058369999999996</v>
      </c>
      <c r="AJ5660">
        <v>18.010259999999999</v>
      </c>
      <c r="AK5660">
        <v>73.996579999999994</v>
      </c>
    </row>
    <row r="5661" spans="1:37" x14ac:dyDescent="0.3">
      <c r="A5661">
        <v>5660</v>
      </c>
      <c r="B5661">
        <v>1.1000000000000001</v>
      </c>
      <c r="C5661">
        <v>36.766669999999998</v>
      </c>
      <c r="D5661">
        <v>-14.91667</v>
      </c>
      <c r="E5661" t="s">
        <v>9085</v>
      </c>
      <c r="F5661" t="s">
        <v>9086</v>
      </c>
      <c r="G5661" t="s">
        <v>39</v>
      </c>
      <c r="H5661">
        <v>1954</v>
      </c>
      <c r="I5661">
        <v>24.105360000000001</v>
      </c>
      <c r="J5661">
        <v>13.2</v>
      </c>
      <c r="K5661">
        <v>59.946399999999997</v>
      </c>
      <c r="L5661">
        <v>25.508459999999999</v>
      </c>
      <c r="M5661">
        <v>34.605359999999997</v>
      </c>
      <c r="N5661">
        <v>12.59464</v>
      </c>
      <c r="O5661">
        <v>22.010719999999999</v>
      </c>
      <c r="P5661">
        <v>25.905360000000002</v>
      </c>
      <c r="Q5661">
        <v>20.399999999999999</v>
      </c>
      <c r="R5661">
        <v>26.905360000000002</v>
      </c>
      <c r="S5661">
        <v>20.399999999999999</v>
      </c>
      <c r="T5661">
        <v>954.69179999999994</v>
      </c>
      <c r="U5661">
        <v>242</v>
      </c>
      <c r="V5661">
        <v>3</v>
      </c>
      <c r="W5661">
        <v>111.5997</v>
      </c>
      <c r="X5661">
        <v>645.59969999999998</v>
      </c>
      <c r="Y5661">
        <v>11</v>
      </c>
      <c r="Z5661">
        <v>271.94639999999998</v>
      </c>
      <c r="AA5661">
        <v>11</v>
      </c>
      <c r="AB5661">
        <v>9.1066979999999997</v>
      </c>
      <c r="AC5661">
        <v>2.2608329999999999E-2</v>
      </c>
      <c r="AD5661">
        <v>1.174992</v>
      </c>
      <c r="AE5661">
        <v>0.18556039999999999</v>
      </c>
      <c r="AF5661">
        <v>557.24120000000005</v>
      </c>
      <c r="AG5661">
        <f>IFERROR(AH5661*0.1, "N/A")</f>
        <v>6.0006700000000004</v>
      </c>
      <c r="AH5661">
        <v>60.006700000000002</v>
      </c>
      <c r="AI5661">
        <v>109.7534</v>
      </c>
      <c r="AJ5661">
        <v>24.82245</v>
      </c>
      <c r="AK5661">
        <v>64.177549999999997</v>
      </c>
    </row>
    <row r="5662" spans="1:37" x14ac:dyDescent="0.3">
      <c r="A5662">
        <v>5661</v>
      </c>
      <c r="B5662">
        <v>4.5</v>
      </c>
      <c r="C5662">
        <v>36.766669999999998</v>
      </c>
      <c r="D5662">
        <v>-14.91667</v>
      </c>
      <c r="E5662" t="s">
        <v>9085</v>
      </c>
      <c r="F5662" t="s">
        <v>9087</v>
      </c>
      <c r="G5662" t="s">
        <v>37</v>
      </c>
      <c r="H5662">
        <v>1954</v>
      </c>
      <c r="I5662">
        <v>24.105360000000001</v>
      </c>
      <c r="J5662">
        <v>13.2</v>
      </c>
      <c r="K5662">
        <v>59.946399999999997</v>
      </c>
      <c r="L5662">
        <v>25.508459999999999</v>
      </c>
      <c r="M5662">
        <v>34.605359999999997</v>
      </c>
      <c r="N5662">
        <v>12.59464</v>
      </c>
      <c r="O5662">
        <v>22.010719999999999</v>
      </c>
      <c r="P5662">
        <v>25.905360000000002</v>
      </c>
      <c r="Q5662">
        <v>20.399999999999999</v>
      </c>
      <c r="R5662">
        <v>26.905360000000002</v>
      </c>
      <c r="S5662">
        <v>20.399999999999999</v>
      </c>
      <c r="T5662">
        <v>954.69179999999994</v>
      </c>
      <c r="U5662">
        <v>242</v>
      </c>
      <c r="V5662">
        <v>3</v>
      </c>
      <c r="W5662">
        <v>111.5997</v>
      </c>
      <c r="X5662">
        <v>645.59969999999998</v>
      </c>
      <c r="Y5662">
        <v>11</v>
      </c>
      <c r="Z5662">
        <v>271.94639999999998</v>
      </c>
      <c r="AA5662">
        <v>11</v>
      </c>
      <c r="AB5662">
        <v>9.1066979999999997</v>
      </c>
      <c r="AC5662">
        <v>2.2608329999999999E-2</v>
      </c>
      <c r="AD5662">
        <v>1.174992</v>
      </c>
      <c r="AE5662">
        <v>0.18556039999999999</v>
      </c>
      <c r="AF5662">
        <v>557.24120000000005</v>
      </c>
      <c r="AG5662">
        <f>IFERROR(AH5662*0.1, "N/A")</f>
        <v>6.0006700000000004</v>
      </c>
      <c r="AH5662">
        <v>60.006700000000002</v>
      </c>
      <c r="AI5662">
        <v>109.7534</v>
      </c>
      <c r="AJ5662">
        <v>24.82245</v>
      </c>
      <c r="AK5662">
        <v>64.177549999999997</v>
      </c>
    </row>
    <row r="5663" spans="1:37" x14ac:dyDescent="0.3">
      <c r="A5663">
        <v>5662</v>
      </c>
      <c r="B5663">
        <v>0.8</v>
      </c>
      <c r="C5663">
        <v>32.718139999999998</v>
      </c>
      <c r="D5663">
        <v>-23.022189999999998</v>
      </c>
      <c r="E5663" t="s">
        <v>9088</v>
      </c>
      <c r="F5663" t="s">
        <v>9089</v>
      </c>
      <c r="G5663" t="s">
        <v>39</v>
      </c>
      <c r="H5663">
        <v>1954</v>
      </c>
      <c r="I5663">
        <v>24.4</v>
      </c>
      <c r="J5663">
        <v>14</v>
      </c>
      <c r="K5663">
        <v>61</v>
      </c>
      <c r="L5663">
        <v>30.62</v>
      </c>
      <c r="M5663">
        <v>34.1</v>
      </c>
      <c r="N5663">
        <v>11.4</v>
      </c>
      <c r="O5663">
        <v>22.7</v>
      </c>
      <c r="P5663">
        <v>27.6</v>
      </c>
      <c r="Q5663">
        <v>21.4</v>
      </c>
      <c r="R5663">
        <v>27.6</v>
      </c>
      <c r="S5663">
        <v>19.899999999999999</v>
      </c>
      <c r="T5663">
        <v>465</v>
      </c>
      <c r="U5663">
        <v>96</v>
      </c>
      <c r="V5663">
        <v>2</v>
      </c>
      <c r="W5663">
        <v>92</v>
      </c>
      <c r="X5663">
        <v>279</v>
      </c>
      <c r="Y5663">
        <v>12</v>
      </c>
      <c r="Z5663">
        <v>279</v>
      </c>
      <c r="AA5663">
        <v>15</v>
      </c>
      <c r="AB5663">
        <v>3.6563379999999999</v>
      </c>
      <c r="AC5663">
        <v>1.6189789999999999E-2</v>
      </c>
      <c r="AD5663">
        <v>1.9524600000000001</v>
      </c>
      <c r="AE5663">
        <v>5.0135119999999998E-2</v>
      </c>
      <c r="AF5663">
        <v>117.0423</v>
      </c>
      <c r="AG5663">
        <f>IFERROR(AH5663*0.1, "N/A")</f>
        <v>6.8173710000000005</v>
      </c>
      <c r="AH5663">
        <v>68.17371</v>
      </c>
      <c r="AI5663">
        <v>227.59780000000001</v>
      </c>
      <c r="AJ5663">
        <v>22.553989999999999</v>
      </c>
      <c r="AK5663">
        <v>66.10642</v>
      </c>
    </row>
    <row r="5664" spans="1:37" x14ac:dyDescent="0.3">
      <c r="A5664">
        <v>5663</v>
      </c>
      <c r="B5664">
        <v>3.3</v>
      </c>
      <c r="C5664">
        <v>32.718139999999998</v>
      </c>
      <c r="D5664">
        <v>-23.022189999999998</v>
      </c>
      <c r="E5664" t="s">
        <v>9088</v>
      </c>
      <c r="F5664" t="s">
        <v>9090</v>
      </c>
      <c r="G5664" t="s">
        <v>37</v>
      </c>
      <c r="H5664">
        <v>1954</v>
      </c>
      <c r="I5664">
        <v>24.4</v>
      </c>
      <c r="J5664">
        <v>14</v>
      </c>
      <c r="K5664">
        <v>61</v>
      </c>
      <c r="L5664">
        <v>30.62</v>
      </c>
      <c r="M5664">
        <v>34.1</v>
      </c>
      <c r="N5664">
        <v>11.4</v>
      </c>
      <c r="O5664">
        <v>22.7</v>
      </c>
      <c r="P5664">
        <v>27.6</v>
      </c>
      <c r="Q5664">
        <v>21.4</v>
      </c>
      <c r="R5664">
        <v>27.6</v>
      </c>
      <c r="S5664">
        <v>19.899999999999999</v>
      </c>
      <c r="T5664">
        <v>465</v>
      </c>
      <c r="U5664">
        <v>96</v>
      </c>
      <c r="V5664">
        <v>2</v>
      </c>
      <c r="W5664">
        <v>92</v>
      </c>
      <c r="X5664">
        <v>279</v>
      </c>
      <c r="Y5664">
        <v>12</v>
      </c>
      <c r="Z5664">
        <v>279</v>
      </c>
      <c r="AA5664">
        <v>15</v>
      </c>
      <c r="AB5664">
        <v>3.6563379999999999</v>
      </c>
      <c r="AC5664">
        <v>1.6189789999999999E-2</v>
      </c>
      <c r="AD5664">
        <v>1.9524600000000001</v>
      </c>
      <c r="AE5664">
        <v>5.0135119999999998E-2</v>
      </c>
      <c r="AF5664">
        <v>117.0423</v>
      </c>
      <c r="AG5664">
        <f>IFERROR(AH5664*0.1, "N/A")</f>
        <v>6.8173710000000005</v>
      </c>
      <c r="AH5664">
        <v>68.17371</v>
      </c>
      <c r="AI5664">
        <v>227.59780000000001</v>
      </c>
      <c r="AJ5664">
        <v>22.553989999999999</v>
      </c>
      <c r="AK5664">
        <v>66.10642</v>
      </c>
    </row>
    <row r="5665" spans="1:37" x14ac:dyDescent="0.3">
      <c r="A5665">
        <v>5664</v>
      </c>
      <c r="B5665">
        <v>84.4</v>
      </c>
      <c r="C5665">
        <v>39.320619999999998</v>
      </c>
      <c r="D5665">
        <v>-12.333550000000001</v>
      </c>
      <c r="E5665" t="s">
        <v>9091</v>
      </c>
      <c r="F5665" t="s">
        <v>9092</v>
      </c>
      <c r="G5665" t="s">
        <v>39</v>
      </c>
      <c r="H5665">
        <v>1998</v>
      </c>
      <c r="I5665">
        <v>25.8</v>
      </c>
      <c r="J5665">
        <v>11.38964</v>
      </c>
      <c r="K5665">
        <v>71</v>
      </c>
      <c r="L5665">
        <v>13.283429999999999</v>
      </c>
      <c r="M5665">
        <v>33.700000000000003</v>
      </c>
      <c r="N5665">
        <v>17.8</v>
      </c>
      <c r="O5665">
        <v>15.9</v>
      </c>
      <c r="P5665">
        <v>26.6</v>
      </c>
      <c r="Q5665">
        <v>24.2</v>
      </c>
      <c r="R5665">
        <v>27.189640000000001</v>
      </c>
      <c r="S5665">
        <v>23.8</v>
      </c>
      <c r="T5665">
        <v>1041</v>
      </c>
      <c r="U5665">
        <v>249</v>
      </c>
      <c r="V5665">
        <v>2</v>
      </c>
      <c r="W5665">
        <v>111</v>
      </c>
      <c r="X5665">
        <v>679</v>
      </c>
      <c r="Y5665">
        <v>7</v>
      </c>
      <c r="Z5665">
        <v>487.89640000000003</v>
      </c>
      <c r="AA5665">
        <v>8</v>
      </c>
      <c r="AB5665">
        <v>36.90307</v>
      </c>
      <c r="AC5665">
        <v>9.9146560000000009E-3</v>
      </c>
      <c r="AD5665">
        <v>3.2031689999999999</v>
      </c>
      <c r="AE5665">
        <v>3.9858930000000001E-2</v>
      </c>
      <c r="AF5665">
        <v>263.23770000000002</v>
      </c>
      <c r="AG5665">
        <f>IFERROR(AH5665*0.1, "N/A")</f>
        <v>6.0327669999999998</v>
      </c>
      <c r="AH5665">
        <v>60.327669999999998</v>
      </c>
      <c r="AI5665">
        <v>146.94579999999999</v>
      </c>
      <c r="AJ5665">
        <v>21.51783</v>
      </c>
      <c r="AK5665">
        <v>66.482169999999996</v>
      </c>
    </row>
    <row r="5666" spans="1:37" x14ac:dyDescent="0.3">
      <c r="A5666">
        <v>5665</v>
      </c>
      <c r="B5666">
        <v>0.5</v>
      </c>
      <c r="C5666">
        <v>39.320619999999998</v>
      </c>
      <c r="D5666">
        <v>-12.333550000000001</v>
      </c>
      <c r="E5666" t="s">
        <v>9091</v>
      </c>
      <c r="F5666" t="s">
        <v>9093</v>
      </c>
      <c r="G5666" t="s">
        <v>37</v>
      </c>
      <c r="H5666">
        <v>1998</v>
      </c>
      <c r="I5666">
        <v>25.8</v>
      </c>
      <c r="J5666">
        <v>11.38964</v>
      </c>
      <c r="K5666">
        <v>71</v>
      </c>
      <c r="L5666">
        <v>13.283429999999999</v>
      </c>
      <c r="M5666">
        <v>33.700000000000003</v>
      </c>
      <c r="N5666">
        <v>17.8</v>
      </c>
      <c r="O5666">
        <v>15.9</v>
      </c>
      <c r="P5666">
        <v>26.6</v>
      </c>
      <c r="Q5666">
        <v>24.2</v>
      </c>
      <c r="R5666">
        <v>27.189640000000001</v>
      </c>
      <c r="S5666">
        <v>23.8</v>
      </c>
      <c r="T5666">
        <v>1041</v>
      </c>
      <c r="U5666">
        <v>249</v>
      </c>
      <c r="V5666">
        <v>2</v>
      </c>
      <c r="W5666">
        <v>111</v>
      </c>
      <c r="X5666">
        <v>679</v>
      </c>
      <c r="Y5666">
        <v>7</v>
      </c>
      <c r="Z5666">
        <v>487.89640000000003</v>
      </c>
      <c r="AA5666">
        <v>8</v>
      </c>
      <c r="AB5666">
        <v>36.90307</v>
      </c>
      <c r="AC5666">
        <v>9.9146560000000009E-3</v>
      </c>
      <c r="AD5666">
        <v>3.2031689999999999</v>
      </c>
      <c r="AE5666">
        <v>3.9858930000000001E-2</v>
      </c>
      <c r="AF5666">
        <v>263.23770000000002</v>
      </c>
      <c r="AG5666">
        <f>IFERROR(AH5666*0.1, "N/A")</f>
        <v>6.0327669999999998</v>
      </c>
      <c r="AH5666">
        <v>60.327669999999998</v>
      </c>
      <c r="AI5666">
        <v>146.94579999999999</v>
      </c>
      <c r="AJ5666">
        <v>21.51783</v>
      </c>
      <c r="AK5666">
        <v>66.482169999999996</v>
      </c>
    </row>
    <row r="5667" spans="1:37" x14ac:dyDescent="0.3">
      <c r="A5667">
        <v>5666</v>
      </c>
      <c r="B5667">
        <v>63.8</v>
      </c>
      <c r="C5667">
        <v>36.609389999999998</v>
      </c>
      <c r="D5667">
        <v>-12.78262</v>
      </c>
      <c r="E5667" t="s">
        <v>9094</v>
      </c>
      <c r="F5667" t="s">
        <v>9095</v>
      </c>
      <c r="G5667" t="s">
        <v>39</v>
      </c>
      <c r="H5667">
        <v>2009</v>
      </c>
      <c r="I5667">
        <v>24.616299999999999</v>
      </c>
      <c r="J5667">
        <v>10.3163</v>
      </c>
      <c r="K5667">
        <v>59</v>
      </c>
      <c r="L5667">
        <v>20.402069999999998</v>
      </c>
      <c r="M5667">
        <v>33.016300000000001</v>
      </c>
      <c r="N5667">
        <v>15.616300000000001</v>
      </c>
      <c r="O5667">
        <v>17.399999999999999</v>
      </c>
      <c r="P5667">
        <v>25.516300000000001</v>
      </c>
      <c r="Q5667">
        <v>21.6326</v>
      </c>
      <c r="R5667">
        <v>26.932600000000001</v>
      </c>
      <c r="S5667">
        <v>21.6326</v>
      </c>
      <c r="T5667">
        <v>1221.6959999999999</v>
      </c>
      <c r="U5667">
        <v>295.83699999999999</v>
      </c>
      <c r="V5667">
        <v>1</v>
      </c>
      <c r="W5667">
        <v>112</v>
      </c>
      <c r="X5667">
        <v>814.51099999999997</v>
      </c>
      <c r="Y5667">
        <v>6</v>
      </c>
      <c r="Z5667">
        <v>288.51100000000002</v>
      </c>
      <c r="AA5667">
        <v>6</v>
      </c>
      <c r="AB5667">
        <v>20.18065</v>
      </c>
      <c r="AC5667">
        <v>8.4109170000000004E-3</v>
      </c>
      <c r="AD5667">
        <v>2.0812759999999999</v>
      </c>
      <c r="AE5667">
        <v>9.0181890000000001E-2</v>
      </c>
      <c r="AF5667">
        <v>515.05769999999995</v>
      </c>
      <c r="AG5667">
        <f>IFERROR(AH5667*0.1, "N/A")</f>
        <v>5.5769100000000007</v>
      </c>
      <c r="AH5667">
        <v>55.769100000000002</v>
      </c>
      <c r="AI5667">
        <v>150.3366</v>
      </c>
      <c r="AJ5667">
        <v>22.292020000000001</v>
      </c>
      <c r="AK5667">
        <v>65.623090000000005</v>
      </c>
    </row>
    <row r="5668" spans="1:37" x14ac:dyDescent="0.3">
      <c r="A5668">
        <v>5667</v>
      </c>
      <c r="B5668">
        <v>0.1</v>
      </c>
      <c r="C5668">
        <v>36.609389999999998</v>
      </c>
      <c r="D5668">
        <v>-12.78262</v>
      </c>
      <c r="E5668" t="s">
        <v>9094</v>
      </c>
      <c r="F5668" t="s">
        <v>9096</v>
      </c>
      <c r="G5668" t="s">
        <v>37</v>
      </c>
      <c r="H5668">
        <v>2009</v>
      </c>
      <c r="I5668">
        <v>24.616299999999999</v>
      </c>
      <c r="J5668">
        <v>10.3163</v>
      </c>
      <c r="K5668">
        <v>59</v>
      </c>
      <c r="L5668">
        <v>20.402069999999998</v>
      </c>
      <c r="M5668">
        <v>33.016300000000001</v>
      </c>
      <c r="N5668">
        <v>15.616300000000001</v>
      </c>
      <c r="O5668">
        <v>17.399999999999999</v>
      </c>
      <c r="P5668">
        <v>25.516300000000001</v>
      </c>
      <c r="Q5668">
        <v>21.6326</v>
      </c>
      <c r="R5668">
        <v>26.932600000000001</v>
      </c>
      <c r="S5668">
        <v>21.6326</v>
      </c>
      <c r="T5668">
        <v>1221.6959999999999</v>
      </c>
      <c r="U5668">
        <v>295.83699999999999</v>
      </c>
      <c r="V5668">
        <v>1</v>
      </c>
      <c r="W5668">
        <v>112</v>
      </c>
      <c r="X5668">
        <v>814.51099999999997</v>
      </c>
      <c r="Y5668">
        <v>6</v>
      </c>
      <c r="Z5668">
        <v>288.51100000000002</v>
      </c>
      <c r="AA5668">
        <v>6</v>
      </c>
      <c r="AB5668">
        <v>20.18065</v>
      </c>
      <c r="AC5668">
        <v>8.4109170000000004E-3</v>
      </c>
      <c r="AD5668">
        <v>2.0812759999999999</v>
      </c>
      <c r="AE5668">
        <v>9.0181890000000001E-2</v>
      </c>
      <c r="AF5668">
        <v>515.05769999999995</v>
      </c>
      <c r="AG5668">
        <f>IFERROR(AH5668*0.1, "N/A")</f>
        <v>5.5769100000000007</v>
      </c>
      <c r="AH5668">
        <v>55.769100000000002</v>
      </c>
      <c r="AI5668">
        <v>150.3366</v>
      </c>
      <c r="AJ5668">
        <v>22.292020000000001</v>
      </c>
      <c r="AK5668">
        <v>65.623090000000005</v>
      </c>
    </row>
    <row r="5669" spans="1:37" x14ac:dyDescent="0.3">
      <c r="A5669">
        <v>5668</v>
      </c>
      <c r="B5669">
        <v>77.7</v>
      </c>
      <c r="C5669">
        <v>39.266669999999998</v>
      </c>
      <c r="D5669">
        <v>-15.116669999999999</v>
      </c>
      <c r="E5669" t="s">
        <v>9097</v>
      </c>
      <c r="F5669" t="s">
        <v>9098</v>
      </c>
      <c r="G5669" t="s">
        <v>39</v>
      </c>
      <c r="H5669">
        <v>2009</v>
      </c>
      <c r="I5669">
        <v>24.7</v>
      </c>
      <c r="J5669">
        <v>11.9</v>
      </c>
      <c r="K5669">
        <v>62</v>
      </c>
      <c r="L5669">
        <v>22.727419999999999</v>
      </c>
      <c r="M5669">
        <v>34.14264</v>
      </c>
      <c r="N5669">
        <v>15.22993</v>
      </c>
      <c r="O5669">
        <v>18.912710000000001</v>
      </c>
      <c r="P5669">
        <v>26.333780000000001</v>
      </c>
      <c r="Q5669">
        <v>22.196149999999999</v>
      </c>
      <c r="R5669">
        <v>26.9</v>
      </c>
      <c r="S5669">
        <v>21.196149999999999</v>
      </c>
      <c r="T5669">
        <v>1093.93</v>
      </c>
      <c r="U5669">
        <v>241</v>
      </c>
      <c r="V5669">
        <v>7</v>
      </c>
      <c r="W5669">
        <v>95</v>
      </c>
      <c r="X5669">
        <v>653.42639999999994</v>
      </c>
      <c r="Y5669">
        <v>35</v>
      </c>
      <c r="Z5669">
        <v>504</v>
      </c>
      <c r="AA5669">
        <v>44.038460000000001</v>
      </c>
      <c r="AB5669">
        <v>26.876249999999999</v>
      </c>
      <c r="AC5669">
        <v>4.3056249999999997E-2</v>
      </c>
      <c r="AD5669">
        <v>2.5719159999999999</v>
      </c>
      <c r="AE5669">
        <v>0.91275899999999999</v>
      </c>
      <c r="AF5669">
        <v>428.40640000000002</v>
      </c>
      <c r="AG5669">
        <f>IFERROR(AH5669*0.1, "N/A")</f>
        <v>6.8503340000000001</v>
      </c>
      <c r="AH5669">
        <v>68.503339999999994</v>
      </c>
      <c r="AI5669">
        <v>137.12389999999999</v>
      </c>
      <c r="AJ5669">
        <v>24.83445</v>
      </c>
      <c r="AK5669">
        <v>58.165550000000003</v>
      </c>
    </row>
    <row r="5670" spans="1:37" x14ac:dyDescent="0.3">
      <c r="A5670">
        <v>5669</v>
      </c>
      <c r="B5670">
        <v>0</v>
      </c>
      <c r="C5670">
        <v>39.266669999999998</v>
      </c>
      <c r="D5670">
        <v>-15.116669999999999</v>
      </c>
      <c r="E5670" t="s">
        <v>9097</v>
      </c>
      <c r="F5670" t="s">
        <v>9099</v>
      </c>
      <c r="G5670" t="s">
        <v>37</v>
      </c>
      <c r="H5670">
        <v>2009</v>
      </c>
      <c r="I5670">
        <v>24.7</v>
      </c>
      <c r="J5670">
        <v>11.9</v>
      </c>
      <c r="K5670">
        <v>62</v>
      </c>
      <c r="L5670">
        <v>22.727419999999999</v>
      </c>
      <c r="M5670">
        <v>34.14264</v>
      </c>
      <c r="N5670">
        <v>15.22993</v>
      </c>
      <c r="O5670">
        <v>18.912710000000001</v>
      </c>
      <c r="P5670">
        <v>26.333780000000001</v>
      </c>
      <c r="Q5670">
        <v>22.196149999999999</v>
      </c>
      <c r="R5670">
        <v>26.9</v>
      </c>
      <c r="S5670">
        <v>21.196149999999999</v>
      </c>
      <c r="T5670">
        <v>1093.93</v>
      </c>
      <c r="U5670">
        <v>241</v>
      </c>
      <c r="V5670">
        <v>7</v>
      </c>
      <c r="W5670">
        <v>95</v>
      </c>
      <c r="X5670">
        <v>653.42639999999994</v>
      </c>
      <c r="Y5670">
        <v>35</v>
      </c>
      <c r="Z5670">
        <v>504</v>
      </c>
      <c r="AA5670">
        <v>44.038460000000001</v>
      </c>
      <c r="AB5670">
        <v>26.876249999999999</v>
      </c>
      <c r="AC5670">
        <v>4.3056249999999997E-2</v>
      </c>
      <c r="AD5670">
        <v>2.5719159999999999</v>
      </c>
      <c r="AE5670">
        <v>0.91275899999999999</v>
      </c>
      <c r="AF5670">
        <v>428.40640000000002</v>
      </c>
      <c r="AG5670">
        <f>IFERROR(AH5670*0.1, "N/A")</f>
        <v>6.8503340000000001</v>
      </c>
      <c r="AH5670">
        <v>68.503339999999994</v>
      </c>
      <c r="AI5670">
        <v>137.12389999999999</v>
      </c>
      <c r="AJ5670">
        <v>24.83445</v>
      </c>
      <c r="AK5670">
        <v>58.165550000000003</v>
      </c>
    </row>
    <row r="5671" spans="1:37" x14ac:dyDescent="0.3">
      <c r="A5671">
        <v>5670</v>
      </c>
      <c r="B5671">
        <v>60.1</v>
      </c>
      <c r="C5671">
        <v>36.61271</v>
      </c>
      <c r="D5671">
        <v>-16.562100000000001</v>
      </c>
      <c r="E5671" t="s">
        <v>9100</v>
      </c>
      <c r="F5671" t="s">
        <v>9101</v>
      </c>
      <c r="G5671" t="s">
        <v>39</v>
      </c>
      <c r="H5671">
        <v>2009</v>
      </c>
      <c r="I5671">
        <v>24.7</v>
      </c>
      <c r="J5671">
        <v>12.8</v>
      </c>
      <c r="K5671">
        <v>63</v>
      </c>
      <c r="L5671">
        <v>21.13</v>
      </c>
      <c r="M5671">
        <v>34.9</v>
      </c>
      <c r="N5671">
        <v>14.8</v>
      </c>
      <c r="O5671">
        <v>20.100000000000001</v>
      </c>
      <c r="P5671">
        <v>26.1</v>
      </c>
      <c r="Q5671">
        <v>24.8</v>
      </c>
      <c r="R5671">
        <v>26.9</v>
      </c>
      <c r="S5671">
        <v>21.7</v>
      </c>
      <c r="T5671">
        <v>1512</v>
      </c>
      <c r="U5671">
        <v>281</v>
      </c>
      <c r="V5671">
        <v>20</v>
      </c>
      <c r="W5671">
        <v>81</v>
      </c>
      <c r="X5671">
        <v>801</v>
      </c>
      <c r="Y5671">
        <v>82</v>
      </c>
      <c r="Z5671">
        <v>418</v>
      </c>
      <c r="AA5671">
        <v>105</v>
      </c>
      <c r="AB5671">
        <v>35.102800000000002</v>
      </c>
      <c r="AC5671">
        <v>9.4988980000000004E-3</v>
      </c>
      <c r="AD5671">
        <v>4.9129690000000004</v>
      </c>
      <c r="AE5671">
        <v>0.1300762</v>
      </c>
      <c r="AF5671">
        <v>217.30860000000001</v>
      </c>
      <c r="AG5671">
        <f>IFERROR(AH5671*0.1, "N/A")</f>
        <v>5.8844880000000011</v>
      </c>
      <c r="AH5671">
        <v>58.844880000000003</v>
      </c>
      <c r="AI5671">
        <v>209.77279999999999</v>
      </c>
      <c r="AJ5671">
        <v>22.80198</v>
      </c>
      <c r="AK5671">
        <v>62.772280000000002</v>
      </c>
    </row>
    <row r="5672" spans="1:37" x14ac:dyDescent="0.3">
      <c r="A5672">
        <v>5671</v>
      </c>
      <c r="B5672">
        <v>1.3</v>
      </c>
      <c r="C5672">
        <v>36.61271</v>
      </c>
      <c r="D5672">
        <v>-16.562100000000001</v>
      </c>
      <c r="E5672" t="s">
        <v>9100</v>
      </c>
      <c r="F5672" t="s">
        <v>9102</v>
      </c>
      <c r="G5672" t="s">
        <v>37</v>
      </c>
      <c r="H5672">
        <v>2009</v>
      </c>
      <c r="I5672">
        <v>24.7</v>
      </c>
      <c r="J5672">
        <v>12.8</v>
      </c>
      <c r="K5672">
        <v>63</v>
      </c>
      <c r="L5672">
        <v>21.13</v>
      </c>
      <c r="M5672">
        <v>34.9</v>
      </c>
      <c r="N5672">
        <v>14.8</v>
      </c>
      <c r="O5672">
        <v>20.100000000000001</v>
      </c>
      <c r="P5672">
        <v>26.1</v>
      </c>
      <c r="Q5672">
        <v>24.8</v>
      </c>
      <c r="R5672">
        <v>26.9</v>
      </c>
      <c r="S5672">
        <v>21.7</v>
      </c>
      <c r="T5672">
        <v>1512</v>
      </c>
      <c r="U5672">
        <v>281</v>
      </c>
      <c r="V5672">
        <v>20</v>
      </c>
      <c r="W5672">
        <v>81</v>
      </c>
      <c r="X5672">
        <v>801</v>
      </c>
      <c r="Y5672">
        <v>82</v>
      </c>
      <c r="Z5672">
        <v>418</v>
      </c>
      <c r="AA5672">
        <v>105</v>
      </c>
      <c r="AB5672">
        <v>35.102800000000002</v>
      </c>
      <c r="AC5672">
        <v>9.4988980000000004E-3</v>
      </c>
      <c r="AD5672">
        <v>4.9129690000000004</v>
      </c>
      <c r="AE5672">
        <v>0.1300762</v>
      </c>
      <c r="AF5672">
        <v>217.30860000000001</v>
      </c>
      <c r="AG5672">
        <f>IFERROR(AH5672*0.1, "N/A")</f>
        <v>5.8844880000000011</v>
      </c>
      <c r="AH5672">
        <v>58.844880000000003</v>
      </c>
      <c r="AI5672">
        <v>209.77279999999999</v>
      </c>
      <c r="AJ5672">
        <v>22.80198</v>
      </c>
      <c r="AK5672">
        <v>62.772280000000002</v>
      </c>
    </row>
    <row r="5673" spans="1:37" x14ac:dyDescent="0.3">
      <c r="A5673">
        <v>5672</v>
      </c>
      <c r="B5673">
        <v>33.4</v>
      </c>
      <c r="C5673">
        <v>33.600009999999997</v>
      </c>
      <c r="D5673">
        <v>-16.16667</v>
      </c>
      <c r="E5673" t="s">
        <v>9103</v>
      </c>
      <c r="F5673" t="s">
        <v>9104</v>
      </c>
      <c r="G5673" t="s">
        <v>39</v>
      </c>
      <c r="H5673">
        <v>2009</v>
      </c>
      <c r="I5673">
        <v>26.6</v>
      </c>
      <c r="J5673">
        <v>12.441789999999999</v>
      </c>
      <c r="K5673">
        <v>57</v>
      </c>
      <c r="L5673">
        <v>27.880459999999999</v>
      </c>
      <c r="M5673">
        <v>36.758209999999998</v>
      </c>
      <c r="N5673">
        <v>15.058210000000001</v>
      </c>
      <c r="O5673">
        <v>21.7</v>
      </c>
      <c r="P5673">
        <v>28.6</v>
      </c>
      <c r="Q5673">
        <v>24.1</v>
      </c>
      <c r="R5673">
        <v>29.577780000000001</v>
      </c>
      <c r="S5673">
        <v>22.5</v>
      </c>
      <c r="T5673">
        <v>643.3682</v>
      </c>
      <c r="U5673">
        <v>169.1841</v>
      </c>
      <c r="V5673">
        <v>2</v>
      </c>
      <c r="W5673">
        <v>116.1841</v>
      </c>
      <c r="X5673">
        <v>460.1841</v>
      </c>
      <c r="Y5673">
        <v>7</v>
      </c>
      <c r="Z5673">
        <v>200.1841</v>
      </c>
      <c r="AA5673">
        <v>10</v>
      </c>
      <c r="AB5673">
        <v>4.3640150000000002</v>
      </c>
      <c r="AC5673">
        <v>3.1393169999999998E-2</v>
      </c>
      <c r="AD5673">
        <v>1.997898</v>
      </c>
      <c r="AE5673">
        <v>0.75690409999999997</v>
      </c>
      <c r="AF5673">
        <v>122.471</v>
      </c>
      <c r="AG5673">
        <f>IFERROR(AH5673*0.1, "N/A")</f>
        <v>7</v>
      </c>
      <c r="AH5673">
        <v>70</v>
      </c>
      <c r="AI5673">
        <v>101.7954</v>
      </c>
      <c r="AJ5673">
        <v>35</v>
      </c>
      <c r="AK5673">
        <v>45</v>
      </c>
    </row>
    <row r="5674" spans="1:37" x14ac:dyDescent="0.3">
      <c r="A5674">
        <v>5673</v>
      </c>
      <c r="B5674">
        <v>3.8</v>
      </c>
      <c r="C5674">
        <v>33.600009999999997</v>
      </c>
      <c r="D5674">
        <v>-16.16667</v>
      </c>
      <c r="E5674" t="s">
        <v>9103</v>
      </c>
      <c r="F5674" t="s">
        <v>9105</v>
      </c>
      <c r="G5674" t="s">
        <v>37</v>
      </c>
      <c r="H5674">
        <v>2009</v>
      </c>
      <c r="I5674">
        <v>26.6</v>
      </c>
      <c r="J5674">
        <v>12.441789999999999</v>
      </c>
      <c r="K5674">
        <v>57</v>
      </c>
      <c r="L5674">
        <v>27.880459999999999</v>
      </c>
      <c r="M5674">
        <v>36.758209999999998</v>
      </c>
      <c r="N5674">
        <v>15.058210000000001</v>
      </c>
      <c r="O5674">
        <v>21.7</v>
      </c>
      <c r="P5674">
        <v>28.6</v>
      </c>
      <c r="Q5674">
        <v>24.1</v>
      </c>
      <c r="R5674">
        <v>29.577780000000001</v>
      </c>
      <c r="S5674">
        <v>22.5</v>
      </c>
      <c r="T5674">
        <v>643.3682</v>
      </c>
      <c r="U5674">
        <v>169.1841</v>
      </c>
      <c r="V5674">
        <v>2</v>
      </c>
      <c r="W5674">
        <v>116.1841</v>
      </c>
      <c r="X5674">
        <v>460.1841</v>
      </c>
      <c r="Y5674">
        <v>7</v>
      </c>
      <c r="Z5674">
        <v>200.1841</v>
      </c>
      <c r="AA5674">
        <v>10</v>
      </c>
      <c r="AB5674">
        <v>4.3640150000000002</v>
      </c>
      <c r="AC5674">
        <v>3.1393169999999998E-2</v>
      </c>
      <c r="AD5674">
        <v>1.997898</v>
      </c>
      <c r="AE5674">
        <v>0.75690409999999997</v>
      </c>
      <c r="AF5674">
        <v>122.471</v>
      </c>
      <c r="AG5674">
        <f>IFERROR(AH5674*0.1, "N/A")</f>
        <v>7</v>
      </c>
      <c r="AH5674">
        <v>70</v>
      </c>
      <c r="AI5674">
        <v>101.7954</v>
      </c>
      <c r="AJ5674">
        <v>35</v>
      </c>
      <c r="AK5674">
        <v>45</v>
      </c>
    </row>
    <row r="5675" spans="1:37" x14ac:dyDescent="0.3">
      <c r="A5675">
        <v>5674</v>
      </c>
      <c r="B5675">
        <v>45</v>
      </c>
      <c r="C5675">
        <v>33.438369999999999</v>
      </c>
      <c r="D5675">
        <v>-19.50572</v>
      </c>
      <c r="E5675" t="s">
        <v>9106</v>
      </c>
      <c r="F5675" t="s">
        <v>9107</v>
      </c>
      <c r="G5675" t="s">
        <v>39</v>
      </c>
      <c r="H5675">
        <v>2009</v>
      </c>
      <c r="I5675">
        <v>22.7</v>
      </c>
      <c r="J5675">
        <v>13</v>
      </c>
      <c r="K5675">
        <v>61</v>
      </c>
      <c r="L5675">
        <v>27.41</v>
      </c>
      <c r="M5675">
        <v>31.8</v>
      </c>
      <c r="N5675">
        <v>10.6</v>
      </c>
      <c r="O5675">
        <v>21.2</v>
      </c>
      <c r="P5675">
        <v>25.4</v>
      </c>
      <c r="Q5675">
        <v>20</v>
      </c>
      <c r="R5675">
        <v>25.4</v>
      </c>
      <c r="S5675">
        <v>18.7</v>
      </c>
      <c r="T5675">
        <v>1018</v>
      </c>
      <c r="U5675">
        <v>215</v>
      </c>
      <c r="V5675">
        <v>11</v>
      </c>
      <c r="W5675">
        <v>92</v>
      </c>
      <c r="X5675">
        <v>600</v>
      </c>
      <c r="Y5675">
        <v>40</v>
      </c>
      <c r="Z5675">
        <v>600</v>
      </c>
      <c r="AA5675">
        <v>43</v>
      </c>
      <c r="AB5675">
        <v>1.3579209999999999</v>
      </c>
      <c r="AC5675">
        <v>3226.71</v>
      </c>
      <c r="AD5675">
        <v>3.1888190000000001</v>
      </c>
      <c r="AE5675">
        <v>0.1835775</v>
      </c>
      <c r="AF5675">
        <v>379.26049999999998</v>
      </c>
      <c r="AG5675">
        <f>IFERROR(AH5675*0.1, "N/A")</f>
        <v>5.9818770000000008</v>
      </c>
      <c r="AH5675">
        <v>59.818770000000001</v>
      </c>
      <c r="AI5675">
        <v>207.37029999999999</v>
      </c>
      <c r="AJ5675">
        <v>22.271840000000001</v>
      </c>
      <c r="AK5675">
        <v>61.818770000000001</v>
      </c>
    </row>
    <row r="5676" spans="1:37" x14ac:dyDescent="0.3">
      <c r="A5676">
        <v>5675</v>
      </c>
      <c r="B5676">
        <v>1</v>
      </c>
      <c r="C5676">
        <v>33.438369999999999</v>
      </c>
      <c r="D5676">
        <v>-19.50572</v>
      </c>
      <c r="E5676" t="s">
        <v>9106</v>
      </c>
      <c r="F5676" t="s">
        <v>9108</v>
      </c>
      <c r="G5676" t="s">
        <v>37</v>
      </c>
      <c r="H5676">
        <v>2009</v>
      </c>
      <c r="I5676">
        <v>22.7</v>
      </c>
      <c r="J5676">
        <v>13</v>
      </c>
      <c r="K5676">
        <v>61</v>
      </c>
      <c r="L5676">
        <v>27.41</v>
      </c>
      <c r="M5676">
        <v>31.8</v>
      </c>
      <c r="N5676">
        <v>10.6</v>
      </c>
      <c r="O5676">
        <v>21.2</v>
      </c>
      <c r="P5676">
        <v>25.4</v>
      </c>
      <c r="Q5676">
        <v>20</v>
      </c>
      <c r="R5676">
        <v>25.4</v>
      </c>
      <c r="S5676">
        <v>18.7</v>
      </c>
      <c r="T5676">
        <v>1018</v>
      </c>
      <c r="U5676">
        <v>215</v>
      </c>
      <c r="V5676">
        <v>11</v>
      </c>
      <c r="W5676">
        <v>92</v>
      </c>
      <c r="X5676">
        <v>600</v>
      </c>
      <c r="Y5676">
        <v>40</v>
      </c>
      <c r="Z5676">
        <v>600</v>
      </c>
      <c r="AA5676">
        <v>43</v>
      </c>
      <c r="AB5676">
        <v>1.3579209999999999</v>
      </c>
      <c r="AC5676">
        <v>3226.71</v>
      </c>
      <c r="AD5676">
        <v>3.1888190000000001</v>
      </c>
      <c r="AE5676">
        <v>0.1835775</v>
      </c>
      <c r="AF5676">
        <v>379.26049999999998</v>
      </c>
      <c r="AG5676">
        <f>IFERROR(AH5676*0.1, "N/A")</f>
        <v>5.9818770000000008</v>
      </c>
      <c r="AH5676">
        <v>59.818770000000001</v>
      </c>
      <c r="AI5676">
        <v>207.37029999999999</v>
      </c>
      <c r="AJ5676">
        <v>22.271840000000001</v>
      </c>
      <c r="AK5676">
        <v>61.818770000000001</v>
      </c>
    </row>
    <row r="5677" spans="1:37" x14ac:dyDescent="0.3">
      <c r="A5677">
        <v>5676</v>
      </c>
      <c r="B5677">
        <v>58</v>
      </c>
      <c r="C5677">
        <v>34.86242</v>
      </c>
      <c r="D5677">
        <v>-19.20391</v>
      </c>
      <c r="E5677" t="s">
        <v>9109</v>
      </c>
      <c r="F5677" t="s">
        <v>9110</v>
      </c>
      <c r="G5677" t="s">
        <v>39</v>
      </c>
      <c r="H5677">
        <v>2009</v>
      </c>
      <c r="I5677">
        <v>24.5</v>
      </c>
      <c r="J5677">
        <v>11.1</v>
      </c>
      <c r="K5677">
        <v>62</v>
      </c>
      <c r="L5677">
        <v>25.03</v>
      </c>
      <c r="M5677">
        <v>32.5</v>
      </c>
      <c r="N5677">
        <v>14.7</v>
      </c>
      <c r="O5677">
        <v>17.8</v>
      </c>
      <c r="P5677">
        <v>27</v>
      </c>
      <c r="Q5677">
        <v>21.7</v>
      </c>
      <c r="R5677">
        <v>27</v>
      </c>
      <c r="S5677">
        <v>20.8</v>
      </c>
      <c r="T5677">
        <v>1210</v>
      </c>
      <c r="U5677">
        <v>237</v>
      </c>
      <c r="V5677">
        <v>18</v>
      </c>
      <c r="W5677">
        <v>82</v>
      </c>
      <c r="X5677">
        <v>665</v>
      </c>
      <c r="Y5677">
        <v>70</v>
      </c>
      <c r="Z5677">
        <v>665</v>
      </c>
      <c r="AA5677">
        <v>85</v>
      </c>
      <c r="AB5677">
        <v>15.190759999999999</v>
      </c>
      <c r="AC5677">
        <v>6.7922350000000006E-2</v>
      </c>
      <c r="AD5677">
        <v>2.4892310000000002</v>
      </c>
      <c r="AE5677">
        <v>7.8487539999999995E-2</v>
      </c>
      <c r="AF5677">
        <v>117.5527</v>
      </c>
      <c r="AG5677">
        <f>IFERROR(AH5677*0.1, "N/A")</f>
        <v>5.9</v>
      </c>
      <c r="AH5677">
        <v>59</v>
      </c>
      <c r="AI5677">
        <v>97.922790000000006</v>
      </c>
      <c r="AJ5677">
        <v>25.80227</v>
      </c>
      <c r="AK5677">
        <v>65.215559999999996</v>
      </c>
    </row>
    <row r="5678" spans="1:37" x14ac:dyDescent="0.3">
      <c r="A5678">
        <v>5677</v>
      </c>
      <c r="B5678">
        <v>0.5</v>
      </c>
      <c r="C5678">
        <v>34.86242</v>
      </c>
      <c r="D5678">
        <v>-19.20391</v>
      </c>
      <c r="E5678" t="s">
        <v>9109</v>
      </c>
      <c r="F5678" t="s">
        <v>9111</v>
      </c>
      <c r="G5678" t="s">
        <v>37</v>
      </c>
      <c r="H5678">
        <v>2009</v>
      </c>
      <c r="I5678">
        <v>24.5</v>
      </c>
      <c r="J5678">
        <v>11.1</v>
      </c>
      <c r="K5678">
        <v>62</v>
      </c>
      <c r="L5678">
        <v>25.03</v>
      </c>
      <c r="M5678">
        <v>32.5</v>
      </c>
      <c r="N5678">
        <v>14.7</v>
      </c>
      <c r="O5678">
        <v>17.8</v>
      </c>
      <c r="P5678">
        <v>27</v>
      </c>
      <c r="Q5678">
        <v>21.7</v>
      </c>
      <c r="R5678">
        <v>27</v>
      </c>
      <c r="S5678">
        <v>20.8</v>
      </c>
      <c r="T5678">
        <v>1210</v>
      </c>
      <c r="U5678">
        <v>237</v>
      </c>
      <c r="V5678">
        <v>18</v>
      </c>
      <c r="W5678">
        <v>82</v>
      </c>
      <c r="X5678">
        <v>665</v>
      </c>
      <c r="Y5678">
        <v>70</v>
      </c>
      <c r="Z5678">
        <v>665</v>
      </c>
      <c r="AA5678">
        <v>85</v>
      </c>
      <c r="AB5678">
        <v>15.190759999999999</v>
      </c>
      <c r="AC5678">
        <v>6.7922350000000006E-2</v>
      </c>
      <c r="AD5678">
        <v>2.4892310000000002</v>
      </c>
      <c r="AE5678">
        <v>7.8487539999999995E-2</v>
      </c>
      <c r="AF5678">
        <v>117.5527</v>
      </c>
      <c r="AG5678">
        <f>IFERROR(AH5678*0.1, "N/A")</f>
        <v>5.9</v>
      </c>
      <c r="AH5678">
        <v>59</v>
      </c>
      <c r="AI5678">
        <v>97.922790000000006</v>
      </c>
      <c r="AJ5678">
        <v>25.80227</v>
      </c>
      <c r="AK5678">
        <v>65.215559999999996</v>
      </c>
    </row>
    <row r="5679" spans="1:37" x14ac:dyDescent="0.3">
      <c r="A5679">
        <v>5678</v>
      </c>
      <c r="B5679">
        <v>19.899999999999999</v>
      </c>
      <c r="C5679">
        <v>35.383330000000001</v>
      </c>
      <c r="D5679">
        <v>-23.86665</v>
      </c>
      <c r="E5679" t="s">
        <v>9112</v>
      </c>
      <c r="F5679" t="s">
        <v>9113</v>
      </c>
      <c r="G5679" t="s">
        <v>39</v>
      </c>
      <c r="H5679">
        <v>2009</v>
      </c>
      <c r="I5679">
        <v>24</v>
      </c>
      <c r="J5679">
        <v>9.5</v>
      </c>
      <c r="K5679">
        <v>59</v>
      </c>
      <c r="L5679">
        <v>24.254049999999999</v>
      </c>
      <c r="M5679">
        <v>31.5</v>
      </c>
      <c r="N5679">
        <v>15.4</v>
      </c>
      <c r="O5679">
        <v>16.100000000000001</v>
      </c>
      <c r="P5679">
        <v>26.7</v>
      </c>
      <c r="Q5679">
        <v>21.109850000000002</v>
      </c>
      <c r="R5679">
        <v>26.8</v>
      </c>
      <c r="S5679">
        <v>20.609850000000002</v>
      </c>
      <c r="T5679">
        <v>936.93579999999997</v>
      </c>
      <c r="U5679">
        <v>148.1927</v>
      </c>
      <c r="V5679">
        <v>29</v>
      </c>
      <c r="W5679">
        <v>56</v>
      </c>
      <c r="X5679">
        <v>426.96789999999999</v>
      </c>
      <c r="Y5679">
        <v>95.192719999999994</v>
      </c>
      <c r="Z5679">
        <v>395.77519999999998</v>
      </c>
      <c r="AA5679">
        <v>118.48390000000001</v>
      </c>
      <c r="AB5679">
        <v>9.095504</v>
      </c>
      <c r="AC5679">
        <v>3.0990920000000002E-2</v>
      </c>
      <c r="AD5679">
        <v>1.3764940000000001</v>
      </c>
      <c r="AE5679">
        <v>0.5908909</v>
      </c>
      <c r="AF5679">
        <v>6.0279069999999999</v>
      </c>
      <c r="AG5679">
        <f>IFERROR(AH5679*0.1, "N/A")</f>
        <v>7.1598450000000007</v>
      </c>
      <c r="AH5679">
        <v>71.59845</v>
      </c>
      <c r="AI5679">
        <v>114.1756</v>
      </c>
      <c r="AJ5679">
        <v>31.537980000000001</v>
      </c>
      <c r="AK5679">
        <v>51.251159999999999</v>
      </c>
    </row>
    <row r="5680" spans="1:37" x14ac:dyDescent="0.3">
      <c r="A5680">
        <v>5679</v>
      </c>
      <c r="B5680">
        <v>0</v>
      </c>
      <c r="C5680">
        <v>35.383330000000001</v>
      </c>
      <c r="D5680">
        <v>-23.86665</v>
      </c>
      <c r="E5680" t="s">
        <v>9112</v>
      </c>
      <c r="F5680" t="s">
        <v>9114</v>
      </c>
      <c r="G5680" t="s">
        <v>37</v>
      </c>
      <c r="H5680">
        <v>2009</v>
      </c>
      <c r="I5680">
        <v>24</v>
      </c>
      <c r="J5680">
        <v>9.5</v>
      </c>
      <c r="K5680">
        <v>59</v>
      </c>
      <c r="L5680">
        <v>24.254049999999999</v>
      </c>
      <c r="M5680">
        <v>31.5</v>
      </c>
      <c r="N5680">
        <v>15.4</v>
      </c>
      <c r="O5680">
        <v>16.100000000000001</v>
      </c>
      <c r="P5680">
        <v>26.7</v>
      </c>
      <c r="Q5680">
        <v>21.109850000000002</v>
      </c>
      <c r="R5680">
        <v>26.8</v>
      </c>
      <c r="S5680">
        <v>20.609850000000002</v>
      </c>
      <c r="T5680">
        <v>936.93579999999997</v>
      </c>
      <c r="U5680">
        <v>148.1927</v>
      </c>
      <c r="V5680">
        <v>29</v>
      </c>
      <c r="W5680">
        <v>56</v>
      </c>
      <c r="X5680">
        <v>426.96789999999999</v>
      </c>
      <c r="Y5680">
        <v>95.192719999999994</v>
      </c>
      <c r="Z5680">
        <v>395.77519999999998</v>
      </c>
      <c r="AA5680">
        <v>118.48390000000001</v>
      </c>
      <c r="AB5680">
        <v>9.095504</v>
      </c>
      <c r="AC5680">
        <v>3.0990920000000002E-2</v>
      </c>
      <c r="AD5680">
        <v>1.3764940000000001</v>
      </c>
      <c r="AE5680">
        <v>0.5908909</v>
      </c>
      <c r="AF5680">
        <v>6.0279069999999999</v>
      </c>
      <c r="AG5680">
        <f>IFERROR(AH5680*0.1, "N/A")</f>
        <v>7.1598450000000007</v>
      </c>
      <c r="AH5680">
        <v>71.59845</v>
      </c>
      <c r="AI5680">
        <v>114.1756</v>
      </c>
      <c r="AJ5680">
        <v>31.537980000000001</v>
      </c>
      <c r="AK5680">
        <v>51.251159999999999</v>
      </c>
    </row>
    <row r="5681" spans="1:37" x14ac:dyDescent="0.3">
      <c r="A5681">
        <v>5680</v>
      </c>
      <c r="B5681">
        <v>21.4</v>
      </c>
      <c r="C5681">
        <v>32.71848</v>
      </c>
      <c r="D5681">
        <v>-23.022300000000001</v>
      </c>
      <c r="E5681" t="s">
        <v>9115</v>
      </c>
      <c r="F5681" t="s">
        <v>9116</v>
      </c>
      <c r="G5681" t="s">
        <v>39</v>
      </c>
      <c r="H5681">
        <v>2009</v>
      </c>
      <c r="I5681">
        <v>24.4</v>
      </c>
      <c r="J5681">
        <v>14</v>
      </c>
      <c r="K5681">
        <v>61</v>
      </c>
      <c r="L5681">
        <v>30.62</v>
      </c>
      <c r="M5681">
        <v>34.1</v>
      </c>
      <c r="N5681">
        <v>11.4</v>
      </c>
      <c r="O5681">
        <v>22.7</v>
      </c>
      <c r="P5681">
        <v>27.6</v>
      </c>
      <c r="Q5681">
        <v>21.4</v>
      </c>
      <c r="R5681">
        <v>27.6</v>
      </c>
      <c r="S5681">
        <v>19.899999999999999</v>
      </c>
      <c r="T5681">
        <v>465</v>
      </c>
      <c r="U5681">
        <v>96</v>
      </c>
      <c r="V5681">
        <v>2</v>
      </c>
      <c r="W5681">
        <v>92</v>
      </c>
      <c r="X5681">
        <v>279</v>
      </c>
      <c r="Y5681">
        <v>12</v>
      </c>
      <c r="Z5681">
        <v>279</v>
      </c>
      <c r="AA5681">
        <v>15</v>
      </c>
      <c r="AB5681">
        <v>4.2591530000000004</v>
      </c>
      <c r="AC5681">
        <v>2.2527559999999999E-2</v>
      </c>
      <c r="AD5681">
        <v>1.5467439999999999</v>
      </c>
      <c r="AE5681">
        <v>5.0135119999999998E-2</v>
      </c>
      <c r="AF5681">
        <v>117.2817</v>
      </c>
      <c r="AG5681">
        <f>IFERROR(AH5681*0.1, "N/A")</f>
        <v>6.8364630000000011</v>
      </c>
      <c r="AH5681">
        <v>68.364630000000005</v>
      </c>
      <c r="AI5681">
        <v>158.666</v>
      </c>
      <c r="AJ5681">
        <v>22.524260000000002</v>
      </c>
      <c r="AK5681">
        <v>66.181529999999995</v>
      </c>
    </row>
    <row r="5682" spans="1:37" x14ac:dyDescent="0.3">
      <c r="A5682">
        <v>5681</v>
      </c>
      <c r="B5682">
        <v>0.8</v>
      </c>
      <c r="C5682">
        <v>32.71848</v>
      </c>
      <c r="D5682">
        <v>-23.022300000000001</v>
      </c>
      <c r="E5682" t="s">
        <v>9115</v>
      </c>
      <c r="F5682" t="s">
        <v>9117</v>
      </c>
      <c r="G5682" t="s">
        <v>37</v>
      </c>
      <c r="H5682">
        <v>2009</v>
      </c>
      <c r="I5682">
        <v>24.4</v>
      </c>
      <c r="J5682">
        <v>14</v>
      </c>
      <c r="K5682">
        <v>61</v>
      </c>
      <c r="L5682">
        <v>30.62</v>
      </c>
      <c r="M5682">
        <v>34.1</v>
      </c>
      <c r="N5682">
        <v>11.4</v>
      </c>
      <c r="O5682">
        <v>22.7</v>
      </c>
      <c r="P5682">
        <v>27.6</v>
      </c>
      <c r="Q5682">
        <v>21.4</v>
      </c>
      <c r="R5682">
        <v>27.6</v>
      </c>
      <c r="S5682">
        <v>19.899999999999999</v>
      </c>
      <c r="T5682">
        <v>465</v>
      </c>
      <c r="U5682">
        <v>96</v>
      </c>
      <c r="V5682">
        <v>2</v>
      </c>
      <c r="W5682">
        <v>92</v>
      </c>
      <c r="X5682">
        <v>279</v>
      </c>
      <c r="Y5682">
        <v>12</v>
      </c>
      <c r="Z5682">
        <v>279</v>
      </c>
      <c r="AA5682">
        <v>15</v>
      </c>
      <c r="AB5682">
        <v>4.2591530000000004</v>
      </c>
      <c r="AC5682">
        <v>2.2527559999999999E-2</v>
      </c>
      <c r="AD5682">
        <v>1.5467439999999999</v>
      </c>
      <c r="AE5682">
        <v>5.0135119999999998E-2</v>
      </c>
      <c r="AF5682">
        <v>117.2817</v>
      </c>
      <c r="AG5682">
        <f>IFERROR(AH5682*0.1, "N/A")</f>
        <v>6.8364630000000011</v>
      </c>
      <c r="AH5682">
        <v>68.364630000000005</v>
      </c>
      <c r="AI5682">
        <v>158.666</v>
      </c>
      <c r="AJ5682">
        <v>22.524260000000002</v>
      </c>
      <c r="AK5682">
        <v>66.181529999999995</v>
      </c>
    </row>
    <row r="5683" spans="1:37" x14ac:dyDescent="0.3">
      <c r="A5683">
        <v>5682</v>
      </c>
      <c r="B5683">
        <v>34.200000000000003</v>
      </c>
      <c r="C5683">
        <v>32.583329999999997</v>
      </c>
      <c r="D5683">
        <v>-25.966670000000001</v>
      </c>
      <c r="E5683" t="s">
        <v>9118</v>
      </c>
      <c r="F5683" t="s">
        <v>9119</v>
      </c>
      <c r="G5683" t="s">
        <v>39</v>
      </c>
      <c r="H5683">
        <v>2009</v>
      </c>
      <c r="I5683">
        <v>22.654779999999999</v>
      </c>
      <c r="J5683">
        <v>10.37496</v>
      </c>
      <c r="K5683">
        <v>57</v>
      </c>
      <c r="L5683">
        <v>25.574480000000001</v>
      </c>
      <c r="M5683">
        <v>30.641120000000001</v>
      </c>
      <c r="N5683">
        <v>12.525040000000001</v>
      </c>
      <c r="O5683">
        <v>18.11609</v>
      </c>
      <c r="P5683">
        <v>25.641120000000001</v>
      </c>
      <c r="Q5683">
        <v>19.025040000000001</v>
      </c>
      <c r="R5683">
        <v>25.641120000000001</v>
      </c>
      <c r="S5683">
        <v>19.025040000000001</v>
      </c>
      <c r="T5683">
        <v>788.71929999999998</v>
      </c>
      <c r="U5683">
        <v>160</v>
      </c>
      <c r="V5683">
        <v>16</v>
      </c>
      <c r="W5683">
        <v>67.886189999999999</v>
      </c>
      <c r="X5683">
        <v>386.25040000000001</v>
      </c>
      <c r="Y5683">
        <v>53.17754</v>
      </c>
      <c r="Z5683">
        <v>386.25040000000001</v>
      </c>
      <c r="AA5683">
        <v>53.17754</v>
      </c>
      <c r="AB5683">
        <v>28.66328</v>
      </c>
      <c r="AC5683">
        <v>1.118152E-2</v>
      </c>
      <c r="AD5683">
        <v>2.3134229999999998</v>
      </c>
      <c r="AE5683">
        <v>0.92857869999999998</v>
      </c>
      <c r="AF5683">
        <v>70.447649999999996</v>
      </c>
      <c r="AG5683">
        <f>IFERROR(AH5683*0.1, "N/A")</f>
        <v>7.0749619999999993</v>
      </c>
      <c r="AH5683">
        <v>70.749619999999993</v>
      </c>
      <c r="AI5683">
        <v>86.554320000000004</v>
      </c>
      <c r="AJ5683">
        <v>28.74962</v>
      </c>
      <c r="AK5683">
        <v>54.74962</v>
      </c>
    </row>
    <row r="5684" spans="1:37" x14ac:dyDescent="0.3">
      <c r="A5684">
        <v>5683</v>
      </c>
      <c r="B5684">
        <v>7.1</v>
      </c>
      <c r="C5684">
        <v>32.583329999999997</v>
      </c>
      <c r="D5684">
        <v>-25.966670000000001</v>
      </c>
      <c r="E5684" t="s">
        <v>9118</v>
      </c>
      <c r="F5684" t="s">
        <v>9120</v>
      </c>
      <c r="G5684" t="s">
        <v>37</v>
      </c>
      <c r="H5684">
        <v>2009</v>
      </c>
      <c r="I5684">
        <v>22.654779999999999</v>
      </c>
      <c r="J5684">
        <v>10.37496</v>
      </c>
      <c r="K5684">
        <v>57</v>
      </c>
      <c r="L5684">
        <v>25.574480000000001</v>
      </c>
      <c r="M5684">
        <v>30.641120000000001</v>
      </c>
      <c r="N5684">
        <v>12.525040000000001</v>
      </c>
      <c r="O5684">
        <v>18.11609</v>
      </c>
      <c r="P5684">
        <v>25.641120000000001</v>
      </c>
      <c r="Q5684">
        <v>19.025040000000001</v>
      </c>
      <c r="R5684">
        <v>25.641120000000001</v>
      </c>
      <c r="S5684">
        <v>19.025040000000001</v>
      </c>
      <c r="T5684">
        <v>788.71929999999998</v>
      </c>
      <c r="U5684">
        <v>160</v>
      </c>
      <c r="V5684">
        <v>16</v>
      </c>
      <c r="W5684">
        <v>67.886189999999999</v>
      </c>
      <c r="X5684">
        <v>386.25040000000001</v>
      </c>
      <c r="Y5684">
        <v>53.17754</v>
      </c>
      <c r="Z5684">
        <v>386.25040000000001</v>
      </c>
      <c r="AA5684">
        <v>53.17754</v>
      </c>
      <c r="AB5684">
        <v>28.66328</v>
      </c>
      <c r="AC5684">
        <v>1.118152E-2</v>
      </c>
      <c r="AD5684">
        <v>2.3134229999999998</v>
      </c>
      <c r="AE5684">
        <v>0.92857869999999998</v>
      </c>
      <c r="AF5684">
        <v>70.447649999999996</v>
      </c>
      <c r="AG5684">
        <f>IFERROR(AH5684*0.1, "N/A")</f>
        <v>7.0749619999999993</v>
      </c>
      <c r="AH5684">
        <v>70.749619999999993</v>
      </c>
      <c r="AI5684">
        <v>86.554320000000004</v>
      </c>
      <c r="AJ5684">
        <v>28.74962</v>
      </c>
      <c r="AK5684">
        <v>54.74962</v>
      </c>
    </row>
    <row r="5685" spans="1:37" x14ac:dyDescent="0.3">
      <c r="A5685">
        <v>5684</v>
      </c>
      <c r="B5685">
        <v>0</v>
      </c>
      <c r="C5685">
        <v>-15.80261</v>
      </c>
      <c r="D5685">
        <v>16.51634</v>
      </c>
      <c r="E5685">
        <f>-15.802611-16.516342</f>
        <v>-32.318953</v>
      </c>
      <c r="F5685" t="s">
        <v>9121</v>
      </c>
      <c r="G5685" t="s">
        <v>39</v>
      </c>
      <c r="H5685">
        <v>2001</v>
      </c>
      <c r="I5685">
        <v>27.744789999999998</v>
      </c>
      <c r="J5685">
        <v>15.3</v>
      </c>
      <c r="K5685">
        <v>64</v>
      </c>
      <c r="L5685">
        <v>25.525929999999999</v>
      </c>
      <c r="M5685">
        <v>38.5</v>
      </c>
      <c r="N5685">
        <v>14.84479</v>
      </c>
      <c r="O5685">
        <v>23.65521</v>
      </c>
      <c r="P5685">
        <v>29.755210000000002</v>
      </c>
      <c r="Q5685">
        <v>26.34479</v>
      </c>
      <c r="R5685">
        <v>30</v>
      </c>
      <c r="S5685">
        <v>23.9</v>
      </c>
      <c r="T5685">
        <v>224.10409999999999</v>
      </c>
      <c r="U5685">
        <v>84.552070000000001</v>
      </c>
      <c r="V5685">
        <v>0</v>
      </c>
      <c r="W5685">
        <v>151</v>
      </c>
      <c r="X5685">
        <v>194.5521</v>
      </c>
      <c r="Y5685">
        <v>1</v>
      </c>
      <c r="Z5685">
        <v>131.5521</v>
      </c>
      <c r="AA5685">
        <v>3.5520659999999999</v>
      </c>
      <c r="AB5685">
        <v>0.2591736</v>
      </c>
      <c r="AC5685">
        <v>0.1185826</v>
      </c>
      <c r="AD5685">
        <v>0.65686849999999997</v>
      </c>
      <c r="AE5685">
        <v>0.50441440000000004</v>
      </c>
      <c r="AF5685">
        <v>1.3801650000000001</v>
      </c>
      <c r="AG5685">
        <f>IFERROR(AH5685*0.1, "N/A")</f>
        <v>7.3765289999999997</v>
      </c>
      <c r="AH5685">
        <v>73.765289999999993</v>
      </c>
      <c r="AI5685">
        <v>71.405460000000005</v>
      </c>
      <c r="AJ5685">
        <v>20.53058</v>
      </c>
      <c r="AK5685">
        <v>65.46942</v>
      </c>
    </row>
    <row r="5686" spans="1:37" x14ac:dyDescent="0.3">
      <c r="A5686">
        <v>5685</v>
      </c>
      <c r="B5686">
        <v>55</v>
      </c>
      <c r="C5686">
        <v>-15.80261</v>
      </c>
      <c r="D5686">
        <v>16.51634</v>
      </c>
      <c r="E5686">
        <f>-15.802611-16.516342</f>
        <v>-32.318953</v>
      </c>
      <c r="F5686" t="s">
        <v>9122</v>
      </c>
      <c r="G5686" t="s">
        <v>37</v>
      </c>
      <c r="H5686">
        <v>2001</v>
      </c>
      <c r="I5686">
        <v>27.744789999999998</v>
      </c>
      <c r="J5686">
        <v>15.3</v>
      </c>
      <c r="K5686">
        <v>64</v>
      </c>
      <c r="L5686">
        <v>25.525929999999999</v>
      </c>
      <c r="M5686">
        <v>38.5</v>
      </c>
      <c r="N5686">
        <v>14.84479</v>
      </c>
      <c r="O5686">
        <v>23.65521</v>
      </c>
      <c r="P5686">
        <v>29.755210000000002</v>
      </c>
      <c r="Q5686">
        <v>26.34479</v>
      </c>
      <c r="R5686">
        <v>30</v>
      </c>
      <c r="S5686">
        <v>23.9</v>
      </c>
      <c r="T5686">
        <v>224.10409999999999</v>
      </c>
      <c r="U5686">
        <v>84.552070000000001</v>
      </c>
      <c r="V5686">
        <v>0</v>
      </c>
      <c r="W5686">
        <v>151</v>
      </c>
      <c r="X5686">
        <v>194.5521</v>
      </c>
      <c r="Y5686">
        <v>1</v>
      </c>
      <c r="Z5686">
        <v>131.5521</v>
      </c>
      <c r="AA5686">
        <v>3.5520659999999999</v>
      </c>
      <c r="AB5686">
        <v>0.2591736</v>
      </c>
      <c r="AC5686">
        <v>0.1185826</v>
      </c>
      <c r="AD5686">
        <v>0.65686849999999997</v>
      </c>
      <c r="AE5686">
        <v>0.50441440000000004</v>
      </c>
      <c r="AF5686">
        <v>1.3801650000000001</v>
      </c>
      <c r="AG5686">
        <f>IFERROR(AH5686*0.1, "N/A")</f>
        <v>7.3765289999999997</v>
      </c>
      <c r="AH5686">
        <v>73.765289999999993</v>
      </c>
      <c r="AI5686">
        <v>71.405460000000005</v>
      </c>
      <c r="AJ5686">
        <v>20.53058</v>
      </c>
      <c r="AK5686">
        <v>65.46942</v>
      </c>
    </row>
    <row r="5687" spans="1:37" x14ac:dyDescent="0.3">
      <c r="A5687">
        <v>5686</v>
      </c>
      <c r="B5687">
        <v>0</v>
      </c>
      <c r="C5687">
        <v>-16.23348</v>
      </c>
      <c r="D5687">
        <v>16.557950000000002</v>
      </c>
      <c r="E5687">
        <f>-16.233481-16.557947</f>
        <v>-32.791427999999996</v>
      </c>
      <c r="F5687" t="s">
        <v>9123</v>
      </c>
      <c r="G5687" t="s">
        <v>39</v>
      </c>
      <c r="H5687">
        <v>2001</v>
      </c>
      <c r="I5687">
        <v>26.3</v>
      </c>
      <c r="J5687">
        <v>13</v>
      </c>
      <c r="K5687">
        <v>63</v>
      </c>
      <c r="L5687">
        <v>23.165610000000001</v>
      </c>
      <c r="M5687">
        <v>35.299999999999997</v>
      </c>
      <c r="N5687">
        <v>14.8</v>
      </c>
      <c r="O5687">
        <v>20.5</v>
      </c>
      <c r="P5687">
        <v>28.651409999999998</v>
      </c>
      <c r="Q5687">
        <v>25.5</v>
      </c>
      <c r="R5687">
        <v>28.9</v>
      </c>
      <c r="S5687">
        <v>23</v>
      </c>
      <c r="T5687">
        <v>167.98339999999999</v>
      </c>
      <c r="U5687">
        <v>69</v>
      </c>
      <c r="V5687">
        <v>0</v>
      </c>
      <c r="W5687">
        <v>155.1824</v>
      </c>
      <c r="X5687">
        <v>151.98339999999999</v>
      </c>
      <c r="Y5687">
        <v>0</v>
      </c>
      <c r="Z5687">
        <v>135</v>
      </c>
      <c r="AA5687">
        <v>3</v>
      </c>
      <c r="AB5687">
        <v>2.997347</v>
      </c>
      <c r="AC5687">
        <v>8.2000549999999995E-3</v>
      </c>
      <c r="AD5687">
        <v>1.028405</v>
      </c>
      <c r="AE5687">
        <v>0.39895940000000002</v>
      </c>
      <c r="AF5687">
        <v>5.859038</v>
      </c>
      <c r="AG5687">
        <f>IFERROR(AH5687*0.1, "N/A")</f>
        <v>7.0485900000000008</v>
      </c>
      <c r="AH5687">
        <v>70.485900000000001</v>
      </c>
      <c r="AI5687">
        <v>144.92939999999999</v>
      </c>
      <c r="AJ5687">
        <v>15.53068</v>
      </c>
      <c r="AK5687">
        <v>72.316749999999999</v>
      </c>
    </row>
    <row r="5688" spans="1:37" x14ac:dyDescent="0.3">
      <c r="A5688">
        <v>5687</v>
      </c>
      <c r="B5688">
        <v>0</v>
      </c>
      <c r="C5688">
        <v>-16.23348</v>
      </c>
      <c r="D5688">
        <v>16.557950000000002</v>
      </c>
      <c r="E5688">
        <f>-16.233481-16.557947</f>
        <v>-32.791427999999996</v>
      </c>
      <c r="F5688" t="s">
        <v>9124</v>
      </c>
      <c r="G5688" t="s">
        <v>37</v>
      </c>
      <c r="H5688">
        <v>2001</v>
      </c>
      <c r="I5688">
        <v>26.3</v>
      </c>
      <c r="J5688">
        <v>13</v>
      </c>
      <c r="K5688">
        <v>63</v>
      </c>
      <c r="L5688">
        <v>23.165610000000001</v>
      </c>
      <c r="M5688">
        <v>35.299999999999997</v>
      </c>
      <c r="N5688">
        <v>14.8</v>
      </c>
      <c r="O5688">
        <v>20.5</v>
      </c>
      <c r="P5688">
        <v>28.651409999999998</v>
      </c>
      <c r="Q5688">
        <v>25.5</v>
      </c>
      <c r="R5688">
        <v>28.9</v>
      </c>
      <c r="S5688">
        <v>23</v>
      </c>
      <c r="T5688">
        <v>167.98339999999999</v>
      </c>
      <c r="U5688">
        <v>69</v>
      </c>
      <c r="V5688">
        <v>0</v>
      </c>
      <c r="W5688">
        <v>155.1824</v>
      </c>
      <c r="X5688">
        <v>151.98339999999999</v>
      </c>
      <c r="Y5688">
        <v>0</v>
      </c>
      <c r="Z5688">
        <v>135</v>
      </c>
      <c r="AA5688">
        <v>3</v>
      </c>
      <c r="AB5688">
        <v>2.997347</v>
      </c>
      <c r="AC5688">
        <v>8.2000549999999995E-3</v>
      </c>
      <c r="AD5688">
        <v>1.028405</v>
      </c>
      <c r="AE5688">
        <v>0.39895940000000002</v>
      </c>
      <c r="AF5688">
        <v>5.859038</v>
      </c>
      <c r="AG5688">
        <f>IFERROR(AH5688*0.1, "N/A")</f>
        <v>7.0485900000000008</v>
      </c>
      <c r="AH5688">
        <v>70.485900000000001</v>
      </c>
      <c r="AI5688">
        <v>144.92939999999999</v>
      </c>
      <c r="AJ5688">
        <v>15.53068</v>
      </c>
      <c r="AK5688">
        <v>72.316749999999999</v>
      </c>
    </row>
    <row r="5689" spans="1:37" x14ac:dyDescent="0.3">
      <c r="A5689">
        <v>5688</v>
      </c>
      <c r="B5689">
        <v>26.4</v>
      </c>
      <c r="C5689">
        <v>-12.0839</v>
      </c>
      <c r="D5689">
        <v>14.738300000000001</v>
      </c>
      <c r="E5689">
        <f>-12.0839-14.7383</f>
        <v>-26.822200000000002</v>
      </c>
      <c r="F5689" t="s">
        <v>9125</v>
      </c>
      <c r="G5689" t="s">
        <v>39</v>
      </c>
      <c r="H5689">
        <v>2007</v>
      </c>
      <c r="I5689">
        <v>29.3</v>
      </c>
      <c r="J5689">
        <v>14.6</v>
      </c>
      <c r="K5689">
        <v>57</v>
      </c>
      <c r="L5689">
        <v>27.086500000000001</v>
      </c>
      <c r="M5689">
        <v>41.2</v>
      </c>
      <c r="N5689">
        <v>15.9</v>
      </c>
      <c r="O5689">
        <v>25.3</v>
      </c>
      <c r="P5689">
        <v>29</v>
      </c>
      <c r="Q5689">
        <v>27.4</v>
      </c>
      <c r="R5689">
        <v>33</v>
      </c>
      <c r="S5689">
        <v>25.7</v>
      </c>
      <c r="T5689">
        <v>490.03179999999998</v>
      </c>
      <c r="U5689">
        <v>184</v>
      </c>
      <c r="V5689">
        <v>0</v>
      </c>
      <c r="W5689">
        <v>144</v>
      </c>
      <c r="X5689">
        <v>403.03179999999998</v>
      </c>
      <c r="Y5689">
        <v>0</v>
      </c>
      <c r="Z5689">
        <v>60</v>
      </c>
      <c r="AA5689">
        <v>0</v>
      </c>
      <c r="AB5689">
        <v>2.5755439999999998</v>
      </c>
      <c r="AC5689">
        <v>1.192995E-2</v>
      </c>
      <c r="AD5689">
        <v>0.84513419999999995</v>
      </c>
      <c r="AE5689">
        <v>0.40149590000000002</v>
      </c>
      <c r="AF5689">
        <v>24.849250000000001</v>
      </c>
      <c r="AG5689">
        <f>IFERROR(AH5689*0.1, "N/A")</f>
        <v>6.2703519999999999</v>
      </c>
      <c r="AH5689">
        <v>62.703519999999997</v>
      </c>
      <c r="AI5689">
        <v>164.78049999999999</v>
      </c>
      <c r="AJ5689">
        <v>23.169180000000001</v>
      </c>
      <c r="AK5689">
        <v>57.005029999999998</v>
      </c>
    </row>
    <row r="5690" spans="1:37" x14ac:dyDescent="0.3">
      <c r="A5690">
        <v>5689</v>
      </c>
      <c r="B5690">
        <v>0</v>
      </c>
      <c r="C5690">
        <v>-12.0839</v>
      </c>
      <c r="D5690">
        <v>14.738300000000001</v>
      </c>
      <c r="E5690">
        <f>-12.0839-14.7383</f>
        <v>-26.822200000000002</v>
      </c>
      <c r="F5690" t="s">
        <v>9126</v>
      </c>
      <c r="G5690" t="s">
        <v>37</v>
      </c>
      <c r="H5690">
        <v>2007</v>
      </c>
      <c r="I5690">
        <v>29.3</v>
      </c>
      <c r="J5690">
        <v>14.6</v>
      </c>
      <c r="K5690">
        <v>57</v>
      </c>
      <c r="L5690">
        <v>27.086500000000001</v>
      </c>
      <c r="M5690">
        <v>41.2</v>
      </c>
      <c r="N5690">
        <v>15.9</v>
      </c>
      <c r="O5690">
        <v>25.3</v>
      </c>
      <c r="P5690">
        <v>29</v>
      </c>
      <c r="Q5690">
        <v>27.4</v>
      </c>
      <c r="R5690">
        <v>33</v>
      </c>
      <c r="S5690">
        <v>25.7</v>
      </c>
      <c r="T5690">
        <v>490.03179999999998</v>
      </c>
      <c r="U5690">
        <v>184</v>
      </c>
      <c r="V5690">
        <v>0</v>
      </c>
      <c r="W5690">
        <v>144</v>
      </c>
      <c r="X5690">
        <v>403.03179999999998</v>
      </c>
      <c r="Y5690">
        <v>0</v>
      </c>
      <c r="Z5690">
        <v>60</v>
      </c>
      <c r="AA5690">
        <v>0</v>
      </c>
      <c r="AB5690">
        <v>2.5755439999999998</v>
      </c>
      <c r="AC5690">
        <v>1.192995E-2</v>
      </c>
      <c r="AD5690">
        <v>0.84513419999999995</v>
      </c>
      <c r="AE5690">
        <v>0.40149590000000002</v>
      </c>
      <c r="AF5690">
        <v>24.849250000000001</v>
      </c>
      <c r="AG5690">
        <f>IFERROR(AH5690*0.1, "N/A")</f>
        <v>6.2703519999999999</v>
      </c>
      <c r="AH5690">
        <v>62.703519999999997</v>
      </c>
      <c r="AI5690">
        <v>164.78049999999999</v>
      </c>
      <c r="AJ5690">
        <v>23.169180000000001</v>
      </c>
      <c r="AK5690">
        <v>57.005029999999998</v>
      </c>
    </row>
    <row r="5691" spans="1:37" x14ac:dyDescent="0.3">
      <c r="A5691">
        <v>5690</v>
      </c>
      <c r="B5691">
        <v>56.5</v>
      </c>
      <c r="C5691">
        <v>-12.3919</v>
      </c>
      <c r="D5691">
        <v>14.847799999999999</v>
      </c>
      <c r="E5691">
        <f>-12.3919-14.8478</f>
        <v>-27.239699999999999</v>
      </c>
      <c r="F5691" t="s">
        <v>9127</v>
      </c>
      <c r="G5691" t="s">
        <v>39</v>
      </c>
      <c r="H5691">
        <v>1981</v>
      </c>
      <c r="I5691">
        <v>28.7</v>
      </c>
      <c r="J5691">
        <v>14.7</v>
      </c>
      <c r="K5691">
        <v>59</v>
      </c>
      <c r="L5691">
        <v>25.188580000000002</v>
      </c>
      <c r="M5691">
        <v>40.700000000000003</v>
      </c>
      <c r="N5691">
        <v>15.9</v>
      </c>
      <c r="O5691">
        <v>24.8</v>
      </c>
      <c r="P5691">
        <v>27.9</v>
      </c>
      <c r="Q5691">
        <v>27.2</v>
      </c>
      <c r="R5691">
        <v>32.209530000000001</v>
      </c>
      <c r="S5691">
        <v>25.6</v>
      </c>
      <c r="T5691">
        <v>517.71400000000006</v>
      </c>
      <c r="U5691">
        <v>178.90469999999999</v>
      </c>
      <c r="V5691">
        <v>0</v>
      </c>
      <c r="W5691">
        <v>137.19059999999999</v>
      </c>
      <c r="X5691">
        <v>424.714</v>
      </c>
      <c r="Y5691">
        <v>1</v>
      </c>
      <c r="Z5691">
        <v>57</v>
      </c>
      <c r="AA5691">
        <v>2</v>
      </c>
      <c r="AB5691">
        <v>5.4914719999999999</v>
      </c>
      <c r="AC5691">
        <v>2.8315469999999999E-2</v>
      </c>
      <c r="AD5691">
        <v>2.8275549999999998</v>
      </c>
      <c r="AE5691">
        <v>0.31748320000000002</v>
      </c>
      <c r="AF5691">
        <v>23.590299999999999</v>
      </c>
      <c r="AG5691">
        <f>IFERROR(AH5691*0.1, "N/A")</f>
        <v>6.0642139999999998</v>
      </c>
      <c r="AH5691">
        <v>60.642139999999998</v>
      </c>
      <c r="AI5691">
        <v>233.0412</v>
      </c>
      <c r="AJ5691">
        <v>34.08361</v>
      </c>
      <c r="AK5691">
        <v>45.76923</v>
      </c>
    </row>
    <row r="5692" spans="1:37" x14ac:dyDescent="0.3">
      <c r="A5692">
        <v>5691</v>
      </c>
      <c r="B5692">
        <v>87.8</v>
      </c>
      <c r="C5692">
        <v>-12.4489</v>
      </c>
      <c r="D5692">
        <v>14.8993</v>
      </c>
      <c r="E5692">
        <f>-12.4489-14.8993</f>
        <v>-27.348199999999999</v>
      </c>
      <c r="F5692" t="s">
        <v>9128</v>
      </c>
      <c r="G5692" t="s">
        <v>39</v>
      </c>
      <c r="H5692">
        <v>1981</v>
      </c>
      <c r="I5692">
        <v>28.6</v>
      </c>
      <c r="J5692">
        <v>14.7</v>
      </c>
      <c r="K5692">
        <v>59</v>
      </c>
      <c r="L5692">
        <v>25.169750000000001</v>
      </c>
      <c r="M5692">
        <v>40.6</v>
      </c>
      <c r="N5692">
        <v>15.9</v>
      </c>
      <c r="O5692">
        <v>24.7</v>
      </c>
      <c r="P5692">
        <v>27.8</v>
      </c>
      <c r="Q5692">
        <v>27.1</v>
      </c>
      <c r="R5692">
        <v>32.200000000000003</v>
      </c>
      <c r="S5692">
        <v>25.5</v>
      </c>
      <c r="T5692">
        <v>519.005</v>
      </c>
      <c r="U5692">
        <v>176.0017</v>
      </c>
      <c r="V5692">
        <v>0</v>
      </c>
      <c r="W5692">
        <v>137.0017</v>
      </c>
      <c r="X5692">
        <v>426.0034</v>
      </c>
      <c r="Y5692">
        <v>1</v>
      </c>
      <c r="Z5692">
        <v>57</v>
      </c>
      <c r="AA5692">
        <v>2</v>
      </c>
      <c r="AB5692">
        <v>5.1835579999999997</v>
      </c>
      <c r="AC5692">
        <v>1.409092E-2</v>
      </c>
      <c r="AD5692">
        <v>0.82186959999999998</v>
      </c>
      <c r="AE5692">
        <v>0.58303269999999996</v>
      </c>
      <c r="AF5692">
        <v>23.447990000000001</v>
      </c>
      <c r="AG5692">
        <f>IFERROR(AH5692*0.1, "N/A")</f>
        <v>6.6607380000000012</v>
      </c>
      <c r="AH5692">
        <v>66.607380000000006</v>
      </c>
      <c r="AI5692">
        <v>124.7582</v>
      </c>
      <c r="AJ5692">
        <v>20.55369</v>
      </c>
      <c r="AK5692">
        <v>56.768459999999997</v>
      </c>
    </row>
    <row r="5693" spans="1:37" x14ac:dyDescent="0.3">
      <c r="A5693">
        <v>5692</v>
      </c>
      <c r="B5693">
        <v>40.9</v>
      </c>
      <c r="C5693">
        <v>-12.2722</v>
      </c>
      <c r="D5693">
        <v>15.111700000000001</v>
      </c>
      <c r="E5693">
        <f>-12.2722-15.1117</f>
        <v>-27.383900000000001</v>
      </c>
      <c r="F5693" t="s">
        <v>9129</v>
      </c>
      <c r="G5693" t="s">
        <v>39</v>
      </c>
      <c r="H5693">
        <v>1983</v>
      </c>
      <c r="I5693">
        <v>28.9</v>
      </c>
      <c r="J5693">
        <v>14.8</v>
      </c>
      <c r="K5693">
        <v>58</v>
      </c>
      <c r="L5693">
        <v>26.67</v>
      </c>
      <c r="M5693">
        <v>41</v>
      </c>
      <c r="N5693">
        <v>15.6</v>
      </c>
      <c r="O5693">
        <v>25.4</v>
      </c>
      <c r="P5693">
        <v>28.6</v>
      </c>
      <c r="Q5693">
        <v>27</v>
      </c>
      <c r="R5693">
        <v>32.6</v>
      </c>
      <c r="S5693">
        <v>25.4</v>
      </c>
      <c r="T5693">
        <v>461</v>
      </c>
      <c r="U5693">
        <v>160</v>
      </c>
      <c r="V5693">
        <v>0</v>
      </c>
      <c r="W5693">
        <v>139</v>
      </c>
      <c r="X5693">
        <v>382</v>
      </c>
      <c r="Y5693">
        <v>1</v>
      </c>
      <c r="Z5693">
        <v>50</v>
      </c>
      <c r="AA5693">
        <v>2</v>
      </c>
      <c r="AB5693">
        <v>4.2691160000000004</v>
      </c>
      <c r="AC5693">
        <v>1.003631E-2</v>
      </c>
      <c r="AD5693">
        <v>1.461638</v>
      </c>
      <c r="AE5693">
        <v>0.42153859999999999</v>
      </c>
      <c r="AF5693">
        <v>46.744570000000003</v>
      </c>
      <c r="AG5693">
        <f>IFERROR(AH5693*0.1, "N/A")</f>
        <v>6.1782970000000006</v>
      </c>
      <c r="AH5693">
        <v>61.782969999999999</v>
      </c>
      <c r="AI5693">
        <v>192.0737</v>
      </c>
      <c r="AJ5693">
        <v>12.2788</v>
      </c>
      <c r="AK5693">
        <v>76.292150000000007</v>
      </c>
    </row>
    <row r="5694" spans="1:37" x14ac:dyDescent="0.3">
      <c r="A5694">
        <v>5693</v>
      </c>
      <c r="B5694">
        <v>0</v>
      </c>
      <c r="C5694">
        <v>-12.2722</v>
      </c>
      <c r="D5694">
        <v>15.111700000000001</v>
      </c>
      <c r="E5694">
        <f>-12.2722-15.1117</f>
        <v>-27.383900000000001</v>
      </c>
      <c r="F5694" t="s">
        <v>9130</v>
      </c>
      <c r="G5694" t="s">
        <v>37</v>
      </c>
      <c r="H5694">
        <v>1983</v>
      </c>
      <c r="I5694">
        <v>28.9</v>
      </c>
      <c r="J5694">
        <v>14.8</v>
      </c>
      <c r="K5694">
        <v>58</v>
      </c>
      <c r="L5694">
        <v>26.67</v>
      </c>
      <c r="M5694">
        <v>41</v>
      </c>
      <c r="N5694">
        <v>15.6</v>
      </c>
      <c r="O5694">
        <v>25.4</v>
      </c>
      <c r="P5694">
        <v>28.6</v>
      </c>
      <c r="Q5694">
        <v>27</v>
      </c>
      <c r="R5694">
        <v>32.6</v>
      </c>
      <c r="S5694">
        <v>25.4</v>
      </c>
      <c r="T5694">
        <v>461</v>
      </c>
      <c r="U5694">
        <v>160</v>
      </c>
      <c r="V5694">
        <v>0</v>
      </c>
      <c r="W5694">
        <v>139</v>
      </c>
      <c r="X5694">
        <v>382</v>
      </c>
      <c r="Y5694">
        <v>1</v>
      </c>
      <c r="Z5694">
        <v>50</v>
      </c>
      <c r="AA5694">
        <v>2</v>
      </c>
      <c r="AB5694">
        <v>4.2691160000000004</v>
      </c>
      <c r="AC5694">
        <v>1.003631E-2</v>
      </c>
      <c r="AD5694">
        <v>1.461638</v>
      </c>
      <c r="AE5694">
        <v>0.42153859999999999</v>
      </c>
      <c r="AF5694">
        <v>46.744570000000003</v>
      </c>
      <c r="AG5694">
        <f>IFERROR(AH5694*0.1, "N/A")</f>
        <v>6.1782970000000006</v>
      </c>
      <c r="AH5694">
        <v>61.782969999999999</v>
      </c>
      <c r="AI5694">
        <v>192.0737</v>
      </c>
      <c r="AJ5694">
        <v>12.2788</v>
      </c>
      <c r="AK5694">
        <v>76.292150000000007</v>
      </c>
    </row>
    <row r="5695" spans="1:37" x14ac:dyDescent="0.3">
      <c r="A5695">
        <v>5694</v>
      </c>
      <c r="B5695">
        <v>40.799999999999997</v>
      </c>
      <c r="C5695">
        <v>-12.7256</v>
      </c>
      <c r="D5695">
        <v>15.131</v>
      </c>
      <c r="E5695">
        <f>-12.7256-15.131</f>
        <v>-27.8566</v>
      </c>
      <c r="F5695" t="s">
        <v>9131</v>
      </c>
      <c r="G5695" t="s">
        <v>39</v>
      </c>
      <c r="H5695">
        <v>2007</v>
      </c>
      <c r="I5695">
        <v>28.8</v>
      </c>
      <c r="J5695">
        <v>14.9</v>
      </c>
      <c r="K5695">
        <v>57</v>
      </c>
      <c r="L5695">
        <v>26.44</v>
      </c>
      <c r="M5695">
        <v>41.2</v>
      </c>
      <c r="N5695">
        <v>15.5</v>
      </c>
      <c r="O5695">
        <v>25.7</v>
      </c>
      <c r="P5695">
        <v>28.5</v>
      </c>
      <c r="Q5695">
        <v>26.9</v>
      </c>
      <c r="R5695">
        <v>32.5</v>
      </c>
      <c r="S5695">
        <v>25.4</v>
      </c>
      <c r="T5695">
        <v>489</v>
      </c>
      <c r="U5695">
        <v>161</v>
      </c>
      <c r="V5695">
        <v>0</v>
      </c>
      <c r="W5695">
        <v>138</v>
      </c>
      <c r="X5695">
        <v>403</v>
      </c>
      <c r="Y5695">
        <v>1</v>
      </c>
      <c r="Z5695">
        <v>51</v>
      </c>
      <c r="AA5695">
        <v>2</v>
      </c>
      <c r="AB5695">
        <v>6.0128120000000003</v>
      </c>
      <c r="AC5695">
        <v>1.1375909999999999E-2</v>
      </c>
      <c r="AD5695">
        <v>1.679988</v>
      </c>
      <c r="AE5695">
        <v>0.40835300000000002</v>
      </c>
      <c r="AF5695">
        <v>22.74709</v>
      </c>
      <c r="AG5695">
        <f>IFERROR(AH5695*0.1, "N/A")</f>
        <v>5.8000000000000007</v>
      </c>
      <c r="AH5695">
        <v>58</v>
      </c>
      <c r="AI5695">
        <v>238.27160000000001</v>
      </c>
      <c r="AJ5695">
        <v>17</v>
      </c>
      <c r="AK5695">
        <v>61</v>
      </c>
    </row>
    <row r="5696" spans="1:37" x14ac:dyDescent="0.3">
      <c r="A5696">
        <v>5695</v>
      </c>
      <c r="B5696">
        <v>0</v>
      </c>
      <c r="C5696">
        <v>-12.7256</v>
      </c>
      <c r="D5696">
        <v>15.131</v>
      </c>
      <c r="E5696">
        <f>-12.7256-15.131</f>
        <v>-27.8566</v>
      </c>
      <c r="F5696" t="s">
        <v>9132</v>
      </c>
      <c r="G5696" t="s">
        <v>37</v>
      </c>
      <c r="H5696">
        <v>2007</v>
      </c>
      <c r="I5696">
        <v>28.8</v>
      </c>
      <c r="J5696">
        <v>14.9</v>
      </c>
      <c r="K5696">
        <v>57</v>
      </c>
      <c r="L5696">
        <v>26.44</v>
      </c>
      <c r="M5696">
        <v>41.2</v>
      </c>
      <c r="N5696">
        <v>15.5</v>
      </c>
      <c r="O5696">
        <v>25.7</v>
      </c>
      <c r="P5696">
        <v>28.5</v>
      </c>
      <c r="Q5696">
        <v>26.9</v>
      </c>
      <c r="R5696">
        <v>32.5</v>
      </c>
      <c r="S5696">
        <v>25.4</v>
      </c>
      <c r="T5696">
        <v>489</v>
      </c>
      <c r="U5696">
        <v>161</v>
      </c>
      <c r="V5696">
        <v>0</v>
      </c>
      <c r="W5696">
        <v>138</v>
      </c>
      <c r="X5696">
        <v>403</v>
      </c>
      <c r="Y5696">
        <v>1</v>
      </c>
      <c r="Z5696">
        <v>51</v>
      </c>
      <c r="AA5696">
        <v>2</v>
      </c>
      <c r="AB5696">
        <v>6.0128120000000003</v>
      </c>
      <c r="AC5696">
        <v>1.1375909999999999E-2</v>
      </c>
      <c r="AD5696">
        <v>1.679988</v>
      </c>
      <c r="AE5696">
        <v>0.40835300000000002</v>
      </c>
      <c r="AF5696">
        <v>22.74709</v>
      </c>
      <c r="AG5696">
        <f>IFERROR(AH5696*0.1, "N/A")</f>
        <v>5.8000000000000007</v>
      </c>
      <c r="AH5696">
        <v>58</v>
      </c>
      <c r="AI5696">
        <v>238.27160000000001</v>
      </c>
      <c r="AJ5696">
        <v>17</v>
      </c>
      <c r="AK5696">
        <v>61</v>
      </c>
    </row>
    <row r="5697" spans="1:37" x14ac:dyDescent="0.3">
      <c r="A5697">
        <v>5696</v>
      </c>
      <c r="B5697">
        <v>81</v>
      </c>
      <c r="C5697">
        <v>-12.1829</v>
      </c>
      <c r="D5697">
        <v>15.158899999999999</v>
      </c>
      <c r="E5697">
        <f>-12.1829-15.1589</f>
        <v>-27.341799999999999</v>
      </c>
      <c r="F5697" t="s">
        <v>9133</v>
      </c>
      <c r="G5697" t="s">
        <v>39</v>
      </c>
      <c r="H5697">
        <v>1981</v>
      </c>
      <c r="I5697">
        <v>29.04372</v>
      </c>
      <c r="J5697">
        <v>14.8</v>
      </c>
      <c r="K5697">
        <v>57</v>
      </c>
      <c r="L5697">
        <v>27.693570000000001</v>
      </c>
      <c r="M5697">
        <v>41.198659999999997</v>
      </c>
      <c r="N5697">
        <v>15.5</v>
      </c>
      <c r="O5697">
        <v>25.69866</v>
      </c>
      <c r="P5697">
        <v>28.943719999999999</v>
      </c>
      <c r="Q5697">
        <v>26.9</v>
      </c>
      <c r="R5697">
        <v>32.799999999999997</v>
      </c>
      <c r="S5697">
        <v>25.3</v>
      </c>
      <c r="T5697">
        <v>451.01339999999999</v>
      </c>
      <c r="U5697">
        <v>157</v>
      </c>
      <c r="V5697">
        <v>0</v>
      </c>
      <c r="W5697">
        <v>141</v>
      </c>
      <c r="X5697">
        <v>375</v>
      </c>
      <c r="Y5697">
        <v>1</v>
      </c>
      <c r="Z5697">
        <v>50.013399999999997</v>
      </c>
      <c r="AA5697">
        <v>2</v>
      </c>
      <c r="AB5697">
        <v>3.1085440000000002</v>
      </c>
      <c r="AC5697">
        <v>1.1907050000000001E-2</v>
      </c>
      <c r="AD5697">
        <v>0.89145269999999999</v>
      </c>
      <c r="AE5697">
        <v>0.54901679999999997</v>
      </c>
      <c r="AF5697">
        <v>59.07873</v>
      </c>
      <c r="AG5697">
        <f>IFERROR(AH5697*0.1, "N/A")</f>
        <v>6.5901169999999993</v>
      </c>
      <c r="AH5697">
        <v>65.901169999999993</v>
      </c>
      <c r="AI5697">
        <v>55.638129999999997</v>
      </c>
      <c r="AJ5697">
        <v>15.45059</v>
      </c>
      <c r="AK5697">
        <v>67.450590000000005</v>
      </c>
    </row>
    <row r="5698" spans="1:37" x14ac:dyDescent="0.3">
      <c r="A5698">
        <v>5697</v>
      </c>
      <c r="B5698">
        <v>40</v>
      </c>
      <c r="C5698">
        <v>-11.801</v>
      </c>
      <c r="D5698">
        <v>15.317500000000001</v>
      </c>
      <c r="E5698">
        <f>-11.801-15.3175</f>
        <v>-27.118500000000001</v>
      </c>
      <c r="F5698" t="s">
        <v>9134</v>
      </c>
      <c r="G5698" t="s">
        <v>39</v>
      </c>
      <c r="H5698">
        <v>1981</v>
      </c>
      <c r="I5698">
        <v>29.4</v>
      </c>
      <c r="J5698">
        <v>14.7</v>
      </c>
      <c r="K5698">
        <v>56</v>
      </c>
      <c r="L5698">
        <v>29.909770000000002</v>
      </c>
      <c r="M5698">
        <v>41.5</v>
      </c>
      <c r="N5698">
        <v>15.3</v>
      </c>
      <c r="O5698">
        <v>26.2</v>
      </c>
      <c r="P5698">
        <v>29.6</v>
      </c>
      <c r="Q5698">
        <v>26.8</v>
      </c>
      <c r="R5698">
        <v>33.299999999999997</v>
      </c>
      <c r="S5698">
        <v>25.2</v>
      </c>
      <c r="T5698">
        <v>339.97660000000002</v>
      </c>
      <c r="U5698">
        <v>124</v>
      </c>
      <c r="V5698">
        <v>0</v>
      </c>
      <c r="W5698">
        <v>145.98830000000001</v>
      </c>
      <c r="X5698">
        <v>292.97660000000002</v>
      </c>
      <c r="Y5698">
        <v>0</v>
      </c>
      <c r="Z5698">
        <v>37</v>
      </c>
      <c r="AA5698">
        <v>0</v>
      </c>
      <c r="AB5698">
        <v>1.0427390000000001</v>
      </c>
      <c r="AC5698">
        <v>164.6139</v>
      </c>
      <c r="AD5698">
        <v>1.0864609999999999</v>
      </c>
      <c r="AE5698">
        <v>0.53767520000000002</v>
      </c>
      <c r="AF5698">
        <v>54.133560000000003</v>
      </c>
      <c r="AG5698">
        <f>IFERROR(AH5698*0.1, "N/A")</f>
        <v>6.5988310000000006</v>
      </c>
      <c r="AH5698">
        <v>65.988309999999998</v>
      </c>
      <c r="AI5698">
        <v>99.069509999999994</v>
      </c>
      <c r="AJ5698">
        <v>14.02337</v>
      </c>
      <c r="AK5698">
        <v>71.766279999999995</v>
      </c>
    </row>
    <row r="5699" spans="1:37" x14ac:dyDescent="0.3">
      <c r="A5699">
        <v>5698</v>
      </c>
      <c r="B5699">
        <v>59.7</v>
      </c>
      <c r="C5699">
        <v>-9.5247200000000003</v>
      </c>
      <c r="D5699">
        <v>15.489699999999999</v>
      </c>
      <c r="E5699">
        <f>-9.52472-15.4897</f>
        <v>-25.014420000000001</v>
      </c>
      <c r="F5699" t="s">
        <v>9135</v>
      </c>
      <c r="G5699" t="s">
        <v>39</v>
      </c>
      <c r="H5699">
        <v>1987</v>
      </c>
      <c r="I5699">
        <v>28.6</v>
      </c>
      <c r="J5699">
        <v>14.8</v>
      </c>
      <c r="K5699">
        <v>53</v>
      </c>
      <c r="L5699">
        <v>35.184840000000001</v>
      </c>
      <c r="M5699">
        <v>41.1</v>
      </c>
      <c r="N5699">
        <v>13.2</v>
      </c>
      <c r="O5699">
        <v>27.9</v>
      </c>
      <c r="P5699">
        <v>29.160599999999999</v>
      </c>
      <c r="Q5699">
        <v>25.4</v>
      </c>
      <c r="R5699">
        <v>33</v>
      </c>
      <c r="S5699">
        <v>23.639399999999998</v>
      </c>
      <c r="T5699">
        <v>405</v>
      </c>
      <c r="U5699">
        <v>150</v>
      </c>
      <c r="V5699">
        <v>0</v>
      </c>
      <c r="W5699">
        <v>145</v>
      </c>
      <c r="X5699">
        <v>340</v>
      </c>
      <c r="Y5699">
        <v>0</v>
      </c>
      <c r="Z5699">
        <v>46</v>
      </c>
      <c r="AA5699">
        <v>1</v>
      </c>
      <c r="AB5699">
        <v>0.8612725</v>
      </c>
      <c r="AC5699">
        <v>1.1876380000000001E-2</v>
      </c>
      <c r="AD5699">
        <v>1.1807989999999999</v>
      </c>
      <c r="AE5699">
        <v>0.6045933</v>
      </c>
      <c r="AF5699">
        <v>214.64609999999999</v>
      </c>
      <c r="AG5699">
        <f>IFERROR(AH5699*0.1, "N/A")</f>
        <v>5.9787980000000003</v>
      </c>
      <c r="AH5699">
        <v>59.787979999999997</v>
      </c>
      <c r="AI5699">
        <v>199.3373</v>
      </c>
      <c r="AJ5699">
        <v>8.2120200000000008</v>
      </c>
      <c r="AK5699">
        <v>83.575959999999995</v>
      </c>
    </row>
    <row r="5700" spans="1:37" x14ac:dyDescent="0.3">
      <c r="A5700">
        <v>5699</v>
      </c>
      <c r="B5700">
        <v>10.4</v>
      </c>
      <c r="C5700">
        <v>-9.4873499999999993</v>
      </c>
      <c r="D5700">
        <v>15.517799999999999</v>
      </c>
      <c r="E5700">
        <f>-9.48735-15.5178</f>
        <v>-25.00515</v>
      </c>
      <c r="F5700" t="s">
        <v>9136</v>
      </c>
      <c r="G5700" t="s">
        <v>39</v>
      </c>
      <c r="H5700">
        <v>1987</v>
      </c>
      <c r="I5700">
        <v>28.7</v>
      </c>
      <c r="J5700">
        <v>14.7</v>
      </c>
      <c r="K5700">
        <v>52</v>
      </c>
      <c r="L5700">
        <v>35.130000000000003</v>
      </c>
      <c r="M5700">
        <v>41.2</v>
      </c>
      <c r="N5700">
        <v>13.3</v>
      </c>
      <c r="O5700">
        <v>27.9</v>
      </c>
      <c r="P5700">
        <v>29.3</v>
      </c>
      <c r="Q5700">
        <v>25.5</v>
      </c>
      <c r="R5700">
        <v>33.1</v>
      </c>
      <c r="S5700">
        <v>23.8</v>
      </c>
      <c r="T5700">
        <v>385</v>
      </c>
      <c r="U5700">
        <v>144</v>
      </c>
      <c r="V5700">
        <v>0</v>
      </c>
      <c r="W5700">
        <v>143</v>
      </c>
      <c r="X5700">
        <v>325</v>
      </c>
      <c r="Y5700">
        <v>0</v>
      </c>
      <c r="Z5700">
        <v>42</v>
      </c>
      <c r="AA5700">
        <v>1</v>
      </c>
      <c r="AB5700">
        <v>0.85676249999999998</v>
      </c>
      <c r="AC5700">
        <v>0.88408609999999999</v>
      </c>
      <c r="AD5700">
        <v>1.2386790000000001</v>
      </c>
      <c r="AE5700">
        <v>0.41498079999999998</v>
      </c>
      <c r="AF5700">
        <v>194.75290000000001</v>
      </c>
      <c r="AG5700">
        <f>IFERROR(AH5700*0.1, "N/A")</f>
        <v>6.448748000000001</v>
      </c>
      <c r="AH5700">
        <v>64.487480000000005</v>
      </c>
      <c r="AI5700">
        <v>57.544930000000001</v>
      </c>
      <c r="AJ5700">
        <v>6.4490819999999998</v>
      </c>
      <c r="AK5700">
        <v>87.170280000000005</v>
      </c>
    </row>
    <row r="5701" spans="1:37" x14ac:dyDescent="0.3">
      <c r="A5701">
        <v>5700</v>
      </c>
      <c r="B5701">
        <v>0</v>
      </c>
      <c r="C5701">
        <v>-13.083299999999999</v>
      </c>
      <c r="D5701">
        <v>15.583299999999999</v>
      </c>
      <c r="E5701">
        <f>-13.0833-15.5833</f>
        <v>-28.666599999999999</v>
      </c>
      <c r="F5701" t="s">
        <v>9137</v>
      </c>
      <c r="G5701" t="s">
        <v>39</v>
      </c>
      <c r="H5701">
        <v>1983</v>
      </c>
      <c r="I5701">
        <v>29.520900000000001</v>
      </c>
      <c r="J5701">
        <v>15.268330000000001</v>
      </c>
      <c r="K5701">
        <v>56.208959999999998</v>
      </c>
      <c r="L5701">
        <v>29.473549999999999</v>
      </c>
      <c r="M5701">
        <v>42.247430000000001</v>
      </c>
      <c r="N5701">
        <v>15.364179999999999</v>
      </c>
      <c r="O5701">
        <v>26.88325</v>
      </c>
      <c r="P5701">
        <v>29.85257</v>
      </c>
      <c r="Q5701">
        <v>26.820889999999999</v>
      </c>
      <c r="R5701">
        <v>33.356720000000003</v>
      </c>
      <c r="S5701">
        <v>25.4209</v>
      </c>
      <c r="T5701">
        <v>363</v>
      </c>
      <c r="U5701">
        <v>128</v>
      </c>
      <c r="V5701">
        <v>0</v>
      </c>
      <c r="W5701">
        <v>143</v>
      </c>
      <c r="X5701">
        <v>312</v>
      </c>
      <c r="Y5701">
        <v>1</v>
      </c>
      <c r="Z5701">
        <v>26</v>
      </c>
      <c r="AA5701">
        <v>2</v>
      </c>
      <c r="AB5701">
        <v>2.7092860000000001</v>
      </c>
      <c r="AC5701">
        <v>0.15306539999999999</v>
      </c>
      <c r="AD5701">
        <v>1.6232070000000001</v>
      </c>
      <c r="AE5701">
        <v>0.31690380000000001</v>
      </c>
      <c r="AF5701">
        <v>16.754560000000001</v>
      </c>
      <c r="AG5701">
        <f>IFERROR(AH5701*0.1, "N/A")</f>
        <v>6.3950250000000004</v>
      </c>
      <c r="AH5701">
        <v>63.950249999999997</v>
      </c>
      <c r="AI5701">
        <v>219.23089999999999</v>
      </c>
      <c r="AJ5701">
        <v>13.3665</v>
      </c>
      <c r="AK5701">
        <v>72.633499999999998</v>
      </c>
    </row>
    <row r="5702" spans="1:37" x14ac:dyDescent="0.3">
      <c r="A5702">
        <v>5701</v>
      </c>
      <c r="B5702">
        <v>0</v>
      </c>
      <c r="C5702">
        <v>-13.083299999999999</v>
      </c>
      <c r="D5702">
        <v>15.583299999999999</v>
      </c>
      <c r="E5702">
        <f>-13.0833-15.5833</f>
        <v>-28.666599999999999</v>
      </c>
      <c r="F5702" t="s">
        <v>9138</v>
      </c>
      <c r="G5702" t="s">
        <v>37</v>
      </c>
      <c r="H5702">
        <v>1983</v>
      </c>
      <c r="I5702">
        <v>29.520900000000001</v>
      </c>
      <c r="J5702">
        <v>15.268330000000001</v>
      </c>
      <c r="K5702">
        <v>56.208959999999998</v>
      </c>
      <c r="L5702">
        <v>29.473549999999999</v>
      </c>
      <c r="M5702">
        <v>42.247430000000001</v>
      </c>
      <c r="N5702">
        <v>15.364179999999999</v>
      </c>
      <c r="O5702">
        <v>26.88325</v>
      </c>
      <c r="P5702">
        <v>29.85257</v>
      </c>
      <c r="Q5702">
        <v>26.820889999999999</v>
      </c>
      <c r="R5702">
        <v>33.356720000000003</v>
      </c>
      <c r="S5702">
        <v>25.4209</v>
      </c>
      <c r="T5702">
        <v>363</v>
      </c>
      <c r="U5702">
        <v>128</v>
      </c>
      <c r="V5702">
        <v>0</v>
      </c>
      <c r="W5702">
        <v>143</v>
      </c>
      <c r="X5702">
        <v>312</v>
      </c>
      <c r="Y5702">
        <v>1</v>
      </c>
      <c r="Z5702">
        <v>26</v>
      </c>
      <c r="AA5702">
        <v>2</v>
      </c>
      <c r="AB5702">
        <v>2.7092860000000001</v>
      </c>
      <c r="AC5702">
        <v>0.15306539999999999</v>
      </c>
      <c r="AD5702">
        <v>1.6232070000000001</v>
      </c>
      <c r="AE5702">
        <v>0.31690380000000001</v>
      </c>
      <c r="AF5702">
        <v>16.754560000000001</v>
      </c>
      <c r="AG5702">
        <f>IFERROR(AH5702*0.1, "N/A")</f>
        <v>6.3950250000000004</v>
      </c>
      <c r="AH5702">
        <v>63.950249999999997</v>
      </c>
      <c r="AI5702">
        <v>219.23089999999999</v>
      </c>
      <c r="AJ5702">
        <v>13.3665</v>
      </c>
      <c r="AK5702">
        <v>72.633499999999998</v>
      </c>
    </row>
    <row r="5703" spans="1:37" x14ac:dyDescent="0.3">
      <c r="A5703">
        <v>5702</v>
      </c>
      <c r="B5703">
        <v>51.4</v>
      </c>
      <c r="C5703">
        <v>-9.48203</v>
      </c>
      <c r="D5703">
        <v>15.694699999999999</v>
      </c>
      <c r="E5703">
        <f>-9.48203-15.6947</f>
        <v>-25.176729999999999</v>
      </c>
      <c r="F5703" t="s">
        <v>9139</v>
      </c>
      <c r="G5703" t="s">
        <v>39</v>
      </c>
      <c r="H5703">
        <v>1987</v>
      </c>
      <c r="I5703">
        <v>29</v>
      </c>
      <c r="J5703">
        <v>14.5</v>
      </c>
      <c r="K5703">
        <v>52</v>
      </c>
      <c r="L5703">
        <v>35.64</v>
      </c>
      <c r="M5703">
        <v>41.3</v>
      </c>
      <c r="N5703">
        <v>13.8</v>
      </c>
      <c r="O5703">
        <v>27.5</v>
      </c>
      <c r="P5703">
        <v>29.8</v>
      </c>
      <c r="Q5703">
        <v>25.6</v>
      </c>
      <c r="R5703">
        <v>33.299999999999997</v>
      </c>
      <c r="S5703">
        <v>23.9</v>
      </c>
      <c r="T5703">
        <v>315</v>
      </c>
      <c r="U5703">
        <v>122</v>
      </c>
      <c r="V5703">
        <v>0</v>
      </c>
      <c r="W5703">
        <v>148</v>
      </c>
      <c r="X5703">
        <v>272</v>
      </c>
      <c r="Y5703">
        <v>0</v>
      </c>
      <c r="Z5703">
        <v>31</v>
      </c>
      <c r="AA5703">
        <v>0</v>
      </c>
      <c r="AB5703">
        <v>5.8744160000000001</v>
      </c>
      <c r="AC5703">
        <v>1.4979350000000001E-2</v>
      </c>
      <c r="AD5703">
        <v>0.8481592</v>
      </c>
      <c r="AE5703">
        <v>0.40186290000000002</v>
      </c>
      <c r="AF5703">
        <v>181.42519999999999</v>
      </c>
      <c r="AG5703">
        <f>IFERROR(AH5703*0.1, "N/A")</f>
        <v>6.9347180000000002</v>
      </c>
      <c r="AH5703">
        <v>69.347179999999994</v>
      </c>
      <c r="AI5703">
        <v>146.6266</v>
      </c>
      <c r="AJ5703">
        <v>13.06146</v>
      </c>
      <c r="AK5703">
        <v>75.631230000000002</v>
      </c>
    </row>
    <row r="5704" spans="1:37" x14ac:dyDescent="0.3">
      <c r="A5704">
        <v>5703</v>
      </c>
      <c r="B5704">
        <v>22.2</v>
      </c>
      <c r="C5704">
        <v>-9.5397999999999996</v>
      </c>
      <c r="D5704">
        <v>15.6968</v>
      </c>
      <c r="E5704">
        <f>-9.5398-15.6968</f>
        <v>-25.236599999999999</v>
      </c>
      <c r="F5704" t="s">
        <v>9140</v>
      </c>
      <c r="G5704" t="s">
        <v>39</v>
      </c>
      <c r="H5704">
        <v>1987</v>
      </c>
      <c r="I5704">
        <v>29</v>
      </c>
      <c r="J5704">
        <v>14.5</v>
      </c>
      <c r="K5704">
        <v>52</v>
      </c>
      <c r="L5704">
        <v>35.619999999999997</v>
      </c>
      <c r="M5704">
        <v>41.4</v>
      </c>
      <c r="N5704">
        <v>13.8</v>
      </c>
      <c r="O5704">
        <v>27.6</v>
      </c>
      <c r="P5704">
        <v>29.8</v>
      </c>
      <c r="Q5704">
        <v>25.7</v>
      </c>
      <c r="R5704">
        <v>33.299999999999997</v>
      </c>
      <c r="S5704">
        <v>23.9</v>
      </c>
      <c r="T5704">
        <v>321</v>
      </c>
      <c r="U5704">
        <v>124</v>
      </c>
      <c r="V5704">
        <v>0</v>
      </c>
      <c r="W5704">
        <v>150</v>
      </c>
      <c r="X5704">
        <v>276</v>
      </c>
      <c r="Y5704">
        <v>0</v>
      </c>
      <c r="Z5704">
        <v>32</v>
      </c>
      <c r="AA5704">
        <v>0</v>
      </c>
      <c r="AB5704">
        <v>0.37387949999999998</v>
      </c>
      <c r="AC5704">
        <v>343.93009999999998</v>
      </c>
      <c r="AD5704">
        <v>0.84420320000000004</v>
      </c>
      <c r="AE5704">
        <v>0.49901649999999997</v>
      </c>
      <c r="AF5704">
        <v>172.16309999999999</v>
      </c>
      <c r="AG5704">
        <f>IFERROR(AH5704*0.1, "N/A")</f>
        <v>6.4</v>
      </c>
      <c r="AH5704">
        <v>64</v>
      </c>
      <c r="AI5704">
        <v>256.17290000000003</v>
      </c>
      <c r="AJ5704">
        <v>21</v>
      </c>
      <c r="AK5704">
        <v>61.768720000000002</v>
      </c>
    </row>
    <row r="5705" spans="1:37" x14ac:dyDescent="0.3">
      <c r="A5705">
        <v>5704</v>
      </c>
      <c r="B5705">
        <v>83.1</v>
      </c>
      <c r="C5705">
        <v>-12.4832</v>
      </c>
      <c r="D5705">
        <v>15.7485</v>
      </c>
      <c r="E5705">
        <f>-12.4832-15.7485</f>
        <v>-28.2317</v>
      </c>
      <c r="F5705" t="s">
        <v>9141</v>
      </c>
      <c r="G5705" t="s">
        <v>39</v>
      </c>
      <c r="H5705">
        <v>1961</v>
      </c>
      <c r="I5705">
        <v>29.4</v>
      </c>
      <c r="J5705">
        <v>15</v>
      </c>
      <c r="K5705">
        <v>56</v>
      </c>
      <c r="L5705">
        <v>30.470300000000002</v>
      </c>
      <c r="M5705">
        <v>41.866500000000002</v>
      </c>
      <c r="N5705">
        <v>15.3</v>
      </c>
      <c r="O5705">
        <v>26.566500000000001</v>
      </c>
      <c r="P5705">
        <v>29.9</v>
      </c>
      <c r="Q5705">
        <v>26.566500000000001</v>
      </c>
      <c r="R5705">
        <v>33.266500000000001</v>
      </c>
      <c r="S5705">
        <v>25.066500000000001</v>
      </c>
      <c r="T5705">
        <v>328</v>
      </c>
      <c r="U5705">
        <v>115</v>
      </c>
      <c r="V5705">
        <v>0</v>
      </c>
      <c r="W5705">
        <v>142</v>
      </c>
      <c r="X5705">
        <v>281</v>
      </c>
      <c r="Y5705">
        <v>1</v>
      </c>
      <c r="Z5705">
        <v>30</v>
      </c>
      <c r="AA5705">
        <v>2</v>
      </c>
      <c r="AB5705">
        <v>2.1013269999999999</v>
      </c>
      <c r="AC5705">
        <v>1.9306029999999998E-2</v>
      </c>
      <c r="AD5705">
        <v>0.71911460000000005</v>
      </c>
      <c r="AE5705">
        <v>0.24879519999999999</v>
      </c>
      <c r="AF5705">
        <v>44.996679999999998</v>
      </c>
      <c r="AG5705">
        <f>IFERROR(AH5705*0.1, "N/A")</f>
        <v>6.4371480000000005</v>
      </c>
      <c r="AH5705">
        <v>64.371480000000005</v>
      </c>
      <c r="AI5705">
        <v>198.6414</v>
      </c>
      <c r="AJ5705">
        <v>13.32836</v>
      </c>
      <c r="AK5705">
        <v>74.378110000000007</v>
      </c>
    </row>
    <row r="5706" spans="1:37" x14ac:dyDescent="0.3">
      <c r="A5706">
        <v>5705</v>
      </c>
      <c r="B5706">
        <v>40.6</v>
      </c>
      <c r="C5706">
        <v>-9.3733299999999993</v>
      </c>
      <c r="D5706">
        <v>15.824999999999999</v>
      </c>
      <c r="E5706">
        <f>-9.37333-15.825</f>
        <v>-25.198329999999999</v>
      </c>
      <c r="F5706" t="s">
        <v>9142</v>
      </c>
      <c r="G5706" t="s">
        <v>39</v>
      </c>
      <c r="H5706">
        <v>1987</v>
      </c>
      <c r="I5706">
        <v>29</v>
      </c>
      <c r="J5706">
        <v>14.4</v>
      </c>
      <c r="K5706">
        <v>52</v>
      </c>
      <c r="L5706">
        <v>36.189819999999997</v>
      </c>
      <c r="M5706">
        <v>41.3</v>
      </c>
      <c r="N5706">
        <v>14</v>
      </c>
      <c r="O5706">
        <v>27.3</v>
      </c>
      <c r="P5706">
        <v>29.9</v>
      </c>
      <c r="Q5706">
        <v>25.5</v>
      </c>
      <c r="R5706">
        <v>33.299999999999997</v>
      </c>
      <c r="S5706">
        <v>23.8</v>
      </c>
      <c r="T5706">
        <v>272.52330000000001</v>
      </c>
      <c r="U5706">
        <v>108</v>
      </c>
      <c r="V5706">
        <v>0</v>
      </c>
      <c r="W5706">
        <v>153.26169999999999</v>
      </c>
      <c r="X5706">
        <v>238.52330000000001</v>
      </c>
      <c r="Y5706">
        <v>0</v>
      </c>
      <c r="Z5706">
        <v>25</v>
      </c>
      <c r="AA5706">
        <v>0</v>
      </c>
      <c r="AB5706">
        <v>3.9675020000000001</v>
      </c>
      <c r="AC5706">
        <v>9.8486170000000005E-3</v>
      </c>
      <c r="AD5706">
        <v>1.118938</v>
      </c>
      <c r="AE5706">
        <v>0.23959050000000001</v>
      </c>
      <c r="AF5706">
        <v>199.79830000000001</v>
      </c>
      <c r="AG5706">
        <f>IFERROR(AH5706*0.1, "N/A")</f>
        <v>7.4691670000000006</v>
      </c>
      <c r="AH5706">
        <v>74.691670000000002</v>
      </c>
      <c r="AI5706">
        <v>223.9667</v>
      </c>
      <c r="AJ5706">
        <v>13.738329999999999</v>
      </c>
      <c r="AK5706">
        <v>75.261669999999995</v>
      </c>
    </row>
    <row r="5707" spans="1:37" x14ac:dyDescent="0.3">
      <c r="A5707">
        <v>5706</v>
      </c>
      <c r="B5707">
        <v>80.599999999999994</v>
      </c>
      <c r="C5707">
        <v>-12.580500000000001</v>
      </c>
      <c r="D5707">
        <v>16.0215</v>
      </c>
      <c r="E5707">
        <f>-12.5805-16.0215</f>
        <v>-28.602</v>
      </c>
      <c r="F5707" t="s">
        <v>9143</v>
      </c>
      <c r="G5707" t="s">
        <v>39</v>
      </c>
      <c r="H5707">
        <v>1961</v>
      </c>
      <c r="I5707">
        <v>29.6</v>
      </c>
      <c r="J5707">
        <v>14.9</v>
      </c>
      <c r="K5707">
        <v>55</v>
      </c>
      <c r="L5707">
        <v>32.47</v>
      </c>
      <c r="M5707">
        <v>42.1</v>
      </c>
      <c r="N5707">
        <v>15.3</v>
      </c>
      <c r="O5707">
        <v>26.8</v>
      </c>
      <c r="P5707">
        <v>30.5</v>
      </c>
      <c r="Q5707">
        <v>26.4</v>
      </c>
      <c r="R5707">
        <v>33.5</v>
      </c>
      <c r="S5707">
        <v>24.9</v>
      </c>
      <c r="T5707">
        <v>308</v>
      </c>
      <c r="U5707">
        <v>108</v>
      </c>
      <c r="V5707">
        <v>0</v>
      </c>
      <c r="W5707">
        <v>143</v>
      </c>
      <c r="X5707">
        <v>262</v>
      </c>
      <c r="Y5707">
        <v>1</v>
      </c>
      <c r="Z5707">
        <v>29</v>
      </c>
      <c r="AA5707">
        <v>2</v>
      </c>
      <c r="AB5707">
        <v>3.5470890000000002</v>
      </c>
      <c r="AC5707">
        <v>9.316609E-3</v>
      </c>
      <c r="AD5707">
        <v>0.76778610000000003</v>
      </c>
      <c r="AE5707">
        <v>0.33372279999999999</v>
      </c>
      <c r="AF5707">
        <v>41.995010000000001</v>
      </c>
      <c r="AG5707">
        <f>IFERROR(AH5707*0.1, "N/A")</f>
        <v>6.7</v>
      </c>
      <c r="AH5707">
        <v>67</v>
      </c>
      <c r="AI5707">
        <v>201.71440000000001</v>
      </c>
      <c r="AJ5707">
        <v>14.33611</v>
      </c>
      <c r="AK5707">
        <v>71.831950000000006</v>
      </c>
    </row>
    <row r="5708" spans="1:37" x14ac:dyDescent="0.3">
      <c r="A5708">
        <v>5707</v>
      </c>
      <c r="B5708">
        <v>0</v>
      </c>
      <c r="C5708">
        <v>-12.5786</v>
      </c>
      <c r="D5708">
        <v>16.023299999999999</v>
      </c>
      <c r="E5708">
        <f>-12.5786-16.0233</f>
        <v>-28.601900000000001</v>
      </c>
      <c r="F5708" t="s">
        <v>9144</v>
      </c>
      <c r="G5708" t="s">
        <v>39</v>
      </c>
      <c r="H5708">
        <v>1976</v>
      </c>
      <c r="I5708">
        <v>29.6</v>
      </c>
      <c r="J5708">
        <v>14.9</v>
      </c>
      <c r="K5708">
        <v>55</v>
      </c>
      <c r="L5708">
        <v>32.47</v>
      </c>
      <c r="M5708">
        <v>42.1</v>
      </c>
      <c r="N5708">
        <v>15.3</v>
      </c>
      <c r="O5708">
        <v>26.8</v>
      </c>
      <c r="P5708">
        <v>30.5</v>
      </c>
      <c r="Q5708">
        <v>26.4</v>
      </c>
      <c r="R5708">
        <v>33.5</v>
      </c>
      <c r="S5708">
        <v>24.9</v>
      </c>
      <c r="T5708">
        <v>308</v>
      </c>
      <c r="U5708">
        <v>108</v>
      </c>
      <c r="V5708">
        <v>0</v>
      </c>
      <c r="W5708">
        <v>143</v>
      </c>
      <c r="X5708">
        <v>262</v>
      </c>
      <c r="Y5708">
        <v>1</v>
      </c>
      <c r="Z5708">
        <v>29</v>
      </c>
      <c r="AA5708">
        <v>2</v>
      </c>
      <c r="AB5708">
        <v>1.5785359999999999</v>
      </c>
      <c r="AC5708">
        <v>9.0155459999999993E-3</v>
      </c>
      <c r="AD5708">
        <v>1.208315</v>
      </c>
      <c r="AE5708">
        <v>0.33372279999999999</v>
      </c>
      <c r="AF5708">
        <v>41.06156</v>
      </c>
      <c r="AG5708">
        <f>IFERROR(AH5708*0.1, "N/A")</f>
        <v>6.9680530000000012</v>
      </c>
      <c r="AH5708">
        <v>69.680530000000005</v>
      </c>
      <c r="AI5708">
        <v>175.46799999999999</v>
      </c>
      <c r="AJ5708">
        <v>17.57404</v>
      </c>
      <c r="AK5708">
        <v>69.425960000000003</v>
      </c>
    </row>
    <row r="5709" spans="1:37" x14ac:dyDescent="0.3">
      <c r="A5709">
        <v>5708</v>
      </c>
      <c r="B5709">
        <v>92.1</v>
      </c>
      <c r="C5709">
        <v>-13.379200000000001</v>
      </c>
      <c r="D5709">
        <v>16.0596</v>
      </c>
      <c r="E5709">
        <f>-13.3792-16.059601</f>
        <v>-29.438801000000002</v>
      </c>
      <c r="F5709" t="s">
        <v>9145</v>
      </c>
      <c r="G5709" t="s">
        <v>39</v>
      </c>
      <c r="H5709">
        <v>1981</v>
      </c>
      <c r="I5709">
        <v>29.7</v>
      </c>
      <c r="J5709">
        <v>14.7</v>
      </c>
      <c r="K5709">
        <v>56</v>
      </c>
      <c r="L5709">
        <v>30.69</v>
      </c>
      <c r="M5709">
        <v>42.1</v>
      </c>
      <c r="N5709">
        <v>16.100000000000001</v>
      </c>
      <c r="O5709">
        <v>26</v>
      </c>
      <c r="P5709">
        <v>30.4</v>
      </c>
      <c r="Q5709">
        <v>26.6</v>
      </c>
      <c r="R5709">
        <v>33.4</v>
      </c>
      <c r="S5709">
        <v>25.3</v>
      </c>
      <c r="T5709">
        <v>302</v>
      </c>
      <c r="U5709">
        <v>112</v>
      </c>
      <c r="V5709">
        <v>0</v>
      </c>
      <c r="W5709">
        <v>146</v>
      </c>
      <c r="X5709">
        <v>266</v>
      </c>
      <c r="Y5709">
        <v>1</v>
      </c>
      <c r="Z5709">
        <v>19</v>
      </c>
      <c r="AA5709">
        <v>1</v>
      </c>
      <c r="AB5709">
        <v>2.6538210000000002</v>
      </c>
      <c r="AC5709">
        <v>2.6996639999999999E-2</v>
      </c>
      <c r="AD5709">
        <v>2.0085000000000002</v>
      </c>
      <c r="AE5709">
        <v>0.2383305</v>
      </c>
      <c r="AF5709">
        <v>6.9634549999999997</v>
      </c>
      <c r="AG5709">
        <f>IFERROR(AH5709*0.1, "N/A")</f>
        <v>7.1129570000000006</v>
      </c>
      <c r="AH5709">
        <v>71.129570000000001</v>
      </c>
      <c r="AI5709">
        <v>219.5343</v>
      </c>
      <c r="AJ5709">
        <v>23.70598</v>
      </c>
      <c r="AK5709">
        <v>59.702660000000002</v>
      </c>
    </row>
    <row r="5710" spans="1:37" x14ac:dyDescent="0.3">
      <c r="A5710">
        <v>5709</v>
      </c>
      <c r="B5710">
        <v>0</v>
      </c>
      <c r="C5710">
        <v>-13.379200000000001</v>
      </c>
      <c r="D5710">
        <v>16.0596</v>
      </c>
      <c r="E5710">
        <f>-13.3792-16.059601</f>
        <v>-29.438801000000002</v>
      </c>
      <c r="F5710" t="s">
        <v>9146</v>
      </c>
      <c r="G5710" t="s">
        <v>37</v>
      </c>
      <c r="H5710">
        <v>2007</v>
      </c>
      <c r="I5710">
        <v>29.7</v>
      </c>
      <c r="J5710">
        <v>14.7</v>
      </c>
      <c r="K5710">
        <v>56</v>
      </c>
      <c r="L5710">
        <v>30.69</v>
      </c>
      <c r="M5710">
        <v>42.1</v>
      </c>
      <c r="N5710">
        <v>16.100000000000001</v>
      </c>
      <c r="O5710">
        <v>26</v>
      </c>
      <c r="P5710">
        <v>30.4</v>
      </c>
      <c r="Q5710">
        <v>26.6</v>
      </c>
      <c r="R5710">
        <v>33.4</v>
      </c>
      <c r="S5710">
        <v>25.3</v>
      </c>
      <c r="T5710">
        <v>302</v>
      </c>
      <c r="U5710">
        <v>112</v>
      </c>
      <c r="V5710">
        <v>0</v>
      </c>
      <c r="W5710">
        <v>146</v>
      </c>
      <c r="X5710">
        <v>266</v>
      </c>
      <c r="Y5710">
        <v>1</v>
      </c>
      <c r="Z5710">
        <v>19</v>
      </c>
      <c r="AA5710">
        <v>1</v>
      </c>
      <c r="AB5710">
        <v>2.6538210000000002</v>
      </c>
      <c r="AC5710">
        <v>2.6996639999999999E-2</v>
      </c>
      <c r="AD5710">
        <v>2.0085000000000002</v>
      </c>
      <c r="AE5710">
        <v>0.2383305</v>
      </c>
      <c r="AF5710">
        <v>6.9634549999999997</v>
      </c>
      <c r="AG5710">
        <f>IFERROR(AH5710*0.1, "N/A")</f>
        <v>7.1129570000000006</v>
      </c>
      <c r="AH5710">
        <v>71.129570000000001</v>
      </c>
      <c r="AI5710">
        <v>219.5343</v>
      </c>
      <c r="AJ5710">
        <v>23.70598</v>
      </c>
      <c r="AK5710">
        <v>59.702660000000002</v>
      </c>
    </row>
    <row r="5711" spans="1:37" x14ac:dyDescent="0.3">
      <c r="A5711">
        <v>5710</v>
      </c>
      <c r="B5711">
        <v>74.099999999999994</v>
      </c>
      <c r="C5711">
        <v>-9.9333299999999998</v>
      </c>
      <c r="D5711">
        <v>16.100000000000001</v>
      </c>
      <c r="E5711">
        <f>-9.93333-16.1</f>
        <v>-26.033329999999999</v>
      </c>
      <c r="F5711" t="s">
        <v>9147</v>
      </c>
      <c r="G5711" t="s">
        <v>39</v>
      </c>
      <c r="H5711">
        <v>1987</v>
      </c>
      <c r="I5711">
        <v>29.14207</v>
      </c>
      <c r="J5711">
        <v>14.042070000000001</v>
      </c>
      <c r="K5711">
        <v>52.420699999999997</v>
      </c>
      <c r="L5711">
        <v>35.706060000000001</v>
      </c>
      <c r="M5711">
        <v>41.2</v>
      </c>
      <c r="N5711">
        <v>14.64207</v>
      </c>
      <c r="O5711">
        <v>26.557929999999999</v>
      </c>
      <c r="P5711">
        <v>30.3</v>
      </c>
      <c r="Q5711">
        <v>25.64207</v>
      </c>
      <c r="R5711">
        <v>33.324539999999999</v>
      </c>
      <c r="S5711">
        <v>24</v>
      </c>
      <c r="T5711">
        <v>255</v>
      </c>
      <c r="U5711">
        <v>101</v>
      </c>
      <c r="V5711">
        <v>0</v>
      </c>
      <c r="W5711">
        <v>149</v>
      </c>
      <c r="X5711">
        <v>223</v>
      </c>
      <c r="Y5711">
        <v>0</v>
      </c>
      <c r="Z5711">
        <v>22</v>
      </c>
      <c r="AA5711">
        <v>0</v>
      </c>
      <c r="AB5711">
        <v>1.975956</v>
      </c>
      <c r="AC5711">
        <v>1.6437790000000001E-2</v>
      </c>
      <c r="AD5711">
        <v>1.816845</v>
      </c>
      <c r="AE5711">
        <v>0.30652659999999998</v>
      </c>
      <c r="AF5711">
        <v>158.35059999999999</v>
      </c>
      <c r="AG5711">
        <f>IFERROR(AH5711*0.1, "N/A")</f>
        <v>6.2</v>
      </c>
      <c r="AH5711">
        <v>62</v>
      </c>
      <c r="AI5711">
        <v>96.507249999999999</v>
      </c>
      <c r="AJ5711">
        <v>15.128550000000001</v>
      </c>
      <c r="AK5711">
        <v>75</v>
      </c>
    </row>
    <row r="5712" spans="1:37" x14ac:dyDescent="0.3">
      <c r="A5712">
        <v>5711</v>
      </c>
      <c r="B5712">
        <v>52.6</v>
      </c>
      <c r="C5712">
        <v>-13.590400000000001</v>
      </c>
      <c r="D5712">
        <v>16.13</v>
      </c>
      <c r="E5712">
        <f>-13.5904-16.129999</f>
        <v>-29.720399</v>
      </c>
      <c r="F5712" t="s">
        <v>9148</v>
      </c>
      <c r="G5712" t="s">
        <v>39</v>
      </c>
      <c r="H5712">
        <v>1981</v>
      </c>
      <c r="I5712">
        <v>29.6</v>
      </c>
      <c r="J5712">
        <v>14.5</v>
      </c>
      <c r="K5712">
        <v>56</v>
      </c>
      <c r="L5712">
        <v>30.92</v>
      </c>
      <c r="M5712">
        <v>41.8</v>
      </c>
      <c r="N5712">
        <v>16.100000000000001</v>
      </c>
      <c r="O5712">
        <v>25.7</v>
      </c>
      <c r="P5712">
        <v>30.5</v>
      </c>
      <c r="Q5712">
        <v>26.4</v>
      </c>
      <c r="R5712">
        <v>33.200000000000003</v>
      </c>
      <c r="S5712">
        <v>25.1</v>
      </c>
      <c r="T5712">
        <v>288</v>
      </c>
      <c r="U5712">
        <v>105</v>
      </c>
      <c r="V5712">
        <v>0</v>
      </c>
      <c r="W5712">
        <v>144</v>
      </c>
      <c r="X5712">
        <v>253</v>
      </c>
      <c r="Y5712">
        <v>1</v>
      </c>
      <c r="Z5712">
        <v>90</v>
      </c>
      <c r="AA5712">
        <v>1</v>
      </c>
      <c r="AB5712">
        <v>6.2413629999999998</v>
      </c>
      <c r="AC5712">
        <v>1.16577E-2</v>
      </c>
      <c r="AD5712">
        <v>1.1885209999999999</v>
      </c>
      <c r="AE5712">
        <v>0.30506070000000002</v>
      </c>
      <c r="AF5712">
        <v>14.04485</v>
      </c>
      <c r="AG5712">
        <f>IFERROR(AH5712*0.1, "N/A")</f>
        <v>7.2239199999999997</v>
      </c>
      <c r="AH5712">
        <v>72.239199999999997</v>
      </c>
      <c r="AI5712">
        <v>196.73859999999999</v>
      </c>
      <c r="AJ5712">
        <v>27.77741</v>
      </c>
      <c r="AK5712">
        <v>53.830559999999998</v>
      </c>
    </row>
    <row r="5713" spans="1:37" x14ac:dyDescent="0.3">
      <c r="A5713">
        <v>5712</v>
      </c>
      <c r="B5713">
        <v>72.400000000000006</v>
      </c>
      <c r="C5713">
        <v>-13.58</v>
      </c>
      <c r="D5713">
        <v>16.1403</v>
      </c>
      <c r="E5713">
        <f>-13.58-16.140301</f>
        <v>-29.720300999999999</v>
      </c>
      <c r="F5713" t="s">
        <v>9149</v>
      </c>
      <c r="G5713" t="s">
        <v>39</v>
      </c>
      <c r="H5713">
        <v>1961</v>
      </c>
      <c r="I5713">
        <v>29.6</v>
      </c>
      <c r="J5713">
        <v>14.5</v>
      </c>
      <c r="K5713">
        <v>56</v>
      </c>
      <c r="L5713">
        <v>30.59</v>
      </c>
      <c r="M5713">
        <v>41.8</v>
      </c>
      <c r="N5713">
        <v>16.2</v>
      </c>
      <c r="O5713">
        <v>25.6</v>
      </c>
      <c r="P5713">
        <v>30.5</v>
      </c>
      <c r="Q5713">
        <v>26.5</v>
      </c>
      <c r="R5713">
        <v>33.200000000000003</v>
      </c>
      <c r="S5713">
        <v>25.2</v>
      </c>
      <c r="T5713">
        <v>287</v>
      </c>
      <c r="U5713">
        <v>104</v>
      </c>
      <c r="V5713">
        <v>0</v>
      </c>
      <c r="W5713">
        <v>149</v>
      </c>
      <c r="X5713">
        <v>252</v>
      </c>
      <c r="Y5713">
        <v>1</v>
      </c>
      <c r="Z5713">
        <v>90</v>
      </c>
      <c r="AA5713">
        <v>1</v>
      </c>
      <c r="AB5713">
        <v>2.2976749999999999</v>
      </c>
      <c r="AC5713">
        <v>0.5152485</v>
      </c>
      <c r="AD5713">
        <v>1.304316</v>
      </c>
      <c r="AE5713">
        <v>0.34609909999999999</v>
      </c>
      <c r="AF5713">
        <v>10.593019999999999</v>
      </c>
      <c r="AG5713">
        <f>IFERROR(AH5713*0.1, "N/A")</f>
        <v>6.7</v>
      </c>
      <c r="AH5713">
        <v>67</v>
      </c>
      <c r="AI5713">
        <v>148.98249999999999</v>
      </c>
      <c r="AJ5713">
        <v>19.074750000000002</v>
      </c>
      <c r="AK5713">
        <v>61.448500000000003</v>
      </c>
    </row>
    <row r="5714" spans="1:37" x14ac:dyDescent="0.3">
      <c r="A5714">
        <v>5713</v>
      </c>
      <c r="B5714">
        <v>88.3</v>
      </c>
      <c r="C5714">
        <v>-13.5595</v>
      </c>
      <c r="D5714">
        <v>16.142399999999999</v>
      </c>
      <c r="E5714">
        <f>-13.5595-16.142401</f>
        <v>-29.701900999999999</v>
      </c>
      <c r="F5714" t="s">
        <v>9150</v>
      </c>
      <c r="G5714" t="s">
        <v>39</v>
      </c>
      <c r="H5714">
        <v>1981</v>
      </c>
      <c r="I5714">
        <v>29.606290000000001</v>
      </c>
      <c r="J5714">
        <v>14.40629</v>
      </c>
      <c r="K5714">
        <v>56</v>
      </c>
      <c r="L5714">
        <v>30.717279999999999</v>
      </c>
      <c r="M5714">
        <v>41.8</v>
      </c>
      <c r="N5714">
        <v>16.206289999999999</v>
      </c>
      <c r="O5714">
        <v>25.593710000000002</v>
      </c>
      <c r="P5714">
        <v>30.5</v>
      </c>
      <c r="Q5714">
        <v>28.84272</v>
      </c>
      <c r="R5714">
        <v>33.200000000000003</v>
      </c>
      <c r="S5714">
        <v>25.206289999999999</v>
      </c>
      <c r="T5714">
        <v>288</v>
      </c>
      <c r="U5714">
        <v>104.0629</v>
      </c>
      <c r="V5714">
        <v>0</v>
      </c>
      <c r="W5714">
        <v>143.06290000000001</v>
      </c>
      <c r="X5714">
        <v>252.06290000000001</v>
      </c>
      <c r="Y5714">
        <v>1</v>
      </c>
      <c r="Z5714">
        <v>19</v>
      </c>
      <c r="AA5714">
        <v>1.9370860000000001</v>
      </c>
      <c r="AB5714">
        <v>7.4407290000000001</v>
      </c>
      <c r="AC5714">
        <v>1.0366739999999999E-2</v>
      </c>
      <c r="AD5714">
        <v>1.9351069999999999</v>
      </c>
      <c r="AE5714">
        <v>0.2783234</v>
      </c>
      <c r="AF5714">
        <v>18.241720000000001</v>
      </c>
      <c r="AG5714">
        <f>IFERROR(AH5714*0.1, "N/A")</f>
        <v>6.3998340000000002</v>
      </c>
      <c r="AH5714">
        <v>63.998339999999999</v>
      </c>
      <c r="AI5714">
        <v>194.9443</v>
      </c>
      <c r="AJ5714">
        <v>21.15232</v>
      </c>
      <c r="AK5714">
        <v>65.019869999999997</v>
      </c>
    </row>
    <row r="5715" spans="1:37" x14ac:dyDescent="0.3">
      <c r="A5715">
        <v>5714</v>
      </c>
      <c r="B5715">
        <v>80</v>
      </c>
      <c r="C5715">
        <v>-13.573700000000001</v>
      </c>
      <c r="D5715">
        <v>16.1435</v>
      </c>
      <c r="E5715">
        <f>-13.5737-16.143499</f>
        <v>-29.717199000000001</v>
      </c>
      <c r="F5715" t="s">
        <v>9151</v>
      </c>
      <c r="G5715" t="s">
        <v>39</v>
      </c>
      <c r="H5715">
        <v>1981</v>
      </c>
      <c r="I5715">
        <v>29.6</v>
      </c>
      <c r="J5715">
        <v>14.5</v>
      </c>
      <c r="K5715">
        <v>56</v>
      </c>
      <c r="L5715">
        <v>30.67</v>
      </c>
      <c r="M5715">
        <v>41.8</v>
      </c>
      <c r="N5715">
        <v>16.2</v>
      </c>
      <c r="O5715">
        <v>25.6</v>
      </c>
      <c r="P5715">
        <v>30.5</v>
      </c>
      <c r="Q5715">
        <v>29</v>
      </c>
      <c r="R5715">
        <v>33.200000000000003</v>
      </c>
      <c r="S5715">
        <v>25.2</v>
      </c>
      <c r="T5715">
        <v>288</v>
      </c>
      <c r="U5715">
        <v>104</v>
      </c>
      <c r="V5715">
        <v>0</v>
      </c>
      <c r="W5715">
        <v>143</v>
      </c>
      <c r="X5715">
        <v>252</v>
      </c>
      <c r="Y5715">
        <v>1</v>
      </c>
      <c r="Z5715">
        <v>19</v>
      </c>
      <c r="AA5715">
        <v>2</v>
      </c>
      <c r="AB5715">
        <v>7.8862360000000002</v>
      </c>
      <c r="AC5715">
        <v>9.1301779999999992E-3</v>
      </c>
      <c r="AD5715">
        <v>1.8836660000000001</v>
      </c>
      <c r="AE5715">
        <v>0.29946820000000002</v>
      </c>
      <c r="AF5715">
        <v>19.336649999999999</v>
      </c>
      <c r="AG5715">
        <f>IFERROR(AH5715*0.1, "N/A")</f>
        <v>6.6004980000000009</v>
      </c>
      <c r="AH5715">
        <v>66.004980000000003</v>
      </c>
      <c r="AI5715">
        <v>177.56700000000001</v>
      </c>
      <c r="AJ5715">
        <v>20.00995</v>
      </c>
      <c r="AK5715">
        <v>68.985069999999993</v>
      </c>
    </row>
    <row r="5716" spans="1:37" x14ac:dyDescent="0.3">
      <c r="A5716">
        <v>5715</v>
      </c>
      <c r="B5716">
        <v>86.6</v>
      </c>
      <c r="C5716">
        <v>-13.5047</v>
      </c>
      <c r="D5716">
        <v>16.1465</v>
      </c>
      <c r="E5716">
        <f>-13.5047-16.1465</f>
        <v>-29.651199999999999</v>
      </c>
      <c r="F5716" t="s">
        <v>9152</v>
      </c>
      <c r="G5716" t="s">
        <v>39</v>
      </c>
      <c r="H5716">
        <v>1981</v>
      </c>
      <c r="I5716">
        <v>29.6</v>
      </c>
      <c r="J5716">
        <v>14.4</v>
      </c>
      <c r="K5716">
        <v>56</v>
      </c>
      <c r="L5716">
        <v>30.74</v>
      </c>
      <c r="M5716">
        <v>41.8</v>
      </c>
      <c r="N5716">
        <v>16.3</v>
      </c>
      <c r="O5716">
        <v>25.5</v>
      </c>
      <c r="P5716">
        <v>30.4</v>
      </c>
      <c r="Q5716">
        <v>31.4</v>
      </c>
      <c r="R5716">
        <v>33.299999999999997</v>
      </c>
      <c r="S5716">
        <v>25.2</v>
      </c>
      <c r="T5716">
        <v>295</v>
      </c>
      <c r="U5716">
        <v>106</v>
      </c>
      <c r="V5716">
        <v>0</v>
      </c>
      <c r="W5716">
        <v>146</v>
      </c>
      <c r="X5716">
        <v>257</v>
      </c>
      <c r="Y5716">
        <v>1</v>
      </c>
      <c r="Z5716">
        <v>19</v>
      </c>
      <c r="AA5716">
        <v>3</v>
      </c>
      <c r="AB5716">
        <v>12.344760000000001</v>
      </c>
      <c r="AC5716">
        <v>8.9143490000000002E-3</v>
      </c>
      <c r="AD5716">
        <v>3.4046880000000002</v>
      </c>
      <c r="AE5716">
        <v>0.53562909999999997</v>
      </c>
      <c r="AF5716">
        <v>26.084859999999999</v>
      </c>
      <c r="AG5716">
        <f>IFERROR(AH5716*0.1, "N/A")</f>
        <v>6.7667220000000006</v>
      </c>
      <c r="AH5716">
        <v>67.66722</v>
      </c>
      <c r="AI5716">
        <v>199.83430000000001</v>
      </c>
      <c r="AJ5716">
        <v>25.178039999999999</v>
      </c>
      <c r="AK5716">
        <v>60.47587</v>
      </c>
    </row>
    <row r="5717" spans="1:37" x14ac:dyDescent="0.3">
      <c r="A5717">
        <v>5716</v>
      </c>
      <c r="B5717">
        <v>0</v>
      </c>
      <c r="C5717">
        <v>-13.7028</v>
      </c>
      <c r="D5717">
        <v>16.161100000000001</v>
      </c>
      <c r="E5717">
        <f>-13.7028-16.1611</f>
        <v>-29.863900000000001</v>
      </c>
      <c r="F5717" t="s">
        <v>9153</v>
      </c>
      <c r="G5717" t="s">
        <v>39</v>
      </c>
      <c r="H5717">
        <v>1983</v>
      </c>
      <c r="I5717">
        <v>29.5</v>
      </c>
      <c r="J5717">
        <v>14.7</v>
      </c>
      <c r="K5717">
        <v>56</v>
      </c>
      <c r="L5717">
        <v>30.74</v>
      </c>
      <c r="M5717">
        <v>41.7</v>
      </c>
      <c r="N5717">
        <v>15.9</v>
      </c>
      <c r="O5717">
        <v>25.8</v>
      </c>
      <c r="P5717">
        <v>30.6</v>
      </c>
      <c r="Q5717">
        <v>26.3</v>
      </c>
      <c r="R5717">
        <v>33.1</v>
      </c>
      <c r="S5717">
        <v>25</v>
      </c>
      <c r="T5717">
        <v>263</v>
      </c>
      <c r="U5717">
        <v>96</v>
      </c>
      <c r="V5717">
        <v>0</v>
      </c>
      <c r="W5717">
        <v>152</v>
      </c>
      <c r="X5717">
        <v>234</v>
      </c>
      <c r="Y5717">
        <v>0</v>
      </c>
      <c r="Z5717">
        <v>82</v>
      </c>
      <c r="AA5717">
        <v>0</v>
      </c>
      <c r="AB5717">
        <v>5.6291880000000001</v>
      </c>
      <c r="AC5717">
        <v>1.0955299999999999E-2</v>
      </c>
      <c r="AD5717">
        <v>2.3099560000000001</v>
      </c>
      <c r="AE5717">
        <v>0.1864412</v>
      </c>
      <c r="AF5717">
        <v>13.53731</v>
      </c>
      <c r="AG5717">
        <f>IFERROR(AH5717*0.1, "N/A")</f>
        <v>6.6396350000000002</v>
      </c>
      <c r="AH5717">
        <v>66.396349999999998</v>
      </c>
      <c r="AI5717">
        <v>216.88919999999999</v>
      </c>
      <c r="AJ5717">
        <v>31.837479999999999</v>
      </c>
      <c r="AK5717">
        <v>50.709780000000002</v>
      </c>
    </row>
    <row r="5718" spans="1:37" x14ac:dyDescent="0.3">
      <c r="A5718">
        <v>5717</v>
      </c>
      <c r="B5718">
        <v>0</v>
      </c>
      <c r="C5718">
        <v>-13.7028</v>
      </c>
      <c r="D5718">
        <v>16.161100000000001</v>
      </c>
      <c r="E5718">
        <f>-13.7028-16.1611</f>
        <v>-29.863900000000001</v>
      </c>
      <c r="F5718" t="s">
        <v>9154</v>
      </c>
      <c r="G5718" t="s">
        <v>37</v>
      </c>
      <c r="H5718">
        <v>1983</v>
      </c>
      <c r="I5718">
        <v>29.5</v>
      </c>
      <c r="J5718">
        <v>14.7</v>
      </c>
      <c r="K5718">
        <v>56</v>
      </c>
      <c r="L5718">
        <v>30.74</v>
      </c>
      <c r="M5718">
        <v>41.7</v>
      </c>
      <c r="N5718">
        <v>15.9</v>
      </c>
      <c r="O5718">
        <v>25.8</v>
      </c>
      <c r="P5718">
        <v>30.6</v>
      </c>
      <c r="Q5718">
        <v>26.3</v>
      </c>
      <c r="R5718">
        <v>33.1</v>
      </c>
      <c r="S5718">
        <v>25</v>
      </c>
      <c r="T5718">
        <v>263</v>
      </c>
      <c r="U5718">
        <v>96</v>
      </c>
      <c r="V5718">
        <v>0</v>
      </c>
      <c r="W5718">
        <v>152</v>
      </c>
      <c r="X5718">
        <v>234</v>
      </c>
      <c r="Y5718">
        <v>0</v>
      </c>
      <c r="Z5718">
        <v>82</v>
      </c>
      <c r="AA5718">
        <v>0</v>
      </c>
      <c r="AB5718">
        <v>5.6291880000000001</v>
      </c>
      <c r="AC5718">
        <v>1.0955299999999999E-2</v>
      </c>
      <c r="AD5718">
        <v>2.3099560000000001</v>
      </c>
      <c r="AE5718">
        <v>0.1864412</v>
      </c>
      <c r="AF5718">
        <v>13.53731</v>
      </c>
      <c r="AG5718">
        <f>IFERROR(AH5718*0.1, "N/A")</f>
        <v>6.6396350000000002</v>
      </c>
      <c r="AH5718">
        <v>66.396349999999998</v>
      </c>
      <c r="AI5718">
        <v>216.88919999999999</v>
      </c>
      <c r="AJ5718">
        <v>31.837479999999999</v>
      </c>
      <c r="AK5718">
        <v>50.709780000000002</v>
      </c>
    </row>
    <row r="5719" spans="1:37" x14ac:dyDescent="0.3">
      <c r="A5719">
        <v>5718</v>
      </c>
      <c r="B5719">
        <v>3.8</v>
      </c>
      <c r="C5719">
        <v>-13.3581</v>
      </c>
      <c r="D5719">
        <v>16.1692</v>
      </c>
      <c r="E5719">
        <f>-13.3581-16.169201</f>
        <v>-29.527301000000001</v>
      </c>
      <c r="F5719" t="s">
        <v>9155</v>
      </c>
      <c r="G5719" t="s">
        <v>39</v>
      </c>
      <c r="H5719">
        <v>1983</v>
      </c>
      <c r="I5719">
        <v>29.8</v>
      </c>
      <c r="J5719">
        <v>14.6</v>
      </c>
      <c r="K5719">
        <v>56</v>
      </c>
      <c r="L5719">
        <v>31.177859999999999</v>
      </c>
      <c r="M5719">
        <v>42.1</v>
      </c>
      <c r="N5719">
        <v>16.2</v>
      </c>
      <c r="O5719">
        <v>25.9</v>
      </c>
      <c r="P5719">
        <v>30.7</v>
      </c>
      <c r="Q5719">
        <v>26.538309999999999</v>
      </c>
      <c r="R5719">
        <v>33.5</v>
      </c>
      <c r="S5719">
        <v>25.3</v>
      </c>
      <c r="T5719">
        <v>284</v>
      </c>
      <c r="U5719">
        <v>105</v>
      </c>
      <c r="V5719">
        <v>0</v>
      </c>
      <c r="W5719">
        <v>149</v>
      </c>
      <c r="X5719">
        <v>250</v>
      </c>
      <c r="Y5719">
        <v>1</v>
      </c>
      <c r="Z5719">
        <v>18</v>
      </c>
      <c r="AA5719">
        <v>1</v>
      </c>
      <c r="AB5719">
        <v>6.0258700000000003</v>
      </c>
      <c r="AC5719">
        <v>1.3979709999999999E-2</v>
      </c>
      <c r="AD5719">
        <v>2.7001439999999999</v>
      </c>
      <c r="AE5719">
        <v>0.2411537</v>
      </c>
      <c r="AF5719">
        <v>15.43947</v>
      </c>
      <c r="AG5719">
        <f>IFERROR(AH5719*0.1, "N/A")</f>
        <v>6.7781090000000006</v>
      </c>
      <c r="AH5719">
        <v>67.781090000000006</v>
      </c>
      <c r="AI5719">
        <v>50.477930000000001</v>
      </c>
      <c r="AJ5719">
        <v>16.452739999999999</v>
      </c>
      <c r="AK5719">
        <v>63.631839999999997</v>
      </c>
    </row>
    <row r="5720" spans="1:37" x14ac:dyDescent="0.3">
      <c r="A5720">
        <v>5719</v>
      </c>
      <c r="B5720">
        <v>0</v>
      </c>
      <c r="C5720">
        <v>-13.3581</v>
      </c>
      <c r="D5720">
        <v>16.1692</v>
      </c>
      <c r="E5720">
        <f>-13.3581-16.169201</f>
        <v>-29.527301000000001</v>
      </c>
      <c r="F5720" t="s">
        <v>9156</v>
      </c>
      <c r="G5720" t="s">
        <v>37</v>
      </c>
      <c r="H5720">
        <v>1983</v>
      </c>
      <c r="I5720">
        <v>29.8</v>
      </c>
      <c r="J5720">
        <v>14.6</v>
      </c>
      <c r="K5720">
        <v>56</v>
      </c>
      <c r="L5720">
        <v>31.177859999999999</v>
      </c>
      <c r="M5720">
        <v>42.1</v>
      </c>
      <c r="N5720">
        <v>16.2</v>
      </c>
      <c r="O5720">
        <v>25.9</v>
      </c>
      <c r="P5720">
        <v>30.7</v>
      </c>
      <c r="Q5720">
        <v>26.538309999999999</v>
      </c>
      <c r="R5720">
        <v>33.5</v>
      </c>
      <c r="S5720">
        <v>25.3</v>
      </c>
      <c r="T5720">
        <v>284</v>
      </c>
      <c r="U5720">
        <v>105</v>
      </c>
      <c r="V5720">
        <v>0</v>
      </c>
      <c r="W5720">
        <v>149</v>
      </c>
      <c r="X5720">
        <v>250</v>
      </c>
      <c r="Y5720">
        <v>1</v>
      </c>
      <c r="Z5720">
        <v>18</v>
      </c>
      <c r="AA5720">
        <v>1</v>
      </c>
      <c r="AB5720">
        <v>6.0258700000000003</v>
      </c>
      <c r="AC5720">
        <v>1.3979709999999999E-2</v>
      </c>
      <c r="AD5720">
        <v>2.7001439999999999</v>
      </c>
      <c r="AE5720">
        <v>0.2411537</v>
      </c>
      <c r="AF5720">
        <v>15.43947</v>
      </c>
      <c r="AG5720">
        <f>IFERROR(AH5720*0.1, "N/A")</f>
        <v>6.7781090000000006</v>
      </c>
      <c r="AH5720">
        <v>67.781090000000006</v>
      </c>
      <c r="AI5720">
        <v>50.477930000000001</v>
      </c>
      <c r="AJ5720">
        <v>16.452739999999999</v>
      </c>
      <c r="AK5720">
        <v>63.631839999999997</v>
      </c>
    </row>
    <row r="5721" spans="1:37" x14ac:dyDescent="0.3">
      <c r="A5721">
        <v>5720</v>
      </c>
      <c r="B5721">
        <v>0</v>
      </c>
      <c r="C5721">
        <v>-13.900600000000001</v>
      </c>
      <c r="D5721">
        <v>16.190799999999999</v>
      </c>
      <c r="E5721">
        <f>-13.9006-16.1908</f>
        <v>-30.0914</v>
      </c>
      <c r="F5721" t="s">
        <v>9157</v>
      </c>
      <c r="G5721" t="s">
        <v>39</v>
      </c>
      <c r="H5721">
        <v>1983</v>
      </c>
      <c r="I5721">
        <v>29.3</v>
      </c>
      <c r="J5721">
        <v>14.818379999999999</v>
      </c>
      <c r="K5721">
        <v>56.183770000000003</v>
      </c>
      <c r="L5721">
        <v>30.97325</v>
      </c>
      <c r="M5721">
        <v>41.4</v>
      </c>
      <c r="N5721">
        <v>15.418380000000001</v>
      </c>
      <c r="O5721">
        <v>25.981619999999999</v>
      </c>
      <c r="P5721">
        <v>30.7</v>
      </c>
      <c r="Q5721">
        <v>25.918379999999999</v>
      </c>
      <c r="R5721">
        <v>32.799999999999997</v>
      </c>
      <c r="S5721">
        <v>24.7</v>
      </c>
      <c r="T5721">
        <v>268.63249999999999</v>
      </c>
      <c r="U5721">
        <v>93.816230000000004</v>
      </c>
      <c r="V5721">
        <v>0</v>
      </c>
      <c r="W5721">
        <v>145.63249999999999</v>
      </c>
      <c r="X5721">
        <v>235.63249999999999</v>
      </c>
      <c r="Y5721">
        <v>0</v>
      </c>
      <c r="Z5721">
        <v>81.816230000000004</v>
      </c>
      <c r="AA5721">
        <v>0</v>
      </c>
      <c r="AB5721">
        <v>1.0142389999999999</v>
      </c>
      <c r="AC5721">
        <v>21.026309999999999</v>
      </c>
      <c r="AD5721">
        <v>2.607758</v>
      </c>
      <c r="AE5721">
        <v>0.22557679999999999</v>
      </c>
      <c r="AF5721">
        <v>2.3543050000000001</v>
      </c>
      <c r="AG5721">
        <f>IFERROR(AH5721*0.1, "N/A")</f>
        <v>6</v>
      </c>
      <c r="AH5721">
        <v>60</v>
      </c>
      <c r="AI5721">
        <v>199.87299999999999</v>
      </c>
      <c r="AJ5721">
        <v>22.367550000000001</v>
      </c>
      <c r="AK5721">
        <v>59.448680000000003</v>
      </c>
    </row>
    <row r="5722" spans="1:37" x14ac:dyDescent="0.3">
      <c r="A5722">
        <v>5721</v>
      </c>
      <c r="B5722">
        <v>0</v>
      </c>
      <c r="C5722">
        <v>-13.900600000000001</v>
      </c>
      <c r="D5722">
        <v>16.190799999999999</v>
      </c>
      <c r="E5722">
        <f>-13.9006-16.1908</f>
        <v>-30.0914</v>
      </c>
      <c r="F5722" t="s">
        <v>9158</v>
      </c>
      <c r="G5722" t="s">
        <v>37</v>
      </c>
      <c r="H5722">
        <v>1983</v>
      </c>
      <c r="I5722">
        <v>29.3</v>
      </c>
      <c r="J5722">
        <v>14.818379999999999</v>
      </c>
      <c r="K5722">
        <v>56.183770000000003</v>
      </c>
      <c r="L5722">
        <v>30.97325</v>
      </c>
      <c r="M5722">
        <v>41.4</v>
      </c>
      <c r="N5722">
        <v>15.418380000000001</v>
      </c>
      <c r="O5722">
        <v>25.981619999999999</v>
      </c>
      <c r="P5722">
        <v>30.7</v>
      </c>
      <c r="Q5722">
        <v>25.918379999999999</v>
      </c>
      <c r="R5722">
        <v>32.799999999999997</v>
      </c>
      <c r="S5722">
        <v>24.7</v>
      </c>
      <c r="T5722">
        <v>268.63249999999999</v>
      </c>
      <c r="U5722">
        <v>93.816230000000004</v>
      </c>
      <c r="V5722">
        <v>0</v>
      </c>
      <c r="W5722">
        <v>145.63249999999999</v>
      </c>
      <c r="X5722">
        <v>235.63249999999999</v>
      </c>
      <c r="Y5722">
        <v>0</v>
      </c>
      <c r="Z5722">
        <v>81.816230000000004</v>
      </c>
      <c r="AA5722">
        <v>0</v>
      </c>
      <c r="AB5722">
        <v>1.0142389999999999</v>
      </c>
      <c r="AC5722">
        <v>21.026309999999999</v>
      </c>
      <c r="AD5722">
        <v>2.607758</v>
      </c>
      <c r="AE5722">
        <v>0.22557679999999999</v>
      </c>
      <c r="AF5722">
        <v>2.3543050000000001</v>
      </c>
      <c r="AG5722">
        <f>IFERROR(AH5722*0.1, "N/A")</f>
        <v>6</v>
      </c>
      <c r="AH5722">
        <v>60</v>
      </c>
      <c r="AI5722">
        <v>199.87299999999999</v>
      </c>
      <c r="AJ5722">
        <v>22.367550000000001</v>
      </c>
      <c r="AK5722">
        <v>59.448680000000003</v>
      </c>
    </row>
    <row r="5723" spans="1:37" x14ac:dyDescent="0.3">
      <c r="A5723">
        <v>5722</v>
      </c>
      <c r="B5723">
        <v>64.599999999999994</v>
      </c>
      <c r="C5723">
        <v>-9.9932300000000005</v>
      </c>
      <c r="D5723">
        <v>16.1965</v>
      </c>
      <c r="E5723">
        <f>-9.99323-16.196501</f>
        <v>-26.189731000000002</v>
      </c>
      <c r="F5723" t="s">
        <v>9159</v>
      </c>
      <c r="G5723" t="s">
        <v>39</v>
      </c>
      <c r="H5723">
        <v>1987</v>
      </c>
      <c r="I5723">
        <v>29.2</v>
      </c>
      <c r="J5723">
        <v>14</v>
      </c>
      <c r="K5723">
        <v>53</v>
      </c>
      <c r="L5723">
        <v>35.92</v>
      </c>
      <c r="M5723">
        <v>41.2</v>
      </c>
      <c r="N5723">
        <v>14.8</v>
      </c>
      <c r="O5723">
        <v>26.4</v>
      </c>
      <c r="P5723">
        <v>30.5</v>
      </c>
      <c r="Q5723">
        <v>25.7</v>
      </c>
      <c r="R5723">
        <v>33.299999999999997</v>
      </c>
      <c r="S5723">
        <v>24</v>
      </c>
      <c r="T5723">
        <v>248</v>
      </c>
      <c r="U5723">
        <v>98</v>
      </c>
      <c r="V5723">
        <v>0</v>
      </c>
      <c r="W5723">
        <v>150</v>
      </c>
      <c r="X5723">
        <v>215</v>
      </c>
      <c r="Y5723">
        <v>1</v>
      </c>
      <c r="Z5723">
        <v>23</v>
      </c>
      <c r="AA5723">
        <v>1</v>
      </c>
      <c r="AB5723">
        <v>3.6495129999999998</v>
      </c>
      <c r="AC5723">
        <v>3.2928300000000001E-2</v>
      </c>
      <c r="AD5723">
        <v>1.4757830000000001</v>
      </c>
      <c r="AE5723">
        <v>0.1830223</v>
      </c>
      <c r="AF5723">
        <v>156.83439999999999</v>
      </c>
      <c r="AG5723">
        <f>IFERROR(AH5723*0.1, "N/A")</f>
        <v>7.4195359999999999</v>
      </c>
      <c r="AH5723">
        <v>74.195359999999994</v>
      </c>
      <c r="AI5723">
        <v>67.594800000000006</v>
      </c>
      <c r="AJ5723">
        <v>11.90232</v>
      </c>
      <c r="AK5723">
        <v>80.195359999999994</v>
      </c>
    </row>
    <row r="5724" spans="1:37" x14ac:dyDescent="0.3">
      <c r="A5724">
        <v>5723</v>
      </c>
      <c r="B5724">
        <v>94.5</v>
      </c>
      <c r="C5724">
        <v>-13.1449</v>
      </c>
      <c r="D5724">
        <v>16.215800000000002</v>
      </c>
      <c r="E5724">
        <f>-13.1449-16.215799</f>
        <v>-29.360699</v>
      </c>
      <c r="F5724" t="s">
        <v>9160</v>
      </c>
      <c r="G5724" t="s">
        <v>39</v>
      </c>
      <c r="H5724">
        <v>1981</v>
      </c>
      <c r="I5724">
        <v>29.8</v>
      </c>
      <c r="J5724">
        <v>14.7</v>
      </c>
      <c r="K5724">
        <v>55</v>
      </c>
      <c r="L5724">
        <v>32.06474</v>
      </c>
      <c r="M5724">
        <v>42.2</v>
      </c>
      <c r="N5724">
        <v>15.8</v>
      </c>
      <c r="O5724">
        <v>26.4</v>
      </c>
      <c r="P5724">
        <v>30.8</v>
      </c>
      <c r="Q5724">
        <v>26.49053</v>
      </c>
      <c r="R5724">
        <v>33.5</v>
      </c>
      <c r="S5724">
        <v>25.1</v>
      </c>
      <c r="T5724">
        <v>266.90530000000001</v>
      </c>
      <c r="U5724">
        <v>101</v>
      </c>
      <c r="V5724">
        <v>0</v>
      </c>
      <c r="W5724">
        <v>148.09469999999999</v>
      </c>
      <c r="X5724">
        <v>237</v>
      </c>
      <c r="Y5724">
        <v>0.9053156</v>
      </c>
      <c r="Z5724">
        <v>21.775749999999999</v>
      </c>
      <c r="AA5724">
        <v>0.9053156</v>
      </c>
      <c r="AB5724">
        <v>7.7461799999999998</v>
      </c>
      <c r="AC5724">
        <v>1.9525770000000001E-2</v>
      </c>
      <c r="AD5724">
        <v>1.1551579999999999</v>
      </c>
      <c r="AE5724">
        <v>0.2218571</v>
      </c>
      <c r="AF5724">
        <v>16.77243</v>
      </c>
      <c r="AG5724">
        <f>IFERROR(AH5724*0.1, "N/A")</f>
        <v>6.3521590000000003</v>
      </c>
      <c r="AH5724">
        <v>63.521590000000003</v>
      </c>
      <c r="AI5724">
        <v>163.1157</v>
      </c>
      <c r="AJ5724">
        <v>19.475079999999998</v>
      </c>
      <c r="AK5724">
        <v>61.538209999999999</v>
      </c>
    </row>
    <row r="5725" spans="1:37" x14ac:dyDescent="0.3">
      <c r="A5725">
        <v>5724</v>
      </c>
      <c r="B5725">
        <v>44.9</v>
      </c>
      <c r="C5725">
        <v>-13.144399999999999</v>
      </c>
      <c r="D5725">
        <v>16.217700000000001</v>
      </c>
      <c r="E5725">
        <f>-13.1444-16.217699</f>
        <v>-29.362099000000001</v>
      </c>
      <c r="F5725" t="s">
        <v>9161</v>
      </c>
      <c r="G5725" t="s">
        <v>39</v>
      </c>
      <c r="H5725">
        <v>1961</v>
      </c>
      <c r="I5725">
        <v>29.8</v>
      </c>
      <c r="J5725">
        <v>14.7</v>
      </c>
      <c r="K5725">
        <v>55</v>
      </c>
      <c r="L5725">
        <v>32.11</v>
      </c>
      <c r="M5725">
        <v>42.2</v>
      </c>
      <c r="N5725">
        <v>15.8</v>
      </c>
      <c r="O5725">
        <v>26.4</v>
      </c>
      <c r="P5725">
        <v>30.8</v>
      </c>
      <c r="Q5725">
        <v>26.4</v>
      </c>
      <c r="R5725">
        <v>33.5</v>
      </c>
      <c r="S5725">
        <v>25.1</v>
      </c>
      <c r="T5725">
        <v>266</v>
      </c>
      <c r="U5725">
        <v>101</v>
      </c>
      <c r="V5725">
        <v>0</v>
      </c>
      <c r="W5725">
        <v>149</v>
      </c>
      <c r="X5725">
        <v>237</v>
      </c>
      <c r="Y5725">
        <v>0</v>
      </c>
      <c r="Z5725">
        <v>77</v>
      </c>
      <c r="AA5725">
        <v>0</v>
      </c>
      <c r="AB5725">
        <v>9.6515760000000004</v>
      </c>
      <c r="AC5725">
        <v>1.2682199999999999E-2</v>
      </c>
      <c r="AD5725">
        <v>1.209025</v>
      </c>
      <c r="AE5725">
        <v>0.2252757</v>
      </c>
      <c r="AF5725">
        <v>18.475950000000001</v>
      </c>
      <c r="AG5725">
        <f>IFERROR(AH5725*0.1, "N/A")</f>
        <v>6.4401330000000003</v>
      </c>
      <c r="AH5725">
        <v>64.401330000000002</v>
      </c>
      <c r="AI5725">
        <v>205.6277</v>
      </c>
      <c r="AJ5725">
        <v>18.243780000000001</v>
      </c>
      <c r="AK5725">
        <v>63.666670000000003</v>
      </c>
    </row>
    <row r="5726" spans="1:37" x14ac:dyDescent="0.3">
      <c r="A5726">
        <v>5725</v>
      </c>
      <c r="B5726">
        <v>42.9</v>
      </c>
      <c r="C5726">
        <v>-13.409000000000001</v>
      </c>
      <c r="D5726">
        <v>16.237100000000002</v>
      </c>
      <c r="E5726">
        <f>-13.409-16.237101</f>
        <v>-29.646101000000002</v>
      </c>
      <c r="F5726" t="s">
        <v>9162</v>
      </c>
      <c r="G5726" t="s">
        <v>39</v>
      </c>
      <c r="H5726">
        <v>1961</v>
      </c>
      <c r="I5726">
        <v>29.7</v>
      </c>
      <c r="J5726">
        <v>14.5</v>
      </c>
      <c r="K5726">
        <v>56</v>
      </c>
      <c r="L5726">
        <v>31.24108</v>
      </c>
      <c r="M5726">
        <v>41.9</v>
      </c>
      <c r="N5726">
        <v>16.2</v>
      </c>
      <c r="O5726">
        <v>25.7</v>
      </c>
      <c r="P5726">
        <v>30.6</v>
      </c>
      <c r="Q5726">
        <v>26.4</v>
      </c>
      <c r="R5726">
        <v>33.4</v>
      </c>
      <c r="S5726">
        <v>25.2</v>
      </c>
      <c r="T5726">
        <v>273.99169999999998</v>
      </c>
      <c r="U5726">
        <v>101</v>
      </c>
      <c r="V5726">
        <v>0</v>
      </c>
      <c r="W5726">
        <v>150</v>
      </c>
      <c r="X5726">
        <v>241.99170000000001</v>
      </c>
      <c r="Y5726">
        <v>1</v>
      </c>
      <c r="Z5726">
        <v>17</v>
      </c>
      <c r="AA5726">
        <v>1</v>
      </c>
      <c r="AB5726">
        <v>3.2026539999999999</v>
      </c>
      <c r="AC5726">
        <v>1.5514089999999999E-2</v>
      </c>
      <c r="AD5726">
        <v>2.8563960000000002</v>
      </c>
      <c r="AE5726">
        <v>0.22723370000000001</v>
      </c>
      <c r="AF5726">
        <v>18.406300000000002</v>
      </c>
      <c r="AG5726">
        <f>IFERROR(AH5726*0.1, "N/A")</f>
        <v>7</v>
      </c>
      <c r="AH5726">
        <v>70</v>
      </c>
      <c r="AI5726">
        <v>238.37180000000001</v>
      </c>
      <c r="AJ5726">
        <v>13.56053</v>
      </c>
      <c r="AK5726">
        <v>76</v>
      </c>
    </row>
    <row r="5727" spans="1:37" x14ac:dyDescent="0.3">
      <c r="A5727">
        <v>5726</v>
      </c>
      <c r="B5727">
        <v>42.5</v>
      </c>
      <c r="C5727">
        <v>-13.9529</v>
      </c>
      <c r="D5727">
        <v>16.3371</v>
      </c>
      <c r="E5727">
        <f>-13.9529-16.337099</f>
        <v>-30.289998999999998</v>
      </c>
      <c r="F5727" t="s">
        <v>9163</v>
      </c>
      <c r="G5727" t="s">
        <v>39</v>
      </c>
      <c r="H5727">
        <v>1981</v>
      </c>
      <c r="I5727">
        <v>29.3</v>
      </c>
      <c r="J5727">
        <v>14.9</v>
      </c>
      <c r="K5727">
        <v>57</v>
      </c>
      <c r="L5727">
        <v>31.76</v>
      </c>
      <c r="M5727">
        <v>41.4</v>
      </c>
      <c r="N5727">
        <v>15.3</v>
      </c>
      <c r="O5727">
        <v>26.1</v>
      </c>
      <c r="P5727">
        <v>31</v>
      </c>
      <c r="Q5727">
        <v>25.3</v>
      </c>
      <c r="R5727">
        <v>32.799999999999997</v>
      </c>
      <c r="S5727">
        <v>24.5</v>
      </c>
      <c r="T5727">
        <v>237</v>
      </c>
      <c r="U5727">
        <v>86</v>
      </c>
      <c r="V5727">
        <v>0</v>
      </c>
      <c r="W5727">
        <v>150</v>
      </c>
      <c r="X5727">
        <v>210</v>
      </c>
      <c r="Y5727">
        <v>0</v>
      </c>
      <c r="Z5727">
        <v>70</v>
      </c>
      <c r="AA5727">
        <v>1</v>
      </c>
      <c r="AB5727">
        <v>1.587129</v>
      </c>
      <c r="AC5727">
        <v>4.7995339999999997E-2</v>
      </c>
      <c r="AD5727">
        <v>0.88789629999999997</v>
      </c>
      <c r="AE5727">
        <v>0.24733849999999999</v>
      </c>
      <c r="AF5727">
        <v>9.5594059999999992</v>
      </c>
      <c r="AG5727">
        <f>IFERROR(AH5727*0.1, "N/A")</f>
        <v>6.6346530000000001</v>
      </c>
      <c r="AH5727">
        <v>66.346530000000001</v>
      </c>
      <c r="AI5727">
        <v>144.3218</v>
      </c>
      <c r="AJ5727">
        <v>25.564360000000001</v>
      </c>
      <c r="AK5727">
        <v>62</v>
      </c>
    </row>
    <row r="5728" spans="1:37" x14ac:dyDescent="0.3">
      <c r="A5728">
        <v>5727</v>
      </c>
      <c r="B5728">
        <v>92.9</v>
      </c>
      <c r="C5728">
        <v>-13.136200000000001</v>
      </c>
      <c r="D5728">
        <v>16.4114</v>
      </c>
      <c r="E5728">
        <f>-13.1362-16.4114</f>
        <v>-29.547600000000003</v>
      </c>
      <c r="F5728" t="s">
        <v>9164</v>
      </c>
      <c r="G5728" t="s">
        <v>39</v>
      </c>
      <c r="H5728">
        <v>1961</v>
      </c>
      <c r="I5728">
        <v>29.6</v>
      </c>
      <c r="J5728">
        <v>14.6</v>
      </c>
      <c r="K5728">
        <v>55</v>
      </c>
      <c r="L5728">
        <v>33.17</v>
      </c>
      <c r="M5728">
        <v>41.9</v>
      </c>
      <c r="N5728">
        <v>15.7</v>
      </c>
      <c r="O5728">
        <v>26.2</v>
      </c>
      <c r="P5728">
        <v>30.9</v>
      </c>
      <c r="Q5728">
        <v>26.1</v>
      </c>
      <c r="R5728">
        <v>33.5</v>
      </c>
      <c r="S5728">
        <v>24.8</v>
      </c>
      <c r="T5728">
        <v>234</v>
      </c>
      <c r="U5728">
        <v>91</v>
      </c>
      <c r="V5728">
        <v>0</v>
      </c>
      <c r="W5728">
        <v>154</v>
      </c>
      <c r="X5728">
        <v>212</v>
      </c>
      <c r="Y5728">
        <v>0</v>
      </c>
      <c r="Z5728">
        <v>63</v>
      </c>
      <c r="AA5728">
        <v>0</v>
      </c>
      <c r="AB5728">
        <v>2.2235870000000002</v>
      </c>
      <c r="AC5728">
        <v>7.2779170000000004E-2</v>
      </c>
      <c r="AD5728">
        <v>1.016662</v>
      </c>
      <c r="AE5728">
        <v>0.2587468</v>
      </c>
      <c r="AF5728">
        <v>42.199339999999999</v>
      </c>
      <c r="AG5728">
        <f>IFERROR(AH5728*0.1, "N/A")</f>
        <v>6.5</v>
      </c>
      <c r="AH5728">
        <v>65</v>
      </c>
      <c r="AI5728">
        <v>200.6413</v>
      </c>
      <c r="AJ5728">
        <v>9.681063</v>
      </c>
      <c r="AK5728">
        <v>77.637870000000007</v>
      </c>
    </row>
    <row r="5729" spans="1:37" x14ac:dyDescent="0.3">
      <c r="A5729">
        <v>5728</v>
      </c>
      <c r="B5729">
        <v>92.5</v>
      </c>
      <c r="C5729">
        <v>-13.1409</v>
      </c>
      <c r="D5729">
        <v>16.4236</v>
      </c>
      <c r="E5729">
        <f>-13.1409-16.423599</f>
        <v>-29.564498999999998</v>
      </c>
      <c r="F5729" t="s">
        <v>9165</v>
      </c>
      <c r="G5729" t="s">
        <v>39</v>
      </c>
      <c r="H5729">
        <v>1981</v>
      </c>
      <c r="I5729">
        <v>29.6</v>
      </c>
      <c r="J5729">
        <v>14.6</v>
      </c>
      <c r="K5729">
        <v>55</v>
      </c>
      <c r="L5729">
        <v>33.014969999999998</v>
      </c>
      <c r="M5729">
        <v>41.9</v>
      </c>
      <c r="N5729">
        <v>15.7</v>
      </c>
      <c r="O5729">
        <v>26.2</v>
      </c>
      <c r="P5729">
        <v>30.991389999999999</v>
      </c>
      <c r="Q5729">
        <v>26.1</v>
      </c>
      <c r="R5729">
        <v>33.5</v>
      </c>
      <c r="S5729">
        <v>24.8</v>
      </c>
      <c r="T5729">
        <v>233</v>
      </c>
      <c r="U5729">
        <v>91</v>
      </c>
      <c r="V5729">
        <v>0</v>
      </c>
      <c r="W5729">
        <v>154</v>
      </c>
      <c r="X5729">
        <v>211</v>
      </c>
      <c r="Y5729">
        <v>0</v>
      </c>
      <c r="Z5729">
        <v>62</v>
      </c>
      <c r="AA5729">
        <v>0</v>
      </c>
      <c r="AB5729">
        <v>10.60563</v>
      </c>
      <c r="AC5729">
        <v>1.122163E-2</v>
      </c>
      <c r="AD5729">
        <v>1.4299519999999999</v>
      </c>
      <c r="AE5729">
        <v>0.2641888</v>
      </c>
      <c r="AF5729">
        <v>56.700330000000001</v>
      </c>
      <c r="AG5729">
        <f>IFERROR(AH5729*0.1, "N/A")</f>
        <v>6.690728</v>
      </c>
      <c r="AH5729">
        <v>66.90728</v>
      </c>
      <c r="AI5729">
        <v>100.6519</v>
      </c>
      <c r="AJ5729">
        <v>6.4337749999999998</v>
      </c>
      <c r="AK5729">
        <v>81.761589999999998</v>
      </c>
    </row>
    <row r="5730" spans="1:37" x14ac:dyDescent="0.3">
      <c r="A5730">
        <v>5729</v>
      </c>
      <c r="B5730">
        <v>64.3</v>
      </c>
      <c r="C5730">
        <v>-10.716699999999999</v>
      </c>
      <c r="D5730">
        <v>16.4833</v>
      </c>
      <c r="E5730">
        <f>-10.7167-16.483299</f>
        <v>-27.199998999999998</v>
      </c>
      <c r="F5730" t="s">
        <v>9166</v>
      </c>
      <c r="G5730" t="s">
        <v>39</v>
      </c>
      <c r="H5730">
        <v>1987</v>
      </c>
      <c r="I5730">
        <v>28.6</v>
      </c>
      <c r="J5730">
        <v>14.3</v>
      </c>
      <c r="K5730">
        <v>53</v>
      </c>
      <c r="L5730">
        <v>37.530760000000001</v>
      </c>
      <c r="M5730">
        <v>40.773389999999999</v>
      </c>
      <c r="N5730">
        <v>14</v>
      </c>
      <c r="O5730">
        <v>26.773389999999999</v>
      </c>
      <c r="P5730">
        <v>30.4</v>
      </c>
      <c r="Q5730">
        <v>24.773389999999999</v>
      </c>
      <c r="R5730">
        <v>32.973390000000002</v>
      </c>
      <c r="S5730">
        <v>23.2</v>
      </c>
      <c r="T5730">
        <v>234</v>
      </c>
      <c r="U5730">
        <v>90</v>
      </c>
      <c r="V5730">
        <v>0</v>
      </c>
      <c r="W5730">
        <v>147</v>
      </c>
      <c r="X5730">
        <v>204</v>
      </c>
      <c r="Y5730">
        <v>1</v>
      </c>
      <c r="Z5730">
        <v>77</v>
      </c>
      <c r="AA5730">
        <v>1</v>
      </c>
      <c r="AB5730">
        <v>5.3361989999999997</v>
      </c>
      <c r="AC5730">
        <v>1.185054E-2</v>
      </c>
      <c r="AD5730">
        <v>1.5802970000000001</v>
      </c>
      <c r="AE5730">
        <v>0.23884530000000001</v>
      </c>
      <c r="AF5730">
        <v>250.9521</v>
      </c>
      <c r="AG5730">
        <f>IFERROR(AH5730*0.1, "N/A")</f>
        <v>7.1677689999999998</v>
      </c>
      <c r="AH5730">
        <v>71.677689999999998</v>
      </c>
      <c r="AI5730">
        <v>180.78059999999999</v>
      </c>
      <c r="AJ5730">
        <v>10</v>
      </c>
      <c r="AK5730">
        <v>78.322310000000002</v>
      </c>
    </row>
    <row r="5731" spans="1:37" x14ac:dyDescent="0.3">
      <c r="A5731">
        <v>5730</v>
      </c>
      <c r="B5731">
        <v>4</v>
      </c>
      <c r="C5731">
        <v>-15.933299999999999</v>
      </c>
      <c r="D5731">
        <v>16.5</v>
      </c>
      <c r="E5731">
        <f>-15.9333-16.5</f>
        <v>-32.433300000000003</v>
      </c>
      <c r="F5731" t="s">
        <v>9167</v>
      </c>
      <c r="G5731" t="s">
        <v>37</v>
      </c>
      <c r="H5731">
        <v>1995</v>
      </c>
      <c r="I5731">
        <v>27.3</v>
      </c>
      <c r="J5731">
        <v>14.660830000000001</v>
      </c>
      <c r="K5731">
        <v>65</v>
      </c>
      <c r="L5731">
        <v>24.488350000000001</v>
      </c>
      <c r="M5731">
        <v>37.260829999999999</v>
      </c>
      <c r="N5731">
        <v>14.8</v>
      </c>
      <c r="O5731">
        <v>22.460830000000001</v>
      </c>
      <c r="P5731">
        <v>29.4</v>
      </c>
      <c r="Q5731">
        <v>27.22165</v>
      </c>
      <c r="R5731">
        <v>29.6</v>
      </c>
      <c r="S5731">
        <v>23.6</v>
      </c>
      <c r="T5731">
        <v>210.51400000000001</v>
      </c>
      <c r="U5731">
        <v>81.905789999999996</v>
      </c>
      <c r="V5731">
        <v>0</v>
      </c>
      <c r="W5731">
        <v>153.9058</v>
      </c>
      <c r="X5731">
        <v>185.51400000000001</v>
      </c>
      <c r="Y5731">
        <v>0</v>
      </c>
      <c r="Z5731">
        <v>164.9058</v>
      </c>
      <c r="AA5731">
        <v>3</v>
      </c>
      <c r="AB5731">
        <v>0.51041320000000001</v>
      </c>
      <c r="AC5731">
        <v>2.1123139999999999E-2</v>
      </c>
      <c r="AD5731">
        <v>1.1125799999999999</v>
      </c>
      <c r="AE5731">
        <v>0.18240400000000001</v>
      </c>
      <c r="AF5731">
        <v>-2.3140500000000001E-2</v>
      </c>
      <c r="AG5731">
        <f>IFERROR(AH5731*0.1, "N/A")</f>
        <v>6.8000000000000007</v>
      </c>
      <c r="AH5731">
        <v>68</v>
      </c>
      <c r="AI5731">
        <v>276.9273</v>
      </c>
      <c r="AJ5731">
        <v>29</v>
      </c>
      <c r="AK5731">
        <v>54</v>
      </c>
    </row>
    <row r="5732" spans="1:37" x14ac:dyDescent="0.3">
      <c r="A5732">
        <v>5731</v>
      </c>
      <c r="B5732">
        <v>1</v>
      </c>
      <c r="C5732">
        <v>-15.933299999999999</v>
      </c>
      <c r="D5732">
        <v>16.5</v>
      </c>
      <c r="E5732">
        <f>-15.9333-16.5</f>
        <v>-32.433300000000003</v>
      </c>
      <c r="F5732" t="s">
        <v>9168</v>
      </c>
      <c r="G5732" t="s">
        <v>39</v>
      </c>
      <c r="H5732">
        <v>1995</v>
      </c>
      <c r="I5732">
        <v>27.3</v>
      </c>
      <c r="J5732">
        <v>14.660830000000001</v>
      </c>
      <c r="K5732">
        <v>65</v>
      </c>
      <c r="L5732">
        <v>24.488350000000001</v>
      </c>
      <c r="M5732">
        <v>37.260829999999999</v>
      </c>
      <c r="N5732">
        <v>14.8</v>
      </c>
      <c r="O5732">
        <v>22.460830000000001</v>
      </c>
      <c r="P5732">
        <v>29.4</v>
      </c>
      <c r="Q5732">
        <v>27.22165</v>
      </c>
      <c r="R5732">
        <v>29.6</v>
      </c>
      <c r="S5732">
        <v>23.6</v>
      </c>
      <c r="T5732">
        <v>210.51400000000001</v>
      </c>
      <c r="U5732">
        <v>81.905789999999996</v>
      </c>
      <c r="V5732">
        <v>0</v>
      </c>
      <c r="W5732">
        <v>153.9058</v>
      </c>
      <c r="X5732">
        <v>185.51400000000001</v>
      </c>
      <c r="Y5732">
        <v>0</v>
      </c>
      <c r="Z5732">
        <v>164.9058</v>
      </c>
      <c r="AA5732">
        <v>3</v>
      </c>
      <c r="AB5732">
        <v>0.51041320000000001</v>
      </c>
      <c r="AC5732">
        <v>2.1123139999999999E-2</v>
      </c>
      <c r="AD5732">
        <v>1.1125799999999999</v>
      </c>
      <c r="AE5732">
        <v>0.18240400000000001</v>
      </c>
      <c r="AF5732">
        <v>-2.3140500000000001E-2</v>
      </c>
      <c r="AG5732">
        <f>IFERROR(AH5732*0.1, "N/A")</f>
        <v>6.8000000000000007</v>
      </c>
      <c r="AH5732">
        <v>68</v>
      </c>
      <c r="AI5732">
        <v>276.9273</v>
      </c>
      <c r="AJ5732">
        <v>29</v>
      </c>
      <c r="AK5732">
        <v>54</v>
      </c>
    </row>
    <row r="5733" spans="1:37" x14ac:dyDescent="0.3">
      <c r="A5733">
        <v>5732</v>
      </c>
      <c r="B5733">
        <v>0</v>
      </c>
      <c r="C5733">
        <v>-15.783300000000001</v>
      </c>
      <c r="D5733">
        <v>16.5</v>
      </c>
      <c r="E5733">
        <f>-15.7833-16.5</f>
        <v>-32.283299999999997</v>
      </c>
      <c r="F5733" t="s">
        <v>9169</v>
      </c>
      <c r="G5733" t="s">
        <v>39</v>
      </c>
      <c r="H5733">
        <v>2001</v>
      </c>
      <c r="I5733">
        <v>27.7</v>
      </c>
      <c r="J5733">
        <v>15.3</v>
      </c>
      <c r="K5733">
        <v>64</v>
      </c>
      <c r="L5733">
        <v>25.35849</v>
      </c>
      <c r="M5733">
        <v>38.589880000000001</v>
      </c>
      <c r="N5733">
        <v>14.8</v>
      </c>
      <c r="O5733">
        <v>23.78988</v>
      </c>
      <c r="P5733">
        <v>29.610119999999998</v>
      </c>
      <c r="Q5733">
        <v>27.018239999999999</v>
      </c>
      <c r="R5733">
        <v>30</v>
      </c>
      <c r="S5733">
        <v>23.879439999999999</v>
      </c>
      <c r="T5733">
        <v>226.30680000000001</v>
      </c>
      <c r="U5733">
        <v>85</v>
      </c>
      <c r="V5733">
        <v>0</v>
      </c>
      <c r="W5733">
        <v>152.69319999999999</v>
      </c>
      <c r="X5733">
        <v>196.69319999999999</v>
      </c>
      <c r="Y5733">
        <v>0.61359870000000005</v>
      </c>
      <c r="Z5733">
        <v>57.111109999999996</v>
      </c>
      <c r="AA5733">
        <v>4</v>
      </c>
      <c r="AB5733">
        <v>1.7777780000000001</v>
      </c>
      <c r="AC5733">
        <v>1.2856970000000001</v>
      </c>
      <c r="AD5733">
        <v>1.2715939999999999</v>
      </c>
      <c r="AE5733">
        <v>0.38862679999999999</v>
      </c>
      <c r="AF5733">
        <v>2.920398</v>
      </c>
      <c r="AG5733">
        <f>IFERROR(AH5733*0.1, "N/A")</f>
        <v>5.9147600000000002</v>
      </c>
      <c r="AH5733">
        <v>59.147599999999997</v>
      </c>
      <c r="AI5733">
        <v>67.397859999999994</v>
      </c>
      <c r="AJ5733">
        <v>24.407959999999999</v>
      </c>
      <c r="AK5733">
        <v>54.615259999999999</v>
      </c>
    </row>
    <row r="5734" spans="1:37" x14ac:dyDescent="0.3">
      <c r="A5734">
        <v>5733</v>
      </c>
      <c r="B5734">
        <v>0</v>
      </c>
      <c r="C5734">
        <v>-15.783300000000001</v>
      </c>
      <c r="D5734">
        <v>16.5</v>
      </c>
      <c r="E5734">
        <f>-15.7833-16.5</f>
        <v>-32.283299999999997</v>
      </c>
      <c r="F5734" t="s">
        <v>9170</v>
      </c>
      <c r="G5734" t="s">
        <v>37</v>
      </c>
      <c r="H5734">
        <v>2001</v>
      </c>
      <c r="I5734">
        <v>27.7</v>
      </c>
      <c r="J5734">
        <v>15.3</v>
      </c>
      <c r="K5734">
        <v>64</v>
      </c>
      <c r="L5734">
        <v>25.35849</v>
      </c>
      <c r="M5734">
        <v>38.589880000000001</v>
      </c>
      <c r="N5734">
        <v>14.8</v>
      </c>
      <c r="O5734">
        <v>23.78988</v>
      </c>
      <c r="P5734">
        <v>29.610119999999998</v>
      </c>
      <c r="Q5734">
        <v>27.018239999999999</v>
      </c>
      <c r="R5734">
        <v>30</v>
      </c>
      <c r="S5734">
        <v>23.879439999999999</v>
      </c>
      <c r="T5734">
        <v>226.30680000000001</v>
      </c>
      <c r="U5734">
        <v>85</v>
      </c>
      <c r="V5734">
        <v>0</v>
      </c>
      <c r="W5734">
        <v>152.69319999999999</v>
      </c>
      <c r="X5734">
        <v>196.69319999999999</v>
      </c>
      <c r="Y5734">
        <v>0.61359870000000005</v>
      </c>
      <c r="Z5734">
        <v>57.111109999999996</v>
      </c>
      <c r="AA5734">
        <v>4</v>
      </c>
      <c r="AB5734">
        <v>1.7777780000000001</v>
      </c>
      <c r="AC5734">
        <v>1.2856970000000001</v>
      </c>
      <c r="AD5734">
        <v>1.2715939999999999</v>
      </c>
      <c r="AE5734">
        <v>0.38862679999999999</v>
      </c>
      <c r="AF5734">
        <v>2.920398</v>
      </c>
      <c r="AG5734">
        <f>IFERROR(AH5734*0.1, "N/A")</f>
        <v>5.9147600000000002</v>
      </c>
      <c r="AH5734">
        <v>59.147599999999997</v>
      </c>
      <c r="AI5734">
        <v>67.397859999999994</v>
      </c>
      <c r="AJ5734">
        <v>24.407959999999999</v>
      </c>
      <c r="AK5734">
        <v>54.615259999999999</v>
      </c>
    </row>
    <row r="5735" spans="1:37" x14ac:dyDescent="0.3">
      <c r="A5735">
        <v>5734</v>
      </c>
      <c r="B5735">
        <v>50</v>
      </c>
      <c r="C5735">
        <v>-15.654400000000001</v>
      </c>
      <c r="D5735">
        <v>16.510300000000001</v>
      </c>
      <c r="E5735">
        <f>-15.6544-16.5103</f>
        <v>-32.164700000000003</v>
      </c>
      <c r="F5735" t="s">
        <v>9171</v>
      </c>
      <c r="G5735" t="s">
        <v>39</v>
      </c>
      <c r="H5735">
        <v>2001</v>
      </c>
      <c r="I5735">
        <v>27.6</v>
      </c>
      <c r="J5735">
        <v>15.4</v>
      </c>
      <c r="K5735">
        <v>64</v>
      </c>
      <c r="L5735">
        <v>25.48</v>
      </c>
      <c r="M5735">
        <v>38.700000000000003</v>
      </c>
      <c r="N5735">
        <v>14.7</v>
      </c>
      <c r="O5735">
        <v>24</v>
      </c>
      <c r="P5735">
        <v>29.5</v>
      </c>
      <c r="Q5735">
        <v>28.1</v>
      </c>
      <c r="R5735">
        <v>30</v>
      </c>
      <c r="S5735">
        <v>23.7</v>
      </c>
      <c r="T5735">
        <v>224</v>
      </c>
      <c r="U5735">
        <v>84</v>
      </c>
      <c r="V5735">
        <v>0</v>
      </c>
      <c r="W5735">
        <v>152</v>
      </c>
      <c r="X5735">
        <v>196</v>
      </c>
      <c r="Y5735">
        <v>0</v>
      </c>
      <c r="Z5735">
        <v>49</v>
      </c>
      <c r="AA5735">
        <v>3</v>
      </c>
      <c r="AB5735">
        <v>0.83051419999999998</v>
      </c>
      <c r="AC5735">
        <v>2.1532240000000001E-2</v>
      </c>
      <c r="AD5735">
        <v>2.919578</v>
      </c>
      <c r="AE5735">
        <v>0.38939859999999998</v>
      </c>
      <c r="AF5735">
        <v>2.134328</v>
      </c>
      <c r="AG5735">
        <f>IFERROR(AH5735*0.1, "N/A")</f>
        <v>6.8567160000000005</v>
      </c>
      <c r="AH5735">
        <v>68.567160000000001</v>
      </c>
      <c r="AI5735">
        <v>184.18549999999999</v>
      </c>
      <c r="AJ5735">
        <v>21.32836</v>
      </c>
      <c r="AK5735">
        <v>60.791040000000002</v>
      </c>
    </row>
    <row r="5736" spans="1:37" x14ac:dyDescent="0.3">
      <c r="A5736">
        <v>5735</v>
      </c>
      <c r="B5736">
        <v>22.2</v>
      </c>
      <c r="C5736">
        <v>-15.654400000000001</v>
      </c>
      <c r="D5736">
        <v>16.510300000000001</v>
      </c>
      <c r="E5736">
        <f>-15.6544-16.5103</f>
        <v>-32.164700000000003</v>
      </c>
      <c r="F5736" t="s">
        <v>9172</v>
      </c>
      <c r="G5736" t="s">
        <v>37</v>
      </c>
      <c r="H5736">
        <v>2001</v>
      </c>
      <c r="I5736">
        <v>27.6</v>
      </c>
      <c r="J5736">
        <v>15.4</v>
      </c>
      <c r="K5736">
        <v>64</v>
      </c>
      <c r="L5736">
        <v>25.48</v>
      </c>
      <c r="M5736">
        <v>38.700000000000003</v>
      </c>
      <c r="N5736">
        <v>14.7</v>
      </c>
      <c r="O5736">
        <v>24</v>
      </c>
      <c r="P5736">
        <v>29.5</v>
      </c>
      <c r="Q5736">
        <v>28.1</v>
      </c>
      <c r="R5736">
        <v>30</v>
      </c>
      <c r="S5736">
        <v>23.7</v>
      </c>
      <c r="T5736">
        <v>224</v>
      </c>
      <c r="U5736">
        <v>84</v>
      </c>
      <c r="V5736">
        <v>0</v>
      </c>
      <c r="W5736">
        <v>152</v>
      </c>
      <c r="X5736">
        <v>196</v>
      </c>
      <c r="Y5736">
        <v>0</v>
      </c>
      <c r="Z5736">
        <v>49</v>
      </c>
      <c r="AA5736">
        <v>3</v>
      </c>
      <c r="AB5736">
        <v>0.83051419999999998</v>
      </c>
      <c r="AC5736">
        <v>2.1532240000000001E-2</v>
      </c>
      <c r="AD5736">
        <v>2.919578</v>
      </c>
      <c r="AE5736">
        <v>0.38939859999999998</v>
      </c>
      <c r="AF5736">
        <v>2.134328</v>
      </c>
      <c r="AG5736">
        <f>IFERROR(AH5736*0.1, "N/A")</f>
        <v>6.8567160000000005</v>
      </c>
      <c r="AH5736">
        <v>68.567160000000001</v>
      </c>
      <c r="AI5736">
        <v>184.18549999999999</v>
      </c>
      <c r="AJ5736">
        <v>21.32836</v>
      </c>
      <c r="AK5736">
        <v>60.791040000000002</v>
      </c>
    </row>
    <row r="5737" spans="1:37" x14ac:dyDescent="0.3">
      <c r="A5737">
        <v>5736</v>
      </c>
      <c r="B5737">
        <v>2.9</v>
      </c>
      <c r="C5737">
        <v>-15.795</v>
      </c>
      <c r="D5737">
        <v>16.511099999999999</v>
      </c>
      <c r="E5737">
        <f>-15.795-16.511101</f>
        <v>-32.306100999999998</v>
      </c>
      <c r="F5737" t="s">
        <v>9173</v>
      </c>
      <c r="G5737" t="s">
        <v>39</v>
      </c>
      <c r="H5737">
        <v>2001</v>
      </c>
      <c r="I5737">
        <v>27.7</v>
      </c>
      <c r="J5737">
        <v>15.3</v>
      </c>
      <c r="K5737">
        <v>64</v>
      </c>
      <c r="L5737">
        <v>25.22</v>
      </c>
      <c r="M5737">
        <v>38.5</v>
      </c>
      <c r="N5737">
        <v>14.8</v>
      </c>
      <c r="O5737">
        <v>23.7</v>
      </c>
      <c r="P5737">
        <v>29.7</v>
      </c>
      <c r="Q5737">
        <v>26.4</v>
      </c>
      <c r="R5737">
        <v>29.9</v>
      </c>
      <c r="S5737">
        <v>23.9</v>
      </c>
      <c r="T5737">
        <v>225</v>
      </c>
      <c r="U5737">
        <v>85</v>
      </c>
      <c r="V5737">
        <v>0</v>
      </c>
      <c r="W5737">
        <v>151</v>
      </c>
      <c r="X5737">
        <v>195</v>
      </c>
      <c r="Y5737">
        <v>1</v>
      </c>
      <c r="Z5737">
        <v>132</v>
      </c>
      <c r="AA5737">
        <v>4</v>
      </c>
      <c r="AB5737">
        <v>0.32947019999999999</v>
      </c>
      <c r="AC5737">
        <v>0.1169742</v>
      </c>
      <c r="AD5737">
        <v>1.165222</v>
      </c>
      <c r="AE5737">
        <v>0.4664374</v>
      </c>
      <c r="AF5737">
        <v>3.369205</v>
      </c>
      <c r="AG5737">
        <f>IFERROR(AH5737*0.1, "N/A")</f>
        <v>6.9</v>
      </c>
      <c r="AH5737">
        <v>69</v>
      </c>
      <c r="AI5737">
        <v>178.10230000000001</v>
      </c>
      <c r="AJ5737">
        <v>19.993379999999998</v>
      </c>
      <c r="AK5737">
        <v>65.013249999999999</v>
      </c>
    </row>
    <row r="5738" spans="1:37" x14ac:dyDescent="0.3">
      <c r="A5738">
        <v>5737</v>
      </c>
      <c r="B5738">
        <v>11.8</v>
      </c>
      <c r="C5738">
        <v>-15.795</v>
      </c>
      <c r="D5738">
        <v>16.511099999999999</v>
      </c>
      <c r="E5738">
        <f>-15.795-16.511101</f>
        <v>-32.306100999999998</v>
      </c>
      <c r="F5738" t="s">
        <v>9174</v>
      </c>
      <c r="G5738" t="s">
        <v>37</v>
      </c>
      <c r="H5738">
        <v>2001</v>
      </c>
      <c r="I5738">
        <v>27.7</v>
      </c>
      <c r="J5738">
        <v>15.3</v>
      </c>
      <c r="K5738">
        <v>64</v>
      </c>
      <c r="L5738">
        <v>25.22</v>
      </c>
      <c r="M5738">
        <v>38.5</v>
      </c>
      <c r="N5738">
        <v>14.8</v>
      </c>
      <c r="O5738">
        <v>23.7</v>
      </c>
      <c r="P5738">
        <v>29.7</v>
      </c>
      <c r="Q5738">
        <v>26.4</v>
      </c>
      <c r="R5738">
        <v>29.9</v>
      </c>
      <c r="S5738">
        <v>23.9</v>
      </c>
      <c r="T5738">
        <v>225</v>
      </c>
      <c r="U5738">
        <v>85</v>
      </c>
      <c r="V5738">
        <v>0</v>
      </c>
      <c r="W5738">
        <v>151</v>
      </c>
      <c r="X5738">
        <v>195</v>
      </c>
      <c r="Y5738">
        <v>1</v>
      </c>
      <c r="Z5738">
        <v>132</v>
      </c>
      <c r="AA5738">
        <v>4</v>
      </c>
      <c r="AB5738">
        <v>0.32947019999999999</v>
      </c>
      <c r="AC5738">
        <v>0.1169742</v>
      </c>
      <c r="AD5738">
        <v>1.165222</v>
      </c>
      <c r="AE5738">
        <v>0.4664374</v>
      </c>
      <c r="AF5738">
        <v>3.369205</v>
      </c>
      <c r="AG5738">
        <f>IFERROR(AH5738*0.1, "N/A")</f>
        <v>6.9</v>
      </c>
      <c r="AH5738">
        <v>69</v>
      </c>
      <c r="AI5738">
        <v>178.10230000000001</v>
      </c>
      <c r="AJ5738">
        <v>19.993379999999998</v>
      </c>
      <c r="AK5738">
        <v>65.013249999999999</v>
      </c>
    </row>
    <row r="5739" spans="1:37" x14ac:dyDescent="0.3">
      <c r="A5739">
        <v>5738</v>
      </c>
      <c r="B5739">
        <v>38.799999999999997</v>
      </c>
      <c r="C5739">
        <v>-15.7987</v>
      </c>
      <c r="D5739">
        <v>16.511800000000001</v>
      </c>
      <c r="E5739">
        <f>-15.7987-16.511801</f>
        <v>-32.310501000000002</v>
      </c>
      <c r="F5739" t="s">
        <v>9175</v>
      </c>
      <c r="G5739" t="s">
        <v>39</v>
      </c>
      <c r="H5739">
        <v>1981</v>
      </c>
      <c r="I5739">
        <v>27.7</v>
      </c>
      <c r="J5739">
        <v>15.3</v>
      </c>
      <c r="K5739">
        <v>64</v>
      </c>
      <c r="L5739">
        <v>25.22</v>
      </c>
      <c r="M5739">
        <v>38.5</v>
      </c>
      <c r="N5739">
        <v>14.8</v>
      </c>
      <c r="O5739">
        <v>23.7</v>
      </c>
      <c r="P5739">
        <v>29.7</v>
      </c>
      <c r="Q5739">
        <v>26.4</v>
      </c>
      <c r="R5739">
        <v>29.9</v>
      </c>
      <c r="S5739">
        <v>23.9</v>
      </c>
      <c r="T5739">
        <v>225</v>
      </c>
      <c r="U5739">
        <v>85</v>
      </c>
      <c r="V5739">
        <v>0</v>
      </c>
      <c r="W5739">
        <v>151</v>
      </c>
      <c r="X5739">
        <v>195</v>
      </c>
      <c r="Y5739">
        <v>1</v>
      </c>
      <c r="Z5739">
        <v>132</v>
      </c>
      <c r="AA5739">
        <v>4</v>
      </c>
      <c r="AB5739">
        <v>0.13565489999999999</v>
      </c>
      <c r="AC5739">
        <v>0.1511043</v>
      </c>
      <c r="AD5739">
        <v>0.79585589999999995</v>
      </c>
      <c r="AE5739">
        <v>0.4664374</v>
      </c>
      <c r="AF5739">
        <v>2.9087890000000001</v>
      </c>
      <c r="AG5739">
        <f>IFERROR(AH5739*0.1, "N/A")</f>
        <v>7.2407960000000005</v>
      </c>
      <c r="AH5739">
        <v>72.407960000000003</v>
      </c>
      <c r="AI5739">
        <v>45.419150000000002</v>
      </c>
      <c r="AJ5739">
        <v>21</v>
      </c>
      <c r="AK5739">
        <v>64.407960000000003</v>
      </c>
    </row>
    <row r="5740" spans="1:37" x14ac:dyDescent="0.3">
      <c r="A5740">
        <v>5739</v>
      </c>
      <c r="B5740">
        <v>11.6</v>
      </c>
      <c r="C5740">
        <v>-15.805</v>
      </c>
      <c r="D5740">
        <v>16.512799999999999</v>
      </c>
      <c r="E5740">
        <f>-15.805-16.5128</f>
        <v>-32.317799999999998</v>
      </c>
      <c r="F5740" t="s">
        <v>9176</v>
      </c>
      <c r="G5740" t="s">
        <v>37</v>
      </c>
      <c r="H5740">
        <v>1995</v>
      </c>
      <c r="I5740">
        <v>27.7</v>
      </c>
      <c r="J5740">
        <v>15.3</v>
      </c>
      <c r="K5740">
        <v>64</v>
      </c>
      <c r="L5740">
        <v>25.62</v>
      </c>
      <c r="M5740">
        <v>38.5</v>
      </c>
      <c r="N5740">
        <v>14.8</v>
      </c>
      <c r="O5740">
        <v>23.7</v>
      </c>
      <c r="P5740">
        <v>29.8</v>
      </c>
      <c r="Q5740">
        <v>26.3</v>
      </c>
      <c r="R5740">
        <v>30</v>
      </c>
      <c r="S5740">
        <v>23.9</v>
      </c>
      <c r="T5740">
        <v>225</v>
      </c>
      <c r="U5740">
        <v>85</v>
      </c>
      <c r="V5740">
        <v>0</v>
      </c>
      <c r="W5740">
        <v>151</v>
      </c>
      <c r="X5740">
        <v>195</v>
      </c>
      <c r="Y5740">
        <v>1</v>
      </c>
      <c r="Z5740">
        <v>132</v>
      </c>
      <c r="AA5740">
        <v>4</v>
      </c>
      <c r="AB5740">
        <v>0.47880810000000001</v>
      </c>
      <c r="AC5740">
        <v>4.3291490000000002E-2</v>
      </c>
      <c r="AD5740">
        <v>0.77946610000000005</v>
      </c>
      <c r="AE5740">
        <v>0.56247429999999998</v>
      </c>
      <c r="AF5740">
        <v>3.513245</v>
      </c>
      <c r="AG5740">
        <f>IFERROR(AH5740*0.1, "N/A")</f>
        <v>7.0001660000000001</v>
      </c>
      <c r="AH5740">
        <v>70.001660000000001</v>
      </c>
      <c r="AI5740">
        <v>147.0489</v>
      </c>
      <c r="AJ5740">
        <v>20.003309999999999</v>
      </c>
      <c r="AK5740">
        <v>64.993380000000002</v>
      </c>
    </row>
    <row r="5741" spans="1:37" x14ac:dyDescent="0.3">
      <c r="A5741">
        <v>5740</v>
      </c>
      <c r="B5741">
        <v>2.2000000000000002</v>
      </c>
      <c r="C5741">
        <v>-15.805</v>
      </c>
      <c r="D5741">
        <v>16.512799999999999</v>
      </c>
      <c r="E5741">
        <f>-15.805-16.5128</f>
        <v>-32.317799999999998</v>
      </c>
      <c r="F5741" t="s">
        <v>9177</v>
      </c>
      <c r="G5741" t="s">
        <v>39</v>
      </c>
      <c r="H5741">
        <v>1995</v>
      </c>
      <c r="I5741">
        <v>27.7</v>
      </c>
      <c r="J5741">
        <v>15.3</v>
      </c>
      <c r="K5741">
        <v>64</v>
      </c>
      <c r="L5741">
        <v>25.62</v>
      </c>
      <c r="M5741">
        <v>38.5</v>
      </c>
      <c r="N5741">
        <v>14.8</v>
      </c>
      <c r="O5741">
        <v>23.7</v>
      </c>
      <c r="P5741">
        <v>29.8</v>
      </c>
      <c r="Q5741">
        <v>26.3</v>
      </c>
      <c r="R5741">
        <v>30</v>
      </c>
      <c r="S5741">
        <v>23.9</v>
      </c>
      <c r="T5741">
        <v>225</v>
      </c>
      <c r="U5741">
        <v>85</v>
      </c>
      <c r="V5741">
        <v>0</v>
      </c>
      <c r="W5741">
        <v>151</v>
      </c>
      <c r="X5741">
        <v>195</v>
      </c>
      <c r="Y5741">
        <v>1</v>
      </c>
      <c r="Z5741">
        <v>132</v>
      </c>
      <c r="AA5741">
        <v>4</v>
      </c>
      <c r="AB5741">
        <v>0.47880810000000001</v>
      </c>
      <c r="AC5741">
        <v>4.3291490000000002E-2</v>
      </c>
      <c r="AD5741">
        <v>0.77946610000000005</v>
      </c>
      <c r="AE5741">
        <v>0.56247429999999998</v>
      </c>
      <c r="AF5741">
        <v>3.513245</v>
      </c>
      <c r="AG5741">
        <f>IFERROR(AH5741*0.1, "N/A")</f>
        <v>7.0001660000000001</v>
      </c>
      <c r="AH5741">
        <v>70.001660000000001</v>
      </c>
      <c r="AI5741">
        <v>147.0489</v>
      </c>
      <c r="AJ5741">
        <v>20.003309999999999</v>
      </c>
      <c r="AK5741">
        <v>64.993380000000002</v>
      </c>
    </row>
    <row r="5742" spans="1:37" x14ac:dyDescent="0.3">
      <c r="A5742">
        <v>5741</v>
      </c>
      <c r="B5742">
        <v>0</v>
      </c>
      <c r="C5742">
        <v>-15.5617</v>
      </c>
      <c r="D5742">
        <v>16.513300000000001</v>
      </c>
      <c r="E5742">
        <f>-15.5617-16.5133</f>
        <v>-32.075000000000003</v>
      </c>
      <c r="F5742" t="s">
        <v>9178</v>
      </c>
      <c r="G5742" t="s">
        <v>39</v>
      </c>
      <c r="H5742">
        <v>1983</v>
      </c>
      <c r="I5742">
        <v>27.5</v>
      </c>
      <c r="J5742">
        <v>15.5</v>
      </c>
      <c r="K5742">
        <v>63</v>
      </c>
      <c r="L5742">
        <v>25.68</v>
      </c>
      <c r="M5742">
        <v>38.799999999999997</v>
      </c>
      <c r="N5742">
        <v>14.5</v>
      </c>
      <c r="O5742">
        <v>24.3</v>
      </c>
      <c r="P5742">
        <v>29.3</v>
      </c>
      <c r="Q5742">
        <v>28.1</v>
      </c>
      <c r="R5742">
        <v>30</v>
      </c>
      <c r="S5742">
        <v>23.5</v>
      </c>
      <c r="T5742">
        <v>228</v>
      </c>
      <c r="U5742">
        <v>85</v>
      </c>
      <c r="V5742">
        <v>0</v>
      </c>
      <c r="W5742">
        <v>146</v>
      </c>
      <c r="X5742">
        <v>199</v>
      </c>
      <c r="Y5742">
        <v>0</v>
      </c>
      <c r="Z5742">
        <v>50</v>
      </c>
      <c r="AA5742">
        <v>3</v>
      </c>
      <c r="AB5742">
        <v>6.1722320000000002</v>
      </c>
      <c r="AC5742">
        <v>8.9882380000000008E-3</v>
      </c>
      <c r="AD5742">
        <v>1.4435450000000001</v>
      </c>
      <c r="AE5742">
        <v>0.291794</v>
      </c>
      <c r="AF5742">
        <v>5.1669419999999997</v>
      </c>
      <c r="AG5742">
        <f>IFERROR(AH5742*0.1, "N/A")</f>
        <v>6.3644630000000006</v>
      </c>
      <c r="AH5742">
        <v>63.644629999999999</v>
      </c>
      <c r="AI5742">
        <v>209.20840000000001</v>
      </c>
      <c r="AJ5742">
        <v>28.028099999999998</v>
      </c>
      <c r="AK5742">
        <v>49.65455</v>
      </c>
    </row>
    <row r="5743" spans="1:37" x14ac:dyDescent="0.3">
      <c r="A5743">
        <v>5742</v>
      </c>
      <c r="B5743">
        <v>0</v>
      </c>
      <c r="C5743">
        <v>-15.5617</v>
      </c>
      <c r="D5743">
        <v>16.513300000000001</v>
      </c>
      <c r="E5743">
        <f>-15.5617-16.5133</f>
        <v>-32.075000000000003</v>
      </c>
      <c r="F5743" t="s">
        <v>9179</v>
      </c>
      <c r="G5743" t="s">
        <v>37</v>
      </c>
      <c r="H5743">
        <v>1983</v>
      </c>
      <c r="I5743">
        <v>27.5</v>
      </c>
      <c r="J5743">
        <v>15.5</v>
      </c>
      <c r="K5743">
        <v>63</v>
      </c>
      <c r="L5743">
        <v>25.68</v>
      </c>
      <c r="M5743">
        <v>38.799999999999997</v>
      </c>
      <c r="N5743">
        <v>14.5</v>
      </c>
      <c r="O5743">
        <v>24.3</v>
      </c>
      <c r="P5743">
        <v>29.3</v>
      </c>
      <c r="Q5743">
        <v>28.1</v>
      </c>
      <c r="R5743">
        <v>30</v>
      </c>
      <c r="S5743">
        <v>23.5</v>
      </c>
      <c r="T5743">
        <v>228</v>
      </c>
      <c r="U5743">
        <v>85</v>
      </c>
      <c r="V5743">
        <v>0</v>
      </c>
      <c r="W5743">
        <v>146</v>
      </c>
      <c r="X5743">
        <v>199</v>
      </c>
      <c r="Y5743">
        <v>0</v>
      </c>
      <c r="Z5743">
        <v>50</v>
      </c>
      <c r="AA5743">
        <v>3</v>
      </c>
      <c r="AB5743">
        <v>6.1722320000000002</v>
      </c>
      <c r="AC5743">
        <v>8.9882380000000008E-3</v>
      </c>
      <c r="AD5743">
        <v>1.4435450000000001</v>
      </c>
      <c r="AE5743">
        <v>0.291794</v>
      </c>
      <c r="AF5743">
        <v>5.1669419999999997</v>
      </c>
      <c r="AG5743">
        <f>IFERROR(AH5743*0.1, "N/A")</f>
        <v>6.3644630000000006</v>
      </c>
      <c r="AH5743">
        <v>63.644629999999999</v>
      </c>
      <c r="AI5743">
        <v>209.20840000000001</v>
      </c>
      <c r="AJ5743">
        <v>28.028099999999998</v>
      </c>
      <c r="AK5743">
        <v>49.65455</v>
      </c>
    </row>
    <row r="5744" spans="1:37" x14ac:dyDescent="0.3">
      <c r="A5744">
        <v>5743</v>
      </c>
      <c r="B5744">
        <v>8.3000000000000007</v>
      </c>
      <c r="C5744">
        <v>-15.9</v>
      </c>
      <c r="D5744">
        <v>16.5167</v>
      </c>
      <c r="E5744">
        <f>-15.9-16.516701</f>
        <v>-32.416701000000003</v>
      </c>
      <c r="F5744" t="s">
        <v>9180</v>
      </c>
      <c r="G5744" t="s">
        <v>37</v>
      </c>
      <c r="H5744">
        <v>1995</v>
      </c>
      <c r="I5744">
        <v>27.5</v>
      </c>
      <c r="J5744">
        <v>14.86584</v>
      </c>
      <c r="K5744">
        <v>65</v>
      </c>
      <c r="L5744">
        <v>24.756049999999998</v>
      </c>
      <c r="M5744">
        <v>37.648260000000001</v>
      </c>
      <c r="N5744">
        <v>14.834160000000001</v>
      </c>
      <c r="O5744">
        <v>22.8141</v>
      </c>
      <c r="P5744">
        <v>29.5</v>
      </c>
      <c r="Q5744">
        <v>27.4</v>
      </c>
      <c r="R5744">
        <v>29.7</v>
      </c>
      <c r="S5744">
        <v>23.7</v>
      </c>
      <c r="T5744">
        <v>211.17580000000001</v>
      </c>
      <c r="U5744">
        <v>82</v>
      </c>
      <c r="V5744">
        <v>0</v>
      </c>
      <c r="W5744">
        <v>154.17580000000001</v>
      </c>
      <c r="X5744">
        <v>186.17580000000001</v>
      </c>
      <c r="Y5744">
        <v>0</v>
      </c>
      <c r="Z5744">
        <v>138.66499999999999</v>
      </c>
      <c r="AA5744">
        <v>3</v>
      </c>
      <c r="AB5744">
        <v>2.4398010000000001</v>
      </c>
      <c r="AC5744">
        <v>5.0461899999999997E-2</v>
      </c>
      <c r="AD5744">
        <v>0.98743650000000005</v>
      </c>
      <c r="AE5744">
        <v>0.21380830000000001</v>
      </c>
      <c r="AF5744">
        <v>1.7744610000000001</v>
      </c>
      <c r="AG5744">
        <f>IFERROR(AH5744*0.1, "N/A")</f>
        <v>6.1366500000000004</v>
      </c>
      <c r="AH5744">
        <v>61.366500000000002</v>
      </c>
      <c r="AI5744">
        <v>119.19499999999999</v>
      </c>
      <c r="AJ5744">
        <v>25</v>
      </c>
      <c r="AK5744">
        <v>55.975119999999997</v>
      </c>
    </row>
    <row r="5745" spans="1:37" x14ac:dyDescent="0.3">
      <c r="A5745">
        <v>5744</v>
      </c>
      <c r="B5745">
        <v>1</v>
      </c>
      <c r="C5745">
        <v>-15.9</v>
      </c>
      <c r="D5745">
        <v>16.5167</v>
      </c>
      <c r="E5745">
        <f>-15.9-16.516701</f>
        <v>-32.416701000000003</v>
      </c>
      <c r="F5745" t="s">
        <v>9181</v>
      </c>
      <c r="G5745" t="s">
        <v>39</v>
      </c>
      <c r="H5745">
        <v>1995</v>
      </c>
      <c r="I5745">
        <v>27.5</v>
      </c>
      <c r="J5745">
        <v>14.86584</v>
      </c>
      <c r="K5745">
        <v>65</v>
      </c>
      <c r="L5745">
        <v>24.756049999999998</v>
      </c>
      <c r="M5745">
        <v>37.648260000000001</v>
      </c>
      <c r="N5745">
        <v>14.834160000000001</v>
      </c>
      <c r="O5745">
        <v>22.8141</v>
      </c>
      <c r="P5745">
        <v>29.5</v>
      </c>
      <c r="Q5745">
        <v>27.4</v>
      </c>
      <c r="R5745">
        <v>29.7</v>
      </c>
      <c r="S5745">
        <v>23.7</v>
      </c>
      <c r="T5745">
        <v>211.17580000000001</v>
      </c>
      <c r="U5745">
        <v>82</v>
      </c>
      <c r="V5745">
        <v>0</v>
      </c>
      <c r="W5745">
        <v>154.17580000000001</v>
      </c>
      <c r="X5745">
        <v>186.17580000000001</v>
      </c>
      <c r="Y5745">
        <v>0</v>
      </c>
      <c r="Z5745">
        <v>138.66499999999999</v>
      </c>
      <c r="AA5745">
        <v>3</v>
      </c>
      <c r="AB5745">
        <v>2.4398010000000001</v>
      </c>
      <c r="AC5745">
        <v>5.0461899999999997E-2</v>
      </c>
      <c r="AD5745">
        <v>0.98743650000000005</v>
      </c>
      <c r="AE5745">
        <v>0.21380830000000001</v>
      </c>
      <c r="AF5745">
        <v>1.7744610000000001</v>
      </c>
      <c r="AG5745">
        <f>IFERROR(AH5745*0.1, "N/A")</f>
        <v>6.1366500000000004</v>
      </c>
      <c r="AH5745">
        <v>61.366500000000002</v>
      </c>
      <c r="AI5745">
        <v>119.19499999999999</v>
      </c>
      <c r="AJ5745">
        <v>25</v>
      </c>
      <c r="AK5745">
        <v>55.975119999999997</v>
      </c>
    </row>
    <row r="5746" spans="1:37" x14ac:dyDescent="0.3">
      <c r="A5746">
        <v>5745</v>
      </c>
      <c r="B5746">
        <v>10.3</v>
      </c>
      <c r="C5746">
        <v>-15.7667</v>
      </c>
      <c r="D5746">
        <v>16.5167</v>
      </c>
      <c r="E5746">
        <f>-15.7667-16.516701</f>
        <v>-32.283400999999998</v>
      </c>
      <c r="F5746" t="s">
        <v>9182</v>
      </c>
      <c r="G5746" t="s">
        <v>37</v>
      </c>
      <c r="H5746">
        <v>1995</v>
      </c>
      <c r="I5746">
        <v>27.7</v>
      </c>
      <c r="J5746">
        <v>15.3</v>
      </c>
      <c r="K5746">
        <v>64</v>
      </c>
      <c r="L5746">
        <v>25.39847</v>
      </c>
      <c r="M5746">
        <v>38.6</v>
      </c>
      <c r="N5746">
        <v>14.8</v>
      </c>
      <c r="O5746">
        <v>23.8</v>
      </c>
      <c r="P5746">
        <v>29.678280000000001</v>
      </c>
      <c r="Q5746">
        <v>28</v>
      </c>
      <c r="R5746">
        <v>29.978280000000002</v>
      </c>
      <c r="S5746">
        <v>23.8</v>
      </c>
      <c r="T5746">
        <v>223.09950000000001</v>
      </c>
      <c r="U5746">
        <v>84.835819999999998</v>
      </c>
      <c r="V5746">
        <v>0</v>
      </c>
      <c r="W5746">
        <v>151.83580000000001</v>
      </c>
      <c r="X5746">
        <v>195.09950000000001</v>
      </c>
      <c r="Y5746">
        <v>0</v>
      </c>
      <c r="Z5746">
        <v>47.263680000000001</v>
      </c>
      <c r="AA5746">
        <v>3</v>
      </c>
      <c r="AB5746">
        <v>1.0973470000000001</v>
      </c>
      <c r="AC5746">
        <v>1390.4259999999999</v>
      </c>
      <c r="AD5746">
        <v>0.91544820000000005</v>
      </c>
      <c r="AE5746">
        <v>0.54066270000000005</v>
      </c>
      <c r="AF5746">
        <v>1.1956880000000001</v>
      </c>
      <c r="AG5746">
        <f>IFERROR(AH5746*0.1, "N/A")</f>
        <v>6.9348260000000002</v>
      </c>
      <c r="AH5746">
        <v>69.348259999999996</v>
      </c>
      <c r="AI5746">
        <v>128.6233</v>
      </c>
      <c r="AJ5746">
        <v>21.43449</v>
      </c>
      <c r="AK5746">
        <v>54.21725</v>
      </c>
    </row>
    <row r="5747" spans="1:37" x14ac:dyDescent="0.3">
      <c r="A5747">
        <v>5746</v>
      </c>
      <c r="B5747">
        <v>0</v>
      </c>
      <c r="C5747">
        <v>-15.7667</v>
      </c>
      <c r="D5747">
        <v>16.5167</v>
      </c>
      <c r="E5747">
        <f>-15.7667-16.516701</f>
        <v>-32.283400999999998</v>
      </c>
      <c r="F5747" t="s">
        <v>9183</v>
      </c>
      <c r="G5747" t="s">
        <v>39</v>
      </c>
      <c r="H5747">
        <v>1995</v>
      </c>
      <c r="I5747">
        <v>27.7</v>
      </c>
      <c r="J5747">
        <v>15.3</v>
      </c>
      <c r="K5747">
        <v>64</v>
      </c>
      <c r="L5747">
        <v>25.39847</v>
      </c>
      <c r="M5747">
        <v>38.6</v>
      </c>
      <c r="N5747">
        <v>14.8</v>
      </c>
      <c r="O5747">
        <v>23.8</v>
      </c>
      <c r="P5747">
        <v>29.678280000000001</v>
      </c>
      <c r="Q5747">
        <v>28</v>
      </c>
      <c r="R5747">
        <v>29.978280000000002</v>
      </c>
      <c r="S5747">
        <v>23.8</v>
      </c>
      <c r="T5747">
        <v>223.09950000000001</v>
      </c>
      <c r="U5747">
        <v>84.835819999999998</v>
      </c>
      <c r="V5747">
        <v>0</v>
      </c>
      <c r="W5747">
        <v>151.83580000000001</v>
      </c>
      <c r="X5747">
        <v>195.09950000000001</v>
      </c>
      <c r="Y5747">
        <v>0</v>
      </c>
      <c r="Z5747">
        <v>47.263680000000001</v>
      </c>
      <c r="AA5747">
        <v>3</v>
      </c>
      <c r="AB5747">
        <v>1.0973470000000001</v>
      </c>
      <c r="AC5747">
        <v>1390.4259999999999</v>
      </c>
      <c r="AD5747">
        <v>0.91544820000000005</v>
      </c>
      <c r="AE5747">
        <v>0.54066270000000005</v>
      </c>
      <c r="AF5747">
        <v>1.1956880000000001</v>
      </c>
      <c r="AG5747">
        <f>IFERROR(AH5747*0.1, "N/A")</f>
        <v>6.9348260000000002</v>
      </c>
      <c r="AH5747">
        <v>69.348259999999996</v>
      </c>
      <c r="AI5747">
        <v>128.6233</v>
      </c>
      <c r="AJ5747">
        <v>21.43449</v>
      </c>
      <c r="AK5747">
        <v>54.21725</v>
      </c>
    </row>
    <row r="5748" spans="1:37" x14ac:dyDescent="0.3">
      <c r="A5748">
        <v>5747</v>
      </c>
      <c r="B5748">
        <v>1.1000000000000001</v>
      </c>
      <c r="C5748">
        <v>-16.2149</v>
      </c>
      <c r="D5748">
        <v>16.538499999999999</v>
      </c>
      <c r="E5748">
        <f>-16.214899-16.5385</f>
        <v>-32.753399000000002</v>
      </c>
      <c r="F5748" t="s">
        <v>9184</v>
      </c>
      <c r="G5748" t="s">
        <v>37</v>
      </c>
      <c r="H5748">
        <v>1995</v>
      </c>
      <c r="I5748">
        <v>26.3</v>
      </c>
      <c r="J5748">
        <v>13.1</v>
      </c>
      <c r="K5748">
        <v>63</v>
      </c>
      <c r="L5748">
        <v>23.37</v>
      </c>
      <c r="M5748">
        <v>35.299999999999997</v>
      </c>
      <c r="N5748">
        <v>14.8</v>
      </c>
      <c r="O5748">
        <v>20.5</v>
      </c>
      <c r="P5748">
        <v>28.8</v>
      </c>
      <c r="Q5748">
        <v>25.6</v>
      </c>
      <c r="R5748">
        <v>29</v>
      </c>
      <c r="S5748">
        <v>23</v>
      </c>
      <c r="T5748">
        <v>172</v>
      </c>
      <c r="U5748">
        <v>71</v>
      </c>
      <c r="V5748">
        <v>0</v>
      </c>
      <c r="W5748">
        <v>159</v>
      </c>
      <c r="X5748">
        <v>156</v>
      </c>
      <c r="Y5748">
        <v>0</v>
      </c>
      <c r="Z5748">
        <v>138</v>
      </c>
      <c r="AA5748">
        <v>3</v>
      </c>
      <c r="AB5748">
        <v>0.38988400000000001</v>
      </c>
      <c r="AC5748">
        <v>0.15439320000000001</v>
      </c>
      <c r="AD5748">
        <v>0.67443129999999996</v>
      </c>
      <c r="AE5748">
        <v>0.40596569999999998</v>
      </c>
      <c r="AF5748">
        <v>0.95190710000000001</v>
      </c>
      <c r="AG5748">
        <f>IFERROR(AH5748*0.1, "N/A")</f>
        <v>6.7593700000000005</v>
      </c>
      <c r="AH5748">
        <v>67.593699999999998</v>
      </c>
      <c r="AI5748">
        <v>116.8827</v>
      </c>
      <c r="AJ5748">
        <v>27.729679999999998</v>
      </c>
      <c r="AK5748">
        <v>51.895519999999998</v>
      </c>
    </row>
    <row r="5749" spans="1:37" x14ac:dyDescent="0.3">
      <c r="A5749">
        <v>5748</v>
      </c>
      <c r="B5749">
        <v>0</v>
      </c>
      <c r="C5749">
        <v>-16.2149</v>
      </c>
      <c r="D5749">
        <v>16.538499999999999</v>
      </c>
      <c r="E5749">
        <f>-16.214899-16.5385</f>
        <v>-32.753399000000002</v>
      </c>
      <c r="F5749" t="s">
        <v>9185</v>
      </c>
      <c r="G5749" t="s">
        <v>39</v>
      </c>
      <c r="H5749">
        <v>1995</v>
      </c>
      <c r="I5749">
        <v>26.3</v>
      </c>
      <c r="J5749">
        <v>13.1</v>
      </c>
      <c r="K5749">
        <v>63</v>
      </c>
      <c r="L5749">
        <v>23.37</v>
      </c>
      <c r="M5749">
        <v>35.299999999999997</v>
      </c>
      <c r="N5749">
        <v>14.8</v>
      </c>
      <c r="O5749">
        <v>20.5</v>
      </c>
      <c r="P5749">
        <v>28.8</v>
      </c>
      <c r="Q5749">
        <v>25.6</v>
      </c>
      <c r="R5749">
        <v>29</v>
      </c>
      <c r="S5749">
        <v>23</v>
      </c>
      <c r="T5749">
        <v>172</v>
      </c>
      <c r="U5749">
        <v>71</v>
      </c>
      <c r="V5749">
        <v>0</v>
      </c>
      <c r="W5749">
        <v>159</v>
      </c>
      <c r="X5749">
        <v>156</v>
      </c>
      <c r="Y5749">
        <v>0</v>
      </c>
      <c r="Z5749">
        <v>138</v>
      </c>
      <c r="AA5749">
        <v>3</v>
      </c>
      <c r="AB5749">
        <v>0.38988400000000001</v>
      </c>
      <c r="AC5749">
        <v>0.15439320000000001</v>
      </c>
      <c r="AD5749">
        <v>0.67443129999999996</v>
      </c>
      <c r="AE5749">
        <v>0.40596569999999998</v>
      </c>
      <c r="AF5749">
        <v>0.95190710000000001</v>
      </c>
      <c r="AG5749">
        <f>IFERROR(AH5749*0.1, "N/A")</f>
        <v>6.7593700000000005</v>
      </c>
      <c r="AH5749">
        <v>67.593699999999998</v>
      </c>
      <c r="AI5749">
        <v>116.8827</v>
      </c>
      <c r="AJ5749">
        <v>27.729679999999998</v>
      </c>
      <c r="AK5749">
        <v>51.895519999999998</v>
      </c>
    </row>
    <row r="5750" spans="1:37" x14ac:dyDescent="0.3">
      <c r="A5750">
        <v>5749</v>
      </c>
      <c r="B5750">
        <v>6.9</v>
      </c>
      <c r="C5750">
        <v>-15.7667</v>
      </c>
      <c r="D5750">
        <v>16.55</v>
      </c>
      <c r="E5750">
        <f>-15.7667-16.549999</f>
        <v>-32.316699</v>
      </c>
      <c r="F5750" t="s">
        <v>9186</v>
      </c>
      <c r="G5750" t="s">
        <v>37</v>
      </c>
      <c r="H5750">
        <v>1995</v>
      </c>
      <c r="I5750">
        <v>27.7</v>
      </c>
      <c r="J5750">
        <v>15.3</v>
      </c>
      <c r="K5750">
        <v>64</v>
      </c>
      <c r="L5750">
        <v>25.770710000000001</v>
      </c>
      <c r="M5750">
        <v>38.6</v>
      </c>
      <c r="N5750">
        <v>14.7</v>
      </c>
      <c r="O5750">
        <v>23.9</v>
      </c>
      <c r="P5750">
        <v>29.6</v>
      </c>
      <c r="Q5750">
        <v>28</v>
      </c>
      <c r="R5750">
        <v>30</v>
      </c>
      <c r="S5750">
        <v>23.703970000000002</v>
      </c>
      <c r="T5750">
        <v>217.65450000000001</v>
      </c>
      <c r="U5750">
        <v>83.218180000000004</v>
      </c>
      <c r="V5750">
        <v>0</v>
      </c>
      <c r="W5750">
        <v>148.43639999999999</v>
      </c>
      <c r="X5750">
        <v>190.65450000000001</v>
      </c>
      <c r="Y5750">
        <v>0</v>
      </c>
      <c r="Z5750">
        <v>46.218179999999997</v>
      </c>
      <c r="AA5750">
        <v>3</v>
      </c>
      <c r="AB5750">
        <v>0.89322319999999999</v>
      </c>
      <c r="AC5750">
        <v>6.6674360000000002E-2</v>
      </c>
      <c r="AD5750">
        <v>1.2849649999999999</v>
      </c>
      <c r="AE5750">
        <v>0.37401489999999998</v>
      </c>
      <c r="AF5750">
        <v>3.0446279999999999</v>
      </c>
      <c r="AG5750">
        <f>IFERROR(AH5750*0.1, "N/A")</f>
        <v>7.2439670000000014</v>
      </c>
      <c r="AH5750">
        <v>72.439670000000007</v>
      </c>
      <c r="AI5750">
        <v>142.01400000000001</v>
      </c>
      <c r="AJ5750">
        <v>15.21983</v>
      </c>
      <c r="AK5750">
        <v>69.780169999999998</v>
      </c>
    </row>
    <row r="5751" spans="1:37" x14ac:dyDescent="0.3">
      <c r="A5751">
        <v>5750</v>
      </c>
      <c r="B5751">
        <v>0</v>
      </c>
      <c r="C5751">
        <v>-15.7667</v>
      </c>
      <c r="D5751">
        <v>16.55</v>
      </c>
      <c r="E5751">
        <f>-15.7667-16.549999</f>
        <v>-32.316699</v>
      </c>
      <c r="F5751" t="s">
        <v>9187</v>
      </c>
      <c r="G5751" t="s">
        <v>39</v>
      </c>
      <c r="H5751">
        <v>1995</v>
      </c>
      <c r="I5751">
        <v>27.7</v>
      </c>
      <c r="J5751">
        <v>15.3</v>
      </c>
      <c r="K5751">
        <v>64</v>
      </c>
      <c r="L5751">
        <v>25.770710000000001</v>
      </c>
      <c r="M5751">
        <v>38.6</v>
      </c>
      <c r="N5751">
        <v>14.7</v>
      </c>
      <c r="O5751">
        <v>23.9</v>
      </c>
      <c r="P5751">
        <v>29.6</v>
      </c>
      <c r="Q5751">
        <v>28</v>
      </c>
      <c r="R5751">
        <v>30</v>
      </c>
      <c r="S5751">
        <v>23.703970000000002</v>
      </c>
      <c r="T5751">
        <v>217.65450000000001</v>
      </c>
      <c r="U5751">
        <v>83.218180000000004</v>
      </c>
      <c r="V5751">
        <v>0</v>
      </c>
      <c r="W5751">
        <v>148.43639999999999</v>
      </c>
      <c r="X5751">
        <v>190.65450000000001</v>
      </c>
      <c r="Y5751">
        <v>0</v>
      </c>
      <c r="Z5751">
        <v>46.218179999999997</v>
      </c>
      <c r="AA5751">
        <v>3</v>
      </c>
      <c r="AB5751">
        <v>0.89322319999999999</v>
      </c>
      <c r="AC5751">
        <v>6.6674360000000002E-2</v>
      </c>
      <c r="AD5751">
        <v>1.2849649999999999</v>
      </c>
      <c r="AE5751">
        <v>0.37401489999999998</v>
      </c>
      <c r="AF5751">
        <v>3.0446279999999999</v>
      </c>
      <c r="AG5751">
        <f>IFERROR(AH5751*0.1, "N/A")</f>
        <v>7.2439670000000014</v>
      </c>
      <c r="AH5751">
        <v>72.439670000000007</v>
      </c>
      <c r="AI5751">
        <v>142.01400000000001</v>
      </c>
      <c r="AJ5751">
        <v>15.21983</v>
      </c>
      <c r="AK5751">
        <v>69.780169999999998</v>
      </c>
    </row>
    <row r="5752" spans="1:37" x14ac:dyDescent="0.3">
      <c r="A5752">
        <v>5751</v>
      </c>
      <c r="B5752">
        <v>83.3</v>
      </c>
      <c r="C5752">
        <v>-15.52</v>
      </c>
      <c r="D5752">
        <v>16.555800000000001</v>
      </c>
      <c r="E5752">
        <f>-15.52-16.555799</f>
        <v>-32.075799000000004</v>
      </c>
      <c r="F5752" t="s">
        <v>9188</v>
      </c>
      <c r="G5752" t="s">
        <v>39</v>
      </c>
      <c r="H5752">
        <v>2007</v>
      </c>
      <c r="I5752">
        <v>27.6</v>
      </c>
      <c r="J5752">
        <v>15.5</v>
      </c>
      <c r="K5752">
        <v>63</v>
      </c>
      <c r="L5752">
        <v>25.86</v>
      </c>
      <c r="M5752">
        <v>38.9</v>
      </c>
      <c r="N5752">
        <v>14.5</v>
      </c>
      <c r="O5752">
        <v>24.4</v>
      </c>
      <c r="P5752">
        <v>29.4</v>
      </c>
      <c r="Q5752">
        <v>28.2</v>
      </c>
      <c r="R5752">
        <v>30</v>
      </c>
      <c r="S5752">
        <v>23.5</v>
      </c>
      <c r="T5752">
        <v>224</v>
      </c>
      <c r="U5752">
        <v>84</v>
      </c>
      <c r="V5752">
        <v>0</v>
      </c>
      <c r="W5752">
        <v>152</v>
      </c>
      <c r="X5752">
        <v>196</v>
      </c>
      <c r="Y5752">
        <v>0</v>
      </c>
      <c r="Z5752">
        <v>49</v>
      </c>
      <c r="AA5752">
        <v>3</v>
      </c>
      <c r="AB5752">
        <v>2.3500830000000001</v>
      </c>
      <c r="AC5752">
        <v>28.11673</v>
      </c>
      <c r="AD5752">
        <v>1.791539</v>
      </c>
      <c r="AE5752">
        <v>0.30156959999999999</v>
      </c>
      <c r="AF5752">
        <v>4.8706469999999999</v>
      </c>
      <c r="AG5752">
        <f>IFERROR(AH5752*0.1, "N/A")</f>
        <v>6.9008290000000008</v>
      </c>
      <c r="AH5752">
        <v>69.008290000000002</v>
      </c>
      <c r="AI5752">
        <v>109.4697</v>
      </c>
      <c r="AJ5752">
        <v>23</v>
      </c>
      <c r="AK5752">
        <v>57.016579999999998</v>
      </c>
    </row>
    <row r="5753" spans="1:37" x14ac:dyDescent="0.3">
      <c r="A5753">
        <v>5752</v>
      </c>
      <c r="B5753">
        <v>7.4</v>
      </c>
      <c r="C5753">
        <v>-15.52</v>
      </c>
      <c r="D5753">
        <v>16.555800000000001</v>
      </c>
      <c r="E5753">
        <f>-15.52-16.555799</f>
        <v>-32.075799000000004</v>
      </c>
      <c r="F5753" t="s">
        <v>9189</v>
      </c>
      <c r="G5753" t="s">
        <v>37</v>
      </c>
      <c r="H5753">
        <v>2007</v>
      </c>
      <c r="I5753">
        <v>27.6</v>
      </c>
      <c r="J5753">
        <v>15.5</v>
      </c>
      <c r="K5753">
        <v>63</v>
      </c>
      <c r="L5753">
        <v>25.86</v>
      </c>
      <c r="M5753">
        <v>38.9</v>
      </c>
      <c r="N5753">
        <v>14.5</v>
      </c>
      <c r="O5753">
        <v>24.4</v>
      </c>
      <c r="P5753">
        <v>29.4</v>
      </c>
      <c r="Q5753">
        <v>28.2</v>
      </c>
      <c r="R5753">
        <v>30</v>
      </c>
      <c r="S5753">
        <v>23.5</v>
      </c>
      <c r="T5753">
        <v>224</v>
      </c>
      <c r="U5753">
        <v>84</v>
      </c>
      <c r="V5753">
        <v>0</v>
      </c>
      <c r="W5753">
        <v>152</v>
      </c>
      <c r="X5753">
        <v>196</v>
      </c>
      <c r="Y5753">
        <v>0</v>
      </c>
      <c r="Z5753">
        <v>49</v>
      </c>
      <c r="AA5753">
        <v>3</v>
      </c>
      <c r="AB5753">
        <v>2.3500830000000001</v>
      </c>
      <c r="AC5753">
        <v>28.11673</v>
      </c>
      <c r="AD5753">
        <v>1.791539</v>
      </c>
      <c r="AE5753">
        <v>0.30156959999999999</v>
      </c>
      <c r="AF5753">
        <v>4.8706469999999999</v>
      </c>
      <c r="AG5753">
        <f>IFERROR(AH5753*0.1, "N/A")</f>
        <v>6.9008290000000008</v>
      </c>
      <c r="AH5753">
        <v>69.008290000000002</v>
      </c>
      <c r="AI5753">
        <v>109.4697</v>
      </c>
      <c r="AJ5753">
        <v>23</v>
      </c>
      <c r="AK5753">
        <v>57.016579999999998</v>
      </c>
    </row>
    <row r="5754" spans="1:37" x14ac:dyDescent="0.3">
      <c r="A5754">
        <v>5753</v>
      </c>
      <c r="B5754">
        <v>75</v>
      </c>
      <c r="C5754">
        <v>-15.505599999999999</v>
      </c>
      <c r="D5754">
        <v>16.5717</v>
      </c>
      <c r="E5754">
        <f>-15.5056-16.571699</f>
        <v>-32.077298999999996</v>
      </c>
      <c r="F5754" t="s">
        <v>9190</v>
      </c>
      <c r="G5754" t="s">
        <v>39</v>
      </c>
      <c r="H5754">
        <v>2001</v>
      </c>
      <c r="I5754">
        <v>27.6</v>
      </c>
      <c r="J5754">
        <v>15.5</v>
      </c>
      <c r="K5754">
        <v>63</v>
      </c>
      <c r="L5754">
        <v>26.17</v>
      </c>
      <c r="M5754">
        <v>39</v>
      </c>
      <c r="N5754">
        <v>14.5</v>
      </c>
      <c r="O5754">
        <v>24.5</v>
      </c>
      <c r="P5754">
        <v>29.4</v>
      </c>
      <c r="Q5754">
        <v>28.3</v>
      </c>
      <c r="R5754">
        <v>30.1</v>
      </c>
      <c r="S5754">
        <v>23.5</v>
      </c>
      <c r="T5754">
        <v>223</v>
      </c>
      <c r="U5754">
        <v>83</v>
      </c>
      <c r="V5754">
        <v>0</v>
      </c>
      <c r="W5754">
        <v>151</v>
      </c>
      <c r="X5754">
        <v>195</v>
      </c>
      <c r="Y5754">
        <v>0</v>
      </c>
      <c r="Z5754">
        <v>49</v>
      </c>
      <c r="AA5754">
        <v>3</v>
      </c>
      <c r="AB5754">
        <v>5.6720660000000001</v>
      </c>
      <c r="AC5754">
        <v>9.0939980000000007E-3</v>
      </c>
      <c r="AD5754">
        <v>1.164401</v>
      </c>
      <c r="AE5754">
        <v>0.28154689999999999</v>
      </c>
      <c r="AF5754">
        <v>5.5966940000000003</v>
      </c>
      <c r="AG5754">
        <f>IFERROR(AH5754*0.1, "N/A")</f>
        <v>7.4575209999999998</v>
      </c>
      <c r="AH5754">
        <v>74.575209999999998</v>
      </c>
      <c r="AI5754">
        <v>128.49629999999999</v>
      </c>
      <c r="AJ5754">
        <v>27.424790000000002</v>
      </c>
      <c r="AK5754">
        <v>51.766939999999998</v>
      </c>
    </row>
    <row r="5755" spans="1:37" x14ac:dyDescent="0.3">
      <c r="A5755">
        <v>5754</v>
      </c>
      <c r="B5755">
        <v>0</v>
      </c>
      <c r="C5755">
        <v>-15.505599999999999</v>
      </c>
      <c r="D5755">
        <v>16.5717</v>
      </c>
      <c r="E5755">
        <f>-15.5056-16.571699</f>
        <v>-32.077298999999996</v>
      </c>
      <c r="F5755" t="s">
        <v>9191</v>
      </c>
      <c r="G5755" t="s">
        <v>37</v>
      </c>
      <c r="H5755">
        <v>2001</v>
      </c>
      <c r="I5755">
        <v>27.6</v>
      </c>
      <c r="J5755">
        <v>15.5</v>
      </c>
      <c r="K5755">
        <v>63</v>
      </c>
      <c r="L5755">
        <v>26.17</v>
      </c>
      <c r="M5755">
        <v>39</v>
      </c>
      <c r="N5755">
        <v>14.5</v>
      </c>
      <c r="O5755">
        <v>24.5</v>
      </c>
      <c r="P5755">
        <v>29.4</v>
      </c>
      <c r="Q5755">
        <v>28.3</v>
      </c>
      <c r="R5755">
        <v>30.1</v>
      </c>
      <c r="S5755">
        <v>23.5</v>
      </c>
      <c r="T5755">
        <v>223</v>
      </c>
      <c r="U5755">
        <v>83</v>
      </c>
      <c r="V5755">
        <v>0</v>
      </c>
      <c r="W5755">
        <v>151</v>
      </c>
      <c r="X5755">
        <v>195</v>
      </c>
      <c r="Y5755">
        <v>0</v>
      </c>
      <c r="Z5755">
        <v>49</v>
      </c>
      <c r="AA5755">
        <v>3</v>
      </c>
      <c r="AB5755">
        <v>5.6720660000000001</v>
      </c>
      <c r="AC5755">
        <v>9.0939980000000007E-3</v>
      </c>
      <c r="AD5755">
        <v>1.164401</v>
      </c>
      <c r="AE5755">
        <v>0.28154689999999999</v>
      </c>
      <c r="AF5755">
        <v>5.5966940000000003</v>
      </c>
      <c r="AG5755">
        <f>IFERROR(AH5755*0.1, "N/A")</f>
        <v>7.4575209999999998</v>
      </c>
      <c r="AH5755">
        <v>74.575209999999998</v>
      </c>
      <c r="AI5755">
        <v>128.49629999999999</v>
      </c>
      <c r="AJ5755">
        <v>27.424790000000002</v>
      </c>
      <c r="AK5755">
        <v>51.766939999999998</v>
      </c>
    </row>
    <row r="5756" spans="1:37" x14ac:dyDescent="0.3">
      <c r="A5756">
        <v>5755</v>
      </c>
      <c r="B5756">
        <v>83.3</v>
      </c>
      <c r="C5756">
        <v>-15.4597</v>
      </c>
      <c r="D5756">
        <v>16.578099999999999</v>
      </c>
      <c r="E5756">
        <f>-15.4597-16.5781</f>
        <v>-32.037799999999997</v>
      </c>
      <c r="F5756" t="s">
        <v>9192</v>
      </c>
      <c r="G5756" t="s">
        <v>39</v>
      </c>
      <c r="H5756">
        <v>2001</v>
      </c>
      <c r="I5756">
        <v>27.6</v>
      </c>
      <c r="J5756">
        <v>15.5</v>
      </c>
      <c r="K5756">
        <v>63</v>
      </c>
      <c r="L5756">
        <v>26.41</v>
      </c>
      <c r="M5756">
        <v>39.1</v>
      </c>
      <c r="N5756">
        <v>14.5</v>
      </c>
      <c r="O5756">
        <v>24.6</v>
      </c>
      <c r="P5756">
        <v>29.4</v>
      </c>
      <c r="Q5756">
        <v>28.3</v>
      </c>
      <c r="R5756">
        <v>30.2</v>
      </c>
      <c r="S5756">
        <v>23.5</v>
      </c>
      <c r="T5756">
        <v>223</v>
      </c>
      <c r="U5756">
        <v>83</v>
      </c>
      <c r="V5756">
        <v>0</v>
      </c>
      <c r="W5756">
        <v>151</v>
      </c>
      <c r="X5756">
        <v>195</v>
      </c>
      <c r="Y5756">
        <v>0</v>
      </c>
      <c r="Z5756">
        <v>49</v>
      </c>
      <c r="AA5756">
        <v>3</v>
      </c>
      <c r="AB5756">
        <v>1.081653</v>
      </c>
      <c r="AC5756">
        <v>2.7213169999999998E-2</v>
      </c>
      <c r="AD5756">
        <v>0.50709689999999996</v>
      </c>
      <c r="AE5756">
        <v>0.38244470000000003</v>
      </c>
      <c r="AF5756">
        <v>4.236364</v>
      </c>
      <c r="AG5756">
        <f>IFERROR(AH5756*0.1, "N/A")</f>
        <v>6.5629750000000007</v>
      </c>
      <c r="AH5756">
        <v>65.629750000000001</v>
      </c>
      <c r="AI5756">
        <v>89.804419999999993</v>
      </c>
      <c r="AJ5756">
        <v>19.327269999999999</v>
      </c>
      <c r="AK5756">
        <v>62.672730000000001</v>
      </c>
    </row>
    <row r="5757" spans="1:37" x14ac:dyDescent="0.3">
      <c r="A5757">
        <v>5756</v>
      </c>
      <c r="B5757">
        <v>16.7</v>
      </c>
      <c r="C5757">
        <v>-15.4597</v>
      </c>
      <c r="D5757">
        <v>16.578099999999999</v>
      </c>
      <c r="E5757">
        <f>-15.4597-16.5781</f>
        <v>-32.037799999999997</v>
      </c>
      <c r="F5757" t="s">
        <v>9193</v>
      </c>
      <c r="G5757" t="s">
        <v>37</v>
      </c>
      <c r="H5757">
        <v>2001</v>
      </c>
      <c r="I5757">
        <v>27.6</v>
      </c>
      <c r="J5757">
        <v>15.5</v>
      </c>
      <c r="K5757">
        <v>63</v>
      </c>
      <c r="L5757">
        <v>26.41</v>
      </c>
      <c r="M5757">
        <v>39.1</v>
      </c>
      <c r="N5757">
        <v>14.5</v>
      </c>
      <c r="O5757">
        <v>24.6</v>
      </c>
      <c r="P5757">
        <v>29.4</v>
      </c>
      <c r="Q5757">
        <v>28.3</v>
      </c>
      <c r="R5757">
        <v>30.2</v>
      </c>
      <c r="S5757">
        <v>23.5</v>
      </c>
      <c r="T5757">
        <v>223</v>
      </c>
      <c r="U5757">
        <v>83</v>
      </c>
      <c r="V5757">
        <v>0</v>
      </c>
      <c r="W5757">
        <v>151</v>
      </c>
      <c r="X5757">
        <v>195</v>
      </c>
      <c r="Y5757">
        <v>0</v>
      </c>
      <c r="Z5757">
        <v>49</v>
      </c>
      <c r="AA5757">
        <v>3</v>
      </c>
      <c r="AB5757">
        <v>1.081653</v>
      </c>
      <c r="AC5757">
        <v>2.7213169999999998E-2</v>
      </c>
      <c r="AD5757">
        <v>0.50709689999999996</v>
      </c>
      <c r="AE5757">
        <v>0.38244470000000003</v>
      </c>
      <c r="AF5757">
        <v>4.236364</v>
      </c>
      <c r="AG5757">
        <f>IFERROR(AH5757*0.1, "N/A")</f>
        <v>6.5629750000000007</v>
      </c>
      <c r="AH5757">
        <v>65.629750000000001</v>
      </c>
      <c r="AI5757">
        <v>89.804419999999993</v>
      </c>
      <c r="AJ5757">
        <v>19.327269999999999</v>
      </c>
      <c r="AK5757">
        <v>62.672730000000001</v>
      </c>
    </row>
    <row r="5758" spans="1:37" x14ac:dyDescent="0.3">
      <c r="A5758">
        <v>5757</v>
      </c>
      <c r="B5758">
        <v>48.5</v>
      </c>
      <c r="C5758">
        <v>-14.2706</v>
      </c>
      <c r="D5758">
        <v>16.580300000000001</v>
      </c>
      <c r="E5758">
        <f>-14.2706-16.580299</f>
        <v>-30.850898999999998</v>
      </c>
      <c r="F5758" t="s">
        <v>9194</v>
      </c>
      <c r="G5758" t="s">
        <v>39</v>
      </c>
      <c r="H5758">
        <v>1981</v>
      </c>
      <c r="I5758">
        <v>29</v>
      </c>
      <c r="J5758">
        <v>15.1</v>
      </c>
      <c r="K5758">
        <v>57</v>
      </c>
      <c r="L5758">
        <v>34.1</v>
      </c>
      <c r="M5758">
        <v>40.799999999999997</v>
      </c>
      <c r="N5758">
        <v>14.5</v>
      </c>
      <c r="O5758">
        <v>26.3</v>
      </c>
      <c r="P5758">
        <v>31.6</v>
      </c>
      <c r="Q5758">
        <v>30.1</v>
      </c>
      <c r="R5758">
        <v>32.4</v>
      </c>
      <c r="S5758">
        <v>23.7</v>
      </c>
      <c r="T5758">
        <v>247</v>
      </c>
      <c r="U5758">
        <v>92</v>
      </c>
      <c r="V5758">
        <v>0</v>
      </c>
      <c r="W5758">
        <v>149</v>
      </c>
      <c r="X5758">
        <v>218</v>
      </c>
      <c r="Y5758">
        <v>0</v>
      </c>
      <c r="Z5758">
        <v>68</v>
      </c>
      <c r="AA5758">
        <v>2</v>
      </c>
      <c r="AB5758">
        <v>2.1142150000000002</v>
      </c>
      <c r="AC5758">
        <v>4.3394410000000001E-2</v>
      </c>
      <c r="AD5758">
        <v>1.054351</v>
      </c>
      <c r="AE5758">
        <v>0.30972860000000002</v>
      </c>
      <c r="AF5758">
        <v>6.381818</v>
      </c>
      <c r="AG5758">
        <f>IFERROR(AH5758*0.1, "N/A")</f>
        <v>6.9062809999999999</v>
      </c>
      <c r="AH5758">
        <v>69.062809999999999</v>
      </c>
      <c r="AI5758">
        <v>254.10149999999999</v>
      </c>
      <c r="AJ5758">
        <v>25.12893</v>
      </c>
      <c r="AK5758">
        <v>56.811570000000003</v>
      </c>
    </row>
    <row r="5759" spans="1:37" x14ac:dyDescent="0.3">
      <c r="A5759">
        <v>5758</v>
      </c>
      <c r="B5759">
        <v>10.8</v>
      </c>
      <c r="C5759">
        <v>-15.45</v>
      </c>
      <c r="D5759">
        <v>16.583300000000001</v>
      </c>
      <c r="E5759">
        <f>-15.45-16.5833</f>
        <v>-32.033299999999997</v>
      </c>
      <c r="F5759" t="s">
        <v>9195</v>
      </c>
      <c r="G5759" t="s">
        <v>37</v>
      </c>
      <c r="H5759">
        <v>1995</v>
      </c>
      <c r="I5759">
        <v>27.7</v>
      </c>
      <c r="J5759">
        <v>15.5</v>
      </c>
      <c r="K5759">
        <v>62.389069999999997</v>
      </c>
      <c r="L5759">
        <v>26.574739999999998</v>
      </c>
      <c r="M5759">
        <v>39.161090000000002</v>
      </c>
      <c r="N5759">
        <v>14.5</v>
      </c>
      <c r="O5759">
        <v>24.661090000000002</v>
      </c>
      <c r="P5759">
        <v>29.4</v>
      </c>
      <c r="Q5759">
        <v>28.361090000000001</v>
      </c>
      <c r="R5759">
        <v>30.2</v>
      </c>
      <c r="S5759">
        <v>23.5</v>
      </c>
      <c r="T5759">
        <v>223.1722</v>
      </c>
      <c r="U5759">
        <v>83.172190000000001</v>
      </c>
      <c r="V5759">
        <v>0</v>
      </c>
      <c r="W5759">
        <v>151.1722</v>
      </c>
      <c r="X5759">
        <v>195.1722</v>
      </c>
      <c r="Y5759">
        <v>0</v>
      </c>
      <c r="Z5759">
        <v>49</v>
      </c>
      <c r="AA5759">
        <v>3</v>
      </c>
      <c r="AB5759">
        <v>2.8458610000000002</v>
      </c>
      <c r="AC5759">
        <v>1.535281E-2</v>
      </c>
      <c r="AD5759">
        <v>1.3092299999999999</v>
      </c>
      <c r="AE5759">
        <v>0.31429659999999998</v>
      </c>
      <c r="AF5759">
        <v>1.877483</v>
      </c>
      <c r="AG5759">
        <f>IFERROR(AH5759*0.1, "N/A")</f>
        <v>6.2779800000000003</v>
      </c>
      <c r="AH5759">
        <v>62.779800000000002</v>
      </c>
      <c r="AI5759">
        <v>121.5765</v>
      </c>
      <c r="AJ5759">
        <v>26.021519999999999</v>
      </c>
      <c r="AK5759">
        <v>54.756619999999998</v>
      </c>
    </row>
    <row r="5760" spans="1:37" x14ac:dyDescent="0.3">
      <c r="A5760">
        <v>5759</v>
      </c>
      <c r="B5760">
        <v>0</v>
      </c>
      <c r="C5760">
        <v>-15.45</v>
      </c>
      <c r="D5760">
        <v>16.583300000000001</v>
      </c>
      <c r="E5760">
        <f>-15.45-16.5833</f>
        <v>-32.033299999999997</v>
      </c>
      <c r="F5760" t="s">
        <v>9196</v>
      </c>
      <c r="G5760" t="s">
        <v>39</v>
      </c>
      <c r="H5760">
        <v>1995</v>
      </c>
      <c r="I5760">
        <v>27.7</v>
      </c>
      <c r="J5760">
        <v>15.5</v>
      </c>
      <c r="K5760">
        <v>62.389069999999997</v>
      </c>
      <c r="L5760">
        <v>26.574739999999998</v>
      </c>
      <c r="M5760">
        <v>39.161090000000002</v>
      </c>
      <c r="N5760">
        <v>14.5</v>
      </c>
      <c r="O5760">
        <v>24.661090000000002</v>
      </c>
      <c r="P5760">
        <v>29.4</v>
      </c>
      <c r="Q5760">
        <v>28.361090000000001</v>
      </c>
      <c r="R5760">
        <v>30.2</v>
      </c>
      <c r="S5760">
        <v>23.5</v>
      </c>
      <c r="T5760">
        <v>223.1722</v>
      </c>
      <c r="U5760">
        <v>83.172190000000001</v>
      </c>
      <c r="V5760">
        <v>0</v>
      </c>
      <c r="W5760">
        <v>151.1722</v>
      </c>
      <c r="X5760">
        <v>195.1722</v>
      </c>
      <c r="Y5760">
        <v>0</v>
      </c>
      <c r="Z5760">
        <v>49</v>
      </c>
      <c r="AA5760">
        <v>3</v>
      </c>
      <c r="AB5760">
        <v>2.8458610000000002</v>
      </c>
      <c r="AC5760">
        <v>1.535281E-2</v>
      </c>
      <c r="AD5760">
        <v>1.3092299999999999</v>
      </c>
      <c r="AE5760">
        <v>0.31429659999999998</v>
      </c>
      <c r="AF5760">
        <v>1.877483</v>
      </c>
      <c r="AG5760">
        <f>IFERROR(AH5760*0.1, "N/A")</f>
        <v>6.2779800000000003</v>
      </c>
      <c r="AH5760">
        <v>62.779800000000002</v>
      </c>
      <c r="AI5760">
        <v>121.5765</v>
      </c>
      <c r="AJ5760">
        <v>26.021519999999999</v>
      </c>
      <c r="AK5760">
        <v>54.756619999999998</v>
      </c>
    </row>
    <row r="5761" spans="1:37" x14ac:dyDescent="0.3">
      <c r="A5761">
        <v>5760</v>
      </c>
      <c r="B5761">
        <v>0</v>
      </c>
      <c r="C5761">
        <v>-15.65</v>
      </c>
      <c r="D5761">
        <v>16.583300000000001</v>
      </c>
      <c r="E5761">
        <f>-15.65-16.5833</f>
        <v>-32.2333</v>
      </c>
      <c r="F5761" t="s">
        <v>9197</v>
      </c>
      <c r="G5761" t="s">
        <v>37</v>
      </c>
      <c r="H5761">
        <v>1995</v>
      </c>
      <c r="I5761">
        <v>27.6</v>
      </c>
      <c r="J5761">
        <v>15.4</v>
      </c>
      <c r="K5761">
        <v>63</v>
      </c>
      <c r="L5761">
        <v>26.15399</v>
      </c>
      <c r="M5761">
        <v>38.799999999999997</v>
      </c>
      <c r="N5761">
        <v>14.6</v>
      </c>
      <c r="O5761">
        <v>24.2</v>
      </c>
      <c r="P5761">
        <v>29.5</v>
      </c>
      <c r="Q5761">
        <v>28.1</v>
      </c>
      <c r="R5761">
        <v>30.1</v>
      </c>
      <c r="S5761">
        <v>23.5</v>
      </c>
      <c r="T5761">
        <v>217.1728</v>
      </c>
      <c r="U5761">
        <v>82.172759999999997</v>
      </c>
      <c r="V5761">
        <v>0</v>
      </c>
      <c r="W5761">
        <v>147.1728</v>
      </c>
      <c r="X5761">
        <v>190.1728</v>
      </c>
      <c r="Y5761">
        <v>0</v>
      </c>
      <c r="Z5761">
        <v>47</v>
      </c>
      <c r="AA5761">
        <v>3</v>
      </c>
      <c r="AB5761">
        <v>0.91461789999999998</v>
      </c>
      <c r="AC5761">
        <v>8.7437910000000008E-3</v>
      </c>
      <c r="AD5761">
        <v>1.1427639999999999</v>
      </c>
      <c r="AE5761">
        <v>0.41958499999999999</v>
      </c>
      <c r="AF5761">
        <v>3.0664449999999999</v>
      </c>
      <c r="AG5761">
        <f>IFERROR(AH5761*0.1, "N/A")</f>
        <v>7.0014950000000002</v>
      </c>
      <c r="AH5761">
        <v>70.014949999999999</v>
      </c>
      <c r="AI5761">
        <v>190.9915</v>
      </c>
      <c r="AJ5761">
        <v>29.267440000000001</v>
      </c>
      <c r="AK5761">
        <v>49.328899999999997</v>
      </c>
    </row>
    <row r="5762" spans="1:37" x14ac:dyDescent="0.3">
      <c r="A5762">
        <v>5761</v>
      </c>
      <c r="B5762">
        <v>0</v>
      </c>
      <c r="C5762">
        <v>-15.65</v>
      </c>
      <c r="D5762">
        <v>16.583300000000001</v>
      </c>
      <c r="E5762">
        <f>-15.65-16.5833</f>
        <v>-32.2333</v>
      </c>
      <c r="F5762" t="s">
        <v>9198</v>
      </c>
      <c r="G5762" t="s">
        <v>39</v>
      </c>
      <c r="H5762">
        <v>1995</v>
      </c>
      <c r="I5762">
        <v>27.6</v>
      </c>
      <c r="J5762">
        <v>15.4</v>
      </c>
      <c r="K5762">
        <v>63</v>
      </c>
      <c r="L5762">
        <v>26.15399</v>
      </c>
      <c r="M5762">
        <v>38.799999999999997</v>
      </c>
      <c r="N5762">
        <v>14.6</v>
      </c>
      <c r="O5762">
        <v>24.2</v>
      </c>
      <c r="P5762">
        <v>29.5</v>
      </c>
      <c r="Q5762">
        <v>28.1</v>
      </c>
      <c r="R5762">
        <v>30.1</v>
      </c>
      <c r="S5762">
        <v>23.5</v>
      </c>
      <c r="T5762">
        <v>217.1728</v>
      </c>
      <c r="U5762">
        <v>82.172759999999997</v>
      </c>
      <c r="V5762">
        <v>0</v>
      </c>
      <c r="W5762">
        <v>147.1728</v>
      </c>
      <c r="X5762">
        <v>190.1728</v>
      </c>
      <c r="Y5762">
        <v>0</v>
      </c>
      <c r="Z5762">
        <v>47</v>
      </c>
      <c r="AA5762">
        <v>3</v>
      </c>
      <c r="AB5762">
        <v>0.91461789999999998</v>
      </c>
      <c r="AC5762">
        <v>8.7437910000000008E-3</v>
      </c>
      <c r="AD5762">
        <v>1.1427639999999999</v>
      </c>
      <c r="AE5762">
        <v>0.41958499999999999</v>
      </c>
      <c r="AF5762">
        <v>3.0664449999999999</v>
      </c>
      <c r="AG5762">
        <f>IFERROR(AH5762*0.1, "N/A")</f>
        <v>7.0014950000000002</v>
      </c>
      <c r="AH5762">
        <v>70.014949999999999</v>
      </c>
      <c r="AI5762">
        <v>190.9915</v>
      </c>
      <c r="AJ5762">
        <v>29.267440000000001</v>
      </c>
      <c r="AK5762">
        <v>49.328899999999997</v>
      </c>
    </row>
    <row r="5763" spans="1:37" x14ac:dyDescent="0.3">
      <c r="A5763">
        <v>5762</v>
      </c>
      <c r="B5763">
        <v>23</v>
      </c>
      <c r="C5763">
        <v>-15.455500000000001</v>
      </c>
      <c r="D5763">
        <v>16.591699999999999</v>
      </c>
      <c r="E5763">
        <f>-15.4555-16.5917</f>
        <v>-32.047200000000004</v>
      </c>
      <c r="F5763" t="s">
        <v>9199</v>
      </c>
      <c r="G5763" t="s">
        <v>39</v>
      </c>
      <c r="H5763">
        <v>1981</v>
      </c>
      <c r="I5763">
        <v>27.7</v>
      </c>
      <c r="J5763">
        <v>15.5</v>
      </c>
      <c r="K5763">
        <v>63</v>
      </c>
      <c r="L5763">
        <v>26.597020000000001</v>
      </c>
      <c r="M5763">
        <v>39.13626</v>
      </c>
      <c r="N5763">
        <v>14.53626</v>
      </c>
      <c r="O5763">
        <v>24.6</v>
      </c>
      <c r="P5763">
        <v>29.4</v>
      </c>
      <c r="Q5763">
        <v>28.336259999999999</v>
      </c>
      <c r="R5763">
        <v>30.236260000000001</v>
      </c>
      <c r="S5763">
        <v>23.463740000000001</v>
      </c>
      <c r="T5763">
        <v>222.63740000000001</v>
      </c>
      <c r="U5763">
        <v>83</v>
      </c>
      <c r="V5763">
        <v>0</v>
      </c>
      <c r="W5763">
        <v>150.63740000000001</v>
      </c>
      <c r="X5763">
        <v>194.63740000000001</v>
      </c>
      <c r="Y5763">
        <v>0</v>
      </c>
      <c r="Z5763">
        <v>49</v>
      </c>
      <c r="AA5763">
        <v>3</v>
      </c>
      <c r="AB5763">
        <v>7.4899009999999997</v>
      </c>
      <c r="AC5763">
        <v>8.3208350000000004E-3</v>
      </c>
      <c r="AD5763">
        <v>1.0811409999999999</v>
      </c>
      <c r="AE5763">
        <v>0.31538300000000002</v>
      </c>
      <c r="AF5763">
        <v>6.3162250000000002</v>
      </c>
      <c r="AG5763">
        <f>IFERROR(AH5763*0.1, "N/A")</f>
        <v>7.1821190000000001</v>
      </c>
      <c r="AH5763">
        <v>71.821190000000001</v>
      </c>
      <c r="AI5763">
        <v>101.69629999999999</v>
      </c>
      <c r="AJ5763">
        <v>26.089400000000001</v>
      </c>
      <c r="AK5763">
        <v>56.895699999999998</v>
      </c>
    </row>
    <row r="5764" spans="1:37" x14ac:dyDescent="0.3">
      <c r="A5764">
        <v>5763</v>
      </c>
      <c r="B5764">
        <v>71.400000000000006</v>
      </c>
      <c r="C5764">
        <v>-15.4544</v>
      </c>
      <c r="D5764">
        <v>16.593900000000001</v>
      </c>
      <c r="E5764">
        <f>-15.4544-16.593901</f>
        <v>-32.048300999999995</v>
      </c>
      <c r="F5764" t="s">
        <v>9200</v>
      </c>
      <c r="G5764" t="s">
        <v>39</v>
      </c>
      <c r="H5764">
        <v>2001</v>
      </c>
      <c r="I5764">
        <v>27.7</v>
      </c>
      <c r="J5764">
        <v>15.5</v>
      </c>
      <c r="K5764">
        <v>63</v>
      </c>
      <c r="L5764">
        <v>26.75</v>
      </c>
      <c r="M5764">
        <v>39.200000000000003</v>
      </c>
      <c r="N5764">
        <v>14.6</v>
      </c>
      <c r="O5764">
        <v>24.6</v>
      </c>
      <c r="P5764">
        <v>29.4</v>
      </c>
      <c r="Q5764">
        <v>28.4</v>
      </c>
      <c r="R5764">
        <v>30.3</v>
      </c>
      <c r="S5764">
        <v>23.4</v>
      </c>
      <c r="T5764">
        <v>222</v>
      </c>
      <c r="U5764">
        <v>83</v>
      </c>
      <c r="V5764">
        <v>0</v>
      </c>
      <c r="W5764">
        <v>150</v>
      </c>
      <c r="X5764">
        <v>194</v>
      </c>
      <c r="Y5764">
        <v>0</v>
      </c>
      <c r="Z5764">
        <v>49</v>
      </c>
      <c r="AA5764">
        <v>3</v>
      </c>
      <c r="AB5764">
        <v>7.1064360000000004</v>
      </c>
      <c r="AC5764">
        <v>1.52201E-2</v>
      </c>
      <c r="AD5764">
        <v>1.400442</v>
      </c>
      <c r="AE5764">
        <v>0.31896409999999997</v>
      </c>
      <c r="AF5764">
        <v>5.3778879999999996</v>
      </c>
      <c r="AG5764">
        <f>IFERROR(AH5764*0.1, "N/A")</f>
        <v>6.7391090000000009</v>
      </c>
      <c r="AH5764">
        <v>67.391090000000005</v>
      </c>
      <c r="AI5764">
        <v>88.109290000000001</v>
      </c>
      <c r="AJ5764">
        <v>23.768979999999999</v>
      </c>
      <c r="AK5764">
        <v>57.77393</v>
      </c>
    </row>
    <row r="5765" spans="1:37" x14ac:dyDescent="0.3">
      <c r="A5765">
        <v>5764</v>
      </c>
      <c r="B5765">
        <v>28.6</v>
      </c>
      <c r="C5765">
        <v>-15.4544</v>
      </c>
      <c r="D5765">
        <v>16.593900000000001</v>
      </c>
      <c r="E5765">
        <f>-15.4544-16.593901</f>
        <v>-32.048300999999995</v>
      </c>
      <c r="F5765" t="s">
        <v>9201</v>
      </c>
      <c r="G5765" t="s">
        <v>37</v>
      </c>
      <c r="H5765">
        <v>2001</v>
      </c>
      <c r="I5765">
        <v>27.7</v>
      </c>
      <c r="J5765">
        <v>15.5</v>
      </c>
      <c r="K5765">
        <v>63</v>
      </c>
      <c r="L5765">
        <v>26.75</v>
      </c>
      <c r="M5765">
        <v>39.200000000000003</v>
      </c>
      <c r="N5765">
        <v>14.6</v>
      </c>
      <c r="O5765">
        <v>24.6</v>
      </c>
      <c r="P5765">
        <v>29.4</v>
      </c>
      <c r="Q5765">
        <v>28.4</v>
      </c>
      <c r="R5765">
        <v>30.3</v>
      </c>
      <c r="S5765">
        <v>23.4</v>
      </c>
      <c r="T5765">
        <v>222</v>
      </c>
      <c r="U5765">
        <v>83</v>
      </c>
      <c r="V5765">
        <v>0</v>
      </c>
      <c r="W5765">
        <v>150</v>
      </c>
      <c r="X5765">
        <v>194</v>
      </c>
      <c r="Y5765">
        <v>0</v>
      </c>
      <c r="Z5765">
        <v>49</v>
      </c>
      <c r="AA5765">
        <v>3</v>
      </c>
      <c r="AB5765">
        <v>7.1064360000000004</v>
      </c>
      <c r="AC5765">
        <v>1.52201E-2</v>
      </c>
      <c r="AD5765">
        <v>1.400442</v>
      </c>
      <c r="AE5765">
        <v>0.31896409999999997</v>
      </c>
      <c r="AF5765">
        <v>5.3778879999999996</v>
      </c>
      <c r="AG5765">
        <f>IFERROR(AH5765*0.1, "N/A")</f>
        <v>6.7391090000000009</v>
      </c>
      <c r="AH5765">
        <v>67.391090000000005</v>
      </c>
      <c r="AI5765">
        <v>88.109290000000001</v>
      </c>
      <c r="AJ5765">
        <v>23.768979999999999</v>
      </c>
      <c r="AK5765">
        <v>57.77393</v>
      </c>
    </row>
    <row r="5766" spans="1:37" x14ac:dyDescent="0.3">
      <c r="A5766">
        <v>5765</v>
      </c>
      <c r="B5766">
        <v>0</v>
      </c>
      <c r="C5766">
        <v>-16.129100000000001</v>
      </c>
      <c r="D5766">
        <v>16.607099999999999</v>
      </c>
      <c r="E5766">
        <f>-16.129101-16.6071</f>
        <v>-32.736200999999994</v>
      </c>
      <c r="F5766" t="s">
        <v>9202</v>
      </c>
      <c r="G5766" t="s">
        <v>39</v>
      </c>
      <c r="H5766">
        <v>1983</v>
      </c>
      <c r="I5766">
        <v>26.6</v>
      </c>
      <c r="J5766">
        <v>13.6</v>
      </c>
      <c r="K5766">
        <v>64</v>
      </c>
      <c r="L5766">
        <v>24.31</v>
      </c>
      <c r="M5766">
        <v>35.9</v>
      </c>
      <c r="N5766">
        <v>14.7</v>
      </c>
      <c r="O5766">
        <v>21.2</v>
      </c>
      <c r="P5766">
        <v>29</v>
      </c>
      <c r="Q5766">
        <v>26.1</v>
      </c>
      <c r="R5766">
        <v>29.2</v>
      </c>
      <c r="S5766">
        <v>23.1</v>
      </c>
      <c r="T5766">
        <v>174</v>
      </c>
      <c r="U5766">
        <v>71</v>
      </c>
      <c r="V5766">
        <v>0</v>
      </c>
      <c r="W5766">
        <v>159</v>
      </c>
      <c r="X5766">
        <v>157</v>
      </c>
      <c r="Y5766">
        <v>0</v>
      </c>
      <c r="Z5766">
        <v>139</v>
      </c>
      <c r="AA5766">
        <v>3</v>
      </c>
      <c r="AB5766">
        <v>3.6059600000000001</v>
      </c>
      <c r="AC5766">
        <v>3.0755850000000001E-2</v>
      </c>
      <c r="AD5766">
        <v>1.591526</v>
      </c>
      <c r="AE5766">
        <v>0.1895964</v>
      </c>
      <c r="AF5766">
        <v>4.0347679999999997</v>
      </c>
      <c r="AG5766">
        <f>IFERROR(AH5766*0.1, "N/A")</f>
        <v>6.7342720000000007</v>
      </c>
      <c r="AH5766">
        <v>67.34272</v>
      </c>
      <c r="AI5766">
        <v>162.81989999999999</v>
      </c>
      <c r="AJ5766">
        <v>15.86755</v>
      </c>
      <c r="AK5766">
        <v>68.884110000000007</v>
      </c>
    </row>
    <row r="5767" spans="1:37" x14ac:dyDescent="0.3">
      <c r="A5767">
        <v>5766</v>
      </c>
      <c r="B5767">
        <v>0</v>
      </c>
      <c r="C5767">
        <v>-16.129100000000001</v>
      </c>
      <c r="D5767">
        <v>16.607099999999999</v>
      </c>
      <c r="E5767">
        <f>-16.129101-16.6071</f>
        <v>-32.736200999999994</v>
      </c>
      <c r="F5767" t="s">
        <v>9203</v>
      </c>
      <c r="G5767" t="s">
        <v>37</v>
      </c>
      <c r="H5767">
        <v>1983</v>
      </c>
      <c r="I5767">
        <v>26.6</v>
      </c>
      <c r="J5767">
        <v>13.6</v>
      </c>
      <c r="K5767">
        <v>64</v>
      </c>
      <c r="L5767">
        <v>24.31</v>
      </c>
      <c r="M5767">
        <v>35.9</v>
      </c>
      <c r="N5767">
        <v>14.7</v>
      </c>
      <c r="O5767">
        <v>21.2</v>
      </c>
      <c r="P5767">
        <v>29</v>
      </c>
      <c r="Q5767">
        <v>26.1</v>
      </c>
      <c r="R5767">
        <v>29.2</v>
      </c>
      <c r="S5767">
        <v>23.1</v>
      </c>
      <c r="T5767">
        <v>174</v>
      </c>
      <c r="U5767">
        <v>71</v>
      </c>
      <c r="V5767">
        <v>0</v>
      </c>
      <c r="W5767">
        <v>159</v>
      </c>
      <c r="X5767">
        <v>157</v>
      </c>
      <c r="Y5767">
        <v>0</v>
      </c>
      <c r="Z5767">
        <v>139</v>
      </c>
      <c r="AA5767">
        <v>3</v>
      </c>
      <c r="AB5767">
        <v>3.6059600000000001</v>
      </c>
      <c r="AC5767">
        <v>3.0755850000000001E-2</v>
      </c>
      <c r="AD5767">
        <v>1.591526</v>
      </c>
      <c r="AE5767">
        <v>0.1895964</v>
      </c>
      <c r="AF5767">
        <v>4.0347679999999997</v>
      </c>
      <c r="AG5767">
        <f>IFERROR(AH5767*0.1, "N/A")</f>
        <v>6.7342720000000007</v>
      </c>
      <c r="AH5767">
        <v>67.34272</v>
      </c>
      <c r="AI5767">
        <v>162.81989999999999</v>
      </c>
      <c r="AJ5767">
        <v>15.86755</v>
      </c>
      <c r="AK5767">
        <v>68.884110000000007</v>
      </c>
    </row>
    <row r="5768" spans="1:37" x14ac:dyDescent="0.3">
      <c r="A5768">
        <v>5767</v>
      </c>
      <c r="B5768">
        <v>47.8</v>
      </c>
      <c r="C5768">
        <v>-14.256</v>
      </c>
      <c r="D5768">
        <v>16.624099999999999</v>
      </c>
      <c r="E5768">
        <f>-14.256-16.6241</f>
        <v>-30.880099999999999</v>
      </c>
      <c r="F5768" t="s">
        <v>9204</v>
      </c>
      <c r="G5768" t="s">
        <v>39</v>
      </c>
      <c r="H5768">
        <v>1981</v>
      </c>
      <c r="I5768">
        <v>29</v>
      </c>
      <c r="J5768">
        <v>15.1</v>
      </c>
      <c r="K5768">
        <v>57</v>
      </c>
      <c r="L5768">
        <v>33.67</v>
      </c>
      <c r="M5768">
        <v>40.799999999999997</v>
      </c>
      <c r="N5768">
        <v>14.6</v>
      </c>
      <c r="O5768">
        <v>26.2</v>
      </c>
      <c r="P5768">
        <v>31.6</v>
      </c>
      <c r="Q5768">
        <v>30.1</v>
      </c>
      <c r="R5768">
        <v>32.4</v>
      </c>
      <c r="S5768">
        <v>23.8</v>
      </c>
      <c r="T5768">
        <v>242</v>
      </c>
      <c r="U5768">
        <v>91</v>
      </c>
      <c r="V5768">
        <v>0</v>
      </c>
      <c r="W5768">
        <v>146</v>
      </c>
      <c r="X5768">
        <v>213</v>
      </c>
      <c r="Y5768">
        <v>0</v>
      </c>
      <c r="Z5768">
        <v>66</v>
      </c>
      <c r="AA5768">
        <v>2</v>
      </c>
      <c r="AB5768">
        <v>1.2900830000000001</v>
      </c>
      <c r="AC5768">
        <v>7.6945889999999997</v>
      </c>
      <c r="AD5768">
        <v>1.076357</v>
      </c>
      <c r="AE5768">
        <v>0.51109499999999997</v>
      </c>
      <c r="AF5768">
        <v>7.1454550000000001</v>
      </c>
      <c r="AG5768">
        <f>IFERROR(AH5768*0.1, "N/A")</f>
        <v>6.4256200000000012</v>
      </c>
      <c r="AH5768">
        <v>64.256200000000007</v>
      </c>
      <c r="AI5768">
        <v>190.46039999999999</v>
      </c>
      <c r="AJ5768">
        <v>18.100829999999998</v>
      </c>
      <c r="AK5768">
        <v>63.981819999999999</v>
      </c>
    </row>
    <row r="5769" spans="1:37" x14ac:dyDescent="0.3">
      <c r="A5769">
        <v>5768</v>
      </c>
      <c r="B5769">
        <v>0</v>
      </c>
      <c r="C5769">
        <v>-15.5167</v>
      </c>
      <c r="D5769">
        <v>16.633299999999998</v>
      </c>
      <c r="E5769">
        <f>-15.5167-16.633301</f>
        <v>-32.150001000000003</v>
      </c>
      <c r="F5769" t="s">
        <v>9205</v>
      </c>
      <c r="G5769" t="s">
        <v>39</v>
      </c>
      <c r="H5769">
        <v>2001</v>
      </c>
      <c r="I5769">
        <v>27.6</v>
      </c>
      <c r="J5769">
        <v>15.41689</v>
      </c>
      <c r="K5769">
        <v>62.168869999999998</v>
      </c>
      <c r="L5769">
        <v>26.56589</v>
      </c>
      <c r="M5769">
        <v>39.065890000000003</v>
      </c>
      <c r="N5769">
        <v>14.46589</v>
      </c>
      <c r="O5769">
        <v>24.6</v>
      </c>
      <c r="P5769">
        <v>29.4</v>
      </c>
      <c r="Q5769">
        <v>28.3</v>
      </c>
      <c r="R5769">
        <v>30.2</v>
      </c>
      <c r="S5769">
        <v>23.465890000000002</v>
      </c>
      <c r="T5769">
        <v>216.91390000000001</v>
      </c>
      <c r="U5769">
        <v>82</v>
      </c>
      <c r="V5769">
        <v>0</v>
      </c>
      <c r="W5769">
        <v>147</v>
      </c>
      <c r="X5769">
        <v>189.404</v>
      </c>
      <c r="Y5769">
        <v>0</v>
      </c>
      <c r="Z5769">
        <v>47</v>
      </c>
      <c r="AA5769">
        <v>3</v>
      </c>
      <c r="AB5769">
        <v>1.145861</v>
      </c>
      <c r="AC5769">
        <v>3.9735810000000003E-2</v>
      </c>
      <c r="AD5769">
        <v>1.387567</v>
      </c>
      <c r="AE5769">
        <v>0.36077540000000002</v>
      </c>
      <c r="AF5769">
        <v>3.3890729999999998</v>
      </c>
      <c r="AG5769">
        <f>IFERROR(AH5769*0.1, "N/A")</f>
        <v>7.515232000000001</v>
      </c>
      <c r="AH5769">
        <v>75.152320000000003</v>
      </c>
      <c r="AI5769">
        <v>101.458</v>
      </c>
      <c r="AJ5769">
        <v>17.119209999999999</v>
      </c>
      <c r="AK5769">
        <v>66.761589999999998</v>
      </c>
    </row>
    <row r="5770" spans="1:37" x14ac:dyDescent="0.3">
      <c r="A5770">
        <v>5769</v>
      </c>
      <c r="B5770">
        <v>7.1</v>
      </c>
      <c r="C5770">
        <v>-15.5167</v>
      </c>
      <c r="D5770">
        <v>16.633299999999998</v>
      </c>
      <c r="E5770">
        <f>-15.5167-16.633301</f>
        <v>-32.150001000000003</v>
      </c>
      <c r="F5770" t="s">
        <v>9206</v>
      </c>
      <c r="G5770" t="s">
        <v>37</v>
      </c>
      <c r="H5770">
        <v>2001</v>
      </c>
      <c r="I5770">
        <v>27.6</v>
      </c>
      <c r="J5770">
        <v>15.41689</v>
      </c>
      <c r="K5770">
        <v>62.168869999999998</v>
      </c>
      <c r="L5770">
        <v>26.56589</v>
      </c>
      <c r="M5770">
        <v>39.065890000000003</v>
      </c>
      <c r="N5770">
        <v>14.46589</v>
      </c>
      <c r="O5770">
        <v>24.6</v>
      </c>
      <c r="P5770">
        <v>29.4</v>
      </c>
      <c r="Q5770">
        <v>28.3</v>
      </c>
      <c r="R5770">
        <v>30.2</v>
      </c>
      <c r="S5770">
        <v>23.465890000000002</v>
      </c>
      <c r="T5770">
        <v>216.91390000000001</v>
      </c>
      <c r="U5770">
        <v>82</v>
      </c>
      <c r="V5770">
        <v>0</v>
      </c>
      <c r="W5770">
        <v>147</v>
      </c>
      <c r="X5770">
        <v>189.404</v>
      </c>
      <c r="Y5770">
        <v>0</v>
      </c>
      <c r="Z5770">
        <v>47</v>
      </c>
      <c r="AA5770">
        <v>3</v>
      </c>
      <c r="AB5770">
        <v>1.145861</v>
      </c>
      <c r="AC5770">
        <v>3.9735810000000003E-2</v>
      </c>
      <c r="AD5770">
        <v>1.387567</v>
      </c>
      <c r="AE5770">
        <v>0.36077540000000002</v>
      </c>
      <c r="AF5770">
        <v>3.3890729999999998</v>
      </c>
      <c r="AG5770">
        <f>IFERROR(AH5770*0.1, "N/A")</f>
        <v>7.515232000000001</v>
      </c>
      <c r="AH5770">
        <v>75.152320000000003</v>
      </c>
      <c r="AI5770">
        <v>101.458</v>
      </c>
      <c r="AJ5770">
        <v>17.119209999999999</v>
      </c>
      <c r="AK5770">
        <v>66.761589999999998</v>
      </c>
    </row>
    <row r="5771" spans="1:37" x14ac:dyDescent="0.3">
      <c r="A5771">
        <v>5770</v>
      </c>
      <c r="B5771">
        <v>0</v>
      </c>
      <c r="C5771">
        <v>-14.344900000000001</v>
      </c>
      <c r="D5771">
        <v>16.6386</v>
      </c>
      <c r="E5771">
        <f>-14.3449-16.638599</f>
        <v>-30.983499000000002</v>
      </c>
      <c r="F5771" t="s">
        <v>9207</v>
      </c>
      <c r="G5771" t="s">
        <v>39</v>
      </c>
      <c r="H5771">
        <v>1983</v>
      </c>
      <c r="I5771">
        <v>28.8</v>
      </c>
      <c r="J5771">
        <v>15.2</v>
      </c>
      <c r="K5771">
        <v>57</v>
      </c>
      <c r="L5771">
        <v>33.880000000000003</v>
      </c>
      <c r="M5771">
        <v>40.700000000000003</v>
      </c>
      <c r="N5771">
        <v>14.3</v>
      </c>
      <c r="O5771">
        <v>26.4</v>
      </c>
      <c r="P5771">
        <v>31.3</v>
      </c>
      <c r="Q5771">
        <v>29.9</v>
      </c>
      <c r="R5771">
        <v>32.200000000000003</v>
      </c>
      <c r="S5771">
        <v>23.6</v>
      </c>
      <c r="T5771">
        <v>241</v>
      </c>
      <c r="U5771">
        <v>92</v>
      </c>
      <c r="V5771">
        <v>0</v>
      </c>
      <c r="W5771">
        <v>146</v>
      </c>
      <c r="X5771">
        <v>212</v>
      </c>
      <c r="Y5771">
        <v>0</v>
      </c>
      <c r="Z5771">
        <v>66</v>
      </c>
      <c r="AA5771">
        <v>2</v>
      </c>
      <c r="AB5771">
        <v>1.584654</v>
      </c>
      <c r="AC5771">
        <v>0.4110356</v>
      </c>
      <c r="AD5771">
        <v>0.86806839999999996</v>
      </c>
      <c r="AE5771">
        <v>0.14552080000000001</v>
      </c>
      <c r="AF5771">
        <v>7.6600659999999996</v>
      </c>
      <c r="AG5771">
        <f>IFERROR(AH5771*0.1, "N/A")</f>
        <v>6.6801980000000007</v>
      </c>
      <c r="AH5771">
        <v>66.80198</v>
      </c>
      <c r="AI5771">
        <v>26.953040000000001</v>
      </c>
      <c r="AJ5771">
        <v>23.623760000000001</v>
      </c>
      <c r="AK5771">
        <v>57.376240000000003</v>
      </c>
    </row>
    <row r="5772" spans="1:37" x14ac:dyDescent="0.3">
      <c r="A5772">
        <v>5771</v>
      </c>
      <c r="B5772">
        <v>0</v>
      </c>
      <c r="C5772">
        <v>-14.344900000000001</v>
      </c>
      <c r="D5772">
        <v>16.6386</v>
      </c>
      <c r="E5772">
        <f>-14.3449-16.638599</f>
        <v>-30.983499000000002</v>
      </c>
      <c r="F5772" t="s">
        <v>9208</v>
      </c>
      <c r="G5772" t="s">
        <v>37</v>
      </c>
      <c r="H5772">
        <v>1983</v>
      </c>
      <c r="I5772">
        <v>28.8</v>
      </c>
      <c r="J5772">
        <v>15.2</v>
      </c>
      <c r="K5772">
        <v>57</v>
      </c>
      <c r="L5772">
        <v>33.880000000000003</v>
      </c>
      <c r="M5772">
        <v>40.700000000000003</v>
      </c>
      <c r="N5772">
        <v>14.3</v>
      </c>
      <c r="O5772">
        <v>26.4</v>
      </c>
      <c r="P5772">
        <v>31.3</v>
      </c>
      <c r="Q5772">
        <v>29.9</v>
      </c>
      <c r="R5772">
        <v>32.200000000000003</v>
      </c>
      <c r="S5772">
        <v>23.6</v>
      </c>
      <c r="T5772">
        <v>241</v>
      </c>
      <c r="U5772">
        <v>92</v>
      </c>
      <c r="V5772">
        <v>0</v>
      </c>
      <c r="W5772">
        <v>146</v>
      </c>
      <c r="X5772">
        <v>212</v>
      </c>
      <c r="Y5772">
        <v>0</v>
      </c>
      <c r="Z5772">
        <v>66</v>
      </c>
      <c r="AA5772">
        <v>2</v>
      </c>
      <c r="AB5772">
        <v>1.584654</v>
      </c>
      <c r="AC5772">
        <v>0.4110356</v>
      </c>
      <c r="AD5772">
        <v>0.86806839999999996</v>
      </c>
      <c r="AE5772">
        <v>0.14552080000000001</v>
      </c>
      <c r="AF5772">
        <v>7.6600659999999996</v>
      </c>
      <c r="AG5772">
        <f>IFERROR(AH5772*0.1, "N/A")</f>
        <v>6.6801980000000007</v>
      </c>
      <c r="AH5772">
        <v>66.80198</v>
      </c>
      <c r="AI5772">
        <v>26.953040000000001</v>
      </c>
      <c r="AJ5772">
        <v>23.623760000000001</v>
      </c>
      <c r="AK5772">
        <v>57.376240000000003</v>
      </c>
    </row>
    <row r="5773" spans="1:37" x14ac:dyDescent="0.3">
      <c r="A5773">
        <v>5772</v>
      </c>
      <c r="B5773">
        <v>0</v>
      </c>
      <c r="C5773">
        <v>-14.550599999999999</v>
      </c>
      <c r="D5773">
        <v>16.650300000000001</v>
      </c>
      <c r="E5773">
        <f>-14.5506-16.650299</f>
        <v>-31.200899</v>
      </c>
      <c r="F5773" t="s">
        <v>9209</v>
      </c>
      <c r="G5773" t="s">
        <v>39</v>
      </c>
      <c r="H5773">
        <v>1983</v>
      </c>
      <c r="I5773">
        <v>28.25881</v>
      </c>
      <c r="J5773">
        <v>15.4</v>
      </c>
      <c r="K5773">
        <v>57</v>
      </c>
      <c r="L5773">
        <v>34.078069999999997</v>
      </c>
      <c r="M5773">
        <v>40.451569999999997</v>
      </c>
      <c r="N5773">
        <v>13.607250000000001</v>
      </c>
      <c r="O5773">
        <v>26.84432</v>
      </c>
      <c r="P5773">
        <v>30.80247</v>
      </c>
      <c r="Q5773">
        <v>29</v>
      </c>
      <c r="R5773">
        <v>31.7</v>
      </c>
      <c r="S5773">
        <v>23.104780000000002</v>
      </c>
      <c r="T5773">
        <v>235</v>
      </c>
      <c r="U5773">
        <v>95</v>
      </c>
      <c r="V5773">
        <v>0</v>
      </c>
      <c r="W5773">
        <v>150</v>
      </c>
      <c r="X5773">
        <v>204</v>
      </c>
      <c r="Y5773">
        <v>0</v>
      </c>
      <c r="Z5773">
        <v>62</v>
      </c>
      <c r="AA5773">
        <v>2</v>
      </c>
      <c r="AB5773">
        <v>0.81235559999999996</v>
      </c>
      <c r="AC5773">
        <v>7.9463939999999997E-2</v>
      </c>
      <c r="AD5773">
        <v>3.1052089999999999</v>
      </c>
      <c r="AE5773">
        <v>0.204129</v>
      </c>
      <c r="AF5773">
        <v>6.6738059999999999</v>
      </c>
      <c r="AG5773">
        <f>IFERROR(AH5773*0.1, "N/A")</f>
        <v>6.9072490000000002</v>
      </c>
      <c r="AH5773">
        <v>69.072490000000002</v>
      </c>
      <c r="AI5773">
        <v>123.8733</v>
      </c>
      <c r="AJ5773">
        <v>23</v>
      </c>
      <c r="AK5773">
        <v>59.927509999999998</v>
      </c>
    </row>
    <row r="5774" spans="1:37" x14ac:dyDescent="0.3">
      <c r="A5774">
        <v>5773</v>
      </c>
      <c r="B5774">
        <v>0</v>
      </c>
      <c r="C5774">
        <v>-14.550599999999999</v>
      </c>
      <c r="D5774">
        <v>16.650300000000001</v>
      </c>
      <c r="E5774">
        <f>-14.5506-16.650299</f>
        <v>-31.200899</v>
      </c>
      <c r="F5774" t="s">
        <v>9210</v>
      </c>
      <c r="G5774" t="s">
        <v>37</v>
      </c>
      <c r="H5774">
        <v>1983</v>
      </c>
      <c r="I5774">
        <v>28.25881</v>
      </c>
      <c r="J5774">
        <v>15.4</v>
      </c>
      <c r="K5774">
        <v>57</v>
      </c>
      <c r="L5774">
        <v>34.078069999999997</v>
      </c>
      <c r="M5774">
        <v>40.451569999999997</v>
      </c>
      <c r="N5774">
        <v>13.607250000000001</v>
      </c>
      <c r="O5774">
        <v>26.84432</v>
      </c>
      <c r="P5774">
        <v>30.80247</v>
      </c>
      <c r="Q5774">
        <v>29</v>
      </c>
      <c r="R5774">
        <v>31.7</v>
      </c>
      <c r="S5774">
        <v>23.104780000000002</v>
      </c>
      <c r="T5774">
        <v>235</v>
      </c>
      <c r="U5774">
        <v>95</v>
      </c>
      <c r="V5774">
        <v>0</v>
      </c>
      <c r="W5774">
        <v>150</v>
      </c>
      <c r="X5774">
        <v>204</v>
      </c>
      <c r="Y5774">
        <v>0</v>
      </c>
      <c r="Z5774">
        <v>62</v>
      </c>
      <c r="AA5774">
        <v>2</v>
      </c>
      <c r="AB5774">
        <v>0.81235559999999996</v>
      </c>
      <c r="AC5774">
        <v>7.9463939999999997E-2</v>
      </c>
      <c r="AD5774">
        <v>3.1052089999999999</v>
      </c>
      <c r="AE5774">
        <v>0.204129</v>
      </c>
      <c r="AF5774">
        <v>6.6738059999999999</v>
      </c>
      <c r="AG5774">
        <f>IFERROR(AH5774*0.1, "N/A")</f>
        <v>6.9072490000000002</v>
      </c>
      <c r="AH5774">
        <v>69.072490000000002</v>
      </c>
      <c r="AI5774">
        <v>123.8733</v>
      </c>
      <c r="AJ5774">
        <v>23</v>
      </c>
      <c r="AK5774">
        <v>59.927509999999998</v>
      </c>
    </row>
    <row r="5775" spans="1:37" x14ac:dyDescent="0.3">
      <c r="A5775">
        <v>5774</v>
      </c>
      <c r="B5775">
        <v>26.2</v>
      </c>
      <c r="C5775">
        <v>-14.3215</v>
      </c>
      <c r="D5775">
        <v>16.654699999999998</v>
      </c>
      <c r="E5775">
        <f>-14.3215-16.654699</f>
        <v>-30.976199000000001</v>
      </c>
      <c r="F5775" t="s">
        <v>9211</v>
      </c>
      <c r="G5775" t="s">
        <v>39</v>
      </c>
      <c r="H5775">
        <v>1981</v>
      </c>
      <c r="I5775">
        <v>28.9</v>
      </c>
      <c r="J5775">
        <v>15.2</v>
      </c>
      <c r="K5775">
        <v>58</v>
      </c>
      <c r="L5775">
        <v>33.65</v>
      </c>
      <c r="M5775">
        <v>40.700000000000003</v>
      </c>
      <c r="N5775">
        <v>14.5</v>
      </c>
      <c r="O5775">
        <v>26.2</v>
      </c>
      <c r="P5775">
        <v>31.4</v>
      </c>
      <c r="Q5775">
        <v>29.9</v>
      </c>
      <c r="R5775">
        <v>32.299999999999997</v>
      </c>
      <c r="S5775">
        <v>23.7</v>
      </c>
      <c r="T5775">
        <v>239</v>
      </c>
      <c r="U5775">
        <v>91</v>
      </c>
      <c r="V5775">
        <v>0</v>
      </c>
      <c r="W5775">
        <v>152</v>
      </c>
      <c r="X5775">
        <v>210</v>
      </c>
      <c r="Y5775">
        <v>0</v>
      </c>
      <c r="Z5775">
        <v>65</v>
      </c>
      <c r="AA5775">
        <v>2</v>
      </c>
      <c r="AB5775">
        <v>3.0526490000000002</v>
      </c>
      <c r="AC5775">
        <v>2.0164310000000001E-2</v>
      </c>
      <c r="AD5775">
        <v>2.1614990000000001</v>
      </c>
      <c r="AE5775">
        <v>0.2181189</v>
      </c>
      <c r="AF5775">
        <v>9.1821190000000001</v>
      </c>
      <c r="AG5775">
        <f>IFERROR(AH5775*0.1, "N/A")</f>
        <v>6.8910600000000004</v>
      </c>
      <c r="AH5775">
        <v>68.910600000000002</v>
      </c>
      <c r="AI5775">
        <v>156.5607</v>
      </c>
      <c r="AJ5775">
        <v>25.910599999999999</v>
      </c>
      <c r="AK5775">
        <v>61.731789999999997</v>
      </c>
    </row>
    <row r="5776" spans="1:37" x14ac:dyDescent="0.3">
      <c r="A5776">
        <v>5775</v>
      </c>
      <c r="B5776">
        <v>0</v>
      </c>
      <c r="C5776">
        <v>-14.3215</v>
      </c>
      <c r="D5776">
        <v>16.654699999999998</v>
      </c>
      <c r="E5776">
        <f>-14.3215-16.654699</f>
        <v>-30.976199000000001</v>
      </c>
      <c r="F5776" t="s">
        <v>9212</v>
      </c>
      <c r="G5776" t="s">
        <v>37</v>
      </c>
      <c r="H5776">
        <v>2007</v>
      </c>
      <c r="I5776">
        <v>28.9</v>
      </c>
      <c r="J5776">
        <v>15.2</v>
      </c>
      <c r="K5776">
        <v>58</v>
      </c>
      <c r="L5776">
        <v>33.65</v>
      </c>
      <c r="M5776">
        <v>40.700000000000003</v>
      </c>
      <c r="N5776">
        <v>14.5</v>
      </c>
      <c r="O5776">
        <v>26.2</v>
      </c>
      <c r="P5776">
        <v>31.4</v>
      </c>
      <c r="Q5776">
        <v>29.9</v>
      </c>
      <c r="R5776">
        <v>32.299999999999997</v>
      </c>
      <c r="S5776">
        <v>23.7</v>
      </c>
      <c r="T5776">
        <v>239</v>
      </c>
      <c r="U5776">
        <v>91</v>
      </c>
      <c r="V5776">
        <v>0</v>
      </c>
      <c r="W5776">
        <v>152</v>
      </c>
      <c r="X5776">
        <v>210</v>
      </c>
      <c r="Y5776">
        <v>0</v>
      </c>
      <c r="Z5776">
        <v>65</v>
      </c>
      <c r="AA5776">
        <v>2</v>
      </c>
      <c r="AB5776">
        <v>3.0526490000000002</v>
      </c>
      <c r="AC5776">
        <v>2.0164310000000001E-2</v>
      </c>
      <c r="AD5776">
        <v>2.1614990000000001</v>
      </c>
      <c r="AE5776">
        <v>0.2181189</v>
      </c>
      <c r="AF5776">
        <v>9.1821190000000001</v>
      </c>
      <c r="AG5776">
        <f>IFERROR(AH5776*0.1, "N/A")</f>
        <v>6.8910600000000004</v>
      </c>
      <c r="AH5776">
        <v>68.910600000000002</v>
      </c>
      <c r="AI5776">
        <v>156.5607</v>
      </c>
      <c r="AJ5776">
        <v>25.910599999999999</v>
      </c>
      <c r="AK5776">
        <v>61.731789999999997</v>
      </c>
    </row>
    <row r="5777" spans="1:37" x14ac:dyDescent="0.3">
      <c r="A5777">
        <v>5776</v>
      </c>
      <c r="B5777">
        <v>8.9</v>
      </c>
      <c r="C5777">
        <v>-10.183299999999999</v>
      </c>
      <c r="D5777">
        <v>16.7333</v>
      </c>
      <c r="E5777">
        <f>-10.1833-16.733299</f>
        <v>-26.916598999999998</v>
      </c>
      <c r="F5777" t="s">
        <v>9213</v>
      </c>
      <c r="G5777" t="s">
        <v>39</v>
      </c>
      <c r="H5777">
        <v>1987</v>
      </c>
      <c r="I5777">
        <v>28.6</v>
      </c>
      <c r="J5777">
        <v>13.7</v>
      </c>
      <c r="K5777">
        <v>51.387419999999999</v>
      </c>
      <c r="L5777">
        <v>38.715130000000002</v>
      </c>
      <c r="M5777">
        <v>40.61871</v>
      </c>
      <c r="N5777">
        <v>14.25745</v>
      </c>
      <c r="O5777">
        <v>26.361260000000001</v>
      </c>
      <c r="P5777">
        <v>30.6</v>
      </c>
      <c r="Q5777">
        <v>24.538740000000001</v>
      </c>
      <c r="R5777">
        <v>33.010100000000001</v>
      </c>
      <c r="S5777">
        <v>22.9</v>
      </c>
      <c r="T5777">
        <v>211.61259999999999</v>
      </c>
      <c r="U5777">
        <v>82.612579999999994</v>
      </c>
      <c r="V5777">
        <v>0</v>
      </c>
      <c r="W5777">
        <v>146.61259999999999</v>
      </c>
      <c r="X5777">
        <v>182.61259999999999</v>
      </c>
      <c r="Y5777">
        <v>1</v>
      </c>
      <c r="Z5777">
        <v>70</v>
      </c>
      <c r="AA5777">
        <v>1</v>
      </c>
      <c r="AB5777">
        <v>1.7567839999999999</v>
      </c>
      <c r="AC5777">
        <v>13.48823</v>
      </c>
      <c r="AD5777">
        <v>2.652523</v>
      </c>
      <c r="AE5777">
        <v>9.4946370000000002E-2</v>
      </c>
      <c r="AF5777">
        <v>294.33280000000002</v>
      </c>
      <c r="AG5777">
        <f>IFERROR(AH5777*0.1, "N/A")</f>
        <v>7.5149010000000009</v>
      </c>
      <c r="AH5777">
        <v>75.149010000000004</v>
      </c>
      <c r="AI5777">
        <v>154.47239999999999</v>
      </c>
      <c r="AJ5777">
        <v>12.07119</v>
      </c>
      <c r="AK5777">
        <v>78.369209999999995</v>
      </c>
    </row>
    <row r="5778" spans="1:37" x14ac:dyDescent="0.3">
      <c r="A5778">
        <v>5777</v>
      </c>
      <c r="B5778">
        <v>25.9</v>
      </c>
      <c r="C5778">
        <v>-15.39</v>
      </c>
      <c r="D5778">
        <v>16.848099999999999</v>
      </c>
      <c r="E5778">
        <f>-15.39-16.848101</f>
        <v>-32.238101</v>
      </c>
      <c r="F5778" t="s">
        <v>9214</v>
      </c>
      <c r="G5778" t="s">
        <v>39</v>
      </c>
      <c r="H5778">
        <v>1981</v>
      </c>
      <c r="I5778">
        <v>27.8</v>
      </c>
      <c r="J5778">
        <v>15.3</v>
      </c>
      <c r="K5778">
        <v>61</v>
      </c>
      <c r="L5778">
        <v>28.54</v>
      </c>
      <c r="M5778">
        <v>39.299999999999997</v>
      </c>
      <c r="N5778">
        <v>14.5</v>
      </c>
      <c r="O5778">
        <v>24.8</v>
      </c>
      <c r="P5778">
        <v>29.8</v>
      </c>
      <c r="Q5778">
        <v>26.5</v>
      </c>
      <c r="R5778">
        <v>30.6</v>
      </c>
      <c r="S5778">
        <v>23.3</v>
      </c>
      <c r="T5778">
        <v>202</v>
      </c>
      <c r="U5778">
        <v>78</v>
      </c>
      <c r="V5778">
        <v>0</v>
      </c>
      <c r="W5778">
        <v>153</v>
      </c>
      <c r="X5778">
        <v>176</v>
      </c>
      <c r="Y5778">
        <v>1</v>
      </c>
      <c r="Z5778">
        <v>44</v>
      </c>
      <c r="AA5778">
        <v>3</v>
      </c>
      <c r="AB5778">
        <v>1.5346540000000001E-2</v>
      </c>
      <c r="AC5778">
        <v>1.3934009999999999</v>
      </c>
      <c r="AD5778">
        <v>1.6631229999999999</v>
      </c>
      <c r="AE5778">
        <v>0.13565640000000001</v>
      </c>
      <c r="AF5778">
        <v>2.5990099999999998</v>
      </c>
      <c r="AG5778">
        <f>IFERROR(AH5778*0.1, "N/A")</f>
        <v>7.9064359999999994</v>
      </c>
      <c r="AH5778">
        <v>79.064359999999994</v>
      </c>
      <c r="AI5778">
        <v>197.67619999999999</v>
      </c>
      <c r="AJ5778">
        <v>6.0445539999999998</v>
      </c>
      <c r="AK5778">
        <v>86.386139999999997</v>
      </c>
    </row>
    <row r="5779" spans="1:37" x14ac:dyDescent="0.3">
      <c r="A5779">
        <v>5778</v>
      </c>
      <c r="B5779">
        <v>0</v>
      </c>
      <c r="C5779">
        <v>-15.2433</v>
      </c>
      <c r="D5779">
        <v>16.919699999999999</v>
      </c>
      <c r="E5779">
        <f>-15.2433-16.919701</f>
        <v>-32.163001000000001</v>
      </c>
      <c r="F5779" t="s">
        <v>9215</v>
      </c>
      <c r="G5779" t="s">
        <v>39</v>
      </c>
      <c r="H5779">
        <v>2001</v>
      </c>
      <c r="I5779">
        <v>28</v>
      </c>
      <c r="J5779">
        <v>15.3</v>
      </c>
      <c r="K5779">
        <v>61</v>
      </c>
      <c r="L5779">
        <v>29.28</v>
      </c>
      <c r="M5779">
        <v>39.6</v>
      </c>
      <c r="N5779">
        <v>14.6</v>
      </c>
      <c r="O5779">
        <v>25</v>
      </c>
      <c r="P5779">
        <v>30</v>
      </c>
      <c r="Q5779">
        <v>28.8</v>
      </c>
      <c r="R5779">
        <v>30.8</v>
      </c>
      <c r="S5779">
        <v>23.4</v>
      </c>
      <c r="T5779">
        <v>201</v>
      </c>
      <c r="U5779">
        <v>78</v>
      </c>
      <c r="V5779">
        <v>0</v>
      </c>
      <c r="W5779">
        <v>151</v>
      </c>
      <c r="X5779">
        <v>174</v>
      </c>
      <c r="Y5779">
        <v>1</v>
      </c>
      <c r="Z5779">
        <v>44</v>
      </c>
      <c r="AA5779">
        <v>4</v>
      </c>
      <c r="AB5779">
        <v>0.68082659999999995</v>
      </c>
      <c r="AC5779">
        <v>2.2915890000000001</v>
      </c>
      <c r="AD5779">
        <v>0.50531669999999995</v>
      </c>
      <c r="AE5779">
        <v>0.17430280000000001</v>
      </c>
      <c r="AF5779">
        <v>5.461157</v>
      </c>
      <c r="AG5779">
        <f>IFERROR(AH5779*0.1, "N/A")</f>
        <v>7.9261160000000004</v>
      </c>
      <c r="AH5779">
        <v>79.261160000000004</v>
      </c>
      <c r="AI5779">
        <v>112.1902</v>
      </c>
      <c r="AJ5779">
        <v>7.723967</v>
      </c>
      <c r="AK5779">
        <v>85.737189999999998</v>
      </c>
    </row>
    <row r="5780" spans="1:37" x14ac:dyDescent="0.3">
      <c r="A5780">
        <v>5779</v>
      </c>
      <c r="B5780">
        <v>0</v>
      </c>
      <c r="C5780">
        <v>-15.2433</v>
      </c>
      <c r="D5780">
        <v>16.919699999999999</v>
      </c>
      <c r="E5780">
        <f>-15.2433-16.919701</f>
        <v>-32.163001000000001</v>
      </c>
      <c r="F5780" t="s">
        <v>9216</v>
      </c>
      <c r="G5780" t="s">
        <v>37</v>
      </c>
      <c r="H5780">
        <v>2001</v>
      </c>
      <c r="I5780">
        <v>28</v>
      </c>
      <c r="J5780">
        <v>15.3</v>
      </c>
      <c r="K5780">
        <v>61</v>
      </c>
      <c r="L5780">
        <v>29.28</v>
      </c>
      <c r="M5780">
        <v>39.6</v>
      </c>
      <c r="N5780">
        <v>14.6</v>
      </c>
      <c r="O5780">
        <v>25</v>
      </c>
      <c r="P5780">
        <v>30</v>
      </c>
      <c r="Q5780">
        <v>28.8</v>
      </c>
      <c r="R5780">
        <v>30.8</v>
      </c>
      <c r="S5780">
        <v>23.4</v>
      </c>
      <c r="T5780">
        <v>201</v>
      </c>
      <c r="U5780">
        <v>78</v>
      </c>
      <c r="V5780">
        <v>0</v>
      </c>
      <c r="W5780">
        <v>151</v>
      </c>
      <c r="X5780">
        <v>174</v>
      </c>
      <c r="Y5780">
        <v>1</v>
      </c>
      <c r="Z5780">
        <v>44</v>
      </c>
      <c r="AA5780">
        <v>4</v>
      </c>
      <c r="AB5780">
        <v>0.68082659999999995</v>
      </c>
      <c r="AC5780">
        <v>2.2915890000000001</v>
      </c>
      <c r="AD5780">
        <v>0.50531669999999995</v>
      </c>
      <c r="AE5780">
        <v>0.17430280000000001</v>
      </c>
      <c r="AF5780">
        <v>5.461157</v>
      </c>
      <c r="AG5780">
        <f>IFERROR(AH5780*0.1, "N/A")</f>
        <v>7.9261160000000004</v>
      </c>
      <c r="AH5780">
        <v>79.261160000000004</v>
      </c>
      <c r="AI5780">
        <v>112.1902</v>
      </c>
      <c r="AJ5780">
        <v>7.723967</v>
      </c>
      <c r="AK5780">
        <v>85.737189999999998</v>
      </c>
    </row>
    <row r="5781" spans="1:37" x14ac:dyDescent="0.3">
      <c r="A5781">
        <v>5780</v>
      </c>
      <c r="B5781">
        <v>42.7</v>
      </c>
      <c r="C5781">
        <v>-13.913500000000001</v>
      </c>
      <c r="D5781">
        <v>17.052700000000002</v>
      </c>
      <c r="E5781">
        <f>-13.9135-17.0527</f>
        <v>-30.966200000000001</v>
      </c>
      <c r="F5781" t="s">
        <v>9217</v>
      </c>
      <c r="G5781" t="s">
        <v>39</v>
      </c>
      <c r="H5781">
        <v>1961</v>
      </c>
      <c r="I5781">
        <v>29.3</v>
      </c>
      <c r="J5781">
        <v>14.8</v>
      </c>
      <c r="K5781">
        <v>56</v>
      </c>
      <c r="L5781">
        <v>34.72</v>
      </c>
      <c r="M5781">
        <v>41.5</v>
      </c>
      <c r="N5781">
        <v>15.3</v>
      </c>
      <c r="O5781">
        <v>26.2</v>
      </c>
      <c r="P5781">
        <v>31.6</v>
      </c>
      <c r="Q5781">
        <v>30.3</v>
      </c>
      <c r="R5781">
        <v>32.9</v>
      </c>
      <c r="S5781">
        <v>24</v>
      </c>
      <c r="T5781">
        <v>218</v>
      </c>
      <c r="U5781">
        <v>81</v>
      </c>
      <c r="V5781">
        <v>0</v>
      </c>
      <c r="W5781">
        <v>142</v>
      </c>
      <c r="X5781">
        <v>187</v>
      </c>
      <c r="Y5781">
        <v>1</v>
      </c>
      <c r="Z5781">
        <v>56</v>
      </c>
      <c r="AA5781">
        <v>4</v>
      </c>
      <c r="AB5781">
        <v>6.1464590000000001</v>
      </c>
      <c r="AC5781">
        <v>9.0414740000000007E-3</v>
      </c>
      <c r="AD5781">
        <v>1.421227</v>
      </c>
      <c r="AE5781">
        <v>0.53148700000000004</v>
      </c>
      <c r="AF5781">
        <v>37.080719999999999</v>
      </c>
      <c r="AG5781">
        <f>IFERROR(AH5781*0.1, "N/A")</f>
        <v>7.3000000000000007</v>
      </c>
      <c r="AH5781">
        <v>73</v>
      </c>
      <c r="AI5781">
        <v>216.36689999999999</v>
      </c>
      <c r="AJ5781">
        <v>24</v>
      </c>
      <c r="AK5781">
        <v>60</v>
      </c>
    </row>
    <row r="5782" spans="1:37" x14ac:dyDescent="0.3">
      <c r="A5782">
        <v>5781</v>
      </c>
      <c r="B5782">
        <v>7.1</v>
      </c>
      <c r="C5782">
        <v>-13.7722</v>
      </c>
      <c r="D5782">
        <v>17.7225</v>
      </c>
      <c r="E5782">
        <f>-13.7722-17.7225</f>
        <v>-31.494700000000002</v>
      </c>
      <c r="F5782" t="s">
        <v>9218</v>
      </c>
      <c r="G5782" t="s">
        <v>37</v>
      </c>
      <c r="H5782">
        <v>1997</v>
      </c>
      <c r="I5782">
        <v>29.3</v>
      </c>
      <c r="J5782">
        <v>14.7</v>
      </c>
      <c r="K5782">
        <v>55</v>
      </c>
      <c r="L5782">
        <v>37.44</v>
      </c>
      <c r="M5782">
        <v>42.1</v>
      </c>
      <c r="N5782">
        <v>15.4</v>
      </c>
      <c r="O5782">
        <v>26.7</v>
      </c>
      <c r="P5782">
        <v>32.200000000000003</v>
      </c>
      <c r="Q5782">
        <v>29.9</v>
      </c>
      <c r="R5782">
        <v>33.1</v>
      </c>
      <c r="S5782">
        <v>23.8</v>
      </c>
      <c r="T5782">
        <v>156</v>
      </c>
      <c r="U5782">
        <v>60</v>
      </c>
      <c r="V5782">
        <v>0</v>
      </c>
      <c r="W5782">
        <v>142</v>
      </c>
      <c r="X5782">
        <v>137</v>
      </c>
      <c r="Y5782">
        <v>0</v>
      </c>
      <c r="Z5782">
        <v>38</v>
      </c>
      <c r="AA5782">
        <v>3</v>
      </c>
      <c r="AB5782">
        <v>17.051970000000001</v>
      </c>
      <c r="AC5782">
        <v>8.3902479999999995E-3</v>
      </c>
      <c r="AD5782">
        <v>1.713892</v>
      </c>
      <c r="AE5782">
        <v>0.1038651</v>
      </c>
      <c r="AF5782">
        <v>55.03443</v>
      </c>
      <c r="AG5782">
        <f>IFERROR(AH5782*0.1, "N/A")</f>
        <v>7.9834430000000003</v>
      </c>
      <c r="AH5782">
        <v>79.834429999999998</v>
      </c>
      <c r="AI5782">
        <v>195.27449999999999</v>
      </c>
      <c r="AJ5782">
        <v>8.9836069999999992</v>
      </c>
      <c r="AK5782">
        <v>83.016390000000001</v>
      </c>
    </row>
    <row r="5783" spans="1:37" x14ac:dyDescent="0.3">
      <c r="A5783">
        <v>5782</v>
      </c>
      <c r="B5783">
        <v>33.9</v>
      </c>
      <c r="C5783">
        <v>-13.7722</v>
      </c>
      <c r="D5783">
        <v>17.7225</v>
      </c>
      <c r="E5783">
        <f>-13.7722-17.7225</f>
        <v>-31.494700000000002</v>
      </c>
      <c r="F5783" t="s">
        <v>9219</v>
      </c>
      <c r="G5783" t="s">
        <v>39</v>
      </c>
      <c r="H5783">
        <v>1997</v>
      </c>
      <c r="I5783">
        <v>29.3</v>
      </c>
      <c r="J5783">
        <v>14.7</v>
      </c>
      <c r="K5783">
        <v>55</v>
      </c>
      <c r="L5783">
        <v>37.44</v>
      </c>
      <c r="M5783">
        <v>42.1</v>
      </c>
      <c r="N5783">
        <v>15.4</v>
      </c>
      <c r="O5783">
        <v>26.7</v>
      </c>
      <c r="P5783">
        <v>32.200000000000003</v>
      </c>
      <c r="Q5783">
        <v>29.9</v>
      </c>
      <c r="R5783">
        <v>33.1</v>
      </c>
      <c r="S5783">
        <v>23.8</v>
      </c>
      <c r="T5783">
        <v>156</v>
      </c>
      <c r="U5783">
        <v>60</v>
      </c>
      <c r="V5783">
        <v>0</v>
      </c>
      <c r="W5783">
        <v>142</v>
      </c>
      <c r="X5783">
        <v>137</v>
      </c>
      <c r="Y5783">
        <v>0</v>
      </c>
      <c r="Z5783">
        <v>38</v>
      </c>
      <c r="AA5783">
        <v>3</v>
      </c>
      <c r="AB5783">
        <v>17.051970000000001</v>
      </c>
      <c r="AC5783">
        <v>8.3902479999999995E-3</v>
      </c>
      <c r="AD5783">
        <v>1.713892</v>
      </c>
      <c r="AE5783">
        <v>0.1038651</v>
      </c>
      <c r="AF5783">
        <v>55.03443</v>
      </c>
      <c r="AG5783">
        <f>IFERROR(AH5783*0.1, "N/A")</f>
        <v>7.9834430000000003</v>
      </c>
      <c r="AH5783">
        <v>79.834429999999998</v>
      </c>
      <c r="AI5783">
        <v>195.27449999999999</v>
      </c>
      <c r="AJ5783">
        <v>8.9836069999999992</v>
      </c>
      <c r="AK5783">
        <v>83.016390000000001</v>
      </c>
    </row>
    <row r="5784" spans="1:37" x14ac:dyDescent="0.3">
      <c r="A5784">
        <v>5783</v>
      </c>
      <c r="B5784">
        <v>23.4</v>
      </c>
      <c r="C5784">
        <v>-11.430199999999999</v>
      </c>
      <c r="D5784">
        <v>18.557500000000001</v>
      </c>
      <c r="E5784">
        <f>-11.4302-18.557501</f>
        <v>-29.987700999999998</v>
      </c>
      <c r="F5784" t="s">
        <v>9220</v>
      </c>
      <c r="G5784" t="s">
        <v>39</v>
      </c>
      <c r="H5784">
        <v>1961</v>
      </c>
      <c r="I5784">
        <v>27.9</v>
      </c>
      <c r="J5784">
        <v>13.9</v>
      </c>
      <c r="K5784">
        <v>50</v>
      </c>
      <c r="L5784">
        <v>46.410879999999999</v>
      </c>
      <c r="M5784">
        <v>40.9</v>
      </c>
      <c r="N5784">
        <v>13.1</v>
      </c>
      <c r="O5784">
        <v>27.8</v>
      </c>
      <c r="P5784">
        <v>32.200000000000003</v>
      </c>
      <c r="Q5784">
        <v>25.299019999999999</v>
      </c>
      <c r="R5784">
        <v>32.9</v>
      </c>
      <c r="S5784">
        <v>21.3</v>
      </c>
      <c r="T5784">
        <v>128</v>
      </c>
      <c r="U5784">
        <v>48</v>
      </c>
      <c r="V5784">
        <v>0</v>
      </c>
      <c r="W5784">
        <v>131</v>
      </c>
      <c r="X5784">
        <v>100</v>
      </c>
      <c r="Y5784">
        <v>3</v>
      </c>
      <c r="Z5784">
        <v>78</v>
      </c>
      <c r="AA5784">
        <v>5</v>
      </c>
      <c r="AB5784">
        <v>1.6513059999999999</v>
      </c>
      <c r="AC5784">
        <v>0.48390820000000001</v>
      </c>
      <c r="AD5784">
        <v>1.2289829999999999</v>
      </c>
      <c r="AE5784">
        <v>0.2339205</v>
      </c>
      <c r="AF5784">
        <v>390.91180000000003</v>
      </c>
      <c r="AG5784">
        <f>IFERROR(AH5784*0.1, "N/A")</f>
        <v>8</v>
      </c>
      <c r="AH5784">
        <v>80</v>
      </c>
      <c r="AI5784">
        <v>296.29109999999997</v>
      </c>
      <c r="AJ5784">
        <v>12.571899999999999</v>
      </c>
      <c r="AK5784">
        <v>78.441180000000003</v>
      </c>
    </row>
    <row r="5785" spans="1:37" x14ac:dyDescent="0.3">
      <c r="A5785">
        <v>5784</v>
      </c>
      <c r="B5785">
        <v>69.2</v>
      </c>
      <c r="C5785">
        <v>-9.8527699999999996</v>
      </c>
      <c r="D5785">
        <v>18.659800000000001</v>
      </c>
      <c r="E5785">
        <f>-9.85277-18.6598</f>
        <v>-28.51257</v>
      </c>
      <c r="F5785" t="s">
        <v>9221</v>
      </c>
      <c r="G5785" t="s">
        <v>39</v>
      </c>
      <c r="H5785">
        <v>1961</v>
      </c>
      <c r="I5785">
        <v>28.9</v>
      </c>
      <c r="J5785">
        <v>14.1</v>
      </c>
      <c r="K5785">
        <v>49</v>
      </c>
      <c r="L5785">
        <v>48.31</v>
      </c>
      <c r="M5785">
        <v>42.4</v>
      </c>
      <c r="N5785">
        <v>13.8</v>
      </c>
      <c r="O5785">
        <v>28.6</v>
      </c>
      <c r="P5785">
        <v>33.200000000000003</v>
      </c>
      <c r="Q5785">
        <v>23.5</v>
      </c>
      <c r="R5785">
        <v>34.1</v>
      </c>
      <c r="S5785">
        <v>22</v>
      </c>
      <c r="T5785">
        <v>85</v>
      </c>
      <c r="U5785">
        <v>33</v>
      </c>
      <c r="V5785">
        <v>0</v>
      </c>
      <c r="W5785">
        <v>128</v>
      </c>
      <c r="X5785">
        <v>70</v>
      </c>
      <c r="Y5785">
        <v>1</v>
      </c>
      <c r="Z5785">
        <v>21</v>
      </c>
      <c r="AA5785">
        <v>1</v>
      </c>
      <c r="AB5785">
        <v>13.85575</v>
      </c>
      <c r="AC5785">
        <v>2.81567E-2</v>
      </c>
      <c r="AD5785">
        <v>3.208234</v>
      </c>
      <c r="AE5785">
        <v>1.295605E-2</v>
      </c>
      <c r="AF5785">
        <v>308.7122</v>
      </c>
      <c r="AG5785">
        <f>IFERROR(AH5785*0.1, "N/A")</f>
        <v>8.0484550000000006</v>
      </c>
      <c r="AH5785">
        <v>80.484549999999999</v>
      </c>
      <c r="AI5785">
        <v>120.2238</v>
      </c>
      <c r="AJ5785">
        <v>0</v>
      </c>
      <c r="AK5785">
        <v>99</v>
      </c>
    </row>
    <row r="5786" spans="1:37" x14ac:dyDescent="0.3">
      <c r="A5786">
        <v>5785</v>
      </c>
      <c r="B5786">
        <v>7.5</v>
      </c>
      <c r="C5786">
        <v>-14.3893</v>
      </c>
      <c r="D5786">
        <v>19.746400000000001</v>
      </c>
      <c r="E5786">
        <f>-14.3893-19.746401</f>
        <v>-34.135700999999997</v>
      </c>
      <c r="F5786" t="s">
        <v>9222</v>
      </c>
      <c r="G5786" t="s">
        <v>39</v>
      </c>
      <c r="H5786">
        <v>1961</v>
      </c>
      <c r="I5786">
        <v>28.6</v>
      </c>
      <c r="J5786">
        <v>14.5</v>
      </c>
      <c r="K5786">
        <v>55</v>
      </c>
      <c r="L5786">
        <v>42.31</v>
      </c>
      <c r="M5786">
        <v>41.6</v>
      </c>
      <c r="N5786">
        <v>15.4</v>
      </c>
      <c r="O5786">
        <v>26.2</v>
      </c>
      <c r="P5786">
        <v>32.5</v>
      </c>
      <c r="Q5786">
        <v>27.8</v>
      </c>
      <c r="R5786">
        <v>33.299999999999997</v>
      </c>
      <c r="S5786">
        <v>22.8</v>
      </c>
      <c r="T5786">
        <v>70</v>
      </c>
      <c r="U5786">
        <v>24</v>
      </c>
      <c r="V5786">
        <v>0</v>
      </c>
      <c r="W5786">
        <v>138</v>
      </c>
      <c r="X5786">
        <v>55</v>
      </c>
      <c r="Y5786">
        <v>0</v>
      </c>
      <c r="Z5786">
        <v>31</v>
      </c>
      <c r="AA5786">
        <v>5</v>
      </c>
      <c r="AB5786">
        <v>1.5396749999999999</v>
      </c>
      <c r="AC5786">
        <v>0.2795145</v>
      </c>
      <c r="AD5786">
        <v>1.2579940000000001</v>
      </c>
      <c r="AE5786">
        <v>0.33420949999999999</v>
      </c>
      <c r="AF5786">
        <v>118.629</v>
      </c>
      <c r="AG5786">
        <f>IFERROR(AH5786*0.1, "N/A")</f>
        <v>8.1448390000000011</v>
      </c>
      <c r="AH5786">
        <v>81.448390000000003</v>
      </c>
      <c r="AI5786">
        <v>196.78389999999999</v>
      </c>
      <c r="AJ5786">
        <v>19.330649999999999</v>
      </c>
      <c r="AK5786">
        <v>73.900000000000006</v>
      </c>
    </row>
    <row r="5787" spans="1:37" x14ac:dyDescent="0.3">
      <c r="A5787">
        <v>5786</v>
      </c>
      <c r="B5787">
        <v>90.9</v>
      </c>
      <c r="C5787">
        <v>-13.048400000000001</v>
      </c>
      <c r="D5787">
        <v>19.8858</v>
      </c>
      <c r="E5787">
        <f>-13.0484-19.885799</f>
        <v>-32.934199</v>
      </c>
      <c r="F5787" t="s">
        <v>9223</v>
      </c>
      <c r="G5787" t="s">
        <v>39</v>
      </c>
      <c r="H5787">
        <v>1961</v>
      </c>
      <c r="I5787">
        <v>28.4</v>
      </c>
      <c r="J5787">
        <v>14.9</v>
      </c>
      <c r="K5787">
        <v>52</v>
      </c>
      <c r="L5787">
        <v>48.58</v>
      </c>
      <c r="M5787">
        <v>42.1</v>
      </c>
      <c r="N5787">
        <v>13.8</v>
      </c>
      <c r="O5787">
        <v>28.3</v>
      </c>
      <c r="P5787">
        <v>33.700000000000003</v>
      </c>
      <c r="Q5787">
        <v>27.8</v>
      </c>
      <c r="R5787">
        <v>34.1</v>
      </c>
      <c r="S5787">
        <v>21.8</v>
      </c>
      <c r="T5787">
        <v>79</v>
      </c>
      <c r="U5787">
        <v>27</v>
      </c>
      <c r="V5787">
        <v>0</v>
      </c>
      <c r="W5787">
        <v>132</v>
      </c>
      <c r="X5787">
        <v>62</v>
      </c>
      <c r="Y5787">
        <v>1</v>
      </c>
      <c r="Z5787">
        <v>39</v>
      </c>
      <c r="AA5787">
        <v>5</v>
      </c>
      <c r="AB5787">
        <v>6.8592630000000003</v>
      </c>
      <c r="AC5787">
        <v>1.430671E-2</v>
      </c>
      <c r="AD5787">
        <v>2.5815589999999999</v>
      </c>
      <c r="AE5787">
        <v>5.8753329999999999E-2</v>
      </c>
      <c r="AF5787">
        <v>183.2432</v>
      </c>
      <c r="AG5787">
        <f>IFERROR(AH5787*0.1, "N/A")</f>
        <v>8.1549110000000002</v>
      </c>
      <c r="AH5787">
        <v>81.549109999999999</v>
      </c>
      <c r="AI5787">
        <v>301.01519999999999</v>
      </c>
      <c r="AJ5787">
        <v>14.67633</v>
      </c>
      <c r="AK5787">
        <v>77.323670000000007</v>
      </c>
    </row>
    <row r="5788" spans="1:37" x14ac:dyDescent="0.3">
      <c r="A5788">
        <v>5787</v>
      </c>
      <c r="B5788">
        <v>32.6</v>
      </c>
      <c r="C5788">
        <v>-13.0534</v>
      </c>
      <c r="D5788">
        <v>20.026800000000001</v>
      </c>
      <c r="E5788">
        <f>-13.0534-20.0268</f>
        <v>-33.080200000000005</v>
      </c>
      <c r="F5788" t="s">
        <v>9224</v>
      </c>
      <c r="G5788" t="s">
        <v>39</v>
      </c>
      <c r="H5788">
        <v>1961</v>
      </c>
      <c r="I5788">
        <v>28</v>
      </c>
      <c r="J5788">
        <v>14.9</v>
      </c>
      <c r="K5788">
        <v>52</v>
      </c>
      <c r="L5788">
        <v>48.91</v>
      </c>
      <c r="M5788">
        <v>41.6</v>
      </c>
      <c r="N5788">
        <v>13.4</v>
      </c>
      <c r="O5788">
        <v>28.2</v>
      </c>
      <c r="P5788">
        <v>33.5</v>
      </c>
      <c r="Q5788">
        <v>27.4</v>
      </c>
      <c r="R5788">
        <v>33.799999999999997</v>
      </c>
      <c r="S5788">
        <v>21.4</v>
      </c>
      <c r="T5788">
        <v>80</v>
      </c>
      <c r="U5788">
        <v>27</v>
      </c>
      <c r="V5788">
        <v>0</v>
      </c>
      <c r="W5788">
        <v>131</v>
      </c>
      <c r="X5788">
        <v>61</v>
      </c>
      <c r="Y5788">
        <v>1</v>
      </c>
      <c r="Z5788">
        <v>37</v>
      </c>
      <c r="AA5788">
        <v>7</v>
      </c>
      <c r="AB5788">
        <v>22.390989999999999</v>
      </c>
      <c r="AC5788">
        <v>2.271018E-2</v>
      </c>
      <c r="AD5788">
        <v>4.7688519999999999</v>
      </c>
      <c r="AE5788">
        <v>5.3519669999999998E-2</v>
      </c>
      <c r="AF5788">
        <v>247.48310000000001</v>
      </c>
      <c r="AG5788">
        <f>IFERROR(AH5788*0.1, "N/A")</f>
        <v>8.1969399999999997</v>
      </c>
      <c r="AH5788">
        <v>81.969399999999993</v>
      </c>
      <c r="AI5788">
        <v>321.02679999999998</v>
      </c>
      <c r="AJ5788">
        <v>7.9082129999999999</v>
      </c>
      <c r="AK5788">
        <v>88.091790000000003</v>
      </c>
    </row>
    <row r="5789" spans="1:37" x14ac:dyDescent="0.3">
      <c r="A5789">
        <v>5788</v>
      </c>
      <c r="B5789">
        <v>71.400000000000006</v>
      </c>
      <c r="C5789">
        <v>-13.1333</v>
      </c>
      <c r="D5789">
        <v>20.05</v>
      </c>
      <c r="E5789">
        <f>-13.1333-20.049999</f>
        <v>-33.183298999999998</v>
      </c>
      <c r="F5789" t="s">
        <v>9225</v>
      </c>
      <c r="G5789" t="s">
        <v>39</v>
      </c>
      <c r="H5789">
        <v>1961</v>
      </c>
      <c r="I5789">
        <v>27.967199999999998</v>
      </c>
      <c r="J5789">
        <v>14.90643</v>
      </c>
      <c r="K5789">
        <v>52.064309999999999</v>
      </c>
      <c r="L5789">
        <v>48.739919999999998</v>
      </c>
      <c r="M5789">
        <v>41.604340000000001</v>
      </c>
      <c r="N5789">
        <v>13.3672</v>
      </c>
      <c r="O5789">
        <v>28.23714</v>
      </c>
      <c r="P5789">
        <v>33.310769999999998</v>
      </c>
      <c r="Q5789">
        <v>27.187940000000001</v>
      </c>
      <c r="R5789">
        <v>33.704340000000002</v>
      </c>
      <c r="S5789">
        <v>21.323630000000001</v>
      </c>
      <c r="T5789">
        <v>79.278139999999993</v>
      </c>
      <c r="U5789">
        <v>26.371379999999998</v>
      </c>
      <c r="V5789">
        <v>0</v>
      </c>
      <c r="W5789">
        <v>130.0643</v>
      </c>
      <c r="X5789">
        <v>60.74277</v>
      </c>
      <c r="Y5789">
        <v>1</v>
      </c>
      <c r="Z5789">
        <v>36.371380000000002</v>
      </c>
      <c r="AA5789">
        <v>7.1639869999999997</v>
      </c>
      <c r="AB5789">
        <v>19.367519999999999</v>
      </c>
      <c r="AC5789">
        <v>5.4298150000000003E-2</v>
      </c>
      <c r="AD5789">
        <v>3.4719760000000002</v>
      </c>
      <c r="AE5789">
        <v>0.1058347</v>
      </c>
      <c r="AF5789">
        <v>194.0659</v>
      </c>
      <c r="AG5789">
        <f>IFERROR(AH5789*0.1, "N/A")</f>
        <v>7.9564310000000011</v>
      </c>
      <c r="AH5789">
        <v>79.564310000000006</v>
      </c>
      <c r="AI5789">
        <v>131.37459999999999</v>
      </c>
      <c r="AJ5789">
        <v>8.4614150000000006</v>
      </c>
      <c r="AK5789">
        <v>81.702569999999994</v>
      </c>
    </row>
    <row r="5790" spans="1:37" x14ac:dyDescent="0.3">
      <c r="A5790">
        <v>5789</v>
      </c>
      <c r="B5790">
        <v>80</v>
      </c>
      <c r="C5790">
        <v>-13.095599999999999</v>
      </c>
      <c r="D5790">
        <v>20.258400000000002</v>
      </c>
      <c r="E5790">
        <f>-13.0956-20.2584</f>
        <v>-33.353999999999999</v>
      </c>
      <c r="F5790" t="s">
        <v>9226</v>
      </c>
      <c r="G5790" t="s">
        <v>39</v>
      </c>
      <c r="H5790">
        <v>1961</v>
      </c>
      <c r="I5790">
        <v>27.488959999999999</v>
      </c>
      <c r="J5790">
        <v>15</v>
      </c>
      <c r="K5790">
        <v>52</v>
      </c>
      <c r="L5790">
        <v>49.99</v>
      </c>
      <c r="M5790">
        <v>41.388959999999997</v>
      </c>
      <c r="N5790">
        <v>12.888960000000001</v>
      </c>
      <c r="O5790">
        <v>28.5</v>
      </c>
      <c r="P5790">
        <v>33.188960000000002</v>
      </c>
      <c r="Q5790">
        <v>26.58896</v>
      </c>
      <c r="R5790">
        <v>33.488959999999999</v>
      </c>
      <c r="S5790">
        <v>20.788959999999999</v>
      </c>
      <c r="T5790">
        <v>77</v>
      </c>
      <c r="U5790">
        <v>26</v>
      </c>
      <c r="V5790">
        <v>0</v>
      </c>
      <c r="W5790">
        <v>128</v>
      </c>
      <c r="X5790">
        <v>59</v>
      </c>
      <c r="Y5790">
        <v>1</v>
      </c>
      <c r="Z5790">
        <v>35</v>
      </c>
      <c r="AA5790">
        <v>7</v>
      </c>
      <c r="AB5790">
        <v>1.6167940000000001</v>
      </c>
      <c r="AC5790">
        <v>1.8730690000000001</v>
      </c>
      <c r="AD5790">
        <v>2.0621909999999999</v>
      </c>
      <c r="AE5790">
        <v>0.104547</v>
      </c>
      <c r="AF5790">
        <v>298.52800000000002</v>
      </c>
      <c r="AG5790">
        <f>IFERROR(AH5790*0.1, "N/A")</f>
        <v>8.1110400000000009</v>
      </c>
      <c r="AH5790">
        <v>81.110399999999998</v>
      </c>
      <c r="AI5790">
        <v>162.87139999999999</v>
      </c>
      <c r="AJ5790">
        <v>15</v>
      </c>
      <c r="AK5790">
        <v>72.779200000000003</v>
      </c>
    </row>
    <row r="5791" spans="1:37" x14ac:dyDescent="0.3">
      <c r="A5791">
        <v>5790</v>
      </c>
      <c r="B5791">
        <v>65.5</v>
      </c>
      <c r="C5791">
        <v>-9.5450970000000002</v>
      </c>
      <c r="D5791">
        <v>16.691210000000002</v>
      </c>
      <c r="E5791">
        <f>-9.545097-16.691214</f>
        <v>-26.236311000000001</v>
      </c>
      <c r="F5791" t="s">
        <v>9227</v>
      </c>
      <c r="G5791" t="s">
        <v>39</v>
      </c>
      <c r="H5791">
        <v>1988</v>
      </c>
      <c r="I5791">
        <v>29.321650000000002</v>
      </c>
      <c r="J5791">
        <v>13.2</v>
      </c>
      <c r="K5791">
        <v>50</v>
      </c>
      <c r="L5791">
        <v>38.911650000000002</v>
      </c>
      <c r="M5791">
        <v>41.321649999999998</v>
      </c>
      <c r="N5791">
        <v>15.4</v>
      </c>
      <c r="O5791">
        <v>25.92165</v>
      </c>
      <c r="P5791">
        <v>31.4</v>
      </c>
      <c r="Q5791">
        <v>25.3</v>
      </c>
      <c r="R5791">
        <v>33.721649999999997</v>
      </c>
      <c r="S5791">
        <v>23.6</v>
      </c>
      <c r="T5791">
        <v>222.5669</v>
      </c>
      <c r="U5791">
        <v>85.783469999999994</v>
      </c>
      <c r="V5791">
        <v>0</v>
      </c>
      <c r="W5791">
        <v>146.5669</v>
      </c>
      <c r="X5791">
        <v>191.5669</v>
      </c>
      <c r="Y5791">
        <v>1</v>
      </c>
      <c r="Z5791">
        <v>78.783469999999994</v>
      </c>
      <c r="AA5791">
        <v>2</v>
      </c>
      <c r="AB5791">
        <v>0.46198460000000002</v>
      </c>
      <c r="AC5791">
        <v>2.2274159999999998</v>
      </c>
      <c r="AD5791">
        <v>1.264454</v>
      </c>
      <c r="AE5791">
        <v>6.8210179999999995E-2</v>
      </c>
      <c r="AF5791">
        <v>201.6711</v>
      </c>
      <c r="AG5791">
        <f>IFERROR(AH5791*0.1, "N/A")</f>
        <v>7.2900830000000001</v>
      </c>
      <c r="AH5791">
        <v>72.900829999999999</v>
      </c>
      <c r="AI5791">
        <v>203.50120000000001</v>
      </c>
      <c r="AJ5791">
        <v>7.9024789999999996</v>
      </c>
      <c r="AK5791">
        <v>83.945449999999994</v>
      </c>
    </row>
    <row r="5792" spans="1:37" x14ac:dyDescent="0.3">
      <c r="A5792">
        <v>5791</v>
      </c>
      <c r="B5792">
        <v>10.9</v>
      </c>
      <c r="C5792">
        <v>-8.233333</v>
      </c>
      <c r="D5792">
        <v>11.616669999999999</v>
      </c>
      <c r="E5792">
        <f>-8.233333-11.616667</f>
        <v>-19.850000000000001</v>
      </c>
      <c r="F5792" t="s">
        <v>9228</v>
      </c>
      <c r="G5792" t="s">
        <v>37</v>
      </c>
      <c r="H5792">
        <v>1989</v>
      </c>
      <c r="I5792">
        <v>27.2</v>
      </c>
      <c r="J5792">
        <v>14.954610000000001</v>
      </c>
      <c r="K5792">
        <v>62</v>
      </c>
      <c r="L5792">
        <v>21.205850000000002</v>
      </c>
      <c r="M5792">
        <v>38.5</v>
      </c>
      <c r="N5792">
        <v>14.61741</v>
      </c>
      <c r="O5792">
        <v>23.88259</v>
      </c>
      <c r="P5792">
        <v>25.8628</v>
      </c>
      <c r="Q5792">
        <v>25.393339999999998</v>
      </c>
      <c r="R5792">
        <v>30.38259</v>
      </c>
      <c r="S5792">
        <v>25</v>
      </c>
      <c r="T5792">
        <v>1135.9059999999999</v>
      </c>
      <c r="U5792">
        <v>299.93340000000001</v>
      </c>
      <c r="V5792">
        <v>0</v>
      </c>
      <c r="W5792">
        <v>107.93340000000001</v>
      </c>
      <c r="X5792">
        <v>752.93340000000001</v>
      </c>
      <c r="Y5792">
        <v>1</v>
      </c>
      <c r="Z5792">
        <v>128.9727</v>
      </c>
      <c r="AA5792">
        <v>11</v>
      </c>
      <c r="AB5792">
        <v>6.6112669999999998</v>
      </c>
      <c r="AC5792">
        <v>4.695531E-2</v>
      </c>
      <c r="AD5792">
        <v>2.9539620000000002</v>
      </c>
      <c r="AE5792">
        <v>0.61147370000000001</v>
      </c>
      <c r="AF5792">
        <v>348.10579999999999</v>
      </c>
      <c r="AG5792">
        <f>IFERROR(AH5792*0.1, "N/A")</f>
        <v>6.1895980000000002</v>
      </c>
      <c r="AH5792">
        <v>61.895980000000002</v>
      </c>
      <c r="AI5792">
        <v>78.015199999999993</v>
      </c>
      <c r="AJ5792">
        <v>24.796690000000002</v>
      </c>
      <c r="AK5792">
        <v>44.891249999999999</v>
      </c>
    </row>
    <row r="5793" spans="1:37" x14ac:dyDescent="0.3">
      <c r="A5793">
        <v>5792</v>
      </c>
      <c r="B5793">
        <v>54.1</v>
      </c>
      <c r="C5793">
        <v>-8.233333</v>
      </c>
      <c r="D5793">
        <v>11.616669999999999</v>
      </c>
      <c r="E5793">
        <f>-8.233333-11.616667</f>
        <v>-19.850000000000001</v>
      </c>
      <c r="F5793" t="s">
        <v>9229</v>
      </c>
      <c r="G5793" t="s">
        <v>39</v>
      </c>
      <c r="H5793">
        <v>1989</v>
      </c>
      <c r="I5793">
        <v>27.2</v>
      </c>
      <c r="J5793">
        <v>14.954610000000001</v>
      </c>
      <c r="K5793">
        <v>62</v>
      </c>
      <c r="L5793">
        <v>21.205850000000002</v>
      </c>
      <c r="M5793">
        <v>38.5</v>
      </c>
      <c r="N5793">
        <v>14.61741</v>
      </c>
      <c r="O5793">
        <v>23.88259</v>
      </c>
      <c r="P5793">
        <v>25.8628</v>
      </c>
      <c r="Q5793">
        <v>25.393339999999998</v>
      </c>
      <c r="R5793">
        <v>30.38259</v>
      </c>
      <c r="S5793">
        <v>25</v>
      </c>
      <c r="T5793">
        <v>1135.9059999999999</v>
      </c>
      <c r="U5793">
        <v>299.93340000000001</v>
      </c>
      <c r="V5793">
        <v>0</v>
      </c>
      <c r="W5793">
        <v>107.93340000000001</v>
      </c>
      <c r="X5793">
        <v>752.93340000000001</v>
      </c>
      <c r="Y5793">
        <v>1</v>
      </c>
      <c r="Z5793">
        <v>128.9727</v>
      </c>
      <c r="AA5793">
        <v>11</v>
      </c>
      <c r="AB5793">
        <v>6.6112669999999998</v>
      </c>
      <c r="AC5793">
        <v>4.695531E-2</v>
      </c>
      <c r="AD5793">
        <v>2.9539620000000002</v>
      </c>
      <c r="AE5793">
        <v>0.61147370000000001</v>
      </c>
      <c r="AF5793">
        <v>348.10579999999999</v>
      </c>
      <c r="AG5793">
        <f>IFERROR(AH5793*0.1, "N/A")</f>
        <v>6.1895980000000002</v>
      </c>
      <c r="AH5793">
        <v>61.895980000000002</v>
      </c>
      <c r="AI5793">
        <v>78.015199999999993</v>
      </c>
      <c r="AJ5793">
        <v>24.796690000000002</v>
      </c>
      <c r="AK5793">
        <v>44.891249999999999</v>
      </c>
    </row>
    <row r="5794" spans="1:37" x14ac:dyDescent="0.3">
      <c r="A5794">
        <v>5793</v>
      </c>
      <c r="B5794">
        <v>70.900000000000006</v>
      </c>
      <c r="C5794">
        <v>-6.266667</v>
      </c>
      <c r="D5794">
        <v>13.45</v>
      </c>
      <c r="E5794">
        <f>-6.266667-13.45</f>
        <v>-19.716667000000001</v>
      </c>
      <c r="F5794" t="s">
        <v>9230</v>
      </c>
      <c r="G5794" t="s">
        <v>37</v>
      </c>
      <c r="H5794">
        <v>1999</v>
      </c>
      <c r="I5794">
        <v>27.8</v>
      </c>
      <c r="J5794">
        <v>14.1</v>
      </c>
      <c r="K5794">
        <v>57.149830000000001</v>
      </c>
      <c r="L5794">
        <v>26.322320000000001</v>
      </c>
      <c r="M5794">
        <v>39.485019999999999</v>
      </c>
      <c r="N5794">
        <v>15.1</v>
      </c>
      <c r="O5794">
        <v>24.385020000000001</v>
      </c>
      <c r="P5794">
        <v>26.894110000000001</v>
      </c>
      <c r="Q5794">
        <v>24.7</v>
      </c>
      <c r="R5794">
        <v>31.485019999999999</v>
      </c>
      <c r="S5794">
        <v>24.7</v>
      </c>
      <c r="T5794">
        <v>637.59929999999997</v>
      </c>
      <c r="U5794">
        <v>212.1498</v>
      </c>
      <c r="V5794">
        <v>0</v>
      </c>
      <c r="W5794">
        <v>130.1498</v>
      </c>
      <c r="X5794">
        <v>491.88049999999998</v>
      </c>
      <c r="Y5794">
        <v>0</v>
      </c>
      <c r="Z5794">
        <v>118.65989999999999</v>
      </c>
      <c r="AA5794">
        <v>0</v>
      </c>
      <c r="AB5794">
        <v>3.9139840000000001</v>
      </c>
      <c r="AC5794">
        <v>0.1130081</v>
      </c>
      <c r="AD5794">
        <v>4.6800879999999996</v>
      </c>
      <c r="AE5794">
        <v>0.81900379999999995</v>
      </c>
      <c r="AF5794">
        <v>282.36529999999999</v>
      </c>
      <c r="AG5794">
        <f>IFERROR(AH5794*0.1, "N/A")</f>
        <v>6.6000000000000005</v>
      </c>
      <c r="AH5794">
        <v>66</v>
      </c>
      <c r="AI5794">
        <v>186.77930000000001</v>
      </c>
      <c r="AJ5794">
        <v>30</v>
      </c>
      <c r="AK5794">
        <v>51</v>
      </c>
    </row>
    <row r="5795" spans="1:37" x14ac:dyDescent="0.3">
      <c r="A5795">
        <v>5794</v>
      </c>
      <c r="B5795">
        <v>43</v>
      </c>
      <c r="C5795">
        <v>-6.266667</v>
      </c>
      <c r="D5795">
        <v>13.45</v>
      </c>
      <c r="E5795">
        <f>-6.266667-13.45</f>
        <v>-19.716667000000001</v>
      </c>
      <c r="F5795" t="s">
        <v>9231</v>
      </c>
      <c r="G5795" t="s">
        <v>39</v>
      </c>
      <c r="H5795">
        <v>2003</v>
      </c>
      <c r="I5795">
        <v>27.8</v>
      </c>
      <c r="J5795">
        <v>14.1</v>
      </c>
      <c r="K5795">
        <v>57.149830000000001</v>
      </c>
      <c r="L5795">
        <v>26.322320000000001</v>
      </c>
      <c r="M5795">
        <v>39.485019999999999</v>
      </c>
      <c r="N5795">
        <v>15.1</v>
      </c>
      <c r="O5795">
        <v>24.385020000000001</v>
      </c>
      <c r="P5795">
        <v>26.894110000000001</v>
      </c>
      <c r="Q5795">
        <v>24.7</v>
      </c>
      <c r="R5795">
        <v>31.485019999999999</v>
      </c>
      <c r="S5795">
        <v>24.7</v>
      </c>
      <c r="T5795">
        <v>637.59929999999997</v>
      </c>
      <c r="U5795">
        <v>212.1498</v>
      </c>
      <c r="V5795">
        <v>0</v>
      </c>
      <c r="W5795">
        <v>130.1498</v>
      </c>
      <c r="X5795">
        <v>491.88049999999998</v>
      </c>
      <c r="Y5795">
        <v>0</v>
      </c>
      <c r="Z5795">
        <v>118.65989999999999</v>
      </c>
      <c r="AA5795">
        <v>0</v>
      </c>
      <c r="AB5795">
        <v>3.9139840000000001</v>
      </c>
      <c r="AC5795">
        <v>0.1130081</v>
      </c>
      <c r="AD5795">
        <v>4.6800879999999996</v>
      </c>
      <c r="AE5795">
        <v>0.81900379999999995</v>
      </c>
      <c r="AF5795">
        <v>282.36529999999999</v>
      </c>
      <c r="AG5795">
        <f>IFERROR(AH5795*0.1, "N/A")</f>
        <v>6.6000000000000005</v>
      </c>
      <c r="AH5795">
        <v>66</v>
      </c>
      <c r="AI5795">
        <v>186.77930000000001</v>
      </c>
      <c r="AJ5795">
        <v>30</v>
      </c>
      <c r="AK5795">
        <v>51</v>
      </c>
    </row>
    <row r="5796" spans="1:37" x14ac:dyDescent="0.3">
      <c r="A5796">
        <v>5795</v>
      </c>
      <c r="B5796">
        <v>63.1</v>
      </c>
      <c r="C5796">
        <v>-5.9853139999999998</v>
      </c>
      <c r="D5796">
        <v>14.227370000000001</v>
      </c>
      <c r="E5796">
        <f>-5.985314-14.227367</f>
        <v>-20.212681</v>
      </c>
      <c r="F5796" t="s">
        <v>9232</v>
      </c>
      <c r="G5796" t="s">
        <v>39</v>
      </c>
      <c r="H5796">
        <v>2006</v>
      </c>
      <c r="I5796">
        <v>27.3</v>
      </c>
      <c r="J5796">
        <v>15.7</v>
      </c>
      <c r="K5796">
        <v>57</v>
      </c>
      <c r="L5796">
        <v>28.53</v>
      </c>
      <c r="M5796">
        <v>39.9</v>
      </c>
      <c r="N5796">
        <v>12.5</v>
      </c>
      <c r="O5796">
        <v>27.4</v>
      </c>
      <c r="P5796">
        <v>27.3</v>
      </c>
      <c r="Q5796">
        <v>23.4</v>
      </c>
      <c r="R5796">
        <v>31.1</v>
      </c>
      <c r="S5796">
        <v>23.4</v>
      </c>
      <c r="T5796">
        <v>549</v>
      </c>
      <c r="U5796">
        <v>203</v>
      </c>
      <c r="V5796">
        <v>0</v>
      </c>
      <c r="W5796">
        <v>143</v>
      </c>
      <c r="X5796">
        <v>449</v>
      </c>
      <c r="Y5796">
        <v>0</v>
      </c>
      <c r="Z5796">
        <v>79</v>
      </c>
      <c r="AA5796">
        <v>0</v>
      </c>
      <c r="AB5796">
        <v>0.8749304</v>
      </c>
      <c r="AC5796">
        <v>1.0272649999999999E-2</v>
      </c>
      <c r="AD5796">
        <v>1.0090980000000001</v>
      </c>
      <c r="AE5796">
        <v>0.56751079999999998</v>
      </c>
      <c r="AF5796">
        <v>280.24579999999997</v>
      </c>
      <c r="AG5796">
        <f>IFERROR(AH5796*0.1, "N/A")</f>
        <v>6.6289559999999996</v>
      </c>
      <c r="AH5796">
        <v>66.289559999999994</v>
      </c>
      <c r="AI5796">
        <v>170.8193</v>
      </c>
      <c r="AJ5796">
        <v>27.644780000000001</v>
      </c>
      <c r="AK5796">
        <v>49.702019999999997</v>
      </c>
    </row>
    <row r="5797" spans="1:37" x14ac:dyDescent="0.3">
      <c r="A5797">
        <v>5796</v>
      </c>
      <c r="B5797">
        <v>48.5</v>
      </c>
      <c r="C5797">
        <v>-5.4777810000000002</v>
      </c>
      <c r="D5797">
        <v>13.94577</v>
      </c>
      <c r="E5797">
        <f>-5.477781-13.945769</f>
        <v>-19.423549999999999</v>
      </c>
      <c r="F5797" t="s">
        <v>9233</v>
      </c>
      <c r="G5797" t="s">
        <v>39</v>
      </c>
      <c r="H5797">
        <v>2006</v>
      </c>
      <c r="I5797">
        <v>26.4</v>
      </c>
      <c r="J5797">
        <v>15.6</v>
      </c>
      <c r="K5797">
        <v>55</v>
      </c>
      <c r="L5797">
        <v>29.57</v>
      </c>
      <c r="M5797">
        <v>39.200000000000003</v>
      </c>
      <c r="N5797">
        <v>11</v>
      </c>
      <c r="O5797">
        <v>28.2</v>
      </c>
      <c r="P5797">
        <v>26.6</v>
      </c>
      <c r="Q5797">
        <v>24</v>
      </c>
      <c r="R5797">
        <v>30.2</v>
      </c>
      <c r="S5797">
        <v>22.2</v>
      </c>
      <c r="T5797">
        <v>573</v>
      </c>
      <c r="U5797">
        <v>197</v>
      </c>
      <c r="V5797">
        <v>0</v>
      </c>
      <c r="W5797">
        <v>135</v>
      </c>
      <c r="X5797">
        <v>453</v>
      </c>
      <c r="Y5797">
        <v>1</v>
      </c>
      <c r="Z5797">
        <v>98</v>
      </c>
      <c r="AA5797">
        <v>1</v>
      </c>
      <c r="AB5797">
        <v>0.486595</v>
      </c>
      <c r="AC5797">
        <v>3.9052570000000002E-2</v>
      </c>
      <c r="AD5797">
        <v>1.703762</v>
      </c>
      <c r="AE5797">
        <v>0.31940619999999997</v>
      </c>
      <c r="AF5797">
        <v>275.64429999999999</v>
      </c>
      <c r="AG5797">
        <f>IFERROR(AH5797*0.1, "N/A")</f>
        <v>6.0597320000000003</v>
      </c>
      <c r="AH5797">
        <v>60.597320000000003</v>
      </c>
      <c r="AI5797">
        <v>138.8571</v>
      </c>
      <c r="AJ5797">
        <v>14.775169999999999</v>
      </c>
      <c r="AK5797">
        <v>59.144300000000001</v>
      </c>
    </row>
    <row r="5798" spans="1:37" x14ac:dyDescent="0.3">
      <c r="A5798">
        <v>5797</v>
      </c>
      <c r="B5798">
        <v>28</v>
      </c>
      <c r="C5798">
        <v>-5.4777810000000002</v>
      </c>
      <c r="D5798">
        <v>13.94577</v>
      </c>
      <c r="E5798">
        <f>-5.477781-13.945769</f>
        <v>-19.423549999999999</v>
      </c>
      <c r="F5798" t="s">
        <v>9234</v>
      </c>
      <c r="G5798" t="s">
        <v>37</v>
      </c>
      <c r="H5798">
        <v>2006</v>
      </c>
      <c r="I5798">
        <v>26.4</v>
      </c>
      <c r="J5798">
        <v>15.6</v>
      </c>
      <c r="K5798">
        <v>55</v>
      </c>
      <c r="L5798">
        <v>29.57</v>
      </c>
      <c r="M5798">
        <v>39.200000000000003</v>
      </c>
      <c r="N5798">
        <v>11</v>
      </c>
      <c r="O5798">
        <v>28.2</v>
      </c>
      <c r="P5798">
        <v>26.6</v>
      </c>
      <c r="Q5798">
        <v>24</v>
      </c>
      <c r="R5798">
        <v>30.2</v>
      </c>
      <c r="S5798">
        <v>22.2</v>
      </c>
      <c r="T5798">
        <v>573</v>
      </c>
      <c r="U5798">
        <v>197</v>
      </c>
      <c r="V5798">
        <v>0</v>
      </c>
      <c r="W5798">
        <v>135</v>
      </c>
      <c r="X5798">
        <v>453</v>
      </c>
      <c r="Y5798">
        <v>1</v>
      </c>
      <c r="Z5798">
        <v>98</v>
      </c>
      <c r="AA5798">
        <v>1</v>
      </c>
      <c r="AB5798">
        <v>0.486595</v>
      </c>
      <c r="AC5798">
        <v>3.9052570000000002E-2</v>
      </c>
      <c r="AD5798">
        <v>1.703762</v>
      </c>
      <c r="AE5798">
        <v>0.31940619999999997</v>
      </c>
      <c r="AF5798">
        <v>275.64429999999999</v>
      </c>
      <c r="AG5798">
        <f>IFERROR(AH5798*0.1, "N/A")</f>
        <v>6.0597320000000003</v>
      </c>
      <c r="AH5798">
        <v>60.597320000000003</v>
      </c>
      <c r="AI5798">
        <v>138.8571</v>
      </c>
      <c r="AJ5798">
        <v>14.775169999999999</v>
      </c>
      <c r="AK5798">
        <v>59.144300000000001</v>
      </c>
    </row>
    <row r="5799" spans="1:37" x14ac:dyDescent="0.3">
      <c r="A5799">
        <v>5798</v>
      </c>
      <c r="B5799">
        <v>48.9</v>
      </c>
      <c r="C5799">
        <v>-7.4381360000000001</v>
      </c>
      <c r="D5799">
        <v>13.80181</v>
      </c>
      <c r="E5799">
        <f>-7.438136-13.801808</f>
        <v>-21.239944000000001</v>
      </c>
      <c r="F5799" t="s">
        <v>9235</v>
      </c>
      <c r="G5799" t="s">
        <v>39</v>
      </c>
      <c r="H5799">
        <v>2007</v>
      </c>
      <c r="I5799">
        <v>27</v>
      </c>
      <c r="J5799">
        <v>15.5</v>
      </c>
      <c r="K5799">
        <v>58</v>
      </c>
      <c r="L5799">
        <v>25.91</v>
      </c>
      <c r="M5799">
        <v>39.299999999999997</v>
      </c>
      <c r="N5799">
        <v>12.7</v>
      </c>
      <c r="O5799">
        <v>26.6</v>
      </c>
      <c r="P5799">
        <v>26.3</v>
      </c>
      <c r="Q5799">
        <v>23.9</v>
      </c>
      <c r="R5799">
        <v>30.5</v>
      </c>
      <c r="S5799">
        <v>23.9</v>
      </c>
      <c r="T5799">
        <v>674</v>
      </c>
      <c r="U5799">
        <v>224</v>
      </c>
      <c r="V5799">
        <v>0</v>
      </c>
      <c r="W5799">
        <v>131</v>
      </c>
      <c r="X5799">
        <v>526</v>
      </c>
      <c r="Y5799">
        <v>0</v>
      </c>
      <c r="Z5799">
        <v>113</v>
      </c>
      <c r="AA5799">
        <v>3</v>
      </c>
      <c r="AB5799">
        <v>2.2922549999999999</v>
      </c>
      <c r="AC5799">
        <v>0.2076769</v>
      </c>
      <c r="AD5799">
        <v>1.656595</v>
      </c>
      <c r="AE5799">
        <v>0.67921799999999999</v>
      </c>
      <c r="AF5799">
        <v>343.08249999999998</v>
      </c>
      <c r="AG5799">
        <f>IFERROR(AH5799*0.1, "N/A")</f>
        <v>6.1000000000000005</v>
      </c>
      <c r="AH5799">
        <v>61</v>
      </c>
      <c r="AI5799">
        <v>243.79910000000001</v>
      </c>
      <c r="AJ5799">
        <v>15</v>
      </c>
      <c r="AK5799">
        <v>55</v>
      </c>
    </row>
    <row r="5800" spans="1:37" x14ac:dyDescent="0.3">
      <c r="A5800">
        <v>5799</v>
      </c>
      <c r="B5800">
        <v>38.1</v>
      </c>
      <c r="C5800">
        <v>-7.483333</v>
      </c>
      <c r="D5800">
        <v>11.41667</v>
      </c>
      <c r="E5800">
        <f>-7.483333-11.416669</f>
        <v>-18.900002000000001</v>
      </c>
      <c r="F5800" t="s">
        <v>9236</v>
      </c>
      <c r="G5800" t="s">
        <v>39</v>
      </c>
      <c r="H5800">
        <v>2007</v>
      </c>
      <c r="I5800">
        <v>26.911370000000002</v>
      </c>
      <c r="J5800">
        <v>13.4</v>
      </c>
      <c r="K5800">
        <v>61</v>
      </c>
      <c r="L5800">
        <v>19.740590000000001</v>
      </c>
      <c r="M5800">
        <v>37.211379999999998</v>
      </c>
      <c r="N5800">
        <v>15.371309999999999</v>
      </c>
      <c r="O5800">
        <v>21.840070000000001</v>
      </c>
      <c r="P5800">
        <v>25.61138</v>
      </c>
      <c r="Q5800">
        <v>25.411370000000002</v>
      </c>
      <c r="R5800">
        <v>29.822749999999999</v>
      </c>
      <c r="S5800">
        <v>24.859929999999999</v>
      </c>
      <c r="T5800">
        <v>1117.037</v>
      </c>
      <c r="U5800">
        <v>291.78949999999998</v>
      </c>
      <c r="V5800">
        <v>0</v>
      </c>
      <c r="W5800">
        <v>107.2105</v>
      </c>
      <c r="X5800">
        <v>740.56709999999998</v>
      </c>
      <c r="Y5800">
        <v>2</v>
      </c>
      <c r="Z5800">
        <v>144.292</v>
      </c>
      <c r="AA5800">
        <v>10</v>
      </c>
      <c r="AB5800">
        <v>4.9787929999999996</v>
      </c>
      <c r="AC5800">
        <v>0.1352633</v>
      </c>
      <c r="AD5800">
        <v>0.94685649999999999</v>
      </c>
      <c r="AE5800">
        <v>0.79818619999999996</v>
      </c>
      <c r="AF5800">
        <v>343.4228</v>
      </c>
      <c r="AG5800">
        <f>IFERROR(AH5800*0.1, "N/A")</f>
        <v>5.5421050000000003</v>
      </c>
      <c r="AH5800">
        <v>55.421050000000001</v>
      </c>
      <c r="AI5800">
        <v>147.45070000000001</v>
      </c>
      <c r="AJ5800">
        <v>28.210529999999999</v>
      </c>
      <c r="AK5800">
        <v>44.578949999999999</v>
      </c>
    </row>
    <row r="5801" spans="1:37" x14ac:dyDescent="0.3">
      <c r="A5801">
        <v>5800</v>
      </c>
      <c r="B5801">
        <v>72.8</v>
      </c>
      <c r="C5801">
        <v>-3.6111110000000002</v>
      </c>
      <c r="D5801">
        <v>14.35</v>
      </c>
      <c r="E5801">
        <f>-3.611111-14.35</f>
        <v>-17.961110999999999</v>
      </c>
      <c r="F5801" t="s">
        <v>9237</v>
      </c>
      <c r="G5801" t="s">
        <v>39</v>
      </c>
      <c r="H5801">
        <v>1990</v>
      </c>
      <c r="I5801">
        <v>26.8</v>
      </c>
      <c r="J5801">
        <v>13.9</v>
      </c>
      <c r="K5801">
        <v>54</v>
      </c>
      <c r="L5801">
        <v>29.69</v>
      </c>
      <c r="M5801">
        <v>38.799999999999997</v>
      </c>
      <c r="N5801">
        <v>13.4</v>
      </c>
      <c r="O5801">
        <v>25.4</v>
      </c>
      <c r="P5801">
        <v>26.776340000000001</v>
      </c>
      <c r="Q5801">
        <v>22.6</v>
      </c>
      <c r="R5801">
        <v>30.7</v>
      </c>
      <c r="S5801">
        <v>22.6</v>
      </c>
      <c r="T5801">
        <v>514</v>
      </c>
      <c r="U5801">
        <v>172</v>
      </c>
      <c r="V5801">
        <v>0</v>
      </c>
      <c r="W5801">
        <v>134</v>
      </c>
      <c r="X5801">
        <v>403</v>
      </c>
      <c r="Y5801">
        <v>0</v>
      </c>
      <c r="Z5801">
        <v>88</v>
      </c>
      <c r="AA5801">
        <v>0</v>
      </c>
      <c r="AB5801">
        <v>6.8365720000000003</v>
      </c>
      <c r="AC5801">
        <v>6.293907E-2</v>
      </c>
      <c r="AD5801">
        <v>1.113969</v>
      </c>
      <c r="AE5801">
        <v>0.60501369999999999</v>
      </c>
      <c r="AF5801">
        <v>385.34559999999999</v>
      </c>
      <c r="AG5801">
        <f>IFERROR(AH5801*0.1, "N/A")</f>
        <v>6.9</v>
      </c>
      <c r="AH5801">
        <v>69</v>
      </c>
      <c r="AI5801">
        <v>249.4143</v>
      </c>
      <c r="AJ5801">
        <v>22.99832</v>
      </c>
      <c r="AK5801">
        <v>57</v>
      </c>
    </row>
    <row r="5802" spans="1:37" x14ac:dyDescent="0.3">
      <c r="A5802">
        <v>5801</v>
      </c>
      <c r="B5802">
        <v>10.1</v>
      </c>
      <c r="C5802">
        <v>-3.6111110000000002</v>
      </c>
      <c r="D5802">
        <v>14.35</v>
      </c>
      <c r="E5802">
        <f>-3.611111-14.35</f>
        <v>-17.961110999999999</v>
      </c>
      <c r="F5802" t="s">
        <v>9238</v>
      </c>
      <c r="G5802" t="s">
        <v>37</v>
      </c>
      <c r="H5802">
        <v>1990</v>
      </c>
      <c r="I5802">
        <v>26.8</v>
      </c>
      <c r="J5802">
        <v>13.9</v>
      </c>
      <c r="K5802">
        <v>54</v>
      </c>
      <c r="L5802">
        <v>29.69</v>
      </c>
      <c r="M5802">
        <v>38.799999999999997</v>
      </c>
      <c r="N5802">
        <v>13.4</v>
      </c>
      <c r="O5802">
        <v>25.4</v>
      </c>
      <c r="P5802">
        <v>26.776340000000001</v>
      </c>
      <c r="Q5802">
        <v>22.6</v>
      </c>
      <c r="R5802">
        <v>30.7</v>
      </c>
      <c r="S5802">
        <v>22.6</v>
      </c>
      <c r="T5802">
        <v>514</v>
      </c>
      <c r="U5802">
        <v>172</v>
      </c>
      <c r="V5802">
        <v>0</v>
      </c>
      <c r="W5802">
        <v>134</v>
      </c>
      <c r="X5802">
        <v>403</v>
      </c>
      <c r="Y5802">
        <v>0</v>
      </c>
      <c r="Z5802">
        <v>88</v>
      </c>
      <c r="AA5802">
        <v>0</v>
      </c>
      <c r="AB5802">
        <v>6.8365720000000003</v>
      </c>
      <c r="AC5802">
        <v>6.293907E-2</v>
      </c>
      <c r="AD5802">
        <v>1.113969</v>
      </c>
      <c r="AE5802">
        <v>0.60501369999999999</v>
      </c>
      <c r="AF5802">
        <v>385.34559999999999</v>
      </c>
      <c r="AG5802">
        <f>IFERROR(AH5802*0.1, "N/A")</f>
        <v>6.9</v>
      </c>
      <c r="AH5802">
        <v>69</v>
      </c>
      <c r="AI5802">
        <v>249.4143</v>
      </c>
      <c r="AJ5802">
        <v>22.99832</v>
      </c>
      <c r="AK5802">
        <v>57</v>
      </c>
    </row>
    <row r="5803" spans="1:37" x14ac:dyDescent="0.3">
      <c r="A5803">
        <v>5802</v>
      </c>
      <c r="B5803">
        <v>54</v>
      </c>
      <c r="C5803">
        <v>-7.9333330000000002</v>
      </c>
      <c r="D5803">
        <v>13.1</v>
      </c>
      <c r="E5803">
        <f>-7.933333-13.1</f>
        <v>-21.033332999999999</v>
      </c>
      <c r="F5803" t="s">
        <v>9239</v>
      </c>
      <c r="G5803" t="s">
        <v>39</v>
      </c>
      <c r="H5803">
        <v>1990</v>
      </c>
      <c r="I5803">
        <v>26.974489999999999</v>
      </c>
      <c r="J5803">
        <v>15.130570000000001</v>
      </c>
      <c r="K5803">
        <v>58.30574</v>
      </c>
      <c r="L5803">
        <v>24.178339999999999</v>
      </c>
      <c r="M5803">
        <v>38.874490000000002</v>
      </c>
      <c r="N5803">
        <v>13.243919999999999</v>
      </c>
      <c r="O5803">
        <v>25.630569999999999</v>
      </c>
      <c r="P5803">
        <v>25.9</v>
      </c>
      <c r="Q5803">
        <v>24.390029999999999</v>
      </c>
      <c r="R5803">
        <v>30.290030000000002</v>
      </c>
      <c r="S5803">
        <v>24.1</v>
      </c>
      <c r="T5803">
        <v>904.90030000000002</v>
      </c>
      <c r="U5803">
        <v>283.90030000000002</v>
      </c>
      <c r="V5803">
        <v>0</v>
      </c>
      <c r="W5803">
        <v>125.9003</v>
      </c>
      <c r="X5803">
        <v>680.90030000000002</v>
      </c>
      <c r="Y5803">
        <v>0</v>
      </c>
      <c r="Z5803">
        <v>57</v>
      </c>
      <c r="AA5803">
        <v>3</v>
      </c>
      <c r="AB5803">
        <v>10.871790000000001</v>
      </c>
      <c r="AC5803">
        <v>1.4126700000000001E-2</v>
      </c>
      <c r="AD5803">
        <v>1.8568690000000001</v>
      </c>
      <c r="AE5803">
        <v>0.66727530000000002</v>
      </c>
      <c r="AF5803">
        <v>389.64359999999999</v>
      </c>
      <c r="AG5803">
        <f>IFERROR(AH5803*0.1, "N/A")</f>
        <v>6.0241550000000004</v>
      </c>
      <c r="AH5803">
        <v>60.241549999999997</v>
      </c>
      <c r="AI5803">
        <v>241.66470000000001</v>
      </c>
      <c r="AJ5803">
        <v>17.49662</v>
      </c>
      <c r="AK5803">
        <v>49.758450000000003</v>
      </c>
    </row>
    <row r="5804" spans="1:37" x14ac:dyDescent="0.3">
      <c r="A5804">
        <v>5803</v>
      </c>
      <c r="B5804">
        <v>0</v>
      </c>
      <c r="C5804">
        <v>-7.9333330000000002</v>
      </c>
      <c r="D5804">
        <v>13.1</v>
      </c>
      <c r="E5804">
        <f>-7.933333-13.1</f>
        <v>-21.033332999999999</v>
      </c>
      <c r="F5804" t="s">
        <v>9240</v>
      </c>
      <c r="G5804" t="s">
        <v>37</v>
      </c>
      <c r="H5804">
        <v>1990</v>
      </c>
      <c r="I5804">
        <v>26.974489999999999</v>
      </c>
      <c r="J5804">
        <v>15.130570000000001</v>
      </c>
      <c r="K5804">
        <v>58.30574</v>
      </c>
      <c r="L5804">
        <v>24.178339999999999</v>
      </c>
      <c r="M5804">
        <v>38.874490000000002</v>
      </c>
      <c r="N5804">
        <v>13.243919999999999</v>
      </c>
      <c r="O5804">
        <v>25.630569999999999</v>
      </c>
      <c r="P5804">
        <v>25.9</v>
      </c>
      <c r="Q5804">
        <v>24.390029999999999</v>
      </c>
      <c r="R5804">
        <v>30.290030000000002</v>
      </c>
      <c r="S5804">
        <v>24.1</v>
      </c>
      <c r="T5804">
        <v>904.90030000000002</v>
      </c>
      <c r="U5804">
        <v>283.90030000000002</v>
      </c>
      <c r="V5804">
        <v>0</v>
      </c>
      <c r="W5804">
        <v>125.9003</v>
      </c>
      <c r="X5804">
        <v>680.90030000000002</v>
      </c>
      <c r="Y5804">
        <v>0</v>
      </c>
      <c r="Z5804">
        <v>57</v>
      </c>
      <c r="AA5804">
        <v>3</v>
      </c>
      <c r="AB5804">
        <v>10.871790000000001</v>
      </c>
      <c r="AC5804">
        <v>1.4126700000000001E-2</v>
      </c>
      <c r="AD5804">
        <v>1.8568690000000001</v>
      </c>
      <c r="AE5804">
        <v>0.66727530000000002</v>
      </c>
      <c r="AF5804">
        <v>389.64359999999999</v>
      </c>
      <c r="AG5804">
        <f>IFERROR(AH5804*0.1, "N/A")</f>
        <v>6.0241550000000004</v>
      </c>
      <c r="AH5804">
        <v>60.241549999999997</v>
      </c>
      <c r="AI5804">
        <v>241.66470000000001</v>
      </c>
      <c r="AJ5804">
        <v>17.49662</v>
      </c>
      <c r="AK5804">
        <v>49.758450000000003</v>
      </c>
    </row>
    <row r="5805" spans="1:37" x14ac:dyDescent="0.3">
      <c r="A5805">
        <v>5804</v>
      </c>
      <c r="B5805">
        <v>29.1</v>
      </c>
      <c r="C5805">
        <v>-5.9853139999999998</v>
      </c>
      <c r="D5805">
        <v>14.227370000000001</v>
      </c>
      <c r="E5805">
        <f>-5.985314-14.227367</f>
        <v>-20.212681</v>
      </c>
      <c r="F5805" t="s">
        <v>9241</v>
      </c>
      <c r="G5805" t="s">
        <v>37</v>
      </c>
      <c r="H5805">
        <v>1990</v>
      </c>
      <c r="I5805">
        <v>27.3</v>
      </c>
      <c r="J5805">
        <v>15.7</v>
      </c>
      <c r="K5805">
        <v>57</v>
      </c>
      <c r="L5805">
        <v>28.53</v>
      </c>
      <c r="M5805">
        <v>39.9</v>
      </c>
      <c r="N5805">
        <v>12.5</v>
      </c>
      <c r="O5805">
        <v>27.4</v>
      </c>
      <c r="P5805">
        <v>27.3</v>
      </c>
      <c r="Q5805">
        <v>23.4</v>
      </c>
      <c r="R5805">
        <v>31.1</v>
      </c>
      <c r="S5805">
        <v>23.4</v>
      </c>
      <c r="T5805">
        <v>549</v>
      </c>
      <c r="U5805">
        <v>203</v>
      </c>
      <c r="V5805">
        <v>0</v>
      </c>
      <c r="W5805">
        <v>143</v>
      </c>
      <c r="X5805">
        <v>449</v>
      </c>
      <c r="Y5805">
        <v>0</v>
      </c>
      <c r="Z5805">
        <v>79</v>
      </c>
      <c r="AA5805">
        <v>0</v>
      </c>
      <c r="AB5805">
        <v>0.8749304</v>
      </c>
      <c r="AC5805">
        <v>1.0272649999999999E-2</v>
      </c>
      <c r="AD5805">
        <v>1.0090980000000001</v>
      </c>
      <c r="AE5805">
        <v>0.56751079999999998</v>
      </c>
      <c r="AF5805">
        <v>280.24579999999997</v>
      </c>
      <c r="AG5805">
        <f>IFERROR(AH5805*0.1, "N/A")</f>
        <v>6.6289559999999996</v>
      </c>
      <c r="AH5805">
        <v>66.289559999999994</v>
      </c>
      <c r="AI5805">
        <v>170.8193</v>
      </c>
      <c r="AJ5805">
        <v>27.644780000000001</v>
      </c>
      <c r="AK5805">
        <v>49.702019999999997</v>
      </c>
    </row>
    <row r="5806" spans="1:37" x14ac:dyDescent="0.3">
      <c r="A5806">
        <v>5805</v>
      </c>
      <c r="B5806">
        <v>70</v>
      </c>
      <c r="C5806">
        <v>-2.7986E-2</v>
      </c>
      <c r="D5806">
        <v>16.26398</v>
      </c>
      <c r="E5806">
        <f>-0.027986-16.263981</f>
        <v>-16.291967</v>
      </c>
      <c r="F5806" t="s">
        <v>9242</v>
      </c>
      <c r="G5806" t="s">
        <v>39</v>
      </c>
      <c r="H5806">
        <v>1990</v>
      </c>
      <c r="I5806">
        <v>30</v>
      </c>
      <c r="J5806">
        <v>14.4</v>
      </c>
      <c r="K5806">
        <v>52</v>
      </c>
      <c r="L5806">
        <v>40.200000000000003</v>
      </c>
      <c r="M5806">
        <v>42.1</v>
      </c>
      <c r="N5806">
        <v>14.7</v>
      </c>
      <c r="O5806">
        <v>27.4</v>
      </c>
      <c r="P5806">
        <v>32</v>
      </c>
      <c r="Q5806">
        <v>25.7</v>
      </c>
      <c r="R5806">
        <v>34.200000000000003</v>
      </c>
      <c r="S5806">
        <v>24</v>
      </c>
      <c r="T5806">
        <v>200</v>
      </c>
      <c r="U5806">
        <v>77</v>
      </c>
      <c r="V5806">
        <v>0</v>
      </c>
      <c r="W5806">
        <v>147</v>
      </c>
      <c r="X5806">
        <v>167</v>
      </c>
      <c r="Y5806">
        <v>0</v>
      </c>
      <c r="Z5806">
        <v>28</v>
      </c>
      <c r="AA5806">
        <v>0</v>
      </c>
      <c r="AB5806">
        <v>0.40726810000000002</v>
      </c>
      <c r="AC5806">
        <v>3.0595490000000001</v>
      </c>
      <c r="AD5806">
        <v>3.1847430000000001</v>
      </c>
      <c r="AE5806">
        <v>0.58555670000000004</v>
      </c>
      <c r="AF5806">
        <v>246.26609999999999</v>
      </c>
      <c r="AG5806">
        <f>IFERROR(AH5806*0.1, "N/A")</f>
        <v>7.7471069999999997</v>
      </c>
      <c r="AH5806">
        <v>77.471069999999997</v>
      </c>
      <c r="AI5806">
        <v>260.08909999999997</v>
      </c>
      <c r="AJ5806">
        <v>20.494209999999999</v>
      </c>
      <c r="AK5806">
        <v>63.505789999999998</v>
      </c>
    </row>
    <row r="5807" spans="1:37" x14ac:dyDescent="0.3">
      <c r="A5807">
        <v>5806</v>
      </c>
      <c r="B5807">
        <v>0</v>
      </c>
      <c r="C5807">
        <v>-2.7986E-2</v>
      </c>
      <c r="D5807">
        <v>16.26398</v>
      </c>
      <c r="E5807">
        <f>-0.027986-16.263981</f>
        <v>-16.291967</v>
      </c>
      <c r="F5807" t="s">
        <v>9243</v>
      </c>
      <c r="G5807" t="s">
        <v>37</v>
      </c>
      <c r="H5807">
        <v>1990</v>
      </c>
      <c r="I5807">
        <v>30</v>
      </c>
      <c r="J5807">
        <v>14.4</v>
      </c>
      <c r="K5807">
        <v>52</v>
      </c>
      <c r="L5807">
        <v>40.200000000000003</v>
      </c>
      <c r="M5807">
        <v>42.1</v>
      </c>
      <c r="N5807">
        <v>14.7</v>
      </c>
      <c r="O5807">
        <v>27.4</v>
      </c>
      <c r="P5807">
        <v>32</v>
      </c>
      <c r="Q5807">
        <v>25.7</v>
      </c>
      <c r="R5807">
        <v>34.200000000000003</v>
      </c>
      <c r="S5807">
        <v>24</v>
      </c>
      <c r="T5807">
        <v>200</v>
      </c>
      <c r="U5807">
        <v>77</v>
      </c>
      <c r="V5807">
        <v>0</v>
      </c>
      <c r="W5807">
        <v>147</v>
      </c>
      <c r="X5807">
        <v>167</v>
      </c>
      <c r="Y5807">
        <v>0</v>
      </c>
      <c r="Z5807">
        <v>28</v>
      </c>
      <c r="AA5807">
        <v>0</v>
      </c>
      <c r="AB5807">
        <v>0.40726810000000002</v>
      </c>
      <c r="AC5807">
        <v>3.0595490000000001</v>
      </c>
      <c r="AD5807">
        <v>3.1847430000000001</v>
      </c>
      <c r="AE5807">
        <v>0.58555670000000004</v>
      </c>
      <c r="AF5807">
        <v>246.26609999999999</v>
      </c>
      <c r="AG5807">
        <f>IFERROR(AH5807*0.1, "N/A")</f>
        <v>7.7471069999999997</v>
      </c>
      <c r="AH5807">
        <v>77.471069999999997</v>
      </c>
      <c r="AI5807">
        <v>260.08909999999997</v>
      </c>
      <c r="AJ5807">
        <v>20.494209999999999</v>
      </c>
      <c r="AK5807">
        <v>63.505789999999998</v>
      </c>
    </row>
    <row r="5808" spans="1:37" x14ac:dyDescent="0.3">
      <c r="A5808">
        <v>5807</v>
      </c>
      <c r="B5808">
        <v>21.8</v>
      </c>
      <c r="C5808">
        <v>-4.1986080000000001</v>
      </c>
      <c r="D5808">
        <v>14.49583</v>
      </c>
      <c r="E5808">
        <f>-4.198608-14.495833</f>
        <v>-18.694440999999998</v>
      </c>
      <c r="F5808" t="s">
        <v>9244</v>
      </c>
      <c r="G5808" t="s">
        <v>39</v>
      </c>
      <c r="H5808">
        <v>1990</v>
      </c>
      <c r="I5808">
        <v>28</v>
      </c>
      <c r="J5808">
        <v>14.1</v>
      </c>
      <c r="K5808">
        <v>54</v>
      </c>
      <c r="L5808">
        <v>29.76</v>
      </c>
      <c r="M5808">
        <v>40.4</v>
      </c>
      <c r="N5808">
        <v>14.3</v>
      </c>
      <c r="O5808">
        <v>26.1</v>
      </c>
      <c r="P5808">
        <v>27.9</v>
      </c>
      <c r="Q5808">
        <v>25.8</v>
      </c>
      <c r="R5808">
        <v>31.9</v>
      </c>
      <c r="S5808">
        <v>23.9</v>
      </c>
      <c r="T5808">
        <v>496</v>
      </c>
      <c r="U5808">
        <v>166</v>
      </c>
      <c r="V5808">
        <v>0</v>
      </c>
      <c r="W5808">
        <v>135</v>
      </c>
      <c r="X5808">
        <v>393</v>
      </c>
      <c r="Y5808">
        <v>0</v>
      </c>
      <c r="Z5808">
        <v>85</v>
      </c>
      <c r="AA5808">
        <v>0</v>
      </c>
      <c r="AB5808">
        <v>7.7318800000000003</v>
      </c>
      <c r="AC5808">
        <v>8.3088729999999996E-3</v>
      </c>
      <c r="AD5808">
        <v>1.756624</v>
      </c>
      <c r="AE5808">
        <v>0.54891710000000005</v>
      </c>
      <c r="AF5808">
        <v>267.92750000000001</v>
      </c>
      <c r="AG5808">
        <f>IFERROR(AH5808*0.1, "N/A")</f>
        <v>7.1709950000000013</v>
      </c>
      <c r="AH5808">
        <v>71.709950000000006</v>
      </c>
      <c r="AI5808">
        <v>119.94629999999999</v>
      </c>
      <c r="AJ5808">
        <v>37.003369999999997</v>
      </c>
      <c r="AK5808">
        <v>43.898820000000001</v>
      </c>
    </row>
    <row r="5809" spans="1:37" x14ac:dyDescent="0.3">
      <c r="A5809">
        <v>5808</v>
      </c>
      <c r="B5809">
        <v>0</v>
      </c>
      <c r="C5809">
        <v>-4.1986080000000001</v>
      </c>
      <c r="D5809">
        <v>14.49583</v>
      </c>
      <c r="E5809">
        <f>-4.198608-14.495833</f>
        <v>-18.694440999999998</v>
      </c>
      <c r="F5809" t="s">
        <v>9245</v>
      </c>
      <c r="G5809" t="s">
        <v>37</v>
      </c>
      <c r="H5809">
        <v>1990</v>
      </c>
      <c r="I5809">
        <v>28</v>
      </c>
      <c r="J5809">
        <v>14.1</v>
      </c>
      <c r="K5809">
        <v>54</v>
      </c>
      <c r="L5809">
        <v>29.76</v>
      </c>
      <c r="M5809">
        <v>40.4</v>
      </c>
      <c r="N5809">
        <v>14.3</v>
      </c>
      <c r="O5809">
        <v>26.1</v>
      </c>
      <c r="P5809">
        <v>27.9</v>
      </c>
      <c r="Q5809">
        <v>25.8</v>
      </c>
      <c r="R5809">
        <v>31.9</v>
      </c>
      <c r="S5809">
        <v>23.9</v>
      </c>
      <c r="T5809">
        <v>496</v>
      </c>
      <c r="U5809">
        <v>166</v>
      </c>
      <c r="V5809">
        <v>0</v>
      </c>
      <c r="W5809">
        <v>135</v>
      </c>
      <c r="X5809">
        <v>393</v>
      </c>
      <c r="Y5809">
        <v>0</v>
      </c>
      <c r="Z5809">
        <v>85</v>
      </c>
      <c r="AA5809">
        <v>0</v>
      </c>
      <c r="AB5809">
        <v>7.7318800000000003</v>
      </c>
      <c r="AC5809">
        <v>8.3088729999999996E-3</v>
      </c>
      <c r="AD5809">
        <v>1.756624</v>
      </c>
      <c r="AE5809">
        <v>0.54891710000000005</v>
      </c>
      <c r="AF5809">
        <v>267.92750000000001</v>
      </c>
      <c r="AG5809">
        <f>IFERROR(AH5809*0.1, "N/A")</f>
        <v>7.1709950000000013</v>
      </c>
      <c r="AH5809">
        <v>71.709950000000006</v>
      </c>
      <c r="AI5809">
        <v>119.94629999999999</v>
      </c>
      <c r="AJ5809">
        <v>37.003369999999997</v>
      </c>
      <c r="AK5809">
        <v>43.898820000000001</v>
      </c>
    </row>
    <row r="5810" spans="1:37" x14ac:dyDescent="0.3">
      <c r="A5810">
        <v>5809</v>
      </c>
      <c r="B5810">
        <v>80.8</v>
      </c>
      <c r="C5810">
        <v>-7.5583330000000002</v>
      </c>
      <c r="D5810">
        <v>12.86111</v>
      </c>
      <c r="E5810">
        <f>-7.558333-12.861111</f>
        <v>-20.419443999999999</v>
      </c>
      <c r="F5810" t="s">
        <v>9246</v>
      </c>
      <c r="G5810" t="s">
        <v>39</v>
      </c>
      <c r="H5810">
        <v>1990</v>
      </c>
      <c r="I5810">
        <v>27.458570000000002</v>
      </c>
      <c r="J5810">
        <v>14.9</v>
      </c>
      <c r="K5810">
        <v>57</v>
      </c>
      <c r="L5810">
        <v>25.417999999999999</v>
      </c>
      <c r="M5810">
        <v>39.558570000000003</v>
      </c>
      <c r="N5810">
        <v>13.8</v>
      </c>
      <c r="O5810">
        <v>25.758569999999999</v>
      </c>
      <c r="P5810">
        <v>26.55857</v>
      </c>
      <c r="Q5810">
        <v>24.55857</v>
      </c>
      <c r="R5810">
        <v>30.9</v>
      </c>
      <c r="S5810">
        <v>24.35857</v>
      </c>
      <c r="T5810">
        <v>856.65700000000004</v>
      </c>
      <c r="U5810">
        <v>264.58569999999997</v>
      </c>
      <c r="V5810">
        <v>0</v>
      </c>
      <c r="W5810">
        <v>122.4143</v>
      </c>
      <c r="X5810">
        <v>628.82849999999996</v>
      </c>
      <c r="Y5810">
        <v>0</v>
      </c>
      <c r="Z5810">
        <v>175.4143</v>
      </c>
      <c r="AA5810">
        <v>2</v>
      </c>
      <c r="AB5810">
        <v>14.11224</v>
      </c>
      <c r="AC5810">
        <v>2.989617E-2</v>
      </c>
      <c r="AD5810">
        <v>4.3951359999999999</v>
      </c>
      <c r="AE5810">
        <v>0.69821089999999997</v>
      </c>
      <c r="AF5810">
        <v>301.73680000000002</v>
      </c>
      <c r="AG5810">
        <f>IFERROR(AH5810*0.1, "N/A")</f>
        <v>6.3757219999999997</v>
      </c>
      <c r="AH5810">
        <v>63.757219999999997</v>
      </c>
      <c r="AI5810">
        <v>110.2166</v>
      </c>
      <c r="AJ5810">
        <v>25.657050000000002</v>
      </c>
      <c r="AK5810">
        <v>49.171480000000003</v>
      </c>
    </row>
    <row r="5811" spans="1:37" x14ac:dyDescent="0.3">
      <c r="A5811">
        <v>5810</v>
      </c>
      <c r="B5811">
        <v>0</v>
      </c>
      <c r="C5811">
        <v>-7.5583330000000002</v>
      </c>
      <c r="D5811">
        <v>12.86111</v>
      </c>
      <c r="E5811">
        <f>-7.558333-12.861111</f>
        <v>-20.419443999999999</v>
      </c>
      <c r="F5811" t="s">
        <v>9247</v>
      </c>
      <c r="G5811" t="s">
        <v>37</v>
      </c>
      <c r="H5811">
        <v>1990</v>
      </c>
      <c r="I5811">
        <v>27.458570000000002</v>
      </c>
      <c r="J5811">
        <v>14.9</v>
      </c>
      <c r="K5811">
        <v>57</v>
      </c>
      <c r="L5811">
        <v>25.417999999999999</v>
      </c>
      <c r="M5811">
        <v>39.558570000000003</v>
      </c>
      <c r="N5811">
        <v>13.8</v>
      </c>
      <c r="O5811">
        <v>25.758569999999999</v>
      </c>
      <c r="P5811">
        <v>26.55857</v>
      </c>
      <c r="Q5811">
        <v>24.55857</v>
      </c>
      <c r="R5811">
        <v>30.9</v>
      </c>
      <c r="S5811">
        <v>24.35857</v>
      </c>
      <c r="T5811">
        <v>856.65700000000004</v>
      </c>
      <c r="U5811">
        <v>264.58569999999997</v>
      </c>
      <c r="V5811">
        <v>0</v>
      </c>
      <c r="W5811">
        <v>122.4143</v>
      </c>
      <c r="X5811">
        <v>628.82849999999996</v>
      </c>
      <c r="Y5811">
        <v>0</v>
      </c>
      <c r="Z5811">
        <v>175.4143</v>
      </c>
      <c r="AA5811">
        <v>2</v>
      </c>
      <c r="AB5811">
        <v>14.11224</v>
      </c>
      <c r="AC5811">
        <v>2.989617E-2</v>
      </c>
      <c r="AD5811">
        <v>4.3951359999999999</v>
      </c>
      <c r="AE5811">
        <v>0.69821089999999997</v>
      </c>
      <c r="AF5811">
        <v>301.73680000000002</v>
      </c>
      <c r="AG5811">
        <f>IFERROR(AH5811*0.1, "N/A")</f>
        <v>6.3757219999999997</v>
      </c>
      <c r="AH5811">
        <v>63.757219999999997</v>
      </c>
      <c r="AI5811">
        <v>110.2166</v>
      </c>
      <c r="AJ5811">
        <v>25.657050000000002</v>
      </c>
      <c r="AK5811">
        <v>49.171480000000003</v>
      </c>
    </row>
    <row r="5812" spans="1:37" x14ac:dyDescent="0.3">
      <c r="A5812">
        <v>5811</v>
      </c>
      <c r="B5812">
        <v>2.1</v>
      </c>
      <c r="C5812">
        <v>-6.1166700000000001</v>
      </c>
      <c r="D5812">
        <v>10.25</v>
      </c>
      <c r="E5812">
        <f>-6.11667-10.25</f>
        <v>-16.366669999999999</v>
      </c>
      <c r="F5812" t="s">
        <v>9248</v>
      </c>
      <c r="G5812" t="s">
        <v>39</v>
      </c>
      <c r="H5812">
        <v>1990</v>
      </c>
      <c r="I5812">
        <v>26.83643</v>
      </c>
      <c r="J5812">
        <v>12.6</v>
      </c>
      <c r="K5812">
        <v>63</v>
      </c>
      <c r="L5812">
        <v>15.821479999999999</v>
      </c>
      <c r="M5812">
        <v>36.366500000000002</v>
      </c>
      <c r="N5812">
        <v>16.366489999999999</v>
      </c>
      <c r="O5812">
        <v>20</v>
      </c>
      <c r="P5812">
        <v>25.436430000000001</v>
      </c>
      <c r="Q5812">
        <v>26.00292</v>
      </c>
      <c r="R5812">
        <v>29.036429999999999</v>
      </c>
      <c r="S5812">
        <v>25.402920000000002</v>
      </c>
      <c r="T5812">
        <v>1224.952</v>
      </c>
      <c r="U5812">
        <v>305.36430000000001</v>
      </c>
      <c r="V5812">
        <v>3</v>
      </c>
      <c r="W5812">
        <v>94.835049999999995</v>
      </c>
      <c r="X5812">
        <v>743.7577</v>
      </c>
      <c r="Y5812">
        <v>16.470790000000001</v>
      </c>
      <c r="Z5812">
        <v>204.1942</v>
      </c>
      <c r="AA5812">
        <v>291.88319999999999</v>
      </c>
      <c r="AB5812">
        <v>3.7859120000000002</v>
      </c>
      <c r="AC5812">
        <v>3.3529550000000001</v>
      </c>
      <c r="AD5812">
        <v>1.6957279999999999</v>
      </c>
      <c r="AE5812">
        <v>0.59890319999999997</v>
      </c>
      <c r="AF5812">
        <v>346.17700000000002</v>
      </c>
      <c r="AG5812">
        <f>IFERROR(AH5812*0.1, "N/A")</f>
        <v>5.8000000000000007</v>
      </c>
      <c r="AH5812">
        <v>58</v>
      </c>
      <c r="AI5812">
        <v>232.1833</v>
      </c>
      <c r="AJ5812">
        <v>20.470790000000001</v>
      </c>
      <c r="AK5812">
        <v>52.412370000000003</v>
      </c>
    </row>
    <row r="5813" spans="1:37" x14ac:dyDescent="0.3">
      <c r="A5813">
        <v>5812</v>
      </c>
      <c r="B5813">
        <v>4</v>
      </c>
      <c r="C5813">
        <v>-6.1166700000000001</v>
      </c>
      <c r="D5813">
        <v>10.25</v>
      </c>
      <c r="E5813">
        <f>-6.11667-10.25</f>
        <v>-16.366669999999999</v>
      </c>
      <c r="F5813" t="s">
        <v>9249</v>
      </c>
      <c r="G5813" t="s">
        <v>37</v>
      </c>
      <c r="H5813">
        <v>1990</v>
      </c>
      <c r="I5813">
        <v>26.83643</v>
      </c>
      <c r="J5813">
        <v>12.6</v>
      </c>
      <c r="K5813">
        <v>63</v>
      </c>
      <c r="L5813">
        <v>15.821479999999999</v>
      </c>
      <c r="M5813">
        <v>36.366500000000002</v>
      </c>
      <c r="N5813">
        <v>16.366489999999999</v>
      </c>
      <c r="O5813">
        <v>20</v>
      </c>
      <c r="P5813">
        <v>25.436430000000001</v>
      </c>
      <c r="Q5813">
        <v>26.00292</v>
      </c>
      <c r="R5813">
        <v>29.036429999999999</v>
      </c>
      <c r="S5813">
        <v>25.402920000000002</v>
      </c>
      <c r="T5813">
        <v>1224.952</v>
      </c>
      <c r="U5813">
        <v>305.36430000000001</v>
      </c>
      <c r="V5813">
        <v>3</v>
      </c>
      <c r="W5813">
        <v>94.835049999999995</v>
      </c>
      <c r="X5813">
        <v>743.7577</v>
      </c>
      <c r="Y5813">
        <v>16.470790000000001</v>
      </c>
      <c r="Z5813">
        <v>204.1942</v>
      </c>
      <c r="AA5813">
        <v>291.88319999999999</v>
      </c>
      <c r="AB5813">
        <v>3.7859120000000002</v>
      </c>
      <c r="AC5813">
        <v>3.3529550000000001</v>
      </c>
      <c r="AD5813">
        <v>1.6957279999999999</v>
      </c>
      <c r="AE5813">
        <v>0.59890319999999997</v>
      </c>
      <c r="AF5813">
        <v>346.17700000000002</v>
      </c>
      <c r="AG5813">
        <f>IFERROR(AH5813*0.1, "N/A")</f>
        <v>5.8000000000000007</v>
      </c>
      <c r="AH5813">
        <v>58</v>
      </c>
      <c r="AI5813">
        <v>232.1833</v>
      </c>
      <c r="AJ5813">
        <v>20.470790000000001</v>
      </c>
      <c r="AK5813">
        <v>52.412370000000003</v>
      </c>
    </row>
    <row r="5814" spans="1:37" x14ac:dyDescent="0.3">
      <c r="A5814">
        <v>5813</v>
      </c>
      <c r="B5814">
        <v>0.4</v>
      </c>
      <c r="C5814">
        <v>-6.1109900000000001</v>
      </c>
      <c r="D5814">
        <v>10.3063</v>
      </c>
      <c r="E5814">
        <f>-6.11099-10.3063</f>
        <v>-16.417290000000001</v>
      </c>
      <c r="F5814" t="s">
        <v>9250</v>
      </c>
      <c r="G5814" t="s">
        <v>39</v>
      </c>
      <c r="H5814">
        <v>1990</v>
      </c>
      <c r="I5814">
        <v>26.8</v>
      </c>
      <c r="J5814">
        <v>12.6</v>
      </c>
      <c r="K5814">
        <v>62</v>
      </c>
      <c r="L5814">
        <v>16.11</v>
      </c>
      <c r="M5814">
        <v>36.4</v>
      </c>
      <c r="N5814">
        <v>16.3</v>
      </c>
      <c r="O5814">
        <v>20.100000000000001</v>
      </c>
      <c r="P5814">
        <v>25.4</v>
      </c>
      <c r="Q5814">
        <v>26</v>
      </c>
      <c r="R5814">
        <v>29.1</v>
      </c>
      <c r="S5814">
        <v>25.4</v>
      </c>
      <c r="T5814">
        <v>1221</v>
      </c>
      <c r="U5814">
        <v>305</v>
      </c>
      <c r="V5814">
        <v>3</v>
      </c>
      <c r="W5814">
        <v>96</v>
      </c>
      <c r="X5814">
        <v>744</v>
      </c>
      <c r="Y5814">
        <v>16</v>
      </c>
      <c r="Z5814">
        <v>201</v>
      </c>
      <c r="AA5814">
        <v>31</v>
      </c>
      <c r="AB5814">
        <v>13.621359999999999</v>
      </c>
      <c r="AC5814">
        <v>8.2620910000000006E-2</v>
      </c>
      <c r="AD5814">
        <v>2.7692860000000001</v>
      </c>
      <c r="AE5814">
        <v>0.54422280000000001</v>
      </c>
      <c r="AF5814">
        <v>357.47680000000003</v>
      </c>
      <c r="AG5814">
        <f>IFERROR(AH5814*0.1, "N/A")</f>
        <v>5.8000000000000007</v>
      </c>
      <c r="AH5814">
        <v>58</v>
      </c>
      <c r="AI5814">
        <v>103.6345</v>
      </c>
      <c r="AJ5814">
        <v>15.034420000000001</v>
      </c>
      <c r="AK5814">
        <v>59.82788</v>
      </c>
    </row>
    <row r="5815" spans="1:37" x14ac:dyDescent="0.3">
      <c r="A5815">
        <v>5814</v>
      </c>
      <c r="B5815">
        <v>0</v>
      </c>
      <c r="C5815">
        <v>-6.1109900000000001</v>
      </c>
      <c r="D5815">
        <v>10.3063</v>
      </c>
      <c r="E5815">
        <f>-6.11099-10.3063</f>
        <v>-16.417290000000001</v>
      </c>
      <c r="F5815" t="s">
        <v>9251</v>
      </c>
      <c r="G5815" t="s">
        <v>37</v>
      </c>
      <c r="H5815">
        <v>1990</v>
      </c>
      <c r="I5815">
        <v>26.8</v>
      </c>
      <c r="J5815">
        <v>12.6</v>
      </c>
      <c r="K5815">
        <v>62</v>
      </c>
      <c r="L5815">
        <v>16.11</v>
      </c>
      <c r="M5815">
        <v>36.4</v>
      </c>
      <c r="N5815">
        <v>16.3</v>
      </c>
      <c r="O5815">
        <v>20.100000000000001</v>
      </c>
      <c r="P5815">
        <v>25.4</v>
      </c>
      <c r="Q5815">
        <v>26</v>
      </c>
      <c r="R5815">
        <v>29.1</v>
      </c>
      <c r="S5815">
        <v>25.4</v>
      </c>
      <c r="T5815">
        <v>1221</v>
      </c>
      <c r="U5815">
        <v>305</v>
      </c>
      <c r="V5815">
        <v>3</v>
      </c>
      <c r="W5815">
        <v>96</v>
      </c>
      <c r="X5815">
        <v>744</v>
      </c>
      <c r="Y5815">
        <v>16</v>
      </c>
      <c r="Z5815">
        <v>201</v>
      </c>
      <c r="AA5815">
        <v>31</v>
      </c>
      <c r="AB5815">
        <v>13.621359999999999</v>
      </c>
      <c r="AC5815">
        <v>8.2620910000000006E-2</v>
      </c>
      <c r="AD5815">
        <v>2.7692860000000001</v>
      </c>
      <c r="AE5815">
        <v>0.54422280000000001</v>
      </c>
      <c r="AF5815">
        <v>357.47680000000003</v>
      </c>
      <c r="AG5815">
        <f>IFERROR(AH5815*0.1, "N/A")</f>
        <v>5.8000000000000007</v>
      </c>
      <c r="AH5815">
        <v>58</v>
      </c>
      <c r="AI5815">
        <v>103.6345</v>
      </c>
      <c r="AJ5815">
        <v>15.034420000000001</v>
      </c>
      <c r="AK5815">
        <v>59.82788</v>
      </c>
    </row>
    <row r="5816" spans="1:37" x14ac:dyDescent="0.3">
      <c r="A5816">
        <v>5815</v>
      </c>
      <c r="B5816">
        <v>0.8</v>
      </c>
      <c r="C5816">
        <v>-6.0666700000000002</v>
      </c>
      <c r="D5816">
        <v>10.316700000000001</v>
      </c>
      <c r="E5816">
        <f>-6.06667-10.3167</f>
        <v>-16.383369999999999</v>
      </c>
      <c r="F5816" t="s">
        <v>9252</v>
      </c>
      <c r="G5816" t="s">
        <v>39</v>
      </c>
      <c r="H5816">
        <v>1990</v>
      </c>
      <c r="I5816">
        <v>26.791060000000002</v>
      </c>
      <c r="J5816">
        <v>12.6</v>
      </c>
      <c r="K5816">
        <v>62.010309999999997</v>
      </c>
      <c r="L5816">
        <v>16.078109999999999</v>
      </c>
      <c r="M5816">
        <v>36.390039999999999</v>
      </c>
      <c r="N5816">
        <v>16.291060000000002</v>
      </c>
      <c r="O5816">
        <v>20.098970000000001</v>
      </c>
      <c r="P5816">
        <v>25.413229999999999</v>
      </c>
      <c r="Q5816">
        <v>25.89106</v>
      </c>
      <c r="R5816">
        <v>29.078869999999998</v>
      </c>
      <c r="S5816">
        <v>25.390029999999999</v>
      </c>
      <c r="T5816">
        <v>1208.577</v>
      </c>
      <c r="U5816">
        <v>303</v>
      </c>
      <c r="V5816">
        <v>2</v>
      </c>
      <c r="W5816">
        <v>96</v>
      </c>
      <c r="X5816">
        <v>736.78869999999995</v>
      </c>
      <c r="Y5816">
        <v>15</v>
      </c>
      <c r="Z5816">
        <v>197.78870000000001</v>
      </c>
      <c r="AA5816">
        <v>29</v>
      </c>
      <c r="AB5816">
        <v>3.6010339999999998</v>
      </c>
      <c r="AC5816">
        <v>0.34631679999999998</v>
      </c>
      <c r="AD5816">
        <v>1.910909</v>
      </c>
      <c r="AE5816">
        <v>0.68021889999999996</v>
      </c>
      <c r="AF5816">
        <v>349.43299999999999</v>
      </c>
      <c r="AG5816">
        <f>IFERROR(AH5816*0.1, "N/A")</f>
        <v>5.627491</v>
      </c>
      <c r="AH5816">
        <v>56.274909999999998</v>
      </c>
      <c r="AI5816">
        <v>188.0461</v>
      </c>
      <c r="AJ5816">
        <v>15.132300000000001</v>
      </c>
      <c r="AK5816">
        <v>61.52234</v>
      </c>
    </row>
    <row r="5817" spans="1:37" x14ac:dyDescent="0.3">
      <c r="A5817">
        <v>5816</v>
      </c>
      <c r="B5817">
        <v>2.5</v>
      </c>
      <c r="C5817">
        <v>-6.0666700000000002</v>
      </c>
      <c r="D5817">
        <v>10.316700000000001</v>
      </c>
      <c r="E5817">
        <f>-6.06667-10.3167</f>
        <v>-16.383369999999999</v>
      </c>
      <c r="F5817" t="s">
        <v>9253</v>
      </c>
      <c r="G5817" t="s">
        <v>37</v>
      </c>
      <c r="H5817">
        <v>1990</v>
      </c>
      <c r="I5817">
        <v>26.791060000000002</v>
      </c>
      <c r="J5817">
        <v>12.6</v>
      </c>
      <c r="K5817">
        <v>62.010309999999997</v>
      </c>
      <c r="L5817">
        <v>16.078109999999999</v>
      </c>
      <c r="M5817">
        <v>36.390039999999999</v>
      </c>
      <c r="N5817">
        <v>16.291060000000002</v>
      </c>
      <c r="O5817">
        <v>20.098970000000001</v>
      </c>
      <c r="P5817">
        <v>25.413229999999999</v>
      </c>
      <c r="Q5817">
        <v>25.89106</v>
      </c>
      <c r="R5817">
        <v>29.078869999999998</v>
      </c>
      <c r="S5817">
        <v>25.390029999999999</v>
      </c>
      <c r="T5817">
        <v>1208.577</v>
      </c>
      <c r="U5817">
        <v>303</v>
      </c>
      <c r="V5817">
        <v>2</v>
      </c>
      <c r="W5817">
        <v>96</v>
      </c>
      <c r="X5817">
        <v>736.78869999999995</v>
      </c>
      <c r="Y5817">
        <v>15</v>
      </c>
      <c r="Z5817">
        <v>197.78870000000001</v>
      </c>
      <c r="AA5817">
        <v>29</v>
      </c>
      <c r="AB5817">
        <v>3.6010339999999998</v>
      </c>
      <c r="AC5817">
        <v>0.34631679999999998</v>
      </c>
      <c r="AD5817">
        <v>1.910909</v>
      </c>
      <c r="AE5817">
        <v>0.68021889999999996</v>
      </c>
      <c r="AF5817">
        <v>349.43299999999999</v>
      </c>
      <c r="AG5817">
        <f>IFERROR(AH5817*0.1, "N/A")</f>
        <v>5.627491</v>
      </c>
      <c r="AH5817">
        <v>56.274909999999998</v>
      </c>
      <c r="AI5817">
        <v>188.0461</v>
      </c>
      <c r="AJ5817">
        <v>15.132300000000001</v>
      </c>
      <c r="AK5817">
        <v>61.52234</v>
      </c>
    </row>
    <row r="5818" spans="1:37" x14ac:dyDescent="0.3">
      <c r="A5818">
        <v>5817</v>
      </c>
      <c r="B5818">
        <v>0</v>
      </c>
      <c r="C5818">
        <v>-5.9166699999999999</v>
      </c>
      <c r="D5818">
        <v>10.3833</v>
      </c>
      <c r="E5818">
        <f>-5.91667-10.3833</f>
        <v>-16.299970000000002</v>
      </c>
      <c r="F5818" t="s">
        <v>9254</v>
      </c>
      <c r="G5818" t="s">
        <v>39</v>
      </c>
      <c r="H5818">
        <v>1990</v>
      </c>
      <c r="I5818">
        <v>26.879169999999998</v>
      </c>
      <c r="J5818">
        <v>12.6</v>
      </c>
      <c r="K5818">
        <v>62</v>
      </c>
      <c r="L5818">
        <v>16.137689999999999</v>
      </c>
      <c r="M5818">
        <v>36.479170000000003</v>
      </c>
      <c r="N5818">
        <v>16.374700000000001</v>
      </c>
      <c r="O5818">
        <v>20.104479999999999</v>
      </c>
      <c r="P5818">
        <v>25.5747</v>
      </c>
      <c r="Q5818">
        <v>25.962820000000001</v>
      </c>
      <c r="R5818">
        <v>29.2</v>
      </c>
      <c r="S5818">
        <v>25.379169999999998</v>
      </c>
      <c r="T5818">
        <v>1179</v>
      </c>
      <c r="U5818">
        <v>302</v>
      </c>
      <c r="V5818">
        <v>2</v>
      </c>
      <c r="W5818">
        <v>97</v>
      </c>
      <c r="X5818">
        <v>725.20830000000001</v>
      </c>
      <c r="Y5818">
        <v>14</v>
      </c>
      <c r="Z5818">
        <v>186.95519999999999</v>
      </c>
      <c r="AA5818">
        <v>24</v>
      </c>
      <c r="AB5818">
        <v>4.1760739999999998</v>
      </c>
      <c r="AC5818">
        <v>9.1633630000000008E-3</v>
      </c>
      <c r="AD5818">
        <v>1.1989350000000001</v>
      </c>
      <c r="AE5818">
        <v>0.55783389999999999</v>
      </c>
      <c r="AF5818">
        <v>339.71600000000001</v>
      </c>
      <c r="AG5818">
        <f>IFERROR(AH5818*0.1, "N/A")</f>
        <v>5.8127370000000003</v>
      </c>
      <c r="AH5818">
        <v>58.127369999999999</v>
      </c>
      <c r="AI5818">
        <v>196.11590000000001</v>
      </c>
      <c r="AJ5818">
        <v>14.06368</v>
      </c>
      <c r="AK5818">
        <v>61.017209999999999</v>
      </c>
    </row>
    <row r="5819" spans="1:37" x14ac:dyDescent="0.3">
      <c r="A5819">
        <v>5818</v>
      </c>
      <c r="B5819">
        <v>1.6</v>
      </c>
      <c r="C5819">
        <v>-5.9166699999999999</v>
      </c>
      <c r="D5819">
        <v>10.3833</v>
      </c>
      <c r="E5819">
        <f>-5.91667-10.3833</f>
        <v>-16.299970000000002</v>
      </c>
      <c r="F5819" t="s">
        <v>9255</v>
      </c>
      <c r="G5819" t="s">
        <v>37</v>
      </c>
      <c r="H5819">
        <v>1990</v>
      </c>
      <c r="I5819">
        <v>26.879169999999998</v>
      </c>
      <c r="J5819">
        <v>12.6</v>
      </c>
      <c r="K5819">
        <v>62</v>
      </c>
      <c r="L5819">
        <v>16.137689999999999</v>
      </c>
      <c r="M5819">
        <v>36.479170000000003</v>
      </c>
      <c r="N5819">
        <v>16.374700000000001</v>
      </c>
      <c r="O5819">
        <v>20.104479999999999</v>
      </c>
      <c r="P5819">
        <v>25.5747</v>
      </c>
      <c r="Q5819">
        <v>25.962820000000001</v>
      </c>
      <c r="R5819">
        <v>29.2</v>
      </c>
      <c r="S5819">
        <v>25.379169999999998</v>
      </c>
      <c r="T5819">
        <v>1179</v>
      </c>
      <c r="U5819">
        <v>302</v>
      </c>
      <c r="V5819">
        <v>2</v>
      </c>
      <c r="W5819">
        <v>97</v>
      </c>
      <c r="X5819">
        <v>725.20830000000001</v>
      </c>
      <c r="Y5819">
        <v>14</v>
      </c>
      <c r="Z5819">
        <v>186.95519999999999</v>
      </c>
      <c r="AA5819">
        <v>24</v>
      </c>
      <c r="AB5819">
        <v>4.1760739999999998</v>
      </c>
      <c r="AC5819">
        <v>9.1633630000000008E-3</v>
      </c>
      <c r="AD5819">
        <v>1.1989350000000001</v>
      </c>
      <c r="AE5819">
        <v>0.55783389999999999</v>
      </c>
      <c r="AF5819">
        <v>339.71600000000001</v>
      </c>
      <c r="AG5819">
        <f>IFERROR(AH5819*0.1, "N/A")</f>
        <v>5.8127370000000003</v>
      </c>
      <c r="AH5819">
        <v>58.127369999999999</v>
      </c>
      <c r="AI5819">
        <v>196.11590000000001</v>
      </c>
      <c r="AJ5819">
        <v>14.06368</v>
      </c>
      <c r="AK5819">
        <v>61.017209999999999</v>
      </c>
    </row>
    <row r="5820" spans="1:37" x14ac:dyDescent="0.3">
      <c r="A5820">
        <v>5819</v>
      </c>
      <c r="B5820">
        <v>0.7</v>
      </c>
      <c r="C5820">
        <v>-6.1166700000000001</v>
      </c>
      <c r="D5820">
        <v>10.433299999999999</v>
      </c>
      <c r="E5820">
        <f>-6.11667-10.4333</f>
        <v>-16.549969999999998</v>
      </c>
      <c r="F5820" t="s">
        <v>9256</v>
      </c>
      <c r="G5820" t="s">
        <v>39</v>
      </c>
      <c r="H5820">
        <v>1990</v>
      </c>
      <c r="I5820">
        <v>26.973320000000001</v>
      </c>
      <c r="J5820">
        <v>12.78795</v>
      </c>
      <c r="K5820">
        <v>62</v>
      </c>
      <c r="L5820">
        <v>16.443249999999999</v>
      </c>
      <c r="M5820">
        <v>36.673319999999997</v>
      </c>
      <c r="N5820">
        <v>16.185369999999999</v>
      </c>
      <c r="O5820">
        <v>20.487950000000001</v>
      </c>
      <c r="P5820">
        <v>25.685369999999999</v>
      </c>
      <c r="Q5820">
        <v>25.885370000000002</v>
      </c>
      <c r="R5820">
        <v>29.3</v>
      </c>
      <c r="S5820">
        <v>25.385370000000002</v>
      </c>
      <c r="T5820">
        <v>1207.673</v>
      </c>
      <c r="U5820">
        <v>306.1463</v>
      </c>
      <c r="V5820">
        <v>3</v>
      </c>
      <c r="W5820">
        <v>96.853700000000003</v>
      </c>
      <c r="X5820">
        <v>746.32010000000002</v>
      </c>
      <c r="Y5820">
        <v>14</v>
      </c>
      <c r="Z5820">
        <v>188.79349999999999</v>
      </c>
      <c r="AA5820">
        <v>30.1463</v>
      </c>
      <c r="AB5820">
        <v>2.264027</v>
      </c>
      <c r="AC5820">
        <v>0.20039219999999999</v>
      </c>
      <c r="AD5820">
        <v>1.505225</v>
      </c>
      <c r="AE5820">
        <v>0.61704300000000001</v>
      </c>
      <c r="AF5820">
        <v>325.09809999999999</v>
      </c>
      <c r="AG5820">
        <f>IFERROR(AH5820*0.1, "N/A")</f>
        <v>5.7473320000000001</v>
      </c>
      <c r="AH5820">
        <v>57.473320000000001</v>
      </c>
      <c r="AI5820">
        <v>38.809620000000002</v>
      </c>
      <c r="AJ5820">
        <v>24.053360000000001</v>
      </c>
      <c r="AK5820">
        <v>47.419969999999999</v>
      </c>
    </row>
    <row r="5821" spans="1:37" x14ac:dyDescent="0.3">
      <c r="A5821">
        <v>5820</v>
      </c>
      <c r="B5821">
        <v>0.9</v>
      </c>
      <c r="C5821">
        <v>-6.1166700000000001</v>
      </c>
      <c r="D5821">
        <v>10.433299999999999</v>
      </c>
      <c r="E5821">
        <f>-6.11667-10.4333</f>
        <v>-16.549969999999998</v>
      </c>
      <c r="F5821" t="s">
        <v>9257</v>
      </c>
      <c r="G5821" t="s">
        <v>37</v>
      </c>
      <c r="H5821">
        <v>1990</v>
      </c>
      <c r="I5821">
        <v>26.973320000000001</v>
      </c>
      <c r="J5821">
        <v>12.78795</v>
      </c>
      <c r="K5821">
        <v>62</v>
      </c>
      <c r="L5821">
        <v>16.443249999999999</v>
      </c>
      <c r="M5821">
        <v>36.673319999999997</v>
      </c>
      <c r="N5821">
        <v>16.185369999999999</v>
      </c>
      <c r="O5821">
        <v>20.487950000000001</v>
      </c>
      <c r="P5821">
        <v>25.685369999999999</v>
      </c>
      <c r="Q5821">
        <v>25.885370000000002</v>
      </c>
      <c r="R5821">
        <v>29.3</v>
      </c>
      <c r="S5821">
        <v>25.385370000000002</v>
      </c>
      <c r="T5821">
        <v>1207.673</v>
      </c>
      <c r="U5821">
        <v>306.1463</v>
      </c>
      <c r="V5821">
        <v>3</v>
      </c>
      <c r="W5821">
        <v>96.853700000000003</v>
      </c>
      <c r="X5821">
        <v>746.32010000000002</v>
      </c>
      <c r="Y5821">
        <v>14</v>
      </c>
      <c r="Z5821">
        <v>188.79349999999999</v>
      </c>
      <c r="AA5821">
        <v>30.1463</v>
      </c>
      <c r="AB5821">
        <v>2.264027</v>
      </c>
      <c r="AC5821">
        <v>0.20039219999999999</v>
      </c>
      <c r="AD5821">
        <v>1.505225</v>
      </c>
      <c r="AE5821">
        <v>0.61704300000000001</v>
      </c>
      <c r="AF5821">
        <v>325.09809999999999</v>
      </c>
      <c r="AG5821">
        <f>IFERROR(AH5821*0.1, "N/A")</f>
        <v>5.7473320000000001</v>
      </c>
      <c r="AH5821">
        <v>57.473320000000001</v>
      </c>
      <c r="AI5821">
        <v>38.809620000000002</v>
      </c>
      <c r="AJ5821">
        <v>24.053360000000001</v>
      </c>
      <c r="AK5821">
        <v>47.419969999999999</v>
      </c>
    </row>
    <row r="5822" spans="1:37" x14ac:dyDescent="0.3">
      <c r="A5822">
        <v>5821</v>
      </c>
      <c r="B5822">
        <v>0</v>
      </c>
      <c r="C5822">
        <v>-5.8360000000000003</v>
      </c>
      <c r="D5822">
        <v>10.468</v>
      </c>
      <c r="E5822">
        <f>-5.836-10.468</f>
        <v>-16.304000000000002</v>
      </c>
      <c r="F5822" t="s">
        <v>9258</v>
      </c>
      <c r="G5822" t="s">
        <v>39</v>
      </c>
      <c r="H5822">
        <v>1987</v>
      </c>
      <c r="I5822">
        <v>26.9</v>
      </c>
      <c r="J5822">
        <v>12.7</v>
      </c>
      <c r="K5822">
        <v>62</v>
      </c>
      <c r="L5822">
        <v>16.309999999999999</v>
      </c>
      <c r="M5822">
        <v>36.5</v>
      </c>
      <c r="N5822">
        <v>16.3</v>
      </c>
      <c r="O5822">
        <v>20.2</v>
      </c>
      <c r="P5822">
        <v>25.6</v>
      </c>
      <c r="Q5822">
        <v>25.9</v>
      </c>
      <c r="R5822">
        <v>29.3</v>
      </c>
      <c r="S5822">
        <v>25.4</v>
      </c>
      <c r="T5822">
        <v>1159</v>
      </c>
      <c r="U5822">
        <v>302</v>
      </c>
      <c r="V5822">
        <v>2</v>
      </c>
      <c r="W5822">
        <v>98</v>
      </c>
      <c r="X5822">
        <v>720</v>
      </c>
      <c r="Y5822">
        <v>14</v>
      </c>
      <c r="Z5822">
        <v>177</v>
      </c>
      <c r="AA5822">
        <v>22</v>
      </c>
      <c r="AB5822">
        <v>2.8443179999999999</v>
      </c>
      <c r="AC5822">
        <v>0.4631885</v>
      </c>
      <c r="AD5822">
        <v>1.6081049999999999</v>
      </c>
      <c r="AE5822">
        <v>0.63770320000000003</v>
      </c>
      <c r="AF5822">
        <v>347.52229999999997</v>
      </c>
      <c r="AG5822">
        <f>IFERROR(AH5822*0.1, "N/A")</f>
        <v>5.7542960000000001</v>
      </c>
      <c r="AH5822">
        <v>57.542960000000001</v>
      </c>
      <c r="AI5822">
        <v>133.96129999999999</v>
      </c>
      <c r="AJ5822">
        <v>16.580760000000001</v>
      </c>
      <c r="AK5822">
        <v>54.960479999999997</v>
      </c>
    </row>
    <row r="5823" spans="1:37" x14ac:dyDescent="0.3">
      <c r="A5823">
        <v>5822</v>
      </c>
      <c r="B5823">
        <v>0</v>
      </c>
      <c r="C5823">
        <v>-5.8360000000000003</v>
      </c>
      <c r="D5823">
        <v>10.468</v>
      </c>
      <c r="E5823">
        <f>-5.836-10.468</f>
        <v>-16.304000000000002</v>
      </c>
      <c r="F5823" t="s">
        <v>9259</v>
      </c>
      <c r="G5823" t="s">
        <v>37</v>
      </c>
      <c r="H5823">
        <v>1987</v>
      </c>
      <c r="I5823">
        <v>26.9</v>
      </c>
      <c r="J5823">
        <v>12.7</v>
      </c>
      <c r="K5823">
        <v>62</v>
      </c>
      <c r="L5823">
        <v>16.309999999999999</v>
      </c>
      <c r="M5823">
        <v>36.5</v>
      </c>
      <c r="N5823">
        <v>16.3</v>
      </c>
      <c r="O5823">
        <v>20.2</v>
      </c>
      <c r="P5823">
        <v>25.6</v>
      </c>
      <c r="Q5823">
        <v>25.9</v>
      </c>
      <c r="R5823">
        <v>29.3</v>
      </c>
      <c r="S5823">
        <v>25.4</v>
      </c>
      <c r="T5823">
        <v>1159</v>
      </c>
      <c r="U5823">
        <v>302</v>
      </c>
      <c r="V5823">
        <v>2</v>
      </c>
      <c r="W5823">
        <v>98</v>
      </c>
      <c r="X5823">
        <v>720</v>
      </c>
      <c r="Y5823">
        <v>14</v>
      </c>
      <c r="Z5823">
        <v>177</v>
      </c>
      <c r="AA5823">
        <v>22</v>
      </c>
      <c r="AB5823">
        <v>2.8443179999999999</v>
      </c>
      <c r="AC5823">
        <v>0.4631885</v>
      </c>
      <c r="AD5823">
        <v>1.6081049999999999</v>
      </c>
      <c r="AE5823">
        <v>0.63770320000000003</v>
      </c>
      <c r="AF5823">
        <v>347.52229999999997</v>
      </c>
      <c r="AG5823">
        <f>IFERROR(AH5823*0.1, "N/A")</f>
        <v>5.7542960000000001</v>
      </c>
      <c r="AH5823">
        <v>57.542960000000001</v>
      </c>
      <c r="AI5823">
        <v>133.96129999999999</v>
      </c>
      <c r="AJ5823">
        <v>16.580760000000001</v>
      </c>
      <c r="AK5823">
        <v>54.960479999999997</v>
      </c>
    </row>
    <row r="5824" spans="1:37" x14ac:dyDescent="0.3">
      <c r="A5824">
        <v>5823</v>
      </c>
      <c r="B5824">
        <v>0</v>
      </c>
      <c r="C5824">
        <v>-6.9166699999999999</v>
      </c>
      <c r="D5824">
        <v>10.533300000000001</v>
      </c>
      <c r="E5824">
        <f>-6.91667-10.5333</f>
        <v>-17.44997</v>
      </c>
      <c r="F5824" t="s">
        <v>9260</v>
      </c>
      <c r="G5824" t="s">
        <v>39</v>
      </c>
      <c r="H5824">
        <v>1990</v>
      </c>
      <c r="I5824">
        <v>26.8</v>
      </c>
      <c r="J5824">
        <v>13.2</v>
      </c>
      <c r="K5824">
        <v>61</v>
      </c>
      <c r="L5824">
        <v>17.306789999999999</v>
      </c>
      <c r="M5824">
        <v>36.799999999999997</v>
      </c>
      <c r="N5824">
        <v>15.36055</v>
      </c>
      <c r="O5824">
        <v>21.439450000000001</v>
      </c>
      <c r="P5824">
        <v>25.6</v>
      </c>
      <c r="Q5824">
        <v>25.5</v>
      </c>
      <c r="R5824">
        <v>29.3</v>
      </c>
      <c r="S5824">
        <v>25</v>
      </c>
      <c r="T5824">
        <v>1079.163</v>
      </c>
      <c r="U5824">
        <v>293</v>
      </c>
      <c r="V5824">
        <v>2</v>
      </c>
      <c r="W5824">
        <v>103.39449999999999</v>
      </c>
      <c r="X5824">
        <v>696.77869999999996</v>
      </c>
      <c r="Y5824">
        <v>8</v>
      </c>
      <c r="Z5824">
        <v>151.36539999999999</v>
      </c>
      <c r="AA5824">
        <v>20</v>
      </c>
      <c r="AB5824">
        <v>1.2888459999999999</v>
      </c>
      <c r="AC5824">
        <v>7.7428670000000004</v>
      </c>
      <c r="AD5824">
        <v>1.813399</v>
      </c>
      <c r="AE5824">
        <v>0.40752640000000001</v>
      </c>
      <c r="AF5824">
        <v>351.05149999999998</v>
      </c>
      <c r="AG5824">
        <f>IFERROR(AH5824*0.1, "N/A")</f>
        <v>5.6996570000000002</v>
      </c>
      <c r="AH5824">
        <v>56.996569999999998</v>
      </c>
      <c r="AI5824">
        <v>280.60160000000002</v>
      </c>
      <c r="AJ5824">
        <v>23.550599999999999</v>
      </c>
      <c r="AK5824">
        <v>48.494</v>
      </c>
    </row>
    <row r="5825" spans="1:37" x14ac:dyDescent="0.3">
      <c r="A5825">
        <v>5824</v>
      </c>
      <c r="B5825">
        <v>0</v>
      </c>
      <c r="C5825">
        <v>-6.9166699999999999</v>
      </c>
      <c r="D5825">
        <v>10.533300000000001</v>
      </c>
      <c r="E5825">
        <f>-6.91667-10.5333</f>
        <v>-17.44997</v>
      </c>
      <c r="F5825" t="s">
        <v>9261</v>
      </c>
      <c r="G5825" t="s">
        <v>37</v>
      </c>
      <c r="H5825">
        <v>1990</v>
      </c>
      <c r="I5825">
        <v>26.8</v>
      </c>
      <c r="J5825">
        <v>13.2</v>
      </c>
      <c r="K5825">
        <v>61</v>
      </c>
      <c r="L5825">
        <v>17.306789999999999</v>
      </c>
      <c r="M5825">
        <v>36.799999999999997</v>
      </c>
      <c r="N5825">
        <v>15.36055</v>
      </c>
      <c r="O5825">
        <v>21.439450000000001</v>
      </c>
      <c r="P5825">
        <v>25.6</v>
      </c>
      <c r="Q5825">
        <v>25.5</v>
      </c>
      <c r="R5825">
        <v>29.3</v>
      </c>
      <c r="S5825">
        <v>25</v>
      </c>
      <c r="T5825">
        <v>1079.163</v>
      </c>
      <c r="U5825">
        <v>293</v>
      </c>
      <c r="V5825">
        <v>2</v>
      </c>
      <c r="W5825">
        <v>103.39449999999999</v>
      </c>
      <c r="X5825">
        <v>696.77869999999996</v>
      </c>
      <c r="Y5825">
        <v>8</v>
      </c>
      <c r="Z5825">
        <v>151.36539999999999</v>
      </c>
      <c r="AA5825">
        <v>20</v>
      </c>
      <c r="AB5825">
        <v>1.2888459999999999</v>
      </c>
      <c r="AC5825">
        <v>7.7428670000000004</v>
      </c>
      <c r="AD5825">
        <v>1.813399</v>
      </c>
      <c r="AE5825">
        <v>0.40752640000000001</v>
      </c>
      <c r="AF5825">
        <v>351.05149999999998</v>
      </c>
      <c r="AG5825">
        <f>IFERROR(AH5825*0.1, "N/A")</f>
        <v>5.6996570000000002</v>
      </c>
      <c r="AH5825">
        <v>56.996569999999998</v>
      </c>
      <c r="AI5825">
        <v>280.60160000000002</v>
      </c>
      <c r="AJ5825">
        <v>23.550599999999999</v>
      </c>
      <c r="AK5825">
        <v>48.494</v>
      </c>
    </row>
    <row r="5826" spans="1:37" x14ac:dyDescent="0.3">
      <c r="A5826">
        <v>5825</v>
      </c>
      <c r="B5826">
        <v>1.5</v>
      </c>
      <c r="C5826">
        <v>-5.9166699999999999</v>
      </c>
      <c r="D5826">
        <v>10.533300000000001</v>
      </c>
      <c r="E5826">
        <f>-5.91667-10.5333</f>
        <v>-16.44997</v>
      </c>
      <c r="F5826" t="s">
        <v>9262</v>
      </c>
      <c r="G5826" t="s">
        <v>39</v>
      </c>
      <c r="H5826">
        <v>1990</v>
      </c>
      <c r="I5826">
        <v>26.895720000000001</v>
      </c>
      <c r="J5826">
        <v>12.8</v>
      </c>
      <c r="K5826">
        <v>62</v>
      </c>
      <c r="L5826">
        <v>16.760390000000001</v>
      </c>
      <c r="M5826">
        <v>36.616610000000001</v>
      </c>
      <c r="N5826">
        <v>16.09572</v>
      </c>
      <c r="O5826">
        <v>20.520890000000001</v>
      </c>
      <c r="P5826">
        <v>25.59572</v>
      </c>
      <c r="Q5826">
        <v>25.795719999999999</v>
      </c>
      <c r="R5826">
        <v>29.292470000000002</v>
      </c>
      <c r="S5826">
        <v>25.3</v>
      </c>
      <c r="T5826">
        <v>1158.748</v>
      </c>
      <c r="U5826">
        <v>302</v>
      </c>
      <c r="V5826">
        <v>2</v>
      </c>
      <c r="W5826">
        <v>99</v>
      </c>
      <c r="X5826">
        <v>724</v>
      </c>
      <c r="Y5826">
        <v>13</v>
      </c>
      <c r="Z5826">
        <v>172.9572</v>
      </c>
      <c r="AA5826">
        <v>21.7911</v>
      </c>
      <c r="AB5826">
        <v>3.568317</v>
      </c>
      <c r="AC5826">
        <v>4.5401289999999997E-2</v>
      </c>
      <c r="AD5826">
        <v>1.9675069999999999</v>
      </c>
      <c r="AE5826">
        <v>0.70254799999999995</v>
      </c>
      <c r="AF5826">
        <v>346.9932</v>
      </c>
      <c r="AG5826">
        <f>IFERROR(AH5826*0.1, "N/A")</f>
        <v>5.6864730000000003</v>
      </c>
      <c r="AH5826">
        <v>56.864730000000002</v>
      </c>
      <c r="AI5826">
        <v>237.8141</v>
      </c>
      <c r="AJ5826">
        <v>15.28253</v>
      </c>
      <c r="AK5826">
        <v>59.061639999999997</v>
      </c>
    </row>
    <row r="5827" spans="1:37" x14ac:dyDescent="0.3">
      <c r="A5827">
        <v>5826</v>
      </c>
      <c r="B5827">
        <v>0</v>
      </c>
      <c r="C5827">
        <v>-5.9166699999999999</v>
      </c>
      <c r="D5827">
        <v>10.533300000000001</v>
      </c>
      <c r="E5827">
        <f>-5.91667-10.5333</f>
        <v>-16.44997</v>
      </c>
      <c r="F5827" t="s">
        <v>9263</v>
      </c>
      <c r="G5827" t="s">
        <v>37</v>
      </c>
      <c r="H5827">
        <v>1990</v>
      </c>
      <c r="I5827">
        <v>26.895720000000001</v>
      </c>
      <c r="J5827">
        <v>12.8</v>
      </c>
      <c r="K5827">
        <v>62</v>
      </c>
      <c r="L5827">
        <v>16.760390000000001</v>
      </c>
      <c r="M5827">
        <v>36.616610000000001</v>
      </c>
      <c r="N5827">
        <v>16.09572</v>
      </c>
      <c r="O5827">
        <v>20.520890000000001</v>
      </c>
      <c r="P5827">
        <v>25.59572</v>
      </c>
      <c r="Q5827">
        <v>25.795719999999999</v>
      </c>
      <c r="R5827">
        <v>29.292470000000002</v>
      </c>
      <c r="S5827">
        <v>25.3</v>
      </c>
      <c r="T5827">
        <v>1158.748</v>
      </c>
      <c r="U5827">
        <v>302</v>
      </c>
      <c r="V5827">
        <v>2</v>
      </c>
      <c r="W5827">
        <v>99</v>
      </c>
      <c r="X5827">
        <v>724</v>
      </c>
      <c r="Y5827">
        <v>13</v>
      </c>
      <c r="Z5827">
        <v>172.9572</v>
      </c>
      <c r="AA5827">
        <v>21.7911</v>
      </c>
      <c r="AB5827">
        <v>3.568317</v>
      </c>
      <c r="AC5827">
        <v>4.5401289999999997E-2</v>
      </c>
      <c r="AD5827">
        <v>1.9675069999999999</v>
      </c>
      <c r="AE5827">
        <v>0.70254799999999995</v>
      </c>
      <c r="AF5827">
        <v>346.9932</v>
      </c>
      <c r="AG5827">
        <f>IFERROR(AH5827*0.1, "N/A")</f>
        <v>5.6864730000000003</v>
      </c>
      <c r="AH5827">
        <v>56.864730000000002</v>
      </c>
      <c r="AI5827">
        <v>237.8141</v>
      </c>
      <c r="AJ5827">
        <v>15.28253</v>
      </c>
      <c r="AK5827">
        <v>59.061639999999997</v>
      </c>
    </row>
    <row r="5828" spans="1:37" x14ac:dyDescent="0.3">
      <c r="A5828">
        <v>5827</v>
      </c>
      <c r="B5828">
        <v>0.5</v>
      </c>
      <c r="C5828">
        <v>-5.7666700000000004</v>
      </c>
      <c r="D5828">
        <v>10.55</v>
      </c>
      <c r="E5828">
        <f>-5.76667-10.55</f>
        <v>-16.316670000000002</v>
      </c>
      <c r="F5828" t="s">
        <v>9264</v>
      </c>
      <c r="G5828" t="s">
        <v>39</v>
      </c>
      <c r="H5828">
        <v>1990</v>
      </c>
      <c r="I5828">
        <v>26.912839999999999</v>
      </c>
      <c r="J5828">
        <v>12.719519999999999</v>
      </c>
      <c r="K5828">
        <v>62</v>
      </c>
      <c r="L5828">
        <v>16.53443</v>
      </c>
      <c r="M5828">
        <v>36.559069999999998</v>
      </c>
      <c r="N5828">
        <v>16.2</v>
      </c>
      <c r="O5828">
        <v>20.359069999999999</v>
      </c>
      <c r="P5828">
        <v>25.612839999999998</v>
      </c>
      <c r="Q5828">
        <v>25.860440000000001</v>
      </c>
      <c r="R5828">
        <v>29.312840000000001</v>
      </c>
      <c r="S5828">
        <v>25.319520000000001</v>
      </c>
      <c r="T5828">
        <v>1142.1389999999999</v>
      </c>
      <c r="U5828">
        <v>303</v>
      </c>
      <c r="V5828">
        <v>2</v>
      </c>
      <c r="W5828">
        <v>100</v>
      </c>
      <c r="X5828">
        <v>717</v>
      </c>
      <c r="Y5828">
        <v>12.26712</v>
      </c>
      <c r="Z5828">
        <v>170.0668</v>
      </c>
      <c r="AA5828">
        <v>18</v>
      </c>
      <c r="AB5828">
        <v>0.86198730000000001</v>
      </c>
      <c r="AC5828">
        <v>0.67533710000000002</v>
      </c>
      <c r="AD5828">
        <v>1.0353600000000001</v>
      </c>
      <c r="AE5828">
        <v>0.72026869999999998</v>
      </c>
      <c r="AF5828">
        <v>341.1952</v>
      </c>
      <c r="AG5828">
        <f>IFERROR(AH5828*0.1, "N/A")</f>
        <v>5.9414380000000007</v>
      </c>
      <c r="AH5828">
        <v>59.414380000000001</v>
      </c>
      <c r="AI5828">
        <v>62.283079999999998</v>
      </c>
      <c r="AJ5828">
        <v>16.804790000000001</v>
      </c>
      <c r="AK5828">
        <v>57.195210000000003</v>
      </c>
    </row>
    <row r="5829" spans="1:37" x14ac:dyDescent="0.3">
      <c r="A5829">
        <v>5828</v>
      </c>
      <c r="B5829">
        <v>1.3</v>
      </c>
      <c r="C5829">
        <v>-5.7666700000000004</v>
      </c>
      <c r="D5829">
        <v>10.55</v>
      </c>
      <c r="E5829">
        <f>-5.76667-10.55</f>
        <v>-16.316670000000002</v>
      </c>
      <c r="F5829" t="s">
        <v>9265</v>
      </c>
      <c r="G5829" t="s">
        <v>37</v>
      </c>
      <c r="H5829">
        <v>1990</v>
      </c>
      <c r="I5829">
        <v>26.912839999999999</v>
      </c>
      <c r="J5829">
        <v>12.719519999999999</v>
      </c>
      <c r="K5829">
        <v>62</v>
      </c>
      <c r="L5829">
        <v>16.53443</v>
      </c>
      <c r="M5829">
        <v>36.559069999999998</v>
      </c>
      <c r="N5829">
        <v>16.2</v>
      </c>
      <c r="O5829">
        <v>20.359069999999999</v>
      </c>
      <c r="P5829">
        <v>25.612839999999998</v>
      </c>
      <c r="Q5829">
        <v>25.860440000000001</v>
      </c>
      <c r="R5829">
        <v>29.312840000000001</v>
      </c>
      <c r="S5829">
        <v>25.319520000000001</v>
      </c>
      <c r="T5829">
        <v>1142.1389999999999</v>
      </c>
      <c r="U5829">
        <v>303</v>
      </c>
      <c r="V5829">
        <v>2</v>
      </c>
      <c r="W5829">
        <v>100</v>
      </c>
      <c r="X5829">
        <v>717</v>
      </c>
      <c r="Y5829">
        <v>12.26712</v>
      </c>
      <c r="Z5829">
        <v>170.0668</v>
      </c>
      <c r="AA5829">
        <v>18</v>
      </c>
      <c r="AB5829">
        <v>0.86198730000000001</v>
      </c>
      <c r="AC5829">
        <v>0.67533710000000002</v>
      </c>
      <c r="AD5829">
        <v>1.0353600000000001</v>
      </c>
      <c r="AE5829">
        <v>0.72026869999999998</v>
      </c>
      <c r="AF5829">
        <v>341.1952</v>
      </c>
      <c r="AG5829">
        <f>IFERROR(AH5829*0.1, "N/A")</f>
        <v>5.9414380000000007</v>
      </c>
      <c r="AH5829">
        <v>59.414380000000001</v>
      </c>
      <c r="AI5829">
        <v>62.283079999999998</v>
      </c>
      <c r="AJ5829">
        <v>16.804790000000001</v>
      </c>
      <c r="AK5829">
        <v>57.195210000000003</v>
      </c>
    </row>
    <row r="5830" spans="1:37" x14ac:dyDescent="0.3">
      <c r="A5830">
        <v>5829</v>
      </c>
      <c r="B5830">
        <v>0</v>
      </c>
      <c r="C5830">
        <v>-5.77</v>
      </c>
      <c r="D5830">
        <v>10.558999999999999</v>
      </c>
      <c r="E5830">
        <f>-5.77-10.559</f>
        <v>-16.329000000000001</v>
      </c>
      <c r="F5830" t="s">
        <v>9266</v>
      </c>
      <c r="G5830" t="s">
        <v>39</v>
      </c>
      <c r="H5830">
        <v>1987</v>
      </c>
      <c r="I5830">
        <v>26.9</v>
      </c>
      <c r="J5830">
        <v>12.8</v>
      </c>
      <c r="K5830">
        <v>62</v>
      </c>
      <c r="L5830">
        <v>16.82</v>
      </c>
      <c r="M5830">
        <v>36.6</v>
      </c>
      <c r="N5830">
        <v>16.100000000000001</v>
      </c>
      <c r="O5830">
        <v>20.5</v>
      </c>
      <c r="P5830">
        <v>25.6</v>
      </c>
      <c r="Q5830">
        <v>25.8</v>
      </c>
      <c r="R5830">
        <v>29.3</v>
      </c>
      <c r="S5830">
        <v>25.3</v>
      </c>
      <c r="T5830">
        <v>1143</v>
      </c>
      <c r="U5830">
        <v>303</v>
      </c>
      <c r="V5830">
        <v>2</v>
      </c>
      <c r="W5830">
        <v>100</v>
      </c>
      <c r="X5830">
        <v>717</v>
      </c>
      <c r="Y5830">
        <v>13</v>
      </c>
      <c r="Z5830">
        <v>170</v>
      </c>
      <c r="AA5830">
        <v>18</v>
      </c>
      <c r="AB5830">
        <v>17.820519999999998</v>
      </c>
      <c r="AC5830">
        <v>8.4059459999999992E-3</v>
      </c>
      <c r="AD5830">
        <v>2.4821249999999999</v>
      </c>
      <c r="AE5830">
        <v>0.70796890000000001</v>
      </c>
      <c r="AF5830">
        <v>356.27519999999998</v>
      </c>
      <c r="AG5830">
        <f>IFERROR(AH5830*0.1, "N/A")</f>
        <v>5.8950430000000003</v>
      </c>
      <c r="AH5830">
        <v>58.950429999999997</v>
      </c>
      <c r="AI5830">
        <v>177.28399999999999</v>
      </c>
      <c r="AJ5830">
        <v>16.92991</v>
      </c>
      <c r="AK5830">
        <v>60.010260000000002</v>
      </c>
    </row>
    <row r="5831" spans="1:37" x14ac:dyDescent="0.3">
      <c r="A5831">
        <v>5830</v>
      </c>
      <c r="B5831">
        <v>0.5</v>
      </c>
      <c r="C5831">
        <v>-5.77</v>
      </c>
      <c r="D5831">
        <v>10.558999999999999</v>
      </c>
      <c r="E5831">
        <f>-5.77-10.559</f>
        <v>-16.329000000000001</v>
      </c>
      <c r="F5831" t="s">
        <v>9267</v>
      </c>
      <c r="G5831" t="s">
        <v>37</v>
      </c>
      <c r="H5831">
        <v>1987</v>
      </c>
      <c r="I5831">
        <v>26.9</v>
      </c>
      <c r="J5831">
        <v>12.8</v>
      </c>
      <c r="K5831">
        <v>62</v>
      </c>
      <c r="L5831">
        <v>16.82</v>
      </c>
      <c r="M5831">
        <v>36.6</v>
      </c>
      <c r="N5831">
        <v>16.100000000000001</v>
      </c>
      <c r="O5831">
        <v>20.5</v>
      </c>
      <c r="P5831">
        <v>25.6</v>
      </c>
      <c r="Q5831">
        <v>25.8</v>
      </c>
      <c r="R5831">
        <v>29.3</v>
      </c>
      <c r="S5831">
        <v>25.3</v>
      </c>
      <c r="T5831">
        <v>1143</v>
      </c>
      <c r="U5831">
        <v>303</v>
      </c>
      <c r="V5831">
        <v>2</v>
      </c>
      <c r="W5831">
        <v>100</v>
      </c>
      <c r="X5831">
        <v>717</v>
      </c>
      <c r="Y5831">
        <v>13</v>
      </c>
      <c r="Z5831">
        <v>170</v>
      </c>
      <c r="AA5831">
        <v>18</v>
      </c>
      <c r="AB5831">
        <v>17.820519999999998</v>
      </c>
      <c r="AC5831">
        <v>8.4059459999999992E-3</v>
      </c>
      <c r="AD5831">
        <v>2.4821249999999999</v>
      </c>
      <c r="AE5831">
        <v>0.70796890000000001</v>
      </c>
      <c r="AF5831">
        <v>356.27519999999998</v>
      </c>
      <c r="AG5831">
        <f>IFERROR(AH5831*0.1, "N/A")</f>
        <v>5.8950430000000003</v>
      </c>
      <c r="AH5831">
        <v>58.950429999999997</v>
      </c>
      <c r="AI5831">
        <v>177.28399999999999</v>
      </c>
      <c r="AJ5831">
        <v>16.92991</v>
      </c>
      <c r="AK5831">
        <v>60.010260000000002</v>
      </c>
    </row>
    <row r="5832" spans="1:37" x14ac:dyDescent="0.3">
      <c r="A5832">
        <v>5831</v>
      </c>
      <c r="B5832">
        <v>8.9</v>
      </c>
      <c r="C5832">
        <v>-7.0333300000000003</v>
      </c>
      <c r="D5832">
        <v>10.566700000000001</v>
      </c>
      <c r="E5832">
        <f>-7.03333-10.5667</f>
        <v>-17.60003</v>
      </c>
      <c r="F5832" t="s">
        <v>9268</v>
      </c>
      <c r="G5832" t="s">
        <v>39</v>
      </c>
      <c r="H5832">
        <v>1990</v>
      </c>
      <c r="I5832">
        <v>26.74296</v>
      </c>
      <c r="J5832">
        <v>13.283329999999999</v>
      </c>
      <c r="K5832">
        <v>61</v>
      </c>
      <c r="L5832">
        <v>17.66452</v>
      </c>
      <c r="M5832">
        <v>36.811860000000003</v>
      </c>
      <c r="N5832">
        <v>15.190720000000001</v>
      </c>
      <c r="O5832">
        <v>21.621130000000001</v>
      </c>
      <c r="P5832">
        <v>25.542960000000001</v>
      </c>
      <c r="Q5832">
        <v>25.442959999999999</v>
      </c>
      <c r="R5832">
        <v>29.31185</v>
      </c>
      <c r="S5832">
        <v>24.911860000000001</v>
      </c>
      <c r="T5832">
        <v>1106.6669999999999</v>
      </c>
      <c r="U5832">
        <v>295.88139999999999</v>
      </c>
      <c r="V5832">
        <v>2</v>
      </c>
      <c r="W5832">
        <v>103</v>
      </c>
      <c r="X5832">
        <v>713.83330000000001</v>
      </c>
      <c r="Y5832">
        <v>7</v>
      </c>
      <c r="Z5832">
        <v>155</v>
      </c>
      <c r="AA5832">
        <v>19</v>
      </c>
      <c r="AB5832">
        <v>2.7510240000000001</v>
      </c>
      <c r="AC5832">
        <v>7.0596270000000003E-2</v>
      </c>
      <c r="AD5832">
        <v>1.232834</v>
      </c>
      <c r="AE5832">
        <v>0.63501479999999999</v>
      </c>
      <c r="AF5832">
        <v>355.37799999999999</v>
      </c>
      <c r="AG5832">
        <f>IFERROR(AH5832*0.1, "N/A")</f>
        <v>5.7984540000000004</v>
      </c>
      <c r="AH5832">
        <v>57.984540000000003</v>
      </c>
      <c r="AI5832">
        <v>200.059</v>
      </c>
      <c r="AJ5832">
        <v>19.164950000000001</v>
      </c>
      <c r="AK5832">
        <v>54.567010000000003</v>
      </c>
    </row>
    <row r="5833" spans="1:37" x14ac:dyDescent="0.3">
      <c r="A5833">
        <v>5832</v>
      </c>
      <c r="B5833">
        <v>0</v>
      </c>
      <c r="C5833">
        <v>-7.0333300000000003</v>
      </c>
      <c r="D5833">
        <v>10.566700000000001</v>
      </c>
      <c r="E5833">
        <f>-7.03333-10.5667</f>
        <v>-17.60003</v>
      </c>
      <c r="F5833" t="s">
        <v>9269</v>
      </c>
      <c r="G5833" t="s">
        <v>37</v>
      </c>
      <c r="H5833">
        <v>1990</v>
      </c>
      <c r="I5833">
        <v>26.74296</v>
      </c>
      <c r="J5833">
        <v>13.283329999999999</v>
      </c>
      <c r="K5833">
        <v>61</v>
      </c>
      <c r="L5833">
        <v>17.66452</v>
      </c>
      <c r="M5833">
        <v>36.811860000000003</v>
      </c>
      <c r="N5833">
        <v>15.190720000000001</v>
      </c>
      <c r="O5833">
        <v>21.621130000000001</v>
      </c>
      <c r="P5833">
        <v>25.542960000000001</v>
      </c>
      <c r="Q5833">
        <v>25.442959999999999</v>
      </c>
      <c r="R5833">
        <v>29.31185</v>
      </c>
      <c r="S5833">
        <v>24.911860000000001</v>
      </c>
      <c r="T5833">
        <v>1106.6669999999999</v>
      </c>
      <c r="U5833">
        <v>295.88139999999999</v>
      </c>
      <c r="V5833">
        <v>2</v>
      </c>
      <c r="W5833">
        <v>103</v>
      </c>
      <c r="X5833">
        <v>713.83330000000001</v>
      </c>
      <c r="Y5833">
        <v>7</v>
      </c>
      <c r="Z5833">
        <v>155</v>
      </c>
      <c r="AA5833">
        <v>19</v>
      </c>
      <c r="AB5833">
        <v>2.7510240000000001</v>
      </c>
      <c r="AC5833">
        <v>7.0596270000000003E-2</v>
      </c>
      <c r="AD5833">
        <v>1.232834</v>
      </c>
      <c r="AE5833">
        <v>0.63501479999999999</v>
      </c>
      <c r="AF5833">
        <v>355.37799999999999</v>
      </c>
      <c r="AG5833">
        <f>IFERROR(AH5833*0.1, "N/A")</f>
        <v>5.7984540000000004</v>
      </c>
      <c r="AH5833">
        <v>57.984540000000003</v>
      </c>
      <c r="AI5833">
        <v>200.059</v>
      </c>
      <c r="AJ5833">
        <v>19.164950000000001</v>
      </c>
      <c r="AK5833">
        <v>54.567010000000003</v>
      </c>
    </row>
    <row r="5834" spans="1:37" x14ac:dyDescent="0.3">
      <c r="A5834">
        <v>5833</v>
      </c>
      <c r="B5834">
        <v>0.5</v>
      </c>
      <c r="C5834">
        <v>-5.9166699999999999</v>
      </c>
      <c r="D5834">
        <v>10.6</v>
      </c>
      <c r="E5834">
        <f>-5.91667-10.6</f>
        <v>-16.516669999999998</v>
      </c>
      <c r="F5834" t="s">
        <v>9270</v>
      </c>
      <c r="G5834" t="s">
        <v>39</v>
      </c>
      <c r="H5834">
        <v>1990</v>
      </c>
      <c r="I5834">
        <v>26.913209999999999</v>
      </c>
      <c r="J5834">
        <v>12.88679</v>
      </c>
      <c r="K5834">
        <v>61.867919999999998</v>
      </c>
      <c r="L5834">
        <v>16.78501</v>
      </c>
      <c r="M5834">
        <v>36.620930000000001</v>
      </c>
      <c r="N5834">
        <v>15.92093</v>
      </c>
      <c r="O5834">
        <v>20.7</v>
      </c>
      <c r="P5834">
        <v>25.613209999999999</v>
      </c>
      <c r="Q5834">
        <v>25.720929999999999</v>
      </c>
      <c r="R5834">
        <v>29.320930000000001</v>
      </c>
      <c r="S5834">
        <v>25.21321</v>
      </c>
      <c r="T5834">
        <v>1148.1320000000001</v>
      </c>
      <c r="U5834">
        <v>301</v>
      </c>
      <c r="V5834">
        <v>2</v>
      </c>
      <c r="W5834">
        <v>100</v>
      </c>
      <c r="X5834">
        <v>722.24530000000004</v>
      </c>
      <c r="Y5834">
        <v>12.454549999999999</v>
      </c>
      <c r="Z5834">
        <v>166.9228</v>
      </c>
      <c r="AA5834">
        <v>21</v>
      </c>
      <c r="AB5834">
        <v>16.478380000000001</v>
      </c>
      <c r="AC5834">
        <v>9.5149139999999993E-3</v>
      </c>
      <c r="AD5834">
        <v>1.854028</v>
      </c>
      <c r="AE5834">
        <v>0.6918917</v>
      </c>
      <c r="AF5834">
        <v>358.4923</v>
      </c>
      <c r="AG5834">
        <f>IFERROR(AH5834*0.1, "N/A")</f>
        <v>5.6209260000000008</v>
      </c>
      <c r="AH5834">
        <v>56.20926</v>
      </c>
      <c r="AI5834">
        <v>80.261589999999998</v>
      </c>
      <c r="AJ5834">
        <v>16.566040000000001</v>
      </c>
      <c r="AK5834">
        <v>54.229849999999999</v>
      </c>
    </row>
    <row r="5835" spans="1:37" x14ac:dyDescent="0.3">
      <c r="A5835">
        <v>5834</v>
      </c>
      <c r="B5835">
        <v>0</v>
      </c>
      <c r="C5835">
        <v>-5.9166699999999999</v>
      </c>
      <c r="D5835">
        <v>10.6</v>
      </c>
      <c r="E5835">
        <f>-5.91667-10.6</f>
        <v>-16.516669999999998</v>
      </c>
      <c r="F5835" t="s">
        <v>9271</v>
      </c>
      <c r="G5835" t="s">
        <v>37</v>
      </c>
      <c r="H5835">
        <v>1990</v>
      </c>
      <c r="I5835">
        <v>26.913209999999999</v>
      </c>
      <c r="J5835">
        <v>12.88679</v>
      </c>
      <c r="K5835">
        <v>61.867919999999998</v>
      </c>
      <c r="L5835">
        <v>16.78501</v>
      </c>
      <c r="M5835">
        <v>36.620930000000001</v>
      </c>
      <c r="N5835">
        <v>15.92093</v>
      </c>
      <c r="O5835">
        <v>20.7</v>
      </c>
      <c r="P5835">
        <v>25.613209999999999</v>
      </c>
      <c r="Q5835">
        <v>25.720929999999999</v>
      </c>
      <c r="R5835">
        <v>29.320930000000001</v>
      </c>
      <c r="S5835">
        <v>25.21321</v>
      </c>
      <c r="T5835">
        <v>1148.1320000000001</v>
      </c>
      <c r="U5835">
        <v>301</v>
      </c>
      <c r="V5835">
        <v>2</v>
      </c>
      <c r="W5835">
        <v>100</v>
      </c>
      <c r="X5835">
        <v>722.24530000000004</v>
      </c>
      <c r="Y5835">
        <v>12.454549999999999</v>
      </c>
      <c r="Z5835">
        <v>166.9228</v>
      </c>
      <c r="AA5835">
        <v>21</v>
      </c>
      <c r="AB5835">
        <v>16.478380000000001</v>
      </c>
      <c r="AC5835">
        <v>9.5149139999999993E-3</v>
      </c>
      <c r="AD5835">
        <v>1.854028</v>
      </c>
      <c r="AE5835">
        <v>0.6918917</v>
      </c>
      <c r="AF5835">
        <v>358.4923</v>
      </c>
      <c r="AG5835">
        <f>IFERROR(AH5835*0.1, "N/A")</f>
        <v>5.6209260000000008</v>
      </c>
      <c r="AH5835">
        <v>56.20926</v>
      </c>
      <c r="AI5835">
        <v>80.261589999999998</v>
      </c>
      <c r="AJ5835">
        <v>16.566040000000001</v>
      </c>
      <c r="AK5835">
        <v>54.229849999999999</v>
      </c>
    </row>
    <row r="5836" spans="1:37" x14ac:dyDescent="0.3">
      <c r="A5836">
        <v>5835</v>
      </c>
      <c r="B5836">
        <v>0</v>
      </c>
      <c r="C5836">
        <v>-5.7190000000000003</v>
      </c>
      <c r="D5836">
        <v>10.632999999999999</v>
      </c>
      <c r="E5836">
        <f>-5.719-10.633</f>
        <v>-16.352</v>
      </c>
      <c r="F5836" t="s">
        <v>9272</v>
      </c>
      <c r="G5836" t="s">
        <v>39</v>
      </c>
      <c r="H5836">
        <v>1987</v>
      </c>
      <c r="I5836">
        <v>26.9</v>
      </c>
      <c r="J5836">
        <v>12.877050000000001</v>
      </c>
      <c r="K5836">
        <v>62</v>
      </c>
      <c r="L5836">
        <v>17.026879999999998</v>
      </c>
      <c r="M5836">
        <v>36.700000000000003</v>
      </c>
      <c r="N5836">
        <v>16.022950000000002</v>
      </c>
      <c r="O5836">
        <v>20.677060000000001</v>
      </c>
      <c r="P5836">
        <v>25.6</v>
      </c>
      <c r="Q5836">
        <v>25.7</v>
      </c>
      <c r="R5836">
        <v>29.4</v>
      </c>
      <c r="S5836">
        <v>25.222950000000001</v>
      </c>
      <c r="T5836">
        <v>1131.771</v>
      </c>
      <c r="U5836">
        <v>299.77050000000003</v>
      </c>
      <c r="V5836">
        <v>2</v>
      </c>
      <c r="W5836">
        <v>100</v>
      </c>
      <c r="X5836">
        <v>713.77049999999997</v>
      </c>
      <c r="Y5836">
        <v>11</v>
      </c>
      <c r="Z5836">
        <v>168</v>
      </c>
      <c r="AA5836">
        <v>17</v>
      </c>
      <c r="AB5836">
        <v>19.383569999999999</v>
      </c>
      <c r="AC5836">
        <v>1.308084E-2</v>
      </c>
      <c r="AD5836">
        <v>1.7756700000000001</v>
      </c>
      <c r="AE5836">
        <v>0.63884870000000005</v>
      </c>
      <c r="AF5836">
        <v>350.0976</v>
      </c>
      <c r="AG5836">
        <f>IFERROR(AH5836*0.1, "N/A")</f>
        <v>5.8720889999999999</v>
      </c>
      <c r="AH5836">
        <v>58.720889999999997</v>
      </c>
      <c r="AI5836">
        <v>120.59350000000001</v>
      </c>
      <c r="AJ5836">
        <v>14.08048</v>
      </c>
      <c r="AK5836">
        <v>62.080480000000001</v>
      </c>
    </row>
    <row r="5837" spans="1:37" x14ac:dyDescent="0.3">
      <c r="A5837">
        <v>5836</v>
      </c>
      <c r="B5837">
        <v>0</v>
      </c>
      <c r="C5837">
        <v>-5.7190000000000003</v>
      </c>
      <c r="D5837">
        <v>10.632999999999999</v>
      </c>
      <c r="E5837">
        <f>-5.719-10.633</f>
        <v>-16.352</v>
      </c>
      <c r="F5837" t="s">
        <v>9273</v>
      </c>
      <c r="G5837" t="s">
        <v>37</v>
      </c>
      <c r="H5837">
        <v>1987</v>
      </c>
      <c r="I5837">
        <v>26.9</v>
      </c>
      <c r="J5837">
        <v>12.877050000000001</v>
      </c>
      <c r="K5837">
        <v>62</v>
      </c>
      <c r="L5837">
        <v>17.026879999999998</v>
      </c>
      <c r="M5837">
        <v>36.700000000000003</v>
      </c>
      <c r="N5837">
        <v>16.022950000000002</v>
      </c>
      <c r="O5837">
        <v>20.677060000000001</v>
      </c>
      <c r="P5837">
        <v>25.6</v>
      </c>
      <c r="Q5837">
        <v>25.7</v>
      </c>
      <c r="R5837">
        <v>29.4</v>
      </c>
      <c r="S5837">
        <v>25.222950000000001</v>
      </c>
      <c r="T5837">
        <v>1131.771</v>
      </c>
      <c r="U5837">
        <v>299.77050000000003</v>
      </c>
      <c r="V5837">
        <v>2</v>
      </c>
      <c r="W5837">
        <v>100</v>
      </c>
      <c r="X5837">
        <v>713.77049999999997</v>
      </c>
      <c r="Y5837">
        <v>11</v>
      </c>
      <c r="Z5837">
        <v>168</v>
      </c>
      <c r="AA5837">
        <v>17</v>
      </c>
      <c r="AB5837">
        <v>19.383569999999999</v>
      </c>
      <c r="AC5837">
        <v>1.308084E-2</v>
      </c>
      <c r="AD5837">
        <v>1.7756700000000001</v>
      </c>
      <c r="AE5837">
        <v>0.63884870000000005</v>
      </c>
      <c r="AF5837">
        <v>350.0976</v>
      </c>
      <c r="AG5837">
        <f>IFERROR(AH5837*0.1, "N/A")</f>
        <v>5.8720889999999999</v>
      </c>
      <c r="AH5837">
        <v>58.720889999999997</v>
      </c>
      <c r="AI5837">
        <v>120.59350000000001</v>
      </c>
      <c r="AJ5837">
        <v>14.08048</v>
      </c>
      <c r="AK5837">
        <v>62.080480000000001</v>
      </c>
    </row>
    <row r="5838" spans="1:37" x14ac:dyDescent="0.3">
      <c r="A5838">
        <v>5837</v>
      </c>
      <c r="B5838">
        <v>0</v>
      </c>
      <c r="C5838">
        <v>-5.8333300000000001</v>
      </c>
      <c r="D5838">
        <v>10.6333</v>
      </c>
      <c r="E5838">
        <f>-5.83333-10.6333</f>
        <v>-16.466630000000002</v>
      </c>
      <c r="F5838" t="s">
        <v>9274</v>
      </c>
      <c r="G5838" t="s">
        <v>39</v>
      </c>
      <c r="H5838">
        <v>1990</v>
      </c>
      <c r="I5838">
        <v>27.078659999999999</v>
      </c>
      <c r="J5838">
        <v>12.9</v>
      </c>
      <c r="K5838">
        <v>62</v>
      </c>
      <c r="L5838">
        <v>17.3474</v>
      </c>
      <c r="M5838">
        <v>36.878660000000004</v>
      </c>
      <c r="N5838">
        <v>16.078659999999999</v>
      </c>
      <c r="O5838">
        <v>20.8</v>
      </c>
      <c r="P5838">
        <v>25.778659999999999</v>
      </c>
      <c r="Q5838">
        <v>25.87866</v>
      </c>
      <c r="R5838">
        <v>29.578659999999999</v>
      </c>
      <c r="S5838">
        <v>25.388470000000002</v>
      </c>
      <c r="T5838">
        <v>1134.329</v>
      </c>
      <c r="U5838">
        <v>300.11529999999999</v>
      </c>
      <c r="V5838">
        <v>2</v>
      </c>
      <c r="W5838">
        <v>101</v>
      </c>
      <c r="X5838">
        <v>716.32870000000003</v>
      </c>
      <c r="Y5838">
        <v>11</v>
      </c>
      <c r="Z5838">
        <v>165</v>
      </c>
      <c r="AA5838">
        <v>18</v>
      </c>
      <c r="AB5838">
        <v>4.8039649999999998</v>
      </c>
      <c r="AC5838">
        <v>1.896316E-2</v>
      </c>
      <c r="AD5838">
        <v>1.7108890000000001</v>
      </c>
      <c r="AE5838">
        <v>0.66657379999999999</v>
      </c>
      <c r="AF5838">
        <v>327.24779999999998</v>
      </c>
      <c r="AG5838">
        <f>IFERROR(AH5838*0.1, "N/A")</f>
        <v>5.8573149999999998</v>
      </c>
      <c r="AH5838">
        <v>58.573149999999998</v>
      </c>
      <c r="AI5838">
        <v>108.842</v>
      </c>
      <c r="AJ5838">
        <v>22.786570000000001</v>
      </c>
      <c r="AK5838">
        <v>50.213430000000002</v>
      </c>
    </row>
    <row r="5839" spans="1:37" x14ac:dyDescent="0.3">
      <c r="A5839">
        <v>5838</v>
      </c>
      <c r="B5839">
        <v>0</v>
      </c>
      <c r="C5839">
        <v>-5.8333300000000001</v>
      </c>
      <c r="D5839">
        <v>10.6333</v>
      </c>
      <c r="E5839">
        <f>-5.83333-10.6333</f>
        <v>-16.466630000000002</v>
      </c>
      <c r="F5839" t="s">
        <v>9275</v>
      </c>
      <c r="G5839" t="s">
        <v>37</v>
      </c>
      <c r="H5839">
        <v>1990</v>
      </c>
      <c r="I5839">
        <v>27.078659999999999</v>
      </c>
      <c r="J5839">
        <v>12.9</v>
      </c>
      <c r="K5839">
        <v>62</v>
      </c>
      <c r="L5839">
        <v>17.3474</v>
      </c>
      <c r="M5839">
        <v>36.878660000000004</v>
      </c>
      <c r="N5839">
        <v>16.078659999999999</v>
      </c>
      <c r="O5839">
        <v>20.8</v>
      </c>
      <c r="P5839">
        <v>25.778659999999999</v>
      </c>
      <c r="Q5839">
        <v>25.87866</v>
      </c>
      <c r="R5839">
        <v>29.578659999999999</v>
      </c>
      <c r="S5839">
        <v>25.388470000000002</v>
      </c>
      <c r="T5839">
        <v>1134.329</v>
      </c>
      <c r="U5839">
        <v>300.11529999999999</v>
      </c>
      <c r="V5839">
        <v>2</v>
      </c>
      <c r="W5839">
        <v>101</v>
      </c>
      <c r="X5839">
        <v>716.32870000000003</v>
      </c>
      <c r="Y5839">
        <v>11</v>
      </c>
      <c r="Z5839">
        <v>165</v>
      </c>
      <c r="AA5839">
        <v>18</v>
      </c>
      <c r="AB5839">
        <v>4.8039649999999998</v>
      </c>
      <c r="AC5839">
        <v>1.896316E-2</v>
      </c>
      <c r="AD5839">
        <v>1.7108890000000001</v>
      </c>
      <c r="AE5839">
        <v>0.66657379999999999</v>
      </c>
      <c r="AF5839">
        <v>327.24779999999998</v>
      </c>
      <c r="AG5839">
        <f>IFERROR(AH5839*0.1, "N/A")</f>
        <v>5.8573149999999998</v>
      </c>
      <c r="AH5839">
        <v>58.573149999999998</v>
      </c>
      <c r="AI5839">
        <v>108.842</v>
      </c>
      <c r="AJ5839">
        <v>22.786570000000001</v>
      </c>
      <c r="AK5839">
        <v>50.213430000000002</v>
      </c>
    </row>
    <row r="5840" spans="1:37" x14ac:dyDescent="0.3">
      <c r="A5840">
        <v>5839</v>
      </c>
      <c r="B5840">
        <v>0</v>
      </c>
      <c r="C5840">
        <v>-5.8369999999999997</v>
      </c>
      <c r="D5840">
        <v>10.634</v>
      </c>
      <c r="E5840">
        <f>-5.837-10.634</f>
        <v>-16.471</v>
      </c>
      <c r="F5840" t="s">
        <v>9276</v>
      </c>
      <c r="G5840" t="s">
        <v>39</v>
      </c>
      <c r="H5840">
        <v>1987</v>
      </c>
      <c r="I5840">
        <v>27</v>
      </c>
      <c r="J5840">
        <v>12.9</v>
      </c>
      <c r="K5840">
        <v>62</v>
      </c>
      <c r="L5840">
        <v>17.191880000000001</v>
      </c>
      <c r="M5840">
        <v>36.799999999999997</v>
      </c>
      <c r="N5840">
        <v>16</v>
      </c>
      <c r="O5840">
        <v>20.8</v>
      </c>
      <c r="P5840">
        <v>25.7</v>
      </c>
      <c r="Q5840">
        <v>25.8</v>
      </c>
      <c r="R5840">
        <v>29.5</v>
      </c>
      <c r="S5840">
        <v>25.396249999999998</v>
      </c>
      <c r="T5840">
        <v>1135.038</v>
      </c>
      <c r="U5840">
        <v>300.03750000000002</v>
      </c>
      <c r="V5840">
        <v>2</v>
      </c>
      <c r="W5840">
        <v>101</v>
      </c>
      <c r="X5840">
        <v>717.03750000000002</v>
      </c>
      <c r="Y5840">
        <v>11</v>
      </c>
      <c r="Z5840">
        <v>165</v>
      </c>
      <c r="AA5840">
        <v>18</v>
      </c>
      <c r="AB5840">
        <v>5.060575</v>
      </c>
      <c r="AC5840">
        <v>1.8815660000000001E-2</v>
      </c>
      <c r="AD5840">
        <v>1.7742560000000001</v>
      </c>
      <c r="AE5840">
        <v>0.66657379999999999</v>
      </c>
      <c r="AF5840">
        <v>330.57679999999999</v>
      </c>
      <c r="AG5840">
        <f>IFERROR(AH5840*0.1, "N/A")</f>
        <v>5.7436860000000003</v>
      </c>
      <c r="AH5840">
        <v>57.436860000000003</v>
      </c>
      <c r="AI5840">
        <v>84.852959999999996</v>
      </c>
      <c r="AJ5840">
        <v>18.846419999999998</v>
      </c>
      <c r="AK5840">
        <v>55.366889999999998</v>
      </c>
    </row>
    <row r="5841" spans="1:37" x14ac:dyDescent="0.3">
      <c r="A5841">
        <v>5840</v>
      </c>
      <c r="B5841">
        <v>0</v>
      </c>
      <c r="C5841">
        <v>-5.8369999999999997</v>
      </c>
      <c r="D5841">
        <v>10.634</v>
      </c>
      <c r="E5841">
        <f>-5.837-10.634</f>
        <v>-16.471</v>
      </c>
      <c r="F5841" t="s">
        <v>9277</v>
      </c>
      <c r="G5841" t="s">
        <v>37</v>
      </c>
      <c r="H5841">
        <v>1987</v>
      </c>
      <c r="I5841">
        <v>27</v>
      </c>
      <c r="J5841">
        <v>12.9</v>
      </c>
      <c r="K5841">
        <v>62</v>
      </c>
      <c r="L5841">
        <v>17.191880000000001</v>
      </c>
      <c r="M5841">
        <v>36.799999999999997</v>
      </c>
      <c r="N5841">
        <v>16</v>
      </c>
      <c r="O5841">
        <v>20.8</v>
      </c>
      <c r="P5841">
        <v>25.7</v>
      </c>
      <c r="Q5841">
        <v>25.8</v>
      </c>
      <c r="R5841">
        <v>29.5</v>
      </c>
      <c r="S5841">
        <v>25.396249999999998</v>
      </c>
      <c r="T5841">
        <v>1135.038</v>
      </c>
      <c r="U5841">
        <v>300.03750000000002</v>
      </c>
      <c r="V5841">
        <v>2</v>
      </c>
      <c r="W5841">
        <v>101</v>
      </c>
      <c r="X5841">
        <v>717.03750000000002</v>
      </c>
      <c r="Y5841">
        <v>11</v>
      </c>
      <c r="Z5841">
        <v>165</v>
      </c>
      <c r="AA5841">
        <v>18</v>
      </c>
      <c r="AB5841">
        <v>5.060575</v>
      </c>
      <c r="AC5841">
        <v>1.8815660000000001E-2</v>
      </c>
      <c r="AD5841">
        <v>1.7742560000000001</v>
      </c>
      <c r="AE5841">
        <v>0.66657379999999999</v>
      </c>
      <c r="AF5841">
        <v>330.57679999999999</v>
      </c>
      <c r="AG5841">
        <f>IFERROR(AH5841*0.1, "N/A")</f>
        <v>5.7436860000000003</v>
      </c>
      <c r="AH5841">
        <v>57.436860000000003</v>
      </c>
      <c r="AI5841">
        <v>84.852959999999996</v>
      </c>
      <c r="AJ5841">
        <v>18.846419999999998</v>
      </c>
      <c r="AK5841">
        <v>55.366889999999998</v>
      </c>
    </row>
    <row r="5842" spans="1:37" x14ac:dyDescent="0.3">
      <c r="A5842">
        <v>5841</v>
      </c>
      <c r="B5842">
        <v>0</v>
      </c>
      <c r="C5842">
        <v>-6.8166700000000002</v>
      </c>
      <c r="D5842">
        <v>10.716699999999999</v>
      </c>
      <c r="E5842">
        <f>-6.81667-10.7167</f>
        <v>-17.533369999999998</v>
      </c>
      <c r="F5842" t="s">
        <v>9278</v>
      </c>
      <c r="G5842" t="s">
        <v>39</v>
      </c>
      <c r="H5842">
        <v>1990</v>
      </c>
      <c r="I5842">
        <v>26.824570000000001</v>
      </c>
      <c r="J5842">
        <v>13.2</v>
      </c>
      <c r="K5842">
        <v>60.293810000000001</v>
      </c>
      <c r="L5842">
        <v>18.004950000000001</v>
      </c>
      <c r="M5842">
        <v>36.960650000000001</v>
      </c>
      <c r="N5842">
        <v>15.30997</v>
      </c>
      <c r="O5842">
        <v>21.650690000000001</v>
      </c>
      <c r="P5842">
        <v>25.6</v>
      </c>
      <c r="Q5842">
        <v>25.48058</v>
      </c>
      <c r="R5842">
        <v>29.47062</v>
      </c>
      <c r="S5842">
        <v>24.98058</v>
      </c>
      <c r="T5842">
        <v>1061</v>
      </c>
      <c r="U5842">
        <v>289</v>
      </c>
      <c r="V5842">
        <v>2</v>
      </c>
      <c r="W5842">
        <v>104</v>
      </c>
      <c r="X5842">
        <v>686</v>
      </c>
      <c r="Y5842">
        <v>7</v>
      </c>
      <c r="Z5842">
        <v>146</v>
      </c>
      <c r="AA5842">
        <v>18</v>
      </c>
      <c r="AB5842">
        <v>23.704809999999998</v>
      </c>
      <c r="AC5842">
        <v>8.4449910000000006E-3</v>
      </c>
      <c r="AD5842">
        <v>1.0452300000000001</v>
      </c>
      <c r="AE5842">
        <v>0.22297610000000001</v>
      </c>
      <c r="AF5842">
        <v>364.65980000000002</v>
      </c>
      <c r="AG5842">
        <f>IFERROR(AH5842*0.1, "N/A")</f>
        <v>5.9668380000000001</v>
      </c>
      <c r="AH5842">
        <v>59.668379999999999</v>
      </c>
      <c r="AI5842">
        <v>251.31209999999999</v>
      </c>
      <c r="AJ5842">
        <v>21.080760000000001</v>
      </c>
      <c r="AK5842">
        <v>54.525770000000001</v>
      </c>
    </row>
    <row r="5843" spans="1:37" x14ac:dyDescent="0.3">
      <c r="A5843">
        <v>5842</v>
      </c>
      <c r="B5843">
        <v>0</v>
      </c>
      <c r="C5843">
        <v>-6.8166700000000002</v>
      </c>
      <c r="D5843">
        <v>10.716699999999999</v>
      </c>
      <c r="E5843">
        <f>-6.81667-10.7167</f>
        <v>-17.533369999999998</v>
      </c>
      <c r="F5843" t="s">
        <v>9279</v>
      </c>
      <c r="G5843" t="s">
        <v>37</v>
      </c>
      <c r="H5843">
        <v>1990</v>
      </c>
      <c r="I5843">
        <v>26.824570000000001</v>
      </c>
      <c r="J5843">
        <v>13.2</v>
      </c>
      <c r="K5843">
        <v>60.293810000000001</v>
      </c>
      <c r="L5843">
        <v>18.004950000000001</v>
      </c>
      <c r="M5843">
        <v>36.960650000000001</v>
      </c>
      <c r="N5843">
        <v>15.30997</v>
      </c>
      <c r="O5843">
        <v>21.650690000000001</v>
      </c>
      <c r="P5843">
        <v>25.6</v>
      </c>
      <c r="Q5843">
        <v>25.48058</v>
      </c>
      <c r="R5843">
        <v>29.47062</v>
      </c>
      <c r="S5843">
        <v>24.98058</v>
      </c>
      <c r="T5843">
        <v>1061</v>
      </c>
      <c r="U5843">
        <v>289</v>
      </c>
      <c r="V5843">
        <v>2</v>
      </c>
      <c r="W5843">
        <v>104</v>
      </c>
      <c r="X5843">
        <v>686</v>
      </c>
      <c r="Y5843">
        <v>7</v>
      </c>
      <c r="Z5843">
        <v>146</v>
      </c>
      <c r="AA5843">
        <v>18</v>
      </c>
      <c r="AB5843">
        <v>23.704809999999998</v>
      </c>
      <c r="AC5843">
        <v>8.4449910000000006E-3</v>
      </c>
      <c r="AD5843">
        <v>1.0452300000000001</v>
      </c>
      <c r="AE5843">
        <v>0.22297610000000001</v>
      </c>
      <c r="AF5843">
        <v>364.65980000000002</v>
      </c>
      <c r="AG5843">
        <f>IFERROR(AH5843*0.1, "N/A")</f>
        <v>5.9668380000000001</v>
      </c>
      <c r="AH5843">
        <v>59.668379999999999</v>
      </c>
      <c r="AI5843">
        <v>251.31209999999999</v>
      </c>
      <c r="AJ5843">
        <v>21.080760000000001</v>
      </c>
      <c r="AK5843">
        <v>54.525770000000001</v>
      </c>
    </row>
    <row r="5844" spans="1:37" x14ac:dyDescent="0.3">
      <c r="A5844">
        <v>5843</v>
      </c>
      <c r="B5844">
        <v>3.4</v>
      </c>
      <c r="C5844">
        <v>-6.9333</v>
      </c>
      <c r="D5844">
        <v>10.816700000000001</v>
      </c>
      <c r="E5844">
        <f>-6.9333-10.8167</f>
        <v>-17.75</v>
      </c>
      <c r="F5844" t="s">
        <v>9280</v>
      </c>
      <c r="G5844" t="s">
        <v>39</v>
      </c>
      <c r="H5844">
        <v>1987</v>
      </c>
      <c r="I5844">
        <v>26.81709</v>
      </c>
      <c r="J5844">
        <v>13.3</v>
      </c>
      <c r="K5844">
        <v>61</v>
      </c>
      <c r="L5844">
        <v>18.43111</v>
      </c>
      <c r="M5844">
        <v>36.917099999999998</v>
      </c>
      <c r="N5844">
        <v>15.2</v>
      </c>
      <c r="O5844">
        <v>21.717089999999999</v>
      </c>
      <c r="P5844">
        <v>25.56598</v>
      </c>
      <c r="Q5844">
        <v>25.36598</v>
      </c>
      <c r="R5844">
        <v>29.5</v>
      </c>
      <c r="S5844">
        <v>24.9</v>
      </c>
      <c r="T5844">
        <v>1070</v>
      </c>
      <c r="U5844">
        <v>291</v>
      </c>
      <c r="V5844">
        <v>2</v>
      </c>
      <c r="W5844">
        <v>104</v>
      </c>
      <c r="X5844">
        <v>695</v>
      </c>
      <c r="Y5844">
        <v>7</v>
      </c>
      <c r="Z5844">
        <v>143</v>
      </c>
      <c r="AA5844">
        <v>17</v>
      </c>
      <c r="AB5844">
        <v>22.84478</v>
      </c>
      <c r="AC5844">
        <v>8.4707459999999995E-3</v>
      </c>
      <c r="AD5844">
        <v>1.1637379999999999</v>
      </c>
      <c r="AE5844">
        <v>0.22801959999999999</v>
      </c>
      <c r="AF5844">
        <v>369.9282</v>
      </c>
      <c r="AG5844">
        <f>IFERROR(AH5844*0.1, "N/A")</f>
        <v>5.6000000000000005</v>
      </c>
      <c r="AH5844">
        <v>56</v>
      </c>
      <c r="AI5844">
        <v>94.684600000000003</v>
      </c>
      <c r="AJ5844">
        <v>19.582909999999998</v>
      </c>
      <c r="AK5844">
        <v>55</v>
      </c>
    </row>
    <row r="5845" spans="1:37" x14ac:dyDescent="0.3">
      <c r="A5845">
        <v>5844</v>
      </c>
      <c r="B5845">
        <v>2.4</v>
      </c>
      <c r="C5845">
        <v>-6.9333</v>
      </c>
      <c r="D5845">
        <v>10.816700000000001</v>
      </c>
      <c r="E5845">
        <f>-6.9333-10.8167</f>
        <v>-17.75</v>
      </c>
      <c r="F5845" t="s">
        <v>9281</v>
      </c>
      <c r="G5845" t="s">
        <v>37</v>
      </c>
      <c r="H5845">
        <v>1987</v>
      </c>
      <c r="I5845">
        <v>26.81709</v>
      </c>
      <c r="J5845">
        <v>13.3</v>
      </c>
      <c r="K5845">
        <v>61</v>
      </c>
      <c r="L5845">
        <v>18.43111</v>
      </c>
      <c r="M5845">
        <v>36.917099999999998</v>
      </c>
      <c r="N5845">
        <v>15.2</v>
      </c>
      <c r="O5845">
        <v>21.717089999999999</v>
      </c>
      <c r="P5845">
        <v>25.56598</v>
      </c>
      <c r="Q5845">
        <v>25.36598</v>
      </c>
      <c r="R5845">
        <v>29.5</v>
      </c>
      <c r="S5845">
        <v>24.9</v>
      </c>
      <c r="T5845">
        <v>1070</v>
      </c>
      <c r="U5845">
        <v>291</v>
      </c>
      <c r="V5845">
        <v>2</v>
      </c>
      <c r="W5845">
        <v>104</v>
      </c>
      <c r="X5845">
        <v>695</v>
      </c>
      <c r="Y5845">
        <v>7</v>
      </c>
      <c r="Z5845">
        <v>143</v>
      </c>
      <c r="AA5845">
        <v>17</v>
      </c>
      <c r="AB5845">
        <v>22.84478</v>
      </c>
      <c r="AC5845">
        <v>8.4707459999999995E-3</v>
      </c>
      <c r="AD5845">
        <v>1.1637379999999999</v>
      </c>
      <c r="AE5845">
        <v>0.22801959999999999</v>
      </c>
      <c r="AF5845">
        <v>369.9282</v>
      </c>
      <c r="AG5845">
        <f>IFERROR(AH5845*0.1, "N/A")</f>
        <v>5.6000000000000005</v>
      </c>
      <c r="AH5845">
        <v>56</v>
      </c>
      <c r="AI5845">
        <v>94.684600000000003</v>
      </c>
      <c r="AJ5845">
        <v>19.582909999999998</v>
      </c>
      <c r="AK5845">
        <v>55</v>
      </c>
    </row>
    <row r="5846" spans="1:37" x14ac:dyDescent="0.3">
      <c r="A5846">
        <v>5845</v>
      </c>
      <c r="B5846">
        <v>0</v>
      </c>
      <c r="C5846">
        <v>-6.8833299999999999</v>
      </c>
      <c r="D5846">
        <v>10.816700000000001</v>
      </c>
      <c r="E5846">
        <f>-6.88333-10.8167</f>
        <v>-17.700030000000002</v>
      </c>
      <c r="F5846" t="s">
        <v>9282</v>
      </c>
      <c r="G5846" t="s">
        <v>39</v>
      </c>
      <c r="H5846">
        <v>1990</v>
      </c>
      <c r="I5846">
        <v>26.908190000000001</v>
      </c>
      <c r="J5846">
        <v>13.29181</v>
      </c>
      <c r="K5846">
        <v>60.918089999999999</v>
      </c>
      <c r="L5846">
        <v>18.53041</v>
      </c>
      <c r="M5846">
        <v>37</v>
      </c>
      <c r="N5846">
        <v>15.3</v>
      </c>
      <c r="O5846">
        <v>21.7</v>
      </c>
      <c r="P5846">
        <v>25.666039999999999</v>
      </c>
      <c r="Q5846">
        <v>25.408190000000001</v>
      </c>
      <c r="R5846">
        <v>29.6</v>
      </c>
      <c r="S5846">
        <v>25</v>
      </c>
      <c r="T5846">
        <v>1063.925</v>
      </c>
      <c r="U5846">
        <v>289</v>
      </c>
      <c r="V5846">
        <v>2</v>
      </c>
      <c r="W5846">
        <v>105</v>
      </c>
      <c r="X5846">
        <v>690</v>
      </c>
      <c r="Y5846">
        <v>7</v>
      </c>
      <c r="Z5846">
        <v>143</v>
      </c>
      <c r="AA5846">
        <v>17</v>
      </c>
      <c r="AB5846">
        <v>3.1772999999999998</v>
      </c>
      <c r="AC5846">
        <v>7.3470569999999999E-2</v>
      </c>
      <c r="AD5846">
        <v>1.4434119999999999</v>
      </c>
      <c r="AE5846">
        <v>0.62083189999999999</v>
      </c>
      <c r="AF5846">
        <v>350.84469999999999</v>
      </c>
      <c r="AG5846">
        <f>IFERROR(AH5846*0.1, "N/A")</f>
        <v>5.9854950000000002</v>
      </c>
      <c r="AH5846">
        <v>59.854950000000002</v>
      </c>
      <c r="AI5846">
        <v>86.889439999999993</v>
      </c>
      <c r="AJ5846">
        <v>17.273040000000002</v>
      </c>
      <c r="AK5846">
        <v>51.846420000000002</v>
      </c>
    </row>
    <row r="5847" spans="1:37" x14ac:dyDescent="0.3">
      <c r="A5847">
        <v>5846</v>
      </c>
      <c r="B5847">
        <v>0</v>
      </c>
      <c r="C5847">
        <v>-6.8833299999999999</v>
      </c>
      <c r="D5847">
        <v>10.816700000000001</v>
      </c>
      <c r="E5847">
        <f>-6.88333-10.8167</f>
        <v>-17.700030000000002</v>
      </c>
      <c r="F5847" t="s">
        <v>9283</v>
      </c>
      <c r="G5847" t="s">
        <v>37</v>
      </c>
      <c r="H5847">
        <v>1990</v>
      </c>
      <c r="I5847">
        <v>26.908190000000001</v>
      </c>
      <c r="J5847">
        <v>13.29181</v>
      </c>
      <c r="K5847">
        <v>60.918089999999999</v>
      </c>
      <c r="L5847">
        <v>18.53041</v>
      </c>
      <c r="M5847">
        <v>37</v>
      </c>
      <c r="N5847">
        <v>15.3</v>
      </c>
      <c r="O5847">
        <v>21.7</v>
      </c>
      <c r="P5847">
        <v>25.666039999999999</v>
      </c>
      <c r="Q5847">
        <v>25.408190000000001</v>
      </c>
      <c r="R5847">
        <v>29.6</v>
      </c>
      <c r="S5847">
        <v>25</v>
      </c>
      <c r="T5847">
        <v>1063.925</v>
      </c>
      <c r="U5847">
        <v>289</v>
      </c>
      <c r="V5847">
        <v>2</v>
      </c>
      <c r="W5847">
        <v>105</v>
      </c>
      <c r="X5847">
        <v>690</v>
      </c>
      <c r="Y5847">
        <v>7</v>
      </c>
      <c r="Z5847">
        <v>143</v>
      </c>
      <c r="AA5847">
        <v>17</v>
      </c>
      <c r="AB5847">
        <v>3.1772999999999998</v>
      </c>
      <c r="AC5847">
        <v>7.3470569999999999E-2</v>
      </c>
      <c r="AD5847">
        <v>1.4434119999999999</v>
      </c>
      <c r="AE5847">
        <v>0.62083189999999999</v>
      </c>
      <c r="AF5847">
        <v>350.84469999999999</v>
      </c>
      <c r="AG5847">
        <f>IFERROR(AH5847*0.1, "N/A")</f>
        <v>5.9854950000000002</v>
      </c>
      <c r="AH5847">
        <v>59.854950000000002</v>
      </c>
      <c r="AI5847">
        <v>86.889439999999993</v>
      </c>
      <c r="AJ5847">
        <v>17.273040000000002</v>
      </c>
      <c r="AK5847">
        <v>51.846420000000002</v>
      </c>
    </row>
    <row r="5848" spans="1:37" x14ac:dyDescent="0.3">
      <c r="A5848">
        <v>5847</v>
      </c>
      <c r="B5848">
        <v>0</v>
      </c>
      <c r="C5848">
        <v>-6.85</v>
      </c>
      <c r="D5848">
        <v>10.833299999999999</v>
      </c>
      <c r="E5848">
        <f>-6.85-10.8333</f>
        <v>-17.683299999999999</v>
      </c>
      <c r="F5848" t="s">
        <v>9284</v>
      </c>
      <c r="G5848" t="s">
        <v>39</v>
      </c>
      <c r="H5848">
        <v>1990</v>
      </c>
      <c r="I5848">
        <v>26.91798</v>
      </c>
      <c r="J5848">
        <v>13.2</v>
      </c>
      <c r="K5848">
        <v>60.648969999999998</v>
      </c>
      <c r="L5848">
        <v>18.463480000000001</v>
      </c>
      <c r="M5848">
        <v>37.017980000000001</v>
      </c>
      <c r="N5848">
        <v>15.347770000000001</v>
      </c>
      <c r="O5848">
        <v>21.670210000000001</v>
      </c>
      <c r="P5848">
        <v>25.682880000000001</v>
      </c>
      <c r="Q5848">
        <v>25.482880000000002</v>
      </c>
      <c r="R5848">
        <v>29.617979999999999</v>
      </c>
      <c r="S5848">
        <v>24.982880000000002</v>
      </c>
      <c r="T5848">
        <v>1062.171</v>
      </c>
      <c r="U5848">
        <v>288.1712</v>
      </c>
      <c r="V5848">
        <v>2</v>
      </c>
      <c r="W5848">
        <v>105</v>
      </c>
      <c r="X5848">
        <v>688.1712</v>
      </c>
      <c r="Y5848">
        <v>7</v>
      </c>
      <c r="Z5848">
        <v>143</v>
      </c>
      <c r="AA5848">
        <v>17</v>
      </c>
      <c r="AB5848">
        <v>11.72894</v>
      </c>
      <c r="AC5848">
        <v>3.5333940000000001E-2</v>
      </c>
      <c r="AD5848">
        <v>0.83765160000000005</v>
      </c>
      <c r="AE5848">
        <v>0.48537950000000002</v>
      </c>
      <c r="AF5848">
        <v>353.7072</v>
      </c>
      <c r="AG5848">
        <f>IFERROR(AH5848*0.1, "N/A")</f>
        <v>5.8313360000000003</v>
      </c>
      <c r="AH5848">
        <v>58.313360000000003</v>
      </c>
      <c r="AI5848">
        <v>94.948679999999996</v>
      </c>
      <c r="AJ5848">
        <v>15.998290000000001</v>
      </c>
      <c r="AK5848">
        <v>57</v>
      </c>
    </row>
    <row r="5849" spans="1:37" x14ac:dyDescent="0.3">
      <c r="A5849">
        <v>5848</v>
      </c>
      <c r="B5849">
        <v>0</v>
      </c>
      <c r="C5849">
        <v>-6.85</v>
      </c>
      <c r="D5849">
        <v>10.833299999999999</v>
      </c>
      <c r="E5849">
        <f>-6.85-10.8333</f>
        <v>-17.683299999999999</v>
      </c>
      <c r="F5849" t="s">
        <v>9285</v>
      </c>
      <c r="G5849" t="s">
        <v>37</v>
      </c>
      <c r="H5849">
        <v>1990</v>
      </c>
      <c r="I5849">
        <v>26.91798</v>
      </c>
      <c r="J5849">
        <v>13.2</v>
      </c>
      <c r="K5849">
        <v>60.648969999999998</v>
      </c>
      <c r="L5849">
        <v>18.463480000000001</v>
      </c>
      <c r="M5849">
        <v>37.017980000000001</v>
      </c>
      <c r="N5849">
        <v>15.347770000000001</v>
      </c>
      <c r="O5849">
        <v>21.670210000000001</v>
      </c>
      <c r="P5849">
        <v>25.682880000000001</v>
      </c>
      <c r="Q5849">
        <v>25.482880000000002</v>
      </c>
      <c r="R5849">
        <v>29.617979999999999</v>
      </c>
      <c r="S5849">
        <v>24.982880000000002</v>
      </c>
      <c r="T5849">
        <v>1062.171</v>
      </c>
      <c r="U5849">
        <v>288.1712</v>
      </c>
      <c r="V5849">
        <v>2</v>
      </c>
      <c r="W5849">
        <v>105</v>
      </c>
      <c r="X5849">
        <v>688.1712</v>
      </c>
      <c r="Y5849">
        <v>7</v>
      </c>
      <c r="Z5849">
        <v>143</v>
      </c>
      <c r="AA5849">
        <v>17</v>
      </c>
      <c r="AB5849">
        <v>11.72894</v>
      </c>
      <c r="AC5849">
        <v>3.5333940000000001E-2</v>
      </c>
      <c r="AD5849">
        <v>0.83765160000000005</v>
      </c>
      <c r="AE5849">
        <v>0.48537950000000002</v>
      </c>
      <c r="AF5849">
        <v>353.7072</v>
      </c>
      <c r="AG5849">
        <f>IFERROR(AH5849*0.1, "N/A")</f>
        <v>5.8313360000000003</v>
      </c>
      <c r="AH5849">
        <v>58.313360000000003</v>
      </c>
      <c r="AI5849">
        <v>94.948679999999996</v>
      </c>
      <c r="AJ5849">
        <v>15.998290000000001</v>
      </c>
      <c r="AK5849">
        <v>57</v>
      </c>
    </row>
    <row r="5850" spans="1:37" x14ac:dyDescent="0.3">
      <c r="A5850">
        <v>5849</v>
      </c>
      <c r="B5850">
        <v>0.5</v>
      </c>
      <c r="C5850">
        <v>-5.6</v>
      </c>
      <c r="D5850">
        <v>10.9</v>
      </c>
      <c r="E5850">
        <f>-5.6-10.9</f>
        <v>-16.5</v>
      </c>
      <c r="F5850" t="s">
        <v>9286</v>
      </c>
      <c r="G5850" t="s">
        <v>39</v>
      </c>
      <c r="H5850">
        <v>1990</v>
      </c>
      <c r="I5850">
        <v>26.958970000000001</v>
      </c>
      <c r="J5850">
        <v>13.2</v>
      </c>
      <c r="K5850">
        <v>61</v>
      </c>
      <c r="L5850">
        <v>18.096869999999999</v>
      </c>
      <c r="M5850">
        <v>36.934699999999999</v>
      </c>
      <c r="N5850">
        <v>15.534700000000001</v>
      </c>
      <c r="O5850">
        <v>21.4</v>
      </c>
      <c r="P5850">
        <v>25.7</v>
      </c>
      <c r="Q5850">
        <v>25.458970000000001</v>
      </c>
      <c r="R5850">
        <v>29.6</v>
      </c>
      <c r="S5850">
        <v>25.058969999999999</v>
      </c>
      <c r="T5850">
        <v>1104.8209999999999</v>
      </c>
      <c r="U5850">
        <v>291.41030000000001</v>
      </c>
      <c r="V5850">
        <v>1</v>
      </c>
      <c r="W5850">
        <v>101.41030000000001</v>
      </c>
      <c r="X5850">
        <v>703.82050000000004</v>
      </c>
      <c r="Y5850">
        <v>9</v>
      </c>
      <c r="Z5850">
        <v>162</v>
      </c>
      <c r="AA5850">
        <v>14</v>
      </c>
      <c r="AB5850">
        <v>6.3054800000000002</v>
      </c>
      <c r="AC5850">
        <v>1.1296E-2</v>
      </c>
      <c r="AD5850">
        <v>3.5821779999999999</v>
      </c>
      <c r="AE5850">
        <v>0.55275540000000001</v>
      </c>
      <c r="AF5850">
        <v>355.10430000000002</v>
      </c>
      <c r="AG5850">
        <f>IFERROR(AH5850*0.1, "N/A")</f>
        <v>6</v>
      </c>
      <c r="AH5850">
        <v>60</v>
      </c>
      <c r="AI5850">
        <v>102.328</v>
      </c>
      <c r="AJ5850">
        <v>23.155560000000001</v>
      </c>
      <c r="AK5850">
        <v>51.2547</v>
      </c>
    </row>
    <row r="5851" spans="1:37" x14ac:dyDescent="0.3">
      <c r="A5851">
        <v>5850</v>
      </c>
      <c r="B5851">
        <v>2.5</v>
      </c>
      <c r="C5851">
        <v>-5.6</v>
      </c>
      <c r="D5851">
        <v>10.9</v>
      </c>
      <c r="E5851">
        <f>-5.6-10.9</f>
        <v>-16.5</v>
      </c>
      <c r="F5851" t="s">
        <v>9287</v>
      </c>
      <c r="G5851" t="s">
        <v>37</v>
      </c>
      <c r="H5851">
        <v>1990</v>
      </c>
      <c r="I5851">
        <v>26.958970000000001</v>
      </c>
      <c r="J5851">
        <v>13.2</v>
      </c>
      <c r="K5851">
        <v>61</v>
      </c>
      <c r="L5851">
        <v>18.096869999999999</v>
      </c>
      <c r="M5851">
        <v>36.934699999999999</v>
      </c>
      <c r="N5851">
        <v>15.534700000000001</v>
      </c>
      <c r="O5851">
        <v>21.4</v>
      </c>
      <c r="P5851">
        <v>25.7</v>
      </c>
      <c r="Q5851">
        <v>25.458970000000001</v>
      </c>
      <c r="R5851">
        <v>29.6</v>
      </c>
      <c r="S5851">
        <v>25.058969999999999</v>
      </c>
      <c r="T5851">
        <v>1104.8209999999999</v>
      </c>
      <c r="U5851">
        <v>291.41030000000001</v>
      </c>
      <c r="V5851">
        <v>1</v>
      </c>
      <c r="W5851">
        <v>101.41030000000001</v>
      </c>
      <c r="X5851">
        <v>703.82050000000004</v>
      </c>
      <c r="Y5851">
        <v>9</v>
      </c>
      <c r="Z5851">
        <v>162</v>
      </c>
      <c r="AA5851">
        <v>14</v>
      </c>
      <c r="AB5851">
        <v>6.3054800000000002</v>
      </c>
      <c r="AC5851">
        <v>1.1296E-2</v>
      </c>
      <c r="AD5851">
        <v>3.5821779999999999</v>
      </c>
      <c r="AE5851">
        <v>0.55275540000000001</v>
      </c>
      <c r="AF5851">
        <v>355.10430000000002</v>
      </c>
      <c r="AG5851">
        <f>IFERROR(AH5851*0.1, "N/A")</f>
        <v>6</v>
      </c>
      <c r="AH5851">
        <v>60</v>
      </c>
      <c r="AI5851">
        <v>102.328</v>
      </c>
      <c r="AJ5851">
        <v>23.155560000000001</v>
      </c>
      <c r="AK5851">
        <v>51.2547</v>
      </c>
    </row>
    <row r="5852" spans="1:37" x14ac:dyDescent="0.3">
      <c r="A5852">
        <v>5851</v>
      </c>
      <c r="B5852">
        <v>1.1000000000000001</v>
      </c>
      <c r="C5852">
        <v>-8.2170000000000005</v>
      </c>
      <c r="D5852">
        <v>11.032</v>
      </c>
      <c r="E5852">
        <f>-8.217-11.032</f>
        <v>-19.249000000000002</v>
      </c>
      <c r="F5852" t="s">
        <v>9288</v>
      </c>
      <c r="G5852" t="s">
        <v>39</v>
      </c>
      <c r="H5852">
        <v>1987</v>
      </c>
      <c r="I5852">
        <v>26.858560000000001</v>
      </c>
      <c r="J5852">
        <v>15</v>
      </c>
      <c r="K5852">
        <v>63</v>
      </c>
      <c r="L5852">
        <v>19.176950000000001</v>
      </c>
      <c r="M5852">
        <v>38.158560000000001</v>
      </c>
      <c r="N5852">
        <v>14.4</v>
      </c>
      <c r="O5852">
        <v>23.758559999999999</v>
      </c>
      <c r="P5852">
        <v>25.6</v>
      </c>
      <c r="Q5852">
        <v>25.3</v>
      </c>
      <c r="R5852">
        <v>29.758559999999999</v>
      </c>
      <c r="S5852">
        <v>24.9</v>
      </c>
      <c r="T5852">
        <v>1195</v>
      </c>
      <c r="U5852">
        <v>300</v>
      </c>
      <c r="V5852">
        <v>1</v>
      </c>
      <c r="W5852">
        <v>104</v>
      </c>
      <c r="X5852">
        <v>777</v>
      </c>
      <c r="Y5852">
        <v>4</v>
      </c>
      <c r="Z5852">
        <v>154</v>
      </c>
      <c r="AA5852">
        <v>12</v>
      </c>
      <c r="AB5852">
        <v>8.9582219999999992</v>
      </c>
      <c r="AC5852">
        <v>4.5888140000000001E-2</v>
      </c>
      <c r="AD5852">
        <v>2.5538289999999999</v>
      </c>
      <c r="AE5852">
        <v>0.18976029999999999</v>
      </c>
      <c r="AF5852">
        <v>383.72089999999997</v>
      </c>
      <c r="AG5852">
        <f>IFERROR(AH5852*0.1, "N/A")</f>
        <v>5.99024</v>
      </c>
      <c r="AH5852">
        <v>59.9024</v>
      </c>
      <c r="AI5852">
        <v>112.7411</v>
      </c>
      <c r="AJ5852">
        <v>20.924659999999999</v>
      </c>
      <c r="AK5852">
        <v>52.205480000000001</v>
      </c>
    </row>
    <row r="5853" spans="1:37" x14ac:dyDescent="0.3">
      <c r="A5853">
        <v>5852</v>
      </c>
      <c r="B5853">
        <v>0</v>
      </c>
      <c r="C5853">
        <v>-8.2170000000000005</v>
      </c>
      <c r="D5853">
        <v>11.032</v>
      </c>
      <c r="E5853">
        <f>-8.217-11.032</f>
        <v>-19.249000000000002</v>
      </c>
      <c r="F5853" t="s">
        <v>9289</v>
      </c>
      <c r="G5853" t="s">
        <v>37</v>
      </c>
      <c r="H5853">
        <v>1987</v>
      </c>
      <c r="I5853">
        <v>26.858560000000001</v>
      </c>
      <c r="J5853">
        <v>15</v>
      </c>
      <c r="K5853">
        <v>63</v>
      </c>
      <c r="L5853">
        <v>19.176950000000001</v>
      </c>
      <c r="M5853">
        <v>38.158560000000001</v>
      </c>
      <c r="N5853">
        <v>14.4</v>
      </c>
      <c r="O5853">
        <v>23.758559999999999</v>
      </c>
      <c r="P5853">
        <v>25.6</v>
      </c>
      <c r="Q5853">
        <v>25.3</v>
      </c>
      <c r="R5853">
        <v>29.758559999999999</v>
      </c>
      <c r="S5853">
        <v>24.9</v>
      </c>
      <c r="T5853">
        <v>1195</v>
      </c>
      <c r="U5853">
        <v>300</v>
      </c>
      <c r="V5853">
        <v>1</v>
      </c>
      <c r="W5853">
        <v>104</v>
      </c>
      <c r="X5853">
        <v>777</v>
      </c>
      <c r="Y5853">
        <v>4</v>
      </c>
      <c r="Z5853">
        <v>154</v>
      </c>
      <c r="AA5853">
        <v>12</v>
      </c>
      <c r="AB5853">
        <v>8.9582219999999992</v>
      </c>
      <c r="AC5853">
        <v>4.5888140000000001E-2</v>
      </c>
      <c r="AD5853">
        <v>2.5538289999999999</v>
      </c>
      <c r="AE5853">
        <v>0.18976029999999999</v>
      </c>
      <c r="AF5853">
        <v>383.72089999999997</v>
      </c>
      <c r="AG5853">
        <f>IFERROR(AH5853*0.1, "N/A")</f>
        <v>5.99024</v>
      </c>
      <c r="AH5853">
        <v>59.9024</v>
      </c>
      <c r="AI5853">
        <v>112.7411</v>
      </c>
      <c r="AJ5853">
        <v>20.924659999999999</v>
      </c>
      <c r="AK5853">
        <v>52.205480000000001</v>
      </c>
    </row>
    <row r="5854" spans="1:37" x14ac:dyDescent="0.3">
      <c r="A5854">
        <v>5853</v>
      </c>
      <c r="B5854">
        <v>0</v>
      </c>
      <c r="C5854">
        <v>-6.8445999999999998</v>
      </c>
      <c r="D5854">
        <v>11.055300000000001</v>
      </c>
      <c r="E5854">
        <f>-6.8446-11.0553</f>
        <v>-17.899900000000002</v>
      </c>
      <c r="F5854" t="s">
        <v>9290</v>
      </c>
      <c r="G5854" t="s">
        <v>37</v>
      </c>
      <c r="H5854">
        <v>1978</v>
      </c>
      <c r="I5854">
        <v>27.1</v>
      </c>
      <c r="J5854">
        <v>13.3</v>
      </c>
      <c r="K5854">
        <v>60</v>
      </c>
      <c r="L5854">
        <v>19.36</v>
      </c>
      <c r="M5854">
        <v>37.299999999999997</v>
      </c>
      <c r="N5854">
        <v>15.3</v>
      </c>
      <c r="O5854">
        <v>22</v>
      </c>
      <c r="P5854">
        <v>25.9</v>
      </c>
      <c r="Q5854">
        <v>25.5</v>
      </c>
      <c r="R5854">
        <v>30</v>
      </c>
      <c r="S5854">
        <v>25</v>
      </c>
      <c r="T5854">
        <v>1057</v>
      </c>
      <c r="U5854">
        <v>285</v>
      </c>
      <c r="V5854">
        <v>1</v>
      </c>
      <c r="W5854">
        <v>105</v>
      </c>
      <c r="X5854">
        <v>689</v>
      </c>
      <c r="Y5854">
        <v>5</v>
      </c>
      <c r="Z5854">
        <v>138</v>
      </c>
      <c r="AA5854">
        <v>14</v>
      </c>
      <c r="AB5854">
        <v>11.12593</v>
      </c>
      <c r="AC5854">
        <v>1.2645790000000001E-2</v>
      </c>
      <c r="AD5854">
        <v>2.335979</v>
      </c>
      <c r="AE5854">
        <v>0.6688885</v>
      </c>
      <c r="AF5854">
        <v>321.5154</v>
      </c>
      <c r="AG5854">
        <f>IFERROR(AH5854*0.1, "N/A")</f>
        <v>5.7406140000000008</v>
      </c>
      <c r="AH5854">
        <v>57.406140000000001</v>
      </c>
      <c r="AI5854">
        <v>49.469799999999999</v>
      </c>
      <c r="AJ5854">
        <v>22.70307</v>
      </c>
      <c r="AK5854">
        <v>48</v>
      </c>
    </row>
    <row r="5855" spans="1:37" x14ac:dyDescent="0.3">
      <c r="A5855">
        <v>5854</v>
      </c>
      <c r="B5855">
        <v>0</v>
      </c>
      <c r="C5855">
        <v>-6.8445999999999998</v>
      </c>
      <c r="D5855">
        <v>11.055300000000001</v>
      </c>
      <c r="E5855">
        <f>-6.8446-11.0553</f>
        <v>-17.899900000000002</v>
      </c>
      <c r="F5855" t="s">
        <v>9291</v>
      </c>
      <c r="G5855" t="s">
        <v>39</v>
      </c>
      <c r="H5855">
        <v>1978</v>
      </c>
      <c r="I5855">
        <v>27.1</v>
      </c>
      <c r="J5855">
        <v>13.3</v>
      </c>
      <c r="K5855">
        <v>60</v>
      </c>
      <c r="L5855">
        <v>19.36</v>
      </c>
      <c r="M5855">
        <v>37.299999999999997</v>
      </c>
      <c r="N5855">
        <v>15.3</v>
      </c>
      <c r="O5855">
        <v>22</v>
      </c>
      <c r="P5855">
        <v>25.9</v>
      </c>
      <c r="Q5855">
        <v>25.5</v>
      </c>
      <c r="R5855">
        <v>30</v>
      </c>
      <c r="S5855">
        <v>25</v>
      </c>
      <c r="T5855">
        <v>1057</v>
      </c>
      <c r="U5855">
        <v>285</v>
      </c>
      <c r="V5855">
        <v>1</v>
      </c>
      <c r="W5855">
        <v>105</v>
      </c>
      <c r="X5855">
        <v>689</v>
      </c>
      <c r="Y5855">
        <v>5</v>
      </c>
      <c r="Z5855">
        <v>138</v>
      </c>
      <c r="AA5855">
        <v>14</v>
      </c>
      <c r="AB5855">
        <v>11.12593</v>
      </c>
      <c r="AC5855">
        <v>1.2645790000000001E-2</v>
      </c>
      <c r="AD5855">
        <v>2.335979</v>
      </c>
      <c r="AE5855">
        <v>0.6688885</v>
      </c>
      <c r="AF5855">
        <v>321.5154</v>
      </c>
      <c r="AG5855">
        <f>IFERROR(AH5855*0.1, "N/A")</f>
        <v>5.7406140000000008</v>
      </c>
      <c r="AH5855">
        <v>57.406140000000001</v>
      </c>
      <c r="AI5855">
        <v>49.469799999999999</v>
      </c>
      <c r="AJ5855">
        <v>22.70307</v>
      </c>
      <c r="AK5855">
        <v>48</v>
      </c>
    </row>
    <row r="5856" spans="1:37" x14ac:dyDescent="0.3">
      <c r="A5856">
        <v>5855</v>
      </c>
      <c r="B5856">
        <v>19</v>
      </c>
      <c r="C5856">
        <v>-7.6665799999999997</v>
      </c>
      <c r="D5856">
        <v>11.083500000000001</v>
      </c>
      <c r="E5856">
        <f>-7.66658-11.0835</f>
        <v>-18.750080000000001</v>
      </c>
      <c r="F5856" t="s">
        <v>9292</v>
      </c>
      <c r="G5856" t="s">
        <v>39</v>
      </c>
      <c r="H5856">
        <v>1987</v>
      </c>
      <c r="I5856">
        <v>27.03191</v>
      </c>
      <c r="J5856">
        <v>13.87833</v>
      </c>
      <c r="K5856">
        <v>61</v>
      </c>
      <c r="L5856">
        <v>19.363530000000001</v>
      </c>
      <c r="M5856">
        <v>37.578330000000001</v>
      </c>
      <c r="N5856">
        <v>15.1</v>
      </c>
      <c r="O5856">
        <v>22.47833</v>
      </c>
      <c r="P5856">
        <v>25.731909999999999</v>
      </c>
      <c r="Q5856">
        <v>25.5</v>
      </c>
      <c r="R5856">
        <v>29.9</v>
      </c>
      <c r="S5856">
        <v>25</v>
      </c>
      <c r="T5856">
        <v>1118.587</v>
      </c>
      <c r="U5856">
        <v>284.58699999999999</v>
      </c>
      <c r="V5856">
        <v>0</v>
      </c>
      <c r="W5856">
        <v>104</v>
      </c>
      <c r="X5856">
        <v>728.58699999999999</v>
      </c>
      <c r="Y5856">
        <v>2</v>
      </c>
      <c r="Z5856">
        <v>152</v>
      </c>
      <c r="AA5856">
        <v>11</v>
      </c>
      <c r="AB5856">
        <v>3.0824199999999999</v>
      </c>
      <c r="AC5856">
        <v>3.9307990000000001E-2</v>
      </c>
      <c r="AD5856">
        <v>0.86804990000000004</v>
      </c>
      <c r="AE5856">
        <v>0.2184093</v>
      </c>
      <c r="AF5856">
        <v>334.47269999999997</v>
      </c>
      <c r="AG5856">
        <f>IFERROR(AH5856*0.1, "N/A")</f>
        <v>5.7</v>
      </c>
      <c r="AH5856">
        <v>57</v>
      </c>
      <c r="AI5856">
        <v>205.762</v>
      </c>
      <c r="AJ5856">
        <v>26.99147</v>
      </c>
      <c r="AK5856">
        <v>43.914679999999997</v>
      </c>
    </row>
    <row r="5857" spans="1:37" x14ac:dyDescent="0.3">
      <c r="A5857">
        <v>5856</v>
      </c>
      <c r="B5857">
        <v>3.8</v>
      </c>
      <c r="C5857">
        <v>-7.6665799999999997</v>
      </c>
      <c r="D5857">
        <v>11.083500000000001</v>
      </c>
      <c r="E5857">
        <f>-7.66658-11.0835</f>
        <v>-18.750080000000001</v>
      </c>
      <c r="F5857" t="s">
        <v>9293</v>
      </c>
      <c r="G5857" t="s">
        <v>37</v>
      </c>
      <c r="H5857">
        <v>1987</v>
      </c>
      <c r="I5857">
        <v>27.03191</v>
      </c>
      <c r="J5857">
        <v>13.87833</v>
      </c>
      <c r="K5857">
        <v>61</v>
      </c>
      <c r="L5857">
        <v>19.363530000000001</v>
      </c>
      <c r="M5857">
        <v>37.578330000000001</v>
      </c>
      <c r="N5857">
        <v>15.1</v>
      </c>
      <c r="O5857">
        <v>22.47833</v>
      </c>
      <c r="P5857">
        <v>25.731909999999999</v>
      </c>
      <c r="Q5857">
        <v>25.5</v>
      </c>
      <c r="R5857">
        <v>29.9</v>
      </c>
      <c r="S5857">
        <v>25</v>
      </c>
      <c r="T5857">
        <v>1118.587</v>
      </c>
      <c r="U5857">
        <v>284.58699999999999</v>
      </c>
      <c r="V5857">
        <v>0</v>
      </c>
      <c r="W5857">
        <v>104</v>
      </c>
      <c r="X5857">
        <v>728.58699999999999</v>
      </c>
      <c r="Y5857">
        <v>2</v>
      </c>
      <c r="Z5857">
        <v>152</v>
      </c>
      <c r="AA5857">
        <v>11</v>
      </c>
      <c r="AB5857">
        <v>3.0824199999999999</v>
      </c>
      <c r="AC5857">
        <v>3.9307990000000001E-2</v>
      </c>
      <c r="AD5857">
        <v>0.86804990000000004</v>
      </c>
      <c r="AE5857">
        <v>0.2184093</v>
      </c>
      <c r="AF5857">
        <v>334.47269999999997</v>
      </c>
      <c r="AG5857">
        <f>IFERROR(AH5857*0.1, "N/A")</f>
        <v>5.7</v>
      </c>
      <c r="AH5857">
        <v>57</v>
      </c>
      <c r="AI5857">
        <v>205.762</v>
      </c>
      <c r="AJ5857">
        <v>26.99147</v>
      </c>
      <c r="AK5857">
        <v>43.914679999999997</v>
      </c>
    </row>
    <row r="5858" spans="1:37" x14ac:dyDescent="0.3">
      <c r="A5858">
        <v>5857</v>
      </c>
      <c r="B5858">
        <v>1.5</v>
      </c>
      <c r="C5858">
        <v>-8.2159999999999993</v>
      </c>
      <c r="D5858">
        <v>11.134</v>
      </c>
      <c r="E5858">
        <f>-8.216-11.134</f>
        <v>-19.350000000000001</v>
      </c>
      <c r="F5858" t="s">
        <v>9294</v>
      </c>
      <c r="G5858" t="s">
        <v>39</v>
      </c>
      <c r="H5858">
        <v>1987</v>
      </c>
      <c r="I5858">
        <v>26.94829</v>
      </c>
      <c r="J5858">
        <v>15</v>
      </c>
      <c r="K5858">
        <v>63</v>
      </c>
      <c r="L5858">
        <v>19.875509999999998</v>
      </c>
      <c r="M5858">
        <v>38.248289999999997</v>
      </c>
      <c r="N5858">
        <v>14.44829</v>
      </c>
      <c r="O5858">
        <v>23.8</v>
      </c>
      <c r="P5858">
        <v>25.674140000000001</v>
      </c>
      <c r="Q5858">
        <v>25.248290000000001</v>
      </c>
      <c r="R5858">
        <v>29.94829</v>
      </c>
      <c r="S5858">
        <v>24.94829</v>
      </c>
      <c r="T5858">
        <v>1176.5509999999999</v>
      </c>
      <c r="U5858">
        <v>301.2586</v>
      </c>
      <c r="V5858">
        <v>0</v>
      </c>
      <c r="W5858">
        <v>105.7414</v>
      </c>
      <c r="X5858">
        <v>770.77570000000003</v>
      </c>
      <c r="Y5858">
        <v>3</v>
      </c>
      <c r="Z5858">
        <v>147.2586</v>
      </c>
      <c r="AA5858">
        <v>10</v>
      </c>
      <c r="AB5858">
        <v>1.064557</v>
      </c>
      <c r="AC5858">
        <v>5.3784159999999996</v>
      </c>
      <c r="AD5858">
        <v>1.301733</v>
      </c>
      <c r="AE5858">
        <v>0.23647609999999999</v>
      </c>
      <c r="AF5858">
        <v>359.7962</v>
      </c>
      <c r="AG5858">
        <f>IFERROR(AH5858*0.1, "N/A")</f>
        <v>5.7839039999999997</v>
      </c>
      <c r="AH5858">
        <v>57.839039999999997</v>
      </c>
      <c r="AI5858">
        <v>147.33789999999999</v>
      </c>
      <c r="AJ5858">
        <v>21.919519999999999</v>
      </c>
      <c r="AK5858">
        <v>52.4024</v>
      </c>
    </row>
    <row r="5859" spans="1:37" x14ac:dyDescent="0.3">
      <c r="A5859">
        <v>5858</v>
      </c>
      <c r="B5859">
        <v>0</v>
      </c>
      <c r="C5859">
        <v>-8.2159999999999993</v>
      </c>
      <c r="D5859">
        <v>11.134</v>
      </c>
      <c r="E5859">
        <f>-8.216-11.134</f>
        <v>-19.350000000000001</v>
      </c>
      <c r="F5859" t="s">
        <v>9295</v>
      </c>
      <c r="G5859" t="s">
        <v>37</v>
      </c>
      <c r="H5859">
        <v>1987</v>
      </c>
      <c r="I5859">
        <v>26.94829</v>
      </c>
      <c r="J5859">
        <v>15</v>
      </c>
      <c r="K5859">
        <v>63</v>
      </c>
      <c r="L5859">
        <v>19.875509999999998</v>
      </c>
      <c r="M5859">
        <v>38.248289999999997</v>
      </c>
      <c r="N5859">
        <v>14.44829</v>
      </c>
      <c r="O5859">
        <v>23.8</v>
      </c>
      <c r="P5859">
        <v>25.674140000000001</v>
      </c>
      <c r="Q5859">
        <v>25.248290000000001</v>
      </c>
      <c r="R5859">
        <v>29.94829</v>
      </c>
      <c r="S5859">
        <v>24.94829</v>
      </c>
      <c r="T5859">
        <v>1176.5509999999999</v>
      </c>
      <c r="U5859">
        <v>301.2586</v>
      </c>
      <c r="V5859">
        <v>0</v>
      </c>
      <c r="W5859">
        <v>105.7414</v>
      </c>
      <c r="X5859">
        <v>770.77570000000003</v>
      </c>
      <c r="Y5859">
        <v>3</v>
      </c>
      <c r="Z5859">
        <v>147.2586</v>
      </c>
      <c r="AA5859">
        <v>10</v>
      </c>
      <c r="AB5859">
        <v>1.064557</v>
      </c>
      <c r="AC5859">
        <v>5.3784159999999996</v>
      </c>
      <c r="AD5859">
        <v>1.301733</v>
      </c>
      <c r="AE5859">
        <v>0.23647609999999999</v>
      </c>
      <c r="AF5859">
        <v>359.7962</v>
      </c>
      <c r="AG5859">
        <f>IFERROR(AH5859*0.1, "N/A")</f>
        <v>5.7839039999999997</v>
      </c>
      <c r="AH5859">
        <v>57.839039999999997</v>
      </c>
      <c r="AI5859">
        <v>147.33789999999999</v>
      </c>
      <c r="AJ5859">
        <v>21.919519999999999</v>
      </c>
      <c r="AK5859">
        <v>52.4024</v>
      </c>
    </row>
    <row r="5860" spans="1:37" x14ac:dyDescent="0.3">
      <c r="A5860">
        <v>5859</v>
      </c>
      <c r="B5860">
        <v>4.0999999999999996</v>
      </c>
      <c r="C5860">
        <v>-8.5350000000000001</v>
      </c>
      <c r="D5860">
        <v>11.135999999999999</v>
      </c>
      <c r="E5860">
        <f>-8.535-11.136</f>
        <v>-19.670999999999999</v>
      </c>
      <c r="F5860" t="s">
        <v>9296</v>
      </c>
      <c r="G5860" t="s">
        <v>39</v>
      </c>
      <c r="H5860">
        <v>1987</v>
      </c>
      <c r="I5860">
        <v>26.7</v>
      </c>
      <c r="J5860">
        <v>15.7</v>
      </c>
      <c r="K5860">
        <v>63</v>
      </c>
      <c r="L5860">
        <v>19.170000000000002</v>
      </c>
      <c r="M5860">
        <v>38.5</v>
      </c>
      <c r="N5860">
        <v>13.9</v>
      </c>
      <c r="O5860">
        <v>24.6</v>
      </c>
      <c r="P5860">
        <v>25.5</v>
      </c>
      <c r="Q5860">
        <v>25.1</v>
      </c>
      <c r="R5860">
        <v>29.6</v>
      </c>
      <c r="S5860">
        <v>24.8</v>
      </c>
      <c r="T5860">
        <v>1241</v>
      </c>
      <c r="U5860">
        <v>312</v>
      </c>
      <c r="V5860">
        <v>0</v>
      </c>
      <c r="W5860">
        <v>105</v>
      </c>
      <c r="X5860">
        <v>810</v>
      </c>
      <c r="Y5860">
        <v>3</v>
      </c>
      <c r="Z5860">
        <v>147</v>
      </c>
      <c r="AA5860">
        <v>13</v>
      </c>
      <c r="AB5860">
        <v>53.139690000000002</v>
      </c>
      <c r="AC5860">
        <v>1.1878720000000001E-2</v>
      </c>
      <c r="AD5860">
        <v>4.3115829999999997</v>
      </c>
      <c r="AE5860">
        <v>0.17914189999999999</v>
      </c>
      <c r="AF5860">
        <v>418.80930000000001</v>
      </c>
      <c r="AG5860">
        <f>IFERROR(AH5860*0.1, "N/A")</f>
        <v>5.7422680000000001</v>
      </c>
      <c r="AH5860">
        <v>57.42268</v>
      </c>
      <c r="AI5860">
        <v>37.103569999999998</v>
      </c>
      <c r="AJ5860">
        <v>24.606529999999999</v>
      </c>
      <c r="AK5860">
        <v>53.393470000000001</v>
      </c>
    </row>
    <row r="5861" spans="1:37" x14ac:dyDescent="0.3">
      <c r="A5861">
        <v>5860</v>
      </c>
      <c r="B5861">
        <v>1.2</v>
      </c>
      <c r="C5861">
        <v>-8.5350000000000001</v>
      </c>
      <c r="D5861">
        <v>11.135999999999999</v>
      </c>
      <c r="E5861">
        <f>-8.535-11.136</f>
        <v>-19.670999999999999</v>
      </c>
      <c r="F5861" t="s">
        <v>9297</v>
      </c>
      <c r="G5861" t="s">
        <v>37</v>
      </c>
      <c r="H5861">
        <v>1987</v>
      </c>
      <c r="I5861">
        <v>26.7</v>
      </c>
      <c r="J5861">
        <v>15.7</v>
      </c>
      <c r="K5861">
        <v>63</v>
      </c>
      <c r="L5861">
        <v>19.170000000000002</v>
      </c>
      <c r="M5861">
        <v>38.5</v>
      </c>
      <c r="N5861">
        <v>13.9</v>
      </c>
      <c r="O5861">
        <v>24.6</v>
      </c>
      <c r="P5861">
        <v>25.5</v>
      </c>
      <c r="Q5861">
        <v>25.1</v>
      </c>
      <c r="R5861">
        <v>29.6</v>
      </c>
      <c r="S5861">
        <v>24.8</v>
      </c>
      <c r="T5861">
        <v>1241</v>
      </c>
      <c r="U5861">
        <v>312</v>
      </c>
      <c r="V5861">
        <v>0</v>
      </c>
      <c r="W5861">
        <v>105</v>
      </c>
      <c r="X5861">
        <v>810</v>
      </c>
      <c r="Y5861">
        <v>3</v>
      </c>
      <c r="Z5861">
        <v>147</v>
      </c>
      <c r="AA5861">
        <v>13</v>
      </c>
      <c r="AB5861">
        <v>53.139690000000002</v>
      </c>
      <c r="AC5861">
        <v>1.1878720000000001E-2</v>
      </c>
      <c r="AD5861">
        <v>4.3115829999999997</v>
      </c>
      <c r="AE5861">
        <v>0.17914189999999999</v>
      </c>
      <c r="AF5861">
        <v>418.80930000000001</v>
      </c>
      <c r="AG5861">
        <f>IFERROR(AH5861*0.1, "N/A")</f>
        <v>5.7422680000000001</v>
      </c>
      <c r="AH5861">
        <v>57.42268</v>
      </c>
      <c r="AI5861">
        <v>37.103569999999998</v>
      </c>
      <c r="AJ5861">
        <v>24.606529999999999</v>
      </c>
      <c r="AK5861">
        <v>53.393470000000001</v>
      </c>
    </row>
    <row r="5862" spans="1:37" x14ac:dyDescent="0.3">
      <c r="A5862">
        <v>5861</v>
      </c>
      <c r="B5862">
        <v>7.1</v>
      </c>
      <c r="C5862">
        <v>-8.1620000000000008</v>
      </c>
      <c r="D5862">
        <v>11.169</v>
      </c>
      <c r="E5862">
        <f>-8.162-11.169</f>
        <v>-19.331000000000003</v>
      </c>
      <c r="F5862" t="s">
        <v>9298</v>
      </c>
      <c r="G5862" t="s">
        <v>39</v>
      </c>
      <c r="H5862">
        <v>1987</v>
      </c>
      <c r="I5862">
        <v>27</v>
      </c>
      <c r="J5862">
        <v>14.9</v>
      </c>
      <c r="K5862">
        <v>62</v>
      </c>
      <c r="L5862">
        <v>19.649999999999999</v>
      </c>
      <c r="M5862">
        <v>38.200000000000003</v>
      </c>
      <c r="N5862">
        <v>14.5</v>
      </c>
      <c r="O5862">
        <v>23.7</v>
      </c>
      <c r="P5862">
        <v>25.8</v>
      </c>
      <c r="Q5862">
        <v>25.3</v>
      </c>
      <c r="R5862">
        <v>30</v>
      </c>
      <c r="S5862">
        <v>25</v>
      </c>
      <c r="T5862">
        <v>1165</v>
      </c>
      <c r="U5862">
        <v>301</v>
      </c>
      <c r="V5862">
        <v>0</v>
      </c>
      <c r="W5862">
        <v>105</v>
      </c>
      <c r="X5862">
        <v>766</v>
      </c>
      <c r="Y5862">
        <v>2</v>
      </c>
      <c r="Z5862">
        <v>144</v>
      </c>
      <c r="AA5862">
        <v>9</v>
      </c>
      <c r="AB5862">
        <v>2.9908700000000001</v>
      </c>
      <c r="AC5862">
        <v>0.1125835</v>
      </c>
      <c r="AD5862">
        <v>2.1993809999999998</v>
      </c>
      <c r="AE5862">
        <v>0.44872319999999999</v>
      </c>
      <c r="AF5862">
        <v>365.8193</v>
      </c>
      <c r="AG5862">
        <f>IFERROR(AH5862*0.1, "N/A")</f>
        <v>5.7468159999999999</v>
      </c>
      <c r="AH5862">
        <v>57.468159999999997</v>
      </c>
      <c r="AI5862">
        <v>181.51580000000001</v>
      </c>
      <c r="AJ5862">
        <v>21.294319999999999</v>
      </c>
      <c r="AK5862">
        <v>47.094659999999998</v>
      </c>
    </row>
    <row r="5863" spans="1:37" x14ac:dyDescent="0.3">
      <c r="A5863">
        <v>5862</v>
      </c>
      <c r="B5863">
        <v>1.5</v>
      </c>
      <c r="C5863">
        <v>-8.1620000000000008</v>
      </c>
      <c r="D5863">
        <v>11.169</v>
      </c>
      <c r="E5863">
        <f>-8.162-11.169</f>
        <v>-19.331000000000003</v>
      </c>
      <c r="F5863" t="s">
        <v>9299</v>
      </c>
      <c r="G5863" t="s">
        <v>37</v>
      </c>
      <c r="H5863">
        <v>1987</v>
      </c>
      <c r="I5863">
        <v>27</v>
      </c>
      <c r="J5863">
        <v>14.9</v>
      </c>
      <c r="K5863">
        <v>62</v>
      </c>
      <c r="L5863">
        <v>19.649999999999999</v>
      </c>
      <c r="M5863">
        <v>38.200000000000003</v>
      </c>
      <c r="N5863">
        <v>14.5</v>
      </c>
      <c r="O5863">
        <v>23.7</v>
      </c>
      <c r="P5863">
        <v>25.8</v>
      </c>
      <c r="Q5863">
        <v>25.3</v>
      </c>
      <c r="R5863">
        <v>30</v>
      </c>
      <c r="S5863">
        <v>25</v>
      </c>
      <c r="T5863">
        <v>1165</v>
      </c>
      <c r="U5863">
        <v>301</v>
      </c>
      <c r="V5863">
        <v>0</v>
      </c>
      <c r="W5863">
        <v>105</v>
      </c>
      <c r="X5863">
        <v>766</v>
      </c>
      <c r="Y5863">
        <v>2</v>
      </c>
      <c r="Z5863">
        <v>144</v>
      </c>
      <c r="AA5863">
        <v>9</v>
      </c>
      <c r="AB5863">
        <v>2.9908700000000001</v>
      </c>
      <c r="AC5863">
        <v>0.1125835</v>
      </c>
      <c r="AD5863">
        <v>2.1993809999999998</v>
      </c>
      <c r="AE5863">
        <v>0.44872319999999999</v>
      </c>
      <c r="AF5863">
        <v>365.8193</v>
      </c>
      <c r="AG5863">
        <f>IFERROR(AH5863*0.1, "N/A")</f>
        <v>5.7468159999999999</v>
      </c>
      <c r="AH5863">
        <v>57.468159999999997</v>
      </c>
      <c r="AI5863">
        <v>181.51580000000001</v>
      </c>
      <c r="AJ5863">
        <v>21.294319999999999</v>
      </c>
      <c r="AK5863">
        <v>47.094659999999998</v>
      </c>
    </row>
    <row r="5864" spans="1:37" x14ac:dyDescent="0.3">
      <c r="A5864">
        <v>5863</v>
      </c>
      <c r="B5864">
        <v>6.6</v>
      </c>
      <c r="C5864">
        <v>-8.15</v>
      </c>
      <c r="D5864">
        <v>11.183299999999999</v>
      </c>
      <c r="E5864">
        <f>-8.15-11.1833</f>
        <v>-19.333300000000001</v>
      </c>
      <c r="F5864" t="s">
        <v>9300</v>
      </c>
      <c r="G5864" t="s">
        <v>39</v>
      </c>
      <c r="H5864">
        <v>1975</v>
      </c>
      <c r="I5864">
        <v>27</v>
      </c>
      <c r="J5864">
        <v>14.815580000000001</v>
      </c>
      <c r="K5864">
        <v>62.155819999999999</v>
      </c>
      <c r="L5864">
        <v>19.792120000000001</v>
      </c>
      <c r="M5864">
        <v>38.200000000000003</v>
      </c>
      <c r="N5864">
        <v>14.51558</v>
      </c>
      <c r="O5864">
        <v>23.684419999999999</v>
      </c>
      <c r="P5864">
        <v>25.7</v>
      </c>
      <c r="Q5864">
        <v>25.315580000000001</v>
      </c>
      <c r="R5864">
        <v>30</v>
      </c>
      <c r="S5864">
        <v>25</v>
      </c>
      <c r="T5864">
        <v>1161.652</v>
      </c>
      <c r="U5864">
        <v>300</v>
      </c>
      <c r="V5864">
        <v>0</v>
      </c>
      <c r="W5864">
        <v>106</v>
      </c>
      <c r="X5864">
        <v>763</v>
      </c>
      <c r="Y5864">
        <v>2</v>
      </c>
      <c r="Z5864">
        <v>144.3082</v>
      </c>
      <c r="AA5864">
        <v>9</v>
      </c>
      <c r="AB5864">
        <v>3.4071829999999999</v>
      </c>
      <c r="AC5864">
        <v>9.9113329999999996E-3</v>
      </c>
      <c r="AD5864">
        <v>1.2944199999999999</v>
      </c>
      <c r="AE5864">
        <v>0.63427909999999998</v>
      </c>
      <c r="AF5864">
        <v>357.79109999999997</v>
      </c>
      <c r="AG5864">
        <f>IFERROR(AH5864*0.1, "N/A")</f>
        <v>5.5623290000000001</v>
      </c>
      <c r="AH5864">
        <v>55.623289999999997</v>
      </c>
      <c r="AI5864">
        <v>137.13640000000001</v>
      </c>
      <c r="AJ5864">
        <v>22.155819999999999</v>
      </c>
      <c r="AK5864">
        <v>47</v>
      </c>
    </row>
    <row r="5865" spans="1:37" x14ac:dyDescent="0.3">
      <c r="A5865">
        <v>5864</v>
      </c>
      <c r="B5865">
        <v>1.1000000000000001</v>
      </c>
      <c r="C5865">
        <v>-8.15</v>
      </c>
      <c r="D5865">
        <v>11.183299999999999</v>
      </c>
      <c r="E5865">
        <f>-8.15-11.1833</f>
        <v>-19.333300000000001</v>
      </c>
      <c r="F5865" t="s">
        <v>9301</v>
      </c>
      <c r="G5865" t="s">
        <v>37</v>
      </c>
      <c r="H5865">
        <v>1975</v>
      </c>
      <c r="I5865">
        <v>27</v>
      </c>
      <c r="J5865">
        <v>14.815580000000001</v>
      </c>
      <c r="K5865">
        <v>62.155819999999999</v>
      </c>
      <c r="L5865">
        <v>19.792120000000001</v>
      </c>
      <c r="M5865">
        <v>38.200000000000003</v>
      </c>
      <c r="N5865">
        <v>14.51558</v>
      </c>
      <c r="O5865">
        <v>23.684419999999999</v>
      </c>
      <c r="P5865">
        <v>25.7</v>
      </c>
      <c r="Q5865">
        <v>25.315580000000001</v>
      </c>
      <c r="R5865">
        <v>30</v>
      </c>
      <c r="S5865">
        <v>25</v>
      </c>
      <c r="T5865">
        <v>1161.652</v>
      </c>
      <c r="U5865">
        <v>300</v>
      </c>
      <c r="V5865">
        <v>0</v>
      </c>
      <c r="W5865">
        <v>106</v>
      </c>
      <c r="X5865">
        <v>763</v>
      </c>
      <c r="Y5865">
        <v>2</v>
      </c>
      <c r="Z5865">
        <v>144.3082</v>
      </c>
      <c r="AA5865">
        <v>9</v>
      </c>
      <c r="AB5865">
        <v>3.4071829999999999</v>
      </c>
      <c r="AC5865">
        <v>9.9113329999999996E-3</v>
      </c>
      <c r="AD5865">
        <v>1.2944199999999999</v>
      </c>
      <c r="AE5865">
        <v>0.63427909999999998</v>
      </c>
      <c r="AF5865">
        <v>357.79109999999997</v>
      </c>
      <c r="AG5865">
        <f>IFERROR(AH5865*0.1, "N/A")</f>
        <v>5.5623290000000001</v>
      </c>
      <c r="AH5865">
        <v>55.623289999999997</v>
      </c>
      <c r="AI5865">
        <v>137.13640000000001</v>
      </c>
      <c r="AJ5865">
        <v>22.155819999999999</v>
      </c>
      <c r="AK5865">
        <v>47</v>
      </c>
    </row>
    <row r="5866" spans="1:37" x14ac:dyDescent="0.3">
      <c r="A5866">
        <v>5865</v>
      </c>
      <c r="B5866">
        <v>2.1</v>
      </c>
      <c r="C5866">
        <v>-7.1099100000000002</v>
      </c>
      <c r="D5866">
        <v>11.1972</v>
      </c>
      <c r="E5866">
        <f>-7.10991-11.1972</f>
        <v>-18.307110000000002</v>
      </c>
      <c r="F5866" t="s">
        <v>9302</v>
      </c>
      <c r="G5866" t="s">
        <v>39</v>
      </c>
      <c r="H5866">
        <v>1990</v>
      </c>
      <c r="I5866">
        <v>26.9</v>
      </c>
      <c r="J5866">
        <v>13.4</v>
      </c>
      <c r="K5866">
        <v>61</v>
      </c>
      <c r="L5866">
        <v>19.440000000000001</v>
      </c>
      <c r="M5866">
        <v>37.1</v>
      </c>
      <c r="N5866">
        <v>15.2</v>
      </c>
      <c r="O5866">
        <v>21.9</v>
      </c>
      <c r="P5866">
        <v>25.6</v>
      </c>
      <c r="Q5866">
        <v>25.3</v>
      </c>
      <c r="R5866">
        <v>29.7</v>
      </c>
      <c r="S5866">
        <v>24.8</v>
      </c>
      <c r="T5866">
        <v>1049</v>
      </c>
      <c r="U5866">
        <v>286</v>
      </c>
      <c r="V5866">
        <v>1</v>
      </c>
      <c r="W5866">
        <v>108</v>
      </c>
      <c r="X5866">
        <v>699</v>
      </c>
      <c r="Y5866">
        <v>4</v>
      </c>
      <c r="Z5866">
        <v>129</v>
      </c>
      <c r="AA5866">
        <v>12</v>
      </c>
      <c r="AB5866">
        <v>4.5196930000000002</v>
      </c>
      <c r="AC5866">
        <v>1.6575599999999999E-2</v>
      </c>
      <c r="AD5866">
        <v>1.5126029999999999</v>
      </c>
      <c r="AE5866">
        <v>0.68193029999999999</v>
      </c>
      <c r="AF5866">
        <v>369.68150000000003</v>
      </c>
      <c r="AG5866">
        <f>IFERROR(AH5866*0.1, "N/A")</f>
        <v>5.5</v>
      </c>
      <c r="AH5866">
        <v>55</v>
      </c>
      <c r="AI5866">
        <v>219.21559999999999</v>
      </c>
      <c r="AJ5866">
        <v>16.996580000000002</v>
      </c>
      <c r="AK5866">
        <v>53.323630000000001</v>
      </c>
    </row>
    <row r="5867" spans="1:37" x14ac:dyDescent="0.3">
      <c r="A5867">
        <v>5866</v>
      </c>
      <c r="B5867">
        <v>0.5</v>
      </c>
      <c r="C5867">
        <v>-7.1099100000000002</v>
      </c>
      <c r="D5867">
        <v>11.1972</v>
      </c>
      <c r="E5867">
        <f>-7.10991-11.1972</f>
        <v>-18.307110000000002</v>
      </c>
      <c r="F5867" t="s">
        <v>9303</v>
      </c>
      <c r="G5867" t="s">
        <v>37</v>
      </c>
      <c r="H5867">
        <v>1990</v>
      </c>
      <c r="I5867">
        <v>26.9</v>
      </c>
      <c r="J5867">
        <v>13.4</v>
      </c>
      <c r="K5867">
        <v>61</v>
      </c>
      <c r="L5867">
        <v>19.440000000000001</v>
      </c>
      <c r="M5867">
        <v>37.1</v>
      </c>
      <c r="N5867">
        <v>15.2</v>
      </c>
      <c r="O5867">
        <v>21.9</v>
      </c>
      <c r="P5867">
        <v>25.6</v>
      </c>
      <c r="Q5867">
        <v>25.3</v>
      </c>
      <c r="R5867">
        <v>29.7</v>
      </c>
      <c r="S5867">
        <v>24.8</v>
      </c>
      <c r="T5867">
        <v>1049</v>
      </c>
      <c r="U5867">
        <v>286</v>
      </c>
      <c r="V5867">
        <v>1</v>
      </c>
      <c r="W5867">
        <v>108</v>
      </c>
      <c r="X5867">
        <v>699</v>
      </c>
      <c r="Y5867">
        <v>4</v>
      </c>
      <c r="Z5867">
        <v>129</v>
      </c>
      <c r="AA5867">
        <v>12</v>
      </c>
      <c r="AB5867">
        <v>4.5196930000000002</v>
      </c>
      <c r="AC5867">
        <v>1.6575599999999999E-2</v>
      </c>
      <c r="AD5867">
        <v>1.5126029999999999</v>
      </c>
      <c r="AE5867">
        <v>0.68193029999999999</v>
      </c>
      <c r="AF5867">
        <v>369.68150000000003</v>
      </c>
      <c r="AG5867">
        <f>IFERROR(AH5867*0.1, "N/A")</f>
        <v>5.5</v>
      </c>
      <c r="AH5867">
        <v>55</v>
      </c>
      <c r="AI5867">
        <v>219.21559999999999</v>
      </c>
      <c r="AJ5867">
        <v>16.996580000000002</v>
      </c>
      <c r="AK5867">
        <v>53.323630000000001</v>
      </c>
    </row>
    <row r="5868" spans="1:37" x14ac:dyDescent="0.3">
      <c r="A5868">
        <v>5867</v>
      </c>
      <c r="B5868">
        <v>20</v>
      </c>
      <c r="C5868">
        <v>-8.4529999999999994</v>
      </c>
      <c r="D5868">
        <v>11.202</v>
      </c>
      <c r="E5868">
        <f>-8.453-11.202</f>
        <v>-19.655000000000001</v>
      </c>
      <c r="F5868" t="s">
        <v>9304</v>
      </c>
      <c r="G5868" t="s">
        <v>39</v>
      </c>
      <c r="H5868">
        <v>1987</v>
      </c>
      <c r="I5868">
        <v>27</v>
      </c>
      <c r="J5868">
        <v>15.6</v>
      </c>
      <c r="K5868">
        <v>63</v>
      </c>
      <c r="L5868">
        <v>19.75</v>
      </c>
      <c r="M5868">
        <v>38.700000000000003</v>
      </c>
      <c r="N5868">
        <v>14.2</v>
      </c>
      <c r="O5868">
        <v>24.5</v>
      </c>
      <c r="P5868">
        <v>25.8</v>
      </c>
      <c r="Q5868">
        <v>25.3</v>
      </c>
      <c r="R5868">
        <v>30</v>
      </c>
      <c r="S5868">
        <v>25</v>
      </c>
      <c r="T5868">
        <v>1213</v>
      </c>
      <c r="U5868">
        <v>308</v>
      </c>
      <c r="V5868">
        <v>0</v>
      </c>
      <c r="W5868">
        <v>105</v>
      </c>
      <c r="X5868">
        <v>794</v>
      </c>
      <c r="Y5868">
        <v>3</v>
      </c>
      <c r="Z5868">
        <v>144</v>
      </c>
      <c r="AA5868">
        <v>12</v>
      </c>
      <c r="AB5868">
        <v>6.5169280000000001</v>
      </c>
      <c r="AC5868">
        <v>0.1327342</v>
      </c>
      <c r="AD5868">
        <v>1.7962210000000001</v>
      </c>
      <c r="AE5868">
        <v>0.61824279999999998</v>
      </c>
      <c r="AF5868">
        <v>359.74529999999999</v>
      </c>
      <c r="AG5868">
        <f>IFERROR(AH5868*0.1, "N/A")</f>
        <v>5.6010260000000009</v>
      </c>
      <c r="AH5868">
        <v>56.010260000000002</v>
      </c>
      <c r="AI5868">
        <v>124.87560000000001</v>
      </c>
      <c r="AJ5868">
        <v>17.989740000000001</v>
      </c>
      <c r="AK5868">
        <v>59.010260000000002</v>
      </c>
    </row>
    <row r="5869" spans="1:37" x14ac:dyDescent="0.3">
      <c r="A5869">
        <v>5868</v>
      </c>
      <c r="B5869">
        <v>1</v>
      </c>
      <c r="C5869">
        <v>-8.4529999999999994</v>
      </c>
      <c r="D5869">
        <v>11.202</v>
      </c>
      <c r="E5869">
        <f>-8.453-11.202</f>
        <v>-19.655000000000001</v>
      </c>
      <c r="F5869" t="s">
        <v>9305</v>
      </c>
      <c r="G5869" t="s">
        <v>37</v>
      </c>
      <c r="H5869">
        <v>1987</v>
      </c>
      <c r="I5869">
        <v>27</v>
      </c>
      <c r="J5869">
        <v>15.6</v>
      </c>
      <c r="K5869">
        <v>63</v>
      </c>
      <c r="L5869">
        <v>19.75</v>
      </c>
      <c r="M5869">
        <v>38.700000000000003</v>
      </c>
      <c r="N5869">
        <v>14.2</v>
      </c>
      <c r="O5869">
        <v>24.5</v>
      </c>
      <c r="P5869">
        <v>25.8</v>
      </c>
      <c r="Q5869">
        <v>25.3</v>
      </c>
      <c r="R5869">
        <v>30</v>
      </c>
      <c r="S5869">
        <v>25</v>
      </c>
      <c r="T5869">
        <v>1213</v>
      </c>
      <c r="U5869">
        <v>308</v>
      </c>
      <c r="V5869">
        <v>0</v>
      </c>
      <c r="W5869">
        <v>105</v>
      </c>
      <c r="X5869">
        <v>794</v>
      </c>
      <c r="Y5869">
        <v>3</v>
      </c>
      <c r="Z5869">
        <v>144</v>
      </c>
      <c r="AA5869">
        <v>12</v>
      </c>
      <c r="AB5869">
        <v>6.5169280000000001</v>
      </c>
      <c r="AC5869">
        <v>0.1327342</v>
      </c>
      <c r="AD5869">
        <v>1.7962210000000001</v>
      </c>
      <c r="AE5869">
        <v>0.61824279999999998</v>
      </c>
      <c r="AF5869">
        <v>359.74529999999999</v>
      </c>
      <c r="AG5869">
        <f>IFERROR(AH5869*0.1, "N/A")</f>
        <v>5.6010260000000009</v>
      </c>
      <c r="AH5869">
        <v>56.010260000000002</v>
      </c>
      <c r="AI5869">
        <v>124.87560000000001</v>
      </c>
      <c r="AJ5869">
        <v>17.989740000000001</v>
      </c>
      <c r="AK5869">
        <v>59.010260000000002</v>
      </c>
    </row>
    <row r="5870" spans="1:37" x14ac:dyDescent="0.3">
      <c r="A5870">
        <v>5869</v>
      </c>
      <c r="B5870">
        <v>0.4</v>
      </c>
      <c r="C5870">
        <v>-7.0568999999999997</v>
      </c>
      <c r="D5870">
        <v>11.212199999999999</v>
      </c>
      <c r="E5870">
        <f>-7.0569-11.2122</f>
        <v>-18.269099999999998</v>
      </c>
      <c r="F5870" t="s">
        <v>9306</v>
      </c>
      <c r="G5870" t="s">
        <v>39</v>
      </c>
      <c r="H5870">
        <v>1990</v>
      </c>
      <c r="I5870">
        <v>27</v>
      </c>
      <c r="J5870">
        <v>13.4</v>
      </c>
      <c r="K5870">
        <v>60</v>
      </c>
      <c r="L5870">
        <v>19.43</v>
      </c>
      <c r="M5870">
        <v>37.200000000000003</v>
      </c>
      <c r="N5870">
        <v>15.2</v>
      </c>
      <c r="O5870">
        <v>22</v>
      </c>
      <c r="P5870">
        <v>25.7</v>
      </c>
      <c r="Q5870">
        <v>25.4</v>
      </c>
      <c r="R5870">
        <v>29.8</v>
      </c>
      <c r="S5870">
        <v>24.9</v>
      </c>
      <c r="T5870">
        <v>1048</v>
      </c>
      <c r="U5870">
        <v>285</v>
      </c>
      <c r="V5870">
        <v>1</v>
      </c>
      <c r="W5870">
        <v>108</v>
      </c>
      <c r="X5870">
        <v>696</v>
      </c>
      <c r="Y5870">
        <v>4</v>
      </c>
      <c r="Z5870">
        <v>130</v>
      </c>
      <c r="AA5870">
        <v>12</v>
      </c>
      <c r="AB5870">
        <v>13.28187</v>
      </c>
      <c r="AC5870">
        <v>1.026619E-2</v>
      </c>
      <c r="AD5870">
        <v>1.713012</v>
      </c>
      <c r="AE5870">
        <v>0.6869246</v>
      </c>
      <c r="AF5870">
        <v>350.89909999999998</v>
      </c>
      <c r="AG5870">
        <f>IFERROR(AH5870*0.1, "N/A")</f>
        <v>5.4820510000000002</v>
      </c>
      <c r="AH5870">
        <v>54.820509999999999</v>
      </c>
      <c r="AI5870">
        <v>179.43989999999999</v>
      </c>
      <c r="AJ5870">
        <v>18.020510000000002</v>
      </c>
      <c r="AK5870">
        <v>51.969230000000003</v>
      </c>
    </row>
    <row r="5871" spans="1:37" x14ac:dyDescent="0.3">
      <c r="A5871">
        <v>5870</v>
      </c>
      <c r="B5871">
        <v>0</v>
      </c>
      <c r="C5871">
        <v>-7.0568999999999997</v>
      </c>
      <c r="D5871">
        <v>11.212199999999999</v>
      </c>
      <c r="E5871">
        <f>-7.0569-11.2122</f>
        <v>-18.269099999999998</v>
      </c>
      <c r="F5871" t="s">
        <v>9307</v>
      </c>
      <c r="G5871" t="s">
        <v>37</v>
      </c>
      <c r="H5871">
        <v>1990</v>
      </c>
      <c r="I5871">
        <v>27</v>
      </c>
      <c r="J5871">
        <v>13.4</v>
      </c>
      <c r="K5871">
        <v>60</v>
      </c>
      <c r="L5871">
        <v>19.43</v>
      </c>
      <c r="M5871">
        <v>37.200000000000003</v>
      </c>
      <c r="N5871">
        <v>15.2</v>
      </c>
      <c r="O5871">
        <v>22</v>
      </c>
      <c r="P5871">
        <v>25.7</v>
      </c>
      <c r="Q5871">
        <v>25.4</v>
      </c>
      <c r="R5871">
        <v>29.8</v>
      </c>
      <c r="S5871">
        <v>24.9</v>
      </c>
      <c r="T5871">
        <v>1048</v>
      </c>
      <c r="U5871">
        <v>285</v>
      </c>
      <c r="V5871">
        <v>1</v>
      </c>
      <c r="W5871">
        <v>108</v>
      </c>
      <c r="X5871">
        <v>696</v>
      </c>
      <c r="Y5871">
        <v>4</v>
      </c>
      <c r="Z5871">
        <v>130</v>
      </c>
      <c r="AA5871">
        <v>12</v>
      </c>
      <c r="AB5871">
        <v>13.28187</v>
      </c>
      <c r="AC5871">
        <v>1.026619E-2</v>
      </c>
      <c r="AD5871">
        <v>1.713012</v>
      </c>
      <c r="AE5871">
        <v>0.6869246</v>
      </c>
      <c r="AF5871">
        <v>350.89909999999998</v>
      </c>
      <c r="AG5871">
        <f>IFERROR(AH5871*0.1, "N/A")</f>
        <v>5.4820510000000002</v>
      </c>
      <c r="AH5871">
        <v>54.820509999999999</v>
      </c>
      <c r="AI5871">
        <v>179.43989999999999</v>
      </c>
      <c r="AJ5871">
        <v>18.020510000000002</v>
      </c>
      <c r="AK5871">
        <v>51.969230000000003</v>
      </c>
    </row>
    <row r="5872" spans="1:37" x14ac:dyDescent="0.3">
      <c r="A5872">
        <v>5871</v>
      </c>
      <c r="B5872">
        <v>1.7</v>
      </c>
      <c r="C5872">
        <v>-8.234</v>
      </c>
      <c r="D5872">
        <v>11.217000000000001</v>
      </c>
      <c r="E5872">
        <f>-8.234-11.217</f>
        <v>-19.451000000000001</v>
      </c>
      <c r="F5872" t="s">
        <v>9308</v>
      </c>
      <c r="G5872" t="s">
        <v>39</v>
      </c>
      <c r="H5872">
        <v>1987</v>
      </c>
      <c r="I5872">
        <v>27</v>
      </c>
      <c r="J5872">
        <v>15</v>
      </c>
      <c r="K5872">
        <v>62.958970000000001</v>
      </c>
      <c r="L5872">
        <v>19.826560000000001</v>
      </c>
      <c r="M5872">
        <v>38.204099999999997</v>
      </c>
      <c r="N5872">
        <v>14.495900000000001</v>
      </c>
      <c r="O5872">
        <v>23.708210000000001</v>
      </c>
      <c r="P5872">
        <v>25.7</v>
      </c>
      <c r="Q5872">
        <v>25.3</v>
      </c>
      <c r="R5872">
        <v>29.9041</v>
      </c>
      <c r="S5872">
        <v>25</v>
      </c>
      <c r="T5872">
        <v>1171.9179999999999</v>
      </c>
      <c r="U5872">
        <v>302.959</v>
      </c>
      <c r="V5872">
        <v>0</v>
      </c>
      <c r="W5872">
        <v>105.959</v>
      </c>
      <c r="X5872">
        <v>769.91790000000003</v>
      </c>
      <c r="Y5872">
        <v>3</v>
      </c>
      <c r="Z5872">
        <v>143.041</v>
      </c>
      <c r="AA5872">
        <v>10</v>
      </c>
      <c r="AB5872">
        <v>24.54034</v>
      </c>
      <c r="AC5872">
        <v>1.2574460000000001E-2</v>
      </c>
      <c r="AD5872">
        <v>2.0940539999999999</v>
      </c>
      <c r="AE5872">
        <v>0.3349666</v>
      </c>
      <c r="AF5872">
        <v>375.24959999999999</v>
      </c>
      <c r="AG5872">
        <f>IFERROR(AH5872*0.1, "N/A")</f>
        <v>6</v>
      </c>
      <c r="AH5872">
        <v>60</v>
      </c>
      <c r="AI5872">
        <v>187.1857</v>
      </c>
      <c r="AJ5872">
        <v>22</v>
      </c>
      <c r="AK5872">
        <v>50</v>
      </c>
    </row>
    <row r="5873" spans="1:37" x14ac:dyDescent="0.3">
      <c r="A5873">
        <v>5872</v>
      </c>
      <c r="B5873">
        <v>0</v>
      </c>
      <c r="C5873">
        <v>-8.234</v>
      </c>
      <c r="D5873">
        <v>11.217000000000001</v>
      </c>
      <c r="E5873">
        <f>-8.234-11.217</f>
        <v>-19.451000000000001</v>
      </c>
      <c r="F5873" t="s">
        <v>9309</v>
      </c>
      <c r="G5873" t="s">
        <v>37</v>
      </c>
      <c r="H5873">
        <v>1987</v>
      </c>
      <c r="I5873">
        <v>27</v>
      </c>
      <c r="J5873">
        <v>15</v>
      </c>
      <c r="K5873">
        <v>62.958970000000001</v>
      </c>
      <c r="L5873">
        <v>19.826560000000001</v>
      </c>
      <c r="M5873">
        <v>38.204099999999997</v>
      </c>
      <c r="N5873">
        <v>14.495900000000001</v>
      </c>
      <c r="O5873">
        <v>23.708210000000001</v>
      </c>
      <c r="P5873">
        <v>25.7</v>
      </c>
      <c r="Q5873">
        <v>25.3</v>
      </c>
      <c r="R5873">
        <v>29.9041</v>
      </c>
      <c r="S5873">
        <v>25</v>
      </c>
      <c r="T5873">
        <v>1171.9179999999999</v>
      </c>
      <c r="U5873">
        <v>302.959</v>
      </c>
      <c r="V5873">
        <v>0</v>
      </c>
      <c r="W5873">
        <v>105.959</v>
      </c>
      <c r="X5873">
        <v>769.91790000000003</v>
      </c>
      <c r="Y5873">
        <v>3</v>
      </c>
      <c r="Z5873">
        <v>143.041</v>
      </c>
      <c r="AA5873">
        <v>10</v>
      </c>
      <c r="AB5873">
        <v>24.54034</v>
      </c>
      <c r="AC5873">
        <v>1.2574460000000001E-2</v>
      </c>
      <c r="AD5873">
        <v>2.0940539999999999</v>
      </c>
      <c r="AE5873">
        <v>0.3349666</v>
      </c>
      <c r="AF5873">
        <v>375.24959999999999</v>
      </c>
      <c r="AG5873">
        <f>IFERROR(AH5873*0.1, "N/A")</f>
        <v>6</v>
      </c>
      <c r="AH5873">
        <v>60</v>
      </c>
      <c r="AI5873">
        <v>187.1857</v>
      </c>
      <c r="AJ5873">
        <v>22</v>
      </c>
      <c r="AK5873">
        <v>50</v>
      </c>
    </row>
    <row r="5874" spans="1:37" x14ac:dyDescent="0.3">
      <c r="A5874">
        <v>5873</v>
      </c>
      <c r="B5874">
        <v>0</v>
      </c>
      <c r="C5874">
        <v>-7.4865500000000003</v>
      </c>
      <c r="D5874">
        <v>11.2234</v>
      </c>
      <c r="E5874">
        <f>-7.48655-11.2234</f>
        <v>-18.709949999999999</v>
      </c>
      <c r="F5874" t="s">
        <v>9310</v>
      </c>
      <c r="G5874" t="s">
        <v>39</v>
      </c>
      <c r="H5874">
        <v>1978</v>
      </c>
      <c r="I5874">
        <v>27</v>
      </c>
      <c r="J5874">
        <v>13.6</v>
      </c>
      <c r="K5874">
        <v>61</v>
      </c>
      <c r="L5874">
        <v>19.5</v>
      </c>
      <c r="M5874">
        <v>37.299999999999997</v>
      </c>
      <c r="N5874">
        <v>15.2</v>
      </c>
      <c r="O5874">
        <v>22.1</v>
      </c>
      <c r="P5874">
        <v>25.7</v>
      </c>
      <c r="Q5874">
        <v>25.4</v>
      </c>
      <c r="R5874">
        <v>29.9</v>
      </c>
      <c r="S5874">
        <v>24.9</v>
      </c>
      <c r="T5874">
        <v>1105</v>
      </c>
      <c r="U5874">
        <v>289</v>
      </c>
      <c r="V5874">
        <v>0</v>
      </c>
      <c r="W5874">
        <v>106</v>
      </c>
      <c r="X5874">
        <v>730</v>
      </c>
      <c r="Y5874">
        <v>2</v>
      </c>
      <c r="Z5874">
        <v>145</v>
      </c>
      <c r="AA5874">
        <v>10</v>
      </c>
      <c r="AB5874">
        <v>5.2216680000000002</v>
      </c>
      <c r="AC5874">
        <v>0.2044628</v>
      </c>
      <c r="AD5874">
        <v>1.9121980000000001</v>
      </c>
      <c r="AE5874">
        <v>0.67125710000000005</v>
      </c>
      <c r="AF5874">
        <v>344.36180000000002</v>
      </c>
      <c r="AG5874">
        <f>IFERROR(AH5874*0.1, "N/A")</f>
        <v>5.6000000000000005</v>
      </c>
      <c r="AH5874">
        <v>56</v>
      </c>
      <c r="AI5874">
        <v>170.4025</v>
      </c>
      <c r="AJ5874">
        <v>18</v>
      </c>
      <c r="AK5874">
        <v>50</v>
      </c>
    </row>
    <row r="5875" spans="1:37" x14ac:dyDescent="0.3">
      <c r="A5875">
        <v>5874</v>
      </c>
      <c r="B5875">
        <v>0</v>
      </c>
      <c r="C5875">
        <v>-7.4865500000000003</v>
      </c>
      <c r="D5875">
        <v>11.2234</v>
      </c>
      <c r="E5875">
        <f>-7.48655-11.2234</f>
        <v>-18.709949999999999</v>
      </c>
      <c r="F5875" t="s">
        <v>9311</v>
      </c>
      <c r="G5875" t="s">
        <v>37</v>
      </c>
      <c r="H5875">
        <v>1978</v>
      </c>
      <c r="I5875">
        <v>27</v>
      </c>
      <c r="J5875">
        <v>13.6</v>
      </c>
      <c r="K5875">
        <v>61</v>
      </c>
      <c r="L5875">
        <v>19.5</v>
      </c>
      <c r="M5875">
        <v>37.299999999999997</v>
      </c>
      <c r="N5875">
        <v>15.2</v>
      </c>
      <c r="O5875">
        <v>22.1</v>
      </c>
      <c r="P5875">
        <v>25.7</v>
      </c>
      <c r="Q5875">
        <v>25.4</v>
      </c>
      <c r="R5875">
        <v>29.9</v>
      </c>
      <c r="S5875">
        <v>24.9</v>
      </c>
      <c r="T5875">
        <v>1105</v>
      </c>
      <c r="U5875">
        <v>289</v>
      </c>
      <c r="V5875">
        <v>0</v>
      </c>
      <c r="W5875">
        <v>106</v>
      </c>
      <c r="X5875">
        <v>730</v>
      </c>
      <c r="Y5875">
        <v>2</v>
      </c>
      <c r="Z5875">
        <v>145</v>
      </c>
      <c r="AA5875">
        <v>10</v>
      </c>
      <c r="AB5875">
        <v>5.2216680000000002</v>
      </c>
      <c r="AC5875">
        <v>0.2044628</v>
      </c>
      <c r="AD5875">
        <v>1.9121980000000001</v>
      </c>
      <c r="AE5875">
        <v>0.67125710000000005</v>
      </c>
      <c r="AF5875">
        <v>344.36180000000002</v>
      </c>
      <c r="AG5875">
        <f>IFERROR(AH5875*0.1, "N/A")</f>
        <v>5.6000000000000005</v>
      </c>
      <c r="AH5875">
        <v>56</v>
      </c>
      <c r="AI5875">
        <v>170.4025</v>
      </c>
      <c r="AJ5875">
        <v>18</v>
      </c>
      <c r="AK5875">
        <v>50</v>
      </c>
    </row>
    <row r="5876" spans="1:37" x14ac:dyDescent="0.3">
      <c r="A5876">
        <v>5875</v>
      </c>
      <c r="B5876">
        <v>3.2</v>
      </c>
      <c r="C5876">
        <v>-8.2355499999999999</v>
      </c>
      <c r="D5876">
        <v>11.2281</v>
      </c>
      <c r="E5876">
        <f>-8.23555-11.2281</f>
        <v>-19.463650000000001</v>
      </c>
      <c r="F5876" t="s">
        <v>9312</v>
      </c>
      <c r="G5876" t="s">
        <v>39</v>
      </c>
      <c r="H5876">
        <v>1975</v>
      </c>
      <c r="I5876">
        <v>27</v>
      </c>
      <c r="J5876">
        <v>15</v>
      </c>
      <c r="K5876">
        <v>62</v>
      </c>
      <c r="L5876">
        <v>19.93</v>
      </c>
      <c r="M5876">
        <v>38.299999999999997</v>
      </c>
      <c r="N5876">
        <v>14.4</v>
      </c>
      <c r="O5876">
        <v>23.9</v>
      </c>
      <c r="P5876">
        <v>25.7</v>
      </c>
      <c r="Q5876">
        <v>25.3</v>
      </c>
      <c r="R5876">
        <v>30</v>
      </c>
      <c r="S5876">
        <v>25</v>
      </c>
      <c r="T5876">
        <v>1168</v>
      </c>
      <c r="U5876">
        <v>302</v>
      </c>
      <c r="V5876">
        <v>0</v>
      </c>
      <c r="W5876">
        <v>106</v>
      </c>
      <c r="X5876">
        <v>768</v>
      </c>
      <c r="Y5876">
        <v>3</v>
      </c>
      <c r="Z5876">
        <v>142</v>
      </c>
      <c r="AA5876">
        <v>10</v>
      </c>
      <c r="AB5876">
        <v>3.9250440000000002</v>
      </c>
      <c r="AC5876">
        <v>0.20776020000000001</v>
      </c>
      <c r="AD5876">
        <v>1.9629300000000001</v>
      </c>
      <c r="AE5876">
        <v>0.35663260000000002</v>
      </c>
      <c r="AF5876">
        <v>368.07380000000001</v>
      </c>
      <c r="AG5876">
        <f>IFERROR(AH5876*0.1, "N/A")</f>
        <v>5.8809610000000001</v>
      </c>
      <c r="AH5876">
        <v>58.809609999999999</v>
      </c>
      <c r="AI5876">
        <v>164.8587</v>
      </c>
      <c r="AJ5876">
        <v>20.941680000000002</v>
      </c>
      <c r="AK5876">
        <v>47.620930000000001</v>
      </c>
    </row>
    <row r="5877" spans="1:37" x14ac:dyDescent="0.3">
      <c r="A5877">
        <v>5876</v>
      </c>
      <c r="B5877">
        <v>0</v>
      </c>
      <c r="C5877">
        <v>-8.2355499999999999</v>
      </c>
      <c r="D5877">
        <v>11.2281</v>
      </c>
      <c r="E5877">
        <f>-8.23555-11.2281</f>
        <v>-19.463650000000001</v>
      </c>
      <c r="F5877" t="s">
        <v>9313</v>
      </c>
      <c r="G5877" t="s">
        <v>37</v>
      </c>
      <c r="H5877">
        <v>1975</v>
      </c>
      <c r="I5877">
        <v>27</v>
      </c>
      <c r="J5877">
        <v>15</v>
      </c>
      <c r="K5877">
        <v>62</v>
      </c>
      <c r="L5877">
        <v>19.93</v>
      </c>
      <c r="M5877">
        <v>38.299999999999997</v>
      </c>
      <c r="N5877">
        <v>14.4</v>
      </c>
      <c r="O5877">
        <v>23.9</v>
      </c>
      <c r="P5877">
        <v>25.7</v>
      </c>
      <c r="Q5877">
        <v>25.3</v>
      </c>
      <c r="R5877">
        <v>30</v>
      </c>
      <c r="S5877">
        <v>25</v>
      </c>
      <c r="T5877">
        <v>1168</v>
      </c>
      <c r="U5877">
        <v>302</v>
      </c>
      <c r="V5877">
        <v>0</v>
      </c>
      <c r="W5877">
        <v>106</v>
      </c>
      <c r="X5877">
        <v>768</v>
      </c>
      <c r="Y5877">
        <v>3</v>
      </c>
      <c r="Z5877">
        <v>142</v>
      </c>
      <c r="AA5877">
        <v>10</v>
      </c>
      <c r="AB5877">
        <v>3.9250440000000002</v>
      </c>
      <c r="AC5877">
        <v>0.20776020000000001</v>
      </c>
      <c r="AD5877">
        <v>1.9629300000000001</v>
      </c>
      <c r="AE5877">
        <v>0.35663260000000002</v>
      </c>
      <c r="AF5877">
        <v>368.07380000000001</v>
      </c>
      <c r="AG5877">
        <f>IFERROR(AH5877*0.1, "N/A")</f>
        <v>5.8809610000000001</v>
      </c>
      <c r="AH5877">
        <v>58.809609999999999</v>
      </c>
      <c r="AI5877">
        <v>164.8587</v>
      </c>
      <c r="AJ5877">
        <v>20.941680000000002</v>
      </c>
      <c r="AK5877">
        <v>47.620930000000001</v>
      </c>
    </row>
    <row r="5878" spans="1:37" x14ac:dyDescent="0.3">
      <c r="A5878">
        <v>5877</v>
      </c>
      <c r="B5878">
        <v>66.7</v>
      </c>
      <c r="C5878">
        <v>-6.6585999999999999</v>
      </c>
      <c r="D5878">
        <v>11.246700000000001</v>
      </c>
      <c r="E5878">
        <f>-6.6586-11.2467</f>
        <v>-17.9053</v>
      </c>
      <c r="F5878" t="s">
        <v>9314</v>
      </c>
      <c r="G5878" t="s">
        <v>39</v>
      </c>
      <c r="H5878">
        <v>1978</v>
      </c>
      <c r="I5878">
        <v>27.173459999999999</v>
      </c>
      <c r="J5878">
        <v>13.4</v>
      </c>
      <c r="K5878">
        <v>60</v>
      </c>
      <c r="L5878">
        <v>19.82488</v>
      </c>
      <c r="M5878">
        <v>37.27346</v>
      </c>
      <c r="N5878">
        <v>15.12654</v>
      </c>
      <c r="O5878">
        <v>22.146920000000001</v>
      </c>
      <c r="P5878">
        <v>25.973459999999999</v>
      </c>
      <c r="Q5878">
        <v>25.3</v>
      </c>
      <c r="R5878">
        <v>30.073460000000001</v>
      </c>
      <c r="S5878">
        <v>25</v>
      </c>
      <c r="T5878">
        <v>1051.5309999999999</v>
      </c>
      <c r="U5878">
        <v>278</v>
      </c>
      <c r="V5878">
        <v>1.2654110000000001</v>
      </c>
      <c r="W5878">
        <v>105</v>
      </c>
      <c r="X5878">
        <v>684</v>
      </c>
      <c r="Y5878">
        <v>6.2654110000000003</v>
      </c>
      <c r="Z5878">
        <v>135</v>
      </c>
      <c r="AA5878">
        <v>14.265409999999999</v>
      </c>
      <c r="AB5878">
        <v>4.0078870000000002</v>
      </c>
      <c r="AC5878">
        <v>5.2504149999999999E-2</v>
      </c>
      <c r="AD5878">
        <v>1.898585</v>
      </c>
      <c r="AE5878">
        <v>0.53581120000000004</v>
      </c>
      <c r="AF5878">
        <v>341.52569999999997</v>
      </c>
      <c r="AG5878">
        <f>IFERROR(AH5878*0.1, "N/A")</f>
        <v>5.7690070000000002</v>
      </c>
      <c r="AH5878">
        <v>57.690069999999999</v>
      </c>
      <c r="AI5878">
        <v>117.93859999999999</v>
      </c>
      <c r="AJ5878">
        <v>19.063359999999999</v>
      </c>
      <c r="AK5878">
        <v>53.892119999999998</v>
      </c>
    </row>
    <row r="5879" spans="1:37" x14ac:dyDescent="0.3">
      <c r="A5879">
        <v>5878</v>
      </c>
      <c r="B5879">
        <v>13.5</v>
      </c>
      <c r="C5879">
        <v>-8.4499999999999993</v>
      </c>
      <c r="D5879">
        <v>11.25</v>
      </c>
      <c r="E5879">
        <f>-8.45-11.25</f>
        <v>-19.7</v>
      </c>
      <c r="F5879" t="s">
        <v>9315</v>
      </c>
      <c r="G5879" t="s">
        <v>39</v>
      </c>
      <c r="H5879">
        <v>1975</v>
      </c>
      <c r="I5879">
        <v>26.954280000000001</v>
      </c>
      <c r="J5879">
        <v>15.56969</v>
      </c>
      <c r="K5879">
        <v>63</v>
      </c>
      <c r="L5879">
        <v>19.660019999999999</v>
      </c>
      <c r="M5879">
        <v>38.570889999999999</v>
      </c>
      <c r="N5879">
        <v>14.17089</v>
      </c>
      <c r="O5879">
        <v>24.4</v>
      </c>
      <c r="P5879">
        <v>25.67089</v>
      </c>
      <c r="Q5879">
        <v>25.270890000000001</v>
      </c>
      <c r="R5879">
        <v>29.870889999999999</v>
      </c>
      <c r="S5879">
        <v>24.870889999999999</v>
      </c>
      <c r="T5879">
        <v>1206.902</v>
      </c>
      <c r="U5879">
        <v>309</v>
      </c>
      <c r="V5879">
        <v>0</v>
      </c>
      <c r="W5879">
        <v>106</v>
      </c>
      <c r="X5879">
        <v>793.14210000000003</v>
      </c>
      <c r="Y5879">
        <v>3</v>
      </c>
      <c r="Z5879">
        <v>140.6062</v>
      </c>
      <c r="AA5879">
        <v>12</v>
      </c>
      <c r="AB5879">
        <v>4.2674729999999998</v>
      </c>
      <c r="AC5879">
        <v>5.4214079999999998E-2</v>
      </c>
      <c r="AD5879">
        <v>2.2236410000000002</v>
      </c>
      <c r="AE5879">
        <v>0.3240537</v>
      </c>
      <c r="AF5879">
        <v>374.78769999999997</v>
      </c>
      <c r="AG5879">
        <f>IFERROR(AH5879*0.1, "N/A")</f>
        <v>5.5</v>
      </c>
      <c r="AH5879">
        <v>55</v>
      </c>
      <c r="AI5879">
        <v>72.493549999999999</v>
      </c>
      <c r="AJ5879">
        <v>17.84075</v>
      </c>
      <c r="AK5879">
        <v>60.022260000000003</v>
      </c>
    </row>
    <row r="5880" spans="1:37" x14ac:dyDescent="0.3">
      <c r="A5880">
        <v>5879</v>
      </c>
      <c r="B5880">
        <v>0</v>
      </c>
      <c r="C5880">
        <v>-8.4499999999999993</v>
      </c>
      <c r="D5880">
        <v>11.25</v>
      </c>
      <c r="E5880">
        <f>-8.45-11.25</f>
        <v>-19.7</v>
      </c>
      <c r="F5880" t="s">
        <v>9316</v>
      </c>
      <c r="G5880" t="s">
        <v>37</v>
      </c>
      <c r="H5880">
        <v>1975</v>
      </c>
      <c r="I5880">
        <v>26.954280000000001</v>
      </c>
      <c r="J5880">
        <v>15.56969</v>
      </c>
      <c r="K5880">
        <v>63</v>
      </c>
      <c r="L5880">
        <v>19.660019999999999</v>
      </c>
      <c r="M5880">
        <v>38.570889999999999</v>
      </c>
      <c r="N5880">
        <v>14.17089</v>
      </c>
      <c r="O5880">
        <v>24.4</v>
      </c>
      <c r="P5880">
        <v>25.67089</v>
      </c>
      <c r="Q5880">
        <v>25.270890000000001</v>
      </c>
      <c r="R5880">
        <v>29.870889999999999</v>
      </c>
      <c r="S5880">
        <v>24.870889999999999</v>
      </c>
      <c r="T5880">
        <v>1206.902</v>
      </c>
      <c r="U5880">
        <v>309</v>
      </c>
      <c r="V5880">
        <v>0</v>
      </c>
      <c r="W5880">
        <v>106</v>
      </c>
      <c r="X5880">
        <v>793.14210000000003</v>
      </c>
      <c r="Y5880">
        <v>3</v>
      </c>
      <c r="Z5880">
        <v>140.6062</v>
      </c>
      <c r="AA5880">
        <v>12</v>
      </c>
      <c r="AB5880">
        <v>4.2674729999999998</v>
      </c>
      <c r="AC5880">
        <v>5.4214079999999998E-2</v>
      </c>
      <c r="AD5880">
        <v>2.2236410000000002</v>
      </c>
      <c r="AE5880">
        <v>0.3240537</v>
      </c>
      <c r="AF5880">
        <v>374.78769999999997</v>
      </c>
      <c r="AG5880">
        <f>IFERROR(AH5880*0.1, "N/A")</f>
        <v>5.5</v>
      </c>
      <c r="AH5880">
        <v>55</v>
      </c>
      <c r="AI5880">
        <v>72.493549999999999</v>
      </c>
      <c r="AJ5880">
        <v>17.84075</v>
      </c>
      <c r="AK5880">
        <v>60.022260000000003</v>
      </c>
    </row>
    <row r="5881" spans="1:37" x14ac:dyDescent="0.3">
      <c r="A5881">
        <v>5880</v>
      </c>
      <c r="B5881">
        <v>1.3</v>
      </c>
      <c r="C5881">
        <v>-7.0813899999999999</v>
      </c>
      <c r="D5881">
        <v>11.2552</v>
      </c>
      <c r="E5881">
        <f>-7.08139-11.2552</f>
        <v>-18.336590000000001</v>
      </c>
      <c r="F5881" t="s">
        <v>9317</v>
      </c>
      <c r="G5881" t="s">
        <v>39</v>
      </c>
      <c r="H5881">
        <v>1990</v>
      </c>
      <c r="I5881">
        <v>26.8</v>
      </c>
      <c r="J5881">
        <v>13.3</v>
      </c>
      <c r="K5881">
        <v>60</v>
      </c>
      <c r="L5881">
        <v>19.36</v>
      </c>
      <c r="M5881">
        <v>37</v>
      </c>
      <c r="N5881">
        <v>15.1</v>
      </c>
      <c r="O5881">
        <v>21.9</v>
      </c>
      <c r="P5881">
        <v>25.6</v>
      </c>
      <c r="Q5881">
        <v>25.2</v>
      </c>
      <c r="R5881">
        <v>29.7</v>
      </c>
      <c r="S5881">
        <v>24.7</v>
      </c>
      <c r="T5881">
        <v>1041</v>
      </c>
      <c r="U5881">
        <v>285</v>
      </c>
      <c r="V5881">
        <v>1</v>
      </c>
      <c r="W5881">
        <v>109</v>
      </c>
      <c r="X5881">
        <v>696</v>
      </c>
      <c r="Y5881">
        <v>3</v>
      </c>
      <c r="Z5881">
        <v>126</v>
      </c>
      <c r="AA5881">
        <v>11</v>
      </c>
      <c r="AB5881">
        <v>7.0520560000000003</v>
      </c>
      <c r="AC5881">
        <v>0.12754399999999999</v>
      </c>
      <c r="AD5881">
        <v>1.0489980000000001</v>
      </c>
      <c r="AE5881">
        <v>0.65026379999999995</v>
      </c>
      <c r="AF5881">
        <v>380.9932</v>
      </c>
      <c r="AG5881">
        <f>IFERROR(AH5881*0.1, "N/A")</f>
        <v>5.5</v>
      </c>
      <c r="AH5881">
        <v>55</v>
      </c>
      <c r="AI5881">
        <v>186.4025</v>
      </c>
      <c r="AJ5881">
        <v>16.015360000000001</v>
      </c>
      <c r="AK5881">
        <v>56.421500000000002</v>
      </c>
    </row>
    <row r="5882" spans="1:37" x14ac:dyDescent="0.3">
      <c r="A5882">
        <v>5881</v>
      </c>
      <c r="B5882">
        <v>2.5</v>
      </c>
      <c r="C5882">
        <v>-7.0813899999999999</v>
      </c>
      <c r="D5882">
        <v>11.2552</v>
      </c>
      <c r="E5882">
        <f>-7.08139-11.2552</f>
        <v>-18.336590000000001</v>
      </c>
      <c r="F5882" t="s">
        <v>9318</v>
      </c>
      <c r="G5882" t="s">
        <v>37</v>
      </c>
      <c r="H5882">
        <v>1990</v>
      </c>
      <c r="I5882">
        <v>26.8</v>
      </c>
      <c r="J5882">
        <v>13.3</v>
      </c>
      <c r="K5882">
        <v>60</v>
      </c>
      <c r="L5882">
        <v>19.36</v>
      </c>
      <c r="M5882">
        <v>37</v>
      </c>
      <c r="N5882">
        <v>15.1</v>
      </c>
      <c r="O5882">
        <v>21.9</v>
      </c>
      <c r="P5882">
        <v>25.6</v>
      </c>
      <c r="Q5882">
        <v>25.2</v>
      </c>
      <c r="R5882">
        <v>29.7</v>
      </c>
      <c r="S5882">
        <v>24.7</v>
      </c>
      <c r="T5882">
        <v>1041</v>
      </c>
      <c r="U5882">
        <v>285</v>
      </c>
      <c r="V5882">
        <v>1</v>
      </c>
      <c r="W5882">
        <v>109</v>
      </c>
      <c r="X5882">
        <v>696</v>
      </c>
      <c r="Y5882">
        <v>3</v>
      </c>
      <c r="Z5882">
        <v>126</v>
      </c>
      <c r="AA5882">
        <v>11</v>
      </c>
      <c r="AB5882">
        <v>7.0520560000000003</v>
      </c>
      <c r="AC5882">
        <v>0.12754399999999999</v>
      </c>
      <c r="AD5882">
        <v>1.0489980000000001</v>
      </c>
      <c r="AE5882">
        <v>0.65026379999999995</v>
      </c>
      <c r="AF5882">
        <v>380.9932</v>
      </c>
      <c r="AG5882">
        <f>IFERROR(AH5882*0.1, "N/A")</f>
        <v>5.5</v>
      </c>
      <c r="AH5882">
        <v>55</v>
      </c>
      <c r="AI5882">
        <v>186.4025</v>
      </c>
      <c r="AJ5882">
        <v>16.015360000000001</v>
      </c>
      <c r="AK5882">
        <v>56.421500000000002</v>
      </c>
    </row>
    <row r="5883" spans="1:37" x14ac:dyDescent="0.3">
      <c r="A5883">
        <v>5882</v>
      </c>
      <c r="B5883">
        <v>1.1000000000000001</v>
      </c>
      <c r="C5883">
        <v>-8.4359999999999999</v>
      </c>
      <c r="D5883">
        <v>11.268000000000001</v>
      </c>
      <c r="E5883">
        <f>-8.436-11.268</f>
        <v>-19.704000000000001</v>
      </c>
      <c r="F5883" t="s">
        <v>9319</v>
      </c>
      <c r="G5883" t="s">
        <v>39</v>
      </c>
      <c r="H5883">
        <v>1987</v>
      </c>
      <c r="I5883">
        <v>27.1</v>
      </c>
      <c r="J5883">
        <v>15.5</v>
      </c>
      <c r="K5883">
        <v>63</v>
      </c>
      <c r="L5883">
        <v>19.78</v>
      </c>
      <c r="M5883">
        <v>38.6</v>
      </c>
      <c r="N5883">
        <v>14.3</v>
      </c>
      <c r="O5883">
        <v>24.3</v>
      </c>
      <c r="P5883">
        <v>25.8</v>
      </c>
      <c r="Q5883">
        <v>25.4</v>
      </c>
      <c r="R5883">
        <v>30</v>
      </c>
      <c r="S5883">
        <v>25</v>
      </c>
      <c r="T5883">
        <v>1200</v>
      </c>
      <c r="U5883">
        <v>308</v>
      </c>
      <c r="V5883">
        <v>0</v>
      </c>
      <c r="W5883">
        <v>105</v>
      </c>
      <c r="X5883">
        <v>789</v>
      </c>
      <c r="Y5883">
        <v>3</v>
      </c>
      <c r="Z5883">
        <v>140</v>
      </c>
      <c r="AA5883">
        <v>12</v>
      </c>
      <c r="AB5883">
        <v>8.8035979999999991</v>
      </c>
      <c r="AC5883">
        <v>1.859013E-2</v>
      </c>
      <c r="AD5883">
        <v>1.896463</v>
      </c>
      <c r="AE5883">
        <v>0.36499090000000001</v>
      </c>
      <c r="AF5883">
        <v>356.5222</v>
      </c>
      <c r="AG5883">
        <f>IFERROR(AH5883*0.1, "N/A")</f>
        <v>6.0856659999999998</v>
      </c>
      <c r="AH5883">
        <v>60.856659999999998</v>
      </c>
      <c r="AI5883">
        <v>56.555300000000003</v>
      </c>
      <c r="AJ5883">
        <v>22.42662</v>
      </c>
      <c r="AK5883">
        <v>47.143340000000002</v>
      </c>
    </row>
    <row r="5884" spans="1:37" x14ac:dyDescent="0.3">
      <c r="A5884">
        <v>5883</v>
      </c>
      <c r="B5884">
        <v>0</v>
      </c>
      <c r="C5884">
        <v>-8.4359999999999999</v>
      </c>
      <c r="D5884">
        <v>11.268000000000001</v>
      </c>
      <c r="E5884">
        <f>-8.436-11.268</f>
        <v>-19.704000000000001</v>
      </c>
      <c r="F5884" t="s">
        <v>9320</v>
      </c>
      <c r="G5884" t="s">
        <v>37</v>
      </c>
      <c r="H5884">
        <v>1987</v>
      </c>
      <c r="I5884">
        <v>27.1</v>
      </c>
      <c r="J5884">
        <v>15.5</v>
      </c>
      <c r="K5884">
        <v>63</v>
      </c>
      <c r="L5884">
        <v>19.78</v>
      </c>
      <c r="M5884">
        <v>38.6</v>
      </c>
      <c r="N5884">
        <v>14.3</v>
      </c>
      <c r="O5884">
        <v>24.3</v>
      </c>
      <c r="P5884">
        <v>25.8</v>
      </c>
      <c r="Q5884">
        <v>25.4</v>
      </c>
      <c r="R5884">
        <v>30</v>
      </c>
      <c r="S5884">
        <v>25</v>
      </c>
      <c r="T5884">
        <v>1200</v>
      </c>
      <c r="U5884">
        <v>308</v>
      </c>
      <c r="V5884">
        <v>0</v>
      </c>
      <c r="W5884">
        <v>105</v>
      </c>
      <c r="X5884">
        <v>789</v>
      </c>
      <c r="Y5884">
        <v>3</v>
      </c>
      <c r="Z5884">
        <v>140</v>
      </c>
      <c r="AA5884">
        <v>12</v>
      </c>
      <c r="AB5884">
        <v>8.8035979999999991</v>
      </c>
      <c r="AC5884">
        <v>1.859013E-2</v>
      </c>
      <c r="AD5884">
        <v>1.896463</v>
      </c>
      <c r="AE5884">
        <v>0.36499090000000001</v>
      </c>
      <c r="AF5884">
        <v>356.5222</v>
      </c>
      <c r="AG5884">
        <f>IFERROR(AH5884*0.1, "N/A")</f>
        <v>6.0856659999999998</v>
      </c>
      <c r="AH5884">
        <v>60.856659999999998</v>
      </c>
      <c r="AI5884">
        <v>56.555300000000003</v>
      </c>
      <c r="AJ5884">
        <v>22.42662</v>
      </c>
      <c r="AK5884">
        <v>47.143340000000002</v>
      </c>
    </row>
    <row r="5885" spans="1:37" x14ac:dyDescent="0.3">
      <c r="A5885">
        <v>5884</v>
      </c>
      <c r="B5885">
        <v>1.9</v>
      </c>
      <c r="C5885">
        <v>-8.25</v>
      </c>
      <c r="D5885">
        <v>11.283300000000001</v>
      </c>
      <c r="E5885">
        <f>-8.25-11.2833</f>
        <v>-19.533300000000001</v>
      </c>
      <c r="F5885" t="s">
        <v>9321</v>
      </c>
      <c r="G5885" t="s">
        <v>37</v>
      </c>
      <c r="H5885">
        <v>1989</v>
      </c>
      <c r="I5885">
        <v>27</v>
      </c>
      <c r="J5885">
        <v>15.1</v>
      </c>
      <c r="K5885">
        <v>63</v>
      </c>
      <c r="L5885">
        <v>19.94971</v>
      </c>
      <c r="M5885">
        <v>38.299999999999997</v>
      </c>
      <c r="N5885">
        <v>14.461919999999999</v>
      </c>
      <c r="O5885">
        <v>23.838080000000001</v>
      </c>
      <c r="P5885">
        <v>25.71407</v>
      </c>
      <c r="Q5885">
        <v>25.26587</v>
      </c>
      <c r="R5885">
        <v>30</v>
      </c>
      <c r="S5885">
        <v>24.961919999999999</v>
      </c>
      <c r="T5885">
        <v>1168.4010000000001</v>
      </c>
      <c r="U5885">
        <v>303</v>
      </c>
      <c r="V5885">
        <v>0</v>
      </c>
      <c r="W5885">
        <v>106</v>
      </c>
      <c r="X5885">
        <v>768.85929999999996</v>
      </c>
      <c r="Y5885">
        <v>3</v>
      </c>
      <c r="Z5885">
        <v>140.81989999999999</v>
      </c>
      <c r="AA5885">
        <v>10</v>
      </c>
      <c r="AB5885">
        <v>8.6519549999999992</v>
      </c>
      <c r="AC5885">
        <v>2.380556E-2</v>
      </c>
      <c r="AD5885">
        <v>2.163732</v>
      </c>
      <c r="AE5885">
        <v>0.56897430000000004</v>
      </c>
      <c r="AF5885">
        <v>369.67750000000001</v>
      </c>
      <c r="AG5885">
        <f>IFERROR(AH5885*0.1, "N/A")</f>
        <v>5.7602060000000002</v>
      </c>
      <c r="AH5885">
        <v>57.602060000000002</v>
      </c>
      <c r="AI5885">
        <v>91.637460000000004</v>
      </c>
      <c r="AJ5885">
        <v>17.008579999999998</v>
      </c>
      <c r="AK5885">
        <v>49.921100000000003</v>
      </c>
    </row>
    <row r="5886" spans="1:37" x14ac:dyDescent="0.3">
      <c r="A5886">
        <v>5885</v>
      </c>
      <c r="B5886">
        <v>4.5</v>
      </c>
      <c r="C5886">
        <v>-8.25</v>
      </c>
      <c r="D5886">
        <v>11.283300000000001</v>
      </c>
      <c r="E5886">
        <f>-8.25-11.2833</f>
        <v>-19.533300000000001</v>
      </c>
      <c r="F5886" t="s">
        <v>9322</v>
      </c>
      <c r="G5886" t="s">
        <v>39</v>
      </c>
      <c r="H5886">
        <v>1989</v>
      </c>
      <c r="I5886">
        <v>27</v>
      </c>
      <c r="J5886">
        <v>15.1</v>
      </c>
      <c r="K5886">
        <v>63</v>
      </c>
      <c r="L5886">
        <v>19.94971</v>
      </c>
      <c r="M5886">
        <v>38.299999999999997</v>
      </c>
      <c r="N5886">
        <v>14.461919999999999</v>
      </c>
      <c r="O5886">
        <v>23.838080000000001</v>
      </c>
      <c r="P5886">
        <v>25.71407</v>
      </c>
      <c r="Q5886">
        <v>25.26587</v>
      </c>
      <c r="R5886">
        <v>30</v>
      </c>
      <c r="S5886">
        <v>24.961919999999999</v>
      </c>
      <c r="T5886">
        <v>1168.4010000000001</v>
      </c>
      <c r="U5886">
        <v>303</v>
      </c>
      <c r="V5886">
        <v>0</v>
      </c>
      <c r="W5886">
        <v>106</v>
      </c>
      <c r="X5886">
        <v>768.85929999999996</v>
      </c>
      <c r="Y5886">
        <v>3</v>
      </c>
      <c r="Z5886">
        <v>140.81989999999999</v>
      </c>
      <c r="AA5886">
        <v>10</v>
      </c>
      <c r="AB5886">
        <v>8.6519549999999992</v>
      </c>
      <c r="AC5886">
        <v>2.380556E-2</v>
      </c>
      <c r="AD5886">
        <v>2.163732</v>
      </c>
      <c r="AE5886">
        <v>0.56897430000000004</v>
      </c>
      <c r="AF5886">
        <v>369.67750000000001</v>
      </c>
      <c r="AG5886">
        <f>IFERROR(AH5886*0.1, "N/A")</f>
        <v>5.7602060000000002</v>
      </c>
      <c r="AH5886">
        <v>57.602060000000002</v>
      </c>
      <c r="AI5886">
        <v>91.637460000000004</v>
      </c>
      <c r="AJ5886">
        <v>17.008579999999998</v>
      </c>
      <c r="AK5886">
        <v>49.921100000000003</v>
      </c>
    </row>
    <row r="5887" spans="1:37" x14ac:dyDescent="0.3">
      <c r="A5887">
        <v>5886</v>
      </c>
      <c r="B5887">
        <v>0</v>
      </c>
      <c r="C5887">
        <v>-8.0839999999999996</v>
      </c>
      <c r="D5887">
        <v>11.285</v>
      </c>
      <c r="E5887">
        <f>-8.084-11.285</f>
        <v>-19.369</v>
      </c>
      <c r="F5887" t="s">
        <v>9323</v>
      </c>
      <c r="G5887" t="s">
        <v>39</v>
      </c>
      <c r="H5887">
        <v>1987</v>
      </c>
      <c r="I5887">
        <v>27</v>
      </c>
      <c r="J5887">
        <v>14.7</v>
      </c>
      <c r="K5887">
        <v>62</v>
      </c>
      <c r="L5887">
        <v>20.36</v>
      </c>
      <c r="M5887">
        <v>38.1</v>
      </c>
      <c r="N5887">
        <v>14.6</v>
      </c>
      <c r="O5887">
        <v>23.5</v>
      </c>
      <c r="P5887">
        <v>25.7</v>
      </c>
      <c r="Q5887">
        <v>25.3</v>
      </c>
      <c r="R5887">
        <v>30.1</v>
      </c>
      <c r="S5887">
        <v>24.9</v>
      </c>
      <c r="T5887">
        <v>1149</v>
      </c>
      <c r="U5887">
        <v>299</v>
      </c>
      <c r="V5887">
        <v>0</v>
      </c>
      <c r="W5887">
        <v>106</v>
      </c>
      <c r="X5887">
        <v>756</v>
      </c>
      <c r="Y5887">
        <v>2</v>
      </c>
      <c r="Z5887">
        <v>142</v>
      </c>
      <c r="AA5887">
        <v>9</v>
      </c>
      <c r="AB5887">
        <v>2.305812</v>
      </c>
      <c r="AC5887">
        <v>9.9167729999999996E-2</v>
      </c>
      <c r="AD5887">
        <v>1.6701010000000001</v>
      </c>
      <c r="AE5887">
        <v>0.59628150000000002</v>
      </c>
      <c r="AF5887">
        <v>364.66669999999999</v>
      </c>
      <c r="AG5887">
        <f>IFERROR(AH5887*0.1, "N/A")</f>
        <v>5.8193160000000006</v>
      </c>
      <c r="AH5887">
        <v>58.193159999999999</v>
      </c>
      <c r="AI5887">
        <v>237.08179999999999</v>
      </c>
      <c r="AJ5887">
        <v>19</v>
      </c>
      <c r="AK5887">
        <v>49</v>
      </c>
    </row>
    <row r="5888" spans="1:37" x14ac:dyDescent="0.3">
      <c r="A5888">
        <v>5887</v>
      </c>
      <c r="B5888">
        <v>0</v>
      </c>
      <c r="C5888">
        <v>-8.0839999999999996</v>
      </c>
      <c r="D5888">
        <v>11.285</v>
      </c>
      <c r="E5888">
        <f>-8.084-11.285</f>
        <v>-19.369</v>
      </c>
      <c r="F5888" t="s">
        <v>9324</v>
      </c>
      <c r="G5888" t="s">
        <v>37</v>
      </c>
      <c r="H5888">
        <v>1987</v>
      </c>
      <c r="I5888">
        <v>27</v>
      </c>
      <c r="J5888">
        <v>14.7</v>
      </c>
      <c r="K5888">
        <v>62</v>
      </c>
      <c r="L5888">
        <v>20.36</v>
      </c>
      <c r="M5888">
        <v>38.1</v>
      </c>
      <c r="N5888">
        <v>14.6</v>
      </c>
      <c r="O5888">
        <v>23.5</v>
      </c>
      <c r="P5888">
        <v>25.7</v>
      </c>
      <c r="Q5888">
        <v>25.3</v>
      </c>
      <c r="R5888">
        <v>30.1</v>
      </c>
      <c r="S5888">
        <v>24.9</v>
      </c>
      <c r="T5888">
        <v>1149</v>
      </c>
      <c r="U5888">
        <v>299</v>
      </c>
      <c r="V5888">
        <v>0</v>
      </c>
      <c r="W5888">
        <v>106</v>
      </c>
      <c r="X5888">
        <v>756</v>
      </c>
      <c r="Y5888">
        <v>2</v>
      </c>
      <c r="Z5888">
        <v>142</v>
      </c>
      <c r="AA5888">
        <v>9</v>
      </c>
      <c r="AB5888">
        <v>2.305812</v>
      </c>
      <c r="AC5888">
        <v>9.9167729999999996E-2</v>
      </c>
      <c r="AD5888">
        <v>1.6701010000000001</v>
      </c>
      <c r="AE5888">
        <v>0.59628150000000002</v>
      </c>
      <c r="AF5888">
        <v>364.66669999999999</v>
      </c>
      <c r="AG5888">
        <f>IFERROR(AH5888*0.1, "N/A")</f>
        <v>5.8193160000000006</v>
      </c>
      <c r="AH5888">
        <v>58.193159999999999</v>
      </c>
      <c r="AI5888">
        <v>237.08179999999999</v>
      </c>
      <c r="AJ5888">
        <v>19</v>
      </c>
      <c r="AK5888">
        <v>49</v>
      </c>
    </row>
    <row r="5889" spans="1:37" x14ac:dyDescent="0.3">
      <c r="A5889">
        <v>5888</v>
      </c>
      <c r="B5889">
        <v>0.4</v>
      </c>
      <c r="C5889">
        <v>-7.0796999999999999</v>
      </c>
      <c r="D5889">
        <v>11.286</v>
      </c>
      <c r="E5889">
        <f>-7.0797-11.286</f>
        <v>-18.3657</v>
      </c>
      <c r="F5889" t="s">
        <v>9325</v>
      </c>
      <c r="G5889" t="s">
        <v>39</v>
      </c>
      <c r="H5889">
        <v>1990</v>
      </c>
      <c r="I5889">
        <v>26.9</v>
      </c>
      <c r="J5889">
        <v>13.4</v>
      </c>
      <c r="K5889">
        <v>60</v>
      </c>
      <c r="L5889">
        <v>19.850000000000001</v>
      </c>
      <c r="M5889">
        <v>37.1</v>
      </c>
      <c r="N5889">
        <v>15.1</v>
      </c>
      <c r="O5889">
        <v>22</v>
      </c>
      <c r="P5889">
        <v>25.6</v>
      </c>
      <c r="Q5889">
        <v>25.2</v>
      </c>
      <c r="R5889">
        <v>29.8</v>
      </c>
      <c r="S5889">
        <v>24.7</v>
      </c>
      <c r="T5889">
        <v>1036</v>
      </c>
      <c r="U5889">
        <v>284</v>
      </c>
      <c r="V5889">
        <v>1</v>
      </c>
      <c r="W5889">
        <v>109</v>
      </c>
      <c r="X5889">
        <v>695</v>
      </c>
      <c r="Y5889">
        <v>3</v>
      </c>
      <c r="Z5889">
        <v>124</v>
      </c>
      <c r="AA5889">
        <v>11</v>
      </c>
      <c r="AB5889">
        <v>4.9756749999999998</v>
      </c>
      <c r="AC5889">
        <v>2.2127549999999999E-2</v>
      </c>
      <c r="AD5889">
        <v>1.747455</v>
      </c>
      <c r="AE5889">
        <v>0.68522839999999996</v>
      </c>
      <c r="AF5889">
        <v>381.25</v>
      </c>
      <c r="AG5889">
        <f>IFERROR(AH5889*0.1, "N/A")</f>
        <v>5.5796230000000007</v>
      </c>
      <c r="AH5889">
        <v>55.796230000000001</v>
      </c>
      <c r="AI5889">
        <v>238.73840000000001</v>
      </c>
      <c r="AJ5889">
        <v>18.4726</v>
      </c>
      <c r="AK5889">
        <v>53.226030000000002</v>
      </c>
    </row>
    <row r="5890" spans="1:37" x14ac:dyDescent="0.3">
      <c r="A5890">
        <v>5889</v>
      </c>
      <c r="B5890">
        <v>0</v>
      </c>
      <c r="C5890">
        <v>-7.0796999999999999</v>
      </c>
      <c r="D5890">
        <v>11.286</v>
      </c>
      <c r="E5890">
        <f>-7.0797-11.286</f>
        <v>-18.3657</v>
      </c>
      <c r="F5890" t="s">
        <v>9326</v>
      </c>
      <c r="G5890" t="s">
        <v>37</v>
      </c>
      <c r="H5890">
        <v>1990</v>
      </c>
      <c r="I5890">
        <v>26.9</v>
      </c>
      <c r="J5890">
        <v>13.4</v>
      </c>
      <c r="K5890">
        <v>60</v>
      </c>
      <c r="L5890">
        <v>19.850000000000001</v>
      </c>
      <c r="M5890">
        <v>37.1</v>
      </c>
      <c r="N5890">
        <v>15.1</v>
      </c>
      <c r="O5890">
        <v>22</v>
      </c>
      <c r="P5890">
        <v>25.6</v>
      </c>
      <c r="Q5890">
        <v>25.2</v>
      </c>
      <c r="R5890">
        <v>29.8</v>
      </c>
      <c r="S5890">
        <v>24.7</v>
      </c>
      <c r="T5890">
        <v>1036</v>
      </c>
      <c r="U5890">
        <v>284</v>
      </c>
      <c r="V5890">
        <v>1</v>
      </c>
      <c r="W5890">
        <v>109</v>
      </c>
      <c r="X5890">
        <v>695</v>
      </c>
      <c r="Y5890">
        <v>3</v>
      </c>
      <c r="Z5890">
        <v>124</v>
      </c>
      <c r="AA5890">
        <v>11</v>
      </c>
      <c r="AB5890">
        <v>4.9756749999999998</v>
      </c>
      <c r="AC5890">
        <v>2.2127549999999999E-2</v>
      </c>
      <c r="AD5890">
        <v>1.747455</v>
      </c>
      <c r="AE5890">
        <v>0.68522839999999996</v>
      </c>
      <c r="AF5890">
        <v>381.25</v>
      </c>
      <c r="AG5890">
        <f>IFERROR(AH5890*0.1, "N/A")</f>
        <v>5.5796230000000007</v>
      </c>
      <c r="AH5890">
        <v>55.796230000000001</v>
      </c>
      <c r="AI5890">
        <v>238.73840000000001</v>
      </c>
      <c r="AJ5890">
        <v>18.4726</v>
      </c>
      <c r="AK5890">
        <v>53.226030000000002</v>
      </c>
    </row>
    <row r="5891" spans="1:37" x14ac:dyDescent="0.3">
      <c r="A5891">
        <v>5890</v>
      </c>
      <c r="B5891">
        <v>0</v>
      </c>
      <c r="C5891">
        <v>-8.1666699999999999</v>
      </c>
      <c r="D5891">
        <v>11.3</v>
      </c>
      <c r="E5891">
        <f>-8.16667-11.3</f>
        <v>-19.466670000000001</v>
      </c>
      <c r="F5891" t="s">
        <v>9327</v>
      </c>
      <c r="G5891" t="s">
        <v>39</v>
      </c>
      <c r="H5891">
        <v>1975</v>
      </c>
      <c r="I5891">
        <v>27.1</v>
      </c>
      <c r="J5891">
        <v>14.9</v>
      </c>
      <c r="K5891">
        <v>62.431739999999998</v>
      </c>
      <c r="L5891">
        <v>20.152539999999998</v>
      </c>
      <c r="M5891">
        <v>38.282589999999999</v>
      </c>
      <c r="N5891">
        <v>14.625769999999999</v>
      </c>
      <c r="O5891">
        <v>23.656829999999999</v>
      </c>
      <c r="P5891">
        <v>25.8</v>
      </c>
      <c r="Q5891">
        <v>25.4</v>
      </c>
      <c r="R5891">
        <v>30.108360000000001</v>
      </c>
      <c r="S5891">
        <v>25.056830000000001</v>
      </c>
      <c r="T5891">
        <v>1153.9780000000001</v>
      </c>
      <c r="U5891">
        <v>300.17410000000001</v>
      </c>
      <c r="V5891">
        <v>0</v>
      </c>
      <c r="W5891">
        <v>106</v>
      </c>
      <c r="X5891">
        <v>759.7423</v>
      </c>
      <c r="Y5891">
        <v>2</v>
      </c>
      <c r="Z5891">
        <v>140.2355</v>
      </c>
      <c r="AA5891">
        <v>9</v>
      </c>
      <c r="AB5891">
        <v>5.2281620000000002</v>
      </c>
      <c r="AC5891">
        <v>5.6866489999999999E-2</v>
      </c>
      <c r="AD5891">
        <v>1.8708899999999999</v>
      </c>
      <c r="AE5891">
        <v>0.26422810000000002</v>
      </c>
      <c r="AF5891">
        <v>348.13310000000001</v>
      </c>
      <c r="AG5891" t="str">
        <f>IFERROR(AH5891*0.1, "N/A")</f>
        <v>N/A</v>
      </c>
      <c r="AH5891" t="s">
        <v>729</v>
      </c>
      <c r="AI5891">
        <v>208.3347</v>
      </c>
      <c r="AJ5891" t="s">
        <v>729</v>
      </c>
      <c r="AK5891" t="s">
        <v>729</v>
      </c>
    </row>
    <row r="5892" spans="1:37" x14ac:dyDescent="0.3">
      <c r="A5892">
        <v>5891</v>
      </c>
      <c r="B5892">
        <v>0</v>
      </c>
      <c r="C5892">
        <v>-8.1666699999999999</v>
      </c>
      <c r="D5892">
        <v>11.3</v>
      </c>
      <c r="E5892">
        <f>-8.16667-11.3</f>
        <v>-19.466670000000001</v>
      </c>
      <c r="F5892" t="s">
        <v>9328</v>
      </c>
      <c r="G5892" t="s">
        <v>37</v>
      </c>
      <c r="H5892">
        <v>1975</v>
      </c>
      <c r="I5892">
        <v>27.1</v>
      </c>
      <c r="J5892">
        <v>14.9</v>
      </c>
      <c r="K5892">
        <v>62.431739999999998</v>
      </c>
      <c r="L5892">
        <v>20.152539999999998</v>
      </c>
      <c r="M5892">
        <v>38.282589999999999</v>
      </c>
      <c r="N5892">
        <v>14.625769999999999</v>
      </c>
      <c r="O5892">
        <v>23.656829999999999</v>
      </c>
      <c r="P5892">
        <v>25.8</v>
      </c>
      <c r="Q5892">
        <v>25.4</v>
      </c>
      <c r="R5892">
        <v>30.108360000000001</v>
      </c>
      <c r="S5892">
        <v>25.056830000000001</v>
      </c>
      <c r="T5892">
        <v>1153.9780000000001</v>
      </c>
      <c r="U5892">
        <v>300.17410000000001</v>
      </c>
      <c r="V5892">
        <v>0</v>
      </c>
      <c r="W5892">
        <v>106</v>
      </c>
      <c r="X5892">
        <v>759.7423</v>
      </c>
      <c r="Y5892">
        <v>2</v>
      </c>
      <c r="Z5892">
        <v>140.2355</v>
      </c>
      <c r="AA5892">
        <v>9</v>
      </c>
      <c r="AB5892">
        <v>5.2281620000000002</v>
      </c>
      <c r="AC5892">
        <v>5.6866489999999999E-2</v>
      </c>
      <c r="AD5892">
        <v>1.8708899999999999</v>
      </c>
      <c r="AE5892">
        <v>0.26422810000000002</v>
      </c>
      <c r="AF5892">
        <v>348.13310000000001</v>
      </c>
      <c r="AG5892" t="str">
        <f>IFERROR(AH5892*0.1, "N/A")</f>
        <v>N/A</v>
      </c>
      <c r="AH5892" t="s">
        <v>729</v>
      </c>
      <c r="AI5892">
        <v>208.3347</v>
      </c>
      <c r="AJ5892" t="s">
        <v>729</v>
      </c>
      <c r="AK5892" t="s">
        <v>729</v>
      </c>
    </row>
    <row r="5893" spans="1:37" x14ac:dyDescent="0.3">
      <c r="A5893">
        <v>5892</v>
      </c>
      <c r="B5893">
        <v>6.5</v>
      </c>
      <c r="C5893">
        <v>-8.2530000000000001</v>
      </c>
      <c r="D5893">
        <v>11.317</v>
      </c>
      <c r="E5893">
        <f>-8.253-11.317</f>
        <v>-19.57</v>
      </c>
      <c r="F5893" t="s">
        <v>9329</v>
      </c>
      <c r="G5893" t="s">
        <v>39</v>
      </c>
      <c r="H5893">
        <v>1987</v>
      </c>
      <c r="I5893">
        <v>27.1</v>
      </c>
      <c r="J5893">
        <v>15.1</v>
      </c>
      <c r="K5893">
        <v>62.535159999999998</v>
      </c>
      <c r="L5893">
        <v>20.201840000000001</v>
      </c>
      <c r="M5893">
        <v>38.446480000000001</v>
      </c>
      <c r="N5893">
        <v>14.5</v>
      </c>
      <c r="O5893">
        <v>23.946480000000001</v>
      </c>
      <c r="P5893">
        <v>25.8</v>
      </c>
      <c r="Q5893">
        <v>25.34648</v>
      </c>
      <c r="R5893">
        <v>30.14648</v>
      </c>
      <c r="S5893">
        <v>25</v>
      </c>
      <c r="T5893">
        <v>1165</v>
      </c>
      <c r="U5893">
        <v>303</v>
      </c>
      <c r="V5893">
        <v>0</v>
      </c>
      <c r="W5893">
        <v>106</v>
      </c>
      <c r="X5893">
        <v>768</v>
      </c>
      <c r="Y5893">
        <v>2</v>
      </c>
      <c r="Z5893">
        <v>139</v>
      </c>
      <c r="AA5893">
        <v>9</v>
      </c>
      <c r="AB5893">
        <v>4.3550620000000002</v>
      </c>
      <c r="AC5893">
        <v>5.7830819999999998E-2</v>
      </c>
      <c r="AD5893">
        <v>1.9293100000000001</v>
      </c>
      <c r="AE5893">
        <v>0.66940469999999996</v>
      </c>
      <c r="AF5893">
        <v>356.30020000000002</v>
      </c>
      <c r="AG5893">
        <f>IFERROR(AH5893*0.1, "N/A")</f>
        <v>5.7</v>
      </c>
      <c r="AH5893">
        <v>57</v>
      </c>
      <c r="AI5893">
        <v>152.3751</v>
      </c>
      <c r="AJ5893">
        <v>20</v>
      </c>
      <c r="AK5893">
        <v>47</v>
      </c>
    </row>
    <row r="5894" spans="1:37" x14ac:dyDescent="0.3">
      <c r="A5894">
        <v>5893</v>
      </c>
      <c r="B5894">
        <v>1.1000000000000001</v>
      </c>
      <c r="C5894">
        <v>-8.2530000000000001</v>
      </c>
      <c r="D5894">
        <v>11.317</v>
      </c>
      <c r="E5894">
        <f>-8.253-11.317</f>
        <v>-19.57</v>
      </c>
      <c r="F5894" t="s">
        <v>9330</v>
      </c>
      <c r="G5894" t="s">
        <v>37</v>
      </c>
      <c r="H5894">
        <v>1987</v>
      </c>
      <c r="I5894">
        <v>27.1</v>
      </c>
      <c r="J5894">
        <v>15.1</v>
      </c>
      <c r="K5894">
        <v>62.535159999999998</v>
      </c>
      <c r="L5894">
        <v>20.201840000000001</v>
      </c>
      <c r="M5894">
        <v>38.446480000000001</v>
      </c>
      <c r="N5894">
        <v>14.5</v>
      </c>
      <c r="O5894">
        <v>23.946480000000001</v>
      </c>
      <c r="P5894">
        <v>25.8</v>
      </c>
      <c r="Q5894">
        <v>25.34648</v>
      </c>
      <c r="R5894">
        <v>30.14648</v>
      </c>
      <c r="S5894">
        <v>25</v>
      </c>
      <c r="T5894">
        <v>1165</v>
      </c>
      <c r="U5894">
        <v>303</v>
      </c>
      <c r="V5894">
        <v>0</v>
      </c>
      <c r="W5894">
        <v>106</v>
      </c>
      <c r="X5894">
        <v>768</v>
      </c>
      <c r="Y5894">
        <v>2</v>
      </c>
      <c r="Z5894">
        <v>139</v>
      </c>
      <c r="AA5894">
        <v>9</v>
      </c>
      <c r="AB5894">
        <v>4.3550620000000002</v>
      </c>
      <c r="AC5894">
        <v>5.7830819999999998E-2</v>
      </c>
      <c r="AD5894">
        <v>1.9293100000000001</v>
      </c>
      <c r="AE5894">
        <v>0.66940469999999996</v>
      </c>
      <c r="AF5894">
        <v>356.30020000000002</v>
      </c>
      <c r="AG5894">
        <f>IFERROR(AH5894*0.1, "N/A")</f>
        <v>5.7</v>
      </c>
      <c r="AH5894">
        <v>57</v>
      </c>
      <c r="AI5894">
        <v>152.3751</v>
      </c>
      <c r="AJ5894">
        <v>20</v>
      </c>
      <c r="AK5894">
        <v>47</v>
      </c>
    </row>
    <row r="5895" spans="1:37" x14ac:dyDescent="0.3">
      <c r="A5895">
        <v>5894</v>
      </c>
      <c r="B5895">
        <v>9.4</v>
      </c>
      <c r="C5895">
        <v>-8.2616399999999999</v>
      </c>
      <c r="D5895">
        <v>11.323499999999999</v>
      </c>
      <c r="E5895">
        <f>-8.26164-11.3235</f>
        <v>-19.585139999999999</v>
      </c>
      <c r="F5895" t="s">
        <v>9331</v>
      </c>
      <c r="G5895" t="s">
        <v>39</v>
      </c>
      <c r="H5895">
        <v>1975</v>
      </c>
      <c r="I5895">
        <v>27.1</v>
      </c>
      <c r="J5895">
        <v>15.1</v>
      </c>
      <c r="K5895">
        <v>63</v>
      </c>
      <c r="L5895">
        <v>20.350000000000001</v>
      </c>
      <c r="M5895">
        <v>38.4</v>
      </c>
      <c r="N5895">
        <v>14.5</v>
      </c>
      <c r="O5895">
        <v>23.9</v>
      </c>
      <c r="P5895">
        <v>25.8</v>
      </c>
      <c r="Q5895">
        <v>25.3</v>
      </c>
      <c r="R5895">
        <v>30.1</v>
      </c>
      <c r="S5895">
        <v>24.9</v>
      </c>
      <c r="T5895">
        <v>1165</v>
      </c>
      <c r="U5895">
        <v>303</v>
      </c>
      <c r="V5895">
        <v>0</v>
      </c>
      <c r="W5895">
        <v>106</v>
      </c>
      <c r="X5895">
        <v>768</v>
      </c>
      <c r="Y5895">
        <v>2</v>
      </c>
      <c r="Z5895">
        <v>139</v>
      </c>
      <c r="AA5895">
        <v>9</v>
      </c>
      <c r="AB5895">
        <v>8.8244340000000001</v>
      </c>
      <c r="AC5895">
        <v>3.0027370000000001E-2</v>
      </c>
      <c r="AD5895">
        <v>1.531458</v>
      </c>
      <c r="AE5895">
        <v>0.64303960000000004</v>
      </c>
      <c r="AF5895">
        <v>366.5453</v>
      </c>
      <c r="AG5895">
        <f>IFERROR(AH5895*0.1, "N/A")</f>
        <v>5.5938460000000001</v>
      </c>
      <c r="AH5895">
        <v>55.938459999999999</v>
      </c>
      <c r="AI5895">
        <v>64.502390000000005</v>
      </c>
      <c r="AJ5895">
        <v>18.938459999999999</v>
      </c>
      <c r="AK5895">
        <v>47.815379999999998</v>
      </c>
    </row>
    <row r="5896" spans="1:37" x14ac:dyDescent="0.3">
      <c r="A5896">
        <v>5895</v>
      </c>
      <c r="B5896">
        <v>0</v>
      </c>
      <c r="C5896">
        <v>-8.2616399999999999</v>
      </c>
      <c r="D5896">
        <v>11.323499999999999</v>
      </c>
      <c r="E5896">
        <f>-8.26164-11.3235</f>
        <v>-19.585139999999999</v>
      </c>
      <c r="F5896" t="s">
        <v>9332</v>
      </c>
      <c r="G5896" t="s">
        <v>37</v>
      </c>
      <c r="H5896">
        <v>1975</v>
      </c>
      <c r="I5896">
        <v>27.1</v>
      </c>
      <c r="J5896">
        <v>15.1</v>
      </c>
      <c r="K5896">
        <v>63</v>
      </c>
      <c r="L5896">
        <v>20.350000000000001</v>
      </c>
      <c r="M5896">
        <v>38.4</v>
      </c>
      <c r="N5896">
        <v>14.5</v>
      </c>
      <c r="O5896">
        <v>23.9</v>
      </c>
      <c r="P5896">
        <v>25.8</v>
      </c>
      <c r="Q5896">
        <v>25.3</v>
      </c>
      <c r="R5896">
        <v>30.1</v>
      </c>
      <c r="S5896">
        <v>24.9</v>
      </c>
      <c r="T5896">
        <v>1165</v>
      </c>
      <c r="U5896">
        <v>303</v>
      </c>
      <c r="V5896">
        <v>0</v>
      </c>
      <c r="W5896">
        <v>106</v>
      </c>
      <c r="X5896">
        <v>768</v>
      </c>
      <c r="Y5896">
        <v>2</v>
      </c>
      <c r="Z5896">
        <v>139</v>
      </c>
      <c r="AA5896">
        <v>9</v>
      </c>
      <c r="AB5896">
        <v>8.8244340000000001</v>
      </c>
      <c r="AC5896">
        <v>3.0027370000000001E-2</v>
      </c>
      <c r="AD5896">
        <v>1.531458</v>
      </c>
      <c r="AE5896">
        <v>0.64303960000000004</v>
      </c>
      <c r="AF5896">
        <v>366.5453</v>
      </c>
      <c r="AG5896">
        <f>IFERROR(AH5896*0.1, "N/A")</f>
        <v>5.5938460000000001</v>
      </c>
      <c r="AH5896">
        <v>55.938459999999999</v>
      </c>
      <c r="AI5896">
        <v>64.502390000000005</v>
      </c>
      <c r="AJ5896">
        <v>18.938459999999999</v>
      </c>
      <c r="AK5896">
        <v>47.815379999999998</v>
      </c>
    </row>
    <row r="5897" spans="1:37" x14ac:dyDescent="0.3">
      <c r="A5897">
        <v>5896</v>
      </c>
      <c r="B5897">
        <v>0.5</v>
      </c>
      <c r="C5897">
        <v>-8.2168700000000001</v>
      </c>
      <c r="D5897">
        <v>11.345599999999999</v>
      </c>
      <c r="E5897">
        <f>-8.21687-11.3456</f>
        <v>-19.562469999999998</v>
      </c>
      <c r="F5897" t="s">
        <v>9333</v>
      </c>
      <c r="G5897" t="s">
        <v>39</v>
      </c>
      <c r="H5897">
        <v>1987</v>
      </c>
      <c r="I5897">
        <v>27.047360000000001</v>
      </c>
      <c r="J5897">
        <v>15</v>
      </c>
      <c r="K5897">
        <v>62.473590000000002</v>
      </c>
      <c r="L5897">
        <v>20.268450000000001</v>
      </c>
      <c r="M5897">
        <v>38.299999999999997</v>
      </c>
      <c r="N5897">
        <v>14.494719999999999</v>
      </c>
      <c r="O5897">
        <v>23.80528</v>
      </c>
      <c r="P5897">
        <v>25.8</v>
      </c>
      <c r="Q5897">
        <v>25.294720000000002</v>
      </c>
      <c r="R5897">
        <v>30.1</v>
      </c>
      <c r="S5897">
        <v>24.94736</v>
      </c>
      <c r="T5897">
        <v>1159</v>
      </c>
      <c r="U5897">
        <v>302</v>
      </c>
      <c r="V5897">
        <v>0</v>
      </c>
      <c r="W5897">
        <v>106</v>
      </c>
      <c r="X5897">
        <v>764</v>
      </c>
      <c r="Y5897">
        <v>2</v>
      </c>
      <c r="Z5897">
        <v>139</v>
      </c>
      <c r="AA5897">
        <v>9</v>
      </c>
      <c r="AB5897">
        <v>7.9330470000000002</v>
      </c>
      <c r="AC5897">
        <v>9.8036899999999996E-2</v>
      </c>
      <c r="AD5897">
        <v>2.4776889999999998</v>
      </c>
      <c r="AE5897">
        <v>0.4303052</v>
      </c>
      <c r="AF5897">
        <v>361.91820000000001</v>
      </c>
      <c r="AG5897">
        <f>IFERROR(AH5897*0.1, "N/A")</f>
        <v>5.7005110000000005</v>
      </c>
      <c r="AH5897">
        <v>57.005110000000002</v>
      </c>
      <c r="AI5897">
        <v>173.63460000000001</v>
      </c>
      <c r="AJ5897">
        <v>19.884160000000001</v>
      </c>
      <c r="AK5897">
        <v>52.052810000000001</v>
      </c>
    </row>
    <row r="5898" spans="1:37" x14ac:dyDescent="0.3">
      <c r="A5898">
        <v>5897</v>
      </c>
      <c r="B5898">
        <v>0</v>
      </c>
      <c r="C5898">
        <v>-8.2168700000000001</v>
      </c>
      <c r="D5898">
        <v>11.345599999999999</v>
      </c>
      <c r="E5898">
        <f>-8.21687-11.3456</f>
        <v>-19.562469999999998</v>
      </c>
      <c r="F5898" t="s">
        <v>9334</v>
      </c>
      <c r="G5898" t="s">
        <v>37</v>
      </c>
      <c r="H5898">
        <v>1987</v>
      </c>
      <c r="I5898">
        <v>27.047360000000001</v>
      </c>
      <c r="J5898">
        <v>15</v>
      </c>
      <c r="K5898">
        <v>62.473590000000002</v>
      </c>
      <c r="L5898">
        <v>20.268450000000001</v>
      </c>
      <c r="M5898">
        <v>38.299999999999997</v>
      </c>
      <c r="N5898">
        <v>14.494719999999999</v>
      </c>
      <c r="O5898">
        <v>23.80528</v>
      </c>
      <c r="P5898">
        <v>25.8</v>
      </c>
      <c r="Q5898">
        <v>25.294720000000002</v>
      </c>
      <c r="R5898">
        <v>30.1</v>
      </c>
      <c r="S5898">
        <v>24.94736</v>
      </c>
      <c r="T5898">
        <v>1159</v>
      </c>
      <c r="U5898">
        <v>302</v>
      </c>
      <c r="V5898">
        <v>0</v>
      </c>
      <c r="W5898">
        <v>106</v>
      </c>
      <c r="X5898">
        <v>764</v>
      </c>
      <c r="Y5898">
        <v>2</v>
      </c>
      <c r="Z5898">
        <v>139</v>
      </c>
      <c r="AA5898">
        <v>9</v>
      </c>
      <c r="AB5898">
        <v>7.9330470000000002</v>
      </c>
      <c r="AC5898">
        <v>9.8036899999999996E-2</v>
      </c>
      <c r="AD5898">
        <v>2.4776889999999998</v>
      </c>
      <c r="AE5898">
        <v>0.4303052</v>
      </c>
      <c r="AF5898">
        <v>361.91820000000001</v>
      </c>
      <c r="AG5898">
        <f>IFERROR(AH5898*0.1, "N/A")</f>
        <v>5.7005110000000005</v>
      </c>
      <c r="AH5898">
        <v>57.005110000000002</v>
      </c>
      <c r="AI5898">
        <v>173.63460000000001</v>
      </c>
      <c r="AJ5898">
        <v>19.884160000000001</v>
      </c>
      <c r="AK5898">
        <v>52.052810000000001</v>
      </c>
    </row>
    <row r="5899" spans="1:37" x14ac:dyDescent="0.3">
      <c r="A5899">
        <v>5898</v>
      </c>
      <c r="B5899">
        <v>8.9</v>
      </c>
      <c r="C5899">
        <v>-8.1519999999999992</v>
      </c>
      <c r="D5899">
        <v>11.35</v>
      </c>
      <c r="E5899">
        <f>-8.152-11.35</f>
        <v>-19.501999999999999</v>
      </c>
      <c r="F5899" t="s">
        <v>9335</v>
      </c>
      <c r="G5899" t="s">
        <v>39</v>
      </c>
      <c r="H5899">
        <v>1987</v>
      </c>
      <c r="I5899">
        <v>27.166270000000001</v>
      </c>
      <c r="J5899">
        <v>14.8</v>
      </c>
      <c r="K5899">
        <v>62</v>
      </c>
      <c r="L5899">
        <v>20.236989999999999</v>
      </c>
      <c r="M5899">
        <v>38.266269999999999</v>
      </c>
      <c r="N5899">
        <v>14.666270000000001</v>
      </c>
      <c r="O5899">
        <v>23.6</v>
      </c>
      <c r="P5899">
        <v>25.86627</v>
      </c>
      <c r="Q5899">
        <v>25.36627</v>
      </c>
      <c r="R5899">
        <v>30.166270000000001</v>
      </c>
      <c r="S5899">
        <v>24.966270000000002</v>
      </c>
      <c r="T5899">
        <v>1151</v>
      </c>
      <c r="U5899">
        <v>300</v>
      </c>
      <c r="V5899">
        <v>0</v>
      </c>
      <c r="W5899">
        <v>107</v>
      </c>
      <c r="X5899">
        <v>758</v>
      </c>
      <c r="Y5899">
        <v>2</v>
      </c>
      <c r="Z5899">
        <v>140</v>
      </c>
      <c r="AA5899">
        <v>9</v>
      </c>
      <c r="AB5899">
        <v>4.9455280000000004</v>
      </c>
      <c r="AC5899">
        <v>0.13589300000000001</v>
      </c>
      <c r="AD5899">
        <v>1.998729</v>
      </c>
      <c r="AE5899">
        <v>0.19995940000000001</v>
      </c>
      <c r="AF5899">
        <v>351.06849999999997</v>
      </c>
      <c r="AG5899">
        <f>IFERROR(AH5899*0.1, "N/A")</f>
        <v>6.1906740000000005</v>
      </c>
      <c r="AH5899">
        <v>61.906739999999999</v>
      </c>
      <c r="AI5899">
        <v>207.99010000000001</v>
      </c>
      <c r="AJ5899">
        <v>30.94473</v>
      </c>
      <c r="AK5899">
        <v>46.082900000000002</v>
      </c>
    </row>
    <row r="5900" spans="1:37" x14ac:dyDescent="0.3">
      <c r="A5900">
        <v>5899</v>
      </c>
      <c r="B5900">
        <v>0</v>
      </c>
      <c r="C5900">
        <v>-8.1519999999999992</v>
      </c>
      <c r="D5900">
        <v>11.35</v>
      </c>
      <c r="E5900">
        <f>-8.152-11.35</f>
        <v>-19.501999999999999</v>
      </c>
      <c r="F5900" t="s">
        <v>9336</v>
      </c>
      <c r="G5900" t="s">
        <v>37</v>
      </c>
      <c r="H5900">
        <v>1987</v>
      </c>
      <c r="I5900">
        <v>27.166270000000001</v>
      </c>
      <c r="J5900">
        <v>14.8</v>
      </c>
      <c r="K5900">
        <v>62</v>
      </c>
      <c r="L5900">
        <v>20.236989999999999</v>
      </c>
      <c r="M5900">
        <v>38.266269999999999</v>
      </c>
      <c r="N5900">
        <v>14.666270000000001</v>
      </c>
      <c r="O5900">
        <v>23.6</v>
      </c>
      <c r="P5900">
        <v>25.86627</v>
      </c>
      <c r="Q5900">
        <v>25.36627</v>
      </c>
      <c r="R5900">
        <v>30.166270000000001</v>
      </c>
      <c r="S5900">
        <v>24.966270000000002</v>
      </c>
      <c r="T5900">
        <v>1151</v>
      </c>
      <c r="U5900">
        <v>300</v>
      </c>
      <c r="V5900">
        <v>0</v>
      </c>
      <c r="W5900">
        <v>107</v>
      </c>
      <c r="X5900">
        <v>758</v>
      </c>
      <c r="Y5900">
        <v>2</v>
      </c>
      <c r="Z5900">
        <v>140</v>
      </c>
      <c r="AA5900">
        <v>9</v>
      </c>
      <c r="AB5900">
        <v>4.9455280000000004</v>
      </c>
      <c r="AC5900">
        <v>0.13589300000000001</v>
      </c>
      <c r="AD5900">
        <v>1.998729</v>
      </c>
      <c r="AE5900">
        <v>0.19995940000000001</v>
      </c>
      <c r="AF5900">
        <v>351.06849999999997</v>
      </c>
      <c r="AG5900">
        <f>IFERROR(AH5900*0.1, "N/A")</f>
        <v>6.1906740000000005</v>
      </c>
      <c r="AH5900">
        <v>61.906739999999999</v>
      </c>
      <c r="AI5900">
        <v>207.99010000000001</v>
      </c>
      <c r="AJ5900">
        <v>30.94473</v>
      </c>
      <c r="AK5900">
        <v>46.082900000000002</v>
      </c>
    </row>
    <row r="5901" spans="1:37" x14ac:dyDescent="0.3">
      <c r="A5901">
        <v>5900</v>
      </c>
      <c r="B5901">
        <v>0</v>
      </c>
      <c r="C5901">
        <v>-8.3339999999999996</v>
      </c>
      <c r="D5901">
        <v>11.35</v>
      </c>
      <c r="E5901">
        <f>-8.334-11.35</f>
        <v>-19.683999999999997</v>
      </c>
      <c r="F5901" t="s">
        <v>9337</v>
      </c>
      <c r="G5901" t="s">
        <v>39</v>
      </c>
      <c r="H5901">
        <v>1987</v>
      </c>
      <c r="I5901">
        <v>27.033619999999999</v>
      </c>
      <c r="J5901">
        <v>15.3</v>
      </c>
      <c r="K5901">
        <v>63</v>
      </c>
      <c r="L5901">
        <v>20.283840000000001</v>
      </c>
      <c r="M5901">
        <v>38.483449999999998</v>
      </c>
      <c r="N5901">
        <v>14.349830000000001</v>
      </c>
      <c r="O5901">
        <v>24.133620000000001</v>
      </c>
      <c r="P5901">
        <v>25.749829999999999</v>
      </c>
      <c r="Q5901">
        <v>25.3</v>
      </c>
      <c r="R5901">
        <v>30.083449999999999</v>
      </c>
      <c r="S5901">
        <v>24.933620000000001</v>
      </c>
      <c r="T5901">
        <v>1175.6669999999999</v>
      </c>
      <c r="U5901">
        <v>305</v>
      </c>
      <c r="V5901">
        <v>0</v>
      </c>
      <c r="W5901">
        <v>106.4983</v>
      </c>
      <c r="X5901">
        <v>775.16549999999995</v>
      </c>
      <c r="Y5901">
        <v>3</v>
      </c>
      <c r="Z5901">
        <v>137</v>
      </c>
      <c r="AA5901">
        <v>11</v>
      </c>
      <c r="AB5901">
        <v>5.037712</v>
      </c>
      <c r="AC5901">
        <v>0.28657719999999998</v>
      </c>
      <c r="AD5901">
        <v>2.931133</v>
      </c>
      <c r="AE5901">
        <v>0.30517820000000001</v>
      </c>
      <c r="AF5901">
        <v>361.48289999999997</v>
      </c>
      <c r="AG5901">
        <f>IFERROR(AH5901*0.1, "N/A")</f>
        <v>5.5682590000000003</v>
      </c>
      <c r="AH5901">
        <v>55.682589999999998</v>
      </c>
      <c r="AI5901">
        <v>53.751159999999999</v>
      </c>
      <c r="AJ5901">
        <v>17.976109999999998</v>
      </c>
      <c r="AK5901">
        <v>57.576790000000003</v>
      </c>
    </row>
    <row r="5902" spans="1:37" x14ac:dyDescent="0.3">
      <c r="A5902">
        <v>5901</v>
      </c>
      <c r="B5902">
        <v>5.5</v>
      </c>
      <c r="C5902">
        <v>-8.3339999999999996</v>
      </c>
      <c r="D5902">
        <v>11.35</v>
      </c>
      <c r="E5902">
        <f>-8.334-11.35</f>
        <v>-19.683999999999997</v>
      </c>
      <c r="F5902" t="s">
        <v>9338</v>
      </c>
      <c r="G5902" t="s">
        <v>37</v>
      </c>
      <c r="H5902">
        <v>1987</v>
      </c>
      <c r="I5902">
        <v>27.033619999999999</v>
      </c>
      <c r="J5902">
        <v>15.3</v>
      </c>
      <c r="K5902">
        <v>63</v>
      </c>
      <c r="L5902">
        <v>20.283840000000001</v>
      </c>
      <c r="M5902">
        <v>38.483449999999998</v>
      </c>
      <c r="N5902">
        <v>14.349830000000001</v>
      </c>
      <c r="O5902">
        <v>24.133620000000001</v>
      </c>
      <c r="P5902">
        <v>25.749829999999999</v>
      </c>
      <c r="Q5902">
        <v>25.3</v>
      </c>
      <c r="R5902">
        <v>30.083449999999999</v>
      </c>
      <c r="S5902">
        <v>24.933620000000001</v>
      </c>
      <c r="T5902">
        <v>1175.6669999999999</v>
      </c>
      <c r="U5902">
        <v>305</v>
      </c>
      <c r="V5902">
        <v>0</v>
      </c>
      <c r="W5902">
        <v>106.4983</v>
      </c>
      <c r="X5902">
        <v>775.16549999999995</v>
      </c>
      <c r="Y5902">
        <v>3</v>
      </c>
      <c r="Z5902">
        <v>137</v>
      </c>
      <c r="AA5902">
        <v>11</v>
      </c>
      <c r="AB5902">
        <v>5.037712</v>
      </c>
      <c r="AC5902">
        <v>0.28657719999999998</v>
      </c>
      <c r="AD5902">
        <v>2.931133</v>
      </c>
      <c r="AE5902">
        <v>0.30517820000000001</v>
      </c>
      <c r="AF5902">
        <v>361.48289999999997</v>
      </c>
      <c r="AG5902">
        <f>IFERROR(AH5902*0.1, "N/A")</f>
        <v>5.5682590000000003</v>
      </c>
      <c r="AH5902">
        <v>55.682589999999998</v>
      </c>
      <c r="AI5902">
        <v>53.751159999999999</v>
      </c>
      <c r="AJ5902">
        <v>17.976109999999998</v>
      </c>
      <c r="AK5902">
        <v>57.576790000000003</v>
      </c>
    </row>
    <row r="5903" spans="1:37" x14ac:dyDescent="0.3">
      <c r="A5903">
        <v>5902</v>
      </c>
      <c r="B5903">
        <v>45.2</v>
      </c>
      <c r="C5903">
        <v>-8.3333300000000001</v>
      </c>
      <c r="D5903">
        <v>11.35</v>
      </c>
      <c r="E5903">
        <f>-8.33333-11.35</f>
        <v>-19.683329999999998</v>
      </c>
      <c r="F5903" t="s">
        <v>9339</v>
      </c>
      <c r="G5903" t="s">
        <v>39</v>
      </c>
      <c r="H5903">
        <v>1990</v>
      </c>
      <c r="I5903">
        <v>27.033560000000001</v>
      </c>
      <c r="J5903">
        <v>15.3</v>
      </c>
      <c r="K5903">
        <v>63</v>
      </c>
      <c r="L5903">
        <v>20.359089999999998</v>
      </c>
      <c r="M5903">
        <v>38.517980000000001</v>
      </c>
      <c r="N5903">
        <v>14.38442</v>
      </c>
      <c r="O5903">
        <v>24.133559999999999</v>
      </c>
      <c r="P5903">
        <v>25.784420000000001</v>
      </c>
      <c r="Q5903">
        <v>25.3</v>
      </c>
      <c r="R5903">
        <v>30.117979999999999</v>
      </c>
      <c r="S5903">
        <v>24.93356</v>
      </c>
      <c r="T5903">
        <v>1174.9760000000001</v>
      </c>
      <c r="U5903">
        <v>305</v>
      </c>
      <c r="V5903">
        <v>0</v>
      </c>
      <c r="W5903">
        <v>106.8442</v>
      </c>
      <c r="X5903">
        <v>774.8202</v>
      </c>
      <c r="Y5903">
        <v>3</v>
      </c>
      <c r="Z5903">
        <v>137</v>
      </c>
      <c r="AA5903">
        <v>11</v>
      </c>
      <c r="AB5903">
        <v>2.385278</v>
      </c>
      <c r="AC5903">
        <v>1.187837</v>
      </c>
      <c r="AD5903">
        <v>2.7436690000000001</v>
      </c>
      <c r="AE5903">
        <v>0.33236379999999999</v>
      </c>
      <c r="AF5903">
        <v>358.0188</v>
      </c>
      <c r="AG5903">
        <f>IFERROR(AH5903*0.1, "N/A")</f>
        <v>5.7388700000000004</v>
      </c>
      <c r="AH5903">
        <v>57.3887</v>
      </c>
      <c r="AI5903">
        <v>53.340470000000003</v>
      </c>
      <c r="AJ5903">
        <v>18.023969999999998</v>
      </c>
      <c r="AK5903">
        <v>56.335619999999999</v>
      </c>
    </row>
    <row r="5904" spans="1:37" x14ac:dyDescent="0.3">
      <c r="A5904">
        <v>5903</v>
      </c>
      <c r="B5904">
        <v>0.6</v>
      </c>
      <c r="C5904">
        <v>-8.3333300000000001</v>
      </c>
      <c r="D5904">
        <v>11.35</v>
      </c>
      <c r="E5904">
        <f>-8.33333-11.35</f>
        <v>-19.683329999999998</v>
      </c>
      <c r="F5904" t="s">
        <v>9340</v>
      </c>
      <c r="G5904" t="s">
        <v>37</v>
      </c>
      <c r="H5904">
        <v>1990</v>
      </c>
      <c r="I5904">
        <v>27.033560000000001</v>
      </c>
      <c r="J5904">
        <v>15.3</v>
      </c>
      <c r="K5904">
        <v>63</v>
      </c>
      <c r="L5904">
        <v>20.359089999999998</v>
      </c>
      <c r="M5904">
        <v>38.517980000000001</v>
      </c>
      <c r="N5904">
        <v>14.38442</v>
      </c>
      <c r="O5904">
        <v>24.133559999999999</v>
      </c>
      <c r="P5904">
        <v>25.784420000000001</v>
      </c>
      <c r="Q5904">
        <v>25.3</v>
      </c>
      <c r="R5904">
        <v>30.117979999999999</v>
      </c>
      <c r="S5904">
        <v>24.93356</v>
      </c>
      <c r="T5904">
        <v>1174.9760000000001</v>
      </c>
      <c r="U5904">
        <v>305</v>
      </c>
      <c r="V5904">
        <v>0</v>
      </c>
      <c r="W5904">
        <v>106.8442</v>
      </c>
      <c r="X5904">
        <v>774.8202</v>
      </c>
      <c r="Y5904">
        <v>3</v>
      </c>
      <c r="Z5904">
        <v>137</v>
      </c>
      <c r="AA5904">
        <v>11</v>
      </c>
      <c r="AB5904">
        <v>2.385278</v>
      </c>
      <c r="AC5904">
        <v>1.187837</v>
      </c>
      <c r="AD5904">
        <v>2.7436690000000001</v>
      </c>
      <c r="AE5904">
        <v>0.33236379999999999</v>
      </c>
      <c r="AF5904">
        <v>358.0188</v>
      </c>
      <c r="AG5904">
        <f>IFERROR(AH5904*0.1, "N/A")</f>
        <v>5.7388700000000004</v>
      </c>
      <c r="AH5904">
        <v>57.3887</v>
      </c>
      <c r="AI5904">
        <v>53.340470000000003</v>
      </c>
      <c r="AJ5904">
        <v>18.023969999999998</v>
      </c>
      <c r="AK5904">
        <v>56.335619999999999</v>
      </c>
    </row>
    <row r="5905" spans="1:37" x14ac:dyDescent="0.3">
      <c r="A5905">
        <v>5904</v>
      </c>
      <c r="B5905">
        <v>38.200000000000003</v>
      </c>
      <c r="C5905">
        <v>-8.15</v>
      </c>
      <c r="D5905">
        <v>11.35</v>
      </c>
      <c r="E5905">
        <f>-8.15-11.35</f>
        <v>-19.5</v>
      </c>
      <c r="F5905" t="s">
        <v>9341</v>
      </c>
      <c r="G5905" t="s">
        <v>39</v>
      </c>
      <c r="H5905">
        <v>1990</v>
      </c>
      <c r="I5905">
        <v>27.11214</v>
      </c>
      <c r="J5905">
        <v>14.8</v>
      </c>
      <c r="K5905">
        <v>62</v>
      </c>
      <c r="L5905">
        <v>20.49521</v>
      </c>
      <c r="M5905">
        <v>38.26632</v>
      </c>
      <c r="N5905">
        <v>14.61214</v>
      </c>
      <c r="O5905">
        <v>23.65419</v>
      </c>
      <c r="P5905">
        <v>25.812139999999999</v>
      </c>
      <c r="Q5905">
        <v>25.312139999999999</v>
      </c>
      <c r="R5905">
        <v>30.166329999999999</v>
      </c>
      <c r="S5905">
        <v>24.96632</v>
      </c>
      <c r="T5905">
        <v>1151</v>
      </c>
      <c r="U5905">
        <v>300</v>
      </c>
      <c r="V5905">
        <v>0</v>
      </c>
      <c r="W5905">
        <v>107</v>
      </c>
      <c r="X5905">
        <v>758</v>
      </c>
      <c r="Y5905">
        <v>2</v>
      </c>
      <c r="Z5905">
        <v>140</v>
      </c>
      <c r="AA5905">
        <v>9</v>
      </c>
      <c r="AB5905">
        <v>17.50855</v>
      </c>
      <c r="AC5905">
        <v>1.7971689999999998E-2</v>
      </c>
      <c r="AD5905">
        <v>2.6901470000000001</v>
      </c>
      <c r="AE5905">
        <v>0.19995940000000001</v>
      </c>
      <c r="AF5905">
        <v>357.36750000000001</v>
      </c>
      <c r="AG5905">
        <f>IFERROR(AH5905*0.1, "N/A")</f>
        <v>5.8519660000000009</v>
      </c>
      <c r="AH5905">
        <v>58.519660000000002</v>
      </c>
      <c r="AI5905">
        <v>199.35599999999999</v>
      </c>
      <c r="AJ5905">
        <v>28.495729999999998</v>
      </c>
      <c r="AK5905">
        <v>48.576070000000001</v>
      </c>
    </row>
    <row r="5906" spans="1:37" x14ac:dyDescent="0.3">
      <c r="A5906">
        <v>5905</v>
      </c>
      <c r="B5906">
        <v>2.1</v>
      </c>
      <c r="C5906">
        <v>-8.15</v>
      </c>
      <c r="D5906">
        <v>11.35</v>
      </c>
      <c r="E5906">
        <f>-8.15-11.35</f>
        <v>-19.5</v>
      </c>
      <c r="F5906" t="s">
        <v>9342</v>
      </c>
      <c r="G5906" t="s">
        <v>37</v>
      </c>
      <c r="H5906">
        <v>1990</v>
      </c>
      <c r="I5906">
        <v>27.11214</v>
      </c>
      <c r="J5906">
        <v>14.8</v>
      </c>
      <c r="K5906">
        <v>62</v>
      </c>
      <c r="L5906">
        <v>20.49521</v>
      </c>
      <c r="M5906">
        <v>38.26632</v>
      </c>
      <c r="N5906">
        <v>14.61214</v>
      </c>
      <c r="O5906">
        <v>23.65419</v>
      </c>
      <c r="P5906">
        <v>25.812139999999999</v>
      </c>
      <c r="Q5906">
        <v>25.312139999999999</v>
      </c>
      <c r="R5906">
        <v>30.166329999999999</v>
      </c>
      <c r="S5906">
        <v>24.96632</v>
      </c>
      <c r="T5906">
        <v>1151</v>
      </c>
      <c r="U5906">
        <v>300</v>
      </c>
      <c r="V5906">
        <v>0</v>
      </c>
      <c r="W5906">
        <v>107</v>
      </c>
      <c r="X5906">
        <v>758</v>
      </c>
      <c r="Y5906">
        <v>2</v>
      </c>
      <c r="Z5906">
        <v>140</v>
      </c>
      <c r="AA5906">
        <v>9</v>
      </c>
      <c r="AB5906">
        <v>17.50855</v>
      </c>
      <c r="AC5906">
        <v>1.7971689999999998E-2</v>
      </c>
      <c r="AD5906">
        <v>2.6901470000000001</v>
      </c>
      <c r="AE5906">
        <v>0.19995940000000001</v>
      </c>
      <c r="AF5906">
        <v>357.36750000000001</v>
      </c>
      <c r="AG5906">
        <f>IFERROR(AH5906*0.1, "N/A")</f>
        <v>5.8519660000000009</v>
      </c>
      <c r="AH5906">
        <v>58.519660000000002</v>
      </c>
      <c r="AI5906">
        <v>199.35599999999999</v>
      </c>
      <c r="AJ5906">
        <v>28.495729999999998</v>
      </c>
      <c r="AK5906">
        <v>48.576070000000001</v>
      </c>
    </row>
    <row r="5907" spans="1:37" x14ac:dyDescent="0.3">
      <c r="A5907">
        <v>5906</v>
      </c>
      <c r="B5907">
        <v>0</v>
      </c>
      <c r="C5907">
        <v>-8.1567600000000002</v>
      </c>
      <c r="D5907">
        <v>11.351900000000001</v>
      </c>
      <c r="E5907">
        <f>-8.15676-11.3519</f>
        <v>-19.508659999999999</v>
      </c>
      <c r="F5907" t="s">
        <v>9343</v>
      </c>
      <c r="G5907" t="s">
        <v>39</v>
      </c>
      <c r="H5907">
        <v>1975</v>
      </c>
      <c r="I5907">
        <v>27.1</v>
      </c>
      <c r="J5907">
        <v>14.8</v>
      </c>
      <c r="K5907">
        <v>62</v>
      </c>
      <c r="L5907">
        <v>20.29</v>
      </c>
      <c r="M5907">
        <v>38.200000000000003</v>
      </c>
      <c r="N5907">
        <v>14.6</v>
      </c>
      <c r="O5907">
        <v>23.6</v>
      </c>
      <c r="P5907">
        <v>25.8</v>
      </c>
      <c r="Q5907">
        <v>25.3</v>
      </c>
      <c r="R5907">
        <v>30.1</v>
      </c>
      <c r="S5907">
        <v>24.9</v>
      </c>
      <c r="T5907">
        <v>1151</v>
      </c>
      <c r="U5907">
        <v>300</v>
      </c>
      <c r="V5907">
        <v>0</v>
      </c>
      <c r="W5907">
        <v>107</v>
      </c>
      <c r="X5907">
        <v>758</v>
      </c>
      <c r="Y5907">
        <v>2</v>
      </c>
      <c r="Z5907">
        <v>140</v>
      </c>
      <c r="AA5907">
        <v>9</v>
      </c>
      <c r="AB5907">
        <v>4.4099430000000002</v>
      </c>
      <c r="AC5907">
        <v>6.4070269999999999E-2</v>
      </c>
      <c r="AD5907">
        <v>2.4931410000000001</v>
      </c>
      <c r="AE5907">
        <v>0.1756337</v>
      </c>
      <c r="AF5907">
        <v>347.39550000000003</v>
      </c>
      <c r="AG5907">
        <f>IFERROR(AH5907*0.1, "N/A")</f>
        <v>5.9</v>
      </c>
      <c r="AH5907">
        <v>59</v>
      </c>
      <c r="AI5907">
        <v>246.11089999999999</v>
      </c>
      <c r="AJ5907">
        <v>33</v>
      </c>
      <c r="AK5907">
        <v>44</v>
      </c>
    </row>
    <row r="5908" spans="1:37" x14ac:dyDescent="0.3">
      <c r="A5908">
        <v>5907</v>
      </c>
      <c r="B5908">
        <v>0</v>
      </c>
      <c r="C5908">
        <v>-8.1567600000000002</v>
      </c>
      <c r="D5908">
        <v>11.351900000000001</v>
      </c>
      <c r="E5908">
        <f>-8.15676-11.3519</f>
        <v>-19.508659999999999</v>
      </c>
      <c r="F5908" t="s">
        <v>9344</v>
      </c>
      <c r="G5908" t="s">
        <v>37</v>
      </c>
      <c r="H5908">
        <v>1975</v>
      </c>
      <c r="I5908">
        <v>27.1</v>
      </c>
      <c r="J5908">
        <v>14.8</v>
      </c>
      <c r="K5908">
        <v>62</v>
      </c>
      <c r="L5908">
        <v>20.29</v>
      </c>
      <c r="M5908">
        <v>38.200000000000003</v>
      </c>
      <c r="N5908">
        <v>14.6</v>
      </c>
      <c r="O5908">
        <v>23.6</v>
      </c>
      <c r="P5908">
        <v>25.8</v>
      </c>
      <c r="Q5908">
        <v>25.3</v>
      </c>
      <c r="R5908">
        <v>30.1</v>
      </c>
      <c r="S5908">
        <v>24.9</v>
      </c>
      <c r="T5908">
        <v>1151</v>
      </c>
      <c r="U5908">
        <v>300</v>
      </c>
      <c r="V5908">
        <v>0</v>
      </c>
      <c r="W5908">
        <v>107</v>
      </c>
      <c r="X5908">
        <v>758</v>
      </c>
      <c r="Y5908">
        <v>2</v>
      </c>
      <c r="Z5908">
        <v>140</v>
      </c>
      <c r="AA5908">
        <v>9</v>
      </c>
      <c r="AB5908">
        <v>4.4099430000000002</v>
      </c>
      <c r="AC5908">
        <v>6.4070269999999999E-2</v>
      </c>
      <c r="AD5908">
        <v>2.4931410000000001</v>
      </c>
      <c r="AE5908">
        <v>0.1756337</v>
      </c>
      <c r="AF5908">
        <v>347.39550000000003</v>
      </c>
      <c r="AG5908">
        <f>IFERROR(AH5908*0.1, "N/A")</f>
        <v>5.9</v>
      </c>
      <c r="AH5908">
        <v>59</v>
      </c>
      <c r="AI5908">
        <v>246.11089999999999</v>
      </c>
      <c r="AJ5908">
        <v>33</v>
      </c>
      <c r="AK5908">
        <v>44</v>
      </c>
    </row>
    <row r="5909" spans="1:37" x14ac:dyDescent="0.3">
      <c r="A5909">
        <v>5908</v>
      </c>
      <c r="B5909">
        <v>1.3</v>
      </c>
      <c r="C5909">
        <v>-7.0910299999999999</v>
      </c>
      <c r="D5909">
        <v>11.371499999999999</v>
      </c>
      <c r="E5909">
        <f>-7.09103-11.3715</f>
        <v>-18.462530000000001</v>
      </c>
      <c r="F5909" t="s">
        <v>9345</v>
      </c>
      <c r="G5909" t="s">
        <v>39</v>
      </c>
      <c r="H5909">
        <v>1990</v>
      </c>
      <c r="I5909">
        <v>27.07385</v>
      </c>
      <c r="J5909">
        <v>13.4</v>
      </c>
      <c r="K5909">
        <v>60</v>
      </c>
      <c r="L5909">
        <v>20.238150000000001</v>
      </c>
      <c r="M5909">
        <v>37.299999999999997</v>
      </c>
      <c r="N5909">
        <v>15.2</v>
      </c>
      <c r="O5909">
        <v>22.1</v>
      </c>
      <c r="P5909">
        <v>25.8</v>
      </c>
      <c r="Q5909">
        <v>25.3</v>
      </c>
      <c r="R5909">
        <v>30</v>
      </c>
      <c r="S5909">
        <v>24.9</v>
      </c>
      <c r="T5909">
        <v>1024.4770000000001</v>
      </c>
      <c r="U5909">
        <v>282</v>
      </c>
      <c r="V5909">
        <v>1</v>
      </c>
      <c r="W5909">
        <v>110</v>
      </c>
      <c r="X5909">
        <v>690.73850000000004</v>
      </c>
      <c r="Y5909">
        <v>3</v>
      </c>
      <c r="Z5909">
        <v>119.7385</v>
      </c>
      <c r="AA5909">
        <v>11</v>
      </c>
      <c r="AB5909">
        <v>4.0174440000000002</v>
      </c>
      <c r="AC5909">
        <v>0.87833240000000001</v>
      </c>
      <c r="AD5909">
        <v>1.4362140000000001</v>
      </c>
      <c r="AE5909">
        <v>0.68147069999999998</v>
      </c>
      <c r="AF5909">
        <v>339.89400000000001</v>
      </c>
      <c r="AG5909">
        <f>IFERROR(AH5909*0.1, "N/A")</f>
        <v>5.6547010000000002</v>
      </c>
      <c r="AH5909">
        <v>56.54701</v>
      </c>
      <c r="AI5909">
        <v>305.1404</v>
      </c>
      <c r="AJ5909">
        <v>15.803419999999999</v>
      </c>
      <c r="AK5909">
        <v>51.743589999999998</v>
      </c>
    </row>
    <row r="5910" spans="1:37" x14ac:dyDescent="0.3">
      <c r="A5910">
        <v>5909</v>
      </c>
      <c r="B5910">
        <v>5.0999999999999996</v>
      </c>
      <c r="C5910">
        <v>-7.0910299999999999</v>
      </c>
      <c r="D5910">
        <v>11.371499999999999</v>
      </c>
      <c r="E5910">
        <f>-7.09103-11.3715</f>
        <v>-18.462530000000001</v>
      </c>
      <c r="F5910" t="s">
        <v>9346</v>
      </c>
      <c r="G5910" t="s">
        <v>37</v>
      </c>
      <c r="H5910">
        <v>1990</v>
      </c>
      <c r="I5910">
        <v>27.07385</v>
      </c>
      <c r="J5910">
        <v>13.4</v>
      </c>
      <c r="K5910">
        <v>60</v>
      </c>
      <c r="L5910">
        <v>20.238150000000001</v>
      </c>
      <c r="M5910">
        <v>37.299999999999997</v>
      </c>
      <c r="N5910">
        <v>15.2</v>
      </c>
      <c r="O5910">
        <v>22.1</v>
      </c>
      <c r="P5910">
        <v>25.8</v>
      </c>
      <c r="Q5910">
        <v>25.3</v>
      </c>
      <c r="R5910">
        <v>30</v>
      </c>
      <c r="S5910">
        <v>24.9</v>
      </c>
      <c r="T5910">
        <v>1024.4770000000001</v>
      </c>
      <c r="U5910">
        <v>282</v>
      </c>
      <c r="V5910">
        <v>1</v>
      </c>
      <c r="W5910">
        <v>110</v>
      </c>
      <c r="X5910">
        <v>690.73850000000004</v>
      </c>
      <c r="Y5910">
        <v>3</v>
      </c>
      <c r="Z5910">
        <v>119.7385</v>
      </c>
      <c r="AA5910">
        <v>11</v>
      </c>
      <c r="AB5910">
        <v>4.0174440000000002</v>
      </c>
      <c r="AC5910">
        <v>0.87833240000000001</v>
      </c>
      <c r="AD5910">
        <v>1.4362140000000001</v>
      </c>
      <c r="AE5910">
        <v>0.68147069999999998</v>
      </c>
      <c r="AF5910">
        <v>339.89400000000001</v>
      </c>
      <c r="AG5910">
        <f>IFERROR(AH5910*0.1, "N/A")</f>
        <v>5.6547010000000002</v>
      </c>
      <c r="AH5910">
        <v>56.54701</v>
      </c>
      <c r="AI5910">
        <v>305.1404</v>
      </c>
      <c r="AJ5910">
        <v>15.803419999999999</v>
      </c>
      <c r="AK5910">
        <v>51.743589999999998</v>
      </c>
    </row>
    <row r="5911" spans="1:37" x14ac:dyDescent="0.3">
      <c r="A5911">
        <v>5910</v>
      </c>
      <c r="B5911">
        <v>13</v>
      </c>
      <c r="C5911">
        <v>-8.3333300000000001</v>
      </c>
      <c r="D5911">
        <v>11.3833</v>
      </c>
      <c r="E5911">
        <f>-8.33333-11.3833</f>
        <v>-19.716630000000002</v>
      </c>
      <c r="F5911" t="s">
        <v>9347</v>
      </c>
      <c r="G5911" t="s">
        <v>39</v>
      </c>
      <c r="H5911">
        <v>1990</v>
      </c>
      <c r="I5911">
        <v>27.167919999999999</v>
      </c>
      <c r="J5911">
        <v>15.3</v>
      </c>
      <c r="K5911">
        <v>63</v>
      </c>
      <c r="L5911">
        <v>20.51247</v>
      </c>
      <c r="M5911">
        <v>38.6</v>
      </c>
      <c r="N5911">
        <v>14.461259999999999</v>
      </c>
      <c r="O5911">
        <v>24.138739999999999</v>
      </c>
      <c r="P5911">
        <v>25.867920000000002</v>
      </c>
      <c r="Q5911">
        <v>25.4</v>
      </c>
      <c r="R5911">
        <v>30.247440000000001</v>
      </c>
      <c r="S5911">
        <v>25.013819999999999</v>
      </c>
      <c r="T5911">
        <v>1169.548</v>
      </c>
      <c r="U5911">
        <v>304.20479999999998</v>
      </c>
      <c r="V5911">
        <v>0</v>
      </c>
      <c r="W5911">
        <v>106.20480000000001</v>
      </c>
      <c r="X5911">
        <v>772.34299999999996</v>
      </c>
      <c r="Y5911">
        <v>2</v>
      </c>
      <c r="Z5911">
        <v>136</v>
      </c>
      <c r="AA5911">
        <v>10</v>
      </c>
      <c r="AB5911">
        <v>0</v>
      </c>
      <c r="AC5911">
        <v>2.3474979999999999E-2</v>
      </c>
      <c r="AD5911">
        <v>0</v>
      </c>
      <c r="AE5911">
        <v>0.28305380000000002</v>
      </c>
      <c r="AF5911">
        <v>340</v>
      </c>
      <c r="AG5911">
        <f>IFERROR(AH5911*0.1, "N/A")</f>
        <v>6.5</v>
      </c>
      <c r="AH5911">
        <v>65</v>
      </c>
      <c r="AI5911">
        <v>0</v>
      </c>
      <c r="AJ5911">
        <v>37</v>
      </c>
      <c r="AK5911">
        <v>40</v>
      </c>
    </row>
    <row r="5912" spans="1:37" x14ac:dyDescent="0.3">
      <c r="A5912">
        <v>5911</v>
      </c>
      <c r="B5912">
        <v>0</v>
      </c>
      <c r="C5912">
        <v>-8.3333300000000001</v>
      </c>
      <c r="D5912">
        <v>11.3833</v>
      </c>
      <c r="E5912">
        <f>-8.33333-11.3833</f>
        <v>-19.716630000000002</v>
      </c>
      <c r="F5912" t="s">
        <v>9348</v>
      </c>
      <c r="G5912" t="s">
        <v>37</v>
      </c>
      <c r="H5912">
        <v>1990</v>
      </c>
      <c r="I5912">
        <v>27.167919999999999</v>
      </c>
      <c r="J5912">
        <v>15.3</v>
      </c>
      <c r="K5912">
        <v>63</v>
      </c>
      <c r="L5912">
        <v>20.51247</v>
      </c>
      <c r="M5912">
        <v>38.6</v>
      </c>
      <c r="N5912">
        <v>14.461259999999999</v>
      </c>
      <c r="O5912">
        <v>24.138739999999999</v>
      </c>
      <c r="P5912">
        <v>25.867920000000002</v>
      </c>
      <c r="Q5912">
        <v>25.4</v>
      </c>
      <c r="R5912">
        <v>30.247440000000001</v>
      </c>
      <c r="S5912">
        <v>25.013819999999999</v>
      </c>
      <c r="T5912">
        <v>1169.548</v>
      </c>
      <c r="U5912">
        <v>304.20479999999998</v>
      </c>
      <c r="V5912">
        <v>0</v>
      </c>
      <c r="W5912">
        <v>106.20480000000001</v>
      </c>
      <c r="X5912">
        <v>772.34299999999996</v>
      </c>
      <c r="Y5912">
        <v>2</v>
      </c>
      <c r="Z5912">
        <v>136</v>
      </c>
      <c r="AA5912">
        <v>10</v>
      </c>
      <c r="AB5912">
        <v>0</v>
      </c>
      <c r="AC5912">
        <v>2.3474979999999999E-2</v>
      </c>
      <c r="AD5912">
        <v>0</v>
      </c>
      <c r="AE5912">
        <v>0.28305380000000002</v>
      </c>
      <c r="AF5912">
        <v>340</v>
      </c>
      <c r="AG5912">
        <f>IFERROR(AH5912*0.1, "N/A")</f>
        <v>6.5</v>
      </c>
      <c r="AH5912">
        <v>65</v>
      </c>
      <c r="AI5912">
        <v>0</v>
      </c>
      <c r="AJ5912">
        <v>37</v>
      </c>
      <c r="AK5912">
        <v>40</v>
      </c>
    </row>
    <row r="5913" spans="1:37" x14ac:dyDescent="0.3">
      <c r="A5913">
        <v>5912</v>
      </c>
      <c r="B5913">
        <v>8.9</v>
      </c>
      <c r="C5913">
        <v>-8.3350000000000009</v>
      </c>
      <c r="D5913">
        <v>11.384</v>
      </c>
      <c r="E5913">
        <f>-8.335-11.384</f>
        <v>-19.719000000000001</v>
      </c>
      <c r="F5913" t="s">
        <v>9349</v>
      </c>
      <c r="G5913" t="s">
        <v>39</v>
      </c>
      <c r="H5913">
        <v>1987</v>
      </c>
      <c r="I5913">
        <v>27.2</v>
      </c>
      <c r="J5913">
        <v>15.3</v>
      </c>
      <c r="K5913">
        <v>63</v>
      </c>
      <c r="L5913">
        <v>20.353100000000001</v>
      </c>
      <c r="M5913">
        <v>38.6</v>
      </c>
      <c r="N5913">
        <v>14.40767</v>
      </c>
      <c r="O5913">
        <v>24.192329999999998</v>
      </c>
      <c r="P5913">
        <v>25.9</v>
      </c>
      <c r="Q5913">
        <v>25.4</v>
      </c>
      <c r="R5913">
        <v>30.2</v>
      </c>
      <c r="S5913">
        <v>25.007670000000001</v>
      </c>
      <c r="T5913">
        <v>1171.077</v>
      </c>
      <c r="U5913">
        <v>305</v>
      </c>
      <c r="V5913">
        <v>0</v>
      </c>
      <c r="W5913">
        <v>107</v>
      </c>
      <c r="X5913">
        <v>773.07669999999996</v>
      </c>
      <c r="Y5913">
        <v>2</v>
      </c>
      <c r="Z5913">
        <v>136</v>
      </c>
      <c r="AA5913">
        <v>10</v>
      </c>
      <c r="AB5913">
        <v>5.4509490000000001E-3</v>
      </c>
      <c r="AC5913">
        <v>0.2050141</v>
      </c>
      <c r="AD5913">
        <v>0</v>
      </c>
      <c r="AE5913">
        <v>0.26055889999999998</v>
      </c>
      <c r="AF5913">
        <v>340</v>
      </c>
      <c r="AG5913">
        <f>IFERROR(AH5913*0.1, "N/A")</f>
        <v>6.3686770000000008</v>
      </c>
      <c r="AH5913">
        <v>63.686770000000003</v>
      </c>
      <c r="AI5913">
        <v>0</v>
      </c>
      <c r="AJ5913">
        <v>38.050579999999997</v>
      </c>
      <c r="AK5913">
        <v>38.424120000000002</v>
      </c>
    </row>
    <row r="5914" spans="1:37" x14ac:dyDescent="0.3">
      <c r="A5914">
        <v>5913</v>
      </c>
      <c r="B5914">
        <v>0</v>
      </c>
      <c r="C5914">
        <v>-8.3350000000000009</v>
      </c>
      <c r="D5914">
        <v>11.384</v>
      </c>
      <c r="E5914">
        <f>-8.335-11.384</f>
        <v>-19.719000000000001</v>
      </c>
      <c r="F5914" t="s">
        <v>9350</v>
      </c>
      <c r="G5914" t="s">
        <v>37</v>
      </c>
      <c r="H5914">
        <v>1987</v>
      </c>
      <c r="I5914">
        <v>27.2</v>
      </c>
      <c r="J5914">
        <v>15.3</v>
      </c>
      <c r="K5914">
        <v>63</v>
      </c>
      <c r="L5914">
        <v>20.353100000000001</v>
      </c>
      <c r="M5914">
        <v>38.6</v>
      </c>
      <c r="N5914">
        <v>14.40767</v>
      </c>
      <c r="O5914">
        <v>24.192329999999998</v>
      </c>
      <c r="P5914">
        <v>25.9</v>
      </c>
      <c r="Q5914">
        <v>25.4</v>
      </c>
      <c r="R5914">
        <v>30.2</v>
      </c>
      <c r="S5914">
        <v>25.007670000000001</v>
      </c>
      <c r="T5914">
        <v>1171.077</v>
      </c>
      <c r="U5914">
        <v>305</v>
      </c>
      <c r="V5914">
        <v>0</v>
      </c>
      <c r="W5914">
        <v>107</v>
      </c>
      <c r="X5914">
        <v>773.07669999999996</v>
      </c>
      <c r="Y5914">
        <v>2</v>
      </c>
      <c r="Z5914">
        <v>136</v>
      </c>
      <c r="AA5914">
        <v>10</v>
      </c>
      <c r="AB5914">
        <v>5.4509490000000001E-3</v>
      </c>
      <c r="AC5914">
        <v>0.2050141</v>
      </c>
      <c r="AD5914">
        <v>0</v>
      </c>
      <c r="AE5914">
        <v>0.26055889999999998</v>
      </c>
      <c r="AF5914">
        <v>340</v>
      </c>
      <c r="AG5914">
        <f>IFERROR(AH5914*0.1, "N/A")</f>
        <v>6.3686770000000008</v>
      </c>
      <c r="AH5914">
        <v>63.686770000000003</v>
      </c>
      <c r="AI5914">
        <v>0</v>
      </c>
      <c r="AJ5914">
        <v>38.050579999999997</v>
      </c>
      <c r="AK5914">
        <v>38.424120000000002</v>
      </c>
    </row>
    <row r="5915" spans="1:37" x14ac:dyDescent="0.3">
      <c r="A5915">
        <v>5914</v>
      </c>
      <c r="B5915">
        <v>0</v>
      </c>
      <c r="C5915">
        <v>-7.2549700000000001</v>
      </c>
      <c r="D5915">
        <v>11.385199999999999</v>
      </c>
      <c r="E5915">
        <f>-7.25497-11.3852</f>
        <v>-18.640169999999998</v>
      </c>
      <c r="F5915" t="s">
        <v>9351</v>
      </c>
      <c r="G5915" t="s">
        <v>39</v>
      </c>
      <c r="H5915">
        <v>1978</v>
      </c>
      <c r="I5915">
        <v>27.1</v>
      </c>
      <c r="J5915">
        <v>13.4</v>
      </c>
      <c r="K5915">
        <v>61</v>
      </c>
      <c r="L5915">
        <v>19.87</v>
      </c>
      <c r="M5915">
        <v>37.299999999999997</v>
      </c>
      <c r="N5915">
        <v>15.4</v>
      </c>
      <c r="O5915">
        <v>21.9</v>
      </c>
      <c r="P5915">
        <v>25.8</v>
      </c>
      <c r="Q5915">
        <v>25.4</v>
      </c>
      <c r="R5915">
        <v>30</v>
      </c>
      <c r="S5915">
        <v>24.9</v>
      </c>
      <c r="T5915">
        <v>1019</v>
      </c>
      <c r="U5915">
        <v>284</v>
      </c>
      <c r="V5915">
        <v>0</v>
      </c>
      <c r="W5915">
        <v>112</v>
      </c>
      <c r="X5915">
        <v>696</v>
      </c>
      <c r="Y5915">
        <v>2</v>
      </c>
      <c r="Z5915">
        <v>116</v>
      </c>
      <c r="AA5915">
        <v>11</v>
      </c>
      <c r="AB5915">
        <v>6.2713469999999996</v>
      </c>
      <c r="AC5915">
        <v>2.2588049999999998E-2</v>
      </c>
      <c r="AD5915">
        <v>1.611626</v>
      </c>
      <c r="AE5915">
        <v>0.53534939999999998</v>
      </c>
      <c r="AF5915">
        <v>335.34809999999999</v>
      </c>
      <c r="AG5915">
        <f>IFERROR(AH5915*0.1, "N/A")</f>
        <v>5.6000000000000005</v>
      </c>
      <c r="AH5915">
        <v>56</v>
      </c>
      <c r="AI5915">
        <v>221.209</v>
      </c>
      <c r="AJ5915">
        <v>15</v>
      </c>
      <c r="AK5915">
        <v>55</v>
      </c>
    </row>
    <row r="5916" spans="1:37" x14ac:dyDescent="0.3">
      <c r="A5916">
        <v>5915</v>
      </c>
      <c r="B5916">
        <v>0</v>
      </c>
      <c r="C5916">
        <v>-7.2549700000000001</v>
      </c>
      <c r="D5916">
        <v>11.385199999999999</v>
      </c>
      <c r="E5916">
        <f>-7.25497-11.3852</f>
        <v>-18.640169999999998</v>
      </c>
      <c r="F5916" t="s">
        <v>9352</v>
      </c>
      <c r="G5916" t="s">
        <v>37</v>
      </c>
      <c r="H5916">
        <v>1978</v>
      </c>
      <c r="I5916">
        <v>27.1</v>
      </c>
      <c r="J5916">
        <v>13.4</v>
      </c>
      <c r="K5916">
        <v>61</v>
      </c>
      <c r="L5916">
        <v>19.87</v>
      </c>
      <c r="M5916">
        <v>37.299999999999997</v>
      </c>
      <c r="N5916">
        <v>15.4</v>
      </c>
      <c r="O5916">
        <v>21.9</v>
      </c>
      <c r="P5916">
        <v>25.8</v>
      </c>
      <c r="Q5916">
        <v>25.4</v>
      </c>
      <c r="R5916">
        <v>30</v>
      </c>
      <c r="S5916">
        <v>24.9</v>
      </c>
      <c r="T5916">
        <v>1019</v>
      </c>
      <c r="U5916">
        <v>284</v>
      </c>
      <c r="V5916">
        <v>0</v>
      </c>
      <c r="W5916">
        <v>112</v>
      </c>
      <c r="X5916">
        <v>696</v>
      </c>
      <c r="Y5916">
        <v>2</v>
      </c>
      <c r="Z5916">
        <v>116</v>
      </c>
      <c r="AA5916">
        <v>11</v>
      </c>
      <c r="AB5916">
        <v>6.2713469999999996</v>
      </c>
      <c r="AC5916">
        <v>2.2588049999999998E-2</v>
      </c>
      <c r="AD5916">
        <v>1.611626</v>
      </c>
      <c r="AE5916">
        <v>0.53534939999999998</v>
      </c>
      <c r="AF5916">
        <v>335.34809999999999</v>
      </c>
      <c r="AG5916">
        <f>IFERROR(AH5916*0.1, "N/A")</f>
        <v>5.6000000000000005</v>
      </c>
      <c r="AH5916">
        <v>56</v>
      </c>
      <c r="AI5916">
        <v>221.209</v>
      </c>
      <c r="AJ5916">
        <v>15</v>
      </c>
      <c r="AK5916">
        <v>55</v>
      </c>
    </row>
    <row r="5917" spans="1:37" x14ac:dyDescent="0.3">
      <c r="A5917">
        <v>5916</v>
      </c>
      <c r="B5917">
        <v>2</v>
      </c>
      <c r="C5917">
        <v>-7.18485</v>
      </c>
      <c r="D5917">
        <v>11.412100000000001</v>
      </c>
      <c r="E5917">
        <f>-7.18485-11.4121</f>
        <v>-18.59695</v>
      </c>
      <c r="F5917" t="s">
        <v>9353</v>
      </c>
      <c r="G5917" t="s">
        <v>39</v>
      </c>
      <c r="H5917">
        <v>1978</v>
      </c>
      <c r="I5917">
        <v>27.1</v>
      </c>
      <c r="J5917">
        <v>13.4</v>
      </c>
      <c r="K5917">
        <v>61</v>
      </c>
      <c r="L5917">
        <v>19.97</v>
      </c>
      <c r="M5917">
        <v>37.299999999999997</v>
      </c>
      <c r="N5917">
        <v>15.4</v>
      </c>
      <c r="O5917">
        <v>21.9</v>
      </c>
      <c r="P5917">
        <v>25.8</v>
      </c>
      <c r="Q5917">
        <v>25.4</v>
      </c>
      <c r="R5917">
        <v>30</v>
      </c>
      <c r="S5917">
        <v>24.9</v>
      </c>
      <c r="T5917">
        <v>1009</v>
      </c>
      <c r="U5917">
        <v>282</v>
      </c>
      <c r="V5917">
        <v>0</v>
      </c>
      <c r="W5917">
        <v>111</v>
      </c>
      <c r="X5917">
        <v>689</v>
      </c>
      <c r="Y5917">
        <v>2</v>
      </c>
      <c r="Z5917">
        <v>114</v>
      </c>
      <c r="AA5917">
        <v>10</v>
      </c>
      <c r="AB5917">
        <v>8.5058389999999999</v>
      </c>
      <c r="AC5917">
        <v>5.5713730000000003E-2</v>
      </c>
      <c r="AD5917">
        <v>1.163348</v>
      </c>
      <c r="AE5917">
        <v>0.62539109999999998</v>
      </c>
      <c r="AF5917">
        <v>338.19900000000001</v>
      </c>
      <c r="AG5917">
        <f>IFERROR(AH5917*0.1, "N/A")</f>
        <v>5.8000000000000007</v>
      </c>
      <c r="AH5917">
        <v>58</v>
      </c>
      <c r="AI5917">
        <v>173.44759999999999</v>
      </c>
      <c r="AJ5917">
        <v>15.989710000000001</v>
      </c>
      <c r="AK5917">
        <v>52.989710000000002</v>
      </c>
    </row>
    <row r="5918" spans="1:37" x14ac:dyDescent="0.3">
      <c r="A5918">
        <v>5917</v>
      </c>
      <c r="B5918">
        <v>0</v>
      </c>
      <c r="C5918">
        <v>-7.18485</v>
      </c>
      <c r="D5918">
        <v>11.412100000000001</v>
      </c>
      <c r="E5918">
        <f>-7.18485-11.4121</f>
        <v>-18.59695</v>
      </c>
      <c r="F5918" t="s">
        <v>9354</v>
      </c>
      <c r="G5918" t="s">
        <v>37</v>
      </c>
      <c r="H5918">
        <v>1978</v>
      </c>
      <c r="I5918">
        <v>27.1</v>
      </c>
      <c r="J5918">
        <v>13.4</v>
      </c>
      <c r="K5918">
        <v>61</v>
      </c>
      <c r="L5918">
        <v>19.97</v>
      </c>
      <c r="M5918">
        <v>37.299999999999997</v>
      </c>
      <c r="N5918">
        <v>15.4</v>
      </c>
      <c r="O5918">
        <v>21.9</v>
      </c>
      <c r="P5918">
        <v>25.8</v>
      </c>
      <c r="Q5918">
        <v>25.4</v>
      </c>
      <c r="R5918">
        <v>30</v>
      </c>
      <c r="S5918">
        <v>24.9</v>
      </c>
      <c r="T5918">
        <v>1009</v>
      </c>
      <c r="U5918">
        <v>282</v>
      </c>
      <c r="V5918">
        <v>0</v>
      </c>
      <c r="W5918">
        <v>111</v>
      </c>
      <c r="X5918">
        <v>689</v>
      </c>
      <c r="Y5918">
        <v>2</v>
      </c>
      <c r="Z5918">
        <v>114</v>
      </c>
      <c r="AA5918">
        <v>10</v>
      </c>
      <c r="AB5918">
        <v>8.5058389999999999</v>
      </c>
      <c r="AC5918">
        <v>5.5713730000000003E-2</v>
      </c>
      <c r="AD5918">
        <v>1.163348</v>
      </c>
      <c r="AE5918">
        <v>0.62539109999999998</v>
      </c>
      <c r="AF5918">
        <v>338.19900000000001</v>
      </c>
      <c r="AG5918">
        <f>IFERROR(AH5918*0.1, "N/A")</f>
        <v>5.8000000000000007</v>
      </c>
      <c r="AH5918">
        <v>58</v>
      </c>
      <c r="AI5918">
        <v>173.44759999999999</v>
      </c>
      <c r="AJ5918">
        <v>15.989710000000001</v>
      </c>
      <c r="AK5918">
        <v>52.989710000000002</v>
      </c>
    </row>
    <row r="5919" spans="1:37" x14ac:dyDescent="0.3">
      <c r="A5919">
        <v>5918</v>
      </c>
      <c r="B5919">
        <v>14.1</v>
      </c>
      <c r="C5919">
        <v>-7.4859999999999998</v>
      </c>
      <c r="D5919">
        <v>11.416</v>
      </c>
      <c r="E5919">
        <f>-7.486-11.416</f>
        <v>-18.902000000000001</v>
      </c>
      <c r="F5919" t="s">
        <v>9355</v>
      </c>
      <c r="G5919" t="s">
        <v>39</v>
      </c>
      <c r="H5919">
        <v>1987</v>
      </c>
      <c r="I5919">
        <v>26.9</v>
      </c>
      <c r="J5919">
        <v>13.4</v>
      </c>
      <c r="K5919">
        <v>61</v>
      </c>
      <c r="L5919">
        <v>19.677160000000001</v>
      </c>
      <c r="M5919">
        <v>37.200000000000003</v>
      </c>
      <c r="N5919">
        <v>15.39489</v>
      </c>
      <c r="O5919">
        <v>21.805109999999999</v>
      </c>
      <c r="P5919">
        <v>25.6</v>
      </c>
      <c r="Q5919">
        <v>25.4</v>
      </c>
      <c r="R5919">
        <v>29.8</v>
      </c>
      <c r="S5919">
        <v>24.89489</v>
      </c>
      <c r="T5919">
        <v>1119.796</v>
      </c>
      <c r="U5919">
        <v>292</v>
      </c>
      <c r="V5919">
        <v>0</v>
      </c>
      <c r="W5919">
        <v>107</v>
      </c>
      <c r="X5919">
        <v>741.89779999999996</v>
      </c>
      <c r="Y5919">
        <v>2</v>
      </c>
      <c r="Z5919">
        <v>144.94890000000001</v>
      </c>
      <c r="AA5919">
        <v>10</v>
      </c>
      <c r="AB5919">
        <v>15.396940000000001</v>
      </c>
      <c r="AC5919">
        <v>2.4731949999999999E-2</v>
      </c>
      <c r="AD5919">
        <v>1.5102340000000001</v>
      </c>
      <c r="AE5919">
        <v>0.79084650000000001</v>
      </c>
      <c r="AF5919">
        <v>346.42590000000001</v>
      </c>
      <c r="AG5919">
        <f>IFERROR(AH5919*0.1, "N/A")</f>
        <v>5.654344</v>
      </c>
      <c r="AH5919">
        <v>56.543439999999997</v>
      </c>
      <c r="AI5919">
        <v>112.0703</v>
      </c>
      <c r="AJ5919">
        <v>25.686540000000001</v>
      </c>
      <c r="AK5919">
        <v>46.439520000000002</v>
      </c>
    </row>
    <row r="5920" spans="1:37" x14ac:dyDescent="0.3">
      <c r="A5920">
        <v>5919</v>
      </c>
      <c r="B5920">
        <v>18.3</v>
      </c>
      <c r="C5920">
        <v>-8.0666700000000002</v>
      </c>
      <c r="D5920">
        <v>11.416700000000001</v>
      </c>
      <c r="E5920">
        <f>-8.06667-11.4167</f>
        <v>-19.483370000000001</v>
      </c>
      <c r="F5920" t="s">
        <v>9356</v>
      </c>
      <c r="G5920" t="s">
        <v>37</v>
      </c>
      <c r="H5920">
        <v>1989</v>
      </c>
      <c r="I5920">
        <v>27</v>
      </c>
      <c r="J5920">
        <v>14.6</v>
      </c>
      <c r="K5920">
        <v>62</v>
      </c>
      <c r="L5920">
        <v>20.36524</v>
      </c>
      <c r="M5920">
        <v>38.047600000000003</v>
      </c>
      <c r="N5920">
        <v>14.7</v>
      </c>
      <c r="O5920">
        <v>23.3476</v>
      </c>
      <c r="P5920">
        <v>25.7</v>
      </c>
      <c r="Q5920">
        <v>25.3</v>
      </c>
      <c r="R5920">
        <v>30.067810000000001</v>
      </c>
      <c r="S5920">
        <v>24.9</v>
      </c>
      <c r="T5920">
        <v>1139</v>
      </c>
      <c r="U5920">
        <v>298</v>
      </c>
      <c r="V5920">
        <v>0</v>
      </c>
      <c r="W5920">
        <v>107</v>
      </c>
      <c r="X5920">
        <v>751</v>
      </c>
      <c r="Y5920">
        <v>1</v>
      </c>
      <c r="Z5920">
        <v>139</v>
      </c>
      <c r="AA5920">
        <v>9</v>
      </c>
      <c r="AB5920">
        <v>6.7066869999999996</v>
      </c>
      <c r="AC5920">
        <v>2.0136930000000001E-2</v>
      </c>
      <c r="AD5920">
        <v>1.628082</v>
      </c>
      <c r="AE5920">
        <v>0.4863903</v>
      </c>
      <c r="AF5920">
        <v>377.26710000000003</v>
      </c>
      <c r="AG5920">
        <f>IFERROR(AH5920*0.1, "N/A")</f>
        <v>5.7683220000000004</v>
      </c>
      <c r="AH5920">
        <v>57.683219999999999</v>
      </c>
      <c r="AI5920">
        <v>164.6405</v>
      </c>
      <c r="AJ5920">
        <v>24.366440000000001</v>
      </c>
      <c r="AK5920">
        <v>44.950339999999997</v>
      </c>
    </row>
    <row r="5921" spans="1:37" x14ac:dyDescent="0.3">
      <c r="A5921">
        <v>5920</v>
      </c>
      <c r="B5921">
        <v>74.7</v>
      </c>
      <c r="C5921">
        <v>-8.0666700000000002</v>
      </c>
      <c r="D5921">
        <v>11.416700000000001</v>
      </c>
      <c r="E5921">
        <f>-8.06667-11.4167</f>
        <v>-19.483370000000001</v>
      </c>
      <c r="F5921" t="s">
        <v>9357</v>
      </c>
      <c r="G5921" t="s">
        <v>39</v>
      </c>
      <c r="H5921">
        <v>1989</v>
      </c>
      <c r="I5921">
        <v>27</v>
      </c>
      <c r="J5921">
        <v>14.6</v>
      </c>
      <c r="K5921">
        <v>62</v>
      </c>
      <c r="L5921">
        <v>20.36524</v>
      </c>
      <c r="M5921">
        <v>38.047600000000003</v>
      </c>
      <c r="N5921">
        <v>14.7</v>
      </c>
      <c r="O5921">
        <v>23.3476</v>
      </c>
      <c r="P5921">
        <v>25.7</v>
      </c>
      <c r="Q5921">
        <v>25.3</v>
      </c>
      <c r="R5921">
        <v>30.067810000000001</v>
      </c>
      <c r="S5921">
        <v>24.9</v>
      </c>
      <c r="T5921">
        <v>1139</v>
      </c>
      <c r="U5921">
        <v>298</v>
      </c>
      <c r="V5921">
        <v>0</v>
      </c>
      <c r="W5921">
        <v>107</v>
      </c>
      <c r="X5921">
        <v>751</v>
      </c>
      <c r="Y5921">
        <v>1</v>
      </c>
      <c r="Z5921">
        <v>139</v>
      </c>
      <c r="AA5921">
        <v>9</v>
      </c>
      <c r="AB5921">
        <v>6.7066869999999996</v>
      </c>
      <c r="AC5921">
        <v>2.0136930000000001E-2</v>
      </c>
      <c r="AD5921">
        <v>1.628082</v>
      </c>
      <c r="AE5921">
        <v>0.4863903</v>
      </c>
      <c r="AF5921">
        <v>377.26710000000003</v>
      </c>
      <c r="AG5921">
        <f>IFERROR(AH5921*0.1, "N/A")</f>
        <v>5.7683220000000004</v>
      </c>
      <c r="AH5921">
        <v>57.683219999999999</v>
      </c>
      <c r="AI5921">
        <v>164.6405</v>
      </c>
      <c r="AJ5921">
        <v>24.366440000000001</v>
      </c>
      <c r="AK5921">
        <v>44.950339999999997</v>
      </c>
    </row>
    <row r="5922" spans="1:37" x14ac:dyDescent="0.3">
      <c r="A5922">
        <v>5921</v>
      </c>
      <c r="B5922">
        <v>17.8</v>
      </c>
      <c r="C5922">
        <v>-8.3083299999999998</v>
      </c>
      <c r="D5922">
        <v>11.416700000000001</v>
      </c>
      <c r="E5922">
        <f>-8.30833-11.4167</f>
        <v>-19.72503</v>
      </c>
      <c r="F5922" t="s">
        <v>9358</v>
      </c>
      <c r="G5922" t="s">
        <v>39</v>
      </c>
      <c r="H5922">
        <v>1990</v>
      </c>
      <c r="I5922">
        <v>27.083079999999999</v>
      </c>
      <c r="J5922">
        <v>15.2</v>
      </c>
      <c r="K5922">
        <v>63</v>
      </c>
      <c r="L5922">
        <v>20.390920000000001</v>
      </c>
      <c r="M5922">
        <v>38.483080000000001</v>
      </c>
      <c r="N5922">
        <v>14.483079999999999</v>
      </c>
      <c r="O5922">
        <v>24</v>
      </c>
      <c r="P5922">
        <v>25.8</v>
      </c>
      <c r="Q5922">
        <v>25.334530000000001</v>
      </c>
      <c r="R5922">
        <v>30.18308</v>
      </c>
      <c r="S5922">
        <v>24.983080000000001</v>
      </c>
      <c r="T5922">
        <v>1163.6559999999999</v>
      </c>
      <c r="U5922">
        <v>304</v>
      </c>
      <c r="V5922">
        <v>0</v>
      </c>
      <c r="W5922">
        <v>106.6718</v>
      </c>
      <c r="X5922">
        <v>769.32820000000004</v>
      </c>
      <c r="Y5922">
        <v>2</v>
      </c>
      <c r="Z5922">
        <v>134</v>
      </c>
      <c r="AA5922">
        <v>10</v>
      </c>
      <c r="AB5922">
        <v>3.7198319999999998</v>
      </c>
      <c r="AC5922">
        <v>8.5008760000000003E-2</v>
      </c>
      <c r="AD5922">
        <v>1.5109539999999999</v>
      </c>
      <c r="AE5922">
        <v>0.50180939999999996</v>
      </c>
      <c r="AF5922">
        <v>354.55380000000002</v>
      </c>
      <c r="AG5922">
        <f>IFERROR(AH5922*0.1, "N/A")</f>
        <v>5.9</v>
      </c>
      <c r="AH5922">
        <v>59</v>
      </c>
      <c r="AI5922">
        <v>147.34299999999999</v>
      </c>
      <c r="AJ5922">
        <v>21.671790000000001</v>
      </c>
      <c r="AK5922">
        <v>47.328209999999999</v>
      </c>
    </row>
    <row r="5923" spans="1:37" x14ac:dyDescent="0.3">
      <c r="A5923">
        <v>5922</v>
      </c>
      <c r="B5923">
        <v>1.3</v>
      </c>
      <c r="C5923">
        <v>-8.3083299999999998</v>
      </c>
      <c r="D5923">
        <v>11.416700000000001</v>
      </c>
      <c r="E5923">
        <f>-8.30833-11.4167</f>
        <v>-19.72503</v>
      </c>
      <c r="F5923" t="s">
        <v>9359</v>
      </c>
      <c r="G5923" t="s">
        <v>37</v>
      </c>
      <c r="H5923">
        <v>1990</v>
      </c>
      <c r="I5923">
        <v>27.083079999999999</v>
      </c>
      <c r="J5923">
        <v>15.2</v>
      </c>
      <c r="K5923">
        <v>63</v>
      </c>
      <c r="L5923">
        <v>20.390920000000001</v>
      </c>
      <c r="M5923">
        <v>38.483080000000001</v>
      </c>
      <c r="N5923">
        <v>14.483079999999999</v>
      </c>
      <c r="O5923">
        <v>24</v>
      </c>
      <c r="P5923">
        <v>25.8</v>
      </c>
      <c r="Q5923">
        <v>25.334530000000001</v>
      </c>
      <c r="R5923">
        <v>30.18308</v>
      </c>
      <c r="S5923">
        <v>24.983080000000001</v>
      </c>
      <c r="T5923">
        <v>1163.6559999999999</v>
      </c>
      <c r="U5923">
        <v>304</v>
      </c>
      <c r="V5923">
        <v>0</v>
      </c>
      <c r="W5923">
        <v>106.6718</v>
      </c>
      <c r="X5923">
        <v>769.32820000000004</v>
      </c>
      <c r="Y5923">
        <v>2</v>
      </c>
      <c r="Z5923">
        <v>134</v>
      </c>
      <c r="AA5923">
        <v>10</v>
      </c>
      <c r="AB5923">
        <v>3.7198319999999998</v>
      </c>
      <c r="AC5923">
        <v>8.5008760000000003E-2</v>
      </c>
      <c r="AD5923">
        <v>1.5109539999999999</v>
      </c>
      <c r="AE5923">
        <v>0.50180939999999996</v>
      </c>
      <c r="AF5923">
        <v>354.55380000000002</v>
      </c>
      <c r="AG5923">
        <f>IFERROR(AH5923*0.1, "N/A")</f>
        <v>5.9</v>
      </c>
      <c r="AH5923">
        <v>59</v>
      </c>
      <c r="AI5923">
        <v>147.34299999999999</v>
      </c>
      <c r="AJ5923">
        <v>21.671790000000001</v>
      </c>
      <c r="AK5923">
        <v>47.328209999999999</v>
      </c>
    </row>
    <row r="5924" spans="1:37" x14ac:dyDescent="0.3">
      <c r="A5924">
        <v>5923</v>
      </c>
      <c r="B5924">
        <v>19</v>
      </c>
      <c r="C5924">
        <v>-8.35</v>
      </c>
      <c r="D5924">
        <v>11.416700000000001</v>
      </c>
      <c r="E5924">
        <f>-8.35-11.4167</f>
        <v>-19.7667</v>
      </c>
      <c r="F5924" t="s">
        <v>9360</v>
      </c>
      <c r="G5924" t="s">
        <v>39</v>
      </c>
      <c r="H5924">
        <v>1990</v>
      </c>
      <c r="I5924">
        <v>26.947430000000001</v>
      </c>
      <c r="J5924">
        <v>15.3</v>
      </c>
      <c r="K5924">
        <v>63</v>
      </c>
      <c r="L5924">
        <v>20.180669999999999</v>
      </c>
      <c r="M5924">
        <v>38.366779999999999</v>
      </c>
      <c r="N5924">
        <v>14.266780000000001</v>
      </c>
      <c r="O5924">
        <v>24.1</v>
      </c>
      <c r="P5924">
        <v>25.666779999999999</v>
      </c>
      <c r="Q5924">
        <v>25.229790000000001</v>
      </c>
      <c r="R5924">
        <v>29.96678</v>
      </c>
      <c r="S5924">
        <v>24.847429999999999</v>
      </c>
      <c r="T5924">
        <v>1174.3320000000001</v>
      </c>
      <c r="U5924">
        <v>306</v>
      </c>
      <c r="V5924">
        <v>0</v>
      </c>
      <c r="W5924">
        <v>107</v>
      </c>
      <c r="X5924">
        <v>776.33219999999994</v>
      </c>
      <c r="Y5924">
        <v>2</v>
      </c>
      <c r="Z5924">
        <v>135</v>
      </c>
      <c r="AA5924">
        <v>10</v>
      </c>
      <c r="AB5924">
        <v>13.663360000000001</v>
      </c>
      <c r="AC5924">
        <v>0.16285959999999999</v>
      </c>
      <c r="AD5924">
        <v>4.9704100000000002</v>
      </c>
      <c r="AE5924">
        <v>0.22560559999999999</v>
      </c>
      <c r="AF5924">
        <v>377.75170000000003</v>
      </c>
      <c r="AG5924">
        <f>IFERROR(AH5924*0.1, "N/A")</f>
        <v>5.6630140000000004</v>
      </c>
      <c r="AH5924">
        <v>56.630139999999997</v>
      </c>
      <c r="AI5924">
        <v>135.01140000000001</v>
      </c>
      <c r="AJ5924">
        <v>21.630140000000001</v>
      </c>
      <c r="AK5924">
        <v>55.630139999999997</v>
      </c>
    </row>
    <row r="5925" spans="1:37" x14ac:dyDescent="0.3">
      <c r="A5925">
        <v>5924</v>
      </c>
      <c r="B5925">
        <v>0</v>
      </c>
      <c r="C5925">
        <v>-8.35</v>
      </c>
      <c r="D5925">
        <v>11.416700000000001</v>
      </c>
      <c r="E5925">
        <f>-8.35-11.4167</f>
        <v>-19.7667</v>
      </c>
      <c r="F5925" t="s">
        <v>9361</v>
      </c>
      <c r="G5925" t="s">
        <v>37</v>
      </c>
      <c r="H5925">
        <v>1990</v>
      </c>
      <c r="I5925">
        <v>26.947430000000001</v>
      </c>
      <c r="J5925">
        <v>15.3</v>
      </c>
      <c r="K5925">
        <v>63</v>
      </c>
      <c r="L5925">
        <v>20.180669999999999</v>
      </c>
      <c r="M5925">
        <v>38.366779999999999</v>
      </c>
      <c r="N5925">
        <v>14.266780000000001</v>
      </c>
      <c r="O5925">
        <v>24.1</v>
      </c>
      <c r="P5925">
        <v>25.666779999999999</v>
      </c>
      <c r="Q5925">
        <v>25.229790000000001</v>
      </c>
      <c r="R5925">
        <v>29.96678</v>
      </c>
      <c r="S5925">
        <v>24.847429999999999</v>
      </c>
      <c r="T5925">
        <v>1174.3320000000001</v>
      </c>
      <c r="U5925">
        <v>306</v>
      </c>
      <c r="V5925">
        <v>0</v>
      </c>
      <c r="W5925">
        <v>107</v>
      </c>
      <c r="X5925">
        <v>776.33219999999994</v>
      </c>
      <c r="Y5925">
        <v>2</v>
      </c>
      <c r="Z5925">
        <v>135</v>
      </c>
      <c r="AA5925">
        <v>10</v>
      </c>
      <c r="AB5925">
        <v>13.663360000000001</v>
      </c>
      <c r="AC5925">
        <v>0.16285959999999999</v>
      </c>
      <c r="AD5925">
        <v>4.9704100000000002</v>
      </c>
      <c r="AE5925">
        <v>0.22560559999999999</v>
      </c>
      <c r="AF5925">
        <v>377.75170000000003</v>
      </c>
      <c r="AG5925">
        <f>IFERROR(AH5925*0.1, "N/A")</f>
        <v>5.6630140000000004</v>
      </c>
      <c r="AH5925">
        <v>56.630139999999997</v>
      </c>
      <c r="AI5925">
        <v>135.01140000000001</v>
      </c>
      <c r="AJ5925">
        <v>21.630140000000001</v>
      </c>
      <c r="AK5925">
        <v>55.630139999999997</v>
      </c>
    </row>
    <row r="5926" spans="1:37" x14ac:dyDescent="0.3">
      <c r="A5926">
        <v>5925</v>
      </c>
      <c r="B5926">
        <v>10.3</v>
      </c>
      <c r="C5926">
        <v>-8.3510000000000009</v>
      </c>
      <c r="D5926">
        <v>11.419</v>
      </c>
      <c r="E5926">
        <f>-8.351-11.419</f>
        <v>-19.770000000000003</v>
      </c>
      <c r="F5926" t="s">
        <v>9362</v>
      </c>
      <c r="G5926" t="s">
        <v>39</v>
      </c>
      <c r="H5926">
        <v>1987</v>
      </c>
      <c r="I5926">
        <v>26.9</v>
      </c>
      <c r="J5926">
        <v>15.3</v>
      </c>
      <c r="K5926">
        <v>63</v>
      </c>
      <c r="L5926">
        <v>20.11</v>
      </c>
      <c r="M5926">
        <v>38.299999999999997</v>
      </c>
      <c r="N5926">
        <v>14.2</v>
      </c>
      <c r="O5926">
        <v>24.1</v>
      </c>
      <c r="P5926">
        <v>25.6</v>
      </c>
      <c r="Q5926">
        <v>25.2</v>
      </c>
      <c r="R5926">
        <v>29.9</v>
      </c>
      <c r="S5926">
        <v>24.8</v>
      </c>
      <c r="T5926">
        <v>1175</v>
      </c>
      <c r="U5926">
        <v>306</v>
      </c>
      <c r="V5926">
        <v>0</v>
      </c>
      <c r="W5926">
        <v>107</v>
      </c>
      <c r="X5926">
        <v>777</v>
      </c>
      <c r="Y5926">
        <v>2</v>
      </c>
      <c r="Z5926">
        <v>135</v>
      </c>
      <c r="AA5926">
        <v>10</v>
      </c>
      <c r="AB5926">
        <v>28.0441</v>
      </c>
      <c r="AC5926">
        <v>7.1783340000000001E-2</v>
      </c>
      <c r="AD5926">
        <v>1.734504</v>
      </c>
      <c r="AE5926">
        <v>0.2274813</v>
      </c>
      <c r="AF5926">
        <v>392.36919999999998</v>
      </c>
      <c r="AG5926">
        <f>IFERROR(AH5926*0.1, "N/A")</f>
        <v>6.1000000000000005</v>
      </c>
      <c r="AH5926">
        <v>61</v>
      </c>
      <c r="AI5926">
        <v>202.9111</v>
      </c>
      <c r="AJ5926">
        <v>23</v>
      </c>
      <c r="AK5926">
        <v>54</v>
      </c>
    </row>
    <row r="5927" spans="1:37" x14ac:dyDescent="0.3">
      <c r="A5927">
        <v>5926</v>
      </c>
      <c r="B5927">
        <v>1.8</v>
      </c>
      <c r="C5927">
        <v>-8.3510000000000009</v>
      </c>
      <c r="D5927">
        <v>11.419</v>
      </c>
      <c r="E5927">
        <f>-8.351-11.419</f>
        <v>-19.770000000000003</v>
      </c>
      <c r="F5927" t="s">
        <v>9363</v>
      </c>
      <c r="G5927" t="s">
        <v>37</v>
      </c>
      <c r="H5927">
        <v>1987</v>
      </c>
      <c r="I5927">
        <v>26.9</v>
      </c>
      <c r="J5927">
        <v>15.3</v>
      </c>
      <c r="K5927">
        <v>63</v>
      </c>
      <c r="L5927">
        <v>20.11</v>
      </c>
      <c r="M5927">
        <v>38.299999999999997</v>
      </c>
      <c r="N5927">
        <v>14.2</v>
      </c>
      <c r="O5927">
        <v>24.1</v>
      </c>
      <c r="P5927">
        <v>25.6</v>
      </c>
      <c r="Q5927">
        <v>25.2</v>
      </c>
      <c r="R5927">
        <v>29.9</v>
      </c>
      <c r="S5927">
        <v>24.8</v>
      </c>
      <c r="T5927">
        <v>1175</v>
      </c>
      <c r="U5927">
        <v>306</v>
      </c>
      <c r="V5927">
        <v>0</v>
      </c>
      <c r="W5927">
        <v>107</v>
      </c>
      <c r="X5927">
        <v>777</v>
      </c>
      <c r="Y5927">
        <v>2</v>
      </c>
      <c r="Z5927">
        <v>135</v>
      </c>
      <c r="AA5927">
        <v>10</v>
      </c>
      <c r="AB5927">
        <v>28.0441</v>
      </c>
      <c r="AC5927">
        <v>7.1783340000000001E-2</v>
      </c>
      <c r="AD5927">
        <v>1.734504</v>
      </c>
      <c r="AE5927">
        <v>0.2274813</v>
      </c>
      <c r="AF5927">
        <v>392.36919999999998</v>
      </c>
      <c r="AG5927">
        <f>IFERROR(AH5927*0.1, "N/A")</f>
        <v>6.1000000000000005</v>
      </c>
      <c r="AH5927">
        <v>61</v>
      </c>
      <c r="AI5927">
        <v>202.9111</v>
      </c>
      <c r="AJ5927">
        <v>23</v>
      </c>
      <c r="AK5927">
        <v>54</v>
      </c>
    </row>
    <row r="5928" spans="1:37" x14ac:dyDescent="0.3">
      <c r="A5928">
        <v>5927</v>
      </c>
      <c r="B5928">
        <v>0</v>
      </c>
      <c r="C5928">
        <v>-8.2159999999999993</v>
      </c>
      <c r="D5928">
        <v>11.433</v>
      </c>
      <c r="E5928">
        <f>-8.216-11.433</f>
        <v>-19.649000000000001</v>
      </c>
      <c r="F5928" t="s">
        <v>9364</v>
      </c>
      <c r="G5928" t="s">
        <v>39</v>
      </c>
      <c r="H5928">
        <v>1987</v>
      </c>
      <c r="I5928">
        <v>27</v>
      </c>
      <c r="J5928">
        <v>14.9</v>
      </c>
      <c r="K5928">
        <v>62</v>
      </c>
      <c r="L5928">
        <v>20.649519999999999</v>
      </c>
      <c r="M5928">
        <v>38.299999999999997</v>
      </c>
      <c r="N5928">
        <v>14.5</v>
      </c>
      <c r="O5928">
        <v>23.8</v>
      </c>
      <c r="P5928">
        <v>25.7</v>
      </c>
      <c r="Q5928">
        <v>25.3</v>
      </c>
      <c r="R5928">
        <v>30.1</v>
      </c>
      <c r="S5928">
        <v>24.9</v>
      </c>
      <c r="T5928">
        <v>1151.952</v>
      </c>
      <c r="U5928">
        <v>301.976</v>
      </c>
      <c r="V5928">
        <v>0</v>
      </c>
      <c r="W5928">
        <v>106.024</v>
      </c>
      <c r="X5928">
        <v>760.976</v>
      </c>
      <c r="Y5928">
        <v>1</v>
      </c>
      <c r="Z5928">
        <v>135</v>
      </c>
      <c r="AA5928">
        <v>10</v>
      </c>
      <c r="AB5928">
        <v>4.7938400000000003</v>
      </c>
      <c r="AC5928">
        <v>0.10771210000000001</v>
      </c>
      <c r="AD5928">
        <v>2.3033939999999999</v>
      </c>
      <c r="AE5928">
        <v>0.34092539999999999</v>
      </c>
      <c r="AF5928">
        <v>368.42469999999997</v>
      </c>
      <c r="AG5928">
        <f>IFERROR(AH5928*0.1, "N/A")</f>
        <v>6</v>
      </c>
      <c r="AH5928">
        <v>60</v>
      </c>
      <c r="AI5928">
        <v>114.3917</v>
      </c>
      <c r="AJ5928">
        <v>22.46575</v>
      </c>
      <c r="AK5928">
        <v>47.267119999999998</v>
      </c>
    </row>
    <row r="5929" spans="1:37" x14ac:dyDescent="0.3">
      <c r="A5929">
        <v>5928</v>
      </c>
      <c r="B5929">
        <v>0</v>
      </c>
      <c r="C5929">
        <v>-8.2159999999999993</v>
      </c>
      <c r="D5929">
        <v>11.433</v>
      </c>
      <c r="E5929">
        <f>-8.216-11.433</f>
        <v>-19.649000000000001</v>
      </c>
      <c r="F5929" t="s">
        <v>9365</v>
      </c>
      <c r="G5929" t="s">
        <v>37</v>
      </c>
      <c r="H5929">
        <v>1987</v>
      </c>
      <c r="I5929">
        <v>27</v>
      </c>
      <c r="J5929">
        <v>14.9</v>
      </c>
      <c r="K5929">
        <v>62</v>
      </c>
      <c r="L5929">
        <v>20.649519999999999</v>
      </c>
      <c r="M5929">
        <v>38.299999999999997</v>
      </c>
      <c r="N5929">
        <v>14.5</v>
      </c>
      <c r="O5929">
        <v>23.8</v>
      </c>
      <c r="P5929">
        <v>25.7</v>
      </c>
      <c r="Q5929">
        <v>25.3</v>
      </c>
      <c r="R5929">
        <v>30.1</v>
      </c>
      <c r="S5929">
        <v>24.9</v>
      </c>
      <c r="T5929">
        <v>1151.952</v>
      </c>
      <c r="U5929">
        <v>301.976</v>
      </c>
      <c r="V5929">
        <v>0</v>
      </c>
      <c r="W5929">
        <v>106.024</v>
      </c>
      <c r="X5929">
        <v>760.976</v>
      </c>
      <c r="Y5929">
        <v>1</v>
      </c>
      <c r="Z5929">
        <v>135</v>
      </c>
      <c r="AA5929">
        <v>10</v>
      </c>
      <c r="AB5929">
        <v>4.7938400000000003</v>
      </c>
      <c r="AC5929">
        <v>0.10771210000000001</v>
      </c>
      <c r="AD5929">
        <v>2.3033939999999999</v>
      </c>
      <c r="AE5929">
        <v>0.34092539999999999</v>
      </c>
      <c r="AF5929">
        <v>368.42469999999997</v>
      </c>
      <c r="AG5929">
        <f>IFERROR(AH5929*0.1, "N/A")</f>
        <v>6</v>
      </c>
      <c r="AH5929">
        <v>60</v>
      </c>
      <c r="AI5929">
        <v>114.3917</v>
      </c>
      <c r="AJ5929">
        <v>22.46575</v>
      </c>
      <c r="AK5929">
        <v>47.267119999999998</v>
      </c>
    </row>
    <row r="5930" spans="1:37" x14ac:dyDescent="0.3">
      <c r="A5930">
        <v>5929</v>
      </c>
      <c r="B5930">
        <v>0</v>
      </c>
      <c r="C5930">
        <v>-8.2166700000000006</v>
      </c>
      <c r="D5930">
        <v>11.433299999999999</v>
      </c>
      <c r="E5930">
        <f>-8.21667-11.4333</f>
        <v>-19.64997</v>
      </c>
      <c r="F5930" t="s">
        <v>9366</v>
      </c>
      <c r="G5930" t="s">
        <v>37</v>
      </c>
      <c r="H5930">
        <v>1989</v>
      </c>
      <c r="I5930">
        <v>27.002050000000001</v>
      </c>
      <c r="J5930">
        <v>14.93009</v>
      </c>
      <c r="K5930">
        <v>62.300849999999997</v>
      </c>
      <c r="L5930">
        <v>20.70815</v>
      </c>
      <c r="M5930">
        <v>38.302050000000001</v>
      </c>
      <c r="N5930">
        <v>14.502050000000001</v>
      </c>
      <c r="O5930">
        <v>23.8</v>
      </c>
      <c r="P5930">
        <v>25.70205</v>
      </c>
      <c r="Q5930">
        <v>25.27402</v>
      </c>
      <c r="R5930">
        <v>30.102049999999998</v>
      </c>
      <c r="S5930">
        <v>24.902049999999999</v>
      </c>
      <c r="T5930">
        <v>1152.222</v>
      </c>
      <c r="U5930">
        <v>301.83080000000001</v>
      </c>
      <c r="V5930">
        <v>0</v>
      </c>
      <c r="W5930">
        <v>106.4496</v>
      </c>
      <c r="X5930">
        <v>761.39149999999995</v>
      </c>
      <c r="Y5930">
        <v>1</v>
      </c>
      <c r="Z5930">
        <v>135</v>
      </c>
      <c r="AA5930">
        <v>10</v>
      </c>
      <c r="AB5930">
        <v>4.3268380000000004</v>
      </c>
      <c r="AC5930">
        <v>1.6806109999999999E-2</v>
      </c>
      <c r="AD5930">
        <v>2.1496379999999999</v>
      </c>
      <c r="AE5930">
        <v>0.4602367</v>
      </c>
      <c r="AF5930">
        <v>368.55900000000003</v>
      </c>
      <c r="AG5930">
        <f>IFERROR(AH5930*0.1, "N/A")</f>
        <v>5.9437610000000003</v>
      </c>
      <c r="AH5930">
        <v>59.437609999999999</v>
      </c>
      <c r="AI5930">
        <v>24.862719999999999</v>
      </c>
      <c r="AJ5930">
        <v>21.54701</v>
      </c>
      <c r="AK5930">
        <v>47.425640000000001</v>
      </c>
    </row>
    <row r="5931" spans="1:37" x14ac:dyDescent="0.3">
      <c r="A5931">
        <v>5930</v>
      </c>
      <c r="B5931">
        <v>0</v>
      </c>
      <c r="C5931">
        <v>-8.2166700000000006</v>
      </c>
      <c r="D5931">
        <v>11.433299999999999</v>
      </c>
      <c r="E5931">
        <f>-8.21667-11.4333</f>
        <v>-19.64997</v>
      </c>
      <c r="F5931" t="s">
        <v>9367</v>
      </c>
      <c r="G5931" t="s">
        <v>39</v>
      </c>
      <c r="H5931">
        <v>1989</v>
      </c>
      <c r="I5931">
        <v>27.002050000000001</v>
      </c>
      <c r="J5931">
        <v>14.93009</v>
      </c>
      <c r="K5931">
        <v>62.300849999999997</v>
      </c>
      <c r="L5931">
        <v>20.70815</v>
      </c>
      <c r="M5931">
        <v>38.302050000000001</v>
      </c>
      <c r="N5931">
        <v>14.502050000000001</v>
      </c>
      <c r="O5931">
        <v>23.8</v>
      </c>
      <c r="P5931">
        <v>25.70205</v>
      </c>
      <c r="Q5931">
        <v>25.27402</v>
      </c>
      <c r="R5931">
        <v>30.102049999999998</v>
      </c>
      <c r="S5931">
        <v>24.902049999999999</v>
      </c>
      <c r="T5931">
        <v>1152.222</v>
      </c>
      <c r="U5931">
        <v>301.83080000000001</v>
      </c>
      <c r="V5931">
        <v>0</v>
      </c>
      <c r="W5931">
        <v>106.4496</v>
      </c>
      <c r="X5931">
        <v>761.39149999999995</v>
      </c>
      <c r="Y5931">
        <v>1</v>
      </c>
      <c r="Z5931">
        <v>135</v>
      </c>
      <c r="AA5931">
        <v>10</v>
      </c>
      <c r="AB5931">
        <v>4.3268380000000004</v>
      </c>
      <c r="AC5931">
        <v>1.6806109999999999E-2</v>
      </c>
      <c r="AD5931">
        <v>2.1496379999999999</v>
      </c>
      <c r="AE5931">
        <v>0.4602367</v>
      </c>
      <c r="AF5931">
        <v>368.55900000000003</v>
      </c>
      <c r="AG5931">
        <f>IFERROR(AH5931*0.1, "N/A")</f>
        <v>5.9437610000000003</v>
      </c>
      <c r="AH5931">
        <v>59.437609999999999</v>
      </c>
      <c r="AI5931">
        <v>24.862719999999999</v>
      </c>
      <c r="AJ5931">
        <v>21.54701</v>
      </c>
      <c r="AK5931">
        <v>47.425640000000001</v>
      </c>
    </row>
    <row r="5932" spans="1:37" x14ac:dyDescent="0.3">
      <c r="A5932">
        <v>5931</v>
      </c>
      <c r="B5932">
        <v>44.3</v>
      </c>
      <c r="C5932">
        <v>-8.1833299999999998</v>
      </c>
      <c r="D5932">
        <v>11.433299999999999</v>
      </c>
      <c r="E5932">
        <f>-8.18333-11.4333</f>
        <v>-19.616630000000001</v>
      </c>
      <c r="F5932" t="s">
        <v>9368</v>
      </c>
      <c r="G5932" t="s">
        <v>39</v>
      </c>
      <c r="H5932">
        <v>1990</v>
      </c>
      <c r="I5932">
        <v>27.11618</v>
      </c>
      <c r="J5932">
        <v>14.9</v>
      </c>
      <c r="K5932">
        <v>62.161839999999998</v>
      </c>
      <c r="L5932">
        <v>20.743459999999999</v>
      </c>
      <c r="M5932">
        <v>38.362180000000002</v>
      </c>
      <c r="N5932">
        <v>14.615500000000001</v>
      </c>
      <c r="O5932">
        <v>23.746680000000001</v>
      </c>
      <c r="P5932">
        <v>25.8155</v>
      </c>
      <c r="Q5932">
        <v>25.337140000000002</v>
      </c>
      <c r="R5932">
        <v>30.2</v>
      </c>
      <c r="S5932">
        <v>24.999320000000001</v>
      </c>
      <c r="T5932">
        <v>1146.3589999999999</v>
      </c>
      <c r="U5932">
        <v>300.0068</v>
      </c>
      <c r="V5932">
        <v>0</v>
      </c>
      <c r="W5932">
        <v>107</v>
      </c>
      <c r="X5932">
        <v>757.06129999999996</v>
      </c>
      <c r="Y5932">
        <v>1</v>
      </c>
      <c r="Z5932">
        <v>136.45320000000001</v>
      </c>
      <c r="AA5932">
        <v>9.0068140000000003</v>
      </c>
      <c r="AB5932">
        <v>1.1095429999999999</v>
      </c>
      <c r="AC5932">
        <v>4.1640550000000003</v>
      </c>
      <c r="AD5932">
        <v>2.5985960000000001</v>
      </c>
      <c r="AE5932">
        <v>0.55977929999999998</v>
      </c>
      <c r="AF5932">
        <v>341.72739999999999</v>
      </c>
      <c r="AG5932">
        <f>IFERROR(AH5932*0.1, "N/A")</f>
        <v>6.0934010000000001</v>
      </c>
      <c r="AH5932">
        <v>60.934010000000001</v>
      </c>
      <c r="AI5932">
        <v>33.457650000000001</v>
      </c>
      <c r="AJ5932">
        <v>27.766500000000001</v>
      </c>
      <c r="AK5932">
        <v>46.532989999999998</v>
      </c>
    </row>
    <row r="5933" spans="1:37" x14ac:dyDescent="0.3">
      <c r="A5933">
        <v>5932</v>
      </c>
      <c r="B5933">
        <v>1.9</v>
      </c>
      <c r="C5933">
        <v>-8.1833299999999998</v>
      </c>
      <c r="D5933">
        <v>11.433299999999999</v>
      </c>
      <c r="E5933">
        <f>-8.18333-11.4333</f>
        <v>-19.616630000000001</v>
      </c>
      <c r="F5933" t="s">
        <v>9369</v>
      </c>
      <c r="G5933" t="s">
        <v>37</v>
      </c>
      <c r="H5933">
        <v>1990</v>
      </c>
      <c r="I5933">
        <v>27.11618</v>
      </c>
      <c r="J5933">
        <v>14.9</v>
      </c>
      <c r="K5933">
        <v>62.161839999999998</v>
      </c>
      <c r="L5933">
        <v>20.743459999999999</v>
      </c>
      <c r="M5933">
        <v>38.362180000000002</v>
      </c>
      <c r="N5933">
        <v>14.615500000000001</v>
      </c>
      <c r="O5933">
        <v>23.746680000000001</v>
      </c>
      <c r="P5933">
        <v>25.8155</v>
      </c>
      <c r="Q5933">
        <v>25.337140000000002</v>
      </c>
      <c r="R5933">
        <v>30.2</v>
      </c>
      <c r="S5933">
        <v>24.999320000000001</v>
      </c>
      <c r="T5933">
        <v>1146.3589999999999</v>
      </c>
      <c r="U5933">
        <v>300.0068</v>
      </c>
      <c r="V5933">
        <v>0</v>
      </c>
      <c r="W5933">
        <v>107</v>
      </c>
      <c r="X5933">
        <v>757.06129999999996</v>
      </c>
      <c r="Y5933">
        <v>1</v>
      </c>
      <c r="Z5933">
        <v>136.45320000000001</v>
      </c>
      <c r="AA5933">
        <v>9.0068140000000003</v>
      </c>
      <c r="AB5933">
        <v>1.1095429999999999</v>
      </c>
      <c r="AC5933">
        <v>4.1640550000000003</v>
      </c>
      <c r="AD5933">
        <v>2.5985960000000001</v>
      </c>
      <c r="AE5933">
        <v>0.55977929999999998</v>
      </c>
      <c r="AF5933">
        <v>341.72739999999999</v>
      </c>
      <c r="AG5933">
        <f>IFERROR(AH5933*0.1, "N/A")</f>
        <v>6.0934010000000001</v>
      </c>
      <c r="AH5933">
        <v>60.934010000000001</v>
      </c>
      <c r="AI5933">
        <v>33.457650000000001</v>
      </c>
      <c r="AJ5933">
        <v>27.766500000000001</v>
      </c>
      <c r="AK5933">
        <v>46.532989999999998</v>
      </c>
    </row>
    <row r="5934" spans="1:37" x14ac:dyDescent="0.3">
      <c r="A5934">
        <v>5933</v>
      </c>
      <c r="B5934">
        <v>68.8</v>
      </c>
      <c r="C5934">
        <v>-8.3314400000000006</v>
      </c>
      <c r="D5934">
        <v>11.470700000000001</v>
      </c>
      <c r="E5934">
        <f>-8.33144-11.4707</f>
        <v>-19.802140000000001</v>
      </c>
      <c r="F5934" t="s">
        <v>9370</v>
      </c>
      <c r="G5934" t="s">
        <v>39</v>
      </c>
      <c r="H5934">
        <v>1990</v>
      </c>
      <c r="I5934">
        <v>27.1</v>
      </c>
      <c r="J5934">
        <v>15.2</v>
      </c>
      <c r="K5934">
        <v>63</v>
      </c>
      <c r="L5934">
        <v>20.61</v>
      </c>
      <c r="M5934">
        <v>38.5</v>
      </c>
      <c r="N5934">
        <v>14.4</v>
      </c>
      <c r="O5934">
        <v>24.1</v>
      </c>
      <c r="P5934">
        <v>25.7</v>
      </c>
      <c r="Q5934">
        <v>25.3</v>
      </c>
      <c r="R5934">
        <v>30.2</v>
      </c>
      <c r="S5934">
        <v>25</v>
      </c>
      <c r="T5934">
        <v>1162</v>
      </c>
      <c r="U5934">
        <v>304</v>
      </c>
      <c r="V5934">
        <v>0</v>
      </c>
      <c r="W5934">
        <v>108</v>
      </c>
      <c r="X5934">
        <v>770</v>
      </c>
      <c r="Y5934">
        <v>1</v>
      </c>
      <c r="Z5934">
        <v>132</v>
      </c>
      <c r="AA5934">
        <v>10</v>
      </c>
      <c r="AB5934">
        <v>6.5662659999999997</v>
      </c>
      <c r="AC5934">
        <v>1.5276120000000001E-2</v>
      </c>
      <c r="AD5934">
        <v>1.1250169999999999</v>
      </c>
      <c r="AE5934">
        <v>0.49683680000000002</v>
      </c>
      <c r="AF5934">
        <v>363.55200000000002</v>
      </c>
      <c r="AG5934">
        <f>IFERROR(AH5934*0.1, "N/A")</f>
        <v>5.8000000000000007</v>
      </c>
      <c r="AH5934">
        <v>58</v>
      </c>
      <c r="AI5934">
        <v>150.2535</v>
      </c>
      <c r="AJ5934">
        <v>20.717210000000001</v>
      </c>
      <c r="AK5934">
        <v>46</v>
      </c>
    </row>
    <row r="5935" spans="1:37" x14ac:dyDescent="0.3">
      <c r="A5935">
        <v>5934</v>
      </c>
      <c r="B5935">
        <v>33.299999999999997</v>
      </c>
      <c r="C5935">
        <v>-8.3314400000000006</v>
      </c>
      <c r="D5935">
        <v>11.470700000000001</v>
      </c>
      <c r="E5935">
        <f>-8.33144-11.4707</f>
        <v>-19.802140000000001</v>
      </c>
      <c r="F5935" t="s">
        <v>9371</v>
      </c>
      <c r="G5935" t="s">
        <v>37</v>
      </c>
      <c r="H5935">
        <v>1990</v>
      </c>
      <c r="I5935">
        <v>27.1</v>
      </c>
      <c r="J5935">
        <v>15.2</v>
      </c>
      <c r="K5935">
        <v>63</v>
      </c>
      <c r="L5935">
        <v>20.61</v>
      </c>
      <c r="M5935">
        <v>38.5</v>
      </c>
      <c r="N5935">
        <v>14.4</v>
      </c>
      <c r="O5935">
        <v>24.1</v>
      </c>
      <c r="P5935">
        <v>25.7</v>
      </c>
      <c r="Q5935">
        <v>25.3</v>
      </c>
      <c r="R5935">
        <v>30.2</v>
      </c>
      <c r="S5935">
        <v>25</v>
      </c>
      <c r="T5935">
        <v>1162</v>
      </c>
      <c r="U5935">
        <v>304</v>
      </c>
      <c r="V5935">
        <v>0</v>
      </c>
      <c r="W5935">
        <v>108</v>
      </c>
      <c r="X5935">
        <v>770</v>
      </c>
      <c r="Y5935">
        <v>1</v>
      </c>
      <c r="Z5935">
        <v>132</v>
      </c>
      <c r="AA5935">
        <v>10</v>
      </c>
      <c r="AB5935">
        <v>6.5662659999999997</v>
      </c>
      <c r="AC5935">
        <v>1.5276120000000001E-2</v>
      </c>
      <c r="AD5935">
        <v>1.1250169999999999</v>
      </c>
      <c r="AE5935">
        <v>0.49683680000000002</v>
      </c>
      <c r="AF5935">
        <v>363.55200000000002</v>
      </c>
      <c r="AG5935">
        <f>IFERROR(AH5935*0.1, "N/A")</f>
        <v>5.8000000000000007</v>
      </c>
      <c r="AH5935">
        <v>58</v>
      </c>
      <c r="AI5935">
        <v>150.2535</v>
      </c>
      <c r="AJ5935">
        <v>20.717210000000001</v>
      </c>
      <c r="AK5935">
        <v>46</v>
      </c>
    </row>
    <row r="5936" spans="1:37" x14ac:dyDescent="0.3">
      <c r="A5936">
        <v>5935</v>
      </c>
      <c r="B5936">
        <v>0</v>
      </c>
      <c r="C5936">
        <v>-7.5133299999999998</v>
      </c>
      <c r="D5936">
        <v>11.473100000000001</v>
      </c>
      <c r="E5936">
        <f>-7.51333-11.4731</f>
        <v>-18.986429999999999</v>
      </c>
      <c r="F5936" t="s">
        <v>9372</v>
      </c>
      <c r="G5936" t="s">
        <v>39</v>
      </c>
      <c r="H5936">
        <v>1978</v>
      </c>
      <c r="I5936">
        <v>27.1</v>
      </c>
      <c r="J5936">
        <v>13.5</v>
      </c>
      <c r="K5936">
        <v>61</v>
      </c>
      <c r="L5936">
        <v>20.27</v>
      </c>
      <c r="M5936">
        <v>37.4</v>
      </c>
      <c r="N5936">
        <v>15.4</v>
      </c>
      <c r="O5936">
        <v>22</v>
      </c>
      <c r="P5936">
        <v>25.8</v>
      </c>
      <c r="Q5936">
        <v>25.4</v>
      </c>
      <c r="R5936">
        <v>30.1</v>
      </c>
      <c r="S5936">
        <v>24.9</v>
      </c>
      <c r="T5936">
        <v>1107</v>
      </c>
      <c r="U5936">
        <v>291</v>
      </c>
      <c r="V5936">
        <v>0</v>
      </c>
      <c r="W5936">
        <v>107</v>
      </c>
      <c r="X5936">
        <v>735</v>
      </c>
      <c r="Y5936">
        <v>2</v>
      </c>
      <c r="Z5936">
        <v>141</v>
      </c>
      <c r="AA5936">
        <v>9</v>
      </c>
      <c r="AB5936">
        <v>3.0469270000000002</v>
      </c>
      <c r="AC5936">
        <v>0.1804317</v>
      </c>
      <c r="AD5936">
        <v>1.1322099999999999</v>
      </c>
      <c r="AE5936">
        <v>0.59043820000000002</v>
      </c>
      <c r="AF5936">
        <v>329.10919999999999</v>
      </c>
      <c r="AG5936">
        <f>IFERROR(AH5936*0.1, "N/A")</f>
        <v>5.5996589999999999</v>
      </c>
      <c r="AH5936">
        <v>55.996589999999998</v>
      </c>
      <c r="AI5936">
        <v>179.50110000000001</v>
      </c>
      <c r="AJ5936">
        <v>20.04608</v>
      </c>
      <c r="AK5936">
        <v>46.950510000000001</v>
      </c>
    </row>
    <row r="5937" spans="1:37" x14ac:dyDescent="0.3">
      <c r="A5937">
        <v>5936</v>
      </c>
      <c r="B5937">
        <v>2.2999999999999998</v>
      </c>
      <c r="C5937">
        <v>-7.5133299999999998</v>
      </c>
      <c r="D5937">
        <v>11.473100000000001</v>
      </c>
      <c r="E5937">
        <f>-7.51333-11.4731</f>
        <v>-18.986429999999999</v>
      </c>
      <c r="F5937" t="s">
        <v>9373</v>
      </c>
      <c r="G5937" t="s">
        <v>37</v>
      </c>
      <c r="H5937">
        <v>1978</v>
      </c>
      <c r="I5937">
        <v>27.1</v>
      </c>
      <c r="J5937">
        <v>13.5</v>
      </c>
      <c r="K5937">
        <v>61</v>
      </c>
      <c r="L5937">
        <v>20.27</v>
      </c>
      <c r="M5937">
        <v>37.4</v>
      </c>
      <c r="N5937">
        <v>15.4</v>
      </c>
      <c r="O5937">
        <v>22</v>
      </c>
      <c r="P5937">
        <v>25.8</v>
      </c>
      <c r="Q5937">
        <v>25.4</v>
      </c>
      <c r="R5937">
        <v>30.1</v>
      </c>
      <c r="S5937">
        <v>24.9</v>
      </c>
      <c r="T5937">
        <v>1107</v>
      </c>
      <c r="U5937">
        <v>291</v>
      </c>
      <c r="V5937">
        <v>0</v>
      </c>
      <c r="W5937">
        <v>107</v>
      </c>
      <c r="X5937">
        <v>735</v>
      </c>
      <c r="Y5937">
        <v>2</v>
      </c>
      <c r="Z5937">
        <v>141</v>
      </c>
      <c r="AA5937">
        <v>9</v>
      </c>
      <c r="AB5937">
        <v>3.0469270000000002</v>
      </c>
      <c r="AC5937">
        <v>0.1804317</v>
      </c>
      <c r="AD5937">
        <v>1.1322099999999999</v>
      </c>
      <c r="AE5937">
        <v>0.59043820000000002</v>
      </c>
      <c r="AF5937">
        <v>329.10919999999999</v>
      </c>
      <c r="AG5937">
        <f>IFERROR(AH5937*0.1, "N/A")</f>
        <v>5.5996589999999999</v>
      </c>
      <c r="AH5937">
        <v>55.996589999999998</v>
      </c>
      <c r="AI5937">
        <v>179.50110000000001</v>
      </c>
      <c r="AJ5937">
        <v>20.04608</v>
      </c>
      <c r="AK5937">
        <v>46.950510000000001</v>
      </c>
    </row>
    <row r="5938" spans="1:37" x14ac:dyDescent="0.3">
      <c r="A5938">
        <v>5937</v>
      </c>
      <c r="B5938">
        <v>2.6</v>
      </c>
      <c r="C5938">
        <v>-8.3000000000000007</v>
      </c>
      <c r="D5938">
        <v>11.4833</v>
      </c>
      <c r="E5938">
        <f>-8.3-11.4833</f>
        <v>-19.783300000000001</v>
      </c>
      <c r="F5938" t="s">
        <v>9374</v>
      </c>
      <c r="G5938" t="s">
        <v>37</v>
      </c>
      <c r="H5938">
        <v>1989</v>
      </c>
      <c r="I5938">
        <v>27.185449999999999</v>
      </c>
      <c r="J5938">
        <v>15.16661</v>
      </c>
      <c r="K5938">
        <v>62.6661</v>
      </c>
      <c r="L5938">
        <v>20.614350000000002</v>
      </c>
      <c r="M5938">
        <v>38.585439999999998</v>
      </c>
      <c r="N5938">
        <v>14.496230000000001</v>
      </c>
      <c r="O5938">
        <v>24.089210000000001</v>
      </c>
      <c r="P5938">
        <v>25.796230000000001</v>
      </c>
      <c r="Q5938">
        <v>25.385439999999999</v>
      </c>
      <c r="R5938">
        <v>30.2</v>
      </c>
      <c r="S5938">
        <v>25.081679999999999</v>
      </c>
      <c r="T5938">
        <v>1155.259</v>
      </c>
      <c r="U5938">
        <v>303.03769999999997</v>
      </c>
      <c r="V5938">
        <v>0</v>
      </c>
      <c r="W5938">
        <v>107</v>
      </c>
      <c r="X5938">
        <v>765.22090000000003</v>
      </c>
      <c r="Y5938">
        <v>1</v>
      </c>
      <c r="Z5938">
        <v>132</v>
      </c>
      <c r="AA5938">
        <v>10</v>
      </c>
      <c r="AB5938">
        <v>10.26642</v>
      </c>
      <c r="AC5938">
        <v>3.8557260000000003E-2</v>
      </c>
      <c r="AD5938">
        <v>2.9440940000000002</v>
      </c>
      <c r="AE5938">
        <v>0.43724800000000003</v>
      </c>
      <c r="AF5938">
        <v>348.27050000000003</v>
      </c>
      <c r="AG5938">
        <f>IFERROR(AH5938*0.1, "N/A")</f>
        <v>5.8000000000000007</v>
      </c>
      <c r="AH5938">
        <v>58</v>
      </c>
      <c r="AI5938">
        <v>111.72110000000001</v>
      </c>
      <c r="AJ5938">
        <v>28</v>
      </c>
      <c r="AK5938">
        <v>44</v>
      </c>
    </row>
    <row r="5939" spans="1:37" x14ac:dyDescent="0.3">
      <c r="A5939">
        <v>5938</v>
      </c>
      <c r="B5939">
        <v>41.1</v>
      </c>
      <c r="C5939">
        <v>-8.3000000000000007</v>
      </c>
      <c r="D5939">
        <v>11.4833</v>
      </c>
      <c r="E5939">
        <f>-8.3-11.4833</f>
        <v>-19.783300000000001</v>
      </c>
      <c r="F5939" t="s">
        <v>9375</v>
      </c>
      <c r="G5939" t="s">
        <v>39</v>
      </c>
      <c r="H5939">
        <v>1989</v>
      </c>
      <c r="I5939">
        <v>27.185449999999999</v>
      </c>
      <c r="J5939">
        <v>15.16661</v>
      </c>
      <c r="K5939">
        <v>62.6661</v>
      </c>
      <c r="L5939">
        <v>20.614350000000002</v>
      </c>
      <c r="M5939">
        <v>38.585439999999998</v>
      </c>
      <c r="N5939">
        <v>14.496230000000001</v>
      </c>
      <c r="O5939">
        <v>24.089210000000001</v>
      </c>
      <c r="P5939">
        <v>25.796230000000001</v>
      </c>
      <c r="Q5939">
        <v>25.385439999999999</v>
      </c>
      <c r="R5939">
        <v>30.2</v>
      </c>
      <c r="S5939">
        <v>25.081679999999999</v>
      </c>
      <c r="T5939">
        <v>1155.259</v>
      </c>
      <c r="U5939">
        <v>303.03769999999997</v>
      </c>
      <c r="V5939">
        <v>0</v>
      </c>
      <c r="W5939">
        <v>107</v>
      </c>
      <c r="X5939">
        <v>765.22090000000003</v>
      </c>
      <c r="Y5939">
        <v>1</v>
      </c>
      <c r="Z5939">
        <v>132</v>
      </c>
      <c r="AA5939">
        <v>10</v>
      </c>
      <c r="AB5939">
        <v>10.26642</v>
      </c>
      <c r="AC5939">
        <v>3.8557260000000003E-2</v>
      </c>
      <c r="AD5939">
        <v>2.9440940000000002</v>
      </c>
      <c r="AE5939">
        <v>0.43724800000000003</v>
      </c>
      <c r="AF5939">
        <v>348.27050000000003</v>
      </c>
      <c r="AG5939">
        <f>IFERROR(AH5939*0.1, "N/A")</f>
        <v>5.8000000000000007</v>
      </c>
      <c r="AH5939">
        <v>58</v>
      </c>
      <c r="AI5939">
        <v>111.72110000000001</v>
      </c>
      <c r="AJ5939">
        <v>28</v>
      </c>
      <c r="AK5939">
        <v>44</v>
      </c>
    </row>
    <row r="5940" spans="1:37" x14ac:dyDescent="0.3">
      <c r="A5940">
        <v>5939</v>
      </c>
      <c r="B5940">
        <v>9.9</v>
      </c>
      <c r="C5940">
        <v>-8.2833000000000006</v>
      </c>
      <c r="D5940">
        <v>11.5167</v>
      </c>
      <c r="E5940">
        <f>-8.2833-11.5167</f>
        <v>-19.8</v>
      </c>
      <c r="F5940" t="s">
        <v>9376</v>
      </c>
      <c r="G5940" t="s">
        <v>39</v>
      </c>
      <c r="H5940">
        <v>1987</v>
      </c>
      <c r="I5940">
        <v>27.2</v>
      </c>
      <c r="J5940">
        <v>15.1</v>
      </c>
      <c r="K5940">
        <v>62.563879999999997</v>
      </c>
      <c r="L5940">
        <v>20.58107</v>
      </c>
      <c r="M5940">
        <v>38.543610000000001</v>
      </c>
      <c r="N5940">
        <v>14.6</v>
      </c>
      <c r="O5940">
        <v>23.94361</v>
      </c>
      <c r="P5940">
        <v>25.888760000000001</v>
      </c>
      <c r="Q5940">
        <v>25.445830000000001</v>
      </c>
      <c r="R5940">
        <v>30.23237</v>
      </c>
      <c r="S5940">
        <v>25.045829999999999</v>
      </c>
      <c r="T5940">
        <v>1150.1410000000001</v>
      </c>
      <c r="U5940">
        <v>302</v>
      </c>
      <c r="V5940">
        <v>0</v>
      </c>
      <c r="W5940">
        <v>108</v>
      </c>
      <c r="X5940">
        <v>762.57069999999999</v>
      </c>
      <c r="Y5940">
        <v>1</v>
      </c>
      <c r="Z5940">
        <v>131.13460000000001</v>
      </c>
      <c r="AA5940">
        <v>10</v>
      </c>
      <c r="AB5940">
        <v>0</v>
      </c>
      <c r="AC5940">
        <v>4.5792180000000002E-2</v>
      </c>
      <c r="AD5940">
        <v>0</v>
      </c>
      <c r="AE5940" t="s">
        <v>729</v>
      </c>
      <c r="AF5940">
        <v>340</v>
      </c>
      <c r="AG5940" t="str">
        <f>IFERROR(AH5940*0.1, "N/A")</f>
        <v>N/A</v>
      </c>
      <c r="AH5940" t="s">
        <v>729</v>
      </c>
      <c r="AI5940">
        <v>0</v>
      </c>
      <c r="AJ5940" t="s">
        <v>729</v>
      </c>
      <c r="AK5940" t="s">
        <v>729</v>
      </c>
    </row>
    <row r="5941" spans="1:37" x14ac:dyDescent="0.3">
      <c r="A5941">
        <v>5940</v>
      </c>
      <c r="B5941">
        <v>1.1000000000000001</v>
      </c>
      <c r="C5941">
        <v>-8.2833000000000006</v>
      </c>
      <c r="D5941">
        <v>11.5167</v>
      </c>
      <c r="E5941">
        <f>-8.2833-11.5167</f>
        <v>-19.8</v>
      </c>
      <c r="F5941" t="s">
        <v>9377</v>
      </c>
      <c r="G5941" t="s">
        <v>37</v>
      </c>
      <c r="H5941">
        <v>1987</v>
      </c>
      <c r="I5941">
        <v>27.2</v>
      </c>
      <c r="J5941">
        <v>15.1</v>
      </c>
      <c r="K5941">
        <v>62.563879999999997</v>
      </c>
      <c r="L5941">
        <v>20.58107</v>
      </c>
      <c r="M5941">
        <v>38.543610000000001</v>
      </c>
      <c r="N5941">
        <v>14.6</v>
      </c>
      <c r="O5941">
        <v>23.94361</v>
      </c>
      <c r="P5941">
        <v>25.888760000000001</v>
      </c>
      <c r="Q5941">
        <v>25.445830000000001</v>
      </c>
      <c r="R5941">
        <v>30.23237</v>
      </c>
      <c r="S5941">
        <v>25.045829999999999</v>
      </c>
      <c r="T5941">
        <v>1150.1410000000001</v>
      </c>
      <c r="U5941">
        <v>302</v>
      </c>
      <c r="V5941">
        <v>0</v>
      </c>
      <c r="W5941">
        <v>108</v>
      </c>
      <c r="X5941">
        <v>762.57069999999999</v>
      </c>
      <c r="Y5941">
        <v>1</v>
      </c>
      <c r="Z5941">
        <v>131.13460000000001</v>
      </c>
      <c r="AA5941">
        <v>10</v>
      </c>
      <c r="AB5941">
        <v>0</v>
      </c>
      <c r="AC5941">
        <v>4.5792180000000002E-2</v>
      </c>
      <c r="AD5941">
        <v>0</v>
      </c>
      <c r="AE5941" t="s">
        <v>729</v>
      </c>
      <c r="AF5941">
        <v>340</v>
      </c>
      <c r="AG5941" t="str">
        <f>IFERROR(AH5941*0.1, "N/A")</f>
        <v>N/A</v>
      </c>
      <c r="AH5941" t="s">
        <v>729</v>
      </c>
      <c r="AI5941">
        <v>0</v>
      </c>
      <c r="AJ5941" t="s">
        <v>729</v>
      </c>
      <c r="AK5941" t="s">
        <v>729</v>
      </c>
    </row>
    <row r="5942" spans="1:37" x14ac:dyDescent="0.3">
      <c r="A5942">
        <v>5941</v>
      </c>
      <c r="B5942">
        <v>2</v>
      </c>
      <c r="C5942">
        <v>-8.2833299999999994</v>
      </c>
      <c r="D5942">
        <v>11.5167</v>
      </c>
      <c r="E5942">
        <f>-8.28333-11.5167</f>
        <v>-19.80003</v>
      </c>
      <c r="F5942" t="s">
        <v>9378</v>
      </c>
      <c r="G5942" t="s">
        <v>37</v>
      </c>
      <c r="H5942">
        <v>1989</v>
      </c>
      <c r="I5942">
        <v>27.2</v>
      </c>
      <c r="J5942">
        <v>15.1</v>
      </c>
      <c r="K5942">
        <v>62.540959999999998</v>
      </c>
      <c r="L5942">
        <v>20.586829999999999</v>
      </c>
      <c r="M5942">
        <v>38.545900000000003</v>
      </c>
      <c r="N5942">
        <v>14.6</v>
      </c>
      <c r="O5942">
        <v>23.945900000000002</v>
      </c>
      <c r="P5942">
        <v>25.88822</v>
      </c>
      <c r="Q5942">
        <v>25.446929999999998</v>
      </c>
      <c r="R5942">
        <v>30.23413</v>
      </c>
      <c r="S5942">
        <v>25.04693</v>
      </c>
      <c r="T5942">
        <v>1150.174</v>
      </c>
      <c r="U5942">
        <v>302</v>
      </c>
      <c r="V5942">
        <v>0</v>
      </c>
      <c r="W5942">
        <v>108</v>
      </c>
      <c r="X5942">
        <v>762.58699999999999</v>
      </c>
      <c r="Y5942">
        <v>1</v>
      </c>
      <c r="Z5942">
        <v>131.12799999999999</v>
      </c>
      <c r="AA5942">
        <v>10</v>
      </c>
      <c r="AB5942">
        <v>0</v>
      </c>
      <c r="AC5942">
        <v>4.6356479999999999E-2</v>
      </c>
      <c r="AD5942">
        <v>0</v>
      </c>
      <c r="AE5942" t="s">
        <v>729</v>
      </c>
      <c r="AF5942">
        <v>340</v>
      </c>
      <c r="AG5942" t="str">
        <f>IFERROR(AH5942*0.1, "N/A")</f>
        <v>N/A</v>
      </c>
      <c r="AH5942" t="s">
        <v>729</v>
      </c>
      <c r="AI5942">
        <v>0</v>
      </c>
      <c r="AJ5942" t="s">
        <v>729</v>
      </c>
      <c r="AK5942" t="s">
        <v>729</v>
      </c>
    </row>
    <row r="5943" spans="1:37" x14ac:dyDescent="0.3">
      <c r="A5943">
        <v>5942</v>
      </c>
      <c r="B5943">
        <v>17</v>
      </c>
      <c r="C5943">
        <v>-8.2833299999999994</v>
      </c>
      <c r="D5943">
        <v>11.5167</v>
      </c>
      <c r="E5943">
        <f>-8.28333-11.5167</f>
        <v>-19.80003</v>
      </c>
      <c r="F5943" t="s">
        <v>9379</v>
      </c>
      <c r="G5943" t="s">
        <v>39</v>
      </c>
      <c r="H5943">
        <v>1989</v>
      </c>
      <c r="I5943">
        <v>27.2</v>
      </c>
      <c r="J5943">
        <v>15.1</v>
      </c>
      <c r="K5943">
        <v>62.540959999999998</v>
      </c>
      <c r="L5943">
        <v>20.586829999999999</v>
      </c>
      <c r="M5943">
        <v>38.545900000000003</v>
      </c>
      <c r="N5943">
        <v>14.6</v>
      </c>
      <c r="O5943">
        <v>23.945900000000002</v>
      </c>
      <c r="P5943">
        <v>25.88822</v>
      </c>
      <c r="Q5943">
        <v>25.446929999999998</v>
      </c>
      <c r="R5943">
        <v>30.23413</v>
      </c>
      <c r="S5943">
        <v>25.04693</v>
      </c>
      <c r="T5943">
        <v>1150.174</v>
      </c>
      <c r="U5943">
        <v>302</v>
      </c>
      <c r="V5943">
        <v>0</v>
      </c>
      <c r="W5943">
        <v>108</v>
      </c>
      <c r="X5943">
        <v>762.58699999999999</v>
      </c>
      <c r="Y5943">
        <v>1</v>
      </c>
      <c r="Z5943">
        <v>131.12799999999999</v>
      </c>
      <c r="AA5943">
        <v>10</v>
      </c>
      <c r="AB5943">
        <v>0</v>
      </c>
      <c r="AC5943">
        <v>4.6356479999999999E-2</v>
      </c>
      <c r="AD5943">
        <v>0</v>
      </c>
      <c r="AE5943" t="s">
        <v>729</v>
      </c>
      <c r="AF5943">
        <v>340</v>
      </c>
      <c r="AG5943" t="str">
        <f>IFERROR(AH5943*0.1, "N/A")</f>
        <v>N/A</v>
      </c>
      <c r="AH5943" t="s">
        <v>729</v>
      </c>
      <c r="AI5943">
        <v>0</v>
      </c>
      <c r="AJ5943" t="s">
        <v>729</v>
      </c>
      <c r="AK5943" t="s">
        <v>729</v>
      </c>
    </row>
    <row r="5944" spans="1:37" x14ac:dyDescent="0.3">
      <c r="A5944">
        <v>5943</v>
      </c>
      <c r="B5944">
        <v>1.3</v>
      </c>
      <c r="C5944">
        <v>-5.6925999999999997</v>
      </c>
      <c r="D5944">
        <v>11.523999999999999</v>
      </c>
      <c r="E5944">
        <f>-5.6926-11.524</f>
        <v>-17.2166</v>
      </c>
      <c r="F5944" t="s">
        <v>9380</v>
      </c>
      <c r="G5944" t="s">
        <v>39</v>
      </c>
      <c r="H5944">
        <v>1990</v>
      </c>
      <c r="I5944">
        <v>27</v>
      </c>
      <c r="J5944">
        <v>13.8</v>
      </c>
      <c r="K5944">
        <v>59</v>
      </c>
      <c r="L5944">
        <v>20.95</v>
      </c>
      <c r="M5944">
        <v>37.299999999999997</v>
      </c>
      <c r="N5944">
        <v>14.2</v>
      </c>
      <c r="O5944">
        <v>23.1</v>
      </c>
      <c r="P5944">
        <v>26</v>
      </c>
      <c r="Q5944">
        <v>24.8</v>
      </c>
      <c r="R5944">
        <v>29.9</v>
      </c>
      <c r="S5944">
        <v>24.4</v>
      </c>
      <c r="T5944">
        <v>1083</v>
      </c>
      <c r="U5944">
        <v>290</v>
      </c>
      <c r="V5944">
        <v>1</v>
      </c>
      <c r="W5944">
        <v>105</v>
      </c>
      <c r="X5944">
        <v>704</v>
      </c>
      <c r="Y5944">
        <v>7</v>
      </c>
      <c r="Z5944">
        <v>147</v>
      </c>
      <c r="AA5944">
        <v>14</v>
      </c>
      <c r="AB5944">
        <v>6.0592860000000002</v>
      </c>
      <c r="AC5944">
        <v>2.1996419999999999E-2</v>
      </c>
      <c r="AD5944">
        <v>1.4350350000000001</v>
      </c>
      <c r="AE5944">
        <v>0.67525999999999997</v>
      </c>
      <c r="AF5944">
        <v>365.60649999999998</v>
      </c>
      <c r="AG5944">
        <f>IFERROR(AH5944*0.1, "N/A")</f>
        <v>5.7</v>
      </c>
      <c r="AH5944">
        <v>57</v>
      </c>
      <c r="AI5944">
        <v>48.69961</v>
      </c>
      <c r="AJ5944">
        <v>14.55026</v>
      </c>
      <c r="AK5944">
        <v>62.29983</v>
      </c>
    </row>
    <row r="5945" spans="1:37" x14ac:dyDescent="0.3">
      <c r="A5945">
        <v>5944</v>
      </c>
      <c r="B5945">
        <v>0</v>
      </c>
      <c r="C5945">
        <v>-5.6925999999999997</v>
      </c>
      <c r="D5945">
        <v>11.523999999999999</v>
      </c>
      <c r="E5945">
        <f>-5.6926-11.524</f>
        <v>-17.2166</v>
      </c>
      <c r="F5945" t="s">
        <v>9381</v>
      </c>
      <c r="G5945" t="s">
        <v>37</v>
      </c>
      <c r="H5945">
        <v>1990</v>
      </c>
      <c r="I5945">
        <v>27</v>
      </c>
      <c r="J5945">
        <v>13.8</v>
      </c>
      <c r="K5945">
        <v>59</v>
      </c>
      <c r="L5945">
        <v>20.95</v>
      </c>
      <c r="M5945">
        <v>37.299999999999997</v>
      </c>
      <c r="N5945">
        <v>14.2</v>
      </c>
      <c r="O5945">
        <v>23.1</v>
      </c>
      <c r="P5945">
        <v>26</v>
      </c>
      <c r="Q5945">
        <v>24.8</v>
      </c>
      <c r="R5945">
        <v>29.9</v>
      </c>
      <c r="S5945">
        <v>24.4</v>
      </c>
      <c r="T5945">
        <v>1083</v>
      </c>
      <c r="U5945">
        <v>290</v>
      </c>
      <c r="V5945">
        <v>1</v>
      </c>
      <c r="W5945">
        <v>105</v>
      </c>
      <c r="X5945">
        <v>704</v>
      </c>
      <c r="Y5945">
        <v>7</v>
      </c>
      <c r="Z5945">
        <v>147</v>
      </c>
      <c r="AA5945">
        <v>14</v>
      </c>
      <c r="AB5945">
        <v>6.0592860000000002</v>
      </c>
      <c r="AC5945">
        <v>2.1996419999999999E-2</v>
      </c>
      <c r="AD5945">
        <v>1.4350350000000001</v>
      </c>
      <c r="AE5945">
        <v>0.67525999999999997</v>
      </c>
      <c r="AF5945">
        <v>365.60649999999998</v>
      </c>
      <c r="AG5945">
        <f>IFERROR(AH5945*0.1, "N/A")</f>
        <v>5.7</v>
      </c>
      <c r="AH5945">
        <v>57</v>
      </c>
      <c r="AI5945">
        <v>48.69961</v>
      </c>
      <c r="AJ5945">
        <v>14.55026</v>
      </c>
      <c r="AK5945">
        <v>62.29983</v>
      </c>
    </row>
    <row r="5946" spans="1:37" x14ac:dyDescent="0.3">
      <c r="A5946">
        <v>5945</v>
      </c>
      <c r="B5946">
        <v>4.5</v>
      </c>
      <c r="C5946">
        <v>-8.0876599999999996</v>
      </c>
      <c r="D5946">
        <v>11.5322</v>
      </c>
      <c r="E5946">
        <f>-8.08766-11.5322</f>
        <v>-19.619859999999999</v>
      </c>
      <c r="F5946" t="s">
        <v>9382</v>
      </c>
      <c r="G5946" t="s">
        <v>39</v>
      </c>
      <c r="H5946">
        <v>1975</v>
      </c>
      <c r="I5946">
        <v>27.1</v>
      </c>
      <c r="J5946">
        <v>14.6</v>
      </c>
      <c r="K5946">
        <v>62</v>
      </c>
      <c r="L5946">
        <v>20.76</v>
      </c>
      <c r="M5946">
        <v>38.200000000000003</v>
      </c>
      <c r="N5946">
        <v>14.7</v>
      </c>
      <c r="O5946">
        <v>23.5</v>
      </c>
      <c r="P5946">
        <v>25.8</v>
      </c>
      <c r="Q5946">
        <v>25.3</v>
      </c>
      <c r="R5946">
        <v>30.2</v>
      </c>
      <c r="S5946">
        <v>24.9</v>
      </c>
      <c r="T5946">
        <v>1131</v>
      </c>
      <c r="U5946">
        <v>297</v>
      </c>
      <c r="V5946">
        <v>0</v>
      </c>
      <c r="W5946">
        <v>107</v>
      </c>
      <c r="X5946">
        <v>746</v>
      </c>
      <c r="Y5946">
        <v>1</v>
      </c>
      <c r="Z5946">
        <v>135</v>
      </c>
      <c r="AA5946">
        <v>10</v>
      </c>
      <c r="AB5946">
        <v>2.3742290000000001</v>
      </c>
      <c r="AC5946">
        <v>0.40021420000000002</v>
      </c>
      <c r="AD5946">
        <v>1.009582</v>
      </c>
      <c r="AE5946">
        <v>0.48102420000000001</v>
      </c>
      <c r="AF5946">
        <v>358.7577</v>
      </c>
      <c r="AG5946">
        <f>IFERROR(AH5946*0.1, "N/A")</f>
        <v>5.882594000000001</v>
      </c>
      <c r="AH5946">
        <v>58.825940000000003</v>
      </c>
      <c r="AI5946">
        <v>134.04689999999999</v>
      </c>
      <c r="AJ5946">
        <v>21.08362</v>
      </c>
      <c r="AK5946">
        <v>48.155290000000001</v>
      </c>
    </row>
    <row r="5947" spans="1:37" x14ac:dyDescent="0.3">
      <c r="A5947">
        <v>5946</v>
      </c>
      <c r="B5947">
        <v>0</v>
      </c>
      <c r="C5947">
        <v>-8.0876599999999996</v>
      </c>
      <c r="D5947">
        <v>11.5322</v>
      </c>
      <c r="E5947">
        <f>-8.08766-11.5322</f>
        <v>-19.619859999999999</v>
      </c>
      <c r="F5947" t="s">
        <v>9383</v>
      </c>
      <c r="G5947" t="s">
        <v>37</v>
      </c>
      <c r="H5947">
        <v>1975</v>
      </c>
      <c r="I5947">
        <v>27.1</v>
      </c>
      <c r="J5947">
        <v>14.6</v>
      </c>
      <c r="K5947">
        <v>62</v>
      </c>
      <c r="L5947">
        <v>20.76</v>
      </c>
      <c r="M5947">
        <v>38.200000000000003</v>
      </c>
      <c r="N5947">
        <v>14.7</v>
      </c>
      <c r="O5947">
        <v>23.5</v>
      </c>
      <c r="P5947">
        <v>25.8</v>
      </c>
      <c r="Q5947">
        <v>25.3</v>
      </c>
      <c r="R5947">
        <v>30.2</v>
      </c>
      <c r="S5947">
        <v>24.9</v>
      </c>
      <c r="T5947">
        <v>1131</v>
      </c>
      <c r="U5947">
        <v>297</v>
      </c>
      <c r="V5947">
        <v>0</v>
      </c>
      <c r="W5947">
        <v>107</v>
      </c>
      <c r="X5947">
        <v>746</v>
      </c>
      <c r="Y5947">
        <v>1</v>
      </c>
      <c r="Z5947">
        <v>135</v>
      </c>
      <c r="AA5947">
        <v>10</v>
      </c>
      <c r="AB5947">
        <v>2.3742290000000001</v>
      </c>
      <c r="AC5947">
        <v>0.40021420000000002</v>
      </c>
      <c r="AD5947">
        <v>1.009582</v>
      </c>
      <c r="AE5947">
        <v>0.48102420000000001</v>
      </c>
      <c r="AF5947">
        <v>358.7577</v>
      </c>
      <c r="AG5947">
        <f>IFERROR(AH5947*0.1, "N/A")</f>
        <v>5.882594000000001</v>
      </c>
      <c r="AH5947">
        <v>58.825940000000003</v>
      </c>
      <c r="AI5947">
        <v>134.04689999999999</v>
      </c>
      <c r="AJ5947">
        <v>21.08362</v>
      </c>
      <c r="AK5947">
        <v>48.155290000000001</v>
      </c>
    </row>
    <row r="5948" spans="1:37" x14ac:dyDescent="0.3">
      <c r="A5948">
        <v>5947</v>
      </c>
      <c r="B5948">
        <v>16.3</v>
      </c>
      <c r="C5948">
        <v>-5.7927999999999997</v>
      </c>
      <c r="D5948">
        <v>11.5327</v>
      </c>
      <c r="E5948">
        <f>-5.7928-11.5327</f>
        <v>-17.325499999999998</v>
      </c>
      <c r="F5948" t="s">
        <v>9384</v>
      </c>
      <c r="G5948" t="s">
        <v>39</v>
      </c>
      <c r="H5948">
        <v>1990</v>
      </c>
      <c r="I5948">
        <v>26.897939999999998</v>
      </c>
      <c r="J5948">
        <v>13.8</v>
      </c>
      <c r="K5948">
        <v>60</v>
      </c>
      <c r="L5948">
        <v>20.763290000000001</v>
      </c>
      <c r="M5948">
        <v>37.197949999999999</v>
      </c>
      <c r="N5948">
        <v>14.29795</v>
      </c>
      <c r="O5948">
        <v>22.9</v>
      </c>
      <c r="P5948">
        <v>25.8</v>
      </c>
      <c r="Q5948">
        <v>24.697949999999999</v>
      </c>
      <c r="R5948">
        <v>29.8</v>
      </c>
      <c r="S5948">
        <v>24.495889999999999</v>
      </c>
      <c r="T5948">
        <v>1094.8969999999999</v>
      </c>
      <c r="U5948">
        <v>293.97949999999997</v>
      </c>
      <c r="V5948">
        <v>1</v>
      </c>
      <c r="W5948">
        <v>105.0205</v>
      </c>
      <c r="X5948">
        <v>711.95889999999997</v>
      </c>
      <c r="Y5948">
        <v>7.0205479999999998</v>
      </c>
      <c r="Z5948">
        <v>146.9589</v>
      </c>
      <c r="AA5948">
        <v>15.02055</v>
      </c>
      <c r="AB5948">
        <v>3.4866459999999999</v>
      </c>
      <c r="AC5948">
        <v>5.8735959999999997E-2</v>
      </c>
      <c r="AD5948">
        <v>1.859345</v>
      </c>
      <c r="AE5948">
        <v>0.62232779999999999</v>
      </c>
      <c r="AF5948">
        <v>379.05650000000003</v>
      </c>
      <c r="AG5948">
        <f>IFERROR(AH5948*0.1, "N/A")</f>
        <v>5.8378420000000002</v>
      </c>
      <c r="AH5948">
        <v>58.378419999999998</v>
      </c>
      <c r="AI5948">
        <v>104.41679999999999</v>
      </c>
      <c r="AJ5948">
        <v>15.37842</v>
      </c>
      <c r="AK5948">
        <v>63.24315</v>
      </c>
    </row>
    <row r="5949" spans="1:37" x14ac:dyDescent="0.3">
      <c r="A5949">
        <v>5948</v>
      </c>
      <c r="B5949">
        <v>0</v>
      </c>
      <c r="C5949">
        <v>-5.7927999999999997</v>
      </c>
      <c r="D5949">
        <v>11.5327</v>
      </c>
      <c r="E5949">
        <f>-5.7928-11.5327</f>
        <v>-17.325499999999998</v>
      </c>
      <c r="F5949" t="s">
        <v>9385</v>
      </c>
      <c r="G5949" t="s">
        <v>37</v>
      </c>
      <c r="H5949">
        <v>1990</v>
      </c>
      <c r="I5949">
        <v>26.897939999999998</v>
      </c>
      <c r="J5949">
        <v>13.8</v>
      </c>
      <c r="K5949">
        <v>60</v>
      </c>
      <c r="L5949">
        <v>20.763290000000001</v>
      </c>
      <c r="M5949">
        <v>37.197949999999999</v>
      </c>
      <c r="N5949">
        <v>14.29795</v>
      </c>
      <c r="O5949">
        <v>22.9</v>
      </c>
      <c r="P5949">
        <v>25.8</v>
      </c>
      <c r="Q5949">
        <v>24.697949999999999</v>
      </c>
      <c r="R5949">
        <v>29.8</v>
      </c>
      <c r="S5949">
        <v>24.495889999999999</v>
      </c>
      <c r="T5949">
        <v>1094.8969999999999</v>
      </c>
      <c r="U5949">
        <v>293.97949999999997</v>
      </c>
      <c r="V5949">
        <v>1</v>
      </c>
      <c r="W5949">
        <v>105.0205</v>
      </c>
      <c r="X5949">
        <v>711.95889999999997</v>
      </c>
      <c r="Y5949">
        <v>7.0205479999999998</v>
      </c>
      <c r="Z5949">
        <v>146.9589</v>
      </c>
      <c r="AA5949">
        <v>15.02055</v>
      </c>
      <c r="AB5949">
        <v>3.4866459999999999</v>
      </c>
      <c r="AC5949">
        <v>5.8735959999999997E-2</v>
      </c>
      <c r="AD5949">
        <v>1.859345</v>
      </c>
      <c r="AE5949">
        <v>0.62232779999999999</v>
      </c>
      <c r="AF5949">
        <v>379.05650000000003</v>
      </c>
      <c r="AG5949">
        <f>IFERROR(AH5949*0.1, "N/A")</f>
        <v>5.8378420000000002</v>
      </c>
      <c r="AH5949">
        <v>58.378419999999998</v>
      </c>
      <c r="AI5949">
        <v>104.41679999999999</v>
      </c>
      <c r="AJ5949">
        <v>15.37842</v>
      </c>
      <c r="AK5949">
        <v>63.24315</v>
      </c>
    </row>
    <row r="5950" spans="1:37" x14ac:dyDescent="0.3">
      <c r="A5950">
        <v>5949</v>
      </c>
      <c r="B5950">
        <v>5.3</v>
      </c>
      <c r="C5950">
        <v>-8.218</v>
      </c>
      <c r="D5950">
        <v>11.532999999999999</v>
      </c>
      <c r="E5950">
        <f>-8.218-11.533</f>
        <v>-19.750999999999998</v>
      </c>
      <c r="F5950" t="s">
        <v>9386</v>
      </c>
      <c r="G5950" t="s">
        <v>39</v>
      </c>
      <c r="H5950">
        <v>1987</v>
      </c>
      <c r="I5950">
        <v>27.1</v>
      </c>
      <c r="J5950">
        <v>14.9</v>
      </c>
      <c r="K5950">
        <v>62</v>
      </c>
      <c r="L5950">
        <v>20.59524</v>
      </c>
      <c r="M5950">
        <v>38.4</v>
      </c>
      <c r="N5950">
        <v>14.6</v>
      </c>
      <c r="O5950">
        <v>23.8</v>
      </c>
      <c r="P5950">
        <v>25.716159999999999</v>
      </c>
      <c r="Q5950">
        <v>25.383839999999999</v>
      </c>
      <c r="R5950">
        <v>30.2</v>
      </c>
      <c r="S5950">
        <v>25</v>
      </c>
      <c r="T5950">
        <v>1143.6769999999999</v>
      </c>
      <c r="U5950">
        <v>300.83839999999998</v>
      </c>
      <c r="V5950">
        <v>0</v>
      </c>
      <c r="W5950">
        <v>107</v>
      </c>
      <c r="X5950">
        <v>757.67690000000005</v>
      </c>
      <c r="Y5950">
        <v>1</v>
      </c>
      <c r="Z5950">
        <v>132</v>
      </c>
      <c r="AA5950">
        <v>10</v>
      </c>
      <c r="AB5950">
        <v>17.136220000000002</v>
      </c>
      <c r="AC5950">
        <v>1.0117040000000001E-2</v>
      </c>
      <c r="AD5950">
        <v>2.1251859999999998</v>
      </c>
      <c r="AE5950">
        <v>0.64608560000000004</v>
      </c>
      <c r="AF5950">
        <v>376.3503</v>
      </c>
      <c r="AG5950">
        <f>IFERROR(AH5950*0.1, "N/A")</f>
        <v>5.9122450000000004</v>
      </c>
      <c r="AH5950">
        <v>59.122450000000001</v>
      </c>
      <c r="AI5950">
        <v>198.60849999999999</v>
      </c>
      <c r="AJ5950">
        <v>26.969390000000001</v>
      </c>
      <c r="AK5950">
        <v>47.588439999999999</v>
      </c>
    </row>
    <row r="5951" spans="1:37" x14ac:dyDescent="0.3">
      <c r="A5951">
        <v>5950</v>
      </c>
      <c r="B5951">
        <v>0</v>
      </c>
      <c r="C5951">
        <v>-8.218</v>
      </c>
      <c r="D5951">
        <v>11.532999999999999</v>
      </c>
      <c r="E5951">
        <f>-8.218-11.533</f>
        <v>-19.750999999999998</v>
      </c>
      <c r="F5951" t="s">
        <v>9387</v>
      </c>
      <c r="G5951" t="s">
        <v>37</v>
      </c>
      <c r="H5951">
        <v>1987</v>
      </c>
      <c r="I5951">
        <v>27.1</v>
      </c>
      <c r="J5951">
        <v>14.9</v>
      </c>
      <c r="K5951">
        <v>62</v>
      </c>
      <c r="L5951">
        <v>20.59524</v>
      </c>
      <c r="M5951">
        <v>38.4</v>
      </c>
      <c r="N5951">
        <v>14.6</v>
      </c>
      <c r="O5951">
        <v>23.8</v>
      </c>
      <c r="P5951">
        <v>25.716159999999999</v>
      </c>
      <c r="Q5951">
        <v>25.383839999999999</v>
      </c>
      <c r="R5951">
        <v>30.2</v>
      </c>
      <c r="S5951">
        <v>25</v>
      </c>
      <c r="T5951">
        <v>1143.6769999999999</v>
      </c>
      <c r="U5951">
        <v>300.83839999999998</v>
      </c>
      <c r="V5951">
        <v>0</v>
      </c>
      <c r="W5951">
        <v>107</v>
      </c>
      <c r="X5951">
        <v>757.67690000000005</v>
      </c>
      <c r="Y5951">
        <v>1</v>
      </c>
      <c r="Z5951">
        <v>132</v>
      </c>
      <c r="AA5951">
        <v>10</v>
      </c>
      <c r="AB5951">
        <v>17.136220000000002</v>
      </c>
      <c r="AC5951">
        <v>1.0117040000000001E-2</v>
      </c>
      <c r="AD5951">
        <v>2.1251859999999998</v>
      </c>
      <c r="AE5951">
        <v>0.64608560000000004</v>
      </c>
      <c r="AF5951">
        <v>376.3503</v>
      </c>
      <c r="AG5951">
        <f>IFERROR(AH5951*0.1, "N/A")</f>
        <v>5.9122450000000004</v>
      </c>
      <c r="AH5951">
        <v>59.122450000000001</v>
      </c>
      <c r="AI5951">
        <v>198.60849999999999</v>
      </c>
      <c r="AJ5951">
        <v>26.969390000000001</v>
      </c>
      <c r="AK5951">
        <v>47.588439999999999</v>
      </c>
    </row>
    <row r="5952" spans="1:37" x14ac:dyDescent="0.3">
      <c r="A5952">
        <v>5951</v>
      </c>
      <c r="B5952">
        <v>0.6</v>
      </c>
      <c r="C5952">
        <v>-8.2166700000000006</v>
      </c>
      <c r="D5952">
        <v>11.533300000000001</v>
      </c>
      <c r="E5952">
        <f>-8.21667-11.5333</f>
        <v>-19.749970000000001</v>
      </c>
      <c r="F5952" t="s">
        <v>9388</v>
      </c>
      <c r="G5952" t="s">
        <v>37</v>
      </c>
      <c r="H5952">
        <v>1989</v>
      </c>
      <c r="I5952">
        <v>27.1</v>
      </c>
      <c r="J5952">
        <v>14.9</v>
      </c>
      <c r="K5952">
        <v>62</v>
      </c>
      <c r="L5952">
        <v>20.77656</v>
      </c>
      <c r="M5952">
        <v>38.4</v>
      </c>
      <c r="N5952">
        <v>14.6</v>
      </c>
      <c r="O5952">
        <v>23.8</v>
      </c>
      <c r="P5952">
        <v>25.778970000000001</v>
      </c>
      <c r="Q5952">
        <v>25.321020000000001</v>
      </c>
      <c r="R5952">
        <v>30.2</v>
      </c>
      <c r="S5952">
        <v>25</v>
      </c>
      <c r="T5952">
        <v>1142.8409999999999</v>
      </c>
      <c r="U5952">
        <v>300.21030000000002</v>
      </c>
      <c r="V5952">
        <v>0</v>
      </c>
      <c r="W5952">
        <v>107</v>
      </c>
      <c r="X5952">
        <v>756.42049999999995</v>
      </c>
      <c r="Y5952">
        <v>1</v>
      </c>
      <c r="Z5952">
        <v>132.4205</v>
      </c>
      <c r="AA5952">
        <v>10</v>
      </c>
      <c r="AB5952">
        <v>13.678789999999999</v>
      </c>
      <c r="AC5952">
        <v>1.5640080000000001E-2</v>
      </c>
      <c r="AD5952">
        <v>3.267115</v>
      </c>
      <c r="AE5952">
        <v>0.64615409999999995</v>
      </c>
      <c r="AF5952">
        <v>372.82740000000001</v>
      </c>
      <c r="AG5952">
        <f>IFERROR(AH5952*0.1, "N/A")</f>
        <v>5.900855</v>
      </c>
      <c r="AH5952">
        <v>59.00855</v>
      </c>
      <c r="AI5952">
        <v>100.5656</v>
      </c>
      <c r="AJ5952">
        <v>28.360679999999999</v>
      </c>
      <c r="AK5952">
        <v>45.914529999999999</v>
      </c>
    </row>
    <row r="5953" spans="1:37" x14ac:dyDescent="0.3">
      <c r="A5953">
        <v>5952</v>
      </c>
      <c r="B5953">
        <v>12.6</v>
      </c>
      <c r="C5953">
        <v>-8.2166700000000006</v>
      </c>
      <c r="D5953">
        <v>11.533300000000001</v>
      </c>
      <c r="E5953">
        <f>-8.21667-11.5333</f>
        <v>-19.749970000000001</v>
      </c>
      <c r="F5953" t="s">
        <v>9389</v>
      </c>
      <c r="G5953" t="s">
        <v>39</v>
      </c>
      <c r="H5953">
        <v>1989</v>
      </c>
      <c r="I5953">
        <v>27.1</v>
      </c>
      <c r="J5953">
        <v>14.9</v>
      </c>
      <c r="K5953">
        <v>62</v>
      </c>
      <c r="L5953">
        <v>20.77656</v>
      </c>
      <c r="M5953">
        <v>38.4</v>
      </c>
      <c r="N5953">
        <v>14.6</v>
      </c>
      <c r="O5953">
        <v>23.8</v>
      </c>
      <c r="P5953">
        <v>25.778970000000001</v>
      </c>
      <c r="Q5953">
        <v>25.321020000000001</v>
      </c>
      <c r="R5953">
        <v>30.2</v>
      </c>
      <c r="S5953">
        <v>25</v>
      </c>
      <c r="T5953">
        <v>1142.8409999999999</v>
      </c>
      <c r="U5953">
        <v>300.21030000000002</v>
      </c>
      <c r="V5953">
        <v>0</v>
      </c>
      <c r="W5953">
        <v>107</v>
      </c>
      <c r="X5953">
        <v>756.42049999999995</v>
      </c>
      <c r="Y5953">
        <v>1</v>
      </c>
      <c r="Z5953">
        <v>132.4205</v>
      </c>
      <c r="AA5953">
        <v>10</v>
      </c>
      <c r="AB5953">
        <v>13.678789999999999</v>
      </c>
      <c r="AC5953">
        <v>1.5640080000000001E-2</v>
      </c>
      <c r="AD5953">
        <v>3.267115</v>
      </c>
      <c r="AE5953">
        <v>0.64615409999999995</v>
      </c>
      <c r="AF5953">
        <v>372.82740000000001</v>
      </c>
      <c r="AG5953">
        <f>IFERROR(AH5953*0.1, "N/A")</f>
        <v>5.900855</v>
      </c>
      <c r="AH5953">
        <v>59.00855</v>
      </c>
      <c r="AI5953">
        <v>100.5656</v>
      </c>
      <c r="AJ5953">
        <v>28.360679999999999</v>
      </c>
      <c r="AK5953">
        <v>45.914529999999999</v>
      </c>
    </row>
    <row r="5954" spans="1:37" x14ac:dyDescent="0.3">
      <c r="A5954">
        <v>5953</v>
      </c>
      <c r="B5954">
        <v>31.7</v>
      </c>
      <c r="C5954">
        <v>-8.0833300000000001</v>
      </c>
      <c r="D5954">
        <v>11.533300000000001</v>
      </c>
      <c r="E5954">
        <f>-8.08333-11.5333</f>
        <v>-19.616630000000001</v>
      </c>
      <c r="F5954" t="s">
        <v>9390</v>
      </c>
      <c r="G5954" t="s">
        <v>39</v>
      </c>
      <c r="H5954">
        <v>1990</v>
      </c>
      <c r="I5954">
        <v>27.090240000000001</v>
      </c>
      <c r="J5954">
        <v>14.6</v>
      </c>
      <c r="K5954">
        <v>62</v>
      </c>
      <c r="L5954">
        <v>20.75582</v>
      </c>
      <c r="M5954">
        <v>38.16319</v>
      </c>
      <c r="N5954">
        <v>14.71729</v>
      </c>
      <c r="O5954">
        <v>23.445889999999999</v>
      </c>
      <c r="P5954">
        <v>25.790240000000001</v>
      </c>
      <c r="Q5954">
        <v>25.290240000000001</v>
      </c>
      <c r="R5954">
        <v>30.17295</v>
      </c>
      <c r="S5954">
        <v>24.890239999999999</v>
      </c>
      <c r="T5954">
        <v>1131.173</v>
      </c>
      <c r="U5954">
        <v>297</v>
      </c>
      <c r="V5954">
        <v>0</v>
      </c>
      <c r="W5954">
        <v>107</v>
      </c>
      <c r="X5954">
        <v>746</v>
      </c>
      <c r="Y5954">
        <v>1</v>
      </c>
      <c r="Z5954">
        <v>135.1729</v>
      </c>
      <c r="AA5954">
        <v>10</v>
      </c>
      <c r="AB5954">
        <v>6.886126</v>
      </c>
      <c r="AC5954">
        <v>2.2969400000000001E-2</v>
      </c>
      <c r="AD5954">
        <v>3.4042780000000001</v>
      </c>
      <c r="AE5954">
        <v>0.48758940000000001</v>
      </c>
      <c r="AF5954">
        <v>368.05990000000003</v>
      </c>
      <c r="AG5954">
        <f>IFERROR(AH5954*0.1, "N/A")</f>
        <v>5.40137</v>
      </c>
      <c r="AH5954">
        <v>54.0137</v>
      </c>
      <c r="AI5954">
        <v>189.72059999999999</v>
      </c>
      <c r="AJ5954">
        <v>19.25685</v>
      </c>
      <c r="AK5954">
        <v>56.77055</v>
      </c>
    </row>
    <row r="5955" spans="1:37" x14ac:dyDescent="0.3">
      <c r="A5955">
        <v>5954</v>
      </c>
      <c r="B5955">
        <v>0.9</v>
      </c>
      <c r="C5955">
        <v>-8.0833300000000001</v>
      </c>
      <c r="D5955">
        <v>11.533300000000001</v>
      </c>
      <c r="E5955">
        <f>-8.08333-11.5333</f>
        <v>-19.616630000000001</v>
      </c>
      <c r="F5955" t="s">
        <v>9391</v>
      </c>
      <c r="G5955" t="s">
        <v>37</v>
      </c>
      <c r="H5955">
        <v>1990</v>
      </c>
      <c r="I5955">
        <v>27.090240000000001</v>
      </c>
      <c r="J5955">
        <v>14.6</v>
      </c>
      <c r="K5955">
        <v>62</v>
      </c>
      <c r="L5955">
        <v>20.75582</v>
      </c>
      <c r="M5955">
        <v>38.16319</v>
      </c>
      <c r="N5955">
        <v>14.71729</v>
      </c>
      <c r="O5955">
        <v>23.445889999999999</v>
      </c>
      <c r="P5955">
        <v>25.790240000000001</v>
      </c>
      <c r="Q5955">
        <v>25.290240000000001</v>
      </c>
      <c r="R5955">
        <v>30.17295</v>
      </c>
      <c r="S5955">
        <v>24.890239999999999</v>
      </c>
      <c r="T5955">
        <v>1131.173</v>
      </c>
      <c r="U5955">
        <v>297</v>
      </c>
      <c r="V5955">
        <v>0</v>
      </c>
      <c r="W5955">
        <v>107</v>
      </c>
      <c r="X5955">
        <v>746</v>
      </c>
      <c r="Y5955">
        <v>1</v>
      </c>
      <c r="Z5955">
        <v>135.1729</v>
      </c>
      <c r="AA5955">
        <v>10</v>
      </c>
      <c r="AB5955">
        <v>6.886126</v>
      </c>
      <c r="AC5955">
        <v>2.2969400000000001E-2</v>
      </c>
      <c r="AD5955">
        <v>3.4042780000000001</v>
      </c>
      <c r="AE5955">
        <v>0.48758940000000001</v>
      </c>
      <c r="AF5955">
        <v>368.05990000000003</v>
      </c>
      <c r="AG5955">
        <f>IFERROR(AH5955*0.1, "N/A")</f>
        <v>5.40137</v>
      </c>
      <c r="AH5955">
        <v>54.0137</v>
      </c>
      <c r="AI5955">
        <v>189.72059999999999</v>
      </c>
      <c r="AJ5955">
        <v>19.25685</v>
      </c>
      <c r="AK5955">
        <v>56.77055</v>
      </c>
    </row>
    <row r="5956" spans="1:37" x14ac:dyDescent="0.3">
      <c r="A5956">
        <v>5955</v>
      </c>
      <c r="B5956">
        <v>0.5</v>
      </c>
      <c r="C5956">
        <v>-8.0850000000000009</v>
      </c>
      <c r="D5956">
        <v>11.534000000000001</v>
      </c>
      <c r="E5956">
        <f>-8.085-11.534</f>
        <v>-19.619</v>
      </c>
      <c r="F5956" t="s">
        <v>9392</v>
      </c>
      <c r="G5956" t="s">
        <v>39</v>
      </c>
      <c r="H5956">
        <v>1987</v>
      </c>
      <c r="I5956">
        <v>27.1</v>
      </c>
      <c r="J5956">
        <v>14.6</v>
      </c>
      <c r="K5956">
        <v>62</v>
      </c>
      <c r="L5956">
        <v>20.942679999999999</v>
      </c>
      <c r="M5956">
        <v>38.200000000000003</v>
      </c>
      <c r="N5956">
        <v>14.7</v>
      </c>
      <c r="O5956">
        <v>23.5</v>
      </c>
      <c r="P5956">
        <v>25.8</v>
      </c>
      <c r="Q5956">
        <v>25.3</v>
      </c>
      <c r="R5956">
        <v>30.2</v>
      </c>
      <c r="S5956">
        <v>24.9</v>
      </c>
      <c r="T5956">
        <v>1131</v>
      </c>
      <c r="U5956">
        <v>297</v>
      </c>
      <c r="V5956">
        <v>0</v>
      </c>
      <c r="W5956">
        <v>107</v>
      </c>
      <c r="X5956">
        <v>746</v>
      </c>
      <c r="Y5956">
        <v>1</v>
      </c>
      <c r="Z5956">
        <v>135</v>
      </c>
      <c r="AA5956">
        <v>10</v>
      </c>
      <c r="AB5956">
        <v>13.72174</v>
      </c>
      <c r="AC5956">
        <v>1.1010239999999999E-2</v>
      </c>
      <c r="AD5956">
        <v>2.9043230000000002</v>
      </c>
      <c r="AE5956">
        <v>0.48758940000000001</v>
      </c>
      <c r="AF5956">
        <v>369.75380000000001</v>
      </c>
      <c r="AG5956">
        <f>IFERROR(AH5956*0.1, "N/A")</f>
        <v>5.448557000000001</v>
      </c>
      <c r="AH5956">
        <v>54.485570000000003</v>
      </c>
      <c r="AI5956">
        <v>229.227</v>
      </c>
      <c r="AJ5956">
        <v>19.410869999999999</v>
      </c>
      <c r="AK5956">
        <v>57</v>
      </c>
    </row>
    <row r="5957" spans="1:37" x14ac:dyDescent="0.3">
      <c r="A5957">
        <v>5956</v>
      </c>
      <c r="B5957">
        <v>2.2000000000000002</v>
      </c>
      <c r="C5957">
        <v>-8.0850000000000009</v>
      </c>
      <c r="D5957">
        <v>11.534000000000001</v>
      </c>
      <c r="E5957">
        <f>-8.085-11.534</f>
        <v>-19.619</v>
      </c>
      <c r="F5957" t="s">
        <v>9393</v>
      </c>
      <c r="G5957" t="s">
        <v>37</v>
      </c>
      <c r="H5957">
        <v>1987</v>
      </c>
      <c r="I5957">
        <v>27.1</v>
      </c>
      <c r="J5957">
        <v>14.6</v>
      </c>
      <c r="K5957">
        <v>62</v>
      </c>
      <c r="L5957">
        <v>20.942679999999999</v>
      </c>
      <c r="M5957">
        <v>38.200000000000003</v>
      </c>
      <c r="N5957">
        <v>14.7</v>
      </c>
      <c r="O5957">
        <v>23.5</v>
      </c>
      <c r="P5957">
        <v>25.8</v>
      </c>
      <c r="Q5957">
        <v>25.3</v>
      </c>
      <c r="R5957">
        <v>30.2</v>
      </c>
      <c r="S5957">
        <v>24.9</v>
      </c>
      <c r="T5957">
        <v>1131</v>
      </c>
      <c r="U5957">
        <v>297</v>
      </c>
      <c r="V5957">
        <v>0</v>
      </c>
      <c r="W5957">
        <v>107</v>
      </c>
      <c r="X5957">
        <v>746</v>
      </c>
      <c r="Y5957">
        <v>1</v>
      </c>
      <c r="Z5957">
        <v>135</v>
      </c>
      <c r="AA5957">
        <v>10</v>
      </c>
      <c r="AB5957">
        <v>13.72174</v>
      </c>
      <c r="AC5957">
        <v>1.1010239999999999E-2</v>
      </c>
      <c r="AD5957">
        <v>2.9043230000000002</v>
      </c>
      <c r="AE5957">
        <v>0.48758940000000001</v>
      </c>
      <c r="AF5957">
        <v>369.75380000000001</v>
      </c>
      <c r="AG5957">
        <f>IFERROR(AH5957*0.1, "N/A")</f>
        <v>5.448557000000001</v>
      </c>
      <c r="AH5957">
        <v>54.485570000000003</v>
      </c>
      <c r="AI5957">
        <v>229.227</v>
      </c>
      <c r="AJ5957">
        <v>19.410869999999999</v>
      </c>
      <c r="AK5957">
        <v>57</v>
      </c>
    </row>
    <row r="5958" spans="1:37" x14ac:dyDescent="0.3">
      <c r="A5958">
        <v>5957</v>
      </c>
      <c r="B5958">
        <v>0.6</v>
      </c>
      <c r="C5958">
        <v>-7.71828</v>
      </c>
      <c r="D5958">
        <v>11.539300000000001</v>
      </c>
      <c r="E5958">
        <f>-7.71828-11.5393</f>
        <v>-19.257580000000001</v>
      </c>
      <c r="F5958" t="s">
        <v>9394</v>
      </c>
      <c r="G5958" t="s">
        <v>39</v>
      </c>
      <c r="H5958">
        <v>1990</v>
      </c>
      <c r="I5958">
        <v>27.1</v>
      </c>
      <c r="J5958">
        <v>13.9</v>
      </c>
      <c r="K5958">
        <v>62</v>
      </c>
      <c r="L5958">
        <v>20.29</v>
      </c>
      <c r="M5958">
        <v>37.6</v>
      </c>
      <c r="N5958">
        <v>15.2</v>
      </c>
      <c r="O5958">
        <v>22.4</v>
      </c>
      <c r="P5958">
        <v>25.7</v>
      </c>
      <c r="Q5958">
        <v>25.4</v>
      </c>
      <c r="R5958">
        <v>30.1</v>
      </c>
      <c r="S5958">
        <v>24.9</v>
      </c>
      <c r="T5958">
        <v>1113</v>
      </c>
      <c r="U5958">
        <v>291</v>
      </c>
      <c r="V5958">
        <v>0</v>
      </c>
      <c r="W5958">
        <v>107</v>
      </c>
      <c r="X5958">
        <v>732</v>
      </c>
      <c r="Y5958">
        <v>2</v>
      </c>
      <c r="Z5958">
        <v>141</v>
      </c>
      <c r="AA5958">
        <v>10</v>
      </c>
      <c r="AB5958">
        <v>3.260224</v>
      </c>
      <c r="AC5958">
        <v>4.2121649999999997E-2</v>
      </c>
      <c r="AD5958">
        <v>1.142471</v>
      </c>
      <c r="AE5958">
        <v>0.39270690000000003</v>
      </c>
      <c r="AF5958">
        <v>349.2133</v>
      </c>
      <c r="AG5958">
        <f>IFERROR(AH5958*0.1, "N/A")</f>
        <v>5.7136519999999997</v>
      </c>
      <c r="AH5958">
        <v>57.136519999999997</v>
      </c>
      <c r="AI5958">
        <v>184.6557</v>
      </c>
      <c r="AJ5958">
        <v>23.45392</v>
      </c>
      <c r="AK5958">
        <v>40.546080000000003</v>
      </c>
    </row>
    <row r="5959" spans="1:37" x14ac:dyDescent="0.3">
      <c r="A5959">
        <v>5958</v>
      </c>
      <c r="B5959">
        <v>0</v>
      </c>
      <c r="C5959">
        <v>-7.71828</v>
      </c>
      <c r="D5959">
        <v>11.539300000000001</v>
      </c>
      <c r="E5959">
        <f>-7.71828-11.5393</f>
        <v>-19.257580000000001</v>
      </c>
      <c r="F5959" t="s">
        <v>9395</v>
      </c>
      <c r="G5959" t="s">
        <v>37</v>
      </c>
      <c r="H5959">
        <v>1990</v>
      </c>
      <c r="I5959">
        <v>27.1</v>
      </c>
      <c r="J5959">
        <v>13.9</v>
      </c>
      <c r="K5959">
        <v>62</v>
      </c>
      <c r="L5959">
        <v>20.29</v>
      </c>
      <c r="M5959">
        <v>37.6</v>
      </c>
      <c r="N5959">
        <v>15.2</v>
      </c>
      <c r="O5959">
        <v>22.4</v>
      </c>
      <c r="P5959">
        <v>25.7</v>
      </c>
      <c r="Q5959">
        <v>25.4</v>
      </c>
      <c r="R5959">
        <v>30.1</v>
      </c>
      <c r="S5959">
        <v>24.9</v>
      </c>
      <c r="T5959">
        <v>1113</v>
      </c>
      <c r="U5959">
        <v>291</v>
      </c>
      <c r="V5959">
        <v>0</v>
      </c>
      <c r="W5959">
        <v>107</v>
      </c>
      <c r="X5959">
        <v>732</v>
      </c>
      <c r="Y5959">
        <v>2</v>
      </c>
      <c r="Z5959">
        <v>141</v>
      </c>
      <c r="AA5959">
        <v>10</v>
      </c>
      <c r="AB5959">
        <v>3.260224</v>
      </c>
      <c r="AC5959">
        <v>4.2121649999999997E-2</v>
      </c>
      <c r="AD5959">
        <v>1.142471</v>
      </c>
      <c r="AE5959">
        <v>0.39270690000000003</v>
      </c>
      <c r="AF5959">
        <v>349.2133</v>
      </c>
      <c r="AG5959">
        <f>IFERROR(AH5959*0.1, "N/A")</f>
        <v>5.7136519999999997</v>
      </c>
      <c r="AH5959">
        <v>57.136519999999997</v>
      </c>
      <c r="AI5959">
        <v>184.6557</v>
      </c>
      <c r="AJ5959">
        <v>23.45392</v>
      </c>
      <c r="AK5959">
        <v>40.546080000000003</v>
      </c>
    </row>
    <row r="5960" spans="1:37" x14ac:dyDescent="0.3">
      <c r="A5960">
        <v>5959</v>
      </c>
      <c r="B5960">
        <v>56</v>
      </c>
      <c r="C5960">
        <v>-8.0500000000000007</v>
      </c>
      <c r="D5960">
        <v>11.55</v>
      </c>
      <c r="E5960">
        <f>-8.05-11.55</f>
        <v>-19.600000000000001</v>
      </c>
      <c r="F5960" t="s">
        <v>9396</v>
      </c>
      <c r="G5960" t="s">
        <v>39</v>
      </c>
      <c r="H5960">
        <v>1986</v>
      </c>
      <c r="I5960">
        <v>27.1</v>
      </c>
      <c r="J5960">
        <v>14.5</v>
      </c>
      <c r="K5960">
        <v>62</v>
      </c>
      <c r="L5960">
        <v>20.511399999999998</v>
      </c>
      <c r="M5960">
        <v>38.01952</v>
      </c>
      <c r="N5960">
        <v>14.719519999999999</v>
      </c>
      <c r="O5960">
        <v>23.3</v>
      </c>
      <c r="P5960">
        <v>25.8</v>
      </c>
      <c r="Q5960">
        <v>25.3</v>
      </c>
      <c r="R5960">
        <v>30.119520000000001</v>
      </c>
      <c r="S5960">
        <v>24.914210000000001</v>
      </c>
      <c r="T5960">
        <v>1126.6610000000001</v>
      </c>
      <c r="U5960">
        <v>296</v>
      </c>
      <c r="V5960">
        <v>0</v>
      </c>
      <c r="W5960">
        <v>107</v>
      </c>
      <c r="X5960">
        <v>742.66099999999994</v>
      </c>
      <c r="Y5960">
        <v>1</v>
      </c>
      <c r="Z5960">
        <v>136</v>
      </c>
      <c r="AA5960">
        <v>10</v>
      </c>
      <c r="AB5960">
        <v>6.2133789999999998</v>
      </c>
      <c r="AC5960">
        <v>3.6496349999999997E-2</v>
      </c>
      <c r="AD5960">
        <v>1.930545</v>
      </c>
      <c r="AE5960">
        <v>0.17249139999999999</v>
      </c>
      <c r="AF5960">
        <v>368.5736</v>
      </c>
      <c r="AG5960">
        <f>IFERROR(AH5960*0.1, "N/A")</f>
        <v>5.8339040000000004</v>
      </c>
      <c r="AH5960">
        <v>58.339039999999997</v>
      </c>
      <c r="AI5960">
        <v>202.11689999999999</v>
      </c>
      <c r="AJ5960">
        <v>23.678080000000001</v>
      </c>
      <c r="AK5960">
        <v>48.660960000000003</v>
      </c>
    </row>
    <row r="5961" spans="1:37" x14ac:dyDescent="0.3">
      <c r="A5961">
        <v>5960</v>
      </c>
      <c r="B5961">
        <v>6</v>
      </c>
      <c r="C5961">
        <v>-8.0500000000000007</v>
      </c>
      <c r="D5961">
        <v>11.55</v>
      </c>
      <c r="E5961">
        <f>-8.05-11.55</f>
        <v>-19.600000000000001</v>
      </c>
      <c r="F5961" t="s">
        <v>9397</v>
      </c>
      <c r="G5961" t="s">
        <v>37</v>
      </c>
      <c r="H5961">
        <v>1986</v>
      </c>
      <c r="I5961">
        <v>27.1</v>
      </c>
      <c r="J5961">
        <v>14.5</v>
      </c>
      <c r="K5961">
        <v>62</v>
      </c>
      <c r="L5961">
        <v>20.511399999999998</v>
      </c>
      <c r="M5961">
        <v>38.01952</v>
      </c>
      <c r="N5961">
        <v>14.719519999999999</v>
      </c>
      <c r="O5961">
        <v>23.3</v>
      </c>
      <c r="P5961">
        <v>25.8</v>
      </c>
      <c r="Q5961">
        <v>25.3</v>
      </c>
      <c r="R5961">
        <v>30.119520000000001</v>
      </c>
      <c r="S5961">
        <v>24.914210000000001</v>
      </c>
      <c r="T5961">
        <v>1126.6610000000001</v>
      </c>
      <c r="U5961">
        <v>296</v>
      </c>
      <c r="V5961">
        <v>0</v>
      </c>
      <c r="W5961">
        <v>107</v>
      </c>
      <c r="X5961">
        <v>742.66099999999994</v>
      </c>
      <c r="Y5961">
        <v>1</v>
      </c>
      <c r="Z5961">
        <v>136</v>
      </c>
      <c r="AA5961">
        <v>10</v>
      </c>
      <c r="AB5961">
        <v>6.2133789999999998</v>
      </c>
      <c r="AC5961">
        <v>3.6496349999999997E-2</v>
      </c>
      <c r="AD5961">
        <v>1.930545</v>
      </c>
      <c r="AE5961">
        <v>0.17249139999999999</v>
      </c>
      <c r="AF5961">
        <v>368.5736</v>
      </c>
      <c r="AG5961">
        <f>IFERROR(AH5961*0.1, "N/A")</f>
        <v>5.8339040000000004</v>
      </c>
      <c r="AH5961">
        <v>58.339039999999997</v>
      </c>
      <c r="AI5961">
        <v>202.11689999999999</v>
      </c>
      <c r="AJ5961">
        <v>23.678080000000001</v>
      </c>
      <c r="AK5961">
        <v>48.660960000000003</v>
      </c>
    </row>
    <row r="5962" spans="1:37" x14ac:dyDescent="0.3">
      <c r="A5962">
        <v>5961</v>
      </c>
      <c r="B5962">
        <v>3</v>
      </c>
      <c r="C5962">
        <v>-7.5402899999999997</v>
      </c>
      <c r="D5962">
        <v>11.5809</v>
      </c>
      <c r="E5962">
        <f>-7.54029-11.5809</f>
        <v>-19.121189999999999</v>
      </c>
      <c r="F5962" t="s">
        <v>9398</v>
      </c>
      <c r="G5962" t="s">
        <v>39</v>
      </c>
      <c r="H5962">
        <v>1990</v>
      </c>
      <c r="I5962">
        <v>27.1</v>
      </c>
      <c r="J5962">
        <v>13.6</v>
      </c>
      <c r="K5962">
        <v>61</v>
      </c>
      <c r="L5962">
        <v>20.46</v>
      </c>
      <c r="M5962">
        <v>37.5</v>
      </c>
      <c r="N5962">
        <v>15.3</v>
      </c>
      <c r="O5962">
        <v>22.2</v>
      </c>
      <c r="P5962">
        <v>25.9</v>
      </c>
      <c r="Q5962">
        <v>25.4</v>
      </c>
      <c r="R5962">
        <v>30.1</v>
      </c>
      <c r="S5962">
        <v>24.9</v>
      </c>
      <c r="T5962">
        <v>1090</v>
      </c>
      <c r="U5962">
        <v>289</v>
      </c>
      <c r="V5962">
        <v>0</v>
      </c>
      <c r="W5962">
        <v>108</v>
      </c>
      <c r="X5962">
        <v>723</v>
      </c>
      <c r="Y5962">
        <v>2</v>
      </c>
      <c r="Z5962">
        <v>135</v>
      </c>
      <c r="AA5962">
        <v>9</v>
      </c>
      <c r="AB5962">
        <v>9.0170919999999999</v>
      </c>
      <c r="AC5962">
        <v>1.238684E-2</v>
      </c>
      <c r="AD5962">
        <v>1.49539</v>
      </c>
      <c r="AE5962">
        <v>0.63251959999999996</v>
      </c>
      <c r="AF5962">
        <v>340.21199999999999</v>
      </c>
      <c r="AG5962">
        <f>IFERROR(AH5962*0.1, "N/A")</f>
        <v>5.8005130000000005</v>
      </c>
      <c r="AH5962">
        <v>58.005130000000001</v>
      </c>
      <c r="AI5962">
        <v>80.201059999999998</v>
      </c>
      <c r="AJ5962">
        <v>20.03077</v>
      </c>
      <c r="AK5962">
        <v>44.01538</v>
      </c>
    </row>
    <row r="5963" spans="1:37" x14ac:dyDescent="0.3">
      <c r="A5963">
        <v>5962</v>
      </c>
      <c r="B5963">
        <v>0</v>
      </c>
      <c r="C5963">
        <v>-7.5402899999999997</v>
      </c>
      <c r="D5963">
        <v>11.5809</v>
      </c>
      <c r="E5963">
        <f>-7.54029-11.5809</f>
        <v>-19.121189999999999</v>
      </c>
      <c r="F5963" t="s">
        <v>9399</v>
      </c>
      <c r="G5963" t="s">
        <v>37</v>
      </c>
      <c r="H5963">
        <v>1990</v>
      </c>
      <c r="I5963">
        <v>27.1</v>
      </c>
      <c r="J5963">
        <v>13.6</v>
      </c>
      <c r="K5963">
        <v>61</v>
      </c>
      <c r="L5963">
        <v>20.46</v>
      </c>
      <c r="M5963">
        <v>37.5</v>
      </c>
      <c r="N5963">
        <v>15.3</v>
      </c>
      <c r="O5963">
        <v>22.2</v>
      </c>
      <c r="P5963">
        <v>25.9</v>
      </c>
      <c r="Q5963">
        <v>25.4</v>
      </c>
      <c r="R5963">
        <v>30.1</v>
      </c>
      <c r="S5963">
        <v>24.9</v>
      </c>
      <c r="T5963">
        <v>1090</v>
      </c>
      <c r="U5963">
        <v>289</v>
      </c>
      <c r="V5963">
        <v>0</v>
      </c>
      <c r="W5963">
        <v>108</v>
      </c>
      <c r="X5963">
        <v>723</v>
      </c>
      <c r="Y5963">
        <v>2</v>
      </c>
      <c r="Z5963">
        <v>135</v>
      </c>
      <c r="AA5963">
        <v>9</v>
      </c>
      <c r="AB5963">
        <v>9.0170919999999999</v>
      </c>
      <c r="AC5963">
        <v>1.238684E-2</v>
      </c>
      <c r="AD5963">
        <v>1.49539</v>
      </c>
      <c r="AE5963">
        <v>0.63251959999999996</v>
      </c>
      <c r="AF5963">
        <v>340.21199999999999</v>
      </c>
      <c r="AG5963">
        <f>IFERROR(AH5963*0.1, "N/A")</f>
        <v>5.8005130000000005</v>
      </c>
      <c r="AH5963">
        <v>58.005130000000001</v>
      </c>
      <c r="AI5963">
        <v>80.201059999999998</v>
      </c>
      <c r="AJ5963">
        <v>20.03077</v>
      </c>
      <c r="AK5963">
        <v>44.01538</v>
      </c>
    </row>
    <row r="5964" spans="1:37" x14ac:dyDescent="0.3">
      <c r="A5964">
        <v>5963</v>
      </c>
      <c r="B5964">
        <v>6.1</v>
      </c>
      <c r="C5964">
        <v>-8.1690000000000005</v>
      </c>
      <c r="D5964">
        <v>11.583</v>
      </c>
      <c r="E5964">
        <f>-8.169-11.583</f>
        <v>-19.752000000000002</v>
      </c>
      <c r="F5964" t="s">
        <v>9400</v>
      </c>
      <c r="G5964" t="s">
        <v>39</v>
      </c>
      <c r="H5964">
        <v>1987</v>
      </c>
      <c r="I5964">
        <v>27.201879999999999</v>
      </c>
      <c r="J5964">
        <v>14.8</v>
      </c>
      <c r="K5964">
        <v>62</v>
      </c>
      <c r="L5964">
        <v>20.73207</v>
      </c>
      <c r="M5964">
        <v>38.4</v>
      </c>
      <c r="N5964">
        <v>14.701879999999999</v>
      </c>
      <c r="O5964">
        <v>23.698119999999999</v>
      </c>
      <c r="P5964">
        <v>26</v>
      </c>
      <c r="Q5964">
        <v>25.4</v>
      </c>
      <c r="R5964">
        <v>30.301880000000001</v>
      </c>
      <c r="S5964">
        <v>25.00188</v>
      </c>
      <c r="T5964">
        <v>1131.981</v>
      </c>
      <c r="U5964">
        <v>298</v>
      </c>
      <c r="V5964">
        <v>0</v>
      </c>
      <c r="W5964">
        <v>107</v>
      </c>
      <c r="X5964">
        <v>749</v>
      </c>
      <c r="Y5964">
        <v>1</v>
      </c>
      <c r="Z5964">
        <v>131.9812</v>
      </c>
      <c r="AA5964">
        <v>10</v>
      </c>
      <c r="AB5964">
        <v>0</v>
      </c>
      <c r="AC5964">
        <v>5.8295890000000003E-2</v>
      </c>
      <c r="AD5964">
        <v>0</v>
      </c>
      <c r="AE5964" t="s">
        <v>729</v>
      </c>
      <c r="AF5964">
        <v>340</v>
      </c>
      <c r="AG5964" t="str">
        <f>IFERROR(AH5964*0.1, "N/A")</f>
        <v>N/A</v>
      </c>
      <c r="AH5964" t="s">
        <v>729</v>
      </c>
      <c r="AI5964">
        <v>0</v>
      </c>
      <c r="AJ5964" t="s">
        <v>729</v>
      </c>
      <c r="AK5964" t="s">
        <v>729</v>
      </c>
    </row>
    <row r="5965" spans="1:37" x14ac:dyDescent="0.3">
      <c r="A5965">
        <v>5964</v>
      </c>
      <c r="B5965">
        <v>0.5</v>
      </c>
      <c r="C5965">
        <v>-8.1690000000000005</v>
      </c>
      <c r="D5965">
        <v>11.583</v>
      </c>
      <c r="E5965">
        <f>-8.169-11.583</f>
        <v>-19.752000000000002</v>
      </c>
      <c r="F5965" t="s">
        <v>9401</v>
      </c>
      <c r="G5965" t="s">
        <v>37</v>
      </c>
      <c r="H5965">
        <v>1987</v>
      </c>
      <c r="I5965">
        <v>27.201879999999999</v>
      </c>
      <c r="J5965">
        <v>14.8</v>
      </c>
      <c r="K5965">
        <v>62</v>
      </c>
      <c r="L5965">
        <v>20.73207</v>
      </c>
      <c r="M5965">
        <v>38.4</v>
      </c>
      <c r="N5965">
        <v>14.701879999999999</v>
      </c>
      <c r="O5965">
        <v>23.698119999999999</v>
      </c>
      <c r="P5965">
        <v>26</v>
      </c>
      <c r="Q5965">
        <v>25.4</v>
      </c>
      <c r="R5965">
        <v>30.301880000000001</v>
      </c>
      <c r="S5965">
        <v>25.00188</v>
      </c>
      <c r="T5965">
        <v>1131.981</v>
      </c>
      <c r="U5965">
        <v>298</v>
      </c>
      <c r="V5965">
        <v>0</v>
      </c>
      <c r="W5965">
        <v>107</v>
      </c>
      <c r="X5965">
        <v>749</v>
      </c>
      <c r="Y5965">
        <v>1</v>
      </c>
      <c r="Z5965">
        <v>131.9812</v>
      </c>
      <c r="AA5965">
        <v>10</v>
      </c>
      <c r="AB5965">
        <v>0</v>
      </c>
      <c r="AC5965">
        <v>5.8295890000000003E-2</v>
      </c>
      <c r="AD5965">
        <v>0</v>
      </c>
      <c r="AE5965" t="s">
        <v>729</v>
      </c>
      <c r="AF5965">
        <v>340</v>
      </c>
      <c r="AG5965" t="str">
        <f>IFERROR(AH5965*0.1, "N/A")</f>
        <v>N/A</v>
      </c>
      <c r="AH5965" t="s">
        <v>729</v>
      </c>
      <c r="AI5965">
        <v>0</v>
      </c>
      <c r="AJ5965" t="s">
        <v>729</v>
      </c>
      <c r="AK5965" t="s">
        <v>729</v>
      </c>
    </row>
    <row r="5966" spans="1:37" x14ac:dyDescent="0.3">
      <c r="A5966">
        <v>5965</v>
      </c>
      <c r="B5966">
        <v>12.1</v>
      </c>
      <c r="C5966">
        <v>-8.1666699999999999</v>
      </c>
      <c r="D5966">
        <v>11.583299999999999</v>
      </c>
      <c r="E5966">
        <f>-8.16667-11.5833</f>
        <v>-19.749969999999998</v>
      </c>
      <c r="F5966" t="s">
        <v>9402</v>
      </c>
      <c r="G5966" t="s">
        <v>39</v>
      </c>
      <c r="H5966">
        <v>1990</v>
      </c>
      <c r="I5966">
        <v>27.24286</v>
      </c>
      <c r="J5966">
        <v>14.8</v>
      </c>
      <c r="K5966">
        <v>62</v>
      </c>
      <c r="L5966">
        <v>20.825150000000001</v>
      </c>
      <c r="M5966">
        <v>38.4</v>
      </c>
      <c r="N5966">
        <v>14.74286</v>
      </c>
      <c r="O5966">
        <v>23.657139999999998</v>
      </c>
      <c r="P5966">
        <v>26</v>
      </c>
      <c r="Q5966">
        <v>25.435199999999998</v>
      </c>
      <c r="R5966">
        <v>30.342860000000002</v>
      </c>
      <c r="S5966">
        <v>25.007650000000002</v>
      </c>
      <c r="T5966">
        <v>1130.704</v>
      </c>
      <c r="U5966">
        <v>297.64800000000002</v>
      </c>
      <c r="V5966">
        <v>0</v>
      </c>
      <c r="W5966">
        <v>107</v>
      </c>
      <c r="X5966">
        <v>747.78060000000005</v>
      </c>
      <c r="Y5966">
        <v>1</v>
      </c>
      <c r="Z5966">
        <v>131.92349999999999</v>
      </c>
      <c r="AA5966">
        <v>10</v>
      </c>
      <c r="AB5966">
        <v>0</v>
      </c>
      <c r="AC5966">
        <v>3.7982050000000003E-2</v>
      </c>
      <c r="AD5966">
        <v>0</v>
      </c>
      <c r="AE5966" t="s">
        <v>729</v>
      </c>
      <c r="AF5966">
        <v>340</v>
      </c>
      <c r="AG5966" t="str">
        <f>IFERROR(AH5966*0.1, "N/A")</f>
        <v>N/A</v>
      </c>
      <c r="AH5966" t="s">
        <v>729</v>
      </c>
      <c r="AI5966">
        <v>0</v>
      </c>
      <c r="AJ5966" t="s">
        <v>729</v>
      </c>
      <c r="AK5966" t="s">
        <v>729</v>
      </c>
    </row>
    <row r="5967" spans="1:37" x14ac:dyDescent="0.3">
      <c r="A5967">
        <v>5966</v>
      </c>
      <c r="B5967">
        <v>18.5</v>
      </c>
      <c r="C5967">
        <v>-8.1666699999999999</v>
      </c>
      <c r="D5967">
        <v>11.583299999999999</v>
      </c>
      <c r="E5967">
        <f>-8.16667-11.5833</f>
        <v>-19.749969999999998</v>
      </c>
      <c r="F5967" t="s">
        <v>9403</v>
      </c>
      <c r="G5967" t="s">
        <v>37</v>
      </c>
      <c r="H5967">
        <v>1990</v>
      </c>
      <c r="I5967">
        <v>27.24286</v>
      </c>
      <c r="J5967">
        <v>14.8</v>
      </c>
      <c r="K5967">
        <v>62</v>
      </c>
      <c r="L5967">
        <v>20.825150000000001</v>
      </c>
      <c r="M5967">
        <v>38.4</v>
      </c>
      <c r="N5967">
        <v>14.74286</v>
      </c>
      <c r="O5967">
        <v>23.657139999999998</v>
      </c>
      <c r="P5967">
        <v>26</v>
      </c>
      <c r="Q5967">
        <v>25.435199999999998</v>
      </c>
      <c r="R5967">
        <v>30.342860000000002</v>
      </c>
      <c r="S5967">
        <v>25.007650000000002</v>
      </c>
      <c r="T5967">
        <v>1130.704</v>
      </c>
      <c r="U5967">
        <v>297.64800000000002</v>
      </c>
      <c r="V5967">
        <v>0</v>
      </c>
      <c r="W5967">
        <v>107</v>
      </c>
      <c r="X5967">
        <v>747.78060000000005</v>
      </c>
      <c r="Y5967">
        <v>1</v>
      </c>
      <c r="Z5967">
        <v>131.92349999999999</v>
      </c>
      <c r="AA5967">
        <v>10</v>
      </c>
      <c r="AB5967">
        <v>0</v>
      </c>
      <c r="AC5967">
        <v>3.7982050000000003E-2</v>
      </c>
      <c r="AD5967">
        <v>0</v>
      </c>
      <c r="AE5967" t="s">
        <v>729</v>
      </c>
      <c r="AF5967">
        <v>340</v>
      </c>
      <c r="AG5967" t="str">
        <f>IFERROR(AH5967*0.1, "N/A")</f>
        <v>N/A</v>
      </c>
      <c r="AH5967" t="s">
        <v>729</v>
      </c>
      <c r="AI5967">
        <v>0</v>
      </c>
      <c r="AJ5967" t="s">
        <v>729</v>
      </c>
      <c r="AK5967" t="s">
        <v>729</v>
      </c>
    </row>
    <row r="5968" spans="1:37" x14ac:dyDescent="0.3">
      <c r="A5968">
        <v>5967</v>
      </c>
      <c r="B5968">
        <v>11.1</v>
      </c>
      <c r="C5968">
        <v>-8.25</v>
      </c>
      <c r="D5968">
        <v>11.583299999999999</v>
      </c>
      <c r="E5968">
        <f>-8.25-11.5833</f>
        <v>-19.833300000000001</v>
      </c>
      <c r="F5968" t="s">
        <v>9404</v>
      </c>
      <c r="G5968" t="s">
        <v>39</v>
      </c>
      <c r="H5968">
        <v>1990</v>
      </c>
      <c r="I5968">
        <v>27.2</v>
      </c>
      <c r="J5968">
        <v>15</v>
      </c>
      <c r="K5968">
        <v>62.158430000000003</v>
      </c>
      <c r="L5968">
        <v>20.853750000000002</v>
      </c>
      <c r="M5968">
        <v>38.484160000000003</v>
      </c>
      <c r="N5968">
        <v>14.564909999999999</v>
      </c>
      <c r="O5968">
        <v>23.919250000000002</v>
      </c>
      <c r="P5968">
        <v>25.9</v>
      </c>
      <c r="Q5968">
        <v>25.387219999999999</v>
      </c>
      <c r="R5968">
        <v>30.28416</v>
      </c>
      <c r="S5968">
        <v>24.996929999999999</v>
      </c>
      <c r="T5968">
        <v>1142</v>
      </c>
      <c r="U5968">
        <v>301</v>
      </c>
      <c r="V5968">
        <v>0</v>
      </c>
      <c r="W5968">
        <v>107</v>
      </c>
      <c r="X5968">
        <v>757</v>
      </c>
      <c r="Y5968">
        <v>1</v>
      </c>
      <c r="Z5968">
        <v>130</v>
      </c>
      <c r="AA5968">
        <v>10</v>
      </c>
      <c r="AB5968">
        <v>3.0938780000000001</v>
      </c>
      <c r="AC5968">
        <v>0.1227434</v>
      </c>
      <c r="AD5968">
        <v>1.868322</v>
      </c>
      <c r="AE5968">
        <v>0.40930040000000001</v>
      </c>
      <c r="AF5968">
        <v>351.6508</v>
      </c>
      <c r="AG5968">
        <f>IFERROR(AH5968*0.1, "N/A")</f>
        <v>5.9194209999999998</v>
      </c>
      <c r="AH5968">
        <v>59.194209999999998</v>
      </c>
      <c r="AI5968">
        <v>201.55940000000001</v>
      </c>
      <c r="AJ5968">
        <v>22.68825</v>
      </c>
      <c r="AK5968">
        <v>44.086880000000001</v>
      </c>
    </row>
    <row r="5969" spans="1:37" x14ac:dyDescent="0.3">
      <c r="A5969">
        <v>5968</v>
      </c>
      <c r="B5969">
        <v>7</v>
      </c>
      <c r="C5969">
        <v>-8.25</v>
      </c>
      <c r="D5969">
        <v>11.583299999999999</v>
      </c>
      <c r="E5969">
        <f>-8.25-11.5833</f>
        <v>-19.833300000000001</v>
      </c>
      <c r="F5969" t="s">
        <v>9405</v>
      </c>
      <c r="G5969" t="s">
        <v>37</v>
      </c>
      <c r="H5969">
        <v>1990</v>
      </c>
      <c r="I5969">
        <v>27.2</v>
      </c>
      <c r="J5969">
        <v>15</v>
      </c>
      <c r="K5969">
        <v>62.158430000000003</v>
      </c>
      <c r="L5969">
        <v>20.853750000000002</v>
      </c>
      <c r="M5969">
        <v>38.484160000000003</v>
      </c>
      <c r="N5969">
        <v>14.564909999999999</v>
      </c>
      <c r="O5969">
        <v>23.919250000000002</v>
      </c>
      <c r="P5969">
        <v>25.9</v>
      </c>
      <c r="Q5969">
        <v>25.387219999999999</v>
      </c>
      <c r="R5969">
        <v>30.28416</v>
      </c>
      <c r="S5969">
        <v>24.996929999999999</v>
      </c>
      <c r="T5969">
        <v>1142</v>
      </c>
      <c r="U5969">
        <v>301</v>
      </c>
      <c r="V5969">
        <v>0</v>
      </c>
      <c r="W5969">
        <v>107</v>
      </c>
      <c r="X5969">
        <v>757</v>
      </c>
      <c r="Y5969">
        <v>1</v>
      </c>
      <c r="Z5969">
        <v>130</v>
      </c>
      <c r="AA5969">
        <v>10</v>
      </c>
      <c r="AB5969">
        <v>3.0938780000000001</v>
      </c>
      <c r="AC5969">
        <v>0.1227434</v>
      </c>
      <c r="AD5969">
        <v>1.868322</v>
      </c>
      <c r="AE5969">
        <v>0.40930040000000001</v>
      </c>
      <c r="AF5969">
        <v>351.6508</v>
      </c>
      <c r="AG5969">
        <f>IFERROR(AH5969*0.1, "N/A")</f>
        <v>5.9194209999999998</v>
      </c>
      <c r="AH5969">
        <v>59.194209999999998</v>
      </c>
      <c r="AI5969">
        <v>201.55940000000001</v>
      </c>
      <c r="AJ5969">
        <v>22.68825</v>
      </c>
      <c r="AK5969">
        <v>44.086880000000001</v>
      </c>
    </row>
    <row r="5970" spans="1:37" x14ac:dyDescent="0.3">
      <c r="A5970">
        <v>5969</v>
      </c>
      <c r="B5970">
        <v>9.4</v>
      </c>
      <c r="C5970">
        <v>-8.1610099999999992</v>
      </c>
      <c r="D5970">
        <v>11.5847</v>
      </c>
      <c r="E5970">
        <f>-8.16101-11.5847</f>
        <v>-19.745709999999999</v>
      </c>
      <c r="F5970" t="s">
        <v>9406</v>
      </c>
      <c r="G5970" t="s">
        <v>39</v>
      </c>
      <c r="H5970">
        <v>1975</v>
      </c>
      <c r="I5970">
        <v>27.2</v>
      </c>
      <c r="J5970">
        <v>14.8</v>
      </c>
      <c r="K5970">
        <v>62</v>
      </c>
      <c r="L5970">
        <v>20.93</v>
      </c>
      <c r="M5970">
        <v>38.4</v>
      </c>
      <c r="N5970">
        <v>14.7</v>
      </c>
      <c r="O5970">
        <v>23.7</v>
      </c>
      <c r="P5970">
        <v>26</v>
      </c>
      <c r="Q5970">
        <v>25.4</v>
      </c>
      <c r="R5970">
        <v>30.3</v>
      </c>
      <c r="S5970">
        <v>25</v>
      </c>
      <c r="T5970">
        <v>1130</v>
      </c>
      <c r="U5970">
        <v>298</v>
      </c>
      <c r="V5970">
        <v>0</v>
      </c>
      <c r="W5970">
        <v>107</v>
      </c>
      <c r="X5970">
        <v>747</v>
      </c>
      <c r="Y5970">
        <v>1</v>
      </c>
      <c r="Z5970">
        <v>132</v>
      </c>
      <c r="AA5970">
        <v>10</v>
      </c>
      <c r="AB5970">
        <v>6.7677360000000002</v>
      </c>
      <c r="AC5970">
        <v>1.862691E-2</v>
      </c>
      <c r="AD5970">
        <v>3.0302660000000001</v>
      </c>
      <c r="AE5970" t="s">
        <v>729</v>
      </c>
      <c r="AF5970">
        <v>345.92829999999998</v>
      </c>
      <c r="AG5970">
        <f>IFERROR(AH5970*0.1, "N/A")</f>
        <v>6.1000000000000005</v>
      </c>
      <c r="AH5970">
        <v>61</v>
      </c>
      <c r="AI5970">
        <v>231.33940000000001</v>
      </c>
      <c r="AJ5970">
        <v>35</v>
      </c>
      <c r="AK5970">
        <v>50</v>
      </c>
    </row>
    <row r="5971" spans="1:37" x14ac:dyDescent="0.3">
      <c r="A5971">
        <v>5970</v>
      </c>
      <c r="B5971">
        <v>2.4</v>
      </c>
      <c r="C5971">
        <v>-8.1610099999999992</v>
      </c>
      <c r="D5971">
        <v>11.5847</v>
      </c>
      <c r="E5971">
        <f>-8.16101-11.5847</f>
        <v>-19.745709999999999</v>
      </c>
      <c r="F5971" t="s">
        <v>9407</v>
      </c>
      <c r="G5971" t="s">
        <v>37</v>
      </c>
      <c r="H5971">
        <v>1975</v>
      </c>
      <c r="I5971">
        <v>27.2</v>
      </c>
      <c r="J5971">
        <v>14.8</v>
      </c>
      <c r="K5971">
        <v>62</v>
      </c>
      <c r="L5971">
        <v>20.93</v>
      </c>
      <c r="M5971">
        <v>38.4</v>
      </c>
      <c r="N5971">
        <v>14.7</v>
      </c>
      <c r="O5971">
        <v>23.7</v>
      </c>
      <c r="P5971">
        <v>26</v>
      </c>
      <c r="Q5971">
        <v>25.4</v>
      </c>
      <c r="R5971">
        <v>30.3</v>
      </c>
      <c r="S5971">
        <v>25</v>
      </c>
      <c r="T5971">
        <v>1130</v>
      </c>
      <c r="U5971">
        <v>298</v>
      </c>
      <c r="V5971">
        <v>0</v>
      </c>
      <c r="W5971">
        <v>107</v>
      </c>
      <c r="X5971">
        <v>747</v>
      </c>
      <c r="Y5971">
        <v>1</v>
      </c>
      <c r="Z5971">
        <v>132</v>
      </c>
      <c r="AA5971">
        <v>10</v>
      </c>
      <c r="AB5971">
        <v>6.7677360000000002</v>
      </c>
      <c r="AC5971">
        <v>1.862691E-2</v>
      </c>
      <c r="AD5971">
        <v>3.0302660000000001</v>
      </c>
      <c r="AE5971" t="s">
        <v>729</v>
      </c>
      <c r="AF5971">
        <v>345.92829999999998</v>
      </c>
      <c r="AG5971">
        <f>IFERROR(AH5971*0.1, "N/A")</f>
        <v>6.1000000000000005</v>
      </c>
      <c r="AH5971">
        <v>61</v>
      </c>
      <c r="AI5971">
        <v>231.33940000000001</v>
      </c>
      <c r="AJ5971">
        <v>35</v>
      </c>
      <c r="AK5971">
        <v>50</v>
      </c>
    </row>
    <row r="5972" spans="1:37" x14ac:dyDescent="0.3">
      <c r="A5972">
        <v>5971</v>
      </c>
      <c r="B5972">
        <v>42.7</v>
      </c>
      <c r="C5972">
        <v>-8.3333300000000001</v>
      </c>
      <c r="D5972">
        <v>11.6</v>
      </c>
      <c r="E5972">
        <f>-8.33333-11.6</f>
        <v>-19.933329999999998</v>
      </c>
      <c r="F5972" t="s">
        <v>9408</v>
      </c>
      <c r="G5972" t="s">
        <v>39</v>
      </c>
      <c r="H5972">
        <v>1987</v>
      </c>
      <c r="I5972">
        <v>27.120550000000001</v>
      </c>
      <c r="J5972">
        <v>15.2</v>
      </c>
      <c r="K5972">
        <v>63</v>
      </c>
      <c r="L5972">
        <v>20.821400000000001</v>
      </c>
      <c r="M5972">
        <v>38.52055</v>
      </c>
      <c r="N5972">
        <v>14.5</v>
      </c>
      <c r="O5972">
        <v>24.02055</v>
      </c>
      <c r="P5972">
        <v>25.8</v>
      </c>
      <c r="Q5972">
        <v>25.35651</v>
      </c>
      <c r="R5972">
        <v>30.208220000000001</v>
      </c>
      <c r="S5972">
        <v>25</v>
      </c>
      <c r="T5972">
        <v>1151.3599999999999</v>
      </c>
      <c r="U5972">
        <v>303.9178</v>
      </c>
      <c r="V5972">
        <v>0</v>
      </c>
      <c r="W5972">
        <v>107.6404</v>
      </c>
      <c r="X5972">
        <v>765.3596</v>
      </c>
      <c r="Y5972">
        <v>1</v>
      </c>
      <c r="Z5972">
        <v>127</v>
      </c>
      <c r="AA5972">
        <v>11</v>
      </c>
      <c r="AB5972">
        <v>25.503260000000001</v>
      </c>
      <c r="AC5972">
        <v>9.8253850000000007E-3</v>
      </c>
      <c r="AD5972">
        <v>1.87714</v>
      </c>
      <c r="AE5972">
        <v>0.46630280000000002</v>
      </c>
      <c r="AF5972">
        <v>380.16609999999997</v>
      </c>
      <c r="AG5972">
        <f>IFERROR(AH5972*0.1, "N/A")</f>
        <v>5.9</v>
      </c>
      <c r="AH5972">
        <v>59</v>
      </c>
      <c r="AI5972">
        <v>186.73390000000001</v>
      </c>
      <c r="AJ5972">
        <v>24.794519999999999</v>
      </c>
      <c r="AK5972">
        <v>46</v>
      </c>
    </row>
    <row r="5973" spans="1:37" x14ac:dyDescent="0.3">
      <c r="A5973">
        <v>5972</v>
      </c>
      <c r="B5973">
        <v>10.199999999999999</v>
      </c>
      <c r="C5973">
        <v>-8.3333300000000001</v>
      </c>
      <c r="D5973">
        <v>11.6</v>
      </c>
      <c r="E5973">
        <f>-8.33333-11.6</f>
        <v>-19.933329999999998</v>
      </c>
      <c r="F5973" t="s">
        <v>9409</v>
      </c>
      <c r="G5973" t="s">
        <v>37</v>
      </c>
      <c r="H5973">
        <v>1987</v>
      </c>
      <c r="I5973">
        <v>27.120550000000001</v>
      </c>
      <c r="J5973">
        <v>15.2</v>
      </c>
      <c r="K5973">
        <v>63</v>
      </c>
      <c r="L5973">
        <v>20.821400000000001</v>
      </c>
      <c r="M5973">
        <v>38.52055</v>
      </c>
      <c r="N5973">
        <v>14.5</v>
      </c>
      <c r="O5973">
        <v>24.02055</v>
      </c>
      <c r="P5973">
        <v>25.8</v>
      </c>
      <c r="Q5973">
        <v>25.35651</v>
      </c>
      <c r="R5973">
        <v>30.208220000000001</v>
      </c>
      <c r="S5973">
        <v>25</v>
      </c>
      <c r="T5973">
        <v>1151.3599999999999</v>
      </c>
      <c r="U5973">
        <v>303.9178</v>
      </c>
      <c r="V5973">
        <v>0</v>
      </c>
      <c r="W5973">
        <v>107.6404</v>
      </c>
      <c r="X5973">
        <v>765.3596</v>
      </c>
      <c r="Y5973">
        <v>1</v>
      </c>
      <c r="Z5973">
        <v>127</v>
      </c>
      <c r="AA5973">
        <v>11</v>
      </c>
      <c r="AB5973">
        <v>25.503260000000001</v>
      </c>
      <c r="AC5973">
        <v>9.8253850000000007E-3</v>
      </c>
      <c r="AD5973">
        <v>1.87714</v>
      </c>
      <c r="AE5973">
        <v>0.46630280000000002</v>
      </c>
      <c r="AF5973">
        <v>380.16609999999997</v>
      </c>
      <c r="AG5973">
        <f>IFERROR(AH5973*0.1, "N/A")</f>
        <v>5.9</v>
      </c>
      <c r="AH5973">
        <v>59</v>
      </c>
      <c r="AI5973">
        <v>186.73390000000001</v>
      </c>
      <c r="AJ5973">
        <v>24.794519999999999</v>
      </c>
      <c r="AK5973">
        <v>46</v>
      </c>
    </row>
    <row r="5974" spans="1:37" x14ac:dyDescent="0.3">
      <c r="A5974">
        <v>5973</v>
      </c>
      <c r="B5974">
        <v>0.9</v>
      </c>
      <c r="C5974">
        <v>-7.5181100000000001</v>
      </c>
      <c r="D5974">
        <v>11.6013</v>
      </c>
      <c r="E5974">
        <f>-7.51811-11.6013</f>
        <v>-19.119410000000002</v>
      </c>
      <c r="F5974" t="s">
        <v>9410</v>
      </c>
      <c r="G5974" t="s">
        <v>39</v>
      </c>
      <c r="H5974">
        <v>1990</v>
      </c>
      <c r="I5974">
        <v>27</v>
      </c>
      <c r="J5974">
        <v>13.6</v>
      </c>
      <c r="K5974">
        <v>61</v>
      </c>
      <c r="L5974">
        <v>20.74</v>
      </c>
      <c r="M5974">
        <v>37.5</v>
      </c>
      <c r="N5974">
        <v>15.3</v>
      </c>
      <c r="O5974">
        <v>22.2</v>
      </c>
      <c r="P5974">
        <v>25.7</v>
      </c>
      <c r="Q5974">
        <v>25.3</v>
      </c>
      <c r="R5974">
        <v>30.1</v>
      </c>
      <c r="S5974">
        <v>24.8</v>
      </c>
      <c r="T5974">
        <v>1084</v>
      </c>
      <c r="U5974">
        <v>289</v>
      </c>
      <c r="V5974">
        <v>0</v>
      </c>
      <c r="W5974">
        <v>108</v>
      </c>
      <c r="X5974">
        <v>721</v>
      </c>
      <c r="Y5974">
        <v>1</v>
      </c>
      <c r="Z5974">
        <v>133</v>
      </c>
      <c r="AA5974">
        <v>9</v>
      </c>
      <c r="AB5974">
        <v>12.6442</v>
      </c>
      <c r="AC5974">
        <v>8.263645E-2</v>
      </c>
      <c r="AD5974">
        <v>2.1646480000000001</v>
      </c>
      <c r="AE5974">
        <v>0.65458530000000004</v>
      </c>
      <c r="AF5974">
        <v>346.97949999999997</v>
      </c>
      <c r="AG5974">
        <f>IFERROR(AH5974*0.1, "N/A")</f>
        <v>5.7</v>
      </c>
      <c r="AH5974">
        <v>57</v>
      </c>
      <c r="AI5974">
        <v>232.12450000000001</v>
      </c>
      <c r="AJ5974">
        <v>17.025600000000001</v>
      </c>
      <c r="AK5974">
        <v>50.244030000000002</v>
      </c>
    </row>
    <row r="5975" spans="1:37" x14ac:dyDescent="0.3">
      <c r="A5975">
        <v>5974</v>
      </c>
      <c r="B5975">
        <v>0.6</v>
      </c>
      <c r="C5975">
        <v>-7.5181100000000001</v>
      </c>
      <c r="D5975">
        <v>11.6013</v>
      </c>
      <c r="E5975">
        <f>-7.51811-11.6013</f>
        <v>-19.119410000000002</v>
      </c>
      <c r="F5975" t="s">
        <v>9411</v>
      </c>
      <c r="G5975" t="s">
        <v>37</v>
      </c>
      <c r="H5975">
        <v>1990</v>
      </c>
      <c r="I5975">
        <v>27</v>
      </c>
      <c r="J5975">
        <v>13.6</v>
      </c>
      <c r="K5975">
        <v>61</v>
      </c>
      <c r="L5975">
        <v>20.74</v>
      </c>
      <c r="M5975">
        <v>37.5</v>
      </c>
      <c r="N5975">
        <v>15.3</v>
      </c>
      <c r="O5975">
        <v>22.2</v>
      </c>
      <c r="P5975">
        <v>25.7</v>
      </c>
      <c r="Q5975">
        <v>25.3</v>
      </c>
      <c r="R5975">
        <v>30.1</v>
      </c>
      <c r="S5975">
        <v>24.8</v>
      </c>
      <c r="T5975">
        <v>1084</v>
      </c>
      <c r="U5975">
        <v>289</v>
      </c>
      <c r="V5975">
        <v>0</v>
      </c>
      <c r="W5975">
        <v>108</v>
      </c>
      <c r="X5975">
        <v>721</v>
      </c>
      <c r="Y5975">
        <v>1</v>
      </c>
      <c r="Z5975">
        <v>133</v>
      </c>
      <c r="AA5975">
        <v>9</v>
      </c>
      <c r="AB5975">
        <v>12.6442</v>
      </c>
      <c r="AC5975">
        <v>8.263645E-2</v>
      </c>
      <c r="AD5975">
        <v>2.1646480000000001</v>
      </c>
      <c r="AE5975">
        <v>0.65458530000000004</v>
      </c>
      <c r="AF5975">
        <v>346.97949999999997</v>
      </c>
      <c r="AG5975">
        <f>IFERROR(AH5975*0.1, "N/A")</f>
        <v>5.7</v>
      </c>
      <c r="AH5975">
        <v>57</v>
      </c>
      <c r="AI5975">
        <v>232.12450000000001</v>
      </c>
      <c r="AJ5975">
        <v>17.025600000000001</v>
      </c>
      <c r="AK5975">
        <v>50.244030000000002</v>
      </c>
    </row>
    <row r="5976" spans="1:37" x14ac:dyDescent="0.3">
      <c r="A5976">
        <v>5975</v>
      </c>
      <c r="B5976">
        <v>9.1999999999999993</v>
      </c>
      <c r="C5976">
        <v>-8.3339999999999996</v>
      </c>
      <c r="D5976">
        <v>11.603</v>
      </c>
      <c r="E5976">
        <f>-8.334-11.603</f>
        <v>-19.936999999999998</v>
      </c>
      <c r="F5976" t="s">
        <v>9412</v>
      </c>
      <c r="G5976" t="s">
        <v>39</v>
      </c>
      <c r="H5976">
        <v>1987</v>
      </c>
      <c r="I5976">
        <v>27.176539999999999</v>
      </c>
      <c r="J5976">
        <v>15.2</v>
      </c>
      <c r="K5976">
        <v>63</v>
      </c>
      <c r="L5976">
        <v>20.762840000000001</v>
      </c>
      <c r="M5976">
        <v>38.576540000000001</v>
      </c>
      <c r="N5976">
        <v>14.5</v>
      </c>
      <c r="O5976">
        <v>24.076540000000001</v>
      </c>
      <c r="P5976">
        <v>25.8</v>
      </c>
      <c r="Q5976">
        <v>25.376539999999999</v>
      </c>
      <c r="R5976">
        <v>30.2</v>
      </c>
      <c r="S5976">
        <v>25</v>
      </c>
      <c r="T5976">
        <v>1151</v>
      </c>
      <c r="U5976">
        <v>304</v>
      </c>
      <c r="V5976">
        <v>0</v>
      </c>
      <c r="W5976">
        <v>108</v>
      </c>
      <c r="X5976">
        <v>765</v>
      </c>
      <c r="Y5976">
        <v>1</v>
      </c>
      <c r="Z5976">
        <v>127</v>
      </c>
      <c r="AA5976">
        <v>11</v>
      </c>
      <c r="AB5976">
        <v>17.84761</v>
      </c>
      <c r="AC5976">
        <v>2.3623709999999999E-2</v>
      </c>
      <c r="AD5976">
        <v>2.0176660000000002</v>
      </c>
      <c r="AE5976">
        <v>0.45010899999999998</v>
      </c>
      <c r="AF5976">
        <v>377.9024</v>
      </c>
      <c r="AG5976">
        <f>IFERROR(AH5976*0.1, "N/A")</f>
        <v>5.8676370000000002</v>
      </c>
      <c r="AH5976">
        <v>58.676369999999999</v>
      </c>
      <c r="AI5976">
        <v>278.18720000000002</v>
      </c>
      <c r="AJ5976">
        <v>25.765409999999999</v>
      </c>
      <c r="AK5976">
        <v>44.035960000000003</v>
      </c>
    </row>
    <row r="5977" spans="1:37" x14ac:dyDescent="0.3">
      <c r="A5977">
        <v>5976</v>
      </c>
      <c r="B5977">
        <v>0</v>
      </c>
      <c r="C5977">
        <v>-8.3339999999999996</v>
      </c>
      <c r="D5977">
        <v>11.603</v>
      </c>
      <c r="E5977">
        <f>-8.334-11.603</f>
        <v>-19.936999999999998</v>
      </c>
      <c r="F5977" t="s">
        <v>9413</v>
      </c>
      <c r="G5977" t="s">
        <v>37</v>
      </c>
      <c r="H5977">
        <v>1987</v>
      </c>
      <c r="I5977">
        <v>27.176539999999999</v>
      </c>
      <c r="J5977">
        <v>15.2</v>
      </c>
      <c r="K5977">
        <v>63</v>
      </c>
      <c r="L5977">
        <v>20.762840000000001</v>
      </c>
      <c r="M5977">
        <v>38.576540000000001</v>
      </c>
      <c r="N5977">
        <v>14.5</v>
      </c>
      <c r="O5977">
        <v>24.076540000000001</v>
      </c>
      <c r="P5977">
        <v>25.8</v>
      </c>
      <c r="Q5977">
        <v>25.376539999999999</v>
      </c>
      <c r="R5977">
        <v>30.2</v>
      </c>
      <c r="S5977">
        <v>25</v>
      </c>
      <c r="T5977">
        <v>1151</v>
      </c>
      <c r="U5977">
        <v>304</v>
      </c>
      <c r="V5977">
        <v>0</v>
      </c>
      <c r="W5977">
        <v>108</v>
      </c>
      <c r="X5977">
        <v>765</v>
      </c>
      <c r="Y5977">
        <v>1</v>
      </c>
      <c r="Z5977">
        <v>127</v>
      </c>
      <c r="AA5977">
        <v>11</v>
      </c>
      <c r="AB5977">
        <v>17.84761</v>
      </c>
      <c r="AC5977">
        <v>2.3623709999999999E-2</v>
      </c>
      <c r="AD5977">
        <v>2.0176660000000002</v>
      </c>
      <c r="AE5977">
        <v>0.45010899999999998</v>
      </c>
      <c r="AF5977">
        <v>377.9024</v>
      </c>
      <c r="AG5977">
        <f>IFERROR(AH5977*0.1, "N/A")</f>
        <v>5.8676370000000002</v>
      </c>
      <c r="AH5977">
        <v>58.676369999999999</v>
      </c>
      <c r="AI5977">
        <v>278.18720000000002</v>
      </c>
      <c r="AJ5977">
        <v>25.765409999999999</v>
      </c>
      <c r="AK5977">
        <v>44.035960000000003</v>
      </c>
    </row>
    <row r="5978" spans="1:37" x14ac:dyDescent="0.3">
      <c r="A5978">
        <v>5977</v>
      </c>
      <c r="B5978">
        <v>0</v>
      </c>
      <c r="C5978">
        <v>-8.2333300000000005</v>
      </c>
      <c r="D5978">
        <v>11.6167</v>
      </c>
      <c r="E5978">
        <f>-8.23333-11.6167</f>
        <v>-19.85003</v>
      </c>
      <c r="F5978" t="s">
        <v>9414</v>
      </c>
      <c r="G5978" t="s">
        <v>37</v>
      </c>
      <c r="H5978">
        <v>1989</v>
      </c>
      <c r="I5978">
        <v>27.2</v>
      </c>
      <c r="J5978">
        <v>14.9529</v>
      </c>
      <c r="K5978">
        <v>62</v>
      </c>
      <c r="L5978">
        <v>21.19988</v>
      </c>
      <c r="M5978">
        <v>38.5</v>
      </c>
      <c r="N5978">
        <v>14.61894</v>
      </c>
      <c r="O5978">
        <v>23.881060000000002</v>
      </c>
      <c r="P5978">
        <v>25.866040000000002</v>
      </c>
      <c r="Q5978">
        <v>25.39283</v>
      </c>
      <c r="R5978">
        <v>30.381060000000002</v>
      </c>
      <c r="S5978">
        <v>25</v>
      </c>
      <c r="T5978">
        <v>1135.877</v>
      </c>
      <c r="U5978">
        <v>299.92829999999998</v>
      </c>
      <c r="V5978">
        <v>0</v>
      </c>
      <c r="W5978">
        <v>107.92829999999999</v>
      </c>
      <c r="X5978">
        <v>752.92830000000004</v>
      </c>
      <c r="Y5978">
        <v>1</v>
      </c>
      <c r="Z5978">
        <v>128.94880000000001</v>
      </c>
      <c r="AA5978">
        <v>11</v>
      </c>
      <c r="AB5978">
        <v>6.5148510000000002</v>
      </c>
      <c r="AC5978">
        <v>4.2438289999999997E-2</v>
      </c>
      <c r="AD5978">
        <v>2.9714499999999999</v>
      </c>
      <c r="AE5978">
        <v>0.61148840000000004</v>
      </c>
      <c r="AF5978">
        <v>348.11950000000002</v>
      </c>
      <c r="AG5978">
        <f>IFERROR(AH5978*0.1, "N/A")</f>
        <v>6.1919240000000002</v>
      </c>
      <c r="AH5978">
        <v>61.919240000000002</v>
      </c>
      <c r="AI5978">
        <v>79.089309999999998</v>
      </c>
      <c r="AJ5978">
        <v>24.838480000000001</v>
      </c>
      <c r="AK5978">
        <v>44.919240000000002</v>
      </c>
    </row>
    <row r="5979" spans="1:37" x14ac:dyDescent="0.3">
      <c r="A5979">
        <v>5978</v>
      </c>
      <c r="B5979">
        <v>21.3</v>
      </c>
      <c r="C5979">
        <v>-8.2333300000000005</v>
      </c>
      <c r="D5979">
        <v>11.6167</v>
      </c>
      <c r="E5979">
        <f>-8.23333-11.6167</f>
        <v>-19.85003</v>
      </c>
      <c r="F5979" t="s">
        <v>9415</v>
      </c>
      <c r="G5979" t="s">
        <v>39</v>
      </c>
      <c r="H5979">
        <v>1989</v>
      </c>
      <c r="I5979">
        <v>27.2</v>
      </c>
      <c r="J5979">
        <v>14.9529</v>
      </c>
      <c r="K5979">
        <v>62</v>
      </c>
      <c r="L5979">
        <v>21.19988</v>
      </c>
      <c r="M5979">
        <v>38.5</v>
      </c>
      <c r="N5979">
        <v>14.61894</v>
      </c>
      <c r="O5979">
        <v>23.881060000000002</v>
      </c>
      <c r="P5979">
        <v>25.866040000000002</v>
      </c>
      <c r="Q5979">
        <v>25.39283</v>
      </c>
      <c r="R5979">
        <v>30.381060000000002</v>
      </c>
      <c r="S5979">
        <v>25</v>
      </c>
      <c r="T5979">
        <v>1135.877</v>
      </c>
      <c r="U5979">
        <v>299.92829999999998</v>
      </c>
      <c r="V5979">
        <v>0</v>
      </c>
      <c r="W5979">
        <v>107.92829999999999</v>
      </c>
      <c r="X5979">
        <v>752.92830000000004</v>
      </c>
      <c r="Y5979">
        <v>1</v>
      </c>
      <c r="Z5979">
        <v>128.94880000000001</v>
      </c>
      <c r="AA5979">
        <v>11</v>
      </c>
      <c r="AB5979">
        <v>6.5148510000000002</v>
      </c>
      <c r="AC5979">
        <v>4.2438289999999997E-2</v>
      </c>
      <c r="AD5979">
        <v>2.9714499999999999</v>
      </c>
      <c r="AE5979">
        <v>0.61148840000000004</v>
      </c>
      <c r="AF5979">
        <v>348.11950000000002</v>
      </c>
      <c r="AG5979">
        <f>IFERROR(AH5979*0.1, "N/A")</f>
        <v>6.1919240000000002</v>
      </c>
      <c r="AH5979">
        <v>61.919240000000002</v>
      </c>
      <c r="AI5979">
        <v>79.089309999999998</v>
      </c>
      <c r="AJ5979">
        <v>24.838480000000001</v>
      </c>
      <c r="AK5979">
        <v>44.919240000000002</v>
      </c>
    </row>
    <row r="5980" spans="1:37" x14ac:dyDescent="0.3">
      <c r="A5980">
        <v>5979</v>
      </c>
      <c r="B5980">
        <v>0.9</v>
      </c>
      <c r="C5980">
        <v>-8.2409099999999995</v>
      </c>
      <c r="D5980">
        <v>11.643000000000001</v>
      </c>
      <c r="E5980">
        <f>-8.24091-11.643</f>
        <v>-19.88391</v>
      </c>
      <c r="F5980" t="s">
        <v>9416</v>
      </c>
      <c r="G5980" t="s">
        <v>37</v>
      </c>
      <c r="H5980">
        <v>1989</v>
      </c>
      <c r="I5980">
        <v>27.3</v>
      </c>
      <c r="J5980">
        <v>15</v>
      </c>
      <c r="K5980">
        <v>62</v>
      </c>
      <c r="L5980">
        <v>21.14</v>
      </c>
      <c r="M5980">
        <v>38.6</v>
      </c>
      <c r="N5980">
        <v>14.7</v>
      </c>
      <c r="O5980">
        <v>23.9</v>
      </c>
      <c r="P5980">
        <v>26.1</v>
      </c>
      <c r="Q5980">
        <v>25.4</v>
      </c>
      <c r="R5980">
        <v>30.5</v>
      </c>
      <c r="S5980">
        <v>25.1</v>
      </c>
      <c r="T5980">
        <v>1132</v>
      </c>
      <c r="U5980">
        <v>299</v>
      </c>
      <c r="V5980">
        <v>0</v>
      </c>
      <c r="W5980">
        <v>107</v>
      </c>
      <c r="X5980">
        <v>751</v>
      </c>
      <c r="Y5980">
        <v>1</v>
      </c>
      <c r="Z5980">
        <v>128</v>
      </c>
      <c r="AA5980">
        <v>11</v>
      </c>
      <c r="AB5980">
        <v>16.00958</v>
      </c>
      <c r="AC5980">
        <v>1.8755210000000001E-2</v>
      </c>
      <c r="AD5980">
        <v>1.9156839999999999</v>
      </c>
      <c r="AE5980">
        <v>0.61679759999999995</v>
      </c>
      <c r="AF5980">
        <v>346.18290000000002</v>
      </c>
      <c r="AG5980">
        <f>IFERROR(AH5980*0.1, "N/A")</f>
        <v>5.608034</v>
      </c>
      <c r="AH5980">
        <v>56.08034</v>
      </c>
      <c r="AI5980">
        <v>42.50938</v>
      </c>
      <c r="AJ5980">
        <v>21.839320000000001</v>
      </c>
      <c r="AK5980">
        <v>46.620510000000003</v>
      </c>
    </row>
    <row r="5981" spans="1:37" x14ac:dyDescent="0.3">
      <c r="A5981">
        <v>5980</v>
      </c>
      <c r="B5981">
        <v>12.6</v>
      </c>
      <c r="C5981">
        <v>-8.2409099999999995</v>
      </c>
      <c r="D5981">
        <v>11.643000000000001</v>
      </c>
      <c r="E5981">
        <f>-8.24091-11.643</f>
        <v>-19.88391</v>
      </c>
      <c r="F5981" t="s">
        <v>9417</v>
      </c>
      <c r="G5981" t="s">
        <v>39</v>
      </c>
      <c r="H5981">
        <v>1989</v>
      </c>
      <c r="I5981">
        <v>27.3</v>
      </c>
      <c r="J5981">
        <v>15</v>
      </c>
      <c r="K5981">
        <v>62</v>
      </c>
      <c r="L5981">
        <v>21.14</v>
      </c>
      <c r="M5981">
        <v>38.6</v>
      </c>
      <c r="N5981">
        <v>14.7</v>
      </c>
      <c r="O5981">
        <v>23.9</v>
      </c>
      <c r="P5981">
        <v>26.1</v>
      </c>
      <c r="Q5981">
        <v>25.4</v>
      </c>
      <c r="R5981">
        <v>30.5</v>
      </c>
      <c r="S5981">
        <v>25.1</v>
      </c>
      <c r="T5981">
        <v>1132</v>
      </c>
      <c r="U5981">
        <v>299</v>
      </c>
      <c r="V5981">
        <v>0</v>
      </c>
      <c r="W5981">
        <v>107</v>
      </c>
      <c r="X5981">
        <v>751</v>
      </c>
      <c r="Y5981">
        <v>1</v>
      </c>
      <c r="Z5981">
        <v>128</v>
      </c>
      <c r="AA5981">
        <v>11</v>
      </c>
      <c r="AB5981">
        <v>16.00958</v>
      </c>
      <c r="AC5981">
        <v>1.8755210000000001E-2</v>
      </c>
      <c r="AD5981">
        <v>1.9156839999999999</v>
      </c>
      <c r="AE5981">
        <v>0.61679759999999995</v>
      </c>
      <c r="AF5981">
        <v>346.18290000000002</v>
      </c>
      <c r="AG5981">
        <f>IFERROR(AH5981*0.1, "N/A")</f>
        <v>5.608034</v>
      </c>
      <c r="AH5981">
        <v>56.08034</v>
      </c>
      <c r="AI5981">
        <v>42.50938</v>
      </c>
      <c r="AJ5981">
        <v>21.839320000000001</v>
      </c>
      <c r="AK5981">
        <v>46.620510000000003</v>
      </c>
    </row>
    <row r="5982" spans="1:37" x14ac:dyDescent="0.3">
      <c r="A5982">
        <v>5981</v>
      </c>
      <c r="B5982">
        <v>15.4</v>
      </c>
      <c r="C5982">
        <v>-8.2485700000000008</v>
      </c>
      <c r="D5982">
        <v>11.6435</v>
      </c>
      <c r="E5982">
        <f>-8.24857-11.6435</f>
        <v>-19.89207</v>
      </c>
      <c r="F5982" t="s">
        <v>9418</v>
      </c>
      <c r="G5982" t="s">
        <v>39</v>
      </c>
      <c r="H5982">
        <v>1990</v>
      </c>
      <c r="I5982">
        <v>27.3</v>
      </c>
      <c r="J5982">
        <v>15</v>
      </c>
      <c r="K5982">
        <v>62</v>
      </c>
      <c r="L5982">
        <v>21.47</v>
      </c>
      <c r="M5982">
        <v>38.6</v>
      </c>
      <c r="N5982">
        <v>14.7</v>
      </c>
      <c r="O5982">
        <v>23.9</v>
      </c>
      <c r="P5982">
        <v>26</v>
      </c>
      <c r="Q5982">
        <v>25.5</v>
      </c>
      <c r="R5982">
        <v>30.5</v>
      </c>
      <c r="S5982">
        <v>25.1</v>
      </c>
      <c r="T5982">
        <v>1132</v>
      </c>
      <c r="U5982">
        <v>299</v>
      </c>
      <c r="V5982">
        <v>0</v>
      </c>
      <c r="W5982">
        <v>107</v>
      </c>
      <c r="X5982">
        <v>751</v>
      </c>
      <c r="Y5982">
        <v>1</v>
      </c>
      <c r="Z5982">
        <v>127</v>
      </c>
      <c r="AA5982">
        <v>11</v>
      </c>
      <c r="AB5982">
        <v>9.3318670000000008</v>
      </c>
      <c r="AC5982">
        <v>5.8570959999999998E-2</v>
      </c>
      <c r="AD5982">
        <v>2.1804540000000001</v>
      </c>
      <c r="AE5982">
        <v>0.62526669999999995</v>
      </c>
      <c r="AF5982">
        <v>346.36630000000002</v>
      </c>
      <c r="AG5982">
        <f>IFERROR(AH5982*0.1, "N/A")</f>
        <v>5.6821120000000001</v>
      </c>
      <c r="AH5982">
        <v>56.821120000000001</v>
      </c>
      <c r="AI5982">
        <v>183.4785</v>
      </c>
      <c r="AJ5982">
        <v>20.562180000000001</v>
      </c>
      <c r="AK5982">
        <v>41.03237</v>
      </c>
    </row>
    <row r="5983" spans="1:37" x14ac:dyDescent="0.3">
      <c r="A5983">
        <v>5982</v>
      </c>
      <c r="B5983">
        <v>2</v>
      </c>
      <c r="C5983">
        <v>-8.2485700000000008</v>
      </c>
      <c r="D5983">
        <v>11.6435</v>
      </c>
      <c r="E5983">
        <f>-8.24857-11.6435</f>
        <v>-19.89207</v>
      </c>
      <c r="F5983" t="s">
        <v>9419</v>
      </c>
      <c r="G5983" t="s">
        <v>37</v>
      </c>
      <c r="H5983">
        <v>1990</v>
      </c>
      <c r="I5983">
        <v>27.3</v>
      </c>
      <c r="J5983">
        <v>15</v>
      </c>
      <c r="K5983">
        <v>62</v>
      </c>
      <c r="L5983">
        <v>21.47</v>
      </c>
      <c r="M5983">
        <v>38.6</v>
      </c>
      <c r="N5983">
        <v>14.7</v>
      </c>
      <c r="O5983">
        <v>23.9</v>
      </c>
      <c r="P5983">
        <v>26</v>
      </c>
      <c r="Q5983">
        <v>25.5</v>
      </c>
      <c r="R5983">
        <v>30.5</v>
      </c>
      <c r="S5983">
        <v>25.1</v>
      </c>
      <c r="T5983">
        <v>1132</v>
      </c>
      <c r="U5983">
        <v>299</v>
      </c>
      <c r="V5983">
        <v>0</v>
      </c>
      <c r="W5983">
        <v>107</v>
      </c>
      <c r="X5983">
        <v>751</v>
      </c>
      <c r="Y5983">
        <v>1</v>
      </c>
      <c r="Z5983">
        <v>127</v>
      </c>
      <c r="AA5983">
        <v>11</v>
      </c>
      <c r="AB5983">
        <v>9.3318670000000008</v>
      </c>
      <c r="AC5983">
        <v>5.8570959999999998E-2</v>
      </c>
      <c r="AD5983">
        <v>2.1804540000000001</v>
      </c>
      <c r="AE5983">
        <v>0.62526669999999995</v>
      </c>
      <c r="AF5983">
        <v>346.36630000000002</v>
      </c>
      <c r="AG5983">
        <f>IFERROR(AH5983*0.1, "N/A")</f>
        <v>5.6821120000000001</v>
      </c>
      <c r="AH5983">
        <v>56.821120000000001</v>
      </c>
      <c r="AI5983">
        <v>183.4785</v>
      </c>
      <c r="AJ5983">
        <v>20.562180000000001</v>
      </c>
      <c r="AK5983">
        <v>41.03237</v>
      </c>
    </row>
    <row r="5984" spans="1:37" x14ac:dyDescent="0.3">
      <c r="A5984">
        <v>5983</v>
      </c>
      <c r="B5984">
        <v>62</v>
      </c>
      <c r="C5984">
        <v>-8.1888900000000007</v>
      </c>
      <c r="D5984">
        <v>11.644399999999999</v>
      </c>
      <c r="E5984">
        <f>-8.18889-11.6444</f>
        <v>-19.833289999999998</v>
      </c>
      <c r="F5984" t="s">
        <v>9420</v>
      </c>
      <c r="G5984" t="s">
        <v>39</v>
      </c>
      <c r="H5984">
        <v>1990</v>
      </c>
      <c r="I5984">
        <v>27.2</v>
      </c>
      <c r="J5984">
        <v>14.8</v>
      </c>
      <c r="K5984">
        <v>62</v>
      </c>
      <c r="L5984">
        <v>21.06</v>
      </c>
      <c r="M5984">
        <v>38.299999999999997</v>
      </c>
      <c r="N5984">
        <v>14.6</v>
      </c>
      <c r="O5984">
        <v>23.7</v>
      </c>
      <c r="P5984">
        <v>25.9</v>
      </c>
      <c r="Q5984">
        <v>25.3</v>
      </c>
      <c r="R5984">
        <v>30.3</v>
      </c>
      <c r="S5984">
        <v>24.9</v>
      </c>
      <c r="T5984">
        <v>1129</v>
      </c>
      <c r="U5984">
        <v>298</v>
      </c>
      <c r="V5984">
        <v>0</v>
      </c>
      <c r="W5984">
        <v>107</v>
      </c>
      <c r="X5984">
        <v>748</v>
      </c>
      <c r="Y5984">
        <v>1</v>
      </c>
      <c r="Z5984">
        <v>129</v>
      </c>
      <c r="AA5984">
        <v>11</v>
      </c>
      <c r="AB5984">
        <v>1.6695009999999999</v>
      </c>
      <c r="AC5984">
        <v>0.1732861</v>
      </c>
      <c r="AD5984">
        <v>0.9852185</v>
      </c>
      <c r="AE5984">
        <v>0.63520270000000001</v>
      </c>
      <c r="AF5984">
        <v>363.52980000000002</v>
      </c>
      <c r="AG5984">
        <f>IFERROR(AH5984*0.1, "N/A")</f>
        <v>6.083475</v>
      </c>
      <c r="AH5984">
        <v>60.83475</v>
      </c>
      <c r="AI5984">
        <v>172.98320000000001</v>
      </c>
      <c r="AJ5984">
        <v>23.669509999999999</v>
      </c>
      <c r="AK5984">
        <v>49.16525</v>
      </c>
    </row>
    <row r="5985" spans="1:37" x14ac:dyDescent="0.3">
      <c r="A5985">
        <v>5984</v>
      </c>
      <c r="B5985">
        <v>37.5</v>
      </c>
      <c r="C5985">
        <v>-8.1888900000000007</v>
      </c>
      <c r="D5985">
        <v>11.644399999999999</v>
      </c>
      <c r="E5985">
        <f>-8.18889-11.6444</f>
        <v>-19.833289999999998</v>
      </c>
      <c r="F5985" t="s">
        <v>9421</v>
      </c>
      <c r="G5985" t="s">
        <v>37</v>
      </c>
      <c r="H5985">
        <v>1990</v>
      </c>
      <c r="I5985">
        <v>27.2</v>
      </c>
      <c r="J5985">
        <v>14.8</v>
      </c>
      <c r="K5985">
        <v>62</v>
      </c>
      <c r="L5985">
        <v>21.06</v>
      </c>
      <c r="M5985">
        <v>38.299999999999997</v>
      </c>
      <c r="N5985">
        <v>14.6</v>
      </c>
      <c r="O5985">
        <v>23.7</v>
      </c>
      <c r="P5985">
        <v>25.9</v>
      </c>
      <c r="Q5985">
        <v>25.3</v>
      </c>
      <c r="R5985">
        <v>30.3</v>
      </c>
      <c r="S5985">
        <v>24.9</v>
      </c>
      <c r="T5985">
        <v>1129</v>
      </c>
      <c r="U5985">
        <v>298</v>
      </c>
      <c r="V5985">
        <v>0</v>
      </c>
      <c r="W5985">
        <v>107</v>
      </c>
      <c r="X5985">
        <v>748</v>
      </c>
      <c r="Y5985">
        <v>1</v>
      </c>
      <c r="Z5985">
        <v>129</v>
      </c>
      <c r="AA5985">
        <v>11</v>
      </c>
      <c r="AB5985">
        <v>1.6695009999999999</v>
      </c>
      <c r="AC5985">
        <v>0.1732861</v>
      </c>
      <c r="AD5985">
        <v>0.9852185</v>
      </c>
      <c r="AE5985">
        <v>0.63520270000000001</v>
      </c>
      <c r="AF5985">
        <v>363.52980000000002</v>
      </c>
      <c r="AG5985">
        <f>IFERROR(AH5985*0.1, "N/A")</f>
        <v>6.083475</v>
      </c>
      <c r="AH5985">
        <v>60.83475</v>
      </c>
      <c r="AI5985">
        <v>172.98320000000001</v>
      </c>
      <c r="AJ5985">
        <v>23.669509999999999</v>
      </c>
      <c r="AK5985">
        <v>49.16525</v>
      </c>
    </row>
    <row r="5986" spans="1:37" x14ac:dyDescent="0.3">
      <c r="A5986">
        <v>5985</v>
      </c>
      <c r="B5986">
        <v>24.6</v>
      </c>
      <c r="C5986">
        <v>-8.1832999999999991</v>
      </c>
      <c r="D5986">
        <v>11.65</v>
      </c>
      <c r="E5986">
        <f>-8.1833-11.65</f>
        <v>-19.833300000000001</v>
      </c>
      <c r="F5986" t="s">
        <v>9422</v>
      </c>
      <c r="G5986" t="s">
        <v>39</v>
      </c>
      <c r="H5986">
        <v>1987</v>
      </c>
      <c r="I5986">
        <v>27.2</v>
      </c>
      <c r="J5986">
        <v>14.8</v>
      </c>
      <c r="K5986">
        <v>62</v>
      </c>
      <c r="L5986">
        <v>21.106470000000002</v>
      </c>
      <c r="M5986">
        <v>38.380139999999997</v>
      </c>
      <c r="N5986">
        <v>14.68014</v>
      </c>
      <c r="O5986">
        <v>23.7</v>
      </c>
      <c r="P5986">
        <v>25.980139999999999</v>
      </c>
      <c r="Q5986">
        <v>25.326820000000001</v>
      </c>
      <c r="R5986">
        <v>30.35331</v>
      </c>
      <c r="S5986">
        <v>24.980139999999999</v>
      </c>
      <c r="T5986">
        <v>1125.7159999999999</v>
      </c>
      <c r="U5986">
        <v>297.1986</v>
      </c>
      <c r="V5986">
        <v>0</v>
      </c>
      <c r="W5986">
        <v>107.8404</v>
      </c>
      <c r="X5986">
        <v>745.51779999999997</v>
      </c>
      <c r="Y5986">
        <v>1</v>
      </c>
      <c r="Z5986">
        <v>129</v>
      </c>
      <c r="AA5986">
        <v>10.466889999999999</v>
      </c>
      <c r="AB5986">
        <v>6.4213930000000001</v>
      </c>
      <c r="AC5986">
        <v>1.8769480000000002E-2</v>
      </c>
      <c r="AD5986">
        <v>1.246386</v>
      </c>
      <c r="AE5986">
        <v>0.63351829999999998</v>
      </c>
      <c r="AF5986">
        <v>361.91340000000002</v>
      </c>
      <c r="AG5986">
        <f>IFERROR(AH5986*0.1, "N/A")</f>
        <v>5.8162990000000008</v>
      </c>
      <c r="AH5986">
        <v>58.162990000000001</v>
      </c>
      <c r="AI5986">
        <v>122.5711</v>
      </c>
      <c r="AJ5986">
        <v>18.66723</v>
      </c>
      <c r="AK5986">
        <v>45.702889999999996</v>
      </c>
    </row>
    <row r="5987" spans="1:37" x14ac:dyDescent="0.3">
      <c r="A5987">
        <v>5986</v>
      </c>
      <c r="B5987">
        <v>0</v>
      </c>
      <c r="C5987">
        <v>-8.1832999999999991</v>
      </c>
      <c r="D5987">
        <v>11.65</v>
      </c>
      <c r="E5987">
        <f>-8.1833-11.65</f>
        <v>-19.833300000000001</v>
      </c>
      <c r="F5987" t="s">
        <v>9423</v>
      </c>
      <c r="G5987" t="s">
        <v>37</v>
      </c>
      <c r="H5987">
        <v>1987</v>
      </c>
      <c r="I5987">
        <v>27.2</v>
      </c>
      <c r="J5987">
        <v>14.8</v>
      </c>
      <c r="K5987">
        <v>62</v>
      </c>
      <c r="L5987">
        <v>21.106470000000002</v>
      </c>
      <c r="M5987">
        <v>38.380139999999997</v>
      </c>
      <c r="N5987">
        <v>14.68014</v>
      </c>
      <c r="O5987">
        <v>23.7</v>
      </c>
      <c r="P5987">
        <v>25.980139999999999</v>
      </c>
      <c r="Q5987">
        <v>25.326820000000001</v>
      </c>
      <c r="R5987">
        <v>30.35331</v>
      </c>
      <c r="S5987">
        <v>24.980139999999999</v>
      </c>
      <c r="T5987">
        <v>1125.7159999999999</v>
      </c>
      <c r="U5987">
        <v>297.1986</v>
      </c>
      <c r="V5987">
        <v>0</v>
      </c>
      <c r="W5987">
        <v>107.8404</v>
      </c>
      <c r="X5987">
        <v>745.51779999999997</v>
      </c>
      <c r="Y5987">
        <v>1</v>
      </c>
      <c r="Z5987">
        <v>129</v>
      </c>
      <c r="AA5987">
        <v>10.466889999999999</v>
      </c>
      <c r="AB5987">
        <v>6.4213930000000001</v>
      </c>
      <c r="AC5987">
        <v>1.8769480000000002E-2</v>
      </c>
      <c r="AD5987">
        <v>1.246386</v>
      </c>
      <c r="AE5987">
        <v>0.63351829999999998</v>
      </c>
      <c r="AF5987">
        <v>361.91340000000002</v>
      </c>
      <c r="AG5987">
        <f>IFERROR(AH5987*0.1, "N/A")</f>
        <v>5.8162990000000008</v>
      </c>
      <c r="AH5987">
        <v>58.162990000000001</v>
      </c>
      <c r="AI5987">
        <v>122.5711</v>
      </c>
      <c r="AJ5987">
        <v>18.66723</v>
      </c>
      <c r="AK5987">
        <v>45.702889999999996</v>
      </c>
    </row>
    <row r="5988" spans="1:37" x14ac:dyDescent="0.3">
      <c r="A5988">
        <v>5987</v>
      </c>
      <c r="B5988">
        <v>31.1</v>
      </c>
      <c r="C5988">
        <v>-8.1833299999999998</v>
      </c>
      <c r="D5988">
        <v>11.65</v>
      </c>
      <c r="E5988">
        <f>-8.18333-11.65</f>
        <v>-19.83333</v>
      </c>
      <c r="F5988" t="s">
        <v>9424</v>
      </c>
      <c r="G5988" t="s">
        <v>39</v>
      </c>
      <c r="H5988">
        <v>1990</v>
      </c>
      <c r="I5988">
        <v>27.2</v>
      </c>
      <c r="J5988">
        <v>14.8</v>
      </c>
      <c r="K5988">
        <v>62</v>
      </c>
      <c r="L5988">
        <v>21.105830000000001</v>
      </c>
      <c r="M5988">
        <v>38.378369999999997</v>
      </c>
      <c r="N5988">
        <v>14.67836</v>
      </c>
      <c r="O5988">
        <v>23.7</v>
      </c>
      <c r="P5988">
        <v>25.978359999999999</v>
      </c>
      <c r="Q5988">
        <v>25.3264</v>
      </c>
      <c r="R5988">
        <v>30.351959999999998</v>
      </c>
      <c r="S5988">
        <v>24.978359999999999</v>
      </c>
      <c r="T5988">
        <v>1125.78</v>
      </c>
      <c r="U5988">
        <v>297.21640000000002</v>
      </c>
      <c r="V5988">
        <v>0</v>
      </c>
      <c r="W5988">
        <v>107.8262</v>
      </c>
      <c r="X5988">
        <v>745.56389999999999</v>
      </c>
      <c r="Y5988">
        <v>1</v>
      </c>
      <c r="Z5988">
        <v>129</v>
      </c>
      <c r="AA5988">
        <v>10.480409999999999</v>
      </c>
      <c r="AB5988">
        <v>6.463203</v>
      </c>
      <c r="AC5988">
        <v>1.8462470000000002E-2</v>
      </c>
      <c r="AD5988">
        <v>1.256364</v>
      </c>
      <c r="AE5988">
        <v>0.63351829999999998</v>
      </c>
      <c r="AF5988">
        <v>362.00510000000003</v>
      </c>
      <c r="AG5988">
        <f>IFERROR(AH5988*0.1, "N/A")</f>
        <v>5.8182280000000004</v>
      </c>
      <c r="AH5988">
        <v>58.182279999999999</v>
      </c>
      <c r="AI5988">
        <v>123.44159999999999</v>
      </c>
      <c r="AJ5988">
        <v>18.715499999999999</v>
      </c>
      <c r="AK5988">
        <v>45.751280000000001</v>
      </c>
    </row>
    <row r="5989" spans="1:37" x14ac:dyDescent="0.3">
      <c r="A5989">
        <v>5988</v>
      </c>
      <c r="B5989">
        <v>1.7</v>
      </c>
      <c r="C5989">
        <v>-8.1833299999999998</v>
      </c>
      <c r="D5989">
        <v>11.65</v>
      </c>
      <c r="E5989">
        <f>-8.18333-11.65</f>
        <v>-19.83333</v>
      </c>
      <c r="F5989" t="s">
        <v>9425</v>
      </c>
      <c r="G5989" t="s">
        <v>37</v>
      </c>
      <c r="H5989">
        <v>1990</v>
      </c>
      <c r="I5989">
        <v>27.2</v>
      </c>
      <c r="J5989">
        <v>14.8</v>
      </c>
      <c r="K5989">
        <v>62</v>
      </c>
      <c r="L5989">
        <v>21.105830000000001</v>
      </c>
      <c r="M5989">
        <v>38.378369999999997</v>
      </c>
      <c r="N5989">
        <v>14.67836</v>
      </c>
      <c r="O5989">
        <v>23.7</v>
      </c>
      <c r="P5989">
        <v>25.978359999999999</v>
      </c>
      <c r="Q5989">
        <v>25.3264</v>
      </c>
      <c r="R5989">
        <v>30.351959999999998</v>
      </c>
      <c r="S5989">
        <v>24.978359999999999</v>
      </c>
      <c r="T5989">
        <v>1125.78</v>
      </c>
      <c r="U5989">
        <v>297.21640000000002</v>
      </c>
      <c r="V5989">
        <v>0</v>
      </c>
      <c r="W5989">
        <v>107.8262</v>
      </c>
      <c r="X5989">
        <v>745.56389999999999</v>
      </c>
      <c r="Y5989">
        <v>1</v>
      </c>
      <c r="Z5989">
        <v>129</v>
      </c>
      <c r="AA5989">
        <v>10.480409999999999</v>
      </c>
      <c r="AB5989">
        <v>6.463203</v>
      </c>
      <c r="AC5989">
        <v>1.8462470000000002E-2</v>
      </c>
      <c r="AD5989">
        <v>1.256364</v>
      </c>
      <c r="AE5989">
        <v>0.63351829999999998</v>
      </c>
      <c r="AF5989">
        <v>362.00510000000003</v>
      </c>
      <c r="AG5989">
        <f>IFERROR(AH5989*0.1, "N/A")</f>
        <v>5.8182280000000004</v>
      </c>
      <c r="AH5989">
        <v>58.182279999999999</v>
      </c>
      <c r="AI5989">
        <v>123.44159999999999</v>
      </c>
      <c r="AJ5989">
        <v>18.715499999999999</v>
      </c>
      <c r="AK5989">
        <v>45.751280000000001</v>
      </c>
    </row>
    <row r="5990" spans="1:37" x14ac:dyDescent="0.3">
      <c r="A5990">
        <v>5989</v>
      </c>
      <c r="B5990">
        <v>4.0999999999999996</v>
      </c>
      <c r="C5990">
        <v>-8.1833299999999998</v>
      </c>
      <c r="D5990">
        <v>11.666700000000001</v>
      </c>
      <c r="E5990">
        <f>-8.18333-11.6667</f>
        <v>-19.85003</v>
      </c>
      <c r="F5990" t="s">
        <v>9426</v>
      </c>
      <c r="G5990" t="s">
        <v>37</v>
      </c>
      <c r="H5990">
        <v>1989</v>
      </c>
      <c r="I5990">
        <v>27.243929999999999</v>
      </c>
      <c r="J5990">
        <v>14.8</v>
      </c>
      <c r="K5990">
        <v>62</v>
      </c>
      <c r="L5990">
        <v>21.078220000000002</v>
      </c>
      <c r="M5990">
        <v>38.422049999999999</v>
      </c>
      <c r="N5990">
        <v>14.7</v>
      </c>
      <c r="O5990">
        <v>23.722049999999999</v>
      </c>
      <c r="P5990">
        <v>26</v>
      </c>
      <c r="Q5990">
        <v>25.378119999999999</v>
      </c>
      <c r="R5990">
        <v>30.361879999999999</v>
      </c>
      <c r="S5990">
        <v>25</v>
      </c>
      <c r="T5990">
        <v>1123.26</v>
      </c>
      <c r="U5990">
        <v>297</v>
      </c>
      <c r="V5990">
        <v>0</v>
      </c>
      <c r="W5990">
        <v>108</v>
      </c>
      <c r="X5990">
        <v>744.04100000000005</v>
      </c>
      <c r="Y5990">
        <v>1</v>
      </c>
      <c r="Z5990">
        <v>128.21879999999999</v>
      </c>
      <c r="AA5990">
        <v>11</v>
      </c>
      <c r="AB5990">
        <v>1.6052930000000001</v>
      </c>
      <c r="AC5990">
        <v>0.5827869</v>
      </c>
      <c r="AD5990">
        <v>1.348122</v>
      </c>
      <c r="AE5990">
        <v>0.60788900000000001</v>
      </c>
      <c r="AF5990">
        <v>348.37950000000001</v>
      </c>
      <c r="AG5990">
        <f>IFERROR(AH5990*0.1, "N/A")</f>
        <v>5.7779490000000004</v>
      </c>
      <c r="AH5990">
        <v>57.779490000000003</v>
      </c>
      <c r="AI5990">
        <v>252.94319999999999</v>
      </c>
      <c r="AJ5990">
        <v>19.779489999999999</v>
      </c>
      <c r="AK5990">
        <v>45.661540000000002</v>
      </c>
    </row>
    <row r="5991" spans="1:37" x14ac:dyDescent="0.3">
      <c r="A5991">
        <v>5990</v>
      </c>
      <c r="B5991">
        <v>21.4</v>
      </c>
      <c r="C5991">
        <v>-8.1833299999999998</v>
      </c>
      <c r="D5991">
        <v>11.666700000000001</v>
      </c>
      <c r="E5991">
        <f>-8.18333-11.6667</f>
        <v>-19.85003</v>
      </c>
      <c r="F5991" t="s">
        <v>9427</v>
      </c>
      <c r="G5991" t="s">
        <v>39</v>
      </c>
      <c r="H5991">
        <v>1989</v>
      </c>
      <c r="I5991">
        <v>27.243929999999999</v>
      </c>
      <c r="J5991">
        <v>14.8</v>
      </c>
      <c r="K5991">
        <v>62</v>
      </c>
      <c r="L5991">
        <v>21.078220000000002</v>
      </c>
      <c r="M5991">
        <v>38.422049999999999</v>
      </c>
      <c r="N5991">
        <v>14.7</v>
      </c>
      <c r="O5991">
        <v>23.722049999999999</v>
      </c>
      <c r="P5991">
        <v>26</v>
      </c>
      <c r="Q5991">
        <v>25.378119999999999</v>
      </c>
      <c r="R5991">
        <v>30.361879999999999</v>
      </c>
      <c r="S5991">
        <v>25</v>
      </c>
      <c r="T5991">
        <v>1123.26</v>
      </c>
      <c r="U5991">
        <v>297</v>
      </c>
      <c r="V5991">
        <v>0</v>
      </c>
      <c r="W5991">
        <v>108</v>
      </c>
      <c r="X5991">
        <v>744.04100000000005</v>
      </c>
      <c r="Y5991">
        <v>1</v>
      </c>
      <c r="Z5991">
        <v>128.21879999999999</v>
      </c>
      <c r="AA5991">
        <v>11</v>
      </c>
      <c r="AB5991">
        <v>1.6052930000000001</v>
      </c>
      <c r="AC5991">
        <v>0.5827869</v>
      </c>
      <c r="AD5991">
        <v>1.348122</v>
      </c>
      <c r="AE5991">
        <v>0.60788900000000001</v>
      </c>
      <c r="AF5991">
        <v>348.37950000000001</v>
      </c>
      <c r="AG5991">
        <f>IFERROR(AH5991*0.1, "N/A")</f>
        <v>5.7779490000000004</v>
      </c>
      <c r="AH5991">
        <v>57.779490000000003</v>
      </c>
      <c r="AI5991">
        <v>252.94319999999999</v>
      </c>
      <c r="AJ5991">
        <v>19.779489999999999</v>
      </c>
      <c r="AK5991">
        <v>45.661540000000002</v>
      </c>
    </row>
    <row r="5992" spans="1:37" x14ac:dyDescent="0.3">
      <c r="A5992">
        <v>5991</v>
      </c>
      <c r="B5992">
        <v>2.5</v>
      </c>
      <c r="C5992">
        <v>-5.9314</v>
      </c>
      <c r="D5992">
        <v>11.675000000000001</v>
      </c>
      <c r="E5992">
        <f>-5.9314-11.675</f>
        <v>-17.606400000000001</v>
      </c>
      <c r="F5992" t="s">
        <v>9428</v>
      </c>
      <c r="G5992" t="s">
        <v>39</v>
      </c>
      <c r="H5992">
        <v>1990</v>
      </c>
      <c r="I5992">
        <v>27.220030000000001</v>
      </c>
      <c r="J5992">
        <v>13.72003</v>
      </c>
      <c r="K5992">
        <v>59.200339999999997</v>
      </c>
      <c r="L5992">
        <v>21.527999999999999</v>
      </c>
      <c r="M5992">
        <v>37.4</v>
      </c>
      <c r="N5992">
        <v>14.5</v>
      </c>
      <c r="O5992">
        <v>22.9</v>
      </c>
      <c r="P5992">
        <v>26.220030000000001</v>
      </c>
      <c r="Q5992">
        <v>24.820029999999999</v>
      </c>
      <c r="R5992">
        <v>30.220030000000001</v>
      </c>
      <c r="S5992">
        <v>24.720030000000001</v>
      </c>
      <c r="T5992">
        <v>1080.8</v>
      </c>
      <c r="U5992">
        <v>298</v>
      </c>
      <c r="V5992">
        <v>1</v>
      </c>
      <c r="W5992">
        <v>106</v>
      </c>
      <c r="X5992">
        <v>711</v>
      </c>
      <c r="Y5992">
        <v>8</v>
      </c>
      <c r="Z5992">
        <v>138.7997</v>
      </c>
      <c r="AA5992">
        <v>17</v>
      </c>
      <c r="AB5992">
        <v>3.1861329999999999</v>
      </c>
      <c r="AC5992">
        <v>2.5152150000000002E-2</v>
      </c>
      <c r="AD5992">
        <v>1.586681</v>
      </c>
      <c r="AE5992">
        <v>0.68168660000000003</v>
      </c>
      <c r="AF5992">
        <v>329.27569999999997</v>
      </c>
      <c r="AG5992">
        <f>IFERROR(AH5992*0.1, "N/A")</f>
        <v>5.716781000000001</v>
      </c>
      <c r="AH5992">
        <v>57.167810000000003</v>
      </c>
      <c r="AI5992">
        <v>35.512509999999999</v>
      </c>
      <c r="AJ5992">
        <v>24.2637</v>
      </c>
      <c r="AK5992">
        <v>41.684930000000001</v>
      </c>
    </row>
    <row r="5993" spans="1:37" x14ac:dyDescent="0.3">
      <c r="A5993">
        <v>5992</v>
      </c>
      <c r="B5993">
        <v>0</v>
      </c>
      <c r="C5993">
        <v>-5.9314</v>
      </c>
      <c r="D5993">
        <v>11.675000000000001</v>
      </c>
      <c r="E5993">
        <f>-5.9314-11.675</f>
        <v>-17.606400000000001</v>
      </c>
      <c r="F5993" t="s">
        <v>9429</v>
      </c>
      <c r="G5993" t="s">
        <v>37</v>
      </c>
      <c r="H5993">
        <v>1990</v>
      </c>
      <c r="I5993">
        <v>27.220030000000001</v>
      </c>
      <c r="J5993">
        <v>13.72003</v>
      </c>
      <c r="K5993">
        <v>59.200339999999997</v>
      </c>
      <c r="L5993">
        <v>21.527999999999999</v>
      </c>
      <c r="M5993">
        <v>37.4</v>
      </c>
      <c r="N5993">
        <v>14.5</v>
      </c>
      <c r="O5993">
        <v>22.9</v>
      </c>
      <c r="P5993">
        <v>26.220030000000001</v>
      </c>
      <c r="Q5993">
        <v>24.820029999999999</v>
      </c>
      <c r="R5993">
        <v>30.220030000000001</v>
      </c>
      <c r="S5993">
        <v>24.720030000000001</v>
      </c>
      <c r="T5993">
        <v>1080.8</v>
      </c>
      <c r="U5993">
        <v>298</v>
      </c>
      <c r="V5993">
        <v>1</v>
      </c>
      <c r="W5993">
        <v>106</v>
      </c>
      <c r="X5993">
        <v>711</v>
      </c>
      <c r="Y5993">
        <v>8</v>
      </c>
      <c r="Z5993">
        <v>138.7997</v>
      </c>
      <c r="AA5993">
        <v>17</v>
      </c>
      <c r="AB5993">
        <v>3.1861329999999999</v>
      </c>
      <c r="AC5993">
        <v>2.5152150000000002E-2</v>
      </c>
      <c r="AD5993">
        <v>1.586681</v>
      </c>
      <c r="AE5993">
        <v>0.68168660000000003</v>
      </c>
      <c r="AF5993">
        <v>329.27569999999997</v>
      </c>
      <c r="AG5993">
        <f>IFERROR(AH5993*0.1, "N/A")</f>
        <v>5.716781000000001</v>
      </c>
      <c r="AH5993">
        <v>57.167810000000003</v>
      </c>
      <c r="AI5993">
        <v>35.512509999999999</v>
      </c>
      <c r="AJ5993">
        <v>24.2637</v>
      </c>
      <c r="AK5993">
        <v>41.684930000000001</v>
      </c>
    </row>
    <row r="5994" spans="1:37" x14ac:dyDescent="0.3">
      <c r="A5994">
        <v>5993</v>
      </c>
      <c r="B5994">
        <v>1.8</v>
      </c>
      <c r="C5994">
        <v>-8.7166700000000006</v>
      </c>
      <c r="D5994">
        <v>11.683299999999999</v>
      </c>
      <c r="E5994">
        <f>-8.71667-11.6833</f>
        <v>-20.39997</v>
      </c>
      <c r="F5994" t="s">
        <v>9430</v>
      </c>
      <c r="G5994" t="s">
        <v>39</v>
      </c>
      <c r="H5994">
        <v>1990</v>
      </c>
      <c r="I5994">
        <v>27.145209999999999</v>
      </c>
      <c r="J5994">
        <v>16.100000000000001</v>
      </c>
      <c r="K5994">
        <v>64</v>
      </c>
      <c r="L5994">
        <v>20.661470000000001</v>
      </c>
      <c r="M5994">
        <v>39.197090000000003</v>
      </c>
      <c r="N5994">
        <v>14.24521</v>
      </c>
      <c r="O5994">
        <v>24.951879999999999</v>
      </c>
      <c r="P5994">
        <v>25.78904</v>
      </c>
      <c r="Q5994">
        <v>25.445209999999999</v>
      </c>
      <c r="R5994">
        <v>30.28904</v>
      </c>
      <c r="S5994">
        <v>25.072600000000001</v>
      </c>
      <c r="T5994">
        <v>1187.6199999999999</v>
      </c>
      <c r="U5994">
        <v>310.274</v>
      </c>
      <c r="V5994">
        <v>0</v>
      </c>
      <c r="W5994">
        <v>109</v>
      </c>
      <c r="X5994">
        <v>796.86469999999997</v>
      </c>
      <c r="Y5994">
        <v>1</v>
      </c>
      <c r="Z5994">
        <v>117</v>
      </c>
      <c r="AA5994">
        <v>11</v>
      </c>
      <c r="AB5994">
        <v>9.3219239999999992</v>
      </c>
      <c r="AC5994">
        <v>0.21016969999999999</v>
      </c>
      <c r="AD5994">
        <v>1.1719040000000001</v>
      </c>
      <c r="AE5994">
        <v>0.44072430000000001</v>
      </c>
      <c r="AF5994">
        <v>349.9418</v>
      </c>
      <c r="AG5994">
        <f>IFERROR(AH5994*0.1, "N/A")</f>
        <v>5.525856000000001</v>
      </c>
      <c r="AH5994">
        <v>55.258560000000003</v>
      </c>
      <c r="AI5994">
        <v>193.90459999999999</v>
      </c>
      <c r="AJ5994">
        <v>22.003419999999998</v>
      </c>
      <c r="AK5994">
        <v>50.768839999999997</v>
      </c>
    </row>
    <row r="5995" spans="1:37" x14ac:dyDescent="0.3">
      <c r="A5995">
        <v>5994</v>
      </c>
      <c r="B5995">
        <v>2.6</v>
      </c>
      <c r="C5995">
        <v>-8.7166700000000006</v>
      </c>
      <c r="D5995">
        <v>11.683299999999999</v>
      </c>
      <c r="E5995">
        <f>-8.71667-11.6833</f>
        <v>-20.39997</v>
      </c>
      <c r="F5995" t="s">
        <v>9431</v>
      </c>
      <c r="G5995" t="s">
        <v>37</v>
      </c>
      <c r="H5995">
        <v>1990</v>
      </c>
      <c r="I5995">
        <v>27.145209999999999</v>
      </c>
      <c r="J5995">
        <v>16.100000000000001</v>
      </c>
      <c r="K5995">
        <v>64</v>
      </c>
      <c r="L5995">
        <v>20.661470000000001</v>
      </c>
      <c r="M5995">
        <v>39.197090000000003</v>
      </c>
      <c r="N5995">
        <v>14.24521</v>
      </c>
      <c r="O5995">
        <v>24.951879999999999</v>
      </c>
      <c r="P5995">
        <v>25.78904</v>
      </c>
      <c r="Q5995">
        <v>25.445209999999999</v>
      </c>
      <c r="R5995">
        <v>30.28904</v>
      </c>
      <c r="S5995">
        <v>25.072600000000001</v>
      </c>
      <c r="T5995">
        <v>1187.6199999999999</v>
      </c>
      <c r="U5995">
        <v>310.274</v>
      </c>
      <c r="V5995">
        <v>0</v>
      </c>
      <c r="W5995">
        <v>109</v>
      </c>
      <c r="X5995">
        <v>796.86469999999997</v>
      </c>
      <c r="Y5995">
        <v>1</v>
      </c>
      <c r="Z5995">
        <v>117</v>
      </c>
      <c r="AA5995">
        <v>11</v>
      </c>
      <c r="AB5995">
        <v>9.3219239999999992</v>
      </c>
      <c r="AC5995">
        <v>0.21016969999999999</v>
      </c>
      <c r="AD5995">
        <v>1.1719040000000001</v>
      </c>
      <c r="AE5995">
        <v>0.44072430000000001</v>
      </c>
      <c r="AF5995">
        <v>349.9418</v>
      </c>
      <c r="AG5995">
        <f>IFERROR(AH5995*0.1, "N/A")</f>
        <v>5.525856000000001</v>
      </c>
      <c r="AH5995">
        <v>55.258560000000003</v>
      </c>
      <c r="AI5995">
        <v>193.90459999999999</v>
      </c>
      <c r="AJ5995">
        <v>22.003419999999998</v>
      </c>
      <c r="AK5995">
        <v>50.768839999999997</v>
      </c>
    </row>
    <row r="5996" spans="1:37" x14ac:dyDescent="0.3">
      <c r="A5996">
        <v>5995</v>
      </c>
      <c r="B5996">
        <v>14.9</v>
      </c>
      <c r="C5996">
        <v>-8.1595899999999997</v>
      </c>
      <c r="D5996">
        <v>11.713200000000001</v>
      </c>
      <c r="E5996">
        <f>-8.15959-11.7132</f>
        <v>-19.872790000000002</v>
      </c>
      <c r="F5996" t="s">
        <v>9432</v>
      </c>
      <c r="G5996" t="s">
        <v>37</v>
      </c>
      <c r="H5996">
        <v>1989</v>
      </c>
      <c r="I5996">
        <v>27.3</v>
      </c>
      <c r="J5996">
        <v>14.7</v>
      </c>
      <c r="K5996">
        <v>62</v>
      </c>
      <c r="L5996">
        <v>21.28</v>
      </c>
      <c r="M5996">
        <v>38.4</v>
      </c>
      <c r="N5996">
        <v>14.8</v>
      </c>
      <c r="O5996">
        <v>23.6</v>
      </c>
      <c r="P5996">
        <v>26</v>
      </c>
      <c r="Q5996">
        <v>25.4</v>
      </c>
      <c r="R5996">
        <v>30.4</v>
      </c>
      <c r="S5996">
        <v>25</v>
      </c>
      <c r="T5996">
        <v>1114</v>
      </c>
      <c r="U5996">
        <v>295</v>
      </c>
      <c r="V5996">
        <v>0</v>
      </c>
      <c r="W5996">
        <v>108</v>
      </c>
      <c r="X5996">
        <v>738</v>
      </c>
      <c r="Y5996">
        <v>1</v>
      </c>
      <c r="Z5996">
        <v>127</v>
      </c>
      <c r="AA5996">
        <v>11</v>
      </c>
      <c r="AB5996">
        <v>3.7284899999999999</v>
      </c>
      <c r="AC5996">
        <v>1.873286E-2</v>
      </c>
      <c r="AD5996">
        <v>1.728966</v>
      </c>
      <c r="AE5996">
        <v>0.65295610000000004</v>
      </c>
      <c r="AF5996">
        <v>347.4846</v>
      </c>
      <c r="AG5996">
        <f>IFERROR(AH5996*0.1, "N/A")</f>
        <v>5.8000000000000007</v>
      </c>
      <c r="AH5996">
        <v>58</v>
      </c>
      <c r="AI5996">
        <v>163.4828</v>
      </c>
      <c r="AJ5996">
        <v>19.02901</v>
      </c>
      <c r="AK5996">
        <v>43</v>
      </c>
    </row>
    <row r="5997" spans="1:37" x14ac:dyDescent="0.3">
      <c r="A5997">
        <v>5996</v>
      </c>
      <c r="B5997">
        <v>59.2</v>
      </c>
      <c r="C5997">
        <v>-8.1595899999999997</v>
      </c>
      <c r="D5997">
        <v>11.713200000000001</v>
      </c>
      <c r="E5997">
        <f>-8.15959-11.7132</f>
        <v>-19.872790000000002</v>
      </c>
      <c r="F5997" t="s">
        <v>9433</v>
      </c>
      <c r="G5997" t="s">
        <v>39</v>
      </c>
      <c r="H5997">
        <v>1989</v>
      </c>
      <c r="I5997">
        <v>27.3</v>
      </c>
      <c r="J5997">
        <v>14.7</v>
      </c>
      <c r="K5997">
        <v>62</v>
      </c>
      <c r="L5997">
        <v>21.28</v>
      </c>
      <c r="M5997">
        <v>38.4</v>
      </c>
      <c r="N5997">
        <v>14.8</v>
      </c>
      <c r="O5997">
        <v>23.6</v>
      </c>
      <c r="P5997">
        <v>26</v>
      </c>
      <c r="Q5997">
        <v>25.4</v>
      </c>
      <c r="R5997">
        <v>30.4</v>
      </c>
      <c r="S5997">
        <v>25</v>
      </c>
      <c r="T5997">
        <v>1114</v>
      </c>
      <c r="U5997">
        <v>295</v>
      </c>
      <c r="V5997">
        <v>0</v>
      </c>
      <c r="W5997">
        <v>108</v>
      </c>
      <c r="X5997">
        <v>738</v>
      </c>
      <c r="Y5997">
        <v>1</v>
      </c>
      <c r="Z5997">
        <v>127</v>
      </c>
      <c r="AA5997">
        <v>11</v>
      </c>
      <c r="AB5997">
        <v>3.7284899999999999</v>
      </c>
      <c r="AC5997">
        <v>1.873286E-2</v>
      </c>
      <c r="AD5997">
        <v>1.728966</v>
      </c>
      <c r="AE5997">
        <v>0.65295610000000004</v>
      </c>
      <c r="AF5997">
        <v>347.4846</v>
      </c>
      <c r="AG5997">
        <f>IFERROR(AH5997*0.1, "N/A")</f>
        <v>5.8000000000000007</v>
      </c>
      <c r="AH5997">
        <v>58</v>
      </c>
      <c r="AI5997">
        <v>163.4828</v>
      </c>
      <c r="AJ5997">
        <v>19.02901</v>
      </c>
      <c r="AK5997">
        <v>43</v>
      </c>
    </row>
    <row r="5998" spans="1:37" x14ac:dyDescent="0.3">
      <c r="A5998">
        <v>5997</v>
      </c>
      <c r="B5998">
        <v>2</v>
      </c>
      <c r="C5998">
        <v>-8.6833299999999998</v>
      </c>
      <c r="D5998">
        <v>11.716699999999999</v>
      </c>
      <c r="E5998">
        <f>-8.68333-11.7167</f>
        <v>-20.400030000000001</v>
      </c>
      <c r="F5998" t="s">
        <v>9434</v>
      </c>
      <c r="G5998" t="s">
        <v>39</v>
      </c>
      <c r="H5998">
        <v>1990</v>
      </c>
      <c r="I5998">
        <v>27.2</v>
      </c>
      <c r="J5998">
        <v>16</v>
      </c>
      <c r="K5998">
        <v>64</v>
      </c>
      <c r="L5998">
        <v>20.586359999999999</v>
      </c>
      <c r="M5998">
        <v>39.200000000000003</v>
      </c>
      <c r="N5998">
        <v>14.3</v>
      </c>
      <c r="O5998">
        <v>24.9</v>
      </c>
      <c r="P5998">
        <v>25.9</v>
      </c>
      <c r="Q5998">
        <v>25.5</v>
      </c>
      <c r="R5998">
        <v>30.3</v>
      </c>
      <c r="S5998">
        <v>25.082989999999999</v>
      </c>
      <c r="T5998">
        <v>1178.1790000000001</v>
      </c>
      <c r="U5998">
        <v>309</v>
      </c>
      <c r="V5998">
        <v>0</v>
      </c>
      <c r="W5998">
        <v>109</v>
      </c>
      <c r="X5998">
        <v>792</v>
      </c>
      <c r="Y5998">
        <v>1</v>
      </c>
      <c r="Z5998">
        <v>115.1786</v>
      </c>
      <c r="AA5998">
        <v>11</v>
      </c>
      <c r="AB5998">
        <v>4.5464349999999998</v>
      </c>
      <c r="AC5998">
        <v>3.0302949999999999E-2</v>
      </c>
      <c r="AD5998">
        <v>1.326141</v>
      </c>
      <c r="AE5998">
        <v>0.4773308</v>
      </c>
      <c r="AF5998">
        <v>342.55270000000002</v>
      </c>
      <c r="AG5998">
        <f>IFERROR(AH5998*0.1, "N/A")</f>
        <v>5.8331629999999999</v>
      </c>
      <c r="AH5998">
        <v>58.331629999999997</v>
      </c>
      <c r="AI5998">
        <v>124.3428</v>
      </c>
      <c r="AJ5998">
        <v>24.331630000000001</v>
      </c>
      <c r="AK5998">
        <v>42.336730000000003</v>
      </c>
    </row>
    <row r="5999" spans="1:37" x14ac:dyDescent="0.3">
      <c r="A5999">
        <v>5998</v>
      </c>
      <c r="B5999">
        <v>1.7</v>
      </c>
      <c r="C5999">
        <v>-8.6833299999999998</v>
      </c>
      <c r="D5999">
        <v>11.716699999999999</v>
      </c>
      <c r="E5999">
        <f>-8.68333-11.7167</f>
        <v>-20.400030000000001</v>
      </c>
      <c r="F5999" t="s">
        <v>9435</v>
      </c>
      <c r="G5999" t="s">
        <v>37</v>
      </c>
      <c r="H5999">
        <v>1990</v>
      </c>
      <c r="I5999">
        <v>27.2</v>
      </c>
      <c r="J5999">
        <v>16</v>
      </c>
      <c r="K5999">
        <v>64</v>
      </c>
      <c r="L5999">
        <v>20.586359999999999</v>
      </c>
      <c r="M5999">
        <v>39.200000000000003</v>
      </c>
      <c r="N5999">
        <v>14.3</v>
      </c>
      <c r="O5999">
        <v>24.9</v>
      </c>
      <c r="P5999">
        <v>25.9</v>
      </c>
      <c r="Q5999">
        <v>25.5</v>
      </c>
      <c r="R5999">
        <v>30.3</v>
      </c>
      <c r="S5999">
        <v>25.082989999999999</v>
      </c>
      <c r="T5999">
        <v>1178.1790000000001</v>
      </c>
      <c r="U5999">
        <v>309</v>
      </c>
      <c r="V5999">
        <v>0</v>
      </c>
      <c r="W5999">
        <v>109</v>
      </c>
      <c r="X5999">
        <v>792</v>
      </c>
      <c r="Y5999">
        <v>1</v>
      </c>
      <c r="Z5999">
        <v>115.1786</v>
      </c>
      <c r="AA5999">
        <v>11</v>
      </c>
      <c r="AB5999">
        <v>4.5464349999999998</v>
      </c>
      <c r="AC5999">
        <v>3.0302949999999999E-2</v>
      </c>
      <c r="AD5999">
        <v>1.326141</v>
      </c>
      <c r="AE5999">
        <v>0.4773308</v>
      </c>
      <c r="AF5999">
        <v>342.55270000000002</v>
      </c>
      <c r="AG5999">
        <f>IFERROR(AH5999*0.1, "N/A")</f>
        <v>5.8331629999999999</v>
      </c>
      <c r="AH5999">
        <v>58.331629999999997</v>
      </c>
      <c r="AI5999">
        <v>124.3428</v>
      </c>
      <c r="AJ5999">
        <v>24.331630000000001</v>
      </c>
      <c r="AK5999">
        <v>42.336730000000003</v>
      </c>
    </row>
    <row r="6000" spans="1:37" x14ac:dyDescent="0.3">
      <c r="A6000">
        <v>5999</v>
      </c>
      <c r="B6000">
        <v>0</v>
      </c>
      <c r="C6000">
        <v>-7.28423</v>
      </c>
      <c r="D6000">
        <v>11.739000000000001</v>
      </c>
      <c r="E6000">
        <f>-7.28423-11.739</f>
        <v>-19.023230000000002</v>
      </c>
      <c r="F6000" t="s">
        <v>9436</v>
      </c>
      <c r="G6000" t="s">
        <v>39</v>
      </c>
      <c r="H6000">
        <v>1990</v>
      </c>
      <c r="I6000">
        <v>27.2</v>
      </c>
      <c r="J6000">
        <v>13.5</v>
      </c>
      <c r="K6000">
        <v>60</v>
      </c>
      <c r="L6000">
        <v>21.13</v>
      </c>
      <c r="M6000">
        <v>37.6</v>
      </c>
      <c r="N6000">
        <v>15.3</v>
      </c>
      <c r="O6000">
        <v>22.3</v>
      </c>
      <c r="P6000">
        <v>26</v>
      </c>
      <c r="Q6000">
        <v>25.3</v>
      </c>
      <c r="R6000">
        <v>30.3</v>
      </c>
      <c r="S6000">
        <v>24.9</v>
      </c>
      <c r="T6000">
        <v>1035</v>
      </c>
      <c r="U6000">
        <v>285</v>
      </c>
      <c r="V6000">
        <v>0</v>
      </c>
      <c r="W6000">
        <v>110</v>
      </c>
      <c r="X6000">
        <v>695</v>
      </c>
      <c r="Y6000">
        <v>1</v>
      </c>
      <c r="Z6000">
        <v>118</v>
      </c>
      <c r="AA6000">
        <v>8</v>
      </c>
      <c r="AB6000">
        <v>2.667008</v>
      </c>
      <c r="AC6000">
        <v>5.7921460000000001E-2</v>
      </c>
      <c r="AD6000">
        <v>1.979098</v>
      </c>
      <c r="AE6000">
        <v>0.43127219999999999</v>
      </c>
      <c r="AF6000">
        <v>335.73160000000001</v>
      </c>
      <c r="AG6000">
        <f>IFERROR(AH6000*0.1, "N/A")</f>
        <v>5.8000000000000007</v>
      </c>
      <c r="AH6000">
        <v>58</v>
      </c>
      <c r="AI6000">
        <v>130.1884</v>
      </c>
      <c r="AJ6000">
        <v>20</v>
      </c>
      <c r="AK6000">
        <v>48.885469999999998</v>
      </c>
    </row>
    <row r="6001" spans="1:37" x14ac:dyDescent="0.3">
      <c r="A6001">
        <v>6000</v>
      </c>
      <c r="B6001">
        <v>0</v>
      </c>
      <c r="C6001">
        <v>-7.28423</v>
      </c>
      <c r="D6001">
        <v>11.739000000000001</v>
      </c>
      <c r="E6001">
        <f>-7.28423-11.739</f>
        <v>-19.023230000000002</v>
      </c>
      <c r="F6001" t="s">
        <v>9437</v>
      </c>
      <c r="G6001" t="s">
        <v>37</v>
      </c>
      <c r="H6001">
        <v>1990</v>
      </c>
      <c r="I6001">
        <v>27.2</v>
      </c>
      <c r="J6001">
        <v>13.5</v>
      </c>
      <c r="K6001">
        <v>60</v>
      </c>
      <c r="L6001">
        <v>21.13</v>
      </c>
      <c r="M6001">
        <v>37.6</v>
      </c>
      <c r="N6001">
        <v>15.3</v>
      </c>
      <c r="O6001">
        <v>22.3</v>
      </c>
      <c r="P6001">
        <v>26</v>
      </c>
      <c r="Q6001">
        <v>25.3</v>
      </c>
      <c r="R6001">
        <v>30.3</v>
      </c>
      <c r="S6001">
        <v>24.9</v>
      </c>
      <c r="T6001">
        <v>1035</v>
      </c>
      <c r="U6001">
        <v>285</v>
      </c>
      <c r="V6001">
        <v>0</v>
      </c>
      <c r="W6001">
        <v>110</v>
      </c>
      <c r="X6001">
        <v>695</v>
      </c>
      <c r="Y6001">
        <v>1</v>
      </c>
      <c r="Z6001">
        <v>118</v>
      </c>
      <c r="AA6001">
        <v>8</v>
      </c>
      <c r="AB6001">
        <v>2.667008</v>
      </c>
      <c r="AC6001">
        <v>5.7921460000000001E-2</v>
      </c>
      <c r="AD6001">
        <v>1.979098</v>
      </c>
      <c r="AE6001">
        <v>0.43127219999999999</v>
      </c>
      <c r="AF6001">
        <v>335.73160000000001</v>
      </c>
      <c r="AG6001">
        <f>IFERROR(AH6001*0.1, "N/A")</f>
        <v>5.8000000000000007</v>
      </c>
      <c r="AH6001">
        <v>58</v>
      </c>
      <c r="AI6001">
        <v>130.1884</v>
      </c>
      <c r="AJ6001">
        <v>20</v>
      </c>
      <c r="AK6001">
        <v>48.885469999999998</v>
      </c>
    </row>
    <row r="6002" spans="1:37" x14ac:dyDescent="0.3">
      <c r="A6002">
        <v>6001</v>
      </c>
      <c r="B6002">
        <v>0</v>
      </c>
      <c r="C6002">
        <v>-5.9466000000000001</v>
      </c>
      <c r="D6002">
        <v>11.748200000000001</v>
      </c>
      <c r="E6002">
        <f>-5.9466-11.7482</f>
        <v>-17.694800000000001</v>
      </c>
      <c r="F6002" t="s">
        <v>9438</v>
      </c>
      <c r="G6002" t="s">
        <v>39</v>
      </c>
      <c r="H6002">
        <v>1990</v>
      </c>
      <c r="I6002">
        <v>27.2</v>
      </c>
      <c r="J6002">
        <v>13.8</v>
      </c>
      <c r="K6002">
        <v>60</v>
      </c>
      <c r="L6002">
        <v>21.35</v>
      </c>
      <c r="M6002">
        <v>37.4</v>
      </c>
      <c r="N6002">
        <v>14.5</v>
      </c>
      <c r="O6002">
        <v>22.9</v>
      </c>
      <c r="P6002">
        <v>26.3</v>
      </c>
      <c r="Q6002">
        <v>24.9</v>
      </c>
      <c r="R6002">
        <v>30.2</v>
      </c>
      <c r="S6002">
        <v>24.7</v>
      </c>
      <c r="T6002">
        <v>1079</v>
      </c>
      <c r="U6002">
        <v>302</v>
      </c>
      <c r="V6002">
        <v>0</v>
      </c>
      <c r="W6002">
        <v>108</v>
      </c>
      <c r="X6002">
        <v>714</v>
      </c>
      <c r="Y6002">
        <v>8</v>
      </c>
      <c r="Z6002">
        <v>136</v>
      </c>
      <c r="AA6002">
        <v>17</v>
      </c>
      <c r="AB6002">
        <v>4.3942050000000004</v>
      </c>
      <c r="AC6002">
        <v>2.591825E-2</v>
      </c>
      <c r="AD6002">
        <v>2.269272</v>
      </c>
      <c r="AE6002">
        <v>0.67876879999999995</v>
      </c>
      <c r="AF6002">
        <v>332.08030000000002</v>
      </c>
      <c r="AG6002">
        <f>IFERROR(AH6002*0.1, "N/A")</f>
        <v>5.6032480000000007</v>
      </c>
      <c r="AH6002">
        <v>56.03248</v>
      </c>
      <c r="AI6002">
        <v>107.1497</v>
      </c>
      <c r="AJ6002">
        <v>21.870090000000001</v>
      </c>
      <c r="AK6002">
        <v>47.03248</v>
      </c>
    </row>
    <row r="6003" spans="1:37" x14ac:dyDescent="0.3">
      <c r="A6003">
        <v>6002</v>
      </c>
      <c r="B6003">
        <v>0</v>
      </c>
      <c r="C6003">
        <v>-5.9466000000000001</v>
      </c>
      <c r="D6003">
        <v>11.748200000000001</v>
      </c>
      <c r="E6003">
        <f>-5.9466-11.7482</f>
        <v>-17.694800000000001</v>
      </c>
      <c r="F6003" t="s">
        <v>9439</v>
      </c>
      <c r="G6003" t="s">
        <v>37</v>
      </c>
      <c r="H6003">
        <v>1990</v>
      </c>
      <c r="I6003">
        <v>27.2</v>
      </c>
      <c r="J6003">
        <v>13.8</v>
      </c>
      <c r="K6003">
        <v>60</v>
      </c>
      <c r="L6003">
        <v>21.35</v>
      </c>
      <c r="M6003">
        <v>37.4</v>
      </c>
      <c r="N6003">
        <v>14.5</v>
      </c>
      <c r="O6003">
        <v>22.9</v>
      </c>
      <c r="P6003">
        <v>26.3</v>
      </c>
      <c r="Q6003">
        <v>24.9</v>
      </c>
      <c r="R6003">
        <v>30.2</v>
      </c>
      <c r="S6003">
        <v>24.7</v>
      </c>
      <c r="T6003">
        <v>1079</v>
      </c>
      <c r="U6003">
        <v>302</v>
      </c>
      <c r="V6003">
        <v>0</v>
      </c>
      <c r="W6003">
        <v>108</v>
      </c>
      <c r="X6003">
        <v>714</v>
      </c>
      <c r="Y6003">
        <v>8</v>
      </c>
      <c r="Z6003">
        <v>136</v>
      </c>
      <c r="AA6003">
        <v>17</v>
      </c>
      <c r="AB6003">
        <v>4.3942050000000004</v>
      </c>
      <c r="AC6003">
        <v>2.591825E-2</v>
      </c>
      <c r="AD6003">
        <v>2.269272</v>
      </c>
      <c r="AE6003">
        <v>0.67876879999999995</v>
      </c>
      <c r="AF6003">
        <v>332.08030000000002</v>
      </c>
      <c r="AG6003">
        <f>IFERROR(AH6003*0.1, "N/A")</f>
        <v>5.6032480000000007</v>
      </c>
      <c r="AH6003">
        <v>56.03248</v>
      </c>
      <c r="AI6003">
        <v>107.1497</v>
      </c>
      <c r="AJ6003">
        <v>21.870090000000001</v>
      </c>
      <c r="AK6003">
        <v>47.03248</v>
      </c>
    </row>
    <row r="6004" spans="1:37" x14ac:dyDescent="0.3">
      <c r="A6004">
        <v>6003</v>
      </c>
      <c r="B6004">
        <v>0.5</v>
      </c>
      <c r="C6004">
        <v>-5.2986000000000004</v>
      </c>
      <c r="D6004">
        <v>11.8813</v>
      </c>
      <c r="E6004">
        <f>-5.2986-11.8813</f>
        <v>-17.1799</v>
      </c>
      <c r="F6004" t="s">
        <v>9440</v>
      </c>
      <c r="G6004" t="s">
        <v>39</v>
      </c>
      <c r="H6004">
        <v>1990</v>
      </c>
      <c r="I6004">
        <v>27.2</v>
      </c>
      <c r="J6004">
        <v>13.8</v>
      </c>
      <c r="K6004">
        <v>59</v>
      </c>
      <c r="L6004">
        <v>22.08</v>
      </c>
      <c r="M6004">
        <v>37.5</v>
      </c>
      <c r="N6004">
        <v>14.2</v>
      </c>
      <c r="O6004">
        <v>23.3</v>
      </c>
      <c r="P6004">
        <v>26.4</v>
      </c>
      <c r="Q6004">
        <v>24.7</v>
      </c>
      <c r="R6004">
        <v>30.3</v>
      </c>
      <c r="S6004">
        <v>24.7</v>
      </c>
      <c r="T6004">
        <v>971</v>
      </c>
      <c r="U6004">
        <v>259</v>
      </c>
      <c r="V6004">
        <v>1</v>
      </c>
      <c r="W6004">
        <v>109</v>
      </c>
      <c r="X6004">
        <v>644</v>
      </c>
      <c r="Y6004">
        <v>5</v>
      </c>
      <c r="Z6004">
        <v>127</v>
      </c>
      <c r="AA6004">
        <v>11</v>
      </c>
      <c r="AB6004">
        <v>2.1040890000000001</v>
      </c>
      <c r="AC6004">
        <v>3.0057469999999999E-2</v>
      </c>
      <c r="AD6004">
        <v>1.6930240000000001</v>
      </c>
      <c r="AE6004">
        <v>0.59062329999999996</v>
      </c>
      <c r="AF6004">
        <v>312.3707</v>
      </c>
      <c r="AG6004">
        <f>IFERROR(AH6004*0.1, "N/A")</f>
        <v>5.7765310000000003</v>
      </c>
      <c r="AH6004">
        <v>57.765309999999999</v>
      </c>
      <c r="AI6004">
        <v>213.43819999999999</v>
      </c>
      <c r="AJ6004">
        <v>15.234690000000001</v>
      </c>
      <c r="AK6004">
        <v>61.826529999999998</v>
      </c>
    </row>
    <row r="6005" spans="1:37" x14ac:dyDescent="0.3">
      <c r="A6005">
        <v>6004</v>
      </c>
      <c r="B6005">
        <v>16.899999999999999</v>
      </c>
      <c r="C6005">
        <v>-5.2986000000000004</v>
      </c>
      <c r="D6005">
        <v>11.8813</v>
      </c>
      <c r="E6005">
        <f>-5.2986-11.8813</f>
        <v>-17.1799</v>
      </c>
      <c r="F6005" t="s">
        <v>9441</v>
      </c>
      <c r="G6005" t="s">
        <v>37</v>
      </c>
      <c r="H6005">
        <v>1990</v>
      </c>
      <c r="I6005">
        <v>27.2</v>
      </c>
      <c r="J6005">
        <v>13.8</v>
      </c>
      <c r="K6005">
        <v>59</v>
      </c>
      <c r="L6005">
        <v>22.08</v>
      </c>
      <c r="M6005">
        <v>37.5</v>
      </c>
      <c r="N6005">
        <v>14.2</v>
      </c>
      <c r="O6005">
        <v>23.3</v>
      </c>
      <c r="P6005">
        <v>26.4</v>
      </c>
      <c r="Q6005">
        <v>24.7</v>
      </c>
      <c r="R6005">
        <v>30.3</v>
      </c>
      <c r="S6005">
        <v>24.7</v>
      </c>
      <c r="T6005">
        <v>971</v>
      </c>
      <c r="U6005">
        <v>259</v>
      </c>
      <c r="V6005">
        <v>1</v>
      </c>
      <c r="W6005">
        <v>109</v>
      </c>
      <c r="X6005">
        <v>644</v>
      </c>
      <c r="Y6005">
        <v>5</v>
      </c>
      <c r="Z6005">
        <v>127</v>
      </c>
      <c r="AA6005">
        <v>11</v>
      </c>
      <c r="AB6005">
        <v>2.1040890000000001</v>
      </c>
      <c r="AC6005">
        <v>3.0057469999999999E-2</v>
      </c>
      <c r="AD6005">
        <v>1.6930240000000001</v>
      </c>
      <c r="AE6005">
        <v>0.59062329999999996</v>
      </c>
      <c r="AF6005">
        <v>312.3707</v>
      </c>
      <c r="AG6005">
        <f>IFERROR(AH6005*0.1, "N/A")</f>
        <v>5.7765310000000003</v>
      </c>
      <c r="AH6005">
        <v>57.765309999999999</v>
      </c>
      <c r="AI6005">
        <v>213.43819999999999</v>
      </c>
      <c r="AJ6005">
        <v>15.234690000000001</v>
      </c>
      <c r="AK6005">
        <v>61.826529999999998</v>
      </c>
    </row>
    <row r="6006" spans="1:37" x14ac:dyDescent="0.3">
      <c r="A6006">
        <v>6005</v>
      </c>
      <c r="B6006">
        <v>2.4</v>
      </c>
      <c r="C6006">
        <v>-6.6520000000000001</v>
      </c>
      <c r="D6006">
        <v>11.885999999999999</v>
      </c>
      <c r="E6006">
        <f>-6.652-11.886</f>
        <v>-18.538</v>
      </c>
      <c r="F6006" t="s">
        <v>9442</v>
      </c>
      <c r="G6006" t="s">
        <v>39</v>
      </c>
      <c r="H6006">
        <v>1987</v>
      </c>
      <c r="I6006">
        <v>27.2</v>
      </c>
      <c r="J6006">
        <v>13.6</v>
      </c>
      <c r="K6006">
        <v>59</v>
      </c>
      <c r="L6006">
        <v>21.46</v>
      </c>
      <c r="M6006">
        <v>37.6</v>
      </c>
      <c r="N6006">
        <v>14.8</v>
      </c>
      <c r="O6006">
        <v>22.8</v>
      </c>
      <c r="P6006">
        <v>26.1</v>
      </c>
      <c r="Q6006">
        <v>26.8</v>
      </c>
      <c r="R6006">
        <v>30.3</v>
      </c>
      <c r="S6006">
        <v>24.8</v>
      </c>
      <c r="T6006">
        <v>987</v>
      </c>
      <c r="U6006">
        <v>269</v>
      </c>
      <c r="V6006">
        <v>1</v>
      </c>
      <c r="W6006">
        <v>108</v>
      </c>
      <c r="X6006">
        <v>657</v>
      </c>
      <c r="Y6006">
        <v>5</v>
      </c>
      <c r="Z6006">
        <v>117</v>
      </c>
      <c r="AA6006">
        <v>13</v>
      </c>
      <c r="AB6006">
        <v>2.583256</v>
      </c>
      <c r="AC6006">
        <v>3.6476700000000001E-2</v>
      </c>
      <c r="AD6006">
        <v>1.7711699999999999</v>
      </c>
      <c r="AE6006">
        <v>0.64219919999999997</v>
      </c>
      <c r="AF6006">
        <v>344.90429999999998</v>
      </c>
      <c r="AG6006">
        <f>IFERROR(AH6006*0.1, "N/A")</f>
        <v>5.4429060000000007</v>
      </c>
      <c r="AH6006">
        <v>54.42906</v>
      </c>
      <c r="AI6006">
        <v>186.85230000000001</v>
      </c>
      <c r="AJ6006">
        <v>18.376069999999999</v>
      </c>
      <c r="AK6006">
        <v>47.044440000000002</v>
      </c>
    </row>
    <row r="6007" spans="1:37" x14ac:dyDescent="0.3">
      <c r="A6007">
        <v>6006</v>
      </c>
      <c r="B6007">
        <v>1.8</v>
      </c>
      <c r="C6007">
        <v>-6.6520000000000001</v>
      </c>
      <c r="D6007">
        <v>11.885999999999999</v>
      </c>
      <c r="E6007">
        <f>-6.652-11.886</f>
        <v>-18.538</v>
      </c>
      <c r="F6007" t="s">
        <v>9443</v>
      </c>
      <c r="G6007" t="s">
        <v>37</v>
      </c>
      <c r="H6007">
        <v>1987</v>
      </c>
      <c r="I6007">
        <v>27.2</v>
      </c>
      <c r="J6007">
        <v>13.6</v>
      </c>
      <c r="K6007">
        <v>59</v>
      </c>
      <c r="L6007">
        <v>21.46</v>
      </c>
      <c r="M6007">
        <v>37.6</v>
      </c>
      <c r="N6007">
        <v>14.8</v>
      </c>
      <c r="O6007">
        <v>22.8</v>
      </c>
      <c r="P6007">
        <v>26.1</v>
      </c>
      <c r="Q6007">
        <v>26.8</v>
      </c>
      <c r="R6007">
        <v>30.3</v>
      </c>
      <c r="S6007">
        <v>24.8</v>
      </c>
      <c r="T6007">
        <v>987</v>
      </c>
      <c r="U6007">
        <v>269</v>
      </c>
      <c r="V6007">
        <v>1</v>
      </c>
      <c r="W6007">
        <v>108</v>
      </c>
      <c r="X6007">
        <v>657</v>
      </c>
      <c r="Y6007">
        <v>5</v>
      </c>
      <c r="Z6007">
        <v>117</v>
      </c>
      <c r="AA6007">
        <v>13</v>
      </c>
      <c r="AB6007">
        <v>2.583256</v>
      </c>
      <c r="AC6007">
        <v>3.6476700000000001E-2</v>
      </c>
      <c r="AD6007">
        <v>1.7711699999999999</v>
      </c>
      <c r="AE6007">
        <v>0.64219919999999997</v>
      </c>
      <c r="AF6007">
        <v>344.90429999999998</v>
      </c>
      <c r="AG6007">
        <f>IFERROR(AH6007*0.1, "N/A")</f>
        <v>5.4429060000000007</v>
      </c>
      <c r="AH6007">
        <v>54.42906</v>
      </c>
      <c r="AI6007">
        <v>186.85230000000001</v>
      </c>
      <c r="AJ6007">
        <v>18.376069999999999</v>
      </c>
      <c r="AK6007">
        <v>47.044440000000002</v>
      </c>
    </row>
    <row r="6008" spans="1:37" x14ac:dyDescent="0.3">
      <c r="A6008">
        <v>6007</v>
      </c>
      <c r="B6008">
        <v>20.3</v>
      </c>
      <c r="C6008">
        <v>-6.0510000000000002</v>
      </c>
      <c r="D6008">
        <v>12.002000000000001</v>
      </c>
      <c r="E6008">
        <f>-6.051-12.002</f>
        <v>-18.053000000000001</v>
      </c>
      <c r="F6008" t="s">
        <v>9444</v>
      </c>
      <c r="G6008" t="s">
        <v>39</v>
      </c>
      <c r="H6008">
        <v>1987</v>
      </c>
      <c r="I6008">
        <v>27.2</v>
      </c>
      <c r="J6008">
        <v>13.7</v>
      </c>
      <c r="K6008">
        <v>58</v>
      </c>
      <c r="L6008">
        <v>22.49</v>
      </c>
      <c r="M6008">
        <v>37.6</v>
      </c>
      <c r="N6008">
        <v>14.3</v>
      </c>
      <c r="O6008">
        <v>23.3</v>
      </c>
      <c r="P6008">
        <v>26.4</v>
      </c>
      <c r="Q6008">
        <v>24.6</v>
      </c>
      <c r="R6008">
        <v>30.3</v>
      </c>
      <c r="S6008">
        <v>24.6</v>
      </c>
      <c r="T6008">
        <v>1029</v>
      </c>
      <c r="U6008">
        <v>293</v>
      </c>
      <c r="V6008">
        <v>0</v>
      </c>
      <c r="W6008">
        <v>111</v>
      </c>
      <c r="X6008">
        <v>692</v>
      </c>
      <c r="Y6008">
        <v>6</v>
      </c>
      <c r="Z6008">
        <v>121</v>
      </c>
      <c r="AA6008">
        <v>14</v>
      </c>
      <c r="AB6008">
        <v>4.060759</v>
      </c>
      <c r="AC6008">
        <v>0.11390749999999999</v>
      </c>
      <c r="AD6008">
        <v>2.5387550000000001</v>
      </c>
      <c r="AE6008">
        <v>0.68025650000000004</v>
      </c>
      <c r="AF6008">
        <v>334.07679999999999</v>
      </c>
      <c r="AG6008">
        <f>IFERROR(AH6008*0.1, "N/A")</f>
        <v>6</v>
      </c>
      <c r="AH6008">
        <v>60</v>
      </c>
      <c r="AI6008">
        <v>261.47469999999998</v>
      </c>
      <c r="AJ6008">
        <v>13.09727</v>
      </c>
      <c r="AK6008">
        <v>64.708190000000002</v>
      </c>
    </row>
    <row r="6009" spans="1:37" x14ac:dyDescent="0.3">
      <c r="A6009">
        <v>6008</v>
      </c>
      <c r="B6009">
        <v>43</v>
      </c>
      <c r="C6009">
        <v>-6.0510000000000002</v>
      </c>
      <c r="D6009">
        <v>12.002000000000001</v>
      </c>
      <c r="E6009">
        <f>-6.051-12.002</f>
        <v>-18.053000000000001</v>
      </c>
      <c r="F6009" t="s">
        <v>9445</v>
      </c>
      <c r="G6009" t="s">
        <v>37</v>
      </c>
      <c r="H6009">
        <v>1987</v>
      </c>
      <c r="I6009">
        <v>27.2</v>
      </c>
      <c r="J6009">
        <v>13.7</v>
      </c>
      <c r="K6009">
        <v>58</v>
      </c>
      <c r="L6009">
        <v>22.49</v>
      </c>
      <c r="M6009">
        <v>37.6</v>
      </c>
      <c r="N6009">
        <v>14.3</v>
      </c>
      <c r="O6009">
        <v>23.3</v>
      </c>
      <c r="P6009">
        <v>26.4</v>
      </c>
      <c r="Q6009">
        <v>24.6</v>
      </c>
      <c r="R6009">
        <v>30.3</v>
      </c>
      <c r="S6009">
        <v>24.6</v>
      </c>
      <c r="T6009">
        <v>1029</v>
      </c>
      <c r="U6009">
        <v>293</v>
      </c>
      <c r="V6009">
        <v>0</v>
      </c>
      <c r="W6009">
        <v>111</v>
      </c>
      <c r="X6009">
        <v>692</v>
      </c>
      <c r="Y6009">
        <v>6</v>
      </c>
      <c r="Z6009">
        <v>121</v>
      </c>
      <c r="AA6009">
        <v>14</v>
      </c>
      <c r="AB6009">
        <v>4.060759</v>
      </c>
      <c r="AC6009">
        <v>0.11390749999999999</v>
      </c>
      <c r="AD6009">
        <v>2.5387550000000001</v>
      </c>
      <c r="AE6009">
        <v>0.68025650000000004</v>
      </c>
      <c r="AF6009">
        <v>334.07679999999999</v>
      </c>
      <c r="AG6009">
        <f>IFERROR(AH6009*0.1, "N/A")</f>
        <v>6</v>
      </c>
      <c r="AH6009">
        <v>60</v>
      </c>
      <c r="AI6009">
        <v>261.47469999999998</v>
      </c>
      <c r="AJ6009">
        <v>13.09727</v>
      </c>
      <c r="AK6009">
        <v>64.708190000000002</v>
      </c>
    </row>
    <row r="6010" spans="1:37" x14ac:dyDescent="0.3">
      <c r="A6010">
        <v>6009</v>
      </c>
      <c r="B6010">
        <v>2.6</v>
      </c>
      <c r="C6010">
        <v>-5.2863300000000004</v>
      </c>
      <c r="D6010">
        <v>12.0039</v>
      </c>
      <c r="E6010">
        <f>-5.28633-12.0039</f>
        <v>-17.290230000000001</v>
      </c>
      <c r="F6010" t="s">
        <v>9446</v>
      </c>
      <c r="G6010" t="s">
        <v>39</v>
      </c>
      <c r="H6010">
        <v>1990</v>
      </c>
      <c r="I6010">
        <v>27.2</v>
      </c>
      <c r="J6010">
        <v>13.8</v>
      </c>
      <c r="K6010">
        <v>58</v>
      </c>
      <c r="L6010">
        <v>22.9</v>
      </c>
      <c r="M6010">
        <v>37.6</v>
      </c>
      <c r="N6010">
        <v>14</v>
      </c>
      <c r="O6010">
        <v>23.6</v>
      </c>
      <c r="P6010">
        <v>26.4</v>
      </c>
      <c r="Q6010">
        <v>24.4</v>
      </c>
      <c r="R6010">
        <v>30.3</v>
      </c>
      <c r="S6010">
        <v>24.4</v>
      </c>
      <c r="T6010">
        <v>949</v>
      </c>
      <c r="U6010">
        <v>251</v>
      </c>
      <c r="V6010">
        <v>1</v>
      </c>
      <c r="W6010">
        <v>108</v>
      </c>
      <c r="X6010">
        <v>632</v>
      </c>
      <c r="Y6010">
        <v>4</v>
      </c>
      <c r="Z6010">
        <v>122</v>
      </c>
      <c r="AA6010">
        <v>10</v>
      </c>
      <c r="AB6010">
        <v>4.4960760000000004</v>
      </c>
      <c r="AC6010">
        <v>6.4532850000000003E-2</v>
      </c>
      <c r="AD6010">
        <v>1.6767099999999999</v>
      </c>
      <c r="AE6010">
        <v>0.51888920000000005</v>
      </c>
      <c r="AF6010">
        <v>316.60919999999999</v>
      </c>
      <c r="AG6010">
        <f>IFERROR(AH6010*0.1, "N/A")</f>
        <v>5.8914679999999997</v>
      </c>
      <c r="AH6010">
        <v>58.914679999999997</v>
      </c>
      <c r="AI6010">
        <v>173.8058</v>
      </c>
      <c r="AJ6010">
        <v>22.03584</v>
      </c>
      <c r="AK6010">
        <v>47.829349999999998</v>
      </c>
    </row>
    <row r="6011" spans="1:37" x14ac:dyDescent="0.3">
      <c r="A6011">
        <v>6010</v>
      </c>
      <c r="B6011">
        <v>2.1</v>
      </c>
      <c r="C6011">
        <v>-5.2863300000000004</v>
      </c>
      <c r="D6011">
        <v>12.0039</v>
      </c>
      <c r="E6011">
        <f>-5.28633-12.0039</f>
        <v>-17.290230000000001</v>
      </c>
      <c r="F6011" t="s">
        <v>9447</v>
      </c>
      <c r="G6011" t="s">
        <v>37</v>
      </c>
      <c r="H6011">
        <v>1990</v>
      </c>
      <c r="I6011">
        <v>27.2</v>
      </c>
      <c r="J6011">
        <v>13.8</v>
      </c>
      <c r="K6011">
        <v>58</v>
      </c>
      <c r="L6011">
        <v>22.9</v>
      </c>
      <c r="M6011">
        <v>37.6</v>
      </c>
      <c r="N6011">
        <v>14</v>
      </c>
      <c r="O6011">
        <v>23.6</v>
      </c>
      <c r="P6011">
        <v>26.4</v>
      </c>
      <c r="Q6011">
        <v>24.4</v>
      </c>
      <c r="R6011">
        <v>30.3</v>
      </c>
      <c r="S6011">
        <v>24.4</v>
      </c>
      <c r="T6011">
        <v>949</v>
      </c>
      <c r="U6011">
        <v>251</v>
      </c>
      <c r="V6011">
        <v>1</v>
      </c>
      <c r="W6011">
        <v>108</v>
      </c>
      <c r="X6011">
        <v>632</v>
      </c>
      <c r="Y6011">
        <v>4</v>
      </c>
      <c r="Z6011">
        <v>122</v>
      </c>
      <c r="AA6011">
        <v>10</v>
      </c>
      <c r="AB6011">
        <v>4.4960760000000004</v>
      </c>
      <c r="AC6011">
        <v>6.4532850000000003E-2</v>
      </c>
      <c r="AD6011">
        <v>1.6767099999999999</v>
      </c>
      <c r="AE6011">
        <v>0.51888920000000005</v>
      </c>
      <c r="AF6011">
        <v>316.60919999999999</v>
      </c>
      <c r="AG6011">
        <f>IFERROR(AH6011*0.1, "N/A")</f>
        <v>5.8914679999999997</v>
      </c>
      <c r="AH6011">
        <v>58.914679999999997</v>
      </c>
      <c r="AI6011">
        <v>173.8058</v>
      </c>
      <c r="AJ6011">
        <v>22.03584</v>
      </c>
      <c r="AK6011">
        <v>47.829349999999998</v>
      </c>
    </row>
    <row r="6012" spans="1:37" x14ac:dyDescent="0.3">
      <c r="A6012">
        <v>6011</v>
      </c>
      <c r="B6012">
        <v>2.4</v>
      </c>
      <c r="C6012">
        <v>-8.2861499999999992</v>
      </c>
      <c r="D6012">
        <v>12.0098</v>
      </c>
      <c r="E6012">
        <f>-8.28615-12.0098</f>
        <v>-20.295949999999998</v>
      </c>
      <c r="F6012" t="s">
        <v>9448</v>
      </c>
      <c r="G6012" t="s">
        <v>39</v>
      </c>
      <c r="H6012">
        <v>1990</v>
      </c>
      <c r="I6012">
        <v>27.4</v>
      </c>
      <c r="J6012">
        <v>14.8</v>
      </c>
      <c r="K6012">
        <v>62</v>
      </c>
      <c r="L6012">
        <v>21.95</v>
      </c>
      <c r="M6012">
        <v>38.700000000000003</v>
      </c>
      <c r="N6012">
        <v>14.9</v>
      </c>
      <c r="O6012">
        <v>23.8</v>
      </c>
      <c r="P6012">
        <v>26.1</v>
      </c>
      <c r="Q6012">
        <v>25.4</v>
      </c>
      <c r="R6012">
        <v>30.6</v>
      </c>
      <c r="S6012">
        <v>25.1</v>
      </c>
      <c r="T6012">
        <v>1055</v>
      </c>
      <c r="U6012">
        <v>285</v>
      </c>
      <c r="V6012">
        <v>0</v>
      </c>
      <c r="W6012">
        <v>111</v>
      </c>
      <c r="X6012">
        <v>714</v>
      </c>
      <c r="Y6012">
        <v>0</v>
      </c>
      <c r="Z6012">
        <v>104</v>
      </c>
      <c r="AA6012">
        <v>12</v>
      </c>
      <c r="AB6012">
        <v>11.649660000000001</v>
      </c>
      <c r="AC6012">
        <v>8.5919989999999995E-3</v>
      </c>
      <c r="AD6012">
        <v>1.991916</v>
      </c>
      <c r="AE6012">
        <v>0.58923170000000002</v>
      </c>
      <c r="AF6012">
        <v>344.21429999999998</v>
      </c>
      <c r="AG6012">
        <f>IFERROR(AH6012*0.1, "N/A")</f>
        <v>5.9</v>
      </c>
      <c r="AH6012">
        <v>59</v>
      </c>
      <c r="AI6012">
        <v>197.79220000000001</v>
      </c>
      <c r="AJ6012">
        <v>24.605440000000002</v>
      </c>
      <c r="AK6012">
        <v>40.48639</v>
      </c>
    </row>
    <row r="6013" spans="1:37" x14ac:dyDescent="0.3">
      <c r="A6013">
        <v>6012</v>
      </c>
      <c r="B6013">
        <v>0</v>
      </c>
      <c r="C6013">
        <v>-8.2861499999999992</v>
      </c>
      <c r="D6013">
        <v>12.0098</v>
      </c>
      <c r="E6013">
        <f>-8.28615-12.0098</f>
        <v>-20.295949999999998</v>
      </c>
      <c r="F6013" t="s">
        <v>9449</v>
      </c>
      <c r="G6013" t="s">
        <v>37</v>
      </c>
      <c r="H6013">
        <v>1990</v>
      </c>
      <c r="I6013">
        <v>27.4</v>
      </c>
      <c r="J6013">
        <v>14.8</v>
      </c>
      <c r="K6013">
        <v>62</v>
      </c>
      <c r="L6013">
        <v>21.95</v>
      </c>
      <c r="M6013">
        <v>38.700000000000003</v>
      </c>
      <c r="N6013">
        <v>14.9</v>
      </c>
      <c r="O6013">
        <v>23.8</v>
      </c>
      <c r="P6013">
        <v>26.1</v>
      </c>
      <c r="Q6013">
        <v>25.4</v>
      </c>
      <c r="R6013">
        <v>30.6</v>
      </c>
      <c r="S6013">
        <v>25.1</v>
      </c>
      <c r="T6013">
        <v>1055</v>
      </c>
      <c r="U6013">
        <v>285</v>
      </c>
      <c r="V6013">
        <v>0</v>
      </c>
      <c r="W6013">
        <v>111</v>
      </c>
      <c r="X6013">
        <v>714</v>
      </c>
      <c r="Y6013">
        <v>0</v>
      </c>
      <c r="Z6013">
        <v>104</v>
      </c>
      <c r="AA6013">
        <v>12</v>
      </c>
      <c r="AB6013">
        <v>11.649660000000001</v>
      </c>
      <c r="AC6013">
        <v>8.5919989999999995E-3</v>
      </c>
      <c r="AD6013">
        <v>1.991916</v>
      </c>
      <c r="AE6013">
        <v>0.58923170000000002</v>
      </c>
      <c r="AF6013">
        <v>344.21429999999998</v>
      </c>
      <c r="AG6013">
        <f>IFERROR(AH6013*0.1, "N/A")</f>
        <v>5.9</v>
      </c>
      <c r="AH6013">
        <v>59</v>
      </c>
      <c r="AI6013">
        <v>197.79220000000001</v>
      </c>
      <c r="AJ6013">
        <v>24.605440000000002</v>
      </c>
      <c r="AK6013">
        <v>40.48639</v>
      </c>
    </row>
    <row r="6014" spans="1:37" x14ac:dyDescent="0.3">
      <c r="A6014">
        <v>6013</v>
      </c>
      <c r="B6014">
        <v>11.8</v>
      </c>
      <c r="C6014">
        <v>-5.7080299999999999</v>
      </c>
      <c r="D6014">
        <v>12.0146</v>
      </c>
      <c r="E6014">
        <f>-5.70803-12.0146</f>
        <v>-17.722629999999999</v>
      </c>
      <c r="F6014" t="s">
        <v>9450</v>
      </c>
      <c r="G6014" t="s">
        <v>39</v>
      </c>
      <c r="H6014">
        <v>1990</v>
      </c>
      <c r="I6014">
        <v>27.2</v>
      </c>
      <c r="J6014">
        <v>13.8</v>
      </c>
      <c r="K6014">
        <v>58</v>
      </c>
      <c r="L6014">
        <v>22.66</v>
      </c>
      <c r="M6014">
        <v>37.6</v>
      </c>
      <c r="N6014">
        <v>14.2</v>
      </c>
      <c r="O6014">
        <v>23.4</v>
      </c>
      <c r="P6014">
        <v>26.4</v>
      </c>
      <c r="Q6014">
        <v>24.6</v>
      </c>
      <c r="R6014">
        <v>30.3</v>
      </c>
      <c r="S6014">
        <v>24.5</v>
      </c>
      <c r="T6014">
        <v>979.21220000000005</v>
      </c>
      <c r="U6014">
        <v>268.60610000000003</v>
      </c>
      <c r="V6014">
        <v>0</v>
      </c>
      <c r="W6014">
        <v>109</v>
      </c>
      <c r="X6014">
        <v>651.21220000000005</v>
      </c>
      <c r="Y6014">
        <v>5</v>
      </c>
      <c r="Z6014">
        <v>119</v>
      </c>
      <c r="AA6014">
        <v>11</v>
      </c>
      <c r="AB6014">
        <v>1.309831</v>
      </c>
      <c r="AC6014">
        <v>1.283749E-2</v>
      </c>
      <c r="AD6014">
        <v>1.547946</v>
      </c>
      <c r="AE6014">
        <v>0.63821830000000002</v>
      </c>
      <c r="AF6014">
        <v>301.81830000000002</v>
      </c>
      <c r="AG6014">
        <f>IFERROR(AH6014*0.1, "N/A")</f>
        <v>5.9013580000000001</v>
      </c>
      <c r="AH6014">
        <v>59.013579999999997</v>
      </c>
      <c r="AI6014">
        <v>264.37869999999998</v>
      </c>
      <c r="AJ6014">
        <v>18.803059999999999</v>
      </c>
      <c r="AK6014">
        <v>51.196939999999998</v>
      </c>
    </row>
    <row r="6015" spans="1:37" x14ac:dyDescent="0.3">
      <c r="A6015">
        <v>6014</v>
      </c>
      <c r="B6015">
        <v>0</v>
      </c>
      <c r="C6015">
        <v>-5.7080299999999999</v>
      </c>
      <c r="D6015">
        <v>12.0146</v>
      </c>
      <c r="E6015">
        <f>-5.70803-12.0146</f>
        <v>-17.722629999999999</v>
      </c>
      <c r="F6015" t="s">
        <v>9451</v>
      </c>
      <c r="G6015" t="s">
        <v>37</v>
      </c>
      <c r="H6015">
        <v>1990</v>
      </c>
      <c r="I6015">
        <v>27.2</v>
      </c>
      <c r="J6015">
        <v>13.8</v>
      </c>
      <c r="K6015">
        <v>58</v>
      </c>
      <c r="L6015">
        <v>22.66</v>
      </c>
      <c r="M6015">
        <v>37.6</v>
      </c>
      <c r="N6015">
        <v>14.2</v>
      </c>
      <c r="O6015">
        <v>23.4</v>
      </c>
      <c r="P6015">
        <v>26.4</v>
      </c>
      <c r="Q6015">
        <v>24.6</v>
      </c>
      <c r="R6015">
        <v>30.3</v>
      </c>
      <c r="S6015">
        <v>24.5</v>
      </c>
      <c r="T6015">
        <v>979.21220000000005</v>
      </c>
      <c r="U6015">
        <v>268.60610000000003</v>
      </c>
      <c r="V6015">
        <v>0</v>
      </c>
      <c r="W6015">
        <v>109</v>
      </c>
      <c r="X6015">
        <v>651.21220000000005</v>
      </c>
      <c r="Y6015">
        <v>5</v>
      </c>
      <c r="Z6015">
        <v>119</v>
      </c>
      <c r="AA6015">
        <v>11</v>
      </c>
      <c r="AB6015">
        <v>1.309831</v>
      </c>
      <c r="AC6015">
        <v>1.283749E-2</v>
      </c>
      <c r="AD6015">
        <v>1.547946</v>
      </c>
      <c r="AE6015">
        <v>0.63821830000000002</v>
      </c>
      <c r="AF6015">
        <v>301.81830000000002</v>
      </c>
      <c r="AG6015">
        <f>IFERROR(AH6015*0.1, "N/A")</f>
        <v>5.9013580000000001</v>
      </c>
      <c r="AH6015">
        <v>59.013579999999997</v>
      </c>
      <c r="AI6015">
        <v>264.37869999999998</v>
      </c>
      <c r="AJ6015">
        <v>18.803059999999999</v>
      </c>
      <c r="AK6015">
        <v>51.196939999999998</v>
      </c>
    </row>
    <row r="6016" spans="1:37" x14ac:dyDescent="0.3">
      <c r="A6016">
        <v>6015</v>
      </c>
      <c r="B6016">
        <v>0.5</v>
      </c>
      <c r="C6016">
        <v>-5.3599300000000003</v>
      </c>
      <c r="D6016">
        <v>12.061</v>
      </c>
      <c r="E6016">
        <f>-5.35993-12.061</f>
        <v>-17.420929999999998</v>
      </c>
      <c r="F6016" t="s">
        <v>9452</v>
      </c>
      <c r="G6016" t="s">
        <v>39</v>
      </c>
      <c r="H6016">
        <v>1990</v>
      </c>
      <c r="I6016">
        <v>27.2</v>
      </c>
      <c r="J6016">
        <v>13.8</v>
      </c>
      <c r="K6016">
        <v>58</v>
      </c>
      <c r="L6016">
        <v>23.14</v>
      </c>
      <c r="M6016">
        <v>37.6</v>
      </c>
      <c r="N6016">
        <v>14</v>
      </c>
      <c r="O6016">
        <v>23.6</v>
      </c>
      <c r="P6016">
        <v>26.4</v>
      </c>
      <c r="Q6016">
        <v>24.4</v>
      </c>
      <c r="R6016">
        <v>30.3</v>
      </c>
      <c r="S6016">
        <v>24.4</v>
      </c>
      <c r="T6016">
        <v>938</v>
      </c>
      <c r="U6016">
        <v>248</v>
      </c>
      <c r="V6016">
        <v>1</v>
      </c>
      <c r="W6016">
        <v>108</v>
      </c>
      <c r="X6016">
        <v>625</v>
      </c>
      <c r="Y6016">
        <v>4</v>
      </c>
      <c r="Z6016">
        <v>118</v>
      </c>
      <c r="AA6016">
        <v>10</v>
      </c>
      <c r="AB6016">
        <v>5.0396099999999997</v>
      </c>
      <c r="AC6016">
        <v>1.342609E-2</v>
      </c>
      <c r="AD6016">
        <v>1.5958950000000001</v>
      </c>
      <c r="AE6016">
        <v>0.69249660000000002</v>
      </c>
      <c r="AF6016">
        <v>315.74489999999997</v>
      </c>
      <c r="AG6016">
        <f>IFERROR(AH6016*0.1, "N/A")</f>
        <v>5.4943880000000007</v>
      </c>
      <c r="AH6016">
        <v>54.94388</v>
      </c>
      <c r="AI6016">
        <v>70.115729999999999</v>
      </c>
      <c r="AJ6016">
        <v>12.88435</v>
      </c>
      <c r="AK6016">
        <v>54.003399999999999</v>
      </c>
    </row>
    <row r="6017" spans="1:37" x14ac:dyDescent="0.3">
      <c r="A6017">
        <v>6016</v>
      </c>
      <c r="B6017">
        <v>0</v>
      </c>
      <c r="C6017">
        <v>-5.3599300000000003</v>
      </c>
      <c r="D6017">
        <v>12.061</v>
      </c>
      <c r="E6017">
        <f>-5.35993-12.061</f>
        <v>-17.420929999999998</v>
      </c>
      <c r="F6017" t="s">
        <v>9453</v>
      </c>
      <c r="G6017" t="s">
        <v>37</v>
      </c>
      <c r="H6017">
        <v>1990</v>
      </c>
      <c r="I6017">
        <v>27.2</v>
      </c>
      <c r="J6017">
        <v>13.8</v>
      </c>
      <c r="K6017">
        <v>58</v>
      </c>
      <c r="L6017">
        <v>23.14</v>
      </c>
      <c r="M6017">
        <v>37.6</v>
      </c>
      <c r="N6017">
        <v>14</v>
      </c>
      <c r="O6017">
        <v>23.6</v>
      </c>
      <c r="P6017">
        <v>26.4</v>
      </c>
      <c r="Q6017">
        <v>24.4</v>
      </c>
      <c r="R6017">
        <v>30.3</v>
      </c>
      <c r="S6017">
        <v>24.4</v>
      </c>
      <c r="T6017">
        <v>938</v>
      </c>
      <c r="U6017">
        <v>248</v>
      </c>
      <c r="V6017">
        <v>1</v>
      </c>
      <c r="W6017">
        <v>108</v>
      </c>
      <c r="X6017">
        <v>625</v>
      </c>
      <c r="Y6017">
        <v>4</v>
      </c>
      <c r="Z6017">
        <v>118</v>
      </c>
      <c r="AA6017">
        <v>10</v>
      </c>
      <c r="AB6017">
        <v>5.0396099999999997</v>
      </c>
      <c r="AC6017">
        <v>1.342609E-2</v>
      </c>
      <c r="AD6017">
        <v>1.5958950000000001</v>
      </c>
      <c r="AE6017">
        <v>0.69249660000000002</v>
      </c>
      <c r="AF6017">
        <v>315.74489999999997</v>
      </c>
      <c r="AG6017">
        <f>IFERROR(AH6017*0.1, "N/A")</f>
        <v>5.4943880000000007</v>
      </c>
      <c r="AH6017">
        <v>54.94388</v>
      </c>
      <c r="AI6017">
        <v>70.115729999999999</v>
      </c>
      <c r="AJ6017">
        <v>12.88435</v>
      </c>
      <c r="AK6017">
        <v>54.003399999999999</v>
      </c>
    </row>
    <row r="6018" spans="1:37" x14ac:dyDescent="0.3">
      <c r="A6018">
        <v>6017</v>
      </c>
      <c r="B6018">
        <v>1.7</v>
      </c>
      <c r="C6018">
        <v>-8.6715699999999991</v>
      </c>
      <c r="D6018">
        <v>12.071</v>
      </c>
      <c r="E6018">
        <f>-8.67157-12.071</f>
        <v>-20.742570000000001</v>
      </c>
      <c r="F6018" t="s">
        <v>9454</v>
      </c>
      <c r="G6018" t="s">
        <v>39</v>
      </c>
      <c r="H6018">
        <v>1990</v>
      </c>
      <c r="I6018">
        <v>27.3</v>
      </c>
      <c r="J6018">
        <v>15.4</v>
      </c>
      <c r="K6018">
        <v>63</v>
      </c>
      <c r="L6018">
        <v>21.78</v>
      </c>
      <c r="M6018">
        <v>39</v>
      </c>
      <c r="N6018">
        <v>14.6</v>
      </c>
      <c r="O6018">
        <v>24.4</v>
      </c>
      <c r="P6018">
        <v>26</v>
      </c>
      <c r="Q6018">
        <v>25.4</v>
      </c>
      <c r="R6018">
        <v>30.5</v>
      </c>
      <c r="S6018">
        <v>25</v>
      </c>
      <c r="T6018">
        <v>1118</v>
      </c>
      <c r="U6018">
        <v>294</v>
      </c>
      <c r="V6018">
        <v>0</v>
      </c>
      <c r="W6018">
        <v>112</v>
      </c>
      <c r="X6018">
        <v>770</v>
      </c>
      <c r="Y6018">
        <v>0</v>
      </c>
      <c r="Z6018">
        <v>93</v>
      </c>
      <c r="AA6018">
        <v>9</v>
      </c>
      <c r="AB6018">
        <v>5.8093589999999997</v>
      </c>
      <c r="AC6018">
        <v>2.3221439999999999E-2</v>
      </c>
      <c r="AD6018">
        <v>1.442577</v>
      </c>
      <c r="AE6018">
        <v>0.42722729999999998</v>
      </c>
      <c r="AF6018">
        <v>349.67290000000003</v>
      </c>
      <c r="AG6018">
        <f>IFERROR(AH6018*0.1, "N/A")</f>
        <v>5.7</v>
      </c>
      <c r="AH6018">
        <v>57</v>
      </c>
      <c r="AI6018">
        <v>288.3329</v>
      </c>
      <c r="AJ6018">
        <v>21</v>
      </c>
      <c r="AK6018">
        <v>41</v>
      </c>
    </row>
    <row r="6019" spans="1:37" x14ac:dyDescent="0.3">
      <c r="A6019">
        <v>6018</v>
      </c>
      <c r="B6019">
        <v>3.9</v>
      </c>
      <c r="C6019">
        <v>-8.6715699999999991</v>
      </c>
      <c r="D6019">
        <v>12.071</v>
      </c>
      <c r="E6019">
        <f>-8.67157-12.071</f>
        <v>-20.742570000000001</v>
      </c>
      <c r="F6019" t="s">
        <v>9455</v>
      </c>
      <c r="G6019" t="s">
        <v>37</v>
      </c>
      <c r="H6019">
        <v>1990</v>
      </c>
      <c r="I6019">
        <v>27.3</v>
      </c>
      <c r="J6019">
        <v>15.4</v>
      </c>
      <c r="K6019">
        <v>63</v>
      </c>
      <c r="L6019">
        <v>21.78</v>
      </c>
      <c r="M6019">
        <v>39</v>
      </c>
      <c r="N6019">
        <v>14.6</v>
      </c>
      <c r="O6019">
        <v>24.4</v>
      </c>
      <c r="P6019">
        <v>26</v>
      </c>
      <c r="Q6019">
        <v>25.4</v>
      </c>
      <c r="R6019">
        <v>30.5</v>
      </c>
      <c r="S6019">
        <v>25</v>
      </c>
      <c r="T6019">
        <v>1118</v>
      </c>
      <c r="U6019">
        <v>294</v>
      </c>
      <c r="V6019">
        <v>0</v>
      </c>
      <c r="W6019">
        <v>112</v>
      </c>
      <c r="X6019">
        <v>770</v>
      </c>
      <c r="Y6019">
        <v>0</v>
      </c>
      <c r="Z6019">
        <v>93</v>
      </c>
      <c r="AA6019">
        <v>9</v>
      </c>
      <c r="AB6019">
        <v>5.8093589999999997</v>
      </c>
      <c r="AC6019">
        <v>2.3221439999999999E-2</v>
      </c>
      <c r="AD6019">
        <v>1.442577</v>
      </c>
      <c r="AE6019">
        <v>0.42722729999999998</v>
      </c>
      <c r="AF6019">
        <v>349.67290000000003</v>
      </c>
      <c r="AG6019">
        <f>IFERROR(AH6019*0.1, "N/A")</f>
        <v>5.7</v>
      </c>
      <c r="AH6019">
        <v>57</v>
      </c>
      <c r="AI6019">
        <v>288.3329</v>
      </c>
      <c r="AJ6019">
        <v>21</v>
      </c>
      <c r="AK6019">
        <v>41</v>
      </c>
    </row>
    <row r="6020" spans="1:37" x14ac:dyDescent="0.3">
      <c r="A6020">
        <v>6019</v>
      </c>
      <c r="B6020">
        <v>4.5</v>
      </c>
      <c r="C6020">
        <v>-8.2905200000000008</v>
      </c>
      <c r="D6020">
        <v>12.0853</v>
      </c>
      <c r="E6020">
        <f>-8.29052-12.0853</f>
        <v>-20.375820000000001</v>
      </c>
      <c r="F6020" t="s">
        <v>9456</v>
      </c>
      <c r="G6020" t="s">
        <v>39</v>
      </c>
      <c r="H6020">
        <v>1990</v>
      </c>
      <c r="I6020">
        <v>27.4</v>
      </c>
      <c r="J6020">
        <v>14.7</v>
      </c>
      <c r="K6020">
        <v>62</v>
      </c>
      <c r="L6020">
        <v>21.93</v>
      </c>
      <c r="M6020">
        <v>38.6</v>
      </c>
      <c r="N6020">
        <v>15</v>
      </c>
      <c r="O6020">
        <v>23.6</v>
      </c>
      <c r="P6020">
        <v>26</v>
      </c>
      <c r="Q6020">
        <v>25.4</v>
      </c>
      <c r="R6020">
        <v>30.6</v>
      </c>
      <c r="S6020">
        <v>25</v>
      </c>
      <c r="T6020">
        <v>1024</v>
      </c>
      <c r="U6020">
        <v>276</v>
      </c>
      <c r="V6020">
        <v>0</v>
      </c>
      <c r="W6020">
        <v>111</v>
      </c>
      <c r="X6020">
        <v>697</v>
      </c>
      <c r="Y6020">
        <v>0</v>
      </c>
      <c r="Z6020">
        <v>98</v>
      </c>
      <c r="AA6020">
        <v>12</v>
      </c>
      <c r="AB6020">
        <v>12.53196</v>
      </c>
      <c r="AC6020">
        <v>2.6744270000000001E-2</v>
      </c>
      <c r="AD6020">
        <v>2.372579</v>
      </c>
      <c r="AE6020">
        <v>0.54316229999999999</v>
      </c>
      <c r="AF6020">
        <v>341.34019999999998</v>
      </c>
      <c r="AG6020">
        <f>IFERROR(AH6020*0.1, "N/A")</f>
        <v>5.8270090000000003</v>
      </c>
      <c r="AH6020">
        <v>58.270090000000003</v>
      </c>
      <c r="AI6020">
        <v>229.99180000000001</v>
      </c>
      <c r="AJ6020">
        <v>20.81026</v>
      </c>
      <c r="AK6020">
        <v>47.91966</v>
      </c>
    </row>
    <row r="6021" spans="1:37" x14ac:dyDescent="0.3">
      <c r="A6021">
        <v>6020</v>
      </c>
      <c r="B6021">
        <v>0.8</v>
      </c>
      <c r="C6021">
        <v>-8.2905200000000008</v>
      </c>
      <c r="D6021">
        <v>12.0853</v>
      </c>
      <c r="E6021">
        <f>-8.29052-12.0853</f>
        <v>-20.375820000000001</v>
      </c>
      <c r="F6021" t="s">
        <v>9457</v>
      </c>
      <c r="G6021" t="s">
        <v>37</v>
      </c>
      <c r="H6021">
        <v>1990</v>
      </c>
      <c r="I6021">
        <v>27.4</v>
      </c>
      <c r="J6021">
        <v>14.7</v>
      </c>
      <c r="K6021">
        <v>62</v>
      </c>
      <c r="L6021">
        <v>21.93</v>
      </c>
      <c r="M6021">
        <v>38.6</v>
      </c>
      <c r="N6021">
        <v>15</v>
      </c>
      <c r="O6021">
        <v>23.6</v>
      </c>
      <c r="P6021">
        <v>26</v>
      </c>
      <c r="Q6021">
        <v>25.4</v>
      </c>
      <c r="R6021">
        <v>30.6</v>
      </c>
      <c r="S6021">
        <v>25</v>
      </c>
      <c r="T6021">
        <v>1024</v>
      </c>
      <c r="U6021">
        <v>276</v>
      </c>
      <c r="V6021">
        <v>0</v>
      </c>
      <c r="W6021">
        <v>111</v>
      </c>
      <c r="X6021">
        <v>697</v>
      </c>
      <c r="Y6021">
        <v>0</v>
      </c>
      <c r="Z6021">
        <v>98</v>
      </c>
      <c r="AA6021">
        <v>12</v>
      </c>
      <c r="AB6021">
        <v>12.53196</v>
      </c>
      <c r="AC6021">
        <v>2.6744270000000001E-2</v>
      </c>
      <c r="AD6021">
        <v>2.372579</v>
      </c>
      <c r="AE6021">
        <v>0.54316229999999999</v>
      </c>
      <c r="AF6021">
        <v>341.34019999999998</v>
      </c>
      <c r="AG6021">
        <f>IFERROR(AH6021*0.1, "N/A")</f>
        <v>5.8270090000000003</v>
      </c>
      <c r="AH6021">
        <v>58.270090000000003</v>
      </c>
      <c r="AI6021">
        <v>229.99180000000001</v>
      </c>
      <c r="AJ6021">
        <v>20.81026</v>
      </c>
      <c r="AK6021">
        <v>47.91966</v>
      </c>
    </row>
    <row r="6022" spans="1:37" x14ac:dyDescent="0.3">
      <c r="A6022">
        <v>6021</v>
      </c>
      <c r="B6022">
        <v>9</v>
      </c>
      <c r="C6022">
        <v>-8.3279499999999995</v>
      </c>
      <c r="D6022">
        <v>12.109299999999999</v>
      </c>
      <c r="E6022">
        <f>-8.32795-12.1093</f>
        <v>-20.437249999999999</v>
      </c>
      <c r="F6022" t="s">
        <v>9458</v>
      </c>
      <c r="G6022" t="s">
        <v>39</v>
      </c>
      <c r="H6022">
        <v>1990</v>
      </c>
      <c r="I6022">
        <v>27.5</v>
      </c>
      <c r="J6022">
        <v>14.8</v>
      </c>
      <c r="K6022">
        <v>62</v>
      </c>
      <c r="L6022">
        <v>21.94</v>
      </c>
      <c r="M6022">
        <v>38.799999999999997</v>
      </c>
      <c r="N6022">
        <v>15.1</v>
      </c>
      <c r="O6022">
        <v>23.7</v>
      </c>
      <c r="P6022">
        <v>26.2</v>
      </c>
      <c r="Q6022">
        <v>25.6</v>
      </c>
      <c r="R6022">
        <v>30.7</v>
      </c>
      <c r="S6022">
        <v>25.2</v>
      </c>
      <c r="T6022">
        <v>1030</v>
      </c>
      <c r="U6022">
        <v>280</v>
      </c>
      <c r="V6022">
        <v>0</v>
      </c>
      <c r="W6022">
        <v>112</v>
      </c>
      <c r="X6022">
        <v>706</v>
      </c>
      <c r="Y6022">
        <v>0</v>
      </c>
      <c r="Z6022">
        <v>95</v>
      </c>
      <c r="AA6022">
        <v>11</v>
      </c>
      <c r="AB6022">
        <v>0.96023250000000004</v>
      </c>
      <c r="AC6022">
        <v>4.4035260000000003</v>
      </c>
      <c r="AD6022">
        <v>1.3432740000000001</v>
      </c>
      <c r="AE6022">
        <v>0.66376139999999995</v>
      </c>
      <c r="AF6022">
        <v>329.0256</v>
      </c>
      <c r="AG6022">
        <f>IFERROR(AH6022*0.1, "N/A")</f>
        <v>6.0424910000000001</v>
      </c>
      <c r="AH6022">
        <v>60.424909999999997</v>
      </c>
      <c r="AI6022">
        <v>74.586590000000001</v>
      </c>
      <c r="AJ6022">
        <v>27.547779999999999</v>
      </c>
      <c r="AK6022">
        <v>39.047780000000003</v>
      </c>
    </row>
    <row r="6023" spans="1:37" x14ac:dyDescent="0.3">
      <c r="A6023">
        <v>6022</v>
      </c>
      <c r="B6023">
        <v>0</v>
      </c>
      <c r="C6023">
        <v>-8.3279499999999995</v>
      </c>
      <c r="D6023">
        <v>12.109299999999999</v>
      </c>
      <c r="E6023">
        <f>-8.32795-12.1093</f>
        <v>-20.437249999999999</v>
      </c>
      <c r="F6023" t="s">
        <v>9459</v>
      </c>
      <c r="G6023" t="s">
        <v>37</v>
      </c>
      <c r="H6023">
        <v>1990</v>
      </c>
      <c r="I6023">
        <v>27.5</v>
      </c>
      <c r="J6023">
        <v>14.8</v>
      </c>
      <c r="K6023">
        <v>62</v>
      </c>
      <c r="L6023">
        <v>21.94</v>
      </c>
      <c r="M6023">
        <v>38.799999999999997</v>
      </c>
      <c r="N6023">
        <v>15.1</v>
      </c>
      <c r="O6023">
        <v>23.7</v>
      </c>
      <c r="P6023">
        <v>26.2</v>
      </c>
      <c r="Q6023">
        <v>25.6</v>
      </c>
      <c r="R6023">
        <v>30.7</v>
      </c>
      <c r="S6023">
        <v>25.2</v>
      </c>
      <c r="T6023">
        <v>1030</v>
      </c>
      <c r="U6023">
        <v>280</v>
      </c>
      <c r="V6023">
        <v>0</v>
      </c>
      <c r="W6023">
        <v>112</v>
      </c>
      <c r="X6023">
        <v>706</v>
      </c>
      <c r="Y6023">
        <v>0</v>
      </c>
      <c r="Z6023">
        <v>95</v>
      </c>
      <c r="AA6023">
        <v>11</v>
      </c>
      <c r="AB6023">
        <v>0.96023250000000004</v>
      </c>
      <c r="AC6023">
        <v>4.4035260000000003</v>
      </c>
      <c r="AD6023">
        <v>1.3432740000000001</v>
      </c>
      <c r="AE6023">
        <v>0.66376139999999995</v>
      </c>
      <c r="AF6023">
        <v>329.0256</v>
      </c>
      <c r="AG6023">
        <f>IFERROR(AH6023*0.1, "N/A")</f>
        <v>6.0424910000000001</v>
      </c>
      <c r="AH6023">
        <v>60.424909999999997</v>
      </c>
      <c r="AI6023">
        <v>74.586590000000001</v>
      </c>
      <c r="AJ6023">
        <v>27.547779999999999</v>
      </c>
      <c r="AK6023">
        <v>39.047780000000003</v>
      </c>
    </row>
    <row r="6024" spans="1:37" x14ac:dyDescent="0.3">
      <c r="A6024">
        <v>6023</v>
      </c>
      <c r="B6024">
        <v>50.2</v>
      </c>
      <c r="C6024">
        <v>-8.8808699999999998</v>
      </c>
      <c r="D6024">
        <v>12.148899999999999</v>
      </c>
      <c r="E6024">
        <f>-8.88087-12.1489</f>
        <v>-21.029769999999999</v>
      </c>
      <c r="F6024" t="s">
        <v>9460</v>
      </c>
      <c r="G6024" t="s">
        <v>39</v>
      </c>
      <c r="H6024">
        <v>1990</v>
      </c>
      <c r="I6024">
        <v>27.400849999999998</v>
      </c>
      <c r="J6024">
        <v>15.5</v>
      </c>
      <c r="K6024">
        <v>63</v>
      </c>
      <c r="L6024">
        <v>21.810590000000001</v>
      </c>
      <c r="M6024">
        <v>39.4</v>
      </c>
      <c r="N6024">
        <v>14.800850000000001</v>
      </c>
      <c r="O6024">
        <v>24.599150000000002</v>
      </c>
      <c r="P6024">
        <v>26</v>
      </c>
      <c r="Q6024">
        <v>25.50085</v>
      </c>
      <c r="R6024">
        <v>30.600850000000001</v>
      </c>
      <c r="S6024">
        <v>25.100850000000001</v>
      </c>
      <c r="T6024">
        <v>1126.9829999999999</v>
      </c>
      <c r="U6024">
        <v>299.99149999999997</v>
      </c>
      <c r="V6024">
        <v>0</v>
      </c>
      <c r="W6024">
        <v>114</v>
      </c>
      <c r="X6024">
        <v>782.99149999999997</v>
      </c>
      <c r="Y6024">
        <v>0</v>
      </c>
      <c r="Z6024">
        <v>90</v>
      </c>
      <c r="AA6024">
        <v>7</v>
      </c>
      <c r="AB6024">
        <v>8.2539619999999996</v>
      </c>
      <c r="AC6024">
        <v>1.1981439999999999E-2</v>
      </c>
      <c r="AD6024">
        <v>1.937165</v>
      </c>
      <c r="AE6024">
        <v>0.23422899999999999</v>
      </c>
      <c r="AF6024">
        <v>321.69880000000001</v>
      </c>
      <c r="AG6024">
        <f>IFERROR(AH6024*0.1, "N/A")</f>
        <v>5.6573600000000006</v>
      </c>
      <c r="AH6024">
        <v>56.573599999999999</v>
      </c>
      <c r="AI6024">
        <v>187.90280000000001</v>
      </c>
      <c r="AJ6024">
        <v>20.426400000000001</v>
      </c>
      <c r="AK6024">
        <v>45.159050000000001</v>
      </c>
    </row>
    <row r="6025" spans="1:37" x14ac:dyDescent="0.3">
      <c r="A6025">
        <v>6024</v>
      </c>
      <c r="B6025">
        <v>27.7</v>
      </c>
      <c r="C6025">
        <v>-8.8808699999999998</v>
      </c>
      <c r="D6025">
        <v>12.148899999999999</v>
      </c>
      <c r="E6025">
        <f>-8.88087-12.1489</f>
        <v>-21.029769999999999</v>
      </c>
      <c r="F6025" t="s">
        <v>9461</v>
      </c>
      <c r="G6025" t="s">
        <v>37</v>
      </c>
      <c r="H6025">
        <v>1990</v>
      </c>
      <c r="I6025">
        <v>27.400849999999998</v>
      </c>
      <c r="J6025">
        <v>15.5</v>
      </c>
      <c r="K6025">
        <v>63</v>
      </c>
      <c r="L6025">
        <v>21.810590000000001</v>
      </c>
      <c r="M6025">
        <v>39.4</v>
      </c>
      <c r="N6025">
        <v>14.800850000000001</v>
      </c>
      <c r="O6025">
        <v>24.599150000000002</v>
      </c>
      <c r="P6025">
        <v>26</v>
      </c>
      <c r="Q6025">
        <v>25.50085</v>
      </c>
      <c r="R6025">
        <v>30.600850000000001</v>
      </c>
      <c r="S6025">
        <v>25.100850000000001</v>
      </c>
      <c r="T6025">
        <v>1126.9829999999999</v>
      </c>
      <c r="U6025">
        <v>299.99149999999997</v>
      </c>
      <c r="V6025">
        <v>0</v>
      </c>
      <c r="W6025">
        <v>114</v>
      </c>
      <c r="X6025">
        <v>782.99149999999997</v>
      </c>
      <c r="Y6025">
        <v>0</v>
      </c>
      <c r="Z6025">
        <v>90</v>
      </c>
      <c r="AA6025">
        <v>7</v>
      </c>
      <c r="AB6025">
        <v>8.2539619999999996</v>
      </c>
      <c r="AC6025">
        <v>1.1981439999999999E-2</v>
      </c>
      <c r="AD6025">
        <v>1.937165</v>
      </c>
      <c r="AE6025">
        <v>0.23422899999999999</v>
      </c>
      <c r="AF6025">
        <v>321.69880000000001</v>
      </c>
      <c r="AG6025">
        <f>IFERROR(AH6025*0.1, "N/A")</f>
        <v>5.6573600000000006</v>
      </c>
      <c r="AH6025">
        <v>56.573599999999999</v>
      </c>
      <c r="AI6025">
        <v>187.90280000000001</v>
      </c>
      <c r="AJ6025">
        <v>20.426400000000001</v>
      </c>
      <c r="AK6025">
        <v>45.159050000000001</v>
      </c>
    </row>
    <row r="6026" spans="1:37" x14ac:dyDescent="0.3">
      <c r="A6026">
        <v>6025</v>
      </c>
      <c r="B6026">
        <v>1.3</v>
      </c>
      <c r="C6026">
        <v>-8.3032699999999995</v>
      </c>
      <c r="D6026">
        <v>12.1526</v>
      </c>
      <c r="E6026">
        <f>-8.30327-12.1526</f>
        <v>-20.455869999999997</v>
      </c>
      <c r="F6026" t="s">
        <v>9462</v>
      </c>
      <c r="G6026" t="s">
        <v>39</v>
      </c>
      <c r="H6026">
        <v>1990</v>
      </c>
      <c r="I6026">
        <v>27.6</v>
      </c>
      <c r="J6026">
        <v>14.7</v>
      </c>
      <c r="K6026">
        <v>62</v>
      </c>
      <c r="L6026">
        <v>22.15</v>
      </c>
      <c r="M6026">
        <v>38.799999999999997</v>
      </c>
      <c r="N6026">
        <v>15.1</v>
      </c>
      <c r="O6026">
        <v>23.7</v>
      </c>
      <c r="P6026">
        <v>26.3</v>
      </c>
      <c r="Q6026">
        <v>25.5</v>
      </c>
      <c r="R6026">
        <v>30.8</v>
      </c>
      <c r="S6026">
        <v>25.2</v>
      </c>
      <c r="T6026">
        <v>1015</v>
      </c>
      <c r="U6026">
        <v>277</v>
      </c>
      <c r="V6026">
        <v>0</v>
      </c>
      <c r="W6026">
        <v>112</v>
      </c>
      <c r="X6026">
        <v>698</v>
      </c>
      <c r="Y6026">
        <v>0</v>
      </c>
      <c r="Z6026">
        <v>93</v>
      </c>
      <c r="AA6026">
        <v>11</v>
      </c>
      <c r="AB6026">
        <v>2.4093420000000001</v>
      </c>
      <c r="AC6026">
        <v>2.666951E-2</v>
      </c>
      <c r="AD6026">
        <v>0.92713849999999998</v>
      </c>
      <c r="AE6026">
        <v>0.56534110000000004</v>
      </c>
      <c r="AF6026">
        <v>330.97280000000001</v>
      </c>
      <c r="AG6026">
        <f>IFERROR(AH6026*0.1, "N/A")</f>
        <v>5.6923600000000008</v>
      </c>
      <c r="AH6026">
        <v>56.9236</v>
      </c>
      <c r="AI6026">
        <v>228.8569</v>
      </c>
      <c r="AJ6026">
        <v>26.954160000000002</v>
      </c>
      <c r="AK6026">
        <v>39.030560000000001</v>
      </c>
    </row>
    <row r="6027" spans="1:37" x14ac:dyDescent="0.3">
      <c r="A6027">
        <v>6026</v>
      </c>
      <c r="B6027">
        <v>1</v>
      </c>
      <c r="C6027">
        <v>-8.3032699999999995</v>
      </c>
      <c r="D6027">
        <v>12.1526</v>
      </c>
      <c r="E6027">
        <f>-8.30327-12.1526</f>
        <v>-20.455869999999997</v>
      </c>
      <c r="F6027" t="s">
        <v>9463</v>
      </c>
      <c r="G6027" t="s">
        <v>37</v>
      </c>
      <c r="H6027">
        <v>1990</v>
      </c>
      <c r="I6027">
        <v>27.6</v>
      </c>
      <c r="J6027">
        <v>14.7</v>
      </c>
      <c r="K6027">
        <v>62</v>
      </c>
      <c r="L6027">
        <v>22.15</v>
      </c>
      <c r="M6027">
        <v>38.799999999999997</v>
      </c>
      <c r="N6027">
        <v>15.1</v>
      </c>
      <c r="O6027">
        <v>23.7</v>
      </c>
      <c r="P6027">
        <v>26.3</v>
      </c>
      <c r="Q6027">
        <v>25.5</v>
      </c>
      <c r="R6027">
        <v>30.8</v>
      </c>
      <c r="S6027">
        <v>25.2</v>
      </c>
      <c r="T6027">
        <v>1015</v>
      </c>
      <c r="U6027">
        <v>277</v>
      </c>
      <c r="V6027">
        <v>0</v>
      </c>
      <c r="W6027">
        <v>112</v>
      </c>
      <c r="X6027">
        <v>698</v>
      </c>
      <c r="Y6027">
        <v>0</v>
      </c>
      <c r="Z6027">
        <v>93</v>
      </c>
      <c r="AA6027">
        <v>11</v>
      </c>
      <c r="AB6027">
        <v>2.4093420000000001</v>
      </c>
      <c r="AC6027">
        <v>2.666951E-2</v>
      </c>
      <c r="AD6027">
        <v>0.92713849999999998</v>
      </c>
      <c r="AE6027">
        <v>0.56534110000000004</v>
      </c>
      <c r="AF6027">
        <v>330.97280000000001</v>
      </c>
      <c r="AG6027">
        <f>IFERROR(AH6027*0.1, "N/A")</f>
        <v>5.6923600000000008</v>
      </c>
      <c r="AH6027">
        <v>56.9236</v>
      </c>
      <c r="AI6027">
        <v>228.8569</v>
      </c>
      <c r="AJ6027">
        <v>26.954160000000002</v>
      </c>
      <c r="AK6027">
        <v>39.030560000000001</v>
      </c>
    </row>
    <row r="6028" spans="1:37" x14ac:dyDescent="0.3">
      <c r="A6028">
        <v>6027</v>
      </c>
      <c r="B6028">
        <v>8</v>
      </c>
      <c r="C6028">
        <v>-7.8333300000000001</v>
      </c>
      <c r="D6028">
        <v>12.166700000000001</v>
      </c>
      <c r="E6028">
        <f>-7.83333-12.1667</f>
        <v>-20.000030000000002</v>
      </c>
      <c r="F6028" t="s">
        <v>9464</v>
      </c>
      <c r="G6028" t="s">
        <v>39</v>
      </c>
      <c r="H6028">
        <v>1987</v>
      </c>
      <c r="I6028">
        <v>27.4</v>
      </c>
      <c r="J6028">
        <v>14</v>
      </c>
      <c r="K6028">
        <v>61</v>
      </c>
      <c r="L6028">
        <v>22.136800000000001</v>
      </c>
      <c r="M6028">
        <v>38.299999999999997</v>
      </c>
      <c r="N6028">
        <v>15.444900000000001</v>
      </c>
      <c r="O6028">
        <v>22.8551</v>
      </c>
      <c r="P6028">
        <v>26.1</v>
      </c>
      <c r="Q6028">
        <v>25.322790000000001</v>
      </c>
      <c r="R6028">
        <v>30.6</v>
      </c>
      <c r="S6028">
        <v>25</v>
      </c>
      <c r="T6028">
        <v>997.36389999999994</v>
      </c>
      <c r="U6028">
        <v>276</v>
      </c>
      <c r="V6028">
        <v>0</v>
      </c>
      <c r="W6028">
        <v>110</v>
      </c>
      <c r="X6028">
        <v>672.55100000000004</v>
      </c>
      <c r="Y6028">
        <v>0</v>
      </c>
      <c r="Z6028">
        <v>109.2619</v>
      </c>
      <c r="AA6028">
        <v>7</v>
      </c>
      <c r="AB6028">
        <v>1.882989</v>
      </c>
      <c r="AC6028">
        <v>2.084211E-2</v>
      </c>
      <c r="AD6028">
        <v>1.685254</v>
      </c>
      <c r="AE6028">
        <v>0.55734539999999999</v>
      </c>
      <c r="AF6028">
        <v>369.3503</v>
      </c>
      <c r="AG6028">
        <f>IFERROR(AH6028*0.1, "N/A")</f>
        <v>5.6020409999999998</v>
      </c>
      <c r="AH6028">
        <v>56.020409999999998</v>
      </c>
      <c r="AI6028">
        <v>102.1491</v>
      </c>
      <c r="AJ6028">
        <v>14</v>
      </c>
      <c r="AK6028">
        <v>48.020409999999998</v>
      </c>
    </row>
    <row r="6029" spans="1:37" x14ac:dyDescent="0.3">
      <c r="A6029">
        <v>6028</v>
      </c>
      <c r="B6029">
        <v>1.5</v>
      </c>
      <c r="C6029">
        <v>-5.1888300000000003</v>
      </c>
      <c r="D6029">
        <v>12.171799999999999</v>
      </c>
      <c r="E6029">
        <f>-5.18883-12.1718</f>
        <v>-17.36063</v>
      </c>
      <c r="F6029" t="s">
        <v>9465</v>
      </c>
      <c r="G6029" t="s">
        <v>39</v>
      </c>
      <c r="H6029">
        <v>1990</v>
      </c>
      <c r="I6029">
        <v>26.9</v>
      </c>
      <c r="J6029">
        <v>13.8</v>
      </c>
      <c r="K6029">
        <v>58</v>
      </c>
      <c r="L6029">
        <v>23.45</v>
      </c>
      <c r="M6029">
        <v>37.4</v>
      </c>
      <c r="N6029">
        <v>13.7</v>
      </c>
      <c r="O6029">
        <v>23.7</v>
      </c>
      <c r="P6029">
        <v>26.3</v>
      </c>
      <c r="Q6029">
        <v>24</v>
      </c>
      <c r="R6029">
        <v>30</v>
      </c>
      <c r="S6029">
        <v>24</v>
      </c>
      <c r="T6029">
        <v>921</v>
      </c>
      <c r="U6029">
        <v>240</v>
      </c>
      <c r="V6029">
        <v>1</v>
      </c>
      <c r="W6029">
        <v>109</v>
      </c>
      <c r="X6029">
        <v>617</v>
      </c>
      <c r="Y6029">
        <v>3</v>
      </c>
      <c r="Z6029">
        <v>117</v>
      </c>
      <c r="AA6029">
        <v>3</v>
      </c>
      <c r="AB6029">
        <v>7.4719049999999996</v>
      </c>
      <c r="AC6029">
        <v>1.9225220000000001E-2</v>
      </c>
      <c r="AD6029">
        <v>1.1812780000000001</v>
      </c>
      <c r="AE6029">
        <v>0.71631049999999996</v>
      </c>
      <c r="AF6029">
        <v>348.40199999999999</v>
      </c>
      <c r="AG6029">
        <f>IFERROR(AH6029*0.1, "N/A")</f>
        <v>5.4034070000000005</v>
      </c>
      <c r="AH6029">
        <v>54.03407</v>
      </c>
      <c r="AI6029">
        <v>163.25729999999999</v>
      </c>
      <c r="AJ6029">
        <v>12.425890000000001</v>
      </c>
      <c r="AK6029">
        <v>58.017040000000001</v>
      </c>
    </row>
    <row r="6030" spans="1:37" x14ac:dyDescent="0.3">
      <c r="A6030">
        <v>6029</v>
      </c>
      <c r="B6030">
        <v>1.5</v>
      </c>
      <c r="C6030">
        <v>-5.1888300000000003</v>
      </c>
      <c r="D6030">
        <v>12.171799999999999</v>
      </c>
      <c r="E6030">
        <f>-5.18883-12.1718</f>
        <v>-17.36063</v>
      </c>
      <c r="F6030" t="s">
        <v>9466</v>
      </c>
      <c r="G6030" t="s">
        <v>37</v>
      </c>
      <c r="H6030">
        <v>1990</v>
      </c>
      <c r="I6030">
        <v>26.9</v>
      </c>
      <c r="J6030">
        <v>13.8</v>
      </c>
      <c r="K6030">
        <v>58</v>
      </c>
      <c r="L6030">
        <v>23.45</v>
      </c>
      <c r="M6030">
        <v>37.4</v>
      </c>
      <c r="N6030">
        <v>13.7</v>
      </c>
      <c r="O6030">
        <v>23.7</v>
      </c>
      <c r="P6030">
        <v>26.3</v>
      </c>
      <c r="Q6030">
        <v>24</v>
      </c>
      <c r="R6030">
        <v>30</v>
      </c>
      <c r="S6030">
        <v>24</v>
      </c>
      <c r="T6030">
        <v>921</v>
      </c>
      <c r="U6030">
        <v>240</v>
      </c>
      <c r="V6030">
        <v>1</v>
      </c>
      <c r="W6030">
        <v>109</v>
      </c>
      <c r="X6030">
        <v>617</v>
      </c>
      <c r="Y6030">
        <v>3</v>
      </c>
      <c r="Z6030">
        <v>117</v>
      </c>
      <c r="AA6030">
        <v>3</v>
      </c>
      <c r="AB6030">
        <v>7.4719049999999996</v>
      </c>
      <c r="AC6030">
        <v>1.9225220000000001E-2</v>
      </c>
      <c r="AD6030">
        <v>1.1812780000000001</v>
      </c>
      <c r="AE6030">
        <v>0.71631049999999996</v>
      </c>
      <c r="AF6030">
        <v>348.40199999999999</v>
      </c>
      <c r="AG6030">
        <f>IFERROR(AH6030*0.1, "N/A")</f>
        <v>5.4034070000000005</v>
      </c>
      <c r="AH6030">
        <v>54.03407</v>
      </c>
      <c r="AI6030">
        <v>163.25729999999999</v>
      </c>
      <c r="AJ6030">
        <v>12.425890000000001</v>
      </c>
      <c r="AK6030">
        <v>58.017040000000001</v>
      </c>
    </row>
    <row r="6031" spans="1:37" x14ac:dyDescent="0.3">
      <c r="A6031">
        <v>6030</v>
      </c>
      <c r="B6031">
        <v>42</v>
      </c>
      <c r="C6031">
        <v>-9.9640000000000004</v>
      </c>
      <c r="D6031">
        <v>12.212</v>
      </c>
      <c r="E6031">
        <f>-9.964-12.212</f>
        <v>-22.176000000000002</v>
      </c>
      <c r="F6031" t="s">
        <v>9467</v>
      </c>
      <c r="G6031" t="s">
        <v>39</v>
      </c>
      <c r="H6031">
        <v>1987</v>
      </c>
      <c r="I6031">
        <v>26.7</v>
      </c>
      <c r="J6031">
        <v>14.5</v>
      </c>
      <c r="K6031">
        <v>60</v>
      </c>
      <c r="L6031">
        <v>21.99</v>
      </c>
      <c r="M6031">
        <v>38.5</v>
      </c>
      <c r="N6031">
        <v>14.7</v>
      </c>
      <c r="O6031">
        <v>23.8</v>
      </c>
      <c r="P6031">
        <v>25.3</v>
      </c>
      <c r="Q6031">
        <v>26.7</v>
      </c>
      <c r="R6031">
        <v>30</v>
      </c>
      <c r="S6031">
        <v>24.4</v>
      </c>
      <c r="T6031">
        <v>1217</v>
      </c>
      <c r="U6031">
        <v>334</v>
      </c>
      <c r="V6031">
        <v>0</v>
      </c>
      <c r="W6031">
        <v>114</v>
      </c>
      <c r="X6031">
        <v>841</v>
      </c>
      <c r="Y6031">
        <v>2</v>
      </c>
      <c r="Z6031">
        <v>94</v>
      </c>
      <c r="AA6031">
        <v>10</v>
      </c>
      <c r="AB6031">
        <v>19.01989</v>
      </c>
      <c r="AC6031">
        <v>3.2992069999999998E-2</v>
      </c>
      <c r="AD6031">
        <v>2.5991279999999999</v>
      </c>
      <c r="AE6031">
        <v>0.18160599999999999</v>
      </c>
      <c r="AF6031">
        <v>399.3759</v>
      </c>
      <c r="AG6031">
        <f>IFERROR(AH6031*0.1, "N/A")</f>
        <v>5.9</v>
      </c>
      <c r="AH6031">
        <v>59</v>
      </c>
      <c r="AI6031">
        <v>250.61170000000001</v>
      </c>
      <c r="AJ6031">
        <v>22.520409999999998</v>
      </c>
      <c r="AK6031">
        <v>45.239800000000002</v>
      </c>
    </row>
    <row r="6032" spans="1:37" x14ac:dyDescent="0.3">
      <c r="A6032">
        <v>6031</v>
      </c>
      <c r="B6032">
        <v>32</v>
      </c>
      <c r="C6032">
        <v>-9.9640000000000004</v>
      </c>
      <c r="D6032">
        <v>12.212</v>
      </c>
      <c r="E6032">
        <f>-9.964-12.212</f>
        <v>-22.176000000000002</v>
      </c>
      <c r="F6032" t="s">
        <v>9468</v>
      </c>
      <c r="G6032" t="s">
        <v>37</v>
      </c>
      <c r="H6032">
        <v>1987</v>
      </c>
      <c r="I6032">
        <v>26.7</v>
      </c>
      <c r="J6032">
        <v>14.5</v>
      </c>
      <c r="K6032">
        <v>60</v>
      </c>
      <c r="L6032">
        <v>21.99</v>
      </c>
      <c r="M6032">
        <v>38.5</v>
      </c>
      <c r="N6032">
        <v>14.7</v>
      </c>
      <c r="O6032">
        <v>23.8</v>
      </c>
      <c r="P6032">
        <v>25.3</v>
      </c>
      <c r="Q6032">
        <v>26.7</v>
      </c>
      <c r="R6032">
        <v>30</v>
      </c>
      <c r="S6032">
        <v>24.4</v>
      </c>
      <c r="T6032">
        <v>1217</v>
      </c>
      <c r="U6032">
        <v>334</v>
      </c>
      <c r="V6032">
        <v>0</v>
      </c>
      <c r="W6032">
        <v>114</v>
      </c>
      <c r="X6032">
        <v>841</v>
      </c>
      <c r="Y6032">
        <v>2</v>
      </c>
      <c r="Z6032">
        <v>94</v>
      </c>
      <c r="AA6032">
        <v>10</v>
      </c>
      <c r="AB6032">
        <v>19.01989</v>
      </c>
      <c r="AC6032">
        <v>3.2992069999999998E-2</v>
      </c>
      <c r="AD6032">
        <v>2.5991279999999999</v>
      </c>
      <c r="AE6032">
        <v>0.18160599999999999</v>
      </c>
      <c r="AF6032">
        <v>399.3759</v>
      </c>
      <c r="AG6032">
        <f>IFERROR(AH6032*0.1, "N/A")</f>
        <v>5.9</v>
      </c>
      <c r="AH6032">
        <v>59</v>
      </c>
      <c r="AI6032">
        <v>250.61170000000001</v>
      </c>
      <c r="AJ6032">
        <v>22.520409999999998</v>
      </c>
      <c r="AK6032">
        <v>45.239800000000002</v>
      </c>
    </row>
    <row r="6033" spans="1:37" x14ac:dyDescent="0.3">
      <c r="A6033">
        <v>6032</v>
      </c>
      <c r="B6033">
        <v>2.1</v>
      </c>
      <c r="C6033">
        <v>-6.9180000000000001</v>
      </c>
      <c r="D6033">
        <v>12.249000000000001</v>
      </c>
      <c r="E6033">
        <f>-6.918-12.249</f>
        <v>-19.167000000000002</v>
      </c>
      <c r="F6033" t="s">
        <v>9469</v>
      </c>
      <c r="G6033" t="s">
        <v>39</v>
      </c>
      <c r="H6033">
        <v>1987</v>
      </c>
      <c r="I6033">
        <v>27.3</v>
      </c>
      <c r="J6033">
        <v>13.8</v>
      </c>
      <c r="K6033">
        <v>59</v>
      </c>
      <c r="L6033">
        <v>22.48</v>
      </c>
      <c r="M6033">
        <v>38.1</v>
      </c>
      <c r="N6033">
        <v>14.8</v>
      </c>
      <c r="O6033">
        <v>23.3</v>
      </c>
      <c r="P6033">
        <v>26.3</v>
      </c>
      <c r="Q6033">
        <v>25</v>
      </c>
      <c r="R6033">
        <v>30.5</v>
      </c>
      <c r="S6033">
        <v>24.8</v>
      </c>
      <c r="T6033">
        <v>950</v>
      </c>
      <c r="U6033">
        <v>283</v>
      </c>
      <c r="V6033">
        <v>0</v>
      </c>
      <c r="W6033">
        <v>115</v>
      </c>
      <c r="X6033">
        <v>660</v>
      </c>
      <c r="Y6033">
        <v>1</v>
      </c>
      <c r="Z6033">
        <v>99</v>
      </c>
      <c r="AA6033">
        <v>5</v>
      </c>
      <c r="AB6033">
        <v>0.2315132</v>
      </c>
      <c r="AC6033">
        <v>13.14442</v>
      </c>
      <c r="AD6033">
        <v>1.1210389999999999</v>
      </c>
      <c r="AE6033">
        <v>0.67847659999999999</v>
      </c>
      <c r="AF6033">
        <v>336.45659999999998</v>
      </c>
      <c r="AG6033">
        <f>IFERROR(AH6033*0.1, "N/A")</f>
        <v>5.1809200000000004</v>
      </c>
      <c r="AH6033">
        <v>51.809199999999997</v>
      </c>
      <c r="AI6033">
        <v>82.481459999999998</v>
      </c>
      <c r="AJ6033">
        <v>14.37649</v>
      </c>
      <c r="AK6033">
        <v>48.829639999999998</v>
      </c>
    </row>
    <row r="6034" spans="1:37" x14ac:dyDescent="0.3">
      <c r="A6034">
        <v>6033</v>
      </c>
      <c r="B6034">
        <v>0</v>
      </c>
      <c r="C6034">
        <v>-6.9180000000000001</v>
      </c>
      <c r="D6034">
        <v>12.249000000000001</v>
      </c>
      <c r="E6034">
        <f>-6.918-12.249</f>
        <v>-19.167000000000002</v>
      </c>
      <c r="F6034" t="s">
        <v>9470</v>
      </c>
      <c r="G6034" t="s">
        <v>37</v>
      </c>
      <c r="H6034">
        <v>1987</v>
      </c>
      <c r="I6034">
        <v>27.3</v>
      </c>
      <c r="J6034">
        <v>13.8</v>
      </c>
      <c r="K6034">
        <v>59</v>
      </c>
      <c r="L6034">
        <v>22.48</v>
      </c>
      <c r="M6034">
        <v>38.1</v>
      </c>
      <c r="N6034">
        <v>14.8</v>
      </c>
      <c r="O6034">
        <v>23.3</v>
      </c>
      <c r="P6034">
        <v>26.3</v>
      </c>
      <c r="Q6034">
        <v>25</v>
      </c>
      <c r="R6034">
        <v>30.5</v>
      </c>
      <c r="S6034">
        <v>24.8</v>
      </c>
      <c r="T6034">
        <v>950</v>
      </c>
      <c r="U6034">
        <v>283</v>
      </c>
      <c r="V6034">
        <v>0</v>
      </c>
      <c r="W6034">
        <v>115</v>
      </c>
      <c r="X6034">
        <v>660</v>
      </c>
      <c r="Y6034">
        <v>1</v>
      </c>
      <c r="Z6034">
        <v>99</v>
      </c>
      <c r="AA6034">
        <v>5</v>
      </c>
      <c r="AB6034">
        <v>0.2315132</v>
      </c>
      <c r="AC6034">
        <v>13.14442</v>
      </c>
      <c r="AD6034">
        <v>1.1210389999999999</v>
      </c>
      <c r="AE6034">
        <v>0.67847659999999999</v>
      </c>
      <c r="AF6034">
        <v>336.45659999999998</v>
      </c>
      <c r="AG6034">
        <f>IFERROR(AH6034*0.1, "N/A")</f>
        <v>5.1809200000000004</v>
      </c>
      <c r="AH6034">
        <v>51.809199999999997</v>
      </c>
      <c r="AI6034">
        <v>82.481459999999998</v>
      </c>
      <c r="AJ6034">
        <v>14.37649</v>
      </c>
      <c r="AK6034">
        <v>48.829639999999998</v>
      </c>
    </row>
    <row r="6035" spans="1:37" x14ac:dyDescent="0.3">
      <c r="A6035">
        <v>6034</v>
      </c>
      <c r="B6035">
        <v>1.1000000000000001</v>
      </c>
      <c r="C6035">
        <v>-8.1836699999999993</v>
      </c>
      <c r="D6035">
        <v>12.259</v>
      </c>
      <c r="E6035">
        <f>-8.18367-12.259</f>
        <v>-20.44267</v>
      </c>
      <c r="F6035" t="s">
        <v>9471</v>
      </c>
      <c r="G6035" t="s">
        <v>39</v>
      </c>
      <c r="H6035">
        <v>1990</v>
      </c>
      <c r="I6035">
        <v>27.7</v>
      </c>
      <c r="J6035">
        <v>14.4</v>
      </c>
      <c r="K6035">
        <v>62</v>
      </c>
      <c r="L6035">
        <v>21.67812</v>
      </c>
      <c r="M6035">
        <v>38.753410000000002</v>
      </c>
      <c r="N6035">
        <v>15.694369999999999</v>
      </c>
      <c r="O6035">
        <v>23.05904</v>
      </c>
      <c r="P6035">
        <v>26.4</v>
      </c>
      <c r="Q6035">
        <v>25.7</v>
      </c>
      <c r="R6035">
        <v>30.85341</v>
      </c>
      <c r="S6035">
        <v>25.4</v>
      </c>
      <c r="T6035">
        <v>984.11260000000004</v>
      </c>
      <c r="U6035">
        <v>276</v>
      </c>
      <c r="V6035">
        <v>0</v>
      </c>
      <c r="W6035">
        <v>113.4659</v>
      </c>
      <c r="X6035">
        <v>681.98810000000003</v>
      </c>
      <c r="Y6035">
        <v>0</v>
      </c>
      <c r="Z6035">
        <v>92.068259999999995</v>
      </c>
      <c r="AA6035">
        <v>9</v>
      </c>
      <c r="AB6035">
        <v>9.887696</v>
      </c>
      <c r="AC6035">
        <v>1.1208839999999999E-2</v>
      </c>
      <c r="AD6035">
        <v>2.1138650000000001</v>
      </c>
      <c r="AE6035">
        <v>0.68927099999999997</v>
      </c>
      <c r="AF6035">
        <v>337.25940000000003</v>
      </c>
      <c r="AG6035">
        <f>IFERROR(AH6035*0.1, "N/A")</f>
        <v>5.3561430000000003</v>
      </c>
      <c r="AH6035">
        <v>53.561430000000001</v>
      </c>
      <c r="AI6035">
        <v>211.92359999999999</v>
      </c>
      <c r="AJ6035">
        <v>15</v>
      </c>
      <c r="AK6035">
        <v>52.627989999999997</v>
      </c>
    </row>
    <row r="6036" spans="1:37" x14ac:dyDescent="0.3">
      <c r="A6036">
        <v>6035</v>
      </c>
      <c r="B6036">
        <v>2</v>
      </c>
      <c r="C6036">
        <v>-8.1836699999999993</v>
      </c>
      <c r="D6036">
        <v>12.259</v>
      </c>
      <c r="E6036">
        <f>-8.18367-12.259</f>
        <v>-20.44267</v>
      </c>
      <c r="F6036" t="s">
        <v>9472</v>
      </c>
      <c r="G6036" t="s">
        <v>37</v>
      </c>
      <c r="H6036">
        <v>1990</v>
      </c>
      <c r="I6036">
        <v>27.7</v>
      </c>
      <c r="J6036">
        <v>14.4</v>
      </c>
      <c r="K6036">
        <v>62</v>
      </c>
      <c r="L6036">
        <v>21.67812</v>
      </c>
      <c r="M6036">
        <v>38.753410000000002</v>
      </c>
      <c r="N6036">
        <v>15.694369999999999</v>
      </c>
      <c r="O6036">
        <v>23.05904</v>
      </c>
      <c r="P6036">
        <v>26.4</v>
      </c>
      <c r="Q6036">
        <v>25.7</v>
      </c>
      <c r="R6036">
        <v>30.85341</v>
      </c>
      <c r="S6036">
        <v>25.4</v>
      </c>
      <c r="T6036">
        <v>984.11260000000004</v>
      </c>
      <c r="U6036">
        <v>276</v>
      </c>
      <c r="V6036">
        <v>0</v>
      </c>
      <c r="W6036">
        <v>113.4659</v>
      </c>
      <c r="X6036">
        <v>681.98810000000003</v>
      </c>
      <c r="Y6036">
        <v>0</v>
      </c>
      <c r="Z6036">
        <v>92.068259999999995</v>
      </c>
      <c r="AA6036">
        <v>9</v>
      </c>
      <c r="AB6036">
        <v>9.887696</v>
      </c>
      <c r="AC6036">
        <v>1.1208839999999999E-2</v>
      </c>
      <c r="AD6036">
        <v>2.1138650000000001</v>
      </c>
      <c r="AE6036">
        <v>0.68927099999999997</v>
      </c>
      <c r="AF6036">
        <v>337.25940000000003</v>
      </c>
      <c r="AG6036">
        <f>IFERROR(AH6036*0.1, "N/A")</f>
        <v>5.3561430000000003</v>
      </c>
      <c r="AH6036">
        <v>53.561430000000001</v>
      </c>
      <c r="AI6036">
        <v>211.92359999999999</v>
      </c>
      <c r="AJ6036">
        <v>15</v>
      </c>
      <c r="AK6036">
        <v>52.627989999999997</v>
      </c>
    </row>
    <row r="6037" spans="1:37" x14ac:dyDescent="0.3">
      <c r="A6037">
        <v>6036</v>
      </c>
      <c r="B6037">
        <v>21</v>
      </c>
      <c r="C6037">
        <v>-11.276999999999999</v>
      </c>
      <c r="D6037">
        <v>12.26</v>
      </c>
      <c r="E6037">
        <f>-11.277-12.26</f>
        <v>-23.536999999999999</v>
      </c>
      <c r="F6037" t="s">
        <v>9473</v>
      </c>
      <c r="G6037" t="s">
        <v>39</v>
      </c>
      <c r="H6037">
        <v>1987</v>
      </c>
      <c r="I6037">
        <v>26.3</v>
      </c>
      <c r="J6037">
        <v>12.8</v>
      </c>
      <c r="K6037">
        <v>57</v>
      </c>
      <c r="L6037">
        <v>21.99</v>
      </c>
      <c r="M6037">
        <v>37.200000000000003</v>
      </c>
      <c r="N6037">
        <v>15</v>
      </c>
      <c r="O6037">
        <v>22.2</v>
      </c>
      <c r="P6037">
        <v>24.9</v>
      </c>
      <c r="Q6037">
        <v>26.3</v>
      </c>
      <c r="R6037">
        <v>29.6</v>
      </c>
      <c r="S6037">
        <v>24.1</v>
      </c>
      <c r="T6037">
        <v>1268</v>
      </c>
      <c r="U6037">
        <v>359</v>
      </c>
      <c r="V6037">
        <v>0</v>
      </c>
      <c r="W6037">
        <v>118</v>
      </c>
      <c r="X6037">
        <v>901</v>
      </c>
      <c r="Y6037">
        <v>1</v>
      </c>
      <c r="Z6037">
        <v>71</v>
      </c>
      <c r="AA6037">
        <v>11</v>
      </c>
      <c r="AB6037">
        <v>13.37007</v>
      </c>
      <c r="AC6037">
        <v>0.1030383</v>
      </c>
      <c r="AD6037">
        <v>2.2710569999999999</v>
      </c>
      <c r="AE6037">
        <v>0.1771779</v>
      </c>
      <c r="AF6037">
        <v>459.7432</v>
      </c>
      <c r="AG6037">
        <f>IFERROR(AH6037*0.1, "N/A")</f>
        <v>6.2646259999999998</v>
      </c>
      <c r="AH6037">
        <v>62.646259999999998</v>
      </c>
      <c r="AI6037">
        <v>280.44049999999999</v>
      </c>
      <c r="AJ6037">
        <v>30.863949999999999</v>
      </c>
      <c r="AK6037">
        <v>43.176870000000001</v>
      </c>
    </row>
    <row r="6038" spans="1:37" x14ac:dyDescent="0.3">
      <c r="A6038">
        <v>6037</v>
      </c>
      <c r="B6038">
        <v>39</v>
      </c>
      <c r="C6038">
        <v>-11.276999999999999</v>
      </c>
      <c r="D6038">
        <v>12.26</v>
      </c>
      <c r="E6038">
        <f>-11.277-12.26</f>
        <v>-23.536999999999999</v>
      </c>
      <c r="F6038" t="s">
        <v>9474</v>
      </c>
      <c r="G6038" t="s">
        <v>37</v>
      </c>
      <c r="H6038">
        <v>1987</v>
      </c>
      <c r="I6038">
        <v>26.3</v>
      </c>
      <c r="J6038">
        <v>12.8</v>
      </c>
      <c r="K6038">
        <v>57</v>
      </c>
      <c r="L6038">
        <v>21.99</v>
      </c>
      <c r="M6038">
        <v>37.200000000000003</v>
      </c>
      <c r="N6038">
        <v>15</v>
      </c>
      <c r="O6038">
        <v>22.2</v>
      </c>
      <c r="P6038">
        <v>24.9</v>
      </c>
      <c r="Q6038">
        <v>26.3</v>
      </c>
      <c r="R6038">
        <v>29.6</v>
      </c>
      <c r="S6038">
        <v>24.1</v>
      </c>
      <c r="T6038">
        <v>1268</v>
      </c>
      <c r="U6038">
        <v>359</v>
      </c>
      <c r="V6038">
        <v>0</v>
      </c>
      <c r="W6038">
        <v>118</v>
      </c>
      <c r="X6038">
        <v>901</v>
      </c>
      <c r="Y6038">
        <v>1</v>
      </c>
      <c r="Z6038">
        <v>71</v>
      </c>
      <c r="AA6038">
        <v>11</v>
      </c>
      <c r="AB6038">
        <v>13.37007</v>
      </c>
      <c r="AC6038">
        <v>0.1030383</v>
      </c>
      <c r="AD6038">
        <v>2.2710569999999999</v>
      </c>
      <c r="AE6038">
        <v>0.1771779</v>
      </c>
      <c r="AF6038">
        <v>459.7432</v>
      </c>
      <c r="AG6038">
        <f>IFERROR(AH6038*0.1, "N/A")</f>
        <v>6.2646259999999998</v>
      </c>
      <c r="AH6038">
        <v>62.646259999999998</v>
      </c>
      <c r="AI6038">
        <v>280.44049999999999</v>
      </c>
      <c r="AJ6038">
        <v>30.863949999999999</v>
      </c>
      <c r="AK6038">
        <v>43.176870000000001</v>
      </c>
    </row>
    <row r="6039" spans="1:37" x14ac:dyDescent="0.3">
      <c r="A6039">
        <v>6038</v>
      </c>
      <c r="B6039">
        <v>1.8</v>
      </c>
      <c r="C6039">
        <v>-8.1491699999999998</v>
      </c>
      <c r="D6039">
        <v>12.3056</v>
      </c>
      <c r="E6039">
        <f>-8.14917-12.3056</f>
        <v>-20.45477</v>
      </c>
      <c r="F6039" t="s">
        <v>9475</v>
      </c>
      <c r="G6039" t="s">
        <v>39</v>
      </c>
      <c r="H6039">
        <v>1990</v>
      </c>
      <c r="I6039">
        <v>27.8</v>
      </c>
      <c r="J6039">
        <v>14.3</v>
      </c>
      <c r="K6039">
        <v>61</v>
      </c>
      <c r="L6039">
        <v>22.07</v>
      </c>
      <c r="M6039">
        <v>38.9</v>
      </c>
      <c r="N6039">
        <v>15.8</v>
      </c>
      <c r="O6039">
        <v>23.1</v>
      </c>
      <c r="P6039">
        <v>26.4</v>
      </c>
      <c r="Q6039">
        <v>25.8</v>
      </c>
      <c r="R6039">
        <v>31</v>
      </c>
      <c r="S6039">
        <v>25.4</v>
      </c>
      <c r="T6039">
        <v>980</v>
      </c>
      <c r="U6039">
        <v>277</v>
      </c>
      <c r="V6039">
        <v>0</v>
      </c>
      <c r="W6039">
        <v>114</v>
      </c>
      <c r="X6039">
        <v>680</v>
      </c>
      <c r="Y6039">
        <v>0</v>
      </c>
      <c r="Z6039">
        <v>93</v>
      </c>
      <c r="AA6039">
        <v>8</v>
      </c>
      <c r="AB6039">
        <v>4.9132660000000001</v>
      </c>
      <c r="AC6039">
        <v>1.3811749999999999E-2</v>
      </c>
      <c r="AD6039">
        <v>1.7240390000000001</v>
      </c>
      <c r="AE6039">
        <v>0.68121129999999996</v>
      </c>
      <c r="AF6039">
        <v>331.31290000000001</v>
      </c>
      <c r="AG6039">
        <f>IFERROR(AH6039*0.1, "N/A")</f>
        <v>5.5768710000000006</v>
      </c>
      <c r="AH6039">
        <v>55.768709999999999</v>
      </c>
      <c r="AI6039">
        <v>116.34829999999999</v>
      </c>
      <c r="AJ6039">
        <v>18.231290000000001</v>
      </c>
      <c r="AK6039">
        <v>46.884349999999998</v>
      </c>
    </row>
    <row r="6040" spans="1:37" x14ac:dyDescent="0.3">
      <c r="A6040">
        <v>6039</v>
      </c>
      <c r="B6040">
        <v>2</v>
      </c>
      <c r="C6040">
        <v>-8.1491699999999998</v>
      </c>
      <c r="D6040">
        <v>12.3056</v>
      </c>
      <c r="E6040">
        <f>-8.14917-12.3056</f>
        <v>-20.45477</v>
      </c>
      <c r="F6040" t="s">
        <v>9476</v>
      </c>
      <c r="G6040" t="s">
        <v>37</v>
      </c>
      <c r="H6040">
        <v>1990</v>
      </c>
      <c r="I6040">
        <v>27.8</v>
      </c>
      <c r="J6040">
        <v>14.3</v>
      </c>
      <c r="K6040">
        <v>61</v>
      </c>
      <c r="L6040">
        <v>22.07</v>
      </c>
      <c r="M6040">
        <v>38.9</v>
      </c>
      <c r="N6040">
        <v>15.8</v>
      </c>
      <c r="O6040">
        <v>23.1</v>
      </c>
      <c r="P6040">
        <v>26.4</v>
      </c>
      <c r="Q6040">
        <v>25.8</v>
      </c>
      <c r="R6040">
        <v>31</v>
      </c>
      <c r="S6040">
        <v>25.4</v>
      </c>
      <c r="T6040">
        <v>980</v>
      </c>
      <c r="U6040">
        <v>277</v>
      </c>
      <c r="V6040">
        <v>0</v>
      </c>
      <c r="W6040">
        <v>114</v>
      </c>
      <c r="X6040">
        <v>680</v>
      </c>
      <c r="Y6040">
        <v>0</v>
      </c>
      <c r="Z6040">
        <v>93</v>
      </c>
      <c r="AA6040">
        <v>8</v>
      </c>
      <c r="AB6040">
        <v>4.9132660000000001</v>
      </c>
      <c r="AC6040">
        <v>1.3811749999999999E-2</v>
      </c>
      <c r="AD6040">
        <v>1.7240390000000001</v>
      </c>
      <c r="AE6040">
        <v>0.68121129999999996</v>
      </c>
      <c r="AF6040">
        <v>331.31290000000001</v>
      </c>
      <c r="AG6040">
        <f>IFERROR(AH6040*0.1, "N/A")</f>
        <v>5.5768710000000006</v>
      </c>
      <c r="AH6040">
        <v>55.768709999999999</v>
      </c>
      <c r="AI6040">
        <v>116.34829999999999</v>
      </c>
      <c r="AJ6040">
        <v>18.231290000000001</v>
      </c>
      <c r="AK6040">
        <v>46.884349999999998</v>
      </c>
    </row>
    <row r="6041" spans="1:37" x14ac:dyDescent="0.3">
      <c r="A6041">
        <v>6040</v>
      </c>
      <c r="B6041">
        <v>1.8</v>
      </c>
      <c r="C6041">
        <v>-5.3642899999999996</v>
      </c>
      <c r="D6041">
        <v>12.321099999999999</v>
      </c>
      <c r="E6041">
        <f>-5.36429-12.3211</f>
        <v>-17.685389999999998</v>
      </c>
      <c r="F6041" t="s">
        <v>9477</v>
      </c>
      <c r="G6041" t="s">
        <v>39</v>
      </c>
      <c r="H6041">
        <v>1990</v>
      </c>
      <c r="I6041">
        <v>27</v>
      </c>
      <c r="J6041">
        <v>13.7</v>
      </c>
      <c r="K6041">
        <v>57</v>
      </c>
      <c r="L6041">
        <v>24.35</v>
      </c>
      <c r="M6041">
        <v>37.5</v>
      </c>
      <c r="N6041">
        <v>13.6</v>
      </c>
      <c r="O6041">
        <v>23.9</v>
      </c>
      <c r="P6041">
        <v>26.1</v>
      </c>
      <c r="Q6041">
        <v>24.1</v>
      </c>
      <c r="R6041">
        <v>30.2</v>
      </c>
      <c r="S6041">
        <v>24</v>
      </c>
      <c r="T6041">
        <v>889</v>
      </c>
      <c r="U6041">
        <v>237</v>
      </c>
      <c r="V6041">
        <v>0</v>
      </c>
      <c r="W6041">
        <v>110</v>
      </c>
      <c r="X6041">
        <v>604</v>
      </c>
      <c r="Y6041">
        <v>2</v>
      </c>
      <c r="Z6041">
        <v>103</v>
      </c>
      <c r="AA6041">
        <v>8</v>
      </c>
      <c r="AB6041">
        <v>0.91873950000000004</v>
      </c>
      <c r="AC6041">
        <v>0.45559959999999999</v>
      </c>
      <c r="AD6041">
        <v>2.3091949999999999</v>
      </c>
      <c r="AE6041">
        <v>0.70428710000000005</v>
      </c>
      <c r="AF6041">
        <v>348.4787</v>
      </c>
      <c r="AG6041">
        <f>IFERROR(AH6041*0.1, "N/A")</f>
        <v>5.5379900000000006</v>
      </c>
      <c r="AH6041">
        <v>55.379899999999999</v>
      </c>
      <c r="AI6041">
        <v>147.09180000000001</v>
      </c>
      <c r="AJ6041">
        <v>9.4139689999999998</v>
      </c>
      <c r="AK6041">
        <v>63.810899999999997</v>
      </c>
    </row>
    <row r="6042" spans="1:37" x14ac:dyDescent="0.3">
      <c r="A6042">
        <v>6041</v>
      </c>
      <c r="B6042">
        <v>7.3</v>
      </c>
      <c r="C6042">
        <v>-5.3642899999999996</v>
      </c>
      <c r="D6042">
        <v>12.321099999999999</v>
      </c>
      <c r="E6042">
        <f>-5.36429-12.3211</f>
        <v>-17.685389999999998</v>
      </c>
      <c r="F6042" t="s">
        <v>9478</v>
      </c>
      <c r="G6042" t="s">
        <v>37</v>
      </c>
      <c r="H6042">
        <v>1990</v>
      </c>
      <c r="I6042">
        <v>27</v>
      </c>
      <c r="J6042">
        <v>13.7</v>
      </c>
      <c r="K6042">
        <v>57</v>
      </c>
      <c r="L6042">
        <v>24.35</v>
      </c>
      <c r="M6042">
        <v>37.5</v>
      </c>
      <c r="N6042">
        <v>13.6</v>
      </c>
      <c r="O6042">
        <v>23.9</v>
      </c>
      <c r="P6042">
        <v>26.1</v>
      </c>
      <c r="Q6042">
        <v>24.1</v>
      </c>
      <c r="R6042">
        <v>30.2</v>
      </c>
      <c r="S6042">
        <v>24</v>
      </c>
      <c r="T6042">
        <v>889</v>
      </c>
      <c r="U6042">
        <v>237</v>
      </c>
      <c r="V6042">
        <v>0</v>
      </c>
      <c r="W6042">
        <v>110</v>
      </c>
      <c r="X6042">
        <v>604</v>
      </c>
      <c r="Y6042">
        <v>2</v>
      </c>
      <c r="Z6042">
        <v>103</v>
      </c>
      <c r="AA6042">
        <v>8</v>
      </c>
      <c r="AB6042">
        <v>0.91873950000000004</v>
      </c>
      <c r="AC6042">
        <v>0.45559959999999999</v>
      </c>
      <c r="AD6042">
        <v>2.3091949999999999</v>
      </c>
      <c r="AE6042">
        <v>0.70428710000000005</v>
      </c>
      <c r="AF6042">
        <v>348.4787</v>
      </c>
      <c r="AG6042">
        <f>IFERROR(AH6042*0.1, "N/A")</f>
        <v>5.5379900000000006</v>
      </c>
      <c r="AH6042">
        <v>55.379899999999999</v>
      </c>
      <c r="AI6042">
        <v>147.09180000000001</v>
      </c>
      <c r="AJ6042">
        <v>9.4139689999999998</v>
      </c>
      <c r="AK6042">
        <v>63.810899999999997</v>
      </c>
    </row>
    <row r="6043" spans="1:37" x14ac:dyDescent="0.3">
      <c r="A6043">
        <v>6042</v>
      </c>
      <c r="B6043">
        <v>19.2</v>
      </c>
      <c r="C6043">
        <v>-5.0754299999999999</v>
      </c>
      <c r="D6043">
        <v>12.382999999999999</v>
      </c>
      <c r="E6043">
        <f>-5.07543-12.383</f>
        <v>-17.45843</v>
      </c>
      <c r="F6043" t="s">
        <v>9479</v>
      </c>
      <c r="G6043" t="s">
        <v>39</v>
      </c>
      <c r="H6043">
        <v>1990</v>
      </c>
      <c r="I6043">
        <v>27.2</v>
      </c>
      <c r="J6043">
        <v>13.9</v>
      </c>
      <c r="K6043">
        <v>57</v>
      </c>
      <c r="L6043">
        <v>24.29721</v>
      </c>
      <c r="M6043">
        <v>37.799999999999997</v>
      </c>
      <c r="N6043">
        <v>13.7</v>
      </c>
      <c r="O6043">
        <v>24.1</v>
      </c>
      <c r="P6043">
        <v>26.4</v>
      </c>
      <c r="Q6043">
        <v>24.1</v>
      </c>
      <c r="R6043">
        <v>30.3</v>
      </c>
      <c r="S6043">
        <v>24.1</v>
      </c>
      <c r="T6043">
        <v>885.42759999999998</v>
      </c>
      <c r="U6043">
        <v>239</v>
      </c>
      <c r="V6043">
        <v>1</v>
      </c>
      <c r="W6043">
        <v>112</v>
      </c>
      <c r="X6043">
        <v>609.71379999999999</v>
      </c>
      <c r="Y6043">
        <v>3</v>
      </c>
      <c r="Z6043">
        <v>100.71380000000001</v>
      </c>
      <c r="AA6043">
        <v>3</v>
      </c>
      <c r="AB6043">
        <v>3.0734240000000002</v>
      </c>
      <c r="AC6043">
        <v>8.6232329999999992E-3</v>
      </c>
      <c r="AD6043">
        <v>1.3912519999999999</v>
      </c>
      <c r="AE6043">
        <v>0.69523939999999995</v>
      </c>
      <c r="AF6043">
        <v>317.17380000000003</v>
      </c>
      <c r="AG6043">
        <f>IFERROR(AH6043*0.1, "N/A")</f>
        <v>5.1044289999999997</v>
      </c>
      <c r="AH6043">
        <v>51.044289999999997</v>
      </c>
      <c r="AI6043">
        <v>99.967820000000003</v>
      </c>
      <c r="AJ6043">
        <v>16.91141</v>
      </c>
      <c r="AK6043">
        <v>55.044289999999997</v>
      </c>
    </row>
    <row r="6044" spans="1:37" x14ac:dyDescent="0.3">
      <c r="A6044">
        <v>6043</v>
      </c>
      <c r="B6044">
        <v>3.6</v>
      </c>
      <c r="C6044">
        <v>-5.0754299999999999</v>
      </c>
      <c r="D6044">
        <v>12.382999999999999</v>
      </c>
      <c r="E6044">
        <f>-5.07543-12.383</f>
        <v>-17.45843</v>
      </c>
      <c r="F6044" t="s">
        <v>9480</v>
      </c>
      <c r="G6044" t="s">
        <v>37</v>
      </c>
      <c r="H6044">
        <v>1990</v>
      </c>
      <c r="I6044">
        <v>27.2</v>
      </c>
      <c r="J6044">
        <v>13.9</v>
      </c>
      <c r="K6044">
        <v>57</v>
      </c>
      <c r="L6044">
        <v>24.29721</v>
      </c>
      <c r="M6044">
        <v>37.799999999999997</v>
      </c>
      <c r="N6044">
        <v>13.7</v>
      </c>
      <c r="O6044">
        <v>24.1</v>
      </c>
      <c r="P6044">
        <v>26.4</v>
      </c>
      <c r="Q6044">
        <v>24.1</v>
      </c>
      <c r="R6044">
        <v>30.3</v>
      </c>
      <c r="S6044">
        <v>24.1</v>
      </c>
      <c r="T6044">
        <v>885.42759999999998</v>
      </c>
      <c r="U6044">
        <v>239</v>
      </c>
      <c r="V6044">
        <v>1</v>
      </c>
      <c r="W6044">
        <v>112</v>
      </c>
      <c r="X6044">
        <v>609.71379999999999</v>
      </c>
      <c r="Y6044">
        <v>3</v>
      </c>
      <c r="Z6044">
        <v>100.71380000000001</v>
      </c>
      <c r="AA6044">
        <v>3</v>
      </c>
      <c r="AB6044">
        <v>3.0734240000000002</v>
      </c>
      <c r="AC6044">
        <v>8.6232329999999992E-3</v>
      </c>
      <c r="AD6044">
        <v>1.3912519999999999</v>
      </c>
      <c r="AE6044">
        <v>0.69523939999999995</v>
      </c>
      <c r="AF6044">
        <v>317.17380000000003</v>
      </c>
      <c r="AG6044">
        <f>IFERROR(AH6044*0.1, "N/A")</f>
        <v>5.1044289999999997</v>
      </c>
      <c r="AH6044">
        <v>51.044289999999997</v>
      </c>
      <c r="AI6044">
        <v>99.967820000000003</v>
      </c>
      <c r="AJ6044">
        <v>16.91141</v>
      </c>
      <c r="AK6044">
        <v>55.044289999999997</v>
      </c>
    </row>
    <row r="6045" spans="1:37" x14ac:dyDescent="0.3">
      <c r="A6045">
        <v>6044</v>
      </c>
      <c r="B6045">
        <v>0</v>
      </c>
      <c r="C6045">
        <v>-5.4710000000000001</v>
      </c>
      <c r="D6045">
        <v>12.39</v>
      </c>
      <c r="E6045">
        <f>-5.471-12.39</f>
        <v>-17.861000000000001</v>
      </c>
      <c r="F6045" t="s">
        <v>9481</v>
      </c>
      <c r="G6045" t="s">
        <v>39</v>
      </c>
      <c r="H6045">
        <v>1987</v>
      </c>
      <c r="I6045">
        <v>27.1</v>
      </c>
      <c r="J6045">
        <v>13.7</v>
      </c>
      <c r="K6045">
        <v>57</v>
      </c>
      <c r="L6045">
        <v>23.9</v>
      </c>
      <c r="M6045">
        <v>37.700000000000003</v>
      </c>
      <c r="N6045">
        <v>13.9</v>
      </c>
      <c r="O6045">
        <v>23.8</v>
      </c>
      <c r="P6045">
        <v>26.1</v>
      </c>
      <c r="Q6045">
        <v>24.4</v>
      </c>
      <c r="R6045">
        <v>30.4</v>
      </c>
      <c r="S6045">
        <v>24.2</v>
      </c>
      <c r="T6045">
        <v>891</v>
      </c>
      <c r="U6045">
        <v>246</v>
      </c>
      <c r="V6045">
        <v>0</v>
      </c>
      <c r="W6045">
        <v>113</v>
      </c>
      <c r="X6045">
        <v>614</v>
      </c>
      <c r="Y6045">
        <v>2</v>
      </c>
      <c r="Z6045">
        <v>95</v>
      </c>
      <c r="AA6045">
        <v>7</v>
      </c>
      <c r="AB6045">
        <v>2.9322029999999999</v>
      </c>
      <c r="AC6045">
        <v>0.3400301</v>
      </c>
      <c r="AD6045">
        <v>0.88700990000000002</v>
      </c>
      <c r="AE6045">
        <v>0.77185380000000003</v>
      </c>
      <c r="AF6045">
        <v>352.9271</v>
      </c>
      <c r="AG6045">
        <f>IFERROR(AH6045*0.1, "N/A")</f>
        <v>5.5115250000000007</v>
      </c>
      <c r="AH6045">
        <v>55.115250000000003</v>
      </c>
      <c r="AI6045">
        <v>44.124040000000001</v>
      </c>
      <c r="AJ6045">
        <v>30.393219999999999</v>
      </c>
      <c r="AK6045">
        <v>48.22542</v>
      </c>
    </row>
    <row r="6046" spans="1:37" x14ac:dyDescent="0.3">
      <c r="A6046">
        <v>6045</v>
      </c>
      <c r="B6046">
        <v>2.2000000000000002</v>
      </c>
      <c r="C6046">
        <v>-4.6677</v>
      </c>
      <c r="D6046">
        <v>12.392200000000001</v>
      </c>
      <c r="E6046">
        <f>-4.6677-12.3922</f>
        <v>-17.059899999999999</v>
      </c>
      <c r="F6046" t="s">
        <v>9482</v>
      </c>
      <c r="G6046" t="s">
        <v>39</v>
      </c>
      <c r="H6046">
        <v>1990</v>
      </c>
      <c r="I6046">
        <v>26.6</v>
      </c>
      <c r="J6046">
        <v>13.8</v>
      </c>
      <c r="K6046">
        <v>58</v>
      </c>
      <c r="L6046">
        <v>24</v>
      </c>
      <c r="M6046">
        <v>37.200000000000003</v>
      </c>
      <c r="N6046">
        <v>13.6</v>
      </c>
      <c r="O6046">
        <v>23.6</v>
      </c>
      <c r="P6046">
        <v>25.9</v>
      </c>
      <c r="Q6046">
        <v>23.6</v>
      </c>
      <c r="R6046">
        <v>29.8</v>
      </c>
      <c r="S6046">
        <v>23.6</v>
      </c>
      <c r="T6046">
        <v>897</v>
      </c>
      <c r="U6046">
        <v>241</v>
      </c>
      <c r="V6046">
        <v>1</v>
      </c>
      <c r="W6046">
        <v>112</v>
      </c>
      <c r="X6046">
        <v>619</v>
      </c>
      <c r="Y6046">
        <v>6</v>
      </c>
      <c r="Z6046">
        <v>105</v>
      </c>
      <c r="AA6046">
        <v>6</v>
      </c>
      <c r="AB6046">
        <v>9.1008580000000006</v>
      </c>
      <c r="AC6046">
        <v>8.3810269999999992E-3</v>
      </c>
      <c r="AD6046">
        <v>2.4194610000000001</v>
      </c>
      <c r="AE6046">
        <v>0.50801189999999996</v>
      </c>
      <c r="AF6046">
        <v>437.9932</v>
      </c>
      <c r="AG6046">
        <f>IFERROR(AH6046*0.1, "N/A")</f>
        <v>5.6996590000000005</v>
      </c>
      <c r="AH6046">
        <v>56.996589999999998</v>
      </c>
      <c r="AI6046">
        <v>266.94069999999999</v>
      </c>
      <c r="AJ6046">
        <v>22.993189999999998</v>
      </c>
      <c r="AK6046">
        <v>48.006810000000002</v>
      </c>
    </row>
    <row r="6047" spans="1:37" x14ac:dyDescent="0.3">
      <c r="A6047">
        <v>6046</v>
      </c>
      <c r="B6047">
        <v>2.6</v>
      </c>
      <c r="C6047">
        <v>-4.6677</v>
      </c>
      <c r="D6047">
        <v>12.392200000000001</v>
      </c>
      <c r="E6047">
        <f>-4.6677-12.3922</f>
        <v>-17.059899999999999</v>
      </c>
      <c r="F6047" t="s">
        <v>9483</v>
      </c>
      <c r="G6047" t="s">
        <v>37</v>
      </c>
      <c r="H6047">
        <v>1990</v>
      </c>
      <c r="I6047">
        <v>26.6</v>
      </c>
      <c r="J6047">
        <v>13.8</v>
      </c>
      <c r="K6047">
        <v>58</v>
      </c>
      <c r="L6047">
        <v>24</v>
      </c>
      <c r="M6047">
        <v>37.200000000000003</v>
      </c>
      <c r="N6047">
        <v>13.6</v>
      </c>
      <c r="O6047">
        <v>23.6</v>
      </c>
      <c r="P6047">
        <v>25.9</v>
      </c>
      <c r="Q6047">
        <v>23.6</v>
      </c>
      <c r="R6047">
        <v>29.8</v>
      </c>
      <c r="S6047">
        <v>23.6</v>
      </c>
      <c r="T6047">
        <v>897</v>
      </c>
      <c r="U6047">
        <v>241</v>
      </c>
      <c r="V6047">
        <v>1</v>
      </c>
      <c r="W6047">
        <v>112</v>
      </c>
      <c r="X6047">
        <v>619</v>
      </c>
      <c r="Y6047">
        <v>6</v>
      </c>
      <c r="Z6047">
        <v>105</v>
      </c>
      <c r="AA6047">
        <v>6</v>
      </c>
      <c r="AB6047">
        <v>9.1008580000000006</v>
      </c>
      <c r="AC6047">
        <v>8.3810269999999992E-3</v>
      </c>
      <c r="AD6047">
        <v>2.4194610000000001</v>
      </c>
      <c r="AE6047">
        <v>0.50801189999999996</v>
      </c>
      <c r="AF6047">
        <v>437.9932</v>
      </c>
      <c r="AG6047">
        <f>IFERROR(AH6047*0.1, "N/A")</f>
        <v>5.6996590000000005</v>
      </c>
      <c r="AH6047">
        <v>56.996589999999998</v>
      </c>
      <c r="AI6047">
        <v>266.94069999999999</v>
      </c>
      <c r="AJ6047">
        <v>22.993189999999998</v>
      </c>
      <c r="AK6047">
        <v>48.006810000000002</v>
      </c>
    </row>
    <row r="6048" spans="1:37" x14ac:dyDescent="0.3">
      <c r="A6048">
        <v>6047</v>
      </c>
      <c r="B6048">
        <v>46.7</v>
      </c>
      <c r="C6048">
        <v>-7.8788299999999998</v>
      </c>
      <c r="D6048">
        <v>12.4193</v>
      </c>
      <c r="E6048">
        <f>-7.87883-12.4193</f>
        <v>-20.29813</v>
      </c>
      <c r="F6048" t="s">
        <v>9484</v>
      </c>
      <c r="G6048" t="s">
        <v>39</v>
      </c>
      <c r="H6048">
        <v>1990</v>
      </c>
      <c r="I6048">
        <v>27.6</v>
      </c>
      <c r="J6048">
        <v>13.9</v>
      </c>
      <c r="K6048">
        <v>61</v>
      </c>
      <c r="L6048">
        <v>22.57</v>
      </c>
      <c r="M6048">
        <v>38.700000000000003</v>
      </c>
      <c r="N6048">
        <v>16.100000000000001</v>
      </c>
      <c r="O6048">
        <v>22.6</v>
      </c>
      <c r="P6048">
        <v>26.2</v>
      </c>
      <c r="Q6048">
        <v>25.5</v>
      </c>
      <c r="R6048">
        <v>30.9</v>
      </c>
      <c r="S6048">
        <v>25.2</v>
      </c>
      <c r="T6048">
        <v>937</v>
      </c>
      <c r="U6048">
        <v>270</v>
      </c>
      <c r="V6048">
        <v>0</v>
      </c>
      <c r="W6048">
        <v>115</v>
      </c>
      <c r="X6048">
        <v>654</v>
      </c>
      <c r="Y6048">
        <v>0</v>
      </c>
      <c r="Z6048">
        <v>89</v>
      </c>
      <c r="AA6048">
        <v>4</v>
      </c>
      <c r="AB6048">
        <v>3.5585369999999998</v>
      </c>
      <c r="AC6048">
        <v>4.0402069999999998E-2</v>
      </c>
      <c r="AD6048">
        <v>0.6969902</v>
      </c>
      <c r="AE6048">
        <v>0.67055260000000005</v>
      </c>
      <c r="AF6048">
        <v>375.2149</v>
      </c>
      <c r="AG6048">
        <f>IFERROR(AH6048*0.1, "N/A")</f>
        <v>5.6272419999999999</v>
      </c>
      <c r="AH6048">
        <v>56.272419999999997</v>
      </c>
      <c r="AI6048">
        <v>102.5675</v>
      </c>
      <c r="AJ6048">
        <v>19.747879999999999</v>
      </c>
      <c r="AK6048">
        <v>48.505920000000003</v>
      </c>
    </row>
    <row r="6049" spans="1:37" x14ac:dyDescent="0.3">
      <c r="A6049">
        <v>6048</v>
      </c>
      <c r="B6049">
        <v>76.2</v>
      </c>
      <c r="C6049">
        <v>-7.8788299999999998</v>
      </c>
      <c r="D6049">
        <v>12.4193</v>
      </c>
      <c r="E6049">
        <f>-7.87883-12.4193</f>
        <v>-20.29813</v>
      </c>
      <c r="F6049" t="s">
        <v>9485</v>
      </c>
      <c r="G6049" t="s">
        <v>37</v>
      </c>
      <c r="H6049">
        <v>1990</v>
      </c>
      <c r="I6049">
        <v>27.6</v>
      </c>
      <c r="J6049">
        <v>13.9</v>
      </c>
      <c r="K6049">
        <v>61</v>
      </c>
      <c r="L6049">
        <v>22.57</v>
      </c>
      <c r="M6049">
        <v>38.700000000000003</v>
      </c>
      <c r="N6049">
        <v>16.100000000000001</v>
      </c>
      <c r="O6049">
        <v>22.6</v>
      </c>
      <c r="P6049">
        <v>26.2</v>
      </c>
      <c r="Q6049">
        <v>25.5</v>
      </c>
      <c r="R6049">
        <v>30.9</v>
      </c>
      <c r="S6049">
        <v>25.2</v>
      </c>
      <c r="T6049">
        <v>937</v>
      </c>
      <c r="U6049">
        <v>270</v>
      </c>
      <c r="V6049">
        <v>0</v>
      </c>
      <c r="W6049">
        <v>115</v>
      </c>
      <c r="X6049">
        <v>654</v>
      </c>
      <c r="Y6049">
        <v>0</v>
      </c>
      <c r="Z6049">
        <v>89</v>
      </c>
      <c r="AA6049">
        <v>4</v>
      </c>
      <c r="AB6049">
        <v>3.5585369999999998</v>
      </c>
      <c r="AC6049">
        <v>4.0402069999999998E-2</v>
      </c>
      <c r="AD6049">
        <v>0.6969902</v>
      </c>
      <c r="AE6049">
        <v>0.67055260000000005</v>
      </c>
      <c r="AF6049">
        <v>375.2149</v>
      </c>
      <c r="AG6049">
        <f>IFERROR(AH6049*0.1, "N/A")</f>
        <v>5.6272419999999999</v>
      </c>
      <c r="AH6049">
        <v>56.272419999999997</v>
      </c>
      <c r="AI6049">
        <v>102.5675</v>
      </c>
      <c r="AJ6049">
        <v>19.747879999999999</v>
      </c>
      <c r="AK6049">
        <v>48.505920000000003</v>
      </c>
    </row>
    <row r="6050" spans="1:37" x14ac:dyDescent="0.3">
      <c r="A6050">
        <v>6049</v>
      </c>
      <c r="B6050">
        <v>1.2</v>
      </c>
      <c r="C6050">
        <v>-4.5442</v>
      </c>
      <c r="D6050">
        <v>12.461499999999999</v>
      </c>
      <c r="E6050">
        <f>-4.5442-12.4615</f>
        <v>-17.005699999999997</v>
      </c>
      <c r="F6050" t="s">
        <v>9486</v>
      </c>
      <c r="G6050" t="s">
        <v>39</v>
      </c>
      <c r="H6050">
        <v>1990</v>
      </c>
      <c r="I6050">
        <v>26.6</v>
      </c>
      <c r="J6050">
        <v>13.8</v>
      </c>
      <c r="K6050">
        <v>58</v>
      </c>
      <c r="L6050">
        <v>23.85</v>
      </c>
      <c r="M6050">
        <v>37.200000000000003</v>
      </c>
      <c r="N6050">
        <v>13.7</v>
      </c>
      <c r="O6050">
        <v>23.5</v>
      </c>
      <c r="P6050">
        <v>25.8</v>
      </c>
      <c r="Q6050">
        <v>23.7</v>
      </c>
      <c r="R6050">
        <v>29.7</v>
      </c>
      <c r="S6050">
        <v>23.7</v>
      </c>
      <c r="T6050">
        <v>869</v>
      </c>
      <c r="U6050">
        <v>236</v>
      </c>
      <c r="V6050">
        <v>1</v>
      </c>
      <c r="W6050">
        <v>113</v>
      </c>
      <c r="X6050">
        <v>603</v>
      </c>
      <c r="Y6050">
        <v>5</v>
      </c>
      <c r="Z6050">
        <v>96</v>
      </c>
      <c r="AA6050">
        <v>5</v>
      </c>
      <c r="AB6050">
        <v>1.625675</v>
      </c>
      <c r="AC6050">
        <v>0.6614911</v>
      </c>
      <c r="AD6050">
        <v>1.9469810000000001</v>
      </c>
      <c r="AE6050">
        <v>0.63208980000000003</v>
      </c>
      <c r="AF6050">
        <v>446.9898</v>
      </c>
      <c r="AG6050">
        <f>IFERROR(AH6050*0.1, "N/A")</f>
        <v>6.106122</v>
      </c>
      <c r="AH6050">
        <v>61.061219999999999</v>
      </c>
      <c r="AI6050">
        <v>103.6073</v>
      </c>
      <c r="AJ6050">
        <v>14.80612</v>
      </c>
      <c r="AK6050">
        <v>61.255099999999999</v>
      </c>
    </row>
    <row r="6051" spans="1:37" x14ac:dyDescent="0.3">
      <c r="A6051">
        <v>6050</v>
      </c>
      <c r="B6051">
        <v>5.8</v>
      </c>
      <c r="C6051">
        <v>-4.5442</v>
      </c>
      <c r="D6051">
        <v>12.461499999999999</v>
      </c>
      <c r="E6051">
        <f>-4.5442-12.4615</f>
        <v>-17.005699999999997</v>
      </c>
      <c r="F6051" t="s">
        <v>9487</v>
      </c>
      <c r="G6051" t="s">
        <v>37</v>
      </c>
      <c r="H6051">
        <v>1990</v>
      </c>
      <c r="I6051">
        <v>26.6</v>
      </c>
      <c r="J6051">
        <v>13.8</v>
      </c>
      <c r="K6051">
        <v>58</v>
      </c>
      <c r="L6051">
        <v>23.85</v>
      </c>
      <c r="M6051">
        <v>37.200000000000003</v>
      </c>
      <c r="N6051">
        <v>13.7</v>
      </c>
      <c r="O6051">
        <v>23.5</v>
      </c>
      <c r="P6051">
        <v>25.8</v>
      </c>
      <c r="Q6051">
        <v>23.7</v>
      </c>
      <c r="R6051">
        <v>29.7</v>
      </c>
      <c r="S6051">
        <v>23.7</v>
      </c>
      <c r="T6051">
        <v>869</v>
      </c>
      <c r="U6051">
        <v>236</v>
      </c>
      <c r="V6051">
        <v>1</v>
      </c>
      <c r="W6051">
        <v>113</v>
      </c>
      <c r="X6051">
        <v>603</v>
      </c>
      <c r="Y6051">
        <v>5</v>
      </c>
      <c r="Z6051">
        <v>96</v>
      </c>
      <c r="AA6051">
        <v>5</v>
      </c>
      <c r="AB6051">
        <v>1.625675</v>
      </c>
      <c r="AC6051">
        <v>0.6614911</v>
      </c>
      <c r="AD6051">
        <v>1.9469810000000001</v>
      </c>
      <c r="AE6051">
        <v>0.63208980000000003</v>
      </c>
      <c r="AF6051">
        <v>446.9898</v>
      </c>
      <c r="AG6051">
        <f>IFERROR(AH6051*0.1, "N/A")</f>
        <v>6.106122</v>
      </c>
      <c r="AH6051">
        <v>61.061219999999999</v>
      </c>
      <c r="AI6051">
        <v>103.6073</v>
      </c>
      <c r="AJ6051">
        <v>14.80612</v>
      </c>
      <c r="AK6051">
        <v>61.255099999999999</v>
      </c>
    </row>
    <row r="6052" spans="1:37" x14ac:dyDescent="0.3">
      <c r="A6052">
        <v>6051</v>
      </c>
      <c r="B6052">
        <v>1.3</v>
      </c>
      <c r="C6052">
        <v>-5.1939299999999999</v>
      </c>
      <c r="D6052">
        <v>12.4802</v>
      </c>
      <c r="E6052">
        <f>-5.19393-12.4802</f>
        <v>-17.674129999999998</v>
      </c>
      <c r="F6052" t="s">
        <v>9488</v>
      </c>
      <c r="G6052" t="s">
        <v>39</v>
      </c>
      <c r="H6052">
        <v>1990</v>
      </c>
      <c r="I6052">
        <v>27.2</v>
      </c>
      <c r="J6052">
        <v>13.9</v>
      </c>
      <c r="K6052">
        <v>57</v>
      </c>
      <c r="L6052">
        <v>24.69</v>
      </c>
      <c r="M6052">
        <v>38</v>
      </c>
      <c r="N6052">
        <v>13.7</v>
      </c>
      <c r="O6052">
        <v>24.3</v>
      </c>
      <c r="P6052">
        <v>26.4</v>
      </c>
      <c r="Q6052">
        <v>24.2</v>
      </c>
      <c r="R6052">
        <v>30.4</v>
      </c>
      <c r="S6052">
        <v>24.2</v>
      </c>
      <c r="T6052">
        <v>845</v>
      </c>
      <c r="U6052">
        <v>231</v>
      </c>
      <c r="V6052">
        <v>0</v>
      </c>
      <c r="W6052">
        <v>113</v>
      </c>
      <c r="X6052">
        <v>587</v>
      </c>
      <c r="Y6052">
        <v>2</v>
      </c>
      <c r="Z6052">
        <v>89</v>
      </c>
      <c r="AA6052">
        <v>7</v>
      </c>
      <c r="AB6052">
        <v>1.7392810000000001</v>
      </c>
      <c r="AC6052">
        <v>2.854249E-2</v>
      </c>
      <c r="AD6052">
        <v>1.176701</v>
      </c>
      <c r="AE6052">
        <v>0.69971470000000002</v>
      </c>
      <c r="AF6052">
        <v>323.39120000000003</v>
      </c>
      <c r="AG6052">
        <f>IFERROR(AH6052*0.1, "N/A")</f>
        <v>5.4715990000000003</v>
      </c>
      <c r="AH6052">
        <v>54.715989999999998</v>
      </c>
      <c r="AI6052">
        <v>234.91200000000001</v>
      </c>
      <c r="AJ6052">
        <v>11.28401</v>
      </c>
      <c r="AK6052">
        <v>60.928570000000001</v>
      </c>
    </row>
    <row r="6053" spans="1:37" x14ac:dyDescent="0.3">
      <c r="A6053">
        <v>6052</v>
      </c>
      <c r="B6053">
        <v>3.9</v>
      </c>
      <c r="C6053">
        <v>-5.1939299999999999</v>
      </c>
      <c r="D6053">
        <v>12.4802</v>
      </c>
      <c r="E6053">
        <f>-5.19393-12.4802</f>
        <v>-17.674129999999998</v>
      </c>
      <c r="F6053" t="s">
        <v>9489</v>
      </c>
      <c r="G6053" t="s">
        <v>37</v>
      </c>
      <c r="H6053">
        <v>1990</v>
      </c>
      <c r="I6053">
        <v>27.2</v>
      </c>
      <c r="J6053">
        <v>13.9</v>
      </c>
      <c r="K6053">
        <v>57</v>
      </c>
      <c r="L6053">
        <v>24.69</v>
      </c>
      <c r="M6053">
        <v>38</v>
      </c>
      <c r="N6053">
        <v>13.7</v>
      </c>
      <c r="O6053">
        <v>24.3</v>
      </c>
      <c r="P6053">
        <v>26.4</v>
      </c>
      <c r="Q6053">
        <v>24.2</v>
      </c>
      <c r="R6053">
        <v>30.4</v>
      </c>
      <c r="S6053">
        <v>24.2</v>
      </c>
      <c r="T6053">
        <v>845</v>
      </c>
      <c r="U6053">
        <v>231</v>
      </c>
      <c r="V6053">
        <v>0</v>
      </c>
      <c r="W6053">
        <v>113</v>
      </c>
      <c r="X6053">
        <v>587</v>
      </c>
      <c r="Y6053">
        <v>2</v>
      </c>
      <c r="Z6053">
        <v>89</v>
      </c>
      <c r="AA6053">
        <v>7</v>
      </c>
      <c r="AB6053">
        <v>1.7392810000000001</v>
      </c>
      <c r="AC6053">
        <v>2.854249E-2</v>
      </c>
      <c r="AD6053">
        <v>1.176701</v>
      </c>
      <c r="AE6053">
        <v>0.69971470000000002</v>
      </c>
      <c r="AF6053">
        <v>323.39120000000003</v>
      </c>
      <c r="AG6053">
        <f>IFERROR(AH6053*0.1, "N/A")</f>
        <v>5.4715990000000003</v>
      </c>
      <c r="AH6053">
        <v>54.715989999999998</v>
      </c>
      <c r="AI6053">
        <v>234.91200000000001</v>
      </c>
      <c r="AJ6053">
        <v>11.28401</v>
      </c>
      <c r="AK6053">
        <v>60.928570000000001</v>
      </c>
    </row>
    <row r="6054" spans="1:37" x14ac:dyDescent="0.3">
      <c r="A6054">
        <v>6053</v>
      </c>
      <c r="B6054">
        <v>1</v>
      </c>
      <c r="C6054">
        <v>-5.0116100000000001</v>
      </c>
      <c r="D6054">
        <v>12.5152</v>
      </c>
      <c r="E6054">
        <f>-5.01161-12.5152</f>
        <v>-17.526810000000001</v>
      </c>
      <c r="F6054" t="s">
        <v>9490</v>
      </c>
      <c r="G6054" t="s">
        <v>39</v>
      </c>
      <c r="H6054">
        <v>1990</v>
      </c>
      <c r="I6054">
        <v>27.3</v>
      </c>
      <c r="J6054">
        <v>13.9</v>
      </c>
      <c r="K6054">
        <v>57</v>
      </c>
      <c r="L6054">
        <v>24.84</v>
      </c>
      <c r="M6054">
        <v>38</v>
      </c>
      <c r="N6054">
        <v>13.8</v>
      </c>
      <c r="O6054">
        <v>24.2</v>
      </c>
      <c r="P6054">
        <v>26.6</v>
      </c>
      <c r="Q6054">
        <v>24.2</v>
      </c>
      <c r="R6054">
        <v>30.5</v>
      </c>
      <c r="S6054">
        <v>24.2</v>
      </c>
      <c r="T6054">
        <v>864</v>
      </c>
      <c r="U6054">
        <v>242</v>
      </c>
      <c r="V6054">
        <v>0</v>
      </c>
      <c r="W6054">
        <v>114</v>
      </c>
      <c r="X6054">
        <v>609</v>
      </c>
      <c r="Y6054">
        <v>1</v>
      </c>
      <c r="Z6054">
        <v>89</v>
      </c>
      <c r="AA6054">
        <v>1</v>
      </c>
      <c r="AB6054">
        <v>3.9697559999999998</v>
      </c>
      <c r="AC6054">
        <v>1.4398670000000001E-2</v>
      </c>
      <c r="AD6054">
        <v>1.39215</v>
      </c>
      <c r="AE6054">
        <v>0.69835789999999998</v>
      </c>
      <c r="AF6054">
        <v>310.92059999999998</v>
      </c>
      <c r="AG6054">
        <f>IFERROR(AH6054*0.1, "N/A")</f>
        <v>5.6998309999999996</v>
      </c>
      <c r="AH6054">
        <v>56.998309999999996</v>
      </c>
      <c r="AI6054">
        <v>304.69139999999999</v>
      </c>
      <c r="AJ6054">
        <v>14.00169</v>
      </c>
      <c r="AK6054">
        <v>55.994929999999997</v>
      </c>
    </row>
    <row r="6055" spans="1:37" x14ac:dyDescent="0.3">
      <c r="A6055">
        <v>6054</v>
      </c>
      <c r="B6055">
        <v>0.8</v>
      </c>
      <c r="C6055">
        <v>-5.0116100000000001</v>
      </c>
      <c r="D6055">
        <v>12.5152</v>
      </c>
      <c r="E6055">
        <f>-5.01161-12.5152</f>
        <v>-17.526810000000001</v>
      </c>
      <c r="F6055" t="s">
        <v>9491</v>
      </c>
      <c r="G6055" t="s">
        <v>37</v>
      </c>
      <c r="H6055">
        <v>1990</v>
      </c>
      <c r="I6055">
        <v>27.3</v>
      </c>
      <c r="J6055">
        <v>13.9</v>
      </c>
      <c r="K6055">
        <v>57</v>
      </c>
      <c r="L6055">
        <v>24.84</v>
      </c>
      <c r="M6055">
        <v>38</v>
      </c>
      <c r="N6055">
        <v>13.8</v>
      </c>
      <c r="O6055">
        <v>24.2</v>
      </c>
      <c r="P6055">
        <v>26.6</v>
      </c>
      <c r="Q6055">
        <v>24.2</v>
      </c>
      <c r="R6055">
        <v>30.5</v>
      </c>
      <c r="S6055">
        <v>24.2</v>
      </c>
      <c r="T6055">
        <v>864</v>
      </c>
      <c r="U6055">
        <v>242</v>
      </c>
      <c r="V6055">
        <v>0</v>
      </c>
      <c r="W6055">
        <v>114</v>
      </c>
      <c r="X6055">
        <v>609</v>
      </c>
      <c r="Y6055">
        <v>1</v>
      </c>
      <c r="Z6055">
        <v>89</v>
      </c>
      <c r="AA6055">
        <v>1</v>
      </c>
      <c r="AB6055">
        <v>3.9697559999999998</v>
      </c>
      <c r="AC6055">
        <v>1.4398670000000001E-2</v>
      </c>
      <c r="AD6055">
        <v>1.39215</v>
      </c>
      <c r="AE6055">
        <v>0.69835789999999998</v>
      </c>
      <c r="AF6055">
        <v>310.92059999999998</v>
      </c>
      <c r="AG6055">
        <f>IFERROR(AH6055*0.1, "N/A")</f>
        <v>5.6998309999999996</v>
      </c>
      <c r="AH6055">
        <v>56.998309999999996</v>
      </c>
      <c r="AI6055">
        <v>304.69139999999999</v>
      </c>
      <c r="AJ6055">
        <v>14.00169</v>
      </c>
      <c r="AK6055">
        <v>55.994929999999997</v>
      </c>
    </row>
    <row r="6056" spans="1:37" x14ac:dyDescent="0.3">
      <c r="A6056">
        <v>6055</v>
      </c>
      <c r="B6056">
        <v>7.1</v>
      </c>
      <c r="C6056">
        <v>-7.9362700000000004</v>
      </c>
      <c r="D6056">
        <v>12.530799999999999</v>
      </c>
      <c r="E6056">
        <f>-7.93627-12.5308</f>
        <v>-20.46707</v>
      </c>
      <c r="F6056" t="s">
        <v>9492</v>
      </c>
      <c r="G6056" t="s">
        <v>39</v>
      </c>
      <c r="H6056">
        <v>2006</v>
      </c>
      <c r="I6056">
        <v>27.8</v>
      </c>
      <c r="J6056">
        <v>13.8</v>
      </c>
      <c r="K6056">
        <v>61</v>
      </c>
      <c r="L6056">
        <v>22.4</v>
      </c>
      <c r="M6056">
        <v>39</v>
      </c>
      <c r="N6056">
        <v>16.5</v>
      </c>
      <c r="O6056">
        <v>22.5</v>
      </c>
      <c r="P6056">
        <v>26.4</v>
      </c>
      <c r="Q6056">
        <v>25.7</v>
      </c>
      <c r="R6056">
        <v>31.1</v>
      </c>
      <c r="S6056">
        <v>25.4</v>
      </c>
      <c r="T6056">
        <v>928</v>
      </c>
      <c r="U6056">
        <v>272</v>
      </c>
      <c r="V6056">
        <v>0</v>
      </c>
      <c r="W6056">
        <v>117</v>
      </c>
      <c r="X6056">
        <v>658</v>
      </c>
      <c r="Y6056">
        <v>0</v>
      </c>
      <c r="Z6056">
        <v>82</v>
      </c>
      <c r="AA6056">
        <v>3</v>
      </c>
      <c r="AB6056">
        <v>3.646366</v>
      </c>
      <c r="AC6056">
        <v>8.7578329999999996E-3</v>
      </c>
      <c r="AD6056">
        <v>1.562246</v>
      </c>
      <c r="AE6056">
        <v>0.8715157</v>
      </c>
      <c r="AF6056">
        <v>369.86130000000003</v>
      </c>
      <c r="AG6056">
        <f>IFERROR(AH6056*0.1, "N/A")</f>
        <v>5.89154</v>
      </c>
      <c r="AH6056">
        <v>58.915399999999998</v>
      </c>
      <c r="AI6056">
        <v>240.3921</v>
      </c>
      <c r="AJ6056">
        <v>23.21827</v>
      </c>
      <c r="AK6056">
        <v>47.688659999999999</v>
      </c>
    </row>
    <row r="6057" spans="1:37" x14ac:dyDescent="0.3">
      <c r="A6057">
        <v>6056</v>
      </c>
      <c r="B6057">
        <v>0</v>
      </c>
      <c r="C6057">
        <v>-7.9362700000000004</v>
      </c>
      <c r="D6057">
        <v>12.530799999999999</v>
      </c>
      <c r="E6057">
        <f>-7.93627-12.5308</f>
        <v>-20.46707</v>
      </c>
      <c r="F6057" t="s">
        <v>9493</v>
      </c>
      <c r="G6057" t="s">
        <v>37</v>
      </c>
      <c r="H6057">
        <v>2006</v>
      </c>
      <c r="I6057">
        <v>27.8</v>
      </c>
      <c r="J6057">
        <v>13.8</v>
      </c>
      <c r="K6057">
        <v>61</v>
      </c>
      <c r="L6057">
        <v>22.4</v>
      </c>
      <c r="M6057">
        <v>39</v>
      </c>
      <c r="N6057">
        <v>16.5</v>
      </c>
      <c r="O6057">
        <v>22.5</v>
      </c>
      <c r="P6057">
        <v>26.4</v>
      </c>
      <c r="Q6057">
        <v>25.7</v>
      </c>
      <c r="R6057">
        <v>31.1</v>
      </c>
      <c r="S6057">
        <v>25.4</v>
      </c>
      <c r="T6057">
        <v>928</v>
      </c>
      <c r="U6057">
        <v>272</v>
      </c>
      <c r="V6057">
        <v>0</v>
      </c>
      <c r="W6057">
        <v>117</v>
      </c>
      <c r="X6057">
        <v>658</v>
      </c>
      <c r="Y6057">
        <v>0</v>
      </c>
      <c r="Z6057">
        <v>82</v>
      </c>
      <c r="AA6057">
        <v>3</v>
      </c>
      <c r="AB6057">
        <v>3.646366</v>
      </c>
      <c r="AC6057">
        <v>8.7578329999999996E-3</v>
      </c>
      <c r="AD6057">
        <v>1.562246</v>
      </c>
      <c r="AE6057">
        <v>0.8715157</v>
      </c>
      <c r="AF6057">
        <v>369.86130000000003</v>
      </c>
      <c r="AG6057">
        <f>IFERROR(AH6057*0.1, "N/A")</f>
        <v>5.89154</v>
      </c>
      <c r="AH6057">
        <v>58.915399999999998</v>
      </c>
      <c r="AI6057">
        <v>240.3921</v>
      </c>
      <c r="AJ6057">
        <v>23.21827</v>
      </c>
      <c r="AK6057">
        <v>47.688659999999999</v>
      </c>
    </row>
    <row r="6058" spans="1:37" x14ac:dyDescent="0.3">
      <c r="A6058">
        <v>6057</v>
      </c>
      <c r="B6058">
        <v>0.8</v>
      </c>
      <c r="C6058">
        <v>-4.4215999999999998</v>
      </c>
      <c r="D6058">
        <v>12.565</v>
      </c>
      <c r="E6058">
        <f>-4.4216-12.565</f>
        <v>-16.986599999999999</v>
      </c>
      <c r="F6058" t="s">
        <v>9494</v>
      </c>
      <c r="G6058" t="s">
        <v>39</v>
      </c>
      <c r="H6058">
        <v>1990</v>
      </c>
      <c r="I6058">
        <v>26.8</v>
      </c>
      <c r="J6058">
        <v>13.7</v>
      </c>
      <c r="K6058">
        <v>58</v>
      </c>
      <c r="L6058">
        <v>24.2</v>
      </c>
      <c r="M6058">
        <v>37.4</v>
      </c>
      <c r="N6058">
        <v>13.9</v>
      </c>
      <c r="O6058">
        <v>23.5</v>
      </c>
      <c r="P6058">
        <v>25.9</v>
      </c>
      <c r="Q6058">
        <v>23.8</v>
      </c>
      <c r="R6058">
        <v>29.9</v>
      </c>
      <c r="S6058">
        <v>23.8</v>
      </c>
      <c r="T6058">
        <v>828</v>
      </c>
      <c r="U6058">
        <v>229</v>
      </c>
      <c r="V6058">
        <v>0</v>
      </c>
      <c r="W6058">
        <v>115</v>
      </c>
      <c r="X6058">
        <v>580</v>
      </c>
      <c r="Y6058">
        <v>3</v>
      </c>
      <c r="Z6058">
        <v>87</v>
      </c>
      <c r="AA6058">
        <v>3</v>
      </c>
      <c r="AB6058">
        <v>4.9037300000000004</v>
      </c>
      <c r="AC6058">
        <v>2.8859900000000001E-2</v>
      </c>
      <c r="AD6058">
        <v>1.50339</v>
      </c>
      <c r="AE6058">
        <v>0.63515319999999997</v>
      </c>
      <c r="AF6058">
        <v>441.1207</v>
      </c>
      <c r="AG6058">
        <f>IFERROR(AH6058*0.1, "N/A")</f>
        <v>5.5</v>
      </c>
      <c r="AH6058">
        <v>55</v>
      </c>
      <c r="AI6058">
        <v>146.39619999999999</v>
      </c>
      <c r="AJ6058">
        <v>13</v>
      </c>
      <c r="AK6058">
        <v>55</v>
      </c>
    </row>
    <row r="6059" spans="1:37" x14ac:dyDescent="0.3">
      <c r="A6059">
        <v>6058</v>
      </c>
      <c r="B6059">
        <v>0</v>
      </c>
      <c r="C6059">
        <v>-4.4215999999999998</v>
      </c>
      <c r="D6059">
        <v>12.565</v>
      </c>
      <c r="E6059">
        <f>-4.4216-12.565</f>
        <v>-16.986599999999999</v>
      </c>
      <c r="F6059" t="s">
        <v>9495</v>
      </c>
      <c r="G6059" t="s">
        <v>37</v>
      </c>
      <c r="H6059">
        <v>1990</v>
      </c>
      <c r="I6059">
        <v>26.8</v>
      </c>
      <c r="J6059">
        <v>13.7</v>
      </c>
      <c r="K6059">
        <v>58</v>
      </c>
      <c r="L6059">
        <v>24.2</v>
      </c>
      <c r="M6059">
        <v>37.4</v>
      </c>
      <c r="N6059">
        <v>13.9</v>
      </c>
      <c r="O6059">
        <v>23.5</v>
      </c>
      <c r="P6059">
        <v>25.9</v>
      </c>
      <c r="Q6059">
        <v>23.8</v>
      </c>
      <c r="R6059">
        <v>29.9</v>
      </c>
      <c r="S6059">
        <v>23.8</v>
      </c>
      <c r="T6059">
        <v>828</v>
      </c>
      <c r="U6059">
        <v>229</v>
      </c>
      <c r="V6059">
        <v>0</v>
      </c>
      <c r="W6059">
        <v>115</v>
      </c>
      <c r="X6059">
        <v>580</v>
      </c>
      <c r="Y6059">
        <v>3</v>
      </c>
      <c r="Z6059">
        <v>87</v>
      </c>
      <c r="AA6059">
        <v>3</v>
      </c>
      <c r="AB6059">
        <v>4.9037300000000004</v>
      </c>
      <c r="AC6059">
        <v>2.8859900000000001E-2</v>
      </c>
      <c r="AD6059">
        <v>1.50339</v>
      </c>
      <c r="AE6059">
        <v>0.63515319999999997</v>
      </c>
      <c r="AF6059">
        <v>441.1207</v>
      </c>
      <c r="AG6059">
        <f>IFERROR(AH6059*0.1, "N/A")</f>
        <v>5.5</v>
      </c>
      <c r="AH6059">
        <v>55</v>
      </c>
      <c r="AI6059">
        <v>146.39619999999999</v>
      </c>
      <c r="AJ6059">
        <v>13</v>
      </c>
      <c r="AK6059">
        <v>55</v>
      </c>
    </row>
    <row r="6060" spans="1:37" x14ac:dyDescent="0.3">
      <c r="A6060">
        <v>6059</v>
      </c>
      <c r="B6060">
        <v>45.7</v>
      </c>
      <c r="C6060">
        <v>-7.9771299999999998</v>
      </c>
      <c r="D6060">
        <v>12.5733</v>
      </c>
      <c r="E6060">
        <f>-7.97713-12.5733</f>
        <v>-20.550429999999999</v>
      </c>
      <c r="F6060" t="s">
        <v>9496</v>
      </c>
      <c r="G6060" t="s">
        <v>39</v>
      </c>
      <c r="H6060">
        <v>1990</v>
      </c>
      <c r="I6060">
        <v>27.8</v>
      </c>
      <c r="J6060">
        <v>14</v>
      </c>
      <c r="K6060">
        <v>61</v>
      </c>
      <c r="L6060">
        <v>22.28</v>
      </c>
      <c r="M6060">
        <v>38.9</v>
      </c>
      <c r="N6060">
        <v>16.3</v>
      </c>
      <c r="O6060">
        <v>22.6</v>
      </c>
      <c r="P6060">
        <v>26.5</v>
      </c>
      <c r="Q6060">
        <v>25.8</v>
      </c>
      <c r="R6060">
        <v>31.1</v>
      </c>
      <c r="S6060">
        <v>25.4</v>
      </c>
      <c r="T6060">
        <v>941</v>
      </c>
      <c r="U6060">
        <v>278</v>
      </c>
      <c r="V6060">
        <v>0</v>
      </c>
      <c r="W6060">
        <v>118</v>
      </c>
      <c r="X6060">
        <v>670</v>
      </c>
      <c r="Y6060">
        <v>0</v>
      </c>
      <c r="Z6060">
        <v>81</v>
      </c>
      <c r="AA6060">
        <v>4</v>
      </c>
      <c r="AB6060">
        <v>5.3756300000000001</v>
      </c>
      <c r="AC6060">
        <v>4.8190080000000003E-2</v>
      </c>
      <c r="AD6060">
        <v>1.560476</v>
      </c>
      <c r="AE6060">
        <v>0.94746249999999999</v>
      </c>
      <c r="AF6060">
        <v>341.1857</v>
      </c>
      <c r="AG6060">
        <f>IFERROR(AH6060*0.1, "N/A")</f>
        <v>6.0858600000000003</v>
      </c>
      <c r="AH6060">
        <v>60.858600000000003</v>
      </c>
      <c r="AI6060">
        <v>170.04409999999999</v>
      </c>
      <c r="AJ6060">
        <v>30.570699999999999</v>
      </c>
      <c r="AK6060">
        <v>49</v>
      </c>
    </row>
    <row r="6061" spans="1:37" x14ac:dyDescent="0.3">
      <c r="A6061">
        <v>6060</v>
      </c>
      <c r="B6061">
        <v>12.3</v>
      </c>
      <c r="C6061">
        <v>-7.9771299999999998</v>
      </c>
      <c r="D6061">
        <v>12.5733</v>
      </c>
      <c r="E6061">
        <f>-7.97713-12.5733</f>
        <v>-20.550429999999999</v>
      </c>
      <c r="F6061" t="s">
        <v>9497</v>
      </c>
      <c r="G6061" t="s">
        <v>37</v>
      </c>
      <c r="H6061">
        <v>1990</v>
      </c>
      <c r="I6061">
        <v>27.8</v>
      </c>
      <c r="J6061">
        <v>14</v>
      </c>
      <c r="K6061">
        <v>61</v>
      </c>
      <c r="L6061">
        <v>22.28</v>
      </c>
      <c r="M6061">
        <v>38.9</v>
      </c>
      <c r="N6061">
        <v>16.3</v>
      </c>
      <c r="O6061">
        <v>22.6</v>
      </c>
      <c r="P6061">
        <v>26.5</v>
      </c>
      <c r="Q6061">
        <v>25.8</v>
      </c>
      <c r="R6061">
        <v>31.1</v>
      </c>
      <c r="S6061">
        <v>25.4</v>
      </c>
      <c r="T6061">
        <v>941</v>
      </c>
      <c r="U6061">
        <v>278</v>
      </c>
      <c r="V6061">
        <v>0</v>
      </c>
      <c r="W6061">
        <v>118</v>
      </c>
      <c r="X6061">
        <v>670</v>
      </c>
      <c r="Y6061">
        <v>0</v>
      </c>
      <c r="Z6061">
        <v>81</v>
      </c>
      <c r="AA6061">
        <v>4</v>
      </c>
      <c r="AB6061">
        <v>5.3756300000000001</v>
      </c>
      <c r="AC6061">
        <v>4.8190080000000003E-2</v>
      </c>
      <c r="AD6061">
        <v>1.560476</v>
      </c>
      <c r="AE6061">
        <v>0.94746249999999999</v>
      </c>
      <c r="AF6061">
        <v>341.1857</v>
      </c>
      <c r="AG6061">
        <f>IFERROR(AH6061*0.1, "N/A")</f>
        <v>6.0858600000000003</v>
      </c>
      <c r="AH6061">
        <v>60.858600000000003</v>
      </c>
      <c r="AI6061">
        <v>170.04409999999999</v>
      </c>
      <c r="AJ6061">
        <v>30.570699999999999</v>
      </c>
      <c r="AK6061">
        <v>49</v>
      </c>
    </row>
    <row r="6062" spans="1:37" x14ac:dyDescent="0.3">
      <c r="A6062">
        <v>6061</v>
      </c>
      <c r="B6062">
        <v>10</v>
      </c>
      <c r="C6062">
        <v>-7.9726299999999997</v>
      </c>
      <c r="D6062">
        <v>12.575900000000001</v>
      </c>
      <c r="E6062">
        <f>-7.97263-12.5759</f>
        <v>-20.54853</v>
      </c>
      <c r="F6062" t="s">
        <v>9498</v>
      </c>
      <c r="G6062" t="s">
        <v>39</v>
      </c>
      <c r="H6062">
        <v>2006</v>
      </c>
      <c r="I6062">
        <v>27.7</v>
      </c>
      <c r="J6062">
        <v>14</v>
      </c>
      <c r="K6062">
        <v>61</v>
      </c>
      <c r="L6062">
        <v>21.78</v>
      </c>
      <c r="M6062">
        <v>38.9</v>
      </c>
      <c r="N6062">
        <v>16.2</v>
      </c>
      <c r="O6062">
        <v>22.7</v>
      </c>
      <c r="P6062">
        <v>26.5</v>
      </c>
      <c r="Q6062">
        <v>25.8</v>
      </c>
      <c r="R6062">
        <v>30.9</v>
      </c>
      <c r="S6062">
        <v>25.4</v>
      </c>
      <c r="T6062">
        <v>938</v>
      </c>
      <c r="U6062">
        <v>279</v>
      </c>
      <c r="V6062">
        <v>0</v>
      </c>
      <c r="W6062">
        <v>118</v>
      </c>
      <c r="X6062">
        <v>671</v>
      </c>
      <c r="Y6062">
        <v>0</v>
      </c>
      <c r="Z6062">
        <v>79</v>
      </c>
      <c r="AA6062">
        <v>3</v>
      </c>
      <c r="AB6062">
        <v>2.0504319999999998</v>
      </c>
      <c r="AC6062">
        <v>0.40192240000000001</v>
      </c>
      <c r="AD6062">
        <v>1.4937659999999999</v>
      </c>
      <c r="AE6062">
        <v>0.9472836</v>
      </c>
      <c r="AF6062">
        <v>343.10559999999998</v>
      </c>
      <c r="AG6062">
        <f>IFERROR(AH6062*0.1, "N/A")</f>
        <v>6.0739350000000005</v>
      </c>
      <c r="AH6062">
        <v>60.739350000000002</v>
      </c>
      <c r="AI6062">
        <v>202.68379999999999</v>
      </c>
      <c r="AJ6062">
        <v>31.563880000000001</v>
      </c>
      <c r="AK6062">
        <v>48.558770000000003</v>
      </c>
    </row>
    <row r="6063" spans="1:37" x14ac:dyDescent="0.3">
      <c r="A6063">
        <v>6062</v>
      </c>
      <c r="B6063">
        <v>14.3</v>
      </c>
      <c r="C6063">
        <v>-7.9726299999999997</v>
      </c>
      <c r="D6063">
        <v>12.575900000000001</v>
      </c>
      <c r="E6063">
        <f>-7.97263-12.5759</f>
        <v>-20.54853</v>
      </c>
      <c r="F6063" t="s">
        <v>9499</v>
      </c>
      <c r="G6063" t="s">
        <v>37</v>
      </c>
      <c r="H6063">
        <v>2006</v>
      </c>
      <c r="I6063">
        <v>27.7</v>
      </c>
      <c r="J6063">
        <v>14</v>
      </c>
      <c r="K6063">
        <v>61</v>
      </c>
      <c r="L6063">
        <v>21.78</v>
      </c>
      <c r="M6063">
        <v>38.9</v>
      </c>
      <c r="N6063">
        <v>16.2</v>
      </c>
      <c r="O6063">
        <v>22.7</v>
      </c>
      <c r="P6063">
        <v>26.5</v>
      </c>
      <c r="Q6063">
        <v>25.8</v>
      </c>
      <c r="R6063">
        <v>30.9</v>
      </c>
      <c r="S6063">
        <v>25.4</v>
      </c>
      <c r="T6063">
        <v>938</v>
      </c>
      <c r="U6063">
        <v>279</v>
      </c>
      <c r="V6063">
        <v>0</v>
      </c>
      <c r="W6063">
        <v>118</v>
      </c>
      <c r="X6063">
        <v>671</v>
      </c>
      <c r="Y6063">
        <v>0</v>
      </c>
      <c r="Z6063">
        <v>79</v>
      </c>
      <c r="AA6063">
        <v>3</v>
      </c>
      <c r="AB6063">
        <v>2.0504319999999998</v>
      </c>
      <c r="AC6063">
        <v>0.40192240000000001</v>
      </c>
      <c r="AD6063">
        <v>1.4937659999999999</v>
      </c>
      <c r="AE6063">
        <v>0.9472836</v>
      </c>
      <c r="AF6063">
        <v>343.10559999999998</v>
      </c>
      <c r="AG6063">
        <f>IFERROR(AH6063*0.1, "N/A")</f>
        <v>6.0739350000000005</v>
      </c>
      <c r="AH6063">
        <v>60.739350000000002</v>
      </c>
      <c r="AI6063">
        <v>202.68379999999999</v>
      </c>
      <c r="AJ6063">
        <v>31.563880000000001</v>
      </c>
      <c r="AK6063">
        <v>48.558770000000003</v>
      </c>
    </row>
    <row r="6064" spans="1:37" x14ac:dyDescent="0.3">
      <c r="A6064">
        <v>6063</v>
      </c>
      <c r="B6064">
        <v>33.299999999999997</v>
      </c>
      <c r="C6064">
        <v>-7.9846500000000002</v>
      </c>
      <c r="D6064">
        <v>12.584199999999999</v>
      </c>
      <c r="E6064">
        <f>-7.98465-12.5842</f>
        <v>-20.568849999999998</v>
      </c>
      <c r="F6064" t="s">
        <v>9500</v>
      </c>
      <c r="G6064" t="s">
        <v>39</v>
      </c>
      <c r="H6064">
        <v>2006</v>
      </c>
      <c r="I6064">
        <v>27.8</v>
      </c>
      <c r="J6064">
        <v>14.09473</v>
      </c>
      <c r="K6064">
        <v>61.947279999999999</v>
      </c>
      <c r="L6064">
        <v>21.708960000000001</v>
      </c>
      <c r="M6064">
        <v>38.80527</v>
      </c>
      <c r="N6064">
        <v>16.294730000000001</v>
      </c>
      <c r="O6064">
        <v>22.510539999999999</v>
      </c>
      <c r="P6064">
        <v>26.5</v>
      </c>
      <c r="Q6064">
        <v>25.9</v>
      </c>
      <c r="R6064">
        <v>30.905270000000002</v>
      </c>
      <c r="S6064">
        <v>25.4</v>
      </c>
      <c r="T6064">
        <v>943.94730000000004</v>
      </c>
      <c r="U6064">
        <v>279.94729999999998</v>
      </c>
      <c r="V6064">
        <v>0</v>
      </c>
      <c r="W6064">
        <v>118.9473</v>
      </c>
      <c r="X6064">
        <v>674.84180000000003</v>
      </c>
      <c r="Y6064">
        <v>0</v>
      </c>
      <c r="Z6064">
        <v>79.105440000000002</v>
      </c>
      <c r="AA6064">
        <v>4</v>
      </c>
      <c r="AB6064">
        <v>3.1584940000000001</v>
      </c>
      <c r="AC6064">
        <v>9.9079029999999992E-3</v>
      </c>
      <c r="AD6064">
        <v>1.1599470000000001</v>
      </c>
      <c r="AE6064">
        <v>0.94236759999999997</v>
      </c>
      <c r="AF6064">
        <v>336.07819999999998</v>
      </c>
      <c r="AG6064">
        <f>IFERROR(AH6064*0.1, "N/A")</f>
        <v>6.1000000000000005</v>
      </c>
      <c r="AH6064">
        <v>61</v>
      </c>
      <c r="AI6064">
        <v>107.834</v>
      </c>
      <c r="AJ6064">
        <v>29.5</v>
      </c>
      <c r="AK6064">
        <v>51.746600000000001</v>
      </c>
    </row>
    <row r="6065" spans="1:37" x14ac:dyDescent="0.3">
      <c r="A6065">
        <v>6064</v>
      </c>
      <c r="B6065">
        <v>0</v>
      </c>
      <c r="C6065">
        <v>-7.9846500000000002</v>
      </c>
      <c r="D6065">
        <v>12.584199999999999</v>
      </c>
      <c r="E6065">
        <f>-7.98465-12.5842</f>
        <v>-20.568849999999998</v>
      </c>
      <c r="F6065" t="s">
        <v>9501</v>
      </c>
      <c r="G6065" t="s">
        <v>37</v>
      </c>
      <c r="H6065">
        <v>2006</v>
      </c>
      <c r="I6065">
        <v>27.8</v>
      </c>
      <c r="J6065">
        <v>14.09473</v>
      </c>
      <c r="K6065">
        <v>61.947279999999999</v>
      </c>
      <c r="L6065">
        <v>21.708960000000001</v>
      </c>
      <c r="M6065">
        <v>38.80527</v>
      </c>
      <c r="N6065">
        <v>16.294730000000001</v>
      </c>
      <c r="O6065">
        <v>22.510539999999999</v>
      </c>
      <c r="P6065">
        <v>26.5</v>
      </c>
      <c r="Q6065">
        <v>25.9</v>
      </c>
      <c r="R6065">
        <v>30.905270000000002</v>
      </c>
      <c r="S6065">
        <v>25.4</v>
      </c>
      <c r="T6065">
        <v>943.94730000000004</v>
      </c>
      <c r="U6065">
        <v>279.94729999999998</v>
      </c>
      <c r="V6065">
        <v>0</v>
      </c>
      <c r="W6065">
        <v>118.9473</v>
      </c>
      <c r="X6065">
        <v>674.84180000000003</v>
      </c>
      <c r="Y6065">
        <v>0</v>
      </c>
      <c r="Z6065">
        <v>79.105440000000002</v>
      </c>
      <c r="AA6065">
        <v>4</v>
      </c>
      <c r="AB6065">
        <v>3.1584940000000001</v>
      </c>
      <c r="AC6065">
        <v>9.9079029999999992E-3</v>
      </c>
      <c r="AD6065">
        <v>1.1599470000000001</v>
      </c>
      <c r="AE6065">
        <v>0.94236759999999997</v>
      </c>
      <c r="AF6065">
        <v>336.07819999999998</v>
      </c>
      <c r="AG6065">
        <f>IFERROR(AH6065*0.1, "N/A")</f>
        <v>6.1000000000000005</v>
      </c>
      <c r="AH6065">
        <v>61</v>
      </c>
      <c r="AI6065">
        <v>107.834</v>
      </c>
      <c r="AJ6065">
        <v>29.5</v>
      </c>
      <c r="AK6065">
        <v>51.746600000000001</v>
      </c>
    </row>
    <row r="6066" spans="1:37" x14ac:dyDescent="0.3">
      <c r="A6066">
        <v>6065</v>
      </c>
      <c r="B6066">
        <v>9.6999999999999993</v>
      </c>
      <c r="C6066">
        <v>-7.6981999999999999</v>
      </c>
      <c r="D6066">
        <v>12.585000000000001</v>
      </c>
      <c r="E6066">
        <f>-7.6982-12.585</f>
        <v>-20.283200000000001</v>
      </c>
      <c r="F6066" t="s">
        <v>9502</v>
      </c>
      <c r="G6066" t="s">
        <v>39</v>
      </c>
      <c r="H6066">
        <v>1986</v>
      </c>
      <c r="I6066">
        <v>27.3</v>
      </c>
      <c r="J6066">
        <v>14.2</v>
      </c>
      <c r="K6066">
        <v>59</v>
      </c>
      <c r="L6066">
        <v>23.26</v>
      </c>
      <c r="M6066">
        <v>38.799999999999997</v>
      </c>
      <c r="N6066">
        <v>15</v>
      </c>
      <c r="O6066">
        <v>23.8</v>
      </c>
      <c r="P6066">
        <v>26.3</v>
      </c>
      <c r="Q6066">
        <v>24.9</v>
      </c>
      <c r="R6066">
        <v>30.6</v>
      </c>
      <c r="S6066">
        <v>24.6</v>
      </c>
      <c r="T6066">
        <v>897</v>
      </c>
      <c r="U6066">
        <v>269</v>
      </c>
      <c r="V6066">
        <v>0</v>
      </c>
      <c r="W6066">
        <v>120</v>
      </c>
      <c r="X6066">
        <v>644</v>
      </c>
      <c r="Y6066">
        <v>0</v>
      </c>
      <c r="Z6066">
        <v>72</v>
      </c>
      <c r="AA6066">
        <v>3</v>
      </c>
      <c r="AB6066">
        <v>2.3465090000000002</v>
      </c>
      <c r="AC6066">
        <v>1.3806499999999999E-2</v>
      </c>
      <c r="AD6066">
        <v>1.8131189999999999</v>
      </c>
      <c r="AE6066">
        <v>0.66539400000000004</v>
      </c>
      <c r="AF6066">
        <v>352.57240000000002</v>
      </c>
      <c r="AG6066">
        <f>IFERROR(AH6066*0.1, "N/A")</f>
        <v>5.6908010000000004</v>
      </c>
      <c r="AH6066">
        <v>56.908009999999997</v>
      </c>
      <c r="AI6066">
        <v>163.2654</v>
      </c>
      <c r="AJ6066">
        <v>17.393529999999998</v>
      </c>
      <c r="AK6066">
        <v>48.807499999999997</v>
      </c>
    </row>
    <row r="6067" spans="1:37" x14ac:dyDescent="0.3">
      <c r="A6067">
        <v>6066</v>
      </c>
      <c r="B6067">
        <v>17.5</v>
      </c>
      <c r="C6067">
        <v>-7.6981999999999999</v>
      </c>
      <c r="D6067">
        <v>12.585000000000001</v>
      </c>
      <c r="E6067">
        <f>-7.6982-12.585</f>
        <v>-20.283200000000001</v>
      </c>
      <c r="F6067" t="s">
        <v>9503</v>
      </c>
      <c r="G6067" t="s">
        <v>37</v>
      </c>
      <c r="H6067">
        <v>1986</v>
      </c>
      <c r="I6067">
        <v>27.3</v>
      </c>
      <c r="J6067">
        <v>14.2</v>
      </c>
      <c r="K6067">
        <v>59</v>
      </c>
      <c r="L6067">
        <v>23.26</v>
      </c>
      <c r="M6067">
        <v>38.799999999999997</v>
      </c>
      <c r="N6067">
        <v>15</v>
      </c>
      <c r="O6067">
        <v>23.8</v>
      </c>
      <c r="P6067">
        <v>26.3</v>
      </c>
      <c r="Q6067">
        <v>24.9</v>
      </c>
      <c r="R6067">
        <v>30.6</v>
      </c>
      <c r="S6067">
        <v>24.6</v>
      </c>
      <c r="T6067">
        <v>897</v>
      </c>
      <c r="U6067">
        <v>269</v>
      </c>
      <c r="V6067">
        <v>0</v>
      </c>
      <c r="W6067">
        <v>120</v>
      </c>
      <c r="X6067">
        <v>644</v>
      </c>
      <c r="Y6067">
        <v>0</v>
      </c>
      <c r="Z6067">
        <v>72</v>
      </c>
      <c r="AA6067">
        <v>3</v>
      </c>
      <c r="AB6067">
        <v>2.3465090000000002</v>
      </c>
      <c r="AC6067">
        <v>1.3806499999999999E-2</v>
      </c>
      <c r="AD6067">
        <v>1.8131189999999999</v>
      </c>
      <c r="AE6067">
        <v>0.66539400000000004</v>
      </c>
      <c r="AF6067">
        <v>352.57240000000002</v>
      </c>
      <c r="AG6067">
        <f>IFERROR(AH6067*0.1, "N/A")</f>
        <v>5.6908010000000004</v>
      </c>
      <c r="AH6067">
        <v>56.908009999999997</v>
      </c>
      <c r="AI6067">
        <v>163.2654</v>
      </c>
      <c r="AJ6067">
        <v>17.393529999999998</v>
      </c>
      <c r="AK6067">
        <v>48.807499999999997</v>
      </c>
    </row>
    <row r="6068" spans="1:37" x14ac:dyDescent="0.3">
      <c r="A6068">
        <v>6067</v>
      </c>
      <c r="B6068">
        <v>15.4</v>
      </c>
      <c r="C6068">
        <v>-7.7671700000000001</v>
      </c>
      <c r="D6068">
        <v>12.5898</v>
      </c>
      <c r="E6068">
        <f>-7.76717-12.5898</f>
        <v>-20.35697</v>
      </c>
      <c r="F6068" t="s">
        <v>9504</v>
      </c>
      <c r="G6068" t="s">
        <v>39</v>
      </c>
      <c r="H6068">
        <v>2006</v>
      </c>
      <c r="I6068">
        <v>27.4</v>
      </c>
      <c r="J6068">
        <v>14.1</v>
      </c>
      <c r="K6068">
        <v>59</v>
      </c>
      <c r="L6068">
        <v>23.58427</v>
      </c>
      <c r="M6068">
        <v>38.9</v>
      </c>
      <c r="N6068">
        <v>15.2</v>
      </c>
      <c r="O6068">
        <v>23.7</v>
      </c>
      <c r="P6068">
        <v>26.2</v>
      </c>
      <c r="Q6068">
        <v>25</v>
      </c>
      <c r="R6068">
        <v>30.723299999999998</v>
      </c>
      <c r="S6068">
        <v>24.6</v>
      </c>
      <c r="T6068">
        <v>905.76700000000005</v>
      </c>
      <c r="U6068">
        <v>269.767</v>
      </c>
      <c r="V6068">
        <v>0</v>
      </c>
      <c r="W6068">
        <v>119</v>
      </c>
      <c r="X6068">
        <v>647.76700000000005</v>
      </c>
      <c r="Y6068">
        <v>1</v>
      </c>
      <c r="Z6068">
        <v>73</v>
      </c>
      <c r="AA6068">
        <v>4</v>
      </c>
      <c r="AB6068">
        <v>4.6355599999999999</v>
      </c>
      <c r="AC6068">
        <v>2.3520039999999999E-2</v>
      </c>
      <c r="AD6068">
        <v>1.1172500000000001</v>
      </c>
      <c r="AE6068">
        <v>0.74868630000000003</v>
      </c>
      <c r="AF6068">
        <v>335.13780000000003</v>
      </c>
      <c r="AG6068">
        <f>IFERROR(AH6068*0.1, "N/A")</f>
        <v>6.1767010000000004</v>
      </c>
      <c r="AH6068">
        <v>61.767009999999999</v>
      </c>
      <c r="AI6068">
        <v>208.6354</v>
      </c>
      <c r="AJ6068">
        <v>17.698979999999999</v>
      </c>
      <c r="AK6068">
        <v>54.767009999999999</v>
      </c>
    </row>
    <row r="6069" spans="1:37" x14ac:dyDescent="0.3">
      <c r="A6069">
        <v>6068</v>
      </c>
      <c r="B6069">
        <v>0</v>
      </c>
      <c r="C6069">
        <v>-7.7671700000000001</v>
      </c>
      <c r="D6069">
        <v>12.5898</v>
      </c>
      <c r="E6069">
        <f>-7.76717-12.5898</f>
        <v>-20.35697</v>
      </c>
      <c r="F6069" t="s">
        <v>9505</v>
      </c>
      <c r="G6069" t="s">
        <v>37</v>
      </c>
      <c r="H6069">
        <v>2006</v>
      </c>
      <c r="I6069">
        <v>27.4</v>
      </c>
      <c r="J6069">
        <v>14.1</v>
      </c>
      <c r="K6069">
        <v>59</v>
      </c>
      <c r="L6069">
        <v>23.58427</v>
      </c>
      <c r="M6069">
        <v>38.9</v>
      </c>
      <c r="N6069">
        <v>15.2</v>
      </c>
      <c r="O6069">
        <v>23.7</v>
      </c>
      <c r="P6069">
        <v>26.2</v>
      </c>
      <c r="Q6069">
        <v>25</v>
      </c>
      <c r="R6069">
        <v>30.723299999999998</v>
      </c>
      <c r="S6069">
        <v>24.6</v>
      </c>
      <c r="T6069">
        <v>905.76700000000005</v>
      </c>
      <c r="U6069">
        <v>269.767</v>
      </c>
      <c r="V6069">
        <v>0</v>
      </c>
      <c r="W6069">
        <v>119</v>
      </c>
      <c r="X6069">
        <v>647.76700000000005</v>
      </c>
      <c r="Y6069">
        <v>1</v>
      </c>
      <c r="Z6069">
        <v>73</v>
      </c>
      <c r="AA6069">
        <v>4</v>
      </c>
      <c r="AB6069">
        <v>4.6355599999999999</v>
      </c>
      <c r="AC6069">
        <v>2.3520039999999999E-2</v>
      </c>
      <c r="AD6069">
        <v>1.1172500000000001</v>
      </c>
      <c r="AE6069">
        <v>0.74868630000000003</v>
      </c>
      <c r="AF6069">
        <v>335.13780000000003</v>
      </c>
      <c r="AG6069">
        <f>IFERROR(AH6069*0.1, "N/A")</f>
        <v>6.1767010000000004</v>
      </c>
      <c r="AH6069">
        <v>61.767009999999999</v>
      </c>
      <c r="AI6069">
        <v>208.6354</v>
      </c>
      <c r="AJ6069">
        <v>17.698979999999999</v>
      </c>
      <c r="AK6069">
        <v>54.767009999999999</v>
      </c>
    </row>
    <row r="6070" spans="1:37" x14ac:dyDescent="0.3">
      <c r="A6070">
        <v>6069</v>
      </c>
      <c r="B6070">
        <v>2.7</v>
      </c>
      <c r="C6070">
        <v>-8.0198599999999995</v>
      </c>
      <c r="D6070">
        <v>12.590999999999999</v>
      </c>
      <c r="E6070">
        <f>-8.01986-12.591</f>
        <v>-20.610859999999999</v>
      </c>
      <c r="F6070" t="s">
        <v>9506</v>
      </c>
      <c r="G6070" t="s">
        <v>37</v>
      </c>
      <c r="H6070">
        <v>1998</v>
      </c>
      <c r="I6070">
        <v>27.805420000000002</v>
      </c>
      <c r="J6070">
        <v>14.105420000000001</v>
      </c>
      <c r="K6070">
        <v>63</v>
      </c>
      <c r="L6070">
        <v>21.178750000000001</v>
      </c>
      <c r="M6070">
        <v>38.705419999999997</v>
      </c>
      <c r="N6070">
        <v>16.394580000000001</v>
      </c>
      <c r="O6070">
        <v>22.310849999999999</v>
      </c>
      <c r="P6070">
        <v>26.6</v>
      </c>
      <c r="Q6070">
        <v>25.9</v>
      </c>
      <c r="R6070">
        <v>30.905419999999999</v>
      </c>
      <c r="S6070">
        <v>25.594580000000001</v>
      </c>
      <c r="T6070">
        <v>951.10850000000005</v>
      </c>
      <c r="U6070">
        <v>282.05419999999998</v>
      </c>
      <c r="V6070">
        <v>0</v>
      </c>
      <c r="W6070">
        <v>118.05419999999999</v>
      </c>
      <c r="X6070">
        <v>681.10850000000005</v>
      </c>
      <c r="Y6070">
        <v>5.4237290000000001E-2</v>
      </c>
      <c r="Z6070">
        <v>79.945760000000007</v>
      </c>
      <c r="AA6070">
        <v>4.0542369999999996</v>
      </c>
      <c r="AB6070">
        <v>11.447609999999999</v>
      </c>
      <c r="AC6070">
        <v>9.6675949999999997E-2</v>
      </c>
      <c r="AD6070">
        <v>1.452032</v>
      </c>
      <c r="AE6070">
        <v>0.94183640000000002</v>
      </c>
      <c r="AF6070">
        <v>337.52199999999999</v>
      </c>
      <c r="AG6070">
        <f>IFERROR(AH6070*0.1, "N/A")</f>
        <v>5.9623730000000004</v>
      </c>
      <c r="AH6070">
        <v>59.623730000000002</v>
      </c>
      <c r="AI6070">
        <v>101.58</v>
      </c>
      <c r="AJ6070">
        <v>27.311859999999999</v>
      </c>
      <c r="AK6070">
        <v>56.688139999999997</v>
      </c>
    </row>
    <row r="6071" spans="1:37" x14ac:dyDescent="0.3">
      <c r="A6071">
        <v>6070</v>
      </c>
      <c r="B6071">
        <v>43.4</v>
      </c>
      <c r="C6071">
        <v>-8.0198599999999995</v>
      </c>
      <c r="D6071">
        <v>12.590999999999999</v>
      </c>
      <c r="E6071">
        <f>-8.01986-12.591</f>
        <v>-20.610859999999999</v>
      </c>
      <c r="F6071" t="s">
        <v>9507</v>
      </c>
      <c r="G6071" t="s">
        <v>39</v>
      </c>
      <c r="H6071">
        <v>1998</v>
      </c>
      <c r="I6071">
        <v>27.805420000000002</v>
      </c>
      <c r="J6071">
        <v>14.105420000000001</v>
      </c>
      <c r="K6071">
        <v>63</v>
      </c>
      <c r="L6071">
        <v>21.178750000000001</v>
      </c>
      <c r="M6071">
        <v>38.705419999999997</v>
      </c>
      <c r="N6071">
        <v>16.394580000000001</v>
      </c>
      <c r="O6071">
        <v>22.310849999999999</v>
      </c>
      <c r="P6071">
        <v>26.6</v>
      </c>
      <c r="Q6071">
        <v>25.9</v>
      </c>
      <c r="R6071">
        <v>30.905419999999999</v>
      </c>
      <c r="S6071">
        <v>25.594580000000001</v>
      </c>
      <c r="T6071">
        <v>951.10850000000005</v>
      </c>
      <c r="U6071">
        <v>282.05419999999998</v>
      </c>
      <c r="V6071">
        <v>0</v>
      </c>
      <c r="W6071">
        <v>118.05419999999999</v>
      </c>
      <c r="X6071">
        <v>681.10850000000005</v>
      </c>
      <c r="Y6071">
        <v>5.4237290000000001E-2</v>
      </c>
      <c r="Z6071">
        <v>79.945760000000007</v>
      </c>
      <c r="AA6071">
        <v>4.0542369999999996</v>
      </c>
      <c r="AB6071">
        <v>11.447609999999999</v>
      </c>
      <c r="AC6071">
        <v>9.6675949999999997E-2</v>
      </c>
      <c r="AD6071">
        <v>1.452032</v>
      </c>
      <c r="AE6071">
        <v>0.94183640000000002</v>
      </c>
      <c r="AF6071">
        <v>337.52199999999999</v>
      </c>
      <c r="AG6071">
        <f>IFERROR(AH6071*0.1, "N/A")</f>
        <v>5.9623730000000004</v>
      </c>
      <c r="AH6071">
        <v>59.623730000000002</v>
      </c>
      <c r="AI6071">
        <v>101.58</v>
      </c>
      <c r="AJ6071">
        <v>27.311859999999999</v>
      </c>
      <c r="AK6071">
        <v>56.688139999999997</v>
      </c>
    </row>
    <row r="6072" spans="1:37" x14ac:dyDescent="0.3">
      <c r="A6072">
        <v>6071</v>
      </c>
      <c r="B6072">
        <v>15.4</v>
      </c>
      <c r="C6072">
        <v>-7.9944800000000003</v>
      </c>
      <c r="D6072">
        <v>12.5939</v>
      </c>
      <c r="E6072">
        <f>-7.99448-12.5939</f>
        <v>-20.588380000000001</v>
      </c>
      <c r="F6072" t="s">
        <v>9508</v>
      </c>
      <c r="G6072" t="s">
        <v>39</v>
      </c>
      <c r="H6072">
        <v>2006</v>
      </c>
      <c r="I6072">
        <v>27.7</v>
      </c>
      <c r="J6072">
        <v>14</v>
      </c>
      <c r="K6072">
        <v>63</v>
      </c>
      <c r="L6072">
        <v>21.09</v>
      </c>
      <c r="M6072">
        <v>38.6</v>
      </c>
      <c r="N6072">
        <v>16.399999999999999</v>
      </c>
      <c r="O6072">
        <v>22.2</v>
      </c>
      <c r="P6072">
        <v>26.4</v>
      </c>
      <c r="Q6072">
        <v>26</v>
      </c>
      <c r="R6072">
        <v>30.9</v>
      </c>
      <c r="S6072">
        <v>25.6</v>
      </c>
      <c r="T6072">
        <v>947</v>
      </c>
      <c r="U6072">
        <v>282</v>
      </c>
      <c r="V6072">
        <v>0</v>
      </c>
      <c r="W6072">
        <v>120</v>
      </c>
      <c r="X6072">
        <v>680</v>
      </c>
      <c r="Y6072">
        <v>1</v>
      </c>
      <c r="Z6072">
        <v>77</v>
      </c>
      <c r="AA6072">
        <v>5</v>
      </c>
      <c r="AB6072">
        <v>10.86374</v>
      </c>
      <c r="AC6072">
        <v>2.5293220000000002E-2</v>
      </c>
      <c r="AD6072">
        <v>1.9198470000000001</v>
      </c>
      <c r="AE6072">
        <v>0.94352709999999995</v>
      </c>
      <c r="AF6072">
        <v>363.9203</v>
      </c>
      <c r="AG6072">
        <f>IFERROR(AH6072*0.1, "N/A")</f>
        <v>6.2410170000000003</v>
      </c>
      <c r="AH6072">
        <v>62.410170000000001</v>
      </c>
      <c r="AI6072">
        <v>96.592309999999998</v>
      </c>
      <c r="AJ6072">
        <v>30</v>
      </c>
      <c r="AK6072">
        <v>55</v>
      </c>
    </row>
    <row r="6073" spans="1:37" x14ac:dyDescent="0.3">
      <c r="A6073">
        <v>6072</v>
      </c>
      <c r="B6073">
        <v>0</v>
      </c>
      <c r="C6073">
        <v>-7.9944800000000003</v>
      </c>
      <c r="D6073">
        <v>12.5939</v>
      </c>
      <c r="E6073">
        <f>-7.99448-12.5939</f>
        <v>-20.588380000000001</v>
      </c>
      <c r="F6073" t="s">
        <v>9509</v>
      </c>
      <c r="G6073" t="s">
        <v>37</v>
      </c>
      <c r="H6073">
        <v>2006</v>
      </c>
      <c r="I6073">
        <v>27.7</v>
      </c>
      <c r="J6073">
        <v>14</v>
      </c>
      <c r="K6073">
        <v>63</v>
      </c>
      <c r="L6073">
        <v>21.09</v>
      </c>
      <c r="M6073">
        <v>38.6</v>
      </c>
      <c r="N6073">
        <v>16.399999999999999</v>
      </c>
      <c r="O6073">
        <v>22.2</v>
      </c>
      <c r="P6073">
        <v>26.4</v>
      </c>
      <c r="Q6073">
        <v>26</v>
      </c>
      <c r="R6073">
        <v>30.9</v>
      </c>
      <c r="S6073">
        <v>25.6</v>
      </c>
      <c r="T6073">
        <v>947</v>
      </c>
      <c r="U6073">
        <v>282</v>
      </c>
      <c r="V6073">
        <v>0</v>
      </c>
      <c r="W6073">
        <v>120</v>
      </c>
      <c r="X6073">
        <v>680</v>
      </c>
      <c r="Y6073">
        <v>1</v>
      </c>
      <c r="Z6073">
        <v>77</v>
      </c>
      <c r="AA6073">
        <v>5</v>
      </c>
      <c r="AB6073">
        <v>10.86374</v>
      </c>
      <c r="AC6073">
        <v>2.5293220000000002E-2</v>
      </c>
      <c r="AD6073">
        <v>1.9198470000000001</v>
      </c>
      <c r="AE6073">
        <v>0.94352709999999995</v>
      </c>
      <c r="AF6073">
        <v>363.9203</v>
      </c>
      <c r="AG6073">
        <f>IFERROR(AH6073*0.1, "N/A")</f>
        <v>6.2410170000000003</v>
      </c>
      <c r="AH6073">
        <v>62.410170000000001</v>
      </c>
      <c r="AI6073">
        <v>96.592309999999998</v>
      </c>
      <c r="AJ6073">
        <v>30</v>
      </c>
      <c r="AK6073">
        <v>55</v>
      </c>
    </row>
    <row r="6074" spans="1:37" x14ac:dyDescent="0.3">
      <c r="A6074">
        <v>6073</v>
      </c>
      <c r="B6074">
        <v>77.400000000000006</v>
      </c>
      <c r="C6074">
        <v>-8.0211100000000002</v>
      </c>
      <c r="D6074">
        <v>12.605</v>
      </c>
      <c r="E6074">
        <f>-8.02111-12.605</f>
        <v>-20.626110000000001</v>
      </c>
      <c r="F6074" t="s">
        <v>9510</v>
      </c>
      <c r="G6074" t="s">
        <v>39</v>
      </c>
      <c r="H6074">
        <v>2003</v>
      </c>
      <c r="I6074">
        <v>27.9</v>
      </c>
      <c r="J6074">
        <v>14.2</v>
      </c>
      <c r="K6074">
        <v>63</v>
      </c>
      <c r="L6074">
        <v>21.58</v>
      </c>
      <c r="M6074">
        <v>38.799999999999997</v>
      </c>
      <c r="N6074">
        <v>16.3</v>
      </c>
      <c r="O6074">
        <v>22.5</v>
      </c>
      <c r="P6074">
        <v>26.7</v>
      </c>
      <c r="Q6074">
        <v>26</v>
      </c>
      <c r="R6074">
        <v>31</v>
      </c>
      <c r="S6074">
        <v>25.5</v>
      </c>
      <c r="T6074">
        <v>955</v>
      </c>
      <c r="U6074">
        <v>284</v>
      </c>
      <c r="V6074">
        <v>0</v>
      </c>
      <c r="W6074">
        <v>119</v>
      </c>
      <c r="X6074">
        <v>685</v>
      </c>
      <c r="Y6074">
        <v>1</v>
      </c>
      <c r="Z6074">
        <v>79</v>
      </c>
      <c r="AA6074">
        <v>5</v>
      </c>
      <c r="AB6074">
        <v>3.5096729999999998</v>
      </c>
      <c r="AC6074">
        <v>1.197317</v>
      </c>
      <c r="AD6074">
        <v>2.6990859999999999</v>
      </c>
      <c r="AE6074">
        <v>0.75733159999999999</v>
      </c>
      <c r="AF6074">
        <v>319.5068</v>
      </c>
      <c r="AG6074" t="str">
        <f>IFERROR(AH6074*0.1, "N/A")</f>
        <v>N/A</v>
      </c>
      <c r="AH6074" t="s">
        <v>729</v>
      </c>
      <c r="AI6074">
        <v>37.754980000000003</v>
      </c>
      <c r="AJ6074" t="s">
        <v>729</v>
      </c>
      <c r="AK6074" t="s">
        <v>729</v>
      </c>
    </row>
    <row r="6075" spans="1:37" x14ac:dyDescent="0.3">
      <c r="A6075">
        <v>6074</v>
      </c>
      <c r="B6075">
        <v>16.8</v>
      </c>
      <c r="C6075">
        <v>-8.0211100000000002</v>
      </c>
      <c r="D6075">
        <v>12.605</v>
      </c>
      <c r="E6075">
        <f>-8.02111-12.605</f>
        <v>-20.626110000000001</v>
      </c>
      <c r="F6075" t="s">
        <v>9511</v>
      </c>
      <c r="G6075" t="s">
        <v>37</v>
      </c>
      <c r="H6075">
        <v>2003</v>
      </c>
      <c r="I6075">
        <v>27.9</v>
      </c>
      <c r="J6075">
        <v>14.2</v>
      </c>
      <c r="K6075">
        <v>63</v>
      </c>
      <c r="L6075">
        <v>21.58</v>
      </c>
      <c r="M6075">
        <v>38.799999999999997</v>
      </c>
      <c r="N6075">
        <v>16.3</v>
      </c>
      <c r="O6075">
        <v>22.5</v>
      </c>
      <c r="P6075">
        <v>26.7</v>
      </c>
      <c r="Q6075">
        <v>26</v>
      </c>
      <c r="R6075">
        <v>31</v>
      </c>
      <c r="S6075">
        <v>25.5</v>
      </c>
      <c r="T6075">
        <v>955</v>
      </c>
      <c r="U6075">
        <v>284</v>
      </c>
      <c r="V6075">
        <v>0</v>
      </c>
      <c r="W6075">
        <v>119</v>
      </c>
      <c r="X6075">
        <v>685</v>
      </c>
      <c r="Y6075">
        <v>1</v>
      </c>
      <c r="Z6075">
        <v>79</v>
      </c>
      <c r="AA6075">
        <v>5</v>
      </c>
      <c r="AB6075">
        <v>3.5096729999999998</v>
      </c>
      <c r="AC6075">
        <v>1.197317</v>
      </c>
      <c r="AD6075">
        <v>2.6990859999999999</v>
      </c>
      <c r="AE6075">
        <v>0.75733159999999999</v>
      </c>
      <c r="AF6075">
        <v>319.5068</v>
      </c>
      <c r="AG6075" t="str">
        <f>IFERROR(AH6075*0.1, "N/A")</f>
        <v>N/A</v>
      </c>
      <c r="AH6075" t="s">
        <v>729</v>
      </c>
      <c r="AI6075">
        <v>37.754980000000003</v>
      </c>
      <c r="AJ6075" t="s">
        <v>729</v>
      </c>
      <c r="AK6075" t="s">
        <v>729</v>
      </c>
    </row>
    <row r="6076" spans="1:37" x14ac:dyDescent="0.3">
      <c r="A6076">
        <v>6075</v>
      </c>
      <c r="B6076">
        <v>28.6</v>
      </c>
      <c r="C6076">
        <v>-7.9655800000000001</v>
      </c>
      <c r="D6076">
        <v>12.6061</v>
      </c>
      <c r="E6076">
        <f>-7.96558-12.6061</f>
        <v>-20.571680000000001</v>
      </c>
      <c r="F6076" t="s">
        <v>9512</v>
      </c>
      <c r="G6076" t="s">
        <v>39</v>
      </c>
      <c r="H6076">
        <v>2006</v>
      </c>
      <c r="I6076">
        <v>27.603400000000001</v>
      </c>
      <c r="J6076">
        <v>14.003399999999999</v>
      </c>
      <c r="K6076">
        <v>61</v>
      </c>
      <c r="L6076">
        <v>22.212720000000001</v>
      </c>
      <c r="M6076">
        <v>38.9</v>
      </c>
      <c r="N6076">
        <v>16</v>
      </c>
      <c r="O6076">
        <v>22.9</v>
      </c>
      <c r="P6076">
        <v>26.306799999999999</v>
      </c>
      <c r="Q6076">
        <v>25.7</v>
      </c>
      <c r="R6076">
        <v>30.903400000000001</v>
      </c>
      <c r="S6076">
        <v>25.2</v>
      </c>
      <c r="T6076">
        <v>936.10199999999998</v>
      </c>
      <c r="U6076">
        <v>282</v>
      </c>
      <c r="V6076">
        <v>0</v>
      </c>
      <c r="W6076">
        <v>119</v>
      </c>
      <c r="X6076">
        <v>673.06799999999998</v>
      </c>
      <c r="Y6076">
        <v>0</v>
      </c>
      <c r="Z6076">
        <v>76.034009999999995</v>
      </c>
      <c r="AA6076">
        <v>3</v>
      </c>
      <c r="AB6076">
        <v>9.9197249999999997</v>
      </c>
      <c r="AC6076">
        <v>7.0513030000000004E-2</v>
      </c>
      <c r="AD6076">
        <v>1.504928</v>
      </c>
      <c r="AE6076">
        <v>0.93753989999999998</v>
      </c>
      <c r="AF6076">
        <v>332.69220000000001</v>
      </c>
      <c r="AG6076">
        <f>IFERROR(AH6076*0.1, "N/A")</f>
        <v>6.1068030000000002</v>
      </c>
      <c r="AH6076">
        <v>61.06803</v>
      </c>
      <c r="AI6076">
        <v>252.66069999999999</v>
      </c>
      <c r="AJ6076">
        <v>31.06803</v>
      </c>
      <c r="AK6076">
        <v>49.965989999999998</v>
      </c>
    </row>
    <row r="6077" spans="1:37" x14ac:dyDescent="0.3">
      <c r="A6077">
        <v>6076</v>
      </c>
      <c r="B6077">
        <v>0</v>
      </c>
      <c r="C6077">
        <v>-7.9655800000000001</v>
      </c>
      <c r="D6077">
        <v>12.6061</v>
      </c>
      <c r="E6077">
        <f>-7.96558-12.6061</f>
        <v>-20.571680000000001</v>
      </c>
      <c r="F6077" t="s">
        <v>9513</v>
      </c>
      <c r="G6077" t="s">
        <v>37</v>
      </c>
      <c r="H6077">
        <v>2006</v>
      </c>
      <c r="I6077">
        <v>27.603400000000001</v>
      </c>
      <c r="J6077">
        <v>14.003399999999999</v>
      </c>
      <c r="K6077">
        <v>61</v>
      </c>
      <c r="L6077">
        <v>22.212720000000001</v>
      </c>
      <c r="M6077">
        <v>38.9</v>
      </c>
      <c r="N6077">
        <v>16</v>
      </c>
      <c r="O6077">
        <v>22.9</v>
      </c>
      <c r="P6077">
        <v>26.306799999999999</v>
      </c>
      <c r="Q6077">
        <v>25.7</v>
      </c>
      <c r="R6077">
        <v>30.903400000000001</v>
      </c>
      <c r="S6077">
        <v>25.2</v>
      </c>
      <c r="T6077">
        <v>936.10199999999998</v>
      </c>
      <c r="U6077">
        <v>282</v>
      </c>
      <c r="V6077">
        <v>0</v>
      </c>
      <c r="W6077">
        <v>119</v>
      </c>
      <c r="X6077">
        <v>673.06799999999998</v>
      </c>
      <c r="Y6077">
        <v>0</v>
      </c>
      <c r="Z6077">
        <v>76.034009999999995</v>
      </c>
      <c r="AA6077">
        <v>3</v>
      </c>
      <c r="AB6077">
        <v>9.9197249999999997</v>
      </c>
      <c r="AC6077">
        <v>7.0513030000000004E-2</v>
      </c>
      <c r="AD6077">
        <v>1.504928</v>
      </c>
      <c r="AE6077">
        <v>0.93753989999999998</v>
      </c>
      <c r="AF6077">
        <v>332.69220000000001</v>
      </c>
      <c r="AG6077">
        <f>IFERROR(AH6077*0.1, "N/A")</f>
        <v>6.1068030000000002</v>
      </c>
      <c r="AH6077">
        <v>61.06803</v>
      </c>
      <c r="AI6077">
        <v>252.66069999999999</v>
      </c>
      <c r="AJ6077">
        <v>31.06803</v>
      </c>
      <c r="AK6077">
        <v>49.965989999999998</v>
      </c>
    </row>
    <row r="6078" spans="1:37" x14ac:dyDescent="0.3">
      <c r="A6078">
        <v>6077</v>
      </c>
      <c r="B6078">
        <v>26.7</v>
      </c>
      <c r="C6078">
        <v>-8.0027699999999999</v>
      </c>
      <c r="D6078">
        <v>12.610099999999999</v>
      </c>
      <c r="E6078">
        <f>-8.00277-12.6101</f>
        <v>-20.612870000000001</v>
      </c>
      <c r="F6078" t="s">
        <v>9514</v>
      </c>
      <c r="G6078" t="s">
        <v>39</v>
      </c>
      <c r="H6078">
        <v>2006</v>
      </c>
      <c r="I6078">
        <v>27.8</v>
      </c>
      <c r="J6078">
        <v>14.2</v>
      </c>
      <c r="K6078">
        <v>62</v>
      </c>
      <c r="L6078">
        <v>21.8</v>
      </c>
      <c r="M6078">
        <v>38.9</v>
      </c>
      <c r="N6078">
        <v>16.2</v>
      </c>
      <c r="O6078">
        <v>22.7</v>
      </c>
      <c r="P6078">
        <v>26.6</v>
      </c>
      <c r="Q6078">
        <v>25.9</v>
      </c>
      <c r="R6078">
        <v>31</v>
      </c>
      <c r="S6078">
        <v>25.4</v>
      </c>
      <c r="T6078">
        <v>952</v>
      </c>
      <c r="U6078">
        <v>285</v>
      </c>
      <c r="V6078">
        <v>0</v>
      </c>
      <c r="W6078">
        <v>119</v>
      </c>
      <c r="X6078">
        <v>684</v>
      </c>
      <c r="Y6078">
        <v>1</v>
      </c>
      <c r="Z6078">
        <v>77</v>
      </c>
      <c r="AA6078">
        <v>5</v>
      </c>
      <c r="AB6078">
        <v>1.695414</v>
      </c>
      <c r="AC6078">
        <v>4.3230810000000001E-2</v>
      </c>
      <c r="AD6078">
        <v>1.7453650000000001</v>
      </c>
      <c r="AE6078">
        <v>0.88995429999999998</v>
      </c>
      <c r="AF6078">
        <v>326.26659999999998</v>
      </c>
      <c r="AG6078">
        <f>IFERROR(AH6078*0.1, "N/A")</f>
        <v>6.0867570000000004</v>
      </c>
      <c r="AH6078">
        <v>60.867570000000001</v>
      </c>
      <c r="AI6078">
        <v>265.11669999999998</v>
      </c>
      <c r="AJ6078">
        <v>29.735140000000001</v>
      </c>
      <c r="AK6078">
        <v>50.264859999999999</v>
      </c>
    </row>
    <row r="6079" spans="1:37" x14ac:dyDescent="0.3">
      <c r="A6079">
        <v>6078</v>
      </c>
      <c r="B6079">
        <v>0</v>
      </c>
      <c r="C6079">
        <v>-8.0027699999999999</v>
      </c>
      <c r="D6079">
        <v>12.610099999999999</v>
      </c>
      <c r="E6079">
        <f>-8.00277-12.6101</f>
        <v>-20.612870000000001</v>
      </c>
      <c r="F6079" t="s">
        <v>9515</v>
      </c>
      <c r="G6079" t="s">
        <v>37</v>
      </c>
      <c r="H6079">
        <v>2006</v>
      </c>
      <c r="I6079">
        <v>27.8</v>
      </c>
      <c r="J6079">
        <v>14.2</v>
      </c>
      <c r="K6079">
        <v>62</v>
      </c>
      <c r="L6079">
        <v>21.8</v>
      </c>
      <c r="M6079">
        <v>38.9</v>
      </c>
      <c r="N6079">
        <v>16.2</v>
      </c>
      <c r="O6079">
        <v>22.7</v>
      </c>
      <c r="P6079">
        <v>26.6</v>
      </c>
      <c r="Q6079">
        <v>25.9</v>
      </c>
      <c r="R6079">
        <v>31</v>
      </c>
      <c r="S6079">
        <v>25.4</v>
      </c>
      <c r="T6079">
        <v>952</v>
      </c>
      <c r="U6079">
        <v>285</v>
      </c>
      <c r="V6079">
        <v>0</v>
      </c>
      <c r="W6079">
        <v>119</v>
      </c>
      <c r="X6079">
        <v>684</v>
      </c>
      <c r="Y6079">
        <v>1</v>
      </c>
      <c r="Z6079">
        <v>77</v>
      </c>
      <c r="AA6079">
        <v>5</v>
      </c>
      <c r="AB6079">
        <v>1.695414</v>
      </c>
      <c r="AC6079">
        <v>4.3230810000000001E-2</v>
      </c>
      <c r="AD6079">
        <v>1.7453650000000001</v>
      </c>
      <c r="AE6079">
        <v>0.88995429999999998</v>
      </c>
      <c r="AF6079">
        <v>326.26659999999998</v>
      </c>
      <c r="AG6079">
        <f>IFERROR(AH6079*0.1, "N/A")</f>
        <v>6.0867570000000004</v>
      </c>
      <c r="AH6079">
        <v>60.867570000000001</v>
      </c>
      <c r="AI6079">
        <v>265.11669999999998</v>
      </c>
      <c r="AJ6079">
        <v>29.735140000000001</v>
      </c>
      <c r="AK6079">
        <v>50.264859999999999</v>
      </c>
    </row>
    <row r="6080" spans="1:37" x14ac:dyDescent="0.3">
      <c r="A6080">
        <v>6079</v>
      </c>
      <c r="B6080">
        <v>38.1</v>
      </c>
      <c r="C6080">
        <v>-7.7733999999999996</v>
      </c>
      <c r="D6080">
        <v>12.6129</v>
      </c>
      <c r="E6080">
        <f>-7.7734-12.6129</f>
        <v>-20.386299999999999</v>
      </c>
      <c r="F6080" t="s">
        <v>9516</v>
      </c>
      <c r="G6080" t="s">
        <v>39</v>
      </c>
      <c r="H6080">
        <v>1990</v>
      </c>
      <c r="I6080">
        <v>27.4</v>
      </c>
      <c r="J6080">
        <v>14.2</v>
      </c>
      <c r="K6080">
        <v>59</v>
      </c>
      <c r="L6080">
        <v>23.65</v>
      </c>
      <c r="M6080">
        <v>39.1</v>
      </c>
      <c r="N6080">
        <v>15.1</v>
      </c>
      <c r="O6080">
        <v>24</v>
      </c>
      <c r="P6080">
        <v>26.3</v>
      </c>
      <c r="Q6080">
        <v>25.1</v>
      </c>
      <c r="R6080">
        <v>30.8</v>
      </c>
      <c r="S6080">
        <v>24.7</v>
      </c>
      <c r="T6080">
        <v>904</v>
      </c>
      <c r="U6080">
        <v>270</v>
      </c>
      <c r="V6080">
        <v>0</v>
      </c>
      <c r="W6080">
        <v>119</v>
      </c>
      <c r="X6080">
        <v>648</v>
      </c>
      <c r="Y6080">
        <v>1</v>
      </c>
      <c r="Z6080">
        <v>73</v>
      </c>
      <c r="AA6080">
        <v>4</v>
      </c>
      <c r="AB6080">
        <v>6.0244070000000001</v>
      </c>
      <c r="AC6080">
        <v>7.3908559999999998E-2</v>
      </c>
      <c r="AD6080">
        <v>1.530708</v>
      </c>
      <c r="AE6080">
        <v>0.76640640000000004</v>
      </c>
      <c r="AF6080">
        <v>321.48469999999998</v>
      </c>
      <c r="AG6080">
        <f>IFERROR(AH6080*0.1, "N/A")</f>
        <v>5.7838980000000006</v>
      </c>
      <c r="AH6080">
        <v>57.838979999999999</v>
      </c>
      <c r="AI6080">
        <v>66.058850000000007</v>
      </c>
      <c r="AJ6080">
        <v>22.27966</v>
      </c>
      <c r="AK6080">
        <v>46.72034</v>
      </c>
    </row>
    <row r="6081" spans="1:37" x14ac:dyDescent="0.3">
      <c r="A6081">
        <v>6080</v>
      </c>
      <c r="B6081">
        <v>92.6</v>
      </c>
      <c r="C6081">
        <v>-7.7733999999999996</v>
      </c>
      <c r="D6081">
        <v>12.6129</v>
      </c>
      <c r="E6081">
        <f>-7.7734-12.6129</f>
        <v>-20.386299999999999</v>
      </c>
      <c r="F6081" t="s">
        <v>9517</v>
      </c>
      <c r="G6081" t="s">
        <v>37</v>
      </c>
      <c r="H6081">
        <v>1990</v>
      </c>
      <c r="I6081">
        <v>27.4</v>
      </c>
      <c r="J6081">
        <v>14.2</v>
      </c>
      <c r="K6081">
        <v>59</v>
      </c>
      <c r="L6081">
        <v>23.65</v>
      </c>
      <c r="M6081">
        <v>39.1</v>
      </c>
      <c r="N6081">
        <v>15.1</v>
      </c>
      <c r="O6081">
        <v>24</v>
      </c>
      <c r="P6081">
        <v>26.3</v>
      </c>
      <c r="Q6081">
        <v>25.1</v>
      </c>
      <c r="R6081">
        <v>30.8</v>
      </c>
      <c r="S6081">
        <v>24.7</v>
      </c>
      <c r="T6081">
        <v>904</v>
      </c>
      <c r="U6081">
        <v>270</v>
      </c>
      <c r="V6081">
        <v>0</v>
      </c>
      <c r="W6081">
        <v>119</v>
      </c>
      <c r="X6081">
        <v>648</v>
      </c>
      <c r="Y6081">
        <v>1</v>
      </c>
      <c r="Z6081">
        <v>73</v>
      </c>
      <c r="AA6081">
        <v>4</v>
      </c>
      <c r="AB6081">
        <v>6.0244070000000001</v>
      </c>
      <c r="AC6081">
        <v>7.3908559999999998E-2</v>
      </c>
      <c r="AD6081">
        <v>1.530708</v>
      </c>
      <c r="AE6081">
        <v>0.76640640000000004</v>
      </c>
      <c r="AF6081">
        <v>321.48469999999998</v>
      </c>
      <c r="AG6081">
        <f>IFERROR(AH6081*0.1, "N/A")</f>
        <v>5.7838980000000006</v>
      </c>
      <c r="AH6081">
        <v>57.838979999999999</v>
      </c>
      <c r="AI6081">
        <v>66.058850000000007</v>
      </c>
      <c r="AJ6081">
        <v>22.27966</v>
      </c>
      <c r="AK6081">
        <v>46.72034</v>
      </c>
    </row>
    <row r="6082" spans="1:37" x14ac:dyDescent="0.3">
      <c r="A6082">
        <v>6081</v>
      </c>
      <c r="B6082">
        <v>69.8</v>
      </c>
      <c r="C6082">
        <v>-8.0413300000000003</v>
      </c>
      <c r="D6082">
        <v>12.613</v>
      </c>
      <c r="E6082">
        <f>-8.04133-12.613</f>
        <v>-20.654330000000002</v>
      </c>
      <c r="F6082" t="s">
        <v>9518</v>
      </c>
      <c r="G6082" t="s">
        <v>39</v>
      </c>
      <c r="H6082">
        <v>2002</v>
      </c>
      <c r="I6082">
        <v>27.9</v>
      </c>
      <c r="J6082">
        <v>14.2</v>
      </c>
      <c r="K6082">
        <v>62.1723</v>
      </c>
      <c r="L6082">
        <v>21.566929999999999</v>
      </c>
      <c r="M6082">
        <v>38.782769999999999</v>
      </c>
      <c r="N6082">
        <v>16.2</v>
      </c>
      <c r="O6082">
        <v>22.58277</v>
      </c>
      <c r="P6082">
        <v>26.7</v>
      </c>
      <c r="Q6082">
        <v>25.9</v>
      </c>
      <c r="R6082">
        <v>31</v>
      </c>
      <c r="S6082">
        <v>25.5</v>
      </c>
      <c r="T6082">
        <v>961</v>
      </c>
      <c r="U6082">
        <v>287</v>
      </c>
      <c r="V6082">
        <v>0</v>
      </c>
      <c r="W6082">
        <v>119</v>
      </c>
      <c r="X6082">
        <v>692</v>
      </c>
      <c r="Y6082">
        <v>1</v>
      </c>
      <c r="Z6082">
        <v>78</v>
      </c>
      <c r="AA6082">
        <v>5</v>
      </c>
      <c r="AB6082">
        <v>7.3273669999999997</v>
      </c>
      <c r="AC6082">
        <v>1.222228E-2</v>
      </c>
      <c r="AD6082">
        <v>0.73203079999999998</v>
      </c>
      <c r="AE6082">
        <v>0.92058119999999999</v>
      </c>
      <c r="AF6082">
        <v>327.43239999999997</v>
      </c>
      <c r="AG6082">
        <f>IFERROR(AH6082*0.1, "N/A")</f>
        <v>6.534459</v>
      </c>
      <c r="AH6082">
        <v>65.344589999999997</v>
      </c>
      <c r="AI6082">
        <v>159.32730000000001</v>
      </c>
      <c r="AJ6082">
        <v>31.65541</v>
      </c>
      <c r="AK6082">
        <v>45.8277</v>
      </c>
    </row>
    <row r="6083" spans="1:37" x14ac:dyDescent="0.3">
      <c r="A6083">
        <v>6082</v>
      </c>
      <c r="B6083">
        <v>8.6999999999999993</v>
      </c>
      <c r="C6083">
        <v>-8.0413300000000003</v>
      </c>
      <c r="D6083">
        <v>12.613</v>
      </c>
      <c r="E6083">
        <f>-8.04133-12.613</f>
        <v>-20.654330000000002</v>
      </c>
      <c r="F6083" t="s">
        <v>9519</v>
      </c>
      <c r="G6083" t="s">
        <v>37</v>
      </c>
      <c r="H6083">
        <v>2002</v>
      </c>
      <c r="I6083">
        <v>27.9</v>
      </c>
      <c r="J6083">
        <v>14.2</v>
      </c>
      <c r="K6083">
        <v>62.1723</v>
      </c>
      <c r="L6083">
        <v>21.566929999999999</v>
      </c>
      <c r="M6083">
        <v>38.782769999999999</v>
      </c>
      <c r="N6083">
        <v>16.2</v>
      </c>
      <c r="O6083">
        <v>22.58277</v>
      </c>
      <c r="P6083">
        <v>26.7</v>
      </c>
      <c r="Q6083">
        <v>25.9</v>
      </c>
      <c r="R6083">
        <v>31</v>
      </c>
      <c r="S6083">
        <v>25.5</v>
      </c>
      <c r="T6083">
        <v>961</v>
      </c>
      <c r="U6083">
        <v>287</v>
      </c>
      <c r="V6083">
        <v>0</v>
      </c>
      <c r="W6083">
        <v>119</v>
      </c>
      <c r="X6083">
        <v>692</v>
      </c>
      <c r="Y6083">
        <v>1</v>
      </c>
      <c r="Z6083">
        <v>78</v>
      </c>
      <c r="AA6083">
        <v>5</v>
      </c>
      <c r="AB6083">
        <v>7.3273669999999997</v>
      </c>
      <c r="AC6083">
        <v>1.222228E-2</v>
      </c>
      <c r="AD6083">
        <v>0.73203079999999998</v>
      </c>
      <c r="AE6083">
        <v>0.92058119999999999</v>
      </c>
      <c r="AF6083">
        <v>327.43239999999997</v>
      </c>
      <c r="AG6083">
        <f>IFERROR(AH6083*0.1, "N/A")</f>
        <v>6.534459</v>
      </c>
      <c r="AH6083">
        <v>65.344589999999997</v>
      </c>
      <c r="AI6083">
        <v>159.32730000000001</v>
      </c>
      <c r="AJ6083">
        <v>31.65541</v>
      </c>
      <c r="AK6083">
        <v>45.8277</v>
      </c>
    </row>
    <row r="6084" spans="1:37" x14ac:dyDescent="0.3">
      <c r="A6084">
        <v>6083</v>
      </c>
      <c r="B6084">
        <v>0</v>
      </c>
      <c r="C6084">
        <v>-4.7450000000000001</v>
      </c>
      <c r="D6084">
        <v>12.613</v>
      </c>
      <c r="E6084">
        <f>-4.745-12.613</f>
        <v>-17.358000000000001</v>
      </c>
      <c r="F6084" t="s">
        <v>9520</v>
      </c>
      <c r="G6084" t="s">
        <v>39</v>
      </c>
      <c r="H6084">
        <v>1990</v>
      </c>
      <c r="I6084">
        <v>27.4</v>
      </c>
      <c r="J6084">
        <v>13.9</v>
      </c>
      <c r="K6084">
        <v>57</v>
      </c>
      <c r="L6084">
        <v>25.43</v>
      </c>
      <c r="M6084">
        <v>38.200000000000003</v>
      </c>
      <c r="N6084">
        <v>13.9</v>
      </c>
      <c r="O6084">
        <v>24.3</v>
      </c>
      <c r="P6084">
        <v>26.7</v>
      </c>
      <c r="Q6084">
        <v>24.2</v>
      </c>
      <c r="R6084">
        <v>30.7</v>
      </c>
      <c r="S6084">
        <v>24.2</v>
      </c>
      <c r="T6084">
        <v>844</v>
      </c>
      <c r="U6084">
        <v>240</v>
      </c>
      <c r="V6084">
        <v>0</v>
      </c>
      <c r="W6084">
        <v>116</v>
      </c>
      <c r="X6084">
        <v>599</v>
      </c>
      <c r="Y6084">
        <v>2</v>
      </c>
      <c r="Z6084">
        <v>190</v>
      </c>
      <c r="AA6084">
        <v>2</v>
      </c>
      <c r="AB6084">
        <v>1.0594619999999999</v>
      </c>
      <c r="AC6084">
        <v>0.57387949999999999</v>
      </c>
      <c r="AD6084">
        <v>1.131246</v>
      </c>
      <c r="AE6084">
        <v>0.69151510000000005</v>
      </c>
      <c r="AF6084">
        <v>316.2432</v>
      </c>
      <c r="AG6084">
        <f>IFERROR(AH6084*0.1, "N/A")</f>
        <v>6.0013509999999997</v>
      </c>
      <c r="AH6084">
        <v>60.013509999999997</v>
      </c>
      <c r="AI6084">
        <v>126.30249999999999</v>
      </c>
      <c r="AJ6084">
        <v>12.00676</v>
      </c>
      <c r="AK6084">
        <v>64.986490000000003</v>
      </c>
    </row>
    <row r="6085" spans="1:37" x14ac:dyDescent="0.3">
      <c r="A6085">
        <v>6084</v>
      </c>
      <c r="B6085">
        <v>0.6</v>
      </c>
      <c r="C6085">
        <v>-4.7450000000000001</v>
      </c>
      <c r="D6085">
        <v>12.613</v>
      </c>
      <c r="E6085">
        <f>-4.745-12.613</f>
        <v>-17.358000000000001</v>
      </c>
      <c r="F6085" t="s">
        <v>9521</v>
      </c>
      <c r="G6085" t="s">
        <v>37</v>
      </c>
      <c r="H6085">
        <v>1990</v>
      </c>
      <c r="I6085">
        <v>27.4</v>
      </c>
      <c r="J6085">
        <v>13.9</v>
      </c>
      <c r="K6085">
        <v>57</v>
      </c>
      <c r="L6085">
        <v>25.43</v>
      </c>
      <c r="M6085">
        <v>38.200000000000003</v>
      </c>
      <c r="N6085">
        <v>13.9</v>
      </c>
      <c r="O6085">
        <v>24.3</v>
      </c>
      <c r="P6085">
        <v>26.7</v>
      </c>
      <c r="Q6085">
        <v>24.2</v>
      </c>
      <c r="R6085">
        <v>30.7</v>
      </c>
      <c r="S6085">
        <v>24.2</v>
      </c>
      <c r="T6085">
        <v>844</v>
      </c>
      <c r="U6085">
        <v>240</v>
      </c>
      <c r="V6085">
        <v>0</v>
      </c>
      <c r="W6085">
        <v>116</v>
      </c>
      <c r="X6085">
        <v>599</v>
      </c>
      <c r="Y6085">
        <v>2</v>
      </c>
      <c r="Z6085">
        <v>190</v>
      </c>
      <c r="AA6085">
        <v>2</v>
      </c>
      <c r="AB6085">
        <v>1.0594619999999999</v>
      </c>
      <c r="AC6085">
        <v>0.57387949999999999</v>
      </c>
      <c r="AD6085">
        <v>1.131246</v>
      </c>
      <c r="AE6085">
        <v>0.69151510000000005</v>
      </c>
      <c r="AF6085">
        <v>316.2432</v>
      </c>
      <c r="AG6085">
        <f>IFERROR(AH6085*0.1, "N/A")</f>
        <v>6.0013509999999997</v>
      </c>
      <c r="AH6085">
        <v>60.013509999999997</v>
      </c>
      <c r="AI6085">
        <v>126.30249999999999</v>
      </c>
      <c r="AJ6085">
        <v>12.00676</v>
      </c>
      <c r="AK6085">
        <v>64.986490000000003</v>
      </c>
    </row>
    <row r="6086" spans="1:37" x14ac:dyDescent="0.3">
      <c r="A6086">
        <v>6085</v>
      </c>
      <c r="B6086">
        <v>75</v>
      </c>
      <c r="C6086">
        <v>-8.0269300000000001</v>
      </c>
      <c r="D6086">
        <v>12.613899999999999</v>
      </c>
      <c r="E6086">
        <f>-8.02693-12.6139</f>
        <v>-20.640830000000001</v>
      </c>
      <c r="F6086" t="s">
        <v>9522</v>
      </c>
      <c r="G6086" t="s">
        <v>39</v>
      </c>
      <c r="H6086">
        <v>2006</v>
      </c>
      <c r="I6086">
        <v>27.9</v>
      </c>
      <c r="J6086">
        <v>14.2</v>
      </c>
      <c r="K6086">
        <v>62</v>
      </c>
      <c r="L6086">
        <v>21.62</v>
      </c>
      <c r="M6086">
        <v>38.799999999999997</v>
      </c>
      <c r="N6086">
        <v>16.2</v>
      </c>
      <c r="O6086">
        <v>22.6</v>
      </c>
      <c r="P6086">
        <v>26.7</v>
      </c>
      <c r="Q6086">
        <v>25.9</v>
      </c>
      <c r="R6086">
        <v>31</v>
      </c>
      <c r="S6086">
        <v>25.5</v>
      </c>
      <c r="T6086">
        <v>957</v>
      </c>
      <c r="U6086">
        <v>286</v>
      </c>
      <c r="V6086">
        <v>0</v>
      </c>
      <c r="W6086">
        <v>120</v>
      </c>
      <c r="X6086">
        <v>689</v>
      </c>
      <c r="Y6086">
        <v>1</v>
      </c>
      <c r="Z6086">
        <v>77</v>
      </c>
      <c r="AA6086">
        <v>5</v>
      </c>
      <c r="AB6086">
        <v>3.8199420000000002</v>
      </c>
      <c r="AC6086">
        <v>0.66648130000000005</v>
      </c>
      <c r="AD6086">
        <v>1.2906679999999999</v>
      </c>
      <c r="AE6086">
        <v>0.88970899999999997</v>
      </c>
      <c r="AF6086">
        <v>323.03039999999999</v>
      </c>
      <c r="AG6086">
        <f>IFERROR(AH6086*0.1, "N/A")</f>
        <v>6.3843510000000006</v>
      </c>
      <c r="AH6086">
        <v>63.843510000000002</v>
      </c>
      <c r="AI6086">
        <v>136.19999999999999</v>
      </c>
      <c r="AJ6086">
        <v>32.583970000000001</v>
      </c>
      <c r="AK6086">
        <v>46.713740000000001</v>
      </c>
    </row>
    <row r="6087" spans="1:37" x14ac:dyDescent="0.3">
      <c r="A6087">
        <v>6086</v>
      </c>
      <c r="B6087">
        <v>33.299999999999997</v>
      </c>
      <c r="C6087">
        <v>-8.0269300000000001</v>
      </c>
      <c r="D6087">
        <v>12.613899999999999</v>
      </c>
      <c r="E6087">
        <f>-8.02693-12.6139</f>
        <v>-20.640830000000001</v>
      </c>
      <c r="F6087" t="s">
        <v>9523</v>
      </c>
      <c r="G6087" t="s">
        <v>37</v>
      </c>
      <c r="H6087">
        <v>2006</v>
      </c>
      <c r="I6087">
        <v>27.9</v>
      </c>
      <c r="J6087">
        <v>14.2</v>
      </c>
      <c r="K6087">
        <v>62</v>
      </c>
      <c r="L6087">
        <v>21.62</v>
      </c>
      <c r="M6087">
        <v>38.799999999999997</v>
      </c>
      <c r="N6087">
        <v>16.2</v>
      </c>
      <c r="O6087">
        <v>22.6</v>
      </c>
      <c r="P6087">
        <v>26.7</v>
      </c>
      <c r="Q6087">
        <v>25.9</v>
      </c>
      <c r="R6087">
        <v>31</v>
      </c>
      <c r="S6087">
        <v>25.5</v>
      </c>
      <c r="T6087">
        <v>957</v>
      </c>
      <c r="U6087">
        <v>286</v>
      </c>
      <c r="V6087">
        <v>0</v>
      </c>
      <c r="W6087">
        <v>120</v>
      </c>
      <c r="X6087">
        <v>689</v>
      </c>
      <c r="Y6087">
        <v>1</v>
      </c>
      <c r="Z6087">
        <v>77</v>
      </c>
      <c r="AA6087">
        <v>5</v>
      </c>
      <c r="AB6087">
        <v>3.8199420000000002</v>
      </c>
      <c r="AC6087">
        <v>0.66648130000000005</v>
      </c>
      <c r="AD6087">
        <v>1.2906679999999999</v>
      </c>
      <c r="AE6087">
        <v>0.88970899999999997</v>
      </c>
      <c r="AF6087">
        <v>323.03039999999999</v>
      </c>
      <c r="AG6087">
        <f>IFERROR(AH6087*0.1, "N/A")</f>
        <v>6.3843510000000006</v>
      </c>
      <c r="AH6087">
        <v>63.843510000000002</v>
      </c>
      <c r="AI6087">
        <v>136.19999999999999</v>
      </c>
      <c r="AJ6087">
        <v>32.583970000000001</v>
      </c>
      <c r="AK6087">
        <v>46.713740000000001</v>
      </c>
    </row>
    <row r="6088" spans="1:37" x14ac:dyDescent="0.3">
      <c r="A6088">
        <v>6087</v>
      </c>
      <c r="B6088">
        <v>3.6</v>
      </c>
      <c r="C6088">
        <v>-7.7850000000000001</v>
      </c>
      <c r="D6088">
        <v>12.615</v>
      </c>
      <c r="E6088">
        <f>-7.785-12.615</f>
        <v>-20.399999999999999</v>
      </c>
      <c r="F6088" t="s">
        <v>9524</v>
      </c>
      <c r="G6088" t="s">
        <v>39</v>
      </c>
      <c r="H6088">
        <v>1987</v>
      </c>
      <c r="I6088">
        <v>27.4</v>
      </c>
      <c r="J6088">
        <v>14.2</v>
      </c>
      <c r="K6088">
        <v>59</v>
      </c>
      <c r="L6088">
        <v>23.43</v>
      </c>
      <c r="M6088">
        <v>38.9</v>
      </c>
      <c r="N6088">
        <v>15.1</v>
      </c>
      <c r="O6088">
        <v>23.8</v>
      </c>
      <c r="P6088">
        <v>26.3</v>
      </c>
      <c r="Q6088">
        <v>25</v>
      </c>
      <c r="R6088">
        <v>30.7</v>
      </c>
      <c r="S6088">
        <v>24.6</v>
      </c>
      <c r="T6088">
        <v>906</v>
      </c>
      <c r="U6088">
        <v>271</v>
      </c>
      <c r="V6088">
        <v>0</v>
      </c>
      <c r="W6088">
        <v>119</v>
      </c>
      <c r="X6088">
        <v>650</v>
      </c>
      <c r="Y6088">
        <v>1</v>
      </c>
      <c r="Z6088">
        <v>72</v>
      </c>
      <c r="AA6088">
        <v>4</v>
      </c>
      <c r="AB6088">
        <v>2.274124</v>
      </c>
      <c r="AC6088">
        <v>1.7269989999999999E-2</v>
      </c>
      <c r="AD6088">
        <v>1.0778300000000001</v>
      </c>
      <c r="AE6088">
        <v>0.75317889999999998</v>
      </c>
      <c r="AF6088">
        <v>319.21660000000003</v>
      </c>
      <c r="AG6088">
        <f>IFERROR(AH6088*0.1, "N/A")</f>
        <v>5.8971240000000007</v>
      </c>
      <c r="AH6088">
        <v>58.971240000000002</v>
      </c>
      <c r="AI6088">
        <v>128.0763</v>
      </c>
      <c r="AJ6088">
        <v>20.971240000000002</v>
      </c>
      <c r="AK6088">
        <v>47</v>
      </c>
    </row>
    <row r="6089" spans="1:37" x14ac:dyDescent="0.3">
      <c r="A6089">
        <v>6088</v>
      </c>
      <c r="B6089">
        <v>77.8</v>
      </c>
      <c r="C6089">
        <v>-7.7850000000000001</v>
      </c>
      <c r="D6089">
        <v>12.615</v>
      </c>
      <c r="E6089">
        <f>-7.785-12.615</f>
        <v>-20.399999999999999</v>
      </c>
      <c r="F6089" t="s">
        <v>9525</v>
      </c>
      <c r="G6089" t="s">
        <v>37</v>
      </c>
      <c r="H6089">
        <v>1987</v>
      </c>
      <c r="I6089">
        <v>27.4</v>
      </c>
      <c r="J6089">
        <v>14.2</v>
      </c>
      <c r="K6089">
        <v>59</v>
      </c>
      <c r="L6089">
        <v>23.43</v>
      </c>
      <c r="M6089">
        <v>38.9</v>
      </c>
      <c r="N6089">
        <v>15.1</v>
      </c>
      <c r="O6089">
        <v>23.8</v>
      </c>
      <c r="P6089">
        <v>26.3</v>
      </c>
      <c r="Q6089">
        <v>25</v>
      </c>
      <c r="R6089">
        <v>30.7</v>
      </c>
      <c r="S6089">
        <v>24.6</v>
      </c>
      <c r="T6089">
        <v>906</v>
      </c>
      <c r="U6089">
        <v>271</v>
      </c>
      <c r="V6089">
        <v>0</v>
      </c>
      <c r="W6089">
        <v>119</v>
      </c>
      <c r="X6089">
        <v>650</v>
      </c>
      <c r="Y6089">
        <v>1</v>
      </c>
      <c r="Z6089">
        <v>72</v>
      </c>
      <c r="AA6089">
        <v>4</v>
      </c>
      <c r="AB6089">
        <v>2.274124</v>
      </c>
      <c r="AC6089">
        <v>1.7269989999999999E-2</v>
      </c>
      <c r="AD6089">
        <v>1.0778300000000001</v>
      </c>
      <c r="AE6089">
        <v>0.75317889999999998</v>
      </c>
      <c r="AF6089">
        <v>319.21660000000003</v>
      </c>
      <c r="AG6089">
        <f>IFERROR(AH6089*0.1, "N/A")</f>
        <v>5.8971240000000007</v>
      </c>
      <c r="AH6089">
        <v>58.971240000000002</v>
      </c>
      <c r="AI6089">
        <v>128.0763</v>
      </c>
      <c r="AJ6089">
        <v>20.971240000000002</v>
      </c>
      <c r="AK6089">
        <v>47</v>
      </c>
    </row>
    <row r="6090" spans="1:37" x14ac:dyDescent="0.3">
      <c r="A6090">
        <v>6089</v>
      </c>
      <c r="B6090">
        <v>25</v>
      </c>
      <c r="C6090">
        <v>-7.77597</v>
      </c>
      <c r="D6090">
        <v>12.618399999999999</v>
      </c>
      <c r="E6090">
        <f>-7.77597-12.6184</f>
        <v>-20.394369999999999</v>
      </c>
      <c r="F6090" t="s">
        <v>9526</v>
      </c>
      <c r="G6090" t="s">
        <v>39</v>
      </c>
      <c r="H6090">
        <v>2006</v>
      </c>
      <c r="I6090">
        <v>27.4</v>
      </c>
      <c r="J6090">
        <v>14.2</v>
      </c>
      <c r="K6090">
        <v>59</v>
      </c>
      <c r="L6090">
        <v>23.59</v>
      </c>
      <c r="M6090">
        <v>39.1</v>
      </c>
      <c r="N6090">
        <v>15.1</v>
      </c>
      <c r="O6090">
        <v>24</v>
      </c>
      <c r="P6090">
        <v>26.3</v>
      </c>
      <c r="Q6090">
        <v>25.1</v>
      </c>
      <c r="R6090">
        <v>30.8</v>
      </c>
      <c r="S6090">
        <v>24.7</v>
      </c>
      <c r="T6090">
        <v>905</v>
      </c>
      <c r="U6090">
        <v>271</v>
      </c>
      <c r="V6090">
        <v>0</v>
      </c>
      <c r="W6090">
        <v>119</v>
      </c>
      <c r="X6090">
        <v>649</v>
      </c>
      <c r="Y6090">
        <v>1</v>
      </c>
      <c r="Z6090">
        <v>73</v>
      </c>
      <c r="AA6090">
        <v>4</v>
      </c>
      <c r="AB6090">
        <v>2.0768140000000002</v>
      </c>
      <c r="AC6090">
        <v>0.74234089999999997</v>
      </c>
      <c r="AD6090">
        <v>1.5512779999999999</v>
      </c>
      <c r="AE6090">
        <v>0.77744420000000003</v>
      </c>
      <c r="AF6090">
        <v>314.4332</v>
      </c>
      <c r="AG6090">
        <f>IFERROR(AH6090*0.1, "N/A")</f>
        <v>5.8047380000000004</v>
      </c>
      <c r="AH6090">
        <v>58.047379999999997</v>
      </c>
      <c r="AI6090">
        <v>165.02250000000001</v>
      </c>
      <c r="AJ6090">
        <v>23.922170000000001</v>
      </c>
      <c r="AK6090">
        <v>43.06091</v>
      </c>
    </row>
    <row r="6091" spans="1:37" x14ac:dyDescent="0.3">
      <c r="A6091">
        <v>6090</v>
      </c>
      <c r="B6091">
        <v>60</v>
      </c>
      <c r="C6091">
        <v>-7.77597</v>
      </c>
      <c r="D6091">
        <v>12.618399999999999</v>
      </c>
      <c r="E6091">
        <f>-7.77597-12.6184</f>
        <v>-20.394369999999999</v>
      </c>
      <c r="F6091" t="s">
        <v>9527</v>
      </c>
      <c r="G6091" t="s">
        <v>37</v>
      </c>
      <c r="H6091">
        <v>2006</v>
      </c>
      <c r="I6091">
        <v>27.4</v>
      </c>
      <c r="J6091">
        <v>14.2</v>
      </c>
      <c r="K6091">
        <v>59</v>
      </c>
      <c r="L6091">
        <v>23.59</v>
      </c>
      <c r="M6091">
        <v>39.1</v>
      </c>
      <c r="N6091">
        <v>15.1</v>
      </c>
      <c r="O6091">
        <v>24</v>
      </c>
      <c r="P6091">
        <v>26.3</v>
      </c>
      <c r="Q6091">
        <v>25.1</v>
      </c>
      <c r="R6091">
        <v>30.8</v>
      </c>
      <c r="S6091">
        <v>24.7</v>
      </c>
      <c r="T6091">
        <v>905</v>
      </c>
      <c r="U6091">
        <v>271</v>
      </c>
      <c r="V6091">
        <v>0</v>
      </c>
      <c r="W6091">
        <v>119</v>
      </c>
      <c r="X6091">
        <v>649</v>
      </c>
      <c r="Y6091">
        <v>1</v>
      </c>
      <c r="Z6091">
        <v>73</v>
      </c>
      <c r="AA6091">
        <v>4</v>
      </c>
      <c r="AB6091">
        <v>2.0768140000000002</v>
      </c>
      <c r="AC6091">
        <v>0.74234089999999997</v>
      </c>
      <c r="AD6091">
        <v>1.5512779999999999</v>
      </c>
      <c r="AE6091">
        <v>0.77744420000000003</v>
      </c>
      <c r="AF6091">
        <v>314.4332</v>
      </c>
      <c r="AG6091">
        <f>IFERROR(AH6091*0.1, "N/A")</f>
        <v>5.8047380000000004</v>
      </c>
      <c r="AH6091">
        <v>58.047379999999997</v>
      </c>
      <c r="AI6091">
        <v>165.02250000000001</v>
      </c>
      <c r="AJ6091">
        <v>23.922170000000001</v>
      </c>
      <c r="AK6091">
        <v>43.06091</v>
      </c>
    </row>
    <row r="6092" spans="1:37" x14ac:dyDescent="0.3">
      <c r="A6092">
        <v>6091</v>
      </c>
      <c r="B6092">
        <v>85.7</v>
      </c>
      <c r="C6092">
        <v>-7.9916</v>
      </c>
      <c r="D6092">
        <v>12.619400000000001</v>
      </c>
      <c r="E6092">
        <f>-7.9916-12.6194</f>
        <v>-20.611000000000001</v>
      </c>
      <c r="F6092" t="s">
        <v>9528</v>
      </c>
      <c r="G6092" t="s">
        <v>39</v>
      </c>
      <c r="H6092">
        <v>2006</v>
      </c>
      <c r="I6092">
        <v>27.764810000000001</v>
      </c>
      <c r="J6092">
        <v>14.164809999999999</v>
      </c>
      <c r="K6092">
        <v>61.648049999999998</v>
      </c>
      <c r="L6092">
        <v>21.875579999999999</v>
      </c>
      <c r="M6092">
        <v>38.9</v>
      </c>
      <c r="N6092">
        <v>16.064810000000001</v>
      </c>
      <c r="O6092">
        <v>22.835190000000001</v>
      </c>
      <c r="P6092">
        <v>26.6</v>
      </c>
      <c r="Q6092">
        <v>25.8</v>
      </c>
      <c r="R6092">
        <v>30.9</v>
      </c>
      <c r="S6092">
        <v>25.329609999999999</v>
      </c>
      <c r="T6092">
        <v>947.59220000000005</v>
      </c>
      <c r="U6092">
        <v>285.6481</v>
      </c>
      <c r="V6092">
        <v>0</v>
      </c>
      <c r="W6092">
        <v>119.3519</v>
      </c>
      <c r="X6092">
        <v>682.94420000000002</v>
      </c>
      <c r="Y6092">
        <v>1</v>
      </c>
      <c r="Z6092">
        <v>75</v>
      </c>
      <c r="AA6092">
        <v>4.6480540000000001</v>
      </c>
      <c r="AB6092">
        <v>4.0715700000000004</v>
      </c>
      <c r="AC6092">
        <v>5.207784E-2</v>
      </c>
      <c r="AD6092">
        <v>3.379912</v>
      </c>
      <c r="AE6092">
        <v>0.87983290000000003</v>
      </c>
      <c r="AF6092">
        <v>324.32659999999998</v>
      </c>
      <c r="AG6092">
        <f>IFERROR(AH6092*0.1, "N/A")</f>
        <v>6.2</v>
      </c>
      <c r="AH6092">
        <v>62</v>
      </c>
      <c r="AI6092">
        <v>182.23079999999999</v>
      </c>
      <c r="AJ6092">
        <v>31</v>
      </c>
      <c r="AK6092">
        <v>47.703890000000001</v>
      </c>
    </row>
    <row r="6093" spans="1:37" x14ac:dyDescent="0.3">
      <c r="A6093">
        <v>6092</v>
      </c>
      <c r="B6093">
        <v>0</v>
      </c>
      <c r="C6093">
        <v>-7.9916</v>
      </c>
      <c r="D6093">
        <v>12.619400000000001</v>
      </c>
      <c r="E6093">
        <f>-7.9916-12.6194</f>
        <v>-20.611000000000001</v>
      </c>
      <c r="F6093" t="s">
        <v>9529</v>
      </c>
      <c r="G6093" t="s">
        <v>37</v>
      </c>
      <c r="H6093">
        <v>2006</v>
      </c>
      <c r="I6093">
        <v>27.764810000000001</v>
      </c>
      <c r="J6093">
        <v>14.164809999999999</v>
      </c>
      <c r="K6093">
        <v>61.648049999999998</v>
      </c>
      <c r="L6093">
        <v>21.875579999999999</v>
      </c>
      <c r="M6093">
        <v>38.9</v>
      </c>
      <c r="N6093">
        <v>16.064810000000001</v>
      </c>
      <c r="O6093">
        <v>22.835190000000001</v>
      </c>
      <c r="P6093">
        <v>26.6</v>
      </c>
      <c r="Q6093">
        <v>25.8</v>
      </c>
      <c r="R6093">
        <v>30.9</v>
      </c>
      <c r="S6093">
        <v>25.329609999999999</v>
      </c>
      <c r="T6093">
        <v>947.59220000000005</v>
      </c>
      <c r="U6093">
        <v>285.6481</v>
      </c>
      <c r="V6093">
        <v>0</v>
      </c>
      <c r="W6093">
        <v>119.3519</v>
      </c>
      <c r="X6093">
        <v>682.94420000000002</v>
      </c>
      <c r="Y6093">
        <v>1</v>
      </c>
      <c r="Z6093">
        <v>75</v>
      </c>
      <c r="AA6093">
        <v>4.6480540000000001</v>
      </c>
      <c r="AB6093">
        <v>4.0715700000000004</v>
      </c>
      <c r="AC6093">
        <v>5.207784E-2</v>
      </c>
      <c r="AD6093">
        <v>3.379912</v>
      </c>
      <c r="AE6093">
        <v>0.87983290000000003</v>
      </c>
      <c r="AF6093">
        <v>324.32659999999998</v>
      </c>
      <c r="AG6093">
        <f>IFERROR(AH6093*0.1, "N/A")</f>
        <v>6.2</v>
      </c>
      <c r="AH6093">
        <v>62</v>
      </c>
      <c r="AI6093">
        <v>182.23079999999999</v>
      </c>
      <c r="AJ6093">
        <v>31</v>
      </c>
      <c r="AK6093">
        <v>47.703890000000001</v>
      </c>
    </row>
    <row r="6094" spans="1:37" x14ac:dyDescent="0.3">
      <c r="A6094">
        <v>6093</v>
      </c>
      <c r="B6094">
        <v>7.4</v>
      </c>
      <c r="C6094">
        <v>-4.97004</v>
      </c>
      <c r="D6094">
        <v>12.619899999999999</v>
      </c>
      <c r="E6094">
        <f>-4.97004-12.6199</f>
        <v>-17.589939999999999</v>
      </c>
      <c r="F6094" t="s">
        <v>9530</v>
      </c>
      <c r="G6094" t="s">
        <v>39</v>
      </c>
      <c r="H6094">
        <v>1990</v>
      </c>
      <c r="I6094">
        <v>27.2</v>
      </c>
      <c r="J6094">
        <v>14</v>
      </c>
      <c r="K6094">
        <v>57</v>
      </c>
      <c r="L6094">
        <v>25.23</v>
      </c>
      <c r="M6094">
        <v>38.1</v>
      </c>
      <c r="N6094">
        <v>13.7</v>
      </c>
      <c r="O6094">
        <v>24.4</v>
      </c>
      <c r="P6094">
        <v>26.5</v>
      </c>
      <c r="Q6094">
        <v>24.1</v>
      </c>
      <c r="R6094">
        <v>30.5</v>
      </c>
      <c r="S6094">
        <v>24.1</v>
      </c>
      <c r="T6094">
        <v>833</v>
      </c>
      <c r="U6094">
        <v>240</v>
      </c>
      <c r="V6094">
        <v>0</v>
      </c>
      <c r="W6094">
        <v>117</v>
      </c>
      <c r="X6094">
        <v>595</v>
      </c>
      <c r="Y6094">
        <v>1</v>
      </c>
      <c r="Z6094">
        <v>82</v>
      </c>
      <c r="AA6094">
        <v>1</v>
      </c>
      <c r="AB6094">
        <v>0.25672719999999999</v>
      </c>
      <c r="AC6094">
        <v>4.8640420000000004</v>
      </c>
      <c r="AD6094">
        <v>0.84398930000000005</v>
      </c>
      <c r="AE6094">
        <v>0.68996519999999995</v>
      </c>
      <c r="AF6094">
        <v>324.48039999999997</v>
      </c>
      <c r="AG6094">
        <f>IFERROR(AH6094*0.1, "N/A")</f>
        <v>5.5</v>
      </c>
      <c r="AH6094">
        <v>55</v>
      </c>
      <c r="AI6094">
        <v>146.53399999999999</v>
      </c>
      <c r="AJ6094">
        <v>7.1243610000000004</v>
      </c>
      <c r="AK6094">
        <v>66.124359999999996</v>
      </c>
    </row>
    <row r="6095" spans="1:37" x14ac:dyDescent="0.3">
      <c r="A6095">
        <v>6094</v>
      </c>
      <c r="B6095">
        <v>0.7</v>
      </c>
      <c r="C6095">
        <v>-4.97004</v>
      </c>
      <c r="D6095">
        <v>12.619899999999999</v>
      </c>
      <c r="E6095">
        <f>-4.97004-12.6199</f>
        <v>-17.589939999999999</v>
      </c>
      <c r="F6095" t="s">
        <v>9531</v>
      </c>
      <c r="G6095" t="s">
        <v>37</v>
      </c>
      <c r="H6095">
        <v>1990</v>
      </c>
      <c r="I6095">
        <v>27.2</v>
      </c>
      <c r="J6095">
        <v>14</v>
      </c>
      <c r="K6095">
        <v>57</v>
      </c>
      <c r="L6095">
        <v>25.23</v>
      </c>
      <c r="M6095">
        <v>38.1</v>
      </c>
      <c r="N6095">
        <v>13.7</v>
      </c>
      <c r="O6095">
        <v>24.4</v>
      </c>
      <c r="P6095">
        <v>26.5</v>
      </c>
      <c r="Q6095">
        <v>24.1</v>
      </c>
      <c r="R6095">
        <v>30.5</v>
      </c>
      <c r="S6095">
        <v>24.1</v>
      </c>
      <c r="T6095">
        <v>833</v>
      </c>
      <c r="U6095">
        <v>240</v>
      </c>
      <c r="V6095">
        <v>0</v>
      </c>
      <c r="W6095">
        <v>117</v>
      </c>
      <c r="X6095">
        <v>595</v>
      </c>
      <c r="Y6095">
        <v>1</v>
      </c>
      <c r="Z6095">
        <v>82</v>
      </c>
      <c r="AA6095">
        <v>1</v>
      </c>
      <c r="AB6095">
        <v>0.25672719999999999</v>
      </c>
      <c r="AC6095">
        <v>4.8640420000000004</v>
      </c>
      <c r="AD6095">
        <v>0.84398930000000005</v>
      </c>
      <c r="AE6095">
        <v>0.68996519999999995</v>
      </c>
      <c r="AF6095">
        <v>324.48039999999997</v>
      </c>
      <c r="AG6095">
        <f>IFERROR(AH6095*0.1, "N/A")</f>
        <v>5.5</v>
      </c>
      <c r="AH6095">
        <v>55</v>
      </c>
      <c r="AI6095">
        <v>146.53399999999999</v>
      </c>
      <c r="AJ6095">
        <v>7.1243610000000004</v>
      </c>
      <c r="AK6095">
        <v>66.124359999999996</v>
      </c>
    </row>
    <row r="6096" spans="1:37" x14ac:dyDescent="0.3">
      <c r="A6096">
        <v>6095</v>
      </c>
      <c r="B6096">
        <v>20.3</v>
      </c>
      <c r="C6096">
        <v>-7.8169000000000004</v>
      </c>
      <c r="D6096">
        <v>12.622</v>
      </c>
      <c r="E6096">
        <f>-7.8169-12.622</f>
        <v>-20.4389</v>
      </c>
      <c r="F6096" t="s">
        <v>9532</v>
      </c>
      <c r="G6096" t="s">
        <v>39</v>
      </c>
      <c r="H6096">
        <v>1990</v>
      </c>
      <c r="I6096">
        <v>27.30339</v>
      </c>
      <c r="J6096">
        <v>14.2</v>
      </c>
      <c r="K6096">
        <v>59</v>
      </c>
      <c r="L6096">
        <v>23.276450000000001</v>
      </c>
      <c r="M6096">
        <v>39</v>
      </c>
      <c r="N6096">
        <v>15.2</v>
      </c>
      <c r="O6096">
        <v>23.8</v>
      </c>
      <c r="P6096">
        <v>26.3</v>
      </c>
      <c r="Q6096">
        <v>25.1</v>
      </c>
      <c r="R6096">
        <v>30.7</v>
      </c>
      <c r="S6096">
        <v>24.6</v>
      </c>
      <c r="T6096">
        <v>910.96600000000001</v>
      </c>
      <c r="U6096">
        <v>272.96600000000001</v>
      </c>
      <c r="V6096">
        <v>0</v>
      </c>
      <c r="W6096">
        <v>120</v>
      </c>
      <c r="X6096">
        <v>652.96600000000001</v>
      </c>
      <c r="Y6096">
        <v>1</v>
      </c>
      <c r="Z6096">
        <v>73</v>
      </c>
      <c r="AA6096">
        <v>4</v>
      </c>
      <c r="AB6096">
        <v>9.937182</v>
      </c>
      <c r="AC6096">
        <v>1.265253E-2</v>
      </c>
      <c r="AD6096">
        <v>1.148188</v>
      </c>
      <c r="AE6096">
        <v>0.73999340000000002</v>
      </c>
      <c r="AF6096">
        <v>318.75889999999998</v>
      </c>
      <c r="AG6096">
        <f>IFERROR(AH6096*0.1, "N/A")</f>
        <v>5.9563670000000002</v>
      </c>
      <c r="AH6096">
        <v>59.563670000000002</v>
      </c>
      <c r="AI6096">
        <v>125.7409</v>
      </c>
      <c r="AJ6096">
        <v>24</v>
      </c>
      <c r="AK6096">
        <v>44.33616</v>
      </c>
    </row>
    <row r="6097" spans="1:37" x14ac:dyDescent="0.3">
      <c r="A6097">
        <v>6096</v>
      </c>
      <c r="B6097">
        <v>43</v>
      </c>
      <c r="C6097">
        <v>-7.8169000000000004</v>
      </c>
      <c r="D6097">
        <v>12.622</v>
      </c>
      <c r="E6097">
        <f>-7.8169-12.622</f>
        <v>-20.4389</v>
      </c>
      <c r="F6097" t="s">
        <v>9533</v>
      </c>
      <c r="G6097" t="s">
        <v>37</v>
      </c>
      <c r="H6097">
        <v>1990</v>
      </c>
      <c r="I6097">
        <v>27.30339</v>
      </c>
      <c r="J6097">
        <v>14.2</v>
      </c>
      <c r="K6097">
        <v>59</v>
      </c>
      <c r="L6097">
        <v>23.276450000000001</v>
      </c>
      <c r="M6097">
        <v>39</v>
      </c>
      <c r="N6097">
        <v>15.2</v>
      </c>
      <c r="O6097">
        <v>23.8</v>
      </c>
      <c r="P6097">
        <v>26.3</v>
      </c>
      <c r="Q6097">
        <v>25.1</v>
      </c>
      <c r="R6097">
        <v>30.7</v>
      </c>
      <c r="S6097">
        <v>24.6</v>
      </c>
      <c r="T6097">
        <v>910.96600000000001</v>
      </c>
      <c r="U6097">
        <v>272.96600000000001</v>
      </c>
      <c r="V6097">
        <v>0</v>
      </c>
      <c r="W6097">
        <v>120</v>
      </c>
      <c r="X6097">
        <v>652.96600000000001</v>
      </c>
      <c r="Y6097">
        <v>1</v>
      </c>
      <c r="Z6097">
        <v>73</v>
      </c>
      <c r="AA6097">
        <v>4</v>
      </c>
      <c r="AB6097">
        <v>9.937182</v>
      </c>
      <c r="AC6097">
        <v>1.265253E-2</v>
      </c>
      <c r="AD6097">
        <v>1.148188</v>
      </c>
      <c r="AE6097">
        <v>0.73999340000000002</v>
      </c>
      <c r="AF6097">
        <v>318.75889999999998</v>
      </c>
      <c r="AG6097">
        <f>IFERROR(AH6097*0.1, "N/A")</f>
        <v>5.9563670000000002</v>
      </c>
      <c r="AH6097">
        <v>59.563670000000002</v>
      </c>
      <c r="AI6097">
        <v>125.7409</v>
      </c>
      <c r="AJ6097">
        <v>24</v>
      </c>
      <c r="AK6097">
        <v>44.33616</v>
      </c>
    </row>
    <row r="6098" spans="1:37" x14ac:dyDescent="0.3">
      <c r="A6098">
        <v>6097</v>
      </c>
      <c r="B6098">
        <v>10.9</v>
      </c>
      <c r="C6098">
        <v>-7.8155599999999996</v>
      </c>
      <c r="D6098">
        <v>12.6228</v>
      </c>
      <c r="E6098">
        <f>-7.81556-12.6228</f>
        <v>-20.438359999999999</v>
      </c>
      <c r="F6098" t="s">
        <v>9534</v>
      </c>
      <c r="G6098" t="s">
        <v>39</v>
      </c>
      <c r="H6098">
        <v>1986</v>
      </c>
      <c r="I6098">
        <v>27.396599999999999</v>
      </c>
      <c r="J6098">
        <v>14.2</v>
      </c>
      <c r="K6098">
        <v>59</v>
      </c>
      <c r="L6098">
        <v>23.45354</v>
      </c>
      <c r="M6098">
        <v>39</v>
      </c>
      <c r="N6098">
        <v>15.2</v>
      </c>
      <c r="O6098">
        <v>23.8</v>
      </c>
      <c r="P6098">
        <v>26.3</v>
      </c>
      <c r="Q6098">
        <v>25.1</v>
      </c>
      <c r="R6098">
        <v>30.7</v>
      </c>
      <c r="S6098">
        <v>24.6</v>
      </c>
      <c r="T6098">
        <v>910.03399999999999</v>
      </c>
      <c r="U6098">
        <v>272.03399999999999</v>
      </c>
      <c r="V6098">
        <v>0</v>
      </c>
      <c r="W6098">
        <v>120</v>
      </c>
      <c r="X6098">
        <v>652.03399999999999</v>
      </c>
      <c r="Y6098">
        <v>1</v>
      </c>
      <c r="Z6098">
        <v>73</v>
      </c>
      <c r="AA6098">
        <v>4</v>
      </c>
      <c r="AB6098">
        <v>9.9862280000000005</v>
      </c>
      <c r="AC6098">
        <v>3.0272960000000002E-2</v>
      </c>
      <c r="AD6098">
        <v>1.2379340000000001</v>
      </c>
      <c r="AE6098">
        <v>0.73948999999999998</v>
      </c>
      <c r="AF6098">
        <v>318.19389999999999</v>
      </c>
      <c r="AG6098">
        <f>IFERROR(AH6098*0.1, "N/A")</f>
        <v>5.8125850000000003</v>
      </c>
      <c r="AH6098">
        <v>58.12585</v>
      </c>
      <c r="AI6098">
        <v>243.9759</v>
      </c>
      <c r="AJ6098">
        <v>24</v>
      </c>
      <c r="AK6098">
        <v>43.12585</v>
      </c>
    </row>
    <row r="6099" spans="1:37" x14ac:dyDescent="0.3">
      <c r="A6099">
        <v>6098</v>
      </c>
      <c r="B6099">
        <v>34.799999999999997</v>
      </c>
      <c r="C6099">
        <v>-7.8155599999999996</v>
      </c>
      <c r="D6099">
        <v>12.6228</v>
      </c>
      <c r="E6099">
        <f>-7.81556-12.6228</f>
        <v>-20.438359999999999</v>
      </c>
      <c r="F6099" t="s">
        <v>9535</v>
      </c>
      <c r="G6099" t="s">
        <v>37</v>
      </c>
      <c r="H6099">
        <v>1986</v>
      </c>
      <c r="I6099">
        <v>27.396599999999999</v>
      </c>
      <c r="J6099">
        <v>14.2</v>
      </c>
      <c r="K6099">
        <v>59</v>
      </c>
      <c r="L6099">
        <v>23.45354</v>
      </c>
      <c r="M6099">
        <v>39</v>
      </c>
      <c r="N6099">
        <v>15.2</v>
      </c>
      <c r="O6099">
        <v>23.8</v>
      </c>
      <c r="P6099">
        <v>26.3</v>
      </c>
      <c r="Q6099">
        <v>25.1</v>
      </c>
      <c r="R6099">
        <v>30.7</v>
      </c>
      <c r="S6099">
        <v>24.6</v>
      </c>
      <c r="T6099">
        <v>910.03399999999999</v>
      </c>
      <c r="U6099">
        <v>272.03399999999999</v>
      </c>
      <c r="V6099">
        <v>0</v>
      </c>
      <c r="W6099">
        <v>120</v>
      </c>
      <c r="X6099">
        <v>652.03399999999999</v>
      </c>
      <c r="Y6099">
        <v>1</v>
      </c>
      <c r="Z6099">
        <v>73</v>
      </c>
      <c r="AA6099">
        <v>4</v>
      </c>
      <c r="AB6099">
        <v>9.9862280000000005</v>
      </c>
      <c r="AC6099">
        <v>3.0272960000000002E-2</v>
      </c>
      <c r="AD6099">
        <v>1.2379340000000001</v>
      </c>
      <c r="AE6099">
        <v>0.73948999999999998</v>
      </c>
      <c r="AF6099">
        <v>318.19389999999999</v>
      </c>
      <c r="AG6099">
        <f>IFERROR(AH6099*0.1, "N/A")</f>
        <v>5.8125850000000003</v>
      </c>
      <c r="AH6099">
        <v>58.12585</v>
      </c>
      <c r="AI6099">
        <v>243.9759</v>
      </c>
      <c r="AJ6099">
        <v>24</v>
      </c>
      <c r="AK6099">
        <v>43.12585</v>
      </c>
    </row>
    <row r="6100" spans="1:37" x14ac:dyDescent="0.3">
      <c r="A6100">
        <v>6099</v>
      </c>
      <c r="B6100">
        <v>56.7</v>
      </c>
      <c r="C6100">
        <v>-8.0590399999999995</v>
      </c>
      <c r="D6100">
        <v>12.628500000000001</v>
      </c>
      <c r="E6100">
        <f>-8.05904-12.6285</f>
        <v>-20.687539999999998</v>
      </c>
      <c r="F6100" t="s">
        <v>9536</v>
      </c>
      <c r="G6100" t="s">
        <v>39</v>
      </c>
      <c r="H6100">
        <v>1987</v>
      </c>
      <c r="I6100">
        <v>27.9</v>
      </c>
      <c r="J6100">
        <v>14.3</v>
      </c>
      <c r="K6100">
        <v>63</v>
      </c>
      <c r="L6100">
        <v>20.87</v>
      </c>
      <c r="M6100">
        <v>38.799999999999997</v>
      </c>
      <c r="N6100">
        <v>16.3</v>
      </c>
      <c r="O6100">
        <v>22.5</v>
      </c>
      <c r="P6100">
        <v>26.6</v>
      </c>
      <c r="Q6100">
        <v>26</v>
      </c>
      <c r="R6100">
        <v>30.9</v>
      </c>
      <c r="S6100">
        <v>25.7</v>
      </c>
      <c r="T6100">
        <v>969</v>
      </c>
      <c r="U6100">
        <v>290</v>
      </c>
      <c r="V6100">
        <v>0</v>
      </c>
      <c r="W6100">
        <v>120</v>
      </c>
      <c r="X6100">
        <v>702</v>
      </c>
      <c r="Y6100">
        <v>1</v>
      </c>
      <c r="Z6100">
        <v>76</v>
      </c>
      <c r="AA6100">
        <v>5</v>
      </c>
      <c r="AB6100">
        <v>12.4794</v>
      </c>
      <c r="AC6100">
        <v>9.59811E-2</v>
      </c>
      <c r="AD6100">
        <v>2.7745880000000001</v>
      </c>
      <c r="AE6100">
        <v>0.85940490000000003</v>
      </c>
      <c r="AF6100">
        <v>342.36320000000001</v>
      </c>
      <c r="AG6100">
        <f>IFERROR(AH6100*0.1, "N/A")</f>
        <v>6.1836150000000005</v>
      </c>
      <c r="AH6100">
        <v>61.836150000000004</v>
      </c>
      <c r="AI6100">
        <v>168.2243</v>
      </c>
      <c r="AJ6100">
        <v>26.64527</v>
      </c>
      <c r="AK6100">
        <v>51.554049999999997</v>
      </c>
    </row>
    <row r="6101" spans="1:37" x14ac:dyDescent="0.3">
      <c r="A6101">
        <v>6100</v>
      </c>
      <c r="B6101">
        <v>46</v>
      </c>
      <c r="C6101">
        <v>-8.0590399999999995</v>
      </c>
      <c r="D6101">
        <v>12.628500000000001</v>
      </c>
      <c r="E6101">
        <f>-8.05904-12.6285</f>
        <v>-20.687539999999998</v>
      </c>
      <c r="F6101" t="s">
        <v>9537</v>
      </c>
      <c r="G6101" t="s">
        <v>37</v>
      </c>
      <c r="H6101">
        <v>1987</v>
      </c>
      <c r="I6101">
        <v>27.9</v>
      </c>
      <c r="J6101">
        <v>14.3</v>
      </c>
      <c r="K6101">
        <v>63</v>
      </c>
      <c r="L6101">
        <v>20.87</v>
      </c>
      <c r="M6101">
        <v>38.799999999999997</v>
      </c>
      <c r="N6101">
        <v>16.3</v>
      </c>
      <c r="O6101">
        <v>22.5</v>
      </c>
      <c r="P6101">
        <v>26.6</v>
      </c>
      <c r="Q6101">
        <v>26</v>
      </c>
      <c r="R6101">
        <v>30.9</v>
      </c>
      <c r="S6101">
        <v>25.7</v>
      </c>
      <c r="T6101">
        <v>969</v>
      </c>
      <c r="U6101">
        <v>290</v>
      </c>
      <c r="V6101">
        <v>0</v>
      </c>
      <c r="W6101">
        <v>120</v>
      </c>
      <c r="X6101">
        <v>702</v>
      </c>
      <c r="Y6101">
        <v>1</v>
      </c>
      <c r="Z6101">
        <v>76</v>
      </c>
      <c r="AA6101">
        <v>5</v>
      </c>
      <c r="AB6101">
        <v>12.4794</v>
      </c>
      <c r="AC6101">
        <v>9.59811E-2</v>
      </c>
      <c r="AD6101">
        <v>2.7745880000000001</v>
      </c>
      <c r="AE6101">
        <v>0.85940490000000003</v>
      </c>
      <c r="AF6101">
        <v>342.36320000000001</v>
      </c>
      <c r="AG6101">
        <f>IFERROR(AH6101*0.1, "N/A")</f>
        <v>6.1836150000000005</v>
      </c>
      <c r="AH6101">
        <v>61.836150000000004</v>
      </c>
      <c r="AI6101">
        <v>168.2243</v>
      </c>
      <c r="AJ6101">
        <v>26.64527</v>
      </c>
      <c r="AK6101">
        <v>51.554049999999997</v>
      </c>
    </row>
    <row r="6102" spans="1:37" x14ac:dyDescent="0.3">
      <c r="A6102">
        <v>6101</v>
      </c>
      <c r="B6102">
        <v>14.3</v>
      </c>
      <c r="C6102">
        <v>-7.7519099999999996</v>
      </c>
      <c r="D6102">
        <v>12.63</v>
      </c>
      <c r="E6102">
        <f>-7.75191-12.63</f>
        <v>-20.381910000000001</v>
      </c>
      <c r="F6102" t="s">
        <v>9538</v>
      </c>
      <c r="G6102" t="s">
        <v>39</v>
      </c>
      <c r="H6102">
        <v>1990</v>
      </c>
      <c r="I6102">
        <v>27.4</v>
      </c>
      <c r="J6102">
        <v>14.2</v>
      </c>
      <c r="K6102">
        <v>58</v>
      </c>
      <c r="L6102">
        <v>23.73</v>
      </c>
      <c r="M6102">
        <v>39.1</v>
      </c>
      <c r="N6102">
        <v>15</v>
      </c>
      <c r="O6102">
        <v>24.1</v>
      </c>
      <c r="P6102">
        <v>26.4</v>
      </c>
      <c r="Q6102">
        <v>25</v>
      </c>
      <c r="R6102">
        <v>30.8</v>
      </c>
      <c r="S6102">
        <v>24.6</v>
      </c>
      <c r="T6102">
        <v>901</v>
      </c>
      <c r="U6102">
        <v>270</v>
      </c>
      <c r="V6102">
        <v>0</v>
      </c>
      <c r="W6102">
        <v>119</v>
      </c>
      <c r="X6102">
        <v>647</v>
      </c>
      <c r="Y6102">
        <v>1</v>
      </c>
      <c r="Z6102">
        <v>72</v>
      </c>
      <c r="AA6102">
        <v>4</v>
      </c>
      <c r="AB6102">
        <v>3.3130989999999998</v>
      </c>
      <c r="AC6102">
        <v>8.4871860000000007E-3</v>
      </c>
      <c r="AD6102">
        <v>0.86323190000000005</v>
      </c>
      <c r="AE6102">
        <v>0.70052369999999997</v>
      </c>
      <c r="AF6102">
        <v>315.93189999999998</v>
      </c>
      <c r="AG6102">
        <f>IFERROR(AH6102*0.1, "N/A")</f>
        <v>5.8739350000000004</v>
      </c>
      <c r="AH6102">
        <v>58.739350000000002</v>
      </c>
      <c r="AI6102">
        <v>67.176240000000007</v>
      </c>
      <c r="AJ6102">
        <v>23.170359999999999</v>
      </c>
      <c r="AK6102">
        <v>46.148209999999999</v>
      </c>
    </row>
    <row r="6103" spans="1:37" x14ac:dyDescent="0.3">
      <c r="A6103">
        <v>6102</v>
      </c>
      <c r="B6103">
        <v>53.2</v>
      </c>
      <c r="C6103">
        <v>-7.7519099999999996</v>
      </c>
      <c r="D6103">
        <v>12.63</v>
      </c>
      <c r="E6103">
        <f>-7.75191-12.63</f>
        <v>-20.381910000000001</v>
      </c>
      <c r="F6103" t="s">
        <v>9539</v>
      </c>
      <c r="G6103" t="s">
        <v>37</v>
      </c>
      <c r="H6103">
        <v>1990</v>
      </c>
      <c r="I6103">
        <v>27.4</v>
      </c>
      <c r="J6103">
        <v>14.2</v>
      </c>
      <c r="K6103">
        <v>58</v>
      </c>
      <c r="L6103">
        <v>23.73</v>
      </c>
      <c r="M6103">
        <v>39.1</v>
      </c>
      <c r="N6103">
        <v>15</v>
      </c>
      <c r="O6103">
        <v>24.1</v>
      </c>
      <c r="P6103">
        <v>26.4</v>
      </c>
      <c r="Q6103">
        <v>25</v>
      </c>
      <c r="R6103">
        <v>30.8</v>
      </c>
      <c r="S6103">
        <v>24.6</v>
      </c>
      <c r="T6103">
        <v>901</v>
      </c>
      <c r="U6103">
        <v>270</v>
      </c>
      <c r="V6103">
        <v>0</v>
      </c>
      <c r="W6103">
        <v>119</v>
      </c>
      <c r="X6103">
        <v>647</v>
      </c>
      <c r="Y6103">
        <v>1</v>
      </c>
      <c r="Z6103">
        <v>72</v>
      </c>
      <c r="AA6103">
        <v>4</v>
      </c>
      <c r="AB6103">
        <v>3.3130989999999998</v>
      </c>
      <c r="AC6103">
        <v>8.4871860000000007E-3</v>
      </c>
      <c r="AD6103">
        <v>0.86323190000000005</v>
      </c>
      <c r="AE6103">
        <v>0.70052369999999997</v>
      </c>
      <c r="AF6103">
        <v>315.93189999999998</v>
      </c>
      <c r="AG6103">
        <f>IFERROR(AH6103*0.1, "N/A")</f>
        <v>5.8739350000000004</v>
      </c>
      <c r="AH6103">
        <v>58.739350000000002</v>
      </c>
      <c r="AI6103">
        <v>67.176240000000007</v>
      </c>
      <c r="AJ6103">
        <v>23.170359999999999</v>
      </c>
      <c r="AK6103">
        <v>46.148209999999999</v>
      </c>
    </row>
    <row r="6104" spans="1:37" x14ac:dyDescent="0.3">
      <c r="A6104">
        <v>6103</v>
      </c>
      <c r="B6104">
        <v>64</v>
      </c>
      <c r="C6104">
        <v>-7.9177799999999996</v>
      </c>
      <c r="D6104">
        <v>12.6303</v>
      </c>
      <c r="E6104">
        <f>-7.91778-12.6303</f>
        <v>-20.548079999999999</v>
      </c>
      <c r="F6104" t="s">
        <v>9540</v>
      </c>
      <c r="G6104" t="s">
        <v>39</v>
      </c>
      <c r="H6104">
        <v>1995</v>
      </c>
      <c r="I6104">
        <v>27.2</v>
      </c>
      <c r="J6104">
        <v>14.1</v>
      </c>
      <c r="K6104">
        <v>59</v>
      </c>
      <c r="L6104">
        <v>23.23</v>
      </c>
      <c r="M6104">
        <v>38.700000000000003</v>
      </c>
      <c r="N6104">
        <v>15.1</v>
      </c>
      <c r="O6104">
        <v>23.6</v>
      </c>
      <c r="P6104">
        <v>26.2</v>
      </c>
      <c r="Q6104">
        <v>25</v>
      </c>
      <c r="R6104">
        <v>30.5</v>
      </c>
      <c r="S6104">
        <v>24.4</v>
      </c>
      <c r="T6104">
        <v>930</v>
      </c>
      <c r="U6104">
        <v>280</v>
      </c>
      <c r="V6104">
        <v>0</v>
      </c>
      <c r="W6104">
        <v>119</v>
      </c>
      <c r="X6104">
        <v>667</v>
      </c>
      <c r="Y6104">
        <v>1</v>
      </c>
      <c r="Z6104">
        <v>76</v>
      </c>
      <c r="AA6104">
        <v>4</v>
      </c>
      <c r="AB6104">
        <v>0.51722979999999996</v>
      </c>
      <c r="AC6104">
        <v>15.14021</v>
      </c>
      <c r="AD6104">
        <v>1.3668659999999999</v>
      </c>
      <c r="AE6104">
        <v>0.89335710000000002</v>
      </c>
      <c r="AF6104">
        <v>318.26690000000002</v>
      </c>
      <c r="AG6104">
        <f>IFERROR(AH6104*0.1, "N/A")</f>
        <v>6.2</v>
      </c>
      <c r="AH6104">
        <v>62</v>
      </c>
      <c r="AI6104">
        <v>181.5154</v>
      </c>
      <c r="AJ6104">
        <v>18.49324</v>
      </c>
      <c r="AK6104">
        <v>62.027030000000003</v>
      </c>
    </row>
    <row r="6105" spans="1:37" x14ac:dyDescent="0.3">
      <c r="A6105">
        <v>6104</v>
      </c>
      <c r="B6105">
        <v>12.6</v>
      </c>
      <c r="C6105">
        <v>-7.9177799999999996</v>
      </c>
      <c r="D6105">
        <v>12.6303</v>
      </c>
      <c r="E6105">
        <f>-7.91778-12.6303</f>
        <v>-20.548079999999999</v>
      </c>
      <c r="F6105" t="s">
        <v>9541</v>
      </c>
      <c r="G6105" t="s">
        <v>37</v>
      </c>
      <c r="H6105">
        <v>1995</v>
      </c>
      <c r="I6105">
        <v>27.2</v>
      </c>
      <c r="J6105">
        <v>14.1</v>
      </c>
      <c r="K6105">
        <v>59</v>
      </c>
      <c r="L6105">
        <v>23.23</v>
      </c>
      <c r="M6105">
        <v>38.700000000000003</v>
      </c>
      <c r="N6105">
        <v>15.1</v>
      </c>
      <c r="O6105">
        <v>23.6</v>
      </c>
      <c r="P6105">
        <v>26.2</v>
      </c>
      <c r="Q6105">
        <v>25</v>
      </c>
      <c r="R6105">
        <v>30.5</v>
      </c>
      <c r="S6105">
        <v>24.4</v>
      </c>
      <c r="T6105">
        <v>930</v>
      </c>
      <c r="U6105">
        <v>280</v>
      </c>
      <c r="V6105">
        <v>0</v>
      </c>
      <c r="W6105">
        <v>119</v>
      </c>
      <c r="X6105">
        <v>667</v>
      </c>
      <c r="Y6105">
        <v>1</v>
      </c>
      <c r="Z6105">
        <v>76</v>
      </c>
      <c r="AA6105">
        <v>4</v>
      </c>
      <c r="AB6105">
        <v>0.51722979999999996</v>
      </c>
      <c r="AC6105">
        <v>15.14021</v>
      </c>
      <c r="AD6105">
        <v>1.3668659999999999</v>
      </c>
      <c r="AE6105">
        <v>0.89335710000000002</v>
      </c>
      <c r="AF6105">
        <v>318.26690000000002</v>
      </c>
      <c r="AG6105">
        <f>IFERROR(AH6105*0.1, "N/A")</f>
        <v>6.2</v>
      </c>
      <c r="AH6105">
        <v>62</v>
      </c>
      <c r="AI6105">
        <v>181.5154</v>
      </c>
      <c r="AJ6105">
        <v>18.49324</v>
      </c>
      <c r="AK6105">
        <v>62.027030000000003</v>
      </c>
    </row>
    <row r="6106" spans="1:37" x14ac:dyDescent="0.3">
      <c r="A6106">
        <v>6105</v>
      </c>
      <c r="B6106">
        <v>35.700000000000003</v>
      </c>
      <c r="C6106">
        <v>-7.7874699999999999</v>
      </c>
      <c r="D6106">
        <v>12.630599999999999</v>
      </c>
      <c r="E6106">
        <f>-7.78747-12.6306</f>
        <v>-20.41807</v>
      </c>
      <c r="F6106" t="s">
        <v>9542</v>
      </c>
      <c r="G6106" t="s">
        <v>39</v>
      </c>
      <c r="H6106">
        <v>1990</v>
      </c>
      <c r="I6106">
        <v>27.4</v>
      </c>
      <c r="J6106">
        <v>14.2</v>
      </c>
      <c r="K6106">
        <v>59</v>
      </c>
      <c r="L6106">
        <v>23.54</v>
      </c>
      <c r="M6106">
        <v>39.1</v>
      </c>
      <c r="N6106">
        <v>15.1</v>
      </c>
      <c r="O6106">
        <v>24</v>
      </c>
      <c r="P6106">
        <v>26.3</v>
      </c>
      <c r="Q6106">
        <v>25.1</v>
      </c>
      <c r="R6106">
        <v>30.8</v>
      </c>
      <c r="S6106">
        <v>24.7</v>
      </c>
      <c r="T6106">
        <v>904</v>
      </c>
      <c r="U6106">
        <v>271</v>
      </c>
      <c r="V6106">
        <v>0</v>
      </c>
      <c r="W6106">
        <v>119</v>
      </c>
      <c r="X6106">
        <v>649</v>
      </c>
      <c r="Y6106">
        <v>1</v>
      </c>
      <c r="Z6106">
        <v>72</v>
      </c>
      <c r="AA6106">
        <v>4</v>
      </c>
      <c r="AB6106">
        <v>4.9011849999999999</v>
      </c>
      <c r="AC6106">
        <v>9.0817459999999999E-3</v>
      </c>
      <c r="AD6106">
        <v>1.1213500000000001</v>
      </c>
      <c r="AE6106">
        <v>0.59680290000000003</v>
      </c>
      <c r="AF6106">
        <v>312.34800000000001</v>
      </c>
      <c r="AG6106">
        <f>IFERROR(AH6106*0.1, "N/A")</f>
        <v>5.7775889999999999</v>
      </c>
      <c r="AH6106">
        <v>57.775889999999997</v>
      </c>
      <c r="AI6106">
        <v>180.90639999999999</v>
      </c>
      <c r="AJ6106">
        <v>30.361630000000002</v>
      </c>
      <c r="AK6106">
        <v>40.132429999999999</v>
      </c>
    </row>
    <row r="6107" spans="1:37" x14ac:dyDescent="0.3">
      <c r="A6107">
        <v>6106</v>
      </c>
      <c r="B6107">
        <v>79.400000000000006</v>
      </c>
      <c r="C6107">
        <v>-7.7874699999999999</v>
      </c>
      <c r="D6107">
        <v>12.630599999999999</v>
      </c>
      <c r="E6107">
        <f>-7.78747-12.6306</f>
        <v>-20.41807</v>
      </c>
      <c r="F6107" t="s">
        <v>9543</v>
      </c>
      <c r="G6107" t="s">
        <v>37</v>
      </c>
      <c r="H6107">
        <v>1990</v>
      </c>
      <c r="I6107">
        <v>27.4</v>
      </c>
      <c r="J6107">
        <v>14.2</v>
      </c>
      <c r="K6107">
        <v>59</v>
      </c>
      <c r="L6107">
        <v>23.54</v>
      </c>
      <c r="M6107">
        <v>39.1</v>
      </c>
      <c r="N6107">
        <v>15.1</v>
      </c>
      <c r="O6107">
        <v>24</v>
      </c>
      <c r="P6107">
        <v>26.3</v>
      </c>
      <c r="Q6107">
        <v>25.1</v>
      </c>
      <c r="R6107">
        <v>30.8</v>
      </c>
      <c r="S6107">
        <v>24.7</v>
      </c>
      <c r="T6107">
        <v>904</v>
      </c>
      <c r="U6107">
        <v>271</v>
      </c>
      <c r="V6107">
        <v>0</v>
      </c>
      <c r="W6107">
        <v>119</v>
      </c>
      <c r="X6107">
        <v>649</v>
      </c>
      <c r="Y6107">
        <v>1</v>
      </c>
      <c r="Z6107">
        <v>72</v>
      </c>
      <c r="AA6107">
        <v>4</v>
      </c>
      <c r="AB6107">
        <v>4.9011849999999999</v>
      </c>
      <c r="AC6107">
        <v>9.0817459999999999E-3</v>
      </c>
      <c r="AD6107">
        <v>1.1213500000000001</v>
      </c>
      <c r="AE6107">
        <v>0.59680290000000003</v>
      </c>
      <c r="AF6107">
        <v>312.34800000000001</v>
      </c>
      <c r="AG6107">
        <f>IFERROR(AH6107*0.1, "N/A")</f>
        <v>5.7775889999999999</v>
      </c>
      <c r="AH6107">
        <v>57.775889999999997</v>
      </c>
      <c r="AI6107">
        <v>180.90639999999999</v>
      </c>
      <c r="AJ6107">
        <v>30.361630000000002</v>
      </c>
      <c r="AK6107">
        <v>40.132429999999999</v>
      </c>
    </row>
    <row r="6108" spans="1:37" x14ac:dyDescent="0.3">
      <c r="A6108">
        <v>6107</v>
      </c>
      <c r="B6108">
        <v>64.3</v>
      </c>
      <c r="C6108">
        <v>-7.9208299999999996</v>
      </c>
      <c r="D6108">
        <v>12.631600000000001</v>
      </c>
      <c r="E6108">
        <f>-7.92083-12.6316</f>
        <v>-20.552430000000001</v>
      </c>
      <c r="F6108" t="s">
        <v>9544</v>
      </c>
      <c r="G6108" t="s">
        <v>39</v>
      </c>
      <c r="H6108">
        <v>2006</v>
      </c>
      <c r="I6108">
        <v>27.2</v>
      </c>
      <c r="J6108">
        <v>14.1</v>
      </c>
      <c r="K6108">
        <v>59</v>
      </c>
      <c r="L6108">
        <v>23.23</v>
      </c>
      <c r="M6108">
        <v>38.700000000000003</v>
      </c>
      <c r="N6108">
        <v>15.1</v>
      </c>
      <c r="O6108">
        <v>23.6</v>
      </c>
      <c r="P6108">
        <v>26.2</v>
      </c>
      <c r="Q6108">
        <v>25</v>
      </c>
      <c r="R6108">
        <v>30.5</v>
      </c>
      <c r="S6108">
        <v>24.4</v>
      </c>
      <c r="T6108">
        <v>930</v>
      </c>
      <c r="U6108">
        <v>280</v>
      </c>
      <c r="V6108">
        <v>0</v>
      </c>
      <c r="W6108">
        <v>119</v>
      </c>
      <c r="X6108">
        <v>667</v>
      </c>
      <c r="Y6108">
        <v>1</v>
      </c>
      <c r="Z6108">
        <v>76</v>
      </c>
      <c r="AA6108">
        <v>4</v>
      </c>
      <c r="AB6108">
        <v>2.4338959999999998</v>
      </c>
      <c r="AC6108">
        <v>0.16147</v>
      </c>
      <c r="AD6108">
        <v>1.6846350000000001</v>
      </c>
      <c r="AE6108">
        <v>0.85696209999999995</v>
      </c>
      <c r="AF6108">
        <v>318.20949999999999</v>
      </c>
      <c r="AG6108">
        <f>IFERROR(AH6108*0.1, "N/A")</f>
        <v>6.0833050000000002</v>
      </c>
      <c r="AH6108">
        <v>60.83305</v>
      </c>
      <c r="AI6108">
        <v>118.08199999999999</v>
      </c>
      <c r="AJ6108">
        <v>23.047699999999999</v>
      </c>
      <c r="AK6108">
        <v>57.780239999999999</v>
      </c>
    </row>
    <row r="6109" spans="1:37" x14ac:dyDescent="0.3">
      <c r="A6109">
        <v>6108</v>
      </c>
      <c r="B6109">
        <v>12.5</v>
      </c>
      <c r="C6109">
        <v>-7.9208299999999996</v>
      </c>
      <c r="D6109">
        <v>12.631600000000001</v>
      </c>
      <c r="E6109">
        <f>-7.92083-12.6316</f>
        <v>-20.552430000000001</v>
      </c>
      <c r="F6109" t="s">
        <v>9545</v>
      </c>
      <c r="G6109" t="s">
        <v>37</v>
      </c>
      <c r="H6109">
        <v>2006</v>
      </c>
      <c r="I6109">
        <v>27.2</v>
      </c>
      <c r="J6109">
        <v>14.1</v>
      </c>
      <c r="K6109">
        <v>59</v>
      </c>
      <c r="L6109">
        <v>23.23</v>
      </c>
      <c r="M6109">
        <v>38.700000000000003</v>
      </c>
      <c r="N6109">
        <v>15.1</v>
      </c>
      <c r="O6109">
        <v>23.6</v>
      </c>
      <c r="P6109">
        <v>26.2</v>
      </c>
      <c r="Q6109">
        <v>25</v>
      </c>
      <c r="R6109">
        <v>30.5</v>
      </c>
      <c r="S6109">
        <v>24.4</v>
      </c>
      <c r="T6109">
        <v>930</v>
      </c>
      <c r="U6109">
        <v>280</v>
      </c>
      <c r="V6109">
        <v>0</v>
      </c>
      <c r="W6109">
        <v>119</v>
      </c>
      <c r="X6109">
        <v>667</v>
      </c>
      <c r="Y6109">
        <v>1</v>
      </c>
      <c r="Z6109">
        <v>76</v>
      </c>
      <c r="AA6109">
        <v>4</v>
      </c>
      <c r="AB6109">
        <v>2.4338959999999998</v>
      </c>
      <c r="AC6109">
        <v>0.16147</v>
      </c>
      <c r="AD6109">
        <v>1.6846350000000001</v>
      </c>
      <c r="AE6109">
        <v>0.85696209999999995</v>
      </c>
      <c r="AF6109">
        <v>318.20949999999999</v>
      </c>
      <c r="AG6109">
        <f>IFERROR(AH6109*0.1, "N/A")</f>
        <v>6.0833050000000002</v>
      </c>
      <c r="AH6109">
        <v>60.83305</v>
      </c>
      <c r="AI6109">
        <v>118.08199999999999</v>
      </c>
      <c r="AJ6109">
        <v>23.047699999999999</v>
      </c>
      <c r="AK6109">
        <v>57.780239999999999</v>
      </c>
    </row>
    <row r="6110" spans="1:37" x14ac:dyDescent="0.3">
      <c r="A6110">
        <v>6109</v>
      </c>
      <c r="B6110">
        <v>41.9</v>
      </c>
      <c r="C6110">
        <v>-8.0003499999999992</v>
      </c>
      <c r="D6110">
        <v>12.6328</v>
      </c>
      <c r="E6110">
        <f>-8.00035-12.6328</f>
        <v>-20.633150000000001</v>
      </c>
      <c r="F6110" t="s">
        <v>9546</v>
      </c>
      <c r="G6110" t="s">
        <v>39</v>
      </c>
      <c r="H6110">
        <v>1990</v>
      </c>
      <c r="I6110">
        <v>27.77929</v>
      </c>
      <c r="J6110">
        <v>14.2</v>
      </c>
      <c r="K6110">
        <v>62</v>
      </c>
      <c r="L6110">
        <v>21.737010000000001</v>
      </c>
      <c r="M6110">
        <v>38.834130000000002</v>
      </c>
      <c r="N6110">
        <v>16.045159999999999</v>
      </c>
      <c r="O6110">
        <v>22.788959999999999</v>
      </c>
      <c r="P6110">
        <v>26.6</v>
      </c>
      <c r="Q6110">
        <v>25.84516</v>
      </c>
      <c r="R6110">
        <v>30.93413</v>
      </c>
      <c r="S6110">
        <v>25.34516</v>
      </c>
      <c r="T6110">
        <v>950.67229999999995</v>
      </c>
      <c r="U6110">
        <v>287</v>
      </c>
      <c r="V6110">
        <v>0</v>
      </c>
      <c r="W6110">
        <v>119.6587</v>
      </c>
      <c r="X6110">
        <v>686.90319999999997</v>
      </c>
      <c r="Y6110">
        <v>1</v>
      </c>
      <c r="Z6110">
        <v>74.317490000000006</v>
      </c>
      <c r="AA6110">
        <v>4.7928689999999996</v>
      </c>
      <c r="AB6110">
        <v>9.7673909999999999</v>
      </c>
      <c r="AC6110">
        <v>1.9480879999999999E-2</v>
      </c>
      <c r="AD6110">
        <v>2.6100539999999999</v>
      </c>
      <c r="AE6110">
        <v>0.86064890000000005</v>
      </c>
      <c r="AF6110">
        <v>324.86759999999998</v>
      </c>
      <c r="AG6110">
        <f>IFERROR(AH6110*0.1, "N/A")</f>
        <v>6.4076400000000007</v>
      </c>
      <c r="AH6110">
        <v>64.076400000000007</v>
      </c>
      <c r="AI6110">
        <v>132.73769999999999</v>
      </c>
      <c r="AJ6110">
        <v>34.398980000000002</v>
      </c>
      <c r="AK6110">
        <v>45.050930000000001</v>
      </c>
    </row>
    <row r="6111" spans="1:37" x14ac:dyDescent="0.3">
      <c r="A6111">
        <v>6110</v>
      </c>
      <c r="B6111">
        <v>9.1</v>
      </c>
      <c r="C6111">
        <v>-8.0003499999999992</v>
      </c>
      <c r="D6111">
        <v>12.6328</v>
      </c>
      <c r="E6111">
        <f>-8.00035-12.6328</f>
        <v>-20.633150000000001</v>
      </c>
      <c r="F6111" t="s">
        <v>9547</v>
      </c>
      <c r="G6111" t="s">
        <v>37</v>
      </c>
      <c r="H6111">
        <v>1990</v>
      </c>
      <c r="I6111">
        <v>27.77929</v>
      </c>
      <c r="J6111">
        <v>14.2</v>
      </c>
      <c r="K6111">
        <v>62</v>
      </c>
      <c r="L6111">
        <v>21.737010000000001</v>
      </c>
      <c r="M6111">
        <v>38.834130000000002</v>
      </c>
      <c r="N6111">
        <v>16.045159999999999</v>
      </c>
      <c r="O6111">
        <v>22.788959999999999</v>
      </c>
      <c r="P6111">
        <v>26.6</v>
      </c>
      <c r="Q6111">
        <v>25.84516</v>
      </c>
      <c r="R6111">
        <v>30.93413</v>
      </c>
      <c r="S6111">
        <v>25.34516</v>
      </c>
      <c r="T6111">
        <v>950.67229999999995</v>
      </c>
      <c r="U6111">
        <v>287</v>
      </c>
      <c r="V6111">
        <v>0</v>
      </c>
      <c r="W6111">
        <v>119.6587</v>
      </c>
      <c r="X6111">
        <v>686.90319999999997</v>
      </c>
      <c r="Y6111">
        <v>1</v>
      </c>
      <c r="Z6111">
        <v>74.317490000000006</v>
      </c>
      <c r="AA6111">
        <v>4.7928689999999996</v>
      </c>
      <c r="AB6111">
        <v>9.7673909999999999</v>
      </c>
      <c r="AC6111">
        <v>1.9480879999999999E-2</v>
      </c>
      <c r="AD6111">
        <v>2.6100539999999999</v>
      </c>
      <c r="AE6111">
        <v>0.86064890000000005</v>
      </c>
      <c r="AF6111">
        <v>324.86759999999998</v>
      </c>
      <c r="AG6111">
        <f>IFERROR(AH6111*0.1, "N/A")</f>
        <v>6.4076400000000007</v>
      </c>
      <c r="AH6111">
        <v>64.076400000000007</v>
      </c>
      <c r="AI6111">
        <v>132.73769999999999</v>
      </c>
      <c r="AJ6111">
        <v>34.398980000000002</v>
      </c>
      <c r="AK6111">
        <v>45.050930000000001</v>
      </c>
    </row>
    <row r="6112" spans="1:37" x14ac:dyDescent="0.3">
      <c r="A6112">
        <v>6111</v>
      </c>
      <c r="B6112">
        <v>18.2</v>
      </c>
      <c r="C6112">
        <v>-7.7336099999999997</v>
      </c>
      <c r="D6112">
        <v>12.633599999999999</v>
      </c>
      <c r="E6112">
        <f>-7.73361-12.6336</f>
        <v>-20.36721</v>
      </c>
      <c r="F6112" t="s">
        <v>9548</v>
      </c>
      <c r="G6112" t="s">
        <v>39</v>
      </c>
      <c r="H6112">
        <v>1990</v>
      </c>
      <c r="I6112">
        <v>27.4</v>
      </c>
      <c r="J6112">
        <v>14.29574</v>
      </c>
      <c r="K6112">
        <v>58.957410000000003</v>
      </c>
      <c r="L6112">
        <v>23.84891</v>
      </c>
      <c r="M6112">
        <v>39.053829999999998</v>
      </c>
      <c r="N6112">
        <v>14.904260000000001</v>
      </c>
      <c r="O6112">
        <v>24.149570000000001</v>
      </c>
      <c r="P6112">
        <v>26.353829999999999</v>
      </c>
      <c r="Q6112">
        <v>24.951619999999998</v>
      </c>
      <c r="R6112">
        <v>30.8</v>
      </c>
      <c r="S6112">
        <v>24.6</v>
      </c>
      <c r="T6112">
        <v>895.14139999999998</v>
      </c>
      <c r="U6112">
        <v>270</v>
      </c>
      <c r="V6112">
        <v>0</v>
      </c>
      <c r="W6112">
        <v>120</v>
      </c>
      <c r="X6112">
        <v>645.46169999999995</v>
      </c>
      <c r="Y6112">
        <v>0</v>
      </c>
      <c r="Z6112">
        <v>70.109030000000004</v>
      </c>
      <c r="AA6112">
        <v>3</v>
      </c>
      <c r="AB6112">
        <v>1.163718</v>
      </c>
      <c r="AC6112">
        <v>1.087539E-2</v>
      </c>
      <c r="AD6112">
        <v>1.2933749999999999</v>
      </c>
      <c r="AE6112">
        <v>0.69724680000000006</v>
      </c>
      <c r="AF6112">
        <v>315.62180000000001</v>
      </c>
      <c r="AG6112">
        <f>IFERROR(AH6112*0.1, "N/A")</f>
        <v>5.6000000000000005</v>
      </c>
      <c r="AH6112">
        <v>56</v>
      </c>
      <c r="AI6112">
        <v>271.65129999999999</v>
      </c>
      <c r="AJ6112">
        <v>17.017040000000001</v>
      </c>
      <c r="AK6112">
        <v>49.991480000000003</v>
      </c>
    </row>
    <row r="6113" spans="1:37" x14ac:dyDescent="0.3">
      <c r="A6113">
        <v>6112</v>
      </c>
      <c r="B6113">
        <v>34.5</v>
      </c>
      <c r="C6113">
        <v>-7.7336099999999997</v>
      </c>
      <c r="D6113">
        <v>12.633599999999999</v>
      </c>
      <c r="E6113">
        <f>-7.73361-12.6336</f>
        <v>-20.36721</v>
      </c>
      <c r="F6113" t="s">
        <v>9549</v>
      </c>
      <c r="G6113" t="s">
        <v>37</v>
      </c>
      <c r="H6113">
        <v>1990</v>
      </c>
      <c r="I6113">
        <v>27.4</v>
      </c>
      <c r="J6113">
        <v>14.29574</v>
      </c>
      <c r="K6113">
        <v>58.957410000000003</v>
      </c>
      <c r="L6113">
        <v>23.84891</v>
      </c>
      <c r="M6113">
        <v>39.053829999999998</v>
      </c>
      <c r="N6113">
        <v>14.904260000000001</v>
      </c>
      <c r="O6113">
        <v>24.149570000000001</v>
      </c>
      <c r="P6113">
        <v>26.353829999999999</v>
      </c>
      <c r="Q6113">
        <v>24.951619999999998</v>
      </c>
      <c r="R6113">
        <v>30.8</v>
      </c>
      <c r="S6113">
        <v>24.6</v>
      </c>
      <c r="T6113">
        <v>895.14139999999998</v>
      </c>
      <c r="U6113">
        <v>270</v>
      </c>
      <c r="V6113">
        <v>0</v>
      </c>
      <c r="W6113">
        <v>120</v>
      </c>
      <c r="X6113">
        <v>645.46169999999995</v>
      </c>
      <c r="Y6113">
        <v>0</v>
      </c>
      <c r="Z6113">
        <v>70.109030000000004</v>
      </c>
      <c r="AA6113">
        <v>3</v>
      </c>
      <c r="AB6113">
        <v>1.163718</v>
      </c>
      <c r="AC6113">
        <v>1.087539E-2</v>
      </c>
      <c r="AD6113">
        <v>1.2933749999999999</v>
      </c>
      <c r="AE6113">
        <v>0.69724680000000006</v>
      </c>
      <c r="AF6113">
        <v>315.62180000000001</v>
      </c>
      <c r="AG6113">
        <f>IFERROR(AH6113*0.1, "N/A")</f>
        <v>5.6000000000000005</v>
      </c>
      <c r="AH6113">
        <v>56</v>
      </c>
      <c r="AI6113">
        <v>271.65129999999999</v>
      </c>
      <c r="AJ6113">
        <v>17.017040000000001</v>
      </c>
      <c r="AK6113">
        <v>49.991480000000003</v>
      </c>
    </row>
    <row r="6114" spans="1:37" x14ac:dyDescent="0.3">
      <c r="A6114">
        <v>6113</v>
      </c>
      <c r="B6114">
        <v>1.2</v>
      </c>
      <c r="C6114">
        <v>-7.718</v>
      </c>
      <c r="D6114">
        <v>12.635</v>
      </c>
      <c r="E6114">
        <f>-7.718-12.635</f>
        <v>-20.353000000000002</v>
      </c>
      <c r="F6114" t="s">
        <v>9550</v>
      </c>
      <c r="G6114" t="s">
        <v>39</v>
      </c>
      <c r="H6114">
        <v>1987</v>
      </c>
      <c r="I6114">
        <v>27.4</v>
      </c>
      <c r="J6114">
        <v>14.3</v>
      </c>
      <c r="K6114">
        <v>59</v>
      </c>
      <c r="L6114">
        <v>23.69</v>
      </c>
      <c r="M6114">
        <v>39</v>
      </c>
      <c r="N6114">
        <v>14.9</v>
      </c>
      <c r="O6114">
        <v>24.1</v>
      </c>
      <c r="P6114">
        <v>26.3</v>
      </c>
      <c r="Q6114">
        <v>24.9</v>
      </c>
      <c r="R6114">
        <v>30.7</v>
      </c>
      <c r="S6114">
        <v>24.6</v>
      </c>
      <c r="T6114">
        <v>894</v>
      </c>
      <c r="U6114">
        <v>270</v>
      </c>
      <c r="V6114">
        <v>0</v>
      </c>
      <c r="W6114">
        <v>120</v>
      </c>
      <c r="X6114">
        <v>645</v>
      </c>
      <c r="Y6114">
        <v>0</v>
      </c>
      <c r="Z6114">
        <v>70</v>
      </c>
      <c r="AA6114">
        <v>3</v>
      </c>
      <c r="AB6114">
        <v>1.52014</v>
      </c>
      <c r="AC6114">
        <v>3.6779799999999998</v>
      </c>
      <c r="AD6114">
        <v>1.795685</v>
      </c>
      <c r="AE6114">
        <v>0.7072735</v>
      </c>
      <c r="AF6114">
        <v>318.13709999999998</v>
      </c>
      <c r="AG6114">
        <f>IFERROR(AH6114*0.1, "N/A")</f>
        <v>5.3324870000000004</v>
      </c>
      <c r="AH6114">
        <v>53.324869999999997</v>
      </c>
      <c r="AI6114">
        <v>106.90309999999999</v>
      </c>
      <c r="AJ6114">
        <v>12.675129999999999</v>
      </c>
      <c r="AK6114">
        <v>54.350250000000003</v>
      </c>
    </row>
    <row r="6115" spans="1:37" x14ac:dyDescent="0.3">
      <c r="A6115">
        <v>6114</v>
      </c>
      <c r="B6115">
        <v>0</v>
      </c>
      <c r="C6115">
        <v>-7.718</v>
      </c>
      <c r="D6115">
        <v>12.635</v>
      </c>
      <c r="E6115">
        <f>-7.718-12.635</f>
        <v>-20.353000000000002</v>
      </c>
      <c r="F6115" t="s">
        <v>9551</v>
      </c>
      <c r="G6115" t="s">
        <v>37</v>
      </c>
      <c r="H6115">
        <v>1987</v>
      </c>
      <c r="I6115">
        <v>27.4</v>
      </c>
      <c r="J6115">
        <v>14.3</v>
      </c>
      <c r="K6115">
        <v>59</v>
      </c>
      <c r="L6115">
        <v>23.69</v>
      </c>
      <c r="M6115">
        <v>39</v>
      </c>
      <c r="N6115">
        <v>14.9</v>
      </c>
      <c r="O6115">
        <v>24.1</v>
      </c>
      <c r="P6115">
        <v>26.3</v>
      </c>
      <c r="Q6115">
        <v>24.9</v>
      </c>
      <c r="R6115">
        <v>30.7</v>
      </c>
      <c r="S6115">
        <v>24.6</v>
      </c>
      <c r="T6115">
        <v>894</v>
      </c>
      <c r="U6115">
        <v>270</v>
      </c>
      <c r="V6115">
        <v>0</v>
      </c>
      <c r="W6115">
        <v>120</v>
      </c>
      <c r="X6115">
        <v>645</v>
      </c>
      <c r="Y6115">
        <v>0</v>
      </c>
      <c r="Z6115">
        <v>70</v>
      </c>
      <c r="AA6115">
        <v>3</v>
      </c>
      <c r="AB6115">
        <v>1.52014</v>
      </c>
      <c r="AC6115">
        <v>3.6779799999999998</v>
      </c>
      <c r="AD6115">
        <v>1.795685</v>
      </c>
      <c r="AE6115">
        <v>0.7072735</v>
      </c>
      <c r="AF6115">
        <v>318.13709999999998</v>
      </c>
      <c r="AG6115">
        <f>IFERROR(AH6115*0.1, "N/A")</f>
        <v>5.3324870000000004</v>
      </c>
      <c r="AH6115">
        <v>53.324869999999997</v>
      </c>
      <c r="AI6115">
        <v>106.90309999999999</v>
      </c>
      <c r="AJ6115">
        <v>12.675129999999999</v>
      </c>
      <c r="AK6115">
        <v>54.350250000000003</v>
      </c>
    </row>
    <row r="6116" spans="1:37" x14ac:dyDescent="0.3">
      <c r="A6116">
        <v>6115</v>
      </c>
      <c r="B6116">
        <v>9</v>
      </c>
      <c r="C6116">
        <v>-10.85</v>
      </c>
      <c r="D6116">
        <v>12.635999999999999</v>
      </c>
      <c r="E6116">
        <f>-10.85-12.636</f>
        <v>-23.485999999999997</v>
      </c>
      <c r="F6116" t="s">
        <v>9552</v>
      </c>
      <c r="G6116" t="s">
        <v>39</v>
      </c>
      <c r="H6116">
        <v>1987</v>
      </c>
      <c r="I6116">
        <v>27.4</v>
      </c>
      <c r="J6116">
        <v>13.2</v>
      </c>
      <c r="K6116">
        <v>56.618639999999999</v>
      </c>
      <c r="L6116">
        <v>22.837630000000001</v>
      </c>
      <c r="M6116">
        <v>38.700000000000003</v>
      </c>
      <c r="N6116">
        <v>15.561859999999999</v>
      </c>
      <c r="O6116">
        <v>23.13814</v>
      </c>
      <c r="P6116">
        <v>25.9</v>
      </c>
      <c r="Q6116">
        <v>27.5</v>
      </c>
      <c r="R6116">
        <v>30.9</v>
      </c>
      <c r="S6116">
        <v>25.16187</v>
      </c>
      <c r="T6116">
        <v>1217.6189999999999</v>
      </c>
      <c r="U6116">
        <v>342</v>
      </c>
      <c r="V6116">
        <v>0</v>
      </c>
      <c r="W6116">
        <v>119</v>
      </c>
      <c r="X6116">
        <v>869</v>
      </c>
      <c r="Y6116">
        <v>0</v>
      </c>
      <c r="Z6116">
        <v>67</v>
      </c>
      <c r="AA6116">
        <v>9</v>
      </c>
      <c r="AB6116">
        <v>3.2452549999999998</v>
      </c>
      <c r="AC6116">
        <v>0.30681360000000002</v>
      </c>
      <c r="AD6116">
        <v>1.8117639999999999</v>
      </c>
      <c r="AE6116">
        <v>0.19403509999999999</v>
      </c>
      <c r="AF6116">
        <v>249.739</v>
      </c>
      <c r="AG6116">
        <f>IFERROR(AH6116*0.1, "N/A")</f>
        <v>6.0488140000000001</v>
      </c>
      <c r="AH6116">
        <v>60.488140000000001</v>
      </c>
      <c r="AI6116">
        <v>171.20439999999999</v>
      </c>
      <c r="AJ6116">
        <v>23.040679999999998</v>
      </c>
      <c r="AK6116">
        <v>46.708469999999998</v>
      </c>
    </row>
    <row r="6117" spans="1:37" x14ac:dyDescent="0.3">
      <c r="A6117">
        <v>6116</v>
      </c>
      <c r="B6117">
        <v>10</v>
      </c>
      <c r="C6117">
        <v>-10.85</v>
      </c>
      <c r="D6117">
        <v>12.635999999999999</v>
      </c>
      <c r="E6117">
        <f>-10.85-12.636</f>
        <v>-23.485999999999997</v>
      </c>
      <c r="F6117" t="s">
        <v>9553</v>
      </c>
      <c r="G6117" t="s">
        <v>37</v>
      </c>
      <c r="H6117">
        <v>1987</v>
      </c>
      <c r="I6117">
        <v>27.4</v>
      </c>
      <c r="J6117">
        <v>13.2</v>
      </c>
      <c r="K6117">
        <v>56.618639999999999</v>
      </c>
      <c r="L6117">
        <v>22.837630000000001</v>
      </c>
      <c r="M6117">
        <v>38.700000000000003</v>
      </c>
      <c r="N6117">
        <v>15.561859999999999</v>
      </c>
      <c r="O6117">
        <v>23.13814</v>
      </c>
      <c r="P6117">
        <v>25.9</v>
      </c>
      <c r="Q6117">
        <v>27.5</v>
      </c>
      <c r="R6117">
        <v>30.9</v>
      </c>
      <c r="S6117">
        <v>25.16187</v>
      </c>
      <c r="T6117">
        <v>1217.6189999999999</v>
      </c>
      <c r="U6117">
        <v>342</v>
      </c>
      <c r="V6117">
        <v>0</v>
      </c>
      <c r="W6117">
        <v>119</v>
      </c>
      <c r="X6117">
        <v>869</v>
      </c>
      <c r="Y6117">
        <v>0</v>
      </c>
      <c r="Z6117">
        <v>67</v>
      </c>
      <c r="AA6117">
        <v>9</v>
      </c>
      <c r="AB6117">
        <v>3.2452549999999998</v>
      </c>
      <c r="AC6117">
        <v>0.30681360000000002</v>
      </c>
      <c r="AD6117">
        <v>1.8117639999999999</v>
      </c>
      <c r="AE6117">
        <v>0.19403509999999999</v>
      </c>
      <c r="AF6117">
        <v>249.739</v>
      </c>
      <c r="AG6117">
        <f>IFERROR(AH6117*0.1, "N/A")</f>
        <v>6.0488140000000001</v>
      </c>
      <c r="AH6117">
        <v>60.488140000000001</v>
      </c>
      <c r="AI6117">
        <v>171.20439999999999</v>
      </c>
      <c r="AJ6117">
        <v>23.040679999999998</v>
      </c>
      <c r="AK6117">
        <v>46.708469999999998</v>
      </c>
    </row>
    <row r="6118" spans="1:37" x14ac:dyDescent="0.3">
      <c r="A6118">
        <v>6117</v>
      </c>
      <c r="B6118">
        <v>38.9</v>
      </c>
      <c r="C6118">
        <v>-7.8355899999999998</v>
      </c>
      <c r="D6118">
        <v>12.636799999999999</v>
      </c>
      <c r="E6118">
        <f>-7.83559-12.6368</f>
        <v>-20.472389999999997</v>
      </c>
      <c r="F6118" t="s">
        <v>9554</v>
      </c>
      <c r="G6118" t="s">
        <v>39</v>
      </c>
      <c r="H6118">
        <v>1990</v>
      </c>
      <c r="I6118">
        <v>27.4</v>
      </c>
      <c r="J6118">
        <v>14.2</v>
      </c>
      <c r="K6118">
        <v>59</v>
      </c>
      <c r="L6118">
        <v>23.44</v>
      </c>
      <c r="M6118">
        <v>39</v>
      </c>
      <c r="N6118">
        <v>15.2</v>
      </c>
      <c r="O6118">
        <v>23.8</v>
      </c>
      <c r="P6118">
        <v>26.3</v>
      </c>
      <c r="Q6118">
        <v>25.1</v>
      </c>
      <c r="R6118">
        <v>30.8</v>
      </c>
      <c r="S6118">
        <v>24.7</v>
      </c>
      <c r="T6118">
        <v>913</v>
      </c>
      <c r="U6118">
        <v>274</v>
      </c>
      <c r="V6118">
        <v>0</v>
      </c>
      <c r="W6118">
        <v>119</v>
      </c>
      <c r="X6118">
        <v>656</v>
      </c>
      <c r="Y6118">
        <v>1</v>
      </c>
      <c r="Z6118">
        <v>73</v>
      </c>
      <c r="AA6118">
        <v>4</v>
      </c>
      <c r="AB6118">
        <v>5.751004</v>
      </c>
      <c r="AC6118">
        <v>1.296984E-2</v>
      </c>
      <c r="AD6118">
        <v>5.6454300000000002</v>
      </c>
      <c r="AE6118">
        <v>0.72494579999999997</v>
      </c>
      <c r="AF6118">
        <v>323.22030000000001</v>
      </c>
      <c r="AG6118">
        <f>IFERROR(AH6118*0.1, "N/A")</f>
        <v>5.8883049999999999</v>
      </c>
      <c r="AH6118">
        <v>58.883049999999997</v>
      </c>
      <c r="AI6118">
        <v>208.73050000000001</v>
      </c>
      <c r="AJ6118">
        <v>21.2</v>
      </c>
      <c r="AK6118">
        <v>47.527119999999996</v>
      </c>
    </row>
    <row r="6119" spans="1:37" x14ac:dyDescent="0.3">
      <c r="A6119">
        <v>6118</v>
      </c>
      <c r="B6119">
        <v>83.5</v>
      </c>
      <c r="C6119">
        <v>-7.8355899999999998</v>
      </c>
      <c r="D6119">
        <v>12.636799999999999</v>
      </c>
      <c r="E6119">
        <f>-7.83559-12.6368</f>
        <v>-20.472389999999997</v>
      </c>
      <c r="F6119" t="s">
        <v>9555</v>
      </c>
      <c r="G6119" t="s">
        <v>37</v>
      </c>
      <c r="H6119">
        <v>1990</v>
      </c>
      <c r="I6119">
        <v>27.4</v>
      </c>
      <c r="J6119">
        <v>14.2</v>
      </c>
      <c r="K6119">
        <v>59</v>
      </c>
      <c r="L6119">
        <v>23.44</v>
      </c>
      <c r="M6119">
        <v>39</v>
      </c>
      <c r="N6119">
        <v>15.2</v>
      </c>
      <c r="O6119">
        <v>23.8</v>
      </c>
      <c r="P6119">
        <v>26.3</v>
      </c>
      <c r="Q6119">
        <v>25.1</v>
      </c>
      <c r="R6119">
        <v>30.8</v>
      </c>
      <c r="S6119">
        <v>24.7</v>
      </c>
      <c r="T6119">
        <v>913</v>
      </c>
      <c r="U6119">
        <v>274</v>
      </c>
      <c r="V6119">
        <v>0</v>
      </c>
      <c r="W6119">
        <v>119</v>
      </c>
      <c r="X6119">
        <v>656</v>
      </c>
      <c r="Y6119">
        <v>1</v>
      </c>
      <c r="Z6119">
        <v>73</v>
      </c>
      <c r="AA6119">
        <v>4</v>
      </c>
      <c r="AB6119">
        <v>5.751004</v>
      </c>
      <c r="AC6119">
        <v>1.296984E-2</v>
      </c>
      <c r="AD6119">
        <v>5.6454300000000002</v>
      </c>
      <c r="AE6119">
        <v>0.72494579999999997</v>
      </c>
      <c r="AF6119">
        <v>323.22030000000001</v>
      </c>
      <c r="AG6119">
        <f>IFERROR(AH6119*0.1, "N/A")</f>
        <v>5.8883049999999999</v>
      </c>
      <c r="AH6119">
        <v>58.883049999999997</v>
      </c>
      <c r="AI6119">
        <v>208.73050000000001</v>
      </c>
      <c r="AJ6119">
        <v>21.2</v>
      </c>
      <c r="AK6119">
        <v>47.527119999999996</v>
      </c>
    </row>
    <row r="6120" spans="1:37" x14ac:dyDescent="0.3">
      <c r="A6120">
        <v>6119</v>
      </c>
      <c r="B6120">
        <v>29.6</v>
      </c>
      <c r="C6120">
        <v>-8.0441000000000003</v>
      </c>
      <c r="D6120">
        <v>12.637</v>
      </c>
      <c r="E6120">
        <f>-8.0441-12.637</f>
        <v>-20.681100000000001</v>
      </c>
      <c r="F6120" t="s">
        <v>9556</v>
      </c>
      <c r="G6120" t="s">
        <v>39</v>
      </c>
      <c r="H6120">
        <v>1990</v>
      </c>
      <c r="I6120">
        <v>27.8</v>
      </c>
      <c r="J6120">
        <v>14.3</v>
      </c>
      <c r="K6120">
        <v>63</v>
      </c>
      <c r="L6120">
        <v>20.74</v>
      </c>
      <c r="M6120">
        <v>38.700000000000003</v>
      </c>
      <c r="N6120">
        <v>16.3</v>
      </c>
      <c r="O6120">
        <v>22.4</v>
      </c>
      <c r="P6120">
        <v>26.5</v>
      </c>
      <c r="Q6120">
        <v>26.1</v>
      </c>
      <c r="R6120">
        <v>30.9</v>
      </c>
      <c r="S6120">
        <v>25.7</v>
      </c>
      <c r="T6120">
        <v>967</v>
      </c>
      <c r="U6120">
        <v>291</v>
      </c>
      <c r="V6120">
        <v>0</v>
      </c>
      <c r="W6120">
        <v>120</v>
      </c>
      <c r="X6120">
        <v>702</v>
      </c>
      <c r="Y6120">
        <v>1</v>
      </c>
      <c r="Z6120">
        <v>75</v>
      </c>
      <c r="AA6120">
        <v>5</v>
      </c>
      <c r="AB6120">
        <v>10.01186</v>
      </c>
      <c r="AC6120">
        <v>1.7482919999999999E-2</v>
      </c>
      <c r="AD6120">
        <v>1.429662</v>
      </c>
      <c r="AE6120">
        <v>0.92801579999999995</v>
      </c>
      <c r="AF6120">
        <v>345.65199999999999</v>
      </c>
      <c r="AG6120">
        <f>IFERROR(AH6120*0.1, "N/A")</f>
        <v>6.2933790000000007</v>
      </c>
      <c r="AH6120">
        <v>62.933790000000002</v>
      </c>
      <c r="AI6120">
        <v>164.29400000000001</v>
      </c>
      <c r="AJ6120">
        <v>23.36842</v>
      </c>
      <c r="AK6120">
        <v>55.456710000000001</v>
      </c>
    </row>
    <row r="6121" spans="1:37" x14ac:dyDescent="0.3">
      <c r="A6121">
        <v>6120</v>
      </c>
      <c r="B6121">
        <v>11.4</v>
      </c>
      <c r="C6121">
        <v>-8.0441000000000003</v>
      </c>
      <c r="D6121">
        <v>12.637</v>
      </c>
      <c r="E6121">
        <f>-8.0441-12.637</f>
        <v>-20.681100000000001</v>
      </c>
      <c r="F6121" t="s">
        <v>9557</v>
      </c>
      <c r="G6121" t="s">
        <v>37</v>
      </c>
      <c r="H6121">
        <v>1990</v>
      </c>
      <c r="I6121">
        <v>27.8</v>
      </c>
      <c r="J6121">
        <v>14.3</v>
      </c>
      <c r="K6121">
        <v>63</v>
      </c>
      <c r="L6121">
        <v>20.74</v>
      </c>
      <c r="M6121">
        <v>38.700000000000003</v>
      </c>
      <c r="N6121">
        <v>16.3</v>
      </c>
      <c r="O6121">
        <v>22.4</v>
      </c>
      <c r="P6121">
        <v>26.5</v>
      </c>
      <c r="Q6121">
        <v>26.1</v>
      </c>
      <c r="R6121">
        <v>30.9</v>
      </c>
      <c r="S6121">
        <v>25.7</v>
      </c>
      <c r="T6121">
        <v>967</v>
      </c>
      <c r="U6121">
        <v>291</v>
      </c>
      <c r="V6121">
        <v>0</v>
      </c>
      <c r="W6121">
        <v>120</v>
      </c>
      <c r="X6121">
        <v>702</v>
      </c>
      <c r="Y6121">
        <v>1</v>
      </c>
      <c r="Z6121">
        <v>75</v>
      </c>
      <c r="AA6121">
        <v>5</v>
      </c>
      <c r="AB6121">
        <v>10.01186</v>
      </c>
      <c r="AC6121">
        <v>1.7482919999999999E-2</v>
      </c>
      <c r="AD6121">
        <v>1.429662</v>
      </c>
      <c r="AE6121">
        <v>0.92801579999999995</v>
      </c>
      <c r="AF6121">
        <v>345.65199999999999</v>
      </c>
      <c r="AG6121">
        <f>IFERROR(AH6121*0.1, "N/A")</f>
        <v>6.2933790000000007</v>
      </c>
      <c r="AH6121">
        <v>62.933790000000002</v>
      </c>
      <c r="AI6121">
        <v>164.29400000000001</v>
      </c>
      <c r="AJ6121">
        <v>23.36842</v>
      </c>
      <c r="AK6121">
        <v>55.456710000000001</v>
      </c>
    </row>
    <row r="6122" spans="1:37" x14ac:dyDescent="0.3">
      <c r="A6122">
        <v>6121</v>
      </c>
      <c r="B6122">
        <v>19.7</v>
      </c>
      <c r="C6122">
        <v>-7.7224700000000004</v>
      </c>
      <c r="D6122">
        <v>12.639200000000001</v>
      </c>
      <c r="E6122">
        <f>-7.72247-12.6392</f>
        <v>-20.36167</v>
      </c>
      <c r="F6122" t="s">
        <v>9558</v>
      </c>
      <c r="G6122" t="s">
        <v>39</v>
      </c>
      <c r="H6122">
        <v>1990</v>
      </c>
      <c r="I6122">
        <v>27.4</v>
      </c>
      <c r="J6122">
        <v>14.3</v>
      </c>
      <c r="K6122">
        <v>59</v>
      </c>
      <c r="L6122">
        <v>23.69</v>
      </c>
      <c r="M6122">
        <v>39</v>
      </c>
      <c r="N6122">
        <v>14.9</v>
      </c>
      <c r="O6122">
        <v>24.1</v>
      </c>
      <c r="P6122">
        <v>26.3</v>
      </c>
      <c r="Q6122">
        <v>24.9</v>
      </c>
      <c r="R6122">
        <v>30.7</v>
      </c>
      <c r="S6122">
        <v>24.6</v>
      </c>
      <c r="T6122">
        <v>894</v>
      </c>
      <c r="U6122">
        <v>270</v>
      </c>
      <c r="V6122">
        <v>0</v>
      </c>
      <c r="W6122">
        <v>120</v>
      </c>
      <c r="X6122">
        <v>645</v>
      </c>
      <c r="Y6122">
        <v>0</v>
      </c>
      <c r="Z6122">
        <v>70</v>
      </c>
      <c r="AA6122">
        <v>3</v>
      </c>
      <c r="AB6122">
        <v>0.94422830000000002</v>
      </c>
      <c r="AC6122">
        <v>0.15501290000000001</v>
      </c>
      <c r="AD6122">
        <v>0.96149430000000002</v>
      </c>
      <c r="AE6122">
        <v>0.7120128</v>
      </c>
      <c r="AF6122">
        <v>316.18369999999999</v>
      </c>
      <c r="AG6122">
        <f>IFERROR(AH6122*0.1, "N/A")</f>
        <v>5.4</v>
      </c>
      <c r="AH6122">
        <v>54</v>
      </c>
      <c r="AI6122">
        <v>117.59310000000001</v>
      </c>
      <c r="AJ6122">
        <v>14.795920000000001</v>
      </c>
      <c r="AK6122">
        <v>52.204079999999998</v>
      </c>
    </row>
    <row r="6123" spans="1:37" x14ac:dyDescent="0.3">
      <c r="A6123">
        <v>6122</v>
      </c>
      <c r="B6123">
        <v>38.5</v>
      </c>
      <c r="C6123">
        <v>-7.7224700000000004</v>
      </c>
      <c r="D6123">
        <v>12.639200000000001</v>
      </c>
      <c r="E6123">
        <f>-7.72247-12.6392</f>
        <v>-20.36167</v>
      </c>
      <c r="F6123" t="s">
        <v>9559</v>
      </c>
      <c r="G6123" t="s">
        <v>37</v>
      </c>
      <c r="H6123">
        <v>1990</v>
      </c>
      <c r="I6123">
        <v>27.4</v>
      </c>
      <c r="J6123">
        <v>14.3</v>
      </c>
      <c r="K6123">
        <v>59</v>
      </c>
      <c r="L6123">
        <v>23.69</v>
      </c>
      <c r="M6123">
        <v>39</v>
      </c>
      <c r="N6123">
        <v>14.9</v>
      </c>
      <c r="O6123">
        <v>24.1</v>
      </c>
      <c r="P6123">
        <v>26.3</v>
      </c>
      <c r="Q6123">
        <v>24.9</v>
      </c>
      <c r="R6123">
        <v>30.7</v>
      </c>
      <c r="S6123">
        <v>24.6</v>
      </c>
      <c r="T6123">
        <v>894</v>
      </c>
      <c r="U6123">
        <v>270</v>
      </c>
      <c r="V6123">
        <v>0</v>
      </c>
      <c r="W6123">
        <v>120</v>
      </c>
      <c r="X6123">
        <v>645</v>
      </c>
      <c r="Y6123">
        <v>0</v>
      </c>
      <c r="Z6123">
        <v>70</v>
      </c>
      <c r="AA6123">
        <v>3</v>
      </c>
      <c r="AB6123">
        <v>0.94422830000000002</v>
      </c>
      <c r="AC6123">
        <v>0.15501290000000001</v>
      </c>
      <c r="AD6123">
        <v>0.96149430000000002</v>
      </c>
      <c r="AE6123">
        <v>0.7120128</v>
      </c>
      <c r="AF6123">
        <v>316.18369999999999</v>
      </c>
      <c r="AG6123">
        <f>IFERROR(AH6123*0.1, "N/A")</f>
        <v>5.4</v>
      </c>
      <c r="AH6123">
        <v>54</v>
      </c>
      <c r="AI6123">
        <v>117.59310000000001</v>
      </c>
      <c r="AJ6123">
        <v>14.795920000000001</v>
      </c>
      <c r="AK6123">
        <v>52.204079999999998</v>
      </c>
    </row>
    <row r="6124" spans="1:37" x14ac:dyDescent="0.3">
      <c r="A6124">
        <v>6123</v>
      </c>
      <c r="B6124">
        <v>59.3</v>
      </c>
      <c r="C6124">
        <v>-7.84</v>
      </c>
      <c r="D6124">
        <v>12.64</v>
      </c>
      <c r="E6124">
        <f>-7.84-12.64</f>
        <v>-20.48</v>
      </c>
      <c r="F6124" t="s">
        <v>9560</v>
      </c>
      <c r="G6124" t="s">
        <v>39</v>
      </c>
      <c r="H6124">
        <v>1990</v>
      </c>
      <c r="I6124">
        <v>27.4</v>
      </c>
      <c r="J6124">
        <v>14.2</v>
      </c>
      <c r="K6124">
        <v>59</v>
      </c>
      <c r="L6124">
        <v>23.44</v>
      </c>
      <c r="M6124">
        <v>39</v>
      </c>
      <c r="N6124">
        <v>15.2</v>
      </c>
      <c r="O6124">
        <v>23.8</v>
      </c>
      <c r="P6124">
        <v>26.3</v>
      </c>
      <c r="Q6124">
        <v>25.1</v>
      </c>
      <c r="R6124">
        <v>30.8</v>
      </c>
      <c r="S6124">
        <v>24.7</v>
      </c>
      <c r="T6124">
        <v>913</v>
      </c>
      <c r="U6124">
        <v>274</v>
      </c>
      <c r="V6124">
        <v>0</v>
      </c>
      <c r="W6124">
        <v>119</v>
      </c>
      <c r="X6124">
        <v>656</v>
      </c>
      <c r="Y6124">
        <v>1</v>
      </c>
      <c r="Z6124">
        <v>73</v>
      </c>
      <c r="AA6124">
        <v>4</v>
      </c>
      <c r="AB6124">
        <v>1.00424</v>
      </c>
      <c r="AC6124">
        <v>3.7409650000000003E-2</v>
      </c>
      <c r="AD6124">
        <v>1.025201</v>
      </c>
      <c r="AE6124">
        <v>0.76237180000000004</v>
      </c>
      <c r="AF6124">
        <v>315.74829999999997</v>
      </c>
      <c r="AG6124">
        <f>IFERROR(AH6124*0.1, "N/A")</f>
        <v>5.9</v>
      </c>
      <c r="AH6124">
        <v>59</v>
      </c>
      <c r="AI6124">
        <v>31.20964</v>
      </c>
      <c r="AJ6124">
        <v>19.734690000000001</v>
      </c>
      <c r="AK6124">
        <v>44.632649999999998</v>
      </c>
    </row>
    <row r="6125" spans="1:37" x14ac:dyDescent="0.3">
      <c r="A6125">
        <v>6124</v>
      </c>
      <c r="B6125">
        <v>63.8</v>
      </c>
      <c r="C6125">
        <v>-7.84</v>
      </c>
      <c r="D6125">
        <v>12.64</v>
      </c>
      <c r="E6125">
        <f>-7.84-12.64</f>
        <v>-20.48</v>
      </c>
      <c r="F6125" t="s">
        <v>9561</v>
      </c>
      <c r="G6125" t="s">
        <v>37</v>
      </c>
      <c r="H6125">
        <v>1990</v>
      </c>
      <c r="I6125">
        <v>27.4</v>
      </c>
      <c r="J6125">
        <v>14.2</v>
      </c>
      <c r="K6125">
        <v>59</v>
      </c>
      <c r="L6125">
        <v>23.44</v>
      </c>
      <c r="M6125">
        <v>39</v>
      </c>
      <c r="N6125">
        <v>15.2</v>
      </c>
      <c r="O6125">
        <v>23.8</v>
      </c>
      <c r="P6125">
        <v>26.3</v>
      </c>
      <c r="Q6125">
        <v>25.1</v>
      </c>
      <c r="R6125">
        <v>30.8</v>
      </c>
      <c r="S6125">
        <v>24.7</v>
      </c>
      <c r="T6125">
        <v>913</v>
      </c>
      <c r="U6125">
        <v>274</v>
      </c>
      <c r="V6125">
        <v>0</v>
      </c>
      <c r="W6125">
        <v>119</v>
      </c>
      <c r="X6125">
        <v>656</v>
      </c>
      <c r="Y6125">
        <v>1</v>
      </c>
      <c r="Z6125">
        <v>73</v>
      </c>
      <c r="AA6125">
        <v>4</v>
      </c>
      <c r="AB6125">
        <v>1.00424</v>
      </c>
      <c r="AC6125">
        <v>3.7409650000000003E-2</v>
      </c>
      <c r="AD6125">
        <v>1.025201</v>
      </c>
      <c r="AE6125">
        <v>0.76237180000000004</v>
      </c>
      <c r="AF6125">
        <v>315.74829999999997</v>
      </c>
      <c r="AG6125">
        <f>IFERROR(AH6125*0.1, "N/A")</f>
        <v>5.9</v>
      </c>
      <c r="AH6125">
        <v>59</v>
      </c>
      <c r="AI6125">
        <v>31.20964</v>
      </c>
      <c r="AJ6125">
        <v>19.734690000000001</v>
      </c>
      <c r="AK6125">
        <v>44.632649999999998</v>
      </c>
    </row>
    <row r="6126" spans="1:37" x14ac:dyDescent="0.3">
      <c r="A6126">
        <v>6125</v>
      </c>
      <c r="B6126">
        <v>61.5</v>
      </c>
      <c r="C6126">
        <v>-7.9919200000000004</v>
      </c>
      <c r="D6126">
        <v>12.641</v>
      </c>
      <c r="E6126">
        <f>-7.99192-12.641</f>
        <v>-20.632919999999999</v>
      </c>
      <c r="F6126" t="s">
        <v>9562</v>
      </c>
      <c r="G6126" t="s">
        <v>39</v>
      </c>
      <c r="H6126">
        <v>2006</v>
      </c>
      <c r="I6126">
        <v>27.7</v>
      </c>
      <c r="J6126">
        <v>14.2</v>
      </c>
      <c r="K6126">
        <v>62</v>
      </c>
      <c r="L6126">
        <v>21.773949999999999</v>
      </c>
      <c r="M6126">
        <v>38.799999999999997</v>
      </c>
      <c r="N6126">
        <v>15.98912</v>
      </c>
      <c r="O6126">
        <v>22.810880000000001</v>
      </c>
      <c r="P6126">
        <v>26.6</v>
      </c>
      <c r="Q6126">
        <v>25.78912</v>
      </c>
      <c r="R6126">
        <v>30.9</v>
      </c>
      <c r="S6126">
        <v>25.28912</v>
      </c>
      <c r="T6126">
        <v>947.78229999999996</v>
      </c>
      <c r="U6126">
        <v>287.89120000000003</v>
      </c>
      <c r="V6126">
        <v>0</v>
      </c>
      <c r="W6126">
        <v>120.1088</v>
      </c>
      <c r="X6126">
        <v>686.78229999999996</v>
      </c>
      <c r="Y6126">
        <v>1</v>
      </c>
      <c r="Z6126">
        <v>73</v>
      </c>
      <c r="AA6126">
        <v>4</v>
      </c>
      <c r="AB6126">
        <v>7.6665049999999999</v>
      </c>
      <c r="AC6126">
        <v>2.9915790000000001E-2</v>
      </c>
      <c r="AD6126">
        <v>0.76071610000000001</v>
      </c>
      <c r="AE6126">
        <v>0.92705930000000003</v>
      </c>
      <c r="AF6126">
        <v>324.1037</v>
      </c>
      <c r="AG6126">
        <f>IFERROR(AH6126*0.1, "N/A")</f>
        <v>6.6284010000000002</v>
      </c>
      <c r="AH6126">
        <v>66.284009999999995</v>
      </c>
      <c r="AI6126">
        <v>162.95150000000001</v>
      </c>
      <c r="AJ6126">
        <v>30.564630000000001</v>
      </c>
      <c r="AK6126">
        <v>48.05442</v>
      </c>
    </row>
    <row r="6127" spans="1:37" x14ac:dyDescent="0.3">
      <c r="A6127">
        <v>6126</v>
      </c>
      <c r="B6127">
        <v>10</v>
      </c>
      <c r="C6127">
        <v>-7.9919200000000004</v>
      </c>
      <c r="D6127">
        <v>12.641</v>
      </c>
      <c r="E6127">
        <f>-7.99192-12.641</f>
        <v>-20.632919999999999</v>
      </c>
      <c r="F6127" t="s">
        <v>9563</v>
      </c>
      <c r="G6127" t="s">
        <v>37</v>
      </c>
      <c r="H6127">
        <v>2006</v>
      </c>
      <c r="I6127">
        <v>27.7</v>
      </c>
      <c r="J6127">
        <v>14.2</v>
      </c>
      <c r="K6127">
        <v>62</v>
      </c>
      <c r="L6127">
        <v>21.773949999999999</v>
      </c>
      <c r="M6127">
        <v>38.799999999999997</v>
      </c>
      <c r="N6127">
        <v>15.98912</v>
      </c>
      <c r="O6127">
        <v>22.810880000000001</v>
      </c>
      <c r="P6127">
        <v>26.6</v>
      </c>
      <c r="Q6127">
        <v>25.78912</v>
      </c>
      <c r="R6127">
        <v>30.9</v>
      </c>
      <c r="S6127">
        <v>25.28912</v>
      </c>
      <c r="T6127">
        <v>947.78229999999996</v>
      </c>
      <c r="U6127">
        <v>287.89120000000003</v>
      </c>
      <c r="V6127">
        <v>0</v>
      </c>
      <c r="W6127">
        <v>120.1088</v>
      </c>
      <c r="X6127">
        <v>686.78229999999996</v>
      </c>
      <c r="Y6127">
        <v>1</v>
      </c>
      <c r="Z6127">
        <v>73</v>
      </c>
      <c r="AA6127">
        <v>4</v>
      </c>
      <c r="AB6127">
        <v>7.6665049999999999</v>
      </c>
      <c r="AC6127">
        <v>2.9915790000000001E-2</v>
      </c>
      <c r="AD6127">
        <v>0.76071610000000001</v>
      </c>
      <c r="AE6127">
        <v>0.92705930000000003</v>
      </c>
      <c r="AF6127">
        <v>324.1037</v>
      </c>
      <c r="AG6127">
        <f>IFERROR(AH6127*0.1, "N/A")</f>
        <v>6.6284010000000002</v>
      </c>
      <c r="AH6127">
        <v>66.284009999999995</v>
      </c>
      <c r="AI6127">
        <v>162.95150000000001</v>
      </c>
      <c r="AJ6127">
        <v>30.564630000000001</v>
      </c>
      <c r="AK6127">
        <v>48.05442</v>
      </c>
    </row>
    <row r="6128" spans="1:37" x14ac:dyDescent="0.3">
      <c r="A6128">
        <v>6127</v>
      </c>
      <c r="B6128">
        <v>10.1</v>
      </c>
      <c r="C6128">
        <v>-7.7124100000000002</v>
      </c>
      <c r="D6128">
        <v>12.6427</v>
      </c>
      <c r="E6128">
        <f>-7.71241-12.6427</f>
        <v>-20.35511</v>
      </c>
      <c r="F6128" t="s">
        <v>9564</v>
      </c>
      <c r="G6128" t="s">
        <v>39</v>
      </c>
      <c r="H6128">
        <v>1990</v>
      </c>
      <c r="I6128">
        <v>27.4</v>
      </c>
      <c r="J6128">
        <v>14.3</v>
      </c>
      <c r="K6128">
        <v>59</v>
      </c>
      <c r="L6128">
        <v>23.610510000000001</v>
      </c>
      <c r="M6128">
        <v>39.098300000000002</v>
      </c>
      <c r="N6128">
        <v>14.9</v>
      </c>
      <c r="O6128">
        <v>24.1983</v>
      </c>
      <c r="P6128">
        <v>26.4</v>
      </c>
      <c r="Q6128">
        <v>24.9983</v>
      </c>
      <c r="R6128">
        <v>30.7</v>
      </c>
      <c r="S6128">
        <v>24.6</v>
      </c>
      <c r="T6128">
        <v>893</v>
      </c>
      <c r="U6128">
        <v>270</v>
      </c>
      <c r="V6128">
        <v>0</v>
      </c>
      <c r="W6128">
        <v>120</v>
      </c>
      <c r="X6128">
        <v>644</v>
      </c>
      <c r="Y6128">
        <v>0</v>
      </c>
      <c r="Z6128">
        <v>70</v>
      </c>
      <c r="AA6128">
        <v>3</v>
      </c>
      <c r="AB6128">
        <v>0.99249989999999999</v>
      </c>
      <c r="AC6128">
        <v>4.9514469999999998E-2</v>
      </c>
      <c r="AD6128">
        <v>1.3684289999999999</v>
      </c>
      <c r="AE6128">
        <v>0.70945550000000002</v>
      </c>
      <c r="AF6128">
        <v>317.8997</v>
      </c>
      <c r="AG6128">
        <f>IFERROR(AH6128*0.1, "N/A")</f>
        <v>5.6925170000000005</v>
      </c>
      <c r="AH6128">
        <v>56.925170000000001</v>
      </c>
      <c r="AI6128">
        <v>99.019170000000003</v>
      </c>
      <c r="AJ6128">
        <v>16.58333</v>
      </c>
      <c r="AK6128">
        <v>51.675170000000001</v>
      </c>
    </row>
    <row r="6129" spans="1:37" x14ac:dyDescent="0.3">
      <c r="A6129">
        <v>6128</v>
      </c>
      <c r="B6129">
        <v>27.3</v>
      </c>
      <c r="C6129">
        <v>-7.7124100000000002</v>
      </c>
      <c r="D6129">
        <v>12.6427</v>
      </c>
      <c r="E6129">
        <f>-7.71241-12.6427</f>
        <v>-20.35511</v>
      </c>
      <c r="F6129" t="s">
        <v>9565</v>
      </c>
      <c r="G6129" t="s">
        <v>37</v>
      </c>
      <c r="H6129">
        <v>1990</v>
      </c>
      <c r="I6129">
        <v>27.4</v>
      </c>
      <c r="J6129">
        <v>14.3</v>
      </c>
      <c r="K6129">
        <v>59</v>
      </c>
      <c r="L6129">
        <v>23.610510000000001</v>
      </c>
      <c r="M6129">
        <v>39.098300000000002</v>
      </c>
      <c r="N6129">
        <v>14.9</v>
      </c>
      <c r="O6129">
        <v>24.1983</v>
      </c>
      <c r="P6129">
        <v>26.4</v>
      </c>
      <c r="Q6129">
        <v>24.9983</v>
      </c>
      <c r="R6129">
        <v>30.7</v>
      </c>
      <c r="S6129">
        <v>24.6</v>
      </c>
      <c r="T6129">
        <v>893</v>
      </c>
      <c r="U6129">
        <v>270</v>
      </c>
      <c r="V6129">
        <v>0</v>
      </c>
      <c r="W6129">
        <v>120</v>
      </c>
      <c r="X6129">
        <v>644</v>
      </c>
      <c r="Y6129">
        <v>0</v>
      </c>
      <c r="Z6129">
        <v>70</v>
      </c>
      <c r="AA6129">
        <v>3</v>
      </c>
      <c r="AB6129">
        <v>0.99249989999999999</v>
      </c>
      <c r="AC6129">
        <v>4.9514469999999998E-2</v>
      </c>
      <c r="AD6129">
        <v>1.3684289999999999</v>
      </c>
      <c r="AE6129">
        <v>0.70945550000000002</v>
      </c>
      <c r="AF6129">
        <v>317.8997</v>
      </c>
      <c r="AG6129">
        <f>IFERROR(AH6129*0.1, "N/A")</f>
        <v>5.6925170000000005</v>
      </c>
      <c r="AH6129">
        <v>56.925170000000001</v>
      </c>
      <c r="AI6129">
        <v>99.019170000000003</v>
      </c>
      <c r="AJ6129">
        <v>16.58333</v>
      </c>
      <c r="AK6129">
        <v>51.675170000000001</v>
      </c>
    </row>
    <row r="6130" spans="1:37" x14ac:dyDescent="0.3">
      <c r="A6130">
        <v>6129</v>
      </c>
      <c r="B6130">
        <v>27.3</v>
      </c>
      <c r="C6130">
        <v>-8.0281199999999995</v>
      </c>
      <c r="D6130">
        <v>12.642799999999999</v>
      </c>
      <c r="E6130">
        <f>-8.02812-12.6428</f>
        <v>-20.670919999999999</v>
      </c>
      <c r="F6130" t="s">
        <v>9566</v>
      </c>
      <c r="G6130" t="s">
        <v>39</v>
      </c>
      <c r="H6130">
        <v>2006</v>
      </c>
      <c r="I6130">
        <v>27.8</v>
      </c>
      <c r="J6130">
        <v>14.2</v>
      </c>
      <c r="K6130">
        <v>63</v>
      </c>
      <c r="L6130">
        <v>20.61</v>
      </c>
      <c r="M6130">
        <v>38.700000000000003</v>
      </c>
      <c r="N6130">
        <v>16.399999999999999</v>
      </c>
      <c r="O6130">
        <v>22.3</v>
      </c>
      <c r="P6130">
        <v>26.4</v>
      </c>
      <c r="Q6130">
        <v>26.1</v>
      </c>
      <c r="R6130">
        <v>30.8</v>
      </c>
      <c r="S6130">
        <v>25.7</v>
      </c>
      <c r="T6130">
        <v>964</v>
      </c>
      <c r="U6130">
        <v>292</v>
      </c>
      <c r="V6130">
        <v>0</v>
      </c>
      <c r="W6130">
        <v>120</v>
      </c>
      <c r="X6130">
        <v>701</v>
      </c>
      <c r="Y6130">
        <v>1</v>
      </c>
      <c r="Z6130">
        <v>73</v>
      </c>
      <c r="AA6130">
        <v>5</v>
      </c>
      <c r="AB6130">
        <v>16.920590000000001</v>
      </c>
      <c r="AC6130">
        <v>1.349612E-2</v>
      </c>
      <c r="AD6130">
        <v>4.1676960000000003</v>
      </c>
      <c r="AE6130">
        <v>0.92174820000000002</v>
      </c>
      <c r="AF6130">
        <v>345.51530000000002</v>
      </c>
      <c r="AG6130">
        <f>IFERROR(AH6130*0.1, "N/A")</f>
        <v>6.3442180000000006</v>
      </c>
      <c r="AH6130">
        <v>63.44218</v>
      </c>
      <c r="AI6130">
        <v>136.8897</v>
      </c>
      <c r="AJ6130">
        <v>28.115649999999999</v>
      </c>
      <c r="AK6130">
        <v>49.996600000000001</v>
      </c>
    </row>
    <row r="6131" spans="1:37" x14ac:dyDescent="0.3">
      <c r="A6131">
        <v>6130</v>
      </c>
      <c r="B6131">
        <v>0</v>
      </c>
      <c r="C6131">
        <v>-8.0281199999999995</v>
      </c>
      <c r="D6131">
        <v>12.642799999999999</v>
      </c>
      <c r="E6131">
        <f>-8.02812-12.6428</f>
        <v>-20.670919999999999</v>
      </c>
      <c r="F6131" t="s">
        <v>9567</v>
      </c>
      <c r="G6131" t="s">
        <v>37</v>
      </c>
      <c r="H6131">
        <v>2006</v>
      </c>
      <c r="I6131">
        <v>27.8</v>
      </c>
      <c r="J6131">
        <v>14.2</v>
      </c>
      <c r="K6131">
        <v>63</v>
      </c>
      <c r="L6131">
        <v>20.61</v>
      </c>
      <c r="M6131">
        <v>38.700000000000003</v>
      </c>
      <c r="N6131">
        <v>16.399999999999999</v>
      </c>
      <c r="O6131">
        <v>22.3</v>
      </c>
      <c r="P6131">
        <v>26.4</v>
      </c>
      <c r="Q6131">
        <v>26.1</v>
      </c>
      <c r="R6131">
        <v>30.8</v>
      </c>
      <c r="S6131">
        <v>25.7</v>
      </c>
      <c r="T6131">
        <v>964</v>
      </c>
      <c r="U6131">
        <v>292</v>
      </c>
      <c r="V6131">
        <v>0</v>
      </c>
      <c r="W6131">
        <v>120</v>
      </c>
      <c r="X6131">
        <v>701</v>
      </c>
      <c r="Y6131">
        <v>1</v>
      </c>
      <c r="Z6131">
        <v>73</v>
      </c>
      <c r="AA6131">
        <v>5</v>
      </c>
      <c r="AB6131">
        <v>16.920590000000001</v>
      </c>
      <c r="AC6131">
        <v>1.349612E-2</v>
      </c>
      <c r="AD6131">
        <v>4.1676960000000003</v>
      </c>
      <c r="AE6131">
        <v>0.92174820000000002</v>
      </c>
      <c r="AF6131">
        <v>345.51530000000002</v>
      </c>
      <c r="AG6131">
        <f>IFERROR(AH6131*0.1, "N/A")</f>
        <v>6.3442180000000006</v>
      </c>
      <c r="AH6131">
        <v>63.44218</v>
      </c>
      <c r="AI6131">
        <v>136.8897</v>
      </c>
      <c r="AJ6131">
        <v>28.115649999999999</v>
      </c>
      <c r="AK6131">
        <v>49.996600000000001</v>
      </c>
    </row>
    <row r="6132" spans="1:37" x14ac:dyDescent="0.3">
      <c r="A6132">
        <v>6131</v>
      </c>
      <c r="B6132">
        <v>80</v>
      </c>
      <c r="C6132">
        <v>-7.8512199999999996</v>
      </c>
      <c r="D6132">
        <v>12.645</v>
      </c>
      <c r="E6132">
        <f>-7.85122-12.645</f>
        <v>-20.496220000000001</v>
      </c>
      <c r="F6132" t="s">
        <v>9568</v>
      </c>
      <c r="G6132" t="s">
        <v>39</v>
      </c>
      <c r="H6132">
        <v>2006</v>
      </c>
      <c r="I6132">
        <v>27.3</v>
      </c>
      <c r="J6132">
        <v>14.2</v>
      </c>
      <c r="K6132">
        <v>59</v>
      </c>
      <c r="L6132">
        <v>23.28</v>
      </c>
      <c r="M6132">
        <v>38.9</v>
      </c>
      <c r="N6132">
        <v>15.2</v>
      </c>
      <c r="O6132">
        <v>23.7</v>
      </c>
      <c r="P6132">
        <v>26.3</v>
      </c>
      <c r="Q6132">
        <v>25</v>
      </c>
      <c r="R6132">
        <v>30.7</v>
      </c>
      <c r="S6132">
        <v>24.6</v>
      </c>
      <c r="T6132">
        <v>916</v>
      </c>
      <c r="U6132">
        <v>276</v>
      </c>
      <c r="V6132">
        <v>0</v>
      </c>
      <c r="W6132">
        <v>120</v>
      </c>
      <c r="X6132">
        <v>659</v>
      </c>
      <c r="Y6132">
        <v>1</v>
      </c>
      <c r="Z6132">
        <v>72</v>
      </c>
      <c r="AA6132">
        <v>4</v>
      </c>
      <c r="AB6132">
        <v>4.2047470000000002</v>
      </c>
      <c r="AC6132">
        <v>1.668909E-2</v>
      </c>
      <c r="AD6132">
        <v>2.2838750000000001</v>
      </c>
      <c r="AE6132">
        <v>0.76079129999999995</v>
      </c>
      <c r="AF6132">
        <v>321.40949999999998</v>
      </c>
      <c r="AG6132">
        <f>IFERROR(AH6132*0.1, "N/A")</f>
        <v>6.2</v>
      </c>
      <c r="AH6132">
        <v>62</v>
      </c>
      <c r="AI6132">
        <v>55.627040000000001</v>
      </c>
      <c r="AJ6132">
        <v>19</v>
      </c>
      <c r="AK6132">
        <v>51.532989999999998</v>
      </c>
    </row>
    <row r="6133" spans="1:37" x14ac:dyDescent="0.3">
      <c r="A6133">
        <v>6132</v>
      </c>
      <c r="B6133">
        <v>78.599999999999994</v>
      </c>
      <c r="C6133">
        <v>-7.8512199999999996</v>
      </c>
      <c r="D6133">
        <v>12.645</v>
      </c>
      <c r="E6133">
        <f>-7.85122-12.645</f>
        <v>-20.496220000000001</v>
      </c>
      <c r="F6133" t="s">
        <v>9569</v>
      </c>
      <c r="G6133" t="s">
        <v>37</v>
      </c>
      <c r="H6133">
        <v>2006</v>
      </c>
      <c r="I6133">
        <v>27.3</v>
      </c>
      <c r="J6133">
        <v>14.2</v>
      </c>
      <c r="K6133">
        <v>59</v>
      </c>
      <c r="L6133">
        <v>23.28</v>
      </c>
      <c r="M6133">
        <v>38.9</v>
      </c>
      <c r="N6133">
        <v>15.2</v>
      </c>
      <c r="O6133">
        <v>23.7</v>
      </c>
      <c r="P6133">
        <v>26.3</v>
      </c>
      <c r="Q6133">
        <v>25</v>
      </c>
      <c r="R6133">
        <v>30.7</v>
      </c>
      <c r="S6133">
        <v>24.6</v>
      </c>
      <c r="T6133">
        <v>916</v>
      </c>
      <c r="U6133">
        <v>276</v>
      </c>
      <c r="V6133">
        <v>0</v>
      </c>
      <c r="W6133">
        <v>120</v>
      </c>
      <c r="X6133">
        <v>659</v>
      </c>
      <c r="Y6133">
        <v>1</v>
      </c>
      <c r="Z6133">
        <v>72</v>
      </c>
      <c r="AA6133">
        <v>4</v>
      </c>
      <c r="AB6133">
        <v>4.2047470000000002</v>
      </c>
      <c r="AC6133">
        <v>1.668909E-2</v>
      </c>
      <c r="AD6133">
        <v>2.2838750000000001</v>
      </c>
      <c r="AE6133">
        <v>0.76079129999999995</v>
      </c>
      <c r="AF6133">
        <v>321.40949999999998</v>
      </c>
      <c r="AG6133">
        <f>IFERROR(AH6133*0.1, "N/A")</f>
        <v>6.2</v>
      </c>
      <c r="AH6133">
        <v>62</v>
      </c>
      <c r="AI6133">
        <v>55.627040000000001</v>
      </c>
      <c r="AJ6133">
        <v>19</v>
      </c>
      <c r="AK6133">
        <v>51.532989999999998</v>
      </c>
    </row>
    <row r="6134" spans="1:37" x14ac:dyDescent="0.3">
      <c r="A6134">
        <v>6133</v>
      </c>
      <c r="B6134">
        <v>22.5</v>
      </c>
      <c r="C6134">
        <v>-7.7091000000000003</v>
      </c>
      <c r="D6134">
        <v>12.6487</v>
      </c>
      <c r="E6134">
        <f>-7.7091-12.6487</f>
        <v>-20.357800000000001</v>
      </c>
      <c r="F6134" t="s">
        <v>9570</v>
      </c>
      <c r="G6134" t="s">
        <v>39</v>
      </c>
      <c r="H6134">
        <v>1990</v>
      </c>
      <c r="I6134">
        <v>27.4</v>
      </c>
      <c r="J6134">
        <v>14.3</v>
      </c>
      <c r="K6134">
        <v>59</v>
      </c>
      <c r="L6134">
        <v>23.607970000000002</v>
      </c>
      <c r="M6134">
        <v>39.096609999999998</v>
      </c>
      <c r="N6134">
        <v>14.9</v>
      </c>
      <c r="O6134">
        <v>24.19661</v>
      </c>
      <c r="P6134">
        <v>26.396609999999999</v>
      </c>
      <c r="Q6134">
        <v>25</v>
      </c>
      <c r="R6134">
        <v>30.7</v>
      </c>
      <c r="S6134">
        <v>24.603390000000001</v>
      </c>
      <c r="T6134">
        <v>892.96609999999998</v>
      </c>
      <c r="U6134">
        <v>270</v>
      </c>
      <c r="V6134">
        <v>0</v>
      </c>
      <c r="W6134">
        <v>120</v>
      </c>
      <c r="X6134">
        <v>644</v>
      </c>
      <c r="Y6134">
        <v>0</v>
      </c>
      <c r="Z6134">
        <v>69.966099999999997</v>
      </c>
      <c r="AA6134">
        <v>3</v>
      </c>
      <c r="AB6134">
        <v>7.4757559999999996</v>
      </c>
      <c r="AC6134">
        <v>4.834107E-2</v>
      </c>
      <c r="AD6134">
        <v>1.2071000000000001</v>
      </c>
      <c r="AE6134">
        <v>0.65658640000000001</v>
      </c>
      <c r="AF6134">
        <v>318.48809999999997</v>
      </c>
      <c r="AG6134">
        <f>IFERROR(AH6134*0.1, "N/A")</f>
        <v>5.5966100000000001</v>
      </c>
      <c r="AH6134">
        <v>55.966099999999997</v>
      </c>
      <c r="AI6134">
        <v>218.20590000000001</v>
      </c>
      <c r="AJ6134">
        <v>19.257629999999999</v>
      </c>
      <c r="AK6134">
        <v>50.016950000000001</v>
      </c>
    </row>
    <row r="6135" spans="1:37" x14ac:dyDescent="0.3">
      <c r="A6135">
        <v>6134</v>
      </c>
      <c r="B6135">
        <v>23</v>
      </c>
      <c r="C6135">
        <v>-7.7091000000000003</v>
      </c>
      <c r="D6135">
        <v>12.6487</v>
      </c>
      <c r="E6135">
        <f>-7.7091-12.6487</f>
        <v>-20.357800000000001</v>
      </c>
      <c r="F6135" t="s">
        <v>9571</v>
      </c>
      <c r="G6135" t="s">
        <v>37</v>
      </c>
      <c r="H6135">
        <v>1990</v>
      </c>
      <c r="I6135">
        <v>27.4</v>
      </c>
      <c r="J6135">
        <v>14.3</v>
      </c>
      <c r="K6135">
        <v>59</v>
      </c>
      <c r="L6135">
        <v>23.607970000000002</v>
      </c>
      <c r="M6135">
        <v>39.096609999999998</v>
      </c>
      <c r="N6135">
        <v>14.9</v>
      </c>
      <c r="O6135">
        <v>24.19661</v>
      </c>
      <c r="P6135">
        <v>26.396609999999999</v>
      </c>
      <c r="Q6135">
        <v>25</v>
      </c>
      <c r="R6135">
        <v>30.7</v>
      </c>
      <c r="S6135">
        <v>24.603390000000001</v>
      </c>
      <c r="T6135">
        <v>892.96609999999998</v>
      </c>
      <c r="U6135">
        <v>270</v>
      </c>
      <c r="V6135">
        <v>0</v>
      </c>
      <c r="W6135">
        <v>120</v>
      </c>
      <c r="X6135">
        <v>644</v>
      </c>
      <c r="Y6135">
        <v>0</v>
      </c>
      <c r="Z6135">
        <v>69.966099999999997</v>
      </c>
      <c r="AA6135">
        <v>3</v>
      </c>
      <c r="AB6135">
        <v>7.4757559999999996</v>
      </c>
      <c r="AC6135">
        <v>4.834107E-2</v>
      </c>
      <c r="AD6135">
        <v>1.2071000000000001</v>
      </c>
      <c r="AE6135">
        <v>0.65658640000000001</v>
      </c>
      <c r="AF6135">
        <v>318.48809999999997</v>
      </c>
      <c r="AG6135">
        <f>IFERROR(AH6135*0.1, "N/A")</f>
        <v>5.5966100000000001</v>
      </c>
      <c r="AH6135">
        <v>55.966099999999997</v>
      </c>
      <c r="AI6135">
        <v>218.20590000000001</v>
      </c>
      <c r="AJ6135">
        <v>19.257629999999999</v>
      </c>
      <c r="AK6135">
        <v>50.016950000000001</v>
      </c>
    </row>
    <row r="6136" spans="1:37" x14ac:dyDescent="0.3">
      <c r="A6136">
        <v>6135</v>
      </c>
      <c r="B6136">
        <v>31.3</v>
      </c>
      <c r="C6136">
        <v>-8</v>
      </c>
      <c r="D6136">
        <v>12.65</v>
      </c>
      <c r="E6136">
        <f>-8-12.65</f>
        <v>-20.65</v>
      </c>
      <c r="F6136" t="s">
        <v>9572</v>
      </c>
      <c r="G6136" t="s">
        <v>37</v>
      </c>
      <c r="H6136">
        <v>1986</v>
      </c>
      <c r="I6136">
        <v>27.762309999999999</v>
      </c>
      <c r="J6136">
        <v>14.2</v>
      </c>
      <c r="K6136">
        <v>62.0764</v>
      </c>
      <c r="L6136">
        <v>21.651540000000001</v>
      </c>
      <c r="M6136">
        <v>38.745159999999998</v>
      </c>
      <c r="N6136">
        <v>16.10764</v>
      </c>
      <c r="O6136">
        <v>22.637519999999999</v>
      </c>
      <c r="P6136">
        <v>26.45467</v>
      </c>
      <c r="Q6136">
        <v>25.907640000000001</v>
      </c>
      <c r="R6136">
        <v>30.9</v>
      </c>
      <c r="S6136">
        <v>25.407640000000001</v>
      </c>
      <c r="T6136">
        <v>950.66719999999998</v>
      </c>
      <c r="U6136">
        <v>290.00170000000003</v>
      </c>
      <c r="V6136">
        <v>0</v>
      </c>
      <c r="W6136">
        <v>120.5484</v>
      </c>
      <c r="X6136">
        <v>691.7029</v>
      </c>
      <c r="Y6136">
        <v>1</v>
      </c>
      <c r="Z6136">
        <v>71.246179999999995</v>
      </c>
      <c r="AA6136">
        <v>4.1714770000000003</v>
      </c>
      <c r="AB6136">
        <v>12.562659999999999</v>
      </c>
      <c r="AC6136">
        <v>1.2466959999999999E-2</v>
      </c>
      <c r="AD6136">
        <v>1.8764890000000001</v>
      </c>
      <c r="AE6136">
        <v>0.90584790000000004</v>
      </c>
      <c r="AF6136">
        <v>335.51440000000002</v>
      </c>
      <c r="AG6136">
        <f>IFERROR(AH6136*0.1, "N/A")</f>
        <v>6.3000000000000007</v>
      </c>
      <c r="AH6136">
        <v>63</v>
      </c>
      <c r="AI6136">
        <v>139.20140000000001</v>
      </c>
      <c r="AJ6136">
        <v>27.828520000000001</v>
      </c>
      <c r="AK6136">
        <v>45.342950000000002</v>
      </c>
    </row>
    <row r="6137" spans="1:37" x14ac:dyDescent="0.3">
      <c r="A6137">
        <v>6136</v>
      </c>
      <c r="B6137">
        <v>15.6</v>
      </c>
      <c r="C6137">
        <v>-8</v>
      </c>
      <c r="D6137">
        <v>12.65</v>
      </c>
      <c r="E6137">
        <f>-8-12.65</f>
        <v>-20.65</v>
      </c>
      <c r="F6137" t="s">
        <v>9573</v>
      </c>
      <c r="G6137" t="s">
        <v>39</v>
      </c>
      <c r="H6137">
        <v>1986</v>
      </c>
      <c r="I6137">
        <v>27.762309999999999</v>
      </c>
      <c r="J6137">
        <v>14.2</v>
      </c>
      <c r="K6137">
        <v>62.0764</v>
      </c>
      <c r="L6137">
        <v>21.651540000000001</v>
      </c>
      <c r="M6137">
        <v>38.745159999999998</v>
      </c>
      <c r="N6137">
        <v>16.10764</v>
      </c>
      <c r="O6137">
        <v>22.637519999999999</v>
      </c>
      <c r="P6137">
        <v>26.45467</v>
      </c>
      <c r="Q6137">
        <v>25.907640000000001</v>
      </c>
      <c r="R6137">
        <v>30.9</v>
      </c>
      <c r="S6137">
        <v>25.407640000000001</v>
      </c>
      <c r="T6137">
        <v>950.66719999999998</v>
      </c>
      <c r="U6137">
        <v>290.00170000000003</v>
      </c>
      <c r="V6137">
        <v>0</v>
      </c>
      <c r="W6137">
        <v>120.5484</v>
      </c>
      <c r="X6137">
        <v>691.7029</v>
      </c>
      <c r="Y6137">
        <v>1</v>
      </c>
      <c r="Z6137">
        <v>71.246179999999995</v>
      </c>
      <c r="AA6137">
        <v>4.1714770000000003</v>
      </c>
      <c r="AB6137">
        <v>12.562659999999999</v>
      </c>
      <c r="AC6137">
        <v>1.2466959999999999E-2</v>
      </c>
      <c r="AD6137">
        <v>1.8764890000000001</v>
      </c>
      <c r="AE6137">
        <v>0.90584790000000004</v>
      </c>
      <c r="AF6137">
        <v>335.51440000000002</v>
      </c>
      <c r="AG6137">
        <f>IFERROR(AH6137*0.1, "N/A")</f>
        <v>6.3000000000000007</v>
      </c>
      <c r="AH6137">
        <v>63</v>
      </c>
      <c r="AI6137">
        <v>139.20140000000001</v>
      </c>
      <c r="AJ6137">
        <v>27.828520000000001</v>
      </c>
      <c r="AK6137">
        <v>45.342950000000002</v>
      </c>
    </row>
    <row r="6138" spans="1:37" x14ac:dyDescent="0.3">
      <c r="A6138">
        <v>6137</v>
      </c>
      <c r="B6138">
        <v>85.7</v>
      </c>
      <c r="C6138">
        <v>-7.7107000000000001</v>
      </c>
      <c r="D6138">
        <v>12.651899999999999</v>
      </c>
      <c r="E6138">
        <f>-7.7107-12.6519</f>
        <v>-20.3626</v>
      </c>
      <c r="F6138" t="s">
        <v>9574</v>
      </c>
      <c r="G6138" t="s">
        <v>39</v>
      </c>
      <c r="H6138">
        <v>2006</v>
      </c>
      <c r="I6138">
        <v>27.5</v>
      </c>
      <c r="J6138">
        <v>14.3</v>
      </c>
      <c r="K6138">
        <v>58</v>
      </c>
      <c r="L6138">
        <v>23.99</v>
      </c>
      <c r="M6138">
        <v>39.200000000000003</v>
      </c>
      <c r="N6138">
        <v>14.8</v>
      </c>
      <c r="O6138">
        <v>24.4</v>
      </c>
      <c r="P6138">
        <v>26.4</v>
      </c>
      <c r="Q6138">
        <v>25</v>
      </c>
      <c r="R6138">
        <v>30.8</v>
      </c>
      <c r="S6138">
        <v>24.6</v>
      </c>
      <c r="T6138">
        <v>892</v>
      </c>
      <c r="U6138">
        <v>270</v>
      </c>
      <c r="V6138">
        <v>0</v>
      </c>
      <c r="W6138">
        <v>120</v>
      </c>
      <c r="X6138">
        <v>644</v>
      </c>
      <c r="Y6138">
        <v>0</v>
      </c>
      <c r="Z6138">
        <v>70</v>
      </c>
      <c r="AA6138">
        <v>3</v>
      </c>
      <c r="AB6138">
        <v>4.426355</v>
      </c>
      <c r="AC6138">
        <v>0.19764000000000001</v>
      </c>
      <c r="AD6138">
        <v>0.97135099999999996</v>
      </c>
      <c r="AE6138">
        <v>0.65801120000000002</v>
      </c>
      <c r="AF6138">
        <v>316.08670000000001</v>
      </c>
      <c r="AG6138">
        <f>IFERROR(AH6138*0.1, "N/A")</f>
        <v>5.7142860000000004</v>
      </c>
      <c r="AH6138">
        <v>57.142859999999999</v>
      </c>
      <c r="AI6138">
        <v>180.1721</v>
      </c>
      <c r="AJ6138">
        <v>21.142859999999999</v>
      </c>
      <c r="AK6138">
        <v>45.142859999999999</v>
      </c>
    </row>
    <row r="6139" spans="1:37" x14ac:dyDescent="0.3">
      <c r="A6139">
        <v>6138</v>
      </c>
      <c r="B6139">
        <v>75</v>
      </c>
      <c r="C6139">
        <v>-7.7107000000000001</v>
      </c>
      <c r="D6139">
        <v>12.651899999999999</v>
      </c>
      <c r="E6139">
        <f>-7.7107-12.6519</f>
        <v>-20.3626</v>
      </c>
      <c r="F6139" t="s">
        <v>9575</v>
      </c>
      <c r="G6139" t="s">
        <v>37</v>
      </c>
      <c r="H6139">
        <v>2006</v>
      </c>
      <c r="I6139">
        <v>27.5</v>
      </c>
      <c r="J6139">
        <v>14.3</v>
      </c>
      <c r="K6139">
        <v>58</v>
      </c>
      <c r="L6139">
        <v>23.99</v>
      </c>
      <c r="M6139">
        <v>39.200000000000003</v>
      </c>
      <c r="N6139">
        <v>14.8</v>
      </c>
      <c r="O6139">
        <v>24.4</v>
      </c>
      <c r="P6139">
        <v>26.4</v>
      </c>
      <c r="Q6139">
        <v>25</v>
      </c>
      <c r="R6139">
        <v>30.8</v>
      </c>
      <c r="S6139">
        <v>24.6</v>
      </c>
      <c r="T6139">
        <v>892</v>
      </c>
      <c r="U6139">
        <v>270</v>
      </c>
      <c r="V6139">
        <v>0</v>
      </c>
      <c r="W6139">
        <v>120</v>
      </c>
      <c r="X6139">
        <v>644</v>
      </c>
      <c r="Y6139">
        <v>0</v>
      </c>
      <c r="Z6139">
        <v>70</v>
      </c>
      <c r="AA6139">
        <v>3</v>
      </c>
      <c r="AB6139">
        <v>4.426355</v>
      </c>
      <c r="AC6139">
        <v>0.19764000000000001</v>
      </c>
      <c r="AD6139">
        <v>0.97135099999999996</v>
      </c>
      <c r="AE6139">
        <v>0.65801120000000002</v>
      </c>
      <c r="AF6139">
        <v>316.08670000000001</v>
      </c>
      <c r="AG6139">
        <f>IFERROR(AH6139*0.1, "N/A")</f>
        <v>5.7142860000000004</v>
      </c>
      <c r="AH6139">
        <v>57.142859999999999</v>
      </c>
      <c r="AI6139">
        <v>180.1721</v>
      </c>
      <c r="AJ6139">
        <v>21.142859999999999</v>
      </c>
      <c r="AK6139">
        <v>45.142859999999999</v>
      </c>
    </row>
    <row r="6140" spans="1:37" x14ac:dyDescent="0.3">
      <c r="A6140">
        <v>6139</v>
      </c>
      <c r="B6140">
        <v>2.6</v>
      </c>
      <c r="C6140">
        <v>-7.7083300000000001</v>
      </c>
      <c r="D6140">
        <v>12.653600000000001</v>
      </c>
      <c r="E6140">
        <f>-7.70833-12.6536</f>
        <v>-20.361930000000001</v>
      </c>
      <c r="F6140" t="s">
        <v>9576</v>
      </c>
      <c r="G6140" t="s">
        <v>39</v>
      </c>
      <c r="H6140">
        <v>1987</v>
      </c>
      <c r="I6140">
        <v>27.439630000000001</v>
      </c>
      <c r="J6140">
        <v>14.3</v>
      </c>
      <c r="K6140">
        <v>58.603740000000002</v>
      </c>
      <c r="L6140">
        <v>23.869250000000001</v>
      </c>
      <c r="M6140">
        <v>39.139629999999997</v>
      </c>
      <c r="N6140">
        <v>14.86037</v>
      </c>
      <c r="O6140">
        <v>24.279250000000001</v>
      </c>
      <c r="P6140">
        <v>26.33963</v>
      </c>
      <c r="Q6140">
        <v>25</v>
      </c>
      <c r="R6140">
        <v>30.8</v>
      </c>
      <c r="S6140">
        <v>24.6</v>
      </c>
      <c r="T6140">
        <v>892</v>
      </c>
      <c r="U6140">
        <v>270</v>
      </c>
      <c r="V6140">
        <v>0</v>
      </c>
      <c r="W6140">
        <v>120</v>
      </c>
      <c r="X6140">
        <v>644</v>
      </c>
      <c r="Y6140">
        <v>0</v>
      </c>
      <c r="Z6140">
        <v>70</v>
      </c>
      <c r="AA6140">
        <v>3</v>
      </c>
      <c r="AB6140">
        <v>4.4994870000000002</v>
      </c>
      <c r="AC6140">
        <v>2.5941019999999999E-2</v>
      </c>
      <c r="AD6140">
        <v>2.0877409999999998</v>
      </c>
      <c r="AE6140">
        <v>0.65801120000000002</v>
      </c>
      <c r="AF6140">
        <v>314.72620000000001</v>
      </c>
      <c r="AG6140">
        <f>IFERROR(AH6140*0.1, "N/A")</f>
        <v>5.6909860000000005</v>
      </c>
      <c r="AH6140">
        <v>56.909860000000002</v>
      </c>
      <c r="AI6140">
        <v>293.28190000000001</v>
      </c>
      <c r="AJ6140">
        <v>21.108840000000001</v>
      </c>
      <c r="AK6140">
        <v>45.05612</v>
      </c>
    </row>
    <row r="6141" spans="1:37" x14ac:dyDescent="0.3">
      <c r="A6141">
        <v>6140</v>
      </c>
      <c r="B6141">
        <v>2.2999999999999998</v>
      </c>
      <c r="C6141">
        <v>-7.7083300000000001</v>
      </c>
      <c r="D6141">
        <v>12.653600000000001</v>
      </c>
      <c r="E6141">
        <f>-7.70833-12.6536</f>
        <v>-20.361930000000001</v>
      </c>
      <c r="F6141" t="s">
        <v>9577</v>
      </c>
      <c r="G6141" t="s">
        <v>37</v>
      </c>
      <c r="H6141">
        <v>1987</v>
      </c>
      <c r="I6141">
        <v>27.439630000000001</v>
      </c>
      <c r="J6141">
        <v>14.3</v>
      </c>
      <c r="K6141">
        <v>58.603740000000002</v>
      </c>
      <c r="L6141">
        <v>23.869250000000001</v>
      </c>
      <c r="M6141">
        <v>39.139629999999997</v>
      </c>
      <c r="N6141">
        <v>14.86037</v>
      </c>
      <c r="O6141">
        <v>24.279250000000001</v>
      </c>
      <c r="P6141">
        <v>26.33963</v>
      </c>
      <c r="Q6141">
        <v>25</v>
      </c>
      <c r="R6141">
        <v>30.8</v>
      </c>
      <c r="S6141">
        <v>24.6</v>
      </c>
      <c r="T6141">
        <v>892</v>
      </c>
      <c r="U6141">
        <v>270</v>
      </c>
      <c r="V6141">
        <v>0</v>
      </c>
      <c r="W6141">
        <v>120</v>
      </c>
      <c r="X6141">
        <v>644</v>
      </c>
      <c r="Y6141">
        <v>0</v>
      </c>
      <c r="Z6141">
        <v>70</v>
      </c>
      <c r="AA6141">
        <v>3</v>
      </c>
      <c r="AB6141">
        <v>4.4994870000000002</v>
      </c>
      <c r="AC6141">
        <v>2.5941019999999999E-2</v>
      </c>
      <c r="AD6141">
        <v>2.0877409999999998</v>
      </c>
      <c r="AE6141">
        <v>0.65801120000000002</v>
      </c>
      <c r="AF6141">
        <v>314.72620000000001</v>
      </c>
      <c r="AG6141">
        <f>IFERROR(AH6141*0.1, "N/A")</f>
        <v>5.6909860000000005</v>
      </c>
      <c r="AH6141">
        <v>56.909860000000002</v>
      </c>
      <c r="AI6141">
        <v>293.28190000000001</v>
      </c>
      <c r="AJ6141">
        <v>21.108840000000001</v>
      </c>
      <c r="AK6141">
        <v>45.05612</v>
      </c>
    </row>
    <row r="6142" spans="1:37" x14ac:dyDescent="0.3">
      <c r="A6142">
        <v>6141</v>
      </c>
      <c r="B6142">
        <v>8</v>
      </c>
      <c r="C6142">
        <v>-8.0062800000000003</v>
      </c>
      <c r="D6142">
        <v>12.6546</v>
      </c>
      <c r="E6142">
        <f>-8.00628-12.6546</f>
        <v>-20.660879999999999</v>
      </c>
      <c r="F6142" t="s">
        <v>9578</v>
      </c>
      <c r="G6142" t="s">
        <v>39</v>
      </c>
      <c r="H6142">
        <v>2006</v>
      </c>
      <c r="I6142">
        <v>27.8</v>
      </c>
      <c r="J6142">
        <v>14.2</v>
      </c>
      <c r="K6142">
        <v>63</v>
      </c>
      <c r="L6142">
        <v>21.38</v>
      </c>
      <c r="M6142">
        <v>38.700000000000003</v>
      </c>
      <c r="N6142">
        <v>16.2</v>
      </c>
      <c r="O6142">
        <v>22.5</v>
      </c>
      <c r="P6142">
        <v>26.4</v>
      </c>
      <c r="Q6142">
        <v>26</v>
      </c>
      <c r="R6142">
        <v>30.9</v>
      </c>
      <c r="S6142">
        <v>25.5</v>
      </c>
      <c r="T6142">
        <v>955</v>
      </c>
      <c r="U6142">
        <v>291</v>
      </c>
      <c r="V6142">
        <v>0</v>
      </c>
      <c r="W6142">
        <v>121</v>
      </c>
      <c r="X6142">
        <v>695</v>
      </c>
      <c r="Y6142">
        <v>1</v>
      </c>
      <c r="Z6142">
        <v>72</v>
      </c>
      <c r="AA6142">
        <v>5</v>
      </c>
      <c r="AB6142">
        <v>15.994730000000001</v>
      </c>
      <c r="AC6142">
        <v>2.5713799999999998E-2</v>
      </c>
      <c r="AD6142">
        <v>4.8109019999999996</v>
      </c>
      <c r="AE6142">
        <v>0.89045479999999999</v>
      </c>
      <c r="AF6142">
        <v>347.5204</v>
      </c>
      <c r="AG6142">
        <f>IFERROR(AH6142*0.1, "N/A")</f>
        <v>6</v>
      </c>
      <c r="AH6142">
        <v>60</v>
      </c>
      <c r="AI6142">
        <v>173.48480000000001</v>
      </c>
      <c r="AJ6142">
        <v>27.16497</v>
      </c>
      <c r="AK6142">
        <v>49.835030000000003</v>
      </c>
    </row>
    <row r="6143" spans="1:37" x14ac:dyDescent="0.3">
      <c r="A6143">
        <v>6142</v>
      </c>
      <c r="B6143">
        <v>0</v>
      </c>
      <c r="C6143">
        <v>-8.0062800000000003</v>
      </c>
      <c r="D6143">
        <v>12.6546</v>
      </c>
      <c r="E6143">
        <f>-8.00628-12.6546</f>
        <v>-20.660879999999999</v>
      </c>
      <c r="F6143" t="s">
        <v>9579</v>
      </c>
      <c r="G6143" t="s">
        <v>37</v>
      </c>
      <c r="H6143">
        <v>2006</v>
      </c>
      <c r="I6143">
        <v>27.8</v>
      </c>
      <c r="J6143">
        <v>14.2</v>
      </c>
      <c r="K6143">
        <v>63</v>
      </c>
      <c r="L6143">
        <v>21.38</v>
      </c>
      <c r="M6143">
        <v>38.700000000000003</v>
      </c>
      <c r="N6143">
        <v>16.2</v>
      </c>
      <c r="O6143">
        <v>22.5</v>
      </c>
      <c r="P6143">
        <v>26.4</v>
      </c>
      <c r="Q6143">
        <v>26</v>
      </c>
      <c r="R6143">
        <v>30.9</v>
      </c>
      <c r="S6143">
        <v>25.5</v>
      </c>
      <c r="T6143">
        <v>955</v>
      </c>
      <c r="U6143">
        <v>291</v>
      </c>
      <c r="V6143">
        <v>0</v>
      </c>
      <c r="W6143">
        <v>121</v>
      </c>
      <c r="X6143">
        <v>695</v>
      </c>
      <c r="Y6143">
        <v>1</v>
      </c>
      <c r="Z6143">
        <v>72</v>
      </c>
      <c r="AA6143">
        <v>5</v>
      </c>
      <c r="AB6143">
        <v>15.994730000000001</v>
      </c>
      <c r="AC6143">
        <v>2.5713799999999998E-2</v>
      </c>
      <c r="AD6143">
        <v>4.8109019999999996</v>
      </c>
      <c r="AE6143">
        <v>0.89045479999999999</v>
      </c>
      <c r="AF6143">
        <v>347.5204</v>
      </c>
      <c r="AG6143">
        <f>IFERROR(AH6143*0.1, "N/A")</f>
        <v>6</v>
      </c>
      <c r="AH6143">
        <v>60</v>
      </c>
      <c r="AI6143">
        <v>173.48480000000001</v>
      </c>
      <c r="AJ6143">
        <v>27.16497</v>
      </c>
      <c r="AK6143">
        <v>49.835030000000003</v>
      </c>
    </row>
    <row r="6144" spans="1:37" x14ac:dyDescent="0.3">
      <c r="A6144">
        <v>6143</v>
      </c>
      <c r="B6144">
        <v>78.599999999999994</v>
      </c>
      <c r="C6144">
        <v>-8.0292999999999992</v>
      </c>
      <c r="D6144">
        <v>12.654999999999999</v>
      </c>
      <c r="E6144">
        <f>-8.0293-12.655</f>
        <v>-20.6843</v>
      </c>
      <c r="F6144" t="s">
        <v>9580</v>
      </c>
      <c r="G6144" t="s">
        <v>39</v>
      </c>
      <c r="H6144">
        <v>2006</v>
      </c>
      <c r="I6144">
        <v>27.8</v>
      </c>
      <c r="J6144">
        <v>14.3</v>
      </c>
      <c r="K6144">
        <v>63</v>
      </c>
      <c r="L6144">
        <v>20.57</v>
      </c>
      <c r="M6144">
        <v>38.799999999999997</v>
      </c>
      <c r="N6144">
        <v>16.3</v>
      </c>
      <c r="O6144">
        <v>22.5</v>
      </c>
      <c r="P6144">
        <v>26.4</v>
      </c>
      <c r="Q6144">
        <v>26.1</v>
      </c>
      <c r="R6144">
        <v>30.8</v>
      </c>
      <c r="S6144">
        <v>25.7</v>
      </c>
      <c r="T6144">
        <v>966</v>
      </c>
      <c r="U6144">
        <v>293</v>
      </c>
      <c r="V6144">
        <v>0</v>
      </c>
      <c r="W6144">
        <v>121</v>
      </c>
      <c r="X6144">
        <v>704</v>
      </c>
      <c r="Y6144">
        <v>1</v>
      </c>
      <c r="Z6144">
        <v>72</v>
      </c>
      <c r="AA6144">
        <v>5</v>
      </c>
      <c r="AB6144">
        <v>1.3657049999999999</v>
      </c>
      <c r="AC6144">
        <v>16.59882</v>
      </c>
      <c r="AD6144">
        <v>1.4436990000000001</v>
      </c>
      <c r="AE6144">
        <v>0.89782770000000001</v>
      </c>
      <c r="AF6144">
        <v>346.10980000000001</v>
      </c>
      <c r="AG6144">
        <f>IFERROR(AH6144*0.1, "N/A")</f>
        <v>6.2305740000000007</v>
      </c>
      <c r="AH6144">
        <v>62.30574</v>
      </c>
      <c r="AI6144">
        <v>233.26390000000001</v>
      </c>
      <c r="AJ6144">
        <v>23.66892</v>
      </c>
      <c r="AK6144">
        <v>52.19088</v>
      </c>
    </row>
    <row r="6145" spans="1:37" x14ac:dyDescent="0.3">
      <c r="A6145">
        <v>6144</v>
      </c>
      <c r="B6145">
        <v>14.3</v>
      </c>
      <c r="C6145">
        <v>-8.0292999999999992</v>
      </c>
      <c r="D6145">
        <v>12.654999999999999</v>
      </c>
      <c r="E6145">
        <f>-8.0293-12.655</f>
        <v>-20.6843</v>
      </c>
      <c r="F6145" t="s">
        <v>9581</v>
      </c>
      <c r="G6145" t="s">
        <v>37</v>
      </c>
      <c r="H6145">
        <v>2006</v>
      </c>
      <c r="I6145">
        <v>27.8</v>
      </c>
      <c r="J6145">
        <v>14.3</v>
      </c>
      <c r="K6145">
        <v>63</v>
      </c>
      <c r="L6145">
        <v>20.57</v>
      </c>
      <c r="M6145">
        <v>38.799999999999997</v>
      </c>
      <c r="N6145">
        <v>16.3</v>
      </c>
      <c r="O6145">
        <v>22.5</v>
      </c>
      <c r="P6145">
        <v>26.4</v>
      </c>
      <c r="Q6145">
        <v>26.1</v>
      </c>
      <c r="R6145">
        <v>30.8</v>
      </c>
      <c r="S6145">
        <v>25.7</v>
      </c>
      <c r="T6145">
        <v>966</v>
      </c>
      <c r="U6145">
        <v>293</v>
      </c>
      <c r="V6145">
        <v>0</v>
      </c>
      <c r="W6145">
        <v>121</v>
      </c>
      <c r="X6145">
        <v>704</v>
      </c>
      <c r="Y6145">
        <v>1</v>
      </c>
      <c r="Z6145">
        <v>72</v>
      </c>
      <c r="AA6145">
        <v>5</v>
      </c>
      <c r="AB6145">
        <v>1.3657049999999999</v>
      </c>
      <c r="AC6145">
        <v>16.59882</v>
      </c>
      <c r="AD6145">
        <v>1.4436990000000001</v>
      </c>
      <c r="AE6145">
        <v>0.89782770000000001</v>
      </c>
      <c r="AF6145">
        <v>346.10980000000001</v>
      </c>
      <c r="AG6145">
        <f>IFERROR(AH6145*0.1, "N/A")</f>
        <v>6.2305740000000007</v>
      </c>
      <c r="AH6145">
        <v>62.30574</v>
      </c>
      <c r="AI6145">
        <v>233.26390000000001</v>
      </c>
      <c r="AJ6145">
        <v>23.66892</v>
      </c>
      <c r="AK6145">
        <v>52.19088</v>
      </c>
    </row>
    <row r="6146" spans="1:37" x14ac:dyDescent="0.3">
      <c r="A6146">
        <v>6145</v>
      </c>
      <c r="B6146">
        <v>44.3</v>
      </c>
      <c r="C6146">
        <v>-8.0227799999999991</v>
      </c>
      <c r="D6146">
        <v>12.6572</v>
      </c>
      <c r="E6146">
        <f>-8.02278-12.6572</f>
        <v>-20.67998</v>
      </c>
      <c r="F6146" t="s">
        <v>9582</v>
      </c>
      <c r="G6146" t="s">
        <v>39</v>
      </c>
      <c r="H6146">
        <v>2003</v>
      </c>
      <c r="I6146">
        <v>27.8</v>
      </c>
      <c r="J6146">
        <v>14.3</v>
      </c>
      <c r="K6146">
        <v>63</v>
      </c>
      <c r="L6146">
        <v>20.89</v>
      </c>
      <c r="M6146">
        <v>38.700000000000003</v>
      </c>
      <c r="N6146">
        <v>16.3</v>
      </c>
      <c r="O6146">
        <v>22.4</v>
      </c>
      <c r="P6146">
        <v>26.5</v>
      </c>
      <c r="Q6146">
        <v>26</v>
      </c>
      <c r="R6146">
        <v>30.9</v>
      </c>
      <c r="S6146">
        <v>25.6</v>
      </c>
      <c r="T6146">
        <v>962</v>
      </c>
      <c r="U6146">
        <v>292</v>
      </c>
      <c r="V6146">
        <v>0</v>
      </c>
      <c r="W6146">
        <v>120</v>
      </c>
      <c r="X6146">
        <v>701</v>
      </c>
      <c r="Y6146">
        <v>1</v>
      </c>
      <c r="Z6146">
        <v>72</v>
      </c>
      <c r="AA6146">
        <v>5</v>
      </c>
      <c r="AB6146">
        <v>2.4042340000000002</v>
      </c>
      <c r="AC6146">
        <v>2.670401E-2</v>
      </c>
      <c r="AD6146">
        <v>1.2169410000000001</v>
      </c>
      <c r="AE6146">
        <v>0.8642282</v>
      </c>
      <c r="AF6146">
        <v>348.73509999999999</v>
      </c>
      <c r="AG6146">
        <f>IFERROR(AH6146*0.1, "N/A")</f>
        <v>6.067063000000001</v>
      </c>
      <c r="AH6146">
        <v>60.670630000000003</v>
      </c>
      <c r="AI6146">
        <v>181.66650000000001</v>
      </c>
      <c r="AJ6146">
        <v>23</v>
      </c>
      <c r="AK6146">
        <v>54.217320000000001</v>
      </c>
    </row>
    <row r="6147" spans="1:37" x14ac:dyDescent="0.3">
      <c r="A6147">
        <v>6146</v>
      </c>
      <c r="B6147">
        <v>24.3</v>
      </c>
      <c r="C6147">
        <v>-8.0227799999999991</v>
      </c>
      <c r="D6147">
        <v>12.6572</v>
      </c>
      <c r="E6147">
        <f>-8.02278-12.6572</f>
        <v>-20.67998</v>
      </c>
      <c r="F6147" t="s">
        <v>9583</v>
      </c>
      <c r="G6147" t="s">
        <v>37</v>
      </c>
      <c r="H6147">
        <v>2003</v>
      </c>
      <c r="I6147">
        <v>27.8</v>
      </c>
      <c r="J6147">
        <v>14.3</v>
      </c>
      <c r="K6147">
        <v>63</v>
      </c>
      <c r="L6147">
        <v>20.89</v>
      </c>
      <c r="M6147">
        <v>38.700000000000003</v>
      </c>
      <c r="N6147">
        <v>16.3</v>
      </c>
      <c r="O6147">
        <v>22.4</v>
      </c>
      <c r="P6147">
        <v>26.5</v>
      </c>
      <c r="Q6147">
        <v>26</v>
      </c>
      <c r="R6147">
        <v>30.9</v>
      </c>
      <c r="S6147">
        <v>25.6</v>
      </c>
      <c r="T6147">
        <v>962</v>
      </c>
      <c r="U6147">
        <v>292</v>
      </c>
      <c r="V6147">
        <v>0</v>
      </c>
      <c r="W6147">
        <v>120</v>
      </c>
      <c r="X6147">
        <v>701</v>
      </c>
      <c r="Y6147">
        <v>1</v>
      </c>
      <c r="Z6147">
        <v>72</v>
      </c>
      <c r="AA6147">
        <v>5</v>
      </c>
      <c r="AB6147">
        <v>2.4042340000000002</v>
      </c>
      <c r="AC6147">
        <v>2.670401E-2</v>
      </c>
      <c r="AD6147">
        <v>1.2169410000000001</v>
      </c>
      <c r="AE6147">
        <v>0.8642282</v>
      </c>
      <c r="AF6147">
        <v>348.73509999999999</v>
      </c>
      <c r="AG6147">
        <f>IFERROR(AH6147*0.1, "N/A")</f>
        <v>6.067063000000001</v>
      </c>
      <c r="AH6147">
        <v>60.670630000000003</v>
      </c>
      <c r="AI6147">
        <v>181.66650000000001</v>
      </c>
      <c r="AJ6147">
        <v>23</v>
      </c>
      <c r="AK6147">
        <v>54.217320000000001</v>
      </c>
    </row>
    <row r="6148" spans="1:37" x14ac:dyDescent="0.3">
      <c r="A6148">
        <v>6147</v>
      </c>
      <c r="B6148">
        <v>21.4</v>
      </c>
      <c r="C6148">
        <v>-7.9829299999999996</v>
      </c>
      <c r="D6148">
        <v>12.6592</v>
      </c>
      <c r="E6148">
        <f>-7.98293-12.6592</f>
        <v>-20.642130000000002</v>
      </c>
      <c r="F6148" t="s">
        <v>9584</v>
      </c>
      <c r="G6148" t="s">
        <v>39</v>
      </c>
      <c r="H6148">
        <v>2006</v>
      </c>
      <c r="I6148">
        <v>27.7</v>
      </c>
      <c r="J6148">
        <v>14.2</v>
      </c>
      <c r="K6148">
        <v>62.1678</v>
      </c>
      <c r="L6148">
        <v>21.844360000000002</v>
      </c>
      <c r="M6148">
        <v>38.71678</v>
      </c>
      <c r="N6148">
        <v>16.133559999999999</v>
      </c>
      <c r="O6148">
        <v>22.583220000000001</v>
      </c>
      <c r="P6148">
        <v>26.183219999999999</v>
      </c>
      <c r="Q6148">
        <v>25.916779999999999</v>
      </c>
      <c r="R6148">
        <v>30.883220000000001</v>
      </c>
      <c r="S6148">
        <v>25.416779999999999</v>
      </c>
      <c r="T6148">
        <v>942.83900000000006</v>
      </c>
      <c r="U6148">
        <v>291.1678</v>
      </c>
      <c r="V6148">
        <v>0</v>
      </c>
      <c r="W6148">
        <v>122</v>
      </c>
      <c r="X6148">
        <v>688.6712</v>
      </c>
      <c r="Y6148">
        <v>0.16779659999999999</v>
      </c>
      <c r="Z6148">
        <v>69</v>
      </c>
      <c r="AA6148">
        <v>3.1677970000000002</v>
      </c>
      <c r="AB6148">
        <v>8.9416899999999995</v>
      </c>
      <c r="AC6148">
        <v>9.4188019999999997E-2</v>
      </c>
      <c r="AD6148">
        <v>1.9684219999999999</v>
      </c>
      <c r="AE6148">
        <v>0.87831150000000002</v>
      </c>
      <c r="AF6148">
        <v>336.16269999999997</v>
      </c>
      <c r="AG6148">
        <f>IFERROR(AH6148*0.1, "N/A")</f>
        <v>6.2550850000000002</v>
      </c>
      <c r="AH6148">
        <v>62.550849999999997</v>
      </c>
      <c r="AI6148">
        <v>164.76220000000001</v>
      </c>
      <c r="AJ6148">
        <v>24.97627</v>
      </c>
      <c r="AK6148">
        <v>52.97627</v>
      </c>
    </row>
    <row r="6149" spans="1:37" x14ac:dyDescent="0.3">
      <c r="A6149">
        <v>6148</v>
      </c>
      <c r="B6149">
        <v>0</v>
      </c>
      <c r="C6149">
        <v>-7.9829299999999996</v>
      </c>
      <c r="D6149">
        <v>12.6592</v>
      </c>
      <c r="E6149">
        <f>-7.98293-12.6592</f>
        <v>-20.642130000000002</v>
      </c>
      <c r="F6149" t="s">
        <v>9585</v>
      </c>
      <c r="G6149" t="s">
        <v>37</v>
      </c>
      <c r="H6149">
        <v>2006</v>
      </c>
      <c r="I6149">
        <v>27.7</v>
      </c>
      <c r="J6149">
        <v>14.2</v>
      </c>
      <c r="K6149">
        <v>62.1678</v>
      </c>
      <c r="L6149">
        <v>21.844360000000002</v>
      </c>
      <c r="M6149">
        <v>38.71678</v>
      </c>
      <c r="N6149">
        <v>16.133559999999999</v>
      </c>
      <c r="O6149">
        <v>22.583220000000001</v>
      </c>
      <c r="P6149">
        <v>26.183219999999999</v>
      </c>
      <c r="Q6149">
        <v>25.916779999999999</v>
      </c>
      <c r="R6149">
        <v>30.883220000000001</v>
      </c>
      <c r="S6149">
        <v>25.416779999999999</v>
      </c>
      <c r="T6149">
        <v>942.83900000000006</v>
      </c>
      <c r="U6149">
        <v>291.1678</v>
      </c>
      <c r="V6149">
        <v>0</v>
      </c>
      <c r="W6149">
        <v>122</v>
      </c>
      <c r="X6149">
        <v>688.6712</v>
      </c>
      <c r="Y6149">
        <v>0.16779659999999999</v>
      </c>
      <c r="Z6149">
        <v>69</v>
      </c>
      <c r="AA6149">
        <v>3.1677970000000002</v>
      </c>
      <c r="AB6149">
        <v>8.9416899999999995</v>
      </c>
      <c r="AC6149">
        <v>9.4188019999999997E-2</v>
      </c>
      <c r="AD6149">
        <v>1.9684219999999999</v>
      </c>
      <c r="AE6149">
        <v>0.87831150000000002</v>
      </c>
      <c r="AF6149">
        <v>336.16269999999997</v>
      </c>
      <c r="AG6149">
        <f>IFERROR(AH6149*0.1, "N/A")</f>
        <v>6.2550850000000002</v>
      </c>
      <c r="AH6149">
        <v>62.550849999999997</v>
      </c>
      <c r="AI6149">
        <v>164.76220000000001</v>
      </c>
      <c r="AJ6149">
        <v>24.97627</v>
      </c>
      <c r="AK6149">
        <v>52.97627</v>
      </c>
    </row>
    <row r="6150" spans="1:37" x14ac:dyDescent="0.3">
      <c r="A6150">
        <v>6149</v>
      </c>
      <c r="B6150">
        <v>26.4</v>
      </c>
      <c r="C6150">
        <v>-7.9171699999999996</v>
      </c>
      <c r="D6150">
        <v>12.661199999999999</v>
      </c>
      <c r="E6150">
        <f>-7.91717-12.6612</f>
        <v>-20.57837</v>
      </c>
      <c r="F6150" t="s">
        <v>9586</v>
      </c>
      <c r="G6150" t="s">
        <v>39</v>
      </c>
      <c r="H6150">
        <v>2002</v>
      </c>
      <c r="I6150">
        <v>27.3</v>
      </c>
      <c r="J6150">
        <v>14.2</v>
      </c>
      <c r="K6150">
        <v>60</v>
      </c>
      <c r="L6150">
        <v>22.917179999999998</v>
      </c>
      <c r="M6150">
        <v>38.799999999999997</v>
      </c>
      <c r="N6150">
        <v>15.27521</v>
      </c>
      <c r="O6150">
        <v>23.524789999999999</v>
      </c>
      <c r="P6150">
        <v>26.224789999999999</v>
      </c>
      <c r="Q6150">
        <v>25.2</v>
      </c>
      <c r="R6150">
        <v>30.6</v>
      </c>
      <c r="S6150">
        <v>24.67521</v>
      </c>
      <c r="T6150">
        <v>928.75210000000004</v>
      </c>
      <c r="U6150">
        <v>283.50420000000003</v>
      </c>
      <c r="V6150">
        <v>0</v>
      </c>
      <c r="W6150">
        <v>120.7521</v>
      </c>
      <c r="X6150">
        <v>672.50419999999997</v>
      </c>
      <c r="Y6150">
        <v>1</v>
      </c>
      <c r="Z6150">
        <v>71.247879999999995</v>
      </c>
      <c r="AA6150">
        <v>4</v>
      </c>
      <c r="AB6150">
        <v>5.7429579999999998</v>
      </c>
      <c r="AC6150">
        <v>1.5753010000000001E-2</v>
      </c>
      <c r="AD6150">
        <v>0.94844379999999995</v>
      </c>
      <c r="AE6150">
        <v>0.80217530000000004</v>
      </c>
      <c r="AF6150">
        <v>318.73849999999999</v>
      </c>
      <c r="AG6150">
        <f>IFERROR(AH6150*0.1, "N/A")</f>
        <v>5.9196939999999998</v>
      </c>
      <c r="AH6150">
        <v>59.196939999999998</v>
      </c>
      <c r="AI6150">
        <v>130.3716</v>
      </c>
      <c r="AJ6150">
        <v>15.95416</v>
      </c>
      <c r="AK6150">
        <v>62.911709999999999</v>
      </c>
    </row>
    <row r="6151" spans="1:37" x14ac:dyDescent="0.3">
      <c r="A6151">
        <v>6150</v>
      </c>
      <c r="B6151">
        <v>30.8</v>
      </c>
      <c r="C6151">
        <v>-7.9171699999999996</v>
      </c>
      <c r="D6151">
        <v>12.661199999999999</v>
      </c>
      <c r="E6151">
        <f>-7.91717-12.6612</f>
        <v>-20.57837</v>
      </c>
      <c r="F6151" t="s">
        <v>9587</v>
      </c>
      <c r="G6151" t="s">
        <v>37</v>
      </c>
      <c r="H6151">
        <v>2002</v>
      </c>
      <c r="I6151">
        <v>27.3</v>
      </c>
      <c r="J6151">
        <v>14.2</v>
      </c>
      <c r="K6151">
        <v>60</v>
      </c>
      <c r="L6151">
        <v>22.917179999999998</v>
      </c>
      <c r="M6151">
        <v>38.799999999999997</v>
      </c>
      <c r="N6151">
        <v>15.27521</v>
      </c>
      <c r="O6151">
        <v>23.524789999999999</v>
      </c>
      <c r="P6151">
        <v>26.224789999999999</v>
      </c>
      <c r="Q6151">
        <v>25.2</v>
      </c>
      <c r="R6151">
        <v>30.6</v>
      </c>
      <c r="S6151">
        <v>24.67521</v>
      </c>
      <c r="T6151">
        <v>928.75210000000004</v>
      </c>
      <c r="U6151">
        <v>283.50420000000003</v>
      </c>
      <c r="V6151">
        <v>0</v>
      </c>
      <c r="W6151">
        <v>120.7521</v>
      </c>
      <c r="X6151">
        <v>672.50419999999997</v>
      </c>
      <c r="Y6151">
        <v>1</v>
      </c>
      <c r="Z6151">
        <v>71.247879999999995</v>
      </c>
      <c r="AA6151">
        <v>4</v>
      </c>
      <c r="AB6151">
        <v>5.7429579999999998</v>
      </c>
      <c r="AC6151">
        <v>1.5753010000000001E-2</v>
      </c>
      <c r="AD6151">
        <v>0.94844379999999995</v>
      </c>
      <c r="AE6151">
        <v>0.80217530000000004</v>
      </c>
      <c r="AF6151">
        <v>318.73849999999999</v>
      </c>
      <c r="AG6151">
        <f>IFERROR(AH6151*0.1, "N/A")</f>
        <v>5.9196939999999998</v>
      </c>
      <c r="AH6151">
        <v>59.196939999999998</v>
      </c>
      <c r="AI6151">
        <v>130.3716</v>
      </c>
      <c r="AJ6151">
        <v>15.95416</v>
      </c>
      <c r="AK6151">
        <v>62.911709999999999</v>
      </c>
    </row>
    <row r="6152" spans="1:37" x14ac:dyDescent="0.3">
      <c r="A6152">
        <v>6151</v>
      </c>
      <c r="B6152">
        <v>3.4</v>
      </c>
      <c r="C6152">
        <v>-7.96333</v>
      </c>
      <c r="D6152">
        <v>12.668900000000001</v>
      </c>
      <c r="E6152">
        <f>-7.96333-12.6689</f>
        <v>-20.63223</v>
      </c>
      <c r="F6152" t="s">
        <v>9588</v>
      </c>
      <c r="G6152" t="s">
        <v>37</v>
      </c>
      <c r="H6152">
        <v>1992</v>
      </c>
      <c r="I6152">
        <v>27.6</v>
      </c>
      <c r="J6152">
        <v>14.2</v>
      </c>
      <c r="K6152">
        <v>62</v>
      </c>
      <c r="L6152">
        <v>21.93</v>
      </c>
      <c r="M6152">
        <v>38.799999999999997</v>
      </c>
      <c r="N6152">
        <v>15.9</v>
      </c>
      <c r="O6152">
        <v>22.9</v>
      </c>
      <c r="P6152">
        <v>26.3</v>
      </c>
      <c r="Q6152">
        <v>25.7</v>
      </c>
      <c r="R6152">
        <v>30.8</v>
      </c>
      <c r="S6152">
        <v>25.2</v>
      </c>
      <c r="T6152">
        <v>939</v>
      </c>
      <c r="U6152">
        <v>290</v>
      </c>
      <c r="V6152">
        <v>0</v>
      </c>
      <c r="W6152">
        <v>121</v>
      </c>
      <c r="X6152">
        <v>685</v>
      </c>
      <c r="Y6152">
        <v>1</v>
      </c>
      <c r="Z6152">
        <v>69</v>
      </c>
      <c r="AA6152">
        <v>4</v>
      </c>
      <c r="AB6152">
        <v>5.2991570000000001</v>
      </c>
      <c r="AC6152">
        <v>1.7496319999999999E-2</v>
      </c>
      <c r="AD6152">
        <v>1.213004</v>
      </c>
      <c r="AE6152">
        <v>0.93916659999999996</v>
      </c>
      <c r="AF6152">
        <v>335.2364</v>
      </c>
      <c r="AG6152">
        <f>IFERROR(AH6152*0.1, "N/A")</f>
        <v>6.5</v>
      </c>
      <c r="AH6152">
        <v>65</v>
      </c>
      <c r="AI6152">
        <v>175.6403</v>
      </c>
      <c r="AJ6152">
        <v>32.028910000000003</v>
      </c>
      <c r="AK6152">
        <v>46.971089999999997</v>
      </c>
    </row>
    <row r="6153" spans="1:37" x14ac:dyDescent="0.3">
      <c r="A6153">
        <v>6152</v>
      </c>
      <c r="B6153">
        <v>22.6</v>
      </c>
      <c r="C6153">
        <v>-7.96333</v>
      </c>
      <c r="D6153">
        <v>12.668900000000001</v>
      </c>
      <c r="E6153">
        <f>-7.96333-12.6689</f>
        <v>-20.63223</v>
      </c>
      <c r="F6153" t="s">
        <v>9589</v>
      </c>
      <c r="G6153" t="s">
        <v>39</v>
      </c>
      <c r="H6153">
        <v>1992</v>
      </c>
      <c r="I6153">
        <v>27.6</v>
      </c>
      <c r="J6153">
        <v>14.2</v>
      </c>
      <c r="K6153">
        <v>62</v>
      </c>
      <c r="L6153">
        <v>21.93</v>
      </c>
      <c r="M6153">
        <v>38.799999999999997</v>
      </c>
      <c r="N6153">
        <v>15.9</v>
      </c>
      <c r="O6153">
        <v>22.9</v>
      </c>
      <c r="P6153">
        <v>26.3</v>
      </c>
      <c r="Q6153">
        <v>25.7</v>
      </c>
      <c r="R6153">
        <v>30.8</v>
      </c>
      <c r="S6153">
        <v>25.2</v>
      </c>
      <c r="T6153">
        <v>939</v>
      </c>
      <c r="U6153">
        <v>290</v>
      </c>
      <c r="V6153">
        <v>0</v>
      </c>
      <c r="W6153">
        <v>121</v>
      </c>
      <c r="X6153">
        <v>685</v>
      </c>
      <c r="Y6153">
        <v>1</v>
      </c>
      <c r="Z6153">
        <v>69</v>
      </c>
      <c r="AA6153">
        <v>4</v>
      </c>
      <c r="AB6153">
        <v>5.2991570000000001</v>
      </c>
      <c r="AC6153">
        <v>1.7496319999999999E-2</v>
      </c>
      <c r="AD6153">
        <v>1.213004</v>
      </c>
      <c r="AE6153">
        <v>0.93916659999999996</v>
      </c>
      <c r="AF6153">
        <v>335.2364</v>
      </c>
      <c r="AG6153">
        <f>IFERROR(AH6153*0.1, "N/A")</f>
        <v>6.5</v>
      </c>
      <c r="AH6153">
        <v>65</v>
      </c>
      <c r="AI6153">
        <v>175.6403</v>
      </c>
      <c r="AJ6153">
        <v>32.028910000000003</v>
      </c>
      <c r="AK6153">
        <v>46.971089999999997</v>
      </c>
    </row>
    <row r="6154" spans="1:37" x14ac:dyDescent="0.3">
      <c r="A6154">
        <v>6153</v>
      </c>
      <c r="B6154">
        <v>1</v>
      </c>
      <c r="C6154">
        <v>-5.1886099999999997</v>
      </c>
      <c r="D6154">
        <v>12.6694</v>
      </c>
      <c r="E6154">
        <f>-5.18861-12.6694</f>
        <v>-17.85801</v>
      </c>
      <c r="F6154" t="s">
        <v>9590</v>
      </c>
      <c r="G6154" t="s">
        <v>39</v>
      </c>
      <c r="H6154">
        <v>1990</v>
      </c>
      <c r="I6154">
        <v>27.3</v>
      </c>
      <c r="J6154">
        <v>14</v>
      </c>
      <c r="K6154">
        <v>57</v>
      </c>
      <c r="L6154">
        <v>25.06</v>
      </c>
      <c r="M6154">
        <v>38.200000000000003</v>
      </c>
      <c r="N6154">
        <v>13.7</v>
      </c>
      <c r="O6154">
        <v>24.5</v>
      </c>
      <c r="P6154">
        <v>26.5</v>
      </c>
      <c r="Q6154">
        <v>24.2</v>
      </c>
      <c r="R6154">
        <v>30.5</v>
      </c>
      <c r="S6154">
        <v>24.2</v>
      </c>
      <c r="T6154">
        <v>788</v>
      </c>
      <c r="U6154">
        <v>223</v>
      </c>
      <c r="V6154">
        <v>0</v>
      </c>
      <c r="W6154">
        <v>116</v>
      </c>
      <c r="X6154">
        <v>556</v>
      </c>
      <c r="Y6154">
        <v>1</v>
      </c>
      <c r="Z6154">
        <v>76</v>
      </c>
      <c r="AA6154">
        <v>5</v>
      </c>
      <c r="AB6154">
        <v>4.9174860000000002</v>
      </c>
      <c r="AC6154">
        <v>8.6667900000000006E-2</v>
      </c>
      <c r="AD6154">
        <v>2.0316519999999998</v>
      </c>
      <c r="AE6154">
        <v>0.69094180000000005</v>
      </c>
      <c r="AF6154">
        <v>313.68079999999998</v>
      </c>
      <c r="AG6154">
        <f>IFERROR(AH6154*0.1, "N/A")</f>
        <v>5.382003000000001</v>
      </c>
      <c r="AH6154">
        <v>53.820030000000003</v>
      </c>
      <c r="AI6154">
        <v>200.48169999999999</v>
      </c>
      <c r="AJ6154">
        <v>9.1799660000000003</v>
      </c>
      <c r="AK6154">
        <v>63.179969999999997</v>
      </c>
    </row>
    <row r="6155" spans="1:37" x14ac:dyDescent="0.3">
      <c r="A6155">
        <v>6154</v>
      </c>
      <c r="B6155">
        <v>0</v>
      </c>
      <c r="C6155">
        <v>-5.1886099999999997</v>
      </c>
      <c r="D6155">
        <v>12.6694</v>
      </c>
      <c r="E6155">
        <f>-5.18861-12.6694</f>
        <v>-17.85801</v>
      </c>
      <c r="F6155" t="s">
        <v>9591</v>
      </c>
      <c r="G6155" t="s">
        <v>37</v>
      </c>
      <c r="H6155">
        <v>1990</v>
      </c>
      <c r="I6155">
        <v>27.3</v>
      </c>
      <c r="J6155">
        <v>14</v>
      </c>
      <c r="K6155">
        <v>57</v>
      </c>
      <c r="L6155">
        <v>25.06</v>
      </c>
      <c r="M6155">
        <v>38.200000000000003</v>
      </c>
      <c r="N6155">
        <v>13.7</v>
      </c>
      <c r="O6155">
        <v>24.5</v>
      </c>
      <c r="P6155">
        <v>26.5</v>
      </c>
      <c r="Q6155">
        <v>24.2</v>
      </c>
      <c r="R6155">
        <v>30.5</v>
      </c>
      <c r="S6155">
        <v>24.2</v>
      </c>
      <c r="T6155">
        <v>788</v>
      </c>
      <c r="U6155">
        <v>223</v>
      </c>
      <c r="V6155">
        <v>0</v>
      </c>
      <c r="W6155">
        <v>116</v>
      </c>
      <c r="X6155">
        <v>556</v>
      </c>
      <c r="Y6155">
        <v>1</v>
      </c>
      <c r="Z6155">
        <v>76</v>
      </c>
      <c r="AA6155">
        <v>5</v>
      </c>
      <c r="AB6155">
        <v>4.9174860000000002</v>
      </c>
      <c r="AC6155">
        <v>8.6667900000000006E-2</v>
      </c>
      <c r="AD6155">
        <v>2.0316519999999998</v>
      </c>
      <c r="AE6155">
        <v>0.69094180000000005</v>
      </c>
      <c r="AF6155">
        <v>313.68079999999998</v>
      </c>
      <c r="AG6155">
        <f>IFERROR(AH6155*0.1, "N/A")</f>
        <v>5.382003000000001</v>
      </c>
      <c r="AH6155">
        <v>53.820030000000003</v>
      </c>
      <c r="AI6155">
        <v>200.48169999999999</v>
      </c>
      <c r="AJ6155">
        <v>9.1799660000000003</v>
      </c>
      <c r="AK6155">
        <v>63.179969999999997</v>
      </c>
    </row>
    <row r="6156" spans="1:37" x14ac:dyDescent="0.3">
      <c r="A6156">
        <v>6155</v>
      </c>
      <c r="B6156">
        <v>16.600000000000001</v>
      </c>
      <c r="C6156">
        <v>-7.7069999999999999</v>
      </c>
      <c r="D6156">
        <v>12.6699</v>
      </c>
      <c r="E6156">
        <f>-7.707-12.6699</f>
        <v>-20.376899999999999</v>
      </c>
      <c r="F6156" t="s">
        <v>9592</v>
      </c>
      <c r="G6156" t="s">
        <v>39</v>
      </c>
      <c r="H6156">
        <v>1990</v>
      </c>
      <c r="I6156">
        <v>27.4</v>
      </c>
      <c r="J6156">
        <v>14.4</v>
      </c>
      <c r="K6156">
        <v>59</v>
      </c>
      <c r="L6156">
        <v>24.05</v>
      </c>
      <c r="M6156">
        <v>39.200000000000003</v>
      </c>
      <c r="N6156">
        <v>14.8</v>
      </c>
      <c r="O6156">
        <v>24.4</v>
      </c>
      <c r="P6156">
        <v>26.4</v>
      </c>
      <c r="Q6156">
        <v>25</v>
      </c>
      <c r="R6156">
        <v>30.8</v>
      </c>
      <c r="S6156">
        <v>24.6</v>
      </c>
      <c r="T6156">
        <v>891</v>
      </c>
      <c r="U6156">
        <v>270</v>
      </c>
      <c r="V6156">
        <v>0</v>
      </c>
      <c r="W6156">
        <v>120</v>
      </c>
      <c r="X6156">
        <v>644</v>
      </c>
      <c r="Y6156">
        <v>0</v>
      </c>
      <c r="Z6156">
        <v>70</v>
      </c>
      <c r="AA6156">
        <v>3</v>
      </c>
      <c r="AB6156">
        <v>2.218569</v>
      </c>
      <c r="AC6156">
        <v>1.8236809999999999E-2</v>
      </c>
      <c r="AD6156">
        <v>2.6058319999999999</v>
      </c>
      <c r="AE6156">
        <v>0.70119620000000005</v>
      </c>
      <c r="AF6156">
        <v>311.04090000000002</v>
      </c>
      <c r="AG6156">
        <f>IFERROR(AH6156*0.1, "N/A")</f>
        <v>5.5231690000000002</v>
      </c>
      <c r="AH6156">
        <v>55.23169</v>
      </c>
      <c r="AI6156">
        <v>209.34780000000001</v>
      </c>
      <c r="AJ6156">
        <v>23.471889999999998</v>
      </c>
      <c r="AK6156">
        <v>43.974449999999997</v>
      </c>
    </row>
    <row r="6157" spans="1:37" x14ac:dyDescent="0.3">
      <c r="A6157">
        <v>6156</v>
      </c>
      <c r="B6157">
        <v>12.6</v>
      </c>
      <c r="C6157">
        <v>-7.7069999999999999</v>
      </c>
      <c r="D6157">
        <v>12.6699</v>
      </c>
      <c r="E6157">
        <f>-7.707-12.6699</f>
        <v>-20.376899999999999</v>
      </c>
      <c r="F6157" t="s">
        <v>9593</v>
      </c>
      <c r="G6157" t="s">
        <v>37</v>
      </c>
      <c r="H6157">
        <v>1990</v>
      </c>
      <c r="I6157">
        <v>27.4</v>
      </c>
      <c r="J6157">
        <v>14.4</v>
      </c>
      <c r="K6157">
        <v>59</v>
      </c>
      <c r="L6157">
        <v>24.05</v>
      </c>
      <c r="M6157">
        <v>39.200000000000003</v>
      </c>
      <c r="N6157">
        <v>14.8</v>
      </c>
      <c r="O6157">
        <v>24.4</v>
      </c>
      <c r="P6157">
        <v>26.4</v>
      </c>
      <c r="Q6157">
        <v>25</v>
      </c>
      <c r="R6157">
        <v>30.8</v>
      </c>
      <c r="S6157">
        <v>24.6</v>
      </c>
      <c r="T6157">
        <v>891</v>
      </c>
      <c r="U6157">
        <v>270</v>
      </c>
      <c r="V6157">
        <v>0</v>
      </c>
      <c r="W6157">
        <v>120</v>
      </c>
      <c r="X6157">
        <v>644</v>
      </c>
      <c r="Y6157">
        <v>0</v>
      </c>
      <c r="Z6157">
        <v>70</v>
      </c>
      <c r="AA6157">
        <v>3</v>
      </c>
      <c r="AB6157">
        <v>2.218569</v>
      </c>
      <c r="AC6157">
        <v>1.8236809999999999E-2</v>
      </c>
      <c r="AD6157">
        <v>2.6058319999999999</v>
      </c>
      <c r="AE6157">
        <v>0.70119620000000005</v>
      </c>
      <c r="AF6157">
        <v>311.04090000000002</v>
      </c>
      <c r="AG6157">
        <f>IFERROR(AH6157*0.1, "N/A")</f>
        <v>5.5231690000000002</v>
      </c>
      <c r="AH6157">
        <v>55.23169</v>
      </c>
      <c r="AI6157">
        <v>209.34780000000001</v>
      </c>
      <c r="AJ6157">
        <v>23.471889999999998</v>
      </c>
      <c r="AK6157">
        <v>43.974449999999997</v>
      </c>
    </row>
    <row r="6158" spans="1:37" x14ac:dyDescent="0.3">
      <c r="A6158">
        <v>6157</v>
      </c>
      <c r="B6158">
        <v>5.0999999999999996</v>
      </c>
      <c r="C6158">
        <v>-7.7050000000000001</v>
      </c>
      <c r="D6158">
        <v>12.6708</v>
      </c>
      <c r="E6158">
        <f>-7.705-12.6708</f>
        <v>-20.375799999999998</v>
      </c>
      <c r="F6158" t="s">
        <v>9594</v>
      </c>
      <c r="G6158" t="s">
        <v>39</v>
      </c>
      <c r="H6158">
        <v>1986</v>
      </c>
      <c r="I6158">
        <v>27.4</v>
      </c>
      <c r="J6158">
        <v>14.4</v>
      </c>
      <c r="K6158">
        <v>59</v>
      </c>
      <c r="L6158">
        <v>24.05</v>
      </c>
      <c r="M6158">
        <v>39.200000000000003</v>
      </c>
      <c r="N6158">
        <v>14.8</v>
      </c>
      <c r="O6158">
        <v>24.4</v>
      </c>
      <c r="P6158">
        <v>26.4</v>
      </c>
      <c r="Q6158">
        <v>25</v>
      </c>
      <c r="R6158">
        <v>30.8</v>
      </c>
      <c r="S6158">
        <v>24.6</v>
      </c>
      <c r="T6158">
        <v>891</v>
      </c>
      <c r="U6158">
        <v>270</v>
      </c>
      <c r="V6158">
        <v>0</v>
      </c>
      <c r="W6158">
        <v>120</v>
      </c>
      <c r="X6158">
        <v>644</v>
      </c>
      <c r="Y6158">
        <v>0</v>
      </c>
      <c r="Z6158">
        <v>70</v>
      </c>
      <c r="AA6158">
        <v>3</v>
      </c>
      <c r="AB6158">
        <v>1.316119</v>
      </c>
      <c r="AC6158">
        <v>4.0649980000000001</v>
      </c>
      <c r="AD6158">
        <v>2.2861530000000001</v>
      </c>
      <c r="AE6158">
        <v>0.70119620000000005</v>
      </c>
      <c r="AF6158">
        <v>312.25130000000001</v>
      </c>
      <c r="AG6158">
        <f>IFERROR(AH6158*0.1, "N/A")</f>
        <v>5.5</v>
      </c>
      <c r="AH6158">
        <v>55</v>
      </c>
      <c r="AI6158">
        <v>102.59780000000001</v>
      </c>
      <c r="AJ6158">
        <v>23</v>
      </c>
      <c r="AK6158">
        <v>42</v>
      </c>
    </row>
    <row r="6159" spans="1:37" x14ac:dyDescent="0.3">
      <c r="A6159">
        <v>6158</v>
      </c>
      <c r="B6159">
        <v>11.5</v>
      </c>
      <c r="C6159">
        <v>-7.7050000000000001</v>
      </c>
      <c r="D6159">
        <v>12.6708</v>
      </c>
      <c r="E6159">
        <f>-7.705-12.6708</f>
        <v>-20.375799999999998</v>
      </c>
      <c r="F6159" t="s">
        <v>9595</v>
      </c>
      <c r="G6159" t="s">
        <v>37</v>
      </c>
      <c r="H6159">
        <v>1986</v>
      </c>
      <c r="I6159">
        <v>27.4</v>
      </c>
      <c r="J6159">
        <v>14.4</v>
      </c>
      <c r="K6159">
        <v>59</v>
      </c>
      <c r="L6159">
        <v>24.05</v>
      </c>
      <c r="M6159">
        <v>39.200000000000003</v>
      </c>
      <c r="N6159">
        <v>14.8</v>
      </c>
      <c r="O6159">
        <v>24.4</v>
      </c>
      <c r="P6159">
        <v>26.4</v>
      </c>
      <c r="Q6159">
        <v>25</v>
      </c>
      <c r="R6159">
        <v>30.8</v>
      </c>
      <c r="S6159">
        <v>24.6</v>
      </c>
      <c r="T6159">
        <v>891</v>
      </c>
      <c r="U6159">
        <v>270</v>
      </c>
      <c r="V6159">
        <v>0</v>
      </c>
      <c r="W6159">
        <v>120</v>
      </c>
      <c r="X6159">
        <v>644</v>
      </c>
      <c r="Y6159">
        <v>0</v>
      </c>
      <c r="Z6159">
        <v>70</v>
      </c>
      <c r="AA6159">
        <v>3</v>
      </c>
      <c r="AB6159">
        <v>1.316119</v>
      </c>
      <c r="AC6159">
        <v>4.0649980000000001</v>
      </c>
      <c r="AD6159">
        <v>2.2861530000000001</v>
      </c>
      <c r="AE6159">
        <v>0.70119620000000005</v>
      </c>
      <c r="AF6159">
        <v>312.25130000000001</v>
      </c>
      <c r="AG6159">
        <f>IFERROR(AH6159*0.1, "N/A")</f>
        <v>5.5</v>
      </c>
      <c r="AH6159">
        <v>55</v>
      </c>
      <c r="AI6159">
        <v>102.59780000000001</v>
      </c>
      <c r="AJ6159">
        <v>23</v>
      </c>
      <c r="AK6159">
        <v>42</v>
      </c>
    </row>
    <row r="6160" spans="1:37" x14ac:dyDescent="0.3">
      <c r="A6160">
        <v>6159</v>
      </c>
      <c r="B6160">
        <v>14.3</v>
      </c>
      <c r="C6160">
        <v>-7.9661999999999997</v>
      </c>
      <c r="D6160">
        <v>12.6721</v>
      </c>
      <c r="E6160">
        <f>-7.9662-12.6721</f>
        <v>-20.638300000000001</v>
      </c>
      <c r="F6160" t="s">
        <v>9596</v>
      </c>
      <c r="G6160" t="s">
        <v>39</v>
      </c>
      <c r="H6160">
        <v>2006</v>
      </c>
      <c r="I6160">
        <v>27.6</v>
      </c>
      <c r="J6160">
        <v>14.2</v>
      </c>
      <c r="K6160">
        <v>62</v>
      </c>
      <c r="L6160">
        <v>21.951989999999999</v>
      </c>
      <c r="M6160">
        <v>38.756030000000003</v>
      </c>
      <c r="N6160">
        <v>15.94397</v>
      </c>
      <c r="O6160">
        <v>22.812049999999999</v>
      </c>
      <c r="P6160">
        <v>26.256029999999999</v>
      </c>
      <c r="Q6160">
        <v>25.743970000000001</v>
      </c>
      <c r="R6160">
        <v>30.8</v>
      </c>
      <c r="S6160">
        <v>25.2</v>
      </c>
      <c r="T6160">
        <v>940.31920000000002</v>
      </c>
      <c r="U6160">
        <v>290.43970000000002</v>
      </c>
      <c r="V6160">
        <v>0</v>
      </c>
      <c r="W6160">
        <v>121.4397</v>
      </c>
      <c r="X6160">
        <v>686.31920000000002</v>
      </c>
      <c r="Y6160">
        <v>1</v>
      </c>
      <c r="Z6160">
        <v>69</v>
      </c>
      <c r="AA6160">
        <v>4</v>
      </c>
      <c r="AB6160">
        <v>13.299149999999999</v>
      </c>
      <c r="AC6160">
        <v>1.102098E-2</v>
      </c>
      <c r="AD6160">
        <v>1.643856</v>
      </c>
      <c r="AE6160">
        <v>0.9407278</v>
      </c>
      <c r="AF6160">
        <v>343.17829999999998</v>
      </c>
      <c r="AG6160">
        <f>IFERROR(AH6160*0.1, "N/A")</f>
        <v>6.4505939999999997</v>
      </c>
      <c r="AH6160">
        <v>64.505939999999995</v>
      </c>
      <c r="AI6160">
        <v>186.1003</v>
      </c>
      <c r="AJ6160">
        <v>30.322579999999999</v>
      </c>
      <c r="AK6160">
        <v>49.300510000000003</v>
      </c>
    </row>
    <row r="6161" spans="1:37" x14ac:dyDescent="0.3">
      <c r="A6161">
        <v>6160</v>
      </c>
      <c r="B6161">
        <v>16.7</v>
      </c>
      <c r="C6161">
        <v>-7.9661999999999997</v>
      </c>
      <c r="D6161">
        <v>12.6721</v>
      </c>
      <c r="E6161">
        <f>-7.9662-12.6721</f>
        <v>-20.638300000000001</v>
      </c>
      <c r="F6161" t="s">
        <v>9597</v>
      </c>
      <c r="G6161" t="s">
        <v>37</v>
      </c>
      <c r="H6161">
        <v>2006</v>
      </c>
      <c r="I6161">
        <v>27.6</v>
      </c>
      <c r="J6161">
        <v>14.2</v>
      </c>
      <c r="K6161">
        <v>62</v>
      </c>
      <c r="L6161">
        <v>21.951989999999999</v>
      </c>
      <c r="M6161">
        <v>38.756030000000003</v>
      </c>
      <c r="N6161">
        <v>15.94397</v>
      </c>
      <c r="O6161">
        <v>22.812049999999999</v>
      </c>
      <c r="P6161">
        <v>26.256029999999999</v>
      </c>
      <c r="Q6161">
        <v>25.743970000000001</v>
      </c>
      <c r="R6161">
        <v>30.8</v>
      </c>
      <c r="S6161">
        <v>25.2</v>
      </c>
      <c r="T6161">
        <v>940.31920000000002</v>
      </c>
      <c r="U6161">
        <v>290.43970000000002</v>
      </c>
      <c r="V6161">
        <v>0</v>
      </c>
      <c r="W6161">
        <v>121.4397</v>
      </c>
      <c r="X6161">
        <v>686.31920000000002</v>
      </c>
      <c r="Y6161">
        <v>1</v>
      </c>
      <c r="Z6161">
        <v>69</v>
      </c>
      <c r="AA6161">
        <v>4</v>
      </c>
      <c r="AB6161">
        <v>13.299149999999999</v>
      </c>
      <c r="AC6161">
        <v>1.102098E-2</v>
      </c>
      <c r="AD6161">
        <v>1.643856</v>
      </c>
      <c r="AE6161">
        <v>0.9407278</v>
      </c>
      <c r="AF6161">
        <v>343.17829999999998</v>
      </c>
      <c r="AG6161">
        <f>IFERROR(AH6161*0.1, "N/A")</f>
        <v>6.4505939999999997</v>
      </c>
      <c r="AH6161">
        <v>64.505939999999995</v>
      </c>
      <c r="AI6161">
        <v>186.1003</v>
      </c>
      <c r="AJ6161">
        <v>30.322579999999999</v>
      </c>
      <c r="AK6161">
        <v>49.300510000000003</v>
      </c>
    </row>
    <row r="6162" spans="1:37" x14ac:dyDescent="0.3">
      <c r="A6162">
        <v>6161</v>
      </c>
      <c r="B6162">
        <v>22.9</v>
      </c>
      <c r="C6162">
        <v>-7.95</v>
      </c>
      <c r="D6162">
        <v>12.677199999999999</v>
      </c>
      <c r="E6162">
        <f>-7.95-12.6772</f>
        <v>-20.627199999999998</v>
      </c>
      <c r="F6162" t="s">
        <v>9598</v>
      </c>
      <c r="G6162" t="s">
        <v>39</v>
      </c>
      <c r="H6162">
        <v>2006</v>
      </c>
      <c r="I6162">
        <v>27.5</v>
      </c>
      <c r="J6162">
        <v>14.2</v>
      </c>
      <c r="K6162">
        <v>62</v>
      </c>
      <c r="L6162">
        <v>22.172350000000002</v>
      </c>
      <c r="M6162">
        <v>38.700000000000003</v>
      </c>
      <c r="N6162">
        <v>15.841839999999999</v>
      </c>
      <c r="O6162">
        <v>22.858160000000002</v>
      </c>
      <c r="P6162">
        <v>26.2</v>
      </c>
      <c r="Q6162">
        <v>25.641839999999998</v>
      </c>
      <c r="R6162">
        <v>30.8</v>
      </c>
      <c r="S6162">
        <v>25.1</v>
      </c>
      <c r="T6162">
        <v>933.67349999999999</v>
      </c>
      <c r="U6162">
        <v>289.41840000000002</v>
      </c>
      <c r="V6162">
        <v>0</v>
      </c>
      <c r="W6162">
        <v>121.58159999999999</v>
      </c>
      <c r="X6162">
        <v>683.25509999999997</v>
      </c>
      <c r="Y6162">
        <v>0</v>
      </c>
      <c r="Z6162">
        <v>67</v>
      </c>
      <c r="AA6162">
        <v>3</v>
      </c>
      <c r="AB6162">
        <v>1.1430180000000001</v>
      </c>
      <c r="AC6162">
        <v>0.29921589999999998</v>
      </c>
      <c r="AD6162">
        <v>0.89896609999999999</v>
      </c>
      <c r="AE6162">
        <v>0.93734439999999997</v>
      </c>
      <c r="AF6162">
        <v>340.5</v>
      </c>
      <c r="AG6162">
        <f>IFERROR(AH6162*0.1, "N/A")</f>
        <v>6.3797620000000004</v>
      </c>
      <c r="AH6162">
        <v>63.797620000000002</v>
      </c>
      <c r="AI6162">
        <v>205.5369</v>
      </c>
      <c r="AJ6162">
        <v>28.29082</v>
      </c>
      <c r="AK6162">
        <v>50.715989999999998</v>
      </c>
    </row>
    <row r="6163" spans="1:37" x14ac:dyDescent="0.3">
      <c r="A6163">
        <v>6162</v>
      </c>
      <c r="B6163">
        <v>10.199999999999999</v>
      </c>
      <c r="C6163">
        <v>-7.95</v>
      </c>
      <c r="D6163">
        <v>12.677199999999999</v>
      </c>
      <c r="E6163">
        <f>-7.95-12.6772</f>
        <v>-20.627199999999998</v>
      </c>
      <c r="F6163" t="s">
        <v>9599</v>
      </c>
      <c r="G6163" t="s">
        <v>37</v>
      </c>
      <c r="H6163">
        <v>1990</v>
      </c>
      <c r="I6163">
        <v>27.5</v>
      </c>
      <c r="J6163">
        <v>14.2</v>
      </c>
      <c r="K6163">
        <v>62</v>
      </c>
      <c r="L6163">
        <v>22.172350000000002</v>
      </c>
      <c r="M6163">
        <v>38.700000000000003</v>
      </c>
      <c r="N6163">
        <v>15.841839999999999</v>
      </c>
      <c r="O6163">
        <v>22.858160000000002</v>
      </c>
      <c r="P6163">
        <v>26.2</v>
      </c>
      <c r="Q6163">
        <v>25.641839999999998</v>
      </c>
      <c r="R6163">
        <v>30.8</v>
      </c>
      <c r="S6163">
        <v>25.1</v>
      </c>
      <c r="T6163">
        <v>933.67349999999999</v>
      </c>
      <c r="U6163">
        <v>289.41840000000002</v>
      </c>
      <c r="V6163">
        <v>0</v>
      </c>
      <c r="W6163">
        <v>121.58159999999999</v>
      </c>
      <c r="X6163">
        <v>683.25509999999997</v>
      </c>
      <c r="Y6163">
        <v>0</v>
      </c>
      <c r="Z6163">
        <v>67</v>
      </c>
      <c r="AA6163">
        <v>3</v>
      </c>
      <c r="AB6163">
        <v>1.1430180000000001</v>
      </c>
      <c r="AC6163">
        <v>0.29921589999999998</v>
      </c>
      <c r="AD6163">
        <v>0.89896609999999999</v>
      </c>
      <c r="AE6163">
        <v>0.93734439999999997</v>
      </c>
      <c r="AF6163">
        <v>340.5</v>
      </c>
      <c r="AG6163">
        <f>IFERROR(AH6163*0.1, "N/A")</f>
        <v>6.3797620000000004</v>
      </c>
      <c r="AH6163">
        <v>63.797620000000002</v>
      </c>
      <c r="AI6163">
        <v>205.5369</v>
      </c>
      <c r="AJ6163">
        <v>28.29082</v>
      </c>
      <c r="AK6163">
        <v>50.715989999999998</v>
      </c>
    </row>
    <row r="6164" spans="1:37" x14ac:dyDescent="0.3">
      <c r="A6164">
        <v>6163</v>
      </c>
      <c r="B6164">
        <v>1.2</v>
      </c>
      <c r="C6164">
        <v>-7.7028699999999999</v>
      </c>
      <c r="D6164">
        <v>12.6774</v>
      </c>
      <c r="E6164">
        <f>-7.70287-12.6774</f>
        <v>-20.380269999999999</v>
      </c>
      <c r="F6164" t="s">
        <v>9600</v>
      </c>
      <c r="G6164" t="s">
        <v>39</v>
      </c>
      <c r="H6164">
        <v>1987</v>
      </c>
      <c r="I6164">
        <v>27.4</v>
      </c>
      <c r="J6164">
        <v>14.4</v>
      </c>
      <c r="K6164">
        <v>59</v>
      </c>
      <c r="L6164">
        <v>23.73</v>
      </c>
      <c r="M6164">
        <v>39.200000000000003</v>
      </c>
      <c r="N6164">
        <v>14.8</v>
      </c>
      <c r="O6164">
        <v>24.4</v>
      </c>
      <c r="P6164">
        <v>26.4</v>
      </c>
      <c r="Q6164">
        <v>25</v>
      </c>
      <c r="R6164">
        <v>30.8</v>
      </c>
      <c r="S6164">
        <v>24.6</v>
      </c>
      <c r="T6164">
        <v>889</v>
      </c>
      <c r="U6164">
        <v>270</v>
      </c>
      <c r="V6164">
        <v>0</v>
      </c>
      <c r="W6164">
        <v>120</v>
      </c>
      <c r="X6164">
        <v>643</v>
      </c>
      <c r="Y6164">
        <v>0</v>
      </c>
      <c r="Z6164">
        <v>70</v>
      </c>
      <c r="AA6164">
        <v>3</v>
      </c>
      <c r="AB6164">
        <v>2.2132540000000001</v>
      </c>
      <c r="AC6164">
        <v>2.9514479999999999E-2</v>
      </c>
      <c r="AD6164">
        <v>0.75004910000000002</v>
      </c>
      <c r="AE6164">
        <v>0.6946928</v>
      </c>
      <c r="AF6164">
        <v>310.3571</v>
      </c>
      <c r="AG6164">
        <f>IFERROR(AH6164*0.1, "N/A")</f>
        <v>5.538265</v>
      </c>
      <c r="AH6164">
        <v>55.382649999999998</v>
      </c>
      <c r="AI6164">
        <v>164.71109999999999</v>
      </c>
      <c r="AJ6164">
        <v>25.84864</v>
      </c>
      <c r="AK6164">
        <v>39.151359999999997</v>
      </c>
    </row>
    <row r="6165" spans="1:37" x14ac:dyDescent="0.3">
      <c r="A6165">
        <v>6164</v>
      </c>
      <c r="B6165">
        <v>0</v>
      </c>
      <c r="C6165">
        <v>-7.7028699999999999</v>
      </c>
      <c r="D6165">
        <v>12.6774</v>
      </c>
      <c r="E6165">
        <f>-7.70287-12.6774</f>
        <v>-20.380269999999999</v>
      </c>
      <c r="F6165" t="s">
        <v>9601</v>
      </c>
      <c r="G6165" t="s">
        <v>37</v>
      </c>
      <c r="H6165">
        <v>1987</v>
      </c>
      <c r="I6165">
        <v>27.4</v>
      </c>
      <c r="J6165">
        <v>14.4</v>
      </c>
      <c r="K6165">
        <v>59</v>
      </c>
      <c r="L6165">
        <v>23.73</v>
      </c>
      <c r="M6165">
        <v>39.200000000000003</v>
      </c>
      <c r="N6165">
        <v>14.8</v>
      </c>
      <c r="O6165">
        <v>24.4</v>
      </c>
      <c r="P6165">
        <v>26.4</v>
      </c>
      <c r="Q6165">
        <v>25</v>
      </c>
      <c r="R6165">
        <v>30.8</v>
      </c>
      <c r="S6165">
        <v>24.6</v>
      </c>
      <c r="T6165">
        <v>889</v>
      </c>
      <c r="U6165">
        <v>270</v>
      </c>
      <c r="V6165">
        <v>0</v>
      </c>
      <c r="W6165">
        <v>120</v>
      </c>
      <c r="X6165">
        <v>643</v>
      </c>
      <c r="Y6165">
        <v>0</v>
      </c>
      <c r="Z6165">
        <v>70</v>
      </c>
      <c r="AA6165">
        <v>3</v>
      </c>
      <c r="AB6165">
        <v>2.2132540000000001</v>
      </c>
      <c r="AC6165">
        <v>2.9514479999999999E-2</v>
      </c>
      <c r="AD6165">
        <v>0.75004910000000002</v>
      </c>
      <c r="AE6165">
        <v>0.6946928</v>
      </c>
      <c r="AF6165">
        <v>310.3571</v>
      </c>
      <c r="AG6165">
        <f>IFERROR(AH6165*0.1, "N/A")</f>
        <v>5.538265</v>
      </c>
      <c r="AH6165">
        <v>55.382649999999998</v>
      </c>
      <c r="AI6165">
        <v>164.71109999999999</v>
      </c>
      <c r="AJ6165">
        <v>25.84864</v>
      </c>
      <c r="AK6165">
        <v>39.151359999999997</v>
      </c>
    </row>
    <row r="6166" spans="1:37" x14ac:dyDescent="0.3">
      <c r="A6166">
        <v>6165</v>
      </c>
      <c r="B6166">
        <v>21.4</v>
      </c>
      <c r="C6166">
        <v>-9.2840000000000007</v>
      </c>
      <c r="D6166">
        <v>12.685</v>
      </c>
      <c r="E6166">
        <f>-9.284-12.685</f>
        <v>-21.969000000000001</v>
      </c>
      <c r="F6166" t="s">
        <v>9602</v>
      </c>
      <c r="G6166" t="s">
        <v>39</v>
      </c>
      <c r="H6166">
        <v>1987</v>
      </c>
      <c r="I6166">
        <v>27.5</v>
      </c>
      <c r="J6166">
        <v>14.4</v>
      </c>
      <c r="K6166">
        <v>60</v>
      </c>
      <c r="L6166">
        <v>23.85</v>
      </c>
      <c r="M6166">
        <v>39.4</v>
      </c>
      <c r="N6166">
        <v>15.5</v>
      </c>
      <c r="O6166">
        <v>23.9</v>
      </c>
      <c r="P6166">
        <v>26.1</v>
      </c>
      <c r="Q6166">
        <v>25.6</v>
      </c>
      <c r="R6166">
        <v>31.1</v>
      </c>
      <c r="S6166">
        <v>25.1</v>
      </c>
      <c r="T6166">
        <v>1060</v>
      </c>
      <c r="U6166">
        <v>309</v>
      </c>
      <c r="V6166">
        <v>0</v>
      </c>
      <c r="W6166">
        <v>120</v>
      </c>
      <c r="X6166">
        <v>768</v>
      </c>
      <c r="Y6166">
        <v>0</v>
      </c>
      <c r="Z6166">
        <v>70</v>
      </c>
      <c r="AA6166">
        <v>5</v>
      </c>
      <c r="AB6166">
        <v>2.9667940000000002</v>
      </c>
      <c r="AC6166">
        <v>4.9494160000000002E-2</v>
      </c>
      <c r="AD6166">
        <v>1.1079969999999999</v>
      </c>
      <c r="AE6166">
        <v>0.2033635</v>
      </c>
      <c r="AF6166">
        <v>325.47629999999998</v>
      </c>
      <c r="AG6166">
        <f>IFERROR(AH6166*0.1, "N/A")</f>
        <v>5.8000000000000007</v>
      </c>
      <c r="AH6166">
        <v>58</v>
      </c>
      <c r="AI6166">
        <v>188.75630000000001</v>
      </c>
      <c r="AJ6166">
        <v>22</v>
      </c>
      <c r="AK6166">
        <v>45.00508</v>
      </c>
    </row>
    <row r="6167" spans="1:37" x14ac:dyDescent="0.3">
      <c r="A6167">
        <v>6166</v>
      </c>
      <c r="B6167">
        <v>7.9</v>
      </c>
      <c r="C6167">
        <v>-9.2840000000000007</v>
      </c>
      <c r="D6167">
        <v>12.685</v>
      </c>
      <c r="E6167">
        <f>-9.284-12.685</f>
        <v>-21.969000000000001</v>
      </c>
      <c r="F6167" t="s">
        <v>9603</v>
      </c>
      <c r="G6167" t="s">
        <v>37</v>
      </c>
      <c r="H6167">
        <v>1987</v>
      </c>
      <c r="I6167">
        <v>27.5</v>
      </c>
      <c r="J6167">
        <v>14.4</v>
      </c>
      <c r="K6167">
        <v>60</v>
      </c>
      <c r="L6167">
        <v>23.85</v>
      </c>
      <c r="M6167">
        <v>39.4</v>
      </c>
      <c r="N6167">
        <v>15.5</v>
      </c>
      <c r="O6167">
        <v>23.9</v>
      </c>
      <c r="P6167">
        <v>26.1</v>
      </c>
      <c r="Q6167">
        <v>25.6</v>
      </c>
      <c r="R6167">
        <v>31.1</v>
      </c>
      <c r="S6167">
        <v>25.1</v>
      </c>
      <c r="T6167">
        <v>1060</v>
      </c>
      <c r="U6167">
        <v>309</v>
      </c>
      <c r="V6167">
        <v>0</v>
      </c>
      <c r="W6167">
        <v>120</v>
      </c>
      <c r="X6167">
        <v>768</v>
      </c>
      <c r="Y6167">
        <v>0</v>
      </c>
      <c r="Z6167">
        <v>70</v>
      </c>
      <c r="AA6167">
        <v>5</v>
      </c>
      <c r="AB6167">
        <v>2.9667940000000002</v>
      </c>
      <c r="AC6167">
        <v>4.9494160000000002E-2</v>
      </c>
      <c r="AD6167">
        <v>1.1079969999999999</v>
      </c>
      <c r="AE6167">
        <v>0.2033635</v>
      </c>
      <c r="AF6167">
        <v>325.47629999999998</v>
      </c>
      <c r="AG6167">
        <f>IFERROR(AH6167*0.1, "N/A")</f>
        <v>5.8000000000000007</v>
      </c>
      <c r="AH6167">
        <v>58</v>
      </c>
      <c r="AI6167">
        <v>188.75630000000001</v>
      </c>
      <c r="AJ6167">
        <v>22</v>
      </c>
      <c r="AK6167">
        <v>45.00508</v>
      </c>
    </row>
    <row r="6168" spans="1:37" x14ac:dyDescent="0.3">
      <c r="A6168">
        <v>6167</v>
      </c>
      <c r="B6168">
        <v>30.2</v>
      </c>
      <c r="C6168">
        <v>-7.6928200000000002</v>
      </c>
      <c r="D6168">
        <v>12.688599999999999</v>
      </c>
      <c r="E6168">
        <f>-7.69282-12.6886</f>
        <v>-20.381419999999999</v>
      </c>
      <c r="F6168" t="s">
        <v>9604</v>
      </c>
      <c r="G6168" t="s">
        <v>39</v>
      </c>
      <c r="H6168">
        <v>1990</v>
      </c>
      <c r="I6168">
        <v>27.4</v>
      </c>
      <c r="J6168">
        <v>14.4</v>
      </c>
      <c r="K6168">
        <v>58</v>
      </c>
      <c r="L6168">
        <v>24.37</v>
      </c>
      <c r="M6168">
        <v>39.200000000000003</v>
      </c>
      <c r="N6168">
        <v>14.6</v>
      </c>
      <c r="O6168">
        <v>24.6</v>
      </c>
      <c r="P6168">
        <v>26.4</v>
      </c>
      <c r="Q6168">
        <v>24.8</v>
      </c>
      <c r="R6168">
        <v>30.8</v>
      </c>
      <c r="S6168">
        <v>24.5</v>
      </c>
      <c r="T6168">
        <v>887</v>
      </c>
      <c r="U6168">
        <v>270</v>
      </c>
      <c r="V6168">
        <v>0</v>
      </c>
      <c r="W6168">
        <v>122</v>
      </c>
      <c r="X6168">
        <v>643</v>
      </c>
      <c r="Y6168">
        <v>0</v>
      </c>
      <c r="Z6168">
        <v>68</v>
      </c>
      <c r="AA6168">
        <v>3</v>
      </c>
      <c r="AB6168">
        <v>4.8618680000000003</v>
      </c>
      <c r="AC6168">
        <v>0.1014331</v>
      </c>
      <c r="AD6168">
        <v>1.3593759999999999</v>
      </c>
      <c r="AE6168">
        <v>0.68453790000000003</v>
      </c>
      <c r="AF6168">
        <v>315.61360000000002</v>
      </c>
      <c r="AG6168">
        <f>IFERROR(AH6168*0.1, "N/A")</f>
        <v>5.6857630000000006</v>
      </c>
      <c r="AH6168">
        <v>56.85763</v>
      </c>
      <c r="AI6168">
        <v>205.60900000000001</v>
      </c>
      <c r="AJ6168">
        <v>17.713560000000001</v>
      </c>
      <c r="AK6168">
        <v>48.572879999999998</v>
      </c>
    </row>
    <row r="6169" spans="1:37" x14ac:dyDescent="0.3">
      <c r="A6169">
        <v>6168</v>
      </c>
      <c r="B6169">
        <v>14.7</v>
      </c>
      <c r="C6169">
        <v>-7.6928200000000002</v>
      </c>
      <c r="D6169">
        <v>12.688599999999999</v>
      </c>
      <c r="E6169">
        <f>-7.69282-12.6886</f>
        <v>-20.381419999999999</v>
      </c>
      <c r="F6169" t="s">
        <v>9605</v>
      </c>
      <c r="G6169" t="s">
        <v>37</v>
      </c>
      <c r="H6169">
        <v>1990</v>
      </c>
      <c r="I6169">
        <v>27.4</v>
      </c>
      <c r="J6169">
        <v>14.4</v>
      </c>
      <c r="K6169">
        <v>58</v>
      </c>
      <c r="L6169">
        <v>24.37</v>
      </c>
      <c r="M6169">
        <v>39.200000000000003</v>
      </c>
      <c r="N6169">
        <v>14.6</v>
      </c>
      <c r="O6169">
        <v>24.6</v>
      </c>
      <c r="P6169">
        <v>26.4</v>
      </c>
      <c r="Q6169">
        <v>24.8</v>
      </c>
      <c r="R6169">
        <v>30.8</v>
      </c>
      <c r="S6169">
        <v>24.5</v>
      </c>
      <c r="T6169">
        <v>887</v>
      </c>
      <c r="U6169">
        <v>270</v>
      </c>
      <c r="V6169">
        <v>0</v>
      </c>
      <c r="W6169">
        <v>122</v>
      </c>
      <c r="X6169">
        <v>643</v>
      </c>
      <c r="Y6169">
        <v>0</v>
      </c>
      <c r="Z6169">
        <v>68</v>
      </c>
      <c r="AA6169">
        <v>3</v>
      </c>
      <c r="AB6169">
        <v>4.8618680000000003</v>
      </c>
      <c r="AC6169">
        <v>0.1014331</v>
      </c>
      <c r="AD6169">
        <v>1.3593759999999999</v>
      </c>
      <c r="AE6169">
        <v>0.68453790000000003</v>
      </c>
      <c r="AF6169">
        <v>315.61360000000002</v>
      </c>
      <c r="AG6169">
        <f>IFERROR(AH6169*0.1, "N/A")</f>
        <v>5.6857630000000006</v>
      </c>
      <c r="AH6169">
        <v>56.85763</v>
      </c>
      <c r="AI6169">
        <v>205.60900000000001</v>
      </c>
      <c r="AJ6169">
        <v>17.713560000000001</v>
      </c>
      <c r="AK6169">
        <v>48.572879999999998</v>
      </c>
    </row>
    <row r="6170" spans="1:37" x14ac:dyDescent="0.3">
      <c r="A6170">
        <v>6169</v>
      </c>
      <c r="B6170">
        <v>28.6</v>
      </c>
      <c r="C6170">
        <v>-7.9472500000000004</v>
      </c>
      <c r="D6170">
        <v>12.6919</v>
      </c>
      <c r="E6170">
        <f>-7.94725-12.6919</f>
        <v>-20.639150000000001</v>
      </c>
      <c r="F6170" t="s">
        <v>9606</v>
      </c>
      <c r="G6170" t="s">
        <v>39</v>
      </c>
      <c r="H6170">
        <v>2006</v>
      </c>
      <c r="I6170">
        <v>27.41019</v>
      </c>
      <c r="J6170">
        <v>14.289809999999999</v>
      </c>
      <c r="K6170">
        <v>62</v>
      </c>
      <c r="L6170">
        <v>21.60463</v>
      </c>
      <c r="M6170">
        <v>38.6</v>
      </c>
      <c r="N6170">
        <v>15.8</v>
      </c>
      <c r="O6170">
        <v>22.8</v>
      </c>
      <c r="P6170">
        <v>26</v>
      </c>
      <c r="Q6170">
        <v>25.610189999999999</v>
      </c>
      <c r="R6170">
        <v>30.610189999999999</v>
      </c>
      <c r="S6170">
        <v>25.2</v>
      </c>
      <c r="T6170">
        <v>934.8981</v>
      </c>
      <c r="U6170">
        <v>290.8981</v>
      </c>
      <c r="V6170">
        <v>0</v>
      </c>
      <c r="W6170">
        <v>123</v>
      </c>
      <c r="X6170">
        <v>686.79629999999997</v>
      </c>
      <c r="Y6170">
        <v>0</v>
      </c>
      <c r="Z6170">
        <v>66.101870000000005</v>
      </c>
      <c r="AA6170">
        <v>3</v>
      </c>
      <c r="AB6170">
        <v>4.1653779999999996</v>
      </c>
      <c r="AC6170">
        <v>3.4802640000000003E-2</v>
      </c>
      <c r="AD6170">
        <v>1.7324930000000001</v>
      </c>
      <c r="AE6170">
        <v>0.92141790000000001</v>
      </c>
      <c r="AF6170">
        <v>352.9898</v>
      </c>
      <c r="AG6170">
        <f>IFERROR(AH6170*0.1, "N/A")</f>
        <v>6.5</v>
      </c>
      <c r="AH6170">
        <v>65</v>
      </c>
      <c r="AI6170">
        <v>233.3715</v>
      </c>
      <c r="AJ6170">
        <v>26</v>
      </c>
      <c r="AK6170">
        <v>53</v>
      </c>
    </row>
    <row r="6171" spans="1:37" x14ac:dyDescent="0.3">
      <c r="A6171">
        <v>6170</v>
      </c>
      <c r="B6171">
        <v>0</v>
      </c>
      <c r="C6171">
        <v>-7.9472500000000004</v>
      </c>
      <c r="D6171">
        <v>12.6919</v>
      </c>
      <c r="E6171">
        <f>-7.94725-12.6919</f>
        <v>-20.639150000000001</v>
      </c>
      <c r="F6171" t="s">
        <v>9607</v>
      </c>
      <c r="G6171" t="s">
        <v>37</v>
      </c>
      <c r="H6171">
        <v>2006</v>
      </c>
      <c r="I6171">
        <v>27.41019</v>
      </c>
      <c r="J6171">
        <v>14.289809999999999</v>
      </c>
      <c r="K6171">
        <v>62</v>
      </c>
      <c r="L6171">
        <v>21.60463</v>
      </c>
      <c r="M6171">
        <v>38.6</v>
      </c>
      <c r="N6171">
        <v>15.8</v>
      </c>
      <c r="O6171">
        <v>22.8</v>
      </c>
      <c r="P6171">
        <v>26</v>
      </c>
      <c r="Q6171">
        <v>25.610189999999999</v>
      </c>
      <c r="R6171">
        <v>30.610189999999999</v>
      </c>
      <c r="S6171">
        <v>25.2</v>
      </c>
      <c r="T6171">
        <v>934.8981</v>
      </c>
      <c r="U6171">
        <v>290.8981</v>
      </c>
      <c r="V6171">
        <v>0</v>
      </c>
      <c r="W6171">
        <v>123</v>
      </c>
      <c r="X6171">
        <v>686.79629999999997</v>
      </c>
      <c r="Y6171">
        <v>0</v>
      </c>
      <c r="Z6171">
        <v>66.101870000000005</v>
      </c>
      <c r="AA6171">
        <v>3</v>
      </c>
      <c r="AB6171">
        <v>4.1653779999999996</v>
      </c>
      <c r="AC6171">
        <v>3.4802640000000003E-2</v>
      </c>
      <c r="AD6171">
        <v>1.7324930000000001</v>
      </c>
      <c r="AE6171">
        <v>0.92141790000000001</v>
      </c>
      <c r="AF6171">
        <v>352.9898</v>
      </c>
      <c r="AG6171">
        <f>IFERROR(AH6171*0.1, "N/A")</f>
        <v>6.5</v>
      </c>
      <c r="AH6171">
        <v>65</v>
      </c>
      <c r="AI6171">
        <v>233.3715</v>
      </c>
      <c r="AJ6171">
        <v>26</v>
      </c>
      <c r="AK6171">
        <v>53</v>
      </c>
    </row>
    <row r="6172" spans="1:37" x14ac:dyDescent="0.3">
      <c r="A6172">
        <v>6171</v>
      </c>
      <c r="B6172">
        <v>6</v>
      </c>
      <c r="C6172">
        <v>-7.7311699999999997</v>
      </c>
      <c r="D6172">
        <v>12.697100000000001</v>
      </c>
      <c r="E6172">
        <f>-7.73117-12.6971</f>
        <v>-20.428270000000001</v>
      </c>
      <c r="F6172" t="s">
        <v>9608</v>
      </c>
      <c r="G6172" t="s">
        <v>39</v>
      </c>
      <c r="H6172">
        <v>1990</v>
      </c>
      <c r="I6172">
        <v>27.4</v>
      </c>
      <c r="J6172">
        <v>14.4</v>
      </c>
      <c r="K6172">
        <v>59</v>
      </c>
      <c r="L6172">
        <v>23.64</v>
      </c>
      <c r="M6172">
        <v>39.1</v>
      </c>
      <c r="N6172">
        <v>14.8</v>
      </c>
      <c r="O6172">
        <v>24.3</v>
      </c>
      <c r="P6172">
        <v>26.4</v>
      </c>
      <c r="Q6172">
        <v>24.9</v>
      </c>
      <c r="R6172">
        <v>30.7</v>
      </c>
      <c r="S6172">
        <v>24.6</v>
      </c>
      <c r="T6172">
        <v>891</v>
      </c>
      <c r="U6172">
        <v>271</v>
      </c>
      <c r="V6172">
        <v>0</v>
      </c>
      <c r="W6172">
        <v>121</v>
      </c>
      <c r="X6172">
        <v>646</v>
      </c>
      <c r="Y6172">
        <v>0</v>
      </c>
      <c r="Z6172">
        <v>68</v>
      </c>
      <c r="AA6172">
        <v>3</v>
      </c>
      <c r="AB6172">
        <v>7.6690969999999998</v>
      </c>
      <c r="AC6172">
        <v>1.8137319999999998E-2</v>
      </c>
      <c r="AD6172">
        <v>1.7244550000000001</v>
      </c>
      <c r="AE6172">
        <v>0.57751390000000002</v>
      </c>
      <c r="AF6172">
        <v>308.95440000000002</v>
      </c>
      <c r="AG6172">
        <f>IFERROR(AH6172*0.1, "N/A")</f>
        <v>5.7633450000000011</v>
      </c>
      <c r="AH6172">
        <v>57.633450000000003</v>
      </c>
      <c r="AI6172">
        <v>157.92230000000001</v>
      </c>
      <c r="AJ6172">
        <v>23.83108</v>
      </c>
      <c r="AK6172">
        <v>45.68412</v>
      </c>
    </row>
    <row r="6173" spans="1:37" x14ac:dyDescent="0.3">
      <c r="A6173">
        <v>6172</v>
      </c>
      <c r="B6173">
        <v>2.9</v>
      </c>
      <c r="C6173">
        <v>-7.7311699999999997</v>
      </c>
      <c r="D6173">
        <v>12.697100000000001</v>
      </c>
      <c r="E6173">
        <f>-7.73117-12.6971</f>
        <v>-20.428270000000001</v>
      </c>
      <c r="F6173" t="s">
        <v>9609</v>
      </c>
      <c r="G6173" t="s">
        <v>37</v>
      </c>
      <c r="H6173">
        <v>1990</v>
      </c>
      <c r="I6173">
        <v>27.4</v>
      </c>
      <c r="J6173">
        <v>14.4</v>
      </c>
      <c r="K6173">
        <v>59</v>
      </c>
      <c r="L6173">
        <v>23.64</v>
      </c>
      <c r="M6173">
        <v>39.1</v>
      </c>
      <c r="N6173">
        <v>14.8</v>
      </c>
      <c r="O6173">
        <v>24.3</v>
      </c>
      <c r="P6173">
        <v>26.4</v>
      </c>
      <c r="Q6173">
        <v>24.9</v>
      </c>
      <c r="R6173">
        <v>30.7</v>
      </c>
      <c r="S6173">
        <v>24.6</v>
      </c>
      <c r="T6173">
        <v>891</v>
      </c>
      <c r="U6173">
        <v>271</v>
      </c>
      <c r="V6173">
        <v>0</v>
      </c>
      <c r="W6173">
        <v>121</v>
      </c>
      <c r="X6173">
        <v>646</v>
      </c>
      <c r="Y6173">
        <v>0</v>
      </c>
      <c r="Z6173">
        <v>68</v>
      </c>
      <c r="AA6173">
        <v>3</v>
      </c>
      <c r="AB6173">
        <v>7.6690969999999998</v>
      </c>
      <c r="AC6173">
        <v>1.8137319999999998E-2</v>
      </c>
      <c r="AD6173">
        <v>1.7244550000000001</v>
      </c>
      <c r="AE6173">
        <v>0.57751390000000002</v>
      </c>
      <c r="AF6173">
        <v>308.95440000000002</v>
      </c>
      <c r="AG6173">
        <f>IFERROR(AH6173*0.1, "N/A")</f>
        <v>5.7633450000000011</v>
      </c>
      <c r="AH6173">
        <v>57.633450000000003</v>
      </c>
      <c r="AI6173">
        <v>157.92230000000001</v>
      </c>
      <c r="AJ6173">
        <v>23.83108</v>
      </c>
      <c r="AK6173">
        <v>45.68412</v>
      </c>
    </row>
    <row r="6174" spans="1:37" x14ac:dyDescent="0.3">
      <c r="A6174">
        <v>6173</v>
      </c>
      <c r="B6174">
        <v>44.1</v>
      </c>
      <c r="C6174">
        <v>-7.9646299999999997</v>
      </c>
      <c r="D6174">
        <v>12.7035</v>
      </c>
      <c r="E6174">
        <f>-7.96463-12.7035</f>
        <v>-20.668129999999998</v>
      </c>
      <c r="F6174" t="s">
        <v>9610</v>
      </c>
      <c r="G6174" t="s">
        <v>39</v>
      </c>
      <c r="H6174">
        <v>2004</v>
      </c>
      <c r="I6174">
        <v>27.5</v>
      </c>
      <c r="J6174">
        <v>14.3</v>
      </c>
      <c r="K6174">
        <v>62</v>
      </c>
      <c r="L6174">
        <v>20.6</v>
      </c>
      <c r="M6174">
        <v>38.799999999999997</v>
      </c>
      <c r="N6174">
        <v>16</v>
      </c>
      <c r="O6174">
        <v>22.8</v>
      </c>
      <c r="P6174">
        <v>25.8</v>
      </c>
      <c r="Q6174">
        <v>25.9</v>
      </c>
      <c r="R6174">
        <v>30.5</v>
      </c>
      <c r="S6174">
        <v>25.5</v>
      </c>
      <c r="T6174">
        <v>938</v>
      </c>
      <c r="U6174">
        <v>293</v>
      </c>
      <c r="V6174">
        <v>0</v>
      </c>
      <c r="W6174">
        <v>123</v>
      </c>
      <c r="X6174">
        <v>694</v>
      </c>
      <c r="Y6174">
        <v>0</v>
      </c>
      <c r="Z6174">
        <v>64</v>
      </c>
      <c r="AA6174">
        <v>3</v>
      </c>
      <c r="AB6174">
        <v>8.5484770000000001</v>
      </c>
      <c r="AC6174">
        <v>1.298062E-2</v>
      </c>
      <c r="AD6174">
        <v>6.1308449999999999</v>
      </c>
      <c r="AE6174">
        <v>0.86683449999999995</v>
      </c>
      <c r="AF6174">
        <v>369.78469999999999</v>
      </c>
      <c r="AG6174">
        <f>IFERROR(AH6174*0.1, "N/A")</f>
        <v>6.5813559999999995</v>
      </c>
      <c r="AH6174">
        <v>65.813559999999995</v>
      </c>
      <c r="AI6174">
        <v>275.6508</v>
      </c>
      <c r="AJ6174">
        <v>26.183050000000001</v>
      </c>
      <c r="AK6174">
        <v>51.813560000000003</v>
      </c>
    </row>
    <row r="6175" spans="1:37" x14ac:dyDescent="0.3">
      <c r="A6175">
        <v>6174</v>
      </c>
      <c r="B6175">
        <v>58.1</v>
      </c>
      <c r="C6175">
        <v>-8.2850000000000001</v>
      </c>
      <c r="D6175">
        <v>12.717000000000001</v>
      </c>
      <c r="E6175">
        <f>-8.285-12.717</f>
        <v>-21.002000000000002</v>
      </c>
      <c r="F6175" t="s">
        <v>9611</v>
      </c>
      <c r="G6175" t="s">
        <v>39</v>
      </c>
      <c r="H6175">
        <v>1987</v>
      </c>
      <c r="I6175">
        <v>27.186779999999999</v>
      </c>
      <c r="J6175">
        <v>14.7</v>
      </c>
      <c r="K6175">
        <v>62</v>
      </c>
      <c r="L6175">
        <v>21.277760000000001</v>
      </c>
      <c r="M6175">
        <v>38.5</v>
      </c>
      <c r="N6175">
        <v>14.8</v>
      </c>
      <c r="O6175">
        <v>23.7</v>
      </c>
      <c r="P6175">
        <v>25.78678</v>
      </c>
      <c r="Q6175">
        <v>25.2</v>
      </c>
      <c r="R6175">
        <v>30.2</v>
      </c>
      <c r="S6175">
        <v>24.913219999999999</v>
      </c>
      <c r="T6175">
        <v>1000.8680000000001</v>
      </c>
      <c r="U6175">
        <v>309.86779999999999</v>
      </c>
      <c r="V6175">
        <v>0</v>
      </c>
      <c r="W6175">
        <v>125</v>
      </c>
      <c r="X6175">
        <v>750.73559999999998</v>
      </c>
      <c r="Y6175">
        <v>0</v>
      </c>
      <c r="Z6175">
        <v>58.132199999999997</v>
      </c>
      <c r="AA6175">
        <v>6</v>
      </c>
      <c r="AB6175">
        <v>0.86609650000000005</v>
      </c>
      <c r="AC6175">
        <v>0.64291039999999999</v>
      </c>
      <c r="AD6175">
        <v>0.82117209999999996</v>
      </c>
      <c r="AE6175">
        <v>0.67013420000000001</v>
      </c>
      <c r="AF6175">
        <v>438.3254</v>
      </c>
      <c r="AG6175">
        <f>IFERROR(AH6175*0.1, "N/A")</f>
        <v>5.876271</v>
      </c>
      <c r="AH6175">
        <v>58.762709999999998</v>
      </c>
      <c r="AI6175">
        <v>165.66470000000001</v>
      </c>
      <c r="AJ6175">
        <v>15.647460000000001</v>
      </c>
      <c r="AK6175">
        <v>53.352539999999998</v>
      </c>
    </row>
    <row r="6176" spans="1:37" x14ac:dyDescent="0.3">
      <c r="A6176">
        <v>6175</v>
      </c>
      <c r="B6176">
        <v>1.5</v>
      </c>
      <c r="C6176">
        <v>-4.3094000000000001</v>
      </c>
      <c r="D6176">
        <v>12.7262</v>
      </c>
      <c r="E6176">
        <f>-4.3094-12.7262</f>
        <v>-17.035600000000002</v>
      </c>
      <c r="F6176" t="s">
        <v>9612</v>
      </c>
      <c r="G6176" t="s">
        <v>39</v>
      </c>
      <c r="H6176">
        <v>1990</v>
      </c>
      <c r="I6176">
        <v>27</v>
      </c>
      <c r="J6176">
        <v>13.7</v>
      </c>
      <c r="K6176">
        <v>58</v>
      </c>
      <c r="L6176">
        <v>24.48</v>
      </c>
      <c r="M6176">
        <v>37.799999999999997</v>
      </c>
      <c r="N6176">
        <v>14.3</v>
      </c>
      <c r="O6176">
        <v>23.5</v>
      </c>
      <c r="P6176">
        <v>26.2</v>
      </c>
      <c r="Q6176">
        <v>24</v>
      </c>
      <c r="R6176">
        <v>30.2</v>
      </c>
      <c r="S6176">
        <v>24</v>
      </c>
      <c r="T6176">
        <v>799</v>
      </c>
      <c r="U6176">
        <v>227</v>
      </c>
      <c r="V6176">
        <v>0</v>
      </c>
      <c r="W6176">
        <v>117</v>
      </c>
      <c r="X6176">
        <v>565</v>
      </c>
      <c r="Y6176">
        <v>3</v>
      </c>
      <c r="Z6176">
        <v>185</v>
      </c>
      <c r="AA6176">
        <v>3</v>
      </c>
      <c r="AB6176">
        <v>7.9952719999999999</v>
      </c>
      <c r="AC6176">
        <v>1.8177570000000001E-2</v>
      </c>
      <c r="AD6176">
        <v>0.85615229999999998</v>
      </c>
      <c r="AE6176">
        <v>0.66249780000000003</v>
      </c>
      <c r="AF6176">
        <v>397.95100000000002</v>
      </c>
      <c r="AG6176">
        <f>IFERROR(AH6176*0.1, "N/A")</f>
        <v>6.5655410000000005</v>
      </c>
      <c r="AH6176">
        <v>65.655410000000003</v>
      </c>
      <c r="AI6176">
        <v>125.94459999999999</v>
      </c>
      <c r="AJ6176">
        <v>13.97804</v>
      </c>
      <c r="AK6176">
        <v>66.677359999999993</v>
      </c>
    </row>
    <row r="6177" spans="1:37" x14ac:dyDescent="0.3">
      <c r="A6177">
        <v>6176</v>
      </c>
      <c r="B6177">
        <v>6.1</v>
      </c>
      <c r="C6177">
        <v>-4.3094000000000001</v>
      </c>
      <c r="D6177">
        <v>12.7262</v>
      </c>
      <c r="E6177">
        <f>-4.3094-12.7262</f>
        <v>-17.035600000000002</v>
      </c>
      <c r="F6177" t="s">
        <v>9613</v>
      </c>
      <c r="G6177" t="s">
        <v>37</v>
      </c>
      <c r="H6177">
        <v>1990</v>
      </c>
      <c r="I6177">
        <v>27</v>
      </c>
      <c r="J6177">
        <v>13.7</v>
      </c>
      <c r="K6177">
        <v>58</v>
      </c>
      <c r="L6177">
        <v>24.48</v>
      </c>
      <c r="M6177">
        <v>37.799999999999997</v>
      </c>
      <c r="N6177">
        <v>14.3</v>
      </c>
      <c r="O6177">
        <v>23.5</v>
      </c>
      <c r="P6177">
        <v>26.2</v>
      </c>
      <c r="Q6177">
        <v>24</v>
      </c>
      <c r="R6177">
        <v>30.2</v>
      </c>
      <c r="S6177">
        <v>24</v>
      </c>
      <c r="T6177">
        <v>799</v>
      </c>
      <c r="U6177">
        <v>227</v>
      </c>
      <c r="V6177">
        <v>0</v>
      </c>
      <c r="W6177">
        <v>117</v>
      </c>
      <c r="X6177">
        <v>565</v>
      </c>
      <c r="Y6177">
        <v>3</v>
      </c>
      <c r="Z6177">
        <v>185</v>
      </c>
      <c r="AA6177">
        <v>3</v>
      </c>
      <c r="AB6177">
        <v>7.9952719999999999</v>
      </c>
      <c r="AC6177">
        <v>1.8177570000000001E-2</v>
      </c>
      <c r="AD6177">
        <v>0.85615229999999998</v>
      </c>
      <c r="AE6177">
        <v>0.66249780000000003</v>
      </c>
      <c r="AF6177">
        <v>397.95100000000002</v>
      </c>
      <c r="AG6177">
        <f>IFERROR(AH6177*0.1, "N/A")</f>
        <v>6.5655410000000005</v>
      </c>
      <c r="AH6177">
        <v>65.655410000000003</v>
      </c>
      <c r="AI6177">
        <v>125.94459999999999</v>
      </c>
      <c r="AJ6177">
        <v>13.97804</v>
      </c>
      <c r="AK6177">
        <v>66.677359999999993</v>
      </c>
    </row>
    <row r="6178" spans="1:37" x14ac:dyDescent="0.3">
      <c r="A6178">
        <v>6177</v>
      </c>
      <c r="B6178">
        <v>40.200000000000003</v>
      </c>
      <c r="C6178">
        <v>-8.3666999999999998</v>
      </c>
      <c r="D6178">
        <v>12.75</v>
      </c>
      <c r="E6178">
        <f>-8.3667-12.75</f>
        <v>-21.116700000000002</v>
      </c>
      <c r="F6178" t="s">
        <v>9614</v>
      </c>
      <c r="G6178" t="s">
        <v>39</v>
      </c>
      <c r="H6178">
        <v>1987</v>
      </c>
      <c r="I6178">
        <v>27.1</v>
      </c>
      <c r="J6178">
        <v>14.8</v>
      </c>
      <c r="K6178">
        <v>61</v>
      </c>
      <c r="L6178">
        <v>22.246469999999999</v>
      </c>
      <c r="M6178">
        <v>38.46875</v>
      </c>
      <c r="N6178">
        <v>14.4</v>
      </c>
      <c r="O6178">
        <v>24.068750000000001</v>
      </c>
      <c r="P6178">
        <v>25.853210000000001</v>
      </c>
      <c r="Q6178">
        <v>25</v>
      </c>
      <c r="R6178">
        <v>30.3</v>
      </c>
      <c r="S6178">
        <v>24.7</v>
      </c>
      <c r="T6178">
        <v>1005.093</v>
      </c>
      <c r="U6178">
        <v>312.78039999999999</v>
      </c>
      <c r="V6178">
        <v>0</v>
      </c>
      <c r="W6178">
        <v>126.7804</v>
      </c>
      <c r="X6178">
        <v>758.09289999999999</v>
      </c>
      <c r="Y6178">
        <v>0</v>
      </c>
      <c r="Z6178">
        <v>53</v>
      </c>
      <c r="AA6178">
        <v>7</v>
      </c>
      <c r="AB6178">
        <v>4.0111509999999999</v>
      </c>
      <c r="AC6178">
        <v>2.5277259999999999E-2</v>
      </c>
      <c r="AD6178">
        <v>1.468693</v>
      </c>
      <c r="AE6178">
        <v>0.54001180000000004</v>
      </c>
      <c r="AF6178">
        <v>419.67399999999998</v>
      </c>
      <c r="AG6178">
        <f>IFERROR(AH6178*0.1, "N/A")</f>
        <v>5.8000000000000007</v>
      </c>
      <c r="AH6178">
        <v>58</v>
      </c>
      <c r="AI6178">
        <v>258.73809999999997</v>
      </c>
      <c r="AJ6178">
        <v>19</v>
      </c>
      <c r="AK6178">
        <v>53</v>
      </c>
    </row>
    <row r="6179" spans="1:37" x14ac:dyDescent="0.3">
      <c r="A6179">
        <v>6178</v>
      </c>
      <c r="B6179">
        <v>8</v>
      </c>
      <c r="C6179">
        <v>-11.202</v>
      </c>
      <c r="D6179">
        <v>12.766999999999999</v>
      </c>
      <c r="E6179">
        <f>-11.202-12.767</f>
        <v>-23.969000000000001</v>
      </c>
      <c r="F6179" t="s">
        <v>9615</v>
      </c>
      <c r="G6179" t="s">
        <v>39</v>
      </c>
      <c r="H6179">
        <v>1987</v>
      </c>
      <c r="I6179">
        <v>28.2</v>
      </c>
      <c r="J6179">
        <v>12.9</v>
      </c>
      <c r="K6179">
        <v>55</v>
      </c>
      <c r="L6179">
        <v>23.36224</v>
      </c>
      <c r="M6179">
        <v>39.5</v>
      </c>
      <c r="N6179">
        <v>16.3</v>
      </c>
      <c r="O6179">
        <v>23.2</v>
      </c>
      <c r="P6179">
        <v>26.6</v>
      </c>
      <c r="Q6179">
        <v>28.5</v>
      </c>
      <c r="R6179">
        <v>31.736730000000001</v>
      </c>
      <c r="S6179">
        <v>25.9</v>
      </c>
      <c r="T6179">
        <v>1151.7349999999999</v>
      </c>
      <c r="U6179">
        <v>330</v>
      </c>
      <c r="V6179">
        <v>0</v>
      </c>
      <c r="W6179">
        <v>121.2653</v>
      </c>
      <c r="X6179">
        <v>837.3673</v>
      </c>
      <c r="Y6179">
        <v>0</v>
      </c>
      <c r="Z6179">
        <v>58</v>
      </c>
      <c r="AA6179">
        <v>5</v>
      </c>
      <c r="AB6179">
        <v>2.0710899999999999</v>
      </c>
      <c r="AC6179">
        <v>1.6634549999999999</v>
      </c>
      <c r="AD6179">
        <v>1.8954420000000001</v>
      </c>
      <c r="AE6179">
        <v>0.2130861</v>
      </c>
      <c r="AF6179">
        <v>152.119</v>
      </c>
      <c r="AG6179">
        <f>IFERROR(AH6179*0.1, "N/A")</f>
        <v>6.2023809999999999</v>
      </c>
      <c r="AH6179">
        <v>62.023809999999997</v>
      </c>
      <c r="AI6179">
        <v>156.0033</v>
      </c>
      <c r="AJ6179">
        <v>23.006799999999998</v>
      </c>
      <c r="AK6179">
        <v>52.474490000000003</v>
      </c>
    </row>
    <row r="6180" spans="1:37" x14ac:dyDescent="0.3">
      <c r="A6180">
        <v>6179</v>
      </c>
      <c r="B6180">
        <v>4</v>
      </c>
      <c r="C6180">
        <v>-11.202</v>
      </c>
      <c r="D6180">
        <v>12.766999999999999</v>
      </c>
      <c r="E6180">
        <f>-11.202-12.767</f>
        <v>-23.969000000000001</v>
      </c>
      <c r="F6180" t="s">
        <v>9616</v>
      </c>
      <c r="G6180" t="s">
        <v>37</v>
      </c>
      <c r="H6180">
        <v>1987</v>
      </c>
      <c r="I6180">
        <v>28.2</v>
      </c>
      <c r="J6180">
        <v>12.9</v>
      </c>
      <c r="K6180">
        <v>55</v>
      </c>
      <c r="L6180">
        <v>23.36224</v>
      </c>
      <c r="M6180">
        <v>39.5</v>
      </c>
      <c r="N6180">
        <v>16.3</v>
      </c>
      <c r="O6180">
        <v>23.2</v>
      </c>
      <c r="P6180">
        <v>26.6</v>
      </c>
      <c r="Q6180">
        <v>28.5</v>
      </c>
      <c r="R6180">
        <v>31.736730000000001</v>
      </c>
      <c r="S6180">
        <v>25.9</v>
      </c>
      <c r="T6180">
        <v>1151.7349999999999</v>
      </c>
      <c r="U6180">
        <v>330</v>
      </c>
      <c r="V6180">
        <v>0</v>
      </c>
      <c r="W6180">
        <v>121.2653</v>
      </c>
      <c r="X6180">
        <v>837.3673</v>
      </c>
      <c r="Y6180">
        <v>0</v>
      </c>
      <c r="Z6180">
        <v>58</v>
      </c>
      <c r="AA6180">
        <v>5</v>
      </c>
      <c r="AB6180">
        <v>2.0710899999999999</v>
      </c>
      <c r="AC6180">
        <v>1.6634549999999999</v>
      </c>
      <c r="AD6180">
        <v>1.8954420000000001</v>
      </c>
      <c r="AE6180">
        <v>0.2130861</v>
      </c>
      <c r="AF6180">
        <v>152.119</v>
      </c>
      <c r="AG6180">
        <f>IFERROR(AH6180*0.1, "N/A")</f>
        <v>6.2023809999999999</v>
      </c>
      <c r="AH6180">
        <v>62.023809999999997</v>
      </c>
      <c r="AI6180">
        <v>156.0033</v>
      </c>
      <c r="AJ6180">
        <v>23.006799999999998</v>
      </c>
      <c r="AK6180">
        <v>52.474490000000003</v>
      </c>
    </row>
    <row r="6181" spans="1:37" x14ac:dyDescent="0.3">
      <c r="A6181">
        <v>6180</v>
      </c>
      <c r="B6181">
        <v>1</v>
      </c>
      <c r="C6181">
        <v>-7.6967800000000004</v>
      </c>
      <c r="D6181">
        <v>12.776999999999999</v>
      </c>
      <c r="E6181">
        <f>-7.69678-12.777</f>
        <v>-20.473779999999998</v>
      </c>
      <c r="F6181" t="s">
        <v>9617</v>
      </c>
      <c r="G6181" t="s">
        <v>37</v>
      </c>
      <c r="H6181">
        <v>1985</v>
      </c>
      <c r="I6181">
        <v>27.5</v>
      </c>
      <c r="J6181">
        <v>14.6</v>
      </c>
      <c r="K6181">
        <v>58</v>
      </c>
      <c r="L6181">
        <v>24.67</v>
      </c>
      <c r="M6181">
        <v>39.4</v>
      </c>
      <c r="N6181">
        <v>14.3</v>
      </c>
      <c r="O6181">
        <v>25.1</v>
      </c>
      <c r="P6181">
        <v>26.5</v>
      </c>
      <c r="Q6181">
        <v>24.8</v>
      </c>
      <c r="R6181">
        <v>30.9</v>
      </c>
      <c r="S6181">
        <v>24.5</v>
      </c>
      <c r="T6181">
        <v>882</v>
      </c>
      <c r="U6181">
        <v>271</v>
      </c>
      <c r="V6181">
        <v>0</v>
      </c>
      <c r="W6181">
        <v>122</v>
      </c>
      <c r="X6181">
        <v>645</v>
      </c>
      <c r="Y6181">
        <v>0</v>
      </c>
      <c r="Z6181">
        <v>66</v>
      </c>
      <c r="AA6181">
        <v>3</v>
      </c>
      <c r="AB6181">
        <v>4.4483959999999998</v>
      </c>
      <c r="AC6181">
        <v>9.5622289999999999E-2</v>
      </c>
      <c r="AD6181">
        <v>1.9410430000000001</v>
      </c>
      <c r="AE6181">
        <v>0.65823449999999994</v>
      </c>
      <c r="AF6181">
        <v>300.76229999999998</v>
      </c>
      <c r="AG6181">
        <f>IFERROR(AH6181*0.1, "N/A")</f>
        <v>6.6000000000000005</v>
      </c>
      <c r="AH6181">
        <v>66</v>
      </c>
      <c r="AI6181">
        <v>40.131990000000002</v>
      </c>
      <c r="AJ6181">
        <v>25</v>
      </c>
      <c r="AK6181">
        <v>51</v>
      </c>
    </row>
    <row r="6182" spans="1:37" x14ac:dyDescent="0.3">
      <c r="A6182">
        <v>6181</v>
      </c>
      <c r="B6182">
        <v>0</v>
      </c>
      <c r="C6182">
        <v>-7.6967800000000004</v>
      </c>
      <c r="D6182">
        <v>12.776999999999999</v>
      </c>
      <c r="E6182">
        <f>-7.69678-12.777</f>
        <v>-20.473779999999998</v>
      </c>
      <c r="F6182" t="s">
        <v>9618</v>
      </c>
      <c r="G6182" t="s">
        <v>39</v>
      </c>
      <c r="H6182">
        <v>1985</v>
      </c>
      <c r="I6182">
        <v>27.5</v>
      </c>
      <c r="J6182">
        <v>14.6</v>
      </c>
      <c r="K6182">
        <v>58</v>
      </c>
      <c r="L6182">
        <v>24.67</v>
      </c>
      <c r="M6182">
        <v>39.4</v>
      </c>
      <c r="N6182">
        <v>14.3</v>
      </c>
      <c r="O6182">
        <v>25.1</v>
      </c>
      <c r="P6182">
        <v>26.5</v>
      </c>
      <c r="Q6182">
        <v>24.8</v>
      </c>
      <c r="R6182">
        <v>30.9</v>
      </c>
      <c r="S6182">
        <v>24.5</v>
      </c>
      <c r="T6182">
        <v>882</v>
      </c>
      <c r="U6182">
        <v>271</v>
      </c>
      <c r="V6182">
        <v>0</v>
      </c>
      <c r="W6182">
        <v>122</v>
      </c>
      <c r="X6182">
        <v>645</v>
      </c>
      <c r="Y6182">
        <v>0</v>
      </c>
      <c r="Z6182">
        <v>66</v>
      </c>
      <c r="AA6182">
        <v>3</v>
      </c>
      <c r="AB6182">
        <v>4.4483959999999998</v>
      </c>
      <c r="AC6182">
        <v>9.5622289999999999E-2</v>
      </c>
      <c r="AD6182">
        <v>1.9410430000000001</v>
      </c>
      <c r="AE6182">
        <v>0.65823449999999994</v>
      </c>
      <c r="AF6182">
        <v>300.76229999999998</v>
      </c>
      <c r="AG6182">
        <f>IFERROR(AH6182*0.1, "N/A")</f>
        <v>6.6000000000000005</v>
      </c>
      <c r="AH6182">
        <v>66</v>
      </c>
      <c r="AI6182">
        <v>40.131990000000002</v>
      </c>
      <c r="AJ6182">
        <v>25</v>
      </c>
      <c r="AK6182">
        <v>51</v>
      </c>
    </row>
    <row r="6183" spans="1:37" x14ac:dyDescent="0.3">
      <c r="A6183">
        <v>6182</v>
      </c>
      <c r="B6183">
        <v>2.5</v>
      </c>
      <c r="C6183">
        <v>-4.3596000000000004</v>
      </c>
      <c r="D6183">
        <v>12.784700000000001</v>
      </c>
      <c r="E6183">
        <f>-4.3596-12.7847</f>
        <v>-17.144300000000001</v>
      </c>
      <c r="F6183" t="s">
        <v>9619</v>
      </c>
      <c r="G6183" t="s">
        <v>39</v>
      </c>
      <c r="H6183">
        <v>1990</v>
      </c>
      <c r="I6183">
        <v>26.6</v>
      </c>
      <c r="J6183">
        <v>13.7</v>
      </c>
      <c r="K6183">
        <v>57</v>
      </c>
      <c r="L6183">
        <v>24.99</v>
      </c>
      <c r="M6183">
        <v>37.4</v>
      </c>
      <c r="N6183">
        <v>13.7</v>
      </c>
      <c r="O6183">
        <v>23.7</v>
      </c>
      <c r="P6183">
        <v>25.9</v>
      </c>
      <c r="Q6183">
        <v>23.5</v>
      </c>
      <c r="R6183">
        <v>29.9</v>
      </c>
      <c r="S6183">
        <v>23.5</v>
      </c>
      <c r="T6183">
        <v>805</v>
      </c>
      <c r="U6183">
        <v>230</v>
      </c>
      <c r="V6183">
        <v>0</v>
      </c>
      <c r="W6183">
        <v>117</v>
      </c>
      <c r="X6183">
        <v>572</v>
      </c>
      <c r="Y6183">
        <v>3</v>
      </c>
      <c r="Z6183">
        <v>184</v>
      </c>
      <c r="AA6183">
        <v>3</v>
      </c>
      <c r="AB6183">
        <v>33.997990000000001</v>
      </c>
      <c r="AC6183">
        <v>8.3823830000000002E-3</v>
      </c>
      <c r="AD6183">
        <v>0.74331080000000005</v>
      </c>
      <c r="AE6183">
        <v>0.46140360000000002</v>
      </c>
      <c r="AF6183">
        <v>452.72590000000002</v>
      </c>
      <c r="AG6183">
        <f>IFERROR(AH6183*0.1, "N/A")</f>
        <v>6.140778000000001</v>
      </c>
      <c r="AH6183">
        <v>61.407780000000002</v>
      </c>
      <c r="AI6183">
        <v>160.33869999999999</v>
      </c>
      <c r="AJ6183">
        <v>33.575299999999999</v>
      </c>
      <c r="AK6183">
        <v>44.001690000000004</v>
      </c>
    </row>
    <row r="6184" spans="1:37" x14ac:dyDescent="0.3">
      <c r="A6184">
        <v>6183</v>
      </c>
      <c r="B6184">
        <v>0</v>
      </c>
      <c r="C6184">
        <v>-4.3596000000000004</v>
      </c>
      <c r="D6184">
        <v>12.784700000000001</v>
      </c>
      <c r="E6184">
        <f>-4.3596-12.7847</f>
        <v>-17.144300000000001</v>
      </c>
      <c r="F6184" t="s">
        <v>9620</v>
      </c>
      <c r="G6184" t="s">
        <v>37</v>
      </c>
      <c r="H6184">
        <v>1990</v>
      </c>
      <c r="I6184">
        <v>26.6</v>
      </c>
      <c r="J6184">
        <v>13.7</v>
      </c>
      <c r="K6184">
        <v>57</v>
      </c>
      <c r="L6184">
        <v>24.99</v>
      </c>
      <c r="M6184">
        <v>37.4</v>
      </c>
      <c r="N6184">
        <v>13.7</v>
      </c>
      <c r="O6184">
        <v>23.7</v>
      </c>
      <c r="P6184">
        <v>25.9</v>
      </c>
      <c r="Q6184">
        <v>23.5</v>
      </c>
      <c r="R6184">
        <v>29.9</v>
      </c>
      <c r="S6184">
        <v>23.5</v>
      </c>
      <c r="T6184">
        <v>805</v>
      </c>
      <c r="U6184">
        <v>230</v>
      </c>
      <c r="V6184">
        <v>0</v>
      </c>
      <c r="W6184">
        <v>117</v>
      </c>
      <c r="X6184">
        <v>572</v>
      </c>
      <c r="Y6184">
        <v>3</v>
      </c>
      <c r="Z6184">
        <v>184</v>
      </c>
      <c r="AA6184">
        <v>3</v>
      </c>
      <c r="AB6184">
        <v>33.997990000000001</v>
      </c>
      <c r="AC6184">
        <v>8.3823830000000002E-3</v>
      </c>
      <c r="AD6184">
        <v>0.74331080000000005</v>
      </c>
      <c r="AE6184">
        <v>0.46140360000000002</v>
      </c>
      <c r="AF6184">
        <v>452.72590000000002</v>
      </c>
      <c r="AG6184">
        <f>IFERROR(AH6184*0.1, "N/A")</f>
        <v>6.140778000000001</v>
      </c>
      <c r="AH6184">
        <v>61.407780000000002</v>
      </c>
      <c r="AI6184">
        <v>160.33869999999999</v>
      </c>
      <c r="AJ6184">
        <v>33.575299999999999</v>
      </c>
      <c r="AK6184">
        <v>44.001690000000004</v>
      </c>
    </row>
    <row r="6185" spans="1:37" x14ac:dyDescent="0.3">
      <c r="A6185">
        <v>6184</v>
      </c>
      <c r="B6185">
        <v>45.8</v>
      </c>
      <c r="C6185">
        <v>-7.9826499999999996</v>
      </c>
      <c r="D6185">
        <v>12.805199999999999</v>
      </c>
      <c r="E6185">
        <f>-7.98265-12.8052</f>
        <v>-20.787849999999999</v>
      </c>
      <c r="F6185" t="s">
        <v>9621</v>
      </c>
      <c r="G6185" t="s">
        <v>39</v>
      </c>
      <c r="H6185">
        <v>2002</v>
      </c>
      <c r="I6185">
        <v>27.396429999999999</v>
      </c>
      <c r="J6185">
        <v>14.6</v>
      </c>
      <c r="K6185">
        <v>61</v>
      </c>
      <c r="L6185">
        <v>21.227129999999999</v>
      </c>
      <c r="M6185">
        <v>38.796430000000001</v>
      </c>
      <c r="N6185">
        <v>15.1</v>
      </c>
      <c r="O6185">
        <v>23.696439999999999</v>
      </c>
      <c r="P6185">
        <v>25.99643</v>
      </c>
      <c r="Q6185">
        <v>25.4</v>
      </c>
      <c r="R6185">
        <v>30.4</v>
      </c>
      <c r="S6185">
        <v>25.1</v>
      </c>
      <c r="T6185">
        <v>950.10699999999997</v>
      </c>
      <c r="U6185">
        <v>296.03570000000002</v>
      </c>
      <c r="V6185">
        <v>0</v>
      </c>
      <c r="W6185">
        <v>124</v>
      </c>
      <c r="X6185">
        <v>709.10699999999997</v>
      </c>
      <c r="Y6185">
        <v>1</v>
      </c>
      <c r="Z6185">
        <v>62</v>
      </c>
      <c r="AA6185">
        <v>4</v>
      </c>
      <c r="AB6185">
        <v>4.249574</v>
      </c>
      <c r="AC6185">
        <v>5.9635390000000003E-2</v>
      </c>
      <c r="AD6185">
        <v>2.835887</v>
      </c>
      <c r="AE6185">
        <v>0.56800609999999996</v>
      </c>
      <c r="AF6185">
        <v>380.25979999999998</v>
      </c>
      <c r="AG6185">
        <f>IFERROR(AH6185*0.1, "N/A")</f>
        <v>5.9869270000000006</v>
      </c>
      <c r="AH6185">
        <v>59.86927</v>
      </c>
      <c r="AI6185">
        <v>153.92670000000001</v>
      </c>
      <c r="AJ6185">
        <v>17.916810000000002</v>
      </c>
      <c r="AK6185">
        <v>55.682510000000001</v>
      </c>
    </row>
    <row r="6186" spans="1:37" x14ac:dyDescent="0.3">
      <c r="A6186">
        <v>6185</v>
      </c>
      <c r="B6186">
        <v>0</v>
      </c>
      <c r="C6186">
        <v>-7.9826499999999996</v>
      </c>
      <c r="D6186">
        <v>12.805199999999999</v>
      </c>
      <c r="E6186">
        <f>-7.98265-12.8052</f>
        <v>-20.787849999999999</v>
      </c>
      <c r="F6186" t="s">
        <v>9622</v>
      </c>
      <c r="G6186" t="s">
        <v>37</v>
      </c>
      <c r="H6186">
        <v>2002</v>
      </c>
      <c r="I6186">
        <v>27.396429999999999</v>
      </c>
      <c r="J6186">
        <v>14.6</v>
      </c>
      <c r="K6186">
        <v>61</v>
      </c>
      <c r="L6186">
        <v>21.227129999999999</v>
      </c>
      <c r="M6186">
        <v>38.796430000000001</v>
      </c>
      <c r="N6186">
        <v>15.1</v>
      </c>
      <c r="O6186">
        <v>23.696439999999999</v>
      </c>
      <c r="P6186">
        <v>25.99643</v>
      </c>
      <c r="Q6186">
        <v>25.4</v>
      </c>
      <c r="R6186">
        <v>30.4</v>
      </c>
      <c r="S6186">
        <v>25.1</v>
      </c>
      <c r="T6186">
        <v>950.10699999999997</v>
      </c>
      <c r="U6186">
        <v>296.03570000000002</v>
      </c>
      <c r="V6186">
        <v>0</v>
      </c>
      <c r="W6186">
        <v>124</v>
      </c>
      <c r="X6186">
        <v>709.10699999999997</v>
      </c>
      <c r="Y6186">
        <v>1</v>
      </c>
      <c r="Z6186">
        <v>62</v>
      </c>
      <c r="AA6186">
        <v>4</v>
      </c>
      <c r="AB6186">
        <v>4.249574</v>
      </c>
      <c r="AC6186">
        <v>5.9635390000000003E-2</v>
      </c>
      <c r="AD6186">
        <v>2.835887</v>
      </c>
      <c r="AE6186">
        <v>0.56800609999999996</v>
      </c>
      <c r="AF6186">
        <v>380.25979999999998</v>
      </c>
      <c r="AG6186">
        <f>IFERROR(AH6186*0.1, "N/A")</f>
        <v>5.9869270000000006</v>
      </c>
      <c r="AH6186">
        <v>59.86927</v>
      </c>
      <c r="AI6186">
        <v>153.92670000000001</v>
      </c>
      <c r="AJ6186">
        <v>17.916810000000002</v>
      </c>
      <c r="AK6186">
        <v>55.682510000000001</v>
      </c>
    </row>
    <row r="6187" spans="1:37" x14ac:dyDescent="0.3">
      <c r="A6187">
        <v>6186</v>
      </c>
      <c r="B6187">
        <v>1.1000000000000001</v>
      </c>
      <c r="C6187">
        <v>-4.3369999999999997</v>
      </c>
      <c r="D6187">
        <v>12.811</v>
      </c>
      <c r="E6187">
        <f>-4.337-12.811</f>
        <v>-17.148</v>
      </c>
      <c r="F6187" t="s">
        <v>9623</v>
      </c>
      <c r="G6187" t="s">
        <v>39</v>
      </c>
      <c r="H6187">
        <v>1990</v>
      </c>
      <c r="I6187">
        <v>26.9</v>
      </c>
      <c r="J6187">
        <v>13.7</v>
      </c>
      <c r="K6187">
        <v>57</v>
      </c>
      <c r="L6187">
        <v>25.59</v>
      </c>
      <c r="M6187">
        <v>37.799999999999997</v>
      </c>
      <c r="N6187">
        <v>14</v>
      </c>
      <c r="O6187">
        <v>23.8</v>
      </c>
      <c r="P6187">
        <v>26.1</v>
      </c>
      <c r="Q6187">
        <v>23.6</v>
      </c>
      <c r="R6187">
        <v>30.2</v>
      </c>
      <c r="S6187">
        <v>23.6</v>
      </c>
      <c r="T6187">
        <v>794</v>
      </c>
      <c r="U6187">
        <v>229</v>
      </c>
      <c r="V6187">
        <v>0</v>
      </c>
      <c r="W6187">
        <v>118</v>
      </c>
      <c r="X6187">
        <v>567</v>
      </c>
      <c r="Y6187">
        <v>2</v>
      </c>
      <c r="Z6187">
        <v>181</v>
      </c>
      <c r="AA6187">
        <v>2</v>
      </c>
      <c r="AB6187">
        <v>21.3</v>
      </c>
      <c r="AC6187">
        <v>1.056578E-2</v>
      </c>
      <c r="AD6187">
        <v>1.7797050000000001</v>
      </c>
      <c r="AE6187">
        <v>0.66849780000000003</v>
      </c>
      <c r="AF6187">
        <v>407.27550000000002</v>
      </c>
      <c r="AG6187">
        <f>IFERROR(AH6187*0.1, "N/A")</f>
        <v>6.5018710000000004</v>
      </c>
      <c r="AH6187">
        <v>65.018709999999999</v>
      </c>
      <c r="AI6187">
        <v>170.9342</v>
      </c>
      <c r="AJ6187">
        <v>15</v>
      </c>
      <c r="AK6187">
        <v>68</v>
      </c>
    </row>
    <row r="6188" spans="1:37" x14ac:dyDescent="0.3">
      <c r="A6188">
        <v>6187</v>
      </c>
      <c r="B6188">
        <v>0</v>
      </c>
      <c r="C6188">
        <v>-4.3369999999999997</v>
      </c>
      <c r="D6188">
        <v>12.811</v>
      </c>
      <c r="E6188">
        <f>-4.337-12.811</f>
        <v>-17.148</v>
      </c>
      <c r="F6188" t="s">
        <v>9624</v>
      </c>
      <c r="G6188" t="s">
        <v>37</v>
      </c>
      <c r="H6188">
        <v>1990</v>
      </c>
      <c r="I6188">
        <v>26.9</v>
      </c>
      <c r="J6188">
        <v>13.7</v>
      </c>
      <c r="K6188">
        <v>57</v>
      </c>
      <c r="L6188">
        <v>25.59</v>
      </c>
      <c r="M6188">
        <v>37.799999999999997</v>
      </c>
      <c r="N6188">
        <v>14</v>
      </c>
      <c r="O6188">
        <v>23.8</v>
      </c>
      <c r="P6188">
        <v>26.1</v>
      </c>
      <c r="Q6188">
        <v>23.6</v>
      </c>
      <c r="R6188">
        <v>30.2</v>
      </c>
      <c r="S6188">
        <v>23.6</v>
      </c>
      <c r="T6188">
        <v>794</v>
      </c>
      <c r="U6188">
        <v>229</v>
      </c>
      <c r="V6188">
        <v>0</v>
      </c>
      <c r="W6188">
        <v>118</v>
      </c>
      <c r="X6188">
        <v>567</v>
      </c>
      <c r="Y6188">
        <v>2</v>
      </c>
      <c r="Z6188">
        <v>181</v>
      </c>
      <c r="AA6188">
        <v>2</v>
      </c>
      <c r="AB6188">
        <v>21.3</v>
      </c>
      <c r="AC6188">
        <v>1.056578E-2</v>
      </c>
      <c r="AD6188">
        <v>1.7797050000000001</v>
      </c>
      <c r="AE6188">
        <v>0.66849780000000003</v>
      </c>
      <c r="AF6188">
        <v>407.27550000000002</v>
      </c>
      <c r="AG6188">
        <f>IFERROR(AH6188*0.1, "N/A")</f>
        <v>6.5018710000000004</v>
      </c>
      <c r="AH6188">
        <v>65.018709999999999</v>
      </c>
      <c r="AI6188">
        <v>170.9342</v>
      </c>
      <c r="AJ6188">
        <v>15</v>
      </c>
      <c r="AK6188">
        <v>68</v>
      </c>
    </row>
    <row r="6189" spans="1:37" x14ac:dyDescent="0.3">
      <c r="A6189">
        <v>6188</v>
      </c>
      <c r="B6189">
        <v>11</v>
      </c>
      <c r="C6189">
        <v>-8.25</v>
      </c>
      <c r="D6189">
        <v>12.816700000000001</v>
      </c>
      <c r="E6189">
        <f>-8.25-12.8167</f>
        <v>-21.066700000000001</v>
      </c>
      <c r="F6189" t="s">
        <v>9625</v>
      </c>
      <c r="G6189" t="s">
        <v>39</v>
      </c>
      <c r="H6189">
        <v>1987</v>
      </c>
      <c r="I6189">
        <v>27.131979999999999</v>
      </c>
      <c r="J6189">
        <v>14.88579</v>
      </c>
      <c r="K6189">
        <v>60.857869999999998</v>
      </c>
      <c r="L6189">
        <v>22.120149999999999</v>
      </c>
      <c r="M6189">
        <v>38.546190000000003</v>
      </c>
      <c r="N6189">
        <v>14.3</v>
      </c>
      <c r="O6189">
        <v>24.246189999999999</v>
      </c>
      <c r="P6189">
        <v>25.9</v>
      </c>
      <c r="Q6189">
        <v>24.946190000000001</v>
      </c>
      <c r="R6189">
        <v>30.246189999999999</v>
      </c>
      <c r="S6189">
        <v>24.7</v>
      </c>
      <c r="T6189">
        <v>990.50250000000005</v>
      </c>
      <c r="U6189">
        <v>310</v>
      </c>
      <c r="V6189">
        <v>0</v>
      </c>
      <c r="W6189">
        <v>126</v>
      </c>
      <c r="X6189">
        <v>748.06089999999995</v>
      </c>
      <c r="Y6189">
        <v>0</v>
      </c>
      <c r="Z6189">
        <v>56</v>
      </c>
      <c r="AA6189">
        <v>5.3807109999999998</v>
      </c>
      <c r="AB6189">
        <v>1.375974</v>
      </c>
      <c r="AC6189">
        <v>0.46956439999999999</v>
      </c>
      <c r="AD6189">
        <v>1.450383</v>
      </c>
      <c r="AE6189">
        <v>0.69503139999999997</v>
      </c>
      <c r="AF6189">
        <v>406.10149999999999</v>
      </c>
      <c r="AG6189">
        <f>IFERROR(AH6189*0.1, "N/A")</f>
        <v>5.6416240000000002</v>
      </c>
      <c r="AH6189">
        <v>56.416240000000002</v>
      </c>
      <c r="AI6189">
        <v>195.5078</v>
      </c>
      <c r="AJ6189">
        <v>17.00508</v>
      </c>
      <c r="AK6189">
        <v>54.365479999999998</v>
      </c>
    </row>
    <row r="6190" spans="1:37" x14ac:dyDescent="0.3">
      <c r="A6190">
        <v>6189</v>
      </c>
      <c r="B6190">
        <v>0</v>
      </c>
      <c r="C6190">
        <v>-8.25</v>
      </c>
      <c r="D6190">
        <v>12.816700000000001</v>
      </c>
      <c r="E6190">
        <f>-8.25-12.8167</f>
        <v>-21.066700000000001</v>
      </c>
      <c r="F6190" t="s">
        <v>9626</v>
      </c>
      <c r="G6190" t="s">
        <v>37</v>
      </c>
      <c r="H6190">
        <v>1987</v>
      </c>
      <c r="I6190">
        <v>27.131979999999999</v>
      </c>
      <c r="J6190">
        <v>14.88579</v>
      </c>
      <c r="K6190">
        <v>60.857869999999998</v>
      </c>
      <c r="L6190">
        <v>22.120149999999999</v>
      </c>
      <c r="M6190">
        <v>38.546190000000003</v>
      </c>
      <c r="N6190">
        <v>14.3</v>
      </c>
      <c r="O6190">
        <v>24.246189999999999</v>
      </c>
      <c r="P6190">
        <v>25.9</v>
      </c>
      <c r="Q6190">
        <v>24.946190000000001</v>
      </c>
      <c r="R6190">
        <v>30.246189999999999</v>
      </c>
      <c r="S6190">
        <v>24.7</v>
      </c>
      <c r="T6190">
        <v>990.50250000000005</v>
      </c>
      <c r="U6190">
        <v>310</v>
      </c>
      <c r="V6190">
        <v>0</v>
      </c>
      <c r="W6190">
        <v>126</v>
      </c>
      <c r="X6190">
        <v>748.06089999999995</v>
      </c>
      <c r="Y6190">
        <v>0</v>
      </c>
      <c r="Z6190">
        <v>56</v>
      </c>
      <c r="AA6190">
        <v>5.3807109999999998</v>
      </c>
      <c r="AB6190">
        <v>1.375974</v>
      </c>
      <c r="AC6190">
        <v>0.46956439999999999</v>
      </c>
      <c r="AD6190">
        <v>1.450383</v>
      </c>
      <c r="AE6190">
        <v>0.69503139999999997</v>
      </c>
      <c r="AF6190">
        <v>406.10149999999999</v>
      </c>
      <c r="AG6190">
        <f>IFERROR(AH6190*0.1, "N/A")</f>
        <v>5.6416240000000002</v>
      </c>
      <c r="AH6190">
        <v>56.416240000000002</v>
      </c>
      <c r="AI6190">
        <v>195.5078</v>
      </c>
      <c r="AJ6190">
        <v>17.00508</v>
      </c>
      <c r="AK6190">
        <v>54.365479999999998</v>
      </c>
    </row>
    <row r="6191" spans="1:37" x14ac:dyDescent="0.3">
      <c r="A6191">
        <v>6190</v>
      </c>
      <c r="B6191">
        <v>11.9</v>
      </c>
      <c r="C6191">
        <v>-7.6417000000000002</v>
      </c>
      <c r="D6191">
        <v>12.824</v>
      </c>
      <c r="E6191">
        <f>-7.6417-12.824</f>
        <v>-20.465699999999998</v>
      </c>
      <c r="F6191" t="s">
        <v>9627</v>
      </c>
      <c r="G6191" t="s">
        <v>39</v>
      </c>
      <c r="H6191">
        <v>1990</v>
      </c>
      <c r="I6191">
        <v>27.426179999999999</v>
      </c>
      <c r="J6191">
        <v>14.8</v>
      </c>
      <c r="K6191">
        <v>58</v>
      </c>
      <c r="L6191">
        <v>24.90476</v>
      </c>
      <c r="M6191">
        <v>39.5</v>
      </c>
      <c r="N6191">
        <v>14.1</v>
      </c>
      <c r="O6191">
        <v>25.4</v>
      </c>
      <c r="P6191">
        <v>26.5</v>
      </c>
      <c r="Q6191">
        <v>24.7</v>
      </c>
      <c r="R6191">
        <v>30.8</v>
      </c>
      <c r="S6191">
        <v>24.5</v>
      </c>
      <c r="T6191">
        <v>870.52359999999999</v>
      </c>
      <c r="U6191">
        <v>268.26179999999999</v>
      </c>
      <c r="V6191">
        <v>0</v>
      </c>
      <c r="W6191">
        <v>123</v>
      </c>
      <c r="X6191">
        <v>638.26179999999999</v>
      </c>
      <c r="Y6191">
        <v>0</v>
      </c>
      <c r="Z6191">
        <v>66</v>
      </c>
      <c r="AA6191">
        <v>2</v>
      </c>
      <c r="AB6191">
        <v>5.1305800000000001</v>
      </c>
      <c r="AC6191">
        <v>3.9200409999999998E-2</v>
      </c>
      <c r="AD6191">
        <v>1.94991</v>
      </c>
      <c r="AE6191">
        <v>0.70007819999999998</v>
      </c>
      <c r="AF6191">
        <v>301.22640000000001</v>
      </c>
      <c r="AG6191">
        <f>IFERROR(AH6191*0.1, "N/A")</f>
        <v>6.3273650000000004</v>
      </c>
      <c r="AH6191">
        <v>63.273650000000004</v>
      </c>
      <c r="AI6191">
        <v>174.09100000000001</v>
      </c>
      <c r="AJ6191">
        <v>17.41554</v>
      </c>
      <c r="AK6191">
        <v>57</v>
      </c>
    </row>
    <row r="6192" spans="1:37" x14ac:dyDescent="0.3">
      <c r="A6192">
        <v>6191</v>
      </c>
      <c r="B6192">
        <v>5.4</v>
      </c>
      <c r="C6192">
        <v>-7.6417000000000002</v>
      </c>
      <c r="D6192">
        <v>12.824</v>
      </c>
      <c r="E6192">
        <f>-7.6417-12.824</f>
        <v>-20.465699999999998</v>
      </c>
      <c r="F6192" t="s">
        <v>9628</v>
      </c>
      <c r="G6192" t="s">
        <v>37</v>
      </c>
      <c r="H6192">
        <v>1990</v>
      </c>
      <c r="I6192">
        <v>27.426179999999999</v>
      </c>
      <c r="J6192">
        <v>14.8</v>
      </c>
      <c r="K6192">
        <v>58</v>
      </c>
      <c r="L6192">
        <v>24.90476</v>
      </c>
      <c r="M6192">
        <v>39.5</v>
      </c>
      <c r="N6192">
        <v>14.1</v>
      </c>
      <c r="O6192">
        <v>25.4</v>
      </c>
      <c r="P6192">
        <v>26.5</v>
      </c>
      <c r="Q6192">
        <v>24.7</v>
      </c>
      <c r="R6192">
        <v>30.8</v>
      </c>
      <c r="S6192">
        <v>24.5</v>
      </c>
      <c r="T6192">
        <v>870.52359999999999</v>
      </c>
      <c r="U6192">
        <v>268.26179999999999</v>
      </c>
      <c r="V6192">
        <v>0</v>
      </c>
      <c r="W6192">
        <v>123</v>
      </c>
      <c r="X6192">
        <v>638.26179999999999</v>
      </c>
      <c r="Y6192">
        <v>0</v>
      </c>
      <c r="Z6192">
        <v>66</v>
      </c>
      <c r="AA6192">
        <v>2</v>
      </c>
      <c r="AB6192">
        <v>5.1305800000000001</v>
      </c>
      <c r="AC6192">
        <v>3.9200409999999998E-2</v>
      </c>
      <c r="AD6192">
        <v>1.94991</v>
      </c>
      <c r="AE6192">
        <v>0.70007819999999998</v>
      </c>
      <c r="AF6192">
        <v>301.22640000000001</v>
      </c>
      <c r="AG6192">
        <f>IFERROR(AH6192*0.1, "N/A")</f>
        <v>6.3273650000000004</v>
      </c>
      <c r="AH6192">
        <v>63.273650000000004</v>
      </c>
      <c r="AI6192">
        <v>174.09100000000001</v>
      </c>
      <c r="AJ6192">
        <v>17.41554</v>
      </c>
      <c r="AK6192">
        <v>57</v>
      </c>
    </row>
    <row r="6193" spans="1:37" x14ac:dyDescent="0.3">
      <c r="A6193">
        <v>6192</v>
      </c>
      <c r="B6193">
        <v>51.5</v>
      </c>
      <c r="C6193">
        <v>-7.6062200000000004</v>
      </c>
      <c r="D6193">
        <v>12.827199999999999</v>
      </c>
      <c r="E6193">
        <f>-7.60622-12.8272</f>
        <v>-20.433419999999998</v>
      </c>
      <c r="F6193" t="s">
        <v>9629</v>
      </c>
      <c r="G6193" t="s">
        <v>39</v>
      </c>
      <c r="H6193">
        <v>1990</v>
      </c>
      <c r="I6193">
        <v>27.4</v>
      </c>
      <c r="J6193">
        <v>14.8</v>
      </c>
      <c r="K6193">
        <v>58</v>
      </c>
      <c r="L6193">
        <v>25</v>
      </c>
      <c r="M6193">
        <v>39.5</v>
      </c>
      <c r="N6193">
        <v>14</v>
      </c>
      <c r="O6193">
        <v>25.5</v>
      </c>
      <c r="P6193">
        <v>26.5</v>
      </c>
      <c r="Q6193">
        <v>24.6</v>
      </c>
      <c r="R6193">
        <v>30.8</v>
      </c>
      <c r="S6193">
        <v>24.4</v>
      </c>
      <c r="T6193">
        <v>865</v>
      </c>
      <c r="U6193">
        <v>267</v>
      </c>
      <c r="V6193">
        <v>0</v>
      </c>
      <c r="W6193">
        <v>122</v>
      </c>
      <c r="X6193">
        <v>634</v>
      </c>
      <c r="Y6193">
        <v>0</v>
      </c>
      <c r="Z6193">
        <v>67</v>
      </c>
      <c r="AA6193">
        <v>2</v>
      </c>
      <c r="AB6193">
        <v>12.276910000000001</v>
      </c>
      <c r="AC6193">
        <v>2.1250100000000001E-2</v>
      </c>
      <c r="AD6193">
        <v>1.9314990000000001</v>
      </c>
      <c r="AE6193">
        <v>0.50231289999999995</v>
      </c>
      <c r="AF6193">
        <v>296.4024</v>
      </c>
      <c r="AG6193">
        <f>IFERROR(AH6193*0.1, "N/A")</f>
        <v>6.3984500000000004</v>
      </c>
      <c r="AH6193">
        <v>63.984499999999997</v>
      </c>
      <c r="AI6193">
        <v>147.10769999999999</v>
      </c>
      <c r="AJ6193">
        <v>26.914729999999999</v>
      </c>
      <c r="AK6193">
        <v>48.129199999999997</v>
      </c>
    </row>
    <row r="6194" spans="1:37" x14ac:dyDescent="0.3">
      <c r="A6194">
        <v>6193</v>
      </c>
      <c r="B6194">
        <v>0</v>
      </c>
      <c r="C6194">
        <v>-7.6062200000000004</v>
      </c>
      <c r="D6194">
        <v>12.827199999999999</v>
      </c>
      <c r="E6194">
        <f>-7.60622-12.8272</f>
        <v>-20.433419999999998</v>
      </c>
      <c r="F6194" t="s">
        <v>9630</v>
      </c>
      <c r="G6194" t="s">
        <v>37</v>
      </c>
      <c r="H6194">
        <v>1990</v>
      </c>
      <c r="I6194">
        <v>27.4</v>
      </c>
      <c r="J6194">
        <v>14.8</v>
      </c>
      <c r="K6194">
        <v>58</v>
      </c>
      <c r="L6194">
        <v>25</v>
      </c>
      <c r="M6194">
        <v>39.5</v>
      </c>
      <c r="N6194">
        <v>14</v>
      </c>
      <c r="O6194">
        <v>25.5</v>
      </c>
      <c r="P6194">
        <v>26.5</v>
      </c>
      <c r="Q6194">
        <v>24.6</v>
      </c>
      <c r="R6194">
        <v>30.8</v>
      </c>
      <c r="S6194">
        <v>24.4</v>
      </c>
      <c r="T6194">
        <v>865</v>
      </c>
      <c r="U6194">
        <v>267</v>
      </c>
      <c r="V6194">
        <v>0</v>
      </c>
      <c r="W6194">
        <v>122</v>
      </c>
      <c r="X6194">
        <v>634</v>
      </c>
      <c r="Y6194">
        <v>0</v>
      </c>
      <c r="Z6194">
        <v>67</v>
      </c>
      <c r="AA6194">
        <v>2</v>
      </c>
      <c r="AB6194">
        <v>12.276910000000001</v>
      </c>
      <c r="AC6194">
        <v>2.1250100000000001E-2</v>
      </c>
      <c r="AD6194">
        <v>1.9314990000000001</v>
      </c>
      <c r="AE6194">
        <v>0.50231289999999995</v>
      </c>
      <c r="AF6194">
        <v>296.4024</v>
      </c>
      <c r="AG6194">
        <f>IFERROR(AH6194*0.1, "N/A")</f>
        <v>6.3984500000000004</v>
      </c>
      <c r="AH6194">
        <v>63.984499999999997</v>
      </c>
      <c r="AI6194">
        <v>147.10769999999999</v>
      </c>
      <c r="AJ6194">
        <v>26.914729999999999</v>
      </c>
      <c r="AK6194">
        <v>48.129199999999997</v>
      </c>
    </row>
    <row r="6195" spans="1:37" x14ac:dyDescent="0.3">
      <c r="A6195">
        <v>6194</v>
      </c>
      <c r="B6195">
        <v>1</v>
      </c>
      <c r="C6195">
        <v>-4.3918999999999997</v>
      </c>
      <c r="D6195">
        <v>12.8523</v>
      </c>
      <c r="E6195">
        <f>-4.3919-12.8523</f>
        <v>-17.244199999999999</v>
      </c>
      <c r="F6195" t="s">
        <v>9631</v>
      </c>
      <c r="G6195" t="s">
        <v>39</v>
      </c>
      <c r="H6195">
        <v>1990</v>
      </c>
      <c r="I6195">
        <v>27</v>
      </c>
      <c r="J6195">
        <v>13.8</v>
      </c>
      <c r="K6195">
        <v>57</v>
      </c>
      <c r="L6195">
        <v>25.66395</v>
      </c>
      <c r="M6195">
        <v>37.9</v>
      </c>
      <c r="N6195">
        <v>13.9</v>
      </c>
      <c r="O6195">
        <v>24</v>
      </c>
      <c r="P6195">
        <v>26.3</v>
      </c>
      <c r="Q6195">
        <v>23.7</v>
      </c>
      <c r="R6195">
        <v>30.4</v>
      </c>
      <c r="S6195">
        <v>23.7</v>
      </c>
      <c r="T6195">
        <v>794.52110000000005</v>
      </c>
      <c r="U6195">
        <v>230</v>
      </c>
      <c r="V6195">
        <v>0</v>
      </c>
      <c r="W6195">
        <v>119</v>
      </c>
      <c r="X6195">
        <v>569.52110000000005</v>
      </c>
      <c r="Y6195">
        <v>2</v>
      </c>
      <c r="Z6195">
        <v>179</v>
      </c>
      <c r="AA6195">
        <v>2</v>
      </c>
      <c r="AB6195">
        <v>8.8119770000000006</v>
      </c>
      <c r="AC6195">
        <v>2.7572659999999999E-2</v>
      </c>
      <c r="AD6195">
        <v>1.604303</v>
      </c>
      <c r="AE6195">
        <v>0.67025840000000003</v>
      </c>
      <c r="AF6195">
        <v>386.3845</v>
      </c>
      <c r="AG6195">
        <f>IFERROR(AH6195*0.1, "N/A")</f>
        <v>6.5013490000000012</v>
      </c>
      <c r="AH6195">
        <v>65.013490000000004</v>
      </c>
      <c r="AI6195">
        <v>88.086500000000001</v>
      </c>
      <c r="AJ6195">
        <v>14.47555</v>
      </c>
      <c r="AK6195">
        <v>65.507589999999993</v>
      </c>
    </row>
    <row r="6196" spans="1:37" x14ac:dyDescent="0.3">
      <c r="A6196">
        <v>6195</v>
      </c>
      <c r="B6196">
        <v>0</v>
      </c>
      <c r="C6196">
        <v>-4.3918999999999997</v>
      </c>
      <c r="D6196">
        <v>12.8523</v>
      </c>
      <c r="E6196">
        <f>-4.3919-12.8523</f>
        <v>-17.244199999999999</v>
      </c>
      <c r="F6196" t="s">
        <v>9632</v>
      </c>
      <c r="G6196" t="s">
        <v>37</v>
      </c>
      <c r="H6196">
        <v>1990</v>
      </c>
      <c r="I6196">
        <v>27</v>
      </c>
      <c r="J6196">
        <v>13.8</v>
      </c>
      <c r="K6196">
        <v>57</v>
      </c>
      <c r="L6196">
        <v>25.66395</v>
      </c>
      <c r="M6196">
        <v>37.9</v>
      </c>
      <c r="N6196">
        <v>13.9</v>
      </c>
      <c r="O6196">
        <v>24</v>
      </c>
      <c r="P6196">
        <v>26.3</v>
      </c>
      <c r="Q6196">
        <v>23.7</v>
      </c>
      <c r="R6196">
        <v>30.4</v>
      </c>
      <c r="S6196">
        <v>23.7</v>
      </c>
      <c r="T6196">
        <v>794.52110000000005</v>
      </c>
      <c r="U6196">
        <v>230</v>
      </c>
      <c r="V6196">
        <v>0</v>
      </c>
      <c r="W6196">
        <v>119</v>
      </c>
      <c r="X6196">
        <v>569.52110000000005</v>
      </c>
      <c r="Y6196">
        <v>2</v>
      </c>
      <c r="Z6196">
        <v>179</v>
      </c>
      <c r="AA6196">
        <v>2</v>
      </c>
      <c r="AB6196">
        <v>8.8119770000000006</v>
      </c>
      <c r="AC6196">
        <v>2.7572659999999999E-2</v>
      </c>
      <c r="AD6196">
        <v>1.604303</v>
      </c>
      <c r="AE6196">
        <v>0.67025840000000003</v>
      </c>
      <c r="AF6196">
        <v>386.3845</v>
      </c>
      <c r="AG6196">
        <f>IFERROR(AH6196*0.1, "N/A")</f>
        <v>6.5013490000000012</v>
      </c>
      <c r="AH6196">
        <v>65.013490000000004</v>
      </c>
      <c r="AI6196">
        <v>88.086500000000001</v>
      </c>
      <c r="AJ6196">
        <v>14.47555</v>
      </c>
      <c r="AK6196">
        <v>65.507589999999993</v>
      </c>
    </row>
    <row r="6197" spans="1:37" x14ac:dyDescent="0.3">
      <c r="A6197">
        <v>6196</v>
      </c>
      <c r="B6197">
        <v>7.6</v>
      </c>
      <c r="C6197">
        <v>-5.7944399999999998</v>
      </c>
      <c r="D6197">
        <v>12.853300000000001</v>
      </c>
      <c r="E6197">
        <f>-5.79444-12.8533</f>
        <v>-18.647739999999999</v>
      </c>
      <c r="F6197" t="s">
        <v>9633</v>
      </c>
      <c r="G6197" t="s">
        <v>39</v>
      </c>
      <c r="H6197">
        <v>1990</v>
      </c>
      <c r="I6197">
        <v>27.4</v>
      </c>
      <c r="J6197">
        <v>14.1</v>
      </c>
      <c r="K6197">
        <v>57</v>
      </c>
      <c r="L6197">
        <v>25.42</v>
      </c>
      <c r="M6197">
        <v>38.6</v>
      </c>
      <c r="N6197">
        <v>13.9</v>
      </c>
      <c r="O6197">
        <v>24.7</v>
      </c>
      <c r="P6197">
        <v>26.6</v>
      </c>
      <c r="Q6197">
        <v>24.4</v>
      </c>
      <c r="R6197">
        <v>30.8</v>
      </c>
      <c r="S6197">
        <v>24.4</v>
      </c>
      <c r="T6197">
        <v>800</v>
      </c>
      <c r="U6197">
        <v>243</v>
      </c>
      <c r="V6197">
        <v>0</v>
      </c>
      <c r="W6197">
        <v>120</v>
      </c>
      <c r="X6197">
        <v>573</v>
      </c>
      <c r="Y6197">
        <v>1</v>
      </c>
      <c r="Z6197">
        <v>75</v>
      </c>
      <c r="AA6197">
        <v>3</v>
      </c>
      <c r="AB6197">
        <v>3.121855</v>
      </c>
      <c r="AC6197">
        <v>8.8465690000000003E-3</v>
      </c>
      <c r="AD6197">
        <v>1.2091639999999999</v>
      </c>
      <c r="AE6197">
        <v>0.68950529999999999</v>
      </c>
      <c r="AF6197">
        <v>306.34070000000003</v>
      </c>
      <c r="AG6197">
        <f>IFERROR(AH6197*0.1, "N/A")</f>
        <v>5.6940680000000006</v>
      </c>
      <c r="AH6197">
        <v>56.94068</v>
      </c>
      <c r="AI6197">
        <v>101.6811</v>
      </c>
      <c r="AJ6197">
        <v>12.01017</v>
      </c>
      <c r="AK6197">
        <v>57.633899999999997</v>
      </c>
    </row>
    <row r="6198" spans="1:37" x14ac:dyDescent="0.3">
      <c r="A6198">
        <v>6197</v>
      </c>
      <c r="B6198">
        <v>0</v>
      </c>
      <c r="C6198">
        <v>-5.7944399999999998</v>
      </c>
      <c r="D6198">
        <v>12.853300000000001</v>
      </c>
      <c r="E6198">
        <f>-5.79444-12.8533</f>
        <v>-18.647739999999999</v>
      </c>
      <c r="F6198" t="s">
        <v>9634</v>
      </c>
      <c r="G6198" t="s">
        <v>37</v>
      </c>
      <c r="H6198">
        <v>1990</v>
      </c>
      <c r="I6198">
        <v>27.4</v>
      </c>
      <c r="J6198">
        <v>14.1</v>
      </c>
      <c r="K6198">
        <v>57</v>
      </c>
      <c r="L6198">
        <v>25.42</v>
      </c>
      <c r="M6198">
        <v>38.6</v>
      </c>
      <c r="N6198">
        <v>13.9</v>
      </c>
      <c r="O6198">
        <v>24.7</v>
      </c>
      <c r="P6198">
        <v>26.6</v>
      </c>
      <c r="Q6198">
        <v>24.4</v>
      </c>
      <c r="R6198">
        <v>30.8</v>
      </c>
      <c r="S6198">
        <v>24.4</v>
      </c>
      <c r="T6198">
        <v>800</v>
      </c>
      <c r="U6198">
        <v>243</v>
      </c>
      <c r="V6198">
        <v>0</v>
      </c>
      <c r="W6198">
        <v>120</v>
      </c>
      <c r="X6198">
        <v>573</v>
      </c>
      <c r="Y6198">
        <v>1</v>
      </c>
      <c r="Z6198">
        <v>75</v>
      </c>
      <c r="AA6198">
        <v>3</v>
      </c>
      <c r="AB6198">
        <v>3.121855</v>
      </c>
      <c r="AC6198">
        <v>8.8465690000000003E-3</v>
      </c>
      <c r="AD6198">
        <v>1.2091639999999999</v>
      </c>
      <c r="AE6198">
        <v>0.68950529999999999</v>
      </c>
      <c r="AF6198">
        <v>306.34070000000003</v>
      </c>
      <c r="AG6198">
        <f>IFERROR(AH6198*0.1, "N/A")</f>
        <v>5.6940680000000006</v>
      </c>
      <c r="AH6198">
        <v>56.94068</v>
      </c>
      <c r="AI6198">
        <v>101.6811</v>
      </c>
      <c r="AJ6198">
        <v>12.01017</v>
      </c>
      <c r="AK6198">
        <v>57.633899999999997</v>
      </c>
    </row>
    <row r="6199" spans="1:37" x14ac:dyDescent="0.3">
      <c r="A6199">
        <v>6198</v>
      </c>
      <c r="B6199">
        <v>92.9</v>
      </c>
      <c r="C6199">
        <v>-7.55985</v>
      </c>
      <c r="D6199">
        <v>12.8627</v>
      </c>
      <c r="E6199">
        <f>-7.55985-12.8627</f>
        <v>-20.422550000000001</v>
      </c>
      <c r="F6199" t="s">
        <v>9635</v>
      </c>
      <c r="G6199" t="s">
        <v>39</v>
      </c>
      <c r="H6199">
        <v>1990</v>
      </c>
      <c r="I6199">
        <v>27.4</v>
      </c>
      <c r="J6199">
        <v>14.9</v>
      </c>
      <c r="K6199">
        <v>57</v>
      </c>
      <c r="L6199">
        <v>25.5</v>
      </c>
      <c r="M6199">
        <v>39.5</v>
      </c>
      <c r="N6199">
        <v>13.8</v>
      </c>
      <c r="O6199">
        <v>25.7</v>
      </c>
      <c r="P6199">
        <v>26.5</v>
      </c>
      <c r="Q6199">
        <v>24.5</v>
      </c>
      <c r="R6199">
        <v>30.9</v>
      </c>
      <c r="S6199">
        <v>24.3</v>
      </c>
      <c r="T6199">
        <v>859</v>
      </c>
      <c r="U6199">
        <v>264</v>
      </c>
      <c r="V6199">
        <v>0</v>
      </c>
      <c r="W6199">
        <v>123</v>
      </c>
      <c r="X6199">
        <v>630</v>
      </c>
      <c r="Y6199">
        <v>0</v>
      </c>
      <c r="Z6199">
        <v>176</v>
      </c>
      <c r="AA6199">
        <v>2</v>
      </c>
      <c r="AB6199">
        <v>25.719529999999999</v>
      </c>
      <c r="AC6199">
        <v>1.585398E-2</v>
      </c>
      <c r="AD6199">
        <v>3.2313589999999999</v>
      </c>
      <c r="AE6199">
        <v>0.76156590000000002</v>
      </c>
      <c r="AF6199">
        <v>316.15280000000001</v>
      </c>
      <c r="AG6199">
        <f>IFERROR(AH6199*0.1, "N/A")</f>
        <v>6.4281830000000006</v>
      </c>
      <c r="AH6199">
        <v>64.281829999999999</v>
      </c>
      <c r="AI6199">
        <v>122.164</v>
      </c>
      <c r="AJ6199">
        <v>26.674019999999999</v>
      </c>
      <c r="AK6199">
        <v>49.140920000000001</v>
      </c>
    </row>
    <row r="6200" spans="1:37" x14ac:dyDescent="0.3">
      <c r="A6200">
        <v>6199</v>
      </c>
      <c r="B6200">
        <v>0.7</v>
      </c>
      <c r="C6200">
        <v>-7.55985</v>
      </c>
      <c r="D6200">
        <v>12.8627</v>
      </c>
      <c r="E6200">
        <f>-7.55985-12.8627</f>
        <v>-20.422550000000001</v>
      </c>
      <c r="F6200" t="s">
        <v>9636</v>
      </c>
      <c r="G6200" t="s">
        <v>37</v>
      </c>
      <c r="H6200">
        <v>1990</v>
      </c>
      <c r="I6200">
        <v>27.4</v>
      </c>
      <c r="J6200">
        <v>14.9</v>
      </c>
      <c r="K6200">
        <v>57</v>
      </c>
      <c r="L6200">
        <v>25.5</v>
      </c>
      <c r="M6200">
        <v>39.5</v>
      </c>
      <c r="N6200">
        <v>13.8</v>
      </c>
      <c r="O6200">
        <v>25.7</v>
      </c>
      <c r="P6200">
        <v>26.5</v>
      </c>
      <c r="Q6200">
        <v>24.5</v>
      </c>
      <c r="R6200">
        <v>30.9</v>
      </c>
      <c r="S6200">
        <v>24.3</v>
      </c>
      <c r="T6200">
        <v>859</v>
      </c>
      <c r="U6200">
        <v>264</v>
      </c>
      <c r="V6200">
        <v>0</v>
      </c>
      <c r="W6200">
        <v>123</v>
      </c>
      <c r="X6200">
        <v>630</v>
      </c>
      <c r="Y6200">
        <v>0</v>
      </c>
      <c r="Z6200">
        <v>176</v>
      </c>
      <c r="AA6200">
        <v>2</v>
      </c>
      <c r="AB6200">
        <v>25.719529999999999</v>
      </c>
      <c r="AC6200">
        <v>1.585398E-2</v>
      </c>
      <c r="AD6200">
        <v>3.2313589999999999</v>
      </c>
      <c r="AE6200">
        <v>0.76156590000000002</v>
      </c>
      <c r="AF6200">
        <v>316.15280000000001</v>
      </c>
      <c r="AG6200">
        <f>IFERROR(AH6200*0.1, "N/A")</f>
        <v>6.4281830000000006</v>
      </c>
      <c r="AH6200">
        <v>64.281829999999999</v>
      </c>
      <c r="AI6200">
        <v>122.164</v>
      </c>
      <c r="AJ6200">
        <v>26.674019999999999</v>
      </c>
      <c r="AK6200">
        <v>49.140920000000001</v>
      </c>
    </row>
    <row r="6201" spans="1:37" x14ac:dyDescent="0.3">
      <c r="A6201">
        <v>6200</v>
      </c>
      <c r="B6201">
        <v>0</v>
      </c>
      <c r="C6201">
        <v>-4.4257</v>
      </c>
      <c r="D6201">
        <v>12.863300000000001</v>
      </c>
      <c r="E6201">
        <f>-4.4257-12.8633</f>
        <v>-17.289000000000001</v>
      </c>
      <c r="F6201" t="s">
        <v>9637</v>
      </c>
      <c r="G6201" t="s">
        <v>39</v>
      </c>
      <c r="H6201">
        <v>1990</v>
      </c>
      <c r="I6201">
        <v>27.1</v>
      </c>
      <c r="J6201">
        <v>13.8</v>
      </c>
      <c r="K6201">
        <v>57</v>
      </c>
      <c r="L6201">
        <v>26.20579</v>
      </c>
      <c r="M6201">
        <v>38.1</v>
      </c>
      <c r="N6201">
        <v>13.90592</v>
      </c>
      <c r="O6201">
        <v>24.19408</v>
      </c>
      <c r="P6201">
        <v>26.5</v>
      </c>
      <c r="Q6201">
        <v>23.705919999999999</v>
      </c>
      <c r="R6201">
        <v>30.5</v>
      </c>
      <c r="S6201">
        <v>23.705919999999999</v>
      </c>
      <c r="T6201">
        <v>795.94079999999997</v>
      </c>
      <c r="U6201">
        <v>231</v>
      </c>
      <c r="V6201">
        <v>0</v>
      </c>
      <c r="W6201">
        <v>119</v>
      </c>
      <c r="X6201">
        <v>571.94079999999997</v>
      </c>
      <c r="Y6201">
        <v>2</v>
      </c>
      <c r="Z6201">
        <v>178</v>
      </c>
      <c r="AA6201">
        <v>2</v>
      </c>
      <c r="AB6201">
        <v>1.3742890000000001</v>
      </c>
      <c r="AC6201">
        <v>9.3959349999999997E-2</v>
      </c>
      <c r="AD6201">
        <v>1.291231</v>
      </c>
      <c r="AE6201">
        <v>0.67234130000000003</v>
      </c>
      <c r="AF6201">
        <v>361.79020000000003</v>
      </c>
      <c r="AG6201">
        <f>IFERROR(AH6201*0.1, "N/A")</f>
        <v>6.3103210000000001</v>
      </c>
      <c r="AH6201">
        <v>63.103209999999997</v>
      </c>
      <c r="AI6201">
        <v>180.01759999999999</v>
      </c>
      <c r="AJ6201">
        <v>12.675129999999999</v>
      </c>
      <c r="AK6201">
        <v>66.059219999999996</v>
      </c>
    </row>
    <row r="6202" spans="1:37" x14ac:dyDescent="0.3">
      <c r="A6202">
        <v>6201</v>
      </c>
      <c r="B6202">
        <v>0</v>
      </c>
      <c r="C6202">
        <v>-4.4257</v>
      </c>
      <c r="D6202">
        <v>12.863300000000001</v>
      </c>
      <c r="E6202">
        <f>-4.4257-12.8633</f>
        <v>-17.289000000000001</v>
      </c>
      <c r="F6202" t="s">
        <v>9638</v>
      </c>
      <c r="G6202" t="s">
        <v>37</v>
      </c>
      <c r="H6202">
        <v>1990</v>
      </c>
      <c r="I6202">
        <v>27.1</v>
      </c>
      <c r="J6202">
        <v>13.8</v>
      </c>
      <c r="K6202">
        <v>57</v>
      </c>
      <c r="L6202">
        <v>26.20579</v>
      </c>
      <c r="M6202">
        <v>38.1</v>
      </c>
      <c r="N6202">
        <v>13.90592</v>
      </c>
      <c r="O6202">
        <v>24.19408</v>
      </c>
      <c r="P6202">
        <v>26.5</v>
      </c>
      <c r="Q6202">
        <v>23.705919999999999</v>
      </c>
      <c r="R6202">
        <v>30.5</v>
      </c>
      <c r="S6202">
        <v>23.705919999999999</v>
      </c>
      <c r="T6202">
        <v>795.94079999999997</v>
      </c>
      <c r="U6202">
        <v>231</v>
      </c>
      <c r="V6202">
        <v>0</v>
      </c>
      <c r="W6202">
        <v>119</v>
      </c>
      <c r="X6202">
        <v>571.94079999999997</v>
      </c>
      <c r="Y6202">
        <v>2</v>
      </c>
      <c r="Z6202">
        <v>178</v>
      </c>
      <c r="AA6202">
        <v>2</v>
      </c>
      <c r="AB6202">
        <v>1.3742890000000001</v>
      </c>
      <c r="AC6202">
        <v>9.3959349999999997E-2</v>
      </c>
      <c r="AD6202">
        <v>1.291231</v>
      </c>
      <c r="AE6202">
        <v>0.67234130000000003</v>
      </c>
      <c r="AF6202">
        <v>361.79020000000003</v>
      </c>
      <c r="AG6202">
        <f>IFERROR(AH6202*0.1, "N/A")</f>
        <v>6.3103210000000001</v>
      </c>
      <c r="AH6202">
        <v>63.103209999999997</v>
      </c>
      <c r="AI6202">
        <v>180.01759999999999</v>
      </c>
      <c r="AJ6202">
        <v>12.675129999999999</v>
      </c>
      <c r="AK6202">
        <v>66.059219999999996</v>
      </c>
    </row>
    <row r="6203" spans="1:37" x14ac:dyDescent="0.3">
      <c r="A6203">
        <v>6202</v>
      </c>
      <c r="B6203">
        <v>85</v>
      </c>
      <c r="C6203">
        <v>-7.57</v>
      </c>
      <c r="D6203">
        <v>12.867000000000001</v>
      </c>
      <c r="E6203">
        <f>-7.57-12.867</f>
        <v>-20.437000000000001</v>
      </c>
      <c r="F6203" t="s">
        <v>9639</v>
      </c>
      <c r="G6203" t="s">
        <v>39</v>
      </c>
      <c r="H6203">
        <v>1987</v>
      </c>
      <c r="I6203">
        <v>27.22944</v>
      </c>
      <c r="J6203">
        <v>14.9</v>
      </c>
      <c r="K6203">
        <v>57.852789999999999</v>
      </c>
      <c r="L6203">
        <v>25.075019999999999</v>
      </c>
      <c r="M6203">
        <v>39.244160000000001</v>
      </c>
      <c r="N6203">
        <v>13.71472</v>
      </c>
      <c r="O6203">
        <v>25.529440000000001</v>
      </c>
      <c r="P6203">
        <v>26.329440000000002</v>
      </c>
      <c r="Q6203">
        <v>24.42944</v>
      </c>
      <c r="R6203">
        <v>30.629439999999999</v>
      </c>
      <c r="S6203">
        <v>24.22944</v>
      </c>
      <c r="T6203">
        <v>863.41120000000001</v>
      </c>
      <c r="U6203">
        <v>264.1472</v>
      </c>
      <c r="V6203">
        <v>0</v>
      </c>
      <c r="W6203">
        <v>122.1472</v>
      </c>
      <c r="X6203">
        <v>635.26400000000001</v>
      </c>
      <c r="Y6203">
        <v>0</v>
      </c>
      <c r="Z6203">
        <v>174.2944</v>
      </c>
      <c r="AA6203">
        <v>2</v>
      </c>
      <c r="AB6203">
        <v>38.421990000000001</v>
      </c>
      <c r="AC6203">
        <v>2.4334890000000001E-2</v>
      </c>
      <c r="AD6203">
        <v>2.4045679999999998</v>
      </c>
      <c r="AE6203">
        <v>0.60881940000000001</v>
      </c>
      <c r="AF6203">
        <v>346.33839999999998</v>
      </c>
      <c r="AG6203">
        <f>IFERROR(AH6203*0.1, "N/A")</f>
        <v>6.4</v>
      </c>
      <c r="AH6203">
        <v>64</v>
      </c>
      <c r="AI6203">
        <v>152.05029999999999</v>
      </c>
      <c r="AJ6203">
        <v>22.99831</v>
      </c>
      <c r="AK6203">
        <v>54</v>
      </c>
    </row>
    <row r="6204" spans="1:37" x14ac:dyDescent="0.3">
      <c r="A6204">
        <v>6203</v>
      </c>
      <c r="B6204">
        <v>3.1</v>
      </c>
      <c r="C6204">
        <v>-5.6031899999999997</v>
      </c>
      <c r="D6204">
        <v>12.8729</v>
      </c>
      <c r="E6204">
        <f>-5.60319-12.8729</f>
        <v>-18.476089999999999</v>
      </c>
      <c r="F6204" t="s">
        <v>9640</v>
      </c>
      <c r="G6204" t="s">
        <v>39</v>
      </c>
      <c r="H6204">
        <v>1990</v>
      </c>
      <c r="I6204">
        <v>27.5</v>
      </c>
      <c r="J6204">
        <v>14.2</v>
      </c>
      <c r="K6204">
        <v>56</v>
      </c>
      <c r="L6204">
        <v>25.48</v>
      </c>
      <c r="M6204">
        <v>38.700000000000003</v>
      </c>
      <c r="N6204">
        <v>13.7</v>
      </c>
      <c r="O6204">
        <v>25</v>
      </c>
      <c r="P6204">
        <v>26.7</v>
      </c>
      <c r="Q6204">
        <v>24.4</v>
      </c>
      <c r="R6204">
        <v>30.8</v>
      </c>
      <c r="S6204">
        <v>24.3</v>
      </c>
      <c r="T6204">
        <v>795</v>
      </c>
      <c r="U6204">
        <v>236</v>
      </c>
      <c r="V6204">
        <v>0</v>
      </c>
      <c r="W6204">
        <v>117</v>
      </c>
      <c r="X6204">
        <v>564</v>
      </c>
      <c r="Y6204">
        <v>1</v>
      </c>
      <c r="Z6204">
        <v>77</v>
      </c>
      <c r="AA6204">
        <v>3</v>
      </c>
      <c r="AB6204">
        <v>0.6043965</v>
      </c>
      <c r="AC6204">
        <v>0.50361129999999998</v>
      </c>
      <c r="AD6204">
        <v>1.4103190000000001</v>
      </c>
      <c r="AE6204">
        <v>0.64892629999999996</v>
      </c>
      <c r="AF6204">
        <v>287.47289999999998</v>
      </c>
      <c r="AG6204">
        <f>IFERROR(AH6204*0.1, "N/A")</f>
        <v>5.9</v>
      </c>
      <c r="AH6204">
        <v>59</v>
      </c>
      <c r="AI6204">
        <v>205.14359999999999</v>
      </c>
      <c r="AJ6204">
        <v>13</v>
      </c>
      <c r="AK6204">
        <v>61</v>
      </c>
    </row>
    <row r="6205" spans="1:37" x14ac:dyDescent="0.3">
      <c r="A6205">
        <v>6204</v>
      </c>
      <c r="B6205">
        <v>0</v>
      </c>
      <c r="C6205">
        <v>-5.6031899999999997</v>
      </c>
      <c r="D6205">
        <v>12.8729</v>
      </c>
      <c r="E6205">
        <f>-5.60319-12.8729</f>
        <v>-18.476089999999999</v>
      </c>
      <c r="F6205" t="s">
        <v>9641</v>
      </c>
      <c r="G6205" t="s">
        <v>37</v>
      </c>
      <c r="H6205">
        <v>1990</v>
      </c>
      <c r="I6205">
        <v>27.5</v>
      </c>
      <c r="J6205">
        <v>14.2</v>
      </c>
      <c r="K6205">
        <v>56</v>
      </c>
      <c r="L6205">
        <v>25.48</v>
      </c>
      <c r="M6205">
        <v>38.700000000000003</v>
      </c>
      <c r="N6205">
        <v>13.7</v>
      </c>
      <c r="O6205">
        <v>25</v>
      </c>
      <c r="P6205">
        <v>26.7</v>
      </c>
      <c r="Q6205">
        <v>24.4</v>
      </c>
      <c r="R6205">
        <v>30.8</v>
      </c>
      <c r="S6205">
        <v>24.3</v>
      </c>
      <c r="T6205">
        <v>795</v>
      </c>
      <c r="U6205">
        <v>236</v>
      </c>
      <c r="V6205">
        <v>0</v>
      </c>
      <c r="W6205">
        <v>117</v>
      </c>
      <c r="X6205">
        <v>564</v>
      </c>
      <c r="Y6205">
        <v>1</v>
      </c>
      <c r="Z6205">
        <v>77</v>
      </c>
      <c r="AA6205">
        <v>3</v>
      </c>
      <c r="AB6205">
        <v>0.6043965</v>
      </c>
      <c r="AC6205">
        <v>0.50361129999999998</v>
      </c>
      <c r="AD6205">
        <v>1.4103190000000001</v>
      </c>
      <c r="AE6205">
        <v>0.64892629999999996</v>
      </c>
      <c r="AF6205">
        <v>287.47289999999998</v>
      </c>
      <c r="AG6205">
        <f>IFERROR(AH6205*0.1, "N/A")</f>
        <v>5.9</v>
      </c>
      <c r="AH6205">
        <v>59</v>
      </c>
      <c r="AI6205">
        <v>205.14359999999999</v>
      </c>
      <c r="AJ6205">
        <v>13</v>
      </c>
      <c r="AK6205">
        <v>61</v>
      </c>
    </row>
    <row r="6206" spans="1:37" x14ac:dyDescent="0.3">
      <c r="A6206">
        <v>6205</v>
      </c>
      <c r="B6206">
        <v>75</v>
      </c>
      <c r="C6206">
        <v>-7.5441900000000004</v>
      </c>
      <c r="D6206">
        <v>12.887600000000001</v>
      </c>
      <c r="E6206">
        <f>-7.54419-12.8876</f>
        <v>-20.431789999999999</v>
      </c>
      <c r="F6206" t="s">
        <v>9642</v>
      </c>
      <c r="G6206" t="s">
        <v>39</v>
      </c>
      <c r="H6206">
        <v>1990</v>
      </c>
      <c r="I6206">
        <v>27.5</v>
      </c>
      <c r="J6206">
        <v>14.9</v>
      </c>
      <c r="K6206">
        <v>57</v>
      </c>
      <c r="L6206">
        <v>25.9</v>
      </c>
      <c r="M6206">
        <v>39.700000000000003</v>
      </c>
      <c r="N6206">
        <v>13.7</v>
      </c>
      <c r="O6206">
        <v>26</v>
      </c>
      <c r="P6206">
        <v>26.5</v>
      </c>
      <c r="Q6206">
        <v>24.5</v>
      </c>
      <c r="R6206">
        <v>31</v>
      </c>
      <c r="S6206">
        <v>24.4</v>
      </c>
      <c r="T6206">
        <v>854</v>
      </c>
      <c r="U6206">
        <v>263</v>
      </c>
      <c r="V6206">
        <v>0</v>
      </c>
      <c r="W6206">
        <v>122</v>
      </c>
      <c r="X6206">
        <v>628</v>
      </c>
      <c r="Y6206">
        <v>0</v>
      </c>
      <c r="Z6206">
        <v>174</v>
      </c>
      <c r="AA6206">
        <v>2</v>
      </c>
      <c r="AB6206">
        <v>10.940250000000001</v>
      </c>
      <c r="AC6206">
        <v>1.396995E-2</v>
      </c>
      <c r="AD6206">
        <v>0.74988929999999998</v>
      </c>
      <c r="AE6206">
        <v>0.65990899999999997</v>
      </c>
      <c r="AF6206">
        <v>299.06790000000001</v>
      </c>
      <c r="AG6206">
        <f>IFERROR(AH6206*0.1, "N/A")</f>
        <v>6.1392190000000006</v>
      </c>
      <c r="AH6206">
        <v>61.392189999999999</v>
      </c>
      <c r="AI6206">
        <v>81.181219999999996</v>
      </c>
      <c r="AJ6206">
        <v>22.176570000000002</v>
      </c>
      <c r="AK6206">
        <v>54</v>
      </c>
    </row>
    <row r="6207" spans="1:37" x14ac:dyDescent="0.3">
      <c r="A6207">
        <v>6206</v>
      </c>
      <c r="B6207">
        <v>2</v>
      </c>
      <c r="C6207">
        <v>-7.5441900000000004</v>
      </c>
      <c r="D6207">
        <v>12.887600000000001</v>
      </c>
      <c r="E6207">
        <f>-7.54419-12.8876</f>
        <v>-20.431789999999999</v>
      </c>
      <c r="F6207" t="s">
        <v>9643</v>
      </c>
      <c r="G6207" t="s">
        <v>37</v>
      </c>
      <c r="H6207">
        <v>1990</v>
      </c>
      <c r="I6207">
        <v>27.5</v>
      </c>
      <c r="J6207">
        <v>14.9</v>
      </c>
      <c r="K6207">
        <v>57</v>
      </c>
      <c r="L6207">
        <v>25.9</v>
      </c>
      <c r="M6207">
        <v>39.700000000000003</v>
      </c>
      <c r="N6207">
        <v>13.7</v>
      </c>
      <c r="O6207">
        <v>26</v>
      </c>
      <c r="P6207">
        <v>26.5</v>
      </c>
      <c r="Q6207">
        <v>24.5</v>
      </c>
      <c r="R6207">
        <v>31</v>
      </c>
      <c r="S6207">
        <v>24.4</v>
      </c>
      <c r="T6207">
        <v>854</v>
      </c>
      <c r="U6207">
        <v>263</v>
      </c>
      <c r="V6207">
        <v>0</v>
      </c>
      <c r="W6207">
        <v>122</v>
      </c>
      <c r="X6207">
        <v>628</v>
      </c>
      <c r="Y6207">
        <v>0</v>
      </c>
      <c r="Z6207">
        <v>174</v>
      </c>
      <c r="AA6207">
        <v>2</v>
      </c>
      <c r="AB6207">
        <v>10.940250000000001</v>
      </c>
      <c r="AC6207">
        <v>1.396995E-2</v>
      </c>
      <c r="AD6207">
        <v>0.74988929999999998</v>
      </c>
      <c r="AE6207">
        <v>0.65990899999999997</v>
      </c>
      <c r="AF6207">
        <v>299.06790000000001</v>
      </c>
      <c r="AG6207">
        <f>IFERROR(AH6207*0.1, "N/A")</f>
        <v>6.1392190000000006</v>
      </c>
      <c r="AH6207">
        <v>61.392189999999999</v>
      </c>
      <c r="AI6207">
        <v>81.181219999999996</v>
      </c>
      <c r="AJ6207">
        <v>22.176570000000002</v>
      </c>
      <c r="AK6207">
        <v>54</v>
      </c>
    </row>
    <row r="6208" spans="1:37" x14ac:dyDescent="0.3">
      <c r="A6208">
        <v>6207</v>
      </c>
      <c r="B6208">
        <v>6.6</v>
      </c>
      <c r="C6208">
        <v>-5.9686000000000003</v>
      </c>
      <c r="D6208">
        <v>12.902799999999999</v>
      </c>
      <c r="E6208">
        <f>-5.9686-12.9028</f>
        <v>-18.871400000000001</v>
      </c>
      <c r="F6208" t="s">
        <v>9644</v>
      </c>
      <c r="G6208" t="s">
        <v>39</v>
      </c>
      <c r="H6208">
        <v>1990</v>
      </c>
      <c r="I6208">
        <v>27.5</v>
      </c>
      <c r="J6208">
        <v>14</v>
      </c>
      <c r="K6208">
        <v>57</v>
      </c>
      <c r="L6208">
        <v>25.5</v>
      </c>
      <c r="M6208">
        <v>38.700000000000003</v>
      </c>
      <c r="N6208">
        <v>14.2</v>
      </c>
      <c r="O6208">
        <v>24.5</v>
      </c>
      <c r="P6208">
        <v>26.6</v>
      </c>
      <c r="Q6208">
        <v>24.4</v>
      </c>
      <c r="R6208">
        <v>30.9</v>
      </c>
      <c r="S6208">
        <v>24.4</v>
      </c>
      <c r="T6208">
        <v>800</v>
      </c>
      <c r="U6208">
        <v>249</v>
      </c>
      <c r="V6208">
        <v>0</v>
      </c>
      <c r="W6208">
        <v>122</v>
      </c>
      <c r="X6208">
        <v>580</v>
      </c>
      <c r="Y6208">
        <v>1</v>
      </c>
      <c r="Z6208">
        <v>168</v>
      </c>
      <c r="AA6208">
        <v>3</v>
      </c>
      <c r="AB6208">
        <v>0.63452070000000005</v>
      </c>
      <c r="AC6208">
        <v>0.61648190000000003</v>
      </c>
      <c r="AD6208">
        <v>1.0225930000000001</v>
      </c>
      <c r="AE6208">
        <v>0.69605890000000004</v>
      </c>
      <c r="AF6208">
        <v>300.8646</v>
      </c>
      <c r="AG6208">
        <f>IFERROR(AH6208*0.1, "N/A")</f>
        <v>5.5944159999999998</v>
      </c>
      <c r="AH6208">
        <v>55.944159999999997</v>
      </c>
      <c r="AI6208">
        <v>199.35319999999999</v>
      </c>
      <c r="AJ6208">
        <v>11.30964</v>
      </c>
      <c r="AK6208">
        <v>59</v>
      </c>
    </row>
    <row r="6209" spans="1:37" x14ac:dyDescent="0.3">
      <c r="A6209">
        <v>6208</v>
      </c>
      <c r="B6209">
        <v>0</v>
      </c>
      <c r="C6209">
        <v>-5.9686000000000003</v>
      </c>
      <c r="D6209">
        <v>12.902799999999999</v>
      </c>
      <c r="E6209">
        <f>-5.9686-12.9028</f>
        <v>-18.871400000000001</v>
      </c>
      <c r="F6209" t="s">
        <v>9645</v>
      </c>
      <c r="G6209" t="s">
        <v>37</v>
      </c>
      <c r="H6209">
        <v>1990</v>
      </c>
      <c r="I6209">
        <v>27.5</v>
      </c>
      <c r="J6209">
        <v>14</v>
      </c>
      <c r="K6209">
        <v>57</v>
      </c>
      <c r="L6209">
        <v>25.5</v>
      </c>
      <c r="M6209">
        <v>38.700000000000003</v>
      </c>
      <c r="N6209">
        <v>14.2</v>
      </c>
      <c r="O6209">
        <v>24.5</v>
      </c>
      <c r="P6209">
        <v>26.6</v>
      </c>
      <c r="Q6209">
        <v>24.4</v>
      </c>
      <c r="R6209">
        <v>30.9</v>
      </c>
      <c r="S6209">
        <v>24.4</v>
      </c>
      <c r="T6209">
        <v>800</v>
      </c>
      <c r="U6209">
        <v>249</v>
      </c>
      <c r="V6209">
        <v>0</v>
      </c>
      <c r="W6209">
        <v>122</v>
      </c>
      <c r="X6209">
        <v>580</v>
      </c>
      <c r="Y6209">
        <v>1</v>
      </c>
      <c r="Z6209">
        <v>168</v>
      </c>
      <c r="AA6209">
        <v>3</v>
      </c>
      <c r="AB6209">
        <v>0.63452070000000005</v>
      </c>
      <c r="AC6209">
        <v>0.61648190000000003</v>
      </c>
      <c r="AD6209">
        <v>1.0225930000000001</v>
      </c>
      <c r="AE6209">
        <v>0.69605890000000004</v>
      </c>
      <c r="AF6209">
        <v>300.8646</v>
      </c>
      <c r="AG6209">
        <f>IFERROR(AH6209*0.1, "N/A")</f>
        <v>5.5944159999999998</v>
      </c>
      <c r="AH6209">
        <v>55.944159999999997</v>
      </c>
      <c r="AI6209">
        <v>199.35319999999999</v>
      </c>
      <c r="AJ6209">
        <v>11.30964</v>
      </c>
      <c r="AK6209">
        <v>59</v>
      </c>
    </row>
    <row r="6210" spans="1:37" x14ac:dyDescent="0.3">
      <c r="A6210">
        <v>6209</v>
      </c>
      <c r="B6210">
        <v>9.1999999999999993</v>
      </c>
      <c r="C6210">
        <v>-5.9589299999999996</v>
      </c>
      <c r="D6210">
        <v>12.924799999999999</v>
      </c>
      <c r="E6210">
        <f>-5.95893-12.9248</f>
        <v>-18.88373</v>
      </c>
      <c r="F6210" t="s">
        <v>9646</v>
      </c>
      <c r="G6210" t="s">
        <v>39</v>
      </c>
      <c r="H6210">
        <v>1990</v>
      </c>
      <c r="I6210">
        <v>27.42041</v>
      </c>
      <c r="J6210">
        <v>14.09422</v>
      </c>
      <c r="K6210">
        <v>57</v>
      </c>
      <c r="L6210">
        <v>24.784859999999998</v>
      </c>
      <c r="M6210">
        <v>38.588430000000002</v>
      </c>
      <c r="N6210">
        <v>14.18844</v>
      </c>
      <c r="O6210">
        <v>24.4</v>
      </c>
      <c r="P6210">
        <v>26.588439999999999</v>
      </c>
      <c r="Q6210">
        <v>24.488440000000001</v>
      </c>
      <c r="R6210">
        <v>30.68844</v>
      </c>
      <c r="S6210">
        <v>24.476019999999998</v>
      </c>
      <c r="T6210">
        <v>797.84519999999998</v>
      </c>
      <c r="U6210">
        <v>248.55609999999999</v>
      </c>
      <c r="V6210">
        <v>0</v>
      </c>
      <c r="W6210">
        <v>122.0578</v>
      </c>
      <c r="X6210">
        <v>579.67179999999996</v>
      </c>
      <c r="Y6210">
        <v>1</v>
      </c>
      <c r="Z6210">
        <v>70.955780000000004</v>
      </c>
      <c r="AA6210">
        <v>2.057823</v>
      </c>
      <c r="AB6210">
        <v>0.98214179999999995</v>
      </c>
      <c r="AC6210">
        <v>0.29436269999999998</v>
      </c>
      <c r="AD6210">
        <v>1.0937509999999999</v>
      </c>
      <c r="AE6210">
        <v>0.67508259999999998</v>
      </c>
      <c r="AF6210">
        <v>305.84350000000001</v>
      </c>
      <c r="AG6210">
        <f>IFERROR(AH6210*0.1, "N/A")</f>
        <v>5.2659860000000007</v>
      </c>
      <c r="AH6210">
        <v>52.659860000000002</v>
      </c>
      <c r="AI6210">
        <v>224.393</v>
      </c>
      <c r="AJ6210">
        <v>9.3639460000000003</v>
      </c>
      <c r="AK6210">
        <v>62.37585</v>
      </c>
    </row>
    <row r="6211" spans="1:37" x14ac:dyDescent="0.3">
      <c r="A6211">
        <v>6210</v>
      </c>
      <c r="B6211">
        <v>0</v>
      </c>
      <c r="C6211">
        <v>-5.9589299999999996</v>
      </c>
      <c r="D6211">
        <v>12.924799999999999</v>
      </c>
      <c r="E6211">
        <f>-5.95893-12.9248</f>
        <v>-18.88373</v>
      </c>
      <c r="F6211" t="s">
        <v>9647</v>
      </c>
      <c r="G6211" t="s">
        <v>37</v>
      </c>
      <c r="H6211">
        <v>1990</v>
      </c>
      <c r="I6211">
        <v>27.42041</v>
      </c>
      <c r="J6211">
        <v>14.09422</v>
      </c>
      <c r="K6211">
        <v>57</v>
      </c>
      <c r="L6211">
        <v>24.784859999999998</v>
      </c>
      <c r="M6211">
        <v>38.588430000000002</v>
      </c>
      <c r="N6211">
        <v>14.18844</v>
      </c>
      <c r="O6211">
        <v>24.4</v>
      </c>
      <c r="P6211">
        <v>26.588439999999999</v>
      </c>
      <c r="Q6211">
        <v>24.488440000000001</v>
      </c>
      <c r="R6211">
        <v>30.68844</v>
      </c>
      <c r="S6211">
        <v>24.476019999999998</v>
      </c>
      <c r="T6211">
        <v>797.84519999999998</v>
      </c>
      <c r="U6211">
        <v>248.55609999999999</v>
      </c>
      <c r="V6211">
        <v>0</v>
      </c>
      <c r="W6211">
        <v>122.0578</v>
      </c>
      <c r="X6211">
        <v>579.67179999999996</v>
      </c>
      <c r="Y6211">
        <v>1</v>
      </c>
      <c r="Z6211">
        <v>70.955780000000004</v>
      </c>
      <c r="AA6211">
        <v>2.057823</v>
      </c>
      <c r="AB6211">
        <v>0.98214179999999995</v>
      </c>
      <c r="AC6211">
        <v>0.29436269999999998</v>
      </c>
      <c r="AD6211">
        <v>1.0937509999999999</v>
      </c>
      <c r="AE6211">
        <v>0.67508259999999998</v>
      </c>
      <c r="AF6211">
        <v>305.84350000000001</v>
      </c>
      <c r="AG6211">
        <f>IFERROR(AH6211*0.1, "N/A")</f>
        <v>5.2659860000000007</v>
      </c>
      <c r="AH6211">
        <v>52.659860000000002</v>
      </c>
      <c r="AI6211">
        <v>224.393</v>
      </c>
      <c r="AJ6211">
        <v>9.3639460000000003</v>
      </c>
      <c r="AK6211">
        <v>62.37585</v>
      </c>
    </row>
    <row r="6212" spans="1:37" x14ac:dyDescent="0.3">
      <c r="A6212">
        <v>6211</v>
      </c>
      <c r="B6212">
        <v>16</v>
      </c>
      <c r="C6212">
        <v>-11.101000000000001</v>
      </c>
      <c r="D6212">
        <v>12.967000000000001</v>
      </c>
      <c r="E6212">
        <f>-11.101-12.967</f>
        <v>-24.068000000000001</v>
      </c>
      <c r="F6212" t="s">
        <v>9648</v>
      </c>
      <c r="G6212" t="s">
        <v>39</v>
      </c>
      <c r="H6212">
        <v>1987</v>
      </c>
      <c r="I6212">
        <v>26.50611</v>
      </c>
      <c r="J6212">
        <v>12.60153</v>
      </c>
      <c r="K6212">
        <v>57</v>
      </c>
      <c r="L6212">
        <v>21.13382</v>
      </c>
      <c r="M6212">
        <v>37.307639999999999</v>
      </c>
      <c r="N6212">
        <v>15.504580000000001</v>
      </c>
      <c r="O6212">
        <v>21.803059999999999</v>
      </c>
      <c r="P6212">
        <v>25.104579999999999</v>
      </c>
      <c r="Q6212">
        <v>26.706109999999999</v>
      </c>
      <c r="R6212">
        <v>29.707640000000001</v>
      </c>
      <c r="S6212">
        <v>24.50611</v>
      </c>
      <c r="T6212">
        <v>1126.9079999999999</v>
      </c>
      <c r="U6212">
        <v>325.96940000000001</v>
      </c>
      <c r="V6212">
        <v>0</v>
      </c>
      <c r="W6212">
        <v>121.9847</v>
      </c>
      <c r="X6212">
        <v>817.93889999999999</v>
      </c>
      <c r="Y6212">
        <v>0</v>
      </c>
      <c r="Z6212">
        <v>57</v>
      </c>
      <c r="AA6212">
        <v>5.9847200000000003</v>
      </c>
      <c r="AB6212">
        <v>15.30847</v>
      </c>
      <c r="AC6212">
        <v>4.440094E-2</v>
      </c>
      <c r="AD6212">
        <v>7.1162739999999998</v>
      </c>
      <c r="AE6212">
        <v>0.26083689999999998</v>
      </c>
      <c r="AF6212">
        <v>395.78100000000001</v>
      </c>
      <c r="AG6212">
        <f>IFERROR(AH6212*0.1, "N/A")</f>
        <v>5.9030560000000003</v>
      </c>
      <c r="AH6212">
        <v>59.030560000000001</v>
      </c>
      <c r="AI6212">
        <v>161.2714</v>
      </c>
      <c r="AJ6212">
        <v>23.984719999999999</v>
      </c>
      <c r="AK6212">
        <v>51.015279999999997</v>
      </c>
    </row>
    <row r="6213" spans="1:37" x14ac:dyDescent="0.3">
      <c r="A6213">
        <v>6212</v>
      </c>
      <c r="B6213">
        <v>4</v>
      </c>
      <c r="C6213">
        <v>-11.101000000000001</v>
      </c>
      <c r="D6213">
        <v>12.967000000000001</v>
      </c>
      <c r="E6213">
        <f>-11.101-12.967</f>
        <v>-24.068000000000001</v>
      </c>
      <c r="F6213" t="s">
        <v>9649</v>
      </c>
      <c r="G6213" t="s">
        <v>37</v>
      </c>
      <c r="H6213">
        <v>1987</v>
      </c>
      <c r="I6213">
        <v>26.50611</v>
      </c>
      <c r="J6213">
        <v>12.60153</v>
      </c>
      <c r="K6213">
        <v>57</v>
      </c>
      <c r="L6213">
        <v>21.13382</v>
      </c>
      <c r="M6213">
        <v>37.307639999999999</v>
      </c>
      <c r="N6213">
        <v>15.504580000000001</v>
      </c>
      <c r="O6213">
        <v>21.803059999999999</v>
      </c>
      <c r="P6213">
        <v>25.104579999999999</v>
      </c>
      <c r="Q6213">
        <v>26.706109999999999</v>
      </c>
      <c r="R6213">
        <v>29.707640000000001</v>
      </c>
      <c r="S6213">
        <v>24.50611</v>
      </c>
      <c r="T6213">
        <v>1126.9079999999999</v>
      </c>
      <c r="U6213">
        <v>325.96940000000001</v>
      </c>
      <c r="V6213">
        <v>0</v>
      </c>
      <c r="W6213">
        <v>121.9847</v>
      </c>
      <c r="X6213">
        <v>817.93889999999999</v>
      </c>
      <c r="Y6213">
        <v>0</v>
      </c>
      <c r="Z6213">
        <v>57</v>
      </c>
      <c r="AA6213">
        <v>5.9847200000000003</v>
      </c>
      <c r="AB6213">
        <v>15.30847</v>
      </c>
      <c r="AC6213">
        <v>4.440094E-2</v>
      </c>
      <c r="AD6213">
        <v>7.1162739999999998</v>
      </c>
      <c r="AE6213">
        <v>0.26083689999999998</v>
      </c>
      <c r="AF6213">
        <v>395.78100000000001</v>
      </c>
      <c r="AG6213">
        <f>IFERROR(AH6213*0.1, "N/A")</f>
        <v>5.9030560000000003</v>
      </c>
      <c r="AH6213">
        <v>59.030560000000001</v>
      </c>
      <c r="AI6213">
        <v>161.2714</v>
      </c>
      <c r="AJ6213">
        <v>23.984719999999999</v>
      </c>
      <c r="AK6213">
        <v>51.015279999999997</v>
      </c>
    </row>
    <row r="6214" spans="1:37" x14ac:dyDescent="0.3">
      <c r="A6214">
        <v>6213</v>
      </c>
      <c r="B6214">
        <v>27.6</v>
      </c>
      <c r="C6214">
        <v>-9.8724699999999999</v>
      </c>
      <c r="D6214">
        <v>12.9701</v>
      </c>
      <c r="E6214">
        <f>-9.87247-12.9701</f>
        <v>-22.842570000000002</v>
      </c>
      <c r="F6214" t="s">
        <v>9650</v>
      </c>
      <c r="G6214" t="s">
        <v>39</v>
      </c>
      <c r="H6214">
        <v>1990</v>
      </c>
      <c r="I6214">
        <v>27.4</v>
      </c>
      <c r="J6214">
        <v>13.5</v>
      </c>
      <c r="K6214">
        <v>57</v>
      </c>
      <c r="L6214">
        <v>24.71</v>
      </c>
      <c r="M6214">
        <v>39</v>
      </c>
      <c r="N6214">
        <v>15.7</v>
      </c>
      <c r="O6214">
        <v>23.3</v>
      </c>
      <c r="P6214">
        <v>25.9</v>
      </c>
      <c r="Q6214">
        <v>25.3</v>
      </c>
      <c r="R6214">
        <v>31.1</v>
      </c>
      <c r="S6214">
        <v>24.9</v>
      </c>
      <c r="T6214">
        <v>1021</v>
      </c>
      <c r="U6214">
        <v>296</v>
      </c>
      <c r="V6214">
        <v>0</v>
      </c>
      <c r="W6214">
        <v>119</v>
      </c>
      <c r="X6214">
        <v>737</v>
      </c>
      <c r="Y6214">
        <v>0</v>
      </c>
      <c r="Z6214">
        <v>61</v>
      </c>
      <c r="AA6214">
        <v>6</v>
      </c>
      <c r="AB6214">
        <v>6.1780660000000003</v>
      </c>
      <c r="AC6214">
        <v>1.259235E-2</v>
      </c>
      <c r="AD6214">
        <v>2.2036509999999998</v>
      </c>
      <c r="AE6214">
        <v>0.67245080000000002</v>
      </c>
      <c r="AF6214">
        <v>319.99329999999998</v>
      </c>
      <c r="AG6214">
        <f>IFERROR(AH6214*0.1, "N/A")</f>
        <v>6.1305230000000002</v>
      </c>
      <c r="AH6214">
        <v>61.305230000000002</v>
      </c>
      <c r="AI6214">
        <v>303.61829999999998</v>
      </c>
      <c r="AJ6214">
        <v>15.30523</v>
      </c>
      <c r="AK6214">
        <v>57.16863</v>
      </c>
    </row>
    <row r="6215" spans="1:37" x14ac:dyDescent="0.3">
      <c r="A6215">
        <v>6214</v>
      </c>
      <c r="B6215">
        <v>26.9</v>
      </c>
      <c r="C6215">
        <v>-9.8724699999999999</v>
      </c>
      <c r="D6215">
        <v>12.9701</v>
      </c>
      <c r="E6215">
        <f>-9.87247-12.9701</f>
        <v>-22.842570000000002</v>
      </c>
      <c r="F6215" t="s">
        <v>9651</v>
      </c>
      <c r="G6215" t="s">
        <v>37</v>
      </c>
      <c r="H6215">
        <v>1990</v>
      </c>
      <c r="I6215">
        <v>27.4</v>
      </c>
      <c r="J6215">
        <v>13.5</v>
      </c>
      <c r="K6215">
        <v>57</v>
      </c>
      <c r="L6215">
        <v>24.71</v>
      </c>
      <c r="M6215">
        <v>39</v>
      </c>
      <c r="N6215">
        <v>15.7</v>
      </c>
      <c r="O6215">
        <v>23.3</v>
      </c>
      <c r="P6215">
        <v>25.9</v>
      </c>
      <c r="Q6215">
        <v>25.3</v>
      </c>
      <c r="R6215">
        <v>31.1</v>
      </c>
      <c r="S6215">
        <v>24.9</v>
      </c>
      <c r="T6215">
        <v>1021</v>
      </c>
      <c r="U6215">
        <v>296</v>
      </c>
      <c r="V6215">
        <v>0</v>
      </c>
      <c r="W6215">
        <v>119</v>
      </c>
      <c r="X6215">
        <v>737</v>
      </c>
      <c r="Y6215">
        <v>0</v>
      </c>
      <c r="Z6215">
        <v>61</v>
      </c>
      <c r="AA6215">
        <v>6</v>
      </c>
      <c r="AB6215">
        <v>6.1780660000000003</v>
      </c>
      <c r="AC6215">
        <v>1.259235E-2</v>
      </c>
      <c r="AD6215">
        <v>2.2036509999999998</v>
      </c>
      <c r="AE6215">
        <v>0.67245080000000002</v>
      </c>
      <c r="AF6215">
        <v>319.99329999999998</v>
      </c>
      <c r="AG6215">
        <f>IFERROR(AH6215*0.1, "N/A")</f>
        <v>6.1305230000000002</v>
      </c>
      <c r="AH6215">
        <v>61.305230000000002</v>
      </c>
      <c r="AI6215">
        <v>303.61829999999998</v>
      </c>
      <c r="AJ6215">
        <v>15.30523</v>
      </c>
      <c r="AK6215">
        <v>57.16863</v>
      </c>
    </row>
    <row r="6216" spans="1:37" x14ac:dyDescent="0.3">
      <c r="A6216">
        <v>6215</v>
      </c>
      <c r="B6216">
        <v>3.8</v>
      </c>
      <c r="C6216">
        <v>-5.6825999999999999</v>
      </c>
      <c r="D6216">
        <v>12.991099999999999</v>
      </c>
      <c r="E6216">
        <f>-5.6826-12.9911</f>
        <v>-18.6737</v>
      </c>
      <c r="F6216" t="s">
        <v>9652</v>
      </c>
      <c r="G6216" t="s">
        <v>39</v>
      </c>
      <c r="H6216">
        <v>1990</v>
      </c>
      <c r="I6216">
        <v>27.5</v>
      </c>
      <c r="J6216">
        <v>14.32483</v>
      </c>
      <c r="K6216">
        <v>56</v>
      </c>
      <c r="L6216">
        <v>25.699929999999998</v>
      </c>
      <c r="M6216">
        <v>38.9</v>
      </c>
      <c r="N6216">
        <v>13.6</v>
      </c>
      <c r="O6216">
        <v>25.3</v>
      </c>
      <c r="P6216">
        <v>26.775169999999999</v>
      </c>
      <c r="Q6216">
        <v>24.324829999999999</v>
      </c>
      <c r="R6216">
        <v>30.8</v>
      </c>
      <c r="S6216">
        <v>24.3</v>
      </c>
      <c r="T6216">
        <v>785</v>
      </c>
      <c r="U6216">
        <v>240</v>
      </c>
      <c r="V6216">
        <v>0</v>
      </c>
      <c r="W6216">
        <v>121</v>
      </c>
      <c r="X6216">
        <v>567</v>
      </c>
      <c r="Y6216">
        <v>1</v>
      </c>
      <c r="Z6216">
        <v>67</v>
      </c>
      <c r="AA6216">
        <v>2</v>
      </c>
      <c r="AB6216">
        <v>1.2097990000000001</v>
      </c>
      <c r="AC6216">
        <v>4.5594099999999999E-2</v>
      </c>
      <c r="AD6216">
        <v>2.2032790000000002</v>
      </c>
      <c r="AE6216">
        <v>0.70337320000000003</v>
      </c>
      <c r="AF6216">
        <v>282.64190000000002</v>
      </c>
      <c r="AG6216">
        <f>IFERROR(AH6216*0.1, "N/A")</f>
        <v>5.6000000000000005</v>
      </c>
      <c r="AH6216">
        <v>56</v>
      </c>
      <c r="AI6216">
        <v>178.03280000000001</v>
      </c>
      <c r="AJ6216">
        <v>13.93074</v>
      </c>
      <c r="AK6216">
        <v>58.207769999999996</v>
      </c>
    </row>
    <row r="6217" spans="1:37" x14ac:dyDescent="0.3">
      <c r="A6217">
        <v>6216</v>
      </c>
      <c r="B6217">
        <v>0</v>
      </c>
      <c r="C6217">
        <v>-5.6825999999999999</v>
      </c>
      <c r="D6217">
        <v>12.991099999999999</v>
      </c>
      <c r="E6217">
        <f>-5.6826-12.9911</f>
        <v>-18.6737</v>
      </c>
      <c r="F6217" t="s">
        <v>9653</v>
      </c>
      <c r="G6217" t="s">
        <v>37</v>
      </c>
      <c r="H6217">
        <v>1990</v>
      </c>
      <c r="I6217">
        <v>27.5</v>
      </c>
      <c r="J6217">
        <v>14.32483</v>
      </c>
      <c r="K6217">
        <v>56</v>
      </c>
      <c r="L6217">
        <v>25.699929999999998</v>
      </c>
      <c r="M6217">
        <v>38.9</v>
      </c>
      <c r="N6217">
        <v>13.6</v>
      </c>
      <c r="O6217">
        <v>25.3</v>
      </c>
      <c r="P6217">
        <v>26.775169999999999</v>
      </c>
      <c r="Q6217">
        <v>24.324829999999999</v>
      </c>
      <c r="R6217">
        <v>30.8</v>
      </c>
      <c r="S6217">
        <v>24.3</v>
      </c>
      <c r="T6217">
        <v>785</v>
      </c>
      <c r="U6217">
        <v>240</v>
      </c>
      <c r="V6217">
        <v>0</v>
      </c>
      <c r="W6217">
        <v>121</v>
      </c>
      <c r="X6217">
        <v>567</v>
      </c>
      <c r="Y6217">
        <v>1</v>
      </c>
      <c r="Z6217">
        <v>67</v>
      </c>
      <c r="AA6217">
        <v>2</v>
      </c>
      <c r="AB6217">
        <v>1.2097990000000001</v>
      </c>
      <c r="AC6217">
        <v>4.5594099999999999E-2</v>
      </c>
      <c r="AD6217">
        <v>2.2032790000000002</v>
      </c>
      <c r="AE6217">
        <v>0.70337320000000003</v>
      </c>
      <c r="AF6217">
        <v>282.64190000000002</v>
      </c>
      <c r="AG6217">
        <f>IFERROR(AH6217*0.1, "N/A")</f>
        <v>5.6000000000000005</v>
      </c>
      <c r="AH6217">
        <v>56</v>
      </c>
      <c r="AI6217">
        <v>178.03280000000001</v>
      </c>
      <c r="AJ6217">
        <v>13.93074</v>
      </c>
      <c r="AK6217">
        <v>58.207769999999996</v>
      </c>
    </row>
    <row r="6218" spans="1:37" x14ac:dyDescent="0.3">
      <c r="A6218">
        <v>6217</v>
      </c>
      <c r="B6218">
        <v>6.8</v>
      </c>
      <c r="C6218">
        <v>-7.9831899999999996</v>
      </c>
      <c r="D6218">
        <v>13.0131</v>
      </c>
      <c r="E6218">
        <f>-7.98319-13.0131</f>
        <v>-20.996289999999998</v>
      </c>
      <c r="F6218" t="s">
        <v>9654</v>
      </c>
      <c r="G6218" t="s">
        <v>39</v>
      </c>
      <c r="H6218">
        <v>1990</v>
      </c>
      <c r="I6218">
        <v>27.1</v>
      </c>
      <c r="J6218">
        <v>15</v>
      </c>
      <c r="K6218">
        <v>60</v>
      </c>
      <c r="L6218">
        <v>23.399819999999998</v>
      </c>
      <c r="M6218">
        <v>38.700000000000003</v>
      </c>
      <c r="N6218">
        <v>13.7</v>
      </c>
      <c r="O6218">
        <v>25</v>
      </c>
      <c r="P6218">
        <v>26</v>
      </c>
      <c r="Q6218">
        <v>24.6</v>
      </c>
      <c r="R6218">
        <v>30.3</v>
      </c>
      <c r="S6218">
        <v>24.4</v>
      </c>
      <c r="T6218">
        <v>925.74540000000002</v>
      </c>
      <c r="U6218">
        <v>290.37270000000001</v>
      </c>
      <c r="V6218">
        <v>0</v>
      </c>
      <c r="W6218">
        <v>125</v>
      </c>
      <c r="X6218">
        <v>696.37270000000001</v>
      </c>
      <c r="Y6218">
        <v>0</v>
      </c>
      <c r="Z6218">
        <v>58</v>
      </c>
      <c r="AA6218">
        <v>3</v>
      </c>
      <c r="AB6218">
        <v>4.5409759999999997</v>
      </c>
      <c r="AC6218">
        <v>0.58733369999999996</v>
      </c>
      <c r="AD6218">
        <v>1.8177430000000001</v>
      </c>
      <c r="AE6218">
        <v>0.66396560000000004</v>
      </c>
      <c r="AF6218">
        <v>382.82119999999998</v>
      </c>
      <c r="AG6218">
        <f>IFERROR(AH6218*0.1, "N/A")</f>
        <v>6.1026980000000002</v>
      </c>
      <c r="AH6218">
        <v>61.026980000000002</v>
      </c>
      <c r="AI6218">
        <v>184.25790000000001</v>
      </c>
      <c r="AJ6218">
        <v>21.026979999999998</v>
      </c>
      <c r="AK6218">
        <v>52</v>
      </c>
    </row>
    <row r="6219" spans="1:37" x14ac:dyDescent="0.3">
      <c r="A6219">
        <v>6218</v>
      </c>
      <c r="B6219">
        <v>1.8</v>
      </c>
      <c r="C6219">
        <v>-7.9831899999999996</v>
      </c>
      <c r="D6219">
        <v>13.0131</v>
      </c>
      <c r="E6219">
        <f>-7.98319-13.0131</f>
        <v>-20.996289999999998</v>
      </c>
      <c r="F6219" t="s">
        <v>9655</v>
      </c>
      <c r="G6219" t="s">
        <v>37</v>
      </c>
      <c r="H6219">
        <v>1990</v>
      </c>
      <c r="I6219">
        <v>27.1</v>
      </c>
      <c r="J6219">
        <v>15</v>
      </c>
      <c r="K6219">
        <v>60</v>
      </c>
      <c r="L6219">
        <v>23.399819999999998</v>
      </c>
      <c r="M6219">
        <v>38.700000000000003</v>
      </c>
      <c r="N6219">
        <v>13.7</v>
      </c>
      <c r="O6219">
        <v>25</v>
      </c>
      <c r="P6219">
        <v>26</v>
      </c>
      <c r="Q6219">
        <v>24.6</v>
      </c>
      <c r="R6219">
        <v>30.3</v>
      </c>
      <c r="S6219">
        <v>24.4</v>
      </c>
      <c r="T6219">
        <v>925.74540000000002</v>
      </c>
      <c r="U6219">
        <v>290.37270000000001</v>
      </c>
      <c r="V6219">
        <v>0</v>
      </c>
      <c r="W6219">
        <v>125</v>
      </c>
      <c r="X6219">
        <v>696.37270000000001</v>
      </c>
      <c r="Y6219">
        <v>0</v>
      </c>
      <c r="Z6219">
        <v>58</v>
      </c>
      <c r="AA6219">
        <v>3</v>
      </c>
      <c r="AB6219">
        <v>4.5409759999999997</v>
      </c>
      <c r="AC6219">
        <v>0.58733369999999996</v>
      </c>
      <c r="AD6219">
        <v>1.8177430000000001</v>
      </c>
      <c r="AE6219">
        <v>0.66396560000000004</v>
      </c>
      <c r="AF6219">
        <v>382.82119999999998</v>
      </c>
      <c r="AG6219">
        <f>IFERROR(AH6219*0.1, "N/A")</f>
        <v>6.1026980000000002</v>
      </c>
      <c r="AH6219">
        <v>61.026980000000002</v>
      </c>
      <c r="AI6219">
        <v>184.25790000000001</v>
      </c>
      <c r="AJ6219">
        <v>21.026979999999998</v>
      </c>
      <c r="AK6219">
        <v>52</v>
      </c>
    </row>
    <row r="6220" spans="1:37" x14ac:dyDescent="0.3">
      <c r="A6220">
        <v>6219</v>
      </c>
      <c r="B6220">
        <v>44.8</v>
      </c>
      <c r="C6220">
        <v>-6.7030000000000003</v>
      </c>
      <c r="D6220">
        <v>13.016</v>
      </c>
      <c r="E6220">
        <f>-6.703-13.016</f>
        <v>-19.719000000000001</v>
      </c>
      <c r="F6220" t="s">
        <v>9656</v>
      </c>
      <c r="G6220" t="s">
        <v>39</v>
      </c>
      <c r="H6220">
        <v>1987</v>
      </c>
      <c r="I6220">
        <v>27.4</v>
      </c>
      <c r="J6220">
        <v>14.2</v>
      </c>
      <c r="K6220">
        <v>58</v>
      </c>
      <c r="L6220">
        <v>24.639199999999999</v>
      </c>
      <c r="M6220">
        <v>38.700000000000003</v>
      </c>
      <c r="N6220">
        <v>14.4</v>
      </c>
      <c r="O6220">
        <v>24.3</v>
      </c>
      <c r="P6220">
        <v>26.419630000000002</v>
      </c>
      <c r="Q6220">
        <v>24.6</v>
      </c>
      <c r="R6220">
        <v>30.7</v>
      </c>
      <c r="S6220">
        <v>24.5</v>
      </c>
      <c r="T6220">
        <v>737.80370000000005</v>
      </c>
      <c r="U6220">
        <v>233.90190000000001</v>
      </c>
      <c r="V6220">
        <v>0</v>
      </c>
      <c r="W6220">
        <v>125</v>
      </c>
      <c r="X6220">
        <v>544.90189999999996</v>
      </c>
      <c r="Y6220">
        <v>0</v>
      </c>
      <c r="Z6220">
        <v>59</v>
      </c>
      <c r="AA6220">
        <v>2</v>
      </c>
      <c r="AB6220">
        <v>6.5923879999999997</v>
      </c>
      <c r="AC6220">
        <v>1.068703E-2</v>
      </c>
      <c r="AD6220">
        <v>1.5035989999999999</v>
      </c>
      <c r="AE6220">
        <v>0.69497450000000005</v>
      </c>
      <c r="AF6220">
        <v>323.95600000000002</v>
      </c>
      <c r="AG6220">
        <f>IFERROR(AH6220*0.1, "N/A")</f>
        <v>5.4773269999999998</v>
      </c>
      <c r="AH6220">
        <v>54.773269999999997</v>
      </c>
      <c r="AI6220">
        <v>64.083669999999998</v>
      </c>
      <c r="AJ6220">
        <v>9.688663</v>
      </c>
      <c r="AK6220">
        <v>61.120139999999999</v>
      </c>
    </row>
    <row r="6221" spans="1:37" x14ac:dyDescent="0.3">
      <c r="A6221">
        <v>6220</v>
      </c>
      <c r="B6221">
        <v>34.4</v>
      </c>
      <c r="C6221">
        <v>-6.7030000000000003</v>
      </c>
      <c r="D6221">
        <v>13.016</v>
      </c>
      <c r="E6221">
        <f>-6.703-13.016</f>
        <v>-19.719000000000001</v>
      </c>
      <c r="F6221" t="s">
        <v>9657</v>
      </c>
      <c r="G6221" t="s">
        <v>37</v>
      </c>
      <c r="H6221">
        <v>1987</v>
      </c>
      <c r="I6221">
        <v>27.4</v>
      </c>
      <c r="J6221">
        <v>14.2</v>
      </c>
      <c r="K6221">
        <v>58</v>
      </c>
      <c r="L6221">
        <v>24.639199999999999</v>
      </c>
      <c r="M6221">
        <v>38.700000000000003</v>
      </c>
      <c r="N6221">
        <v>14.4</v>
      </c>
      <c r="O6221">
        <v>24.3</v>
      </c>
      <c r="P6221">
        <v>26.419630000000002</v>
      </c>
      <c r="Q6221">
        <v>24.6</v>
      </c>
      <c r="R6221">
        <v>30.7</v>
      </c>
      <c r="S6221">
        <v>24.5</v>
      </c>
      <c r="T6221">
        <v>737.80370000000005</v>
      </c>
      <c r="U6221">
        <v>233.90190000000001</v>
      </c>
      <c r="V6221">
        <v>0</v>
      </c>
      <c r="W6221">
        <v>125</v>
      </c>
      <c r="X6221">
        <v>544.90189999999996</v>
      </c>
      <c r="Y6221">
        <v>0</v>
      </c>
      <c r="Z6221">
        <v>59</v>
      </c>
      <c r="AA6221">
        <v>2</v>
      </c>
      <c r="AB6221">
        <v>6.5923879999999997</v>
      </c>
      <c r="AC6221">
        <v>1.068703E-2</v>
      </c>
      <c r="AD6221">
        <v>1.5035989999999999</v>
      </c>
      <c r="AE6221">
        <v>0.69497450000000005</v>
      </c>
      <c r="AF6221">
        <v>323.95600000000002</v>
      </c>
      <c r="AG6221">
        <f>IFERROR(AH6221*0.1, "N/A")</f>
        <v>5.4773269999999998</v>
      </c>
      <c r="AH6221">
        <v>54.773269999999997</v>
      </c>
      <c r="AI6221">
        <v>64.083669999999998</v>
      </c>
      <c r="AJ6221">
        <v>9.688663</v>
      </c>
      <c r="AK6221">
        <v>61.120139999999999</v>
      </c>
    </row>
    <row r="6222" spans="1:37" x14ac:dyDescent="0.3">
      <c r="A6222">
        <v>6221</v>
      </c>
      <c r="B6222">
        <v>4.3</v>
      </c>
      <c r="C6222">
        <v>-10.15</v>
      </c>
      <c r="D6222">
        <v>13.033300000000001</v>
      </c>
      <c r="E6222">
        <f>-10.15-13.0333</f>
        <v>-23.183300000000003</v>
      </c>
      <c r="F6222" t="s">
        <v>9658</v>
      </c>
      <c r="G6222" t="s">
        <v>39</v>
      </c>
      <c r="H6222">
        <v>1990</v>
      </c>
      <c r="I6222">
        <v>27.228280000000002</v>
      </c>
      <c r="J6222">
        <v>13.4</v>
      </c>
      <c r="K6222">
        <v>57.764310000000002</v>
      </c>
      <c r="L6222">
        <v>24.17184</v>
      </c>
      <c r="M6222">
        <v>38.728279999999998</v>
      </c>
      <c r="N6222">
        <v>15.604710000000001</v>
      </c>
      <c r="O6222">
        <v>23.123570000000001</v>
      </c>
      <c r="P6222">
        <v>25.887709999999998</v>
      </c>
      <c r="Q6222">
        <v>26.807580000000002</v>
      </c>
      <c r="R6222">
        <v>30.787710000000001</v>
      </c>
      <c r="S6222">
        <v>24.728280000000002</v>
      </c>
      <c r="T6222">
        <v>1027.133</v>
      </c>
      <c r="U6222">
        <v>299.12290000000002</v>
      </c>
      <c r="V6222">
        <v>0</v>
      </c>
      <c r="W6222">
        <v>121</v>
      </c>
      <c r="X6222">
        <v>745.24580000000003</v>
      </c>
      <c r="Y6222">
        <v>0</v>
      </c>
      <c r="Z6222">
        <v>55.764310000000002</v>
      </c>
      <c r="AA6222">
        <v>6</v>
      </c>
      <c r="AB6222">
        <v>21.20908</v>
      </c>
      <c r="AC6222">
        <v>2.1278689999999999E-2</v>
      </c>
      <c r="AD6222">
        <v>2.6391960000000001</v>
      </c>
      <c r="AE6222">
        <v>0.19181960000000001</v>
      </c>
      <c r="AF6222">
        <v>314.18860000000001</v>
      </c>
      <c r="AG6222">
        <f>IFERROR(AH6222*0.1, "N/A")</f>
        <v>5.9153200000000004</v>
      </c>
      <c r="AH6222">
        <v>59.153199999999998</v>
      </c>
      <c r="AI6222">
        <v>192.55500000000001</v>
      </c>
      <c r="AJ6222">
        <v>29.176770000000001</v>
      </c>
      <c r="AK6222">
        <v>42.043770000000002</v>
      </c>
    </row>
    <row r="6223" spans="1:37" x14ac:dyDescent="0.3">
      <c r="A6223">
        <v>6222</v>
      </c>
      <c r="B6223">
        <v>29.5</v>
      </c>
      <c r="C6223">
        <v>-10.15</v>
      </c>
      <c r="D6223">
        <v>13.033300000000001</v>
      </c>
      <c r="E6223">
        <f>-10.15-13.0333</f>
        <v>-23.183300000000003</v>
      </c>
      <c r="F6223" t="s">
        <v>9659</v>
      </c>
      <c r="G6223" t="s">
        <v>37</v>
      </c>
      <c r="H6223">
        <v>1990</v>
      </c>
      <c r="I6223">
        <v>27.228280000000002</v>
      </c>
      <c r="J6223">
        <v>13.4</v>
      </c>
      <c r="K6223">
        <v>57.764310000000002</v>
      </c>
      <c r="L6223">
        <v>24.17184</v>
      </c>
      <c r="M6223">
        <v>38.728279999999998</v>
      </c>
      <c r="N6223">
        <v>15.604710000000001</v>
      </c>
      <c r="O6223">
        <v>23.123570000000001</v>
      </c>
      <c r="P6223">
        <v>25.887709999999998</v>
      </c>
      <c r="Q6223">
        <v>26.807580000000002</v>
      </c>
      <c r="R6223">
        <v>30.787710000000001</v>
      </c>
      <c r="S6223">
        <v>24.728280000000002</v>
      </c>
      <c r="T6223">
        <v>1027.133</v>
      </c>
      <c r="U6223">
        <v>299.12290000000002</v>
      </c>
      <c r="V6223">
        <v>0</v>
      </c>
      <c r="W6223">
        <v>121</v>
      </c>
      <c r="X6223">
        <v>745.24580000000003</v>
      </c>
      <c r="Y6223">
        <v>0</v>
      </c>
      <c r="Z6223">
        <v>55.764310000000002</v>
      </c>
      <c r="AA6223">
        <v>6</v>
      </c>
      <c r="AB6223">
        <v>21.20908</v>
      </c>
      <c r="AC6223">
        <v>2.1278689999999999E-2</v>
      </c>
      <c r="AD6223">
        <v>2.6391960000000001</v>
      </c>
      <c r="AE6223">
        <v>0.19181960000000001</v>
      </c>
      <c r="AF6223">
        <v>314.18860000000001</v>
      </c>
      <c r="AG6223">
        <f>IFERROR(AH6223*0.1, "N/A")</f>
        <v>5.9153200000000004</v>
      </c>
      <c r="AH6223">
        <v>59.153199999999998</v>
      </c>
      <c r="AI6223">
        <v>192.55500000000001</v>
      </c>
      <c r="AJ6223">
        <v>29.176770000000001</v>
      </c>
      <c r="AK6223">
        <v>42.043770000000002</v>
      </c>
    </row>
    <row r="6224" spans="1:37" x14ac:dyDescent="0.3">
      <c r="A6224">
        <v>6223</v>
      </c>
      <c r="B6224">
        <v>0</v>
      </c>
      <c r="C6224">
        <v>-9.4860000000000007</v>
      </c>
      <c r="D6224">
        <v>13.04</v>
      </c>
      <c r="E6224">
        <f>-9.486-13.04</f>
        <v>-22.526</v>
      </c>
      <c r="F6224" t="s">
        <v>9660</v>
      </c>
      <c r="G6224" t="s">
        <v>39</v>
      </c>
      <c r="H6224">
        <v>1987</v>
      </c>
      <c r="I6224">
        <v>27.8</v>
      </c>
      <c r="J6224">
        <v>13.4</v>
      </c>
      <c r="K6224">
        <v>59</v>
      </c>
      <c r="L6224">
        <v>24.81</v>
      </c>
      <c r="M6224">
        <v>39.299999999999997</v>
      </c>
      <c r="N6224">
        <v>16.7</v>
      </c>
      <c r="O6224">
        <v>22.6</v>
      </c>
      <c r="P6224">
        <v>25.9</v>
      </c>
      <c r="Q6224">
        <v>28</v>
      </c>
      <c r="R6224">
        <v>31.5</v>
      </c>
      <c r="S6224">
        <v>25.4</v>
      </c>
      <c r="T6224">
        <v>966</v>
      </c>
      <c r="U6224">
        <v>285</v>
      </c>
      <c r="V6224">
        <v>0</v>
      </c>
      <c r="W6224">
        <v>121</v>
      </c>
      <c r="X6224">
        <v>700</v>
      </c>
      <c r="Y6224">
        <v>1</v>
      </c>
      <c r="Z6224">
        <v>55</v>
      </c>
      <c r="AA6224">
        <v>7</v>
      </c>
      <c r="AB6224">
        <v>4.9792160000000001</v>
      </c>
      <c r="AC6224">
        <v>1.342723E-2</v>
      </c>
      <c r="AD6224">
        <v>1.3625609999999999</v>
      </c>
      <c r="AE6224">
        <v>0.87265320000000002</v>
      </c>
      <c r="AF6224">
        <v>328.6968</v>
      </c>
      <c r="AG6224">
        <f>IFERROR(AH6224*0.1, "N/A")</f>
        <v>6.6981260000000011</v>
      </c>
      <c r="AH6224">
        <v>66.981260000000006</v>
      </c>
      <c r="AI6224">
        <v>108.6478</v>
      </c>
      <c r="AJ6224">
        <v>26.962520000000001</v>
      </c>
      <c r="AK6224">
        <v>51</v>
      </c>
    </row>
    <row r="6225" spans="1:37" x14ac:dyDescent="0.3">
      <c r="A6225">
        <v>6224</v>
      </c>
      <c r="B6225">
        <v>0</v>
      </c>
      <c r="C6225">
        <v>-9.4860000000000007</v>
      </c>
      <c r="D6225">
        <v>13.04</v>
      </c>
      <c r="E6225">
        <f>-9.486-13.04</f>
        <v>-22.526</v>
      </c>
      <c r="F6225" t="s">
        <v>9661</v>
      </c>
      <c r="G6225" t="s">
        <v>37</v>
      </c>
      <c r="H6225">
        <v>1987</v>
      </c>
      <c r="I6225">
        <v>27.8</v>
      </c>
      <c r="J6225">
        <v>13.4</v>
      </c>
      <c r="K6225">
        <v>59</v>
      </c>
      <c r="L6225">
        <v>24.81</v>
      </c>
      <c r="M6225">
        <v>39.299999999999997</v>
      </c>
      <c r="N6225">
        <v>16.7</v>
      </c>
      <c r="O6225">
        <v>22.6</v>
      </c>
      <c r="P6225">
        <v>25.9</v>
      </c>
      <c r="Q6225">
        <v>28</v>
      </c>
      <c r="R6225">
        <v>31.5</v>
      </c>
      <c r="S6225">
        <v>25.4</v>
      </c>
      <c r="T6225">
        <v>966</v>
      </c>
      <c r="U6225">
        <v>285</v>
      </c>
      <c r="V6225">
        <v>0</v>
      </c>
      <c r="W6225">
        <v>121</v>
      </c>
      <c r="X6225">
        <v>700</v>
      </c>
      <c r="Y6225">
        <v>1</v>
      </c>
      <c r="Z6225">
        <v>55</v>
      </c>
      <c r="AA6225">
        <v>7</v>
      </c>
      <c r="AB6225">
        <v>4.9792160000000001</v>
      </c>
      <c r="AC6225">
        <v>1.342723E-2</v>
      </c>
      <c r="AD6225">
        <v>1.3625609999999999</v>
      </c>
      <c r="AE6225">
        <v>0.87265320000000002</v>
      </c>
      <c r="AF6225">
        <v>328.6968</v>
      </c>
      <c r="AG6225">
        <f>IFERROR(AH6225*0.1, "N/A")</f>
        <v>6.6981260000000011</v>
      </c>
      <c r="AH6225">
        <v>66.981260000000006</v>
      </c>
      <c r="AI6225">
        <v>108.6478</v>
      </c>
      <c r="AJ6225">
        <v>26.962520000000001</v>
      </c>
      <c r="AK6225">
        <v>51</v>
      </c>
    </row>
    <row r="6226" spans="1:37" x14ac:dyDescent="0.3">
      <c r="A6226">
        <v>6225</v>
      </c>
      <c r="B6226">
        <v>46</v>
      </c>
      <c r="C6226">
        <v>-4.4349999999999996</v>
      </c>
      <c r="D6226">
        <v>13.051</v>
      </c>
      <c r="E6226">
        <f>-4.435-13.051</f>
        <v>-17.486000000000001</v>
      </c>
      <c r="F6226" t="s">
        <v>9662</v>
      </c>
      <c r="G6226" t="s">
        <v>39</v>
      </c>
      <c r="H6226">
        <v>1987</v>
      </c>
      <c r="I6226">
        <v>27.4</v>
      </c>
      <c r="J6226">
        <v>13.9</v>
      </c>
      <c r="K6226">
        <v>56</v>
      </c>
      <c r="L6226">
        <v>27.02</v>
      </c>
      <c r="M6226">
        <v>38.4</v>
      </c>
      <c r="N6226">
        <v>13.9</v>
      </c>
      <c r="O6226">
        <v>24.5</v>
      </c>
      <c r="P6226">
        <v>26.8</v>
      </c>
      <c r="Q6226">
        <v>23.8</v>
      </c>
      <c r="R6226">
        <v>30.9</v>
      </c>
      <c r="S6226">
        <v>23.8</v>
      </c>
      <c r="T6226">
        <v>769</v>
      </c>
      <c r="U6226">
        <v>227</v>
      </c>
      <c r="V6226">
        <v>0</v>
      </c>
      <c r="W6226">
        <v>121</v>
      </c>
      <c r="X6226">
        <v>559</v>
      </c>
      <c r="Y6226">
        <v>2</v>
      </c>
      <c r="Z6226">
        <v>168</v>
      </c>
      <c r="AA6226">
        <v>2</v>
      </c>
      <c r="AB6226">
        <v>2.3952460000000002</v>
      </c>
      <c r="AC6226">
        <v>4.177003E-2</v>
      </c>
      <c r="AD6226">
        <v>0.74558880000000005</v>
      </c>
      <c r="AE6226">
        <v>0.6778961</v>
      </c>
      <c r="AF6226">
        <v>305.5976</v>
      </c>
      <c r="AG6226">
        <f>IFERROR(AH6226*0.1, "N/A")</f>
        <v>5.7920200000000008</v>
      </c>
      <c r="AH6226">
        <v>57.920200000000001</v>
      </c>
      <c r="AI6226">
        <v>185.2689</v>
      </c>
      <c r="AJ6226">
        <v>13.918509999999999</v>
      </c>
      <c r="AK6226">
        <v>60.9253</v>
      </c>
    </row>
    <row r="6227" spans="1:37" x14ac:dyDescent="0.3">
      <c r="A6227">
        <v>6226</v>
      </c>
      <c r="B6227">
        <v>0</v>
      </c>
      <c r="C6227">
        <v>-4.4349999999999996</v>
      </c>
      <c r="D6227">
        <v>13.051</v>
      </c>
      <c r="E6227">
        <f>-4.435-13.051</f>
        <v>-17.486000000000001</v>
      </c>
      <c r="F6227" t="s">
        <v>9663</v>
      </c>
      <c r="G6227" t="s">
        <v>37</v>
      </c>
      <c r="H6227">
        <v>1987</v>
      </c>
      <c r="I6227">
        <v>27.4</v>
      </c>
      <c r="J6227">
        <v>13.9</v>
      </c>
      <c r="K6227">
        <v>56</v>
      </c>
      <c r="L6227">
        <v>27.02</v>
      </c>
      <c r="M6227">
        <v>38.4</v>
      </c>
      <c r="N6227">
        <v>13.9</v>
      </c>
      <c r="O6227">
        <v>24.5</v>
      </c>
      <c r="P6227">
        <v>26.8</v>
      </c>
      <c r="Q6227">
        <v>23.8</v>
      </c>
      <c r="R6227">
        <v>30.9</v>
      </c>
      <c r="S6227">
        <v>23.8</v>
      </c>
      <c r="T6227">
        <v>769</v>
      </c>
      <c r="U6227">
        <v>227</v>
      </c>
      <c r="V6227">
        <v>0</v>
      </c>
      <c r="W6227">
        <v>121</v>
      </c>
      <c r="X6227">
        <v>559</v>
      </c>
      <c r="Y6227">
        <v>2</v>
      </c>
      <c r="Z6227">
        <v>168</v>
      </c>
      <c r="AA6227">
        <v>2</v>
      </c>
      <c r="AB6227">
        <v>2.3952460000000002</v>
      </c>
      <c r="AC6227">
        <v>4.177003E-2</v>
      </c>
      <c r="AD6227">
        <v>0.74558880000000005</v>
      </c>
      <c r="AE6227">
        <v>0.6778961</v>
      </c>
      <c r="AF6227">
        <v>305.5976</v>
      </c>
      <c r="AG6227">
        <f>IFERROR(AH6227*0.1, "N/A")</f>
        <v>5.7920200000000008</v>
      </c>
      <c r="AH6227">
        <v>57.920200000000001</v>
      </c>
      <c r="AI6227">
        <v>185.2689</v>
      </c>
      <c r="AJ6227">
        <v>13.918509999999999</v>
      </c>
      <c r="AK6227">
        <v>60.9253</v>
      </c>
    </row>
    <row r="6228" spans="1:37" x14ac:dyDescent="0.3">
      <c r="A6228">
        <v>6227</v>
      </c>
      <c r="B6228">
        <v>14.4</v>
      </c>
      <c r="C6228">
        <v>-7.9831000000000003</v>
      </c>
      <c r="D6228">
        <v>13.052099999999999</v>
      </c>
      <c r="E6228">
        <f>-7.9831-13.0521</f>
        <v>-21.0352</v>
      </c>
      <c r="F6228" t="s">
        <v>9664</v>
      </c>
      <c r="G6228" t="s">
        <v>39</v>
      </c>
      <c r="H6228">
        <v>1990</v>
      </c>
      <c r="I6228">
        <v>26.9</v>
      </c>
      <c r="J6228">
        <v>15.1</v>
      </c>
      <c r="K6228">
        <v>59</v>
      </c>
      <c r="L6228">
        <v>23.438610000000001</v>
      </c>
      <c r="M6228">
        <v>38.670119999999997</v>
      </c>
      <c r="N6228">
        <v>13.4</v>
      </c>
      <c r="O6228">
        <v>25.270119999999999</v>
      </c>
      <c r="P6228">
        <v>25.8</v>
      </c>
      <c r="Q6228">
        <v>24.470120000000001</v>
      </c>
      <c r="R6228">
        <v>30.2</v>
      </c>
      <c r="S6228">
        <v>24.170120000000001</v>
      </c>
      <c r="T6228">
        <v>920.89639999999997</v>
      </c>
      <c r="U6228">
        <v>289.29880000000003</v>
      </c>
      <c r="V6228">
        <v>0</v>
      </c>
      <c r="W6228">
        <v>126</v>
      </c>
      <c r="X6228">
        <v>693.59760000000006</v>
      </c>
      <c r="Y6228">
        <v>0</v>
      </c>
      <c r="Z6228">
        <v>57</v>
      </c>
      <c r="AA6228">
        <v>3</v>
      </c>
      <c r="AB6228">
        <v>2.0665529999999999</v>
      </c>
      <c r="AC6228">
        <v>1.867275</v>
      </c>
      <c r="AD6228">
        <v>1.546672</v>
      </c>
      <c r="AE6228">
        <v>0.68577690000000002</v>
      </c>
      <c r="AF6228">
        <v>404.16300000000001</v>
      </c>
      <c r="AG6228">
        <f>IFERROR(AH6228*0.1, "N/A")</f>
        <v>5.6385399999999999</v>
      </c>
      <c r="AH6228">
        <v>56.385399999999997</v>
      </c>
      <c r="AI6228">
        <v>161.84460000000001</v>
      </c>
      <c r="AJ6228">
        <v>16.429539999999999</v>
      </c>
      <c r="AK6228">
        <v>52.918509999999998</v>
      </c>
    </row>
    <row r="6229" spans="1:37" x14ac:dyDescent="0.3">
      <c r="A6229">
        <v>6228</v>
      </c>
      <c r="B6229">
        <v>2.8</v>
      </c>
      <c r="C6229">
        <v>-7.9831000000000003</v>
      </c>
      <c r="D6229">
        <v>13.052099999999999</v>
      </c>
      <c r="E6229">
        <f>-7.9831-13.0521</f>
        <v>-21.0352</v>
      </c>
      <c r="F6229" t="s">
        <v>9665</v>
      </c>
      <c r="G6229" t="s">
        <v>37</v>
      </c>
      <c r="H6229">
        <v>1990</v>
      </c>
      <c r="I6229">
        <v>26.9</v>
      </c>
      <c r="J6229">
        <v>15.1</v>
      </c>
      <c r="K6229">
        <v>59</v>
      </c>
      <c r="L6229">
        <v>23.438610000000001</v>
      </c>
      <c r="M6229">
        <v>38.670119999999997</v>
      </c>
      <c r="N6229">
        <v>13.4</v>
      </c>
      <c r="O6229">
        <v>25.270119999999999</v>
      </c>
      <c r="P6229">
        <v>25.8</v>
      </c>
      <c r="Q6229">
        <v>24.470120000000001</v>
      </c>
      <c r="R6229">
        <v>30.2</v>
      </c>
      <c r="S6229">
        <v>24.170120000000001</v>
      </c>
      <c r="T6229">
        <v>920.89639999999997</v>
      </c>
      <c r="U6229">
        <v>289.29880000000003</v>
      </c>
      <c r="V6229">
        <v>0</v>
      </c>
      <c r="W6229">
        <v>126</v>
      </c>
      <c r="X6229">
        <v>693.59760000000006</v>
      </c>
      <c r="Y6229">
        <v>0</v>
      </c>
      <c r="Z6229">
        <v>57</v>
      </c>
      <c r="AA6229">
        <v>3</v>
      </c>
      <c r="AB6229">
        <v>2.0665529999999999</v>
      </c>
      <c r="AC6229">
        <v>1.867275</v>
      </c>
      <c r="AD6229">
        <v>1.546672</v>
      </c>
      <c r="AE6229">
        <v>0.68577690000000002</v>
      </c>
      <c r="AF6229">
        <v>404.16300000000001</v>
      </c>
      <c r="AG6229">
        <f>IFERROR(AH6229*0.1, "N/A")</f>
        <v>5.6385399999999999</v>
      </c>
      <c r="AH6229">
        <v>56.385399999999997</v>
      </c>
      <c r="AI6229">
        <v>161.84460000000001</v>
      </c>
      <c r="AJ6229">
        <v>16.429539999999999</v>
      </c>
      <c r="AK6229">
        <v>52.918509999999998</v>
      </c>
    </row>
    <row r="6230" spans="1:37" x14ac:dyDescent="0.3">
      <c r="A6230">
        <v>6229</v>
      </c>
      <c r="B6230">
        <v>18.7</v>
      </c>
      <c r="C6230">
        <v>-8.0123999999999995</v>
      </c>
      <c r="D6230">
        <v>13.053000000000001</v>
      </c>
      <c r="E6230">
        <f>-8.0124-13.053</f>
        <v>-21.0654</v>
      </c>
      <c r="F6230" t="s">
        <v>9666</v>
      </c>
      <c r="G6230" t="s">
        <v>39</v>
      </c>
      <c r="H6230">
        <v>1990</v>
      </c>
      <c r="I6230">
        <v>26.9</v>
      </c>
      <c r="J6230">
        <v>15.1</v>
      </c>
      <c r="K6230">
        <v>59</v>
      </c>
      <c r="L6230">
        <v>23.51</v>
      </c>
      <c r="M6230">
        <v>38.6</v>
      </c>
      <c r="N6230">
        <v>13.3</v>
      </c>
      <c r="O6230">
        <v>25.3</v>
      </c>
      <c r="P6230">
        <v>25.8</v>
      </c>
      <c r="Q6230">
        <v>24.4</v>
      </c>
      <c r="R6230">
        <v>30.1</v>
      </c>
      <c r="S6230">
        <v>24.2</v>
      </c>
      <c r="T6230">
        <v>927</v>
      </c>
      <c r="U6230">
        <v>291</v>
      </c>
      <c r="V6230">
        <v>0</v>
      </c>
      <c r="W6230">
        <v>125</v>
      </c>
      <c r="X6230">
        <v>698</v>
      </c>
      <c r="Y6230">
        <v>0</v>
      </c>
      <c r="Z6230">
        <v>57</v>
      </c>
      <c r="AA6230">
        <v>4</v>
      </c>
      <c r="AB6230">
        <v>5.3121729999999996</v>
      </c>
      <c r="AC6230">
        <v>6.6848379999999999E-2</v>
      </c>
      <c r="AD6230">
        <v>1.5657220000000001</v>
      </c>
      <c r="AE6230">
        <v>0.66136289999999998</v>
      </c>
      <c r="AF6230">
        <v>420.75470000000001</v>
      </c>
      <c r="AG6230">
        <f>IFERROR(AH6230*0.1, "N/A")</f>
        <v>5.6000000000000005</v>
      </c>
      <c r="AH6230">
        <v>56</v>
      </c>
      <c r="AI6230">
        <v>110.3651</v>
      </c>
      <c r="AJ6230">
        <v>19.429780000000001</v>
      </c>
      <c r="AK6230">
        <v>47.258879999999998</v>
      </c>
    </row>
    <row r="6231" spans="1:37" x14ac:dyDescent="0.3">
      <c r="A6231">
        <v>6230</v>
      </c>
      <c r="B6231">
        <v>0</v>
      </c>
      <c r="C6231">
        <v>-8.0123999999999995</v>
      </c>
      <c r="D6231">
        <v>13.053000000000001</v>
      </c>
      <c r="E6231">
        <f>-8.0124-13.053</f>
        <v>-21.0654</v>
      </c>
      <c r="F6231" t="s">
        <v>9667</v>
      </c>
      <c r="G6231" t="s">
        <v>37</v>
      </c>
      <c r="H6231">
        <v>1990</v>
      </c>
      <c r="I6231">
        <v>26.9</v>
      </c>
      <c r="J6231">
        <v>15.1</v>
      </c>
      <c r="K6231">
        <v>59</v>
      </c>
      <c r="L6231">
        <v>23.51</v>
      </c>
      <c r="M6231">
        <v>38.6</v>
      </c>
      <c r="N6231">
        <v>13.3</v>
      </c>
      <c r="O6231">
        <v>25.3</v>
      </c>
      <c r="P6231">
        <v>25.8</v>
      </c>
      <c r="Q6231">
        <v>24.4</v>
      </c>
      <c r="R6231">
        <v>30.1</v>
      </c>
      <c r="S6231">
        <v>24.2</v>
      </c>
      <c r="T6231">
        <v>927</v>
      </c>
      <c r="U6231">
        <v>291</v>
      </c>
      <c r="V6231">
        <v>0</v>
      </c>
      <c r="W6231">
        <v>125</v>
      </c>
      <c r="X6231">
        <v>698</v>
      </c>
      <c r="Y6231">
        <v>0</v>
      </c>
      <c r="Z6231">
        <v>57</v>
      </c>
      <c r="AA6231">
        <v>4</v>
      </c>
      <c r="AB6231">
        <v>5.3121729999999996</v>
      </c>
      <c r="AC6231">
        <v>6.6848379999999999E-2</v>
      </c>
      <c r="AD6231">
        <v>1.5657220000000001</v>
      </c>
      <c r="AE6231">
        <v>0.66136289999999998</v>
      </c>
      <c r="AF6231">
        <v>420.75470000000001</v>
      </c>
      <c r="AG6231">
        <f>IFERROR(AH6231*0.1, "N/A")</f>
        <v>5.6000000000000005</v>
      </c>
      <c r="AH6231">
        <v>56</v>
      </c>
      <c r="AI6231">
        <v>110.3651</v>
      </c>
      <c r="AJ6231">
        <v>19.429780000000001</v>
      </c>
      <c r="AK6231">
        <v>47.258879999999998</v>
      </c>
    </row>
    <row r="6232" spans="1:37" x14ac:dyDescent="0.3">
      <c r="A6232">
        <v>6231</v>
      </c>
      <c r="B6232">
        <v>12.5</v>
      </c>
      <c r="C6232">
        <v>-7.3643999999999998</v>
      </c>
      <c r="D6232">
        <v>13.0572</v>
      </c>
      <c r="E6232">
        <f>-7.3644-13.0572</f>
        <v>-20.421599999999998</v>
      </c>
      <c r="F6232" t="s">
        <v>9668</v>
      </c>
      <c r="G6232" t="s">
        <v>39</v>
      </c>
      <c r="H6232">
        <v>1990</v>
      </c>
      <c r="I6232">
        <v>27.4</v>
      </c>
      <c r="J6232">
        <v>14.9</v>
      </c>
      <c r="K6232">
        <v>57</v>
      </c>
      <c r="L6232">
        <v>25.213809999999999</v>
      </c>
      <c r="M6232">
        <v>39.4</v>
      </c>
      <c r="N6232">
        <v>13.7</v>
      </c>
      <c r="O6232">
        <v>25.7</v>
      </c>
      <c r="P6232">
        <v>26.5</v>
      </c>
      <c r="Q6232">
        <v>24.5</v>
      </c>
      <c r="R6232">
        <v>30.8</v>
      </c>
      <c r="S6232">
        <v>24.4</v>
      </c>
      <c r="T6232">
        <v>816.95770000000005</v>
      </c>
      <c r="U6232">
        <v>256</v>
      </c>
      <c r="V6232">
        <v>0</v>
      </c>
      <c r="W6232">
        <v>124</v>
      </c>
      <c r="X6232">
        <v>610</v>
      </c>
      <c r="Y6232">
        <v>0</v>
      </c>
      <c r="Z6232">
        <v>160.95769999999999</v>
      </c>
      <c r="AA6232">
        <v>2</v>
      </c>
      <c r="AB6232">
        <v>2.4104779999999999</v>
      </c>
      <c r="AC6232">
        <v>2.9504249999999999E-2</v>
      </c>
      <c r="AD6232">
        <v>1.492915</v>
      </c>
      <c r="AE6232">
        <v>0.64107970000000003</v>
      </c>
      <c r="AF6232">
        <v>295.56509999999997</v>
      </c>
      <c r="AG6232">
        <f>IFERROR(AH6232*0.1, "N/A")</f>
        <v>5.7358710000000004</v>
      </c>
      <c r="AH6232">
        <v>57.358710000000002</v>
      </c>
      <c r="AI6232">
        <v>180.29949999999999</v>
      </c>
      <c r="AJ6232">
        <v>18.06091</v>
      </c>
      <c r="AK6232">
        <v>53.412860000000002</v>
      </c>
    </row>
    <row r="6233" spans="1:37" x14ac:dyDescent="0.3">
      <c r="A6233">
        <v>6232</v>
      </c>
      <c r="B6233">
        <v>0</v>
      </c>
      <c r="C6233">
        <v>-7.3643999999999998</v>
      </c>
      <c r="D6233">
        <v>13.0572</v>
      </c>
      <c r="E6233">
        <f>-7.3644-13.0572</f>
        <v>-20.421599999999998</v>
      </c>
      <c r="F6233" t="s">
        <v>9669</v>
      </c>
      <c r="G6233" t="s">
        <v>37</v>
      </c>
      <c r="H6233">
        <v>1990</v>
      </c>
      <c r="I6233">
        <v>27.4</v>
      </c>
      <c r="J6233">
        <v>14.9</v>
      </c>
      <c r="K6233">
        <v>57</v>
      </c>
      <c r="L6233">
        <v>25.213809999999999</v>
      </c>
      <c r="M6233">
        <v>39.4</v>
      </c>
      <c r="N6233">
        <v>13.7</v>
      </c>
      <c r="O6233">
        <v>25.7</v>
      </c>
      <c r="P6233">
        <v>26.5</v>
      </c>
      <c r="Q6233">
        <v>24.5</v>
      </c>
      <c r="R6233">
        <v>30.8</v>
      </c>
      <c r="S6233">
        <v>24.4</v>
      </c>
      <c r="T6233">
        <v>816.95770000000005</v>
      </c>
      <c r="U6233">
        <v>256</v>
      </c>
      <c r="V6233">
        <v>0</v>
      </c>
      <c r="W6233">
        <v>124</v>
      </c>
      <c r="X6233">
        <v>610</v>
      </c>
      <c r="Y6233">
        <v>0</v>
      </c>
      <c r="Z6233">
        <v>160.95769999999999</v>
      </c>
      <c r="AA6233">
        <v>2</v>
      </c>
      <c r="AB6233">
        <v>2.4104779999999999</v>
      </c>
      <c r="AC6233">
        <v>2.9504249999999999E-2</v>
      </c>
      <c r="AD6233">
        <v>1.492915</v>
      </c>
      <c r="AE6233">
        <v>0.64107970000000003</v>
      </c>
      <c r="AF6233">
        <v>295.56509999999997</v>
      </c>
      <c r="AG6233">
        <f>IFERROR(AH6233*0.1, "N/A")</f>
        <v>5.7358710000000004</v>
      </c>
      <c r="AH6233">
        <v>57.358710000000002</v>
      </c>
      <c r="AI6233">
        <v>180.29949999999999</v>
      </c>
      <c r="AJ6233">
        <v>18.06091</v>
      </c>
      <c r="AK6233">
        <v>53.412860000000002</v>
      </c>
    </row>
    <row r="6234" spans="1:37" x14ac:dyDescent="0.3">
      <c r="A6234">
        <v>6233</v>
      </c>
      <c r="B6234">
        <v>15.7</v>
      </c>
      <c r="C6234">
        <v>-8.0178999999999991</v>
      </c>
      <c r="D6234">
        <v>13.061</v>
      </c>
      <c r="E6234">
        <f>-8.0179-13.061</f>
        <v>-21.078899999999997</v>
      </c>
      <c r="F6234" t="s">
        <v>9670</v>
      </c>
      <c r="G6234" t="s">
        <v>39</v>
      </c>
      <c r="H6234">
        <v>1990</v>
      </c>
      <c r="I6234">
        <v>26.8</v>
      </c>
      <c r="J6234">
        <v>15.1</v>
      </c>
      <c r="K6234">
        <v>59</v>
      </c>
      <c r="L6234">
        <v>24.02</v>
      </c>
      <c r="M6234">
        <v>38.6</v>
      </c>
      <c r="N6234">
        <v>13.2</v>
      </c>
      <c r="O6234">
        <v>25.4</v>
      </c>
      <c r="P6234">
        <v>25.7</v>
      </c>
      <c r="Q6234">
        <v>24.2</v>
      </c>
      <c r="R6234">
        <v>30.1</v>
      </c>
      <c r="S6234">
        <v>24</v>
      </c>
      <c r="T6234">
        <v>928</v>
      </c>
      <c r="U6234">
        <v>292</v>
      </c>
      <c r="V6234">
        <v>0</v>
      </c>
      <c r="W6234">
        <v>126</v>
      </c>
      <c r="X6234">
        <v>699</v>
      </c>
      <c r="Y6234">
        <v>0</v>
      </c>
      <c r="Z6234">
        <v>57</v>
      </c>
      <c r="AA6234">
        <v>4</v>
      </c>
      <c r="AB6234">
        <v>0.30884329999999999</v>
      </c>
      <c r="AC6234">
        <v>0.69900649999999998</v>
      </c>
      <c r="AD6234">
        <v>1.0798719999999999</v>
      </c>
      <c r="AE6234">
        <v>0.6363375</v>
      </c>
      <c r="AF6234">
        <v>423.80779999999999</v>
      </c>
      <c r="AG6234">
        <f>IFERROR(AH6234*0.1, "N/A")</f>
        <v>5.5666670000000007</v>
      </c>
      <c r="AH6234">
        <v>55.666670000000003</v>
      </c>
      <c r="AI6234">
        <v>121.6067</v>
      </c>
      <c r="AJ6234">
        <v>21.581630000000001</v>
      </c>
      <c r="AK6234">
        <v>44.955779999999997</v>
      </c>
    </row>
    <row r="6235" spans="1:37" x14ac:dyDescent="0.3">
      <c r="A6235">
        <v>6234</v>
      </c>
      <c r="B6235">
        <v>5.7</v>
      </c>
      <c r="C6235">
        <v>-8.0178999999999991</v>
      </c>
      <c r="D6235">
        <v>13.061</v>
      </c>
      <c r="E6235">
        <f>-8.0179-13.061</f>
        <v>-21.078899999999997</v>
      </c>
      <c r="F6235" t="s">
        <v>9671</v>
      </c>
      <c r="G6235" t="s">
        <v>37</v>
      </c>
      <c r="H6235">
        <v>1990</v>
      </c>
      <c r="I6235">
        <v>26.8</v>
      </c>
      <c r="J6235">
        <v>15.1</v>
      </c>
      <c r="K6235">
        <v>59</v>
      </c>
      <c r="L6235">
        <v>24.02</v>
      </c>
      <c r="M6235">
        <v>38.6</v>
      </c>
      <c r="N6235">
        <v>13.2</v>
      </c>
      <c r="O6235">
        <v>25.4</v>
      </c>
      <c r="P6235">
        <v>25.7</v>
      </c>
      <c r="Q6235">
        <v>24.2</v>
      </c>
      <c r="R6235">
        <v>30.1</v>
      </c>
      <c r="S6235">
        <v>24</v>
      </c>
      <c r="T6235">
        <v>928</v>
      </c>
      <c r="U6235">
        <v>292</v>
      </c>
      <c r="V6235">
        <v>0</v>
      </c>
      <c r="W6235">
        <v>126</v>
      </c>
      <c r="X6235">
        <v>699</v>
      </c>
      <c r="Y6235">
        <v>0</v>
      </c>
      <c r="Z6235">
        <v>57</v>
      </c>
      <c r="AA6235">
        <v>4</v>
      </c>
      <c r="AB6235">
        <v>0.30884329999999999</v>
      </c>
      <c r="AC6235">
        <v>0.69900649999999998</v>
      </c>
      <c r="AD6235">
        <v>1.0798719999999999</v>
      </c>
      <c r="AE6235">
        <v>0.6363375</v>
      </c>
      <c r="AF6235">
        <v>423.80779999999999</v>
      </c>
      <c r="AG6235">
        <f>IFERROR(AH6235*0.1, "N/A")</f>
        <v>5.5666670000000007</v>
      </c>
      <c r="AH6235">
        <v>55.666670000000003</v>
      </c>
      <c r="AI6235">
        <v>121.6067</v>
      </c>
      <c r="AJ6235">
        <v>21.581630000000001</v>
      </c>
      <c r="AK6235">
        <v>44.955779999999997</v>
      </c>
    </row>
    <row r="6236" spans="1:37" x14ac:dyDescent="0.3">
      <c r="A6236">
        <v>6235</v>
      </c>
      <c r="B6236">
        <v>59.2</v>
      </c>
      <c r="C6236">
        <v>-8.0397999999999996</v>
      </c>
      <c r="D6236">
        <v>13.0684</v>
      </c>
      <c r="E6236">
        <f>-8.0398-13.0684</f>
        <v>-21.1082</v>
      </c>
      <c r="F6236" t="s">
        <v>9672</v>
      </c>
      <c r="G6236" t="s">
        <v>39</v>
      </c>
      <c r="H6236">
        <v>1990</v>
      </c>
      <c r="I6236">
        <v>26.8</v>
      </c>
      <c r="J6236">
        <v>15.1</v>
      </c>
      <c r="K6236">
        <v>59</v>
      </c>
      <c r="L6236">
        <v>24.08</v>
      </c>
      <c r="M6236">
        <v>38.6</v>
      </c>
      <c r="N6236">
        <v>13.1</v>
      </c>
      <c r="O6236">
        <v>25.5</v>
      </c>
      <c r="P6236">
        <v>25.8</v>
      </c>
      <c r="Q6236">
        <v>24.2</v>
      </c>
      <c r="R6236">
        <v>30.1</v>
      </c>
      <c r="S6236">
        <v>24</v>
      </c>
      <c r="T6236">
        <v>931</v>
      </c>
      <c r="U6236">
        <v>292</v>
      </c>
      <c r="V6236">
        <v>0</v>
      </c>
      <c r="W6236">
        <v>126</v>
      </c>
      <c r="X6236">
        <v>701</v>
      </c>
      <c r="Y6236">
        <v>0</v>
      </c>
      <c r="Z6236">
        <v>57</v>
      </c>
      <c r="AA6236">
        <v>4</v>
      </c>
      <c r="AB6236">
        <v>2.4006829999999999</v>
      </c>
      <c r="AC6236">
        <v>9.4392279999999995E-2</v>
      </c>
      <c r="AD6236">
        <v>1.267557</v>
      </c>
      <c r="AE6236">
        <v>0.682558</v>
      </c>
      <c r="AF6236">
        <v>421.90170000000001</v>
      </c>
      <c r="AG6236">
        <f>IFERROR(AH6236*0.1, "N/A")</f>
        <v>5.4861020000000007</v>
      </c>
      <c r="AH6236">
        <v>54.861020000000003</v>
      </c>
      <c r="AI6236">
        <v>182.65960000000001</v>
      </c>
      <c r="AJ6236">
        <v>19.489830000000001</v>
      </c>
      <c r="AK6236">
        <v>48.422029999999999</v>
      </c>
    </row>
    <row r="6237" spans="1:37" x14ac:dyDescent="0.3">
      <c r="A6237">
        <v>6236</v>
      </c>
      <c r="B6237">
        <v>0</v>
      </c>
      <c r="C6237">
        <v>-8.0397999999999996</v>
      </c>
      <c r="D6237">
        <v>13.0684</v>
      </c>
      <c r="E6237">
        <f>-8.0398-13.0684</f>
        <v>-21.1082</v>
      </c>
      <c r="F6237" t="s">
        <v>9673</v>
      </c>
      <c r="G6237" t="s">
        <v>37</v>
      </c>
      <c r="H6237">
        <v>1990</v>
      </c>
      <c r="I6237">
        <v>26.8</v>
      </c>
      <c r="J6237">
        <v>15.1</v>
      </c>
      <c r="K6237">
        <v>59</v>
      </c>
      <c r="L6237">
        <v>24.08</v>
      </c>
      <c r="M6237">
        <v>38.6</v>
      </c>
      <c r="N6237">
        <v>13.1</v>
      </c>
      <c r="O6237">
        <v>25.5</v>
      </c>
      <c r="P6237">
        <v>25.8</v>
      </c>
      <c r="Q6237">
        <v>24.2</v>
      </c>
      <c r="R6237">
        <v>30.1</v>
      </c>
      <c r="S6237">
        <v>24</v>
      </c>
      <c r="T6237">
        <v>931</v>
      </c>
      <c r="U6237">
        <v>292</v>
      </c>
      <c r="V6237">
        <v>0</v>
      </c>
      <c r="W6237">
        <v>126</v>
      </c>
      <c r="X6237">
        <v>701</v>
      </c>
      <c r="Y6237">
        <v>0</v>
      </c>
      <c r="Z6237">
        <v>57</v>
      </c>
      <c r="AA6237">
        <v>4</v>
      </c>
      <c r="AB6237">
        <v>2.4006829999999999</v>
      </c>
      <c r="AC6237">
        <v>9.4392279999999995E-2</v>
      </c>
      <c r="AD6237">
        <v>1.267557</v>
      </c>
      <c r="AE6237">
        <v>0.682558</v>
      </c>
      <c r="AF6237">
        <v>421.90170000000001</v>
      </c>
      <c r="AG6237">
        <f>IFERROR(AH6237*0.1, "N/A")</f>
        <v>5.4861020000000007</v>
      </c>
      <c r="AH6237">
        <v>54.861020000000003</v>
      </c>
      <c r="AI6237">
        <v>182.65960000000001</v>
      </c>
      <c r="AJ6237">
        <v>19.489830000000001</v>
      </c>
      <c r="AK6237">
        <v>48.422029999999999</v>
      </c>
    </row>
    <row r="6238" spans="1:37" x14ac:dyDescent="0.3">
      <c r="A6238">
        <v>6237</v>
      </c>
      <c r="B6238">
        <v>42.4</v>
      </c>
      <c r="C6238">
        <v>-7.8815999999999997</v>
      </c>
      <c r="D6238">
        <v>13.0694</v>
      </c>
      <c r="E6238">
        <f>-7.8816-13.0694</f>
        <v>-20.951000000000001</v>
      </c>
      <c r="F6238" t="s">
        <v>9674</v>
      </c>
      <c r="G6238" t="s">
        <v>39</v>
      </c>
      <c r="H6238">
        <v>1990</v>
      </c>
      <c r="I6238">
        <v>27.1</v>
      </c>
      <c r="J6238">
        <v>15.1</v>
      </c>
      <c r="K6238">
        <v>59</v>
      </c>
      <c r="L6238">
        <v>23.99</v>
      </c>
      <c r="M6238">
        <v>39</v>
      </c>
      <c r="N6238">
        <v>13.5</v>
      </c>
      <c r="O6238">
        <v>25.5</v>
      </c>
      <c r="P6238">
        <v>26</v>
      </c>
      <c r="Q6238">
        <v>24.5</v>
      </c>
      <c r="R6238">
        <v>30.4</v>
      </c>
      <c r="S6238">
        <v>24.2</v>
      </c>
      <c r="T6238">
        <v>898</v>
      </c>
      <c r="U6238">
        <v>281</v>
      </c>
      <c r="V6238">
        <v>0</v>
      </c>
      <c r="W6238">
        <v>126</v>
      </c>
      <c r="X6238">
        <v>674</v>
      </c>
      <c r="Y6238">
        <v>0</v>
      </c>
      <c r="Z6238">
        <v>57</v>
      </c>
      <c r="AA6238">
        <v>3</v>
      </c>
      <c r="AB6238">
        <v>9.1447579999999995</v>
      </c>
      <c r="AC6238">
        <v>3.3153500000000002E-2</v>
      </c>
      <c r="AD6238">
        <v>2.0024980000000001</v>
      </c>
      <c r="AE6238">
        <v>0.67421109999999995</v>
      </c>
      <c r="AF6238">
        <v>371.11689999999999</v>
      </c>
      <c r="AG6238">
        <f>IFERROR(AH6238*0.1, "N/A")</f>
        <v>6.5708470000000005</v>
      </c>
      <c r="AH6238">
        <v>65.708470000000005</v>
      </c>
      <c r="AI6238">
        <v>159.05269999999999</v>
      </c>
      <c r="AJ6238">
        <v>23.683050000000001</v>
      </c>
      <c r="AK6238">
        <v>43.138979999999997</v>
      </c>
    </row>
    <row r="6239" spans="1:37" x14ac:dyDescent="0.3">
      <c r="A6239">
        <v>6238</v>
      </c>
      <c r="B6239">
        <v>0</v>
      </c>
      <c r="C6239">
        <v>-7.8815999999999997</v>
      </c>
      <c r="D6239">
        <v>13.0694</v>
      </c>
      <c r="E6239">
        <f>-7.8816-13.0694</f>
        <v>-20.951000000000001</v>
      </c>
      <c r="F6239" t="s">
        <v>9675</v>
      </c>
      <c r="G6239" t="s">
        <v>37</v>
      </c>
      <c r="H6239">
        <v>1990</v>
      </c>
      <c r="I6239">
        <v>27.1</v>
      </c>
      <c r="J6239">
        <v>15.1</v>
      </c>
      <c r="K6239">
        <v>59</v>
      </c>
      <c r="L6239">
        <v>23.99</v>
      </c>
      <c r="M6239">
        <v>39</v>
      </c>
      <c r="N6239">
        <v>13.5</v>
      </c>
      <c r="O6239">
        <v>25.5</v>
      </c>
      <c r="P6239">
        <v>26</v>
      </c>
      <c r="Q6239">
        <v>24.5</v>
      </c>
      <c r="R6239">
        <v>30.4</v>
      </c>
      <c r="S6239">
        <v>24.2</v>
      </c>
      <c r="T6239">
        <v>898</v>
      </c>
      <c r="U6239">
        <v>281</v>
      </c>
      <c r="V6239">
        <v>0</v>
      </c>
      <c r="W6239">
        <v>126</v>
      </c>
      <c r="X6239">
        <v>674</v>
      </c>
      <c r="Y6239">
        <v>0</v>
      </c>
      <c r="Z6239">
        <v>57</v>
      </c>
      <c r="AA6239">
        <v>3</v>
      </c>
      <c r="AB6239">
        <v>9.1447579999999995</v>
      </c>
      <c r="AC6239">
        <v>3.3153500000000002E-2</v>
      </c>
      <c r="AD6239">
        <v>2.0024980000000001</v>
      </c>
      <c r="AE6239">
        <v>0.67421109999999995</v>
      </c>
      <c r="AF6239">
        <v>371.11689999999999</v>
      </c>
      <c r="AG6239">
        <f>IFERROR(AH6239*0.1, "N/A")</f>
        <v>6.5708470000000005</v>
      </c>
      <c r="AH6239">
        <v>65.708470000000005</v>
      </c>
      <c r="AI6239">
        <v>159.05269999999999</v>
      </c>
      <c r="AJ6239">
        <v>23.683050000000001</v>
      </c>
      <c r="AK6239">
        <v>43.138979999999997</v>
      </c>
    </row>
    <row r="6240" spans="1:37" x14ac:dyDescent="0.3">
      <c r="A6240">
        <v>6239</v>
      </c>
      <c r="B6240">
        <v>7.7</v>
      </c>
      <c r="C6240">
        <v>-7.95031</v>
      </c>
      <c r="D6240">
        <v>13.069599999999999</v>
      </c>
      <c r="E6240">
        <f>-7.95031-13.0696</f>
        <v>-21.019909999999999</v>
      </c>
      <c r="F6240" t="s">
        <v>9676</v>
      </c>
      <c r="G6240" t="s">
        <v>39</v>
      </c>
      <c r="H6240">
        <v>1990</v>
      </c>
      <c r="I6240">
        <v>27</v>
      </c>
      <c r="J6240">
        <v>15.1</v>
      </c>
      <c r="K6240">
        <v>59</v>
      </c>
      <c r="L6240">
        <v>23.876449999999998</v>
      </c>
      <c r="M6240">
        <v>38.799999999999997</v>
      </c>
      <c r="N6240">
        <v>13.4</v>
      </c>
      <c r="O6240">
        <v>25.4</v>
      </c>
      <c r="P6240">
        <v>25.9</v>
      </c>
      <c r="Q6240">
        <v>24.5</v>
      </c>
      <c r="R6240">
        <v>30.3</v>
      </c>
      <c r="S6240">
        <v>24.2</v>
      </c>
      <c r="T6240">
        <v>912</v>
      </c>
      <c r="U6240">
        <v>286</v>
      </c>
      <c r="V6240">
        <v>0</v>
      </c>
      <c r="W6240">
        <v>125</v>
      </c>
      <c r="X6240">
        <v>686</v>
      </c>
      <c r="Y6240">
        <v>0</v>
      </c>
      <c r="Z6240">
        <v>57</v>
      </c>
      <c r="AA6240">
        <v>3</v>
      </c>
      <c r="AB6240">
        <v>1.6412230000000001</v>
      </c>
      <c r="AC6240">
        <v>1.791839</v>
      </c>
      <c r="AD6240">
        <v>1.492618</v>
      </c>
      <c r="AE6240">
        <v>0.68975070000000005</v>
      </c>
      <c r="AF6240">
        <v>390.9932</v>
      </c>
      <c r="AG6240">
        <f>IFERROR(AH6240*0.1, "N/A")</f>
        <v>5.5155410000000007</v>
      </c>
      <c r="AH6240">
        <v>55.155410000000003</v>
      </c>
      <c r="AI6240">
        <v>134.41159999999999</v>
      </c>
      <c r="AJ6240">
        <v>16.67736</v>
      </c>
      <c r="AK6240">
        <v>52.839530000000003</v>
      </c>
    </row>
    <row r="6241" spans="1:37" x14ac:dyDescent="0.3">
      <c r="A6241">
        <v>6240</v>
      </c>
      <c r="B6241">
        <v>0</v>
      </c>
      <c r="C6241">
        <v>-7.95031</v>
      </c>
      <c r="D6241">
        <v>13.069599999999999</v>
      </c>
      <c r="E6241">
        <f>-7.95031-13.0696</f>
        <v>-21.019909999999999</v>
      </c>
      <c r="F6241" t="s">
        <v>9677</v>
      </c>
      <c r="G6241" t="s">
        <v>37</v>
      </c>
      <c r="H6241">
        <v>1990</v>
      </c>
      <c r="I6241">
        <v>27</v>
      </c>
      <c r="J6241">
        <v>15.1</v>
      </c>
      <c r="K6241">
        <v>59</v>
      </c>
      <c r="L6241">
        <v>23.876449999999998</v>
      </c>
      <c r="M6241">
        <v>38.799999999999997</v>
      </c>
      <c r="N6241">
        <v>13.4</v>
      </c>
      <c r="O6241">
        <v>25.4</v>
      </c>
      <c r="P6241">
        <v>25.9</v>
      </c>
      <c r="Q6241">
        <v>24.5</v>
      </c>
      <c r="R6241">
        <v>30.3</v>
      </c>
      <c r="S6241">
        <v>24.2</v>
      </c>
      <c r="T6241">
        <v>912</v>
      </c>
      <c r="U6241">
        <v>286</v>
      </c>
      <c r="V6241">
        <v>0</v>
      </c>
      <c r="W6241">
        <v>125</v>
      </c>
      <c r="X6241">
        <v>686</v>
      </c>
      <c r="Y6241">
        <v>0</v>
      </c>
      <c r="Z6241">
        <v>57</v>
      </c>
      <c r="AA6241">
        <v>3</v>
      </c>
      <c r="AB6241">
        <v>1.6412230000000001</v>
      </c>
      <c r="AC6241">
        <v>1.791839</v>
      </c>
      <c r="AD6241">
        <v>1.492618</v>
      </c>
      <c r="AE6241">
        <v>0.68975070000000005</v>
      </c>
      <c r="AF6241">
        <v>390.9932</v>
      </c>
      <c r="AG6241">
        <f>IFERROR(AH6241*0.1, "N/A")</f>
        <v>5.5155410000000007</v>
      </c>
      <c r="AH6241">
        <v>55.155410000000003</v>
      </c>
      <c r="AI6241">
        <v>134.41159999999999</v>
      </c>
      <c r="AJ6241">
        <v>16.67736</v>
      </c>
      <c r="AK6241">
        <v>52.839530000000003</v>
      </c>
    </row>
    <row r="6242" spans="1:37" x14ac:dyDescent="0.3">
      <c r="A6242">
        <v>6241</v>
      </c>
      <c r="B6242">
        <v>21.8</v>
      </c>
      <c r="C6242">
        <v>-7.9160700000000004</v>
      </c>
      <c r="D6242">
        <v>13.0724</v>
      </c>
      <c r="E6242">
        <f>-7.91607-13.0724</f>
        <v>-20.98847</v>
      </c>
      <c r="F6242" t="s">
        <v>9678</v>
      </c>
      <c r="G6242" t="s">
        <v>39</v>
      </c>
      <c r="H6242">
        <v>1990</v>
      </c>
      <c r="I6242">
        <v>27</v>
      </c>
      <c r="J6242">
        <v>15.1</v>
      </c>
      <c r="K6242">
        <v>59</v>
      </c>
      <c r="L6242">
        <v>23.822030000000002</v>
      </c>
      <c r="M6242">
        <v>38.799999999999997</v>
      </c>
      <c r="N6242">
        <v>13.4</v>
      </c>
      <c r="O6242">
        <v>25.4</v>
      </c>
      <c r="P6242">
        <v>25.898980000000002</v>
      </c>
      <c r="Q6242">
        <v>24.4</v>
      </c>
      <c r="R6242">
        <v>30.20102</v>
      </c>
      <c r="S6242">
        <v>24.2</v>
      </c>
      <c r="T6242">
        <v>906</v>
      </c>
      <c r="U6242">
        <v>284</v>
      </c>
      <c r="V6242">
        <v>0</v>
      </c>
      <c r="W6242">
        <v>126</v>
      </c>
      <c r="X6242">
        <v>681</v>
      </c>
      <c r="Y6242">
        <v>0</v>
      </c>
      <c r="Z6242">
        <v>57</v>
      </c>
      <c r="AA6242">
        <v>3</v>
      </c>
      <c r="AB6242">
        <v>2.846114</v>
      </c>
      <c r="AC6242">
        <v>0.23434369999999999</v>
      </c>
      <c r="AD6242">
        <v>1.3829359999999999</v>
      </c>
      <c r="AE6242">
        <v>0.65583590000000003</v>
      </c>
      <c r="AF6242">
        <v>397.1</v>
      </c>
      <c r="AG6242">
        <f>IFERROR(AH6242*0.1, "N/A")</f>
        <v>5.6620340000000002</v>
      </c>
      <c r="AH6242">
        <v>56.620339999999999</v>
      </c>
      <c r="AI6242">
        <v>91.064570000000003</v>
      </c>
      <c r="AJ6242">
        <v>13.98983</v>
      </c>
      <c r="AK6242">
        <v>55.610169999999997</v>
      </c>
    </row>
    <row r="6243" spans="1:37" x14ac:dyDescent="0.3">
      <c r="A6243">
        <v>6242</v>
      </c>
      <c r="B6243">
        <v>0</v>
      </c>
      <c r="C6243">
        <v>-7.9160700000000004</v>
      </c>
      <c r="D6243">
        <v>13.0724</v>
      </c>
      <c r="E6243">
        <f>-7.91607-13.0724</f>
        <v>-20.98847</v>
      </c>
      <c r="F6243" t="s">
        <v>9679</v>
      </c>
      <c r="G6243" t="s">
        <v>37</v>
      </c>
      <c r="H6243">
        <v>1990</v>
      </c>
      <c r="I6243">
        <v>27</v>
      </c>
      <c r="J6243">
        <v>15.1</v>
      </c>
      <c r="K6243">
        <v>59</v>
      </c>
      <c r="L6243">
        <v>23.822030000000002</v>
      </c>
      <c r="M6243">
        <v>38.799999999999997</v>
      </c>
      <c r="N6243">
        <v>13.4</v>
      </c>
      <c r="O6243">
        <v>25.4</v>
      </c>
      <c r="P6243">
        <v>25.898980000000002</v>
      </c>
      <c r="Q6243">
        <v>24.4</v>
      </c>
      <c r="R6243">
        <v>30.20102</v>
      </c>
      <c r="S6243">
        <v>24.2</v>
      </c>
      <c r="T6243">
        <v>906</v>
      </c>
      <c r="U6243">
        <v>284</v>
      </c>
      <c r="V6243">
        <v>0</v>
      </c>
      <c r="W6243">
        <v>126</v>
      </c>
      <c r="X6243">
        <v>681</v>
      </c>
      <c r="Y6243">
        <v>0</v>
      </c>
      <c r="Z6243">
        <v>57</v>
      </c>
      <c r="AA6243">
        <v>3</v>
      </c>
      <c r="AB6243">
        <v>2.846114</v>
      </c>
      <c r="AC6243">
        <v>0.23434369999999999</v>
      </c>
      <c r="AD6243">
        <v>1.3829359999999999</v>
      </c>
      <c r="AE6243">
        <v>0.65583590000000003</v>
      </c>
      <c r="AF6243">
        <v>397.1</v>
      </c>
      <c r="AG6243">
        <f>IFERROR(AH6243*0.1, "N/A")</f>
        <v>5.6620340000000002</v>
      </c>
      <c r="AH6243">
        <v>56.620339999999999</v>
      </c>
      <c r="AI6243">
        <v>91.064570000000003</v>
      </c>
      <c r="AJ6243">
        <v>13.98983</v>
      </c>
      <c r="AK6243">
        <v>55.610169999999997</v>
      </c>
    </row>
    <row r="6244" spans="1:37" x14ac:dyDescent="0.3">
      <c r="A6244">
        <v>6243</v>
      </c>
      <c r="B6244">
        <v>10</v>
      </c>
      <c r="C6244">
        <v>-10.415100000000001</v>
      </c>
      <c r="D6244">
        <v>13.078099999999999</v>
      </c>
      <c r="E6244">
        <f>-10.4151-13.0781</f>
        <v>-23.493200000000002</v>
      </c>
      <c r="F6244" t="s">
        <v>9680</v>
      </c>
      <c r="G6244" t="s">
        <v>39</v>
      </c>
      <c r="H6244">
        <v>1990</v>
      </c>
      <c r="I6244">
        <v>27.9</v>
      </c>
      <c r="J6244">
        <v>13.4</v>
      </c>
      <c r="K6244">
        <v>58</v>
      </c>
      <c r="L6244">
        <v>22.68</v>
      </c>
      <c r="M6244">
        <v>39.200000000000003</v>
      </c>
      <c r="N6244">
        <v>16.3</v>
      </c>
      <c r="O6244">
        <v>22.9</v>
      </c>
      <c r="P6244">
        <v>26.6</v>
      </c>
      <c r="Q6244">
        <v>27.6</v>
      </c>
      <c r="R6244">
        <v>31.3</v>
      </c>
      <c r="S6244">
        <v>25.6</v>
      </c>
      <c r="T6244">
        <v>1014</v>
      </c>
      <c r="U6244">
        <v>297</v>
      </c>
      <c r="V6244">
        <v>0</v>
      </c>
      <c r="W6244">
        <v>122</v>
      </c>
      <c r="X6244">
        <v>741</v>
      </c>
      <c r="Y6244">
        <v>0</v>
      </c>
      <c r="Z6244">
        <v>50</v>
      </c>
      <c r="AA6244">
        <v>5</v>
      </c>
      <c r="AB6244">
        <v>0</v>
      </c>
      <c r="AC6244">
        <v>1.7491099999999999E-2</v>
      </c>
      <c r="AD6244">
        <v>0</v>
      </c>
      <c r="AE6244">
        <v>0.45554549999999999</v>
      </c>
      <c r="AF6244">
        <v>204</v>
      </c>
      <c r="AG6244" t="str">
        <f>IFERROR(AH6244*0.1, "N/A")</f>
        <v>N/A</v>
      </c>
      <c r="AH6244" t="s">
        <v>729</v>
      </c>
      <c r="AI6244">
        <v>0</v>
      </c>
      <c r="AJ6244" t="s">
        <v>729</v>
      </c>
      <c r="AK6244" t="s">
        <v>729</v>
      </c>
    </row>
    <row r="6245" spans="1:37" x14ac:dyDescent="0.3">
      <c r="A6245">
        <v>6244</v>
      </c>
      <c r="B6245">
        <v>4</v>
      </c>
      <c r="C6245">
        <v>-10.415100000000001</v>
      </c>
      <c r="D6245">
        <v>13.078099999999999</v>
      </c>
      <c r="E6245">
        <f>-10.4151-13.0781</f>
        <v>-23.493200000000002</v>
      </c>
      <c r="F6245" t="s">
        <v>9681</v>
      </c>
      <c r="G6245" t="s">
        <v>37</v>
      </c>
      <c r="H6245">
        <v>1990</v>
      </c>
      <c r="I6245">
        <v>27.9</v>
      </c>
      <c r="J6245">
        <v>13.4</v>
      </c>
      <c r="K6245">
        <v>58</v>
      </c>
      <c r="L6245">
        <v>22.68</v>
      </c>
      <c r="M6245">
        <v>39.200000000000003</v>
      </c>
      <c r="N6245">
        <v>16.3</v>
      </c>
      <c r="O6245">
        <v>22.9</v>
      </c>
      <c r="P6245">
        <v>26.6</v>
      </c>
      <c r="Q6245">
        <v>27.6</v>
      </c>
      <c r="R6245">
        <v>31.3</v>
      </c>
      <c r="S6245">
        <v>25.6</v>
      </c>
      <c r="T6245">
        <v>1014</v>
      </c>
      <c r="U6245">
        <v>297</v>
      </c>
      <c r="V6245">
        <v>0</v>
      </c>
      <c r="W6245">
        <v>122</v>
      </c>
      <c r="X6245">
        <v>741</v>
      </c>
      <c r="Y6245">
        <v>0</v>
      </c>
      <c r="Z6245">
        <v>50</v>
      </c>
      <c r="AA6245">
        <v>5</v>
      </c>
      <c r="AB6245">
        <v>0</v>
      </c>
      <c r="AC6245">
        <v>1.7491099999999999E-2</v>
      </c>
      <c r="AD6245">
        <v>0</v>
      </c>
      <c r="AE6245">
        <v>0.45554549999999999</v>
      </c>
      <c r="AF6245">
        <v>204</v>
      </c>
      <c r="AG6245" t="str">
        <f>IFERROR(AH6245*0.1, "N/A")</f>
        <v>N/A</v>
      </c>
      <c r="AH6245" t="s">
        <v>729</v>
      </c>
      <c r="AI6245">
        <v>0</v>
      </c>
      <c r="AJ6245" t="s">
        <v>729</v>
      </c>
      <c r="AK6245" t="s">
        <v>729</v>
      </c>
    </row>
    <row r="6246" spans="1:37" x14ac:dyDescent="0.3">
      <c r="A6246">
        <v>6245</v>
      </c>
      <c r="B6246">
        <v>1.8</v>
      </c>
      <c r="C6246">
        <v>-7.9573200000000002</v>
      </c>
      <c r="D6246">
        <v>13.0893</v>
      </c>
      <c r="E6246">
        <f>-7.95732-13.0893</f>
        <v>-21.046620000000001</v>
      </c>
      <c r="F6246" t="s">
        <v>9682</v>
      </c>
      <c r="G6246" t="s">
        <v>39</v>
      </c>
      <c r="H6246">
        <v>1987</v>
      </c>
      <c r="I6246">
        <v>26.9</v>
      </c>
      <c r="J6246">
        <v>15.10017</v>
      </c>
      <c r="K6246">
        <v>58.001690000000004</v>
      </c>
      <c r="L6246">
        <v>24.040679999999998</v>
      </c>
      <c r="M6246">
        <v>38.899830000000001</v>
      </c>
      <c r="N6246">
        <v>13.29983</v>
      </c>
      <c r="O6246">
        <v>25.6</v>
      </c>
      <c r="P6246">
        <v>25.9</v>
      </c>
      <c r="Q6246">
        <v>24.399830000000001</v>
      </c>
      <c r="R6246">
        <v>30.20017</v>
      </c>
      <c r="S6246">
        <v>24.1</v>
      </c>
      <c r="T6246">
        <v>911.00170000000003</v>
      </c>
      <c r="U6246">
        <v>286</v>
      </c>
      <c r="V6246">
        <v>0</v>
      </c>
      <c r="W6246">
        <v>125.9983</v>
      </c>
      <c r="X6246">
        <v>685.00170000000003</v>
      </c>
      <c r="Y6246">
        <v>0</v>
      </c>
      <c r="Z6246">
        <v>57</v>
      </c>
      <c r="AA6246">
        <v>3</v>
      </c>
      <c r="AB6246">
        <v>2.3611870000000001</v>
      </c>
      <c r="AC6246">
        <v>8.4006399999999991E-3</v>
      </c>
      <c r="AD6246">
        <v>1.604401</v>
      </c>
      <c r="AE6246">
        <v>0.68551359999999995</v>
      </c>
      <c r="AF6246">
        <v>387.44920000000002</v>
      </c>
      <c r="AG6246">
        <f>IFERROR(AH6246*0.1, "N/A")</f>
        <v>5.7</v>
      </c>
      <c r="AH6246">
        <v>57</v>
      </c>
      <c r="AI6246">
        <v>171.76740000000001</v>
      </c>
      <c r="AJ6246">
        <v>16</v>
      </c>
      <c r="AK6246">
        <v>51.00508</v>
      </c>
    </row>
    <row r="6247" spans="1:37" x14ac:dyDescent="0.3">
      <c r="A6247">
        <v>6246</v>
      </c>
      <c r="B6247">
        <v>1.8</v>
      </c>
      <c r="C6247">
        <v>-7.9573299999999998</v>
      </c>
      <c r="D6247">
        <v>13.0893</v>
      </c>
      <c r="E6247">
        <f>-7.95733-13.0893</f>
        <v>-21.04663</v>
      </c>
      <c r="F6247" t="s">
        <v>9683</v>
      </c>
      <c r="G6247" t="s">
        <v>39</v>
      </c>
      <c r="H6247">
        <v>1990</v>
      </c>
      <c r="I6247">
        <v>26.9</v>
      </c>
      <c r="J6247">
        <v>15.100339999999999</v>
      </c>
      <c r="K6247">
        <v>58.00338</v>
      </c>
      <c r="L6247">
        <v>24.041350000000001</v>
      </c>
      <c r="M6247">
        <v>38.899659999999997</v>
      </c>
      <c r="N6247">
        <v>13.299659999999999</v>
      </c>
      <c r="O6247">
        <v>25.6</v>
      </c>
      <c r="P6247">
        <v>25.9</v>
      </c>
      <c r="Q6247">
        <v>24.399660000000001</v>
      </c>
      <c r="R6247">
        <v>30.200340000000001</v>
      </c>
      <c r="S6247">
        <v>24.1</v>
      </c>
      <c r="T6247">
        <v>911.00340000000006</v>
      </c>
      <c r="U6247">
        <v>286</v>
      </c>
      <c r="V6247">
        <v>0</v>
      </c>
      <c r="W6247">
        <v>125.9966</v>
      </c>
      <c r="X6247">
        <v>685.00340000000006</v>
      </c>
      <c r="Y6247">
        <v>0</v>
      </c>
      <c r="Z6247">
        <v>57</v>
      </c>
      <c r="AA6247">
        <v>3</v>
      </c>
      <c r="AB6247">
        <v>2.361084</v>
      </c>
      <c r="AC6247">
        <v>8.4709940000000008E-3</v>
      </c>
      <c r="AD6247">
        <v>1.6011580000000001</v>
      </c>
      <c r="AE6247">
        <v>0.68551359999999995</v>
      </c>
      <c r="AF6247">
        <v>387.45690000000002</v>
      </c>
      <c r="AG6247">
        <f>IFERROR(AH6247*0.1, "N/A")</f>
        <v>5.7</v>
      </c>
      <c r="AH6247">
        <v>57</v>
      </c>
      <c r="AI6247">
        <v>171.7098</v>
      </c>
      <c r="AJ6247">
        <v>16</v>
      </c>
      <c r="AK6247">
        <v>51.010150000000003</v>
      </c>
    </row>
    <row r="6248" spans="1:37" x14ac:dyDescent="0.3">
      <c r="A6248">
        <v>6247</v>
      </c>
      <c r="B6248">
        <v>0</v>
      </c>
      <c r="C6248">
        <v>-7.9573299999999998</v>
      </c>
      <c r="D6248">
        <v>13.0893</v>
      </c>
      <c r="E6248">
        <f>-7.95733-13.0893</f>
        <v>-21.04663</v>
      </c>
      <c r="F6248" t="s">
        <v>9684</v>
      </c>
      <c r="G6248" t="s">
        <v>37</v>
      </c>
      <c r="H6248">
        <v>1990</v>
      </c>
      <c r="I6248">
        <v>26.9</v>
      </c>
      <c r="J6248">
        <v>15.100339999999999</v>
      </c>
      <c r="K6248">
        <v>58.00338</v>
      </c>
      <c r="L6248">
        <v>24.041350000000001</v>
      </c>
      <c r="M6248">
        <v>38.899659999999997</v>
      </c>
      <c r="N6248">
        <v>13.299659999999999</v>
      </c>
      <c r="O6248">
        <v>25.6</v>
      </c>
      <c r="P6248">
        <v>25.9</v>
      </c>
      <c r="Q6248">
        <v>24.399660000000001</v>
      </c>
      <c r="R6248">
        <v>30.200340000000001</v>
      </c>
      <c r="S6248">
        <v>24.1</v>
      </c>
      <c r="T6248">
        <v>911.00340000000006</v>
      </c>
      <c r="U6248">
        <v>286</v>
      </c>
      <c r="V6248">
        <v>0</v>
      </c>
      <c r="W6248">
        <v>125.9966</v>
      </c>
      <c r="X6248">
        <v>685.00340000000006</v>
      </c>
      <c r="Y6248">
        <v>0</v>
      </c>
      <c r="Z6248">
        <v>57</v>
      </c>
      <c r="AA6248">
        <v>3</v>
      </c>
      <c r="AB6248">
        <v>2.361084</v>
      </c>
      <c r="AC6248">
        <v>8.4709940000000008E-3</v>
      </c>
      <c r="AD6248">
        <v>1.6011580000000001</v>
      </c>
      <c r="AE6248">
        <v>0.68551359999999995</v>
      </c>
      <c r="AF6248">
        <v>387.45690000000002</v>
      </c>
      <c r="AG6248">
        <f>IFERROR(AH6248*0.1, "N/A")</f>
        <v>5.7</v>
      </c>
      <c r="AH6248">
        <v>57</v>
      </c>
      <c r="AI6248">
        <v>171.7098</v>
      </c>
      <c r="AJ6248">
        <v>16</v>
      </c>
      <c r="AK6248">
        <v>51.010150000000003</v>
      </c>
    </row>
    <row r="6249" spans="1:37" x14ac:dyDescent="0.3">
      <c r="A6249">
        <v>6248</v>
      </c>
      <c r="B6249">
        <v>8.6</v>
      </c>
      <c r="C6249">
        <v>-8.0147999999999993</v>
      </c>
      <c r="D6249">
        <v>13.0913</v>
      </c>
      <c r="E6249">
        <f>-8.0148-13.0913</f>
        <v>-21.106099999999998</v>
      </c>
      <c r="F6249" t="s">
        <v>9685</v>
      </c>
      <c r="G6249" t="s">
        <v>39</v>
      </c>
      <c r="H6249">
        <v>1990</v>
      </c>
      <c r="I6249">
        <v>26.8</v>
      </c>
      <c r="J6249">
        <v>15.102550000000001</v>
      </c>
      <c r="K6249">
        <v>59</v>
      </c>
      <c r="L6249">
        <v>24.147960000000001</v>
      </c>
      <c r="M6249">
        <v>38.6</v>
      </c>
      <c r="N6249">
        <v>13.1</v>
      </c>
      <c r="O6249">
        <v>25.5</v>
      </c>
      <c r="P6249">
        <v>25.7</v>
      </c>
      <c r="Q6249">
        <v>24.2</v>
      </c>
      <c r="R6249">
        <v>30.1</v>
      </c>
      <c r="S6249">
        <v>23.997450000000001</v>
      </c>
      <c r="T6249">
        <v>923</v>
      </c>
      <c r="U6249">
        <v>290</v>
      </c>
      <c r="V6249">
        <v>0</v>
      </c>
      <c r="W6249">
        <v>126</v>
      </c>
      <c r="X6249">
        <v>695</v>
      </c>
      <c r="Y6249">
        <v>0</v>
      </c>
      <c r="Z6249">
        <v>57</v>
      </c>
      <c r="AA6249">
        <v>4</v>
      </c>
      <c r="AB6249">
        <v>1.26603</v>
      </c>
      <c r="AC6249">
        <v>0.2203031</v>
      </c>
      <c r="AD6249">
        <v>1.4478839999999999</v>
      </c>
      <c r="AE6249">
        <v>0.64715469999999997</v>
      </c>
      <c r="AF6249">
        <v>425.95080000000002</v>
      </c>
      <c r="AG6249">
        <f>IFERROR(AH6249*0.1, "N/A")</f>
        <v>5.5380310000000001</v>
      </c>
      <c r="AH6249">
        <v>55.380310000000001</v>
      </c>
      <c r="AI6249">
        <v>304.3143</v>
      </c>
      <c r="AJ6249">
        <v>18.359929999999999</v>
      </c>
      <c r="AK6249">
        <v>46.61121</v>
      </c>
    </row>
    <row r="6250" spans="1:37" x14ac:dyDescent="0.3">
      <c r="A6250">
        <v>6249</v>
      </c>
      <c r="B6250">
        <v>0</v>
      </c>
      <c r="C6250">
        <v>-8.0147999999999993</v>
      </c>
      <c r="D6250">
        <v>13.0913</v>
      </c>
      <c r="E6250">
        <f>-8.0148-13.0913</f>
        <v>-21.106099999999998</v>
      </c>
      <c r="F6250" t="s">
        <v>9686</v>
      </c>
      <c r="G6250" t="s">
        <v>37</v>
      </c>
      <c r="H6250">
        <v>1990</v>
      </c>
      <c r="I6250">
        <v>26.8</v>
      </c>
      <c r="J6250">
        <v>15.102550000000001</v>
      </c>
      <c r="K6250">
        <v>59</v>
      </c>
      <c r="L6250">
        <v>24.147960000000001</v>
      </c>
      <c r="M6250">
        <v>38.6</v>
      </c>
      <c r="N6250">
        <v>13.1</v>
      </c>
      <c r="O6250">
        <v>25.5</v>
      </c>
      <c r="P6250">
        <v>25.7</v>
      </c>
      <c r="Q6250">
        <v>24.2</v>
      </c>
      <c r="R6250">
        <v>30.1</v>
      </c>
      <c r="S6250">
        <v>23.997450000000001</v>
      </c>
      <c r="T6250">
        <v>923</v>
      </c>
      <c r="U6250">
        <v>290</v>
      </c>
      <c r="V6250">
        <v>0</v>
      </c>
      <c r="W6250">
        <v>126</v>
      </c>
      <c r="X6250">
        <v>695</v>
      </c>
      <c r="Y6250">
        <v>0</v>
      </c>
      <c r="Z6250">
        <v>57</v>
      </c>
      <c r="AA6250">
        <v>4</v>
      </c>
      <c r="AB6250">
        <v>1.26603</v>
      </c>
      <c r="AC6250">
        <v>0.2203031</v>
      </c>
      <c r="AD6250">
        <v>1.4478839999999999</v>
      </c>
      <c r="AE6250">
        <v>0.64715469999999997</v>
      </c>
      <c r="AF6250">
        <v>425.95080000000002</v>
      </c>
      <c r="AG6250">
        <f>IFERROR(AH6250*0.1, "N/A")</f>
        <v>5.5380310000000001</v>
      </c>
      <c r="AH6250">
        <v>55.380310000000001</v>
      </c>
      <c r="AI6250">
        <v>304.3143</v>
      </c>
      <c r="AJ6250">
        <v>18.359929999999999</v>
      </c>
      <c r="AK6250">
        <v>46.61121</v>
      </c>
    </row>
    <row r="6251" spans="1:37" x14ac:dyDescent="0.3">
      <c r="A6251">
        <v>6250</v>
      </c>
      <c r="B6251">
        <v>23.6</v>
      </c>
      <c r="C6251">
        <v>-10.412800000000001</v>
      </c>
      <c r="D6251">
        <v>13.091900000000001</v>
      </c>
      <c r="E6251">
        <f>-10.4128-13.0919</f>
        <v>-23.5047</v>
      </c>
      <c r="F6251" t="s">
        <v>9687</v>
      </c>
      <c r="G6251" t="s">
        <v>39</v>
      </c>
      <c r="H6251">
        <v>1990</v>
      </c>
      <c r="I6251">
        <v>27.861080000000001</v>
      </c>
      <c r="J6251">
        <v>13.361079999999999</v>
      </c>
      <c r="K6251">
        <v>58</v>
      </c>
      <c r="L6251">
        <v>22.702220000000001</v>
      </c>
      <c r="M6251">
        <v>39.183250000000001</v>
      </c>
      <c r="N6251">
        <v>16.26108</v>
      </c>
      <c r="O6251">
        <v>22.922170000000001</v>
      </c>
      <c r="P6251">
        <v>26.56108</v>
      </c>
      <c r="Q6251">
        <v>27.56108</v>
      </c>
      <c r="R6251">
        <v>31.26108</v>
      </c>
      <c r="S6251">
        <v>25.56108</v>
      </c>
      <c r="T6251">
        <v>1010</v>
      </c>
      <c r="U6251">
        <v>296</v>
      </c>
      <c r="V6251">
        <v>0</v>
      </c>
      <c r="W6251">
        <v>122</v>
      </c>
      <c r="X6251">
        <v>738</v>
      </c>
      <c r="Y6251">
        <v>0</v>
      </c>
      <c r="Z6251">
        <v>50</v>
      </c>
      <c r="AA6251">
        <v>5</v>
      </c>
      <c r="AB6251">
        <v>0</v>
      </c>
      <c r="AC6251">
        <v>5.393999E-2</v>
      </c>
      <c r="AD6251">
        <v>0</v>
      </c>
      <c r="AE6251">
        <v>0.48416019999999999</v>
      </c>
      <c r="AF6251">
        <v>204</v>
      </c>
      <c r="AG6251" t="str">
        <f>IFERROR(AH6251*0.1, "N/A")</f>
        <v>N/A</v>
      </c>
      <c r="AH6251" t="s">
        <v>729</v>
      </c>
      <c r="AI6251">
        <v>0</v>
      </c>
      <c r="AJ6251" t="s">
        <v>729</v>
      </c>
      <c r="AK6251" t="s">
        <v>729</v>
      </c>
    </row>
    <row r="6252" spans="1:37" x14ac:dyDescent="0.3">
      <c r="A6252">
        <v>6251</v>
      </c>
      <c r="B6252">
        <v>1.3</v>
      </c>
      <c r="C6252">
        <v>-10.412800000000001</v>
      </c>
      <c r="D6252">
        <v>13.091900000000001</v>
      </c>
      <c r="E6252">
        <f>-10.4128-13.0919</f>
        <v>-23.5047</v>
      </c>
      <c r="F6252" t="s">
        <v>9688</v>
      </c>
      <c r="G6252" t="s">
        <v>37</v>
      </c>
      <c r="H6252">
        <v>1990</v>
      </c>
      <c r="I6252">
        <v>27.861080000000001</v>
      </c>
      <c r="J6252">
        <v>13.361079999999999</v>
      </c>
      <c r="K6252">
        <v>58</v>
      </c>
      <c r="L6252">
        <v>22.702220000000001</v>
      </c>
      <c r="M6252">
        <v>39.183250000000001</v>
      </c>
      <c r="N6252">
        <v>16.26108</v>
      </c>
      <c r="O6252">
        <v>22.922170000000001</v>
      </c>
      <c r="P6252">
        <v>26.56108</v>
      </c>
      <c r="Q6252">
        <v>27.56108</v>
      </c>
      <c r="R6252">
        <v>31.26108</v>
      </c>
      <c r="S6252">
        <v>25.56108</v>
      </c>
      <c r="T6252">
        <v>1010</v>
      </c>
      <c r="U6252">
        <v>296</v>
      </c>
      <c r="V6252">
        <v>0</v>
      </c>
      <c r="W6252">
        <v>122</v>
      </c>
      <c r="X6252">
        <v>738</v>
      </c>
      <c r="Y6252">
        <v>0</v>
      </c>
      <c r="Z6252">
        <v>50</v>
      </c>
      <c r="AA6252">
        <v>5</v>
      </c>
      <c r="AB6252">
        <v>0</v>
      </c>
      <c r="AC6252">
        <v>5.393999E-2</v>
      </c>
      <c r="AD6252">
        <v>0</v>
      </c>
      <c r="AE6252">
        <v>0.48416019999999999</v>
      </c>
      <c r="AF6252">
        <v>204</v>
      </c>
      <c r="AG6252" t="str">
        <f>IFERROR(AH6252*0.1, "N/A")</f>
        <v>N/A</v>
      </c>
      <c r="AH6252" t="s">
        <v>729</v>
      </c>
      <c r="AI6252">
        <v>0</v>
      </c>
      <c r="AJ6252" t="s">
        <v>729</v>
      </c>
      <c r="AK6252" t="s">
        <v>729</v>
      </c>
    </row>
    <row r="6253" spans="1:37" x14ac:dyDescent="0.3">
      <c r="A6253">
        <v>6252</v>
      </c>
      <c r="B6253">
        <v>5.4</v>
      </c>
      <c r="C6253">
        <v>-7.9614000000000003</v>
      </c>
      <c r="D6253">
        <v>13.092000000000001</v>
      </c>
      <c r="E6253">
        <f>-7.9614-13.092</f>
        <v>-21.0534</v>
      </c>
      <c r="F6253" t="s">
        <v>9689</v>
      </c>
      <c r="G6253" t="s">
        <v>39</v>
      </c>
      <c r="H6253">
        <v>1990</v>
      </c>
      <c r="I6253">
        <v>26.947710000000001</v>
      </c>
      <c r="J6253">
        <v>15.152290000000001</v>
      </c>
      <c r="K6253">
        <v>58.522919999999999</v>
      </c>
      <c r="L6253">
        <v>24.37321</v>
      </c>
      <c r="M6253">
        <v>38.799999999999997</v>
      </c>
      <c r="N6253">
        <v>13.2</v>
      </c>
      <c r="O6253">
        <v>25.6</v>
      </c>
      <c r="P6253">
        <v>25.9</v>
      </c>
      <c r="Q6253">
        <v>24.347709999999999</v>
      </c>
      <c r="R6253">
        <v>30.3</v>
      </c>
      <c r="S6253">
        <v>24.1</v>
      </c>
      <c r="T6253">
        <v>912</v>
      </c>
      <c r="U6253">
        <v>286</v>
      </c>
      <c r="V6253">
        <v>0</v>
      </c>
      <c r="W6253">
        <v>125</v>
      </c>
      <c r="X6253">
        <v>686</v>
      </c>
      <c r="Y6253">
        <v>0</v>
      </c>
      <c r="Z6253">
        <v>57</v>
      </c>
      <c r="AA6253">
        <v>3</v>
      </c>
      <c r="AB6253">
        <v>0.64397680000000002</v>
      </c>
      <c r="AC6253">
        <v>0.47831970000000001</v>
      </c>
      <c r="AD6253">
        <v>1.461192</v>
      </c>
      <c r="AE6253">
        <v>0.68498139999999996</v>
      </c>
      <c r="AF6253">
        <v>393.49239999999998</v>
      </c>
      <c r="AG6253">
        <f>IFERROR(AH6253*0.1, "N/A")</f>
        <v>5.6096770000000005</v>
      </c>
      <c r="AH6253">
        <v>56.096769999999999</v>
      </c>
      <c r="AI6253">
        <v>131.6652</v>
      </c>
      <c r="AJ6253">
        <v>15.096769999999999</v>
      </c>
      <c r="AK6253">
        <v>54</v>
      </c>
    </row>
    <row r="6254" spans="1:37" x14ac:dyDescent="0.3">
      <c r="A6254">
        <v>6253</v>
      </c>
      <c r="B6254">
        <v>2.4</v>
      </c>
      <c r="C6254">
        <v>-7.9614000000000003</v>
      </c>
      <c r="D6254">
        <v>13.092000000000001</v>
      </c>
      <c r="E6254">
        <f>-7.9614-13.092</f>
        <v>-21.0534</v>
      </c>
      <c r="F6254" t="s">
        <v>9690</v>
      </c>
      <c r="G6254" t="s">
        <v>37</v>
      </c>
      <c r="H6254">
        <v>1990</v>
      </c>
      <c r="I6254">
        <v>26.947710000000001</v>
      </c>
      <c r="J6254">
        <v>15.152290000000001</v>
      </c>
      <c r="K6254">
        <v>58.522919999999999</v>
      </c>
      <c r="L6254">
        <v>24.37321</v>
      </c>
      <c r="M6254">
        <v>38.799999999999997</v>
      </c>
      <c r="N6254">
        <v>13.2</v>
      </c>
      <c r="O6254">
        <v>25.6</v>
      </c>
      <c r="P6254">
        <v>25.9</v>
      </c>
      <c r="Q6254">
        <v>24.347709999999999</v>
      </c>
      <c r="R6254">
        <v>30.3</v>
      </c>
      <c r="S6254">
        <v>24.1</v>
      </c>
      <c r="T6254">
        <v>912</v>
      </c>
      <c r="U6254">
        <v>286</v>
      </c>
      <c r="V6254">
        <v>0</v>
      </c>
      <c r="W6254">
        <v>125</v>
      </c>
      <c r="X6254">
        <v>686</v>
      </c>
      <c r="Y6254">
        <v>0</v>
      </c>
      <c r="Z6254">
        <v>57</v>
      </c>
      <c r="AA6254">
        <v>3</v>
      </c>
      <c r="AB6254">
        <v>0.64397680000000002</v>
      </c>
      <c r="AC6254">
        <v>0.47831970000000001</v>
      </c>
      <c r="AD6254">
        <v>1.461192</v>
      </c>
      <c r="AE6254">
        <v>0.68498139999999996</v>
      </c>
      <c r="AF6254">
        <v>393.49239999999998</v>
      </c>
      <c r="AG6254">
        <f>IFERROR(AH6254*0.1, "N/A")</f>
        <v>5.6096770000000005</v>
      </c>
      <c r="AH6254">
        <v>56.096769999999999</v>
      </c>
      <c r="AI6254">
        <v>131.6652</v>
      </c>
      <c r="AJ6254">
        <v>15.096769999999999</v>
      </c>
      <c r="AK6254">
        <v>54</v>
      </c>
    </row>
    <row r="6255" spans="1:37" x14ac:dyDescent="0.3">
      <c r="A6255">
        <v>6254</v>
      </c>
      <c r="B6255">
        <v>21.5</v>
      </c>
      <c r="C6255">
        <v>-7.9340999999999999</v>
      </c>
      <c r="D6255">
        <v>13.0968</v>
      </c>
      <c r="E6255">
        <f>-7.9341-13.0968</f>
        <v>-21.030899999999999</v>
      </c>
      <c r="F6255" t="s">
        <v>9691</v>
      </c>
      <c r="G6255" t="s">
        <v>39</v>
      </c>
      <c r="H6255">
        <v>1990</v>
      </c>
      <c r="I6255">
        <v>27</v>
      </c>
      <c r="J6255">
        <v>15.1</v>
      </c>
      <c r="K6255">
        <v>58</v>
      </c>
      <c r="L6255">
        <v>24.07</v>
      </c>
      <c r="M6255">
        <v>38.9</v>
      </c>
      <c r="N6255">
        <v>13.3</v>
      </c>
      <c r="O6255">
        <v>25.6</v>
      </c>
      <c r="P6255">
        <v>25.9</v>
      </c>
      <c r="Q6255">
        <v>24.4</v>
      </c>
      <c r="R6255">
        <v>30.3</v>
      </c>
      <c r="S6255">
        <v>24.1</v>
      </c>
      <c r="T6255">
        <v>905</v>
      </c>
      <c r="U6255">
        <v>284</v>
      </c>
      <c r="V6255">
        <v>0</v>
      </c>
      <c r="W6255">
        <v>126</v>
      </c>
      <c r="X6255">
        <v>681</v>
      </c>
      <c r="Y6255">
        <v>0</v>
      </c>
      <c r="Z6255">
        <v>57</v>
      </c>
      <c r="AA6255">
        <v>3</v>
      </c>
      <c r="AB6255">
        <v>0.89524749999999997</v>
      </c>
      <c r="AC6255">
        <v>1.5224169999999999</v>
      </c>
      <c r="AD6255">
        <v>1.349126</v>
      </c>
      <c r="AE6255">
        <v>0.74402539999999995</v>
      </c>
      <c r="AF6255">
        <v>385.37349999999998</v>
      </c>
      <c r="AG6255">
        <f>IFERROR(AH6255*0.1, "N/A")</f>
        <v>5.892869000000001</v>
      </c>
      <c r="AH6255">
        <v>58.928690000000003</v>
      </c>
      <c r="AI6255">
        <v>236.65039999999999</v>
      </c>
      <c r="AJ6255">
        <v>18.07131</v>
      </c>
      <c r="AK6255">
        <v>49.857390000000002</v>
      </c>
    </row>
    <row r="6256" spans="1:37" x14ac:dyDescent="0.3">
      <c r="A6256">
        <v>6255</v>
      </c>
      <c r="B6256">
        <v>0.9</v>
      </c>
      <c r="C6256">
        <v>-7.9340999999999999</v>
      </c>
      <c r="D6256">
        <v>13.0968</v>
      </c>
      <c r="E6256">
        <f>-7.9341-13.0968</f>
        <v>-21.030899999999999</v>
      </c>
      <c r="F6256" t="s">
        <v>9692</v>
      </c>
      <c r="G6256" t="s">
        <v>37</v>
      </c>
      <c r="H6256">
        <v>1990</v>
      </c>
      <c r="I6256">
        <v>27</v>
      </c>
      <c r="J6256">
        <v>15.1</v>
      </c>
      <c r="K6256">
        <v>58</v>
      </c>
      <c r="L6256">
        <v>24.07</v>
      </c>
      <c r="M6256">
        <v>38.9</v>
      </c>
      <c r="N6256">
        <v>13.3</v>
      </c>
      <c r="O6256">
        <v>25.6</v>
      </c>
      <c r="P6256">
        <v>25.9</v>
      </c>
      <c r="Q6256">
        <v>24.4</v>
      </c>
      <c r="R6256">
        <v>30.3</v>
      </c>
      <c r="S6256">
        <v>24.1</v>
      </c>
      <c r="T6256">
        <v>905</v>
      </c>
      <c r="U6256">
        <v>284</v>
      </c>
      <c r="V6256">
        <v>0</v>
      </c>
      <c r="W6256">
        <v>126</v>
      </c>
      <c r="X6256">
        <v>681</v>
      </c>
      <c r="Y6256">
        <v>0</v>
      </c>
      <c r="Z6256">
        <v>57</v>
      </c>
      <c r="AA6256">
        <v>3</v>
      </c>
      <c r="AB6256">
        <v>0.89524749999999997</v>
      </c>
      <c r="AC6256">
        <v>1.5224169999999999</v>
      </c>
      <c r="AD6256">
        <v>1.349126</v>
      </c>
      <c r="AE6256">
        <v>0.74402539999999995</v>
      </c>
      <c r="AF6256">
        <v>385.37349999999998</v>
      </c>
      <c r="AG6256">
        <f>IFERROR(AH6256*0.1, "N/A")</f>
        <v>5.892869000000001</v>
      </c>
      <c r="AH6256">
        <v>58.928690000000003</v>
      </c>
      <c r="AI6256">
        <v>236.65039999999999</v>
      </c>
      <c r="AJ6256">
        <v>18.07131</v>
      </c>
      <c r="AK6256">
        <v>49.857390000000002</v>
      </c>
    </row>
    <row r="6257" spans="1:37" x14ac:dyDescent="0.3">
      <c r="A6257">
        <v>6256</v>
      </c>
      <c r="B6257">
        <v>20.7</v>
      </c>
      <c r="C6257">
        <v>-7.3547900000000004</v>
      </c>
      <c r="D6257">
        <v>13.0977</v>
      </c>
      <c r="E6257">
        <f>-7.35479-13.0977</f>
        <v>-20.452490000000001</v>
      </c>
      <c r="F6257" t="s">
        <v>9693</v>
      </c>
      <c r="G6257" t="s">
        <v>39</v>
      </c>
      <c r="H6257">
        <v>1990</v>
      </c>
      <c r="I6257">
        <v>27.4</v>
      </c>
      <c r="J6257">
        <v>15</v>
      </c>
      <c r="K6257">
        <v>57</v>
      </c>
      <c r="L6257">
        <v>25.54</v>
      </c>
      <c r="M6257">
        <v>39.5</v>
      </c>
      <c r="N6257">
        <v>13.6</v>
      </c>
      <c r="O6257">
        <v>25.9</v>
      </c>
      <c r="P6257">
        <v>26.5</v>
      </c>
      <c r="Q6257">
        <v>24.4</v>
      </c>
      <c r="R6257">
        <v>30.8</v>
      </c>
      <c r="S6257">
        <v>24.3</v>
      </c>
      <c r="T6257">
        <v>810</v>
      </c>
      <c r="U6257">
        <v>255</v>
      </c>
      <c r="V6257">
        <v>0</v>
      </c>
      <c r="W6257">
        <v>125</v>
      </c>
      <c r="X6257">
        <v>607</v>
      </c>
      <c r="Y6257">
        <v>0</v>
      </c>
      <c r="Z6257">
        <v>56</v>
      </c>
      <c r="AA6257">
        <v>3</v>
      </c>
      <c r="AB6257">
        <v>2.429497</v>
      </c>
      <c r="AC6257">
        <v>2.9733039999999999E-2</v>
      </c>
      <c r="AD6257">
        <v>1.230499</v>
      </c>
      <c r="AE6257">
        <v>0.67110990000000004</v>
      </c>
      <c r="AF6257">
        <v>299.53219999999999</v>
      </c>
      <c r="AG6257">
        <f>IFERROR(AH6257*0.1, "N/A")</f>
        <v>5.6474580000000003</v>
      </c>
      <c r="AH6257">
        <v>56.474580000000003</v>
      </c>
      <c r="AI6257">
        <v>181.68960000000001</v>
      </c>
      <c r="AJ6257">
        <v>21.069489999999998</v>
      </c>
      <c r="AK6257">
        <v>51.659320000000001</v>
      </c>
    </row>
    <row r="6258" spans="1:37" x14ac:dyDescent="0.3">
      <c r="A6258">
        <v>6257</v>
      </c>
      <c r="B6258">
        <v>1.5</v>
      </c>
      <c r="C6258">
        <v>-7.3547900000000004</v>
      </c>
      <c r="D6258">
        <v>13.0977</v>
      </c>
      <c r="E6258">
        <f>-7.35479-13.0977</f>
        <v>-20.452490000000001</v>
      </c>
      <c r="F6258" t="s">
        <v>9694</v>
      </c>
      <c r="G6258" t="s">
        <v>37</v>
      </c>
      <c r="H6258">
        <v>1990</v>
      </c>
      <c r="I6258">
        <v>27.4</v>
      </c>
      <c r="J6258">
        <v>15</v>
      </c>
      <c r="K6258">
        <v>57</v>
      </c>
      <c r="L6258">
        <v>25.54</v>
      </c>
      <c r="M6258">
        <v>39.5</v>
      </c>
      <c r="N6258">
        <v>13.6</v>
      </c>
      <c r="O6258">
        <v>25.9</v>
      </c>
      <c r="P6258">
        <v>26.5</v>
      </c>
      <c r="Q6258">
        <v>24.4</v>
      </c>
      <c r="R6258">
        <v>30.8</v>
      </c>
      <c r="S6258">
        <v>24.3</v>
      </c>
      <c r="T6258">
        <v>810</v>
      </c>
      <c r="U6258">
        <v>255</v>
      </c>
      <c r="V6258">
        <v>0</v>
      </c>
      <c r="W6258">
        <v>125</v>
      </c>
      <c r="X6258">
        <v>607</v>
      </c>
      <c r="Y6258">
        <v>0</v>
      </c>
      <c r="Z6258">
        <v>56</v>
      </c>
      <c r="AA6258">
        <v>3</v>
      </c>
      <c r="AB6258">
        <v>2.429497</v>
      </c>
      <c r="AC6258">
        <v>2.9733039999999999E-2</v>
      </c>
      <c r="AD6258">
        <v>1.230499</v>
      </c>
      <c r="AE6258">
        <v>0.67110990000000004</v>
      </c>
      <c r="AF6258">
        <v>299.53219999999999</v>
      </c>
      <c r="AG6258">
        <f>IFERROR(AH6258*0.1, "N/A")</f>
        <v>5.6474580000000003</v>
      </c>
      <c r="AH6258">
        <v>56.474580000000003</v>
      </c>
      <c r="AI6258">
        <v>181.68960000000001</v>
      </c>
      <c r="AJ6258">
        <v>21.069489999999998</v>
      </c>
      <c r="AK6258">
        <v>51.659320000000001</v>
      </c>
    </row>
    <row r="6259" spans="1:37" x14ac:dyDescent="0.3">
      <c r="A6259">
        <v>6258</v>
      </c>
      <c r="B6259">
        <v>20.2</v>
      </c>
      <c r="C6259">
        <v>-7.9359999999999999</v>
      </c>
      <c r="D6259">
        <v>13.099</v>
      </c>
      <c r="E6259">
        <f>-7.936-13.099</f>
        <v>-21.035</v>
      </c>
      <c r="F6259" t="s">
        <v>9695</v>
      </c>
      <c r="G6259" t="s">
        <v>39</v>
      </c>
      <c r="H6259">
        <v>1987</v>
      </c>
      <c r="I6259">
        <v>27</v>
      </c>
      <c r="J6259">
        <v>15.1</v>
      </c>
      <c r="K6259">
        <v>58</v>
      </c>
      <c r="L6259">
        <v>24.07</v>
      </c>
      <c r="M6259">
        <v>38.9</v>
      </c>
      <c r="N6259">
        <v>13.3</v>
      </c>
      <c r="O6259">
        <v>25.6</v>
      </c>
      <c r="P6259">
        <v>25.9</v>
      </c>
      <c r="Q6259">
        <v>24.4</v>
      </c>
      <c r="R6259">
        <v>30.3</v>
      </c>
      <c r="S6259">
        <v>24.1</v>
      </c>
      <c r="T6259">
        <v>905</v>
      </c>
      <c r="U6259">
        <v>284</v>
      </c>
      <c r="V6259">
        <v>0</v>
      </c>
      <c r="W6259">
        <v>126</v>
      </c>
      <c r="X6259">
        <v>681</v>
      </c>
      <c r="Y6259">
        <v>0</v>
      </c>
      <c r="Z6259">
        <v>57</v>
      </c>
      <c r="AA6259">
        <v>3</v>
      </c>
      <c r="AB6259">
        <v>10.65085</v>
      </c>
      <c r="AC6259">
        <v>1.26775E-2</v>
      </c>
      <c r="AD6259">
        <v>2.0621019999999999</v>
      </c>
      <c r="AE6259">
        <v>0.71837870000000004</v>
      </c>
      <c r="AF6259">
        <v>386.8818</v>
      </c>
      <c r="AG6259">
        <f>IFERROR(AH6259*0.1, "N/A")</f>
        <v>5.8175680000000005</v>
      </c>
      <c r="AH6259">
        <v>58.17568</v>
      </c>
      <c r="AI6259">
        <v>269.85860000000002</v>
      </c>
      <c r="AJ6259">
        <v>18.42399</v>
      </c>
      <c r="AK6259">
        <v>48.08784</v>
      </c>
    </row>
    <row r="6260" spans="1:37" x14ac:dyDescent="0.3">
      <c r="A6260">
        <v>6259</v>
      </c>
      <c r="B6260">
        <v>0.9</v>
      </c>
      <c r="C6260">
        <v>-7.9359999999999999</v>
      </c>
      <c r="D6260">
        <v>13.099</v>
      </c>
      <c r="E6260">
        <f>-7.936-13.099</f>
        <v>-21.035</v>
      </c>
      <c r="F6260" t="s">
        <v>9696</v>
      </c>
      <c r="G6260" t="s">
        <v>37</v>
      </c>
      <c r="H6260">
        <v>1987</v>
      </c>
      <c r="I6260">
        <v>27</v>
      </c>
      <c r="J6260">
        <v>15.1</v>
      </c>
      <c r="K6260">
        <v>58</v>
      </c>
      <c r="L6260">
        <v>24.07</v>
      </c>
      <c r="M6260">
        <v>38.9</v>
      </c>
      <c r="N6260">
        <v>13.3</v>
      </c>
      <c r="O6260">
        <v>25.6</v>
      </c>
      <c r="P6260">
        <v>25.9</v>
      </c>
      <c r="Q6260">
        <v>24.4</v>
      </c>
      <c r="R6260">
        <v>30.3</v>
      </c>
      <c r="S6260">
        <v>24.1</v>
      </c>
      <c r="T6260">
        <v>905</v>
      </c>
      <c r="U6260">
        <v>284</v>
      </c>
      <c r="V6260">
        <v>0</v>
      </c>
      <c r="W6260">
        <v>126</v>
      </c>
      <c r="X6260">
        <v>681</v>
      </c>
      <c r="Y6260">
        <v>0</v>
      </c>
      <c r="Z6260">
        <v>57</v>
      </c>
      <c r="AA6260">
        <v>3</v>
      </c>
      <c r="AB6260">
        <v>10.65085</v>
      </c>
      <c r="AC6260">
        <v>1.26775E-2</v>
      </c>
      <c r="AD6260">
        <v>2.0621019999999999</v>
      </c>
      <c r="AE6260">
        <v>0.71837870000000004</v>
      </c>
      <c r="AF6260">
        <v>386.8818</v>
      </c>
      <c r="AG6260">
        <f>IFERROR(AH6260*0.1, "N/A")</f>
        <v>5.8175680000000005</v>
      </c>
      <c r="AH6260">
        <v>58.17568</v>
      </c>
      <c r="AI6260">
        <v>269.85860000000002</v>
      </c>
      <c r="AJ6260">
        <v>18.42399</v>
      </c>
      <c r="AK6260">
        <v>48.08784</v>
      </c>
    </row>
    <row r="6261" spans="1:37" x14ac:dyDescent="0.3">
      <c r="A6261">
        <v>6260</v>
      </c>
      <c r="B6261">
        <v>12.1</v>
      </c>
      <c r="C6261">
        <v>-8.0088000000000008</v>
      </c>
      <c r="D6261">
        <v>13.101599999999999</v>
      </c>
      <c r="E6261">
        <f>-8.0088-13.1016</f>
        <v>-21.110399999999998</v>
      </c>
      <c r="F6261" t="s">
        <v>9697</v>
      </c>
      <c r="G6261" t="s">
        <v>39</v>
      </c>
      <c r="H6261">
        <v>1990</v>
      </c>
      <c r="I6261">
        <v>26.8</v>
      </c>
      <c r="J6261">
        <v>15.2</v>
      </c>
      <c r="K6261">
        <v>59</v>
      </c>
      <c r="L6261">
        <v>23.719639999999998</v>
      </c>
      <c r="M6261">
        <v>38.6</v>
      </c>
      <c r="N6261">
        <v>13.1</v>
      </c>
      <c r="O6261">
        <v>25.5</v>
      </c>
      <c r="P6261">
        <v>25.7</v>
      </c>
      <c r="Q6261">
        <v>24.275300000000001</v>
      </c>
      <c r="R6261">
        <v>30</v>
      </c>
      <c r="S6261">
        <v>23.975300000000001</v>
      </c>
      <c r="T6261">
        <v>921</v>
      </c>
      <c r="U6261">
        <v>289</v>
      </c>
      <c r="V6261">
        <v>0</v>
      </c>
      <c r="W6261">
        <v>126</v>
      </c>
      <c r="X6261">
        <v>693</v>
      </c>
      <c r="Y6261">
        <v>0</v>
      </c>
      <c r="Z6261">
        <v>57</v>
      </c>
      <c r="AA6261">
        <v>4</v>
      </c>
      <c r="AB6261">
        <v>0.83266450000000003</v>
      </c>
      <c r="AC6261">
        <v>4.2183770000000002E-2</v>
      </c>
      <c r="AD6261">
        <v>1.143797</v>
      </c>
      <c r="AE6261">
        <v>0.68162719999999999</v>
      </c>
      <c r="AF6261">
        <v>424.66669999999999</v>
      </c>
      <c r="AG6261">
        <f>IFERROR(AH6261*0.1, "N/A")</f>
        <v>5.4375630000000008</v>
      </c>
      <c r="AH6261">
        <v>54.375630000000001</v>
      </c>
      <c r="AI6261">
        <v>209.13339999999999</v>
      </c>
      <c r="AJ6261">
        <v>16.817260000000001</v>
      </c>
      <c r="AK6261">
        <v>50.935699999999997</v>
      </c>
    </row>
    <row r="6262" spans="1:37" x14ac:dyDescent="0.3">
      <c r="A6262">
        <v>6261</v>
      </c>
      <c r="B6262">
        <v>0</v>
      </c>
      <c r="C6262">
        <v>-8.0088000000000008</v>
      </c>
      <c r="D6262">
        <v>13.101599999999999</v>
      </c>
      <c r="E6262">
        <f>-8.0088-13.1016</f>
        <v>-21.110399999999998</v>
      </c>
      <c r="F6262" t="s">
        <v>9698</v>
      </c>
      <c r="G6262" t="s">
        <v>37</v>
      </c>
      <c r="H6262">
        <v>1990</v>
      </c>
      <c r="I6262">
        <v>26.8</v>
      </c>
      <c r="J6262">
        <v>15.2</v>
      </c>
      <c r="K6262">
        <v>59</v>
      </c>
      <c r="L6262">
        <v>23.719639999999998</v>
      </c>
      <c r="M6262">
        <v>38.6</v>
      </c>
      <c r="N6262">
        <v>13.1</v>
      </c>
      <c r="O6262">
        <v>25.5</v>
      </c>
      <c r="P6262">
        <v>25.7</v>
      </c>
      <c r="Q6262">
        <v>24.275300000000001</v>
      </c>
      <c r="R6262">
        <v>30</v>
      </c>
      <c r="S6262">
        <v>23.975300000000001</v>
      </c>
      <c r="T6262">
        <v>921</v>
      </c>
      <c r="U6262">
        <v>289</v>
      </c>
      <c r="V6262">
        <v>0</v>
      </c>
      <c r="W6262">
        <v>126</v>
      </c>
      <c r="X6262">
        <v>693</v>
      </c>
      <c r="Y6262">
        <v>0</v>
      </c>
      <c r="Z6262">
        <v>57</v>
      </c>
      <c r="AA6262">
        <v>4</v>
      </c>
      <c r="AB6262">
        <v>0.83266450000000003</v>
      </c>
      <c r="AC6262">
        <v>4.2183770000000002E-2</v>
      </c>
      <c r="AD6262">
        <v>1.143797</v>
      </c>
      <c r="AE6262">
        <v>0.68162719999999999</v>
      </c>
      <c r="AF6262">
        <v>424.66669999999999</v>
      </c>
      <c r="AG6262">
        <f>IFERROR(AH6262*0.1, "N/A")</f>
        <v>5.4375630000000008</v>
      </c>
      <c r="AH6262">
        <v>54.375630000000001</v>
      </c>
      <c r="AI6262">
        <v>209.13339999999999</v>
      </c>
      <c r="AJ6262">
        <v>16.817260000000001</v>
      </c>
      <c r="AK6262">
        <v>50.935699999999997</v>
      </c>
    </row>
    <row r="6263" spans="1:37" x14ac:dyDescent="0.3">
      <c r="A6263">
        <v>6262</v>
      </c>
      <c r="B6263">
        <v>6.1</v>
      </c>
      <c r="C6263">
        <v>-7.9950000000000001</v>
      </c>
      <c r="D6263">
        <v>13.1142</v>
      </c>
      <c r="E6263">
        <f>-7.995-13.1142</f>
        <v>-21.109200000000001</v>
      </c>
      <c r="F6263" t="s">
        <v>9699</v>
      </c>
      <c r="G6263" t="s">
        <v>39</v>
      </c>
      <c r="H6263">
        <v>1990</v>
      </c>
      <c r="I6263">
        <v>26.8</v>
      </c>
      <c r="J6263">
        <v>15.2</v>
      </c>
      <c r="K6263">
        <v>59</v>
      </c>
      <c r="L6263">
        <v>24.15</v>
      </c>
      <c r="M6263">
        <v>38.700000000000003</v>
      </c>
      <c r="N6263">
        <v>13.1</v>
      </c>
      <c r="O6263">
        <v>25.6</v>
      </c>
      <c r="P6263">
        <v>25.8</v>
      </c>
      <c r="Q6263">
        <v>24.2</v>
      </c>
      <c r="R6263">
        <v>30.1</v>
      </c>
      <c r="S6263">
        <v>24</v>
      </c>
      <c r="T6263">
        <v>916</v>
      </c>
      <c r="U6263">
        <v>288</v>
      </c>
      <c r="V6263">
        <v>0</v>
      </c>
      <c r="W6263">
        <v>126</v>
      </c>
      <c r="X6263">
        <v>690</v>
      </c>
      <c r="Y6263">
        <v>0</v>
      </c>
      <c r="Z6263">
        <v>57</v>
      </c>
      <c r="AA6263">
        <v>3</v>
      </c>
      <c r="AB6263">
        <v>2.5233989999999999</v>
      </c>
      <c r="AC6263">
        <v>1.6714920000000001E-2</v>
      </c>
      <c r="AD6263">
        <v>1.330627</v>
      </c>
      <c r="AE6263">
        <v>0.68454179999999998</v>
      </c>
      <c r="AF6263">
        <v>414.86779999999999</v>
      </c>
      <c r="AG6263">
        <f>IFERROR(AH6263*0.1, "N/A")</f>
        <v>5.5055930000000002</v>
      </c>
      <c r="AH6263">
        <v>55.055929999999996</v>
      </c>
      <c r="AI6263">
        <v>137.4965</v>
      </c>
      <c r="AJ6263">
        <v>18</v>
      </c>
      <c r="AK6263">
        <v>51</v>
      </c>
    </row>
    <row r="6264" spans="1:37" x14ac:dyDescent="0.3">
      <c r="A6264">
        <v>6263</v>
      </c>
      <c r="B6264">
        <v>0</v>
      </c>
      <c r="C6264">
        <v>-7.9950000000000001</v>
      </c>
      <c r="D6264">
        <v>13.1142</v>
      </c>
      <c r="E6264">
        <f>-7.995-13.1142</f>
        <v>-21.109200000000001</v>
      </c>
      <c r="F6264" t="s">
        <v>9700</v>
      </c>
      <c r="G6264" t="s">
        <v>37</v>
      </c>
      <c r="H6264">
        <v>1990</v>
      </c>
      <c r="I6264">
        <v>26.8</v>
      </c>
      <c r="J6264">
        <v>15.2</v>
      </c>
      <c r="K6264">
        <v>59</v>
      </c>
      <c r="L6264">
        <v>24.15</v>
      </c>
      <c r="M6264">
        <v>38.700000000000003</v>
      </c>
      <c r="N6264">
        <v>13.1</v>
      </c>
      <c r="O6264">
        <v>25.6</v>
      </c>
      <c r="P6264">
        <v>25.8</v>
      </c>
      <c r="Q6264">
        <v>24.2</v>
      </c>
      <c r="R6264">
        <v>30.1</v>
      </c>
      <c r="S6264">
        <v>24</v>
      </c>
      <c r="T6264">
        <v>916</v>
      </c>
      <c r="U6264">
        <v>288</v>
      </c>
      <c r="V6264">
        <v>0</v>
      </c>
      <c r="W6264">
        <v>126</v>
      </c>
      <c r="X6264">
        <v>690</v>
      </c>
      <c r="Y6264">
        <v>0</v>
      </c>
      <c r="Z6264">
        <v>57</v>
      </c>
      <c r="AA6264">
        <v>3</v>
      </c>
      <c r="AB6264">
        <v>2.5233989999999999</v>
      </c>
      <c r="AC6264">
        <v>1.6714920000000001E-2</v>
      </c>
      <c r="AD6264">
        <v>1.330627</v>
      </c>
      <c r="AE6264">
        <v>0.68454179999999998</v>
      </c>
      <c r="AF6264">
        <v>414.86779999999999</v>
      </c>
      <c r="AG6264">
        <f>IFERROR(AH6264*0.1, "N/A")</f>
        <v>5.5055930000000002</v>
      </c>
      <c r="AH6264">
        <v>55.055929999999996</v>
      </c>
      <c r="AI6264">
        <v>137.4965</v>
      </c>
      <c r="AJ6264">
        <v>18</v>
      </c>
      <c r="AK6264">
        <v>51</v>
      </c>
    </row>
    <row r="6265" spans="1:37" x14ac:dyDescent="0.3">
      <c r="A6265">
        <v>6264</v>
      </c>
      <c r="B6265">
        <v>15.2</v>
      </c>
      <c r="C6265">
        <v>-7.9935099999999997</v>
      </c>
      <c r="D6265">
        <v>13.1311</v>
      </c>
      <c r="E6265">
        <f>-7.99351-13.1311</f>
        <v>-21.124610000000001</v>
      </c>
      <c r="F6265" t="s">
        <v>9701</v>
      </c>
      <c r="G6265" t="s">
        <v>39</v>
      </c>
      <c r="H6265">
        <v>1990</v>
      </c>
      <c r="I6265">
        <v>26.8</v>
      </c>
      <c r="J6265">
        <v>15.2</v>
      </c>
      <c r="K6265">
        <v>59</v>
      </c>
      <c r="L6265">
        <v>24.29</v>
      </c>
      <c r="M6265">
        <v>38.700000000000003</v>
      </c>
      <c r="N6265">
        <v>13</v>
      </c>
      <c r="O6265">
        <v>25.7</v>
      </c>
      <c r="P6265">
        <v>25.8</v>
      </c>
      <c r="Q6265">
        <v>24.2</v>
      </c>
      <c r="R6265">
        <v>30.1</v>
      </c>
      <c r="S6265">
        <v>24</v>
      </c>
      <c r="T6265">
        <v>913</v>
      </c>
      <c r="U6265">
        <v>287</v>
      </c>
      <c r="V6265">
        <v>0</v>
      </c>
      <c r="W6265">
        <v>125</v>
      </c>
      <c r="X6265">
        <v>687</v>
      </c>
      <c r="Y6265">
        <v>0</v>
      </c>
      <c r="Z6265">
        <v>57</v>
      </c>
      <c r="AA6265">
        <v>3</v>
      </c>
      <c r="AB6265">
        <v>2.563977</v>
      </c>
      <c r="AC6265">
        <v>2.1340580000000001E-2</v>
      </c>
      <c r="AD6265">
        <v>1.449349</v>
      </c>
      <c r="AE6265">
        <v>0.68514399999999998</v>
      </c>
      <c r="AF6265">
        <v>408.096</v>
      </c>
      <c r="AG6265">
        <f>IFERROR(AH6265*0.1, "N/A")</f>
        <v>5.587542</v>
      </c>
      <c r="AH6265">
        <v>55.875419999999998</v>
      </c>
      <c r="AI6265">
        <v>56.124400000000001</v>
      </c>
      <c r="AJ6265">
        <v>19.875419999999998</v>
      </c>
      <c r="AK6265">
        <v>50.037039999999998</v>
      </c>
    </row>
    <row r="6266" spans="1:37" x14ac:dyDescent="0.3">
      <c r="A6266">
        <v>6265</v>
      </c>
      <c r="B6266">
        <v>0</v>
      </c>
      <c r="C6266">
        <v>-7.9935099999999997</v>
      </c>
      <c r="D6266">
        <v>13.1311</v>
      </c>
      <c r="E6266">
        <f>-7.99351-13.1311</f>
        <v>-21.124610000000001</v>
      </c>
      <c r="F6266" t="s">
        <v>9702</v>
      </c>
      <c r="G6266" t="s">
        <v>37</v>
      </c>
      <c r="H6266">
        <v>1990</v>
      </c>
      <c r="I6266">
        <v>26.8</v>
      </c>
      <c r="J6266">
        <v>15.2</v>
      </c>
      <c r="K6266">
        <v>59</v>
      </c>
      <c r="L6266">
        <v>24.29</v>
      </c>
      <c r="M6266">
        <v>38.700000000000003</v>
      </c>
      <c r="N6266">
        <v>13</v>
      </c>
      <c r="O6266">
        <v>25.7</v>
      </c>
      <c r="P6266">
        <v>25.8</v>
      </c>
      <c r="Q6266">
        <v>24.2</v>
      </c>
      <c r="R6266">
        <v>30.1</v>
      </c>
      <c r="S6266">
        <v>24</v>
      </c>
      <c r="T6266">
        <v>913</v>
      </c>
      <c r="U6266">
        <v>287</v>
      </c>
      <c r="V6266">
        <v>0</v>
      </c>
      <c r="W6266">
        <v>125</v>
      </c>
      <c r="X6266">
        <v>687</v>
      </c>
      <c r="Y6266">
        <v>0</v>
      </c>
      <c r="Z6266">
        <v>57</v>
      </c>
      <c r="AA6266">
        <v>3</v>
      </c>
      <c r="AB6266">
        <v>2.563977</v>
      </c>
      <c r="AC6266">
        <v>2.1340580000000001E-2</v>
      </c>
      <c r="AD6266">
        <v>1.449349</v>
      </c>
      <c r="AE6266">
        <v>0.68514399999999998</v>
      </c>
      <c r="AF6266">
        <v>408.096</v>
      </c>
      <c r="AG6266">
        <f>IFERROR(AH6266*0.1, "N/A")</f>
        <v>5.587542</v>
      </c>
      <c r="AH6266">
        <v>55.875419999999998</v>
      </c>
      <c r="AI6266">
        <v>56.124400000000001</v>
      </c>
      <c r="AJ6266">
        <v>19.875419999999998</v>
      </c>
      <c r="AK6266">
        <v>50.037039999999998</v>
      </c>
    </row>
    <row r="6267" spans="1:37" x14ac:dyDescent="0.3">
      <c r="A6267">
        <v>6266</v>
      </c>
      <c r="B6267">
        <v>44.4</v>
      </c>
      <c r="C6267">
        <v>-7.8879999999999999</v>
      </c>
      <c r="D6267">
        <v>13.1325</v>
      </c>
      <c r="E6267">
        <f>-7.888-13.1325</f>
        <v>-21.020499999999998</v>
      </c>
      <c r="F6267" t="s">
        <v>9703</v>
      </c>
      <c r="G6267" t="s">
        <v>39</v>
      </c>
      <c r="H6267">
        <v>1990</v>
      </c>
      <c r="I6267">
        <v>27</v>
      </c>
      <c r="J6267">
        <v>15.2</v>
      </c>
      <c r="K6267">
        <v>59</v>
      </c>
      <c r="L6267">
        <v>24.27</v>
      </c>
      <c r="M6267">
        <v>38.9</v>
      </c>
      <c r="N6267">
        <v>13.2</v>
      </c>
      <c r="O6267">
        <v>25.7</v>
      </c>
      <c r="P6267">
        <v>26</v>
      </c>
      <c r="Q6267">
        <v>24.3</v>
      </c>
      <c r="R6267">
        <v>30.3</v>
      </c>
      <c r="S6267">
        <v>24.1</v>
      </c>
      <c r="T6267">
        <v>893</v>
      </c>
      <c r="U6267">
        <v>280</v>
      </c>
      <c r="V6267">
        <v>0</v>
      </c>
      <c r="W6267">
        <v>125</v>
      </c>
      <c r="X6267">
        <v>671</v>
      </c>
      <c r="Y6267">
        <v>0</v>
      </c>
      <c r="Z6267">
        <v>56</v>
      </c>
      <c r="AA6267">
        <v>3</v>
      </c>
      <c r="AB6267">
        <v>0.88020160000000003</v>
      </c>
      <c r="AC6267">
        <v>0.60722770000000004</v>
      </c>
      <c r="AD6267">
        <v>1.341593</v>
      </c>
      <c r="AE6267">
        <v>0.52305539999999995</v>
      </c>
      <c r="AF6267">
        <v>379.59219999999999</v>
      </c>
      <c r="AG6267">
        <f>IFERROR(AH6267*0.1, "N/A")</f>
        <v>6.5837560000000002</v>
      </c>
      <c r="AH6267">
        <v>65.837559999999996</v>
      </c>
      <c r="AI6267">
        <v>87.014160000000004</v>
      </c>
      <c r="AJ6267">
        <v>22</v>
      </c>
      <c r="AK6267">
        <v>50.619289999999999</v>
      </c>
    </row>
    <row r="6268" spans="1:37" x14ac:dyDescent="0.3">
      <c r="A6268">
        <v>6267</v>
      </c>
      <c r="B6268">
        <v>0</v>
      </c>
      <c r="C6268">
        <v>-7.8879999999999999</v>
      </c>
      <c r="D6268">
        <v>13.1325</v>
      </c>
      <c r="E6268">
        <f>-7.888-13.1325</f>
        <v>-21.020499999999998</v>
      </c>
      <c r="F6268" t="s">
        <v>9704</v>
      </c>
      <c r="G6268" t="s">
        <v>37</v>
      </c>
      <c r="H6268">
        <v>1990</v>
      </c>
      <c r="I6268">
        <v>27</v>
      </c>
      <c r="J6268">
        <v>15.2</v>
      </c>
      <c r="K6268">
        <v>59</v>
      </c>
      <c r="L6268">
        <v>24.27</v>
      </c>
      <c r="M6268">
        <v>38.9</v>
      </c>
      <c r="N6268">
        <v>13.2</v>
      </c>
      <c r="O6268">
        <v>25.7</v>
      </c>
      <c r="P6268">
        <v>26</v>
      </c>
      <c r="Q6268">
        <v>24.3</v>
      </c>
      <c r="R6268">
        <v>30.3</v>
      </c>
      <c r="S6268">
        <v>24.1</v>
      </c>
      <c r="T6268">
        <v>893</v>
      </c>
      <c r="U6268">
        <v>280</v>
      </c>
      <c r="V6268">
        <v>0</v>
      </c>
      <c r="W6268">
        <v>125</v>
      </c>
      <c r="X6268">
        <v>671</v>
      </c>
      <c r="Y6268">
        <v>0</v>
      </c>
      <c r="Z6268">
        <v>56</v>
      </c>
      <c r="AA6268">
        <v>3</v>
      </c>
      <c r="AB6268">
        <v>0.88020160000000003</v>
      </c>
      <c r="AC6268">
        <v>0.60722770000000004</v>
      </c>
      <c r="AD6268">
        <v>1.341593</v>
      </c>
      <c r="AE6268">
        <v>0.52305539999999995</v>
      </c>
      <c r="AF6268">
        <v>379.59219999999999</v>
      </c>
      <c r="AG6268">
        <f>IFERROR(AH6268*0.1, "N/A")</f>
        <v>6.5837560000000002</v>
      </c>
      <c r="AH6268">
        <v>65.837559999999996</v>
      </c>
      <c r="AI6268">
        <v>87.014160000000004</v>
      </c>
      <c r="AJ6268">
        <v>22</v>
      </c>
      <c r="AK6268">
        <v>50.619289999999999</v>
      </c>
    </row>
    <row r="6269" spans="1:37" x14ac:dyDescent="0.3">
      <c r="A6269">
        <v>6268</v>
      </c>
      <c r="B6269">
        <v>5</v>
      </c>
      <c r="C6269">
        <v>-9.0850000000000009</v>
      </c>
      <c r="D6269">
        <v>13.135</v>
      </c>
      <c r="E6269">
        <f>-9.085-13.135</f>
        <v>-22.22</v>
      </c>
      <c r="F6269" t="s">
        <v>9705</v>
      </c>
      <c r="G6269" t="s">
        <v>39</v>
      </c>
      <c r="H6269">
        <v>1987</v>
      </c>
      <c r="I6269">
        <v>27.3</v>
      </c>
      <c r="J6269">
        <v>14.3</v>
      </c>
      <c r="K6269">
        <v>59</v>
      </c>
      <c r="L6269">
        <v>24.83</v>
      </c>
      <c r="M6269">
        <v>39.1</v>
      </c>
      <c r="N6269">
        <v>14.9</v>
      </c>
      <c r="O6269">
        <v>24.2</v>
      </c>
      <c r="P6269">
        <v>25.9</v>
      </c>
      <c r="Q6269">
        <v>25</v>
      </c>
      <c r="R6269">
        <v>30.9</v>
      </c>
      <c r="S6269">
        <v>24.5</v>
      </c>
      <c r="T6269">
        <v>915</v>
      </c>
      <c r="U6269">
        <v>280</v>
      </c>
      <c r="V6269">
        <v>0</v>
      </c>
      <c r="W6269">
        <v>126</v>
      </c>
      <c r="X6269">
        <v>688</v>
      </c>
      <c r="Y6269">
        <v>0</v>
      </c>
      <c r="Z6269">
        <v>43</v>
      </c>
      <c r="AA6269">
        <v>5</v>
      </c>
      <c r="AB6269">
        <v>2.1035710000000001</v>
      </c>
      <c r="AC6269">
        <v>6.8621360000000006E-2</v>
      </c>
      <c r="AD6269">
        <v>0.90238450000000003</v>
      </c>
      <c r="AE6269">
        <v>0.48737249999999999</v>
      </c>
      <c r="AF6269">
        <v>366.83699999999999</v>
      </c>
      <c r="AG6269">
        <f>IFERROR(AH6269*0.1, "N/A")</f>
        <v>6.2</v>
      </c>
      <c r="AH6269">
        <v>62</v>
      </c>
      <c r="AI6269">
        <v>226.3313</v>
      </c>
      <c r="AJ6269">
        <v>20.772500000000001</v>
      </c>
      <c r="AK6269">
        <v>54.37182</v>
      </c>
    </row>
    <row r="6270" spans="1:37" x14ac:dyDescent="0.3">
      <c r="A6270">
        <v>6269</v>
      </c>
      <c r="B6270">
        <v>0</v>
      </c>
      <c r="C6270">
        <v>-9.0850000000000009</v>
      </c>
      <c r="D6270">
        <v>13.135</v>
      </c>
      <c r="E6270">
        <f>-9.085-13.135</f>
        <v>-22.22</v>
      </c>
      <c r="F6270" t="s">
        <v>9706</v>
      </c>
      <c r="G6270" t="s">
        <v>37</v>
      </c>
      <c r="H6270">
        <v>1987</v>
      </c>
      <c r="I6270">
        <v>27.3</v>
      </c>
      <c r="J6270">
        <v>14.3</v>
      </c>
      <c r="K6270">
        <v>59</v>
      </c>
      <c r="L6270">
        <v>24.83</v>
      </c>
      <c r="M6270">
        <v>39.1</v>
      </c>
      <c r="N6270">
        <v>14.9</v>
      </c>
      <c r="O6270">
        <v>24.2</v>
      </c>
      <c r="P6270">
        <v>25.9</v>
      </c>
      <c r="Q6270">
        <v>25</v>
      </c>
      <c r="R6270">
        <v>30.9</v>
      </c>
      <c r="S6270">
        <v>24.5</v>
      </c>
      <c r="T6270">
        <v>915</v>
      </c>
      <c r="U6270">
        <v>280</v>
      </c>
      <c r="V6270">
        <v>0</v>
      </c>
      <c r="W6270">
        <v>126</v>
      </c>
      <c r="X6270">
        <v>688</v>
      </c>
      <c r="Y6270">
        <v>0</v>
      </c>
      <c r="Z6270">
        <v>43</v>
      </c>
      <c r="AA6270">
        <v>5</v>
      </c>
      <c r="AB6270">
        <v>2.1035710000000001</v>
      </c>
      <c r="AC6270">
        <v>6.8621360000000006E-2</v>
      </c>
      <c r="AD6270">
        <v>0.90238450000000003</v>
      </c>
      <c r="AE6270">
        <v>0.48737249999999999</v>
      </c>
      <c r="AF6270">
        <v>366.83699999999999</v>
      </c>
      <c r="AG6270">
        <f>IFERROR(AH6270*0.1, "N/A")</f>
        <v>6.2</v>
      </c>
      <c r="AH6270">
        <v>62</v>
      </c>
      <c r="AI6270">
        <v>226.3313</v>
      </c>
      <c r="AJ6270">
        <v>20.772500000000001</v>
      </c>
      <c r="AK6270">
        <v>54.37182</v>
      </c>
    </row>
    <row r="6271" spans="1:37" x14ac:dyDescent="0.3">
      <c r="A6271">
        <v>6270</v>
      </c>
      <c r="B6271">
        <v>15.9</v>
      </c>
      <c r="C6271">
        <v>-10.3941</v>
      </c>
      <c r="D6271">
        <v>13.141</v>
      </c>
      <c r="E6271">
        <f>-10.3941-13.141</f>
        <v>-23.5351</v>
      </c>
      <c r="F6271" t="s">
        <v>9707</v>
      </c>
      <c r="G6271" t="s">
        <v>39</v>
      </c>
      <c r="H6271">
        <v>1990</v>
      </c>
      <c r="I6271">
        <v>27.8</v>
      </c>
      <c r="J6271">
        <v>13.4</v>
      </c>
      <c r="K6271">
        <v>58</v>
      </c>
      <c r="L6271">
        <v>22.382059999999999</v>
      </c>
      <c r="M6271">
        <v>39.1</v>
      </c>
      <c r="N6271">
        <v>16.3</v>
      </c>
      <c r="O6271">
        <v>22.8</v>
      </c>
      <c r="P6271">
        <v>26.5</v>
      </c>
      <c r="Q6271">
        <v>27.41723</v>
      </c>
      <c r="R6271">
        <v>31.117229999999999</v>
      </c>
      <c r="S6271">
        <v>25.6</v>
      </c>
      <c r="T6271">
        <v>994.48310000000004</v>
      </c>
      <c r="U6271">
        <v>292.82769999999999</v>
      </c>
      <c r="V6271">
        <v>0</v>
      </c>
      <c r="W6271">
        <v>123</v>
      </c>
      <c r="X6271">
        <v>728.65539999999999</v>
      </c>
      <c r="Y6271">
        <v>0</v>
      </c>
      <c r="Z6271">
        <v>48</v>
      </c>
      <c r="AA6271">
        <v>5</v>
      </c>
      <c r="AB6271">
        <v>0</v>
      </c>
      <c r="AC6271">
        <v>9.0443949999999995E-2</v>
      </c>
      <c r="AD6271">
        <v>0</v>
      </c>
      <c r="AE6271">
        <v>0.26469759999999998</v>
      </c>
      <c r="AF6271">
        <v>204</v>
      </c>
      <c r="AG6271" t="str">
        <f>IFERROR(AH6271*0.1, "N/A")</f>
        <v>N/A</v>
      </c>
      <c r="AH6271" t="s">
        <v>729</v>
      </c>
      <c r="AI6271">
        <v>0</v>
      </c>
      <c r="AJ6271" t="s">
        <v>729</v>
      </c>
      <c r="AK6271" t="s">
        <v>729</v>
      </c>
    </row>
    <row r="6272" spans="1:37" x14ac:dyDescent="0.3">
      <c r="A6272">
        <v>6271</v>
      </c>
      <c r="B6272">
        <v>4.8</v>
      </c>
      <c r="C6272">
        <v>-10.3941</v>
      </c>
      <c r="D6272">
        <v>13.141</v>
      </c>
      <c r="E6272">
        <f>-10.3941-13.141</f>
        <v>-23.5351</v>
      </c>
      <c r="F6272" t="s">
        <v>9708</v>
      </c>
      <c r="G6272" t="s">
        <v>37</v>
      </c>
      <c r="H6272">
        <v>1990</v>
      </c>
      <c r="I6272">
        <v>27.8</v>
      </c>
      <c r="J6272">
        <v>13.4</v>
      </c>
      <c r="K6272">
        <v>58</v>
      </c>
      <c r="L6272">
        <v>22.382059999999999</v>
      </c>
      <c r="M6272">
        <v>39.1</v>
      </c>
      <c r="N6272">
        <v>16.3</v>
      </c>
      <c r="O6272">
        <v>22.8</v>
      </c>
      <c r="P6272">
        <v>26.5</v>
      </c>
      <c r="Q6272">
        <v>27.41723</v>
      </c>
      <c r="R6272">
        <v>31.117229999999999</v>
      </c>
      <c r="S6272">
        <v>25.6</v>
      </c>
      <c r="T6272">
        <v>994.48310000000004</v>
      </c>
      <c r="U6272">
        <v>292.82769999999999</v>
      </c>
      <c r="V6272">
        <v>0</v>
      </c>
      <c r="W6272">
        <v>123</v>
      </c>
      <c r="X6272">
        <v>728.65539999999999</v>
      </c>
      <c r="Y6272">
        <v>0</v>
      </c>
      <c r="Z6272">
        <v>48</v>
      </c>
      <c r="AA6272">
        <v>5</v>
      </c>
      <c r="AB6272">
        <v>0</v>
      </c>
      <c r="AC6272">
        <v>9.0443949999999995E-2</v>
      </c>
      <c r="AD6272">
        <v>0</v>
      </c>
      <c r="AE6272">
        <v>0.26469759999999998</v>
      </c>
      <c r="AF6272">
        <v>204</v>
      </c>
      <c r="AG6272" t="str">
        <f>IFERROR(AH6272*0.1, "N/A")</f>
        <v>N/A</v>
      </c>
      <c r="AH6272" t="s">
        <v>729</v>
      </c>
      <c r="AI6272">
        <v>0</v>
      </c>
      <c r="AJ6272" t="s">
        <v>729</v>
      </c>
      <c r="AK6272" t="s">
        <v>729</v>
      </c>
    </row>
    <row r="6273" spans="1:37" x14ac:dyDescent="0.3">
      <c r="A6273">
        <v>6272</v>
      </c>
      <c r="B6273">
        <v>29</v>
      </c>
      <c r="C6273">
        <v>-8.0495000000000001</v>
      </c>
      <c r="D6273">
        <v>13.1416</v>
      </c>
      <c r="E6273">
        <f>-8.0495-13.1416</f>
        <v>-21.191099999999999</v>
      </c>
      <c r="F6273" t="s">
        <v>9709</v>
      </c>
      <c r="G6273" t="s">
        <v>39</v>
      </c>
      <c r="H6273">
        <v>1990</v>
      </c>
      <c r="I6273">
        <v>26.73638</v>
      </c>
      <c r="J6273">
        <v>15.26362</v>
      </c>
      <c r="K6273">
        <v>58.475470000000001</v>
      </c>
      <c r="L6273">
        <v>24.67426</v>
      </c>
      <c r="M6273">
        <v>38.716070000000002</v>
      </c>
      <c r="N6273">
        <v>12.80541</v>
      </c>
      <c r="O6273">
        <v>25.91066</v>
      </c>
      <c r="P6273">
        <v>25.73638</v>
      </c>
      <c r="Q6273">
        <v>24.036380000000001</v>
      </c>
      <c r="R6273">
        <v>30.1</v>
      </c>
      <c r="S6273">
        <v>23.82893</v>
      </c>
      <c r="T6273">
        <v>920.83420000000001</v>
      </c>
      <c r="U6273">
        <v>289.0745</v>
      </c>
      <c r="V6273">
        <v>0</v>
      </c>
      <c r="W6273">
        <v>126</v>
      </c>
      <c r="X6273">
        <v>693.59900000000005</v>
      </c>
      <c r="Y6273">
        <v>0</v>
      </c>
      <c r="Z6273">
        <v>57</v>
      </c>
      <c r="AA6273">
        <v>4</v>
      </c>
      <c r="AB6273">
        <v>1.057024</v>
      </c>
      <c r="AC6273">
        <v>1.516273</v>
      </c>
      <c r="AD6273">
        <v>1.5269969999999999</v>
      </c>
      <c r="AE6273">
        <v>0.66975980000000002</v>
      </c>
      <c r="AF6273">
        <v>420.60410000000002</v>
      </c>
      <c r="AG6273">
        <f>IFERROR(AH6273*0.1, "N/A")</f>
        <v>5.752961</v>
      </c>
      <c r="AH6273">
        <v>57.529609999999998</v>
      </c>
      <c r="AI6273">
        <v>196.76509999999999</v>
      </c>
      <c r="AJ6273">
        <v>20</v>
      </c>
      <c r="AK6273">
        <v>47.764809999999997</v>
      </c>
    </row>
    <row r="6274" spans="1:37" x14ac:dyDescent="0.3">
      <c r="A6274">
        <v>6273</v>
      </c>
      <c r="B6274">
        <v>3.7</v>
      </c>
      <c r="C6274">
        <v>-8.0495000000000001</v>
      </c>
      <c r="D6274">
        <v>13.1416</v>
      </c>
      <c r="E6274">
        <f>-8.0495-13.1416</f>
        <v>-21.191099999999999</v>
      </c>
      <c r="F6274" t="s">
        <v>9710</v>
      </c>
      <c r="G6274" t="s">
        <v>37</v>
      </c>
      <c r="H6274">
        <v>1990</v>
      </c>
      <c r="I6274">
        <v>26.73638</v>
      </c>
      <c r="J6274">
        <v>15.26362</v>
      </c>
      <c r="K6274">
        <v>58.475470000000001</v>
      </c>
      <c r="L6274">
        <v>24.67426</v>
      </c>
      <c r="M6274">
        <v>38.716070000000002</v>
      </c>
      <c r="N6274">
        <v>12.80541</v>
      </c>
      <c r="O6274">
        <v>25.91066</v>
      </c>
      <c r="P6274">
        <v>25.73638</v>
      </c>
      <c r="Q6274">
        <v>24.036380000000001</v>
      </c>
      <c r="R6274">
        <v>30.1</v>
      </c>
      <c r="S6274">
        <v>23.82893</v>
      </c>
      <c r="T6274">
        <v>920.83420000000001</v>
      </c>
      <c r="U6274">
        <v>289.0745</v>
      </c>
      <c r="V6274">
        <v>0</v>
      </c>
      <c r="W6274">
        <v>126</v>
      </c>
      <c r="X6274">
        <v>693.59900000000005</v>
      </c>
      <c r="Y6274">
        <v>0</v>
      </c>
      <c r="Z6274">
        <v>57</v>
      </c>
      <c r="AA6274">
        <v>4</v>
      </c>
      <c r="AB6274">
        <v>1.057024</v>
      </c>
      <c r="AC6274">
        <v>1.516273</v>
      </c>
      <c r="AD6274">
        <v>1.5269969999999999</v>
      </c>
      <c r="AE6274">
        <v>0.66975980000000002</v>
      </c>
      <c r="AF6274">
        <v>420.60410000000002</v>
      </c>
      <c r="AG6274">
        <f>IFERROR(AH6274*0.1, "N/A")</f>
        <v>5.752961</v>
      </c>
      <c r="AH6274">
        <v>57.529609999999998</v>
      </c>
      <c r="AI6274">
        <v>196.76509999999999</v>
      </c>
      <c r="AJ6274">
        <v>20</v>
      </c>
      <c r="AK6274">
        <v>47.764809999999997</v>
      </c>
    </row>
    <row r="6275" spans="1:37" x14ac:dyDescent="0.3">
      <c r="A6275">
        <v>6274</v>
      </c>
      <c r="B6275">
        <v>23.4</v>
      </c>
      <c r="C6275">
        <v>-7.9402999999999997</v>
      </c>
      <c r="D6275">
        <v>13.1492</v>
      </c>
      <c r="E6275">
        <f>-7.9403-13.1492</f>
        <v>-21.089500000000001</v>
      </c>
      <c r="F6275" t="s">
        <v>9711</v>
      </c>
      <c r="G6275" t="s">
        <v>39</v>
      </c>
      <c r="H6275">
        <v>1990</v>
      </c>
      <c r="I6275">
        <v>26.9</v>
      </c>
      <c r="J6275">
        <v>15.2</v>
      </c>
      <c r="K6275">
        <v>59</v>
      </c>
      <c r="L6275">
        <v>24.08</v>
      </c>
      <c r="M6275">
        <v>38.799999999999997</v>
      </c>
      <c r="N6275">
        <v>13.1</v>
      </c>
      <c r="O6275">
        <v>25.7</v>
      </c>
      <c r="P6275">
        <v>25.8</v>
      </c>
      <c r="Q6275">
        <v>24.3</v>
      </c>
      <c r="R6275">
        <v>30.2</v>
      </c>
      <c r="S6275">
        <v>24</v>
      </c>
      <c r="T6275">
        <v>900</v>
      </c>
      <c r="U6275">
        <v>282</v>
      </c>
      <c r="V6275">
        <v>0</v>
      </c>
      <c r="W6275">
        <v>125</v>
      </c>
      <c r="X6275">
        <v>677</v>
      </c>
      <c r="Y6275">
        <v>0</v>
      </c>
      <c r="Z6275">
        <v>56</v>
      </c>
      <c r="AA6275">
        <v>3</v>
      </c>
      <c r="AB6275">
        <v>4.027183</v>
      </c>
      <c r="AC6275">
        <v>1.4925849999999999E-2</v>
      </c>
      <c r="AD6275">
        <v>0.83739090000000005</v>
      </c>
      <c r="AE6275">
        <v>0.68758830000000004</v>
      </c>
      <c r="AF6275">
        <v>395.86320000000001</v>
      </c>
      <c r="AG6275">
        <f>IFERROR(AH6275*0.1, "N/A")</f>
        <v>5.5</v>
      </c>
      <c r="AH6275">
        <v>55</v>
      </c>
      <c r="AI6275">
        <v>174.88730000000001</v>
      </c>
      <c r="AJ6275">
        <v>25.02703</v>
      </c>
      <c r="AK6275">
        <v>41.729730000000004</v>
      </c>
    </row>
    <row r="6276" spans="1:37" x14ac:dyDescent="0.3">
      <c r="A6276">
        <v>6275</v>
      </c>
      <c r="B6276">
        <v>0</v>
      </c>
      <c r="C6276">
        <v>-7.9402999999999997</v>
      </c>
      <c r="D6276">
        <v>13.1492</v>
      </c>
      <c r="E6276">
        <f>-7.9403-13.1492</f>
        <v>-21.089500000000001</v>
      </c>
      <c r="F6276" t="s">
        <v>9712</v>
      </c>
      <c r="G6276" t="s">
        <v>37</v>
      </c>
      <c r="H6276">
        <v>1990</v>
      </c>
      <c r="I6276">
        <v>26.9</v>
      </c>
      <c r="J6276">
        <v>15.2</v>
      </c>
      <c r="K6276">
        <v>59</v>
      </c>
      <c r="L6276">
        <v>24.08</v>
      </c>
      <c r="M6276">
        <v>38.799999999999997</v>
      </c>
      <c r="N6276">
        <v>13.1</v>
      </c>
      <c r="O6276">
        <v>25.7</v>
      </c>
      <c r="P6276">
        <v>25.8</v>
      </c>
      <c r="Q6276">
        <v>24.3</v>
      </c>
      <c r="R6276">
        <v>30.2</v>
      </c>
      <c r="S6276">
        <v>24</v>
      </c>
      <c r="T6276">
        <v>900</v>
      </c>
      <c r="U6276">
        <v>282</v>
      </c>
      <c r="V6276">
        <v>0</v>
      </c>
      <c r="W6276">
        <v>125</v>
      </c>
      <c r="X6276">
        <v>677</v>
      </c>
      <c r="Y6276">
        <v>0</v>
      </c>
      <c r="Z6276">
        <v>56</v>
      </c>
      <c r="AA6276">
        <v>3</v>
      </c>
      <c r="AB6276">
        <v>4.027183</v>
      </c>
      <c r="AC6276">
        <v>1.4925849999999999E-2</v>
      </c>
      <c r="AD6276">
        <v>0.83739090000000005</v>
      </c>
      <c r="AE6276">
        <v>0.68758830000000004</v>
      </c>
      <c r="AF6276">
        <v>395.86320000000001</v>
      </c>
      <c r="AG6276">
        <f>IFERROR(AH6276*0.1, "N/A")</f>
        <v>5.5</v>
      </c>
      <c r="AH6276">
        <v>55</v>
      </c>
      <c r="AI6276">
        <v>174.88730000000001</v>
      </c>
      <c r="AJ6276">
        <v>25.02703</v>
      </c>
      <c r="AK6276">
        <v>41.729730000000004</v>
      </c>
    </row>
    <row r="6277" spans="1:37" x14ac:dyDescent="0.3">
      <c r="A6277">
        <v>6276</v>
      </c>
      <c r="B6277">
        <v>18.899999999999999</v>
      </c>
      <c r="C6277">
        <v>-7.9609800000000002</v>
      </c>
      <c r="D6277">
        <v>13.1561</v>
      </c>
      <c r="E6277">
        <f>-7.96098-13.1561</f>
        <v>-21.117080000000001</v>
      </c>
      <c r="F6277" t="s">
        <v>9713</v>
      </c>
      <c r="G6277" t="s">
        <v>39</v>
      </c>
      <c r="H6277">
        <v>1990</v>
      </c>
      <c r="I6277">
        <v>26.9</v>
      </c>
      <c r="J6277">
        <v>15.2</v>
      </c>
      <c r="K6277">
        <v>58</v>
      </c>
      <c r="L6277">
        <v>24.44</v>
      </c>
      <c r="M6277">
        <v>38.799999999999997</v>
      </c>
      <c r="N6277">
        <v>13</v>
      </c>
      <c r="O6277">
        <v>25.8</v>
      </c>
      <c r="P6277">
        <v>25.8</v>
      </c>
      <c r="Q6277">
        <v>24.2</v>
      </c>
      <c r="R6277">
        <v>30.2</v>
      </c>
      <c r="S6277">
        <v>24</v>
      </c>
      <c r="T6277">
        <v>903</v>
      </c>
      <c r="U6277">
        <v>283</v>
      </c>
      <c r="V6277">
        <v>0</v>
      </c>
      <c r="W6277">
        <v>125</v>
      </c>
      <c r="X6277">
        <v>679</v>
      </c>
      <c r="Y6277">
        <v>0</v>
      </c>
      <c r="Z6277">
        <v>57</v>
      </c>
      <c r="AA6277">
        <v>3</v>
      </c>
      <c r="AB6277">
        <v>1.9228909999999999</v>
      </c>
      <c r="AC6277">
        <v>0.72228329999999996</v>
      </c>
      <c r="AD6277">
        <v>1.823353</v>
      </c>
      <c r="AE6277">
        <v>0.66241280000000002</v>
      </c>
      <c r="AF6277">
        <v>399.0797</v>
      </c>
      <c r="AG6277">
        <f>IFERROR(AH6277*0.1, "N/A")</f>
        <v>5.6000000000000005</v>
      </c>
      <c r="AH6277">
        <v>56</v>
      </c>
      <c r="AI6277">
        <v>54.60557</v>
      </c>
      <c r="AJ6277">
        <v>18.840679999999999</v>
      </c>
      <c r="AK6277">
        <v>54.206780000000002</v>
      </c>
    </row>
    <row r="6278" spans="1:37" x14ac:dyDescent="0.3">
      <c r="A6278">
        <v>6277</v>
      </c>
      <c r="B6278">
        <v>43.7</v>
      </c>
      <c r="C6278">
        <v>-7.7955500000000004</v>
      </c>
      <c r="D6278">
        <v>13.166499999999999</v>
      </c>
      <c r="E6278">
        <f>-7.79555-13.1665</f>
        <v>-20.962049999999998</v>
      </c>
      <c r="F6278" t="s">
        <v>9714</v>
      </c>
      <c r="G6278" t="s">
        <v>39</v>
      </c>
      <c r="H6278">
        <v>1990</v>
      </c>
      <c r="I6278">
        <v>27.14274</v>
      </c>
      <c r="J6278">
        <v>15.2</v>
      </c>
      <c r="K6278">
        <v>58</v>
      </c>
      <c r="L6278">
        <v>24.472650000000002</v>
      </c>
      <c r="M6278">
        <v>39.200000000000003</v>
      </c>
      <c r="N6278">
        <v>13.35726</v>
      </c>
      <c r="O6278">
        <v>25.842739999999999</v>
      </c>
      <c r="P6278">
        <v>26.14274</v>
      </c>
      <c r="Q6278">
        <v>24.5</v>
      </c>
      <c r="R6278">
        <v>30.5</v>
      </c>
      <c r="S6278">
        <v>24.257259999999999</v>
      </c>
      <c r="T6278">
        <v>868.71789999999999</v>
      </c>
      <c r="U6278">
        <v>272</v>
      </c>
      <c r="V6278">
        <v>0</v>
      </c>
      <c r="W6278">
        <v>125</v>
      </c>
      <c r="X6278">
        <v>652.14530000000002</v>
      </c>
      <c r="Y6278">
        <v>0</v>
      </c>
      <c r="Z6278">
        <v>56</v>
      </c>
      <c r="AA6278">
        <v>3</v>
      </c>
      <c r="AB6278">
        <v>8.4533860000000001</v>
      </c>
      <c r="AC6278">
        <v>9.4669369999999999E-3</v>
      </c>
      <c r="AD6278">
        <v>2.8417829999999999</v>
      </c>
      <c r="AE6278">
        <v>0.67330690000000004</v>
      </c>
      <c r="AF6278">
        <v>354.13510000000002</v>
      </c>
      <c r="AG6278">
        <f>IFERROR(AH6278*0.1, "N/A")</f>
        <v>5.800338</v>
      </c>
      <c r="AH6278">
        <v>58.00338</v>
      </c>
      <c r="AI6278">
        <v>145.92259999999999</v>
      </c>
      <c r="AJ6278">
        <v>18.00169</v>
      </c>
      <c r="AK6278">
        <v>51.54054</v>
      </c>
    </row>
    <row r="6279" spans="1:37" x14ac:dyDescent="0.3">
      <c r="A6279">
        <v>6278</v>
      </c>
      <c r="B6279">
        <v>0</v>
      </c>
      <c r="C6279">
        <v>-7.7955500000000004</v>
      </c>
      <c r="D6279">
        <v>13.166499999999999</v>
      </c>
      <c r="E6279">
        <f>-7.79555-13.1665</f>
        <v>-20.962049999999998</v>
      </c>
      <c r="F6279" t="s">
        <v>9715</v>
      </c>
      <c r="G6279" t="s">
        <v>37</v>
      </c>
      <c r="H6279">
        <v>1990</v>
      </c>
      <c r="I6279">
        <v>27.14274</v>
      </c>
      <c r="J6279">
        <v>15.2</v>
      </c>
      <c r="K6279">
        <v>58</v>
      </c>
      <c r="L6279">
        <v>24.472650000000002</v>
      </c>
      <c r="M6279">
        <v>39.200000000000003</v>
      </c>
      <c r="N6279">
        <v>13.35726</v>
      </c>
      <c r="O6279">
        <v>25.842739999999999</v>
      </c>
      <c r="P6279">
        <v>26.14274</v>
      </c>
      <c r="Q6279">
        <v>24.5</v>
      </c>
      <c r="R6279">
        <v>30.5</v>
      </c>
      <c r="S6279">
        <v>24.257259999999999</v>
      </c>
      <c r="T6279">
        <v>868.71789999999999</v>
      </c>
      <c r="U6279">
        <v>272</v>
      </c>
      <c r="V6279">
        <v>0</v>
      </c>
      <c r="W6279">
        <v>125</v>
      </c>
      <c r="X6279">
        <v>652.14530000000002</v>
      </c>
      <c r="Y6279">
        <v>0</v>
      </c>
      <c r="Z6279">
        <v>56</v>
      </c>
      <c r="AA6279">
        <v>3</v>
      </c>
      <c r="AB6279">
        <v>8.4533860000000001</v>
      </c>
      <c r="AC6279">
        <v>9.4669369999999999E-3</v>
      </c>
      <c r="AD6279">
        <v>2.8417829999999999</v>
      </c>
      <c r="AE6279">
        <v>0.67330690000000004</v>
      </c>
      <c r="AF6279">
        <v>354.13510000000002</v>
      </c>
      <c r="AG6279">
        <f>IFERROR(AH6279*0.1, "N/A")</f>
        <v>5.800338</v>
      </c>
      <c r="AH6279">
        <v>58.00338</v>
      </c>
      <c r="AI6279">
        <v>145.92259999999999</v>
      </c>
      <c r="AJ6279">
        <v>18.00169</v>
      </c>
      <c r="AK6279">
        <v>51.54054</v>
      </c>
    </row>
    <row r="6280" spans="1:37" x14ac:dyDescent="0.3">
      <c r="A6280">
        <v>6279</v>
      </c>
      <c r="B6280">
        <v>39.1</v>
      </c>
      <c r="C6280">
        <v>-10.3809</v>
      </c>
      <c r="D6280">
        <v>13.1721</v>
      </c>
      <c r="E6280">
        <f>-10.3809-13.1721</f>
        <v>-23.553000000000001</v>
      </c>
      <c r="F6280" t="s">
        <v>9716</v>
      </c>
      <c r="G6280" t="s">
        <v>39</v>
      </c>
      <c r="H6280">
        <v>1990</v>
      </c>
      <c r="I6280">
        <v>27.8</v>
      </c>
      <c r="J6280">
        <v>13.4</v>
      </c>
      <c r="K6280">
        <v>58</v>
      </c>
      <c r="L6280">
        <v>22.69</v>
      </c>
      <c r="M6280">
        <v>39.1</v>
      </c>
      <c r="N6280">
        <v>16.3</v>
      </c>
      <c r="O6280">
        <v>22.8</v>
      </c>
      <c r="P6280">
        <v>26.5</v>
      </c>
      <c r="Q6280">
        <v>27.4</v>
      </c>
      <c r="R6280">
        <v>31.2</v>
      </c>
      <c r="S6280">
        <v>25.5</v>
      </c>
      <c r="T6280">
        <v>983</v>
      </c>
      <c r="U6280">
        <v>290</v>
      </c>
      <c r="V6280">
        <v>0</v>
      </c>
      <c r="W6280">
        <v>123</v>
      </c>
      <c r="X6280">
        <v>721</v>
      </c>
      <c r="Y6280">
        <v>0</v>
      </c>
      <c r="Z6280">
        <v>47</v>
      </c>
      <c r="AA6280">
        <v>5</v>
      </c>
      <c r="AB6280">
        <v>0</v>
      </c>
      <c r="AC6280">
        <v>2.304401E-2</v>
      </c>
      <c r="AD6280">
        <v>0</v>
      </c>
      <c r="AE6280" t="s">
        <v>729</v>
      </c>
      <c r="AF6280">
        <v>204</v>
      </c>
      <c r="AG6280" t="str">
        <f>IFERROR(AH6280*0.1, "N/A")</f>
        <v>N/A</v>
      </c>
      <c r="AH6280" t="s">
        <v>729</v>
      </c>
      <c r="AI6280">
        <v>0</v>
      </c>
      <c r="AJ6280" t="s">
        <v>729</v>
      </c>
      <c r="AK6280" t="s">
        <v>729</v>
      </c>
    </row>
    <row r="6281" spans="1:37" x14ac:dyDescent="0.3">
      <c r="A6281">
        <v>6280</v>
      </c>
      <c r="B6281">
        <v>1.3</v>
      </c>
      <c r="C6281">
        <v>-10.3809</v>
      </c>
      <c r="D6281">
        <v>13.1721</v>
      </c>
      <c r="E6281">
        <f>-10.3809-13.1721</f>
        <v>-23.553000000000001</v>
      </c>
      <c r="F6281" t="s">
        <v>9717</v>
      </c>
      <c r="G6281" t="s">
        <v>37</v>
      </c>
      <c r="H6281">
        <v>1990</v>
      </c>
      <c r="I6281">
        <v>27.8</v>
      </c>
      <c r="J6281">
        <v>13.4</v>
      </c>
      <c r="K6281">
        <v>58</v>
      </c>
      <c r="L6281">
        <v>22.69</v>
      </c>
      <c r="M6281">
        <v>39.1</v>
      </c>
      <c r="N6281">
        <v>16.3</v>
      </c>
      <c r="O6281">
        <v>22.8</v>
      </c>
      <c r="P6281">
        <v>26.5</v>
      </c>
      <c r="Q6281">
        <v>27.4</v>
      </c>
      <c r="R6281">
        <v>31.2</v>
      </c>
      <c r="S6281">
        <v>25.5</v>
      </c>
      <c r="T6281">
        <v>983</v>
      </c>
      <c r="U6281">
        <v>290</v>
      </c>
      <c r="V6281">
        <v>0</v>
      </c>
      <c r="W6281">
        <v>123</v>
      </c>
      <c r="X6281">
        <v>721</v>
      </c>
      <c r="Y6281">
        <v>0</v>
      </c>
      <c r="Z6281">
        <v>47</v>
      </c>
      <c r="AA6281">
        <v>5</v>
      </c>
      <c r="AB6281">
        <v>0</v>
      </c>
      <c r="AC6281">
        <v>2.304401E-2</v>
      </c>
      <c r="AD6281">
        <v>0</v>
      </c>
      <c r="AE6281" t="s">
        <v>729</v>
      </c>
      <c r="AF6281">
        <v>204</v>
      </c>
      <c r="AG6281" t="str">
        <f>IFERROR(AH6281*0.1, "N/A")</f>
        <v>N/A</v>
      </c>
      <c r="AH6281" t="s">
        <v>729</v>
      </c>
      <c r="AI6281">
        <v>0</v>
      </c>
      <c r="AJ6281" t="s">
        <v>729</v>
      </c>
      <c r="AK6281" t="s">
        <v>729</v>
      </c>
    </row>
    <row r="6282" spans="1:37" x14ac:dyDescent="0.3">
      <c r="A6282">
        <v>6281</v>
      </c>
      <c r="B6282">
        <v>20</v>
      </c>
      <c r="C6282">
        <v>-8.0503</v>
      </c>
      <c r="D6282">
        <v>13.1737</v>
      </c>
      <c r="E6282">
        <f>-8.0503-13.1737</f>
        <v>-21.224</v>
      </c>
      <c r="F6282" t="s">
        <v>9718</v>
      </c>
      <c r="G6282" t="s">
        <v>39</v>
      </c>
      <c r="H6282">
        <v>1990</v>
      </c>
      <c r="I6282">
        <v>26.8</v>
      </c>
      <c r="J6282">
        <v>15.3</v>
      </c>
      <c r="K6282">
        <v>58</v>
      </c>
      <c r="L6282">
        <v>24.883050000000001</v>
      </c>
      <c r="M6282">
        <v>38.88814</v>
      </c>
      <c r="N6282">
        <v>12.7</v>
      </c>
      <c r="O6282">
        <v>26.188140000000001</v>
      </c>
      <c r="P6282">
        <v>25.811859999999999</v>
      </c>
      <c r="Q6282">
        <v>24.1</v>
      </c>
      <c r="R6282">
        <v>30.188140000000001</v>
      </c>
      <c r="S6282">
        <v>23.8</v>
      </c>
      <c r="T6282">
        <v>915.88139999999999</v>
      </c>
      <c r="U6282">
        <v>287.88139999999999</v>
      </c>
      <c r="V6282">
        <v>0</v>
      </c>
      <c r="W6282">
        <v>125</v>
      </c>
      <c r="X6282">
        <v>688.88139999999999</v>
      </c>
      <c r="Y6282">
        <v>0</v>
      </c>
      <c r="Z6282">
        <v>57</v>
      </c>
      <c r="AA6282">
        <v>4</v>
      </c>
      <c r="AB6282">
        <v>1.17967</v>
      </c>
      <c r="AC6282">
        <v>0.1140859</v>
      </c>
      <c r="AD6282">
        <v>2.3804539999999998</v>
      </c>
      <c r="AE6282">
        <v>0.66281670000000004</v>
      </c>
      <c r="AF6282">
        <v>403.25760000000002</v>
      </c>
      <c r="AG6282">
        <f>IFERROR(AH6282*0.1, "N/A")</f>
        <v>6.4676270000000002</v>
      </c>
      <c r="AH6282">
        <v>64.676270000000002</v>
      </c>
      <c r="AI6282">
        <v>227.49860000000001</v>
      </c>
      <c r="AJ6282">
        <v>17.635590000000001</v>
      </c>
      <c r="AK6282">
        <v>53.527119999999996</v>
      </c>
    </row>
    <row r="6283" spans="1:37" x14ac:dyDescent="0.3">
      <c r="A6283">
        <v>6282</v>
      </c>
      <c r="B6283">
        <v>6.9</v>
      </c>
      <c r="C6283">
        <v>-8.0503</v>
      </c>
      <c r="D6283">
        <v>13.1737</v>
      </c>
      <c r="E6283">
        <f>-8.0503-13.1737</f>
        <v>-21.224</v>
      </c>
      <c r="F6283" t="s">
        <v>9719</v>
      </c>
      <c r="G6283" t="s">
        <v>37</v>
      </c>
      <c r="H6283">
        <v>1990</v>
      </c>
      <c r="I6283">
        <v>26.8</v>
      </c>
      <c r="J6283">
        <v>15.3</v>
      </c>
      <c r="K6283">
        <v>58</v>
      </c>
      <c r="L6283">
        <v>24.883050000000001</v>
      </c>
      <c r="M6283">
        <v>38.88814</v>
      </c>
      <c r="N6283">
        <v>12.7</v>
      </c>
      <c r="O6283">
        <v>26.188140000000001</v>
      </c>
      <c r="P6283">
        <v>25.811859999999999</v>
      </c>
      <c r="Q6283">
        <v>24.1</v>
      </c>
      <c r="R6283">
        <v>30.188140000000001</v>
      </c>
      <c r="S6283">
        <v>23.8</v>
      </c>
      <c r="T6283">
        <v>915.88139999999999</v>
      </c>
      <c r="U6283">
        <v>287.88139999999999</v>
      </c>
      <c r="V6283">
        <v>0</v>
      </c>
      <c r="W6283">
        <v>125</v>
      </c>
      <c r="X6283">
        <v>688.88139999999999</v>
      </c>
      <c r="Y6283">
        <v>0</v>
      </c>
      <c r="Z6283">
        <v>57</v>
      </c>
      <c r="AA6283">
        <v>4</v>
      </c>
      <c r="AB6283">
        <v>1.17967</v>
      </c>
      <c r="AC6283">
        <v>0.1140859</v>
      </c>
      <c r="AD6283">
        <v>2.3804539999999998</v>
      </c>
      <c r="AE6283">
        <v>0.66281670000000004</v>
      </c>
      <c r="AF6283">
        <v>403.25760000000002</v>
      </c>
      <c r="AG6283">
        <f>IFERROR(AH6283*0.1, "N/A")</f>
        <v>6.4676270000000002</v>
      </c>
      <c r="AH6283">
        <v>64.676270000000002</v>
      </c>
      <c r="AI6283">
        <v>227.49860000000001</v>
      </c>
      <c r="AJ6283">
        <v>17.635590000000001</v>
      </c>
      <c r="AK6283">
        <v>53.527119999999996</v>
      </c>
    </row>
    <row r="6284" spans="1:37" x14ac:dyDescent="0.3">
      <c r="A6284">
        <v>6283</v>
      </c>
      <c r="B6284">
        <v>10.199999999999999</v>
      </c>
      <c r="C6284">
        <v>-8.0244999999999997</v>
      </c>
      <c r="D6284">
        <v>13.179600000000001</v>
      </c>
      <c r="E6284">
        <f>-8.0245-13.1796</f>
        <v>-21.2041</v>
      </c>
      <c r="F6284" t="s">
        <v>9720</v>
      </c>
      <c r="G6284" t="s">
        <v>39</v>
      </c>
      <c r="H6284">
        <v>1990</v>
      </c>
      <c r="I6284">
        <v>26.863679999999999</v>
      </c>
      <c r="J6284">
        <v>15.3</v>
      </c>
      <c r="K6284">
        <v>58</v>
      </c>
      <c r="L6284">
        <v>24.69258</v>
      </c>
      <c r="M6284">
        <v>38.963679999999997</v>
      </c>
      <c r="N6284">
        <v>12.8</v>
      </c>
      <c r="O6284">
        <v>26.163679999999999</v>
      </c>
      <c r="P6284">
        <v>25.96368</v>
      </c>
      <c r="Q6284">
        <v>24.163679999999999</v>
      </c>
      <c r="R6284">
        <v>30.2</v>
      </c>
      <c r="S6284">
        <v>23.863679999999999</v>
      </c>
      <c r="T6284">
        <v>909.08950000000004</v>
      </c>
      <c r="U6284">
        <v>285.36320000000001</v>
      </c>
      <c r="V6284">
        <v>0</v>
      </c>
      <c r="W6284">
        <v>126</v>
      </c>
      <c r="X6284">
        <v>683.72640000000001</v>
      </c>
      <c r="Y6284">
        <v>0</v>
      </c>
      <c r="Z6284">
        <v>57</v>
      </c>
      <c r="AA6284">
        <v>4</v>
      </c>
      <c r="AB6284">
        <v>5.2076089999999997</v>
      </c>
      <c r="AC6284">
        <v>2.8258809999999999E-2</v>
      </c>
      <c r="AD6284">
        <v>2.2207979999999998</v>
      </c>
      <c r="AE6284">
        <v>0.67502390000000001</v>
      </c>
      <c r="AF6284">
        <v>391.91890000000001</v>
      </c>
      <c r="AG6284">
        <f>IFERROR(AH6284*0.1, "N/A")</f>
        <v>5.3000000000000007</v>
      </c>
      <c r="AH6284">
        <v>53</v>
      </c>
      <c r="AI6284">
        <v>167.29259999999999</v>
      </c>
      <c r="AJ6284">
        <v>19.17061</v>
      </c>
      <c r="AK6284">
        <v>51.2348</v>
      </c>
    </row>
    <row r="6285" spans="1:37" x14ac:dyDescent="0.3">
      <c r="A6285">
        <v>6284</v>
      </c>
      <c r="B6285">
        <v>0</v>
      </c>
      <c r="C6285">
        <v>-8.0244999999999997</v>
      </c>
      <c r="D6285">
        <v>13.179600000000001</v>
      </c>
      <c r="E6285">
        <f>-8.0245-13.1796</f>
        <v>-21.2041</v>
      </c>
      <c r="F6285" t="s">
        <v>9721</v>
      </c>
      <c r="G6285" t="s">
        <v>37</v>
      </c>
      <c r="H6285">
        <v>1990</v>
      </c>
      <c r="I6285">
        <v>26.863679999999999</v>
      </c>
      <c r="J6285">
        <v>15.3</v>
      </c>
      <c r="K6285">
        <v>58</v>
      </c>
      <c r="L6285">
        <v>24.69258</v>
      </c>
      <c r="M6285">
        <v>38.963679999999997</v>
      </c>
      <c r="N6285">
        <v>12.8</v>
      </c>
      <c r="O6285">
        <v>26.163679999999999</v>
      </c>
      <c r="P6285">
        <v>25.96368</v>
      </c>
      <c r="Q6285">
        <v>24.163679999999999</v>
      </c>
      <c r="R6285">
        <v>30.2</v>
      </c>
      <c r="S6285">
        <v>23.863679999999999</v>
      </c>
      <c r="T6285">
        <v>909.08950000000004</v>
      </c>
      <c r="U6285">
        <v>285.36320000000001</v>
      </c>
      <c r="V6285">
        <v>0</v>
      </c>
      <c r="W6285">
        <v>126</v>
      </c>
      <c r="X6285">
        <v>683.72640000000001</v>
      </c>
      <c r="Y6285">
        <v>0</v>
      </c>
      <c r="Z6285">
        <v>57</v>
      </c>
      <c r="AA6285">
        <v>4</v>
      </c>
      <c r="AB6285">
        <v>5.2076089999999997</v>
      </c>
      <c r="AC6285">
        <v>2.8258809999999999E-2</v>
      </c>
      <c r="AD6285">
        <v>2.2207979999999998</v>
      </c>
      <c r="AE6285">
        <v>0.67502390000000001</v>
      </c>
      <c r="AF6285">
        <v>391.91890000000001</v>
      </c>
      <c r="AG6285">
        <f>IFERROR(AH6285*0.1, "N/A")</f>
        <v>5.3000000000000007</v>
      </c>
      <c r="AH6285">
        <v>53</v>
      </c>
      <c r="AI6285">
        <v>167.29259999999999</v>
      </c>
      <c r="AJ6285">
        <v>19.17061</v>
      </c>
      <c r="AK6285">
        <v>51.2348</v>
      </c>
    </row>
    <row r="6286" spans="1:37" x14ac:dyDescent="0.3">
      <c r="A6286">
        <v>6285</v>
      </c>
      <c r="B6286">
        <v>12.1</v>
      </c>
      <c r="C6286">
        <v>-10.201499999999999</v>
      </c>
      <c r="D6286">
        <v>13.182700000000001</v>
      </c>
      <c r="E6286">
        <f>-10.2015-13.1827</f>
        <v>-23.3842</v>
      </c>
      <c r="F6286" t="s">
        <v>9722</v>
      </c>
      <c r="G6286" t="s">
        <v>39</v>
      </c>
      <c r="H6286">
        <v>1990</v>
      </c>
      <c r="I6286">
        <v>27.6</v>
      </c>
      <c r="J6286">
        <v>13.4</v>
      </c>
      <c r="K6286">
        <v>57</v>
      </c>
      <c r="L6286">
        <v>24.3</v>
      </c>
      <c r="M6286">
        <v>39</v>
      </c>
      <c r="N6286">
        <v>15.8</v>
      </c>
      <c r="O6286">
        <v>23.2</v>
      </c>
      <c r="P6286">
        <v>26.3</v>
      </c>
      <c r="Q6286">
        <v>27</v>
      </c>
      <c r="R6286">
        <v>31.1</v>
      </c>
      <c r="S6286">
        <v>25</v>
      </c>
      <c r="T6286">
        <v>978</v>
      </c>
      <c r="U6286">
        <v>288</v>
      </c>
      <c r="V6286">
        <v>0</v>
      </c>
      <c r="W6286">
        <v>123</v>
      </c>
      <c r="X6286">
        <v>718</v>
      </c>
      <c r="Y6286">
        <v>0</v>
      </c>
      <c r="Z6286">
        <v>48</v>
      </c>
      <c r="AA6286">
        <v>5</v>
      </c>
      <c r="AB6286">
        <v>3.7350319999999999</v>
      </c>
      <c r="AC6286">
        <v>1.479404E-2</v>
      </c>
      <c r="AD6286">
        <v>1.6062970000000001</v>
      </c>
      <c r="AE6286">
        <v>0.51978530000000001</v>
      </c>
      <c r="AF6286">
        <v>251.797</v>
      </c>
      <c r="AG6286">
        <f>IFERROR(AH6286*0.1, "N/A")</f>
        <v>6.2548220000000008</v>
      </c>
      <c r="AH6286">
        <v>62.548220000000001</v>
      </c>
      <c r="AI6286">
        <v>206.0891</v>
      </c>
      <c r="AJ6286">
        <v>21.531300000000002</v>
      </c>
      <c r="AK6286">
        <v>55.72081</v>
      </c>
    </row>
    <row r="6287" spans="1:37" x14ac:dyDescent="0.3">
      <c r="A6287">
        <v>6286</v>
      </c>
      <c r="B6287">
        <v>9.1</v>
      </c>
      <c r="C6287">
        <v>-10.201499999999999</v>
      </c>
      <c r="D6287">
        <v>13.182700000000001</v>
      </c>
      <c r="E6287">
        <f>-10.2015-13.1827</f>
        <v>-23.3842</v>
      </c>
      <c r="F6287" t="s">
        <v>9723</v>
      </c>
      <c r="G6287" t="s">
        <v>37</v>
      </c>
      <c r="H6287">
        <v>1990</v>
      </c>
      <c r="I6287">
        <v>27.6</v>
      </c>
      <c r="J6287">
        <v>13.4</v>
      </c>
      <c r="K6287">
        <v>57</v>
      </c>
      <c r="L6287">
        <v>24.3</v>
      </c>
      <c r="M6287">
        <v>39</v>
      </c>
      <c r="N6287">
        <v>15.8</v>
      </c>
      <c r="O6287">
        <v>23.2</v>
      </c>
      <c r="P6287">
        <v>26.3</v>
      </c>
      <c r="Q6287">
        <v>27</v>
      </c>
      <c r="R6287">
        <v>31.1</v>
      </c>
      <c r="S6287">
        <v>25</v>
      </c>
      <c r="T6287">
        <v>978</v>
      </c>
      <c r="U6287">
        <v>288</v>
      </c>
      <c r="V6287">
        <v>0</v>
      </c>
      <c r="W6287">
        <v>123</v>
      </c>
      <c r="X6287">
        <v>718</v>
      </c>
      <c r="Y6287">
        <v>0</v>
      </c>
      <c r="Z6287">
        <v>48</v>
      </c>
      <c r="AA6287">
        <v>5</v>
      </c>
      <c r="AB6287">
        <v>3.7350319999999999</v>
      </c>
      <c r="AC6287">
        <v>1.479404E-2</v>
      </c>
      <c r="AD6287">
        <v>1.6062970000000001</v>
      </c>
      <c r="AE6287">
        <v>0.51978530000000001</v>
      </c>
      <c r="AF6287">
        <v>251.797</v>
      </c>
      <c r="AG6287">
        <f>IFERROR(AH6287*0.1, "N/A")</f>
        <v>6.2548220000000008</v>
      </c>
      <c r="AH6287">
        <v>62.548220000000001</v>
      </c>
      <c r="AI6287">
        <v>206.0891</v>
      </c>
      <c r="AJ6287">
        <v>21.531300000000002</v>
      </c>
      <c r="AK6287">
        <v>55.72081</v>
      </c>
    </row>
    <row r="6288" spans="1:37" x14ac:dyDescent="0.3">
      <c r="A6288">
        <v>6287</v>
      </c>
      <c r="B6288">
        <v>34.6</v>
      </c>
      <c r="C6288">
        <v>-8.0391999999999992</v>
      </c>
      <c r="D6288">
        <v>13.1906</v>
      </c>
      <c r="E6288">
        <f>-8.0392-13.1906</f>
        <v>-21.229799999999997</v>
      </c>
      <c r="F6288" t="s">
        <v>9724</v>
      </c>
      <c r="G6288" t="s">
        <v>39</v>
      </c>
      <c r="H6288">
        <v>1990</v>
      </c>
      <c r="I6288">
        <v>26.9</v>
      </c>
      <c r="J6288">
        <v>15.3</v>
      </c>
      <c r="K6288">
        <v>58</v>
      </c>
      <c r="L6288">
        <v>25.17</v>
      </c>
      <c r="M6288">
        <v>39</v>
      </c>
      <c r="N6288">
        <v>12.8</v>
      </c>
      <c r="O6288">
        <v>26.2</v>
      </c>
      <c r="P6288">
        <v>26</v>
      </c>
      <c r="Q6288">
        <v>24.1</v>
      </c>
      <c r="R6288">
        <v>30.3</v>
      </c>
      <c r="S6288">
        <v>23.9</v>
      </c>
      <c r="T6288">
        <v>910</v>
      </c>
      <c r="U6288">
        <v>286</v>
      </c>
      <c r="V6288">
        <v>0</v>
      </c>
      <c r="W6288">
        <v>126</v>
      </c>
      <c r="X6288">
        <v>684</v>
      </c>
      <c r="Y6288">
        <v>0</v>
      </c>
      <c r="Z6288">
        <v>57</v>
      </c>
      <c r="AA6288">
        <v>4</v>
      </c>
      <c r="AB6288">
        <v>3.3346990000000001</v>
      </c>
      <c r="AC6288">
        <v>4.3070789999999998E-2</v>
      </c>
      <c r="AD6288">
        <v>1.2791129999999999</v>
      </c>
      <c r="AE6288">
        <v>0.67333500000000002</v>
      </c>
      <c r="AF6288">
        <v>382.95089999999999</v>
      </c>
      <c r="AG6288">
        <f>IFERROR(AH6288*0.1, "N/A")</f>
        <v>5.6397630000000003</v>
      </c>
      <c r="AH6288">
        <v>56.397629999999999</v>
      </c>
      <c r="AI6288">
        <v>182.59819999999999</v>
      </c>
      <c r="AJ6288">
        <v>22</v>
      </c>
      <c r="AK6288">
        <v>44.373939999999997</v>
      </c>
    </row>
    <row r="6289" spans="1:37" x14ac:dyDescent="0.3">
      <c r="A6289">
        <v>6288</v>
      </c>
      <c r="B6289">
        <v>0</v>
      </c>
      <c r="C6289">
        <v>-8.0391999999999992</v>
      </c>
      <c r="D6289">
        <v>13.1906</v>
      </c>
      <c r="E6289">
        <f>-8.0392-13.1906</f>
        <v>-21.229799999999997</v>
      </c>
      <c r="F6289" t="s">
        <v>9725</v>
      </c>
      <c r="G6289" t="s">
        <v>37</v>
      </c>
      <c r="H6289">
        <v>1990</v>
      </c>
      <c r="I6289">
        <v>26.9</v>
      </c>
      <c r="J6289">
        <v>15.3</v>
      </c>
      <c r="K6289">
        <v>58</v>
      </c>
      <c r="L6289">
        <v>25.17</v>
      </c>
      <c r="M6289">
        <v>39</v>
      </c>
      <c r="N6289">
        <v>12.8</v>
      </c>
      <c r="O6289">
        <v>26.2</v>
      </c>
      <c r="P6289">
        <v>26</v>
      </c>
      <c r="Q6289">
        <v>24.1</v>
      </c>
      <c r="R6289">
        <v>30.3</v>
      </c>
      <c r="S6289">
        <v>23.9</v>
      </c>
      <c r="T6289">
        <v>910</v>
      </c>
      <c r="U6289">
        <v>286</v>
      </c>
      <c r="V6289">
        <v>0</v>
      </c>
      <c r="W6289">
        <v>126</v>
      </c>
      <c r="X6289">
        <v>684</v>
      </c>
      <c r="Y6289">
        <v>0</v>
      </c>
      <c r="Z6289">
        <v>57</v>
      </c>
      <c r="AA6289">
        <v>4</v>
      </c>
      <c r="AB6289">
        <v>3.3346990000000001</v>
      </c>
      <c r="AC6289">
        <v>4.3070789999999998E-2</v>
      </c>
      <c r="AD6289">
        <v>1.2791129999999999</v>
      </c>
      <c r="AE6289">
        <v>0.67333500000000002</v>
      </c>
      <c r="AF6289">
        <v>382.95089999999999</v>
      </c>
      <c r="AG6289">
        <f>IFERROR(AH6289*0.1, "N/A")</f>
        <v>5.6397630000000003</v>
      </c>
      <c r="AH6289">
        <v>56.397629999999999</v>
      </c>
      <c r="AI6289">
        <v>182.59819999999999</v>
      </c>
      <c r="AJ6289">
        <v>22</v>
      </c>
      <c r="AK6289">
        <v>44.373939999999997</v>
      </c>
    </row>
    <row r="6290" spans="1:37" x14ac:dyDescent="0.3">
      <c r="A6290">
        <v>6289</v>
      </c>
      <c r="B6290">
        <v>14.1</v>
      </c>
      <c r="C6290">
        <v>-7.9072699999999996</v>
      </c>
      <c r="D6290">
        <v>13.194599999999999</v>
      </c>
      <c r="E6290">
        <f>-7.90727-13.1946</f>
        <v>-21.101869999999998</v>
      </c>
      <c r="F6290" t="s">
        <v>9726</v>
      </c>
      <c r="G6290" t="s">
        <v>39</v>
      </c>
      <c r="H6290">
        <v>1990</v>
      </c>
      <c r="I6290">
        <v>26.9</v>
      </c>
      <c r="J6290">
        <v>15.2</v>
      </c>
      <c r="K6290">
        <v>58</v>
      </c>
      <c r="L6290">
        <v>24.62</v>
      </c>
      <c r="M6290">
        <v>39</v>
      </c>
      <c r="N6290">
        <v>13</v>
      </c>
      <c r="O6290">
        <v>26</v>
      </c>
      <c r="P6290">
        <v>25.9</v>
      </c>
      <c r="Q6290">
        <v>24.2</v>
      </c>
      <c r="R6290">
        <v>30.3</v>
      </c>
      <c r="S6290">
        <v>24</v>
      </c>
      <c r="T6290">
        <v>886</v>
      </c>
      <c r="U6290">
        <v>278</v>
      </c>
      <c r="V6290">
        <v>0</v>
      </c>
      <c r="W6290">
        <v>126</v>
      </c>
      <c r="X6290">
        <v>666</v>
      </c>
      <c r="Y6290">
        <v>0</v>
      </c>
      <c r="Z6290">
        <v>56</v>
      </c>
      <c r="AA6290">
        <v>3</v>
      </c>
      <c r="AB6290">
        <v>3.1611060000000002</v>
      </c>
      <c r="AC6290">
        <v>4.7329469999999998E-2</v>
      </c>
      <c r="AD6290">
        <v>1.3042910000000001</v>
      </c>
      <c r="AE6290">
        <v>0.66903659999999998</v>
      </c>
      <c r="AF6290">
        <v>390.04410000000001</v>
      </c>
      <c r="AG6290">
        <f>IFERROR(AH6290*0.1, "N/A")</f>
        <v>5.4023770000000004</v>
      </c>
      <c r="AH6290">
        <v>54.023769999999999</v>
      </c>
      <c r="AI6290">
        <v>191.70689999999999</v>
      </c>
      <c r="AJ6290">
        <v>17.023769999999999</v>
      </c>
      <c r="AK6290">
        <v>53.976230000000001</v>
      </c>
    </row>
    <row r="6291" spans="1:37" x14ac:dyDescent="0.3">
      <c r="A6291">
        <v>6290</v>
      </c>
      <c r="B6291">
        <v>0</v>
      </c>
      <c r="C6291">
        <v>-7.9072699999999996</v>
      </c>
      <c r="D6291">
        <v>13.194599999999999</v>
      </c>
      <c r="E6291">
        <f>-7.90727-13.1946</f>
        <v>-21.101869999999998</v>
      </c>
      <c r="F6291" t="s">
        <v>9727</v>
      </c>
      <c r="G6291" t="s">
        <v>37</v>
      </c>
      <c r="H6291">
        <v>1990</v>
      </c>
      <c r="I6291">
        <v>26.9</v>
      </c>
      <c r="J6291">
        <v>15.2</v>
      </c>
      <c r="K6291">
        <v>58</v>
      </c>
      <c r="L6291">
        <v>24.62</v>
      </c>
      <c r="M6291">
        <v>39</v>
      </c>
      <c r="N6291">
        <v>13</v>
      </c>
      <c r="O6291">
        <v>26</v>
      </c>
      <c r="P6291">
        <v>25.9</v>
      </c>
      <c r="Q6291">
        <v>24.2</v>
      </c>
      <c r="R6291">
        <v>30.3</v>
      </c>
      <c r="S6291">
        <v>24</v>
      </c>
      <c r="T6291">
        <v>886</v>
      </c>
      <c r="U6291">
        <v>278</v>
      </c>
      <c r="V6291">
        <v>0</v>
      </c>
      <c r="W6291">
        <v>126</v>
      </c>
      <c r="X6291">
        <v>666</v>
      </c>
      <c r="Y6291">
        <v>0</v>
      </c>
      <c r="Z6291">
        <v>56</v>
      </c>
      <c r="AA6291">
        <v>3</v>
      </c>
      <c r="AB6291">
        <v>3.1611060000000002</v>
      </c>
      <c r="AC6291">
        <v>4.7329469999999998E-2</v>
      </c>
      <c r="AD6291">
        <v>1.3042910000000001</v>
      </c>
      <c r="AE6291">
        <v>0.66903659999999998</v>
      </c>
      <c r="AF6291">
        <v>390.04410000000001</v>
      </c>
      <c r="AG6291">
        <f>IFERROR(AH6291*0.1, "N/A")</f>
        <v>5.4023770000000004</v>
      </c>
      <c r="AH6291">
        <v>54.023769999999999</v>
      </c>
      <c r="AI6291">
        <v>191.70689999999999</v>
      </c>
      <c r="AJ6291">
        <v>17.023769999999999</v>
      </c>
      <c r="AK6291">
        <v>53.976230000000001</v>
      </c>
    </row>
    <row r="6292" spans="1:37" x14ac:dyDescent="0.3">
      <c r="A6292">
        <v>6291</v>
      </c>
      <c r="B6292">
        <v>19.3</v>
      </c>
      <c r="C6292">
        <v>-8.0217700000000001</v>
      </c>
      <c r="D6292">
        <v>13.196899999999999</v>
      </c>
      <c r="E6292">
        <f>-8.02177-13.1969</f>
        <v>-21.218669999999999</v>
      </c>
      <c r="F6292" t="s">
        <v>9728</v>
      </c>
      <c r="G6292" t="s">
        <v>39</v>
      </c>
      <c r="H6292">
        <v>1987</v>
      </c>
      <c r="I6292">
        <v>26.8</v>
      </c>
      <c r="J6292">
        <v>15.3</v>
      </c>
      <c r="K6292">
        <v>58</v>
      </c>
      <c r="L6292">
        <v>24.84</v>
      </c>
      <c r="M6292">
        <v>39</v>
      </c>
      <c r="N6292">
        <v>12.8</v>
      </c>
      <c r="O6292">
        <v>26.2</v>
      </c>
      <c r="P6292">
        <v>25.9</v>
      </c>
      <c r="Q6292">
        <v>24.1</v>
      </c>
      <c r="R6292">
        <v>30.2</v>
      </c>
      <c r="S6292">
        <v>23.8</v>
      </c>
      <c r="T6292">
        <v>907</v>
      </c>
      <c r="U6292">
        <v>285</v>
      </c>
      <c r="V6292">
        <v>0</v>
      </c>
      <c r="W6292">
        <v>126</v>
      </c>
      <c r="X6292">
        <v>683</v>
      </c>
      <c r="Y6292">
        <v>0</v>
      </c>
      <c r="Z6292">
        <v>57</v>
      </c>
      <c r="AA6292">
        <v>4</v>
      </c>
      <c r="AB6292">
        <v>6.1804009999999998</v>
      </c>
      <c r="AC6292">
        <v>1.25741E-2</v>
      </c>
      <c r="AD6292">
        <v>0.79197510000000004</v>
      </c>
      <c r="AE6292">
        <v>0.67420959999999996</v>
      </c>
      <c r="AF6292">
        <v>399.57089999999999</v>
      </c>
      <c r="AG6292">
        <f>IFERROR(AH6292*0.1, "N/A")</f>
        <v>5.5016889999999998</v>
      </c>
      <c r="AH6292">
        <v>55.016889999999997</v>
      </c>
      <c r="AI6292">
        <v>273.02269999999999</v>
      </c>
      <c r="AJ6292">
        <v>20.67061</v>
      </c>
      <c r="AK6292">
        <v>46.233110000000003</v>
      </c>
    </row>
    <row r="6293" spans="1:37" x14ac:dyDescent="0.3">
      <c r="A6293">
        <v>6292</v>
      </c>
      <c r="B6293">
        <v>0</v>
      </c>
      <c r="C6293">
        <v>-8.0217700000000001</v>
      </c>
      <c r="D6293">
        <v>13.196899999999999</v>
      </c>
      <c r="E6293">
        <f>-8.02177-13.1969</f>
        <v>-21.218669999999999</v>
      </c>
      <c r="F6293" t="s">
        <v>9729</v>
      </c>
      <c r="G6293" t="s">
        <v>37</v>
      </c>
      <c r="H6293">
        <v>1987</v>
      </c>
      <c r="I6293">
        <v>26.8</v>
      </c>
      <c r="J6293">
        <v>15.3</v>
      </c>
      <c r="K6293">
        <v>58</v>
      </c>
      <c r="L6293">
        <v>24.84</v>
      </c>
      <c r="M6293">
        <v>39</v>
      </c>
      <c r="N6293">
        <v>12.8</v>
      </c>
      <c r="O6293">
        <v>26.2</v>
      </c>
      <c r="P6293">
        <v>25.9</v>
      </c>
      <c r="Q6293">
        <v>24.1</v>
      </c>
      <c r="R6293">
        <v>30.2</v>
      </c>
      <c r="S6293">
        <v>23.8</v>
      </c>
      <c r="T6293">
        <v>907</v>
      </c>
      <c r="U6293">
        <v>285</v>
      </c>
      <c r="V6293">
        <v>0</v>
      </c>
      <c r="W6293">
        <v>126</v>
      </c>
      <c r="X6293">
        <v>683</v>
      </c>
      <c r="Y6293">
        <v>0</v>
      </c>
      <c r="Z6293">
        <v>57</v>
      </c>
      <c r="AA6293">
        <v>4</v>
      </c>
      <c r="AB6293">
        <v>6.1804009999999998</v>
      </c>
      <c r="AC6293">
        <v>1.25741E-2</v>
      </c>
      <c r="AD6293">
        <v>0.79197510000000004</v>
      </c>
      <c r="AE6293">
        <v>0.67420959999999996</v>
      </c>
      <c r="AF6293">
        <v>399.57089999999999</v>
      </c>
      <c r="AG6293">
        <f>IFERROR(AH6293*0.1, "N/A")</f>
        <v>5.5016889999999998</v>
      </c>
      <c r="AH6293">
        <v>55.016889999999997</v>
      </c>
      <c r="AI6293">
        <v>273.02269999999999</v>
      </c>
      <c r="AJ6293">
        <v>20.67061</v>
      </c>
      <c r="AK6293">
        <v>46.233110000000003</v>
      </c>
    </row>
    <row r="6294" spans="1:37" x14ac:dyDescent="0.3">
      <c r="A6294">
        <v>6293</v>
      </c>
      <c r="B6294">
        <v>26.5</v>
      </c>
      <c r="C6294">
        <v>-10.714700000000001</v>
      </c>
      <c r="D6294">
        <v>13.198399999999999</v>
      </c>
      <c r="E6294">
        <f>-10.7147-13.1984</f>
        <v>-23.9131</v>
      </c>
      <c r="F6294" t="s">
        <v>9730</v>
      </c>
      <c r="G6294" t="s">
        <v>39</v>
      </c>
      <c r="H6294">
        <v>1990</v>
      </c>
      <c r="I6294">
        <v>28.2</v>
      </c>
      <c r="J6294">
        <v>13.2</v>
      </c>
      <c r="K6294">
        <v>59</v>
      </c>
      <c r="L6294">
        <v>20.25</v>
      </c>
      <c r="M6294">
        <v>39.1</v>
      </c>
      <c r="N6294">
        <v>17</v>
      </c>
      <c r="O6294">
        <v>22.1</v>
      </c>
      <c r="P6294">
        <v>26.9</v>
      </c>
      <c r="Q6294">
        <v>28.1</v>
      </c>
      <c r="R6294">
        <v>31.3</v>
      </c>
      <c r="S6294">
        <v>26.3</v>
      </c>
      <c r="T6294">
        <v>980</v>
      </c>
      <c r="U6294">
        <v>289</v>
      </c>
      <c r="V6294">
        <v>0</v>
      </c>
      <c r="W6294">
        <v>124</v>
      </c>
      <c r="X6294">
        <v>722</v>
      </c>
      <c r="Y6294">
        <v>0</v>
      </c>
      <c r="Z6294">
        <v>45</v>
      </c>
      <c r="AA6294">
        <v>4</v>
      </c>
      <c r="AB6294">
        <v>11.266999999999999</v>
      </c>
      <c r="AC6294">
        <v>6.6442909999999994E-2</v>
      </c>
      <c r="AD6294">
        <v>1.912925</v>
      </c>
      <c r="AE6294">
        <v>0.41960629999999999</v>
      </c>
      <c r="AF6294">
        <v>137.4162</v>
      </c>
      <c r="AG6294">
        <f>IFERROR(AH6294*0.1, "N/A")</f>
        <v>6.7758039999999999</v>
      </c>
      <c r="AH6294">
        <v>67.758039999999994</v>
      </c>
      <c r="AI6294">
        <v>104.7851</v>
      </c>
      <c r="AJ6294">
        <v>20.88494</v>
      </c>
      <c r="AK6294">
        <v>52.768189999999997</v>
      </c>
    </row>
    <row r="6295" spans="1:37" x14ac:dyDescent="0.3">
      <c r="A6295">
        <v>6294</v>
      </c>
      <c r="B6295">
        <v>19.100000000000001</v>
      </c>
      <c r="C6295">
        <v>-10.714700000000001</v>
      </c>
      <c r="D6295">
        <v>13.198399999999999</v>
      </c>
      <c r="E6295">
        <f>-10.7147-13.1984</f>
        <v>-23.9131</v>
      </c>
      <c r="F6295" t="s">
        <v>9731</v>
      </c>
      <c r="G6295" t="s">
        <v>37</v>
      </c>
      <c r="H6295">
        <v>1990</v>
      </c>
      <c r="I6295">
        <v>28.2</v>
      </c>
      <c r="J6295">
        <v>13.2</v>
      </c>
      <c r="K6295">
        <v>59</v>
      </c>
      <c r="L6295">
        <v>20.25</v>
      </c>
      <c r="M6295">
        <v>39.1</v>
      </c>
      <c r="N6295">
        <v>17</v>
      </c>
      <c r="O6295">
        <v>22.1</v>
      </c>
      <c r="P6295">
        <v>26.9</v>
      </c>
      <c r="Q6295">
        <v>28.1</v>
      </c>
      <c r="R6295">
        <v>31.3</v>
      </c>
      <c r="S6295">
        <v>26.3</v>
      </c>
      <c r="T6295">
        <v>980</v>
      </c>
      <c r="U6295">
        <v>289</v>
      </c>
      <c r="V6295">
        <v>0</v>
      </c>
      <c r="W6295">
        <v>124</v>
      </c>
      <c r="X6295">
        <v>722</v>
      </c>
      <c r="Y6295">
        <v>0</v>
      </c>
      <c r="Z6295">
        <v>45</v>
      </c>
      <c r="AA6295">
        <v>4</v>
      </c>
      <c r="AB6295">
        <v>11.266999999999999</v>
      </c>
      <c r="AC6295">
        <v>6.6442909999999994E-2</v>
      </c>
      <c r="AD6295">
        <v>1.912925</v>
      </c>
      <c r="AE6295">
        <v>0.41960629999999999</v>
      </c>
      <c r="AF6295">
        <v>137.4162</v>
      </c>
      <c r="AG6295">
        <f>IFERROR(AH6295*0.1, "N/A")</f>
        <v>6.7758039999999999</v>
      </c>
      <c r="AH6295">
        <v>67.758039999999994</v>
      </c>
      <c r="AI6295">
        <v>104.7851</v>
      </c>
      <c r="AJ6295">
        <v>20.88494</v>
      </c>
      <c r="AK6295">
        <v>52.768189999999997</v>
      </c>
    </row>
    <row r="6296" spans="1:37" x14ac:dyDescent="0.3">
      <c r="A6296">
        <v>6295</v>
      </c>
      <c r="B6296">
        <v>27.7</v>
      </c>
      <c r="C6296">
        <v>-7.9333</v>
      </c>
      <c r="D6296">
        <v>13.2</v>
      </c>
      <c r="E6296">
        <f>-7.9333-13.2</f>
        <v>-21.133299999999998</v>
      </c>
      <c r="F6296" t="s">
        <v>9732</v>
      </c>
      <c r="G6296" t="s">
        <v>39</v>
      </c>
      <c r="H6296">
        <v>1987</v>
      </c>
      <c r="I6296">
        <v>26.9</v>
      </c>
      <c r="J6296">
        <v>15.3</v>
      </c>
      <c r="K6296">
        <v>58</v>
      </c>
      <c r="L6296">
        <v>24.490929999999999</v>
      </c>
      <c r="M6296">
        <v>38.953560000000003</v>
      </c>
      <c r="N6296">
        <v>12.95356</v>
      </c>
      <c r="O6296">
        <v>26</v>
      </c>
      <c r="P6296">
        <v>25.846440000000001</v>
      </c>
      <c r="Q6296">
        <v>24.25356</v>
      </c>
      <c r="R6296">
        <v>30.272030000000001</v>
      </c>
      <c r="S6296">
        <v>23.979150000000001</v>
      </c>
      <c r="T6296">
        <v>890.64070000000004</v>
      </c>
      <c r="U6296">
        <v>279.82029999999997</v>
      </c>
      <c r="V6296">
        <v>0</v>
      </c>
      <c r="W6296">
        <v>125</v>
      </c>
      <c r="X6296">
        <v>670.64070000000004</v>
      </c>
      <c r="Y6296">
        <v>0</v>
      </c>
      <c r="Z6296">
        <v>56</v>
      </c>
      <c r="AA6296">
        <v>3</v>
      </c>
      <c r="AB6296">
        <v>4.0476390000000002</v>
      </c>
      <c r="AC6296">
        <v>2.6164409999999999E-2</v>
      </c>
      <c r="AD6296">
        <v>1.543372</v>
      </c>
      <c r="AE6296">
        <v>0.68388040000000005</v>
      </c>
      <c r="AF6296">
        <v>400.86779999999999</v>
      </c>
      <c r="AG6296">
        <f>IFERROR(AH6296*0.1, "N/A")</f>
        <v>5.672034</v>
      </c>
      <c r="AH6296">
        <v>56.72034</v>
      </c>
      <c r="AI6296">
        <v>95.859039999999993</v>
      </c>
      <c r="AJ6296">
        <v>14.55932</v>
      </c>
      <c r="AK6296">
        <v>55.322029999999998</v>
      </c>
    </row>
    <row r="6297" spans="1:37" x14ac:dyDescent="0.3">
      <c r="A6297">
        <v>6296</v>
      </c>
      <c r="B6297">
        <v>0.7</v>
      </c>
      <c r="C6297">
        <v>-7.9333</v>
      </c>
      <c r="D6297">
        <v>13.2</v>
      </c>
      <c r="E6297">
        <f>-7.9333-13.2</f>
        <v>-21.133299999999998</v>
      </c>
      <c r="F6297" t="s">
        <v>9733</v>
      </c>
      <c r="G6297" t="s">
        <v>37</v>
      </c>
      <c r="H6297">
        <v>1987</v>
      </c>
      <c r="I6297">
        <v>26.9</v>
      </c>
      <c r="J6297">
        <v>15.3</v>
      </c>
      <c r="K6297">
        <v>58</v>
      </c>
      <c r="L6297">
        <v>24.490929999999999</v>
      </c>
      <c r="M6297">
        <v>38.953560000000003</v>
      </c>
      <c r="N6297">
        <v>12.95356</v>
      </c>
      <c r="O6297">
        <v>26</v>
      </c>
      <c r="P6297">
        <v>25.846440000000001</v>
      </c>
      <c r="Q6297">
        <v>24.25356</v>
      </c>
      <c r="R6297">
        <v>30.272030000000001</v>
      </c>
      <c r="S6297">
        <v>23.979150000000001</v>
      </c>
      <c r="T6297">
        <v>890.64070000000004</v>
      </c>
      <c r="U6297">
        <v>279.82029999999997</v>
      </c>
      <c r="V6297">
        <v>0</v>
      </c>
      <c r="W6297">
        <v>125</v>
      </c>
      <c r="X6297">
        <v>670.64070000000004</v>
      </c>
      <c r="Y6297">
        <v>0</v>
      </c>
      <c r="Z6297">
        <v>56</v>
      </c>
      <c r="AA6297">
        <v>3</v>
      </c>
      <c r="AB6297">
        <v>4.0476390000000002</v>
      </c>
      <c r="AC6297">
        <v>2.6164409999999999E-2</v>
      </c>
      <c r="AD6297">
        <v>1.543372</v>
      </c>
      <c r="AE6297">
        <v>0.68388040000000005</v>
      </c>
      <c r="AF6297">
        <v>400.86779999999999</v>
      </c>
      <c r="AG6297">
        <f>IFERROR(AH6297*0.1, "N/A")</f>
        <v>5.672034</v>
      </c>
      <c r="AH6297">
        <v>56.72034</v>
      </c>
      <c r="AI6297">
        <v>95.859039999999993</v>
      </c>
      <c r="AJ6297">
        <v>14.55932</v>
      </c>
      <c r="AK6297">
        <v>55.322029999999998</v>
      </c>
    </row>
    <row r="6298" spans="1:37" x14ac:dyDescent="0.3">
      <c r="A6298">
        <v>6297</v>
      </c>
      <c r="B6298">
        <v>4</v>
      </c>
      <c r="C6298">
        <v>-10.250999999999999</v>
      </c>
      <c r="D6298">
        <v>13.201000000000001</v>
      </c>
      <c r="E6298">
        <f>-10.251-13.201</f>
        <v>-23.451999999999998</v>
      </c>
      <c r="F6298" t="s">
        <v>9734</v>
      </c>
      <c r="G6298" t="s">
        <v>39</v>
      </c>
      <c r="H6298">
        <v>1987</v>
      </c>
      <c r="I6298">
        <v>27.8</v>
      </c>
      <c r="J6298">
        <v>13.4</v>
      </c>
      <c r="K6298">
        <v>57</v>
      </c>
      <c r="L6298">
        <v>23.9</v>
      </c>
      <c r="M6298">
        <v>39.200000000000003</v>
      </c>
      <c r="N6298">
        <v>16</v>
      </c>
      <c r="O6298">
        <v>23.2</v>
      </c>
      <c r="P6298">
        <v>26.6</v>
      </c>
      <c r="Q6298">
        <v>27.2</v>
      </c>
      <c r="R6298">
        <v>31.2</v>
      </c>
      <c r="S6298">
        <v>25.2</v>
      </c>
      <c r="T6298">
        <v>969</v>
      </c>
      <c r="U6298">
        <v>287</v>
      </c>
      <c r="V6298">
        <v>0</v>
      </c>
      <c r="W6298">
        <v>123</v>
      </c>
      <c r="X6298">
        <v>713</v>
      </c>
      <c r="Y6298">
        <v>0</v>
      </c>
      <c r="Z6298">
        <v>47</v>
      </c>
      <c r="AA6298">
        <v>5</v>
      </c>
      <c r="AB6298">
        <v>0.29423680000000002</v>
      </c>
      <c r="AC6298">
        <v>0.75455799999999995</v>
      </c>
      <c r="AD6298">
        <v>0.92851870000000003</v>
      </c>
      <c r="AE6298">
        <v>0.28751369999999998</v>
      </c>
      <c r="AF6298">
        <v>204.5932</v>
      </c>
      <c r="AG6298" t="str">
        <f>IFERROR(AH6298*0.1, "N/A")</f>
        <v>N/A</v>
      </c>
      <c r="AH6298" t="s">
        <v>729</v>
      </c>
      <c r="AI6298">
        <v>61.198639999999997</v>
      </c>
      <c r="AJ6298" t="s">
        <v>729</v>
      </c>
      <c r="AK6298" t="s">
        <v>729</v>
      </c>
    </row>
    <row r="6299" spans="1:37" x14ac:dyDescent="0.3">
      <c r="A6299">
        <v>6298</v>
      </c>
      <c r="B6299">
        <v>0</v>
      </c>
      <c r="C6299">
        <v>-10.250999999999999</v>
      </c>
      <c r="D6299">
        <v>13.201000000000001</v>
      </c>
      <c r="E6299">
        <f>-10.251-13.201</f>
        <v>-23.451999999999998</v>
      </c>
      <c r="F6299" t="s">
        <v>9735</v>
      </c>
      <c r="G6299" t="s">
        <v>37</v>
      </c>
      <c r="H6299">
        <v>1987</v>
      </c>
      <c r="I6299">
        <v>27.8</v>
      </c>
      <c r="J6299">
        <v>13.4</v>
      </c>
      <c r="K6299">
        <v>57</v>
      </c>
      <c r="L6299">
        <v>23.9</v>
      </c>
      <c r="M6299">
        <v>39.200000000000003</v>
      </c>
      <c r="N6299">
        <v>16</v>
      </c>
      <c r="O6299">
        <v>23.2</v>
      </c>
      <c r="P6299">
        <v>26.6</v>
      </c>
      <c r="Q6299">
        <v>27.2</v>
      </c>
      <c r="R6299">
        <v>31.2</v>
      </c>
      <c r="S6299">
        <v>25.2</v>
      </c>
      <c r="T6299">
        <v>969</v>
      </c>
      <c r="U6299">
        <v>287</v>
      </c>
      <c r="V6299">
        <v>0</v>
      </c>
      <c r="W6299">
        <v>123</v>
      </c>
      <c r="X6299">
        <v>713</v>
      </c>
      <c r="Y6299">
        <v>0</v>
      </c>
      <c r="Z6299">
        <v>47</v>
      </c>
      <c r="AA6299">
        <v>5</v>
      </c>
      <c r="AB6299">
        <v>0.29423680000000002</v>
      </c>
      <c r="AC6299">
        <v>0.75455799999999995</v>
      </c>
      <c r="AD6299">
        <v>0.92851870000000003</v>
      </c>
      <c r="AE6299">
        <v>0.28751369999999998</v>
      </c>
      <c r="AF6299">
        <v>204.5932</v>
      </c>
      <c r="AG6299" t="str">
        <f>IFERROR(AH6299*0.1, "N/A")</f>
        <v>N/A</v>
      </c>
      <c r="AH6299" t="s">
        <v>729</v>
      </c>
      <c r="AI6299">
        <v>61.198639999999997</v>
      </c>
      <c r="AJ6299" t="s">
        <v>729</v>
      </c>
      <c r="AK6299" t="s">
        <v>729</v>
      </c>
    </row>
    <row r="6300" spans="1:37" x14ac:dyDescent="0.3">
      <c r="A6300">
        <v>6299</v>
      </c>
      <c r="B6300">
        <v>50</v>
      </c>
      <c r="C6300">
        <v>-7.8753799999999998</v>
      </c>
      <c r="D6300">
        <v>13.2018</v>
      </c>
      <c r="E6300">
        <f>-7.87538-13.2018</f>
        <v>-21.077179999999998</v>
      </c>
      <c r="F6300" t="s">
        <v>9736</v>
      </c>
      <c r="G6300" t="s">
        <v>39</v>
      </c>
      <c r="H6300">
        <v>1990</v>
      </c>
      <c r="I6300">
        <v>26.9</v>
      </c>
      <c r="J6300">
        <v>15.20068</v>
      </c>
      <c r="K6300">
        <v>58</v>
      </c>
      <c r="L6300">
        <v>24.560410000000001</v>
      </c>
      <c r="M6300">
        <v>39</v>
      </c>
      <c r="N6300">
        <v>13.099320000000001</v>
      </c>
      <c r="O6300">
        <v>25.900680000000001</v>
      </c>
      <c r="P6300">
        <v>25.9</v>
      </c>
      <c r="Q6300">
        <v>24.3</v>
      </c>
      <c r="R6300">
        <v>30.3</v>
      </c>
      <c r="S6300">
        <v>24</v>
      </c>
      <c r="T6300">
        <v>879</v>
      </c>
      <c r="U6300">
        <v>276</v>
      </c>
      <c r="V6300">
        <v>0</v>
      </c>
      <c r="W6300">
        <v>125</v>
      </c>
      <c r="X6300">
        <v>662</v>
      </c>
      <c r="Y6300">
        <v>0</v>
      </c>
      <c r="Z6300">
        <v>55</v>
      </c>
      <c r="AA6300">
        <v>3</v>
      </c>
      <c r="AB6300">
        <v>2.7437269999999998</v>
      </c>
      <c r="AC6300">
        <v>1.8910719999999999E-2</v>
      </c>
      <c r="AD6300">
        <v>2.0922580000000002</v>
      </c>
      <c r="AE6300">
        <v>0.57133900000000004</v>
      </c>
      <c r="AF6300">
        <v>394.61689999999999</v>
      </c>
      <c r="AG6300">
        <f>IFERROR(AH6300*0.1, "N/A")</f>
        <v>5.5708470000000005</v>
      </c>
      <c r="AH6300">
        <v>55.708469999999998</v>
      </c>
      <c r="AI6300">
        <v>193.56909999999999</v>
      </c>
      <c r="AJ6300">
        <v>22.69492</v>
      </c>
      <c r="AK6300">
        <v>42.305079999999997</v>
      </c>
    </row>
    <row r="6301" spans="1:37" x14ac:dyDescent="0.3">
      <c r="A6301">
        <v>6300</v>
      </c>
      <c r="B6301">
        <v>0</v>
      </c>
      <c r="C6301">
        <v>-7.8753799999999998</v>
      </c>
      <c r="D6301">
        <v>13.2018</v>
      </c>
      <c r="E6301">
        <f>-7.87538-13.2018</f>
        <v>-21.077179999999998</v>
      </c>
      <c r="F6301" t="s">
        <v>9737</v>
      </c>
      <c r="G6301" t="s">
        <v>37</v>
      </c>
      <c r="H6301">
        <v>1990</v>
      </c>
      <c r="I6301">
        <v>26.9</v>
      </c>
      <c r="J6301">
        <v>15.20068</v>
      </c>
      <c r="K6301">
        <v>58</v>
      </c>
      <c r="L6301">
        <v>24.560410000000001</v>
      </c>
      <c r="M6301">
        <v>39</v>
      </c>
      <c r="N6301">
        <v>13.099320000000001</v>
      </c>
      <c r="O6301">
        <v>25.900680000000001</v>
      </c>
      <c r="P6301">
        <v>25.9</v>
      </c>
      <c r="Q6301">
        <v>24.3</v>
      </c>
      <c r="R6301">
        <v>30.3</v>
      </c>
      <c r="S6301">
        <v>24</v>
      </c>
      <c r="T6301">
        <v>879</v>
      </c>
      <c r="U6301">
        <v>276</v>
      </c>
      <c r="V6301">
        <v>0</v>
      </c>
      <c r="W6301">
        <v>125</v>
      </c>
      <c r="X6301">
        <v>662</v>
      </c>
      <c r="Y6301">
        <v>0</v>
      </c>
      <c r="Z6301">
        <v>55</v>
      </c>
      <c r="AA6301">
        <v>3</v>
      </c>
      <c r="AB6301">
        <v>2.7437269999999998</v>
      </c>
      <c r="AC6301">
        <v>1.8910719999999999E-2</v>
      </c>
      <c r="AD6301">
        <v>2.0922580000000002</v>
      </c>
      <c r="AE6301">
        <v>0.57133900000000004</v>
      </c>
      <c r="AF6301">
        <v>394.61689999999999</v>
      </c>
      <c r="AG6301">
        <f>IFERROR(AH6301*0.1, "N/A")</f>
        <v>5.5708470000000005</v>
      </c>
      <c r="AH6301">
        <v>55.708469999999998</v>
      </c>
      <c r="AI6301">
        <v>193.56909999999999</v>
      </c>
      <c r="AJ6301">
        <v>22.69492</v>
      </c>
      <c r="AK6301">
        <v>42.305079999999997</v>
      </c>
    </row>
    <row r="6302" spans="1:37" x14ac:dyDescent="0.3">
      <c r="A6302">
        <v>6301</v>
      </c>
      <c r="B6302">
        <v>15.5</v>
      </c>
      <c r="C6302">
        <v>-7.9287000000000001</v>
      </c>
      <c r="D6302">
        <v>13.202</v>
      </c>
      <c r="E6302">
        <f>-7.9287-13.202</f>
        <v>-21.130700000000001</v>
      </c>
      <c r="F6302" t="s">
        <v>9738</v>
      </c>
      <c r="G6302" t="s">
        <v>39</v>
      </c>
      <c r="H6302">
        <v>1990</v>
      </c>
      <c r="I6302">
        <v>26.9</v>
      </c>
      <c r="J6302">
        <v>15.3</v>
      </c>
      <c r="K6302">
        <v>58</v>
      </c>
      <c r="L6302">
        <v>24.33</v>
      </c>
      <c r="M6302">
        <v>39</v>
      </c>
      <c r="N6302">
        <v>13</v>
      </c>
      <c r="O6302">
        <v>26</v>
      </c>
      <c r="P6302">
        <v>25.8</v>
      </c>
      <c r="Q6302">
        <v>24.3</v>
      </c>
      <c r="R6302">
        <v>30.2</v>
      </c>
      <c r="S6302">
        <v>24</v>
      </c>
      <c r="T6302">
        <v>889</v>
      </c>
      <c r="U6302">
        <v>279</v>
      </c>
      <c r="V6302">
        <v>0</v>
      </c>
      <c r="W6302">
        <v>125</v>
      </c>
      <c r="X6302">
        <v>669</v>
      </c>
      <c r="Y6302">
        <v>0</v>
      </c>
      <c r="Z6302">
        <v>56</v>
      </c>
      <c r="AA6302">
        <v>3</v>
      </c>
      <c r="AB6302">
        <v>1.1500010000000001</v>
      </c>
      <c r="AC6302">
        <v>0.19331980000000001</v>
      </c>
      <c r="AD6302">
        <v>1.529647</v>
      </c>
      <c r="AE6302">
        <v>0.68388040000000005</v>
      </c>
      <c r="AF6302">
        <v>397.43389999999999</v>
      </c>
      <c r="AG6302">
        <f>IFERROR(AH6302*0.1, "N/A")</f>
        <v>5.7176270000000002</v>
      </c>
      <c r="AH6302">
        <v>57.176270000000002</v>
      </c>
      <c r="AI6302">
        <v>151.8527</v>
      </c>
      <c r="AJ6302">
        <v>18.154240000000001</v>
      </c>
      <c r="AK6302">
        <v>50.22034</v>
      </c>
    </row>
    <row r="6303" spans="1:37" x14ac:dyDescent="0.3">
      <c r="A6303">
        <v>6302</v>
      </c>
      <c r="B6303">
        <v>1.4</v>
      </c>
      <c r="C6303">
        <v>-7.9287000000000001</v>
      </c>
      <c r="D6303">
        <v>13.202</v>
      </c>
      <c r="E6303">
        <f>-7.9287-13.202</f>
        <v>-21.130700000000001</v>
      </c>
      <c r="F6303" t="s">
        <v>9739</v>
      </c>
      <c r="G6303" t="s">
        <v>37</v>
      </c>
      <c r="H6303">
        <v>1990</v>
      </c>
      <c r="I6303">
        <v>26.9</v>
      </c>
      <c r="J6303">
        <v>15.3</v>
      </c>
      <c r="K6303">
        <v>58</v>
      </c>
      <c r="L6303">
        <v>24.33</v>
      </c>
      <c r="M6303">
        <v>39</v>
      </c>
      <c r="N6303">
        <v>13</v>
      </c>
      <c r="O6303">
        <v>26</v>
      </c>
      <c r="P6303">
        <v>25.8</v>
      </c>
      <c r="Q6303">
        <v>24.3</v>
      </c>
      <c r="R6303">
        <v>30.2</v>
      </c>
      <c r="S6303">
        <v>24</v>
      </c>
      <c r="T6303">
        <v>889</v>
      </c>
      <c r="U6303">
        <v>279</v>
      </c>
      <c r="V6303">
        <v>0</v>
      </c>
      <c r="W6303">
        <v>125</v>
      </c>
      <c r="X6303">
        <v>669</v>
      </c>
      <c r="Y6303">
        <v>0</v>
      </c>
      <c r="Z6303">
        <v>56</v>
      </c>
      <c r="AA6303">
        <v>3</v>
      </c>
      <c r="AB6303">
        <v>1.1500010000000001</v>
      </c>
      <c r="AC6303">
        <v>0.19331980000000001</v>
      </c>
      <c r="AD6303">
        <v>1.529647</v>
      </c>
      <c r="AE6303">
        <v>0.68388040000000005</v>
      </c>
      <c r="AF6303">
        <v>397.43389999999999</v>
      </c>
      <c r="AG6303">
        <f>IFERROR(AH6303*0.1, "N/A")</f>
        <v>5.7176270000000002</v>
      </c>
      <c r="AH6303">
        <v>57.176270000000002</v>
      </c>
      <c r="AI6303">
        <v>151.8527</v>
      </c>
      <c r="AJ6303">
        <v>18.154240000000001</v>
      </c>
      <c r="AK6303">
        <v>50.22034</v>
      </c>
    </row>
    <row r="6304" spans="1:37" x14ac:dyDescent="0.3">
      <c r="A6304">
        <v>6303</v>
      </c>
      <c r="B6304">
        <v>64.3</v>
      </c>
      <c r="C6304">
        <v>-10.468999999999999</v>
      </c>
      <c r="D6304">
        <v>13.202999999999999</v>
      </c>
      <c r="E6304">
        <f>-10.469-13.203</f>
        <v>-23.671999999999997</v>
      </c>
      <c r="F6304" t="s">
        <v>9740</v>
      </c>
      <c r="G6304" t="s">
        <v>39</v>
      </c>
      <c r="H6304">
        <v>1987</v>
      </c>
      <c r="I6304">
        <v>28</v>
      </c>
      <c r="J6304">
        <v>13.4</v>
      </c>
      <c r="K6304">
        <v>59</v>
      </c>
      <c r="L6304">
        <v>22.04</v>
      </c>
      <c r="M6304">
        <v>39.200000000000003</v>
      </c>
      <c r="N6304">
        <v>16.600000000000001</v>
      </c>
      <c r="O6304">
        <v>22.6</v>
      </c>
      <c r="P6304">
        <v>26.7</v>
      </c>
      <c r="Q6304">
        <v>27.7</v>
      </c>
      <c r="R6304">
        <v>31.3</v>
      </c>
      <c r="S6304">
        <v>25.8</v>
      </c>
      <c r="T6304">
        <v>973</v>
      </c>
      <c r="U6304">
        <v>288</v>
      </c>
      <c r="V6304">
        <v>0</v>
      </c>
      <c r="W6304">
        <v>123</v>
      </c>
      <c r="X6304">
        <v>716</v>
      </c>
      <c r="Y6304">
        <v>0</v>
      </c>
      <c r="Z6304">
        <v>45</v>
      </c>
      <c r="AA6304">
        <v>5</v>
      </c>
      <c r="AB6304">
        <v>3.6488109999999998</v>
      </c>
      <c r="AC6304">
        <v>0.17158010000000001</v>
      </c>
      <c r="AD6304">
        <v>0.82244479999999998</v>
      </c>
      <c r="AE6304">
        <v>0.67206719999999998</v>
      </c>
      <c r="AF6304">
        <v>162.2424</v>
      </c>
      <c r="AG6304">
        <f>IFERROR(AH6304*0.1, "N/A")</f>
        <v>6.6894920000000004</v>
      </c>
      <c r="AH6304">
        <v>66.894919999999999</v>
      </c>
      <c r="AI6304">
        <v>234.23650000000001</v>
      </c>
      <c r="AJ6304">
        <v>19.489830000000001</v>
      </c>
      <c r="AK6304">
        <v>46.398310000000002</v>
      </c>
    </row>
    <row r="6305" spans="1:37" x14ac:dyDescent="0.3">
      <c r="A6305">
        <v>6304</v>
      </c>
      <c r="B6305">
        <v>0.6</v>
      </c>
      <c r="C6305">
        <v>-10.468999999999999</v>
      </c>
      <c r="D6305">
        <v>13.202999999999999</v>
      </c>
      <c r="E6305">
        <f>-10.469-13.203</f>
        <v>-23.671999999999997</v>
      </c>
      <c r="F6305" t="s">
        <v>9741</v>
      </c>
      <c r="G6305" t="s">
        <v>37</v>
      </c>
      <c r="H6305">
        <v>1987</v>
      </c>
      <c r="I6305">
        <v>28</v>
      </c>
      <c r="J6305">
        <v>13.4</v>
      </c>
      <c r="K6305">
        <v>59</v>
      </c>
      <c r="L6305">
        <v>22.04</v>
      </c>
      <c r="M6305">
        <v>39.200000000000003</v>
      </c>
      <c r="N6305">
        <v>16.600000000000001</v>
      </c>
      <c r="O6305">
        <v>22.6</v>
      </c>
      <c r="P6305">
        <v>26.7</v>
      </c>
      <c r="Q6305">
        <v>27.7</v>
      </c>
      <c r="R6305">
        <v>31.3</v>
      </c>
      <c r="S6305">
        <v>25.8</v>
      </c>
      <c r="T6305">
        <v>973</v>
      </c>
      <c r="U6305">
        <v>288</v>
      </c>
      <c r="V6305">
        <v>0</v>
      </c>
      <c r="W6305">
        <v>123</v>
      </c>
      <c r="X6305">
        <v>716</v>
      </c>
      <c r="Y6305">
        <v>0</v>
      </c>
      <c r="Z6305">
        <v>45</v>
      </c>
      <c r="AA6305">
        <v>5</v>
      </c>
      <c r="AB6305">
        <v>3.6488109999999998</v>
      </c>
      <c r="AC6305">
        <v>0.17158010000000001</v>
      </c>
      <c r="AD6305">
        <v>0.82244479999999998</v>
      </c>
      <c r="AE6305">
        <v>0.67206719999999998</v>
      </c>
      <c r="AF6305">
        <v>162.2424</v>
      </c>
      <c r="AG6305">
        <f>IFERROR(AH6305*0.1, "N/A")</f>
        <v>6.6894920000000004</v>
      </c>
      <c r="AH6305">
        <v>66.894919999999999</v>
      </c>
      <c r="AI6305">
        <v>234.23650000000001</v>
      </c>
      <c r="AJ6305">
        <v>19.489830000000001</v>
      </c>
      <c r="AK6305">
        <v>46.398310000000002</v>
      </c>
    </row>
    <row r="6306" spans="1:37" x14ac:dyDescent="0.3">
      <c r="A6306">
        <v>6305</v>
      </c>
      <c r="B6306">
        <v>19.600000000000001</v>
      </c>
      <c r="C6306">
        <v>-10.318899999999999</v>
      </c>
      <c r="D6306">
        <v>13.2067</v>
      </c>
      <c r="E6306">
        <f>-10.3189-13.2067</f>
        <v>-23.525599999999997</v>
      </c>
      <c r="F6306" t="s">
        <v>9742</v>
      </c>
      <c r="G6306" t="s">
        <v>39</v>
      </c>
      <c r="H6306">
        <v>1990</v>
      </c>
      <c r="I6306">
        <v>27.8</v>
      </c>
      <c r="J6306">
        <v>13.4</v>
      </c>
      <c r="K6306">
        <v>58</v>
      </c>
      <c r="L6306">
        <v>23.18</v>
      </c>
      <c r="M6306">
        <v>39.1</v>
      </c>
      <c r="N6306">
        <v>16.2</v>
      </c>
      <c r="O6306">
        <v>22.9</v>
      </c>
      <c r="P6306">
        <v>26.5</v>
      </c>
      <c r="Q6306">
        <v>27.3</v>
      </c>
      <c r="R6306">
        <v>31.2</v>
      </c>
      <c r="S6306">
        <v>25.4</v>
      </c>
      <c r="T6306">
        <v>972</v>
      </c>
      <c r="U6306">
        <v>287</v>
      </c>
      <c r="V6306">
        <v>0</v>
      </c>
      <c r="W6306">
        <v>122</v>
      </c>
      <c r="X6306">
        <v>714</v>
      </c>
      <c r="Y6306">
        <v>0</v>
      </c>
      <c r="Z6306">
        <v>46</v>
      </c>
      <c r="AA6306">
        <v>5</v>
      </c>
      <c r="AB6306">
        <v>0</v>
      </c>
      <c r="AC6306">
        <v>8.1736119999999995E-2</v>
      </c>
      <c r="AD6306">
        <v>0</v>
      </c>
      <c r="AE6306" t="s">
        <v>729</v>
      </c>
      <c r="AF6306">
        <v>204</v>
      </c>
      <c r="AG6306" t="str">
        <f>IFERROR(AH6306*0.1, "N/A")</f>
        <v>N/A</v>
      </c>
      <c r="AH6306" t="s">
        <v>729</v>
      </c>
      <c r="AI6306">
        <v>0</v>
      </c>
      <c r="AJ6306" t="s">
        <v>729</v>
      </c>
      <c r="AK6306" t="s">
        <v>729</v>
      </c>
    </row>
    <row r="6307" spans="1:37" x14ac:dyDescent="0.3">
      <c r="A6307">
        <v>6306</v>
      </c>
      <c r="B6307">
        <v>3.3</v>
      </c>
      <c r="C6307">
        <v>-10.318899999999999</v>
      </c>
      <c r="D6307">
        <v>13.2067</v>
      </c>
      <c r="E6307">
        <f>-10.3189-13.2067</f>
        <v>-23.525599999999997</v>
      </c>
      <c r="F6307" t="s">
        <v>9743</v>
      </c>
      <c r="G6307" t="s">
        <v>37</v>
      </c>
      <c r="H6307">
        <v>1990</v>
      </c>
      <c r="I6307">
        <v>27.8</v>
      </c>
      <c r="J6307">
        <v>13.4</v>
      </c>
      <c r="K6307">
        <v>58</v>
      </c>
      <c r="L6307">
        <v>23.18</v>
      </c>
      <c r="M6307">
        <v>39.1</v>
      </c>
      <c r="N6307">
        <v>16.2</v>
      </c>
      <c r="O6307">
        <v>22.9</v>
      </c>
      <c r="P6307">
        <v>26.5</v>
      </c>
      <c r="Q6307">
        <v>27.3</v>
      </c>
      <c r="R6307">
        <v>31.2</v>
      </c>
      <c r="S6307">
        <v>25.4</v>
      </c>
      <c r="T6307">
        <v>972</v>
      </c>
      <c r="U6307">
        <v>287</v>
      </c>
      <c r="V6307">
        <v>0</v>
      </c>
      <c r="W6307">
        <v>122</v>
      </c>
      <c r="X6307">
        <v>714</v>
      </c>
      <c r="Y6307">
        <v>0</v>
      </c>
      <c r="Z6307">
        <v>46</v>
      </c>
      <c r="AA6307">
        <v>5</v>
      </c>
      <c r="AB6307">
        <v>0</v>
      </c>
      <c r="AC6307">
        <v>8.1736119999999995E-2</v>
      </c>
      <c r="AD6307">
        <v>0</v>
      </c>
      <c r="AE6307" t="s">
        <v>729</v>
      </c>
      <c r="AF6307">
        <v>204</v>
      </c>
      <c r="AG6307" t="str">
        <f>IFERROR(AH6307*0.1, "N/A")</f>
        <v>N/A</v>
      </c>
      <c r="AH6307" t="s">
        <v>729</v>
      </c>
      <c r="AI6307">
        <v>0</v>
      </c>
      <c r="AJ6307" t="s">
        <v>729</v>
      </c>
      <c r="AK6307" t="s">
        <v>729</v>
      </c>
    </row>
    <row r="6308" spans="1:37" x14ac:dyDescent="0.3">
      <c r="A6308">
        <v>6307</v>
      </c>
      <c r="B6308">
        <v>10.7</v>
      </c>
      <c r="C6308">
        <v>-10.2522</v>
      </c>
      <c r="D6308">
        <v>13.2075</v>
      </c>
      <c r="E6308">
        <f>-10.2522-13.2075</f>
        <v>-23.459699999999998</v>
      </c>
      <c r="F6308" t="s">
        <v>9744</v>
      </c>
      <c r="G6308" t="s">
        <v>39</v>
      </c>
      <c r="H6308">
        <v>1990</v>
      </c>
      <c r="I6308">
        <v>27.8</v>
      </c>
      <c r="J6308">
        <v>13.4</v>
      </c>
      <c r="K6308">
        <v>57</v>
      </c>
      <c r="L6308">
        <v>23.942810000000001</v>
      </c>
      <c r="M6308">
        <v>39.218609999999998</v>
      </c>
      <c r="N6308">
        <v>16.018609999999999</v>
      </c>
      <c r="O6308">
        <v>23.2</v>
      </c>
      <c r="P6308">
        <v>26.6</v>
      </c>
      <c r="Q6308">
        <v>27.2</v>
      </c>
      <c r="R6308">
        <v>31.218610000000002</v>
      </c>
      <c r="S6308">
        <v>25.218610000000002</v>
      </c>
      <c r="T6308">
        <v>968.44159999999999</v>
      </c>
      <c r="U6308">
        <v>286.81389999999999</v>
      </c>
      <c r="V6308">
        <v>0</v>
      </c>
      <c r="W6308">
        <v>123</v>
      </c>
      <c r="X6308">
        <v>712.6277</v>
      </c>
      <c r="Y6308">
        <v>0</v>
      </c>
      <c r="Z6308">
        <v>46.813870000000001</v>
      </c>
      <c r="AA6308">
        <v>5</v>
      </c>
      <c r="AB6308">
        <v>5.3571939999999998</v>
      </c>
      <c r="AC6308">
        <v>2.5541959999999999E-2</v>
      </c>
      <c r="AD6308">
        <v>1.9358340000000001</v>
      </c>
      <c r="AE6308">
        <v>0.33631670000000002</v>
      </c>
      <c r="AF6308">
        <v>207.40610000000001</v>
      </c>
      <c r="AG6308">
        <f>IFERROR(AH6308*0.1, "N/A")</f>
        <v>6.7</v>
      </c>
      <c r="AH6308">
        <v>67</v>
      </c>
      <c r="AI6308">
        <v>302.03579999999999</v>
      </c>
      <c r="AJ6308">
        <v>30.318809999999999</v>
      </c>
      <c r="AK6308">
        <v>43.454129999999999</v>
      </c>
    </row>
    <row r="6309" spans="1:37" x14ac:dyDescent="0.3">
      <c r="A6309">
        <v>6308</v>
      </c>
      <c r="B6309">
        <v>3.5</v>
      </c>
      <c r="C6309">
        <v>-10.2522</v>
      </c>
      <c r="D6309">
        <v>13.2075</v>
      </c>
      <c r="E6309">
        <f>-10.2522-13.2075</f>
        <v>-23.459699999999998</v>
      </c>
      <c r="F6309" t="s">
        <v>9745</v>
      </c>
      <c r="G6309" t="s">
        <v>37</v>
      </c>
      <c r="H6309">
        <v>1990</v>
      </c>
      <c r="I6309">
        <v>27.8</v>
      </c>
      <c r="J6309">
        <v>13.4</v>
      </c>
      <c r="K6309">
        <v>57</v>
      </c>
      <c r="L6309">
        <v>23.942810000000001</v>
      </c>
      <c r="M6309">
        <v>39.218609999999998</v>
      </c>
      <c r="N6309">
        <v>16.018609999999999</v>
      </c>
      <c r="O6309">
        <v>23.2</v>
      </c>
      <c r="P6309">
        <v>26.6</v>
      </c>
      <c r="Q6309">
        <v>27.2</v>
      </c>
      <c r="R6309">
        <v>31.218610000000002</v>
      </c>
      <c r="S6309">
        <v>25.218610000000002</v>
      </c>
      <c r="T6309">
        <v>968.44159999999999</v>
      </c>
      <c r="U6309">
        <v>286.81389999999999</v>
      </c>
      <c r="V6309">
        <v>0</v>
      </c>
      <c r="W6309">
        <v>123</v>
      </c>
      <c r="X6309">
        <v>712.6277</v>
      </c>
      <c r="Y6309">
        <v>0</v>
      </c>
      <c r="Z6309">
        <v>46.813870000000001</v>
      </c>
      <c r="AA6309">
        <v>5</v>
      </c>
      <c r="AB6309">
        <v>5.3571939999999998</v>
      </c>
      <c r="AC6309">
        <v>2.5541959999999999E-2</v>
      </c>
      <c r="AD6309">
        <v>1.9358340000000001</v>
      </c>
      <c r="AE6309">
        <v>0.33631670000000002</v>
      </c>
      <c r="AF6309">
        <v>207.40610000000001</v>
      </c>
      <c r="AG6309">
        <f>IFERROR(AH6309*0.1, "N/A")</f>
        <v>6.7</v>
      </c>
      <c r="AH6309">
        <v>67</v>
      </c>
      <c r="AI6309">
        <v>302.03579999999999</v>
      </c>
      <c r="AJ6309">
        <v>30.318809999999999</v>
      </c>
      <c r="AK6309">
        <v>43.454129999999999</v>
      </c>
    </row>
    <row r="6310" spans="1:37" x14ac:dyDescent="0.3">
      <c r="A6310">
        <v>6309</v>
      </c>
      <c r="B6310">
        <v>1.3</v>
      </c>
      <c r="C6310">
        <v>-7.9664999999999999</v>
      </c>
      <c r="D6310">
        <v>13.214</v>
      </c>
      <c r="E6310">
        <f>-7.9665-13.214</f>
        <v>-21.180500000000002</v>
      </c>
      <c r="F6310" t="s">
        <v>9746</v>
      </c>
      <c r="G6310" t="s">
        <v>39</v>
      </c>
      <c r="H6310">
        <v>1987</v>
      </c>
      <c r="I6310">
        <v>26.8</v>
      </c>
      <c r="J6310">
        <v>15.3</v>
      </c>
      <c r="K6310">
        <v>58</v>
      </c>
      <c r="L6310">
        <v>24.634270000000001</v>
      </c>
      <c r="M6310">
        <v>38.9</v>
      </c>
      <c r="N6310">
        <v>12.9</v>
      </c>
      <c r="O6310">
        <v>26</v>
      </c>
      <c r="P6310">
        <v>25.769310000000001</v>
      </c>
      <c r="Q6310">
        <v>24.130690000000001</v>
      </c>
      <c r="R6310">
        <v>30.169309999999999</v>
      </c>
      <c r="S6310">
        <v>23.9</v>
      </c>
      <c r="T6310">
        <v>893</v>
      </c>
      <c r="U6310">
        <v>281</v>
      </c>
      <c r="V6310">
        <v>0</v>
      </c>
      <c r="W6310">
        <v>126</v>
      </c>
      <c r="X6310">
        <v>674</v>
      </c>
      <c r="Y6310">
        <v>0</v>
      </c>
      <c r="Z6310">
        <v>55</v>
      </c>
      <c r="AA6310">
        <v>3</v>
      </c>
      <c r="AB6310">
        <v>7.5534410000000003</v>
      </c>
      <c r="AC6310">
        <v>3.6883949999999999E-2</v>
      </c>
      <c r="AD6310">
        <v>1.084603</v>
      </c>
      <c r="AE6310">
        <v>0.64862810000000004</v>
      </c>
      <c r="AF6310">
        <v>414.10289999999998</v>
      </c>
      <c r="AG6310">
        <f>IFERROR(AH6310*0.1, "N/A")</f>
        <v>5.7613830000000004</v>
      </c>
      <c r="AH6310">
        <v>57.61383</v>
      </c>
      <c r="AI6310">
        <v>235.47040000000001</v>
      </c>
      <c r="AJ6310">
        <v>23.070830000000001</v>
      </c>
      <c r="AK6310">
        <v>43.952779999999997</v>
      </c>
    </row>
    <row r="6311" spans="1:37" x14ac:dyDescent="0.3">
      <c r="A6311">
        <v>6310</v>
      </c>
      <c r="B6311">
        <v>0</v>
      </c>
      <c r="C6311">
        <v>-7.9664999999999999</v>
      </c>
      <c r="D6311">
        <v>13.214</v>
      </c>
      <c r="E6311">
        <f>-7.9665-13.214</f>
        <v>-21.180500000000002</v>
      </c>
      <c r="F6311" t="s">
        <v>9747</v>
      </c>
      <c r="G6311" t="s">
        <v>37</v>
      </c>
      <c r="H6311">
        <v>1990</v>
      </c>
      <c r="I6311">
        <v>26.8</v>
      </c>
      <c r="J6311">
        <v>15.3</v>
      </c>
      <c r="K6311">
        <v>58</v>
      </c>
      <c r="L6311">
        <v>24.634270000000001</v>
      </c>
      <c r="M6311">
        <v>38.9</v>
      </c>
      <c r="N6311">
        <v>12.9</v>
      </c>
      <c r="O6311">
        <v>26</v>
      </c>
      <c r="P6311">
        <v>25.769310000000001</v>
      </c>
      <c r="Q6311">
        <v>24.130690000000001</v>
      </c>
      <c r="R6311">
        <v>30.169309999999999</v>
      </c>
      <c r="S6311">
        <v>23.9</v>
      </c>
      <c r="T6311">
        <v>893</v>
      </c>
      <c r="U6311">
        <v>281</v>
      </c>
      <c r="V6311">
        <v>0</v>
      </c>
      <c r="W6311">
        <v>126</v>
      </c>
      <c r="X6311">
        <v>674</v>
      </c>
      <c r="Y6311">
        <v>0</v>
      </c>
      <c r="Z6311">
        <v>55</v>
      </c>
      <c r="AA6311">
        <v>3</v>
      </c>
      <c r="AB6311">
        <v>7.5534410000000003</v>
      </c>
      <c r="AC6311">
        <v>3.6883949999999999E-2</v>
      </c>
      <c r="AD6311">
        <v>1.084603</v>
      </c>
      <c r="AE6311">
        <v>0.64862810000000004</v>
      </c>
      <c r="AF6311">
        <v>414.10289999999998</v>
      </c>
      <c r="AG6311">
        <f>IFERROR(AH6311*0.1, "N/A")</f>
        <v>5.7613830000000004</v>
      </c>
      <c r="AH6311">
        <v>57.61383</v>
      </c>
      <c r="AI6311">
        <v>235.47040000000001</v>
      </c>
      <c r="AJ6311">
        <v>23.070830000000001</v>
      </c>
      <c r="AK6311">
        <v>43.952779999999997</v>
      </c>
    </row>
    <row r="6312" spans="1:37" x14ac:dyDescent="0.3">
      <c r="A6312">
        <v>6311</v>
      </c>
      <c r="B6312">
        <v>98.3</v>
      </c>
      <c r="C6312">
        <v>-7.7954499999999998</v>
      </c>
      <c r="D6312">
        <v>13.218500000000001</v>
      </c>
      <c r="E6312">
        <f>-7.79545-13.2185</f>
        <v>-21.013950000000001</v>
      </c>
      <c r="F6312" t="s">
        <v>9748</v>
      </c>
      <c r="G6312" t="s">
        <v>39</v>
      </c>
      <c r="H6312">
        <v>1990</v>
      </c>
      <c r="I6312">
        <v>27.1</v>
      </c>
      <c r="J6312">
        <v>15.3</v>
      </c>
      <c r="K6312">
        <v>59</v>
      </c>
      <c r="L6312">
        <v>24.74</v>
      </c>
      <c r="M6312">
        <v>39.1</v>
      </c>
      <c r="N6312">
        <v>13.2</v>
      </c>
      <c r="O6312">
        <v>25.9</v>
      </c>
      <c r="P6312">
        <v>26.1</v>
      </c>
      <c r="Q6312">
        <v>24.4</v>
      </c>
      <c r="R6312">
        <v>30.4</v>
      </c>
      <c r="S6312">
        <v>24.1</v>
      </c>
      <c r="T6312">
        <v>861</v>
      </c>
      <c r="U6312">
        <v>271</v>
      </c>
      <c r="V6312">
        <v>0</v>
      </c>
      <c r="W6312">
        <v>126</v>
      </c>
      <c r="X6312">
        <v>648</v>
      </c>
      <c r="Y6312">
        <v>0</v>
      </c>
      <c r="Z6312">
        <v>54</v>
      </c>
      <c r="AA6312">
        <v>3</v>
      </c>
      <c r="AB6312">
        <v>3.0669339999999998</v>
      </c>
      <c r="AC6312">
        <v>1.058357E-2</v>
      </c>
      <c r="AD6312">
        <v>1.367839</v>
      </c>
      <c r="AE6312">
        <v>0.63275369999999997</v>
      </c>
      <c r="AF6312">
        <v>366.6814</v>
      </c>
      <c r="AG6312">
        <f>IFERROR(AH6312*0.1, "N/A")</f>
        <v>5.9284750000000006</v>
      </c>
      <c r="AH6312">
        <v>59.284750000000003</v>
      </c>
      <c r="AI6312">
        <v>213.69239999999999</v>
      </c>
      <c r="AJ6312">
        <v>19.006779999999999</v>
      </c>
      <c r="AK6312">
        <v>53.264409999999998</v>
      </c>
    </row>
    <row r="6313" spans="1:37" x14ac:dyDescent="0.3">
      <c r="A6313">
        <v>6312</v>
      </c>
      <c r="B6313">
        <v>0</v>
      </c>
      <c r="C6313">
        <v>-7.7954499999999998</v>
      </c>
      <c r="D6313">
        <v>13.218500000000001</v>
      </c>
      <c r="E6313">
        <f>-7.79545-13.2185</f>
        <v>-21.013950000000001</v>
      </c>
      <c r="F6313" t="s">
        <v>9749</v>
      </c>
      <c r="G6313" t="s">
        <v>37</v>
      </c>
      <c r="H6313">
        <v>1990</v>
      </c>
      <c r="I6313">
        <v>27.1</v>
      </c>
      <c r="J6313">
        <v>15.3</v>
      </c>
      <c r="K6313">
        <v>59</v>
      </c>
      <c r="L6313">
        <v>24.74</v>
      </c>
      <c r="M6313">
        <v>39.1</v>
      </c>
      <c r="N6313">
        <v>13.2</v>
      </c>
      <c r="O6313">
        <v>25.9</v>
      </c>
      <c r="P6313">
        <v>26.1</v>
      </c>
      <c r="Q6313">
        <v>24.4</v>
      </c>
      <c r="R6313">
        <v>30.4</v>
      </c>
      <c r="S6313">
        <v>24.1</v>
      </c>
      <c r="T6313">
        <v>861</v>
      </c>
      <c r="U6313">
        <v>271</v>
      </c>
      <c r="V6313">
        <v>0</v>
      </c>
      <c r="W6313">
        <v>126</v>
      </c>
      <c r="X6313">
        <v>648</v>
      </c>
      <c r="Y6313">
        <v>0</v>
      </c>
      <c r="Z6313">
        <v>54</v>
      </c>
      <c r="AA6313">
        <v>3</v>
      </c>
      <c r="AB6313">
        <v>3.0669339999999998</v>
      </c>
      <c r="AC6313">
        <v>1.058357E-2</v>
      </c>
      <c r="AD6313">
        <v>1.367839</v>
      </c>
      <c r="AE6313">
        <v>0.63275369999999997</v>
      </c>
      <c r="AF6313">
        <v>366.6814</v>
      </c>
      <c r="AG6313">
        <f>IFERROR(AH6313*0.1, "N/A")</f>
        <v>5.9284750000000006</v>
      </c>
      <c r="AH6313">
        <v>59.284750000000003</v>
      </c>
      <c r="AI6313">
        <v>213.69239999999999</v>
      </c>
      <c r="AJ6313">
        <v>19.006779999999999</v>
      </c>
      <c r="AK6313">
        <v>53.264409999999998</v>
      </c>
    </row>
    <row r="6314" spans="1:37" x14ac:dyDescent="0.3">
      <c r="A6314">
        <v>6313</v>
      </c>
      <c r="B6314">
        <v>45.9</v>
      </c>
      <c r="C6314">
        <v>-7.8540000000000001</v>
      </c>
      <c r="D6314">
        <v>13.221399999999999</v>
      </c>
      <c r="E6314">
        <f>-7.854-13.2214</f>
        <v>-21.075399999999998</v>
      </c>
      <c r="F6314" t="s">
        <v>9750</v>
      </c>
      <c r="G6314" t="s">
        <v>39</v>
      </c>
      <c r="H6314">
        <v>1990</v>
      </c>
      <c r="I6314">
        <v>27</v>
      </c>
      <c r="J6314">
        <v>15.3</v>
      </c>
      <c r="K6314">
        <v>58</v>
      </c>
      <c r="L6314">
        <v>24.66</v>
      </c>
      <c r="M6314">
        <v>39.1</v>
      </c>
      <c r="N6314">
        <v>13</v>
      </c>
      <c r="O6314">
        <v>26.1</v>
      </c>
      <c r="P6314">
        <v>26</v>
      </c>
      <c r="Q6314">
        <v>24.3</v>
      </c>
      <c r="R6314">
        <v>30.4</v>
      </c>
      <c r="S6314">
        <v>24</v>
      </c>
      <c r="T6314">
        <v>872</v>
      </c>
      <c r="U6314">
        <v>274</v>
      </c>
      <c r="V6314">
        <v>0</v>
      </c>
      <c r="W6314">
        <v>126</v>
      </c>
      <c r="X6314">
        <v>657</v>
      </c>
      <c r="Y6314">
        <v>0</v>
      </c>
      <c r="Z6314">
        <v>54</v>
      </c>
      <c r="AA6314">
        <v>3</v>
      </c>
      <c r="AB6314">
        <v>2.0895380000000001</v>
      </c>
      <c r="AC6314">
        <v>0.12504019999999999</v>
      </c>
      <c r="AD6314">
        <v>2.0980639999999999</v>
      </c>
      <c r="AE6314">
        <v>0.61307920000000005</v>
      </c>
      <c r="AF6314">
        <v>387.88869999999997</v>
      </c>
      <c r="AG6314">
        <f>IFERROR(AH6314*0.1, "N/A")</f>
        <v>5.9038789999999999</v>
      </c>
      <c r="AH6314">
        <v>59.038789999999999</v>
      </c>
      <c r="AI6314">
        <v>84.635859999999994</v>
      </c>
      <c r="AJ6314">
        <v>21</v>
      </c>
      <c r="AK6314">
        <v>46.480609999999999</v>
      </c>
    </row>
    <row r="6315" spans="1:37" x14ac:dyDescent="0.3">
      <c r="A6315">
        <v>6314</v>
      </c>
      <c r="B6315">
        <v>0.7</v>
      </c>
      <c r="C6315">
        <v>-7.8540000000000001</v>
      </c>
      <c r="D6315">
        <v>13.221399999999999</v>
      </c>
      <c r="E6315">
        <f>-7.854-13.2214</f>
        <v>-21.075399999999998</v>
      </c>
      <c r="F6315" t="s">
        <v>9751</v>
      </c>
      <c r="G6315" t="s">
        <v>37</v>
      </c>
      <c r="H6315">
        <v>1990</v>
      </c>
      <c r="I6315">
        <v>27</v>
      </c>
      <c r="J6315">
        <v>15.3</v>
      </c>
      <c r="K6315">
        <v>58</v>
      </c>
      <c r="L6315">
        <v>24.66</v>
      </c>
      <c r="M6315">
        <v>39.1</v>
      </c>
      <c r="N6315">
        <v>13</v>
      </c>
      <c r="O6315">
        <v>26.1</v>
      </c>
      <c r="P6315">
        <v>26</v>
      </c>
      <c r="Q6315">
        <v>24.3</v>
      </c>
      <c r="R6315">
        <v>30.4</v>
      </c>
      <c r="S6315">
        <v>24</v>
      </c>
      <c r="T6315">
        <v>872</v>
      </c>
      <c r="U6315">
        <v>274</v>
      </c>
      <c r="V6315">
        <v>0</v>
      </c>
      <c r="W6315">
        <v>126</v>
      </c>
      <c r="X6315">
        <v>657</v>
      </c>
      <c r="Y6315">
        <v>0</v>
      </c>
      <c r="Z6315">
        <v>54</v>
      </c>
      <c r="AA6315">
        <v>3</v>
      </c>
      <c r="AB6315">
        <v>2.0895380000000001</v>
      </c>
      <c r="AC6315">
        <v>0.12504019999999999</v>
      </c>
      <c r="AD6315">
        <v>2.0980639999999999</v>
      </c>
      <c r="AE6315">
        <v>0.61307920000000005</v>
      </c>
      <c r="AF6315">
        <v>387.88869999999997</v>
      </c>
      <c r="AG6315">
        <f>IFERROR(AH6315*0.1, "N/A")</f>
        <v>5.9038789999999999</v>
      </c>
      <c r="AH6315">
        <v>59.038789999999999</v>
      </c>
      <c r="AI6315">
        <v>84.635859999999994</v>
      </c>
      <c r="AJ6315">
        <v>21</v>
      </c>
      <c r="AK6315">
        <v>46.480609999999999</v>
      </c>
    </row>
    <row r="6316" spans="1:37" x14ac:dyDescent="0.3">
      <c r="A6316">
        <v>6315</v>
      </c>
      <c r="B6316">
        <v>61.7</v>
      </c>
      <c r="C6316">
        <v>-7.7216899999999997</v>
      </c>
      <c r="D6316">
        <v>13.222300000000001</v>
      </c>
      <c r="E6316">
        <f>-7.72169-13.2223</f>
        <v>-20.943989999999999</v>
      </c>
      <c r="F6316" t="s">
        <v>9752</v>
      </c>
      <c r="G6316" t="s">
        <v>39</v>
      </c>
      <c r="H6316">
        <v>1990</v>
      </c>
      <c r="I6316">
        <v>27.2</v>
      </c>
      <c r="J6316">
        <v>15.2</v>
      </c>
      <c r="K6316">
        <v>58</v>
      </c>
      <c r="L6316">
        <v>24.92</v>
      </c>
      <c r="M6316">
        <v>39.4</v>
      </c>
      <c r="N6316">
        <v>13.3</v>
      </c>
      <c r="O6316">
        <v>26.1</v>
      </c>
      <c r="P6316">
        <v>26.1</v>
      </c>
      <c r="Q6316">
        <v>24.4</v>
      </c>
      <c r="R6316">
        <v>30.6</v>
      </c>
      <c r="S6316">
        <v>24.2</v>
      </c>
      <c r="T6316">
        <v>847</v>
      </c>
      <c r="U6316">
        <v>266</v>
      </c>
      <c r="V6316">
        <v>0</v>
      </c>
      <c r="W6316">
        <v>126</v>
      </c>
      <c r="X6316">
        <v>636</v>
      </c>
      <c r="Y6316">
        <v>0</v>
      </c>
      <c r="Z6316">
        <v>55</v>
      </c>
      <c r="AA6316">
        <v>3</v>
      </c>
      <c r="AB6316">
        <v>4.8853390000000001</v>
      </c>
      <c r="AC6316">
        <v>1.5177100000000001E-2</v>
      </c>
      <c r="AD6316">
        <v>1.342984</v>
      </c>
      <c r="AE6316">
        <v>0.63658859999999995</v>
      </c>
      <c r="AF6316">
        <v>341.43169999999998</v>
      </c>
      <c r="AG6316">
        <f>IFERROR(AH6316*0.1, "N/A")</f>
        <v>5.8512650000000006</v>
      </c>
      <c r="AH6316">
        <v>58.512650000000001</v>
      </c>
      <c r="AI6316">
        <v>127.43600000000001</v>
      </c>
      <c r="AJ6316">
        <v>17.571670000000001</v>
      </c>
      <c r="AK6316">
        <v>53.397979999999997</v>
      </c>
    </row>
    <row r="6317" spans="1:37" x14ac:dyDescent="0.3">
      <c r="A6317">
        <v>6316</v>
      </c>
      <c r="B6317">
        <v>0</v>
      </c>
      <c r="C6317">
        <v>-7.7216899999999997</v>
      </c>
      <c r="D6317">
        <v>13.222300000000001</v>
      </c>
      <c r="E6317">
        <f>-7.72169-13.2223</f>
        <v>-20.943989999999999</v>
      </c>
      <c r="F6317" t="s">
        <v>9753</v>
      </c>
      <c r="G6317" t="s">
        <v>37</v>
      </c>
      <c r="H6317">
        <v>1990</v>
      </c>
      <c r="I6317">
        <v>27.2</v>
      </c>
      <c r="J6317">
        <v>15.2</v>
      </c>
      <c r="K6317">
        <v>58</v>
      </c>
      <c r="L6317">
        <v>24.92</v>
      </c>
      <c r="M6317">
        <v>39.4</v>
      </c>
      <c r="N6317">
        <v>13.3</v>
      </c>
      <c r="O6317">
        <v>26.1</v>
      </c>
      <c r="P6317">
        <v>26.1</v>
      </c>
      <c r="Q6317">
        <v>24.4</v>
      </c>
      <c r="R6317">
        <v>30.6</v>
      </c>
      <c r="S6317">
        <v>24.2</v>
      </c>
      <c r="T6317">
        <v>847</v>
      </c>
      <c r="U6317">
        <v>266</v>
      </c>
      <c r="V6317">
        <v>0</v>
      </c>
      <c r="W6317">
        <v>126</v>
      </c>
      <c r="X6317">
        <v>636</v>
      </c>
      <c r="Y6317">
        <v>0</v>
      </c>
      <c r="Z6317">
        <v>55</v>
      </c>
      <c r="AA6317">
        <v>3</v>
      </c>
      <c r="AB6317">
        <v>4.8853390000000001</v>
      </c>
      <c r="AC6317">
        <v>1.5177100000000001E-2</v>
      </c>
      <c r="AD6317">
        <v>1.342984</v>
      </c>
      <c r="AE6317">
        <v>0.63658859999999995</v>
      </c>
      <c r="AF6317">
        <v>341.43169999999998</v>
      </c>
      <c r="AG6317">
        <f>IFERROR(AH6317*0.1, "N/A")</f>
        <v>5.8512650000000006</v>
      </c>
      <c r="AH6317">
        <v>58.512650000000001</v>
      </c>
      <c r="AI6317">
        <v>127.43600000000001</v>
      </c>
      <c r="AJ6317">
        <v>17.571670000000001</v>
      </c>
      <c r="AK6317">
        <v>53.397979999999997</v>
      </c>
    </row>
    <row r="6318" spans="1:37" x14ac:dyDescent="0.3">
      <c r="A6318">
        <v>6317</v>
      </c>
      <c r="B6318">
        <v>31.3</v>
      </c>
      <c r="C6318">
        <v>-7.9894999999999996</v>
      </c>
      <c r="D6318">
        <v>13.231400000000001</v>
      </c>
      <c r="E6318">
        <f>-7.9895-13.2314</f>
        <v>-21.2209</v>
      </c>
      <c r="F6318" t="s">
        <v>9754</v>
      </c>
      <c r="G6318" t="s">
        <v>39</v>
      </c>
      <c r="H6318">
        <v>1990</v>
      </c>
      <c r="I6318">
        <v>26.9</v>
      </c>
      <c r="J6318">
        <v>15.3</v>
      </c>
      <c r="K6318">
        <v>58</v>
      </c>
      <c r="L6318">
        <v>24.59</v>
      </c>
      <c r="M6318">
        <v>39.1</v>
      </c>
      <c r="N6318">
        <v>12.9</v>
      </c>
      <c r="O6318">
        <v>26.2</v>
      </c>
      <c r="P6318">
        <v>26</v>
      </c>
      <c r="Q6318">
        <v>24.2</v>
      </c>
      <c r="R6318">
        <v>30.3</v>
      </c>
      <c r="S6318">
        <v>24</v>
      </c>
      <c r="T6318">
        <v>893</v>
      </c>
      <c r="U6318">
        <v>281</v>
      </c>
      <c r="V6318">
        <v>0</v>
      </c>
      <c r="W6318">
        <v>126</v>
      </c>
      <c r="X6318">
        <v>672</v>
      </c>
      <c r="Y6318">
        <v>0</v>
      </c>
      <c r="Z6318">
        <v>56</v>
      </c>
      <c r="AA6318">
        <v>4</v>
      </c>
      <c r="AB6318">
        <v>3.37236</v>
      </c>
      <c r="AC6318">
        <v>8.1163380000000007</v>
      </c>
      <c r="AD6318">
        <v>2.5127359999999999</v>
      </c>
      <c r="AE6318">
        <v>0.67965200000000003</v>
      </c>
      <c r="AF6318">
        <v>380.87349999999998</v>
      </c>
      <c r="AG6318">
        <f>IFERROR(AH6318*0.1, "N/A")</f>
        <v>5.8357500000000009</v>
      </c>
      <c r="AH6318">
        <v>58.357500000000002</v>
      </c>
      <c r="AI6318">
        <v>197.14410000000001</v>
      </c>
      <c r="AJ6318">
        <v>17.799330000000001</v>
      </c>
      <c r="AK6318">
        <v>50.792580000000001</v>
      </c>
    </row>
    <row r="6319" spans="1:37" x14ac:dyDescent="0.3">
      <c r="A6319">
        <v>6318</v>
      </c>
      <c r="B6319">
        <v>0</v>
      </c>
      <c r="C6319">
        <v>-7.9894999999999996</v>
      </c>
      <c r="D6319">
        <v>13.231400000000001</v>
      </c>
      <c r="E6319">
        <f>-7.9895-13.2314</f>
        <v>-21.2209</v>
      </c>
      <c r="F6319" t="s">
        <v>9755</v>
      </c>
      <c r="G6319" t="s">
        <v>37</v>
      </c>
      <c r="H6319">
        <v>1990</v>
      </c>
      <c r="I6319">
        <v>26.9</v>
      </c>
      <c r="J6319">
        <v>15.3</v>
      </c>
      <c r="K6319">
        <v>58</v>
      </c>
      <c r="L6319">
        <v>24.59</v>
      </c>
      <c r="M6319">
        <v>39.1</v>
      </c>
      <c r="N6319">
        <v>12.9</v>
      </c>
      <c r="O6319">
        <v>26.2</v>
      </c>
      <c r="P6319">
        <v>26</v>
      </c>
      <c r="Q6319">
        <v>24.2</v>
      </c>
      <c r="R6319">
        <v>30.3</v>
      </c>
      <c r="S6319">
        <v>24</v>
      </c>
      <c r="T6319">
        <v>893</v>
      </c>
      <c r="U6319">
        <v>281</v>
      </c>
      <c r="V6319">
        <v>0</v>
      </c>
      <c r="W6319">
        <v>126</v>
      </c>
      <c r="X6319">
        <v>672</v>
      </c>
      <c r="Y6319">
        <v>0</v>
      </c>
      <c r="Z6319">
        <v>56</v>
      </c>
      <c r="AA6319">
        <v>4</v>
      </c>
      <c r="AB6319">
        <v>3.37236</v>
      </c>
      <c r="AC6319">
        <v>8.1163380000000007</v>
      </c>
      <c r="AD6319">
        <v>2.5127359999999999</v>
      </c>
      <c r="AE6319">
        <v>0.67965200000000003</v>
      </c>
      <c r="AF6319">
        <v>380.87349999999998</v>
      </c>
      <c r="AG6319">
        <f>IFERROR(AH6319*0.1, "N/A")</f>
        <v>5.8357500000000009</v>
      </c>
      <c r="AH6319">
        <v>58.357500000000002</v>
      </c>
      <c r="AI6319">
        <v>197.14410000000001</v>
      </c>
      <c r="AJ6319">
        <v>17.799330000000001</v>
      </c>
      <c r="AK6319">
        <v>50.792580000000001</v>
      </c>
    </row>
    <row r="6320" spans="1:37" x14ac:dyDescent="0.3">
      <c r="A6320">
        <v>6319</v>
      </c>
      <c r="B6320">
        <v>33.1</v>
      </c>
      <c r="C6320">
        <v>-7.95</v>
      </c>
      <c r="D6320">
        <v>13.2333</v>
      </c>
      <c r="E6320">
        <f>-7.95-13.2333</f>
        <v>-21.183299999999999</v>
      </c>
      <c r="F6320" t="s">
        <v>9756</v>
      </c>
      <c r="G6320" t="s">
        <v>39</v>
      </c>
      <c r="H6320">
        <v>1987</v>
      </c>
      <c r="I6320">
        <v>26.887160000000002</v>
      </c>
      <c r="J6320">
        <v>15.3</v>
      </c>
      <c r="K6320">
        <v>58</v>
      </c>
      <c r="L6320">
        <v>24.79777</v>
      </c>
      <c r="M6320">
        <v>39</v>
      </c>
      <c r="N6320">
        <v>12.817909999999999</v>
      </c>
      <c r="O6320">
        <v>26.182099999999998</v>
      </c>
      <c r="P6320">
        <v>25.869260000000001</v>
      </c>
      <c r="Q6320">
        <v>24.171620000000001</v>
      </c>
      <c r="R6320">
        <v>30.228380000000001</v>
      </c>
      <c r="S6320">
        <v>23.9</v>
      </c>
      <c r="T6320">
        <v>885.84799999999996</v>
      </c>
      <c r="U6320">
        <v>278.59120000000001</v>
      </c>
      <c r="V6320">
        <v>0</v>
      </c>
      <c r="W6320">
        <v>126.33450000000001</v>
      </c>
      <c r="X6320">
        <v>667.71960000000001</v>
      </c>
      <c r="Y6320">
        <v>0</v>
      </c>
      <c r="Z6320">
        <v>55</v>
      </c>
      <c r="AA6320">
        <v>3</v>
      </c>
      <c r="AB6320">
        <v>1.4494880000000001</v>
      </c>
      <c r="AC6320">
        <v>0.94762080000000004</v>
      </c>
      <c r="AD6320">
        <v>1.6365639999999999</v>
      </c>
      <c r="AE6320">
        <v>0.56018820000000003</v>
      </c>
      <c r="AF6320">
        <v>396.40199999999999</v>
      </c>
      <c r="AG6320">
        <f>IFERROR(AH6320*0.1, "N/A")</f>
        <v>5.7587840000000003</v>
      </c>
      <c r="AH6320">
        <v>57.58784</v>
      </c>
      <c r="AI6320">
        <v>86.873800000000003</v>
      </c>
      <c r="AJ6320">
        <v>21.58784</v>
      </c>
      <c r="AK6320">
        <v>42.82432</v>
      </c>
    </row>
    <row r="6321" spans="1:37" x14ac:dyDescent="0.3">
      <c r="A6321">
        <v>6320</v>
      </c>
      <c r="B6321">
        <v>34.1</v>
      </c>
      <c r="C6321">
        <v>-7.8978000000000002</v>
      </c>
      <c r="D6321">
        <v>13.234299999999999</v>
      </c>
      <c r="E6321">
        <f>-7.8978-13.2343</f>
        <v>-21.132100000000001</v>
      </c>
      <c r="F6321" t="s">
        <v>9757</v>
      </c>
      <c r="G6321" t="s">
        <v>39</v>
      </c>
      <c r="H6321">
        <v>1990</v>
      </c>
      <c r="I6321">
        <v>26.8</v>
      </c>
      <c r="J6321">
        <v>15.3</v>
      </c>
      <c r="K6321">
        <v>58</v>
      </c>
      <c r="L6321">
        <v>24.7</v>
      </c>
      <c r="M6321">
        <v>38.9</v>
      </c>
      <c r="N6321">
        <v>12.9</v>
      </c>
      <c r="O6321">
        <v>26</v>
      </c>
      <c r="P6321">
        <v>25.8</v>
      </c>
      <c r="Q6321">
        <v>24.1</v>
      </c>
      <c r="R6321">
        <v>30.2</v>
      </c>
      <c r="S6321">
        <v>23.9</v>
      </c>
      <c r="T6321">
        <v>878</v>
      </c>
      <c r="U6321">
        <v>276</v>
      </c>
      <c r="V6321">
        <v>0</v>
      </c>
      <c r="W6321">
        <v>126</v>
      </c>
      <c r="X6321">
        <v>662</v>
      </c>
      <c r="Y6321">
        <v>0</v>
      </c>
      <c r="Z6321">
        <v>54</v>
      </c>
      <c r="AA6321">
        <v>3</v>
      </c>
      <c r="AB6321">
        <v>1.078074</v>
      </c>
      <c r="AC6321">
        <v>1.217257</v>
      </c>
      <c r="AD6321">
        <v>1.1493990000000001</v>
      </c>
      <c r="AE6321">
        <v>0.62306349999999999</v>
      </c>
      <c r="AF6321">
        <v>413.3845</v>
      </c>
      <c r="AG6321">
        <f>IFERROR(AH6321*0.1, "N/A")</f>
        <v>5.5288360000000001</v>
      </c>
      <c r="AH6321">
        <v>55.288359999999997</v>
      </c>
      <c r="AI6321">
        <v>120.2405</v>
      </c>
      <c r="AJ6321">
        <v>21.527819999999998</v>
      </c>
      <c r="AK6321">
        <v>45.629010000000001</v>
      </c>
    </row>
    <row r="6322" spans="1:37" x14ac:dyDescent="0.3">
      <c r="A6322">
        <v>6321</v>
      </c>
      <c r="B6322">
        <v>0</v>
      </c>
      <c r="C6322">
        <v>-7.8978000000000002</v>
      </c>
      <c r="D6322">
        <v>13.234299999999999</v>
      </c>
      <c r="E6322">
        <f>-7.8978-13.2343</f>
        <v>-21.132100000000001</v>
      </c>
      <c r="F6322" t="s">
        <v>9758</v>
      </c>
      <c r="G6322" t="s">
        <v>37</v>
      </c>
      <c r="H6322">
        <v>1990</v>
      </c>
      <c r="I6322">
        <v>26.8</v>
      </c>
      <c r="J6322">
        <v>15.3</v>
      </c>
      <c r="K6322">
        <v>58</v>
      </c>
      <c r="L6322">
        <v>24.7</v>
      </c>
      <c r="M6322">
        <v>38.9</v>
      </c>
      <c r="N6322">
        <v>12.9</v>
      </c>
      <c r="O6322">
        <v>26</v>
      </c>
      <c r="P6322">
        <v>25.8</v>
      </c>
      <c r="Q6322">
        <v>24.1</v>
      </c>
      <c r="R6322">
        <v>30.2</v>
      </c>
      <c r="S6322">
        <v>23.9</v>
      </c>
      <c r="T6322">
        <v>878</v>
      </c>
      <c r="U6322">
        <v>276</v>
      </c>
      <c r="V6322">
        <v>0</v>
      </c>
      <c r="W6322">
        <v>126</v>
      </c>
      <c r="X6322">
        <v>662</v>
      </c>
      <c r="Y6322">
        <v>0</v>
      </c>
      <c r="Z6322">
        <v>54</v>
      </c>
      <c r="AA6322">
        <v>3</v>
      </c>
      <c r="AB6322">
        <v>1.078074</v>
      </c>
      <c r="AC6322">
        <v>1.217257</v>
      </c>
      <c r="AD6322">
        <v>1.1493990000000001</v>
      </c>
      <c r="AE6322">
        <v>0.62306349999999999</v>
      </c>
      <c r="AF6322">
        <v>413.3845</v>
      </c>
      <c r="AG6322">
        <f>IFERROR(AH6322*0.1, "N/A")</f>
        <v>5.5288360000000001</v>
      </c>
      <c r="AH6322">
        <v>55.288359999999997</v>
      </c>
      <c r="AI6322">
        <v>120.2405</v>
      </c>
      <c r="AJ6322">
        <v>21.527819999999998</v>
      </c>
      <c r="AK6322">
        <v>45.629010000000001</v>
      </c>
    </row>
    <row r="6323" spans="1:37" x14ac:dyDescent="0.3">
      <c r="A6323">
        <v>6322</v>
      </c>
      <c r="B6323">
        <v>28.9</v>
      </c>
      <c r="C6323">
        <v>-7.0170000000000003</v>
      </c>
      <c r="D6323">
        <v>13.234999999999999</v>
      </c>
      <c r="E6323">
        <f>-7.017-13.235</f>
        <v>-20.251999999999999</v>
      </c>
      <c r="F6323" t="s">
        <v>9759</v>
      </c>
      <c r="G6323" t="s">
        <v>39</v>
      </c>
      <c r="H6323">
        <v>1987</v>
      </c>
      <c r="I6323">
        <v>27.4</v>
      </c>
      <c r="J6323">
        <v>14.8</v>
      </c>
      <c r="K6323">
        <v>58</v>
      </c>
      <c r="L6323">
        <v>24.67</v>
      </c>
      <c r="M6323">
        <v>39.1</v>
      </c>
      <c r="N6323">
        <v>13.9</v>
      </c>
      <c r="O6323">
        <v>25.2</v>
      </c>
      <c r="P6323">
        <v>26.5</v>
      </c>
      <c r="Q6323">
        <v>24.5</v>
      </c>
      <c r="R6323">
        <v>30.7</v>
      </c>
      <c r="S6323">
        <v>24.4</v>
      </c>
      <c r="T6323">
        <v>722.70950000000005</v>
      </c>
      <c r="U6323">
        <v>235.70949999999999</v>
      </c>
      <c r="V6323">
        <v>0</v>
      </c>
      <c r="W6323">
        <v>128</v>
      </c>
      <c r="X6323">
        <v>551.70950000000005</v>
      </c>
      <c r="Y6323">
        <v>1</v>
      </c>
      <c r="Z6323">
        <v>46</v>
      </c>
      <c r="AA6323">
        <v>4</v>
      </c>
      <c r="AB6323">
        <v>2.2410489999999998</v>
      </c>
      <c r="AC6323">
        <v>0.32726499999999997</v>
      </c>
      <c r="AD6323">
        <v>1.9299379999999999</v>
      </c>
      <c r="AE6323">
        <v>0.404999</v>
      </c>
      <c r="AF6323">
        <v>287.08280000000002</v>
      </c>
      <c r="AG6323">
        <f>IFERROR(AH6323*0.1, "N/A")</f>
        <v>5.8040540000000007</v>
      </c>
      <c r="AH6323">
        <v>58.04054</v>
      </c>
      <c r="AI6323">
        <v>263.51859999999999</v>
      </c>
      <c r="AJ6323">
        <v>18.01351</v>
      </c>
      <c r="AK6323">
        <v>53.711150000000004</v>
      </c>
    </row>
    <row r="6324" spans="1:37" x14ac:dyDescent="0.3">
      <c r="A6324">
        <v>6323</v>
      </c>
      <c r="B6324">
        <v>0</v>
      </c>
      <c r="C6324">
        <v>-7.0170000000000003</v>
      </c>
      <c r="D6324">
        <v>13.234999999999999</v>
      </c>
      <c r="E6324">
        <f>-7.017-13.235</f>
        <v>-20.251999999999999</v>
      </c>
      <c r="F6324" t="s">
        <v>9760</v>
      </c>
      <c r="G6324" t="s">
        <v>37</v>
      </c>
      <c r="H6324">
        <v>1987</v>
      </c>
      <c r="I6324">
        <v>27.4</v>
      </c>
      <c r="J6324">
        <v>14.8</v>
      </c>
      <c r="K6324">
        <v>58</v>
      </c>
      <c r="L6324">
        <v>24.67</v>
      </c>
      <c r="M6324">
        <v>39.1</v>
      </c>
      <c r="N6324">
        <v>13.9</v>
      </c>
      <c r="O6324">
        <v>25.2</v>
      </c>
      <c r="P6324">
        <v>26.5</v>
      </c>
      <c r="Q6324">
        <v>24.5</v>
      </c>
      <c r="R6324">
        <v>30.7</v>
      </c>
      <c r="S6324">
        <v>24.4</v>
      </c>
      <c r="T6324">
        <v>722.70950000000005</v>
      </c>
      <c r="U6324">
        <v>235.70949999999999</v>
      </c>
      <c r="V6324">
        <v>0</v>
      </c>
      <c r="W6324">
        <v>128</v>
      </c>
      <c r="X6324">
        <v>551.70950000000005</v>
      </c>
      <c r="Y6324">
        <v>1</v>
      </c>
      <c r="Z6324">
        <v>46</v>
      </c>
      <c r="AA6324">
        <v>4</v>
      </c>
      <c r="AB6324">
        <v>2.2410489999999998</v>
      </c>
      <c r="AC6324">
        <v>0.32726499999999997</v>
      </c>
      <c r="AD6324">
        <v>1.9299379999999999</v>
      </c>
      <c r="AE6324">
        <v>0.404999</v>
      </c>
      <c r="AF6324">
        <v>287.08280000000002</v>
      </c>
      <c r="AG6324">
        <f>IFERROR(AH6324*0.1, "N/A")</f>
        <v>5.8040540000000007</v>
      </c>
      <c r="AH6324">
        <v>58.04054</v>
      </c>
      <c r="AI6324">
        <v>263.51859999999999</v>
      </c>
      <c r="AJ6324">
        <v>18.01351</v>
      </c>
      <c r="AK6324">
        <v>53.711150000000004</v>
      </c>
    </row>
    <row r="6325" spans="1:37" x14ac:dyDescent="0.3">
      <c r="A6325">
        <v>6324</v>
      </c>
      <c r="B6325">
        <v>0</v>
      </c>
      <c r="C6325">
        <v>-4.8804299999999996</v>
      </c>
      <c r="D6325">
        <v>13.235300000000001</v>
      </c>
      <c r="E6325">
        <f>-4.88043-13.2353</f>
        <v>-18.115729999999999</v>
      </c>
      <c r="F6325" t="s">
        <v>9761</v>
      </c>
      <c r="G6325" t="s">
        <v>39</v>
      </c>
      <c r="H6325">
        <v>2006</v>
      </c>
      <c r="I6325">
        <v>27.9</v>
      </c>
      <c r="J6325">
        <v>14.3</v>
      </c>
      <c r="K6325">
        <v>56</v>
      </c>
      <c r="L6325">
        <v>26.39</v>
      </c>
      <c r="M6325">
        <v>39.5</v>
      </c>
      <c r="N6325">
        <v>14.2</v>
      </c>
      <c r="O6325">
        <v>25.3</v>
      </c>
      <c r="P6325">
        <v>27.1</v>
      </c>
      <c r="Q6325">
        <v>24.7</v>
      </c>
      <c r="R6325">
        <v>31.5</v>
      </c>
      <c r="S6325">
        <v>24.7</v>
      </c>
      <c r="T6325">
        <v>709</v>
      </c>
      <c r="U6325">
        <v>219</v>
      </c>
      <c r="V6325">
        <v>0</v>
      </c>
      <c r="W6325">
        <v>123</v>
      </c>
      <c r="X6325">
        <v>526</v>
      </c>
      <c r="Y6325">
        <v>1</v>
      </c>
      <c r="Z6325">
        <v>147</v>
      </c>
      <c r="AA6325">
        <v>1</v>
      </c>
      <c r="AB6325">
        <v>2.7243200000000001</v>
      </c>
      <c r="AC6325">
        <v>4.0402319999999999E-2</v>
      </c>
      <c r="AD6325">
        <v>1.202348</v>
      </c>
      <c r="AE6325">
        <v>0.57738199999999995</v>
      </c>
      <c r="AF6325">
        <v>276.02030000000002</v>
      </c>
      <c r="AG6325">
        <f>IFERROR(AH6325*0.1, "N/A")</f>
        <v>5.5846280000000004</v>
      </c>
      <c r="AH6325">
        <v>55.84628</v>
      </c>
      <c r="AI6325">
        <v>150.5275</v>
      </c>
      <c r="AJ6325">
        <v>10.30743</v>
      </c>
      <c r="AK6325">
        <v>66.846279999999993</v>
      </c>
    </row>
    <row r="6326" spans="1:37" x14ac:dyDescent="0.3">
      <c r="A6326">
        <v>6325</v>
      </c>
      <c r="B6326">
        <v>0</v>
      </c>
      <c r="C6326">
        <v>-4.8804299999999996</v>
      </c>
      <c r="D6326">
        <v>13.235300000000001</v>
      </c>
      <c r="E6326">
        <f>-4.88043-13.2353</f>
        <v>-18.115729999999999</v>
      </c>
      <c r="F6326" t="s">
        <v>9762</v>
      </c>
      <c r="G6326" t="s">
        <v>37</v>
      </c>
      <c r="H6326">
        <v>2006</v>
      </c>
      <c r="I6326">
        <v>27.9</v>
      </c>
      <c r="J6326">
        <v>14.3</v>
      </c>
      <c r="K6326">
        <v>56</v>
      </c>
      <c r="L6326">
        <v>26.39</v>
      </c>
      <c r="M6326">
        <v>39.5</v>
      </c>
      <c r="N6326">
        <v>14.2</v>
      </c>
      <c r="O6326">
        <v>25.3</v>
      </c>
      <c r="P6326">
        <v>27.1</v>
      </c>
      <c r="Q6326">
        <v>24.7</v>
      </c>
      <c r="R6326">
        <v>31.5</v>
      </c>
      <c r="S6326">
        <v>24.7</v>
      </c>
      <c r="T6326">
        <v>709</v>
      </c>
      <c r="U6326">
        <v>219</v>
      </c>
      <c r="V6326">
        <v>0</v>
      </c>
      <c r="W6326">
        <v>123</v>
      </c>
      <c r="X6326">
        <v>526</v>
      </c>
      <c r="Y6326">
        <v>1</v>
      </c>
      <c r="Z6326">
        <v>147</v>
      </c>
      <c r="AA6326">
        <v>1</v>
      </c>
      <c r="AB6326">
        <v>2.7243200000000001</v>
      </c>
      <c r="AC6326">
        <v>4.0402319999999999E-2</v>
      </c>
      <c r="AD6326">
        <v>1.202348</v>
      </c>
      <c r="AE6326">
        <v>0.57738199999999995</v>
      </c>
      <c r="AF6326">
        <v>276.02030000000002</v>
      </c>
      <c r="AG6326">
        <f>IFERROR(AH6326*0.1, "N/A")</f>
        <v>5.5846280000000004</v>
      </c>
      <c r="AH6326">
        <v>55.84628</v>
      </c>
      <c r="AI6326">
        <v>150.5275</v>
      </c>
      <c r="AJ6326">
        <v>10.30743</v>
      </c>
      <c r="AK6326">
        <v>66.846279999999993</v>
      </c>
    </row>
    <row r="6327" spans="1:37" x14ac:dyDescent="0.3">
      <c r="A6327">
        <v>6326</v>
      </c>
      <c r="B6327">
        <v>33.799999999999997</v>
      </c>
      <c r="C6327">
        <v>-7.9641999999999999</v>
      </c>
      <c r="D6327">
        <v>13.242800000000001</v>
      </c>
      <c r="E6327">
        <f>-7.9642-13.2428</f>
        <v>-21.207000000000001</v>
      </c>
      <c r="F6327" t="s">
        <v>9763</v>
      </c>
      <c r="G6327" t="s">
        <v>39</v>
      </c>
      <c r="H6327">
        <v>1990</v>
      </c>
      <c r="I6327">
        <v>26.9</v>
      </c>
      <c r="J6327">
        <v>15.3</v>
      </c>
      <c r="K6327">
        <v>58</v>
      </c>
      <c r="L6327">
        <v>24.691659999999999</v>
      </c>
      <c r="M6327">
        <v>39</v>
      </c>
      <c r="N6327">
        <v>12.8</v>
      </c>
      <c r="O6327">
        <v>26.2</v>
      </c>
      <c r="P6327">
        <v>25.9</v>
      </c>
      <c r="Q6327">
        <v>24.2</v>
      </c>
      <c r="R6327">
        <v>30.3</v>
      </c>
      <c r="S6327">
        <v>23.9</v>
      </c>
      <c r="T6327">
        <v>886.01189999999997</v>
      </c>
      <c r="U6327">
        <v>279</v>
      </c>
      <c r="V6327">
        <v>0</v>
      </c>
      <c r="W6327">
        <v>127</v>
      </c>
      <c r="X6327">
        <v>668</v>
      </c>
      <c r="Y6327">
        <v>0</v>
      </c>
      <c r="Z6327">
        <v>55.011859999999999</v>
      </c>
      <c r="AA6327">
        <v>3</v>
      </c>
      <c r="AB6327">
        <v>1.1922079999999999</v>
      </c>
      <c r="AC6327">
        <v>13.71771</v>
      </c>
      <c r="AD6327">
        <v>1.5436350000000001</v>
      </c>
      <c r="AE6327">
        <v>0.6796854</v>
      </c>
      <c r="AF6327">
        <v>385.75760000000002</v>
      </c>
      <c r="AG6327">
        <f>IFERROR(AH6327*0.1, "N/A")</f>
        <v>5.5232200000000002</v>
      </c>
      <c r="AH6327">
        <v>55.232199999999999</v>
      </c>
      <c r="AI6327">
        <v>150.0624</v>
      </c>
      <c r="AJ6327">
        <v>21.042369999999998</v>
      </c>
      <c r="AK6327">
        <v>43.018639999999998</v>
      </c>
    </row>
    <row r="6328" spans="1:37" x14ac:dyDescent="0.3">
      <c r="A6328">
        <v>6327</v>
      </c>
      <c r="B6328">
        <v>0</v>
      </c>
      <c r="C6328">
        <v>-7.9641999999999999</v>
      </c>
      <c r="D6328">
        <v>13.242800000000001</v>
      </c>
      <c r="E6328">
        <f>-7.9642-13.2428</f>
        <v>-21.207000000000001</v>
      </c>
      <c r="F6328" t="s">
        <v>9764</v>
      </c>
      <c r="G6328" t="s">
        <v>37</v>
      </c>
      <c r="H6328">
        <v>1990</v>
      </c>
      <c r="I6328">
        <v>26.9</v>
      </c>
      <c r="J6328">
        <v>15.3</v>
      </c>
      <c r="K6328">
        <v>58</v>
      </c>
      <c r="L6328">
        <v>24.691659999999999</v>
      </c>
      <c r="M6328">
        <v>39</v>
      </c>
      <c r="N6328">
        <v>12.8</v>
      </c>
      <c r="O6328">
        <v>26.2</v>
      </c>
      <c r="P6328">
        <v>25.9</v>
      </c>
      <c r="Q6328">
        <v>24.2</v>
      </c>
      <c r="R6328">
        <v>30.3</v>
      </c>
      <c r="S6328">
        <v>23.9</v>
      </c>
      <c r="T6328">
        <v>886.01189999999997</v>
      </c>
      <c r="U6328">
        <v>279</v>
      </c>
      <c r="V6328">
        <v>0</v>
      </c>
      <c r="W6328">
        <v>127</v>
      </c>
      <c r="X6328">
        <v>668</v>
      </c>
      <c r="Y6328">
        <v>0</v>
      </c>
      <c r="Z6328">
        <v>55.011859999999999</v>
      </c>
      <c r="AA6328">
        <v>3</v>
      </c>
      <c r="AB6328">
        <v>1.1922079999999999</v>
      </c>
      <c r="AC6328">
        <v>13.71771</v>
      </c>
      <c r="AD6328">
        <v>1.5436350000000001</v>
      </c>
      <c r="AE6328">
        <v>0.6796854</v>
      </c>
      <c r="AF6328">
        <v>385.75760000000002</v>
      </c>
      <c r="AG6328">
        <f>IFERROR(AH6328*0.1, "N/A")</f>
        <v>5.5232200000000002</v>
      </c>
      <c r="AH6328">
        <v>55.232199999999999</v>
      </c>
      <c r="AI6328">
        <v>150.0624</v>
      </c>
      <c r="AJ6328">
        <v>21.042369999999998</v>
      </c>
      <c r="AK6328">
        <v>43.018639999999998</v>
      </c>
    </row>
    <row r="6329" spans="1:37" x14ac:dyDescent="0.3">
      <c r="A6329">
        <v>6328</v>
      </c>
      <c r="B6329">
        <v>79.5</v>
      </c>
      <c r="C6329">
        <v>-7.8416399999999999</v>
      </c>
      <c r="D6329">
        <v>13.244</v>
      </c>
      <c r="E6329">
        <f>-7.84164-13.244</f>
        <v>-21.085639999999998</v>
      </c>
      <c r="F6329" t="s">
        <v>9765</v>
      </c>
      <c r="G6329" t="s">
        <v>39</v>
      </c>
      <c r="H6329">
        <v>1990</v>
      </c>
      <c r="I6329">
        <v>27</v>
      </c>
      <c r="J6329">
        <v>15.3</v>
      </c>
      <c r="K6329">
        <v>58</v>
      </c>
      <c r="L6329">
        <v>24.719000000000001</v>
      </c>
      <c r="M6329">
        <v>39.130000000000003</v>
      </c>
      <c r="N6329">
        <v>13</v>
      </c>
      <c r="O6329">
        <v>26.13</v>
      </c>
      <c r="P6329">
        <v>26.03</v>
      </c>
      <c r="Q6329">
        <v>24.3</v>
      </c>
      <c r="R6329">
        <v>30.4</v>
      </c>
      <c r="S6329">
        <v>24.07</v>
      </c>
      <c r="T6329">
        <v>864.7</v>
      </c>
      <c r="U6329">
        <v>272</v>
      </c>
      <c r="V6329">
        <v>0</v>
      </c>
      <c r="W6329">
        <v>125</v>
      </c>
      <c r="X6329">
        <v>651.70000000000005</v>
      </c>
      <c r="Y6329">
        <v>0</v>
      </c>
      <c r="Z6329">
        <v>54</v>
      </c>
      <c r="AA6329">
        <v>3</v>
      </c>
      <c r="AB6329">
        <v>2.3759389999999998</v>
      </c>
      <c r="AC6329">
        <v>0.32896429999999999</v>
      </c>
      <c r="AD6329">
        <v>1.7227650000000001</v>
      </c>
      <c r="AE6329">
        <v>0.63793750000000005</v>
      </c>
      <c r="AF6329">
        <v>377.26609999999999</v>
      </c>
      <c r="AG6329">
        <f>IFERROR(AH6329*0.1, "N/A")</f>
        <v>6.2316950000000002</v>
      </c>
      <c r="AH6329">
        <v>62.316949999999999</v>
      </c>
      <c r="AI6329">
        <v>188.2355</v>
      </c>
      <c r="AJ6329">
        <v>22.347460000000002</v>
      </c>
      <c r="AK6329">
        <v>43.120339999999999</v>
      </c>
    </row>
    <row r="6330" spans="1:37" x14ac:dyDescent="0.3">
      <c r="A6330">
        <v>6329</v>
      </c>
      <c r="B6330">
        <v>0</v>
      </c>
      <c r="C6330">
        <v>-7.8416399999999999</v>
      </c>
      <c r="D6330">
        <v>13.244</v>
      </c>
      <c r="E6330">
        <f>-7.84164-13.244</f>
        <v>-21.085639999999998</v>
      </c>
      <c r="F6330" t="s">
        <v>9766</v>
      </c>
      <c r="G6330" t="s">
        <v>37</v>
      </c>
      <c r="H6330">
        <v>1990</v>
      </c>
      <c r="I6330">
        <v>27</v>
      </c>
      <c r="J6330">
        <v>15.3</v>
      </c>
      <c r="K6330">
        <v>58</v>
      </c>
      <c r="L6330">
        <v>24.719000000000001</v>
      </c>
      <c r="M6330">
        <v>39.130000000000003</v>
      </c>
      <c r="N6330">
        <v>13</v>
      </c>
      <c r="O6330">
        <v>26.13</v>
      </c>
      <c r="P6330">
        <v>26.03</v>
      </c>
      <c r="Q6330">
        <v>24.3</v>
      </c>
      <c r="R6330">
        <v>30.4</v>
      </c>
      <c r="S6330">
        <v>24.07</v>
      </c>
      <c r="T6330">
        <v>864.7</v>
      </c>
      <c r="U6330">
        <v>272</v>
      </c>
      <c r="V6330">
        <v>0</v>
      </c>
      <c r="W6330">
        <v>125</v>
      </c>
      <c r="X6330">
        <v>651.70000000000005</v>
      </c>
      <c r="Y6330">
        <v>0</v>
      </c>
      <c r="Z6330">
        <v>54</v>
      </c>
      <c r="AA6330">
        <v>3</v>
      </c>
      <c r="AB6330">
        <v>2.3759389999999998</v>
      </c>
      <c r="AC6330">
        <v>0.32896429999999999</v>
      </c>
      <c r="AD6330">
        <v>1.7227650000000001</v>
      </c>
      <c r="AE6330">
        <v>0.63793750000000005</v>
      </c>
      <c r="AF6330">
        <v>377.26609999999999</v>
      </c>
      <c r="AG6330">
        <f>IFERROR(AH6330*0.1, "N/A")</f>
        <v>6.2316950000000002</v>
      </c>
      <c r="AH6330">
        <v>62.316949999999999</v>
      </c>
      <c r="AI6330">
        <v>188.2355</v>
      </c>
      <c r="AJ6330">
        <v>22.347460000000002</v>
      </c>
      <c r="AK6330">
        <v>43.120339999999999</v>
      </c>
    </row>
    <row r="6331" spans="1:37" x14ac:dyDescent="0.3">
      <c r="A6331">
        <v>6330</v>
      </c>
      <c r="B6331">
        <v>52.5</v>
      </c>
      <c r="C6331">
        <v>-6.33927</v>
      </c>
      <c r="D6331">
        <v>13.2461</v>
      </c>
      <c r="E6331">
        <f>-6.33927-13.2461</f>
        <v>-19.585370000000001</v>
      </c>
      <c r="F6331" t="s">
        <v>9767</v>
      </c>
      <c r="G6331" t="s">
        <v>39</v>
      </c>
      <c r="H6331">
        <v>1990</v>
      </c>
      <c r="I6331">
        <v>27.7</v>
      </c>
      <c r="J6331">
        <v>14</v>
      </c>
      <c r="K6331">
        <v>58</v>
      </c>
      <c r="L6331">
        <v>25.2</v>
      </c>
      <c r="M6331">
        <v>39.1</v>
      </c>
      <c r="N6331">
        <v>15.1</v>
      </c>
      <c r="O6331">
        <v>24</v>
      </c>
      <c r="P6331">
        <v>26.8</v>
      </c>
      <c r="Q6331">
        <v>24.8</v>
      </c>
      <c r="R6331">
        <v>31.2</v>
      </c>
      <c r="S6331">
        <v>24.8</v>
      </c>
      <c r="T6331">
        <v>687</v>
      </c>
      <c r="U6331">
        <v>225</v>
      </c>
      <c r="V6331">
        <v>0</v>
      </c>
      <c r="W6331">
        <v>127</v>
      </c>
      <c r="X6331">
        <v>516</v>
      </c>
      <c r="Y6331">
        <v>0</v>
      </c>
      <c r="Z6331">
        <v>139</v>
      </c>
      <c r="AA6331">
        <v>0</v>
      </c>
      <c r="AB6331">
        <v>2.3717109999999999</v>
      </c>
      <c r="AC6331">
        <v>1.7056120000000001E-2</v>
      </c>
      <c r="AD6331">
        <v>0.21130969999999999</v>
      </c>
      <c r="AE6331">
        <v>0.54660399999999998</v>
      </c>
      <c r="AF6331">
        <v>295.48649999999998</v>
      </c>
      <c r="AG6331">
        <f>IFERROR(AH6331*0.1, "N/A")</f>
        <v>5.6259259999999998</v>
      </c>
      <c r="AH6331">
        <v>56.259259999999998</v>
      </c>
      <c r="AI6331">
        <v>40.861339999999998</v>
      </c>
      <c r="AJ6331">
        <v>9</v>
      </c>
      <c r="AK6331">
        <v>66.518519999999995</v>
      </c>
    </row>
    <row r="6332" spans="1:37" x14ac:dyDescent="0.3">
      <c r="A6332">
        <v>6331</v>
      </c>
      <c r="B6332">
        <v>0</v>
      </c>
      <c r="C6332">
        <v>-6.33927</v>
      </c>
      <c r="D6332">
        <v>13.2461</v>
      </c>
      <c r="E6332">
        <f>-6.33927-13.2461</f>
        <v>-19.585370000000001</v>
      </c>
      <c r="F6332" t="s">
        <v>9768</v>
      </c>
      <c r="G6332" t="s">
        <v>37</v>
      </c>
      <c r="H6332">
        <v>1990</v>
      </c>
      <c r="I6332">
        <v>27.7</v>
      </c>
      <c r="J6332">
        <v>14</v>
      </c>
      <c r="K6332">
        <v>58</v>
      </c>
      <c r="L6332">
        <v>25.2</v>
      </c>
      <c r="M6332">
        <v>39.1</v>
      </c>
      <c r="N6332">
        <v>15.1</v>
      </c>
      <c r="O6332">
        <v>24</v>
      </c>
      <c r="P6332">
        <v>26.8</v>
      </c>
      <c r="Q6332">
        <v>24.8</v>
      </c>
      <c r="R6332">
        <v>31.2</v>
      </c>
      <c r="S6332">
        <v>24.8</v>
      </c>
      <c r="T6332">
        <v>687</v>
      </c>
      <c r="U6332">
        <v>225</v>
      </c>
      <c r="V6332">
        <v>0</v>
      </c>
      <c r="W6332">
        <v>127</v>
      </c>
      <c r="X6332">
        <v>516</v>
      </c>
      <c r="Y6332">
        <v>0</v>
      </c>
      <c r="Z6332">
        <v>139</v>
      </c>
      <c r="AA6332">
        <v>0</v>
      </c>
      <c r="AB6332">
        <v>2.3717109999999999</v>
      </c>
      <c r="AC6332">
        <v>1.7056120000000001E-2</v>
      </c>
      <c r="AD6332">
        <v>0.21130969999999999</v>
      </c>
      <c r="AE6332">
        <v>0.54660399999999998</v>
      </c>
      <c r="AF6332">
        <v>295.48649999999998</v>
      </c>
      <c r="AG6332">
        <f>IFERROR(AH6332*0.1, "N/A")</f>
        <v>5.6259259999999998</v>
      </c>
      <c r="AH6332">
        <v>56.259259999999998</v>
      </c>
      <c r="AI6332">
        <v>40.861339999999998</v>
      </c>
      <c r="AJ6332">
        <v>9</v>
      </c>
      <c r="AK6332">
        <v>66.518519999999995</v>
      </c>
    </row>
    <row r="6333" spans="1:37" x14ac:dyDescent="0.3">
      <c r="A6333">
        <v>6332</v>
      </c>
      <c r="B6333">
        <v>20.3</v>
      </c>
      <c r="C6333">
        <v>-10.625400000000001</v>
      </c>
      <c r="D6333">
        <v>13.2476</v>
      </c>
      <c r="E6333">
        <f>-10.6254-13.2476</f>
        <v>-23.873000000000001</v>
      </c>
      <c r="F6333" t="s">
        <v>9769</v>
      </c>
      <c r="G6333" t="s">
        <v>39</v>
      </c>
      <c r="H6333">
        <v>1990</v>
      </c>
      <c r="I6333">
        <v>28.04</v>
      </c>
      <c r="J6333">
        <v>13.3</v>
      </c>
      <c r="K6333">
        <v>60</v>
      </c>
      <c r="L6333">
        <v>20.175999999999998</v>
      </c>
      <c r="M6333">
        <v>39</v>
      </c>
      <c r="N6333">
        <v>16.940000000000001</v>
      </c>
      <c r="O6333">
        <v>22.06</v>
      </c>
      <c r="P6333">
        <v>26.74</v>
      </c>
      <c r="Q6333">
        <v>27.9</v>
      </c>
      <c r="R6333">
        <v>31.1</v>
      </c>
      <c r="S6333">
        <v>26.14</v>
      </c>
      <c r="T6333">
        <v>961.6</v>
      </c>
      <c r="U6333">
        <v>285</v>
      </c>
      <c r="V6333">
        <v>0</v>
      </c>
      <c r="W6333">
        <v>123</v>
      </c>
      <c r="X6333">
        <v>708.6</v>
      </c>
      <c r="Y6333">
        <v>0</v>
      </c>
      <c r="Z6333">
        <v>44</v>
      </c>
      <c r="AA6333">
        <v>4</v>
      </c>
      <c r="AB6333">
        <v>7.3781359999999996</v>
      </c>
      <c r="AC6333">
        <v>3.4258740000000003E-2</v>
      </c>
      <c r="AD6333">
        <v>1.3393900000000001</v>
      </c>
      <c r="AE6333">
        <v>0.36981740000000002</v>
      </c>
      <c r="AF6333">
        <v>154.27629999999999</v>
      </c>
      <c r="AG6333">
        <f>IFERROR(AH6333*0.1, "N/A")</f>
        <v>6.1966099999999997</v>
      </c>
      <c r="AH6333">
        <v>61.966099999999997</v>
      </c>
      <c r="AI6333">
        <v>143.2654</v>
      </c>
      <c r="AJ6333">
        <v>14.4</v>
      </c>
      <c r="AK6333">
        <v>53.728810000000003</v>
      </c>
    </row>
    <row r="6334" spans="1:37" x14ac:dyDescent="0.3">
      <c r="A6334">
        <v>6333</v>
      </c>
      <c r="B6334">
        <v>14.6</v>
      </c>
      <c r="C6334">
        <v>-10.625400000000001</v>
      </c>
      <c r="D6334">
        <v>13.2476</v>
      </c>
      <c r="E6334">
        <f>-10.6254-13.2476</f>
        <v>-23.873000000000001</v>
      </c>
      <c r="F6334" t="s">
        <v>9770</v>
      </c>
      <c r="G6334" t="s">
        <v>37</v>
      </c>
      <c r="H6334">
        <v>1990</v>
      </c>
      <c r="I6334">
        <v>28.04</v>
      </c>
      <c r="J6334">
        <v>13.3</v>
      </c>
      <c r="K6334">
        <v>60</v>
      </c>
      <c r="L6334">
        <v>20.175999999999998</v>
      </c>
      <c r="M6334">
        <v>39</v>
      </c>
      <c r="N6334">
        <v>16.940000000000001</v>
      </c>
      <c r="O6334">
        <v>22.06</v>
      </c>
      <c r="P6334">
        <v>26.74</v>
      </c>
      <c r="Q6334">
        <v>27.9</v>
      </c>
      <c r="R6334">
        <v>31.1</v>
      </c>
      <c r="S6334">
        <v>26.14</v>
      </c>
      <c r="T6334">
        <v>961.6</v>
      </c>
      <c r="U6334">
        <v>285</v>
      </c>
      <c r="V6334">
        <v>0</v>
      </c>
      <c r="W6334">
        <v>123</v>
      </c>
      <c r="X6334">
        <v>708.6</v>
      </c>
      <c r="Y6334">
        <v>0</v>
      </c>
      <c r="Z6334">
        <v>44</v>
      </c>
      <c r="AA6334">
        <v>4</v>
      </c>
      <c r="AB6334">
        <v>7.3781359999999996</v>
      </c>
      <c r="AC6334">
        <v>3.4258740000000003E-2</v>
      </c>
      <c r="AD6334">
        <v>1.3393900000000001</v>
      </c>
      <c r="AE6334">
        <v>0.36981740000000002</v>
      </c>
      <c r="AF6334">
        <v>154.27629999999999</v>
      </c>
      <c r="AG6334">
        <f>IFERROR(AH6334*0.1, "N/A")</f>
        <v>6.1966099999999997</v>
      </c>
      <c r="AH6334">
        <v>61.966099999999997</v>
      </c>
      <c r="AI6334">
        <v>143.2654</v>
      </c>
      <c r="AJ6334">
        <v>14.4</v>
      </c>
      <c r="AK6334">
        <v>53.728810000000003</v>
      </c>
    </row>
    <row r="6335" spans="1:37" x14ac:dyDescent="0.3">
      <c r="A6335">
        <v>6334</v>
      </c>
      <c r="B6335">
        <v>27.6</v>
      </c>
      <c r="C6335">
        <v>-7.6040000000000001</v>
      </c>
      <c r="D6335">
        <v>13.25</v>
      </c>
      <c r="E6335">
        <f>-7.604-13.25</f>
        <v>-20.853999999999999</v>
      </c>
      <c r="F6335" t="s">
        <v>9771</v>
      </c>
      <c r="G6335" t="s">
        <v>39</v>
      </c>
      <c r="H6335">
        <v>1987</v>
      </c>
      <c r="I6335">
        <v>27.1</v>
      </c>
      <c r="J6335">
        <v>15.2</v>
      </c>
      <c r="K6335">
        <v>58</v>
      </c>
      <c r="L6335">
        <v>25.183299999999999</v>
      </c>
      <c r="M6335">
        <v>39.299999999999997</v>
      </c>
      <c r="N6335">
        <v>13.2</v>
      </c>
      <c r="O6335">
        <v>26.1</v>
      </c>
      <c r="P6335">
        <v>26.2</v>
      </c>
      <c r="Q6335">
        <v>24.338920000000002</v>
      </c>
      <c r="R6335">
        <v>30.5</v>
      </c>
      <c r="S6335">
        <v>24.1</v>
      </c>
      <c r="T6335">
        <v>824.22170000000006</v>
      </c>
      <c r="U6335">
        <v>260</v>
      </c>
      <c r="V6335">
        <v>0</v>
      </c>
      <c r="W6335">
        <v>126.6108</v>
      </c>
      <c r="X6335">
        <v>621</v>
      </c>
      <c r="Y6335">
        <v>0</v>
      </c>
      <c r="Z6335">
        <v>52</v>
      </c>
      <c r="AA6335">
        <v>3</v>
      </c>
      <c r="AB6335">
        <v>0.26903670000000002</v>
      </c>
      <c r="AC6335">
        <v>8.6164170000000002</v>
      </c>
      <c r="AD6335">
        <v>1.2214910000000001</v>
      </c>
      <c r="AE6335">
        <v>0.64235120000000001</v>
      </c>
      <c r="AF6335">
        <v>339.88659999999999</v>
      </c>
      <c r="AG6335">
        <f>IFERROR(AH6335*0.1, "N/A")</f>
        <v>5.6282570000000005</v>
      </c>
      <c r="AH6335">
        <v>56.28257</v>
      </c>
      <c r="AI6335">
        <v>186.38249999999999</v>
      </c>
      <c r="AJ6335">
        <v>15.011839999999999</v>
      </c>
      <c r="AK6335">
        <v>54.020299999999999</v>
      </c>
    </row>
    <row r="6336" spans="1:37" x14ac:dyDescent="0.3">
      <c r="A6336">
        <v>6335</v>
      </c>
      <c r="B6336">
        <v>29.4</v>
      </c>
      <c r="C6336">
        <v>-7.6040000000000001</v>
      </c>
      <c r="D6336">
        <v>13.25</v>
      </c>
      <c r="E6336">
        <f>-7.604-13.25</f>
        <v>-20.853999999999999</v>
      </c>
      <c r="F6336" t="s">
        <v>9772</v>
      </c>
      <c r="G6336" t="s">
        <v>37</v>
      </c>
      <c r="H6336">
        <v>1987</v>
      </c>
      <c r="I6336">
        <v>27.1</v>
      </c>
      <c r="J6336">
        <v>15.2</v>
      </c>
      <c r="K6336">
        <v>58</v>
      </c>
      <c r="L6336">
        <v>25.183299999999999</v>
      </c>
      <c r="M6336">
        <v>39.299999999999997</v>
      </c>
      <c r="N6336">
        <v>13.2</v>
      </c>
      <c r="O6336">
        <v>26.1</v>
      </c>
      <c r="P6336">
        <v>26.2</v>
      </c>
      <c r="Q6336">
        <v>24.338920000000002</v>
      </c>
      <c r="R6336">
        <v>30.5</v>
      </c>
      <c r="S6336">
        <v>24.1</v>
      </c>
      <c r="T6336">
        <v>824.22170000000006</v>
      </c>
      <c r="U6336">
        <v>260</v>
      </c>
      <c r="V6336">
        <v>0</v>
      </c>
      <c r="W6336">
        <v>126.6108</v>
      </c>
      <c r="X6336">
        <v>621</v>
      </c>
      <c r="Y6336">
        <v>0</v>
      </c>
      <c r="Z6336">
        <v>52</v>
      </c>
      <c r="AA6336">
        <v>3</v>
      </c>
      <c r="AB6336">
        <v>0.26903670000000002</v>
      </c>
      <c r="AC6336">
        <v>8.6164170000000002</v>
      </c>
      <c r="AD6336">
        <v>1.2214910000000001</v>
      </c>
      <c r="AE6336">
        <v>0.64235120000000001</v>
      </c>
      <c r="AF6336">
        <v>339.88659999999999</v>
      </c>
      <c r="AG6336">
        <f>IFERROR(AH6336*0.1, "N/A")</f>
        <v>5.6282570000000005</v>
      </c>
      <c r="AH6336">
        <v>56.28257</v>
      </c>
      <c r="AI6336">
        <v>186.38249999999999</v>
      </c>
      <c r="AJ6336">
        <v>15.011839999999999</v>
      </c>
      <c r="AK6336">
        <v>54.020299999999999</v>
      </c>
    </row>
    <row r="6337" spans="1:37" x14ac:dyDescent="0.3">
      <c r="A6337">
        <v>6336</v>
      </c>
      <c r="B6337">
        <v>9</v>
      </c>
      <c r="C6337">
        <v>-10.500999999999999</v>
      </c>
      <c r="D6337">
        <v>13.250999999999999</v>
      </c>
      <c r="E6337">
        <f>-10.501-13.251</f>
        <v>-23.751999999999999</v>
      </c>
      <c r="F6337" t="s">
        <v>9773</v>
      </c>
      <c r="G6337" t="s">
        <v>39</v>
      </c>
      <c r="H6337">
        <v>1987</v>
      </c>
      <c r="I6337">
        <v>28.093900000000001</v>
      </c>
      <c r="J6337">
        <v>13.3</v>
      </c>
      <c r="K6337">
        <v>59</v>
      </c>
      <c r="L6337">
        <v>21.136710000000001</v>
      </c>
      <c r="M6337">
        <v>39.1</v>
      </c>
      <c r="N6337">
        <v>16.793900000000001</v>
      </c>
      <c r="O6337">
        <v>22.306100000000001</v>
      </c>
      <c r="P6337">
        <v>26.8</v>
      </c>
      <c r="Q6337">
        <v>27.7</v>
      </c>
      <c r="R6337">
        <v>31.2</v>
      </c>
      <c r="S6337">
        <v>25.9</v>
      </c>
      <c r="T6337">
        <v>954</v>
      </c>
      <c r="U6337">
        <v>284</v>
      </c>
      <c r="V6337">
        <v>0</v>
      </c>
      <c r="W6337">
        <v>124</v>
      </c>
      <c r="X6337">
        <v>704</v>
      </c>
      <c r="Y6337">
        <v>0</v>
      </c>
      <c r="Z6337">
        <v>43</v>
      </c>
      <c r="AA6337">
        <v>4</v>
      </c>
      <c r="AB6337">
        <v>4.1018650000000001</v>
      </c>
      <c r="AC6337">
        <v>0.2556332</v>
      </c>
      <c r="AD6337">
        <v>1.2159469999999999</v>
      </c>
      <c r="AE6337">
        <v>0.46422479999999999</v>
      </c>
      <c r="AF6337">
        <v>159.61019999999999</v>
      </c>
      <c r="AG6337">
        <f>IFERROR(AH6337*0.1, "N/A")</f>
        <v>6.0077970000000001</v>
      </c>
      <c r="AH6337">
        <v>60.077970000000001</v>
      </c>
      <c r="AI6337">
        <v>149.12870000000001</v>
      </c>
      <c r="AJ6337">
        <v>19.576270000000001</v>
      </c>
      <c r="AK6337">
        <v>46.867800000000003</v>
      </c>
    </row>
    <row r="6338" spans="1:37" x14ac:dyDescent="0.3">
      <c r="A6338">
        <v>6337</v>
      </c>
      <c r="B6338">
        <v>0</v>
      </c>
      <c r="C6338">
        <v>-10.500999999999999</v>
      </c>
      <c r="D6338">
        <v>13.250999999999999</v>
      </c>
      <c r="E6338">
        <f>-10.501-13.251</f>
        <v>-23.751999999999999</v>
      </c>
      <c r="F6338" t="s">
        <v>9774</v>
      </c>
      <c r="G6338" t="s">
        <v>37</v>
      </c>
      <c r="H6338">
        <v>1987</v>
      </c>
      <c r="I6338">
        <v>28.093900000000001</v>
      </c>
      <c r="J6338">
        <v>13.3</v>
      </c>
      <c r="K6338">
        <v>59</v>
      </c>
      <c r="L6338">
        <v>21.136710000000001</v>
      </c>
      <c r="M6338">
        <v>39.1</v>
      </c>
      <c r="N6338">
        <v>16.793900000000001</v>
      </c>
      <c r="O6338">
        <v>22.306100000000001</v>
      </c>
      <c r="P6338">
        <v>26.8</v>
      </c>
      <c r="Q6338">
        <v>27.7</v>
      </c>
      <c r="R6338">
        <v>31.2</v>
      </c>
      <c r="S6338">
        <v>25.9</v>
      </c>
      <c r="T6338">
        <v>954</v>
      </c>
      <c r="U6338">
        <v>284</v>
      </c>
      <c r="V6338">
        <v>0</v>
      </c>
      <c r="W6338">
        <v>124</v>
      </c>
      <c r="X6338">
        <v>704</v>
      </c>
      <c r="Y6338">
        <v>0</v>
      </c>
      <c r="Z6338">
        <v>43</v>
      </c>
      <c r="AA6338">
        <v>4</v>
      </c>
      <c r="AB6338">
        <v>4.1018650000000001</v>
      </c>
      <c r="AC6338">
        <v>0.2556332</v>
      </c>
      <c r="AD6338">
        <v>1.2159469999999999</v>
      </c>
      <c r="AE6338">
        <v>0.46422479999999999</v>
      </c>
      <c r="AF6338">
        <v>159.61019999999999</v>
      </c>
      <c r="AG6338">
        <f>IFERROR(AH6338*0.1, "N/A")</f>
        <v>6.0077970000000001</v>
      </c>
      <c r="AH6338">
        <v>60.077970000000001</v>
      </c>
      <c r="AI6338">
        <v>149.12870000000001</v>
      </c>
      <c r="AJ6338">
        <v>19.576270000000001</v>
      </c>
      <c r="AK6338">
        <v>46.867800000000003</v>
      </c>
    </row>
    <row r="6339" spans="1:37" x14ac:dyDescent="0.3">
      <c r="A6339">
        <v>6338</v>
      </c>
      <c r="B6339">
        <v>57.4</v>
      </c>
      <c r="C6339">
        <v>-8.0174000000000003</v>
      </c>
      <c r="D6339">
        <v>13.2517</v>
      </c>
      <c r="E6339">
        <f>-8.0174-13.2517</f>
        <v>-21.269100000000002</v>
      </c>
      <c r="F6339" t="s">
        <v>9775</v>
      </c>
      <c r="G6339" t="s">
        <v>39</v>
      </c>
      <c r="H6339">
        <v>1990</v>
      </c>
      <c r="I6339">
        <v>27</v>
      </c>
      <c r="J6339">
        <v>15.4</v>
      </c>
      <c r="K6339">
        <v>57</v>
      </c>
      <c r="L6339">
        <v>25.23</v>
      </c>
      <c r="M6339">
        <v>39.299999999999997</v>
      </c>
      <c r="N6339">
        <v>12.7</v>
      </c>
      <c r="O6339">
        <v>26.6</v>
      </c>
      <c r="P6339">
        <v>26.1</v>
      </c>
      <c r="Q6339">
        <v>24.2</v>
      </c>
      <c r="R6339">
        <v>30.4</v>
      </c>
      <c r="S6339">
        <v>23.9</v>
      </c>
      <c r="T6339">
        <v>892</v>
      </c>
      <c r="U6339">
        <v>281</v>
      </c>
      <c r="V6339">
        <v>0</v>
      </c>
      <c r="W6339">
        <v>126</v>
      </c>
      <c r="X6339">
        <v>672</v>
      </c>
      <c r="Y6339">
        <v>0</v>
      </c>
      <c r="Z6339">
        <v>56</v>
      </c>
      <c r="AA6339">
        <v>4</v>
      </c>
      <c r="AB6339">
        <v>4.3878519999999996</v>
      </c>
      <c r="AC6339">
        <v>0.10225389999999999</v>
      </c>
      <c r="AD6339">
        <v>2.0036450000000001</v>
      </c>
      <c r="AE6339">
        <v>0.58176729999999999</v>
      </c>
      <c r="AF6339">
        <v>366.25299999999999</v>
      </c>
      <c r="AG6339">
        <f>IFERROR(AH6339*0.1, "N/A")</f>
        <v>5.7966270000000009</v>
      </c>
      <c r="AH6339">
        <v>57.966270000000002</v>
      </c>
      <c r="AI6339">
        <v>187.31469999999999</v>
      </c>
      <c r="AJ6339">
        <v>20.033729999999998</v>
      </c>
      <c r="AK6339">
        <v>47.865090000000002</v>
      </c>
    </row>
    <row r="6340" spans="1:37" x14ac:dyDescent="0.3">
      <c r="A6340">
        <v>6339</v>
      </c>
      <c r="B6340">
        <v>0</v>
      </c>
      <c r="C6340">
        <v>-8.0174000000000003</v>
      </c>
      <c r="D6340">
        <v>13.2517</v>
      </c>
      <c r="E6340">
        <f>-8.0174-13.2517</f>
        <v>-21.269100000000002</v>
      </c>
      <c r="F6340" t="s">
        <v>9776</v>
      </c>
      <c r="G6340" t="s">
        <v>37</v>
      </c>
      <c r="H6340">
        <v>1990</v>
      </c>
      <c r="I6340">
        <v>27</v>
      </c>
      <c r="J6340">
        <v>15.4</v>
      </c>
      <c r="K6340">
        <v>57</v>
      </c>
      <c r="L6340">
        <v>25.23</v>
      </c>
      <c r="M6340">
        <v>39.299999999999997</v>
      </c>
      <c r="N6340">
        <v>12.7</v>
      </c>
      <c r="O6340">
        <v>26.6</v>
      </c>
      <c r="P6340">
        <v>26.1</v>
      </c>
      <c r="Q6340">
        <v>24.2</v>
      </c>
      <c r="R6340">
        <v>30.4</v>
      </c>
      <c r="S6340">
        <v>23.9</v>
      </c>
      <c r="T6340">
        <v>892</v>
      </c>
      <c r="U6340">
        <v>281</v>
      </c>
      <c r="V6340">
        <v>0</v>
      </c>
      <c r="W6340">
        <v>126</v>
      </c>
      <c r="X6340">
        <v>672</v>
      </c>
      <c r="Y6340">
        <v>0</v>
      </c>
      <c r="Z6340">
        <v>56</v>
      </c>
      <c r="AA6340">
        <v>4</v>
      </c>
      <c r="AB6340">
        <v>4.3878519999999996</v>
      </c>
      <c r="AC6340">
        <v>0.10225389999999999</v>
      </c>
      <c r="AD6340">
        <v>2.0036450000000001</v>
      </c>
      <c r="AE6340">
        <v>0.58176729999999999</v>
      </c>
      <c r="AF6340">
        <v>366.25299999999999</v>
      </c>
      <c r="AG6340">
        <f>IFERROR(AH6340*0.1, "N/A")</f>
        <v>5.7966270000000009</v>
      </c>
      <c r="AH6340">
        <v>57.966270000000002</v>
      </c>
      <c r="AI6340">
        <v>187.31469999999999</v>
      </c>
      <c r="AJ6340">
        <v>20.033729999999998</v>
      </c>
      <c r="AK6340">
        <v>47.865090000000002</v>
      </c>
    </row>
    <row r="6341" spans="1:37" x14ac:dyDescent="0.3">
      <c r="A6341">
        <v>6340</v>
      </c>
      <c r="B6341">
        <v>5</v>
      </c>
      <c r="C6341">
        <v>-7.9401999999999999</v>
      </c>
      <c r="D6341">
        <v>13.2597</v>
      </c>
      <c r="E6341">
        <f>-7.9402-13.2597</f>
        <v>-21.1999</v>
      </c>
      <c r="F6341" t="s">
        <v>9777</v>
      </c>
      <c r="G6341" t="s">
        <v>39</v>
      </c>
      <c r="H6341">
        <v>1990</v>
      </c>
      <c r="I6341">
        <v>26.9</v>
      </c>
      <c r="J6341">
        <v>15.3</v>
      </c>
      <c r="K6341">
        <v>58</v>
      </c>
      <c r="L6341">
        <v>24.74</v>
      </c>
      <c r="M6341">
        <v>39</v>
      </c>
      <c r="N6341">
        <v>12.9</v>
      </c>
      <c r="O6341">
        <v>26.1</v>
      </c>
      <c r="P6341">
        <v>25.9</v>
      </c>
      <c r="Q6341">
        <v>24.2</v>
      </c>
      <c r="R6341">
        <v>30.2</v>
      </c>
      <c r="S6341">
        <v>23.9</v>
      </c>
      <c r="T6341">
        <v>880</v>
      </c>
      <c r="U6341">
        <v>277</v>
      </c>
      <c r="V6341">
        <v>0</v>
      </c>
      <c r="W6341">
        <v>126</v>
      </c>
      <c r="X6341">
        <v>663</v>
      </c>
      <c r="Y6341">
        <v>0</v>
      </c>
      <c r="Z6341">
        <v>55</v>
      </c>
      <c r="AA6341">
        <v>3</v>
      </c>
      <c r="AB6341">
        <v>1.004051</v>
      </c>
      <c r="AC6341">
        <v>5.5133380000000001</v>
      </c>
      <c r="AD6341">
        <v>2.2287439999999998</v>
      </c>
      <c r="AE6341">
        <v>0.67720590000000003</v>
      </c>
      <c r="AF6341">
        <v>393.28890000000001</v>
      </c>
      <c r="AG6341">
        <f>IFERROR(AH6341*0.1, "N/A")</f>
        <v>5.7</v>
      </c>
      <c r="AH6341">
        <v>57</v>
      </c>
      <c r="AI6341">
        <v>240.9162</v>
      </c>
      <c r="AJ6341">
        <v>24.5</v>
      </c>
      <c r="AK6341">
        <v>42</v>
      </c>
    </row>
    <row r="6342" spans="1:37" x14ac:dyDescent="0.3">
      <c r="A6342">
        <v>6341</v>
      </c>
      <c r="B6342">
        <v>0</v>
      </c>
      <c r="C6342">
        <v>-7.9401999999999999</v>
      </c>
      <c r="D6342">
        <v>13.2597</v>
      </c>
      <c r="E6342">
        <f>-7.9402-13.2597</f>
        <v>-21.1999</v>
      </c>
      <c r="F6342" t="s">
        <v>9778</v>
      </c>
      <c r="G6342" t="s">
        <v>37</v>
      </c>
      <c r="H6342">
        <v>1990</v>
      </c>
      <c r="I6342">
        <v>26.9</v>
      </c>
      <c r="J6342">
        <v>15.3</v>
      </c>
      <c r="K6342">
        <v>58</v>
      </c>
      <c r="L6342">
        <v>24.74</v>
      </c>
      <c r="M6342">
        <v>39</v>
      </c>
      <c r="N6342">
        <v>12.9</v>
      </c>
      <c r="O6342">
        <v>26.1</v>
      </c>
      <c r="P6342">
        <v>25.9</v>
      </c>
      <c r="Q6342">
        <v>24.2</v>
      </c>
      <c r="R6342">
        <v>30.2</v>
      </c>
      <c r="S6342">
        <v>23.9</v>
      </c>
      <c r="T6342">
        <v>880</v>
      </c>
      <c r="U6342">
        <v>277</v>
      </c>
      <c r="V6342">
        <v>0</v>
      </c>
      <c r="W6342">
        <v>126</v>
      </c>
      <c r="X6342">
        <v>663</v>
      </c>
      <c r="Y6342">
        <v>0</v>
      </c>
      <c r="Z6342">
        <v>55</v>
      </c>
      <c r="AA6342">
        <v>3</v>
      </c>
      <c r="AB6342">
        <v>1.004051</v>
      </c>
      <c r="AC6342">
        <v>5.5133380000000001</v>
      </c>
      <c r="AD6342">
        <v>2.2287439999999998</v>
      </c>
      <c r="AE6342">
        <v>0.67720590000000003</v>
      </c>
      <c r="AF6342">
        <v>393.28890000000001</v>
      </c>
      <c r="AG6342">
        <f>IFERROR(AH6342*0.1, "N/A")</f>
        <v>5.7</v>
      </c>
      <c r="AH6342">
        <v>57</v>
      </c>
      <c r="AI6342">
        <v>240.9162</v>
      </c>
      <c r="AJ6342">
        <v>24.5</v>
      </c>
      <c r="AK6342">
        <v>42</v>
      </c>
    </row>
    <row r="6343" spans="1:37" x14ac:dyDescent="0.3">
      <c r="A6343">
        <v>6342</v>
      </c>
      <c r="B6343">
        <v>21.6</v>
      </c>
      <c r="C6343">
        <v>-7.9215799999999996</v>
      </c>
      <c r="D6343">
        <v>13.2613</v>
      </c>
      <c r="E6343">
        <f>-7.92158-13.2613</f>
        <v>-21.182880000000001</v>
      </c>
      <c r="F6343" t="s">
        <v>9779</v>
      </c>
      <c r="G6343" t="s">
        <v>39</v>
      </c>
      <c r="H6343">
        <v>1990</v>
      </c>
      <c r="I6343">
        <v>26.8</v>
      </c>
      <c r="J6343">
        <v>15.3</v>
      </c>
      <c r="K6343">
        <v>58</v>
      </c>
      <c r="L6343">
        <v>24.64</v>
      </c>
      <c r="M6343">
        <v>39</v>
      </c>
      <c r="N6343">
        <v>12.8</v>
      </c>
      <c r="O6343">
        <v>26.2</v>
      </c>
      <c r="P6343">
        <v>25.9</v>
      </c>
      <c r="Q6343">
        <v>24.2</v>
      </c>
      <c r="R6343">
        <v>30.2</v>
      </c>
      <c r="S6343">
        <v>23.9</v>
      </c>
      <c r="T6343">
        <v>877</v>
      </c>
      <c r="U6343">
        <v>276</v>
      </c>
      <c r="V6343">
        <v>0</v>
      </c>
      <c r="W6343">
        <v>126</v>
      </c>
      <c r="X6343">
        <v>662</v>
      </c>
      <c r="Y6343">
        <v>0</v>
      </c>
      <c r="Z6343">
        <v>54</v>
      </c>
      <c r="AA6343">
        <v>3</v>
      </c>
      <c r="AB6343">
        <v>1.760402</v>
      </c>
      <c r="AC6343">
        <v>1.349961</v>
      </c>
      <c r="AD6343">
        <v>0.83823700000000001</v>
      </c>
      <c r="AE6343">
        <v>0.67240390000000005</v>
      </c>
      <c r="AF6343">
        <v>408.4264</v>
      </c>
      <c r="AG6343">
        <f>IFERROR(AH6343*0.1, "N/A")</f>
        <v>5.4126900000000004</v>
      </c>
      <c r="AH6343">
        <v>54.126899999999999</v>
      </c>
      <c r="AI6343">
        <v>177.3048</v>
      </c>
      <c r="AJ6343">
        <v>19</v>
      </c>
      <c r="AK6343">
        <v>48.50761</v>
      </c>
    </row>
    <row r="6344" spans="1:37" x14ac:dyDescent="0.3">
      <c r="A6344">
        <v>6343</v>
      </c>
      <c r="B6344">
        <v>0</v>
      </c>
      <c r="C6344">
        <v>-7.9215799999999996</v>
      </c>
      <c r="D6344">
        <v>13.2613</v>
      </c>
      <c r="E6344">
        <f>-7.92158-13.2613</f>
        <v>-21.182880000000001</v>
      </c>
      <c r="F6344" t="s">
        <v>9780</v>
      </c>
      <c r="G6344" t="s">
        <v>37</v>
      </c>
      <c r="H6344">
        <v>1990</v>
      </c>
      <c r="I6344">
        <v>26.8</v>
      </c>
      <c r="J6344">
        <v>15.3</v>
      </c>
      <c r="K6344">
        <v>58</v>
      </c>
      <c r="L6344">
        <v>24.64</v>
      </c>
      <c r="M6344">
        <v>39</v>
      </c>
      <c r="N6344">
        <v>12.8</v>
      </c>
      <c r="O6344">
        <v>26.2</v>
      </c>
      <c r="P6344">
        <v>25.9</v>
      </c>
      <c r="Q6344">
        <v>24.2</v>
      </c>
      <c r="R6344">
        <v>30.2</v>
      </c>
      <c r="S6344">
        <v>23.9</v>
      </c>
      <c r="T6344">
        <v>877</v>
      </c>
      <c r="U6344">
        <v>276</v>
      </c>
      <c r="V6344">
        <v>0</v>
      </c>
      <c r="W6344">
        <v>126</v>
      </c>
      <c r="X6344">
        <v>662</v>
      </c>
      <c r="Y6344">
        <v>0</v>
      </c>
      <c r="Z6344">
        <v>54</v>
      </c>
      <c r="AA6344">
        <v>3</v>
      </c>
      <c r="AB6344">
        <v>1.760402</v>
      </c>
      <c r="AC6344">
        <v>1.349961</v>
      </c>
      <c r="AD6344">
        <v>0.83823700000000001</v>
      </c>
      <c r="AE6344">
        <v>0.67240390000000005</v>
      </c>
      <c r="AF6344">
        <v>408.4264</v>
      </c>
      <c r="AG6344">
        <f>IFERROR(AH6344*0.1, "N/A")</f>
        <v>5.4126900000000004</v>
      </c>
      <c r="AH6344">
        <v>54.126899999999999</v>
      </c>
      <c r="AI6344">
        <v>177.3048</v>
      </c>
      <c r="AJ6344">
        <v>19</v>
      </c>
      <c r="AK6344">
        <v>48.50761</v>
      </c>
    </row>
    <row r="6345" spans="1:37" x14ac:dyDescent="0.3">
      <c r="A6345">
        <v>6344</v>
      </c>
      <c r="B6345">
        <v>75.8</v>
      </c>
      <c r="C6345">
        <v>-7.7994000000000003</v>
      </c>
      <c r="D6345">
        <v>13.2661</v>
      </c>
      <c r="E6345">
        <f>-7.7994-13.2661</f>
        <v>-21.0655</v>
      </c>
      <c r="F6345" t="s">
        <v>9781</v>
      </c>
      <c r="G6345" t="s">
        <v>39</v>
      </c>
      <c r="H6345">
        <v>1990</v>
      </c>
      <c r="I6345">
        <v>27.16328</v>
      </c>
      <c r="J6345">
        <v>15.3</v>
      </c>
      <c r="K6345">
        <v>58</v>
      </c>
      <c r="L6345">
        <v>24.817160000000001</v>
      </c>
      <c r="M6345">
        <v>39.299999999999997</v>
      </c>
      <c r="N6345">
        <v>13.16328</v>
      </c>
      <c r="O6345">
        <v>26.13672</v>
      </c>
      <c r="P6345">
        <v>26.19679</v>
      </c>
      <c r="Q6345">
        <v>24.4</v>
      </c>
      <c r="R6345">
        <v>30.5</v>
      </c>
      <c r="S6345">
        <v>24.166840000000001</v>
      </c>
      <c r="T6345">
        <v>850.16070000000002</v>
      </c>
      <c r="U6345">
        <v>268.03210000000001</v>
      </c>
      <c r="V6345">
        <v>0</v>
      </c>
      <c r="W6345">
        <v>126.9679</v>
      </c>
      <c r="X6345">
        <v>641.09640000000002</v>
      </c>
      <c r="Y6345">
        <v>0</v>
      </c>
      <c r="Z6345">
        <v>53.032150000000001</v>
      </c>
      <c r="AA6345">
        <v>3</v>
      </c>
      <c r="AB6345">
        <v>10.864459999999999</v>
      </c>
      <c r="AC6345">
        <v>1.6380720000000001E-2</v>
      </c>
      <c r="AD6345">
        <v>2.2885260000000001</v>
      </c>
      <c r="AE6345">
        <v>0.64795919999999996</v>
      </c>
      <c r="AF6345">
        <v>354.75970000000001</v>
      </c>
      <c r="AG6345">
        <f>IFERROR(AH6345*0.1, "N/A")</f>
        <v>6</v>
      </c>
      <c r="AH6345">
        <v>60</v>
      </c>
      <c r="AI6345">
        <v>63.654420000000002</v>
      </c>
      <c r="AJ6345">
        <v>27.094750000000001</v>
      </c>
      <c r="AK6345">
        <v>36.905250000000002</v>
      </c>
    </row>
    <row r="6346" spans="1:37" x14ac:dyDescent="0.3">
      <c r="A6346">
        <v>6345</v>
      </c>
      <c r="B6346">
        <v>0</v>
      </c>
      <c r="C6346">
        <v>-7.7994000000000003</v>
      </c>
      <c r="D6346">
        <v>13.2661</v>
      </c>
      <c r="E6346">
        <f>-7.7994-13.2661</f>
        <v>-21.0655</v>
      </c>
      <c r="F6346" t="s">
        <v>9782</v>
      </c>
      <c r="G6346" t="s">
        <v>37</v>
      </c>
      <c r="H6346">
        <v>1990</v>
      </c>
      <c r="I6346">
        <v>27.16328</v>
      </c>
      <c r="J6346">
        <v>15.3</v>
      </c>
      <c r="K6346">
        <v>58</v>
      </c>
      <c r="L6346">
        <v>24.817160000000001</v>
      </c>
      <c r="M6346">
        <v>39.299999999999997</v>
      </c>
      <c r="N6346">
        <v>13.16328</v>
      </c>
      <c r="O6346">
        <v>26.13672</v>
      </c>
      <c r="P6346">
        <v>26.19679</v>
      </c>
      <c r="Q6346">
        <v>24.4</v>
      </c>
      <c r="R6346">
        <v>30.5</v>
      </c>
      <c r="S6346">
        <v>24.166840000000001</v>
      </c>
      <c r="T6346">
        <v>850.16070000000002</v>
      </c>
      <c r="U6346">
        <v>268.03210000000001</v>
      </c>
      <c r="V6346">
        <v>0</v>
      </c>
      <c r="W6346">
        <v>126.9679</v>
      </c>
      <c r="X6346">
        <v>641.09640000000002</v>
      </c>
      <c r="Y6346">
        <v>0</v>
      </c>
      <c r="Z6346">
        <v>53.032150000000001</v>
      </c>
      <c r="AA6346">
        <v>3</v>
      </c>
      <c r="AB6346">
        <v>10.864459999999999</v>
      </c>
      <c r="AC6346">
        <v>1.6380720000000001E-2</v>
      </c>
      <c r="AD6346">
        <v>2.2885260000000001</v>
      </c>
      <c r="AE6346">
        <v>0.64795919999999996</v>
      </c>
      <c r="AF6346">
        <v>354.75970000000001</v>
      </c>
      <c r="AG6346">
        <f>IFERROR(AH6346*0.1, "N/A")</f>
        <v>6</v>
      </c>
      <c r="AH6346">
        <v>60</v>
      </c>
      <c r="AI6346">
        <v>63.654420000000002</v>
      </c>
      <c r="AJ6346">
        <v>27.094750000000001</v>
      </c>
      <c r="AK6346">
        <v>36.905250000000002</v>
      </c>
    </row>
    <row r="6347" spans="1:37" x14ac:dyDescent="0.3">
      <c r="A6347">
        <v>6346</v>
      </c>
      <c r="B6347">
        <v>17.600000000000001</v>
      </c>
      <c r="C6347">
        <v>-7.9692699999999999</v>
      </c>
      <c r="D6347">
        <v>13.274900000000001</v>
      </c>
      <c r="E6347">
        <f>-7.96927-13.2749</f>
        <v>-21.24417</v>
      </c>
      <c r="F6347" t="s">
        <v>9783</v>
      </c>
      <c r="G6347" t="s">
        <v>39</v>
      </c>
      <c r="H6347">
        <v>1990</v>
      </c>
      <c r="I6347">
        <v>26.9</v>
      </c>
      <c r="J6347">
        <v>15.4</v>
      </c>
      <c r="K6347">
        <v>58</v>
      </c>
      <c r="L6347">
        <v>24.751799999999999</v>
      </c>
      <c r="M6347">
        <v>39.079929999999997</v>
      </c>
      <c r="N6347">
        <v>12.8</v>
      </c>
      <c r="O6347">
        <v>26.27993</v>
      </c>
      <c r="P6347">
        <v>25.820070000000001</v>
      </c>
      <c r="Q6347">
        <v>24.2</v>
      </c>
      <c r="R6347">
        <v>30.27993</v>
      </c>
      <c r="S6347">
        <v>23.920069999999999</v>
      </c>
      <c r="T6347">
        <v>883.79930000000002</v>
      </c>
      <c r="U6347">
        <v>278</v>
      </c>
      <c r="V6347">
        <v>0</v>
      </c>
      <c r="W6347">
        <v>126</v>
      </c>
      <c r="X6347">
        <v>665.79930000000002</v>
      </c>
      <c r="Y6347">
        <v>0</v>
      </c>
      <c r="Z6347">
        <v>55</v>
      </c>
      <c r="AA6347">
        <v>4</v>
      </c>
      <c r="AB6347">
        <v>2.3522159999999999</v>
      </c>
      <c r="AC6347">
        <v>6.4225829999999998E-2</v>
      </c>
      <c r="AD6347">
        <v>1.464469</v>
      </c>
      <c r="AE6347">
        <v>0.67393289999999995</v>
      </c>
      <c r="AF6347">
        <v>409.5136</v>
      </c>
      <c r="AG6347">
        <f>IFERROR(AH6347*0.1, "N/A")</f>
        <v>5.4146260000000002</v>
      </c>
      <c r="AH6347">
        <v>54.146259999999998</v>
      </c>
      <c r="AI6347">
        <v>145.83459999999999</v>
      </c>
      <c r="AJ6347">
        <v>19.743200000000002</v>
      </c>
      <c r="AK6347">
        <v>46.846939999999996</v>
      </c>
    </row>
    <row r="6348" spans="1:37" x14ac:dyDescent="0.3">
      <c r="A6348">
        <v>6347</v>
      </c>
      <c r="B6348">
        <v>0</v>
      </c>
      <c r="C6348">
        <v>-7.9692699999999999</v>
      </c>
      <c r="D6348">
        <v>13.274900000000001</v>
      </c>
      <c r="E6348">
        <f>-7.96927-13.2749</f>
        <v>-21.24417</v>
      </c>
      <c r="F6348" t="s">
        <v>9784</v>
      </c>
      <c r="G6348" t="s">
        <v>37</v>
      </c>
      <c r="H6348">
        <v>1990</v>
      </c>
      <c r="I6348">
        <v>26.9</v>
      </c>
      <c r="J6348">
        <v>15.4</v>
      </c>
      <c r="K6348">
        <v>58</v>
      </c>
      <c r="L6348">
        <v>24.751799999999999</v>
      </c>
      <c r="M6348">
        <v>39.079929999999997</v>
      </c>
      <c r="N6348">
        <v>12.8</v>
      </c>
      <c r="O6348">
        <v>26.27993</v>
      </c>
      <c r="P6348">
        <v>25.820070000000001</v>
      </c>
      <c r="Q6348">
        <v>24.2</v>
      </c>
      <c r="R6348">
        <v>30.27993</v>
      </c>
      <c r="S6348">
        <v>23.920069999999999</v>
      </c>
      <c r="T6348">
        <v>883.79930000000002</v>
      </c>
      <c r="U6348">
        <v>278</v>
      </c>
      <c r="V6348">
        <v>0</v>
      </c>
      <c r="W6348">
        <v>126</v>
      </c>
      <c r="X6348">
        <v>665.79930000000002</v>
      </c>
      <c r="Y6348">
        <v>0</v>
      </c>
      <c r="Z6348">
        <v>55</v>
      </c>
      <c r="AA6348">
        <v>4</v>
      </c>
      <c r="AB6348">
        <v>2.3522159999999999</v>
      </c>
      <c r="AC6348">
        <v>6.4225829999999998E-2</v>
      </c>
      <c r="AD6348">
        <v>1.464469</v>
      </c>
      <c r="AE6348">
        <v>0.67393289999999995</v>
      </c>
      <c r="AF6348">
        <v>409.5136</v>
      </c>
      <c r="AG6348">
        <f>IFERROR(AH6348*0.1, "N/A")</f>
        <v>5.4146260000000002</v>
      </c>
      <c r="AH6348">
        <v>54.146259999999998</v>
      </c>
      <c r="AI6348">
        <v>145.83459999999999</v>
      </c>
      <c r="AJ6348">
        <v>19.743200000000002</v>
      </c>
      <c r="AK6348">
        <v>46.846939999999996</v>
      </c>
    </row>
    <row r="6349" spans="1:37" x14ac:dyDescent="0.3">
      <c r="A6349">
        <v>6348</v>
      </c>
      <c r="B6349">
        <v>56.5</v>
      </c>
      <c r="C6349">
        <v>-7.0332999999999997</v>
      </c>
      <c r="D6349">
        <v>13.283300000000001</v>
      </c>
      <c r="E6349">
        <f>-7.0333-13.2833</f>
        <v>-20.316600000000001</v>
      </c>
      <c r="F6349" t="s">
        <v>9785</v>
      </c>
      <c r="G6349" t="s">
        <v>39</v>
      </c>
      <c r="H6349">
        <v>1987</v>
      </c>
      <c r="I6349">
        <v>27.4</v>
      </c>
      <c r="J6349">
        <v>14.8</v>
      </c>
      <c r="K6349">
        <v>58</v>
      </c>
      <c r="L6349">
        <v>24.723389999999998</v>
      </c>
      <c r="M6349">
        <v>39.1</v>
      </c>
      <c r="N6349">
        <v>13.863390000000001</v>
      </c>
      <c r="O6349">
        <v>25.236609999999999</v>
      </c>
      <c r="P6349">
        <v>26.6</v>
      </c>
      <c r="Q6349">
        <v>24.6</v>
      </c>
      <c r="R6349">
        <v>30.7</v>
      </c>
      <c r="S6349">
        <v>24.4</v>
      </c>
      <c r="T6349">
        <v>716.43730000000005</v>
      </c>
      <c r="U6349">
        <v>235.43729999999999</v>
      </c>
      <c r="V6349">
        <v>0</v>
      </c>
      <c r="W6349">
        <v>130</v>
      </c>
      <c r="X6349">
        <v>550.43730000000005</v>
      </c>
      <c r="Y6349">
        <v>1</v>
      </c>
      <c r="Z6349">
        <v>130</v>
      </c>
      <c r="AA6349">
        <v>4</v>
      </c>
      <c r="AB6349">
        <v>0.61373449999999996</v>
      </c>
      <c r="AC6349">
        <v>1.7549990000000001E-2</v>
      </c>
      <c r="AD6349">
        <v>0.98313700000000004</v>
      </c>
      <c r="AE6349">
        <v>0.67547449999999998</v>
      </c>
      <c r="AF6349">
        <v>289.85590000000002</v>
      </c>
      <c r="AG6349">
        <f>IFERROR(AH6349*0.1, "N/A")</f>
        <v>5.679322</v>
      </c>
      <c r="AH6349">
        <v>56.793219999999998</v>
      </c>
      <c r="AI6349">
        <v>96.549210000000002</v>
      </c>
      <c r="AJ6349">
        <v>22.896609999999999</v>
      </c>
      <c r="AK6349">
        <v>51</v>
      </c>
    </row>
    <row r="6350" spans="1:37" x14ac:dyDescent="0.3">
      <c r="A6350">
        <v>6349</v>
      </c>
      <c r="B6350">
        <v>8.1</v>
      </c>
      <c r="C6350">
        <v>-7.0332999999999997</v>
      </c>
      <c r="D6350">
        <v>13.283300000000001</v>
      </c>
      <c r="E6350">
        <f>-7.0333-13.2833</f>
        <v>-20.316600000000001</v>
      </c>
      <c r="F6350" t="s">
        <v>9786</v>
      </c>
      <c r="G6350" t="s">
        <v>37</v>
      </c>
      <c r="H6350">
        <v>1987</v>
      </c>
      <c r="I6350">
        <v>27.4</v>
      </c>
      <c r="J6350">
        <v>14.8</v>
      </c>
      <c r="K6350">
        <v>58</v>
      </c>
      <c r="L6350">
        <v>24.723389999999998</v>
      </c>
      <c r="M6350">
        <v>39.1</v>
      </c>
      <c r="N6350">
        <v>13.863390000000001</v>
      </c>
      <c r="O6350">
        <v>25.236609999999999</v>
      </c>
      <c r="P6350">
        <v>26.6</v>
      </c>
      <c r="Q6350">
        <v>24.6</v>
      </c>
      <c r="R6350">
        <v>30.7</v>
      </c>
      <c r="S6350">
        <v>24.4</v>
      </c>
      <c r="T6350">
        <v>716.43730000000005</v>
      </c>
      <c r="U6350">
        <v>235.43729999999999</v>
      </c>
      <c r="V6350">
        <v>0</v>
      </c>
      <c r="W6350">
        <v>130</v>
      </c>
      <c r="X6350">
        <v>550.43730000000005</v>
      </c>
      <c r="Y6350">
        <v>1</v>
      </c>
      <c r="Z6350">
        <v>130</v>
      </c>
      <c r="AA6350">
        <v>4</v>
      </c>
      <c r="AB6350">
        <v>0.61373449999999996</v>
      </c>
      <c r="AC6350">
        <v>1.7549990000000001E-2</v>
      </c>
      <c r="AD6350">
        <v>0.98313700000000004</v>
      </c>
      <c r="AE6350">
        <v>0.67547449999999998</v>
      </c>
      <c r="AF6350">
        <v>289.85590000000002</v>
      </c>
      <c r="AG6350">
        <f>IFERROR(AH6350*0.1, "N/A")</f>
        <v>5.679322</v>
      </c>
      <c r="AH6350">
        <v>56.793219999999998</v>
      </c>
      <c r="AI6350">
        <v>96.549210000000002</v>
      </c>
      <c r="AJ6350">
        <v>22.896609999999999</v>
      </c>
      <c r="AK6350">
        <v>51</v>
      </c>
    </row>
    <row r="6351" spans="1:37" x14ac:dyDescent="0.3">
      <c r="A6351">
        <v>6350</v>
      </c>
      <c r="B6351">
        <v>22.3</v>
      </c>
      <c r="C6351">
        <v>-7.9508000000000001</v>
      </c>
      <c r="D6351">
        <v>13.2866</v>
      </c>
      <c r="E6351">
        <f>-7.9508-13.2866</f>
        <v>-21.237400000000001</v>
      </c>
      <c r="F6351" t="s">
        <v>9787</v>
      </c>
      <c r="G6351" t="s">
        <v>39</v>
      </c>
      <c r="H6351">
        <v>1990</v>
      </c>
      <c r="I6351">
        <v>26.8</v>
      </c>
      <c r="J6351">
        <v>15.39847</v>
      </c>
      <c r="K6351">
        <v>58</v>
      </c>
      <c r="L6351">
        <v>24.438929999999999</v>
      </c>
      <c r="M6351">
        <v>38.9</v>
      </c>
      <c r="N6351">
        <v>12.7</v>
      </c>
      <c r="O6351">
        <v>26.2</v>
      </c>
      <c r="P6351">
        <v>25.89847</v>
      </c>
      <c r="Q6351">
        <v>24.1</v>
      </c>
      <c r="R6351">
        <v>30.1</v>
      </c>
      <c r="S6351">
        <v>23.9</v>
      </c>
      <c r="T6351">
        <v>878.96939999999995</v>
      </c>
      <c r="U6351">
        <v>276.98469999999998</v>
      </c>
      <c r="V6351">
        <v>0</v>
      </c>
      <c r="W6351">
        <v>125.9847</v>
      </c>
      <c r="X6351">
        <v>662.96939999999995</v>
      </c>
      <c r="Y6351">
        <v>0</v>
      </c>
      <c r="Z6351">
        <v>54</v>
      </c>
      <c r="AA6351">
        <v>4</v>
      </c>
      <c r="AB6351">
        <v>1.988111</v>
      </c>
      <c r="AC6351">
        <v>5.5860430000000003E-2</v>
      </c>
      <c r="AD6351">
        <v>1.4358340000000001</v>
      </c>
      <c r="AE6351">
        <v>0.68275189999999997</v>
      </c>
      <c r="AF6351">
        <v>414.74869999999999</v>
      </c>
      <c r="AG6351">
        <f>IFERROR(AH6351*0.1, "N/A")</f>
        <v>5.6969440000000002</v>
      </c>
      <c r="AH6351">
        <v>56.969439999999999</v>
      </c>
      <c r="AI6351">
        <v>138.68209999999999</v>
      </c>
      <c r="AJ6351">
        <v>17.26146</v>
      </c>
      <c r="AK6351">
        <v>53.707979999999999</v>
      </c>
    </row>
    <row r="6352" spans="1:37" x14ac:dyDescent="0.3">
      <c r="A6352">
        <v>6351</v>
      </c>
      <c r="B6352">
        <v>0.7</v>
      </c>
      <c r="C6352">
        <v>-7.9508000000000001</v>
      </c>
      <c r="D6352">
        <v>13.2866</v>
      </c>
      <c r="E6352">
        <f>-7.9508-13.2866</f>
        <v>-21.237400000000001</v>
      </c>
      <c r="F6352" t="s">
        <v>9788</v>
      </c>
      <c r="G6352" t="s">
        <v>37</v>
      </c>
      <c r="H6352">
        <v>1990</v>
      </c>
      <c r="I6352">
        <v>26.8</v>
      </c>
      <c r="J6352">
        <v>15.39847</v>
      </c>
      <c r="K6352">
        <v>58</v>
      </c>
      <c r="L6352">
        <v>24.438929999999999</v>
      </c>
      <c r="M6352">
        <v>38.9</v>
      </c>
      <c r="N6352">
        <v>12.7</v>
      </c>
      <c r="O6352">
        <v>26.2</v>
      </c>
      <c r="P6352">
        <v>25.89847</v>
      </c>
      <c r="Q6352">
        <v>24.1</v>
      </c>
      <c r="R6352">
        <v>30.1</v>
      </c>
      <c r="S6352">
        <v>23.9</v>
      </c>
      <c r="T6352">
        <v>878.96939999999995</v>
      </c>
      <c r="U6352">
        <v>276.98469999999998</v>
      </c>
      <c r="V6352">
        <v>0</v>
      </c>
      <c r="W6352">
        <v>125.9847</v>
      </c>
      <c r="X6352">
        <v>662.96939999999995</v>
      </c>
      <c r="Y6352">
        <v>0</v>
      </c>
      <c r="Z6352">
        <v>54</v>
      </c>
      <c r="AA6352">
        <v>4</v>
      </c>
      <c r="AB6352">
        <v>1.988111</v>
      </c>
      <c r="AC6352">
        <v>5.5860430000000003E-2</v>
      </c>
      <c r="AD6352">
        <v>1.4358340000000001</v>
      </c>
      <c r="AE6352">
        <v>0.68275189999999997</v>
      </c>
      <c r="AF6352">
        <v>414.74869999999999</v>
      </c>
      <c r="AG6352">
        <f>IFERROR(AH6352*0.1, "N/A")</f>
        <v>5.6969440000000002</v>
      </c>
      <c r="AH6352">
        <v>56.969439999999999</v>
      </c>
      <c r="AI6352">
        <v>138.68209999999999</v>
      </c>
      <c r="AJ6352">
        <v>17.26146</v>
      </c>
      <c r="AK6352">
        <v>53.707979999999999</v>
      </c>
    </row>
    <row r="6353" spans="1:37" x14ac:dyDescent="0.3">
      <c r="A6353">
        <v>6352</v>
      </c>
      <c r="B6353">
        <v>68.2</v>
      </c>
      <c r="C6353">
        <v>-7.8305999999999996</v>
      </c>
      <c r="D6353">
        <v>13.2906</v>
      </c>
      <c r="E6353">
        <f>-7.8306-13.2906</f>
        <v>-21.121199999999998</v>
      </c>
      <c r="F6353" t="s">
        <v>9789</v>
      </c>
      <c r="G6353" t="s">
        <v>39</v>
      </c>
      <c r="H6353">
        <v>1990</v>
      </c>
      <c r="I6353">
        <v>27.1</v>
      </c>
      <c r="J6353">
        <v>15.3</v>
      </c>
      <c r="K6353">
        <v>58</v>
      </c>
      <c r="L6353">
        <v>24.37</v>
      </c>
      <c r="M6353">
        <v>39.299999999999997</v>
      </c>
      <c r="N6353">
        <v>13.1</v>
      </c>
      <c r="O6353">
        <v>26.2</v>
      </c>
      <c r="P6353">
        <v>26.2</v>
      </c>
      <c r="Q6353">
        <v>24.4</v>
      </c>
      <c r="R6353">
        <v>30.4</v>
      </c>
      <c r="S6353">
        <v>24.2</v>
      </c>
      <c r="T6353">
        <v>854</v>
      </c>
      <c r="U6353">
        <v>269</v>
      </c>
      <c r="V6353">
        <v>0</v>
      </c>
      <c r="W6353">
        <v>126</v>
      </c>
      <c r="X6353">
        <v>644</v>
      </c>
      <c r="Y6353">
        <v>0</v>
      </c>
      <c r="Z6353">
        <v>53</v>
      </c>
      <c r="AA6353">
        <v>3</v>
      </c>
      <c r="AB6353">
        <v>4.2952529999999998</v>
      </c>
      <c r="AC6353">
        <v>8.3233330000000005E-3</v>
      </c>
      <c r="AD6353">
        <v>1.9153690000000001</v>
      </c>
      <c r="AE6353">
        <v>0.64765720000000004</v>
      </c>
      <c r="AF6353">
        <v>362.41789999999997</v>
      </c>
      <c r="AG6353">
        <f>IFERROR(AH6353*0.1, "N/A")</f>
        <v>5.8538069999999998</v>
      </c>
      <c r="AH6353">
        <v>58.538069999999998</v>
      </c>
      <c r="AI6353">
        <v>166.58709999999999</v>
      </c>
      <c r="AJ6353">
        <v>23.538070000000001</v>
      </c>
      <c r="AK6353">
        <v>42.38579</v>
      </c>
    </row>
    <row r="6354" spans="1:37" x14ac:dyDescent="0.3">
      <c r="A6354">
        <v>6353</v>
      </c>
      <c r="B6354">
        <v>0</v>
      </c>
      <c r="C6354">
        <v>-7.8305999999999996</v>
      </c>
      <c r="D6354">
        <v>13.2906</v>
      </c>
      <c r="E6354">
        <f>-7.8306-13.2906</f>
        <v>-21.121199999999998</v>
      </c>
      <c r="F6354" t="s">
        <v>9790</v>
      </c>
      <c r="G6354" t="s">
        <v>37</v>
      </c>
      <c r="H6354">
        <v>1990</v>
      </c>
      <c r="I6354">
        <v>27.1</v>
      </c>
      <c r="J6354">
        <v>15.3</v>
      </c>
      <c r="K6354">
        <v>58</v>
      </c>
      <c r="L6354">
        <v>24.37</v>
      </c>
      <c r="M6354">
        <v>39.299999999999997</v>
      </c>
      <c r="N6354">
        <v>13.1</v>
      </c>
      <c r="O6354">
        <v>26.2</v>
      </c>
      <c r="P6354">
        <v>26.2</v>
      </c>
      <c r="Q6354">
        <v>24.4</v>
      </c>
      <c r="R6354">
        <v>30.4</v>
      </c>
      <c r="S6354">
        <v>24.2</v>
      </c>
      <c r="T6354">
        <v>854</v>
      </c>
      <c r="U6354">
        <v>269</v>
      </c>
      <c r="V6354">
        <v>0</v>
      </c>
      <c r="W6354">
        <v>126</v>
      </c>
      <c r="X6354">
        <v>644</v>
      </c>
      <c r="Y6354">
        <v>0</v>
      </c>
      <c r="Z6354">
        <v>53</v>
      </c>
      <c r="AA6354">
        <v>3</v>
      </c>
      <c r="AB6354">
        <v>4.2952529999999998</v>
      </c>
      <c r="AC6354">
        <v>8.3233330000000005E-3</v>
      </c>
      <c r="AD6354">
        <v>1.9153690000000001</v>
      </c>
      <c r="AE6354">
        <v>0.64765720000000004</v>
      </c>
      <c r="AF6354">
        <v>362.41789999999997</v>
      </c>
      <c r="AG6354">
        <f>IFERROR(AH6354*0.1, "N/A")</f>
        <v>5.8538069999999998</v>
      </c>
      <c r="AH6354">
        <v>58.538069999999998</v>
      </c>
      <c r="AI6354">
        <v>166.58709999999999</v>
      </c>
      <c r="AJ6354">
        <v>23.538070000000001</v>
      </c>
      <c r="AK6354">
        <v>42.38579</v>
      </c>
    </row>
    <row r="6355" spans="1:37" x14ac:dyDescent="0.3">
      <c r="A6355">
        <v>6354</v>
      </c>
      <c r="B6355">
        <v>34.1</v>
      </c>
      <c r="C6355">
        <v>-10.5693</v>
      </c>
      <c r="D6355">
        <v>13.300800000000001</v>
      </c>
      <c r="E6355">
        <f>-10.5693-13.3008</f>
        <v>-23.870100000000001</v>
      </c>
      <c r="F6355" t="s">
        <v>9791</v>
      </c>
      <c r="G6355" t="s">
        <v>39</v>
      </c>
      <c r="H6355">
        <v>1990</v>
      </c>
      <c r="I6355">
        <v>28</v>
      </c>
      <c r="J6355">
        <v>13.3</v>
      </c>
      <c r="K6355">
        <v>60</v>
      </c>
      <c r="L6355">
        <v>19.98</v>
      </c>
      <c r="M6355">
        <v>38.9</v>
      </c>
      <c r="N6355">
        <v>16.899999999999999</v>
      </c>
      <c r="O6355">
        <v>22</v>
      </c>
      <c r="P6355">
        <v>26.7</v>
      </c>
      <c r="Q6355">
        <v>27.7</v>
      </c>
      <c r="R6355">
        <v>31</v>
      </c>
      <c r="S6355">
        <v>26.1</v>
      </c>
      <c r="T6355">
        <v>939</v>
      </c>
      <c r="U6355">
        <v>280</v>
      </c>
      <c r="V6355">
        <v>0</v>
      </c>
      <c r="W6355">
        <v>124</v>
      </c>
      <c r="X6355">
        <v>694</v>
      </c>
      <c r="Y6355">
        <v>0</v>
      </c>
      <c r="Z6355">
        <v>41</v>
      </c>
      <c r="AA6355">
        <v>4</v>
      </c>
      <c r="AB6355">
        <v>9.4542260000000002</v>
      </c>
      <c r="AC6355">
        <v>1.1936169999999999E-2</v>
      </c>
      <c r="AD6355">
        <v>0.9531463</v>
      </c>
      <c r="AE6355">
        <v>0.66989670000000001</v>
      </c>
      <c r="AF6355">
        <v>167.95099999999999</v>
      </c>
      <c r="AG6355">
        <f>IFERROR(AH6355*0.1, "N/A")</f>
        <v>6.3000000000000007</v>
      </c>
      <c r="AH6355">
        <v>63</v>
      </c>
      <c r="AI6355">
        <v>147.0763</v>
      </c>
      <c r="AJ6355">
        <v>16.32432</v>
      </c>
      <c r="AK6355">
        <v>55.048990000000003</v>
      </c>
    </row>
    <row r="6356" spans="1:37" x14ac:dyDescent="0.3">
      <c r="A6356">
        <v>6355</v>
      </c>
      <c r="B6356">
        <v>5.3</v>
      </c>
      <c r="C6356">
        <v>-10.5693</v>
      </c>
      <c r="D6356">
        <v>13.300800000000001</v>
      </c>
      <c r="E6356">
        <f>-10.5693-13.3008</f>
        <v>-23.870100000000001</v>
      </c>
      <c r="F6356" t="s">
        <v>9792</v>
      </c>
      <c r="G6356" t="s">
        <v>37</v>
      </c>
      <c r="H6356">
        <v>1990</v>
      </c>
      <c r="I6356">
        <v>28</v>
      </c>
      <c r="J6356">
        <v>13.3</v>
      </c>
      <c r="K6356">
        <v>60</v>
      </c>
      <c r="L6356">
        <v>19.98</v>
      </c>
      <c r="M6356">
        <v>38.9</v>
      </c>
      <c r="N6356">
        <v>16.899999999999999</v>
      </c>
      <c r="O6356">
        <v>22</v>
      </c>
      <c r="P6356">
        <v>26.7</v>
      </c>
      <c r="Q6356">
        <v>27.7</v>
      </c>
      <c r="R6356">
        <v>31</v>
      </c>
      <c r="S6356">
        <v>26.1</v>
      </c>
      <c r="T6356">
        <v>939</v>
      </c>
      <c r="U6356">
        <v>280</v>
      </c>
      <c r="V6356">
        <v>0</v>
      </c>
      <c r="W6356">
        <v>124</v>
      </c>
      <c r="X6356">
        <v>694</v>
      </c>
      <c r="Y6356">
        <v>0</v>
      </c>
      <c r="Z6356">
        <v>41</v>
      </c>
      <c r="AA6356">
        <v>4</v>
      </c>
      <c r="AB6356">
        <v>9.4542260000000002</v>
      </c>
      <c r="AC6356">
        <v>1.1936169999999999E-2</v>
      </c>
      <c r="AD6356">
        <v>0.9531463</v>
      </c>
      <c r="AE6356">
        <v>0.66989670000000001</v>
      </c>
      <c r="AF6356">
        <v>167.95099999999999</v>
      </c>
      <c r="AG6356">
        <f>IFERROR(AH6356*0.1, "N/A")</f>
        <v>6.3000000000000007</v>
      </c>
      <c r="AH6356">
        <v>63</v>
      </c>
      <c r="AI6356">
        <v>147.0763</v>
      </c>
      <c r="AJ6356">
        <v>16.32432</v>
      </c>
      <c r="AK6356">
        <v>55.048990000000003</v>
      </c>
    </row>
    <row r="6357" spans="1:37" x14ac:dyDescent="0.3">
      <c r="A6357">
        <v>6356</v>
      </c>
      <c r="B6357">
        <v>46.4</v>
      </c>
      <c r="C6357">
        <v>-4.8956099999999996</v>
      </c>
      <c r="D6357">
        <v>13.3033</v>
      </c>
      <c r="E6357">
        <f>-4.89561-13.3033</f>
        <v>-18.198909999999998</v>
      </c>
      <c r="F6357" t="s">
        <v>9793</v>
      </c>
      <c r="G6357" t="s">
        <v>39</v>
      </c>
      <c r="H6357">
        <v>1990</v>
      </c>
      <c r="I6357">
        <v>27.9</v>
      </c>
      <c r="J6357">
        <v>14.4</v>
      </c>
      <c r="K6357">
        <v>56</v>
      </c>
      <c r="L6357">
        <v>26.35</v>
      </c>
      <c r="M6357">
        <v>39.6</v>
      </c>
      <c r="N6357">
        <v>14.1</v>
      </c>
      <c r="O6357">
        <v>25.5</v>
      </c>
      <c r="P6357">
        <v>27.1</v>
      </c>
      <c r="Q6357">
        <v>24.7</v>
      </c>
      <c r="R6357">
        <v>31.5</v>
      </c>
      <c r="S6357">
        <v>24.7</v>
      </c>
      <c r="T6357">
        <v>697</v>
      </c>
      <c r="U6357">
        <v>217</v>
      </c>
      <c r="V6357">
        <v>0</v>
      </c>
      <c r="W6357">
        <v>123</v>
      </c>
      <c r="X6357">
        <v>519</v>
      </c>
      <c r="Y6357">
        <v>1</v>
      </c>
      <c r="Z6357">
        <v>143</v>
      </c>
      <c r="AA6357">
        <v>1</v>
      </c>
      <c r="AB6357">
        <v>3.7059229999999999</v>
      </c>
      <c r="AC6357">
        <v>1.347722E-2</v>
      </c>
      <c r="AD6357">
        <v>0.52474690000000002</v>
      </c>
      <c r="AE6357">
        <v>0.82527799999999996</v>
      </c>
      <c r="AF6357">
        <v>280.32319999999999</v>
      </c>
      <c r="AG6357">
        <f>IFERROR(AH6357*0.1, "N/A")</f>
        <v>6.2179360000000008</v>
      </c>
      <c r="AH6357">
        <v>62.179360000000003</v>
      </c>
      <c r="AI6357">
        <v>112.7825</v>
      </c>
      <c r="AJ6357">
        <v>32.104909999999997</v>
      </c>
      <c r="AK6357">
        <v>45.959389999999999</v>
      </c>
    </row>
    <row r="6358" spans="1:37" x14ac:dyDescent="0.3">
      <c r="A6358">
        <v>6357</v>
      </c>
      <c r="B6358">
        <v>2.2000000000000002</v>
      </c>
      <c r="C6358">
        <v>-4.8956099999999996</v>
      </c>
      <c r="D6358">
        <v>13.3033</v>
      </c>
      <c r="E6358">
        <f>-4.89561-13.3033</f>
        <v>-18.198909999999998</v>
      </c>
      <c r="F6358" t="s">
        <v>9794</v>
      </c>
      <c r="G6358" t="s">
        <v>37</v>
      </c>
      <c r="H6358">
        <v>1990</v>
      </c>
      <c r="I6358">
        <v>27.9</v>
      </c>
      <c r="J6358">
        <v>14.4</v>
      </c>
      <c r="K6358">
        <v>56</v>
      </c>
      <c r="L6358">
        <v>26.35</v>
      </c>
      <c r="M6358">
        <v>39.6</v>
      </c>
      <c r="N6358">
        <v>14.1</v>
      </c>
      <c r="O6358">
        <v>25.5</v>
      </c>
      <c r="P6358">
        <v>27.1</v>
      </c>
      <c r="Q6358">
        <v>24.7</v>
      </c>
      <c r="R6358">
        <v>31.5</v>
      </c>
      <c r="S6358">
        <v>24.7</v>
      </c>
      <c r="T6358">
        <v>697</v>
      </c>
      <c r="U6358">
        <v>217</v>
      </c>
      <c r="V6358">
        <v>0</v>
      </c>
      <c r="W6358">
        <v>123</v>
      </c>
      <c r="X6358">
        <v>519</v>
      </c>
      <c r="Y6358">
        <v>1</v>
      </c>
      <c r="Z6358">
        <v>143</v>
      </c>
      <c r="AA6358">
        <v>1</v>
      </c>
      <c r="AB6358">
        <v>3.7059229999999999</v>
      </c>
      <c r="AC6358">
        <v>1.347722E-2</v>
      </c>
      <c r="AD6358">
        <v>0.52474690000000002</v>
      </c>
      <c r="AE6358">
        <v>0.82527799999999996</v>
      </c>
      <c r="AF6358">
        <v>280.32319999999999</v>
      </c>
      <c r="AG6358">
        <f>IFERROR(AH6358*0.1, "N/A")</f>
        <v>6.2179360000000008</v>
      </c>
      <c r="AH6358">
        <v>62.179360000000003</v>
      </c>
      <c r="AI6358">
        <v>112.7825</v>
      </c>
      <c r="AJ6358">
        <v>32.104909999999997</v>
      </c>
      <c r="AK6358">
        <v>45.959389999999999</v>
      </c>
    </row>
    <row r="6359" spans="1:37" x14ac:dyDescent="0.3">
      <c r="A6359">
        <v>6358</v>
      </c>
      <c r="B6359">
        <v>18</v>
      </c>
      <c r="C6359">
        <v>-3.3839000000000001</v>
      </c>
      <c r="D6359">
        <v>13.305</v>
      </c>
      <c r="E6359">
        <f>-3.3839-13.305</f>
        <v>-16.6889</v>
      </c>
      <c r="F6359" t="s">
        <v>9795</v>
      </c>
      <c r="G6359" t="s">
        <v>39</v>
      </c>
      <c r="H6359">
        <v>1990</v>
      </c>
      <c r="I6359">
        <v>28.5</v>
      </c>
      <c r="J6359">
        <v>13.3</v>
      </c>
      <c r="K6359">
        <v>58</v>
      </c>
      <c r="L6359">
        <v>24.66</v>
      </c>
      <c r="M6359">
        <v>39.5</v>
      </c>
      <c r="N6359">
        <v>16.899999999999999</v>
      </c>
      <c r="O6359">
        <v>22.6</v>
      </c>
      <c r="P6359">
        <v>27.4</v>
      </c>
      <c r="Q6359">
        <v>27.3</v>
      </c>
      <c r="R6359">
        <v>31.8</v>
      </c>
      <c r="S6359">
        <v>25.6</v>
      </c>
      <c r="T6359">
        <v>610</v>
      </c>
      <c r="U6359">
        <v>191</v>
      </c>
      <c r="V6359">
        <v>0</v>
      </c>
      <c r="W6359">
        <v>128</v>
      </c>
      <c r="X6359">
        <v>459</v>
      </c>
      <c r="Y6359">
        <v>1</v>
      </c>
      <c r="Z6359">
        <v>123</v>
      </c>
      <c r="AA6359">
        <v>1</v>
      </c>
      <c r="AB6359">
        <v>1.1269100000000001</v>
      </c>
      <c r="AC6359">
        <v>2.491225E-2</v>
      </c>
      <c r="AD6359">
        <v>1.404728</v>
      </c>
      <c r="AE6359">
        <v>0.26654169999999999</v>
      </c>
      <c r="AF6359">
        <v>255.0711</v>
      </c>
      <c r="AG6359">
        <f>IFERROR(AH6359*0.1, "N/A")</f>
        <v>6.2</v>
      </c>
      <c r="AH6359">
        <v>62</v>
      </c>
      <c r="AI6359">
        <v>167.02610000000001</v>
      </c>
      <c r="AJ6359">
        <v>26</v>
      </c>
      <c r="AK6359">
        <v>52</v>
      </c>
    </row>
    <row r="6360" spans="1:37" x14ac:dyDescent="0.3">
      <c r="A6360">
        <v>6359</v>
      </c>
      <c r="B6360">
        <v>0.6</v>
      </c>
      <c r="C6360">
        <v>-3.3839000000000001</v>
      </c>
      <c r="D6360">
        <v>13.305</v>
      </c>
      <c r="E6360">
        <f>-3.3839-13.305</f>
        <v>-16.6889</v>
      </c>
      <c r="F6360" t="s">
        <v>9796</v>
      </c>
      <c r="G6360" t="s">
        <v>37</v>
      </c>
      <c r="H6360">
        <v>1990</v>
      </c>
      <c r="I6360">
        <v>28.5</v>
      </c>
      <c r="J6360">
        <v>13.3</v>
      </c>
      <c r="K6360">
        <v>58</v>
      </c>
      <c r="L6360">
        <v>24.66</v>
      </c>
      <c r="M6360">
        <v>39.5</v>
      </c>
      <c r="N6360">
        <v>16.899999999999999</v>
      </c>
      <c r="O6360">
        <v>22.6</v>
      </c>
      <c r="P6360">
        <v>27.4</v>
      </c>
      <c r="Q6360">
        <v>27.3</v>
      </c>
      <c r="R6360">
        <v>31.8</v>
      </c>
      <c r="S6360">
        <v>25.6</v>
      </c>
      <c r="T6360">
        <v>610</v>
      </c>
      <c r="U6360">
        <v>191</v>
      </c>
      <c r="V6360">
        <v>0</v>
      </c>
      <c r="W6360">
        <v>128</v>
      </c>
      <c r="X6360">
        <v>459</v>
      </c>
      <c r="Y6360">
        <v>1</v>
      </c>
      <c r="Z6360">
        <v>123</v>
      </c>
      <c r="AA6360">
        <v>1</v>
      </c>
      <c r="AB6360">
        <v>1.1269100000000001</v>
      </c>
      <c r="AC6360">
        <v>2.491225E-2</v>
      </c>
      <c r="AD6360">
        <v>1.404728</v>
      </c>
      <c r="AE6360">
        <v>0.26654169999999999</v>
      </c>
      <c r="AF6360">
        <v>255.0711</v>
      </c>
      <c r="AG6360">
        <f>IFERROR(AH6360*0.1, "N/A")</f>
        <v>6.2</v>
      </c>
      <c r="AH6360">
        <v>62</v>
      </c>
      <c r="AI6360">
        <v>167.02610000000001</v>
      </c>
      <c r="AJ6360">
        <v>26</v>
      </c>
      <c r="AK6360">
        <v>52</v>
      </c>
    </row>
    <row r="6361" spans="1:37" x14ac:dyDescent="0.3">
      <c r="A6361">
        <v>6360</v>
      </c>
      <c r="B6361">
        <v>50.4</v>
      </c>
      <c r="C6361">
        <v>-7.8855599999999999</v>
      </c>
      <c r="D6361">
        <v>13.310700000000001</v>
      </c>
      <c r="E6361">
        <f>-7.88556-13.3107</f>
        <v>-21.196260000000002</v>
      </c>
      <c r="F6361" t="s">
        <v>9797</v>
      </c>
      <c r="G6361" t="s">
        <v>39</v>
      </c>
      <c r="H6361">
        <v>1990</v>
      </c>
      <c r="I6361">
        <v>27</v>
      </c>
      <c r="J6361">
        <v>15.4</v>
      </c>
      <c r="K6361">
        <v>58</v>
      </c>
      <c r="L6361">
        <v>24.58</v>
      </c>
      <c r="M6361">
        <v>39.200000000000003</v>
      </c>
      <c r="N6361">
        <v>12.9</v>
      </c>
      <c r="O6361">
        <v>26.3</v>
      </c>
      <c r="P6361">
        <v>26.1</v>
      </c>
      <c r="Q6361">
        <v>24.3</v>
      </c>
      <c r="R6361">
        <v>30.3</v>
      </c>
      <c r="S6361">
        <v>24.1</v>
      </c>
      <c r="T6361">
        <v>860</v>
      </c>
      <c r="U6361">
        <v>271</v>
      </c>
      <c r="V6361">
        <v>0</v>
      </c>
      <c r="W6361">
        <v>126</v>
      </c>
      <c r="X6361">
        <v>648</v>
      </c>
      <c r="Y6361">
        <v>1</v>
      </c>
      <c r="Z6361">
        <v>54</v>
      </c>
      <c r="AA6361">
        <v>4</v>
      </c>
      <c r="AB6361">
        <v>2.6115339999999998</v>
      </c>
      <c r="AC6361">
        <v>8.322655E-3</v>
      </c>
      <c r="AD6361">
        <v>1.0131220000000001</v>
      </c>
      <c r="AE6361">
        <v>0.5738915</v>
      </c>
      <c r="AF6361">
        <v>378.06779999999998</v>
      </c>
      <c r="AG6361">
        <f>IFERROR(AH6361*0.1, "N/A")</f>
        <v>5.8864410000000005</v>
      </c>
      <c r="AH6361">
        <v>58.864409999999999</v>
      </c>
      <c r="AI6361">
        <v>97.873890000000003</v>
      </c>
      <c r="AJ6361">
        <v>18.518640000000001</v>
      </c>
      <c r="AK6361">
        <v>53.259320000000002</v>
      </c>
    </row>
    <row r="6362" spans="1:37" x14ac:dyDescent="0.3">
      <c r="A6362">
        <v>6361</v>
      </c>
      <c r="B6362">
        <v>1.3</v>
      </c>
      <c r="C6362">
        <v>-7.8855599999999999</v>
      </c>
      <c r="D6362">
        <v>13.310700000000001</v>
      </c>
      <c r="E6362">
        <f>-7.88556-13.3107</f>
        <v>-21.196260000000002</v>
      </c>
      <c r="F6362" t="s">
        <v>9798</v>
      </c>
      <c r="G6362" t="s">
        <v>37</v>
      </c>
      <c r="H6362">
        <v>1990</v>
      </c>
      <c r="I6362">
        <v>27</v>
      </c>
      <c r="J6362">
        <v>15.4</v>
      </c>
      <c r="K6362">
        <v>58</v>
      </c>
      <c r="L6362">
        <v>24.58</v>
      </c>
      <c r="M6362">
        <v>39.200000000000003</v>
      </c>
      <c r="N6362">
        <v>12.9</v>
      </c>
      <c r="O6362">
        <v>26.3</v>
      </c>
      <c r="P6362">
        <v>26.1</v>
      </c>
      <c r="Q6362">
        <v>24.3</v>
      </c>
      <c r="R6362">
        <v>30.3</v>
      </c>
      <c r="S6362">
        <v>24.1</v>
      </c>
      <c r="T6362">
        <v>860</v>
      </c>
      <c r="U6362">
        <v>271</v>
      </c>
      <c r="V6362">
        <v>0</v>
      </c>
      <c r="W6362">
        <v>126</v>
      </c>
      <c r="X6362">
        <v>648</v>
      </c>
      <c r="Y6362">
        <v>1</v>
      </c>
      <c r="Z6362">
        <v>54</v>
      </c>
      <c r="AA6362">
        <v>4</v>
      </c>
      <c r="AB6362">
        <v>2.6115339999999998</v>
      </c>
      <c r="AC6362">
        <v>8.322655E-3</v>
      </c>
      <c r="AD6362">
        <v>1.0131220000000001</v>
      </c>
      <c r="AE6362">
        <v>0.5738915</v>
      </c>
      <c r="AF6362">
        <v>378.06779999999998</v>
      </c>
      <c r="AG6362">
        <f>IFERROR(AH6362*0.1, "N/A")</f>
        <v>5.8864410000000005</v>
      </c>
      <c r="AH6362">
        <v>58.864409999999999</v>
      </c>
      <c r="AI6362">
        <v>97.873890000000003</v>
      </c>
      <c r="AJ6362">
        <v>18.518640000000001</v>
      </c>
      <c r="AK6362">
        <v>53.259320000000002</v>
      </c>
    </row>
    <row r="6363" spans="1:37" x14ac:dyDescent="0.3">
      <c r="A6363">
        <v>6362</v>
      </c>
      <c r="B6363">
        <v>51</v>
      </c>
      <c r="C6363">
        <v>-7.87</v>
      </c>
      <c r="D6363">
        <v>13.310700000000001</v>
      </c>
      <c r="E6363">
        <f>-7.87-13.3107</f>
        <v>-21.180700000000002</v>
      </c>
      <c r="F6363" t="s">
        <v>9799</v>
      </c>
      <c r="G6363" t="s">
        <v>39</v>
      </c>
      <c r="H6363">
        <v>1990</v>
      </c>
      <c r="I6363">
        <v>27</v>
      </c>
      <c r="J6363">
        <v>15.3</v>
      </c>
      <c r="K6363">
        <v>58</v>
      </c>
      <c r="L6363">
        <v>24.66</v>
      </c>
      <c r="M6363">
        <v>39.200000000000003</v>
      </c>
      <c r="N6363">
        <v>13</v>
      </c>
      <c r="O6363">
        <v>26.2</v>
      </c>
      <c r="P6363">
        <v>26.1</v>
      </c>
      <c r="Q6363">
        <v>24.3</v>
      </c>
      <c r="R6363">
        <v>30.4</v>
      </c>
      <c r="S6363">
        <v>24.1</v>
      </c>
      <c r="T6363">
        <v>859</v>
      </c>
      <c r="U6363">
        <v>270</v>
      </c>
      <c r="V6363">
        <v>0</v>
      </c>
      <c r="W6363">
        <v>126</v>
      </c>
      <c r="X6363">
        <v>647</v>
      </c>
      <c r="Y6363">
        <v>1</v>
      </c>
      <c r="Z6363">
        <v>54</v>
      </c>
      <c r="AA6363">
        <v>4</v>
      </c>
      <c r="AB6363">
        <v>4.5636260000000002</v>
      </c>
      <c r="AC6363">
        <v>1.325145E-2</v>
      </c>
      <c r="AD6363">
        <v>2.0386090000000001</v>
      </c>
      <c r="AE6363">
        <v>0.66827210000000004</v>
      </c>
      <c r="AF6363">
        <v>375.08460000000002</v>
      </c>
      <c r="AG6363">
        <f>IFERROR(AH6363*0.1, "N/A")</f>
        <v>5.8000000000000007</v>
      </c>
      <c r="AH6363">
        <v>58</v>
      </c>
      <c r="AI6363">
        <v>203.66820000000001</v>
      </c>
      <c r="AJ6363">
        <v>20.876480000000001</v>
      </c>
      <c r="AK6363">
        <v>53.752960000000002</v>
      </c>
    </row>
    <row r="6364" spans="1:37" x14ac:dyDescent="0.3">
      <c r="A6364">
        <v>6363</v>
      </c>
      <c r="B6364">
        <v>2.8</v>
      </c>
      <c r="C6364">
        <v>-7.87</v>
      </c>
      <c r="D6364">
        <v>13.310700000000001</v>
      </c>
      <c r="E6364">
        <f>-7.87-13.3107</f>
        <v>-21.180700000000002</v>
      </c>
      <c r="F6364" t="s">
        <v>9800</v>
      </c>
      <c r="G6364" t="s">
        <v>37</v>
      </c>
      <c r="H6364">
        <v>1990</v>
      </c>
      <c r="I6364">
        <v>27</v>
      </c>
      <c r="J6364">
        <v>15.3</v>
      </c>
      <c r="K6364">
        <v>58</v>
      </c>
      <c r="L6364">
        <v>24.66</v>
      </c>
      <c r="M6364">
        <v>39.200000000000003</v>
      </c>
      <c r="N6364">
        <v>13</v>
      </c>
      <c r="O6364">
        <v>26.2</v>
      </c>
      <c r="P6364">
        <v>26.1</v>
      </c>
      <c r="Q6364">
        <v>24.3</v>
      </c>
      <c r="R6364">
        <v>30.4</v>
      </c>
      <c r="S6364">
        <v>24.1</v>
      </c>
      <c r="T6364">
        <v>859</v>
      </c>
      <c r="U6364">
        <v>270</v>
      </c>
      <c r="V6364">
        <v>0</v>
      </c>
      <c r="W6364">
        <v>126</v>
      </c>
      <c r="X6364">
        <v>647</v>
      </c>
      <c r="Y6364">
        <v>1</v>
      </c>
      <c r="Z6364">
        <v>54</v>
      </c>
      <c r="AA6364">
        <v>4</v>
      </c>
      <c r="AB6364">
        <v>4.5636260000000002</v>
      </c>
      <c r="AC6364">
        <v>1.325145E-2</v>
      </c>
      <c r="AD6364">
        <v>2.0386090000000001</v>
      </c>
      <c r="AE6364">
        <v>0.66827210000000004</v>
      </c>
      <c r="AF6364">
        <v>375.08460000000002</v>
      </c>
      <c r="AG6364">
        <f>IFERROR(AH6364*0.1, "N/A")</f>
        <v>5.8000000000000007</v>
      </c>
      <c r="AH6364">
        <v>58</v>
      </c>
      <c r="AI6364">
        <v>203.66820000000001</v>
      </c>
      <c r="AJ6364">
        <v>20.876480000000001</v>
      </c>
      <c r="AK6364">
        <v>53.752960000000002</v>
      </c>
    </row>
    <row r="6365" spans="1:37" x14ac:dyDescent="0.3">
      <c r="A6365">
        <v>6364</v>
      </c>
      <c r="B6365">
        <v>6.1</v>
      </c>
      <c r="C6365">
        <v>-10.5501</v>
      </c>
      <c r="D6365">
        <v>13.3127</v>
      </c>
      <c r="E6365">
        <f>-10.5501-13.3127</f>
        <v>-23.8628</v>
      </c>
      <c r="F6365" t="s">
        <v>9801</v>
      </c>
      <c r="G6365" t="s">
        <v>39</v>
      </c>
      <c r="H6365">
        <v>1990</v>
      </c>
      <c r="I6365">
        <v>28</v>
      </c>
      <c r="J6365">
        <v>13.3</v>
      </c>
      <c r="K6365">
        <v>60</v>
      </c>
      <c r="L6365">
        <v>20.133579999999998</v>
      </c>
      <c r="M6365">
        <v>38.9</v>
      </c>
      <c r="N6365">
        <v>16.872630000000001</v>
      </c>
      <c r="O6365">
        <v>22.027360000000002</v>
      </c>
      <c r="P6365">
        <v>26.727370000000001</v>
      </c>
      <c r="Q6365">
        <v>27.672640000000001</v>
      </c>
      <c r="R6365">
        <v>30.972639999999998</v>
      </c>
      <c r="S6365">
        <v>25.972639999999998</v>
      </c>
      <c r="T6365">
        <v>936.27359999999999</v>
      </c>
      <c r="U6365">
        <v>280</v>
      </c>
      <c r="V6365">
        <v>0</v>
      </c>
      <c r="W6365">
        <v>124</v>
      </c>
      <c r="X6365">
        <v>693.27359999999999</v>
      </c>
      <c r="Y6365">
        <v>0</v>
      </c>
      <c r="Z6365">
        <v>41</v>
      </c>
      <c r="AA6365">
        <v>4</v>
      </c>
      <c r="AB6365">
        <v>10.599500000000001</v>
      </c>
      <c r="AC6365">
        <v>2.0412759999999999E-2</v>
      </c>
      <c r="AD6365">
        <v>1.6197900000000001</v>
      </c>
      <c r="AE6365">
        <v>0.65547869999999997</v>
      </c>
      <c r="AF6365">
        <v>177.10640000000001</v>
      </c>
      <c r="AG6365">
        <f>IFERROR(AH6365*0.1, "N/A")</f>
        <v>6.1820950000000003</v>
      </c>
      <c r="AH6365">
        <v>61.820950000000003</v>
      </c>
      <c r="AI6365">
        <v>214.18799999999999</v>
      </c>
      <c r="AJ6365">
        <v>19.64189</v>
      </c>
      <c r="AK6365">
        <v>58.4527</v>
      </c>
    </row>
    <row r="6366" spans="1:37" x14ac:dyDescent="0.3">
      <c r="A6366">
        <v>6365</v>
      </c>
      <c r="B6366">
        <v>0.5</v>
      </c>
      <c r="C6366">
        <v>-10.5501</v>
      </c>
      <c r="D6366">
        <v>13.3127</v>
      </c>
      <c r="E6366">
        <f>-10.5501-13.3127</f>
        <v>-23.8628</v>
      </c>
      <c r="F6366" t="s">
        <v>9802</v>
      </c>
      <c r="G6366" t="s">
        <v>37</v>
      </c>
      <c r="H6366">
        <v>1990</v>
      </c>
      <c r="I6366">
        <v>28</v>
      </c>
      <c r="J6366">
        <v>13.3</v>
      </c>
      <c r="K6366">
        <v>60</v>
      </c>
      <c r="L6366">
        <v>20.133579999999998</v>
      </c>
      <c r="M6366">
        <v>38.9</v>
      </c>
      <c r="N6366">
        <v>16.872630000000001</v>
      </c>
      <c r="O6366">
        <v>22.027360000000002</v>
      </c>
      <c r="P6366">
        <v>26.727370000000001</v>
      </c>
      <c r="Q6366">
        <v>27.672640000000001</v>
      </c>
      <c r="R6366">
        <v>30.972639999999998</v>
      </c>
      <c r="S6366">
        <v>25.972639999999998</v>
      </c>
      <c r="T6366">
        <v>936.27359999999999</v>
      </c>
      <c r="U6366">
        <v>280</v>
      </c>
      <c r="V6366">
        <v>0</v>
      </c>
      <c r="W6366">
        <v>124</v>
      </c>
      <c r="X6366">
        <v>693.27359999999999</v>
      </c>
      <c r="Y6366">
        <v>0</v>
      </c>
      <c r="Z6366">
        <v>41</v>
      </c>
      <c r="AA6366">
        <v>4</v>
      </c>
      <c r="AB6366">
        <v>10.599500000000001</v>
      </c>
      <c r="AC6366">
        <v>2.0412759999999999E-2</v>
      </c>
      <c r="AD6366">
        <v>1.6197900000000001</v>
      </c>
      <c r="AE6366">
        <v>0.65547869999999997</v>
      </c>
      <c r="AF6366">
        <v>177.10640000000001</v>
      </c>
      <c r="AG6366">
        <f>IFERROR(AH6366*0.1, "N/A")</f>
        <v>6.1820950000000003</v>
      </c>
      <c r="AH6366">
        <v>61.820950000000003</v>
      </c>
      <c r="AI6366">
        <v>214.18799999999999</v>
      </c>
      <c r="AJ6366">
        <v>19.64189</v>
      </c>
      <c r="AK6366">
        <v>58.4527</v>
      </c>
    </row>
    <row r="6367" spans="1:37" x14ac:dyDescent="0.3">
      <c r="A6367">
        <v>6366</v>
      </c>
      <c r="B6367">
        <v>7</v>
      </c>
      <c r="C6367">
        <v>-9.3859999999999992</v>
      </c>
      <c r="D6367">
        <v>13.317</v>
      </c>
      <c r="E6367">
        <f>-9.386-13.317</f>
        <v>-22.702999999999999</v>
      </c>
      <c r="F6367" t="s">
        <v>9803</v>
      </c>
      <c r="G6367" t="s">
        <v>39</v>
      </c>
      <c r="H6367">
        <v>1987</v>
      </c>
      <c r="I6367">
        <v>27.4</v>
      </c>
      <c r="J6367">
        <v>13.781219999999999</v>
      </c>
      <c r="K6367">
        <v>57.812179999999998</v>
      </c>
      <c r="L6367">
        <v>25.935130000000001</v>
      </c>
      <c r="M6367">
        <v>39.118780000000001</v>
      </c>
      <c r="N6367">
        <v>15.41878</v>
      </c>
      <c r="O6367">
        <v>23.7</v>
      </c>
      <c r="P6367">
        <v>25.9</v>
      </c>
      <c r="Q6367">
        <v>26.918780000000002</v>
      </c>
      <c r="R6367">
        <v>31.118780000000001</v>
      </c>
      <c r="S6367">
        <v>24.6</v>
      </c>
      <c r="T6367">
        <v>843.18780000000004</v>
      </c>
      <c r="U6367">
        <v>254</v>
      </c>
      <c r="V6367">
        <v>0</v>
      </c>
      <c r="W6367">
        <v>124</v>
      </c>
      <c r="X6367">
        <v>629</v>
      </c>
      <c r="Y6367">
        <v>1</v>
      </c>
      <c r="Z6367">
        <v>39</v>
      </c>
      <c r="AA6367">
        <v>6</v>
      </c>
      <c r="AB6367">
        <v>1.2602260000000001</v>
      </c>
      <c r="AC6367">
        <v>0.20327410000000001</v>
      </c>
      <c r="AD6367">
        <v>1.0456559999999999</v>
      </c>
      <c r="AE6367">
        <v>0.67268950000000005</v>
      </c>
      <c r="AF6367">
        <v>354.6413</v>
      </c>
      <c r="AG6367">
        <f>IFERROR(AH6367*0.1, "N/A")</f>
        <v>5.6720810000000004</v>
      </c>
      <c r="AH6367">
        <v>56.72081</v>
      </c>
      <c r="AI6367">
        <v>179.95050000000001</v>
      </c>
      <c r="AJ6367">
        <v>11.463620000000001</v>
      </c>
      <c r="AK6367">
        <v>61.44162</v>
      </c>
    </row>
    <row r="6368" spans="1:37" x14ac:dyDescent="0.3">
      <c r="A6368">
        <v>6367</v>
      </c>
      <c r="B6368">
        <v>3</v>
      </c>
      <c r="C6368">
        <v>-9.3859999999999992</v>
      </c>
      <c r="D6368">
        <v>13.317</v>
      </c>
      <c r="E6368">
        <f>-9.386-13.317</f>
        <v>-22.702999999999999</v>
      </c>
      <c r="F6368" t="s">
        <v>9804</v>
      </c>
      <c r="G6368" t="s">
        <v>37</v>
      </c>
      <c r="H6368">
        <v>1987</v>
      </c>
      <c r="I6368">
        <v>27.4</v>
      </c>
      <c r="J6368">
        <v>13.781219999999999</v>
      </c>
      <c r="K6368">
        <v>57.812179999999998</v>
      </c>
      <c r="L6368">
        <v>25.935130000000001</v>
      </c>
      <c r="M6368">
        <v>39.118780000000001</v>
      </c>
      <c r="N6368">
        <v>15.41878</v>
      </c>
      <c r="O6368">
        <v>23.7</v>
      </c>
      <c r="P6368">
        <v>25.9</v>
      </c>
      <c r="Q6368">
        <v>26.918780000000002</v>
      </c>
      <c r="R6368">
        <v>31.118780000000001</v>
      </c>
      <c r="S6368">
        <v>24.6</v>
      </c>
      <c r="T6368">
        <v>843.18780000000004</v>
      </c>
      <c r="U6368">
        <v>254</v>
      </c>
      <c r="V6368">
        <v>0</v>
      </c>
      <c r="W6368">
        <v>124</v>
      </c>
      <c r="X6368">
        <v>629</v>
      </c>
      <c r="Y6368">
        <v>1</v>
      </c>
      <c r="Z6368">
        <v>39</v>
      </c>
      <c r="AA6368">
        <v>6</v>
      </c>
      <c r="AB6368">
        <v>1.2602260000000001</v>
      </c>
      <c r="AC6368">
        <v>0.20327410000000001</v>
      </c>
      <c r="AD6368">
        <v>1.0456559999999999</v>
      </c>
      <c r="AE6368">
        <v>0.67268950000000005</v>
      </c>
      <c r="AF6368">
        <v>354.6413</v>
      </c>
      <c r="AG6368">
        <f>IFERROR(AH6368*0.1, "N/A")</f>
        <v>5.6720810000000004</v>
      </c>
      <c r="AH6368">
        <v>56.72081</v>
      </c>
      <c r="AI6368">
        <v>179.95050000000001</v>
      </c>
      <c r="AJ6368">
        <v>11.463620000000001</v>
      </c>
      <c r="AK6368">
        <v>61.44162</v>
      </c>
    </row>
    <row r="6369" spans="1:37" x14ac:dyDescent="0.3">
      <c r="A6369">
        <v>6368</v>
      </c>
      <c r="B6369">
        <v>66.7</v>
      </c>
      <c r="C6369">
        <v>-7.7683299999999997</v>
      </c>
      <c r="D6369">
        <v>13.3177</v>
      </c>
      <c r="E6369">
        <f>-7.76833-13.3177</f>
        <v>-21.086030000000001</v>
      </c>
      <c r="F6369" t="s">
        <v>9805</v>
      </c>
      <c r="G6369" t="s">
        <v>39</v>
      </c>
      <c r="H6369">
        <v>1990</v>
      </c>
      <c r="I6369">
        <v>27</v>
      </c>
      <c r="J6369">
        <v>15.3</v>
      </c>
      <c r="K6369">
        <v>58</v>
      </c>
      <c r="L6369">
        <v>24.62</v>
      </c>
      <c r="M6369">
        <v>39.1</v>
      </c>
      <c r="N6369">
        <v>12.9</v>
      </c>
      <c r="O6369">
        <v>26.2</v>
      </c>
      <c r="P6369">
        <v>26</v>
      </c>
      <c r="Q6369">
        <v>24.2</v>
      </c>
      <c r="R6369">
        <v>30.3</v>
      </c>
      <c r="S6369">
        <v>24</v>
      </c>
      <c r="T6369">
        <v>840</v>
      </c>
      <c r="U6369">
        <v>266</v>
      </c>
      <c r="V6369">
        <v>0</v>
      </c>
      <c r="W6369">
        <v>126</v>
      </c>
      <c r="X6369">
        <v>635</v>
      </c>
      <c r="Y6369">
        <v>0</v>
      </c>
      <c r="Z6369">
        <v>52</v>
      </c>
      <c r="AA6369">
        <v>3</v>
      </c>
      <c r="AB6369">
        <v>7.1646299999999998</v>
      </c>
      <c r="AC6369">
        <v>8.6181369999999997E-3</v>
      </c>
      <c r="AD6369">
        <v>1.963716</v>
      </c>
      <c r="AE6369">
        <v>0.60099130000000001</v>
      </c>
      <c r="AF6369">
        <v>383.98649999999998</v>
      </c>
      <c r="AG6369">
        <f>IFERROR(AH6369*0.1, "N/A")</f>
        <v>5.7236890000000002</v>
      </c>
      <c r="AH6369">
        <v>57.236890000000002</v>
      </c>
      <c r="AI6369">
        <v>120.42570000000001</v>
      </c>
      <c r="AJ6369">
        <v>19.297799999999999</v>
      </c>
      <c r="AK6369">
        <v>49.830800000000004</v>
      </c>
    </row>
    <row r="6370" spans="1:37" x14ac:dyDescent="0.3">
      <c r="A6370">
        <v>6369</v>
      </c>
      <c r="B6370">
        <v>1.5</v>
      </c>
      <c r="C6370">
        <v>-7.7683299999999997</v>
      </c>
      <c r="D6370">
        <v>13.3177</v>
      </c>
      <c r="E6370">
        <f>-7.76833-13.3177</f>
        <v>-21.086030000000001</v>
      </c>
      <c r="F6370" t="s">
        <v>9806</v>
      </c>
      <c r="G6370" t="s">
        <v>37</v>
      </c>
      <c r="H6370">
        <v>1990</v>
      </c>
      <c r="I6370">
        <v>27</v>
      </c>
      <c r="J6370">
        <v>15.3</v>
      </c>
      <c r="K6370">
        <v>58</v>
      </c>
      <c r="L6370">
        <v>24.62</v>
      </c>
      <c r="M6370">
        <v>39.1</v>
      </c>
      <c r="N6370">
        <v>12.9</v>
      </c>
      <c r="O6370">
        <v>26.2</v>
      </c>
      <c r="P6370">
        <v>26</v>
      </c>
      <c r="Q6370">
        <v>24.2</v>
      </c>
      <c r="R6370">
        <v>30.3</v>
      </c>
      <c r="S6370">
        <v>24</v>
      </c>
      <c r="T6370">
        <v>840</v>
      </c>
      <c r="U6370">
        <v>266</v>
      </c>
      <c r="V6370">
        <v>0</v>
      </c>
      <c r="W6370">
        <v>126</v>
      </c>
      <c r="X6370">
        <v>635</v>
      </c>
      <c r="Y6370">
        <v>0</v>
      </c>
      <c r="Z6370">
        <v>52</v>
      </c>
      <c r="AA6370">
        <v>3</v>
      </c>
      <c r="AB6370">
        <v>7.1646299999999998</v>
      </c>
      <c r="AC6370">
        <v>8.6181369999999997E-3</v>
      </c>
      <c r="AD6370">
        <v>1.963716</v>
      </c>
      <c r="AE6370">
        <v>0.60099130000000001</v>
      </c>
      <c r="AF6370">
        <v>383.98649999999998</v>
      </c>
      <c r="AG6370">
        <f>IFERROR(AH6370*0.1, "N/A")</f>
        <v>5.7236890000000002</v>
      </c>
      <c r="AH6370">
        <v>57.236890000000002</v>
      </c>
      <c r="AI6370">
        <v>120.42570000000001</v>
      </c>
      <c r="AJ6370">
        <v>19.297799999999999</v>
      </c>
      <c r="AK6370">
        <v>49.830800000000004</v>
      </c>
    </row>
    <row r="6371" spans="1:37" x14ac:dyDescent="0.3">
      <c r="A6371">
        <v>6370</v>
      </c>
      <c r="B6371">
        <v>63.6</v>
      </c>
      <c r="C6371">
        <v>-6.2436999999999996</v>
      </c>
      <c r="D6371">
        <v>13.318199999999999</v>
      </c>
      <c r="E6371">
        <f>-6.2437-13.3182</f>
        <v>-19.561899999999998</v>
      </c>
      <c r="F6371" t="s">
        <v>9807</v>
      </c>
      <c r="G6371" t="s">
        <v>39</v>
      </c>
      <c r="H6371">
        <v>1990</v>
      </c>
      <c r="I6371">
        <v>27.8</v>
      </c>
      <c r="J6371">
        <v>13.9</v>
      </c>
      <c r="K6371">
        <v>58</v>
      </c>
      <c r="L6371">
        <v>25.01</v>
      </c>
      <c r="M6371">
        <v>39.200000000000003</v>
      </c>
      <c r="N6371">
        <v>15.3</v>
      </c>
      <c r="O6371">
        <v>23.9</v>
      </c>
      <c r="P6371">
        <v>26.8</v>
      </c>
      <c r="Q6371">
        <v>24.9</v>
      </c>
      <c r="R6371">
        <v>31.3</v>
      </c>
      <c r="S6371">
        <v>24.9</v>
      </c>
      <c r="T6371">
        <v>670</v>
      </c>
      <c r="U6371">
        <v>220</v>
      </c>
      <c r="V6371">
        <v>0</v>
      </c>
      <c r="W6371">
        <v>130</v>
      </c>
      <c r="X6371">
        <v>510</v>
      </c>
      <c r="Y6371">
        <v>0</v>
      </c>
      <c r="Z6371">
        <v>130</v>
      </c>
      <c r="AA6371">
        <v>0</v>
      </c>
      <c r="AB6371">
        <v>3.085035</v>
      </c>
      <c r="AC6371">
        <v>7.4592469999999994E-2</v>
      </c>
      <c r="AD6371">
        <v>0.99244449999999995</v>
      </c>
      <c r="AE6371">
        <v>0.38220539999999997</v>
      </c>
      <c r="AF6371">
        <v>291.47730000000001</v>
      </c>
      <c r="AG6371">
        <f>IFERROR(AH6371*0.1, "N/A")</f>
        <v>5.8885710000000007</v>
      </c>
      <c r="AH6371">
        <v>58.885710000000003</v>
      </c>
      <c r="AI6371">
        <v>143.10810000000001</v>
      </c>
      <c r="AJ6371">
        <v>11</v>
      </c>
      <c r="AK6371">
        <v>64.114289999999997</v>
      </c>
    </row>
    <row r="6372" spans="1:37" x14ac:dyDescent="0.3">
      <c r="A6372">
        <v>6371</v>
      </c>
      <c r="B6372">
        <v>0</v>
      </c>
      <c r="C6372">
        <v>-6.2436999999999996</v>
      </c>
      <c r="D6372">
        <v>13.318199999999999</v>
      </c>
      <c r="E6372">
        <f>-6.2437-13.3182</f>
        <v>-19.561899999999998</v>
      </c>
      <c r="F6372" t="s">
        <v>9808</v>
      </c>
      <c r="G6372" t="s">
        <v>37</v>
      </c>
      <c r="H6372">
        <v>1990</v>
      </c>
      <c r="I6372">
        <v>27.8</v>
      </c>
      <c r="J6372">
        <v>13.9</v>
      </c>
      <c r="K6372">
        <v>58</v>
      </c>
      <c r="L6372">
        <v>25.01</v>
      </c>
      <c r="M6372">
        <v>39.200000000000003</v>
      </c>
      <c r="N6372">
        <v>15.3</v>
      </c>
      <c r="O6372">
        <v>23.9</v>
      </c>
      <c r="P6372">
        <v>26.8</v>
      </c>
      <c r="Q6372">
        <v>24.9</v>
      </c>
      <c r="R6372">
        <v>31.3</v>
      </c>
      <c r="S6372">
        <v>24.9</v>
      </c>
      <c r="T6372">
        <v>670</v>
      </c>
      <c r="U6372">
        <v>220</v>
      </c>
      <c r="V6372">
        <v>0</v>
      </c>
      <c r="W6372">
        <v>130</v>
      </c>
      <c r="X6372">
        <v>510</v>
      </c>
      <c r="Y6372">
        <v>0</v>
      </c>
      <c r="Z6372">
        <v>130</v>
      </c>
      <c r="AA6372">
        <v>0</v>
      </c>
      <c r="AB6372">
        <v>3.085035</v>
      </c>
      <c r="AC6372">
        <v>7.4592469999999994E-2</v>
      </c>
      <c r="AD6372">
        <v>0.99244449999999995</v>
      </c>
      <c r="AE6372">
        <v>0.38220539999999997</v>
      </c>
      <c r="AF6372">
        <v>291.47730000000001</v>
      </c>
      <c r="AG6372">
        <f>IFERROR(AH6372*0.1, "N/A")</f>
        <v>5.8885710000000007</v>
      </c>
      <c r="AH6372">
        <v>58.885710000000003</v>
      </c>
      <c r="AI6372">
        <v>143.10810000000001</v>
      </c>
      <c r="AJ6372">
        <v>11</v>
      </c>
      <c r="AK6372">
        <v>64.114289999999997</v>
      </c>
    </row>
    <row r="6373" spans="1:37" x14ac:dyDescent="0.3">
      <c r="A6373">
        <v>6372</v>
      </c>
      <c r="B6373">
        <v>15.9</v>
      </c>
      <c r="C6373">
        <v>-10.2623</v>
      </c>
      <c r="D6373">
        <v>13.3185</v>
      </c>
      <c r="E6373">
        <f>-10.2623-13.3185</f>
        <v>-23.5808</v>
      </c>
      <c r="F6373" t="s">
        <v>9809</v>
      </c>
      <c r="G6373" t="s">
        <v>39</v>
      </c>
      <c r="H6373">
        <v>1990</v>
      </c>
      <c r="I6373">
        <v>27.4</v>
      </c>
      <c r="J6373">
        <v>13.3</v>
      </c>
      <c r="K6373">
        <v>58</v>
      </c>
      <c r="L6373">
        <v>23.55</v>
      </c>
      <c r="M6373">
        <v>38.700000000000003</v>
      </c>
      <c r="N6373">
        <v>15.8</v>
      </c>
      <c r="O6373">
        <v>22.9</v>
      </c>
      <c r="P6373">
        <v>26.2</v>
      </c>
      <c r="Q6373">
        <v>26.8</v>
      </c>
      <c r="R6373">
        <v>30.8</v>
      </c>
      <c r="S6373">
        <v>24.9</v>
      </c>
      <c r="T6373">
        <v>940</v>
      </c>
      <c r="U6373">
        <v>281</v>
      </c>
      <c r="V6373">
        <v>0</v>
      </c>
      <c r="W6373">
        <v>124</v>
      </c>
      <c r="X6373">
        <v>696</v>
      </c>
      <c r="Y6373">
        <v>0</v>
      </c>
      <c r="Z6373">
        <v>43</v>
      </c>
      <c r="AA6373">
        <v>4</v>
      </c>
      <c r="AB6373">
        <v>5.4000089999999998</v>
      </c>
      <c r="AC6373">
        <v>9.9055959999999992E-3</v>
      </c>
      <c r="AD6373">
        <v>1.2168490000000001</v>
      </c>
      <c r="AE6373">
        <v>0.29944949999999998</v>
      </c>
      <c r="AF6373">
        <v>276.88889999999998</v>
      </c>
      <c r="AG6373">
        <f>IFERROR(AH6373*0.1, "N/A")</f>
        <v>5.8444440000000002</v>
      </c>
      <c r="AH6373">
        <v>58.44444</v>
      </c>
      <c r="AI6373">
        <v>233.72399999999999</v>
      </c>
      <c r="AJ6373">
        <v>17.77778</v>
      </c>
      <c r="AK6373">
        <v>43.22222</v>
      </c>
    </row>
    <row r="6374" spans="1:37" x14ac:dyDescent="0.3">
      <c r="A6374">
        <v>6373</v>
      </c>
      <c r="B6374">
        <v>0</v>
      </c>
      <c r="C6374">
        <v>-10.2623</v>
      </c>
      <c r="D6374">
        <v>13.3185</v>
      </c>
      <c r="E6374">
        <f>-10.2623-13.3185</f>
        <v>-23.5808</v>
      </c>
      <c r="F6374" t="s">
        <v>9810</v>
      </c>
      <c r="G6374" t="s">
        <v>37</v>
      </c>
      <c r="H6374">
        <v>1990</v>
      </c>
      <c r="I6374">
        <v>27.4</v>
      </c>
      <c r="J6374">
        <v>13.3</v>
      </c>
      <c r="K6374">
        <v>58</v>
      </c>
      <c r="L6374">
        <v>23.55</v>
      </c>
      <c r="M6374">
        <v>38.700000000000003</v>
      </c>
      <c r="N6374">
        <v>15.8</v>
      </c>
      <c r="O6374">
        <v>22.9</v>
      </c>
      <c r="P6374">
        <v>26.2</v>
      </c>
      <c r="Q6374">
        <v>26.8</v>
      </c>
      <c r="R6374">
        <v>30.8</v>
      </c>
      <c r="S6374">
        <v>24.9</v>
      </c>
      <c r="T6374">
        <v>940</v>
      </c>
      <c r="U6374">
        <v>281</v>
      </c>
      <c r="V6374">
        <v>0</v>
      </c>
      <c r="W6374">
        <v>124</v>
      </c>
      <c r="X6374">
        <v>696</v>
      </c>
      <c r="Y6374">
        <v>0</v>
      </c>
      <c r="Z6374">
        <v>43</v>
      </c>
      <c r="AA6374">
        <v>4</v>
      </c>
      <c r="AB6374">
        <v>5.4000089999999998</v>
      </c>
      <c r="AC6374">
        <v>9.9055959999999992E-3</v>
      </c>
      <c r="AD6374">
        <v>1.2168490000000001</v>
      </c>
      <c r="AE6374">
        <v>0.29944949999999998</v>
      </c>
      <c r="AF6374">
        <v>276.88889999999998</v>
      </c>
      <c r="AG6374">
        <f>IFERROR(AH6374*0.1, "N/A")</f>
        <v>5.8444440000000002</v>
      </c>
      <c r="AH6374">
        <v>58.44444</v>
      </c>
      <c r="AI6374">
        <v>233.72399999999999</v>
      </c>
      <c r="AJ6374">
        <v>17.77778</v>
      </c>
      <c r="AK6374">
        <v>43.22222</v>
      </c>
    </row>
    <row r="6375" spans="1:37" x14ac:dyDescent="0.3">
      <c r="A6375">
        <v>6374</v>
      </c>
      <c r="B6375">
        <v>25.3</v>
      </c>
      <c r="C6375">
        <v>-7.9</v>
      </c>
      <c r="D6375">
        <v>13.333299999999999</v>
      </c>
      <c r="E6375">
        <f>-7.9-13.3333</f>
        <v>-21.2333</v>
      </c>
      <c r="F6375" t="s">
        <v>9811</v>
      </c>
      <c r="G6375" t="s">
        <v>39</v>
      </c>
      <c r="H6375">
        <v>1990</v>
      </c>
      <c r="I6375">
        <v>27</v>
      </c>
      <c r="J6375">
        <v>15.4</v>
      </c>
      <c r="K6375">
        <v>58</v>
      </c>
      <c r="L6375">
        <v>24.706949999999999</v>
      </c>
      <c r="M6375">
        <v>39.246609999999997</v>
      </c>
      <c r="N6375">
        <v>12.892709999999999</v>
      </c>
      <c r="O6375">
        <v>26.353899999999999</v>
      </c>
      <c r="P6375">
        <v>26.053899999999999</v>
      </c>
      <c r="Q6375">
        <v>24.29271</v>
      </c>
      <c r="R6375">
        <v>30.392710000000001</v>
      </c>
      <c r="S6375">
        <v>24.053899999999999</v>
      </c>
      <c r="T6375">
        <v>860.46609999999998</v>
      </c>
      <c r="U6375">
        <v>271</v>
      </c>
      <c r="V6375">
        <v>0</v>
      </c>
      <c r="W6375">
        <v>126</v>
      </c>
      <c r="X6375">
        <v>648.53899999999999</v>
      </c>
      <c r="Y6375">
        <v>1</v>
      </c>
      <c r="Z6375">
        <v>53.927120000000002</v>
      </c>
      <c r="AA6375">
        <v>4</v>
      </c>
      <c r="AB6375">
        <v>2.1183040000000002</v>
      </c>
      <c r="AC6375">
        <v>0.1049515</v>
      </c>
      <c r="AD6375">
        <v>1.4500710000000001</v>
      </c>
      <c r="AE6375">
        <v>0.64303690000000002</v>
      </c>
      <c r="AF6375">
        <v>389.24239999999998</v>
      </c>
      <c r="AG6375">
        <f>IFERROR(AH6375*0.1, "N/A")</f>
        <v>5.6338980000000003</v>
      </c>
      <c r="AH6375">
        <v>56.338979999999999</v>
      </c>
      <c r="AI6375">
        <v>190.02590000000001</v>
      </c>
      <c r="AJ6375">
        <v>19.661020000000001</v>
      </c>
      <c r="AK6375">
        <v>51.925420000000003</v>
      </c>
    </row>
    <row r="6376" spans="1:37" x14ac:dyDescent="0.3">
      <c r="A6376">
        <v>6375</v>
      </c>
      <c r="B6376">
        <v>0</v>
      </c>
      <c r="C6376">
        <v>-7.9</v>
      </c>
      <c r="D6376">
        <v>13.333299999999999</v>
      </c>
      <c r="E6376">
        <f>-7.9-13.3333</f>
        <v>-21.2333</v>
      </c>
      <c r="F6376" t="s">
        <v>9812</v>
      </c>
      <c r="G6376" t="s">
        <v>37</v>
      </c>
      <c r="H6376">
        <v>1990</v>
      </c>
      <c r="I6376">
        <v>27</v>
      </c>
      <c r="J6376">
        <v>15.4</v>
      </c>
      <c r="K6376">
        <v>58</v>
      </c>
      <c r="L6376">
        <v>24.706949999999999</v>
      </c>
      <c r="M6376">
        <v>39.246609999999997</v>
      </c>
      <c r="N6376">
        <v>12.892709999999999</v>
      </c>
      <c r="O6376">
        <v>26.353899999999999</v>
      </c>
      <c r="P6376">
        <v>26.053899999999999</v>
      </c>
      <c r="Q6376">
        <v>24.29271</v>
      </c>
      <c r="R6376">
        <v>30.392710000000001</v>
      </c>
      <c r="S6376">
        <v>24.053899999999999</v>
      </c>
      <c r="T6376">
        <v>860.46609999999998</v>
      </c>
      <c r="U6376">
        <v>271</v>
      </c>
      <c r="V6376">
        <v>0</v>
      </c>
      <c r="W6376">
        <v>126</v>
      </c>
      <c r="X6376">
        <v>648.53899999999999</v>
      </c>
      <c r="Y6376">
        <v>1</v>
      </c>
      <c r="Z6376">
        <v>53.927120000000002</v>
      </c>
      <c r="AA6376">
        <v>4</v>
      </c>
      <c r="AB6376">
        <v>2.1183040000000002</v>
      </c>
      <c r="AC6376">
        <v>0.1049515</v>
      </c>
      <c r="AD6376">
        <v>1.4500710000000001</v>
      </c>
      <c r="AE6376">
        <v>0.64303690000000002</v>
      </c>
      <c r="AF6376">
        <v>389.24239999999998</v>
      </c>
      <c r="AG6376">
        <f>IFERROR(AH6376*0.1, "N/A")</f>
        <v>5.6338980000000003</v>
      </c>
      <c r="AH6376">
        <v>56.338979999999999</v>
      </c>
      <c r="AI6376">
        <v>190.02590000000001</v>
      </c>
      <c r="AJ6376">
        <v>19.661020000000001</v>
      </c>
      <c r="AK6376">
        <v>51.925420000000003</v>
      </c>
    </row>
    <row r="6377" spans="1:37" x14ac:dyDescent="0.3">
      <c r="A6377">
        <v>6376</v>
      </c>
      <c r="B6377">
        <v>14.8</v>
      </c>
      <c r="C6377">
        <v>-10.611599999999999</v>
      </c>
      <c r="D6377">
        <v>13.3344</v>
      </c>
      <c r="E6377">
        <f>-10.6116-13.3344</f>
        <v>-23.945999999999998</v>
      </c>
      <c r="F6377" t="s">
        <v>9813</v>
      </c>
      <c r="G6377" t="s">
        <v>39</v>
      </c>
      <c r="H6377">
        <v>1990</v>
      </c>
      <c r="I6377">
        <v>28.1</v>
      </c>
      <c r="J6377">
        <v>13.3</v>
      </c>
      <c r="K6377">
        <v>61</v>
      </c>
      <c r="L6377">
        <v>19.300609999999999</v>
      </c>
      <c r="M6377">
        <v>38.9</v>
      </c>
      <c r="N6377">
        <v>17.100000000000001</v>
      </c>
      <c r="O6377">
        <v>21.8</v>
      </c>
      <c r="P6377">
        <v>26.9</v>
      </c>
      <c r="Q6377">
        <v>27.8</v>
      </c>
      <c r="R6377">
        <v>31</v>
      </c>
      <c r="S6377">
        <v>26.2</v>
      </c>
      <c r="T6377">
        <v>926.04579999999999</v>
      </c>
      <c r="U6377">
        <v>277.01530000000002</v>
      </c>
      <c r="V6377">
        <v>0</v>
      </c>
      <c r="W6377">
        <v>124.0153</v>
      </c>
      <c r="X6377">
        <v>686.04579999999999</v>
      </c>
      <c r="Y6377">
        <v>0</v>
      </c>
      <c r="Z6377">
        <v>40</v>
      </c>
      <c r="AA6377">
        <v>4</v>
      </c>
      <c r="AB6377">
        <v>4.5407539999999997</v>
      </c>
      <c r="AC6377">
        <v>3.4488190000000002E-2</v>
      </c>
      <c r="AD6377">
        <v>1.2373289999999999</v>
      </c>
      <c r="AE6377">
        <v>0.67294580000000004</v>
      </c>
      <c r="AF6377">
        <v>147.94739999999999</v>
      </c>
      <c r="AG6377">
        <f>IFERROR(AH6377*0.1, "N/A")</f>
        <v>5.8000000000000007</v>
      </c>
      <c r="AH6377">
        <v>58</v>
      </c>
      <c r="AI6377">
        <v>270.13369999999998</v>
      </c>
      <c r="AJ6377">
        <v>17</v>
      </c>
      <c r="AK6377">
        <v>52.069609999999997</v>
      </c>
    </row>
    <row r="6378" spans="1:37" x14ac:dyDescent="0.3">
      <c r="A6378">
        <v>6377</v>
      </c>
      <c r="B6378">
        <v>0</v>
      </c>
      <c r="C6378">
        <v>-10.611599999999999</v>
      </c>
      <c r="D6378">
        <v>13.3344</v>
      </c>
      <c r="E6378">
        <f>-10.6116-13.3344</f>
        <v>-23.945999999999998</v>
      </c>
      <c r="F6378" t="s">
        <v>9814</v>
      </c>
      <c r="G6378" t="s">
        <v>37</v>
      </c>
      <c r="H6378">
        <v>1990</v>
      </c>
      <c r="I6378">
        <v>28.1</v>
      </c>
      <c r="J6378">
        <v>13.3</v>
      </c>
      <c r="K6378">
        <v>61</v>
      </c>
      <c r="L6378">
        <v>19.300609999999999</v>
      </c>
      <c r="M6378">
        <v>38.9</v>
      </c>
      <c r="N6378">
        <v>17.100000000000001</v>
      </c>
      <c r="O6378">
        <v>21.8</v>
      </c>
      <c r="P6378">
        <v>26.9</v>
      </c>
      <c r="Q6378">
        <v>27.8</v>
      </c>
      <c r="R6378">
        <v>31</v>
      </c>
      <c r="S6378">
        <v>26.2</v>
      </c>
      <c r="T6378">
        <v>926.04579999999999</v>
      </c>
      <c r="U6378">
        <v>277.01530000000002</v>
      </c>
      <c r="V6378">
        <v>0</v>
      </c>
      <c r="W6378">
        <v>124.0153</v>
      </c>
      <c r="X6378">
        <v>686.04579999999999</v>
      </c>
      <c r="Y6378">
        <v>0</v>
      </c>
      <c r="Z6378">
        <v>40</v>
      </c>
      <c r="AA6378">
        <v>4</v>
      </c>
      <c r="AB6378">
        <v>4.5407539999999997</v>
      </c>
      <c r="AC6378">
        <v>3.4488190000000002E-2</v>
      </c>
      <c r="AD6378">
        <v>1.2373289999999999</v>
      </c>
      <c r="AE6378">
        <v>0.67294580000000004</v>
      </c>
      <c r="AF6378">
        <v>147.94739999999999</v>
      </c>
      <c r="AG6378">
        <f>IFERROR(AH6378*0.1, "N/A")</f>
        <v>5.8000000000000007</v>
      </c>
      <c r="AH6378">
        <v>58</v>
      </c>
      <c r="AI6378">
        <v>270.13369999999998</v>
      </c>
      <c r="AJ6378">
        <v>17</v>
      </c>
      <c r="AK6378">
        <v>52.069609999999997</v>
      </c>
    </row>
    <row r="6379" spans="1:37" x14ac:dyDescent="0.3">
      <c r="A6379">
        <v>6378</v>
      </c>
      <c r="B6379">
        <v>22</v>
      </c>
      <c r="C6379">
        <v>-7.9175000000000004</v>
      </c>
      <c r="D6379">
        <v>13.3355</v>
      </c>
      <c r="E6379">
        <f>-7.9175-13.3355</f>
        <v>-21.253</v>
      </c>
      <c r="F6379" t="s">
        <v>9815</v>
      </c>
      <c r="G6379" t="s">
        <v>39</v>
      </c>
      <c r="H6379">
        <v>1990</v>
      </c>
      <c r="I6379">
        <v>27</v>
      </c>
      <c r="J6379">
        <v>15.4</v>
      </c>
      <c r="K6379">
        <v>58</v>
      </c>
      <c r="L6379">
        <v>24.878879999999999</v>
      </c>
      <c r="M6379">
        <v>39.200000000000003</v>
      </c>
      <c r="N6379">
        <v>12.9</v>
      </c>
      <c r="O6379">
        <v>26.3</v>
      </c>
      <c r="P6379">
        <v>26</v>
      </c>
      <c r="Q6379">
        <v>24.3</v>
      </c>
      <c r="R6379">
        <v>30.4</v>
      </c>
      <c r="S6379">
        <v>24</v>
      </c>
      <c r="T6379">
        <v>862.92570000000001</v>
      </c>
      <c r="U6379">
        <v>271.96280000000002</v>
      </c>
      <c r="V6379">
        <v>0</v>
      </c>
      <c r="W6379">
        <v>126.9628</v>
      </c>
      <c r="X6379">
        <v>649.96280000000002</v>
      </c>
      <c r="Y6379">
        <v>1</v>
      </c>
      <c r="Z6379">
        <v>54</v>
      </c>
      <c r="AA6379">
        <v>4.9628379999999996</v>
      </c>
      <c r="AB6379">
        <v>3.4405429999999999</v>
      </c>
      <c r="AC6379">
        <v>4.6205570000000001E-2</v>
      </c>
      <c r="AD6379">
        <v>1.040384</v>
      </c>
      <c r="AE6379">
        <v>0.67182459999999999</v>
      </c>
      <c r="AF6379">
        <v>388.36149999999998</v>
      </c>
      <c r="AG6379">
        <f>IFERROR(AH6379*0.1, "N/A")</f>
        <v>5.4962840000000002</v>
      </c>
      <c r="AH6379">
        <v>54.96284</v>
      </c>
      <c r="AI6379">
        <v>126.00790000000001</v>
      </c>
      <c r="AJ6379">
        <v>18.03716</v>
      </c>
      <c r="AK6379">
        <v>54.96284</v>
      </c>
    </row>
    <row r="6380" spans="1:37" x14ac:dyDescent="0.3">
      <c r="A6380">
        <v>6379</v>
      </c>
      <c r="B6380">
        <v>0</v>
      </c>
      <c r="C6380">
        <v>-7.9175000000000004</v>
      </c>
      <c r="D6380">
        <v>13.3355</v>
      </c>
      <c r="E6380">
        <f>-7.9175-13.3355</f>
        <v>-21.253</v>
      </c>
      <c r="F6380" t="s">
        <v>9816</v>
      </c>
      <c r="G6380" t="s">
        <v>37</v>
      </c>
      <c r="H6380">
        <v>1990</v>
      </c>
      <c r="I6380">
        <v>27</v>
      </c>
      <c r="J6380">
        <v>15.4</v>
      </c>
      <c r="K6380">
        <v>58</v>
      </c>
      <c r="L6380">
        <v>24.878879999999999</v>
      </c>
      <c r="M6380">
        <v>39.200000000000003</v>
      </c>
      <c r="N6380">
        <v>12.9</v>
      </c>
      <c r="O6380">
        <v>26.3</v>
      </c>
      <c r="P6380">
        <v>26</v>
      </c>
      <c r="Q6380">
        <v>24.3</v>
      </c>
      <c r="R6380">
        <v>30.4</v>
      </c>
      <c r="S6380">
        <v>24</v>
      </c>
      <c r="T6380">
        <v>862.92570000000001</v>
      </c>
      <c r="U6380">
        <v>271.96280000000002</v>
      </c>
      <c r="V6380">
        <v>0</v>
      </c>
      <c r="W6380">
        <v>126.9628</v>
      </c>
      <c r="X6380">
        <v>649.96280000000002</v>
      </c>
      <c r="Y6380">
        <v>1</v>
      </c>
      <c r="Z6380">
        <v>54</v>
      </c>
      <c r="AA6380">
        <v>4.9628379999999996</v>
      </c>
      <c r="AB6380">
        <v>3.4405429999999999</v>
      </c>
      <c r="AC6380">
        <v>4.6205570000000001E-2</v>
      </c>
      <c r="AD6380">
        <v>1.040384</v>
      </c>
      <c r="AE6380">
        <v>0.67182459999999999</v>
      </c>
      <c r="AF6380">
        <v>388.36149999999998</v>
      </c>
      <c r="AG6380">
        <f>IFERROR(AH6380*0.1, "N/A")</f>
        <v>5.4962840000000002</v>
      </c>
      <c r="AH6380">
        <v>54.96284</v>
      </c>
      <c r="AI6380">
        <v>126.00790000000001</v>
      </c>
      <c r="AJ6380">
        <v>18.03716</v>
      </c>
      <c r="AK6380">
        <v>54.96284</v>
      </c>
    </row>
    <row r="6381" spans="1:37" x14ac:dyDescent="0.3">
      <c r="A6381">
        <v>6380</v>
      </c>
      <c r="B6381">
        <v>26.3</v>
      </c>
      <c r="C6381">
        <v>-7.8833299999999999</v>
      </c>
      <c r="D6381">
        <v>13.35</v>
      </c>
      <c r="E6381">
        <f>-7.88333-13.35</f>
        <v>-21.233329999999999</v>
      </c>
      <c r="F6381" t="s">
        <v>9817</v>
      </c>
      <c r="G6381" t="s">
        <v>39</v>
      </c>
      <c r="H6381">
        <v>1990</v>
      </c>
      <c r="I6381">
        <v>26.9</v>
      </c>
      <c r="J6381">
        <v>15.4</v>
      </c>
      <c r="K6381">
        <v>58</v>
      </c>
      <c r="L6381">
        <v>24.588750000000001</v>
      </c>
      <c r="M6381">
        <v>39.091540000000002</v>
      </c>
      <c r="N6381">
        <v>12.8286</v>
      </c>
      <c r="O6381">
        <v>26.26294</v>
      </c>
      <c r="P6381">
        <v>25.9</v>
      </c>
      <c r="Q6381">
        <v>24.2</v>
      </c>
      <c r="R6381">
        <v>30.2</v>
      </c>
      <c r="S6381">
        <v>24</v>
      </c>
      <c r="T6381">
        <v>855.16070000000002</v>
      </c>
      <c r="U6381">
        <v>269.53809999999999</v>
      </c>
      <c r="V6381">
        <v>0</v>
      </c>
      <c r="W6381">
        <v>125.5381</v>
      </c>
      <c r="X6381">
        <v>645.0761</v>
      </c>
      <c r="Y6381">
        <v>1</v>
      </c>
      <c r="Z6381">
        <v>53</v>
      </c>
      <c r="AA6381">
        <v>4</v>
      </c>
      <c r="AB6381">
        <v>0.89661659999999999</v>
      </c>
      <c r="AC6381">
        <v>0.1787318</v>
      </c>
      <c r="AD6381">
        <v>0.72632770000000002</v>
      </c>
      <c r="AE6381">
        <v>0.66486259999999997</v>
      </c>
      <c r="AF6381">
        <v>409.3723</v>
      </c>
      <c r="AG6381">
        <f>IFERROR(AH6381*0.1, "N/A")</f>
        <v>5.6495770000000007</v>
      </c>
      <c r="AH6381">
        <v>56.49577</v>
      </c>
      <c r="AI6381">
        <v>41.899349999999998</v>
      </c>
      <c r="AJ6381">
        <v>16.252120000000001</v>
      </c>
      <c r="AK6381">
        <v>54.49577</v>
      </c>
    </row>
    <row r="6382" spans="1:37" x14ac:dyDescent="0.3">
      <c r="A6382">
        <v>6381</v>
      </c>
      <c r="B6382">
        <v>0</v>
      </c>
      <c r="C6382">
        <v>-7.8833299999999999</v>
      </c>
      <c r="D6382">
        <v>13.35</v>
      </c>
      <c r="E6382">
        <f>-7.88333-13.35</f>
        <v>-21.233329999999999</v>
      </c>
      <c r="F6382" t="s">
        <v>9818</v>
      </c>
      <c r="G6382" t="s">
        <v>37</v>
      </c>
      <c r="H6382">
        <v>1990</v>
      </c>
      <c r="I6382">
        <v>26.9</v>
      </c>
      <c r="J6382">
        <v>15.4</v>
      </c>
      <c r="K6382">
        <v>58</v>
      </c>
      <c r="L6382">
        <v>24.588750000000001</v>
      </c>
      <c r="M6382">
        <v>39.091540000000002</v>
      </c>
      <c r="N6382">
        <v>12.8286</v>
      </c>
      <c r="O6382">
        <v>26.26294</v>
      </c>
      <c r="P6382">
        <v>25.9</v>
      </c>
      <c r="Q6382">
        <v>24.2</v>
      </c>
      <c r="R6382">
        <v>30.2</v>
      </c>
      <c r="S6382">
        <v>24</v>
      </c>
      <c r="T6382">
        <v>855.16070000000002</v>
      </c>
      <c r="U6382">
        <v>269.53809999999999</v>
      </c>
      <c r="V6382">
        <v>0</v>
      </c>
      <c r="W6382">
        <v>125.5381</v>
      </c>
      <c r="X6382">
        <v>645.0761</v>
      </c>
      <c r="Y6382">
        <v>1</v>
      </c>
      <c r="Z6382">
        <v>53</v>
      </c>
      <c r="AA6382">
        <v>4</v>
      </c>
      <c r="AB6382">
        <v>0.89661659999999999</v>
      </c>
      <c r="AC6382">
        <v>0.1787318</v>
      </c>
      <c r="AD6382">
        <v>0.72632770000000002</v>
      </c>
      <c r="AE6382">
        <v>0.66486259999999997</v>
      </c>
      <c r="AF6382">
        <v>409.3723</v>
      </c>
      <c r="AG6382">
        <f>IFERROR(AH6382*0.1, "N/A")</f>
        <v>5.6495770000000007</v>
      </c>
      <c r="AH6382">
        <v>56.49577</v>
      </c>
      <c r="AI6382">
        <v>41.899349999999998</v>
      </c>
      <c r="AJ6382">
        <v>16.252120000000001</v>
      </c>
      <c r="AK6382">
        <v>54.49577</v>
      </c>
    </row>
    <row r="6383" spans="1:37" x14ac:dyDescent="0.3">
      <c r="A6383">
        <v>6382</v>
      </c>
      <c r="B6383">
        <v>17.3</v>
      </c>
      <c r="C6383">
        <v>-9.3350000000000009</v>
      </c>
      <c r="D6383">
        <v>13.366</v>
      </c>
      <c r="E6383">
        <f>-9.335-13.366</f>
        <v>-22.701000000000001</v>
      </c>
      <c r="F6383" t="s">
        <v>9819</v>
      </c>
      <c r="G6383" t="s">
        <v>39</v>
      </c>
      <c r="H6383">
        <v>1987</v>
      </c>
      <c r="I6383">
        <v>27.5</v>
      </c>
      <c r="J6383">
        <v>13.9</v>
      </c>
      <c r="K6383">
        <v>57</v>
      </c>
      <c r="L6383">
        <v>26.08</v>
      </c>
      <c r="M6383">
        <v>39.4</v>
      </c>
      <c r="N6383">
        <v>15.4</v>
      </c>
      <c r="O6383">
        <v>24</v>
      </c>
      <c r="P6383">
        <v>26.1</v>
      </c>
      <c r="Q6383">
        <v>26.9</v>
      </c>
      <c r="R6383">
        <v>31.3</v>
      </c>
      <c r="S6383">
        <v>24.7</v>
      </c>
      <c r="T6383">
        <v>836</v>
      </c>
      <c r="U6383">
        <v>253</v>
      </c>
      <c r="V6383">
        <v>0</v>
      </c>
      <c r="W6383">
        <v>125</v>
      </c>
      <c r="X6383">
        <v>627</v>
      </c>
      <c r="Y6383">
        <v>1</v>
      </c>
      <c r="Z6383">
        <v>38</v>
      </c>
      <c r="AA6383">
        <v>6</v>
      </c>
      <c r="AB6383">
        <v>2.4302389999999998</v>
      </c>
      <c r="AC6383">
        <v>5.9341280000000003E-2</v>
      </c>
      <c r="AD6383">
        <v>1.1919569999999999</v>
      </c>
      <c r="AE6383">
        <v>0.64253769999999999</v>
      </c>
      <c r="AF6383">
        <v>322.39359999999999</v>
      </c>
      <c r="AG6383">
        <f>IFERROR(AH6383*0.1, "N/A")</f>
        <v>6.0126690000000007</v>
      </c>
      <c r="AH6383">
        <v>60.126690000000004</v>
      </c>
      <c r="AI6383">
        <v>182.4221</v>
      </c>
      <c r="AJ6383">
        <v>13.12669</v>
      </c>
      <c r="AK6383">
        <v>59.11318</v>
      </c>
    </row>
    <row r="6384" spans="1:37" x14ac:dyDescent="0.3">
      <c r="A6384">
        <v>6383</v>
      </c>
      <c r="B6384">
        <v>13</v>
      </c>
      <c r="C6384">
        <v>-11.617000000000001</v>
      </c>
      <c r="D6384">
        <v>13.368</v>
      </c>
      <c r="E6384">
        <f>-11.617-13.368</f>
        <v>-24.984999999999999</v>
      </c>
      <c r="F6384" t="s">
        <v>9820</v>
      </c>
      <c r="G6384" t="s">
        <v>39</v>
      </c>
      <c r="H6384">
        <v>1987</v>
      </c>
      <c r="I6384">
        <v>28.7</v>
      </c>
      <c r="J6384">
        <v>13.2</v>
      </c>
      <c r="K6384">
        <v>59</v>
      </c>
      <c r="L6384">
        <v>21.182690000000001</v>
      </c>
      <c r="M6384">
        <v>39.799999999999997</v>
      </c>
      <c r="N6384">
        <v>17.600000000000001</v>
      </c>
      <c r="O6384">
        <v>22.2</v>
      </c>
      <c r="P6384">
        <v>27.3</v>
      </c>
      <c r="Q6384">
        <v>28.6</v>
      </c>
      <c r="R6384">
        <v>31.9</v>
      </c>
      <c r="S6384">
        <v>26.75178</v>
      </c>
      <c r="T6384">
        <v>930.51779999999997</v>
      </c>
      <c r="U6384">
        <v>290</v>
      </c>
      <c r="V6384">
        <v>0</v>
      </c>
      <c r="W6384">
        <v>126</v>
      </c>
      <c r="X6384">
        <v>697</v>
      </c>
      <c r="Y6384">
        <v>0</v>
      </c>
      <c r="Z6384">
        <v>44.517769999999999</v>
      </c>
      <c r="AA6384">
        <v>3</v>
      </c>
      <c r="AB6384">
        <v>5.5064260000000003</v>
      </c>
      <c r="AC6384">
        <v>4.6756199999999998E-2</v>
      </c>
      <c r="AD6384">
        <v>1.027684</v>
      </c>
      <c r="AE6384">
        <v>0.171819</v>
      </c>
      <c r="AF6384">
        <v>85.780029999999996</v>
      </c>
      <c r="AG6384">
        <f>IFERROR(AH6384*0.1, "N/A")</f>
        <v>6.2517770000000006</v>
      </c>
      <c r="AH6384">
        <v>62.517769999999999</v>
      </c>
      <c r="AI6384">
        <v>172.65</v>
      </c>
      <c r="AJ6384">
        <v>27.49239</v>
      </c>
      <c r="AK6384">
        <v>41.143819999999998</v>
      </c>
    </row>
    <row r="6385" spans="1:37" x14ac:dyDescent="0.3">
      <c r="A6385">
        <v>6384</v>
      </c>
      <c r="B6385">
        <v>10</v>
      </c>
      <c r="C6385">
        <v>-11.617000000000001</v>
      </c>
      <c r="D6385">
        <v>13.368</v>
      </c>
      <c r="E6385">
        <f>-11.617-13.368</f>
        <v>-24.984999999999999</v>
      </c>
      <c r="F6385" t="s">
        <v>9821</v>
      </c>
      <c r="G6385" t="s">
        <v>37</v>
      </c>
      <c r="H6385">
        <v>1987</v>
      </c>
      <c r="I6385">
        <v>28.7</v>
      </c>
      <c r="J6385">
        <v>13.2</v>
      </c>
      <c r="K6385">
        <v>59</v>
      </c>
      <c r="L6385">
        <v>21.182690000000001</v>
      </c>
      <c r="M6385">
        <v>39.799999999999997</v>
      </c>
      <c r="N6385">
        <v>17.600000000000001</v>
      </c>
      <c r="O6385">
        <v>22.2</v>
      </c>
      <c r="P6385">
        <v>27.3</v>
      </c>
      <c r="Q6385">
        <v>28.6</v>
      </c>
      <c r="R6385">
        <v>31.9</v>
      </c>
      <c r="S6385">
        <v>26.75178</v>
      </c>
      <c r="T6385">
        <v>930.51779999999997</v>
      </c>
      <c r="U6385">
        <v>290</v>
      </c>
      <c r="V6385">
        <v>0</v>
      </c>
      <c r="W6385">
        <v>126</v>
      </c>
      <c r="X6385">
        <v>697</v>
      </c>
      <c r="Y6385">
        <v>0</v>
      </c>
      <c r="Z6385">
        <v>44.517769999999999</v>
      </c>
      <c r="AA6385">
        <v>3</v>
      </c>
      <c r="AB6385">
        <v>5.5064260000000003</v>
      </c>
      <c r="AC6385">
        <v>4.6756199999999998E-2</v>
      </c>
      <c r="AD6385">
        <v>1.027684</v>
      </c>
      <c r="AE6385">
        <v>0.171819</v>
      </c>
      <c r="AF6385">
        <v>85.780029999999996</v>
      </c>
      <c r="AG6385">
        <f>IFERROR(AH6385*0.1, "N/A")</f>
        <v>6.2517770000000006</v>
      </c>
      <c r="AH6385">
        <v>62.517769999999999</v>
      </c>
      <c r="AI6385">
        <v>172.65</v>
      </c>
      <c r="AJ6385">
        <v>27.49239</v>
      </c>
      <c r="AK6385">
        <v>41.143819999999998</v>
      </c>
    </row>
    <row r="6386" spans="1:37" x14ac:dyDescent="0.3">
      <c r="A6386">
        <v>6385</v>
      </c>
      <c r="B6386">
        <v>100</v>
      </c>
      <c r="C6386">
        <v>-6.3704000000000001</v>
      </c>
      <c r="D6386">
        <v>13.3703</v>
      </c>
      <c r="E6386">
        <f>-6.3704-13.3703</f>
        <v>-19.7407</v>
      </c>
      <c r="F6386" t="s">
        <v>9822</v>
      </c>
      <c r="G6386" t="s">
        <v>39</v>
      </c>
      <c r="H6386">
        <v>2006</v>
      </c>
      <c r="I6386">
        <v>27.7</v>
      </c>
      <c r="J6386">
        <v>14.1</v>
      </c>
      <c r="K6386">
        <v>58</v>
      </c>
      <c r="L6386">
        <v>25.31</v>
      </c>
      <c r="M6386">
        <v>39.200000000000003</v>
      </c>
      <c r="N6386">
        <v>15</v>
      </c>
      <c r="O6386">
        <v>24.2</v>
      </c>
      <c r="P6386">
        <v>26.8</v>
      </c>
      <c r="Q6386">
        <v>24.8</v>
      </c>
      <c r="R6386">
        <v>31.2</v>
      </c>
      <c r="S6386">
        <v>24.8</v>
      </c>
      <c r="T6386">
        <v>651</v>
      </c>
      <c r="U6386">
        <v>216</v>
      </c>
      <c r="V6386">
        <v>0</v>
      </c>
      <c r="W6386">
        <v>130</v>
      </c>
      <c r="X6386">
        <v>497</v>
      </c>
      <c r="Y6386">
        <v>0</v>
      </c>
      <c r="Z6386">
        <v>127</v>
      </c>
      <c r="AA6386">
        <v>0</v>
      </c>
      <c r="AB6386">
        <v>5.8335590000000002</v>
      </c>
      <c r="AC6386">
        <v>8.5451450000000005E-3</v>
      </c>
      <c r="AD6386">
        <v>1.790173</v>
      </c>
      <c r="AE6386">
        <v>0.40688259999999998</v>
      </c>
      <c r="AF6386">
        <v>296.4452</v>
      </c>
      <c r="AG6386">
        <f>IFERROR(AH6386*0.1, "N/A")</f>
        <v>6.0242830000000005</v>
      </c>
      <c r="AH6386">
        <v>60.242829999999998</v>
      </c>
      <c r="AI6386">
        <v>220.64259999999999</v>
      </c>
      <c r="AJ6386">
        <v>18.620570000000001</v>
      </c>
      <c r="AK6386">
        <v>56.433390000000003</v>
      </c>
    </row>
    <row r="6387" spans="1:37" x14ac:dyDescent="0.3">
      <c r="A6387">
        <v>6386</v>
      </c>
      <c r="B6387">
        <v>0</v>
      </c>
      <c r="C6387">
        <v>-6.3704000000000001</v>
      </c>
      <c r="D6387">
        <v>13.3703</v>
      </c>
      <c r="E6387">
        <f>-6.3704-13.3703</f>
        <v>-19.7407</v>
      </c>
      <c r="F6387" t="s">
        <v>9823</v>
      </c>
      <c r="G6387" t="s">
        <v>37</v>
      </c>
      <c r="H6387">
        <v>2006</v>
      </c>
      <c r="I6387">
        <v>27.7</v>
      </c>
      <c r="J6387">
        <v>14.1</v>
      </c>
      <c r="K6387">
        <v>58</v>
      </c>
      <c r="L6387">
        <v>25.31</v>
      </c>
      <c r="M6387">
        <v>39.200000000000003</v>
      </c>
      <c r="N6387">
        <v>15</v>
      </c>
      <c r="O6387">
        <v>24.2</v>
      </c>
      <c r="P6387">
        <v>26.8</v>
      </c>
      <c r="Q6387">
        <v>24.8</v>
      </c>
      <c r="R6387">
        <v>31.2</v>
      </c>
      <c r="S6387">
        <v>24.8</v>
      </c>
      <c r="T6387">
        <v>651</v>
      </c>
      <c r="U6387">
        <v>216</v>
      </c>
      <c r="V6387">
        <v>0</v>
      </c>
      <c r="W6387">
        <v>130</v>
      </c>
      <c r="X6387">
        <v>497</v>
      </c>
      <c r="Y6387">
        <v>0</v>
      </c>
      <c r="Z6387">
        <v>127</v>
      </c>
      <c r="AA6387">
        <v>0</v>
      </c>
      <c r="AB6387">
        <v>5.8335590000000002</v>
      </c>
      <c r="AC6387">
        <v>8.5451450000000005E-3</v>
      </c>
      <c r="AD6387">
        <v>1.790173</v>
      </c>
      <c r="AE6387">
        <v>0.40688259999999998</v>
      </c>
      <c r="AF6387">
        <v>296.4452</v>
      </c>
      <c r="AG6387">
        <f>IFERROR(AH6387*0.1, "N/A")</f>
        <v>6.0242830000000005</v>
      </c>
      <c r="AH6387">
        <v>60.242829999999998</v>
      </c>
      <c r="AI6387">
        <v>220.64259999999999</v>
      </c>
      <c r="AJ6387">
        <v>18.620570000000001</v>
      </c>
      <c r="AK6387">
        <v>56.433390000000003</v>
      </c>
    </row>
    <row r="6388" spans="1:37" x14ac:dyDescent="0.3">
      <c r="A6388">
        <v>6387</v>
      </c>
      <c r="B6388">
        <v>45</v>
      </c>
      <c r="C6388">
        <v>-4.7350000000000003</v>
      </c>
      <c r="D6388">
        <v>13.3703</v>
      </c>
      <c r="E6388">
        <f>-4.735-13.3703</f>
        <v>-18.1053</v>
      </c>
      <c r="F6388" t="s">
        <v>9824</v>
      </c>
      <c r="G6388" t="s">
        <v>39</v>
      </c>
      <c r="H6388">
        <v>1990</v>
      </c>
      <c r="I6388">
        <v>27.9</v>
      </c>
      <c r="J6388">
        <v>14.2</v>
      </c>
      <c r="K6388">
        <v>56</v>
      </c>
      <c r="L6388">
        <v>26.81</v>
      </c>
      <c r="M6388">
        <v>39.4</v>
      </c>
      <c r="N6388">
        <v>14.1</v>
      </c>
      <c r="O6388">
        <v>25.3</v>
      </c>
      <c r="P6388">
        <v>27.2</v>
      </c>
      <c r="Q6388">
        <v>24.5</v>
      </c>
      <c r="R6388">
        <v>31.5</v>
      </c>
      <c r="S6388">
        <v>24.5</v>
      </c>
      <c r="T6388">
        <v>698</v>
      </c>
      <c r="U6388">
        <v>215</v>
      </c>
      <c r="V6388">
        <v>0</v>
      </c>
      <c r="W6388">
        <v>124</v>
      </c>
      <c r="X6388">
        <v>521</v>
      </c>
      <c r="Y6388">
        <v>0</v>
      </c>
      <c r="Z6388">
        <v>143</v>
      </c>
      <c r="AA6388">
        <v>0</v>
      </c>
      <c r="AB6388">
        <v>1.401168</v>
      </c>
      <c r="AC6388">
        <v>2.6102129999999999</v>
      </c>
      <c r="AD6388">
        <v>0.96862040000000005</v>
      </c>
      <c r="AE6388">
        <v>0.47569650000000002</v>
      </c>
      <c r="AF6388">
        <v>279.97469999999998</v>
      </c>
      <c r="AG6388">
        <f>IFERROR(AH6388*0.1, "N/A")</f>
        <v>5.8526940000000005</v>
      </c>
      <c r="AH6388">
        <v>58.526940000000003</v>
      </c>
      <c r="AI6388">
        <v>136.47460000000001</v>
      </c>
      <c r="AJ6388">
        <v>14.10101</v>
      </c>
      <c r="AK6388">
        <v>61.425930000000001</v>
      </c>
    </row>
    <row r="6389" spans="1:37" x14ac:dyDescent="0.3">
      <c r="A6389">
        <v>6388</v>
      </c>
      <c r="B6389">
        <v>2.5</v>
      </c>
      <c r="C6389">
        <v>-4.7350000000000003</v>
      </c>
      <c r="D6389">
        <v>13.3703</v>
      </c>
      <c r="E6389">
        <f>-4.735-13.3703</f>
        <v>-18.1053</v>
      </c>
      <c r="F6389" t="s">
        <v>9825</v>
      </c>
      <c r="G6389" t="s">
        <v>37</v>
      </c>
      <c r="H6389">
        <v>1990</v>
      </c>
      <c r="I6389">
        <v>27.9</v>
      </c>
      <c r="J6389">
        <v>14.2</v>
      </c>
      <c r="K6389">
        <v>56</v>
      </c>
      <c r="L6389">
        <v>26.81</v>
      </c>
      <c r="M6389">
        <v>39.4</v>
      </c>
      <c r="N6389">
        <v>14.1</v>
      </c>
      <c r="O6389">
        <v>25.3</v>
      </c>
      <c r="P6389">
        <v>27.2</v>
      </c>
      <c r="Q6389">
        <v>24.5</v>
      </c>
      <c r="R6389">
        <v>31.5</v>
      </c>
      <c r="S6389">
        <v>24.5</v>
      </c>
      <c r="T6389">
        <v>698</v>
      </c>
      <c r="U6389">
        <v>215</v>
      </c>
      <c r="V6389">
        <v>0</v>
      </c>
      <c r="W6389">
        <v>124</v>
      </c>
      <c r="X6389">
        <v>521</v>
      </c>
      <c r="Y6389">
        <v>0</v>
      </c>
      <c r="Z6389">
        <v>143</v>
      </c>
      <c r="AA6389">
        <v>0</v>
      </c>
      <c r="AB6389">
        <v>1.401168</v>
      </c>
      <c r="AC6389">
        <v>2.6102129999999999</v>
      </c>
      <c r="AD6389">
        <v>0.96862040000000005</v>
      </c>
      <c r="AE6389">
        <v>0.47569650000000002</v>
      </c>
      <c r="AF6389">
        <v>279.97469999999998</v>
      </c>
      <c r="AG6389">
        <f>IFERROR(AH6389*0.1, "N/A")</f>
        <v>5.8526940000000005</v>
      </c>
      <c r="AH6389">
        <v>58.526940000000003</v>
      </c>
      <c r="AI6389">
        <v>136.47460000000001</v>
      </c>
      <c r="AJ6389">
        <v>14.10101</v>
      </c>
      <c r="AK6389">
        <v>61.425930000000001</v>
      </c>
    </row>
    <row r="6390" spans="1:37" x14ac:dyDescent="0.3">
      <c r="A6390">
        <v>6389</v>
      </c>
      <c r="B6390">
        <v>25.5</v>
      </c>
      <c r="C6390">
        <v>-6.0073999999999996</v>
      </c>
      <c r="D6390">
        <v>13.3706</v>
      </c>
      <c r="E6390">
        <f>-6.0074-13.3706</f>
        <v>-19.378</v>
      </c>
      <c r="F6390" t="s">
        <v>9826</v>
      </c>
      <c r="G6390" t="s">
        <v>39</v>
      </c>
      <c r="H6390">
        <v>1990</v>
      </c>
      <c r="I6390">
        <v>27.7</v>
      </c>
      <c r="J6390">
        <v>14.3</v>
      </c>
      <c r="K6390">
        <v>57</v>
      </c>
      <c r="L6390">
        <v>25.831140000000001</v>
      </c>
      <c r="M6390">
        <v>39.291020000000003</v>
      </c>
      <c r="N6390">
        <v>14.4</v>
      </c>
      <c r="O6390">
        <v>24.891020000000001</v>
      </c>
      <c r="P6390">
        <v>26.9</v>
      </c>
      <c r="Q6390">
        <v>24.6</v>
      </c>
      <c r="R6390">
        <v>31.2</v>
      </c>
      <c r="S6390">
        <v>24.6</v>
      </c>
      <c r="T6390">
        <v>703.82029999999997</v>
      </c>
      <c r="U6390">
        <v>224</v>
      </c>
      <c r="V6390">
        <v>0</v>
      </c>
      <c r="W6390">
        <v>127</v>
      </c>
      <c r="X6390">
        <v>527.91020000000003</v>
      </c>
      <c r="Y6390">
        <v>0</v>
      </c>
      <c r="Z6390">
        <v>138.9102</v>
      </c>
      <c r="AA6390">
        <v>2</v>
      </c>
      <c r="AB6390">
        <v>0.3733728</v>
      </c>
      <c r="AC6390">
        <v>1.21566E-2</v>
      </c>
      <c r="AD6390">
        <v>2.174823</v>
      </c>
      <c r="AE6390">
        <v>0.33109159999999999</v>
      </c>
      <c r="AF6390">
        <v>280.68310000000002</v>
      </c>
      <c r="AG6390">
        <f>IFERROR(AH6390*0.1, "N/A")</f>
        <v>5.9910170000000003</v>
      </c>
      <c r="AH6390">
        <v>59.910170000000001</v>
      </c>
      <c r="AI6390">
        <v>85.362030000000004</v>
      </c>
      <c r="AJ6390">
        <v>12</v>
      </c>
      <c r="AK6390">
        <v>64.089830000000006</v>
      </c>
    </row>
    <row r="6391" spans="1:37" x14ac:dyDescent="0.3">
      <c r="A6391">
        <v>6390</v>
      </c>
      <c r="B6391">
        <v>1.3</v>
      </c>
      <c r="C6391">
        <v>-6.0073999999999996</v>
      </c>
      <c r="D6391">
        <v>13.3706</v>
      </c>
      <c r="E6391">
        <f>-6.0074-13.3706</f>
        <v>-19.378</v>
      </c>
      <c r="F6391" t="s">
        <v>9827</v>
      </c>
      <c r="G6391" t="s">
        <v>37</v>
      </c>
      <c r="H6391">
        <v>1990</v>
      </c>
      <c r="I6391">
        <v>27.7</v>
      </c>
      <c r="J6391">
        <v>14.3</v>
      </c>
      <c r="K6391">
        <v>57</v>
      </c>
      <c r="L6391">
        <v>25.831140000000001</v>
      </c>
      <c r="M6391">
        <v>39.291020000000003</v>
      </c>
      <c r="N6391">
        <v>14.4</v>
      </c>
      <c r="O6391">
        <v>24.891020000000001</v>
      </c>
      <c r="P6391">
        <v>26.9</v>
      </c>
      <c r="Q6391">
        <v>24.6</v>
      </c>
      <c r="R6391">
        <v>31.2</v>
      </c>
      <c r="S6391">
        <v>24.6</v>
      </c>
      <c r="T6391">
        <v>703.82029999999997</v>
      </c>
      <c r="U6391">
        <v>224</v>
      </c>
      <c r="V6391">
        <v>0</v>
      </c>
      <c r="W6391">
        <v>127</v>
      </c>
      <c r="X6391">
        <v>527.91020000000003</v>
      </c>
      <c r="Y6391">
        <v>0</v>
      </c>
      <c r="Z6391">
        <v>138.9102</v>
      </c>
      <c r="AA6391">
        <v>2</v>
      </c>
      <c r="AB6391">
        <v>0.3733728</v>
      </c>
      <c r="AC6391">
        <v>1.21566E-2</v>
      </c>
      <c r="AD6391">
        <v>2.174823</v>
      </c>
      <c r="AE6391">
        <v>0.33109159999999999</v>
      </c>
      <c r="AF6391">
        <v>280.68310000000002</v>
      </c>
      <c r="AG6391">
        <f>IFERROR(AH6391*0.1, "N/A")</f>
        <v>5.9910170000000003</v>
      </c>
      <c r="AH6391">
        <v>59.910170000000001</v>
      </c>
      <c r="AI6391">
        <v>85.362030000000004</v>
      </c>
      <c r="AJ6391">
        <v>12</v>
      </c>
      <c r="AK6391">
        <v>64.089830000000006</v>
      </c>
    </row>
    <row r="6392" spans="1:37" x14ac:dyDescent="0.3">
      <c r="A6392">
        <v>6391</v>
      </c>
      <c r="B6392">
        <v>21</v>
      </c>
      <c r="C6392">
        <v>-4.9137000000000004</v>
      </c>
      <c r="D6392">
        <v>13.3733</v>
      </c>
      <c r="E6392">
        <f>-4.9137-13.3733</f>
        <v>-18.286999999999999</v>
      </c>
      <c r="F6392" t="s">
        <v>9828</v>
      </c>
      <c r="G6392" t="s">
        <v>39</v>
      </c>
      <c r="H6392">
        <v>1990</v>
      </c>
      <c r="I6392">
        <v>27.9</v>
      </c>
      <c r="J6392">
        <v>14.4</v>
      </c>
      <c r="K6392">
        <v>56</v>
      </c>
      <c r="L6392">
        <v>26.32</v>
      </c>
      <c r="M6392">
        <v>39.6</v>
      </c>
      <c r="N6392">
        <v>14</v>
      </c>
      <c r="O6392">
        <v>25.6</v>
      </c>
      <c r="P6392">
        <v>27.1</v>
      </c>
      <c r="Q6392">
        <v>24.7</v>
      </c>
      <c r="R6392">
        <v>31.4</v>
      </c>
      <c r="S6392">
        <v>24.7</v>
      </c>
      <c r="T6392">
        <v>684</v>
      </c>
      <c r="U6392">
        <v>215</v>
      </c>
      <c r="V6392">
        <v>0</v>
      </c>
      <c r="W6392">
        <v>124</v>
      </c>
      <c r="X6392">
        <v>511</v>
      </c>
      <c r="Y6392">
        <v>1</v>
      </c>
      <c r="Z6392">
        <v>139</v>
      </c>
      <c r="AA6392">
        <v>1</v>
      </c>
      <c r="AB6392">
        <v>3.4040680000000001</v>
      </c>
      <c r="AC6392">
        <v>1.509507E-2</v>
      </c>
      <c r="AD6392">
        <v>1.141659</v>
      </c>
      <c r="AE6392">
        <v>0.27417419999999998</v>
      </c>
      <c r="AF6392">
        <v>274.02359999999999</v>
      </c>
      <c r="AG6392">
        <f>IFERROR(AH6392*0.1, "N/A")</f>
        <v>5.8006760000000002</v>
      </c>
      <c r="AH6392">
        <v>58.00676</v>
      </c>
      <c r="AI6392">
        <v>240.52269999999999</v>
      </c>
      <c r="AJ6392">
        <v>14.01351</v>
      </c>
      <c r="AK6392">
        <v>61.99324</v>
      </c>
    </row>
    <row r="6393" spans="1:37" x14ac:dyDescent="0.3">
      <c r="A6393">
        <v>6392</v>
      </c>
      <c r="B6393">
        <v>0</v>
      </c>
      <c r="C6393">
        <v>-4.9137000000000004</v>
      </c>
      <c r="D6393">
        <v>13.3733</v>
      </c>
      <c r="E6393">
        <f>-4.9137-13.3733</f>
        <v>-18.286999999999999</v>
      </c>
      <c r="F6393" t="s">
        <v>9829</v>
      </c>
      <c r="G6393" t="s">
        <v>37</v>
      </c>
      <c r="H6393">
        <v>1990</v>
      </c>
      <c r="I6393">
        <v>27.9</v>
      </c>
      <c r="J6393">
        <v>14.4</v>
      </c>
      <c r="K6393">
        <v>56</v>
      </c>
      <c r="L6393">
        <v>26.32</v>
      </c>
      <c r="M6393">
        <v>39.6</v>
      </c>
      <c r="N6393">
        <v>14</v>
      </c>
      <c r="O6393">
        <v>25.6</v>
      </c>
      <c r="P6393">
        <v>27.1</v>
      </c>
      <c r="Q6393">
        <v>24.7</v>
      </c>
      <c r="R6393">
        <v>31.4</v>
      </c>
      <c r="S6393">
        <v>24.7</v>
      </c>
      <c r="T6393">
        <v>684</v>
      </c>
      <c r="U6393">
        <v>215</v>
      </c>
      <c r="V6393">
        <v>0</v>
      </c>
      <c r="W6393">
        <v>124</v>
      </c>
      <c r="X6393">
        <v>511</v>
      </c>
      <c r="Y6393">
        <v>1</v>
      </c>
      <c r="Z6393">
        <v>139</v>
      </c>
      <c r="AA6393">
        <v>1</v>
      </c>
      <c r="AB6393">
        <v>3.4040680000000001</v>
      </c>
      <c r="AC6393">
        <v>1.509507E-2</v>
      </c>
      <c r="AD6393">
        <v>1.141659</v>
      </c>
      <c r="AE6393">
        <v>0.27417419999999998</v>
      </c>
      <c r="AF6393">
        <v>274.02359999999999</v>
      </c>
      <c r="AG6393">
        <f>IFERROR(AH6393*0.1, "N/A")</f>
        <v>5.8006760000000002</v>
      </c>
      <c r="AH6393">
        <v>58.00676</v>
      </c>
      <c r="AI6393">
        <v>240.52269999999999</v>
      </c>
      <c r="AJ6393">
        <v>14.01351</v>
      </c>
      <c r="AK6393">
        <v>61.99324</v>
      </c>
    </row>
    <row r="6394" spans="1:37" x14ac:dyDescent="0.3">
      <c r="A6394">
        <v>6393</v>
      </c>
      <c r="B6394">
        <v>50</v>
      </c>
      <c r="C6394">
        <v>-4.9167500000000004</v>
      </c>
      <c r="D6394">
        <v>13.376300000000001</v>
      </c>
      <c r="E6394">
        <f>-4.91675-13.3763</f>
        <v>-18.293050000000001</v>
      </c>
      <c r="F6394" t="s">
        <v>9830</v>
      </c>
      <c r="G6394" t="s">
        <v>39</v>
      </c>
      <c r="H6394">
        <v>2006</v>
      </c>
      <c r="I6394">
        <v>27.9</v>
      </c>
      <c r="J6394">
        <v>14.5</v>
      </c>
      <c r="K6394">
        <v>56</v>
      </c>
      <c r="L6394">
        <v>26.923200000000001</v>
      </c>
      <c r="M6394">
        <v>39.700000000000003</v>
      </c>
      <c r="N6394">
        <v>13.9</v>
      </c>
      <c r="O6394">
        <v>25.8</v>
      </c>
      <c r="P6394">
        <v>27.128309999999999</v>
      </c>
      <c r="Q6394">
        <v>24.528310000000001</v>
      </c>
      <c r="R6394">
        <v>31.5</v>
      </c>
      <c r="S6394">
        <v>24.528310000000001</v>
      </c>
      <c r="T6394">
        <v>683.28309999999999</v>
      </c>
      <c r="U6394">
        <v>215</v>
      </c>
      <c r="V6394">
        <v>0</v>
      </c>
      <c r="W6394">
        <v>125.43389999999999</v>
      </c>
      <c r="X6394">
        <v>510.28309999999999</v>
      </c>
      <c r="Y6394">
        <v>1</v>
      </c>
      <c r="Z6394">
        <v>139</v>
      </c>
      <c r="AA6394">
        <v>1</v>
      </c>
      <c r="AB6394">
        <v>3.14202</v>
      </c>
      <c r="AC6394">
        <v>1.7261370000000002E-2</v>
      </c>
      <c r="AD6394">
        <v>1.6544559999999999</v>
      </c>
      <c r="AE6394">
        <v>0.27417419999999998</v>
      </c>
      <c r="AF6394">
        <v>274.78140000000002</v>
      </c>
      <c r="AG6394">
        <f>IFERROR(AH6394*0.1, "N/A")</f>
        <v>6.344068</v>
      </c>
      <c r="AH6394">
        <v>63.44068</v>
      </c>
      <c r="AI6394">
        <v>207.047</v>
      </c>
      <c r="AJ6394">
        <v>23.3322</v>
      </c>
      <c r="AK6394">
        <v>54.562710000000003</v>
      </c>
    </row>
    <row r="6395" spans="1:37" x14ac:dyDescent="0.3">
      <c r="A6395">
        <v>6394</v>
      </c>
      <c r="B6395">
        <v>0</v>
      </c>
      <c r="C6395">
        <v>-4.9167500000000004</v>
      </c>
      <c r="D6395">
        <v>13.376300000000001</v>
      </c>
      <c r="E6395">
        <f>-4.91675-13.3763</f>
        <v>-18.293050000000001</v>
      </c>
      <c r="F6395" t="s">
        <v>9831</v>
      </c>
      <c r="G6395" t="s">
        <v>37</v>
      </c>
      <c r="H6395">
        <v>2006</v>
      </c>
      <c r="I6395">
        <v>27.9</v>
      </c>
      <c r="J6395">
        <v>14.5</v>
      </c>
      <c r="K6395">
        <v>56</v>
      </c>
      <c r="L6395">
        <v>26.923200000000001</v>
      </c>
      <c r="M6395">
        <v>39.700000000000003</v>
      </c>
      <c r="N6395">
        <v>13.9</v>
      </c>
      <c r="O6395">
        <v>25.8</v>
      </c>
      <c r="P6395">
        <v>27.128309999999999</v>
      </c>
      <c r="Q6395">
        <v>24.528310000000001</v>
      </c>
      <c r="R6395">
        <v>31.5</v>
      </c>
      <c r="S6395">
        <v>24.528310000000001</v>
      </c>
      <c r="T6395">
        <v>683.28309999999999</v>
      </c>
      <c r="U6395">
        <v>215</v>
      </c>
      <c r="V6395">
        <v>0</v>
      </c>
      <c r="W6395">
        <v>125.43389999999999</v>
      </c>
      <c r="X6395">
        <v>510.28309999999999</v>
      </c>
      <c r="Y6395">
        <v>1</v>
      </c>
      <c r="Z6395">
        <v>139</v>
      </c>
      <c r="AA6395">
        <v>1</v>
      </c>
      <c r="AB6395">
        <v>3.14202</v>
      </c>
      <c r="AC6395">
        <v>1.7261370000000002E-2</v>
      </c>
      <c r="AD6395">
        <v>1.6544559999999999</v>
      </c>
      <c r="AE6395">
        <v>0.27417419999999998</v>
      </c>
      <c r="AF6395">
        <v>274.78140000000002</v>
      </c>
      <c r="AG6395">
        <f>IFERROR(AH6395*0.1, "N/A")</f>
        <v>6.344068</v>
      </c>
      <c r="AH6395">
        <v>63.44068</v>
      </c>
      <c r="AI6395">
        <v>207.047</v>
      </c>
      <c r="AJ6395">
        <v>23.3322</v>
      </c>
      <c r="AK6395">
        <v>54.562710000000003</v>
      </c>
    </row>
    <row r="6396" spans="1:37" x14ac:dyDescent="0.3">
      <c r="A6396">
        <v>6395</v>
      </c>
      <c r="B6396">
        <v>43.8</v>
      </c>
      <c r="C6396">
        <v>-3.3160500000000002</v>
      </c>
      <c r="D6396">
        <v>13.3865</v>
      </c>
      <c r="E6396">
        <f>-3.31605-13.3865</f>
        <v>-16.702549999999999</v>
      </c>
      <c r="F6396" t="s">
        <v>9832</v>
      </c>
      <c r="G6396" t="s">
        <v>39</v>
      </c>
      <c r="H6396">
        <v>1990</v>
      </c>
      <c r="I6396">
        <v>28.409459999999999</v>
      </c>
      <c r="J6396">
        <v>13.4</v>
      </c>
      <c r="K6396">
        <v>59</v>
      </c>
      <c r="L6396">
        <v>24.80987</v>
      </c>
      <c r="M6396">
        <v>39.5</v>
      </c>
      <c r="N6396">
        <v>16.8</v>
      </c>
      <c r="O6396">
        <v>22.7</v>
      </c>
      <c r="P6396">
        <v>27.309460000000001</v>
      </c>
      <c r="Q6396">
        <v>27.2</v>
      </c>
      <c r="R6396">
        <v>31.70946</v>
      </c>
      <c r="S6396">
        <v>25.5</v>
      </c>
      <c r="T6396">
        <v>587.09460000000001</v>
      </c>
      <c r="U6396">
        <v>184</v>
      </c>
      <c r="V6396">
        <v>0</v>
      </c>
      <c r="W6396">
        <v>128.71619999999999</v>
      </c>
      <c r="X6396">
        <v>444</v>
      </c>
      <c r="Y6396">
        <v>1</v>
      </c>
      <c r="Z6396">
        <v>116.0946</v>
      </c>
      <c r="AA6396">
        <v>1</v>
      </c>
      <c r="AB6396">
        <v>1.2464500000000001</v>
      </c>
      <c r="AC6396">
        <v>1.7314840000000001E-2</v>
      </c>
      <c r="AD6396">
        <v>0.89287360000000005</v>
      </c>
      <c r="AE6396">
        <v>0.44855210000000001</v>
      </c>
      <c r="AF6396">
        <v>257.48140000000001</v>
      </c>
      <c r="AG6396">
        <f>IFERROR(AH6396*0.1, "N/A")</f>
        <v>6.0168920000000004</v>
      </c>
      <c r="AH6396">
        <v>60.16892</v>
      </c>
      <c r="AI6396">
        <v>143.828</v>
      </c>
      <c r="AJ6396">
        <v>20.38682</v>
      </c>
      <c r="AK6396">
        <v>58.189190000000004</v>
      </c>
    </row>
    <row r="6397" spans="1:37" x14ac:dyDescent="0.3">
      <c r="A6397">
        <v>6396</v>
      </c>
      <c r="B6397">
        <v>0</v>
      </c>
      <c r="C6397">
        <v>-3.3160500000000002</v>
      </c>
      <c r="D6397">
        <v>13.3865</v>
      </c>
      <c r="E6397">
        <f>-3.31605-13.3865</f>
        <v>-16.702549999999999</v>
      </c>
      <c r="F6397" t="s">
        <v>9833</v>
      </c>
      <c r="G6397" t="s">
        <v>37</v>
      </c>
      <c r="H6397">
        <v>1990</v>
      </c>
      <c r="I6397">
        <v>28.409459999999999</v>
      </c>
      <c r="J6397">
        <v>13.4</v>
      </c>
      <c r="K6397">
        <v>59</v>
      </c>
      <c r="L6397">
        <v>24.80987</v>
      </c>
      <c r="M6397">
        <v>39.5</v>
      </c>
      <c r="N6397">
        <v>16.8</v>
      </c>
      <c r="O6397">
        <v>22.7</v>
      </c>
      <c r="P6397">
        <v>27.309460000000001</v>
      </c>
      <c r="Q6397">
        <v>27.2</v>
      </c>
      <c r="R6397">
        <v>31.70946</v>
      </c>
      <c r="S6397">
        <v>25.5</v>
      </c>
      <c r="T6397">
        <v>587.09460000000001</v>
      </c>
      <c r="U6397">
        <v>184</v>
      </c>
      <c r="V6397">
        <v>0</v>
      </c>
      <c r="W6397">
        <v>128.71619999999999</v>
      </c>
      <c r="X6397">
        <v>444</v>
      </c>
      <c r="Y6397">
        <v>1</v>
      </c>
      <c r="Z6397">
        <v>116.0946</v>
      </c>
      <c r="AA6397">
        <v>1</v>
      </c>
      <c r="AB6397">
        <v>1.2464500000000001</v>
      </c>
      <c r="AC6397">
        <v>1.7314840000000001E-2</v>
      </c>
      <c r="AD6397">
        <v>0.89287360000000005</v>
      </c>
      <c r="AE6397">
        <v>0.44855210000000001</v>
      </c>
      <c r="AF6397">
        <v>257.48140000000001</v>
      </c>
      <c r="AG6397">
        <f>IFERROR(AH6397*0.1, "N/A")</f>
        <v>6.0168920000000004</v>
      </c>
      <c r="AH6397">
        <v>60.16892</v>
      </c>
      <c r="AI6397">
        <v>143.828</v>
      </c>
      <c r="AJ6397">
        <v>20.38682</v>
      </c>
      <c r="AK6397">
        <v>58.189190000000004</v>
      </c>
    </row>
    <row r="6398" spans="1:37" x14ac:dyDescent="0.3">
      <c r="A6398">
        <v>6397</v>
      </c>
      <c r="B6398">
        <v>0</v>
      </c>
      <c r="C6398">
        <v>-4.4583000000000004</v>
      </c>
      <c r="D6398">
        <v>13.394500000000001</v>
      </c>
      <c r="E6398">
        <f>-4.4583-13.3945</f>
        <v>-17.852800000000002</v>
      </c>
      <c r="F6398" t="s">
        <v>9834</v>
      </c>
      <c r="G6398" t="s">
        <v>39</v>
      </c>
      <c r="H6398">
        <v>1990</v>
      </c>
      <c r="I6398">
        <v>27.6</v>
      </c>
      <c r="J6398">
        <v>14</v>
      </c>
      <c r="K6398">
        <v>55</v>
      </c>
      <c r="L6398">
        <v>27.75</v>
      </c>
      <c r="M6398">
        <v>39</v>
      </c>
      <c r="N6398">
        <v>13.9</v>
      </c>
      <c r="O6398">
        <v>25.1</v>
      </c>
      <c r="P6398">
        <v>27.1</v>
      </c>
      <c r="Q6398">
        <v>23.9</v>
      </c>
      <c r="R6398">
        <v>31.3</v>
      </c>
      <c r="S6398">
        <v>23.9</v>
      </c>
      <c r="T6398">
        <v>702.45780000000002</v>
      </c>
      <c r="U6398">
        <v>215</v>
      </c>
      <c r="V6398">
        <v>0</v>
      </c>
      <c r="W6398">
        <v>123</v>
      </c>
      <c r="X6398">
        <v>517</v>
      </c>
      <c r="Y6398">
        <v>0</v>
      </c>
      <c r="Z6398">
        <v>150</v>
      </c>
      <c r="AA6398">
        <v>0</v>
      </c>
      <c r="AB6398">
        <v>1.597801</v>
      </c>
      <c r="AC6398">
        <v>9.7251960000000002E-3</v>
      </c>
      <c r="AD6398">
        <v>1.2200549999999999</v>
      </c>
      <c r="AE6398">
        <v>0.49514249999999999</v>
      </c>
      <c r="AF6398">
        <v>284.30739999999997</v>
      </c>
      <c r="AG6398">
        <f>IFERROR(AH6398*0.1, "N/A")</f>
        <v>5.7890200000000007</v>
      </c>
      <c r="AH6398">
        <v>57.8902</v>
      </c>
      <c r="AI6398">
        <v>187.89920000000001</v>
      </c>
      <c r="AJ6398">
        <v>17.52534</v>
      </c>
      <c r="AK6398">
        <v>59.280410000000003</v>
      </c>
    </row>
    <row r="6399" spans="1:37" x14ac:dyDescent="0.3">
      <c r="A6399">
        <v>6398</v>
      </c>
      <c r="B6399">
        <v>0</v>
      </c>
      <c r="C6399">
        <v>-4.4583000000000004</v>
      </c>
      <c r="D6399">
        <v>13.394500000000001</v>
      </c>
      <c r="E6399">
        <f>-4.4583-13.3945</f>
        <v>-17.852800000000002</v>
      </c>
      <c r="F6399" t="s">
        <v>9835</v>
      </c>
      <c r="G6399" t="s">
        <v>37</v>
      </c>
      <c r="H6399">
        <v>1990</v>
      </c>
      <c r="I6399">
        <v>27.6</v>
      </c>
      <c r="J6399">
        <v>14</v>
      </c>
      <c r="K6399">
        <v>55</v>
      </c>
      <c r="L6399">
        <v>27.75</v>
      </c>
      <c r="M6399">
        <v>39</v>
      </c>
      <c r="N6399">
        <v>13.9</v>
      </c>
      <c r="O6399">
        <v>25.1</v>
      </c>
      <c r="P6399">
        <v>27.1</v>
      </c>
      <c r="Q6399">
        <v>23.9</v>
      </c>
      <c r="R6399">
        <v>31.3</v>
      </c>
      <c r="S6399">
        <v>23.9</v>
      </c>
      <c r="T6399">
        <v>702.45780000000002</v>
      </c>
      <c r="U6399">
        <v>215</v>
      </c>
      <c r="V6399">
        <v>0</v>
      </c>
      <c r="W6399">
        <v>123</v>
      </c>
      <c r="X6399">
        <v>517</v>
      </c>
      <c r="Y6399">
        <v>0</v>
      </c>
      <c r="Z6399">
        <v>150</v>
      </c>
      <c r="AA6399">
        <v>0</v>
      </c>
      <c r="AB6399">
        <v>1.597801</v>
      </c>
      <c r="AC6399">
        <v>9.7251960000000002E-3</v>
      </c>
      <c r="AD6399">
        <v>1.2200549999999999</v>
      </c>
      <c r="AE6399">
        <v>0.49514249999999999</v>
      </c>
      <c r="AF6399">
        <v>284.30739999999997</v>
      </c>
      <c r="AG6399">
        <f>IFERROR(AH6399*0.1, "N/A")</f>
        <v>5.7890200000000007</v>
      </c>
      <c r="AH6399">
        <v>57.8902</v>
      </c>
      <c r="AI6399">
        <v>187.89920000000001</v>
      </c>
      <c r="AJ6399">
        <v>17.52534</v>
      </c>
      <c r="AK6399">
        <v>59.280410000000003</v>
      </c>
    </row>
    <row r="6400" spans="1:37" x14ac:dyDescent="0.3">
      <c r="A6400">
        <v>6399</v>
      </c>
      <c r="B6400">
        <v>3.5</v>
      </c>
      <c r="C6400">
        <v>-3.3609200000000001</v>
      </c>
      <c r="D6400">
        <v>13.3956</v>
      </c>
      <c r="E6400">
        <f>-3.36092-13.3956</f>
        <v>-16.756520000000002</v>
      </c>
      <c r="F6400" t="s">
        <v>9836</v>
      </c>
      <c r="G6400" t="s">
        <v>39</v>
      </c>
      <c r="H6400">
        <v>1990</v>
      </c>
      <c r="I6400">
        <v>28.4</v>
      </c>
      <c r="J6400">
        <v>13.4</v>
      </c>
      <c r="K6400">
        <v>58</v>
      </c>
      <c r="L6400">
        <v>25.41</v>
      </c>
      <c r="M6400">
        <v>39.5</v>
      </c>
      <c r="N6400">
        <v>16.5</v>
      </c>
      <c r="O6400">
        <v>23</v>
      </c>
      <c r="P6400">
        <v>27.3</v>
      </c>
      <c r="Q6400">
        <v>27</v>
      </c>
      <c r="R6400">
        <v>31.7</v>
      </c>
      <c r="S6400">
        <v>25.3</v>
      </c>
      <c r="T6400">
        <v>591</v>
      </c>
      <c r="U6400">
        <v>186</v>
      </c>
      <c r="V6400">
        <v>0</v>
      </c>
      <c r="W6400">
        <v>127</v>
      </c>
      <c r="X6400">
        <v>447</v>
      </c>
      <c r="Y6400">
        <v>1</v>
      </c>
      <c r="Z6400">
        <v>117</v>
      </c>
      <c r="AA6400">
        <v>1</v>
      </c>
      <c r="AB6400">
        <v>1.0717810000000001</v>
      </c>
      <c r="AC6400">
        <v>8.9241010000000003E-3</v>
      </c>
      <c r="AD6400">
        <v>2.5995889999999999</v>
      </c>
      <c r="AE6400">
        <v>0.54525040000000002</v>
      </c>
      <c r="AF6400">
        <v>255.52029999999999</v>
      </c>
      <c r="AG6400">
        <f>IFERROR(AH6400*0.1, "N/A")</f>
        <v>5.5244929999999997</v>
      </c>
      <c r="AH6400">
        <v>55.244929999999997</v>
      </c>
      <c r="AI6400">
        <v>253.8058</v>
      </c>
      <c r="AJ6400">
        <v>18.75507</v>
      </c>
      <c r="AK6400">
        <v>59.48986</v>
      </c>
    </row>
    <row r="6401" spans="1:37" x14ac:dyDescent="0.3">
      <c r="A6401">
        <v>6400</v>
      </c>
      <c r="B6401">
        <v>0</v>
      </c>
      <c r="C6401">
        <v>-3.3609200000000001</v>
      </c>
      <c r="D6401">
        <v>13.3956</v>
      </c>
      <c r="E6401">
        <f>-3.36092-13.3956</f>
        <v>-16.756520000000002</v>
      </c>
      <c r="F6401" t="s">
        <v>9837</v>
      </c>
      <c r="G6401" t="s">
        <v>37</v>
      </c>
      <c r="H6401">
        <v>1990</v>
      </c>
      <c r="I6401">
        <v>28.4</v>
      </c>
      <c r="J6401">
        <v>13.4</v>
      </c>
      <c r="K6401">
        <v>58</v>
      </c>
      <c r="L6401">
        <v>25.41</v>
      </c>
      <c r="M6401">
        <v>39.5</v>
      </c>
      <c r="N6401">
        <v>16.5</v>
      </c>
      <c r="O6401">
        <v>23</v>
      </c>
      <c r="P6401">
        <v>27.3</v>
      </c>
      <c r="Q6401">
        <v>27</v>
      </c>
      <c r="R6401">
        <v>31.7</v>
      </c>
      <c r="S6401">
        <v>25.3</v>
      </c>
      <c r="T6401">
        <v>591</v>
      </c>
      <c r="U6401">
        <v>186</v>
      </c>
      <c r="V6401">
        <v>0</v>
      </c>
      <c r="W6401">
        <v>127</v>
      </c>
      <c r="X6401">
        <v>447</v>
      </c>
      <c r="Y6401">
        <v>1</v>
      </c>
      <c r="Z6401">
        <v>117</v>
      </c>
      <c r="AA6401">
        <v>1</v>
      </c>
      <c r="AB6401">
        <v>1.0717810000000001</v>
      </c>
      <c r="AC6401">
        <v>8.9241010000000003E-3</v>
      </c>
      <c r="AD6401">
        <v>2.5995889999999999</v>
      </c>
      <c r="AE6401">
        <v>0.54525040000000002</v>
      </c>
      <c r="AF6401">
        <v>255.52029999999999</v>
      </c>
      <c r="AG6401">
        <f>IFERROR(AH6401*0.1, "N/A")</f>
        <v>5.5244929999999997</v>
      </c>
      <c r="AH6401">
        <v>55.244929999999997</v>
      </c>
      <c r="AI6401">
        <v>253.8058</v>
      </c>
      <c r="AJ6401">
        <v>18.75507</v>
      </c>
      <c r="AK6401">
        <v>59.48986</v>
      </c>
    </row>
    <row r="6402" spans="1:37" x14ac:dyDescent="0.3">
      <c r="A6402">
        <v>6401</v>
      </c>
      <c r="B6402">
        <v>14.1</v>
      </c>
      <c r="C6402">
        <v>-6.5179999999999998</v>
      </c>
      <c r="D6402">
        <v>13.401</v>
      </c>
      <c r="E6402">
        <f>-6.518-13.401</f>
        <v>-19.919</v>
      </c>
      <c r="F6402" t="s">
        <v>9838</v>
      </c>
      <c r="G6402" t="s">
        <v>39</v>
      </c>
      <c r="H6402">
        <v>1987</v>
      </c>
      <c r="I6402">
        <v>27.6</v>
      </c>
      <c r="J6402">
        <v>14.4</v>
      </c>
      <c r="K6402">
        <v>58</v>
      </c>
      <c r="L6402">
        <v>25.47</v>
      </c>
      <c r="M6402">
        <v>39.200000000000003</v>
      </c>
      <c r="N6402">
        <v>14.7</v>
      </c>
      <c r="O6402">
        <v>24.5</v>
      </c>
      <c r="P6402">
        <v>26.7</v>
      </c>
      <c r="Q6402">
        <v>24.6</v>
      </c>
      <c r="R6402">
        <v>31.1</v>
      </c>
      <c r="S6402">
        <v>24.6</v>
      </c>
      <c r="T6402">
        <v>646</v>
      </c>
      <c r="U6402">
        <v>215</v>
      </c>
      <c r="V6402">
        <v>0</v>
      </c>
      <c r="W6402">
        <v>132</v>
      </c>
      <c r="X6402">
        <v>496</v>
      </c>
      <c r="Y6402">
        <v>0</v>
      </c>
      <c r="Z6402">
        <v>124</v>
      </c>
      <c r="AA6402">
        <v>0</v>
      </c>
      <c r="AB6402">
        <v>2.3196639999999999</v>
      </c>
      <c r="AC6402">
        <v>3.8707449999999997E-2</v>
      </c>
      <c r="AD6402">
        <v>0.76738899999999999</v>
      </c>
      <c r="AE6402">
        <v>0.51340350000000001</v>
      </c>
      <c r="AF6402">
        <v>291.69150000000002</v>
      </c>
      <c r="AG6402">
        <f>IFERROR(AH6402*0.1, "N/A")</f>
        <v>5.9081359999999998</v>
      </c>
      <c r="AH6402">
        <v>59.081359999999997</v>
      </c>
      <c r="AI6402">
        <v>96.556830000000005</v>
      </c>
      <c r="AJ6402">
        <v>12.08136</v>
      </c>
      <c r="AK6402">
        <v>65</v>
      </c>
    </row>
    <row r="6403" spans="1:37" x14ac:dyDescent="0.3">
      <c r="A6403">
        <v>6402</v>
      </c>
      <c r="B6403">
        <v>100</v>
      </c>
      <c r="C6403">
        <v>-6.3146500000000003</v>
      </c>
      <c r="D6403">
        <v>13.418799999999999</v>
      </c>
      <c r="E6403">
        <f>-6.31465-13.4188</f>
        <v>-19.733449999999998</v>
      </c>
      <c r="F6403" t="s">
        <v>9839</v>
      </c>
      <c r="G6403" t="s">
        <v>39</v>
      </c>
      <c r="H6403">
        <v>2006</v>
      </c>
      <c r="I6403">
        <v>27.8</v>
      </c>
      <c r="J6403">
        <v>14.1</v>
      </c>
      <c r="K6403">
        <v>58</v>
      </c>
      <c r="L6403">
        <v>25.99</v>
      </c>
      <c r="M6403">
        <v>39.299999999999997</v>
      </c>
      <c r="N6403">
        <v>15.1</v>
      </c>
      <c r="O6403">
        <v>24.2</v>
      </c>
      <c r="P6403">
        <v>26.8</v>
      </c>
      <c r="Q6403">
        <v>24.7</v>
      </c>
      <c r="R6403">
        <v>31.3</v>
      </c>
      <c r="S6403">
        <v>24.7</v>
      </c>
      <c r="T6403">
        <v>643</v>
      </c>
      <c r="U6403">
        <v>214</v>
      </c>
      <c r="V6403">
        <v>0</v>
      </c>
      <c r="W6403">
        <v>131</v>
      </c>
      <c r="X6403">
        <v>494</v>
      </c>
      <c r="Y6403">
        <v>0</v>
      </c>
      <c r="Z6403">
        <v>122</v>
      </c>
      <c r="AA6403">
        <v>0</v>
      </c>
      <c r="AB6403">
        <v>2.2254149999999999</v>
      </c>
      <c r="AC6403">
        <v>2.3458739999999999E-2</v>
      </c>
      <c r="AD6403">
        <v>0.79927459999999995</v>
      </c>
      <c r="AE6403">
        <v>0.71141909999999997</v>
      </c>
      <c r="AF6403">
        <v>290.69189999999998</v>
      </c>
      <c r="AG6403">
        <f>IFERROR(AH6403*0.1, "N/A")</f>
        <v>6.6833330000000011</v>
      </c>
      <c r="AH6403">
        <v>66.833330000000004</v>
      </c>
      <c r="AI6403">
        <v>169.51840000000001</v>
      </c>
      <c r="AJ6403">
        <v>27.287880000000001</v>
      </c>
      <c r="AK6403">
        <v>51.833329999999997</v>
      </c>
    </row>
    <row r="6404" spans="1:37" x14ac:dyDescent="0.3">
      <c r="A6404">
        <v>6403</v>
      </c>
      <c r="B6404">
        <v>0</v>
      </c>
      <c r="C6404">
        <v>-6.3146500000000003</v>
      </c>
      <c r="D6404">
        <v>13.418799999999999</v>
      </c>
      <c r="E6404">
        <f>-6.31465-13.4188</f>
        <v>-19.733449999999998</v>
      </c>
      <c r="F6404" t="s">
        <v>9840</v>
      </c>
      <c r="G6404" t="s">
        <v>37</v>
      </c>
      <c r="H6404">
        <v>2006</v>
      </c>
      <c r="I6404">
        <v>27.8</v>
      </c>
      <c r="J6404">
        <v>14.1</v>
      </c>
      <c r="K6404">
        <v>58</v>
      </c>
      <c r="L6404">
        <v>25.99</v>
      </c>
      <c r="M6404">
        <v>39.299999999999997</v>
      </c>
      <c r="N6404">
        <v>15.1</v>
      </c>
      <c r="O6404">
        <v>24.2</v>
      </c>
      <c r="P6404">
        <v>26.8</v>
      </c>
      <c r="Q6404">
        <v>24.7</v>
      </c>
      <c r="R6404">
        <v>31.3</v>
      </c>
      <c r="S6404">
        <v>24.7</v>
      </c>
      <c r="T6404">
        <v>643</v>
      </c>
      <c r="U6404">
        <v>214</v>
      </c>
      <c r="V6404">
        <v>0</v>
      </c>
      <c r="W6404">
        <v>131</v>
      </c>
      <c r="X6404">
        <v>494</v>
      </c>
      <c r="Y6404">
        <v>0</v>
      </c>
      <c r="Z6404">
        <v>122</v>
      </c>
      <c r="AA6404">
        <v>0</v>
      </c>
      <c r="AB6404">
        <v>2.2254149999999999</v>
      </c>
      <c r="AC6404">
        <v>2.3458739999999999E-2</v>
      </c>
      <c r="AD6404">
        <v>0.79927459999999995</v>
      </c>
      <c r="AE6404">
        <v>0.71141909999999997</v>
      </c>
      <c r="AF6404">
        <v>290.69189999999998</v>
      </c>
      <c r="AG6404">
        <f>IFERROR(AH6404*0.1, "N/A")</f>
        <v>6.6833330000000011</v>
      </c>
      <c r="AH6404">
        <v>66.833330000000004</v>
      </c>
      <c r="AI6404">
        <v>169.51840000000001</v>
      </c>
      <c r="AJ6404">
        <v>27.287880000000001</v>
      </c>
      <c r="AK6404">
        <v>51.833329999999997</v>
      </c>
    </row>
    <row r="6405" spans="1:37" x14ac:dyDescent="0.3">
      <c r="A6405">
        <v>6404</v>
      </c>
      <c r="B6405">
        <v>38.299999999999997</v>
      </c>
      <c r="C6405">
        <v>-10.6995</v>
      </c>
      <c r="D6405">
        <v>13.432600000000001</v>
      </c>
      <c r="E6405">
        <f>-10.6995-13.4326</f>
        <v>-24.132100000000001</v>
      </c>
      <c r="F6405" t="s">
        <v>9841</v>
      </c>
      <c r="G6405" t="s">
        <v>39</v>
      </c>
      <c r="H6405">
        <v>1990</v>
      </c>
      <c r="I6405">
        <v>28.321380000000001</v>
      </c>
      <c r="J6405">
        <v>13.30101</v>
      </c>
      <c r="K6405">
        <v>62</v>
      </c>
      <c r="L6405">
        <v>17.89892</v>
      </c>
      <c r="M6405">
        <v>38.921379999999999</v>
      </c>
      <c r="N6405">
        <v>17.621379999999998</v>
      </c>
      <c r="O6405">
        <v>21.3</v>
      </c>
      <c r="P6405">
        <v>27.1</v>
      </c>
      <c r="Q6405">
        <v>28.120370000000001</v>
      </c>
      <c r="R6405">
        <v>31.021380000000001</v>
      </c>
      <c r="S6405">
        <v>26.7</v>
      </c>
      <c r="T6405">
        <v>887.96969999999999</v>
      </c>
      <c r="U6405">
        <v>268.98989999999998</v>
      </c>
      <c r="V6405">
        <v>0</v>
      </c>
      <c r="W6405">
        <v>125.0202</v>
      </c>
      <c r="X6405">
        <v>663.96969999999999</v>
      </c>
      <c r="Y6405">
        <v>0</v>
      </c>
      <c r="Z6405">
        <v>35</v>
      </c>
      <c r="AA6405">
        <v>3</v>
      </c>
      <c r="AB6405">
        <v>6.0769320000000002</v>
      </c>
      <c r="AC6405">
        <v>1.159552E-2</v>
      </c>
      <c r="AD6405">
        <v>1.688863</v>
      </c>
      <c r="AE6405">
        <v>0.53184180000000003</v>
      </c>
      <c r="AF6405">
        <v>120.58920000000001</v>
      </c>
      <c r="AG6405">
        <f>IFERROR(AH6405*0.1, "N/A")</f>
        <v>6.7981480000000012</v>
      </c>
      <c r="AH6405">
        <v>67.981480000000005</v>
      </c>
      <c r="AI6405">
        <v>126.4057</v>
      </c>
      <c r="AJ6405">
        <v>17.824919999999999</v>
      </c>
      <c r="AK6405">
        <v>47.951180000000001</v>
      </c>
    </row>
    <row r="6406" spans="1:37" x14ac:dyDescent="0.3">
      <c r="A6406">
        <v>6405</v>
      </c>
      <c r="B6406">
        <v>0.7</v>
      </c>
      <c r="C6406">
        <v>-10.6995</v>
      </c>
      <c r="D6406">
        <v>13.432600000000001</v>
      </c>
      <c r="E6406">
        <f>-10.6995-13.4326</f>
        <v>-24.132100000000001</v>
      </c>
      <c r="F6406" t="s">
        <v>9842</v>
      </c>
      <c r="G6406" t="s">
        <v>37</v>
      </c>
      <c r="H6406">
        <v>1990</v>
      </c>
      <c r="I6406">
        <v>28.321380000000001</v>
      </c>
      <c r="J6406">
        <v>13.30101</v>
      </c>
      <c r="K6406">
        <v>62</v>
      </c>
      <c r="L6406">
        <v>17.89892</v>
      </c>
      <c r="M6406">
        <v>38.921379999999999</v>
      </c>
      <c r="N6406">
        <v>17.621379999999998</v>
      </c>
      <c r="O6406">
        <v>21.3</v>
      </c>
      <c r="P6406">
        <v>27.1</v>
      </c>
      <c r="Q6406">
        <v>28.120370000000001</v>
      </c>
      <c r="R6406">
        <v>31.021380000000001</v>
      </c>
      <c r="S6406">
        <v>26.7</v>
      </c>
      <c r="T6406">
        <v>887.96969999999999</v>
      </c>
      <c r="U6406">
        <v>268.98989999999998</v>
      </c>
      <c r="V6406">
        <v>0</v>
      </c>
      <c r="W6406">
        <v>125.0202</v>
      </c>
      <c r="X6406">
        <v>663.96969999999999</v>
      </c>
      <c r="Y6406">
        <v>0</v>
      </c>
      <c r="Z6406">
        <v>35</v>
      </c>
      <c r="AA6406">
        <v>3</v>
      </c>
      <c r="AB6406">
        <v>6.0769320000000002</v>
      </c>
      <c r="AC6406">
        <v>1.159552E-2</v>
      </c>
      <c r="AD6406">
        <v>1.688863</v>
      </c>
      <c r="AE6406">
        <v>0.53184180000000003</v>
      </c>
      <c r="AF6406">
        <v>120.58920000000001</v>
      </c>
      <c r="AG6406">
        <f>IFERROR(AH6406*0.1, "N/A")</f>
        <v>6.7981480000000012</v>
      </c>
      <c r="AH6406">
        <v>67.981480000000005</v>
      </c>
      <c r="AI6406">
        <v>126.4057</v>
      </c>
      <c r="AJ6406">
        <v>17.824919999999999</v>
      </c>
      <c r="AK6406">
        <v>47.951180000000001</v>
      </c>
    </row>
    <row r="6407" spans="1:37" x14ac:dyDescent="0.3">
      <c r="A6407">
        <v>6406</v>
      </c>
      <c r="B6407">
        <v>61</v>
      </c>
      <c r="C6407">
        <v>-6.2723000000000004</v>
      </c>
      <c r="D6407">
        <v>13.432700000000001</v>
      </c>
      <c r="E6407">
        <f>-6.2723-13.4327</f>
        <v>-19.705000000000002</v>
      </c>
      <c r="F6407" t="s">
        <v>9843</v>
      </c>
      <c r="G6407" t="s">
        <v>39</v>
      </c>
      <c r="H6407">
        <v>1990</v>
      </c>
      <c r="I6407">
        <v>27.8</v>
      </c>
      <c r="J6407">
        <v>14.1</v>
      </c>
      <c r="K6407">
        <v>58</v>
      </c>
      <c r="L6407">
        <v>25.708780000000001</v>
      </c>
      <c r="M6407">
        <v>39.299999999999997</v>
      </c>
      <c r="N6407">
        <v>15.1</v>
      </c>
      <c r="O6407">
        <v>24.2</v>
      </c>
      <c r="P6407">
        <v>26.895610000000001</v>
      </c>
      <c r="Q6407">
        <v>24.7</v>
      </c>
      <c r="R6407">
        <v>31.3</v>
      </c>
      <c r="S6407">
        <v>24.7</v>
      </c>
      <c r="T6407">
        <v>642.95609999999999</v>
      </c>
      <c r="U6407">
        <v>213</v>
      </c>
      <c r="V6407">
        <v>0</v>
      </c>
      <c r="W6407">
        <v>131</v>
      </c>
      <c r="X6407">
        <v>494.95609999999999</v>
      </c>
      <c r="Y6407">
        <v>0</v>
      </c>
      <c r="Z6407">
        <v>120</v>
      </c>
      <c r="AA6407">
        <v>0</v>
      </c>
      <c r="AB6407">
        <v>0.42770239999999998</v>
      </c>
      <c r="AC6407">
        <v>0.111961</v>
      </c>
      <c r="AD6407">
        <v>1.081005</v>
      </c>
      <c r="AE6407">
        <v>0.77982220000000002</v>
      </c>
      <c r="AF6407">
        <v>289.39699999999999</v>
      </c>
      <c r="AG6407">
        <f>IFERROR(AH6407*0.1, "N/A")</f>
        <v>6.3464530000000003</v>
      </c>
      <c r="AH6407">
        <v>63.464530000000003</v>
      </c>
      <c r="AI6407">
        <v>133.1927</v>
      </c>
      <c r="AJ6407">
        <v>27.03716</v>
      </c>
      <c r="AK6407">
        <v>48.586150000000004</v>
      </c>
    </row>
    <row r="6408" spans="1:37" x14ac:dyDescent="0.3">
      <c r="A6408">
        <v>6407</v>
      </c>
      <c r="B6408">
        <v>0</v>
      </c>
      <c r="C6408">
        <v>-6.2723000000000004</v>
      </c>
      <c r="D6408">
        <v>13.432700000000001</v>
      </c>
      <c r="E6408">
        <f>-6.2723-13.4327</f>
        <v>-19.705000000000002</v>
      </c>
      <c r="F6408" t="s">
        <v>9844</v>
      </c>
      <c r="G6408" t="s">
        <v>37</v>
      </c>
      <c r="H6408">
        <v>1990</v>
      </c>
      <c r="I6408">
        <v>27.8</v>
      </c>
      <c r="J6408">
        <v>14.1</v>
      </c>
      <c r="K6408">
        <v>58</v>
      </c>
      <c r="L6408">
        <v>25.708780000000001</v>
      </c>
      <c r="M6408">
        <v>39.299999999999997</v>
      </c>
      <c r="N6408">
        <v>15.1</v>
      </c>
      <c r="O6408">
        <v>24.2</v>
      </c>
      <c r="P6408">
        <v>26.895610000000001</v>
      </c>
      <c r="Q6408">
        <v>24.7</v>
      </c>
      <c r="R6408">
        <v>31.3</v>
      </c>
      <c r="S6408">
        <v>24.7</v>
      </c>
      <c r="T6408">
        <v>642.95609999999999</v>
      </c>
      <c r="U6408">
        <v>213</v>
      </c>
      <c r="V6408">
        <v>0</v>
      </c>
      <c r="W6408">
        <v>131</v>
      </c>
      <c r="X6408">
        <v>494.95609999999999</v>
      </c>
      <c r="Y6408">
        <v>0</v>
      </c>
      <c r="Z6408">
        <v>120</v>
      </c>
      <c r="AA6408">
        <v>0</v>
      </c>
      <c r="AB6408">
        <v>0.42770239999999998</v>
      </c>
      <c r="AC6408">
        <v>0.111961</v>
      </c>
      <c r="AD6408">
        <v>1.081005</v>
      </c>
      <c r="AE6408">
        <v>0.77982220000000002</v>
      </c>
      <c r="AF6408">
        <v>289.39699999999999</v>
      </c>
      <c r="AG6408">
        <f>IFERROR(AH6408*0.1, "N/A")</f>
        <v>6.3464530000000003</v>
      </c>
      <c r="AH6408">
        <v>63.464530000000003</v>
      </c>
      <c r="AI6408">
        <v>133.1927</v>
      </c>
      <c r="AJ6408">
        <v>27.03716</v>
      </c>
      <c r="AK6408">
        <v>48.586150000000004</v>
      </c>
    </row>
    <row r="6409" spans="1:37" x14ac:dyDescent="0.3">
      <c r="A6409">
        <v>6408</v>
      </c>
      <c r="B6409">
        <v>43.8</v>
      </c>
      <c r="C6409">
        <v>-6.1151</v>
      </c>
      <c r="D6409">
        <v>13.4512</v>
      </c>
      <c r="E6409">
        <f>-6.1151-13.4512</f>
        <v>-19.566299999999998</v>
      </c>
      <c r="F6409" t="s">
        <v>9845</v>
      </c>
      <c r="G6409" t="s">
        <v>39</v>
      </c>
      <c r="H6409">
        <v>1990</v>
      </c>
      <c r="I6409">
        <v>27.7</v>
      </c>
      <c r="J6409">
        <v>14.1</v>
      </c>
      <c r="K6409">
        <v>57</v>
      </c>
      <c r="L6409">
        <v>25.74</v>
      </c>
      <c r="M6409">
        <v>39.200000000000003</v>
      </c>
      <c r="N6409">
        <v>14.8</v>
      </c>
      <c r="O6409">
        <v>24.4</v>
      </c>
      <c r="P6409">
        <v>26.9</v>
      </c>
      <c r="Q6409">
        <v>24.7</v>
      </c>
      <c r="R6409">
        <v>31.3</v>
      </c>
      <c r="S6409">
        <v>24.7</v>
      </c>
      <c r="T6409">
        <v>656</v>
      </c>
      <c r="U6409">
        <v>212</v>
      </c>
      <c r="V6409">
        <v>0</v>
      </c>
      <c r="W6409">
        <v>130</v>
      </c>
      <c r="X6409">
        <v>501</v>
      </c>
      <c r="Y6409">
        <v>0</v>
      </c>
      <c r="Z6409">
        <v>124</v>
      </c>
      <c r="AA6409">
        <v>0</v>
      </c>
      <c r="AB6409">
        <v>0.89542010000000005</v>
      </c>
      <c r="AC6409">
        <v>3.7585510000000003E-2</v>
      </c>
      <c r="AD6409">
        <v>1.662426</v>
      </c>
      <c r="AE6409">
        <v>0.32737709999999998</v>
      </c>
      <c r="AF6409">
        <v>285.822</v>
      </c>
      <c r="AG6409">
        <f>IFERROR(AH6409*0.1, "N/A")</f>
        <v>5.7554240000000005</v>
      </c>
      <c r="AH6409">
        <v>57.55424</v>
      </c>
      <c r="AI6409">
        <v>171.0778</v>
      </c>
      <c r="AJ6409">
        <v>8.8169489999999993</v>
      </c>
      <c r="AK6409">
        <v>71.594920000000002</v>
      </c>
    </row>
    <row r="6410" spans="1:37" x14ac:dyDescent="0.3">
      <c r="A6410">
        <v>6409</v>
      </c>
      <c r="B6410">
        <v>2.4</v>
      </c>
      <c r="C6410">
        <v>-6.1151</v>
      </c>
      <c r="D6410">
        <v>13.4512</v>
      </c>
      <c r="E6410">
        <f>-6.1151-13.4512</f>
        <v>-19.566299999999998</v>
      </c>
      <c r="F6410" t="s">
        <v>9846</v>
      </c>
      <c r="G6410" t="s">
        <v>37</v>
      </c>
      <c r="H6410">
        <v>1990</v>
      </c>
      <c r="I6410">
        <v>27.7</v>
      </c>
      <c r="J6410">
        <v>14.1</v>
      </c>
      <c r="K6410">
        <v>57</v>
      </c>
      <c r="L6410">
        <v>25.74</v>
      </c>
      <c r="M6410">
        <v>39.200000000000003</v>
      </c>
      <c r="N6410">
        <v>14.8</v>
      </c>
      <c r="O6410">
        <v>24.4</v>
      </c>
      <c r="P6410">
        <v>26.9</v>
      </c>
      <c r="Q6410">
        <v>24.7</v>
      </c>
      <c r="R6410">
        <v>31.3</v>
      </c>
      <c r="S6410">
        <v>24.7</v>
      </c>
      <c r="T6410">
        <v>656</v>
      </c>
      <c r="U6410">
        <v>212</v>
      </c>
      <c r="V6410">
        <v>0</v>
      </c>
      <c r="W6410">
        <v>130</v>
      </c>
      <c r="X6410">
        <v>501</v>
      </c>
      <c r="Y6410">
        <v>0</v>
      </c>
      <c r="Z6410">
        <v>124</v>
      </c>
      <c r="AA6410">
        <v>0</v>
      </c>
      <c r="AB6410">
        <v>0.89542010000000005</v>
      </c>
      <c r="AC6410">
        <v>3.7585510000000003E-2</v>
      </c>
      <c r="AD6410">
        <v>1.662426</v>
      </c>
      <c r="AE6410">
        <v>0.32737709999999998</v>
      </c>
      <c r="AF6410">
        <v>285.822</v>
      </c>
      <c r="AG6410">
        <f>IFERROR(AH6410*0.1, "N/A")</f>
        <v>5.7554240000000005</v>
      </c>
      <c r="AH6410">
        <v>57.55424</v>
      </c>
      <c r="AI6410">
        <v>171.0778</v>
      </c>
      <c r="AJ6410">
        <v>8.8169489999999993</v>
      </c>
      <c r="AK6410">
        <v>71.594920000000002</v>
      </c>
    </row>
    <row r="6411" spans="1:37" x14ac:dyDescent="0.3">
      <c r="A6411">
        <v>6410</v>
      </c>
      <c r="B6411">
        <v>60.3</v>
      </c>
      <c r="C6411">
        <v>-5.7721900000000002</v>
      </c>
      <c r="D6411">
        <v>13.4558</v>
      </c>
      <c r="E6411">
        <f>-5.77219-13.4558</f>
        <v>-19.227989999999998</v>
      </c>
      <c r="F6411" t="s">
        <v>9847</v>
      </c>
      <c r="G6411" t="s">
        <v>39</v>
      </c>
      <c r="H6411">
        <v>1990</v>
      </c>
      <c r="I6411">
        <v>27.2</v>
      </c>
      <c r="J6411">
        <v>15.3</v>
      </c>
      <c r="K6411">
        <v>56</v>
      </c>
      <c r="L6411">
        <v>26.74</v>
      </c>
      <c r="M6411">
        <v>39.4</v>
      </c>
      <c r="N6411">
        <v>12.4</v>
      </c>
      <c r="O6411">
        <v>27</v>
      </c>
      <c r="P6411">
        <v>26.7</v>
      </c>
      <c r="Q6411">
        <v>23.7</v>
      </c>
      <c r="R6411">
        <v>30.6</v>
      </c>
      <c r="S6411">
        <v>23.7</v>
      </c>
      <c r="T6411">
        <v>775</v>
      </c>
      <c r="U6411">
        <v>247</v>
      </c>
      <c r="V6411">
        <v>0</v>
      </c>
      <c r="W6411">
        <v>125</v>
      </c>
      <c r="X6411">
        <v>574</v>
      </c>
      <c r="Y6411">
        <v>1</v>
      </c>
      <c r="Z6411">
        <v>159</v>
      </c>
      <c r="AA6411">
        <v>1</v>
      </c>
      <c r="AB6411">
        <v>0.33881640000000002</v>
      </c>
      <c r="AC6411">
        <v>4.452089E-2</v>
      </c>
      <c r="AD6411">
        <v>1.362331</v>
      </c>
      <c r="AE6411">
        <v>0.26111610000000002</v>
      </c>
      <c r="AF6411">
        <v>277.11189999999999</v>
      </c>
      <c r="AG6411">
        <f>IFERROR(AH6411*0.1, "N/A")</f>
        <v>5.9372880000000006</v>
      </c>
      <c r="AH6411">
        <v>59.372880000000002</v>
      </c>
      <c r="AI6411">
        <v>294.49439999999998</v>
      </c>
      <c r="AJ6411">
        <v>10.715249999999999</v>
      </c>
      <c r="AK6411">
        <v>67.984750000000005</v>
      </c>
    </row>
    <row r="6412" spans="1:37" x14ac:dyDescent="0.3">
      <c r="A6412">
        <v>6411</v>
      </c>
      <c r="B6412">
        <v>78.7</v>
      </c>
      <c r="C6412">
        <v>-5.7721900000000002</v>
      </c>
      <c r="D6412">
        <v>13.4558</v>
      </c>
      <c r="E6412">
        <f>-5.77219-13.4558</f>
        <v>-19.227989999999998</v>
      </c>
      <c r="F6412" t="s">
        <v>9848</v>
      </c>
      <c r="G6412" t="s">
        <v>37</v>
      </c>
      <c r="H6412">
        <v>1990</v>
      </c>
      <c r="I6412">
        <v>27.2</v>
      </c>
      <c r="J6412">
        <v>15.3</v>
      </c>
      <c r="K6412">
        <v>56</v>
      </c>
      <c r="L6412">
        <v>26.74</v>
      </c>
      <c r="M6412">
        <v>39.4</v>
      </c>
      <c r="N6412">
        <v>12.4</v>
      </c>
      <c r="O6412">
        <v>27</v>
      </c>
      <c r="P6412">
        <v>26.7</v>
      </c>
      <c r="Q6412">
        <v>23.7</v>
      </c>
      <c r="R6412">
        <v>30.6</v>
      </c>
      <c r="S6412">
        <v>23.7</v>
      </c>
      <c r="T6412">
        <v>775</v>
      </c>
      <c r="U6412">
        <v>247</v>
      </c>
      <c r="V6412">
        <v>0</v>
      </c>
      <c r="W6412">
        <v>125</v>
      </c>
      <c r="X6412">
        <v>574</v>
      </c>
      <c r="Y6412">
        <v>1</v>
      </c>
      <c r="Z6412">
        <v>159</v>
      </c>
      <c r="AA6412">
        <v>1</v>
      </c>
      <c r="AB6412">
        <v>0.33881640000000002</v>
      </c>
      <c r="AC6412">
        <v>4.452089E-2</v>
      </c>
      <c r="AD6412">
        <v>1.362331</v>
      </c>
      <c r="AE6412">
        <v>0.26111610000000002</v>
      </c>
      <c r="AF6412">
        <v>277.11189999999999</v>
      </c>
      <c r="AG6412">
        <f>IFERROR(AH6412*0.1, "N/A")</f>
        <v>5.9372880000000006</v>
      </c>
      <c r="AH6412">
        <v>59.372880000000002</v>
      </c>
      <c r="AI6412">
        <v>294.49439999999998</v>
      </c>
      <c r="AJ6412">
        <v>10.715249999999999</v>
      </c>
      <c r="AK6412">
        <v>67.984750000000005</v>
      </c>
    </row>
    <row r="6413" spans="1:37" x14ac:dyDescent="0.3">
      <c r="A6413">
        <v>6412</v>
      </c>
      <c r="B6413">
        <v>37.6</v>
      </c>
      <c r="C6413">
        <v>-7.3811</v>
      </c>
      <c r="D6413">
        <v>13.462300000000001</v>
      </c>
      <c r="E6413">
        <f>-7.3811-13.4623</f>
        <v>-20.843400000000003</v>
      </c>
      <c r="F6413" t="s">
        <v>9849</v>
      </c>
      <c r="G6413" t="s">
        <v>39</v>
      </c>
      <c r="H6413">
        <v>1990</v>
      </c>
      <c r="I6413">
        <v>27</v>
      </c>
      <c r="J6413">
        <v>15.3</v>
      </c>
      <c r="K6413">
        <v>58</v>
      </c>
      <c r="L6413">
        <v>25.34</v>
      </c>
      <c r="M6413">
        <v>39.200000000000003</v>
      </c>
      <c r="N6413">
        <v>13</v>
      </c>
      <c r="O6413">
        <v>26.2</v>
      </c>
      <c r="P6413">
        <v>26.1</v>
      </c>
      <c r="Q6413">
        <v>24.1</v>
      </c>
      <c r="R6413">
        <v>30.4</v>
      </c>
      <c r="S6413">
        <v>24</v>
      </c>
      <c r="T6413">
        <v>747</v>
      </c>
      <c r="U6413">
        <v>244</v>
      </c>
      <c r="V6413">
        <v>0</v>
      </c>
      <c r="W6413">
        <v>129</v>
      </c>
      <c r="X6413">
        <v>574</v>
      </c>
      <c r="Y6413">
        <v>0</v>
      </c>
      <c r="Z6413">
        <v>132</v>
      </c>
      <c r="AA6413">
        <v>3</v>
      </c>
      <c r="AB6413">
        <v>1.6384110000000001</v>
      </c>
      <c r="AC6413">
        <v>2.512139E-2</v>
      </c>
      <c r="AD6413">
        <v>0.68740420000000002</v>
      </c>
      <c r="AE6413">
        <v>0.68066590000000005</v>
      </c>
      <c r="AF6413">
        <v>335.75130000000001</v>
      </c>
      <c r="AG6413">
        <f>IFERROR(AH6413*0.1, "N/A")</f>
        <v>6.0399320000000003</v>
      </c>
      <c r="AH6413">
        <v>60.399320000000003</v>
      </c>
      <c r="AI6413">
        <v>84.511290000000002</v>
      </c>
      <c r="AJ6413">
        <v>17.598980000000001</v>
      </c>
      <c r="AK6413">
        <v>56.600679999999997</v>
      </c>
    </row>
    <row r="6414" spans="1:37" x14ac:dyDescent="0.3">
      <c r="A6414">
        <v>6413</v>
      </c>
      <c r="B6414">
        <v>0.8</v>
      </c>
      <c r="C6414">
        <v>-7.3811</v>
      </c>
      <c r="D6414">
        <v>13.462300000000001</v>
      </c>
      <c r="E6414">
        <f>-7.3811-13.4623</f>
        <v>-20.843400000000003</v>
      </c>
      <c r="F6414" t="s">
        <v>9850</v>
      </c>
      <c r="G6414" t="s">
        <v>37</v>
      </c>
      <c r="H6414">
        <v>1990</v>
      </c>
      <c r="I6414">
        <v>27</v>
      </c>
      <c r="J6414">
        <v>15.3</v>
      </c>
      <c r="K6414">
        <v>58</v>
      </c>
      <c r="L6414">
        <v>25.34</v>
      </c>
      <c r="M6414">
        <v>39.200000000000003</v>
      </c>
      <c r="N6414">
        <v>13</v>
      </c>
      <c r="O6414">
        <v>26.2</v>
      </c>
      <c r="P6414">
        <v>26.1</v>
      </c>
      <c r="Q6414">
        <v>24.1</v>
      </c>
      <c r="R6414">
        <v>30.4</v>
      </c>
      <c r="S6414">
        <v>24</v>
      </c>
      <c r="T6414">
        <v>747</v>
      </c>
      <c r="U6414">
        <v>244</v>
      </c>
      <c r="V6414">
        <v>0</v>
      </c>
      <c r="W6414">
        <v>129</v>
      </c>
      <c r="X6414">
        <v>574</v>
      </c>
      <c r="Y6414">
        <v>0</v>
      </c>
      <c r="Z6414">
        <v>132</v>
      </c>
      <c r="AA6414">
        <v>3</v>
      </c>
      <c r="AB6414">
        <v>1.6384110000000001</v>
      </c>
      <c r="AC6414">
        <v>2.512139E-2</v>
      </c>
      <c r="AD6414">
        <v>0.68740420000000002</v>
      </c>
      <c r="AE6414">
        <v>0.68066590000000005</v>
      </c>
      <c r="AF6414">
        <v>335.75130000000001</v>
      </c>
      <c r="AG6414">
        <f>IFERROR(AH6414*0.1, "N/A")</f>
        <v>6.0399320000000003</v>
      </c>
      <c r="AH6414">
        <v>60.399320000000003</v>
      </c>
      <c r="AI6414">
        <v>84.511290000000002</v>
      </c>
      <c r="AJ6414">
        <v>17.598980000000001</v>
      </c>
      <c r="AK6414">
        <v>56.600679999999997</v>
      </c>
    </row>
    <row r="6415" spans="1:37" x14ac:dyDescent="0.3">
      <c r="A6415">
        <v>6414</v>
      </c>
      <c r="B6415">
        <v>100</v>
      </c>
      <c r="C6415">
        <v>-6.1920299999999999</v>
      </c>
      <c r="D6415">
        <v>13.482799999999999</v>
      </c>
      <c r="E6415">
        <f>-6.19203-13.4828</f>
        <v>-19.67483</v>
      </c>
      <c r="F6415" t="s">
        <v>9851</v>
      </c>
      <c r="G6415" t="s">
        <v>39</v>
      </c>
      <c r="H6415">
        <v>2006</v>
      </c>
      <c r="I6415">
        <v>27.8</v>
      </c>
      <c r="J6415">
        <v>14.2</v>
      </c>
      <c r="K6415">
        <v>58</v>
      </c>
      <c r="L6415">
        <v>26.00562</v>
      </c>
      <c r="M6415">
        <v>39.299999999999997</v>
      </c>
      <c r="N6415">
        <v>14.943770000000001</v>
      </c>
      <c r="O6415">
        <v>24.35623</v>
      </c>
      <c r="P6415">
        <v>26.9</v>
      </c>
      <c r="Q6415">
        <v>24.64377</v>
      </c>
      <c r="R6415">
        <v>31.343769999999999</v>
      </c>
      <c r="S6415">
        <v>24.64377</v>
      </c>
      <c r="T6415">
        <v>639.56230000000005</v>
      </c>
      <c r="U6415">
        <v>210</v>
      </c>
      <c r="V6415">
        <v>0</v>
      </c>
      <c r="W6415">
        <v>130</v>
      </c>
      <c r="X6415">
        <v>492.56229999999999</v>
      </c>
      <c r="Y6415">
        <v>0</v>
      </c>
      <c r="Z6415">
        <v>119</v>
      </c>
      <c r="AA6415">
        <v>0</v>
      </c>
      <c r="AB6415">
        <v>6.247471</v>
      </c>
      <c r="AC6415">
        <v>1.5079530000000001E-2</v>
      </c>
      <c r="AD6415">
        <v>0.98335439999999996</v>
      </c>
      <c r="AE6415">
        <v>0.49841629999999998</v>
      </c>
      <c r="AF6415">
        <v>285.36869999999999</v>
      </c>
      <c r="AG6415">
        <f>IFERROR(AH6415*0.1, "N/A")</f>
        <v>6.3535350000000008</v>
      </c>
      <c r="AH6415">
        <v>63.535350000000001</v>
      </c>
      <c r="AI6415">
        <v>141.25450000000001</v>
      </c>
      <c r="AJ6415">
        <v>25.760940000000002</v>
      </c>
      <c r="AK6415">
        <v>51.151519999999998</v>
      </c>
    </row>
    <row r="6416" spans="1:37" x14ac:dyDescent="0.3">
      <c r="A6416">
        <v>6415</v>
      </c>
      <c r="B6416">
        <v>0</v>
      </c>
      <c r="C6416">
        <v>-6.1920299999999999</v>
      </c>
      <c r="D6416">
        <v>13.482799999999999</v>
      </c>
      <c r="E6416">
        <f>-6.19203-13.4828</f>
        <v>-19.67483</v>
      </c>
      <c r="F6416" t="s">
        <v>9852</v>
      </c>
      <c r="G6416" t="s">
        <v>37</v>
      </c>
      <c r="H6416">
        <v>2006</v>
      </c>
      <c r="I6416">
        <v>27.8</v>
      </c>
      <c r="J6416">
        <v>14.2</v>
      </c>
      <c r="K6416">
        <v>58</v>
      </c>
      <c r="L6416">
        <v>26.00562</v>
      </c>
      <c r="M6416">
        <v>39.299999999999997</v>
      </c>
      <c r="N6416">
        <v>14.943770000000001</v>
      </c>
      <c r="O6416">
        <v>24.35623</v>
      </c>
      <c r="P6416">
        <v>26.9</v>
      </c>
      <c r="Q6416">
        <v>24.64377</v>
      </c>
      <c r="R6416">
        <v>31.343769999999999</v>
      </c>
      <c r="S6416">
        <v>24.64377</v>
      </c>
      <c r="T6416">
        <v>639.56230000000005</v>
      </c>
      <c r="U6416">
        <v>210</v>
      </c>
      <c r="V6416">
        <v>0</v>
      </c>
      <c r="W6416">
        <v>130</v>
      </c>
      <c r="X6416">
        <v>492.56229999999999</v>
      </c>
      <c r="Y6416">
        <v>0</v>
      </c>
      <c r="Z6416">
        <v>119</v>
      </c>
      <c r="AA6416">
        <v>0</v>
      </c>
      <c r="AB6416">
        <v>6.247471</v>
      </c>
      <c r="AC6416">
        <v>1.5079530000000001E-2</v>
      </c>
      <c r="AD6416">
        <v>0.98335439999999996</v>
      </c>
      <c r="AE6416">
        <v>0.49841629999999998</v>
      </c>
      <c r="AF6416">
        <v>285.36869999999999</v>
      </c>
      <c r="AG6416">
        <f>IFERROR(AH6416*0.1, "N/A")</f>
        <v>6.3535350000000008</v>
      </c>
      <c r="AH6416">
        <v>63.535350000000001</v>
      </c>
      <c r="AI6416">
        <v>141.25450000000001</v>
      </c>
      <c r="AJ6416">
        <v>25.760940000000002</v>
      </c>
      <c r="AK6416">
        <v>51.151519999999998</v>
      </c>
    </row>
    <row r="6417" spans="1:37" x14ac:dyDescent="0.3">
      <c r="A6417">
        <v>6416</v>
      </c>
      <c r="B6417">
        <v>7.4</v>
      </c>
      <c r="C6417">
        <v>-7.4844999999999997</v>
      </c>
      <c r="D6417">
        <v>13.496499999999999</v>
      </c>
      <c r="E6417">
        <f>-7.4845-13.4965</f>
        <v>-20.980999999999998</v>
      </c>
      <c r="F6417" t="s">
        <v>9853</v>
      </c>
      <c r="G6417" t="s">
        <v>39</v>
      </c>
      <c r="H6417">
        <v>1990</v>
      </c>
      <c r="I6417">
        <v>26.7</v>
      </c>
      <c r="J6417">
        <v>15.3</v>
      </c>
      <c r="K6417">
        <v>58</v>
      </c>
      <c r="L6417">
        <v>25.02</v>
      </c>
      <c r="M6417">
        <v>38.9</v>
      </c>
      <c r="N6417">
        <v>12.8</v>
      </c>
      <c r="O6417">
        <v>26.1</v>
      </c>
      <c r="P6417">
        <v>25.8</v>
      </c>
      <c r="Q6417">
        <v>23.9</v>
      </c>
      <c r="R6417">
        <v>30.1</v>
      </c>
      <c r="S6417">
        <v>23.7</v>
      </c>
      <c r="T6417">
        <v>764</v>
      </c>
      <c r="U6417">
        <v>247</v>
      </c>
      <c r="V6417">
        <v>0</v>
      </c>
      <c r="W6417">
        <v>129</v>
      </c>
      <c r="X6417">
        <v>585</v>
      </c>
      <c r="Y6417">
        <v>0</v>
      </c>
      <c r="Z6417">
        <v>135</v>
      </c>
      <c r="AA6417">
        <v>3</v>
      </c>
      <c r="AB6417">
        <v>3.255039</v>
      </c>
      <c r="AC6417">
        <v>3.8347720000000002E-2</v>
      </c>
      <c r="AD6417">
        <v>1.3445370000000001</v>
      </c>
      <c r="AE6417">
        <v>0.57013919999999996</v>
      </c>
      <c r="AF6417">
        <v>392.02190000000002</v>
      </c>
      <c r="AG6417">
        <f>IFERROR(AH6417*0.1, "N/A")</f>
        <v>5.9</v>
      </c>
      <c r="AH6417">
        <v>59</v>
      </c>
      <c r="AI6417">
        <v>88.011840000000007</v>
      </c>
      <c r="AJ6417">
        <v>14</v>
      </c>
      <c r="AK6417">
        <v>61.053870000000003</v>
      </c>
    </row>
    <row r="6418" spans="1:37" x14ac:dyDescent="0.3">
      <c r="A6418">
        <v>6417</v>
      </c>
      <c r="B6418">
        <v>0</v>
      </c>
      <c r="C6418">
        <v>-7.4844999999999997</v>
      </c>
      <c r="D6418">
        <v>13.496499999999999</v>
      </c>
      <c r="E6418">
        <f>-7.4845-13.4965</f>
        <v>-20.980999999999998</v>
      </c>
      <c r="F6418" t="s">
        <v>9854</v>
      </c>
      <c r="G6418" t="s">
        <v>37</v>
      </c>
      <c r="H6418">
        <v>1990</v>
      </c>
      <c r="I6418">
        <v>26.7</v>
      </c>
      <c r="J6418">
        <v>15.3</v>
      </c>
      <c r="K6418">
        <v>58</v>
      </c>
      <c r="L6418">
        <v>25.02</v>
      </c>
      <c r="M6418">
        <v>38.9</v>
      </c>
      <c r="N6418">
        <v>12.8</v>
      </c>
      <c r="O6418">
        <v>26.1</v>
      </c>
      <c r="P6418">
        <v>25.8</v>
      </c>
      <c r="Q6418">
        <v>23.9</v>
      </c>
      <c r="R6418">
        <v>30.1</v>
      </c>
      <c r="S6418">
        <v>23.7</v>
      </c>
      <c r="T6418">
        <v>764</v>
      </c>
      <c r="U6418">
        <v>247</v>
      </c>
      <c r="V6418">
        <v>0</v>
      </c>
      <c r="W6418">
        <v>129</v>
      </c>
      <c r="X6418">
        <v>585</v>
      </c>
      <c r="Y6418">
        <v>0</v>
      </c>
      <c r="Z6418">
        <v>135</v>
      </c>
      <c r="AA6418">
        <v>3</v>
      </c>
      <c r="AB6418">
        <v>3.255039</v>
      </c>
      <c r="AC6418">
        <v>3.8347720000000002E-2</v>
      </c>
      <c r="AD6418">
        <v>1.3445370000000001</v>
      </c>
      <c r="AE6418">
        <v>0.57013919999999996</v>
      </c>
      <c r="AF6418">
        <v>392.02190000000002</v>
      </c>
      <c r="AG6418">
        <f>IFERROR(AH6418*0.1, "N/A")</f>
        <v>5.9</v>
      </c>
      <c r="AH6418">
        <v>59</v>
      </c>
      <c r="AI6418">
        <v>88.011840000000007</v>
      </c>
      <c r="AJ6418">
        <v>14</v>
      </c>
      <c r="AK6418">
        <v>61.053870000000003</v>
      </c>
    </row>
    <row r="6419" spans="1:37" x14ac:dyDescent="0.3">
      <c r="A6419">
        <v>6418</v>
      </c>
      <c r="B6419">
        <v>55.4</v>
      </c>
      <c r="C6419">
        <v>-3.4445000000000001</v>
      </c>
      <c r="D6419">
        <v>13.4984</v>
      </c>
      <c r="E6419">
        <f>-3.4445-13.4984</f>
        <v>-16.942900000000002</v>
      </c>
      <c r="F6419" t="s">
        <v>9855</v>
      </c>
      <c r="G6419" t="s">
        <v>39</v>
      </c>
      <c r="H6419">
        <v>1990</v>
      </c>
      <c r="I6419">
        <v>28.2</v>
      </c>
      <c r="J6419">
        <v>13.5</v>
      </c>
      <c r="K6419">
        <v>57</v>
      </c>
      <c r="L6419">
        <v>26.46</v>
      </c>
      <c r="M6419">
        <v>39.200000000000003</v>
      </c>
      <c r="N6419">
        <v>15.9</v>
      </c>
      <c r="O6419">
        <v>23.3</v>
      </c>
      <c r="P6419">
        <v>27.4</v>
      </c>
      <c r="Q6419">
        <v>24.8</v>
      </c>
      <c r="R6419">
        <v>31.7</v>
      </c>
      <c r="S6419">
        <v>24.8</v>
      </c>
      <c r="T6419">
        <v>583</v>
      </c>
      <c r="U6419">
        <v>184</v>
      </c>
      <c r="V6419">
        <v>0</v>
      </c>
      <c r="W6419">
        <v>128</v>
      </c>
      <c r="X6419">
        <v>441</v>
      </c>
      <c r="Y6419">
        <v>1</v>
      </c>
      <c r="Z6419">
        <v>113</v>
      </c>
      <c r="AA6419">
        <v>1</v>
      </c>
      <c r="AB6419">
        <v>2.1544750000000001</v>
      </c>
      <c r="AC6419">
        <v>1.8708120000000002E-2</v>
      </c>
      <c r="AD6419">
        <v>1.599918</v>
      </c>
      <c r="AE6419">
        <v>0.49225580000000002</v>
      </c>
      <c r="AF6419">
        <v>254.059</v>
      </c>
      <c r="AG6419">
        <f>IFERROR(AH6419*0.1, "N/A")</f>
        <v>6.4755480000000007</v>
      </c>
      <c r="AH6419">
        <v>64.755480000000006</v>
      </c>
      <c r="AI6419">
        <v>256.49970000000002</v>
      </c>
      <c r="AJ6419">
        <v>22.78078</v>
      </c>
      <c r="AK6419">
        <v>53.519390000000001</v>
      </c>
    </row>
    <row r="6420" spans="1:37" x14ac:dyDescent="0.3">
      <c r="A6420">
        <v>6419</v>
      </c>
      <c r="B6420">
        <v>0</v>
      </c>
      <c r="C6420">
        <v>-3.4445000000000001</v>
      </c>
      <c r="D6420">
        <v>13.4984</v>
      </c>
      <c r="E6420">
        <f>-3.4445-13.4984</f>
        <v>-16.942900000000002</v>
      </c>
      <c r="F6420" t="s">
        <v>9856</v>
      </c>
      <c r="G6420" t="s">
        <v>37</v>
      </c>
      <c r="H6420">
        <v>1990</v>
      </c>
      <c r="I6420">
        <v>28.2</v>
      </c>
      <c r="J6420">
        <v>13.5</v>
      </c>
      <c r="K6420">
        <v>57</v>
      </c>
      <c r="L6420">
        <v>26.46</v>
      </c>
      <c r="M6420">
        <v>39.200000000000003</v>
      </c>
      <c r="N6420">
        <v>15.9</v>
      </c>
      <c r="O6420">
        <v>23.3</v>
      </c>
      <c r="P6420">
        <v>27.4</v>
      </c>
      <c r="Q6420">
        <v>24.8</v>
      </c>
      <c r="R6420">
        <v>31.7</v>
      </c>
      <c r="S6420">
        <v>24.8</v>
      </c>
      <c r="T6420">
        <v>583</v>
      </c>
      <c r="U6420">
        <v>184</v>
      </c>
      <c r="V6420">
        <v>0</v>
      </c>
      <c r="W6420">
        <v>128</v>
      </c>
      <c r="X6420">
        <v>441</v>
      </c>
      <c r="Y6420">
        <v>1</v>
      </c>
      <c r="Z6420">
        <v>113</v>
      </c>
      <c r="AA6420">
        <v>1</v>
      </c>
      <c r="AB6420">
        <v>2.1544750000000001</v>
      </c>
      <c r="AC6420">
        <v>1.8708120000000002E-2</v>
      </c>
      <c r="AD6420">
        <v>1.599918</v>
      </c>
      <c r="AE6420">
        <v>0.49225580000000002</v>
      </c>
      <c r="AF6420">
        <v>254.059</v>
      </c>
      <c r="AG6420">
        <f>IFERROR(AH6420*0.1, "N/A")</f>
        <v>6.4755480000000007</v>
      </c>
      <c r="AH6420">
        <v>64.755480000000006</v>
      </c>
      <c r="AI6420">
        <v>256.49970000000002</v>
      </c>
      <c r="AJ6420">
        <v>22.78078</v>
      </c>
      <c r="AK6420">
        <v>53.519390000000001</v>
      </c>
    </row>
    <row r="6421" spans="1:37" x14ac:dyDescent="0.3">
      <c r="A6421">
        <v>6420</v>
      </c>
      <c r="B6421">
        <v>30.8</v>
      </c>
      <c r="C6421">
        <v>-8.2453099999999999</v>
      </c>
      <c r="D6421">
        <v>13.503399999999999</v>
      </c>
      <c r="E6421">
        <f>-8.24531-13.5034</f>
        <v>-21.748709999999999</v>
      </c>
      <c r="F6421" t="s">
        <v>9857</v>
      </c>
      <c r="G6421" t="s">
        <v>39</v>
      </c>
      <c r="H6421">
        <v>1990</v>
      </c>
      <c r="I6421">
        <v>27.2</v>
      </c>
      <c r="J6421">
        <v>15.5</v>
      </c>
      <c r="K6421">
        <v>56</v>
      </c>
      <c r="L6421">
        <v>26.62</v>
      </c>
      <c r="M6421">
        <v>39.9</v>
      </c>
      <c r="N6421">
        <v>12.7</v>
      </c>
      <c r="O6421">
        <v>27.2</v>
      </c>
      <c r="P6421">
        <v>26.4</v>
      </c>
      <c r="Q6421">
        <v>24.2</v>
      </c>
      <c r="R6421">
        <v>30.9</v>
      </c>
      <c r="S6421">
        <v>24</v>
      </c>
      <c r="T6421">
        <v>852</v>
      </c>
      <c r="U6421">
        <v>269</v>
      </c>
      <c r="V6421">
        <v>0</v>
      </c>
      <c r="W6421">
        <v>126</v>
      </c>
      <c r="X6421">
        <v>646</v>
      </c>
      <c r="Y6421">
        <v>1</v>
      </c>
      <c r="Z6421">
        <v>153</v>
      </c>
      <c r="AA6421">
        <v>5</v>
      </c>
      <c r="AB6421">
        <v>1.183246</v>
      </c>
      <c r="AC6421">
        <v>1.1355499999999999E-2</v>
      </c>
      <c r="AD6421">
        <v>1.9518489999999999</v>
      </c>
      <c r="AE6421">
        <v>0.66908160000000005</v>
      </c>
      <c r="AF6421">
        <v>340.62939999999998</v>
      </c>
      <c r="AG6421">
        <f>IFERROR(AH6421*0.1, "N/A")</f>
        <v>5.990355000000001</v>
      </c>
      <c r="AH6421">
        <v>59.903550000000003</v>
      </c>
      <c r="AI6421">
        <v>162.43049999999999</v>
      </c>
      <c r="AJ6421">
        <v>16.081219999999998</v>
      </c>
      <c r="AK6421">
        <v>60.306260000000002</v>
      </c>
    </row>
    <row r="6422" spans="1:37" x14ac:dyDescent="0.3">
      <c r="A6422">
        <v>6421</v>
      </c>
      <c r="B6422">
        <v>0</v>
      </c>
      <c r="C6422">
        <v>-8.2453099999999999</v>
      </c>
      <c r="D6422">
        <v>13.503399999999999</v>
      </c>
      <c r="E6422">
        <f>-8.24531-13.5034</f>
        <v>-21.748709999999999</v>
      </c>
      <c r="F6422" t="s">
        <v>9858</v>
      </c>
      <c r="G6422" t="s">
        <v>37</v>
      </c>
      <c r="H6422">
        <v>1990</v>
      </c>
      <c r="I6422">
        <v>27.2</v>
      </c>
      <c r="J6422">
        <v>15.5</v>
      </c>
      <c r="K6422">
        <v>56</v>
      </c>
      <c r="L6422">
        <v>26.62</v>
      </c>
      <c r="M6422">
        <v>39.9</v>
      </c>
      <c r="N6422">
        <v>12.7</v>
      </c>
      <c r="O6422">
        <v>27.2</v>
      </c>
      <c r="P6422">
        <v>26.4</v>
      </c>
      <c r="Q6422">
        <v>24.2</v>
      </c>
      <c r="R6422">
        <v>30.9</v>
      </c>
      <c r="S6422">
        <v>24</v>
      </c>
      <c r="T6422">
        <v>852</v>
      </c>
      <c r="U6422">
        <v>269</v>
      </c>
      <c r="V6422">
        <v>0</v>
      </c>
      <c r="W6422">
        <v>126</v>
      </c>
      <c r="X6422">
        <v>646</v>
      </c>
      <c r="Y6422">
        <v>1</v>
      </c>
      <c r="Z6422">
        <v>153</v>
      </c>
      <c r="AA6422">
        <v>5</v>
      </c>
      <c r="AB6422">
        <v>1.183246</v>
      </c>
      <c r="AC6422">
        <v>1.1355499999999999E-2</v>
      </c>
      <c r="AD6422">
        <v>1.9518489999999999</v>
      </c>
      <c r="AE6422">
        <v>0.66908160000000005</v>
      </c>
      <c r="AF6422">
        <v>340.62939999999998</v>
      </c>
      <c r="AG6422">
        <f>IFERROR(AH6422*0.1, "N/A")</f>
        <v>5.990355000000001</v>
      </c>
      <c r="AH6422">
        <v>59.903550000000003</v>
      </c>
      <c r="AI6422">
        <v>162.43049999999999</v>
      </c>
      <c r="AJ6422">
        <v>16.081219999999998</v>
      </c>
      <c r="AK6422">
        <v>60.306260000000002</v>
      </c>
    </row>
    <row r="6423" spans="1:37" x14ac:dyDescent="0.3">
      <c r="A6423">
        <v>6422</v>
      </c>
      <c r="B6423">
        <v>44.4</v>
      </c>
      <c r="C6423">
        <v>-10.750400000000001</v>
      </c>
      <c r="D6423">
        <v>13.507899999999999</v>
      </c>
      <c r="E6423">
        <f>-10.7504-13.5079</f>
        <v>-24.258299999999998</v>
      </c>
      <c r="F6423" t="s">
        <v>9859</v>
      </c>
      <c r="G6423" t="s">
        <v>39</v>
      </c>
      <c r="H6423">
        <v>1990</v>
      </c>
      <c r="I6423">
        <v>28.4</v>
      </c>
      <c r="J6423">
        <v>13.3</v>
      </c>
      <c r="K6423">
        <v>63.460239999999999</v>
      </c>
      <c r="L6423">
        <v>16.228850000000001</v>
      </c>
      <c r="M6423">
        <v>38.753979999999999</v>
      </c>
      <c r="N6423">
        <v>18.033000000000001</v>
      </c>
      <c r="O6423">
        <v>20.720980000000001</v>
      </c>
      <c r="P6423">
        <v>27.1</v>
      </c>
      <c r="Q6423">
        <v>28.18393</v>
      </c>
      <c r="R6423">
        <v>30.8</v>
      </c>
      <c r="S6423">
        <v>26.983930000000001</v>
      </c>
      <c r="T6423">
        <v>859.15909999999997</v>
      </c>
      <c r="U6423">
        <v>261.53980000000001</v>
      </c>
      <c r="V6423">
        <v>0</v>
      </c>
      <c r="W6423">
        <v>127</v>
      </c>
      <c r="X6423">
        <v>644.07950000000005</v>
      </c>
      <c r="Y6423">
        <v>0</v>
      </c>
      <c r="Z6423">
        <v>33</v>
      </c>
      <c r="AA6423">
        <v>3</v>
      </c>
      <c r="AB6423">
        <v>4.5206439999999999</v>
      </c>
      <c r="AC6423">
        <v>1.259351E-2</v>
      </c>
      <c r="AD6423">
        <v>1.199959</v>
      </c>
      <c r="AE6423">
        <v>0.36413309999999999</v>
      </c>
      <c r="AF6423">
        <v>114.1151</v>
      </c>
      <c r="AG6423">
        <f>IFERROR(AH6423*0.1, "N/A")</f>
        <v>6.0708970000000004</v>
      </c>
      <c r="AH6423">
        <v>60.708970000000001</v>
      </c>
      <c r="AI6423">
        <v>199.96799999999999</v>
      </c>
      <c r="AJ6423">
        <v>25.544840000000001</v>
      </c>
      <c r="AK6423">
        <v>39.746189999999999</v>
      </c>
    </row>
    <row r="6424" spans="1:37" x14ac:dyDescent="0.3">
      <c r="A6424">
        <v>6423</v>
      </c>
      <c r="B6424">
        <v>10</v>
      </c>
      <c r="C6424">
        <v>-10.750400000000001</v>
      </c>
      <c r="D6424">
        <v>13.507899999999999</v>
      </c>
      <c r="E6424">
        <f>-10.7504-13.5079</f>
        <v>-24.258299999999998</v>
      </c>
      <c r="F6424" t="s">
        <v>9860</v>
      </c>
      <c r="G6424" t="s">
        <v>37</v>
      </c>
      <c r="H6424">
        <v>1990</v>
      </c>
      <c r="I6424">
        <v>28.4</v>
      </c>
      <c r="J6424">
        <v>13.3</v>
      </c>
      <c r="K6424">
        <v>63.460239999999999</v>
      </c>
      <c r="L6424">
        <v>16.228850000000001</v>
      </c>
      <c r="M6424">
        <v>38.753979999999999</v>
      </c>
      <c r="N6424">
        <v>18.033000000000001</v>
      </c>
      <c r="O6424">
        <v>20.720980000000001</v>
      </c>
      <c r="P6424">
        <v>27.1</v>
      </c>
      <c r="Q6424">
        <v>28.18393</v>
      </c>
      <c r="R6424">
        <v>30.8</v>
      </c>
      <c r="S6424">
        <v>26.983930000000001</v>
      </c>
      <c r="T6424">
        <v>859.15909999999997</v>
      </c>
      <c r="U6424">
        <v>261.53980000000001</v>
      </c>
      <c r="V6424">
        <v>0</v>
      </c>
      <c r="W6424">
        <v>127</v>
      </c>
      <c r="X6424">
        <v>644.07950000000005</v>
      </c>
      <c r="Y6424">
        <v>0</v>
      </c>
      <c r="Z6424">
        <v>33</v>
      </c>
      <c r="AA6424">
        <v>3</v>
      </c>
      <c r="AB6424">
        <v>4.5206439999999999</v>
      </c>
      <c r="AC6424">
        <v>1.259351E-2</v>
      </c>
      <c r="AD6424">
        <v>1.199959</v>
      </c>
      <c r="AE6424">
        <v>0.36413309999999999</v>
      </c>
      <c r="AF6424">
        <v>114.1151</v>
      </c>
      <c r="AG6424">
        <f>IFERROR(AH6424*0.1, "N/A")</f>
        <v>6.0708970000000004</v>
      </c>
      <c r="AH6424">
        <v>60.708970000000001</v>
      </c>
      <c r="AI6424">
        <v>199.96799999999999</v>
      </c>
      <c r="AJ6424">
        <v>25.544840000000001</v>
      </c>
      <c r="AK6424">
        <v>39.746189999999999</v>
      </c>
    </row>
    <row r="6425" spans="1:37" x14ac:dyDescent="0.3">
      <c r="A6425">
        <v>6424</v>
      </c>
      <c r="B6425">
        <v>100</v>
      </c>
      <c r="C6425">
        <v>-6.1532200000000001</v>
      </c>
      <c r="D6425">
        <v>13.5115</v>
      </c>
      <c r="E6425">
        <f>-6.15322-13.5115</f>
        <v>-19.664719999999999</v>
      </c>
      <c r="F6425" t="s">
        <v>9861</v>
      </c>
      <c r="G6425" t="s">
        <v>39</v>
      </c>
      <c r="H6425">
        <v>2006</v>
      </c>
      <c r="I6425">
        <v>27.7</v>
      </c>
      <c r="J6425">
        <v>14.3</v>
      </c>
      <c r="K6425">
        <v>57</v>
      </c>
      <c r="L6425">
        <v>26.12</v>
      </c>
      <c r="M6425">
        <v>39.299999999999997</v>
      </c>
      <c r="N6425">
        <v>14.6</v>
      </c>
      <c r="O6425">
        <v>24.7</v>
      </c>
      <c r="P6425">
        <v>26.9</v>
      </c>
      <c r="Q6425">
        <v>24.5</v>
      </c>
      <c r="R6425">
        <v>31.2</v>
      </c>
      <c r="S6425">
        <v>24.5</v>
      </c>
      <c r="T6425">
        <v>639</v>
      </c>
      <c r="U6425">
        <v>209</v>
      </c>
      <c r="V6425">
        <v>0</v>
      </c>
      <c r="W6425">
        <v>130</v>
      </c>
      <c r="X6425">
        <v>492</v>
      </c>
      <c r="Y6425">
        <v>0</v>
      </c>
      <c r="Z6425">
        <v>120</v>
      </c>
      <c r="AA6425">
        <v>0</v>
      </c>
      <c r="AB6425">
        <v>0.62717239999999996</v>
      </c>
      <c r="AC6425">
        <v>7.3162430000000001E-2</v>
      </c>
      <c r="AD6425">
        <v>1.1695139999999999</v>
      </c>
      <c r="AE6425">
        <v>0.62432560000000004</v>
      </c>
      <c r="AF6425">
        <v>285.45330000000001</v>
      </c>
      <c r="AG6425">
        <f>IFERROR(AH6425*0.1, "N/A")</f>
        <v>6.1000000000000005</v>
      </c>
      <c r="AH6425">
        <v>61</v>
      </c>
      <c r="AI6425">
        <v>176.7184</v>
      </c>
      <c r="AJ6425">
        <v>13.930389999999999</v>
      </c>
      <c r="AK6425">
        <v>62.604410000000001</v>
      </c>
    </row>
    <row r="6426" spans="1:37" x14ac:dyDescent="0.3">
      <c r="A6426">
        <v>6425</v>
      </c>
      <c r="B6426">
        <v>0</v>
      </c>
      <c r="C6426">
        <v>-6.1532200000000001</v>
      </c>
      <c r="D6426">
        <v>13.5115</v>
      </c>
      <c r="E6426">
        <f>-6.15322-13.5115</f>
        <v>-19.664719999999999</v>
      </c>
      <c r="F6426" t="s">
        <v>9862</v>
      </c>
      <c r="G6426" t="s">
        <v>37</v>
      </c>
      <c r="H6426">
        <v>2006</v>
      </c>
      <c r="I6426">
        <v>27.7</v>
      </c>
      <c r="J6426">
        <v>14.3</v>
      </c>
      <c r="K6426">
        <v>57</v>
      </c>
      <c r="L6426">
        <v>26.12</v>
      </c>
      <c r="M6426">
        <v>39.299999999999997</v>
      </c>
      <c r="N6426">
        <v>14.6</v>
      </c>
      <c r="O6426">
        <v>24.7</v>
      </c>
      <c r="P6426">
        <v>26.9</v>
      </c>
      <c r="Q6426">
        <v>24.5</v>
      </c>
      <c r="R6426">
        <v>31.2</v>
      </c>
      <c r="S6426">
        <v>24.5</v>
      </c>
      <c r="T6426">
        <v>639</v>
      </c>
      <c r="U6426">
        <v>209</v>
      </c>
      <c r="V6426">
        <v>0</v>
      </c>
      <c r="W6426">
        <v>130</v>
      </c>
      <c r="X6426">
        <v>492</v>
      </c>
      <c r="Y6426">
        <v>0</v>
      </c>
      <c r="Z6426">
        <v>120</v>
      </c>
      <c r="AA6426">
        <v>0</v>
      </c>
      <c r="AB6426">
        <v>0.62717239999999996</v>
      </c>
      <c r="AC6426">
        <v>7.3162430000000001E-2</v>
      </c>
      <c r="AD6426">
        <v>1.1695139999999999</v>
      </c>
      <c r="AE6426">
        <v>0.62432560000000004</v>
      </c>
      <c r="AF6426">
        <v>285.45330000000001</v>
      </c>
      <c r="AG6426">
        <f>IFERROR(AH6426*0.1, "N/A")</f>
        <v>6.1000000000000005</v>
      </c>
      <c r="AH6426">
        <v>61</v>
      </c>
      <c r="AI6426">
        <v>176.7184</v>
      </c>
      <c r="AJ6426">
        <v>13.930389999999999</v>
      </c>
      <c r="AK6426">
        <v>62.604410000000001</v>
      </c>
    </row>
    <row r="6427" spans="1:37" x14ac:dyDescent="0.3">
      <c r="A6427">
        <v>6426</v>
      </c>
      <c r="B6427">
        <v>6.7</v>
      </c>
      <c r="C6427">
        <v>-4.5183</v>
      </c>
      <c r="D6427">
        <v>13.5207</v>
      </c>
      <c r="E6427">
        <f>-4.5183-13.5207</f>
        <v>-18.039000000000001</v>
      </c>
      <c r="F6427" t="s">
        <v>9863</v>
      </c>
      <c r="G6427" t="s">
        <v>39</v>
      </c>
      <c r="H6427">
        <v>1990</v>
      </c>
      <c r="I6427">
        <v>27.6</v>
      </c>
      <c r="J6427">
        <v>14.1</v>
      </c>
      <c r="K6427">
        <v>55</v>
      </c>
      <c r="L6427">
        <v>28.17</v>
      </c>
      <c r="M6427">
        <v>39.200000000000003</v>
      </c>
      <c r="N6427">
        <v>13.7</v>
      </c>
      <c r="O6427">
        <v>25.5</v>
      </c>
      <c r="P6427">
        <v>27.3</v>
      </c>
      <c r="Q6427">
        <v>23.8</v>
      </c>
      <c r="R6427">
        <v>31.3</v>
      </c>
      <c r="S6427">
        <v>23.8</v>
      </c>
      <c r="T6427">
        <v>684</v>
      </c>
      <c r="U6427">
        <v>217</v>
      </c>
      <c r="V6427">
        <v>0</v>
      </c>
      <c r="W6427">
        <v>125</v>
      </c>
      <c r="X6427">
        <v>510</v>
      </c>
      <c r="Y6427">
        <v>0</v>
      </c>
      <c r="Z6427">
        <v>142</v>
      </c>
      <c r="AA6427">
        <v>0</v>
      </c>
      <c r="AB6427">
        <v>1.643988</v>
      </c>
      <c r="AC6427">
        <v>1.421098E-2</v>
      </c>
      <c r="AD6427">
        <v>0.59715339999999995</v>
      </c>
      <c r="AE6427">
        <v>0.57399979999999995</v>
      </c>
      <c r="AF6427">
        <v>274.62099999999998</v>
      </c>
      <c r="AG6427">
        <f>IFERROR(AH6427*0.1, "N/A")</f>
        <v>6.0698819999999998</v>
      </c>
      <c r="AH6427">
        <v>60.698819999999998</v>
      </c>
      <c r="AI6427">
        <v>124.1983</v>
      </c>
      <c r="AJ6427">
        <v>18</v>
      </c>
      <c r="AK6427">
        <v>57</v>
      </c>
    </row>
    <row r="6428" spans="1:37" x14ac:dyDescent="0.3">
      <c r="A6428">
        <v>6427</v>
      </c>
      <c r="B6428">
        <v>2.8</v>
      </c>
      <c r="C6428">
        <v>-4.5183</v>
      </c>
      <c r="D6428">
        <v>13.5207</v>
      </c>
      <c r="E6428">
        <f>-4.5183-13.5207</f>
        <v>-18.039000000000001</v>
      </c>
      <c r="F6428" t="s">
        <v>9864</v>
      </c>
      <c r="G6428" t="s">
        <v>37</v>
      </c>
      <c r="H6428">
        <v>1990</v>
      </c>
      <c r="I6428">
        <v>27.6</v>
      </c>
      <c r="J6428">
        <v>14.1</v>
      </c>
      <c r="K6428">
        <v>55</v>
      </c>
      <c r="L6428">
        <v>28.17</v>
      </c>
      <c r="M6428">
        <v>39.200000000000003</v>
      </c>
      <c r="N6428">
        <v>13.7</v>
      </c>
      <c r="O6428">
        <v>25.5</v>
      </c>
      <c r="P6428">
        <v>27.3</v>
      </c>
      <c r="Q6428">
        <v>23.8</v>
      </c>
      <c r="R6428">
        <v>31.3</v>
      </c>
      <c r="S6428">
        <v>23.8</v>
      </c>
      <c r="T6428">
        <v>684</v>
      </c>
      <c r="U6428">
        <v>217</v>
      </c>
      <c r="V6428">
        <v>0</v>
      </c>
      <c r="W6428">
        <v>125</v>
      </c>
      <c r="X6428">
        <v>510</v>
      </c>
      <c r="Y6428">
        <v>0</v>
      </c>
      <c r="Z6428">
        <v>142</v>
      </c>
      <c r="AA6428">
        <v>0</v>
      </c>
      <c r="AB6428">
        <v>1.643988</v>
      </c>
      <c r="AC6428">
        <v>1.421098E-2</v>
      </c>
      <c r="AD6428">
        <v>0.59715339999999995</v>
      </c>
      <c r="AE6428">
        <v>0.57399979999999995</v>
      </c>
      <c r="AF6428">
        <v>274.62099999999998</v>
      </c>
      <c r="AG6428">
        <f>IFERROR(AH6428*0.1, "N/A")</f>
        <v>6.0698819999999998</v>
      </c>
      <c r="AH6428">
        <v>60.698819999999998</v>
      </c>
      <c r="AI6428">
        <v>124.1983</v>
      </c>
      <c r="AJ6428">
        <v>18</v>
      </c>
      <c r="AK6428">
        <v>57</v>
      </c>
    </row>
    <row r="6429" spans="1:37" x14ac:dyDescent="0.3">
      <c r="A6429">
        <v>6428</v>
      </c>
      <c r="B6429">
        <v>5.4</v>
      </c>
      <c r="C6429">
        <v>-7.2169999999999996</v>
      </c>
      <c r="D6429">
        <v>13.532999999999999</v>
      </c>
      <c r="E6429">
        <f>-7.217-13.533</f>
        <v>-20.75</v>
      </c>
      <c r="F6429" t="s">
        <v>9865</v>
      </c>
      <c r="G6429" t="s">
        <v>39</v>
      </c>
      <c r="H6429">
        <v>1987</v>
      </c>
      <c r="I6429">
        <v>26.8</v>
      </c>
      <c r="J6429">
        <v>15.2</v>
      </c>
      <c r="K6429">
        <v>58</v>
      </c>
      <c r="L6429">
        <v>25.10276</v>
      </c>
      <c r="M6429">
        <v>38.9</v>
      </c>
      <c r="N6429">
        <v>13</v>
      </c>
      <c r="O6429">
        <v>25.9</v>
      </c>
      <c r="P6429">
        <v>26</v>
      </c>
      <c r="Q6429">
        <v>23.926600000000001</v>
      </c>
      <c r="R6429">
        <v>30.2</v>
      </c>
      <c r="S6429">
        <v>23.8</v>
      </c>
      <c r="T6429">
        <v>712.08079999999995</v>
      </c>
      <c r="U6429">
        <v>235.7492</v>
      </c>
      <c r="V6429">
        <v>0</v>
      </c>
      <c r="W6429">
        <v>130.7492</v>
      </c>
      <c r="X6429">
        <v>551.33159999999998</v>
      </c>
      <c r="Y6429">
        <v>0</v>
      </c>
      <c r="Z6429">
        <v>109</v>
      </c>
      <c r="AA6429">
        <v>3</v>
      </c>
      <c r="AB6429">
        <v>10.2744</v>
      </c>
      <c r="AC6429">
        <v>1.1086800000000001E-2</v>
      </c>
      <c r="AD6429">
        <v>1.1275040000000001</v>
      </c>
      <c r="AE6429">
        <v>0.59249050000000003</v>
      </c>
      <c r="AF6429">
        <v>368.01350000000002</v>
      </c>
      <c r="AG6429">
        <f>IFERROR(AH6429*0.1, "N/A")</f>
        <v>5.3865319999999999</v>
      </c>
      <c r="AH6429">
        <v>53.865319999999997</v>
      </c>
      <c r="AI6429">
        <v>27.08672</v>
      </c>
      <c r="AJ6429">
        <v>13.006729999999999</v>
      </c>
      <c r="AK6429">
        <v>58.993270000000003</v>
      </c>
    </row>
    <row r="6430" spans="1:37" x14ac:dyDescent="0.3">
      <c r="A6430">
        <v>6429</v>
      </c>
      <c r="B6430">
        <v>2.6</v>
      </c>
      <c r="C6430">
        <v>-7.2169999999999996</v>
      </c>
      <c r="D6430">
        <v>13.532999999999999</v>
      </c>
      <c r="E6430">
        <f>-7.217-13.533</f>
        <v>-20.75</v>
      </c>
      <c r="F6430" t="s">
        <v>9866</v>
      </c>
      <c r="G6430" t="s">
        <v>37</v>
      </c>
      <c r="H6430">
        <v>1987</v>
      </c>
      <c r="I6430">
        <v>26.8</v>
      </c>
      <c r="J6430">
        <v>15.2</v>
      </c>
      <c r="K6430">
        <v>58</v>
      </c>
      <c r="L6430">
        <v>25.10276</v>
      </c>
      <c r="M6430">
        <v>38.9</v>
      </c>
      <c r="N6430">
        <v>13</v>
      </c>
      <c r="O6430">
        <v>25.9</v>
      </c>
      <c r="P6430">
        <v>26</v>
      </c>
      <c r="Q6430">
        <v>23.926600000000001</v>
      </c>
      <c r="R6430">
        <v>30.2</v>
      </c>
      <c r="S6430">
        <v>23.8</v>
      </c>
      <c r="T6430">
        <v>712.08079999999995</v>
      </c>
      <c r="U6430">
        <v>235.7492</v>
      </c>
      <c r="V6430">
        <v>0</v>
      </c>
      <c r="W6430">
        <v>130.7492</v>
      </c>
      <c r="X6430">
        <v>551.33159999999998</v>
      </c>
      <c r="Y6430">
        <v>0</v>
      </c>
      <c r="Z6430">
        <v>109</v>
      </c>
      <c r="AA6430">
        <v>3</v>
      </c>
      <c r="AB6430">
        <v>10.2744</v>
      </c>
      <c r="AC6430">
        <v>1.1086800000000001E-2</v>
      </c>
      <c r="AD6430">
        <v>1.1275040000000001</v>
      </c>
      <c r="AE6430">
        <v>0.59249050000000003</v>
      </c>
      <c r="AF6430">
        <v>368.01350000000002</v>
      </c>
      <c r="AG6430">
        <f>IFERROR(AH6430*0.1, "N/A")</f>
        <v>5.3865319999999999</v>
      </c>
      <c r="AH6430">
        <v>53.865319999999997</v>
      </c>
      <c r="AI6430">
        <v>27.08672</v>
      </c>
      <c r="AJ6430">
        <v>13.006729999999999</v>
      </c>
      <c r="AK6430">
        <v>58.993270000000003</v>
      </c>
    </row>
    <row r="6431" spans="1:37" x14ac:dyDescent="0.3">
      <c r="A6431">
        <v>6430</v>
      </c>
      <c r="B6431">
        <v>60</v>
      </c>
      <c r="C6431">
        <v>-11.686</v>
      </c>
      <c r="D6431">
        <v>13.537000000000001</v>
      </c>
      <c r="E6431">
        <f>-11.686-13.537</f>
        <v>-25.222999999999999</v>
      </c>
      <c r="F6431" t="s">
        <v>9867</v>
      </c>
      <c r="G6431" t="s">
        <v>39</v>
      </c>
      <c r="H6431">
        <v>1987</v>
      </c>
      <c r="I6431">
        <v>28.5</v>
      </c>
      <c r="J6431">
        <v>13.2</v>
      </c>
      <c r="K6431">
        <v>60</v>
      </c>
      <c r="L6431">
        <v>21.02</v>
      </c>
      <c r="M6431">
        <v>39.5</v>
      </c>
      <c r="N6431">
        <v>17.5</v>
      </c>
      <c r="O6431">
        <v>22</v>
      </c>
      <c r="P6431">
        <v>27.1</v>
      </c>
      <c r="Q6431">
        <v>28.2</v>
      </c>
      <c r="R6431">
        <v>31.6</v>
      </c>
      <c r="S6431">
        <v>26.4</v>
      </c>
      <c r="T6431">
        <v>884</v>
      </c>
      <c r="U6431">
        <v>276</v>
      </c>
      <c r="V6431">
        <v>0</v>
      </c>
      <c r="W6431">
        <v>127</v>
      </c>
      <c r="X6431">
        <v>666</v>
      </c>
      <c r="Y6431">
        <v>0</v>
      </c>
      <c r="Z6431">
        <v>37</v>
      </c>
      <c r="AA6431">
        <v>3</v>
      </c>
      <c r="AB6431">
        <v>2.672129</v>
      </c>
      <c r="AC6431">
        <v>0.2772636</v>
      </c>
      <c r="AD6431">
        <v>1.4264650000000001</v>
      </c>
      <c r="AE6431">
        <v>0.25664019999999999</v>
      </c>
      <c r="AF6431">
        <v>142.5693</v>
      </c>
      <c r="AG6431">
        <f>IFERROR(AH6431*0.1, "N/A")</f>
        <v>5.9790540000000005</v>
      </c>
      <c r="AH6431">
        <v>59.79054</v>
      </c>
      <c r="AI6431">
        <v>108.7897</v>
      </c>
      <c r="AJ6431">
        <v>15.29054</v>
      </c>
      <c r="AK6431">
        <v>58.00338</v>
      </c>
    </row>
    <row r="6432" spans="1:37" x14ac:dyDescent="0.3">
      <c r="A6432">
        <v>6431</v>
      </c>
      <c r="B6432">
        <v>0</v>
      </c>
      <c r="C6432">
        <v>-11.686</v>
      </c>
      <c r="D6432">
        <v>13.537000000000001</v>
      </c>
      <c r="E6432">
        <f>-11.686-13.537</f>
        <v>-25.222999999999999</v>
      </c>
      <c r="F6432" t="s">
        <v>9868</v>
      </c>
      <c r="G6432" t="s">
        <v>37</v>
      </c>
      <c r="H6432">
        <v>1987</v>
      </c>
      <c r="I6432">
        <v>28.5</v>
      </c>
      <c r="J6432">
        <v>13.2</v>
      </c>
      <c r="K6432">
        <v>60</v>
      </c>
      <c r="L6432">
        <v>21.02</v>
      </c>
      <c r="M6432">
        <v>39.5</v>
      </c>
      <c r="N6432">
        <v>17.5</v>
      </c>
      <c r="O6432">
        <v>22</v>
      </c>
      <c r="P6432">
        <v>27.1</v>
      </c>
      <c r="Q6432">
        <v>28.2</v>
      </c>
      <c r="R6432">
        <v>31.6</v>
      </c>
      <c r="S6432">
        <v>26.4</v>
      </c>
      <c r="T6432">
        <v>884</v>
      </c>
      <c r="U6432">
        <v>276</v>
      </c>
      <c r="V6432">
        <v>0</v>
      </c>
      <c r="W6432">
        <v>127</v>
      </c>
      <c r="X6432">
        <v>666</v>
      </c>
      <c r="Y6432">
        <v>0</v>
      </c>
      <c r="Z6432">
        <v>37</v>
      </c>
      <c r="AA6432">
        <v>3</v>
      </c>
      <c r="AB6432">
        <v>2.672129</v>
      </c>
      <c r="AC6432">
        <v>0.2772636</v>
      </c>
      <c r="AD6432">
        <v>1.4264650000000001</v>
      </c>
      <c r="AE6432">
        <v>0.25664019999999999</v>
      </c>
      <c r="AF6432">
        <v>142.5693</v>
      </c>
      <c r="AG6432">
        <f>IFERROR(AH6432*0.1, "N/A")</f>
        <v>5.9790540000000005</v>
      </c>
      <c r="AH6432">
        <v>59.79054</v>
      </c>
      <c r="AI6432">
        <v>108.7897</v>
      </c>
      <c r="AJ6432">
        <v>15.29054</v>
      </c>
      <c r="AK6432">
        <v>58.00338</v>
      </c>
    </row>
    <row r="6433" spans="1:37" x14ac:dyDescent="0.3">
      <c r="A6433">
        <v>6432</v>
      </c>
      <c r="B6433">
        <v>27.2</v>
      </c>
      <c r="C6433">
        <v>-8.2666000000000004</v>
      </c>
      <c r="D6433">
        <v>13.5671</v>
      </c>
      <c r="E6433">
        <f>-8.2666-13.5671</f>
        <v>-21.8337</v>
      </c>
      <c r="F6433" t="s">
        <v>9869</v>
      </c>
      <c r="G6433" t="s">
        <v>39</v>
      </c>
      <c r="H6433">
        <v>1990</v>
      </c>
      <c r="I6433">
        <v>27</v>
      </c>
      <c r="J6433">
        <v>15.5</v>
      </c>
      <c r="K6433">
        <v>57</v>
      </c>
      <c r="L6433">
        <v>26.13158</v>
      </c>
      <c r="M6433">
        <v>39.4</v>
      </c>
      <c r="N6433">
        <v>12.5</v>
      </c>
      <c r="O6433">
        <v>26.9</v>
      </c>
      <c r="P6433">
        <v>26.12631</v>
      </c>
      <c r="Q6433">
        <v>24.026309999999999</v>
      </c>
      <c r="R6433">
        <v>30.5</v>
      </c>
      <c r="S6433">
        <v>23.8</v>
      </c>
      <c r="T6433">
        <v>840.76729999999998</v>
      </c>
      <c r="U6433">
        <v>265.73689999999999</v>
      </c>
      <c r="V6433">
        <v>0</v>
      </c>
      <c r="W6433">
        <v>126.73690000000001</v>
      </c>
      <c r="X6433">
        <v>639.75720000000001</v>
      </c>
      <c r="Y6433">
        <v>1</v>
      </c>
      <c r="Z6433">
        <v>75.306910000000002</v>
      </c>
      <c r="AA6433">
        <v>4</v>
      </c>
      <c r="AB6433">
        <v>3.1804429999999999</v>
      </c>
      <c r="AC6433">
        <v>7.4194499999999997E-2</v>
      </c>
      <c r="AD6433">
        <v>1.683978</v>
      </c>
      <c r="AE6433">
        <v>0.46193200000000001</v>
      </c>
      <c r="AF6433">
        <v>404.63909999999998</v>
      </c>
      <c r="AG6433">
        <f>IFERROR(AH6433*0.1, "N/A")</f>
        <v>6.2</v>
      </c>
      <c r="AH6433">
        <v>62</v>
      </c>
      <c r="AI6433">
        <v>251.64940000000001</v>
      </c>
      <c r="AJ6433">
        <v>18.526140000000002</v>
      </c>
      <c r="AK6433">
        <v>56.473860000000002</v>
      </c>
    </row>
    <row r="6434" spans="1:37" x14ac:dyDescent="0.3">
      <c r="A6434">
        <v>6433</v>
      </c>
      <c r="B6434">
        <v>0</v>
      </c>
      <c r="C6434">
        <v>-8.2666000000000004</v>
      </c>
      <c r="D6434">
        <v>13.5671</v>
      </c>
      <c r="E6434">
        <f>-8.2666-13.5671</f>
        <v>-21.8337</v>
      </c>
      <c r="F6434" t="s">
        <v>9870</v>
      </c>
      <c r="G6434" t="s">
        <v>37</v>
      </c>
      <c r="H6434">
        <v>1990</v>
      </c>
      <c r="I6434">
        <v>27</v>
      </c>
      <c r="J6434">
        <v>15.5</v>
      </c>
      <c r="K6434">
        <v>57</v>
      </c>
      <c r="L6434">
        <v>26.13158</v>
      </c>
      <c r="M6434">
        <v>39.4</v>
      </c>
      <c r="N6434">
        <v>12.5</v>
      </c>
      <c r="O6434">
        <v>26.9</v>
      </c>
      <c r="P6434">
        <v>26.12631</v>
      </c>
      <c r="Q6434">
        <v>24.026309999999999</v>
      </c>
      <c r="R6434">
        <v>30.5</v>
      </c>
      <c r="S6434">
        <v>23.8</v>
      </c>
      <c r="T6434">
        <v>840.76729999999998</v>
      </c>
      <c r="U6434">
        <v>265.73689999999999</v>
      </c>
      <c r="V6434">
        <v>0</v>
      </c>
      <c r="W6434">
        <v>126.73690000000001</v>
      </c>
      <c r="X6434">
        <v>639.75720000000001</v>
      </c>
      <c r="Y6434">
        <v>1</v>
      </c>
      <c r="Z6434">
        <v>75.306910000000002</v>
      </c>
      <c r="AA6434">
        <v>4</v>
      </c>
      <c r="AB6434">
        <v>3.1804429999999999</v>
      </c>
      <c r="AC6434">
        <v>7.4194499999999997E-2</v>
      </c>
      <c r="AD6434">
        <v>1.683978</v>
      </c>
      <c r="AE6434">
        <v>0.46193200000000001</v>
      </c>
      <c r="AF6434">
        <v>404.63909999999998</v>
      </c>
      <c r="AG6434">
        <f>IFERROR(AH6434*0.1, "N/A")</f>
        <v>6.2</v>
      </c>
      <c r="AH6434">
        <v>62</v>
      </c>
      <c r="AI6434">
        <v>251.64940000000001</v>
      </c>
      <c r="AJ6434">
        <v>18.526140000000002</v>
      </c>
      <c r="AK6434">
        <v>56.473860000000002</v>
      </c>
    </row>
    <row r="6435" spans="1:37" x14ac:dyDescent="0.3">
      <c r="A6435">
        <v>6434</v>
      </c>
      <c r="B6435">
        <v>19.3</v>
      </c>
      <c r="C6435">
        <v>-7.5010000000000003</v>
      </c>
      <c r="D6435">
        <v>13.568</v>
      </c>
      <c r="E6435">
        <f>-7.501-13.568</f>
        <v>-21.068999999999999</v>
      </c>
      <c r="F6435" t="s">
        <v>9871</v>
      </c>
      <c r="G6435" t="s">
        <v>39</v>
      </c>
      <c r="H6435">
        <v>1987</v>
      </c>
      <c r="I6435">
        <v>26.8</v>
      </c>
      <c r="J6435">
        <v>15.4</v>
      </c>
      <c r="K6435">
        <v>58</v>
      </c>
      <c r="L6435">
        <v>25.25</v>
      </c>
      <c r="M6435">
        <v>39</v>
      </c>
      <c r="N6435">
        <v>12.7</v>
      </c>
      <c r="O6435">
        <v>26.3</v>
      </c>
      <c r="P6435">
        <v>25.9</v>
      </c>
      <c r="Q6435">
        <v>23.9</v>
      </c>
      <c r="R6435">
        <v>30.1</v>
      </c>
      <c r="S6435">
        <v>23.7</v>
      </c>
      <c r="T6435">
        <v>750</v>
      </c>
      <c r="U6435">
        <v>244</v>
      </c>
      <c r="V6435">
        <v>0</v>
      </c>
      <c r="W6435">
        <v>129</v>
      </c>
      <c r="X6435">
        <v>576</v>
      </c>
      <c r="Y6435">
        <v>0</v>
      </c>
      <c r="Z6435">
        <v>42</v>
      </c>
      <c r="AA6435">
        <v>3</v>
      </c>
      <c r="AB6435">
        <v>0.66147900000000004</v>
      </c>
      <c r="AC6435">
        <v>7.1896709999999997</v>
      </c>
      <c r="AD6435">
        <v>1.4068419999999999</v>
      </c>
      <c r="AE6435">
        <v>0.36830790000000002</v>
      </c>
      <c r="AF6435">
        <v>392.71109999999999</v>
      </c>
      <c r="AG6435">
        <f>IFERROR(AH6435*0.1, "N/A")</f>
        <v>5.8383450000000003</v>
      </c>
      <c r="AH6435">
        <v>58.383450000000003</v>
      </c>
      <c r="AI6435">
        <v>152.14500000000001</v>
      </c>
      <c r="AJ6435">
        <v>15.60642</v>
      </c>
      <c r="AK6435">
        <v>60.623309999999996</v>
      </c>
    </row>
    <row r="6436" spans="1:37" x14ac:dyDescent="0.3">
      <c r="A6436">
        <v>6435</v>
      </c>
      <c r="B6436">
        <v>0</v>
      </c>
      <c r="C6436">
        <v>-7.5010000000000003</v>
      </c>
      <c r="D6436">
        <v>13.568</v>
      </c>
      <c r="E6436">
        <f>-7.501-13.568</f>
        <v>-21.068999999999999</v>
      </c>
      <c r="F6436" t="s">
        <v>9872</v>
      </c>
      <c r="G6436" t="s">
        <v>37</v>
      </c>
      <c r="H6436">
        <v>1987</v>
      </c>
      <c r="I6436">
        <v>26.8</v>
      </c>
      <c r="J6436">
        <v>15.4</v>
      </c>
      <c r="K6436">
        <v>58</v>
      </c>
      <c r="L6436">
        <v>25.25</v>
      </c>
      <c r="M6436">
        <v>39</v>
      </c>
      <c r="N6436">
        <v>12.7</v>
      </c>
      <c r="O6436">
        <v>26.3</v>
      </c>
      <c r="P6436">
        <v>25.9</v>
      </c>
      <c r="Q6436">
        <v>23.9</v>
      </c>
      <c r="R6436">
        <v>30.1</v>
      </c>
      <c r="S6436">
        <v>23.7</v>
      </c>
      <c r="T6436">
        <v>750</v>
      </c>
      <c r="U6436">
        <v>244</v>
      </c>
      <c r="V6436">
        <v>0</v>
      </c>
      <c r="W6436">
        <v>129</v>
      </c>
      <c r="X6436">
        <v>576</v>
      </c>
      <c r="Y6436">
        <v>0</v>
      </c>
      <c r="Z6436">
        <v>42</v>
      </c>
      <c r="AA6436">
        <v>3</v>
      </c>
      <c r="AB6436">
        <v>0.66147900000000004</v>
      </c>
      <c r="AC6436">
        <v>7.1896709999999997</v>
      </c>
      <c r="AD6436">
        <v>1.4068419999999999</v>
      </c>
      <c r="AE6436">
        <v>0.36830790000000002</v>
      </c>
      <c r="AF6436">
        <v>392.71109999999999</v>
      </c>
      <c r="AG6436">
        <f>IFERROR(AH6436*0.1, "N/A")</f>
        <v>5.8383450000000003</v>
      </c>
      <c r="AH6436">
        <v>58.383450000000003</v>
      </c>
      <c r="AI6436">
        <v>152.14500000000001</v>
      </c>
      <c r="AJ6436">
        <v>15.60642</v>
      </c>
      <c r="AK6436">
        <v>60.623309999999996</v>
      </c>
    </row>
    <row r="6437" spans="1:37" x14ac:dyDescent="0.3">
      <c r="A6437">
        <v>6436</v>
      </c>
      <c r="B6437">
        <v>56.5</v>
      </c>
      <c r="C6437">
        <v>-7.3529</v>
      </c>
      <c r="D6437">
        <v>13.576700000000001</v>
      </c>
      <c r="E6437">
        <f>-7.3529-13.5767</f>
        <v>-20.929600000000001</v>
      </c>
      <c r="F6437" t="s">
        <v>9873</v>
      </c>
      <c r="G6437" t="s">
        <v>39</v>
      </c>
      <c r="H6437">
        <v>1990</v>
      </c>
      <c r="I6437">
        <v>26.8</v>
      </c>
      <c r="J6437">
        <v>15.3</v>
      </c>
      <c r="K6437">
        <v>58</v>
      </c>
      <c r="L6437">
        <v>25.21</v>
      </c>
      <c r="M6437">
        <v>39</v>
      </c>
      <c r="N6437">
        <v>12.9</v>
      </c>
      <c r="O6437">
        <v>26.1</v>
      </c>
      <c r="P6437">
        <v>26</v>
      </c>
      <c r="Q6437">
        <v>23.9</v>
      </c>
      <c r="R6437">
        <v>30.2</v>
      </c>
      <c r="S6437">
        <v>23.8</v>
      </c>
      <c r="T6437">
        <v>724</v>
      </c>
      <c r="U6437">
        <v>238</v>
      </c>
      <c r="V6437">
        <v>0</v>
      </c>
      <c r="W6437">
        <v>130</v>
      </c>
      <c r="X6437">
        <v>559</v>
      </c>
      <c r="Y6437">
        <v>0</v>
      </c>
      <c r="Z6437">
        <v>125</v>
      </c>
      <c r="AA6437">
        <v>3</v>
      </c>
      <c r="AB6437">
        <v>0.47225800000000001</v>
      </c>
      <c r="AC6437">
        <v>1.3124500000000001E-2</v>
      </c>
      <c r="AD6437">
        <v>1.3706020000000001</v>
      </c>
      <c r="AE6437">
        <v>0.68888050000000001</v>
      </c>
      <c r="AF6437">
        <v>370.26060000000001</v>
      </c>
      <c r="AG6437">
        <f>IFERROR(AH6437*0.1, "N/A")</f>
        <v>5.6752960000000003</v>
      </c>
      <c r="AH6437">
        <v>56.752960000000002</v>
      </c>
      <c r="AI6437">
        <v>130.45699999999999</v>
      </c>
      <c r="AJ6437">
        <v>15.24704</v>
      </c>
      <c r="AK6437">
        <v>57.629440000000002</v>
      </c>
    </row>
    <row r="6438" spans="1:37" x14ac:dyDescent="0.3">
      <c r="A6438">
        <v>6437</v>
      </c>
      <c r="B6438">
        <v>2.4</v>
      </c>
      <c r="C6438">
        <v>-7.3529</v>
      </c>
      <c r="D6438">
        <v>13.576700000000001</v>
      </c>
      <c r="E6438">
        <f>-7.3529-13.5767</f>
        <v>-20.929600000000001</v>
      </c>
      <c r="F6438" t="s">
        <v>9874</v>
      </c>
      <c r="G6438" t="s">
        <v>37</v>
      </c>
      <c r="H6438">
        <v>1990</v>
      </c>
      <c r="I6438">
        <v>26.8</v>
      </c>
      <c r="J6438">
        <v>15.3</v>
      </c>
      <c r="K6438">
        <v>58</v>
      </c>
      <c r="L6438">
        <v>25.21</v>
      </c>
      <c r="M6438">
        <v>39</v>
      </c>
      <c r="N6438">
        <v>12.9</v>
      </c>
      <c r="O6438">
        <v>26.1</v>
      </c>
      <c r="P6438">
        <v>26</v>
      </c>
      <c r="Q6438">
        <v>23.9</v>
      </c>
      <c r="R6438">
        <v>30.2</v>
      </c>
      <c r="S6438">
        <v>23.8</v>
      </c>
      <c r="T6438">
        <v>724</v>
      </c>
      <c r="U6438">
        <v>238</v>
      </c>
      <c r="V6438">
        <v>0</v>
      </c>
      <c r="W6438">
        <v>130</v>
      </c>
      <c r="X6438">
        <v>559</v>
      </c>
      <c r="Y6438">
        <v>0</v>
      </c>
      <c r="Z6438">
        <v>125</v>
      </c>
      <c r="AA6438">
        <v>3</v>
      </c>
      <c r="AB6438">
        <v>0.47225800000000001</v>
      </c>
      <c r="AC6438">
        <v>1.3124500000000001E-2</v>
      </c>
      <c r="AD6438">
        <v>1.3706020000000001</v>
      </c>
      <c r="AE6438">
        <v>0.68888050000000001</v>
      </c>
      <c r="AF6438">
        <v>370.26060000000001</v>
      </c>
      <c r="AG6438">
        <f>IFERROR(AH6438*0.1, "N/A")</f>
        <v>5.6752960000000003</v>
      </c>
      <c r="AH6438">
        <v>56.752960000000002</v>
      </c>
      <c r="AI6438">
        <v>130.45699999999999</v>
      </c>
      <c r="AJ6438">
        <v>15.24704</v>
      </c>
      <c r="AK6438">
        <v>57.629440000000002</v>
      </c>
    </row>
    <row r="6439" spans="1:37" x14ac:dyDescent="0.3">
      <c r="A6439">
        <v>6438</v>
      </c>
      <c r="B6439">
        <v>9.6999999999999993</v>
      </c>
      <c r="C6439">
        <v>-3.3176000000000001</v>
      </c>
      <c r="D6439">
        <v>13.5847</v>
      </c>
      <c r="E6439">
        <f>-3.3176-13.5847</f>
        <v>-16.9023</v>
      </c>
      <c r="F6439" t="s">
        <v>9875</v>
      </c>
      <c r="G6439" t="s">
        <v>39</v>
      </c>
      <c r="H6439">
        <v>1990</v>
      </c>
      <c r="I6439">
        <v>28.3</v>
      </c>
      <c r="J6439">
        <v>13.5</v>
      </c>
      <c r="K6439">
        <v>57</v>
      </c>
      <c r="L6439">
        <v>26.35</v>
      </c>
      <c r="M6439">
        <v>39.4</v>
      </c>
      <c r="N6439">
        <v>16</v>
      </c>
      <c r="O6439">
        <v>23.4</v>
      </c>
      <c r="P6439">
        <v>27.5</v>
      </c>
      <c r="Q6439">
        <v>25.2</v>
      </c>
      <c r="R6439">
        <v>31.8</v>
      </c>
      <c r="S6439">
        <v>24.9</v>
      </c>
      <c r="T6439">
        <v>567</v>
      </c>
      <c r="U6439">
        <v>178</v>
      </c>
      <c r="V6439">
        <v>0</v>
      </c>
      <c r="W6439">
        <v>127</v>
      </c>
      <c r="X6439">
        <v>429</v>
      </c>
      <c r="Y6439">
        <v>1</v>
      </c>
      <c r="Z6439">
        <v>108</v>
      </c>
      <c r="AA6439">
        <v>2</v>
      </c>
      <c r="AB6439">
        <v>1.059024</v>
      </c>
      <c r="AC6439">
        <v>1.436957E-2</v>
      </c>
      <c r="AD6439">
        <v>1.3305579999999999</v>
      </c>
      <c r="AE6439">
        <v>0.30290070000000002</v>
      </c>
      <c r="AF6439">
        <v>256.32040000000001</v>
      </c>
      <c r="AG6439">
        <f>IFERROR(AH6439*0.1, "N/A")</f>
        <v>6.5</v>
      </c>
      <c r="AH6439">
        <v>65</v>
      </c>
      <c r="AI6439">
        <v>178.97300000000001</v>
      </c>
      <c r="AJ6439">
        <v>24.790890000000001</v>
      </c>
      <c r="AK6439">
        <v>55.849919999999997</v>
      </c>
    </row>
    <row r="6440" spans="1:37" x14ac:dyDescent="0.3">
      <c r="A6440">
        <v>6439</v>
      </c>
      <c r="B6440">
        <v>0</v>
      </c>
      <c r="C6440">
        <v>-3.3176000000000001</v>
      </c>
      <c r="D6440">
        <v>13.5847</v>
      </c>
      <c r="E6440">
        <f>-3.3176-13.5847</f>
        <v>-16.9023</v>
      </c>
      <c r="F6440" t="s">
        <v>9876</v>
      </c>
      <c r="G6440" t="s">
        <v>37</v>
      </c>
      <c r="H6440">
        <v>1990</v>
      </c>
      <c r="I6440">
        <v>28.3</v>
      </c>
      <c r="J6440">
        <v>13.5</v>
      </c>
      <c r="K6440">
        <v>57</v>
      </c>
      <c r="L6440">
        <v>26.35</v>
      </c>
      <c r="M6440">
        <v>39.4</v>
      </c>
      <c r="N6440">
        <v>16</v>
      </c>
      <c r="O6440">
        <v>23.4</v>
      </c>
      <c r="P6440">
        <v>27.5</v>
      </c>
      <c r="Q6440">
        <v>25.2</v>
      </c>
      <c r="R6440">
        <v>31.8</v>
      </c>
      <c r="S6440">
        <v>24.9</v>
      </c>
      <c r="T6440">
        <v>567</v>
      </c>
      <c r="U6440">
        <v>178</v>
      </c>
      <c r="V6440">
        <v>0</v>
      </c>
      <c r="W6440">
        <v>127</v>
      </c>
      <c r="X6440">
        <v>429</v>
      </c>
      <c r="Y6440">
        <v>1</v>
      </c>
      <c r="Z6440">
        <v>108</v>
      </c>
      <c r="AA6440">
        <v>2</v>
      </c>
      <c r="AB6440">
        <v>1.059024</v>
      </c>
      <c r="AC6440">
        <v>1.436957E-2</v>
      </c>
      <c r="AD6440">
        <v>1.3305579999999999</v>
      </c>
      <c r="AE6440">
        <v>0.30290070000000002</v>
      </c>
      <c r="AF6440">
        <v>256.32040000000001</v>
      </c>
      <c r="AG6440">
        <f>IFERROR(AH6440*0.1, "N/A")</f>
        <v>6.5</v>
      </c>
      <c r="AH6440">
        <v>65</v>
      </c>
      <c r="AI6440">
        <v>178.97300000000001</v>
      </c>
      <c r="AJ6440">
        <v>24.790890000000001</v>
      </c>
      <c r="AK6440">
        <v>55.849919999999997</v>
      </c>
    </row>
    <row r="6441" spans="1:37" x14ac:dyDescent="0.3">
      <c r="A6441">
        <v>6440</v>
      </c>
      <c r="B6441">
        <v>76.400000000000006</v>
      </c>
      <c r="C6441">
        <v>-5.7538</v>
      </c>
      <c r="D6441">
        <v>13.5893</v>
      </c>
      <c r="E6441">
        <f>-5.7538-13.5893</f>
        <v>-19.3431</v>
      </c>
      <c r="F6441" t="s">
        <v>9877</v>
      </c>
      <c r="G6441" t="s">
        <v>39</v>
      </c>
      <c r="H6441">
        <v>1990</v>
      </c>
      <c r="I6441">
        <v>26.9</v>
      </c>
      <c r="J6441">
        <v>15.7</v>
      </c>
      <c r="K6441">
        <v>55</v>
      </c>
      <c r="L6441">
        <v>27.62</v>
      </c>
      <c r="M6441">
        <v>39.5</v>
      </c>
      <c r="N6441">
        <v>11.4</v>
      </c>
      <c r="O6441">
        <v>28.1</v>
      </c>
      <c r="P6441">
        <v>26.7</v>
      </c>
      <c r="Q6441">
        <v>23.2</v>
      </c>
      <c r="R6441">
        <v>30.4</v>
      </c>
      <c r="S6441">
        <v>23.2</v>
      </c>
      <c r="T6441">
        <v>772</v>
      </c>
      <c r="U6441">
        <v>251</v>
      </c>
      <c r="V6441">
        <v>0</v>
      </c>
      <c r="W6441">
        <v>126</v>
      </c>
      <c r="X6441">
        <v>577</v>
      </c>
      <c r="Y6441">
        <v>1</v>
      </c>
      <c r="Z6441">
        <v>155</v>
      </c>
      <c r="AA6441">
        <v>1</v>
      </c>
      <c r="AB6441">
        <v>1.4788479999999999</v>
      </c>
      <c r="AC6441">
        <v>8.5241629999999995E-3</v>
      </c>
      <c r="AD6441">
        <v>1.8356479999999999</v>
      </c>
      <c r="AE6441">
        <v>0.36352620000000002</v>
      </c>
      <c r="AF6441">
        <v>280.96449999999999</v>
      </c>
      <c r="AG6441">
        <f>IFERROR(AH6441*0.1, "N/A")</f>
        <v>5.8000000000000007</v>
      </c>
      <c r="AH6441">
        <v>58</v>
      </c>
      <c r="AI6441">
        <v>188.24639999999999</v>
      </c>
      <c r="AJ6441">
        <v>10.88325</v>
      </c>
      <c r="AK6441">
        <v>67.891710000000003</v>
      </c>
    </row>
    <row r="6442" spans="1:37" x14ac:dyDescent="0.3">
      <c r="A6442">
        <v>6441</v>
      </c>
      <c r="B6442">
        <v>26.8</v>
      </c>
      <c r="C6442">
        <v>-5.7538</v>
      </c>
      <c r="D6442">
        <v>13.5893</v>
      </c>
      <c r="E6442">
        <f>-5.7538-13.5893</f>
        <v>-19.3431</v>
      </c>
      <c r="F6442" t="s">
        <v>9878</v>
      </c>
      <c r="G6442" t="s">
        <v>37</v>
      </c>
      <c r="H6442">
        <v>1990</v>
      </c>
      <c r="I6442">
        <v>26.9</v>
      </c>
      <c r="J6442">
        <v>15.7</v>
      </c>
      <c r="K6442">
        <v>55</v>
      </c>
      <c r="L6442">
        <v>27.62</v>
      </c>
      <c r="M6442">
        <v>39.5</v>
      </c>
      <c r="N6442">
        <v>11.4</v>
      </c>
      <c r="O6442">
        <v>28.1</v>
      </c>
      <c r="P6442">
        <v>26.7</v>
      </c>
      <c r="Q6442">
        <v>23.2</v>
      </c>
      <c r="R6442">
        <v>30.4</v>
      </c>
      <c r="S6442">
        <v>23.2</v>
      </c>
      <c r="T6442">
        <v>772</v>
      </c>
      <c r="U6442">
        <v>251</v>
      </c>
      <c r="V6442">
        <v>0</v>
      </c>
      <c r="W6442">
        <v>126</v>
      </c>
      <c r="X6442">
        <v>577</v>
      </c>
      <c r="Y6442">
        <v>1</v>
      </c>
      <c r="Z6442">
        <v>155</v>
      </c>
      <c r="AA6442">
        <v>1</v>
      </c>
      <c r="AB6442">
        <v>1.4788479999999999</v>
      </c>
      <c r="AC6442">
        <v>8.5241629999999995E-3</v>
      </c>
      <c r="AD6442">
        <v>1.8356479999999999</v>
      </c>
      <c r="AE6442">
        <v>0.36352620000000002</v>
      </c>
      <c r="AF6442">
        <v>280.96449999999999</v>
      </c>
      <c r="AG6442">
        <f>IFERROR(AH6442*0.1, "N/A")</f>
        <v>5.8000000000000007</v>
      </c>
      <c r="AH6442">
        <v>58</v>
      </c>
      <c r="AI6442">
        <v>188.24639999999999</v>
      </c>
      <c r="AJ6442">
        <v>10.88325</v>
      </c>
      <c r="AK6442">
        <v>67.891710000000003</v>
      </c>
    </row>
    <row r="6443" spans="1:37" x14ac:dyDescent="0.3">
      <c r="A6443">
        <v>6442</v>
      </c>
      <c r="B6443">
        <v>2</v>
      </c>
      <c r="C6443">
        <v>-4.5355999999999996</v>
      </c>
      <c r="D6443">
        <v>13.596500000000001</v>
      </c>
      <c r="E6443">
        <f>-4.5356-13.5965</f>
        <v>-18.132100000000001</v>
      </c>
      <c r="F6443" t="s">
        <v>9879</v>
      </c>
      <c r="G6443" t="s">
        <v>39</v>
      </c>
      <c r="H6443">
        <v>1990</v>
      </c>
      <c r="I6443">
        <v>27.5</v>
      </c>
      <c r="J6443">
        <v>14.1</v>
      </c>
      <c r="K6443">
        <v>54</v>
      </c>
      <c r="L6443">
        <v>28.54</v>
      </c>
      <c r="M6443">
        <v>39.299999999999997</v>
      </c>
      <c r="N6443">
        <v>13.6</v>
      </c>
      <c r="O6443">
        <v>25.7</v>
      </c>
      <c r="P6443">
        <v>27.2</v>
      </c>
      <c r="Q6443">
        <v>23.7</v>
      </c>
      <c r="R6443">
        <v>31.3</v>
      </c>
      <c r="S6443">
        <v>23.7</v>
      </c>
      <c r="T6443">
        <v>663</v>
      </c>
      <c r="U6443">
        <v>213</v>
      </c>
      <c r="V6443">
        <v>0</v>
      </c>
      <c r="W6443">
        <v>126</v>
      </c>
      <c r="X6443">
        <v>496</v>
      </c>
      <c r="Y6443">
        <v>0</v>
      </c>
      <c r="Z6443">
        <v>136</v>
      </c>
      <c r="AA6443">
        <v>0</v>
      </c>
      <c r="AB6443">
        <v>5.2578709999999997</v>
      </c>
      <c r="AC6443">
        <v>8.3129090000000003E-3</v>
      </c>
      <c r="AD6443">
        <v>1.564014</v>
      </c>
      <c r="AE6443">
        <v>0.47771619999999998</v>
      </c>
      <c r="AF6443">
        <v>274.88490000000002</v>
      </c>
      <c r="AG6443">
        <f>IFERROR(AH6443*0.1, "N/A")</f>
        <v>6.1747880000000004</v>
      </c>
      <c r="AH6443">
        <v>61.747880000000002</v>
      </c>
      <c r="AI6443">
        <v>155.3312</v>
      </c>
      <c r="AJ6443">
        <v>30.159050000000001</v>
      </c>
      <c r="AK6443">
        <v>42.539760000000001</v>
      </c>
    </row>
    <row r="6444" spans="1:37" x14ac:dyDescent="0.3">
      <c r="A6444">
        <v>6443</v>
      </c>
      <c r="B6444">
        <v>0</v>
      </c>
      <c r="C6444">
        <v>-4.5355999999999996</v>
      </c>
      <c r="D6444">
        <v>13.596500000000001</v>
      </c>
      <c r="E6444">
        <f>-4.5356-13.5965</f>
        <v>-18.132100000000001</v>
      </c>
      <c r="F6444" t="s">
        <v>9880</v>
      </c>
      <c r="G6444" t="s">
        <v>37</v>
      </c>
      <c r="H6444">
        <v>1990</v>
      </c>
      <c r="I6444">
        <v>27.5</v>
      </c>
      <c r="J6444">
        <v>14.1</v>
      </c>
      <c r="K6444">
        <v>54</v>
      </c>
      <c r="L6444">
        <v>28.54</v>
      </c>
      <c r="M6444">
        <v>39.299999999999997</v>
      </c>
      <c r="N6444">
        <v>13.6</v>
      </c>
      <c r="O6444">
        <v>25.7</v>
      </c>
      <c r="P6444">
        <v>27.2</v>
      </c>
      <c r="Q6444">
        <v>23.7</v>
      </c>
      <c r="R6444">
        <v>31.3</v>
      </c>
      <c r="S6444">
        <v>23.7</v>
      </c>
      <c r="T6444">
        <v>663</v>
      </c>
      <c r="U6444">
        <v>213</v>
      </c>
      <c r="V6444">
        <v>0</v>
      </c>
      <c r="W6444">
        <v>126</v>
      </c>
      <c r="X6444">
        <v>496</v>
      </c>
      <c r="Y6444">
        <v>0</v>
      </c>
      <c r="Z6444">
        <v>136</v>
      </c>
      <c r="AA6444">
        <v>0</v>
      </c>
      <c r="AB6444">
        <v>5.2578709999999997</v>
      </c>
      <c r="AC6444">
        <v>8.3129090000000003E-3</v>
      </c>
      <c r="AD6444">
        <v>1.564014</v>
      </c>
      <c r="AE6444">
        <v>0.47771619999999998</v>
      </c>
      <c r="AF6444">
        <v>274.88490000000002</v>
      </c>
      <c r="AG6444">
        <f>IFERROR(AH6444*0.1, "N/A")</f>
        <v>6.1747880000000004</v>
      </c>
      <c r="AH6444">
        <v>61.747880000000002</v>
      </c>
      <c r="AI6444">
        <v>155.3312</v>
      </c>
      <c r="AJ6444">
        <v>30.159050000000001</v>
      </c>
      <c r="AK6444">
        <v>42.539760000000001</v>
      </c>
    </row>
    <row r="6445" spans="1:37" x14ac:dyDescent="0.3">
      <c r="A6445">
        <v>6444</v>
      </c>
      <c r="B6445">
        <v>50</v>
      </c>
      <c r="C6445">
        <v>-4.9832999999999998</v>
      </c>
      <c r="D6445">
        <v>13.6</v>
      </c>
      <c r="E6445">
        <f>-4.9833-13.6</f>
        <v>-18.583300000000001</v>
      </c>
      <c r="F6445" t="s">
        <v>9881</v>
      </c>
      <c r="G6445" t="s">
        <v>39</v>
      </c>
      <c r="H6445">
        <v>1987</v>
      </c>
      <c r="I6445">
        <v>27.47926</v>
      </c>
      <c r="J6445">
        <v>14.679259999999999</v>
      </c>
      <c r="K6445">
        <v>54.792580000000001</v>
      </c>
      <c r="L6445">
        <v>28.346309999999999</v>
      </c>
      <c r="M6445">
        <v>39.6</v>
      </c>
      <c r="N6445">
        <v>12.916359999999999</v>
      </c>
      <c r="O6445">
        <v>26.68364</v>
      </c>
      <c r="P6445">
        <v>27.1</v>
      </c>
      <c r="Q6445">
        <v>23.632719999999999</v>
      </c>
      <c r="R6445">
        <v>31.2</v>
      </c>
      <c r="S6445">
        <v>23.632719999999999</v>
      </c>
      <c r="T6445">
        <v>643.49069999999995</v>
      </c>
      <c r="U6445">
        <v>210</v>
      </c>
      <c r="V6445">
        <v>0</v>
      </c>
      <c r="W6445">
        <v>128</v>
      </c>
      <c r="X6445">
        <v>488.16359999999997</v>
      </c>
      <c r="Y6445">
        <v>1</v>
      </c>
      <c r="Z6445">
        <v>126.3272</v>
      </c>
      <c r="AA6445">
        <v>1</v>
      </c>
      <c r="AB6445">
        <v>0.71147680000000002</v>
      </c>
      <c r="AC6445">
        <v>1.1887450000000001E-2</v>
      </c>
      <c r="AD6445">
        <v>1.6150960000000001</v>
      </c>
      <c r="AE6445">
        <v>0.29571540000000002</v>
      </c>
      <c r="AF6445">
        <v>271.6189</v>
      </c>
      <c r="AG6445">
        <f>IFERROR(AH6445*0.1, "N/A")</f>
        <v>5.9418210000000009</v>
      </c>
      <c r="AH6445">
        <v>59.418210000000002</v>
      </c>
      <c r="AI6445">
        <v>171.89580000000001</v>
      </c>
      <c r="AJ6445">
        <v>15.629009999999999</v>
      </c>
      <c r="AK6445">
        <v>61.512650000000001</v>
      </c>
    </row>
    <row r="6446" spans="1:37" x14ac:dyDescent="0.3">
      <c r="A6446">
        <v>6445</v>
      </c>
      <c r="B6446">
        <v>0</v>
      </c>
      <c r="C6446">
        <v>-4.9832999999999998</v>
      </c>
      <c r="D6446">
        <v>13.6</v>
      </c>
      <c r="E6446">
        <f>-4.9833-13.6</f>
        <v>-18.583300000000001</v>
      </c>
      <c r="F6446" t="s">
        <v>9882</v>
      </c>
      <c r="G6446" t="s">
        <v>37</v>
      </c>
      <c r="H6446">
        <v>1987</v>
      </c>
      <c r="I6446">
        <v>27.47926</v>
      </c>
      <c r="J6446">
        <v>14.679259999999999</v>
      </c>
      <c r="K6446">
        <v>54.792580000000001</v>
      </c>
      <c r="L6446">
        <v>28.346309999999999</v>
      </c>
      <c r="M6446">
        <v>39.6</v>
      </c>
      <c r="N6446">
        <v>12.916359999999999</v>
      </c>
      <c r="O6446">
        <v>26.68364</v>
      </c>
      <c r="P6446">
        <v>27.1</v>
      </c>
      <c r="Q6446">
        <v>23.632719999999999</v>
      </c>
      <c r="R6446">
        <v>31.2</v>
      </c>
      <c r="S6446">
        <v>23.632719999999999</v>
      </c>
      <c r="T6446">
        <v>643.49069999999995</v>
      </c>
      <c r="U6446">
        <v>210</v>
      </c>
      <c r="V6446">
        <v>0</v>
      </c>
      <c r="W6446">
        <v>128</v>
      </c>
      <c r="X6446">
        <v>488.16359999999997</v>
      </c>
      <c r="Y6446">
        <v>1</v>
      </c>
      <c r="Z6446">
        <v>126.3272</v>
      </c>
      <c r="AA6446">
        <v>1</v>
      </c>
      <c r="AB6446">
        <v>0.71147680000000002</v>
      </c>
      <c r="AC6446">
        <v>1.1887450000000001E-2</v>
      </c>
      <c r="AD6446">
        <v>1.6150960000000001</v>
      </c>
      <c r="AE6446">
        <v>0.29571540000000002</v>
      </c>
      <c r="AF6446">
        <v>271.6189</v>
      </c>
      <c r="AG6446">
        <f>IFERROR(AH6446*0.1, "N/A")</f>
        <v>5.9418210000000009</v>
      </c>
      <c r="AH6446">
        <v>59.418210000000002</v>
      </c>
      <c r="AI6446">
        <v>171.89580000000001</v>
      </c>
      <c r="AJ6446">
        <v>15.629009999999999</v>
      </c>
      <c r="AK6446">
        <v>61.512650000000001</v>
      </c>
    </row>
    <row r="6447" spans="1:37" x14ac:dyDescent="0.3">
      <c r="A6447">
        <v>6446</v>
      </c>
      <c r="B6447">
        <v>68.5</v>
      </c>
      <c r="C6447">
        <v>-7.0388000000000002</v>
      </c>
      <c r="D6447">
        <v>13.6083</v>
      </c>
      <c r="E6447">
        <f>-7.0388-13.6083</f>
        <v>-20.647100000000002</v>
      </c>
      <c r="F6447" t="s">
        <v>9883</v>
      </c>
      <c r="G6447" t="s">
        <v>39</v>
      </c>
      <c r="H6447">
        <v>1990</v>
      </c>
      <c r="I6447">
        <v>27.1</v>
      </c>
      <c r="J6447">
        <v>15.1</v>
      </c>
      <c r="K6447">
        <v>58</v>
      </c>
      <c r="L6447">
        <v>25.44</v>
      </c>
      <c r="M6447">
        <v>39.1</v>
      </c>
      <c r="N6447">
        <v>13.3</v>
      </c>
      <c r="O6447">
        <v>25.8</v>
      </c>
      <c r="P6447">
        <v>26.3</v>
      </c>
      <c r="Q6447">
        <v>24</v>
      </c>
      <c r="R6447">
        <v>30.5</v>
      </c>
      <c r="S6447">
        <v>24</v>
      </c>
      <c r="T6447">
        <v>665</v>
      </c>
      <c r="U6447">
        <v>224</v>
      </c>
      <c r="V6447">
        <v>0</v>
      </c>
      <c r="W6447">
        <v>133</v>
      </c>
      <c r="X6447">
        <v>520</v>
      </c>
      <c r="Y6447">
        <v>0</v>
      </c>
      <c r="Z6447">
        <v>113</v>
      </c>
      <c r="AA6447">
        <v>3</v>
      </c>
      <c r="AB6447">
        <v>2.7614580000000002</v>
      </c>
      <c r="AC6447">
        <v>0.1001576</v>
      </c>
      <c r="AD6447">
        <v>1.9058109999999999</v>
      </c>
      <c r="AE6447">
        <v>0.57911699999999999</v>
      </c>
      <c r="AF6447">
        <v>329.21559999999999</v>
      </c>
      <c r="AG6447">
        <f>IFERROR(AH6447*0.1, "N/A")</f>
        <v>5.7</v>
      </c>
      <c r="AH6447">
        <v>57</v>
      </c>
      <c r="AI6447">
        <v>194.36279999999999</v>
      </c>
      <c r="AJ6447">
        <v>14.16638</v>
      </c>
      <c r="AK6447">
        <v>61.166379999999997</v>
      </c>
    </row>
    <row r="6448" spans="1:37" x14ac:dyDescent="0.3">
      <c r="A6448">
        <v>6447</v>
      </c>
      <c r="B6448">
        <v>0</v>
      </c>
      <c r="C6448">
        <v>-7.0388000000000002</v>
      </c>
      <c r="D6448">
        <v>13.6083</v>
      </c>
      <c r="E6448">
        <f>-7.0388-13.6083</f>
        <v>-20.647100000000002</v>
      </c>
      <c r="F6448" t="s">
        <v>9884</v>
      </c>
      <c r="G6448" t="s">
        <v>37</v>
      </c>
      <c r="H6448">
        <v>1990</v>
      </c>
      <c r="I6448">
        <v>27.1</v>
      </c>
      <c r="J6448">
        <v>15.1</v>
      </c>
      <c r="K6448">
        <v>58</v>
      </c>
      <c r="L6448">
        <v>25.44</v>
      </c>
      <c r="M6448">
        <v>39.1</v>
      </c>
      <c r="N6448">
        <v>13.3</v>
      </c>
      <c r="O6448">
        <v>25.8</v>
      </c>
      <c r="P6448">
        <v>26.3</v>
      </c>
      <c r="Q6448">
        <v>24</v>
      </c>
      <c r="R6448">
        <v>30.5</v>
      </c>
      <c r="S6448">
        <v>24</v>
      </c>
      <c r="T6448">
        <v>665</v>
      </c>
      <c r="U6448">
        <v>224</v>
      </c>
      <c r="V6448">
        <v>0</v>
      </c>
      <c r="W6448">
        <v>133</v>
      </c>
      <c r="X6448">
        <v>520</v>
      </c>
      <c r="Y6448">
        <v>0</v>
      </c>
      <c r="Z6448">
        <v>113</v>
      </c>
      <c r="AA6448">
        <v>3</v>
      </c>
      <c r="AB6448">
        <v>2.7614580000000002</v>
      </c>
      <c r="AC6448">
        <v>0.1001576</v>
      </c>
      <c r="AD6448">
        <v>1.9058109999999999</v>
      </c>
      <c r="AE6448">
        <v>0.57911699999999999</v>
      </c>
      <c r="AF6448">
        <v>329.21559999999999</v>
      </c>
      <c r="AG6448">
        <f>IFERROR(AH6448*0.1, "N/A")</f>
        <v>5.7</v>
      </c>
      <c r="AH6448">
        <v>57</v>
      </c>
      <c r="AI6448">
        <v>194.36279999999999</v>
      </c>
      <c r="AJ6448">
        <v>14.16638</v>
      </c>
      <c r="AK6448">
        <v>61.166379999999997</v>
      </c>
    </row>
    <row r="6449" spans="1:37" x14ac:dyDescent="0.3">
      <c r="A6449">
        <v>6448</v>
      </c>
      <c r="B6449">
        <v>12.4</v>
      </c>
      <c r="C6449">
        <v>-8.2439999999999998</v>
      </c>
      <c r="D6449">
        <v>13.6349</v>
      </c>
      <c r="E6449">
        <f>-8.244-13.6349</f>
        <v>-21.878900000000002</v>
      </c>
      <c r="F6449" t="s">
        <v>9885</v>
      </c>
      <c r="G6449" t="s">
        <v>39</v>
      </c>
      <c r="H6449">
        <v>1990</v>
      </c>
      <c r="I6449">
        <v>27.1</v>
      </c>
      <c r="J6449">
        <v>15.5</v>
      </c>
      <c r="K6449">
        <v>57</v>
      </c>
      <c r="L6449">
        <v>26.28</v>
      </c>
      <c r="M6449">
        <v>39.6</v>
      </c>
      <c r="N6449">
        <v>12.7</v>
      </c>
      <c r="O6449">
        <v>26.9</v>
      </c>
      <c r="P6449">
        <v>26.3</v>
      </c>
      <c r="Q6449">
        <v>24.1</v>
      </c>
      <c r="R6449">
        <v>30.6</v>
      </c>
      <c r="S6449">
        <v>23.9</v>
      </c>
      <c r="T6449">
        <v>819</v>
      </c>
      <c r="U6449">
        <v>259</v>
      </c>
      <c r="V6449">
        <v>0</v>
      </c>
      <c r="W6449">
        <v>127</v>
      </c>
      <c r="X6449">
        <v>625</v>
      </c>
      <c r="Y6449">
        <v>1</v>
      </c>
      <c r="Z6449">
        <v>47</v>
      </c>
      <c r="AA6449">
        <v>4</v>
      </c>
      <c r="AB6449">
        <v>3.3653740000000001</v>
      </c>
      <c r="AC6449">
        <v>0.13806969999999999</v>
      </c>
      <c r="AD6449">
        <v>1.842506</v>
      </c>
      <c r="AE6449">
        <v>0.66465870000000005</v>
      </c>
      <c r="AF6449">
        <v>385.17570000000001</v>
      </c>
      <c r="AG6449">
        <f>IFERROR(AH6449*0.1, "N/A")</f>
        <v>5.9173990000000005</v>
      </c>
      <c r="AH6449">
        <v>59.173990000000003</v>
      </c>
      <c r="AI6449">
        <v>203.8733</v>
      </c>
      <c r="AJ6449">
        <v>13.71791</v>
      </c>
      <c r="AK6449">
        <v>60.817570000000003</v>
      </c>
    </row>
    <row r="6450" spans="1:37" x14ac:dyDescent="0.3">
      <c r="A6450">
        <v>6449</v>
      </c>
      <c r="B6450">
        <v>1.2</v>
      </c>
      <c r="C6450">
        <v>-8.2439999999999998</v>
      </c>
      <c r="D6450">
        <v>13.6349</v>
      </c>
      <c r="E6450">
        <f>-8.244-13.6349</f>
        <v>-21.878900000000002</v>
      </c>
      <c r="F6450" t="s">
        <v>9886</v>
      </c>
      <c r="G6450" t="s">
        <v>37</v>
      </c>
      <c r="H6450">
        <v>1990</v>
      </c>
      <c r="I6450">
        <v>27.1</v>
      </c>
      <c r="J6450">
        <v>15.5</v>
      </c>
      <c r="K6450">
        <v>57</v>
      </c>
      <c r="L6450">
        <v>26.28</v>
      </c>
      <c r="M6450">
        <v>39.6</v>
      </c>
      <c r="N6450">
        <v>12.7</v>
      </c>
      <c r="O6450">
        <v>26.9</v>
      </c>
      <c r="P6450">
        <v>26.3</v>
      </c>
      <c r="Q6450">
        <v>24.1</v>
      </c>
      <c r="R6450">
        <v>30.6</v>
      </c>
      <c r="S6450">
        <v>23.9</v>
      </c>
      <c r="T6450">
        <v>819</v>
      </c>
      <c r="U6450">
        <v>259</v>
      </c>
      <c r="V6450">
        <v>0</v>
      </c>
      <c r="W6450">
        <v>127</v>
      </c>
      <c r="X6450">
        <v>625</v>
      </c>
      <c r="Y6450">
        <v>1</v>
      </c>
      <c r="Z6450">
        <v>47</v>
      </c>
      <c r="AA6450">
        <v>4</v>
      </c>
      <c r="AB6450">
        <v>3.3653740000000001</v>
      </c>
      <c r="AC6450">
        <v>0.13806969999999999</v>
      </c>
      <c r="AD6450">
        <v>1.842506</v>
      </c>
      <c r="AE6450">
        <v>0.66465870000000005</v>
      </c>
      <c r="AF6450">
        <v>385.17570000000001</v>
      </c>
      <c r="AG6450">
        <f>IFERROR(AH6450*0.1, "N/A")</f>
        <v>5.9173990000000005</v>
      </c>
      <c r="AH6450">
        <v>59.173990000000003</v>
      </c>
      <c r="AI6450">
        <v>203.8733</v>
      </c>
      <c r="AJ6450">
        <v>13.71791</v>
      </c>
      <c r="AK6450">
        <v>60.817570000000003</v>
      </c>
    </row>
    <row r="6451" spans="1:37" x14ac:dyDescent="0.3">
      <c r="A6451">
        <v>6450</v>
      </c>
      <c r="B6451">
        <v>2.8</v>
      </c>
      <c r="C6451">
        <v>-4.4781000000000004</v>
      </c>
      <c r="D6451">
        <v>13.637600000000001</v>
      </c>
      <c r="E6451">
        <f>-4.4781-13.6376</f>
        <v>-18.1157</v>
      </c>
      <c r="F6451" t="s">
        <v>9887</v>
      </c>
      <c r="G6451" t="s">
        <v>39</v>
      </c>
      <c r="H6451">
        <v>1990</v>
      </c>
      <c r="I6451">
        <v>27.5</v>
      </c>
      <c r="J6451">
        <v>14.1</v>
      </c>
      <c r="K6451">
        <v>54</v>
      </c>
      <c r="L6451">
        <v>28.92</v>
      </c>
      <c r="M6451">
        <v>39.299999999999997</v>
      </c>
      <c r="N6451">
        <v>13.5</v>
      </c>
      <c r="O6451">
        <v>25.8</v>
      </c>
      <c r="P6451">
        <v>27.2</v>
      </c>
      <c r="Q6451">
        <v>23.5</v>
      </c>
      <c r="R6451">
        <v>31.3</v>
      </c>
      <c r="S6451">
        <v>23.5</v>
      </c>
      <c r="T6451">
        <v>647</v>
      </c>
      <c r="U6451">
        <v>209</v>
      </c>
      <c r="V6451">
        <v>0</v>
      </c>
      <c r="W6451">
        <v>128</v>
      </c>
      <c r="X6451">
        <v>485</v>
      </c>
      <c r="Y6451">
        <v>0</v>
      </c>
      <c r="Z6451">
        <v>131</v>
      </c>
      <c r="AA6451">
        <v>0</v>
      </c>
      <c r="AB6451">
        <v>5.4624389999999998</v>
      </c>
      <c r="AC6451">
        <v>1.483697E-2</v>
      </c>
      <c r="AD6451">
        <v>1.532044</v>
      </c>
      <c r="AE6451">
        <v>0.31328230000000001</v>
      </c>
      <c r="AF6451">
        <v>277.90690000000001</v>
      </c>
      <c r="AG6451">
        <f>IFERROR(AH6451*0.1, "N/A")</f>
        <v>6.5</v>
      </c>
      <c r="AH6451">
        <v>65</v>
      </c>
      <c r="AI6451">
        <v>161.4606</v>
      </c>
      <c r="AJ6451">
        <v>20</v>
      </c>
      <c r="AK6451">
        <v>58</v>
      </c>
    </row>
    <row r="6452" spans="1:37" x14ac:dyDescent="0.3">
      <c r="A6452">
        <v>6451</v>
      </c>
      <c r="B6452">
        <v>0</v>
      </c>
      <c r="C6452">
        <v>-4.4781000000000004</v>
      </c>
      <c r="D6452">
        <v>13.637600000000001</v>
      </c>
      <c r="E6452">
        <f>-4.4781-13.6376</f>
        <v>-18.1157</v>
      </c>
      <c r="F6452" t="s">
        <v>9888</v>
      </c>
      <c r="G6452" t="s">
        <v>37</v>
      </c>
      <c r="H6452">
        <v>1990</v>
      </c>
      <c r="I6452">
        <v>27.5</v>
      </c>
      <c r="J6452">
        <v>14.1</v>
      </c>
      <c r="K6452">
        <v>54</v>
      </c>
      <c r="L6452">
        <v>28.92</v>
      </c>
      <c r="M6452">
        <v>39.299999999999997</v>
      </c>
      <c r="N6452">
        <v>13.5</v>
      </c>
      <c r="O6452">
        <v>25.8</v>
      </c>
      <c r="P6452">
        <v>27.2</v>
      </c>
      <c r="Q6452">
        <v>23.5</v>
      </c>
      <c r="R6452">
        <v>31.3</v>
      </c>
      <c r="S6452">
        <v>23.5</v>
      </c>
      <c r="T6452">
        <v>647</v>
      </c>
      <c r="U6452">
        <v>209</v>
      </c>
      <c r="V6452">
        <v>0</v>
      </c>
      <c r="W6452">
        <v>128</v>
      </c>
      <c r="X6452">
        <v>485</v>
      </c>
      <c r="Y6452">
        <v>0</v>
      </c>
      <c r="Z6452">
        <v>131</v>
      </c>
      <c r="AA6452">
        <v>0</v>
      </c>
      <c r="AB6452">
        <v>5.4624389999999998</v>
      </c>
      <c r="AC6452">
        <v>1.483697E-2</v>
      </c>
      <c r="AD6452">
        <v>1.532044</v>
      </c>
      <c r="AE6452">
        <v>0.31328230000000001</v>
      </c>
      <c r="AF6452">
        <v>277.90690000000001</v>
      </c>
      <c r="AG6452">
        <f>IFERROR(AH6452*0.1, "N/A")</f>
        <v>6.5</v>
      </c>
      <c r="AH6452">
        <v>65</v>
      </c>
      <c r="AI6452">
        <v>161.4606</v>
      </c>
      <c r="AJ6452">
        <v>20</v>
      </c>
      <c r="AK6452">
        <v>58</v>
      </c>
    </row>
    <row r="6453" spans="1:37" x14ac:dyDescent="0.3">
      <c r="A6453">
        <v>6452</v>
      </c>
      <c r="B6453">
        <v>65.5</v>
      </c>
      <c r="C6453">
        <v>-3.6391</v>
      </c>
      <c r="D6453">
        <v>13.681699999999999</v>
      </c>
      <c r="E6453">
        <f>-3.6391-13.6817</f>
        <v>-17.320799999999998</v>
      </c>
      <c r="F6453" t="s">
        <v>9889</v>
      </c>
      <c r="G6453" t="s">
        <v>39</v>
      </c>
      <c r="H6453">
        <v>2005</v>
      </c>
      <c r="I6453">
        <v>27.6</v>
      </c>
      <c r="J6453">
        <v>13.6</v>
      </c>
      <c r="K6453">
        <v>55</v>
      </c>
      <c r="L6453">
        <v>28.05</v>
      </c>
      <c r="M6453">
        <v>39.1</v>
      </c>
      <c r="N6453">
        <v>14.7</v>
      </c>
      <c r="O6453">
        <v>24.4</v>
      </c>
      <c r="P6453">
        <v>27.2</v>
      </c>
      <c r="Q6453">
        <v>23.8</v>
      </c>
      <c r="R6453">
        <v>31.4</v>
      </c>
      <c r="S6453">
        <v>23.8</v>
      </c>
      <c r="T6453">
        <v>568</v>
      </c>
      <c r="U6453">
        <v>183</v>
      </c>
      <c r="V6453">
        <v>0</v>
      </c>
      <c r="W6453">
        <v>128</v>
      </c>
      <c r="X6453">
        <v>430</v>
      </c>
      <c r="Y6453">
        <v>0</v>
      </c>
      <c r="Z6453">
        <v>110</v>
      </c>
      <c r="AA6453">
        <v>0</v>
      </c>
      <c r="AB6453">
        <v>0.83456319999999995</v>
      </c>
      <c r="AC6453">
        <v>0.15377080000000001</v>
      </c>
      <c r="AD6453">
        <v>1.7782549999999999</v>
      </c>
      <c r="AE6453">
        <v>0.50040240000000002</v>
      </c>
      <c r="AF6453">
        <v>275.2749</v>
      </c>
      <c r="AG6453">
        <f>IFERROR(AH6453*0.1, "N/A")</f>
        <v>6.3123100000000001</v>
      </c>
      <c r="AH6453">
        <v>63.123100000000001</v>
      </c>
      <c r="AI6453">
        <v>186.1628</v>
      </c>
      <c r="AJ6453">
        <v>10</v>
      </c>
      <c r="AK6453">
        <v>76.635750000000002</v>
      </c>
    </row>
    <row r="6454" spans="1:37" x14ac:dyDescent="0.3">
      <c r="A6454">
        <v>6453</v>
      </c>
      <c r="B6454">
        <v>46</v>
      </c>
      <c r="C6454">
        <v>-5.8342999999999998</v>
      </c>
      <c r="D6454">
        <v>13.6852</v>
      </c>
      <c r="E6454">
        <f>-5.8343-13.6852</f>
        <v>-19.519500000000001</v>
      </c>
      <c r="F6454" t="s">
        <v>9890</v>
      </c>
      <c r="G6454" t="s">
        <v>39</v>
      </c>
      <c r="H6454">
        <v>1990</v>
      </c>
      <c r="I6454">
        <v>26.89611</v>
      </c>
      <c r="J6454">
        <v>15.6</v>
      </c>
      <c r="K6454">
        <v>56</v>
      </c>
      <c r="L6454">
        <v>27.571950000000001</v>
      </c>
      <c r="M6454">
        <v>39.492220000000003</v>
      </c>
      <c r="N6454">
        <v>11.79222</v>
      </c>
      <c r="O6454">
        <v>27.7</v>
      </c>
      <c r="P6454">
        <v>26.696110000000001</v>
      </c>
      <c r="Q6454">
        <v>23.196110000000001</v>
      </c>
      <c r="R6454">
        <v>30.496110000000002</v>
      </c>
      <c r="S6454">
        <v>23.196110000000001</v>
      </c>
      <c r="T6454">
        <v>693.11680000000001</v>
      </c>
      <c r="U6454">
        <v>234.03890000000001</v>
      </c>
      <c r="V6454">
        <v>0</v>
      </c>
      <c r="W6454">
        <v>133.9222</v>
      </c>
      <c r="X6454">
        <v>539.07780000000002</v>
      </c>
      <c r="Y6454">
        <v>0</v>
      </c>
      <c r="Z6454">
        <v>126</v>
      </c>
      <c r="AA6454">
        <v>0</v>
      </c>
      <c r="AB6454">
        <v>3.1228379999999998</v>
      </c>
      <c r="AC6454">
        <v>2.9372809999999999E-2</v>
      </c>
      <c r="AD6454">
        <v>0.70391190000000003</v>
      </c>
      <c r="AE6454">
        <v>0.46419050000000001</v>
      </c>
      <c r="AF6454">
        <v>281.67849999999999</v>
      </c>
      <c r="AG6454">
        <f>IFERROR(AH6454*0.1, "N/A")</f>
        <v>6.3350250000000008</v>
      </c>
      <c r="AH6454">
        <v>63.350250000000003</v>
      </c>
      <c r="AI6454">
        <v>177.2388</v>
      </c>
      <c r="AJ6454">
        <v>29.11168</v>
      </c>
      <c r="AK6454">
        <v>48.571910000000003</v>
      </c>
    </row>
    <row r="6455" spans="1:37" x14ac:dyDescent="0.3">
      <c r="A6455">
        <v>6454</v>
      </c>
      <c r="B6455">
        <v>5.0999999999999996</v>
      </c>
      <c r="C6455">
        <v>-5.8342999999999998</v>
      </c>
      <c r="D6455">
        <v>13.6852</v>
      </c>
      <c r="E6455">
        <f>-5.8343-13.6852</f>
        <v>-19.519500000000001</v>
      </c>
      <c r="F6455" t="s">
        <v>9891</v>
      </c>
      <c r="G6455" t="s">
        <v>37</v>
      </c>
      <c r="H6455">
        <v>1990</v>
      </c>
      <c r="I6455">
        <v>26.89611</v>
      </c>
      <c r="J6455">
        <v>15.6</v>
      </c>
      <c r="K6455">
        <v>56</v>
      </c>
      <c r="L6455">
        <v>27.571950000000001</v>
      </c>
      <c r="M6455">
        <v>39.492220000000003</v>
      </c>
      <c r="N6455">
        <v>11.79222</v>
      </c>
      <c r="O6455">
        <v>27.7</v>
      </c>
      <c r="P6455">
        <v>26.696110000000001</v>
      </c>
      <c r="Q6455">
        <v>23.196110000000001</v>
      </c>
      <c r="R6455">
        <v>30.496110000000002</v>
      </c>
      <c r="S6455">
        <v>23.196110000000001</v>
      </c>
      <c r="T6455">
        <v>693.11680000000001</v>
      </c>
      <c r="U6455">
        <v>234.03890000000001</v>
      </c>
      <c r="V6455">
        <v>0</v>
      </c>
      <c r="W6455">
        <v>133.9222</v>
      </c>
      <c r="X6455">
        <v>539.07780000000002</v>
      </c>
      <c r="Y6455">
        <v>0</v>
      </c>
      <c r="Z6455">
        <v>126</v>
      </c>
      <c r="AA6455">
        <v>0</v>
      </c>
      <c r="AB6455">
        <v>3.1228379999999998</v>
      </c>
      <c r="AC6455">
        <v>2.9372809999999999E-2</v>
      </c>
      <c r="AD6455">
        <v>0.70391190000000003</v>
      </c>
      <c r="AE6455">
        <v>0.46419050000000001</v>
      </c>
      <c r="AF6455">
        <v>281.67849999999999</v>
      </c>
      <c r="AG6455">
        <f>IFERROR(AH6455*0.1, "N/A")</f>
        <v>6.3350250000000008</v>
      </c>
      <c r="AH6455">
        <v>63.350250000000003</v>
      </c>
      <c r="AI6455">
        <v>177.2388</v>
      </c>
      <c r="AJ6455">
        <v>29.11168</v>
      </c>
      <c r="AK6455">
        <v>48.571910000000003</v>
      </c>
    </row>
    <row r="6456" spans="1:37" x14ac:dyDescent="0.3">
      <c r="A6456">
        <v>6455</v>
      </c>
      <c r="B6456">
        <v>13.3</v>
      </c>
      <c r="C6456">
        <v>-7.5640999999999998</v>
      </c>
      <c r="D6456">
        <v>13.693899999999999</v>
      </c>
      <c r="E6456">
        <f>-7.5641-13.6939</f>
        <v>-21.257999999999999</v>
      </c>
      <c r="F6456" t="s">
        <v>9892</v>
      </c>
      <c r="G6456" t="s">
        <v>39</v>
      </c>
      <c r="H6456">
        <v>1990</v>
      </c>
      <c r="I6456">
        <v>26.9</v>
      </c>
      <c r="J6456">
        <v>15.5</v>
      </c>
      <c r="K6456">
        <v>58</v>
      </c>
      <c r="L6456">
        <v>25.08</v>
      </c>
      <c r="M6456">
        <v>39.1</v>
      </c>
      <c r="N6456">
        <v>12.8</v>
      </c>
      <c r="O6456">
        <v>26.3</v>
      </c>
      <c r="P6456">
        <v>26</v>
      </c>
      <c r="Q6456">
        <v>24</v>
      </c>
      <c r="R6456">
        <v>30.2</v>
      </c>
      <c r="S6456">
        <v>23.9</v>
      </c>
      <c r="T6456">
        <v>722</v>
      </c>
      <c r="U6456">
        <v>236</v>
      </c>
      <c r="V6456">
        <v>0</v>
      </c>
      <c r="W6456">
        <v>130</v>
      </c>
      <c r="X6456">
        <v>558</v>
      </c>
      <c r="Y6456">
        <v>0</v>
      </c>
      <c r="Z6456">
        <v>124</v>
      </c>
      <c r="AA6456">
        <v>3</v>
      </c>
      <c r="AB6456">
        <v>2.415276</v>
      </c>
      <c r="AC6456">
        <v>8.3095630000000007E-3</v>
      </c>
      <c r="AD6456">
        <v>0.79780390000000001</v>
      </c>
      <c r="AE6456">
        <v>0.43328719999999998</v>
      </c>
      <c r="AF6456">
        <v>376.60840000000002</v>
      </c>
      <c r="AG6456">
        <f>IFERROR(AH6456*0.1, "N/A")</f>
        <v>6.083361</v>
      </c>
      <c r="AH6456">
        <v>60.83361</v>
      </c>
      <c r="AI6456">
        <v>133.3408</v>
      </c>
      <c r="AJ6456">
        <v>17.94454</v>
      </c>
      <c r="AK6456">
        <v>59.944540000000003</v>
      </c>
    </row>
    <row r="6457" spans="1:37" x14ac:dyDescent="0.3">
      <c r="A6457">
        <v>6456</v>
      </c>
      <c r="B6457">
        <v>0</v>
      </c>
      <c r="C6457">
        <v>-7.5640999999999998</v>
      </c>
      <c r="D6457">
        <v>13.693899999999999</v>
      </c>
      <c r="E6457">
        <f>-7.5641-13.6939</f>
        <v>-21.257999999999999</v>
      </c>
      <c r="F6457" t="s">
        <v>9893</v>
      </c>
      <c r="G6457" t="s">
        <v>37</v>
      </c>
      <c r="H6457">
        <v>1990</v>
      </c>
      <c r="I6457">
        <v>26.9</v>
      </c>
      <c r="J6457">
        <v>15.5</v>
      </c>
      <c r="K6457">
        <v>58</v>
      </c>
      <c r="L6457">
        <v>25.08</v>
      </c>
      <c r="M6457">
        <v>39.1</v>
      </c>
      <c r="N6457">
        <v>12.8</v>
      </c>
      <c r="O6457">
        <v>26.3</v>
      </c>
      <c r="P6457">
        <v>26</v>
      </c>
      <c r="Q6457">
        <v>24</v>
      </c>
      <c r="R6457">
        <v>30.2</v>
      </c>
      <c r="S6457">
        <v>23.9</v>
      </c>
      <c r="T6457">
        <v>722</v>
      </c>
      <c r="U6457">
        <v>236</v>
      </c>
      <c r="V6457">
        <v>0</v>
      </c>
      <c r="W6457">
        <v>130</v>
      </c>
      <c r="X6457">
        <v>558</v>
      </c>
      <c r="Y6457">
        <v>0</v>
      </c>
      <c r="Z6457">
        <v>124</v>
      </c>
      <c r="AA6457">
        <v>3</v>
      </c>
      <c r="AB6457">
        <v>2.415276</v>
      </c>
      <c r="AC6457">
        <v>8.3095630000000007E-3</v>
      </c>
      <c r="AD6457">
        <v>0.79780390000000001</v>
      </c>
      <c r="AE6457">
        <v>0.43328719999999998</v>
      </c>
      <c r="AF6457">
        <v>376.60840000000002</v>
      </c>
      <c r="AG6457">
        <f>IFERROR(AH6457*0.1, "N/A")</f>
        <v>6.083361</v>
      </c>
      <c r="AH6457">
        <v>60.83361</v>
      </c>
      <c r="AI6457">
        <v>133.3408</v>
      </c>
      <c r="AJ6457">
        <v>17.94454</v>
      </c>
      <c r="AK6457">
        <v>59.944540000000003</v>
      </c>
    </row>
    <row r="6458" spans="1:37" x14ac:dyDescent="0.3">
      <c r="A6458">
        <v>6457</v>
      </c>
      <c r="B6458">
        <v>20</v>
      </c>
      <c r="C6458">
        <v>-5.7568999999999999</v>
      </c>
      <c r="D6458">
        <v>13.7239</v>
      </c>
      <c r="E6458">
        <f>-5.7569-13.7239</f>
        <v>-19.480800000000002</v>
      </c>
      <c r="F6458" t="s">
        <v>9894</v>
      </c>
      <c r="G6458" t="s">
        <v>39</v>
      </c>
      <c r="H6458">
        <v>1990</v>
      </c>
      <c r="I6458">
        <v>26.7</v>
      </c>
      <c r="J6458">
        <v>15.9</v>
      </c>
      <c r="K6458">
        <v>56</v>
      </c>
      <c r="L6458">
        <v>28.12</v>
      </c>
      <c r="M6458">
        <v>39.299999999999997</v>
      </c>
      <c r="N6458">
        <v>11.1</v>
      </c>
      <c r="O6458">
        <v>28.2</v>
      </c>
      <c r="P6458">
        <v>26.5</v>
      </c>
      <c r="Q6458">
        <v>24.8</v>
      </c>
      <c r="R6458">
        <v>30.2</v>
      </c>
      <c r="S6458">
        <v>22.8</v>
      </c>
      <c r="T6458">
        <v>701</v>
      </c>
      <c r="U6458">
        <v>235</v>
      </c>
      <c r="V6458">
        <v>0</v>
      </c>
      <c r="W6458">
        <v>131</v>
      </c>
      <c r="X6458">
        <v>541</v>
      </c>
      <c r="Y6458">
        <v>1</v>
      </c>
      <c r="Z6458">
        <v>129</v>
      </c>
      <c r="AA6458">
        <v>1</v>
      </c>
      <c r="AB6458">
        <v>10.23915</v>
      </c>
      <c r="AC6458">
        <v>9.5373369999999999E-3</v>
      </c>
      <c r="AD6458">
        <v>1.201139</v>
      </c>
      <c r="AE6458">
        <v>0.2382483</v>
      </c>
      <c r="AF6458">
        <v>281.01679999999999</v>
      </c>
      <c r="AG6458">
        <f>IFERROR(AH6458*0.1, "N/A")</f>
        <v>6.983804000000001</v>
      </c>
      <c r="AH6458">
        <v>69.838040000000007</v>
      </c>
      <c r="AI6458">
        <v>244.16249999999999</v>
      </c>
      <c r="AJ6458">
        <v>27.883240000000001</v>
      </c>
      <c r="AK6458">
        <v>50.854990000000001</v>
      </c>
    </row>
    <row r="6459" spans="1:37" x14ac:dyDescent="0.3">
      <c r="A6459">
        <v>6458</v>
      </c>
      <c r="B6459">
        <v>5.6</v>
      </c>
      <c r="C6459">
        <v>-5.7568999999999999</v>
      </c>
      <c r="D6459">
        <v>13.7239</v>
      </c>
      <c r="E6459">
        <f>-5.7569-13.7239</f>
        <v>-19.480800000000002</v>
      </c>
      <c r="F6459" t="s">
        <v>9895</v>
      </c>
      <c r="G6459" t="s">
        <v>37</v>
      </c>
      <c r="H6459">
        <v>1990</v>
      </c>
      <c r="I6459">
        <v>26.7</v>
      </c>
      <c r="J6459">
        <v>15.9</v>
      </c>
      <c r="K6459">
        <v>56</v>
      </c>
      <c r="L6459">
        <v>28.12</v>
      </c>
      <c r="M6459">
        <v>39.299999999999997</v>
      </c>
      <c r="N6459">
        <v>11.1</v>
      </c>
      <c r="O6459">
        <v>28.2</v>
      </c>
      <c r="P6459">
        <v>26.5</v>
      </c>
      <c r="Q6459">
        <v>24.8</v>
      </c>
      <c r="R6459">
        <v>30.2</v>
      </c>
      <c r="S6459">
        <v>22.8</v>
      </c>
      <c r="T6459">
        <v>701</v>
      </c>
      <c r="U6459">
        <v>235</v>
      </c>
      <c r="V6459">
        <v>0</v>
      </c>
      <c r="W6459">
        <v>131</v>
      </c>
      <c r="X6459">
        <v>541</v>
      </c>
      <c r="Y6459">
        <v>1</v>
      </c>
      <c r="Z6459">
        <v>129</v>
      </c>
      <c r="AA6459">
        <v>1</v>
      </c>
      <c r="AB6459">
        <v>10.23915</v>
      </c>
      <c r="AC6459">
        <v>9.5373369999999999E-3</v>
      </c>
      <c r="AD6459">
        <v>1.201139</v>
      </c>
      <c r="AE6459">
        <v>0.2382483</v>
      </c>
      <c r="AF6459">
        <v>281.01679999999999</v>
      </c>
      <c r="AG6459">
        <f>IFERROR(AH6459*0.1, "N/A")</f>
        <v>6.983804000000001</v>
      </c>
      <c r="AH6459">
        <v>69.838040000000007</v>
      </c>
      <c r="AI6459">
        <v>244.16249999999999</v>
      </c>
      <c r="AJ6459">
        <v>27.883240000000001</v>
      </c>
      <c r="AK6459">
        <v>50.854990000000001</v>
      </c>
    </row>
    <row r="6460" spans="1:37" x14ac:dyDescent="0.3">
      <c r="A6460">
        <v>6459</v>
      </c>
      <c r="B6460">
        <v>34.799999999999997</v>
      </c>
      <c r="C6460">
        <v>-5.7450000000000001</v>
      </c>
      <c r="D6460">
        <v>13.7311</v>
      </c>
      <c r="E6460">
        <f>-5.745-13.7311</f>
        <v>-19.476099999999999</v>
      </c>
      <c r="F6460" t="s">
        <v>9896</v>
      </c>
      <c r="G6460" t="s">
        <v>39</v>
      </c>
      <c r="H6460">
        <v>1990</v>
      </c>
      <c r="I6460">
        <v>26.7</v>
      </c>
      <c r="J6460">
        <v>15.9</v>
      </c>
      <c r="K6460">
        <v>56</v>
      </c>
      <c r="L6460">
        <v>28.31</v>
      </c>
      <c r="M6460">
        <v>39.4</v>
      </c>
      <c r="N6460">
        <v>11.1</v>
      </c>
      <c r="O6460">
        <v>28.3</v>
      </c>
      <c r="P6460">
        <v>26.5</v>
      </c>
      <c r="Q6460">
        <v>24.7</v>
      </c>
      <c r="R6460">
        <v>30.3</v>
      </c>
      <c r="S6460">
        <v>22.8</v>
      </c>
      <c r="T6460">
        <v>695</v>
      </c>
      <c r="U6460">
        <v>234</v>
      </c>
      <c r="V6460">
        <v>0</v>
      </c>
      <c r="W6460">
        <v>133</v>
      </c>
      <c r="X6460">
        <v>538</v>
      </c>
      <c r="Y6460">
        <v>1</v>
      </c>
      <c r="Z6460">
        <v>127</v>
      </c>
      <c r="AA6460">
        <v>1</v>
      </c>
      <c r="AB6460">
        <v>3.5352410000000001</v>
      </c>
      <c r="AC6460">
        <v>9.6112539999999996E-3</v>
      </c>
      <c r="AD6460">
        <v>1.635977</v>
      </c>
      <c r="AE6460">
        <v>0.24925749999999999</v>
      </c>
      <c r="AF6460">
        <v>280.92239999999998</v>
      </c>
      <c r="AG6460">
        <f>IFERROR(AH6460*0.1, "N/A")</f>
        <v>6.087015000000001</v>
      </c>
      <c r="AH6460">
        <v>60.870150000000002</v>
      </c>
      <c r="AI6460">
        <v>200.9325</v>
      </c>
      <c r="AJ6460">
        <v>19.45194</v>
      </c>
      <c r="AK6460">
        <v>57.790889999999997</v>
      </c>
    </row>
    <row r="6461" spans="1:37" x14ac:dyDescent="0.3">
      <c r="A6461">
        <v>6460</v>
      </c>
      <c r="B6461">
        <v>13.4</v>
      </c>
      <c r="C6461">
        <v>-5.7450000000000001</v>
      </c>
      <c r="D6461">
        <v>13.7311</v>
      </c>
      <c r="E6461">
        <f>-5.745-13.7311</f>
        <v>-19.476099999999999</v>
      </c>
      <c r="F6461" t="s">
        <v>9897</v>
      </c>
      <c r="G6461" t="s">
        <v>37</v>
      </c>
      <c r="H6461">
        <v>1990</v>
      </c>
      <c r="I6461">
        <v>26.7</v>
      </c>
      <c r="J6461">
        <v>15.9</v>
      </c>
      <c r="K6461">
        <v>56</v>
      </c>
      <c r="L6461">
        <v>28.31</v>
      </c>
      <c r="M6461">
        <v>39.4</v>
      </c>
      <c r="N6461">
        <v>11.1</v>
      </c>
      <c r="O6461">
        <v>28.3</v>
      </c>
      <c r="P6461">
        <v>26.5</v>
      </c>
      <c r="Q6461">
        <v>24.7</v>
      </c>
      <c r="R6461">
        <v>30.3</v>
      </c>
      <c r="S6461">
        <v>22.8</v>
      </c>
      <c r="T6461">
        <v>695</v>
      </c>
      <c r="U6461">
        <v>234</v>
      </c>
      <c r="V6461">
        <v>0</v>
      </c>
      <c r="W6461">
        <v>133</v>
      </c>
      <c r="X6461">
        <v>538</v>
      </c>
      <c r="Y6461">
        <v>1</v>
      </c>
      <c r="Z6461">
        <v>127</v>
      </c>
      <c r="AA6461">
        <v>1</v>
      </c>
      <c r="AB6461">
        <v>3.5352410000000001</v>
      </c>
      <c r="AC6461">
        <v>9.6112539999999996E-3</v>
      </c>
      <c r="AD6461">
        <v>1.635977</v>
      </c>
      <c r="AE6461">
        <v>0.24925749999999999</v>
      </c>
      <c r="AF6461">
        <v>280.92239999999998</v>
      </c>
      <c r="AG6461">
        <f>IFERROR(AH6461*0.1, "N/A")</f>
        <v>6.087015000000001</v>
      </c>
      <c r="AH6461">
        <v>60.870150000000002</v>
      </c>
      <c r="AI6461">
        <v>200.9325</v>
      </c>
      <c r="AJ6461">
        <v>19.45194</v>
      </c>
      <c r="AK6461">
        <v>57.790889999999997</v>
      </c>
    </row>
    <row r="6462" spans="1:37" x14ac:dyDescent="0.3">
      <c r="A6462">
        <v>6461</v>
      </c>
      <c r="B6462">
        <v>4.4000000000000004</v>
      </c>
      <c r="C6462">
        <v>-3.5461999999999998</v>
      </c>
      <c r="D6462">
        <v>13.735200000000001</v>
      </c>
      <c r="E6462">
        <f>-3.5462-13.7352</f>
        <v>-17.281400000000001</v>
      </c>
      <c r="F6462" t="s">
        <v>9898</v>
      </c>
      <c r="G6462" t="s">
        <v>39</v>
      </c>
      <c r="H6462">
        <v>1990</v>
      </c>
      <c r="I6462">
        <v>27.7</v>
      </c>
      <c r="J6462">
        <v>13.6</v>
      </c>
      <c r="K6462">
        <v>55</v>
      </c>
      <c r="L6462">
        <v>28.12</v>
      </c>
      <c r="M6462">
        <v>39.200000000000003</v>
      </c>
      <c r="N6462">
        <v>14.8</v>
      </c>
      <c r="O6462">
        <v>24.4</v>
      </c>
      <c r="P6462">
        <v>27.3</v>
      </c>
      <c r="Q6462">
        <v>23.9</v>
      </c>
      <c r="R6462">
        <v>31.5</v>
      </c>
      <c r="S6462">
        <v>23.9</v>
      </c>
      <c r="T6462">
        <v>558</v>
      </c>
      <c r="U6462">
        <v>180</v>
      </c>
      <c r="V6462">
        <v>0</v>
      </c>
      <c r="W6462">
        <v>129</v>
      </c>
      <c r="X6462">
        <v>424</v>
      </c>
      <c r="Y6462">
        <v>0</v>
      </c>
      <c r="Z6462">
        <v>106</v>
      </c>
      <c r="AA6462">
        <v>0</v>
      </c>
      <c r="AB6462">
        <v>1.7859700000000001</v>
      </c>
      <c r="AC6462">
        <v>9.3325879999999993E-3</v>
      </c>
      <c r="AD6462">
        <v>1.796613</v>
      </c>
      <c r="AE6462">
        <v>0.41502729999999999</v>
      </c>
      <c r="AF6462">
        <v>268.58449999999999</v>
      </c>
      <c r="AG6462">
        <f>IFERROR(AH6462*0.1, "N/A")</f>
        <v>6.3000000000000007</v>
      </c>
      <c r="AH6462">
        <v>63</v>
      </c>
      <c r="AI6462">
        <v>188.38120000000001</v>
      </c>
      <c r="AJ6462">
        <v>5.9138510000000002</v>
      </c>
      <c r="AK6462">
        <v>85.258449999999996</v>
      </c>
    </row>
    <row r="6463" spans="1:37" x14ac:dyDescent="0.3">
      <c r="A6463">
        <v>6462</v>
      </c>
      <c r="B6463">
        <v>0</v>
      </c>
      <c r="C6463">
        <v>-3.5461999999999998</v>
      </c>
      <c r="D6463">
        <v>13.735200000000001</v>
      </c>
      <c r="E6463">
        <f>-3.5462-13.7352</f>
        <v>-17.281400000000001</v>
      </c>
      <c r="F6463" t="s">
        <v>9899</v>
      </c>
      <c r="G6463" t="s">
        <v>37</v>
      </c>
      <c r="H6463">
        <v>1990</v>
      </c>
      <c r="I6463">
        <v>27.7</v>
      </c>
      <c r="J6463">
        <v>13.6</v>
      </c>
      <c r="K6463">
        <v>55</v>
      </c>
      <c r="L6463">
        <v>28.12</v>
      </c>
      <c r="M6463">
        <v>39.200000000000003</v>
      </c>
      <c r="N6463">
        <v>14.8</v>
      </c>
      <c r="O6463">
        <v>24.4</v>
      </c>
      <c r="P6463">
        <v>27.3</v>
      </c>
      <c r="Q6463">
        <v>23.9</v>
      </c>
      <c r="R6463">
        <v>31.5</v>
      </c>
      <c r="S6463">
        <v>23.9</v>
      </c>
      <c r="T6463">
        <v>558</v>
      </c>
      <c r="U6463">
        <v>180</v>
      </c>
      <c r="V6463">
        <v>0</v>
      </c>
      <c r="W6463">
        <v>129</v>
      </c>
      <c r="X6463">
        <v>424</v>
      </c>
      <c r="Y6463">
        <v>0</v>
      </c>
      <c r="Z6463">
        <v>106</v>
      </c>
      <c r="AA6463">
        <v>0</v>
      </c>
      <c r="AB6463">
        <v>1.7859700000000001</v>
      </c>
      <c r="AC6463">
        <v>9.3325879999999993E-3</v>
      </c>
      <c r="AD6463">
        <v>1.796613</v>
      </c>
      <c r="AE6463">
        <v>0.41502729999999999</v>
      </c>
      <c r="AF6463">
        <v>268.58449999999999</v>
      </c>
      <c r="AG6463">
        <f>IFERROR(AH6463*0.1, "N/A")</f>
        <v>6.3000000000000007</v>
      </c>
      <c r="AH6463">
        <v>63</v>
      </c>
      <c r="AI6463">
        <v>188.38120000000001</v>
      </c>
      <c r="AJ6463">
        <v>5.9138510000000002</v>
      </c>
      <c r="AK6463">
        <v>85.258449999999996</v>
      </c>
    </row>
    <row r="6464" spans="1:37" x14ac:dyDescent="0.3">
      <c r="A6464">
        <v>6463</v>
      </c>
      <c r="B6464">
        <v>62.1</v>
      </c>
      <c r="C6464">
        <v>-6.0374999999999996</v>
      </c>
      <c r="D6464">
        <v>13.7384</v>
      </c>
      <c r="E6464">
        <f>-6.0375-13.7384</f>
        <v>-19.7759</v>
      </c>
      <c r="F6464" t="s">
        <v>9900</v>
      </c>
      <c r="G6464" t="s">
        <v>39</v>
      </c>
      <c r="H6464">
        <v>1990</v>
      </c>
      <c r="I6464">
        <v>27.1</v>
      </c>
      <c r="J6464">
        <v>15.2</v>
      </c>
      <c r="K6464">
        <v>57</v>
      </c>
      <c r="L6464">
        <v>27.21</v>
      </c>
      <c r="M6464">
        <v>39.200000000000003</v>
      </c>
      <c r="N6464">
        <v>12.7</v>
      </c>
      <c r="O6464">
        <v>26.5</v>
      </c>
      <c r="P6464">
        <v>26.8</v>
      </c>
      <c r="Q6464">
        <v>25.3</v>
      </c>
      <c r="R6464">
        <v>30.7</v>
      </c>
      <c r="S6464">
        <v>23.5</v>
      </c>
      <c r="T6464">
        <v>629</v>
      </c>
      <c r="U6464">
        <v>213</v>
      </c>
      <c r="V6464">
        <v>0</v>
      </c>
      <c r="W6464">
        <v>135</v>
      </c>
      <c r="X6464">
        <v>494</v>
      </c>
      <c r="Y6464">
        <v>0</v>
      </c>
      <c r="Z6464">
        <v>112</v>
      </c>
      <c r="AA6464">
        <v>0</v>
      </c>
      <c r="AB6464">
        <v>2.4391129999999999</v>
      </c>
      <c r="AC6464">
        <v>2.7543769999999999E-2</v>
      </c>
      <c r="AD6464">
        <v>1.7076659999999999</v>
      </c>
      <c r="AE6464">
        <v>0.34427180000000002</v>
      </c>
      <c r="AF6464">
        <v>286.58519999999999</v>
      </c>
      <c r="AG6464">
        <f>IFERROR(AH6464*0.1, "N/A")</f>
        <v>5.9473860000000007</v>
      </c>
      <c r="AH6464">
        <v>59.473860000000002</v>
      </c>
      <c r="AI6464">
        <v>73.53004</v>
      </c>
      <c r="AJ6464">
        <v>15.02698</v>
      </c>
      <c r="AK6464">
        <v>62.895449999999997</v>
      </c>
    </row>
    <row r="6465" spans="1:37" x14ac:dyDescent="0.3">
      <c r="A6465">
        <v>6464</v>
      </c>
      <c r="B6465">
        <v>52.8</v>
      </c>
      <c r="C6465">
        <v>-6.0374999999999996</v>
      </c>
      <c r="D6465">
        <v>13.7384</v>
      </c>
      <c r="E6465">
        <f>-6.0375-13.7384</f>
        <v>-19.7759</v>
      </c>
      <c r="F6465" t="s">
        <v>9901</v>
      </c>
      <c r="G6465" t="s">
        <v>37</v>
      </c>
      <c r="H6465">
        <v>1990</v>
      </c>
      <c r="I6465">
        <v>27.1</v>
      </c>
      <c r="J6465">
        <v>15.2</v>
      </c>
      <c r="K6465">
        <v>57</v>
      </c>
      <c r="L6465">
        <v>27.21</v>
      </c>
      <c r="M6465">
        <v>39.200000000000003</v>
      </c>
      <c r="N6465">
        <v>12.7</v>
      </c>
      <c r="O6465">
        <v>26.5</v>
      </c>
      <c r="P6465">
        <v>26.8</v>
      </c>
      <c r="Q6465">
        <v>25.3</v>
      </c>
      <c r="R6465">
        <v>30.7</v>
      </c>
      <c r="S6465">
        <v>23.5</v>
      </c>
      <c r="T6465">
        <v>629</v>
      </c>
      <c r="U6465">
        <v>213</v>
      </c>
      <c r="V6465">
        <v>0</v>
      </c>
      <c r="W6465">
        <v>135</v>
      </c>
      <c r="X6465">
        <v>494</v>
      </c>
      <c r="Y6465">
        <v>0</v>
      </c>
      <c r="Z6465">
        <v>112</v>
      </c>
      <c r="AA6465">
        <v>0</v>
      </c>
      <c r="AB6465">
        <v>2.4391129999999999</v>
      </c>
      <c r="AC6465">
        <v>2.7543769999999999E-2</v>
      </c>
      <c r="AD6465">
        <v>1.7076659999999999</v>
      </c>
      <c r="AE6465">
        <v>0.34427180000000002</v>
      </c>
      <c r="AF6465">
        <v>286.58519999999999</v>
      </c>
      <c r="AG6465">
        <f>IFERROR(AH6465*0.1, "N/A")</f>
        <v>5.9473860000000007</v>
      </c>
      <c r="AH6465">
        <v>59.473860000000002</v>
      </c>
      <c r="AI6465">
        <v>73.53004</v>
      </c>
      <c r="AJ6465">
        <v>15.02698</v>
      </c>
      <c r="AK6465">
        <v>62.895449999999997</v>
      </c>
    </row>
    <row r="6466" spans="1:37" x14ac:dyDescent="0.3">
      <c r="A6466">
        <v>6465</v>
      </c>
      <c r="B6466">
        <v>54</v>
      </c>
      <c r="C6466">
        <v>-5.7271700000000001</v>
      </c>
      <c r="D6466">
        <v>13.758699999999999</v>
      </c>
      <c r="E6466">
        <f>-5.72717-13.7587</f>
        <v>-19.485869999999998</v>
      </c>
      <c r="F6466" t="s">
        <v>9902</v>
      </c>
      <c r="G6466" t="s">
        <v>39</v>
      </c>
      <c r="H6466">
        <v>1990</v>
      </c>
      <c r="I6466">
        <v>26.6</v>
      </c>
      <c r="J6466">
        <v>15.9</v>
      </c>
      <c r="K6466">
        <v>56</v>
      </c>
      <c r="L6466">
        <v>28.146000000000001</v>
      </c>
      <c r="M6466">
        <v>39.36</v>
      </c>
      <c r="N6466">
        <v>11.1</v>
      </c>
      <c r="O6466">
        <v>28.26</v>
      </c>
      <c r="P6466">
        <v>26.5</v>
      </c>
      <c r="Q6466">
        <v>24.7</v>
      </c>
      <c r="R6466">
        <v>30.2</v>
      </c>
      <c r="S6466">
        <v>22.74</v>
      </c>
      <c r="T6466">
        <v>676.8</v>
      </c>
      <c r="U6466">
        <v>228.8</v>
      </c>
      <c r="V6466">
        <v>0</v>
      </c>
      <c r="W6466">
        <v>132.4</v>
      </c>
      <c r="X6466">
        <v>526.6</v>
      </c>
      <c r="Y6466">
        <v>1</v>
      </c>
      <c r="Z6466">
        <v>120.8</v>
      </c>
      <c r="AA6466">
        <v>1</v>
      </c>
      <c r="AB6466">
        <v>9.8231789999999997</v>
      </c>
      <c r="AC6466">
        <v>2.0663549999999999E-2</v>
      </c>
      <c r="AD6466">
        <v>1.915443</v>
      </c>
      <c r="AE6466">
        <v>0.21047299999999999</v>
      </c>
      <c r="AF6466">
        <v>278.39159999999998</v>
      </c>
      <c r="AG6466">
        <f>IFERROR(AH6466*0.1, "N/A")</f>
        <v>7</v>
      </c>
      <c r="AH6466">
        <v>70</v>
      </c>
      <c r="AI6466">
        <v>231.44739999999999</v>
      </c>
      <c r="AJ6466">
        <v>27</v>
      </c>
      <c r="AK6466">
        <v>51</v>
      </c>
    </row>
    <row r="6467" spans="1:37" x14ac:dyDescent="0.3">
      <c r="A6467">
        <v>6466</v>
      </c>
      <c r="B6467">
        <v>2.7</v>
      </c>
      <c r="C6467">
        <v>-5.7271700000000001</v>
      </c>
      <c r="D6467">
        <v>13.758699999999999</v>
      </c>
      <c r="E6467">
        <f>-5.72717-13.7587</f>
        <v>-19.485869999999998</v>
      </c>
      <c r="F6467" t="s">
        <v>9903</v>
      </c>
      <c r="G6467" t="s">
        <v>37</v>
      </c>
      <c r="H6467">
        <v>1990</v>
      </c>
      <c r="I6467">
        <v>26.6</v>
      </c>
      <c r="J6467">
        <v>15.9</v>
      </c>
      <c r="K6467">
        <v>56</v>
      </c>
      <c r="L6467">
        <v>28.146000000000001</v>
      </c>
      <c r="M6467">
        <v>39.36</v>
      </c>
      <c r="N6467">
        <v>11.1</v>
      </c>
      <c r="O6467">
        <v>28.26</v>
      </c>
      <c r="P6467">
        <v>26.5</v>
      </c>
      <c r="Q6467">
        <v>24.7</v>
      </c>
      <c r="R6467">
        <v>30.2</v>
      </c>
      <c r="S6467">
        <v>22.74</v>
      </c>
      <c r="T6467">
        <v>676.8</v>
      </c>
      <c r="U6467">
        <v>228.8</v>
      </c>
      <c r="V6467">
        <v>0</v>
      </c>
      <c r="W6467">
        <v>132.4</v>
      </c>
      <c r="X6467">
        <v>526.6</v>
      </c>
      <c r="Y6467">
        <v>1</v>
      </c>
      <c r="Z6467">
        <v>120.8</v>
      </c>
      <c r="AA6467">
        <v>1</v>
      </c>
      <c r="AB6467">
        <v>9.8231789999999997</v>
      </c>
      <c r="AC6467">
        <v>2.0663549999999999E-2</v>
      </c>
      <c r="AD6467">
        <v>1.915443</v>
      </c>
      <c r="AE6467">
        <v>0.21047299999999999</v>
      </c>
      <c r="AF6467">
        <v>278.39159999999998</v>
      </c>
      <c r="AG6467">
        <f>IFERROR(AH6467*0.1, "N/A")</f>
        <v>7</v>
      </c>
      <c r="AH6467">
        <v>70</v>
      </c>
      <c r="AI6467">
        <v>231.44739999999999</v>
      </c>
      <c r="AJ6467">
        <v>27</v>
      </c>
      <c r="AK6467">
        <v>51</v>
      </c>
    </row>
    <row r="6468" spans="1:37" x14ac:dyDescent="0.3">
      <c r="A6468">
        <v>6467</v>
      </c>
      <c r="B6468">
        <v>68</v>
      </c>
      <c r="C6468">
        <v>-4.4667000000000003</v>
      </c>
      <c r="D6468">
        <v>13.7667</v>
      </c>
      <c r="E6468">
        <f>-4.4667-13.7667</f>
        <v>-18.2334</v>
      </c>
      <c r="F6468" t="s">
        <v>9904</v>
      </c>
      <c r="G6468" t="s">
        <v>39</v>
      </c>
      <c r="H6468">
        <v>1987</v>
      </c>
      <c r="I6468">
        <v>27.4</v>
      </c>
      <c r="J6468">
        <v>14.1</v>
      </c>
      <c r="K6468">
        <v>53</v>
      </c>
      <c r="L6468">
        <v>29.89892</v>
      </c>
      <c r="M6468">
        <v>39.5</v>
      </c>
      <c r="N6468">
        <v>13.2</v>
      </c>
      <c r="O6468">
        <v>26.3</v>
      </c>
      <c r="P6468">
        <v>27.3</v>
      </c>
      <c r="Q6468">
        <v>23.2</v>
      </c>
      <c r="R6468">
        <v>31.261279999999999</v>
      </c>
      <c r="S6468">
        <v>23.2</v>
      </c>
      <c r="T6468">
        <v>600.404</v>
      </c>
      <c r="U6468">
        <v>197.46799999999999</v>
      </c>
      <c r="V6468">
        <v>0</v>
      </c>
      <c r="W6468">
        <v>129.06399999999999</v>
      </c>
      <c r="X6468">
        <v>454.404</v>
      </c>
      <c r="Y6468">
        <v>0</v>
      </c>
      <c r="Z6468">
        <v>120</v>
      </c>
      <c r="AA6468">
        <v>0</v>
      </c>
      <c r="AB6468">
        <v>0.21532860000000001</v>
      </c>
      <c r="AC6468">
        <v>0.57055529999999999</v>
      </c>
      <c r="AD6468">
        <v>2.0278390000000002</v>
      </c>
      <c r="AE6468">
        <v>0.40592519999999999</v>
      </c>
      <c r="AF6468">
        <v>270.73739999999998</v>
      </c>
      <c r="AG6468">
        <f>IFERROR(AH6468*0.1, "N/A")</f>
        <v>6.1000000000000005</v>
      </c>
      <c r="AH6468">
        <v>61</v>
      </c>
      <c r="AI6468">
        <v>112.565</v>
      </c>
      <c r="AJ6468">
        <v>16.558920000000001</v>
      </c>
      <c r="AK6468">
        <v>61.72054</v>
      </c>
    </row>
    <row r="6469" spans="1:37" x14ac:dyDescent="0.3">
      <c r="A6469">
        <v>6468</v>
      </c>
      <c r="B6469">
        <v>0</v>
      </c>
      <c r="C6469">
        <v>-4.4667000000000003</v>
      </c>
      <c r="D6469">
        <v>13.7667</v>
      </c>
      <c r="E6469">
        <f>-4.4667-13.7667</f>
        <v>-18.2334</v>
      </c>
      <c r="F6469" t="s">
        <v>9905</v>
      </c>
      <c r="G6469" t="s">
        <v>37</v>
      </c>
      <c r="H6469">
        <v>1987</v>
      </c>
      <c r="I6469">
        <v>27.4</v>
      </c>
      <c r="J6469">
        <v>14.1</v>
      </c>
      <c r="K6469">
        <v>53</v>
      </c>
      <c r="L6469">
        <v>29.89892</v>
      </c>
      <c r="M6469">
        <v>39.5</v>
      </c>
      <c r="N6469">
        <v>13.2</v>
      </c>
      <c r="O6469">
        <v>26.3</v>
      </c>
      <c r="P6469">
        <v>27.3</v>
      </c>
      <c r="Q6469">
        <v>23.2</v>
      </c>
      <c r="R6469">
        <v>31.261279999999999</v>
      </c>
      <c r="S6469">
        <v>23.2</v>
      </c>
      <c r="T6469">
        <v>600.404</v>
      </c>
      <c r="U6469">
        <v>197.46799999999999</v>
      </c>
      <c r="V6469">
        <v>0</v>
      </c>
      <c r="W6469">
        <v>129.06399999999999</v>
      </c>
      <c r="X6469">
        <v>454.404</v>
      </c>
      <c r="Y6469">
        <v>0</v>
      </c>
      <c r="Z6469">
        <v>120</v>
      </c>
      <c r="AA6469">
        <v>0</v>
      </c>
      <c r="AB6469">
        <v>0.21532860000000001</v>
      </c>
      <c r="AC6469">
        <v>0.57055529999999999</v>
      </c>
      <c r="AD6469">
        <v>2.0278390000000002</v>
      </c>
      <c r="AE6469">
        <v>0.40592519999999999</v>
      </c>
      <c r="AF6469">
        <v>270.73739999999998</v>
      </c>
      <c r="AG6469">
        <f>IFERROR(AH6469*0.1, "N/A")</f>
        <v>6.1000000000000005</v>
      </c>
      <c r="AH6469">
        <v>61</v>
      </c>
      <c r="AI6469">
        <v>112.565</v>
      </c>
      <c r="AJ6469">
        <v>16.558920000000001</v>
      </c>
      <c r="AK6469">
        <v>61.72054</v>
      </c>
    </row>
    <row r="6470" spans="1:37" x14ac:dyDescent="0.3">
      <c r="A6470">
        <v>6469</v>
      </c>
      <c r="B6470">
        <v>47</v>
      </c>
      <c r="C6470">
        <v>-10.849</v>
      </c>
      <c r="D6470">
        <v>13.8</v>
      </c>
      <c r="E6470">
        <f>-10.849-13.8</f>
        <v>-24.649000000000001</v>
      </c>
      <c r="F6470" t="s">
        <v>9906</v>
      </c>
      <c r="G6470" t="s">
        <v>39</v>
      </c>
      <c r="H6470">
        <v>1987</v>
      </c>
      <c r="I6470">
        <v>28.499829999999999</v>
      </c>
      <c r="J6470">
        <v>13.45801</v>
      </c>
      <c r="K6470">
        <v>69</v>
      </c>
      <c r="L6470">
        <v>12.03046</v>
      </c>
      <c r="M6470">
        <v>38.199829999999999</v>
      </c>
      <c r="N6470">
        <v>18.79983</v>
      </c>
      <c r="O6470">
        <v>19.399999999999999</v>
      </c>
      <c r="P6470">
        <v>27.29983</v>
      </c>
      <c r="Q6470">
        <v>28.399830000000001</v>
      </c>
      <c r="R6470">
        <v>30.299659999999999</v>
      </c>
      <c r="S6470">
        <v>27.29983</v>
      </c>
      <c r="T6470">
        <v>778.00170000000003</v>
      </c>
      <c r="U6470">
        <v>245.58179999999999</v>
      </c>
      <c r="V6470">
        <v>0</v>
      </c>
      <c r="W6470">
        <v>131</v>
      </c>
      <c r="X6470">
        <v>596.58180000000004</v>
      </c>
      <c r="Y6470">
        <v>0</v>
      </c>
      <c r="Z6470">
        <v>23.419899999999998</v>
      </c>
      <c r="AA6470">
        <v>596.58180000000004</v>
      </c>
      <c r="AB6470">
        <v>11.694430000000001</v>
      </c>
      <c r="AC6470">
        <v>3.791572E-2</v>
      </c>
      <c r="AD6470">
        <v>3.0599500000000002</v>
      </c>
      <c r="AE6470">
        <v>0.62536510000000001</v>
      </c>
      <c r="AF6470">
        <v>110.32040000000001</v>
      </c>
      <c r="AG6470">
        <f>IFERROR(AH6470*0.1, "N/A")</f>
        <v>6.8000000000000007</v>
      </c>
      <c r="AH6470">
        <v>68</v>
      </c>
      <c r="AI6470">
        <v>104.0874</v>
      </c>
      <c r="AJ6470">
        <v>21.99663</v>
      </c>
      <c r="AK6470">
        <v>48.998309999999996</v>
      </c>
    </row>
    <row r="6471" spans="1:37" x14ac:dyDescent="0.3">
      <c r="A6471">
        <v>6470</v>
      </c>
      <c r="B6471">
        <v>88.6</v>
      </c>
      <c r="C6471">
        <v>-5.7736299999999998</v>
      </c>
      <c r="D6471">
        <v>13.8096</v>
      </c>
      <c r="E6471">
        <f>-5.77363-13.8096</f>
        <v>-19.58323</v>
      </c>
      <c r="F6471" t="s">
        <v>9907</v>
      </c>
      <c r="G6471" t="s">
        <v>37</v>
      </c>
      <c r="H6471">
        <v>2004</v>
      </c>
      <c r="I6471">
        <v>26.6</v>
      </c>
      <c r="J6471">
        <v>15.8</v>
      </c>
      <c r="K6471">
        <v>56</v>
      </c>
      <c r="L6471">
        <v>28.25</v>
      </c>
      <c r="M6471">
        <v>39.299999999999997</v>
      </c>
      <c r="N6471">
        <v>11.2</v>
      </c>
      <c r="O6471">
        <v>28.1</v>
      </c>
      <c r="P6471">
        <v>26.5</v>
      </c>
      <c r="Q6471">
        <v>24.5</v>
      </c>
      <c r="R6471">
        <v>30.2</v>
      </c>
      <c r="S6471">
        <v>22.7</v>
      </c>
      <c r="T6471">
        <v>645</v>
      </c>
      <c r="U6471">
        <v>223</v>
      </c>
      <c r="V6471">
        <v>0</v>
      </c>
      <c r="W6471">
        <v>137</v>
      </c>
      <c r="X6471">
        <v>512</v>
      </c>
      <c r="Y6471">
        <v>0</v>
      </c>
      <c r="Z6471">
        <v>109</v>
      </c>
      <c r="AA6471">
        <v>0</v>
      </c>
      <c r="AB6471">
        <v>3.8146469999999999</v>
      </c>
      <c r="AC6471">
        <v>9.4660690000000006E-3</v>
      </c>
      <c r="AD6471">
        <v>1.2680439999999999</v>
      </c>
      <c r="AE6471">
        <v>0.40188400000000002</v>
      </c>
      <c r="AF6471">
        <v>279.25420000000003</v>
      </c>
      <c r="AG6471">
        <f>IFERROR(AH6471*0.1, "N/A")</f>
        <v>6.7651520000000005</v>
      </c>
      <c r="AH6471">
        <v>67.651520000000005</v>
      </c>
      <c r="AI6471">
        <v>126.8541</v>
      </c>
      <c r="AJ6471">
        <v>24.348479999999999</v>
      </c>
      <c r="AK6471">
        <v>52.606059999999999</v>
      </c>
    </row>
    <row r="6472" spans="1:37" x14ac:dyDescent="0.3">
      <c r="A6472">
        <v>6471</v>
      </c>
      <c r="B6472">
        <v>28.4</v>
      </c>
      <c r="C6472">
        <v>-5.7736299999999998</v>
      </c>
      <c r="D6472">
        <v>13.8096</v>
      </c>
      <c r="E6472">
        <f>-5.77363-13.8096</f>
        <v>-19.58323</v>
      </c>
      <c r="F6472" t="s">
        <v>9908</v>
      </c>
      <c r="G6472" t="s">
        <v>39</v>
      </c>
      <c r="H6472">
        <v>2004</v>
      </c>
      <c r="I6472">
        <v>26.6</v>
      </c>
      <c r="J6472">
        <v>15.8</v>
      </c>
      <c r="K6472">
        <v>56</v>
      </c>
      <c r="L6472">
        <v>28.25</v>
      </c>
      <c r="M6472">
        <v>39.299999999999997</v>
      </c>
      <c r="N6472">
        <v>11.2</v>
      </c>
      <c r="O6472">
        <v>28.1</v>
      </c>
      <c r="P6472">
        <v>26.5</v>
      </c>
      <c r="Q6472">
        <v>24.5</v>
      </c>
      <c r="R6472">
        <v>30.2</v>
      </c>
      <c r="S6472">
        <v>22.7</v>
      </c>
      <c r="T6472">
        <v>645</v>
      </c>
      <c r="U6472">
        <v>223</v>
      </c>
      <c r="V6472">
        <v>0</v>
      </c>
      <c r="W6472">
        <v>137</v>
      </c>
      <c r="X6472">
        <v>512</v>
      </c>
      <c r="Y6472">
        <v>0</v>
      </c>
      <c r="Z6472">
        <v>109</v>
      </c>
      <c r="AA6472">
        <v>0</v>
      </c>
      <c r="AB6472">
        <v>3.8146469999999999</v>
      </c>
      <c r="AC6472">
        <v>9.4660690000000006E-3</v>
      </c>
      <c r="AD6472">
        <v>1.2680439999999999</v>
      </c>
      <c r="AE6472">
        <v>0.40188400000000002</v>
      </c>
      <c r="AF6472">
        <v>279.25420000000003</v>
      </c>
      <c r="AG6472">
        <f>IFERROR(AH6472*0.1, "N/A")</f>
        <v>6.7651520000000005</v>
      </c>
      <c r="AH6472">
        <v>67.651520000000005</v>
      </c>
      <c r="AI6472">
        <v>126.8541</v>
      </c>
      <c r="AJ6472">
        <v>24.348479999999999</v>
      </c>
      <c r="AK6472">
        <v>52.606059999999999</v>
      </c>
    </row>
    <row r="6473" spans="1:37" x14ac:dyDescent="0.3">
      <c r="A6473">
        <v>6472</v>
      </c>
      <c r="B6473">
        <v>16.100000000000001</v>
      </c>
      <c r="C6473">
        <v>-7.4679599999999997</v>
      </c>
      <c r="D6473">
        <v>13.809699999999999</v>
      </c>
      <c r="E6473">
        <f>-7.46796-13.8097</f>
        <v>-21.277659999999997</v>
      </c>
      <c r="F6473" t="s">
        <v>9909</v>
      </c>
      <c r="G6473" t="s">
        <v>39</v>
      </c>
      <c r="H6473">
        <v>1990</v>
      </c>
      <c r="I6473">
        <v>27.1</v>
      </c>
      <c r="J6473">
        <v>15.6</v>
      </c>
      <c r="K6473">
        <v>58</v>
      </c>
      <c r="L6473">
        <v>25.78</v>
      </c>
      <c r="M6473">
        <v>39.5</v>
      </c>
      <c r="N6473">
        <v>12.8</v>
      </c>
      <c r="O6473">
        <v>26.7</v>
      </c>
      <c r="P6473">
        <v>26.4</v>
      </c>
      <c r="Q6473">
        <v>24.1</v>
      </c>
      <c r="R6473">
        <v>30.6</v>
      </c>
      <c r="S6473">
        <v>24</v>
      </c>
      <c r="T6473">
        <v>674</v>
      </c>
      <c r="U6473">
        <v>224</v>
      </c>
      <c r="V6473">
        <v>0</v>
      </c>
      <c r="W6473">
        <v>131</v>
      </c>
      <c r="X6473">
        <v>526</v>
      </c>
      <c r="Y6473">
        <v>0</v>
      </c>
      <c r="Z6473">
        <v>113</v>
      </c>
      <c r="AA6473">
        <v>3</v>
      </c>
      <c r="AB6473">
        <v>1.5952839999999999</v>
      </c>
      <c r="AC6473">
        <v>1.108339E-2</v>
      </c>
      <c r="AD6473">
        <v>0.95670679999999997</v>
      </c>
      <c r="AE6473">
        <v>0.68214300000000005</v>
      </c>
      <c r="AF6473">
        <v>322.88010000000003</v>
      </c>
      <c r="AG6473">
        <f>IFERROR(AH6473*0.1, "N/A")</f>
        <v>5.978885</v>
      </c>
      <c r="AH6473">
        <v>59.788849999999996</v>
      </c>
      <c r="AI6473">
        <v>41.706530000000001</v>
      </c>
      <c r="AJ6473">
        <v>15.10304</v>
      </c>
      <c r="AK6473">
        <v>61.273650000000004</v>
      </c>
    </row>
    <row r="6474" spans="1:37" x14ac:dyDescent="0.3">
      <c r="A6474">
        <v>6473</v>
      </c>
      <c r="B6474">
        <v>0.7</v>
      </c>
      <c r="C6474">
        <v>-7.4679599999999997</v>
      </c>
      <c r="D6474">
        <v>13.809699999999999</v>
      </c>
      <c r="E6474">
        <f>-7.46796-13.8097</f>
        <v>-21.277659999999997</v>
      </c>
      <c r="F6474" t="s">
        <v>9910</v>
      </c>
      <c r="G6474" t="s">
        <v>37</v>
      </c>
      <c r="H6474">
        <v>1990</v>
      </c>
      <c r="I6474">
        <v>27.1</v>
      </c>
      <c r="J6474">
        <v>15.6</v>
      </c>
      <c r="K6474">
        <v>58</v>
      </c>
      <c r="L6474">
        <v>25.78</v>
      </c>
      <c r="M6474">
        <v>39.5</v>
      </c>
      <c r="N6474">
        <v>12.8</v>
      </c>
      <c r="O6474">
        <v>26.7</v>
      </c>
      <c r="P6474">
        <v>26.4</v>
      </c>
      <c r="Q6474">
        <v>24.1</v>
      </c>
      <c r="R6474">
        <v>30.6</v>
      </c>
      <c r="S6474">
        <v>24</v>
      </c>
      <c r="T6474">
        <v>674</v>
      </c>
      <c r="U6474">
        <v>224</v>
      </c>
      <c r="V6474">
        <v>0</v>
      </c>
      <c r="W6474">
        <v>131</v>
      </c>
      <c r="X6474">
        <v>526</v>
      </c>
      <c r="Y6474">
        <v>0</v>
      </c>
      <c r="Z6474">
        <v>113</v>
      </c>
      <c r="AA6474">
        <v>3</v>
      </c>
      <c r="AB6474">
        <v>1.5952839999999999</v>
      </c>
      <c r="AC6474">
        <v>1.108339E-2</v>
      </c>
      <c r="AD6474">
        <v>0.95670679999999997</v>
      </c>
      <c r="AE6474">
        <v>0.68214300000000005</v>
      </c>
      <c r="AF6474">
        <v>322.88010000000003</v>
      </c>
      <c r="AG6474">
        <f>IFERROR(AH6474*0.1, "N/A")</f>
        <v>5.978885</v>
      </c>
      <c r="AH6474">
        <v>59.788849999999996</v>
      </c>
      <c r="AI6474">
        <v>41.706530000000001</v>
      </c>
      <c r="AJ6474">
        <v>15.10304</v>
      </c>
      <c r="AK6474">
        <v>61.273650000000004</v>
      </c>
    </row>
    <row r="6475" spans="1:37" x14ac:dyDescent="0.3">
      <c r="A6475">
        <v>6474</v>
      </c>
      <c r="B6475">
        <v>15.9</v>
      </c>
      <c r="C6475">
        <v>-3.4404400000000002</v>
      </c>
      <c r="D6475">
        <v>13.816599999999999</v>
      </c>
      <c r="E6475">
        <f>-3.44044-13.8166</f>
        <v>-17.25704</v>
      </c>
      <c r="F6475" t="s">
        <v>9911</v>
      </c>
      <c r="G6475" t="s">
        <v>39</v>
      </c>
      <c r="H6475">
        <v>1990</v>
      </c>
      <c r="I6475">
        <v>27.9</v>
      </c>
      <c r="J6475">
        <v>13.7</v>
      </c>
      <c r="K6475">
        <v>55.789209999999997</v>
      </c>
      <c r="L6475">
        <v>28.197890000000001</v>
      </c>
      <c r="M6475">
        <v>39.4</v>
      </c>
      <c r="N6475">
        <v>14.97892</v>
      </c>
      <c r="O6475">
        <v>24.42108</v>
      </c>
      <c r="P6475">
        <v>27.5</v>
      </c>
      <c r="Q6475">
        <v>24</v>
      </c>
      <c r="R6475">
        <v>31.6</v>
      </c>
      <c r="S6475">
        <v>24</v>
      </c>
      <c r="T6475">
        <v>546</v>
      </c>
      <c r="U6475">
        <v>176</v>
      </c>
      <c r="V6475">
        <v>0</v>
      </c>
      <c r="W6475">
        <v>129</v>
      </c>
      <c r="X6475">
        <v>416</v>
      </c>
      <c r="Y6475">
        <v>0</v>
      </c>
      <c r="Z6475">
        <v>102</v>
      </c>
      <c r="AA6475">
        <v>0</v>
      </c>
      <c r="AB6475">
        <v>0.84114639999999996</v>
      </c>
      <c r="AC6475">
        <v>9.4817419999999996E-3</v>
      </c>
      <c r="AD6475">
        <v>1.745398</v>
      </c>
      <c r="AE6475">
        <v>0.50598770000000004</v>
      </c>
      <c r="AF6475">
        <v>263.84820000000002</v>
      </c>
      <c r="AG6475">
        <f>IFERROR(AH6475*0.1, "N/A")</f>
        <v>6.0296799999999999</v>
      </c>
      <c r="AH6475">
        <v>60.296799999999998</v>
      </c>
      <c r="AI6475">
        <v>196.52</v>
      </c>
      <c r="AJ6475">
        <v>8.9983140000000006</v>
      </c>
      <c r="AK6475">
        <v>81.197299999999998</v>
      </c>
    </row>
    <row r="6476" spans="1:37" x14ac:dyDescent="0.3">
      <c r="A6476">
        <v>6475</v>
      </c>
      <c r="B6476">
        <v>1.4</v>
      </c>
      <c r="C6476">
        <v>-3.4404400000000002</v>
      </c>
      <c r="D6476">
        <v>13.816599999999999</v>
      </c>
      <c r="E6476">
        <f>-3.44044-13.8166</f>
        <v>-17.25704</v>
      </c>
      <c r="F6476" t="s">
        <v>9912</v>
      </c>
      <c r="G6476" t="s">
        <v>37</v>
      </c>
      <c r="H6476">
        <v>1990</v>
      </c>
      <c r="I6476">
        <v>27.9</v>
      </c>
      <c r="J6476">
        <v>13.7</v>
      </c>
      <c r="K6476">
        <v>55.789209999999997</v>
      </c>
      <c r="L6476">
        <v>28.197890000000001</v>
      </c>
      <c r="M6476">
        <v>39.4</v>
      </c>
      <c r="N6476">
        <v>14.97892</v>
      </c>
      <c r="O6476">
        <v>24.42108</v>
      </c>
      <c r="P6476">
        <v>27.5</v>
      </c>
      <c r="Q6476">
        <v>24</v>
      </c>
      <c r="R6476">
        <v>31.6</v>
      </c>
      <c r="S6476">
        <v>24</v>
      </c>
      <c r="T6476">
        <v>546</v>
      </c>
      <c r="U6476">
        <v>176</v>
      </c>
      <c r="V6476">
        <v>0</v>
      </c>
      <c r="W6476">
        <v>129</v>
      </c>
      <c r="X6476">
        <v>416</v>
      </c>
      <c r="Y6476">
        <v>0</v>
      </c>
      <c r="Z6476">
        <v>102</v>
      </c>
      <c r="AA6476">
        <v>0</v>
      </c>
      <c r="AB6476">
        <v>0.84114639999999996</v>
      </c>
      <c r="AC6476">
        <v>9.4817419999999996E-3</v>
      </c>
      <c r="AD6476">
        <v>1.745398</v>
      </c>
      <c r="AE6476">
        <v>0.50598770000000004</v>
      </c>
      <c r="AF6476">
        <v>263.84820000000002</v>
      </c>
      <c r="AG6476">
        <f>IFERROR(AH6476*0.1, "N/A")</f>
        <v>6.0296799999999999</v>
      </c>
      <c r="AH6476">
        <v>60.296799999999998</v>
      </c>
      <c r="AI6476">
        <v>196.52</v>
      </c>
      <c r="AJ6476">
        <v>8.9983140000000006</v>
      </c>
      <c r="AK6476">
        <v>81.197299999999998</v>
      </c>
    </row>
    <row r="6477" spans="1:37" x14ac:dyDescent="0.3">
      <c r="A6477">
        <v>6476</v>
      </c>
      <c r="B6477">
        <v>72.599999999999994</v>
      </c>
      <c r="C6477">
        <v>-3.4333300000000002</v>
      </c>
      <c r="D6477">
        <v>13.816700000000001</v>
      </c>
      <c r="E6477">
        <f>-3.43333-13.8167</f>
        <v>-17.250030000000002</v>
      </c>
      <c r="F6477" t="s">
        <v>9913</v>
      </c>
      <c r="G6477" t="s">
        <v>39</v>
      </c>
      <c r="H6477">
        <v>1998</v>
      </c>
      <c r="I6477">
        <v>27.9</v>
      </c>
      <c r="J6477">
        <v>13.7</v>
      </c>
      <c r="K6477">
        <v>55.72128</v>
      </c>
      <c r="L6477">
        <v>28.202719999999999</v>
      </c>
      <c r="M6477">
        <v>39.417059999999999</v>
      </c>
      <c r="N6477">
        <v>14.989190000000001</v>
      </c>
      <c r="O6477">
        <v>24.427869999999999</v>
      </c>
      <c r="P6477">
        <v>27.5</v>
      </c>
      <c r="Q6477">
        <v>24.03632</v>
      </c>
      <c r="R6477">
        <v>31.6</v>
      </c>
      <c r="S6477">
        <v>24.03632</v>
      </c>
      <c r="T6477">
        <v>546</v>
      </c>
      <c r="U6477">
        <v>176</v>
      </c>
      <c r="V6477">
        <v>0</v>
      </c>
      <c r="W6477">
        <v>129</v>
      </c>
      <c r="X6477">
        <v>416</v>
      </c>
      <c r="Y6477">
        <v>0</v>
      </c>
      <c r="Z6477">
        <v>102</v>
      </c>
      <c r="AA6477">
        <v>0</v>
      </c>
      <c r="AB6477">
        <v>1.6680740000000001</v>
      </c>
      <c r="AC6477">
        <v>8.8103269999999997E-3</v>
      </c>
      <c r="AD6477">
        <v>1.6361829999999999</v>
      </c>
      <c r="AE6477">
        <v>0.50598770000000004</v>
      </c>
      <c r="AF6477">
        <v>264.17739999999998</v>
      </c>
      <c r="AG6477">
        <f>IFERROR(AH6477*0.1, "N/A")</f>
        <v>6.3988180000000003</v>
      </c>
      <c r="AH6477">
        <v>63.98818</v>
      </c>
      <c r="AI6477">
        <v>107.15900000000001</v>
      </c>
      <c r="AJ6477">
        <v>6.9881760000000002</v>
      </c>
      <c r="AK6477">
        <v>84.05574</v>
      </c>
    </row>
    <row r="6478" spans="1:37" x14ac:dyDescent="0.3">
      <c r="A6478">
        <v>6477</v>
      </c>
      <c r="B6478">
        <v>0</v>
      </c>
      <c r="C6478">
        <v>-3.4333300000000002</v>
      </c>
      <c r="D6478">
        <v>13.816700000000001</v>
      </c>
      <c r="E6478">
        <f>-3.43333-13.8167</f>
        <v>-17.250030000000002</v>
      </c>
      <c r="F6478" t="s">
        <v>9914</v>
      </c>
      <c r="G6478" t="s">
        <v>37</v>
      </c>
      <c r="H6478">
        <v>1994</v>
      </c>
      <c r="I6478">
        <v>27.9</v>
      </c>
      <c r="J6478">
        <v>13.7</v>
      </c>
      <c r="K6478">
        <v>55.72128</v>
      </c>
      <c r="L6478">
        <v>28.202719999999999</v>
      </c>
      <c r="M6478">
        <v>39.417059999999999</v>
      </c>
      <c r="N6478">
        <v>14.989190000000001</v>
      </c>
      <c r="O6478">
        <v>24.427869999999999</v>
      </c>
      <c r="P6478">
        <v>27.5</v>
      </c>
      <c r="Q6478">
        <v>24.03632</v>
      </c>
      <c r="R6478">
        <v>31.6</v>
      </c>
      <c r="S6478">
        <v>24.03632</v>
      </c>
      <c r="T6478">
        <v>546</v>
      </c>
      <c r="U6478">
        <v>176</v>
      </c>
      <c r="V6478">
        <v>0</v>
      </c>
      <c r="W6478">
        <v>129</v>
      </c>
      <c r="X6478">
        <v>416</v>
      </c>
      <c r="Y6478">
        <v>0</v>
      </c>
      <c r="Z6478">
        <v>102</v>
      </c>
      <c r="AA6478">
        <v>0</v>
      </c>
      <c r="AB6478">
        <v>1.6680740000000001</v>
      </c>
      <c r="AC6478">
        <v>8.8103269999999997E-3</v>
      </c>
      <c r="AD6478">
        <v>1.6361829999999999</v>
      </c>
      <c r="AE6478">
        <v>0.50598770000000004</v>
      </c>
      <c r="AF6478">
        <v>264.17739999999998</v>
      </c>
      <c r="AG6478">
        <f>IFERROR(AH6478*0.1, "N/A")</f>
        <v>6.3988180000000003</v>
      </c>
      <c r="AH6478">
        <v>63.98818</v>
      </c>
      <c r="AI6478">
        <v>107.15900000000001</v>
      </c>
      <c r="AJ6478">
        <v>6.9881760000000002</v>
      </c>
      <c r="AK6478">
        <v>84.05574</v>
      </c>
    </row>
    <row r="6479" spans="1:37" x14ac:dyDescent="0.3">
      <c r="A6479">
        <v>6478</v>
      </c>
      <c r="B6479">
        <v>64.599999999999994</v>
      </c>
      <c r="C6479">
        <v>-6.1049800000000003</v>
      </c>
      <c r="D6479">
        <v>13.8345</v>
      </c>
      <c r="E6479">
        <f>-6.10498-13.8345</f>
        <v>-19.93948</v>
      </c>
      <c r="F6479" t="s">
        <v>9915</v>
      </c>
      <c r="G6479" t="s">
        <v>39</v>
      </c>
      <c r="H6479">
        <v>1990</v>
      </c>
      <c r="I6479">
        <v>27.2</v>
      </c>
      <c r="J6479">
        <v>15.3</v>
      </c>
      <c r="K6479">
        <v>57</v>
      </c>
      <c r="L6479">
        <v>27.67</v>
      </c>
      <c r="M6479">
        <v>39.299999999999997</v>
      </c>
      <c r="N6479">
        <v>12.8</v>
      </c>
      <c r="O6479">
        <v>26.5</v>
      </c>
      <c r="P6479">
        <v>26.9</v>
      </c>
      <c r="Q6479">
        <v>25.4</v>
      </c>
      <c r="R6479">
        <v>30.9</v>
      </c>
      <c r="S6479">
        <v>23.5</v>
      </c>
      <c r="T6479">
        <v>583</v>
      </c>
      <c r="U6479">
        <v>202</v>
      </c>
      <c r="V6479">
        <v>0</v>
      </c>
      <c r="W6479">
        <v>137</v>
      </c>
      <c r="X6479">
        <v>462</v>
      </c>
      <c r="Y6479">
        <v>0</v>
      </c>
      <c r="Z6479">
        <v>100</v>
      </c>
      <c r="AA6479">
        <v>0</v>
      </c>
      <c r="AB6479">
        <v>1.159983</v>
      </c>
      <c r="AC6479">
        <v>8.8889180000000009E-3</v>
      </c>
      <c r="AD6479">
        <v>1.2744800000000001</v>
      </c>
      <c r="AE6479">
        <v>0.40411190000000002</v>
      </c>
      <c r="AF6479">
        <v>282.06529999999998</v>
      </c>
      <c r="AG6479">
        <f>IFERROR(AH6479*0.1, "N/A")</f>
        <v>6.0827470000000003</v>
      </c>
      <c r="AH6479">
        <v>60.827469999999998</v>
      </c>
      <c r="AI6479">
        <v>185.91679999999999</v>
      </c>
      <c r="AJ6479">
        <v>14</v>
      </c>
      <c r="AK6479">
        <v>65.827470000000005</v>
      </c>
    </row>
    <row r="6480" spans="1:37" x14ac:dyDescent="0.3">
      <c r="A6480">
        <v>6479</v>
      </c>
      <c r="B6480">
        <v>31.1</v>
      </c>
      <c r="C6480">
        <v>-6.1049800000000003</v>
      </c>
      <c r="D6480">
        <v>13.8345</v>
      </c>
      <c r="E6480">
        <f>-6.10498-13.8345</f>
        <v>-19.93948</v>
      </c>
      <c r="F6480" t="s">
        <v>9916</v>
      </c>
      <c r="G6480" t="s">
        <v>37</v>
      </c>
      <c r="H6480">
        <v>1990</v>
      </c>
      <c r="I6480">
        <v>27.2</v>
      </c>
      <c r="J6480">
        <v>15.3</v>
      </c>
      <c r="K6480">
        <v>57</v>
      </c>
      <c r="L6480">
        <v>27.67</v>
      </c>
      <c r="M6480">
        <v>39.299999999999997</v>
      </c>
      <c r="N6480">
        <v>12.8</v>
      </c>
      <c r="O6480">
        <v>26.5</v>
      </c>
      <c r="P6480">
        <v>26.9</v>
      </c>
      <c r="Q6480">
        <v>25.4</v>
      </c>
      <c r="R6480">
        <v>30.9</v>
      </c>
      <c r="S6480">
        <v>23.5</v>
      </c>
      <c r="T6480">
        <v>583</v>
      </c>
      <c r="U6480">
        <v>202</v>
      </c>
      <c r="V6480">
        <v>0</v>
      </c>
      <c r="W6480">
        <v>137</v>
      </c>
      <c r="X6480">
        <v>462</v>
      </c>
      <c r="Y6480">
        <v>0</v>
      </c>
      <c r="Z6480">
        <v>100</v>
      </c>
      <c r="AA6480">
        <v>0</v>
      </c>
      <c r="AB6480">
        <v>1.159983</v>
      </c>
      <c r="AC6480">
        <v>8.8889180000000009E-3</v>
      </c>
      <c r="AD6480">
        <v>1.2744800000000001</v>
      </c>
      <c r="AE6480">
        <v>0.40411190000000002</v>
      </c>
      <c r="AF6480">
        <v>282.06529999999998</v>
      </c>
      <c r="AG6480">
        <f>IFERROR(AH6480*0.1, "N/A")</f>
        <v>6.0827470000000003</v>
      </c>
      <c r="AH6480">
        <v>60.827469999999998</v>
      </c>
      <c r="AI6480">
        <v>185.91679999999999</v>
      </c>
      <c r="AJ6480">
        <v>14</v>
      </c>
      <c r="AK6480">
        <v>65.827470000000005</v>
      </c>
    </row>
    <row r="6481" spans="1:37" x14ac:dyDescent="0.3">
      <c r="A6481">
        <v>6480</v>
      </c>
      <c r="B6481">
        <v>82.4</v>
      </c>
      <c r="C6481">
        <v>-5.6967999999999996</v>
      </c>
      <c r="D6481">
        <v>13.840299999999999</v>
      </c>
      <c r="E6481">
        <f>-5.6968-13.8403</f>
        <v>-19.537099999999999</v>
      </c>
      <c r="F6481" t="s">
        <v>9917</v>
      </c>
      <c r="G6481" t="s">
        <v>39</v>
      </c>
      <c r="H6481">
        <v>1990</v>
      </c>
      <c r="I6481">
        <v>26.4</v>
      </c>
      <c r="J6481">
        <v>15.9</v>
      </c>
      <c r="K6481">
        <v>56</v>
      </c>
      <c r="L6481">
        <v>28.46</v>
      </c>
      <c r="M6481">
        <v>39.1</v>
      </c>
      <c r="N6481">
        <v>10.9</v>
      </c>
      <c r="O6481">
        <v>28.2</v>
      </c>
      <c r="P6481">
        <v>26.4</v>
      </c>
      <c r="Q6481">
        <v>24.3</v>
      </c>
      <c r="R6481">
        <v>30</v>
      </c>
      <c r="S6481">
        <v>22.4</v>
      </c>
      <c r="T6481">
        <v>632</v>
      </c>
      <c r="U6481">
        <v>215</v>
      </c>
      <c r="V6481">
        <v>0</v>
      </c>
      <c r="W6481">
        <v>134</v>
      </c>
      <c r="X6481">
        <v>496</v>
      </c>
      <c r="Y6481">
        <v>1</v>
      </c>
      <c r="Z6481">
        <v>109</v>
      </c>
      <c r="AA6481">
        <v>1</v>
      </c>
      <c r="AB6481">
        <v>8.564508</v>
      </c>
      <c r="AC6481">
        <v>9.3004179999999995E-3</v>
      </c>
      <c r="AD6481">
        <v>2.2697039999999999</v>
      </c>
      <c r="AE6481">
        <v>0.30992399999999998</v>
      </c>
      <c r="AF6481">
        <v>278.50839999999999</v>
      </c>
      <c r="AG6481">
        <f>IFERROR(AH6481*0.1, "N/A")</f>
        <v>7.0472970000000004</v>
      </c>
      <c r="AH6481">
        <v>70.472970000000004</v>
      </c>
      <c r="AI6481">
        <v>246.57210000000001</v>
      </c>
      <c r="AJ6481">
        <v>23.86824</v>
      </c>
      <c r="AK6481">
        <v>56.80236</v>
      </c>
    </row>
    <row r="6482" spans="1:37" x14ac:dyDescent="0.3">
      <c r="A6482">
        <v>6481</v>
      </c>
      <c r="B6482">
        <v>79.8</v>
      </c>
      <c r="C6482">
        <v>-5.6967999999999996</v>
      </c>
      <c r="D6482">
        <v>13.840299999999999</v>
      </c>
      <c r="E6482">
        <f>-5.6968-13.8403</f>
        <v>-19.537099999999999</v>
      </c>
      <c r="F6482" t="s">
        <v>9918</v>
      </c>
      <c r="G6482" t="s">
        <v>37</v>
      </c>
      <c r="H6482">
        <v>1990</v>
      </c>
      <c r="I6482">
        <v>26.4</v>
      </c>
      <c r="J6482">
        <v>15.9</v>
      </c>
      <c r="K6482">
        <v>56</v>
      </c>
      <c r="L6482">
        <v>28.46</v>
      </c>
      <c r="M6482">
        <v>39.1</v>
      </c>
      <c r="N6482">
        <v>10.9</v>
      </c>
      <c r="O6482">
        <v>28.2</v>
      </c>
      <c r="P6482">
        <v>26.4</v>
      </c>
      <c r="Q6482">
        <v>24.3</v>
      </c>
      <c r="R6482">
        <v>30</v>
      </c>
      <c r="S6482">
        <v>22.4</v>
      </c>
      <c r="T6482">
        <v>632</v>
      </c>
      <c r="U6482">
        <v>215</v>
      </c>
      <c r="V6482">
        <v>0</v>
      </c>
      <c r="W6482">
        <v>134</v>
      </c>
      <c r="X6482">
        <v>496</v>
      </c>
      <c r="Y6482">
        <v>1</v>
      </c>
      <c r="Z6482">
        <v>109</v>
      </c>
      <c r="AA6482">
        <v>1</v>
      </c>
      <c r="AB6482">
        <v>8.564508</v>
      </c>
      <c r="AC6482">
        <v>9.3004179999999995E-3</v>
      </c>
      <c r="AD6482">
        <v>2.2697039999999999</v>
      </c>
      <c r="AE6482">
        <v>0.30992399999999998</v>
      </c>
      <c r="AF6482">
        <v>278.50839999999999</v>
      </c>
      <c r="AG6482">
        <f>IFERROR(AH6482*0.1, "N/A")</f>
        <v>7.0472970000000004</v>
      </c>
      <c r="AH6482">
        <v>70.472970000000004</v>
      </c>
      <c r="AI6482">
        <v>246.57210000000001</v>
      </c>
      <c r="AJ6482">
        <v>23.86824</v>
      </c>
      <c r="AK6482">
        <v>56.80236</v>
      </c>
    </row>
    <row r="6483" spans="1:37" x14ac:dyDescent="0.3">
      <c r="A6483">
        <v>6482</v>
      </c>
      <c r="B6483">
        <v>39.5</v>
      </c>
      <c r="C6483">
        <v>-3.7504</v>
      </c>
      <c r="D6483">
        <v>13.841699999999999</v>
      </c>
      <c r="E6483">
        <f>-3.7504-13.8417</f>
        <v>-17.592099999999999</v>
      </c>
      <c r="F6483" t="s">
        <v>9919</v>
      </c>
      <c r="G6483" t="s">
        <v>39</v>
      </c>
      <c r="H6483">
        <v>2005</v>
      </c>
      <c r="I6483">
        <v>26</v>
      </c>
      <c r="J6483">
        <v>13.7</v>
      </c>
      <c r="K6483">
        <v>54</v>
      </c>
      <c r="L6483">
        <v>29.348700000000001</v>
      </c>
      <c r="M6483">
        <v>37.799999999999997</v>
      </c>
      <c r="N6483">
        <v>12.6</v>
      </c>
      <c r="O6483">
        <v>25.2</v>
      </c>
      <c r="P6483">
        <v>26</v>
      </c>
      <c r="Q6483">
        <v>22.387519999999999</v>
      </c>
      <c r="R6483">
        <v>29.9</v>
      </c>
      <c r="S6483">
        <v>21.98752</v>
      </c>
      <c r="T6483">
        <v>562.24959999999999</v>
      </c>
      <c r="U6483">
        <v>182.12479999999999</v>
      </c>
      <c r="V6483">
        <v>0</v>
      </c>
      <c r="W6483">
        <v>127.62560000000001</v>
      </c>
      <c r="X6483">
        <v>423.24959999999999</v>
      </c>
      <c r="Y6483">
        <v>1</v>
      </c>
      <c r="Z6483">
        <v>109</v>
      </c>
      <c r="AA6483">
        <v>1</v>
      </c>
      <c r="AB6483">
        <v>86.396450000000002</v>
      </c>
      <c r="AC6483">
        <v>4.397247E-2</v>
      </c>
      <c r="AD6483">
        <v>13.498900000000001</v>
      </c>
      <c r="AE6483">
        <v>0.3733436</v>
      </c>
      <c r="AF6483">
        <v>432.15679999999998</v>
      </c>
      <c r="AG6483">
        <f>IFERROR(AH6483*0.1, "N/A")</f>
        <v>7.1268130000000003</v>
      </c>
      <c r="AH6483">
        <v>71.268129999999999</v>
      </c>
      <c r="AI6483">
        <v>125.0878</v>
      </c>
      <c r="AJ6483">
        <v>16.305230000000002</v>
      </c>
      <c r="AK6483">
        <v>70.634060000000005</v>
      </c>
    </row>
    <row r="6484" spans="1:37" x14ac:dyDescent="0.3">
      <c r="A6484">
        <v>6483</v>
      </c>
      <c r="B6484">
        <v>95.1</v>
      </c>
      <c r="C6484">
        <v>-5.7309000000000001</v>
      </c>
      <c r="D6484">
        <v>13.8588</v>
      </c>
      <c r="E6484">
        <f>-5.7309-13.8588</f>
        <v>-19.589700000000001</v>
      </c>
      <c r="F6484" t="s">
        <v>9920</v>
      </c>
      <c r="G6484" t="s">
        <v>37</v>
      </c>
      <c r="H6484">
        <v>2004</v>
      </c>
      <c r="I6484">
        <v>26.5</v>
      </c>
      <c r="J6484">
        <v>15.8</v>
      </c>
      <c r="K6484">
        <v>56</v>
      </c>
      <c r="L6484">
        <v>28.50459</v>
      </c>
      <c r="M6484">
        <v>39.110810000000001</v>
      </c>
      <c r="N6484">
        <v>11.1</v>
      </c>
      <c r="O6484">
        <v>28.010809999999999</v>
      </c>
      <c r="P6484">
        <v>26.4</v>
      </c>
      <c r="Q6484">
        <v>24.4</v>
      </c>
      <c r="R6484">
        <v>30.2</v>
      </c>
      <c r="S6484">
        <v>22.6</v>
      </c>
      <c r="T6484">
        <v>624.32429999999999</v>
      </c>
      <c r="U6484">
        <v>215.10810000000001</v>
      </c>
      <c r="V6484">
        <v>0</v>
      </c>
      <c r="W6484">
        <v>134.10810000000001</v>
      </c>
      <c r="X6484">
        <v>494.21620000000001</v>
      </c>
      <c r="Y6484">
        <v>0</v>
      </c>
      <c r="Z6484">
        <v>105.10809999999999</v>
      </c>
      <c r="AA6484">
        <v>1</v>
      </c>
      <c r="AB6484">
        <v>1.7457720000000001</v>
      </c>
      <c r="AC6484">
        <v>1.099692E-2</v>
      </c>
      <c r="AD6484">
        <v>0.90648479999999998</v>
      </c>
      <c r="AE6484">
        <v>0.47027859999999999</v>
      </c>
      <c r="AF6484">
        <v>278.67570000000001</v>
      </c>
      <c r="AG6484">
        <f>IFERROR(AH6484*0.1, "N/A")</f>
        <v>6.0005070000000007</v>
      </c>
      <c r="AH6484">
        <v>60.005070000000003</v>
      </c>
      <c r="AI6484">
        <v>241.50729999999999</v>
      </c>
      <c r="AJ6484">
        <v>25.59291</v>
      </c>
      <c r="AK6484">
        <v>51.567570000000003</v>
      </c>
    </row>
    <row r="6485" spans="1:37" x14ac:dyDescent="0.3">
      <c r="A6485">
        <v>6484</v>
      </c>
      <c r="B6485">
        <v>31.4</v>
      </c>
      <c r="C6485">
        <v>-5.7309000000000001</v>
      </c>
      <c r="D6485">
        <v>13.8588</v>
      </c>
      <c r="E6485">
        <f>-5.7309-13.8588</f>
        <v>-19.589700000000001</v>
      </c>
      <c r="F6485" t="s">
        <v>9921</v>
      </c>
      <c r="G6485" t="s">
        <v>39</v>
      </c>
      <c r="H6485">
        <v>2004</v>
      </c>
      <c r="I6485">
        <v>26.5</v>
      </c>
      <c r="J6485">
        <v>15.8</v>
      </c>
      <c r="K6485">
        <v>56</v>
      </c>
      <c r="L6485">
        <v>28.50459</v>
      </c>
      <c r="M6485">
        <v>39.110810000000001</v>
      </c>
      <c r="N6485">
        <v>11.1</v>
      </c>
      <c r="O6485">
        <v>28.010809999999999</v>
      </c>
      <c r="P6485">
        <v>26.4</v>
      </c>
      <c r="Q6485">
        <v>24.4</v>
      </c>
      <c r="R6485">
        <v>30.2</v>
      </c>
      <c r="S6485">
        <v>22.6</v>
      </c>
      <c r="T6485">
        <v>624.32429999999999</v>
      </c>
      <c r="U6485">
        <v>215.10810000000001</v>
      </c>
      <c r="V6485">
        <v>0</v>
      </c>
      <c r="W6485">
        <v>134.10810000000001</v>
      </c>
      <c r="X6485">
        <v>494.21620000000001</v>
      </c>
      <c r="Y6485">
        <v>0</v>
      </c>
      <c r="Z6485">
        <v>105.10809999999999</v>
      </c>
      <c r="AA6485">
        <v>1</v>
      </c>
      <c r="AB6485">
        <v>1.7457720000000001</v>
      </c>
      <c r="AC6485">
        <v>1.099692E-2</v>
      </c>
      <c r="AD6485">
        <v>0.90648479999999998</v>
      </c>
      <c r="AE6485">
        <v>0.47027859999999999</v>
      </c>
      <c r="AF6485">
        <v>278.67570000000001</v>
      </c>
      <c r="AG6485">
        <f>IFERROR(AH6485*0.1, "N/A")</f>
        <v>6.0005070000000007</v>
      </c>
      <c r="AH6485">
        <v>60.005070000000003</v>
      </c>
      <c r="AI6485">
        <v>241.50729999999999</v>
      </c>
      <c r="AJ6485">
        <v>25.59291</v>
      </c>
      <c r="AK6485">
        <v>51.567570000000003</v>
      </c>
    </row>
    <row r="6486" spans="1:37" x14ac:dyDescent="0.3">
      <c r="A6486">
        <v>6485</v>
      </c>
      <c r="B6486">
        <v>76</v>
      </c>
      <c r="C6486">
        <v>-5.734</v>
      </c>
      <c r="D6486">
        <v>13.867000000000001</v>
      </c>
      <c r="E6486">
        <f>-5.734-13.867</f>
        <v>-19.600999999999999</v>
      </c>
      <c r="F6486" t="s">
        <v>9922</v>
      </c>
      <c r="G6486" t="s">
        <v>39</v>
      </c>
      <c r="H6486">
        <v>1987</v>
      </c>
      <c r="I6486">
        <v>26.5</v>
      </c>
      <c r="J6486">
        <v>15.805059999999999</v>
      </c>
      <c r="K6486">
        <v>56</v>
      </c>
      <c r="L6486">
        <v>28.4605</v>
      </c>
      <c r="M6486">
        <v>39.105060000000002</v>
      </c>
      <c r="N6486">
        <v>11.1</v>
      </c>
      <c r="O6486">
        <v>28.00506</v>
      </c>
      <c r="P6486">
        <v>26.4</v>
      </c>
      <c r="Q6486">
        <v>24.305060000000001</v>
      </c>
      <c r="R6486">
        <v>30.2</v>
      </c>
      <c r="S6486">
        <v>22.6</v>
      </c>
      <c r="T6486">
        <v>619.25300000000004</v>
      </c>
      <c r="U6486">
        <v>214.0506</v>
      </c>
      <c r="V6486">
        <v>0</v>
      </c>
      <c r="W6486">
        <v>135.89879999999999</v>
      </c>
      <c r="X6486">
        <v>492.15179999999998</v>
      </c>
      <c r="Y6486">
        <v>0</v>
      </c>
      <c r="Z6486">
        <v>103.0506</v>
      </c>
      <c r="AA6486">
        <v>1</v>
      </c>
      <c r="AB6486">
        <v>1.42597</v>
      </c>
      <c r="AC6486">
        <v>8.3035230000000002E-3</v>
      </c>
      <c r="AD6486">
        <v>0.33153559999999999</v>
      </c>
      <c r="AE6486">
        <v>0.57953140000000003</v>
      </c>
      <c r="AF6486">
        <v>279.52449999999999</v>
      </c>
      <c r="AG6486">
        <f>IFERROR(AH6486*0.1, "N/A")</f>
        <v>5.6000000000000005</v>
      </c>
      <c r="AH6486">
        <v>56</v>
      </c>
      <c r="AI6486">
        <v>56.608249999999998</v>
      </c>
      <c r="AJ6486">
        <v>20</v>
      </c>
      <c r="AK6486">
        <v>60</v>
      </c>
    </row>
    <row r="6487" spans="1:37" x14ac:dyDescent="0.3">
      <c r="A6487">
        <v>6486</v>
      </c>
      <c r="B6487">
        <v>63</v>
      </c>
      <c r="C6487">
        <v>-5.734</v>
      </c>
      <c r="D6487">
        <v>13.867000000000001</v>
      </c>
      <c r="E6487">
        <f>-5.734-13.867</f>
        <v>-19.600999999999999</v>
      </c>
      <c r="F6487" t="s">
        <v>9923</v>
      </c>
      <c r="G6487" t="s">
        <v>37</v>
      </c>
      <c r="H6487">
        <v>1987</v>
      </c>
      <c r="I6487">
        <v>26.5</v>
      </c>
      <c r="J6487">
        <v>15.805059999999999</v>
      </c>
      <c r="K6487">
        <v>56</v>
      </c>
      <c r="L6487">
        <v>28.4605</v>
      </c>
      <c r="M6487">
        <v>39.105060000000002</v>
      </c>
      <c r="N6487">
        <v>11.1</v>
      </c>
      <c r="O6487">
        <v>28.00506</v>
      </c>
      <c r="P6487">
        <v>26.4</v>
      </c>
      <c r="Q6487">
        <v>24.305060000000001</v>
      </c>
      <c r="R6487">
        <v>30.2</v>
      </c>
      <c r="S6487">
        <v>22.6</v>
      </c>
      <c r="T6487">
        <v>619.25300000000004</v>
      </c>
      <c r="U6487">
        <v>214.0506</v>
      </c>
      <c r="V6487">
        <v>0</v>
      </c>
      <c r="W6487">
        <v>135.89879999999999</v>
      </c>
      <c r="X6487">
        <v>492.15179999999998</v>
      </c>
      <c r="Y6487">
        <v>0</v>
      </c>
      <c r="Z6487">
        <v>103.0506</v>
      </c>
      <c r="AA6487">
        <v>1</v>
      </c>
      <c r="AB6487">
        <v>1.42597</v>
      </c>
      <c r="AC6487">
        <v>8.3035230000000002E-3</v>
      </c>
      <c r="AD6487">
        <v>0.33153559999999999</v>
      </c>
      <c r="AE6487">
        <v>0.57953140000000003</v>
      </c>
      <c r="AF6487">
        <v>279.52449999999999</v>
      </c>
      <c r="AG6487">
        <f>IFERROR(AH6487*0.1, "N/A")</f>
        <v>5.6000000000000005</v>
      </c>
      <c r="AH6487">
        <v>56</v>
      </c>
      <c r="AI6487">
        <v>56.608249999999998</v>
      </c>
      <c r="AJ6487">
        <v>20</v>
      </c>
      <c r="AK6487">
        <v>60</v>
      </c>
    </row>
    <row r="6488" spans="1:37" x14ac:dyDescent="0.3">
      <c r="A6488">
        <v>6487</v>
      </c>
      <c r="B6488">
        <v>72.2</v>
      </c>
      <c r="C6488">
        <v>-5.6553000000000004</v>
      </c>
      <c r="D6488">
        <v>13.870100000000001</v>
      </c>
      <c r="E6488">
        <f>-5.6553-13.8701</f>
        <v>-19.525400000000001</v>
      </c>
      <c r="F6488" t="s">
        <v>9924</v>
      </c>
      <c r="G6488" t="s">
        <v>39</v>
      </c>
      <c r="H6488">
        <v>1990</v>
      </c>
      <c r="I6488">
        <v>26.3</v>
      </c>
      <c r="J6488">
        <v>15.9</v>
      </c>
      <c r="K6488">
        <v>56</v>
      </c>
      <c r="L6488">
        <v>28.92</v>
      </c>
      <c r="M6488">
        <v>39</v>
      </c>
      <c r="N6488">
        <v>10.8</v>
      </c>
      <c r="O6488">
        <v>28.2</v>
      </c>
      <c r="P6488">
        <v>26.3</v>
      </c>
      <c r="Q6488">
        <v>24.1</v>
      </c>
      <c r="R6488">
        <v>30</v>
      </c>
      <c r="S6488">
        <v>22.2</v>
      </c>
      <c r="T6488">
        <v>611</v>
      </c>
      <c r="U6488">
        <v>207</v>
      </c>
      <c r="V6488">
        <v>0</v>
      </c>
      <c r="W6488">
        <v>134</v>
      </c>
      <c r="X6488">
        <v>479</v>
      </c>
      <c r="Y6488">
        <v>1</v>
      </c>
      <c r="Z6488">
        <v>106</v>
      </c>
      <c r="AA6488">
        <v>1</v>
      </c>
      <c r="AB6488">
        <v>2.8139609999999999</v>
      </c>
      <c r="AC6488">
        <v>526.99270000000001</v>
      </c>
      <c r="AD6488">
        <v>1.282079</v>
      </c>
      <c r="AE6488">
        <v>0.38913789999999998</v>
      </c>
      <c r="AF6488">
        <v>276.601</v>
      </c>
      <c r="AG6488">
        <f>IFERROR(AH6488*0.1, "N/A")</f>
        <v>6.4828280000000014</v>
      </c>
      <c r="AH6488">
        <v>64.828280000000007</v>
      </c>
      <c r="AI6488">
        <v>151.8074</v>
      </c>
      <c r="AJ6488">
        <v>16.39057</v>
      </c>
      <c r="AK6488">
        <v>62.047139999999999</v>
      </c>
    </row>
    <row r="6489" spans="1:37" x14ac:dyDescent="0.3">
      <c r="A6489">
        <v>6488</v>
      </c>
      <c r="B6489">
        <v>61.6</v>
      </c>
      <c r="C6489">
        <v>-5.6553000000000004</v>
      </c>
      <c r="D6489">
        <v>13.870100000000001</v>
      </c>
      <c r="E6489">
        <f>-5.6553-13.8701</f>
        <v>-19.525400000000001</v>
      </c>
      <c r="F6489" t="s">
        <v>9925</v>
      </c>
      <c r="G6489" t="s">
        <v>37</v>
      </c>
      <c r="H6489">
        <v>1990</v>
      </c>
      <c r="I6489">
        <v>26.3</v>
      </c>
      <c r="J6489">
        <v>15.9</v>
      </c>
      <c r="K6489">
        <v>56</v>
      </c>
      <c r="L6489">
        <v>28.92</v>
      </c>
      <c r="M6489">
        <v>39</v>
      </c>
      <c r="N6489">
        <v>10.8</v>
      </c>
      <c r="O6489">
        <v>28.2</v>
      </c>
      <c r="P6489">
        <v>26.3</v>
      </c>
      <c r="Q6489">
        <v>24.1</v>
      </c>
      <c r="R6489">
        <v>30</v>
      </c>
      <c r="S6489">
        <v>22.2</v>
      </c>
      <c r="T6489">
        <v>611</v>
      </c>
      <c r="U6489">
        <v>207</v>
      </c>
      <c r="V6489">
        <v>0</v>
      </c>
      <c r="W6489">
        <v>134</v>
      </c>
      <c r="X6489">
        <v>479</v>
      </c>
      <c r="Y6489">
        <v>1</v>
      </c>
      <c r="Z6489">
        <v>106</v>
      </c>
      <c r="AA6489">
        <v>1</v>
      </c>
      <c r="AB6489">
        <v>2.8139609999999999</v>
      </c>
      <c r="AC6489">
        <v>526.99270000000001</v>
      </c>
      <c r="AD6489">
        <v>1.282079</v>
      </c>
      <c r="AE6489">
        <v>0.38913789999999998</v>
      </c>
      <c r="AF6489">
        <v>276.601</v>
      </c>
      <c r="AG6489">
        <f>IFERROR(AH6489*0.1, "N/A")</f>
        <v>6.4828280000000014</v>
      </c>
      <c r="AH6489">
        <v>64.828280000000007</v>
      </c>
      <c r="AI6489">
        <v>151.8074</v>
      </c>
      <c r="AJ6489">
        <v>16.39057</v>
      </c>
      <c r="AK6489">
        <v>62.047139999999999</v>
      </c>
    </row>
    <row r="6490" spans="1:37" x14ac:dyDescent="0.3">
      <c r="A6490">
        <v>6489</v>
      </c>
      <c r="B6490">
        <v>49.1</v>
      </c>
      <c r="C6490">
        <v>-5.7117000000000004</v>
      </c>
      <c r="D6490">
        <v>13.870200000000001</v>
      </c>
      <c r="E6490">
        <f>-5.7117-13.8702</f>
        <v>-19.581900000000001</v>
      </c>
      <c r="F6490" t="s">
        <v>9926</v>
      </c>
      <c r="G6490" t="s">
        <v>39</v>
      </c>
      <c r="H6490">
        <v>1990</v>
      </c>
      <c r="I6490">
        <v>26.4</v>
      </c>
      <c r="J6490">
        <v>15.9</v>
      </c>
      <c r="K6490">
        <v>56</v>
      </c>
      <c r="L6490">
        <v>28.46</v>
      </c>
      <c r="M6490">
        <v>39.1</v>
      </c>
      <c r="N6490">
        <v>11</v>
      </c>
      <c r="O6490">
        <v>28.1</v>
      </c>
      <c r="P6490">
        <v>26.4</v>
      </c>
      <c r="Q6490">
        <v>24.3</v>
      </c>
      <c r="R6490">
        <v>30.1</v>
      </c>
      <c r="S6490">
        <v>22.5</v>
      </c>
      <c r="T6490">
        <v>619</v>
      </c>
      <c r="U6490">
        <v>212</v>
      </c>
      <c r="V6490">
        <v>0</v>
      </c>
      <c r="W6490">
        <v>135</v>
      </c>
      <c r="X6490">
        <v>489</v>
      </c>
      <c r="Y6490">
        <v>0</v>
      </c>
      <c r="Z6490">
        <v>105</v>
      </c>
      <c r="AA6490">
        <v>1</v>
      </c>
      <c r="AB6490">
        <v>0.42315419999999998</v>
      </c>
      <c r="AC6490">
        <v>3.067804E-2</v>
      </c>
      <c r="AD6490">
        <v>1.24651</v>
      </c>
      <c r="AE6490">
        <v>0.62093390000000004</v>
      </c>
      <c r="AF6490">
        <v>277.94459999999998</v>
      </c>
      <c r="AG6490">
        <f>IFERROR(AH6490*0.1, "N/A")</f>
        <v>5.8659400000000002</v>
      </c>
      <c r="AH6490">
        <v>58.659399999999998</v>
      </c>
      <c r="AI6490">
        <v>76.550600000000003</v>
      </c>
      <c r="AJ6490">
        <v>23.31879</v>
      </c>
      <c r="AK6490">
        <v>53.994970000000002</v>
      </c>
    </row>
    <row r="6491" spans="1:37" x14ac:dyDescent="0.3">
      <c r="A6491">
        <v>6490</v>
      </c>
      <c r="B6491">
        <v>70.3</v>
      </c>
      <c r="C6491">
        <v>-5.7117000000000004</v>
      </c>
      <c r="D6491">
        <v>13.870200000000001</v>
      </c>
      <c r="E6491">
        <f>-5.7117-13.8702</f>
        <v>-19.581900000000001</v>
      </c>
      <c r="F6491" t="s">
        <v>9927</v>
      </c>
      <c r="G6491" t="s">
        <v>37</v>
      </c>
      <c r="H6491">
        <v>1990</v>
      </c>
      <c r="I6491">
        <v>26.4</v>
      </c>
      <c r="J6491">
        <v>15.9</v>
      </c>
      <c r="K6491">
        <v>56</v>
      </c>
      <c r="L6491">
        <v>28.46</v>
      </c>
      <c r="M6491">
        <v>39.1</v>
      </c>
      <c r="N6491">
        <v>11</v>
      </c>
      <c r="O6491">
        <v>28.1</v>
      </c>
      <c r="P6491">
        <v>26.4</v>
      </c>
      <c r="Q6491">
        <v>24.3</v>
      </c>
      <c r="R6491">
        <v>30.1</v>
      </c>
      <c r="S6491">
        <v>22.5</v>
      </c>
      <c r="T6491">
        <v>619</v>
      </c>
      <c r="U6491">
        <v>212</v>
      </c>
      <c r="V6491">
        <v>0</v>
      </c>
      <c r="W6491">
        <v>135</v>
      </c>
      <c r="X6491">
        <v>489</v>
      </c>
      <c r="Y6491">
        <v>0</v>
      </c>
      <c r="Z6491">
        <v>105</v>
      </c>
      <c r="AA6491">
        <v>1</v>
      </c>
      <c r="AB6491">
        <v>0.42315419999999998</v>
      </c>
      <c r="AC6491">
        <v>3.067804E-2</v>
      </c>
      <c r="AD6491">
        <v>1.24651</v>
      </c>
      <c r="AE6491">
        <v>0.62093390000000004</v>
      </c>
      <c r="AF6491">
        <v>277.94459999999998</v>
      </c>
      <c r="AG6491">
        <f>IFERROR(AH6491*0.1, "N/A")</f>
        <v>5.8659400000000002</v>
      </c>
      <c r="AH6491">
        <v>58.659399999999998</v>
      </c>
      <c r="AI6491">
        <v>76.550600000000003</v>
      </c>
      <c r="AJ6491">
        <v>23.31879</v>
      </c>
      <c r="AK6491">
        <v>53.994970000000002</v>
      </c>
    </row>
    <row r="6492" spans="1:37" x14ac:dyDescent="0.3">
      <c r="A6492">
        <v>6491</v>
      </c>
      <c r="B6492">
        <v>46</v>
      </c>
      <c r="C6492">
        <v>-5.7889999999999997</v>
      </c>
      <c r="D6492">
        <v>13.8765</v>
      </c>
      <c r="E6492">
        <f>-5.789-13.8765</f>
        <v>-19.665500000000002</v>
      </c>
      <c r="F6492" t="s">
        <v>9928</v>
      </c>
      <c r="G6492" t="s">
        <v>39</v>
      </c>
      <c r="H6492">
        <v>1987</v>
      </c>
      <c r="I6492">
        <v>26.6</v>
      </c>
      <c r="J6492">
        <v>15.8</v>
      </c>
      <c r="K6492">
        <v>56</v>
      </c>
      <c r="L6492">
        <v>28.33</v>
      </c>
      <c r="M6492">
        <v>39.200000000000003</v>
      </c>
      <c r="N6492">
        <v>11.3</v>
      </c>
      <c r="O6492">
        <v>27.9</v>
      </c>
      <c r="P6492">
        <v>26.5</v>
      </c>
      <c r="Q6492">
        <v>24.5</v>
      </c>
      <c r="R6492">
        <v>30.3</v>
      </c>
      <c r="S6492">
        <v>22.7</v>
      </c>
      <c r="T6492">
        <v>617</v>
      </c>
      <c r="U6492">
        <v>216</v>
      </c>
      <c r="V6492">
        <v>0</v>
      </c>
      <c r="W6492">
        <v>138</v>
      </c>
      <c r="X6492">
        <v>495</v>
      </c>
      <c r="Y6492">
        <v>0</v>
      </c>
      <c r="Z6492">
        <v>100</v>
      </c>
      <c r="AA6492">
        <v>0</v>
      </c>
      <c r="AB6492">
        <v>1.2831790000000001</v>
      </c>
      <c r="AC6492">
        <v>1.7193429999999999E-2</v>
      </c>
      <c r="AD6492">
        <v>1.262669</v>
      </c>
      <c r="AE6492">
        <v>0.29388120000000001</v>
      </c>
      <c r="AF6492">
        <v>280.53030000000001</v>
      </c>
      <c r="AG6492">
        <f>IFERROR(AH6492*0.1, "N/A")</f>
        <v>5.9838380000000004</v>
      </c>
      <c r="AH6492">
        <v>59.838380000000001</v>
      </c>
      <c r="AI6492">
        <v>86.893919999999994</v>
      </c>
      <c r="AJ6492">
        <v>12.255890000000001</v>
      </c>
      <c r="AK6492">
        <v>64.535349999999994</v>
      </c>
    </row>
    <row r="6493" spans="1:37" x14ac:dyDescent="0.3">
      <c r="A6493">
        <v>6492</v>
      </c>
      <c r="B6493">
        <v>43.7</v>
      </c>
      <c r="C6493">
        <v>-5.7889999999999997</v>
      </c>
      <c r="D6493">
        <v>13.8765</v>
      </c>
      <c r="E6493">
        <f>-5.789-13.8765</f>
        <v>-19.665500000000002</v>
      </c>
      <c r="F6493" t="s">
        <v>9929</v>
      </c>
      <c r="G6493" t="s">
        <v>37</v>
      </c>
      <c r="H6493">
        <v>1987</v>
      </c>
      <c r="I6493">
        <v>26.6</v>
      </c>
      <c r="J6493">
        <v>15.8</v>
      </c>
      <c r="K6493">
        <v>56</v>
      </c>
      <c r="L6493">
        <v>28.33</v>
      </c>
      <c r="M6493">
        <v>39.200000000000003</v>
      </c>
      <c r="N6493">
        <v>11.3</v>
      </c>
      <c r="O6493">
        <v>27.9</v>
      </c>
      <c r="P6493">
        <v>26.5</v>
      </c>
      <c r="Q6493">
        <v>24.5</v>
      </c>
      <c r="R6493">
        <v>30.3</v>
      </c>
      <c r="S6493">
        <v>22.7</v>
      </c>
      <c r="T6493">
        <v>617</v>
      </c>
      <c r="U6493">
        <v>216</v>
      </c>
      <c r="V6493">
        <v>0</v>
      </c>
      <c r="W6493">
        <v>138</v>
      </c>
      <c r="X6493">
        <v>495</v>
      </c>
      <c r="Y6493">
        <v>0</v>
      </c>
      <c r="Z6493">
        <v>100</v>
      </c>
      <c r="AA6493">
        <v>0</v>
      </c>
      <c r="AB6493">
        <v>1.2831790000000001</v>
      </c>
      <c r="AC6493">
        <v>1.7193429999999999E-2</v>
      </c>
      <c r="AD6493">
        <v>1.262669</v>
      </c>
      <c r="AE6493">
        <v>0.29388120000000001</v>
      </c>
      <c r="AF6493">
        <v>280.53030000000001</v>
      </c>
      <c r="AG6493">
        <f>IFERROR(AH6493*0.1, "N/A")</f>
        <v>5.9838380000000004</v>
      </c>
      <c r="AH6493">
        <v>59.838380000000001</v>
      </c>
      <c r="AI6493">
        <v>86.893919999999994</v>
      </c>
      <c r="AJ6493">
        <v>12.255890000000001</v>
      </c>
      <c r="AK6493">
        <v>64.535349999999994</v>
      </c>
    </row>
    <row r="6494" spans="1:37" x14ac:dyDescent="0.3">
      <c r="A6494">
        <v>6493</v>
      </c>
      <c r="B6494">
        <v>24.9</v>
      </c>
      <c r="C6494">
        <v>-5.6989000000000001</v>
      </c>
      <c r="D6494">
        <v>13.8774</v>
      </c>
      <c r="E6494">
        <f>-5.6989-13.8774</f>
        <v>-19.5763</v>
      </c>
      <c r="F6494" t="s">
        <v>9930</v>
      </c>
      <c r="G6494" t="s">
        <v>39</v>
      </c>
      <c r="H6494">
        <v>1987</v>
      </c>
      <c r="I6494">
        <v>26.3</v>
      </c>
      <c r="J6494">
        <v>15.9</v>
      </c>
      <c r="K6494">
        <v>56</v>
      </c>
      <c r="L6494">
        <v>28.64</v>
      </c>
      <c r="M6494">
        <v>39.1</v>
      </c>
      <c r="N6494">
        <v>11</v>
      </c>
      <c r="O6494">
        <v>28.1</v>
      </c>
      <c r="P6494">
        <v>26.4</v>
      </c>
      <c r="Q6494">
        <v>24.2</v>
      </c>
      <c r="R6494">
        <v>30</v>
      </c>
      <c r="S6494">
        <v>22.4</v>
      </c>
      <c r="T6494">
        <v>613</v>
      </c>
      <c r="U6494">
        <v>210</v>
      </c>
      <c r="V6494">
        <v>0</v>
      </c>
      <c r="W6494">
        <v>134</v>
      </c>
      <c r="X6494">
        <v>484</v>
      </c>
      <c r="Y6494">
        <v>0</v>
      </c>
      <c r="Z6494">
        <v>104</v>
      </c>
      <c r="AA6494">
        <v>1</v>
      </c>
      <c r="AB6494">
        <v>2.1591610000000001</v>
      </c>
      <c r="AC6494">
        <v>1.46666E-2</v>
      </c>
      <c r="AD6494">
        <v>0.87005109999999997</v>
      </c>
      <c r="AE6494">
        <v>0.67054639999999999</v>
      </c>
      <c r="AF6494">
        <v>279.01179999999999</v>
      </c>
      <c r="AG6494">
        <f>IFERROR(AH6494*0.1, "N/A")</f>
        <v>6.0764710000000006</v>
      </c>
      <c r="AH6494">
        <v>60.764710000000001</v>
      </c>
      <c r="AI6494">
        <v>39.006860000000003</v>
      </c>
      <c r="AJ6494">
        <v>23.058820000000001</v>
      </c>
      <c r="AK6494">
        <v>52.941180000000003</v>
      </c>
    </row>
    <row r="6495" spans="1:37" x14ac:dyDescent="0.3">
      <c r="A6495">
        <v>6494</v>
      </c>
      <c r="B6495">
        <v>43</v>
      </c>
      <c r="C6495">
        <v>-5.6989000000000001</v>
      </c>
      <c r="D6495">
        <v>13.8774</v>
      </c>
      <c r="E6495">
        <f>-5.6989-13.8774</f>
        <v>-19.5763</v>
      </c>
      <c r="F6495" t="s">
        <v>9931</v>
      </c>
      <c r="G6495" t="s">
        <v>37</v>
      </c>
      <c r="H6495">
        <v>1987</v>
      </c>
      <c r="I6495">
        <v>26.3</v>
      </c>
      <c r="J6495">
        <v>15.9</v>
      </c>
      <c r="K6495">
        <v>56</v>
      </c>
      <c r="L6495">
        <v>28.64</v>
      </c>
      <c r="M6495">
        <v>39.1</v>
      </c>
      <c r="N6495">
        <v>11</v>
      </c>
      <c r="O6495">
        <v>28.1</v>
      </c>
      <c r="P6495">
        <v>26.4</v>
      </c>
      <c r="Q6495">
        <v>24.2</v>
      </c>
      <c r="R6495">
        <v>30</v>
      </c>
      <c r="S6495">
        <v>22.4</v>
      </c>
      <c r="T6495">
        <v>613</v>
      </c>
      <c r="U6495">
        <v>210</v>
      </c>
      <c r="V6495">
        <v>0</v>
      </c>
      <c r="W6495">
        <v>134</v>
      </c>
      <c r="X6495">
        <v>484</v>
      </c>
      <c r="Y6495">
        <v>0</v>
      </c>
      <c r="Z6495">
        <v>104</v>
      </c>
      <c r="AA6495">
        <v>1</v>
      </c>
      <c r="AB6495">
        <v>2.1591610000000001</v>
      </c>
      <c r="AC6495">
        <v>1.46666E-2</v>
      </c>
      <c r="AD6495">
        <v>0.87005109999999997</v>
      </c>
      <c r="AE6495">
        <v>0.67054639999999999</v>
      </c>
      <c r="AF6495">
        <v>279.01179999999999</v>
      </c>
      <c r="AG6495">
        <f>IFERROR(AH6495*0.1, "N/A")</f>
        <v>6.0764710000000006</v>
      </c>
      <c r="AH6495">
        <v>60.764710000000001</v>
      </c>
      <c r="AI6495">
        <v>39.006860000000003</v>
      </c>
      <c r="AJ6495">
        <v>23.058820000000001</v>
      </c>
      <c r="AK6495">
        <v>52.941180000000003</v>
      </c>
    </row>
    <row r="6496" spans="1:37" x14ac:dyDescent="0.3">
      <c r="A6496">
        <v>6495</v>
      </c>
      <c r="B6496">
        <v>87</v>
      </c>
      <c r="C6496">
        <v>-5.657</v>
      </c>
      <c r="D6496">
        <v>13.8788</v>
      </c>
      <c r="E6496">
        <f>-5.657-13.8788</f>
        <v>-19.535800000000002</v>
      </c>
      <c r="F6496" t="s">
        <v>9932</v>
      </c>
      <c r="G6496" t="s">
        <v>37</v>
      </c>
      <c r="H6496">
        <v>2004</v>
      </c>
      <c r="I6496">
        <v>26.3</v>
      </c>
      <c r="J6496">
        <v>15.9</v>
      </c>
      <c r="K6496">
        <v>56</v>
      </c>
      <c r="L6496">
        <v>28.89</v>
      </c>
      <c r="M6496">
        <v>39</v>
      </c>
      <c r="N6496">
        <v>10.8</v>
      </c>
      <c r="O6496">
        <v>28.2</v>
      </c>
      <c r="P6496">
        <v>26.3</v>
      </c>
      <c r="Q6496">
        <v>24</v>
      </c>
      <c r="R6496">
        <v>30</v>
      </c>
      <c r="S6496">
        <v>22.2</v>
      </c>
      <c r="T6496">
        <v>607</v>
      </c>
      <c r="U6496">
        <v>206</v>
      </c>
      <c r="V6496">
        <v>0</v>
      </c>
      <c r="W6496">
        <v>134</v>
      </c>
      <c r="X6496">
        <v>477</v>
      </c>
      <c r="Y6496">
        <v>1</v>
      </c>
      <c r="Z6496">
        <v>104</v>
      </c>
      <c r="AA6496">
        <v>1</v>
      </c>
      <c r="AB6496">
        <v>1.8291040000000001</v>
      </c>
      <c r="AC6496">
        <v>3.7932160000000001</v>
      </c>
      <c r="AD6496">
        <v>2.3357730000000001</v>
      </c>
      <c r="AE6496">
        <v>0.59759830000000003</v>
      </c>
      <c r="AF6496">
        <v>281.02030000000002</v>
      </c>
      <c r="AG6496">
        <f>IFERROR(AH6496*0.1, "N/A")</f>
        <v>6.0458540000000003</v>
      </c>
      <c r="AH6496">
        <v>60.458539999999999</v>
      </c>
      <c r="AI6496">
        <v>217.3075</v>
      </c>
      <c r="AJ6496">
        <v>22.402709999999999</v>
      </c>
      <c r="AK6496">
        <v>57.069369999999999</v>
      </c>
    </row>
    <row r="6497" spans="1:37" x14ac:dyDescent="0.3">
      <c r="A6497">
        <v>6496</v>
      </c>
      <c r="B6497">
        <v>40.700000000000003</v>
      </c>
      <c r="C6497">
        <v>-5.657</v>
      </c>
      <c r="D6497">
        <v>13.8788</v>
      </c>
      <c r="E6497">
        <f>-5.657-13.8788</f>
        <v>-19.535800000000002</v>
      </c>
      <c r="F6497" t="s">
        <v>9933</v>
      </c>
      <c r="G6497" t="s">
        <v>39</v>
      </c>
      <c r="H6497">
        <v>2004</v>
      </c>
      <c r="I6497">
        <v>26.3</v>
      </c>
      <c r="J6497">
        <v>15.9</v>
      </c>
      <c r="K6497">
        <v>56</v>
      </c>
      <c r="L6497">
        <v>28.89</v>
      </c>
      <c r="M6497">
        <v>39</v>
      </c>
      <c r="N6497">
        <v>10.8</v>
      </c>
      <c r="O6497">
        <v>28.2</v>
      </c>
      <c r="P6497">
        <v>26.3</v>
      </c>
      <c r="Q6497">
        <v>24</v>
      </c>
      <c r="R6497">
        <v>30</v>
      </c>
      <c r="S6497">
        <v>22.2</v>
      </c>
      <c r="T6497">
        <v>607</v>
      </c>
      <c r="U6497">
        <v>206</v>
      </c>
      <c r="V6497">
        <v>0</v>
      </c>
      <c r="W6497">
        <v>134</v>
      </c>
      <c r="X6497">
        <v>477</v>
      </c>
      <c r="Y6497">
        <v>1</v>
      </c>
      <c r="Z6497">
        <v>104</v>
      </c>
      <c r="AA6497">
        <v>1</v>
      </c>
      <c r="AB6497">
        <v>1.8291040000000001</v>
      </c>
      <c r="AC6497">
        <v>3.7932160000000001</v>
      </c>
      <c r="AD6497">
        <v>2.3357730000000001</v>
      </c>
      <c r="AE6497">
        <v>0.59759830000000003</v>
      </c>
      <c r="AF6497">
        <v>281.02030000000002</v>
      </c>
      <c r="AG6497">
        <f>IFERROR(AH6497*0.1, "N/A")</f>
        <v>6.0458540000000003</v>
      </c>
      <c r="AH6497">
        <v>60.458539999999999</v>
      </c>
      <c r="AI6497">
        <v>217.3075</v>
      </c>
      <c r="AJ6497">
        <v>22.402709999999999</v>
      </c>
      <c r="AK6497">
        <v>57.069369999999999</v>
      </c>
    </row>
    <row r="6498" spans="1:37" x14ac:dyDescent="0.3">
      <c r="A6498">
        <v>6497</v>
      </c>
      <c r="B6498">
        <v>34</v>
      </c>
      <c r="C6498">
        <v>-5.3627000000000002</v>
      </c>
      <c r="D6498">
        <v>13.8843</v>
      </c>
      <c r="E6498">
        <f>-5.3627-13.8843</f>
        <v>-19.247</v>
      </c>
      <c r="F6498" t="s">
        <v>9934</v>
      </c>
      <c r="G6498" t="s">
        <v>39</v>
      </c>
      <c r="H6498">
        <v>1990</v>
      </c>
      <c r="I6498">
        <v>26.6</v>
      </c>
      <c r="J6498">
        <v>15.4</v>
      </c>
      <c r="K6498">
        <v>54</v>
      </c>
      <c r="L6498">
        <v>29.32</v>
      </c>
      <c r="M6498">
        <v>39.299999999999997</v>
      </c>
      <c r="N6498">
        <v>11.2</v>
      </c>
      <c r="O6498">
        <v>28.1</v>
      </c>
      <c r="P6498">
        <v>26.7</v>
      </c>
      <c r="Q6498">
        <v>24.3</v>
      </c>
      <c r="R6498">
        <v>30.3</v>
      </c>
      <c r="S6498">
        <v>22.5</v>
      </c>
      <c r="T6498">
        <v>569</v>
      </c>
      <c r="U6498">
        <v>192</v>
      </c>
      <c r="V6498">
        <v>0</v>
      </c>
      <c r="W6498">
        <v>132</v>
      </c>
      <c r="X6498">
        <v>445</v>
      </c>
      <c r="Y6498">
        <v>1</v>
      </c>
      <c r="Z6498">
        <v>101</v>
      </c>
      <c r="AA6498">
        <v>1</v>
      </c>
      <c r="AB6498">
        <v>0.99476609999999999</v>
      </c>
      <c r="AC6498">
        <v>9.3688179999999992E-3</v>
      </c>
      <c r="AD6498">
        <v>2.1380729999999999</v>
      </c>
      <c r="AE6498">
        <v>0.2564671</v>
      </c>
      <c r="AF6498">
        <v>280.79219999999998</v>
      </c>
      <c r="AG6498">
        <f>IFERROR(AH6498*0.1, "N/A")</f>
        <v>6.6287160000000007</v>
      </c>
      <c r="AH6498">
        <v>66.28716</v>
      </c>
      <c r="AI6498">
        <v>76.328329999999994</v>
      </c>
      <c r="AJ6498">
        <v>19.84966</v>
      </c>
      <c r="AK6498">
        <v>55.94932</v>
      </c>
    </row>
    <row r="6499" spans="1:37" x14ac:dyDescent="0.3">
      <c r="A6499">
        <v>6498</v>
      </c>
      <c r="B6499">
        <v>0.8</v>
      </c>
      <c r="C6499">
        <v>-5.3627000000000002</v>
      </c>
      <c r="D6499">
        <v>13.8843</v>
      </c>
      <c r="E6499">
        <f>-5.3627-13.8843</f>
        <v>-19.247</v>
      </c>
      <c r="F6499" t="s">
        <v>9935</v>
      </c>
      <c r="G6499" t="s">
        <v>37</v>
      </c>
      <c r="H6499">
        <v>1990</v>
      </c>
      <c r="I6499">
        <v>26.6</v>
      </c>
      <c r="J6499">
        <v>15.4</v>
      </c>
      <c r="K6499">
        <v>54</v>
      </c>
      <c r="L6499">
        <v>29.32</v>
      </c>
      <c r="M6499">
        <v>39.299999999999997</v>
      </c>
      <c r="N6499">
        <v>11.2</v>
      </c>
      <c r="O6499">
        <v>28.1</v>
      </c>
      <c r="P6499">
        <v>26.7</v>
      </c>
      <c r="Q6499">
        <v>24.3</v>
      </c>
      <c r="R6499">
        <v>30.3</v>
      </c>
      <c r="S6499">
        <v>22.5</v>
      </c>
      <c r="T6499">
        <v>569</v>
      </c>
      <c r="U6499">
        <v>192</v>
      </c>
      <c r="V6499">
        <v>0</v>
      </c>
      <c r="W6499">
        <v>132</v>
      </c>
      <c r="X6499">
        <v>445</v>
      </c>
      <c r="Y6499">
        <v>1</v>
      </c>
      <c r="Z6499">
        <v>101</v>
      </c>
      <c r="AA6499">
        <v>1</v>
      </c>
      <c r="AB6499">
        <v>0.99476609999999999</v>
      </c>
      <c r="AC6499">
        <v>9.3688179999999992E-3</v>
      </c>
      <c r="AD6499">
        <v>2.1380729999999999</v>
      </c>
      <c r="AE6499">
        <v>0.2564671</v>
      </c>
      <c r="AF6499">
        <v>280.79219999999998</v>
      </c>
      <c r="AG6499">
        <f>IFERROR(AH6499*0.1, "N/A")</f>
        <v>6.6287160000000007</v>
      </c>
      <c r="AH6499">
        <v>66.28716</v>
      </c>
      <c r="AI6499">
        <v>76.328329999999994</v>
      </c>
      <c r="AJ6499">
        <v>19.84966</v>
      </c>
      <c r="AK6499">
        <v>55.94932</v>
      </c>
    </row>
    <row r="6500" spans="1:37" x14ac:dyDescent="0.3">
      <c r="A6500">
        <v>6499</v>
      </c>
      <c r="B6500">
        <v>1.8</v>
      </c>
      <c r="C6500">
        <v>-8.0929199999999994</v>
      </c>
      <c r="D6500">
        <v>13.8851</v>
      </c>
      <c r="E6500">
        <f>-8.09292-13.8851</f>
        <v>-21.978020000000001</v>
      </c>
      <c r="F6500" t="s">
        <v>9936</v>
      </c>
      <c r="G6500" t="s">
        <v>39</v>
      </c>
      <c r="H6500">
        <v>1990</v>
      </c>
      <c r="I6500">
        <v>27.2</v>
      </c>
      <c r="J6500">
        <v>15.6</v>
      </c>
      <c r="K6500">
        <v>58</v>
      </c>
      <c r="L6500">
        <v>26.03</v>
      </c>
      <c r="M6500">
        <v>39.5</v>
      </c>
      <c r="N6500">
        <v>12.8</v>
      </c>
      <c r="O6500">
        <v>26.7</v>
      </c>
      <c r="P6500">
        <v>26.3</v>
      </c>
      <c r="Q6500">
        <v>24.1</v>
      </c>
      <c r="R6500">
        <v>30.7</v>
      </c>
      <c r="S6500">
        <v>24</v>
      </c>
      <c r="T6500">
        <v>735</v>
      </c>
      <c r="U6500">
        <v>236</v>
      </c>
      <c r="V6500">
        <v>0</v>
      </c>
      <c r="W6500">
        <v>129</v>
      </c>
      <c r="X6500">
        <v>568</v>
      </c>
      <c r="Y6500">
        <v>1</v>
      </c>
      <c r="Z6500">
        <v>124</v>
      </c>
      <c r="AA6500">
        <v>4</v>
      </c>
      <c r="AB6500">
        <v>3.0766089999999999</v>
      </c>
      <c r="AC6500">
        <v>2.450333E-2</v>
      </c>
      <c r="AD6500">
        <v>0.91370249999999997</v>
      </c>
      <c r="AE6500">
        <v>0.69025939999999997</v>
      </c>
      <c r="AF6500">
        <v>393.52190000000002</v>
      </c>
      <c r="AG6500">
        <f>IFERROR(AH6500*0.1, "N/A")</f>
        <v>6.7976429999999999</v>
      </c>
      <c r="AH6500">
        <v>67.976429999999993</v>
      </c>
      <c r="AI6500">
        <v>182.20490000000001</v>
      </c>
      <c r="AJ6500">
        <v>21.988219999999998</v>
      </c>
      <c r="AK6500">
        <v>57.011780000000002</v>
      </c>
    </row>
    <row r="6501" spans="1:37" x14ac:dyDescent="0.3">
      <c r="A6501">
        <v>6500</v>
      </c>
      <c r="B6501">
        <v>1.6</v>
      </c>
      <c r="C6501">
        <v>-8.0929199999999994</v>
      </c>
      <c r="D6501">
        <v>13.8851</v>
      </c>
      <c r="E6501">
        <f>-8.09292-13.8851</f>
        <v>-21.978020000000001</v>
      </c>
      <c r="F6501" t="s">
        <v>9937</v>
      </c>
      <c r="G6501" t="s">
        <v>37</v>
      </c>
      <c r="H6501">
        <v>1990</v>
      </c>
      <c r="I6501">
        <v>27.2</v>
      </c>
      <c r="J6501">
        <v>15.6</v>
      </c>
      <c r="K6501">
        <v>58</v>
      </c>
      <c r="L6501">
        <v>26.03</v>
      </c>
      <c r="M6501">
        <v>39.5</v>
      </c>
      <c r="N6501">
        <v>12.8</v>
      </c>
      <c r="O6501">
        <v>26.7</v>
      </c>
      <c r="P6501">
        <v>26.3</v>
      </c>
      <c r="Q6501">
        <v>24.1</v>
      </c>
      <c r="R6501">
        <v>30.7</v>
      </c>
      <c r="S6501">
        <v>24</v>
      </c>
      <c r="T6501">
        <v>735</v>
      </c>
      <c r="U6501">
        <v>236</v>
      </c>
      <c r="V6501">
        <v>0</v>
      </c>
      <c r="W6501">
        <v>129</v>
      </c>
      <c r="X6501">
        <v>568</v>
      </c>
      <c r="Y6501">
        <v>1</v>
      </c>
      <c r="Z6501">
        <v>124</v>
      </c>
      <c r="AA6501">
        <v>4</v>
      </c>
      <c r="AB6501">
        <v>3.0766089999999999</v>
      </c>
      <c r="AC6501">
        <v>2.450333E-2</v>
      </c>
      <c r="AD6501">
        <v>0.91370249999999997</v>
      </c>
      <c r="AE6501">
        <v>0.69025939999999997</v>
      </c>
      <c r="AF6501">
        <v>393.52190000000002</v>
      </c>
      <c r="AG6501">
        <f>IFERROR(AH6501*0.1, "N/A")</f>
        <v>6.7976429999999999</v>
      </c>
      <c r="AH6501">
        <v>67.976429999999993</v>
      </c>
      <c r="AI6501">
        <v>182.20490000000001</v>
      </c>
      <c r="AJ6501">
        <v>21.988219999999998</v>
      </c>
      <c r="AK6501">
        <v>57.011780000000002</v>
      </c>
    </row>
    <row r="6502" spans="1:37" x14ac:dyDescent="0.3">
      <c r="A6502">
        <v>6501</v>
      </c>
      <c r="B6502">
        <v>63</v>
      </c>
      <c r="C6502">
        <v>-5.6158000000000001</v>
      </c>
      <c r="D6502">
        <v>13.8887</v>
      </c>
      <c r="E6502">
        <f>-5.6158-13.8887</f>
        <v>-19.5045</v>
      </c>
      <c r="F6502" t="s">
        <v>9938</v>
      </c>
      <c r="G6502" t="s">
        <v>39</v>
      </c>
      <c r="H6502">
        <v>1990</v>
      </c>
      <c r="I6502">
        <v>26.1</v>
      </c>
      <c r="J6502">
        <v>15.9</v>
      </c>
      <c r="K6502">
        <v>56</v>
      </c>
      <c r="L6502">
        <v>29.000520000000002</v>
      </c>
      <c r="M6502">
        <v>38.9</v>
      </c>
      <c r="N6502">
        <v>10.612819999999999</v>
      </c>
      <c r="O6502">
        <v>28.287179999999999</v>
      </c>
      <c r="P6502">
        <v>26.187180000000001</v>
      </c>
      <c r="Q6502">
        <v>23.812819999999999</v>
      </c>
      <c r="R6502">
        <v>29.812819999999999</v>
      </c>
      <c r="S6502">
        <v>22.112819999999999</v>
      </c>
      <c r="T6502">
        <v>595.12819999999999</v>
      </c>
      <c r="U6502">
        <v>200.12819999999999</v>
      </c>
      <c r="V6502">
        <v>0</v>
      </c>
      <c r="W6502">
        <v>132.12819999999999</v>
      </c>
      <c r="X6502">
        <v>465.25630000000001</v>
      </c>
      <c r="Y6502">
        <v>1</v>
      </c>
      <c r="Z6502">
        <v>103.87179999999999</v>
      </c>
      <c r="AA6502">
        <v>1</v>
      </c>
      <c r="AB6502">
        <v>5.5792700000000002</v>
      </c>
      <c r="AC6502">
        <v>9.0308260000000005E-3</v>
      </c>
      <c r="AD6502">
        <v>1.2989280000000001</v>
      </c>
      <c r="AE6502">
        <v>0.52806660000000005</v>
      </c>
      <c r="AF6502">
        <v>280.13490000000002</v>
      </c>
      <c r="AG6502">
        <f>IFERROR(AH6502*0.1, "N/A")</f>
        <v>6.4860030000000002</v>
      </c>
      <c r="AH6502">
        <v>64.860029999999995</v>
      </c>
      <c r="AI6502">
        <v>152.34710000000001</v>
      </c>
      <c r="AJ6502">
        <v>19.907250000000001</v>
      </c>
      <c r="AK6502">
        <v>57.829680000000003</v>
      </c>
    </row>
    <row r="6503" spans="1:37" x14ac:dyDescent="0.3">
      <c r="A6503">
        <v>6502</v>
      </c>
      <c r="B6503">
        <v>41.8</v>
      </c>
      <c r="C6503">
        <v>-5.6158000000000001</v>
      </c>
      <c r="D6503">
        <v>13.8887</v>
      </c>
      <c r="E6503">
        <f>-5.6158-13.8887</f>
        <v>-19.5045</v>
      </c>
      <c r="F6503" t="s">
        <v>9939</v>
      </c>
      <c r="G6503" t="s">
        <v>37</v>
      </c>
      <c r="H6503">
        <v>1990</v>
      </c>
      <c r="I6503">
        <v>26.1</v>
      </c>
      <c r="J6503">
        <v>15.9</v>
      </c>
      <c r="K6503">
        <v>56</v>
      </c>
      <c r="L6503">
        <v>29.000520000000002</v>
      </c>
      <c r="M6503">
        <v>38.9</v>
      </c>
      <c r="N6503">
        <v>10.612819999999999</v>
      </c>
      <c r="O6503">
        <v>28.287179999999999</v>
      </c>
      <c r="P6503">
        <v>26.187180000000001</v>
      </c>
      <c r="Q6503">
        <v>23.812819999999999</v>
      </c>
      <c r="R6503">
        <v>29.812819999999999</v>
      </c>
      <c r="S6503">
        <v>22.112819999999999</v>
      </c>
      <c r="T6503">
        <v>595.12819999999999</v>
      </c>
      <c r="U6503">
        <v>200.12819999999999</v>
      </c>
      <c r="V6503">
        <v>0</v>
      </c>
      <c r="W6503">
        <v>132.12819999999999</v>
      </c>
      <c r="X6503">
        <v>465.25630000000001</v>
      </c>
      <c r="Y6503">
        <v>1</v>
      </c>
      <c r="Z6503">
        <v>103.87179999999999</v>
      </c>
      <c r="AA6503">
        <v>1</v>
      </c>
      <c r="AB6503">
        <v>5.5792700000000002</v>
      </c>
      <c r="AC6503">
        <v>9.0308260000000005E-3</v>
      </c>
      <c r="AD6503">
        <v>1.2989280000000001</v>
      </c>
      <c r="AE6503">
        <v>0.52806660000000005</v>
      </c>
      <c r="AF6503">
        <v>280.13490000000002</v>
      </c>
      <c r="AG6503">
        <f>IFERROR(AH6503*0.1, "N/A")</f>
        <v>6.4860030000000002</v>
      </c>
      <c r="AH6503">
        <v>64.860029999999995</v>
      </c>
      <c r="AI6503">
        <v>152.34710000000001</v>
      </c>
      <c r="AJ6503">
        <v>19.907250000000001</v>
      </c>
      <c r="AK6503">
        <v>57.829680000000003</v>
      </c>
    </row>
    <row r="6504" spans="1:37" x14ac:dyDescent="0.3">
      <c r="A6504">
        <v>6503</v>
      </c>
      <c r="B6504">
        <v>23</v>
      </c>
      <c r="C6504">
        <v>-5.6348000000000003</v>
      </c>
      <c r="D6504">
        <v>13.890499999999999</v>
      </c>
      <c r="E6504">
        <f>-5.6348-13.8905</f>
        <v>-19.525300000000001</v>
      </c>
      <c r="F6504" t="s">
        <v>9940</v>
      </c>
      <c r="G6504" t="s">
        <v>39</v>
      </c>
      <c r="H6504">
        <v>1986</v>
      </c>
      <c r="I6504">
        <v>26.2</v>
      </c>
      <c r="J6504">
        <v>15.9</v>
      </c>
      <c r="K6504">
        <v>56</v>
      </c>
      <c r="L6504">
        <v>29.03</v>
      </c>
      <c r="M6504">
        <v>39</v>
      </c>
      <c r="N6504">
        <v>10.7</v>
      </c>
      <c r="O6504">
        <v>28.3</v>
      </c>
      <c r="P6504">
        <v>26.2</v>
      </c>
      <c r="Q6504">
        <v>23.9</v>
      </c>
      <c r="R6504">
        <v>29.9</v>
      </c>
      <c r="S6504">
        <v>22.1</v>
      </c>
      <c r="T6504">
        <v>600</v>
      </c>
      <c r="U6504">
        <v>203</v>
      </c>
      <c r="V6504">
        <v>0</v>
      </c>
      <c r="W6504">
        <v>132</v>
      </c>
      <c r="X6504">
        <v>471</v>
      </c>
      <c r="Y6504">
        <v>1</v>
      </c>
      <c r="Z6504">
        <v>103</v>
      </c>
      <c r="AA6504">
        <v>1</v>
      </c>
      <c r="AB6504">
        <v>1.1999949999999999</v>
      </c>
      <c r="AC6504">
        <v>0.261403</v>
      </c>
      <c r="AD6504">
        <v>1.735242</v>
      </c>
      <c r="AE6504">
        <v>0.60986039999999997</v>
      </c>
      <c r="AF6504">
        <v>278.66719999999998</v>
      </c>
      <c r="AG6504">
        <f>IFERROR(AH6504*0.1, "N/A")</f>
        <v>5.5783780000000007</v>
      </c>
      <c r="AH6504">
        <v>55.78378</v>
      </c>
      <c r="AI6504">
        <v>281.75630000000001</v>
      </c>
      <c r="AJ6504">
        <v>23.63851</v>
      </c>
      <c r="AK6504">
        <v>53.75338</v>
      </c>
    </row>
    <row r="6505" spans="1:37" x14ac:dyDescent="0.3">
      <c r="A6505">
        <v>6504</v>
      </c>
      <c r="B6505">
        <v>16</v>
      </c>
      <c r="C6505">
        <v>-5.6348000000000003</v>
      </c>
      <c r="D6505">
        <v>13.890499999999999</v>
      </c>
      <c r="E6505">
        <f>-5.6348-13.8905</f>
        <v>-19.525300000000001</v>
      </c>
      <c r="F6505" t="s">
        <v>9941</v>
      </c>
      <c r="G6505" t="s">
        <v>37</v>
      </c>
      <c r="H6505">
        <v>1986</v>
      </c>
      <c r="I6505">
        <v>26.2</v>
      </c>
      <c r="J6505">
        <v>15.9</v>
      </c>
      <c r="K6505">
        <v>56</v>
      </c>
      <c r="L6505">
        <v>29.03</v>
      </c>
      <c r="M6505">
        <v>39</v>
      </c>
      <c r="N6505">
        <v>10.7</v>
      </c>
      <c r="O6505">
        <v>28.3</v>
      </c>
      <c r="P6505">
        <v>26.2</v>
      </c>
      <c r="Q6505">
        <v>23.9</v>
      </c>
      <c r="R6505">
        <v>29.9</v>
      </c>
      <c r="S6505">
        <v>22.1</v>
      </c>
      <c r="T6505">
        <v>600</v>
      </c>
      <c r="U6505">
        <v>203</v>
      </c>
      <c r="V6505">
        <v>0</v>
      </c>
      <c r="W6505">
        <v>132</v>
      </c>
      <c r="X6505">
        <v>471</v>
      </c>
      <c r="Y6505">
        <v>1</v>
      </c>
      <c r="Z6505">
        <v>103</v>
      </c>
      <c r="AA6505">
        <v>1</v>
      </c>
      <c r="AB6505">
        <v>1.1999949999999999</v>
      </c>
      <c r="AC6505">
        <v>0.261403</v>
      </c>
      <c r="AD6505">
        <v>1.735242</v>
      </c>
      <c r="AE6505">
        <v>0.60986039999999997</v>
      </c>
      <c r="AF6505">
        <v>278.66719999999998</v>
      </c>
      <c r="AG6505">
        <f>IFERROR(AH6505*0.1, "N/A")</f>
        <v>5.5783780000000007</v>
      </c>
      <c r="AH6505">
        <v>55.78378</v>
      </c>
      <c r="AI6505">
        <v>281.75630000000001</v>
      </c>
      <c r="AJ6505">
        <v>23.63851</v>
      </c>
      <c r="AK6505">
        <v>53.75338</v>
      </c>
    </row>
    <row r="6506" spans="1:37" x14ac:dyDescent="0.3">
      <c r="A6506">
        <v>6505</v>
      </c>
      <c r="B6506">
        <v>94.7</v>
      </c>
      <c r="C6506">
        <v>-5.7244999999999999</v>
      </c>
      <c r="D6506">
        <v>13.9001</v>
      </c>
      <c r="E6506">
        <f>-5.7245-13.9001</f>
        <v>-19.624600000000001</v>
      </c>
      <c r="F6506" t="s">
        <v>9942</v>
      </c>
      <c r="G6506" t="s">
        <v>37</v>
      </c>
      <c r="H6506">
        <v>2004</v>
      </c>
      <c r="I6506">
        <v>26.41282</v>
      </c>
      <c r="J6506">
        <v>15.8118</v>
      </c>
      <c r="K6506">
        <v>56</v>
      </c>
      <c r="L6506">
        <v>28.589549999999999</v>
      </c>
      <c r="M6506">
        <v>39.012979999999999</v>
      </c>
      <c r="N6506">
        <v>11.012980000000001</v>
      </c>
      <c r="O6506">
        <v>28</v>
      </c>
      <c r="P6506">
        <v>26.41282</v>
      </c>
      <c r="Q6506">
        <v>24.224620000000002</v>
      </c>
      <c r="R6506">
        <v>30.100169999999999</v>
      </c>
      <c r="S6506">
        <v>22.424620000000001</v>
      </c>
      <c r="T6506">
        <v>605.85829999999999</v>
      </c>
      <c r="U6506">
        <v>210.24959999999999</v>
      </c>
      <c r="V6506">
        <v>0</v>
      </c>
      <c r="W6506">
        <v>136.24449999999999</v>
      </c>
      <c r="X6506">
        <v>482.6189</v>
      </c>
      <c r="Y6506">
        <v>0</v>
      </c>
      <c r="Z6506">
        <v>99.239459999999994</v>
      </c>
      <c r="AA6506">
        <v>1</v>
      </c>
      <c r="AB6506">
        <v>3.5532979999999998</v>
      </c>
      <c r="AC6506">
        <v>9.2403940000000007E-3</v>
      </c>
      <c r="AD6506">
        <v>1.017963</v>
      </c>
      <c r="AE6506">
        <v>0.29541719999999999</v>
      </c>
      <c r="AF6506">
        <v>283.339</v>
      </c>
      <c r="AG6506">
        <f>IFERROR(AH6506*0.1, "N/A")</f>
        <v>5.7</v>
      </c>
      <c r="AH6506">
        <v>57</v>
      </c>
      <c r="AI6506">
        <v>239.40530000000001</v>
      </c>
      <c r="AJ6506">
        <v>11.129849999999999</v>
      </c>
      <c r="AK6506">
        <v>69.610460000000003</v>
      </c>
    </row>
    <row r="6507" spans="1:37" x14ac:dyDescent="0.3">
      <c r="A6507">
        <v>6506</v>
      </c>
      <c r="B6507">
        <v>52.5</v>
      </c>
      <c r="C6507">
        <v>-5.7244999999999999</v>
      </c>
      <c r="D6507">
        <v>13.9001</v>
      </c>
      <c r="E6507">
        <f>-5.7245-13.9001</f>
        <v>-19.624600000000001</v>
      </c>
      <c r="F6507" t="s">
        <v>9943</v>
      </c>
      <c r="G6507" t="s">
        <v>39</v>
      </c>
      <c r="H6507">
        <v>2004</v>
      </c>
      <c r="I6507">
        <v>26.41282</v>
      </c>
      <c r="J6507">
        <v>15.8118</v>
      </c>
      <c r="K6507">
        <v>56</v>
      </c>
      <c r="L6507">
        <v>28.589549999999999</v>
      </c>
      <c r="M6507">
        <v>39.012979999999999</v>
      </c>
      <c r="N6507">
        <v>11.012980000000001</v>
      </c>
      <c r="O6507">
        <v>28</v>
      </c>
      <c r="P6507">
        <v>26.41282</v>
      </c>
      <c r="Q6507">
        <v>24.224620000000002</v>
      </c>
      <c r="R6507">
        <v>30.100169999999999</v>
      </c>
      <c r="S6507">
        <v>22.424620000000001</v>
      </c>
      <c r="T6507">
        <v>605.85829999999999</v>
      </c>
      <c r="U6507">
        <v>210.24959999999999</v>
      </c>
      <c r="V6507">
        <v>0</v>
      </c>
      <c r="W6507">
        <v>136.24449999999999</v>
      </c>
      <c r="X6507">
        <v>482.6189</v>
      </c>
      <c r="Y6507">
        <v>0</v>
      </c>
      <c r="Z6507">
        <v>99.239459999999994</v>
      </c>
      <c r="AA6507">
        <v>1</v>
      </c>
      <c r="AB6507">
        <v>3.5532979999999998</v>
      </c>
      <c r="AC6507">
        <v>9.2403940000000007E-3</v>
      </c>
      <c r="AD6507">
        <v>1.017963</v>
      </c>
      <c r="AE6507">
        <v>0.29541719999999999</v>
      </c>
      <c r="AF6507">
        <v>283.339</v>
      </c>
      <c r="AG6507">
        <f>IFERROR(AH6507*0.1, "N/A")</f>
        <v>5.7</v>
      </c>
      <c r="AH6507">
        <v>57</v>
      </c>
      <c r="AI6507">
        <v>239.40530000000001</v>
      </c>
      <c r="AJ6507">
        <v>11.129849999999999</v>
      </c>
      <c r="AK6507">
        <v>69.610460000000003</v>
      </c>
    </row>
    <row r="6508" spans="1:37" x14ac:dyDescent="0.3">
      <c r="A6508">
        <v>6507</v>
      </c>
      <c r="B6508">
        <v>36.200000000000003</v>
      </c>
      <c r="C6508">
        <v>-7.468</v>
      </c>
      <c r="D6508">
        <v>13.917</v>
      </c>
      <c r="E6508">
        <f>-7.468-13.917</f>
        <v>-21.384999999999998</v>
      </c>
      <c r="F6508" t="s">
        <v>9944</v>
      </c>
      <c r="G6508" t="s">
        <v>39</v>
      </c>
      <c r="H6508">
        <v>1987</v>
      </c>
      <c r="I6508">
        <v>27.2</v>
      </c>
      <c r="J6508">
        <v>15.7</v>
      </c>
      <c r="K6508">
        <v>58</v>
      </c>
      <c r="L6508">
        <v>26.183859999999999</v>
      </c>
      <c r="M6508">
        <v>39.5</v>
      </c>
      <c r="N6508">
        <v>12.8</v>
      </c>
      <c r="O6508">
        <v>26.7</v>
      </c>
      <c r="P6508">
        <v>26.42428</v>
      </c>
      <c r="Q6508">
        <v>24.024280000000001</v>
      </c>
      <c r="R6508">
        <v>30.7</v>
      </c>
      <c r="S6508">
        <v>23.92428</v>
      </c>
      <c r="T6508">
        <v>647</v>
      </c>
      <c r="U6508">
        <v>216</v>
      </c>
      <c r="V6508">
        <v>0</v>
      </c>
      <c r="W6508">
        <v>134</v>
      </c>
      <c r="X6508">
        <v>507</v>
      </c>
      <c r="Y6508">
        <v>0</v>
      </c>
      <c r="Z6508">
        <v>107</v>
      </c>
      <c r="AA6508">
        <v>3</v>
      </c>
      <c r="AB6508">
        <v>2.5978110000000001</v>
      </c>
      <c r="AC6508">
        <v>1.042967E-2</v>
      </c>
      <c r="AD6508">
        <v>1.873483</v>
      </c>
      <c r="AE6508">
        <v>0.6112301</v>
      </c>
      <c r="AF6508">
        <v>314.88029999999998</v>
      </c>
      <c r="AG6508">
        <f>IFERROR(AH6508*0.1, "N/A")</f>
        <v>6.1843170000000001</v>
      </c>
      <c r="AH6508">
        <v>61.843170000000001</v>
      </c>
      <c r="AI6508">
        <v>238.334</v>
      </c>
      <c r="AJ6508">
        <v>16.064080000000001</v>
      </c>
      <c r="AK6508">
        <v>64.686340000000001</v>
      </c>
    </row>
    <row r="6509" spans="1:37" x14ac:dyDescent="0.3">
      <c r="A6509">
        <v>6508</v>
      </c>
      <c r="B6509">
        <v>5.5</v>
      </c>
      <c r="C6509">
        <v>-7.468</v>
      </c>
      <c r="D6509">
        <v>13.917</v>
      </c>
      <c r="E6509">
        <f>-7.468-13.917</f>
        <v>-21.384999999999998</v>
      </c>
      <c r="F6509" t="s">
        <v>9945</v>
      </c>
      <c r="G6509" t="s">
        <v>37</v>
      </c>
      <c r="H6509">
        <v>1987</v>
      </c>
      <c r="I6509">
        <v>27.2</v>
      </c>
      <c r="J6509">
        <v>15.7</v>
      </c>
      <c r="K6509">
        <v>58</v>
      </c>
      <c r="L6509">
        <v>26.183859999999999</v>
      </c>
      <c r="M6509">
        <v>39.5</v>
      </c>
      <c r="N6509">
        <v>12.8</v>
      </c>
      <c r="O6509">
        <v>26.7</v>
      </c>
      <c r="P6509">
        <v>26.42428</v>
      </c>
      <c r="Q6509">
        <v>24.024280000000001</v>
      </c>
      <c r="R6509">
        <v>30.7</v>
      </c>
      <c r="S6509">
        <v>23.92428</v>
      </c>
      <c r="T6509">
        <v>647</v>
      </c>
      <c r="U6509">
        <v>216</v>
      </c>
      <c r="V6509">
        <v>0</v>
      </c>
      <c r="W6509">
        <v>134</v>
      </c>
      <c r="X6509">
        <v>507</v>
      </c>
      <c r="Y6509">
        <v>0</v>
      </c>
      <c r="Z6509">
        <v>107</v>
      </c>
      <c r="AA6509">
        <v>3</v>
      </c>
      <c r="AB6509">
        <v>2.5978110000000001</v>
      </c>
      <c r="AC6509">
        <v>1.042967E-2</v>
      </c>
      <c r="AD6509">
        <v>1.873483</v>
      </c>
      <c r="AE6509">
        <v>0.6112301</v>
      </c>
      <c r="AF6509">
        <v>314.88029999999998</v>
      </c>
      <c r="AG6509">
        <f>IFERROR(AH6509*0.1, "N/A")</f>
        <v>6.1843170000000001</v>
      </c>
      <c r="AH6509">
        <v>61.843170000000001</v>
      </c>
      <c r="AI6509">
        <v>238.334</v>
      </c>
      <c r="AJ6509">
        <v>16.064080000000001</v>
      </c>
      <c r="AK6509">
        <v>64.686340000000001</v>
      </c>
    </row>
    <row r="6510" spans="1:37" x14ac:dyDescent="0.3">
      <c r="A6510">
        <v>6509</v>
      </c>
      <c r="B6510">
        <v>56.7</v>
      </c>
      <c r="C6510">
        <v>-5.6635</v>
      </c>
      <c r="D6510">
        <v>13.917400000000001</v>
      </c>
      <c r="E6510">
        <f>-5.6635-13.9174</f>
        <v>-19.5809</v>
      </c>
      <c r="F6510" t="s">
        <v>9946</v>
      </c>
      <c r="G6510" t="s">
        <v>39</v>
      </c>
      <c r="H6510">
        <v>1990</v>
      </c>
      <c r="I6510">
        <v>26.3</v>
      </c>
      <c r="J6510">
        <v>15.89814</v>
      </c>
      <c r="K6510">
        <v>56</v>
      </c>
      <c r="L6510">
        <v>29.060369999999999</v>
      </c>
      <c r="M6510">
        <v>39</v>
      </c>
      <c r="N6510">
        <v>10.8</v>
      </c>
      <c r="O6510">
        <v>28.2</v>
      </c>
      <c r="P6510">
        <v>26.29814</v>
      </c>
      <c r="Q6510">
        <v>24</v>
      </c>
      <c r="R6510">
        <v>30</v>
      </c>
      <c r="S6510">
        <v>22.2</v>
      </c>
      <c r="T6510">
        <v>595.03710000000001</v>
      </c>
      <c r="U6510">
        <v>204.01849999999999</v>
      </c>
      <c r="V6510">
        <v>0</v>
      </c>
      <c r="W6510">
        <v>135</v>
      </c>
      <c r="X6510">
        <v>471.01850000000002</v>
      </c>
      <c r="Y6510">
        <v>1.854975E-2</v>
      </c>
      <c r="Z6510">
        <v>100</v>
      </c>
      <c r="AA6510">
        <v>1</v>
      </c>
      <c r="AB6510">
        <v>0.61619480000000004</v>
      </c>
      <c r="AC6510">
        <v>2.871319E-2</v>
      </c>
      <c r="AD6510">
        <v>1.8488180000000001</v>
      </c>
      <c r="AE6510">
        <v>0.49705519999999997</v>
      </c>
      <c r="AF6510">
        <v>278.5616</v>
      </c>
      <c r="AG6510">
        <f>IFERROR(AH6510*0.1, "N/A")</f>
        <v>5.7349069999999998</v>
      </c>
      <c r="AH6510">
        <v>57.349069999999998</v>
      </c>
      <c r="AI6510">
        <v>140.8817</v>
      </c>
      <c r="AJ6510">
        <v>16.698149999999998</v>
      </c>
      <c r="AK6510">
        <v>61.650930000000002</v>
      </c>
    </row>
    <row r="6511" spans="1:37" x14ac:dyDescent="0.3">
      <c r="A6511">
        <v>6510</v>
      </c>
      <c r="B6511">
        <v>72.7</v>
      </c>
      <c r="C6511">
        <v>-5.6635</v>
      </c>
      <c r="D6511">
        <v>13.917400000000001</v>
      </c>
      <c r="E6511">
        <f>-5.6635-13.9174</f>
        <v>-19.5809</v>
      </c>
      <c r="F6511" t="s">
        <v>9947</v>
      </c>
      <c r="G6511" t="s">
        <v>37</v>
      </c>
      <c r="H6511">
        <v>1990</v>
      </c>
      <c r="I6511">
        <v>26.3</v>
      </c>
      <c r="J6511">
        <v>15.89814</v>
      </c>
      <c r="K6511">
        <v>56</v>
      </c>
      <c r="L6511">
        <v>29.060369999999999</v>
      </c>
      <c r="M6511">
        <v>39</v>
      </c>
      <c r="N6511">
        <v>10.8</v>
      </c>
      <c r="O6511">
        <v>28.2</v>
      </c>
      <c r="P6511">
        <v>26.29814</v>
      </c>
      <c r="Q6511">
        <v>24</v>
      </c>
      <c r="R6511">
        <v>30</v>
      </c>
      <c r="S6511">
        <v>22.2</v>
      </c>
      <c r="T6511">
        <v>595.03710000000001</v>
      </c>
      <c r="U6511">
        <v>204.01849999999999</v>
      </c>
      <c r="V6511">
        <v>0</v>
      </c>
      <c r="W6511">
        <v>135</v>
      </c>
      <c r="X6511">
        <v>471.01850000000002</v>
      </c>
      <c r="Y6511">
        <v>1.854975E-2</v>
      </c>
      <c r="Z6511">
        <v>100</v>
      </c>
      <c r="AA6511">
        <v>1</v>
      </c>
      <c r="AB6511">
        <v>0.61619480000000004</v>
      </c>
      <c r="AC6511">
        <v>2.871319E-2</v>
      </c>
      <c r="AD6511">
        <v>1.8488180000000001</v>
      </c>
      <c r="AE6511">
        <v>0.49705519999999997</v>
      </c>
      <c r="AF6511">
        <v>278.5616</v>
      </c>
      <c r="AG6511">
        <f>IFERROR(AH6511*0.1, "N/A")</f>
        <v>5.7349069999999998</v>
      </c>
      <c r="AH6511">
        <v>57.349069999999998</v>
      </c>
      <c r="AI6511">
        <v>140.8817</v>
      </c>
      <c r="AJ6511">
        <v>16.698149999999998</v>
      </c>
      <c r="AK6511">
        <v>61.650930000000002</v>
      </c>
    </row>
    <row r="6512" spans="1:37" x14ac:dyDescent="0.3">
      <c r="A6512">
        <v>6511</v>
      </c>
      <c r="B6512">
        <v>20.2</v>
      </c>
      <c r="C6512">
        <v>-5.9757999999999996</v>
      </c>
      <c r="D6512">
        <v>13.929500000000001</v>
      </c>
      <c r="E6512">
        <f>-5.9758-13.9295</f>
        <v>-19.9053</v>
      </c>
      <c r="F6512" t="s">
        <v>9948</v>
      </c>
      <c r="G6512" t="s">
        <v>39</v>
      </c>
      <c r="H6512">
        <v>1990</v>
      </c>
      <c r="I6512">
        <v>27</v>
      </c>
      <c r="J6512">
        <v>15.6</v>
      </c>
      <c r="K6512">
        <v>57</v>
      </c>
      <c r="L6512">
        <v>27.89</v>
      </c>
      <c r="M6512">
        <v>39.299999999999997</v>
      </c>
      <c r="N6512">
        <v>12.2</v>
      </c>
      <c r="O6512">
        <v>27.1</v>
      </c>
      <c r="P6512">
        <v>26.8</v>
      </c>
      <c r="Q6512">
        <v>25.1</v>
      </c>
      <c r="R6512">
        <v>30.7</v>
      </c>
      <c r="S6512">
        <v>23.3</v>
      </c>
      <c r="T6512">
        <v>589</v>
      </c>
      <c r="U6512">
        <v>210</v>
      </c>
      <c r="V6512">
        <v>0</v>
      </c>
      <c r="W6512">
        <v>139</v>
      </c>
      <c r="X6512">
        <v>477</v>
      </c>
      <c r="Y6512">
        <v>0</v>
      </c>
      <c r="Z6512">
        <v>92</v>
      </c>
      <c r="AA6512">
        <v>0</v>
      </c>
      <c r="AB6512">
        <v>0.75915860000000002</v>
      </c>
      <c r="AC6512">
        <v>2.226707E-2</v>
      </c>
      <c r="AD6512">
        <v>1.903216</v>
      </c>
      <c r="AE6512">
        <v>0.31101299999999998</v>
      </c>
      <c r="AF6512">
        <v>279.642</v>
      </c>
      <c r="AG6512">
        <f>IFERROR(AH6512*0.1, "N/A")</f>
        <v>6.4</v>
      </c>
      <c r="AH6512">
        <v>64</v>
      </c>
      <c r="AI6512">
        <v>114.2093</v>
      </c>
      <c r="AJ6512">
        <v>15.941179999999999</v>
      </c>
      <c r="AK6512">
        <v>64</v>
      </c>
    </row>
    <row r="6513" spans="1:37" x14ac:dyDescent="0.3">
      <c r="A6513">
        <v>6512</v>
      </c>
      <c r="B6513">
        <v>47.4</v>
      </c>
      <c r="C6513">
        <v>-5.9757999999999996</v>
      </c>
      <c r="D6513">
        <v>13.929500000000001</v>
      </c>
      <c r="E6513">
        <f>-5.9758-13.9295</f>
        <v>-19.9053</v>
      </c>
      <c r="F6513" t="s">
        <v>9949</v>
      </c>
      <c r="G6513" t="s">
        <v>37</v>
      </c>
      <c r="H6513">
        <v>1990</v>
      </c>
      <c r="I6513">
        <v>27</v>
      </c>
      <c r="J6513">
        <v>15.6</v>
      </c>
      <c r="K6513">
        <v>57</v>
      </c>
      <c r="L6513">
        <v>27.89</v>
      </c>
      <c r="M6513">
        <v>39.299999999999997</v>
      </c>
      <c r="N6513">
        <v>12.2</v>
      </c>
      <c r="O6513">
        <v>27.1</v>
      </c>
      <c r="P6513">
        <v>26.8</v>
      </c>
      <c r="Q6513">
        <v>25.1</v>
      </c>
      <c r="R6513">
        <v>30.7</v>
      </c>
      <c r="S6513">
        <v>23.3</v>
      </c>
      <c r="T6513">
        <v>589</v>
      </c>
      <c r="U6513">
        <v>210</v>
      </c>
      <c r="V6513">
        <v>0</v>
      </c>
      <c r="W6513">
        <v>139</v>
      </c>
      <c r="X6513">
        <v>477</v>
      </c>
      <c r="Y6513">
        <v>0</v>
      </c>
      <c r="Z6513">
        <v>92</v>
      </c>
      <c r="AA6513">
        <v>0</v>
      </c>
      <c r="AB6513">
        <v>0.75915860000000002</v>
      </c>
      <c r="AC6513">
        <v>2.226707E-2</v>
      </c>
      <c r="AD6513">
        <v>1.903216</v>
      </c>
      <c r="AE6513">
        <v>0.31101299999999998</v>
      </c>
      <c r="AF6513">
        <v>279.642</v>
      </c>
      <c r="AG6513">
        <f>IFERROR(AH6513*0.1, "N/A")</f>
        <v>6.4</v>
      </c>
      <c r="AH6513">
        <v>64</v>
      </c>
      <c r="AI6513">
        <v>114.2093</v>
      </c>
      <c r="AJ6513">
        <v>15.941179999999999</v>
      </c>
      <c r="AK6513">
        <v>64</v>
      </c>
    </row>
    <row r="6514" spans="1:37" x14ac:dyDescent="0.3">
      <c r="A6514">
        <v>6513</v>
      </c>
      <c r="B6514">
        <v>29.9</v>
      </c>
      <c r="C6514">
        <v>-5.3596000000000004</v>
      </c>
      <c r="D6514">
        <v>13.9313</v>
      </c>
      <c r="E6514">
        <f>-5.3596-13.9313</f>
        <v>-19.290900000000001</v>
      </c>
      <c r="F6514" t="s">
        <v>9950</v>
      </c>
      <c r="G6514" t="s">
        <v>39</v>
      </c>
      <c r="H6514">
        <v>1990</v>
      </c>
      <c r="I6514">
        <v>26.6</v>
      </c>
      <c r="J6514">
        <v>15.4</v>
      </c>
      <c r="K6514">
        <v>55</v>
      </c>
      <c r="L6514">
        <v>29.73</v>
      </c>
      <c r="M6514">
        <v>39.299999999999997</v>
      </c>
      <c r="N6514">
        <v>11.3</v>
      </c>
      <c r="O6514">
        <v>28</v>
      </c>
      <c r="P6514">
        <v>26.8</v>
      </c>
      <c r="Q6514">
        <v>24.2</v>
      </c>
      <c r="R6514">
        <v>30.4</v>
      </c>
      <c r="S6514">
        <v>22.4</v>
      </c>
      <c r="T6514">
        <v>558</v>
      </c>
      <c r="U6514">
        <v>190</v>
      </c>
      <c r="V6514">
        <v>0</v>
      </c>
      <c r="W6514">
        <v>133</v>
      </c>
      <c r="X6514">
        <v>439</v>
      </c>
      <c r="Y6514">
        <v>2</v>
      </c>
      <c r="Z6514">
        <v>97</v>
      </c>
      <c r="AA6514">
        <v>2</v>
      </c>
      <c r="AB6514">
        <v>1.545866</v>
      </c>
      <c r="AC6514">
        <v>2.5322190000000001E-2</v>
      </c>
      <c r="AD6514">
        <v>1.9026559999999999</v>
      </c>
      <c r="AE6514">
        <v>0.35488249999999999</v>
      </c>
      <c r="AF6514">
        <v>279.14620000000002</v>
      </c>
      <c r="AG6514">
        <f>IFERROR(AH6514*0.1, "N/A")</f>
        <v>6.0090760000000003</v>
      </c>
      <c r="AH6514">
        <v>60.090760000000003</v>
      </c>
      <c r="AI6514">
        <v>228.92160000000001</v>
      </c>
      <c r="AJ6514">
        <v>13.04538</v>
      </c>
      <c r="AK6514">
        <v>57.136130000000001</v>
      </c>
    </row>
    <row r="6515" spans="1:37" x14ac:dyDescent="0.3">
      <c r="A6515">
        <v>6514</v>
      </c>
      <c r="B6515">
        <v>11.8</v>
      </c>
      <c r="C6515">
        <v>-5.3596000000000004</v>
      </c>
      <c r="D6515">
        <v>13.9313</v>
      </c>
      <c r="E6515">
        <f>-5.3596-13.9313</f>
        <v>-19.290900000000001</v>
      </c>
      <c r="F6515" t="s">
        <v>9951</v>
      </c>
      <c r="G6515" t="s">
        <v>37</v>
      </c>
      <c r="H6515">
        <v>1990</v>
      </c>
      <c r="I6515">
        <v>26.6</v>
      </c>
      <c r="J6515">
        <v>15.4</v>
      </c>
      <c r="K6515">
        <v>55</v>
      </c>
      <c r="L6515">
        <v>29.73</v>
      </c>
      <c r="M6515">
        <v>39.299999999999997</v>
      </c>
      <c r="N6515">
        <v>11.3</v>
      </c>
      <c r="O6515">
        <v>28</v>
      </c>
      <c r="P6515">
        <v>26.8</v>
      </c>
      <c r="Q6515">
        <v>24.2</v>
      </c>
      <c r="R6515">
        <v>30.4</v>
      </c>
      <c r="S6515">
        <v>22.4</v>
      </c>
      <c r="T6515">
        <v>558</v>
      </c>
      <c r="U6515">
        <v>190</v>
      </c>
      <c r="V6515">
        <v>0</v>
      </c>
      <c r="W6515">
        <v>133</v>
      </c>
      <c r="X6515">
        <v>439</v>
      </c>
      <c r="Y6515">
        <v>2</v>
      </c>
      <c r="Z6515">
        <v>97</v>
      </c>
      <c r="AA6515">
        <v>2</v>
      </c>
      <c r="AB6515">
        <v>1.545866</v>
      </c>
      <c r="AC6515">
        <v>2.5322190000000001E-2</v>
      </c>
      <c r="AD6515">
        <v>1.9026559999999999</v>
      </c>
      <c r="AE6515">
        <v>0.35488249999999999</v>
      </c>
      <c r="AF6515">
        <v>279.14620000000002</v>
      </c>
      <c r="AG6515">
        <f>IFERROR(AH6515*0.1, "N/A")</f>
        <v>6.0090760000000003</v>
      </c>
      <c r="AH6515">
        <v>60.090760000000003</v>
      </c>
      <c r="AI6515">
        <v>228.92160000000001</v>
      </c>
      <c r="AJ6515">
        <v>13.04538</v>
      </c>
      <c r="AK6515">
        <v>57.136130000000001</v>
      </c>
    </row>
    <row r="6516" spans="1:37" x14ac:dyDescent="0.3">
      <c r="A6516">
        <v>6515</v>
      </c>
      <c r="B6516">
        <v>66.099999999999994</v>
      </c>
      <c r="C6516">
        <v>-5.6185</v>
      </c>
      <c r="D6516">
        <v>13.935</v>
      </c>
      <c r="E6516">
        <f>-5.6185-13.935</f>
        <v>-19.5535</v>
      </c>
      <c r="F6516" t="s">
        <v>9952</v>
      </c>
      <c r="G6516" t="s">
        <v>39</v>
      </c>
      <c r="H6516">
        <v>1990</v>
      </c>
      <c r="I6516">
        <v>26.2</v>
      </c>
      <c r="J6516">
        <v>15.8</v>
      </c>
      <c r="K6516">
        <v>56</v>
      </c>
      <c r="L6516">
        <v>29.46</v>
      </c>
      <c r="M6516">
        <v>39</v>
      </c>
      <c r="N6516">
        <v>10.8</v>
      </c>
      <c r="O6516">
        <v>28.2</v>
      </c>
      <c r="P6516">
        <v>26.3</v>
      </c>
      <c r="Q6516">
        <v>23.9</v>
      </c>
      <c r="R6516">
        <v>30</v>
      </c>
      <c r="S6516">
        <v>22.1</v>
      </c>
      <c r="T6516">
        <v>583</v>
      </c>
      <c r="U6516">
        <v>200</v>
      </c>
      <c r="V6516">
        <v>0</v>
      </c>
      <c r="W6516">
        <v>135</v>
      </c>
      <c r="X6516">
        <v>462</v>
      </c>
      <c r="Y6516">
        <v>1</v>
      </c>
      <c r="Z6516">
        <v>98</v>
      </c>
      <c r="AA6516">
        <v>1</v>
      </c>
      <c r="AB6516">
        <v>3.3556900000000001</v>
      </c>
      <c r="AC6516">
        <v>1.291134E-2</v>
      </c>
      <c r="AD6516">
        <v>1.4520709999999999</v>
      </c>
      <c r="AE6516">
        <v>0.67696509999999999</v>
      </c>
      <c r="AF6516">
        <v>281.39089999999999</v>
      </c>
      <c r="AG6516">
        <f>IFERROR(AH6516*0.1, "N/A")</f>
        <v>5.7788590000000006</v>
      </c>
      <c r="AH6516">
        <v>57.788589999999999</v>
      </c>
      <c r="AI6516">
        <v>222.95359999999999</v>
      </c>
      <c r="AJ6516">
        <v>16.441279999999999</v>
      </c>
      <c r="AK6516">
        <v>58.117449999999998</v>
      </c>
    </row>
    <row r="6517" spans="1:37" x14ac:dyDescent="0.3">
      <c r="A6517">
        <v>6516</v>
      </c>
      <c r="B6517">
        <v>66.400000000000006</v>
      </c>
      <c r="C6517">
        <v>-5.6185</v>
      </c>
      <c r="D6517">
        <v>13.935</v>
      </c>
      <c r="E6517">
        <f>-5.6185-13.935</f>
        <v>-19.5535</v>
      </c>
      <c r="F6517" t="s">
        <v>9953</v>
      </c>
      <c r="G6517" t="s">
        <v>37</v>
      </c>
      <c r="H6517">
        <v>1990</v>
      </c>
      <c r="I6517">
        <v>26.2</v>
      </c>
      <c r="J6517">
        <v>15.8</v>
      </c>
      <c r="K6517">
        <v>56</v>
      </c>
      <c r="L6517">
        <v>29.46</v>
      </c>
      <c r="M6517">
        <v>39</v>
      </c>
      <c r="N6517">
        <v>10.8</v>
      </c>
      <c r="O6517">
        <v>28.2</v>
      </c>
      <c r="P6517">
        <v>26.3</v>
      </c>
      <c r="Q6517">
        <v>23.9</v>
      </c>
      <c r="R6517">
        <v>30</v>
      </c>
      <c r="S6517">
        <v>22.1</v>
      </c>
      <c r="T6517">
        <v>583</v>
      </c>
      <c r="U6517">
        <v>200</v>
      </c>
      <c r="V6517">
        <v>0</v>
      </c>
      <c r="W6517">
        <v>135</v>
      </c>
      <c r="X6517">
        <v>462</v>
      </c>
      <c r="Y6517">
        <v>1</v>
      </c>
      <c r="Z6517">
        <v>98</v>
      </c>
      <c r="AA6517">
        <v>1</v>
      </c>
      <c r="AB6517">
        <v>3.3556900000000001</v>
      </c>
      <c r="AC6517">
        <v>1.291134E-2</v>
      </c>
      <c r="AD6517">
        <v>1.4520709999999999</v>
      </c>
      <c r="AE6517">
        <v>0.67696509999999999</v>
      </c>
      <c r="AF6517">
        <v>281.39089999999999</v>
      </c>
      <c r="AG6517">
        <f>IFERROR(AH6517*0.1, "N/A")</f>
        <v>5.7788590000000006</v>
      </c>
      <c r="AH6517">
        <v>57.788589999999999</v>
      </c>
      <c r="AI6517">
        <v>222.95359999999999</v>
      </c>
      <c r="AJ6517">
        <v>16.441279999999999</v>
      </c>
      <c r="AK6517">
        <v>58.117449999999998</v>
      </c>
    </row>
    <row r="6518" spans="1:37" x14ac:dyDescent="0.3">
      <c r="A6518">
        <v>6517</v>
      </c>
      <c r="B6518">
        <v>60</v>
      </c>
      <c r="C6518">
        <v>-5.6017999999999999</v>
      </c>
      <c r="D6518">
        <v>13.9436</v>
      </c>
      <c r="E6518">
        <f>-5.6018-13.9436</f>
        <v>-19.545400000000001</v>
      </c>
      <c r="F6518" t="s">
        <v>9954</v>
      </c>
      <c r="G6518" t="s">
        <v>39</v>
      </c>
      <c r="H6518">
        <v>1990</v>
      </c>
      <c r="I6518">
        <v>26.3</v>
      </c>
      <c r="J6518">
        <v>15.8</v>
      </c>
      <c r="K6518">
        <v>56</v>
      </c>
      <c r="L6518">
        <v>29.29</v>
      </c>
      <c r="M6518">
        <v>39</v>
      </c>
      <c r="N6518">
        <v>10.8</v>
      </c>
      <c r="O6518">
        <v>28.2</v>
      </c>
      <c r="P6518">
        <v>26.4</v>
      </c>
      <c r="Q6518">
        <v>23.9</v>
      </c>
      <c r="R6518">
        <v>30</v>
      </c>
      <c r="S6518">
        <v>22.2</v>
      </c>
      <c r="T6518">
        <v>580</v>
      </c>
      <c r="U6518">
        <v>199</v>
      </c>
      <c r="V6518">
        <v>0</v>
      </c>
      <c r="W6518">
        <v>135</v>
      </c>
      <c r="X6518">
        <v>460</v>
      </c>
      <c r="Y6518">
        <v>1</v>
      </c>
      <c r="Z6518">
        <v>97</v>
      </c>
      <c r="AA6518">
        <v>1</v>
      </c>
      <c r="AB6518">
        <v>1.4462809999999999</v>
      </c>
      <c r="AC6518">
        <v>1.9938830000000001E-2</v>
      </c>
      <c r="AD6518">
        <v>2.4187210000000001</v>
      </c>
      <c r="AE6518">
        <v>0.58986070000000002</v>
      </c>
      <c r="AF6518">
        <v>276.72300000000001</v>
      </c>
      <c r="AG6518">
        <f>IFERROR(AH6518*0.1, "N/A")</f>
        <v>6.0175680000000007</v>
      </c>
      <c r="AH6518">
        <v>60.17568</v>
      </c>
      <c r="AI6518">
        <v>178.08580000000001</v>
      </c>
      <c r="AJ6518">
        <v>21.41216</v>
      </c>
      <c r="AK6518">
        <v>57.236490000000003</v>
      </c>
    </row>
    <row r="6519" spans="1:37" x14ac:dyDescent="0.3">
      <c r="A6519">
        <v>6518</v>
      </c>
      <c r="B6519">
        <v>68.099999999999994</v>
      </c>
      <c r="C6519">
        <v>-5.6017999999999999</v>
      </c>
      <c r="D6519">
        <v>13.9436</v>
      </c>
      <c r="E6519">
        <f>-5.6018-13.9436</f>
        <v>-19.545400000000001</v>
      </c>
      <c r="F6519" t="s">
        <v>9955</v>
      </c>
      <c r="G6519" t="s">
        <v>37</v>
      </c>
      <c r="H6519">
        <v>1990</v>
      </c>
      <c r="I6519">
        <v>26.3</v>
      </c>
      <c r="J6519">
        <v>15.8</v>
      </c>
      <c r="K6519">
        <v>56</v>
      </c>
      <c r="L6519">
        <v>29.29</v>
      </c>
      <c r="M6519">
        <v>39</v>
      </c>
      <c r="N6519">
        <v>10.8</v>
      </c>
      <c r="O6519">
        <v>28.2</v>
      </c>
      <c r="P6519">
        <v>26.4</v>
      </c>
      <c r="Q6519">
        <v>23.9</v>
      </c>
      <c r="R6519">
        <v>30</v>
      </c>
      <c r="S6519">
        <v>22.2</v>
      </c>
      <c r="T6519">
        <v>580</v>
      </c>
      <c r="U6519">
        <v>199</v>
      </c>
      <c r="V6519">
        <v>0</v>
      </c>
      <c r="W6519">
        <v>135</v>
      </c>
      <c r="X6519">
        <v>460</v>
      </c>
      <c r="Y6519">
        <v>1</v>
      </c>
      <c r="Z6519">
        <v>97</v>
      </c>
      <c r="AA6519">
        <v>1</v>
      </c>
      <c r="AB6519">
        <v>1.4462809999999999</v>
      </c>
      <c r="AC6519">
        <v>1.9938830000000001E-2</v>
      </c>
      <c r="AD6519">
        <v>2.4187210000000001</v>
      </c>
      <c r="AE6519">
        <v>0.58986070000000002</v>
      </c>
      <c r="AF6519">
        <v>276.72300000000001</v>
      </c>
      <c r="AG6519">
        <f>IFERROR(AH6519*0.1, "N/A")</f>
        <v>6.0175680000000007</v>
      </c>
      <c r="AH6519">
        <v>60.17568</v>
      </c>
      <c r="AI6519">
        <v>178.08580000000001</v>
      </c>
      <c r="AJ6519">
        <v>21.41216</v>
      </c>
      <c r="AK6519">
        <v>57.236490000000003</v>
      </c>
    </row>
    <row r="6520" spans="1:37" x14ac:dyDescent="0.3">
      <c r="A6520">
        <v>6519</v>
      </c>
      <c r="B6520">
        <v>23.8</v>
      </c>
      <c r="C6520">
        <v>-5.6340000000000003</v>
      </c>
      <c r="D6520">
        <v>13.949</v>
      </c>
      <c r="E6520">
        <f>-5.634-13.949</f>
        <v>-19.582999999999998</v>
      </c>
      <c r="F6520" t="s">
        <v>9956</v>
      </c>
      <c r="G6520" t="s">
        <v>39</v>
      </c>
      <c r="H6520">
        <v>1987</v>
      </c>
      <c r="I6520">
        <v>26.3</v>
      </c>
      <c r="J6520">
        <v>15.8</v>
      </c>
      <c r="K6520">
        <v>56</v>
      </c>
      <c r="L6520">
        <v>28.866019999999999</v>
      </c>
      <c r="M6520">
        <v>39</v>
      </c>
      <c r="N6520">
        <v>10.9</v>
      </c>
      <c r="O6520">
        <v>28.1</v>
      </c>
      <c r="P6520">
        <v>26.4</v>
      </c>
      <c r="Q6520">
        <v>23.997129999999999</v>
      </c>
      <c r="R6520">
        <v>30</v>
      </c>
      <c r="S6520">
        <v>22.297129999999999</v>
      </c>
      <c r="T6520">
        <v>582.97130000000004</v>
      </c>
      <c r="U6520">
        <v>201.97130000000001</v>
      </c>
      <c r="V6520">
        <v>0</v>
      </c>
      <c r="W6520">
        <v>136</v>
      </c>
      <c r="X6520">
        <v>464.9427</v>
      </c>
      <c r="Y6520">
        <v>2.8667789999999999E-2</v>
      </c>
      <c r="Z6520">
        <v>96</v>
      </c>
      <c r="AA6520">
        <v>1</v>
      </c>
      <c r="AB6520">
        <v>0.84518450000000001</v>
      </c>
      <c r="AC6520">
        <v>6.0848390000000002E-2</v>
      </c>
      <c r="AD6520">
        <v>0.86169479999999998</v>
      </c>
      <c r="AE6520">
        <v>0.53220920000000005</v>
      </c>
      <c r="AF6520">
        <v>274.9427</v>
      </c>
      <c r="AG6520">
        <f>IFERROR(AH6520*0.1, "N/A")</f>
        <v>6.1962900000000003</v>
      </c>
      <c r="AH6520">
        <v>61.962899999999998</v>
      </c>
      <c r="AI6520">
        <v>184.1866</v>
      </c>
      <c r="AJ6520">
        <v>22.3828</v>
      </c>
      <c r="AK6520">
        <v>50.586849999999998</v>
      </c>
    </row>
    <row r="6521" spans="1:37" x14ac:dyDescent="0.3">
      <c r="A6521">
        <v>6520</v>
      </c>
      <c r="B6521">
        <v>30.7</v>
      </c>
      <c r="C6521">
        <v>-5.6340000000000003</v>
      </c>
      <c r="D6521">
        <v>13.949</v>
      </c>
      <c r="E6521">
        <f>-5.634-13.949</f>
        <v>-19.582999999999998</v>
      </c>
      <c r="F6521" t="s">
        <v>9957</v>
      </c>
      <c r="G6521" t="s">
        <v>37</v>
      </c>
      <c r="H6521">
        <v>1987</v>
      </c>
      <c r="I6521">
        <v>26.3</v>
      </c>
      <c r="J6521">
        <v>15.8</v>
      </c>
      <c r="K6521">
        <v>56</v>
      </c>
      <c r="L6521">
        <v>28.866019999999999</v>
      </c>
      <c r="M6521">
        <v>39</v>
      </c>
      <c r="N6521">
        <v>10.9</v>
      </c>
      <c r="O6521">
        <v>28.1</v>
      </c>
      <c r="P6521">
        <v>26.4</v>
      </c>
      <c r="Q6521">
        <v>23.997129999999999</v>
      </c>
      <c r="R6521">
        <v>30</v>
      </c>
      <c r="S6521">
        <v>22.297129999999999</v>
      </c>
      <c r="T6521">
        <v>582.97130000000004</v>
      </c>
      <c r="U6521">
        <v>201.97130000000001</v>
      </c>
      <c r="V6521">
        <v>0</v>
      </c>
      <c r="W6521">
        <v>136</v>
      </c>
      <c r="X6521">
        <v>464.9427</v>
      </c>
      <c r="Y6521">
        <v>2.8667789999999999E-2</v>
      </c>
      <c r="Z6521">
        <v>96</v>
      </c>
      <c r="AA6521">
        <v>1</v>
      </c>
      <c r="AB6521">
        <v>0.84518450000000001</v>
      </c>
      <c r="AC6521">
        <v>6.0848390000000002E-2</v>
      </c>
      <c r="AD6521">
        <v>0.86169479999999998</v>
      </c>
      <c r="AE6521">
        <v>0.53220920000000005</v>
      </c>
      <c r="AF6521">
        <v>274.9427</v>
      </c>
      <c r="AG6521">
        <f>IFERROR(AH6521*0.1, "N/A")</f>
        <v>6.1962900000000003</v>
      </c>
      <c r="AH6521">
        <v>61.962899999999998</v>
      </c>
      <c r="AI6521">
        <v>184.1866</v>
      </c>
      <c r="AJ6521">
        <v>22.3828</v>
      </c>
      <c r="AK6521">
        <v>50.586849999999998</v>
      </c>
    </row>
    <row r="6522" spans="1:37" x14ac:dyDescent="0.3">
      <c r="A6522">
        <v>6521</v>
      </c>
      <c r="B6522">
        <v>92.9</v>
      </c>
      <c r="C6522">
        <v>-5.6292999999999997</v>
      </c>
      <c r="D6522">
        <v>13.950200000000001</v>
      </c>
      <c r="E6522">
        <f>-5.6293-13.9502</f>
        <v>-19.579499999999999</v>
      </c>
      <c r="F6522" t="s">
        <v>9958</v>
      </c>
      <c r="G6522" t="s">
        <v>37</v>
      </c>
      <c r="H6522">
        <v>1994</v>
      </c>
      <c r="I6522">
        <v>26.3</v>
      </c>
      <c r="J6522">
        <v>15.8</v>
      </c>
      <c r="K6522">
        <v>56</v>
      </c>
      <c r="L6522">
        <v>29.077279999999998</v>
      </c>
      <c r="M6522">
        <v>39</v>
      </c>
      <c r="N6522">
        <v>10.9</v>
      </c>
      <c r="O6522">
        <v>28.1</v>
      </c>
      <c r="P6522">
        <v>26.4</v>
      </c>
      <c r="Q6522">
        <v>23.9</v>
      </c>
      <c r="R6522">
        <v>30</v>
      </c>
      <c r="S6522">
        <v>22.2</v>
      </c>
      <c r="T6522">
        <v>580.54390000000001</v>
      </c>
      <c r="U6522">
        <v>201</v>
      </c>
      <c r="V6522">
        <v>0</v>
      </c>
      <c r="W6522">
        <v>136</v>
      </c>
      <c r="X6522">
        <v>462.27199999999999</v>
      </c>
      <c r="Y6522">
        <v>0.27195950000000002</v>
      </c>
      <c r="Z6522">
        <v>96</v>
      </c>
      <c r="AA6522">
        <v>1</v>
      </c>
      <c r="AB6522">
        <v>1.4966189999999999</v>
      </c>
      <c r="AC6522">
        <v>1.1847989999999999E-2</v>
      </c>
      <c r="AD6522">
        <v>1.739935</v>
      </c>
      <c r="AE6522">
        <v>0.59297359999999999</v>
      </c>
      <c r="AF6522">
        <v>276.94260000000003</v>
      </c>
      <c r="AG6522">
        <f>IFERROR(AH6522*0.1, "N/A")</f>
        <v>5.9717910000000005</v>
      </c>
      <c r="AH6522">
        <v>59.717910000000003</v>
      </c>
      <c r="AI6522">
        <v>165.61660000000001</v>
      </c>
      <c r="AJ6522">
        <v>15.44595</v>
      </c>
      <c r="AK6522">
        <v>61.067570000000003</v>
      </c>
    </row>
    <row r="6523" spans="1:37" x14ac:dyDescent="0.3">
      <c r="A6523">
        <v>6522</v>
      </c>
      <c r="B6523">
        <v>13</v>
      </c>
      <c r="C6523">
        <v>-5.6292999999999997</v>
      </c>
      <c r="D6523">
        <v>13.950200000000001</v>
      </c>
      <c r="E6523">
        <f>-5.6293-13.9502</f>
        <v>-19.579499999999999</v>
      </c>
      <c r="F6523" t="s">
        <v>9959</v>
      </c>
      <c r="G6523" t="s">
        <v>39</v>
      </c>
      <c r="H6523">
        <v>1994</v>
      </c>
      <c r="I6523">
        <v>26.3</v>
      </c>
      <c r="J6523">
        <v>15.8</v>
      </c>
      <c r="K6523">
        <v>56</v>
      </c>
      <c r="L6523">
        <v>29.077279999999998</v>
      </c>
      <c r="M6523">
        <v>39</v>
      </c>
      <c r="N6523">
        <v>10.9</v>
      </c>
      <c r="O6523">
        <v>28.1</v>
      </c>
      <c r="P6523">
        <v>26.4</v>
      </c>
      <c r="Q6523">
        <v>23.9</v>
      </c>
      <c r="R6523">
        <v>30</v>
      </c>
      <c r="S6523">
        <v>22.2</v>
      </c>
      <c r="T6523">
        <v>580.54390000000001</v>
      </c>
      <c r="U6523">
        <v>201</v>
      </c>
      <c r="V6523">
        <v>0</v>
      </c>
      <c r="W6523">
        <v>136</v>
      </c>
      <c r="X6523">
        <v>462.27199999999999</v>
      </c>
      <c r="Y6523">
        <v>0.27195950000000002</v>
      </c>
      <c r="Z6523">
        <v>96</v>
      </c>
      <c r="AA6523">
        <v>1</v>
      </c>
      <c r="AB6523">
        <v>1.4966189999999999</v>
      </c>
      <c r="AC6523">
        <v>1.1847989999999999E-2</v>
      </c>
      <c r="AD6523">
        <v>1.739935</v>
      </c>
      <c r="AE6523">
        <v>0.59297359999999999</v>
      </c>
      <c r="AF6523">
        <v>276.94260000000003</v>
      </c>
      <c r="AG6523">
        <f>IFERROR(AH6523*0.1, "N/A")</f>
        <v>5.9717910000000005</v>
      </c>
      <c r="AH6523">
        <v>59.717910000000003</v>
      </c>
      <c r="AI6523">
        <v>165.61660000000001</v>
      </c>
      <c r="AJ6523">
        <v>15.44595</v>
      </c>
      <c r="AK6523">
        <v>61.067570000000003</v>
      </c>
    </row>
    <row r="6524" spans="1:37" x14ac:dyDescent="0.3">
      <c r="A6524">
        <v>6523</v>
      </c>
      <c r="B6524">
        <v>73.099999999999994</v>
      </c>
      <c r="C6524">
        <v>-5.5316000000000001</v>
      </c>
      <c r="D6524">
        <v>13.9549</v>
      </c>
      <c r="E6524">
        <f>-5.5316-13.9549</f>
        <v>-19.486499999999999</v>
      </c>
      <c r="F6524" t="s">
        <v>9960</v>
      </c>
      <c r="G6524" t="s">
        <v>39</v>
      </c>
      <c r="H6524">
        <v>1998</v>
      </c>
      <c r="I6524">
        <v>26.3</v>
      </c>
      <c r="J6524">
        <v>15.7</v>
      </c>
      <c r="K6524">
        <v>55</v>
      </c>
      <c r="L6524">
        <v>29.31</v>
      </c>
      <c r="M6524">
        <v>39.1</v>
      </c>
      <c r="N6524">
        <v>10.9</v>
      </c>
      <c r="O6524">
        <v>28.2</v>
      </c>
      <c r="P6524">
        <v>26.4</v>
      </c>
      <c r="Q6524">
        <v>24</v>
      </c>
      <c r="R6524">
        <v>30.1</v>
      </c>
      <c r="S6524">
        <v>22.2</v>
      </c>
      <c r="T6524">
        <v>573</v>
      </c>
      <c r="U6524">
        <v>197</v>
      </c>
      <c r="V6524">
        <v>0</v>
      </c>
      <c r="W6524">
        <v>136</v>
      </c>
      <c r="X6524">
        <v>454</v>
      </c>
      <c r="Y6524">
        <v>1</v>
      </c>
      <c r="Z6524">
        <v>97</v>
      </c>
      <c r="AA6524">
        <v>1</v>
      </c>
      <c r="AB6524">
        <v>1.550843</v>
      </c>
      <c r="AC6524">
        <v>8.4967029999999995E-3</v>
      </c>
      <c r="AD6524">
        <v>1.6802539999999999</v>
      </c>
      <c r="AE6524">
        <v>0.42157719999999999</v>
      </c>
      <c r="AF6524">
        <v>279.22969999999998</v>
      </c>
      <c r="AG6524">
        <f>IFERROR(AH6524*0.1, "N/A")</f>
        <v>6.137162</v>
      </c>
      <c r="AH6524">
        <v>61.37162</v>
      </c>
      <c r="AI6524">
        <v>159.96960000000001</v>
      </c>
      <c r="AJ6524">
        <v>21.58615</v>
      </c>
      <c r="AK6524">
        <v>54.35642</v>
      </c>
    </row>
    <row r="6525" spans="1:37" x14ac:dyDescent="0.3">
      <c r="A6525">
        <v>6524</v>
      </c>
      <c r="B6525">
        <v>56.1</v>
      </c>
      <c r="C6525">
        <v>-5.5316000000000001</v>
      </c>
      <c r="D6525">
        <v>13.9549</v>
      </c>
      <c r="E6525">
        <f>-5.5316-13.9549</f>
        <v>-19.486499999999999</v>
      </c>
      <c r="F6525" t="s">
        <v>9961</v>
      </c>
      <c r="G6525" t="s">
        <v>37</v>
      </c>
      <c r="H6525">
        <v>1994</v>
      </c>
      <c r="I6525">
        <v>26.3</v>
      </c>
      <c r="J6525">
        <v>15.7</v>
      </c>
      <c r="K6525">
        <v>55</v>
      </c>
      <c r="L6525">
        <v>29.31</v>
      </c>
      <c r="M6525">
        <v>39.1</v>
      </c>
      <c r="N6525">
        <v>10.9</v>
      </c>
      <c r="O6525">
        <v>28.2</v>
      </c>
      <c r="P6525">
        <v>26.4</v>
      </c>
      <c r="Q6525">
        <v>24</v>
      </c>
      <c r="R6525">
        <v>30.1</v>
      </c>
      <c r="S6525">
        <v>22.2</v>
      </c>
      <c r="T6525">
        <v>573</v>
      </c>
      <c r="U6525">
        <v>197</v>
      </c>
      <c r="V6525">
        <v>0</v>
      </c>
      <c r="W6525">
        <v>136</v>
      </c>
      <c r="X6525">
        <v>454</v>
      </c>
      <c r="Y6525">
        <v>1</v>
      </c>
      <c r="Z6525">
        <v>97</v>
      </c>
      <c r="AA6525">
        <v>1</v>
      </c>
      <c r="AB6525">
        <v>1.550843</v>
      </c>
      <c r="AC6525">
        <v>8.4967029999999995E-3</v>
      </c>
      <c r="AD6525">
        <v>1.6802539999999999</v>
      </c>
      <c r="AE6525">
        <v>0.42157719999999999</v>
      </c>
      <c r="AF6525">
        <v>279.22969999999998</v>
      </c>
      <c r="AG6525">
        <f>IFERROR(AH6525*0.1, "N/A")</f>
        <v>6.137162</v>
      </c>
      <c r="AH6525">
        <v>61.37162</v>
      </c>
      <c r="AI6525">
        <v>159.96960000000001</v>
      </c>
      <c r="AJ6525">
        <v>21.58615</v>
      </c>
      <c r="AK6525">
        <v>54.35642</v>
      </c>
    </row>
    <row r="6526" spans="1:37" x14ac:dyDescent="0.3">
      <c r="A6526">
        <v>6525</v>
      </c>
      <c r="B6526">
        <v>97</v>
      </c>
      <c r="C6526">
        <v>-5.5115999999999996</v>
      </c>
      <c r="D6526">
        <v>13.964700000000001</v>
      </c>
      <c r="E6526">
        <f>-5.5116-13.9647</f>
        <v>-19.476300000000002</v>
      </c>
      <c r="F6526" t="s">
        <v>9962</v>
      </c>
      <c r="G6526" t="s">
        <v>39</v>
      </c>
      <c r="H6526">
        <v>1990</v>
      </c>
      <c r="I6526">
        <v>26.4</v>
      </c>
      <c r="J6526">
        <v>15.7</v>
      </c>
      <c r="K6526">
        <v>55</v>
      </c>
      <c r="L6526">
        <v>29.34</v>
      </c>
      <c r="M6526">
        <v>39.1</v>
      </c>
      <c r="N6526">
        <v>11</v>
      </c>
      <c r="O6526">
        <v>28.1</v>
      </c>
      <c r="P6526">
        <v>26.5</v>
      </c>
      <c r="Q6526">
        <v>24</v>
      </c>
      <c r="R6526">
        <v>30.1</v>
      </c>
      <c r="S6526">
        <v>22.3</v>
      </c>
      <c r="T6526">
        <v>571</v>
      </c>
      <c r="U6526">
        <v>197</v>
      </c>
      <c r="V6526">
        <v>0</v>
      </c>
      <c r="W6526">
        <v>135</v>
      </c>
      <c r="X6526">
        <v>453</v>
      </c>
      <c r="Y6526">
        <v>1</v>
      </c>
      <c r="Z6526">
        <v>97</v>
      </c>
      <c r="AA6526">
        <v>1</v>
      </c>
      <c r="AB6526">
        <v>0.47652240000000001</v>
      </c>
      <c r="AC6526">
        <v>6.7985279999999995E-2</v>
      </c>
      <c r="AD6526">
        <v>1.1938040000000001</v>
      </c>
      <c r="AE6526">
        <v>0.5358001</v>
      </c>
      <c r="AF6526">
        <v>275.1807</v>
      </c>
      <c r="AG6526">
        <f>IFERROR(AH6526*0.1, "N/A")</f>
        <v>6.5</v>
      </c>
      <c r="AH6526">
        <v>65</v>
      </c>
      <c r="AI6526">
        <v>167.31229999999999</v>
      </c>
      <c r="AJ6526">
        <v>34</v>
      </c>
      <c r="AK6526">
        <v>40</v>
      </c>
    </row>
    <row r="6527" spans="1:37" x14ac:dyDescent="0.3">
      <c r="A6527">
        <v>6526</v>
      </c>
      <c r="B6527">
        <v>75.3</v>
      </c>
      <c r="C6527">
        <v>-5.5115999999999996</v>
      </c>
      <c r="D6527">
        <v>13.964700000000001</v>
      </c>
      <c r="E6527">
        <f>-5.5116-13.9647</f>
        <v>-19.476300000000002</v>
      </c>
      <c r="F6527" t="s">
        <v>9963</v>
      </c>
      <c r="G6527" t="s">
        <v>37</v>
      </c>
      <c r="H6527">
        <v>1990</v>
      </c>
      <c r="I6527">
        <v>26.4</v>
      </c>
      <c r="J6527">
        <v>15.7</v>
      </c>
      <c r="K6527">
        <v>55</v>
      </c>
      <c r="L6527">
        <v>29.34</v>
      </c>
      <c r="M6527">
        <v>39.1</v>
      </c>
      <c r="N6527">
        <v>11</v>
      </c>
      <c r="O6527">
        <v>28.1</v>
      </c>
      <c r="P6527">
        <v>26.5</v>
      </c>
      <c r="Q6527">
        <v>24</v>
      </c>
      <c r="R6527">
        <v>30.1</v>
      </c>
      <c r="S6527">
        <v>22.3</v>
      </c>
      <c r="T6527">
        <v>571</v>
      </c>
      <c r="U6527">
        <v>197</v>
      </c>
      <c r="V6527">
        <v>0</v>
      </c>
      <c r="W6527">
        <v>135</v>
      </c>
      <c r="X6527">
        <v>453</v>
      </c>
      <c r="Y6527">
        <v>1</v>
      </c>
      <c r="Z6527">
        <v>97</v>
      </c>
      <c r="AA6527">
        <v>1</v>
      </c>
      <c r="AB6527">
        <v>0.47652240000000001</v>
      </c>
      <c r="AC6527">
        <v>6.7985279999999995E-2</v>
      </c>
      <c r="AD6527">
        <v>1.1938040000000001</v>
      </c>
      <c r="AE6527">
        <v>0.5358001</v>
      </c>
      <c r="AF6527">
        <v>275.1807</v>
      </c>
      <c r="AG6527">
        <f>IFERROR(AH6527*0.1, "N/A")</f>
        <v>6.5</v>
      </c>
      <c r="AH6527">
        <v>65</v>
      </c>
      <c r="AI6527">
        <v>167.31229999999999</v>
      </c>
      <c r="AJ6527">
        <v>34</v>
      </c>
      <c r="AK6527">
        <v>40</v>
      </c>
    </row>
    <row r="6528" spans="1:37" x14ac:dyDescent="0.3">
      <c r="A6528">
        <v>6527</v>
      </c>
      <c r="B6528">
        <v>58</v>
      </c>
      <c r="C6528">
        <v>-10.335000000000001</v>
      </c>
      <c r="D6528">
        <v>13.965999999999999</v>
      </c>
      <c r="E6528">
        <f>-10.335-13.966</f>
        <v>-24.301000000000002</v>
      </c>
      <c r="F6528" t="s">
        <v>9964</v>
      </c>
      <c r="G6528" t="s">
        <v>39</v>
      </c>
      <c r="H6528">
        <v>1987</v>
      </c>
      <c r="I6528">
        <v>27.3</v>
      </c>
      <c r="J6528">
        <v>13.6</v>
      </c>
      <c r="K6528">
        <v>60</v>
      </c>
      <c r="L6528">
        <v>20.54</v>
      </c>
      <c r="M6528">
        <v>38.1</v>
      </c>
      <c r="N6528">
        <v>15.8</v>
      </c>
      <c r="O6528">
        <v>22.3</v>
      </c>
      <c r="P6528">
        <v>26.2</v>
      </c>
      <c r="Q6528">
        <v>26.4</v>
      </c>
      <c r="R6528">
        <v>30.2</v>
      </c>
      <c r="S6528">
        <v>25.1</v>
      </c>
      <c r="T6528">
        <v>830</v>
      </c>
      <c r="U6528">
        <v>264</v>
      </c>
      <c r="V6528">
        <v>0</v>
      </c>
      <c r="W6528">
        <v>128</v>
      </c>
      <c r="X6528">
        <v>630</v>
      </c>
      <c r="Y6528">
        <v>0</v>
      </c>
      <c r="Z6528">
        <v>145</v>
      </c>
      <c r="AA6528">
        <v>0</v>
      </c>
      <c r="AB6528">
        <v>4.6159790000000003</v>
      </c>
      <c r="AC6528">
        <v>8.3837159999999994E-3</v>
      </c>
      <c r="AD6528">
        <v>3.0217170000000002</v>
      </c>
      <c r="AE6528">
        <v>0.66215049999999998</v>
      </c>
      <c r="AF6528">
        <v>315.9513</v>
      </c>
      <c r="AG6528">
        <f>IFERROR(AH6528*0.1, "N/A")</f>
        <v>5.9647060000000005</v>
      </c>
      <c r="AH6528">
        <v>59.647060000000003</v>
      </c>
      <c r="AI6528">
        <v>97.834490000000002</v>
      </c>
      <c r="AJ6528">
        <v>23.18319</v>
      </c>
      <c r="AK6528">
        <v>47.526049999999998</v>
      </c>
    </row>
    <row r="6529" spans="1:37" x14ac:dyDescent="0.3">
      <c r="A6529">
        <v>6528</v>
      </c>
      <c r="B6529">
        <v>0</v>
      </c>
      <c r="C6529">
        <v>-10.335000000000001</v>
      </c>
      <c r="D6529">
        <v>13.965999999999999</v>
      </c>
      <c r="E6529">
        <f>-10.335-13.966</f>
        <v>-24.301000000000002</v>
      </c>
      <c r="F6529" t="s">
        <v>9965</v>
      </c>
      <c r="G6529" t="s">
        <v>37</v>
      </c>
      <c r="H6529">
        <v>1987</v>
      </c>
      <c r="I6529">
        <v>27.3</v>
      </c>
      <c r="J6529">
        <v>13.6</v>
      </c>
      <c r="K6529">
        <v>60</v>
      </c>
      <c r="L6529">
        <v>20.54</v>
      </c>
      <c r="M6529">
        <v>38.1</v>
      </c>
      <c r="N6529">
        <v>15.8</v>
      </c>
      <c r="O6529">
        <v>22.3</v>
      </c>
      <c r="P6529">
        <v>26.2</v>
      </c>
      <c r="Q6529">
        <v>26.4</v>
      </c>
      <c r="R6529">
        <v>30.2</v>
      </c>
      <c r="S6529">
        <v>25.1</v>
      </c>
      <c r="T6529">
        <v>830</v>
      </c>
      <c r="U6529">
        <v>264</v>
      </c>
      <c r="V6529">
        <v>0</v>
      </c>
      <c r="W6529">
        <v>128</v>
      </c>
      <c r="X6529">
        <v>630</v>
      </c>
      <c r="Y6529">
        <v>0</v>
      </c>
      <c r="Z6529">
        <v>145</v>
      </c>
      <c r="AA6529">
        <v>0</v>
      </c>
      <c r="AB6529">
        <v>4.6159790000000003</v>
      </c>
      <c r="AC6529">
        <v>8.3837159999999994E-3</v>
      </c>
      <c r="AD6529">
        <v>3.0217170000000002</v>
      </c>
      <c r="AE6529">
        <v>0.66215049999999998</v>
      </c>
      <c r="AF6529">
        <v>315.9513</v>
      </c>
      <c r="AG6529">
        <f>IFERROR(AH6529*0.1, "N/A")</f>
        <v>5.9647060000000005</v>
      </c>
      <c r="AH6529">
        <v>59.647060000000003</v>
      </c>
      <c r="AI6529">
        <v>97.834490000000002</v>
      </c>
      <c r="AJ6529">
        <v>23.18319</v>
      </c>
      <c r="AK6529">
        <v>47.526049999999998</v>
      </c>
    </row>
    <row r="6530" spans="1:37" x14ac:dyDescent="0.3">
      <c r="A6530">
        <v>6529</v>
      </c>
      <c r="B6530">
        <v>97</v>
      </c>
      <c r="C6530">
        <v>-5.5010000000000003</v>
      </c>
      <c r="D6530">
        <v>13.965999999999999</v>
      </c>
      <c r="E6530">
        <f>-5.501-13.966</f>
        <v>-19.466999999999999</v>
      </c>
      <c r="F6530" t="s">
        <v>9966</v>
      </c>
      <c r="G6530" t="s">
        <v>39</v>
      </c>
      <c r="H6530">
        <v>1987</v>
      </c>
      <c r="I6530">
        <v>26.4</v>
      </c>
      <c r="J6530">
        <v>15.69495</v>
      </c>
      <c r="K6530">
        <v>55</v>
      </c>
      <c r="L6530">
        <v>29.46707</v>
      </c>
      <c r="M6530">
        <v>39.105049999999999</v>
      </c>
      <c r="N6530">
        <v>11</v>
      </c>
      <c r="O6530">
        <v>28.105049999999999</v>
      </c>
      <c r="P6530">
        <v>26.5</v>
      </c>
      <c r="Q6530">
        <v>24</v>
      </c>
      <c r="R6530">
        <v>30.105049999999999</v>
      </c>
      <c r="S6530">
        <v>22.2</v>
      </c>
      <c r="T6530">
        <v>570.94949999999994</v>
      </c>
      <c r="U6530">
        <v>197</v>
      </c>
      <c r="V6530">
        <v>0</v>
      </c>
      <c r="W6530">
        <v>135</v>
      </c>
      <c r="X6530">
        <v>452.9495</v>
      </c>
      <c r="Y6530">
        <v>1</v>
      </c>
      <c r="Z6530">
        <v>97</v>
      </c>
      <c r="AA6530">
        <v>1</v>
      </c>
      <c r="AB6530">
        <v>2.0538859999999999</v>
      </c>
      <c r="AC6530">
        <v>8.4033629999999998E-2</v>
      </c>
      <c r="AD6530">
        <v>0.88078239999999997</v>
      </c>
      <c r="AE6530">
        <v>0.52441439999999995</v>
      </c>
      <c r="AF6530">
        <v>277.38720000000001</v>
      </c>
      <c r="AG6530">
        <f>IFERROR(AH6530*0.1, "N/A")</f>
        <v>6.3881830000000006</v>
      </c>
      <c r="AH6530">
        <v>63.881830000000001</v>
      </c>
      <c r="AI6530">
        <v>46.418259999999997</v>
      </c>
      <c r="AJ6530">
        <v>29</v>
      </c>
      <c r="AK6530">
        <v>44.569659999999999</v>
      </c>
    </row>
    <row r="6531" spans="1:37" x14ac:dyDescent="0.3">
      <c r="A6531">
        <v>6530</v>
      </c>
      <c r="B6531">
        <v>74</v>
      </c>
      <c r="C6531">
        <v>-5.5010000000000003</v>
      </c>
      <c r="D6531">
        <v>13.965999999999999</v>
      </c>
      <c r="E6531">
        <f>-5.501-13.966</f>
        <v>-19.466999999999999</v>
      </c>
      <c r="F6531" t="s">
        <v>9967</v>
      </c>
      <c r="G6531" t="s">
        <v>37</v>
      </c>
      <c r="H6531">
        <v>1987</v>
      </c>
      <c r="I6531">
        <v>26.4</v>
      </c>
      <c r="J6531">
        <v>15.69495</v>
      </c>
      <c r="K6531">
        <v>55</v>
      </c>
      <c r="L6531">
        <v>29.46707</v>
      </c>
      <c r="M6531">
        <v>39.105049999999999</v>
      </c>
      <c r="N6531">
        <v>11</v>
      </c>
      <c r="O6531">
        <v>28.105049999999999</v>
      </c>
      <c r="P6531">
        <v>26.5</v>
      </c>
      <c r="Q6531">
        <v>24</v>
      </c>
      <c r="R6531">
        <v>30.105049999999999</v>
      </c>
      <c r="S6531">
        <v>22.2</v>
      </c>
      <c r="T6531">
        <v>570.94949999999994</v>
      </c>
      <c r="U6531">
        <v>197</v>
      </c>
      <c r="V6531">
        <v>0</v>
      </c>
      <c r="W6531">
        <v>135</v>
      </c>
      <c r="X6531">
        <v>452.9495</v>
      </c>
      <c r="Y6531">
        <v>1</v>
      </c>
      <c r="Z6531">
        <v>97</v>
      </c>
      <c r="AA6531">
        <v>1</v>
      </c>
      <c r="AB6531">
        <v>2.0538859999999999</v>
      </c>
      <c r="AC6531">
        <v>8.4033629999999998E-2</v>
      </c>
      <c r="AD6531">
        <v>0.88078239999999997</v>
      </c>
      <c r="AE6531">
        <v>0.52441439999999995</v>
      </c>
      <c r="AF6531">
        <v>277.38720000000001</v>
      </c>
      <c r="AG6531">
        <f>IFERROR(AH6531*0.1, "N/A")</f>
        <v>6.3881830000000006</v>
      </c>
      <c r="AH6531">
        <v>63.881830000000001</v>
      </c>
      <c r="AI6531">
        <v>46.418259999999997</v>
      </c>
      <c r="AJ6531">
        <v>29</v>
      </c>
      <c r="AK6531">
        <v>44.569659999999999</v>
      </c>
    </row>
    <row r="6532" spans="1:37" x14ac:dyDescent="0.3">
      <c r="A6532">
        <v>6531</v>
      </c>
      <c r="B6532">
        <v>59.5</v>
      </c>
      <c r="C6532">
        <v>-5.6174999999999997</v>
      </c>
      <c r="D6532">
        <v>13.9687</v>
      </c>
      <c r="E6532">
        <f>-5.6175-13.9687</f>
        <v>-19.586199999999998</v>
      </c>
      <c r="F6532" t="s">
        <v>9968</v>
      </c>
      <c r="G6532" t="s">
        <v>39</v>
      </c>
      <c r="H6532">
        <v>1990</v>
      </c>
      <c r="I6532">
        <v>26.3</v>
      </c>
      <c r="J6532">
        <v>15.8</v>
      </c>
      <c r="K6532">
        <v>56</v>
      </c>
      <c r="L6532">
        <v>29.34</v>
      </c>
      <c r="M6532">
        <v>39.1</v>
      </c>
      <c r="N6532">
        <v>10.9</v>
      </c>
      <c r="O6532">
        <v>28.2</v>
      </c>
      <c r="P6532">
        <v>26.4</v>
      </c>
      <c r="Q6532">
        <v>23.9</v>
      </c>
      <c r="R6532">
        <v>30.1</v>
      </c>
      <c r="S6532">
        <v>22.2</v>
      </c>
      <c r="T6532">
        <v>577</v>
      </c>
      <c r="U6532">
        <v>201</v>
      </c>
      <c r="V6532">
        <v>0</v>
      </c>
      <c r="W6532">
        <v>135</v>
      </c>
      <c r="X6532">
        <v>461</v>
      </c>
      <c r="Y6532">
        <v>0</v>
      </c>
      <c r="Z6532">
        <v>95</v>
      </c>
      <c r="AA6532">
        <v>1</v>
      </c>
      <c r="AB6532">
        <v>0.9193886</v>
      </c>
      <c r="AC6532">
        <v>2.1694629999999999E-2</v>
      </c>
      <c r="AD6532">
        <v>1.0102409999999999</v>
      </c>
      <c r="AE6532">
        <v>0.50923430000000003</v>
      </c>
      <c r="AF6532">
        <v>276.9511</v>
      </c>
      <c r="AG6532">
        <f>IFERROR(AH6532*0.1, "N/A")</f>
        <v>6.2</v>
      </c>
      <c r="AH6532">
        <v>62</v>
      </c>
      <c r="AI6532">
        <v>124.12130000000001</v>
      </c>
      <c r="AJ6532">
        <v>26</v>
      </c>
      <c r="AK6532">
        <v>51</v>
      </c>
    </row>
    <row r="6533" spans="1:37" x14ac:dyDescent="0.3">
      <c r="A6533">
        <v>6532</v>
      </c>
      <c r="B6533">
        <v>53.1</v>
      </c>
      <c r="C6533">
        <v>-5.6174999999999997</v>
      </c>
      <c r="D6533">
        <v>13.9687</v>
      </c>
      <c r="E6533">
        <f>-5.6175-13.9687</f>
        <v>-19.586199999999998</v>
      </c>
      <c r="F6533" t="s">
        <v>9969</v>
      </c>
      <c r="G6533" t="s">
        <v>37</v>
      </c>
      <c r="H6533">
        <v>1990</v>
      </c>
      <c r="I6533">
        <v>26.3</v>
      </c>
      <c r="J6533">
        <v>15.8</v>
      </c>
      <c r="K6533">
        <v>56</v>
      </c>
      <c r="L6533">
        <v>29.34</v>
      </c>
      <c r="M6533">
        <v>39.1</v>
      </c>
      <c r="N6533">
        <v>10.9</v>
      </c>
      <c r="O6533">
        <v>28.2</v>
      </c>
      <c r="P6533">
        <v>26.4</v>
      </c>
      <c r="Q6533">
        <v>23.9</v>
      </c>
      <c r="R6533">
        <v>30.1</v>
      </c>
      <c r="S6533">
        <v>22.2</v>
      </c>
      <c r="T6533">
        <v>577</v>
      </c>
      <c r="U6533">
        <v>201</v>
      </c>
      <c r="V6533">
        <v>0</v>
      </c>
      <c r="W6533">
        <v>135</v>
      </c>
      <c r="X6533">
        <v>461</v>
      </c>
      <c r="Y6533">
        <v>0</v>
      </c>
      <c r="Z6533">
        <v>95</v>
      </c>
      <c r="AA6533">
        <v>1</v>
      </c>
      <c r="AB6533">
        <v>0.9193886</v>
      </c>
      <c r="AC6533">
        <v>2.1694629999999999E-2</v>
      </c>
      <c r="AD6533">
        <v>1.0102409999999999</v>
      </c>
      <c r="AE6533">
        <v>0.50923430000000003</v>
      </c>
      <c r="AF6533">
        <v>276.9511</v>
      </c>
      <c r="AG6533">
        <f>IFERROR(AH6533*0.1, "N/A")</f>
        <v>6.2</v>
      </c>
      <c r="AH6533">
        <v>62</v>
      </c>
      <c r="AI6533">
        <v>124.12130000000001</v>
      </c>
      <c r="AJ6533">
        <v>26</v>
      </c>
      <c r="AK6533">
        <v>51</v>
      </c>
    </row>
    <row r="6534" spans="1:37" x14ac:dyDescent="0.3">
      <c r="A6534">
        <v>6533</v>
      </c>
      <c r="B6534">
        <v>61.7</v>
      </c>
      <c r="C6534">
        <v>-5.4901</v>
      </c>
      <c r="D6534">
        <v>13.9689</v>
      </c>
      <c r="E6534">
        <f>-5.4901-13.9689</f>
        <v>-19.459</v>
      </c>
      <c r="F6534" t="s">
        <v>9970</v>
      </c>
      <c r="G6534" t="s">
        <v>39</v>
      </c>
      <c r="H6534">
        <v>1990</v>
      </c>
      <c r="I6534">
        <v>26.4</v>
      </c>
      <c r="J6534">
        <v>15.6</v>
      </c>
      <c r="K6534">
        <v>55</v>
      </c>
      <c r="L6534">
        <v>29.74</v>
      </c>
      <c r="M6534">
        <v>39.200000000000003</v>
      </c>
      <c r="N6534">
        <v>11</v>
      </c>
      <c r="O6534">
        <v>28.2</v>
      </c>
      <c r="P6534">
        <v>26.6</v>
      </c>
      <c r="Q6534">
        <v>24</v>
      </c>
      <c r="R6534">
        <v>30.2</v>
      </c>
      <c r="S6534">
        <v>22.2</v>
      </c>
      <c r="T6534">
        <v>568</v>
      </c>
      <c r="U6534">
        <v>197</v>
      </c>
      <c r="V6534">
        <v>0</v>
      </c>
      <c r="W6534">
        <v>135</v>
      </c>
      <c r="X6534">
        <v>452</v>
      </c>
      <c r="Y6534">
        <v>1</v>
      </c>
      <c r="Z6534">
        <v>96</v>
      </c>
      <c r="AA6534">
        <v>1</v>
      </c>
      <c r="AB6534">
        <v>4.2085509999999999</v>
      </c>
      <c r="AC6534">
        <v>0.1988066</v>
      </c>
      <c r="AD6534">
        <v>2.9195890000000002</v>
      </c>
      <c r="AE6534">
        <v>0.40932550000000001</v>
      </c>
      <c r="AF6534">
        <v>278.46640000000002</v>
      </c>
      <c r="AG6534">
        <f>IFERROR(AH6534*0.1, "N/A")</f>
        <v>6.4</v>
      </c>
      <c r="AH6534">
        <v>64</v>
      </c>
      <c r="AI6534">
        <v>193.23859999999999</v>
      </c>
      <c r="AJ6534">
        <v>32</v>
      </c>
      <c r="AK6534">
        <v>46</v>
      </c>
    </row>
    <row r="6535" spans="1:37" x14ac:dyDescent="0.3">
      <c r="A6535">
        <v>6534</v>
      </c>
      <c r="B6535">
        <v>71.099999999999994</v>
      </c>
      <c r="C6535">
        <v>-5.4901</v>
      </c>
      <c r="D6535">
        <v>13.9689</v>
      </c>
      <c r="E6535">
        <f>-5.4901-13.9689</f>
        <v>-19.459</v>
      </c>
      <c r="F6535" t="s">
        <v>9971</v>
      </c>
      <c r="G6535" t="s">
        <v>37</v>
      </c>
      <c r="H6535">
        <v>1990</v>
      </c>
      <c r="I6535">
        <v>26.4</v>
      </c>
      <c r="J6535">
        <v>15.6</v>
      </c>
      <c r="K6535">
        <v>55</v>
      </c>
      <c r="L6535">
        <v>29.74</v>
      </c>
      <c r="M6535">
        <v>39.200000000000003</v>
      </c>
      <c r="N6535">
        <v>11</v>
      </c>
      <c r="O6535">
        <v>28.2</v>
      </c>
      <c r="P6535">
        <v>26.6</v>
      </c>
      <c r="Q6535">
        <v>24</v>
      </c>
      <c r="R6535">
        <v>30.2</v>
      </c>
      <c r="S6535">
        <v>22.2</v>
      </c>
      <c r="T6535">
        <v>568</v>
      </c>
      <c r="U6535">
        <v>197</v>
      </c>
      <c r="V6535">
        <v>0</v>
      </c>
      <c r="W6535">
        <v>135</v>
      </c>
      <c r="X6535">
        <v>452</v>
      </c>
      <c r="Y6535">
        <v>1</v>
      </c>
      <c r="Z6535">
        <v>96</v>
      </c>
      <c r="AA6535">
        <v>1</v>
      </c>
      <c r="AB6535">
        <v>4.2085509999999999</v>
      </c>
      <c r="AC6535">
        <v>0.1988066</v>
      </c>
      <c r="AD6535">
        <v>2.9195890000000002</v>
      </c>
      <c r="AE6535">
        <v>0.40932550000000001</v>
      </c>
      <c r="AF6535">
        <v>278.46640000000002</v>
      </c>
      <c r="AG6535">
        <f>IFERROR(AH6535*0.1, "N/A")</f>
        <v>6.4</v>
      </c>
      <c r="AH6535">
        <v>64</v>
      </c>
      <c r="AI6535">
        <v>193.23859999999999</v>
      </c>
      <c r="AJ6535">
        <v>32</v>
      </c>
      <c r="AK6535">
        <v>46</v>
      </c>
    </row>
    <row r="6536" spans="1:37" x14ac:dyDescent="0.3">
      <c r="A6536">
        <v>6535</v>
      </c>
      <c r="B6536">
        <v>92.3</v>
      </c>
      <c r="C6536">
        <v>-5.0847699999999998</v>
      </c>
      <c r="D6536">
        <v>13.9704</v>
      </c>
      <c r="E6536">
        <f>-5.08477-13.9704</f>
        <v>-19.05517</v>
      </c>
      <c r="F6536" t="s">
        <v>9972</v>
      </c>
      <c r="G6536" t="s">
        <v>39</v>
      </c>
      <c r="H6536">
        <v>2006</v>
      </c>
      <c r="I6536">
        <v>26.9</v>
      </c>
      <c r="J6536">
        <v>14.7</v>
      </c>
      <c r="K6536">
        <v>53</v>
      </c>
      <c r="L6536">
        <v>30.8</v>
      </c>
      <c r="M6536">
        <v>39.6</v>
      </c>
      <c r="N6536">
        <v>11.9</v>
      </c>
      <c r="O6536">
        <v>27.7</v>
      </c>
      <c r="P6536">
        <v>27.2</v>
      </c>
      <c r="Q6536">
        <v>24.4</v>
      </c>
      <c r="R6536">
        <v>30.9</v>
      </c>
      <c r="S6536">
        <v>22.6</v>
      </c>
      <c r="T6536">
        <v>579</v>
      </c>
      <c r="U6536">
        <v>206</v>
      </c>
      <c r="V6536">
        <v>0</v>
      </c>
      <c r="W6536">
        <v>136</v>
      </c>
      <c r="X6536">
        <v>459</v>
      </c>
      <c r="Y6536">
        <v>1</v>
      </c>
      <c r="Z6536">
        <v>100</v>
      </c>
      <c r="AA6536">
        <v>1</v>
      </c>
      <c r="AB6536">
        <v>0.1401435</v>
      </c>
      <c r="AC6536">
        <v>0.3198819</v>
      </c>
      <c r="AD6536">
        <v>1.309285</v>
      </c>
      <c r="AE6536">
        <v>0.29131309999999999</v>
      </c>
      <c r="AF6536">
        <v>271.14</v>
      </c>
      <c r="AG6536">
        <f>IFERROR(AH6536*0.1, "N/A")</f>
        <v>6.794435</v>
      </c>
      <c r="AH6536">
        <v>67.94435</v>
      </c>
      <c r="AI6536">
        <v>86.133660000000006</v>
      </c>
      <c r="AJ6536">
        <v>18.969650000000001</v>
      </c>
      <c r="AK6536">
        <v>56.993250000000003</v>
      </c>
    </row>
    <row r="6537" spans="1:37" x14ac:dyDescent="0.3">
      <c r="A6537">
        <v>6536</v>
      </c>
      <c r="B6537">
        <v>88.9</v>
      </c>
      <c r="C6537">
        <v>-5.0847699999999998</v>
      </c>
      <c r="D6537">
        <v>13.9704</v>
      </c>
      <c r="E6537">
        <f>-5.08477-13.9704</f>
        <v>-19.05517</v>
      </c>
      <c r="F6537" t="s">
        <v>9973</v>
      </c>
      <c r="G6537" t="s">
        <v>37</v>
      </c>
      <c r="H6537">
        <v>2006</v>
      </c>
      <c r="I6537">
        <v>26.9</v>
      </c>
      <c r="J6537">
        <v>14.7</v>
      </c>
      <c r="K6537">
        <v>53</v>
      </c>
      <c r="L6537">
        <v>30.8</v>
      </c>
      <c r="M6537">
        <v>39.6</v>
      </c>
      <c r="N6537">
        <v>11.9</v>
      </c>
      <c r="O6537">
        <v>27.7</v>
      </c>
      <c r="P6537">
        <v>27.2</v>
      </c>
      <c r="Q6537">
        <v>24.4</v>
      </c>
      <c r="R6537">
        <v>30.9</v>
      </c>
      <c r="S6537">
        <v>22.6</v>
      </c>
      <c r="T6537">
        <v>579</v>
      </c>
      <c r="U6537">
        <v>206</v>
      </c>
      <c r="V6537">
        <v>0</v>
      </c>
      <c r="W6537">
        <v>136</v>
      </c>
      <c r="X6537">
        <v>459</v>
      </c>
      <c r="Y6537">
        <v>1</v>
      </c>
      <c r="Z6537">
        <v>100</v>
      </c>
      <c r="AA6537">
        <v>1</v>
      </c>
      <c r="AB6537">
        <v>0.1401435</v>
      </c>
      <c r="AC6537">
        <v>0.3198819</v>
      </c>
      <c r="AD6537">
        <v>1.309285</v>
      </c>
      <c r="AE6537">
        <v>0.29131309999999999</v>
      </c>
      <c r="AF6537">
        <v>271.14</v>
      </c>
      <c r="AG6537">
        <f>IFERROR(AH6537*0.1, "N/A")</f>
        <v>6.794435</v>
      </c>
      <c r="AH6537">
        <v>67.94435</v>
      </c>
      <c r="AI6537">
        <v>86.133660000000006</v>
      </c>
      <c r="AJ6537">
        <v>18.969650000000001</v>
      </c>
      <c r="AK6537">
        <v>56.993250000000003</v>
      </c>
    </row>
    <row r="6538" spans="1:37" x14ac:dyDescent="0.3">
      <c r="A6538">
        <v>6537</v>
      </c>
      <c r="B6538">
        <v>70.099999999999994</v>
      </c>
      <c r="C6538">
        <v>-5.6131000000000002</v>
      </c>
      <c r="D6538">
        <v>13.975199999999999</v>
      </c>
      <c r="E6538">
        <f>-5.6131-13.9752</f>
        <v>-19.5883</v>
      </c>
      <c r="F6538" t="s">
        <v>9974</v>
      </c>
      <c r="G6538" t="s">
        <v>39</v>
      </c>
      <c r="H6538">
        <v>1990</v>
      </c>
      <c r="I6538">
        <v>26.3</v>
      </c>
      <c r="J6538">
        <v>15.8</v>
      </c>
      <c r="K6538">
        <v>56</v>
      </c>
      <c r="L6538">
        <v>29.542809999999999</v>
      </c>
      <c r="M6538">
        <v>39.1</v>
      </c>
      <c r="N6538">
        <v>10.9</v>
      </c>
      <c r="O6538">
        <v>28.2</v>
      </c>
      <c r="P6538">
        <v>26.4</v>
      </c>
      <c r="Q6538">
        <v>23.9</v>
      </c>
      <c r="R6538">
        <v>30.1</v>
      </c>
      <c r="S6538">
        <v>22.2</v>
      </c>
      <c r="T6538">
        <v>574.78660000000002</v>
      </c>
      <c r="U6538">
        <v>200</v>
      </c>
      <c r="V6538">
        <v>0</v>
      </c>
      <c r="W6538">
        <v>136.8202</v>
      </c>
      <c r="X6538">
        <v>459.39330000000001</v>
      </c>
      <c r="Y6538">
        <v>0</v>
      </c>
      <c r="Z6538">
        <v>94.393280000000004</v>
      </c>
      <c r="AA6538">
        <v>1</v>
      </c>
      <c r="AB6538">
        <v>1.408398</v>
      </c>
      <c r="AC6538">
        <v>8.4252389999999993E-3</v>
      </c>
      <c r="AD6538">
        <v>3.2070639999999999</v>
      </c>
      <c r="AE6538">
        <v>0.56541229999999998</v>
      </c>
      <c r="AF6538">
        <v>279.07060000000001</v>
      </c>
      <c r="AG6538">
        <f>IFERROR(AH6538*0.1, "N/A")</f>
        <v>6.1189920000000004</v>
      </c>
      <c r="AH6538">
        <v>61.189920000000001</v>
      </c>
      <c r="AI6538">
        <v>189.47030000000001</v>
      </c>
      <c r="AJ6538">
        <v>22.662179999999999</v>
      </c>
      <c r="AK6538">
        <v>51.847059999999999</v>
      </c>
    </row>
    <row r="6539" spans="1:37" x14ac:dyDescent="0.3">
      <c r="A6539">
        <v>6538</v>
      </c>
      <c r="B6539">
        <v>73</v>
      </c>
      <c r="C6539">
        <v>-5.6131000000000002</v>
      </c>
      <c r="D6539">
        <v>13.975199999999999</v>
      </c>
      <c r="E6539">
        <f>-5.6131-13.9752</f>
        <v>-19.5883</v>
      </c>
      <c r="F6539" t="s">
        <v>9975</v>
      </c>
      <c r="G6539" t="s">
        <v>37</v>
      </c>
      <c r="H6539">
        <v>1990</v>
      </c>
      <c r="I6539">
        <v>26.3</v>
      </c>
      <c r="J6539">
        <v>15.8</v>
      </c>
      <c r="K6539">
        <v>56</v>
      </c>
      <c r="L6539">
        <v>29.542809999999999</v>
      </c>
      <c r="M6539">
        <v>39.1</v>
      </c>
      <c r="N6539">
        <v>10.9</v>
      </c>
      <c r="O6539">
        <v>28.2</v>
      </c>
      <c r="P6539">
        <v>26.4</v>
      </c>
      <c r="Q6539">
        <v>23.9</v>
      </c>
      <c r="R6539">
        <v>30.1</v>
      </c>
      <c r="S6539">
        <v>22.2</v>
      </c>
      <c r="T6539">
        <v>574.78660000000002</v>
      </c>
      <c r="U6539">
        <v>200</v>
      </c>
      <c r="V6539">
        <v>0</v>
      </c>
      <c r="W6539">
        <v>136.8202</v>
      </c>
      <c r="X6539">
        <v>459.39330000000001</v>
      </c>
      <c r="Y6539">
        <v>0</v>
      </c>
      <c r="Z6539">
        <v>94.393280000000004</v>
      </c>
      <c r="AA6539">
        <v>1</v>
      </c>
      <c r="AB6539">
        <v>1.408398</v>
      </c>
      <c r="AC6539">
        <v>8.4252389999999993E-3</v>
      </c>
      <c r="AD6539">
        <v>3.2070639999999999</v>
      </c>
      <c r="AE6539">
        <v>0.56541229999999998</v>
      </c>
      <c r="AF6539">
        <v>279.07060000000001</v>
      </c>
      <c r="AG6539">
        <f>IFERROR(AH6539*0.1, "N/A")</f>
        <v>6.1189920000000004</v>
      </c>
      <c r="AH6539">
        <v>61.189920000000001</v>
      </c>
      <c r="AI6539">
        <v>189.47030000000001</v>
      </c>
      <c r="AJ6539">
        <v>22.662179999999999</v>
      </c>
      <c r="AK6539">
        <v>51.847059999999999</v>
      </c>
    </row>
    <row r="6540" spans="1:37" x14ac:dyDescent="0.3">
      <c r="A6540">
        <v>6539</v>
      </c>
      <c r="B6540">
        <v>38.4</v>
      </c>
      <c r="C6540">
        <v>-5.4829999999999997</v>
      </c>
      <c r="D6540">
        <v>13.977399999999999</v>
      </c>
      <c r="E6540">
        <f>-5.483-13.9774</f>
        <v>-19.4604</v>
      </c>
      <c r="F6540" t="s">
        <v>9976</v>
      </c>
      <c r="G6540" t="s">
        <v>39</v>
      </c>
      <c r="H6540">
        <v>1990</v>
      </c>
      <c r="I6540">
        <v>26.4</v>
      </c>
      <c r="J6540">
        <v>15.6</v>
      </c>
      <c r="K6540">
        <v>55</v>
      </c>
      <c r="L6540">
        <v>29.689800000000002</v>
      </c>
      <c r="M6540">
        <v>39.200000000000003</v>
      </c>
      <c r="N6540">
        <v>11.07737</v>
      </c>
      <c r="O6540">
        <v>28.122640000000001</v>
      </c>
      <c r="P6540">
        <v>26.6</v>
      </c>
      <c r="Q6540">
        <v>24</v>
      </c>
      <c r="R6540">
        <v>30.2</v>
      </c>
      <c r="S6540">
        <v>22.2</v>
      </c>
      <c r="T6540">
        <v>566.22640000000001</v>
      </c>
      <c r="U6540">
        <v>197</v>
      </c>
      <c r="V6540">
        <v>0</v>
      </c>
      <c r="W6540">
        <v>135</v>
      </c>
      <c r="X6540">
        <v>451.22640000000001</v>
      </c>
      <c r="Y6540">
        <v>1</v>
      </c>
      <c r="Z6540">
        <v>95</v>
      </c>
      <c r="AA6540">
        <v>1</v>
      </c>
      <c r="AB6540">
        <v>1.780065</v>
      </c>
      <c r="AC6540">
        <v>1.480471E-2</v>
      </c>
      <c r="AD6540">
        <v>0.74014139999999995</v>
      </c>
      <c r="AE6540">
        <v>0.61161449999999995</v>
      </c>
      <c r="AF6540">
        <v>277.81760000000003</v>
      </c>
      <c r="AG6540">
        <f>IFERROR(AH6540*0.1, "N/A")</f>
        <v>6.2773650000000005</v>
      </c>
      <c r="AH6540">
        <v>62.773650000000004</v>
      </c>
      <c r="AI6540">
        <v>199.53149999999999</v>
      </c>
      <c r="AJ6540">
        <v>29.35811</v>
      </c>
      <c r="AK6540">
        <v>47.641889999999997</v>
      </c>
    </row>
    <row r="6541" spans="1:37" x14ac:dyDescent="0.3">
      <c r="A6541">
        <v>6540</v>
      </c>
      <c r="B6541">
        <v>65.2</v>
      </c>
      <c r="C6541">
        <v>-5.4829999999999997</v>
      </c>
      <c r="D6541">
        <v>13.977399999999999</v>
      </c>
      <c r="E6541">
        <f>-5.483-13.9774</f>
        <v>-19.4604</v>
      </c>
      <c r="F6541" t="s">
        <v>9977</v>
      </c>
      <c r="G6541" t="s">
        <v>37</v>
      </c>
      <c r="H6541">
        <v>1990</v>
      </c>
      <c r="I6541">
        <v>26.4</v>
      </c>
      <c r="J6541">
        <v>15.6</v>
      </c>
      <c r="K6541">
        <v>55</v>
      </c>
      <c r="L6541">
        <v>29.689800000000002</v>
      </c>
      <c r="M6541">
        <v>39.200000000000003</v>
      </c>
      <c r="N6541">
        <v>11.07737</v>
      </c>
      <c r="O6541">
        <v>28.122640000000001</v>
      </c>
      <c r="P6541">
        <v>26.6</v>
      </c>
      <c r="Q6541">
        <v>24</v>
      </c>
      <c r="R6541">
        <v>30.2</v>
      </c>
      <c r="S6541">
        <v>22.2</v>
      </c>
      <c r="T6541">
        <v>566.22640000000001</v>
      </c>
      <c r="U6541">
        <v>197</v>
      </c>
      <c r="V6541">
        <v>0</v>
      </c>
      <c r="W6541">
        <v>135</v>
      </c>
      <c r="X6541">
        <v>451.22640000000001</v>
      </c>
      <c r="Y6541">
        <v>1</v>
      </c>
      <c r="Z6541">
        <v>95</v>
      </c>
      <c r="AA6541">
        <v>1</v>
      </c>
      <c r="AB6541">
        <v>1.780065</v>
      </c>
      <c r="AC6541">
        <v>1.480471E-2</v>
      </c>
      <c r="AD6541">
        <v>0.74014139999999995</v>
      </c>
      <c r="AE6541">
        <v>0.61161449999999995</v>
      </c>
      <c r="AF6541">
        <v>277.81760000000003</v>
      </c>
      <c r="AG6541">
        <f>IFERROR(AH6541*0.1, "N/A")</f>
        <v>6.2773650000000005</v>
      </c>
      <c r="AH6541">
        <v>62.773650000000004</v>
      </c>
      <c r="AI6541">
        <v>199.53149999999999</v>
      </c>
      <c r="AJ6541">
        <v>29.35811</v>
      </c>
      <c r="AK6541">
        <v>47.641889999999997</v>
      </c>
    </row>
    <row r="6542" spans="1:37" x14ac:dyDescent="0.3">
      <c r="A6542">
        <v>6541</v>
      </c>
      <c r="B6542">
        <v>3</v>
      </c>
      <c r="C6542">
        <v>-3.5811000000000002</v>
      </c>
      <c r="D6542">
        <v>13.9795</v>
      </c>
      <c r="E6542">
        <f>-3.5811-13.9795</f>
        <v>-17.560600000000001</v>
      </c>
      <c r="F6542" t="s">
        <v>9978</v>
      </c>
      <c r="G6542" t="s">
        <v>39</v>
      </c>
      <c r="H6542">
        <v>1990</v>
      </c>
      <c r="I6542">
        <v>27.4</v>
      </c>
      <c r="J6542">
        <v>13.8</v>
      </c>
      <c r="K6542">
        <v>54</v>
      </c>
      <c r="L6542">
        <v>29.49</v>
      </c>
      <c r="M6542">
        <v>39.299999999999997</v>
      </c>
      <c r="N6542">
        <v>14.1</v>
      </c>
      <c r="O6542">
        <v>25.2</v>
      </c>
      <c r="P6542">
        <v>27.3</v>
      </c>
      <c r="Q6542">
        <v>23.4</v>
      </c>
      <c r="R6542">
        <v>31.3</v>
      </c>
      <c r="S6542">
        <v>23.4</v>
      </c>
      <c r="T6542">
        <v>534</v>
      </c>
      <c r="U6542">
        <v>175</v>
      </c>
      <c r="V6542">
        <v>0</v>
      </c>
      <c r="W6542">
        <v>130</v>
      </c>
      <c r="X6542">
        <v>410</v>
      </c>
      <c r="Y6542">
        <v>0</v>
      </c>
      <c r="Z6542">
        <v>97</v>
      </c>
      <c r="AA6542">
        <v>0</v>
      </c>
      <c r="AB6542">
        <v>1.3343320000000001</v>
      </c>
      <c r="AC6542">
        <v>4.855367E-2</v>
      </c>
      <c r="AD6542">
        <v>1.1073500000000001</v>
      </c>
      <c r="AE6542">
        <v>0.48645949999999999</v>
      </c>
      <c r="AF6542">
        <v>294.15320000000003</v>
      </c>
      <c r="AG6542">
        <f>IFERROR(AH6542*0.1, "N/A")</f>
        <v>6.6117850000000011</v>
      </c>
      <c r="AH6542">
        <v>66.117850000000004</v>
      </c>
      <c r="AI6542">
        <v>151.7337</v>
      </c>
      <c r="AJ6542">
        <v>11.76431</v>
      </c>
      <c r="AK6542">
        <v>73.353539999999995</v>
      </c>
    </row>
    <row r="6543" spans="1:37" x14ac:dyDescent="0.3">
      <c r="A6543">
        <v>6542</v>
      </c>
      <c r="B6543">
        <v>0</v>
      </c>
      <c r="C6543">
        <v>-3.5811000000000002</v>
      </c>
      <c r="D6543">
        <v>13.9795</v>
      </c>
      <c r="E6543">
        <f>-3.5811-13.9795</f>
        <v>-17.560600000000001</v>
      </c>
      <c r="F6543" t="s">
        <v>9979</v>
      </c>
      <c r="G6543" t="s">
        <v>37</v>
      </c>
      <c r="H6543">
        <v>1990</v>
      </c>
      <c r="I6543">
        <v>27.4</v>
      </c>
      <c r="J6543">
        <v>13.8</v>
      </c>
      <c r="K6543">
        <v>54</v>
      </c>
      <c r="L6543">
        <v>29.49</v>
      </c>
      <c r="M6543">
        <v>39.299999999999997</v>
      </c>
      <c r="N6543">
        <v>14.1</v>
      </c>
      <c r="O6543">
        <v>25.2</v>
      </c>
      <c r="P6543">
        <v>27.3</v>
      </c>
      <c r="Q6543">
        <v>23.4</v>
      </c>
      <c r="R6543">
        <v>31.3</v>
      </c>
      <c r="S6543">
        <v>23.4</v>
      </c>
      <c r="T6543">
        <v>534</v>
      </c>
      <c r="U6543">
        <v>175</v>
      </c>
      <c r="V6543">
        <v>0</v>
      </c>
      <c r="W6543">
        <v>130</v>
      </c>
      <c r="X6543">
        <v>410</v>
      </c>
      <c r="Y6543">
        <v>0</v>
      </c>
      <c r="Z6543">
        <v>97</v>
      </c>
      <c r="AA6543">
        <v>0</v>
      </c>
      <c r="AB6543">
        <v>1.3343320000000001</v>
      </c>
      <c r="AC6543">
        <v>4.855367E-2</v>
      </c>
      <c r="AD6543">
        <v>1.1073500000000001</v>
      </c>
      <c r="AE6543">
        <v>0.48645949999999999</v>
      </c>
      <c r="AF6543">
        <v>294.15320000000003</v>
      </c>
      <c r="AG6543">
        <f>IFERROR(AH6543*0.1, "N/A")</f>
        <v>6.6117850000000011</v>
      </c>
      <c r="AH6543">
        <v>66.117850000000004</v>
      </c>
      <c r="AI6543">
        <v>151.7337</v>
      </c>
      <c r="AJ6543">
        <v>11.76431</v>
      </c>
      <c r="AK6543">
        <v>73.353539999999995</v>
      </c>
    </row>
    <row r="6544" spans="1:37" x14ac:dyDescent="0.3">
      <c r="A6544">
        <v>6543</v>
      </c>
      <c r="B6544">
        <v>73</v>
      </c>
      <c r="C6544">
        <v>-5.4333299999999998</v>
      </c>
      <c r="D6544">
        <v>13.9833</v>
      </c>
      <c r="E6544">
        <f>-5.43333-13.9833</f>
        <v>-19.416629999999998</v>
      </c>
      <c r="F6544" t="s">
        <v>9980</v>
      </c>
      <c r="G6544" t="s">
        <v>39</v>
      </c>
      <c r="H6544">
        <v>1990</v>
      </c>
      <c r="I6544">
        <v>26.5</v>
      </c>
      <c r="J6544">
        <v>15.5</v>
      </c>
      <c r="K6544">
        <v>55</v>
      </c>
      <c r="L6544">
        <v>29.727460000000001</v>
      </c>
      <c r="M6544">
        <v>39.261780000000002</v>
      </c>
      <c r="N6544">
        <v>11.17155</v>
      </c>
      <c r="O6544">
        <v>28.090240000000001</v>
      </c>
      <c r="P6544">
        <v>26.67155</v>
      </c>
      <c r="Q6544">
        <v>24.071549999999998</v>
      </c>
      <c r="R6544">
        <v>30.3</v>
      </c>
      <c r="S6544">
        <v>22.3</v>
      </c>
      <c r="T6544">
        <v>563.76430000000005</v>
      </c>
      <c r="U6544">
        <v>197</v>
      </c>
      <c r="V6544">
        <v>0</v>
      </c>
      <c r="W6544">
        <v>136.8535</v>
      </c>
      <c r="X6544">
        <v>450</v>
      </c>
      <c r="Y6544">
        <v>0.38215490000000002</v>
      </c>
      <c r="Z6544">
        <v>95.382149999999996</v>
      </c>
      <c r="AA6544">
        <v>1</v>
      </c>
      <c r="AB6544">
        <v>1.029121</v>
      </c>
      <c r="AC6544">
        <v>8.3972249999999995E-3</v>
      </c>
      <c r="AD6544">
        <v>0.69289690000000004</v>
      </c>
      <c r="AE6544">
        <v>0.64834990000000003</v>
      </c>
      <c r="AF6544">
        <v>276.06729999999999</v>
      </c>
      <c r="AG6544">
        <f>IFERROR(AH6544*0.1, "N/A")</f>
        <v>6.4</v>
      </c>
      <c r="AH6544">
        <v>64</v>
      </c>
      <c r="AI6544">
        <v>110.276</v>
      </c>
      <c r="AJ6544">
        <v>29.49832</v>
      </c>
      <c r="AK6544">
        <v>47</v>
      </c>
    </row>
    <row r="6545" spans="1:37" x14ac:dyDescent="0.3">
      <c r="A6545">
        <v>6544</v>
      </c>
      <c r="B6545">
        <v>34.299999999999997</v>
      </c>
      <c r="C6545">
        <v>-5.4333299999999998</v>
      </c>
      <c r="D6545">
        <v>13.9833</v>
      </c>
      <c r="E6545">
        <f>-5.43333-13.9833</f>
        <v>-19.416629999999998</v>
      </c>
      <c r="F6545" t="s">
        <v>9981</v>
      </c>
      <c r="G6545" t="s">
        <v>37</v>
      </c>
      <c r="H6545">
        <v>1990</v>
      </c>
      <c r="I6545">
        <v>26.5</v>
      </c>
      <c r="J6545">
        <v>15.5</v>
      </c>
      <c r="K6545">
        <v>55</v>
      </c>
      <c r="L6545">
        <v>29.727460000000001</v>
      </c>
      <c r="M6545">
        <v>39.261780000000002</v>
      </c>
      <c r="N6545">
        <v>11.17155</v>
      </c>
      <c r="O6545">
        <v>28.090240000000001</v>
      </c>
      <c r="P6545">
        <v>26.67155</v>
      </c>
      <c r="Q6545">
        <v>24.071549999999998</v>
      </c>
      <c r="R6545">
        <v>30.3</v>
      </c>
      <c r="S6545">
        <v>22.3</v>
      </c>
      <c r="T6545">
        <v>563.76430000000005</v>
      </c>
      <c r="U6545">
        <v>197</v>
      </c>
      <c r="V6545">
        <v>0</v>
      </c>
      <c r="W6545">
        <v>136.8535</v>
      </c>
      <c r="X6545">
        <v>450</v>
      </c>
      <c r="Y6545">
        <v>0.38215490000000002</v>
      </c>
      <c r="Z6545">
        <v>95.382149999999996</v>
      </c>
      <c r="AA6545">
        <v>1</v>
      </c>
      <c r="AB6545">
        <v>1.029121</v>
      </c>
      <c r="AC6545">
        <v>8.3972249999999995E-3</v>
      </c>
      <c r="AD6545">
        <v>0.69289690000000004</v>
      </c>
      <c r="AE6545">
        <v>0.64834990000000003</v>
      </c>
      <c r="AF6545">
        <v>276.06729999999999</v>
      </c>
      <c r="AG6545">
        <f>IFERROR(AH6545*0.1, "N/A")</f>
        <v>6.4</v>
      </c>
      <c r="AH6545">
        <v>64</v>
      </c>
      <c r="AI6545">
        <v>110.276</v>
      </c>
      <c r="AJ6545">
        <v>29.49832</v>
      </c>
      <c r="AK6545">
        <v>47</v>
      </c>
    </row>
    <row r="6546" spans="1:37" x14ac:dyDescent="0.3">
      <c r="A6546">
        <v>6545</v>
      </c>
      <c r="B6546">
        <v>1.3</v>
      </c>
      <c r="C6546">
        <v>-3.5615000000000001</v>
      </c>
      <c r="D6546">
        <v>13.9924</v>
      </c>
      <c r="E6546">
        <f>-3.5615-13.9924</f>
        <v>-17.553899999999999</v>
      </c>
      <c r="F6546" t="s">
        <v>9982</v>
      </c>
      <c r="G6546" t="s">
        <v>39</v>
      </c>
      <c r="H6546">
        <v>1990</v>
      </c>
      <c r="I6546">
        <v>27.5</v>
      </c>
      <c r="J6546">
        <v>13.8</v>
      </c>
      <c r="K6546">
        <v>54</v>
      </c>
      <c r="L6546">
        <v>29.29</v>
      </c>
      <c r="M6546">
        <v>39.299999999999997</v>
      </c>
      <c r="N6546">
        <v>14.2</v>
      </c>
      <c r="O6546">
        <v>25.1</v>
      </c>
      <c r="P6546">
        <v>27.4</v>
      </c>
      <c r="Q6546">
        <v>23.5</v>
      </c>
      <c r="R6546">
        <v>31.4</v>
      </c>
      <c r="S6546">
        <v>23.5</v>
      </c>
      <c r="T6546">
        <v>531</v>
      </c>
      <c r="U6546">
        <v>175</v>
      </c>
      <c r="V6546">
        <v>0</v>
      </c>
      <c r="W6546">
        <v>130</v>
      </c>
      <c r="X6546">
        <v>409</v>
      </c>
      <c r="Y6546">
        <v>0</v>
      </c>
      <c r="Z6546">
        <v>96</v>
      </c>
      <c r="AA6546">
        <v>0</v>
      </c>
      <c r="AB6546">
        <v>2.0227179999999998</v>
      </c>
      <c r="AC6546">
        <v>9.137404E-3</v>
      </c>
      <c r="AD6546">
        <v>1.760786</v>
      </c>
      <c r="AE6546">
        <v>0.34240930000000003</v>
      </c>
      <c r="AF6546">
        <v>285.26260000000002</v>
      </c>
      <c r="AG6546">
        <f>IFERROR(AH6546*0.1, "N/A")</f>
        <v>6.5934340000000011</v>
      </c>
      <c r="AH6546">
        <v>65.934340000000006</v>
      </c>
      <c r="AI6546">
        <v>178.1242</v>
      </c>
      <c r="AJ6546">
        <v>11</v>
      </c>
      <c r="AK6546">
        <v>77.065659999999994</v>
      </c>
    </row>
    <row r="6547" spans="1:37" x14ac:dyDescent="0.3">
      <c r="A6547">
        <v>6546</v>
      </c>
      <c r="B6547">
        <v>0</v>
      </c>
      <c r="C6547">
        <v>-3.5615000000000001</v>
      </c>
      <c r="D6547">
        <v>13.9924</v>
      </c>
      <c r="E6547">
        <f>-3.5615-13.9924</f>
        <v>-17.553899999999999</v>
      </c>
      <c r="F6547" t="s">
        <v>9983</v>
      </c>
      <c r="G6547" t="s">
        <v>37</v>
      </c>
      <c r="H6547">
        <v>1990</v>
      </c>
      <c r="I6547">
        <v>27.5</v>
      </c>
      <c r="J6547">
        <v>13.8</v>
      </c>
      <c r="K6547">
        <v>54</v>
      </c>
      <c r="L6547">
        <v>29.29</v>
      </c>
      <c r="M6547">
        <v>39.299999999999997</v>
      </c>
      <c r="N6547">
        <v>14.2</v>
      </c>
      <c r="O6547">
        <v>25.1</v>
      </c>
      <c r="P6547">
        <v>27.4</v>
      </c>
      <c r="Q6547">
        <v>23.5</v>
      </c>
      <c r="R6547">
        <v>31.4</v>
      </c>
      <c r="S6547">
        <v>23.5</v>
      </c>
      <c r="T6547">
        <v>531</v>
      </c>
      <c r="U6547">
        <v>175</v>
      </c>
      <c r="V6547">
        <v>0</v>
      </c>
      <c r="W6547">
        <v>130</v>
      </c>
      <c r="X6547">
        <v>409</v>
      </c>
      <c r="Y6547">
        <v>0</v>
      </c>
      <c r="Z6547">
        <v>96</v>
      </c>
      <c r="AA6547">
        <v>0</v>
      </c>
      <c r="AB6547">
        <v>2.0227179999999998</v>
      </c>
      <c r="AC6547">
        <v>9.137404E-3</v>
      </c>
      <c r="AD6547">
        <v>1.760786</v>
      </c>
      <c r="AE6547">
        <v>0.34240930000000003</v>
      </c>
      <c r="AF6547">
        <v>285.26260000000002</v>
      </c>
      <c r="AG6547">
        <f>IFERROR(AH6547*0.1, "N/A")</f>
        <v>6.5934340000000011</v>
      </c>
      <c r="AH6547">
        <v>65.934340000000006</v>
      </c>
      <c r="AI6547">
        <v>178.1242</v>
      </c>
      <c r="AJ6547">
        <v>11</v>
      </c>
      <c r="AK6547">
        <v>77.065659999999994</v>
      </c>
    </row>
    <row r="6548" spans="1:37" x14ac:dyDescent="0.3">
      <c r="A6548">
        <v>6547</v>
      </c>
      <c r="B6548">
        <v>6</v>
      </c>
      <c r="C6548">
        <v>-3.1762100000000002</v>
      </c>
      <c r="D6548">
        <v>14.009</v>
      </c>
      <c r="E6548">
        <f>-3.17621-14.009</f>
        <v>-17.185210000000001</v>
      </c>
      <c r="F6548" t="s">
        <v>9984</v>
      </c>
      <c r="G6548" t="s">
        <v>39</v>
      </c>
      <c r="H6548">
        <v>1990</v>
      </c>
      <c r="I6548">
        <v>28.1</v>
      </c>
      <c r="J6548">
        <v>13.8</v>
      </c>
      <c r="K6548">
        <v>56</v>
      </c>
      <c r="L6548">
        <v>28.550750000000001</v>
      </c>
      <c r="M6548">
        <v>39.700000000000003</v>
      </c>
      <c r="N6548">
        <v>15.1</v>
      </c>
      <c r="O6548">
        <v>24.6</v>
      </c>
      <c r="P6548">
        <v>27.79748</v>
      </c>
      <c r="Q6548">
        <v>25.9</v>
      </c>
      <c r="R6548">
        <v>31.9</v>
      </c>
      <c r="S6548">
        <v>24.2</v>
      </c>
      <c r="T6548">
        <v>524</v>
      </c>
      <c r="U6548">
        <v>171</v>
      </c>
      <c r="V6548">
        <v>0</v>
      </c>
      <c r="W6548">
        <v>130</v>
      </c>
      <c r="X6548">
        <v>400</v>
      </c>
      <c r="Y6548">
        <v>1</v>
      </c>
      <c r="Z6548">
        <v>98</v>
      </c>
      <c r="AA6548">
        <v>1</v>
      </c>
      <c r="AB6548">
        <v>1.123335</v>
      </c>
      <c r="AC6548">
        <v>8.5769639999999994E-3</v>
      </c>
      <c r="AD6548">
        <v>1.872622</v>
      </c>
      <c r="AE6548">
        <v>0.60933179999999998</v>
      </c>
      <c r="AF6548">
        <v>260.505</v>
      </c>
      <c r="AG6548">
        <f>IFERROR(AH6548*0.1, "N/A")</f>
        <v>6.6000000000000005</v>
      </c>
      <c r="AH6548">
        <v>66</v>
      </c>
      <c r="AI6548">
        <v>117.54170000000001</v>
      </c>
      <c r="AJ6548">
        <v>10.00839</v>
      </c>
      <c r="AK6548">
        <v>79.991609999999994</v>
      </c>
    </row>
    <row r="6549" spans="1:37" x14ac:dyDescent="0.3">
      <c r="A6549">
        <v>6548</v>
      </c>
      <c r="B6549">
        <v>0</v>
      </c>
      <c r="C6549">
        <v>-3.1762100000000002</v>
      </c>
      <c r="D6549">
        <v>14.009</v>
      </c>
      <c r="E6549">
        <f>-3.17621-14.009</f>
        <v>-17.185210000000001</v>
      </c>
      <c r="F6549" t="s">
        <v>9985</v>
      </c>
      <c r="G6549" t="s">
        <v>37</v>
      </c>
      <c r="H6549">
        <v>1990</v>
      </c>
      <c r="I6549">
        <v>28.1</v>
      </c>
      <c r="J6549">
        <v>13.8</v>
      </c>
      <c r="K6549">
        <v>56</v>
      </c>
      <c r="L6549">
        <v>28.550750000000001</v>
      </c>
      <c r="M6549">
        <v>39.700000000000003</v>
      </c>
      <c r="N6549">
        <v>15.1</v>
      </c>
      <c r="O6549">
        <v>24.6</v>
      </c>
      <c r="P6549">
        <v>27.79748</v>
      </c>
      <c r="Q6549">
        <v>25.9</v>
      </c>
      <c r="R6549">
        <v>31.9</v>
      </c>
      <c r="S6549">
        <v>24.2</v>
      </c>
      <c r="T6549">
        <v>524</v>
      </c>
      <c r="U6549">
        <v>171</v>
      </c>
      <c r="V6549">
        <v>0</v>
      </c>
      <c r="W6549">
        <v>130</v>
      </c>
      <c r="X6549">
        <v>400</v>
      </c>
      <c r="Y6549">
        <v>1</v>
      </c>
      <c r="Z6549">
        <v>98</v>
      </c>
      <c r="AA6549">
        <v>1</v>
      </c>
      <c r="AB6549">
        <v>1.123335</v>
      </c>
      <c r="AC6549">
        <v>8.5769639999999994E-3</v>
      </c>
      <c r="AD6549">
        <v>1.872622</v>
      </c>
      <c r="AE6549">
        <v>0.60933179999999998</v>
      </c>
      <c r="AF6549">
        <v>260.505</v>
      </c>
      <c r="AG6549">
        <f>IFERROR(AH6549*0.1, "N/A")</f>
        <v>6.6000000000000005</v>
      </c>
      <c r="AH6549">
        <v>66</v>
      </c>
      <c r="AI6549">
        <v>117.54170000000001</v>
      </c>
      <c r="AJ6549">
        <v>10.00839</v>
      </c>
      <c r="AK6549">
        <v>79.991609999999994</v>
      </c>
    </row>
    <row r="6550" spans="1:37" x14ac:dyDescent="0.3">
      <c r="A6550">
        <v>6549</v>
      </c>
      <c r="B6550">
        <v>31</v>
      </c>
      <c r="C6550">
        <v>-10.869</v>
      </c>
      <c r="D6550">
        <v>14.016999999999999</v>
      </c>
      <c r="E6550">
        <f>-10.869-14.017</f>
        <v>-24.885999999999999</v>
      </c>
      <c r="F6550" t="s">
        <v>9986</v>
      </c>
      <c r="G6550" t="s">
        <v>39</v>
      </c>
      <c r="H6550">
        <v>1987</v>
      </c>
      <c r="I6550">
        <v>28.405709999999999</v>
      </c>
      <c r="J6550">
        <v>13.6</v>
      </c>
      <c r="K6550">
        <v>66</v>
      </c>
      <c r="L6550">
        <v>14.11543</v>
      </c>
      <c r="M6550">
        <v>38.4</v>
      </c>
      <c r="N6550">
        <v>18.100000000000001</v>
      </c>
      <c r="O6550">
        <v>20.3</v>
      </c>
      <c r="P6550">
        <v>27.3</v>
      </c>
      <c r="Q6550">
        <v>28</v>
      </c>
      <c r="R6550">
        <v>30.4</v>
      </c>
      <c r="S6550">
        <v>27.2</v>
      </c>
      <c r="T6550">
        <v>763</v>
      </c>
      <c r="U6550">
        <v>245</v>
      </c>
      <c r="V6550">
        <v>0</v>
      </c>
      <c r="W6550">
        <v>132</v>
      </c>
      <c r="X6550">
        <v>589</v>
      </c>
      <c r="Y6550">
        <v>0</v>
      </c>
      <c r="Z6550">
        <v>22</v>
      </c>
      <c r="AA6550">
        <v>0</v>
      </c>
      <c r="AB6550">
        <v>0.64823540000000002</v>
      </c>
      <c r="AC6550">
        <v>1.315196</v>
      </c>
      <c r="AD6550">
        <v>0.71689349999999996</v>
      </c>
      <c r="AE6550">
        <v>0.65802910000000003</v>
      </c>
      <c r="AF6550">
        <v>128.79660000000001</v>
      </c>
      <c r="AG6550">
        <f>IFERROR(AH6550*0.1, "N/A")</f>
        <v>6.2726050000000004</v>
      </c>
      <c r="AH6550">
        <v>62.726050000000001</v>
      </c>
      <c r="AI6550">
        <v>180.37690000000001</v>
      </c>
      <c r="AJ6550">
        <v>20</v>
      </c>
      <c r="AK6550">
        <v>49.273949999999999</v>
      </c>
    </row>
    <row r="6551" spans="1:37" x14ac:dyDescent="0.3">
      <c r="A6551">
        <v>6550</v>
      </c>
      <c r="B6551">
        <v>7</v>
      </c>
      <c r="C6551">
        <v>-10.869</v>
      </c>
      <c r="D6551">
        <v>14.016999999999999</v>
      </c>
      <c r="E6551">
        <f>-10.869-14.017</f>
        <v>-24.885999999999999</v>
      </c>
      <c r="F6551" t="s">
        <v>9987</v>
      </c>
      <c r="G6551" t="s">
        <v>37</v>
      </c>
      <c r="H6551">
        <v>1987</v>
      </c>
      <c r="I6551">
        <v>28.405709999999999</v>
      </c>
      <c r="J6551">
        <v>13.6</v>
      </c>
      <c r="K6551">
        <v>66</v>
      </c>
      <c r="L6551">
        <v>14.11543</v>
      </c>
      <c r="M6551">
        <v>38.4</v>
      </c>
      <c r="N6551">
        <v>18.100000000000001</v>
      </c>
      <c r="O6551">
        <v>20.3</v>
      </c>
      <c r="P6551">
        <v>27.3</v>
      </c>
      <c r="Q6551">
        <v>28</v>
      </c>
      <c r="R6551">
        <v>30.4</v>
      </c>
      <c r="S6551">
        <v>27.2</v>
      </c>
      <c r="T6551">
        <v>763</v>
      </c>
      <c r="U6551">
        <v>245</v>
      </c>
      <c r="V6551">
        <v>0</v>
      </c>
      <c r="W6551">
        <v>132</v>
      </c>
      <c r="X6551">
        <v>589</v>
      </c>
      <c r="Y6551">
        <v>0</v>
      </c>
      <c r="Z6551">
        <v>22</v>
      </c>
      <c r="AA6551">
        <v>0</v>
      </c>
      <c r="AB6551">
        <v>0.64823540000000002</v>
      </c>
      <c r="AC6551">
        <v>1.315196</v>
      </c>
      <c r="AD6551">
        <v>0.71689349999999996</v>
      </c>
      <c r="AE6551">
        <v>0.65802910000000003</v>
      </c>
      <c r="AF6551">
        <v>128.79660000000001</v>
      </c>
      <c r="AG6551">
        <f>IFERROR(AH6551*0.1, "N/A")</f>
        <v>6.2726050000000004</v>
      </c>
      <c r="AH6551">
        <v>62.726050000000001</v>
      </c>
      <c r="AI6551">
        <v>180.37690000000001</v>
      </c>
      <c r="AJ6551">
        <v>20</v>
      </c>
      <c r="AK6551">
        <v>49.273949999999999</v>
      </c>
    </row>
    <row r="6552" spans="1:37" x14ac:dyDescent="0.3">
      <c r="A6552">
        <v>6551</v>
      </c>
      <c r="B6552">
        <v>5.4</v>
      </c>
      <c r="C6552">
        <v>-3.4348000000000001</v>
      </c>
      <c r="D6552">
        <v>14.020300000000001</v>
      </c>
      <c r="E6552">
        <f>-3.4348-14.0203</f>
        <v>-17.455100000000002</v>
      </c>
      <c r="F6552" t="s">
        <v>9988</v>
      </c>
      <c r="G6552" t="s">
        <v>39</v>
      </c>
      <c r="H6552">
        <v>1990</v>
      </c>
      <c r="I6552">
        <v>27.7</v>
      </c>
      <c r="J6552">
        <v>13.7</v>
      </c>
      <c r="K6552">
        <v>55</v>
      </c>
      <c r="L6552">
        <v>28.77</v>
      </c>
      <c r="M6552">
        <v>39.4</v>
      </c>
      <c r="N6552">
        <v>14.5</v>
      </c>
      <c r="O6552">
        <v>24.9</v>
      </c>
      <c r="P6552">
        <v>27.6</v>
      </c>
      <c r="Q6552">
        <v>23.7</v>
      </c>
      <c r="R6552">
        <v>31.5</v>
      </c>
      <c r="S6552">
        <v>23.7</v>
      </c>
      <c r="T6552">
        <v>527</v>
      </c>
      <c r="U6552">
        <v>173</v>
      </c>
      <c r="V6552">
        <v>0</v>
      </c>
      <c r="W6552">
        <v>132</v>
      </c>
      <c r="X6552">
        <v>406</v>
      </c>
      <c r="Y6552">
        <v>0</v>
      </c>
      <c r="Z6552">
        <v>95</v>
      </c>
      <c r="AA6552">
        <v>0</v>
      </c>
      <c r="AB6552">
        <v>0.81706659999999998</v>
      </c>
      <c r="AC6552">
        <v>3.413132E-2</v>
      </c>
      <c r="AD6552">
        <v>3.3851209999999998</v>
      </c>
      <c r="AE6552">
        <v>0.70983940000000001</v>
      </c>
      <c r="AF6552">
        <v>277.29390000000001</v>
      </c>
      <c r="AG6552">
        <f>IFERROR(AH6552*0.1, "N/A")</f>
        <v>6.2866549999999997</v>
      </c>
      <c r="AH6552">
        <v>62.866549999999997</v>
      </c>
      <c r="AI6552">
        <v>182.7525</v>
      </c>
      <c r="AJ6552">
        <v>11</v>
      </c>
      <c r="AK6552">
        <v>77.586150000000004</v>
      </c>
    </row>
    <row r="6553" spans="1:37" x14ac:dyDescent="0.3">
      <c r="A6553">
        <v>6552</v>
      </c>
      <c r="B6553">
        <v>0</v>
      </c>
      <c r="C6553">
        <v>-3.4348000000000001</v>
      </c>
      <c r="D6553">
        <v>14.020300000000001</v>
      </c>
      <c r="E6553">
        <f>-3.4348-14.0203</f>
        <v>-17.455100000000002</v>
      </c>
      <c r="F6553" t="s">
        <v>9989</v>
      </c>
      <c r="G6553" t="s">
        <v>37</v>
      </c>
      <c r="H6553">
        <v>1990</v>
      </c>
      <c r="I6553">
        <v>27.7</v>
      </c>
      <c r="J6553">
        <v>13.7</v>
      </c>
      <c r="K6553">
        <v>55</v>
      </c>
      <c r="L6553">
        <v>28.77</v>
      </c>
      <c r="M6553">
        <v>39.4</v>
      </c>
      <c r="N6553">
        <v>14.5</v>
      </c>
      <c r="O6553">
        <v>24.9</v>
      </c>
      <c r="P6553">
        <v>27.6</v>
      </c>
      <c r="Q6553">
        <v>23.7</v>
      </c>
      <c r="R6553">
        <v>31.5</v>
      </c>
      <c r="S6553">
        <v>23.7</v>
      </c>
      <c r="T6553">
        <v>527</v>
      </c>
      <c r="U6553">
        <v>173</v>
      </c>
      <c r="V6553">
        <v>0</v>
      </c>
      <c r="W6553">
        <v>132</v>
      </c>
      <c r="X6553">
        <v>406</v>
      </c>
      <c r="Y6553">
        <v>0</v>
      </c>
      <c r="Z6553">
        <v>95</v>
      </c>
      <c r="AA6553">
        <v>0</v>
      </c>
      <c r="AB6553">
        <v>0.81706659999999998</v>
      </c>
      <c r="AC6553">
        <v>3.413132E-2</v>
      </c>
      <c r="AD6553">
        <v>3.3851209999999998</v>
      </c>
      <c r="AE6553">
        <v>0.70983940000000001</v>
      </c>
      <c r="AF6553">
        <v>277.29390000000001</v>
      </c>
      <c r="AG6553">
        <f>IFERROR(AH6553*0.1, "N/A")</f>
        <v>6.2866549999999997</v>
      </c>
      <c r="AH6553">
        <v>62.866549999999997</v>
      </c>
      <c r="AI6553">
        <v>182.7525</v>
      </c>
      <c r="AJ6553">
        <v>11</v>
      </c>
      <c r="AK6553">
        <v>77.586150000000004</v>
      </c>
    </row>
    <row r="6554" spans="1:37" x14ac:dyDescent="0.3">
      <c r="A6554">
        <v>6553</v>
      </c>
      <c r="B6554">
        <v>33.6</v>
      </c>
      <c r="C6554">
        <v>-5.3263400000000001</v>
      </c>
      <c r="D6554">
        <v>14.0474</v>
      </c>
      <c r="E6554">
        <f>-5.32634-14.0474</f>
        <v>-19.373739999999998</v>
      </c>
      <c r="F6554" t="s">
        <v>9990</v>
      </c>
      <c r="G6554" t="s">
        <v>39</v>
      </c>
      <c r="H6554">
        <v>1990</v>
      </c>
      <c r="I6554">
        <v>26.7</v>
      </c>
      <c r="J6554">
        <v>15.2</v>
      </c>
      <c r="K6554">
        <v>54</v>
      </c>
      <c r="L6554">
        <v>30.25</v>
      </c>
      <c r="M6554">
        <v>39.5</v>
      </c>
      <c r="N6554">
        <v>11.4</v>
      </c>
      <c r="O6554">
        <v>28.1</v>
      </c>
      <c r="P6554">
        <v>26.9</v>
      </c>
      <c r="Q6554">
        <v>24.1</v>
      </c>
      <c r="R6554">
        <v>30.5</v>
      </c>
      <c r="S6554">
        <v>22.4</v>
      </c>
      <c r="T6554">
        <v>568</v>
      </c>
      <c r="U6554">
        <v>206</v>
      </c>
      <c r="V6554">
        <v>0</v>
      </c>
      <c r="W6554">
        <v>141</v>
      </c>
      <c r="X6554">
        <v>461</v>
      </c>
      <c r="Y6554">
        <v>1</v>
      </c>
      <c r="Z6554">
        <v>93</v>
      </c>
      <c r="AA6554">
        <v>1</v>
      </c>
      <c r="AB6554">
        <v>1.01667</v>
      </c>
      <c r="AC6554">
        <v>9.2330199999999998E-3</v>
      </c>
      <c r="AD6554">
        <v>2.589823</v>
      </c>
      <c r="AE6554">
        <v>0.31727050000000001</v>
      </c>
      <c r="AF6554">
        <v>279.95960000000002</v>
      </c>
      <c r="AG6554">
        <f>IFERROR(AH6554*0.1, "N/A")</f>
        <v>6.0173400000000008</v>
      </c>
      <c r="AH6554">
        <v>60.173400000000001</v>
      </c>
      <c r="AI6554">
        <v>214.33260000000001</v>
      </c>
      <c r="AJ6554">
        <v>13.13636</v>
      </c>
      <c r="AK6554">
        <v>60.801349999999999</v>
      </c>
    </row>
    <row r="6555" spans="1:37" x14ac:dyDescent="0.3">
      <c r="A6555">
        <v>6554</v>
      </c>
      <c r="B6555">
        <v>13.6</v>
      </c>
      <c r="C6555">
        <v>-5.3263400000000001</v>
      </c>
      <c r="D6555">
        <v>14.0474</v>
      </c>
      <c r="E6555">
        <f>-5.32634-14.0474</f>
        <v>-19.373739999999998</v>
      </c>
      <c r="F6555" t="s">
        <v>9991</v>
      </c>
      <c r="G6555" t="s">
        <v>37</v>
      </c>
      <c r="H6555">
        <v>1990</v>
      </c>
      <c r="I6555">
        <v>26.7</v>
      </c>
      <c r="J6555">
        <v>15.2</v>
      </c>
      <c r="K6555">
        <v>54</v>
      </c>
      <c r="L6555">
        <v>30.25</v>
      </c>
      <c r="M6555">
        <v>39.5</v>
      </c>
      <c r="N6555">
        <v>11.4</v>
      </c>
      <c r="O6555">
        <v>28.1</v>
      </c>
      <c r="P6555">
        <v>26.9</v>
      </c>
      <c r="Q6555">
        <v>24.1</v>
      </c>
      <c r="R6555">
        <v>30.5</v>
      </c>
      <c r="S6555">
        <v>22.4</v>
      </c>
      <c r="T6555">
        <v>568</v>
      </c>
      <c r="U6555">
        <v>206</v>
      </c>
      <c r="V6555">
        <v>0</v>
      </c>
      <c r="W6555">
        <v>141</v>
      </c>
      <c r="X6555">
        <v>461</v>
      </c>
      <c r="Y6555">
        <v>1</v>
      </c>
      <c r="Z6555">
        <v>93</v>
      </c>
      <c r="AA6555">
        <v>1</v>
      </c>
      <c r="AB6555">
        <v>1.01667</v>
      </c>
      <c r="AC6555">
        <v>9.2330199999999998E-3</v>
      </c>
      <c r="AD6555">
        <v>2.589823</v>
      </c>
      <c r="AE6555">
        <v>0.31727050000000001</v>
      </c>
      <c r="AF6555">
        <v>279.95960000000002</v>
      </c>
      <c r="AG6555">
        <f>IFERROR(AH6555*0.1, "N/A")</f>
        <v>6.0173400000000008</v>
      </c>
      <c r="AH6555">
        <v>60.173400000000001</v>
      </c>
      <c r="AI6555">
        <v>214.33260000000001</v>
      </c>
      <c r="AJ6555">
        <v>13.13636</v>
      </c>
      <c r="AK6555">
        <v>60.801349999999999</v>
      </c>
    </row>
    <row r="6556" spans="1:37" x14ac:dyDescent="0.3">
      <c r="A6556">
        <v>6555</v>
      </c>
      <c r="B6556">
        <v>15.1</v>
      </c>
      <c r="C6556">
        <v>-5.0639000000000003</v>
      </c>
      <c r="D6556">
        <v>14.052099999999999</v>
      </c>
      <c r="E6556">
        <f>-5.0639-14.0521</f>
        <v>-19.116</v>
      </c>
      <c r="F6556" t="s">
        <v>9992</v>
      </c>
      <c r="G6556" t="s">
        <v>39</v>
      </c>
      <c r="H6556">
        <v>1990</v>
      </c>
      <c r="I6556">
        <v>26.9</v>
      </c>
      <c r="J6556">
        <v>14.6</v>
      </c>
      <c r="K6556">
        <v>52</v>
      </c>
      <c r="L6556">
        <v>31.48</v>
      </c>
      <c r="M6556">
        <v>39.799999999999997</v>
      </c>
      <c r="N6556">
        <v>11.9</v>
      </c>
      <c r="O6556">
        <v>27.9</v>
      </c>
      <c r="P6556">
        <v>27.3</v>
      </c>
      <c r="Q6556">
        <v>24.1</v>
      </c>
      <c r="R6556">
        <v>30.9</v>
      </c>
      <c r="S6556">
        <v>22.4</v>
      </c>
      <c r="T6556">
        <v>572</v>
      </c>
      <c r="U6556">
        <v>209</v>
      </c>
      <c r="V6556">
        <v>0</v>
      </c>
      <c r="W6556">
        <v>140</v>
      </c>
      <c r="X6556">
        <v>457</v>
      </c>
      <c r="Y6556">
        <v>1</v>
      </c>
      <c r="Z6556">
        <v>96</v>
      </c>
      <c r="AA6556">
        <v>1</v>
      </c>
      <c r="AB6556">
        <v>0.71766470000000004</v>
      </c>
      <c r="AC6556">
        <v>8.2969800000000007E-3</v>
      </c>
      <c r="AD6556">
        <v>1.4502159999999999</v>
      </c>
      <c r="AE6556">
        <v>0.46812359999999997</v>
      </c>
      <c r="AF6556">
        <v>274.43430000000001</v>
      </c>
      <c r="AG6556">
        <f>IFERROR(AH6556*0.1, "N/A")</f>
        <v>6.1080810000000003</v>
      </c>
      <c r="AH6556">
        <v>61.08081</v>
      </c>
      <c r="AI6556">
        <v>192.76759999999999</v>
      </c>
      <c r="AJ6556">
        <v>19.952860000000001</v>
      </c>
      <c r="AK6556">
        <v>55.966329999999999</v>
      </c>
    </row>
    <row r="6557" spans="1:37" x14ac:dyDescent="0.3">
      <c r="A6557">
        <v>6556</v>
      </c>
      <c r="B6557">
        <v>0</v>
      </c>
      <c r="C6557">
        <v>-5.0639000000000003</v>
      </c>
      <c r="D6557">
        <v>14.052099999999999</v>
      </c>
      <c r="E6557">
        <f>-5.0639-14.0521</f>
        <v>-19.116</v>
      </c>
      <c r="F6557" t="s">
        <v>9993</v>
      </c>
      <c r="G6557" t="s">
        <v>37</v>
      </c>
      <c r="H6557">
        <v>1990</v>
      </c>
      <c r="I6557">
        <v>26.9</v>
      </c>
      <c r="J6557">
        <v>14.6</v>
      </c>
      <c r="K6557">
        <v>52</v>
      </c>
      <c r="L6557">
        <v>31.48</v>
      </c>
      <c r="M6557">
        <v>39.799999999999997</v>
      </c>
      <c r="N6557">
        <v>11.9</v>
      </c>
      <c r="O6557">
        <v>27.9</v>
      </c>
      <c r="P6557">
        <v>27.3</v>
      </c>
      <c r="Q6557">
        <v>24.1</v>
      </c>
      <c r="R6557">
        <v>30.9</v>
      </c>
      <c r="S6557">
        <v>22.4</v>
      </c>
      <c r="T6557">
        <v>572</v>
      </c>
      <c r="U6557">
        <v>209</v>
      </c>
      <c r="V6557">
        <v>0</v>
      </c>
      <c r="W6557">
        <v>140</v>
      </c>
      <c r="X6557">
        <v>457</v>
      </c>
      <c r="Y6557">
        <v>1</v>
      </c>
      <c r="Z6557">
        <v>96</v>
      </c>
      <c r="AA6557">
        <v>1</v>
      </c>
      <c r="AB6557">
        <v>0.71766470000000004</v>
      </c>
      <c r="AC6557">
        <v>8.2969800000000007E-3</v>
      </c>
      <c r="AD6557">
        <v>1.4502159999999999</v>
      </c>
      <c r="AE6557">
        <v>0.46812359999999997</v>
      </c>
      <c r="AF6557">
        <v>274.43430000000001</v>
      </c>
      <c r="AG6557">
        <f>IFERROR(AH6557*0.1, "N/A")</f>
        <v>6.1080810000000003</v>
      </c>
      <c r="AH6557">
        <v>61.08081</v>
      </c>
      <c r="AI6557">
        <v>192.76759999999999</v>
      </c>
      <c r="AJ6557">
        <v>19.952860000000001</v>
      </c>
      <c r="AK6557">
        <v>55.966329999999999</v>
      </c>
    </row>
    <row r="6558" spans="1:37" x14ac:dyDescent="0.3">
      <c r="A6558">
        <v>6557</v>
      </c>
      <c r="B6558">
        <v>6.1</v>
      </c>
      <c r="C6558">
        <v>-4.18</v>
      </c>
      <c r="D6558">
        <v>14.06</v>
      </c>
      <c r="E6558">
        <f>-4.18-14.06</f>
        <v>-18.240000000000002</v>
      </c>
      <c r="F6558" t="s">
        <v>9994</v>
      </c>
      <c r="G6558" t="s">
        <v>39</v>
      </c>
      <c r="H6558">
        <v>1990</v>
      </c>
      <c r="I6558">
        <v>27.5</v>
      </c>
      <c r="J6558">
        <v>14</v>
      </c>
      <c r="K6558">
        <v>53</v>
      </c>
      <c r="L6558">
        <v>30.24</v>
      </c>
      <c r="M6558">
        <v>39.6</v>
      </c>
      <c r="N6558">
        <v>13.5</v>
      </c>
      <c r="O6558">
        <v>26.1</v>
      </c>
      <c r="P6558">
        <v>27.6</v>
      </c>
      <c r="Q6558">
        <v>23.2</v>
      </c>
      <c r="R6558">
        <v>31.4</v>
      </c>
      <c r="S6558">
        <v>23.2</v>
      </c>
      <c r="T6558">
        <v>516</v>
      </c>
      <c r="U6558">
        <v>175</v>
      </c>
      <c r="V6558">
        <v>0</v>
      </c>
      <c r="W6558">
        <v>131</v>
      </c>
      <c r="X6558">
        <v>400</v>
      </c>
      <c r="Y6558">
        <v>0</v>
      </c>
      <c r="Z6558">
        <v>94</v>
      </c>
      <c r="AA6558">
        <v>0</v>
      </c>
      <c r="AB6558">
        <v>3.1499259999999998</v>
      </c>
      <c r="AC6558">
        <v>1.1752459999999999E-2</v>
      </c>
      <c r="AD6558">
        <v>2.4320870000000001</v>
      </c>
      <c r="AE6558">
        <v>0.29409299999999999</v>
      </c>
      <c r="AF6558">
        <v>271.92750000000001</v>
      </c>
      <c r="AG6558">
        <f>IFERROR(AH6558*0.1, "N/A")</f>
        <v>7.076054000000001</v>
      </c>
      <c r="AH6558">
        <v>70.760540000000006</v>
      </c>
      <c r="AI6558">
        <v>184.0222</v>
      </c>
      <c r="AJ6558">
        <v>21.760539999999999</v>
      </c>
      <c r="AK6558">
        <v>57.239460000000001</v>
      </c>
    </row>
    <row r="6559" spans="1:37" x14ac:dyDescent="0.3">
      <c r="A6559">
        <v>6558</v>
      </c>
      <c r="B6559">
        <v>2.5</v>
      </c>
      <c r="C6559">
        <v>-4.18</v>
      </c>
      <c r="D6559">
        <v>14.06</v>
      </c>
      <c r="E6559">
        <f>-4.18-14.06</f>
        <v>-18.240000000000002</v>
      </c>
      <c r="F6559" t="s">
        <v>9995</v>
      </c>
      <c r="G6559" t="s">
        <v>37</v>
      </c>
      <c r="H6559">
        <v>1990</v>
      </c>
      <c r="I6559">
        <v>27.5</v>
      </c>
      <c r="J6559">
        <v>14</v>
      </c>
      <c r="K6559">
        <v>53</v>
      </c>
      <c r="L6559">
        <v>30.24</v>
      </c>
      <c r="M6559">
        <v>39.6</v>
      </c>
      <c r="N6559">
        <v>13.5</v>
      </c>
      <c r="O6559">
        <v>26.1</v>
      </c>
      <c r="P6559">
        <v>27.6</v>
      </c>
      <c r="Q6559">
        <v>23.2</v>
      </c>
      <c r="R6559">
        <v>31.4</v>
      </c>
      <c r="S6559">
        <v>23.2</v>
      </c>
      <c r="T6559">
        <v>516</v>
      </c>
      <c r="U6559">
        <v>175</v>
      </c>
      <c r="V6559">
        <v>0</v>
      </c>
      <c r="W6559">
        <v>131</v>
      </c>
      <c r="X6559">
        <v>400</v>
      </c>
      <c r="Y6559">
        <v>0</v>
      </c>
      <c r="Z6559">
        <v>94</v>
      </c>
      <c r="AA6559">
        <v>0</v>
      </c>
      <c r="AB6559">
        <v>3.1499259999999998</v>
      </c>
      <c r="AC6559">
        <v>1.1752459999999999E-2</v>
      </c>
      <c r="AD6559">
        <v>2.4320870000000001</v>
      </c>
      <c r="AE6559">
        <v>0.29409299999999999</v>
      </c>
      <c r="AF6559">
        <v>271.92750000000001</v>
      </c>
      <c r="AG6559">
        <f>IFERROR(AH6559*0.1, "N/A")</f>
        <v>7.076054000000001</v>
      </c>
      <c r="AH6559">
        <v>70.760540000000006</v>
      </c>
      <c r="AI6559">
        <v>184.0222</v>
      </c>
      <c r="AJ6559">
        <v>21.760539999999999</v>
      </c>
      <c r="AK6559">
        <v>57.239460000000001</v>
      </c>
    </row>
    <row r="6560" spans="1:37" x14ac:dyDescent="0.3">
      <c r="A6560">
        <v>6559</v>
      </c>
      <c r="B6560">
        <v>26</v>
      </c>
      <c r="C6560">
        <v>-4.1849999999999996</v>
      </c>
      <c r="D6560">
        <v>14.067</v>
      </c>
      <c r="E6560">
        <f>-4.185-14.067</f>
        <v>-18.251999999999999</v>
      </c>
      <c r="F6560" t="s">
        <v>9996</v>
      </c>
      <c r="G6560" t="s">
        <v>39</v>
      </c>
      <c r="H6560">
        <v>1987</v>
      </c>
      <c r="I6560">
        <v>27.5</v>
      </c>
      <c r="J6560">
        <v>14</v>
      </c>
      <c r="K6560">
        <v>53</v>
      </c>
      <c r="L6560">
        <v>30.143599999999999</v>
      </c>
      <c r="M6560">
        <v>39.6</v>
      </c>
      <c r="N6560">
        <v>13.574159999999999</v>
      </c>
      <c r="O6560">
        <v>26.025839999999999</v>
      </c>
      <c r="P6560">
        <v>27.6</v>
      </c>
      <c r="Q6560">
        <v>23.274159999999998</v>
      </c>
      <c r="R6560">
        <v>31.4</v>
      </c>
      <c r="S6560">
        <v>23.274159999999998</v>
      </c>
      <c r="T6560">
        <v>516</v>
      </c>
      <c r="U6560">
        <v>175</v>
      </c>
      <c r="V6560">
        <v>0</v>
      </c>
      <c r="W6560">
        <v>131</v>
      </c>
      <c r="X6560">
        <v>400</v>
      </c>
      <c r="Y6560">
        <v>0</v>
      </c>
      <c r="Z6560">
        <v>94</v>
      </c>
      <c r="AA6560">
        <v>0</v>
      </c>
      <c r="AB6560">
        <v>4.7494899999999998</v>
      </c>
      <c r="AC6560">
        <v>1.142162E-2</v>
      </c>
      <c r="AD6560">
        <v>1.0850649999999999</v>
      </c>
      <c r="AE6560">
        <v>0.29662729999999998</v>
      </c>
      <c r="AF6560">
        <v>272.82429999999999</v>
      </c>
      <c r="AG6560">
        <f>IFERROR(AH6560*0.1, "N/A")</f>
        <v>6.2719589999999998</v>
      </c>
      <c r="AH6560">
        <v>62.719589999999997</v>
      </c>
      <c r="AI6560">
        <v>123.1558</v>
      </c>
      <c r="AJ6560">
        <v>18</v>
      </c>
      <c r="AK6560">
        <v>65.798990000000003</v>
      </c>
    </row>
    <row r="6561" spans="1:37" x14ac:dyDescent="0.3">
      <c r="A6561">
        <v>6560</v>
      </c>
      <c r="B6561">
        <v>0</v>
      </c>
      <c r="C6561">
        <v>-4.1849999999999996</v>
      </c>
      <c r="D6561">
        <v>14.067</v>
      </c>
      <c r="E6561">
        <f>-4.185-14.067</f>
        <v>-18.251999999999999</v>
      </c>
      <c r="F6561" t="s">
        <v>9997</v>
      </c>
      <c r="G6561" t="s">
        <v>37</v>
      </c>
      <c r="H6561">
        <v>1987</v>
      </c>
      <c r="I6561">
        <v>27.5</v>
      </c>
      <c r="J6561">
        <v>14</v>
      </c>
      <c r="K6561">
        <v>53</v>
      </c>
      <c r="L6561">
        <v>30.143599999999999</v>
      </c>
      <c r="M6561">
        <v>39.6</v>
      </c>
      <c r="N6561">
        <v>13.574159999999999</v>
      </c>
      <c r="O6561">
        <v>26.025839999999999</v>
      </c>
      <c r="P6561">
        <v>27.6</v>
      </c>
      <c r="Q6561">
        <v>23.274159999999998</v>
      </c>
      <c r="R6561">
        <v>31.4</v>
      </c>
      <c r="S6561">
        <v>23.274159999999998</v>
      </c>
      <c r="T6561">
        <v>516</v>
      </c>
      <c r="U6561">
        <v>175</v>
      </c>
      <c r="V6561">
        <v>0</v>
      </c>
      <c r="W6561">
        <v>131</v>
      </c>
      <c r="X6561">
        <v>400</v>
      </c>
      <c r="Y6561">
        <v>0</v>
      </c>
      <c r="Z6561">
        <v>94</v>
      </c>
      <c r="AA6561">
        <v>0</v>
      </c>
      <c r="AB6561">
        <v>4.7494899999999998</v>
      </c>
      <c r="AC6561">
        <v>1.142162E-2</v>
      </c>
      <c r="AD6561">
        <v>1.0850649999999999</v>
      </c>
      <c r="AE6561">
        <v>0.29662729999999998</v>
      </c>
      <c r="AF6561">
        <v>272.82429999999999</v>
      </c>
      <c r="AG6561">
        <f>IFERROR(AH6561*0.1, "N/A")</f>
        <v>6.2719589999999998</v>
      </c>
      <c r="AH6561">
        <v>62.719589999999997</v>
      </c>
      <c r="AI6561">
        <v>123.1558</v>
      </c>
      <c r="AJ6561">
        <v>18</v>
      </c>
      <c r="AK6561">
        <v>65.798990000000003</v>
      </c>
    </row>
    <row r="6562" spans="1:37" x14ac:dyDescent="0.3">
      <c r="A6562">
        <v>6561</v>
      </c>
      <c r="B6562">
        <v>72.7</v>
      </c>
      <c r="C6562">
        <v>-5.4851200000000002</v>
      </c>
      <c r="D6562">
        <v>14.068899999999999</v>
      </c>
      <c r="E6562">
        <f>-5.48512-14.0689</f>
        <v>-19.554020000000001</v>
      </c>
      <c r="F6562" t="s">
        <v>9998</v>
      </c>
      <c r="G6562" t="s">
        <v>39</v>
      </c>
      <c r="H6562">
        <v>2006</v>
      </c>
      <c r="I6562">
        <v>26.5</v>
      </c>
      <c r="J6562">
        <v>15.5</v>
      </c>
      <c r="K6562">
        <v>55</v>
      </c>
      <c r="L6562">
        <v>29.71</v>
      </c>
      <c r="M6562">
        <v>39.4</v>
      </c>
      <c r="N6562">
        <v>11.3</v>
      </c>
      <c r="O6562">
        <v>28.1</v>
      </c>
      <c r="P6562">
        <v>26.7</v>
      </c>
      <c r="Q6562">
        <v>24</v>
      </c>
      <c r="R6562">
        <v>30.3</v>
      </c>
      <c r="S6562">
        <v>22.3</v>
      </c>
      <c r="T6562">
        <v>559</v>
      </c>
      <c r="U6562">
        <v>201</v>
      </c>
      <c r="V6562">
        <v>0</v>
      </c>
      <c r="W6562">
        <v>140</v>
      </c>
      <c r="X6562">
        <v>452</v>
      </c>
      <c r="Y6562">
        <v>0</v>
      </c>
      <c r="Z6562">
        <v>90</v>
      </c>
      <c r="AA6562">
        <v>1</v>
      </c>
      <c r="AB6562">
        <v>2.6518570000000001</v>
      </c>
      <c r="AC6562">
        <v>9.7398190000000003E-3</v>
      </c>
      <c r="AD6562">
        <v>2.0953080000000002</v>
      </c>
      <c r="AE6562">
        <v>0.28933229999999999</v>
      </c>
      <c r="AF6562">
        <v>280.54559999999998</v>
      </c>
      <c r="AG6562">
        <f>IFERROR(AH6562*0.1, "N/A")</f>
        <v>5.8496620000000004</v>
      </c>
      <c r="AH6562">
        <v>58.49662</v>
      </c>
      <c r="AI6562">
        <v>207.2201</v>
      </c>
      <c r="AJ6562">
        <v>11.00676</v>
      </c>
      <c r="AK6562">
        <v>69.99324</v>
      </c>
    </row>
    <row r="6563" spans="1:37" x14ac:dyDescent="0.3">
      <c r="A6563">
        <v>6562</v>
      </c>
      <c r="B6563">
        <v>54.5</v>
      </c>
      <c r="C6563">
        <v>-5.4851200000000002</v>
      </c>
      <c r="D6563">
        <v>14.068899999999999</v>
      </c>
      <c r="E6563">
        <f>-5.48512-14.0689</f>
        <v>-19.554020000000001</v>
      </c>
      <c r="F6563" t="s">
        <v>9999</v>
      </c>
      <c r="G6563" t="s">
        <v>37</v>
      </c>
      <c r="H6563">
        <v>2006</v>
      </c>
      <c r="I6563">
        <v>26.5</v>
      </c>
      <c r="J6563">
        <v>15.5</v>
      </c>
      <c r="K6563">
        <v>55</v>
      </c>
      <c r="L6563">
        <v>29.71</v>
      </c>
      <c r="M6563">
        <v>39.4</v>
      </c>
      <c r="N6563">
        <v>11.3</v>
      </c>
      <c r="O6563">
        <v>28.1</v>
      </c>
      <c r="P6563">
        <v>26.7</v>
      </c>
      <c r="Q6563">
        <v>24</v>
      </c>
      <c r="R6563">
        <v>30.3</v>
      </c>
      <c r="S6563">
        <v>22.3</v>
      </c>
      <c r="T6563">
        <v>559</v>
      </c>
      <c r="U6563">
        <v>201</v>
      </c>
      <c r="V6563">
        <v>0</v>
      </c>
      <c r="W6563">
        <v>140</v>
      </c>
      <c r="X6563">
        <v>452</v>
      </c>
      <c r="Y6563">
        <v>0</v>
      </c>
      <c r="Z6563">
        <v>90</v>
      </c>
      <c r="AA6563">
        <v>1</v>
      </c>
      <c r="AB6563">
        <v>2.6518570000000001</v>
      </c>
      <c r="AC6563">
        <v>9.7398190000000003E-3</v>
      </c>
      <c r="AD6563">
        <v>2.0953080000000002</v>
      </c>
      <c r="AE6563">
        <v>0.28933229999999999</v>
      </c>
      <c r="AF6563">
        <v>280.54559999999998</v>
      </c>
      <c r="AG6563">
        <f>IFERROR(AH6563*0.1, "N/A")</f>
        <v>5.8496620000000004</v>
      </c>
      <c r="AH6563">
        <v>58.49662</v>
      </c>
      <c r="AI6563">
        <v>207.2201</v>
      </c>
      <c r="AJ6563">
        <v>11.00676</v>
      </c>
      <c r="AK6563">
        <v>69.99324</v>
      </c>
    </row>
    <row r="6564" spans="1:37" x14ac:dyDescent="0.3">
      <c r="A6564">
        <v>6563</v>
      </c>
      <c r="B6564">
        <v>20.2</v>
      </c>
      <c r="C6564">
        <v>-4.9843999999999999</v>
      </c>
      <c r="D6564">
        <v>14.0777</v>
      </c>
      <c r="E6564">
        <f>-4.9844-14.0777</f>
        <v>-19.062100000000001</v>
      </c>
      <c r="F6564" t="s">
        <v>10000</v>
      </c>
      <c r="G6564" t="s">
        <v>39</v>
      </c>
      <c r="H6564">
        <v>1990</v>
      </c>
      <c r="I6564">
        <v>27</v>
      </c>
      <c r="J6564">
        <v>14.5</v>
      </c>
      <c r="K6564">
        <v>51</v>
      </c>
      <c r="L6564">
        <v>32.31</v>
      </c>
      <c r="M6564">
        <v>39.9</v>
      </c>
      <c r="N6564">
        <v>11.9</v>
      </c>
      <c r="O6564">
        <v>28</v>
      </c>
      <c r="P6564">
        <v>27.5</v>
      </c>
      <c r="Q6564">
        <v>24</v>
      </c>
      <c r="R6564">
        <v>31</v>
      </c>
      <c r="S6564">
        <v>22.3</v>
      </c>
      <c r="T6564">
        <v>571</v>
      </c>
      <c r="U6564">
        <v>210</v>
      </c>
      <c r="V6564">
        <v>0</v>
      </c>
      <c r="W6564">
        <v>140</v>
      </c>
      <c r="X6564">
        <v>456</v>
      </c>
      <c r="Y6564">
        <v>1</v>
      </c>
      <c r="Z6564">
        <v>96</v>
      </c>
      <c r="AA6564">
        <v>1</v>
      </c>
      <c r="AB6564">
        <v>0.66985910000000004</v>
      </c>
      <c r="AC6564">
        <v>9.6788129999999999</v>
      </c>
      <c r="AD6564">
        <v>1.8890359999999999</v>
      </c>
      <c r="AE6564">
        <v>0.26196150000000001</v>
      </c>
      <c r="AF6564">
        <v>272.62630000000001</v>
      </c>
      <c r="AG6564">
        <f>IFERROR(AH6564*0.1, "N/A")</f>
        <v>6.0141410000000004</v>
      </c>
      <c r="AH6564">
        <v>60.14141</v>
      </c>
      <c r="AI6564">
        <v>139.4342</v>
      </c>
      <c r="AJ6564">
        <v>16.905719999999999</v>
      </c>
      <c r="AK6564">
        <v>58.094279999999998</v>
      </c>
    </row>
    <row r="6565" spans="1:37" x14ac:dyDescent="0.3">
      <c r="A6565">
        <v>6564</v>
      </c>
      <c r="B6565">
        <v>1.8</v>
      </c>
      <c r="C6565">
        <v>-4.9843999999999999</v>
      </c>
      <c r="D6565">
        <v>14.0777</v>
      </c>
      <c r="E6565">
        <f>-4.9844-14.0777</f>
        <v>-19.062100000000001</v>
      </c>
      <c r="F6565" t="s">
        <v>10001</v>
      </c>
      <c r="G6565" t="s">
        <v>37</v>
      </c>
      <c r="H6565">
        <v>1990</v>
      </c>
      <c r="I6565">
        <v>27</v>
      </c>
      <c r="J6565">
        <v>14.5</v>
      </c>
      <c r="K6565">
        <v>51</v>
      </c>
      <c r="L6565">
        <v>32.31</v>
      </c>
      <c r="M6565">
        <v>39.9</v>
      </c>
      <c r="N6565">
        <v>11.9</v>
      </c>
      <c r="O6565">
        <v>28</v>
      </c>
      <c r="P6565">
        <v>27.5</v>
      </c>
      <c r="Q6565">
        <v>24</v>
      </c>
      <c r="R6565">
        <v>31</v>
      </c>
      <c r="S6565">
        <v>22.3</v>
      </c>
      <c r="T6565">
        <v>571</v>
      </c>
      <c r="U6565">
        <v>210</v>
      </c>
      <c r="V6565">
        <v>0</v>
      </c>
      <c r="W6565">
        <v>140</v>
      </c>
      <c r="X6565">
        <v>456</v>
      </c>
      <c r="Y6565">
        <v>1</v>
      </c>
      <c r="Z6565">
        <v>96</v>
      </c>
      <c r="AA6565">
        <v>1</v>
      </c>
      <c r="AB6565">
        <v>0.66985910000000004</v>
      </c>
      <c r="AC6565">
        <v>9.6788129999999999</v>
      </c>
      <c r="AD6565">
        <v>1.8890359999999999</v>
      </c>
      <c r="AE6565">
        <v>0.26196150000000001</v>
      </c>
      <c r="AF6565">
        <v>272.62630000000001</v>
      </c>
      <c r="AG6565">
        <f>IFERROR(AH6565*0.1, "N/A")</f>
        <v>6.0141410000000004</v>
      </c>
      <c r="AH6565">
        <v>60.14141</v>
      </c>
      <c r="AI6565">
        <v>139.4342</v>
      </c>
      <c r="AJ6565">
        <v>16.905719999999999</v>
      </c>
      <c r="AK6565">
        <v>58.094279999999998</v>
      </c>
    </row>
    <row r="6566" spans="1:37" x14ac:dyDescent="0.3">
      <c r="A6566">
        <v>6565</v>
      </c>
      <c r="B6566">
        <v>1.6</v>
      </c>
      <c r="C6566">
        <v>-5.45</v>
      </c>
      <c r="D6566">
        <v>14.083</v>
      </c>
      <c r="E6566">
        <f>-5.45-14.083</f>
        <v>-19.533000000000001</v>
      </c>
      <c r="F6566" t="s">
        <v>10002</v>
      </c>
      <c r="G6566" t="s">
        <v>39</v>
      </c>
      <c r="H6566">
        <v>1987</v>
      </c>
      <c r="I6566">
        <v>26.558050000000001</v>
      </c>
      <c r="J6566">
        <v>15.4</v>
      </c>
      <c r="K6566">
        <v>54.355699999999999</v>
      </c>
      <c r="L6566">
        <v>29.933810000000001</v>
      </c>
      <c r="M6566">
        <v>39.4</v>
      </c>
      <c r="N6566">
        <v>11.335570000000001</v>
      </c>
      <c r="O6566">
        <v>28.064430000000002</v>
      </c>
      <c r="P6566">
        <v>26.8</v>
      </c>
      <c r="Q6566">
        <v>24</v>
      </c>
      <c r="R6566">
        <v>30.4</v>
      </c>
      <c r="S6566">
        <v>22.3</v>
      </c>
      <c r="T6566">
        <v>559.16610000000003</v>
      </c>
      <c r="U6566">
        <v>202</v>
      </c>
      <c r="V6566">
        <v>0</v>
      </c>
      <c r="W6566">
        <v>140</v>
      </c>
      <c r="X6566">
        <v>453</v>
      </c>
      <c r="Y6566">
        <v>1</v>
      </c>
      <c r="Z6566">
        <v>89.166110000000003</v>
      </c>
      <c r="AA6566">
        <v>2</v>
      </c>
      <c r="AB6566">
        <v>0.65183789999999997</v>
      </c>
      <c r="AC6566">
        <v>15.37405</v>
      </c>
      <c r="AD6566">
        <v>1.8367180000000001</v>
      </c>
      <c r="AE6566">
        <v>0.24301809999999999</v>
      </c>
      <c r="AF6566">
        <v>278.31709999999998</v>
      </c>
      <c r="AG6566">
        <f>IFERROR(AH6566*0.1, "N/A")</f>
        <v>6.103523</v>
      </c>
      <c r="AH6566">
        <v>61.035229999999999</v>
      </c>
      <c r="AI6566">
        <v>86.955309999999997</v>
      </c>
      <c r="AJ6566">
        <v>18.62416</v>
      </c>
      <c r="AK6566">
        <v>59.42953</v>
      </c>
    </row>
    <row r="6567" spans="1:37" x14ac:dyDescent="0.3">
      <c r="A6567">
        <v>6566</v>
      </c>
      <c r="B6567">
        <v>1.1000000000000001</v>
      </c>
      <c r="C6567">
        <v>-5.45</v>
      </c>
      <c r="D6567">
        <v>14.083</v>
      </c>
      <c r="E6567">
        <f>-5.45-14.083</f>
        <v>-19.533000000000001</v>
      </c>
      <c r="F6567" t="s">
        <v>10003</v>
      </c>
      <c r="G6567" t="s">
        <v>37</v>
      </c>
      <c r="H6567">
        <v>1987</v>
      </c>
      <c r="I6567">
        <v>26.558050000000001</v>
      </c>
      <c r="J6567">
        <v>15.4</v>
      </c>
      <c r="K6567">
        <v>54.355699999999999</v>
      </c>
      <c r="L6567">
        <v>29.933810000000001</v>
      </c>
      <c r="M6567">
        <v>39.4</v>
      </c>
      <c r="N6567">
        <v>11.335570000000001</v>
      </c>
      <c r="O6567">
        <v>28.064430000000002</v>
      </c>
      <c r="P6567">
        <v>26.8</v>
      </c>
      <c r="Q6567">
        <v>24</v>
      </c>
      <c r="R6567">
        <v>30.4</v>
      </c>
      <c r="S6567">
        <v>22.3</v>
      </c>
      <c r="T6567">
        <v>559.16610000000003</v>
      </c>
      <c r="U6567">
        <v>202</v>
      </c>
      <c r="V6567">
        <v>0</v>
      </c>
      <c r="W6567">
        <v>140</v>
      </c>
      <c r="X6567">
        <v>453</v>
      </c>
      <c r="Y6567">
        <v>1</v>
      </c>
      <c r="Z6567">
        <v>89.166110000000003</v>
      </c>
      <c r="AA6567">
        <v>2</v>
      </c>
      <c r="AB6567">
        <v>0.65183789999999997</v>
      </c>
      <c r="AC6567">
        <v>15.37405</v>
      </c>
      <c r="AD6567">
        <v>1.8367180000000001</v>
      </c>
      <c r="AE6567">
        <v>0.24301809999999999</v>
      </c>
      <c r="AF6567">
        <v>278.31709999999998</v>
      </c>
      <c r="AG6567">
        <f>IFERROR(AH6567*0.1, "N/A")</f>
        <v>6.103523</v>
      </c>
      <c r="AH6567">
        <v>61.035229999999999</v>
      </c>
      <c r="AI6567">
        <v>86.955309999999997</v>
      </c>
      <c r="AJ6567">
        <v>18.62416</v>
      </c>
      <c r="AK6567">
        <v>59.42953</v>
      </c>
    </row>
    <row r="6568" spans="1:37" x14ac:dyDescent="0.3">
      <c r="A6568">
        <v>6567</v>
      </c>
      <c r="B6568">
        <v>44</v>
      </c>
      <c r="C6568">
        <v>-9.5850000000000009</v>
      </c>
      <c r="D6568">
        <v>14.102</v>
      </c>
      <c r="E6568">
        <f>-9.585-14.102</f>
        <v>-23.687000000000001</v>
      </c>
      <c r="F6568" t="s">
        <v>10004</v>
      </c>
      <c r="G6568" t="s">
        <v>39</v>
      </c>
      <c r="H6568">
        <v>1987</v>
      </c>
      <c r="I6568">
        <v>27.7</v>
      </c>
      <c r="J6568">
        <v>14.3</v>
      </c>
      <c r="K6568">
        <v>56</v>
      </c>
      <c r="L6568">
        <v>27.37</v>
      </c>
      <c r="M6568">
        <v>39.799999999999997</v>
      </c>
      <c r="N6568">
        <v>14.4</v>
      </c>
      <c r="O6568">
        <v>25.4</v>
      </c>
      <c r="P6568">
        <v>26.9</v>
      </c>
      <c r="Q6568">
        <v>26.3</v>
      </c>
      <c r="R6568">
        <v>31.6</v>
      </c>
      <c r="S6568">
        <v>24.5</v>
      </c>
      <c r="T6568">
        <v>759</v>
      </c>
      <c r="U6568">
        <v>244</v>
      </c>
      <c r="V6568">
        <v>0</v>
      </c>
      <c r="W6568">
        <v>131</v>
      </c>
      <c r="X6568">
        <v>590</v>
      </c>
      <c r="Y6568">
        <v>0</v>
      </c>
      <c r="Z6568">
        <v>126</v>
      </c>
      <c r="AA6568">
        <v>0</v>
      </c>
      <c r="AB6568">
        <v>4.7121199999999996</v>
      </c>
      <c r="AC6568">
        <v>3.2720050000000001E-2</v>
      </c>
      <c r="AD6568">
        <v>1.606131</v>
      </c>
      <c r="AE6568">
        <v>0.4477546</v>
      </c>
      <c r="AF6568">
        <v>249.97309999999999</v>
      </c>
      <c r="AG6568">
        <f>IFERROR(AH6568*0.1, "N/A")</f>
        <v>6.6651520000000009</v>
      </c>
      <c r="AH6568">
        <v>66.651520000000005</v>
      </c>
      <c r="AI6568">
        <v>194.42840000000001</v>
      </c>
      <c r="AJ6568">
        <v>26.409089999999999</v>
      </c>
      <c r="AK6568">
        <v>38.939390000000003</v>
      </c>
    </row>
    <row r="6569" spans="1:37" x14ac:dyDescent="0.3">
      <c r="A6569">
        <v>6568</v>
      </c>
      <c r="B6569">
        <v>0</v>
      </c>
      <c r="C6569">
        <v>-9.5850000000000009</v>
      </c>
      <c r="D6569">
        <v>14.102</v>
      </c>
      <c r="E6569">
        <f>-9.585-14.102</f>
        <v>-23.687000000000001</v>
      </c>
      <c r="F6569" t="s">
        <v>10005</v>
      </c>
      <c r="G6569" t="s">
        <v>37</v>
      </c>
      <c r="H6569">
        <v>1987</v>
      </c>
      <c r="I6569">
        <v>27.7</v>
      </c>
      <c r="J6569">
        <v>14.3</v>
      </c>
      <c r="K6569">
        <v>56</v>
      </c>
      <c r="L6569">
        <v>27.37</v>
      </c>
      <c r="M6569">
        <v>39.799999999999997</v>
      </c>
      <c r="N6569">
        <v>14.4</v>
      </c>
      <c r="O6569">
        <v>25.4</v>
      </c>
      <c r="P6569">
        <v>26.9</v>
      </c>
      <c r="Q6569">
        <v>26.3</v>
      </c>
      <c r="R6569">
        <v>31.6</v>
      </c>
      <c r="S6569">
        <v>24.5</v>
      </c>
      <c r="T6569">
        <v>759</v>
      </c>
      <c r="U6569">
        <v>244</v>
      </c>
      <c r="V6569">
        <v>0</v>
      </c>
      <c r="W6569">
        <v>131</v>
      </c>
      <c r="X6569">
        <v>590</v>
      </c>
      <c r="Y6569">
        <v>0</v>
      </c>
      <c r="Z6569">
        <v>126</v>
      </c>
      <c r="AA6569">
        <v>0</v>
      </c>
      <c r="AB6569">
        <v>4.7121199999999996</v>
      </c>
      <c r="AC6569">
        <v>3.2720050000000001E-2</v>
      </c>
      <c r="AD6569">
        <v>1.606131</v>
      </c>
      <c r="AE6569">
        <v>0.4477546</v>
      </c>
      <c r="AF6569">
        <v>249.97309999999999</v>
      </c>
      <c r="AG6569">
        <f>IFERROR(AH6569*0.1, "N/A")</f>
        <v>6.6651520000000009</v>
      </c>
      <c r="AH6569">
        <v>66.651520000000005</v>
      </c>
      <c r="AI6569">
        <v>194.42840000000001</v>
      </c>
      <c r="AJ6569">
        <v>26.409089999999999</v>
      </c>
      <c r="AK6569">
        <v>38.939390000000003</v>
      </c>
    </row>
    <row r="6570" spans="1:37" x14ac:dyDescent="0.3">
      <c r="A6570">
        <v>6569</v>
      </c>
      <c r="B6570">
        <v>17.899999999999999</v>
      </c>
      <c r="C6570">
        <v>-4.4929899999999998</v>
      </c>
      <c r="D6570">
        <v>14.106400000000001</v>
      </c>
      <c r="E6570">
        <f>-4.49299-14.1064</f>
        <v>-18.59939</v>
      </c>
      <c r="F6570" t="s">
        <v>10006</v>
      </c>
      <c r="G6570" t="s">
        <v>39</v>
      </c>
      <c r="H6570">
        <v>1990</v>
      </c>
      <c r="I6570">
        <v>27.3</v>
      </c>
      <c r="J6570">
        <v>14.1</v>
      </c>
      <c r="K6570">
        <v>52</v>
      </c>
      <c r="L6570">
        <v>31.26</v>
      </c>
      <c r="M6570">
        <v>39.799999999999997</v>
      </c>
      <c r="N6570">
        <v>12.9</v>
      </c>
      <c r="O6570">
        <v>26.9</v>
      </c>
      <c r="P6570">
        <v>27.5</v>
      </c>
      <c r="Q6570">
        <v>24.7</v>
      </c>
      <c r="R6570">
        <v>31.3</v>
      </c>
      <c r="S6570">
        <v>22.8</v>
      </c>
      <c r="T6570">
        <v>526</v>
      </c>
      <c r="U6570">
        <v>180</v>
      </c>
      <c r="V6570">
        <v>0</v>
      </c>
      <c r="W6570">
        <v>134</v>
      </c>
      <c r="X6570">
        <v>406</v>
      </c>
      <c r="Y6570">
        <v>1</v>
      </c>
      <c r="Z6570">
        <v>100</v>
      </c>
      <c r="AA6570">
        <v>1</v>
      </c>
      <c r="AB6570">
        <v>9.4937099999999996E-2</v>
      </c>
      <c r="AC6570">
        <v>2.1444909999999999</v>
      </c>
      <c r="AD6570">
        <v>3.1592479999999998</v>
      </c>
      <c r="AE6570">
        <v>0.62822009999999995</v>
      </c>
      <c r="AF6570">
        <v>261.01850000000002</v>
      </c>
      <c r="AG6570">
        <f>IFERROR(AH6570*0.1, "N/A")</f>
        <v>5.9</v>
      </c>
      <c r="AH6570">
        <v>59</v>
      </c>
      <c r="AI6570">
        <v>267.4522</v>
      </c>
      <c r="AJ6570">
        <v>16.846540000000001</v>
      </c>
      <c r="AK6570">
        <v>55.748739999999998</v>
      </c>
    </row>
    <row r="6571" spans="1:37" x14ac:dyDescent="0.3">
      <c r="A6571">
        <v>6570</v>
      </c>
      <c r="B6571">
        <v>0</v>
      </c>
      <c r="C6571">
        <v>-4.4929899999999998</v>
      </c>
      <c r="D6571">
        <v>14.106400000000001</v>
      </c>
      <c r="E6571">
        <f>-4.49299-14.1064</f>
        <v>-18.59939</v>
      </c>
      <c r="F6571" t="s">
        <v>10007</v>
      </c>
      <c r="G6571" t="s">
        <v>37</v>
      </c>
      <c r="H6571">
        <v>1990</v>
      </c>
      <c r="I6571">
        <v>27.3</v>
      </c>
      <c r="J6571">
        <v>14.1</v>
      </c>
      <c r="K6571">
        <v>52</v>
      </c>
      <c r="L6571">
        <v>31.26</v>
      </c>
      <c r="M6571">
        <v>39.799999999999997</v>
      </c>
      <c r="N6571">
        <v>12.9</v>
      </c>
      <c r="O6571">
        <v>26.9</v>
      </c>
      <c r="P6571">
        <v>27.5</v>
      </c>
      <c r="Q6571">
        <v>24.7</v>
      </c>
      <c r="R6571">
        <v>31.3</v>
      </c>
      <c r="S6571">
        <v>22.8</v>
      </c>
      <c r="T6571">
        <v>526</v>
      </c>
      <c r="U6571">
        <v>180</v>
      </c>
      <c r="V6571">
        <v>0</v>
      </c>
      <c r="W6571">
        <v>134</v>
      </c>
      <c r="X6571">
        <v>406</v>
      </c>
      <c r="Y6571">
        <v>1</v>
      </c>
      <c r="Z6571">
        <v>100</v>
      </c>
      <c r="AA6571">
        <v>1</v>
      </c>
      <c r="AB6571">
        <v>9.4937099999999996E-2</v>
      </c>
      <c r="AC6571">
        <v>2.1444909999999999</v>
      </c>
      <c r="AD6571">
        <v>3.1592479999999998</v>
      </c>
      <c r="AE6571">
        <v>0.62822009999999995</v>
      </c>
      <c r="AF6571">
        <v>261.01850000000002</v>
      </c>
      <c r="AG6571">
        <f>IFERROR(AH6571*0.1, "N/A")</f>
        <v>5.9</v>
      </c>
      <c r="AH6571">
        <v>59</v>
      </c>
      <c r="AI6571">
        <v>267.4522</v>
      </c>
      <c r="AJ6571">
        <v>16.846540000000001</v>
      </c>
      <c r="AK6571">
        <v>55.748739999999998</v>
      </c>
    </row>
    <row r="6572" spans="1:37" x14ac:dyDescent="0.3">
      <c r="A6572">
        <v>6571</v>
      </c>
      <c r="B6572">
        <v>62.3</v>
      </c>
      <c r="C6572">
        <v>-5.7679999999999998</v>
      </c>
      <c r="D6572">
        <v>14.122299999999999</v>
      </c>
      <c r="E6572">
        <f>-5.768-14.1223</f>
        <v>-19.8903</v>
      </c>
      <c r="F6572" t="s">
        <v>10008</v>
      </c>
      <c r="G6572" t="s">
        <v>39</v>
      </c>
      <c r="H6572">
        <v>1990</v>
      </c>
      <c r="I6572">
        <v>26.8</v>
      </c>
      <c r="J6572">
        <v>15.7</v>
      </c>
      <c r="K6572">
        <v>56</v>
      </c>
      <c r="L6572">
        <v>28.97</v>
      </c>
      <c r="M6572">
        <v>39.5</v>
      </c>
      <c r="N6572">
        <v>11.7</v>
      </c>
      <c r="O6572">
        <v>27.8</v>
      </c>
      <c r="P6572">
        <v>26.9</v>
      </c>
      <c r="Q6572">
        <v>24.5</v>
      </c>
      <c r="R6572">
        <v>30.5</v>
      </c>
      <c r="S6572">
        <v>22.7</v>
      </c>
      <c r="T6572">
        <v>564</v>
      </c>
      <c r="U6572">
        <v>207</v>
      </c>
      <c r="V6572">
        <v>0</v>
      </c>
      <c r="W6572">
        <v>141</v>
      </c>
      <c r="X6572">
        <v>463</v>
      </c>
      <c r="Y6572">
        <v>0</v>
      </c>
      <c r="Z6572">
        <v>81</v>
      </c>
      <c r="AA6572">
        <v>1</v>
      </c>
      <c r="AB6572">
        <v>0.48391869999999998</v>
      </c>
      <c r="AC6572">
        <v>1.0962039999999999E-2</v>
      </c>
      <c r="AD6572">
        <v>1.7411540000000001</v>
      </c>
      <c r="AE6572">
        <v>0.23132849999999999</v>
      </c>
      <c r="AF6572">
        <v>277.3501</v>
      </c>
      <c r="AG6572">
        <f>IFERROR(AH6572*0.1, "N/A")</f>
        <v>6.0579560000000008</v>
      </c>
      <c r="AH6572">
        <v>60.579560000000001</v>
      </c>
      <c r="AI6572">
        <v>189.9915</v>
      </c>
      <c r="AJ6572">
        <v>12.840870000000001</v>
      </c>
      <c r="AK6572">
        <v>70.318259999999995</v>
      </c>
    </row>
    <row r="6573" spans="1:37" x14ac:dyDescent="0.3">
      <c r="A6573">
        <v>6572</v>
      </c>
      <c r="B6573">
        <v>55.8</v>
      </c>
      <c r="C6573">
        <v>-5.7679999999999998</v>
      </c>
      <c r="D6573">
        <v>14.122299999999999</v>
      </c>
      <c r="E6573">
        <f>-5.768-14.1223</f>
        <v>-19.8903</v>
      </c>
      <c r="F6573" t="s">
        <v>10009</v>
      </c>
      <c r="G6573" t="s">
        <v>37</v>
      </c>
      <c r="H6573">
        <v>1990</v>
      </c>
      <c r="I6573">
        <v>26.8</v>
      </c>
      <c r="J6573">
        <v>15.7</v>
      </c>
      <c r="K6573">
        <v>56</v>
      </c>
      <c r="L6573">
        <v>28.97</v>
      </c>
      <c r="M6573">
        <v>39.5</v>
      </c>
      <c r="N6573">
        <v>11.7</v>
      </c>
      <c r="O6573">
        <v>27.8</v>
      </c>
      <c r="P6573">
        <v>26.9</v>
      </c>
      <c r="Q6573">
        <v>24.5</v>
      </c>
      <c r="R6573">
        <v>30.5</v>
      </c>
      <c r="S6573">
        <v>22.7</v>
      </c>
      <c r="T6573">
        <v>564</v>
      </c>
      <c r="U6573">
        <v>207</v>
      </c>
      <c r="V6573">
        <v>0</v>
      </c>
      <c r="W6573">
        <v>141</v>
      </c>
      <c r="X6573">
        <v>463</v>
      </c>
      <c r="Y6573">
        <v>0</v>
      </c>
      <c r="Z6573">
        <v>81</v>
      </c>
      <c r="AA6573">
        <v>1</v>
      </c>
      <c r="AB6573">
        <v>0.48391869999999998</v>
      </c>
      <c r="AC6573">
        <v>1.0962039999999999E-2</v>
      </c>
      <c r="AD6573">
        <v>1.7411540000000001</v>
      </c>
      <c r="AE6573">
        <v>0.23132849999999999</v>
      </c>
      <c r="AF6573">
        <v>277.3501</v>
      </c>
      <c r="AG6573">
        <f>IFERROR(AH6573*0.1, "N/A")</f>
        <v>6.0579560000000008</v>
      </c>
      <c r="AH6573">
        <v>60.579560000000001</v>
      </c>
      <c r="AI6573">
        <v>189.9915</v>
      </c>
      <c r="AJ6573">
        <v>12.840870000000001</v>
      </c>
      <c r="AK6573">
        <v>70.318259999999995</v>
      </c>
    </row>
    <row r="6574" spans="1:37" x14ac:dyDescent="0.3">
      <c r="A6574">
        <v>6573</v>
      </c>
      <c r="B6574">
        <v>50.9</v>
      </c>
      <c r="C6574">
        <v>-4.5938600000000003</v>
      </c>
      <c r="D6574">
        <v>14.1393</v>
      </c>
      <c r="E6574">
        <f>-4.59386-14.1393</f>
        <v>-18.733160000000002</v>
      </c>
      <c r="F6574" t="s">
        <v>10010</v>
      </c>
      <c r="G6574" t="s">
        <v>39</v>
      </c>
      <c r="H6574">
        <v>1990</v>
      </c>
      <c r="I6574">
        <v>27.2</v>
      </c>
      <c r="J6574">
        <v>14.2</v>
      </c>
      <c r="K6574">
        <v>52</v>
      </c>
      <c r="L6574">
        <v>31.65</v>
      </c>
      <c r="M6574">
        <v>39.9</v>
      </c>
      <c r="N6574">
        <v>12.7</v>
      </c>
      <c r="O6574">
        <v>27.2</v>
      </c>
      <c r="P6574">
        <v>27.6</v>
      </c>
      <c r="Q6574">
        <v>24.5</v>
      </c>
      <c r="R6574">
        <v>31.2</v>
      </c>
      <c r="S6574">
        <v>22.7</v>
      </c>
      <c r="T6574">
        <v>527</v>
      </c>
      <c r="U6574">
        <v>185</v>
      </c>
      <c r="V6574">
        <v>0</v>
      </c>
      <c r="W6574">
        <v>136</v>
      </c>
      <c r="X6574">
        <v>410</v>
      </c>
      <c r="Y6574">
        <v>1</v>
      </c>
      <c r="Z6574">
        <v>97</v>
      </c>
      <c r="AA6574">
        <v>1</v>
      </c>
      <c r="AB6574">
        <v>1.0156499999999999</v>
      </c>
      <c r="AC6574">
        <v>7.5356720000000002E-2</v>
      </c>
      <c r="AD6574">
        <v>3.9553319999999998</v>
      </c>
      <c r="AE6574">
        <v>0.31622699999999998</v>
      </c>
      <c r="AF6574">
        <v>266.4579</v>
      </c>
      <c r="AG6574">
        <f>IFERROR(AH6574*0.1, "N/A")</f>
        <v>6.0675080000000001</v>
      </c>
      <c r="AH6574">
        <v>60.675080000000001</v>
      </c>
      <c r="AI6574">
        <v>233.4546</v>
      </c>
      <c r="AJ6574">
        <v>20.41919</v>
      </c>
      <c r="AK6574">
        <v>60.595959999999998</v>
      </c>
    </row>
    <row r="6575" spans="1:37" x14ac:dyDescent="0.3">
      <c r="A6575">
        <v>6574</v>
      </c>
      <c r="B6575">
        <v>0</v>
      </c>
      <c r="C6575">
        <v>-4.5938600000000003</v>
      </c>
      <c r="D6575">
        <v>14.1393</v>
      </c>
      <c r="E6575">
        <f>-4.59386-14.1393</f>
        <v>-18.733160000000002</v>
      </c>
      <c r="F6575" t="s">
        <v>10011</v>
      </c>
      <c r="G6575" t="s">
        <v>37</v>
      </c>
      <c r="H6575">
        <v>1990</v>
      </c>
      <c r="I6575">
        <v>27.2</v>
      </c>
      <c r="J6575">
        <v>14.2</v>
      </c>
      <c r="K6575">
        <v>52</v>
      </c>
      <c r="L6575">
        <v>31.65</v>
      </c>
      <c r="M6575">
        <v>39.9</v>
      </c>
      <c r="N6575">
        <v>12.7</v>
      </c>
      <c r="O6575">
        <v>27.2</v>
      </c>
      <c r="P6575">
        <v>27.6</v>
      </c>
      <c r="Q6575">
        <v>24.5</v>
      </c>
      <c r="R6575">
        <v>31.2</v>
      </c>
      <c r="S6575">
        <v>22.7</v>
      </c>
      <c r="T6575">
        <v>527</v>
      </c>
      <c r="U6575">
        <v>185</v>
      </c>
      <c r="V6575">
        <v>0</v>
      </c>
      <c r="W6575">
        <v>136</v>
      </c>
      <c r="X6575">
        <v>410</v>
      </c>
      <c r="Y6575">
        <v>1</v>
      </c>
      <c r="Z6575">
        <v>97</v>
      </c>
      <c r="AA6575">
        <v>1</v>
      </c>
      <c r="AB6575">
        <v>1.0156499999999999</v>
      </c>
      <c r="AC6575">
        <v>7.5356720000000002E-2</v>
      </c>
      <c r="AD6575">
        <v>3.9553319999999998</v>
      </c>
      <c r="AE6575">
        <v>0.31622699999999998</v>
      </c>
      <c r="AF6575">
        <v>266.4579</v>
      </c>
      <c r="AG6575">
        <f>IFERROR(AH6575*0.1, "N/A")</f>
        <v>6.0675080000000001</v>
      </c>
      <c r="AH6575">
        <v>60.675080000000001</v>
      </c>
      <c r="AI6575">
        <v>233.4546</v>
      </c>
      <c r="AJ6575">
        <v>20.41919</v>
      </c>
      <c r="AK6575">
        <v>60.595959999999998</v>
      </c>
    </row>
    <row r="6576" spans="1:37" x14ac:dyDescent="0.3">
      <c r="A6576">
        <v>6575</v>
      </c>
      <c r="B6576">
        <v>0</v>
      </c>
      <c r="C6576">
        <v>-3.6183900000000002</v>
      </c>
      <c r="D6576">
        <v>14.1403</v>
      </c>
      <c r="E6576">
        <f>-3.61839-14.1403</f>
        <v>-17.758690000000001</v>
      </c>
      <c r="F6576" t="s">
        <v>10012</v>
      </c>
      <c r="G6576" t="s">
        <v>37</v>
      </c>
      <c r="H6576">
        <v>1994</v>
      </c>
      <c r="I6576">
        <v>27.3</v>
      </c>
      <c r="J6576">
        <v>13.8</v>
      </c>
      <c r="K6576">
        <v>54</v>
      </c>
      <c r="L6576">
        <v>29.7</v>
      </c>
      <c r="M6576">
        <v>39.299999999999997</v>
      </c>
      <c r="N6576">
        <v>13.9</v>
      </c>
      <c r="O6576">
        <v>25.4</v>
      </c>
      <c r="P6576">
        <v>27.3</v>
      </c>
      <c r="Q6576">
        <v>23.2</v>
      </c>
      <c r="R6576">
        <v>31.2</v>
      </c>
      <c r="S6576">
        <v>23.2</v>
      </c>
      <c r="T6576">
        <v>522</v>
      </c>
      <c r="U6576">
        <v>173</v>
      </c>
      <c r="V6576">
        <v>0</v>
      </c>
      <c r="W6576">
        <v>132</v>
      </c>
      <c r="X6576">
        <v>405</v>
      </c>
      <c r="Y6576">
        <v>0</v>
      </c>
      <c r="Z6576">
        <v>93</v>
      </c>
      <c r="AA6576">
        <v>0</v>
      </c>
      <c r="AB6576">
        <v>10.328060000000001</v>
      </c>
      <c r="AC6576">
        <v>8.8178450000000005E-2</v>
      </c>
      <c r="AD6576">
        <v>7.7035159999999996</v>
      </c>
      <c r="AE6576">
        <v>0.32269369999999997</v>
      </c>
      <c r="AF6576">
        <v>316.9008</v>
      </c>
      <c r="AG6576">
        <f>IFERROR(AH6576*0.1, "N/A")</f>
        <v>7.3000000000000007</v>
      </c>
      <c r="AH6576">
        <v>73</v>
      </c>
      <c r="AI6576">
        <v>166.47030000000001</v>
      </c>
      <c r="AJ6576">
        <v>17.947900000000001</v>
      </c>
      <c r="AK6576">
        <v>68.052099999999996</v>
      </c>
    </row>
    <row r="6577" spans="1:37" x14ac:dyDescent="0.3">
      <c r="A6577">
        <v>6576</v>
      </c>
      <c r="B6577">
        <v>54</v>
      </c>
      <c r="C6577">
        <v>-3.6183900000000002</v>
      </c>
      <c r="D6577">
        <v>14.1403</v>
      </c>
      <c r="E6577">
        <f>-3.61839-14.1403</f>
        <v>-17.758690000000001</v>
      </c>
      <c r="F6577" t="s">
        <v>10013</v>
      </c>
      <c r="G6577" t="s">
        <v>39</v>
      </c>
      <c r="H6577">
        <v>1994</v>
      </c>
      <c r="I6577">
        <v>27.3</v>
      </c>
      <c r="J6577">
        <v>13.8</v>
      </c>
      <c r="K6577">
        <v>54</v>
      </c>
      <c r="L6577">
        <v>29.7</v>
      </c>
      <c r="M6577">
        <v>39.299999999999997</v>
      </c>
      <c r="N6577">
        <v>13.9</v>
      </c>
      <c r="O6577">
        <v>25.4</v>
      </c>
      <c r="P6577">
        <v>27.3</v>
      </c>
      <c r="Q6577">
        <v>23.2</v>
      </c>
      <c r="R6577">
        <v>31.2</v>
      </c>
      <c r="S6577">
        <v>23.2</v>
      </c>
      <c r="T6577">
        <v>522</v>
      </c>
      <c r="U6577">
        <v>173</v>
      </c>
      <c r="V6577">
        <v>0</v>
      </c>
      <c r="W6577">
        <v>132</v>
      </c>
      <c r="X6577">
        <v>405</v>
      </c>
      <c r="Y6577">
        <v>0</v>
      </c>
      <c r="Z6577">
        <v>93</v>
      </c>
      <c r="AA6577">
        <v>0</v>
      </c>
      <c r="AB6577">
        <v>10.328060000000001</v>
      </c>
      <c r="AC6577">
        <v>8.8178450000000005E-2</v>
      </c>
      <c r="AD6577">
        <v>7.7035159999999996</v>
      </c>
      <c r="AE6577">
        <v>0.32269369999999997</v>
      </c>
      <c r="AF6577">
        <v>316.9008</v>
      </c>
      <c r="AG6577">
        <f>IFERROR(AH6577*0.1, "N/A")</f>
        <v>7.3000000000000007</v>
      </c>
      <c r="AH6577">
        <v>73</v>
      </c>
      <c r="AI6577">
        <v>166.47030000000001</v>
      </c>
      <c r="AJ6577">
        <v>17.947900000000001</v>
      </c>
      <c r="AK6577">
        <v>68.052099999999996</v>
      </c>
    </row>
    <row r="6578" spans="1:37" x14ac:dyDescent="0.3">
      <c r="A6578">
        <v>6577</v>
      </c>
      <c r="B6578">
        <v>42.2</v>
      </c>
      <c r="C6578">
        <v>-5.9775</v>
      </c>
      <c r="D6578">
        <v>14.1418</v>
      </c>
      <c r="E6578">
        <f>-5.9775-14.1418</f>
        <v>-20.119299999999999</v>
      </c>
      <c r="F6578" t="s">
        <v>10014</v>
      </c>
      <c r="G6578" t="s">
        <v>39</v>
      </c>
      <c r="H6578">
        <v>1990</v>
      </c>
      <c r="I6578">
        <v>27.2</v>
      </c>
      <c r="J6578">
        <v>15.7</v>
      </c>
      <c r="K6578">
        <v>57</v>
      </c>
      <c r="L6578">
        <v>28.03556</v>
      </c>
      <c r="M6578">
        <v>39.700000000000003</v>
      </c>
      <c r="N6578">
        <v>12.4</v>
      </c>
      <c r="O6578">
        <v>27.3</v>
      </c>
      <c r="P6578">
        <v>27.1</v>
      </c>
      <c r="Q6578">
        <v>25.1</v>
      </c>
      <c r="R6578">
        <v>30.90926</v>
      </c>
      <c r="S6578">
        <v>23.4</v>
      </c>
      <c r="T6578">
        <v>559.18520000000001</v>
      </c>
      <c r="U6578">
        <v>206.0926</v>
      </c>
      <c r="V6578">
        <v>0</v>
      </c>
      <c r="W6578">
        <v>143</v>
      </c>
      <c r="X6578">
        <v>458.18520000000001</v>
      </c>
      <c r="Y6578">
        <v>0</v>
      </c>
      <c r="Z6578">
        <v>81</v>
      </c>
      <c r="AA6578">
        <v>0</v>
      </c>
      <c r="AB6578">
        <v>0.72203689999999998</v>
      </c>
      <c r="AC6578">
        <v>3.1597439999999997E-2</v>
      </c>
      <c r="AD6578">
        <v>1.8218479999999999</v>
      </c>
      <c r="AE6578">
        <v>0.31471559999999998</v>
      </c>
      <c r="AF6578">
        <v>279.45620000000002</v>
      </c>
      <c r="AG6578">
        <f>IFERROR(AH6578*0.1, "N/A")</f>
        <v>5.924074000000001</v>
      </c>
      <c r="AH6578">
        <v>59.240740000000002</v>
      </c>
      <c r="AI6578">
        <v>220.7578</v>
      </c>
      <c r="AJ6578">
        <v>16.023569999999999</v>
      </c>
      <c r="AK6578">
        <v>67.735690000000005</v>
      </c>
    </row>
    <row r="6579" spans="1:37" x14ac:dyDescent="0.3">
      <c r="A6579">
        <v>6578</v>
      </c>
      <c r="B6579">
        <v>56.3</v>
      </c>
      <c r="C6579">
        <v>-5.9775</v>
      </c>
      <c r="D6579">
        <v>14.1418</v>
      </c>
      <c r="E6579">
        <f>-5.9775-14.1418</f>
        <v>-20.119299999999999</v>
      </c>
      <c r="F6579" t="s">
        <v>10015</v>
      </c>
      <c r="G6579" t="s">
        <v>37</v>
      </c>
      <c r="H6579">
        <v>1990</v>
      </c>
      <c r="I6579">
        <v>27.2</v>
      </c>
      <c r="J6579">
        <v>15.7</v>
      </c>
      <c r="K6579">
        <v>57</v>
      </c>
      <c r="L6579">
        <v>28.03556</v>
      </c>
      <c r="M6579">
        <v>39.700000000000003</v>
      </c>
      <c r="N6579">
        <v>12.4</v>
      </c>
      <c r="O6579">
        <v>27.3</v>
      </c>
      <c r="P6579">
        <v>27.1</v>
      </c>
      <c r="Q6579">
        <v>25.1</v>
      </c>
      <c r="R6579">
        <v>30.90926</v>
      </c>
      <c r="S6579">
        <v>23.4</v>
      </c>
      <c r="T6579">
        <v>559.18520000000001</v>
      </c>
      <c r="U6579">
        <v>206.0926</v>
      </c>
      <c r="V6579">
        <v>0</v>
      </c>
      <c r="W6579">
        <v>143</v>
      </c>
      <c r="X6579">
        <v>458.18520000000001</v>
      </c>
      <c r="Y6579">
        <v>0</v>
      </c>
      <c r="Z6579">
        <v>81</v>
      </c>
      <c r="AA6579">
        <v>0</v>
      </c>
      <c r="AB6579">
        <v>0.72203689999999998</v>
      </c>
      <c r="AC6579">
        <v>3.1597439999999997E-2</v>
      </c>
      <c r="AD6579">
        <v>1.8218479999999999</v>
      </c>
      <c r="AE6579">
        <v>0.31471559999999998</v>
      </c>
      <c r="AF6579">
        <v>279.45620000000002</v>
      </c>
      <c r="AG6579">
        <f>IFERROR(AH6579*0.1, "N/A")</f>
        <v>5.924074000000001</v>
      </c>
      <c r="AH6579">
        <v>59.240740000000002</v>
      </c>
      <c r="AI6579">
        <v>220.7578</v>
      </c>
      <c r="AJ6579">
        <v>16.023569999999999</v>
      </c>
      <c r="AK6579">
        <v>67.735690000000005</v>
      </c>
    </row>
    <row r="6580" spans="1:37" x14ac:dyDescent="0.3">
      <c r="A6580">
        <v>6579</v>
      </c>
      <c r="B6580">
        <v>20</v>
      </c>
      <c r="C6580">
        <v>-3.5945900000000002</v>
      </c>
      <c r="D6580">
        <v>14.145799999999999</v>
      </c>
      <c r="E6580">
        <f>-3.59459-14.1458</f>
        <v>-17.740389999999998</v>
      </c>
      <c r="F6580" t="s">
        <v>10016</v>
      </c>
      <c r="G6580" t="s">
        <v>37</v>
      </c>
      <c r="H6580">
        <v>1994</v>
      </c>
      <c r="I6580">
        <v>27.4</v>
      </c>
      <c r="J6580">
        <v>13.8</v>
      </c>
      <c r="K6580">
        <v>54</v>
      </c>
      <c r="L6580">
        <v>29.49</v>
      </c>
      <c r="M6580">
        <v>39.299999999999997</v>
      </c>
      <c r="N6580">
        <v>14</v>
      </c>
      <c r="O6580">
        <v>25.3</v>
      </c>
      <c r="P6580">
        <v>27.3</v>
      </c>
      <c r="Q6580">
        <v>23.3</v>
      </c>
      <c r="R6580">
        <v>31.2</v>
      </c>
      <c r="S6580">
        <v>23.3</v>
      </c>
      <c r="T6580">
        <v>522</v>
      </c>
      <c r="U6580">
        <v>173</v>
      </c>
      <c r="V6580">
        <v>0</v>
      </c>
      <c r="W6580">
        <v>132</v>
      </c>
      <c r="X6580">
        <v>405</v>
      </c>
      <c r="Y6580">
        <v>0</v>
      </c>
      <c r="Z6580">
        <v>93</v>
      </c>
      <c r="AA6580">
        <v>0</v>
      </c>
      <c r="AB6580">
        <v>5.9420120000000001</v>
      </c>
      <c r="AC6580">
        <v>5.2186360000000001E-2</v>
      </c>
      <c r="AD6580">
        <v>2.8555799999999998</v>
      </c>
      <c r="AE6580">
        <v>0.31429590000000002</v>
      </c>
      <c r="AF6580">
        <v>309.69080000000002</v>
      </c>
      <c r="AG6580">
        <f>IFERROR(AH6580*0.1, "N/A")</f>
        <v>7.149076</v>
      </c>
      <c r="AH6580">
        <v>71.490759999999995</v>
      </c>
      <c r="AI6580">
        <v>242.50280000000001</v>
      </c>
      <c r="AJ6580">
        <v>15.660500000000001</v>
      </c>
      <c r="AK6580">
        <v>70</v>
      </c>
    </row>
    <row r="6581" spans="1:37" x14ac:dyDescent="0.3">
      <c r="A6581">
        <v>6580</v>
      </c>
      <c r="B6581">
        <v>80</v>
      </c>
      <c r="C6581">
        <v>-3.5945900000000002</v>
      </c>
      <c r="D6581">
        <v>14.145799999999999</v>
      </c>
      <c r="E6581">
        <f>-3.59459-14.1458</f>
        <v>-17.740389999999998</v>
      </c>
      <c r="F6581" t="s">
        <v>10017</v>
      </c>
      <c r="G6581" t="s">
        <v>39</v>
      </c>
      <c r="H6581">
        <v>1994</v>
      </c>
      <c r="I6581">
        <v>27.4</v>
      </c>
      <c r="J6581">
        <v>13.8</v>
      </c>
      <c r="K6581">
        <v>54</v>
      </c>
      <c r="L6581">
        <v>29.49</v>
      </c>
      <c r="M6581">
        <v>39.299999999999997</v>
      </c>
      <c r="N6581">
        <v>14</v>
      </c>
      <c r="O6581">
        <v>25.3</v>
      </c>
      <c r="P6581">
        <v>27.3</v>
      </c>
      <c r="Q6581">
        <v>23.3</v>
      </c>
      <c r="R6581">
        <v>31.2</v>
      </c>
      <c r="S6581">
        <v>23.3</v>
      </c>
      <c r="T6581">
        <v>522</v>
      </c>
      <c r="U6581">
        <v>173</v>
      </c>
      <c r="V6581">
        <v>0</v>
      </c>
      <c r="W6581">
        <v>132</v>
      </c>
      <c r="X6581">
        <v>405</v>
      </c>
      <c r="Y6581">
        <v>0</v>
      </c>
      <c r="Z6581">
        <v>93</v>
      </c>
      <c r="AA6581">
        <v>0</v>
      </c>
      <c r="AB6581">
        <v>5.9420120000000001</v>
      </c>
      <c r="AC6581">
        <v>5.2186360000000001E-2</v>
      </c>
      <c r="AD6581">
        <v>2.8555799999999998</v>
      </c>
      <c r="AE6581">
        <v>0.31429590000000002</v>
      </c>
      <c r="AF6581">
        <v>309.69080000000002</v>
      </c>
      <c r="AG6581">
        <f>IFERROR(AH6581*0.1, "N/A")</f>
        <v>7.149076</v>
      </c>
      <c r="AH6581">
        <v>71.490759999999995</v>
      </c>
      <c r="AI6581">
        <v>242.50280000000001</v>
      </c>
      <c r="AJ6581">
        <v>15.660500000000001</v>
      </c>
      <c r="AK6581">
        <v>70</v>
      </c>
    </row>
    <row r="6582" spans="1:37" x14ac:dyDescent="0.3">
      <c r="A6582">
        <v>6581</v>
      </c>
      <c r="B6582">
        <v>64.900000000000006</v>
      </c>
      <c r="C6582">
        <v>-6.0957999999999997</v>
      </c>
      <c r="D6582">
        <v>14.1477</v>
      </c>
      <c r="E6582">
        <f>-6.0958-14.1477</f>
        <v>-20.243500000000001</v>
      </c>
      <c r="F6582" t="s">
        <v>10018</v>
      </c>
      <c r="G6582" t="s">
        <v>39</v>
      </c>
      <c r="H6582">
        <v>1990</v>
      </c>
      <c r="I6582">
        <v>27.3</v>
      </c>
      <c r="J6582">
        <v>15.7</v>
      </c>
      <c r="K6582">
        <v>58</v>
      </c>
      <c r="L6582">
        <v>28</v>
      </c>
      <c r="M6582">
        <v>39.6</v>
      </c>
      <c r="N6582">
        <v>12.6</v>
      </c>
      <c r="O6582">
        <v>27</v>
      </c>
      <c r="P6582">
        <v>27.1</v>
      </c>
      <c r="Q6582">
        <v>25.3</v>
      </c>
      <c r="R6582">
        <v>31</v>
      </c>
      <c r="S6582">
        <v>23.5</v>
      </c>
      <c r="T6582">
        <v>550</v>
      </c>
      <c r="U6582">
        <v>201</v>
      </c>
      <c r="V6582">
        <v>0</v>
      </c>
      <c r="W6582">
        <v>143</v>
      </c>
      <c r="X6582">
        <v>449</v>
      </c>
      <c r="Y6582">
        <v>0</v>
      </c>
      <c r="Z6582">
        <v>81</v>
      </c>
      <c r="AA6582">
        <v>0</v>
      </c>
      <c r="AB6582">
        <v>0.41316629999999999</v>
      </c>
      <c r="AC6582">
        <v>1.9146469999999999E-2</v>
      </c>
      <c r="AD6582">
        <v>1.773847</v>
      </c>
      <c r="AE6582">
        <v>0.66378090000000001</v>
      </c>
      <c r="AF6582">
        <v>279.8331</v>
      </c>
      <c r="AG6582">
        <f>IFERROR(AH6582*0.1, "N/A")</f>
        <v>6.1301850000000009</v>
      </c>
      <c r="AH6582">
        <v>61.301850000000002</v>
      </c>
      <c r="AI6582">
        <v>208.5942</v>
      </c>
      <c r="AJ6582">
        <v>14.047219999999999</v>
      </c>
      <c r="AK6582">
        <v>62.952779999999997</v>
      </c>
    </row>
    <row r="6583" spans="1:37" x14ac:dyDescent="0.3">
      <c r="A6583">
        <v>6582</v>
      </c>
      <c r="B6583">
        <v>29.4</v>
      </c>
      <c r="C6583">
        <v>-6.0957999999999997</v>
      </c>
      <c r="D6583">
        <v>14.1477</v>
      </c>
      <c r="E6583">
        <f>-6.0958-14.1477</f>
        <v>-20.243500000000001</v>
      </c>
      <c r="F6583" t="s">
        <v>10019</v>
      </c>
      <c r="G6583" t="s">
        <v>37</v>
      </c>
      <c r="H6583">
        <v>1990</v>
      </c>
      <c r="I6583">
        <v>27.3</v>
      </c>
      <c r="J6583">
        <v>15.7</v>
      </c>
      <c r="K6583">
        <v>58</v>
      </c>
      <c r="L6583">
        <v>28</v>
      </c>
      <c r="M6583">
        <v>39.6</v>
      </c>
      <c r="N6583">
        <v>12.6</v>
      </c>
      <c r="O6583">
        <v>27</v>
      </c>
      <c r="P6583">
        <v>27.1</v>
      </c>
      <c r="Q6583">
        <v>25.3</v>
      </c>
      <c r="R6583">
        <v>31</v>
      </c>
      <c r="S6583">
        <v>23.5</v>
      </c>
      <c r="T6583">
        <v>550</v>
      </c>
      <c r="U6583">
        <v>201</v>
      </c>
      <c r="V6583">
        <v>0</v>
      </c>
      <c r="W6583">
        <v>143</v>
      </c>
      <c r="X6583">
        <v>449</v>
      </c>
      <c r="Y6583">
        <v>0</v>
      </c>
      <c r="Z6583">
        <v>81</v>
      </c>
      <c r="AA6583">
        <v>0</v>
      </c>
      <c r="AB6583">
        <v>0.41316629999999999</v>
      </c>
      <c r="AC6583">
        <v>1.9146469999999999E-2</v>
      </c>
      <c r="AD6583">
        <v>1.773847</v>
      </c>
      <c r="AE6583">
        <v>0.66378090000000001</v>
      </c>
      <c r="AF6583">
        <v>279.8331</v>
      </c>
      <c r="AG6583">
        <f>IFERROR(AH6583*0.1, "N/A")</f>
        <v>6.1301850000000009</v>
      </c>
      <c r="AH6583">
        <v>61.301850000000002</v>
      </c>
      <c r="AI6583">
        <v>208.5942</v>
      </c>
      <c r="AJ6583">
        <v>14.047219999999999</v>
      </c>
      <c r="AK6583">
        <v>62.952779999999997</v>
      </c>
    </row>
    <row r="6584" spans="1:37" x14ac:dyDescent="0.3">
      <c r="A6584">
        <v>6583</v>
      </c>
      <c r="B6584">
        <v>55</v>
      </c>
      <c r="C6584">
        <v>-6.0339999999999998</v>
      </c>
      <c r="D6584">
        <v>14.148</v>
      </c>
      <c r="E6584">
        <f>-6.034-14.148</f>
        <v>-20.181999999999999</v>
      </c>
      <c r="F6584" t="s">
        <v>10020</v>
      </c>
      <c r="G6584" t="s">
        <v>39</v>
      </c>
      <c r="H6584">
        <v>1987</v>
      </c>
      <c r="I6584">
        <v>27.3</v>
      </c>
      <c r="J6584">
        <v>15.7</v>
      </c>
      <c r="K6584">
        <v>57</v>
      </c>
      <c r="L6584">
        <v>28.23</v>
      </c>
      <c r="M6584">
        <v>39.700000000000003</v>
      </c>
      <c r="N6584">
        <v>12.5</v>
      </c>
      <c r="O6584">
        <v>27.2</v>
      </c>
      <c r="P6584">
        <v>27.1</v>
      </c>
      <c r="Q6584">
        <v>25.1</v>
      </c>
      <c r="R6584">
        <v>31</v>
      </c>
      <c r="S6584">
        <v>23.4</v>
      </c>
      <c r="T6584">
        <v>554</v>
      </c>
      <c r="U6584">
        <v>204</v>
      </c>
      <c r="V6584">
        <v>0</v>
      </c>
      <c r="W6584">
        <v>142</v>
      </c>
      <c r="X6584">
        <v>453</v>
      </c>
      <c r="Y6584">
        <v>0</v>
      </c>
      <c r="Z6584">
        <v>81</v>
      </c>
      <c r="AA6584">
        <v>0</v>
      </c>
      <c r="AB6584">
        <v>0.22379470000000001</v>
      </c>
      <c r="AC6584">
        <v>4.1745249999999998E-2</v>
      </c>
      <c r="AD6584">
        <v>1.238766</v>
      </c>
      <c r="AE6584">
        <v>0.54107450000000001</v>
      </c>
      <c r="AF6584">
        <v>276.74200000000002</v>
      </c>
      <c r="AG6584">
        <f>IFERROR(AH6584*0.1, "N/A")</f>
        <v>6.1000000000000005</v>
      </c>
      <c r="AH6584">
        <v>61</v>
      </c>
      <c r="AI6584">
        <v>121.2101</v>
      </c>
      <c r="AJ6584">
        <v>28</v>
      </c>
      <c r="AK6584">
        <v>51</v>
      </c>
    </row>
    <row r="6585" spans="1:37" x14ac:dyDescent="0.3">
      <c r="A6585">
        <v>6584</v>
      </c>
      <c r="B6585">
        <v>61.1</v>
      </c>
      <c r="C6585">
        <v>-6.0339999999999998</v>
      </c>
      <c r="D6585">
        <v>14.148</v>
      </c>
      <c r="E6585">
        <f>-6.034-14.148</f>
        <v>-20.181999999999999</v>
      </c>
      <c r="F6585" t="s">
        <v>10021</v>
      </c>
      <c r="G6585" t="s">
        <v>37</v>
      </c>
      <c r="H6585">
        <v>1987</v>
      </c>
      <c r="I6585">
        <v>27.3</v>
      </c>
      <c r="J6585">
        <v>15.7</v>
      </c>
      <c r="K6585">
        <v>57</v>
      </c>
      <c r="L6585">
        <v>28.23</v>
      </c>
      <c r="M6585">
        <v>39.700000000000003</v>
      </c>
      <c r="N6585">
        <v>12.5</v>
      </c>
      <c r="O6585">
        <v>27.2</v>
      </c>
      <c r="P6585">
        <v>27.1</v>
      </c>
      <c r="Q6585">
        <v>25.1</v>
      </c>
      <c r="R6585">
        <v>31</v>
      </c>
      <c r="S6585">
        <v>23.4</v>
      </c>
      <c r="T6585">
        <v>554</v>
      </c>
      <c r="U6585">
        <v>204</v>
      </c>
      <c r="V6585">
        <v>0</v>
      </c>
      <c r="W6585">
        <v>142</v>
      </c>
      <c r="X6585">
        <v>453</v>
      </c>
      <c r="Y6585">
        <v>0</v>
      </c>
      <c r="Z6585">
        <v>81</v>
      </c>
      <c r="AA6585">
        <v>0</v>
      </c>
      <c r="AB6585">
        <v>0.22379470000000001</v>
      </c>
      <c r="AC6585">
        <v>4.1745249999999998E-2</v>
      </c>
      <c r="AD6585">
        <v>1.238766</v>
      </c>
      <c r="AE6585">
        <v>0.54107450000000001</v>
      </c>
      <c r="AF6585">
        <v>276.74200000000002</v>
      </c>
      <c r="AG6585">
        <f>IFERROR(AH6585*0.1, "N/A")</f>
        <v>6.1000000000000005</v>
      </c>
      <c r="AH6585">
        <v>61</v>
      </c>
      <c r="AI6585">
        <v>121.2101</v>
      </c>
      <c r="AJ6585">
        <v>28</v>
      </c>
      <c r="AK6585">
        <v>51</v>
      </c>
    </row>
    <row r="6586" spans="1:37" x14ac:dyDescent="0.3">
      <c r="A6586">
        <v>6585</v>
      </c>
      <c r="B6586">
        <v>24</v>
      </c>
      <c r="C6586">
        <v>-4.9934700000000003</v>
      </c>
      <c r="D6586">
        <v>14.149900000000001</v>
      </c>
      <c r="E6586">
        <f>-4.99347-14.1499</f>
        <v>-19.143370000000001</v>
      </c>
      <c r="F6586" t="s">
        <v>10022</v>
      </c>
      <c r="G6586" t="s">
        <v>39</v>
      </c>
      <c r="H6586">
        <v>1990</v>
      </c>
      <c r="I6586">
        <v>26.976970000000001</v>
      </c>
      <c r="J6586">
        <v>14.4</v>
      </c>
      <c r="K6586">
        <v>51</v>
      </c>
      <c r="L6586">
        <v>33.263089999999998</v>
      </c>
      <c r="M6586">
        <v>40</v>
      </c>
      <c r="N6586">
        <v>11.8</v>
      </c>
      <c r="O6586">
        <v>28.2</v>
      </c>
      <c r="P6586">
        <v>27.67698</v>
      </c>
      <c r="Q6586">
        <v>23.87697</v>
      </c>
      <c r="R6586">
        <v>31.076979999999999</v>
      </c>
      <c r="S6586">
        <v>22.1</v>
      </c>
      <c r="T6586">
        <v>564.07899999999995</v>
      </c>
      <c r="U6586">
        <v>213</v>
      </c>
      <c r="V6586">
        <v>0</v>
      </c>
      <c r="W6586">
        <v>141.6908</v>
      </c>
      <c r="X6586">
        <v>455.7697</v>
      </c>
      <c r="Y6586">
        <v>0</v>
      </c>
      <c r="Z6586">
        <v>90.539500000000004</v>
      </c>
      <c r="AA6586">
        <v>1</v>
      </c>
      <c r="AB6586">
        <v>1.3421799999999999</v>
      </c>
      <c r="AC6586">
        <v>0.29489399999999999</v>
      </c>
      <c r="AD6586">
        <v>1.7002379999999999</v>
      </c>
      <c r="AE6586">
        <v>0.24290919999999999</v>
      </c>
      <c r="AF6586">
        <v>271.1798</v>
      </c>
      <c r="AG6586">
        <f>IFERROR(AH6586*0.1, "N/A")</f>
        <v>6.8631929999999999</v>
      </c>
      <c r="AH6586">
        <v>68.631929999999997</v>
      </c>
      <c r="AI6586">
        <v>123.74939999999999</v>
      </c>
      <c r="AJ6586">
        <v>22.645379999999999</v>
      </c>
      <c r="AK6586">
        <v>57.643700000000003</v>
      </c>
    </row>
    <row r="6587" spans="1:37" x14ac:dyDescent="0.3">
      <c r="A6587">
        <v>6586</v>
      </c>
      <c r="B6587">
        <v>0.7</v>
      </c>
      <c r="C6587">
        <v>-4.9934700000000003</v>
      </c>
      <c r="D6587">
        <v>14.149900000000001</v>
      </c>
      <c r="E6587">
        <f>-4.99347-14.1499</f>
        <v>-19.143370000000001</v>
      </c>
      <c r="F6587" t="s">
        <v>10023</v>
      </c>
      <c r="G6587" t="s">
        <v>37</v>
      </c>
      <c r="H6587">
        <v>1990</v>
      </c>
      <c r="I6587">
        <v>26.976970000000001</v>
      </c>
      <c r="J6587">
        <v>14.4</v>
      </c>
      <c r="K6587">
        <v>51</v>
      </c>
      <c r="L6587">
        <v>33.263089999999998</v>
      </c>
      <c r="M6587">
        <v>40</v>
      </c>
      <c r="N6587">
        <v>11.8</v>
      </c>
      <c r="O6587">
        <v>28.2</v>
      </c>
      <c r="P6587">
        <v>27.67698</v>
      </c>
      <c r="Q6587">
        <v>23.87697</v>
      </c>
      <c r="R6587">
        <v>31.076979999999999</v>
      </c>
      <c r="S6587">
        <v>22.1</v>
      </c>
      <c r="T6587">
        <v>564.07899999999995</v>
      </c>
      <c r="U6587">
        <v>213</v>
      </c>
      <c r="V6587">
        <v>0</v>
      </c>
      <c r="W6587">
        <v>141.6908</v>
      </c>
      <c r="X6587">
        <v>455.7697</v>
      </c>
      <c r="Y6587">
        <v>0</v>
      </c>
      <c r="Z6587">
        <v>90.539500000000004</v>
      </c>
      <c r="AA6587">
        <v>1</v>
      </c>
      <c r="AB6587">
        <v>1.3421799999999999</v>
      </c>
      <c r="AC6587">
        <v>0.29489399999999999</v>
      </c>
      <c r="AD6587">
        <v>1.7002379999999999</v>
      </c>
      <c r="AE6587">
        <v>0.24290919999999999</v>
      </c>
      <c r="AF6587">
        <v>271.1798</v>
      </c>
      <c r="AG6587">
        <f>IFERROR(AH6587*0.1, "N/A")</f>
        <v>6.8631929999999999</v>
      </c>
      <c r="AH6587">
        <v>68.631929999999997</v>
      </c>
      <c r="AI6587">
        <v>123.74939999999999</v>
      </c>
      <c r="AJ6587">
        <v>22.645379999999999</v>
      </c>
      <c r="AK6587">
        <v>57.643700000000003</v>
      </c>
    </row>
    <row r="6588" spans="1:37" x14ac:dyDescent="0.3">
      <c r="A6588">
        <v>6587</v>
      </c>
      <c r="B6588">
        <v>17.5</v>
      </c>
      <c r="C6588">
        <v>-4.5089100000000002</v>
      </c>
      <c r="D6588">
        <v>14.1525</v>
      </c>
      <c r="E6588">
        <f>-4.50891-14.1525</f>
        <v>-18.66141</v>
      </c>
      <c r="F6588" t="s">
        <v>10024</v>
      </c>
      <c r="G6588" t="s">
        <v>39</v>
      </c>
      <c r="H6588">
        <v>1990</v>
      </c>
      <c r="I6588">
        <v>27.3</v>
      </c>
      <c r="J6588">
        <v>14.2</v>
      </c>
      <c r="K6588">
        <v>52</v>
      </c>
      <c r="L6588">
        <v>31.606570000000001</v>
      </c>
      <c r="M6588">
        <v>40</v>
      </c>
      <c r="N6588">
        <v>12.9</v>
      </c>
      <c r="O6588">
        <v>27.1</v>
      </c>
      <c r="P6588">
        <v>27.6</v>
      </c>
      <c r="Q6588">
        <v>24.6</v>
      </c>
      <c r="R6588">
        <v>31.3</v>
      </c>
      <c r="S6588">
        <v>22.77074</v>
      </c>
      <c r="T6588">
        <v>520</v>
      </c>
      <c r="U6588">
        <v>180</v>
      </c>
      <c r="V6588">
        <v>0</v>
      </c>
      <c r="W6588">
        <v>134</v>
      </c>
      <c r="X6588">
        <v>404</v>
      </c>
      <c r="Y6588">
        <v>1</v>
      </c>
      <c r="Z6588">
        <v>96</v>
      </c>
      <c r="AA6588">
        <v>1</v>
      </c>
      <c r="AB6588">
        <v>1.5617019999999999</v>
      </c>
      <c r="AC6588">
        <v>92.775329999999997</v>
      </c>
      <c r="AD6588">
        <v>1.497417</v>
      </c>
      <c r="AE6588">
        <v>0.42050270000000001</v>
      </c>
      <c r="AF6588">
        <v>264.49160000000001</v>
      </c>
      <c r="AG6588">
        <f>IFERROR(AH6588*0.1, "N/A")</f>
        <v>5.8707360000000008</v>
      </c>
      <c r="AH6588">
        <v>58.707360000000001</v>
      </c>
      <c r="AI6588">
        <v>185.61760000000001</v>
      </c>
      <c r="AJ6588">
        <v>18.170570000000001</v>
      </c>
      <c r="AK6588">
        <v>59.015050000000002</v>
      </c>
    </row>
    <row r="6589" spans="1:37" x14ac:dyDescent="0.3">
      <c r="A6589">
        <v>6588</v>
      </c>
      <c r="B6589">
        <v>0</v>
      </c>
      <c r="C6589">
        <v>-4.5089100000000002</v>
      </c>
      <c r="D6589">
        <v>14.1525</v>
      </c>
      <c r="E6589">
        <f>-4.50891-14.1525</f>
        <v>-18.66141</v>
      </c>
      <c r="F6589" t="s">
        <v>10025</v>
      </c>
      <c r="G6589" t="s">
        <v>37</v>
      </c>
      <c r="H6589">
        <v>1990</v>
      </c>
      <c r="I6589">
        <v>27.3</v>
      </c>
      <c r="J6589">
        <v>14.2</v>
      </c>
      <c r="K6589">
        <v>52</v>
      </c>
      <c r="L6589">
        <v>31.606570000000001</v>
      </c>
      <c r="M6589">
        <v>40</v>
      </c>
      <c r="N6589">
        <v>12.9</v>
      </c>
      <c r="O6589">
        <v>27.1</v>
      </c>
      <c r="P6589">
        <v>27.6</v>
      </c>
      <c r="Q6589">
        <v>24.6</v>
      </c>
      <c r="R6589">
        <v>31.3</v>
      </c>
      <c r="S6589">
        <v>22.77074</v>
      </c>
      <c r="T6589">
        <v>520</v>
      </c>
      <c r="U6589">
        <v>180</v>
      </c>
      <c r="V6589">
        <v>0</v>
      </c>
      <c r="W6589">
        <v>134</v>
      </c>
      <c r="X6589">
        <v>404</v>
      </c>
      <c r="Y6589">
        <v>1</v>
      </c>
      <c r="Z6589">
        <v>96</v>
      </c>
      <c r="AA6589">
        <v>1</v>
      </c>
      <c r="AB6589">
        <v>1.5617019999999999</v>
      </c>
      <c r="AC6589">
        <v>92.775329999999997</v>
      </c>
      <c r="AD6589">
        <v>1.497417</v>
      </c>
      <c r="AE6589">
        <v>0.42050270000000001</v>
      </c>
      <c r="AF6589">
        <v>264.49160000000001</v>
      </c>
      <c r="AG6589">
        <f>IFERROR(AH6589*0.1, "N/A")</f>
        <v>5.8707360000000008</v>
      </c>
      <c r="AH6589">
        <v>58.707360000000001</v>
      </c>
      <c r="AI6589">
        <v>185.61760000000001</v>
      </c>
      <c r="AJ6589">
        <v>18.170570000000001</v>
      </c>
      <c r="AK6589">
        <v>59.015050000000002</v>
      </c>
    </row>
    <row r="6590" spans="1:37" x14ac:dyDescent="0.3">
      <c r="A6590">
        <v>6589</v>
      </c>
      <c r="B6590">
        <v>1.9</v>
      </c>
      <c r="C6590">
        <v>-3.49057</v>
      </c>
      <c r="D6590">
        <v>14.154500000000001</v>
      </c>
      <c r="E6590">
        <f>-3.49057-14.1545</f>
        <v>-17.64507</v>
      </c>
      <c r="F6590" t="s">
        <v>10026</v>
      </c>
      <c r="G6590" t="s">
        <v>39</v>
      </c>
      <c r="H6590">
        <v>1990</v>
      </c>
      <c r="I6590">
        <v>27.5</v>
      </c>
      <c r="J6590">
        <v>13.8</v>
      </c>
      <c r="K6590">
        <v>54</v>
      </c>
      <c r="L6590">
        <v>29.22</v>
      </c>
      <c r="M6590">
        <v>39.299999999999997</v>
      </c>
      <c r="N6590">
        <v>14.2</v>
      </c>
      <c r="O6590">
        <v>25.1</v>
      </c>
      <c r="P6590">
        <v>27.4</v>
      </c>
      <c r="Q6590">
        <v>23.4</v>
      </c>
      <c r="R6590">
        <v>31.3</v>
      </c>
      <c r="S6590">
        <v>23.4</v>
      </c>
      <c r="T6590">
        <v>519</v>
      </c>
      <c r="U6590">
        <v>172</v>
      </c>
      <c r="V6590">
        <v>0</v>
      </c>
      <c r="W6590">
        <v>131</v>
      </c>
      <c r="X6590">
        <v>403</v>
      </c>
      <c r="Y6590">
        <v>0</v>
      </c>
      <c r="Z6590">
        <v>92</v>
      </c>
      <c r="AA6590">
        <v>0</v>
      </c>
      <c r="AB6590">
        <v>8.5645319999999998</v>
      </c>
      <c r="AC6590">
        <v>8.0828129999999998E-2</v>
      </c>
      <c r="AD6590">
        <v>2.3063069999999999</v>
      </c>
      <c r="AE6590">
        <v>0.47035900000000003</v>
      </c>
      <c r="AF6590">
        <v>302.6857</v>
      </c>
      <c r="AG6590">
        <f>IFERROR(AH6590*0.1, "N/A")</f>
        <v>6.7050420000000006</v>
      </c>
      <c r="AH6590">
        <v>67.050420000000003</v>
      </c>
      <c r="AI6590">
        <v>98.787360000000007</v>
      </c>
      <c r="AJ6590">
        <v>12.949579999999999</v>
      </c>
      <c r="AK6590">
        <v>73.050420000000003</v>
      </c>
    </row>
    <row r="6591" spans="1:37" x14ac:dyDescent="0.3">
      <c r="A6591">
        <v>6590</v>
      </c>
      <c r="B6591">
        <v>0</v>
      </c>
      <c r="C6591">
        <v>-3.49057</v>
      </c>
      <c r="D6591">
        <v>14.154500000000001</v>
      </c>
      <c r="E6591">
        <f>-3.49057-14.1545</f>
        <v>-17.64507</v>
      </c>
      <c r="F6591" t="s">
        <v>10027</v>
      </c>
      <c r="G6591" t="s">
        <v>37</v>
      </c>
      <c r="H6591">
        <v>1990</v>
      </c>
      <c r="I6591">
        <v>27.5</v>
      </c>
      <c r="J6591">
        <v>13.8</v>
      </c>
      <c r="K6591">
        <v>54</v>
      </c>
      <c r="L6591">
        <v>29.22</v>
      </c>
      <c r="M6591">
        <v>39.299999999999997</v>
      </c>
      <c r="N6591">
        <v>14.2</v>
      </c>
      <c r="O6591">
        <v>25.1</v>
      </c>
      <c r="P6591">
        <v>27.4</v>
      </c>
      <c r="Q6591">
        <v>23.4</v>
      </c>
      <c r="R6591">
        <v>31.3</v>
      </c>
      <c r="S6591">
        <v>23.4</v>
      </c>
      <c r="T6591">
        <v>519</v>
      </c>
      <c r="U6591">
        <v>172</v>
      </c>
      <c r="V6591">
        <v>0</v>
      </c>
      <c r="W6591">
        <v>131</v>
      </c>
      <c r="X6591">
        <v>403</v>
      </c>
      <c r="Y6591">
        <v>0</v>
      </c>
      <c r="Z6591">
        <v>92</v>
      </c>
      <c r="AA6591">
        <v>0</v>
      </c>
      <c r="AB6591">
        <v>8.5645319999999998</v>
      </c>
      <c r="AC6591">
        <v>8.0828129999999998E-2</v>
      </c>
      <c r="AD6591">
        <v>2.3063069999999999</v>
      </c>
      <c r="AE6591">
        <v>0.47035900000000003</v>
      </c>
      <c r="AF6591">
        <v>302.6857</v>
      </c>
      <c r="AG6591">
        <f>IFERROR(AH6591*0.1, "N/A")</f>
        <v>6.7050420000000006</v>
      </c>
      <c r="AH6591">
        <v>67.050420000000003</v>
      </c>
      <c r="AI6591">
        <v>98.787360000000007</v>
      </c>
      <c r="AJ6591">
        <v>12.949579999999999</v>
      </c>
      <c r="AK6591">
        <v>73.050420000000003</v>
      </c>
    </row>
    <row r="6592" spans="1:37" x14ac:dyDescent="0.3">
      <c r="A6592">
        <v>6591</v>
      </c>
      <c r="B6592">
        <v>44.4</v>
      </c>
      <c r="C6592">
        <v>-6.0277000000000003</v>
      </c>
      <c r="D6592">
        <v>14.1557</v>
      </c>
      <c r="E6592">
        <f>-6.0277-14.1557</f>
        <v>-20.183399999999999</v>
      </c>
      <c r="F6592" t="s">
        <v>10028</v>
      </c>
      <c r="G6592" t="s">
        <v>39</v>
      </c>
      <c r="H6592">
        <v>1990</v>
      </c>
      <c r="I6592">
        <v>27.3</v>
      </c>
      <c r="J6592">
        <v>15.7</v>
      </c>
      <c r="K6592">
        <v>57</v>
      </c>
      <c r="L6592">
        <v>28.22</v>
      </c>
      <c r="M6592">
        <v>39.700000000000003</v>
      </c>
      <c r="N6592">
        <v>12.5</v>
      </c>
      <c r="O6592">
        <v>27.2</v>
      </c>
      <c r="P6592">
        <v>27.1</v>
      </c>
      <c r="Q6592">
        <v>25.2</v>
      </c>
      <c r="R6592">
        <v>31</v>
      </c>
      <c r="S6592">
        <v>23.4</v>
      </c>
      <c r="T6592">
        <v>554</v>
      </c>
      <c r="U6592">
        <v>204</v>
      </c>
      <c r="V6592">
        <v>0</v>
      </c>
      <c r="W6592">
        <v>142</v>
      </c>
      <c r="X6592">
        <v>454</v>
      </c>
      <c r="Y6592">
        <v>0</v>
      </c>
      <c r="Z6592">
        <v>80</v>
      </c>
      <c r="AA6592">
        <v>0</v>
      </c>
      <c r="AB6592">
        <v>0.90995079999999995</v>
      </c>
      <c r="AC6592">
        <v>476.96350000000001</v>
      </c>
      <c r="AD6592">
        <v>2.1059269999999999</v>
      </c>
      <c r="AE6592">
        <v>0.46106560000000002</v>
      </c>
      <c r="AF6592">
        <v>278.22930000000002</v>
      </c>
      <c r="AG6592">
        <f>IFERROR(AH6592*0.1, "N/A")</f>
        <v>6.4112979999999995</v>
      </c>
      <c r="AH6592">
        <v>64.112979999999993</v>
      </c>
      <c r="AI6592">
        <v>153.72030000000001</v>
      </c>
      <c r="AJ6592">
        <v>29.11298</v>
      </c>
      <c r="AK6592">
        <v>51.88702</v>
      </c>
    </row>
    <row r="6593" spans="1:37" x14ac:dyDescent="0.3">
      <c r="A6593">
        <v>6592</v>
      </c>
      <c r="B6593">
        <v>60.3</v>
      </c>
      <c r="C6593">
        <v>-6.0277000000000003</v>
      </c>
      <c r="D6593">
        <v>14.1557</v>
      </c>
      <c r="E6593">
        <f>-6.0277-14.1557</f>
        <v>-20.183399999999999</v>
      </c>
      <c r="F6593" t="s">
        <v>10029</v>
      </c>
      <c r="G6593" t="s">
        <v>37</v>
      </c>
      <c r="H6593">
        <v>1990</v>
      </c>
      <c r="I6593">
        <v>27.3</v>
      </c>
      <c r="J6593">
        <v>15.7</v>
      </c>
      <c r="K6593">
        <v>57</v>
      </c>
      <c r="L6593">
        <v>28.22</v>
      </c>
      <c r="M6593">
        <v>39.700000000000003</v>
      </c>
      <c r="N6593">
        <v>12.5</v>
      </c>
      <c r="O6593">
        <v>27.2</v>
      </c>
      <c r="P6593">
        <v>27.1</v>
      </c>
      <c r="Q6593">
        <v>25.2</v>
      </c>
      <c r="R6593">
        <v>31</v>
      </c>
      <c r="S6593">
        <v>23.4</v>
      </c>
      <c r="T6593">
        <v>554</v>
      </c>
      <c r="U6593">
        <v>204</v>
      </c>
      <c r="V6593">
        <v>0</v>
      </c>
      <c r="W6593">
        <v>142</v>
      </c>
      <c r="X6593">
        <v>454</v>
      </c>
      <c r="Y6593">
        <v>0</v>
      </c>
      <c r="Z6593">
        <v>80</v>
      </c>
      <c r="AA6593">
        <v>0</v>
      </c>
      <c r="AB6593">
        <v>0.90995079999999995</v>
      </c>
      <c r="AC6593">
        <v>476.96350000000001</v>
      </c>
      <c r="AD6593">
        <v>2.1059269999999999</v>
      </c>
      <c r="AE6593">
        <v>0.46106560000000002</v>
      </c>
      <c r="AF6593">
        <v>278.22930000000002</v>
      </c>
      <c r="AG6593">
        <f>IFERROR(AH6593*0.1, "N/A")</f>
        <v>6.4112979999999995</v>
      </c>
      <c r="AH6593">
        <v>64.112979999999993</v>
      </c>
      <c r="AI6593">
        <v>153.72030000000001</v>
      </c>
      <c r="AJ6593">
        <v>29.11298</v>
      </c>
      <c r="AK6593">
        <v>51.88702</v>
      </c>
    </row>
    <row r="6594" spans="1:37" x14ac:dyDescent="0.3">
      <c r="A6594">
        <v>6593</v>
      </c>
      <c r="B6594">
        <v>67.7</v>
      </c>
      <c r="C6594">
        <v>-6.0004799999999996</v>
      </c>
      <c r="D6594">
        <v>14.156499999999999</v>
      </c>
      <c r="E6594">
        <f>-6.00048-14.1565</f>
        <v>-20.156979999999997</v>
      </c>
      <c r="F6594" t="s">
        <v>10030</v>
      </c>
      <c r="G6594" t="s">
        <v>39</v>
      </c>
      <c r="H6594">
        <v>1990</v>
      </c>
      <c r="I6594">
        <v>27.2</v>
      </c>
      <c r="J6594">
        <v>15.7</v>
      </c>
      <c r="K6594">
        <v>57</v>
      </c>
      <c r="L6594">
        <v>28.07132</v>
      </c>
      <c r="M6594">
        <v>39.700000000000003</v>
      </c>
      <c r="N6594">
        <v>12.5</v>
      </c>
      <c r="O6594">
        <v>27.2</v>
      </c>
      <c r="P6594">
        <v>27.1</v>
      </c>
      <c r="Q6594">
        <v>25.2</v>
      </c>
      <c r="R6594">
        <v>30.9</v>
      </c>
      <c r="S6594">
        <v>23.4</v>
      </c>
      <c r="T6594">
        <v>555.04380000000003</v>
      </c>
      <c r="U6594">
        <v>205</v>
      </c>
      <c r="V6594">
        <v>0</v>
      </c>
      <c r="W6594">
        <v>142</v>
      </c>
      <c r="X6594">
        <v>455.04379999999998</v>
      </c>
      <c r="Y6594">
        <v>0</v>
      </c>
      <c r="Z6594">
        <v>80</v>
      </c>
      <c r="AA6594">
        <v>0</v>
      </c>
      <c r="AB6594">
        <v>0.94671649999999996</v>
      </c>
      <c r="AC6594">
        <v>8.2932690000000007E-3</v>
      </c>
      <c r="AD6594">
        <v>0.79341720000000004</v>
      </c>
      <c r="AE6594">
        <v>0.59975020000000001</v>
      </c>
      <c r="AF6594">
        <v>279.76729999999998</v>
      </c>
      <c r="AG6594">
        <f>IFERROR(AH6594*0.1, "N/A")</f>
        <v>6.1000000000000005</v>
      </c>
      <c r="AH6594">
        <v>61</v>
      </c>
      <c r="AI6594">
        <v>146.01480000000001</v>
      </c>
      <c r="AJ6594">
        <v>17.868469999999999</v>
      </c>
      <c r="AK6594">
        <v>56.263069999999999</v>
      </c>
    </row>
    <row r="6595" spans="1:37" x14ac:dyDescent="0.3">
      <c r="A6595">
        <v>6594</v>
      </c>
      <c r="B6595">
        <v>57.4</v>
      </c>
      <c r="C6595">
        <v>-6.0004799999999996</v>
      </c>
      <c r="D6595">
        <v>14.156499999999999</v>
      </c>
      <c r="E6595">
        <f>-6.00048-14.1565</f>
        <v>-20.156979999999997</v>
      </c>
      <c r="F6595" t="s">
        <v>10031</v>
      </c>
      <c r="G6595" t="s">
        <v>37</v>
      </c>
      <c r="H6595">
        <v>1990</v>
      </c>
      <c r="I6595">
        <v>27.2</v>
      </c>
      <c r="J6595">
        <v>15.7</v>
      </c>
      <c r="K6595">
        <v>57</v>
      </c>
      <c r="L6595">
        <v>28.07132</v>
      </c>
      <c r="M6595">
        <v>39.700000000000003</v>
      </c>
      <c r="N6595">
        <v>12.5</v>
      </c>
      <c r="O6595">
        <v>27.2</v>
      </c>
      <c r="P6595">
        <v>27.1</v>
      </c>
      <c r="Q6595">
        <v>25.2</v>
      </c>
      <c r="R6595">
        <v>30.9</v>
      </c>
      <c r="S6595">
        <v>23.4</v>
      </c>
      <c r="T6595">
        <v>555.04380000000003</v>
      </c>
      <c r="U6595">
        <v>205</v>
      </c>
      <c r="V6595">
        <v>0</v>
      </c>
      <c r="W6595">
        <v>142</v>
      </c>
      <c r="X6595">
        <v>455.04379999999998</v>
      </c>
      <c r="Y6595">
        <v>0</v>
      </c>
      <c r="Z6595">
        <v>80</v>
      </c>
      <c r="AA6595">
        <v>0</v>
      </c>
      <c r="AB6595">
        <v>0.94671649999999996</v>
      </c>
      <c r="AC6595">
        <v>8.2932690000000007E-3</v>
      </c>
      <c r="AD6595">
        <v>0.79341720000000004</v>
      </c>
      <c r="AE6595">
        <v>0.59975020000000001</v>
      </c>
      <c r="AF6595">
        <v>279.76729999999998</v>
      </c>
      <c r="AG6595">
        <f>IFERROR(AH6595*0.1, "N/A")</f>
        <v>6.1000000000000005</v>
      </c>
      <c r="AH6595">
        <v>61</v>
      </c>
      <c r="AI6595">
        <v>146.01480000000001</v>
      </c>
      <c r="AJ6595">
        <v>17.868469999999999</v>
      </c>
      <c r="AK6595">
        <v>56.263069999999999</v>
      </c>
    </row>
    <row r="6596" spans="1:37" x14ac:dyDescent="0.3">
      <c r="A6596">
        <v>6595</v>
      </c>
      <c r="B6596">
        <v>51.6</v>
      </c>
      <c r="C6596">
        <v>-5.0149999999999997</v>
      </c>
      <c r="D6596">
        <v>14.1587</v>
      </c>
      <c r="E6596">
        <f>-5.015-14.1587</f>
        <v>-19.1737</v>
      </c>
      <c r="F6596" t="s">
        <v>10032</v>
      </c>
      <c r="G6596" t="s">
        <v>39</v>
      </c>
      <c r="H6596">
        <v>1990</v>
      </c>
      <c r="I6596">
        <v>26.979500000000002</v>
      </c>
      <c r="J6596">
        <v>14.420500000000001</v>
      </c>
      <c r="K6596">
        <v>51</v>
      </c>
      <c r="L6596">
        <v>33.187730000000002</v>
      </c>
      <c r="M6596">
        <v>40</v>
      </c>
      <c r="N6596">
        <v>11.8</v>
      </c>
      <c r="O6596">
        <v>28.2</v>
      </c>
      <c r="P6596">
        <v>27.6</v>
      </c>
      <c r="Q6596">
        <v>23.8</v>
      </c>
      <c r="R6596">
        <v>31</v>
      </c>
      <c r="S6596">
        <v>22.1</v>
      </c>
      <c r="T6596">
        <v>561</v>
      </c>
      <c r="U6596">
        <v>213.79499999999999</v>
      </c>
      <c r="V6596">
        <v>0</v>
      </c>
      <c r="W6596">
        <v>144</v>
      </c>
      <c r="X6596">
        <v>455</v>
      </c>
      <c r="Y6596">
        <v>0</v>
      </c>
      <c r="Z6596">
        <v>89</v>
      </c>
      <c r="AA6596">
        <v>1</v>
      </c>
      <c r="AB6596">
        <v>9.8052189999999992</v>
      </c>
      <c r="AC6596">
        <v>26.85191</v>
      </c>
      <c r="AD6596">
        <v>2.0448870000000001</v>
      </c>
      <c r="AE6596">
        <v>0.30643369999999998</v>
      </c>
      <c r="AF6596">
        <v>275.85379999999998</v>
      </c>
      <c r="AG6596">
        <f>IFERROR(AH6596*0.1, "N/A")</f>
        <v>6.3125</v>
      </c>
      <c r="AH6596">
        <v>63.125</v>
      </c>
      <c r="AI6596">
        <v>234.69460000000001</v>
      </c>
      <c r="AJ6596">
        <v>24.25</v>
      </c>
      <c r="AK6596">
        <v>54.625</v>
      </c>
    </row>
    <row r="6597" spans="1:37" x14ac:dyDescent="0.3">
      <c r="A6597">
        <v>6596</v>
      </c>
      <c r="B6597">
        <v>4.9000000000000004</v>
      </c>
      <c r="C6597">
        <v>-5.0149999999999997</v>
      </c>
      <c r="D6597">
        <v>14.1587</v>
      </c>
      <c r="E6597">
        <f>-5.015-14.1587</f>
        <v>-19.1737</v>
      </c>
      <c r="F6597" t="s">
        <v>10033</v>
      </c>
      <c r="G6597" t="s">
        <v>37</v>
      </c>
      <c r="H6597">
        <v>1990</v>
      </c>
      <c r="I6597">
        <v>26.979500000000002</v>
      </c>
      <c r="J6597">
        <v>14.420500000000001</v>
      </c>
      <c r="K6597">
        <v>51</v>
      </c>
      <c r="L6597">
        <v>33.187730000000002</v>
      </c>
      <c r="M6597">
        <v>40</v>
      </c>
      <c r="N6597">
        <v>11.8</v>
      </c>
      <c r="O6597">
        <v>28.2</v>
      </c>
      <c r="P6597">
        <v>27.6</v>
      </c>
      <c r="Q6597">
        <v>23.8</v>
      </c>
      <c r="R6597">
        <v>31</v>
      </c>
      <c r="S6597">
        <v>22.1</v>
      </c>
      <c r="T6597">
        <v>561</v>
      </c>
      <c r="U6597">
        <v>213.79499999999999</v>
      </c>
      <c r="V6597">
        <v>0</v>
      </c>
      <c r="W6597">
        <v>144</v>
      </c>
      <c r="X6597">
        <v>455</v>
      </c>
      <c r="Y6597">
        <v>0</v>
      </c>
      <c r="Z6597">
        <v>89</v>
      </c>
      <c r="AA6597">
        <v>1</v>
      </c>
      <c r="AB6597">
        <v>9.8052189999999992</v>
      </c>
      <c r="AC6597">
        <v>26.85191</v>
      </c>
      <c r="AD6597">
        <v>2.0448870000000001</v>
      </c>
      <c r="AE6597">
        <v>0.30643369999999998</v>
      </c>
      <c r="AF6597">
        <v>275.85379999999998</v>
      </c>
      <c r="AG6597">
        <f>IFERROR(AH6597*0.1, "N/A")</f>
        <v>6.3125</v>
      </c>
      <c r="AH6597">
        <v>63.125</v>
      </c>
      <c r="AI6597">
        <v>234.69460000000001</v>
      </c>
      <c r="AJ6597">
        <v>24.25</v>
      </c>
      <c r="AK6597">
        <v>54.625</v>
      </c>
    </row>
    <row r="6598" spans="1:37" x14ac:dyDescent="0.3">
      <c r="A6598">
        <v>6597</v>
      </c>
      <c r="B6598">
        <v>16.7</v>
      </c>
      <c r="C6598">
        <v>-3.5636999999999999</v>
      </c>
      <c r="D6598">
        <v>14.160299999999999</v>
      </c>
      <c r="E6598">
        <f>-3.5637-14.1603</f>
        <v>-17.724</v>
      </c>
      <c r="F6598" t="s">
        <v>10034</v>
      </c>
      <c r="G6598" t="s">
        <v>37</v>
      </c>
      <c r="H6598">
        <v>1994</v>
      </c>
      <c r="I6598">
        <v>27.3</v>
      </c>
      <c r="J6598">
        <v>13.8</v>
      </c>
      <c r="K6598">
        <v>54</v>
      </c>
      <c r="L6598">
        <v>29.6</v>
      </c>
      <c r="M6598">
        <v>39.200000000000003</v>
      </c>
      <c r="N6598">
        <v>13.9</v>
      </c>
      <c r="O6598">
        <v>25.3</v>
      </c>
      <c r="P6598">
        <v>27.2</v>
      </c>
      <c r="Q6598">
        <v>23.1</v>
      </c>
      <c r="R6598">
        <v>31.1</v>
      </c>
      <c r="S6598">
        <v>23.1</v>
      </c>
      <c r="T6598">
        <v>522</v>
      </c>
      <c r="U6598">
        <v>173</v>
      </c>
      <c r="V6598">
        <v>0</v>
      </c>
      <c r="W6598">
        <v>132</v>
      </c>
      <c r="X6598">
        <v>405</v>
      </c>
      <c r="Y6598">
        <v>0</v>
      </c>
      <c r="Z6598">
        <v>93</v>
      </c>
      <c r="AA6598">
        <v>0</v>
      </c>
      <c r="AB6598">
        <v>9.8452800000000007</v>
      </c>
      <c r="AC6598">
        <v>3.3367670000000002E-2</v>
      </c>
      <c r="AD6598">
        <v>2.9353720000000001</v>
      </c>
      <c r="AE6598">
        <v>0.48023650000000001</v>
      </c>
      <c r="AF6598">
        <v>317.86200000000002</v>
      </c>
      <c r="AG6598">
        <f>IFERROR(AH6598*0.1, "N/A")</f>
        <v>7.3000000000000007</v>
      </c>
      <c r="AH6598">
        <v>73</v>
      </c>
      <c r="AI6598">
        <v>197.96080000000001</v>
      </c>
      <c r="AJ6598">
        <v>15</v>
      </c>
      <c r="AK6598">
        <v>69</v>
      </c>
    </row>
    <row r="6599" spans="1:37" x14ac:dyDescent="0.3">
      <c r="A6599">
        <v>6598</v>
      </c>
      <c r="B6599">
        <v>33.299999999999997</v>
      </c>
      <c r="C6599">
        <v>-3.5636999999999999</v>
      </c>
      <c r="D6599">
        <v>14.160299999999999</v>
      </c>
      <c r="E6599">
        <f>-3.5637-14.1603</f>
        <v>-17.724</v>
      </c>
      <c r="F6599" t="s">
        <v>10035</v>
      </c>
      <c r="G6599" t="s">
        <v>39</v>
      </c>
      <c r="H6599">
        <v>1994</v>
      </c>
      <c r="I6599">
        <v>27.3</v>
      </c>
      <c r="J6599">
        <v>13.8</v>
      </c>
      <c r="K6599">
        <v>54</v>
      </c>
      <c r="L6599">
        <v>29.6</v>
      </c>
      <c r="M6599">
        <v>39.200000000000003</v>
      </c>
      <c r="N6599">
        <v>13.9</v>
      </c>
      <c r="O6599">
        <v>25.3</v>
      </c>
      <c r="P6599">
        <v>27.2</v>
      </c>
      <c r="Q6599">
        <v>23.1</v>
      </c>
      <c r="R6599">
        <v>31.1</v>
      </c>
      <c r="S6599">
        <v>23.1</v>
      </c>
      <c r="T6599">
        <v>522</v>
      </c>
      <c r="U6599">
        <v>173</v>
      </c>
      <c r="V6599">
        <v>0</v>
      </c>
      <c r="W6599">
        <v>132</v>
      </c>
      <c r="X6599">
        <v>405</v>
      </c>
      <c r="Y6599">
        <v>0</v>
      </c>
      <c r="Z6599">
        <v>93</v>
      </c>
      <c r="AA6599">
        <v>0</v>
      </c>
      <c r="AB6599">
        <v>9.8452800000000007</v>
      </c>
      <c r="AC6599">
        <v>3.3367670000000002E-2</v>
      </c>
      <c r="AD6599">
        <v>2.9353720000000001</v>
      </c>
      <c r="AE6599">
        <v>0.48023650000000001</v>
      </c>
      <c r="AF6599">
        <v>317.86200000000002</v>
      </c>
      <c r="AG6599">
        <f>IFERROR(AH6599*0.1, "N/A")</f>
        <v>7.3000000000000007</v>
      </c>
      <c r="AH6599">
        <v>73</v>
      </c>
      <c r="AI6599">
        <v>197.96080000000001</v>
      </c>
      <c r="AJ6599">
        <v>15</v>
      </c>
      <c r="AK6599">
        <v>69</v>
      </c>
    </row>
    <row r="6600" spans="1:37" x14ac:dyDescent="0.3">
      <c r="A6600">
        <v>6599</v>
      </c>
      <c r="B6600">
        <v>0</v>
      </c>
      <c r="C6600">
        <v>-3.5493999999999999</v>
      </c>
      <c r="D6600">
        <v>14.172599999999999</v>
      </c>
      <c r="E6600">
        <f>-3.5494-14.1726</f>
        <v>-17.721999999999998</v>
      </c>
      <c r="F6600" t="s">
        <v>10036</v>
      </c>
      <c r="G6600" t="s">
        <v>37</v>
      </c>
      <c r="H6600">
        <v>1994</v>
      </c>
      <c r="I6600">
        <v>27.20168</v>
      </c>
      <c r="J6600">
        <v>13.8</v>
      </c>
      <c r="K6600">
        <v>54</v>
      </c>
      <c r="L6600">
        <v>29.491849999999999</v>
      </c>
      <c r="M6600">
        <v>39.101680000000002</v>
      </c>
      <c r="N6600">
        <v>13.801679999999999</v>
      </c>
      <c r="O6600">
        <v>25.3</v>
      </c>
      <c r="P6600">
        <v>27.101680000000002</v>
      </c>
      <c r="Q6600">
        <v>23.1</v>
      </c>
      <c r="R6600">
        <v>31.00168</v>
      </c>
      <c r="S6600">
        <v>23.1</v>
      </c>
      <c r="T6600">
        <v>522.96640000000002</v>
      </c>
      <c r="U6600">
        <v>173</v>
      </c>
      <c r="V6600">
        <v>0</v>
      </c>
      <c r="W6600">
        <v>132</v>
      </c>
      <c r="X6600">
        <v>405.98320000000001</v>
      </c>
      <c r="Y6600">
        <v>0</v>
      </c>
      <c r="Z6600">
        <v>92.983220000000003</v>
      </c>
      <c r="AA6600">
        <v>0</v>
      </c>
      <c r="AB6600">
        <v>3.5901040000000002</v>
      </c>
      <c r="AC6600">
        <v>13.038169999999999</v>
      </c>
      <c r="AD6600">
        <v>2.5013160000000001</v>
      </c>
      <c r="AE6600">
        <v>0.41937869999999999</v>
      </c>
      <c r="AF6600">
        <v>321.47320000000002</v>
      </c>
      <c r="AG6600">
        <f>IFERROR(AH6600*0.1, "N/A")</f>
        <v>6.9986580000000007</v>
      </c>
      <c r="AH6600">
        <v>69.986580000000004</v>
      </c>
      <c r="AI6600">
        <v>163.5087</v>
      </c>
      <c r="AJ6600">
        <v>14.010070000000001</v>
      </c>
      <c r="AK6600">
        <v>71.986580000000004</v>
      </c>
    </row>
    <row r="6601" spans="1:37" x14ac:dyDescent="0.3">
      <c r="A6601">
        <v>6600</v>
      </c>
      <c r="B6601">
        <v>0</v>
      </c>
      <c r="C6601">
        <v>-3.5493999999999999</v>
      </c>
      <c r="D6601">
        <v>14.172599999999999</v>
      </c>
      <c r="E6601">
        <f>-3.5494-14.1726</f>
        <v>-17.721999999999998</v>
      </c>
      <c r="F6601" t="s">
        <v>10037</v>
      </c>
      <c r="G6601" t="s">
        <v>39</v>
      </c>
      <c r="H6601">
        <v>1994</v>
      </c>
      <c r="I6601">
        <v>27.20168</v>
      </c>
      <c r="J6601">
        <v>13.8</v>
      </c>
      <c r="K6601">
        <v>54</v>
      </c>
      <c r="L6601">
        <v>29.491849999999999</v>
      </c>
      <c r="M6601">
        <v>39.101680000000002</v>
      </c>
      <c r="N6601">
        <v>13.801679999999999</v>
      </c>
      <c r="O6601">
        <v>25.3</v>
      </c>
      <c r="P6601">
        <v>27.101680000000002</v>
      </c>
      <c r="Q6601">
        <v>23.1</v>
      </c>
      <c r="R6601">
        <v>31.00168</v>
      </c>
      <c r="S6601">
        <v>23.1</v>
      </c>
      <c r="T6601">
        <v>522.96640000000002</v>
      </c>
      <c r="U6601">
        <v>173</v>
      </c>
      <c r="V6601">
        <v>0</v>
      </c>
      <c r="W6601">
        <v>132</v>
      </c>
      <c r="X6601">
        <v>405.98320000000001</v>
      </c>
      <c r="Y6601">
        <v>0</v>
      </c>
      <c r="Z6601">
        <v>92.983220000000003</v>
      </c>
      <c r="AA6601">
        <v>0</v>
      </c>
      <c r="AB6601">
        <v>3.5901040000000002</v>
      </c>
      <c r="AC6601">
        <v>13.038169999999999</v>
      </c>
      <c r="AD6601">
        <v>2.5013160000000001</v>
      </c>
      <c r="AE6601">
        <v>0.41937869999999999</v>
      </c>
      <c r="AF6601">
        <v>321.47320000000002</v>
      </c>
      <c r="AG6601">
        <f>IFERROR(AH6601*0.1, "N/A")</f>
        <v>6.9986580000000007</v>
      </c>
      <c r="AH6601">
        <v>69.986580000000004</v>
      </c>
      <c r="AI6601">
        <v>163.5087</v>
      </c>
      <c r="AJ6601">
        <v>14.010070000000001</v>
      </c>
      <c r="AK6601">
        <v>71.986580000000004</v>
      </c>
    </row>
    <row r="6602" spans="1:37" x14ac:dyDescent="0.3">
      <c r="A6602">
        <v>6601</v>
      </c>
      <c r="B6602">
        <v>59.9</v>
      </c>
      <c r="C6602">
        <v>-11.2468</v>
      </c>
      <c r="D6602">
        <v>14.177</v>
      </c>
      <c r="E6602">
        <f>-11.2468-14.177</f>
        <v>-25.4238</v>
      </c>
      <c r="F6602" t="s">
        <v>10038</v>
      </c>
      <c r="G6602" t="s">
        <v>39</v>
      </c>
      <c r="H6602">
        <v>1990</v>
      </c>
      <c r="I6602">
        <v>29.2</v>
      </c>
      <c r="J6602">
        <v>13.7</v>
      </c>
      <c r="K6602">
        <v>59</v>
      </c>
      <c r="L6602">
        <v>22.39</v>
      </c>
      <c r="M6602">
        <v>40.4</v>
      </c>
      <c r="N6602">
        <v>17.399999999999999</v>
      </c>
      <c r="O6602">
        <v>23</v>
      </c>
      <c r="P6602">
        <v>28</v>
      </c>
      <c r="Q6602">
        <v>28.2</v>
      </c>
      <c r="R6602">
        <v>32.4</v>
      </c>
      <c r="S6602">
        <v>26.8</v>
      </c>
      <c r="T6602">
        <v>695</v>
      </c>
      <c r="U6602">
        <v>223</v>
      </c>
      <c r="V6602">
        <v>0</v>
      </c>
      <c r="W6602">
        <v>133</v>
      </c>
      <c r="X6602">
        <v>542</v>
      </c>
      <c r="Y6602">
        <v>0</v>
      </c>
      <c r="Z6602">
        <v>107</v>
      </c>
      <c r="AA6602">
        <v>0</v>
      </c>
      <c r="AB6602">
        <v>13.95177</v>
      </c>
      <c r="AC6602">
        <v>1.8550090000000002E-2</v>
      </c>
      <c r="AD6602">
        <v>2.0124680000000001</v>
      </c>
      <c r="AE6602">
        <v>0.63519570000000003</v>
      </c>
      <c r="AF6602">
        <v>50.416809999999998</v>
      </c>
      <c r="AG6602">
        <f>IFERROR(AH6602*0.1, "N/A")</f>
        <v>6.4978150000000001</v>
      </c>
      <c r="AH6602">
        <v>64.978149999999999</v>
      </c>
      <c r="AI6602">
        <v>171.8158</v>
      </c>
      <c r="AJ6602">
        <v>20.063870000000001</v>
      </c>
      <c r="AK6602">
        <v>52.974789999999999</v>
      </c>
    </row>
    <row r="6603" spans="1:37" x14ac:dyDescent="0.3">
      <c r="A6603">
        <v>6602</v>
      </c>
      <c r="B6603">
        <v>0</v>
      </c>
      <c r="C6603">
        <v>-11.2468</v>
      </c>
      <c r="D6603">
        <v>14.177</v>
      </c>
      <c r="E6603">
        <f>-11.2468-14.177</f>
        <v>-25.4238</v>
      </c>
      <c r="F6603" t="s">
        <v>10039</v>
      </c>
      <c r="G6603" t="s">
        <v>37</v>
      </c>
      <c r="H6603">
        <v>1990</v>
      </c>
      <c r="I6603">
        <v>29.2</v>
      </c>
      <c r="J6603">
        <v>13.7</v>
      </c>
      <c r="K6603">
        <v>59</v>
      </c>
      <c r="L6603">
        <v>22.39</v>
      </c>
      <c r="M6603">
        <v>40.4</v>
      </c>
      <c r="N6603">
        <v>17.399999999999999</v>
      </c>
      <c r="O6603">
        <v>23</v>
      </c>
      <c r="P6603">
        <v>28</v>
      </c>
      <c r="Q6603">
        <v>28.2</v>
      </c>
      <c r="R6603">
        <v>32.4</v>
      </c>
      <c r="S6603">
        <v>26.8</v>
      </c>
      <c r="T6603">
        <v>695</v>
      </c>
      <c r="U6603">
        <v>223</v>
      </c>
      <c r="V6603">
        <v>0</v>
      </c>
      <c r="W6603">
        <v>133</v>
      </c>
      <c r="X6603">
        <v>542</v>
      </c>
      <c r="Y6603">
        <v>0</v>
      </c>
      <c r="Z6603">
        <v>107</v>
      </c>
      <c r="AA6603">
        <v>0</v>
      </c>
      <c r="AB6603">
        <v>13.95177</v>
      </c>
      <c r="AC6603">
        <v>1.8550090000000002E-2</v>
      </c>
      <c r="AD6603">
        <v>2.0124680000000001</v>
      </c>
      <c r="AE6603">
        <v>0.63519570000000003</v>
      </c>
      <c r="AF6603">
        <v>50.416809999999998</v>
      </c>
      <c r="AG6603">
        <f>IFERROR(AH6603*0.1, "N/A")</f>
        <v>6.4978150000000001</v>
      </c>
      <c r="AH6603">
        <v>64.978149999999999</v>
      </c>
      <c r="AI6603">
        <v>171.8158</v>
      </c>
      <c r="AJ6603">
        <v>20.063870000000001</v>
      </c>
      <c r="AK6603">
        <v>52.974789999999999</v>
      </c>
    </row>
    <row r="6604" spans="1:37" x14ac:dyDescent="0.3">
      <c r="A6604">
        <v>6603</v>
      </c>
      <c r="B6604">
        <v>62</v>
      </c>
      <c r="C6604">
        <v>-4.1202100000000002</v>
      </c>
      <c r="D6604">
        <v>14.1792</v>
      </c>
      <c r="E6604">
        <f>-4.12021-14.1792</f>
        <v>-18.299410000000002</v>
      </c>
      <c r="F6604" t="s">
        <v>10040</v>
      </c>
      <c r="G6604" t="s">
        <v>39</v>
      </c>
      <c r="H6604">
        <v>1987</v>
      </c>
      <c r="I6604">
        <v>27.6</v>
      </c>
      <c r="J6604">
        <v>14</v>
      </c>
      <c r="K6604">
        <v>53</v>
      </c>
      <c r="L6604">
        <v>29.85</v>
      </c>
      <c r="M6604">
        <v>39.799999999999997</v>
      </c>
      <c r="N6604">
        <v>13.8</v>
      </c>
      <c r="O6604">
        <v>26</v>
      </c>
      <c r="P6604">
        <v>27.7</v>
      </c>
      <c r="Q6604">
        <v>23.5</v>
      </c>
      <c r="R6604">
        <v>31.5</v>
      </c>
      <c r="S6604">
        <v>23.5</v>
      </c>
      <c r="T6604">
        <v>506</v>
      </c>
      <c r="U6604">
        <v>171</v>
      </c>
      <c r="V6604">
        <v>0</v>
      </c>
      <c r="W6604">
        <v>132</v>
      </c>
      <c r="X6604">
        <v>394</v>
      </c>
      <c r="Y6604">
        <v>0</v>
      </c>
      <c r="Z6604">
        <v>90</v>
      </c>
      <c r="AA6604">
        <v>0</v>
      </c>
      <c r="AB6604">
        <v>0.24572040000000001</v>
      </c>
      <c r="AC6604">
        <v>0.18547089999999999</v>
      </c>
      <c r="AD6604">
        <v>0.78190340000000003</v>
      </c>
      <c r="AE6604">
        <v>0.39185449999999999</v>
      </c>
      <c r="AF6604">
        <v>269.09750000000003</v>
      </c>
      <c r="AG6604">
        <f>IFERROR(AH6604*0.1, "N/A")</f>
        <v>6.6000000000000005</v>
      </c>
      <c r="AH6604">
        <v>66</v>
      </c>
      <c r="AI6604">
        <v>174.1061</v>
      </c>
      <c r="AJ6604">
        <v>14</v>
      </c>
      <c r="AK6604">
        <v>71</v>
      </c>
    </row>
    <row r="6605" spans="1:37" x14ac:dyDescent="0.3">
      <c r="A6605">
        <v>6604</v>
      </c>
      <c r="B6605">
        <v>0</v>
      </c>
      <c r="C6605">
        <v>-4.1202100000000002</v>
      </c>
      <c r="D6605">
        <v>14.1792</v>
      </c>
      <c r="E6605">
        <f>-4.12021-14.1792</f>
        <v>-18.299410000000002</v>
      </c>
      <c r="F6605" t="s">
        <v>10041</v>
      </c>
      <c r="G6605" t="s">
        <v>37</v>
      </c>
      <c r="H6605">
        <v>1987</v>
      </c>
      <c r="I6605">
        <v>27.6</v>
      </c>
      <c r="J6605">
        <v>14</v>
      </c>
      <c r="K6605">
        <v>53</v>
      </c>
      <c r="L6605">
        <v>29.85</v>
      </c>
      <c r="M6605">
        <v>39.799999999999997</v>
      </c>
      <c r="N6605">
        <v>13.8</v>
      </c>
      <c r="O6605">
        <v>26</v>
      </c>
      <c r="P6605">
        <v>27.7</v>
      </c>
      <c r="Q6605">
        <v>23.5</v>
      </c>
      <c r="R6605">
        <v>31.5</v>
      </c>
      <c r="S6605">
        <v>23.5</v>
      </c>
      <c r="T6605">
        <v>506</v>
      </c>
      <c r="U6605">
        <v>171</v>
      </c>
      <c r="V6605">
        <v>0</v>
      </c>
      <c r="W6605">
        <v>132</v>
      </c>
      <c r="X6605">
        <v>394</v>
      </c>
      <c r="Y6605">
        <v>0</v>
      </c>
      <c r="Z6605">
        <v>90</v>
      </c>
      <c r="AA6605">
        <v>0</v>
      </c>
      <c r="AB6605">
        <v>0.24572040000000001</v>
      </c>
      <c r="AC6605">
        <v>0.18547089999999999</v>
      </c>
      <c r="AD6605">
        <v>0.78190340000000003</v>
      </c>
      <c r="AE6605">
        <v>0.39185449999999999</v>
      </c>
      <c r="AF6605">
        <v>269.09750000000003</v>
      </c>
      <c r="AG6605">
        <f>IFERROR(AH6605*0.1, "N/A")</f>
        <v>6.6000000000000005</v>
      </c>
      <c r="AH6605">
        <v>66</v>
      </c>
      <c r="AI6605">
        <v>174.1061</v>
      </c>
      <c r="AJ6605">
        <v>14</v>
      </c>
      <c r="AK6605">
        <v>71</v>
      </c>
    </row>
    <row r="6606" spans="1:37" x14ac:dyDescent="0.3">
      <c r="A6606">
        <v>6605</v>
      </c>
      <c r="B6606">
        <v>54.9</v>
      </c>
      <c r="C6606">
        <v>-6.0250199999999996</v>
      </c>
      <c r="D6606">
        <v>14.1798</v>
      </c>
      <c r="E6606">
        <f>-6.02502-14.1798</f>
        <v>-20.204819999999998</v>
      </c>
      <c r="F6606" t="s">
        <v>10042</v>
      </c>
      <c r="G6606" t="s">
        <v>39</v>
      </c>
      <c r="H6606">
        <v>1990</v>
      </c>
      <c r="I6606">
        <v>27.3</v>
      </c>
      <c r="J6606">
        <v>15.7</v>
      </c>
      <c r="K6606">
        <v>57</v>
      </c>
      <c r="L6606">
        <v>28.15</v>
      </c>
      <c r="M6606">
        <v>39.799999999999997</v>
      </c>
      <c r="N6606">
        <v>12.5</v>
      </c>
      <c r="O6606">
        <v>27.3</v>
      </c>
      <c r="P6606">
        <v>27.2</v>
      </c>
      <c r="Q6606">
        <v>25.2</v>
      </c>
      <c r="R6606">
        <v>31.1</v>
      </c>
      <c r="S6606">
        <v>23.5</v>
      </c>
      <c r="T6606">
        <v>551.49080000000004</v>
      </c>
      <c r="U6606">
        <v>203.49080000000001</v>
      </c>
      <c r="V6606">
        <v>0</v>
      </c>
      <c r="W6606">
        <v>142.52760000000001</v>
      </c>
      <c r="X6606">
        <v>451.49079999999998</v>
      </c>
      <c r="Y6606">
        <v>0</v>
      </c>
      <c r="Z6606">
        <v>80</v>
      </c>
      <c r="AA6606">
        <v>0</v>
      </c>
      <c r="AB6606">
        <v>1.4077040000000001</v>
      </c>
      <c r="AC6606">
        <v>1.083431E-2</v>
      </c>
      <c r="AD6606">
        <v>1.3606130000000001</v>
      </c>
      <c r="AE6606">
        <v>0.4517545</v>
      </c>
      <c r="AF6606">
        <v>280.2312</v>
      </c>
      <c r="AG6606">
        <f>IFERROR(AH6606*0.1, "N/A")</f>
        <v>6.5472359999999998</v>
      </c>
      <c r="AH6606">
        <v>65.472359999999995</v>
      </c>
      <c r="AI6606">
        <v>186.3801</v>
      </c>
      <c r="AJ6606">
        <v>27.509209999999999</v>
      </c>
      <c r="AK6606">
        <v>51.509210000000003</v>
      </c>
    </row>
    <row r="6607" spans="1:37" x14ac:dyDescent="0.3">
      <c r="A6607">
        <v>6606</v>
      </c>
      <c r="B6607">
        <v>83.7</v>
      </c>
      <c r="C6607">
        <v>-6.0250199999999996</v>
      </c>
      <c r="D6607">
        <v>14.1798</v>
      </c>
      <c r="E6607">
        <f>-6.02502-14.1798</f>
        <v>-20.204819999999998</v>
      </c>
      <c r="F6607" t="s">
        <v>10043</v>
      </c>
      <c r="G6607" t="s">
        <v>37</v>
      </c>
      <c r="H6607">
        <v>1990</v>
      </c>
      <c r="I6607">
        <v>27.3</v>
      </c>
      <c r="J6607">
        <v>15.7</v>
      </c>
      <c r="K6607">
        <v>57</v>
      </c>
      <c r="L6607">
        <v>28.15</v>
      </c>
      <c r="M6607">
        <v>39.799999999999997</v>
      </c>
      <c r="N6607">
        <v>12.5</v>
      </c>
      <c r="O6607">
        <v>27.3</v>
      </c>
      <c r="P6607">
        <v>27.2</v>
      </c>
      <c r="Q6607">
        <v>25.2</v>
      </c>
      <c r="R6607">
        <v>31.1</v>
      </c>
      <c r="S6607">
        <v>23.5</v>
      </c>
      <c r="T6607">
        <v>551.49080000000004</v>
      </c>
      <c r="U6607">
        <v>203.49080000000001</v>
      </c>
      <c r="V6607">
        <v>0</v>
      </c>
      <c r="W6607">
        <v>142.52760000000001</v>
      </c>
      <c r="X6607">
        <v>451.49079999999998</v>
      </c>
      <c r="Y6607">
        <v>0</v>
      </c>
      <c r="Z6607">
        <v>80</v>
      </c>
      <c r="AA6607">
        <v>0</v>
      </c>
      <c r="AB6607">
        <v>1.4077040000000001</v>
      </c>
      <c r="AC6607">
        <v>1.083431E-2</v>
      </c>
      <c r="AD6607">
        <v>1.3606130000000001</v>
      </c>
      <c r="AE6607">
        <v>0.4517545</v>
      </c>
      <c r="AF6607">
        <v>280.2312</v>
      </c>
      <c r="AG6607">
        <f>IFERROR(AH6607*0.1, "N/A")</f>
        <v>6.5472359999999998</v>
      </c>
      <c r="AH6607">
        <v>65.472359999999995</v>
      </c>
      <c r="AI6607">
        <v>186.3801</v>
      </c>
      <c r="AJ6607">
        <v>27.509209999999999</v>
      </c>
      <c r="AK6607">
        <v>51.509210000000003</v>
      </c>
    </row>
    <row r="6608" spans="1:37" x14ac:dyDescent="0.3">
      <c r="A6608">
        <v>6607</v>
      </c>
      <c r="B6608">
        <v>7.1</v>
      </c>
      <c r="C6608">
        <v>-3.5307900000000001</v>
      </c>
      <c r="D6608">
        <v>14.182499999999999</v>
      </c>
      <c r="E6608">
        <f>-3.53079-14.1825</f>
        <v>-17.713290000000001</v>
      </c>
      <c r="F6608" t="s">
        <v>10044</v>
      </c>
      <c r="G6608" t="s">
        <v>37</v>
      </c>
      <c r="H6608">
        <v>1994</v>
      </c>
      <c r="I6608">
        <v>27.1</v>
      </c>
      <c r="J6608">
        <v>13.8</v>
      </c>
      <c r="K6608">
        <v>54</v>
      </c>
      <c r="L6608">
        <v>29.64</v>
      </c>
      <c r="M6608">
        <v>39.1</v>
      </c>
      <c r="N6608">
        <v>13.8</v>
      </c>
      <c r="O6608">
        <v>25.3</v>
      </c>
      <c r="P6608">
        <v>27.1</v>
      </c>
      <c r="Q6608">
        <v>23</v>
      </c>
      <c r="R6608">
        <v>31</v>
      </c>
      <c r="S6608">
        <v>23</v>
      </c>
      <c r="T6608">
        <v>522</v>
      </c>
      <c r="U6608">
        <v>173</v>
      </c>
      <c r="V6608">
        <v>0</v>
      </c>
      <c r="W6608">
        <v>132</v>
      </c>
      <c r="X6608">
        <v>405</v>
      </c>
      <c r="Y6608">
        <v>0</v>
      </c>
      <c r="Z6608">
        <v>93</v>
      </c>
      <c r="AA6608">
        <v>0</v>
      </c>
      <c r="AB6608">
        <v>16.966380000000001</v>
      </c>
      <c r="AC6608">
        <v>1.5692669999999999E-2</v>
      </c>
      <c r="AD6608">
        <v>5.4229669999999999</v>
      </c>
      <c r="AE6608">
        <v>0.5758742</v>
      </c>
      <c r="AF6608">
        <v>333.5496</v>
      </c>
      <c r="AG6608">
        <f>IFERROR(AH6608*0.1, "N/A")</f>
        <v>6.8579830000000008</v>
      </c>
      <c r="AH6608">
        <v>68.579830000000001</v>
      </c>
      <c r="AI6608">
        <v>267.44709999999998</v>
      </c>
      <c r="AJ6608">
        <v>13.615130000000001</v>
      </c>
      <c r="AK6608">
        <v>73.336129999999997</v>
      </c>
    </row>
    <row r="6609" spans="1:37" x14ac:dyDescent="0.3">
      <c r="A6609">
        <v>6608</v>
      </c>
      <c r="B6609">
        <v>8.6</v>
      </c>
      <c r="C6609">
        <v>-3.5307900000000001</v>
      </c>
      <c r="D6609">
        <v>14.182499999999999</v>
      </c>
      <c r="E6609">
        <f>-3.53079-14.1825</f>
        <v>-17.713290000000001</v>
      </c>
      <c r="F6609" t="s">
        <v>10045</v>
      </c>
      <c r="G6609" t="s">
        <v>39</v>
      </c>
      <c r="H6609">
        <v>1994</v>
      </c>
      <c r="I6609">
        <v>27.1</v>
      </c>
      <c r="J6609">
        <v>13.8</v>
      </c>
      <c r="K6609">
        <v>54</v>
      </c>
      <c r="L6609">
        <v>29.64</v>
      </c>
      <c r="M6609">
        <v>39.1</v>
      </c>
      <c r="N6609">
        <v>13.8</v>
      </c>
      <c r="O6609">
        <v>25.3</v>
      </c>
      <c r="P6609">
        <v>27.1</v>
      </c>
      <c r="Q6609">
        <v>23</v>
      </c>
      <c r="R6609">
        <v>31</v>
      </c>
      <c r="S6609">
        <v>23</v>
      </c>
      <c r="T6609">
        <v>522</v>
      </c>
      <c r="U6609">
        <v>173</v>
      </c>
      <c r="V6609">
        <v>0</v>
      </c>
      <c r="W6609">
        <v>132</v>
      </c>
      <c r="X6609">
        <v>405</v>
      </c>
      <c r="Y6609">
        <v>0</v>
      </c>
      <c r="Z6609">
        <v>93</v>
      </c>
      <c r="AA6609">
        <v>0</v>
      </c>
      <c r="AB6609">
        <v>16.966380000000001</v>
      </c>
      <c r="AC6609">
        <v>1.5692669999999999E-2</v>
      </c>
      <c r="AD6609">
        <v>5.4229669999999999</v>
      </c>
      <c r="AE6609">
        <v>0.5758742</v>
      </c>
      <c r="AF6609">
        <v>333.5496</v>
      </c>
      <c r="AG6609">
        <f>IFERROR(AH6609*0.1, "N/A")</f>
        <v>6.8579830000000008</v>
      </c>
      <c r="AH6609">
        <v>68.579830000000001</v>
      </c>
      <c r="AI6609">
        <v>267.44709999999998</v>
      </c>
      <c r="AJ6609">
        <v>13.615130000000001</v>
      </c>
      <c r="AK6609">
        <v>73.336129999999997</v>
      </c>
    </row>
    <row r="6610" spans="1:37" x14ac:dyDescent="0.3">
      <c r="A6610">
        <v>6609</v>
      </c>
      <c r="B6610">
        <v>75</v>
      </c>
      <c r="C6610">
        <v>-6.5098000000000003</v>
      </c>
      <c r="D6610">
        <v>14.2013</v>
      </c>
      <c r="E6610">
        <f>-6.5098-14.2013</f>
        <v>-20.711100000000002</v>
      </c>
      <c r="F6610" t="s">
        <v>10046</v>
      </c>
      <c r="G6610" t="s">
        <v>39</v>
      </c>
      <c r="H6610">
        <v>1990</v>
      </c>
      <c r="I6610">
        <v>27.4</v>
      </c>
      <c r="J6610">
        <v>15.7</v>
      </c>
      <c r="K6610">
        <v>58</v>
      </c>
      <c r="L6610">
        <v>27.74</v>
      </c>
      <c r="M6610">
        <v>39.700000000000003</v>
      </c>
      <c r="N6610">
        <v>13</v>
      </c>
      <c r="O6610">
        <v>26.7</v>
      </c>
      <c r="P6610">
        <v>27</v>
      </c>
      <c r="Q6610">
        <v>23.8</v>
      </c>
      <c r="R6610">
        <v>31.2</v>
      </c>
      <c r="S6610">
        <v>23.8</v>
      </c>
      <c r="T6610">
        <v>532</v>
      </c>
      <c r="U6610">
        <v>191</v>
      </c>
      <c r="V6610">
        <v>0</v>
      </c>
      <c r="W6610">
        <v>140</v>
      </c>
      <c r="X6610">
        <v>432</v>
      </c>
      <c r="Y6610">
        <v>0</v>
      </c>
      <c r="Z6610">
        <v>80</v>
      </c>
      <c r="AA6610">
        <v>0</v>
      </c>
      <c r="AB6610">
        <v>1.3572630000000001</v>
      </c>
      <c r="AC6610">
        <v>6.9996320000000001</v>
      </c>
      <c r="AD6610">
        <v>0.66308330000000004</v>
      </c>
      <c r="AE6610">
        <v>0.14114860000000001</v>
      </c>
      <c r="AF6610">
        <v>264.17910000000001</v>
      </c>
      <c r="AG6610">
        <f>IFERROR(AH6610*0.1, "N/A")</f>
        <v>5.9981420000000005</v>
      </c>
      <c r="AH6610">
        <v>59.98142</v>
      </c>
      <c r="AI6610">
        <v>26.509250000000002</v>
      </c>
      <c r="AJ6610">
        <v>14.96791</v>
      </c>
      <c r="AK6610">
        <v>62.701009999999997</v>
      </c>
    </row>
    <row r="6611" spans="1:37" x14ac:dyDescent="0.3">
      <c r="A6611">
        <v>6610</v>
      </c>
      <c r="B6611">
        <v>42.2</v>
      </c>
      <c r="C6611">
        <v>-6.5098000000000003</v>
      </c>
      <c r="D6611">
        <v>14.2013</v>
      </c>
      <c r="E6611">
        <f>-6.5098-14.2013</f>
        <v>-20.711100000000002</v>
      </c>
      <c r="F6611" t="s">
        <v>10047</v>
      </c>
      <c r="G6611" t="s">
        <v>37</v>
      </c>
      <c r="H6611">
        <v>1990</v>
      </c>
      <c r="I6611">
        <v>27.4</v>
      </c>
      <c r="J6611">
        <v>15.7</v>
      </c>
      <c r="K6611">
        <v>58</v>
      </c>
      <c r="L6611">
        <v>27.74</v>
      </c>
      <c r="M6611">
        <v>39.700000000000003</v>
      </c>
      <c r="N6611">
        <v>13</v>
      </c>
      <c r="O6611">
        <v>26.7</v>
      </c>
      <c r="P6611">
        <v>27</v>
      </c>
      <c r="Q6611">
        <v>23.8</v>
      </c>
      <c r="R6611">
        <v>31.2</v>
      </c>
      <c r="S6611">
        <v>23.8</v>
      </c>
      <c r="T6611">
        <v>532</v>
      </c>
      <c r="U6611">
        <v>191</v>
      </c>
      <c r="V6611">
        <v>0</v>
      </c>
      <c r="W6611">
        <v>140</v>
      </c>
      <c r="X6611">
        <v>432</v>
      </c>
      <c r="Y6611">
        <v>0</v>
      </c>
      <c r="Z6611">
        <v>80</v>
      </c>
      <c r="AA6611">
        <v>0</v>
      </c>
      <c r="AB6611">
        <v>1.3572630000000001</v>
      </c>
      <c r="AC6611">
        <v>6.9996320000000001</v>
      </c>
      <c r="AD6611">
        <v>0.66308330000000004</v>
      </c>
      <c r="AE6611">
        <v>0.14114860000000001</v>
      </c>
      <c r="AF6611">
        <v>264.17910000000001</v>
      </c>
      <c r="AG6611">
        <f>IFERROR(AH6611*0.1, "N/A")</f>
        <v>5.9981420000000005</v>
      </c>
      <c r="AH6611">
        <v>59.98142</v>
      </c>
      <c r="AI6611">
        <v>26.509250000000002</v>
      </c>
      <c r="AJ6611">
        <v>14.96791</v>
      </c>
      <c r="AK6611">
        <v>62.701009999999997</v>
      </c>
    </row>
    <row r="6612" spans="1:37" x14ac:dyDescent="0.3">
      <c r="A6612">
        <v>6611</v>
      </c>
      <c r="B6612">
        <v>44.8</v>
      </c>
      <c r="C6612">
        <v>-6.0093699999999997</v>
      </c>
      <c r="D6612">
        <v>14.2043</v>
      </c>
      <c r="E6612">
        <f>-6.00937-14.2043</f>
        <v>-20.21367</v>
      </c>
      <c r="F6612" t="s">
        <v>10048</v>
      </c>
      <c r="G6612" t="s">
        <v>39</v>
      </c>
      <c r="H6612">
        <v>1990</v>
      </c>
      <c r="I6612">
        <v>27.3</v>
      </c>
      <c r="J6612">
        <v>15.7</v>
      </c>
      <c r="K6612">
        <v>57</v>
      </c>
      <c r="L6612">
        <v>28</v>
      </c>
      <c r="M6612">
        <v>39.799999999999997</v>
      </c>
      <c r="N6612">
        <v>12.6</v>
      </c>
      <c r="O6612">
        <v>27.2</v>
      </c>
      <c r="P6612">
        <v>27.3</v>
      </c>
      <c r="Q6612">
        <v>25.2</v>
      </c>
      <c r="R6612">
        <v>31</v>
      </c>
      <c r="S6612">
        <v>23.5</v>
      </c>
      <c r="T6612">
        <v>550</v>
      </c>
      <c r="U6612">
        <v>203</v>
      </c>
      <c r="V6612">
        <v>0</v>
      </c>
      <c r="W6612">
        <v>144</v>
      </c>
      <c r="X6612">
        <v>450</v>
      </c>
      <c r="Y6612">
        <v>0</v>
      </c>
      <c r="Z6612">
        <v>80</v>
      </c>
      <c r="AA6612">
        <v>0</v>
      </c>
      <c r="AB6612">
        <v>0.64924820000000005</v>
      </c>
      <c r="AC6612">
        <v>0.11512029999999999</v>
      </c>
      <c r="AD6612">
        <v>1.7275450000000001</v>
      </c>
      <c r="AE6612">
        <v>0.44516309999999998</v>
      </c>
      <c r="AF6612">
        <v>277.80500000000001</v>
      </c>
      <c r="AG6612">
        <f>IFERROR(AH6612*0.1, "N/A")</f>
        <v>6.6047060000000002</v>
      </c>
      <c r="AH6612">
        <v>66.047060000000002</v>
      </c>
      <c r="AI6612">
        <v>140.18039999999999</v>
      </c>
      <c r="AJ6612">
        <v>27.023530000000001</v>
      </c>
      <c r="AK6612">
        <v>50.070590000000003</v>
      </c>
    </row>
    <row r="6613" spans="1:37" x14ac:dyDescent="0.3">
      <c r="A6613">
        <v>6612</v>
      </c>
      <c r="B6613">
        <v>63.8</v>
      </c>
      <c r="C6613">
        <v>-6.0093699999999997</v>
      </c>
      <c r="D6613">
        <v>14.2043</v>
      </c>
      <c r="E6613">
        <f>-6.00937-14.2043</f>
        <v>-20.21367</v>
      </c>
      <c r="F6613" t="s">
        <v>10049</v>
      </c>
      <c r="G6613" t="s">
        <v>37</v>
      </c>
      <c r="H6613">
        <v>1990</v>
      </c>
      <c r="I6613">
        <v>27.3</v>
      </c>
      <c r="J6613">
        <v>15.7</v>
      </c>
      <c r="K6613">
        <v>57</v>
      </c>
      <c r="L6613">
        <v>28</v>
      </c>
      <c r="M6613">
        <v>39.799999999999997</v>
      </c>
      <c r="N6613">
        <v>12.6</v>
      </c>
      <c r="O6613">
        <v>27.2</v>
      </c>
      <c r="P6613">
        <v>27.3</v>
      </c>
      <c r="Q6613">
        <v>25.2</v>
      </c>
      <c r="R6613">
        <v>31</v>
      </c>
      <c r="S6613">
        <v>23.5</v>
      </c>
      <c r="T6613">
        <v>550</v>
      </c>
      <c r="U6613">
        <v>203</v>
      </c>
      <c r="V6613">
        <v>0</v>
      </c>
      <c r="W6613">
        <v>144</v>
      </c>
      <c r="X6613">
        <v>450</v>
      </c>
      <c r="Y6613">
        <v>0</v>
      </c>
      <c r="Z6613">
        <v>80</v>
      </c>
      <c r="AA6613">
        <v>0</v>
      </c>
      <c r="AB6613">
        <v>0.64924820000000005</v>
      </c>
      <c r="AC6613">
        <v>0.11512029999999999</v>
      </c>
      <c r="AD6613">
        <v>1.7275450000000001</v>
      </c>
      <c r="AE6613">
        <v>0.44516309999999998</v>
      </c>
      <c r="AF6613">
        <v>277.80500000000001</v>
      </c>
      <c r="AG6613">
        <f>IFERROR(AH6613*0.1, "N/A")</f>
        <v>6.6047060000000002</v>
      </c>
      <c r="AH6613">
        <v>66.047060000000002</v>
      </c>
      <c r="AI6613">
        <v>140.18039999999999</v>
      </c>
      <c r="AJ6613">
        <v>27.023530000000001</v>
      </c>
      <c r="AK6613">
        <v>50.070590000000003</v>
      </c>
    </row>
    <row r="6614" spans="1:37" x14ac:dyDescent="0.3">
      <c r="A6614">
        <v>6613</v>
      </c>
      <c r="B6614">
        <v>39.799999999999997</v>
      </c>
      <c r="C6614">
        <v>-6.0800799999999997</v>
      </c>
      <c r="D6614">
        <v>14.2126</v>
      </c>
      <c r="E6614">
        <f>-6.08008-14.2126</f>
        <v>-20.292680000000001</v>
      </c>
      <c r="F6614" t="s">
        <v>10050</v>
      </c>
      <c r="G6614" t="s">
        <v>39</v>
      </c>
      <c r="H6614">
        <v>1995</v>
      </c>
      <c r="I6614">
        <v>27.3</v>
      </c>
      <c r="J6614">
        <v>15.7</v>
      </c>
      <c r="K6614">
        <v>57</v>
      </c>
      <c r="L6614">
        <v>28.42</v>
      </c>
      <c r="M6614">
        <v>39.799999999999997</v>
      </c>
      <c r="N6614">
        <v>12.6</v>
      </c>
      <c r="O6614">
        <v>27.2</v>
      </c>
      <c r="P6614">
        <v>27.2</v>
      </c>
      <c r="Q6614">
        <v>23.5</v>
      </c>
      <c r="R6614">
        <v>31.1</v>
      </c>
      <c r="S6614">
        <v>23.5</v>
      </c>
      <c r="T6614">
        <v>546</v>
      </c>
      <c r="U6614">
        <v>201</v>
      </c>
      <c r="V6614">
        <v>0</v>
      </c>
      <c r="W6614">
        <v>142</v>
      </c>
      <c r="X6614">
        <v>446</v>
      </c>
      <c r="Y6614">
        <v>0</v>
      </c>
      <c r="Z6614">
        <v>79</v>
      </c>
      <c r="AA6614">
        <v>0</v>
      </c>
      <c r="AB6614">
        <v>1.1102559999999999</v>
      </c>
      <c r="AC6614">
        <v>2.0351299999999999E-2</v>
      </c>
      <c r="AD6614">
        <v>0.85513039999999996</v>
      </c>
      <c r="AE6614">
        <v>0.62006879999999998</v>
      </c>
      <c r="AF6614">
        <v>277.05220000000003</v>
      </c>
      <c r="AG6614">
        <f>IFERROR(AH6614*0.1, "N/A")</f>
        <v>6</v>
      </c>
      <c r="AH6614">
        <v>60</v>
      </c>
      <c r="AI6614">
        <v>210.35329999999999</v>
      </c>
      <c r="AJ6614">
        <v>13</v>
      </c>
      <c r="AK6614">
        <v>61</v>
      </c>
    </row>
    <row r="6615" spans="1:37" x14ac:dyDescent="0.3">
      <c r="A6615">
        <v>6614</v>
      </c>
      <c r="B6615">
        <v>9</v>
      </c>
      <c r="C6615">
        <v>-3.6190000000000002</v>
      </c>
      <c r="D6615">
        <v>14.218</v>
      </c>
      <c r="E6615">
        <f>-3.619-14.218</f>
        <v>-17.837</v>
      </c>
      <c r="F6615" t="s">
        <v>10051</v>
      </c>
      <c r="G6615" t="s">
        <v>39</v>
      </c>
      <c r="H6615">
        <v>1987</v>
      </c>
      <c r="I6615">
        <v>26.3</v>
      </c>
      <c r="J6615">
        <v>13.8</v>
      </c>
      <c r="K6615">
        <v>54</v>
      </c>
      <c r="L6615">
        <v>29.69</v>
      </c>
      <c r="M6615">
        <v>38.299999999999997</v>
      </c>
      <c r="N6615">
        <v>13</v>
      </c>
      <c r="O6615">
        <v>25.3</v>
      </c>
      <c r="P6615">
        <v>26.3</v>
      </c>
      <c r="Q6615">
        <v>22.2</v>
      </c>
      <c r="R6615">
        <v>30.2</v>
      </c>
      <c r="S6615">
        <v>22.2</v>
      </c>
      <c r="T6615">
        <v>533</v>
      </c>
      <c r="U6615">
        <v>176</v>
      </c>
      <c r="V6615">
        <v>0</v>
      </c>
      <c r="W6615">
        <v>130</v>
      </c>
      <c r="X6615">
        <v>412</v>
      </c>
      <c r="Y6615">
        <v>0</v>
      </c>
      <c r="Z6615">
        <v>95</v>
      </c>
      <c r="AA6615">
        <v>0</v>
      </c>
      <c r="AB6615">
        <v>4.0221960000000001</v>
      </c>
      <c r="AC6615">
        <v>0.23841190000000001</v>
      </c>
      <c r="AD6615">
        <v>4.5817180000000004</v>
      </c>
      <c r="AE6615">
        <v>0.29800450000000001</v>
      </c>
      <c r="AF6615">
        <v>463.24200000000002</v>
      </c>
      <c r="AG6615">
        <f>IFERROR(AH6615*0.1, "N/A")</f>
        <v>6.8000000000000007</v>
      </c>
      <c r="AH6615">
        <v>68</v>
      </c>
      <c r="AI6615">
        <v>252.6242</v>
      </c>
      <c r="AJ6615">
        <v>14.81513</v>
      </c>
      <c r="AK6615">
        <v>71.174790000000002</v>
      </c>
    </row>
    <row r="6616" spans="1:37" x14ac:dyDescent="0.3">
      <c r="A6616">
        <v>6615</v>
      </c>
      <c r="B6616">
        <v>0</v>
      </c>
      <c r="C6616">
        <v>-3.6190000000000002</v>
      </c>
      <c r="D6616">
        <v>14.218</v>
      </c>
      <c r="E6616">
        <f>-3.619-14.218</f>
        <v>-17.837</v>
      </c>
      <c r="F6616" t="s">
        <v>10052</v>
      </c>
      <c r="G6616" t="s">
        <v>37</v>
      </c>
      <c r="H6616">
        <v>1987</v>
      </c>
      <c r="I6616">
        <v>26.3</v>
      </c>
      <c r="J6616">
        <v>13.8</v>
      </c>
      <c r="K6616">
        <v>54</v>
      </c>
      <c r="L6616">
        <v>29.69</v>
      </c>
      <c r="M6616">
        <v>38.299999999999997</v>
      </c>
      <c r="N6616">
        <v>13</v>
      </c>
      <c r="O6616">
        <v>25.3</v>
      </c>
      <c r="P6616">
        <v>26.3</v>
      </c>
      <c r="Q6616">
        <v>22.2</v>
      </c>
      <c r="R6616">
        <v>30.2</v>
      </c>
      <c r="S6616">
        <v>22.2</v>
      </c>
      <c r="T6616">
        <v>533</v>
      </c>
      <c r="U6616">
        <v>176</v>
      </c>
      <c r="V6616">
        <v>0</v>
      </c>
      <c r="W6616">
        <v>130</v>
      </c>
      <c r="X6616">
        <v>412</v>
      </c>
      <c r="Y6616">
        <v>0</v>
      </c>
      <c r="Z6616">
        <v>95</v>
      </c>
      <c r="AA6616">
        <v>0</v>
      </c>
      <c r="AB6616">
        <v>4.0221960000000001</v>
      </c>
      <c r="AC6616">
        <v>0.23841190000000001</v>
      </c>
      <c r="AD6616">
        <v>4.5817180000000004</v>
      </c>
      <c r="AE6616">
        <v>0.29800450000000001</v>
      </c>
      <c r="AF6616">
        <v>463.24200000000002</v>
      </c>
      <c r="AG6616">
        <f>IFERROR(AH6616*0.1, "N/A")</f>
        <v>6.8000000000000007</v>
      </c>
      <c r="AH6616">
        <v>68</v>
      </c>
      <c r="AI6616">
        <v>252.6242</v>
      </c>
      <c r="AJ6616">
        <v>14.81513</v>
      </c>
      <c r="AK6616">
        <v>71.174790000000002</v>
      </c>
    </row>
    <row r="6617" spans="1:37" x14ac:dyDescent="0.3">
      <c r="A6617">
        <v>6616</v>
      </c>
      <c r="B6617">
        <v>45.5</v>
      </c>
      <c r="C6617">
        <v>-2.1636000000000002</v>
      </c>
      <c r="D6617">
        <v>14.2187</v>
      </c>
      <c r="E6617">
        <f>-2.1636-14.2187</f>
        <v>-16.382300000000001</v>
      </c>
      <c r="F6617" t="s">
        <v>10053</v>
      </c>
      <c r="G6617" t="s">
        <v>39</v>
      </c>
      <c r="H6617">
        <v>1990</v>
      </c>
      <c r="I6617">
        <v>28.6</v>
      </c>
      <c r="J6617">
        <v>14</v>
      </c>
      <c r="K6617">
        <v>57</v>
      </c>
      <c r="L6617">
        <v>28.32</v>
      </c>
      <c r="M6617">
        <v>40</v>
      </c>
      <c r="N6617">
        <v>15.7</v>
      </c>
      <c r="O6617">
        <v>24.3</v>
      </c>
      <c r="P6617">
        <v>28.1</v>
      </c>
      <c r="Q6617">
        <v>25.2</v>
      </c>
      <c r="R6617">
        <v>32.299999999999997</v>
      </c>
      <c r="S6617">
        <v>24.8</v>
      </c>
      <c r="T6617">
        <v>462</v>
      </c>
      <c r="U6617">
        <v>148</v>
      </c>
      <c r="V6617">
        <v>0</v>
      </c>
      <c r="W6617">
        <v>132</v>
      </c>
      <c r="X6617">
        <v>361</v>
      </c>
      <c r="Y6617">
        <v>0</v>
      </c>
      <c r="Z6617">
        <v>80</v>
      </c>
      <c r="AA6617">
        <v>0</v>
      </c>
      <c r="AB6617">
        <v>0.89359789999999995</v>
      </c>
      <c r="AC6617">
        <v>2.6313339999999998</v>
      </c>
      <c r="AD6617">
        <v>0.88315270000000001</v>
      </c>
      <c r="AE6617">
        <v>0.38990150000000001</v>
      </c>
      <c r="AF6617">
        <v>310.01350000000002</v>
      </c>
      <c r="AG6617">
        <f>IFERROR(AH6617*0.1, "N/A")</f>
        <v>6.2</v>
      </c>
      <c r="AH6617">
        <v>62</v>
      </c>
      <c r="AI6617">
        <v>133.22970000000001</v>
      </c>
      <c r="AJ6617">
        <v>7</v>
      </c>
      <c r="AK6617">
        <v>84</v>
      </c>
    </row>
    <row r="6618" spans="1:37" x14ac:dyDescent="0.3">
      <c r="A6618">
        <v>6617</v>
      </c>
      <c r="B6618">
        <v>0</v>
      </c>
      <c r="C6618">
        <v>-2.1636000000000002</v>
      </c>
      <c r="D6618">
        <v>14.2187</v>
      </c>
      <c r="E6618">
        <f>-2.1636-14.2187</f>
        <v>-16.382300000000001</v>
      </c>
      <c r="F6618" t="s">
        <v>10054</v>
      </c>
      <c r="G6618" t="s">
        <v>37</v>
      </c>
      <c r="H6618">
        <v>1990</v>
      </c>
      <c r="I6618">
        <v>28.6</v>
      </c>
      <c r="J6618">
        <v>14</v>
      </c>
      <c r="K6618">
        <v>57</v>
      </c>
      <c r="L6618">
        <v>28.32</v>
      </c>
      <c r="M6618">
        <v>40</v>
      </c>
      <c r="N6618">
        <v>15.7</v>
      </c>
      <c r="O6618">
        <v>24.3</v>
      </c>
      <c r="P6618">
        <v>28.1</v>
      </c>
      <c r="Q6618">
        <v>25.2</v>
      </c>
      <c r="R6618">
        <v>32.299999999999997</v>
      </c>
      <c r="S6618">
        <v>24.8</v>
      </c>
      <c r="T6618">
        <v>462</v>
      </c>
      <c r="U6618">
        <v>148</v>
      </c>
      <c r="V6618">
        <v>0</v>
      </c>
      <c r="W6618">
        <v>132</v>
      </c>
      <c r="X6618">
        <v>361</v>
      </c>
      <c r="Y6618">
        <v>0</v>
      </c>
      <c r="Z6618">
        <v>80</v>
      </c>
      <c r="AA6618">
        <v>0</v>
      </c>
      <c r="AB6618">
        <v>0.89359789999999995</v>
      </c>
      <c r="AC6618">
        <v>2.6313339999999998</v>
      </c>
      <c r="AD6618">
        <v>0.88315270000000001</v>
      </c>
      <c r="AE6618">
        <v>0.38990150000000001</v>
      </c>
      <c r="AF6618">
        <v>310.01350000000002</v>
      </c>
      <c r="AG6618">
        <f>IFERROR(AH6618*0.1, "N/A")</f>
        <v>6.2</v>
      </c>
      <c r="AH6618">
        <v>62</v>
      </c>
      <c r="AI6618">
        <v>133.22970000000001</v>
      </c>
      <c r="AJ6618">
        <v>7</v>
      </c>
      <c r="AK6618">
        <v>84</v>
      </c>
    </row>
    <row r="6619" spans="1:37" x14ac:dyDescent="0.3">
      <c r="A6619">
        <v>6618</v>
      </c>
      <c r="B6619">
        <v>47.3</v>
      </c>
      <c r="C6619">
        <v>-3.61219</v>
      </c>
      <c r="D6619">
        <v>14.220599999999999</v>
      </c>
      <c r="E6619">
        <f>-3.61219-14.2206</f>
        <v>-17.832789999999999</v>
      </c>
      <c r="F6619" t="s">
        <v>10055</v>
      </c>
      <c r="G6619" t="s">
        <v>39</v>
      </c>
      <c r="H6619">
        <v>1990</v>
      </c>
      <c r="I6619">
        <v>26.3</v>
      </c>
      <c r="J6619">
        <v>13.8</v>
      </c>
      <c r="K6619">
        <v>54</v>
      </c>
      <c r="L6619">
        <v>29.69</v>
      </c>
      <c r="M6619">
        <v>38.299999999999997</v>
      </c>
      <c r="N6619">
        <v>13</v>
      </c>
      <c r="O6619">
        <v>25.3</v>
      </c>
      <c r="P6619">
        <v>26.3</v>
      </c>
      <c r="Q6619">
        <v>22.2</v>
      </c>
      <c r="R6619">
        <v>30.2</v>
      </c>
      <c r="S6619">
        <v>22.2</v>
      </c>
      <c r="T6619">
        <v>534</v>
      </c>
      <c r="U6619">
        <v>176</v>
      </c>
      <c r="V6619">
        <v>0</v>
      </c>
      <c r="W6619">
        <v>131</v>
      </c>
      <c r="X6619">
        <v>413</v>
      </c>
      <c r="Y6619">
        <v>0</v>
      </c>
      <c r="Z6619">
        <v>95</v>
      </c>
      <c r="AA6619">
        <v>0</v>
      </c>
      <c r="AB6619">
        <v>7.2021949999999997</v>
      </c>
      <c r="AC6619">
        <v>1.0975759999999999E-2</v>
      </c>
      <c r="AD6619">
        <v>2.8955419999999998</v>
      </c>
      <c r="AE6619">
        <v>0.28766550000000002</v>
      </c>
      <c r="AF6619">
        <v>457.52679999999998</v>
      </c>
      <c r="AG6619">
        <f>IFERROR(AH6619*0.1, "N/A")</f>
        <v>6.7206380000000001</v>
      </c>
      <c r="AH6619">
        <v>67.206379999999996</v>
      </c>
      <c r="AI6619">
        <v>219.85720000000001</v>
      </c>
      <c r="AJ6619">
        <v>14</v>
      </c>
      <c r="AK6619">
        <v>69.223150000000004</v>
      </c>
    </row>
    <row r="6620" spans="1:37" x14ac:dyDescent="0.3">
      <c r="A6620">
        <v>6619</v>
      </c>
      <c r="B6620">
        <v>0</v>
      </c>
      <c r="C6620">
        <v>-3.61219</v>
      </c>
      <c r="D6620">
        <v>14.220599999999999</v>
      </c>
      <c r="E6620">
        <f>-3.61219-14.2206</f>
        <v>-17.832789999999999</v>
      </c>
      <c r="F6620" t="s">
        <v>10056</v>
      </c>
      <c r="G6620" t="s">
        <v>37</v>
      </c>
      <c r="H6620">
        <v>1990</v>
      </c>
      <c r="I6620">
        <v>26.3</v>
      </c>
      <c r="J6620">
        <v>13.8</v>
      </c>
      <c r="K6620">
        <v>54</v>
      </c>
      <c r="L6620">
        <v>29.69</v>
      </c>
      <c r="M6620">
        <v>38.299999999999997</v>
      </c>
      <c r="N6620">
        <v>13</v>
      </c>
      <c r="O6620">
        <v>25.3</v>
      </c>
      <c r="P6620">
        <v>26.3</v>
      </c>
      <c r="Q6620">
        <v>22.2</v>
      </c>
      <c r="R6620">
        <v>30.2</v>
      </c>
      <c r="S6620">
        <v>22.2</v>
      </c>
      <c r="T6620">
        <v>534</v>
      </c>
      <c r="U6620">
        <v>176</v>
      </c>
      <c r="V6620">
        <v>0</v>
      </c>
      <c r="W6620">
        <v>131</v>
      </c>
      <c r="X6620">
        <v>413</v>
      </c>
      <c r="Y6620">
        <v>0</v>
      </c>
      <c r="Z6620">
        <v>95</v>
      </c>
      <c r="AA6620">
        <v>0</v>
      </c>
      <c r="AB6620">
        <v>7.2021949999999997</v>
      </c>
      <c r="AC6620">
        <v>1.0975759999999999E-2</v>
      </c>
      <c r="AD6620">
        <v>2.8955419999999998</v>
      </c>
      <c r="AE6620">
        <v>0.28766550000000002</v>
      </c>
      <c r="AF6620">
        <v>457.52679999999998</v>
      </c>
      <c r="AG6620">
        <f>IFERROR(AH6620*0.1, "N/A")</f>
        <v>6.7206380000000001</v>
      </c>
      <c r="AH6620">
        <v>67.206379999999996</v>
      </c>
      <c r="AI6620">
        <v>219.85720000000001</v>
      </c>
      <c r="AJ6620">
        <v>14</v>
      </c>
      <c r="AK6620">
        <v>69.223150000000004</v>
      </c>
    </row>
    <row r="6621" spans="1:37" x14ac:dyDescent="0.3">
      <c r="A6621">
        <v>6620</v>
      </c>
      <c r="B6621">
        <v>59</v>
      </c>
      <c r="C6621">
        <v>-4.4959300000000004</v>
      </c>
      <c r="D6621">
        <v>14.222300000000001</v>
      </c>
      <c r="E6621">
        <f>-4.49593-14.2223</f>
        <v>-18.718230000000002</v>
      </c>
      <c r="F6621" t="s">
        <v>10057</v>
      </c>
      <c r="G6621" t="s">
        <v>39</v>
      </c>
      <c r="H6621">
        <v>1990</v>
      </c>
      <c r="I6621">
        <v>27.3</v>
      </c>
      <c r="J6621">
        <v>14.2</v>
      </c>
      <c r="K6621">
        <v>52</v>
      </c>
      <c r="L6621">
        <v>31.38</v>
      </c>
      <c r="M6621">
        <v>40</v>
      </c>
      <c r="N6621">
        <v>13</v>
      </c>
      <c r="O6621">
        <v>27</v>
      </c>
      <c r="P6621">
        <v>27.6</v>
      </c>
      <c r="Q6621">
        <v>24.7</v>
      </c>
      <c r="R6621">
        <v>31.3</v>
      </c>
      <c r="S6621">
        <v>22.9</v>
      </c>
      <c r="T6621">
        <v>511</v>
      </c>
      <c r="U6621">
        <v>178</v>
      </c>
      <c r="V6621">
        <v>0</v>
      </c>
      <c r="W6621">
        <v>135</v>
      </c>
      <c r="X6621">
        <v>398</v>
      </c>
      <c r="Y6621">
        <v>1</v>
      </c>
      <c r="Z6621">
        <v>93</v>
      </c>
      <c r="AA6621">
        <v>1</v>
      </c>
      <c r="AB6621">
        <v>0.1175402</v>
      </c>
      <c r="AC6621">
        <v>6.2328479999999999E-2</v>
      </c>
      <c r="AD6621">
        <v>0.92112720000000003</v>
      </c>
      <c r="AE6621">
        <v>0.27405479999999999</v>
      </c>
      <c r="AF6621">
        <v>265.2799</v>
      </c>
      <c r="AG6621">
        <f>IFERROR(AH6621*0.1, "N/A")</f>
        <v>6.6251260000000007</v>
      </c>
      <c r="AH6621">
        <v>66.251260000000002</v>
      </c>
      <c r="AI6621">
        <v>164.709</v>
      </c>
      <c r="AJ6621">
        <v>27.588529999999999</v>
      </c>
      <c r="AK6621">
        <v>51.317030000000003</v>
      </c>
    </row>
    <row r="6622" spans="1:37" x14ac:dyDescent="0.3">
      <c r="A6622">
        <v>6621</v>
      </c>
      <c r="B6622">
        <v>0</v>
      </c>
      <c r="C6622">
        <v>-4.4959300000000004</v>
      </c>
      <c r="D6622">
        <v>14.222300000000001</v>
      </c>
      <c r="E6622">
        <f>-4.49593-14.2223</f>
        <v>-18.718230000000002</v>
      </c>
      <c r="F6622" t="s">
        <v>10058</v>
      </c>
      <c r="G6622" t="s">
        <v>37</v>
      </c>
      <c r="H6622">
        <v>1990</v>
      </c>
      <c r="I6622">
        <v>27.3</v>
      </c>
      <c r="J6622">
        <v>14.2</v>
      </c>
      <c r="K6622">
        <v>52</v>
      </c>
      <c r="L6622">
        <v>31.38</v>
      </c>
      <c r="M6622">
        <v>40</v>
      </c>
      <c r="N6622">
        <v>13</v>
      </c>
      <c r="O6622">
        <v>27</v>
      </c>
      <c r="P6622">
        <v>27.6</v>
      </c>
      <c r="Q6622">
        <v>24.7</v>
      </c>
      <c r="R6622">
        <v>31.3</v>
      </c>
      <c r="S6622">
        <v>22.9</v>
      </c>
      <c r="T6622">
        <v>511</v>
      </c>
      <c r="U6622">
        <v>178</v>
      </c>
      <c r="V6622">
        <v>0</v>
      </c>
      <c r="W6622">
        <v>135</v>
      </c>
      <c r="X6622">
        <v>398</v>
      </c>
      <c r="Y6622">
        <v>1</v>
      </c>
      <c r="Z6622">
        <v>93</v>
      </c>
      <c r="AA6622">
        <v>1</v>
      </c>
      <c r="AB6622">
        <v>0.1175402</v>
      </c>
      <c r="AC6622">
        <v>6.2328479999999999E-2</v>
      </c>
      <c r="AD6622">
        <v>0.92112720000000003</v>
      </c>
      <c r="AE6622">
        <v>0.27405479999999999</v>
      </c>
      <c r="AF6622">
        <v>265.2799</v>
      </c>
      <c r="AG6622">
        <f>IFERROR(AH6622*0.1, "N/A")</f>
        <v>6.6251260000000007</v>
      </c>
      <c r="AH6622">
        <v>66.251260000000002</v>
      </c>
      <c r="AI6622">
        <v>164.709</v>
      </c>
      <c r="AJ6622">
        <v>27.588529999999999</v>
      </c>
      <c r="AK6622">
        <v>51.317030000000003</v>
      </c>
    </row>
    <row r="6623" spans="1:37" x14ac:dyDescent="0.3">
      <c r="A6623">
        <v>6622</v>
      </c>
      <c r="B6623">
        <v>12.2</v>
      </c>
      <c r="C6623">
        <v>-5.0021100000000001</v>
      </c>
      <c r="D6623">
        <v>14.225199999999999</v>
      </c>
      <c r="E6623">
        <f>-5.00211-14.2252</f>
        <v>-19.227309999999999</v>
      </c>
      <c r="F6623" t="s">
        <v>10059</v>
      </c>
      <c r="G6623" t="s">
        <v>39</v>
      </c>
      <c r="H6623">
        <v>1990</v>
      </c>
      <c r="I6623">
        <v>26.98151</v>
      </c>
      <c r="J6623">
        <v>14.5</v>
      </c>
      <c r="K6623">
        <v>51</v>
      </c>
      <c r="L6623">
        <v>33.72513</v>
      </c>
      <c r="M6623">
        <v>40.1</v>
      </c>
      <c r="N6623">
        <v>11.781510000000001</v>
      </c>
      <c r="O6623">
        <v>28.318490000000001</v>
      </c>
      <c r="P6623">
        <v>27.7</v>
      </c>
      <c r="Q6623">
        <v>23.781510000000001</v>
      </c>
      <c r="R6623">
        <v>31.1</v>
      </c>
      <c r="S6623">
        <v>22</v>
      </c>
      <c r="T6623">
        <v>548.18489999999997</v>
      </c>
      <c r="U6623">
        <v>216.8151</v>
      </c>
      <c r="V6623">
        <v>0</v>
      </c>
      <c r="W6623">
        <v>147</v>
      </c>
      <c r="X6623">
        <v>451</v>
      </c>
      <c r="Y6623">
        <v>0</v>
      </c>
      <c r="Z6623">
        <v>82</v>
      </c>
      <c r="AA6623">
        <v>1</v>
      </c>
      <c r="AB6623">
        <v>2.486065</v>
      </c>
      <c r="AC6623">
        <v>9.5169969999999993E-3</v>
      </c>
      <c r="AD6623">
        <v>1.075914</v>
      </c>
      <c r="AE6623">
        <v>0.43198890000000001</v>
      </c>
      <c r="AF6623">
        <v>274.8605</v>
      </c>
      <c r="AG6623">
        <f>IFERROR(AH6623*0.1, "N/A")</f>
        <v>6.1458820000000003</v>
      </c>
      <c r="AH6623">
        <v>61.458820000000003</v>
      </c>
      <c r="AI6623">
        <v>156.23990000000001</v>
      </c>
      <c r="AJ6623">
        <v>17.270589999999999</v>
      </c>
      <c r="AK6623">
        <v>58.729410000000001</v>
      </c>
    </row>
    <row r="6624" spans="1:37" x14ac:dyDescent="0.3">
      <c r="A6624">
        <v>6623</v>
      </c>
      <c r="B6624">
        <v>0.9</v>
      </c>
      <c r="C6624">
        <v>-5.0021100000000001</v>
      </c>
      <c r="D6624">
        <v>14.225199999999999</v>
      </c>
      <c r="E6624">
        <f>-5.00211-14.2252</f>
        <v>-19.227309999999999</v>
      </c>
      <c r="F6624" t="s">
        <v>10060</v>
      </c>
      <c r="G6624" t="s">
        <v>37</v>
      </c>
      <c r="H6624">
        <v>1990</v>
      </c>
      <c r="I6624">
        <v>26.98151</v>
      </c>
      <c r="J6624">
        <v>14.5</v>
      </c>
      <c r="K6624">
        <v>51</v>
      </c>
      <c r="L6624">
        <v>33.72513</v>
      </c>
      <c r="M6624">
        <v>40.1</v>
      </c>
      <c r="N6624">
        <v>11.781510000000001</v>
      </c>
      <c r="O6624">
        <v>28.318490000000001</v>
      </c>
      <c r="P6624">
        <v>27.7</v>
      </c>
      <c r="Q6624">
        <v>23.781510000000001</v>
      </c>
      <c r="R6624">
        <v>31.1</v>
      </c>
      <c r="S6624">
        <v>22</v>
      </c>
      <c r="T6624">
        <v>548.18489999999997</v>
      </c>
      <c r="U6624">
        <v>216.8151</v>
      </c>
      <c r="V6624">
        <v>0</v>
      </c>
      <c r="W6624">
        <v>147</v>
      </c>
      <c r="X6624">
        <v>451</v>
      </c>
      <c r="Y6624">
        <v>0</v>
      </c>
      <c r="Z6624">
        <v>82</v>
      </c>
      <c r="AA6624">
        <v>1</v>
      </c>
      <c r="AB6624">
        <v>2.486065</v>
      </c>
      <c r="AC6624">
        <v>9.5169969999999993E-3</v>
      </c>
      <c r="AD6624">
        <v>1.075914</v>
      </c>
      <c r="AE6624">
        <v>0.43198890000000001</v>
      </c>
      <c r="AF6624">
        <v>274.8605</v>
      </c>
      <c r="AG6624">
        <f>IFERROR(AH6624*0.1, "N/A")</f>
        <v>6.1458820000000003</v>
      </c>
      <c r="AH6624">
        <v>61.458820000000003</v>
      </c>
      <c r="AI6624">
        <v>156.23990000000001</v>
      </c>
      <c r="AJ6624">
        <v>17.270589999999999</v>
      </c>
      <c r="AK6624">
        <v>58.729410000000001</v>
      </c>
    </row>
    <row r="6625" spans="1:37" x14ac:dyDescent="0.3">
      <c r="A6625">
        <v>6624</v>
      </c>
      <c r="B6625">
        <v>22.3</v>
      </c>
      <c r="C6625">
        <v>-4.6236800000000002</v>
      </c>
      <c r="D6625">
        <v>14.2263</v>
      </c>
      <c r="E6625">
        <f>-4.62368-14.2263</f>
        <v>-18.849980000000002</v>
      </c>
      <c r="F6625" t="s">
        <v>10061</v>
      </c>
      <c r="G6625" t="s">
        <v>39</v>
      </c>
      <c r="H6625">
        <v>1990</v>
      </c>
      <c r="I6625">
        <v>27.2</v>
      </c>
      <c r="J6625">
        <v>14.2</v>
      </c>
      <c r="K6625">
        <v>52</v>
      </c>
      <c r="L6625">
        <v>32.15</v>
      </c>
      <c r="M6625">
        <v>40</v>
      </c>
      <c r="N6625">
        <v>12.7</v>
      </c>
      <c r="O6625">
        <v>27.3</v>
      </c>
      <c r="P6625">
        <v>27.7</v>
      </c>
      <c r="Q6625">
        <v>24.4</v>
      </c>
      <c r="R6625">
        <v>31.2</v>
      </c>
      <c r="S6625">
        <v>22.6</v>
      </c>
      <c r="T6625">
        <v>516</v>
      </c>
      <c r="U6625">
        <v>184</v>
      </c>
      <c r="V6625">
        <v>0</v>
      </c>
      <c r="W6625">
        <v>135</v>
      </c>
      <c r="X6625">
        <v>404</v>
      </c>
      <c r="Y6625">
        <v>1</v>
      </c>
      <c r="Z6625">
        <v>93</v>
      </c>
      <c r="AA6625">
        <v>1</v>
      </c>
      <c r="AB6625">
        <v>7.3472169999999997</v>
      </c>
      <c r="AC6625">
        <v>1.032512E-2</v>
      </c>
      <c r="AD6625">
        <v>2.3132259999999998</v>
      </c>
      <c r="AE6625">
        <v>0.24456890000000001</v>
      </c>
      <c r="AF6625">
        <v>270.27229999999997</v>
      </c>
      <c r="AG6625">
        <f>IFERROR(AH6625*0.1, "N/A")</f>
        <v>6.9517650000000009</v>
      </c>
      <c r="AH6625">
        <v>69.517650000000003</v>
      </c>
      <c r="AI6625">
        <v>143.5745</v>
      </c>
      <c r="AJ6625">
        <v>24.294119999999999</v>
      </c>
      <c r="AK6625">
        <v>56.964709999999997</v>
      </c>
    </row>
    <row r="6626" spans="1:37" x14ac:dyDescent="0.3">
      <c r="A6626">
        <v>6625</v>
      </c>
      <c r="B6626">
        <v>0</v>
      </c>
      <c r="C6626">
        <v>-4.6236800000000002</v>
      </c>
      <c r="D6626">
        <v>14.2263</v>
      </c>
      <c r="E6626">
        <f>-4.62368-14.2263</f>
        <v>-18.849980000000002</v>
      </c>
      <c r="F6626" t="s">
        <v>10062</v>
      </c>
      <c r="G6626" t="s">
        <v>37</v>
      </c>
      <c r="H6626">
        <v>1990</v>
      </c>
      <c r="I6626">
        <v>27.2</v>
      </c>
      <c r="J6626">
        <v>14.2</v>
      </c>
      <c r="K6626">
        <v>52</v>
      </c>
      <c r="L6626">
        <v>32.15</v>
      </c>
      <c r="M6626">
        <v>40</v>
      </c>
      <c r="N6626">
        <v>12.7</v>
      </c>
      <c r="O6626">
        <v>27.3</v>
      </c>
      <c r="P6626">
        <v>27.7</v>
      </c>
      <c r="Q6626">
        <v>24.4</v>
      </c>
      <c r="R6626">
        <v>31.2</v>
      </c>
      <c r="S6626">
        <v>22.6</v>
      </c>
      <c r="T6626">
        <v>516</v>
      </c>
      <c r="U6626">
        <v>184</v>
      </c>
      <c r="V6626">
        <v>0</v>
      </c>
      <c r="W6626">
        <v>135</v>
      </c>
      <c r="X6626">
        <v>404</v>
      </c>
      <c r="Y6626">
        <v>1</v>
      </c>
      <c r="Z6626">
        <v>93</v>
      </c>
      <c r="AA6626">
        <v>1</v>
      </c>
      <c r="AB6626">
        <v>7.3472169999999997</v>
      </c>
      <c r="AC6626">
        <v>1.032512E-2</v>
      </c>
      <c r="AD6626">
        <v>2.3132259999999998</v>
      </c>
      <c r="AE6626">
        <v>0.24456890000000001</v>
      </c>
      <c r="AF6626">
        <v>270.27229999999997</v>
      </c>
      <c r="AG6626">
        <f>IFERROR(AH6626*0.1, "N/A")</f>
        <v>6.9517650000000009</v>
      </c>
      <c r="AH6626">
        <v>69.517650000000003</v>
      </c>
      <c r="AI6626">
        <v>143.5745</v>
      </c>
      <c r="AJ6626">
        <v>24.294119999999999</v>
      </c>
      <c r="AK6626">
        <v>56.964709999999997</v>
      </c>
    </row>
    <row r="6627" spans="1:37" x14ac:dyDescent="0.3">
      <c r="A6627">
        <v>6626</v>
      </c>
      <c r="B6627">
        <v>31</v>
      </c>
      <c r="C6627">
        <v>-3.5289899999999998</v>
      </c>
      <c r="D6627">
        <v>14.2271</v>
      </c>
      <c r="E6627">
        <f>-3.52899-14.2271</f>
        <v>-17.75609</v>
      </c>
      <c r="F6627" t="s">
        <v>10063</v>
      </c>
      <c r="G6627" t="s">
        <v>39</v>
      </c>
      <c r="H6627">
        <v>1990</v>
      </c>
      <c r="I6627">
        <v>26</v>
      </c>
      <c r="J6627">
        <v>13.8</v>
      </c>
      <c r="K6627">
        <v>54</v>
      </c>
      <c r="L6627">
        <v>29.53</v>
      </c>
      <c r="M6627">
        <v>38</v>
      </c>
      <c r="N6627">
        <v>12.8</v>
      </c>
      <c r="O6627">
        <v>25.2</v>
      </c>
      <c r="P6627">
        <v>25.9</v>
      </c>
      <c r="Q6627">
        <v>21.9</v>
      </c>
      <c r="R6627">
        <v>29.9</v>
      </c>
      <c r="S6627">
        <v>21.9</v>
      </c>
      <c r="T6627">
        <v>536</v>
      </c>
      <c r="U6627">
        <v>176</v>
      </c>
      <c r="V6627">
        <v>0</v>
      </c>
      <c r="W6627">
        <v>131</v>
      </c>
      <c r="X6627">
        <v>414</v>
      </c>
      <c r="Y6627">
        <v>0</v>
      </c>
      <c r="Z6627">
        <v>95</v>
      </c>
      <c r="AA6627">
        <v>0</v>
      </c>
      <c r="AB6627">
        <v>11.12392</v>
      </c>
      <c r="AC6627">
        <v>2.6337699999999999E-2</v>
      </c>
      <c r="AD6627">
        <v>6.3669979999999997</v>
      </c>
      <c r="AE6627">
        <v>0.28816170000000002</v>
      </c>
      <c r="AF6627">
        <v>523.43430000000001</v>
      </c>
      <c r="AG6627">
        <f>IFERROR(AH6627*0.1, "N/A")</f>
        <v>6.7</v>
      </c>
      <c r="AH6627">
        <v>67</v>
      </c>
      <c r="AI6627">
        <v>212.35599999999999</v>
      </c>
      <c r="AJ6627">
        <v>19.11448</v>
      </c>
      <c r="AK6627">
        <v>65.656570000000002</v>
      </c>
    </row>
    <row r="6628" spans="1:37" x14ac:dyDescent="0.3">
      <c r="A6628">
        <v>6627</v>
      </c>
      <c r="B6628">
        <v>1</v>
      </c>
      <c r="C6628">
        <v>-3.5289899999999998</v>
      </c>
      <c r="D6628">
        <v>14.2271</v>
      </c>
      <c r="E6628">
        <f>-3.52899-14.2271</f>
        <v>-17.75609</v>
      </c>
      <c r="F6628" t="s">
        <v>10064</v>
      </c>
      <c r="G6628" t="s">
        <v>37</v>
      </c>
      <c r="H6628">
        <v>1990</v>
      </c>
      <c r="I6628">
        <v>26</v>
      </c>
      <c r="J6628">
        <v>13.8</v>
      </c>
      <c r="K6628">
        <v>54</v>
      </c>
      <c r="L6628">
        <v>29.53</v>
      </c>
      <c r="M6628">
        <v>38</v>
      </c>
      <c r="N6628">
        <v>12.8</v>
      </c>
      <c r="O6628">
        <v>25.2</v>
      </c>
      <c r="P6628">
        <v>25.9</v>
      </c>
      <c r="Q6628">
        <v>21.9</v>
      </c>
      <c r="R6628">
        <v>29.9</v>
      </c>
      <c r="S6628">
        <v>21.9</v>
      </c>
      <c r="T6628">
        <v>536</v>
      </c>
      <c r="U6628">
        <v>176</v>
      </c>
      <c r="V6628">
        <v>0</v>
      </c>
      <c r="W6628">
        <v>131</v>
      </c>
      <c r="X6628">
        <v>414</v>
      </c>
      <c r="Y6628">
        <v>0</v>
      </c>
      <c r="Z6628">
        <v>95</v>
      </c>
      <c r="AA6628">
        <v>0</v>
      </c>
      <c r="AB6628">
        <v>11.12392</v>
      </c>
      <c r="AC6628">
        <v>2.6337699999999999E-2</v>
      </c>
      <c r="AD6628">
        <v>6.3669979999999997</v>
      </c>
      <c r="AE6628">
        <v>0.28816170000000002</v>
      </c>
      <c r="AF6628">
        <v>523.43430000000001</v>
      </c>
      <c r="AG6628">
        <f>IFERROR(AH6628*0.1, "N/A")</f>
        <v>6.7</v>
      </c>
      <c r="AH6628">
        <v>67</v>
      </c>
      <c r="AI6628">
        <v>212.35599999999999</v>
      </c>
      <c r="AJ6628">
        <v>19.11448</v>
      </c>
      <c r="AK6628">
        <v>65.656570000000002</v>
      </c>
    </row>
    <row r="6629" spans="1:37" x14ac:dyDescent="0.3">
      <c r="A6629">
        <v>6628</v>
      </c>
      <c r="B6629">
        <v>0.9</v>
      </c>
      <c r="C6629">
        <v>-5.9896000000000003</v>
      </c>
      <c r="D6629">
        <v>14.227600000000001</v>
      </c>
      <c r="E6629">
        <f>-5.9896-14.2276</f>
        <v>-20.217200000000002</v>
      </c>
      <c r="F6629" t="s">
        <v>10065</v>
      </c>
      <c r="G6629" t="s">
        <v>39</v>
      </c>
      <c r="H6629">
        <v>1986</v>
      </c>
      <c r="I6629">
        <v>27.3</v>
      </c>
      <c r="J6629">
        <v>15.7</v>
      </c>
      <c r="K6629">
        <v>57</v>
      </c>
      <c r="L6629">
        <v>28.53</v>
      </c>
      <c r="M6629">
        <v>39.9</v>
      </c>
      <c r="N6629">
        <v>12.5</v>
      </c>
      <c r="O6629">
        <v>27.4</v>
      </c>
      <c r="P6629">
        <v>27.3</v>
      </c>
      <c r="Q6629">
        <v>23.4</v>
      </c>
      <c r="R6629">
        <v>31.1</v>
      </c>
      <c r="S6629">
        <v>23.4</v>
      </c>
      <c r="T6629">
        <v>549</v>
      </c>
      <c r="U6629">
        <v>203</v>
      </c>
      <c r="V6629">
        <v>0</v>
      </c>
      <c r="W6629">
        <v>143</v>
      </c>
      <c r="X6629">
        <v>449</v>
      </c>
      <c r="Y6629">
        <v>0</v>
      </c>
      <c r="Z6629">
        <v>79</v>
      </c>
      <c r="AA6629">
        <v>0</v>
      </c>
      <c r="AB6629">
        <v>0.55211589999999999</v>
      </c>
      <c r="AC6629">
        <v>1.346017E-2</v>
      </c>
      <c r="AD6629">
        <v>1.1710160000000001</v>
      </c>
      <c r="AE6629">
        <v>0.56751079999999998</v>
      </c>
      <c r="AF6629">
        <v>277.37479999999999</v>
      </c>
      <c r="AG6629">
        <f>IFERROR(AH6629*0.1, "N/A")</f>
        <v>6.3803359999999998</v>
      </c>
      <c r="AH6629">
        <v>63.803359999999998</v>
      </c>
      <c r="AI6629">
        <v>163.2259</v>
      </c>
      <c r="AJ6629">
        <v>28.42353</v>
      </c>
      <c r="AK6629">
        <v>46.373109999999997</v>
      </c>
    </row>
    <row r="6630" spans="1:37" x14ac:dyDescent="0.3">
      <c r="A6630">
        <v>6629</v>
      </c>
      <c r="B6630">
        <v>60.4</v>
      </c>
      <c r="C6630">
        <v>-5.9896000000000003</v>
      </c>
      <c r="D6630">
        <v>14.227600000000001</v>
      </c>
      <c r="E6630">
        <f>-5.9896-14.2276</f>
        <v>-20.217200000000002</v>
      </c>
      <c r="F6630" t="s">
        <v>10066</v>
      </c>
      <c r="G6630" t="s">
        <v>37</v>
      </c>
      <c r="H6630">
        <v>1986</v>
      </c>
      <c r="I6630">
        <v>27.3</v>
      </c>
      <c r="J6630">
        <v>15.7</v>
      </c>
      <c r="K6630">
        <v>57</v>
      </c>
      <c r="L6630">
        <v>28.53</v>
      </c>
      <c r="M6630">
        <v>39.9</v>
      </c>
      <c r="N6630">
        <v>12.5</v>
      </c>
      <c r="O6630">
        <v>27.4</v>
      </c>
      <c r="P6630">
        <v>27.3</v>
      </c>
      <c r="Q6630">
        <v>23.4</v>
      </c>
      <c r="R6630">
        <v>31.1</v>
      </c>
      <c r="S6630">
        <v>23.4</v>
      </c>
      <c r="T6630">
        <v>549</v>
      </c>
      <c r="U6630">
        <v>203</v>
      </c>
      <c r="V6630">
        <v>0</v>
      </c>
      <c r="W6630">
        <v>143</v>
      </c>
      <c r="X6630">
        <v>449</v>
      </c>
      <c r="Y6630">
        <v>0</v>
      </c>
      <c r="Z6630">
        <v>79</v>
      </c>
      <c r="AA6630">
        <v>0</v>
      </c>
      <c r="AB6630">
        <v>0.55211589999999999</v>
      </c>
      <c r="AC6630">
        <v>1.346017E-2</v>
      </c>
      <c r="AD6630">
        <v>1.1710160000000001</v>
      </c>
      <c r="AE6630">
        <v>0.56751079999999998</v>
      </c>
      <c r="AF6630">
        <v>277.37479999999999</v>
      </c>
      <c r="AG6630">
        <f>IFERROR(AH6630*0.1, "N/A")</f>
        <v>6.3803359999999998</v>
      </c>
      <c r="AH6630">
        <v>63.803359999999998</v>
      </c>
      <c r="AI6630">
        <v>163.2259</v>
      </c>
      <c r="AJ6630">
        <v>28.42353</v>
      </c>
      <c r="AK6630">
        <v>46.373109999999997</v>
      </c>
    </row>
    <row r="6631" spans="1:37" x14ac:dyDescent="0.3">
      <c r="A6631">
        <v>6630</v>
      </c>
      <c r="B6631">
        <v>55.6</v>
      </c>
      <c r="C6631">
        <v>-6.0333300000000003</v>
      </c>
      <c r="D6631">
        <v>14.2333</v>
      </c>
      <c r="E6631">
        <f>-6.03333-14.2333</f>
        <v>-20.266629999999999</v>
      </c>
      <c r="F6631" t="s">
        <v>10067</v>
      </c>
      <c r="G6631" t="s">
        <v>39</v>
      </c>
      <c r="H6631">
        <v>2000</v>
      </c>
      <c r="I6631">
        <v>27.4</v>
      </c>
      <c r="J6631">
        <v>15.7</v>
      </c>
      <c r="K6631">
        <v>57</v>
      </c>
      <c r="L6631">
        <v>28.25207</v>
      </c>
      <c r="M6631">
        <v>39.9</v>
      </c>
      <c r="N6631">
        <v>12.62698</v>
      </c>
      <c r="O6631">
        <v>27.273019999999999</v>
      </c>
      <c r="P6631">
        <v>27.3</v>
      </c>
      <c r="Q6631">
        <v>23.5</v>
      </c>
      <c r="R6631">
        <v>31.1</v>
      </c>
      <c r="S6631">
        <v>23.5</v>
      </c>
      <c r="T6631">
        <v>545.35080000000005</v>
      </c>
      <c r="U6631">
        <v>201.4452</v>
      </c>
      <c r="V6631">
        <v>0</v>
      </c>
      <c r="W6631">
        <v>142.1754</v>
      </c>
      <c r="X6631">
        <v>445.62060000000002</v>
      </c>
      <c r="Y6631">
        <v>0</v>
      </c>
      <c r="Z6631">
        <v>78.730189999999993</v>
      </c>
      <c r="AA6631">
        <v>0</v>
      </c>
      <c r="AB6631">
        <v>1.1551499999999999</v>
      </c>
      <c r="AC6631">
        <v>0.12065149999999999</v>
      </c>
      <c r="AD6631">
        <v>1.3482430000000001</v>
      </c>
      <c r="AE6631">
        <v>0.41043039999999997</v>
      </c>
      <c r="AF6631">
        <v>278.42160000000001</v>
      </c>
      <c r="AG6631">
        <f>IFERROR(AH6631*0.1, "N/A")</f>
        <v>6.5949410000000004</v>
      </c>
      <c r="AH6631">
        <v>65.94941</v>
      </c>
      <c r="AI6631">
        <v>134.54429999999999</v>
      </c>
      <c r="AJ6631">
        <v>27.522770000000001</v>
      </c>
      <c r="AK6631">
        <v>48.801009999999998</v>
      </c>
    </row>
    <row r="6632" spans="1:37" x14ac:dyDescent="0.3">
      <c r="A6632">
        <v>6631</v>
      </c>
      <c r="B6632">
        <v>62.7</v>
      </c>
      <c r="C6632">
        <v>-6.0333300000000003</v>
      </c>
      <c r="D6632">
        <v>14.2333</v>
      </c>
      <c r="E6632">
        <f>-6.03333-14.2333</f>
        <v>-20.266629999999999</v>
      </c>
      <c r="F6632" t="s">
        <v>10068</v>
      </c>
      <c r="G6632" t="s">
        <v>37</v>
      </c>
      <c r="H6632">
        <v>2000</v>
      </c>
      <c r="I6632">
        <v>27.4</v>
      </c>
      <c r="J6632">
        <v>15.7</v>
      </c>
      <c r="K6632">
        <v>57</v>
      </c>
      <c r="L6632">
        <v>28.25207</v>
      </c>
      <c r="M6632">
        <v>39.9</v>
      </c>
      <c r="N6632">
        <v>12.62698</v>
      </c>
      <c r="O6632">
        <v>27.273019999999999</v>
      </c>
      <c r="P6632">
        <v>27.3</v>
      </c>
      <c r="Q6632">
        <v>23.5</v>
      </c>
      <c r="R6632">
        <v>31.1</v>
      </c>
      <c r="S6632">
        <v>23.5</v>
      </c>
      <c r="T6632">
        <v>545.35080000000005</v>
      </c>
      <c r="U6632">
        <v>201.4452</v>
      </c>
      <c r="V6632">
        <v>0</v>
      </c>
      <c r="W6632">
        <v>142.1754</v>
      </c>
      <c r="X6632">
        <v>445.62060000000002</v>
      </c>
      <c r="Y6632">
        <v>0</v>
      </c>
      <c r="Z6632">
        <v>78.730189999999993</v>
      </c>
      <c r="AA6632">
        <v>0</v>
      </c>
      <c r="AB6632">
        <v>1.1551499999999999</v>
      </c>
      <c r="AC6632">
        <v>0.12065149999999999</v>
      </c>
      <c r="AD6632">
        <v>1.3482430000000001</v>
      </c>
      <c r="AE6632">
        <v>0.41043039999999997</v>
      </c>
      <c r="AF6632">
        <v>278.42160000000001</v>
      </c>
      <c r="AG6632">
        <f>IFERROR(AH6632*0.1, "N/A")</f>
        <v>6.5949410000000004</v>
      </c>
      <c r="AH6632">
        <v>65.94941</v>
      </c>
      <c r="AI6632">
        <v>134.54429999999999</v>
      </c>
      <c r="AJ6632">
        <v>27.522770000000001</v>
      </c>
      <c r="AK6632">
        <v>48.801009999999998</v>
      </c>
    </row>
    <row r="6633" spans="1:37" x14ac:dyDescent="0.3">
      <c r="A6633">
        <v>6632</v>
      </c>
      <c r="B6633">
        <v>60.1</v>
      </c>
      <c r="C6633">
        <v>-6.0240999999999998</v>
      </c>
      <c r="D6633">
        <v>14.2387</v>
      </c>
      <c r="E6633">
        <f>-6.0241-14.2387</f>
        <v>-20.262799999999999</v>
      </c>
      <c r="F6633" t="s">
        <v>10069</v>
      </c>
      <c r="G6633" t="s">
        <v>37</v>
      </c>
      <c r="H6633">
        <v>2005</v>
      </c>
      <c r="I6633">
        <v>27.4</v>
      </c>
      <c r="J6633">
        <v>15.7</v>
      </c>
      <c r="K6633">
        <v>57</v>
      </c>
      <c r="L6633">
        <v>28.21</v>
      </c>
      <c r="M6633">
        <v>39.9</v>
      </c>
      <c r="N6633">
        <v>12.7</v>
      </c>
      <c r="O6633">
        <v>27.2</v>
      </c>
      <c r="P6633">
        <v>27.3</v>
      </c>
      <c r="Q6633">
        <v>23.5</v>
      </c>
      <c r="R6633">
        <v>31.1</v>
      </c>
      <c r="S6633">
        <v>23.5</v>
      </c>
      <c r="T6633">
        <v>545</v>
      </c>
      <c r="U6633">
        <v>202</v>
      </c>
      <c r="V6633">
        <v>0</v>
      </c>
      <c r="W6633">
        <v>142</v>
      </c>
      <c r="X6633">
        <v>446</v>
      </c>
      <c r="Y6633">
        <v>0</v>
      </c>
      <c r="Z6633">
        <v>78</v>
      </c>
      <c r="AA6633">
        <v>0</v>
      </c>
      <c r="AB6633">
        <v>1.034287</v>
      </c>
      <c r="AC6633">
        <v>84.390960000000007</v>
      </c>
      <c r="AD6633">
        <v>1.125046</v>
      </c>
      <c r="AE6633">
        <v>0.45829900000000001</v>
      </c>
      <c r="AF6633">
        <v>278.66890000000001</v>
      </c>
      <c r="AG6633">
        <f>IFERROR(AH6633*0.1, "N/A")</f>
        <v>6.0421849999999999</v>
      </c>
      <c r="AH6633">
        <v>60.421849999999999</v>
      </c>
      <c r="AI6633">
        <v>133.56809999999999</v>
      </c>
      <c r="AJ6633">
        <v>25.566389999999998</v>
      </c>
      <c r="AK6633">
        <v>51.578150000000001</v>
      </c>
    </row>
    <row r="6634" spans="1:37" x14ac:dyDescent="0.3">
      <c r="A6634">
        <v>6633</v>
      </c>
      <c r="B6634">
        <v>70.599999999999994</v>
      </c>
      <c r="C6634">
        <v>-6.0240999999999998</v>
      </c>
      <c r="D6634">
        <v>14.2387</v>
      </c>
      <c r="E6634">
        <f>-6.0241-14.2387</f>
        <v>-20.262799999999999</v>
      </c>
      <c r="F6634" t="s">
        <v>10070</v>
      </c>
      <c r="G6634" t="s">
        <v>39</v>
      </c>
      <c r="H6634">
        <v>2005</v>
      </c>
      <c r="I6634">
        <v>27.4</v>
      </c>
      <c r="J6634">
        <v>15.7</v>
      </c>
      <c r="K6634">
        <v>57</v>
      </c>
      <c r="L6634">
        <v>28.21</v>
      </c>
      <c r="M6634">
        <v>39.9</v>
      </c>
      <c r="N6634">
        <v>12.7</v>
      </c>
      <c r="O6634">
        <v>27.2</v>
      </c>
      <c r="P6634">
        <v>27.3</v>
      </c>
      <c r="Q6634">
        <v>23.5</v>
      </c>
      <c r="R6634">
        <v>31.1</v>
      </c>
      <c r="S6634">
        <v>23.5</v>
      </c>
      <c r="T6634">
        <v>545</v>
      </c>
      <c r="U6634">
        <v>202</v>
      </c>
      <c r="V6634">
        <v>0</v>
      </c>
      <c r="W6634">
        <v>142</v>
      </c>
      <c r="X6634">
        <v>446</v>
      </c>
      <c r="Y6634">
        <v>0</v>
      </c>
      <c r="Z6634">
        <v>78</v>
      </c>
      <c r="AA6634">
        <v>0</v>
      </c>
      <c r="AB6634">
        <v>1.034287</v>
      </c>
      <c r="AC6634">
        <v>84.390960000000007</v>
      </c>
      <c r="AD6634">
        <v>1.125046</v>
      </c>
      <c r="AE6634">
        <v>0.45829900000000001</v>
      </c>
      <c r="AF6634">
        <v>278.66890000000001</v>
      </c>
      <c r="AG6634">
        <f>IFERROR(AH6634*0.1, "N/A")</f>
        <v>6.0421849999999999</v>
      </c>
      <c r="AH6634">
        <v>60.421849999999999</v>
      </c>
      <c r="AI6634">
        <v>133.56809999999999</v>
      </c>
      <c r="AJ6634">
        <v>25.566389999999998</v>
      </c>
      <c r="AK6634">
        <v>51.578150000000001</v>
      </c>
    </row>
    <row r="6635" spans="1:37" x14ac:dyDescent="0.3">
      <c r="A6635">
        <v>6634</v>
      </c>
      <c r="B6635">
        <v>80.599999999999994</v>
      </c>
      <c r="C6635">
        <v>-3.5762</v>
      </c>
      <c r="D6635">
        <v>14.242900000000001</v>
      </c>
      <c r="E6635">
        <f>-3.5762-14.2429</f>
        <v>-17.819099999999999</v>
      </c>
      <c r="F6635" t="s">
        <v>10071</v>
      </c>
      <c r="G6635" t="s">
        <v>39</v>
      </c>
      <c r="H6635">
        <v>1990</v>
      </c>
      <c r="I6635">
        <v>26.3</v>
      </c>
      <c r="J6635">
        <v>13.8</v>
      </c>
      <c r="K6635">
        <v>54</v>
      </c>
      <c r="L6635">
        <v>29.59</v>
      </c>
      <c r="M6635">
        <v>38.299999999999997</v>
      </c>
      <c r="N6635">
        <v>13.1</v>
      </c>
      <c r="O6635">
        <v>25.2</v>
      </c>
      <c r="P6635">
        <v>26.3</v>
      </c>
      <c r="Q6635">
        <v>22.2</v>
      </c>
      <c r="R6635">
        <v>30.2</v>
      </c>
      <c r="S6635">
        <v>22.2</v>
      </c>
      <c r="T6635">
        <v>531</v>
      </c>
      <c r="U6635">
        <v>175</v>
      </c>
      <c r="V6635">
        <v>0</v>
      </c>
      <c r="W6635">
        <v>130</v>
      </c>
      <c r="X6635">
        <v>411</v>
      </c>
      <c r="Y6635">
        <v>0</v>
      </c>
      <c r="Z6635">
        <v>94</v>
      </c>
      <c r="AA6635">
        <v>0</v>
      </c>
      <c r="AB6635">
        <v>3.035561</v>
      </c>
      <c r="AC6635">
        <v>1.611381</v>
      </c>
      <c r="AD6635">
        <v>3.0926740000000001</v>
      </c>
      <c r="AE6635">
        <v>0.25140489999999999</v>
      </c>
      <c r="AF6635">
        <v>465.55869999999999</v>
      </c>
      <c r="AG6635">
        <f>IFERROR(AH6635*0.1, "N/A")</f>
        <v>7</v>
      </c>
      <c r="AH6635">
        <v>70</v>
      </c>
      <c r="AI6635">
        <v>64.193200000000004</v>
      </c>
      <c r="AJ6635">
        <v>13.605700000000001</v>
      </c>
      <c r="AK6635">
        <v>67</v>
      </c>
    </row>
    <row r="6636" spans="1:37" x14ac:dyDescent="0.3">
      <c r="A6636">
        <v>6635</v>
      </c>
      <c r="B6636">
        <v>2.9</v>
      </c>
      <c r="C6636">
        <v>-3.5762</v>
      </c>
      <c r="D6636">
        <v>14.242900000000001</v>
      </c>
      <c r="E6636">
        <f>-3.5762-14.2429</f>
        <v>-17.819099999999999</v>
      </c>
      <c r="F6636" t="s">
        <v>10072</v>
      </c>
      <c r="G6636" t="s">
        <v>37</v>
      </c>
      <c r="H6636">
        <v>1990</v>
      </c>
      <c r="I6636">
        <v>26.3</v>
      </c>
      <c r="J6636">
        <v>13.8</v>
      </c>
      <c r="K6636">
        <v>54</v>
      </c>
      <c r="L6636">
        <v>29.59</v>
      </c>
      <c r="M6636">
        <v>38.299999999999997</v>
      </c>
      <c r="N6636">
        <v>13.1</v>
      </c>
      <c r="O6636">
        <v>25.2</v>
      </c>
      <c r="P6636">
        <v>26.3</v>
      </c>
      <c r="Q6636">
        <v>22.2</v>
      </c>
      <c r="R6636">
        <v>30.2</v>
      </c>
      <c r="S6636">
        <v>22.2</v>
      </c>
      <c r="T6636">
        <v>531</v>
      </c>
      <c r="U6636">
        <v>175</v>
      </c>
      <c r="V6636">
        <v>0</v>
      </c>
      <c r="W6636">
        <v>130</v>
      </c>
      <c r="X6636">
        <v>411</v>
      </c>
      <c r="Y6636">
        <v>0</v>
      </c>
      <c r="Z6636">
        <v>94</v>
      </c>
      <c r="AA6636">
        <v>0</v>
      </c>
      <c r="AB6636">
        <v>3.035561</v>
      </c>
      <c r="AC6636">
        <v>1.611381</v>
      </c>
      <c r="AD6636">
        <v>3.0926740000000001</v>
      </c>
      <c r="AE6636">
        <v>0.25140489999999999</v>
      </c>
      <c r="AF6636">
        <v>465.55869999999999</v>
      </c>
      <c r="AG6636">
        <f>IFERROR(AH6636*0.1, "N/A")</f>
        <v>7</v>
      </c>
      <c r="AH6636">
        <v>70</v>
      </c>
      <c r="AI6636">
        <v>64.193200000000004</v>
      </c>
      <c r="AJ6636">
        <v>13.605700000000001</v>
      </c>
      <c r="AK6636">
        <v>67</v>
      </c>
    </row>
    <row r="6637" spans="1:37" x14ac:dyDescent="0.3">
      <c r="A6637">
        <v>6636</v>
      </c>
      <c r="B6637">
        <v>26.3</v>
      </c>
      <c r="C6637">
        <v>-2.883</v>
      </c>
      <c r="D6637">
        <v>14.245100000000001</v>
      </c>
      <c r="E6637">
        <f>-2.883-14.2451</f>
        <v>-17.1281</v>
      </c>
      <c r="F6637" t="s">
        <v>10073</v>
      </c>
      <c r="G6637" t="s">
        <v>39</v>
      </c>
      <c r="H6637">
        <v>1990</v>
      </c>
      <c r="I6637">
        <v>28.306740000000001</v>
      </c>
      <c r="J6637">
        <v>13.9</v>
      </c>
      <c r="K6637">
        <v>56</v>
      </c>
      <c r="L6637">
        <v>28.872820000000001</v>
      </c>
      <c r="M6637">
        <v>40.1</v>
      </c>
      <c r="N6637">
        <v>15.4</v>
      </c>
      <c r="O6637">
        <v>24.7</v>
      </c>
      <c r="P6637">
        <v>28</v>
      </c>
      <c r="Q6637">
        <v>24.8</v>
      </c>
      <c r="R6637">
        <v>32.106740000000002</v>
      </c>
      <c r="S6637">
        <v>24.4</v>
      </c>
      <c r="T6637">
        <v>505</v>
      </c>
      <c r="U6637">
        <v>163</v>
      </c>
      <c r="V6637">
        <v>0</v>
      </c>
      <c r="W6637">
        <v>129</v>
      </c>
      <c r="X6637">
        <v>391</v>
      </c>
      <c r="Y6637">
        <v>0</v>
      </c>
      <c r="Z6637">
        <v>90</v>
      </c>
      <c r="AA6637">
        <v>0</v>
      </c>
      <c r="AB6637">
        <v>0.46559020000000001</v>
      </c>
      <c r="AC6637">
        <v>6.074301E-2</v>
      </c>
      <c r="AD6637">
        <v>2.3349479999999998</v>
      </c>
      <c r="AE6637">
        <v>0.64120080000000002</v>
      </c>
      <c r="AF6637">
        <v>260.53460000000001</v>
      </c>
      <c r="AG6637">
        <f>IFERROR(AH6637*0.1, "N/A")</f>
        <v>6.313491</v>
      </c>
      <c r="AH6637">
        <v>63.134909999999998</v>
      </c>
      <c r="AI6637">
        <v>156.10769999999999</v>
      </c>
      <c r="AJ6637">
        <v>9.3204049999999992</v>
      </c>
      <c r="AK6637">
        <v>84.359189999999998</v>
      </c>
    </row>
    <row r="6638" spans="1:37" x14ac:dyDescent="0.3">
      <c r="A6638">
        <v>6637</v>
      </c>
      <c r="B6638">
        <v>0</v>
      </c>
      <c r="C6638">
        <v>-2.883</v>
      </c>
      <c r="D6638">
        <v>14.245100000000001</v>
      </c>
      <c r="E6638">
        <f>-2.883-14.2451</f>
        <v>-17.1281</v>
      </c>
      <c r="F6638" t="s">
        <v>10074</v>
      </c>
      <c r="G6638" t="s">
        <v>37</v>
      </c>
      <c r="H6638">
        <v>1990</v>
      </c>
      <c r="I6638">
        <v>28.306740000000001</v>
      </c>
      <c r="J6638">
        <v>13.9</v>
      </c>
      <c r="K6638">
        <v>56</v>
      </c>
      <c r="L6638">
        <v>28.872820000000001</v>
      </c>
      <c r="M6638">
        <v>40.1</v>
      </c>
      <c r="N6638">
        <v>15.4</v>
      </c>
      <c r="O6638">
        <v>24.7</v>
      </c>
      <c r="P6638">
        <v>28</v>
      </c>
      <c r="Q6638">
        <v>24.8</v>
      </c>
      <c r="R6638">
        <v>32.106740000000002</v>
      </c>
      <c r="S6638">
        <v>24.4</v>
      </c>
      <c r="T6638">
        <v>505</v>
      </c>
      <c r="U6638">
        <v>163</v>
      </c>
      <c r="V6638">
        <v>0</v>
      </c>
      <c r="W6638">
        <v>129</v>
      </c>
      <c r="X6638">
        <v>391</v>
      </c>
      <c r="Y6638">
        <v>0</v>
      </c>
      <c r="Z6638">
        <v>90</v>
      </c>
      <c r="AA6638">
        <v>0</v>
      </c>
      <c r="AB6638">
        <v>0.46559020000000001</v>
      </c>
      <c r="AC6638">
        <v>6.074301E-2</v>
      </c>
      <c r="AD6638">
        <v>2.3349479999999998</v>
      </c>
      <c r="AE6638">
        <v>0.64120080000000002</v>
      </c>
      <c r="AF6638">
        <v>260.53460000000001</v>
      </c>
      <c r="AG6638">
        <f>IFERROR(AH6638*0.1, "N/A")</f>
        <v>6.313491</v>
      </c>
      <c r="AH6638">
        <v>63.134909999999998</v>
      </c>
      <c r="AI6638">
        <v>156.10769999999999</v>
      </c>
      <c r="AJ6638">
        <v>9.3204049999999992</v>
      </c>
      <c r="AK6638">
        <v>84.359189999999998</v>
      </c>
    </row>
    <row r="6639" spans="1:37" x14ac:dyDescent="0.3">
      <c r="A6639">
        <v>6638</v>
      </c>
      <c r="B6639">
        <v>75.5</v>
      </c>
      <c r="C6639">
        <v>-11.255699999999999</v>
      </c>
      <c r="D6639">
        <v>14.2462</v>
      </c>
      <c r="E6639">
        <f>-11.2557-14.2462</f>
        <v>-25.501899999999999</v>
      </c>
      <c r="F6639" t="s">
        <v>10075</v>
      </c>
      <c r="G6639" t="s">
        <v>39</v>
      </c>
      <c r="H6639">
        <v>1990</v>
      </c>
      <c r="I6639">
        <v>29.1</v>
      </c>
      <c r="J6639">
        <v>13.8</v>
      </c>
      <c r="K6639">
        <v>58</v>
      </c>
      <c r="L6639">
        <v>23.56</v>
      </c>
      <c r="M6639">
        <v>40.6</v>
      </c>
      <c r="N6639">
        <v>17.100000000000001</v>
      </c>
      <c r="O6639">
        <v>23.5</v>
      </c>
      <c r="P6639">
        <v>27.9</v>
      </c>
      <c r="Q6639">
        <v>28</v>
      </c>
      <c r="R6639">
        <v>32.6</v>
      </c>
      <c r="S6639">
        <v>26.6</v>
      </c>
      <c r="T6639">
        <v>687</v>
      </c>
      <c r="U6639">
        <v>222</v>
      </c>
      <c r="V6639">
        <v>0</v>
      </c>
      <c r="W6639">
        <v>132</v>
      </c>
      <c r="X6639">
        <v>538</v>
      </c>
      <c r="Y6639">
        <v>0</v>
      </c>
      <c r="Z6639">
        <v>104</v>
      </c>
      <c r="AA6639">
        <v>0</v>
      </c>
      <c r="AB6639">
        <v>5.6360279999999996</v>
      </c>
      <c r="AC6639">
        <v>1.32864E-2</v>
      </c>
      <c r="AD6639">
        <v>1.871335</v>
      </c>
      <c r="AE6639">
        <v>0.6763441</v>
      </c>
      <c r="AF6639">
        <v>48.853540000000002</v>
      </c>
      <c r="AG6639">
        <f>IFERROR(AH6639*0.1, "N/A")</f>
        <v>6.2340070000000001</v>
      </c>
      <c r="AH6639">
        <v>62.340069999999997</v>
      </c>
      <c r="AI6639">
        <v>50.07329</v>
      </c>
      <c r="AJ6639">
        <v>15.9899</v>
      </c>
      <c r="AK6639">
        <v>57.340069999999997</v>
      </c>
    </row>
    <row r="6640" spans="1:37" x14ac:dyDescent="0.3">
      <c r="A6640">
        <v>6639</v>
      </c>
      <c r="B6640">
        <v>2.4</v>
      </c>
      <c r="C6640">
        <v>-11.255699999999999</v>
      </c>
      <c r="D6640">
        <v>14.2462</v>
      </c>
      <c r="E6640">
        <f>-11.2557-14.2462</f>
        <v>-25.501899999999999</v>
      </c>
      <c r="F6640" t="s">
        <v>10076</v>
      </c>
      <c r="G6640" t="s">
        <v>37</v>
      </c>
      <c r="H6640">
        <v>1990</v>
      </c>
      <c r="I6640">
        <v>29.1</v>
      </c>
      <c r="J6640">
        <v>13.8</v>
      </c>
      <c r="K6640">
        <v>58</v>
      </c>
      <c r="L6640">
        <v>23.56</v>
      </c>
      <c r="M6640">
        <v>40.6</v>
      </c>
      <c r="N6640">
        <v>17.100000000000001</v>
      </c>
      <c r="O6640">
        <v>23.5</v>
      </c>
      <c r="P6640">
        <v>27.9</v>
      </c>
      <c r="Q6640">
        <v>28</v>
      </c>
      <c r="R6640">
        <v>32.6</v>
      </c>
      <c r="S6640">
        <v>26.6</v>
      </c>
      <c r="T6640">
        <v>687</v>
      </c>
      <c r="U6640">
        <v>222</v>
      </c>
      <c r="V6640">
        <v>0</v>
      </c>
      <c r="W6640">
        <v>132</v>
      </c>
      <c r="X6640">
        <v>538</v>
      </c>
      <c r="Y6640">
        <v>0</v>
      </c>
      <c r="Z6640">
        <v>104</v>
      </c>
      <c r="AA6640">
        <v>0</v>
      </c>
      <c r="AB6640">
        <v>5.6360279999999996</v>
      </c>
      <c r="AC6640">
        <v>1.32864E-2</v>
      </c>
      <c r="AD6640">
        <v>1.871335</v>
      </c>
      <c r="AE6640">
        <v>0.6763441</v>
      </c>
      <c r="AF6640">
        <v>48.853540000000002</v>
      </c>
      <c r="AG6640">
        <f>IFERROR(AH6640*0.1, "N/A")</f>
        <v>6.2340070000000001</v>
      </c>
      <c r="AH6640">
        <v>62.340069999999997</v>
      </c>
      <c r="AI6640">
        <v>50.07329</v>
      </c>
      <c r="AJ6640">
        <v>15.9899</v>
      </c>
      <c r="AK6640">
        <v>57.340069999999997</v>
      </c>
    </row>
    <row r="6641" spans="1:37" x14ac:dyDescent="0.3">
      <c r="A6641">
        <v>6640</v>
      </c>
      <c r="B6641">
        <v>32.700000000000003</v>
      </c>
      <c r="C6641">
        <v>-5.9930000000000003</v>
      </c>
      <c r="D6641">
        <v>14.252599999999999</v>
      </c>
      <c r="E6641">
        <f>-5.993-14.2526</f>
        <v>-20.2456</v>
      </c>
      <c r="F6641" t="s">
        <v>10077</v>
      </c>
      <c r="G6641" t="s">
        <v>39</v>
      </c>
      <c r="H6641">
        <v>1995</v>
      </c>
      <c r="I6641">
        <v>27.3</v>
      </c>
      <c r="J6641">
        <v>15.7</v>
      </c>
      <c r="K6641">
        <v>57</v>
      </c>
      <c r="L6641">
        <v>28.73</v>
      </c>
      <c r="M6641">
        <v>39.9</v>
      </c>
      <c r="N6641">
        <v>12.5</v>
      </c>
      <c r="O6641">
        <v>27.4</v>
      </c>
      <c r="P6641">
        <v>27.3</v>
      </c>
      <c r="Q6641">
        <v>23.4</v>
      </c>
      <c r="R6641">
        <v>31.1</v>
      </c>
      <c r="S6641">
        <v>23.4</v>
      </c>
      <c r="T6641">
        <v>546</v>
      </c>
      <c r="U6641">
        <v>202</v>
      </c>
      <c r="V6641">
        <v>0</v>
      </c>
      <c r="W6641">
        <v>143</v>
      </c>
      <c r="X6641">
        <v>447</v>
      </c>
      <c r="Y6641">
        <v>0</v>
      </c>
      <c r="Z6641">
        <v>78</v>
      </c>
      <c r="AA6641">
        <v>0</v>
      </c>
      <c r="AB6641">
        <v>0.94747309999999996</v>
      </c>
      <c r="AC6641">
        <v>8.4265320000000005E-2</v>
      </c>
      <c r="AD6641">
        <v>2.7890950000000001</v>
      </c>
      <c r="AE6641">
        <v>0.68980940000000002</v>
      </c>
      <c r="AF6641">
        <v>284.62119999999999</v>
      </c>
      <c r="AG6641">
        <f>IFERROR(AH6641*0.1, "N/A")</f>
        <v>6.4</v>
      </c>
      <c r="AH6641">
        <v>64</v>
      </c>
      <c r="AI6641">
        <v>263.14240000000001</v>
      </c>
      <c r="AJ6641">
        <v>23</v>
      </c>
      <c r="AK6641">
        <v>53.08081</v>
      </c>
    </row>
    <row r="6642" spans="1:37" x14ac:dyDescent="0.3">
      <c r="A6642">
        <v>6641</v>
      </c>
      <c r="B6642">
        <v>71.099999999999994</v>
      </c>
      <c r="C6642">
        <v>-5.9930000000000003</v>
      </c>
      <c r="D6642">
        <v>14.252599999999999</v>
      </c>
      <c r="E6642">
        <f>-5.993-14.2526</f>
        <v>-20.2456</v>
      </c>
      <c r="F6642" t="s">
        <v>10078</v>
      </c>
      <c r="G6642" t="s">
        <v>37</v>
      </c>
      <c r="H6642">
        <v>1995</v>
      </c>
      <c r="I6642">
        <v>27.3</v>
      </c>
      <c r="J6642">
        <v>15.7</v>
      </c>
      <c r="K6642">
        <v>57</v>
      </c>
      <c r="L6642">
        <v>28.73</v>
      </c>
      <c r="M6642">
        <v>39.9</v>
      </c>
      <c r="N6642">
        <v>12.5</v>
      </c>
      <c r="O6642">
        <v>27.4</v>
      </c>
      <c r="P6642">
        <v>27.3</v>
      </c>
      <c r="Q6642">
        <v>23.4</v>
      </c>
      <c r="R6642">
        <v>31.1</v>
      </c>
      <c r="S6642">
        <v>23.4</v>
      </c>
      <c r="T6642">
        <v>546</v>
      </c>
      <c r="U6642">
        <v>202</v>
      </c>
      <c r="V6642">
        <v>0</v>
      </c>
      <c r="W6642">
        <v>143</v>
      </c>
      <c r="X6642">
        <v>447</v>
      </c>
      <c r="Y6642">
        <v>0</v>
      </c>
      <c r="Z6642">
        <v>78</v>
      </c>
      <c r="AA6642">
        <v>0</v>
      </c>
      <c r="AB6642">
        <v>0.94747309999999996</v>
      </c>
      <c r="AC6642">
        <v>8.4265320000000005E-2</v>
      </c>
      <c r="AD6642">
        <v>2.7890950000000001</v>
      </c>
      <c r="AE6642">
        <v>0.68980940000000002</v>
      </c>
      <c r="AF6642">
        <v>284.62119999999999</v>
      </c>
      <c r="AG6642">
        <f>IFERROR(AH6642*0.1, "N/A")</f>
        <v>6.4</v>
      </c>
      <c r="AH6642">
        <v>64</v>
      </c>
      <c r="AI6642">
        <v>263.14240000000001</v>
      </c>
      <c r="AJ6642">
        <v>23</v>
      </c>
      <c r="AK6642">
        <v>53.08081</v>
      </c>
    </row>
    <row r="6643" spans="1:37" x14ac:dyDescent="0.3">
      <c r="A6643">
        <v>6642</v>
      </c>
      <c r="B6643">
        <v>61.9</v>
      </c>
      <c r="C6643">
        <v>-3.6090900000000001</v>
      </c>
      <c r="D6643">
        <v>14.2639</v>
      </c>
      <c r="E6643">
        <f>-3.60909-14.2639</f>
        <v>-17.872990000000001</v>
      </c>
      <c r="F6643" t="s">
        <v>10079</v>
      </c>
      <c r="G6643" t="s">
        <v>39</v>
      </c>
      <c r="H6643">
        <v>1990</v>
      </c>
      <c r="I6643">
        <v>26.483529999999998</v>
      </c>
      <c r="J6643">
        <v>13.80824</v>
      </c>
      <c r="K6643">
        <v>54</v>
      </c>
      <c r="L6643">
        <v>29.700710000000001</v>
      </c>
      <c r="M6643">
        <v>38.483530000000002</v>
      </c>
      <c r="N6643">
        <v>13.183529999999999</v>
      </c>
      <c r="O6643">
        <v>25.3</v>
      </c>
      <c r="P6643">
        <v>26.391760000000001</v>
      </c>
      <c r="Q6643">
        <v>22.38353</v>
      </c>
      <c r="R6643">
        <v>30.38353</v>
      </c>
      <c r="S6643">
        <v>22.38353</v>
      </c>
      <c r="T6643">
        <v>526.16470000000004</v>
      </c>
      <c r="U6643">
        <v>175</v>
      </c>
      <c r="V6643">
        <v>0</v>
      </c>
      <c r="W6643">
        <v>132.75290000000001</v>
      </c>
      <c r="X6643">
        <v>410.08240000000001</v>
      </c>
      <c r="Y6643">
        <v>0</v>
      </c>
      <c r="Z6643">
        <v>92.082350000000005</v>
      </c>
      <c r="AA6643">
        <v>0</v>
      </c>
      <c r="AB6643">
        <v>5.0774749999999997</v>
      </c>
      <c r="AC6643">
        <v>5.362273E-2</v>
      </c>
      <c r="AD6643">
        <v>2.5546169999999999</v>
      </c>
      <c r="AE6643">
        <v>0.30610589999999999</v>
      </c>
      <c r="AF6643">
        <v>440.51429999999999</v>
      </c>
      <c r="AG6643">
        <f>IFERROR(AH6643*0.1, "N/A")</f>
        <v>7</v>
      </c>
      <c r="AH6643">
        <v>70</v>
      </c>
      <c r="AI6643">
        <v>192.30959999999999</v>
      </c>
      <c r="AJ6643">
        <v>14.34454</v>
      </c>
      <c r="AK6643">
        <v>69.902519999999996</v>
      </c>
    </row>
    <row r="6644" spans="1:37" x14ac:dyDescent="0.3">
      <c r="A6644">
        <v>6643</v>
      </c>
      <c r="B6644">
        <v>3.6</v>
      </c>
      <c r="C6644">
        <v>-3.6090900000000001</v>
      </c>
      <c r="D6644">
        <v>14.2639</v>
      </c>
      <c r="E6644">
        <f>-3.60909-14.2639</f>
        <v>-17.872990000000001</v>
      </c>
      <c r="F6644" t="s">
        <v>10080</v>
      </c>
      <c r="G6644" t="s">
        <v>37</v>
      </c>
      <c r="H6644">
        <v>1990</v>
      </c>
      <c r="I6644">
        <v>26.483529999999998</v>
      </c>
      <c r="J6644">
        <v>13.80824</v>
      </c>
      <c r="K6644">
        <v>54</v>
      </c>
      <c r="L6644">
        <v>29.700710000000001</v>
      </c>
      <c r="M6644">
        <v>38.483530000000002</v>
      </c>
      <c r="N6644">
        <v>13.183529999999999</v>
      </c>
      <c r="O6644">
        <v>25.3</v>
      </c>
      <c r="P6644">
        <v>26.391760000000001</v>
      </c>
      <c r="Q6644">
        <v>22.38353</v>
      </c>
      <c r="R6644">
        <v>30.38353</v>
      </c>
      <c r="S6644">
        <v>22.38353</v>
      </c>
      <c r="T6644">
        <v>526.16470000000004</v>
      </c>
      <c r="U6644">
        <v>175</v>
      </c>
      <c r="V6644">
        <v>0</v>
      </c>
      <c r="W6644">
        <v>132.75290000000001</v>
      </c>
      <c r="X6644">
        <v>410.08240000000001</v>
      </c>
      <c r="Y6644">
        <v>0</v>
      </c>
      <c r="Z6644">
        <v>92.082350000000005</v>
      </c>
      <c r="AA6644">
        <v>0</v>
      </c>
      <c r="AB6644">
        <v>5.0774749999999997</v>
      </c>
      <c r="AC6644">
        <v>5.362273E-2</v>
      </c>
      <c r="AD6644">
        <v>2.5546169999999999</v>
      </c>
      <c r="AE6644">
        <v>0.30610589999999999</v>
      </c>
      <c r="AF6644">
        <v>440.51429999999999</v>
      </c>
      <c r="AG6644">
        <f>IFERROR(AH6644*0.1, "N/A")</f>
        <v>7</v>
      </c>
      <c r="AH6644">
        <v>70</v>
      </c>
      <c r="AI6644">
        <v>192.30959999999999</v>
      </c>
      <c r="AJ6644">
        <v>14.34454</v>
      </c>
      <c r="AK6644">
        <v>69.902519999999996</v>
      </c>
    </row>
    <row r="6645" spans="1:37" x14ac:dyDescent="0.3">
      <c r="A6645">
        <v>6644</v>
      </c>
      <c r="B6645">
        <v>1.5</v>
      </c>
      <c r="C6645">
        <v>-2.8275999999999999</v>
      </c>
      <c r="D6645">
        <v>14.2704</v>
      </c>
      <c r="E6645">
        <f>-2.8276-14.2704</f>
        <v>-17.097999999999999</v>
      </c>
      <c r="F6645" t="s">
        <v>10081</v>
      </c>
      <c r="G6645" t="s">
        <v>39</v>
      </c>
      <c r="H6645">
        <v>1990</v>
      </c>
      <c r="I6645">
        <v>28.4</v>
      </c>
      <c r="J6645">
        <v>13.9</v>
      </c>
      <c r="K6645">
        <v>56</v>
      </c>
      <c r="L6645">
        <v>29.3</v>
      </c>
      <c r="M6645">
        <v>40.200000000000003</v>
      </c>
      <c r="N6645">
        <v>15.4</v>
      </c>
      <c r="O6645">
        <v>24.8</v>
      </c>
      <c r="P6645">
        <v>28.1</v>
      </c>
      <c r="Q6645">
        <v>24.8</v>
      </c>
      <c r="R6645">
        <v>32.299999999999997</v>
      </c>
      <c r="S6645">
        <v>24.4</v>
      </c>
      <c r="T6645">
        <v>501</v>
      </c>
      <c r="U6645">
        <v>162</v>
      </c>
      <c r="V6645">
        <v>0</v>
      </c>
      <c r="W6645">
        <v>132</v>
      </c>
      <c r="X6645">
        <v>389</v>
      </c>
      <c r="Y6645">
        <v>0</v>
      </c>
      <c r="Z6645">
        <v>88</v>
      </c>
      <c r="AA6645">
        <v>0</v>
      </c>
      <c r="AB6645">
        <v>0.35452840000000002</v>
      </c>
      <c r="AC6645">
        <v>1209.586</v>
      </c>
      <c r="AD6645">
        <v>0.9791647</v>
      </c>
      <c r="AE6645">
        <v>0.25392999999999999</v>
      </c>
      <c r="AF6645">
        <v>257.36239999999998</v>
      </c>
      <c r="AG6645">
        <f>IFERROR(AH6645*0.1, "N/A")</f>
        <v>6.8768460000000005</v>
      </c>
      <c r="AH6645">
        <v>68.768460000000005</v>
      </c>
      <c r="AI6645">
        <v>74.521010000000004</v>
      </c>
      <c r="AJ6645">
        <v>18.912749999999999</v>
      </c>
      <c r="AK6645">
        <v>70.147649999999999</v>
      </c>
    </row>
    <row r="6646" spans="1:37" x14ac:dyDescent="0.3">
      <c r="A6646">
        <v>6645</v>
      </c>
      <c r="B6646">
        <v>0</v>
      </c>
      <c r="C6646">
        <v>-2.8275999999999999</v>
      </c>
      <c r="D6646">
        <v>14.2704</v>
      </c>
      <c r="E6646">
        <f>-2.8276-14.2704</f>
        <v>-17.097999999999999</v>
      </c>
      <c r="F6646" t="s">
        <v>10082</v>
      </c>
      <c r="G6646" t="s">
        <v>37</v>
      </c>
      <c r="H6646">
        <v>1990</v>
      </c>
      <c r="I6646">
        <v>28.4</v>
      </c>
      <c r="J6646">
        <v>13.9</v>
      </c>
      <c r="K6646">
        <v>56</v>
      </c>
      <c r="L6646">
        <v>29.3</v>
      </c>
      <c r="M6646">
        <v>40.200000000000003</v>
      </c>
      <c r="N6646">
        <v>15.4</v>
      </c>
      <c r="O6646">
        <v>24.8</v>
      </c>
      <c r="P6646">
        <v>28.1</v>
      </c>
      <c r="Q6646">
        <v>24.8</v>
      </c>
      <c r="R6646">
        <v>32.299999999999997</v>
      </c>
      <c r="S6646">
        <v>24.4</v>
      </c>
      <c r="T6646">
        <v>501</v>
      </c>
      <c r="U6646">
        <v>162</v>
      </c>
      <c r="V6646">
        <v>0</v>
      </c>
      <c r="W6646">
        <v>132</v>
      </c>
      <c r="X6646">
        <v>389</v>
      </c>
      <c r="Y6646">
        <v>0</v>
      </c>
      <c r="Z6646">
        <v>88</v>
      </c>
      <c r="AA6646">
        <v>0</v>
      </c>
      <c r="AB6646">
        <v>0.35452840000000002</v>
      </c>
      <c r="AC6646">
        <v>1209.586</v>
      </c>
      <c r="AD6646">
        <v>0.9791647</v>
      </c>
      <c r="AE6646">
        <v>0.25392999999999999</v>
      </c>
      <c r="AF6646">
        <v>257.36239999999998</v>
      </c>
      <c r="AG6646">
        <f>IFERROR(AH6646*0.1, "N/A")</f>
        <v>6.8768460000000005</v>
      </c>
      <c r="AH6646">
        <v>68.768460000000005</v>
      </c>
      <c r="AI6646">
        <v>74.521010000000004</v>
      </c>
      <c r="AJ6646">
        <v>18.912749999999999</v>
      </c>
      <c r="AK6646">
        <v>70.147649999999999</v>
      </c>
    </row>
    <row r="6647" spans="1:37" x14ac:dyDescent="0.3">
      <c r="A6647">
        <v>6646</v>
      </c>
      <c r="B6647">
        <v>29.1</v>
      </c>
      <c r="C6647">
        <v>-6.0474100000000002</v>
      </c>
      <c r="D6647">
        <v>14.2829</v>
      </c>
      <c r="E6647">
        <f>-6.04741-14.2829</f>
        <v>-20.330310000000001</v>
      </c>
      <c r="F6647" t="s">
        <v>10083</v>
      </c>
      <c r="G6647" t="s">
        <v>39</v>
      </c>
      <c r="H6647">
        <v>1990</v>
      </c>
      <c r="I6647">
        <v>27.3</v>
      </c>
      <c r="J6647">
        <v>15.72655</v>
      </c>
      <c r="K6647">
        <v>57.265549999999998</v>
      </c>
      <c r="L6647">
        <v>28.181239999999999</v>
      </c>
      <c r="M6647">
        <v>39.9</v>
      </c>
      <c r="N6647">
        <v>12.7</v>
      </c>
      <c r="O6647">
        <v>27.2</v>
      </c>
      <c r="P6647">
        <v>27.27345</v>
      </c>
      <c r="Q6647">
        <v>23.5</v>
      </c>
      <c r="R6647">
        <v>31.1</v>
      </c>
      <c r="S6647">
        <v>23.5</v>
      </c>
      <c r="T6647">
        <v>541.73450000000003</v>
      </c>
      <c r="U6647">
        <v>200</v>
      </c>
      <c r="V6647">
        <v>0</v>
      </c>
      <c r="W6647">
        <v>141</v>
      </c>
      <c r="X6647">
        <v>442.73450000000003</v>
      </c>
      <c r="Y6647">
        <v>0</v>
      </c>
      <c r="Z6647">
        <v>78</v>
      </c>
      <c r="AA6647">
        <v>0</v>
      </c>
      <c r="AB6647">
        <v>0.58638330000000005</v>
      </c>
      <c r="AC6647">
        <v>9.833443E-2</v>
      </c>
      <c r="AD6647">
        <v>1.331351</v>
      </c>
      <c r="AE6647">
        <v>0.51396980000000003</v>
      </c>
      <c r="AF6647">
        <v>278.3546</v>
      </c>
      <c r="AG6647">
        <f>IFERROR(AH6647*0.1, "N/A")</f>
        <v>6.1000000000000005</v>
      </c>
      <c r="AH6647">
        <v>61</v>
      </c>
      <c r="AI6647">
        <v>81.850359999999995</v>
      </c>
      <c r="AJ6647">
        <v>23.94286</v>
      </c>
      <c r="AK6647">
        <v>52.057139999999997</v>
      </c>
    </row>
    <row r="6648" spans="1:37" x14ac:dyDescent="0.3">
      <c r="A6648">
        <v>6647</v>
      </c>
      <c r="B6648">
        <v>69.8</v>
      </c>
      <c r="C6648">
        <v>-6.0474100000000002</v>
      </c>
      <c r="D6648">
        <v>14.2829</v>
      </c>
      <c r="E6648">
        <f>-6.04741-14.2829</f>
        <v>-20.330310000000001</v>
      </c>
      <c r="F6648" t="s">
        <v>10084</v>
      </c>
      <c r="G6648" t="s">
        <v>37</v>
      </c>
      <c r="H6648">
        <v>1990</v>
      </c>
      <c r="I6648">
        <v>27.3</v>
      </c>
      <c r="J6648">
        <v>15.72655</v>
      </c>
      <c r="K6648">
        <v>57.265549999999998</v>
      </c>
      <c r="L6648">
        <v>28.181239999999999</v>
      </c>
      <c r="M6648">
        <v>39.9</v>
      </c>
      <c r="N6648">
        <v>12.7</v>
      </c>
      <c r="O6648">
        <v>27.2</v>
      </c>
      <c r="P6648">
        <v>27.27345</v>
      </c>
      <c r="Q6648">
        <v>23.5</v>
      </c>
      <c r="R6648">
        <v>31.1</v>
      </c>
      <c r="S6648">
        <v>23.5</v>
      </c>
      <c r="T6648">
        <v>541.73450000000003</v>
      </c>
      <c r="U6648">
        <v>200</v>
      </c>
      <c r="V6648">
        <v>0</v>
      </c>
      <c r="W6648">
        <v>141</v>
      </c>
      <c r="X6648">
        <v>442.73450000000003</v>
      </c>
      <c r="Y6648">
        <v>0</v>
      </c>
      <c r="Z6648">
        <v>78</v>
      </c>
      <c r="AA6648">
        <v>0</v>
      </c>
      <c r="AB6648">
        <v>0.58638330000000005</v>
      </c>
      <c r="AC6648">
        <v>9.833443E-2</v>
      </c>
      <c r="AD6648">
        <v>1.331351</v>
      </c>
      <c r="AE6648">
        <v>0.51396980000000003</v>
      </c>
      <c r="AF6648">
        <v>278.3546</v>
      </c>
      <c r="AG6648">
        <f>IFERROR(AH6648*0.1, "N/A")</f>
        <v>6.1000000000000005</v>
      </c>
      <c r="AH6648">
        <v>61</v>
      </c>
      <c r="AI6648">
        <v>81.850359999999995</v>
      </c>
      <c r="AJ6648">
        <v>23.94286</v>
      </c>
      <c r="AK6648">
        <v>52.057139999999997</v>
      </c>
    </row>
    <row r="6649" spans="1:37" x14ac:dyDescent="0.3">
      <c r="A6649">
        <v>6648</v>
      </c>
      <c r="B6649">
        <v>26.2</v>
      </c>
      <c r="C6649">
        <v>-3.4592000000000001</v>
      </c>
      <c r="D6649">
        <v>14.2836</v>
      </c>
      <c r="E6649">
        <f>-3.4592-14.2836</f>
        <v>-17.742799999999999</v>
      </c>
      <c r="F6649" t="s">
        <v>10085</v>
      </c>
      <c r="G6649" t="s">
        <v>39</v>
      </c>
      <c r="H6649">
        <v>1990</v>
      </c>
      <c r="I6649">
        <v>26</v>
      </c>
      <c r="J6649">
        <v>13.8</v>
      </c>
      <c r="K6649">
        <v>54.979700000000001</v>
      </c>
      <c r="L6649">
        <v>29.297000000000001</v>
      </c>
      <c r="M6649">
        <v>37.9</v>
      </c>
      <c r="N6649">
        <v>12.897970000000001</v>
      </c>
      <c r="O6649">
        <v>25.002030000000001</v>
      </c>
      <c r="P6649">
        <v>25.90203</v>
      </c>
      <c r="Q6649">
        <v>21.9</v>
      </c>
      <c r="R6649">
        <v>29.802029999999998</v>
      </c>
      <c r="S6649">
        <v>21.9</v>
      </c>
      <c r="T6649">
        <v>532.33159999999998</v>
      </c>
      <c r="U6649">
        <v>174.17599999999999</v>
      </c>
      <c r="V6649">
        <v>0</v>
      </c>
      <c r="W6649">
        <v>130</v>
      </c>
      <c r="X6649">
        <v>412.15570000000002</v>
      </c>
      <c r="Y6649">
        <v>0</v>
      </c>
      <c r="Z6649">
        <v>93.175970000000007</v>
      </c>
      <c r="AA6649">
        <v>0</v>
      </c>
      <c r="AB6649">
        <v>5.149934</v>
      </c>
      <c r="AC6649">
        <v>1.290287E-2</v>
      </c>
      <c r="AD6649">
        <v>3.7380270000000002</v>
      </c>
      <c r="AE6649">
        <v>0.2910237</v>
      </c>
      <c r="AF6649">
        <v>535.05079999999998</v>
      </c>
      <c r="AG6649">
        <f>IFERROR(AH6649*0.1, "N/A")</f>
        <v>7</v>
      </c>
      <c r="AH6649">
        <v>70</v>
      </c>
      <c r="AI6649">
        <v>230.90559999999999</v>
      </c>
      <c r="AJ6649">
        <v>18</v>
      </c>
      <c r="AK6649">
        <v>66.020300000000006</v>
      </c>
    </row>
    <row r="6650" spans="1:37" x14ac:dyDescent="0.3">
      <c r="A6650">
        <v>6649</v>
      </c>
      <c r="B6650">
        <v>0</v>
      </c>
      <c r="C6650">
        <v>-3.4592000000000001</v>
      </c>
      <c r="D6650">
        <v>14.2836</v>
      </c>
      <c r="E6650">
        <f>-3.4592-14.2836</f>
        <v>-17.742799999999999</v>
      </c>
      <c r="F6650" t="s">
        <v>10086</v>
      </c>
      <c r="G6650" t="s">
        <v>37</v>
      </c>
      <c r="H6650">
        <v>1990</v>
      </c>
      <c r="I6650">
        <v>26</v>
      </c>
      <c r="J6650">
        <v>13.8</v>
      </c>
      <c r="K6650">
        <v>54.979700000000001</v>
      </c>
      <c r="L6650">
        <v>29.297000000000001</v>
      </c>
      <c r="M6650">
        <v>37.9</v>
      </c>
      <c r="N6650">
        <v>12.897970000000001</v>
      </c>
      <c r="O6650">
        <v>25.002030000000001</v>
      </c>
      <c r="P6650">
        <v>25.90203</v>
      </c>
      <c r="Q6650">
        <v>21.9</v>
      </c>
      <c r="R6650">
        <v>29.802029999999998</v>
      </c>
      <c r="S6650">
        <v>21.9</v>
      </c>
      <c r="T6650">
        <v>532.33159999999998</v>
      </c>
      <c r="U6650">
        <v>174.17599999999999</v>
      </c>
      <c r="V6650">
        <v>0</v>
      </c>
      <c r="W6650">
        <v>130</v>
      </c>
      <c r="X6650">
        <v>412.15570000000002</v>
      </c>
      <c r="Y6650">
        <v>0</v>
      </c>
      <c r="Z6650">
        <v>93.175970000000007</v>
      </c>
      <c r="AA6650">
        <v>0</v>
      </c>
      <c r="AB6650">
        <v>5.149934</v>
      </c>
      <c r="AC6650">
        <v>1.290287E-2</v>
      </c>
      <c r="AD6650">
        <v>3.7380270000000002</v>
      </c>
      <c r="AE6650">
        <v>0.2910237</v>
      </c>
      <c r="AF6650">
        <v>535.05079999999998</v>
      </c>
      <c r="AG6650">
        <f>IFERROR(AH6650*0.1, "N/A")</f>
        <v>7</v>
      </c>
      <c r="AH6650">
        <v>70</v>
      </c>
      <c r="AI6650">
        <v>230.90559999999999</v>
      </c>
      <c r="AJ6650">
        <v>18</v>
      </c>
      <c r="AK6650">
        <v>66.020300000000006</v>
      </c>
    </row>
    <row r="6651" spans="1:37" x14ac:dyDescent="0.3">
      <c r="A6651">
        <v>6650</v>
      </c>
      <c r="B6651">
        <v>95.6</v>
      </c>
      <c r="C6651">
        <v>-3.5324</v>
      </c>
      <c r="D6651">
        <v>14.2844</v>
      </c>
      <c r="E6651">
        <f>-3.5324-14.2844</f>
        <v>-17.816800000000001</v>
      </c>
      <c r="F6651" t="s">
        <v>10087</v>
      </c>
      <c r="G6651" t="s">
        <v>39</v>
      </c>
      <c r="H6651">
        <v>1987</v>
      </c>
      <c r="I6651">
        <v>26.1037</v>
      </c>
      <c r="J6651">
        <v>13.803699999999999</v>
      </c>
      <c r="K6651">
        <v>54</v>
      </c>
      <c r="L6651">
        <v>29.594439999999999</v>
      </c>
      <c r="M6651">
        <v>38.00741</v>
      </c>
      <c r="N6651">
        <v>12.9</v>
      </c>
      <c r="O6651">
        <v>25.107410000000002</v>
      </c>
      <c r="P6651">
        <v>26.1</v>
      </c>
      <c r="Q6651">
        <v>22.003699999999998</v>
      </c>
      <c r="R6651">
        <v>30.003699999999998</v>
      </c>
      <c r="S6651">
        <v>22.003699999999998</v>
      </c>
      <c r="T6651">
        <v>530</v>
      </c>
      <c r="U6651">
        <v>175</v>
      </c>
      <c r="V6651">
        <v>0</v>
      </c>
      <c r="W6651">
        <v>130</v>
      </c>
      <c r="X6651">
        <v>411</v>
      </c>
      <c r="Y6651">
        <v>0</v>
      </c>
      <c r="Z6651">
        <v>93</v>
      </c>
      <c r="AA6651">
        <v>0</v>
      </c>
      <c r="AB6651">
        <v>1.45303</v>
      </c>
      <c r="AC6651">
        <v>0.46876060000000003</v>
      </c>
      <c r="AD6651">
        <v>2.5718019999999999</v>
      </c>
      <c r="AE6651">
        <v>0.28905690000000001</v>
      </c>
      <c r="AF6651">
        <v>482.36200000000002</v>
      </c>
      <c r="AG6651">
        <f>IFERROR(AH6651*0.1, "N/A")</f>
        <v>6.8111110000000004</v>
      </c>
      <c r="AH6651">
        <v>68.111109999999996</v>
      </c>
      <c r="AI6651">
        <v>151.0967</v>
      </c>
      <c r="AJ6651">
        <v>15.72054</v>
      </c>
      <c r="AK6651">
        <v>66.569019999999995</v>
      </c>
    </row>
    <row r="6652" spans="1:37" x14ac:dyDescent="0.3">
      <c r="A6652">
        <v>6651</v>
      </c>
      <c r="B6652">
        <v>1.7</v>
      </c>
      <c r="C6652">
        <v>-3.5324</v>
      </c>
      <c r="D6652">
        <v>14.2844</v>
      </c>
      <c r="E6652">
        <f>-3.5324-14.2844</f>
        <v>-17.816800000000001</v>
      </c>
      <c r="F6652" t="s">
        <v>10088</v>
      </c>
      <c r="G6652" t="s">
        <v>37</v>
      </c>
      <c r="H6652">
        <v>1990</v>
      </c>
      <c r="I6652">
        <v>26.1037</v>
      </c>
      <c r="J6652">
        <v>13.803699999999999</v>
      </c>
      <c r="K6652">
        <v>54</v>
      </c>
      <c r="L6652">
        <v>29.594439999999999</v>
      </c>
      <c r="M6652">
        <v>38.00741</v>
      </c>
      <c r="N6652">
        <v>12.9</v>
      </c>
      <c r="O6652">
        <v>25.107410000000002</v>
      </c>
      <c r="P6652">
        <v>26.1</v>
      </c>
      <c r="Q6652">
        <v>22.003699999999998</v>
      </c>
      <c r="R6652">
        <v>30.003699999999998</v>
      </c>
      <c r="S6652">
        <v>22.003699999999998</v>
      </c>
      <c r="T6652">
        <v>530</v>
      </c>
      <c r="U6652">
        <v>175</v>
      </c>
      <c r="V6652">
        <v>0</v>
      </c>
      <c r="W6652">
        <v>130</v>
      </c>
      <c r="X6652">
        <v>411</v>
      </c>
      <c r="Y6652">
        <v>0</v>
      </c>
      <c r="Z6652">
        <v>93</v>
      </c>
      <c r="AA6652">
        <v>0</v>
      </c>
      <c r="AB6652">
        <v>1.45303</v>
      </c>
      <c r="AC6652">
        <v>0.46876060000000003</v>
      </c>
      <c r="AD6652">
        <v>2.5718019999999999</v>
      </c>
      <c r="AE6652">
        <v>0.28905690000000001</v>
      </c>
      <c r="AF6652">
        <v>482.36200000000002</v>
      </c>
      <c r="AG6652">
        <f>IFERROR(AH6652*0.1, "N/A")</f>
        <v>6.8111110000000004</v>
      </c>
      <c r="AH6652">
        <v>68.111109999999996</v>
      </c>
      <c r="AI6652">
        <v>151.0967</v>
      </c>
      <c r="AJ6652">
        <v>15.72054</v>
      </c>
      <c r="AK6652">
        <v>66.569019999999995</v>
      </c>
    </row>
    <row r="6653" spans="1:37" x14ac:dyDescent="0.3">
      <c r="A6653">
        <v>6652</v>
      </c>
      <c r="B6653">
        <v>55.7</v>
      </c>
      <c r="C6653">
        <v>-6.0129000000000001</v>
      </c>
      <c r="D6653">
        <v>14.286099999999999</v>
      </c>
      <c r="E6653">
        <f>-6.0129-14.2861</f>
        <v>-20.298999999999999</v>
      </c>
      <c r="F6653" t="s">
        <v>10089</v>
      </c>
      <c r="G6653" t="s">
        <v>39</v>
      </c>
      <c r="H6653">
        <v>1990</v>
      </c>
      <c r="I6653">
        <v>27.4</v>
      </c>
      <c r="J6653">
        <v>15.7</v>
      </c>
      <c r="K6653">
        <v>57</v>
      </c>
      <c r="L6653">
        <v>28.37</v>
      </c>
      <c r="M6653">
        <v>39.9</v>
      </c>
      <c r="N6653">
        <v>12.7</v>
      </c>
      <c r="O6653">
        <v>27.2</v>
      </c>
      <c r="P6653">
        <v>27.3</v>
      </c>
      <c r="Q6653">
        <v>23.5</v>
      </c>
      <c r="R6653">
        <v>31.1</v>
      </c>
      <c r="S6653">
        <v>23.5</v>
      </c>
      <c r="T6653">
        <v>541</v>
      </c>
      <c r="U6653">
        <v>201</v>
      </c>
      <c r="V6653">
        <v>0</v>
      </c>
      <c r="W6653">
        <v>141</v>
      </c>
      <c r="X6653">
        <v>443</v>
      </c>
      <c r="Y6653">
        <v>0</v>
      </c>
      <c r="Z6653">
        <v>77</v>
      </c>
      <c r="AA6653">
        <v>0</v>
      </c>
      <c r="AB6653">
        <v>0.28238619999999998</v>
      </c>
      <c r="AC6653">
        <v>2.916295E-2</v>
      </c>
      <c r="AD6653">
        <v>1.2218739999999999</v>
      </c>
      <c r="AE6653">
        <v>0.57257179999999996</v>
      </c>
      <c r="AF6653">
        <v>277.22320000000002</v>
      </c>
      <c r="AG6653">
        <f>IFERROR(AH6653*0.1, "N/A")</f>
        <v>6.486409000000001</v>
      </c>
      <c r="AH6653">
        <v>64.864090000000004</v>
      </c>
      <c r="AI6653">
        <v>198.83529999999999</v>
      </c>
      <c r="AJ6653">
        <v>29.90268</v>
      </c>
      <c r="AK6653">
        <v>46.830539999999999</v>
      </c>
    </row>
    <row r="6654" spans="1:37" x14ac:dyDescent="0.3">
      <c r="A6654">
        <v>6653</v>
      </c>
      <c r="B6654">
        <v>68.599999999999994</v>
      </c>
      <c r="C6654">
        <v>-6.0129000000000001</v>
      </c>
      <c r="D6654">
        <v>14.286099999999999</v>
      </c>
      <c r="E6654">
        <f>-6.0129-14.2861</f>
        <v>-20.298999999999999</v>
      </c>
      <c r="F6654" t="s">
        <v>10090</v>
      </c>
      <c r="G6654" t="s">
        <v>37</v>
      </c>
      <c r="H6654">
        <v>1990</v>
      </c>
      <c r="I6654">
        <v>27.4</v>
      </c>
      <c r="J6654">
        <v>15.7</v>
      </c>
      <c r="K6654">
        <v>57</v>
      </c>
      <c r="L6654">
        <v>28.37</v>
      </c>
      <c r="M6654">
        <v>39.9</v>
      </c>
      <c r="N6654">
        <v>12.7</v>
      </c>
      <c r="O6654">
        <v>27.2</v>
      </c>
      <c r="P6654">
        <v>27.3</v>
      </c>
      <c r="Q6654">
        <v>23.5</v>
      </c>
      <c r="R6654">
        <v>31.1</v>
      </c>
      <c r="S6654">
        <v>23.5</v>
      </c>
      <c r="T6654">
        <v>541</v>
      </c>
      <c r="U6654">
        <v>201</v>
      </c>
      <c r="V6654">
        <v>0</v>
      </c>
      <c r="W6654">
        <v>141</v>
      </c>
      <c r="X6654">
        <v>443</v>
      </c>
      <c r="Y6654">
        <v>0</v>
      </c>
      <c r="Z6654">
        <v>77</v>
      </c>
      <c r="AA6654">
        <v>0</v>
      </c>
      <c r="AB6654">
        <v>0.28238619999999998</v>
      </c>
      <c r="AC6654">
        <v>2.916295E-2</v>
      </c>
      <c r="AD6654">
        <v>1.2218739999999999</v>
      </c>
      <c r="AE6654">
        <v>0.57257179999999996</v>
      </c>
      <c r="AF6654">
        <v>277.22320000000002</v>
      </c>
      <c r="AG6654">
        <f>IFERROR(AH6654*0.1, "N/A")</f>
        <v>6.486409000000001</v>
      </c>
      <c r="AH6654">
        <v>64.864090000000004</v>
      </c>
      <c r="AI6654">
        <v>198.83529999999999</v>
      </c>
      <c r="AJ6654">
        <v>29.90268</v>
      </c>
      <c r="AK6654">
        <v>46.830539999999999</v>
      </c>
    </row>
    <row r="6655" spans="1:37" x14ac:dyDescent="0.3">
      <c r="A6655">
        <v>6654</v>
      </c>
      <c r="B6655">
        <v>63.3</v>
      </c>
      <c r="C6655">
        <v>-5.9846000000000004</v>
      </c>
      <c r="D6655">
        <v>14.289</v>
      </c>
      <c r="E6655">
        <f>-5.9846-14.289</f>
        <v>-20.273600000000002</v>
      </c>
      <c r="F6655" t="s">
        <v>10091</v>
      </c>
      <c r="G6655" t="s">
        <v>39</v>
      </c>
      <c r="H6655">
        <v>1990</v>
      </c>
      <c r="I6655">
        <v>27.3</v>
      </c>
      <c r="J6655">
        <v>15.7</v>
      </c>
      <c r="K6655">
        <v>57</v>
      </c>
      <c r="L6655">
        <v>28.66</v>
      </c>
      <c r="M6655">
        <v>39.9</v>
      </c>
      <c r="N6655">
        <v>12.5</v>
      </c>
      <c r="O6655">
        <v>27.4</v>
      </c>
      <c r="P6655">
        <v>27.3</v>
      </c>
      <c r="Q6655">
        <v>23.4</v>
      </c>
      <c r="R6655">
        <v>31.1</v>
      </c>
      <c r="S6655">
        <v>23.4</v>
      </c>
      <c r="T6655">
        <v>542</v>
      </c>
      <c r="U6655">
        <v>201</v>
      </c>
      <c r="V6655">
        <v>0</v>
      </c>
      <c r="W6655">
        <v>142</v>
      </c>
      <c r="X6655">
        <v>444</v>
      </c>
      <c r="Y6655">
        <v>0</v>
      </c>
      <c r="Z6655">
        <v>77</v>
      </c>
      <c r="AA6655">
        <v>0</v>
      </c>
      <c r="AB6655">
        <v>0.96682270000000003</v>
      </c>
      <c r="AC6655">
        <v>1.1023399999999999E-2</v>
      </c>
      <c r="AD6655">
        <v>0.99211139999999998</v>
      </c>
      <c r="AE6655">
        <v>0.57187339999999998</v>
      </c>
      <c r="AF6655">
        <v>276.202</v>
      </c>
      <c r="AG6655">
        <f>IFERROR(AH6655*0.1, "N/A")</f>
        <v>6.7168350000000006</v>
      </c>
      <c r="AH6655">
        <v>67.168350000000004</v>
      </c>
      <c r="AI6655">
        <v>133.10980000000001</v>
      </c>
      <c r="AJ6655">
        <v>35.535350000000001</v>
      </c>
      <c r="AK6655">
        <v>41.104379999999999</v>
      </c>
    </row>
    <row r="6656" spans="1:37" x14ac:dyDescent="0.3">
      <c r="A6656">
        <v>6655</v>
      </c>
      <c r="B6656">
        <v>68.900000000000006</v>
      </c>
      <c r="C6656">
        <v>-5.9846000000000004</v>
      </c>
      <c r="D6656">
        <v>14.289</v>
      </c>
      <c r="E6656">
        <f>-5.9846-14.289</f>
        <v>-20.273600000000002</v>
      </c>
      <c r="F6656" t="s">
        <v>10092</v>
      </c>
      <c r="G6656" t="s">
        <v>37</v>
      </c>
      <c r="H6656">
        <v>1990</v>
      </c>
      <c r="I6656">
        <v>27.3</v>
      </c>
      <c r="J6656">
        <v>15.7</v>
      </c>
      <c r="K6656">
        <v>57</v>
      </c>
      <c r="L6656">
        <v>28.66</v>
      </c>
      <c r="M6656">
        <v>39.9</v>
      </c>
      <c r="N6656">
        <v>12.5</v>
      </c>
      <c r="O6656">
        <v>27.4</v>
      </c>
      <c r="P6656">
        <v>27.3</v>
      </c>
      <c r="Q6656">
        <v>23.4</v>
      </c>
      <c r="R6656">
        <v>31.1</v>
      </c>
      <c r="S6656">
        <v>23.4</v>
      </c>
      <c r="T6656">
        <v>542</v>
      </c>
      <c r="U6656">
        <v>201</v>
      </c>
      <c r="V6656">
        <v>0</v>
      </c>
      <c r="W6656">
        <v>142</v>
      </c>
      <c r="X6656">
        <v>444</v>
      </c>
      <c r="Y6656">
        <v>0</v>
      </c>
      <c r="Z6656">
        <v>77</v>
      </c>
      <c r="AA6656">
        <v>0</v>
      </c>
      <c r="AB6656">
        <v>0.96682270000000003</v>
      </c>
      <c r="AC6656">
        <v>1.1023399999999999E-2</v>
      </c>
      <c r="AD6656">
        <v>0.99211139999999998</v>
      </c>
      <c r="AE6656">
        <v>0.57187339999999998</v>
      </c>
      <c r="AF6656">
        <v>276.202</v>
      </c>
      <c r="AG6656">
        <f>IFERROR(AH6656*0.1, "N/A")</f>
        <v>6.7168350000000006</v>
      </c>
      <c r="AH6656">
        <v>67.168350000000004</v>
      </c>
      <c r="AI6656">
        <v>133.10980000000001</v>
      </c>
      <c r="AJ6656">
        <v>35.535350000000001</v>
      </c>
      <c r="AK6656">
        <v>41.104379999999999</v>
      </c>
    </row>
    <row r="6657" spans="1:37" x14ac:dyDescent="0.3">
      <c r="A6657">
        <v>6656</v>
      </c>
      <c r="B6657">
        <v>76.599999999999994</v>
      </c>
      <c r="C6657">
        <v>-3.7056900000000002</v>
      </c>
      <c r="D6657">
        <v>14.292</v>
      </c>
      <c r="E6657">
        <f>-3.70569-14.292</f>
        <v>-17.997689999999999</v>
      </c>
      <c r="F6657" t="s">
        <v>10093</v>
      </c>
      <c r="G6657" t="s">
        <v>39</v>
      </c>
      <c r="H6657">
        <v>1990</v>
      </c>
      <c r="I6657">
        <v>26.8</v>
      </c>
      <c r="J6657">
        <v>13.9</v>
      </c>
      <c r="K6657">
        <v>54</v>
      </c>
      <c r="L6657">
        <v>29.732399999999998</v>
      </c>
      <c r="M6657">
        <v>38.801850000000002</v>
      </c>
      <c r="N6657">
        <v>13.303699999999999</v>
      </c>
      <c r="O6657">
        <v>25.498149999999999</v>
      </c>
      <c r="P6657">
        <v>26.8</v>
      </c>
      <c r="Q6657">
        <v>22.601849999999999</v>
      </c>
      <c r="R6657">
        <v>30.70185</v>
      </c>
      <c r="S6657">
        <v>22.601849999999999</v>
      </c>
      <c r="T6657">
        <v>518</v>
      </c>
      <c r="U6657">
        <v>173</v>
      </c>
      <c r="V6657">
        <v>0</v>
      </c>
      <c r="W6657">
        <v>131</v>
      </c>
      <c r="X6657">
        <v>404</v>
      </c>
      <c r="Y6657">
        <v>0</v>
      </c>
      <c r="Z6657">
        <v>90</v>
      </c>
      <c r="AA6657">
        <v>0</v>
      </c>
      <c r="AB6657">
        <v>6.8203279999999999</v>
      </c>
      <c r="AC6657">
        <v>1.147834E-2</v>
      </c>
      <c r="AD6657">
        <v>1.5661780000000001</v>
      </c>
      <c r="AE6657">
        <v>0.34117370000000002</v>
      </c>
      <c r="AF6657">
        <v>385.87900000000002</v>
      </c>
      <c r="AG6657">
        <f>IFERROR(AH6657*0.1, "N/A")</f>
        <v>6.7984870000000006</v>
      </c>
      <c r="AH6657">
        <v>67.984870000000001</v>
      </c>
      <c r="AI6657">
        <v>199.16139999999999</v>
      </c>
      <c r="AJ6657">
        <v>18</v>
      </c>
      <c r="AK6657">
        <v>70</v>
      </c>
    </row>
    <row r="6658" spans="1:37" x14ac:dyDescent="0.3">
      <c r="A6658">
        <v>6657</v>
      </c>
      <c r="B6658">
        <v>1.5</v>
      </c>
      <c r="C6658">
        <v>-3.7056900000000002</v>
      </c>
      <c r="D6658">
        <v>14.292</v>
      </c>
      <c r="E6658">
        <f>-3.70569-14.292</f>
        <v>-17.997689999999999</v>
      </c>
      <c r="F6658" t="s">
        <v>10094</v>
      </c>
      <c r="G6658" t="s">
        <v>37</v>
      </c>
      <c r="H6658">
        <v>1990</v>
      </c>
      <c r="I6658">
        <v>26.8</v>
      </c>
      <c r="J6658">
        <v>13.9</v>
      </c>
      <c r="K6658">
        <v>54</v>
      </c>
      <c r="L6658">
        <v>29.732399999999998</v>
      </c>
      <c r="M6658">
        <v>38.801850000000002</v>
      </c>
      <c r="N6658">
        <v>13.303699999999999</v>
      </c>
      <c r="O6658">
        <v>25.498149999999999</v>
      </c>
      <c r="P6658">
        <v>26.8</v>
      </c>
      <c r="Q6658">
        <v>22.601849999999999</v>
      </c>
      <c r="R6658">
        <v>30.70185</v>
      </c>
      <c r="S6658">
        <v>22.601849999999999</v>
      </c>
      <c r="T6658">
        <v>518</v>
      </c>
      <c r="U6658">
        <v>173</v>
      </c>
      <c r="V6658">
        <v>0</v>
      </c>
      <c r="W6658">
        <v>131</v>
      </c>
      <c r="X6658">
        <v>404</v>
      </c>
      <c r="Y6658">
        <v>0</v>
      </c>
      <c r="Z6658">
        <v>90</v>
      </c>
      <c r="AA6658">
        <v>0</v>
      </c>
      <c r="AB6658">
        <v>6.8203279999999999</v>
      </c>
      <c r="AC6658">
        <v>1.147834E-2</v>
      </c>
      <c r="AD6658">
        <v>1.5661780000000001</v>
      </c>
      <c r="AE6658">
        <v>0.34117370000000002</v>
      </c>
      <c r="AF6658">
        <v>385.87900000000002</v>
      </c>
      <c r="AG6658">
        <f>IFERROR(AH6658*0.1, "N/A")</f>
        <v>6.7984870000000006</v>
      </c>
      <c r="AH6658">
        <v>67.984870000000001</v>
      </c>
      <c r="AI6658">
        <v>199.16139999999999</v>
      </c>
      <c r="AJ6658">
        <v>18</v>
      </c>
      <c r="AK6658">
        <v>70</v>
      </c>
    </row>
    <row r="6659" spans="1:37" x14ac:dyDescent="0.3">
      <c r="A6659">
        <v>6658</v>
      </c>
      <c r="B6659">
        <v>48.1</v>
      </c>
      <c r="C6659">
        <v>-3.4238200000000001</v>
      </c>
      <c r="D6659">
        <v>14.2949</v>
      </c>
      <c r="E6659">
        <f>-3.42382-14.2949</f>
        <v>-17.718720000000001</v>
      </c>
      <c r="F6659" t="s">
        <v>10095</v>
      </c>
      <c r="G6659" t="s">
        <v>39</v>
      </c>
      <c r="H6659">
        <v>1990</v>
      </c>
      <c r="I6659">
        <v>27</v>
      </c>
      <c r="J6659">
        <v>13.9</v>
      </c>
      <c r="K6659">
        <v>55</v>
      </c>
      <c r="L6659">
        <v>29.43</v>
      </c>
      <c r="M6659">
        <v>38.9</v>
      </c>
      <c r="N6659">
        <v>13.7</v>
      </c>
      <c r="O6659">
        <v>25.2</v>
      </c>
      <c r="P6659">
        <v>26.9</v>
      </c>
      <c r="Q6659">
        <v>22.9</v>
      </c>
      <c r="R6659">
        <v>30.8</v>
      </c>
      <c r="S6659">
        <v>22.9</v>
      </c>
      <c r="T6659">
        <v>516</v>
      </c>
      <c r="U6659">
        <v>171</v>
      </c>
      <c r="V6659">
        <v>0</v>
      </c>
      <c r="W6659">
        <v>130</v>
      </c>
      <c r="X6659">
        <v>401</v>
      </c>
      <c r="Y6659">
        <v>0</v>
      </c>
      <c r="Z6659">
        <v>91</v>
      </c>
      <c r="AA6659">
        <v>0</v>
      </c>
      <c r="AB6659">
        <v>120.53489999999999</v>
      </c>
      <c r="AC6659">
        <v>3.843688E-2</v>
      </c>
      <c r="AD6659">
        <v>13.89376</v>
      </c>
      <c r="AE6659">
        <v>0.3437982</v>
      </c>
      <c r="AF6659">
        <v>473.13589999999999</v>
      </c>
      <c r="AG6659">
        <f>IFERROR(AH6659*0.1, "N/A")</f>
        <v>7.1053690000000005</v>
      </c>
      <c r="AH6659">
        <v>71.053690000000003</v>
      </c>
      <c r="AI6659">
        <v>167.7664</v>
      </c>
      <c r="AJ6659">
        <v>15.94631</v>
      </c>
      <c r="AK6659">
        <v>70.526849999999996</v>
      </c>
    </row>
    <row r="6660" spans="1:37" x14ac:dyDescent="0.3">
      <c r="A6660">
        <v>6659</v>
      </c>
      <c r="B6660">
        <v>0</v>
      </c>
      <c r="C6660">
        <v>-3.4238200000000001</v>
      </c>
      <c r="D6660">
        <v>14.2949</v>
      </c>
      <c r="E6660">
        <f>-3.42382-14.2949</f>
        <v>-17.718720000000001</v>
      </c>
      <c r="F6660" t="s">
        <v>10096</v>
      </c>
      <c r="G6660" t="s">
        <v>37</v>
      </c>
      <c r="H6660">
        <v>1990</v>
      </c>
      <c r="I6660">
        <v>27</v>
      </c>
      <c r="J6660">
        <v>13.9</v>
      </c>
      <c r="K6660">
        <v>55</v>
      </c>
      <c r="L6660">
        <v>29.43</v>
      </c>
      <c r="M6660">
        <v>38.9</v>
      </c>
      <c r="N6660">
        <v>13.7</v>
      </c>
      <c r="O6660">
        <v>25.2</v>
      </c>
      <c r="P6660">
        <v>26.9</v>
      </c>
      <c r="Q6660">
        <v>22.9</v>
      </c>
      <c r="R6660">
        <v>30.8</v>
      </c>
      <c r="S6660">
        <v>22.9</v>
      </c>
      <c r="T6660">
        <v>516</v>
      </c>
      <c r="U6660">
        <v>171</v>
      </c>
      <c r="V6660">
        <v>0</v>
      </c>
      <c r="W6660">
        <v>130</v>
      </c>
      <c r="X6660">
        <v>401</v>
      </c>
      <c r="Y6660">
        <v>0</v>
      </c>
      <c r="Z6660">
        <v>91</v>
      </c>
      <c r="AA6660">
        <v>0</v>
      </c>
      <c r="AB6660">
        <v>120.53489999999999</v>
      </c>
      <c r="AC6660">
        <v>3.843688E-2</v>
      </c>
      <c r="AD6660">
        <v>13.89376</v>
      </c>
      <c r="AE6660">
        <v>0.3437982</v>
      </c>
      <c r="AF6660">
        <v>473.13589999999999</v>
      </c>
      <c r="AG6660">
        <f>IFERROR(AH6660*0.1, "N/A")</f>
        <v>7.1053690000000005</v>
      </c>
      <c r="AH6660">
        <v>71.053690000000003</v>
      </c>
      <c r="AI6660">
        <v>167.7664</v>
      </c>
      <c r="AJ6660">
        <v>15.94631</v>
      </c>
      <c r="AK6660">
        <v>70.526849999999996</v>
      </c>
    </row>
    <row r="6661" spans="1:37" x14ac:dyDescent="0.3">
      <c r="A6661">
        <v>6660</v>
      </c>
      <c r="B6661">
        <v>15.2</v>
      </c>
      <c r="C6661">
        <v>-3.6020099999999999</v>
      </c>
      <c r="D6661">
        <v>14.295400000000001</v>
      </c>
      <c r="E6661">
        <f>-3.60201-14.2954</f>
        <v>-17.897410000000001</v>
      </c>
      <c r="F6661" t="s">
        <v>10097</v>
      </c>
      <c r="G6661" t="s">
        <v>39</v>
      </c>
      <c r="H6661">
        <v>1990</v>
      </c>
      <c r="I6661">
        <v>26.4</v>
      </c>
      <c r="J6661">
        <v>13.9</v>
      </c>
      <c r="K6661">
        <v>55</v>
      </c>
      <c r="L6661">
        <v>29.35</v>
      </c>
      <c r="M6661">
        <v>38.4</v>
      </c>
      <c r="N6661">
        <v>13.2</v>
      </c>
      <c r="O6661">
        <v>25.2</v>
      </c>
      <c r="P6661">
        <v>26.4</v>
      </c>
      <c r="Q6661">
        <v>22.4</v>
      </c>
      <c r="R6661">
        <v>30.3</v>
      </c>
      <c r="S6661">
        <v>22.4</v>
      </c>
      <c r="T6661">
        <v>524</v>
      </c>
      <c r="U6661">
        <v>174</v>
      </c>
      <c r="V6661">
        <v>0</v>
      </c>
      <c r="W6661">
        <v>133</v>
      </c>
      <c r="X6661">
        <v>409</v>
      </c>
      <c r="Y6661">
        <v>0</v>
      </c>
      <c r="Z6661">
        <v>91</v>
      </c>
      <c r="AA6661">
        <v>0</v>
      </c>
      <c r="AB6661">
        <v>14.50826</v>
      </c>
      <c r="AC6661">
        <v>2.350909E-2</v>
      </c>
      <c r="AD6661">
        <v>6.6100130000000004</v>
      </c>
      <c r="AE6661">
        <v>0.3980553</v>
      </c>
      <c r="AF6661">
        <v>441.90890000000002</v>
      </c>
      <c r="AG6661">
        <f>IFERROR(AH6661*0.1, "N/A")</f>
        <v>7.1637440000000003</v>
      </c>
      <c r="AH6661">
        <v>71.637439999999998</v>
      </c>
      <c r="AI6661">
        <v>90.623980000000003</v>
      </c>
      <c r="AJ6661">
        <v>14.929169999999999</v>
      </c>
      <c r="AK6661">
        <v>70.362560000000002</v>
      </c>
    </row>
    <row r="6662" spans="1:37" x14ac:dyDescent="0.3">
      <c r="A6662">
        <v>6661</v>
      </c>
      <c r="B6662">
        <v>3.9</v>
      </c>
      <c r="C6662">
        <v>-3.6020099999999999</v>
      </c>
      <c r="D6662">
        <v>14.295400000000001</v>
      </c>
      <c r="E6662">
        <f>-3.60201-14.2954</f>
        <v>-17.897410000000001</v>
      </c>
      <c r="F6662" t="s">
        <v>10098</v>
      </c>
      <c r="G6662" t="s">
        <v>37</v>
      </c>
      <c r="H6662">
        <v>1990</v>
      </c>
      <c r="I6662">
        <v>26.4</v>
      </c>
      <c r="J6662">
        <v>13.9</v>
      </c>
      <c r="K6662">
        <v>55</v>
      </c>
      <c r="L6662">
        <v>29.35</v>
      </c>
      <c r="M6662">
        <v>38.4</v>
      </c>
      <c r="N6662">
        <v>13.2</v>
      </c>
      <c r="O6662">
        <v>25.2</v>
      </c>
      <c r="P6662">
        <v>26.4</v>
      </c>
      <c r="Q6662">
        <v>22.4</v>
      </c>
      <c r="R6662">
        <v>30.3</v>
      </c>
      <c r="S6662">
        <v>22.4</v>
      </c>
      <c r="T6662">
        <v>524</v>
      </c>
      <c r="U6662">
        <v>174</v>
      </c>
      <c r="V6662">
        <v>0</v>
      </c>
      <c r="W6662">
        <v>133</v>
      </c>
      <c r="X6662">
        <v>409</v>
      </c>
      <c r="Y6662">
        <v>0</v>
      </c>
      <c r="Z6662">
        <v>91</v>
      </c>
      <c r="AA6662">
        <v>0</v>
      </c>
      <c r="AB6662">
        <v>14.50826</v>
      </c>
      <c r="AC6662">
        <v>2.350909E-2</v>
      </c>
      <c r="AD6662">
        <v>6.6100130000000004</v>
      </c>
      <c r="AE6662">
        <v>0.3980553</v>
      </c>
      <c r="AF6662">
        <v>441.90890000000002</v>
      </c>
      <c r="AG6662">
        <f>IFERROR(AH6662*0.1, "N/A")</f>
        <v>7.1637440000000003</v>
      </c>
      <c r="AH6662">
        <v>71.637439999999998</v>
      </c>
      <c r="AI6662">
        <v>90.623980000000003</v>
      </c>
      <c r="AJ6662">
        <v>14.929169999999999</v>
      </c>
      <c r="AK6662">
        <v>70.362560000000002</v>
      </c>
    </row>
    <row r="6663" spans="1:37" x14ac:dyDescent="0.3">
      <c r="A6663">
        <v>6662</v>
      </c>
      <c r="B6663">
        <v>34.5</v>
      </c>
      <c r="C6663">
        <v>-3.48549</v>
      </c>
      <c r="D6663">
        <v>14.297599999999999</v>
      </c>
      <c r="E6663">
        <f>-3.48549-14.2976</f>
        <v>-17.783089999999998</v>
      </c>
      <c r="F6663" t="s">
        <v>10099</v>
      </c>
      <c r="G6663" t="s">
        <v>39</v>
      </c>
      <c r="H6663">
        <v>1990</v>
      </c>
      <c r="I6663">
        <v>26</v>
      </c>
      <c r="J6663">
        <v>13.8</v>
      </c>
      <c r="K6663">
        <v>55</v>
      </c>
      <c r="L6663">
        <v>29.32</v>
      </c>
      <c r="M6663">
        <v>37.9</v>
      </c>
      <c r="N6663">
        <v>12.9</v>
      </c>
      <c r="O6663">
        <v>25</v>
      </c>
      <c r="P6663">
        <v>26</v>
      </c>
      <c r="Q6663">
        <v>21.9</v>
      </c>
      <c r="R6663">
        <v>29.8</v>
      </c>
      <c r="S6663">
        <v>21.9</v>
      </c>
      <c r="T6663">
        <v>530</v>
      </c>
      <c r="U6663">
        <v>175</v>
      </c>
      <c r="V6663">
        <v>0</v>
      </c>
      <c r="W6663">
        <v>130</v>
      </c>
      <c r="X6663">
        <v>411</v>
      </c>
      <c r="Y6663">
        <v>0</v>
      </c>
      <c r="Z6663">
        <v>93</v>
      </c>
      <c r="AA6663">
        <v>0</v>
      </c>
      <c r="AB6663">
        <v>11.59953</v>
      </c>
      <c r="AC6663">
        <v>1.8414980000000001E-2</v>
      </c>
      <c r="AD6663">
        <v>4.9164240000000001</v>
      </c>
      <c r="AE6663">
        <v>0.29080529999999999</v>
      </c>
      <c r="AF6663">
        <v>530.43190000000004</v>
      </c>
      <c r="AG6663">
        <f>IFERROR(AH6663*0.1, "N/A")</f>
        <v>6.8968069999999999</v>
      </c>
      <c r="AH6663">
        <v>68.968069999999997</v>
      </c>
      <c r="AI6663">
        <v>112.4323</v>
      </c>
      <c r="AJ6663">
        <v>13</v>
      </c>
      <c r="AK6663">
        <v>70.515969999999996</v>
      </c>
    </row>
    <row r="6664" spans="1:37" x14ac:dyDescent="0.3">
      <c r="A6664">
        <v>6663</v>
      </c>
      <c r="B6664">
        <v>0</v>
      </c>
      <c r="C6664">
        <v>-3.48549</v>
      </c>
      <c r="D6664">
        <v>14.297599999999999</v>
      </c>
      <c r="E6664">
        <f>-3.48549-14.2976</f>
        <v>-17.783089999999998</v>
      </c>
      <c r="F6664" t="s">
        <v>10100</v>
      </c>
      <c r="G6664" t="s">
        <v>37</v>
      </c>
      <c r="H6664">
        <v>1990</v>
      </c>
      <c r="I6664">
        <v>26</v>
      </c>
      <c r="J6664">
        <v>13.8</v>
      </c>
      <c r="K6664">
        <v>55</v>
      </c>
      <c r="L6664">
        <v>29.32</v>
      </c>
      <c r="M6664">
        <v>37.9</v>
      </c>
      <c r="N6664">
        <v>12.9</v>
      </c>
      <c r="O6664">
        <v>25</v>
      </c>
      <c r="P6664">
        <v>26</v>
      </c>
      <c r="Q6664">
        <v>21.9</v>
      </c>
      <c r="R6664">
        <v>29.8</v>
      </c>
      <c r="S6664">
        <v>21.9</v>
      </c>
      <c r="T6664">
        <v>530</v>
      </c>
      <c r="U6664">
        <v>175</v>
      </c>
      <c r="V6664">
        <v>0</v>
      </c>
      <c r="W6664">
        <v>130</v>
      </c>
      <c r="X6664">
        <v>411</v>
      </c>
      <c r="Y6664">
        <v>0</v>
      </c>
      <c r="Z6664">
        <v>93</v>
      </c>
      <c r="AA6664">
        <v>0</v>
      </c>
      <c r="AB6664">
        <v>11.59953</v>
      </c>
      <c r="AC6664">
        <v>1.8414980000000001E-2</v>
      </c>
      <c r="AD6664">
        <v>4.9164240000000001</v>
      </c>
      <c r="AE6664">
        <v>0.29080529999999999</v>
      </c>
      <c r="AF6664">
        <v>530.43190000000004</v>
      </c>
      <c r="AG6664">
        <f>IFERROR(AH6664*0.1, "N/A")</f>
        <v>6.8968069999999999</v>
      </c>
      <c r="AH6664">
        <v>68.968069999999997</v>
      </c>
      <c r="AI6664">
        <v>112.4323</v>
      </c>
      <c r="AJ6664">
        <v>13</v>
      </c>
      <c r="AK6664">
        <v>70.515969999999996</v>
      </c>
    </row>
    <row r="6665" spans="1:37" x14ac:dyDescent="0.3">
      <c r="A6665">
        <v>6664</v>
      </c>
      <c r="B6665">
        <v>79.400000000000006</v>
      </c>
      <c r="C6665">
        <v>-3.4573999999999998</v>
      </c>
      <c r="D6665">
        <v>14.298299999999999</v>
      </c>
      <c r="E6665">
        <f>-3.4574-14.2983</f>
        <v>-17.755699999999997</v>
      </c>
      <c r="F6665" t="s">
        <v>10101</v>
      </c>
      <c r="G6665" t="s">
        <v>39</v>
      </c>
      <c r="H6665">
        <v>1990</v>
      </c>
      <c r="I6665">
        <v>26</v>
      </c>
      <c r="J6665">
        <v>13.8</v>
      </c>
      <c r="K6665">
        <v>54</v>
      </c>
      <c r="L6665">
        <v>29.61</v>
      </c>
      <c r="M6665">
        <v>38</v>
      </c>
      <c r="N6665">
        <v>12.8</v>
      </c>
      <c r="O6665">
        <v>25.2</v>
      </c>
      <c r="P6665">
        <v>26</v>
      </c>
      <c r="Q6665">
        <v>21.9</v>
      </c>
      <c r="R6665">
        <v>29.9</v>
      </c>
      <c r="S6665">
        <v>21.9</v>
      </c>
      <c r="T6665">
        <v>530</v>
      </c>
      <c r="U6665">
        <v>174</v>
      </c>
      <c r="V6665">
        <v>0</v>
      </c>
      <c r="W6665">
        <v>129</v>
      </c>
      <c r="X6665">
        <v>410</v>
      </c>
      <c r="Y6665">
        <v>0</v>
      </c>
      <c r="Z6665">
        <v>93</v>
      </c>
      <c r="AA6665">
        <v>0</v>
      </c>
      <c r="AB6665">
        <v>2.9166780000000001</v>
      </c>
      <c r="AC6665">
        <v>3.3027000000000001E-2</v>
      </c>
      <c r="AD6665">
        <v>2.2420059999999999</v>
      </c>
      <c r="AE6665">
        <v>0.29266910000000002</v>
      </c>
      <c r="AF6665">
        <v>522.44780000000003</v>
      </c>
      <c r="AG6665">
        <f>IFERROR(AH6665*0.1, "N/A")</f>
        <v>6.8025250000000002</v>
      </c>
      <c r="AH6665">
        <v>68.02525</v>
      </c>
      <c r="AI6665">
        <v>111.3943</v>
      </c>
      <c r="AJ6665">
        <v>15</v>
      </c>
      <c r="AK6665">
        <v>68.949489999999997</v>
      </c>
    </row>
    <row r="6666" spans="1:37" x14ac:dyDescent="0.3">
      <c r="A6666">
        <v>6665</v>
      </c>
      <c r="B6666">
        <v>0</v>
      </c>
      <c r="C6666">
        <v>-3.4573999999999998</v>
      </c>
      <c r="D6666">
        <v>14.298299999999999</v>
      </c>
      <c r="E6666">
        <f>-3.4574-14.2983</f>
        <v>-17.755699999999997</v>
      </c>
      <c r="F6666" t="s">
        <v>10102</v>
      </c>
      <c r="G6666" t="s">
        <v>37</v>
      </c>
      <c r="H6666">
        <v>1990</v>
      </c>
      <c r="I6666">
        <v>26</v>
      </c>
      <c r="J6666">
        <v>13.8</v>
      </c>
      <c r="K6666">
        <v>54</v>
      </c>
      <c r="L6666">
        <v>29.61</v>
      </c>
      <c r="M6666">
        <v>38</v>
      </c>
      <c r="N6666">
        <v>12.8</v>
      </c>
      <c r="O6666">
        <v>25.2</v>
      </c>
      <c r="P6666">
        <v>26</v>
      </c>
      <c r="Q6666">
        <v>21.9</v>
      </c>
      <c r="R6666">
        <v>29.9</v>
      </c>
      <c r="S6666">
        <v>21.9</v>
      </c>
      <c r="T6666">
        <v>530</v>
      </c>
      <c r="U6666">
        <v>174</v>
      </c>
      <c r="V6666">
        <v>0</v>
      </c>
      <c r="W6666">
        <v>129</v>
      </c>
      <c r="X6666">
        <v>410</v>
      </c>
      <c r="Y6666">
        <v>0</v>
      </c>
      <c r="Z6666">
        <v>93</v>
      </c>
      <c r="AA6666">
        <v>0</v>
      </c>
      <c r="AB6666">
        <v>2.9166780000000001</v>
      </c>
      <c r="AC6666">
        <v>3.3027000000000001E-2</v>
      </c>
      <c r="AD6666">
        <v>2.2420059999999999</v>
      </c>
      <c r="AE6666">
        <v>0.29266910000000002</v>
      </c>
      <c r="AF6666">
        <v>522.44780000000003</v>
      </c>
      <c r="AG6666">
        <f>IFERROR(AH6666*0.1, "N/A")</f>
        <v>6.8025250000000002</v>
      </c>
      <c r="AH6666">
        <v>68.02525</v>
      </c>
      <c r="AI6666">
        <v>111.3943</v>
      </c>
      <c r="AJ6666">
        <v>15</v>
      </c>
      <c r="AK6666">
        <v>68.949489999999997</v>
      </c>
    </row>
    <row r="6667" spans="1:37" x14ac:dyDescent="0.3">
      <c r="A6667">
        <v>6666</v>
      </c>
      <c r="B6667">
        <v>80.099999999999994</v>
      </c>
      <c r="C6667">
        <v>-3.7029999999999998</v>
      </c>
      <c r="D6667">
        <v>14.301</v>
      </c>
      <c r="E6667">
        <f>-3.703-14.301</f>
        <v>-18.004000000000001</v>
      </c>
      <c r="F6667" t="s">
        <v>10103</v>
      </c>
      <c r="G6667" t="s">
        <v>39</v>
      </c>
      <c r="H6667">
        <v>1987</v>
      </c>
      <c r="I6667">
        <v>26.8</v>
      </c>
      <c r="J6667">
        <v>13.9</v>
      </c>
      <c r="K6667">
        <v>54</v>
      </c>
      <c r="L6667">
        <v>29.52318</v>
      </c>
      <c r="M6667">
        <v>38.799999999999997</v>
      </c>
      <c r="N6667">
        <v>13.398479999999999</v>
      </c>
      <c r="O6667">
        <v>25.401509999999998</v>
      </c>
      <c r="P6667">
        <v>26.8</v>
      </c>
      <c r="Q6667">
        <v>22.69849</v>
      </c>
      <c r="R6667">
        <v>30.7</v>
      </c>
      <c r="S6667">
        <v>22.69849</v>
      </c>
      <c r="T6667">
        <v>517.01520000000005</v>
      </c>
      <c r="U6667">
        <v>173</v>
      </c>
      <c r="V6667">
        <v>0</v>
      </c>
      <c r="W6667">
        <v>131</v>
      </c>
      <c r="X6667">
        <v>404</v>
      </c>
      <c r="Y6667">
        <v>0</v>
      </c>
      <c r="Z6667">
        <v>90</v>
      </c>
      <c r="AA6667">
        <v>0</v>
      </c>
      <c r="AB6667">
        <v>6.3222079999999998</v>
      </c>
      <c r="AC6667">
        <v>5.3914169999999997E-2</v>
      </c>
      <c r="AD6667">
        <v>1.447959</v>
      </c>
      <c r="AE6667">
        <v>0.27550269999999999</v>
      </c>
      <c r="AF6667">
        <v>387.96800000000002</v>
      </c>
      <c r="AG6667">
        <f>IFERROR(AH6667*0.1, "N/A")</f>
        <v>6.6257580000000011</v>
      </c>
      <c r="AH6667">
        <v>66.257580000000004</v>
      </c>
      <c r="AI6667">
        <v>143.4187</v>
      </c>
      <c r="AJ6667">
        <v>13.380470000000001</v>
      </c>
      <c r="AK6667">
        <v>73.255889999999994</v>
      </c>
    </row>
    <row r="6668" spans="1:37" x14ac:dyDescent="0.3">
      <c r="A6668">
        <v>6667</v>
      </c>
      <c r="B6668">
        <v>52.1</v>
      </c>
      <c r="C6668">
        <v>-3.4285899999999998</v>
      </c>
      <c r="D6668">
        <v>14.3027</v>
      </c>
      <c r="E6668">
        <f>-3.42859-14.3027</f>
        <v>-17.731290000000001</v>
      </c>
      <c r="F6668" t="s">
        <v>10104</v>
      </c>
      <c r="G6668" t="s">
        <v>39</v>
      </c>
      <c r="H6668">
        <v>1990</v>
      </c>
      <c r="I6668">
        <v>26.2</v>
      </c>
      <c r="J6668">
        <v>13.8</v>
      </c>
      <c r="K6668">
        <v>55</v>
      </c>
      <c r="L6668">
        <v>29.2</v>
      </c>
      <c r="M6668">
        <v>38.1</v>
      </c>
      <c r="N6668">
        <v>13.1</v>
      </c>
      <c r="O6668">
        <v>25</v>
      </c>
      <c r="P6668">
        <v>26.1</v>
      </c>
      <c r="Q6668">
        <v>22.1</v>
      </c>
      <c r="R6668">
        <v>30</v>
      </c>
      <c r="S6668">
        <v>22.1</v>
      </c>
      <c r="T6668">
        <v>528</v>
      </c>
      <c r="U6668">
        <v>173</v>
      </c>
      <c r="V6668">
        <v>0</v>
      </c>
      <c r="W6668">
        <v>129</v>
      </c>
      <c r="X6668">
        <v>409</v>
      </c>
      <c r="Y6668">
        <v>0</v>
      </c>
      <c r="Z6668">
        <v>93</v>
      </c>
      <c r="AA6668">
        <v>0</v>
      </c>
      <c r="AB6668">
        <v>42.167290000000001</v>
      </c>
      <c r="AC6668">
        <v>1.2452919999999999E-2</v>
      </c>
      <c r="AD6668">
        <v>5.5220760000000002</v>
      </c>
      <c r="AE6668">
        <v>0.30068270000000002</v>
      </c>
      <c r="AF6668">
        <v>513.80780000000004</v>
      </c>
      <c r="AG6668">
        <f>IFERROR(AH6668*0.1, "N/A")</f>
        <v>6.8785830000000008</v>
      </c>
      <c r="AH6668">
        <v>68.785830000000004</v>
      </c>
      <c r="AI6668">
        <v>129.11349999999999</v>
      </c>
      <c r="AJ6668">
        <v>16.99494</v>
      </c>
      <c r="AK6668">
        <v>66.440129999999996</v>
      </c>
    </row>
    <row r="6669" spans="1:37" x14ac:dyDescent="0.3">
      <c r="A6669">
        <v>6668</v>
      </c>
      <c r="B6669">
        <v>0</v>
      </c>
      <c r="C6669">
        <v>-3.4285899999999998</v>
      </c>
      <c r="D6669">
        <v>14.3027</v>
      </c>
      <c r="E6669">
        <f>-3.42859-14.3027</f>
        <v>-17.731290000000001</v>
      </c>
      <c r="F6669" t="s">
        <v>10105</v>
      </c>
      <c r="G6669" t="s">
        <v>37</v>
      </c>
      <c r="H6669">
        <v>1990</v>
      </c>
      <c r="I6669">
        <v>26.2</v>
      </c>
      <c r="J6669">
        <v>13.8</v>
      </c>
      <c r="K6669">
        <v>55</v>
      </c>
      <c r="L6669">
        <v>29.2</v>
      </c>
      <c r="M6669">
        <v>38.1</v>
      </c>
      <c r="N6669">
        <v>13.1</v>
      </c>
      <c r="O6669">
        <v>25</v>
      </c>
      <c r="P6669">
        <v>26.1</v>
      </c>
      <c r="Q6669">
        <v>22.1</v>
      </c>
      <c r="R6669">
        <v>30</v>
      </c>
      <c r="S6669">
        <v>22.1</v>
      </c>
      <c r="T6669">
        <v>528</v>
      </c>
      <c r="U6669">
        <v>173</v>
      </c>
      <c r="V6669">
        <v>0</v>
      </c>
      <c r="W6669">
        <v>129</v>
      </c>
      <c r="X6669">
        <v>409</v>
      </c>
      <c r="Y6669">
        <v>0</v>
      </c>
      <c r="Z6669">
        <v>93</v>
      </c>
      <c r="AA6669">
        <v>0</v>
      </c>
      <c r="AB6669">
        <v>42.167290000000001</v>
      </c>
      <c r="AC6669">
        <v>1.2452919999999999E-2</v>
      </c>
      <c r="AD6669">
        <v>5.5220760000000002</v>
      </c>
      <c r="AE6669">
        <v>0.30068270000000002</v>
      </c>
      <c r="AF6669">
        <v>513.80780000000004</v>
      </c>
      <c r="AG6669">
        <f>IFERROR(AH6669*0.1, "N/A")</f>
        <v>6.8785830000000008</v>
      </c>
      <c r="AH6669">
        <v>68.785830000000004</v>
      </c>
      <c r="AI6669">
        <v>129.11349999999999</v>
      </c>
      <c r="AJ6669">
        <v>16.99494</v>
      </c>
      <c r="AK6669">
        <v>66.440129999999996</v>
      </c>
    </row>
    <row r="6670" spans="1:37" x14ac:dyDescent="0.3">
      <c r="A6670">
        <v>6669</v>
      </c>
      <c r="B6670">
        <v>66</v>
      </c>
      <c r="C6670">
        <v>-3.43181</v>
      </c>
      <c r="D6670">
        <v>14.3041</v>
      </c>
      <c r="E6670">
        <f>-3.43181-14.3041</f>
        <v>-17.735910000000001</v>
      </c>
      <c r="F6670" t="s">
        <v>10106</v>
      </c>
      <c r="G6670" t="s">
        <v>39</v>
      </c>
      <c r="H6670">
        <v>1990</v>
      </c>
      <c r="I6670">
        <v>26.2</v>
      </c>
      <c r="J6670">
        <v>13.8</v>
      </c>
      <c r="K6670">
        <v>55</v>
      </c>
      <c r="L6670">
        <v>29.2</v>
      </c>
      <c r="M6670">
        <v>38.1</v>
      </c>
      <c r="N6670">
        <v>13.1</v>
      </c>
      <c r="O6670">
        <v>25</v>
      </c>
      <c r="P6670">
        <v>26.1</v>
      </c>
      <c r="Q6670">
        <v>22.1</v>
      </c>
      <c r="R6670">
        <v>30</v>
      </c>
      <c r="S6670">
        <v>22.1</v>
      </c>
      <c r="T6670">
        <v>528</v>
      </c>
      <c r="U6670">
        <v>173</v>
      </c>
      <c r="V6670">
        <v>0</v>
      </c>
      <c r="W6670">
        <v>129</v>
      </c>
      <c r="X6670">
        <v>409</v>
      </c>
      <c r="Y6670">
        <v>0</v>
      </c>
      <c r="Z6670">
        <v>93</v>
      </c>
      <c r="AA6670">
        <v>0</v>
      </c>
      <c r="AB6670">
        <v>2.9732599999999998</v>
      </c>
      <c r="AC6670">
        <v>2.2701720000000002E-2</v>
      </c>
      <c r="AD6670">
        <v>1.785585</v>
      </c>
      <c r="AE6670">
        <v>0.30032140000000002</v>
      </c>
      <c r="AF6670">
        <v>515.10699999999997</v>
      </c>
      <c r="AG6670">
        <f>IFERROR(AH6670*0.1, "N/A")</f>
        <v>6.9307689999999997</v>
      </c>
      <c r="AH6670">
        <v>69.307689999999994</v>
      </c>
      <c r="AI6670">
        <v>111.0651</v>
      </c>
      <c r="AJ6670">
        <v>17.307690000000001</v>
      </c>
      <c r="AK6670">
        <v>65.384619999999998</v>
      </c>
    </row>
    <row r="6671" spans="1:37" x14ac:dyDescent="0.3">
      <c r="A6671">
        <v>6670</v>
      </c>
      <c r="B6671">
        <v>58.3</v>
      </c>
      <c r="C6671">
        <v>-3.43181</v>
      </c>
      <c r="D6671">
        <v>14.3041</v>
      </c>
      <c r="E6671">
        <f>-3.43181-14.3041</f>
        <v>-17.735910000000001</v>
      </c>
      <c r="F6671" t="s">
        <v>10107</v>
      </c>
      <c r="G6671" t="s">
        <v>37</v>
      </c>
      <c r="H6671">
        <v>1990</v>
      </c>
      <c r="I6671">
        <v>26.2</v>
      </c>
      <c r="J6671">
        <v>13.8</v>
      </c>
      <c r="K6671">
        <v>55</v>
      </c>
      <c r="L6671">
        <v>29.2</v>
      </c>
      <c r="M6671">
        <v>38.1</v>
      </c>
      <c r="N6671">
        <v>13.1</v>
      </c>
      <c r="O6671">
        <v>25</v>
      </c>
      <c r="P6671">
        <v>26.1</v>
      </c>
      <c r="Q6671">
        <v>22.1</v>
      </c>
      <c r="R6671">
        <v>30</v>
      </c>
      <c r="S6671">
        <v>22.1</v>
      </c>
      <c r="T6671">
        <v>528</v>
      </c>
      <c r="U6671">
        <v>173</v>
      </c>
      <c r="V6671">
        <v>0</v>
      </c>
      <c r="W6671">
        <v>129</v>
      </c>
      <c r="X6671">
        <v>409</v>
      </c>
      <c r="Y6671">
        <v>0</v>
      </c>
      <c r="Z6671">
        <v>93</v>
      </c>
      <c r="AA6671">
        <v>0</v>
      </c>
      <c r="AB6671">
        <v>2.9732599999999998</v>
      </c>
      <c r="AC6671">
        <v>2.2701720000000002E-2</v>
      </c>
      <c r="AD6671">
        <v>1.785585</v>
      </c>
      <c r="AE6671">
        <v>0.30032140000000002</v>
      </c>
      <c r="AF6671">
        <v>515.10699999999997</v>
      </c>
      <c r="AG6671">
        <f>IFERROR(AH6671*0.1, "N/A")</f>
        <v>6.9307689999999997</v>
      </c>
      <c r="AH6671">
        <v>69.307689999999994</v>
      </c>
      <c r="AI6671">
        <v>111.0651</v>
      </c>
      <c r="AJ6671">
        <v>17.307690000000001</v>
      </c>
      <c r="AK6671">
        <v>65.384619999999998</v>
      </c>
    </row>
    <row r="6672" spans="1:37" x14ac:dyDescent="0.3">
      <c r="A6672">
        <v>6671</v>
      </c>
      <c r="B6672">
        <v>93.7</v>
      </c>
      <c r="C6672">
        <v>-5.9599399999999996</v>
      </c>
      <c r="D6672">
        <v>14.3079</v>
      </c>
      <c r="E6672">
        <f>-5.95994-14.3079</f>
        <v>-20.26784</v>
      </c>
      <c r="F6672" t="s">
        <v>10108</v>
      </c>
      <c r="G6672" t="s">
        <v>37</v>
      </c>
      <c r="H6672">
        <v>2004</v>
      </c>
      <c r="I6672">
        <v>27.3</v>
      </c>
      <c r="J6672">
        <v>15.7</v>
      </c>
      <c r="K6672">
        <v>57</v>
      </c>
      <c r="L6672">
        <v>28.36</v>
      </c>
      <c r="M6672">
        <v>39.9</v>
      </c>
      <c r="N6672">
        <v>12.6</v>
      </c>
      <c r="O6672">
        <v>27.3</v>
      </c>
      <c r="P6672">
        <v>27.3</v>
      </c>
      <c r="Q6672">
        <v>23.5</v>
      </c>
      <c r="R6672">
        <v>31.1</v>
      </c>
      <c r="S6672">
        <v>23.5</v>
      </c>
      <c r="T6672">
        <v>539</v>
      </c>
      <c r="U6672">
        <v>201</v>
      </c>
      <c r="V6672">
        <v>0</v>
      </c>
      <c r="W6672">
        <v>145</v>
      </c>
      <c r="X6672">
        <v>443</v>
      </c>
      <c r="Y6672">
        <v>0</v>
      </c>
      <c r="Z6672">
        <v>76</v>
      </c>
      <c r="AA6672">
        <v>0</v>
      </c>
      <c r="AB6672">
        <v>9.2614299999999997E-2</v>
      </c>
      <c r="AC6672">
        <v>0.12665190000000001</v>
      </c>
      <c r="AD6672">
        <v>1.3462259999999999</v>
      </c>
      <c r="AE6672">
        <v>0.42507440000000002</v>
      </c>
      <c r="AF6672">
        <v>279.48489999999998</v>
      </c>
      <c r="AG6672">
        <f>IFERROR(AH6672*0.1, "N/A")</f>
        <v>6.1350670000000003</v>
      </c>
      <c r="AH6672">
        <v>61.350670000000001</v>
      </c>
      <c r="AI6672">
        <v>243.29730000000001</v>
      </c>
      <c r="AJ6672">
        <v>20.800339999999998</v>
      </c>
      <c r="AK6672">
        <v>56.152679999999997</v>
      </c>
    </row>
    <row r="6673" spans="1:37" x14ac:dyDescent="0.3">
      <c r="A6673">
        <v>6672</v>
      </c>
      <c r="B6673">
        <v>79.2</v>
      </c>
      <c r="C6673">
        <v>-5.9599399999999996</v>
      </c>
      <c r="D6673">
        <v>14.3079</v>
      </c>
      <c r="E6673">
        <f>-5.95994-14.3079</f>
        <v>-20.26784</v>
      </c>
      <c r="F6673" t="s">
        <v>10109</v>
      </c>
      <c r="G6673" t="s">
        <v>39</v>
      </c>
      <c r="H6673">
        <v>2004</v>
      </c>
      <c r="I6673">
        <v>27.3</v>
      </c>
      <c r="J6673">
        <v>15.7</v>
      </c>
      <c r="K6673">
        <v>57</v>
      </c>
      <c r="L6673">
        <v>28.36</v>
      </c>
      <c r="M6673">
        <v>39.9</v>
      </c>
      <c r="N6673">
        <v>12.6</v>
      </c>
      <c r="O6673">
        <v>27.3</v>
      </c>
      <c r="P6673">
        <v>27.3</v>
      </c>
      <c r="Q6673">
        <v>23.5</v>
      </c>
      <c r="R6673">
        <v>31.1</v>
      </c>
      <c r="S6673">
        <v>23.5</v>
      </c>
      <c r="T6673">
        <v>539</v>
      </c>
      <c r="U6673">
        <v>201</v>
      </c>
      <c r="V6673">
        <v>0</v>
      </c>
      <c r="W6673">
        <v>145</v>
      </c>
      <c r="X6673">
        <v>443</v>
      </c>
      <c r="Y6673">
        <v>0</v>
      </c>
      <c r="Z6673">
        <v>76</v>
      </c>
      <c r="AA6673">
        <v>0</v>
      </c>
      <c r="AB6673">
        <v>9.2614299999999997E-2</v>
      </c>
      <c r="AC6673">
        <v>0.12665190000000001</v>
      </c>
      <c r="AD6673">
        <v>1.3462259999999999</v>
      </c>
      <c r="AE6673">
        <v>0.42507440000000002</v>
      </c>
      <c r="AF6673">
        <v>279.48489999999998</v>
      </c>
      <c r="AG6673">
        <f>IFERROR(AH6673*0.1, "N/A")</f>
        <v>6.1350670000000003</v>
      </c>
      <c r="AH6673">
        <v>61.350670000000001</v>
      </c>
      <c r="AI6673">
        <v>243.29730000000001</v>
      </c>
      <c r="AJ6673">
        <v>20.800339999999998</v>
      </c>
      <c r="AK6673">
        <v>56.152679999999997</v>
      </c>
    </row>
    <row r="6674" spans="1:37" x14ac:dyDescent="0.3">
      <c r="A6674">
        <v>6673</v>
      </c>
      <c r="B6674">
        <v>33</v>
      </c>
      <c r="C6674">
        <v>-3.5680000000000001</v>
      </c>
      <c r="D6674">
        <v>14.3079</v>
      </c>
      <c r="E6674">
        <f>-3.568-14.3079</f>
        <v>-17.875900000000001</v>
      </c>
      <c r="F6674" t="s">
        <v>10110</v>
      </c>
      <c r="G6674" t="s">
        <v>39</v>
      </c>
      <c r="H6674">
        <v>1990</v>
      </c>
      <c r="I6674">
        <v>26.316410000000001</v>
      </c>
      <c r="J6674">
        <v>13.9</v>
      </c>
      <c r="K6674">
        <v>55</v>
      </c>
      <c r="L6674">
        <v>29.515529999999998</v>
      </c>
      <c r="M6674">
        <v>38.316420000000001</v>
      </c>
      <c r="N6674">
        <v>13.11642</v>
      </c>
      <c r="O6674">
        <v>25.2</v>
      </c>
      <c r="P6674">
        <v>26.316410000000001</v>
      </c>
      <c r="Q6674">
        <v>22.316410000000001</v>
      </c>
      <c r="R6674">
        <v>30.3</v>
      </c>
      <c r="S6674">
        <v>22.316410000000001</v>
      </c>
      <c r="T6674">
        <v>523.83579999999995</v>
      </c>
      <c r="U6674">
        <v>174</v>
      </c>
      <c r="V6674">
        <v>0</v>
      </c>
      <c r="W6674">
        <v>132.83580000000001</v>
      </c>
      <c r="X6674">
        <v>408.83580000000001</v>
      </c>
      <c r="Y6674">
        <v>0</v>
      </c>
      <c r="Z6674">
        <v>91</v>
      </c>
      <c r="AA6674">
        <v>0</v>
      </c>
      <c r="AB6674">
        <v>2.125121</v>
      </c>
      <c r="AC6674">
        <v>0.34621740000000001</v>
      </c>
      <c r="AD6674">
        <v>1.597601</v>
      </c>
      <c r="AE6674">
        <v>0.3682916</v>
      </c>
      <c r="AF6674">
        <v>454.9162</v>
      </c>
      <c r="AG6674">
        <f>IFERROR(AH6674*0.1, "N/A")</f>
        <v>7</v>
      </c>
      <c r="AH6674">
        <v>70</v>
      </c>
      <c r="AI6674">
        <v>246.9117</v>
      </c>
      <c r="AJ6674">
        <v>16.14573</v>
      </c>
      <c r="AK6674">
        <v>67.85427</v>
      </c>
    </row>
    <row r="6675" spans="1:37" x14ac:dyDescent="0.3">
      <c r="A6675">
        <v>6674</v>
      </c>
      <c r="B6675">
        <v>0</v>
      </c>
      <c r="C6675">
        <v>-3.5680000000000001</v>
      </c>
      <c r="D6675">
        <v>14.3079</v>
      </c>
      <c r="E6675">
        <f>-3.568-14.3079</f>
        <v>-17.875900000000001</v>
      </c>
      <c r="F6675" t="s">
        <v>10111</v>
      </c>
      <c r="G6675" t="s">
        <v>37</v>
      </c>
      <c r="H6675">
        <v>1990</v>
      </c>
      <c r="I6675">
        <v>26.316410000000001</v>
      </c>
      <c r="J6675">
        <v>13.9</v>
      </c>
      <c r="K6675">
        <v>55</v>
      </c>
      <c r="L6675">
        <v>29.515529999999998</v>
      </c>
      <c r="M6675">
        <v>38.316420000000001</v>
      </c>
      <c r="N6675">
        <v>13.11642</v>
      </c>
      <c r="O6675">
        <v>25.2</v>
      </c>
      <c r="P6675">
        <v>26.316410000000001</v>
      </c>
      <c r="Q6675">
        <v>22.316410000000001</v>
      </c>
      <c r="R6675">
        <v>30.3</v>
      </c>
      <c r="S6675">
        <v>22.316410000000001</v>
      </c>
      <c r="T6675">
        <v>523.83579999999995</v>
      </c>
      <c r="U6675">
        <v>174</v>
      </c>
      <c r="V6675">
        <v>0</v>
      </c>
      <c r="W6675">
        <v>132.83580000000001</v>
      </c>
      <c r="X6675">
        <v>408.83580000000001</v>
      </c>
      <c r="Y6675">
        <v>0</v>
      </c>
      <c r="Z6675">
        <v>91</v>
      </c>
      <c r="AA6675">
        <v>0</v>
      </c>
      <c r="AB6675">
        <v>2.125121</v>
      </c>
      <c r="AC6675">
        <v>0.34621740000000001</v>
      </c>
      <c r="AD6675">
        <v>1.597601</v>
      </c>
      <c r="AE6675">
        <v>0.3682916</v>
      </c>
      <c r="AF6675">
        <v>454.9162</v>
      </c>
      <c r="AG6675">
        <f>IFERROR(AH6675*0.1, "N/A")</f>
        <v>7</v>
      </c>
      <c r="AH6675">
        <v>70</v>
      </c>
      <c r="AI6675">
        <v>246.9117</v>
      </c>
      <c r="AJ6675">
        <v>16.14573</v>
      </c>
      <c r="AK6675">
        <v>67.85427</v>
      </c>
    </row>
    <row r="6676" spans="1:37" x14ac:dyDescent="0.3">
      <c r="A6676">
        <v>6675</v>
      </c>
      <c r="B6676">
        <v>61.3</v>
      </c>
      <c r="C6676">
        <v>-5.9566800000000004</v>
      </c>
      <c r="D6676">
        <v>14.3085</v>
      </c>
      <c r="E6676">
        <f>-5.95668-14.3085</f>
        <v>-20.265180000000001</v>
      </c>
      <c r="F6676" t="s">
        <v>10112</v>
      </c>
      <c r="G6676" t="s">
        <v>39</v>
      </c>
      <c r="H6676">
        <v>1986</v>
      </c>
      <c r="I6676">
        <v>27.3</v>
      </c>
      <c r="J6676">
        <v>15.7</v>
      </c>
      <c r="K6676">
        <v>57</v>
      </c>
      <c r="L6676">
        <v>28.34</v>
      </c>
      <c r="M6676">
        <v>39.9</v>
      </c>
      <c r="N6676">
        <v>12.6</v>
      </c>
      <c r="O6676">
        <v>27.3</v>
      </c>
      <c r="P6676">
        <v>27.3</v>
      </c>
      <c r="Q6676">
        <v>23.4</v>
      </c>
      <c r="R6676">
        <v>31</v>
      </c>
      <c r="S6676">
        <v>23.4</v>
      </c>
      <c r="T6676">
        <v>539.7441</v>
      </c>
      <c r="U6676">
        <v>201.37209999999999</v>
      </c>
      <c r="V6676">
        <v>0</v>
      </c>
      <c r="W6676">
        <v>143.88380000000001</v>
      </c>
      <c r="X6676">
        <v>443.7441</v>
      </c>
      <c r="Y6676">
        <v>0</v>
      </c>
      <c r="Z6676">
        <v>76</v>
      </c>
      <c r="AA6676">
        <v>0</v>
      </c>
      <c r="AB6676">
        <v>1.689381</v>
      </c>
      <c r="AC6676">
        <v>2.3788839999999999E-2</v>
      </c>
      <c r="AD6676">
        <v>2.4473720000000001</v>
      </c>
      <c r="AE6676">
        <v>0.42507440000000002</v>
      </c>
      <c r="AF6676">
        <v>274.6044</v>
      </c>
      <c r="AG6676">
        <f>IFERROR(AH6676*0.1, "N/A")</f>
        <v>6.202020000000001</v>
      </c>
      <c r="AH6676">
        <v>62.020200000000003</v>
      </c>
      <c r="AI6676">
        <v>187.8458</v>
      </c>
      <c r="AJ6676">
        <v>19</v>
      </c>
      <c r="AK6676">
        <v>57</v>
      </c>
    </row>
    <row r="6677" spans="1:37" x14ac:dyDescent="0.3">
      <c r="A6677">
        <v>6676</v>
      </c>
      <c r="B6677">
        <v>5.2</v>
      </c>
      <c r="C6677">
        <v>-5.9566800000000004</v>
      </c>
      <c r="D6677">
        <v>14.3085</v>
      </c>
      <c r="E6677">
        <f>-5.95668-14.3085</f>
        <v>-20.265180000000001</v>
      </c>
      <c r="F6677" t="s">
        <v>10113</v>
      </c>
      <c r="G6677" t="s">
        <v>37</v>
      </c>
      <c r="H6677">
        <v>1986</v>
      </c>
      <c r="I6677">
        <v>27.3</v>
      </c>
      <c r="J6677">
        <v>15.7</v>
      </c>
      <c r="K6677">
        <v>57</v>
      </c>
      <c r="L6677">
        <v>28.34</v>
      </c>
      <c r="M6677">
        <v>39.9</v>
      </c>
      <c r="N6677">
        <v>12.6</v>
      </c>
      <c r="O6677">
        <v>27.3</v>
      </c>
      <c r="P6677">
        <v>27.3</v>
      </c>
      <c r="Q6677">
        <v>23.4</v>
      </c>
      <c r="R6677">
        <v>31</v>
      </c>
      <c r="S6677">
        <v>23.4</v>
      </c>
      <c r="T6677">
        <v>539.7441</v>
      </c>
      <c r="U6677">
        <v>201.37209999999999</v>
      </c>
      <c r="V6677">
        <v>0</v>
      </c>
      <c r="W6677">
        <v>143.88380000000001</v>
      </c>
      <c r="X6677">
        <v>443.7441</v>
      </c>
      <c r="Y6677">
        <v>0</v>
      </c>
      <c r="Z6677">
        <v>76</v>
      </c>
      <c r="AA6677">
        <v>0</v>
      </c>
      <c r="AB6677">
        <v>1.689381</v>
      </c>
      <c r="AC6677">
        <v>2.3788839999999999E-2</v>
      </c>
      <c r="AD6677">
        <v>2.4473720000000001</v>
      </c>
      <c r="AE6677">
        <v>0.42507440000000002</v>
      </c>
      <c r="AF6677">
        <v>274.6044</v>
      </c>
      <c r="AG6677">
        <f>IFERROR(AH6677*0.1, "N/A")</f>
        <v>6.202020000000001</v>
      </c>
      <c r="AH6677">
        <v>62.020200000000003</v>
      </c>
      <c r="AI6677">
        <v>187.8458</v>
      </c>
      <c r="AJ6677">
        <v>19</v>
      </c>
      <c r="AK6677">
        <v>57</v>
      </c>
    </row>
    <row r="6678" spans="1:37" x14ac:dyDescent="0.3">
      <c r="A6678">
        <v>6677</v>
      </c>
      <c r="B6678">
        <v>0</v>
      </c>
      <c r="C6678">
        <v>-3.5358000000000001</v>
      </c>
      <c r="D6678">
        <v>14.315</v>
      </c>
      <c r="E6678">
        <f>-3.5358-14.315</f>
        <v>-17.8508</v>
      </c>
      <c r="F6678" t="s">
        <v>10114</v>
      </c>
      <c r="G6678" t="s">
        <v>39</v>
      </c>
      <c r="H6678">
        <v>1987</v>
      </c>
      <c r="I6678">
        <v>26.4</v>
      </c>
      <c r="J6678">
        <v>13.9</v>
      </c>
      <c r="K6678">
        <v>55</v>
      </c>
      <c r="L6678">
        <v>29.56</v>
      </c>
      <c r="M6678">
        <v>38.299999999999997</v>
      </c>
      <c r="N6678">
        <v>13.1</v>
      </c>
      <c r="O6678">
        <v>25.2</v>
      </c>
      <c r="P6678">
        <v>26.3</v>
      </c>
      <c r="Q6678">
        <v>22.3</v>
      </c>
      <c r="R6678">
        <v>30.3</v>
      </c>
      <c r="S6678">
        <v>22.3</v>
      </c>
      <c r="T6678">
        <v>523</v>
      </c>
      <c r="U6678">
        <v>174</v>
      </c>
      <c r="V6678">
        <v>0</v>
      </c>
      <c r="W6678">
        <v>132</v>
      </c>
      <c r="X6678">
        <v>408</v>
      </c>
      <c r="Y6678">
        <v>0</v>
      </c>
      <c r="Z6678">
        <v>91</v>
      </c>
      <c r="AA6678">
        <v>0</v>
      </c>
      <c r="AB6678">
        <v>18.767949999999999</v>
      </c>
      <c r="AC6678">
        <v>1.5782480000000002E-2</v>
      </c>
      <c r="AD6678">
        <v>3.385262</v>
      </c>
      <c r="AE6678">
        <v>0.28265859999999998</v>
      </c>
      <c r="AF6678">
        <v>471.91950000000003</v>
      </c>
      <c r="AG6678">
        <f>IFERROR(AH6678*0.1, "N/A")</f>
        <v>6.8000000000000007</v>
      </c>
      <c r="AH6678">
        <v>68</v>
      </c>
      <c r="AI6678">
        <v>175.7988</v>
      </c>
      <c r="AJ6678">
        <v>15.93792</v>
      </c>
      <c r="AK6678">
        <v>64.033559999999994</v>
      </c>
    </row>
    <row r="6679" spans="1:37" x14ac:dyDescent="0.3">
      <c r="A6679">
        <v>6678</v>
      </c>
      <c r="B6679">
        <v>15.6</v>
      </c>
      <c r="C6679">
        <v>-3.6600199999999998</v>
      </c>
      <c r="D6679">
        <v>14.32</v>
      </c>
      <c r="E6679">
        <f>-3.66002-14.32</f>
        <v>-17.98002</v>
      </c>
      <c r="F6679" t="s">
        <v>10115</v>
      </c>
      <c r="G6679" t="s">
        <v>39</v>
      </c>
      <c r="H6679">
        <v>1987</v>
      </c>
      <c r="I6679">
        <v>26.6</v>
      </c>
      <c r="J6679">
        <v>13.9</v>
      </c>
      <c r="K6679">
        <v>54</v>
      </c>
      <c r="L6679">
        <v>29.54</v>
      </c>
      <c r="M6679">
        <v>38.700000000000003</v>
      </c>
      <c r="N6679">
        <v>13.3</v>
      </c>
      <c r="O6679">
        <v>25.4</v>
      </c>
      <c r="P6679">
        <v>26.6</v>
      </c>
      <c r="Q6679">
        <v>22.6</v>
      </c>
      <c r="R6679">
        <v>30.6</v>
      </c>
      <c r="S6679">
        <v>22.6</v>
      </c>
      <c r="T6679">
        <v>518</v>
      </c>
      <c r="U6679">
        <v>173</v>
      </c>
      <c r="V6679">
        <v>0</v>
      </c>
      <c r="W6679">
        <v>131</v>
      </c>
      <c r="X6679">
        <v>405</v>
      </c>
      <c r="Y6679">
        <v>0</v>
      </c>
      <c r="Z6679">
        <v>90</v>
      </c>
      <c r="AA6679">
        <v>0</v>
      </c>
      <c r="AB6679">
        <v>3.5028570000000001</v>
      </c>
      <c r="AC6679">
        <v>0.1903966</v>
      </c>
      <c r="AD6679">
        <v>2.4286140000000001</v>
      </c>
      <c r="AE6679">
        <v>0.34002959999999999</v>
      </c>
      <c r="AF6679">
        <v>400.50080000000003</v>
      </c>
      <c r="AG6679">
        <f>IFERROR(AH6679*0.1, "N/A")</f>
        <v>6.9952940000000003</v>
      </c>
      <c r="AH6679">
        <v>69.952939999999998</v>
      </c>
      <c r="AI6679">
        <v>189.6284</v>
      </c>
      <c r="AJ6679">
        <v>15.495799999999999</v>
      </c>
      <c r="AK6679">
        <v>69.966390000000004</v>
      </c>
    </row>
    <row r="6680" spans="1:37" x14ac:dyDescent="0.3">
      <c r="A6680">
        <v>6679</v>
      </c>
      <c r="B6680">
        <v>100</v>
      </c>
      <c r="C6680">
        <v>-5.9561999999999999</v>
      </c>
      <c r="D6680">
        <v>14.3247</v>
      </c>
      <c r="E6680">
        <f>-5.9562-14.3247</f>
        <v>-20.280899999999999</v>
      </c>
      <c r="F6680" t="s">
        <v>10116</v>
      </c>
      <c r="G6680" t="s">
        <v>37</v>
      </c>
      <c r="H6680">
        <v>2004</v>
      </c>
      <c r="I6680">
        <v>27.3</v>
      </c>
      <c r="J6680">
        <v>15.7</v>
      </c>
      <c r="K6680">
        <v>57</v>
      </c>
      <c r="L6680">
        <v>28.42</v>
      </c>
      <c r="M6680">
        <v>39.9</v>
      </c>
      <c r="N6680">
        <v>12.6</v>
      </c>
      <c r="O6680">
        <v>27.3</v>
      </c>
      <c r="P6680">
        <v>27.3</v>
      </c>
      <c r="Q6680">
        <v>23.4</v>
      </c>
      <c r="R6680">
        <v>31</v>
      </c>
      <c r="S6680">
        <v>23.4</v>
      </c>
      <c r="T6680">
        <v>538</v>
      </c>
      <c r="U6680">
        <v>201</v>
      </c>
      <c r="V6680">
        <v>0</v>
      </c>
      <c r="W6680">
        <v>144</v>
      </c>
      <c r="X6680">
        <v>442</v>
      </c>
      <c r="Y6680">
        <v>0</v>
      </c>
      <c r="Z6680">
        <v>76</v>
      </c>
      <c r="AA6680">
        <v>0</v>
      </c>
      <c r="AB6680">
        <v>0.56668410000000002</v>
      </c>
      <c r="AC6680">
        <v>1.230524E-2</v>
      </c>
      <c r="AD6680">
        <v>2.4854880000000001</v>
      </c>
      <c r="AE6680">
        <v>0.46959400000000001</v>
      </c>
      <c r="AF6680">
        <v>278.49160000000001</v>
      </c>
      <c r="AG6680">
        <f>IFERROR(AH6680*0.1, "N/A")</f>
        <v>6.2725590000000002</v>
      </c>
      <c r="AH6680">
        <v>62.725589999999997</v>
      </c>
      <c r="AI6680">
        <v>164.5985</v>
      </c>
      <c r="AJ6680">
        <v>16.964649999999999</v>
      </c>
      <c r="AK6680">
        <v>60.954549999999998</v>
      </c>
    </row>
    <row r="6681" spans="1:37" x14ac:dyDescent="0.3">
      <c r="A6681">
        <v>6680</v>
      </c>
      <c r="B6681">
        <v>87.7</v>
      </c>
      <c r="C6681">
        <v>-5.9561999999999999</v>
      </c>
      <c r="D6681">
        <v>14.3247</v>
      </c>
      <c r="E6681">
        <f>-5.9562-14.3247</f>
        <v>-20.280899999999999</v>
      </c>
      <c r="F6681" t="s">
        <v>10117</v>
      </c>
      <c r="G6681" t="s">
        <v>39</v>
      </c>
      <c r="H6681">
        <v>2004</v>
      </c>
      <c r="I6681">
        <v>27.3</v>
      </c>
      <c r="J6681">
        <v>15.7</v>
      </c>
      <c r="K6681">
        <v>57</v>
      </c>
      <c r="L6681">
        <v>28.42</v>
      </c>
      <c r="M6681">
        <v>39.9</v>
      </c>
      <c r="N6681">
        <v>12.6</v>
      </c>
      <c r="O6681">
        <v>27.3</v>
      </c>
      <c r="P6681">
        <v>27.3</v>
      </c>
      <c r="Q6681">
        <v>23.4</v>
      </c>
      <c r="R6681">
        <v>31</v>
      </c>
      <c r="S6681">
        <v>23.4</v>
      </c>
      <c r="T6681">
        <v>538</v>
      </c>
      <c r="U6681">
        <v>201</v>
      </c>
      <c r="V6681">
        <v>0</v>
      </c>
      <c r="W6681">
        <v>144</v>
      </c>
      <c r="X6681">
        <v>442</v>
      </c>
      <c r="Y6681">
        <v>0</v>
      </c>
      <c r="Z6681">
        <v>76</v>
      </c>
      <c r="AA6681">
        <v>0</v>
      </c>
      <c r="AB6681">
        <v>0.56668410000000002</v>
      </c>
      <c r="AC6681">
        <v>1.230524E-2</v>
      </c>
      <c r="AD6681">
        <v>2.4854880000000001</v>
      </c>
      <c r="AE6681">
        <v>0.46959400000000001</v>
      </c>
      <c r="AF6681">
        <v>278.49160000000001</v>
      </c>
      <c r="AG6681">
        <f>IFERROR(AH6681*0.1, "N/A")</f>
        <v>6.2725590000000002</v>
      </c>
      <c r="AH6681">
        <v>62.725589999999997</v>
      </c>
      <c r="AI6681">
        <v>164.5985</v>
      </c>
      <c r="AJ6681">
        <v>16.964649999999999</v>
      </c>
      <c r="AK6681">
        <v>60.954549999999998</v>
      </c>
    </row>
    <row r="6682" spans="1:37" x14ac:dyDescent="0.3">
      <c r="A6682">
        <v>6681</v>
      </c>
      <c r="B6682">
        <v>0.8</v>
      </c>
      <c r="C6682">
        <v>-3.5543900000000002</v>
      </c>
      <c r="D6682">
        <v>14.331200000000001</v>
      </c>
      <c r="E6682">
        <f>-3.55439-14.3312</f>
        <v>-17.885590000000001</v>
      </c>
      <c r="F6682" t="s">
        <v>10118</v>
      </c>
      <c r="G6682" t="s">
        <v>37</v>
      </c>
      <c r="H6682">
        <v>1990</v>
      </c>
      <c r="I6682">
        <v>26.5</v>
      </c>
      <c r="J6682">
        <v>13.9</v>
      </c>
      <c r="K6682">
        <v>54</v>
      </c>
      <c r="L6682">
        <v>29.79</v>
      </c>
      <c r="M6682">
        <v>38.6</v>
      </c>
      <c r="N6682">
        <v>13.3</v>
      </c>
      <c r="O6682">
        <v>25.3</v>
      </c>
      <c r="P6682">
        <v>26.5</v>
      </c>
      <c r="Q6682">
        <v>22.4</v>
      </c>
      <c r="R6682">
        <v>30.4</v>
      </c>
      <c r="S6682">
        <v>22.4</v>
      </c>
      <c r="T6682">
        <v>521</v>
      </c>
      <c r="U6682">
        <v>173</v>
      </c>
      <c r="V6682">
        <v>0</v>
      </c>
      <c r="W6682">
        <v>132</v>
      </c>
      <c r="X6682">
        <v>406</v>
      </c>
      <c r="Y6682">
        <v>0</v>
      </c>
      <c r="Z6682">
        <v>91</v>
      </c>
      <c r="AA6682">
        <v>0</v>
      </c>
      <c r="AB6682">
        <v>5.8596630000000003</v>
      </c>
      <c r="AC6682">
        <v>8.7203689999999998</v>
      </c>
      <c r="AD6682">
        <v>4.0730500000000003</v>
      </c>
      <c r="AE6682">
        <v>0.45432030000000001</v>
      </c>
      <c r="AF6682">
        <v>426.25549999999998</v>
      </c>
      <c r="AG6682">
        <f>IFERROR(AH6682*0.1, "N/A")</f>
        <v>7.037815000000001</v>
      </c>
      <c r="AH6682">
        <v>70.378150000000005</v>
      </c>
      <c r="AI6682">
        <v>122.91200000000001</v>
      </c>
      <c r="AJ6682">
        <v>17</v>
      </c>
      <c r="AK6682">
        <v>63.378149999999998</v>
      </c>
    </row>
    <row r="6683" spans="1:37" x14ac:dyDescent="0.3">
      <c r="A6683">
        <v>6682</v>
      </c>
      <c r="B6683">
        <v>45.3</v>
      </c>
      <c r="C6683">
        <v>-3.5543900000000002</v>
      </c>
      <c r="D6683">
        <v>14.331200000000001</v>
      </c>
      <c r="E6683">
        <f>-3.55439-14.3312</f>
        <v>-17.885590000000001</v>
      </c>
      <c r="F6683" t="s">
        <v>10119</v>
      </c>
      <c r="G6683" t="s">
        <v>39</v>
      </c>
      <c r="H6683">
        <v>1990</v>
      </c>
      <c r="I6683">
        <v>26.5</v>
      </c>
      <c r="J6683">
        <v>13.9</v>
      </c>
      <c r="K6683">
        <v>54</v>
      </c>
      <c r="L6683">
        <v>29.79</v>
      </c>
      <c r="M6683">
        <v>38.6</v>
      </c>
      <c r="N6683">
        <v>13.3</v>
      </c>
      <c r="O6683">
        <v>25.3</v>
      </c>
      <c r="P6683">
        <v>26.5</v>
      </c>
      <c r="Q6683">
        <v>22.4</v>
      </c>
      <c r="R6683">
        <v>30.4</v>
      </c>
      <c r="S6683">
        <v>22.4</v>
      </c>
      <c r="T6683">
        <v>521</v>
      </c>
      <c r="U6683">
        <v>173</v>
      </c>
      <c r="V6683">
        <v>0</v>
      </c>
      <c r="W6683">
        <v>132</v>
      </c>
      <c r="X6683">
        <v>406</v>
      </c>
      <c r="Y6683">
        <v>0</v>
      </c>
      <c r="Z6683">
        <v>91</v>
      </c>
      <c r="AA6683">
        <v>0</v>
      </c>
      <c r="AB6683">
        <v>5.8596630000000003</v>
      </c>
      <c r="AC6683">
        <v>8.7203689999999998</v>
      </c>
      <c r="AD6683">
        <v>4.0730500000000003</v>
      </c>
      <c r="AE6683">
        <v>0.45432030000000001</v>
      </c>
      <c r="AF6683">
        <v>426.25549999999998</v>
      </c>
      <c r="AG6683">
        <f>IFERROR(AH6683*0.1, "N/A")</f>
        <v>7.037815000000001</v>
      </c>
      <c r="AH6683">
        <v>70.378150000000005</v>
      </c>
      <c r="AI6683">
        <v>122.91200000000001</v>
      </c>
      <c r="AJ6683">
        <v>17</v>
      </c>
      <c r="AK6683">
        <v>63.378149999999998</v>
      </c>
    </row>
    <row r="6684" spans="1:37" x14ac:dyDescent="0.3">
      <c r="A6684">
        <v>6683</v>
      </c>
      <c r="B6684">
        <v>67.2</v>
      </c>
      <c r="C6684">
        <v>-3.5255999999999998</v>
      </c>
      <c r="D6684">
        <v>14.332700000000001</v>
      </c>
      <c r="E6684">
        <f>-3.5256-14.3327</f>
        <v>-17.8583</v>
      </c>
      <c r="F6684" t="s">
        <v>10120</v>
      </c>
      <c r="G6684" t="s">
        <v>39</v>
      </c>
      <c r="H6684">
        <v>1990</v>
      </c>
      <c r="I6684">
        <v>26.305199999999999</v>
      </c>
      <c r="J6684">
        <v>13.9</v>
      </c>
      <c r="K6684">
        <v>54</v>
      </c>
      <c r="L6684">
        <v>29.504259999999999</v>
      </c>
      <c r="M6684">
        <v>38.4</v>
      </c>
      <c r="N6684">
        <v>13.1</v>
      </c>
      <c r="O6684">
        <v>25.3</v>
      </c>
      <c r="P6684">
        <v>26.305199999999999</v>
      </c>
      <c r="Q6684">
        <v>22.299330000000001</v>
      </c>
      <c r="R6684">
        <v>30.200669999999999</v>
      </c>
      <c r="S6684">
        <v>22.299330000000001</v>
      </c>
      <c r="T6684">
        <v>522</v>
      </c>
      <c r="U6684">
        <v>173</v>
      </c>
      <c r="V6684">
        <v>0</v>
      </c>
      <c r="W6684">
        <v>132</v>
      </c>
      <c r="X6684">
        <v>407</v>
      </c>
      <c r="Y6684">
        <v>0</v>
      </c>
      <c r="Z6684">
        <v>91</v>
      </c>
      <c r="AA6684">
        <v>0</v>
      </c>
      <c r="AB6684">
        <v>20.015930000000001</v>
      </c>
      <c r="AC6684">
        <v>2.0313939999999999E-2</v>
      </c>
      <c r="AD6684">
        <v>6.4503839999999997</v>
      </c>
      <c r="AE6684">
        <v>0.28140490000000001</v>
      </c>
      <c r="AF6684">
        <v>465.89260000000002</v>
      </c>
      <c r="AG6684">
        <f>IFERROR(AH6684*0.1, "N/A")</f>
        <v>6.7052009999999997</v>
      </c>
      <c r="AH6684">
        <v>67.052009999999996</v>
      </c>
      <c r="AI6684">
        <v>217.2184</v>
      </c>
      <c r="AJ6684">
        <v>18.401009999999999</v>
      </c>
      <c r="AK6684">
        <v>62.434559999999998</v>
      </c>
    </row>
    <row r="6685" spans="1:37" x14ac:dyDescent="0.3">
      <c r="A6685">
        <v>6684</v>
      </c>
      <c r="B6685">
        <v>4.9000000000000004</v>
      </c>
      <c r="C6685">
        <v>-3.5255999999999998</v>
      </c>
      <c r="D6685">
        <v>14.332700000000001</v>
      </c>
      <c r="E6685">
        <f>-3.5256-14.3327</f>
        <v>-17.8583</v>
      </c>
      <c r="F6685" t="s">
        <v>10121</v>
      </c>
      <c r="G6685" t="s">
        <v>37</v>
      </c>
      <c r="H6685">
        <v>1990</v>
      </c>
      <c r="I6685">
        <v>26.305199999999999</v>
      </c>
      <c r="J6685">
        <v>13.9</v>
      </c>
      <c r="K6685">
        <v>54</v>
      </c>
      <c r="L6685">
        <v>29.504259999999999</v>
      </c>
      <c r="M6685">
        <v>38.4</v>
      </c>
      <c r="N6685">
        <v>13.1</v>
      </c>
      <c r="O6685">
        <v>25.3</v>
      </c>
      <c r="P6685">
        <v>26.305199999999999</v>
      </c>
      <c r="Q6685">
        <v>22.299330000000001</v>
      </c>
      <c r="R6685">
        <v>30.200669999999999</v>
      </c>
      <c r="S6685">
        <v>22.299330000000001</v>
      </c>
      <c r="T6685">
        <v>522</v>
      </c>
      <c r="U6685">
        <v>173</v>
      </c>
      <c r="V6685">
        <v>0</v>
      </c>
      <c r="W6685">
        <v>132</v>
      </c>
      <c r="X6685">
        <v>407</v>
      </c>
      <c r="Y6685">
        <v>0</v>
      </c>
      <c r="Z6685">
        <v>91</v>
      </c>
      <c r="AA6685">
        <v>0</v>
      </c>
      <c r="AB6685">
        <v>20.015930000000001</v>
      </c>
      <c r="AC6685">
        <v>2.0313939999999999E-2</v>
      </c>
      <c r="AD6685">
        <v>6.4503839999999997</v>
      </c>
      <c r="AE6685">
        <v>0.28140490000000001</v>
      </c>
      <c r="AF6685">
        <v>465.89260000000002</v>
      </c>
      <c r="AG6685">
        <f>IFERROR(AH6685*0.1, "N/A")</f>
        <v>6.7052009999999997</v>
      </c>
      <c r="AH6685">
        <v>67.052009999999996</v>
      </c>
      <c r="AI6685">
        <v>217.2184</v>
      </c>
      <c r="AJ6685">
        <v>18.401009999999999</v>
      </c>
      <c r="AK6685">
        <v>62.434559999999998</v>
      </c>
    </row>
    <row r="6686" spans="1:37" x14ac:dyDescent="0.3">
      <c r="A6686">
        <v>6685</v>
      </c>
      <c r="B6686">
        <v>47.3</v>
      </c>
      <c r="C6686">
        <v>-3.552</v>
      </c>
      <c r="D6686">
        <v>14.333</v>
      </c>
      <c r="E6686">
        <f>-3.552-14.333</f>
        <v>-17.885000000000002</v>
      </c>
      <c r="F6686" t="s">
        <v>10122</v>
      </c>
      <c r="G6686" t="s">
        <v>39</v>
      </c>
      <c r="H6686">
        <v>1987</v>
      </c>
      <c r="I6686">
        <v>26.5</v>
      </c>
      <c r="J6686">
        <v>13.9</v>
      </c>
      <c r="K6686">
        <v>54.131309999999999</v>
      </c>
      <c r="L6686">
        <v>29.715150000000001</v>
      </c>
      <c r="M6686">
        <v>38.586869999999998</v>
      </c>
      <c r="N6686">
        <v>13.3</v>
      </c>
      <c r="O6686">
        <v>25.28687</v>
      </c>
      <c r="P6686">
        <v>26.5</v>
      </c>
      <c r="Q6686">
        <v>22.413129999999999</v>
      </c>
      <c r="R6686">
        <v>30.4</v>
      </c>
      <c r="S6686">
        <v>22.413129999999999</v>
      </c>
      <c r="T6686">
        <v>521</v>
      </c>
      <c r="U6686">
        <v>173</v>
      </c>
      <c r="V6686">
        <v>0</v>
      </c>
      <c r="W6686">
        <v>132</v>
      </c>
      <c r="X6686">
        <v>406</v>
      </c>
      <c r="Y6686">
        <v>0</v>
      </c>
      <c r="Z6686">
        <v>91</v>
      </c>
      <c r="AA6686">
        <v>0</v>
      </c>
      <c r="AB6686">
        <v>7.9782780000000004</v>
      </c>
      <c r="AC6686">
        <v>1.743867E-2</v>
      </c>
      <c r="AD6686">
        <v>2.1135920000000001</v>
      </c>
      <c r="AE6686">
        <v>0.4331834</v>
      </c>
      <c r="AF6686">
        <v>427.63470000000001</v>
      </c>
      <c r="AG6686">
        <f>IFERROR(AH6686*0.1, "N/A")</f>
        <v>7.0430980000000005</v>
      </c>
      <c r="AH6686">
        <v>70.430980000000005</v>
      </c>
      <c r="AI6686">
        <v>175.33690000000001</v>
      </c>
      <c r="AJ6686">
        <v>16.255890000000001</v>
      </c>
      <c r="AK6686">
        <v>65.567340000000002</v>
      </c>
    </row>
    <row r="6687" spans="1:37" x14ac:dyDescent="0.3">
      <c r="A6687">
        <v>6686</v>
      </c>
      <c r="B6687">
        <v>0</v>
      </c>
      <c r="C6687">
        <v>-3.552</v>
      </c>
      <c r="D6687">
        <v>14.333</v>
      </c>
      <c r="E6687">
        <f>-3.552-14.333</f>
        <v>-17.885000000000002</v>
      </c>
      <c r="F6687" t="s">
        <v>10123</v>
      </c>
      <c r="G6687" t="s">
        <v>37</v>
      </c>
      <c r="H6687">
        <v>1987</v>
      </c>
      <c r="I6687">
        <v>26.5</v>
      </c>
      <c r="J6687">
        <v>13.9</v>
      </c>
      <c r="K6687">
        <v>54.131309999999999</v>
      </c>
      <c r="L6687">
        <v>29.715150000000001</v>
      </c>
      <c r="M6687">
        <v>38.586869999999998</v>
      </c>
      <c r="N6687">
        <v>13.3</v>
      </c>
      <c r="O6687">
        <v>25.28687</v>
      </c>
      <c r="P6687">
        <v>26.5</v>
      </c>
      <c r="Q6687">
        <v>22.413129999999999</v>
      </c>
      <c r="R6687">
        <v>30.4</v>
      </c>
      <c r="S6687">
        <v>22.413129999999999</v>
      </c>
      <c r="T6687">
        <v>521</v>
      </c>
      <c r="U6687">
        <v>173</v>
      </c>
      <c r="V6687">
        <v>0</v>
      </c>
      <c r="W6687">
        <v>132</v>
      </c>
      <c r="X6687">
        <v>406</v>
      </c>
      <c r="Y6687">
        <v>0</v>
      </c>
      <c r="Z6687">
        <v>91</v>
      </c>
      <c r="AA6687">
        <v>0</v>
      </c>
      <c r="AB6687">
        <v>7.9782780000000004</v>
      </c>
      <c r="AC6687">
        <v>1.743867E-2</v>
      </c>
      <c r="AD6687">
        <v>2.1135920000000001</v>
      </c>
      <c r="AE6687">
        <v>0.4331834</v>
      </c>
      <c r="AF6687">
        <v>427.63470000000001</v>
      </c>
      <c r="AG6687">
        <f>IFERROR(AH6687*0.1, "N/A")</f>
        <v>7.0430980000000005</v>
      </c>
      <c r="AH6687">
        <v>70.430980000000005</v>
      </c>
      <c r="AI6687">
        <v>175.33690000000001</v>
      </c>
      <c r="AJ6687">
        <v>16.255890000000001</v>
      </c>
      <c r="AK6687">
        <v>65.567340000000002</v>
      </c>
    </row>
    <row r="6688" spans="1:37" x14ac:dyDescent="0.3">
      <c r="A6688">
        <v>6687</v>
      </c>
      <c r="B6688">
        <v>16</v>
      </c>
      <c r="C6688">
        <v>-6.0021699999999996</v>
      </c>
      <c r="D6688">
        <v>14.3338</v>
      </c>
      <c r="E6688">
        <f>-6.00217-14.3338</f>
        <v>-20.33597</v>
      </c>
      <c r="F6688" t="s">
        <v>10124</v>
      </c>
      <c r="G6688" t="s">
        <v>39</v>
      </c>
      <c r="H6688">
        <v>1987</v>
      </c>
      <c r="I6688">
        <v>27.3</v>
      </c>
      <c r="J6688">
        <v>15.7</v>
      </c>
      <c r="K6688">
        <v>57</v>
      </c>
      <c r="L6688">
        <v>28.8</v>
      </c>
      <c r="M6688">
        <v>39.9</v>
      </c>
      <c r="N6688">
        <v>12.6</v>
      </c>
      <c r="O6688">
        <v>27.3</v>
      </c>
      <c r="P6688">
        <v>27.3</v>
      </c>
      <c r="Q6688">
        <v>23.4</v>
      </c>
      <c r="R6688">
        <v>31.2</v>
      </c>
      <c r="S6688">
        <v>23.4</v>
      </c>
      <c r="T6688">
        <v>534.26089999999999</v>
      </c>
      <c r="U6688">
        <v>199.26089999999999</v>
      </c>
      <c r="V6688">
        <v>0</v>
      </c>
      <c r="W6688">
        <v>143.26089999999999</v>
      </c>
      <c r="X6688">
        <v>439.26089999999999</v>
      </c>
      <c r="Y6688">
        <v>0</v>
      </c>
      <c r="Z6688">
        <v>75</v>
      </c>
      <c r="AA6688">
        <v>0</v>
      </c>
      <c r="AB6688">
        <v>2.143084</v>
      </c>
      <c r="AC6688">
        <v>1.021208E-2</v>
      </c>
      <c r="AD6688">
        <v>1.1302859999999999</v>
      </c>
      <c r="AE6688">
        <v>0.38137539999999998</v>
      </c>
      <c r="AF6688">
        <v>277.6044</v>
      </c>
      <c r="AG6688">
        <f>IFERROR(AH6688*0.1, "N/A")</f>
        <v>6.5922560000000008</v>
      </c>
      <c r="AH6688">
        <v>65.922560000000004</v>
      </c>
      <c r="AI6688">
        <v>138.2159</v>
      </c>
      <c r="AJ6688">
        <v>28.341750000000001</v>
      </c>
      <c r="AK6688">
        <v>47.787880000000001</v>
      </c>
    </row>
    <row r="6689" spans="1:37" x14ac:dyDescent="0.3">
      <c r="A6689">
        <v>6688</v>
      </c>
      <c r="B6689">
        <v>15</v>
      </c>
      <c r="C6689">
        <v>-6.0021699999999996</v>
      </c>
      <c r="D6689">
        <v>14.3338</v>
      </c>
      <c r="E6689">
        <f>-6.00217-14.3338</f>
        <v>-20.33597</v>
      </c>
      <c r="F6689" t="s">
        <v>10125</v>
      </c>
      <c r="G6689" t="s">
        <v>37</v>
      </c>
      <c r="H6689">
        <v>1987</v>
      </c>
      <c r="I6689">
        <v>27.3</v>
      </c>
      <c r="J6689">
        <v>15.7</v>
      </c>
      <c r="K6689">
        <v>57</v>
      </c>
      <c r="L6689">
        <v>28.8</v>
      </c>
      <c r="M6689">
        <v>39.9</v>
      </c>
      <c r="N6689">
        <v>12.6</v>
      </c>
      <c r="O6689">
        <v>27.3</v>
      </c>
      <c r="P6689">
        <v>27.3</v>
      </c>
      <c r="Q6689">
        <v>23.4</v>
      </c>
      <c r="R6689">
        <v>31.2</v>
      </c>
      <c r="S6689">
        <v>23.4</v>
      </c>
      <c r="T6689">
        <v>534.26089999999999</v>
      </c>
      <c r="U6689">
        <v>199.26089999999999</v>
      </c>
      <c r="V6689">
        <v>0</v>
      </c>
      <c r="W6689">
        <v>143.26089999999999</v>
      </c>
      <c r="X6689">
        <v>439.26089999999999</v>
      </c>
      <c r="Y6689">
        <v>0</v>
      </c>
      <c r="Z6689">
        <v>75</v>
      </c>
      <c r="AA6689">
        <v>0</v>
      </c>
      <c r="AB6689">
        <v>2.143084</v>
      </c>
      <c r="AC6689">
        <v>1.021208E-2</v>
      </c>
      <c r="AD6689">
        <v>1.1302859999999999</v>
      </c>
      <c r="AE6689">
        <v>0.38137539999999998</v>
      </c>
      <c r="AF6689">
        <v>277.6044</v>
      </c>
      <c r="AG6689">
        <f>IFERROR(AH6689*0.1, "N/A")</f>
        <v>6.5922560000000008</v>
      </c>
      <c r="AH6689">
        <v>65.922560000000004</v>
      </c>
      <c r="AI6689">
        <v>138.2159</v>
      </c>
      <c r="AJ6689">
        <v>28.341750000000001</v>
      </c>
      <c r="AK6689">
        <v>47.787880000000001</v>
      </c>
    </row>
    <row r="6690" spans="1:37" x14ac:dyDescent="0.3">
      <c r="A6690">
        <v>6689</v>
      </c>
      <c r="B6690">
        <v>51.5</v>
      </c>
      <c r="C6690">
        <v>-6.0214800000000004</v>
      </c>
      <c r="D6690">
        <v>14.335599999999999</v>
      </c>
      <c r="E6690">
        <f>-6.02148-14.3356</f>
        <v>-20.35708</v>
      </c>
      <c r="F6690" t="s">
        <v>10126</v>
      </c>
      <c r="G6690" t="s">
        <v>39</v>
      </c>
      <c r="H6690">
        <v>1990</v>
      </c>
      <c r="I6690">
        <v>27.3</v>
      </c>
      <c r="J6690">
        <v>15.7</v>
      </c>
      <c r="K6690">
        <v>57</v>
      </c>
      <c r="L6690">
        <v>28.68</v>
      </c>
      <c r="M6690">
        <v>39.9</v>
      </c>
      <c r="N6690">
        <v>12.6</v>
      </c>
      <c r="O6690">
        <v>27.3</v>
      </c>
      <c r="P6690">
        <v>27.3</v>
      </c>
      <c r="Q6690">
        <v>23.4</v>
      </c>
      <c r="R6690">
        <v>31.2</v>
      </c>
      <c r="S6690">
        <v>23.4</v>
      </c>
      <c r="T6690">
        <v>534</v>
      </c>
      <c r="U6690">
        <v>199</v>
      </c>
      <c r="V6690">
        <v>0</v>
      </c>
      <c r="W6690">
        <v>143</v>
      </c>
      <c r="X6690">
        <v>439</v>
      </c>
      <c r="Y6690">
        <v>0</v>
      </c>
      <c r="Z6690">
        <v>75</v>
      </c>
      <c r="AA6690">
        <v>0</v>
      </c>
      <c r="AB6690">
        <v>1.0341199999999999</v>
      </c>
      <c r="AC6690">
        <v>8.6767560000000007E-3</v>
      </c>
      <c r="AD6690">
        <v>1.8499890000000001</v>
      </c>
      <c r="AE6690">
        <v>0.43888860000000002</v>
      </c>
      <c r="AF6690">
        <v>278.5378</v>
      </c>
      <c r="AG6690">
        <f>IFERROR(AH6690*0.1, "N/A")</f>
        <v>6.1000000000000005</v>
      </c>
      <c r="AH6690">
        <v>61</v>
      </c>
      <c r="AI6690">
        <v>212.76759999999999</v>
      </c>
      <c r="AJ6690">
        <v>23</v>
      </c>
      <c r="AK6690">
        <v>53</v>
      </c>
    </row>
    <row r="6691" spans="1:37" x14ac:dyDescent="0.3">
      <c r="A6691">
        <v>6690</v>
      </c>
      <c r="B6691">
        <v>63.8</v>
      </c>
      <c r="C6691">
        <v>-6.0214800000000004</v>
      </c>
      <c r="D6691">
        <v>14.335599999999999</v>
      </c>
      <c r="E6691">
        <f>-6.02148-14.3356</f>
        <v>-20.35708</v>
      </c>
      <c r="F6691" t="s">
        <v>10127</v>
      </c>
      <c r="G6691" t="s">
        <v>37</v>
      </c>
      <c r="H6691">
        <v>1990</v>
      </c>
      <c r="I6691">
        <v>27.3</v>
      </c>
      <c r="J6691">
        <v>15.7</v>
      </c>
      <c r="K6691">
        <v>57</v>
      </c>
      <c r="L6691">
        <v>28.68</v>
      </c>
      <c r="M6691">
        <v>39.9</v>
      </c>
      <c r="N6691">
        <v>12.6</v>
      </c>
      <c r="O6691">
        <v>27.3</v>
      </c>
      <c r="P6691">
        <v>27.3</v>
      </c>
      <c r="Q6691">
        <v>23.4</v>
      </c>
      <c r="R6691">
        <v>31.2</v>
      </c>
      <c r="S6691">
        <v>23.4</v>
      </c>
      <c r="T6691">
        <v>534</v>
      </c>
      <c r="U6691">
        <v>199</v>
      </c>
      <c r="V6691">
        <v>0</v>
      </c>
      <c r="W6691">
        <v>143</v>
      </c>
      <c r="X6691">
        <v>439</v>
      </c>
      <c r="Y6691">
        <v>0</v>
      </c>
      <c r="Z6691">
        <v>75</v>
      </c>
      <c r="AA6691">
        <v>0</v>
      </c>
      <c r="AB6691">
        <v>1.0341199999999999</v>
      </c>
      <c r="AC6691">
        <v>8.6767560000000007E-3</v>
      </c>
      <c r="AD6691">
        <v>1.8499890000000001</v>
      </c>
      <c r="AE6691">
        <v>0.43888860000000002</v>
      </c>
      <c r="AF6691">
        <v>278.5378</v>
      </c>
      <c r="AG6691">
        <f>IFERROR(AH6691*0.1, "N/A")</f>
        <v>6.1000000000000005</v>
      </c>
      <c r="AH6691">
        <v>61</v>
      </c>
      <c r="AI6691">
        <v>212.76759999999999</v>
      </c>
      <c r="AJ6691">
        <v>23</v>
      </c>
      <c r="AK6691">
        <v>53</v>
      </c>
    </row>
    <row r="6692" spans="1:37" x14ac:dyDescent="0.3">
      <c r="A6692">
        <v>6691</v>
      </c>
      <c r="B6692">
        <v>30.3</v>
      </c>
      <c r="C6692">
        <v>-3.3887900000000002</v>
      </c>
      <c r="D6692">
        <v>14.339499999999999</v>
      </c>
      <c r="E6692">
        <f>-3.38879-14.3395</f>
        <v>-17.728290000000001</v>
      </c>
      <c r="F6692" t="s">
        <v>10128</v>
      </c>
      <c r="G6692" t="s">
        <v>39</v>
      </c>
      <c r="H6692">
        <v>1990</v>
      </c>
      <c r="I6692">
        <v>27.3</v>
      </c>
      <c r="J6692">
        <v>13.9</v>
      </c>
      <c r="K6692">
        <v>54</v>
      </c>
      <c r="L6692">
        <v>29.62</v>
      </c>
      <c r="M6692">
        <v>39.299999999999997</v>
      </c>
      <c r="N6692">
        <v>14</v>
      </c>
      <c r="O6692">
        <v>25.3</v>
      </c>
      <c r="P6692">
        <v>27.2</v>
      </c>
      <c r="Q6692">
        <v>23.1</v>
      </c>
      <c r="R6692">
        <v>31.2</v>
      </c>
      <c r="S6692">
        <v>23.1</v>
      </c>
      <c r="T6692">
        <v>510</v>
      </c>
      <c r="U6692">
        <v>169</v>
      </c>
      <c r="V6692">
        <v>0</v>
      </c>
      <c r="W6692">
        <v>132</v>
      </c>
      <c r="X6692">
        <v>397</v>
      </c>
      <c r="Y6692">
        <v>0</v>
      </c>
      <c r="Z6692">
        <v>89</v>
      </c>
      <c r="AA6692">
        <v>0</v>
      </c>
      <c r="AB6692">
        <v>14.268689999999999</v>
      </c>
      <c r="AC6692">
        <v>7.7526529999999996</v>
      </c>
      <c r="AD6692">
        <v>7.4682320000000004</v>
      </c>
      <c r="AE6692">
        <v>0.3406708</v>
      </c>
      <c r="AF6692">
        <v>334.17169999999999</v>
      </c>
      <c r="AG6692">
        <f>IFERROR(AH6692*0.1, "N/A")</f>
        <v>7.3000000000000007</v>
      </c>
      <c r="AH6692">
        <v>73</v>
      </c>
      <c r="AI6692">
        <v>118.6525</v>
      </c>
      <c r="AJ6692">
        <v>16.36364</v>
      </c>
      <c r="AK6692">
        <v>68.831649999999996</v>
      </c>
    </row>
    <row r="6693" spans="1:37" x14ac:dyDescent="0.3">
      <c r="A6693">
        <v>6692</v>
      </c>
      <c r="B6693">
        <v>8.9</v>
      </c>
      <c r="C6693">
        <v>-3.3887900000000002</v>
      </c>
      <c r="D6693">
        <v>14.339499999999999</v>
      </c>
      <c r="E6693">
        <f>-3.38879-14.3395</f>
        <v>-17.728290000000001</v>
      </c>
      <c r="F6693" t="s">
        <v>10129</v>
      </c>
      <c r="G6693" t="s">
        <v>37</v>
      </c>
      <c r="H6693">
        <v>1990</v>
      </c>
      <c r="I6693">
        <v>27.3</v>
      </c>
      <c r="J6693">
        <v>13.9</v>
      </c>
      <c r="K6693">
        <v>54</v>
      </c>
      <c r="L6693">
        <v>29.62</v>
      </c>
      <c r="M6693">
        <v>39.299999999999997</v>
      </c>
      <c r="N6693">
        <v>14</v>
      </c>
      <c r="O6693">
        <v>25.3</v>
      </c>
      <c r="P6693">
        <v>27.2</v>
      </c>
      <c r="Q6693">
        <v>23.1</v>
      </c>
      <c r="R6693">
        <v>31.2</v>
      </c>
      <c r="S6693">
        <v>23.1</v>
      </c>
      <c r="T6693">
        <v>510</v>
      </c>
      <c r="U6693">
        <v>169</v>
      </c>
      <c r="V6693">
        <v>0</v>
      </c>
      <c r="W6693">
        <v>132</v>
      </c>
      <c r="X6693">
        <v>397</v>
      </c>
      <c r="Y6693">
        <v>0</v>
      </c>
      <c r="Z6693">
        <v>89</v>
      </c>
      <c r="AA6693">
        <v>0</v>
      </c>
      <c r="AB6693">
        <v>14.268689999999999</v>
      </c>
      <c r="AC6693">
        <v>7.7526529999999996</v>
      </c>
      <c r="AD6693">
        <v>7.4682320000000004</v>
      </c>
      <c r="AE6693">
        <v>0.3406708</v>
      </c>
      <c r="AF6693">
        <v>334.17169999999999</v>
      </c>
      <c r="AG6693">
        <f>IFERROR(AH6693*0.1, "N/A")</f>
        <v>7.3000000000000007</v>
      </c>
      <c r="AH6693">
        <v>73</v>
      </c>
      <c r="AI6693">
        <v>118.6525</v>
      </c>
      <c r="AJ6693">
        <v>16.36364</v>
      </c>
      <c r="AK6693">
        <v>68.831649999999996</v>
      </c>
    </row>
    <row r="6694" spans="1:37" x14ac:dyDescent="0.3">
      <c r="A6694">
        <v>6693</v>
      </c>
      <c r="B6694">
        <v>88.3</v>
      </c>
      <c r="C6694">
        <v>-5.9450000000000003</v>
      </c>
      <c r="D6694">
        <v>14.340299999999999</v>
      </c>
      <c r="E6694">
        <f>-5.945-14.3403</f>
        <v>-20.285299999999999</v>
      </c>
      <c r="F6694" t="s">
        <v>10130</v>
      </c>
      <c r="G6694" t="s">
        <v>37</v>
      </c>
      <c r="H6694">
        <v>2004</v>
      </c>
      <c r="I6694">
        <v>27.3</v>
      </c>
      <c r="J6694">
        <v>15.7</v>
      </c>
      <c r="K6694">
        <v>57</v>
      </c>
      <c r="L6694">
        <v>28.86</v>
      </c>
      <c r="M6694">
        <v>40</v>
      </c>
      <c r="N6694">
        <v>12.5</v>
      </c>
      <c r="O6694">
        <v>27.5</v>
      </c>
      <c r="P6694">
        <v>27.3</v>
      </c>
      <c r="Q6694">
        <v>23.3</v>
      </c>
      <c r="R6694">
        <v>31.1</v>
      </c>
      <c r="S6694">
        <v>23.3</v>
      </c>
      <c r="T6694">
        <v>535</v>
      </c>
      <c r="U6694">
        <v>200</v>
      </c>
      <c r="V6694">
        <v>0</v>
      </c>
      <c r="W6694">
        <v>144</v>
      </c>
      <c r="X6694">
        <v>440</v>
      </c>
      <c r="Y6694">
        <v>0</v>
      </c>
      <c r="Z6694">
        <v>75</v>
      </c>
      <c r="AA6694">
        <v>0</v>
      </c>
      <c r="AB6694">
        <v>0.51583319999999999</v>
      </c>
      <c r="AC6694">
        <v>1.003517</v>
      </c>
      <c r="AD6694">
        <v>1.2769999999999999</v>
      </c>
      <c r="AE6694">
        <v>0.66688899999999995</v>
      </c>
      <c r="AF6694">
        <v>276.45119999999997</v>
      </c>
      <c r="AG6694">
        <f>IFERROR(AH6694*0.1, "N/A")</f>
        <v>6.2397309999999999</v>
      </c>
      <c r="AH6694">
        <v>62.397309999999997</v>
      </c>
      <c r="AI6694">
        <v>81.468270000000004</v>
      </c>
      <c r="AJ6694">
        <v>22.198650000000001</v>
      </c>
      <c r="AK6694">
        <v>55.602690000000003</v>
      </c>
    </row>
    <row r="6695" spans="1:37" x14ac:dyDescent="0.3">
      <c r="A6695">
        <v>6694</v>
      </c>
      <c r="B6695">
        <v>67.3</v>
      </c>
      <c r="C6695">
        <v>-5.9450000000000003</v>
      </c>
      <c r="D6695">
        <v>14.340299999999999</v>
      </c>
      <c r="E6695">
        <f>-5.945-14.3403</f>
        <v>-20.285299999999999</v>
      </c>
      <c r="F6695" t="s">
        <v>10131</v>
      </c>
      <c r="G6695" t="s">
        <v>39</v>
      </c>
      <c r="H6695">
        <v>2004</v>
      </c>
      <c r="I6695">
        <v>27.3</v>
      </c>
      <c r="J6695">
        <v>15.7</v>
      </c>
      <c r="K6695">
        <v>57</v>
      </c>
      <c r="L6695">
        <v>28.86</v>
      </c>
      <c r="M6695">
        <v>40</v>
      </c>
      <c r="N6695">
        <v>12.5</v>
      </c>
      <c r="O6695">
        <v>27.5</v>
      </c>
      <c r="P6695">
        <v>27.3</v>
      </c>
      <c r="Q6695">
        <v>23.3</v>
      </c>
      <c r="R6695">
        <v>31.1</v>
      </c>
      <c r="S6695">
        <v>23.3</v>
      </c>
      <c r="T6695">
        <v>535</v>
      </c>
      <c r="U6695">
        <v>200</v>
      </c>
      <c r="V6695">
        <v>0</v>
      </c>
      <c r="W6695">
        <v>144</v>
      </c>
      <c r="X6695">
        <v>440</v>
      </c>
      <c r="Y6695">
        <v>0</v>
      </c>
      <c r="Z6695">
        <v>75</v>
      </c>
      <c r="AA6695">
        <v>0</v>
      </c>
      <c r="AB6695">
        <v>0.51583319999999999</v>
      </c>
      <c r="AC6695">
        <v>1.003517</v>
      </c>
      <c r="AD6695">
        <v>1.2769999999999999</v>
      </c>
      <c r="AE6695">
        <v>0.66688899999999995</v>
      </c>
      <c r="AF6695">
        <v>276.45119999999997</v>
      </c>
      <c r="AG6695">
        <f>IFERROR(AH6695*0.1, "N/A")</f>
        <v>6.2397309999999999</v>
      </c>
      <c r="AH6695">
        <v>62.397309999999997</v>
      </c>
      <c r="AI6695">
        <v>81.468270000000004</v>
      </c>
      <c r="AJ6695">
        <v>22.198650000000001</v>
      </c>
      <c r="AK6695">
        <v>55.602690000000003</v>
      </c>
    </row>
    <row r="6696" spans="1:37" x14ac:dyDescent="0.3">
      <c r="A6696">
        <v>6695</v>
      </c>
      <c r="B6696">
        <v>63.4</v>
      </c>
      <c r="C6696">
        <v>-3.44109</v>
      </c>
      <c r="D6696">
        <v>14.3414</v>
      </c>
      <c r="E6696">
        <f>-3.44109-14.3414</f>
        <v>-17.782489999999999</v>
      </c>
      <c r="F6696" t="s">
        <v>10132</v>
      </c>
      <c r="G6696" t="s">
        <v>39</v>
      </c>
      <c r="H6696">
        <v>1990</v>
      </c>
      <c r="I6696">
        <v>26.09496</v>
      </c>
      <c r="J6696">
        <v>13.865209999999999</v>
      </c>
      <c r="K6696">
        <v>54.652099999999997</v>
      </c>
      <c r="L6696">
        <v>29.393730000000001</v>
      </c>
      <c r="M6696">
        <v>38.044539999999998</v>
      </c>
      <c r="N6696">
        <v>12.994960000000001</v>
      </c>
      <c r="O6696">
        <v>25.049579999999999</v>
      </c>
      <c r="P6696">
        <v>26.080169999999999</v>
      </c>
      <c r="Q6696">
        <v>22.02975</v>
      </c>
      <c r="R6696">
        <v>29.994959999999999</v>
      </c>
      <c r="S6696">
        <v>22.02975</v>
      </c>
      <c r="T6696">
        <v>526.65210000000002</v>
      </c>
      <c r="U6696">
        <v>173</v>
      </c>
      <c r="V6696">
        <v>0</v>
      </c>
      <c r="W6696">
        <v>132</v>
      </c>
      <c r="X6696">
        <v>408</v>
      </c>
      <c r="Y6696">
        <v>0</v>
      </c>
      <c r="Z6696">
        <v>92.652100000000004</v>
      </c>
      <c r="AA6696">
        <v>0</v>
      </c>
      <c r="AB6696">
        <v>4.8472309999999998</v>
      </c>
      <c r="AC6696">
        <v>3.5653190000000001E-2</v>
      </c>
      <c r="AD6696">
        <v>3.0683129999999998</v>
      </c>
      <c r="AE6696">
        <v>0.47627710000000001</v>
      </c>
      <c r="AF6696">
        <v>521.6</v>
      </c>
      <c r="AG6696">
        <f>IFERROR(AH6696*0.1, "N/A")</f>
        <v>7.2</v>
      </c>
      <c r="AH6696">
        <v>72</v>
      </c>
      <c r="AI6696">
        <v>149.81299999999999</v>
      </c>
      <c r="AJ6696">
        <v>15.60336</v>
      </c>
      <c r="AK6696">
        <v>68.378150000000005</v>
      </c>
    </row>
    <row r="6697" spans="1:37" x14ac:dyDescent="0.3">
      <c r="A6697">
        <v>6696</v>
      </c>
      <c r="B6697">
        <v>0</v>
      </c>
      <c r="C6697">
        <v>-3.44109</v>
      </c>
      <c r="D6697">
        <v>14.3414</v>
      </c>
      <c r="E6697">
        <f>-3.44109-14.3414</f>
        <v>-17.782489999999999</v>
      </c>
      <c r="F6697" t="s">
        <v>10133</v>
      </c>
      <c r="G6697" t="s">
        <v>37</v>
      </c>
      <c r="H6697">
        <v>1990</v>
      </c>
      <c r="I6697">
        <v>26.09496</v>
      </c>
      <c r="J6697">
        <v>13.865209999999999</v>
      </c>
      <c r="K6697">
        <v>54.652099999999997</v>
      </c>
      <c r="L6697">
        <v>29.393730000000001</v>
      </c>
      <c r="M6697">
        <v>38.044539999999998</v>
      </c>
      <c r="N6697">
        <v>12.994960000000001</v>
      </c>
      <c r="O6697">
        <v>25.049579999999999</v>
      </c>
      <c r="P6697">
        <v>26.080169999999999</v>
      </c>
      <c r="Q6697">
        <v>22.02975</v>
      </c>
      <c r="R6697">
        <v>29.994959999999999</v>
      </c>
      <c r="S6697">
        <v>22.02975</v>
      </c>
      <c r="T6697">
        <v>526.65210000000002</v>
      </c>
      <c r="U6697">
        <v>173</v>
      </c>
      <c r="V6697">
        <v>0</v>
      </c>
      <c r="W6697">
        <v>132</v>
      </c>
      <c r="X6697">
        <v>408</v>
      </c>
      <c r="Y6697">
        <v>0</v>
      </c>
      <c r="Z6697">
        <v>92.652100000000004</v>
      </c>
      <c r="AA6697">
        <v>0</v>
      </c>
      <c r="AB6697">
        <v>4.8472309999999998</v>
      </c>
      <c r="AC6697">
        <v>3.5653190000000001E-2</v>
      </c>
      <c r="AD6697">
        <v>3.0683129999999998</v>
      </c>
      <c r="AE6697">
        <v>0.47627710000000001</v>
      </c>
      <c r="AF6697">
        <v>521.6</v>
      </c>
      <c r="AG6697">
        <f>IFERROR(AH6697*0.1, "N/A")</f>
        <v>7.2</v>
      </c>
      <c r="AH6697">
        <v>72</v>
      </c>
      <c r="AI6697">
        <v>149.81299999999999</v>
      </c>
      <c r="AJ6697">
        <v>15.60336</v>
      </c>
      <c r="AK6697">
        <v>68.378150000000005</v>
      </c>
    </row>
    <row r="6698" spans="1:37" x14ac:dyDescent="0.3">
      <c r="A6698">
        <v>6697</v>
      </c>
      <c r="B6698">
        <v>93</v>
      </c>
      <c r="C6698">
        <v>-4.9580000000000002</v>
      </c>
      <c r="D6698">
        <v>14.346</v>
      </c>
      <c r="E6698">
        <f>-4.958-14.346</f>
        <v>-19.304000000000002</v>
      </c>
      <c r="F6698" t="s">
        <v>10134</v>
      </c>
      <c r="G6698" t="s">
        <v>39</v>
      </c>
      <c r="H6698">
        <v>1987</v>
      </c>
      <c r="I6698">
        <v>27</v>
      </c>
      <c r="J6698">
        <v>14.5</v>
      </c>
      <c r="K6698">
        <v>51</v>
      </c>
      <c r="L6698">
        <v>33.521210000000004</v>
      </c>
      <c r="M6698">
        <v>40.200000000000003</v>
      </c>
      <c r="N6698">
        <v>12</v>
      </c>
      <c r="O6698">
        <v>28.2</v>
      </c>
      <c r="P6698">
        <v>27.69698</v>
      </c>
      <c r="Q6698">
        <v>23.8</v>
      </c>
      <c r="R6698">
        <v>31.003019999999999</v>
      </c>
      <c r="S6698">
        <v>22.1</v>
      </c>
      <c r="T6698">
        <v>513.96979999999996</v>
      </c>
      <c r="U6698">
        <v>211</v>
      </c>
      <c r="V6698">
        <v>0</v>
      </c>
      <c r="W6698">
        <v>150</v>
      </c>
      <c r="X6698">
        <v>425</v>
      </c>
      <c r="Y6698">
        <v>0</v>
      </c>
      <c r="Z6698">
        <v>75.969800000000006</v>
      </c>
      <c r="AA6698">
        <v>1</v>
      </c>
      <c r="AB6698">
        <v>0.83657680000000001</v>
      </c>
      <c r="AC6698">
        <v>1.8658299999999999E-2</v>
      </c>
      <c r="AD6698">
        <v>1.3895839999999999</v>
      </c>
      <c r="AE6698">
        <v>0.28445609999999999</v>
      </c>
      <c r="AF6698">
        <v>270.36239999999998</v>
      </c>
      <c r="AG6698">
        <f>IFERROR(AH6698*0.1, "N/A")</f>
        <v>5.9030200000000006</v>
      </c>
      <c r="AH6698">
        <v>59.030200000000001</v>
      </c>
      <c r="AI6698">
        <v>197.96860000000001</v>
      </c>
      <c r="AJ6698">
        <v>16</v>
      </c>
      <c r="AK6698">
        <v>60</v>
      </c>
    </row>
    <row r="6699" spans="1:37" x14ac:dyDescent="0.3">
      <c r="A6699">
        <v>6698</v>
      </c>
      <c r="B6699">
        <v>0</v>
      </c>
      <c r="C6699">
        <v>-4.9580000000000002</v>
      </c>
      <c r="D6699">
        <v>14.346</v>
      </c>
      <c r="E6699">
        <f>-4.958-14.346</f>
        <v>-19.304000000000002</v>
      </c>
      <c r="F6699" t="s">
        <v>10135</v>
      </c>
      <c r="G6699" t="s">
        <v>37</v>
      </c>
      <c r="H6699">
        <v>1987</v>
      </c>
      <c r="I6699">
        <v>27</v>
      </c>
      <c r="J6699">
        <v>14.5</v>
      </c>
      <c r="K6699">
        <v>51</v>
      </c>
      <c r="L6699">
        <v>33.521210000000004</v>
      </c>
      <c r="M6699">
        <v>40.200000000000003</v>
      </c>
      <c r="N6699">
        <v>12</v>
      </c>
      <c r="O6699">
        <v>28.2</v>
      </c>
      <c r="P6699">
        <v>27.69698</v>
      </c>
      <c r="Q6699">
        <v>23.8</v>
      </c>
      <c r="R6699">
        <v>31.003019999999999</v>
      </c>
      <c r="S6699">
        <v>22.1</v>
      </c>
      <c r="T6699">
        <v>513.96979999999996</v>
      </c>
      <c r="U6699">
        <v>211</v>
      </c>
      <c r="V6699">
        <v>0</v>
      </c>
      <c r="W6699">
        <v>150</v>
      </c>
      <c r="X6699">
        <v>425</v>
      </c>
      <c r="Y6699">
        <v>0</v>
      </c>
      <c r="Z6699">
        <v>75.969800000000006</v>
      </c>
      <c r="AA6699">
        <v>1</v>
      </c>
      <c r="AB6699">
        <v>0.83657680000000001</v>
      </c>
      <c r="AC6699">
        <v>1.8658299999999999E-2</v>
      </c>
      <c r="AD6699">
        <v>1.3895839999999999</v>
      </c>
      <c r="AE6699">
        <v>0.28445609999999999</v>
      </c>
      <c r="AF6699">
        <v>270.36239999999998</v>
      </c>
      <c r="AG6699">
        <f>IFERROR(AH6699*0.1, "N/A")</f>
        <v>5.9030200000000006</v>
      </c>
      <c r="AH6699">
        <v>59.030200000000001</v>
      </c>
      <c r="AI6699">
        <v>197.96860000000001</v>
      </c>
      <c r="AJ6699">
        <v>16</v>
      </c>
      <c r="AK6699">
        <v>60</v>
      </c>
    </row>
    <row r="6700" spans="1:37" x14ac:dyDescent="0.3">
      <c r="A6700">
        <v>6699</v>
      </c>
      <c r="B6700">
        <v>48.9</v>
      </c>
      <c r="C6700">
        <v>-3.6087899999999999</v>
      </c>
      <c r="D6700">
        <v>14.348000000000001</v>
      </c>
      <c r="E6700">
        <f>-3.60879-14.348</f>
        <v>-17.956790000000002</v>
      </c>
      <c r="F6700" t="s">
        <v>10136</v>
      </c>
      <c r="G6700" t="s">
        <v>39</v>
      </c>
      <c r="H6700">
        <v>2006</v>
      </c>
      <c r="I6700">
        <v>26.770130000000002</v>
      </c>
      <c r="J6700">
        <v>13.9</v>
      </c>
      <c r="K6700">
        <v>54</v>
      </c>
      <c r="L6700">
        <v>29.743760000000002</v>
      </c>
      <c r="M6700">
        <v>38.799999999999997</v>
      </c>
      <c r="N6700">
        <v>13.4</v>
      </c>
      <c r="O6700">
        <v>25.4</v>
      </c>
      <c r="P6700">
        <v>26.7</v>
      </c>
      <c r="Q6700">
        <v>22.6</v>
      </c>
      <c r="R6700">
        <v>30.7</v>
      </c>
      <c r="S6700">
        <v>22.6</v>
      </c>
      <c r="T6700">
        <v>514</v>
      </c>
      <c r="U6700">
        <v>172</v>
      </c>
      <c r="V6700">
        <v>0</v>
      </c>
      <c r="W6700">
        <v>134</v>
      </c>
      <c r="X6700">
        <v>403</v>
      </c>
      <c r="Y6700">
        <v>0</v>
      </c>
      <c r="Z6700">
        <v>88</v>
      </c>
      <c r="AA6700">
        <v>0</v>
      </c>
      <c r="AB6700">
        <v>3.8959890000000001</v>
      </c>
      <c r="AC6700">
        <v>6.5873000000000001E-2</v>
      </c>
      <c r="AD6700">
        <v>1.6426860000000001</v>
      </c>
      <c r="AE6700">
        <v>0.60501369999999999</v>
      </c>
      <c r="AF6700">
        <v>385.00170000000003</v>
      </c>
      <c r="AG6700">
        <f>IFERROR(AH6700*0.1, "N/A")</f>
        <v>6.9986580000000007</v>
      </c>
      <c r="AH6700">
        <v>69.986580000000004</v>
      </c>
      <c r="AI6700">
        <v>237.45070000000001</v>
      </c>
      <c r="AJ6700">
        <v>22.687919999999998</v>
      </c>
      <c r="AK6700">
        <v>56.701340000000002</v>
      </c>
    </row>
    <row r="6701" spans="1:37" x14ac:dyDescent="0.3">
      <c r="A6701">
        <v>6700</v>
      </c>
      <c r="B6701">
        <v>11.9</v>
      </c>
      <c r="C6701">
        <v>-3.6087899999999999</v>
      </c>
      <c r="D6701">
        <v>14.348000000000001</v>
      </c>
      <c r="E6701">
        <f>-3.60879-14.348</f>
        <v>-17.956790000000002</v>
      </c>
      <c r="F6701" t="s">
        <v>10137</v>
      </c>
      <c r="G6701" t="s">
        <v>37</v>
      </c>
      <c r="H6701">
        <v>1990</v>
      </c>
      <c r="I6701">
        <v>26.770130000000002</v>
      </c>
      <c r="J6701">
        <v>13.9</v>
      </c>
      <c r="K6701">
        <v>54</v>
      </c>
      <c r="L6701">
        <v>29.743760000000002</v>
      </c>
      <c r="M6701">
        <v>38.799999999999997</v>
      </c>
      <c r="N6701">
        <v>13.4</v>
      </c>
      <c r="O6701">
        <v>25.4</v>
      </c>
      <c r="P6701">
        <v>26.7</v>
      </c>
      <c r="Q6701">
        <v>22.6</v>
      </c>
      <c r="R6701">
        <v>30.7</v>
      </c>
      <c r="S6701">
        <v>22.6</v>
      </c>
      <c r="T6701">
        <v>514</v>
      </c>
      <c r="U6701">
        <v>172</v>
      </c>
      <c r="V6701">
        <v>0</v>
      </c>
      <c r="W6701">
        <v>134</v>
      </c>
      <c r="X6701">
        <v>403</v>
      </c>
      <c r="Y6701">
        <v>0</v>
      </c>
      <c r="Z6701">
        <v>88</v>
      </c>
      <c r="AA6701">
        <v>0</v>
      </c>
      <c r="AB6701">
        <v>3.8959890000000001</v>
      </c>
      <c r="AC6701">
        <v>6.5873000000000001E-2</v>
      </c>
      <c r="AD6701">
        <v>1.6426860000000001</v>
      </c>
      <c r="AE6701">
        <v>0.60501369999999999</v>
      </c>
      <c r="AF6701">
        <v>385.00170000000003</v>
      </c>
      <c r="AG6701">
        <f>IFERROR(AH6701*0.1, "N/A")</f>
        <v>6.9986580000000007</v>
      </c>
      <c r="AH6701">
        <v>69.986580000000004</v>
      </c>
      <c r="AI6701">
        <v>237.45070000000001</v>
      </c>
      <c r="AJ6701">
        <v>22.687919999999998</v>
      </c>
      <c r="AK6701">
        <v>56.701340000000002</v>
      </c>
    </row>
    <row r="6702" spans="1:37" x14ac:dyDescent="0.3">
      <c r="A6702">
        <v>6701</v>
      </c>
      <c r="B6702">
        <v>1.8</v>
      </c>
      <c r="C6702">
        <v>-3.6166700000000001</v>
      </c>
      <c r="D6702">
        <v>14.35</v>
      </c>
      <c r="E6702">
        <f>-3.61667-14.35</f>
        <v>-17.966670000000001</v>
      </c>
      <c r="F6702" t="s">
        <v>10138</v>
      </c>
      <c r="G6702" t="s">
        <v>37</v>
      </c>
      <c r="H6702">
        <v>2005</v>
      </c>
      <c r="I6702">
        <v>26.8</v>
      </c>
      <c r="J6702">
        <v>13.9</v>
      </c>
      <c r="K6702">
        <v>54</v>
      </c>
      <c r="L6702">
        <v>29.79045</v>
      </c>
      <c r="M6702">
        <v>38.853769999999997</v>
      </c>
      <c r="N6702">
        <v>13.41357</v>
      </c>
      <c r="O6702">
        <v>25.440200000000001</v>
      </c>
      <c r="P6702">
        <v>26.776209999999999</v>
      </c>
      <c r="Q6702">
        <v>22.653770000000002</v>
      </c>
      <c r="R6702">
        <v>30.740200000000002</v>
      </c>
      <c r="S6702">
        <v>22.653770000000002</v>
      </c>
      <c r="T6702">
        <v>514</v>
      </c>
      <c r="U6702">
        <v>172</v>
      </c>
      <c r="V6702">
        <v>0</v>
      </c>
      <c r="W6702">
        <v>134</v>
      </c>
      <c r="X6702">
        <v>403</v>
      </c>
      <c r="Y6702">
        <v>0</v>
      </c>
      <c r="Z6702">
        <v>88</v>
      </c>
      <c r="AA6702">
        <v>0</v>
      </c>
      <c r="AB6702">
        <v>5.731007</v>
      </c>
      <c r="AC6702">
        <v>1.9306830000000001E-2</v>
      </c>
      <c r="AD6702">
        <v>1.0725420000000001</v>
      </c>
      <c r="AE6702">
        <v>0.5999814</v>
      </c>
      <c r="AF6702">
        <v>382.9162</v>
      </c>
      <c r="AG6702">
        <f>IFERROR(AH6702*0.1, "N/A")</f>
        <v>6.9924620000000006</v>
      </c>
      <c r="AH6702">
        <v>69.924620000000004</v>
      </c>
      <c r="AI6702">
        <v>156.13570000000001</v>
      </c>
      <c r="AJ6702">
        <v>20</v>
      </c>
      <c r="AK6702">
        <v>61.075380000000003</v>
      </c>
    </row>
    <row r="6703" spans="1:37" x14ac:dyDescent="0.3">
      <c r="A6703">
        <v>6702</v>
      </c>
      <c r="B6703">
        <v>25</v>
      </c>
      <c r="C6703">
        <v>-3.6166700000000001</v>
      </c>
      <c r="D6703">
        <v>14.35</v>
      </c>
      <c r="E6703">
        <f>-3.61667-14.35</f>
        <v>-17.966670000000001</v>
      </c>
      <c r="F6703" t="s">
        <v>10139</v>
      </c>
      <c r="G6703" t="s">
        <v>39</v>
      </c>
      <c r="H6703">
        <v>2005</v>
      </c>
      <c r="I6703">
        <v>26.8</v>
      </c>
      <c r="J6703">
        <v>13.9</v>
      </c>
      <c r="K6703">
        <v>54</v>
      </c>
      <c r="L6703">
        <v>29.79045</v>
      </c>
      <c r="M6703">
        <v>38.853769999999997</v>
      </c>
      <c r="N6703">
        <v>13.41357</v>
      </c>
      <c r="O6703">
        <v>25.440200000000001</v>
      </c>
      <c r="P6703">
        <v>26.776209999999999</v>
      </c>
      <c r="Q6703">
        <v>22.653770000000002</v>
      </c>
      <c r="R6703">
        <v>30.740200000000002</v>
      </c>
      <c r="S6703">
        <v>22.653770000000002</v>
      </c>
      <c r="T6703">
        <v>514</v>
      </c>
      <c r="U6703">
        <v>172</v>
      </c>
      <c r="V6703">
        <v>0</v>
      </c>
      <c r="W6703">
        <v>134</v>
      </c>
      <c r="X6703">
        <v>403</v>
      </c>
      <c r="Y6703">
        <v>0</v>
      </c>
      <c r="Z6703">
        <v>88</v>
      </c>
      <c r="AA6703">
        <v>0</v>
      </c>
      <c r="AB6703">
        <v>5.731007</v>
      </c>
      <c r="AC6703">
        <v>1.9306830000000001E-2</v>
      </c>
      <c r="AD6703">
        <v>1.0725420000000001</v>
      </c>
      <c r="AE6703">
        <v>0.5999814</v>
      </c>
      <c r="AF6703">
        <v>382.9162</v>
      </c>
      <c r="AG6703">
        <f>IFERROR(AH6703*0.1, "N/A")</f>
        <v>6.9924620000000006</v>
      </c>
      <c r="AH6703">
        <v>69.924620000000004</v>
      </c>
      <c r="AI6703">
        <v>156.13570000000001</v>
      </c>
      <c r="AJ6703">
        <v>20</v>
      </c>
      <c r="AK6703">
        <v>61.075380000000003</v>
      </c>
    </row>
    <row r="6704" spans="1:37" x14ac:dyDescent="0.3">
      <c r="A6704">
        <v>6703</v>
      </c>
      <c r="B6704">
        <v>31.7</v>
      </c>
      <c r="C6704">
        <v>-5.9859999999999998</v>
      </c>
      <c r="D6704">
        <v>14.353</v>
      </c>
      <c r="E6704">
        <f>-5.986-14.353</f>
        <v>-20.338999999999999</v>
      </c>
      <c r="F6704" t="s">
        <v>10140</v>
      </c>
      <c r="G6704" t="s">
        <v>39</v>
      </c>
      <c r="H6704">
        <v>1995</v>
      </c>
      <c r="I6704">
        <v>27.3</v>
      </c>
      <c r="J6704">
        <v>15.7</v>
      </c>
      <c r="K6704">
        <v>57</v>
      </c>
      <c r="L6704">
        <v>28.49</v>
      </c>
      <c r="M6704">
        <v>39.9</v>
      </c>
      <c r="N6704">
        <v>12.6</v>
      </c>
      <c r="O6704">
        <v>27.3</v>
      </c>
      <c r="P6704">
        <v>27.3</v>
      </c>
      <c r="Q6704">
        <v>23.4</v>
      </c>
      <c r="R6704">
        <v>31.1</v>
      </c>
      <c r="S6704">
        <v>23.4</v>
      </c>
      <c r="T6704">
        <v>533</v>
      </c>
      <c r="U6704">
        <v>199</v>
      </c>
      <c r="V6704">
        <v>0</v>
      </c>
      <c r="W6704">
        <v>143</v>
      </c>
      <c r="X6704">
        <v>438</v>
      </c>
      <c r="Y6704">
        <v>0</v>
      </c>
      <c r="Z6704">
        <v>75</v>
      </c>
      <c r="AA6704">
        <v>0</v>
      </c>
      <c r="AB6704">
        <v>0.48804950000000002</v>
      </c>
      <c r="AC6704">
        <v>1.8804339999999999E-2</v>
      </c>
      <c r="AD6704">
        <v>1.3291109999999999</v>
      </c>
      <c r="AE6704">
        <v>0.47038140000000001</v>
      </c>
      <c r="AF6704">
        <v>277.06229999999999</v>
      </c>
      <c r="AG6704">
        <f>IFERROR(AH6704*0.1, "N/A")</f>
        <v>6.3863640000000004</v>
      </c>
      <c r="AH6704">
        <v>63.863639999999997</v>
      </c>
      <c r="AI6704">
        <v>105.7329</v>
      </c>
      <c r="AJ6704">
        <v>31.297979999999999</v>
      </c>
      <c r="AK6704">
        <v>44.166670000000003</v>
      </c>
    </row>
    <row r="6705" spans="1:37" x14ac:dyDescent="0.3">
      <c r="A6705">
        <v>6704</v>
      </c>
      <c r="B6705">
        <v>39.799999999999997</v>
      </c>
      <c r="C6705">
        <v>-5.9859999999999998</v>
      </c>
      <c r="D6705">
        <v>14.353</v>
      </c>
      <c r="E6705">
        <f>-5.986-14.353</f>
        <v>-20.338999999999999</v>
      </c>
      <c r="F6705" t="s">
        <v>10141</v>
      </c>
      <c r="G6705" t="s">
        <v>37</v>
      </c>
      <c r="H6705">
        <v>1990</v>
      </c>
      <c r="I6705">
        <v>27.3</v>
      </c>
      <c r="J6705">
        <v>15.7</v>
      </c>
      <c r="K6705">
        <v>57</v>
      </c>
      <c r="L6705">
        <v>28.49</v>
      </c>
      <c r="M6705">
        <v>39.9</v>
      </c>
      <c r="N6705">
        <v>12.6</v>
      </c>
      <c r="O6705">
        <v>27.3</v>
      </c>
      <c r="P6705">
        <v>27.3</v>
      </c>
      <c r="Q6705">
        <v>23.4</v>
      </c>
      <c r="R6705">
        <v>31.1</v>
      </c>
      <c r="S6705">
        <v>23.4</v>
      </c>
      <c r="T6705">
        <v>533</v>
      </c>
      <c r="U6705">
        <v>199</v>
      </c>
      <c r="V6705">
        <v>0</v>
      </c>
      <c r="W6705">
        <v>143</v>
      </c>
      <c r="X6705">
        <v>438</v>
      </c>
      <c r="Y6705">
        <v>0</v>
      </c>
      <c r="Z6705">
        <v>75</v>
      </c>
      <c r="AA6705">
        <v>0</v>
      </c>
      <c r="AB6705">
        <v>0.48804950000000002</v>
      </c>
      <c r="AC6705">
        <v>1.8804339999999999E-2</v>
      </c>
      <c r="AD6705">
        <v>1.3291109999999999</v>
      </c>
      <c r="AE6705">
        <v>0.47038140000000001</v>
      </c>
      <c r="AF6705">
        <v>277.06229999999999</v>
      </c>
      <c r="AG6705">
        <f>IFERROR(AH6705*0.1, "N/A")</f>
        <v>6.3863640000000004</v>
      </c>
      <c r="AH6705">
        <v>63.863639999999997</v>
      </c>
      <c r="AI6705">
        <v>105.7329</v>
      </c>
      <c r="AJ6705">
        <v>31.297979999999999</v>
      </c>
      <c r="AK6705">
        <v>44.166670000000003</v>
      </c>
    </row>
    <row r="6706" spans="1:37" x14ac:dyDescent="0.3">
      <c r="A6706">
        <v>6705</v>
      </c>
      <c r="B6706">
        <v>23.1</v>
      </c>
      <c r="C6706">
        <v>-3.4763899999999999</v>
      </c>
      <c r="D6706">
        <v>14.3589</v>
      </c>
      <c r="E6706">
        <f>-3.47639-14.3589</f>
        <v>-17.835290000000001</v>
      </c>
      <c r="F6706" t="s">
        <v>10142</v>
      </c>
      <c r="G6706" t="s">
        <v>39</v>
      </c>
      <c r="H6706">
        <v>1990</v>
      </c>
      <c r="I6706">
        <v>26.269970000000001</v>
      </c>
      <c r="J6706">
        <v>13.9</v>
      </c>
      <c r="K6706">
        <v>54.300339999999998</v>
      </c>
      <c r="L6706">
        <v>29.741980000000002</v>
      </c>
      <c r="M6706">
        <v>38.339930000000003</v>
      </c>
      <c r="N6706">
        <v>13.06997</v>
      </c>
      <c r="O6706">
        <v>25.269970000000001</v>
      </c>
      <c r="P6706">
        <v>26.339929999999999</v>
      </c>
      <c r="Q6706">
        <v>22.169969999999999</v>
      </c>
      <c r="R6706">
        <v>30.169969999999999</v>
      </c>
      <c r="S6706">
        <v>22.169969999999999</v>
      </c>
      <c r="T6706">
        <v>520.60069999999996</v>
      </c>
      <c r="U6706">
        <v>172</v>
      </c>
      <c r="V6706">
        <v>0</v>
      </c>
      <c r="W6706">
        <v>131</v>
      </c>
      <c r="X6706">
        <v>405.30029999999999</v>
      </c>
      <c r="Y6706">
        <v>0</v>
      </c>
      <c r="Z6706">
        <v>90</v>
      </c>
      <c r="AA6706">
        <v>0</v>
      </c>
      <c r="AB6706">
        <v>2.2312110000000001</v>
      </c>
      <c r="AC6706">
        <v>2.3003179999999999</v>
      </c>
      <c r="AD6706">
        <v>3.5218560000000001</v>
      </c>
      <c r="AE6706">
        <v>0.28266920000000001</v>
      </c>
      <c r="AF6706">
        <v>486.85739999999998</v>
      </c>
      <c r="AG6706">
        <f>IFERROR(AH6706*0.1, "N/A")</f>
        <v>6.7941280000000006</v>
      </c>
      <c r="AH6706">
        <v>67.941280000000006</v>
      </c>
      <c r="AI6706">
        <v>144.06379999999999</v>
      </c>
      <c r="AJ6706">
        <v>16.058720000000001</v>
      </c>
      <c r="AK6706">
        <v>66</v>
      </c>
    </row>
    <row r="6707" spans="1:37" x14ac:dyDescent="0.3">
      <c r="A6707">
        <v>6706</v>
      </c>
      <c r="B6707">
        <v>0</v>
      </c>
      <c r="C6707">
        <v>-3.4763899999999999</v>
      </c>
      <c r="D6707">
        <v>14.3589</v>
      </c>
      <c r="E6707">
        <f>-3.47639-14.3589</f>
        <v>-17.835290000000001</v>
      </c>
      <c r="F6707" t="s">
        <v>10143</v>
      </c>
      <c r="G6707" t="s">
        <v>37</v>
      </c>
      <c r="H6707">
        <v>1990</v>
      </c>
      <c r="I6707">
        <v>26.269970000000001</v>
      </c>
      <c r="J6707">
        <v>13.9</v>
      </c>
      <c r="K6707">
        <v>54.300339999999998</v>
      </c>
      <c r="L6707">
        <v>29.741980000000002</v>
      </c>
      <c r="M6707">
        <v>38.339930000000003</v>
      </c>
      <c r="N6707">
        <v>13.06997</v>
      </c>
      <c r="O6707">
        <v>25.269970000000001</v>
      </c>
      <c r="P6707">
        <v>26.339929999999999</v>
      </c>
      <c r="Q6707">
        <v>22.169969999999999</v>
      </c>
      <c r="R6707">
        <v>30.169969999999999</v>
      </c>
      <c r="S6707">
        <v>22.169969999999999</v>
      </c>
      <c r="T6707">
        <v>520.60069999999996</v>
      </c>
      <c r="U6707">
        <v>172</v>
      </c>
      <c r="V6707">
        <v>0</v>
      </c>
      <c r="W6707">
        <v>131</v>
      </c>
      <c r="X6707">
        <v>405.30029999999999</v>
      </c>
      <c r="Y6707">
        <v>0</v>
      </c>
      <c r="Z6707">
        <v>90</v>
      </c>
      <c r="AA6707">
        <v>0</v>
      </c>
      <c r="AB6707">
        <v>2.2312110000000001</v>
      </c>
      <c r="AC6707">
        <v>2.3003179999999999</v>
      </c>
      <c r="AD6707">
        <v>3.5218560000000001</v>
      </c>
      <c r="AE6707">
        <v>0.28266920000000001</v>
      </c>
      <c r="AF6707">
        <v>486.85739999999998</v>
      </c>
      <c r="AG6707">
        <f>IFERROR(AH6707*0.1, "N/A")</f>
        <v>6.7941280000000006</v>
      </c>
      <c r="AH6707">
        <v>67.941280000000006</v>
      </c>
      <c r="AI6707">
        <v>144.06379999999999</v>
      </c>
      <c r="AJ6707">
        <v>16.058720000000001</v>
      </c>
      <c r="AK6707">
        <v>66</v>
      </c>
    </row>
    <row r="6708" spans="1:37" x14ac:dyDescent="0.3">
      <c r="A6708">
        <v>6707</v>
      </c>
      <c r="B6708">
        <v>81</v>
      </c>
      <c r="C6708">
        <v>-5.9132300000000004</v>
      </c>
      <c r="D6708">
        <v>14.3614</v>
      </c>
      <c r="E6708">
        <f>-5.91323-14.3614</f>
        <v>-20.274630000000002</v>
      </c>
      <c r="F6708" t="s">
        <v>10144</v>
      </c>
      <c r="G6708" t="s">
        <v>37</v>
      </c>
      <c r="H6708">
        <v>2004</v>
      </c>
      <c r="I6708">
        <v>27.2</v>
      </c>
      <c r="J6708">
        <v>15.7</v>
      </c>
      <c r="K6708">
        <v>57</v>
      </c>
      <c r="L6708">
        <v>28.56</v>
      </c>
      <c r="M6708">
        <v>39.9</v>
      </c>
      <c r="N6708">
        <v>12.6</v>
      </c>
      <c r="O6708">
        <v>27.3</v>
      </c>
      <c r="P6708">
        <v>27.2</v>
      </c>
      <c r="Q6708">
        <v>25</v>
      </c>
      <c r="R6708">
        <v>31</v>
      </c>
      <c r="S6708">
        <v>23.3</v>
      </c>
      <c r="T6708">
        <v>535</v>
      </c>
      <c r="U6708">
        <v>199</v>
      </c>
      <c r="V6708">
        <v>0</v>
      </c>
      <c r="W6708">
        <v>143</v>
      </c>
      <c r="X6708">
        <v>439</v>
      </c>
      <c r="Y6708">
        <v>1</v>
      </c>
      <c r="Z6708">
        <v>75</v>
      </c>
      <c r="AA6708">
        <v>1</v>
      </c>
      <c r="AB6708">
        <v>0.59965780000000002</v>
      </c>
      <c r="AC6708">
        <v>9.1786200000000002E-3</v>
      </c>
      <c r="AD6708">
        <v>1.964885</v>
      </c>
      <c r="AE6708">
        <v>0.49740719999999999</v>
      </c>
      <c r="AF6708">
        <v>276.697</v>
      </c>
      <c r="AG6708">
        <f>IFERROR(AH6708*0.1, "N/A")</f>
        <v>6.5969700000000007</v>
      </c>
      <c r="AH6708">
        <v>65.969700000000003</v>
      </c>
      <c r="AI6708">
        <v>101.5787</v>
      </c>
      <c r="AJ6708">
        <v>23.393940000000001</v>
      </c>
      <c r="AK6708">
        <v>56.954549999999998</v>
      </c>
    </row>
    <row r="6709" spans="1:37" x14ac:dyDescent="0.3">
      <c r="A6709">
        <v>6708</v>
      </c>
      <c r="B6709">
        <v>86.3</v>
      </c>
      <c r="C6709">
        <v>-5.9132300000000004</v>
      </c>
      <c r="D6709">
        <v>14.3614</v>
      </c>
      <c r="E6709">
        <f>-5.91323-14.3614</f>
        <v>-20.274630000000002</v>
      </c>
      <c r="F6709" t="s">
        <v>10145</v>
      </c>
      <c r="G6709" t="s">
        <v>39</v>
      </c>
      <c r="H6709">
        <v>2004</v>
      </c>
      <c r="I6709">
        <v>27.2</v>
      </c>
      <c r="J6709">
        <v>15.7</v>
      </c>
      <c r="K6709">
        <v>57</v>
      </c>
      <c r="L6709">
        <v>28.56</v>
      </c>
      <c r="M6709">
        <v>39.9</v>
      </c>
      <c r="N6709">
        <v>12.6</v>
      </c>
      <c r="O6709">
        <v>27.3</v>
      </c>
      <c r="P6709">
        <v>27.2</v>
      </c>
      <c r="Q6709">
        <v>25</v>
      </c>
      <c r="R6709">
        <v>31</v>
      </c>
      <c r="S6709">
        <v>23.3</v>
      </c>
      <c r="T6709">
        <v>535</v>
      </c>
      <c r="U6709">
        <v>199</v>
      </c>
      <c r="V6709">
        <v>0</v>
      </c>
      <c r="W6709">
        <v>143</v>
      </c>
      <c r="X6709">
        <v>439</v>
      </c>
      <c r="Y6709">
        <v>1</v>
      </c>
      <c r="Z6709">
        <v>75</v>
      </c>
      <c r="AA6709">
        <v>1</v>
      </c>
      <c r="AB6709">
        <v>0.59965780000000002</v>
      </c>
      <c r="AC6709">
        <v>9.1786200000000002E-3</v>
      </c>
      <c r="AD6709">
        <v>1.964885</v>
      </c>
      <c r="AE6709">
        <v>0.49740719999999999</v>
      </c>
      <c r="AF6709">
        <v>276.697</v>
      </c>
      <c r="AG6709">
        <f>IFERROR(AH6709*0.1, "N/A")</f>
        <v>6.5969700000000007</v>
      </c>
      <c r="AH6709">
        <v>65.969700000000003</v>
      </c>
      <c r="AI6709">
        <v>101.5787</v>
      </c>
      <c r="AJ6709">
        <v>23.393940000000001</v>
      </c>
      <c r="AK6709">
        <v>56.954549999999998</v>
      </c>
    </row>
    <row r="6710" spans="1:37" x14ac:dyDescent="0.3">
      <c r="A6710">
        <v>6709</v>
      </c>
      <c r="B6710">
        <v>3.8</v>
      </c>
      <c r="C6710">
        <v>-2.3647999999999998</v>
      </c>
      <c r="D6710">
        <v>14.3622</v>
      </c>
      <c r="E6710">
        <f>-2.3648-14.3622</f>
        <v>-16.727</v>
      </c>
      <c r="F6710" t="s">
        <v>10146</v>
      </c>
      <c r="G6710" t="s">
        <v>39</v>
      </c>
      <c r="H6710">
        <v>1990</v>
      </c>
      <c r="I6710">
        <v>28.7</v>
      </c>
      <c r="J6710">
        <v>14</v>
      </c>
      <c r="K6710">
        <v>57</v>
      </c>
      <c r="L6710">
        <v>28.78</v>
      </c>
      <c r="M6710">
        <v>40.299999999999997</v>
      </c>
      <c r="N6710">
        <v>15.8</v>
      </c>
      <c r="O6710">
        <v>24.5</v>
      </c>
      <c r="P6710">
        <v>28.3</v>
      </c>
      <c r="Q6710">
        <v>25.2</v>
      </c>
      <c r="R6710">
        <v>32.5</v>
      </c>
      <c r="S6710">
        <v>24.8</v>
      </c>
      <c r="T6710">
        <v>466</v>
      </c>
      <c r="U6710">
        <v>150</v>
      </c>
      <c r="V6710">
        <v>0</v>
      </c>
      <c r="W6710">
        <v>133</v>
      </c>
      <c r="X6710">
        <v>365</v>
      </c>
      <c r="Y6710">
        <v>0</v>
      </c>
      <c r="Z6710">
        <v>79</v>
      </c>
      <c r="AA6710">
        <v>0</v>
      </c>
      <c r="AB6710">
        <v>3.4119350000000002</v>
      </c>
      <c r="AC6710">
        <v>9.6227120000000003E-3</v>
      </c>
      <c r="AD6710">
        <v>0.99811850000000002</v>
      </c>
      <c r="AE6710">
        <v>0.23899200000000001</v>
      </c>
      <c r="AF6710">
        <v>279.93450000000001</v>
      </c>
      <c r="AG6710">
        <f>IFERROR(AH6710*0.1, "N/A")</f>
        <v>6.4164710000000005</v>
      </c>
      <c r="AH6710">
        <v>64.164709999999999</v>
      </c>
      <c r="AI6710">
        <v>65.668629999999993</v>
      </c>
      <c r="AJ6710">
        <v>22.164709999999999</v>
      </c>
      <c r="AK6710">
        <v>65.835290000000001</v>
      </c>
    </row>
    <row r="6711" spans="1:37" x14ac:dyDescent="0.3">
      <c r="A6711">
        <v>6710</v>
      </c>
      <c r="B6711">
        <v>0</v>
      </c>
      <c r="C6711">
        <v>-2.3647999999999998</v>
      </c>
      <c r="D6711">
        <v>14.3622</v>
      </c>
      <c r="E6711">
        <f>-2.3648-14.3622</f>
        <v>-16.727</v>
      </c>
      <c r="F6711" t="s">
        <v>10147</v>
      </c>
      <c r="G6711" t="s">
        <v>37</v>
      </c>
      <c r="H6711">
        <v>1990</v>
      </c>
      <c r="I6711">
        <v>28.7</v>
      </c>
      <c r="J6711">
        <v>14</v>
      </c>
      <c r="K6711">
        <v>57</v>
      </c>
      <c r="L6711">
        <v>28.78</v>
      </c>
      <c r="M6711">
        <v>40.299999999999997</v>
      </c>
      <c r="N6711">
        <v>15.8</v>
      </c>
      <c r="O6711">
        <v>24.5</v>
      </c>
      <c r="P6711">
        <v>28.3</v>
      </c>
      <c r="Q6711">
        <v>25.2</v>
      </c>
      <c r="R6711">
        <v>32.5</v>
      </c>
      <c r="S6711">
        <v>24.8</v>
      </c>
      <c r="T6711">
        <v>466</v>
      </c>
      <c r="U6711">
        <v>150</v>
      </c>
      <c r="V6711">
        <v>0</v>
      </c>
      <c r="W6711">
        <v>133</v>
      </c>
      <c r="X6711">
        <v>365</v>
      </c>
      <c r="Y6711">
        <v>0</v>
      </c>
      <c r="Z6711">
        <v>79</v>
      </c>
      <c r="AA6711">
        <v>0</v>
      </c>
      <c r="AB6711">
        <v>3.4119350000000002</v>
      </c>
      <c r="AC6711">
        <v>9.6227120000000003E-3</v>
      </c>
      <c r="AD6711">
        <v>0.99811850000000002</v>
      </c>
      <c r="AE6711">
        <v>0.23899200000000001</v>
      </c>
      <c r="AF6711">
        <v>279.93450000000001</v>
      </c>
      <c r="AG6711">
        <f>IFERROR(AH6711*0.1, "N/A")</f>
        <v>6.4164710000000005</v>
      </c>
      <c r="AH6711">
        <v>64.164709999999999</v>
      </c>
      <c r="AI6711">
        <v>65.668629999999993</v>
      </c>
      <c r="AJ6711">
        <v>22.164709999999999</v>
      </c>
      <c r="AK6711">
        <v>65.835290000000001</v>
      </c>
    </row>
    <row r="6712" spans="1:37" x14ac:dyDescent="0.3">
      <c r="A6712">
        <v>6711</v>
      </c>
      <c r="B6712">
        <v>86</v>
      </c>
      <c r="C6712">
        <v>-5.9833299999999996</v>
      </c>
      <c r="D6712">
        <v>14.3667</v>
      </c>
      <c r="E6712">
        <f>-5.98333-14.3667</f>
        <v>-20.35003</v>
      </c>
      <c r="F6712" t="s">
        <v>10148</v>
      </c>
      <c r="G6712" t="s">
        <v>39</v>
      </c>
      <c r="H6712">
        <v>1987</v>
      </c>
      <c r="I6712">
        <v>27.3</v>
      </c>
      <c r="J6712">
        <v>15.7</v>
      </c>
      <c r="K6712">
        <v>57</v>
      </c>
      <c r="L6712">
        <v>28.501819999999999</v>
      </c>
      <c r="M6712">
        <v>39.853029999999997</v>
      </c>
      <c r="N6712">
        <v>12.68906</v>
      </c>
      <c r="O6712">
        <v>27.163969999999999</v>
      </c>
      <c r="P6712">
        <v>27.3</v>
      </c>
      <c r="Q6712">
        <v>23.4</v>
      </c>
      <c r="R6712">
        <v>31.010940000000002</v>
      </c>
      <c r="S6712">
        <v>23.4</v>
      </c>
      <c r="T6712">
        <v>531.85519999999997</v>
      </c>
      <c r="U6712">
        <v>198.53030000000001</v>
      </c>
      <c r="V6712">
        <v>0</v>
      </c>
      <c r="W6712">
        <v>142.904</v>
      </c>
      <c r="X6712">
        <v>437.85520000000002</v>
      </c>
      <c r="Y6712">
        <v>0</v>
      </c>
      <c r="Z6712">
        <v>74</v>
      </c>
      <c r="AA6712">
        <v>0</v>
      </c>
      <c r="AB6712">
        <v>0.58535079999999995</v>
      </c>
      <c r="AC6712">
        <v>152.52950000000001</v>
      </c>
      <c r="AD6712">
        <v>1.5043409999999999</v>
      </c>
      <c r="AE6712">
        <v>0.39680080000000001</v>
      </c>
      <c r="AF6712">
        <v>278.84179999999998</v>
      </c>
      <c r="AG6712">
        <f>IFERROR(AH6712*0.1, "N/A")</f>
        <v>6.5794610000000011</v>
      </c>
      <c r="AH6712">
        <v>65.794610000000006</v>
      </c>
      <c r="AI6712">
        <v>247.9126</v>
      </c>
      <c r="AJ6712">
        <v>33.410769999999999</v>
      </c>
      <c r="AK6712">
        <v>43.589230000000001</v>
      </c>
    </row>
    <row r="6713" spans="1:37" x14ac:dyDescent="0.3">
      <c r="A6713">
        <v>6712</v>
      </c>
      <c r="B6713">
        <v>20</v>
      </c>
      <c r="C6713">
        <v>-5.9833299999999996</v>
      </c>
      <c r="D6713">
        <v>14.3667</v>
      </c>
      <c r="E6713">
        <f>-5.98333-14.3667</f>
        <v>-20.35003</v>
      </c>
      <c r="F6713" t="s">
        <v>10149</v>
      </c>
      <c r="G6713" t="s">
        <v>37</v>
      </c>
      <c r="H6713">
        <v>1987</v>
      </c>
      <c r="I6713">
        <v>27.3</v>
      </c>
      <c r="J6713">
        <v>15.7</v>
      </c>
      <c r="K6713">
        <v>57</v>
      </c>
      <c r="L6713">
        <v>28.501819999999999</v>
      </c>
      <c r="M6713">
        <v>39.853029999999997</v>
      </c>
      <c r="N6713">
        <v>12.68906</v>
      </c>
      <c r="O6713">
        <v>27.163969999999999</v>
      </c>
      <c r="P6713">
        <v>27.3</v>
      </c>
      <c r="Q6713">
        <v>23.4</v>
      </c>
      <c r="R6713">
        <v>31.010940000000002</v>
      </c>
      <c r="S6713">
        <v>23.4</v>
      </c>
      <c r="T6713">
        <v>531.85519999999997</v>
      </c>
      <c r="U6713">
        <v>198.53030000000001</v>
      </c>
      <c r="V6713">
        <v>0</v>
      </c>
      <c r="W6713">
        <v>142.904</v>
      </c>
      <c r="X6713">
        <v>437.85520000000002</v>
      </c>
      <c r="Y6713">
        <v>0</v>
      </c>
      <c r="Z6713">
        <v>74</v>
      </c>
      <c r="AA6713">
        <v>0</v>
      </c>
      <c r="AB6713">
        <v>0.58535079999999995</v>
      </c>
      <c r="AC6713">
        <v>152.52950000000001</v>
      </c>
      <c r="AD6713">
        <v>1.5043409999999999</v>
      </c>
      <c r="AE6713">
        <v>0.39680080000000001</v>
      </c>
      <c r="AF6713">
        <v>278.84179999999998</v>
      </c>
      <c r="AG6713">
        <f>IFERROR(AH6713*0.1, "N/A")</f>
        <v>6.5794610000000011</v>
      </c>
      <c r="AH6713">
        <v>65.794610000000006</v>
      </c>
      <c r="AI6713">
        <v>247.9126</v>
      </c>
      <c r="AJ6713">
        <v>33.410769999999999</v>
      </c>
      <c r="AK6713">
        <v>43.589230000000001</v>
      </c>
    </row>
    <row r="6714" spans="1:37" x14ac:dyDescent="0.3">
      <c r="A6714">
        <v>6713</v>
      </c>
      <c r="B6714">
        <v>16.100000000000001</v>
      </c>
      <c r="C6714">
        <v>-3.7</v>
      </c>
      <c r="D6714">
        <v>14.3667</v>
      </c>
      <c r="E6714">
        <f>-3.7-14.3667</f>
        <v>-18.066700000000001</v>
      </c>
      <c r="F6714" t="s">
        <v>10150</v>
      </c>
      <c r="G6714" t="s">
        <v>39</v>
      </c>
      <c r="H6714">
        <v>1986</v>
      </c>
      <c r="I6714">
        <v>26.968859999999999</v>
      </c>
      <c r="J6714">
        <v>13.9</v>
      </c>
      <c r="K6714">
        <v>54</v>
      </c>
      <c r="L6714">
        <v>29.468229999999998</v>
      </c>
      <c r="M6714">
        <v>39</v>
      </c>
      <c r="N6714">
        <v>13.619870000000001</v>
      </c>
      <c r="O6714">
        <v>25.380130000000001</v>
      </c>
      <c r="P6714">
        <v>26.9</v>
      </c>
      <c r="Q6714">
        <v>22.888719999999999</v>
      </c>
      <c r="R6714">
        <v>30.86683</v>
      </c>
      <c r="S6714">
        <v>22.888719999999999</v>
      </c>
      <c r="T6714">
        <v>510</v>
      </c>
      <c r="U6714">
        <v>170</v>
      </c>
      <c r="V6714">
        <v>0</v>
      </c>
      <c r="W6714">
        <v>133</v>
      </c>
      <c r="X6714">
        <v>399</v>
      </c>
      <c r="Y6714">
        <v>0</v>
      </c>
      <c r="Z6714">
        <v>88</v>
      </c>
      <c r="AA6714">
        <v>0</v>
      </c>
      <c r="AB6714">
        <v>3.7457850000000001</v>
      </c>
      <c r="AC6714">
        <v>9.6427659999999998E-2</v>
      </c>
      <c r="AD6714">
        <v>1.5208349999999999</v>
      </c>
      <c r="AE6714">
        <v>0.2685109</v>
      </c>
      <c r="AF6714">
        <v>362.15820000000002</v>
      </c>
      <c r="AG6714">
        <f>IFERROR(AH6714*0.1, "N/A")</f>
        <v>6.9</v>
      </c>
      <c r="AH6714">
        <v>69</v>
      </c>
      <c r="AI6714">
        <v>266.50740000000002</v>
      </c>
      <c r="AJ6714">
        <v>19</v>
      </c>
      <c r="AK6714">
        <v>69</v>
      </c>
    </row>
    <row r="6715" spans="1:37" x14ac:dyDescent="0.3">
      <c r="A6715">
        <v>6714</v>
      </c>
      <c r="B6715">
        <v>12.9</v>
      </c>
      <c r="C6715">
        <v>-3.7</v>
      </c>
      <c r="D6715">
        <v>14.3667</v>
      </c>
      <c r="E6715">
        <f>-3.7-14.3667</f>
        <v>-18.066700000000001</v>
      </c>
      <c r="F6715" t="s">
        <v>10151</v>
      </c>
      <c r="G6715" t="s">
        <v>37</v>
      </c>
      <c r="H6715">
        <v>1986</v>
      </c>
      <c r="I6715">
        <v>26.968859999999999</v>
      </c>
      <c r="J6715">
        <v>13.9</v>
      </c>
      <c r="K6715">
        <v>54</v>
      </c>
      <c r="L6715">
        <v>29.468229999999998</v>
      </c>
      <c r="M6715">
        <v>39</v>
      </c>
      <c r="N6715">
        <v>13.619870000000001</v>
      </c>
      <c r="O6715">
        <v>25.380130000000001</v>
      </c>
      <c r="P6715">
        <v>26.9</v>
      </c>
      <c r="Q6715">
        <v>22.888719999999999</v>
      </c>
      <c r="R6715">
        <v>30.86683</v>
      </c>
      <c r="S6715">
        <v>22.888719999999999</v>
      </c>
      <c r="T6715">
        <v>510</v>
      </c>
      <c r="U6715">
        <v>170</v>
      </c>
      <c r="V6715">
        <v>0</v>
      </c>
      <c r="W6715">
        <v>133</v>
      </c>
      <c r="X6715">
        <v>399</v>
      </c>
      <c r="Y6715">
        <v>0</v>
      </c>
      <c r="Z6715">
        <v>88</v>
      </c>
      <c r="AA6715">
        <v>0</v>
      </c>
      <c r="AB6715">
        <v>3.7457850000000001</v>
      </c>
      <c r="AC6715">
        <v>9.6427659999999998E-2</v>
      </c>
      <c r="AD6715">
        <v>1.5208349999999999</v>
      </c>
      <c r="AE6715">
        <v>0.2685109</v>
      </c>
      <c r="AF6715">
        <v>362.15820000000002</v>
      </c>
      <c r="AG6715">
        <f>IFERROR(AH6715*0.1, "N/A")</f>
        <v>6.9</v>
      </c>
      <c r="AH6715">
        <v>69</v>
      </c>
      <c r="AI6715">
        <v>266.50740000000002</v>
      </c>
      <c r="AJ6715">
        <v>19</v>
      </c>
      <c r="AK6715">
        <v>69</v>
      </c>
    </row>
    <row r="6716" spans="1:37" x14ac:dyDescent="0.3">
      <c r="A6716">
        <v>6715</v>
      </c>
      <c r="B6716">
        <v>85.9</v>
      </c>
      <c r="C6716">
        <v>-5.9771000000000001</v>
      </c>
      <c r="D6716">
        <v>14.3751</v>
      </c>
      <c r="E6716">
        <f>-5.9771-14.3751</f>
        <v>-20.3522</v>
      </c>
      <c r="F6716" t="s">
        <v>10152</v>
      </c>
      <c r="G6716" t="s">
        <v>39</v>
      </c>
      <c r="H6716">
        <v>1990</v>
      </c>
      <c r="I6716">
        <v>27.3</v>
      </c>
      <c r="J6716">
        <v>15.7</v>
      </c>
      <c r="K6716">
        <v>57</v>
      </c>
      <c r="L6716">
        <v>28.617629999999998</v>
      </c>
      <c r="M6716">
        <v>39.872439999999997</v>
      </c>
      <c r="N6716">
        <v>12.7</v>
      </c>
      <c r="O6716">
        <v>27.172440000000002</v>
      </c>
      <c r="P6716">
        <v>27.3</v>
      </c>
      <c r="Q6716">
        <v>23.4</v>
      </c>
      <c r="R6716">
        <v>31.07244</v>
      </c>
      <c r="S6716">
        <v>23.4</v>
      </c>
      <c r="T6716">
        <v>530.27560000000005</v>
      </c>
      <c r="U6716">
        <v>198</v>
      </c>
      <c r="V6716">
        <v>0</v>
      </c>
      <c r="W6716">
        <v>142.2756</v>
      </c>
      <c r="X6716">
        <v>436.2756</v>
      </c>
      <c r="Y6716">
        <v>0</v>
      </c>
      <c r="Z6716">
        <v>74</v>
      </c>
      <c r="AA6716">
        <v>0</v>
      </c>
      <c r="AB6716">
        <v>0.83025950000000004</v>
      </c>
      <c r="AC6716">
        <v>1.1655220000000001E-2</v>
      </c>
      <c r="AD6716">
        <v>1.6627989999999999</v>
      </c>
      <c r="AE6716">
        <v>0.53574820000000001</v>
      </c>
      <c r="AF6716">
        <v>276.43189999999998</v>
      </c>
      <c r="AG6716">
        <f>IFERROR(AH6716*0.1, "N/A")</f>
        <v>6.3001680000000002</v>
      </c>
      <c r="AH6716">
        <v>63.00168</v>
      </c>
      <c r="AI6716">
        <v>246.90799999999999</v>
      </c>
      <c r="AJ6716">
        <v>26</v>
      </c>
      <c r="AK6716">
        <v>52.500839999999997</v>
      </c>
    </row>
    <row r="6717" spans="1:37" x14ac:dyDescent="0.3">
      <c r="A6717">
        <v>6716</v>
      </c>
      <c r="B6717">
        <v>20.7</v>
      </c>
      <c r="C6717">
        <v>-5.9771000000000001</v>
      </c>
      <c r="D6717">
        <v>14.3751</v>
      </c>
      <c r="E6717">
        <f>-5.9771-14.3751</f>
        <v>-20.3522</v>
      </c>
      <c r="F6717" t="s">
        <v>10153</v>
      </c>
      <c r="G6717" t="s">
        <v>37</v>
      </c>
      <c r="H6717">
        <v>1990</v>
      </c>
      <c r="I6717">
        <v>27.3</v>
      </c>
      <c r="J6717">
        <v>15.7</v>
      </c>
      <c r="K6717">
        <v>57</v>
      </c>
      <c r="L6717">
        <v>28.617629999999998</v>
      </c>
      <c r="M6717">
        <v>39.872439999999997</v>
      </c>
      <c r="N6717">
        <v>12.7</v>
      </c>
      <c r="O6717">
        <v>27.172440000000002</v>
      </c>
      <c r="P6717">
        <v>27.3</v>
      </c>
      <c r="Q6717">
        <v>23.4</v>
      </c>
      <c r="R6717">
        <v>31.07244</v>
      </c>
      <c r="S6717">
        <v>23.4</v>
      </c>
      <c r="T6717">
        <v>530.27560000000005</v>
      </c>
      <c r="U6717">
        <v>198</v>
      </c>
      <c r="V6717">
        <v>0</v>
      </c>
      <c r="W6717">
        <v>142.2756</v>
      </c>
      <c r="X6717">
        <v>436.2756</v>
      </c>
      <c r="Y6717">
        <v>0</v>
      </c>
      <c r="Z6717">
        <v>74</v>
      </c>
      <c r="AA6717">
        <v>0</v>
      </c>
      <c r="AB6717">
        <v>0.83025950000000004</v>
      </c>
      <c r="AC6717">
        <v>1.1655220000000001E-2</v>
      </c>
      <c r="AD6717">
        <v>1.6627989999999999</v>
      </c>
      <c r="AE6717">
        <v>0.53574820000000001</v>
      </c>
      <c r="AF6717">
        <v>276.43189999999998</v>
      </c>
      <c r="AG6717">
        <f>IFERROR(AH6717*0.1, "N/A")</f>
        <v>6.3001680000000002</v>
      </c>
      <c r="AH6717">
        <v>63.00168</v>
      </c>
      <c r="AI6717">
        <v>246.90799999999999</v>
      </c>
      <c r="AJ6717">
        <v>26</v>
      </c>
      <c r="AK6717">
        <v>52.500839999999997</v>
      </c>
    </row>
    <row r="6718" spans="1:37" x14ac:dyDescent="0.3">
      <c r="A6718">
        <v>6717</v>
      </c>
      <c r="B6718">
        <v>26.8</v>
      </c>
      <c r="C6718">
        <v>-2.3951699999999998</v>
      </c>
      <c r="D6718">
        <v>14.38</v>
      </c>
      <c r="E6718">
        <f>-2.39517-14.38</f>
        <v>-16.775169999999999</v>
      </c>
      <c r="F6718" t="s">
        <v>10154</v>
      </c>
      <c r="G6718" t="s">
        <v>39</v>
      </c>
      <c r="H6718">
        <v>1990</v>
      </c>
      <c r="I6718">
        <v>28.7</v>
      </c>
      <c r="J6718">
        <v>14</v>
      </c>
      <c r="K6718">
        <v>56</v>
      </c>
      <c r="L6718">
        <v>28.96</v>
      </c>
      <c r="M6718">
        <v>40.4</v>
      </c>
      <c r="N6718">
        <v>15.8</v>
      </c>
      <c r="O6718">
        <v>24.6</v>
      </c>
      <c r="P6718">
        <v>28.4</v>
      </c>
      <c r="Q6718">
        <v>25.1</v>
      </c>
      <c r="R6718">
        <v>32.5</v>
      </c>
      <c r="S6718">
        <v>24.8</v>
      </c>
      <c r="T6718">
        <v>467</v>
      </c>
      <c r="U6718">
        <v>150</v>
      </c>
      <c r="V6718">
        <v>0</v>
      </c>
      <c r="W6718">
        <v>133</v>
      </c>
      <c r="X6718">
        <v>366</v>
      </c>
      <c r="Y6718">
        <v>0</v>
      </c>
      <c r="Z6718">
        <v>79</v>
      </c>
      <c r="AA6718">
        <v>0</v>
      </c>
      <c r="AB6718">
        <v>0.27168930000000002</v>
      </c>
      <c r="AC6718">
        <v>1.3239399999999999</v>
      </c>
      <c r="AD6718">
        <v>0.80548450000000005</v>
      </c>
      <c r="AE6718">
        <v>0.24236060000000001</v>
      </c>
      <c r="AF6718">
        <v>272.48910000000001</v>
      </c>
      <c r="AG6718">
        <f>IFERROR(AH6718*0.1, "N/A")</f>
        <v>6.7485759999999999</v>
      </c>
      <c r="AH6718">
        <v>67.485759999999999</v>
      </c>
      <c r="AI6718">
        <v>120.0663</v>
      </c>
      <c r="AJ6718">
        <v>19.11055</v>
      </c>
      <c r="AK6718">
        <v>68.301509999999993</v>
      </c>
    </row>
    <row r="6719" spans="1:37" x14ac:dyDescent="0.3">
      <c r="A6719">
        <v>6718</v>
      </c>
      <c r="B6719">
        <v>0</v>
      </c>
      <c r="C6719">
        <v>-2.3951699999999998</v>
      </c>
      <c r="D6719">
        <v>14.38</v>
      </c>
      <c r="E6719">
        <f>-2.39517-14.38</f>
        <v>-16.775169999999999</v>
      </c>
      <c r="F6719" t="s">
        <v>10155</v>
      </c>
      <c r="G6719" t="s">
        <v>37</v>
      </c>
      <c r="H6719">
        <v>1990</v>
      </c>
      <c r="I6719">
        <v>28.7</v>
      </c>
      <c r="J6719">
        <v>14</v>
      </c>
      <c r="K6719">
        <v>56</v>
      </c>
      <c r="L6719">
        <v>28.96</v>
      </c>
      <c r="M6719">
        <v>40.4</v>
      </c>
      <c r="N6719">
        <v>15.8</v>
      </c>
      <c r="O6719">
        <v>24.6</v>
      </c>
      <c r="P6719">
        <v>28.4</v>
      </c>
      <c r="Q6719">
        <v>25.1</v>
      </c>
      <c r="R6719">
        <v>32.5</v>
      </c>
      <c r="S6719">
        <v>24.8</v>
      </c>
      <c r="T6719">
        <v>467</v>
      </c>
      <c r="U6719">
        <v>150</v>
      </c>
      <c r="V6719">
        <v>0</v>
      </c>
      <c r="W6719">
        <v>133</v>
      </c>
      <c r="X6719">
        <v>366</v>
      </c>
      <c r="Y6719">
        <v>0</v>
      </c>
      <c r="Z6719">
        <v>79</v>
      </c>
      <c r="AA6719">
        <v>0</v>
      </c>
      <c r="AB6719">
        <v>0.27168930000000002</v>
      </c>
      <c r="AC6719">
        <v>1.3239399999999999</v>
      </c>
      <c r="AD6719">
        <v>0.80548450000000005</v>
      </c>
      <c r="AE6719">
        <v>0.24236060000000001</v>
      </c>
      <c r="AF6719">
        <v>272.48910000000001</v>
      </c>
      <c r="AG6719">
        <f>IFERROR(AH6719*0.1, "N/A")</f>
        <v>6.7485759999999999</v>
      </c>
      <c r="AH6719">
        <v>67.485759999999999</v>
      </c>
      <c r="AI6719">
        <v>120.0663</v>
      </c>
      <c r="AJ6719">
        <v>19.11055</v>
      </c>
      <c r="AK6719">
        <v>68.301509999999993</v>
      </c>
    </row>
    <row r="6720" spans="1:37" x14ac:dyDescent="0.3">
      <c r="A6720">
        <v>6719</v>
      </c>
      <c r="B6720">
        <v>60.7</v>
      </c>
      <c r="C6720">
        <v>-5.96089</v>
      </c>
      <c r="D6720">
        <v>14.381399999999999</v>
      </c>
      <c r="E6720">
        <f>-5.96089-14.3814</f>
        <v>-20.342289999999998</v>
      </c>
      <c r="F6720" t="s">
        <v>10156</v>
      </c>
      <c r="G6720" t="s">
        <v>39</v>
      </c>
      <c r="H6720">
        <v>1990</v>
      </c>
      <c r="I6720">
        <v>27.3</v>
      </c>
      <c r="J6720">
        <v>15.7</v>
      </c>
      <c r="K6720">
        <v>57</v>
      </c>
      <c r="L6720">
        <v>28.54</v>
      </c>
      <c r="M6720">
        <v>39.9</v>
      </c>
      <c r="N6720">
        <v>12.7</v>
      </c>
      <c r="O6720">
        <v>27.2</v>
      </c>
      <c r="P6720">
        <v>27.3</v>
      </c>
      <c r="Q6720">
        <v>23.4</v>
      </c>
      <c r="R6720">
        <v>31</v>
      </c>
      <c r="S6720">
        <v>23.4</v>
      </c>
      <c r="T6720">
        <v>531</v>
      </c>
      <c r="U6720">
        <v>198</v>
      </c>
      <c r="V6720">
        <v>0</v>
      </c>
      <c r="W6720">
        <v>143</v>
      </c>
      <c r="X6720">
        <v>437</v>
      </c>
      <c r="Y6720">
        <v>0</v>
      </c>
      <c r="Z6720">
        <v>74</v>
      </c>
      <c r="AA6720">
        <v>0</v>
      </c>
      <c r="AB6720">
        <v>0.30032160000000002</v>
      </c>
      <c r="AC6720">
        <v>1.4857510000000001E-2</v>
      </c>
      <c r="AD6720">
        <v>1.257385</v>
      </c>
      <c r="AE6720">
        <v>0.5445624</v>
      </c>
      <c r="AF6720">
        <v>275.78149999999999</v>
      </c>
      <c r="AG6720">
        <f>IFERROR(AH6720*0.1, "N/A")</f>
        <v>6.3000000000000007</v>
      </c>
      <c r="AH6720">
        <v>63</v>
      </c>
      <c r="AI6720">
        <v>197.26079999999999</v>
      </c>
      <c r="AJ6720">
        <v>26.07563</v>
      </c>
      <c r="AK6720">
        <v>49</v>
      </c>
    </row>
    <row r="6721" spans="1:37" x14ac:dyDescent="0.3">
      <c r="A6721">
        <v>6720</v>
      </c>
      <c r="B6721">
        <v>24.8</v>
      </c>
      <c r="C6721">
        <v>-5.96089</v>
      </c>
      <c r="D6721">
        <v>14.381399999999999</v>
      </c>
      <c r="E6721">
        <f>-5.96089-14.3814</f>
        <v>-20.342289999999998</v>
      </c>
      <c r="F6721" t="s">
        <v>10157</v>
      </c>
      <c r="G6721" t="s">
        <v>37</v>
      </c>
      <c r="H6721">
        <v>1990</v>
      </c>
      <c r="I6721">
        <v>27.3</v>
      </c>
      <c r="J6721">
        <v>15.7</v>
      </c>
      <c r="K6721">
        <v>57</v>
      </c>
      <c r="L6721">
        <v>28.54</v>
      </c>
      <c r="M6721">
        <v>39.9</v>
      </c>
      <c r="N6721">
        <v>12.7</v>
      </c>
      <c r="O6721">
        <v>27.2</v>
      </c>
      <c r="P6721">
        <v>27.3</v>
      </c>
      <c r="Q6721">
        <v>23.4</v>
      </c>
      <c r="R6721">
        <v>31</v>
      </c>
      <c r="S6721">
        <v>23.4</v>
      </c>
      <c r="T6721">
        <v>531</v>
      </c>
      <c r="U6721">
        <v>198</v>
      </c>
      <c r="V6721">
        <v>0</v>
      </c>
      <c r="W6721">
        <v>143</v>
      </c>
      <c r="X6721">
        <v>437</v>
      </c>
      <c r="Y6721">
        <v>0</v>
      </c>
      <c r="Z6721">
        <v>74</v>
      </c>
      <c r="AA6721">
        <v>0</v>
      </c>
      <c r="AB6721">
        <v>0.30032160000000002</v>
      </c>
      <c r="AC6721">
        <v>1.4857510000000001E-2</v>
      </c>
      <c r="AD6721">
        <v>1.257385</v>
      </c>
      <c r="AE6721">
        <v>0.5445624</v>
      </c>
      <c r="AF6721">
        <v>275.78149999999999</v>
      </c>
      <c r="AG6721">
        <f>IFERROR(AH6721*0.1, "N/A")</f>
        <v>6.3000000000000007</v>
      </c>
      <c r="AH6721">
        <v>63</v>
      </c>
      <c r="AI6721">
        <v>197.26079999999999</v>
      </c>
      <c r="AJ6721">
        <v>26.07563</v>
      </c>
      <c r="AK6721">
        <v>49</v>
      </c>
    </row>
    <row r="6722" spans="1:37" x14ac:dyDescent="0.3">
      <c r="A6722">
        <v>6721</v>
      </c>
      <c r="B6722">
        <v>66.7</v>
      </c>
      <c r="C6722">
        <v>-3.3480300000000001</v>
      </c>
      <c r="D6722">
        <v>14.382400000000001</v>
      </c>
      <c r="E6722">
        <f>-3.34803-14.3824</f>
        <v>-17.730430000000002</v>
      </c>
      <c r="F6722" t="s">
        <v>10158</v>
      </c>
      <c r="G6722" t="s">
        <v>39</v>
      </c>
      <c r="H6722">
        <v>1990</v>
      </c>
      <c r="I6722">
        <v>27.259730000000001</v>
      </c>
      <c r="J6722">
        <v>13.9</v>
      </c>
      <c r="K6722">
        <v>55</v>
      </c>
      <c r="L6722">
        <v>29.406780000000001</v>
      </c>
      <c r="M6722">
        <v>39.17248</v>
      </c>
      <c r="N6722">
        <v>14.072480000000001</v>
      </c>
      <c r="O6722">
        <v>25.1</v>
      </c>
      <c r="P6722">
        <v>27.15973</v>
      </c>
      <c r="Q6722">
        <v>23.15973</v>
      </c>
      <c r="R6722">
        <v>31.15973</v>
      </c>
      <c r="S6722">
        <v>23.15973</v>
      </c>
      <c r="T6722">
        <v>507.0403</v>
      </c>
      <c r="U6722">
        <v>167.3826</v>
      </c>
      <c r="V6722">
        <v>0</v>
      </c>
      <c r="W6722">
        <v>130</v>
      </c>
      <c r="X6722">
        <v>394.40269999999998</v>
      </c>
      <c r="Y6722">
        <v>0</v>
      </c>
      <c r="Z6722">
        <v>88.382549999999995</v>
      </c>
      <c r="AA6722">
        <v>0</v>
      </c>
      <c r="AB6722">
        <v>35.565770000000001</v>
      </c>
      <c r="AC6722">
        <v>8.0472589999999997E-2</v>
      </c>
      <c r="AD6722">
        <v>16.351430000000001</v>
      </c>
      <c r="AE6722">
        <v>0.40939789999999998</v>
      </c>
      <c r="AF6722">
        <v>354.22320000000002</v>
      </c>
      <c r="AG6722">
        <f>IFERROR(AH6722*0.1, "N/A")</f>
        <v>7.2291950000000007</v>
      </c>
      <c r="AH6722">
        <v>72.29195</v>
      </c>
      <c r="AI6722">
        <v>174.6437</v>
      </c>
      <c r="AJ6722">
        <v>16.218119999999999</v>
      </c>
      <c r="AK6722">
        <v>69.568790000000007</v>
      </c>
    </row>
    <row r="6723" spans="1:37" x14ac:dyDescent="0.3">
      <c r="A6723">
        <v>6722</v>
      </c>
      <c r="B6723">
        <v>15</v>
      </c>
      <c r="C6723">
        <v>-3.3480300000000001</v>
      </c>
      <c r="D6723">
        <v>14.382400000000001</v>
      </c>
      <c r="E6723">
        <f>-3.34803-14.3824</f>
        <v>-17.730430000000002</v>
      </c>
      <c r="F6723" t="s">
        <v>10159</v>
      </c>
      <c r="G6723" t="s">
        <v>37</v>
      </c>
      <c r="H6723">
        <v>1990</v>
      </c>
      <c r="I6723">
        <v>27.259730000000001</v>
      </c>
      <c r="J6723">
        <v>13.9</v>
      </c>
      <c r="K6723">
        <v>55</v>
      </c>
      <c r="L6723">
        <v>29.406780000000001</v>
      </c>
      <c r="M6723">
        <v>39.17248</v>
      </c>
      <c r="N6723">
        <v>14.072480000000001</v>
      </c>
      <c r="O6723">
        <v>25.1</v>
      </c>
      <c r="P6723">
        <v>27.15973</v>
      </c>
      <c r="Q6723">
        <v>23.15973</v>
      </c>
      <c r="R6723">
        <v>31.15973</v>
      </c>
      <c r="S6723">
        <v>23.15973</v>
      </c>
      <c r="T6723">
        <v>507.0403</v>
      </c>
      <c r="U6723">
        <v>167.3826</v>
      </c>
      <c r="V6723">
        <v>0</v>
      </c>
      <c r="W6723">
        <v>130</v>
      </c>
      <c r="X6723">
        <v>394.40269999999998</v>
      </c>
      <c r="Y6723">
        <v>0</v>
      </c>
      <c r="Z6723">
        <v>88.382549999999995</v>
      </c>
      <c r="AA6723">
        <v>0</v>
      </c>
      <c r="AB6723">
        <v>35.565770000000001</v>
      </c>
      <c r="AC6723">
        <v>8.0472589999999997E-2</v>
      </c>
      <c r="AD6723">
        <v>16.351430000000001</v>
      </c>
      <c r="AE6723">
        <v>0.40939789999999998</v>
      </c>
      <c r="AF6723">
        <v>354.22320000000002</v>
      </c>
      <c r="AG6723">
        <f>IFERROR(AH6723*0.1, "N/A")</f>
        <v>7.2291950000000007</v>
      </c>
      <c r="AH6723">
        <v>72.29195</v>
      </c>
      <c r="AI6723">
        <v>174.6437</v>
      </c>
      <c r="AJ6723">
        <v>16.218119999999999</v>
      </c>
      <c r="AK6723">
        <v>69.568790000000007</v>
      </c>
    </row>
    <row r="6724" spans="1:37" x14ac:dyDescent="0.3">
      <c r="A6724">
        <v>6723</v>
      </c>
      <c r="B6724">
        <v>10.8</v>
      </c>
      <c r="C6724">
        <v>-3.5461999999999998</v>
      </c>
      <c r="D6724">
        <v>14.383699999999999</v>
      </c>
      <c r="E6724">
        <f>-3.5462-14.3837</f>
        <v>-17.9299</v>
      </c>
      <c r="F6724" t="s">
        <v>10160</v>
      </c>
      <c r="G6724" t="s">
        <v>39</v>
      </c>
      <c r="H6724">
        <v>1990</v>
      </c>
      <c r="I6724">
        <v>26.6995</v>
      </c>
      <c r="J6724">
        <v>13.9</v>
      </c>
      <c r="K6724">
        <v>54</v>
      </c>
      <c r="L6724">
        <v>29.412859999999998</v>
      </c>
      <c r="M6724">
        <v>38.700000000000003</v>
      </c>
      <c r="N6724">
        <v>13.4</v>
      </c>
      <c r="O6724">
        <v>25.3</v>
      </c>
      <c r="P6724">
        <v>26.6995</v>
      </c>
      <c r="Q6724">
        <v>22.599499999999999</v>
      </c>
      <c r="R6724">
        <v>30.6</v>
      </c>
      <c r="S6724">
        <v>22.599499999999999</v>
      </c>
      <c r="T6724">
        <v>513.01509999999996</v>
      </c>
      <c r="U6724">
        <v>171</v>
      </c>
      <c r="V6724">
        <v>0</v>
      </c>
      <c r="W6724">
        <v>132.99</v>
      </c>
      <c r="X6724">
        <v>401.01</v>
      </c>
      <c r="Y6724">
        <v>0</v>
      </c>
      <c r="Z6724">
        <v>88.005020000000002</v>
      </c>
      <c r="AA6724">
        <v>0</v>
      </c>
      <c r="AB6724">
        <v>23.254359999999998</v>
      </c>
      <c r="AC6724">
        <v>1.260768E-2</v>
      </c>
      <c r="AD6724">
        <v>5.8671049999999996</v>
      </c>
      <c r="AE6724">
        <v>0.34219379999999999</v>
      </c>
      <c r="AF6724">
        <v>413.86790000000002</v>
      </c>
      <c r="AG6724">
        <f>IFERROR(AH6724*0.1, "N/A")</f>
        <v>6.8911370000000005</v>
      </c>
      <c r="AH6724">
        <v>68.911370000000005</v>
      </c>
      <c r="AI6724">
        <v>290.93790000000001</v>
      </c>
      <c r="AJ6724">
        <v>15.08863</v>
      </c>
      <c r="AK6724">
        <v>69</v>
      </c>
    </row>
    <row r="6725" spans="1:37" x14ac:dyDescent="0.3">
      <c r="A6725">
        <v>6724</v>
      </c>
      <c r="B6725">
        <v>0</v>
      </c>
      <c r="C6725">
        <v>-3.5461999999999998</v>
      </c>
      <c r="D6725">
        <v>14.383699999999999</v>
      </c>
      <c r="E6725">
        <f>-3.5462-14.3837</f>
        <v>-17.9299</v>
      </c>
      <c r="F6725" t="s">
        <v>10161</v>
      </c>
      <c r="G6725" t="s">
        <v>37</v>
      </c>
      <c r="H6725">
        <v>1990</v>
      </c>
      <c r="I6725">
        <v>26.6995</v>
      </c>
      <c r="J6725">
        <v>13.9</v>
      </c>
      <c r="K6725">
        <v>54</v>
      </c>
      <c r="L6725">
        <v>29.412859999999998</v>
      </c>
      <c r="M6725">
        <v>38.700000000000003</v>
      </c>
      <c r="N6725">
        <v>13.4</v>
      </c>
      <c r="O6725">
        <v>25.3</v>
      </c>
      <c r="P6725">
        <v>26.6995</v>
      </c>
      <c r="Q6725">
        <v>22.599499999999999</v>
      </c>
      <c r="R6725">
        <v>30.6</v>
      </c>
      <c r="S6725">
        <v>22.599499999999999</v>
      </c>
      <c r="T6725">
        <v>513.01509999999996</v>
      </c>
      <c r="U6725">
        <v>171</v>
      </c>
      <c r="V6725">
        <v>0</v>
      </c>
      <c r="W6725">
        <v>132.99</v>
      </c>
      <c r="X6725">
        <v>401.01</v>
      </c>
      <c r="Y6725">
        <v>0</v>
      </c>
      <c r="Z6725">
        <v>88.005020000000002</v>
      </c>
      <c r="AA6725">
        <v>0</v>
      </c>
      <c r="AB6725">
        <v>23.254359999999998</v>
      </c>
      <c r="AC6725">
        <v>1.260768E-2</v>
      </c>
      <c r="AD6725">
        <v>5.8671049999999996</v>
      </c>
      <c r="AE6725">
        <v>0.34219379999999999</v>
      </c>
      <c r="AF6725">
        <v>413.86790000000002</v>
      </c>
      <c r="AG6725">
        <f>IFERROR(AH6725*0.1, "N/A")</f>
        <v>6.8911370000000005</v>
      </c>
      <c r="AH6725">
        <v>68.911370000000005</v>
      </c>
      <c r="AI6725">
        <v>290.93790000000001</v>
      </c>
      <c r="AJ6725">
        <v>15.08863</v>
      </c>
      <c r="AK6725">
        <v>69</v>
      </c>
    </row>
    <row r="6726" spans="1:37" x14ac:dyDescent="0.3">
      <c r="A6726">
        <v>6725</v>
      </c>
      <c r="B6726">
        <v>37</v>
      </c>
      <c r="C6726">
        <v>-6.0013800000000002</v>
      </c>
      <c r="D6726">
        <v>14.3909</v>
      </c>
      <c r="E6726">
        <f>-6.00138-14.3909</f>
        <v>-20.39228</v>
      </c>
      <c r="F6726" t="s">
        <v>10162</v>
      </c>
      <c r="G6726" t="s">
        <v>39</v>
      </c>
      <c r="H6726">
        <v>1990</v>
      </c>
      <c r="I6726">
        <v>27.3</v>
      </c>
      <c r="J6726">
        <v>15.7</v>
      </c>
      <c r="K6726">
        <v>57</v>
      </c>
      <c r="L6726">
        <v>28.44</v>
      </c>
      <c r="M6726">
        <v>39.9</v>
      </c>
      <c r="N6726">
        <v>12.7</v>
      </c>
      <c r="O6726">
        <v>27.2</v>
      </c>
      <c r="P6726">
        <v>27.3</v>
      </c>
      <c r="Q6726">
        <v>23.4</v>
      </c>
      <c r="R6726">
        <v>31.1</v>
      </c>
      <c r="S6726">
        <v>23.4</v>
      </c>
      <c r="T6726">
        <v>529</v>
      </c>
      <c r="U6726">
        <v>197</v>
      </c>
      <c r="V6726">
        <v>0</v>
      </c>
      <c r="W6726">
        <v>142</v>
      </c>
      <c r="X6726">
        <v>435</v>
      </c>
      <c r="Y6726">
        <v>0</v>
      </c>
      <c r="Z6726">
        <v>74</v>
      </c>
      <c r="AA6726">
        <v>0</v>
      </c>
      <c r="AB6726">
        <v>1.3671599999999999</v>
      </c>
      <c r="AC6726">
        <v>17.24579</v>
      </c>
      <c r="AD6726">
        <v>1.4248149999999999</v>
      </c>
      <c r="AE6726">
        <v>0.48103800000000002</v>
      </c>
      <c r="AF6726">
        <v>278.16079999999999</v>
      </c>
      <c r="AG6726">
        <f>IFERROR(AH6726*0.1, "N/A")</f>
        <v>6.627638000000001</v>
      </c>
      <c r="AH6726">
        <v>66.276380000000003</v>
      </c>
      <c r="AI6726">
        <v>167.03370000000001</v>
      </c>
      <c r="AJ6726">
        <v>28.149080000000001</v>
      </c>
      <c r="AK6726">
        <v>47.425460000000001</v>
      </c>
    </row>
    <row r="6727" spans="1:37" x14ac:dyDescent="0.3">
      <c r="A6727">
        <v>6726</v>
      </c>
      <c r="B6727">
        <v>50.9</v>
      </c>
      <c r="C6727">
        <v>-6.0013800000000002</v>
      </c>
      <c r="D6727">
        <v>14.3909</v>
      </c>
      <c r="E6727">
        <f>-6.00138-14.3909</f>
        <v>-20.39228</v>
      </c>
      <c r="F6727" t="s">
        <v>10163</v>
      </c>
      <c r="G6727" t="s">
        <v>37</v>
      </c>
      <c r="H6727">
        <v>1990</v>
      </c>
      <c r="I6727">
        <v>27.3</v>
      </c>
      <c r="J6727">
        <v>15.7</v>
      </c>
      <c r="K6727">
        <v>57</v>
      </c>
      <c r="L6727">
        <v>28.44</v>
      </c>
      <c r="M6727">
        <v>39.9</v>
      </c>
      <c r="N6727">
        <v>12.7</v>
      </c>
      <c r="O6727">
        <v>27.2</v>
      </c>
      <c r="P6727">
        <v>27.3</v>
      </c>
      <c r="Q6727">
        <v>23.4</v>
      </c>
      <c r="R6727">
        <v>31.1</v>
      </c>
      <c r="S6727">
        <v>23.4</v>
      </c>
      <c r="T6727">
        <v>529</v>
      </c>
      <c r="U6727">
        <v>197</v>
      </c>
      <c r="V6727">
        <v>0</v>
      </c>
      <c r="W6727">
        <v>142</v>
      </c>
      <c r="X6727">
        <v>435</v>
      </c>
      <c r="Y6727">
        <v>0</v>
      </c>
      <c r="Z6727">
        <v>74</v>
      </c>
      <c r="AA6727">
        <v>0</v>
      </c>
      <c r="AB6727">
        <v>1.3671599999999999</v>
      </c>
      <c r="AC6727">
        <v>17.24579</v>
      </c>
      <c r="AD6727">
        <v>1.4248149999999999</v>
      </c>
      <c r="AE6727">
        <v>0.48103800000000002</v>
      </c>
      <c r="AF6727">
        <v>278.16079999999999</v>
      </c>
      <c r="AG6727">
        <f>IFERROR(AH6727*0.1, "N/A")</f>
        <v>6.627638000000001</v>
      </c>
      <c r="AH6727">
        <v>66.276380000000003</v>
      </c>
      <c r="AI6727">
        <v>167.03370000000001</v>
      </c>
      <c r="AJ6727">
        <v>28.149080000000001</v>
      </c>
      <c r="AK6727">
        <v>47.425460000000001</v>
      </c>
    </row>
    <row r="6728" spans="1:37" x14ac:dyDescent="0.3">
      <c r="A6728">
        <v>6727</v>
      </c>
      <c r="B6728">
        <v>6.9</v>
      </c>
      <c r="C6728">
        <v>-4.0303399999999998</v>
      </c>
      <c r="D6728">
        <v>14.3916</v>
      </c>
      <c r="E6728">
        <f>-4.03034-14.3916</f>
        <v>-18.421939999999999</v>
      </c>
      <c r="F6728" t="s">
        <v>10164</v>
      </c>
      <c r="G6728" t="s">
        <v>39</v>
      </c>
      <c r="H6728">
        <v>1990</v>
      </c>
      <c r="I6728">
        <v>27.873280000000001</v>
      </c>
      <c r="J6728">
        <v>14</v>
      </c>
      <c r="K6728">
        <v>54</v>
      </c>
      <c r="L6728">
        <v>29.563279999999999</v>
      </c>
      <c r="M6728">
        <v>40</v>
      </c>
      <c r="N6728">
        <v>14.2</v>
      </c>
      <c r="O6728">
        <v>25.8</v>
      </c>
      <c r="P6728">
        <v>27.8</v>
      </c>
      <c r="Q6728">
        <v>25.6</v>
      </c>
      <c r="R6728">
        <v>31.8</v>
      </c>
      <c r="S6728">
        <v>23.8</v>
      </c>
      <c r="T6728">
        <v>495</v>
      </c>
      <c r="U6728">
        <v>166</v>
      </c>
      <c r="V6728">
        <v>0</v>
      </c>
      <c r="W6728">
        <v>133</v>
      </c>
      <c r="X6728">
        <v>388</v>
      </c>
      <c r="Y6728">
        <v>0</v>
      </c>
      <c r="Z6728">
        <v>87</v>
      </c>
      <c r="AA6728">
        <v>0</v>
      </c>
      <c r="AB6728">
        <v>31.889569999999999</v>
      </c>
      <c r="AC6728">
        <v>9.5796700000000002E-3</v>
      </c>
      <c r="AD6728">
        <v>3.7185220000000001</v>
      </c>
      <c r="AE6728">
        <v>0.29377360000000002</v>
      </c>
      <c r="AF6728">
        <v>315.84539999999998</v>
      </c>
      <c r="AG6728">
        <f>IFERROR(AH6728*0.1, "N/A")</f>
        <v>6.5166390000000014</v>
      </c>
      <c r="AH6728">
        <v>65.166390000000007</v>
      </c>
      <c r="AI6728">
        <v>140.59719999999999</v>
      </c>
      <c r="AJ6728">
        <v>17.83361</v>
      </c>
      <c r="AK6728">
        <v>68.110919999999993</v>
      </c>
    </row>
    <row r="6729" spans="1:37" x14ac:dyDescent="0.3">
      <c r="A6729">
        <v>6728</v>
      </c>
      <c r="B6729">
        <v>0</v>
      </c>
      <c r="C6729">
        <v>-4.0303399999999998</v>
      </c>
      <c r="D6729">
        <v>14.3916</v>
      </c>
      <c r="E6729">
        <f>-4.03034-14.3916</f>
        <v>-18.421939999999999</v>
      </c>
      <c r="F6729" t="s">
        <v>10165</v>
      </c>
      <c r="G6729" t="s">
        <v>37</v>
      </c>
      <c r="H6729">
        <v>1990</v>
      </c>
      <c r="I6729">
        <v>27.873280000000001</v>
      </c>
      <c r="J6729">
        <v>14</v>
      </c>
      <c r="K6729">
        <v>54</v>
      </c>
      <c r="L6729">
        <v>29.563279999999999</v>
      </c>
      <c r="M6729">
        <v>40</v>
      </c>
      <c r="N6729">
        <v>14.2</v>
      </c>
      <c r="O6729">
        <v>25.8</v>
      </c>
      <c r="P6729">
        <v>27.8</v>
      </c>
      <c r="Q6729">
        <v>25.6</v>
      </c>
      <c r="R6729">
        <v>31.8</v>
      </c>
      <c r="S6729">
        <v>23.8</v>
      </c>
      <c r="T6729">
        <v>495</v>
      </c>
      <c r="U6729">
        <v>166</v>
      </c>
      <c r="V6729">
        <v>0</v>
      </c>
      <c r="W6729">
        <v>133</v>
      </c>
      <c r="X6729">
        <v>388</v>
      </c>
      <c r="Y6729">
        <v>0</v>
      </c>
      <c r="Z6729">
        <v>87</v>
      </c>
      <c r="AA6729">
        <v>0</v>
      </c>
      <c r="AB6729">
        <v>31.889569999999999</v>
      </c>
      <c r="AC6729">
        <v>9.5796700000000002E-3</v>
      </c>
      <c r="AD6729">
        <v>3.7185220000000001</v>
      </c>
      <c r="AE6729">
        <v>0.29377360000000002</v>
      </c>
      <c r="AF6729">
        <v>315.84539999999998</v>
      </c>
      <c r="AG6729">
        <f>IFERROR(AH6729*0.1, "N/A")</f>
        <v>6.5166390000000014</v>
      </c>
      <c r="AH6729">
        <v>65.166390000000007</v>
      </c>
      <c r="AI6729">
        <v>140.59719999999999</v>
      </c>
      <c r="AJ6729">
        <v>17.83361</v>
      </c>
      <c r="AK6729">
        <v>68.110919999999993</v>
      </c>
    </row>
    <row r="6730" spans="1:37" x14ac:dyDescent="0.3">
      <c r="A6730">
        <v>6729</v>
      </c>
      <c r="B6730">
        <v>68.400000000000006</v>
      </c>
      <c r="C6730">
        <v>-5.9752999999999998</v>
      </c>
      <c r="D6730">
        <v>14.3985</v>
      </c>
      <c r="E6730">
        <f>-5.9753-14.3985</f>
        <v>-20.373799999999999</v>
      </c>
      <c r="F6730" t="s">
        <v>10166</v>
      </c>
      <c r="G6730" t="s">
        <v>39</v>
      </c>
      <c r="H6730">
        <v>1990</v>
      </c>
      <c r="I6730">
        <v>27.3</v>
      </c>
      <c r="J6730">
        <v>15.7</v>
      </c>
      <c r="K6730">
        <v>57</v>
      </c>
      <c r="L6730">
        <v>28.67</v>
      </c>
      <c r="M6730">
        <v>39.9</v>
      </c>
      <c r="N6730">
        <v>12.7</v>
      </c>
      <c r="O6730">
        <v>27.2</v>
      </c>
      <c r="P6730">
        <v>27.3</v>
      </c>
      <c r="Q6730">
        <v>23.497140000000002</v>
      </c>
      <c r="R6730">
        <v>31.1</v>
      </c>
      <c r="S6730">
        <v>23.4</v>
      </c>
      <c r="T6730">
        <v>528.05709999999999</v>
      </c>
      <c r="U6730">
        <v>197</v>
      </c>
      <c r="V6730">
        <v>0</v>
      </c>
      <c r="W6730">
        <v>142</v>
      </c>
      <c r="X6730">
        <v>434</v>
      </c>
      <c r="Y6730">
        <v>5.7142859999999997E-2</v>
      </c>
      <c r="Z6730">
        <v>74</v>
      </c>
      <c r="AA6730">
        <v>5.7142859999999997E-2</v>
      </c>
      <c r="AB6730">
        <v>9.0929919999999997E-2</v>
      </c>
      <c r="AC6730">
        <v>6.8337200000000001E-2</v>
      </c>
      <c r="AD6730">
        <v>1.1563950000000001</v>
      </c>
      <c r="AE6730">
        <v>0.59421029999999997</v>
      </c>
      <c r="AF6730">
        <v>275.66890000000001</v>
      </c>
      <c r="AG6730">
        <f>IFERROR(AH6730*0.1, "N/A")</f>
        <v>6.396471</v>
      </c>
      <c r="AH6730">
        <v>63.964709999999997</v>
      </c>
      <c r="AI6730">
        <v>161.5513</v>
      </c>
      <c r="AJ6730">
        <v>34</v>
      </c>
      <c r="AK6730">
        <v>42.907559999999997</v>
      </c>
    </row>
    <row r="6731" spans="1:37" x14ac:dyDescent="0.3">
      <c r="A6731">
        <v>6730</v>
      </c>
      <c r="B6731">
        <v>59.2</v>
      </c>
      <c r="C6731">
        <v>-5.9752999999999998</v>
      </c>
      <c r="D6731">
        <v>14.3985</v>
      </c>
      <c r="E6731">
        <f>-5.9753-14.3985</f>
        <v>-20.373799999999999</v>
      </c>
      <c r="F6731" t="s">
        <v>10167</v>
      </c>
      <c r="G6731" t="s">
        <v>37</v>
      </c>
      <c r="H6731">
        <v>1990</v>
      </c>
      <c r="I6731">
        <v>27.3</v>
      </c>
      <c r="J6731">
        <v>15.7</v>
      </c>
      <c r="K6731">
        <v>57</v>
      </c>
      <c r="L6731">
        <v>28.67</v>
      </c>
      <c r="M6731">
        <v>39.9</v>
      </c>
      <c r="N6731">
        <v>12.7</v>
      </c>
      <c r="O6731">
        <v>27.2</v>
      </c>
      <c r="P6731">
        <v>27.3</v>
      </c>
      <c r="Q6731">
        <v>23.497140000000002</v>
      </c>
      <c r="R6731">
        <v>31.1</v>
      </c>
      <c r="S6731">
        <v>23.4</v>
      </c>
      <c r="T6731">
        <v>528.05709999999999</v>
      </c>
      <c r="U6731">
        <v>197</v>
      </c>
      <c r="V6731">
        <v>0</v>
      </c>
      <c r="W6731">
        <v>142</v>
      </c>
      <c r="X6731">
        <v>434</v>
      </c>
      <c r="Y6731">
        <v>5.7142859999999997E-2</v>
      </c>
      <c r="Z6731">
        <v>74</v>
      </c>
      <c r="AA6731">
        <v>5.7142859999999997E-2</v>
      </c>
      <c r="AB6731">
        <v>9.0929919999999997E-2</v>
      </c>
      <c r="AC6731">
        <v>6.8337200000000001E-2</v>
      </c>
      <c r="AD6731">
        <v>1.1563950000000001</v>
      </c>
      <c r="AE6731">
        <v>0.59421029999999997</v>
      </c>
      <c r="AF6731">
        <v>275.66890000000001</v>
      </c>
      <c r="AG6731">
        <f>IFERROR(AH6731*0.1, "N/A")</f>
        <v>6.396471</v>
      </c>
      <c r="AH6731">
        <v>63.964709999999997</v>
      </c>
      <c r="AI6731">
        <v>161.5513</v>
      </c>
      <c r="AJ6731">
        <v>34</v>
      </c>
      <c r="AK6731">
        <v>42.907559999999997</v>
      </c>
    </row>
    <row r="6732" spans="1:37" x14ac:dyDescent="0.3">
      <c r="A6732">
        <v>6731</v>
      </c>
      <c r="B6732">
        <v>69</v>
      </c>
      <c r="C6732">
        <v>-4.1369999999999996</v>
      </c>
      <c r="D6732">
        <v>14.4</v>
      </c>
      <c r="E6732">
        <f>-4.137-14.4</f>
        <v>-18.536999999999999</v>
      </c>
      <c r="F6732" t="s">
        <v>10168</v>
      </c>
      <c r="G6732" t="s">
        <v>39</v>
      </c>
      <c r="H6732">
        <v>1987</v>
      </c>
      <c r="I6732">
        <v>28</v>
      </c>
      <c r="J6732">
        <v>14.1</v>
      </c>
      <c r="K6732">
        <v>54</v>
      </c>
      <c r="L6732">
        <v>29.573540000000001</v>
      </c>
      <c r="M6732">
        <v>40.200000000000003</v>
      </c>
      <c r="N6732">
        <v>14.3</v>
      </c>
      <c r="O6732">
        <v>25.9</v>
      </c>
      <c r="P6732">
        <v>27.952089999999998</v>
      </c>
      <c r="Q6732">
        <v>25.8</v>
      </c>
      <c r="R6732">
        <v>31.952089999999998</v>
      </c>
      <c r="S6732">
        <v>24</v>
      </c>
      <c r="T6732">
        <v>493.52089999999998</v>
      </c>
      <c r="U6732">
        <v>166</v>
      </c>
      <c r="V6732">
        <v>0</v>
      </c>
      <c r="W6732">
        <v>133.52090000000001</v>
      </c>
      <c r="X6732">
        <v>388.52089999999998</v>
      </c>
      <c r="Y6732">
        <v>0</v>
      </c>
      <c r="Z6732">
        <v>86</v>
      </c>
      <c r="AA6732">
        <v>0</v>
      </c>
      <c r="AB6732">
        <v>1.288934</v>
      </c>
      <c r="AC6732">
        <v>5.1982130000000001E-2</v>
      </c>
      <c r="AD6732">
        <v>1.557563</v>
      </c>
      <c r="AE6732">
        <v>0.3106255</v>
      </c>
      <c r="AF6732">
        <v>263.8492</v>
      </c>
      <c r="AG6732">
        <f>IFERROR(AH6732*0.1, "N/A")</f>
        <v>6.3953100000000003</v>
      </c>
      <c r="AH6732">
        <v>63.953099999999999</v>
      </c>
      <c r="AI6732">
        <v>102.12090000000001</v>
      </c>
      <c r="AJ6732">
        <v>18</v>
      </c>
      <c r="AK6732">
        <v>63</v>
      </c>
    </row>
    <row r="6733" spans="1:37" x14ac:dyDescent="0.3">
      <c r="A6733">
        <v>6732</v>
      </c>
      <c r="B6733">
        <v>0</v>
      </c>
      <c r="C6733">
        <v>-4.1369999999999996</v>
      </c>
      <c r="D6733">
        <v>14.4</v>
      </c>
      <c r="E6733">
        <f>-4.137-14.4</f>
        <v>-18.536999999999999</v>
      </c>
      <c r="F6733" t="s">
        <v>10169</v>
      </c>
      <c r="G6733" t="s">
        <v>37</v>
      </c>
      <c r="H6733">
        <v>1987</v>
      </c>
      <c r="I6733">
        <v>28</v>
      </c>
      <c r="J6733">
        <v>14.1</v>
      </c>
      <c r="K6733">
        <v>54</v>
      </c>
      <c r="L6733">
        <v>29.573540000000001</v>
      </c>
      <c r="M6733">
        <v>40.200000000000003</v>
      </c>
      <c r="N6733">
        <v>14.3</v>
      </c>
      <c r="O6733">
        <v>25.9</v>
      </c>
      <c r="P6733">
        <v>27.952089999999998</v>
      </c>
      <c r="Q6733">
        <v>25.8</v>
      </c>
      <c r="R6733">
        <v>31.952089999999998</v>
      </c>
      <c r="S6733">
        <v>24</v>
      </c>
      <c r="T6733">
        <v>493.52089999999998</v>
      </c>
      <c r="U6733">
        <v>166</v>
      </c>
      <c r="V6733">
        <v>0</v>
      </c>
      <c r="W6733">
        <v>133.52090000000001</v>
      </c>
      <c r="X6733">
        <v>388.52089999999998</v>
      </c>
      <c r="Y6733">
        <v>0</v>
      </c>
      <c r="Z6733">
        <v>86</v>
      </c>
      <c r="AA6733">
        <v>0</v>
      </c>
      <c r="AB6733">
        <v>1.288934</v>
      </c>
      <c r="AC6733">
        <v>5.1982130000000001E-2</v>
      </c>
      <c r="AD6733">
        <v>1.557563</v>
      </c>
      <c r="AE6733">
        <v>0.3106255</v>
      </c>
      <c r="AF6733">
        <v>263.8492</v>
      </c>
      <c r="AG6733">
        <f>IFERROR(AH6733*0.1, "N/A")</f>
        <v>6.3953100000000003</v>
      </c>
      <c r="AH6733">
        <v>63.953099999999999</v>
      </c>
      <c r="AI6733">
        <v>102.12090000000001</v>
      </c>
      <c r="AJ6733">
        <v>18</v>
      </c>
      <c r="AK6733">
        <v>63</v>
      </c>
    </row>
    <row r="6734" spans="1:37" x14ac:dyDescent="0.3">
      <c r="A6734">
        <v>6733</v>
      </c>
      <c r="B6734">
        <v>76.099999999999994</v>
      </c>
      <c r="C6734">
        <v>-5.8777999999999997</v>
      </c>
      <c r="D6734">
        <v>14.4011</v>
      </c>
      <c r="E6734">
        <f>-5.8778-14.4011</f>
        <v>-20.2789</v>
      </c>
      <c r="F6734" t="s">
        <v>10170</v>
      </c>
      <c r="G6734" t="s">
        <v>39</v>
      </c>
      <c r="H6734">
        <v>1990</v>
      </c>
      <c r="I6734">
        <v>27.2</v>
      </c>
      <c r="J6734">
        <v>15.7</v>
      </c>
      <c r="K6734">
        <v>57</v>
      </c>
      <c r="L6734">
        <v>29.15</v>
      </c>
      <c r="M6734">
        <v>39.9</v>
      </c>
      <c r="N6734">
        <v>12.5</v>
      </c>
      <c r="O6734">
        <v>27.4</v>
      </c>
      <c r="P6734">
        <v>27.3</v>
      </c>
      <c r="Q6734">
        <v>25</v>
      </c>
      <c r="R6734">
        <v>31.1</v>
      </c>
      <c r="S6734">
        <v>23.2</v>
      </c>
      <c r="T6734">
        <v>528</v>
      </c>
      <c r="U6734">
        <v>197</v>
      </c>
      <c r="V6734">
        <v>0</v>
      </c>
      <c r="W6734">
        <v>141</v>
      </c>
      <c r="X6734">
        <v>433</v>
      </c>
      <c r="Y6734">
        <v>1</v>
      </c>
      <c r="Z6734">
        <v>74</v>
      </c>
      <c r="AA6734">
        <v>1</v>
      </c>
      <c r="AB6734">
        <v>0.51172039999999996</v>
      </c>
      <c r="AC6734">
        <v>1.3150790000000001</v>
      </c>
      <c r="AD6734">
        <v>0.81699049999999995</v>
      </c>
      <c r="AE6734">
        <v>0.47454689999999999</v>
      </c>
      <c r="AF6734">
        <v>275.47570000000002</v>
      </c>
      <c r="AG6734">
        <f>IFERROR(AH6734*0.1, "N/A")</f>
        <v>6.3000000000000007</v>
      </c>
      <c r="AH6734">
        <v>63</v>
      </c>
      <c r="AI6734">
        <v>128.42859999999999</v>
      </c>
      <c r="AJ6734">
        <v>15.68342</v>
      </c>
      <c r="AK6734">
        <v>62.316580000000002</v>
      </c>
    </row>
    <row r="6735" spans="1:37" x14ac:dyDescent="0.3">
      <c r="A6735">
        <v>6734</v>
      </c>
      <c r="B6735">
        <v>20.8</v>
      </c>
      <c r="C6735">
        <v>-5.8777999999999997</v>
      </c>
      <c r="D6735">
        <v>14.4011</v>
      </c>
      <c r="E6735">
        <f>-5.8778-14.4011</f>
        <v>-20.2789</v>
      </c>
      <c r="F6735" t="s">
        <v>10171</v>
      </c>
      <c r="G6735" t="s">
        <v>37</v>
      </c>
      <c r="H6735">
        <v>1990</v>
      </c>
      <c r="I6735">
        <v>27.2</v>
      </c>
      <c r="J6735">
        <v>15.7</v>
      </c>
      <c r="K6735">
        <v>57</v>
      </c>
      <c r="L6735">
        <v>29.15</v>
      </c>
      <c r="M6735">
        <v>39.9</v>
      </c>
      <c r="N6735">
        <v>12.5</v>
      </c>
      <c r="O6735">
        <v>27.4</v>
      </c>
      <c r="P6735">
        <v>27.3</v>
      </c>
      <c r="Q6735">
        <v>25</v>
      </c>
      <c r="R6735">
        <v>31.1</v>
      </c>
      <c r="S6735">
        <v>23.2</v>
      </c>
      <c r="T6735">
        <v>528</v>
      </c>
      <c r="U6735">
        <v>197</v>
      </c>
      <c r="V6735">
        <v>0</v>
      </c>
      <c r="W6735">
        <v>141</v>
      </c>
      <c r="X6735">
        <v>433</v>
      </c>
      <c r="Y6735">
        <v>1</v>
      </c>
      <c r="Z6735">
        <v>74</v>
      </c>
      <c r="AA6735">
        <v>1</v>
      </c>
      <c r="AB6735">
        <v>0.51172039999999996</v>
      </c>
      <c r="AC6735">
        <v>1.3150790000000001</v>
      </c>
      <c r="AD6735">
        <v>0.81699049999999995</v>
      </c>
      <c r="AE6735">
        <v>0.47454689999999999</v>
      </c>
      <c r="AF6735">
        <v>275.47570000000002</v>
      </c>
      <c r="AG6735">
        <f>IFERROR(AH6735*0.1, "N/A")</f>
        <v>6.3000000000000007</v>
      </c>
      <c r="AH6735">
        <v>63</v>
      </c>
      <c r="AI6735">
        <v>128.42859999999999</v>
      </c>
      <c r="AJ6735">
        <v>15.68342</v>
      </c>
      <c r="AK6735">
        <v>62.316580000000002</v>
      </c>
    </row>
    <row r="6736" spans="1:37" x14ac:dyDescent="0.3">
      <c r="A6736">
        <v>6735</v>
      </c>
      <c r="B6736">
        <v>62.2</v>
      </c>
      <c r="C6736">
        <v>-3.4207000000000001</v>
      </c>
      <c r="D6736">
        <v>14.4053</v>
      </c>
      <c r="E6736">
        <f>-3.4207-14.4053</f>
        <v>-17.826000000000001</v>
      </c>
      <c r="F6736" t="s">
        <v>10172</v>
      </c>
      <c r="G6736" t="s">
        <v>39</v>
      </c>
      <c r="H6736">
        <v>1986</v>
      </c>
      <c r="I6736">
        <v>26.2</v>
      </c>
      <c r="J6736">
        <v>13.9</v>
      </c>
      <c r="K6736">
        <v>55</v>
      </c>
      <c r="L6736">
        <v>29.36</v>
      </c>
      <c r="M6736">
        <v>38.299999999999997</v>
      </c>
      <c r="N6736">
        <v>13.1</v>
      </c>
      <c r="O6736">
        <v>25.2</v>
      </c>
      <c r="P6736">
        <v>26.2</v>
      </c>
      <c r="Q6736">
        <v>22.2</v>
      </c>
      <c r="R6736">
        <v>30.1</v>
      </c>
      <c r="S6736">
        <v>22.2</v>
      </c>
      <c r="T6736">
        <v>518</v>
      </c>
      <c r="U6736">
        <v>170</v>
      </c>
      <c r="V6736">
        <v>0</v>
      </c>
      <c r="W6736">
        <v>130</v>
      </c>
      <c r="X6736">
        <v>403</v>
      </c>
      <c r="Y6736">
        <v>0</v>
      </c>
      <c r="Z6736">
        <v>89</v>
      </c>
      <c r="AA6736">
        <v>0</v>
      </c>
      <c r="AB6736">
        <v>2.4230200000000002</v>
      </c>
      <c r="AC6736">
        <v>0.39497389999999999</v>
      </c>
      <c r="AD6736">
        <v>2.7869079999999999</v>
      </c>
      <c r="AE6736">
        <v>0.30474289999999998</v>
      </c>
      <c r="AF6736">
        <v>492.7328</v>
      </c>
      <c r="AG6736">
        <f>IFERROR(AH6736*0.1, "N/A")</f>
        <v>6.7309240000000008</v>
      </c>
      <c r="AH6736">
        <v>67.309240000000003</v>
      </c>
      <c r="AI6736">
        <v>138.03399999999999</v>
      </c>
      <c r="AJ6736">
        <v>15.82353</v>
      </c>
      <c r="AK6736">
        <v>68.596639999999994</v>
      </c>
    </row>
    <row r="6737" spans="1:37" x14ac:dyDescent="0.3">
      <c r="A6737">
        <v>6736</v>
      </c>
      <c r="B6737">
        <v>6.1</v>
      </c>
      <c r="C6737">
        <v>-3.4207000000000001</v>
      </c>
      <c r="D6737">
        <v>14.4053</v>
      </c>
      <c r="E6737">
        <f>-3.4207-14.4053</f>
        <v>-17.826000000000001</v>
      </c>
      <c r="F6737" t="s">
        <v>10173</v>
      </c>
      <c r="G6737" t="s">
        <v>37</v>
      </c>
      <c r="H6737">
        <v>1986</v>
      </c>
      <c r="I6737">
        <v>26.2</v>
      </c>
      <c r="J6737">
        <v>13.9</v>
      </c>
      <c r="K6737">
        <v>55</v>
      </c>
      <c r="L6737">
        <v>29.36</v>
      </c>
      <c r="M6737">
        <v>38.299999999999997</v>
      </c>
      <c r="N6737">
        <v>13.1</v>
      </c>
      <c r="O6737">
        <v>25.2</v>
      </c>
      <c r="P6737">
        <v>26.2</v>
      </c>
      <c r="Q6737">
        <v>22.2</v>
      </c>
      <c r="R6737">
        <v>30.1</v>
      </c>
      <c r="S6737">
        <v>22.2</v>
      </c>
      <c r="T6737">
        <v>518</v>
      </c>
      <c r="U6737">
        <v>170</v>
      </c>
      <c r="V6737">
        <v>0</v>
      </c>
      <c r="W6737">
        <v>130</v>
      </c>
      <c r="X6737">
        <v>403</v>
      </c>
      <c r="Y6737">
        <v>0</v>
      </c>
      <c r="Z6737">
        <v>89</v>
      </c>
      <c r="AA6737">
        <v>0</v>
      </c>
      <c r="AB6737">
        <v>2.4230200000000002</v>
      </c>
      <c r="AC6737">
        <v>0.39497389999999999</v>
      </c>
      <c r="AD6737">
        <v>2.7869079999999999</v>
      </c>
      <c r="AE6737">
        <v>0.30474289999999998</v>
      </c>
      <c r="AF6737">
        <v>492.7328</v>
      </c>
      <c r="AG6737">
        <f>IFERROR(AH6737*0.1, "N/A")</f>
        <v>6.7309240000000008</v>
      </c>
      <c r="AH6737">
        <v>67.309240000000003</v>
      </c>
      <c r="AI6737">
        <v>138.03399999999999</v>
      </c>
      <c r="AJ6737">
        <v>15.82353</v>
      </c>
      <c r="AK6737">
        <v>68.596639999999994</v>
      </c>
    </row>
    <row r="6738" spans="1:37" x14ac:dyDescent="0.3">
      <c r="A6738">
        <v>6737</v>
      </c>
      <c r="B6738">
        <v>80</v>
      </c>
      <c r="C6738">
        <v>-4.9250299999999996</v>
      </c>
      <c r="D6738">
        <v>14.405900000000001</v>
      </c>
      <c r="E6738">
        <f>-4.92503-14.4059</f>
        <v>-19.330930000000002</v>
      </c>
      <c r="F6738" t="s">
        <v>10174</v>
      </c>
      <c r="G6738" t="s">
        <v>39</v>
      </c>
      <c r="H6738">
        <v>1987</v>
      </c>
      <c r="I6738">
        <v>27</v>
      </c>
      <c r="J6738">
        <v>14.5</v>
      </c>
      <c r="K6738">
        <v>51</v>
      </c>
      <c r="L6738">
        <v>32.997579999999999</v>
      </c>
      <c r="M6738">
        <v>40.200000000000003</v>
      </c>
      <c r="N6738">
        <v>12.3</v>
      </c>
      <c r="O6738">
        <v>27.9</v>
      </c>
      <c r="P6738">
        <v>27.7</v>
      </c>
      <c r="Q6738">
        <v>23.9</v>
      </c>
      <c r="R6738">
        <v>31.01445</v>
      </c>
      <c r="S6738">
        <v>22.185549999999999</v>
      </c>
      <c r="T6738">
        <v>489.14449999999999</v>
      </c>
      <c r="U6738">
        <v>196.85550000000001</v>
      </c>
      <c r="V6738">
        <v>0</v>
      </c>
      <c r="W6738">
        <v>146</v>
      </c>
      <c r="X6738">
        <v>394.85550000000001</v>
      </c>
      <c r="Y6738">
        <v>1</v>
      </c>
      <c r="Z6738">
        <v>80.144540000000006</v>
      </c>
      <c r="AA6738">
        <v>1</v>
      </c>
      <c r="AB6738">
        <v>0.6013501</v>
      </c>
      <c r="AC6738">
        <v>2.858395E-2</v>
      </c>
      <c r="AD6738">
        <v>0.99740799999999996</v>
      </c>
      <c r="AE6738">
        <v>0.2678661</v>
      </c>
      <c r="AF6738">
        <v>269.76639999999998</v>
      </c>
      <c r="AG6738">
        <f>IFERROR(AH6738*0.1, "N/A")</f>
        <v>5.9</v>
      </c>
      <c r="AH6738">
        <v>59</v>
      </c>
      <c r="AI6738">
        <v>89.421040000000005</v>
      </c>
      <c r="AJ6738">
        <v>21.141179999999999</v>
      </c>
      <c r="AK6738">
        <v>55.1479</v>
      </c>
    </row>
    <row r="6739" spans="1:37" x14ac:dyDescent="0.3">
      <c r="A6739">
        <v>6738</v>
      </c>
      <c r="B6739">
        <v>0</v>
      </c>
      <c r="C6739">
        <v>-4.9250299999999996</v>
      </c>
      <c r="D6739">
        <v>14.405900000000001</v>
      </c>
      <c r="E6739">
        <f>-4.92503-14.4059</f>
        <v>-19.330930000000002</v>
      </c>
      <c r="F6739" t="s">
        <v>10175</v>
      </c>
      <c r="G6739" t="s">
        <v>37</v>
      </c>
      <c r="H6739">
        <v>1987</v>
      </c>
      <c r="I6739">
        <v>27</v>
      </c>
      <c r="J6739">
        <v>14.5</v>
      </c>
      <c r="K6739">
        <v>51</v>
      </c>
      <c r="L6739">
        <v>32.997579999999999</v>
      </c>
      <c r="M6739">
        <v>40.200000000000003</v>
      </c>
      <c r="N6739">
        <v>12.3</v>
      </c>
      <c r="O6739">
        <v>27.9</v>
      </c>
      <c r="P6739">
        <v>27.7</v>
      </c>
      <c r="Q6739">
        <v>23.9</v>
      </c>
      <c r="R6739">
        <v>31.01445</v>
      </c>
      <c r="S6739">
        <v>22.185549999999999</v>
      </c>
      <c r="T6739">
        <v>489.14449999999999</v>
      </c>
      <c r="U6739">
        <v>196.85550000000001</v>
      </c>
      <c r="V6739">
        <v>0</v>
      </c>
      <c r="W6739">
        <v>146</v>
      </c>
      <c r="X6739">
        <v>394.85550000000001</v>
      </c>
      <c r="Y6739">
        <v>1</v>
      </c>
      <c r="Z6739">
        <v>80.144540000000006</v>
      </c>
      <c r="AA6739">
        <v>1</v>
      </c>
      <c r="AB6739">
        <v>0.6013501</v>
      </c>
      <c r="AC6739">
        <v>2.858395E-2</v>
      </c>
      <c r="AD6739">
        <v>0.99740799999999996</v>
      </c>
      <c r="AE6739">
        <v>0.2678661</v>
      </c>
      <c r="AF6739">
        <v>269.76639999999998</v>
      </c>
      <c r="AG6739">
        <f>IFERROR(AH6739*0.1, "N/A")</f>
        <v>5.9</v>
      </c>
      <c r="AH6739">
        <v>59</v>
      </c>
      <c r="AI6739">
        <v>89.421040000000005</v>
      </c>
      <c r="AJ6739">
        <v>21.141179999999999</v>
      </c>
      <c r="AK6739">
        <v>55.1479</v>
      </c>
    </row>
    <row r="6740" spans="1:37" x14ac:dyDescent="0.3">
      <c r="A6740">
        <v>6739</v>
      </c>
      <c r="B6740">
        <v>35.9</v>
      </c>
      <c r="C6740">
        <v>-3.74979</v>
      </c>
      <c r="D6740">
        <v>14.406000000000001</v>
      </c>
      <c r="E6740">
        <f>-3.74979-14.406</f>
        <v>-18.15579</v>
      </c>
      <c r="F6740" t="s">
        <v>10176</v>
      </c>
      <c r="G6740" t="s">
        <v>39</v>
      </c>
      <c r="H6740">
        <v>1990</v>
      </c>
      <c r="I6740">
        <v>27.067679999999999</v>
      </c>
      <c r="J6740">
        <v>13.9</v>
      </c>
      <c r="K6740">
        <v>54</v>
      </c>
      <c r="L6740">
        <v>29.84</v>
      </c>
      <c r="M6740">
        <v>39.167679999999997</v>
      </c>
      <c r="N6740">
        <v>13.635350000000001</v>
      </c>
      <c r="O6740">
        <v>25.532319999999999</v>
      </c>
      <c r="P6740">
        <v>27.067679999999999</v>
      </c>
      <c r="Q6740">
        <v>22.967680000000001</v>
      </c>
      <c r="R6740">
        <v>30.967680000000001</v>
      </c>
      <c r="S6740">
        <v>22.967680000000001</v>
      </c>
      <c r="T6740">
        <v>504.6465</v>
      </c>
      <c r="U6740">
        <v>168.32320000000001</v>
      </c>
      <c r="V6740">
        <v>0</v>
      </c>
      <c r="W6740">
        <v>131.32320000000001</v>
      </c>
      <c r="X6740">
        <v>394.6465</v>
      </c>
      <c r="Y6740">
        <v>0</v>
      </c>
      <c r="Z6740">
        <v>87</v>
      </c>
      <c r="AA6740">
        <v>0</v>
      </c>
      <c r="AB6740">
        <v>1.1562300000000001</v>
      </c>
      <c r="AC6740">
        <v>8.2162690000000005</v>
      </c>
      <c r="AD6740">
        <v>0.86134390000000005</v>
      </c>
      <c r="AE6740">
        <v>0.49226569999999997</v>
      </c>
      <c r="AF6740">
        <v>357.92930000000001</v>
      </c>
      <c r="AG6740">
        <f>IFERROR(AH6740*0.1, "N/A")</f>
        <v>7.0047139999999999</v>
      </c>
      <c r="AH6740">
        <v>70.047139999999999</v>
      </c>
      <c r="AI6740">
        <v>185.88560000000001</v>
      </c>
      <c r="AJ6740">
        <v>14.9899</v>
      </c>
      <c r="AK6740">
        <v>71.878789999999995</v>
      </c>
    </row>
    <row r="6741" spans="1:37" x14ac:dyDescent="0.3">
      <c r="A6741">
        <v>6740</v>
      </c>
      <c r="B6741">
        <v>0</v>
      </c>
      <c r="C6741">
        <v>-3.74979</v>
      </c>
      <c r="D6741">
        <v>14.406000000000001</v>
      </c>
      <c r="E6741">
        <f>-3.74979-14.406</f>
        <v>-18.15579</v>
      </c>
      <c r="F6741" t="s">
        <v>10177</v>
      </c>
      <c r="G6741" t="s">
        <v>37</v>
      </c>
      <c r="H6741">
        <v>1990</v>
      </c>
      <c r="I6741">
        <v>27.067679999999999</v>
      </c>
      <c r="J6741">
        <v>13.9</v>
      </c>
      <c r="K6741">
        <v>54</v>
      </c>
      <c r="L6741">
        <v>29.84</v>
      </c>
      <c r="M6741">
        <v>39.167679999999997</v>
      </c>
      <c r="N6741">
        <v>13.635350000000001</v>
      </c>
      <c r="O6741">
        <v>25.532319999999999</v>
      </c>
      <c r="P6741">
        <v>27.067679999999999</v>
      </c>
      <c r="Q6741">
        <v>22.967680000000001</v>
      </c>
      <c r="R6741">
        <v>30.967680000000001</v>
      </c>
      <c r="S6741">
        <v>22.967680000000001</v>
      </c>
      <c r="T6741">
        <v>504.6465</v>
      </c>
      <c r="U6741">
        <v>168.32320000000001</v>
      </c>
      <c r="V6741">
        <v>0</v>
      </c>
      <c r="W6741">
        <v>131.32320000000001</v>
      </c>
      <c r="X6741">
        <v>394.6465</v>
      </c>
      <c r="Y6741">
        <v>0</v>
      </c>
      <c r="Z6741">
        <v>87</v>
      </c>
      <c r="AA6741">
        <v>0</v>
      </c>
      <c r="AB6741">
        <v>1.1562300000000001</v>
      </c>
      <c r="AC6741">
        <v>8.2162690000000005</v>
      </c>
      <c r="AD6741">
        <v>0.86134390000000005</v>
      </c>
      <c r="AE6741">
        <v>0.49226569999999997</v>
      </c>
      <c r="AF6741">
        <v>357.92930000000001</v>
      </c>
      <c r="AG6741">
        <f>IFERROR(AH6741*0.1, "N/A")</f>
        <v>7.0047139999999999</v>
      </c>
      <c r="AH6741">
        <v>70.047139999999999</v>
      </c>
      <c r="AI6741">
        <v>185.88560000000001</v>
      </c>
      <c r="AJ6741">
        <v>14.9899</v>
      </c>
      <c r="AK6741">
        <v>71.878789999999995</v>
      </c>
    </row>
    <row r="6742" spans="1:37" x14ac:dyDescent="0.3">
      <c r="A6742">
        <v>6741</v>
      </c>
      <c r="B6742">
        <v>80</v>
      </c>
      <c r="C6742">
        <v>-3.4910000000000001</v>
      </c>
      <c r="D6742">
        <v>14.407</v>
      </c>
      <c r="E6742">
        <f>-3.491-14.407</f>
        <v>-17.898</v>
      </c>
      <c r="F6742" t="s">
        <v>10178</v>
      </c>
      <c r="G6742" t="s">
        <v>39</v>
      </c>
      <c r="H6742">
        <v>1990</v>
      </c>
      <c r="I6742">
        <v>26.601680000000002</v>
      </c>
      <c r="J6742">
        <v>13.9</v>
      </c>
      <c r="K6742">
        <v>54.98319</v>
      </c>
      <c r="L6742">
        <v>29.75966</v>
      </c>
      <c r="M6742">
        <v>38.700000000000003</v>
      </c>
      <c r="N6742">
        <v>13.49832</v>
      </c>
      <c r="O6742">
        <v>25.20168</v>
      </c>
      <c r="P6742">
        <v>26.6</v>
      </c>
      <c r="Q6742">
        <v>22.5</v>
      </c>
      <c r="R6742">
        <v>30.6</v>
      </c>
      <c r="S6742">
        <v>22.5</v>
      </c>
      <c r="T6742">
        <v>512.98320000000001</v>
      </c>
      <c r="U6742">
        <v>170</v>
      </c>
      <c r="V6742">
        <v>0</v>
      </c>
      <c r="W6742">
        <v>133</v>
      </c>
      <c r="X6742">
        <v>400.98320000000001</v>
      </c>
      <c r="Y6742">
        <v>0</v>
      </c>
      <c r="Z6742">
        <v>88</v>
      </c>
      <c r="AA6742">
        <v>0</v>
      </c>
      <c r="AB6742">
        <v>16.77092</v>
      </c>
      <c r="AC6742">
        <v>1.161179E-2</v>
      </c>
      <c r="AD6742">
        <v>4.1212960000000001</v>
      </c>
      <c r="AE6742">
        <v>0.35648590000000002</v>
      </c>
      <c r="AF6742">
        <v>434.57819999999998</v>
      </c>
      <c r="AG6742">
        <f>IFERROR(AH6742*0.1, "N/A")</f>
        <v>6.7998320000000012</v>
      </c>
      <c r="AH6742">
        <v>67.998320000000007</v>
      </c>
      <c r="AI6742">
        <v>160.4126</v>
      </c>
      <c r="AJ6742">
        <v>16.378150000000002</v>
      </c>
      <c r="AK6742">
        <v>65.623530000000002</v>
      </c>
    </row>
    <row r="6743" spans="1:37" x14ac:dyDescent="0.3">
      <c r="A6743">
        <v>6742</v>
      </c>
      <c r="B6743">
        <v>3.5</v>
      </c>
      <c r="C6743">
        <v>-3.4910000000000001</v>
      </c>
      <c r="D6743">
        <v>14.407</v>
      </c>
      <c r="E6743">
        <f>-3.491-14.407</f>
        <v>-17.898</v>
      </c>
      <c r="F6743" t="s">
        <v>10179</v>
      </c>
      <c r="G6743" t="s">
        <v>37</v>
      </c>
      <c r="H6743">
        <v>1990</v>
      </c>
      <c r="I6743">
        <v>26.601680000000002</v>
      </c>
      <c r="J6743">
        <v>13.9</v>
      </c>
      <c r="K6743">
        <v>54.98319</v>
      </c>
      <c r="L6743">
        <v>29.75966</v>
      </c>
      <c r="M6743">
        <v>38.700000000000003</v>
      </c>
      <c r="N6743">
        <v>13.49832</v>
      </c>
      <c r="O6743">
        <v>25.20168</v>
      </c>
      <c r="P6743">
        <v>26.6</v>
      </c>
      <c r="Q6743">
        <v>22.5</v>
      </c>
      <c r="R6743">
        <v>30.6</v>
      </c>
      <c r="S6743">
        <v>22.5</v>
      </c>
      <c r="T6743">
        <v>512.98320000000001</v>
      </c>
      <c r="U6743">
        <v>170</v>
      </c>
      <c r="V6743">
        <v>0</v>
      </c>
      <c r="W6743">
        <v>133</v>
      </c>
      <c r="X6743">
        <v>400.98320000000001</v>
      </c>
      <c r="Y6743">
        <v>0</v>
      </c>
      <c r="Z6743">
        <v>88</v>
      </c>
      <c r="AA6743">
        <v>0</v>
      </c>
      <c r="AB6743">
        <v>16.77092</v>
      </c>
      <c r="AC6743">
        <v>1.161179E-2</v>
      </c>
      <c r="AD6743">
        <v>4.1212960000000001</v>
      </c>
      <c r="AE6743">
        <v>0.35648590000000002</v>
      </c>
      <c r="AF6743">
        <v>434.57819999999998</v>
      </c>
      <c r="AG6743">
        <f>IFERROR(AH6743*0.1, "N/A")</f>
        <v>6.7998320000000012</v>
      </c>
      <c r="AH6743">
        <v>67.998320000000007</v>
      </c>
      <c r="AI6743">
        <v>160.4126</v>
      </c>
      <c r="AJ6743">
        <v>16.378150000000002</v>
      </c>
      <c r="AK6743">
        <v>65.623530000000002</v>
      </c>
    </row>
    <row r="6744" spans="1:37" x14ac:dyDescent="0.3">
      <c r="A6744">
        <v>6743</v>
      </c>
      <c r="B6744">
        <v>78.2</v>
      </c>
      <c r="C6744">
        <v>-3.4544899999999998</v>
      </c>
      <c r="D6744">
        <v>14.409000000000001</v>
      </c>
      <c r="E6744">
        <f>-3.45449-14.409</f>
        <v>-17.863489999999999</v>
      </c>
      <c r="F6744" t="s">
        <v>10180</v>
      </c>
      <c r="G6744" t="s">
        <v>39</v>
      </c>
      <c r="H6744">
        <v>1990</v>
      </c>
      <c r="I6744">
        <v>26.5</v>
      </c>
      <c r="J6744">
        <v>13.9</v>
      </c>
      <c r="K6744">
        <v>55</v>
      </c>
      <c r="L6744">
        <v>29.38</v>
      </c>
      <c r="M6744">
        <v>38.5</v>
      </c>
      <c r="N6744">
        <v>13.3</v>
      </c>
      <c r="O6744">
        <v>25.2</v>
      </c>
      <c r="P6744">
        <v>26.5</v>
      </c>
      <c r="Q6744">
        <v>22.4</v>
      </c>
      <c r="R6744">
        <v>30.3</v>
      </c>
      <c r="S6744">
        <v>22.4</v>
      </c>
      <c r="T6744">
        <v>514</v>
      </c>
      <c r="U6744">
        <v>170</v>
      </c>
      <c r="V6744">
        <v>0</v>
      </c>
      <c r="W6744">
        <v>133</v>
      </c>
      <c r="X6744">
        <v>401</v>
      </c>
      <c r="Y6744">
        <v>0</v>
      </c>
      <c r="Z6744">
        <v>89</v>
      </c>
      <c r="AA6744">
        <v>0</v>
      </c>
      <c r="AB6744">
        <v>5.598649</v>
      </c>
      <c r="AC6744">
        <v>9.3455849999999998</v>
      </c>
      <c r="AD6744">
        <v>5.6698310000000003</v>
      </c>
      <c r="AE6744">
        <v>0.2841012</v>
      </c>
      <c r="AF6744">
        <v>453.97309999999999</v>
      </c>
      <c r="AG6744">
        <f>IFERROR(AH6744*0.1, "N/A")</f>
        <v>6.7</v>
      </c>
      <c r="AH6744">
        <v>67</v>
      </c>
      <c r="AI6744">
        <v>124.6904</v>
      </c>
      <c r="AJ6744">
        <v>16</v>
      </c>
      <c r="AK6744">
        <v>64.289559999999994</v>
      </c>
    </row>
    <row r="6745" spans="1:37" x14ac:dyDescent="0.3">
      <c r="A6745">
        <v>6744</v>
      </c>
      <c r="B6745">
        <v>5.9</v>
      </c>
      <c r="C6745">
        <v>-3.4544899999999998</v>
      </c>
      <c r="D6745">
        <v>14.409000000000001</v>
      </c>
      <c r="E6745">
        <f>-3.45449-14.409</f>
        <v>-17.863489999999999</v>
      </c>
      <c r="F6745" t="s">
        <v>10181</v>
      </c>
      <c r="G6745" t="s">
        <v>37</v>
      </c>
      <c r="H6745">
        <v>1990</v>
      </c>
      <c r="I6745">
        <v>26.5</v>
      </c>
      <c r="J6745">
        <v>13.9</v>
      </c>
      <c r="K6745">
        <v>55</v>
      </c>
      <c r="L6745">
        <v>29.38</v>
      </c>
      <c r="M6745">
        <v>38.5</v>
      </c>
      <c r="N6745">
        <v>13.3</v>
      </c>
      <c r="O6745">
        <v>25.2</v>
      </c>
      <c r="P6745">
        <v>26.5</v>
      </c>
      <c r="Q6745">
        <v>22.4</v>
      </c>
      <c r="R6745">
        <v>30.3</v>
      </c>
      <c r="S6745">
        <v>22.4</v>
      </c>
      <c r="T6745">
        <v>514</v>
      </c>
      <c r="U6745">
        <v>170</v>
      </c>
      <c r="V6745">
        <v>0</v>
      </c>
      <c r="W6745">
        <v>133</v>
      </c>
      <c r="X6745">
        <v>401</v>
      </c>
      <c r="Y6745">
        <v>0</v>
      </c>
      <c r="Z6745">
        <v>89</v>
      </c>
      <c r="AA6745">
        <v>0</v>
      </c>
      <c r="AB6745">
        <v>5.598649</v>
      </c>
      <c r="AC6745">
        <v>9.3455849999999998</v>
      </c>
      <c r="AD6745">
        <v>5.6698310000000003</v>
      </c>
      <c r="AE6745">
        <v>0.2841012</v>
      </c>
      <c r="AF6745">
        <v>453.97309999999999</v>
      </c>
      <c r="AG6745">
        <f>IFERROR(AH6745*0.1, "N/A")</f>
        <v>6.7</v>
      </c>
      <c r="AH6745">
        <v>67</v>
      </c>
      <c r="AI6745">
        <v>124.6904</v>
      </c>
      <c r="AJ6745">
        <v>16</v>
      </c>
      <c r="AK6745">
        <v>64.289559999999994</v>
      </c>
    </row>
    <row r="6746" spans="1:37" x14ac:dyDescent="0.3">
      <c r="A6746">
        <v>6745</v>
      </c>
      <c r="B6746">
        <v>80</v>
      </c>
      <c r="C6746">
        <v>-3.2059299999999999</v>
      </c>
      <c r="D6746">
        <v>14.4093</v>
      </c>
      <c r="E6746">
        <f>-3.20593-14.4093</f>
        <v>-17.61523</v>
      </c>
      <c r="F6746" t="s">
        <v>10182</v>
      </c>
      <c r="G6746" t="s">
        <v>39</v>
      </c>
      <c r="H6746">
        <v>1990</v>
      </c>
      <c r="I6746">
        <v>27.7</v>
      </c>
      <c r="J6746">
        <v>13.9</v>
      </c>
      <c r="K6746">
        <v>55</v>
      </c>
      <c r="L6746">
        <v>29.3</v>
      </c>
      <c r="M6746">
        <v>39.6</v>
      </c>
      <c r="N6746">
        <v>14.6</v>
      </c>
      <c r="O6746">
        <v>25</v>
      </c>
      <c r="P6746">
        <v>27.6</v>
      </c>
      <c r="Q6746">
        <v>23.7</v>
      </c>
      <c r="R6746">
        <v>31.6</v>
      </c>
      <c r="S6746">
        <v>23.7</v>
      </c>
      <c r="T6746">
        <v>500</v>
      </c>
      <c r="U6746">
        <v>164</v>
      </c>
      <c r="V6746">
        <v>0</v>
      </c>
      <c r="W6746">
        <v>132</v>
      </c>
      <c r="X6746">
        <v>389</v>
      </c>
      <c r="Y6746">
        <v>0</v>
      </c>
      <c r="Z6746">
        <v>87</v>
      </c>
      <c r="AA6746">
        <v>0</v>
      </c>
      <c r="AB6746">
        <v>3.473503</v>
      </c>
      <c r="AC6746">
        <v>1.0299539999999999E-2</v>
      </c>
      <c r="AD6746">
        <v>1.1747639999999999</v>
      </c>
      <c r="AE6746">
        <v>0.38696019999999998</v>
      </c>
      <c r="AF6746">
        <v>297.37920000000003</v>
      </c>
      <c r="AG6746">
        <f>IFERROR(AH6746*0.1, "N/A")</f>
        <v>6.7105700000000006</v>
      </c>
      <c r="AH6746">
        <v>67.105699999999999</v>
      </c>
      <c r="AI6746">
        <v>159.51339999999999</v>
      </c>
      <c r="AJ6746">
        <v>12.36242</v>
      </c>
      <c r="AK6746">
        <v>74.63758</v>
      </c>
    </row>
    <row r="6747" spans="1:37" x14ac:dyDescent="0.3">
      <c r="A6747">
        <v>6746</v>
      </c>
      <c r="B6747">
        <v>1.7</v>
      </c>
      <c r="C6747">
        <v>-3.2059299999999999</v>
      </c>
      <c r="D6747">
        <v>14.4093</v>
      </c>
      <c r="E6747">
        <f>-3.20593-14.4093</f>
        <v>-17.61523</v>
      </c>
      <c r="F6747" t="s">
        <v>10183</v>
      </c>
      <c r="G6747" t="s">
        <v>37</v>
      </c>
      <c r="H6747">
        <v>1990</v>
      </c>
      <c r="I6747">
        <v>27.7</v>
      </c>
      <c r="J6747">
        <v>13.9</v>
      </c>
      <c r="K6747">
        <v>55</v>
      </c>
      <c r="L6747">
        <v>29.3</v>
      </c>
      <c r="M6747">
        <v>39.6</v>
      </c>
      <c r="N6747">
        <v>14.6</v>
      </c>
      <c r="O6747">
        <v>25</v>
      </c>
      <c r="P6747">
        <v>27.6</v>
      </c>
      <c r="Q6747">
        <v>23.7</v>
      </c>
      <c r="R6747">
        <v>31.6</v>
      </c>
      <c r="S6747">
        <v>23.7</v>
      </c>
      <c r="T6747">
        <v>500</v>
      </c>
      <c r="U6747">
        <v>164</v>
      </c>
      <c r="V6747">
        <v>0</v>
      </c>
      <c r="W6747">
        <v>132</v>
      </c>
      <c r="X6747">
        <v>389</v>
      </c>
      <c r="Y6747">
        <v>0</v>
      </c>
      <c r="Z6747">
        <v>87</v>
      </c>
      <c r="AA6747">
        <v>0</v>
      </c>
      <c r="AB6747">
        <v>3.473503</v>
      </c>
      <c r="AC6747">
        <v>1.0299539999999999E-2</v>
      </c>
      <c r="AD6747">
        <v>1.1747639999999999</v>
      </c>
      <c r="AE6747">
        <v>0.38696019999999998</v>
      </c>
      <c r="AF6747">
        <v>297.37920000000003</v>
      </c>
      <c r="AG6747">
        <f>IFERROR(AH6747*0.1, "N/A")</f>
        <v>6.7105700000000006</v>
      </c>
      <c r="AH6747">
        <v>67.105699999999999</v>
      </c>
      <c r="AI6747">
        <v>159.51339999999999</v>
      </c>
      <c r="AJ6747">
        <v>12.36242</v>
      </c>
      <c r="AK6747">
        <v>74.63758</v>
      </c>
    </row>
    <row r="6748" spans="1:37" x14ac:dyDescent="0.3">
      <c r="A6748">
        <v>6747</v>
      </c>
      <c r="B6748">
        <v>79.599999999999994</v>
      </c>
      <c r="C6748">
        <v>-3.5108899999999998</v>
      </c>
      <c r="D6748">
        <v>14.4099</v>
      </c>
      <c r="E6748">
        <f>-3.51089-14.4099</f>
        <v>-17.92079</v>
      </c>
      <c r="F6748" t="s">
        <v>10184</v>
      </c>
      <c r="G6748" t="s">
        <v>39</v>
      </c>
      <c r="H6748">
        <v>1990</v>
      </c>
      <c r="I6748">
        <v>26.7</v>
      </c>
      <c r="J6748">
        <v>13.9</v>
      </c>
      <c r="K6748">
        <v>54</v>
      </c>
      <c r="L6748">
        <v>29.72</v>
      </c>
      <c r="M6748">
        <v>38.700000000000003</v>
      </c>
      <c r="N6748">
        <v>13.4</v>
      </c>
      <c r="O6748">
        <v>25.3</v>
      </c>
      <c r="P6748">
        <v>26.7</v>
      </c>
      <c r="Q6748">
        <v>22.5</v>
      </c>
      <c r="R6748">
        <v>30.6</v>
      </c>
      <c r="S6748">
        <v>22.5</v>
      </c>
      <c r="T6748">
        <v>512</v>
      </c>
      <c r="U6748">
        <v>170</v>
      </c>
      <c r="V6748">
        <v>0</v>
      </c>
      <c r="W6748">
        <v>133</v>
      </c>
      <c r="X6748">
        <v>400</v>
      </c>
      <c r="Y6748">
        <v>0</v>
      </c>
      <c r="Z6748">
        <v>88</v>
      </c>
      <c r="AA6748">
        <v>0</v>
      </c>
      <c r="AB6748">
        <v>12.20035</v>
      </c>
      <c r="AC6748">
        <v>1.229387E-2</v>
      </c>
      <c r="AD6748">
        <v>2.6922670000000002</v>
      </c>
      <c r="AE6748">
        <v>0.31327729999999998</v>
      </c>
      <c r="AF6748">
        <v>417.95460000000003</v>
      </c>
      <c r="AG6748">
        <f>IFERROR(AH6748*0.1, "N/A")</f>
        <v>6.8618489999999994</v>
      </c>
      <c r="AH6748">
        <v>68.618489999999994</v>
      </c>
      <c r="AI6748">
        <v>198.6773</v>
      </c>
      <c r="AJ6748">
        <v>15.4605</v>
      </c>
      <c r="AK6748">
        <v>66.226889999999997</v>
      </c>
    </row>
    <row r="6749" spans="1:37" x14ac:dyDescent="0.3">
      <c r="A6749">
        <v>6748</v>
      </c>
      <c r="B6749">
        <v>18.600000000000001</v>
      </c>
      <c r="C6749">
        <v>-3.5108899999999998</v>
      </c>
      <c r="D6749">
        <v>14.4099</v>
      </c>
      <c r="E6749">
        <f>-3.51089-14.4099</f>
        <v>-17.92079</v>
      </c>
      <c r="F6749" t="s">
        <v>10185</v>
      </c>
      <c r="G6749" t="s">
        <v>37</v>
      </c>
      <c r="H6749">
        <v>1990</v>
      </c>
      <c r="I6749">
        <v>26.7</v>
      </c>
      <c r="J6749">
        <v>13.9</v>
      </c>
      <c r="K6749">
        <v>54</v>
      </c>
      <c r="L6749">
        <v>29.72</v>
      </c>
      <c r="M6749">
        <v>38.700000000000003</v>
      </c>
      <c r="N6749">
        <v>13.4</v>
      </c>
      <c r="O6749">
        <v>25.3</v>
      </c>
      <c r="P6749">
        <v>26.7</v>
      </c>
      <c r="Q6749">
        <v>22.5</v>
      </c>
      <c r="R6749">
        <v>30.6</v>
      </c>
      <c r="S6749">
        <v>22.5</v>
      </c>
      <c r="T6749">
        <v>512</v>
      </c>
      <c r="U6749">
        <v>170</v>
      </c>
      <c r="V6749">
        <v>0</v>
      </c>
      <c r="W6749">
        <v>133</v>
      </c>
      <c r="X6749">
        <v>400</v>
      </c>
      <c r="Y6749">
        <v>0</v>
      </c>
      <c r="Z6749">
        <v>88</v>
      </c>
      <c r="AA6749">
        <v>0</v>
      </c>
      <c r="AB6749">
        <v>12.20035</v>
      </c>
      <c r="AC6749">
        <v>1.229387E-2</v>
      </c>
      <c r="AD6749">
        <v>2.6922670000000002</v>
      </c>
      <c r="AE6749">
        <v>0.31327729999999998</v>
      </c>
      <c r="AF6749">
        <v>417.95460000000003</v>
      </c>
      <c r="AG6749">
        <f>IFERROR(AH6749*0.1, "N/A")</f>
        <v>6.8618489999999994</v>
      </c>
      <c r="AH6749">
        <v>68.618489999999994</v>
      </c>
      <c r="AI6749">
        <v>198.6773</v>
      </c>
      <c r="AJ6749">
        <v>15.4605</v>
      </c>
      <c r="AK6749">
        <v>66.226889999999997</v>
      </c>
    </row>
    <row r="6750" spans="1:37" x14ac:dyDescent="0.3">
      <c r="A6750">
        <v>6749</v>
      </c>
      <c r="B6750">
        <v>38.1</v>
      </c>
      <c r="C6750">
        <v>-3.5365899999999999</v>
      </c>
      <c r="D6750">
        <v>14.4114</v>
      </c>
      <c r="E6750">
        <f>-3.53659-14.4114</f>
        <v>-17.947990000000001</v>
      </c>
      <c r="F6750" t="s">
        <v>10186</v>
      </c>
      <c r="G6750" t="s">
        <v>39</v>
      </c>
      <c r="H6750">
        <v>1990</v>
      </c>
      <c r="I6750">
        <v>26.7</v>
      </c>
      <c r="J6750">
        <v>13.9</v>
      </c>
      <c r="K6750">
        <v>54</v>
      </c>
      <c r="L6750">
        <v>29.66</v>
      </c>
      <c r="M6750">
        <v>38.700000000000003</v>
      </c>
      <c r="N6750">
        <v>13.4</v>
      </c>
      <c r="O6750">
        <v>25.3</v>
      </c>
      <c r="P6750">
        <v>26.7</v>
      </c>
      <c r="Q6750">
        <v>22.5</v>
      </c>
      <c r="R6750">
        <v>30.6</v>
      </c>
      <c r="S6750">
        <v>22.5</v>
      </c>
      <c r="T6750">
        <v>511</v>
      </c>
      <c r="U6750">
        <v>170</v>
      </c>
      <c r="V6750">
        <v>0</v>
      </c>
      <c r="W6750">
        <v>133</v>
      </c>
      <c r="X6750">
        <v>400</v>
      </c>
      <c r="Y6750">
        <v>0</v>
      </c>
      <c r="Z6750">
        <v>87</v>
      </c>
      <c r="AA6750">
        <v>0</v>
      </c>
      <c r="AB6750">
        <v>2.63489</v>
      </c>
      <c r="AC6750">
        <v>1.93831</v>
      </c>
      <c r="AD6750">
        <v>1.856546</v>
      </c>
      <c r="AE6750">
        <v>0.29494860000000001</v>
      </c>
      <c r="AF6750">
        <v>408.61739999999998</v>
      </c>
      <c r="AG6750">
        <f>IFERROR(AH6750*0.1, "N/A")</f>
        <v>7</v>
      </c>
      <c r="AH6750">
        <v>70</v>
      </c>
      <c r="AI6750">
        <v>159.4504</v>
      </c>
      <c r="AJ6750">
        <v>14.41611</v>
      </c>
      <c r="AK6750">
        <v>73</v>
      </c>
    </row>
    <row r="6751" spans="1:37" x14ac:dyDescent="0.3">
      <c r="A6751">
        <v>6750</v>
      </c>
      <c r="B6751">
        <v>28.6</v>
      </c>
      <c r="C6751">
        <v>-3.5365899999999999</v>
      </c>
      <c r="D6751">
        <v>14.4114</v>
      </c>
      <c r="E6751">
        <f>-3.53659-14.4114</f>
        <v>-17.947990000000001</v>
      </c>
      <c r="F6751" t="s">
        <v>10187</v>
      </c>
      <c r="G6751" t="s">
        <v>37</v>
      </c>
      <c r="H6751">
        <v>1990</v>
      </c>
      <c r="I6751">
        <v>26.7</v>
      </c>
      <c r="J6751">
        <v>13.9</v>
      </c>
      <c r="K6751">
        <v>54</v>
      </c>
      <c r="L6751">
        <v>29.66</v>
      </c>
      <c r="M6751">
        <v>38.700000000000003</v>
      </c>
      <c r="N6751">
        <v>13.4</v>
      </c>
      <c r="O6751">
        <v>25.3</v>
      </c>
      <c r="P6751">
        <v>26.7</v>
      </c>
      <c r="Q6751">
        <v>22.5</v>
      </c>
      <c r="R6751">
        <v>30.6</v>
      </c>
      <c r="S6751">
        <v>22.5</v>
      </c>
      <c r="T6751">
        <v>511</v>
      </c>
      <c r="U6751">
        <v>170</v>
      </c>
      <c r="V6751">
        <v>0</v>
      </c>
      <c r="W6751">
        <v>133</v>
      </c>
      <c r="X6751">
        <v>400</v>
      </c>
      <c r="Y6751">
        <v>0</v>
      </c>
      <c r="Z6751">
        <v>87</v>
      </c>
      <c r="AA6751">
        <v>0</v>
      </c>
      <c r="AB6751">
        <v>2.63489</v>
      </c>
      <c r="AC6751">
        <v>1.93831</v>
      </c>
      <c r="AD6751">
        <v>1.856546</v>
      </c>
      <c r="AE6751">
        <v>0.29494860000000001</v>
      </c>
      <c r="AF6751">
        <v>408.61739999999998</v>
      </c>
      <c r="AG6751">
        <f>IFERROR(AH6751*0.1, "N/A")</f>
        <v>7</v>
      </c>
      <c r="AH6751">
        <v>70</v>
      </c>
      <c r="AI6751">
        <v>159.4504</v>
      </c>
      <c r="AJ6751">
        <v>14.41611</v>
      </c>
      <c r="AK6751">
        <v>73</v>
      </c>
    </row>
    <row r="6752" spans="1:37" x14ac:dyDescent="0.3">
      <c r="A6752">
        <v>6751</v>
      </c>
      <c r="B6752">
        <v>77.099999999999994</v>
      </c>
      <c r="C6752">
        <v>-5.98055</v>
      </c>
      <c r="D6752">
        <v>14.4153</v>
      </c>
      <c r="E6752">
        <f>-5.98055-14.4153</f>
        <v>-20.395849999999999</v>
      </c>
      <c r="F6752" t="s">
        <v>10188</v>
      </c>
      <c r="G6752" t="s">
        <v>39</v>
      </c>
      <c r="H6752">
        <v>1990</v>
      </c>
      <c r="I6752">
        <v>27.3</v>
      </c>
      <c r="J6752">
        <v>15.7</v>
      </c>
      <c r="K6752">
        <v>57</v>
      </c>
      <c r="L6752">
        <v>28.63</v>
      </c>
      <c r="M6752">
        <v>39.9</v>
      </c>
      <c r="N6752">
        <v>12.7</v>
      </c>
      <c r="O6752">
        <v>27.2</v>
      </c>
      <c r="P6752">
        <v>27.3</v>
      </c>
      <c r="Q6752">
        <v>25.1</v>
      </c>
      <c r="R6752">
        <v>31.1</v>
      </c>
      <c r="S6752">
        <v>23.4</v>
      </c>
      <c r="T6752">
        <v>528</v>
      </c>
      <c r="U6752">
        <v>197</v>
      </c>
      <c r="V6752">
        <v>0</v>
      </c>
      <c r="W6752">
        <v>142</v>
      </c>
      <c r="X6752">
        <v>434</v>
      </c>
      <c r="Y6752">
        <v>1</v>
      </c>
      <c r="Z6752">
        <v>73</v>
      </c>
      <c r="AA6752">
        <v>1</v>
      </c>
      <c r="AB6752">
        <v>0.92555739999999997</v>
      </c>
      <c r="AC6752">
        <v>1.170881E-2</v>
      </c>
      <c r="AD6752">
        <v>1.2916939999999999</v>
      </c>
      <c r="AE6752">
        <v>0.60828300000000002</v>
      </c>
      <c r="AF6752">
        <v>277.31760000000003</v>
      </c>
      <c r="AG6752">
        <f>IFERROR(AH6752*0.1, "N/A")</f>
        <v>6.514958</v>
      </c>
      <c r="AH6752">
        <v>65.14958</v>
      </c>
      <c r="AI6752">
        <v>144.11670000000001</v>
      </c>
      <c r="AJ6752">
        <v>27.448740000000001</v>
      </c>
      <c r="AK6752">
        <v>49.700839999999999</v>
      </c>
    </row>
    <row r="6753" spans="1:37" x14ac:dyDescent="0.3">
      <c r="A6753">
        <v>6752</v>
      </c>
      <c r="B6753">
        <v>50.4</v>
      </c>
      <c r="C6753">
        <v>-5.98055</v>
      </c>
      <c r="D6753">
        <v>14.4153</v>
      </c>
      <c r="E6753">
        <f>-5.98055-14.4153</f>
        <v>-20.395849999999999</v>
      </c>
      <c r="F6753" t="s">
        <v>10189</v>
      </c>
      <c r="G6753" t="s">
        <v>37</v>
      </c>
      <c r="H6753">
        <v>1990</v>
      </c>
      <c r="I6753">
        <v>27.3</v>
      </c>
      <c r="J6753">
        <v>15.7</v>
      </c>
      <c r="K6753">
        <v>57</v>
      </c>
      <c r="L6753">
        <v>28.63</v>
      </c>
      <c r="M6753">
        <v>39.9</v>
      </c>
      <c r="N6753">
        <v>12.7</v>
      </c>
      <c r="O6753">
        <v>27.2</v>
      </c>
      <c r="P6753">
        <v>27.3</v>
      </c>
      <c r="Q6753">
        <v>25.1</v>
      </c>
      <c r="R6753">
        <v>31.1</v>
      </c>
      <c r="S6753">
        <v>23.4</v>
      </c>
      <c r="T6753">
        <v>528</v>
      </c>
      <c r="U6753">
        <v>197</v>
      </c>
      <c r="V6753">
        <v>0</v>
      </c>
      <c r="W6753">
        <v>142</v>
      </c>
      <c r="X6753">
        <v>434</v>
      </c>
      <c r="Y6753">
        <v>1</v>
      </c>
      <c r="Z6753">
        <v>73</v>
      </c>
      <c r="AA6753">
        <v>1</v>
      </c>
      <c r="AB6753">
        <v>0.92555739999999997</v>
      </c>
      <c r="AC6753">
        <v>1.170881E-2</v>
      </c>
      <c r="AD6753">
        <v>1.2916939999999999</v>
      </c>
      <c r="AE6753">
        <v>0.60828300000000002</v>
      </c>
      <c r="AF6753">
        <v>277.31760000000003</v>
      </c>
      <c r="AG6753">
        <f>IFERROR(AH6753*0.1, "N/A")</f>
        <v>6.514958</v>
      </c>
      <c r="AH6753">
        <v>65.14958</v>
      </c>
      <c r="AI6753">
        <v>144.11670000000001</v>
      </c>
      <c r="AJ6753">
        <v>27.448740000000001</v>
      </c>
      <c r="AK6753">
        <v>49.700839999999999</v>
      </c>
    </row>
    <row r="6754" spans="1:37" x14ac:dyDescent="0.3">
      <c r="A6754">
        <v>6753</v>
      </c>
      <c r="B6754">
        <v>13.7</v>
      </c>
      <c r="C6754">
        <v>-3.5333299999999999</v>
      </c>
      <c r="D6754">
        <v>14.416700000000001</v>
      </c>
      <c r="E6754">
        <f>-3.53333-14.4167</f>
        <v>-17.950030000000002</v>
      </c>
      <c r="F6754" t="s">
        <v>10190</v>
      </c>
      <c r="G6754" t="s">
        <v>39</v>
      </c>
      <c r="H6754">
        <v>1998</v>
      </c>
      <c r="I6754">
        <v>26.676850000000002</v>
      </c>
      <c r="J6754">
        <v>13.9</v>
      </c>
      <c r="K6754">
        <v>54</v>
      </c>
      <c r="L6754">
        <v>29.653199999999998</v>
      </c>
      <c r="M6754">
        <v>38.700000000000003</v>
      </c>
      <c r="N6754">
        <v>13.4</v>
      </c>
      <c r="O6754">
        <v>25.3</v>
      </c>
      <c r="P6754">
        <v>26.684059999999999</v>
      </c>
      <c r="Q6754">
        <v>22.5</v>
      </c>
      <c r="R6754">
        <v>30.57685</v>
      </c>
      <c r="S6754">
        <v>22.5</v>
      </c>
      <c r="T6754">
        <v>511</v>
      </c>
      <c r="U6754">
        <v>170</v>
      </c>
      <c r="V6754">
        <v>0</v>
      </c>
      <c r="W6754">
        <v>133</v>
      </c>
      <c r="X6754">
        <v>400</v>
      </c>
      <c r="Y6754">
        <v>0</v>
      </c>
      <c r="Z6754">
        <v>87</v>
      </c>
      <c r="AA6754">
        <v>0</v>
      </c>
      <c r="AB6754">
        <v>2.7243270000000002</v>
      </c>
      <c r="AC6754">
        <v>1.541404E-2</v>
      </c>
      <c r="AD6754">
        <v>2.2431869999999998</v>
      </c>
      <c r="AE6754">
        <v>0.28701470000000001</v>
      </c>
      <c r="AF6754">
        <v>412.33890000000002</v>
      </c>
      <c r="AG6754">
        <f>IFERROR(AH6754*0.1, "N/A")</f>
        <v>6.9919460000000004</v>
      </c>
      <c r="AH6754">
        <v>69.919460000000001</v>
      </c>
      <c r="AI6754">
        <v>193.87739999999999</v>
      </c>
      <c r="AJ6754">
        <v>14.37584</v>
      </c>
      <c r="AK6754">
        <v>72.634230000000002</v>
      </c>
    </row>
    <row r="6755" spans="1:37" x14ac:dyDescent="0.3">
      <c r="A6755">
        <v>6754</v>
      </c>
      <c r="B6755">
        <v>0</v>
      </c>
      <c r="C6755">
        <v>-3.5333299999999999</v>
      </c>
      <c r="D6755">
        <v>14.416700000000001</v>
      </c>
      <c r="E6755">
        <f>-3.53333-14.4167</f>
        <v>-17.950030000000002</v>
      </c>
      <c r="F6755" t="s">
        <v>10191</v>
      </c>
      <c r="G6755" t="s">
        <v>37</v>
      </c>
      <c r="H6755">
        <v>1994</v>
      </c>
      <c r="I6755">
        <v>26.676850000000002</v>
      </c>
      <c r="J6755">
        <v>13.9</v>
      </c>
      <c r="K6755">
        <v>54</v>
      </c>
      <c r="L6755">
        <v>29.653199999999998</v>
      </c>
      <c r="M6755">
        <v>38.700000000000003</v>
      </c>
      <c r="N6755">
        <v>13.4</v>
      </c>
      <c r="O6755">
        <v>25.3</v>
      </c>
      <c r="P6755">
        <v>26.684059999999999</v>
      </c>
      <c r="Q6755">
        <v>22.5</v>
      </c>
      <c r="R6755">
        <v>30.57685</v>
      </c>
      <c r="S6755">
        <v>22.5</v>
      </c>
      <c r="T6755">
        <v>511</v>
      </c>
      <c r="U6755">
        <v>170</v>
      </c>
      <c r="V6755">
        <v>0</v>
      </c>
      <c r="W6755">
        <v>133</v>
      </c>
      <c r="X6755">
        <v>400</v>
      </c>
      <c r="Y6755">
        <v>0</v>
      </c>
      <c r="Z6755">
        <v>87</v>
      </c>
      <c r="AA6755">
        <v>0</v>
      </c>
      <c r="AB6755">
        <v>2.7243270000000002</v>
      </c>
      <c r="AC6755">
        <v>1.541404E-2</v>
      </c>
      <c r="AD6755">
        <v>2.2431869999999998</v>
      </c>
      <c r="AE6755">
        <v>0.28701470000000001</v>
      </c>
      <c r="AF6755">
        <v>412.33890000000002</v>
      </c>
      <c r="AG6755">
        <f>IFERROR(AH6755*0.1, "N/A")</f>
        <v>6.9919460000000004</v>
      </c>
      <c r="AH6755">
        <v>69.919460000000001</v>
      </c>
      <c r="AI6755">
        <v>193.87739999999999</v>
      </c>
      <c r="AJ6755">
        <v>14.37584</v>
      </c>
      <c r="AK6755">
        <v>72.634230000000002</v>
      </c>
    </row>
    <row r="6756" spans="1:37" x14ac:dyDescent="0.3">
      <c r="A6756">
        <v>6755</v>
      </c>
      <c r="B6756">
        <v>40.799999999999997</v>
      </c>
      <c r="C6756">
        <v>-3.7519999999999998</v>
      </c>
      <c r="D6756">
        <v>14.417999999999999</v>
      </c>
      <c r="E6756">
        <f>-3.752-14.418</f>
        <v>-18.169999999999998</v>
      </c>
      <c r="F6756" t="s">
        <v>10192</v>
      </c>
      <c r="G6756" t="s">
        <v>39</v>
      </c>
      <c r="H6756">
        <v>1987</v>
      </c>
      <c r="I6756">
        <v>27.1</v>
      </c>
      <c r="J6756">
        <v>13.9</v>
      </c>
      <c r="K6756">
        <v>54</v>
      </c>
      <c r="L6756">
        <v>29.63</v>
      </c>
      <c r="M6756">
        <v>39.200000000000003</v>
      </c>
      <c r="N6756">
        <v>13.6</v>
      </c>
      <c r="O6756">
        <v>25.6</v>
      </c>
      <c r="P6756">
        <v>27.1</v>
      </c>
      <c r="Q6756">
        <v>22.9</v>
      </c>
      <c r="R6756">
        <v>30.9</v>
      </c>
      <c r="S6756">
        <v>22.9</v>
      </c>
      <c r="T6756">
        <v>504</v>
      </c>
      <c r="U6756">
        <v>168</v>
      </c>
      <c r="V6756">
        <v>0</v>
      </c>
      <c r="W6756">
        <v>131</v>
      </c>
      <c r="X6756">
        <v>394</v>
      </c>
      <c r="Y6756">
        <v>0</v>
      </c>
      <c r="Z6756">
        <v>87</v>
      </c>
      <c r="AA6756">
        <v>0</v>
      </c>
      <c r="AB6756">
        <v>0.38739430000000002</v>
      </c>
      <c r="AC6756">
        <v>0.3933239</v>
      </c>
      <c r="AD6756">
        <v>1.817339</v>
      </c>
      <c r="AE6756">
        <v>0.2963211</v>
      </c>
      <c r="AF6756">
        <v>360.52769999999998</v>
      </c>
      <c r="AG6756">
        <f>IFERROR(AH6756*0.1, "N/A")</f>
        <v>7.127059</v>
      </c>
      <c r="AH6756">
        <v>71.270589999999999</v>
      </c>
      <c r="AI6756">
        <v>183.0428</v>
      </c>
      <c r="AJ6756">
        <v>13.66891</v>
      </c>
      <c r="AK6756">
        <v>70.099159999999998</v>
      </c>
    </row>
    <row r="6757" spans="1:37" x14ac:dyDescent="0.3">
      <c r="A6757">
        <v>6756</v>
      </c>
      <c r="B6757">
        <v>0.8</v>
      </c>
      <c r="C6757">
        <v>-3.7519999999999998</v>
      </c>
      <c r="D6757">
        <v>14.417999999999999</v>
      </c>
      <c r="E6757">
        <f>-3.752-14.418</f>
        <v>-18.169999999999998</v>
      </c>
      <c r="F6757" t="s">
        <v>10193</v>
      </c>
      <c r="G6757" t="s">
        <v>37</v>
      </c>
      <c r="H6757">
        <v>1987</v>
      </c>
      <c r="I6757">
        <v>27.1</v>
      </c>
      <c r="J6757">
        <v>13.9</v>
      </c>
      <c r="K6757">
        <v>54</v>
      </c>
      <c r="L6757">
        <v>29.63</v>
      </c>
      <c r="M6757">
        <v>39.200000000000003</v>
      </c>
      <c r="N6757">
        <v>13.6</v>
      </c>
      <c r="O6757">
        <v>25.6</v>
      </c>
      <c r="P6757">
        <v>27.1</v>
      </c>
      <c r="Q6757">
        <v>22.9</v>
      </c>
      <c r="R6757">
        <v>30.9</v>
      </c>
      <c r="S6757">
        <v>22.9</v>
      </c>
      <c r="T6757">
        <v>504</v>
      </c>
      <c r="U6757">
        <v>168</v>
      </c>
      <c r="V6757">
        <v>0</v>
      </c>
      <c r="W6757">
        <v>131</v>
      </c>
      <c r="X6757">
        <v>394</v>
      </c>
      <c r="Y6757">
        <v>0</v>
      </c>
      <c r="Z6757">
        <v>87</v>
      </c>
      <c r="AA6757">
        <v>0</v>
      </c>
      <c r="AB6757">
        <v>0.38739430000000002</v>
      </c>
      <c r="AC6757">
        <v>0.3933239</v>
      </c>
      <c r="AD6757">
        <v>1.817339</v>
      </c>
      <c r="AE6757">
        <v>0.2963211</v>
      </c>
      <c r="AF6757">
        <v>360.52769999999998</v>
      </c>
      <c r="AG6757">
        <f>IFERROR(AH6757*0.1, "N/A")</f>
        <v>7.127059</v>
      </c>
      <c r="AH6757">
        <v>71.270589999999999</v>
      </c>
      <c r="AI6757">
        <v>183.0428</v>
      </c>
      <c r="AJ6757">
        <v>13.66891</v>
      </c>
      <c r="AK6757">
        <v>70.099159999999998</v>
      </c>
    </row>
    <row r="6758" spans="1:37" x14ac:dyDescent="0.3">
      <c r="A6758">
        <v>6757</v>
      </c>
      <c r="B6758">
        <v>80.400000000000006</v>
      </c>
      <c r="C6758">
        <v>-3.4177900000000001</v>
      </c>
      <c r="D6758">
        <v>14.419700000000001</v>
      </c>
      <c r="E6758">
        <f>-3.41779-14.4197</f>
        <v>-17.837490000000003</v>
      </c>
      <c r="F6758" t="s">
        <v>10194</v>
      </c>
      <c r="G6758" t="s">
        <v>39</v>
      </c>
      <c r="H6758">
        <v>1990</v>
      </c>
      <c r="I6758">
        <v>26.1</v>
      </c>
      <c r="J6758">
        <v>13.9</v>
      </c>
      <c r="K6758">
        <v>55</v>
      </c>
      <c r="L6758">
        <v>29.44</v>
      </c>
      <c r="M6758">
        <v>38.1</v>
      </c>
      <c r="N6758">
        <v>13</v>
      </c>
      <c r="O6758">
        <v>25.1</v>
      </c>
      <c r="P6758">
        <v>26.1</v>
      </c>
      <c r="Q6758">
        <v>22</v>
      </c>
      <c r="R6758">
        <v>30</v>
      </c>
      <c r="S6758">
        <v>22</v>
      </c>
      <c r="T6758">
        <v>519</v>
      </c>
      <c r="U6758">
        <v>170</v>
      </c>
      <c r="V6758">
        <v>0</v>
      </c>
      <c r="W6758">
        <v>130</v>
      </c>
      <c r="X6758">
        <v>404</v>
      </c>
      <c r="Y6758">
        <v>0</v>
      </c>
      <c r="Z6758">
        <v>89</v>
      </c>
      <c r="AA6758">
        <v>0</v>
      </c>
      <c r="AB6758">
        <v>28.880140000000001</v>
      </c>
      <c r="AC6758">
        <v>8.4789800000000005E-3</v>
      </c>
      <c r="AD6758">
        <v>2.0590619999999999</v>
      </c>
      <c r="AE6758">
        <v>0.30933040000000001</v>
      </c>
      <c r="AF6758">
        <v>527.5471</v>
      </c>
      <c r="AG6758">
        <f>IFERROR(AH6758*0.1, "N/A")</f>
        <v>6.8000000000000007</v>
      </c>
      <c r="AH6758">
        <v>68</v>
      </c>
      <c r="AI6758">
        <v>246.48099999999999</v>
      </c>
      <c r="AJ6758">
        <v>16.932659999999998</v>
      </c>
      <c r="AK6758">
        <v>68.601010000000002</v>
      </c>
    </row>
    <row r="6759" spans="1:37" x14ac:dyDescent="0.3">
      <c r="A6759">
        <v>6758</v>
      </c>
      <c r="B6759">
        <v>21.6</v>
      </c>
      <c r="C6759">
        <v>-3.4177900000000001</v>
      </c>
      <c r="D6759">
        <v>14.419700000000001</v>
      </c>
      <c r="E6759">
        <f>-3.41779-14.4197</f>
        <v>-17.837490000000003</v>
      </c>
      <c r="F6759" t="s">
        <v>10195</v>
      </c>
      <c r="G6759" t="s">
        <v>37</v>
      </c>
      <c r="H6759">
        <v>1990</v>
      </c>
      <c r="I6759">
        <v>26.1</v>
      </c>
      <c r="J6759">
        <v>13.9</v>
      </c>
      <c r="K6759">
        <v>55</v>
      </c>
      <c r="L6759">
        <v>29.44</v>
      </c>
      <c r="M6759">
        <v>38.1</v>
      </c>
      <c r="N6759">
        <v>13</v>
      </c>
      <c r="O6759">
        <v>25.1</v>
      </c>
      <c r="P6759">
        <v>26.1</v>
      </c>
      <c r="Q6759">
        <v>22</v>
      </c>
      <c r="R6759">
        <v>30</v>
      </c>
      <c r="S6759">
        <v>22</v>
      </c>
      <c r="T6759">
        <v>519</v>
      </c>
      <c r="U6759">
        <v>170</v>
      </c>
      <c r="V6759">
        <v>0</v>
      </c>
      <c r="W6759">
        <v>130</v>
      </c>
      <c r="X6759">
        <v>404</v>
      </c>
      <c r="Y6759">
        <v>0</v>
      </c>
      <c r="Z6759">
        <v>89</v>
      </c>
      <c r="AA6759">
        <v>0</v>
      </c>
      <c r="AB6759">
        <v>28.880140000000001</v>
      </c>
      <c r="AC6759">
        <v>8.4789800000000005E-3</v>
      </c>
      <c r="AD6759">
        <v>2.0590619999999999</v>
      </c>
      <c r="AE6759">
        <v>0.30933040000000001</v>
      </c>
      <c r="AF6759">
        <v>527.5471</v>
      </c>
      <c r="AG6759">
        <f>IFERROR(AH6759*0.1, "N/A")</f>
        <v>6.8000000000000007</v>
      </c>
      <c r="AH6759">
        <v>68</v>
      </c>
      <c r="AI6759">
        <v>246.48099999999999</v>
      </c>
      <c r="AJ6759">
        <v>16.932659999999998</v>
      </c>
      <c r="AK6759">
        <v>68.601010000000002</v>
      </c>
    </row>
    <row r="6760" spans="1:37" x14ac:dyDescent="0.3">
      <c r="A6760">
        <v>6759</v>
      </c>
      <c r="B6760">
        <v>62.2</v>
      </c>
      <c r="C6760">
        <v>-3.4074300000000002</v>
      </c>
      <c r="D6760">
        <v>14.4245</v>
      </c>
      <c r="E6760">
        <f>-3.40743-14.4245</f>
        <v>-17.83193</v>
      </c>
      <c r="F6760" t="s">
        <v>10196</v>
      </c>
      <c r="G6760" t="s">
        <v>39</v>
      </c>
      <c r="H6760">
        <v>1986</v>
      </c>
      <c r="I6760">
        <v>26.10791</v>
      </c>
      <c r="J6760">
        <v>13.9</v>
      </c>
      <c r="K6760">
        <v>55</v>
      </c>
      <c r="L6760">
        <v>29.6204</v>
      </c>
      <c r="M6760">
        <v>38.200000000000003</v>
      </c>
      <c r="N6760">
        <v>13.007910000000001</v>
      </c>
      <c r="O6760">
        <v>25.19209</v>
      </c>
      <c r="P6760">
        <v>26.101179999999999</v>
      </c>
      <c r="Q6760">
        <v>22.007909999999999</v>
      </c>
      <c r="R6760">
        <v>30.09327</v>
      </c>
      <c r="S6760">
        <v>22.007909999999999</v>
      </c>
      <c r="T6760">
        <v>517.92089999999996</v>
      </c>
      <c r="U6760">
        <v>170</v>
      </c>
      <c r="V6760">
        <v>0</v>
      </c>
      <c r="W6760">
        <v>130</v>
      </c>
      <c r="X6760">
        <v>402.92090000000002</v>
      </c>
      <c r="Y6760">
        <v>0</v>
      </c>
      <c r="Z6760">
        <v>89</v>
      </c>
      <c r="AA6760">
        <v>0</v>
      </c>
      <c r="AB6760">
        <v>2.2665000000000002</v>
      </c>
      <c r="AC6760">
        <v>1.8478600000000001</v>
      </c>
      <c r="AD6760">
        <v>2.262499</v>
      </c>
      <c r="AE6760">
        <v>0.36719449999999998</v>
      </c>
      <c r="AF6760">
        <v>503.6044</v>
      </c>
      <c r="AG6760">
        <f>IFERROR(AH6760*0.1, "N/A")</f>
        <v>6.7292930000000002</v>
      </c>
      <c r="AH6760">
        <v>67.292929999999998</v>
      </c>
      <c r="AI6760">
        <v>301.51389999999998</v>
      </c>
      <c r="AJ6760">
        <v>18.269359999999999</v>
      </c>
      <c r="AK6760">
        <v>64.316500000000005</v>
      </c>
    </row>
    <row r="6761" spans="1:37" x14ac:dyDescent="0.3">
      <c r="A6761">
        <v>6760</v>
      </c>
      <c r="B6761">
        <v>1</v>
      </c>
      <c r="C6761">
        <v>-3.4074300000000002</v>
      </c>
      <c r="D6761">
        <v>14.4245</v>
      </c>
      <c r="E6761">
        <f>-3.40743-14.4245</f>
        <v>-17.83193</v>
      </c>
      <c r="F6761" t="s">
        <v>10197</v>
      </c>
      <c r="G6761" t="s">
        <v>37</v>
      </c>
      <c r="H6761">
        <v>1986</v>
      </c>
      <c r="I6761">
        <v>26.10791</v>
      </c>
      <c r="J6761">
        <v>13.9</v>
      </c>
      <c r="K6761">
        <v>55</v>
      </c>
      <c r="L6761">
        <v>29.6204</v>
      </c>
      <c r="M6761">
        <v>38.200000000000003</v>
      </c>
      <c r="N6761">
        <v>13.007910000000001</v>
      </c>
      <c r="O6761">
        <v>25.19209</v>
      </c>
      <c r="P6761">
        <v>26.101179999999999</v>
      </c>
      <c r="Q6761">
        <v>22.007909999999999</v>
      </c>
      <c r="R6761">
        <v>30.09327</v>
      </c>
      <c r="S6761">
        <v>22.007909999999999</v>
      </c>
      <c r="T6761">
        <v>517.92089999999996</v>
      </c>
      <c r="U6761">
        <v>170</v>
      </c>
      <c r="V6761">
        <v>0</v>
      </c>
      <c r="W6761">
        <v>130</v>
      </c>
      <c r="X6761">
        <v>402.92090000000002</v>
      </c>
      <c r="Y6761">
        <v>0</v>
      </c>
      <c r="Z6761">
        <v>89</v>
      </c>
      <c r="AA6761">
        <v>0</v>
      </c>
      <c r="AB6761">
        <v>2.2665000000000002</v>
      </c>
      <c r="AC6761">
        <v>1.8478600000000001</v>
      </c>
      <c r="AD6761">
        <v>2.262499</v>
      </c>
      <c r="AE6761">
        <v>0.36719449999999998</v>
      </c>
      <c r="AF6761">
        <v>503.6044</v>
      </c>
      <c r="AG6761">
        <f>IFERROR(AH6761*0.1, "N/A")</f>
        <v>6.7292930000000002</v>
      </c>
      <c r="AH6761">
        <v>67.292929999999998</v>
      </c>
      <c r="AI6761">
        <v>301.51389999999998</v>
      </c>
      <c r="AJ6761">
        <v>18.269359999999999</v>
      </c>
      <c r="AK6761">
        <v>64.316500000000005</v>
      </c>
    </row>
    <row r="6762" spans="1:37" x14ac:dyDescent="0.3">
      <c r="A6762">
        <v>6761</v>
      </c>
      <c r="B6762">
        <v>57.6</v>
      </c>
      <c r="C6762">
        <v>-3.3990800000000001</v>
      </c>
      <c r="D6762">
        <v>14.427199999999999</v>
      </c>
      <c r="E6762">
        <f>-3.39908-14.4272</f>
        <v>-17.826280000000001</v>
      </c>
      <c r="F6762" t="s">
        <v>10198</v>
      </c>
      <c r="G6762" t="s">
        <v>39</v>
      </c>
      <c r="H6762">
        <v>1990</v>
      </c>
      <c r="I6762">
        <v>26.1</v>
      </c>
      <c r="J6762">
        <v>13.9</v>
      </c>
      <c r="K6762">
        <v>55</v>
      </c>
      <c r="L6762">
        <v>29.4</v>
      </c>
      <c r="M6762">
        <v>38.1</v>
      </c>
      <c r="N6762">
        <v>13</v>
      </c>
      <c r="O6762">
        <v>25.1</v>
      </c>
      <c r="P6762">
        <v>26.1</v>
      </c>
      <c r="Q6762">
        <v>22</v>
      </c>
      <c r="R6762">
        <v>29.9</v>
      </c>
      <c r="S6762">
        <v>22</v>
      </c>
      <c r="T6762">
        <v>518</v>
      </c>
      <c r="U6762">
        <v>170</v>
      </c>
      <c r="V6762">
        <v>0</v>
      </c>
      <c r="W6762">
        <v>130</v>
      </c>
      <c r="X6762">
        <v>403</v>
      </c>
      <c r="Y6762">
        <v>0</v>
      </c>
      <c r="Z6762">
        <v>89</v>
      </c>
      <c r="AA6762">
        <v>0</v>
      </c>
      <c r="AB6762">
        <v>15.63213</v>
      </c>
      <c r="AC6762">
        <v>8.5205249999999993E-3</v>
      </c>
      <c r="AD6762">
        <v>2.962072</v>
      </c>
      <c r="AE6762">
        <v>0.3713534</v>
      </c>
      <c r="AF6762">
        <v>528.096</v>
      </c>
      <c r="AG6762">
        <f>IFERROR(AH6762*0.1, "N/A")</f>
        <v>6.7994950000000003</v>
      </c>
      <c r="AH6762">
        <v>67.994950000000003</v>
      </c>
      <c r="AI6762">
        <v>223.7637</v>
      </c>
      <c r="AJ6762">
        <v>17.010100000000001</v>
      </c>
      <c r="AK6762">
        <v>67.989900000000006</v>
      </c>
    </row>
    <row r="6763" spans="1:37" x14ac:dyDescent="0.3">
      <c r="A6763">
        <v>6762</v>
      </c>
      <c r="B6763">
        <v>1.1000000000000001</v>
      </c>
      <c r="C6763">
        <v>-3.3990800000000001</v>
      </c>
      <c r="D6763">
        <v>14.427199999999999</v>
      </c>
      <c r="E6763">
        <f>-3.39908-14.4272</f>
        <v>-17.826280000000001</v>
      </c>
      <c r="F6763" t="s">
        <v>10199</v>
      </c>
      <c r="G6763" t="s">
        <v>37</v>
      </c>
      <c r="H6763">
        <v>1990</v>
      </c>
      <c r="I6763">
        <v>26.1</v>
      </c>
      <c r="J6763">
        <v>13.9</v>
      </c>
      <c r="K6763">
        <v>55</v>
      </c>
      <c r="L6763">
        <v>29.4</v>
      </c>
      <c r="M6763">
        <v>38.1</v>
      </c>
      <c r="N6763">
        <v>13</v>
      </c>
      <c r="O6763">
        <v>25.1</v>
      </c>
      <c r="P6763">
        <v>26.1</v>
      </c>
      <c r="Q6763">
        <v>22</v>
      </c>
      <c r="R6763">
        <v>29.9</v>
      </c>
      <c r="S6763">
        <v>22</v>
      </c>
      <c r="T6763">
        <v>518</v>
      </c>
      <c r="U6763">
        <v>170</v>
      </c>
      <c r="V6763">
        <v>0</v>
      </c>
      <c r="W6763">
        <v>130</v>
      </c>
      <c r="X6763">
        <v>403</v>
      </c>
      <c r="Y6763">
        <v>0</v>
      </c>
      <c r="Z6763">
        <v>89</v>
      </c>
      <c r="AA6763">
        <v>0</v>
      </c>
      <c r="AB6763">
        <v>15.63213</v>
      </c>
      <c r="AC6763">
        <v>8.5205249999999993E-3</v>
      </c>
      <c r="AD6763">
        <v>2.962072</v>
      </c>
      <c r="AE6763">
        <v>0.3713534</v>
      </c>
      <c r="AF6763">
        <v>528.096</v>
      </c>
      <c r="AG6763">
        <f>IFERROR(AH6763*0.1, "N/A")</f>
        <v>6.7994950000000003</v>
      </c>
      <c r="AH6763">
        <v>67.994950000000003</v>
      </c>
      <c r="AI6763">
        <v>223.7637</v>
      </c>
      <c r="AJ6763">
        <v>17.010100000000001</v>
      </c>
      <c r="AK6763">
        <v>67.989900000000006</v>
      </c>
    </row>
    <row r="6764" spans="1:37" x14ac:dyDescent="0.3">
      <c r="A6764">
        <v>6763</v>
      </c>
      <c r="B6764">
        <v>67.099999999999994</v>
      </c>
      <c r="C6764">
        <v>-3.3070300000000001</v>
      </c>
      <c r="D6764">
        <v>14.4329</v>
      </c>
      <c r="E6764">
        <f>-3.30703-14.4329</f>
        <v>-17.739930000000001</v>
      </c>
      <c r="F6764" t="s">
        <v>10200</v>
      </c>
      <c r="G6764" t="s">
        <v>39</v>
      </c>
      <c r="H6764">
        <v>1990</v>
      </c>
      <c r="I6764">
        <v>27.449580000000001</v>
      </c>
      <c r="J6764">
        <v>13.9</v>
      </c>
      <c r="K6764">
        <v>55</v>
      </c>
      <c r="L6764">
        <v>29.654789999999998</v>
      </c>
      <c r="M6764">
        <v>39.449579999999997</v>
      </c>
      <c r="N6764">
        <v>14.24958</v>
      </c>
      <c r="O6764">
        <v>25.2</v>
      </c>
      <c r="P6764">
        <v>27.324369999999998</v>
      </c>
      <c r="Q6764">
        <v>23.34958</v>
      </c>
      <c r="R6764">
        <v>31.34958</v>
      </c>
      <c r="S6764">
        <v>23.34958</v>
      </c>
      <c r="T6764">
        <v>500.75630000000001</v>
      </c>
      <c r="U6764">
        <v>165</v>
      </c>
      <c r="V6764">
        <v>0</v>
      </c>
      <c r="W6764">
        <v>132.25210000000001</v>
      </c>
      <c r="X6764">
        <v>390.50420000000003</v>
      </c>
      <c r="Y6764">
        <v>0</v>
      </c>
      <c r="Z6764">
        <v>86.252099999999999</v>
      </c>
      <c r="AA6764">
        <v>0</v>
      </c>
      <c r="AB6764">
        <v>4.1564709999999998</v>
      </c>
      <c r="AC6764">
        <v>0.36318420000000001</v>
      </c>
      <c r="AD6764">
        <v>2.05389</v>
      </c>
      <c r="AE6764">
        <v>0.32157229999999998</v>
      </c>
      <c r="AF6764">
        <v>315.9529</v>
      </c>
      <c r="AG6764">
        <f>IFERROR(AH6764*0.1, "N/A")</f>
        <v>7.2</v>
      </c>
      <c r="AH6764">
        <v>72</v>
      </c>
      <c r="AI6764">
        <v>89.061629999999994</v>
      </c>
      <c r="AJ6764">
        <v>17.07227</v>
      </c>
      <c r="AK6764">
        <v>68.309240000000003</v>
      </c>
    </row>
    <row r="6765" spans="1:37" x14ac:dyDescent="0.3">
      <c r="A6765">
        <v>6764</v>
      </c>
      <c r="B6765">
        <v>0</v>
      </c>
      <c r="C6765">
        <v>-3.3070300000000001</v>
      </c>
      <c r="D6765">
        <v>14.4329</v>
      </c>
      <c r="E6765">
        <f>-3.30703-14.4329</f>
        <v>-17.739930000000001</v>
      </c>
      <c r="F6765" t="s">
        <v>10201</v>
      </c>
      <c r="G6765" t="s">
        <v>37</v>
      </c>
      <c r="H6765">
        <v>1990</v>
      </c>
      <c r="I6765">
        <v>27.449580000000001</v>
      </c>
      <c r="J6765">
        <v>13.9</v>
      </c>
      <c r="K6765">
        <v>55</v>
      </c>
      <c r="L6765">
        <v>29.654789999999998</v>
      </c>
      <c r="M6765">
        <v>39.449579999999997</v>
      </c>
      <c r="N6765">
        <v>14.24958</v>
      </c>
      <c r="O6765">
        <v>25.2</v>
      </c>
      <c r="P6765">
        <v>27.324369999999998</v>
      </c>
      <c r="Q6765">
        <v>23.34958</v>
      </c>
      <c r="R6765">
        <v>31.34958</v>
      </c>
      <c r="S6765">
        <v>23.34958</v>
      </c>
      <c r="T6765">
        <v>500.75630000000001</v>
      </c>
      <c r="U6765">
        <v>165</v>
      </c>
      <c r="V6765">
        <v>0</v>
      </c>
      <c r="W6765">
        <v>132.25210000000001</v>
      </c>
      <c r="X6765">
        <v>390.50420000000003</v>
      </c>
      <c r="Y6765">
        <v>0</v>
      </c>
      <c r="Z6765">
        <v>86.252099999999999</v>
      </c>
      <c r="AA6765">
        <v>0</v>
      </c>
      <c r="AB6765">
        <v>4.1564709999999998</v>
      </c>
      <c r="AC6765">
        <v>0.36318420000000001</v>
      </c>
      <c r="AD6765">
        <v>2.05389</v>
      </c>
      <c r="AE6765">
        <v>0.32157229999999998</v>
      </c>
      <c r="AF6765">
        <v>315.9529</v>
      </c>
      <c r="AG6765">
        <f>IFERROR(AH6765*0.1, "N/A")</f>
        <v>7.2</v>
      </c>
      <c r="AH6765">
        <v>72</v>
      </c>
      <c r="AI6765">
        <v>89.061629999999994</v>
      </c>
      <c r="AJ6765">
        <v>17.07227</v>
      </c>
      <c r="AK6765">
        <v>68.309240000000003</v>
      </c>
    </row>
    <row r="6766" spans="1:37" x14ac:dyDescent="0.3">
      <c r="A6766">
        <v>6765</v>
      </c>
      <c r="B6766">
        <v>69.099999999999994</v>
      </c>
      <c r="C6766">
        <v>-5.9752999999999998</v>
      </c>
      <c r="D6766">
        <v>14.4377</v>
      </c>
      <c r="E6766">
        <f>-5.9753-14.4377</f>
        <v>-20.413</v>
      </c>
      <c r="F6766" t="s">
        <v>10202</v>
      </c>
      <c r="G6766" t="s">
        <v>37</v>
      </c>
      <c r="H6766">
        <v>1997</v>
      </c>
      <c r="I6766">
        <v>27.3</v>
      </c>
      <c r="J6766">
        <v>15.7</v>
      </c>
      <c r="K6766">
        <v>57</v>
      </c>
      <c r="L6766">
        <v>28.541640000000001</v>
      </c>
      <c r="M6766">
        <v>39.9</v>
      </c>
      <c r="N6766">
        <v>12.78861</v>
      </c>
      <c r="O6766">
        <v>27.11139</v>
      </c>
      <c r="P6766">
        <v>27.3</v>
      </c>
      <c r="Q6766">
        <v>25.1</v>
      </c>
      <c r="R6766">
        <v>31.1</v>
      </c>
      <c r="S6766">
        <v>23.394300000000001</v>
      </c>
      <c r="T6766">
        <v>523.05700000000002</v>
      </c>
      <c r="U6766">
        <v>195</v>
      </c>
      <c r="V6766">
        <v>0</v>
      </c>
      <c r="W6766">
        <v>143</v>
      </c>
      <c r="X6766">
        <v>430</v>
      </c>
      <c r="Y6766">
        <v>1</v>
      </c>
      <c r="Z6766">
        <v>72.056950000000001</v>
      </c>
      <c r="AA6766">
        <v>1</v>
      </c>
      <c r="AB6766">
        <v>1.5388740000000001</v>
      </c>
      <c r="AC6766">
        <v>8.2830609999999995E-3</v>
      </c>
      <c r="AD6766">
        <v>1.588568</v>
      </c>
      <c r="AE6766">
        <v>0.60429469999999996</v>
      </c>
      <c r="AF6766">
        <v>278.82580000000002</v>
      </c>
      <c r="AG6766">
        <f>IFERROR(AH6766*0.1, "N/A")</f>
        <v>6.2886100000000003</v>
      </c>
      <c r="AH6766">
        <v>62.886099999999999</v>
      </c>
      <c r="AI6766">
        <v>157.13829999999999</v>
      </c>
      <c r="AJ6766">
        <v>28.829149999999998</v>
      </c>
      <c r="AK6766">
        <v>51.113900000000001</v>
      </c>
    </row>
    <row r="6767" spans="1:37" x14ac:dyDescent="0.3">
      <c r="A6767">
        <v>6766</v>
      </c>
      <c r="B6767">
        <v>72.2</v>
      </c>
      <c r="C6767">
        <v>-5.9752999999999998</v>
      </c>
      <c r="D6767">
        <v>14.4377</v>
      </c>
      <c r="E6767">
        <f>-5.9753-14.4377</f>
        <v>-20.413</v>
      </c>
      <c r="F6767" t="s">
        <v>10203</v>
      </c>
      <c r="G6767" t="s">
        <v>39</v>
      </c>
      <c r="H6767">
        <v>1997</v>
      </c>
      <c r="I6767">
        <v>27.3</v>
      </c>
      <c r="J6767">
        <v>15.7</v>
      </c>
      <c r="K6767">
        <v>57</v>
      </c>
      <c r="L6767">
        <v>28.541640000000001</v>
      </c>
      <c r="M6767">
        <v>39.9</v>
      </c>
      <c r="N6767">
        <v>12.78861</v>
      </c>
      <c r="O6767">
        <v>27.11139</v>
      </c>
      <c r="P6767">
        <v>27.3</v>
      </c>
      <c r="Q6767">
        <v>25.1</v>
      </c>
      <c r="R6767">
        <v>31.1</v>
      </c>
      <c r="S6767">
        <v>23.394300000000001</v>
      </c>
      <c r="T6767">
        <v>523.05700000000002</v>
      </c>
      <c r="U6767">
        <v>195</v>
      </c>
      <c r="V6767">
        <v>0</v>
      </c>
      <c r="W6767">
        <v>143</v>
      </c>
      <c r="X6767">
        <v>430</v>
      </c>
      <c r="Y6767">
        <v>1</v>
      </c>
      <c r="Z6767">
        <v>72.056950000000001</v>
      </c>
      <c r="AA6767">
        <v>1</v>
      </c>
      <c r="AB6767">
        <v>1.5388740000000001</v>
      </c>
      <c r="AC6767">
        <v>8.2830609999999995E-3</v>
      </c>
      <c r="AD6767">
        <v>1.588568</v>
      </c>
      <c r="AE6767">
        <v>0.60429469999999996</v>
      </c>
      <c r="AF6767">
        <v>278.82580000000002</v>
      </c>
      <c r="AG6767">
        <f>IFERROR(AH6767*0.1, "N/A")</f>
        <v>6.2886100000000003</v>
      </c>
      <c r="AH6767">
        <v>62.886099999999999</v>
      </c>
      <c r="AI6767">
        <v>157.13829999999999</v>
      </c>
      <c r="AJ6767">
        <v>28.829149999999998</v>
      </c>
      <c r="AK6767">
        <v>51.113900000000001</v>
      </c>
    </row>
    <row r="6768" spans="1:37" x14ac:dyDescent="0.3">
      <c r="A6768">
        <v>6767</v>
      </c>
      <c r="B6768">
        <v>76</v>
      </c>
      <c r="C6768">
        <v>-3.5856300000000001</v>
      </c>
      <c r="D6768">
        <v>14.439</v>
      </c>
      <c r="E6768">
        <f>-3.58563-14.439</f>
        <v>-18.024630000000002</v>
      </c>
      <c r="F6768" t="s">
        <v>10204</v>
      </c>
      <c r="G6768" t="s">
        <v>39</v>
      </c>
      <c r="H6768">
        <v>1995</v>
      </c>
      <c r="I6768">
        <v>26.5</v>
      </c>
      <c r="J6768">
        <v>13.9</v>
      </c>
      <c r="K6768">
        <v>55</v>
      </c>
      <c r="L6768">
        <v>29.37</v>
      </c>
      <c r="M6768">
        <v>38.5</v>
      </c>
      <c r="N6768">
        <v>13.3</v>
      </c>
      <c r="O6768">
        <v>25.2</v>
      </c>
      <c r="P6768">
        <v>26.5</v>
      </c>
      <c r="Q6768">
        <v>22.4</v>
      </c>
      <c r="R6768">
        <v>30.4</v>
      </c>
      <c r="S6768">
        <v>22.4</v>
      </c>
      <c r="T6768">
        <v>511</v>
      </c>
      <c r="U6768">
        <v>170</v>
      </c>
      <c r="V6768">
        <v>0</v>
      </c>
      <c r="W6768">
        <v>133</v>
      </c>
      <c r="X6768">
        <v>400</v>
      </c>
      <c r="Y6768">
        <v>0</v>
      </c>
      <c r="Z6768">
        <v>87</v>
      </c>
      <c r="AA6768">
        <v>0</v>
      </c>
      <c r="AB6768">
        <v>2.628244</v>
      </c>
      <c r="AC6768">
        <v>9.883925E-3</v>
      </c>
      <c r="AD6768">
        <v>0.9701052</v>
      </c>
      <c r="AE6768">
        <v>0.31706669999999998</v>
      </c>
      <c r="AF6768">
        <v>443.05549999999999</v>
      </c>
      <c r="AG6768">
        <f>IFERROR(AH6768*0.1, "N/A")</f>
        <v>6.6648740000000011</v>
      </c>
      <c r="AH6768">
        <v>66.648740000000004</v>
      </c>
      <c r="AI6768">
        <v>137.35319999999999</v>
      </c>
      <c r="AJ6768">
        <v>16.117650000000001</v>
      </c>
      <c r="AK6768">
        <v>71.284030000000001</v>
      </c>
    </row>
    <row r="6769" spans="1:37" x14ac:dyDescent="0.3">
      <c r="A6769">
        <v>6768</v>
      </c>
      <c r="B6769">
        <v>55.4</v>
      </c>
      <c r="C6769">
        <v>-4.2013800000000003</v>
      </c>
      <c r="D6769">
        <v>14.439500000000001</v>
      </c>
      <c r="E6769">
        <f>-4.20138-14.4395</f>
        <v>-18.640880000000003</v>
      </c>
      <c r="F6769" t="s">
        <v>10205</v>
      </c>
      <c r="G6769" t="s">
        <v>39</v>
      </c>
      <c r="H6769">
        <v>1990</v>
      </c>
      <c r="I6769">
        <v>28</v>
      </c>
      <c r="J6769">
        <v>14.1</v>
      </c>
      <c r="K6769">
        <v>54</v>
      </c>
      <c r="L6769">
        <v>29.77</v>
      </c>
      <c r="M6769">
        <v>40.299999999999997</v>
      </c>
      <c r="N6769">
        <v>14.2</v>
      </c>
      <c r="O6769">
        <v>26.1</v>
      </c>
      <c r="P6769">
        <v>28</v>
      </c>
      <c r="Q6769">
        <v>25.7</v>
      </c>
      <c r="R6769">
        <v>31.9</v>
      </c>
      <c r="S6769">
        <v>23.8</v>
      </c>
      <c r="T6769">
        <v>497</v>
      </c>
      <c r="U6769">
        <v>167</v>
      </c>
      <c r="V6769">
        <v>0</v>
      </c>
      <c r="W6769">
        <v>135</v>
      </c>
      <c r="X6769">
        <v>392</v>
      </c>
      <c r="Y6769">
        <v>0</v>
      </c>
      <c r="Z6769">
        <v>87</v>
      </c>
      <c r="AA6769">
        <v>0</v>
      </c>
      <c r="AB6769">
        <v>1.717228</v>
      </c>
      <c r="AC6769">
        <v>5.6831819999999998E-2</v>
      </c>
      <c r="AD6769">
        <v>1.052287</v>
      </c>
      <c r="AE6769">
        <v>0.2572699</v>
      </c>
      <c r="AF6769">
        <v>265.995</v>
      </c>
      <c r="AG6769">
        <f>IFERROR(AH6769*0.1, "N/A")</f>
        <v>5.8000000000000007</v>
      </c>
      <c r="AH6769">
        <v>58</v>
      </c>
      <c r="AI6769">
        <v>193.76900000000001</v>
      </c>
      <c r="AJ6769">
        <v>27</v>
      </c>
      <c r="AK6769">
        <v>53</v>
      </c>
    </row>
    <row r="6770" spans="1:37" x14ac:dyDescent="0.3">
      <c r="A6770">
        <v>6769</v>
      </c>
      <c r="B6770">
        <v>0</v>
      </c>
      <c r="C6770">
        <v>-4.2013800000000003</v>
      </c>
      <c r="D6770">
        <v>14.439500000000001</v>
      </c>
      <c r="E6770">
        <f>-4.20138-14.4395</f>
        <v>-18.640880000000003</v>
      </c>
      <c r="F6770" t="s">
        <v>10206</v>
      </c>
      <c r="G6770" t="s">
        <v>37</v>
      </c>
      <c r="H6770">
        <v>1990</v>
      </c>
      <c r="I6770">
        <v>28</v>
      </c>
      <c r="J6770">
        <v>14.1</v>
      </c>
      <c r="K6770">
        <v>54</v>
      </c>
      <c r="L6770">
        <v>29.77</v>
      </c>
      <c r="M6770">
        <v>40.299999999999997</v>
      </c>
      <c r="N6770">
        <v>14.2</v>
      </c>
      <c r="O6770">
        <v>26.1</v>
      </c>
      <c r="P6770">
        <v>28</v>
      </c>
      <c r="Q6770">
        <v>25.7</v>
      </c>
      <c r="R6770">
        <v>31.9</v>
      </c>
      <c r="S6770">
        <v>23.8</v>
      </c>
      <c r="T6770">
        <v>497</v>
      </c>
      <c r="U6770">
        <v>167</v>
      </c>
      <c r="V6770">
        <v>0</v>
      </c>
      <c r="W6770">
        <v>135</v>
      </c>
      <c r="X6770">
        <v>392</v>
      </c>
      <c r="Y6770">
        <v>0</v>
      </c>
      <c r="Z6770">
        <v>87</v>
      </c>
      <c r="AA6770">
        <v>0</v>
      </c>
      <c r="AB6770">
        <v>1.717228</v>
      </c>
      <c r="AC6770">
        <v>5.6831819999999998E-2</v>
      </c>
      <c r="AD6770">
        <v>1.052287</v>
      </c>
      <c r="AE6770">
        <v>0.2572699</v>
      </c>
      <c r="AF6770">
        <v>265.995</v>
      </c>
      <c r="AG6770">
        <f>IFERROR(AH6770*0.1, "N/A")</f>
        <v>5.8000000000000007</v>
      </c>
      <c r="AH6770">
        <v>58</v>
      </c>
      <c r="AI6770">
        <v>193.76900000000001</v>
      </c>
      <c r="AJ6770">
        <v>27</v>
      </c>
      <c r="AK6770">
        <v>53</v>
      </c>
    </row>
    <row r="6771" spans="1:37" x14ac:dyDescent="0.3">
      <c r="A6771">
        <v>6770</v>
      </c>
      <c r="B6771">
        <v>28.3</v>
      </c>
      <c r="C6771">
        <v>-3.48489</v>
      </c>
      <c r="D6771">
        <v>14.4397</v>
      </c>
      <c r="E6771">
        <f>-3.48489-14.4397</f>
        <v>-17.924590000000002</v>
      </c>
      <c r="F6771" t="s">
        <v>10207</v>
      </c>
      <c r="G6771" t="s">
        <v>39</v>
      </c>
      <c r="H6771">
        <v>1990</v>
      </c>
      <c r="I6771">
        <v>26.6</v>
      </c>
      <c r="J6771">
        <v>13.9</v>
      </c>
      <c r="K6771">
        <v>55</v>
      </c>
      <c r="L6771">
        <v>29.39</v>
      </c>
      <c r="M6771">
        <v>38.6</v>
      </c>
      <c r="N6771">
        <v>13.4</v>
      </c>
      <c r="O6771">
        <v>25.2</v>
      </c>
      <c r="P6771">
        <v>26.5</v>
      </c>
      <c r="Q6771">
        <v>22.5</v>
      </c>
      <c r="R6771">
        <v>30.4</v>
      </c>
      <c r="S6771">
        <v>22.5</v>
      </c>
      <c r="T6771">
        <v>511</v>
      </c>
      <c r="U6771">
        <v>169</v>
      </c>
      <c r="V6771">
        <v>0</v>
      </c>
      <c r="W6771">
        <v>132</v>
      </c>
      <c r="X6771">
        <v>399</v>
      </c>
      <c r="Y6771">
        <v>0</v>
      </c>
      <c r="Z6771">
        <v>88</v>
      </c>
      <c r="AA6771">
        <v>0</v>
      </c>
      <c r="AB6771">
        <v>11.460990000000001</v>
      </c>
      <c r="AC6771">
        <v>2.898338E-2</v>
      </c>
      <c r="AD6771">
        <v>4.4481570000000001</v>
      </c>
      <c r="AE6771">
        <v>0.51335019999999998</v>
      </c>
      <c r="AF6771">
        <v>457.12939999999998</v>
      </c>
      <c r="AG6771">
        <f>IFERROR(AH6771*0.1, "N/A")</f>
        <v>6.6926050000000004</v>
      </c>
      <c r="AH6771">
        <v>66.926050000000004</v>
      </c>
      <c r="AI6771">
        <v>114.17570000000001</v>
      </c>
      <c r="AJ6771">
        <v>15.96303</v>
      </c>
      <c r="AK6771">
        <v>65.036969999999997</v>
      </c>
    </row>
    <row r="6772" spans="1:37" x14ac:dyDescent="0.3">
      <c r="A6772">
        <v>6771</v>
      </c>
      <c r="B6772">
        <v>0</v>
      </c>
      <c r="C6772">
        <v>-3.48489</v>
      </c>
      <c r="D6772">
        <v>14.4397</v>
      </c>
      <c r="E6772">
        <f>-3.48489-14.4397</f>
        <v>-17.924590000000002</v>
      </c>
      <c r="F6772" t="s">
        <v>10208</v>
      </c>
      <c r="G6772" t="s">
        <v>37</v>
      </c>
      <c r="H6772">
        <v>1990</v>
      </c>
      <c r="I6772">
        <v>26.6</v>
      </c>
      <c r="J6772">
        <v>13.9</v>
      </c>
      <c r="K6772">
        <v>55</v>
      </c>
      <c r="L6772">
        <v>29.39</v>
      </c>
      <c r="M6772">
        <v>38.6</v>
      </c>
      <c r="N6772">
        <v>13.4</v>
      </c>
      <c r="O6772">
        <v>25.2</v>
      </c>
      <c r="P6772">
        <v>26.5</v>
      </c>
      <c r="Q6772">
        <v>22.5</v>
      </c>
      <c r="R6772">
        <v>30.4</v>
      </c>
      <c r="S6772">
        <v>22.5</v>
      </c>
      <c r="T6772">
        <v>511</v>
      </c>
      <c r="U6772">
        <v>169</v>
      </c>
      <c r="V6772">
        <v>0</v>
      </c>
      <c r="W6772">
        <v>132</v>
      </c>
      <c r="X6772">
        <v>399</v>
      </c>
      <c r="Y6772">
        <v>0</v>
      </c>
      <c r="Z6772">
        <v>88</v>
      </c>
      <c r="AA6772">
        <v>0</v>
      </c>
      <c r="AB6772">
        <v>11.460990000000001</v>
      </c>
      <c r="AC6772">
        <v>2.898338E-2</v>
      </c>
      <c r="AD6772">
        <v>4.4481570000000001</v>
      </c>
      <c r="AE6772">
        <v>0.51335019999999998</v>
      </c>
      <c r="AF6772">
        <v>457.12939999999998</v>
      </c>
      <c r="AG6772">
        <f>IFERROR(AH6772*0.1, "N/A")</f>
        <v>6.6926050000000004</v>
      </c>
      <c r="AH6772">
        <v>66.926050000000004</v>
      </c>
      <c r="AI6772">
        <v>114.17570000000001</v>
      </c>
      <c r="AJ6772">
        <v>15.96303</v>
      </c>
      <c r="AK6772">
        <v>65.036969999999997</v>
      </c>
    </row>
    <row r="6773" spans="1:37" x14ac:dyDescent="0.3">
      <c r="A6773">
        <v>6772</v>
      </c>
      <c r="B6773">
        <v>65.099999999999994</v>
      </c>
      <c r="C6773">
        <v>-3.28661</v>
      </c>
      <c r="D6773">
        <v>14.4483</v>
      </c>
      <c r="E6773">
        <f>-3.28661-14.4483</f>
        <v>-17.734909999999999</v>
      </c>
      <c r="F6773" t="s">
        <v>10209</v>
      </c>
      <c r="G6773" t="s">
        <v>39</v>
      </c>
      <c r="H6773">
        <v>1990</v>
      </c>
      <c r="I6773">
        <v>27.6</v>
      </c>
      <c r="J6773">
        <v>13.9</v>
      </c>
      <c r="K6773">
        <v>55</v>
      </c>
      <c r="L6773">
        <v>29.91</v>
      </c>
      <c r="M6773">
        <v>39.6</v>
      </c>
      <c r="N6773">
        <v>14.4</v>
      </c>
      <c r="O6773">
        <v>25.2</v>
      </c>
      <c r="P6773">
        <v>27.5</v>
      </c>
      <c r="Q6773">
        <v>23.4</v>
      </c>
      <c r="R6773">
        <v>31.5</v>
      </c>
      <c r="S6773">
        <v>23.4</v>
      </c>
      <c r="T6773">
        <v>496</v>
      </c>
      <c r="U6773">
        <v>164</v>
      </c>
      <c r="V6773">
        <v>0</v>
      </c>
      <c r="W6773">
        <v>132</v>
      </c>
      <c r="X6773">
        <v>388</v>
      </c>
      <c r="Y6773">
        <v>0</v>
      </c>
      <c r="Z6773">
        <v>84</v>
      </c>
      <c r="AA6773">
        <v>0</v>
      </c>
      <c r="AB6773">
        <v>3.8826489999999998</v>
      </c>
      <c r="AC6773">
        <v>9.4400230000000005E-3</v>
      </c>
      <c r="AD6773">
        <v>2.3824580000000002</v>
      </c>
      <c r="AE6773">
        <v>0.53814360000000006</v>
      </c>
      <c r="AF6773">
        <v>307.46129999999999</v>
      </c>
      <c r="AG6773">
        <f>IFERROR(AH6773*0.1, "N/A")</f>
        <v>6.6000000000000005</v>
      </c>
      <c r="AH6773">
        <v>66</v>
      </c>
      <c r="AI6773">
        <v>141.27709999999999</v>
      </c>
      <c r="AJ6773">
        <v>14</v>
      </c>
      <c r="AK6773">
        <v>70</v>
      </c>
    </row>
    <row r="6774" spans="1:37" x14ac:dyDescent="0.3">
      <c r="A6774">
        <v>6773</v>
      </c>
      <c r="B6774">
        <v>5.5</v>
      </c>
      <c r="C6774">
        <v>-3.28661</v>
      </c>
      <c r="D6774">
        <v>14.4483</v>
      </c>
      <c r="E6774">
        <f>-3.28661-14.4483</f>
        <v>-17.734909999999999</v>
      </c>
      <c r="F6774" t="s">
        <v>10210</v>
      </c>
      <c r="G6774" t="s">
        <v>37</v>
      </c>
      <c r="H6774">
        <v>1990</v>
      </c>
      <c r="I6774">
        <v>27.6</v>
      </c>
      <c r="J6774">
        <v>13.9</v>
      </c>
      <c r="K6774">
        <v>55</v>
      </c>
      <c r="L6774">
        <v>29.91</v>
      </c>
      <c r="M6774">
        <v>39.6</v>
      </c>
      <c r="N6774">
        <v>14.4</v>
      </c>
      <c r="O6774">
        <v>25.2</v>
      </c>
      <c r="P6774">
        <v>27.5</v>
      </c>
      <c r="Q6774">
        <v>23.4</v>
      </c>
      <c r="R6774">
        <v>31.5</v>
      </c>
      <c r="S6774">
        <v>23.4</v>
      </c>
      <c r="T6774">
        <v>496</v>
      </c>
      <c r="U6774">
        <v>164</v>
      </c>
      <c r="V6774">
        <v>0</v>
      </c>
      <c r="W6774">
        <v>132</v>
      </c>
      <c r="X6774">
        <v>388</v>
      </c>
      <c r="Y6774">
        <v>0</v>
      </c>
      <c r="Z6774">
        <v>84</v>
      </c>
      <c r="AA6774">
        <v>0</v>
      </c>
      <c r="AB6774">
        <v>3.8826489999999998</v>
      </c>
      <c r="AC6774">
        <v>9.4400230000000005E-3</v>
      </c>
      <c r="AD6774">
        <v>2.3824580000000002</v>
      </c>
      <c r="AE6774">
        <v>0.53814360000000006</v>
      </c>
      <c r="AF6774">
        <v>307.46129999999999</v>
      </c>
      <c r="AG6774">
        <f>IFERROR(AH6774*0.1, "N/A")</f>
        <v>6.6000000000000005</v>
      </c>
      <c r="AH6774">
        <v>66</v>
      </c>
      <c r="AI6774">
        <v>141.27709999999999</v>
      </c>
      <c r="AJ6774">
        <v>14</v>
      </c>
      <c r="AK6774">
        <v>70</v>
      </c>
    </row>
    <row r="6775" spans="1:37" x14ac:dyDescent="0.3">
      <c r="A6775">
        <v>6774</v>
      </c>
      <c r="B6775">
        <v>89</v>
      </c>
      <c r="C6775">
        <v>-4.9139999999999997</v>
      </c>
      <c r="D6775">
        <v>14.449</v>
      </c>
      <c r="E6775">
        <f>-4.914-14.449</f>
        <v>-19.363</v>
      </c>
      <c r="F6775" t="s">
        <v>10211</v>
      </c>
      <c r="G6775" t="s">
        <v>39</v>
      </c>
      <c r="H6775">
        <v>1987</v>
      </c>
      <c r="I6775">
        <v>27.1</v>
      </c>
      <c r="J6775">
        <v>14.5</v>
      </c>
      <c r="K6775">
        <v>51</v>
      </c>
      <c r="L6775">
        <v>32.94</v>
      </c>
      <c r="M6775">
        <v>40.299999999999997</v>
      </c>
      <c r="N6775">
        <v>12.4</v>
      </c>
      <c r="O6775">
        <v>27.9</v>
      </c>
      <c r="P6775">
        <v>27.7</v>
      </c>
      <c r="Q6775">
        <v>23.9</v>
      </c>
      <c r="R6775">
        <v>31.1</v>
      </c>
      <c r="S6775">
        <v>22.3</v>
      </c>
      <c r="T6775">
        <v>475</v>
      </c>
      <c r="U6775">
        <v>188</v>
      </c>
      <c r="V6775">
        <v>0</v>
      </c>
      <c r="W6775">
        <v>143</v>
      </c>
      <c r="X6775">
        <v>376</v>
      </c>
      <c r="Y6775">
        <v>2</v>
      </c>
      <c r="Z6775">
        <v>83</v>
      </c>
      <c r="AA6775">
        <v>2</v>
      </c>
      <c r="AB6775">
        <v>0.43770880000000001</v>
      </c>
      <c r="AC6775">
        <v>51.113930000000003</v>
      </c>
      <c r="AD6775">
        <v>2.0952540000000002</v>
      </c>
      <c r="AE6775">
        <v>0.42854930000000002</v>
      </c>
      <c r="AF6775">
        <v>270.06060000000002</v>
      </c>
      <c r="AG6775">
        <f>IFERROR(AH6775*0.1, "N/A")</f>
        <v>6.3633000000000006</v>
      </c>
      <c r="AH6775">
        <v>63.633000000000003</v>
      </c>
      <c r="AI6775">
        <v>174.63759999999999</v>
      </c>
      <c r="AJ6775">
        <v>23.328279999999999</v>
      </c>
      <c r="AK6775">
        <v>57.200339999999997</v>
      </c>
    </row>
    <row r="6776" spans="1:37" x14ac:dyDescent="0.3">
      <c r="A6776">
        <v>6775</v>
      </c>
      <c r="B6776">
        <v>0</v>
      </c>
      <c r="C6776">
        <v>-4.9139999999999997</v>
      </c>
      <c r="D6776">
        <v>14.449</v>
      </c>
      <c r="E6776">
        <f>-4.914-14.449</f>
        <v>-19.363</v>
      </c>
      <c r="F6776" t="s">
        <v>10212</v>
      </c>
      <c r="G6776" t="s">
        <v>37</v>
      </c>
      <c r="H6776">
        <v>1987</v>
      </c>
      <c r="I6776">
        <v>27.1</v>
      </c>
      <c r="J6776">
        <v>14.5</v>
      </c>
      <c r="K6776">
        <v>51</v>
      </c>
      <c r="L6776">
        <v>32.94</v>
      </c>
      <c r="M6776">
        <v>40.299999999999997</v>
      </c>
      <c r="N6776">
        <v>12.4</v>
      </c>
      <c r="O6776">
        <v>27.9</v>
      </c>
      <c r="P6776">
        <v>27.7</v>
      </c>
      <c r="Q6776">
        <v>23.9</v>
      </c>
      <c r="R6776">
        <v>31.1</v>
      </c>
      <c r="S6776">
        <v>22.3</v>
      </c>
      <c r="T6776">
        <v>475</v>
      </c>
      <c r="U6776">
        <v>188</v>
      </c>
      <c r="V6776">
        <v>0</v>
      </c>
      <c r="W6776">
        <v>143</v>
      </c>
      <c r="X6776">
        <v>376</v>
      </c>
      <c r="Y6776">
        <v>2</v>
      </c>
      <c r="Z6776">
        <v>83</v>
      </c>
      <c r="AA6776">
        <v>2</v>
      </c>
      <c r="AB6776">
        <v>0.43770880000000001</v>
      </c>
      <c r="AC6776">
        <v>51.113930000000003</v>
      </c>
      <c r="AD6776">
        <v>2.0952540000000002</v>
      </c>
      <c r="AE6776">
        <v>0.42854930000000002</v>
      </c>
      <c r="AF6776">
        <v>270.06060000000002</v>
      </c>
      <c r="AG6776">
        <f>IFERROR(AH6776*0.1, "N/A")</f>
        <v>6.3633000000000006</v>
      </c>
      <c r="AH6776">
        <v>63.633000000000003</v>
      </c>
      <c r="AI6776">
        <v>174.63759999999999</v>
      </c>
      <c r="AJ6776">
        <v>23.328279999999999</v>
      </c>
      <c r="AK6776">
        <v>57.200339999999997</v>
      </c>
    </row>
    <row r="6777" spans="1:37" x14ac:dyDescent="0.3">
      <c r="A6777">
        <v>6776</v>
      </c>
      <c r="B6777">
        <v>41.2</v>
      </c>
      <c r="C6777">
        <v>-5.9181299999999997</v>
      </c>
      <c r="D6777">
        <v>14.450200000000001</v>
      </c>
      <c r="E6777">
        <f>-5.91813-14.4502</f>
        <v>-20.36833</v>
      </c>
      <c r="F6777" t="s">
        <v>10213</v>
      </c>
      <c r="G6777" t="s">
        <v>39</v>
      </c>
      <c r="H6777">
        <v>1995</v>
      </c>
      <c r="I6777">
        <v>27.3</v>
      </c>
      <c r="J6777">
        <v>15.7</v>
      </c>
      <c r="K6777">
        <v>57</v>
      </c>
      <c r="L6777">
        <v>28.69866</v>
      </c>
      <c r="M6777">
        <v>39.9</v>
      </c>
      <c r="N6777">
        <v>12.7</v>
      </c>
      <c r="O6777">
        <v>27.2</v>
      </c>
      <c r="P6777">
        <v>27.3</v>
      </c>
      <c r="Q6777">
        <v>25.1</v>
      </c>
      <c r="R6777">
        <v>31</v>
      </c>
      <c r="S6777">
        <v>23.3</v>
      </c>
      <c r="T6777">
        <v>522.13419999999996</v>
      </c>
      <c r="U6777">
        <v>194.56710000000001</v>
      </c>
      <c r="V6777">
        <v>0</v>
      </c>
      <c r="W6777">
        <v>142.56710000000001</v>
      </c>
      <c r="X6777">
        <v>428.13420000000002</v>
      </c>
      <c r="Y6777">
        <v>1</v>
      </c>
      <c r="Z6777">
        <v>73</v>
      </c>
      <c r="AA6777">
        <v>1</v>
      </c>
      <c r="AB6777">
        <v>1.7567269999999999</v>
      </c>
      <c r="AC6777">
        <v>1.7565859999999999E-2</v>
      </c>
      <c r="AD6777">
        <v>1.2091959999999999</v>
      </c>
      <c r="AE6777">
        <v>0.54663680000000003</v>
      </c>
      <c r="AF6777">
        <v>275.04700000000003</v>
      </c>
      <c r="AG6777">
        <f>IFERROR(AH6777*0.1, "N/A")</f>
        <v>6</v>
      </c>
      <c r="AH6777">
        <v>60</v>
      </c>
      <c r="AI6777">
        <v>104.6858</v>
      </c>
      <c r="AJ6777">
        <v>16</v>
      </c>
      <c r="AK6777">
        <v>59</v>
      </c>
    </row>
    <row r="6778" spans="1:37" x14ac:dyDescent="0.3">
      <c r="A6778">
        <v>6777</v>
      </c>
      <c r="B6778">
        <v>21.9</v>
      </c>
      <c r="C6778">
        <v>-5.9181299999999997</v>
      </c>
      <c r="D6778">
        <v>14.450200000000001</v>
      </c>
      <c r="E6778">
        <f>-5.91813-14.4502</f>
        <v>-20.36833</v>
      </c>
      <c r="F6778" t="s">
        <v>10214</v>
      </c>
      <c r="G6778" t="s">
        <v>37</v>
      </c>
      <c r="H6778">
        <v>1995</v>
      </c>
      <c r="I6778">
        <v>27.3</v>
      </c>
      <c r="J6778">
        <v>15.7</v>
      </c>
      <c r="K6778">
        <v>57</v>
      </c>
      <c r="L6778">
        <v>28.69866</v>
      </c>
      <c r="M6778">
        <v>39.9</v>
      </c>
      <c r="N6778">
        <v>12.7</v>
      </c>
      <c r="O6778">
        <v>27.2</v>
      </c>
      <c r="P6778">
        <v>27.3</v>
      </c>
      <c r="Q6778">
        <v>25.1</v>
      </c>
      <c r="R6778">
        <v>31</v>
      </c>
      <c r="S6778">
        <v>23.3</v>
      </c>
      <c r="T6778">
        <v>522.13419999999996</v>
      </c>
      <c r="U6778">
        <v>194.56710000000001</v>
      </c>
      <c r="V6778">
        <v>0</v>
      </c>
      <c r="W6778">
        <v>142.56710000000001</v>
      </c>
      <c r="X6778">
        <v>428.13420000000002</v>
      </c>
      <c r="Y6778">
        <v>1</v>
      </c>
      <c r="Z6778">
        <v>73</v>
      </c>
      <c r="AA6778">
        <v>1</v>
      </c>
      <c r="AB6778">
        <v>1.7567269999999999</v>
      </c>
      <c r="AC6778">
        <v>1.7565859999999999E-2</v>
      </c>
      <c r="AD6778">
        <v>1.2091959999999999</v>
      </c>
      <c r="AE6778">
        <v>0.54663680000000003</v>
      </c>
      <c r="AF6778">
        <v>275.04700000000003</v>
      </c>
      <c r="AG6778">
        <f>IFERROR(AH6778*0.1, "N/A")</f>
        <v>6</v>
      </c>
      <c r="AH6778">
        <v>60</v>
      </c>
      <c r="AI6778">
        <v>104.6858</v>
      </c>
      <c r="AJ6778">
        <v>16</v>
      </c>
      <c r="AK6778">
        <v>59</v>
      </c>
    </row>
    <row r="6779" spans="1:37" x14ac:dyDescent="0.3">
      <c r="A6779">
        <v>6778</v>
      </c>
      <c r="B6779">
        <v>0</v>
      </c>
      <c r="C6779">
        <v>-11.432</v>
      </c>
      <c r="D6779">
        <v>14.452</v>
      </c>
      <c r="E6779">
        <f>-11.432-14.452</f>
        <v>-25.884</v>
      </c>
      <c r="F6779" t="s">
        <v>10215</v>
      </c>
      <c r="G6779" t="s">
        <v>39</v>
      </c>
      <c r="H6779">
        <v>1987</v>
      </c>
      <c r="I6779">
        <v>29.3</v>
      </c>
      <c r="J6779">
        <v>14</v>
      </c>
      <c r="K6779">
        <v>55</v>
      </c>
      <c r="L6779">
        <v>28.24</v>
      </c>
      <c r="M6779">
        <v>41.5</v>
      </c>
      <c r="N6779">
        <v>16.100000000000001</v>
      </c>
      <c r="O6779">
        <v>25.4</v>
      </c>
      <c r="P6779">
        <v>28.3</v>
      </c>
      <c r="Q6779">
        <v>27.6</v>
      </c>
      <c r="R6779">
        <v>33.4</v>
      </c>
      <c r="S6779">
        <v>26</v>
      </c>
      <c r="T6779">
        <v>637</v>
      </c>
      <c r="U6779">
        <v>211</v>
      </c>
      <c r="V6779">
        <v>0</v>
      </c>
      <c r="W6779">
        <v>135</v>
      </c>
      <c r="X6779">
        <v>512</v>
      </c>
      <c r="Y6779">
        <v>0</v>
      </c>
      <c r="Z6779">
        <v>87</v>
      </c>
      <c r="AA6779">
        <v>0</v>
      </c>
      <c r="AB6779">
        <v>0.52655450000000004</v>
      </c>
      <c r="AC6779">
        <v>0.20462279999999999</v>
      </c>
      <c r="AD6779">
        <v>1.4452910000000001</v>
      </c>
      <c r="AE6779">
        <v>0.69542020000000004</v>
      </c>
      <c r="AF6779">
        <v>21.272269999999999</v>
      </c>
      <c r="AG6779" t="str">
        <f>IFERROR(AH6779*0.1, "N/A")</f>
        <v>N/A</v>
      </c>
      <c r="AH6779" t="s">
        <v>729</v>
      </c>
      <c r="AI6779">
        <v>166.07159999999999</v>
      </c>
      <c r="AJ6779" t="s">
        <v>729</v>
      </c>
      <c r="AK6779" t="s">
        <v>729</v>
      </c>
    </row>
    <row r="6780" spans="1:37" x14ac:dyDescent="0.3">
      <c r="A6780">
        <v>6779</v>
      </c>
      <c r="B6780">
        <v>0</v>
      </c>
      <c r="C6780">
        <v>-11.432</v>
      </c>
      <c r="D6780">
        <v>14.452</v>
      </c>
      <c r="E6780">
        <f>-11.432-14.452</f>
        <v>-25.884</v>
      </c>
      <c r="F6780" t="s">
        <v>10216</v>
      </c>
      <c r="G6780" t="s">
        <v>37</v>
      </c>
      <c r="H6780">
        <v>1987</v>
      </c>
      <c r="I6780">
        <v>29.3</v>
      </c>
      <c r="J6780">
        <v>14</v>
      </c>
      <c r="K6780">
        <v>55</v>
      </c>
      <c r="L6780">
        <v>28.24</v>
      </c>
      <c r="M6780">
        <v>41.5</v>
      </c>
      <c r="N6780">
        <v>16.100000000000001</v>
      </c>
      <c r="O6780">
        <v>25.4</v>
      </c>
      <c r="P6780">
        <v>28.3</v>
      </c>
      <c r="Q6780">
        <v>27.6</v>
      </c>
      <c r="R6780">
        <v>33.4</v>
      </c>
      <c r="S6780">
        <v>26</v>
      </c>
      <c r="T6780">
        <v>637</v>
      </c>
      <c r="U6780">
        <v>211</v>
      </c>
      <c r="V6780">
        <v>0</v>
      </c>
      <c r="W6780">
        <v>135</v>
      </c>
      <c r="X6780">
        <v>512</v>
      </c>
      <c r="Y6780">
        <v>0</v>
      </c>
      <c r="Z6780">
        <v>87</v>
      </c>
      <c r="AA6780">
        <v>0</v>
      </c>
      <c r="AB6780">
        <v>0.52655450000000004</v>
      </c>
      <c r="AC6780">
        <v>0.20462279999999999</v>
      </c>
      <c r="AD6780">
        <v>1.4452910000000001</v>
      </c>
      <c r="AE6780">
        <v>0.69542020000000004</v>
      </c>
      <c r="AF6780">
        <v>21.272269999999999</v>
      </c>
      <c r="AG6780" t="str">
        <f>IFERROR(AH6780*0.1, "N/A")</f>
        <v>N/A</v>
      </c>
      <c r="AH6780" t="s">
        <v>729</v>
      </c>
      <c r="AI6780">
        <v>166.07159999999999</v>
      </c>
      <c r="AJ6780" t="s">
        <v>729</v>
      </c>
      <c r="AK6780" t="s">
        <v>729</v>
      </c>
    </row>
    <row r="6781" spans="1:37" x14ac:dyDescent="0.3">
      <c r="A6781">
        <v>6780</v>
      </c>
      <c r="B6781">
        <v>64</v>
      </c>
      <c r="C6781">
        <v>-5.9805999999999999</v>
      </c>
      <c r="D6781">
        <v>14.457599999999999</v>
      </c>
      <c r="E6781">
        <f>-5.9806-14.4576</f>
        <v>-20.438199999999998</v>
      </c>
      <c r="F6781" t="s">
        <v>10217</v>
      </c>
      <c r="G6781" t="s">
        <v>37</v>
      </c>
      <c r="H6781">
        <v>1997</v>
      </c>
      <c r="I6781">
        <v>27.3</v>
      </c>
      <c r="J6781">
        <v>15.7</v>
      </c>
      <c r="K6781">
        <v>57</v>
      </c>
      <c r="L6781">
        <v>28.6203</v>
      </c>
      <c r="M6781">
        <v>39.9</v>
      </c>
      <c r="N6781">
        <v>12.8</v>
      </c>
      <c r="O6781">
        <v>27.1</v>
      </c>
      <c r="P6781">
        <v>27.3</v>
      </c>
      <c r="Q6781">
        <v>25.1</v>
      </c>
      <c r="R6781">
        <v>31.1</v>
      </c>
      <c r="S6781">
        <v>23.4</v>
      </c>
      <c r="T6781">
        <v>522.96990000000005</v>
      </c>
      <c r="U6781">
        <v>194.98490000000001</v>
      </c>
      <c r="V6781">
        <v>0</v>
      </c>
      <c r="W6781">
        <v>143</v>
      </c>
      <c r="X6781">
        <v>429.9699</v>
      </c>
      <c r="Y6781">
        <v>1</v>
      </c>
      <c r="Z6781">
        <v>72</v>
      </c>
      <c r="AA6781">
        <v>1</v>
      </c>
      <c r="AB6781">
        <v>0.98160590000000003</v>
      </c>
      <c r="AC6781">
        <v>2.8808190000000001E-2</v>
      </c>
      <c r="AD6781">
        <v>0.46217550000000002</v>
      </c>
      <c r="AE6781">
        <v>0.53422510000000001</v>
      </c>
      <c r="AF6781">
        <v>274.18389999999999</v>
      </c>
      <c r="AG6781">
        <f>IFERROR(AH6781*0.1, "N/A")</f>
        <v>6.715217</v>
      </c>
      <c r="AH6781">
        <v>67.152169999999998</v>
      </c>
      <c r="AI6781">
        <v>165.42760000000001</v>
      </c>
      <c r="AJ6781">
        <v>32.747489999999999</v>
      </c>
      <c r="AK6781">
        <v>42.404679999999999</v>
      </c>
    </row>
    <row r="6782" spans="1:37" x14ac:dyDescent="0.3">
      <c r="A6782">
        <v>6781</v>
      </c>
      <c r="B6782">
        <v>83.2</v>
      </c>
      <c r="C6782">
        <v>-5.9805999999999999</v>
      </c>
      <c r="D6782">
        <v>14.457599999999999</v>
      </c>
      <c r="E6782">
        <f>-5.9806-14.4576</f>
        <v>-20.438199999999998</v>
      </c>
      <c r="F6782" t="s">
        <v>10218</v>
      </c>
      <c r="G6782" t="s">
        <v>39</v>
      </c>
      <c r="H6782">
        <v>1997</v>
      </c>
      <c r="I6782">
        <v>27.3</v>
      </c>
      <c r="J6782">
        <v>15.7</v>
      </c>
      <c r="K6782">
        <v>57</v>
      </c>
      <c r="L6782">
        <v>28.6203</v>
      </c>
      <c r="M6782">
        <v>39.9</v>
      </c>
      <c r="N6782">
        <v>12.8</v>
      </c>
      <c r="O6782">
        <v>27.1</v>
      </c>
      <c r="P6782">
        <v>27.3</v>
      </c>
      <c r="Q6782">
        <v>25.1</v>
      </c>
      <c r="R6782">
        <v>31.1</v>
      </c>
      <c r="S6782">
        <v>23.4</v>
      </c>
      <c r="T6782">
        <v>522.96990000000005</v>
      </c>
      <c r="U6782">
        <v>194.98490000000001</v>
      </c>
      <c r="V6782">
        <v>0</v>
      </c>
      <c r="W6782">
        <v>143</v>
      </c>
      <c r="X6782">
        <v>429.9699</v>
      </c>
      <c r="Y6782">
        <v>1</v>
      </c>
      <c r="Z6782">
        <v>72</v>
      </c>
      <c r="AA6782">
        <v>1</v>
      </c>
      <c r="AB6782">
        <v>0.98160590000000003</v>
      </c>
      <c r="AC6782">
        <v>2.8808190000000001E-2</v>
      </c>
      <c r="AD6782">
        <v>0.46217550000000002</v>
      </c>
      <c r="AE6782">
        <v>0.53422510000000001</v>
      </c>
      <c r="AF6782">
        <v>274.18389999999999</v>
      </c>
      <c r="AG6782">
        <f>IFERROR(AH6782*0.1, "N/A")</f>
        <v>6.715217</v>
      </c>
      <c r="AH6782">
        <v>67.152169999999998</v>
      </c>
      <c r="AI6782">
        <v>165.42760000000001</v>
      </c>
      <c r="AJ6782">
        <v>32.747489999999999</v>
      </c>
      <c r="AK6782">
        <v>42.404679999999999</v>
      </c>
    </row>
    <row r="6783" spans="1:37" x14ac:dyDescent="0.3">
      <c r="A6783">
        <v>6782</v>
      </c>
      <c r="B6783">
        <v>73.400000000000006</v>
      </c>
      <c r="C6783">
        <v>-3.3083300000000002</v>
      </c>
      <c r="D6783">
        <v>14.458299999999999</v>
      </c>
      <c r="E6783">
        <f>-3.30833-14.4583</f>
        <v>-17.766629999999999</v>
      </c>
      <c r="F6783" t="s">
        <v>10219</v>
      </c>
      <c r="G6783" t="s">
        <v>39</v>
      </c>
      <c r="H6783">
        <v>1990</v>
      </c>
      <c r="I6783">
        <v>26.31476</v>
      </c>
      <c r="J6783">
        <v>13.9</v>
      </c>
      <c r="K6783">
        <v>55</v>
      </c>
      <c r="L6783">
        <v>29.411169999999998</v>
      </c>
      <c r="M6783">
        <v>38.335230000000003</v>
      </c>
      <c r="N6783">
        <v>13.2943</v>
      </c>
      <c r="O6783">
        <v>25.040939999999999</v>
      </c>
      <c r="P6783">
        <v>26.31476</v>
      </c>
      <c r="Q6783">
        <v>22.265270000000001</v>
      </c>
      <c r="R6783">
        <v>30.2</v>
      </c>
      <c r="S6783">
        <v>22.265270000000001</v>
      </c>
      <c r="T6783">
        <v>513.64769999999999</v>
      </c>
      <c r="U6783">
        <v>168</v>
      </c>
      <c r="V6783">
        <v>0</v>
      </c>
      <c r="W6783">
        <v>131.64769999999999</v>
      </c>
      <c r="X6783">
        <v>399.64769999999999</v>
      </c>
      <c r="Y6783">
        <v>0</v>
      </c>
      <c r="Z6783">
        <v>88</v>
      </c>
      <c r="AA6783">
        <v>0</v>
      </c>
      <c r="AB6783">
        <v>20.460229999999999</v>
      </c>
      <c r="AC6783">
        <v>1.3563E-2</v>
      </c>
      <c r="AD6783">
        <v>6.3875310000000001</v>
      </c>
      <c r="AE6783">
        <v>0.30167729999999998</v>
      </c>
      <c r="AF6783">
        <v>516.7903</v>
      </c>
      <c r="AG6783">
        <f>IFERROR(AH6783*0.1, "N/A")</f>
        <v>6.8647650000000002</v>
      </c>
      <c r="AH6783">
        <v>68.647649999999999</v>
      </c>
      <c r="AI6783">
        <v>269.55220000000003</v>
      </c>
      <c r="AJ6783">
        <v>19.647649999999999</v>
      </c>
      <c r="AK6783">
        <v>64</v>
      </c>
    </row>
    <row r="6784" spans="1:37" x14ac:dyDescent="0.3">
      <c r="A6784">
        <v>6783</v>
      </c>
      <c r="B6784">
        <v>37.799999999999997</v>
      </c>
      <c r="C6784">
        <v>-3.3083300000000002</v>
      </c>
      <c r="D6784">
        <v>14.458299999999999</v>
      </c>
      <c r="E6784">
        <f>-3.30833-14.4583</f>
        <v>-17.766629999999999</v>
      </c>
      <c r="F6784" t="s">
        <v>10220</v>
      </c>
      <c r="G6784" t="s">
        <v>37</v>
      </c>
      <c r="H6784">
        <v>1990</v>
      </c>
      <c r="I6784">
        <v>26.31476</v>
      </c>
      <c r="J6784">
        <v>13.9</v>
      </c>
      <c r="K6784">
        <v>55</v>
      </c>
      <c r="L6784">
        <v>29.411169999999998</v>
      </c>
      <c r="M6784">
        <v>38.335230000000003</v>
      </c>
      <c r="N6784">
        <v>13.2943</v>
      </c>
      <c r="O6784">
        <v>25.040939999999999</v>
      </c>
      <c r="P6784">
        <v>26.31476</v>
      </c>
      <c r="Q6784">
        <v>22.265270000000001</v>
      </c>
      <c r="R6784">
        <v>30.2</v>
      </c>
      <c r="S6784">
        <v>22.265270000000001</v>
      </c>
      <c r="T6784">
        <v>513.64769999999999</v>
      </c>
      <c r="U6784">
        <v>168</v>
      </c>
      <c r="V6784">
        <v>0</v>
      </c>
      <c r="W6784">
        <v>131.64769999999999</v>
      </c>
      <c r="X6784">
        <v>399.64769999999999</v>
      </c>
      <c r="Y6784">
        <v>0</v>
      </c>
      <c r="Z6784">
        <v>88</v>
      </c>
      <c r="AA6784">
        <v>0</v>
      </c>
      <c r="AB6784">
        <v>20.460229999999999</v>
      </c>
      <c r="AC6784">
        <v>1.3563E-2</v>
      </c>
      <c r="AD6784">
        <v>6.3875310000000001</v>
      </c>
      <c r="AE6784">
        <v>0.30167729999999998</v>
      </c>
      <c r="AF6784">
        <v>516.7903</v>
      </c>
      <c r="AG6784">
        <f>IFERROR(AH6784*0.1, "N/A")</f>
        <v>6.8647650000000002</v>
      </c>
      <c r="AH6784">
        <v>68.647649999999999</v>
      </c>
      <c r="AI6784">
        <v>269.55220000000003</v>
      </c>
      <c r="AJ6784">
        <v>19.647649999999999</v>
      </c>
      <c r="AK6784">
        <v>64</v>
      </c>
    </row>
    <row r="6785" spans="1:37" x14ac:dyDescent="0.3">
      <c r="A6785">
        <v>6784</v>
      </c>
      <c r="B6785">
        <v>14.3</v>
      </c>
      <c r="C6785">
        <v>-2.8281399999999999</v>
      </c>
      <c r="D6785">
        <v>14.459199999999999</v>
      </c>
      <c r="E6785">
        <f>-2.82814-14.4592</f>
        <v>-17.28734</v>
      </c>
      <c r="F6785" t="s">
        <v>10221</v>
      </c>
      <c r="G6785" t="s">
        <v>39</v>
      </c>
      <c r="H6785">
        <v>1990</v>
      </c>
      <c r="I6785">
        <v>28.3</v>
      </c>
      <c r="J6785">
        <v>14</v>
      </c>
      <c r="K6785">
        <v>56</v>
      </c>
      <c r="L6785">
        <v>29.34</v>
      </c>
      <c r="M6785">
        <v>40.200000000000003</v>
      </c>
      <c r="N6785">
        <v>15.2</v>
      </c>
      <c r="O6785">
        <v>25</v>
      </c>
      <c r="P6785">
        <v>28.1</v>
      </c>
      <c r="Q6785">
        <v>24.7</v>
      </c>
      <c r="R6785">
        <v>32.200000000000003</v>
      </c>
      <c r="S6785">
        <v>24.3</v>
      </c>
      <c r="T6785">
        <v>486</v>
      </c>
      <c r="U6785">
        <v>157</v>
      </c>
      <c r="V6785">
        <v>0</v>
      </c>
      <c r="W6785">
        <v>131</v>
      </c>
      <c r="X6785">
        <v>380</v>
      </c>
      <c r="Y6785">
        <v>0</v>
      </c>
      <c r="Z6785">
        <v>83</v>
      </c>
      <c r="AA6785">
        <v>0</v>
      </c>
      <c r="AB6785">
        <v>1.194293</v>
      </c>
      <c r="AC6785">
        <v>0.13773930000000001</v>
      </c>
      <c r="AD6785">
        <v>1.188809</v>
      </c>
      <c r="AE6785">
        <v>0.25446439999999998</v>
      </c>
      <c r="AF6785">
        <v>263.51510000000002</v>
      </c>
      <c r="AG6785">
        <f>IFERROR(AH6785*0.1, "N/A")</f>
        <v>6.7664429999999998</v>
      </c>
      <c r="AH6785">
        <v>67.664429999999996</v>
      </c>
      <c r="AI6785">
        <v>163.50370000000001</v>
      </c>
      <c r="AJ6785">
        <v>6.0436240000000003</v>
      </c>
      <c r="AK6785">
        <v>86.912750000000003</v>
      </c>
    </row>
    <row r="6786" spans="1:37" x14ac:dyDescent="0.3">
      <c r="A6786">
        <v>6785</v>
      </c>
      <c r="B6786">
        <v>0</v>
      </c>
      <c r="C6786">
        <v>-2.8281399999999999</v>
      </c>
      <c r="D6786">
        <v>14.459199999999999</v>
      </c>
      <c r="E6786">
        <f>-2.82814-14.4592</f>
        <v>-17.28734</v>
      </c>
      <c r="F6786" t="s">
        <v>10222</v>
      </c>
      <c r="G6786" t="s">
        <v>37</v>
      </c>
      <c r="H6786">
        <v>1990</v>
      </c>
      <c r="I6786">
        <v>28.3</v>
      </c>
      <c r="J6786">
        <v>14</v>
      </c>
      <c r="K6786">
        <v>56</v>
      </c>
      <c r="L6786">
        <v>29.34</v>
      </c>
      <c r="M6786">
        <v>40.200000000000003</v>
      </c>
      <c r="N6786">
        <v>15.2</v>
      </c>
      <c r="O6786">
        <v>25</v>
      </c>
      <c r="P6786">
        <v>28.1</v>
      </c>
      <c r="Q6786">
        <v>24.7</v>
      </c>
      <c r="R6786">
        <v>32.200000000000003</v>
      </c>
      <c r="S6786">
        <v>24.3</v>
      </c>
      <c r="T6786">
        <v>486</v>
      </c>
      <c r="U6786">
        <v>157</v>
      </c>
      <c r="V6786">
        <v>0</v>
      </c>
      <c r="W6786">
        <v>131</v>
      </c>
      <c r="X6786">
        <v>380</v>
      </c>
      <c r="Y6786">
        <v>0</v>
      </c>
      <c r="Z6786">
        <v>83</v>
      </c>
      <c r="AA6786">
        <v>0</v>
      </c>
      <c r="AB6786">
        <v>1.194293</v>
      </c>
      <c r="AC6786">
        <v>0.13773930000000001</v>
      </c>
      <c r="AD6786">
        <v>1.188809</v>
      </c>
      <c r="AE6786">
        <v>0.25446439999999998</v>
      </c>
      <c r="AF6786">
        <v>263.51510000000002</v>
      </c>
      <c r="AG6786">
        <f>IFERROR(AH6786*0.1, "N/A")</f>
        <v>6.7664429999999998</v>
      </c>
      <c r="AH6786">
        <v>67.664429999999996</v>
      </c>
      <c r="AI6786">
        <v>163.50370000000001</v>
      </c>
      <c r="AJ6786">
        <v>6.0436240000000003</v>
      </c>
      <c r="AK6786">
        <v>86.912750000000003</v>
      </c>
    </row>
    <row r="6787" spans="1:37" x14ac:dyDescent="0.3">
      <c r="A6787">
        <v>6786</v>
      </c>
      <c r="B6787">
        <v>51.3</v>
      </c>
      <c r="C6787">
        <v>-3.4001299999999999</v>
      </c>
      <c r="D6787">
        <v>14.459300000000001</v>
      </c>
      <c r="E6787">
        <f>-3.40013-14.4593</f>
        <v>-17.85943</v>
      </c>
      <c r="F6787" t="s">
        <v>10223</v>
      </c>
      <c r="G6787" t="s">
        <v>39</v>
      </c>
      <c r="H6787">
        <v>1990</v>
      </c>
      <c r="I6787">
        <v>26.250170000000001</v>
      </c>
      <c r="J6787">
        <v>13.9</v>
      </c>
      <c r="K6787">
        <v>55</v>
      </c>
      <c r="L6787">
        <v>29.520099999999999</v>
      </c>
      <c r="M6787">
        <v>38.299999999999997</v>
      </c>
      <c r="N6787">
        <v>13.1</v>
      </c>
      <c r="O6787">
        <v>25.2</v>
      </c>
      <c r="P6787">
        <v>26.2</v>
      </c>
      <c r="Q6787">
        <v>22.1</v>
      </c>
      <c r="R6787">
        <v>30.1</v>
      </c>
      <c r="S6787">
        <v>22.1</v>
      </c>
      <c r="T6787">
        <v>513</v>
      </c>
      <c r="U6787">
        <v>169</v>
      </c>
      <c r="V6787">
        <v>0</v>
      </c>
      <c r="W6787">
        <v>132</v>
      </c>
      <c r="X6787">
        <v>400</v>
      </c>
      <c r="Y6787">
        <v>0</v>
      </c>
      <c r="Z6787">
        <v>88</v>
      </c>
      <c r="AA6787">
        <v>0</v>
      </c>
      <c r="AB6787">
        <v>1.6228199999999999</v>
      </c>
      <c r="AC6787">
        <v>36.640569999999997</v>
      </c>
      <c r="AD6787">
        <v>3.7660879999999999</v>
      </c>
      <c r="AE6787">
        <v>0.40270020000000001</v>
      </c>
      <c r="AF6787">
        <v>488.4228</v>
      </c>
      <c r="AG6787">
        <f>IFERROR(AH6787*0.1, "N/A")</f>
        <v>6.8260070000000006</v>
      </c>
      <c r="AH6787">
        <v>68.260069999999999</v>
      </c>
      <c r="AI6787">
        <v>116.12439999999999</v>
      </c>
      <c r="AJ6787">
        <v>15.510070000000001</v>
      </c>
      <c r="AK6787">
        <v>66.055369999999996</v>
      </c>
    </row>
    <row r="6788" spans="1:37" x14ac:dyDescent="0.3">
      <c r="A6788">
        <v>6787</v>
      </c>
      <c r="B6788">
        <v>9.4</v>
      </c>
      <c r="C6788">
        <v>-3.4001299999999999</v>
      </c>
      <c r="D6788">
        <v>14.459300000000001</v>
      </c>
      <c r="E6788">
        <f>-3.40013-14.4593</f>
        <v>-17.85943</v>
      </c>
      <c r="F6788" t="s">
        <v>10224</v>
      </c>
      <c r="G6788" t="s">
        <v>37</v>
      </c>
      <c r="H6788">
        <v>1990</v>
      </c>
      <c r="I6788">
        <v>26.250170000000001</v>
      </c>
      <c r="J6788">
        <v>13.9</v>
      </c>
      <c r="K6788">
        <v>55</v>
      </c>
      <c r="L6788">
        <v>29.520099999999999</v>
      </c>
      <c r="M6788">
        <v>38.299999999999997</v>
      </c>
      <c r="N6788">
        <v>13.1</v>
      </c>
      <c r="O6788">
        <v>25.2</v>
      </c>
      <c r="P6788">
        <v>26.2</v>
      </c>
      <c r="Q6788">
        <v>22.1</v>
      </c>
      <c r="R6788">
        <v>30.1</v>
      </c>
      <c r="S6788">
        <v>22.1</v>
      </c>
      <c r="T6788">
        <v>513</v>
      </c>
      <c r="U6788">
        <v>169</v>
      </c>
      <c r="V6788">
        <v>0</v>
      </c>
      <c r="W6788">
        <v>132</v>
      </c>
      <c r="X6788">
        <v>400</v>
      </c>
      <c r="Y6788">
        <v>0</v>
      </c>
      <c r="Z6788">
        <v>88</v>
      </c>
      <c r="AA6788">
        <v>0</v>
      </c>
      <c r="AB6788">
        <v>1.6228199999999999</v>
      </c>
      <c r="AC6788">
        <v>36.640569999999997</v>
      </c>
      <c r="AD6788">
        <v>3.7660879999999999</v>
      </c>
      <c r="AE6788">
        <v>0.40270020000000001</v>
      </c>
      <c r="AF6788">
        <v>488.4228</v>
      </c>
      <c r="AG6788">
        <f>IFERROR(AH6788*0.1, "N/A")</f>
        <v>6.8260070000000006</v>
      </c>
      <c r="AH6788">
        <v>68.260069999999999</v>
      </c>
      <c r="AI6788">
        <v>116.12439999999999</v>
      </c>
      <c r="AJ6788">
        <v>15.510070000000001</v>
      </c>
      <c r="AK6788">
        <v>66.055369999999996</v>
      </c>
    </row>
    <row r="6789" spans="1:37" x14ac:dyDescent="0.3">
      <c r="A6789">
        <v>6788</v>
      </c>
      <c r="B6789">
        <v>55.6</v>
      </c>
      <c r="C6789">
        <v>-3.2862300000000002</v>
      </c>
      <c r="D6789">
        <v>14.461499999999999</v>
      </c>
      <c r="E6789">
        <f>-3.28623-14.4615</f>
        <v>-17.747730000000001</v>
      </c>
      <c r="F6789" t="s">
        <v>10225</v>
      </c>
      <c r="G6789" t="s">
        <v>39</v>
      </c>
      <c r="H6789">
        <v>1990</v>
      </c>
      <c r="I6789">
        <v>27.6</v>
      </c>
      <c r="J6789">
        <v>13.9</v>
      </c>
      <c r="K6789">
        <v>55</v>
      </c>
      <c r="L6789">
        <v>29.6</v>
      </c>
      <c r="M6789">
        <v>39.6</v>
      </c>
      <c r="N6789">
        <v>14.4</v>
      </c>
      <c r="O6789">
        <v>25.2</v>
      </c>
      <c r="P6789">
        <v>27.5</v>
      </c>
      <c r="Q6789">
        <v>23.5</v>
      </c>
      <c r="R6789">
        <v>31.5</v>
      </c>
      <c r="S6789">
        <v>23.5</v>
      </c>
      <c r="T6789">
        <v>496</v>
      </c>
      <c r="U6789">
        <v>164</v>
      </c>
      <c r="V6789">
        <v>0</v>
      </c>
      <c r="W6789">
        <v>131</v>
      </c>
      <c r="X6789">
        <v>388</v>
      </c>
      <c r="Y6789">
        <v>0</v>
      </c>
      <c r="Z6789">
        <v>84</v>
      </c>
      <c r="AA6789">
        <v>0</v>
      </c>
      <c r="AB6789">
        <v>1.0714619999999999</v>
      </c>
      <c r="AC6789">
        <v>9.560631E-2</v>
      </c>
      <c r="AD6789">
        <v>1.9705820000000001</v>
      </c>
      <c r="AE6789">
        <v>0.4868401</v>
      </c>
      <c r="AF6789">
        <v>309.25170000000003</v>
      </c>
      <c r="AG6789">
        <f>IFERROR(AH6789*0.1, "N/A")</f>
        <v>7.3000000000000007</v>
      </c>
      <c r="AH6789">
        <v>73</v>
      </c>
      <c r="AI6789">
        <v>240.18729999999999</v>
      </c>
      <c r="AJ6789">
        <v>18</v>
      </c>
      <c r="AK6789">
        <v>66</v>
      </c>
    </row>
    <row r="6790" spans="1:37" x14ac:dyDescent="0.3">
      <c r="A6790">
        <v>6789</v>
      </c>
      <c r="B6790">
        <v>8.6999999999999993</v>
      </c>
      <c r="C6790">
        <v>-3.2862300000000002</v>
      </c>
      <c r="D6790">
        <v>14.461499999999999</v>
      </c>
      <c r="E6790">
        <f>-3.28623-14.4615</f>
        <v>-17.747730000000001</v>
      </c>
      <c r="F6790" t="s">
        <v>10226</v>
      </c>
      <c r="G6790" t="s">
        <v>37</v>
      </c>
      <c r="H6790">
        <v>1990</v>
      </c>
      <c r="I6790">
        <v>27.6</v>
      </c>
      <c r="J6790">
        <v>13.9</v>
      </c>
      <c r="K6790">
        <v>55</v>
      </c>
      <c r="L6790">
        <v>29.6</v>
      </c>
      <c r="M6790">
        <v>39.6</v>
      </c>
      <c r="N6790">
        <v>14.4</v>
      </c>
      <c r="O6790">
        <v>25.2</v>
      </c>
      <c r="P6790">
        <v>27.5</v>
      </c>
      <c r="Q6790">
        <v>23.5</v>
      </c>
      <c r="R6790">
        <v>31.5</v>
      </c>
      <c r="S6790">
        <v>23.5</v>
      </c>
      <c r="T6790">
        <v>496</v>
      </c>
      <c r="U6790">
        <v>164</v>
      </c>
      <c r="V6790">
        <v>0</v>
      </c>
      <c r="W6790">
        <v>131</v>
      </c>
      <c r="X6790">
        <v>388</v>
      </c>
      <c r="Y6790">
        <v>0</v>
      </c>
      <c r="Z6790">
        <v>84</v>
      </c>
      <c r="AA6790">
        <v>0</v>
      </c>
      <c r="AB6790">
        <v>1.0714619999999999</v>
      </c>
      <c r="AC6790">
        <v>9.560631E-2</v>
      </c>
      <c r="AD6790">
        <v>1.9705820000000001</v>
      </c>
      <c r="AE6790">
        <v>0.4868401</v>
      </c>
      <c r="AF6790">
        <v>309.25170000000003</v>
      </c>
      <c r="AG6790">
        <f>IFERROR(AH6790*0.1, "N/A")</f>
        <v>7.3000000000000007</v>
      </c>
      <c r="AH6790">
        <v>73</v>
      </c>
      <c r="AI6790">
        <v>240.18729999999999</v>
      </c>
      <c r="AJ6790">
        <v>18</v>
      </c>
      <c r="AK6790">
        <v>66</v>
      </c>
    </row>
    <row r="6791" spans="1:37" x14ac:dyDescent="0.3">
      <c r="A6791">
        <v>6790</v>
      </c>
      <c r="B6791">
        <v>57.5</v>
      </c>
      <c r="C6791">
        <v>-5.9877599999999997</v>
      </c>
      <c r="D6791">
        <v>14.462899999999999</v>
      </c>
      <c r="E6791">
        <f>-5.98776-14.4629</f>
        <v>-20.450659999999999</v>
      </c>
      <c r="F6791" t="s">
        <v>10227</v>
      </c>
      <c r="G6791" t="s">
        <v>39</v>
      </c>
      <c r="H6791">
        <v>1990</v>
      </c>
      <c r="I6791">
        <v>27.3</v>
      </c>
      <c r="J6791">
        <v>15.7</v>
      </c>
      <c r="K6791">
        <v>57</v>
      </c>
      <c r="L6791">
        <v>28.63</v>
      </c>
      <c r="M6791">
        <v>39.9</v>
      </c>
      <c r="N6791">
        <v>12.8</v>
      </c>
      <c r="O6791">
        <v>27.1</v>
      </c>
      <c r="P6791">
        <v>27.3</v>
      </c>
      <c r="Q6791">
        <v>25.1</v>
      </c>
      <c r="R6791">
        <v>31.1</v>
      </c>
      <c r="S6791">
        <v>23.4</v>
      </c>
      <c r="T6791">
        <v>521</v>
      </c>
      <c r="U6791">
        <v>194</v>
      </c>
      <c r="V6791">
        <v>0</v>
      </c>
      <c r="W6791">
        <v>143</v>
      </c>
      <c r="X6791">
        <v>428</v>
      </c>
      <c r="Y6791">
        <v>1</v>
      </c>
      <c r="Z6791">
        <v>72</v>
      </c>
      <c r="AA6791">
        <v>1</v>
      </c>
      <c r="AB6791">
        <v>0.78437780000000001</v>
      </c>
      <c r="AC6791">
        <v>2.2146019999999999E-2</v>
      </c>
      <c r="AD6791">
        <v>1.4043399999999999</v>
      </c>
      <c r="AE6791">
        <v>0.51282570000000005</v>
      </c>
      <c r="AF6791">
        <v>275.13780000000003</v>
      </c>
      <c r="AG6791">
        <f>IFERROR(AH6791*0.1, "N/A")</f>
        <v>6.4</v>
      </c>
      <c r="AH6791">
        <v>64</v>
      </c>
      <c r="AI6791">
        <v>76.778099999999995</v>
      </c>
      <c r="AJ6791">
        <v>28.894120000000001</v>
      </c>
      <c r="AK6791">
        <v>50.85042</v>
      </c>
    </row>
    <row r="6792" spans="1:37" x14ac:dyDescent="0.3">
      <c r="A6792">
        <v>6791</v>
      </c>
      <c r="B6792">
        <v>36.700000000000003</v>
      </c>
      <c r="C6792">
        <v>-5.9877599999999997</v>
      </c>
      <c r="D6792">
        <v>14.462899999999999</v>
      </c>
      <c r="E6792">
        <f>-5.98776-14.4629</f>
        <v>-20.450659999999999</v>
      </c>
      <c r="F6792" t="s">
        <v>10228</v>
      </c>
      <c r="G6792" t="s">
        <v>37</v>
      </c>
      <c r="H6792">
        <v>1990</v>
      </c>
      <c r="I6792">
        <v>27.3</v>
      </c>
      <c r="J6792">
        <v>15.7</v>
      </c>
      <c r="K6792">
        <v>57</v>
      </c>
      <c r="L6792">
        <v>28.63</v>
      </c>
      <c r="M6792">
        <v>39.9</v>
      </c>
      <c r="N6792">
        <v>12.8</v>
      </c>
      <c r="O6792">
        <v>27.1</v>
      </c>
      <c r="P6792">
        <v>27.3</v>
      </c>
      <c r="Q6792">
        <v>25.1</v>
      </c>
      <c r="R6792">
        <v>31.1</v>
      </c>
      <c r="S6792">
        <v>23.4</v>
      </c>
      <c r="T6792">
        <v>521</v>
      </c>
      <c r="U6792">
        <v>194</v>
      </c>
      <c r="V6792">
        <v>0</v>
      </c>
      <c r="W6792">
        <v>143</v>
      </c>
      <c r="X6792">
        <v>428</v>
      </c>
      <c r="Y6792">
        <v>1</v>
      </c>
      <c r="Z6792">
        <v>72</v>
      </c>
      <c r="AA6792">
        <v>1</v>
      </c>
      <c r="AB6792">
        <v>0.78437780000000001</v>
      </c>
      <c r="AC6792">
        <v>2.2146019999999999E-2</v>
      </c>
      <c r="AD6792">
        <v>1.4043399999999999</v>
      </c>
      <c r="AE6792">
        <v>0.51282570000000005</v>
      </c>
      <c r="AF6792">
        <v>275.13780000000003</v>
      </c>
      <c r="AG6792">
        <f>IFERROR(AH6792*0.1, "N/A")</f>
        <v>6.4</v>
      </c>
      <c r="AH6792">
        <v>64</v>
      </c>
      <c r="AI6792">
        <v>76.778099999999995</v>
      </c>
      <c r="AJ6792">
        <v>28.894120000000001</v>
      </c>
      <c r="AK6792">
        <v>50.85042</v>
      </c>
    </row>
    <row r="6793" spans="1:37" x14ac:dyDescent="0.3">
      <c r="A6793">
        <v>6792</v>
      </c>
      <c r="B6793">
        <v>52.3</v>
      </c>
      <c r="C6793">
        <v>-5.8986200000000002</v>
      </c>
      <c r="D6793">
        <v>14.465299999999999</v>
      </c>
      <c r="E6793">
        <f>-5.89862-14.4653</f>
        <v>-20.36392</v>
      </c>
      <c r="F6793" t="s">
        <v>10229</v>
      </c>
      <c r="G6793" t="s">
        <v>39</v>
      </c>
      <c r="H6793">
        <v>1995</v>
      </c>
      <c r="I6793">
        <v>27.2</v>
      </c>
      <c r="J6793">
        <v>15.7</v>
      </c>
      <c r="K6793">
        <v>57</v>
      </c>
      <c r="L6793">
        <v>29</v>
      </c>
      <c r="M6793">
        <v>39.9</v>
      </c>
      <c r="N6793">
        <v>12.6</v>
      </c>
      <c r="O6793">
        <v>27.3</v>
      </c>
      <c r="P6793">
        <v>27.3</v>
      </c>
      <c r="Q6793">
        <v>25</v>
      </c>
      <c r="R6793">
        <v>31</v>
      </c>
      <c r="S6793">
        <v>23.2</v>
      </c>
      <c r="T6793">
        <v>520</v>
      </c>
      <c r="U6793">
        <v>194</v>
      </c>
      <c r="V6793">
        <v>0</v>
      </c>
      <c r="W6793">
        <v>142</v>
      </c>
      <c r="X6793">
        <v>426</v>
      </c>
      <c r="Y6793">
        <v>1</v>
      </c>
      <c r="Z6793">
        <v>73</v>
      </c>
      <c r="AA6793">
        <v>1</v>
      </c>
      <c r="AB6793">
        <v>1.569196</v>
      </c>
      <c r="AC6793">
        <v>8.7142999999999995E-3</v>
      </c>
      <c r="AD6793">
        <v>1.1597949999999999</v>
      </c>
      <c r="AE6793">
        <v>0.36712590000000001</v>
      </c>
      <c r="AF6793">
        <v>277.71039999999999</v>
      </c>
      <c r="AG6793">
        <f>IFERROR(AH6793*0.1, "N/A")</f>
        <v>6.057576000000001</v>
      </c>
      <c r="AH6793">
        <v>60.575760000000002</v>
      </c>
      <c r="AI6793">
        <v>64.804630000000003</v>
      </c>
      <c r="AJ6793">
        <v>20.954550000000001</v>
      </c>
      <c r="AK6793">
        <v>55.456229999999998</v>
      </c>
    </row>
    <row r="6794" spans="1:37" x14ac:dyDescent="0.3">
      <c r="A6794">
        <v>6793</v>
      </c>
      <c r="B6794">
        <v>67.900000000000006</v>
      </c>
      <c r="C6794">
        <v>-5.8986200000000002</v>
      </c>
      <c r="D6794">
        <v>14.465299999999999</v>
      </c>
      <c r="E6794">
        <f>-5.89862-14.4653</f>
        <v>-20.36392</v>
      </c>
      <c r="F6794" t="s">
        <v>10230</v>
      </c>
      <c r="G6794" t="s">
        <v>37</v>
      </c>
      <c r="H6794">
        <v>1995</v>
      </c>
      <c r="I6794">
        <v>27.2</v>
      </c>
      <c r="J6794">
        <v>15.7</v>
      </c>
      <c r="K6794">
        <v>57</v>
      </c>
      <c r="L6794">
        <v>29</v>
      </c>
      <c r="M6794">
        <v>39.9</v>
      </c>
      <c r="N6794">
        <v>12.6</v>
      </c>
      <c r="O6794">
        <v>27.3</v>
      </c>
      <c r="P6794">
        <v>27.3</v>
      </c>
      <c r="Q6794">
        <v>25</v>
      </c>
      <c r="R6794">
        <v>31</v>
      </c>
      <c r="S6794">
        <v>23.2</v>
      </c>
      <c r="T6794">
        <v>520</v>
      </c>
      <c r="U6794">
        <v>194</v>
      </c>
      <c r="V6794">
        <v>0</v>
      </c>
      <c r="W6794">
        <v>142</v>
      </c>
      <c r="X6794">
        <v>426</v>
      </c>
      <c r="Y6794">
        <v>1</v>
      </c>
      <c r="Z6794">
        <v>73</v>
      </c>
      <c r="AA6794">
        <v>1</v>
      </c>
      <c r="AB6794">
        <v>1.569196</v>
      </c>
      <c r="AC6794">
        <v>8.7142999999999995E-3</v>
      </c>
      <c r="AD6794">
        <v>1.1597949999999999</v>
      </c>
      <c r="AE6794">
        <v>0.36712590000000001</v>
      </c>
      <c r="AF6794">
        <v>277.71039999999999</v>
      </c>
      <c r="AG6794">
        <f>IFERROR(AH6794*0.1, "N/A")</f>
        <v>6.057576000000001</v>
      </c>
      <c r="AH6794">
        <v>60.575760000000002</v>
      </c>
      <c r="AI6794">
        <v>64.804630000000003</v>
      </c>
      <c r="AJ6794">
        <v>20.954550000000001</v>
      </c>
      <c r="AK6794">
        <v>55.456229999999998</v>
      </c>
    </row>
    <row r="6795" spans="1:37" x14ac:dyDescent="0.3">
      <c r="A6795">
        <v>6794</v>
      </c>
      <c r="B6795">
        <v>77.5</v>
      </c>
      <c r="C6795">
        <v>-3.3833299999999999</v>
      </c>
      <c r="D6795">
        <v>14.466699999999999</v>
      </c>
      <c r="E6795">
        <f>-3.38333-14.4667</f>
        <v>-17.85003</v>
      </c>
      <c r="F6795" t="s">
        <v>10231</v>
      </c>
      <c r="G6795" t="s">
        <v>39</v>
      </c>
      <c r="H6795">
        <v>1990</v>
      </c>
      <c r="I6795">
        <v>26.220300000000002</v>
      </c>
      <c r="J6795">
        <v>13.9</v>
      </c>
      <c r="K6795">
        <v>55</v>
      </c>
      <c r="L6795">
        <v>29.321380000000001</v>
      </c>
      <c r="M6795">
        <v>38.241779999999999</v>
      </c>
      <c r="N6795">
        <v>13.1</v>
      </c>
      <c r="O6795">
        <v>25.141780000000001</v>
      </c>
      <c r="P6795">
        <v>26.2</v>
      </c>
      <c r="Q6795">
        <v>22.150169999999999</v>
      </c>
      <c r="R6795">
        <v>30.041779999999999</v>
      </c>
      <c r="S6795">
        <v>22.150169999999999</v>
      </c>
      <c r="T6795">
        <v>513.09230000000002</v>
      </c>
      <c r="U6795">
        <v>168.2953</v>
      </c>
      <c r="V6795">
        <v>0</v>
      </c>
      <c r="W6795">
        <v>131.4983</v>
      </c>
      <c r="X6795">
        <v>399.2953</v>
      </c>
      <c r="Y6795">
        <v>0</v>
      </c>
      <c r="Z6795">
        <v>88</v>
      </c>
      <c r="AA6795">
        <v>0</v>
      </c>
      <c r="AB6795">
        <v>1.084905</v>
      </c>
      <c r="AC6795">
        <v>6.4992970000000003</v>
      </c>
      <c r="AD6795">
        <v>2.8973610000000001</v>
      </c>
      <c r="AE6795">
        <v>0.33395760000000002</v>
      </c>
      <c r="AF6795">
        <v>506.98489999999998</v>
      </c>
      <c r="AG6795">
        <f>IFERROR(AH6795*0.1, "N/A")</f>
        <v>7</v>
      </c>
      <c r="AH6795">
        <v>70</v>
      </c>
      <c r="AI6795">
        <v>238.83410000000001</v>
      </c>
      <c r="AJ6795">
        <v>15</v>
      </c>
      <c r="AK6795">
        <v>67</v>
      </c>
    </row>
    <row r="6796" spans="1:37" x14ac:dyDescent="0.3">
      <c r="A6796">
        <v>6795</v>
      </c>
      <c r="B6796">
        <v>6.3</v>
      </c>
      <c r="C6796">
        <v>-3.3833299999999999</v>
      </c>
      <c r="D6796">
        <v>14.466699999999999</v>
      </c>
      <c r="E6796">
        <f>-3.38333-14.4667</f>
        <v>-17.85003</v>
      </c>
      <c r="F6796" t="s">
        <v>10232</v>
      </c>
      <c r="G6796" t="s">
        <v>37</v>
      </c>
      <c r="H6796">
        <v>1990</v>
      </c>
      <c r="I6796">
        <v>26.220300000000002</v>
      </c>
      <c r="J6796">
        <v>13.9</v>
      </c>
      <c r="K6796">
        <v>55</v>
      </c>
      <c r="L6796">
        <v>29.321380000000001</v>
      </c>
      <c r="M6796">
        <v>38.241779999999999</v>
      </c>
      <c r="N6796">
        <v>13.1</v>
      </c>
      <c r="O6796">
        <v>25.141780000000001</v>
      </c>
      <c r="P6796">
        <v>26.2</v>
      </c>
      <c r="Q6796">
        <v>22.150169999999999</v>
      </c>
      <c r="R6796">
        <v>30.041779999999999</v>
      </c>
      <c r="S6796">
        <v>22.150169999999999</v>
      </c>
      <c r="T6796">
        <v>513.09230000000002</v>
      </c>
      <c r="U6796">
        <v>168.2953</v>
      </c>
      <c r="V6796">
        <v>0</v>
      </c>
      <c r="W6796">
        <v>131.4983</v>
      </c>
      <c r="X6796">
        <v>399.2953</v>
      </c>
      <c r="Y6796">
        <v>0</v>
      </c>
      <c r="Z6796">
        <v>88</v>
      </c>
      <c r="AA6796">
        <v>0</v>
      </c>
      <c r="AB6796">
        <v>1.084905</v>
      </c>
      <c r="AC6796">
        <v>6.4992970000000003</v>
      </c>
      <c r="AD6796">
        <v>2.8973610000000001</v>
      </c>
      <c r="AE6796">
        <v>0.33395760000000002</v>
      </c>
      <c r="AF6796">
        <v>506.98489999999998</v>
      </c>
      <c r="AG6796">
        <f>IFERROR(AH6796*0.1, "N/A")</f>
        <v>7</v>
      </c>
      <c r="AH6796">
        <v>70</v>
      </c>
      <c r="AI6796">
        <v>238.83410000000001</v>
      </c>
      <c r="AJ6796">
        <v>15</v>
      </c>
      <c r="AK6796">
        <v>67</v>
      </c>
    </row>
    <row r="6797" spans="1:37" x14ac:dyDescent="0.3">
      <c r="A6797">
        <v>6796</v>
      </c>
      <c r="B6797">
        <v>61.8</v>
      </c>
      <c r="C6797">
        <v>-3.3041700000000001</v>
      </c>
      <c r="D6797">
        <v>14.466699999999999</v>
      </c>
      <c r="E6797">
        <f>-3.30417-14.4667</f>
        <v>-17.770869999999999</v>
      </c>
      <c r="F6797" t="s">
        <v>10233</v>
      </c>
      <c r="G6797" t="s">
        <v>39</v>
      </c>
      <c r="H6797">
        <v>1990</v>
      </c>
      <c r="I6797">
        <v>26.3</v>
      </c>
      <c r="J6797">
        <v>13.9</v>
      </c>
      <c r="K6797">
        <v>55</v>
      </c>
      <c r="L6797">
        <v>29.239699999999999</v>
      </c>
      <c r="M6797">
        <v>38.299999999999997</v>
      </c>
      <c r="N6797">
        <v>13.3</v>
      </c>
      <c r="O6797">
        <v>25</v>
      </c>
      <c r="P6797">
        <v>26.3</v>
      </c>
      <c r="Q6797">
        <v>22.3</v>
      </c>
      <c r="R6797">
        <v>30.2</v>
      </c>
      <c r="S6797">
        <v>22.3</v>
      </c>
      <c r="T6797">
        <v>513.29700000000003</v>
      </c>
      <c r="U6797">
        <v>168</v>
      </c>
      <c r="V6797">
        <v>0</v>
      </c>
      <c r="W6797">
        <v>131.297</v>
      </c>
      <c r="X6797">
        <v>399.29700000000003</v>
      </c>
      <c r="Y6797">
        <v>0</v>
      </c>
      <c r="Z6797">
        <v>88</v>
      </c>
      <c r="AA6797">
        <v>0</v>
      </c>
      <c r="AB6797">
        <v>16.964079999999999</v>
      </c>
      <c r="AC6797">
        <v>1.025526E-2</v>
      </c>
      <c r="AD6797">
        <v>2.6553640000000001</v>
      </c>
      <c r="AE6797">
        <v>0.32049070000000002</v>
      </c>
      <c r="AF6797">
        <v>515.32889999999998</v>
      </c>
      <c r="AG6797">
        <f>IFERROR(AH6797*0.1, "N/A")</f>
        <v>6.936745000000001</v>
      </c>
      <c r="AH6797">
        <v>69.367450000000005</v>
      </c>
      <c r="AI6797">
        <v>192.30340000000001</v>
      </c>
      <c r="AJ6797">
        <v>18</v>
      </c>
      <c r="AK6797">
        <v>65</v>
      </c>
    </row>
    <row r="6798" spans="1:37" x14ac:dyDescent="0.3">
      <c r="A6798">
        <v>6797</v>
      </c>
      <c r="B6798">
        <v>27.6</v>
      </c>
      <c r="C6798">
        <v>-3.3041700000000001</v>
      </c>
      <c r="D6798">
        <v>14.466699999999999</v>
      </c>
      <c r="E6798">
        <f>-3.30417-14.4667</f>
        <v>-17.770869999999999</v>
      </c>
      <c r="F6798" t="s">
        <v>10234</v>
      </c>
      <c r="G6798" t="s">
        <v>37</v>
      </c>
      <c r="H6798">
        <v>1990</v>
      </c>
      <c r="I6798">
        <v>26.3</v>
      </c>
      <c r="J6798">
        <v>13.9</v>
      </c>
      <c r="K6798">
        <v>55</v>
      </c>
      <c r="L6798">
        <v>29.239699999999999</v>
      </c>
      <c r="M6798">
        <v>38.299999999999997</v>
      </c>
      <c r="N6798">
        <v>13.3</v>
      </c>
      <c r="O6798">
        <v>25</v>
      </c>
      <c r="P6798">
        <v>26.3</v>
      </c>
      <c r="Q6798">
        <v>22.3</v>
      </c>
      <c r="R6798">
        <v>30.2</v>
      </c>
      <c r="S6798">
        <v>22.3</v>
      </c>
      <c r="T6798">
        <v>513.29700000000003</v>
      </c>
      <c r="U6798">
        <v>168</v>
      </c>
      <c r="V6798">
        <v>0</v>
      </c>
      <c r="W6798">
        <v>131.297</v>
      </c>
      <c r="X6798">
        <v>399.29700000000003</v>
      </c>
      <c r="Y6798">
        <v>0</v>
      </c>
      <c r="Z6798">
        <v>88</v>
      </c>
      <c r="AA6798">
        <v>0</v>
      </c>
      <c r="AB6798">
        <v>16.964079999999999</v>
      </c>
      <c r="AC6798">
        <v>1.025526E-2</v>
      </c>
      <c r="AD6798">
        <v>2.6553640000000001</v>
      </c>
      <c r="AE6798">
        <v>0.32049070000000002</v>
      </c>
      <c r="AF6798">
        <v>515.32889999999998</v>
      </c>
      <c r="AG6798">
        <f>IFERROR(AH6798*0.1, "N/A")</f>
        <v>6.936745000000001</v>
      </c>
      <c r="AH6798">
        <v>69.367450000000005</v>
      </c>
      <c r="AI6798">
        <v>192.30340000000001</v>
      </c>
      <c r="AJ6798">
        <v>18</v>
      </c>
      <c r="AK6798">
        <v>65</v>
      </c>
    </row>
    <row r="6799" spans="1:37" x14ac:dyDescent="0.3">
      <c r="A6799">
        <v>6798</v>
      </c>
      <c r="B6799">
        <v>59.8</v>
      </c>
      <c r="C6799">
        <v>-3.3138299999999998</v>
      </c>
      <c r="D6799">
        <v>14.4671</v>
      </c>
      <c r="E6799">
        <f>-3.31383-14.4671</f>
        <v>-17.780930000000001</v>
      </c>
      <c r="F6799" t="s">
        <v>10235</v>
      </c>
      <c r="G6799" t="s">
        <v>39</v>
      </c>
      <c r="H6799">
        <v>1990</v>
      </c>
      <c r="I6799">
        <v>26.4</v>
      </c>
      <c r="J6799">
        <v>13.9</v>
      </c>
      <c r="K6799">
        <v>55</v>
      </c>
      <c r="L6799">
        <v>29.30958</v>
      </c>
      <c r="M6799">
        <v>38.4</v>
      </c>
      <c r="N6799">
        <v>13.30419</v>
      </c>
      <c r="O6799">
        <v>25.09581</v>
      </c>
      <c r="P6799">
        <v>26.4</v>
      </c>
      <c r="Q6799">
        <v>22.3</v>
      </c>
      <c r="R6799">
        <v>30.2</v>
      </c>
      <c r="S6799">
        <v>22.3</v>
      </c>
      <c r="T6799">
        <v>513</v>
      </c>
      <c r="U6799">
        <v>168</v>
      </c>
      <c r="V6799">
        <v>0</v>
      </c>
      <c r="W6799">
        <v>131</v>
      </c>
      <c r="X6799">
        <v>399</v>
      </c>
      <c r="Y6799">
        <v>0</v>
      </c>
      <c r="Z6799">
        <v>88</v>
      </c>
      <c r="AA6799">
        <v>0</v>
      </c>
      <c r="AB6799">
        <v>8.8664380000000005</v>
      </c>
      <c r="AC6799">
        <v>8.2820110000000006E-3</v>
      </c>
      <c r="AD6799">
        <v>4.5775810000000003</v>
      </c>
      <c r="AE6799">
        <v>0.33017030000000003</v>
      </c>
      <c r="AF6799">
        <v>503.06040000000002</v>
      </c>
      <c r="AG6799">
        <f>IFERROR(AH6799*0.1, "N/A")</f>
        <v>7</v>
      </c>
      <c r="AH6799">
        <v>70</v>
      </c>
      <c r="AI6799">
        <v>191.78219999999999</v>
      </c>
      <c r="AJ6799">
        <v>19</v>
      </c>
      <c r="AK6799">
        <v>64</v>
      </c>
    </row>
    <row r="6800" spans="1:37" x14ac:dyDescent="0.3">
      <c r="A6800">
        <v>6799</v>
      </c>
      <c r="B6800">
        <v>31.3</v>
      </c>
      <c r="C6800">
        <v>-3.3138299999999998</v>
      </c>
      <c r="D6800">
        <v>14.4671</v>
      </c>
      <c r="E6800">
        <f>-3.31383-14.4671</f>
        <v>-17.780930000000001</v>
      </c>
      <c r="F6800" t="s">
        <v>10236</v>
      </c>
      <c r="G6800" t="s">
        <v>37</v>
      </c>
      <c r="H6800">
        <v>1990</v>
      </c>
      <c r="I6800">
        <v>26.4</v>
      </c>
      <c r="J6800">
        <v>13.9</v>
      </c>
      <c r="K6800">
        <v>55</v>
      </c>
      <c r="L6800">
        <v>29.30958</v>
      </c>
      <c r="M6800">
        <v>38.4</v>
      </c>
      <c r="N6800">
        <v>13.30419</v>
      </c>
      <c r="O6800">
        <v>25.09581</v>
      </c>
      <c r="P6800">
        <v>26.4</v>
      </c>
      <c r="Q6800">
        <v>22.3</v>
      </c>
      <c r="R6800">
        <v>30.2</v>
      </c>
      <c r="S6800">
        <v>22.3</v>
      </c>
      <c r="T6800">
        <v>513</v>
      </c>
      <c r="U6800">
        <v>168</v>
      </c>
      <c r="V6800">
        <v>0</v>
      </c>
      <c r="W6800">
        <v>131</v>
      </c>
      <c r="X6800">
        <v>399</v>
      </c>
      <c r="Y6800">
        <v>0</v>
      </c>
      <c r="Z6800">
        <v>88</v>
      </c>
      <c r="AA6800">
        <v>0</v>
      </c>
      <c r="AB6800">
        <v>8.8664380000000005</v>
      </c>
      <c r="AC6800">
        <v>8.2820110000000006E-3</v>
      </c>
      <c r="AD6800">
        <v>4.5775810000000003</v>
      </c>
      <c r="AE6800">
        <v>0.33017030000000003</v>
      </c>
      <c r="AF6800">
        <v>503.06040000000002</v>
      </c>
      <c r="AG6800">
        <f>IFERROR(AH6800*0.1, "N/A")</f>
        <v>7</v>
      </c>
      <c r="AH6800">
        <v>70</v>
      </c>
      <c r="AI6800">
        <v>191.78219999999999</v>
      </c>
      <c r="AJ6800">
        <v>19</v>
      </c>
      <c r="AK6800">
        <v>64</v>
      </c>
    </row>
    <row r="6801" spans="1:37" x14ac:dyDescent="0.3">
      <c r="A6801">
        <v>6800</v>
      </c>
      <c r="B6801">
        <v>69.8</v>
      </c>
      <c r="C6801">
        <v>-3.2889900000000001</v>
      </c>
      <c r="D6801">
        <v>14.469099999999999</v>
      </c>
      <c r="E6801">
        <f>-3.28899-14.4691</f>
        <v>-17.758089999999999</v>
      </c>
      <c r="F6801" t="s">
        <v>10237</v>
      </c>
      <c r="G6801" t="s">
        <v>39</v>
      </c>
      <c r="H6801">
        <v>1990</v>
      </c>
      <c r="I6801">
        <v>27</v>
      </c>
      <c r="J6801">
        <v>13.9</v>
      </c>
      <c r="K6801">
        <v>55</v>
      </c>
      <c r="L6801">
        <v>29.42</v>
      </c>
      <c r="M6801">
        <v>39</v>
      </c>
      <c r="N6801">
        <v>13.9</v>
      </c>
      <c r="O6801">
        <v>25.1</v>
      </c>
      <c r="P6801">
        <v>26.9</v>
      </c>
      <c r="Q6801">
        <v>22.9</v>
      </c>
      <c r="R6801">
        <v>30.9</v>
      </c>
      <c r="S6801">
        <v>22.9</v>
      </c>
      <c r="T6801">
        <v>503</v>
      </c>
      <c r="U6801">
        <v>165</v>
      </c>
      <c r="V6801">
        <v>0</v>
      </c>
      <c r="W6801">
        <v>133</v>
      </c>
      <c r="X6801">
        <v>393</v>
      </c>
      <c r="Y6801">
        <v>0</v>
      </c>
      <c r="Z6801">
        <v>86</v>
      </c>
      <c r="AA6801">
        <v>0</v>
      </c>
      <c r="AB6801">
        <v>15.45429</v>
      </c>
      <c r="AC6801">
        <v>1.8957409999999999</v>
      </c>
      <c r="AD6801">
        <v>11.901070000000001</v>
      </c>
      <c r="AE6801">
        <v>0.32245370000000001</v>
      </c>
      <c r="AF6801">
        <v>336.17309999999998</v>
      </c>
      <c r="AG6801">
        <f>IFERROR(AH6801*0.1, "N/A")</f>
        <v>7.1048739999999997</v>
      </c>
      <c r="AH6801">
        <v>71.048739999999995</v>
      </c>
      <c r="AI6801">
        <v>105.892</v>
      </c>
      <c r="AJ6801">
        <v>21.048739999999999</v>
      </c>
      <c r="AK6801">
        <v>61.951259999999998</v>
      </c>
    </row>
    <row r="6802" spans="1:37" x14ac:dyDescent="0.3">
      <c r="A6802">
        <v>6801</v>
      </c>
      <c r="B6802">
        <v>0</v>
      </c>
      <c r="C6802">
        <v>-3.2889900000000001</v>
      </c>
      <c r="D6802">
        <v>14.469099999999999</v>
      </c>
      <c r="E6802">
        <f>-3.28899-14.4691</f>
        <v>-17.758089999999999</v>
      </c>
      <c r="F6802" t="s">
        <v>10238</v>
      </c>
      <c r="G6802" t="s">
        <v>37</v>
      </c>
      <c r="H6802">
        <v>1990</v>
      </c>
      <c r="I6802">
        <v>27</v>
      </c>
      <c r="J6802">
        <v>13.9</v>
      </c>
      <c r="K6802">
        <v>55</v>
      </c>
      <c r="L6802">
        <v>29.42</v>
      </c>
      <c r="M6802">
        <v>39</v>
      </c>
      <c r="N6802">
        <v>13.9</v>
      </c>
      <c r="O6802">
        <v>25.1</v>
      </c>
      <c r="P6802">
        <v>26.9</v>
      </c>
      <c r="Q6802">
        <v>22.9</v>
      </c>
      <c r="R6802">
        <v>30.9</v>
      </c>
      <c r="S6802">
        <v>22.9</v>
      </c>
      <c r="T6802">
        <v>503</v>
      </c>
      <c r="U6802">
        <v>165</v>
      </c>
      <c r="V6802">
        <v>0</v>
      </c>
      <c r="W6802">
        <v>133</v>
      </c>
      <c r="X6802">
        <v>393</v>
      </c>
      <c r="Y6802">
        <v>0</v>
      </c>
      <c r="Z6802">
        <v>86</v>
      </c>
      <c r="AA6802">
        <v>0</v>
      </c>
      <c r="AB6802">
        <v>15.45429</v>
      </c>
      <c r="AC6802">
        <v>1.8957409999999999</v>
      </c>
      <c r="AD6802">
        <v>11.901070000000001</v>
      </c>
      <c r="AE6802">
        <v>0.32245370000000001</v>
      </c>
      <c r="AF6802">
        <v>336.17309999999998</v>
      </c>
      <c r="AG6802">
        <f>IFERROR(AH6802*0.1, "N/A")</f>
        <v>7.1048739999999997</v>
      </c>
      <c r="AH6802">
        <v>71.048739999999995</v>
      </c>
      <c r="AI6802">
        <v>105.892</v>
      </c>
      <c r="AJ6802">
        <v>21.048739999999999</v>
      </c>
      <c r="AK6802">
        <v>61.951259999999998</v>
      </c>
    </row>
    <row r="6803" spans="1:37" x14ac:dyDescent="0.3">
      <c r="A6803">
        <v>6802</v>
      </c>
      <c r="B6803">
        <v>53.8</v>
      </c>
      <c r="C6803">
        <v>-5.98672</v>
      </c>
      <c r="D6803">
        <v>14.4694</v>
      </c>
      <c r="E6803">
        <f>-5.98672-14.4694</f>
        <v>-20.456119999999999</v>
      </c>
      <c r="F6803" t="s">
        <v>10239</v>
      </c>
      <c r="G6803" t="s">
        <v>39</v>
      </c>
      <c r="H6803">
        <v>1998</v>
      </c>
      <c r="I6803">
        <v>27.3</v>
      </c>
      <c r="J6803">
        <v>15.7</v>
      </c>
      <c r="K6803">
        <v>57</v>
      </c>
      <c r="L6803">
        <v>28.6</v>
      </c>
      <c r="M6803">
        <v>39.9</v>
      </c>
      <c r="N6803">
        <v>12.8</v>
      </c>
      <c r="O6803">
        <v>27.1</v>
      </c>
      <c r="P6803">
        <v>27.2</v>
      </c>
      <c r="Q6803">
        <v>25.1</v>
      </c>
      <c r="R6803">
        <v>31.1</v>
      </c>
      <c r="S6803">
        <v>23.4</v>
      </c>
      <c r="T6803">
        <v>521</v>
      </c>
      <c r="U6803">
        <v>194</v>
      </c>
      <c r="V6803">
        <v>0</v>
      </c>
      <c r="W6803">
        <v>143</v>
      </c>
      <c r="X6803">
        <v>428</v>
      </c>
      <c r="Y6803">
        <v>1</v>
      </c>
      <c r="Z6803">
        <v>72</v>
      </c>
      <c r="AA6803">
        <v>1</v>
      </c>
      <c r="AB6803">
        <v>0.38173030000000002</v>
      </c>
      <c r="AC6803">
        <v>3.7115830000000002E-2</v>
      </c>
      <c r="AD6803">
        <v>0.81588819999999995</v>
      </c>
      <c r="AE6803">
        <v>0.50731029999999999</v>
      </c>
      <c r="AF6803">
        <v>275.0419</v>
      </c>
      <c r="AG6803">
        <f>IFERROR(AH6803*0.1, "N/A")</f>
        <v>6.5</v>
      </c>
      <c r="AH6803">
        <v>65</v>
      </c>
      <c r="AI6803">
        <v>155.0641</v>
      </c>
      <c r="AJ6803">
        <v>30.914429999999999</v>
      </c>
      <c r="AK6803">
        <v>44.046979999999998</v>
      </c>
    </row>
    <row r="6804" spans="1:37" x14ac:dyDescent="0.3">
      <c r="A6804">
        <v>6803</v>
      </c>
      <c r="B6804">
        <v>36.200000000000003</v>
      </c>
      <c r="C6804">
        <v>-5.98672</v>
      </c>
      <c r="D6804">
        <v>14.4694</v>
      </c>
      <c r="E6804">
        <f>-5.98672-14.4694</f>
        <v>-20.456119999999999</v>
      </c>
      <c r="F6804" t="s">
        <v>10240</v>
      </c>
      <c r="G6804" t="s">
        <v>37</v>
      </c>
      <c r="H6804">
        <v>1994</v>
      </c>
      <c r="I6804">
        <v>27.3</v>
      </c>
      <c r="J6804">
        <v>15.7</v>
      </c>
      <c r="K6804">
        <v>57</v>
      </c>
      <c r="L6804">
        <v>28.6</v>
      </c>
      <c r="M6804">
        <v>39.9</v>
      </c>
      <c r="N6804">
        <v>12.8</v>
      </c>
      <c r="O6804">
        <v>27.1</v>
      </c>
      <c r="P6804">
        <v>27.2</v>
      </c>
      <c r="Q6804">
        <v>25.1</v>
      </c>
      <c r="R6804">
        <v>31.1</v>
      </c>
      <c r="S6804">
        <v>23.4</v>
      </c>
      <c r="T6804">
        <v>521</v>
      </c>
      <c r="U6804">
        <v>194</v>
      </c>
      <c r="V6804">
        <v>0</v>
      </c>
      <c r="W6804">
        <v>143</v>
      </c>
      <c r="X6804">
        <v>428</v>
      </c>
      <c r="Y6804">
        <v>1</v>
      </c>
      <c r="Z6804">
        <v>72</v>
      </c>
      <c r="AA6804">
        <v>1</v>
      </c>
      <c r="AB6804">
        <v>0.38173030000000002</v>
      </c>
      <c r="AC6804">
        <v>3.7115830000000002E-2</v>
      </c>
      <c r="AD6804">
        <v>0.81588819999999995</v>
      </c>
      <c r="AE6804">
        <v>0.50731029999999999</v>
      </c>
      <c r="AF6804">
        <v>275.0419</v>
      </c>
      <c r="AG6804">
        <f>IFERROR(AH6804*0.1, "N/A")</f>
        <v>6.5</v>
      </c>
      <c r="AH6804">
        <v>65</v>
      </c>
      <c r="AI6804">
        <v>155.0641</v>
      </c>
      <c r="AJ6804">
        <v>30.914429999999999</v>
      </c>
      <c r="AK6804">
        <v>44.046979999999998</v>
      </c>
    </row>
    <row r="6805" spans="1:37" x14ac:dyDescent="0.3">
      <c r="A6805">
        <v>6804</v>
      </c>
      <c r="B6805">
        <v>59.6</v>
      </c>
      <c r="C6805">
        <v>-3.4079299999999999</v>
      </c>
      <c r="D6805">
        <v>14.470599999999999</v>
      </c>
      <c r="E6805">
        <f>-3.40793-14.4706</f>
        <v>-17.878529999999998</v>
      </c>
      <c r="F6805" t="s">
        <v>10241</v>
      </c>
      <c r="G6805" t="s">
        <v>39</v>
      </c>
      <c r="H6805">
        <v>1990</v>
      </c>
      <c r="I6805">
        <v>26.2</v>
      </c>
      <c r="J6805">
        <v>13.9</v>
      </c>
      <c r="K6805">
        <v>55</v>
      </c>
      <c r="L6805">
        <v>29.469190000000001</v>
      </c>
      <c r="M6805">
        <v>38.274329999999999</v>
      </c>
      <c r="N6805">
        <v>13.1</v>
      </c>
      <c r="O6805">
        <v>25.174330000000001</v>
      </c>
      <c r="P6805">
        <v>26.174330000000001</v>
      </c>
      <c r="Q6805">
        <v>22.1</v>
      </c>
      <c r="R6805">
        <v>30.1</v>
      </c>
      <c r="S6805">
        <v>22.1</v>
      </c>
      <c r="T6805">
        <v>513</v>
      </c>
      <c r="U6805">
        <v>169</v>
      </c>
      <c r="V6805">
        <v>0</v>
      </c>
      <c r="W6805">
        <v>132</v>
      </c>
      <c r="X6805">
        <v>400</v>
      </c>
      <c r="Y6805">
        <v>0</v>
      </c>
      <c r="Z6805">
        <v>88</v>
      </c>
      <c r="AA6805">
        <v>0</v>
      </c>
      <c r="AB6805">
        <v>25.58156</v>
      </c>
      <c r="AC6805">
        <v>8.6848350000000001E-3</v>
      </c>
      <c r="AD6805">
        <v>2.4775049999999998</v>
      </c>
      <c r="AE6805">
        <v>0.371836</v>
      </c>
      <c r="AF6805">
        <v>518.31380000000001</v>
      </c>
      <c r="AG6805">
        <f>IFERROR(AH6805*0.1, "N/A")</f>
        <v>7.0901010000000007</v>
      </c>
      <c r="AH6805">
        <v>70.901009999999999</v>
      </c>
      <c r="AI6805">
        <v>182.9196</v>
      </c>
      <c r="AJ6805">
        <v>14.47987</v>
      </c>
      <c r="AK6805">
        <v>67.006709999999998</v>
      </c>
    </row>
    <row r="6806" spans="1:37" x14ac:dyDescent="0.3">
      <c r="A6806">
        <v>6805</v>
      </c>
      <c r="B6806">
        <v>3.7</v>
      </c>
      <c r="C6806">
        <v>-3.4079299999999999</v>
      </c>
      <c r="D6806">
        <v>14.470599999999999</v>
      </c>
      <c r="E6806">
        <f>-3.40793-14.4706</f>
        <v>-17.878529999999998</v>
      </c>
      <c r="F6806" t="s">
        <v>10242</v>
      </c>
      <c r="G6806" t="s">
        <v>37</v>
      </c>
      <c r="H6806">
        <v>1990</v>
      </c>
      <c r="I6806">
        <v>26.2</v>
      </c>
      <c r="J6806">
        <v>13.9</v>
      </c>
      <c r="K6806">
        <v>55</v>
      </c>
      <c r="L6806">
        <v>29.469190000000001</v>
      </c>
      <c r="M6806">
        <v>38.274329999999999</v>
      </c>
      <c r="N6806">
        <v>13.1</v>
      </c>
      <c r="O6806">
        <v>25.174330000000001</v>
      </c>
      <c r="P6806">
        <v>26.174330000000001</v>
      </c>
      <c r="Q6806">
        <v>22.1</v>
      </c>
      <c r="R6806">
        <v>30.1</v>
      </c>
      <c r="S6806">
        <v>22.1</v>
      </c>
      <c r="T6806">
        <v>513</v>
      </c>
      <c r="U6806">
        <v>169</v>
      </c>
      <c r="V6806">
        <v>0</v>
      </c>
      <c r="W6806">
        <v>132</v>
      </c>
      <c r="X6806">
        <v>400</v>
      </c>
      <c r="Y6806">
        <v>0</v>
      </c>
      <c r="Z6806">
        <v>88</v>
      </c>
      <c r="AA6806">
        <v>0</v>
      </c>
      <c r="AB6806">
        <v>25.58156</v>
      </c>
      <c r="AC6806">
        <v>8.6848350000000001E-3</v>
      </c>
      <c r="AD6806">
        <v>2.4775049999999998</v>
      </c>
      <c r="AE6806">
        <v>0.371836</v>
      </c>
      <c r="AF6806">
        <v>518.31380000000001</v>
      </c>
      <c r="AG6806">
        <f>IFERROR(AH6806*0.1, "N/A")</f>
        <v>7.0901010000000007</v>
      </c>
      <c r="AH6806">
        <v>70.901009999999999</v>
      </c>
      <c r="AI6806">
        <v>182.9196</v>
      </c>
      <c r="AJ6806">
        <v>14.47987</v>
      </c>
      <c r="AK6806">
        <v>67.006709999999998</v>
      </c>
    </row>
    <row r="6807" spans="1:37" x14ac:dyDescent="0.3">
      <c r="A6807">
        <v>6806</v>
      </c>
      <c r="B6807">
        <v>68.599999999999994</v>
      </c>
      <c r="C6807">
        <v>-3.3820299999999999</v>
      </c>
      <c r="D6807">
        <v>14.472799999999999</v>
      </c>
      <c r="E6807">
        <f>-3.38203-14.4728</f>
        <v>-17.85483</v>
      </c>
      <c r="F6807" t="s">
        <v>10243</v>
      </c>
      <c r="G6807" t="s">
        <v>39</v>
      </c>
      <c r="H6807">
        <v>1990</v>
      </c>
      <c r="I6807">
        <v>26.3</v>
      </c>
      <c r="J6807">
        <v>13.9</v>
      </c>
      <c r="K6807">
        <v>55</v>
      </c>
      <c r="L6807">
        <v>29.56</v>
      </c>
      <c r="M6807">
        <v>38.299999999999997</v>
      </c>
      <c r="N6807">
        <v>13.1</v>
      </c>
      <c r="O6807">
        <v>25.2</v>
      </c>
      <c r="P6807">
        <v>26.2</v>
      </c>
      <c r="Q6807">
        <v>22.1</v>
      </c>
      <c r="R6807">
        <v>30.1</v>
      </c>
      <c r="S6807">
        <v>22.1</v>
      </c>
      <c r="T6807">
        <v>512</v>
      </c>
      <c r="U6807">
        <v>168</v>
      </c>
      <c r="V6807">
        <v>0</v>
      </c>
      <c r="W6807">
        <v>132</v>
      </c>
      <c r="X6807">
        <v>399</v>
      </c>
      <c r="Y6807">
        <v>0</v>
      </c>
      <c r="Z6807">
        <v>88</v>
      </c>
      <c r="AA6807">
        <v>0</v>
      </c>
      <c r="AB6807">
        <v>16.810919999999999</v>
      </c>
      <c r="AC6807">
        <v>3.5270490000000002E-2</v>
      </c>
      <c r="AD6807">
        <v>3.3510710000000001</v>
      </c>
      <c r="AE6807">
        <v>0.3717704</v>
      </c>
      <c r="AF6807">
        <v>523.51760000000002</v>
      </c>
      <c r="AG6807">
        <f>IFERROR(AH6807*0.1, "N/A")</f>
        <v>7.0003360000000008</v>
      </c>
      <c r="AH6807">
        <v>70.003360000000001</v>
      </c>
      <c r="AI6807">
        <v>156.24469999999999</v>
      </c>
      <c r="AJ6807">
        <v>16</v>
      </c>
      <c r="AK6807">
        <v>67.996639999999999</v>
      </c>
    </row>
    <row r="6808" spans="1:37" x14ac:dyDescent="0.3">
      <c r="A6808">
        <v>6807</v>
      </c>
      <c r="B6808">
        <v>0</v>
      </c>
      <c r="C6808">
        <v>-3.3820299999999999</v>
      </c>
      <c r="D6808">
        <v>14.472799999999999</v>
      </c>
      <c r="E6808">
        <f>-3.38203-14.4728</f>
        <v>-17.85483</v>
      </c>
      <c r="F6808" t="s">
        <v>10244</v>
      </c>
      <c r="G6808" t="s">
        <v>37</v>
      </c>
      <c r="H6808">
        <v>1990</v>
      </c>
      <c r="I6808">
        <v>26.3</v>
      </c>
      <c r="J6808">
        <v>13.9</v>
      </c>
      <c r="K6808">
        <v>55</v>
      </c>
      <c r="L6808">
        <v>29.56</v>
      </c>
      <c r="M6808">
        <v>38.299999999999997</v>
      </c>
      <c r="N6808">
        <v>13.1</v>
      </c>
      <c r="O6808">
        <v>25.2</v>
      </c>
      <c r="P6808">
        <v>26.2</v>
      </c>
      <c r="Q6808">
        <v>22.1</v>
      </c>
      <c r="R6808">
        <v>30.1</v>
      </c>
      <c r="S6808">
        <v>22.1</v>
      </c>
      <c r="T6808">
        <v>512</v>
      </c>
      <c r="U6808">
        <v>168</v>
      </c>
      <c r="V6808">
        <v>0</v>
      </c>
      <c r="W6808">
        <v>132</v>
      </c>
      <c r="X6808">
        <v>399</v>
      </c>
      <c r="Y6808">
        <v>0</v>
      </c>
      <c r="Z6808">
        <v>88</v>
      </c>
      <c r="AA6808">
        <v>0</v>
      </c>
      <c r="AB6808">
        <v>16.810919999999999</v>
      </c>
      <c r="AC6808">
        <v>3.5270490000000002E-2</v>
      </c>
      <c r="AD6808">
        <v>3.3510710000000001</v>
      </c>
      <c r="AE6808">
        <v>0.3717704</v>
      </c>
      <c r="AF6808">
        <v>523.51760000000002</v>
      </c>
      <c r="AG6808">
        <f>IFERROR(AH6808*0.1, "N/A")</f>
        <v>7.0003360000000008</v>
      </c>
      <c r="AH6808">
        <v>70.003360000000001</v>
      </c>
      <c r="AI6808">
        <v>156.24469999999999</v>
      </c>
      <c r="AJ6808">
        <v>16</v>
      </c>
      <c r="AK6808">
        <v>67.996639999999999</v>
      </c>
    </row>
    <row r="6809" spans="1:37" x14ac:dyDescent="0.3">
      <c r="A6809">
        <v>6808</v>
      </c>
      <c r="B6809">
        <v>66.900000000000006</v>
      </c>
      <c r="C6809">
        <v>-3.3076300000000001</v>
      </c>
      <c r="D6809">
        <v>14.476599999999999</v>
      </c>
      <c r="E6809">
        <f>-3.30763-14.4766</f>
        <v>-17.784230000000001</v>
      </c>
      <c r="F6809" t="s">
        <v>10245</v>
      </c>
      <c r="G6809" t="s">
        <v>39</v>
      </c>
      <c r="H6809">
        <v>1990</v>
      </c>
      <c r="I6809">
        <v>26.29983</v>
      </c>
      <c r="J6809">
        <v>13.9</v>
      </c>
      <c r="K6809">
        <v>55</v>
      </c>
      <c r="L6809">
        <v>29.38983</v>
      </c>
      <c r="M6809">
        <v>38.29983</v>
      </c>
      <c r="N6809">
        <v>13.29983</v>
      </c>
      <c r="O6809">
        <v>25</v>
      </c>
      <c r="P6809">
        <v>26.29983</v>
      </c>
      <c r="Q6809">
        <v>22.2</v>
      </c>
      <c r="R6809">
        <v>30.1</v>
      </c>
      <c r="S6809">
        <v>22.2</v>
      </c>
      <c r="T6809">
        <v>513.00170000000003</v>
      </c>
      <c r="U6809">
        <v>167.0017</v>
      </c>
      <c r="V6809">
        <v>0</v>
      </c>
      <c r="W6809">
        <v>131.0017</v>
      </c>
      <c r="X6809">
        <v>399.00170000000003</v>
      </c>
      <c r="Y6809">
        <v>0</v>
      </c>
      <c r="Z6809">
        <v>88</v>
      </c>
      <c r="AA6809">
        <v>0</v>
      </c>
      <c r="AB6809">
        <v>7.293107</v>
      </c>
      <c r="AC6809">
        <v>0.101233</v>
      </c>
      <c r="AD6809">
        <v>5.1463179999999999</v>
      </c>
      <c r="AE6809">
        <v>0.33660570000000001</v>
      </c>
      <c r="AF6809">
        <v>516.26769999999999</v>
      </c>
      <c r="AG6809">
        <f>IFERROR(AH6809*0.1, "N/A")</f>
        <v>7</v>
      </c>
      <c r="AH6809">
        <v>70</v>
      </c>
      <c r="AI6809">
        <v>143.2501</v>
      </c>
      <c r="AJ6809">
        <v>17</v>
      </c>
      <c r="AK6809">
        <v>67.001679999999993</v>
      </c>
    </row>
    <row r="6810" spans="1:37" x14ac:dyDescent="0.3">
      <c r="A6810">
        <v>6809</v>
      </c>
      <c r="B6810">
        <v>54.2</v>
      </c>
      <c r="C6810">
        <v>-3.3076300000000001</v>
      </c>
      <c r="D6810">
        <v>14.476599999999999</v>
      </c>
      <c r="E6810">
        <f>-3.30763-14.4766</f>
        <v>-17.784230000000001</v>
      </c>
      <c r="F6810" t="s">
        <v>10246</v>
      </c>
      <c r="G6810" t="s">
        <v>37</v>
      </c>
      <c r="H6810">
        <v>1990</v>
      </c>
      <c r="I6810">
        <v>26.29983</v>
      </c>
      <c r="J6810">
        <v>13.9</v>
      </c>
      <c r="K6810">
        <v>55</v>
      </c>
      <c r="L6810">
        <v>29.38983</v>
      </c>
      <c r="M6810">
        <v>38.29983</v>
      </c>
      <c r="N6810">
        <v>13.29983</v>
      </c>
      <c r="O6810">
        <v>25</v>
      </c>
      <c r="P6810">
        <v>26.29983</v>
      </c>
      <c r="Q6810">
        <v>22.2</v>
      </c>
      <c r="R6810">
        <v>30.1</v>
      </c>
      <c r="S6810">
        <v>22.2</v>
      </c>
      <c r="T6810">
        <v>513.00170000000003</v>
      </c>
      <c r="U6810">
        <v>167.0017</v>
      </c>
      <c r="V6810">
        <v>0</v>
      </c>
      <c r="W6810">
        <v>131.0017</v>
      </c>
      <c r="X6810">
        <v>399.00170000000003</v>
      </c>
      <c r="Y6810">
        <v>0</v>
      </c>
      <c r="Z6810">
        <v>88</v>
      </c>
      <c r="AA6810">
        <v>0</v>
      </c>
      <c r="AB6810">
        <v>7.293107</v>
      </c>
      <c r="AC6810">
        <v>0.101233</v>
      </c>
      <c r="AD6810">
        <v>5.1463179999999999</v>
      </c>
      <c r="AE6810">
        <v>0.33660570000000001</v>
      </c>
      <c r="AF6810">
        <v>516.26769999999999</v>
      </c>
      <c r="AG6810">
        <f>IFERROR(AH6810*0.1, "N/A")</f>
        <v>7</v>
      </c>
      <c r="AH6810">
        <v>70</v>
      </c>
      <c r="AI6810">
        <v>143.2501</v>
      </c>
      <c r="AJ6810">
        <v>17</v>
      </c>
      <c r="AK6810">
        <v>67.001679999999993</v>
      </c>
    </row>
    <row r="6811" spans="1:37" x14ac:dyDescent="0.3">
      <c r="A6811">
        <v>6810</v>
      </c>
      <c r="B6811">
        <v>79</v>
      </c>
      <c r="C6811">
        <v>-4.1834199999999999</v>
      </c>
      <c r="D6811">
        <v>14.4788</v>
      </c>
      <c r="E6811">
        <f>-4.18342-14.4788</f>
        <v>-18.662219999999998</v>
      </c>
      <c r="F6811" t="s">
        <v>10247</v>
      </c>
      <c r="G6811" t="s">
        <v>39</v>
      </c>
      <c r="H6811">
        <v>1987</v>
      </c>
      <c r="I6811">
        <v>28</v>
      </c>
      <c r="J6811">
        <v>14.1</v>
      </c>
      <c r="K6811">
        <v>54</v>
      </c>
      <c r="L6811">
        <v>29.643080000000001</v>
      </c>
      <c r="M6811">
        <v>40.4</v>
      </c>
      <c r="N6811">
        <v>14.35385</v>
      </c>
      <c r="O6811">
        <v>26.046150000000001</v>
      </c>
      <c r="P6811">
        <v>28</v>
      </c>
      <c r="Q6811">
        <v>25.853850000000001</v>
      </c>
      <c r="R6811">
        <v>32</v>
      </c>
      <c r="S6811">
        <v>23.953849999999999</v>
      </c>
      <c r="T6811">
        <v>496</v>
      </c>
      <c r="U6811">
        <v>166</v>
      </c>
      <c r="V6811">
        <v>0</v>
      </c>
      <c r="W6811">
        <v>135</v>
      </c>
      <c r="X6811">
        <v>392</v>
      </c>
      <c r="Y6811">
        <v>0</v>
      </c>
      <c r="Z6811">
        <v>85</v>
      </c>
      <c r="AA6811">
        <v>0</v>
      </c>
      <c r="AB6811">
        <v>5.0337899999999998</v>
      </c>
      <c r="AC6811">
        <v>7.1880959999999998</v>
      </c>
      <c r="AD6811">
        <v>2.3386420000000001</v>
      </c>
      <c r="AE6811">
        <v>0.6409764</v>
      </c>
      <c r="AF6811">
        <v>267.35789999999997</v>
      </c>
      <c r="AG6811">
        <f>IFERROR(AH6811*0.1, "N/A")</f>
        <v>6.9451510000000001</v>
      </c>
      <c r="AH6811">
        <v>69.451509999999999</v>
      </c>
      <c r="AI6811">
        <v>235.0617</v>
      </c>
      <c r="AJ6811">
        <v>28.441469999999999</v>
      </c>
      <c r="AK6811">
        <v>50.535119999999999</v>
      </c>
    </row>
    <row r="6812" spans="1:37" x14ac:dyDescent="0.3">
      <c r="A6812">
        <v>6811</v>
      </c>
      <c r="B6812">
        <v>0</v>
      </c>
      <c r="C6812">
        <v>-4.1834199999999999</v>
      </c>
      <c r="D6812">
        <v>14.4788</v>
      </c>
      <c r="E6812">
        <f>-4.18342-14.4788</f>
        <v>-18.662219999999998</v>
      </c>
      <c r="F6812" t="s">
        <v>10248</v>
      </c>
      <c r="G6812" t="s">
        <v>37</v>
      </c>
      <c r="H6812">
        <v>1987</v>
      </c>
      <c r="I6812">
        <v>28</v>
      </c>
      <c r="J6812">
        <v>14.1</v>
      </c>
      <c r="K6812">
        <v>54</v>
      </c>
      <c r="L6812">
        <v>29.643080000000001</v>
      </c>
      <c r="M6812">
        <v>40.4</v>
      </c>
      <c r="N6812">
        <v>14.35385</v>
      </c>
      <c r="O6812">
        <v>26.046150000000001</v>
      </c>
      <c r="P6812">
        <v>28</v>
      </c>
      <c r="Q6812">
        <v>25.853850000000001</v>
      </c>
      <c r="R6812">
        <v>32</v>
      </c>
      <c r="S6812">
        <v>23.953849999999999</v>
      </c>
      <c r="T6812">
        <v>496</v>
      </c>
      <c r="U6812">
        <v>166</v>
      </c>
      <c r="V6812">
        <v>0</v>
      </c>
      <c r="W6812">
        <v>135</v>
      </c>
      <c r="X6812">
        <v>392</v>
      </c>
      <c r="Y6812">
        <v>0</v>
      </c>
      <c r="Z6812">
        <v>85</v>
      </c>
      <c r="AA6812">
        <v>0</v>
      </c>
      <c r="AB6812">
        <v>5.0337899999999998</v>
      </c>
      <c r="AC6812">
        <v>7.1880959999999998</v>
      </c>
      <c r="AD6812">
        <v>2.3386420000000001</v>
      </c>
      <c r="AE6812">
        <v>0.6409764</v>
      </c>
      <c r="AF6812">
        <v>267.35789999999997</v>
      </c>
      <c r="AG6812">
        <f>IFERROR(AH6812*0.1, "N/A")</f>
        <v>6.9451510000000001</v>
      </c>
      <c r="AH6812">
        <v>69.451509999999999</v>
      </c>
      <c r="AI6812">
        <v>235.0617</v>
      </c>
      <c r="AJ6812">
        <v>28.441469999999999</v>
      </c>
      <c r="AK6812">
        <v>50.535119999999999</v>
      </c>
    </row>
    <row r="6813" spans="1:37" x14ac:dyDescent="0.3">
      <c r="A6813">
        <v>6812</v>
      </c>
      <c r="B6813">
        <v>62.6</v>
      </c>
      <c r="C6813">
        <v>-5.9915200000000004</v>
      </c>
      <c r="D6813">
        <v>14.479799999999999</v>
      </c>
      <c r="E6813">
        <f>-5.99152-14.4798</f>
        <v>-20.471319999999999</v>
      </c>
      <c r="F6813" t="s">
        <v>10249</v>
      </c>
      <c r="G6813" t="s">
        <v>39</v>
      </c>
      <c r="H6813">
        <v>1990</v>
      </c>
      <c r="I6813">
        <v>27.3</v>
      </c>
      <c r="J6813">
        <v>15.7</v>
      </c>
      <c r="K6813">
        <v>57.287390000000002</v>
      </c>
      <c r="L6813">
        <v>28.522400000000001</v>
      </c>
      <c r="M6813">
        <v>39.871259999999999</v>
      </c>
      <c r="N6813">
        <v>12.8</v>
      </c>
      <c r="O6813">
        <v>27.071259999999999</v>
      </c>
      <c r="P6813">
        <v>27.3</v>
      </c>
      <c r="Q6813">
        <v>25.1</v>
      </c>
      <c r="R6813">
        <v>31.071259999999999</v>
      </c>
      <c r="S6813">
        <v>23.4</v>
      </c>
      <c r="T6813">
        <v>521</v>
      </c>
      <c r="U6813">
        <v>194</v>
      </c>
      <c r="V6813">
        <v>0</v>
      </c>
      <c r="W6813">
        <v>143</v>
      </c>
      <c r="X6813">
        <v>428</v>
      </c>
      <c r="Y6813">
        <v>1</v>
      </c>
      <c r="Z6813">
        <v>72</v>
      </c>
      <c r="AA6813">
        <v>1</v>
      </c>
      <c r="AB6813">
        <v>0.72689559999999998</v>
      </c>
      <c r="AC6813">
        <v>310.2774</v>
      </c>
      <c r="AD6813">
        <v>1.2645599999999999</v>
      </c>
      <c r="AE6813">
        <v>0.45883940000000001</v>
      </c>
      <c r="AF6813">
        <v>276.65879999999999</v>
      </c>
      <c r="AG6813">
        <f>IFERROR(AH6813*0.1, "N/A")</f>
        <v>6.4563030000000001</v>
      </c>
      <c r="AH6813">
        <v>64.563029999999998</v>
      </c>
      <c r="AI6813">
        <v>243.685</v>
      </c>
      <c r="AJ6813">
        <v>28.57479</v>
      </c>
      <c r="AK6813">
        <v>46.563029999999998</v>
      </c>
    </row>
    <row r="6814" spans="1:37" x14ac:dyDescent="0.3">
      <c r="A6814">
        <v>6813</v>
      </c>
      <c r="B6814">
        <v>53.9</v>
      </c>
      <c r="C6814">
        <v>-5.9915200000000004</v>
      </c>
      <c r="D6814">
        <v>14.479799999999999</v>
      </c>
      <c r="E6814">
        <f>-5.99152-14.4798</f>
        <v>-20.471319999999999</v>
      </c>
      <c r="F6814" t="s">
        <v>10250</v>
      </c>
      <c r="G6814" t="s">
        <v>37</v>
      </c>
      <c r="H6814">
        <v>1990</v>
      </c>
      <c r="I6814">
        <v>27.3</v>
      </c>
      <c r="J6814">
        <v>15.7</v>
      </c>
      <c r="K6814">
        <v>57.287390000000002</v>
      </c>
      <c r="L6814">
        <v>28.522400000000001</v>
      </c>
      <c r="M6814">
        <v>39.871259999999999</v>
      </c>
      <c r="N6814">
        <v>12.8</v>
      </c>
      <c r="O6814">
        <v>27.071259999999999</v>
      </c>
      <c r="P6814">
        <v>27.3</v>
      </c>
      <c r="Q6814">
        <v>25.1</v>
      </c>
      <c r="R6814">
        <v>31.071259999999999</v>
      </c>
      <c r="S6814">
        <v>23.4</v>
      </c>
      <c r="T6814">
        <v>521</v>
      </c>
      <c r="U6814">
        <v>194</v>
      </c>
      <c r="V6814">
        <v>0</v>
      </c>
      <c r="W6814">
        <v>143</v>
      </c>
      <c r="X6814">
        <v>428</v>
      </c>
      <c r="Y6814">
        <v>1</v>
      </c>
      <c r="Z6814">
        <v>72</v>
      </c>
      <c r="AA6814">
        <v>1</v>
      </c>
      <c r="AB6814">
        <v>0.72689559999999998</v>
      </c>
      <c r="AC6814">
        <v>310.2774</v>
      </c>
      <c r="AD6814">
        <v>1.2645599999999999</v>
      </c>
      <c r="AE6814">
        <v>0.45883940000000001</v>
      </c>
      <c r="AF6814">
        <v>276.65879999999999</v>
      </c>
      <c r="AG6814">
        <f>IFERROR(AH6814*0.1, "N/A")</f>
        <v>6.4563030000000001</v>
      </c>
      <c r="AH6814">
        <v>64.563029999999998</v>
      </c>
      <c r="AI6814">
        <v>243.685</v>
      </c>
      <c r="AJ6814">
        <v>28.57479</v>
      </c>
      <c r="AK6814">
        <v>46.563029999999998</v>
      </c>
    </row>
    <row r="6815" spans="1:37" x14ac:dyDescent="0.3">
      <c r="A6815">
        <v>6814</v>
      </c>
      <c r="B6815">
        <v>37</v>
      </c>
      <c r="C6815">
        <v>-4.1859999999999999</v>
      </c>
      <c r="D6815">
        <v>14.483000000000001</v>
      </c>
      <c r="E6815">
        <f>-4.186-14.483</f>
        <v>-18.669</v>
      </c>
      <c r="F6815" t="s">
        <v>10251</v>
      </c>
      <c r="G6815" t="s">
        <v>39</v>
      </c>
      <c r="H6815">
        <v>1987</v>
      </c>
      <c r="I6815">
        <v>28</v>
      </c>
      <c r="J6815">
        <v>14.1</v>
      </c>
      <c r="K6815">
        <v>54</v>
      </c>
      <c r="L6815">
        <v>29.785499999999999</v>
      </c>
      <c r="M6815">
        <v>40.4</v>
      </c>
      <c r="N6815">
        <v>14.312250000000001</v>
      </c>
      <c r="O6815">
        <v>26.08775</v>
      </c>
      <c r="P6815">
        <v>28</v>
      </c>
      <c r="Q6815">
        <v>25.812249999999999</v>
      </c>
      <c r="R6815">
        <v>32</v>
      </c>
      <c r="S6815">
        <v>23.91225</v>
      </c>
      <c r="T6815">
        <v>495.8775</v>
      </c>
      <c r="U6815">
        <v>166</v>
      </c>
      <c r="V6815">
        <v>0</v>
      </c>
      <c r="W6815">
        <v>135</v>
      </c>
      <c r="X6815">
        <v>392</v>
      </c>
      <c r="Y6815">
        <v>0</v>
      </c>
      <c r="Z6815">
        <v>85</v>
      </c>
      <c r="AA6815">
        <v>0</v>
      </c>
      <c r="AB6815">
        <v>2.3399450000000002</v>
      </c>
      <c r="AC6815">
        <v>1.0504619999999999E-2</v>
      </c>
      <c r="AD6815">
        <v>1.035196</v>
      </c>
      <c r="AE6815">
        <v>0.6409764</v>
      </c>
      <c r="AF6815">
        <v>269.01339999999999</v>
      </c>
      <c r="AG6815">
        <f>IFERROR(AH6815*0.1, "N/A")</f>
        <v>6.7810400000000008</v>
      </c>
      <c r="AH6815">
        <v>67.810400000000001</v>
      </c>
      <c r="AI6815">
        <v>60.14228</v>
      </c>
      <c r="AJ6815">
        <v>26.406040000000001</v>
      </c>
      <c r="AK6815">
        <v>52.605699999999999</v>
      </c>
    </row>
    <row r="6816" spans="1:37" x14ac:dyDescent="0.3">
      <c r="A6816">
        <v>6815</v>
      </c>
      <c r="B6816">
        <v>0</v>
      </c>
      <c r="C6816">
        <v>-4.1859999999999999</v>
      </c>
      <c r="D6816">
        <v>14.483000000000001</v>
      </c>
      <c r="E6816">
        <f>-4.186-14.483</f>
        <v>-18.669</v>
      </c>
      <c r="F6816" t="s">
        <v>10252</v>
      </c>
      <c r="G6816" t="s">
        <v>37</v>
      </c>
      <c r="H6816">
        <v>1987</v>
      </c>
      <c r="I6816">
        <v>28</v>
      </c>
      <c r="J6816">
        <v>14.1</v>
      </c>
      <c r="K6816">
        <v>54</v>
      </c>
      <c r="L6816">
        <v>29.785499999999999</v>
      </c>
      <c r="M6816">
        <v>40.4</v>
      </c>
      <c r="N6816">
        <v>14.312250000000001</v>
      </c>
      <c r="O6816">
        <v>26.08775</v>
      </c>
      <c r="P6816">
        <v>28</v>
      </c>
      <c r="Q6816">
        <v>25.812249999999999</v>
      </c>
      <c r="R6816">
        <v>32</v>
      </c>
      <c r="S6816">
        <v>23.91225</v>
      </c>
      <c r="T6816">
        <v>495.8775</v>
      </c>
      <c r="U6816">
        <v>166</v>
      </c>
      <c r="V6816">
        <v>0</v>
      </c>
      <c r="W6816">
        <v>135</v>
      </c>
      <c r="X6816">
        <v>392</v>
      </c>
      <c r="Y6816">
        <v>0</v>
      </c>
      <c r="Z6816">
        <v>85</v>
      </c>
      <c r="AA6816">
        <v>0</v>
      </c>
      <c r="AB6816">
        <v>2.3399450000000002</v>
      </c>
      <c r="AC6816">
        <v>1.0504619999999999E-2</v>
      </c>
      <c r="AD6816">
        <v>1.035196</v>
      </c>
      <c r="AE6816">
        <v>0.6409764</v>
      </c>
      <c r="AF6816">
        <v>269.01339999999999</v>
      </c>
      <c r="AG6816">
        <f>IFERROR(AH6816*0.1, "N/A")</f>
        <v>6.7810400000000008</v>
      </c>
      <c r="AH6816">
        <v>67.810400000000001</v>
      </c>
      <c r="AI6816">
        <v>60.14228</v>
      </c>
      <c r="AJ6816">
        <v>26.406040000000001</v>
      </c>
      <c r="AK6816">
        <v>52.605699999999999</v>
      </c>
    </row>
    <row r="6817" spans="1:37" x14ac:dyDescent="0.3">
      <c r="A6817">
        <v>6816</v>
      </c>
      <c r="B6817">
        <v>69</v>
      </c>
      <c r="C6817">
        <v>-11.565200000000001</v>
      </c>
      <c r="D6817">
        <v>14.485300000000001</v>
      </c>
      <c r="E6817">
        <f>-11.5652-14.4853</f>
        <v>-26.0505</v>
      </c>
      <c r="F6817" t="s">
        <v>10253</v>
      </c>
      <c r="G6817" t="s">
        <v>39</v>
      </c>
      <c r="H6817">
        <v>1990</v>
      </c>
      <c r="I6817">
        <v>29.1</v>
      </c>
      <c r="J6817">
        <v>14.4</v>
      </c>
      <c r="K6817">
        <v>53</v>
      </c>
      <c r="L6817">
        <v>31.4</v>
      </c>
      <c r="M6817">
        <v>41.6</v>
      </c>
      <c r="N6817">
        <v>14.8</v>
      </c>
      <c r="O6817">
        <v>26.8</v>
      </c>
      <c r="P6817">
        <v>28.6</v>
      </c>
      <c r="Q6817">
        <v>26.7</v>
      </c>
      <c r="R6817">
        <v>33.6</v>
      </c>
      <c r="S6817">
        <v>25.1</v>
      </c>
      <c r="T6817">
        <v>623</v>
      </c>
      <c r="U6817">
        <v>214</v>
      </c>
      <c r="V6817">
        <v>0</v>
      </c>
      <c r="W6817">
        <v>142</v>
      </c>
      <c r="X6817">
        <v>516</v>
      </c>
      <c r="Y6817">
        <v>0</v>
      </c>
      <c r="Z6817">
        <v>72</v>
      </c>
      <c r="AA6817">
        <v>1</v>
      </c>
      <c r="AB6817">
        <v>10.30706</v>
      </c>
      <c r="AC6817">
        <v>1.7453460000000001E-2</v>
      </c>
      <c r="AD6817">
        <v>4.6113600000000003</v>
      </c>
      <c r="AE6817">
        <v>0.37109769999999997</v>
      </c>
      <c r="AF6817">
        <v>30.080670000000001</v>
      </c>
      <c r="AG6817">
        <f>IFERROR(AH6817*0.1, "N/A")</f>
        <v>6.4</v>
      </c>
      <c r="AH6817">
        <v>64</v>
      </c>
      <c r="AI6817">
        <v>40.307450000000003</v>
      </c>
      <c r="AJ6817">
        <v>28</v>
      </c>
      <c r="AK6817">
        <v>47</v>
      </c>
    </row>
    <row r="6818" spans="1:37" x14ac:dyDescent="0.3">
      <c r="A6818">
        <v>6817</v>
      </c>
      <c r="B6818">
        <v>0</v>
      </c>
      <c r="C6818">
        <v>-11.565200000000001</v>
      </c>
      <c r="D6818">
        <v>14.485300000000001</v>
      </c>
      <c r="E6818">
        <f>-11.5652-14.4853</f>
        <v>-26.0505</v>
      </c>
      <c r="F6818" t="s">
        <v>10254</v>
      </c>
      <c r="G6818" t="s">
        <v>37</v>
      </c>
      <c r="H6818">
        <v>1990</v>
      </c>
      <c r="I6818">
        <v>29.1</v>
      </c>
      <c r="J6818">
        <v>14.4</v>
      </c>
      <c r="K6818">
        <v>53</v>
      </c>
      <c r="L6818">
        <v>31.4</v>
      </c>
      <c r="M6818">
        <v>41.6</v>
      </c>
      <c r="N6818">
        <v>14.8</v>
      </c>
      <c r="O6818">
        <v>26.8</v>
      </c>
      <c r="P6818">
        <v>28.6</v>
      </c>
      <c r="Q6818">
        <v>26.7</v>
      </c>
      <c r="R6818">
        <v>33.6</v>
      </c>
      <c r="S6818">
        <v>25.1</v>
      </c>
      <c r="T6818">
        <v>623</v>
      </c>
      <c r="U6818">
        <v>214</v>
      </c>
      <c r="V6818">
        <v>0</v>
      </c>
      <c r="W6818">
        <v>142</v>
      </c>
      <c r="X6818">
        <v>516</v>
      </c>
      <c r="Y6818">
        <v>0</v>
      </c>
      <c r="Z6818">
        <v>72</v>
      </c>
      <c r="AA6818">
        <v>1</v>
      </c>
      <c r="AB6818">
        <v>10.30706</v>
      </c>
      <c r="AC6818">
        <v>1.7453460000000001E-2</v>
      </c>
      <c r="AD6818">
        <v>4.6113600000000003</v>
      </c>
      <c r="AE6818">
        <v>0.37109769999999997</v>
      </c>
      <c r="AF6818">
        <v>30.080670000000001</v>
      </c>
      <c r="AG6818">
        <f>IFERROR(AH6818*0.1, "N/A")</f>
        <v>6.4</v>
      </c>
      <c r="AH6818">
        <v>64</v>
      </c>
      <c r="AI6818">
        <v>40.307450000000003</v>
      </c>
      <c r="AJ6818">
        <v>28</v>
      </c>
      <c r="AK6818">
        <v>47</v>
      </c>
    </row>
    <row r="6819" spans="1:37" x14ac:dyDescent="0.3">
      <c r="A6819">
        <v>6818</v>
      </c>
      <c r="B6819">
        <v>72.2</v>
      </c>
      <c r="C6819">
        <v>-4.1928299999999998</v>
      </c>
      <c r="D6819">
        <v>14.489100000000001</v>
      </c>
      <c r="E6819">
        <f>-4.19283-14.4891</f>
        <v>-18.681930000000001</v>
      </c>
      <c r="F6819" t="s">
        <v>10255</v>
      </c>
      <c r="G6819" t="s">
        <v>39</v>
      </c>
      <c r="H6819">
        <v>1990</v>
      </c>
      <c r="I6819">
        <v>28</v>
      </c>
      <c r="J6819">
        <v>14.1</v>
      </c>
      <c r="K6819">
        <v>54</v>
      </c>
      <c r="L6819">
        <v>29.65</v>
      </c>
      <c r="M6819">
        <v>40.299999999999997</v>
      </c>
      <c r="N6819">
        <v>14.3</v>
      </c>
      <c r="O6819">
        <v>26</v>
      </c>
      <c r="P6819">
        <v>27.9</v>
      </c>
      <c r="Q6819">
        <v>25.8</v>
      </c>
      <c r="R6819">
        <v>31.9</v>
      </c>
      <c r="S6819">
        <v>23.9</v>
      </c>
      <c r="T6819">
        <v>496</v>
      </c>
      <c r="U6819">
        <v>166</v>
      </c>
      <c r="V6819">
        <v>0</v>
      </c>
      <c r="W6819">
        <v>135</v>
      </c>
      <c r="X6819">
        <v>393</v>
      </c>
      <c r="Y6819">
        <v>0</v>
      </c>
      <c r="Z6819">
        <v>85</v>
      </c>
      <c r="AA6819">
        <v>0</v>
      </c>
      <c r="AB6819">
        <v>10.181179999999999</v>
      </c>
      <c r="AC6819">
        <v>3.4544279999999997E-2</v>
      </c>
      <c r="AD6819">
        <v>0.71669799999999995</v>
      </c>
      <c r="AE6819">
        <v>0.64003239999999995</v>
      </c>
      <c r="AF6819">
        <v>269.43869999999998</v>
      </c>
      <c r="AG6819">
        <f>IFERROR(AH6819*0.1, "N/A")</f>
        <v>6.6912670000000007</v>
      </c>
      <c r="AH6819">
        <v>66.912670000000006</v>
      </c>
      <c r="AI6819">
        <v>146.79470000000001</v>
      </c>
      <c r="AJ6819">
        <v>32.845889999999997</v>
      </c>
      <c r="AK6819">
        <v>47.549660000000003</v>
      </c>
    </row>
    <row r="6820" spans="1:37" x14ac:dyDescent="0.3">
      <c r="A6820">
        <v>6819</v>
      </c>
      <c r="B6820">
        <v>0</v>
      </c>
      <c r="C6820">
        <v>-4.1928299999999998</v>
      </c>
      <c r="D6820">
        <v>14.489100000000001</v>
      </c>
      <c r="E6820">
        <f>-4.19283-14.4891</f>
        <v>-18.681930000000001</v>
      </c>
      <c r="F6820" t="s">
        <v>10256</v>
      </c>
      <c r="G6820" t="s">
        <v>37</v>
      </c>
      <c r="H6820">
        <v>1990</v>
      </c>
      <c r="I6820">
        <v>28</v>
      </c>
      <c r="J6820">
        <v>14.1</v>
      </c>
      <c r="K6820">
        <v>54</v>
      </c>
      <c r="L6820">
        <v>29.65</v>
      </c>
      <c r="M6820">
        <v>40.299999999999997</v>
      </c>
      <c r="N6820">
        <v>14.3</v>
      </c>
      <c r="O6820">
        <v>26</v>
      </c>
      <c r="P6820">
        <v>27.9</v>
      </c>
      <c r="Q6820">
        <v>25.8</v>
      </c>
      <c r="R6820">
        <v>31.9</v>
      </c>
      <c r="S6820">
        <v>23.9</v>
      </c>
      <c r="T6820">
        <v>496</v>
      </c>
      <c r="U6820">
        <v>166</v>
      </c>
      <c r="V6820">
        <v>0</v>
      </c>
      <c r="W6820">
        <v>135</v>
      </c>
      <c r="X6820">
        <v>393</v>
      </c>
      <c r="Y6820">
        <v>0</v>
      </c>
      <c r="Z6820">
        <v>85</v>
      </c>
      <c r="AA6820">
        <v>0</v>
      </c>
      <c r="AB6820">
        <v>10.181179999999999</v>
      </c>
      <c r="AC6820">
        <v>3.4544279999999997E-2</v>
      </c>
      <c r="AD6820">
        <v>0.71669799999999995</v>
      </c>
      <c r="AE6820">
        <v>0.64003239999999995</v>
      </c>
      <c r="AF6820">
        <v>269.43869999999998</v>
      </c>
      <c r="AG6820">
        <f>IFERROR(AH6820*0.1, "N/A")</f>
        <v>6.6912670000000007</v>
      </c>
      <c r="AH6820">
        <v>66.912670000000006</v>
      </c>
      <c r="AI6820">
        <v>146.79470000000001</v>
      </c>
      <c r="AJ6820">
        <v>32.845889999999997</v>
      </c>
      <c r="AK6820">
        <v>47.549660000000003</v>
      </c>
    </row>
    <row r="6821" spans="1:37" x14ac:dyDescent="0.3">
      <c r="A6821">
        <v>6820</v>
      </c>
      <c r="B6821">
        <v>63</v>
      </c>
      <c r="C6821">
        <v>-11.5303</v>
      </c>
      <c r="D6821">
        <v>14.4907</v>
      </c>
      <c r="E6821">
        <f>-11.5303-14.4907</f>
        <v>-26.021000000000001</v>
      </c>
      <c r="F6821" t="s">
        <v>10257</v>
      </c>
      <c r="G6821" t="s">
        <v>39</v>
      </c>
      <c r="H6821">
        <v>1990</v>
      </c>
      <c r="I6821">
        <v>29.2</v>
      </c>
      <c r="J6821">
        <v>14.3</v>
      </c>
      <c r="K6821">
        <v>53</v>
      </c>
      <c r="L6821">
        <v>30.42</v>
      </c>
      <c r="M6821">
        <v>41.6</v>
      </c>
      <c r="N6821">
        <v>15.1</v>
      </c>
      <c r="O6821">
        <v>26.5</v>
      </c>
      <c r="P6821">
        <v>28.5</v>
      </c>
      <c r="Q6821">
        <v>27</v>
      </c>
      <c r="R6821">
        <v>33.5</v>
      </c>
      <c r="S6821">
        <v>25.4</v>
      </c>
      <c r="T6821">
        <v>623</v>
      </c>
      <c r="U6821">
        <v>212</v>
      </c>
      <c r="V6821">
        <v>0</v>
      </c>
      <c r="W6821">
        <v>141</v>
      </c>
      <c r="X6821">
        <v>513</v>
      </c>
      <c r="Y6821">
        <v>0</v>
      </c>
      <c r="Z6821">
        <v>75</v>
      </c>
      <c r="AA6821">
        <v>1</v>
      </c>
      <c r="AB6821">
        <v>3.2939600000000002</v>
      </c>
      <c r="AC6821">
        <v>1.067102E-2</v>
      </c>
      <c r="AD6821">
        <v>1.934053</v>
      </c>
      <c r="AE6821">
        <v>0.3579521</v>
      </c>
      <c r="AF6821">
        <v>30.79027</v>
      </c>
      <c r="AG6821">
        <f>IFERROR(AH6821*0.1, "N/A")</f>
        <v>6.6498320000000009</v>
      </c>
      <c r="AH6821">
        <v>66.498320000000007</v>
      </c>
      <c r="AI6821">
        <v>274.39139999999998</v>
      </c>
      <c r="AJ6821">
        <v>18.50168</v>
      </c>
      <c r="AK6821">
        <v>60.494970000000002</v>
      </c>
    </row>
    <row r="6822" spans="1:37" x14ac:dyDescent="0.3">
      <c r="A6822">
        <v>6821</v>
      </c>
      <c r="B6822">
        <v>0</v>
      </c>
      <c r="C6822">
        <v>-11.5303</v>
      </c>
      <c r="D6822">
        <v>14.4907</v>
      </c>
      <c r="E6822">
        <f>-11.5303-14.4907</f>
        <v>-26.021000000000001</v>
      </c>
      <c r="F6822" t="s">
        <v>10258</v>
      </c>
      <c r="G6822" t="s">
        <v>37</v>
      </c>
      <c r="H6822">
        <v>1990</v>
      </c>
      <c r="I6822">
        <v>29.2</v>
      </c>
      <c r="J6822">
        <v>14.3</v>
      </c>
      <c r="K6822">
        <v>53</v>
      </c>
      <c r="L6822">
        <v>30.42</v>
      </c>
      <c r="M6822">
        <v>41.6</v>
      </c>
      <c r="N6822">
        <v>15.1</v>
      </c>
      <c r="O6822">
        <v>26.5</v>
      </c>
      <c r="P6822">
        <v>28.5</v>
      </c>
      <c r="Q6822">
        <v>27</v>
      </c>
      <c r="R6822">
        <v>33.5</v>
      </c>
      <c r="S6822">
        <v>25.4</v>
      </c>
      <c r="T6822">
        <v>623</v>
      </c>
      <c r="U6822">
        <v>212</v>
      </c>
      <c r="V6822">
        <v>0</v>
      </c>
      <c r="W6822">
        <v>141</v>
      </c>
      <c r="X6822">
        <v>513</v>
      </c>
      <c r="Y6822">
        <v>0</v>
      </c>
      <c r="Z6822">
        <v>75</v>
      </c>
      <c r="AA6822">
        <v>1</v>
      </c>
      <c r="AB6822">
        <v>3.2939600000000002</v>
      </c>
      <c r="AC6822">
        <v>1.067102E-2</v>
      </c>
      <c r="AD6822">
        <v>1.934053</v>
      </c>
      <c r="AE6822">
        <v>0.3579521</v>
      </c>
      <c r="AF6822">
        <v>30.79027</v>
      </c>
      <c r="AG6822">
        <f>IFERROR(AH6822*0.1, "N/A")</f>
        <v>6.6498320000000009</v>
      </c>
      <c r="AH6822">
        <v>66.498320000000007</v>
      </c>
      <c r="AI6822">
        <v>274.39139999999998</v>
      </c>
      <c r="AJ6822">
        <v>18.50168</v>
      </c>
      <c r="AK6822">
        <v>60.494970000000002</v>
      </c>
    </row>
    <row r="6823" spans="1:37" x14ac:dyDescent="0.3">
      <c r="A6823">
        <v>6822</v>
      </c>
      <c r="B6823">
        <v>4.7</v>
      </c>
      <c r="C6823">
        <v>-3.9047000000000001</v>
      </c>
      <c r="D6823">
        <v>14.495100000000001</v>
      </c>
      <c r="E6823">
        <f>-3.9047-14.4951</f>
        <v>-18.399799999999999</v>
      </c>
      <c r="F6823" t="s">
        <v>10259</v>
      </c>
      <c r="G6823" t="s">
        <v>39</v>
      </c>
      <c r="H6823">
        <v>1990</v>
      </c>
      <c r="I6823">
        <v>27.7</v>
      </c>
      <c r="J6823">
        <v>14</v>
      </c>
      <c r="K6823">
        <v>54</v>
      </c>
      <c r="L6823">
        <v>29.36</v>
      </c>
      <c r="M6823">
        <v>39.9</v>
      </c>
      <c r="N6823">
        <v>14.2</v>
      </c>
      <c r="O6823">
        <v>25.7</v>
      </c>
      <c r="P6823">
        <v>27.6</v>
      </c>
      <c r="Q6823">
        <v>25.4</v>
      </c>
      <c r="R6823">
        <v>31.6</v>
      </c>
      <c r="S6823">
        <v>23.7</v>
      </c>
      <c r="T6823">
        <v>489</v>
      </c>
      <c r="U6823">
        <v>164</v>
      </c>
      <c r="V6823">
        <v>0</v>
      </c>
      <c r="W6823">
        <v>134</v>
      </c>
      <c r="X6823">
        <v>384</v>
      </c>
      <c r="Y6823">
        <v>0</v>
      </c>
      <c r="Z6823">
        <v>84</v>
      </c>
      <c r="AA6823">
        <v>0</v>
      </c>
      <c r="AB6823">
        <v>51.121560000000002</v>
      </c>
      <c r="AC6823">
        <v>1.1770600000000001E-2</v>
      </c>
      <c r="AD6823">
        <v>15.661910000000001</v>
      </c>
      <c r="AE6823">
        <v>0.25317119999999999</v>
      </c>
      <c r="AF6823">
        <v>352.44310000000002</v>
      </c>
      <c r="AG6823">
        <f>IFERROR(AH6823*0.1, "N/A")</f>
        <v>6.8627089999999997</v>
      </c>
      <c r="AH6823">
        <v>68.627089999999995</v>
      </c>
      <c r="AI6823">
        <v>153.62860000000001</v>
      </c>
      <c r="AJ6823">
        <v>16.95485</v>
      </c>
      <c r="AK6823">
        <v>66.904679999999999</v>
      </c>
    </row>
    <row r="6824" spans="1:37" x14ac:dyDescent="0.3">
      <c r="A6824">
        <v>6823</v>
      </c>
      <c r="B6824">
        <v>0</v>
      </c>
      <c r="C6824">
        <v>-3.9047000000000001</v>
      </c>
      <c r="D6824">
        <v>14.495100000000001</v>
      </c>
      <c r="E6824">
        <f>-3.9047-14.4951</f>
        <v>-18.399799999999999</v>
      </c>
      <c r="F6824" t="s">
        <v>10260</v>
      </c>
      <c r="G6824" t="s">
        <v>37</v>
      </c>
      <c r="H6824">
        <v>1990</v>
      </c>
      <c r="I6824">
        <v>27.7</v>
      </c>
      <c r="J6824">
        <v>14</v>
      </c>
      <c r="K6824">
        <v>54</v>
      </c>
      <c r="L6824">
        <v>29.36</v>
      </c>
      <c r="M6824">
        <v>39.9</v>
      </c>
      <c r="N6824">
        <v>14.2</v>
      </c>
      <c r="O6824">
        <v>25.7</v>
      </c>
      <c r="P6824">
        <v>27.6</v>
      </c>
      <c r="Q6824">
        <v>25.4</v>
      </c>
      <c r="R6824">
        <v>31.6</v>
      </c>
      <c r="S6824">
        <v>23.7</v>
      </c>
      <c r="T6824">
        <v>489</v>
      </c>
      <c r="U6824">
        <v>164</v>
      </c>
      <c r="V6824">
        <v>0</v>
      </c>
      <c r="W6824">
        <v>134</v>
      </c>
      <c r="X6824">
        <v>384</v>
      </c>
      <c r="Y6824">
        <v>0</v>
      </c>
      <c r="Z6824">
        <v>84</v>
      </c>
      <c r="AA6824">
        <v>0</v>
      </c>
      <c r="AB6824">
        <v>51.121560000000002</v>
      </c>
      <c r="AC6824">
        <v>1.1770600000000001E-2</v>
      </c>
      <c r="AD6824">
        <v>15.661910000000001</v>
      </c>
      <c r="AE6824">
        <v>0.25317119999999999</v>
      </c>
      <c r="AF6824">
        <v>352.44310000000002</v>
      </c>
      <c r="AG6824">
        <f>IFERROR(AH6824*0.1, "N/A")</f>
        <v>6.8627089999999997</v>
      </c>
      <c r="AH6824">
        <v>68.627089999999995</v>
      </c>
      <c r="AI6824">
        <v>153.62860000000001</v>
      </c>
      <c r="AJ6824">
        <v>16.95485</v>
      </c>
      <c r="AK6824">
        <v>66.904679999999999</v>
      </c>
    </row>
    <row r="6825" spans="1:37" x14ac:dyDescent="0.3">
      <c r="A6825">
        <v>6824</v>
      </c>
      <c r="B6825">
        <v>0</v>
      </c>
      <c r="C6825">
        <v>-3.4689999999999999</v>
      </c>
      <c r="D6825">
        <v>14.499000000000001</v>
      </c>
      <c r="E6825">
        <f>-3.469-14.499</f>
        <v>-17.968</v>
      </c>
      <c r="F6825" t="s">
        <v>10261</v>
      </c>
      <c r="G6825" t="s">
        <v>39</v>
      </c>
      <c r="H6825">
        <v>1987</v>
      </c>
      <c r="I6825">
        <v>26.504200000000001</v>
      </c>
      <c r="J6825">
        <v>13.9</v>
      </c>
      <c r="K6825">
        <v>54</v>
      </c>
      <c r="L6825">
        <v>29.730920000000001</v>
      </c>
      <c r="M6825">
        <v>38.604199999999999</v>
      </c>
      <c r="N6825">
        <v>13.3042</v>
      </c>
      <c r="O6825">
        <v>25.3</v>
      </c>
      <c r="P6825">
        <v>26.4084</v>
      </c>
      <c r="Q6825">
        <v>22.304200000000002</v>
      </c>
      <c r="R6825">
        <v>30.404199999999999</v>
      </c>
      <c r="S6825">
        <v>22.304200000000002</v>
      </c>
      <c r="T6825">
        <v>504.95800000000003</v>
      </c>
      <c r="U6825">
        <v>167</v>
      </c>
      <c r="V6825">
        <v>0</v>
      </c>
      <c r="W6825">
        <v>131</v>
      </c>
      <c r="X6825">
        <v>395</v>
      </c>
      <c r="Y6825">
        <v>0</v>
      </c>
      <c r="Z6825">
        <v>85.957980000000006</v>
      </c>
      <c r="AA6825">
        <v>0</v>
      </c>
      <c r="AB6825">
        <v>24.883710000000001</v>
      </c>
      <c r="AC6825">
        <v>1.415398E-2</v>
      </c>
      <c r="AD6825">
        <v>8.6242450000000002</v>
      </c>
      <c r="AE6825">
        <v>0.37465880000000001</v>
      </c>
      <c r="AF6825">
        <v>470.52609999999999</v>
      </c>
      <c r="AG6825">
        <f>IFERROR(AH6825*0.1, "N/A")</f>
        <v>7.0026890000000002</v>
      </c>
      <c r="AH6825">
        <v>70.026889999999995</v>
      </c>
      <c r="AI6825">
        <v>286.80040000000002</v>
      </c>
      <c r="AJ6825">
        <v>16.060500000000001</v>
      </c>
      <c r="AK6825">
        <v>65.053780000000003</v>
      </c>
    </row>
    <row r="6826" spans="1:37" x14ac:dyDescent="0.3">
      <c r="A6826">
        <v>6825</v>
      </c>
      <c r="B6826">
        <v>3.7</v>
      </c>
      <c r="C6826">
        <v>-2.1307</v>
      </c>
      <c r="D6826">
        <v>14.5062</v>
      </c>
      <c r="E6826">
        <f>-2.1307-14.5062</f>
        <v>-16.636900000000001</v>
      </c>
      <c r="F6826" t="s">
        <v>10262</v>
      </c>
      <c r="G6826" t="s">
        <v>39</v>
      </c>
      <c r="H6826">
        <v>1990</v>
      </c>
      <c r="I6826">
        <v>28.9</v>
      </c>
      <c r="J6826">
        <v>14</v>
      </c>
      <c r="K6826">
        <v>56</v>
      </c>
      <c r="L6826">
        <v>29.01</v>
      </c>
      <c r="M6826">
        <v>40.6</v>
      </c>
      <c r="N6826">
        <v>15.9</v>
      </c>
      <c r="O6826">
        <v>24.7</v>
      </c>
      <c r="P6826">
        <v>28.7</v>
      </c>
      <c r="Q6826">
        <v>25.4</v>
      </c>
      <c r="R6826">
        <v>32.700000000000003</v>
      </c>
      <c r="S6826">
        <v>24.9</v>
      </c>
      <c r="T6826">
        <v>437</v>
      </c>
      <c r="U6826">
        <v>142</v>
      </c>
      <c r="V6826">
        <v>0</v>
      </c>
      <c r="W6826">
        <v>133</v>
      </c>
      <c r="X6826">
        <v>345</v>
      </c>
      <c r="Y6826">
        <v>0</v>
      </c>
      <c r="Z6826">
        <v>72</v>
      </c>
      <c r="AA6826">
        <v>0</v>
      </c>
      <c r="AB6826">
        <v>0.37667040000000002</v>
      </c>
      <c r="AC6826">
        <v>0.1070633</v>
      </c>
      <c r="AD6826">
        <v>0.92673159999999999</v>
      </c>
      <c r="AE6826">
        <v>0.23955560000000001</v>
      </c>
      <c r="AF6826">
        <v>269.5453</v>
      </c>
      <c r="AG6826">
        <f>IFERROR(AH6826*0.1, "N/A")</f>
        <v>6.5</v>
      </c>
      <c r="AH6826">
        <v>65</v>
      </c>
      <c r="AI6826">
        <v>220.11349999999999</v>
      </c>
      <c r="AJ6826">
        <v>24</v>
      </c>
      <c r="AK6826">
        <v>65</v>
      </c>
    </row>
    <row r="6827" spans="1:37" x14ac:dyDescent="0.3">
      <c r="A6827">
        <v>6826</v>
      </c>
      <c r="B6827">
        <v>0</v>
      </c>
      <c r="C6827">
        <v>-2.1307</v>
      </c>
      <c r="D6827">
        <v>14.5062</v>
      </c>
      <c r="E6827">
        <f>-2.1307-14.5062</f>
        <v>-16.636900000000001</v>
      </c>
      <c r="F6827" t="s">
        <v>10263</v>
      </c>
      <c r="G6827" t="s">
        <v>37</v>
      </c>
      <c r="H6827">
        <v>1990</v>
      </c>
      <c r="I6827">
        <v>28.9</v>
      </c>
      <c r="J6827">
        <v>14</v>
      </c>
      <c r="K6827">
        <v>56</v>
      </c>
      <c r="L6827">
        <v>29.01</v>
      </c>
      <c r="M6827">
        <v>40.6</v>
      </c>
      <c r="N6827">
        <v>15.9</v>
      </c>
      <c r="O6827">
        <v>24.7</v>
      </c>
      <c r="P6827">
        <v>28.7</v>
      </c>
      <c r="Q6827">
        <v>25.4</v>
      </c>
      <c r="R6827">
        <v>32.700000000000003</v>
      </c>
      <c r="S6827">
        <v>24.9</v>
      </c>
      <c r="T6827">
        <v>437</v>
      </c>
      <c r="U6827">
        <v>142</v>
      </c>
      <c r="V6827">
        <v>0</v>
      </c>
      <c r="W6827">
        <v>133</v>
      </c>
      <c r="X6827">
        <v>345</v>
      </c>
      <c r="Y6827">
        <v>0</v>
      </c>
      <c r="Z6827">
        <v>72</v>
      </c>
      <c r="AA6827">
        <v>0</v>
      </c>
      <c r="AB6827">
        <v>0.37667040000000002</v>
      </c>
      <c r="AC6827">
        <v>0.1070633</v>
      </c>
      <c r="AD6827">
        <v>0.92673159999999999</v>
      </c>
      <c r="AE6827">
        <v>0.23955560000000001</v>
      </c>
      <c r="AF6827">
        <v>269.5453</v>
      </c>
      <c r="AG6827">
        <f>IFERROR(AH6827*0.1, "N/A")</f>
        <v>6.5</v>
      </c>
      <c r="AH6827">
        <v>65</v>
      </c>
      <c r="AI6827">
        <v>220.11349999999999</v>
      </c>
      <c r="AJ6827">
        <v>24</v>
      </c>
      <c r="AK6827">
        <v>65</v>
      </c>
    </row>
    <row r="6828" spans="1:37" x14ac:dyDescent="0.3">
      <c r="A6828">
        <v>6827</v>
      </c>
      <c r="B6828">
        <v>18.100000000000001</v>
      </c>
      <c r="C6828">
        <v>-3.7976899999999998</v>
      </c>
      <c r="D6828">
        <v>14.5114</v>
      </c>
      <c r="E6828">
        <f>-3.79769-14.5114</f>
        <v>-18.309090000000001</v>
      </c>
      <c r="F6828" t="s">
        <v>10264</v>
      </c>
      <c r="G6828" t="s">
        <v>39</v>
      </c>
      <c r="H6828">
        <v>1990</v>
      </c>
      <c r="I6828">
        <v>27.3</v>
      </c>
      <c r="J6828">
        <v>14</v>
      </c>
      <c r="K6828">
        <v>54</v>
      </c>
      <c r="L6828">
        <v>29.59</v>
      </c>
      <c r="M6828">
        <v>39.5</v>
      </c>
      <c r="N6828">
        <v>13.9</v>
      </c>
      <c r="O6828">
        <v>25.6</v>
      </c>
      <c r="P6828">
        <v>27.3</v>
      </c>
      <c r="Q6828">
        <v>23.2</v>
      </c>
      <c r="R6828">
        <v>31.2</v>
      </c>
      <c r="S6828">
        <v>23.2</v>
      </c>
      <c r="T6828">
        <v>493</v>
      </c>
      <c r="U6828">
        <v>165</v>
      </c>
      <c r="V6828">
        <v>0</v>
      </c>
      <c r="W6828">
        <v>132</v>
      </c>
      <c r="X6828">
        <v>387</v>
      </c>
      <c r="Y6828">
        <v>0</v>
      </c>
      <c r="Z6828">
        <v>84</v>
      </c>
      <c r="AA6828">
        <v>0</v>
      </c>
      <c r="AB6828">
        <v>18.126850000000001</v>
      </c>
      <c r="AC6828">
        <v>1.6268959999999999E-2</v>
      </c>
      <c r="AD6828">
        <v>10.39096</v>
      </c>
      <c r="AE6828">
        <v>0.29893809999999998</v>
      </c>
      <c r="AF6828">
        <v>364.10399999999998</v>
      </c>
      <c r="AG6828">
        <f>IFERROR(AH6828*0.1, "N/A")</f>
        <v>6.9899330000000006</v>
      </c>
      <c r="AH6828">
        <v>69.899330000000006</v>
      </c>
      <c r="AI6828">
        <v>142.8811</v>
      </c>
      <c r="AJ6828">
        <v>14.06376</v>
      </c>
      <c r="AK6828">
        <v>70.392619999999994</v>
      </c>
    </row>
    <row r="6829" spans="1:37" x14ac:dyDescent="0.3">
      <c r="A6829">
        <v>6828</v>
      </c>
      <c r="B6829">
        <v>0</v>
      </c>
      <c r="C6829">
        <v>-3.7976899999999998</v>
      </c>
      <c r="D6829">
        <v>14.5114</v>
      </c>
      <c r="E6829">
        <f>-3.79769-14.5114</f>
        <v>-18.309090000000001</v>
      </c>
      <c r="F6829" t="s">
        <v>10265</v>
      </c>
      <c r="G6829" t="s">
        <v>37</v>
      </c>
      <c r="H6829">
        <v>1990</v>
      </c>
      <c r="I6829">
        <v>27.3</v>
      </c>
      <c r="J6829">
        <v>14</v>
      </c>
      <c r="K6829">
        <v>54</v>
      </c>
      <c r="L6829">
        <v>29.59</v>
      </c>
      <c r="M6829">
        <v>39.5</v>
      </c>
      <c r="N6829">
        <v>13.9</v>
      </c>
      <c r="O6829">
        <v>25.6</v>
      </c>
      <c r="P6829">
        <v>27.3</v>
      </c>
      <c r="Q6829">
        <v>23.2</v>
      </c>
      <c r="R6829">
        <v>31.2</v>
      </c>
      <c r="S6829">
        <v>23.2</v>
      </c>
      <c r="T6829">
        <v>493</v>
      </c>
      <c r="U6829">
        <v>165</v>
      </c>
      <c r="V6829">
        <v>0</v>
      </c>
      <c r="W6829">
        <v>132</v>
      </c>
      <c r="X6829">
        <v>387</v>
      </c>
      <c r="Y6829">
        <v>0</v>
      </c>
      <c r="Z6829">
        <v>84</v>
      </c>
      <c r="AA6829">
        <v>0</v>
      </c>
      <c r="AB6829">
        <v>18.126850000000001</v>
      </c>
      <c r="AC6829">
        <v>1.6268959999999999E-2</v>
      </c>
      <c r="AD6829">
        <v>10.39096</v>
      </c>
      <c r="AE6829">
        <v>0.29893809999999998</v>
      </c>
      <c r="AF6829">
        <v>364.10399999999998</v>
      </c>
      <c r="AG6829">
        <f>IFERROR(AH6829*0.1, "N/A")</f>
        <v>6.9899330000000006</v>
      </c>
      <c r="AH6829">
        <v>69.899330000000006</v>
      </c>
      <c r="AI6829">
        <v>142.8811</v>
      </c>
      <c r="AJ6829">
        <v>14.06376</v>
      </c>
      <c r="AK6829">
        <v>70.392619999999994</v>
      </c>
    </row>
    <row r="6830" spans="1:37" x14ac:dyDescent="0.3">
      <c r="A6830">
        <v>6829</v>
      </c>
      <c r="B6830">
        <v>3.6</v>
      </c>
      <c r="C6830">
        <v>-2.0998999999999999</v>
      </c>
      <c r="D6830">
        <v>14.5166</v>
      </c>
      <c r="E6830">
        <f>-2.0999-14.5166</f>
        <v>-16.616500000000002</v>
      </c>
      <c r="F6830" t="s">
        <v>10266</v>
      </c>
      <c r="G6830" t="s">
        <v>39</v>
      </c>
      <c r="H6830">
        <v>1990</v>
      </c>
      <c r="I6830">
        <v>28.985859999999999</v>
      </c>
      <c r="J6830">
        <v>13.985860000000001</v>
      </c>
      <c r="K6830">
        <v>56</v>
      </c>
      <c r="L6830">
        <v>29.34151</v>
      </c>
      <c r="M6830">
        <v>40.6</v>
      </c>
      <c r="N6830">
        <v>15.985860000000001</v>
      </c>
      <c r="O6830">
        <v>24.614139999999999</v>
      </c>
      <c r="P6830">
        <v>28.7</v>
      </c>
      <c r="Q6830">
        <v>25.385860000000001</v>
      </c>
      <c r="R6830">
        <v>32.799999999999997</v>
      </c>
      <c r="S6830">
        <v>24.9</v>
      </c>
      <c r="T6830">
        <v>433.88889999999998</v>
      </c>
      <c r="U6830">
        <v>141.1987</v>
      </c>
      <c r="V6830">
        <v>0</v>
      </c>
      <c r="W6830">
        <v>132.6902</v>
      </c>
      <c r="X6830">
        <v>342.88889999999998</v>
      </c>
      <c r="Y6830">
        <v>0</v>
      </c>
      <c r="Z6830">
        <v>71</v>
      </c>
      <c r="AA6830">
        <v>0</v>
      </c>
      <c r="AB6830">
        <v>0.61699490000000001</v>
      </c>
      <c r="AC6830">
        <v>1.540337E-2</v>
      </c>
      <c r="AD6830">
        <v>1.290734</v>
      </c>
      <c r="AE6830">
        <v>0.2480395</v>
      </c>
      <c r="AF6830">
        <v>270.15989999999999</v>
      </c>
      <c r="AG6830">
        <f>IFERROR(AH6830*0.1, "N/A")</f>
        <v>6.3828279999999999</v>
      </c>
      <c r="AH6830">
        <v>63.828279999999999</v>
      </c>
      <c r="AI6830">
        <v>177.62430000000001</v>
      </c>
      <c r="AJ6830">
        <v>20.410769999999999</v>
      </c>
      <c r="AK6830">
        <v>68.013469999999998</v>
      </c>
    </row>
    <row r="6831" spans="1:37" x14ac:dyDescent="0.3">
      <c r="A6831">
        <v>6830</v>
      </c>
      <c r="B6831">
        <v>0</v>
      </c>
      <c r="C6831">
        <v>-2.0998999999999999</v>
      </c>
      <c r="D6831">
        <v>14.5166</v>
      </c>
      <c r="E6831">
        <f>-2.0999-14.5166</f>
        <v>-16.616500000000002</v>
      </c>
      <c r="F6831" t="s">
        <v>10267</v>
      </c>
      <c r="G6831" t="s">
        <v>37</v>
      </c>
      <c r="H6831">
        <v>1990</v>
      </c>
      <c r="I6831">
        <v>28.985859999999999</v>
      </c>
      <c r="J6831">
        <v>13.985860000000001</v>
      </c>
      <c r="K6831">
        <v>56</v>
      </c>
      <c r="L6831">
        <v>29.34151</v>
      </c>
      <c r="M6831">
        <v>40.6</v>
      </c>
      <c r="N6831">
        <v>15.985860000000001</v>
      </c>
      <c r="O6831">
        <v>24.614139999999999</v>
      </c>
      <c r="P6831">
        <v>28.7</v>
      </c>
      <c r="Q6831">
        <v>25.385860000000001</v>
      </c>
      <c r="R6831">
        <v>32.799999999999997</v>
      </c>
      <c r="S6831">
        <v>24.9</v>
      </c>
      <c r="T6831">
        <v>433.88889999999998</v>
      </c>
      <c r="U6831">
        <v>141.1987</v>
      </c>
      <c r="V6831">
        <v>0</v>
      </c>
      <c r="W6831">
        <v>132.6902</v>
      </c>
      <c r="X6831">
        <v>342.88889999999998</v>
      </c>
      <c r="Y6831">
        <v>0</v>
      </c>
      <c r="Z6831">
        <v>71</v>
      </c>
      <c r="AA6831">
        <v>0</v>
      </c>
      <c r="AB6831">
        <v>0.61699490000000001</v>
      </c>
      <c r="AC6831">
        <v>1.540337E-2</v>
      </c>
      <c r="AD6831">
        <v>1.290734</v>
      </c>
      <c r="AE6831">
        <v>0.2480395</v>
      </c>
      <c r="AF6831">
        <v>270.15989999999999</v>
      </c>
      <c r="AG6831">
        <f>IFERROR(AH6831*0.1, "N/A")</f>
        <v>6.3828279999999999</v>
      </c>
      <c r="AH6831">
        <v>63.828279999999999</v>
      </c>
      <c r="AI6831">
        <v>177.62430000000001</v>
      </c>
      <c r="AJ6831">
        <v>20.410769999999999</v>
      </c>
      <c r="AK6831">
        <v>68.013469999999998</v>
      </c>
    </row>
    <row r="6832" spans="1:37" x14ac:dyDescent="0.3">
      <c r="A6832">
        <v>6831</v>
      </c>
      <c r="B6832">
        <v>81</v>
      </c>
      <c r="C6832">
        <v>-3.5667</v>
      </c>
      <c r="D6832">
        <v>14.5167</v>
      </c>
      <c r="E6832">
        <f>-3.5667-14.5167</f>
        <v>-18.083400000000001</v>
      </c>
      <c r="F6832" t="s">
        <v>10268</v>
      </c>
      <c r="G6832" t="s">
        <v>39</v>
      </c>
      <c r="H6832">
        <v>1987</v>
      </c>
      <c r="I6832">
        <v>26.5</v>
      </c>
      <c r="J6832">
        <v>13.90807</v>
      </c>
      <c r="K6832">
        <v>54.080669999999998</v>
      </c>
      <c r="L6832">
        <v>29.4542</v>
      </c>
      <c r="M6832">
        <v>38.64555</v>
      </c>
      <c r="N6832">
        <v>13.345549999999999</v>
      </c>
      <c r="O6832">
        <v>25.3</v>
      </c>
      <c r="P6832">
        <v>26.545549999999999</v>
      </c>
      <c r="Q6832">
        <v>22.445550000000001</v>
      </c>
      <c r="R6832">
        <v>30.357140000000001</v>
      </c>
      <c r="S6832">
        <v>22.445550000000001</v>
      </c>
      <c r="T6832">
        <v>502.54450000000003</v>
      </c>
      <c r="U6832">
        <v>167</v>
      </c>
      <c r="V6832">
        <v>0</v>
      </c>
      <c r="W6832">
        <v>134</v>
      </c>
      <c r="X6832">
        <v>394</v>
      </c>
      <c r="Y6832">
        <v>0</v>
      </c>
      <c r="Z6832">
        <v>85</v>
      </c>
      <c r="AA6832">
        <v>0</v>
      </c>
      <c r="AB6832">
        <v>16.302869999999999</v>
      </c>
      <c r="AC6832">
        <v>1.6351620000000001E-2</v>
      </c>
      <c r="AD6832">
        <v>3.6160869999999998</v>
      </c>
      <c r="AE6832">
        <v>0.36825940000000001</v>
      </c>
      <c r="AF6832">
        <v>459.41340000000002</v>
      </c>
      <c r="AG6832">
        <f>IFERROR(AH6832*0.1, "N/A")</f>
        <v>6.9606719999999997</v>
      </c>
      <c r="AH6832">
        <v>69.606719999999996</v>
      </c>
      <c r="AI6832">
        <v>29.77824</v>
      </c>
      <c r="AJ6832">
        <v>15.19664</v>
      </c>
      <c r="AK6832">
        <v>68.803359999999998</v>
      </c>
    </row>
    <row r="6833" spans="1:37" x14ac:dyDescent="0.3">
      <c r="A6833">
        <v>6832</v>
      </c>
      <c r="B6833">
        <v>31.3</v>
      </c>
      <c r="C6833">
        <v>-4.21225</v>
      </c>
      <c r="D6833">
        <v>14.526</v>
      </c>
      <c r="E6833">
        <f>-4.21225-14.526</f>
        <v>-18.738250000000001</v>
      </c>
      <c r="F6833" t="s">
        <v>10269</v>
      </c>
      <c r="G6833" t="s">
        <v>39</v>
      </c>
      <c r="H6833">
        <v>1990</v>
      </c>
      <c r="I6833">
        <v>27.8</v>
      </c>
      <c r="J6833">
        <v>14.1</v>
      </c>
      <c r="K6833">
        <v>53</v>
      </c>
      <c r="L6833">
        <v>29.71</v>
      </c>
      <c r="M6833">
        <v>40.4</v>
      </c>
      <c r="N6833">
        <v>14.2</v>
      </c>
      <c r="O6833">
        <v>26.2</v>
      </c>
      <c r="P6833">
        <v>27.8</v>
      </c>
      <c r="Q6833">
        <v>25.6</v>
      </c>
      <c r="R6833">
        <v>31.8</v>
      </c>
      <c r="S6833">
        <v>23.8</v>
      </c>
      <c r="T6833">
        <v>499</v>
      </c>
      <c r="U6833">
        <v>167</v>
      </c>
      <c r="V6833">
        <v>0</v>
      </c>
      <c r="W6833">
        <v>136</v>
      </c>
      <c r="X6833">
        <v>395</v>
      </c>
      <c r="Y6833">
        <v>0</v>
      </c>
      <c r="Z6833">
        <v>86</v>
      </c>
      <c r="AA6833">
        <v>0</v>
      </c>
      <c r="AB6833">
        <v>0.62146069999999998</v>
      </c>
      <c r="AC6833">
        <v>2.535362E-2</v>
      </c>
      <c r="AD6833">
        <v>1.559156</v>
      </c>
      <c r="AE6833">
        <v>0.44699729999999999</v>
      </c>
      <c r="AF6833">
        <v>264.46980000000002</v>
      </c>
      <c r="AG6833">
        <f>IFERROR(AH6833*0.1, "N/A")</f>
        <v>6.6802010000000003</v>
      </c>
      <c r="AH6833">
        <v>66.802009999999996</v>
      </c>
      <c r="AI6833">
        <v>209.92850000000001</v>
      </c>
      <c r="AJ6833">
        <v>18.79195</v>
      </c>
      <c r="AK6833">
        <v>59.104030000000002</v>
      </c>
    </row>
    <row r="6834" spans="1:37" x14ac:dyDescent="0.3">
      <c r="A6834">
        <v>6833</v>
      </c>
      <c r="B6834">
        <v>0</v>
      </c>
      <c r="C6834">
        <v>-4.21225</v>
      </c>
      <c r="D6834">
        <v>14.526</v>
      </c>
      <c r="E6834">
        <f>-4.21225-14.526</f>
        <v>-18.738250000000001</v>
      </c>
      <c r="F6834" t="s">
        <v>10270</v>
      </c>
      <c r="G6834" t="s">
        <v>37</v>
      </c>
      <c r="H6834">
        <v>1990</v>
      </c>
      <c r="I6834">
        <v>27.8</v>
      </c>
      <c r="J6834">
        <v>14.1</v>
      </c>
      <c r="K6834">
        <v>53</v>
      </c>
      <c r="L6834">
        <v>29.71</v>
      </c>
      <c r="M6834">
        <v>40.4</v>
      </c>
      <c r="N6834">
        <v>14.2</v>
      </c>
      <c r="O6834">
        <v>26.2</v>
      </c>
      <c r="P6834">
        <v>27.8</v>
      </c>
      <c r="Q6834">
        <v>25.6</v>
      </c>
      <c r="R6834">
        <v>31.8</v>
      </c>
      <c r="S6834">
        <v>23.8</v>
      </c>
      <c r="T6834">
        <v>499</v>
      </c>
      <c r="U6834">
        <v>167</v>
      </c>
      <c r="V6834">
        <v>0</v>
      </c>
      <c r="W6834">
        <v>136</v>
      </c>
      <c r="X6834">
        <v>395</v>
      </c>
      <c r="Y6834">
        <v>0</v>
      </c>
      <c r="Z6834">
        <v>86</v>
      </c>
      <c r="AA6834">
        <v>0</v>
      </c>
      <c r="AB6834">
        <v>0.62146069999999998</v>
      </c>
      <c r="AC6834">
        <v>2.535362E-2</v>
      </c>
      <c r="AD6834">
        <v>1.559156</v>
      </c>
      <c r="AE6834">
        <v>0.44699729999999999</v>
      </c>
      <c r="AF6834">
        <v>264.46980000000002</v>
      </c>
      <c r="AG6834">
        <f>IFERROR(AH6834*0.1, "N/A")</f>
        <v>6.6802010000000003</v>
      </c>
      <c r="AH6834">
        <v>66.802009999999996</v>
      </c>
      <c r="AI6834">
        <v>209.92850000000001</v>
      </c>
      <c r="AJ6834">
        <v>18.79195</v>
      </c>
      <c r="AK6834">
        <v>59.104030000000002</v>
      </c>
    </row>
    <row r="6835" spans="1:37" x14ac:dyDescent="0.3">
      <c r="A6835">
        <v>6834</v>
      </c>
      <c r="B6835">
        <v>47.4</v>
      </c>
      <c r="C6835">
        <v>-3.4510299999999998</v>
      </c>
      <c r="D6835">
        <v>14.5298</v>
      </c>
      <c r="E6835">
        <f>-3.45103-14.5298</f>
        <v>-17.980830000000001</v>
      </c>
      <c r="F6835" t="s">
        <v>10271</v>
      </c>
      <c r="G6835" t="s">
        <v>39</v>
      </c>
      <c r="H6835">
        <v>1990</v>
      </c>
      <c r="I6835">
        <v>26.294149999999998</v>
      </c>
      <c r="J6835">
        <v>13.9</v>
      </c>
      <c r="K6835">
        <v>54.058529999999998</v>
      </c>
      <c r="L6835">
        <v>29.59468</v>
      </c>
      <c r="M6835">
        <v>38.488289999999999</v>
      </c>
      <c r="N6835">
        <v>13.19415</v>
      </c>
      <c r="O6835">
        <v>25.294149999999998</v>
      </c>
      <c r="P6835">
        <v>26.294149999999998</v>
      </c>
      <c r="Q6835">
        <v>22.19415</v>
      </c>
      <c r="R6835">
        <v>30.19415</v>
      </c>
      <c r="S6835">
        <v>22.19415</v>
      </c>
      <c r="T6835">
        <v>506</v>
      </c>
      <c r="U6835">
        <v>167</v>
      </c>
      <c r="V6835">
        <v>0</v>
      </c>
      <c r="W6835">
        <v>131</v>
      </c>
      <c r="X6835">
        <v>396</v>
      </c>
      <c r="Y6835">
        <v>0</v>
      </c>
      <c r="Z6835">
        <v>86</v>
      </c>
      <c r="AA6835">
        <v>0</v>
      </c>
      <c r="AB6835">
        <v>18.933769999999999</v>
      </c>
      <c r="AC6835">
        <v>8.7642929999999994E-3</v>
      </c>
      <c r="AD6835">
        <v>5.0570630000000003</v>
      </c>
      <c r="AE6835">
        <v>0.35023490000000002</v>
      </c>
      <c r="AF6835">
        <v>489.67059999999998</v>
      </c>
      <c r="AG6835">
        <f>IFERROR(AH6835*0.1, "N/A")</f>
        <v>6.776923</v>
      </c>
      <c r="AH6835">
        <v>67.769229999999993</v>
      </c>
      <c r="AI6835">
        <v>180.56479999999999</v>
      </c>
      <c r="AJ6835">
        <v>16.827760000000001</v>
      </c>
      <c r="AK6835">
        <v>64.168899999999994</v>
      </c>
    </row>
    <row r="6836" spans="1:37" x14ac:dyDescent="0.3">
      <c r="A6836">
        <v>6835</v>
      </c>
      <c r="B6836">
        <v>2.1</v>
      </c>
      <c r="C6836">
        <v>-3.4510299999999998</v>
      </c>
      <c r="D6836">
        <v>14.5298</v>
      </c>
      <c r="E6836">
        <f>-3.45103-14.5298</f>
        <v>-17.980830000000001</v>
      </c>
      <c r="F6836" t="s">
        <v>10272</v>
      </c>
      <c r="G6836" t="s">
        <v>37</v>
      </c>
      <c r="H6836">
        <v>1990</v>
      </c>
      <c r="I6836">
        <v>26.294149999999998</v>
      </c>
      <c r="J6836">
        <v>13.9</v>
      </c>
      <c r="K6836">
        <v>54.058529999999998</v>
      </c>
      <c r="L6836">
        <v>29.59468</v>
      </c>
      <c r="M6836">
        <v>38.488289999999999</v>
      </c>
      <c r="N6836">
        <v>13.19415</v>
      </c>
      <c r="O6836">
        <v>25.294149999999998</v>
      </c>
      <c r="P6836">
        <v>26.294149999999998</v>
      </c>
      <c r="Q6836">
        <v>22.19415</v>
      </c>
      <c r="R6836">
        <v>30.19415</v>
      </c>
      <c r="S6836">
        <v>22.19415</v>
      </c>
      <c r="T6836">
        <v>506</v>
      </c>
      <c r="U6836">
        <v>167</v>
      </c>
      <c r="V6836">
        <v>0</v>
      </c>
      <c r="W6836">
        <v>131</v>
      </c>
      <c r="X6836">
        <v>396</v>
      </c>
      <c r="Y6836">
        <v>0</v>
      </c>
      <c r="Z6836">
        <v>86</v>
      </c>
      <c r="AA6836">
        <v>0</v>
      </c>
      <c r="AB6836">
        <v>18.933769999999999</v>
      </c>
      <c r="AC6836">
        <v>8.7642929999999994E-3</v>
      </c>
      <c r="AD6836">
        <v>5.0570630000000003</v>
      </c>
      <c r="AE6836">
        <v>0.35023490000000002</v>
      </c>
      <c r="AF6836">
        <v>489.67059999999998</v>
      </c>
      <c r="AG6836">
        <f>IFERROR(AH6836*0.1, "N/A")</f>
        <v>6.776923</v>
      </c>
      <c r="AH6836">
        <v>67.769229999999993</v>
      </c>
      <c r="AI6836">
        <v>180.56479999999999</v>
      </c>
      <c r="AJ6836">
        <v>16.827760000000001</v>
      </c>
      <c r="AK6836">
        <v>64.168899999999994</v>
      </c>
    </row>
    <row r="6837" spans="1:37" x14ac:dyDescent="0.3">
      <c r="A6837">
        <v>6836</v>
      </c>
      <c r="B6837">
        <v>36</v>
      </c>
      <c r="C6837">
        <v>-3.46496</v>
      </c>
      <c r="D6837">
        <v>14.532400000000001</v>
      </c>
      <c r="E6837">
        <f>-3.46496-14.5324</f>
        <v>-17.99736</v>
      </c>
      <c r="F6837" t="s">
        <v>10273</v>
      </c>
      <c r="G6837" t="s">
        <v>39</v>
      </c>
      <c r="H6837">
        <v>1990</v>
      </c>
      <c r="I6837">
        <v>26.475840000000002</v>
      </c>
      <c r="J6837">
        <v>13.91208</v>
      </c>
      <c r="K6837">
        <v>54.120809999999999</v>
      </c>
      <c r="L6837">
        <v>29.91309</v>
      </c>
      <c r="M6837">
        <v>38.575839999999999</v>
      </c>
      <c r="N6837">
        <v>13.275840000000001</v>
      </c>
      <c r="O6837">
        <v>25.3</v>
      </c>
      <c r="P6837">
        <v>26.475840000000002</v>
      </c>
      <c r="Q6837">
        <v>22.275839999999999</v>
      </c>
      <c r="R6837">
        <v>30.37584</v>
      </c>
      <c r="S6837">
        <v>22.275839999999999</v>
      </c>
      <c r="T6837">
        <v>504.12079999999997</v>
      </c>
      <c r="U6837">
        <v>166.1208</v>
      </c>
      <c r="V6837">
        <v>0</v>
      </c>
      <c r="W6837">
        <v>130.1208</v>
      </c>
      <c r="X6837">
        <v>394.24160000000001</v>
      </c>
      <c r="Y6837">
        <v>0</v>
      </c>
      <c r="Z6837">
        <v>85.879189999999994</v>
      </c>
      <c r="AA6837">
        <v>0</v>
      </c>
      <c r="AB6837">
        <v>23.632719999999999</v>
      </c>
      <c r="AC6837">
        <v>5.7109649999999998E-2</v>
      </c>
      <c r="AD6837">
        <v>3.8529620000000002</v>
      </c>
      <c r="AE6837">
        <v>0.3475529</v>
      </c>
      <c r="AF6837">
        <v>488.23489999999998</v>
      </c>
      <c r="AG6837">
        <f>IFERROR(AH6837*0.1, "N/A")</f>
        <v>6.9674499999999995</v>
      </c>
      <c r="AH6837">
        <v>69.674499999999995</v>
      </c>
      <c r="AI6837">
        <v>58.654609999999998</v>
      </c>
      <c r="AJ6837">
        <v>15.983219999999999</v>
      </c>
      <c r="AK6837">
        <v>68.525170000000003</v>
      </c>
    </row>
    <row r="6838" spans="1:37" x14ac:dyDescent="0.3">
      <c r="A6838">
        <v>6837</v>
      </c>
      <c r="B6838">
        <v>2.2000000000000002</v>
      </c>
      <c r="C6838">
        <v>-3.46496</v>
      </c>
      <c r="D6838">
        <v>14.532400000000001</v>
      </c>
      <c r="E6838">
        <f>-3.46496-14.5324</f>
        <v>-17.99736</v>
      </c>
      <c r="F6838" t="s">
        <v>10274</v>
      </c>
      <c r="G6838" t="s">
        <v>37</v>
      </c>
      <c r="H6838">
        <v>1990</v>
      </c>
      <c r="I6838">
        <v>26.475840000000002</v>
      </c>
      <c r="J6838">
        <v>13.91208</v>
      </c>
      <c r="K6838">
        <v>54.120809999999999</v>
      </c>
      <c r="L6838">
        <v>29.91309</v>
      </c>
      <c r="M6838">
        <v>38.575839999999999</v>
      </c>
      <c r="N6838">
        <v>13.275840000000001</v>
      </c>
      <c r="O6838">
        <v>25.3</v>
      </c>
      <c r="P6838">
        <v>26.475840000000002</v>
      </c>
      <c r="Q6838">
        <v>22.275839999999999</v>
      </c>
      <c r="R6838">
        <v>30.37584</v>
      </c>
      <c r="S6838">
        <v>22.275839999999999</v>
      </c>
      <c r="T6838">
        <v>504.12079999999997</v>
      </c>
      <c r="U6838">
        <v>166.1208</v>
      </c>
      <c r="V6838">
        <v>0</v>
      </c>
      <c r="W6838">
        <v>130.1208</v>
      </c>
      <c r="X6838">
        <v>394.24160000000001</v>
      </c>
      <c r="Y6838">
        <v>0</v>
      </c>
      <c r="Z6838">
        <v>85.879189999999994</v>
      </c>
      <c r="AA6838">
        <v>0</v>
      </c>
      <c r="AB6838">
        <v>23.632719999999999</v>
      </c>
      <c r="AC6838">
        <v>5.7109649999999998E-2</v>
      </c>
      <c r="AD6838">
        <v>3.8529620000000002</v>
      </c>
      <c r="AE6838">
        <v>0.3475529</v>
      </c>
      <c r="AF6838">
        <v>488.23489999999998</v>
      </c>
      <c r="AG6838">
        <f>IFERROR(AH6838*0.1, "N/A")</f>
        <v>6.9674499999999995</v>
      </c>
      <c r="AH6838">
        <v>69.674499999999995</v>
      </c>
      <c r="AI6838">
        <v>58.654609999999998</v>
      </c>
      <c r="AJ6838">
        <v>15.983219999999999</v>
      </c>
      <c r="AK6838">
        <v>68.525170000000003</v>
      </c>
    </row>
    <row r="6839" spans="1:37" x14ac:dyDescent="0.3">
      <c r="A6839">
        <v>6838</v>
      </c>
      <c r="B6839">
        <v>3.2</v>
      </c>
      <c r="C6839">
        <v>-4.0812499999999998</v>
      </c>
      <c r="D6839">
        <v>14.558</v>
      </c>
      <c r="E6839">
        <f>-4.08125-14.558</f>
        <v>-18.639250000000001</v>
      </c>
      <c r="F6839" t="s">
        <v>10275</v>
      </c>
      <c r="G6839" t="s">
        <v>39</v>
      </c>
      <c r="H6839">
        <v>1990</v>
      </c>
      <c r="I6839">
        <v>28.156300000000002</v>
      </c>
      <c r="J6839">
        <v>14.1</v>
      </c>
      <c r="K6839">
        <v>54</v>
      </c>
      <c r="L6839">
        <v>29.167649999999998</v>
      </c>
      <c r="M6839">
        <v>40.4</v>
      </c>
      <c r="N6839">
        <v>14.6563</v>
      </c>
      <c r="O6839">
        <v>25.7437</v>
      </c>
      <c r="P6839">
        <v>28.1</v>
      </c>
      <c r="Q6839">
        <v>25.956299999999999</v>
      </c>
      <c r="R6839">
        <v>32.0563</v>
      </c>
      <c r="S6839">
        <v>24.2</v>
      </c>
      <c r="T6839">
        <v>482</v>
      </c>
      <c r="U6839">
        <v>161</v>
      </c>
      <c r="V6839">
        <v>0</v>
      </c>
      <c r="W6839">
        <v>133</v>
      </c>
      <c r="X6839">
        <v>380</v>
      </c>
      <c r="Y6839">
        <v>0</v>
      </c>
      <c r="Z6839">
        <v>83</v>
      </c>
      <c r="AA6839">
        <v>1</v>
      </c>
      <c r="AB6839">
        <v>0.60285560000000005</v>
      </c>
      <c r="AC6839">
        <v>0.13052330000000001</v>
      </c>
      <c r="AD6839">
        <v>1.567293</v>
      </c>
      <c r="AE6839">
        <v>0.4841316</v>
      </c>
      <c r="AF6839">
        <v>268.98989999999998</v>
      </c>
      <c r="AG6839">
        <f>IFERROR(AH6839*0.1, "N/A")</f>
        <v>6.5642020000000008</v>
      </c>
      <c r="AH6839">
        <v>65.642020000000002</v>
      </c>
      <c r="AI6839">
        <v>96.934389999999993</v>
      </c>
      <c r="AJ6839">
        <v>19</v>
      </c>
      <c r="AK6839">
        <v>66.339500000000001</v>
      </c>
    </row>
    <row r="6840" spans="1:37" x14ac:dyDescent="0.3">
      <c r="A6840">
        <v>6839</v>
      </c>
      <c r="B6840">
        <v>1.2</v>
      </c>
      <c r="C6840">
        <v>-4.0812499999999998</v>
      </c>
      <c r="D6840">
        <v>14.558</v>
      </c>
      <c r="E6840">
        <f>-4.08125-14.558</f>
        <v>-18.639250000000001</v>
      </c>
      <c r="F6840" t="s">
        <v>10276</v>
      </c>
      <c r="G6840" t="s">
        <v>37</v>
      </c>
      <c r="H6840">
        <v>1990</v>
      </c>
      <c r="I6840">
        <v>28.156300000000002</v>
      </c>
      <c r="J6840">
        <v>14.1</v>
      </c>
      <c r="K6840">
        <v>54</v>
      </c>
      <c r="L6840">
        <v>29.167649999999998</v>
      </c>
      <c r="M6840">
        <v>40.4</v>
      </c>
      <c r="N6840">
        <v>14.6563</v>
      </c>
      <c r="O6840">
        <v>25.7437</v>
      </c>
      <c r="P6840">
        <v>28.1</v>
      </c>
      <c r="Q6840">
        <v>25.956299999999999</v>
      </c>
      <c r="R6840">
        <v>32.0563</v>
      </c>
      <c r="S6840">
        <v>24.2</v>
      </c>
      <c r="T6840">
        <v>482</v>
      </c>
      <c r="U6840">
        <v>161</v>
      </c>
      <c r="V6840">
        <v>0</v>
      </c>
      <c r="W6840">
        <v>133</v>
      </c>
      <c r="X6840">
        <v>380</v>
      </c>
      <c r="Y6840">
        <v>0</v>
      </c>
      <c r="Z6840">
        <v>83</v>
      </c>
      <c r="AA6840">
        <v>1</v>
      </c>
      <c r="AB6840">
        <v>0.60285560000000005</v>
      </c>
      <c r="AC6840">
        <v>0.13052330000000001</v>
      </c>
      <c r="AD6840">
        <v>1.567293</v>
      </c>
      <c r="AE6840">
        <v>0.4841316</v>
      </c>
      <c r="AF6840">
        <v>268.98989999999998</v>
      </c>
      <c r="AG6840">
        <f>IFERROR(AH6840*0.1, "N/A")</f>
        <v>6.5642020000000008</v>
      </c>
      <c r="AH6840">
        <v>65.642020000000002</v>
      </c>
      <c r="AI6840">
        <v>96.934389999999993</v>
      </c>
      <c r="AJ6840">
        <v>19</v>
      </c>
      <c r="AK6840">
        <v>66.339500000000001</v>
      </c>
    </row>
    <row r="6841" spans="1:37" x14ac:dyDescent="0.3">
      <c r="A6841">
        <v>6840</v>
      </c>
      <c r="B6841">
        <v>54</v>
      </c>
      <c r="C6841">
        <v>-3.4437899999999999</v>
      </c>
      <c r="D6841">
        <v>14.560499999999999</v>
      </c>
      <c r="E6841">
        <f>-3.44379-14.5605</f>
        <v>-18.004289999999997</v>
      </c>
      <c r="F6841" t="s">
        <v>10277</v>
      </c>
      <c r="G6841" t="s">
        <v>39</v>
      </c>
      <c r="H6841">
        <v>1990</v>
      </c>
      <c r="I6841">
        <v>26.2</v>
      </c>
      <c r="J6841">
        <v>13.9</v>
      </c>
      <c r="K6841">
        <v>55</v>
      </c>
      <c r="L6841">
        <v>29.45</v>
      </c>
      <c r="M6841">
        <v>38.299999999999997</v>
      </c>
      <c r="N6841">
        <v>13.1</v>
      </c>
      <c r="O6841">
        <v>25.2</v>
      </c>
      <c r="P6841">
        <v>26.2</v>
      </c>
      <c r="Q6841">
        <v>22.1</v>
      </c>
      <c r="R6841">
        <v>30</v>
      </c>
      <c r="S6841">
        <v>22.1</v>
      </c>
      <c r="T6841">
        <v>503</v>
      </c>
      <c r="U6841">
        <v>166</v>
      </c>
      <c r="V6841">
        <v>0</v>
      </c>
      <c r="W6841">
        <v>133</v>
      </c>
      <c r="X6841">
        <v>394</v>
      </c>
      <c r="Y6841">
        <v>0</v>
      </c>
      <c r="Z6841">
        <v>85</v>
      </c>
      <c r="AA6841">
        <v>0</v>
      </c>
      <c r="AB6841">
        <v>14.402010000000001</v>
      </c>
      <c r="AC6841">
        <v>1.2917909999999999E-2</v>
      </c>
      <c r="AD6841">
        <v>2.963911</v>
      </c>
      <c r="AE6841">
        <v>0.3479546</v>
      </c>
      <c r="AF6841">
        <v>526.75340000000006</v>
      </c>
      <c r="AG6841">
        <f>IFERROR(AH6841*0.1, "N/A")</f>
        <v>6.7944630000000004</v>
      </c>
      <c r="AH6841">
        <v>67.944630000000004</v>
      </c>
      <c r="AI6841">
        <v>148.98339999999999</v>
      </c>
      <c r="AJ6841">
        <v>15.75</v>
      </c>
      <c r="AK6841">
        <v>70.104029999999995</v>
      </c>
    </row>
    <row r="6842" spans="1:37" x14ac:dyDescent="0.3">
      <c r="A6842">
        <v>6841</v>
      </c>
      <c r="B6842">
        <v>0.8</v>
      </c>
      <c r="C6842">
        <v>-3.4437899999999999</v>
      </c>
      <c r="D6842">
        <v>14.560499999999999</v>
      </c>
      <c r="E6842">
        <f>-3.44379-14.5605</f>
        <v>-18.004289999999997</v>
      </c>
      <c r="F6842" t="s">
        <v>10278</v>
      </c>
      <c r="G6842" t="s">
        <v>37</v>
      </c>
      <c r="H6842">
        <v>1990</v>
      </c>
      <c r="I6842">
        <v>26.2</v>
      </c>
      <c r="J6842">
        <v>13.9</v>
      </c>
      <c r="K6842">
        <v>55</v>
      </c>
      <c r="L6842">
        <v>29.45</v>
      </c>
      <c r="M6842">
        <v>38.299999999999997</v>
      </c>
      <c r="N6842">
        <v>13.1</v>
      </c>
      <c r="O6842">
        <v>25.2</v>
      </c>
      <c r="P6842">
        <v>26.2</v>
      </c>
      <c r="Q6842">
        <v>22.1</v>
      </c>
      <c r="R6842">
        <v>30</v>
      </c>
      <c r="S6842">
        <v>22.1</v>
      </c>
      <c r="T6842">
        <v>503</v>
      </c>
      <c r="U6842">
        <v>166</v>
      </c>
      <c r="V6842">
        <v>0</v>
      </c>
      <c r="W6842">
        <v>133</v>
      </c>
      <c r="X6842">
        <v>394</v>
      </c>
      <c r="Y6842">
        <v>0</v>
      </c>
      <c r="Z6842">
        <v>85</v>
      </c>
      <c r="AA6842">
        <v>0</v>
      </c>
      <c r="AB6842">
        <v>14.402010000000001</v>
      </c>
      <c r="AC6842">
        <v>1.2917909999999999E-2</v>
      </c>
      <c r="AD6842">
        <v>2.963911</v>
      </c>
      <c r="AE6842">
        <v>0.3479546</v>
      </c>
      <c r="AF6842">
        <v>526.75340000000006</v>
      </c>
      <c r="AG6842">
        <f>IFERROR(AH6842*0.1, "N/A")</f>
        <v>6.7944630000000004</v>
      </c>
      <c r="AH6842">
        <v>67.944630000000004</v>
      </c>
      <c r="AI6842">
        <v>148.98339999999999</v>
      </c>
      <c r="AJ6842">
        <v>15.75</v>
      </c>
      <c r="AK6842">
        <v>70.104029999999995</v>
      </c>
    </row>
    <row r="6843" spans="1:37" x14ac:dyDescent="0.3">
      <c r="A6843">
        <v>6842</v>
      </c>
      <c r="B6843">
        <v>47.5</v>
      </c>
      <c r="C6843">
        <v>-3.3877999999999999</v>
      </c>
      <c r="D6843">
        <v>14.5655</v>
      </c>
      <c r="E6843">
        <f>-3.3878-14.5655</f>
        <v>-17.953299999999999</v>
      </c>
      <c r="F6843" t="s">
        <v>10279</v>
      </c>
      <c r="G6843" t="s">
        <v>39</v>
      </c>
      <c r="H6843">
        <v>1990</v>
      </c>
      <c r="I6843">
        <v>26</v>
      </c>
      <c r="J6843">
        <v>13.9</v>
      </c>
      <c r="K6843">
        <v>55</v>
      </c>
      <c r="L6843">
        <v>29.61</v>
      </c>
      <c r="M6843">
        <v>38.1</v>
      </c>
      <c r="N6843">
        <v>12.9</v>
      </c>
      <c r="O6843">
        <v>25.2</v>
      </c>
      <c r="P6843">
        <v>26</v>
      </c>
      <c r="Q6843">
        <v>21.8</v>
      </c>
      <c r="R6843">
        <v>29.8</v>
      </c>
      <c r="S6843">
        <v>21.8</v>
      </c>
      <c r="T6843">
        <v>508</v>
      </c>
      <c r="U6843">
        <v>166</v>
      </c>
      <c r="V6843">
        <v>0</v>
      </c>
      <c r="W6843">
        <v>130</v>
      </c>
      <c r="X6843">
        <v>396</v>
      </c>
      <c r="Y6843">
        <v>0</v>
      </c>
      <c r="Z6843">
        <v>86</v>
      </c>
      <c r="AA6843">
        <v>0</v>
      </c>
      <c r="AB6843">
        <v>5.1739179999999996</v>
      </c>
      <c r="AC6843">
        <v>1.762275E-2</v>
      </c>
      <c r="AD6843">
        <v>2.1122019999999999</v>
      </c>
      <c r="AE6843">
        <v>0.43110939999999998</v>
      </c>
      <c r="AF6843">
        <v>559.14549999999997</v>
      </c>
      <c r="AG6843">
        <f>IFERROR(AH6843*0.1, "N/A")</f>
        <v>7.1658860000000004</v>
      </c>
      <c r="AH6843">
        <v>71.658860000000004</v>
      </c>
      <c r="AI6843">
        <v>240.2182</v>
      </c>
      <c r="AJ6843">
        <v>14.23077</v>
      </c>
      <c r="AK6843">
        <v>68</v>
      </c>
    </row>
    <row r="6844" spans="1:37" x14ac:dyDescent="0.3">
      <c r="A6844">
        <v>6843</v>
      </c>
      <c r="B6844">
        <v>2.7</v>
      </c>
      <c r="C6844">
        <v>-3.3877999999999999</v>
      </c>
      <c r="D6844">
        <v>14.5655</v>
      </c>
      <c r="E6844">
        <f>-3.3878-14.5655</f>
        <v>-17.953299999999999</v>
      </c>
      <c r="F6844" t="s">
        <v>10280</v>
      </c>
      <c r="G6844" t="s">
        <v>37</v>
      </c>
      <c r="H6844">
        <v>1990</v>
      </c>
      <c r="I6844">
        <v>26</v>
      </c>
      <c r="J6844">
        <v>13.9</v>
      </c>
      <c r="K6844">
        <v>55</v>
      </c>
      <c r="L6844">
        <v>29.61</v>
      </c>
      <c r="M6844">
        <v>38.1</v>
      </c>
      <c r="N6844">
        <v>12.9</v>
      </c>
      <c r="O6844">
        <v>25.2</v>
      </c>
      <c r="P6844">
        <v>26</v>
      </c>
      <c r="Q6844">
        <v>21.8</v>
      </c>
      <c r="R6844">
        <v>29.8</v>
      </c>
      <c r="S6844">
        <v>21.8</v>
      </c>
      <c r="T6844">
        <v>508</v>
      </c>
      <c r="U6844">
        <v>166</v>
      </c>
      <c r="V6844">
        <v>0</v>
      </c>
      <c r="W6844">
        <v>130</v>
      </c>
      <c r="X6844">
        <v>396</v>
      </c>
      <c r="Y6844">
        <v>0</v>
      </c>
      <c r="Z6844">
        <v>86</v>
      </c>
      <c r="AA6844">
        <v>0</v>
      </c>
      <c r="AB6844">
        <v>5.1739179999999996</v>
      </c>
      <c r="AC6844">
        <v>1.762275E-2</v>
      </c>
      <c r="AD6844">
        <v>2.1122019999999999</v>
      </c>
      <c r="AE6844">
        <v>0.43110939999999998</v>
      </c>
      <c r="AF6844">
        <v>559.14549999999997</v>
      </c>
      <c r="AG6844">
        <f>IFERROR(AH6844*0.1, "N/A")</f>
        <v>7.1658860000000004</v>
      </c>
      <c r="AH6844">
        <v>71.658860000000004</v>
      </c>
      <c r="AI6844">
        <v>240.2182</v>
      </c>
      <c r="AJ6844">
        <v>14.23077</v>
      </c>
      <c r="AK6844">
        <v>68</v>
      </c>
    </row>
    <row r="6845" spans="1:37" x14ac:dyDescent="0.3">
      <c r="A6845">
        <v>6844</v>
      </c>
      <c r="B6845">
        <v>13.1</v>
      </c>
      <c r="C6845">
        <v>-4.1775900000000004</v>
      </c>
      <c r="D6845">
        <v>14.5947</v>
      </c>
      <c r="E6845">
        <f>-4.17759-14.5947</f>
        <v>-18.772289999999998</v>
      </c>
      <c r="F6845" t="s">
        <v>10281</v>
      </c>
      <c r="G6845" t="s">
        <v>39</v>
      </c>
      <c r="H6845">
        <v>1990</v>
      </c>
      <c r="I6845">
        <v>27.8</v>
      </c>
      <c r="J6845">
        <v>14.1</v>
      </c>
      <c r="K6845">
        <v>54</v>
      </c>
      <c r="L6845">
        <v>29.66</v>
      </c>
      <c r="M6845">
        <v>40.4</v>
      </c>
      <c r="N6845">
        <v>14.3</v>
      </c>
      <c r="O6845">
        <v>26.1</v>
      </c>
      <c r="P6845">
        <v>27.8</v>
      </c>
      <c r="Q6845">
        <v>25.5</v>
      </c>
      <c r="R6845">
        <v>31.7</v>
      </c>
      <c r="S6845">
        <v>23.7</v>
      </c>
      <c r="T6845">
        <v>490</v>
      </c>
      <c r="U6845">
        <v>164</v>
      </c>
      <c r="V6845">
        <v>0</v>
      </c>
      <c r="W6845">
        <v>137</v>
      </c>
      <c r="X6845">
        <v>388</v>
      </c>
      <c r="Y6845">
        <v>0</v>
      </c>
      <c r="Z6845">
        <v>84</v>
      </c>
      <c r="AA6845">
        <v>1</v>
      </c>
      <c r="AB6845">
        <v>6.9035099999999998</v>
      </c>
      <c r="AC6845">
        <v>1.095813E-2</v>
      </c>
      <c r="AD6845">
        <v>2.626808</v>
      </c>
      <c r="AE6845">
        <v>0.26103169999999998</v>
      </c>
      <c r="AF6845">
        <v>263.43740000000003</v>
      </c>
      <c r="AG6845">
        <f>IFERROR(AH6845*0.1, "N/A")</f>
        <v>7.0439250000000007</v>
      </c>
      <c r="AH6845">
        <v>70.439250000000001</v>
      </c>
      <c r="AI6845">
        <v>240.57069999999999</v>
      </c>
      <c r="AJ6845">
        <v>32.158880000000003</v>
      </c>
      <c r="AK6845">
        <v>45.121499999999997</v>
      </c>
    </row>
    <row r="6846" spans="1:37" x14ac:dyDescent="0.3">
      <c r="A6846">
        <v>6845</v>
      </c>
      <c r="B6846">
        <v>1.9</v>
      </c>
      <c r="C6846">
        <v>-4.1775900000000004</v>
      </c>
      <c r="D6846">
        <v>14.5947</v>
      </c>
      <c r="E6846">
        <f>-4.17759-14.5947</f>
        <v>-18.772289999999998</v>
      </c>
      <c r="F6846" t="s">
        <v>10282</v>
      </c>
      <c r="G6846" t="s">
        <v>37</v>
      </c>
      <c r="H6846">
        <v>1990</v>
      </c>
      <c r="I6846">
        <v>27.8</v>
      </c>
      <c r="J6846">
        <v>14.1</v>
      </c>
      <c r="K6846">
        <v>54</v>
      </c>
      <c r="L6846">
        <v>29.66</v>
      </c>
      <c r="M6846">
        <v>40.4</v>
      </c>
      <c r="N6846">
        <v>14.3</v>
      </c>
      <c r="O6846">
        <v>26.1</v>
      </c>
      <c r="P6846">
        <v>27.8</v>
      </c>
      <c r="Q6846">
        <v>25.5</v>
      </c>
      <c r="R6846">
        <v>31.7</v>
      </c>
      <c r="S6846">
        <v>23.7</v>
      </c>
      <c r="T6846">
        <v>490</v>
      </c>
      <c r="U6846">
        <v>164</v>
      </c>
      <c r="V6846">
        <v>0</v>
      </c>
      <c r="W6846">
        <v>137</v>
      </c>
      <c r="X6846">
        <v>388</v>
      </c>
      <c r="Y6846">
        <v>0</v>
      </c>
      <c r="Z6846">
        <v>84</v>
      </c>
      <c r="AA6846">
        <v>1</v>
      </c>
      <c r="AB6846">
        <v>6.9035099999999998</v>
      </c>
      <c r="AC6846">
        <v>1.095813E-2</v>
      </c>
      <c r="AD6846">
        <v>2.626808</v>
      </c>
      <c r="AE6846">
        <v>0.26103169999999998</v>
      </c>
      <c r="AF6846">
        <v>263.43740000000003</v>
      </c>
      <c r="AG6846">
        <f>IFERROR(AH6846*0.1, "N/A")</f>
        <v>7.0439250000000007</v>
      </c>
      <c r="AH6846">
        <v>70.439250000000001</v>
      </c>
      <c r="AI6846">
        <v>240.57069999999999</v>
      </c>
      <c r="AJ6846">
        <v>32.158880000000003</v>
      </c>
      <c r="AK6846">
        <v>45.121499999999997</v>
      </c>
    </row>
    <row r="6847" spans="1:37" x14ac:dyDescent="0.3">
      <c r="A6847">
        <v>6846</v>
      </c>
      <c r="B6847">
        <v>34</v>
      </c>
      <c r="C6847">
        <v>-3.5491899999999998</v>
      </c>
      <c r="D6847">
        <v>14.597799999999999</v>
      </c>
      <c r="E6847">
        <f>-3.54919-14.5978</f>
        <v>-18.146989999999999</v>
      </c>
      <c r="F6847" t="s">
        <v>10283</v>
      </c>
      <c r="G6847" t="s">
        <v>39</v>
      </c>
      <c r="H6847">
        <v>1987</v>
      </c>
      <c r="I6847">
        <v>26.5</v>
      </c>
      <c r="J6847">
        <v>14</v>
      </c>
      <c r="K6847">
        <v>55</v>
      </c>
      <c r="L6847">
        <v>29.69</v>
      </c>
      <c r="M6847">
        <v>38.700000000000003</v>
      </c>
      <c r="N6847">
        <v>13.4</v>
      </c>
      <c r="O6847">
        <v>25.3</v>
      </c>
      <c r="P6847">
        <v>26.6</v>
      </c>
      <c r="Q6847">
        <v>22.4</v>
      </c>
      <c r="R6847">
        <v>30.4</v>
      </c>
      <c r="S6847">
        <v>22.4</v>
      </c>
      <c r="T6847">
        <v>493</v>
      </c>
      <c r="U6847">
        <v>164</v>
      </c>
      <c r="V6847">
        <v>0</v>
      </c>
      <c r="W6847">
        <v>131</v>
      </c>
      <c r="X6847">
        <v>388</v>
      </c>
      <c r="Y6847">
        <v>0</v>
      </c>
      <c r="Z6847">
        <v>82</v>
      </c>
      <c r="AA6847">
        <v>0</v>
      </c>
      <c r="AB6847">
        <v>11.301019999999999</v>
      </c>
      <c r="AC6847">
        <v>1.887761E-2</v>
      </c>
      <c r="AD6847">
        <v>1.670841</v>
      </c>
      <c r="AE6847">
        <v>0.36997099999999999</v>
      </c>
      <c r="AF6847">
        <v>450.79660000000001</v>
      </c>
      <c r="AG6847">
        <f>IFERROR(AH6847*0.1, "N/A")</f>
        <v>6.8000000000000007</v>
      </c>
      <c r="AH6847">
        <v>68</v>
      </c>
      <c r="AI6847">
        <v>182.2919</v>
      </c>
      <c r="AJ6847">
        <v>16</v>
      </c>
      <c r="AK6847">
        <v>70</v>
      </c>
    </row>
    <row r="6848" spans="1:37" x14ac:dyDescent="0.3">
      <c r="A6848">
        <v>6847</v>
      </c>
      <c r="B6848">
        <v>5.9</v>
      </c>
      <c r="C6848">
        <v>-3.5491899999999998</v>
      </c>
      <c r="D6848">
        <v>14.597799999999999</v>
      </c>
      <c r="E6848">
        <f>-3.54919-14.5978</f>
        <v>-18.146989999999999</v>
      </c>
      <c r="F6848" t="s">
        <v>10284</v>
      </c>
      <c r="G6848" t="s">
        <v>37</v>
      </c>
      <c r="H6848">
        <v>1987</v>
      </c>
      <c r="I6848">
        <v>26.5</v>
      </c>
      <c r="J6848">
        <v>14</v>
      </c>
      <c r="K6848">
        <v>55</v>
      </c>
      <c r="L6848">
        <v>29.69</v>
      </c>
      <c r="M6848">
        <v>38.700000000000003</v>
      </c>
      <c r="N6848">
        <v>13.4</v>
      </c>
      <c r="O6848">
        <v>25.3</v>
      </c>
      <c r="P6848">
        <v>26.6</v>
      </c>
      <c r="Q6848">
        <v>22.4</v>
      </c>
      <c r="R6848">
        <v>30.4</v>
      </c>
      <c r="S6848">
        <v>22.4</v>
      </c>
      <c r="T6848">
        <v>493</v>
      </c>
      <c r="U6848">
        <v>164</v>
      </c>
      <c r="V6848">
        <v>0</v>
      </c>
      <c r="W6848">
        <v>131</v>
      </c>
      <c r="X6848">
        <v>388</v>
      </c>
      <c r="Y6848">
        <v>0</v>
      </c>
      <c r="Z6848">
        <v>82</v>
      </c>
      <c r="AA6848">
        <v>0</v>
      </c>
      <c r="AB6848">
        <v>11.301019999999999</v>
      </c>
      <c r="AC6848">
        <v>1.887761E-2</v>
      </c>
      <c r="AD6848">
        <v>1.670841</v>
      </c>
      <c r="AE6848">
        <v>0.36997099999999999</v>
      </c>
      <c r="AF6848">
        <v>450.79660000000001</v>
      </c>
      <c r="AG6848">
        <f>IFERROR(AH6848*0.1, "N/A")</f>
        <v>6.8000000000000007</v>
      </c>
      <c r="AH6848">
        <v>68</v>
      </c>
      <c r="AI6848">
        <v>182.2919</v>
      </c>
      <c r="AJ6848">
        <v>16</v>
      </c>
      <c r="AK6848">
        <v>70</v>
      </c>
    </row>
    <row r="6849" spans="1:37" x14ac:dyDescent="0.3">
      <c r="A6849">
        <v>6848</v>
      </c>
      <c r="B6849">
        <v>32</v>
      </c>
      <c r="C6849">
        <v>-10.35</v>
      </c>
      <c r="D6849">
        <v>14.6</v>
      </c>
      <c r="E6849">
        <f>-10.35-14.6</f>
        <v>-24.95</v>
      </c>
      <c r="F6849" t="s">
        <v>10285</v>
      </c>
      <c r="G6849" t="s">
        <v>39</v>
      </c>
      <c r="H6849">
        <v>1987</v>
      </c>
      <c r="I6849">
        <v>27.858219999999999</v>
      </c>
      <c r="J6849">
        <v>14.2</v>
      </c>
      <c r="K6849">
        <v>59</v>
      </c>
      <c r="L6849">
        <v>23.559259999999998</v>
      </c>
      <c r="M6849">
        <v>39.299999999999997</v>
      </c>
      <c r="N6849">
        <v>15.3</v>
      </c>
      <c r="O6849">
        <v>24</v>
      </c>
      <c r="P6849">
        <v>26.9</v>
      </c>
      <c r="Q6849">
        <v>26.5</v>
      </c>
      <c r="R6849">
        <v>31.2</v>
      </c>
      <c r="S6849">
        <v>25.07601</v>
      </c>
      <c r="T6849">
        <v>733.80200000000002</v>
      </c>
      <c r="U6849">
        <v>232</v>
      </c>
      <c r="V6849">
        <v>0</v>
      </c>
      <c r="W6849">
        <v>129</v>
      </c>
      <c r="X6849">
        <v>556.73990000000003</v>
      </c>
      <c r="Y6849">
        <v>0</v>
      </c>
      <c r="Z6849">
        <v>129.21979999999999</v>
      </c>
      <c r="AA6849">
        <v>0.84228190000000003</v>
      </c>
      <c r="AB6849">
        <v>2.9268390000000002</v>
      </c>
      <c r="AC6849">
        <v>1.220735E-2</v>
      </c>
      <c r="AD6849">
        <v>1.431616</v>
      </c>
      <c r="AE6849">
        <v>0.65791080000000002</v>
      </c>
      <c r="AF6849">
        <v>258.51170000000002</v>
      </c>
      <c r="AG6849">
        <f>IFERROR(AH6849*0.1, "N/A")</f>
        <v>6.5875839999999997</v>
      </c>
      <c r="AH6849">
        <v>65.875839999999997</v>
      </c>
      <c r="AI6849">
        <v>174.9973</v>
      </c>
      <c r="AJ6849">
        <v>26.47148</v>
      </c>
      <c r="AK6849">
        <v>40.117449999999998</v>
      </c>
    </row>
    <row r="6850" spans="1:37" x14ac:dyDescent="0.3">
      <c r="A6850">
        <v>6849</v>
      </c>
      <c r="B6850">
        <v>2</v>
      </c>
      <c r="C6850">
        <v>-10.35</v>
      </c>
      <c r="D6850">
        <v>14.6</v>
      </c>
      <c r="E6850">
        <f>-10.35-14.6</f>
        <v>-24.95</v>
      </c>
      <c r="F6850" t="s">
        <v>10286</v>
      </c>
      <c r="G6850" t="s">
        <v>37</v>
      </c>
      <c r="H6850">
        <v>1987</v>
      </c>
      <c r="I6850">
        <v>27.858219999999999</v>
      </c>
      <c r="J6850">
        <v>14.2</v>
      </c>
      <c r="K6850">
        <v>59</v>
      </c>
      <c r="L6850">
        <v>23.559259999999998</v>
      </c>
      <c r="M6850">
        <v>39.299999999999997</v>
      </c>
      <c r="N6850">
        <v>15.3</v>
      </c>
      <c r="O6850">
        <v>24</v>
      </c>
      <c r="P6850">
        <v>26.9</v>
      </c>
      <c r="Q6850">
        <v>26.5</v>
      </c>
      <c r="R6850">
        <v>31.2</v>
      </c>
      <c r="S6850">
        <v>25.07601</v>
      </c>
      <c r="T6850">
        <v>733.80200000000002</v>
      </c>
      <c r="U6850">
        <v>232</v>
      </c>
      <c r="V6850">
        <v>0</v>
      </c>
      <c r="W6850">
        <v>129</v>
      </c>
      <c r="X6850">
        <v>556.73990000000003</v>
      </c>
      <c r="Y6850">
        <v>0</v>
      </c>
      <c r="Z6850">
        <v>129.21979999999999</v>
      </c>
      <c r="AA6850">
        <v>0.84228190000000003</v>
      </c>
      <c r="AB6850">
        <v>2.9268390000000002</v>
      </c>
      <c r="AC6850">
        <v>1.220735E-2</v>
      </c>
      <c r="AD6850">
        <v>1.431616</v>
      </c>
      <c r="AE6850">
        <v>0.65791080000000002</v>
      </c>
      <c r="AF6850">
        <v>258.51170000000002</v>
      </c>
      <c r="AG6850">
        <f>IFERROR(AH6850*0.1, "N/A")</f>
        <v>6.5875839999999997</v>
      </c>
      <c r="AH6850">
        <v>65.875839999999997</v>
      </c>
      <c r="AI6850">
        <v>174.9973</v>
      </c>
      <c r="AJ6850">
        <v>26.47148</v>
      </c>
      <c r="AK6850">
        <v>40.117449999999998</v>
      </c>
    </row>
    <row r="6851" spans="1:37" x14ac:dyDescent="0.3">
      <c r="A6851">
        <v>6850</v>
      </c>
      <c r="B6851">
        <v>79.900000000000006</v>
      </c>
      <c r="C6851">
        <v>-3.49722</v>
      </c>
      <c r="D6851">
        <v>14.6097</v>
      </c>
      <c r="E6851">
        <f>-3.49722-14.6097</f>
        <v>-18.106919999999999</v>
      </c>
      <c r="F6851" t="s">
        <v>10287</v>
      </c>
      <c r="G6851" t="s">
        <v>39</v>
      </c>
      <c r="H6851">
        <v>1990</v>
      </c>
      <c r="I6851">
        <v>26.6</v>
      </c>
      <c r="J6851">
        <v>14</v>
      </c>
      <c r="K6851">
        <v>55</v>
      </c>
      <c r="L6851">
        <v>29.67</v>
      </c>
      <c r="M6851">
        <v>38.700000000000003</v>
      </c>
      <c r="N6851">
        <v>13.4</v>
      </c>
      <c r="O6851">
        <v>25.3</v>
      </c>
      <c r="P6851">
        <v>26.6</v>
      </c>
      <c r="Q6851">
        <v>22.4</v>
      </c>
      <c r="R6851">
        <v>30.5</v>
      </c>
      <c r="S6851">
        <v>22.4</v>
      </c>
      <c r="T6851">
        <v>490</v>
      </c>
      <c r="U6851">
        <v>163</v>
      </c>
      <c r="V6851">
        <v>0</v>
      </c>
      <c r="W6851">
        <v>134</v>
      </c>
      <c r="X6851">
        <v>386</v>
      </c>
      <c r="Y6851">
        <v>0</v>
      </c>
      <c r="Z6851">
        <v>81</v>
      </c>
      <c r="AA6851">
        <v>0</v>
      </c>
      <c r="AB6851">
        <v>10.023479999999999</v>
      </c>
      <c r="AC6851">
        <v>1.5192570000000001E-2</v>
      </c>
      <c r="AD6851">
        <v>1.484613</v>
      </c>
      <c r="AE6851">
        <v>0.60666980000000004</v>
      </c>
      <c r="AF6851">
        <v>464.56880000000001</v>
      </c>
      <c r="AG6851">
        <f>IFERROR(AH6851*0.1, "N/A")</f>
        <v>6.9994969999999999</v>
      </c>
      <c r="AH6851">
        <v>69.994969999999995</v>
      </c>
      <c r="AI6851">
        <v>188.58940000000001</v>
      </c>
      <c r="AJ6851">
        <v>19.005030000000001</v>
      </c>
      <c r="AK6851">
        <v>67.164429999999996</v>
      </c>
    </row>
    <row r="6852" spans="1:37" x14ac:dyDescent="0.3">
      <c r="A6852">
        <v>6851</v>
      </c>
      <c r="B6852">
        <v>10</v>
      </c>
      <c r="C6852">
        <v>-3.49722</v>
      </c>
      <c r="D6852">
        <v>14.6097</v>
      </c>
      <c r="E6852">
        <f>-3.49722-14.6097</f>
        <v>-18.106919999999999</v>
      </c>
      <c r="F6852" t="s">
        <v>10288</v>
      </c>
      <c r="G6852" t="s">
        <v>37</v>
      </c>
      <c r="H6852">
        <v>1990</v>
      </c>
      <c r="I6852">
        <v>26.6</v>
      </c>
      <c r="J6852">
        <v>14</v>
      </c>
      <c r="K6852">
        <v>55</v>
      </c>
      <c r="L6852">
        <v>29.67</v>
      </c>
      <c r="M6852">
        <v>38.700000000000003</v>
      </c>
      <c r="N6852">
        <v>13.4</v>
      </c>
      <c r="O6852">
        <v>25.3</v>
      </c>
      <c r="P6852">
        <v>26.6</v>
      </c>
      <c r="Q6852">
        <v>22.4</v>
      </c>
      <c r="R6852">
        <v>30.5</v>
      </c>
      <c r="S6852">
        <v>22.4</v>
      </c>
      <c r="T6852">
        <v>490</v>
      </c>
      <c r="U6852">
        <v>163</v>
      </c>
      <c r="V6852">
        <v>0</v>
      </c>
      <c r="W6852">
        <v>134</v>
      </c>
      <c r="X6852">
        <v>386</v>
      </c>
      <c r="Y6852">
        <v>0</v>
      </c>
      <c r="Z6852">
        <v>81</v>
      </c>
      <c r="AA6852">
        <v>0</v>
      </c>
      <c r="AB6852">
        <v>10.023479999999999</v>
      </c>
      <c r="AC6852">
        <v>1.5192570000000001E-2</v>
      </c>
      <c r="AD6852">
        <v>1.484613</v>
      </c>
      <c r="AE6852">
        <v>0.60666980000000004</v>
      </c>
      <c r="AF6852">
        <v>464.56880000000001</v>
      </c>
      <c r="AG6852">
        <f>IFERROR(AH6852*0.1, "N/A")</f>
        <v>6.9994969999999999</v>
      </c>
      <c r="AH6852">
        <v>69.994969999999995</v>
      </c>
      <c r="AI6852">
        <v>188.58940000000001</v>
      </c>
      <c r="AJ6852">
        <v>19.005030000000001</v>
      </c>
      <c r="AK6852">
        <v>67.164429999999996</v>
      </c>
    </row>
    <row r="6853" spans="1:37" x14ac:dyDescent="0.3">
      <c r="A6853">
        <v>6852</v>
      </c>
      <c r="B6853">
        <v>92.1</v>
      </c>
      <c r="C6853">
        <v>-11.8447</v>
      </c>
      <c r="D6853">
        <v>14.61</v>
      </c>
      <c r="E6853">
        <f>-11.8447-14.61</f>
        <v>-26.454699999999999</v>
      </c>
      <c r="F6853" t="s">
        <v>10289</v>
      </c>
      <c r="G6853" t="s">
        <v>39</v>
      </c>
      <c r="H6853">
        <v>1990</v>
      </c>
      <c r="I6853">
        <v>29.9</v>
      </c>
      <c r="J6853">
        <v>14.5</v>
      </c>
      <c r="K6853">
        <v>56</v>
      </c>
      <c r="L6853">
        <v>29.19</v>
      </c>
      <c r="M6853">
        <v>41.6</v>
      </c>
      <c r="N6853">
        <v>15.9</v>
      </c>
      <c r="O6853">
        <v>25.7</v>
      </c>
      <c r="P6853">
        <v>30.2</v>
      </c>
      <c r="Q6853">
        <v>27.6</v>
      </c>
      <c r="R6853">
        <v>33.6</v>
      </c>
      <c r="S6853">
        <v>25.8</v>
      </c>
      <c r="T6853">
        <v>593</v>
      </c>
      <c r="U6853">
        <v>204</v>
      </c>
      <c r="V6853">
        <v>0</v>
      </c>
      <c r="W6853">
        <v>137</v>
      </c>
      <c r="X6853">
        <v>477</v>
      </c>
      <c r="Y6853">
        <v>0</v>
      </c>
      <c r="Z6853">
        <v>80</v>
      </c>
      <c r="AA6853">
        <v>0</v>
      </c>
      <c r="AB6853">
        <v>0.31092449999999999</v>
      </c>
      <c r="AC6853">
        <v>27482.17</v>
      </c>
      <c r="AD6853">
        <v>0.38493569999999999</v>
      </c>
      <c r="AE6853">
        <v>0.28712379999999998</v>
      </c>
      <c r="AF6853">
        <v>16</v>
      </c>
      <c r="AG6853" t="str">
        <f>IFERROR(AH6853*0.1, "N/A")</f>
        <v>N/A</v>
      </c>
      <c r="AH6853" t="s">
        <v>729</v>
      </c>
      <c r="AI6853">
        <v>62.621850000000002</v>
      </c>
      <c r="AJ6853" t="s">
        <v>729</v>
      </c>
      <c r="AK6853" t="s">
        <v>729</v>
      </c>
    </row>
    <row r="6854" spans="1:37" x14ac:dyDescent="0.3">
      <c r="A6854">
        <v>6853</v>
      </c>
      <c r="B6854">
        <v>0</v>
      </c>
      <c r="C6854">
        <v>-11.8447</v>
      </c>
      <c r="D6854">
        <v>14.61</v>
      </c>
      <c r="E6854">
        <f>-11.8447-14.61</f>
        <v>-26.454699999999999</v>
      </c>
      <c r="F6854" t="s">
        <v>10290</v>
      </c>
      <c r="G6854" t="s">
        <v>37</v>
      </c>
      <c r="H6854">
        <v>1990</v>
      </c>
      <c r="I6854">
        <v>29.9</v>
      </c>
      <c r="J6854">
        <v>14.5</v>
      </c>
      <c r="K6854">
        <v>56</v>
      </c>
      <c r="L6854">
        <v>29.19</v>
      </c>
      <c r="M6854">
        <v>41.6</v>
      </c>
      <c r="N6854">
        <v>15.9</v>
      </c>
      <c r="O6854">
        <v>25.7</v>
      </c>
      <c r="P6854">
        <v>30.2</v>
      </c>
      <c r="Q6854">
        <v>27.6</v>
      </c>
      <c r="R6854">
        <v>33.6</v>
      </c>
      <c r="S6854">
        <v>25.8</v>
      </c>
      <c r="T6854">
        <v>593</v>
      </c>
      <c r="U6854">
        <v>204</v>
      </c>
      <c r="V6854">
        <v>0</v>
      </c>
      <c r="W6854">
        <v>137</v>
      </c>
      <c r="X6854">
        <v>477</v>
      </c>
      <c r="Y6854">
        <v>0</v>
      </c>
      <c r="Z6854">
        <v>80</v>
      </c>
      <c r="AA6854">
        <v>0</v>
      </c>
      <c r="AB6854">
        <v>0.31092449999999999</v>
      </c>
      <c r="AC6854">
        <v>27482.17</v>
      </c>
      <c r="AD6854">
        <v>0.38493569999999999</v>
      </c>
      <c r="AE6854">
        <v>0.28712379999999998</v>
      </c>
      <c r="AF6854">
        <v>16</v>
      </c>
      <c r="AG6854" t="str">
        <f>IFERROR(AH6854*0.1, "N/A")</f>
        <v>N/A</v>
      </c>
      <c r="AH6854" t="s">
        <v>729</v>
      </c>
      <c r="AI6854">
        <v>62.621850000000002</v>
      </c>
      <c r="AJ6854" t="s">
        <v>729</v>
      </c>
      <c r="AK6854" t="s">
        <v>729</v>
      </c>
    </row>
    <row r="6855" spans="1:37" x14ac:dyDescent="0.3">
      <c r="A6855">
        <v>6854</v>
      </c>
      <c r="B6855">
        <v>72.8</v>
      </c>
      <c r="C6855">
        <v>-3.5526900000000001</v>
      </c>
      <c r="D6855">
        <v>14.612500000000001</v>
      </c>
      <c r="E6855">
        <f>-3.55269-14.6125</f>
        <v>-18.165190000000003</v>
      </c>
      <c r="F6855" t="s">
        <v>10291</v>
      </c>
      <c r="G6855" t="s">
        <v>39</v>
      </c>
      <c r="H6855">
        <v>1990</v>
      </c>
      <c r="I6855">
        <v>26.6</v>
      </c>
      <c r="J6855">
        <v>14</v>
      </c>
      <c r="K6855">
        <v>55</v>
      </c>
      <c r="L6855">
        <v>29.87</v>
      </c>
      <c r="M6855">
        <v>38.799999999999997</v>
      </c>
      <c r="N6855">
        <v>13.4</v>
      </c>
      <c r="O6855">
        <v>25.4</v>
      </c>
      <c r="P6855">
        <v>26.6</v>
      </c>
      <c r="Q6855">
        <v>22.4</v>
      </c>
      <c r="R6855">
        <v>30.5</v>
      </c>
      <c r="S6855">
        <v>22.4</v>
      </c>
      <c r="T6855">
        <v>491</v>
      </c>
      <c r="U6855">
        <v>164</v>
      </c>
      <c r="V6855">
        <v>0</v>
      </c>
      <c r="W6855">
        <v>134</v>
      </c>
      <c r="X6855">
        <v>387</v>
      </c>
      <c r="Y6855">
        <v>0</v>
      </c>
      <c r="Z6855">
        <v>81</v>
      </c>
      <c r="AA6855">
        <v>0</v>
      </c>
      <c r="AB6855">
        <v>6.2853779999999997</v>
      </c>
      <c r="AC6855">
        <v>3.1618359999999998E-2</v>
      </c>
      <c r="AD6855">
        <v>2.2321650000000002</v>
      </c>
      <c r="AE6855">
        <v>0.3597593</v>
      </c>
      <c r="AF6855">
        <v>443.4538</v>
      </c>
      <c r="AG6855">
        <f>IFERROR(AH6855*0.1, "N/A")</f>
        <v>6.9993280000000002</v>
      </c>
      <c r="AH6855">
        <v>69.993279999999999</v>
      </c>
      <c r="AI6855">
        <v>110.4478</v>
      </c>
      <c r="AJ6855">
        <v>16.892440000000001</v>
      </c>
      <c r="AK6855">
        <v>70.006720000000001</v>
      </c>
    </row>
    <row r="6856" spans="1:37" x14ac:dyDescent="0.3">
      <c r="A6856">
        <v>6855</v>
      </c>
      <c r="B6856">
        <v>13.1</v>
      </c>
      <c r="C6856">
        <v>-3.5526900000000001</v>
      </c>
      <c r="D6856">
        <v>14.612500000000001</v>
      </c>
      <c r="E6856">
        <f>-3.55269-14.6125</f>
        <v>-18.165190000000003</v>
      </c>
      <c r="F6856" t="s">
        <v>10292</v>
      </c>
      <c r="G6856" t="s">
        <v>37</v>
      </c>
      <c r="H6856">
        <v>1990</v>
      </c>
      <c r="I6856">
        <v>26.6</v>
      </c>
      <c r="J6856">
        <v>14</v>
      </c>
      <c r="K6856">
        <v>55</v>
      </c>
      <c r="L6856">
        <v>29.87</v>
      </c>
      <c r="M6856">
        <v>38.799999999999997</v>
      </c>
      <c r="N6856">
        <v>13.4</v>
      </c>
      <c r="O6856">
        <v>25.4</v>
      </c>
      <c r="P6856">
        <v>26.6</v>
      </c>
      <c r="Q6856">
        <v>22.4</v>
      </c>
      <c r="R6856">
        <v>30.5</v>
      </c>
      <c r="S6856">
        <v>22.4</v>
      </c>
      <c r="T6856">
        <v>491</v>
      </c>
      <c r="U6856">
        <v>164</v>
      </c>
      <c r="V6856">
        <v>0</v>
      </c>
      <c r="W6856">
        <v>134</v>
      </c>
      <c r="X6856">
        <v>387</v>
      </c>
      <c r="Y6856">
        <v>0</v>
      </c>
      <c r="Z6856">
        <v>81</v>
      </c>
      <c r="AA6856">
        <v>0</v>
      </c>
      <c r="AB6856">
        <v>6.2853779999999997</v>
      </c>
      <c r="AC6856">
        <v>3.1618359999999998E-2</v>
      </c>
      <c r="AD6856">
        <v>2.2321650000000002</v>
      </c>
      <c r="AE6856">
        <v>0.3597593</v>
      </c>
      <c r="AF6856">
        <v>443.4538</v>
      </c>
      <c r="AG6856">
        <f>IFERROR(AH6856*0.1, "N/A")</f>
        <v>6.9993280000000002</v>
      </c>
      <c r="AH6856">
        <v>69.993279999999999</v>
      </c>
      <c r="AI6856">
        <v>110.4478</v>
      </c>
      <c r="AJ6856">
        <v>16.892440000000001</v>
      </c>
      <c r="AK6856">
        <v>70.006720000000001</v>
      </c>
    </row>
    <row r="6857" spans="1:37" x14ac:dyDescent="0.3">
      <c r="A6857">
        <v>6856</v>
      </c>
      <c r="B6857">
        <v>90.4</v>
      </c>
      <c r="C6857">
        <v>-3.50278</v>
      </c>
      <c r="D6857">
        <v>14.613899999999999</v>
      </c>
      <c r="E6857">
        <f>-3.50278-14.6139</f>
        <v>-18.116679999999999</v>
      </c>
      <c r="F6857" t="s">
        <v>10293</v>
      </c>
      <c r="G6857" t="s">
        <v>39</v>
      </c>
      <c r="H6857">
        <v>1990</v>
      </c>
      <c r="I6857">
        <v>26.5</v>
      </c>
      <c r="J6857">
        <v>14</v>
      </c>
      <c r="K6857">
        <v>55</v>
      </c>
      <c r="L6857">
        <v>29.78</v>
      </c>
      <c r="M6857">
        <v>38.700000000000003</v>
      </c>
      <c r="N6857">
        <v>13.4</v>
      </c>
      <c r="O6857">
        <v>25.3</v>
      </c>
      <c r="P6857">
        <v>26.6</v>
      </c>
      <c r="Q6857">
        <v>22.4</v>
      </c>
      <c r="R6857">
        <v>30.5</v>
      </c>
      <c r="S6857">
        <v>22.4</v>
      </c>
      <c r="T6857">
        <v>491</v>
      </c>
      <c r="U6857">
        <v>164</v>
      </c>
      <c r="V6857">
        <v>0</v>
      </c>
      <c r="W6857">
        <v>134</v>
      </c>
      <c r="X6857">
        <v>387</v>
      </c>
      <c r="Y6857">
        <v>0</v>
      </c>
      <c r="Z6857">
        <v>81</v>
      </c>
      <c r="AA6857">
        <v>0</v>
      </c>
      <c r="AB6857">
        <v>1.684806</v>
      </c>
      <c r="AC6857">
        <v>1.2593369999999999</v>
      </c>
      <c r="AD6857">
        <v>1.4169670000000001</v>
      </c>
      <c r="AE6857">
        <v>0.53216830000000004</v>
      </c>
      <c r="AF6857">
        <v>453.02339999999998</v>
      </c>
      <c r="AG6857">
        <f>IFERROR(AH6857*0.1, "N/A")</f>
        <v>6.7751250000000001</v>
      </c>
      <c r="AH6857">
        <v>67.751249999999999</v>
      </c>
      <c r="AI6857">
        <v>113.1366</v>
      </c>
      <c r="AJ6857">
        <v>20.330549999999999</v>
      </c>
      <c r="AK6857">
        <v>64.065110000000004</v>
      </c>
    </row>
    <row r="6858" spans="1:37" x14ac:dyDescent="0.3">
      <c r="A6858">
        <v>6857</v>
      </c>
      <c r="B6858">
        <v>6.4</v>
      </c>
      <c r="C6858">
        <v>-3.50278</v>
      </c>
      <c r="D6858">
        <v>14.613899999999999</v>
      </c>
      <c r="E6858">
        <f>-3.50278-14.6139</f>
        <v>-18.116679999999999</v>
      </c>
      <c r="F6858" t="s">
        <v>10294</v>
      </c>
      <c r="G6858" t="s">
        <v>37</v>
      </c>
      <c r="H6858">
        <v>1990</v>
      </c>
      <c r="I6858">
        <v>26.5</v>
      </c>
      <c r="J6858">
        <v>14</v>
      </c>
      <c r="K6858">
        <v>55</v>
      </c>
      <c r="L6858">
        <v>29.78</v>
      </c>
      <c r="M6858">
        <v>38.700000000000003</v>
      </c>
      <c r="N6858">
        <v>13.4</v>
      </c>
      <c r="O6858">
        <v>25.3</v>
      </c>
      <c r="P6858">
        <v>26.6</v>
      </c>
      <c r="Q6858">
        <v>22.4</v>
      </c>
      <c r="R6858">
        <v>30.5</v>
      </c>
      <c r="S6858">
        <v>22.4</v>
      </c>
      <c r="T6858">
        <v>491</v>
      </c>
      <c r="U6858">
        <v>164</v>
      </c>
      <c r="V6858">
        <v>0</v>
      </c>
      <c r="W6858">
        <v>134</v>
      </c>
      <c r="X6858">
        <v>387</v>
      </c>
      <c r="Y6858">
        <v>0</v>
      </c>
      <c r="Z6858">
        <v>81</v>
      </c>
      <c r="AA6858">
        <v>0</v>
      </c>
      <c r="AB6858">
        <v>1.684806</v>
      </c>
      <c r="AC6858">
        <v>1.2593369999999999</v>
      </c>
      <c r="AD6858">
        <v>1.4169670000000001</v>
      </c>
      <c r="AE6858">
        <v>0.53216830000000004</v>
      </c>
      <c r="AF6858">
        <v>453.02339999999998</v>
      </c>
      <c r="AG6858">
        <f>IFERROR(AH6858*0.1, "N/A")</f>
        <v>6.7751250000000001</v>
      </c>
      <c r="AH6858">
        <v>67.751249999999999</v>
      </c>
      <c r="AI6858">
        <v>113.1366</v>
      </c>
      <c r="AJ6858">
        <v>20.330549999999999</v>
      </c>
      <c r="AK6858">
        <v>64.065110000000004</v>
      </c>
    </row>
    <row r="6859" spans="1:37" x14ac:dyDescent="0.3">
      <c r="A6859">
        <v>6858</v>
      </c>
      <c r="B6859">
        <v>28</v>
      </c>
      <c r="C6859">
        <v>-4.7699999999999996</v>
      </c>
      <c r="D6859">
        <v>14.616</v>
      </c>
      <c r="E6859">
        <f>-4.77-14.616</f>
        <v>-19.385999999999999</v>
      </c>
      <c r="F6859" t="s">
        <v>10295</v>
      </c>
      <c r="G6859" t="s">
        <v>39</v>
      </c>
      <c r="H6859">
        <v>1987</v>
      </c>
      <c r="I6859">
        <v>27.1</v>
      </c>
      <c r="J6859">
        <v>14.4</v>
      </c>
      <c r="K6859">
        <v>52</v>
      </c>
      <c r="L6859">
        <v>31.77037</v>
      </c>
      <c r="M6859">
        <v>40.4</v>
      </c>
      <c r="N6859">
        <v>13.1</v>
      </c>
      <c r="O6859">
        <v>27.3</v>
      </c>
      <c r="P6859">
        <v>27.7</v>
      </c>
      <c r="Q6859">
        <v>23.2</v>
      </c>
      <c r="R6859">
        <v>31.1</v>
      </c>
      <c r="S6859">
        <v>22.5151</v>
      </c>
      <c r="T6859">
        <v>423.54700000000003</v>
      </c>
      <c r="U6859">
        <v>151.69800000000001</v>
      </c>
      <c r="V6859">
        <v>0</v>
      </c>
      <c r="W6859">
        <v>136.84899999999999</v>
      </c>
      <c r="X6859">
        <v>334.54700000000003</v>
      </c>
      <c r="Y6859">
        <v>1</v>
      </c>
      <c r="Z6859">
        <v>74</v>
      </c>
      <c r="AA6859">
        <v>1</v>
      </c>
      <c r="AB6859">
        <v>3.859737</v>
      </c>
      <c r="AC6859">
        <v>1.19843E-2</v>
      </c>
      <c r="AD6859">
        <v>2.0988220000000002</v>
      </c>
      <c r="AE6859">
        <v>0.27270080000000002</v>
      </c>
      <c r="AF6859">
        <v>267.22820000000002</v>
      </c>
      <c r="AG6859">
        <f>IFERROR(AH6859*0.1, "N/A")</f>
        <v>6.3565440000000004</v>
      </c>
      <c r="AH6859">
        <v>63.565440000000002</v>
      </c>
      <c r="AI6859">
        <v>130.48650000000001</v>
      </c>
      <c r="AJ6859">
        <v>21.840599999999998</v>
      </c>
      <c r="AK6859">
        <v>58.68121</v>
      </c>
    </row>
    <row r="6860" spans="1:37" x14ac:dyDescent="0.3">
      <c r="A6860">
        <v>6859</v>
      </c>
      <c r="B6860">
        <v>0</v>
      </c>
      <c r="C6860">
        <v>-4.7699999999999996</v>
      </c>
      <c r="D6860">
        <v>14.616</v>
      </c>
      <c r="E6860">
        <f>-4.77-14.616</f>
        <v>-19.385999999999999</v>
      </c>
      <c r="F6860" t="s">
        <v>10296</v>
      </c>
      <c r="G6860" t="s">
        <v>37</v>
      </c>
      <c r="H6860">
        <v>1987</v>
      </c>
      <c r="I6860">
        <v>27.1</v>
      </c>
      <c r="J6860">
        <v>14.4</v>
      </c>
      <c r="K6860">
        <v>52</v>
      </c>
      <c r="L6860">
        <v>31.77037</v>
      </c>
      <c r="M6860">
        <v>40.4</v>
      </c>
      <c r="N6860">
        <v>13.1</v>
      </c>
      <c r="O6860">
        <v>27.3</v>
      </c>
      <c r="P6860">
        <v>27.7</v>
      </c>
      <c r="Q6860">
        <v>23.2</v>
      </c>
      <c r="R6860">
        <v>31.1</v>
      </c>
      <c r="S6860">
        <v>22.5151</v>
      </c>
      <c r="T6860">
        <v>423.54700000000003</v>
      </c>
      <c r="U6860">
        <v>151.69800000000001</v>
      </c>
      <c r="V6860">
        <v>0</v>
      </c>
      <c r="W6860">
        <v>136.84899999999999</v>
      </c>
      <c r="X6860">
        <v>334.54700000000003</v>
      </c>
      <c r="Y6860">
        <v>1</v>
      </c>
      <c r="Z6860">
        <v>74</v>
      </c>
      <c r="AA6860">
        <v>1</v>
      </c>
      <c r="AB6860">
        <v>3.859737</v>
      </c>
      <c r="AC6860">
        <v>1.19843E-2</v>
      </c>
      <c r="AD6860">
        <v>2.0988220000000002</v>
      </c>
      <c r="AE6860">
        <v>0.27270080000000002</v>
      </c>
      <c r="AF6860">
        <v>267.22820000000002</v>
      </c>
      <c r="AG6860">
        <f>IFERROR(AH6860*0.1, "N/A")</f>
        <v>6.3565440000000004</v>
      </c>
      <c r="AH6860">
        <v>63.565440000000002</v>
      </c>
      <c r="AI6860">
        <v>130.48650000000001</v>
      </c>
      <c r="AJ6860">
        <v>21.840599999999998</v>
      </c>
      <c r="AK6860">
        <v>58.68121</v>
      </c>
    </row>
    <row r="6861" spans="1:37" x14ac:dyDescent="0.3">
      <c r="A6861">
        <v>6860</v>
      </c>
      <c r="B6861">
        <v>92.7</v>
      </c>
      <c r="C6861">
        <v>-3.4796900000000002</v>
      </c>
      <c r="D6861">
        <v>14.6165</v>
      </c>
      <c r="E6861">
        <f>-3.47969-14.6165</f>
        <v>-18.09619</v>
      </c>
      <c r="F6861" t="s">
        <v>10297</v>
      </c>
      <c r="G6861" t="s">
        <v>39</v>
      </c>
      <c r="H6861">
        <v>1990</v>
      </c>
      <c r="I6861">
        <v>26.5</v>
      </c>
      <c r="J6861">
        <v>14</v>
      </c>
      <c r="K6861">
        <v>55</v>
      </c>
      <c r="L6861">
        <v>29.531860000000002</v>
      </c>
      <c r="M6861">
        <v>38.652850000000001</v>
      </c>
      <c r="N6861">
        <v>13.45285</v>
      </c>
      <c r="O6861">
        <v>25.2</v>
      </c>
      <c r="P6861">
        <v>26.6</v>
      </c>
      <c r="Q6861">
        <v>22.35285</v>
      </c>
      <c r="R6861">
        <v>30.4</v>
      </c>
      <c r="S6861">
        <v>22.35285</v>
      </c>
      <c r="T6861">
        <v>490</v>
      </c>
      <c r="U6861">
        <v>163</v>
      </c>
      <c r="V6861">
        <v>0</v>
      </c>
      <c r="W6861">
        <v>134</v>
      </c>
      <c r="X6861">
        <v>386</v>
      </c>
      <c r="Y6861">
        <v>0</v>
      </c>
      <c r="Z6861">
        <v>81</v>
      </c>
      <c r="AA6861">
        <v>0</v>
      </c>
      <c r="AB6861">
        <v>0.6246642</v>
      </c>
      <c r="AC6861">
        <v>317.53429999999997</v>
      </c>
      <c r="AD6861">
        <v>1.7133940000000001</v>
      </c>
      <c r="AE6861">
        <v>0.58716270000000004</v>
      </c>
      <c r="AF6861">
        <v>456.995</v>
      </c>
      <c r="AG6861">
        <f>IFERROR(AH6861*0.1, "N/A")</f>
        <v>6.6000000000000005</v>
      </c>
      <c r="AH6861">
        <v>66</v>
      </c>
      <c r="AI6861">
        <v>211.6628</v>
      </c>
      <c r="AJ6861">
        <v>20.88926</v>
      </c>
      <c r="AK6861">
        <v>64</v>
      </c>
    </row>
    <row r="6862" spans="1:37" x14ac:dyDescent="0.3">
      <c r="A6862">
        <v>6861</v>
      </c>
      <c r="B6862">
        <v>7.3</v>
      </c>
      <c r="C6862">
        <v>-3.4796900000000002</v>
      </c>
      <c r="D6862">
        <v>14.6165</v>
      </c>
      <c r="E6862">
        <f>-3.47969-14.6165</f>
        <v>-18.09619</v>
      </c>
      <c r="F6862" t="s">
        <v>10298</v>
      </c>
      <c r="G6862" t="s">
        <v>37</v>
      </c>
      <c r="H6862">
        <v>1990</v>
      </c>
      <c r="I6862">
        <v>26.5</v>
      </c>
      <c r="J6862">
        <v>14</v>
      </c>
      <c r="K6862">
        <v>55</v>
      </c>
      <c r="L6862">
        <v>29.531860000000002</v>
      </c>
      <c r="M6862">
        <v>38.652850000000001</v>
      </c>
      <c r="N6862">
        <v>13.45285</v>
      </c>
      <c r="O6862">
        <v>25.2</v>
      </c>
      <c r="P6862">
        <v>26.6</v>
      </c>
      <c r="Q6862">
        <v>22.35285</v>
      </c>
      <c r="R6862">
        <v>30.4</v>
      </c>
      <c r="S6862">
        <v>22.35285</v>
      </c>
      <c r="T6862">
        <v>490</v>
      </c>
      <c r="U6862">
        <v>163</v>
      </c>
      <c r="V6862">
        <v>0</v>
      </c>
      <c r="W6862">
        <v>134</v>
      </c>
      <c r="X6862">
        <v>386</v>
      </c>
      <c r="Y6862">
        <v>0</v>
      </c>
      <c r="Z6862">
        <v>81</v>
      </c>
      <c r="AA6862">
        <v>0</v>
      </c>
      <c r="AB6862">
        <v>0.6246642</v>
      </c>
      <c r="AC6862">
        <v>317.53429999999997</v>
      </c>
      <c r="AD6862">
        <v>1.7133940000000001</v>
      </c>
      <c r="AE6862">
        <v>0.58716270000000004</v>
      </c>
      <c r="AF6862">
        <v>456.995</v>
      </c>
      <c r="AG6862">
        <f>IFERROR(AH6862*0.1, "N/A")</f>
        <v>6.6000000000000005</v>
      </c>
      <c r="AH6862">
        <v>66</v>
      </c>
      <c r="AI6862">
        <v>211.6628</v>
      </c>
      <c r="AJ6862">
        <v>20.88926</v>
      </c>
      <c r="AK6862">
        <v>64</v>
      </c>
    </row>
    <row r="6863" spans="1:37" x14ac:dyDescent="0.3">
      <c r="A6863">
        <v>6862</v>
      </c>
      <c r="B6863">
        <v>75.7</v>
      </c>
      <c r="C6863">
        <v>-3.5385900000000001</v>
      </c>
      <c r="D6863">
        <v>14.6195</v>
      </c>
      <c r="E6863">
        <f>-3.53859-14.6195</f>
        <v>-18.158090000000001</v>
      </c>
      <c r="F6863" t="s">
        <v>10299</v>
      </c>
      <c r="G6863" t="s">
        <v>39</v>
      </c>
      <c r="H6863">
        <v>1990</v>
      </c>
      <c r="I6863">
        <v>26.6</v>
      </c>
      <c r="J6863">
        <v>13.9</v>
      </c>
      <c r="K6863">
        <v>54</v>
      </c>
      <c r="L6863">
        <v>29.92</v>
      </c>
      <c r="M6863">
        <v>38.799999999999997</v>
      </c>
      <c r="N6863">
        <v>13.4</v>
      </c>
      <c r="O6863">
        <v>25.4</v>
      </c>
      <c r="P6863">
        <v>26.7</v>
      </c>
      <c r="Q6863">
        <v>22.4</v>
      </c>
      <c r="R6863">
        <v>30.5</v>
      </c>
      <c r="S6863">
        <v>22.4</v>
      </c>
      <c r="T6863">
        <v>489</v>
      </c>
      <c r="U6863">
        <v>163</v>
      </c>
      <c r="V6863">
        <v>0</v>
      </c>
      <c r="W6863">
        <v>134</v>
      </c>
      <c r="X6863">
        <v>385</v>
      </c>
      <c r="Y6863">
        <v>0</v>
      </c>
      <c r="Z6863">
        <v>81</v>
      </c>
      <c r="AA6863">
        <v>0</v>
      </c>
      <c r="AB6863">
        <v>1.832721</v>
      </c>
      <c r="AC6863">
        <v>498.63549999999998</v>
      </c>
      <c r="AD6863">
        <v>2.9520309999999998</v>
      </c>
      <c r="AE6863">
        <v>0.41233249999999999</v>
      </c>
      <c r="AF6863">
        <v>444.42570000000001</v>
      </c>
      <c r="AG6863">
        <f>IFERROR(AH6863*0.1, "N/A")</f>
        <v>6.6000000000000005</v>
      </c>
      <c r="AH6863">
        <v>66</v>
      </c>
      <c r="AI6863">
        <v>226.0035</v>
      </c>
      <c r="AJ6863">
        <v>17.649419999999999</v>
      </c>
      <c r="AK6863">
        <v>68.247079999999997</v>
      </c>
    </row>
    <row r="6864" spans="1:37" x14ac:dyDescent="0.3">
      <c r="A6864">
        <v>6863</v>
      </c>
      <c r="B6864">
        <v>12.8</v>
      </c>
      <c r="C6864">
        <v>-3.5385900000000001</v>
      </c>
      <c r="D6864">
        <v>14.6195</v>
      </c>
      <c r="E6864">
        <f>-3.53859-14.6195</f>
        <v>-18.158090000000001</v>
      </c>
      <c r="F6864" t="s">
        <v>10300</v>
      </c>
      <c r="G6864" t="s">
        <v>37</v>
      </c>
      <c r="H6864">
        <v>1990</v>
      </c>
      <c r="I6864">
        <v>26.6</v>
      </c>
      <c r="J6864">
        <v>13.9</v>
      </c>
      <c r="K6864">
        <v>54</v>
      </c>
      <c r="L6864">
        <v>29.92</v>
      </c>
      <c r="M6864">
        <v>38.799999999999997</v>
      </c>
      <c r="N6864">
        <v>13.4</v>
      </c>
      <c r="O6864">
        <v>25.4</v>
      </c>
      <c r="P6864">
        <v>26.7</v>
      </c>
      <c r="Q6864">
        <v>22.4</v>
      </c>
      <c r="R6864">
        <v>30.5</v>
      </c>
      <c r="S6864">
        <v>22.4</v>
      </c>
      <c r="T6864">
        <v>489</v>
      </c>
      <c r="U6864">
        <v>163</v>
      </c>
      <c r="V6864">
        <v>0</v>
      </c>
      <c r="W6864">
        <v>134</v>
      </c>
      <c r="X6864">
        <v>385</v>
      </c>
      <c r="Y6864">
        <v>0</v>
      </c>
      <c r="Z6864">
        <v>81</v>
      </c>
      <c r="AA6864">
        <v>0</v>
      </c>
      <c r="AB6864">
        <v>1.832721</v>
      </c>
      <c r="AC6864">
        <v>498.63549999999998</v>
      </c>
      <c r="AD6864">
        <v>2.9520309999999998</v>
      </c>
      <c r="AE6864">
        <v>0.41233249999999999</v>
      </c>
      <c r="AF6864">
        <v>444.42570000000001</v>
      </c>
      <c r="AG6864">
        <f>IFERROR(AH6864*0.1, "N/A")</f>
        <v>6.6000000000000005</v>
      </c>
      <c r="AH6864">
        <v>66</v>
      </c>
      <c r="AI6864">
        <v>226.0035</v>
      </c>
      <c r="AJ6864">
        <v>17.649419999999999</v>
      </c>
      <c r="AK6864">
        <v>68.247079999999997</v>
      </c>
    </row>
    <row r="6865" spans="1:37" x14ac:dyDescent="0.3">
      <c r="A6865">
        <v>6864</v>
      </c>
      <c r="B6865">
        <v>4.3</v>
      </c>
      <c r="C6865">
        <v>-3.5152899999999998</v>
      </c>
      <c r="D6865">
        <v>14.6266</v>
      </c>
      <c r="E6865">
        <f>-3.51529-14.6266</f>
        <v>-18.14189</v>
      </c>
      <c r="F6865" t="s">
        <v>10301</v>
      </c>
      <c r="G6865" t="s">
        <v>37</v>
      </c>
      <c r="H6865">
        <v>1990</v>
      </c>
      <c r="I6865">
        <v>26.4</v>
      </c>
      <c r="J6865">
        <v>14</v>
      </c>
      <c r="K6865">
        <v>55</v>
      </c>
      <c r="L6865">
        <v>29.73</v>
      </c>
      <c r="M6865">
        <v>38.6</v>
      </c>
      <c r="N6865">
        <v>13.3</v>
      </c>
      <c r="O6865">
        <v>25.3</v>
      </c>
      <c r="P6865">
        <v>26.5</v>
      </c>
      <c r="Q6865">
        <v>22.2</v>
      </c>
      <c r="R6865">
        <v>30.3</v>
      </c>
      <c r="S6865">
        <v>22.2</v>
      </c>
      <c r="T6865">
        <v>490</v>
      </c>
      <c r="U6865">
        <v>163</v>
      </c>
      <c r="V6865">
        <v>0</v>
      </c>
      <c r="W6865">
        <v>134</v>
      </c>
      <c r="X6865">
        <v>386</v>
      </c>
      <c r="Y6865">
        <v>0</v>
      </c>
      <c r="Z6865">
        <v>81</v>
      </c>
      <c r="AA6865">
        <v>0</v>
      </c>
      <c r="AB6865">
        <v>10.20017</v>
      </c>
      <c r="AC6865">
        <v>4.4651959999999997E-2</v>
      </c>
      <c r="AD6865">
        <v>2.5042439999999999</v>
      </c>
      <c r="AE6865">
        <v>0.41506690000000002</v>
      </c>
      <c r="AF6865">
        <v>460.5444</v>
      </c>
      <c r="AG6865">
        <f>IFERROR(AH6865*0.1, "N/A")</f>
        <v>6.7592960000000009</v>
      </c>
      <c r="AH6865">
        <v>67.592960000000005</v>
      </c>
      <c r="AI6865">
        <v>186.2002</v>
      </c>
      <c r="AJ6865">
        <v>18.703520000000001</v>
      </c>
      <c r="AK6865">
        <v>67.592960000000005</v>
      </c>
    </row>
    <row r="6866" spans="1:37" x14ac:dyDescent="0.3">
      <c r="A6866">
        <v>6865</v>
      </c>
      <c r="B6866">
        <v>27</v>
      </c>
      <c r="C6866">
        <v>-3.5152899999999998</v>
      </c>
      <c r="D6866">
        <v>14.6266</v>
      </c>
      <c r="E6866">
        <f>-3.51529-14.6266</f>
        <v>-18.14189</v>
      </c>
      <c r="F6866" t="s">
        <v>10302</v>
      </c>
      <c r="G6866" t="s">
        <v>39</v>
      </c>
      <c r="H6866">
        <v>1990</v>
      </c>
      <c r="I6866">
        <v>26.4</v>
      </c>
      <c r="J6866">
        <v>14</v>
      </c>
      <c r="K6866">
        <v>55</v>
      </c>
      <c r="L6866">
        <v>29.73</v>
      </c>
      <c r="M6866">
        <v>38.6</v>
      </c>
      <c r="N6866">
        <v>13.3</v>
      </c>
      <c r="O6866">
        <v>25.3</v>
      </c>
      <c r="P6866">
        <v>26.5</v>
      </c>
      <c r="Q6866">
        <v>22.2</v>
      </c>
      <c r="R6866">
        <v>30.3</v>
      </c>
      <c r="S6866">
        <v>22.2</v>
      </c>
      <c r="T6866">
        <v>490</v>
      </c>
      <c r="U6866">
        <v>163</v>
      </c>
      <c r="V6866">
        <v>0</v>
      </c>
      <c r="W6866">
        <v>134</v>
      </c>
      <c r="X6866">
        <v>386</v>
      </c>
      <c r="Y6866">
        <v>0</v>
      </c>
      <c r="Z6866">
        <v>81</v>
      </c>
      <c r="AA6866">
        <v>0</v>
      </c>
      <c r="AB6866">
        <v>10.20017</v>
      </c>
      <c r="AC6866">
        <v>4.4651959999999997E-2</v>
      </c>
      <c r="AD6866">
        <v>2.5042439999999999</v>
      </c>
      <c r="AE6866">
        <v>0.41506690000000002</v>
      </c>
      <c r="AF6866">
        <v>460.5444</v>
      </c>
      <c r="AG6866">
        <f>IFERROR(AH6866*0.1, "N/A")</f>
        <v>6.7592960000000009</v>
      </c>
      <c r="AH6866">
        <v>67.592960000000005</v>
      </c>
      <c r="AI6866">
        <v>186.2002</v>
      </c>
      <c r="AJ6866">
        <v>18.703520000000001</v>
      </c>
      <c r="AK6866">
        <v>67.592960000000005</v>
      </c>
    </row>
    <row r="6867" spans="1:37" x14ac:dyDescent="0.3">
      <c r="A6867">
        <v>6866</v>
      </c>
      <c r="B6867">
        <v>6</v>
      </c>
      <c r="C6867">
        <v>-11.019</v>
      </c>
      <c r="D6867">
        <v>14.634</v>
      </c>
      <c r="E6867">
        <f>-11.019-14.634</f>
        <v>-25.652999999999999</v>
      </c>
      <c r="F6867" t="s">
        <v>10303</v>
      </c>
      <c r="G6867" t="s">
        <v>39</v>
      </c>
      <c r="H6867">
        <v>1987</v>
      </c>
      <c r="I6867">
        <v>29.2</v>
      </c>
      <c r="J6867">
        <v>14.1</v>
      </c>
      <c r="K6867">
        <v>58</v>
      </c>
      <c r="L6867">
        <v>24.687259999999998</v>
      </c>
      <c r="M6867">
        <v>40.886290000000002</v>
      </c>
      <c r="N6867">
        <v>16.600000000000001</v>
      </c>
      <c r="O6867">
        <v>24.286290000000001</v>
      </c>
      <c r="P6867">
        <v>28.2</v>
      </c>
      <c r="Q6867">
        <v>27.713709999999999</v>
      </c>
      <c r="R6867">
        <v>32.799999999999997</v>
      </c>
      <c r="S6867">
        <v>26.3</v>
      </c>
      <c r="T6867">
        <v>646.13710000000003</v>
      </c>
      <c r="U6867">
        <v>216.1371</v>
      </c>
      <c r="V6867">
        <v>0</v>
      </c>
      <c r="W6867">
        <v>136</v>
      </c>
      <c r="X6867">
        <v>514.13710000000003</v>
      </c>
      <c r="Y6867">
        <v>0</v>
      </c>
      <c r="Z6867">
        <v>95</v>
      </c>
      <c r="AA6867">
        <v>0</v>
      </c>
      <c r="AB6867">
        <v>4.1617050000000004</v>
      </c>
      <c r="AC6867">
        <v>6.7687399999999995E-2</v>
      </c>
      <c r="AD6867">
        <v>1.3476630000000001</v>
      </c>
      <c r="AE6867">
        <v>0.29767110000000002</v>
      </c>
      <c r="AF6867">
        <v>54.496659999999999</v>
      </c>
      <c r="AG6867">
        <f>IFERROR(AH6867*0.1, "N/A")</f>
        <v>6.2060200000000005</v>
      </c>
      <c r="AH6867">
        <v>62.060200000000002</v>
      </c>
      <c r="AI6867">
        <v>272.36200000000002</v>
      </c>
      <c r="AJ6867">
        <v>19.484950000000001</v>
      </c>
      <c r="AK6867">
        <v>54.645479999999999</v>
      </c>
    </row>
    <row r="6868" spans="1:37" x14ac:dyDescent="0.3">
      <c r="A6868">
        <v>6867</v>
      </c>
      <c r="B6868">
        <v>0</v>
      </c>
      <c r="C6868">
        <v>-11.019</v>
      </c>
      <c r="D6868">
        <v>14.634</v>
      </c>
      <c r="E6868">
        <f>-11.019-14.634</f>
        <v>-25.652999999999999</v>
      </c>
      <c r="F6868" t="s">
        <v>10304</v>
      </c>
      <c r="G6868" t="s">
        <v>37</v>
      </c>
      <c r="H6868">
        <v>1987</v>
      </c>
      <c r="I6868">
        <v>29.2</v>
      </c>
      <c r="J6868">
        <v>14.1</v>
      </c>
      <c r="K6868">
        <v>58</v>
      </c>
      <c r="L6868">
        <v>24.687259999999998</v>
      </c>
      <c r="M6868">
        <v>40.886290000000002</v>
      </c>
      <c r="N6868">
        <v>16.600000000000001</v>
      </c>
      <c r="O6868">
        <v>24.286290000000001</v>
      </c>
      <c r="P6868">
        <v>28.2</v>
      </c>
      <c r="Q6868">
        <v>27.713709999999999</v>
      </c>
      <c r="R6868">
        <v>32.799999999999997</v>
      </c>
      <c r="S6868">
        <v>26.3</v>
      </c>
      <c r="T6868">
        <v>646.13710000000003</v>
      </c>
      <c r="U6868">
        <v>216.1371</v>
      </c>
      <c r="V6868">
        <v>0</v>
      </c>
      <c r="W6868">
        <v>136</v>
      </c>
      <c r="X6868">
        <v>514.13710000000003</v>
      </c>
      <c r="Y6868">
        <v>0</v>
      </c>
      <c r="Z6868">
        <v>95</v>
      </c>
      <c r="AA6868">
        <v>0</v>
      </c>
      <c r="AB6868">
        <v>4.1617050000000004</v>
      </c>
      <c r="AC6868">
        <v>6.7687399999999995E-2</v>
      </c>
      <c r="AD6868">
        <v>1.3476630000000001</v>
      </c>
      <c r="AE6868">
        <v>0.29767110000000002</v>
      </c>
      <c r="AF6868">
        <v>54.496659999999999</v>
      </c>
      <c r="AG6868">
        <f>IFERROR(AH6868*0.1, "N/A")</f>
        <v>6.2060200000000005</v>
      </c>
      <c r="AH6868">
        <v>62.060200000000002</v>
      </c>
      <c r="AI6868">
        <v>272.36200000000002</v>
      </c>
      <c r="AJ6868">
        <v>19.484950000000001</v>
      </c>
      <c r="AK6868">
        <v>54.645479999999999</v>
      </c>
    </row>
    <row r="6869" spans="1:37" x14ac:dyDescent="0.3">
      <c r="A6869">
        <v>6868</v>
      </c>
      <c r="B6869">
        <v>88.8</v>
      </c>
      <c r="C6869">
        <v>-5.9604499999999998</v>
      </c>
      <c r="D6869">
        <v>14.651899999999999</v>
      </c>
      <c r="E6869">
        <f>-5.96045-14.6519</f>
        <v>-20.612349999999999</v>
      </c>
      <c r="F6869" t="s">
        <v>10305</v>
      </c>
      <c r="G6869" t="s">
        <v>37</v>
      </c>
      <c r="H6869">
        <v>2004</v>
      </c>
      <c r="I6869">
        <v>27.3</v>
      </c>
      <c r="J6869">
        <v>15.7</v>
      </c>
      <c r="K6869">
        <v>58</v>
      </c>
      <c r="L6869">
        <v>28.46</v>
      </c>
      <c r="M6869">
        <v>39.9</v>
      </c>
      <c r="N6869">
        <v>13</v>
      </c>
      <c r="O6869">
        <v>26.9</v>
      </c>
      <c r="P6869">
        <v>27.3</v>
      </c>
      <c r="Q6869">
        <v>25.2</v>
      </c>
      <c r="R6869">
        <v>31.1</v>
      </c>
      <c r="S6869">
        <v>23.4</v>
      </c>
      <c r="T6869">
        <v>499</v>
      </c>
      <c r="U6869">
        <v>184</v>
      </c>
      <c r="V6869">
        <v>0</v>
      </c>
      <c r="W6869">
        <v>142</v>
      </c>
      <c r="X6869">
        <v>407</v>
      </c>
      <c r="Y6869">
        <v>1</v>
      </c>
      <c r="Z6869">
        <v>70</v>
      </c>
      <c r="AA6869">
        <v>1</v>
      </c>
      <c r="AB6869">
        <v>0.21491940000000001</v>
      </c>
      <c r="AC6869">
        <v>0.23543030000000001</v>
      </c>
      <c r="AD6869">
        <v>2.0866370000000001</v>
      </c>
      <c r="AE6869">
        <v>0.23897930000000001</v>
      </c>
      <c r="AF6869">
        <v>272.97649999999999</v>
      </c>
      <c r="AG6869">
        <f>IFERROR(AH6869*0.1, "N/A")</f>
        <v>6.1907719999999999</v>
      </c>
      <c r="AH6869">
        <v>61.907719999999998</v>
      </c>
      <c r="AI6869">
        <v>169.7183</v>
      </c>
      <c r="AJ6869">
        <v>12.635910000000001</v>
      </c>
      <c r="AK6869">
        <v>68.354029999999995</v>
      </c>
    </row>
    <row r="6870" spans="1:37" x14ac:dyDescent="0.3">
      <c r="A6870">
        <v>6869</v>
      </c>
      <c r="B6870">
        <v>96.2</v>
      </c>
      <c r="C6870">
        <v>-5.9604499999999998</v>
      </c>
      <c r="D6870">
        <v>14.651899999999999</v>
      </c>
      <c r="E6870">
        <f>-5.96045-14.6519</f>
        <v>-20.612349999999999</v>
      </c>
      <c r="F6870" t="s">
        <v>10306</v>
      </c>
      <c r="G6870" t="s">
        <v>39</v>
      </c>
      <c r="H6870">
        <v>2004</v>
      </c>
      <c r="I6870">
        <v>27.3</v>
      </c>
      <c r="J6870">
        <v>15.7</v>
      </c>
      <c r="K6870">
        <v>58</v>
      </c>
      <c r="L6870">
        <v>28.46</v>
      </c>
      <c r="M6870">
        <v>39.9</v>
      </c>
      <c r="N6870">
        <v>13</v>
      </c>
      <c r="O6870">
        <v>26.9</v>
      </c>
      <c r="P6870">
        <v>27.3</v>
      </c>
      <c r="Q6870">
        <v>25.2</v>
      </c>
      <c r="R6870">
        <v>31.1</v>
      </c>
      <c r="S6870">
        <v>23.4</v>
      </c>
      <c r="T6870">
        <v>499</v>
      </c>
      <c r="U6870">
        <v>184</v>
      </c>
      <c r="V6870">
        <v>0</v>
      </c>
      <c r="W6870">
        <v>142</v>
      </c>
      <c r="X6870">
        <v>407</v>
      </c>
      <c r="Y6870">
        <v>1</v>
      </c>
      <c r="Z6870">
        <v>70</v>
      </c>
      <c r="AA6870">
        <v>1</v>
      </c>
      <c r="AB6870">
        <v>0.21491940000000001</v>
      </c>
      <c r="AC6870">
        <v>0.23543030000000001</v>
      </c>
      <c r="AD6870">
        <v>2.0866370000000001</v>
      </c>
      <c r="AE6870">
        <v>0.23897930000000001</v>
      </c>
      <c r="AF6870">
        <v>272.97649999999999</v>
      </c>
      <c r="AG6870">
        <f>IFERROR(AH6870*0.1, "N/A")</f>
        <v>6.1907719999999999</v>
      </c>
      <c r="AH6870">
        <v>61.907719999999998</v>
      </c>
      <c r="AI6870">
        <v>169.7183</v>
      </c>
      <c r="AJ6870">
        <v>12.635910000000001</v>
      </c>
      <c r="AK6870">
        <v>68.354029999999995</v>
      </c>
    </row>
    <row r="6871" spans="1:37" x14ac:dyDescent="0.3">
      <c r="A6871">
        <v>6870</v>
      </c>
      <c r="B6871">
        <v>30.6</v>
      </c>
      <c r="C6871">
        <v>-6.0332100000000004</v>
      </c>
      <c r="D6871">
        <v>14.651899999999999</v>
      </c>
      <c r="E6871">
        <f>-6.03321-14.6519</f>
        <v>-20.685110000000002</v>
      </c>
      <c r="F6871" t="s">
        <v>10307</v>
      </c>
      <c r="G6871" t="s">
        <v>39</v>
      </c>
      <c r="H6871">
        <v>1995</v>
      </c>
      <c r="I6871">
        <v>27.3</v>
      </c>
      <c r="J6871">
        <v>15.7</v>
      </c>
      <c r="K6871">
        <v>58</v>
      </c>
      <c r="L6871">
        <v>28.341899999999999</v>
      </c>
      <c r="M6871">
        <v>39.700000000000003</v>
      </c>
      <c r="N6871">
        <v>13</v>
      </c>
      <c r="O6871">
        <v>26.7</v>
      </c>
      <c r="P6871">
        <v>27.3</v>
      </c>
      <c r="Q6871">
        <v>25.2</v>
      </c>
      <c r="R6871">
        <v>31</v>
      </c>
      <c r="S6871">
        <v>23.4</v>
      </c>
      <c r="T6871">
        <v>502.40499999999997</v>
      </c>
      <c r="U6871">
        <v>186</v>
      </c>
      <c r="V6871">
        <v>0</v>
      </c>
      <c r="W6871">
        <v>144</v>
      </c>
      <c r="X6871">
        <v>412</v>
      </c>
      <c r="Y6871">
        <v>1</v>
      </c>
      <c r="Z6871">
        <v>68.40504</v>
      </c>
      <c r="AA6871">
        <v>1</v>
      </c>
      <c r="AB6871">
        <v>0.91477830000000004</v>
      </c>
      <c r="AC6871">
        <v>0.16785839999999999</v>
      </c>
      <c r="AD6871">
        <v>1.655813</v>
      </c>
      <c r="AE6871">
        <v>0.40134629999999999</v>
      </c>
      <c r="AF6871">
        <v>276.88240000000002</v>
      </c>
      <c r="AG6871">
        <f>IFERROR(AH6871*0.1, "N/A")</f>
        <v>6.0773110000000008</v>
      </c>
      <c r="AH6871">
        <v>60.773110000000003</v>
      </c>
      <c r="AI6871">
        <v>243.02420000000001</v>
      </c>
      <c r="AJ6871">
        <v>23.529409999999999</v>
      </c>
      <c r="AK6871">
        <v>49.526049999999998</v>
      </c>
    </row>
    <row r="6872" spans="1:37" x14ac:dyDescent="0.3">
      <c r="A6872">
        <v>6871</v>
      </c>
      <c r="B6872">
        <v>70.599999999999994</v>
      </c>
      <c r="C6872">
        <v>-6.0332100000000004</v>
      </c>
      <c r="D6872">
        <v>14.651899999999999</v>
      </c>
      <c r="E6872">
        <f>-6.03321-14.6519</f>
        <v>-20.685110000000002</v>
      </c>
      <c r="F6872" t="s">
        <v>10308</v>
      </c>
      <c r="G6872" t="s">
        <v>37</v>
      </c>
      <c r="H6872">
        <v>1995</v>
      </c>
      <c r="I6872">
        <v>27.3</v>
      </c>
      <c r="J6872">
        <v>15.7</v>
      </c>
      <c r="K6872">
        <v>58</v>
      </c>
      <c r="L6872">
        <v>28.341899999999999</v>
      </c>
      <c r="M6872">
        <v>39.700000000000003</v>
      </c>
      <c r="N6872">
        <v>13</v>
      </c>
      <c r="O6872">
        <v>26.7</v>
      </c>
      <c r="P6872">
        <v>27.3</v>
      </c>
      <c r="Q6872">
        <v>25.2</v>
      </c>
      <c r="R6872">
        <v>31</v>
      </c>
      <c r="S6872">
        <v>23.4</v>
      </c>
      <c r="T6872">
        <v>502.40499999999997</v>
      </c>
      <c r="U6872">
        <v>186</v>
      </c>
      <c r="V6872">
        <v>0</v>
      </c>
      <c r="W6872">
        <v>144</v>
      </c>
      <c r="X6872">
        <v>412</v>
      </c>
      <c r="Y6872">
        <v>1</v>
      </c>
      <c r="Z6872">
        <v>68.40504</v>
      </c>
      <c r="AA6872">
        <v>1</v>
      </c>
      <c r="AB6872">
        <v>0.91477830000000004</v>
      </c>
      <c r="AC6872">
        <v>0.16785839999999999</v>
      </c>
      <c r="AD6872">
        <v>1.655813</v>
      </c>
      <c r="AE6872">
        <v>0.40134629999999999</v>
      </c>
      <c r="AF6872">
        <v>276.88240000000002</v>
      </c>
      <c r="AG6872">
        <f>IFERROR(AH6872*0.1, "N/A")</f>
        <v>6.0773110000000008</v>
      </c>
      <c r="AH6872">
        <v>60.773110000000003</v>
      </c>
      <c r="AI6872">
        <v>243.02420000000001</v>
      </c>
      <c r="AJ6872">
        <v>23.529409999999999</v>
      </c>
      <c r="AK6872">
        <v>49.526049999999998</v>
      </c>
    </row>
    <row r="6873" spans="1:37" x14ac:dyDescent="0.3">
      <c r="A6873">
        <v>6872</v>
      </c>
      <c r="B6873">
        <v>31.8</v>
      </c>
      <c r="C6873">
        <v>-3.1955300000000002</v>
      </c>
      <c r="D6873">
        <v>14.656000000000001</v>
      </c>
      <c r="E6873">
        <f>-3.19553-14.656</f>
        <v>-17.85153</v>
      </c>
      <c r="F6873" t="s">
        <v>10309</v>
      </c>
      <c r="G6873" t="s">
        <v>39</v>
      </c>
      <c r="H6873">
        <v>1990</v>
      </c>
      <c r="I6873">
        <v>26</v>
      </c>
      <c r="J6873">
        <v>14</v>
      </c>
      <c r="K6873">
        <v>55</v>
      </c>
      <c r="L6873">
        <v>29.65</v>
      </c>
      <c r="M6873">
        <v>38.1</v>
      </c>
      <c r="N6873">
        <v>13</v>
      </c>
      <c r="O6873">
        <v>25.1</v>
      </c>
      <c r="P6873">
        <v>26.1</v>
      </c>
      <c r="Q6873">
        <v>21.8</v>
      </c>
      <c r="R6873">
        <v>29.9</v>
      </c>
      <c r="S6873">
        <v>21.8</v>
      </c>
      <c r="T6873">
        <v>500</v>
      </c>
      <c r="U6873">
        <v>162</v>
      </c>
      <c r="V6873">
        <v>0</v>
      </c>
      <c r="W6873">
        <v>131</v>
      </c>
      <c r="X6873">
        <v>391</v>
      </c>
      <c r="Y6873">
        <v>0</v>
      </c>
      <c r="Z6873">
        <v>83</v>
      </c>
      <c r="AA6873">
        <v>0</v>
      </c>
      <c r="AB6873">
        <v>11.95843</v>
      </c>
      <c r="AC6873">
        <v>0.67920210000000003</v>
      </c>
      <c r="AD6873">
        <v>11.08817</v>
      </c>
      <c r="AE6873">
        <v>0.2827925</v>
      </c>
      <c r="AF6873">
        <v>560.52260000000001</v>
      </c>
      <c r="AG6873">
        <f>IFERROR(AH6873*0.1, "N/A")</f>
        <v>6.9</v>
      </c>
      <c r="AH6873">
        <v>69</v>
      </c>
      <c r="AI6873">
        <v>114.0333</v>
      </c>
      <c r="AJ6873">
        <v>19.03518</v>
      </c>
      <c r="AK6873">
        <v>59</v>
      </c>
    </row>
    <row r="6874" spans="1:37" x14ac:dyDescent="0.3">
      <c r="A6874">
        <v>6873</v>
      </c>
      <c r="B6874">
        <v>0</v>
      </c>
      <c r="C6874">
        <v>-3.1955300000000002</v>
      </c>
      <c r="D6874">
        <v>14.656000000000001</v>
      </c>
      <c r="E6874">
        <f>-3.19553-14.656</f>
        <v>-17.85153</v>
      </c>
      <c r="F6874" t="s">
        <v>10310</v>
      </c>
      <c r="G6874" t="s">
        <v>37</v>
      </c>
      <c r="H6874">
        <v>1990</v>
      </c>
      <c r="I6874">
        <v>26</v>
      </c>
      <c r="J6874">
        <v>14</v>
      </c>
      <c r="K6874">
        <v>55</v>
      </c>
      <c r="L6874">
        <v>29.65</v>
      </c>
      <c r="M6874">
        <v>38.1</v>
      </c>
      <c r="N6874">
        <v>13</v>
      </c>
      <c r="O6874">
        <v>25.1</v>
      </c>
      <c r="P6874">
        <v>26.1</v>
      </c>
      <c r="Q6874">
        <v>21.8</v>
      </c>
      <c r="R6874">
        <v>29.9</v>
      </c>
      <c r="S6874">
        <v>21.8</v>
      </c>
      <c r="T6874">
        <v>500</v>
      </c>
      <c r="U6874">
        <v>162</v>
      </c>
      <c r="V6874">
        <v>0</v>
      </c>
      <c r="W6874">
        <v>131</v>
      </c>
      <c r="X6874">
        <v>391</v>
      </c>
      <c r="Y6874">
        <v>0</v>
      </c>
      <c r="Z6874">
        <v>83</v>
      </c>
      <c r="AA6874">
        <v>0</v>
      </c>
      <c r="AB6874">
        <v>11.95843</v>
      </c>
      <c r="AC6874">
        <v>0.67920210000000003</v>
      </c>
      <c r="AD6874">
        <v>11.08817</v>
      </c>
      <c r="AE6874">
        <v>0.2827925</v>
      </c>
      <c r="AF6874">
        <v>560.52260000000001</v>
      </c>
      <c r="AG6874">
        <f>IFERROR(AH6874*0.1, "N/A")</f>
        <v>6.9</v>
      </c>
      <c r="AH6874">
        <v>69</v>
      </c>
      <c r="AI6874">
        <v>114.0333</v>
      </c>
      <c r="AJ6874">
        <v>19.03518</v>
      </c>
      <c r="AK6874">
        <v>59</v>
      </c>
    </row>
    <row r="6875" spans="1:37" x14ac:dyDescent="0.3">
      <c r="A6875">
        <v>6874</v>
      </c>
      <c r="B6875">
        <v>40</v>
      </c>
      <c r="C6875">
        <v>-4.0988199999999999</v>
      </c>
      <c r="D6875">
        <v>14.6564</v>
      </c>
      <c r="E6875">
        <f>-4.09882-14.6564</f>
        <v>-18.755220000000001</v>
      </c>
      <c r="F6875" t="s">
        <v>10311</v>
      </c>
      <c r="G6875" t="s">
        <v>39</v>
      </c>
      <c r="H6875">
        <v>1987</v>
      </c>
      <c r="I6875">
        <v>27.9</v>
      </c>
      <c r="J6875">
        <v>14.1</v>
      </c>
      <c r="K6875">
        <v>54</v>
      </c>
      <c r="L6875">
        <v>29.03</v>
      </c>
      <c r="M6875">
        <v>40.299999999999997</v>
      </c>
      <c r="N6875">
        <v>14.6</v>
      </c>
      <c r="O6875">
        <v>25.7</v>
      </c>
      <c r="P6875">
        <v>27.9</v>
      </c>
      <c r="Q6875">
        <v>25.6</v>
      </c>
      <c r="R6875">
        <v>31.8</v>
      </c>
      <c r="S6875">
        <v>23.9</v>
      </c>
      <c r="T6875">
        <v>474</v>
      </c>
      <c r="U6875">
        <v>160</v>
      </c>
      <c r="V6875">
        <v>0</v>
      </c>
      <c r="W6875">
        <v>136</v>
      </c>
      <c r="X6875">
        <v>377</v>
      </c>
      <c r="Y6875">
        <v>0</v>
      </c>
      <c r="Z6875">
        <v>80</v>
      </c>
      <c r="AA6875">
        <v>0</v>
      </c>
      <c r="AB6875">
        <v>0.4344576</v>
      </c>
      <c r="AC6875">
        <v>0.17256650000000001</v>
      </c>
      <c r="AD6875">
        <v>1.294813</v>
      </c>
      <c r="AE6875">
        <v>0.44542979999999999</v>
      </c>
      <c r="AF6875">
        <v>266.68239999999997</v>
      </c>
      <c r="AG6875">
        <f>IFERROR(AH6875*0.1, "N/A")</f>
        <v>6.4954620000000007</v>
      </c>
      <c r="AH6875">
        <v>64.954620000000006</v>
      </c>
      <c r="AI6875">
        <v>145.32830000000001</v>
      </c>
      <c r="AJ6875">
        <v>12.015129999999999</v>
      </c>
      <c r="AK6875">
        <v>75.954620000000006</v>
      </c>
    </row>
    <row r="6876" spans="1:37" x14ac:dyDescent="0.3">
      <c r="A6876">
        <v>6875</v>
      </c>
      <c r="B6876">
        <v>0</v>
      </c>
      <c r="C6876">
        <v>-4.0988199999999999</v>
      </c>
      <c r="D6876">
        <v>14.6564</v>
      </c>
      <c r="E6876">
        <f>-4.09882-14.6564</f>
        <v>-18.755220000000001</v>
      </c>
      <c r="F6876" t="s">
        <v>10312</v>
      </c>
      <c r="G6876" t="s">
        <v>37</v>
      </c>
      <c r="H6876">
        <v>1987</v>
      </c>
      <c r="I6876">
        <v>27.9</v>
      </c>
      <c r="J6876">
        <v>14.1</v>
      </c>
      <c r="K6876">
        <v>54</v>
      </c>
      <c r="L6876">
        <v>29.03</v>
      </c>
      <c r="M6876">
        <v>40.299999999999997</v>
      </c>
      <c r="N6876">
        <v>14.6</v>
      </c>
      <c r="O6876">
        <v>25.7</v>
      </c>
      <c r="P6876">
        <v>27.9</v>
      </c>
      <c r="Q6876">
        <v>25.6</v>
      </c>
      <c r="R6876">
        <v>31.8</v>
      </c>
      <c r="S6876">
        <v>23.9</v>
      </c>
      <c r="T6876">
        <v>474</v>
      </c>
      <c r="U6876">
        <v>160</v>
      </c>
      <c r="V6876">
        <v>0</v>
      </c>
      <c r="W6876">
        <v>136</v>
      </c>
      <c r="X6876">
        <v>377</v>
      </c>
      <c r="Y6876">
        <v>0</v>
      </c>
      <c r="Z6876">
        <v>80</v>
      </c>
      <c r="AA6876">
        <v>0</v>
      </c>
      <c r="AB6876">
        <v>0.4344576</v>
      </c>
      <c r="AC6876">
        <v>0.17256650000000001</v>
      </c>
      <c r="AD6876">
        <v>1.294813</v>
      </c>
      <c r="AE6876">
        <v>0.44542979999999999</v>
      </c>
      <c r="AF6876">
        <v>266.68239999999997</v>
      </c>
      <c r="AG6876">
        <f>IFERROR(AH6876*0.1, "N/A")</f>
        <v>6.4954620000000007</v>
      </c>
      <c r="AH6876">
        <v>64.954620000000006</v>
      </c>
      <c r="AI6876">
        <v>145.32830000000001</v>
      </c>
      <c r="AJ6876">
        <v>12.015129999999999</v>
      </c>
      <c r="AK6876">
        <v>75.954620000000006</v>
      </c>
    </row>
    <row r="6877" spans="1:37" x14ac:dyDescent="0.3">
      <c r="A6877">
        <v>6876</v>
      </c>
      <c r="B6877">
        <v>50.6</v>
      </c>
      <c r="C6877">
        <v>-6.0068000000000001</v>
      </c>
      <c r="D6877">
        <v>14.6576</v>
      </c>
      <c r="E6877">
        <f>-6.0068-14.6576</f>
        <v>-20.664400000000001</v>
      </c>
      <c r="F6877" t="s">
        <v>10313</v>
      </c>
      <c r="G6877" t="s">
        <v>39</v>
      </c>
      <c r="H6877">
        <v>1990</v>
      </c>
      <c r="I6877">
        <v>27.3</v>
      </c>
      <c r="J6877">
        <v>15.7</v>
      </c>
      <c r="K6877">
        <v>58</v>
      </c>
      <c r="L6877">
        <v>28.19</v>
      </c>
      <c r="M6877">
        <v>39.700000000000003</v>
      </c>
      <c r="N6877">
        <v>13</v>
      </c>
      <c r="O6877">
        <v>26.7</v>
      </c>
      <c r="P6877">
        <v>27.3</v>
      </c>
      <c r="Q6877">
        <v>25.2</v>
      </c>
      <c r="R6877">
        <v>31</v>
      </c>
      <c r="S6877">
        <v>23.4</v>
      </c>
      <c r="T6877">
        <v>501</v>
      </c>
      <c r="U6877">
        <v>185</v>
      </c>
      <c r="V6877">
        <v>0</v>
      </c>
      <c r="W6877">
        <v>143</v>
      </c>
      <c r="X6877">
        <v>410</v>
      </c>
      <c r="Y6877">
        <v>1</v>
      </c>
      <c r="Z6877">
        <v>69</v>
      </c>
      <c r="AA6877">
        <v>1</v>
      </c>
      <c r="AB6877">
        <v>0.30066730000000003</v>
      </c>
      <c r="AC6877">
        <v>9.7745000000000002E-3</v>
      </c>
      <c r="AD6877">
        <v>0.93230500000000005</v>
      </c>
      <c r="AE6877">
        <v>0.47786339999999999</v>
      </c>
      <c r="AF6877">
        <v>271.6275</v>
      </c>
      <c r="AG6877">
        <f>IFERROR(AH6877*0.1, "N/A")</f>
        <v>5.9812080000000005</v>
      </c>
      <c r="AH6877">
        <v>59.812080000000002</v>
      </c>
      <c r="AI6877">
        <v>159.93340000000001</v>
      </c>
      <c r="AJ6877">
        <v>22.840599999999998</v>
      </c>
      <c r="AK6877">
        <v>48.565440000000002</v>
      </c>
    </row>
    <row r="6878" spans="1:37" x14ac:dyDescent="0.3">
      <c r="A6878">
        <v>6877</v>
      </c>
      <c r="B6878">
        <v>81.2</v>
      </c>
      <c r="C6878">
        <v>-6.0068000000000001</v>
      </c>
      <c r="D6878">
        <v>14.6576</v>
      </c>
      <c r="E6878">
        <f>-6.0068-14.6576</f>
        <v>-20.664400000000001</v>
      </c>
      <c r="F6878" t="s">
        <v>10314</v>
      </c>
      <c r="G6878" t="s">
        <v>37</v>
      </c>
      <c r="H6878">
        <v>1990</v>
      </c>
      <c r="I6878">
        <v>27.3</v>
      </c>
      <c r="J6878">
        <v>15.7</v>
      </c>
      <c r="K6878">
        <v>58</v>
      </c>
      <c r="L6878">
        <v>28.19</v>
      </c>
      <c r="M6878">
        <v>39.700000000000003</v>
      </c>
      <c r="N6878">
        <v>13</v>
      </c>
      <c r="O6878">
        <v>26.7</v>
      </c>
      <c r="P6878">
        <v>27.3</v>
      </c>
      <c r="Q6878">
        <v>25.2</v>
      </c>
      <c r="R6878">
        <v>31</v>
      </c>
      <c r="S6878">
        <v>23.4</v>
      </c>
      <c r="T6878">
        <v>501</v>
      </c>
      <c r="U6878">
        <v>185</v>
      </c>
      <c r="V6878">
        <v>0</v>
      </c>
      <c r="W6878">
        <v>143</v>
      </c>
      <c r="X6878">
        <v>410</v>
      </c>
      <c r="Y6878">
        <v>1</v>
      </c>
      <c r="Z6878">
        <v>69</v>
      </c>
      <c r="AA6878">
        <v>1</v>
      </c>
      <c r="AB6878">
        <v>0.30066730000000003</v>
      </c>
      <c r="AC6878">
        <v>9.7745000000000002E-3</v>
      </c>
      <c r="AD6878">
        <v>0.93230500000000005</v>
      </c>
      <c r="AE6878">
        <v>0.47786339999999999</v>
      </c>
      <c r="AF6878">
        <v>271.6275</v>
      </c>
      <c r="AG6878">
        <f>IFERROR(AH6878*0.1, "N/A")</f>
        <v>5.9812080000000005</v>
      </c>
      <c r="AH6878">
        <v>59.812080000000002</v>
      </c>
      <c r="AI6878">
        <v>159.93340000000001</v>
      </c>
      <c r="AJ6878">
        <v>22.840599999999998</v>
      </c>
      <c r="AK6878">
        <v>48.565440000000002</v>
      </c>
    </row>
    <row r="6879" spans="1:37" x14ac:dyDescent="0.3">
      <c r="A6879">
        <v>6878</v>
      </c>
      <c r="B6879">
        <v>23.7</v>
      </c>
      <c r="C6879">
        <v>-3.1810999999999998</v>
      </c>
      <c r="D6879">
        <v>14.667400000000001</v>
      </c>
      <c r="E6879">
        <f>-3.1811-14.6674</f>
        <v>-17.848500000000001</v>
      </c>
      <c r="F6879" t="s">
        <v>10315</v>
      </c>
      <c r="G6879" t="s">
        <v>39</v>
      </c>
      <c r="H6879">
        <v>1990</v>
      </c>
      <c r="I6879">
        <v>25.9</v>
      </c>
      <c r="J6879">
        <v>13.90503</v>
      </c>
      <c r="K6879">
        <v>55</v>
      </c>
      <c r="L6879">
        <v>29.872520000000002</v>
      </c>
      <c r="M6879">
        <v>38</v>
      </c>
      <c r="N6879">
        <v>12.9</v>
      </c>
      <c r="O6879">
        <v>25.1</v>
      </c>
      <c r="P6879">
        <v>26</v>
      </c>
      <c r="Q6879">
        <v>21.7</v>
      </c>
      <c r="R6879">
        <v>29.8</v>
      </c>
      <c r="S6879">
        <v>21.7</v>
      </c>
      <c r="T6879">
        <v>500.10070000000002</v>
      </c>
      <c r="U6879">
        <v>162</v>
      </c>
      <c r="V6879">
        <v>0</v>
      </c>
      <c r="W6879">
        <v>131</v>
      </c>
      <c r="X6879">
        <v>391</v>
      </c>
      <c r="Y6879">
        <v>0</v>
      </c>
      <c r="Z6879">
        <v>83.050340000000006</v>
      </c>
      <c r="AA6879">
        <v>0</v>
      </c>
      <c r="AB6879">
        <v>1.838938</v>
      </c>
      <c r="AC6879">
        <v>0.1719222</v>
      </c>
      <c r="AD6879">
        <v>2.9529610000000002</v>
      </c>
      <c r="AE6879">
        <v>0.28420899999999999</v>
      </c>
      <c r="AF6879">
        <v>600.92110000000002</v>
      </c>
      <c r="AG6879">
        <f>IFERROR(AH6879*0.1, "N/A")</f>
        <v>6.9741609999999996</v>
      </c>
      <c r="AH6879">
        <v>69.741609999999994</v>
      </c>
      <c r="AI6879">
        <v>264.23200000000003</v>
      </c>
      <c r="AJ6879">
        <v>20.206379999999999</v>
      </c>
      <c r="AK6879">
        <v>58.867449999999998</v>
      </c>
    </row>
    <row r="6880" spans="1:37" x14ac:dyDescent="0.3">
      <c r="A6880">
        <v>6879</v>
      </c>
      <c r="B6880">
        <v>1.2</v>
      </c>
      <c r="C6880">
        <v>-3.1810999999999998</v>
      </c>
      <c r="D6880">
        <v>14.667400000000001</v>
      </c>
      <c r="E6880">
        <f>-3.1811-14.6674</f>
        <v>-17.848500000000001</v>
      </c>
      <c r="F6880" t="s">
        <v>10316</v>
      </c>
      <c r="G6880" t="s">
        <v>37</v>
      </c>
      <c r="H6880">
        <v>1990</v>
      </c>
      <c r="I6880">
        <v>25.9</v>
      </c>
      <c r="J6880">
        <v>13.90503</v>
      </c>
      <c r="K6880">
        <v>55</v>
      </c>
      <c r="L6880">
        <v>29.872520000000002</v>
      </c>
      <c r="M6880">
        <v>38</v>
      </c>
      <c r="N6880">
        <v>12.9</v>
      </c>
      <c r="O6880">
        <v>25.1</v>
      </c>
      <c r="P6880">
        <v>26</v>
      </c>
      <c r="Q6880">
        <v>21.7</v>
      </c>
      <c r="R6880">
        <v>29.8</v>
      </c>
      <c r="S6880">
        <v>21.7</v>
      </c>
      <c r="T6880">
        <v>500.10070000000002</v>
      </c>
      <c r="U6880">
        <v>162</v>
      </c>
      <c r="V6880">
        <v>0</v>
      </c>
      <c r="W6880">
        <v>131</v>
      </c>
      <c r="X6880">
        <v>391</v>
      </c>
      <c r="Y6880">
        <v>0</v>
      </c>
      <c r="Z6880">
        <v>83.050340000000006</v>
      </c>
      <c r="AA6880">
        <v>0</v>
      </c>
      <c r="AB6880">
        <v>1.838938</v>
      </c>
      <c r="AC6880">
        <v>0.1719222</v>
      </c>
      <c r="AD6880">
        <v>2.9529610000000002</v>
      </c>
      <c r="AE6880">
        <v>0.28420899999999999</v>
      </c>
      <c r="AF6880">
        <v>600.92110000000002</v>
      </c>
      <c r="AG6880">
        <f>IFERROR(AH6880*0.1, "N/A")</f>
        <v>6.9741609999999996</v>
      </c>
      <c r="AH6880">
        <v>69.741609999999994</v>
      </c>
      <c r="AI6880">
        <v>264.23200000000003</v>
      </c>
      <c r="AJ6880">
        <v>20.206379999999999</v>
      </c>
      <c r="AK6880">
        <v>58.867449999999998</v>
      </c>
    </row>
    <row r="6881" spans="1:37" x14ac:dyDescent="0.3">
      <c r="A6881">
        <v>6880</v>
      </c>
      <c r="B6881">
        <v>63.6</v>
      </c>
      <c r="C6881">
        <v>-11.9709</v>
      </c>
      <c r="D6881">
        <v>14.6693</v>
      </c>
      <c r="E6881">
        <f>-11.9709-14.6693</f>
        <v>-26.6402</v>
      </c>
      <c r="F6881" t="s">
        <v>10317</v>
      </c>
      <c r="G6881" t="s">
        <v>39</v>
      </c>
      <c r="H6881">
        <v>1990</v>
      </c>
      <c r="I6881">
        <v>29.6</v>
      </c>
      <c r="J6881">
        <v>14.5</v>
      </c>
      <c r="K6881">
        <v>56</v>
      </c>
      <c r="L6881">
        <v>27.75</v>
      </c>
      <c r="M6881">
        <v>41.4</v>
      </c>
      <c r="N6881">
        <v>15.9</v>
      </c>
      <c r="O6881">
        <v>25.5</v>
      </c>
      <c r="P6881">
        <v>29.6</v>
      </c>
      <c r="Q6881">
        <v>27.5</v>
      </c>
      <c r="R6881">
        <v>33.299999999999997</v>
      </c>
      <c r="S6881">
        <v>25.8</v>
      </c>
      <c r="T6881">
        <v>539</v>
      </c>
      <c r="U6881">
        <v>193</v>
      </c>
      <c r="V6881">
        <v>0</v>
      </c>
      <c r="W6881">
        <v>141</v>
      </c>
      <c r="X6881">
        <v>438</v>
      </c>
      <c r="Y6881">
        <v>0</v>
      </c>
      <c r="Z6881">
        <v>69</v>
      </c>
      <c r="AA6881">
        <v>0</v>
      </c>
      <c r="AB6881">
        <v>2.0040269999999998</v>
      </c>
      <c r="AC6881">
        <v>0.104236</v>
      </c>
      <c r="AD6881">
        <v>1.328165</v>
      </c>
      <c r="AE6881">
        <v>0.3548364</v>
      </c>
      <c r="AF6881">
        <v>24.793620000000001</v>
      </c>
      <c r="AG6881">
        <f>IFERROR(AH6881*0.1, "N/A")</f>
        <v>6.3899330000000001</v>
      </c>
      <c r="AH6881">
        <v>63.899329999999999</v>
      </c>
      <c r="AI6881">
        <v>284.74520000000001</v>
      </c>
      <c r="AJ6881">
        <v>16</v>
      </c>
      <c r="AK6881">
        <v>66.550340000000006</v>
      </c>
    </row>
    <row r="6882" spans="1:37" x14ac:dyDescent="0.3">
      <c r="A6882">
        <v>6881</v>
      </c>
      <c r="B6882">
        <v>0</v>
      </c>
      <c r="C6882">
        <v>-11.9709</v>
      </c>
      <c r="D6882">
        <v>14.6693</v>
      </c>
      <c r="E6882">
        <f>-11.9709-14.6693</f>
        <v>-26.6402</v>
      </c>
      <c r="F6882" t="s">
        <v>10318</v>
      </c>
      <c r="G6882" t="s">
        <v>37</v>
      </c>
      <c r="H6882">
        <v>1990</v>
      </c>
      <c r="I6882">
        <v>29.6</v>
      </c>
      <c r="J6882">
        <v>14.5</v>
      </c>
      <c r="K6882">
        <v>56</v>
      </c>
      <c r="L6882">
        <v>27.75</v>
      </c>
      <c r="M6882">
        <v>41.4</v>
      </c>
      <c r="N6882">
        <v>15.9</v>
      </c>
      <c r="O6882">
        <v>25.5</v>
      </c>
      <c r="P6882">
        <v>29.6</v>
      </c>
      <c r="Q6882">
        <v>27.5</v>
      </c>
      <c r="R6882">
        <v>33.299999999999997</v>
      </c>
      <c r="S6882">
        <v>25.8</v>
      </c>
      <c r="T6882">
        <v>539</v>
      </c>
      <c r="U6882">
        <v>193</v>
      </c>
      <c r="V6882">
        <v>0</v>
      </c>
      <c r="W6882">
        <v>141</v>
      </c>
      <c r="X6882">
        <v>438</v>
      </c>
      <c r="Y6882">
        <v>0</v>
      </c>
      <c r="Z6882">
        <v>69</v>
      </c>
      <c r="AA6882">
        <v>0</v>
      </c>
      <c r="AB6882">
        <v>2.0040269999999998</v>
      </c>
      <c r="AC6882">
        <v>0.104236</v>
      </c>
      <c r="AD6882">
        <v>1.328165</v>
      </c>
      <c r="AE6882">
        <v>0.3548364</v>
      </c>
      <c r="AF6882">
        <v>24.793620000000001</v>
      </c>
      <c r="AG6882">
        <f>IFERROR(AH6882*0.1, "N/A")</f>
        <v>6.3899330000000001</v>
      </c>
      <c r="AH6882">
        <v>63.899329999999999</v>
      </c>
      <c r="AI6882">
        <v>284.74520000000001</v>
      </c>
      <c r="AJ6882">
        <v>16</v>
      </c>
      <c r="AK6882">
        <v>66.550340000000006</v>
      </c>
    </row>
    <row r="6883" spans="1:37" x14ac:dyDescent="0.3">
      <c r="A6883">
        <v>6882</v>
      </c>
      <c r="B6883">
        <v>6.5</v>
      </c>
      <c r="C6883">
        <v>-3.5073500000000002</v>
      </c>
      <c r="D6883">
        <v>14.6724</v>
      </c>
      <c r="E6883">
        <f>-3.50735-14.6724</f>
        <v>-18.179749999999999</v>
      </c>
      <c r="F6883" t="s">
        <v>10319</v>
      </c>
      <c r="G6883" t="s">
        <v>37</v>
      </c>
      <c r="H6883">
        <v>1990</v>
      </c>
      <c r="I6883">
        <v>26.5</v>
      </c>
      <c r="J6883">
        <v>14</v>
      </c>
      <c r="K6883">
        <v>55</v>
      </c>
      <c r="L6883">
        <v>29.68721</v>
      </c>
      <c r="M6883">
        <v>38.700000000000003</v>
      </c>
      <c r="N6883">
        <v>13.4</v>
      </c>
      <c r="O6883">
        <v>25.3</v>
      </c>
      <c r="P6883">
        <v>26.6</v>
      </c>
      <c r="Q6883">
        <v>22.392469999999999</v>
      </c>
      <c r="R6883">
        <v>30.392469999999999</v>
      </c>
      <c r="S6883">
        <v>22.392469999999999</v>
      </c>
      <c r="T6883">
        <v>486</v>
      </c>
      <c r="U6883">
        <v>162</v>
      </c>
      <c r="V6883">
        <v>0</v>
      </c>
      <c r="W6883">
        <v>133</v>
      </c>
      <c r="X6883">
        <v>383</v>
      </c>
      <c r="Y6883">
        <v>0</v>
      </c>
      <c r="Z6883">
        <v>80</v>
      </c>
      <c r="AA6883">
        <v>0</v>
      </c>
      <c r="AB6883">
        <v>19.52844</v>
      </c>
      <c r="AC6883">
        <v>1.559411E-2</v>
      </c>
      <c r="AD6883">
        <v>4.3102429999999998</v>
      </c>
      <c r="AE6883">
        <v>0.30693789999999999</v>
      </c>
      <c r="AF6883">
        <v>488.05180000000001</v>
      </c>
      <c r="AG6883">
        <f>IFERROR(AH6883*0.1, "N/A")</f>
        <v>7.0934780000000011</v>
      </c>
      <c r="AH6883">
        <v>70.934780000000003</v>
      </c>
      <c r="AI6883">
        <v>136.69030000000001</v>
      </c>
      <c r="AJ6883">
        <v>16.468229999999998</v>
      </c>
      <c r="AK6883">
        <v>68.466560000000001</v>
      </c>
    </row>
    <row r="6884" spans="1:37" x14ac:dyDescent="0.3">
      <c r="A6884">
        <v>6883</v>
      </c>
      <c r="B6884">
        <v>18.3</v>
      </c>
      <c r="C6884">
        <v>-4.1882200000000003</v>
      </c>
      <c r="D6884">
        <v>14.6754</v>
      </c>
      <c r="E6884">
        <f>-4.18822-14.6754</f>
        <v>-18.863620000000001</v>
      </c>
      <c r="F6884" t="s">
        <v>10320</v>
      </c>
      <c r="G6884" t="s">
        <v>39</v>
      </c>
      <c r="H6884">
        <v>1990</v>
      </c>
      <c r="I6884">
        <v>27.709050000000001</v>
      </c>
      <c r="J6884">
        <v>14.1</v>
      </c>
      <c r="K6884">
        <v>54</v>
      </c>
      <c r="L6884">
        <v>29.872910000000001</v>
      </c>
      <c r="M6884">
        <v>40.4</v>
      </c>
      <c r="N6884">
        <v>14.309049999999999</v>
      </c>
      <c r="O6884">
        <v>26.090959999999999</v>
      </c>
      <c r="P6884">
        <v>27.8</v>
      </c>
      <c r="Q6884">
        <v>24.009049999999998</v>
      </c>
      <c r="R6884">
        <v>31.69096</v>
      </c>
      <c r="S6884">
        <v>23.60905</v>
      </c>
      <c r="T6884">
        <v>471.09050000000002</v>
      </c>
      <c r="U6884">
        <v>159</v>
      </c>
      <c r="V6884">
        <v>0</v>
      </c>
      <c r="W6884">
        <v>136</v>
      </c>
      <c r="X6884">
        <v>375.09050000000002</v>
      </c>
      <c r="Y6884">
        <v>0</v>
      </c>
      <c r="Z6884">
        <v>79</v>
      </c>
      <c r="AA6884">
        <v>0</v>
      </c>
      <c r="AB6884">
        <v>1.701514</v>
      </c>
      <c r="AC6884">
        <v>3.2224019999999999E-2</v>
      </c>
      <c r="AD6884">
        <v>2.162973</v>
      </c>
      <c r="AE6884">
        <v>0.35106890000000002</v>
      </c>
      <c r="AF6884">
        <v>266.05700000000002</v>
      </c>
      <c r="AG6884">
        <f>IFERROR(AH6884*0.1, "N/A")</f>
        <v>6.9</v>
      </c>
      <c r="AH6884">
        <v>69</v>
      </c>
      <c r="AI6884">
        <v>193.6747</v>
      </c>
      <c r="AJ6884">
        <v>19.569510000000001</v>
      </c>
      <c r="AK6884">
        <v>63.715240000000001</v>
      </c>
    </row>
    <row r="6885" spans="1:37" x14ac:dyDescent="0.3">
      <c r="A6885">
        <v>6884</v>
      </c>
      <c r="B6885">
        <v>3</v>
      </c>
      <c r="C6885">
        <v>-4.1882200000000003</v>
      </c>
      <c r="D6885">
        <v>14.6754</v>
      </c>
      <c r="E6885">
        <f>-4.18822-14.6754</f>
        <v>-18.863620000000001</v>
      </c>
      <c r="F6885" t="s">
        <v>10321</v>
      </c>
      <c r="G6885" t="s">
        <v>37</v>
      </c>
      <c r="H6885">
        <v>1990</v>
      </c>
      <c r="I6885">
        <v>27.709050000000001</v>
      </c>
      <c r="J6885">
        <v>14.1</v>
      </c>
      <c r="K6885">
        <v>54</v>
      </c>
      <c r="L6885">
        <v>29.872910000000001</v>
      </c>
      <c r="M6885">
        <v>40.4</v>
      </c>
      <c r="N6885">
        <v>14.309049999999999</v>
      </c>
      <c r="O6885">
        <v>26.090959999999999</v>
      </c>
      <c r="P6885">
        <v>27.8</v>
      </c>
      <c r="Q6885">
        <v>24.009049999999998</v>
      </c>
      <c r="R6885">
        <v>31.69096</v>
      </c>
      <c r="S6885">
        <v>23.60905</v>
      </c>
      <c r="T6885">
        <v>471.09050000000002</v>
      </c>
      <c r="U6885">
        <v>159</v>
      </c>
      <c r="V6885">
        <v>0</v>
      </c>
      <c r="W6885">
        <v>136</v>
      </c>
      <c r="X6885">
        <v>375.09050000000002</v>
      </c>
      <c r="Y6885">
        <v>0</v>
      </c>
      <c r="Z6885">
        <v>79</v>
      </c>
      <c r="AA6885">
        <v>0</v>
      </c>
      <c r="AB6885">
        <v>1.701514</v>
      </c>
      <c r="AC6885">
        <v>3.2224019999999999E-2</v>
      </c>
      <c r="AD6885">
        <v>2.162973</v>
      </c>
      <c r="AE6885">
        <v>0.35106890000000002</v>
      </c>
      <c r="AF6885">
        <v>266.05700000000002</v>
      </c>
      <c r="AG6885">
        <f>IFERROR(AH6885*0.1, "N/A")</f>
        <v>6.9</v>
      </c>
      <c r="AH6885">
        <v>69</v>
      </c>
      <c r="AI6885">
        <v>193.6747</v>
      </c>
      <c r="AJ6885">
        <v>19.569510000000001</v>
      </c>
      <c r="AK6885">
        <v>63.715240000000001</v>
      </c>
    </row>
    <row r="6886" spans="1:37" x14ac:dyDescent="0.3">
      <c r="A6886">
        <v>6885</v>
      </c>
      <c r="B6886">
        <v>49.5</v>
      </c>
      <c r="C6886">
        <v>-3.1789299999999998</v>
      </c>
      <c r="D6886">
        <v>14.678599999999999</v>
      </c>
      <c r="E6886">
        <f>-3.17893-14.6786</f>
        <v>-17.857530000000001</v>
      </c>
      <c r="F6886" t="s">
        <v>10322</v>
      </c>
      <c r="G6886" t="s">
        <v>39</v>
      </c>
      <c r="H6886">
        <v>1990</v>
      </c>
      <c r="I6886">
        <v>26</v>
      </c>
      <c r="J6886">
        <v>14</v>
      </c>
      <c r="K6886">
        <v>55</v>
      </c>
      <c r="L6886">
        <v>29.6</v>
      </c>
      <c r="M6886">
        <v>38.1</v>
      </c>
      <c r="N6886">
        <v>13</v>
      </c>
      <c r="O6886">
        <v>25.1</v>
      </c>
      <c r="P6886">
        <v>26.1</v>
      </c>
      <c r="Q6886">
        <v>21.9</v>
      </c>
      <c r="R6886">
        <v>29.9</v>
      </c>
      <c r="S6886">
        <v>21.9</v>
      </c>
      <c r="T6886">
        <v>498</v>
      </c>
      <c r="U6886">
        <v>162</v>
      </c>
      <c r="V6886">
        <v>0</v>
      </c>
      <c r="W6886">
        <v>131</v>
      </c>
      <c r="X6886">
        <v>390</v>
      </c>
      <c r="Y6886">
        <v>0</v>
      </c>
      <c r="Z6886">
        <v>82</v>
      </c>
      <c r="AA6886">
        <v>0</v>
      </c>
      <c r="AB6886">
        <v>5.7670979999999998</v>
      </c>
      <c r="AC6886">
        <v>0.108621</v>
      </c>
      <c r="AD6886">
        <v>3.3226049999999998</v>
      </c>
      <c r="AE6886">
        <v>0.2816515</v>
      </c>
      <c r="AF6886">
        <v>596.6309</v>
      </c>
      <c r="AG6886">
        <f>IFERROR(AH6886*0.1, "N/A")</f>
        <v>7.0275170000000005</v>
      </c>
      <c r="AH6886">
        <v>70.275170000000003</v>
      </c>
      <c r="AI6886">
        <v>328.05930000000001</v>
      </c>
      <c r="AJ6886">
        <v>20.48826</v>
      </c>
      <c r="AK6886">
        <v>60.082210000000003</v>
      </c>
    </row>
    <row r="6887" spans="1:37" x14ac:dyDescent="0.3">
      <c r="A6887">
        <v>6886</v>
      </c>
      <c r="B6887">
        <v>25</v>
      </c>
      <c r="C6887">
        <v>-3.2732899999999998</v>
      </c>
      <c r="D6887">
        <v>14.686</v>
      </c>
      <c r="E6887">
        <f>-3.27329-14.686</f>
        <v>-17.959289999999999</v>
      </c>
      <c r="F6887" t="s">
        <v>10323</v>
      </c>
      <c r="G6887" t="s">
        <v>39</v>
      </c>
      <c r="H6887">
        <v>1990</v>
      </c>
      <c r="I6887">
        <v>26.1</v>
      </c>
      <c r="J6887">
        <v>14</v>
      </c>
      <c r="K6887">
        <v>55</v>
      </c>
      <c r="L6887">
        <v>29.51</v>
      </c>
      <c r="M6887">
        <v>38.200000000000003</v>
      </c>
      <c r="N6887">
        <v>13.1</v>
      </c>
      <c r="O6887">
        <v>25.1</v>
      </c>
      <c r="P6887">
        <v>26.1</v>
      </c>
      <c r="Q6887">
        <v>21.9</v>
      </c>
      <c r="R6887">
        <v>29.9</v>
      </c>
      <c r="S6887">
        <v>21.9</v>
      </c>
      <c r="T6887">
        <v>497</v>
      </c>
      <c r="U6887">
        <v>162</v>
      </c>
      <c r="V6887">
        <v>0</v>
      </c>
      <c r="W6887">
        <v>130</v>
      </c>
      <c r="X6887">
        <v>389</v>
      </c>
      <c r="Y6887">
        <v>0</v>
      </c>
      <c r="Z6887">
        <v>82</v>
      </c>
      <c r="AA6887">
        <v>0</v>
      </c>
      <c r="AB6887">
        <v>8.2612869999999994</v>
      </c>
      <c r="AC6887">
        <v>3.8140100000000003E-2</v>
      </c>
      <c r="AD6887">
        <v>3.7511239999999999</v>
      </c>
      <c r="AE6887">
        <v>0.3135867</v>
      </c>
      <c r="AF6887">
        <v>573.62649999999996</v>
      </c>
      <c r="AG6887">
        <f>IFERROR(AH6887*0.1, "N/A")</f>
        <v>6.88727</v>
      </c>
      <c r="AH6887">
        <v>68.872699999999995</v>
      </c>
      <c r="AI6887">
        <v>140.637</v>
      </c>
      <c r="AJ6887">
        <v>15.1273</v>
      </c>
      <c r="AK6887">
        <v>70.403689999999997</v>
      </c>
    </row>
    <row r="6888" spans="1:37" x14ac:dyDescent="0.3">
      <c r="A6888">
        <v>6887</v>
      </c>
      <c r="B6888">
        <v>0</v>
      </c>
      <c r="C6888">
        <v>-3.2732899999999998</v>
      </c>
      <c r="D6888">
        <v>14.686</v>
      </c>
      <c r="E6888">
        <f>-3.27329-14.686</f>
        <v>-17.959289999999999</v>
      </c>
      <c r="F6888" t="s">
        <v>10324</v>
      </c>
      <c r="G6888" t="s">
        <v>37</v>
      </c>
      <c r="H6888">
        <v>1990</v>
      </c>
      <c r="I6888">
        <v>26.1</v>
      </c>
      <c r="J6888">
        <v>14</v>
      </c>
      <c r="K6888">
        <v>55</v>
      </c>
      <c r="L6888">
        <v>29.51</v>
      </c>
      <c r="M6888">
        <v>38.200000000000003</v>
      </c>
      <c r="N6888">
        <v>13.1</v>
      </c>
      <c r="O6888">
        <v>25.1</v>
      </c>
      <c r="P6888">
        <v>26.1</v>
      </c>
      <c r="Q6888">
        <v>21.9</v>
      </c>
      <c r="R6888">
        <v>29.9</v>
      </c>
      <c r="S6888">
        <v>21.9</v>
      </c>
      <c r="T6888">
        <v>497</v>
      </c>
      <c r="U6888">
        <v>162</v>
      </c>
      <c r="V6888">
        <v>0</v>
      </c>
      <c r="W6888">
        <v>130</v>
      </c>
      <c r="X6888">
        <v>389</v>
      </c>
      <c r="Y6888">
        <v>0</v>
      </c>
      <c r="Z6888">
        <v>82</v>
      </c>
      <c r="AA6888">
        <v>0</v>
      </c>
      <c r="AB6888">
        <v>8.2612869999999994</v>
      </c>
      <c r="AC6888">
        <v>3.8140100000000003E-2</v>
      </c>
      <c r="AD6888">
        <v>3.7511239999999999</v>
      </c>
      <c r="AE6888">
        <v>0.3135867</v>
      </c>
      <c r="AF6888">
        <v>573.62649999999996</v>
      </c>
      <c r="AG6888">
        <f>IFERROR(AH6888*0.1, "N/A")</f>
        <v>6.88727</v>
      </c>
      <c r="AH6888">
        <v>68.872699999999995</v>
      </c>
      <c r="AI6888">
        <v>140.637</v>
      </c>
      <c r="AJ6888">
        <v>15.1273</v>
      </c>
      <c r="AK6888">
        <v>70.403689999999997</v>
      </c>
    </row>
    <row r="6889" spans="1:37" x14ac:dyDescent="0.3">
      <c r="A6889">
        <v>6888</v>
      </c>
      <c r="B6889">
        <v>81</v>
      </c>
      <c r="C6889">
        <v>-4.05</v>
      </c>
      <c r="D6889">
        <v>14.7</v>
      </c>
      <c r="E6889">
        <f>-4.05-14.7</f>
        <v>-18.75</v>
      </c>
      <c r="F6889" t="s">
        <v>10325</v>
      </c>
      <c r="G6889" t="s">
        <v>39</v>
      </c>
      <c r="H6889">
        <v>1987</v>
      </c>
      <c r="I6889">
        <v>27.9</v>
      </c>
      <c r="J6889">
        <v>14.1</v>
      </c>
      <c r="K6889">
        <v>54</v>
      </c>
      <c r="L6889">
        <v>29.185130000000001</v>
      </c>
      <c r="M6889">
        <v>40.340269999999997</v>
      </c>
      <c r="N6889">
        <v>14.6</v>
      </c>
      <c r="O6889">
        <v>25.740269999999999</v>
      </c>
      <c r="P6889">
        <v>27.9</v>
      </c>
      <c r="Q6889">
        <v>25.41929</v>
      </c>
      <c r="R6889">
        <v>31.7</v>
      </c>
      <c r="S6889">
        <v>23.8</v>
      </c>
      <c r="T6889">
        <v>465.9128</v>
      </c>
      <c r="U6889">
        <v>158</v>
      </c>
      <c r="V6889">
        <v>0</v>
      </c>
      <c r="W6889">
        <v>137.9128</v>
      </c>
      <c r="X6889">
        <v>370.9128</v>
      </c>
      <c r="Y6889">
        <v>0</v>
      </c>
      <c r="Z6889">
        <v>78</v>
      </c>
      <c r="AA6889">
        <v>0</v>
      </c>
      <c r="AB6889">
        <v>0.11812159999999999</v>
      </c>
      <c r="AC6889">
        <v>1764.222</v>
      </c>
      <c r="AD6889">
        <v>1.32162</v>
      </c>
      <c r="AE6889">
        <v>0.28889599999999999</v>
      </c>
      <c r="AF6889">
        <v>264.97149999999999</v>
      </c>
      <c r="AG6889">
        <f>IFERROR(AH6889*0.1, "N/A")</f>
        <v>6.5</v>
      </c>
      <c r="AH6889">
        <v>65</v>
      </c>
      <c r="AI6889">
        <v>82.558660000000003</v>
      </c>
      <c r="AJ6889">
        <v>14.614089999999999</v>
      </c>
      <c r="AK6889">
        <v>68.157719999999998</v>
      </c>
    </row>
    <row r="6890" spans="1:37" x14ac:dyDescent="0.3">
      <c r="A6890">
        <v>6889</v>
      </c>
      <c r="B6890">
        <v>0</v>
      </c>
      <c r="C6890">
        <v>-4.05</v>
      </c>
      <c r="D6890">
        <v>14.7</v>
      </c>
      <c r="E6890">
        <f>-4.05-14.7</f>
        <v>-18.75</v>
      </c>
      <c r="F6890" t="s">
        <v>10326</v>
      </c>
      <c r="G6890" t="s">
        <v>37</v>
      </c>
      <c r="H6890">
        <v>1987</v>
      </c>
      <c r="I6890">
        <v>27.9</v>
      </c>
      <c r="J6890">
        <v>14.1</v>
      </c>
      <c r="K6890">
        <v>54</v>
      </c>
      <c r="L6890">
        <v>29.185130000000001</v>
      </c>
      <c r="M6890">
        <v>40.340269999999997</v>
      </c>
      <c r="N6890">
        <v>14.6</v>
      </c>
      <c r="O6890">
        <v>25.740269999999999</v>
      </c>
      <c r="P6890">
        <v>27.9</v>
      </c>
      <c r="Q6890">
        <v>25.41929</v>
      </c>
      <c r="R6890">
        <v>31.7</v>
      </c>
      <c r="S6890">
        <v>23.8</v>
      </c>
      <c r="T6890">
        <v>465.9128</v>
      </c>
      <c r="U6890">
        <v>158</v>
      </c>
      <c r="V6890">
        <v>0</v>
      </c>
      <c r="W6890">
        <v>137.9128</v>
      </c>
      <c r="X6890">
        <v>370.9128</v>
      </c>
      <c r="Y6890">
        <v>0</v>
      </c>
      <c r="Z6890">
        <v>78</v>
      </c>
      <c r="AA6890">
        <v>0</v>
      </c>
      <c r="AB6890">
        <v>0.11812159999999999</v>
      </c>
      <c r="AC6890">
        <v>1764.222</v>
      </c>
      <c r="AD6890">
        <v>1.32162</v>
      </c>
      <c r="AE6890">
        <v>0.28889599999999999</v>
      </c>
      <c r="AF6890">
        <v>264.97149999999999</v>
      </c>
      <c r="AG6890">
        <f>IFERROR(AH6890*0.1, "N/A")</f>
        <v>6.5</v>
      </c>
      <c r="AH6890">
        <v>65</v>
      </c>
      <c r="AI6890">
        <v>82.558660000000003</v>
      </c>
      <c r="AJ6890">
        <v>14.614089999999999</v>
      </c>
      <c r="AK6890">
        <v>68.157719999999998</v>
      </c>
    </row>
    <row r="6891" spans="1:37" x14ac:dyDescent="0.3">
      <c r="A6891">
        <v>6890</v>
      </c>
      <c r="B6891">
        <v>30.8</v>
      </c>
      <c r="C6891">
        <v>-3.06629</v>
      </c>
      <c r="D6891">
        <v>14.7247</v>
      </c>
      <c r="E6891">
        <f>-3.06629-14.7247</f>
        <v>-17.790990000000001</v>
      </c>
      <c r="F6891" t="s">
        <v>10327</v>
      </c>
      <c r="G6891" t="s">
        <v>39</v>
      </c>
      <c r="H6891">
        <v>1995</v>
      </c>
      <c r="I6891">
        <v>27.473369999999999</v>
      </c>
      <c r="J6891">
        <v>14</v>
      </c>
      <c r="K6891">
        <v>55</v>
      </c>
      <c r="L6891">
        <v>29.937169999999998</v>
      </c>
      <c r="M6891">
        <v>39.565159999999999</v>
      </c>
      <c r="N6891">
        <v>14.37337</v>
      </c>
      <c r="O6891">
        <v>25.191790000000001</v>
      </c>
      <c r="P6891">
        <v>27.473369999999999</v>
      </c>
      <c r="Q6891">
        <v>23.69699</v>
      </c>
      <c r="R6891">
        <v>31.365159999999999</v>
      </c>
      <c r="S6891">
        <v>23.27337</v>
      </c>
      <c r="T6891">
        <v>480.1943</v>
      </c>
      <c r="U6891">
        <v>156.01009999999999</v>
      </c>
      <c r="V6891">
        <v>0</v>
      </c>
      <c r="W6891">
        <v>130.62649999999999</v>
      </c>
      <c r="X6891">
        <v>378.18430000000001</v>
      </c>
      <c r="Y6891">
        <v>0</v>
      </c>
      <c r="Z6891">
        <v>78.927970000000002</v>
      </c>
      <c r="AA6891">
        <v>0</v>
      </c>
      <c r="AB6891">
        <v>145.72980000000001</v>
      </c>
      <c r="AC6891">
        <v>6.3201289999999993E-2</v>
      </c>
      <c r="AD6891">
        <v>9.8692229999999999</v>
      </c>
      <c r="AE6891">
        <v>0.35108200000000001</v>
      </c>
      <c r="AF6891">
        <v>459.82580000000002</v>
      </c>
      <c r="AG6891">
        <f>IFERROR(AH6891*0.1, "N/A")</f>
        <v>7.4</v>
      </c>
      <c r="AH6891">
        <v>74</v>
      </c>
      <c r="AI6891">
        <v>73.467010000000002</v>
      </c>
      <c r="AJ6891">
        <v>16.835850000000001</v>
      </c>
      <c r="AK6891">
        <v>66</v>
      </c>
    </row>
    <row r="6892" spans="1:37" x14ac:dyDescent="0.3">
      <c r="A6892">
        <v>6891</v>
      </c>
      <c r="B6892">
        <v>39.200000000000003</v>
      </c>
      <c r="C6892">
        <v>-6.0808999999999997</v>
      </c>
      <c r="D6892">
        <v>14.746499999999999</v>
      </c>
      <c r="E6892">
        <f>-6.0809-14.7465</f>
        <v>-20.827399999999997</v>
      </c>
      <c r="F6892" t="s">
        <v>10328</v>
      </c>
      <c r="G6892" t="s">
        <v>39</v>
      </c>
      <c r="H6892">
        <v>1990</v>
      </c>
      <c r="I6892">
        <v>27.3</v>
      </c>
      <c r="J6892">
        <v>15.7</v>
      </c>
      <c r="K6892">
        <v>58</v>
      </c>
      <c r="L6892">
        <v>28.38</v>
      </c>
      <c r="M6892">
        <v>39.799999999999997</v>
      </c>
      <c r="N6892">
        <v>13.1</v>
      </c>
      <c r="O6892">
        <v>26.7</v>
      </c>
      <c r="P6892">
        <v>27.3</v>
      </c>
      <c r="Q6892">
        <v>25.2</v>
      </c>
      <c r="R6892">
        <v>31.1</v>
      </c>
      <c r="S6892">
        <v>23.5</v>
      </c>
      <c r="T6892">
        <v>483</v>
      </c>
      <c r="U6892">
        <v>180</v>
      </c>
      <c r="V6892">
        <v>0</v>
      </c>
      <c r="W6892">
        <v>143</v>
      </c>
      <c r="X6892">
        <v>399</v>
      </c>
      <c r="Y6892">
        <v>1</v>
      </c>
      <c r="Z6892">
        <v>63</v>
      </c>
      <c r="AA6892">
        <v>1</v>
      </c>
      <c r="AB6892">
        <v>1.2298819999999999</v>
      </c>
      <c r="AC6892">
        <v>8.7990559999999995E-3</v>
      </c>
      <c r="AD6892">
        <v>1.4125639999999999</v>
      </c>
      <c r="AE6892">
        <v>0.62039029999999995</v>
      </c>
      <c r="AF6892">
        <v>273.39429999999999</v>
      </c>
      <c r="AG6892">
        <f>IFERROR(AH6892*0.1, "N/A")</f>
        <v>5.9266779999999999</v>
      </c>
      <c r="AH6892">
        <v>59.266779999999997</v>
      </c>
      <c r="AI6892">
        <v>146.76750000000001</v>
      </c>
      <c r="AJ6892">
        <v>20.62584</v>
      </c>
      <c r="AK6892">
        <v>55.372480000000003</v>
      </c>
    </row>
    <row r="6893" spans="1:37" x14ac:dyDescent="0.3">
      <c r="A6893">
        <v>6892</v>
      </c>
      <c r="B6893">
        <v>54</v>
      </c>
      <c r="C6893">
        <v>-6.0808999999999997</v>
      </c>
      <c r="D6893">
        <v>14.746499999999999</v>
      </c>
      <c r="E6893">
        <f>-6.0809-14.7465</f>
        <v>-20.827399999999997</v>
      </c>
      <c r="F6893" t="s">
        <v>10329</v>
      </c>
      <c r="G6893" t="s">
        <v>37</v>
      </c>
      <c r="H6893">
        <v>1990</v>
      </c>
      <c r="I6893">
        <v>27.3</v>
      </c>
      <c r="J6893">
        <v>15.7</v>
      </c>
      <c r="K6893">
        <v>58</v>
      </c>
      <c r="L6893">
        <v>28.38</v>
      </c>
      <c r="M6893">
        <v>39.799999999999997</v>
      </c>
      <c r="N6893">
        <v>13.1</v>
      </c>
      <c r="O6893">
        <v>26.7</v>
      </c>
      <c r="P6893">
        <v>27.3</v>
      </c>
      <c r="Q6893">
        <v>25.2</v>
      </c>
      <c r="R6893">
        <v>31.1</v>
      </c>
      <c r="S6893">
        <v>23.5</v>
      </c>
      <c r="T6893">
        <v>483</v>
      </c>
      <c r="U6893">
        <v>180</v>
      </c>
      <c r="V6893">
        <v>0</v>
      </c>
      <c r="W6893">
        <v>143</v>
      </c>
      <c r="X6893">
        <v>399</v>
      </c>
      <c r="Y6893">
        <v>1</v>
      </c>
      <c r="Z6893">
        <v>63</v>
      </c>
      <c r="AA6893">
        <v>1</v>
      </c>
      <c r="AB6893">
        <v>1.2298819999999999</v>
      </c>
      <c r="AC6893">
        <v>8.7990559999999995E-3</v>
      </c>
      <c r="AD6893">
        <v>1.4125639999999999</v>
      </c>
      <c r="AE6893">
        <v>0.62039029999999995</v>
      </c>
      <c r="AF6893">
        <v>273.39429999999999</v>
      </c>
      <c r="AG6893">
        <f>IFERROR(AH6893*0.1, "N/A")</f>
        <v>5.9266779999999999</v>
      </c>
      <c r="AH6893">
        <v>59.266779999999997</v>
      </c>
      <c r="AI6893">
        <v>146.76750000000001</v>
      </c>
      <c r="AJ6893">
        <v>20.62584</v>
      </c>
      <c r="AK6893">
        <v>55.372480000000003</v>
      </c>
    </row>
    <row r="6894" spans="1:37" x14ac:dyDescent="0.3">
      <c r="A6894">
        <v>6893</v>
      </c>
      <c r="B6894">
        <v>100</v>
      </c>
      <c r="C6894">
        <v>-4.0019999999999998</v>
      </c>
      <c r="D6894">
        <v>14.763999999999999</v>
      </c>
      <c r="E6894">
        <f>-4.002-14.764</f>
        <v>-18.765999999999998</v>
      </c>
      <c r="F6894" t="s">
        <v>10330</v>
      </c>
      <c r="G6894" t="s">
        <v>39</v>
      </c>
      <c r="H6894">
        <v>1987</v>
      </c>
      <c r="I6894">
        <v>27.8</v>
      </c>
      <c r="J6894">
        <v>14.1</v>
      </c>
      <c r="K6894">
        <v>54</v>
      </c>
      <c r="L6894">
        <v>29.33</v>
      </c>
      <c r="M6894">
        <v>40.299999999999997</v>
      </c>
      <c r="N6894">
        <v>14.6</v>
      </c>
      <c r="O6894">
        <v>25.7</v>
      </c>
      <c r="P6894">
        <v>28</v>
      </c>
      <c r="Q6894">
        <v>24.1</v>
      </c>
      <c r="R6894">
        <v>31.6</v>
      </c>
      <c r="S6894">
        <v>23.7</v>
      </c>
      <c r="T6894">
        <v>457</v>
      </c>
      <c r="U6894">
        <v>156</v>
      </c>
      <c r="V6894">
        <v>0</v>
      </c>
      <c r="W6894">
        <v>135</v>
      </c>
      <c r="X6894">
        <v>364</v>
      </c>
      <c r="Y6894">
        <v>0</v>
      </c>
      <c r="Z6894">
        <v>75</v>
      </c>
      <c r="AA6894">
        <v>0</v>
      </c>
      <c r="AB6894">
        <v>0.26460329999999999</v>
      </c>
      <c r="AC6894">
        <v>0.46982610000000002</v>
      </c>
      <c r="AD6894">
        <v>1.057876</v>
      </c>
      <c r="AE6894">
        <v>0.30389870000000002</v>
      </c>
      <c r="AF6894">
        <v>265.63589999999999</v>
      </c>
      <c r="AG6894">
        <f>IFERROR(AH6894*0.1, "N/A")</f>
        <v>7.3800340000000011</v>
      </c>
      <c r="AH6894">
        <v>73.800340000000006</v>
      </c>
      <c r="AI6894">
        <v>157.0378</v>
      </c>
      <c r="AJ6894">
        <v>31.340599999999998</v>
      </c>
      <c r="AK6894">
        <v>47.835569999999997</v>
      </c>
    </row>
    <row r="6895" spans="1:37" x14ac:dyDescent="0.3">
      <c r="A6895">
        <v>6894</v>
      </c>
      <c r="B6895">
        <v>0</v>
      </c>
      <c r="C6895">
        <v>-4.0019999999999998</v>
      </c>
      <c r="D6895">
        <v>14.763999999999999</v>
      </c>
      <c r="E6895">
        <f>-4.002-14.764</f>
        <v>-18.765999999999998</v>
      </c>
      <c r="F6895" t="s">
        <v>10331</v>
      </c>
      <c r="G6895" t="s">
        <v>37</v>
      </c>
      <c r="H6895">
        <v>1987</v>
      </c>
      <c r="I6895">
        <v>27.8</v>
      </c>
      <c r="J6895">
        <v>14.1</v>
      </c>
      <c r="K6895">
        <v>54</v>
      </c>
      <c r="L6895">
        <v>29.33</v>
      </c>
      <c r="M6895">
        <v>40.299999999999997</v>
      </c>
      <c r="N6895">
        <v>14.6</v>
      </c>
      <c r="O6895">
        <v>25.7</v>
      </c>
      <c r="P6895">
        <v>28</v>
      </c>
      <c r="Q6895">
        <v>24.1</v>
      </c>
      <c r="R6895">
        <v>31.6</v>
      </c>
      <c r="S6895">
        <v>23.7</v>
      </c>
      <c r="T6895">
        <v>457</v>
      </c>
      <c r="U6895">
        <v>156</v>
      </c>
      <c r="V6895">
        <v>0</v>
      </c>
      <c r="W6895">
        <v>135</v>
      </c>
      <c r="X6895">
        <v>364</v>
      </c>
      <c r="Y6895">
        <v>0</v>
      </c>
      <c r="Z6895">
        <v>75</v>
      </c>
      <c r="AA6895">
        <v>0</v>
      </c>
      <c r="AB6895">
        <v>0.26460329999999999</v>
      </c>
      <c r="AC6895">
        <v>0.46982610000000002</v>
      </c>
      <c r="AD6895">
        <v>1.057876</v>
      </c>
      <c r="AE6895">
        <v>0.30389870000000002</v>
      </c>
      <c r="AF6895">
        <v>265.63589999999999</v>
      </c>
      <c r="AG6895">
        <f>IFERROR(AH6895*0.1, "N/A")</f>
        <v>7.3800340000000011</v>
      </c>
      <c r="AH6895">
        <v>73.800340000000006</v>
      </c>
      <c r="AI6895">
        <v>157.0378</v>
      </c>
      <c r="AJ6895">
        <v>31.340599999999998</v>
      </c>
      <c r="AK6895">
        <v>47.835569999999997</v>
      </c>
    </row>
    <row r="6896" spans="1:37" x14ac:dyDescent="0.3">
      <c r="A6896">
        <v>6895</v>
      </c>
      <c r="B6896">
        <v>62.2</v>
      </c>
      <c r="C6896">
        <v>-6.0208000000000004</v>
      </c>
      <c r="D6896">
        <v>14.7997</v>
      </c>
      <c r="E6896">
        <f>-6.0208-14.7997</f>
        <v>-20.820499999999999</v>
      </c>
      <c r="F6896" t="s">
        <v>10332</v>
      </c>
      <c r="G6896" t="s">
        <v>39</v>
      </c>
      <c r="H6896">
        <v>1990</v>
      </c>
      <c r="I6896">
        <v>27.35209</v>
      </c>
      <c r="J6896">
        <v>15.7</v>
      </c>
      <c r="K6896">
        <v>58</v>
      </c>
      <c r="L6896">
        <v>28.795809999999999</v>
      </c>
      <c r="M6896">
        <v>39.9</v>
      </c>
      <c r="N6896">
        <v>13.1</v>
      </c>
      <c r="O6896">
        <v>26.8</v>
      </c>
      <c r="P6896">
        <v>27.3</v>
      </c>
      <c r="Q6896">
        <v>25.1</v>
      </c>
      <c r="R6896">
        <v>31.1</v>
      </c>
      <c r="S6896">
        <v>23.4</v>
      </c>
      <c r="T6896">
        <v>469.56279999999998</v>
      </c>
      <c r="U6896">
        <v>173.52090000000001</v>
      </c>
      <c r="V6896">
        <v>0</v>
      </c>
      <c r="W6896">
        <v>140.52090000000001</v>
      </c>
      <c r="X6896">
        <v>385.0419</v>
      </c>
      <c r="Y6896">
        <v>1</v>
      </c>
      <c r="Z6896">
        <v>63.520940000000003</v>
      </c>
      <c r="AA6896">
        <v>1</v>
      </c>
      <c r="AB6896">
        <v>3.0319859999999998</v>
      </c>
      <c r="AC6896">
        <v>35.413910000000001</v>
      </c>
      <c r="AD6896">
        <v>1.7987280000000001</v>
      </c>
      <c r="AE6896">
        <v>0.57429739999999996</v>
      </c>
      <c r="AF6896">
        <v>272.86930000000001</v>
      </c>
      <c r="AG6896">
        <f>IFERROR(AH6896*0.1, "N/A")</f>
        <v>6.2</v>
      </c>
      <c r="AH6896">
        <v>62</v>
      </c>
      <c r="AI6896">
        <v>219.15459999999999</v>
      </c>
      <c r="AJ6896">
        <v>22.180900000000001</v>
      </c>
      <c r="AK6896">
        <v>52.546059999999997</v>
      </c>
    </row>
    <row r="6897" spans="1:37" x14ac:dyDescent="0.3">
      <c r="A6897">
        <v>6896</v>
      </c>
      <c r="B6897">
        <v>58.8</v>
      </c>
      <c r="C6897">
        <v>-6.0208000000000004</v>
      </c>
      <c r="D6897">
        <v>14.7997</v>
      </c>
      <c r="E6897">
        <f>-6.0208-14.7997</f>
        <v>-20.820499999999999</v>
      </c>
      <c r="F6897" t="s">
        <v>10333</v>
      </c>
      <c r="G6897" t="s">
        <v>37</v>
      </c>
      <c r="H6897">
        <v>1990</v>
      </c>
      <c r="I6897">
        <v>27.35209</v>
      </c>
      <c r="J6897">
        <v>15.7</v>
      </c>
      <c r="K6897">
        <v>58</v>
      </c>
      <c r="L6897">
        <v>28.795809999999999</v>
      </c>
      <c r="M6897">
        <v>39.9</v>
      </c>
      <c r="N6897">
        <v>13.1</v>
      </c>
      <c r="O6897">
        <v>26.8</v>
      </c>
      <c r="P6897">
        <v>27.3</v>
      </c>
      <c r="Q6897">
        <v>25.1</v>
      </c>
      <c r="R6897">
        <v>31.1</v>
      </c>
      <c r="S6897">
        <v>23.4</v>
      </c>
      <c r="T6897">
        <v>469.56279999999998</v>
      </c>
      <c r="U6897">
        <v>173.52090000000001</v>
      </c>
      <c r="V6897">
        <v>0</v>
      </c>
      <c r="W6897">
        <v>140.52090000000001</v>
      </c>
      <c r="X6897">
        <v>385.0419</v>
      </c>
      <c r="Y6897">
        <v>1</v>
      </c>
      <c r="Z6897">
        <v>63.520940000000003</v>
      </c>
      <c r="AA6897">
        <v>1</v>
      </c>
      <c r="AB6897">
        <v>3.0319859999999998</v>
      </c>
      <c r="AC6897">
        <v>35.413910000000001</v>
      </c>
      <c r="AD6897">
        <v>1.7987280000000001</v>
      </c>
      <c r="AE6897">
        <v>0.57429739999999996</v>
      </c>
      <c r="AF6897">
        <v>272.86930000000001</v>
      </c>
      <c r="AG6897">
        <f>IFERROR(AH6897*0.1, "N/A")</f>
        <v>6.2</v>
      </c>
      <c r="AH6897">
        <v>62</v>
      </c>
      <c r="AI6897">
        <v>219.15459999999999</v>
      </c>
      <c r="AJ6897">
        <v>22.180900000000001</v>
      </c>
      <c r="AK6897">
        <v>52.546059999999997</v>
      </c>
    </row>
    <row r="6898" spans="1:37" x14ac:dyDescent="0.3">
      <c r="A6898">
        <v>6897</v>
      </c>
      <c r="B6898">
        <v>69.099999999999994</v>
      </c>
      <c r="C6898">
        <v>-3.7583000000000002</v>
      </c>
      <c r="D6898">
        <v>14.805199999999999</v>
      </c>
      <c r="E6898">
        <f>-3.7583-14.8052</f>
        <v>-18.563499999999998</v>
      </c>
      <c r="F6898" t="s">
        <v>10334</v>
      </c>
      <c r="G6898" t="s">
        <v>39</v>
      </c>
      <c r="H6898">
        <v>1990</v>
      </c>
      <c r="I6898">
        <v>26.744050000000001</v>
      </c>
      <c r="J6898">
        <v>14.07203</v>
      </c>
      <c r="K6898">
        <v>55</v>
      </c>
      <c r="L6898">
        <v>29.294409999999999</v>
      </c>
      <c r="M6898">
        <v>39.14405</v>
      </c>
      <c r="N6898">
        <v>13.672029999999999</v>
      </c>
      <c r="O6898">
        <v>25.47203</v>
      </c>
      <c r="P6898">
        <v>26.872029999999999</v>
      </c>
      <c r="Q6898">
        <v>22.64405</v>
      </c>
      <c r="R6898">
        <v>30.544049999999999</v>
      </c>
      <c r="S6898">
        <v>22.64405</v>
      </c>
      <c r="T6898">
        <v>463</v>
      </c>
      <c r="U6898">
        <v>157</v>
      </c>
      <c r="V6898">
        <v>0</v>
      </c>
      <c r="W6898">
        <v>135</v>
      </c>
      <c r="X6898">
        <v>368</v>
      </c>
      <c r="Y6898">
        <v>0</v>
      </c>
      <c r="Z6898">
        <v>74</v>
      </c>
      <c r="AA6898">
        <v>0</v>
      </c>
      <c r="AB6898">
        <v>14.21759</v>
      </c>
      <c r="AC6898">
        <v>0.16076099999999999</v>
      </c>
      <c r="AD6898">
        <v>15.331289999999999</v>
      </c>
      <c r="AE6898">
        <v>0.2420784</v>
      </c>
      <c r="AF6898">
        <v>290.82080000000002</v>
      </c>
      <c r="AG6898">
        <f>IFERROR(AH6898*0.1, "N/A")</f>
        <v>6.7</v>
      </c>
      <c r="AH6898">
        <v>67</v>
      </c>
      <c r="AI6898">
        <v>86.790409999999994</v>
      </c>
      <c r="AJ6898">
        <v>22.934670000000001</v>
      </c>
      <c r="AK6898">
        <v>59.753770000000003</v>
      </c>
    </row>
    <row r="6899" spans="1:37" x14ac:dyDescent="0.3">
      <c r="A6899">
        <v>6898</v>
      </c>
      <c r="B6899">
        <v>32.9</v>
      </c>
      <c r="C6899">
        <v>-3.7583000000000002</v>
      </c>
      <c r="D6899">
        <v>14.805199999999999</v>
      </c>
      <c r="E6899">
        <f>-3.7583-14.8052</f>
        <v>-18.563499999999998</v>
      </c>
      <c r="F6899" t="s">
        <v>10335</v>
      </c>
      <c r="G6899" t="s">
        <v>37</v>
      </c>
      <c r="H6899">
        <v>1990</v>
      </c>
      <c r="I6899">
        <v>26.744050000000001</v>
      </c>
      <c r="J6899">
        <v>14.07203</v>
      </c>
      <c r="K6899">
        <v>55</v>
      </c>
      <c r="L6899">
        <v>29.294409999999999</v>
      </c>
      <c r="M6899">
        <v>39.14405</v>
      </c>
      <c r="N6899">
        <v>13.672029999999999</v>
      </c>
      <c r="O6899">
        <v>25.47203</v>
      </c>
      <c r="P6899">
        <v>26.872029999999999</v>
      </c>
      <c r="Q6899">
        <v>22.64405</v>
      </c>
      <c r="R6899">
        <v>30.544049999999999</v>
      </c>
      <c r="S6899">
        <v>22.64405</v>
      </c>
      <c r="T6899">
        <v>463</v>
      </c>
      <c r="U6899">
        <v>157</v>
      </c>
      <c r="V6899">
        <v>0</v>
      </c>
      <c r="W6899">
        <v>135</v>
      </c>
      <c r="X6899">
        <v>368</v>
      </c>
      <c r="Y6899">
        <v>0</v>
      </c>
      <c r="Z6899">
        <v>74</v>
      </c>
      <c r="AA6899">
        <v>0</v>
      </c>
      <c r="AB6899">
        <v>14.21759</v>
      </c>
      <c r="AC6899">
        <v>0.16076099999999999</v>
      </c>
      <c r="AD6899">
        <v>15.331289999999999</v>
      </c>
      <c r="AE6899">
        <v>0.2420784</v>
      </c>
      <c r="AF6899">
        <v>290.82080000000002</v>
      </c>
      <c r="AG6899">
        <f>IFERROR(AH6899*0.1, "N/A")</f>
        <v>6.7</v>
      </c>
      <c r="AH6899">
        <v>67</v>
      </c>
      <c r="AI6899">
        <v>86.790409999999994</v>
      </c>
      <c r="AJ6899">
        <v>22.934670000000001</v>
      </c>
      <c r="AK6899">
        <v>59.753770000000003</v>
      </c>
    </row>
    <row r="6900" spans="1:37" x14ac:dyDescent="0.3">
      <c r="A6900">
        <v>6899</v>
      </c>
      <c r="B6900">
        <v>33.6</v>
      </c>
      <c r="C6900">
        <v>-6.0182000000000002</v>
      </c>
      <c r="D6900">
        <v>14.805899999999999</v>
      </c>
      <c r="E6900">
        <f>-6.0182-14.8059</f>
        <v>-20.824100000000001</v>
      </c>
      <c r="F6900" t="s">
        <v>10336</v>
      </c>
      <c r="G6900" t="s">
        <v>39</v>
      </c>
      <c r="H6900">
        <v>1995</v>
      </c>
      <c r="I6900">
        <v>27.3</v>
      </c>
      <c r="J6900">
        <v>15.7</v>
      </c>
      <c r="K6900">
        <v>58</v>
      </c>
      <c r="L6900">
        <v>28.9</v>
      </c>
      <c r="M6900">
        <v>39.9</v>
      </c>
      <c r="N6900">
        <v>13.1</v>
      </c>
      <c r="O6900">
        <v>26.8</v>
      </c>
      <c r="P6900">
        <v>27.3</v>
      </c>
      <c r="Q6900">
        <v>25.1</v>
      </c>
      <c r="R6900">
        <v>31.1</v>
      </c>
      <c r="S6900">
        <v>23.4</v>
      </c>
      <c r="T6900">
        <v>468</v>
      </c>
      <c r="U6900">
        <v>173</v>
      </c>
      <c r="V6900">
        <v>0</v>
      </c>
      <c r="W6900">
        <v>140</v>
      </c>
      <c r="X6900">
        <v>384</v>
      </c>
      <c r="Y6900">
        <v>1</v>
      </c>
      <c r="Z6900">
        <v>63</v>
      </c>
      <c r="AA6900">
        <v>1</v>
      </c>
      <c r="AB6900">
        <v>2.9534319999999998</v>
      </c>
      <c r="AC6900">
        <v>50.95102</v>
      </c>
      <c r="AD6900">
        <v>0.96355919999999995</v>
      </c>
      <c r="AE6900">
        <v>0.54899569999999998</v>
      </c>
      <c r="AF6900">
        <v>271.67340000000002</v>
      </c>
      <c r="AG6900">
        <f>IFERROR(AH6900*0.1, "N/A")</f>
        <v>6.0095480000000006</v>
      </c>
      <c r="AH6900">
        <v>60.095480000000002</v>
      </c>
      <c r="AI6900">
        <v>191.3314</v>
      </c>
      <c r="AJ6900">
        <v>25.897819999999999</v>
      </c>
      <c r="AK6900">
        <v>47.217759999999998</v>
      </c>
    </row>
    <row r="6901" spans="1:37" x14ac:dyDescent="0.3">
      <c r="A6901">
        <v>6900</v>
      </c>
      <c r="B6901">
        <v>47.9</v>
      </c>
      <c r="C6901">
        <v>-6.0182000000000002</v>
      </c>
      <c r="D6901">
        <v>14.805899999999999</v>
      </c>
      <c r="E6901">
        <f>-6.0182-14.8059</f>
        <v>-20.824100000000001</v>
      </c>
      <c r="F6901" t="s">
        <v>10337</v>
      </c>
      <c r="G6901" t="s">
        <v>37</v>
      </c>
      <c r="H6901">
        <v>1995</v>
      </c>
      <c r="I6901">
        <v>27.3</v>
      </c>
      <c r="J6901">
        <v>15.7</v>
      </c>
      <c r="K6901">
        <v>58</v>
      </c>
      <c r="L6901">
        <v>28.9</v>
      </c>
      <c r="M6901">
        <v>39.9</v>
      </c>
      <c r="N6901">
        <v>13.1</v>
      </c>
      <c r="O6901">
        <v>26.8</v>
      </c>
      <c r="P6901">
        <v>27.3</v>
      </c>
      <c r="Q6901">
        <v>25.1</v>
      </c>
      <c r="R6901">
        <v>31.1</v>
      </c>
      <c r="S6901">
        <v>23.4</v>
      </c>
      <c r="T6901">
        <v>468</v>
      </c>
      <c r="U6901">
        <v>173</v>
      </c>
      <c r="V6901">
        <v>0</v>
      </c>
      <c r="W6901">
        <v>140</v>
      </c>
      <c r="X6901">
        <v>384</v>
      </c>
      <c r="Y6901">
        <v>1</v>
      </c>
      <c r="Z6901">
        <v>63</v>
      </c>
      <c r="AA6901">
        <v>1</v>
      </c>
      <c r="AB6901">
        <v>2.9534319999999998</v>
      </c>
      <c r="AC6901">
        <v>50.95102</v>
      </c>
      <c r="AD6901">
        <v>0.96355919999999995</v>
      </c>
      <c r="AE6901">
        <v>0.54899569999999998</v>
      </c>
      <c r="AF6901">
        <v>271.67340000000002</v>
      </c>
      <c r="AG6901">
        <f>IFERROR(AH6901*0.1, "N/A")</f>
        <v>6.0095480000000006</v>
      </c>
      <c r="AH6901">
        <v>60.095480000000002</v>
      </c>
      <c r="AI6901">
        <v>191.3314</v>
      </c>
      <c r="AJ6901">
        <v>25.897819999999999</v>
      </c>
      <c r="AK6901">
        <v>47.217759999999998</v>
      </c>
    </row>
    <row r="6902" spans="1:37" x14ac:dyDescent="0.3">
      <c r="A6902">
        <v>6901</v>
      </c>
      <c r="B6902">
        <v>49.8</v>
      </c>
      <c r="C6902">
        <v>-5.9965299999999999</v>
      </c>
      <c r="D6902">
        <v>14.832800000000001</v>
      </c>
      <c r="E6902">
        <f>-5.99653-14.8328</f>
        <v>-20.829329999999999</v>
      </c>
      <c r="F6902" t="s">
        <v>10338</v>
      </c>
      <c r="G6902" t="s">
        <v>39</v>
      </c>
      <c r="H6902">
        <v>1995</v>
      </c>
      <c r="I6902">
        <v>27.4</v>
      </c>
      <c r="J6902">
        <v>15.7</v>
      </c>
      <c r="K6902">
        <v>58</v>
      </c>
      <c r="L6902">
        <v>28.76</v>
      </c>
      <c r="M6902">
        <v>39.9</v>
      </c>
      <c r="N6902">
        <v>13.16376</v>
      </c>
      <c r="O6902">
        <v>26.736239999999999</v>
      </c>
      <c r="P6902">
        <v>27.4</v>
      </c>
      <c r="Q6902">
        <v>25.1</v>
      </c>
      <c r="R6902">
        <v>31.1</v>
      </c>
      <c r="S6902">
        <v>23.4</v>
      </c>
      <c r="T6902">
        <v>457.9128</v>
      </c>
      <c r="U6902">
        <v>169.63759999999999</v>
      </c>
      <c r="V6902">
        <v>0</v>
      </c>
      <c r="W6902">
        <v>140.63759999999999</v>
      </c>
      <c r="X6902">
        <v>375.9128</v>
      </c>
      <c r="Y6902">
        <v>1</v>
      </c>
      <c r="Z6902">
        <v>62</v>
      </c>
      <c r="AA6902">
        <v>1</v>
      </c>
      <c r="AB6902">
        <v>4.3147770000000003</v>
      </c>
      <c r="AC6902">
        <v>8.9898740000000001E-3</v>
      </c>
      <c r="AD6902">
        <v>1.720175</v>
      </c>
      <c r="AE6902">
        <v>0.4467373</v>
      </c>
      <c r="AF6902">
        <v>272.27679999999998</v>
      </c>
      <c r="AG6902">
        <f>IFERROR(AH6902*0.1, "N/A")</f>
        <v>6.3000000000000007</v>
      </c>
      <c r="AH6902">
        <v>63</v>
      </c>
      <c r="AI6902">
        <v>258.31369999999998</v>
      </c>
      <c r="AJ6902">
        <v>19.436240000000002</v>
      </c>
      <c r="AK6902">
        <v>56.845640000000003</v>
      </c>
    </row>
    <row r="6903" spans="1:37" x14ac:dyDescent="0.3">
      <c r="A6903">
        <v>6902</v>
      </c>
      <c r="B6903">
        <v>48.2</v>
      </c>
      <c r="C6903">
        <v>-5.9965299999999999</v>
      </c>
      <c r="D6903">
        <v>14.832800000000001</v>
      </c>
      <c r="E6903">
        <f>-5.99653-14.8328</f>
        <v>-20.829329999999999</v>
      </c>
      <c r="F6903" t="s">
        <v>10339</v>
      </c>
      <c r="G6903" t="s">
        <v>37</v>
      </c>
      <c r="H6903">
        <v>1995</v>
      </c>
      <c r="I6903">
        <v>27.4</v>
      </c>
      <c r="J6903">
        <v>15.7</v>
      </c>
      <c r="K6903">
        <v>58</v>
      </c>
      <c r="L6903">
        <v>28.76</v>
      </c>
      <c r="M6903">
        <v>39.9</v>
      </c>
      <c r="N6903">
        <v>13.16376</v>
      </c>
      <c r="O6903">
        <v>26.736239999999999</v>
      </c>
      <c r="P6903">
        <v>27.4</v>
      </c>
      <c r="Q6903">
        <v>25.1</v>
      </c>
      <c r="R6903">
        <v>31.1</v>
      </c>
      <c r="S6903">
        <v>23.4</v>
      </c>
      <c r="T6903">
        <v>457.9128</v>
      </c>
      <c r="U6903">
        <v>169.63759999999999</v>
      </c>
      <c r="V6903">
        <v>0</v>
      </c>
      <c r="W6903">
        <v>140.63759999999999</v>
      </c>
      <c r="X6903">
        <v>375.9128</v>
      </c>
      <c r="Y6903">
        <v>1</v>
      </c>
      <c r="Z6903">
        <v>62</v>
      </c>
      <c r="AA6903">
        <v>1</v>
      </c>
      <c r="AB6903">
        <v>4.3147770000000003</v>
      </c>
      <c r="AC6903">
        <v>8.9898740000000001E-3</v>
      </c>
      <c r="AD6903">
        <v>1.720175</v>
      </c>
      <c r="AE6903">
        <v>0.4467373</v>
      </c>
      <c r="AF6903">
        <v>272.27679999999998</v>
      </c>
      <c r="AG6903">
        <f>IFERROR(AH6903*0.1, "N/A")</f>
        <v>6.3000000000000007</v>
      </c>
      <c r="AH6903">
        <v>63</v>
      </c>
      <c r="AI6903">
        <v>258.31369999999998</v>
      </c>
      <c r="AJ6903">
        <v>19.436240000000002</v>
      </c>
      <c r="AK6903">
        <v>56.845640000000003</v>
      </c>
    </row>
    <row r="6904" spans="1:37" x14ac:dyDescent="0.3">
      <c r="A6904">
        <v>6903</v>
      </c>
      <c r="B6904">
        <v>56</v>
      </c>
      <c r="C6904">
        <v>-6.0331700000000001</v>
      </c>
      <c r="D6904">
        <v>14.836399999999999</v>
      </c>
      <c r="E6904">
        <f>-6.03317-14.8364</f>
        <v>-20.86957</v>
      </c>
      <c r="F6904" t="s">
        <v>10340</v>
      </c>
      <c r="G6904" t="s">
        <v>39</v>
      </c>
      <c r="H6904">
        <v>1990</v>
      </c>
      <c r="I6904">
        <v>27.4</v>
      </c>
      <c r="J6904">
        <v>15.7</v>
      </c>
      <c r="K6904">
        <v>58</v>
      </c>
      <c r="L6904">
        <v>28.74</v>
      </c>
      <c r="M6904">
        <v>39.9</v>
      </c>
      <c r="N6904">
        <v>13.2</v>
      </c>
      <c r="O6904">
        <v>26.7</v>
      </c>
      <c r="P6904">
        <v>27.4</v>
      </c>
      <c r="Q6904">
        <v>25.1</v>
      </c>
      <c r="R6904">
        <v>31.1</v>
      </c>
      <c r="S6904">
        <v>23.4</v>
      </c>
      <c r="T6904">
        <v>458</v>
      </c>
      <c r="U6904">
        <v>170</v>
      </c>
      <c r="V6904">
        <v>0</v>
      </c>
      <c r="W6904">
        <v>141</v>
      </c>
      <c r="X6904">
        <v>377</v>
      </c>
      <c r="Y6904">
        <v>1</v>
      </c>
      <c r="Z6904">
        <v>61</v>
      </c>
      <c r="AA6904">
        <v>1</v>
      </c>
      <c r="AB6904">
        <v>0.38609719999999997</v>
      </c>
      <c r="AC6904">
        <v>2.31402E-2</v>
      </c>
      <c r="AD6904">
        <v>0.80829169999999995</v>
      </c>
      <c r="AE6904">
        <v>0.66382600000000003</v>
      </c>
      <c r="AF6904">
        <v>270.10070000000002</v>
      </c>
      <c r="AG6904">
        <f>IFERROR(AH6904*0.1, "N/A")</f>
        <v>6.348154000000001</v>
      </c>
      <c r="AH6904">
        <v>63.481540000000003</v>
      </c>
      <c r="AI6904">
        <v>176.09219999999999</v>
      </c>
      <c r="AJ6904">
        <v>18.505030000000001</v>
      </c>
      <c r="AK6904">
        <v>61.691279999999999</v>
      </c>
    </row>
    <row r="6905" spans="1:37" x14ac:dyDescent="0.3">
      <c r="A6905">
        <v>6904</v>
      </c>
      <c r="B6905">
        <v>46</v>
      </c>
      <c r="C6905">
        <v>-6.0331700000000001</v>
      </c>
      <c r="D6905">
        <v>14.836399999999999</v>
      </c>
      <c r="E6905">
        <f>-6.03317-14.8364</f>
        <v>-20.86957</v>
      </c>
      <c r="F6905" t="s">
        <v>10341</v>
      </c>
      <c r="G6905" t="s">
        <v>37</v>
      </c>
      <c r="H6905">
        <v>1990</v>
      </c>
      <c r="I6905">
        <v>27.4</v>
      </c>
      <c r="J6905">
        <v>15.7</v>
      </c>
      <c r="K6905">
        <v>58</v>
      </c>
      <c r="L6905">
        <v>28.74</v>
      </c>
      <c r="M6905">
        <v>39.9</v>
      </c>
      <c r="N6905">
        <v>13.2</v>
      </c>
      <c r="O6905">
        <v>26.7</v>
      </c>
      <c r="P6905">
        <v>27.4</v>
      </c>
      <c r="Q6905">
        <v>25.1</v>
      </c>
      <c r="R6905">
        <v>31.1</v>
      </c>
      <c r="S6905">
        <v>23.4</v>
      </c>
      <c r="T6905">
        <v>458</v>
      </c>
      <c r="U6905">
        <v>170</v>
      </c>
      <c r="V6905">
        <v>0</v>
      </c>
      <c r="W6905">
        <v>141</v>
      </c>
      <c r="X6905">
        <v>377</v>
      </c>
      <c r="Y6905">
        <v>1</v>
      </c>
      <c r="Z6905">
        <v>61</v>
      </c>
      <c r="AA6905">
        <v>1</v>
      </c>
      <c r="AB6905">
        <v>0.38609719999999997</v>
      </c>
      <c r="AC6905">
        <v>2.31402E-2</v>
      </c>
      <c r="AD6905">
        <v>0.80829169999999995</v>
      </c>
      <c r="AE6905">
        <v>0.66382600000000003</v>
      </c>
      <c r="AF6905">
        <v>270.10070000000002</v>
      </c>
      <c r="AG6905">
        <f>IFERROR(AH6905*0.1, "N/A")</f>
        <v>6.348154000000001</v>
      </c>
      <c r="AH6905">
        <v>63.481540000000003</v>
      </c>
      <c r="AI6905">
        <v>176.09219999999999</v>
      </c>
      <c r="AJ6905">
        <v>18.505030000000001</v>
      </c>
      <c r="AK6905">
        <v>61.691279999999999</v>
      </c>
    </row>
    <row r="6906" spans="1:37" x14ac:dyDescent="0.3">
      <c r="A6906">
        <v>6905</v>
      </c>
      <c r="B6906">
        <v>50.9</v>
      </c>
      <c r="C6906">
        <v>-6.0202299999999997</v>
      </c>
      <c r="D6906">
        <v>14.860799999999999</v>
      </c>
      <c r="E6906">
        <f>-6.02023-14.8608</f>
        <v>-20.881029999999999</v>
      </c>
      <c r="F6906" t="s">
        <v>10342</v>
      </c>
      <c r="G6906" t="s">
        <v>39</v>
      </c>
      <c r="H6906">
        <v>1995</v>
      </c>
      <c r="I6906">
        <v>27.4</v>
      </c>
      <c r="J6906">
        <v>15.7</v>
      </c>
      <c r="K6906">
        <v>58</v>
      </c>
      <c r="L6906">
        <v>28.94</v>
      </c>
      <c r="M6906">
        <v>40</v>
      </c>
      <c r="N6906">
        <v>13.1</v>
      </c>
      <c r="O6906">
        <v>26.9</v>
      </c>
      <c r="P6906">
        <v>27.4</v>
      </c>
      <c r="Q6906">
        <v>25.1</v>
      </c>
      <c r="R6906">
        <v>31.2</v>
      </c>
      <c r="S6906">
        <v>23.4</v>
      </c>
      <c r="T6906">
        <v>450</v>
      </c>
      <c r="U6906">
        <v>167</v>
      </c>
      <c r="V6906">
        <v>0</v>
      </c>
      <c r="W6906">
        <v>142</v>
      </c>
      <c r="X6906">
        <v>370</v>
      </c>
      <c r="Y6906">
        <v>1</v>
      </c>
      <c r="Z6906">
        <v>60</v>
      </c>
      <c r="AA6906">
        <v>1</v>
      </c>
      <c r="AB6906">
        <v>1.3637280000000001</v>
      </c>
      <c r="AC6906">
        <v>8.2674040000000008E-3</v>
      </c>
      <c r="AD6906">
        <v>1.0460240000000001</v>
      </c>
      <c r="AE6906">
        <v>0.63628759999999995</v>
      </c>
      <c r="AF6906">
        <v>270.99669999999998</v>
      </c>
      <c r="AG6906">
        <f>IFERROR(AH6906*0.1, "N/A")</f>
        <v>6.2255850000000006</v>
      </c>
      <c r="AH6906">
        <v>62.255850000000002</v>
      </c>
      <c r="AI6906">
        <v>263.13470000000001</v>
      </c>
      <c r="AJ6906">
        <v>21</v>
      </c>
      <c r="AK6906">
        <v>57.744149999999998</v>
      </c>
    </row>
    <row r="6907" spans="1:37" x14ac:dyDescent="0.3">
      <c r="A6907">
        <v>6906</v>
      </c>
      <c r="B6907">
        <v>57.5</v>
      </c>
      <c r="C6907">
        <v>-6.0202299999999997</v>
      </c>
      <c r="D6907">
        <v>14.860799999999999</v>
      </c>
      <c r="E6907">
        <f>-6.02023-14.8608</f>
        <v>-20.881029999999999</v>
      </c>
      <c r="F6907" t="s">
        <v>10343</v>
      </c>
      <c r="G6907" t="s">
        <v>37</v>
      </c>
      <c r="H6907">
        <v>1995</v>
      </c>
      <c r="I6907">
        <v>27.4</v>
      </c>
      <c r="J6907">
        <v>15.7</v>
      </c>
      <c r="K6907">
        <v>58</v>
      </c>
      <c r="L6907">
        <v>28.94</v>
      </c>
      <c r="M6907">
        <v>40</v>
      </c>
      <c r="N6907">
        <v>13.1</v>
      </c>
      <c r="O6907">
        <v>26.9</v>
      </c>
      <c r="P6907">
        <v>27.4</v>
      </c>
      <c r="Q6907">
        <v>25.1</v>
      </c>
      <c r="R6907">
        <v>31.2</v>
      </c>
      <c r="S6907">
        <v>23.4</v>
      </c>
      <c r="T6907">
        <v>450</v>
      </c>
      <c r="U6907">
        <v>167</v>
      </c>
      <c r="V6907">
        <v>0</v>
      </c>
      <c r="W6907">
        <v>142</v>
      </c>
      <c r="X6907">
        <v>370</v>
      </c>
      <c r="Y6907">
        <v>1</v>
      </c>
      <c r="Z6907">
        <v>60</v>
      </c>
      <c r="AA6907">
        <v>1</v>
      </c>
      <c r="AB6907">
        <v>1.3637280000000001</v>
      </c>
      <c r="AC6907">
        <v>8.2674040000000008E-3</v>
      </c>
      <c r="AD6907">
        <v>1.0460240000000001</v>
      </c>
      <c r="AE6907">
        <v>0.63628759999999995</v>
      </c>
      <c r="AF6907">
        <v>270.99669999999998</v>
      </c>
      <c r="AG6907">
        <f>IFERROR(AH6907*0.1, "N/A")</f>
        <v>6.2255850000000006</v>
      </c>
      <c r="AH6907">
        <v>62.255850000000002</v>
      </c>
      <c r="AI6907">
        <v>263.13470000000001</v>
      </c>
      <c r="AJ6907">
        <v>21</v>
      </c>
      <c r="AK6907">
        <v>57.744149999999998</v>
      </c>
    </row>
    <row r="6908" spans="1:37" x14ac:dyDescent="0.3">
      <c r="A6908">
        <v>6907</v>
      </c>
      <c r="B6908">
        <v>73</v>
      </c>
      <c r="C6908">
        <v>-3.9329999999999998</v>
      </c>
      <c r="D6908">
        <v>14.868</v>
      </c>
      <c r="E6908">
        <f>-3.933-14.868</f>
        <v>-18.801000000000002</v>
      </c>
      <c r="F6908" t="s">
        <v>10344</v>
      </c>
      <c r="G6908" t="s">
        <v>39</v>
      </c>
      <c r="H6908">
        <v>1987</v>
      </c>
      <c r="I6908">
        <v>27.7</v>
      </c>
      <c r="J6908">
        <v>14.1</v>
      </c>
      <c r="K6908">
        <v>55</v>
      </c>
      <c r="L6908">
        <v>29.099129999999999</v>
      </c>
      <c r="M6908">
        <v>40.202170000000002</v>
      </c>
      <c r="N6908">
        <v>14.7</v>
      </c>
      <c r="O6908">
        <v>25.50217</v>
      </c>
      <c r="P6908">
        <v>27.9</v>
      </c>
      <c r="Q6908">
        <v>23.6</v>
      </c>
      <c r="R6908">
        <v>31.5</v>
      </c>
      <c r="S6908">
        <v>23.6</v>
      </c>
      <c r="T6908">
        <v>442.95650000000001</v>
      </c>
      <c r="U6908">
        <v>152.97829999999999</v>
      </c>
      <c r="V6908">
        <v>0</v>
      </c>
      <c r="W6908">
        <v>138</v>
      </c>
      <c r="X6908">
        <v>353.97829999999999</v>
      </c>
      <c r="Y6908">
        <v>0</v>
      </c>
      <c r="Z6908">
        <v>70</v>
      </c>
      <c r="AA6908">
        <v>0</v>
      </c>
      <c r="AB6908">
        <v>2.6394510000000002</v>
      </c>
      <c r="AC6908">
        <v>4.2939449999999997E-2</v>
      </c>
      <c r="AD6908">
        <v>1.074079</v>
      </c>
      <c r="AE6908">
        <v>0.32800760000000001</v>
      </c>
      <c r="AF6908">
        <v>269.10539999999997</v>
      </c>
      <c r="AG6908">
        <f>IFERROR(AH6908*0.1, "N/A")</f>
        <v>6.9476590000000007</v>
      </c>
      <c r="AH6908">
        <v>69.476590000000002</v>
      </c>
      <c r="AI6908">
        <v>156.49549999999999</v>
      </c>
      <c r="AJ6908">
        <v>16</v>
      </c>
      <c r="AK6908">
        <v>71.969899999999996</v>
      </c>
    </row>
    <row r="6909" spans="1:37" x14ac:dyDescent="0.3">
      <c r="A6909">
        <v>6908</v>
      </c>
      <c r="B6909">
        <v>0</v>
      </c>
      <c r="C6909">
        <v>-3.9329999999999998</v>
      </c>
      <c r="D6909">
        <v>14.868</v>
      </c>
      <c r="E6909">
        <f>-3.933-14.868</f>
        <v>-18.801000000000002</v>
      </c>
      <c r="F6909" t="s">
        <v>10345</v>
      </c>
      <c r="G6909" t="s">
        <v>37</v>
      </c>
      <c r="H6909">
        <v>1987</v>
      </c>
      <c r="I6909">
        <v>27.7</v>
      </c>
      <c r="J6909">
        <v>14.1</v>
      </c>
      <c r="K6909">
        <v>55</v>
      </c>
      <c r="L6909">
        <v>29.099129999999999</v>
      </c>
      <c r="M6909">
        <v>40.202170000000002</v>
      </c>
      <c r="N6909">
        <v>14.7</v>
      </c>
      <c r="O6909">
        <v>25.50217</v>
      </c>
      <c r="P6909">
        <v>27.9</v>
      </c>
      <c r="Q6909">
        <v>23.6</v>
      </c>
      <c r="R6909">
        <v>31.5</v>
      </c>
      <c r="S6909">
        <v>23.6</v>
      </c>
      <c r="T6909">
        <v>442.95650000000001</v>
      </c>
      <c r="U6909">
        <v>152.97829999999999</v>
      </c>
      <c r="V6909">
        <v>0</v>
      </c>
      <c r="W6909">
        <v>138</v>
      </c>
      <c r="X6909">
        <v>353.97829999999999</v>
      </c>
      <c r="Y6909">
        <v>0</v>
      </c>
      <c r="Z6909">
        <v>70</v>
      </c>
      <c r="AA6909">
        <v>0</v>
      </c>
      <c r="AB6909">
        <v>2.6394510000000002</v>
      </c>
      <c r="AC6909">
        <v>4.2939449999999997E-2</v>
      </c>
      <c r="AD6909">
        <v>1.074079</v>
      </c>
      <c r="AE6909">
        <v>0.32800760000000001</v>
      </c>
      <c r="AF6909">
        <v>269.10539999999997</v>
      </c>
      <c r="AG6909">
        <f>IFERROR(AH6909*0.1, "N/A")</f>
        <v>6.9476590000000007</v>
      </c>
      <c r="AH6909">
        <v>69.476590000000002</v>
      </c>
      <c r="AI6909">
        <v>156.49549999999999</v>
      </c>
      <c r="AJ6909">
        <v>16</v>
      </c>
      <c r="AK6909">
        <v>71.969899999999996</v>
      </c>
    </row>
    <row r="6910" spans="1:37" x14ac:dyDescent="0.3">
      <c r="A6910">
        <v>6909</v>
      </c>
      <c r="B6910">
        <v>58.3</v>
      </c>
      <c r="C6910">
        <v>-11.6463</v>
      </c>
      <c r="D6910">
        <v>14.921200000000001</v>
      </c>
      <c r="E6910">
        <f>-11.6463-14.9212</f>
        <v>-26.567500000000003</v>
      </c>
      <c r="F6910" t="s">
        <v>10346</v>
      </c>
      <c r="G6910" t="s">
        <v>39</v>
      </c>
      <c r="H6910">
        <v>1990</v>
      </c>
      <c r="I6910">
        <v>29.5</v>
      </c>
      <c r="J6910">
        <v>14.5</v>
      </c>
      <c r="K6910">
        <v>55</v>
      </c>
      <c r="L6910">
        <v>29.66</v>
      </c>
      <c r="M6910">
        <v>41.5</v>
      </c>
      <c r="N6910">
        <v>15.5</v>
      </c>
      <c r="O6910">
        <v>26</v>
      </c>
      <c r="P6910">
        <v>29.6</v>
      </c>
      <c r="Q6910">
        <v>27.1</v>
      </c>
      <c r="R6910">
        <v>33.4</v>
      </c>
      <c r="S6910">
        <v>25.4</v>
      </c>
      <c r="T6910">
        <v>498</v>
      </c>
      <c r="U6910">
        <v>174</v>
      </c>
      <c r="V6910">
        <v>0</v>
      </c>
      <c r="W6910">
        <v>141</v>
      </c>
      <c r="X6910">
        <v>412</v>
      </c>
      <c r="Y6910">
        <v>0</v>
      </c>
      <c r="Z6910">
        <v>62</v>
      </c>
      <c r="AA6910">
        <v>0</v>
      </c>
      <c r="AB6910">
        <v>4.4500840000000004</v>
      </c>
      <c r="AC6910">
        <v>37.291870000000003</v>
      </c>
      <c r="AD6910">
        <v>1.1978519999999999</v>
      </c>
      <c r="AE6910">
        <v>0.30600169999999999</v>
      </c>
      <c r="AF6910">
        <v>55.738689999999998</v>
      </c>
      <c r="AG6910">
        <f>IFERROR(AH6910*0.1, "N/A")</f>
        <v>6.1902850000000003</v>
      </c>
      <c r="AH6910">
        <v>61.902850000000001</v>
      </c>
      <c r="AI6910">
        <v>214.1045</v>
      </c>
      <c r="AJ6910">
        <v>14.96147</v>
      </c>
      <c r="AK6910">
        <v>68.44556</v>
      </c>
    </row>
    <row r="6911" spans="1:37" x14ac:dyDescent="0.3">
      <c r="A6911">
        <v>6910</v>
      </c>
      <c r="B6911">
        <v>0</v>
      </c>
      <c r="C6911">
        <v>-11.6463</v>
      </c>
      <c r="D6911">
        <v>14.921200000000001</v>
      </c>
      <c r="E6911">
        <f>-11.6463-14.9212</f>
        <v>-26.567500000000003</v>
      </c>
      <c r="F6911" t="s">
        <v>10347</v>
      </c>
      <c r="G6911" t="s">
        <v>37</v>
      </c>
      <c r="H6911">
        <v>1990</v>
      </c>
      <c r="I6911">
        <v>29.5</v>
      </c>
      <c r="J6911">
        <v>14.5</v>
      </c>
      <c r="K6911">
        <v>55</v>
      </c>
      <c r="L6911">
        <v>29.66</v>
      </c>
      <c r="M6911">
        <v>41.5</v>
      </c>
      <c r="N6911">
        <v>15.5</v>
      </c>
      <c r="O6911">
        <v>26</v>
      </c>
      <c r="P6911">
        <v>29.6</v>
      </c>
      <c r="Q6911">
        <v>27.1</v>
      </c>
      <c r="R6911">
        <v>33.4</v>
      </c>
      <c r="S6911">
        <v>25.4</v>
      </c>
      <c r="T6911">
        <v>498</v>
      </c>
      <c r="U6911">
        <v>174</v>
      </c>
      <c r="V6911">
        <v>0</v>
      </c>
      <c r="W6911">
        <v>141</v>
      </c>
      <c r="X6911">
        <v>412</v>
      </c>
      <c r="Y6911">
        <v>0</v>
      </c>
      <c r="Z6911">
        <v>62</v>
      </c>
      <c r="AA6911">
        <v>0</v>
      </c>
      <c r="AB6911">
        <v>4.4500840000000004</v>
      </c>
      <c r="AC6911">
        <v>37.291870000000003</v>
      </c>
      <c r="AD6911">
        <v>1.1978519999999999</v>
      </c>
      <c r="AE6911">
        <v>0.30600169999999999</v>
      </c>
      <c r="AF6911">
        <v>55.738689999999998</v>
      </c>
      <c r="AG6911">
        <f>IFERROR(AH6911*0.1, "N/A")</f>
        <v>6.1902850000000003</v>
      </c>
      <c r="AH6911">
        <v>61.902850000000001</v>
      </c>
      <c r="AI6911">
        <v>214.1045</v>
      </c>
      <c r="AJ6911">
        <v>14.96147</v>
      </c>
      <c r="AK6911">
        <v>68.44556</v>
      </c>
    </row>
    <row r="6912" spans="1:37" x14ac:dyDescent="0.3">
      <c r="A6912">
        <v>6911</v>
      </c>
      <c r="B6912">
        <v>57.5</v>
      </c>
      <c r="C6912">
        <v>-3.8930899999999999</v>
      </c>
      <c r="D6912">
        <v>14.946199999999999</v>
      </c>
      <c r="E6912">
        <f>-3.89309-14.9462</f>
        <v>-18.839289999999998</v>
      </c>
      <c r="F6912" t="s">
        <v>10348</v>
      </c>
      <c r="G6912" t="s">
        <v>39</v>
      </c>
      <c r="H6912">
        <v>2006</v>
      </c>
      <c r="I6912">
        <v>27.7</v>
      </c>
      <c r="J6912">
        <v>14.1</v>
      </c>
      <c r="K6912">
        <v>55</v>
      </c>
      <c r="L6912">
        <v>29.58</v>
      </c>
      <c r="M6912">
        <v>40.299999999999997</v>
      </c>
      <c r="N6912">
        <v>14.7</v>
      </c>
      <c r="O6912">
        <v>25.6</v>
      </c>
      <c r="P6912">
        <v>27.9</v>
      </c>
      <c r="Q6912">
        <v>23.5</v>
      </c>
      <c r="R6912">
        <v>31.5</v>
      </c>
      <c r="S6912">
        <v>23.5</v>
      </c>
      <c r="T6912">
        <v>430</v>
      </c>
      <c r="U6912">
        <v>150</v>
      </c>
      <c r="V6912">
        <v>0</v>
      </c>
      <c r="W6912">
        <v>139</v>
      </c>
      <c r="X6912">
        <v>346</v>
      </c>
      <c r="Y6912">
        <v>0</v>
      </c>
      <c r="Z6912">
        <v>66</v>
      </c>
      <c r="AA6912">
        <v>0</v>
      </c>
      <c r="AB6912">
        <v>6.6115500000000003</v>
      </c>
      <c r="AC6912">
        <v>7.5956200000000001E-2</v>
      </c>
      <c r="AD6912">
        <v>0.40359679999999998</v>
      </c>
      <c r="AE6912">
        <v>0.33962940000000003</v>
      </c>
      <c r="AF6912">
        <v>268.005</v>
      </c>
      <c r="AG6912">
        <f>IFERROR(AH6912*0.1, "N/A")</f>
        <v>7</v>
      </c>
      <c r="AH6912">
        <v>70</v>
      </c>
      <c r="AI6912">
        <v>51.723700000000001</v>
      </c>
      <c r="AJ6912">
        <v>23</v>
      </c>
      <c r="AK6912">
        <v>59</v>
      </c>
    </row>
    <row r="6913" spans="1:37" x14ac:dyDescent="0.3">
      <c r="A6913">
        <v>6912</v>
      </c>
      <c r="B6913">
        <v>53.1</v>
      </c>
      <c r="C6913">
        <v>-11.585599999999999</v>
      </c>
      <c r="D6913">
        <v>14.9655</v>
      </c>
      <c r="E6913">
        <f>-11.5856-14.9655</f>
        <v>-26.551099999999998</v>
      </c>
      <c r="F6913" t="s">
        <v>10349</v>
      </c>
      <c r="G6913" t="s">
        <v>39</v>
      </c>
      <c r="H6913">
        <v>1990</v>
      </c>
      <c r="I6913">
        <v>29.5</v>
      </c>
      <c r="J6913">
        <v>14.6</v>
      </c>
      <c r="K6913">
        <v>55</v>
      </c>
      <c r="L6913">
        <v>29.66</v>
      </c>
      <c r="M6913">
        <v>41.5</v>
      </c>
      <c r="N6913">
        <v>15.4</v>
      </c>
      <c r="O6913">
        <v>26.1</v>
      </c>
      <c r="P6913">
        <v>29.6</v>
      </c>
      <c r="Q6913">
        <v>27.1</v>
      </c>
      <c r="R6913">
        <v>33.4</v>
      </c>
      <c r="S6913">
        <v>25.4</v>
      </c>
      <c r="T6913">
        <v>489</v>
      </c>
      <c r="U6913">
        <v>170</v>
      </c>
      <c r="V6913">
        <v>0</v>
      </c>
      <c r="W6913">
        <v>141</v>
      </c>
      <c r="X6913">
        <v>405</v>
      </c>
      <c r="Y6913">
        <v>0</v>
      </c>
      <c r="Z6913">
        <v>61</v>
      </c>
      <c r="AA6913">
        <v>0</v>
      </c>
      <c r="AB6913">
        <v>4.2573590000000001</v>
      </c>
      <c r="AC6913">
        <v>1.191153E-2</v>
      </c>
      <c r="AD6913">
        <v>1.098786</v>
      </c>
      <c r="AE6913">
        <v>0.2544265</v>
      </c>
      <c r="AF6913">
        <v>63.15719</v>
      </c>
      <c r="AG6913">
        <f>IFERROR(AH6913*0.1, "N/A")</f>
        <v>6.2434780000000005</v>
      </c>
      <c r="AH6913">
        <v>62.434780000000003</v>
      </c>
      <c r="AI6913">
        <v>56.808259999999997</v>
      </c>
      <c r="AJ6913">
        <v>16.984950000000001</v>
      </c>
      <c r="AK6913">
        <v>66.015050000000002</v>
      </c>
    </row>
    <row r="6914" spans="1:37" x14ac:dyDescent="0.3">
      <c r="A6914">
        <v>6913</v>
      </c>
      <c r="B6914">
        <v>1</v>
      </c>
      <c r="C6914">
        <v>-11.585599999999999</v>
      </c>
      <c r="D6914">
        <v>14.9655</v>
      </c>
      <c r="E6914">
        <f>-11.5856-14.9655</f>
        <v>-26.551099999999998</v>
      </c>
      <c r="F6914" t="s">
        <v>10350</v>
      </c>
      <c r="G6914" t="s">
        <v>37</v>
      </c>
      <c r="H6914">
        <v>1990</v>
      </c>
      <c r="I6914">
        <v>29.5</v>
      </c>
      <c r="J6914">
        <v>14.6</v>
      </c>
      <c r="K6914">
        <v>55</v>
      </c>
      <c r="L6914">
        <v>29.66</v>
      </c>
      <c r="M6914">
        <v>41.5</v>
      </c>
      <c r="N6914">
        <v>15.4</v>
      </c>
      <c r="O6914">
        <v>26.1</v>
      </c>
      <c r="P6914">
        <v>29.6</v>
      </c>
      <c r="Q6914">
        <v>27.1</v>
      </c>
      <c r="R6914">
        <v>33.4</v>
      </c>
      <c r="S6914">
        <v>25.4</v>
      </c>
      <c r="T6914">
        <v>489</v>
      </c>
      <c r="U6914">
        <v>170</v>
      </c>
      <c r="V6914">
        <v>0</v>
      </c>
      <c r="W6914">
        <v>141</v>
      </c>
      <c r="X6914">
        <v>405</v>
      </c>
      <c r="Y6914">
        <v>0</v>
      </c>
      <c r="Z6914">
        <v>61</v>
      </c>
      <c r="AA6914">
        <v>0</v>
      </c>
      <c r="AB6914">
        <v>4.2573590000000001</v>
      </c>
      <c r="AC6914">
        <v>1.191153E-2</v>
      </c>
      <c r="AD6914">
        <v>1.098786</v>
      </c>
      <c r="AE6914">
        <v>0.2544265</v>
      </c>
      <c r="AF6914">
        <v>63.15719</v>
      </c>
      <c r="AG6914">
        <f>IFERROR(AH6914*0.1, "N/A")</f>
        <v>6.2434780000000005</v>
      </c>
      <c r="AH6914">
        <v>62.434780000000003</v>
      </c>
      <c r="AI6914">
        <v>56.808259999999997</v>
      </c>
      <c r="AJ6914">
        <v>16.984950000000001</v>
      </c>
      <c r="AK6914">
        <v>66.015050000000002</v>
      </c>
    </row>
    <row r="6915" spans="1:37" x14ac:dyDescent="0.3">
      <c r="A6915">
        <v>6914</v>
      </c>
      <c r="B6915">
        <v>15.5</v>
      </c>
      <c r="C6915">
        <v>-4.4304100000000002</v>
      </c>
      <c r="D6915">
        <v>14.9984</v>
      </c>
      <c r="E6915">
        <f>-4.43041-14.9984</f>
        <v>-19.428809999999999</v>
      </c>
      <c r="F6915" t="s">
        <v>10351</v>
      </c>
      <c r="G6915" t="s">
        <v>39</v>
      </c>
      <c r="H6915">
        <v>1990</v>
      </c>
      <c r="I6915">
        <v>27.3</v>
      </c>
      <c r="J6915">
        <v>14.2</v>
      </c>
      <c r="K6915">
        <v>55</v>
      </c>
      <c r="L6915">
        <v>30.12</v>
      </c>
      <c r="M6915">
        <v>40.299999999999997</v>
      </c>
      <c r="N6915">
        <v>14.6</v>
      </c>
      <c r="O6915">
        <v>25.7</v>
      </c>
      <c r="P6915">
        <v>27.9</v>
      </c>
      <c r="Q6915">
        <v>23.7</v>
      </c>
      <c r="R6915">
        <v>30.9</v>
      </c>
      <c r="S6915">
        <v>22.8</v>
      </c>
      <c r="T6915">
        <v>385</v>
      </c>
      <c r="U6915">
        <v>136</v>
      </c>
      <c r="V6915">
        <v>0</v>
      </c>
      <c r="W6915">
        <v>140</v>
      </c>
      <c r="X6915">
        <v>315</v>
      </c>
      <c r="Y6915">
        <v>0</v>
      </c>
      <c r="Z6915">
        <v>59</v>
      </c>
      <c r="AA6915">
        <v>0</v>
      </c>
      <c r="AB6915">
        <v>0</v>
      </c>
      <c r="AC6915">
        <v>1.264933E-2</v>
      </c>
      <c r="AD6915">
        <v>2.3571610000000001</v>
      </c>
      <c r="AE6915">
        <v>0.35403000000000001</v>
      </c>
      <c r="AF6915">
        <v>262.96980000000002</v>
      </c>
      <c r="AG6915">
        <f>IFERROR(AH6915*0.1, "N/A")</f>
        <v>5.8926300000000005</v>
      </c>
      <c r="AH6915">
        <v>58.926299999999998</v>
      </c>
      <c r="AI6915">
        <v>234.33369999999999</v>
      </c>
      <c r="AJ6915">
        <v>26</v>
      </c>
      <c r="AK6915">
        <v>54.018430000000002</v>
      </c>
    </row>
    <row r="6916" spans="1:37" x14ac:dyDescent="0.3">
      <c r="A6916">
        <v>6915</v>
      </c>
      <c r="B6916">
        <v>3.6</v>
      </c>
      <c r="C6916">
        <v>-4.4304100000000002</v>
      </c>
      <c r="D6916">
        <v>14.9984</v>
      </c>
      <c r="E6916">
        <f>-4.43041-14.9984</f>
        <v>-19.428809999999999</v>
      </c>
      <c r="F6916" t="s">
        <v>10352</v>
      </c>
      <c r="G6916" t="s">
        <v>37</v>
      </c>
      <c r="H6916">
        <v>1990</v>
      </c>
      <c r="I6916">
        <v>27.3</v>
      </c>
      <c r="J6916">
        <v>14.2</v>
      </c>
      <c r="K6916">
        <v>55</v>
      </c>
      <c r="L6916">
        <v>30.12</v>
      </c>
      <c r="M6916">
        <v>40.299999999999997</v>
      </c>
      <c r="N6916">
        <v>14.6</v>
      </c>
      <c r="O6916">
        <v>25.7</v>
      </c>
      <c r="P6916">
        <v>27.9</v>
      </c>
      <c r="Q6916">
        <v>23.7</v>
      </c>
      <c r="R6916">
        <v>30.9</v>
      </c>
      <c r="S6916">
        <v>22.8</v>
      </c>
      <c r="T6916">
        <v>385</v>
      </c>
      <c r="U6916">
        <v>136</v>
      </c>
      <c r="V6916">
        <v>0</v>
      </c>
      <c r="W6916">
        <v>140</v>
      </c>
      <c r="X6916">
        <v>315</v>
      </c>
      <c r="Y6916">
        <v>0</v>
      </c>
      <c r="Z6916">
        <v>59</v>
      </c>
      <c r="AA6916">
        <v>0</v>
      </c>
      <c r="AB6916">
        <v>0</v>
      </c>
      <c r="AC6916">
        <v>1.264933E-2</v>
      </c>
      <c r="AD6916">
        <v>2.3571610000000001</v>
      </c>
      <c r="AE6916">
        <v>0.35403000000000001</v>
      </c>
      <c r="AF6916">
        <v>262.96980000000002</v>
      </c>
      <c r="AG6916">
        <f>IFERROR(AH6916*0.1, "N/A")</f>
        <v>5.8926300000000005</v>
      </c>
      <c r="AH6916">
        <v>58.926299999999998</v>
      </c>
      <c r="AI6916">
        <v>234.33369999999999</v>
      </c>
      <c r="AJ6916">
        <v>26</v>
      </c>
      <c r="AK6916">
        <v>54.018430000000002</v>
      </c>
    </row>
    <row r="6917" spans="1:37" x14ac:dyDescent="0.3">
      <c r="A6917">
        <v>6916</v>
      </c>
      <c r="B6917">
        <v>7.6</v>
      </c>
      <c r="C6917">
        <v>-10.3832</v>
      </c>
      <c r="D6917">
        <v>15.0106</v>
      </c>
      <c r="E6917">
        <f>-10.3832-15.0106</f>
        <v>-25.393799999999999</v>
      </c>
      <c r="F6917" t="s">
        <v>10353</v>
      </c>
      <c r="G6917" t="s">
        <v>39</v>
      </c>
      <c r="H6917">
        <v>1990</v>
      </c>
      <c r="I6917">
        <v>28.8</v>
      </c>
      <c r="J6917">
        <v>14.5</v>
      </c>
      <c r="K6917">
        <v>58</v>
      </c>
      <c r="L6917">
        <v>25.9</v>
      </c>
      <c r="M6917">
        <v>40.700000000000003</v>
      </c>
      <c r="N6917">
        <v>15.7</v>
      </c>
      <c r="O6917">
        <v>25</v>
      </c>
      <c r="P6917">
        <v>28.1</v>
      </c>
      <c r="Q6917">
        <v>27.3</v>
      </c>
      <c r="R6917">
        <v>32.5</v>
      </c>
      <c r="S6917">
        <v>25.7</v>
      </c>
      <c r="T6917">
        <v>561</v>
      </c>
      <c r="U6917">
        <v>183</v>
      </c>
      <c r="V6917">
        <v>0</v>
      </c>
      <c r="W6917">
        <v>136</v>
      </c>
      <c r="X6917">
        <v>448</v>
      </c>
      <c r="Y6917">
        <v>0</v>
      </c>
      <c r="Z6917">
        <v>83</v>
      </c>
      <c r="AA6917">
        <v>0</v>
      </c>
      <c r="AB6917">
        <v>0.93133520000000003</v>
      </c>
      <c r="AC6917">
        <v>0.25518039999999997</v>
      </c>
      <c r="AD6917">
        <v>0.82450400000000001</v>
      </c>
      <c r="AE6917">
        <v>0.335366</v>
      </c>
      <c r="AF6917">
        <v>102.855</v>
      </c>
      <c r="AG6917">
        <f>IFERROR(AH6917*0.1, "N/A")</f>
        <v>7.3813329999999997</v>
      </c>
      <c r="AH6917">
        <v>73.813329999999993</v>
      </c>
      <c r="AI6917">
        <v>199.4973</v>
      </c>
      <c r="AJ6917">
        <v>29.918330000000001</v>
      </c>
      <c r="AK6917">
        <v>45.626669999999997</v>
      </c>
    </row>
    <row r="6918" spans="1:37" x14ac:dyDescent="0.3">
      <c r="A6918">
        <v>6917</v>
      </c>
      <c r="B6918">
        <v>11.8</v>
      </c>
      <c r="C6918">
        <v>-10.3832</v>
      </c>
      <c r="D6918">
        <v>15.0106</v>
      </c>
      <c r="E6918">
        <f>-10.3832-15.0106</f>
        <v>-25.393799999999999</v>
      </c>
      <c r="F6918" t="s">
        <v>10354</v>
      </c>
      <c r="G6918" t="s">
        <v>37</v>
      </c>
      <c r="H6918">
        <v>1990</v>
      </c>
      <c r="I6918">
        <v>28.8</v>
      </c>
      <c r="J6918">
        <v>14.5</v>
      </c>
      <c r="K6918">
        <v>58</v>
      </c>
      <c r="L6918">
        <v>25.9</v>
      </c>
      <c r="M6918">
        <v>40.700000000000003</v>
      </c>
      <c r="N6918">
        <v>15.7</v>
      </c>
      <c r="O6918">
        <v>25</v>
      </c>
      <c r="P6918">
        <v>28.1</v>
      </c>
      <c r="Q6918">
        <v>27.3</v>
      </c>
      <c r="R6918">
        <v>32.5</v>
      </c>
      <c r="S6918">
        <v>25.7</v>
      </c>
      <c r="T6918">
        <v>561</v>
      </c>
      <c r="U6918">
        <v>183</v>
      </c>
      <c r="V6918">
        <v>0</v>
      </c>
      <c r="W6918">
        <v>136</v>
      </c>
      <c r="X6918">
        <v>448</v>
      </c>
      <c r="Y6918">
        <v>0</v>
      </c>
      <c r="Z6918">
        <v>83</v>
      </c>
      <c r="AA6918">
        <v>0</v>
      </c>
      <c r="AB6918">
        <v>0.93133520000000003</v>
      </c>
      <c r="AC6918">
        <v>0.25518039999999997</v>
      </c>
      <c r="AD6918">
        <v>0.82450400000000001</v>
      </c>
      <c r="AE6918">
        <v>0.335366</v>
      </c>
      <c r="AF6918">
        <v>102.855</v>
      </c>
      <c r="AG6918">
        <f>IFERROR(AH6918*0.1, "N/A")</f>
        <v>7.3813329999999997</v>
      </c>
      <c r="AH6918">
        <v>73.813329999999993</v>
      </c>
      <c r="AI6918">
        <v>199.4973</v>
      </c>
      <c r="AJ6918">
        <v>29.918330000000001</v>
      </c>
      <c r="AK6918">
        <v>45.626669999999997</v>
      </c>
    </row>
    <row r="6919" spans="1:37" x14ac:dyDescent="0.3">
      <c r="A6919">
        <v>6918</v>
      </c>
      <c r="B6919">
        <v>20.8</v>
      </c>
      <c r="C6919">
        <v>-10.385999999999999</v>
      </c>
      <c r="D6919">
        <v>15.016</v>
      </c>
      <c r="E6919">
        <f>-10.386-15.016</f>
        <v>-25.402000000000001</v>
      </c>
      <c r="F6919" t="s">
        <v>10355</v>
      </c>
      <c r="G6919" t="s">
        <v>39</v>
      </c>
      <c r="H6919">
        <v>1987</v>
      </c>
      <c r="I6919">
        <v>28.63946</v>
      </c>
      <c r="J6919">
        <v>14.467890000000001</v>
      </c>
      <c r="K6919">
        <v>57.678930000000001</v>
      </c>
      <c r="L6919">
        <v>25.845420000000001</v>
      </c>
      <c r="M6919">
        <v>40.539470000000001</v>
      </c>
      <c r="N6919">
        <v>15.53946</v>
      </c>
      <c r="O6919">
        <v>25</v>
      </c>
      <c r="P6919">
        <v>27.93947</v>
      </c>
      <c r="Q6919">
        <v>27.10736</v>
      </c>
      <c r="R6919">
        <v>32.307360000000003</v>
      </c>
      <c r="S6919">
        <v>25.507359999999998</v>
      </c>
      <c r="T6919">
        <v>562.60540000000003</v>
      </c>
      <c r="U6919">
        <v>183.3211</v>
      </c>
      <c r="V6919">
        <v>0</v>
      </c>
      <c r="W6919">
        <v>135.0368</v>
      </c>
      <c r="X6919">
        <v>448.64210000000003</v>
      </c>
      <c r="Y6919">
        <v>0</v>
      </c>
      <c r="Z6919">
        <v>83.642139999999998</v>
      </c>
      <c r="AA6919">
        <v>0</v>
      </c>
      <c r="AB6919">
        <v>8.9316010000000006</v>
      </c>
      <c r="AC6919">
        <v>208.28360000000001</v>
      </c>
      <c r="AD6919">
        <v>9.5505069999999996</v>
      </c>
      <c r="AE6919">
        <v>0.335366</v>
      </c>
      <c r="AF6919">
        <v>108.54519999999999</v>
      </c>
      <c r="AG6919">
        <f>IFERROR(AH6919*0.1, "N/A")</f>
        <v>7.3699000000000003</v>
      </c>
      <c r="AH6919">
        <v>73.698999999999998</v>
      </c>
      <c r="AI6919">
        <v>167.7517</v>
      </c>
      <c r="AJ6919">
        <v>30.364550000000001</v>
      </c>
      <c r="AK6919">
        <v>45.692309999999999</v>
      </c>
    </row>
    <row r="6920" spans="1:37" x14ac:dyDescent="0.3">
      <c r="A6920">
        <v>6919</v>
      </c>
      <c r="B6920">
        <v>12</v>
      </c>
      <c r="C6920">
        <v>-10.385999999999999</v>
      </c>
      <c r="D6920">
        <v>15.016</v>
      </c>
      <c r="E6920">
        <f>-10.386-15.016</f>
        <v>-25.402000000000001</v>
      </c>
      <c r="F6920" t="s">
        <v>10356</v>
      </c>
      <c r="G6920" t="s">
        <v>37</v>
      </c>
      <c r="H6920">
        <v>1987</v>
      </c>
      <c r="I6920">
        <v>28.63946</v>
      </c>
      <c r="J6920">
        <v>14.467890000000001</v>
      </c>
      <c r="K6920">
        <v>57.678930000000001</v>
      </c>
      <c r="L6920">
        <v>25.845420000000001</v>
      </c>
      <c r="M6920">
        <v>40.539470000000001</v>
      </c>
      <c r="N6920">
        <v>15.53946</v>
      </c>
      <c r="O6920">
        <v>25</v>
      </c>
      <c r="P6920">
        <v>27.93947</v>
      </c>
      <c r="Q6920">
        <v>27.10736</v>
      </c>
      <c r="R6920">
        <v>32.307360000000003</v>
      </c>
      <c r="S6920">
        <v>25.507359999999998</v>
      </c>
      <c r="T6920">
        <v>562.60540000000003</v>
      </c>
      <c r="U6920">
        <v>183.3211</v>
      </c>
      <c r="V6920">
        <v>0</v>
      </c>
      <c r="W6920">
        <v>135.0368</v>
      </c>
      <c r="X6920">
        <v>448.64210000000003</v>
      </c>
      <c r="Y6920">
        <v>0</v>
      </c>
      <c r="Z6920">
        <v>83.642139999999998</v>
      </c>
      <c r="AA6920">
        <v>0</v>
      </c>
      <c r="AB6920">
        <v>8.9316010000000006</v>
      </c>
      <c r="AC6920">
        <v>208.28360000000001</v>
      </c>
      <c r="AD6920">
        <v>9.5505069999999996</v>
      </c>
      <c r="AE6920">
        <v>0.335366</v>
      </c>
      <c r="AF6920">
        <v>108.54519999999999</v>
      </c>
      <c r="AG6920">
        <f>IFERROR(AH6920*0.1, "N/A")</f>
        <v>7.3699000000000003</v>
      </c>
      <c r="AH6920">
        <v>73.698999999999998</v>
      </c>
      <c r="AI6920">
        <v>167.7517</v>
      </c>
      <c r="AJ6920">
        <v>30.364550000000001</v>
      </c>
      <c r="AK6920">
        <v>45.692309999999999</v>
      </c>
    </row>
    <row r="6921" spans="1:37" x14ac:dyDescent="0.3">
      <c r="A6921">
        <v>6920</v>
      </c>
      <c r="B6921">
        <v>22.2</v>
      </c>
      <c r="C6921">
        <v>-4.4532999999999996</v>
      </c>
      <c r="D6921">
        <v>15.061500000000001</v>
      </c>
      <c r="E6921">
        <f>-4.4533-15.0615</f>
        <v>-19.514800000000001</v>
      </c>
      <c r="F6921" t="s">
        <v>10357</v>
      </c>
      <c r="G6921" t="s">
        <v>39</v>
      </c>
      <c r="H6921">
        <v>1990</v>
      </c>
      <c r="I6921">
        <v>27.2</v>
      </c>
      <c r="J6921">
        <v>14.2</v>
      </c>
      <c r="K6921">
        <v>55</v>
      </c>
      <c r="L6921">
        <v>30.3</v>
      </c>
      <c r="M6921">
        <v>40.4</v>
      </c>
      <c r="N6921">
        <v>14.7</v>
      </c>
      <c r="O6921">
        <v>25.7</v>
      </c>
      <c r="P6921">
        <v>27.9</v>
      </c>
      <c r="Q6921">
        <v>22.7</v>
      </c>
      <c r="R6921">
        <v>30.8</v>
      </c>
      <c r="S6921">
        <v>22.7</v>
      </c>
      <c r="T6921">
        <v>377</v>
      </c>
      <c r="U6921">
        <v>135</v>
      </c>
      <c r="V6921">
        <v>0</v>
      </c>
      <c r="W6921">
        <v>142</v>
      </c>
      <c r="X6921">
        <v>310</v>
      </c>
      <c r="Y6921">
        <v>0</v>
      </c>
      <c r="Z6921">
        <v>56</v>
      </c>
      <c r="AA6921">
        <v>0</v>
      </c>
      <c r="AB6921">
        <v>0.27350099999999999</v>
      </c>
      <c r="AC6921">
        <v>0.2758372</v>
      </c>
      <c r="AD6921">
        <v>2.701222</v>
      </c>
      <c r="AE6921">
        <v>0.30603390000000003</v>
      </c>
      <c r="AF6921">
        <v>267.00170000000003</v>
      </c>
      <c r="AG6921">
        <f>IFERROR(AH6921*0.1, "N/A")</f>
        <v>6.8795000000000002</v>
      </c>
      <c r="AH6921">
        <v>68.795000000000002</v>
      </c>
      <c r="AI6921">
        <v>149.6883</v>
      </c>
      <c r="AJ6921">
        <v>20.703330000000001</v>
      </c>
      <c r="AK6921">
        <v>63.53</v>
      </c>
    </row>
    <row r="6922" spans="1:37" x14ac:dyDescent="0.3">
      <c r="A6922">
        <v>6921</v>
      </c>
      <c r="B6922">
        <v>87.3</v>
      </c>
      <c r="C6922">
        <v>-11.651199999999999</v>
      </c>
      <c r="D6922">
        <v>15.089399999999999</v>
      </c>
      <c r="E6922">
        <f>-11.6512-15.0894</f>
        <v>-26.740600000000001</v>
      </c>
      <c r="F6922" t="s">
        <v>10358</v>
      </c>
      <c r="G6922" t="s">
        <v>39</v>
      </c>
      <c r="H6922">
        <v>1990</v>
      </c>
      <c r="I6922">
        <v>29.4</v>
      </c>
      <c r="J6922">
        <v>14.6</v>
      </c>
      <c r="K6922">
        <v>56</v>
      </c>
      <c r="L6922">
        <v>29.17</v>
      </c>
      <c r="M6922">
        <v>41.5</v>
      </c>
      <c r="N6922">
        <v>15.5</v>
      </c>
      <c r="O6922">
        <v>26</v>
      </c>
      <c r="P6922">
        <v>29.5</v>
      </c>
      <c r="Q6922">
        <v>27</v>
      </c>
      <c r="R6922">
        <v>33.299999999999997</v>
      </c>
      <c r="S6922">
        <v>25.4</v>
      </c>
      <c r="T6922">
        <v>432</v>
      </c>
      <c r="U6922">
        <v>153</v>
      </c>
      <c r="V6922">
        <v>0</v>
      </c>
      <c r="W6922">
        <v>141</v>
      </c>
      <c r="X6922">
        <v>363</v>
      </c>
      <c r="Y6922">
        <v>0</v>
      </c>
      <c r="Z6922">
        <v>51</v>
      </c>
      <c r="AA6922">
        <v>0</v>
      </c>
      <c r="AB6922">
        <v>2.2446489999999999</v>
      </c>
      <c r="AC6922">
        <v>9.6289669999999994E-2</v>
      </c>
      <c r="AD6922">
        <v>1.282116</v>
      </c>
      <c r="AE6922">
        <v>0.25235610000000003</v>
      </c>
      <c r="AF6922">
        <v>58.693980000000003</v>
      </c>
      <c r="AG6922">
        <f>IFERROR(AH6922*0.1, "N/A")</f>
        <v>6.5665550000000001</v>
      </c>
      <c r="AH6922">
        <v>65.665549999999996</v>
      </c>
      <c r="AI6922">
        <v>176.44909999999999</v>
      </c>
      <c r="AJ6922">
        <v>17.173909999999999</v>
      </c>
      <c r="AK6922">
        <v>66.003339999999994</v>
      </c>
    </row>
    <row r="6923" spans="1:37" x14ac:dyDescent="0.3">
      <c r="A6923">
        <v>6922</v>
      </c>
      <c r="B6923">
        <v>0</v>
      </c>
      <c r="C6923">
        <v>-11.651199999999999</v>
      </c>
      <c r="D6923">
        <v>15.089399999999999</v>
      </c>
      <c r="E6923">
        <f>-11.6512-15.0894</f>
        <v>-26.740600000000001</v>
      </c>
      <c r="F6923" t="s">
        <v>10359</v>
      </c>
      <c r="G6923" t="s">
        <v>37</v>
      </c>
      <c r="H6923">
        <v>1990</v>
      </c>
      <c r="I6923">
        <v>29.4</v>
      </c>
      <c r="J6923">
        <v>14.6</v>
      </c>
      <c r="K6923">
        <v>56</v>
      </c>
      <c r="L6923">
        <v>29.17</v>
      </c>
      <c r="M6923">
        <v>41.5</v>
      </c>
      <c r="N6923">
        <v>15.5</v>
      </c>
      <c r="O6923">
        <v>26</v>
      </c>
      <c r="P6923">
        <v>29.5</v>
      </c>
      <c r="Q6923">
        <v>27</v>
      </c>
      <c r="R6923">
        <v>33.299999999999997</v>
      </c>
      <c r="S6923">
        <v>25.4</v>
      </c>
      <c r="T6923">
        <v>432</v>
      </c>
      <c r="U6923">
        <v>153</v>
      </c>
      <c r="V6923">
        <v>0</v>
      </c>
      <c r="W6923">
        <v>141</v>
      </c>
      <c r="X6923">
        <v>363</v>
      </c>
      <c r="Y6923">
        <v>0</v>
      </c>
      <c r="Z6923">
        <v>51</v>
      </c>
      <c r="AA6923">
        <v>0</v>
      </c>
      <c r="AB6923">
        <v>2.2446489999999999</v>
      </c>
      <c r="AC6923">
        <v>9.6289669999999994E-2</v>
      </c>
      <c r="AD6923">
        <v>1.282116</v>
      </c>
      <c r="AE6923">
        <v>0.25235610000000003</v>
      </c>
      <c r="AF6923">
        <v>58.693980000000003</v>
      </c>
      <c r="AG6923">
        <f>IFERROR(AH6923*0.1, "N/A")</f>
        <v>6.5665550000000001</v>
      </c>
      <c r="AH6923">
        <v>65.665549999999996</v>
      </c>
      <c r="AI6923">
        <v>176.44909999999999</v>
      </c>
      <c r="AJ6923">
        <v>17.173909999999999</v>
      </c>
      <c r="AK6923">
        <v>66.003339999999994</v>
      </c>
    </row>
    <row r="6924" spans="1:37" x14ac:dyDescent="0.3">
      <c r="A6924">
        <v>6923</v>
      </c>
      <c r="B6924">
        <v>86</v>
      </c>
      <c r="C6924">
        <v>-10.571999999999999</v>
      </c>
      <c r="D6924">
        <v>15.118</v>
      </c>
      <c r="E6924">
        <f>-10.572-15.118</f>
        <v>-25.689999999999998</v>
      </c>
      <c r="F6924" t="s">
        <v>10360</v>
      </c>
      <c r="G6924" t="s">
        <v>39</v>
      </c>
      <c r="H6924">
        <v>1987</v>
      </c>
      <c r="I6924">
        <v>28.9</v>
      </c>
      <c r="J6924">
        <v>14.5</v>
      </c>
      <c r="K6924">
        <v>58</v>
      </c>
      <c r="L6924">
        <v>25.7</v>
      </c>
      <c r="M6924">
        <v>40.799999999999997</v>
      </c>
      <c r="N6924">
        <v>16</v>
      </c>
      <c r="O6924">
        <v>24.8</v>
      </c>
      <c r="P6924">
        <v>28.1</v>
      </c>
      <c r="Q6924">
        <v>27.4</v>
      </c>
      <c r="R6924">
        <v>32.6</v>
      </c>
      <c r="S6924">
        <v>25.8</v>
      </c>
      <c r="T6924">
        <v>509</v>
      </c>
      <c r="U6924">
        <v>166</v>
      </c>
      <c r="V6924">
        <v>0</v>
      </c>
      <c r="W6924">
        <v>137</v>
      </c>
      <c r="X6924">
        <v>415</v>
      </c>
      <c r="Y6924">
        <v>0</v>
      </c>
      <c r="Z6924">
        <v>68</v>
      </c>
      <c r="AA6924">
        <v>0</v>
      </c>
      <c r="AB6924">
        <v>9.9690619999999992</v>
      </c>
      <c r="AC6924">
        <v>1.230361E-2</v>
      </c>
      <c r="AD6924">
        <v>0.85633910000000002</v>
      </c>
      <c r="AE6924">
        <v>0.27081339999999998</v>
      </c>
      <c r="AF6924">
        <v>101.1538</v>
      </c>
      <c r="AG6924">
        <f>IFERROR(AH6924*0.1, "N/A")</f>
        <v>6.6719059999999999</v>
      </c>
      <c r="AH6924">
        <v>66.719059999999999</v>
      </c>
      <c r="AI6924">
        <v>124.6721</v>
      </c>
      <c r="AJ6924">
        <v>22.561869999999999</v>
      </c>
      <c r="AK6924">
        <v>61.438130000000001</v>
      </c>
    </row>
    <row r="6925" spans="1:37" x14ac:dyDescent="0.3">
      <c r="A6925">
        <v>6924</v>
      </c>
      <c r="B6925">
        <v>8</v>
      </c>
      <c r="C6925">
        <v>-10.571999999999999</v>
      </c>
      <c r="D6925">
        <v>15.118</v>
      </c>
      <c r="E6925">
        <f>-10.572-15.118</f>
        <v>-25.689999999999998</v>
      </c>
      <c r="F6925" t="s">
        <v>10361</v>
      </c>
      <c r="G6925" t="s">
        <v>37</v>
      </c>
      <c r="H6925">
        <v>1987</v>
      </c>
      <c r="I6925">
        <v>28.9</v>
      </c>
      <c r="J6925">
        <v>14.5</v>
      </c>
      <c r="K6925">
        <v>58</v>
      </c>
      <c r="L6925">
        <v>25.7</v>
      </c>
      <c r="M6925">
        <v>40.799999999999997</v>
      </c>
      <c r="N6925">
        <v>16</v>
      </c>
      <c r="O6925">
        <v>24.8</v>
      </c>
      <c r="P6925">
        <v>28.1</v>
      </c>
      <c r="Q6925">
        <v>27.4</v>
      </c>
      <c r="R6925">
        <v>32.6</v>
      </c>
      <c r="S6925">
        <v>25.8</v>
      </c>
      <c r="T6925">
        <v>509</v>
      </c>
      <c r="U6925">
        <v>166</v>
      </c>
      <c r="V6925">
        <v>0</v>
      </c>
      <c r="W6925">
        <v>137</v>
      </c>
      <c r="X6925">
        <v>415</v>
      </c>
      <c r="Y6925">
        <v>0</v>
      </c>
      <c r="Z6925">
        <v>68</v>
      </c>
      <c r="AA6925">
        <v>0</v>
      </c>
      <c r="AB6925">
        <v>9.9690619999999992</v>
      </c>
      <c r="AC6925">
        <v>1.230361E-2</v>
      </c>
      <c r="AD6925">
        <v>0.85633910000000002</v>
      </c>
      <c r="AE6925">
        <v>0.27081339999999998</v>
      </c>
      <c r="AF6925">
        <v>101.1538</v>
      </c>
      <c r="AG6925">
        <f>IFERROR(AH6925*0.1, "N/A")</f>
        <v>6.6719059999999999</v>
      </c>
      <c r="AH6925">
        <v>66.719059999999999</v>
      </c>
      <c r="AI6925">
        <v>124.6721</v>
      </c>
      <c r="AJ6925">
        <v>22.561869999999999</v>
      </c>
      <c r="AK6925">
        <v>61.438130000000001</v>
      </c>
    </row>
    <row r="6926" spans="1:37" x14ac:dyDescent="0.3">
      <c r="A6926">
        <v>6925</v>
      </c>
      <c r="B6926">
        <v>84.9</v>
      </c>
      <c r="C6926">
        <v>-10.577299999999999</v>
      </c>
      <c r="D6926">
        <v>15.1187</v>
      </c>
      <c r="E6926">
        <f>-10.5773-15.1187</f>
        <v>-25.695999999999998</v>
      </c>
      <c r="F6926" t="s">
        <v>10362</v>
      </c>
      <c r="G6926" t="s">
        <v>39</v>
      </c>
      <c r="H6926">
        <v>1990</v>
      </c>
      <c r="I6926">
        <v>28.9</v>
      </c>
      <c r="J6926">
        <v>14.5</v>
      </c>
      <c r="K6926">
        <v>58</v>
      </c>
      <c r="L6926">
        <v>25.73</v>
      </c>
      <c r="M6926">
        <v>40.799999999999997</v>
      </c>
      <c r="N6926">
        <v>16</v>
      </c>
      <c r="O6926">
        <v>24.8</v>
      </c>
      <c r="P6926">
        <v>28.1</v>
      </c>
      <c r="Q6926">
        <v>27.4</v>
      </c>
      <c r="R6926">
        <v>32.6</v>
      </c>
      <c r="S6926">
        <v>25.8</v>
      </c>
      <c r="T6926">
        <v>509</v>
      </c>
      <c r="U6926">
        <v>166</v>
      </c>
      <c r="V6926">
        <v>0</v>
      </c>
      <c r="W6926">
        <v>137</v>
      </c>
      <c r="X6926">
        <v>415</v>
      </c>
      <c r="Y6926">
        <v>0</v>
      </c>
      <c r="Z6926">
        <v>68</v>
      </c>
      <c r="AA6926">
        <v>0</v>
      </c>
      <c r="AB6926">
        <v>6.8545109999999996</v>
      </c>
      <c r="AC6926">
        <v>2.0312630000000002E-2</v>
      </c>
      <c r="AD6926">
        <v>1.2430920000000001</v>
      </c>
      <c r="AE6926">
        <v>0.27737469999999997</v>
      </c>
      <c r="AF6926">
        <v>96.262540000000001</v>
      </c>
      <c r="AG6926">
        <f>IFERROR(AH6926*0.1, "N/A")</f>
        <v>6.7098659999999999</v>
      </c>
      <c r="AH6926">
        <v>67.098659999999995</v>
      </c>
      <c r="AI6926">
        <v>158.9171</v>
      </c>
      <c r="AJ6926">
        <v>20.197320000000001</v>
      </c>
      <c r="AK6926">
        <v>61</v>
      </c>
    </row>
    <row r="6927" spans="1:37" x14ac:dyDescent="0.3">
      <c r="A6927">
        <v>6926</v>
      </c>
      <c r="B6927">
        <v>7.6</v>
      </c>
      <c r="C6927">
        <v>-10.577299999999999</v>
      </c>
      <c r="D6927">
        <v>15.1187</v>
      </c>
      <c r="E6927">
        <f>-10.5773-15.1187</f>
        <v>-25.695999999999998</v>
      </c>
      <c r="F6927" t="s">
        <v>10363</v>
      </c>
      <c r="G6927" t="s">
        <v>37</v>
      </c>
      <c r="H6927">
        <v>1990</v>
      </c>
      <c r="I6927">
        <v>28.9</v>
      </c>
      <c r="J6927">
        <v>14.5</v>
      </c>
      <c r="K6927">
        <v>58</v>
      </c>
      <c r="L6927">
        <v>25.73</v>
      </c>
      <c r="M6927">
        <v>40.799999999999997</v>
      </c>
      <c r="N6927">
        <v>16</v>
      </c>
      <c r="O6927">
        <v>24.8</v>
      </c>
      <c r="P6927">
        <v>28.1</v>
      </c>
      <c r="Q6927">
        <v>27.4</v>
      </c>
      <c r="R6927">
        <v>32.6</v>
      </c>
      <c r="S6927">
        <v>25.8</v>
      </c>
      <c r="T6927">
        <v>509</v>
      </c>
      <c r="U6927">
        <v>166</v>
      </c>
      <c r="V6927">
        <v>0</v>
      </c>
      <c r="W6927">
        <v>137</v>
      </c>
      <c r="X6927">
        <v>415</v>
      </c>
      <c r="Y6927">
        <v>0</v>
      </c>
      <c r="Z6927">
        <v>68</v>
      </c>
      <c r="AA6927">
        <v>0</v>
      </c>
      <c r="AB6927">
        <v>6.8545109999999996</v>
      </c>
      <c r="AC6927">
        <v>2.0312630000000002E-2</v>
      </c>
      <c r="AD6927">
        <v>1.2430920000000001</v>
      </c>
      <c r="AE6927">
        <v>0.27737469999999997</v>
      </c>
      <c r="AF6927">
        <v>96.262540000000001</v>
      </c>
      <c r="AG6927">
        <f>IFERROR(AH6927*0.1, "N/A")</f>
        <v>6.7098659999999999</v>
      </c>
      <c r="AH6927">
        <v>67.098659999999995</v>
      </c>
      <c r="AI6927">
        <v>158.9171</v>
      </c>
      <c r="AJ6927">
        <v>20.197320000000001</v>
      </c>
      <c r="AK6927">
        <v>61</v>
      </c>
    </row>
    <row r="6928" spans="1:37" x14ac:dyDescent="0.3">
      <c r="A6928">
        <v>6927</v>
      </c>
      <c r="B6928">
        <v>8.3000000000000007</v>
      </c>
      <c r="C6928">
        <v>-4.5338000000000003</v>
      </c>
      <c r="D6928">
        <v>15.148099999999999</v>
      </c>
      <c r="E6928">
        <f>-4.5338-15.1481</f>
        <v>-19.681899999999999</v>
      </c>
      <c r="F6928" t="s">
        <v>10364</v>
      </c>
      <c r="G6928" t="s">
        <v>39</v>
      </c>
      <c r="H6928">
        <v>1990</v>
      </c>
      <c r="I6928">
        <v>27.2</v>
      </c>
      <c r="J6928">
        <v>14.2</v>
      </c>
      <c r="K6928">
        <v>55</v>
      </c>
      <c r="L6928">
        <v>30.46</v>
      </c>
      <c r="M6928">
        <v>40.299999999999997</v>
      </c>
      <c r="N6928">
        <v>14.6</v>
      </c>
      <c r="O6928">
        <v>25.7</v>
      </c>
      <c r="P6928">
        <v>28</v>
      </c>
      <c r="Q6928">
        <v>23.6</v>
      </c>
      <c r="R6928">
        <v>30.7</v>
      </c>
      <c r="S6928">
        <v>22.7</v>
      </c>
      <c r="T6928">
        <v>353</v>
      </c>
      <c r="U6928">
        <v>127</v>
      </c>
      <c r="V6928">
        <v>0</v>
      </c>
      <c r="W6928">
        <v>143</v>
      </c>
      <c r="X6928">
        <v>292</v>
      </c>
      <c r="Y6928">
        <v>0</v>
      </c>
      <c r="Z6928">
        <v>52</v>
      </c>
      <c r="AA6928">
        <v>0</v>
      </c>
      <c r="AB6928">
        <v>0.57998119999999997</v>
      </c>
      <c r="AC6928">
        <v>1.633387E-2</v>
      </c>
      <c r="AD6928">
        <v>2.3710640000000001</v>
      </c>
      <c r="AE6928">
        <v>0.35395959999999999</v>
      </c>
      <c r="AF6928">
        <v>268.4658</v>
      </c>
      <c r="AG6928">
        <f>IFERROR(AH6928*0.1, "N/A")</f>
        <v>6.5090149999999998</v>
      </c>
      <c r="AH6928">
        <v>65.090149999999994</v>
      </c>
      <c r="AI6928">
        <v>169.7534</v>
      </c>
      <c r="AJ6928">
        <v>11.983309999999999</v>
      </c>
      <c r="AK6928">
        <v>75.090149999999994</v>
      </c>
    </row>
    <row r="6929" spans="1:37" x14ac:dyDescent="0.3">
      <c r="A6929">
        <v>6928</v>
      </c>
      <c r="B6929">
        <v>4.2</v>
      </c>
      <c r="C6929">
        <v>-4.5338000000000003</v>
      </c>
      <c r="D6929">
        <v>15.148099999999999</v>
      </c>
      <c r="E6929">
        <f>-4.5338-15.1481</f>
        <v>-19.681899999999999</v>
      </c>
      <c r="F6929" t="s">
        <v>10365</v>
      </c>
      <c r="G6929" t="s">
        <v>37</v>
      </c>
      <c r="H6929">
        <v>1990</v>
      </c>
      <c r="I6929">
        <v>27.2</v>
      </c>
      <c r="J6929">
        <v>14.2</v>
      </c>
      <c r="K6929">
        <v>55</v>
      </c>
      <c r="L6929">
        <v>30.46</v>
      </c>
      <c r="M6929">
        <v>40.299999999999997</v>
      </c>
      <c r="N6929">
        <v>14.6</v>
      </c>
      <c r="O6929">
        <v>25.7</v>
      </c>
      <c r="P6929">
        <v>28</v>
      </c>
      <c r="Q6929">
        <v>23.6</v>
      </c>
      <c r="R6929">
        <v>30.7</v>
      </c>
      <c r="S6929">
        <v>22.7</v>
      </c>
      <c r="T6929">
        <v>353</v>
      </c>
      <c r="U6929">
        <v>127</v>
      </c>
      <c r="V6929">
        <v>0</v>
      </c>
      <c r="W6929">
        <v>143</v>
      </c>
      <c r="X6929">
        <v>292</v>
      </c>
      <c r="Y6929">
        <v>0</v>
      </c>
      <c r="Z6929">
        <v>52</v>
      </c>
      <c r="AA6929">
        <v>0</v>
      </c>
      <c r="AB6929">
        <v>0.57998119999999997</v>
      </c>
      <c r="AC6929">
        <v>1.633387E-2</v>
      </c>
      <c r="AD6929">
        <v>2.3710640000000001</v>
      </c>
      <c r="AE6929">
        <v>0.35395959999999999</v>
      </c>
      <c r="AF6929">
        <v>268.4658</v>
      </c>
      <c r="AG6929">
        <f>IFERROR(AH6929*0.1, "N/A")</f>
        <v>6.5090149999999998</v>
      </c>
      <c r="AH6929">
        <v>65.090149999999994</v>
      </c>
      <c r="AI6929">
        <v>169.7534</v>
      </c>
      <c r="AJ6929">
        <v>11.983309999999999</v>
      </c>
      <c r="AK6929">
        <v>75.090149999999994</v>
      </c>
    </row>
    <row r="6930" spans="1:37" x14ac:dyDescent="0.3">
      <c r="A6930">
        <v>6929</v>
      </c>
      <c r="B6930">
        <v>16.7</v>
      </c>
      <c r="C6930">
        <v>-4.4311999999999996</v>
      </c>
      <c r="D6930">
        <v>15.1686</v>
      </c>
      <c r="E6930">
        <f>-4.4312-15.1686</f>
        <v>-19.599799999999998</v>
      </c>
      <c r="F6930" t="s">
        <v>10366</v>
      </c>
      <c r="G6930" t="s">
        <v>39</v>
      </c>
      <c r="H6930">
        <v>1990</v>
      </c>
      <c r="I6930">
        <v>27.2</v>
      </c>
      <c r="J6930">
        <v>14.2</v>
      </c>
      <c r="K6930">
        <v>55</v>
      </c>
      <c r="L6930">
        <v>30.11</v>
      </c>
      <c r="M6930">
        <v>40.299999999999997</v>
      </c>
      <c r="N6930">
        <v>14.8</v>
      </c>
      <c r="O6930">
        <v>25.5</v>
      </c>
      <c r="P6930">
        <v>27.9</v>
      </c>
      <c r="Q6930">
        <v>22.7</v>
      </c>
      <c r="R6930">
        <v>30.7</v>
      </c>
      <c r="S6930">
        <v>22.7</v>
      </c>
      <c r="T6930">
        <v>370</v>
      </c>
      <c r="U6930">
        <v>138</v>
      </c>
      <c r="V6930">
        <v>0</v>
      </c>
      <c r="W6930">
        <v>146</v>
      </c>
      <c r="X6930">
        <v>307</v>
      </c>
      <c r="Y6930">
        <v>0</v>
      </c>
      <c r="Z6930">
        <v>53</v>
      </c>
      <c r="AA6930">
        <v>0</v>
      </c>
      <c r="AB6930">
        <v>2.1274500000000001</v>
      </c>
      <c r="AC6930">
        <v>9.4508109999999999E-3</v>
      </c>
      <c r="AD6930">
        <v>1.674331</v>
      </c>
      <c r="AE6930">
        <v>0.3025506</v>
      </c>
      <c r="AF6930">
        <v>270.02999999999997</v>
      </c>
      <c r="AG6930">
        <f>IFERROR(AH6930*0.1, "N/A")</f>
        <v>6.3193010000000003</v>
      </c>
      <c r="AH6930">
        <v>63.193010000000001</v>
      </c>
      <c r="AI6930">
        <v>218.74299999999999</v>
      </c>
      <c r="AJ6930">
        <v>17.32779</v>
      </c>
      <c r="AK6930">
        <v>66.672210000000007</v>
      </c>
    </row>
    <row r="6931" spans="1:37" x14ac:dyDescent="0.3">
      <c r="A6931">
        <v>6930</v>
      </c>
      <c r="B6931">
        <v>8.9</v>
      </c>
      <c r="C6931">
        <v>-4.4311999999999996</v>
      </c>
      <c r="D6931">
        <v>15.1686</v>
      </c>
      <c r="E6931">
        <f>-4.4312-15.1686</f>
        <v>-19.599799999999998</v>
      </c>
      <c r="F6931" t="s">
        <v>10367</v>
      </c>
      <c r="G6931" t="s">
        <v>37</v>
      </c>
      <c r="H6931">
        <v>1990</v>
      </c>
      <c r="I6931">
        <v>27.2</v>
      </c>
      <c r="J6931">
        <v>14.2</v>
      </c>
      <c r="K6931">
        <v>55</v>
      </c>
      <c r="L6931">
        <v>30.11</v>
      </c>
      <c r="M6931">
        <v>40.299999999999997</v>
      </c>
      <c r="N6931">
        <v>14.8</v>
      </c>
      <c r="O6931">
        <v>25.5</v>
      </c>
      <c r="P6931">
        <v>27.9</v>
      </c>
      <c r="Q6931">
        <v>22.7</v>
      </c>
      <c r="R6931">
        <v>30.7</v>
      </c>
      <c r="S6931">
        <v>22.7</v>
      </c>
      <c r="T6931">
        <v>370</v>
      </c>
      <c r="U6931">
        <v>138</v>
      </c>
      <c r="V6931">
        <v>0</v>
      </c>
      <c r="W6931">
        <v>146</v>
      </c>
      <c r="X6931">
        <v>307</v>
      </c>
      <c r="Y6931">
        <v>0</v>
      </c>
      <c r="Z6931">
        <v>53</v>
      </c>
      <c r="AA6931">
        <v>0</v>
      </c>
      <c r="AB6931">
        <v>2.1274500000000001</v>
      </c>
      <c r="AC6931">
        <v>9.4508109999999999E-3</v>
      </c>
      <c r="AD6931">
        <v>1.674331</v>
      </c>
      <c r="AE6931">
        <v>0.3025506</v>
      </c>
      <c r="AF6931">
        <v>270.02999999999997</v>
      </c>
      <c r="AG6931">
        <f>IFERROR(AH6931*0.1, "N/A")</f>
        <v>6.3193010000000003</v>
      </c>
      <c r="AH6931">
        <v>63.193010000000001</v>
      </c>
      <c r="AI6931">
        <v>218.74299999999999</v>
      </c>
      <c r="AJ6931">
        <v>17.32779</v>
      </c>
      <c r="AK6931">
        <v>66.672210000000007</v>
      </c>
    </row>
    <row r="6932" spans="1:37" x14ac:dyDescent="0.3">
      <c r="A6932">
        <v>6931</v>
      </c>
      <c r="B6932">
        <v>33.799999999999997</v>
      </c>
      <c r="C6932">
        <v>-10.2029</v>
      </c>
      <c r="D6932">
        <v>15.1732</v>
      </c>
      <c r="E6932">
        <f>-10.2029-15.1732</f>
        <v>-25.376100000000001</v>
      </c>
      <c r="F6932" t="s">
        <v>10368</v>
      </c>
      <c r="G6932" t="s">
        <v>39</v>
      </c>
      <c r="H6932">
        <v>1990</v>
      </c>
      <c r="I6932">
        <v>28.1</v>
      </c>
      <c r="J6932">
        <v>14.5</v>
      </c>
      <c r="K6932">
        <v>55</v>
      </c>
      <c r="L6932">
        <v>28.09</v>
      </c>
      <c r="M6932">
        <v>40.200000000000003</v>
      </c>
      <c r="N6932">
        <v>14.3</v>
      </c>
      <c r="O6932">
        <v>25.9</v>
      </c>
      <c r="P6932">
        <v>27.7</v>
      </c>
      <c r="Q6932">
        <v>26.1</v>
      </c>
      <c r="R6932">
        <v>32</v>
      </c>
      <c r="S6932">
        <v>24.4</v>
      </c>
      <c r="T6932">
        <v>502</v>
      </c>
      <c r="U6932">
        <v>169</v>
      </c>
      <c r="V6932">
        <v>0</v>
      </c>
      <c r="W6932">
        <v>138</v>
      </c>
      <c r="X6932">
        <v>404</v>
      </c>
      <c r="Y6932">
        <v>0</v>
      </c>
      <c r="Z6932">
        <v>71</v>
      </c>
      <c r="AA6932">
        <v>1</v>
      </c>
      <c r="AB6932">
        <v>0.44197439999999999</v>
      </c>
      <c r="AC6932">
        <v>83.240399999999994</v>
      </c>
      <c r="AD6932">
        <v>0.45770739999999999</v>
      </c>
      <c r="AE6932">
        <v>0.2478785</v>
      </c>
      <c r="AF6932">
        <v>248.81270000000001</v>
      </c>
      <c r="AG6932">
        <f>IFERROR(AH6932*0.1, "N/A")</f>
        <v>7.0988290000000012</v>
      </c>
      <c r="AH6932">
        <v>70.988290000000006</v>
      </c>
      <c r="AI6932">
        <v>65.180819999999997</v>
      </c>
      <c r="AJ6932">
        <v>26</v>
      </c>
      <c r="AK6932">
        <v>48</v>
      </c>
    </row>
    <row r="6933" spans="1:37" x14ac:dyDescent="0.3">
      <c r="A6933">
        <v>6932</v>
      </c>
      <c r="B6933">
        <v>0</v>
      </c>
      <c r="C6933">
        <v>-10.2029</v>
      </c>
      <c r="D6933">
        <v>15.1732</v>
      </c>
      <c r="E6933">
        <f>-10.2029-15.1732</f>
        <v>-25.376100000000001</v>
      </c>
      <c r="F6933" t="s">
        <v>10369</v>
      </c>
      <c r="G6933" t="s">
        <v>37</v>
      </c>
      <c r="H6933">
        <v>1990</v>
      </c>
      <c r="I6933">
        <v>28.1</v>
      </c>
      <c r="J6933">
        <v>14.5</v>
      </c>
      <c r="K6933">
        <v>55</v>
      </c>
      <c r="L6933">
        <v>28.09</v>
      </c>
      <c r="M6933">
        <v>40.200000000000003</v>
      </c>
      <c r="N6933">
        <v>14.3</v>
      </c>
      <c r="O6933">
        <v>25.9</v>
      </c>
      <c r="P6933">
        <v>27.7</v>
      </c>
      <c r="Q6933">
        <v>26.1</v>
      </c>
      <c r="R6933">
        <v>32</v>
      </c>
      <c r="S6933">
        <v>24.4</v>
      </c>
      <c r="T6933">
        <v>502</v>
      </c>
      <c r="U6933">
        <v>169</v>
      </c>
      <c r="V6933">
        <v>0</v>
      </c>
      <c r="W6933">
        <v>138</v>
      </c>
      <c r="X6933">
        <v>404</v>
      </c>
      <c r="Y6933">
        <v>0</v>
      </c>
      <c r="Z6933">
        <v>71</v>
      </c>
      <c r="AA6933">
        <v>1</v>
      </c>
      <c r="AB6933">
        <v>0.44197439999999999</v>
      </c>
      <c r="AC6933">
        <v>83.240399999999994</v>
      </c>
      <c r="AD6933">
        <v>0.45770739999999999</v>
      </c>
      <c r="AE6933">
        <v>0.2478785</v>
      </c>
      <c r="AF6933">
        <v>248.81270000000001</v>
      </c>
      <c r="AG6933">
        <f>IFERROR(AH6933*0.1, "N/A")</f>
        <v>7.0988290000000012</v>
      </c>
      <c r="AH6933">
        <v>70.988290000000006</v>
      </c>
      <c r="AI6933">
        <v>65.180819999999997</v>
      </c>
      <c r="AJ6933">
        <v>26</v>
      </c>
      <c r="AK6933">
        <v>48</v>
      </c>
    </row>
    <row r="6934" spans="1:37" x14ac:dyDescent="0.3">
      <c r="A6934">
        <v>6933</v>
      </c>
      <c r="B6934">
        <v>54.4</v>
      </c>
      <c r="C6934">
        <v>-11.787599999999999</v>
      </c>
      <c r="D6934">
        <v>15.1877</v>
      </c>
      <c r="E6934">
        <f>-11.7876-15.1877</f>
        <v>-26.975299999999997</v>
      </c>
      <c r="F6934" t="s">
        <v>10370</v>
      </c>
      <c r="G6934" t="s">
        <v>39</v>
      </c>
      <c r="H6934">
        <v>1990</v>
      </c>
      <c r="I6934">
        <v>29.4</v>
      </c>
      <c r="J6934">
        <v>14.7</v>
      </c>
      <c r="K6934">
        <v>56</v>
      </c>
      <c r="L6934">
        <v>29.6</v>
      </c>
      <c r="M6934">
        <v>41.5</v>
      </c>
      <c r="N6934">
        <v>15.4</v>
      </c>
      <c r="O6934">
        <v>26.1</v>
      </c>
      <c r="P6934">
        <v>29.6</v>
      </c>
      <c r="Q6934">
        <v>27</v>
      </c>
      <c r="R6934">
        <v>33.299999999999997</v>
      </c>
      <c r="S6934">
        <v>25.3</v>
      </c>
      <c r="T6934">
        <v>390</v>
      </c>
      <c r="U6934">
        <v>140</v>
      </c>
      <c r="V6934">
        <v>0</v>
      </c>
      <c r="W6934">
        <v>144</v>
      </c>
      <c r="X6934">
        <v>330</v>
      </c>
      <c r="Y6934">
        <v>0</v>
      </c>
      <c r="Z6934">
        <v>45</v>
      </c>
      <c r="AA6934">
        <v>0</v>
      </c>
      <c r="AB6934">
        <v>1.3853569999999999</v>
      </c>
      <c r="AC6934">
        <v>0.1000761</v>
      </c>
      <c r="AD6934">
        <v>1.820287</v>
      </c>
      <c r="AE6934">
        <v>0.2095458</v>
      </c>
      <c r="AF6934">
        <v>53.520800000000001</v>
      </c>
      <c r="AG6934">
        <f>IFERROR(AH6934*0.1, "N/A")</f>
        <v>6.5</v>
      </c>
      <c r="AH6934">
        <v>65</v>
      </c>
      <c r="AI6934">
        <v>170.29650000000001</v>
      </c>
      <c r="AJ6934">
        <v>17.59235</v>
      </c>
      <c r="AK6934">
        <v>70.404330000000002</v>
      </c>
    </row>
    <row r="6935" spans="1:37" x14ac:dyDescent="0.3">
      <c r="A6935">
        <v>6934</v>
      </c>
      <c r="B6935">
        <v>0</v>
      </c>
      <c r="C6935">
        <v>-11.787599999999999</v>
      </c>
      <c r="D6935">
        <v>15.1877</v>
      </c>
      <c r="E6935">
        <f>-11.7876-15.1877</f>
        <v>-26.975299999999997</v>
      </c>
      <c r="F6935" t="s">
        <v>10371</v>
      </c>
      <c r="G6935" t="s">
        <v>37</v>
      </c>
      <c r="H6935">
        <v>1990</v>
      </c>
      <c r="I6935">
        <v>29.4</v>
      </c>
      <c r="J6935">
        <v>14.7</v>
      </c>
      <c r="K6935">
        <v>56</v>
      </c>
      <c r="L6935">
        <v>29.6</v>
      </c>
      <c r="M6935">
        <v>41.5</v>
      </c>
      <c r="N6935">
        <v>15.4</v>
      </c>
      <c r="O6935">
        <v>26.1</v>
      </c>
      <c r="P6935">
        <v>29.6</v>
      </c>
      <c r="Q6935">
        <v>27</v>
      </c>
      <c r="R6935">
        <v>33.299999999999997</v>
      </c>
      <c r="S6935">
        <v>25.3</v>
      </c>
      <c r="T6935">
        <v>390</v>
      </c>
      <c r="U6935">
        <v>140</v>
      </c>
      <c r="V6935">
        <v>0</v>
      </c>
      <c r="W6935">
        <v>144</v>
      </c>
      <c r="X6935">
        <v>330</v>
      </c>
      <c r="Y6935">
        <v>0</v>
      </c>
      <c r="Z6935">
        <v>45</v>
      </c>
      <c r="AA6935">
        <v>0</v>
      </c>
      <c r="AB6935">
        <v>1.3853569999999999</v>
      </c>
      <c r="AC6935">
        <v>0.1000761</v>
      </c>
      <c r="AD6935">
        <v>1.820287</v>
      </c>
      <c r="AE6935">
        <v>0.2095458</v>
      </c>
      <c r="AF6935">
        <v>53.520800000000001</v>
      </c>
      <c r="AG6935">
        <f>IFERROR(AH6935*0.1, "N/A")</f>
        <v>6.5</v>
      </c>
      <c r="AH6935">
        <v>65</v>
      </c>
      <c r="AI6935">
        <v>170.29650000000001</v>
      </c>
      <c r="AJ6935">
        <v>17.59235</v>
      </c>
      <c r="AK6935">
        <v>70.404330000000002</v>
      </c>
    </row>
    <row r="6936" spans="1:37" x14ac:dyDescent="0.3">
      <c r="A6936">
        <v>6935</v>
      </c>
      <c r="B6936">
        <v>32.299999999999997</v>
      </c>
      <c r="C6936">
        <v>-4.4280999999999997</v>
      </c>
      <c r="D6936">
        <v>15.187900000000001</v>
      </c>
      <c r="E6936">
        <f>-4.4281-15.1879</f>
        <v>-19.616</v>
      </c>
      <c r="F6936" t="s">
        <v>10372</v>
      </c>
      <c r="G6936" t="s">
        <v>39</v>
      </c>
      <c r="H6936">
        <v>1990</v>
      </c>
      <c r="I6936">
        <v>27.2</v>
      </c>
      <c r="J6936">
        <v>14.2</v>
      </c>
      <c r="K6936">
        <v>55</v>
      </c>
      <c r="L6936">
        <v>30.25</v>
      </c>
      <c r="M6936">
        <v>40.4</v>
      </c>
      <c r="N6936">
        <v>14.8</v>
      </c>
      <c r="O6936">
        <v>25.6</v>
      </c>
      <c r="P6936">
        <v>28</v>
      </c>
      <c r="Q6936">
        <v>22.7</v>
      </c>
      <c r="R6936">
        <v>30.7</v>
      </c>
      <c r="S6936">
        <v>22.7</v>
      </c>
      <c r="T6936">
        <v>367</v>
      </c>
      <c r="U6936">
        <v>137</v>
      </c>
      <c r="V6936">
        <v>0</v>
      </c>
      <c r="W6936">
        <v>145</v>
      </c>
      <c r="X6936">
        <v>305</v>
      </c>
      <c r="Y6936">
        <v>0</v>
      </c>
      <c r="Z6936">
        <v>52</v>
      </c>
      <c r="AA6936">
        <v>0</v>
      </c>
      <c r="AB6936">
        <v>1.1000019999999999</v>
      </c>
      <c r="AC6936">
        <v>8.3654279999999994E-3</v>
      </c>
      <c r="AD6936">
        <v>2.4230010000000002</v>
      </c>
      <c r="AE6936">
        <v>0.30289260000000001</v>
      </c>
      <c r="AF6936">
        <v>269.47320000000002</v>
      </c>
      <c r="AG6936">
        <f>IFERROR(AH6936*0.1, "N/A")</f>
        <v>6.901338</v>
      </c>
      <c r="AH6936">
        <v>69.013379999999998</v>
      </c>
      <c r="AI6936">
        <v>213.6277</v>
      </c>
      <c r="AJ6936">
        <v>16.95318</v>
      </c>
      <c r="AK6936">
        <v>69.046819999999997</v>
      </c>
    </row>
    <row r="6937" spans="1:37" x14ac:dyDescent="0.3">
      <c r="A6937">
        <v>6936</v>
      </c>
      <c r="B6937">
        <v>2.2000000000000002</v>
      </c>
      <c r="C6937">
        <v>-4.4280999999999997</v>
      </c>
      <c r="D6937">
        <v>15.187900000000001</v>
      </c>
      <c r="E6937">
        <f>-4.4281-15.1879</f>
        <v>-19.616</v>
      </c>
      <c r="F6937" t="s">
        <v>10373</v>
      </c>
      <c r="G6937" t="s">
        <v>37</v>
      </c>
      <c r="H6937">
        <v>1990</v>
      </c>
      <c r="I6937">
        <v>27.2</v>
      </c>
      <c r="J6937">
        <v>14.2</v>
      </c>
      <c r="K6937">
        <v>55</v>
      </c>
      <c r="L6937">
        <v>30.25</v>
      </c>
      <c r="M6937">
        <v>40.4</v>
      </c>
      <c r="N6937">
        <v>14.8</v>
      </c>
      <c r="O6937">
        <v>25.6</v>
      </c>
      <c r="P6937">
        <v>28</v>
      </c>
      <c r="Q6937">
        <v>22.7</v>
      </c>
      <c r="R6937">
        <v>30.7</v>
      </c>
      <c r="S6937">
        <v>22.7</v>
      </c>
      <c r="T6937">
        <v>367</v>
      </c>
      <c r="U6937">
        <v>137</v>
      </c>
      <c r="V6937">
        <v>0</v>
      </c>
      <c r="W6937">
        <v>145</v>
      </c>
      <c r="X6937">
        <v>305</v>
      </c>
      <c r="Y6937">
        <v>0</v>
      </c>
      <c r="Z6937">
        <v>52</v>
      </c>
      <c r="AA6937">
        <v>0</v>
      </c>
      <c r="AB6937">
        <v>1.1000019999999999</v>
      </c>
      <c r="AC6937">
        <v>8.3654279999999994E-3</v>
      </c>
      <c r="AD6937">
        <v>2.4230010000000002</v>
      </c>
      <c r="AE6937">
        <v>0.30289260000000001</v>
      </c>
      <c r="AF6937">
        <v>269.47320000000002</v>
      </c>
      <c r="AG6937">
        <f>IFERROR(AH6937*0.1, "N/A")</f>
        <v>6.901338</v>
      </c>
      <c r="AH6937">
        <v>69.013379999999998</v>
      </c>
      <c r="AI6937">
        <v>213.6277</v>
      </c>
      <c r="AJ6937">
        <v>16.95318</v>
      </c>
      <c r="AK6937">
        <v>69.046819999999997</v>
      </c>
    </row>
    <row r="6938" spans="1:37" x14ac:dyDescent="0.3">
      <c r="A6938">
        <v>6937</v>
      </c>
      <c r="B6938">
        <v>71.3</v>
      </c>
      <c r="C6938">
        <v>-10.2598</v>
      </c>
      <c r="D6938">
        <v>15.198399999999999</v>
      </c>
      <c r="E6938">
        <f>-10.2598-15.1984</f>
        <v>-25.458199999999998</v>
      </c>
      <c r="F6938" t="s">
        <v>10374</v>
      </c>
      <c r="G6938" t="s">
        <v>39</v>
      </c>
      <c r="H6938">
        <v>1990</v>
      </c>
      <c r="I6938">
        <v>28.1</v>
      </c>
      <c r="J6938">
        <v>14.5</v>
      </c>
      <c r="K6938">
        <v>56</v>
      </c>
      <c r="L6938">
        <v>27.87</v>
      </c>
      <c r="M6938">
        <v>40.200000000000003</v>
      </c>
      <c r="N6938">
        <v>14.5</v>
      </c>
      <c r="O6938">
        <v>25.7</v>
      </c>
      <c r="P6938">
        <v>27.8</v>
      </c>
      <c r="Q6938">
        <v>26.2</v>
      </c>
      <c r="R6938">
        <v>32</v>
      </c>
      <c r="S6938">
        <v>24.5</v>
      </c>
      <c r="T6938">
        <v>489</v>
      </c>
      <c r="U6938">
        <v>164</v>
      </c>
      <c r="V6938">
        <v>0</v>
      </c>
      <c r="W6938">
        <v>137</v>
      </c>
      <c r="X6938">
        <v>394</v>
      </c>
      <c r="Y6938">
        <v>0</v>
      </c>
      <c r="Z6938">
        <v>68</v>
      </c>
      <c r="AA6938">
        <v>1</v>
      </c>
      <c r="AB6938">
        <v>4.2943230000000003</v>
      </c>
      <c r="AC6938">
        <v>5.9324889999999998E-2</v>
      </c>
      <c r="AD6938">
        <v>1.514883</v>
      </c>
      <c r="AE6938">
        <v>0.24830540000000001</v>
      </c>
      <c r="AF6938">
        <v>242.05179999999999</v>
      </c>
      <c r="AG6938">
        <f>IFERROR(AH6938*0.1, "N/A")</f>
        <v>7.0949920000000013</v>
      </c>
      <c r="AH6938">
        <v>70.949920000000006</v>
      </c>
      <c r="AI6938">
        <v>221.38759999999999</v>
      </c>
      <c r="AJ6938">
        <v>22.983309999999999</v>
      </c>
      <c r="AK6938">
        <v>49.033389999999997</v>
      </c>
    </row>
    <row r="6939" spans="1:37" x14ac:dyDescent="0.3">
      <c r="A6939">
        <v>6938</v>
      </c>
      <c r="B6939">
        <v>0.9</v>
      </c>
      <c r="C6939">
        <v>-10.2598</v>
      </c>
      <c r="D6939">
        <v>15.198399999999999</v>
      </c>
      <c r="E6939">
        <f>-10.2598-15.1984</f>
        <v>-25.458199999999998</v>
      </c>
      <c r="F6939" t="s">
        <v>10375</v>
      </c>
      <c r="G6939" t="s">
        <v>37</v>
      </c>
      <c r="H6939">
        <v>1990</v>
      </c>
      <c r="I6939">
        <v>28.1</v>
      </c>
      <c r="J6939">
        <v>14.5</v>
      </c>
      <c r="K6939">
        <v>56</v>
      </c>
      <c r="L6939">
        <v>27.87</v>
      </c>
      <c r="M6939">
        <v>40.200000000000003</v>
      </c>
      <c r="N6939">
        <v>14.5</v>
      </c>
      <c r="O6939">
        <v>25.7</v>
      </c>
      <c r="P6939">
        <v>27.8</v>
      </c>
      <c r="Q6939">
        <v>26.2</v>
      </c>
      <c r="R6939">
        <v>32</v>
      </c>
      <c r="S6939">
        <v>24.5</v>
      </c>
      <c r="T6939">
        <v>489</v>
      </c>
      <c r="U6939">
        <v>164</v>
      </c>
      <c r="V6939">
        <v>0</v>
      </c>
      <c r="W6939">
        <v>137</v>
      </c>
      <c r="X6939">
        <v>394</v>
      </c>
      <c r="Y6939">
        <v>0</v>
      </c>
      <c r="Z6939">
        <v>68</v>
      </c>
      <c r="AA6939">
        <v>1</v>
      </c>
      <c r="AB6939">
        <v>4.2943230000000003</v>
      </c>
      <c r="AC6939">
        <v>5.9324889999999998E-2</v>
      </c>
      <c r="AD6939">
        <v>1.514883</v>
      </c>
      <c r="AE6939">
        <v>0.24830540000000001</v>
      </c>
      <c r="AF6939">
        <v>242.05179999999999</v>
      </c>
      <c r="AG6939">
        <f>IFERROR(AH6939*0.1, "N/A")</f>
        <v>7.0949920000000013</v>
      </c>
      <c r="AH6939">
        <v>70.949920000000006</v>
      </c>
      <c r="AI6939">
        <v>221.38759999999999</v>
      </c>
      <c r="AJ6939">
        <v>22.983309999999999</v>
      </c>
      <c r="AK6939">
        <v>49.033389999999997</v>
      </c>
    </row>
    <row r="6940" spans="1:37" x14ac:dyDescent="0.3">
      <c r="A6940">
        <v>6939</v>
      </c>
      <c r="B6940">
        <v>3.1</v>
      </c>
      <c r="C6940">
        <v>-3.7631999999999999</v>
      </c>
      <c r="D6940">
        <v>15.279</v>
      </c>
      <c r="E6940">
        <f>-3.7632-15.279</f>
        <v>-19.042200000000001</v>
      </c>
      <c r="F6940" t="s">
        <v>10376</v>
      </c>
      <c r="G6940" t="s">
        <v>39</v>
      </c>
      <c r="H6940">
        <v>1990</v>
      </c>
      <c r="I6940">
        <v>27.7</v>
      </c>
      <c r="J6940">
        <v>14.3</v>
      </c>
      <c r="K6940">
        <v>55</v>
      </c>
      <c r="L6940">
        <v>30.05</v>
      </c>
      <c r="M6940">
        <v>40.4</v>
      </c>
      <c r="N6940">
        <v>14.8</v>
      </c>
      <c r="O6940">
        <v>25.6</v>
      </c>
      <c r="P6940">
        <v>28.1</v>
      </c>
      <c r="Q6940">
        <v>24.8</v>
      </c>
      <c r="R6940">
        <v>31.5</v>
      </c>
      <c r="S6940">
        <v>23.3</v>
      </c>
      <c r="T6940">
        <v>357</v>
      </c>
      <c r="U6940">
        <v>133</v>
      </c>
      <c r="V6940">
        <v>0</v>
      </c>
      <c r="W6940">
        <v>146</v>
      </c>
      <c r="X6940">
        <v>302</v>
      </c>
      <c r="Y6940">
        <v>0</v>
      </c>
      <c r="Z6940">
        <v>44</v>
      </c>
      <c r="AA6940">
        <v>0</v>
      </c>
      <c r="AB6940">
        <v>0.80249630000000005</v>
      </c>
      <c r="AC6940">
        <v>0.77011470000000004</v>
      </c>
      <c r="AD6940">
        <v>1.561923</v>
      </c>
      <c r="AE6940">
        <v>0.29249520000000001</v>
      </c>
      <c r="AF6940">
        <v>261.40600000000001</v>
      </c>
      <c r="AG6940">
        <f>IFERROR(AH6940*0.1, "N/A")</f>
        <v>6.9868550000000003</v>
      </c>
      <c r="AH6940">
        <v>69.868549999999999</v>
      </c>
      <c r="AI6940">
        <v>94.508309999999994</v>
      </c>
      <c r="AJ6940">
        <v>21.131450000000001</v>
      </c>
      <c r="AK6940">
        <v>58.262900000000002</v>
      </c>
    </row>
    <row r="6941" spans="1:37" x14ac:dyDescent="0.3">
      <c r="A6941">
        <v>6940</v>
      </c>
      <c r="B6941">
        <v>0</v>
      </c>
      <c r="C6941">
        <v>-3.7631999999999999</v>
      </c>
      <c r="D6941">
        <v>15.279</v>
      </c>
      <c r="E6941">
        <f>-3.7632-15.279</f>
        <v>-19.042200000000001</v>
      </c>
      <c r="F6941" t="s">
        <v>10377</v>
      </c>
      <c r="G6941" t="s">
        <v>37</v>
      </c>
      <c r="H6941">
        <v>1990</v>
      </c>
      <c r="I6941">
        <v>27.7</v>
      </c>
      <c r="J6941">
        <v>14.3</v>
      </c>
      <c r="K6941">
        <v>55</v>
      </c>
      <c r="L6941">
        <v>30.05</v>
      </c>
      <c r="M6941">
        <v>40.4</v>
      </c>
      <c r="N6941">
        <v>14.8</v>
      </c>
      <c r="O6941">
        <v>25.6</v>
      </c>
      <c r="P6941">
        <v>28.1</v>
      </c>
      <c r="Q6941">
        <v>24.8</v>
      </c>
      <c r="R6941">
        <v>31.5</v>
      </c>
      <c r="S6941">
        <v>23.3</v>
      </c>
      <c r="T6941">
        <v>357</v>
      </c>
      <c r="U6941">
        <v>133</v>
      </c>
      <c r="V6941">
        <v>0</v>
      </c>
      <c r="W6941">
        <v>146</v>
      </c>
      <c r="X6941">
        <v>302</v>
      </c>
      <c r="Y6941">
        <v>0</v>
      </c>
      <c r="Z6941">
        <v>44</v>
      </c>
      <c r="AA6941">
        <v>0</v>
      </c>
      <c r="AB6941">
        <v>0.80249630000000005</v>
      </c>
      <c r="AC6941">
        <v>0.77011470000000004</v>
      </c>
      <c r="AD6941">
        <v>1.561923</v>
      </c>
      <c r="AE6941">
        <v>0.29249520000000001</v>
      </c>
      <c r="AF6941">
        <v>261.40600000000001</v>
      </c>
      <c r="AG6941">
        <f>IFERROR(AH6941*0.1, "N/A")</f>
        <v>6.9868550000000003</v>
      </c>
      <c r="AH6941">
        <v>69.868549999999999</v>
      </c>
      <c r="AI6941">
        <v>94.508309999999994</v>
      </c>
      <c r="AJ6941">
        <v>21.131450000000001</v>
      </c>
      <c r="AK6941">
        <v>58.262900000000002</v>
      </c>
    </row>
    <row r="6942" spans="1:37" x14ac:dyDescent="0.3">
      <c r="A6942">
        <v>6941</v>
      </c>
      <c r="B6942">
        <v>3.8</v>
      </c>
      <c r="C6942">
        <v>-10.141</v>
      </c>
      <c r="D6942">
        <v>15.349500000000001</v>
      </c>
      <c r="E6942">
        <f>-10.141-15.3495</f>
        <v>-25.490500000000001</v>
      </c>
      <c r="F6942" t="s">
        <v>10378</v>
      </c>
      <c r="G6942" t="s">
        <v>39</v>
      </c>
      <c r="H6942">
        <v>1990</v>
      </c>
      <c r="I6942">
        <v>28.4</v>
      </c>
      <c r="J6942">
        <v>14.6</v>
      </c>
      <c r="K6942">
        <v>55</v>
      </c>
      <c r="L6942">
        <v>30.07</v>
      </c>
      <c r="M6942">
        <v>40.6</v>
      </c>
      <c r="N6942">
        <v>14.2</v>
      </c>
      <c r="O6942">
        <v>26.4</v>
      </c>
      <c r="P6942">
        <v>28.3</v>
      </c>
      <c r="Q6942">
        <v>26.1</v>
      </c>
      <c r="R6942">
        <v>32.4</v>
      </c>
      <c r="S6942">
        <v>24.3</v>
      </c>
      <c r="T6942">
        <v>418</v>
      </c>
      <c r="U6942">
        <v>146</v>
      </c>
      <c r="V6942">
        <v>0</v>
      </c>
      <c r="W6942">
        <v>140</v>
      </c>
      <c r="X6942">
        <v>342</v>
      </c>
      <c r="Y6942">
        <v>0</v>
      </c>
      <c r="Z6942">
        <v>54</v>
      </c>
      <c r="AA6942">
        <v>1</v>
      </c>
      <c r="AB6942">
        <v>3.5647790000000001</v>
      </c>
      <c r="AC6942">
        <v>0.2489286</v>
      </c>
      <c r="AD6942">
        <v>1.1835789999999999</v>
      </c>
      <c r="AE6942">
        <v>0.24360209999999999</v>
      </c>
      <c r="AF6942">
        <v>224.18109999999999</v>
      </c>
      <c r="AG6942">
        <f>IFERROR(AH6942*0.1, "N/A")</f>
        <v>6.8475080000000013</v>
      </c>
      <c r="AH6942">
        <v>68.475080000000005</v>
      </c>
      <c r="AI6942">
        <v>209.2689</v>
      </c>
      <c r="AJ6942">
        <v>15.49169</v>
      </c>
      <c r="AK6942">
        <v>71</v>
      </c>
    </row>
    <row r="6943" spans="1:37" x14ac:dyDescent="0.3">
      <c r="A6943">
        <v>6942</v>
      </c>
      <c r="B6943">
        <v>0</v>
      </c>
      <c r="C6943">
        <v>-10.141</v>
      </c>
      <c r="D6943">
        <v>15.349500000000001</v>
      </c>
      <c r="E6943">
        <f>-10.141-15.3495</f>
        <v>-25.490500000000001</v>
      </c>
      <c r="F6943" t="s">
        <v>10379</v>
      </c>
      <c r="G6943" t="s">
        <v>37</v>
      </c>
      <c r="H6943">
        <v>1990</v>
      </c>
      <c r="I6943">
        <v>28.4</v>
      </c>
      <c r="J6943">
        <v>14.6</v>
      </c>
      <c r="K6943">
        <v>55</v>
      </c>
      <c r="L6943">
        <v>30.07</v>
      </c>
      <c r="M6943">
        <v>40.6</v>
      </c>
      <c r="N6943">
        <v>14.2</v>
      </c>
      <c r="O6943">
        <v>26.4</v>
      </c>
      <c r="P6943">
        <v>28.3</v>
      </c>
      <c r="Q6943">
        <v>26.1</v>
      </c>
      <c r="R6943">
        <v>32.4</v>
      </c>
      <c r="S6943">
        <v>24.3</v>
      </c>
      <c r="T6943">
        <v>418</v>
      </c>
      <c r="U6943">
        <v>146</v>
      </c>
      <c r="V6943">
        <v>0</v>
      </c>
      <c r="W6943">
        <v>140</v>
      </c>
      <c r="X6943">
        <v>342</v>
      </c>
      <c r="Y6943">
        <v>0</v>
      </c>
      <c r="Z6943">
        <v>54</v>
      </c>
      <c r="AA6943">
        <v>1</v>
      </c>
      <c r="AB6943">
        <v>3.5647790000000001</v>
      </c>
      <c r="AC6943">
        <v>0.2489286</v>
      </c>
      <c r="AD6943">
        <v>1.1835789999999999</v>
      </c>
      <c r="AE6943">
        <v>0.24360209999999999</v>
      </c>
      <c r="AF6943">
        <v>224.18109999999999</v>
      </c>
      <c r="AG6943">
        <f>IFERROR(AH6943*0.1, "N/A")</f>
        <v>6.8475080000000013</v>
      </c>
      <c r="AH6943">
        <v>68.475080000000005</v>
      </c>
      <c r="AI6943">
        <v>209.2689</v>
      </c>
      <c r="AJ6943">
        <v>15.49169</v>
      </c>
      <c r="AK6943">
        <v>71</v>
      </c>
    </row>
    <row r="6944" spans="1:37" x14ac:dyDescent="0.3">
      <c r="A6944">
        <v>6943</v>
      </c>
      <c r="B6944">
        <v>36</v>
      </c>
      <c r="C6944">
        <v>-10.345800000000001</v>
      </c>
      <c r="D6944">
        <v>15.3505</v>
      </c>
      <c r="E6944">
        <f>-10.3458-15.3505</f>
        <v>-25.696300000000001</v>
      </c>
      <c r="F6944" t="s">
        <v>10380</v>
      </c>
      <c r="G6944" t="s">
        <v>39</v>
      </c>
      <c r="H6944">
        <v>1990</v>
      </c>
      <c r="I6944">
        <v>28.617799999999999</v>
      </c>
      <c r="J6944">
        <v>14.5</v>
      </c>
      <c r="K6944">
        <v>56</v>
      </c>
      <c r="L6944">
        <v>28.454509999999999</v>
      </c>
      <c r="M6944">
        <v>40.617800000000003</v>
      </c>
      <c r="N6944">
        <v>14.8589</v>
      </c>
      <c r="O6944">
        <v>25.758900000000001</v>
      </c>
      <c r="P6944">
        <v>28.317799999999998</v>
      </c>
      <c r="Q6944">
        <v>26.4589</v>
      </c>
      <c r="R6944">
        <v>32.476700000000001</v>
      </c>
      <c r="S6944">
        <v>24.758900000000001</v>
      </c>
      <c r="T6944">
        <v>420.64389999999997</v>
      </c>
      <c r="U6944">
        <v>143.411</v>
      </c>
      <c r="V6944">
        <v>0</v>
      </c>
      <c r="W6944">
        <v>138.7671</v>
      </c>
      <c r="X6944">
        <v>344.822</v>
      </c>
      <c r="Y6944">
        <v>0</v>
      </c>
      <c r="Z6944">
        <v>53.821959999999997</v>
      </c>
      <c r="AA6944">
        <v>1</v>
      </c>
      <c r="AB6944">
        <v>3.7989929999999998</v>
      </c>
      <c r="AC6944">
        <v>1.9475739999999998E-2</v>
      </c>
      <c r="AD6944">
        <v>1.769066</v>
      </c>
      <c r="AE6944">
        <v>0.24507019999999999</v>
      </c>
      <c r="AF6944">
        <v>173.6739</v>
      </c>
      <c r="AG6944">
        <f>IFERROR(AH6944*0.1, "N/A")</f>
        <v>7.3802000000000012</v>
      </c>
      <c r="AH6944">
        <v>73.802000000000007</v>
      </c>
      <c r="AI6944">
        <v>199.22049999999999</v>
      </c>
      <c r="AJ6944">
        <v>27.991679999999999</v>
      </c>
      <c r="AK6944">
        <v>50.788690000000003</v>
      </c>
    </row>
    <row r="6945" spans="1:37" x14ac:dyDescent="0.3">
      <c r="A6945">
        <v>6944</v>
      </c>
      <c r="B6945">
        <v>0</v>
      </c>
      <c r="C6945">
        <v>-10.345800000000001</v>
      </c>
      <c r="D6945">
        <v>15.3505</v>
      </c>
      <c r="E6945">
        <f>-10.3458-15.3505</f>
        <v>-25.696300000000001</v>
      </c>
      <c r="F6945" t="s">
        <v>10381</v>
      </c>
      <c r="G6945" t="s">
        <v>37</v>
      </c>
      <c r="H6945">
        <v>1990</v>
      </c>
      <c r="I6945">
        <v>28.617799999999999</v>
      </c>
      <c r="J6945">
        <v>14.5</v>
      </c>
      <c r="K6945">
        <v>56</v>
      </c>
      <c r="L6945">
        <v>28.454509999999999</v>
      </c>
      <c r="M6945">
        <v>40.617800000000003</v>
      </c>
      <c r="N6945">
        <v>14.8589</v>
      </c>
      <c r="O6945">
        <v>25.758900000000001</v>
      </c>
      <c r="P6945">
        <v>28.317799999999998</v>
      </c>
      <c r="Q6945">
        <v>26.4589</v>
      </c>
      <c r="R6945">
        <v>32.476700000000001</v>
      </c>
      <c r="S6945">
        <v>24.758900000000001</v>
      </c>
      <c r="T6945">
        <v>420.64389999999997</v>
      </c>
      <c r="U6945">
        <v>143.411</v>
      </c>
      <c r="V6945">
        <v>0</v>
      </c>
      <c r="W6945">
        <v>138.7671</v>
      </c>
      <c r="X6945">
        <v>344.822</v>
      </c>
      <c r="Y6945">
        <v>0</v>
      </c>
      <c r="Z6945">
        <v>53.821959999999997</v>
      </c>
      <c r="AA6945">
        <v>1</v>
      </c>
      <c r="AB6945">
        <v>3.7989929999999998</v>
      </c>
      <c r="AC6945">
        <v>1.9475739999999998E-2</v>
      </c>
      <c r="AD6945">
        <v>1.769066</v>
      </c>
      <c r="AE6945">
        <v>0.24507019999999999</v>
      </c>
      <c r="AF6945">
        <v>173.6739</v>
      </c>
      <c r="AG6945">
        <f>IFERROR(AH6945*0.1, "N/A")</f>
        <v>7.3802000000000012</v>
      </c>
      <c r="AH6945">
        <v>73.802000000000007</v>
      </c>
      <c r="AI6945">
        <v>199.22049999999999</v>
      </c>
      <c r="AJ6945">
        <v>27.991679999999999</v>
      </c>
      <c r="AK6945">
        <v>50.788690000000003</v>
      </c>
    </row>
    <row r="6946" spans="1:37" x14ac:dyDescent="0.3">
      <c r="A6946">
        <v>6945</v>
      </c>
      <c r="B6946">
        <v>37.9</v>
      </c>
      <c r="C6946">
        <v>-11.6105</v>
      </c>
      <c r="D6946">
        <v>15.3728</v>
      </c>
      <c r="E6946">
        <f>-11.6105-15.3728</f>
        <v>-26.9833</v>
      </c>
      <c r="F6946" t="s">
        <v>10382</v>
      </c>
      <c r="G6946" t="s">
        <v>39</v>
      </c>
      <c r="H6946">
        <v>1990</v>
      </c>
      <c r="I6946">
        <v>29.3</v>
      </c>
      <c r="J6946">
        <v>14.7</v>
      </c>
      <c r="K6946">
        <v>55</v>
      </c>
      <c r="L6946">
        <v>30.44</v>
      </c>
      <c r="M6946">
        <v>41.6</v>
      </c>
      <c r="N6946">
        <v>15.2</v>
      </c>
      <c r="O6946">
        <v>26.4</v>
      </c>
      <c r="P6946">
        <v>29.6</v>
      </c>
      <c r="Q6946">
        <v>26.7</v>
      </c>
      <c r="R6946">
        <v>33.299999999999997</v>
      </c>
      <c r="S6946">
        <v>25.1</v>
      </c>
      <c r="T6946">
        <v>323</v>
      </c>
      <c r="U6946">
        <v>119</v>
      </c>
      <c r="V6946">
        <v>0</v>
      </c>
      <c r="W6946">
        <v>150</v>
      </c>
      <c r="X6946">
        <v>280</v>
      </c>
      <c r="Y6946">
        <v>0</v>
      </c>
      <c r="Z6946">
        <v>35</v>
      </c>
      <c r="AA6946">
        <v>0</v>
      </c>
      <c r="AB6946">
        <v>1.3311040000000001</v>
      </c>
      <c r="AC6946">
        <v>2.7391769999999999E-2</v>
      </c>
      <c r="AD6946">
        <v>1.973635</v>
      </c>
      <c r="AE6946">
        <v>0.1951127</v>
      </c>
      <c r="AF6946">
        <v>68.145480000000006</v>
      </c>
      <c r="AG6946">
        <f>IFERROR(AH6946*0.1, "N/A")</f>
        <v>6.2</v>
      </c>
      <c r="AH6946">
        <v>62</v>
      </c>
      <c r="AI6946">
        <v>79.940550000000002</v>
      </c>
      <c r="AJ6946">
        <v>12.697319999999999</v>
      </c>
      <c r="AK6946">
        <v>75.908029999999997</v>
      </c>
    </row>
    <row r="6947" spans="1:37" x14ac:dyDescent="0.3">
      <c r="A6947">
        <v>6946</v>
      </c>
      <c r="B6947">
        <v>0</v>
      </c>
      <c r="C6947">
        <v>-11.6105</v>
      </c>
      <c r="D6947">
        <v>15.3728</v>
      </c>
      <c r="E6947">
        <f>-11.6105-15.3728</f>
        <v>-26.9833</v>
      </c>
      <c r="F6947" t="s">
        <v>10383</v>
      </c>
      <c r="G6947" t="s">
        <v>37</v>
      </c>
      <c r="H6947">
        <v>1990</v>
      </c>
      <c r="I6947">
        <v>29.3</v>
      </c>
      <c r="J6947">
        <v>14.7</v>
      </c>
      <c r="K6947">
        <v>55</v>
      </c>
      <c r="L6947">
        <v>30.44</v>
      </c>
      <c r="M6947">
        <v>41.6</v>
      </c>
      <c r="N6947">
        <v>15.2</v>
      </c>
      <c r="O6947">
        <v>26.4</v>
      </c>
      <c r="P6947">
        <v>29.6</v>
      </c>
      <c r="Q6947">
        <v>26.7</v>
      </c>
      <c r="R6947">
        <v>33.299999999999997</v>
      </c>
      <c r="S6947">
        <v>25.1</v>
      </c>
      <c r="T6947">
        <v>323</v>
      </c>
      <c r="U6947">
        <v>119</v>
      </c>
      <c r="V6947">
        <v>0</v>
      </c>
      <c r="W6947">
        <v>150</v>
      </c>
      <c r="X6947">
        <v>280</v>
      </c>
      <c r="Y6947">
        <v>0</v>
      </c>
      <c r="Z6947">
        <v>35</v>
      </c>
      <c r="AA6947">
        <v>0</v>
      </c>
      <c r="AB6947">
        <v>1.3311040000000001</v>
      </c>
      <c r="AC6947">
        <v>2.7391769999999999E-2</v>
      </c>
      <c r="AD6947">
        <v>1.973635</v>
      </c>
      <c r="AE6947">
        <v>0.1951127</v>
      </c>
      <c r="AF6947">
        <v>68.145480000000006</v>
      </c>
      <c r="AG6947">
        <f>IFERROR(AH6947*0.1, "N/A")</f>
        <v>6.2</v>
      </c>
      <c r="AH6947">
        <v>62</v>
      </c>
      <c r="AI6947">
        <v>79.940550000000002</v>
      </c>
      <c r="AJ6947">
        <v>12.697319999999999</v>
      </c>
      <c r="AK6947">
        <v>75.908029999999997</v>
      </c>
    </row>
    <row r="6948" spans="1:37" x14ac:dyDescent="0.3">
      <c r="A6948">
        <v>6947</v>
      </c>
      <c r="B6948">
        <v>25.8</v>
      </c>
      <c r="C6948">
        <v>-3.8692000000000002</v>
      </c>
      <c r="D6948">
        <v>15.373900000000001</v>
      </c>
      <c r="E6948">
        <f>-3.8692-15.3739</f>
        <v>-19.243100000000002</v>
      </c>
      <c r="F6948" t="s">
        <v>10384</v>
      </c>
      <c r="G6948" t="s">
        <v>39</v>
      </c>
      <c r="H6948">
        <v>1990</v>
      </c>
      <c r="I6948">
        <v>27.6</v>
      </c>
      <c r="J6948">
        <v>14.3</v>
      </c>
      <c r="K6948">
        <v>55</v>
      </c>
      <c r="L6948">
        <v>30.369199999999999</v>
      </c>
      <c r="M6948">
        <v>40.597999999999999</v>
      </c>
      <c r="N6948">
        <v>14.8</v>
      </c>
      <c r="O6948">
        <v>25.797999999999998</v>
      </c>
      <c r="P6948">
        <v>28.097999999999999</v>
      </c>
      <c r="Q6948">
        <v>24.698</v>
      </c>
      <c r="R6948">
        <v>31.4</v>
      </c>
      <c r="S6948">
        <v>23.2</v>
      </c>
      <c r="T6948">
        <v>345.96</v>
      </c>
      <c r="U6948">
        <v>133.97999999999999</v>
      </c>
      <c r="V6948">
        <v>0</v>
      </c>
      <c r="W6948">
        <v>149.97999999999999</v>
      </c>
      <c r="X6948">
        <v>296.95999999999998</v>
      </c>
      <c r="Y6948">
        <v>0</v>
      </c>
      <c r="Z6948">
        <v>39</v>
      </c>
      <c r="AA6948">
        <v>0</v>
      </c>
      <c r="AB6948">
        <v>3.8328340000000001</v>
      </c>
      <c r="AC6948">
        <v>1.134072E-2</v>
      </c>
      <c r="AD6948">
        <v>3.340938</v>
      </c>
      <c r="AE6948">
        <v>0.51439789999999996</v>
      </c>
      <c r="AF6948">
        <v>265.43169999999998</v>
      </c>
      <c r="AG6948">
        <f>IFERROR(AH6948*0.1, "N/A")</f>
        <v>6.8566670000000007</v>
      </c>
      <c r="AH6948">
        <v>68.566670000000002</v>
      </c>
      <c r="AI6948">
        <v>240.51</v>
      </c>
      <c r="AJ6948">
        <v>17.05</v>
      </c>
      <c r="AK6948">
        <v>67.186670000000007</v>
      </c>
    </row>
    <row r="6949" spans="1:37" x14ac:dyDescent="0.3">
      <c r="A6949">
        <v>6948</v>
      </c>
      <c r="B6949">
        <v>0</v>
      </c>
      <c r="C6949">
        <v>-3.8692000000000002</v>
      </c>
      <c r="D6949">
        <v>15.373900000000001</v>
      </c>
      <c r="E6949">
        <f>-3.8692-15.3739</f>
        <v>-19.243100000000002</v>
      </c>
      <c r="F6949" t="s">
        <v>10385</v>
      </c>
      <c r="G6949" t="s">
        <v>37</v>
      </c>
      <c r="H6949">
        <v>1990</v>
      </c>
      <c r="I6949">
        <v>27.6</v>
      </c>
      <c r="J6949">
        <v>14.3</v>
      </c>
      <c r="K6949">
        <v>55</v>
      </c>
      <c r="L6949">
        <v>30.369199999999999</v>
      </c>
      <c r="M6949">
        <v>40.597999999999999</v>
      </c>
      <c r="N6949">
        <v>14.8</v>
      </c>
      <c r="O6949">
        <v>25.797999999999998</v>
      </c>
      <c r="P6949">
        <v>28.097999999999999</v>
      </c>
      <c r="Q6949">
        <v>24.698</v>
      </c>
      <c r="R6949">
        <v>31.4</v>
      </c>
      <c r="S6949">
        <v>23.2</v>
      </c>
      <c r="T6949">
        <v>345.96</v>
      </c>
      <c r="U6949">
        <v>133.97999999999999</v>
      </c>
      <c r="V6949">
        <v>0</v>
      </c>
      <c r="W6949">
        <v>149.97999999999999</v>
      </c>
      <c r="X6949">
        <v>296.95999999999998</v>
      </c>
      <c r="Y6949">
        <v>0</v>
      </c>
      <c r="Z6949">
        <v>39</v>
      </c>
      <c r="AA6949">
        <v>0</v>
      </c>
      <c r="AB6949">
        <v>3.8328340000000001</v>
      </c>
      <c r="AC6949">
        <v>1.134072E-2</v>
      </c>
      <c r="AD6949">
        <v>3.340938</v>
      </c>
      <c r="AE6949">
        <v>0.51439789999999996</v>
      </c>
      <c r="AF6949">
        <v>265.43169999999998</v>
      </c>
      <c r="AG6949">
        <f>IFERROR(AH6949*0.1, "N/A")</f>
        <v>6.8566670000000007</v>
      </c>
      <c r="AH6949">
        <v>68.566670000000002</v>
      </c>
      <c r="AI6949">
        <v>240.51</v>
      </c>
      <c r="AJ6949">
        <v>17.05</v>
      </c>
      <c r="AK6949">
        <v>67.186670000000007</v>
      </c>
    </row>
    <row r="6950" spans="1:37" x14ac:dyDescent="0.3">
      <c r="A6950">
        <v>6949</v>
      </c>
      <c r="B6950">
        <v>20</v>
      </c>
      <c r="C6950">
        <v>-3.8677999999999999</v>
      </c>
      <c r="D6950">
        <v>15.408099999999999</v>
      </c>
      <c r="E6950">
        <f>-3.8678-15.4081</f>
        <v>-19.2759</v>
      </c>
      <c r="F6950" t="s">
        <v>10386</v>
      </c>
      <c r="G6950" t="s">
        <v>39</v>
      </c>
      <c r="H6950">
        <v>1990</v>
      </c>
      <c r="I6950">
        <v>27.6</v>
      </c>
      <c r="J6950">
        <v>14.367279999999999</v>
      </c>
      <c r="K6950">
        <v>55</v>
      </c>
      <c r="L6950">
        <v>30.445440000000001</v>
      </c>
      <c r="M6950">
        <v>40.567279999999997</v>
      </c>
      <c r="N6950">
        <v>14.8</v>
      </c>
      <c r="O6950">
        <v>25.76728</v>
      </c>
      <c r="P6950">
        <v>28.1</v>
      </c>
      <c r="Q6950">
        <v>24.667280000000002</v>
      </c>
      <c r="R6950">
        <v>31.4</v>
      </c>
      <c r="S6950">
        <v>23.167280000000002</v>
      </c>
      <c r="T6950">
        <v>340</v>
      </c>
      <c r="U6950">
        <v>133</v>
      </c>
      <c r="V6950">
        <v>0</v>
      </c>
      <c r="W6950">
        <v>148</v>
      </c>
      <c r="X6950">
        <v>293</v>
      </c>
      <c r="Y6950">
        <v>0</v>
      </c>
      <c r="Z6950">
        <v>37</v>
      </c>
      <c r="AA6950">
        <v>0</v>
      </c>
      <c r="AB6950">
        <v>4.2873080000000003</v>
      </c>
      <c r="AC6950">
        <v>8.2464800000000005E-3</v>
      </c>
      <c r="AD6950">
        <v>4.0794949999999996</v>
      </c>
      <c r="AE6950">
        <v>0.40167589999999997</v>
      </c>
      <c r="AF6950">
        <v>268.94990000000001</v>
      </c>
      <c r="AG6950">
        <f>IFERROR(AH6950*0.1, "N/A")</f>
        <v>6.9672790000000013</v>
      </c>
      <c r="AH6950">
        <v>69.672790000000006</v>
      </c>
      <c r="AI6950">
        <v>239.89949999999999</v>
      </c>
      <c r="AJ6950">
        <v>19.363939999999999</v>
      </c>
      <c r="AK6950">
        <v>64.290480000000002</v>
      </c>
    </row>
    <row r="6951" spans="1:37" x14ac:dyDescent="0.3">
      <c r="A6951">
        <v>6950</v>
      </c>
      <c r="B6951">
        <v>0</v>
      </c>
      <c r="C6951">
        <v>-3.8677999999999999</v>
      </c>
      <c r="D6951">
        <v>15.408099999999999</v>
      </c>
      <c r="E6951">
        <f>-3.8678-15.4081</f>
        <v>-19.2759</v>
      </c>
      <c r="F6951" t="s">
        <v>10387</v>
      </c>
      <c r="G6951" t="s">
        <v>37</v>
      </c>
      <c r="H6951">
        <v>1990</v>
      </c>
      <c r="I6951">
        <v>27.6</v>
      </c>
      <c r="J6951">
        <v>14.367279999999999</v>
      </c>
      <c r="K6951">
        <v>55</v>
      </c>
      <c r="L6951">
        <v>30.445440000000001</v>
      </c>
      <c r="M6951">
        <v>40.567279999999997</v>
      </c>
      <c r="N6951">
        <v>14.8</v>
      </c>
      <c r="O6951">
        <v>25.76728</v>
      </c>
      <c r="P6951">
        <v>28.1</v>
      </c>
      <c r="Q6951">
        <v>24.667280000000002</v>
      </c>
      <c r="R6951">
        <v>31.4</v>
      </c>
      <c r="S6951">
        <v>23.167280000000002</v>
      </c>
      <c r="T6951">
        <v>340</v>
      </c>
      <c r="U6951">
        <v>133</v>
      </c>
      <c r="V6951">
        <v>0</v>
      </c>
      <c r="W6951">
        <v>148</v>
      </c>
      <c r="X6951">
        <v>293</v>
      </c>
      <c r="Y6951">
        <v>0</v>
      </c>
      <c r="Z6951">
        <v>37</v>
      </c>
      <c r="AA6951">
        <v>0</v>
      </c>
      <c r="AB6951">
        <v>4.2873080000000003</v>
      </c>
      <c r="AC6951">
        <v>8.2464800000000005E-3</v>
      </c>
      <c r="AD6951">
        <v>4.0794949999999996</v>
      </c>
      <c r="AE6951">
        <v>0.40167589999999997</v>
      </c>
      <c r="AF6951">
        <v>268.94990000000001</v>
      </c>
      <c r="AG6951">
        <f>IFERROR(AH6951*0.1, "N/A")</f>
        <v>6.9672790000000013</v>
      </c>
      <c r="AH6951">
        <v>69.672790000000006</v>
      </c>
      <c r="AI6951">
        <v>239.89949999999999</v>
      </c>
      <c r="AJ6951">
        <v>19.363939999999999</v>
      </c>
      <c r="AK6951">
        <v>64.290480000000002</v>
      </c>
    </row>
    <row r="6952" spans="1:37" x14ac:dyDescent="0.3">
      <c r="A6952">
        <v>6951</v>
      </c>
      <c r="B6952">
        <v>15.3</v>
      </c>
      <c r="C6952">
        <v>0.74609999999999999</v>
      </c>
      <c r="D6952">
        <v>15.423500000000001</v>
      </c>
      <c r="E6952" t="s">
        <v>10388</v>
      </c>
      <c r="F6952" t="s">
        <v>10389</v>
      </c>
      <c r="G6952" t="s">
        <v>39</v>
      </c>
      <c r="H6952">
        <v>1990</v>
      </c>
      <c r="I6952">
        <v>28.9</v>
      </c>
      <c r="J6952">
        <v>14.2</v>
      </c>
      <c r="K6952">
        <v>62</v>
      </c>
      <c r="L6952">
        <v>23.18</v>
      </c>
      <c r="M6952">
        <v>38.9</v>
      </c>
      <c r="N6952">
        <v>16.3</v>
      </c>
      <c r="O6952">
        <v>22.6</v>
      </c>
      <c r="P6952">
        <v>29.6</v>
      </c>
      <c r="Q6952">
        <v>26.4</v>
      </c>
      <c r="R6952">
        <v>31.5</v>
      </c>
      <c r="S6952">
        <v>25.5</v>
      </c>
      <c r="T6952">
        <v>276</v>
      </c>
      <c r="U6952">
        <v>115</v>
      </c>
      <c r="V6952">
        <v>0</v>
      </c>
      <c r="W6952">
        <v>149</v>
      </c>
      <c r="X6952">
        <v>235</v>
      </c>
      <c r="Y6952">
        <v>0</v>
      </c>
      <c r="Z6952">
        <v>111</v>
      </c>
      <c r="AA6952">
        <v>0</v>
      </c>
      <c r="AB6952">
        <v>3.5529890000000002</v>
      </c>
      <c r="AC6952">
        <v>2.028599E-2</v>
      </c>
      <c r="AD6952">
        <v>3.2486760000000001</v>
      </c>
      <c r="AE6952">
        <v>0.2181468</v>
      </c>
      <c r="AF6952">
        <v>241.7724</v>
      </c>
      <c r="AG6952">
        <f>IFERROR(AH6952*0.1, "N/A")</f>
        <v>7.1787380000000001</v>
      </c>
      <c r="AH6952">
        <v>71.787379999999999</v>
      </c>
      <c r="AI6952">
        <v>235.8886</v>
      </c>
      <c r="AJ6952">
        <v>14</v>
      </c>
      <c r="AK6952">
        <v>70.445179999999993</v>
      </c>
    </row>
    <row r="6953" spans="1:37" x14ac:dyDescent="0.3">
      <c r="A6953">
        <v>6952</v>
      </c>
      <c r="B6953">
        <v>0</v>
      </c>
      <c r="C6953">
        <v>0.74609999999999999</v>
      </c>
      <c r="D6953">
        <v>15.423500000000001</v>
      </c>
      <c r="E6953" t="s">
        <v>10388</v>
      </c>
      <c r="F6953" t="s">
        <v>10390</v>
      </c>
      <c r="G6953" t="s">
        <v>37</v>
      </c>
      <c r="H6953">
        <v>1990</v>
      </c>
      <c r="I6953">
        <v>28.9</v>
      </c>
      <c r="J6953">
        <v>14.2</v>
      </c>
      <c r="K6953">
        <v>62</v>
      </c>
      <c r="L6953">
        <v>23.18</v>
      </c>
      <c r="M6953">
        <v>38.9</v>
      </c>
      <c r="N6953">
        <v>16.3</v>
      </c>
      <c r="O6953">
        <v>22.6</v>
      </c>
      <c r="P6953">
        <v>29.6</v>
      </c>
      <c r="Q6953">
        <v>26.4</v>
      </c>
      <c r="R6953">
        <v>31.5</v>
      </c>
      <c r="S6953">
        <v>25.5</v>
      </c>
      <c r="T6953">
        <v>276</v>
      </c>
      <c r="U6953">
        <v>115</v>
      </c>
      <c r="V6953">
        <v>0</v>
      </c>
      <c r="W6953">
        <v>149</v>
      </c>
      <c r="X6953">
        <v>235</v>
      </c>
      <c r="Y6953">
        <v>0</v>
      </c>
      <c r="Z6953">
        <v>111</v>
      </c>
      <c r="AA6953">
        <v>0</v>
      </c>
      <c r="AB6953">
        <v>3.5529890000000002</v>
      </c>
      <c r="AC6953">
        <v>2.028599E-2</v>
      </c>
      <c r="AD6953">
        <v>3.2486760000000001</v>
      </c>
      <c r="AE6953">
        <v>0.2181468</v>
      </c>
      <c r="AF6953">
        <v>241.7724</v>
      </c>
      <c r="AG6953">
        <f>IFERROR(AH6953*0.1, "N/A")</f>
        <v>7.1787380000000001</v>
      </c>
      <c r="AH6953">
        <v>71.787379999999999</v>
      </c>
      <c r="AI6953">
        <v>235.8886</v>
      </c>
      <c r="AJ6953">
        <v>14</v>
      </c>
      <c r="AK6953">
        <v>70.445179999999993</v>
      </c>
    </row>
    <row r="6954" spans="1:37" x14ac:dyDescent="0.3">
      <c r="A6954">
        <v>6953</v>
      </c>
      <c r="B6954">
        <v>8.9</v>
      </c>
      <c r="C6954">
        <v>-10.280099999999999</v>
      </c>
      <c r="D6954">
        <v>15.4262</v>
      </c>
      <c r="E6954">
        <f>-10.2801-15.4262</f>
        <v>-25.706299999999999</v>
      </c>
      <c r="F6954" t="s">
        <v>10391</v>
      </c>
      <c r="G6954" t="s">
        <v>39</v>
      </c>
      <c r="H6954">
        <v>1990</v>
      </c>
      <c r="I6954">
        <v>28.6</v>
      </c>
      <c r="J6954">
        <v>14.5</v>
      </c>
      <c r="K6954">
        <v>55</v>
      </c>
      <c r="L6954">
        <v>29.63</v>
      </c>
      <c r="M6954">
        <v>40.700000000000003</v>
      </c>
      <c r="N6954">
        <v>14.6</v>
      </c>
      <c r="O6954">
        <v>26.1</v>
      </c>
      <c r="P6954">
        <v>28.5</v>
      </c>
      <c r="Q6954">
        <v>26.3</v>
      </c>
      <c r="R6954">
        <v>32.6</v>
      </c>
      <c r="S6954">
        <v>24.6</v>
      </c>
      <c r="T6954">
        <v>385</v>
      </c>
      <c r="U6954">
        <v>134</v>
      </c>
      <c r="V6954">
        <v>0</v>
      </c>
      <c r="W6954">
        <v>138</v>
      </c>
      <c r="X6954">
        <v>318</v>
      </c>
      <c r="Y6954">
        <v>0</v>
      </c>
      <c r="Z6954">
        <v>47</v>
      </c>
      <c r="AA6954">
        <v>1</v>
      </c>
      <c r="AB6954">
        <v>2.7774930000000002</v>
      </c>
      <c r="AC6954">
        <v>1.4746169999999999E-2</v>
      </c>
      <c r="AD6954">
        <v>0.81288119999999997</v>
      </c>
      <c r="AE6954">
        <v>0.65076210000000001</v>
      </c>
      <c r="AF6954">
        <v>181</v>
      </c>
      <c r="AG6954">
        <f>IFERROR(AH6954*0.1, "N/A")</f>
        <v>6.7650000000000006</v>
      </c>
      <c r="AH6954">
        <v>67.650000000000006</v>
      </c>
      <c r="AI6954">
        <v>229.5926</v>
      </c>
      <c r="AJ6954">
        <v>18.063330000000001</v>
      </c>
      <c r="AK6954">
        <v>61.571669999999997</v>
      </c>
    </row>
    <row r="6955" spans="1:37" x14ac:dyDescent="0.3">
      <c r="A6955">
        <v>6954</v>
      </c>
      <c r="B6955">
        <v>1</v>
      </c>
      <c r="C6955">
        <v>-10.280099999999999</v>
      </c>
      <c r="D6955">
        <v>15.4262</v>
      </c>
      <c r="E6955">
        <f>-10.2801-15.4262</f>
        <v>-25.706299999999999</v>
      </c>
      <c r="F6955" t="s">
        <v>10392</v>
      </c>
      <c r="G6955" t="s">
        <v>37</v>
      </c>
      <c r="H6955">
        <v>1990</v>
      </c>
      <c r="I6955">
        <v>28.6</v>
      </c>
      <c r="J6955">
        <v>14.5</v>
      </c>
      <c r="K6955">
        <v>55</v>
      </c>
      <c r="L6955">
        <v>29.63</v>
      </c>
      <c r="M6955">
        <v>40.700000000000003</v>
      </c>
      <c r="N6955">
        <v>14.6</v>
      </c>
      <c r="O6955">
        <v>26.1</v>
      </c>
      <c r="P6955">
        <v>28.5</v>
      </c>
      <c r="Q6955">
        <v>26.3</v>
      </c>
      <c r="R6955">
        <v>32.6</v>
      </c>
      <c r="S6955">
        <v>24.6</v>
      </c>
      <c r="T6955">
        <v>385</v>
      </c>
      <c r="U6955">
        <v>134</v>
      </c>
      <c r="V6955">
        <v>0</v>
      </c>
      <c r="W6955">
        <v>138</v>
      </c>
      <c r="X6955">
        <v>318</v>
      </c>
      <c r="Y6955">
        <v>0</v>
      </c>
      <c r="Z6955">
        <v>47</v>
      </c>
      <c r="AA6955">
        <v>1</v>
      </c>
      <c r="AB6955">
        <v>2.7774930000000002</v>
      </c>
      <c r="AC6955">
        <v>1.4746169999999999E-2</v>
      </c>
      <c r="AD6955">
        <v>0.81288119999999997</v>
      </c>
      <c r="AE6955">
        <v>0.65076210000000001</v>
      </c>
      <c r="AF6955">
        <v>181</v>
      </c>
      <c r="AG6955">
        <f>IFERROR(AH6955*0.1, "N/A")</f>
        <v>6.7650000000000006</v>
      </c>
      <c r="AH6955">
        <v>67.650000000000006</v>
      </c>
      <c r="AI6955">
        <v>229.5926</v>
      </c>
      <c r="AJ6955">
        <v>18.063330000000001</v>
      </c>
      <c r="AK6955">
        <v>61.571669999999997</v>
      </c>
    </row>
    <row r="6956" spans="1:37" x14ac:dyDescent="0.3">
      <c r="A6956">
        <v>6955</v>
      </c>
      <c r="B6956">
        <v>24</v>
      </c>
      <c r="C6956">
        <v>-3.4958</v>
      </c>
      <c r="D6956">
        <v>15.463200000000001</v>
      </c>
      <c r="E6956">
        <f>-3.4958-15.4632</f>
        <v>-18.959</v>
      </c>
      <c r="F6956" t="s">
        <v>10393</v>
      </c>
      <c r="G6956" t="s">
        <v>39</v>
      </c>
      <c r="H6956">
        <v>1990</v>
      </c>
      <c r="I6956">
        <v>27.9</v>
      </c>
      <c r="J6956">
        <v>14.4</v>
      </c>
      <c r="K6956">
        <v>55</v>
      </c>
      <c r="L6956">
        <v>31.03</v>
      </c>
      <c r="M6956">
        <v>40.6</v>
      </c>
      <c r="N6956">
        <v>14.7</v>
      </c>
      <c r="O6956">
        <v>25.9</v>
      </c>
      <c r="P6956">
        <v>28.4</v>
      </c>
      <c r="Q6956">
        <v>24.9</v>
      </c>
      <c r="R6956">
        <v>31.7</v>
      </c>
      <c r="S6956">
        <v>23.4</v>
      </c>
      <c r="T6956">
        <v>331</v>
      </c>
      <c r="U6956">
        <v>123</v>
      </c>
      <c r="V6956">
        <v>0</v>
      </c>
      <c r="W6956">
        <v>144</v>
      </c>
      <c r="X6956">
        <v>279</v>
      </c>
      <c r="Y6956">
        <v>0</v>
      </c>
      <c r="Z6956">
        <v>40</v>
      </c>
      <c r="AA6956">
        <v>0</v>
      </c>
      <c r="AB6956">
        <v>6.6142300000000001</v>
      </c>
      <c r="AC6956">
        <v>1.141521E-2</v>
      </c>
      <c r="AD6956">
        <v>1.4448620000000001</v>
      </c>
      <c r="AE6956">
        <v>0.2079172</v>
      </c>
      <c r="AF6956">
        <v>265.53179999999998</v>
      </c>
      <c r="AG6956">
        <f>IFERROR(AH6956*0.1, "N/A")</f>
        <v>6.8580269999999999</v>
      </c>
      <c r="AH6956">
        <v>68.580269999999999</v>
      </c>
      <c r="AI6956">
        <v>183.03440000000001</v>
      </c>
      <c r="AJ6956">
        <v>25.70401</v>
      </c>
      <c r="AK6956">
        <v>56.295990000000003</v>
      </c>
    </row>
    <row r="6957" spans="1:37" x14ac:dyDescent="0.3">
      <c r="A6957">
        <v>6956</v>
      </c>
      <c r="B6957">
        <v>0</v>
      </c>
      <c r="C6957">
        <v>-3.4958</v>
      </c>
      <c r="D6957">
        <v>15.463200000000001</v>
      </c>
      <c r="E6957">
        <f>-3.4958-15.4632</f>
        <v>-18.959</v>
      </c>
      <c r="F6957" t="s">
        <v>10394</v>
      </c>
      <c r="G6957" t="s">
        <v>37</v>
      </c>
      <c r="H6957">
        <v>1990</v>
      </c>
      <c r="I6957">
        <v>27.9</v>
      </c>
      <c r="J6957">
        <v>14.4</v>
      </c>
      <c r="K6957">
        <v>55</v>
      </c>
      <c r="L6957">
        <v>31.03</v>
      </c>
      <c r="M6957">
        <v>40.6</v>
      </c>
      <c r="N6957">
        <v>14.7</v>
      </c>
      <c r="O6957">
        <v>25.9</v>
      </c>
      <c r="P6957">
        <v>28.4</v>
      </c>
      <c r="Q6957">
        <v>24.9</v>
      </c>
      <c r="R6957">
        <v>31.7</v>
      </c>
      <c r="S6957">
        <v>23.4</v>
      </c>
      <c r="T6957">
        <v>331</v>
      </c>
      <c r="U6957">
        <v>123</v>
      </c>
      <c r="V6957">
        <v>0</v>
      </c>
      <c r="W6957">
        <v>144</v>
      </c>
      <c r="X6957">
        <v>279</v>
      </c>
      <c r="Y6957">
        <v>0</v>
      </c>
      <c r="Z6957">
        <v>40</v>
      </c>
      <c r="AA6957">
        <v>0</v>
      </c>
      <c r="AB6957">
        <v>6.6142300000000001</v>
      </c>
      <c r="AC6957">
        <v>1.141521E-2</v>
      </c>
      <c r="AD6957">
        <v>1.4448620000000001</v>
      </c>
      <c r="AE6957">
        <v>0.2079172</v>
      </c>
      <c r="AF6957">
        <v>265.53179999999998</v>
      </c>
      <c r="AG6957">
        <f>IFERROR(AH6957*0.1, "N/A")</f>
        <v>6.8580269999999999</v>
      </c>
      <c r="AH6957">
        <v>68.580269999999999</v>
      </c>
      <c r="AI6957">
        <v>183.03440000000001</v>
      </c>
      <c r="AJ6957">
        <v>25.70401</v>
      </c>
      <c r="AK6957">
        <v>56.295990000000003</v>
      </c>
    </row>
    <row r="6958" spans="1:37" x14ac:dyDescent="0.3">
      <c r="A6958">
        <v>6957</v>
      </c>
      <c r="B6958">
        <v>18.3</v>
      </c>
      <c r="C6958">
        <v>-3.9706999999999999</v>
      </c>
      <c r="D6958">
        <v>15.4655</v>
      </c>
      <c r="E6958">
        <f>-3.9707-15.4655</f>
        <v>-19.436199999999999</v>
      </c>
      <c r="F6958" t="s">
        <v>10395</v>
      </c>
      <c r="G6958" t="s">
        <v>39</v>
      </c>
      <c r="H6958">
        <v>1990</v>
      </c>
      <c r="I6958">
        <v>27.6</v>
      </c>
      <c r="J6958">
        <v>14.4</v>
      </c>
      <c r="K6958">
        <v>55.988329999999998</v>
      </c>
      <c r="L6958">
        <v>30.32047</v>
      </c>
      <c r="M6958">
        <v>40.6</v>
      </c>
      <c r="N6958">
        <v>14.89883</v>
      </c>
      <c r="O6958">
        <v>25.701170000000001</v>
      </c>
      <c r="P6958">
        <v>28.1</v>
      </c>
      <c r="Q6958">
        <v>24.59883</v>
      </c>
      <c r="R6958">
        <v>31.4</v>
      </c>
      <c r="S6958">
        <v>23.2</v>
      </c>
      <c r="T6958">
        <v>341.98829999999998</v>
      </c>
      <c r="U6958">
        <v>136.98830000000001</v>
      </c>
      <c r="V6958">
        <v>0</v>
      </c>
      <c r="W6958">
        <v>150.98830000000001</v>
      </c>
      <c r="X6958">
        <v>294.98829999999998</v>
      </c>
      <c r="Y6958">
        <v>0</v>
      </c>
      <c r="Z6958">
        <v>37</v>
      </c>
      <c r="AA6958">
        <v>0</v>
      </c>
      <c r="AB6958">
        <v>8.4051760000000009</v>
      </c>
      <c r="AC6958">
        <v>8.93124E-3</v>
      </c>
      <c r="AD6958">
        <v>2.4215089999999999</v>
      </c>
      <c r="AE6958">
        <v>0.2997185</v>
      </c>
      <c r="AF6958">
        <v>268.79329999999999</v>
      </c>
      <c r="AG6958">
        <f>IFERROR(AH6958*0.1, "N/A")</f>
        <v>6.6133330000000008</v>
      </c>
      <c r="AH6958">
        <v>66.133330000000001</v>
      </c>
      <c r="AI6958">
        <v>162.64070000000001</v>
      </c>
      <c r="AJ6958">
        <v>13.098330000000001</v>
      </c>
      <c r="AK6958">
        <v>72.91</v>
      </c>
    </row>
    <row r="6959" spans="1:37" x14ac:dyDescent="0.3">
      <c r="A6959">
        <v>6958</v>
      </c>
      <c r="B6959">
        <v>0</v>
      </c>
      <c r="C6959">
        <v>-3.9706999999999999</v>
      </c>
      <c r="D6959">
        <v>15.4655</v>
      </c>
      <c r="E6959">
        <f>-3.9707-15.4655</f>
        <v>-19.436199999999999</v>
      </c>
      <c r="F6959" t="s">
        <v>10396</v>
      </c>
      <c r="G6959" t="s">
        <v>37</v>
      </c>
      <c r="H6959">
        <v>1990</v>
      </c>
      <c r="I6959">
        <v>27.6</v>
      </c>
      <c r="J6959">
        <v>14.4</v>
      </c>
      <c r="K6959">
        <v>55.988329999999998</v>
      </c>
      <c r="L6959">
        <v>30.32047</v>
      </c>
      <c r="M6959">
        <v>40.6</v>
      </c>
      <c r="N6959">
        <v>14.89883</v>
      </c>
      <c r="O6959">
        <v>25.701170000000001</v>
      </c>
      <c r="P6959">
        <v>28.1</v>
      </c>
      <c r="Q6959">
        <v>24.59883</v>
      </c>
      <c r="R6959">
        <v>31.4</v>
      </c>
      <c r="S6959">
        <v>23.2</v>
      </c>
      <c r="T6959">
        <v>341.98829999999998</v>
      </c>
      <c r="U6959">
        <v>136.98830000000001</v>
      </c>
      <c r="V6959">
        <v>0</v>
      </c>
      <c r="W6959">
        <v>150.98830000000001</v>
      </c>
      <c r="X6959">
        <v>294.98829999999998</v>
      </c>
      <c r="Y6959">
        <v>0</v>
      </c>
      <c r="Z6959">
        <v>37</v>
      </c>
      <c r="AA6959">
        <v>0</v>
      </c>
      <c r="AB6959">
        <v>8.4051760000000009</v>
      </c>
      <c r="AC6959">
        <v>8.93124E-3</v>
      </c>
      <c r="AD6959">
        <v>2.4215089999999999</v>
      </c>
      <c r="AE6959">
        <v>0.2997185</v>
      </c>
      <c r="AF6959">
        <v>268.79329999999999</v>
      </c>
      <c r="AG6959">
        <f>IFERROR(AH6959*0.1, "N/A")</f>
        <v>6.6133330000000008</v>
      </c>
      <c r="AH6959">
        <v>66.133330000000001</v>
      </c>
      <c r="AI6959">
        <v>162.64070000000001</v>
      </c>
      <c r="AJ6959">
        <v>13.098330000000001</v>
      </c>
      <c r="AK6959">
        <v>72.91</v>
      </c>
    </row>
    <row r="6960" spans="1:37" x14ac:dyDescent="0.3">
      <c r="A6960">
        <v>6959</v>
      </c>
      <c r="B6960">
        <v>6</v>
      </c>
      <c r="C6960">
        <v>0.69410000000000005</v>
      </c>
      <c r="D6960">
        <v>15.472899999999999</v>
      </c>
      <c r="E6960" t="s">
        <v>10397</v>
      </c>
      <c r="F6960" t="s">
        <v>10398</v>
      </c>
      <c r="G6960" t="s">
        <v>39</v>
      </c>
      <c r="H6960">
        <v>1990</v>
      </c>
      <c r="I6960">
        <v>28.9</v>
      </c>
      <c r="J6960">
        <v>14.2</v>
      </c>
      <c r="K6960">
        <v>63</v>
      </c>
      <c r="L6960">
        <v>22.49</v>
      </c>
      <c r="M6960">
        <v>38.799999999999997</v>
      </c>
      <c r="N6960">
        <v>16.399999999999999</v>
      </c>
      <c r="O6960">
        <v>22.4</v>
      </c>
      <c r="P6960">
        <v>29.7</v>
      </c>
      <c r="Q6960">
        <v>26.5</v>
      </c>
      <c r="R6960">
        <v>31.5</v>
      </c>
      <c r="S6960">
        <v>25.6</v>
      </c>
      <c r="T6960">
        <v>275</v>
      </c>
      <c r="U6960">
        <v>115</v>
      </c>
      <c r="V6960">
        <v>0</v>
      </c>
      <c r="W6960">
        <v>155</v>
      </c>
      <c r="X6960">
        <v>233</v>
      </c>
      <c r="Y6960">
        <v>0</v>
      </c>
      <c r="Z6960">
        <v>110</v>
      </c>
      <c r="AA6960">
        <v>0</v>
      </c>
      <c r="AB6960">
        <v>0.65723229999999999</v>
      </c>
      <c r="AC6960">
        <v>6.1644450000000003E-2</v>
      </c>
      <c r="AD6960">
        <v>3.5082409999999999</v>
      </c>
      <c r="AE6960">
        <v>0.21043390000000001</v>
      </c>
      <c r="AF6960">
        <v>237.30619999999999</v>
      </c>
      <c r="AG6960">
        <f>IFERROR(AH6960*0.1, "N/A")</f>
        <v>7.7747090000000005</v>
      </c>
      <c r="AH6960">
        <v>77.74709</v>
      </c>
      <c r="AI6960">
        <v>141.8349</v>
      </c>
      <c r="AJ6960">
        <v>20.25291</v>
      </c>
      <c r="AK6960">
        <v>64.873540000000006</v>
      </c>
    </row>
    <row r="6961" spans="1:37" x14ac:dyDescent="0.3">
      <c r="A6961">
        <v>6960</v>
      </c>
      <c r="B6961">
        <v>0</v>
      </c>
      <c r="C6961">
        <v>0.69410000000000005</v>
      </c>
      <c r="D6961">
        <v>15.472899999999999</v>
      </c>
      <c r="E6961" t="s">
        <v>10397</v>
      </c>
      <c r="F6961" t="s">
        <v>10399</v>
      </c>
      <c r="G6961" t="s">
        <v>37</v>
      </c>
      <c r="H6961">
        <v>1990</v>
      </c>
      <c r="I6961">
        <v>28.9</v>
      </c>
      <c r="J6961">
        <v>14.2</v>
      </c>
      <c r="K6961">
        <v>63</v>
      </c>
      <c r="L6961">
        <v>22.49</v>
      </c>
      <c r="M6961">
        <v>38.799999999999997</v>
      </c>
      <c r="N6961">
        <v>16.399999999999999</v>
      </c>
      <c r="O6961">
        <v>22.4</v>
      </c>
      <c r="P6961">
        <v>29.7</v>
      </c>
      <c r="Q6961">
        <v>26.5</v>
      </c>
      <c r="R6961">
        <v>31.5</v>
      </c>
      <c r="S6961">
        <v>25.6</v>
      </c>
      <c r="T6961">
        <v>275</v>
      </c>
      <c r="U6961">
        <v>115</v>
      </c>
      <c r="V6961">
        <v>0</v>
      </c>
      <c r="W6961">
        <v>155</v>
      </c>
      <c r="X6961">
        <v>233</v>
      </c>
      <c r="Y6961">
        <v>0</v>
      </c>
      <c r="Z6961">
        <v>110</v>
      </c>
      <c r="AA6961">
        <v>0</v>
      </c>
      <c r="AB6961">
        <v>0.65723229999999999</v>
      </c>
      <c r="AC6961">
        <v>6.1644450000000003E-2</v>
      </c>
      <c r="AD6961">
        <v>3.5082409999999999</v>
      </c>
      <c r="AE6961">
        <v>0.21043390000000001</v>
      </c>
      <c r="AF6961">
        <v>237.30619999999999</v>
      </c>
      <c r="AG6961">
        <f>IFERROR(AH6961*0.1, "N/A")</f>
        <v>7.7747090000000005</v>
      </c>
      <c r="AH6961">
        <v>77.74709</v>
      </c>
      <c r="AI6961">
        <v>141.8349</v>
      </c>
      <c r="AJ6961">
        <v>20.25291</v>
      </c>
      <c r="AK6961">
        <v>64.873540000000006</v>
      </c>
    </row>
    <row r="6962" spans="1:37" x14ac:dyDescent="0.3">
      <c r="A6962">
        <v>6961</v>
      </c>
      <c r="B6962">
        <v>2</v>
      </c>
      <c r="C6962">
        <v>0.61070000000000002</v>
      </c>
      <c r="D6962">
        <v>15.509499999999999</v>
      </c>
      <c r="E6962" t="s">
        <v>10400</v>
      </c>
      <c r="F6962" t="s">
        <v>10401</v>
      </c>
      <c r="G6962" t="s">
        <v>39</v>
      </c>
      <c r="H6962">
        <v>1990</v>
      </c>
      <c r="I6962">
        <v>28.8</v>
      </c>
      <c r="J6962">
        <v>14.1</v>
      </c>
      <c r="K6962">
        <v>63</v>
      </c>
      <c r="L6962">
        <v>21.73</v>
      </c>
      <c r="M6962">
        <v>38.6</v>
      </c>
      <c r="N6962">
        <v>16.5</v>
      </c>
      <c r="O6962">
        <v>22.1</v>
      </c>
      <c r="P6962">
        <v>29.6</v>
      </c>
      <c r="Q6962">
        <v>26.4</v>
      </c>
      <c r="R6962">
        <v>31.4</v>
      </c>
      <c r="S6962">
        <v>25.7</v>
      </c>
      <c r="T6962">
        <v>274</v>
      </c>
      <c r="U6962">
        <v>117</v>
      </c>
      <c r="V6962">
        <v>0</v>
      </c>
      <c r="W6962">
        <v>156</v>
      </c>
      <c r="X6962">
        <v>233</v>
      </c>
      <c r="Y6962">
        <v>0</v>
      </c>
      <c r="Z6962">
        <v>109</v>
      </c>
      <c r="AA6962">
        <v>0</v>
      </c>
      <c r="AB6962">
        <v>4.9568310000000002</v>
      </c>
      <c r="AC6962">
        <v>2.0441419999999998E-2</v>
      </c>
      <c r="AD6962">
        <v>0.93165010000000004</v>
      </c>
      <c r="AE6962">
        <v>0.20097380000000001</v>
      </c>
      <c r="AF6962">
        <v>244.8733</v>
      </c>
      <c r="AG6962">
        <f>IFERROR(AH6962*0.1, "N/A")</f>
        <v>7.6566670000000006</v>
      </c>
      <c r="AH6962">
        <v>76.566670000000002</v>
      </c>
      <c r="AI6962">
        <v>244.64699999999999</v>
      </c>
      <c r="AJ6962">
        <v>20.248329999999999</v>
      </c>
      <c r="AK6962">
        <v>66.166669999999996</v>
      </c>
    </row>
    <row r="6963" spans="1:37" x14ac:dyDescent="0.3">
      <c r="A6963">
        <v>6962</v>
      </c>
      <c r="B6963">
        <v>0.8</v>
      </c>
      <c r="C6963">
        <v>0.61070000000000002</v>
      </c>
      <c r="D6963">
        <v>15.509499999999999</v>
      </c>
      <c r="E6963" t="s">
        <v>10400</v>
      </c>
      <c r="F6963" t="s">
        <v>10402</v>
      </c>
      <c r="G6963" t="s">
        <v>37</v>
      </c>
      <c r="H6963">
        <v>1990</v>
      </c>
      <c r="I6963">
        <v>28.8</v>
      </c>
      <c r="J6963">
        <v>14.1</v>
      </c>
      <c r="K6963">
        <v>63</v>
      </c>
      <c r="L6963">
        <v>21.73</v>
      </c>
      <c r="M6963">
        <v>38.6</v>
      </c>
      <c r="N6963">
        <v>16.5</v>
      </c>
      <c r="O6963">
        <v>22.1</v>
      </c>
      <c r="P6963">
        <v>29.6</v>
      </c>
      <c r="Q6963">
        <v>26.4</v>
      </c>
      <c r="R6963">
        <v>31.4</v>
      </c>
      <c r="S6963">
        <v>25.7</v>
      </c>
      <c r="T6963">
        <v>274</v>
      </c>
      <c r="U6963">
        <v>117</v>
      </c>
      <c r="V6963">
        <v>0</v>
      </c>
      <c r="W6963">
        <v>156</v>
      </c>
      <c r="X6963">
        <v>233</v>
      </c>
      <c r="Y6963">
        <v>0</v>
      </c>
      <c r="Z6963">
        <v>109</v>
      </c>
      <c r="AA6963">
        <v>0</v>
      </c>
      <c r="AB6963">
        <v>4.9568310000000002</v>
      </c>
      <c r="AC6963">
        <v>2.0441419999999998E-2</v>
      </c>
      <c r="AD6963">
        <v>0.93165010000000004</v>
      </c>
      <c r="AE6963">
        <v>0.20097380000000001</v>
      </c>
      <c r="AF6963">
        <v>244.8733</v>
      </c>
      <c r="AG6963">
        <f>IFERROR(AH6963*0.1, "N/A")</f>
        <v>7.6566670000000006</v>
      </c>
      <c r="AH6963">
        <v>76.566670000000002</v>
      </c>
      <c r="AI6963">
        <v>244.64699999999999</v>
      </c>
      <c r="AJ6963">
        <v>20.248329999999999</v>
      </c>
      <c r="AK6963">
        <v>66.166669999999996</v>
      </c>
    </row>
    <row r="6964" spans="1:37" x14ac:dyDescent="0.3">
      <c r="A6964">
        <v>6963</v>
      </c>
      <c r="B6964">
        <v>20.3</v>
      </c>
      <c r="C6964">
        <v>-3.7080000000000002</v>
      </c>
      <c r="D6964">
        <v>15.523099999999999</v>
      </c>
      <c r="E6964">
        <f>-3.708-15.5231</f>
        <v>-19.231099999999998</v>
      </c>
      <c r="F6964" t="s">
        <v>10403</v>
      </c>
      <c r="G6964" t="s">
        <v>39</v>
      </c>
      <c r="H6964">
        <v>1990</v>
      </c>
      <c r="I6964">
        <v>27.7</v>
      </c>
      <c r="J6964">
        <v>14.471209999999999</v>
      </c>
      <c r="K6964">
        <v>55</v>
      </c>
      <c r="L6964">
        <v>30.665759999999999</v>
      </c>
      <c r="M6964">
        <v>40.6</v>
      </c>
      <c r="N6964">
        <v>14.7</v>
      </c>
      <c r="O6964">
        <v>25.9</v>
      </c>
      <c r="P6964">
        <v>28.2</v>
      </c>
      <c r="Q6964">
        <v>24.8</v>
      </c>
      <c r="R6964">
        <v>31.5</v>
      </c>
      <c r="S6964">
        <v>23.2</v>
      </c>
      <c r="T6964">
        <v>319</v>
      </c>
      <c r="U6964">
        <v>125</v>
      </c>
      <c r="V6964">
        <v>0</v>
      </c>
      <c r="W6964">
        <v>150</v>
      </c>
      <c r="X6964">
        <v>276</v>
      </c>
      <c r="Y6964">
        <v>0</v>
      </c>
      <c r="Z6964">
        <v>34</v>
      </c>
      <c r="AA6964">
        <v>0</v>
      </c>
      <c r="AB6964">
        <v>4.9086559999999997</v>
      </c>
      <c r="AC6964">
        <v>3.1034570000000001E-2</v>
      </c>
      <c r="AD6964">
        <v>3.5921979999999998</v>
      </c>
      <c r="AE6964">
        <v>0.22711290000000001</v>
      </c>
      <c r="AF6964">
        <v>265.81700000000001</v>
      </c>
      <c r="AG6964">
        <f>IFERROR(AH6964*0.1, "N/A")</f>
        <v>7.111148</v>
      </c>
      <c r="AH6964">
        <v>71.11148</v>
      </c>
      <c r="AI6964">
        <v>210.5318</v>
      </c>
      <c r="AJ6964">
        <v>18.70383</v>
      </c>
      <c r="AK6964">
        <v>62.63561</v>
      </c>
    </row>
    <row r="6965" spans="1:37" x14ac:dyDescent="0.3">
      <c r="A6965">
        <v>6964</v>
      </c>
      <c r="B6965">
        <v>0</v>
      </c>
      <c r="C6965">
        <v>-3.7080000000000002</v>
      </c>
      <c r="D6965">
        <v>15.523099999999999</v>
      </c>
      <c r="E6965">
        <f>-3.708-15.5231</f>
        <v>-19.231099999999998</v>
      </c>
      <c r="F6965" t="s">
        <v>10404</v>
      </c>
      <c r="G6965" t="s">
        <v>37</v>
      </c>
      <c r="H6965">
        <v>1990</v>
      </c>
      <c r="I6965">
        <v>27.7</v>
      </c>
      <c r="J6965">
        <v>14.471209999999999</v>
      </c>
      <c r="K6965">
        <v>55</v>
      </c>
      <c r="L6965">
        <v>30.665759999999999</v>
      </c>
      <c r="M6965">
        <v>40.6</v>
      </c>
      <c r="N6965">
        <v>14.7</v>
      </c>
      <c r="O6965">
        <v>25.9</v>
      </c>
      <c r="P6965">
        <v>28.2</v>
      </c>
      <c r="Q6965">
        <v>24.8</v>
      </c>
      <c r="R6965">
        <v>31.5</v>
      </c>
      <c r="S6965">
        <v>23.2</v>
      </c>
      <c r="T6965">
        <v>319</v>
      </c>
      <c r="U6965">
        <v>125</v>
      </c>
      <c r="V6965">
        <v>0</v>
      </c>
      <c r="W6965">
        <v>150</v>
      </c>
      <c r="X6965">
        <v>276</v>
      </c>
      <c r="Y6965">
        <v>0</v>
      </c>
      <c r="Z6965">
        <v>34</v>
      </c>
      <c r="AA6965">
        <v>0</v>
      </c>
      <c r="AB6965">
        <v>4.9086559999999997</v>
      </c>
      <c r="AC6965">
        <v>3.1034570000000001E-2</v>
      </c>
      <c r="AD6965">
        <v>3.5921979999999998</v>
      </c>
      <c r="AE6965">
        <v>0.22711290000000001</v>
      </c>
      <c r="AF6965">
        <v>265.81700000000001</v>
      </c>
      <c r="AG6965">
        <f>IFERROR(AH6965*0.1, "N/A")</f>
        <v>7.111148</v>
      </c>
      <c r="AH6965">
        <v>71.11148</v>
      </c>
      <c r="AI6965">
        <v>210.5318</v>
      </c>
      <c r="AJ6965">
        <v>18.70383</v>
      </c>
      <c r="AK6965">
        <v>62.63561</v>
      </c>
    </row>
    <row r="6966" spans="1:37" x14ac:dyDescent="0.3">
      <c r="A6966">
        <v>6965</v>
      </c>
      <c r="B6966">
        <v>16.100000000000001</v>
      </c>
      <c r="C6966">
        <v>0.50360000000000005</v>
      </c>
      <c r="D6966">
        <v>15.622199999999999</v>
      </c>
      <c r="E6966" t="s">
        <v>10405</v>
      </c>
      <c r="F6966" t="s">
        <v>10406</v>
      </c>
      <c r="G6966" t="s">
        <v>39</v>
      </c>
      <c r="H6966">
        <v>1990</v>
      </c>
      <c r="I6966">
        <v>28.7</v>
      </c>
      <c r="J6966">
        <v>14</v>
      </c>
      <c r="K6966">
        <v>65</v>
      </c>
      <c r="L6966">
        <v>20.68</v>
      </c>
      <c r="M6966">
        <v>38.1</v>
      </c>
      <c r="N6966">
        <v>16.600000000000001</v>
      </c>
      <c r="O6966">
        <v>21.5</v>
      </c>
      <c r="P6966">
        <v>29.5</v>
      </c>
      <c r="Q6966">
        <v>26.2</v>
      </c>
      <c r="R6966">
        <v>31.1</v>
      </c>
      <c r="S6966">
        <v>25.7</v>
      </c>
      <c r="T6966">
        <v>271</v>
      </c>
      <c r="U6966">
        <v>119</v>
      </c>
      <c r="V6966">
        <v>0</v>
      </c>
      <c r="W6966">
        <v>156</v>
      </c>
      <c r="X6966">
        <v>230</v>
      </c>
      <c r="Y6966">
        <v>0</v>
      </c>
      <c r="Z6966">
        <v>103</v>
      </c>
      <c r="AA6966">
        <v>1</v>
      </c>
      <c r="AB6966">
        <v>2.0392950000000001</v>
      </c>
      <c r="AC6966">
        <v>3.9440780000000002E-2</v>
      </c>
      <c r="AD6966">
        <v>2.117629</v>
      </c>
      <c r="AE6966">
        <v>0.20744889999999999</v>
      </c>
      <c r="AF6966">
        <v>245.83779999999999</v>
      </c>
      <c r="AG6966">
        <f>IFERROR(AH6966*0.1, "N/A")</f>
        <v>7.0583609999999997</v>
      </c>
      <c r="AH6966">
        <v>70.583609999999993</v>
      </c>
      <c r="AI6966">
        <v>208.1292</v>
      </c>
      <c r="AJ6966">
        <v>23.005019999999998</v>
      </c>
      <c r="AK6966">
        <v>63.891300000000001</v>
      </c>
    </row>
    <row r="6967" spans="1:37" x14ac:dyDescent="0.3">
      <c r="A6967">
        <v>6966</v>
      </c>
      <c r="B6967">
        <v>0</v>
      </c>
      <c r="C6967">
        <v>0.50360000000000005</v>
      </c>
      <c r="D6967">
        <v>15.622199999999999</v>
      </c>
      <c r="E6967" t="s">
        <v>10405</v>
      </c>
      <c r="F6967" t="s">
        <v>10407</v>
      </c>
      <c r="G6967" t="s">
        <v>37</v>
      </c>
      <c r="H6967">
        <v>1990</v>
      </c>
      <c r="I6967">
        <v>28.7</v>
      </c>
      <c r="J6967">
        <v>14</v>
      </c>
      <c r="K6967">
        <v>65</v>
      </c>
      <c r="L6967">
        <v>20.68</v>
      </c>
      <c r="M6967">
        <v>38.1</v>
      </c>
      <c r="N6967">
        <v>16.600000000000001</v>
      </c>
      <c r="O6967">
        <v>21.5</v>
      </c>
      <c r="P6967">
        <v>29.5</v>
      </c>
      <c r="Q6967">
        <v>26.2</v>
      </c>
      <c r="R6967">
        <v>31.1</v>
      </c>
      <c r="S6967">
        <v>25.7</v>
      </c>
      <c r="T6967">
        <v>271</v>
      </c>
      <c r="U6967">
        <v>119</v>
      </c>
      <c r="V6967">
        <v>0</v>
      </c>
      <c r="W6967">
        <v>156</v>
      </c>
      <c r="X6967">
        <v>230</v>
      </c>
      <c r="Y6967">
        <v>0</v>
      </c>
      <c r="Z6967">
        <v>103</v>
      </c>
      <c r="AA6967">
        <v>1</v>
      </c>
      <c r="AB6967">
        <v>2.0392950000000001</v>
      </c>
      <c r="AC6967">
        <v>3.9440780000000002E-2</v>
      </c>
      <c r="AD6967">
        <v>2.117629</v>
      </c>
      <c r="AE6967">
        <v>0.20744889999999999</v>
      </c>
      <c r="AF6967">
        <v>245.83779999999999</v>
      </c>
      <c r="AG6967">
        <f>IFERROR(AH6967*0.1, "N/A")</f>
        <v>7.0583609999999997</v>
      </c>
      <c r="AH6967">
        <v>70.583609999999993</v>
      </c>
      <c r="AI6967">
        <v>208.1292</v>
      </c>
      <c r="AJ6967">
        <v>23.005019999999998</v>
      </c>
      <c r="AK6967">
        <v>63.891300000000001</v>
      </c>
    </row>
    <row r="6968" spans="1:37" x14ac:dyDescent="0.3">
      <c r="A6968">
        <v>6967</v>
      </c>
      <c r="B6968">
        <v>10.9</v>
      </c>
      <c r="C6968">
        <v>-3.67516</v>
      </c>
      <c r="D6968">
        <v>15.679</v>
      </c>
      <c r="E6968">
        <f>-3.67516-15.679</f>
        <v>-19.35416</v>
      </c>
      <c r="F6968" t="s">
        <v>10408</v>
      </c>
      <c r="G6968" t="s">
        <v>39</v>
      </c>
      <c r="H6968">
        <v>1990</v>
      </c>
      <c r="I6968">
        <v>27.8</v>
      </c>
      <c r="J6968">
        <v>14.6</v>
      </c>
      <c r="K6968">
        <v>55</v>
      </c>
      <c r="L6968">
        <v>31.356000000000002</v>
      </c>
      <c r="M6968">
        <v>40.700000000000003</v>
      </c>
      <c r="N6968">
        <v>14.6</v>
      </c>
      <c r="O6968">
        <v>26.1</v>
      </c>
      <c r="P6968">
        <v>28.4</v>
      </c>
      <c r="Q6968">
        <v>24.7</v>
      </c>
      <c r="R6968">
        <v>31.6</v>
      </c>
      <c r="S6968">
        <v>23.2</v>
      </c>
      <c r="T6968">
        <v>299</v>
      </c>
      <c r="U6968">
        <v>119</v>
      </c>
      <c r="V6968">
        <v>0</v>
      </c>
      <c r="W6968">
        <v>153</v>
      </c>
      <c r="X6968">
        <v>259</v>
      </c>
      <c r="Y6968">
        <v>0</v>
      </c>
      <c r="Z6968">
        <v>31</v>
      </c>
      <c r="AA6968">
        <v>0</v>
      </c>
      <c r="AB6968">
        <v>3.4261729999999999</v>
      </c>
      <c r="AC6968">
        <v>1.5016659999999999E-2</v>
      </c>
      <c r="AD6968">
        <v>1.6041939999999999</v>
      </c>
      <c r="AE6968">
        <v>0.22451599999999999</v>
      </c>
      <c r="AF6968">
        <v>265.32</v>
      </c>
      <c r="AG6968">
        <f>IFERROR(AH6968*0.1, "N/A")</f>
        <v>7.2066670000000004</v>
      </c>
      <c r="AH6968">
        <v>72.066670000000002</v>
      </c>
      <c r="AI6968">
        <v>202.166</v>
      </c>
      <c r="AJ6968">
        <v>16.116669999999999</v>
      </c>
      <c r="AK6968">
        <v>71.400000000000006</v>
      </c>
    </row>
    <row r="6969" spans="1:37" x14ac:dyDescent="0.3">
      <c r="A6969">
        <v>6968</v>
      </c>
      <c r="B6969">
        <v>0</v>
      </c>
      <c r="C6969">
        <v>-3.67516</v>
      </c>
      <c r="D6969">
        <v>15.679</v>
      </c>
      <c r="E6969">
        <f>-3.67516-15.679</f>
        <v>-19.35416</v>
      </c>
      <c r="F6969" t="s">
        <v>10409</v>
      </c>
      <c r="G6969" t="s">
        <v>37</v>
      </c>
      <c r="H6969">
        <v>1990</v>
      </c>
      <c r="I6969">
        <v>27.8</v>
      </c>
      <c r="J6969">
        <v>14.6</v>
      </c>
      <c r="K6969">
        <v>55</v>
      </c>
      <c r="L6969">
        <v>31.356000000000002</v>
      </c>
      <c r="M6969">
        <v>40.700000000000003</v>
      </c>
      <c r="N6969">
        <v>14.6</v>
      </c>
      <c r="O6969">
        <v>26.1</v>
      </c>
      <c r="P6969">
        <v>28.4</v>
      </c>
      <c r="Q6969">
        <v>24.7</v>
      </c>
      <c r="R6969">
        <v>31.6</v>
      </c>
      <c r="S6969">
        <v>23.2</v>
      </c>
      <c r="T6969">
        <v>299</v>
      </c>
      <c r="U6969">
        <v>119</v>
      </c>
      <c r="V6969">
        <v>0</v>
      </c>
      <c r="W6969">
        <v>153</v>
      </c>
      <c r="X6969">
        <v>259</v>
      </c>
      <c r="Y6969">
        <v>0</v>
      </c>
      <c r="Z6969">
        <v>31</v>
      </c>
      <c r="AA6969">
        <v>0</v>
      </c>
      <c r="AB6969">
        <v>3.4261729999999999</v>
      </c>
      <c r="AC6969">
        <v>1.5016659999999999E-2</v>
      </c>
      <c r="AD6969">
        <v>1.6041939999999999</v>
      </c>
      <c r="AE6969">
        <v>0.22451599999999999</v>
      </c>
      <c r="AF6969">
        <v>265.32</v>
      </c>
      <c r="AG6969">
        <f>IFERROR(AH6969*0.1, "N/A")</f>
        <v>7.2066670000000004</v>
      </c>
      <c r="AH6969">
        <v>72.066670000000002</v>
      </c>
      <c r="AI6969">
        <v>202.166</v>
      </c>
      <c r="AJ6969">
        <v>16.116669999999999</v>
      </c>
      <c r="AK6969">
        <v>71.400000000000006</v>
      </c>
    </row>
    <row r="6970" spans="1:37" x14ac:dyDescent="0.3">
      <c r="A6970">
        <v>6969</v>
      </c>
      <c r="B6970">
        <v>6.3</v>
      </c>
      <c r="C6970">
        <v>-3.7831199999999998</v>
      </c>
      <c r="D6970">
        <v>15.6922</v>
      </c>
      <c r="E6970">
        <f>-3.78312-15.6922</f>
        <v>-19.47532</v>
      </c>
      <c r="F6970" t="s">
        <v>10410</v>
      </c>
      <c r="G6970" t="s">
        <v>39</v>
      </c>
      <c r="H6970">
        <v>1990</v>
      </c>
      <c r="I6970">
        <v>27.785049999999998</v>
      </c>
      <c r="J6970">
        <v>14.6</v>
      </c>
      <c r="K6970">
        <v>55.149500000000003</v>
      </c>
      <c r="L6970">
        <v>30.955950000000001</v>
      </c>
      <c r="M6970">
        <v>40.785049999999998</v>
      </c>
      <c r="N6970">
        <v>14.7</v>
      </c>
      <c r="O6970">
        <v>26.085049999999999</v>
      </c>
      <c r="P6970">
        <v>28.38505</v>
      </c>
      <c r="Q6970">
        <v>24.785049999999998</v>
      </c>
      <c r="R6970">
        <v>31.585049999999999</v>
      </c>
      <c r="S6970">
        <v>23.2</v>
      </c>
      <c r="T6970">
        <v>303.29899999999998</v>
      </c>
      <c r="U6970">
        <v>123</v>
      </c>
      <c r="V6970">
        <v>0</v>
      </c>
      <c r="W6970">
        <v>150.14949999999999</v>
      </c>
      <c r="X6970">
        <v>263.29899999999998</v>
      </c>
      <c r="Y6970">
        <v>0</v>
      </c>
      <c r="Z6970">
        <v>32</v>
      </c>
      <c r="AA6970">
        <v>0</v>
      </c>
      <c r="AB6970">
        <v>1.4657830000000001</v>
      </c>
      <c r="AC6970">
        <v>3.8536330000000001E-2</v>
      </c>
      <c r="AD6970">
        <v>3.4273959999999999</v>
      </c>
      <c r="AE6970">
        <v>0.28789989999999999</v>
      </c>
      <c r="AF6970">
        <v>264.01830000000001</v>
      </c>
      <c r="AG6970">
        <f>IFERROR(AH6970*0.1, "N/A")</f>
        <v>7.3697670000000004</v>
      </c>
      <c r="AH6970">
        <v>73.697670000000002</v>
      </c>
      <c r="AI6970">
        <v>263.6266</v>
      </c>
      <c r="AJ6970">
        <v>17.534880000000001</v>
      </c>
      <c r="AK6970">
        <v>69.069770000000005</v>
      </c>
    </row>
    <row r="6971" spans="1:37" x14ac:dyDescent="0.3">
      <c r="A6971">
        <v>6970</v>
      </c>
      <c r="B6971">
        <v>0.5</v>
      </c>
      <c r="C6971">
        <v>-3.7831199999999998</v>
      </c>
      <c r="D6971">
        <v>15.6922</v>
      </c>
      <c r="E6971">
        <f>-3.78312-15.6922</f>
        <v>-19.47532</v>
      </c>
      <c r="F6971" t="s">
        <v>10411</v>
      </c>
      <c r="G6971" t="s">
        <v>37</v>
      </c>
      <c r="H6971">
        <v>1990</v>
      </c>
      <c r="I6971">
        <v>27.785049999999998</v>
      </c>
      <c r="J6971">
        <v>14.6</v>
      </c>
      <c r="K6971">
        <v>55.149500000000003</v>
      </c>
      <c r="L6971">
        <v>30.955950000000001</v>
      </c>
      <c r="M6971">
        <v>40.785049999999998</v>
      </c>
      <c r="N6971">
        <v>14.7</v>
      </c>
      <c r="O6971">
        <v>26.085049999999999</v>
      </c>
      <c r="P6971">
        <v>28.38505</v>
      </c>
      <c r="Q6971">
        <v>24.785049999999998</v>
      </c>
      <c r="R6971">
        <v>31.585049999999999</v>
      </c>
      <c r="S6971">
        <v>23.2</v>
      </c>
      <c r="T6971">
        <v>303.29899999999998</v>
      </c>
      <c r="U6971">
        <v>123</v>
      </c>
      <c r="V6971">
        <v>0</v>
      </c>
      <c r="W6971">
        <v>150.14949999999999</v>
      </c>
      <c r="X6971">
        <v>263.29899999999998</v>
      </c>
      <c r="Y6971">
        <v>0</v>
      </c>
      <c r="Z6971">
        <v>32</v>
      </c>
      <c r="AA6971">
        <v>0</v>
      </c>
      <c r="AB6971">
        <v>1.4657830000000001</v>
      </c>
      <c r="AC6971">
        <v>3.8536330000000001E-2</v>
      </c>
      <c r="AD6971">
        <v>3.4273959999999999</v>
      </c>
      <c r="AE6971">
        <v>0.28789989999999999</v>
      </c>
      <c r="AF6971">
        <v>264.01830000000001</v>
      </c>
      <c r="AG6971">
        <f>IFERROR(AH6971*0.1, "N/A")</f>
        <v>7.3697670000000004</v>
      </c>
      <c r="AH6971">
        <v>73.697670000000002</v>
      </c>
      <c r="AI6971">
        <v>263.6266</v>
      </c>
      <c r="AJ6971">
        <v>17.534880000000001</v>
      </c>
      <c r="AK6971">
        <v>69.069770000000005</v>
      </c>
    </row>
    <row r="6972" spans="1:37" x14ac:dyDescent="0.3">
      <c r="A6972">
        <v>6971</v>
      </c>
      <c r="B6972">
        <v>23.4</v>
      </c>
      <c r="C6972">
        <v>-3.7138</v>
      </c>
      <c r="D6972">
        <v>15.712</v>
      </c>
      <c r="E6972">
        <f>-3.7138-15.712</f>
        <v>-19.425799999999999</v>
      </c>
      <c r="F6972" t="s">
        <v>10412</v>
      </c>
      <c r="G6972" t="s">
        <v>39</v>
      </c>
      <c r="H6972">
        <v>1990</v>
      </c>
      <c r="I6972">
        <v>27.8</v>
      </c>
      <c r="J6972">
        <v>14.6</v>
      </c>
      <c r="K6972">
        <v>56</v>
      </c>
      <c r="L6972">
        <v>31.18</v>
      </c>
      <c r="M6972">
        <v>40.700000000000003</v>
      </c>
      <c r="N6972">
        <v>14.7</v>
      </c>
      <c r="O6972">
        <v>26</v>
      </c>
      <c r="P6972">
        <v>28.3</v>
      </c>
      <c r="Q6972">
        <v>24.8</v>
      </c>
      <c r="R6972">
        <v>31.6</v>
      </c>
      <c r="S6972">
        <v>23.2</v>
      </c>
      <c r="T6972">
        <v>296</v>
      </c>
      <c r="U6972">
        <v>119</v>
      </c>
      <c r="V6972">
        <v>0</v>
      </c>
      <c r="W6972">
        <v>152</v>
      </c>
      <c r="X6972">
        <v>257</v>
      </c>
      <c r="Y6972">
        <v>0</v>
      </c>
      <c r="Z6972">
        <v>31</v>
      </c>
      <c r="AA6972">
        <v>0</v>
      </c>
      <c r="AB6972">
        <v>4.8490770000000003</v>
      </c>
      <c r="AC6972">
        <v>4.1858740000000001</v>
      </c>
      <c r="AD6972">
        <v>1.6576219999999999</v>
      </c>
      <c r="AE6972">
        <v>0.2344503</v>
      </c>
      <c r="AF6972">
        <v>265.12810000000002</v>
      </c>
      <c r="AG6972">
        <f>IFERROR(AH6972*0.1, "N/A")</f>
        <v>7.095008</v>
      </c>
      <c r="AH6972">
        <v>70.95008</v>
      </c>
      <c r="AI6972">
        <v>196.75540000000001</v>
      </c>
      <c r="AJ6972">
        <v>25.231280000000002</v>
      </c>
      <c r="AK6972">
        <v>56.159730000000003</v>
      </c>
    </row>
    <row r="6973" spans="1:37" x14ac:dyDescent="0.3">
      <c r="A6973">
        <v>6972</v>
      </c>
      <c r="B6973">
        <v>0</v>
      </c>
      <c r="C6973">
        <v>-3.7138</v>
      </c>
      <c r="D6973">
        <v>15.712</v>
      </c>
      <c r="E6973">
        <f>-3.7138-15.712</f>
        <v>-19.425799999999999</v>
      </c>
      <c r="F6973" t="s">
        <v>10413</v>
      </c>
      <c r="G6973" t="s">
        <v>37</v>
      </c>
      <c r="H6973">
        <v>1990</v>
      </c>
      <c r="I6973">
        <v>27.8</v>
      </c>
      <c r="J6973">
        <v>14.6</v>
      </c>
      <c r="K6973">
        <v>56</v>
      </c>
      <c r="L6973">
        <v>31.18</v>
      </c>
      <c r="M6973">
        <v>40.700000000000003</v>
      </c>
      <c r="N6973">
        <v>14.7</v>
      </c>
      <c r="O6973">
        <v>26</v>
      </c>
      <c r="P6973">
        <v>28.3</v>
      </c>
      <c r="Q6973">
        <v>24.8</v>
      </c>
      <c r="R6973">
        <v>31.6</v>
      </c>
      <c r="S6973">
        <v>23.2</v>
      </c>
      <c r="T6973">
        <v>296</v>
      </c>
      <c r="U6973">
        <v>119</v>
      </c>
      <c r="V6973">
        <v>0</v>
      </c>
      <c r="W6973">
        <v>152</v>
      </c>
      <c r="X6973">
        <v>257</v>
      </c>
      <c r="Y6973">
        <v>0</v>
      </c>
      <c r="Z6973">
        <v>31</v>
      </c>
      <c r="AA6973">
        <v>0</v>
      </c>
      <c r="AB6973">
        <v>4.8490770000000003</v>
      </c>
      <c r="AC6973">
        <v>4.1858740000000001</v>
      </c>
      <c r="AD6973">
        <v>1.6576219999999999</v>
      </c>
      <c r="AE6973">
        <v>0.2344503</v>
      </c>
      <c r="AF6973">
        <v>265.12810000000002</v>
      </c>
      <c r="AG6973">
        <f>IFERROR(AH6973*0.1, "N/A")</f>
        <v>7.095008</v>
      </c>
      <c r="AH6973">
        <v>70.95008</v>
      </c>
      <c r="AI6973">
        <v>196.75540000000001</v>
      </c>
      <c r="AJ6973">
        <v>25.231280000000002</v>
      </c>
      <c r="AK6973">
        <v>56.159730000000003</v>
      </c>
    </row>
    <row r="6974" spans="1:37" x14ac:dyDescent="0.3">
      <c r="A6974">
        <v>6973</v>
      </c>
      <c r="B6974">
        <v>2</v>
      </c>
      <c r="C6974">
        <v>2.5129000000000001</v>
      </c>
      <c r="D6974">
        <v>15.737399999999999</v>
      </c>
      <c r="E6974" t="s">
        <v>10414</v>
      </c>
      <c r="F6974" t="s">
        <v>10415</v>
      </c>
      <c r="G6974" t="s">
        <v>39</v>
      </c>
      <c r="H6974">
        <v>1990</v>
      </c>
      <c r="I6974">
        <v>29.8</v>
      </c>
      <c r="J6974">
        <v>14.7</v>
      </c>
      <c r="K6974">
        <v>54</v>
      </c>
      <c r="L6974">
        <v>36.57</v>
      </c>
      <c r="M6974">
        <v>42.1</v>
      </c>
      <c r="N6974">
        <v>15.1</v>
      </c>
      <c r="O6974">
        <v>27</v>
      </c>
      <c r="P6974">
        <v>31.2</v>
      </c>
      <c r="Q6974">
        <v>26.3</v>
      </c>
      <c r="R6974">
        <v>34.1</v>
      </c>
      <c r="S6974">
        <v>24.5</v>
      </c>
      <c r="T6974">
        <v>245</v>
      </c>
      <c r="U6974">
        <v>97</v>
      </c>
      <c r="V6974">
        <v>0</v>
      </c>
      <c r="W6974">
        <v>152</v>
      </c>
      <c r="X6974">
        <v>210</v>
      </c>
      <c r="Y6974">
        <v>0</v>
      </c>
      <c r="Z6974">
        <v>31</v>
      </c>
      <c r="AA6974">
        <v>0</v>
      </c>
      <c r="AB6974">
        <v>0</v>
      </c>
      <c r="AC6974">
        <v>5.102023E-2</v>
      </c>
      <c r="AD6974">
        <v>1.568262</v>
      </c>
      <c r="AE6974">
        <v>0.25540970000000002</v>
      </c>
      <c r="AF6974">
        <v>263.68830000000003</v>
      </c>
      <c r="AG6974">
        <f>IFERROR(AH6974*0.1, "N/A")</f>
        <v>7.4901669999999996</v>
      </c>
      <c r="AH6974">
        <v>74.901669999999996</v>
      </c>
      <c r="AI6974">
        <v>125.5266</v>
      </c>
      <c r="AJ6974">
        <v>32.216670000000001</v>
      </c>
      <c r="AK6974">
        <v>43.563330000000001</v>
      </c>
    </row>
    <row r="6975" spans="1:37" x14ac:dyDescent="0.3">
      <c r="A6975">
        <v>6974</v>
      </c>
      <c r="B6975">
        <v>0</v>
      </c>
      <c r="C6975">
        <v>2.5129000000000001</v>
      </c>
      <c r="D6975">
        <v>15.737399999999999</v>
      </c>
      <c r="E6975" t="s">
        <v>10414</v>
      </c>
      <c r="F6975" t="s">
        <v>10416</v>
      </c>
      <c r="G6975" t="s">
        <v>37</v>
      </c>
      <c r="H6975">
        <v>1990</v>
      </c>
      <c r="I6975">
        <v>29.8</v>
      </c>
      <c r="J6975">
        <v>14.7</v>
      </c>
      <c r="K6975">
        <v>54</v>
      </c>
      <c r="L6975">
        <v>36.57</v>
      </c>
      <c r="M6975">
        <v>42.1</v>
      </c>
      <c r="N6975">
        <v>15.1</v>
      </c>
      <c r="O6975">
        <v>27</v>
      </c>
      <c r="P6975">
        <v>31.2</v>
      </c>
      <c r="Q6975">
        <v>26.3</v>
      </c>
      <c r="R6975">
        <v>34.1</v>
      </c>
      <c r="S6975">
        <v>24.5</v>
      </c>
      <c r="T6975">
        <v>245</v>
      </c>
      <c r="U6975">
        <v>97</v>
      </c>
      <c r="V6975">
        <v>0</v>
      </c>
      <c r="W6975">
        <v>152</v>
      </c>
      <c r="X6975">
        <v>210</v>
      </c>
      <c r="Y6975">
        <v>0</v>
      </c>
      <c r="Z6975">
        <v>31</v>
      </c>
      <c r="AA6975">
        <v>0</v>
      </c>
      <c r="AB6975">
        <v>0</v>
      </c>
      <c r="AC6975">
        <v>5.102023E-2</v>
      </c>
      <c r="AD6975">
        <v>1.568262</v>
      </c>
      <c r="AE6975">
        <v>0.25540970000000002</v>
      </c>
      <c r="AF6975">
        <v>263.68830000000003</v>
      </c>
      <c r="AG6975">
        <f>IFERROR(AH6975*0.1, "N/A")</f>
        <v>7.4901669999999996</v>
      </c>
      <c r="AH6975">
        <v>74.901669999999996</v>
      </c>
      <c r="AI6975">
        <v>125.5266</v>
      </c>
      <c r="AJ6975">
        <v>32.216670000000001</v>
      </c>
      <c r="AK6975">
        <v>43.563330000000001</v>
      </c>
    </row>
    <row r="6976" spans="1:37" x14ac:dyDescent="0.3">
      <c r="A6976">
        <v>6975</v>
      </c>
      <c r="B6976">
        <v>40.700000000000003</v>
      </c>
      <c r="C6976">
        <v>-3.5183</v>
      </c>
      <c r="D6976">
        <v>15.7455</v>
      </c>
      <c r="E6976">
        <f>-3.5183-15.7455</f>
        <v>-19.2638</v>
      </c>
      <c r="F6976" t="s">
        <v>10417</v>
      </c>
      <c r="G6976" t="s">
        <v>39</v>
      </c>
      <c r="H6976">
        <v>1990</v>
      </c>
      <c r="I6976">
        <v>27.9</v>
      </c>
      <c r="J6976">
        <v>14.6</v>
      </c>
      <c r="K6976">
        <v>55</v>
      </c>
      <c r="L6976">
        <v>32.07</v>
      </c>
      <c r="M6976">
        <v>40.799999999999997</v>
      </c>
      <c r="N6976">
        <v>14.5</v>
      </c>
      <c r="O6976">
        <v>26.3</v>
      </c>
      <c r="P6976">
        <v>28.7</v>
      </c>
      <c r="Q6976">
        <v>24.8</v>
      </c>
      <c r="R6976">
        <v>31.8</v>
      </c>
      <c r="S6976">
        <v>23.2</v>
      </c>
      <c r="T6976">
        <v>290</v>
      </c>
      <c r="U6976">
        <v>114</v>
      </c>
      <c r="V6976">
        <v>0</v>
      </c>
      <c r="W6976">
        <v>146</v>
      </c>
      <c r="X6976">
        <v>249</v>
      </c>
      <c r="Y6976">
        <v>0</v>
      </c>
      <c r="Z6976">
        <v>32</v>
      </c>
      <c r="AA6976">
        <v>0</v>
      </c>
      <c r="AB6976">
        <v>4.5217729999999996</v>
      </c>
      <c r="AC6976">
        <v>2.6189179999999999E-2</v>
      </c>
      <c r="AD6976">
        <v>1.4382330000000001</v>
      </c>
      <c r="AE6976">
        <v>0.29070550000000001</v>
      </c>
      <c r="AF6976">
        <v>264.5779</v>
      </c>
      <c r="AG6976">
        <f>IFERROR(AH6976*0.1, "N/A")</f>
        <v>7.1986600000000003</v>
      </c>
      <c r="AH6976">
        <v>71.986599999999996</v>
      </c>
      <c r="AI6976">
        <v>183.92179999999999</v>
      </c>
      <c r="AJ6976">
        <v>15.55109</v>
      </c>
      <c r="AK6976">
        <v>71.291460000000001</v>
      </c>
    </row>
    <row r="6977" spans="1:37" x14ac:dyDescent="0.3">
      <c r="A6977">
        <v>6976</v>
      </c>
      <c r="B6977">
        <v>0</v>
      </c>
      <c r="C6977">
        <v>-3.5183</v>
      </c>
      <c r="D6977">
        <v>15.7455</v>
      </c>
      <c r="E6977">
        <f>-3.5183-15.7455</f>
        <v>-19.2638</v>
      </c>
      <c r="F6977" t="s">
        <v>10418</v>
      </c>
      <c r="G6977" t="s">
        <v>37</v>
      </c>
      <c r="H6977">
        <v>1990</v>
      </c>
      <c r="I6977">
        <v>27.9</v>
      </c>
      <c r="J6977">
        <v>14.6</v>
      </c>
      <c r="K6977">
        <v>55</v>
      </c>
      <c r="L6977">
        <v>32.07</v>
      </c>
      <c r="M6977">
        <v>40.799999999999997</v>
      </c>
      <c r="N6977">
        <v>14.5</v>
      </c>
      <c r="O6977">
        <v>26.3</v>
      </c>
      <c r="P6977">
        <v>28.7</v>
      </c>
      <c r="Q6977">
        <v>24.8</v>
      </c>
      <c r="R6977">
        <v>31.8</v>
      </c>
      <c r="S6977">
        <v>23.2</v>
      </c>
      <c r="T6977">
        <v>290</v>
      </c>
      <c r="U6977">
        <v>114</v>
      </c>
      <c r="V6977">
        <v>0</v>
      </c>
      <c r="W6977">
        <v>146</v>
      </c>
      <c r="X6977">
        <v>249</v>
      </c>
      <c r="Y6977">
        <v>0</v>
      </c>
      <c r="Z6977">
        <v>32</v>
      </c>
      <c r="AA6977">
        <v>0</v>
      </c>
      <c r="AB6977">
        <v>4.5217729999999996</v>
      </c>
      <c r="AC6977">
        <v>2.6189179999999999E-2</v>
      </c>
      <c r="AD6977">
        <v>1.4382330000000001</v>
      </c>
      <c r="AE6977">
        <v>0.29070550000000001</v>
      </c>
      <c r="AF6977">
        <v>264.5779</v>
      </c>
      <c r="AG6977">
        <f>IFERROR(AH6977*0.1, "N/A")</f>
        <v>7.1986600000000003</v>
      </c>
      <c r="AH6977">
        <v>71.986599999999996</v>
      </c>
      <c r="AI6977">
        <v>183.92179999999999</v>
      </c>
      <c r="AJ6977">
        <v>15.55109</v>
      </c>
      <c r="AK6977">
        <v>71.291460000000001</v>
      </c>
    </row>
    <row r="6978" spans="1:37" x14ac:dyDescent="0.3">
      <c r="A6978">
        <v>6977</v>
      </c>
      <c r="B6978">
        <v>8.4</v>
      </c>
      <c r="C6978">
        <v>0.32450000000000001</v>
      </c>
      <c r="D6978">
        <v>15.8071</v>
      </c>
      <c r="E6978" t="s">
        <v>10419</v>
      </c>
      <c r="F6978" t="s">
        <v>10420</v>
      </c>
      <c r="G6978" t="s">
        <v>39</v>
      </c>
      <c r="H6978">
        <v>1990</v>
      </c>
      <c r="I6978">
        <v>29.1</v>
      </c>
      <c r="J6978">
        <v>14.1</v>
      </c>
      <c r="K6978">
        <v>61</v>
      </c>
      <c r="L6978">
        <v>25.886019999999998</v>
      </c>
      <c r="M6978">
        <v>39.200000000000003</v>
      </c>
      <c r="N6978">
        <v>16.100000000000001</v>
      </c>
      <c r="O6978">
        <v>23.1</v>
      </c>
      <c r="P6978">
        <v>30.3</v>
      </c>
      <c r="Q6978">
        <v>26.1</v>
      </c>
      <c r="R6978">
        <v>32</v>
      </c>
      <c r="S6978">
        <v>25.2</v>
      </c>
      <c r="T6978">
        <v>250.0249</v>
      </c>
      <c r="U6978">
        <v>109.0249</v>
      </c>
      <c r="V6978">
        <v>0</v>
      </c>
      <c r="W6978">
        <v>158.0249</v>
      </c>
      <c r="X6978">
        <v>214.0249</v>
      </c>
      <c r="Y6978">
        <v>0</v>
      </c>
      <c r="Z6978">
        <v>96</v>
      </c>
      <c r="AA6978">
        <v>0</v>
      </c>
      <c r="AB6978">
        <v>1.0427850000000001</v>
      </c>
      <c r="AC6978">
        <v>30479.5</v>
      </c>
      <c r="AD6978">
        <v>0.4150105</v>
      </c>
      <c r="AE6978">
        <v>0.271841</v>
      </c>
      <c r="AF6978">
        <v>243.1078</v>
      </c>
      <c r="AG6978">
        <f>IFERROR(AH6978*0.1, "N/A")</f>
        <v>6.6000000000000005</v>
      </c>
      <c r="AH6978">
        <v>66</v>
      </c>
      <c r="AI6978">
        <v>28.19903</v>
      </c>
      <c r="AJ6978">
        <v>34</v>
      </c>
      <c r="AK6978">
        <v>48</v>
      </c>
    </row>
    <row r="6979" spans="1:37" x14ac:dyDescent="0.3">
      <c r="A6979">
        <v>6978</v>
      </c>
      <c r="B6979">
        <v>0</v>
      </c>
      <c r="C6979">
        <v>0.32450000000000001</v>
      </c>
      <c r="D6979">
        <v>15.8071</v>
      </c>
      <c r="E6979" t="s">
        <v>10419</v>
      </c>
      <c r="F6979" t="s">
        <v>10421</v>
      </c>
      <c r="G6979" t="s">
        <v>37</v>
      </c>
      <c r="H6979">
        <v>1990</v>
      </c>
      <c r="I6979">
        <v>29.1</v>
      </c>
      <c r="J6979">
        <v>14.1</v>
      </c>
      <c r="K6979">
        <v>61</v>
      </c>
      <c r="L6979">
        <v>25.886019999999998</v>
      </c>
      <c r="M6979">
        <v>39.200000000000003</v>
      </c>
      <c r="N6979">
        <v>16.100000000000001</v>
      </c>
      <c r="O6979">
        <v>23.1</v>
      </c>
      <c r="P6979">
        <v>30.3</v>
      </c>
      <c r="Q6979">
        <v>26.1</v>
      </c>
      <c r="R6979">
        <v>32</v>
      </c>
      <c r="S6979">
        <v>25.2</v>
      </c>
      <c r="T6979">
        <v>250.0249</v>
      </c>
      <c r="U6979">
        <v>109.0249</v>
      </c>
      <c r="V6979">
        <v>0</v>
      </c>
      <c r="W6979">
        <v>158.0249</v>
      </c>
      <c r="X6979">
        <v>214.0249</v>
      </c>
      <c r="Y6979">
        <v>0</v>
      </c>
      <c r="Z6979">
        <v>96</v>
      </c>
      <c r="AA6979">
        <v>0</v>
      </c>
      <c r="AB6979">
        <v>1.0427850000000001</v>
      </c>
      <c r="AC6979">
        <v>30479.5</v>
      </c>
      <c r="AD6979">
        <v>0.4150105</v>
      </c>
      <c r="AE6979">
        <v>0.271841</v>
      </c>
      <c r="AF6979">
        <v>243.1078</v>
      </c>
      <c r="AG6979">
        <f>IFERROR(AH6979*0.1, "N/A")</f>
        <v>6.6000000000000005</v>
      </c>
      <c r="AH6979">
        <v>66</v>
      </c>
      <c r="AI6979">
        <v>28.19903</v>
      </c>
      <c r="AJ6979">
        <v>34</v>
      </c>
      <c r="AK6979">
        <v>48</v>
      </c>
    </row>
    <row r="6980" spans="1:37" x14ac:dyDescent="0.3">
      <c r="A6980">
        <v>6979</v>
      </c>
      <c r="B6980">
        <v>1.5</v>
      </c>
      <c r="C6980">
        <v>2.5211999999999999</v>
      </c>
      <c r="D6980">
        <v>15.8146</v>
      </c>
      <c r="E6980" t="s">
        <v>10422</v>
      </c>
      <c r="F6980" t="s">
        <v>10423</v>
      </c>
      <c r="G6980" t="s">
        <v>39</v>
      </c>
      <c r="H6980">
        <v>1990</v>
      </c>
      <c r="I6980">
        <v>29.7</v>
      </c>
      <c r="J6980">
        <v>14.7</v>
      </c>
      <c r="K6980">
        <v>54</v>
      </c>
      <c r="L6980">
        <v>36.97</v>
      </c>
      <c r="M6980">
        <v>42</v>
      </c>
      <c r="N6980">
        <v>14.8</v>
      </c>
      <c r="O6980">
        <v>27.2</v>
      </c>
      <c r="P6980">
        <v>31.1</v>
      </c>
      <c r="Q6980">
        <v>26</v>
      </c>
      <c r="R6980">
        <v>33.9</v>
      </c>
      <c r="S6980">
        <v>24.2</v>
      </c>
      <c r="T6980">
        <v>241</v>
      </c>
      <c r="U6980">
        <v>96</v>
      </c>
      <c r="V6980">
        <v>0</v>
      </c>
      <c r="W6980">
        <v>150</v>
      </c>
      <c r="X6980">
        <v>207</v>
      </c>
      <c r="Y6980">
        <v>0</v>
      </c>
      <c r="Z6980">
        <v>30</v>
      </c>
      <c r="AA6980">
        <v>0</v>
      </c>
      <c r="AB6980">
        <v>34.352330000000002</v>
      </c>
      <c r="AC6980">
        <v>8.7499880000000002E-3</v>
      </c>
      <c r="AD6980">
        <v>2.8968029999999998</v>
      </c>
      <c r="AE6980">
        <v>6.5356979999999995E-2</v>
      </c>
      <c r="AF6980">
        <v>308.68439999999998</v>
      </c>
      <c r="AG6980">
        <f>IFERROR(AH6980*0.1, "N/A")</f>
        <v>7.609967000000001</v>
      </c>
      <c r="AH6980">
        <v>76.099670000000003</v>
      </c>
      <c r="AI6980">
        <v>227.4161</v>
      </c>
      <c r="AJ6980">
        <v>1</v>
      </c>
      <c r="AK6980">
        <v>93.832229999999996</v>
      </c>
    </row>
    <row r="6981" spans="1:37" x14ac:dyDescent="0.3">
      <c r="A6981">
        <v>6980</v>
      </c>
      <c r="B6981">
        <v>0</v>
      </c>
      <c r="C6981">
        <v>2.5211999999999999</v>
      </c>
      <c r="D6981">
        <v>15.8146</v>
      </c>
      <c r="E6981" t="s">
        <v>10422</v>
      </c>
      <c r="F6981" t="s">
        <v>10424</v>
      </c>
      <c r="G6981" t="s">
        <v>37</v>
      </c>
      <c r="H6981">
        <v>1990</v>
      </c>
      <c r="I6981">
        <v>29.7</v>
      </c>
      <c r="J6981">
        <v>14.7</v>
      </c>
      <c r="K6981">
        <v>54</v>
      </c>
      <c r="L6981">
        <v>36.97</v>
      </c>
      <c r="M6981">
        <v>42</v>
      </c>
      <c r="N6981">
        <v>14.8</v>
      </c>
      <c r="O6981">
        <v>27.2</v>
      </c>
      <c r="P6981">
        <v>31.1</v>
      </c>
      <c r="Q6981">
        <v>26</v>
      </c>
      <c r="R6981">
        <v>33.9</v>
      </c>
      <c r="S6981">
        <v>24.2</v>
      </c>
      <c r="T6981">
        <v>241</v>
      </c>
      <c r="U6981">
        <v>96</v>
      </c>
      <c r="V6981">
        <v>0</v>
      </c>
      <c r="W6981">
        <v>150</v>
      </c>
      <c r="X6981">
        <v>207</v>
      </c>
      <c r="Y6981">
        <v>0</v>
      </c>
      <c r="Z6981">
        <v>30</v>
      </c>
      <c r="AA6981">
        <v>0</v>
      </c>
      <c r="AB6981">
        <v>34.352330000000002</v>
      </c>
      <c r="AC6981">
        <v>8.7499880000000002E-3</v>
      </c>
      <c r="AD6981">
        <v>2.8968029999999998</v>
      </c>
      <c r="AE6981">
        <v>6.5356979999999995E-2</v>
      </c>
      <c r="AF6981">
        <v>308.68439999999998</v>
      </c>
      <c r="AG6981">
        <f>IFERROR(AH6981*0.1, "N/A")</f>
        <v>7.609967000000001</v>
      </c>
      <c r="AH6981">
        <v>76.099670000000003</v>
      </c>
      <c r="AI6981">
        <v>227.4161</v>
      </c>
      <c r="AJ6981">
        <v>1</v>
      </c>
      <c r="AK6981">
        <v>93.832229999999996</v>
      </c>
    </row>
    <row r="6982" spans="1:37" x14ac:dyDescent="0.3">
      <c r="A6982">
        <v>6981</v>
      </c>
      <c r="B6982">
        <v>41</v>
      </c>
      <c r="C6982">
        <v>-1.2849999999999999</v>
      </c>
      <c r="D6982">
        <v>15.817</v>
      </c>
      <c r="E6982">
        <f>-1.285-15.817</f>
        <v>-17.102</v>
      </c>
      <c r="F6982" t="s">
        <v>10425</v>
      </c>
      <c r="G6982" t="s">
        <v>39</v>
      </c>
      <c r="H6982">
        <v>1987</v>
      </c>
      <c r="I6982">
        <v>29.7196</v>
      </c>
      <c r="J6982">
        <v>14.3</v>
      </c>
      <c r="K6982">
        <v>55</v>
      </c>
      <c r="L6982">
        <v>34.14864</v>
      </c>
      <c r="M6982">
        <v>41.8</v>
      </c>
      <c r="N6982">
        <v>15.8</v>
      </c>
      <c r="O6982">
        <v>26</v>
      </c>
      <c r="P6982">
        <v>30.6</v>
      </c>
      <c r="Q6982">
        <v>26.5</v>
      </c>
      <c r="R6982">
        <v>33.819600000000001</v>
      </c>
      <c r="S6982">
        <v>24.8</v>
      </c>
      <c r="T6982">
        <v>272.392</v>
      </c>
      <c r="U6982">
        <v>102.196</v>
      </c>
      <c r="V6982">
        <v>0</v>
      </c>
      <c r="W6982">
        <v>147.392</v>
      </c>
      <c r="X6982">
        <v>228.392</v>
      </c>
      <c r="Y6982">
        <v>0</v>
      </c>
      <c r="Z6982">
        <v>38</v>
      </c>
      <c r="AA6982">
        <v>0</v>
      </c>
      <c r="AB6982">
        <v>1.7051510000000001</v>
      </c>
      <c r="AC6982">
        <v>10.99503</v>
      </c>
      <c r="AD6982">
        <v>0.80140370000000005</v>
      </c>
      <c r="AE6982">
        <v>0.12667929999999999</v>
      </c>
      <c r="AF6982">
        <v>291.02820000000003</v>
      </c>
      <c r="AG6982">
        <f>IFERROR(AH6982*0.1, "N/A")</f>
        <v>7.5</v>
      </c>
      <c r="AH6982">
        <v>75</v>
      </c>
      <c r="AI6982">
        <v>93.764889999999994</v>
      </c>
      <c r="AJ6982">
        <v>9.9966779999999993</v>
      </c>
      <c r="AK6982">
        <v>78.117940000000004</v>
      </c>
    </row>
    <row r="6983" spans="1:37" x14ac:dyDescent="0.3">
      <c r="A6983">
        <v>6982</v>
      </c>
      <c r="B6983">
        <v>82.1</v>
      </c>
      <c r="C6983">
        <v>-1.2911300000000001</v>
      </c>
      <c r="D6983">
        <v>15.819599999999999</v>
      </c>
      <c r="E6983">
        <f>-1.29113-15.8196</f>
        <v>-17.11073</v>
      </c>
      <c r="F6983" t="s">
        <v>10426</v>
      </c>
      <c r="G6983" t="s">
        <v>39</v>
      </c>
      <c r="H6983">
        <v>1990</v>
      </c>
      <c r="I6983">
        <v>29.704660000000001</v>
      </c>
      <c r="J6983">
        <v>14.3</v>
      </c>
      <c r="K6983">
        <v>55</v>
      </c>
      <c r="L6983">
        <v>34.183729999999997</v>
      </c>
      <c r="M6983">
        <v>41.8</v>
      </c>
      <c r="N6983">
        <v>15.8</v>
      </c>
      <c r="O6983">
        <v>26</v>
      </c>
      <c r="P6983">
        <v>30.6</v>
      </c>
      <c r="Q6983">
        <v>26.495339999999999</v>
      </c>
      <c r="R6983">
        <v>33.804659999999998</v>
      </c>
      <c r="S6983">
        <v>24.8</v>
      </c>
      <c r="T6983">
        <v>272.04660000000001</v>
      </c>
      <c r="U6983">
        <v>102.0466</v>
      </c>
      <c r="V6983">
        <v>0</v>
      </c>
      <c r="W6983">
        <v>147.04660000000001</v>
      </c>
      <c r="X6983">
        <v>228.04660000000001</v>
      </c>
      <c r="Y6983">
        <v>0</v>
      </c>
      <c r="Z6983">
        <v>38</v>
      </c>
      <c r="AA6983">
        <v>0</v>
      </c>
      <c r="AB6983">
        <v>7.6625490000000003</v>
      </c>
      <c r="AC6983">
        <v>3.6070350000000001E-2</v>
      </c>
      <c r="AD6983">
        <v>1.0318050000000001</v>
      </c>
      <c r="AE6983">
        <v>0.15947749999999999</v>
      </c>
      <c r="AF6983">
        <v>288.99329999999998</v>
      </c>
      <c r="AG6983">
        <f>IFERROR(AH6983*0.1, "N/A")</f>
        <v>7.6803659999999994</v>
      </c>
      <c r="AH6983">
        <v>76.803659999999994</v>
      </c>
      <c r="AI6983">
        <v>202.39340000000001</v>
      </c>
      <c r="AJ6983">
        <v>10.7005</v>
      </c>
      <c r="AK6983">
        <v>77.542429999999996</v>
      </c>
    </row>
    <row r="6984" spans="1:37" x14ac:dyDescent="0.3">
      <c r="A6984">
        <v>6983</v>
      </c>
      <c r="B6984">
        <v>0.7</v>
      </c>
      <c r="C6984">
        <v>-1.2911300000000001</v>
      </c>
      <c r="D6984">
        <v>15.819599999999999</v>
      </c>
      <c r="E6984">
        <f>-1.29113-15.8196</f>
        <v>-17.11073</v>
      </c>
      <c r="F6984" t="s">
        <v>10427</v>
      </c>
      <c r="G6984" t="s">
        <v>37</v>
      </c>
      <c r="H6984">
        <v>1990</v>
      </c>
      <c r="I6984">
        <v>29.704660000000001</v>
      </c>
      <c r="J6984">
        <v>14.3</v>
      </c>
      <c r="K6984">
        <v>55</v>
      </c>
      <c r="L6984">
        <v>34.183729999999997</v>
      </c>
      <c r="M6984">
        <v>41.8</v>
      </c>
      <c r="N6984">
        <v>15.8</v>
      </c>
      <c r="O6984">
        <v>26</v>
      </c>
      <c r="P6984">
        <v>30.6</v>
      </c>
      <c r="Q6984">
        <v>26.495339999999999</v>
      </c>
      <c r="R6984">
        <v>33.804659999999998</v>
      </c>
      <c r="S6984">
        <v>24.8</v>
      </c>
      <c r="T6984">
        <v>272.04660000000001</v>
      </c>
      <c r="U6984">
        <v>102.0466</v>
      </c>
      <c r="V6984">
        <v>0</v>
      </c>
      <c r="W6984">
        <v>147.04660000000001</v>
      </c>
      <c r="X6984">
        <v>228.04660000000001</v>
      </c>
      <c r="Y6984">
        <v>0</v>
      </c>
      <c r="Z6984">
        <v>38</v>
      </c>
      <c r="AA6984">
        <v>0</v>
      </c>
      <c r="AB6984">
        <v>7.6625490000000003</v>
      </c>
      <c r="AC6984">
        <v>3.6070350000000001E-2</v>
      </c>
      <c r="AD6984">
        <v>1.0318050000000001</v>
      </c>
      <c r="AE6984">
        <v>0.15947749999999999</v>
      </c>
      <c r="AF6984">
        <v>288.99329999999998</v>
      </c>
      <c r="AG6984">
        <f>IFERROR(AH6984*0.1, "N/A")</f>
        <v>7.6803659999999994</v>
      </c>
      <c r="AH6984">
        <v>76.803659999999994</v>
      </c>
      <c r="AI6984">
        <v>202.39340000000001</v>
      </c>
      <c r="AJ6984">
        <v>10.7005</v>
      </c>
      <c r="AK6984">
        <v>77.542429999999996</v>
      </c>
    </row>
    <row r="6985" spans="1:37" x14ac:dyDescent="0.3">
      <c r="A6985">
        <v>6984</v>
      </c>
      <c r="B6985">
        <v>60.9</v>
      </c>
      <c r="C6985">
        <v>-1.29722</v>
      </c>
      <c r="D6985">
        <v>15.822800000000001</v>
      </c>
      <c r="E6985">
        <f>-1.29722-15.8228</f>
        <v>-17.12002</v>
      </c>
      <c r="F6985" t="s">
        <v>10428</v>
      </c>
      <c r="G6985" t="s">
        <v>39</v>
      </c>
      <c r="H6985">
        <v>1983</v>
      </c>
      <c r="I6985">
        <v>29.8</v>
      </c>
      <c r="J6985">
        <v>14.3</v>
      </c>
      <c r="K6985">
        <v>55</v>
      </c>
      <c r="L6985">
        <v>34.26</v>
      </c>
      <c r="M6985">
        <v>41.8</v>
      </c>
      <c r="N6985">
        <v>15.8</v>
      </c>
      <c r="O6985">
        <v>26</v>
      </c>
      <c r="P6985">
        <v>30.6</v>
      </c>
      <c r="Q6985">
        <v>26.4</v>
      </c>
      <c r="R6985">
        <v>33.9</v>
      </c>
      <c r="S6985">
        <v>24.8</v>
      </c>
      <c r="T6985">
        <v>273</v>
      </c>
      <c r="U6985">
        <v>103</v>
      </c>
      <c r="V6985">
        <v>0</v>
      </c>
      <c r="W6985">
        <v>148</v>
      </c>
      <c r="X6985">
        <v>229</v>
      </c>
      <c r="Y6985">
        <v>0</v>
      </c>
      <c r="Z6985">
        <v>38</v>
      </c>
      <c r="AA6985">
        <v>0</v>
      </c>
      <c r="AB6985">
        <v>3.2902200000000001</v>
      </c>
      <c r="AC6985">
        <v>7.4575530000000001E-2</v>
      </c>
      <c r="AD6985">
        <v>2.39716</v>
      </c>
      <c r="AE6985">
        <v>0.2131036</v>
      </c>
      <c r="AF6985">
        <v>290.16750000000002</v>
      </c>
      <c r="AG6985">
        <f>IFERROR(AH6985*0.1, "N/A")</f>
        <v>7.201658000000001</v>
      </c>
      <c r="AH6985">
        <v>72.016580000000005</v>
      </c>
      <c r="AI6985">
        <v>241.80019999999999</v>
      </c>
      <c r="AJ6985">
        <v>17.008289999999999</v>
      </c>
      <c r="AK6985">
        <v>70.996679999999998</v>
      </c>
    </row>
    <row r="6986" spans="1:37" x14ac:dyDescent="0.3">
      <c r="A6986">
        <v>6985</v>
      </c>
      <c r="B6986">
        <v>6.6</v>
      </c>
      <c r="C6986">
        <v>-4.1276999999999999</v>
      </c>
      <c r="D6986">
        <v>15.8993</v>
      </c>
      <c r="E6986">
        <f>-4.1277-15.8993</f>
        <v>-20.027000000000001</v>
      </c>
      <c r="F6986" t="s">
        <v>10429</v>
      </c>
      <c r="G6986" t="s">
        <v>39</v>
      </c>
      <c r="H6986">
        <v>1990</v>
      </c>
      <c r="I6986">
        <v>27.7</v>
      </c>
      <c r="J6986">
        <v>14.8</v>
      </c>
      <c r="K6986">
        <v>56</v>
      </c>
      <c r="L6986">
        <v>31.64</v>
      </c>
      <c r="M6986">
        <v>40.9</v>
      </c>
      <c r="N6986">
        <v>14.6</v>
      </c>
      <c r="O6986">
        <v>26.3</v>
      </c>
      <c r="P6986">
        <v>28.4</v>
      </c>
      <c r="Q6986">
        <v>24.5</v>
      </c>
      <c r="R6986">
        <v>31.5</v>
      </c>
      <c r="S6986">
        <v>23</v>
      </c>
      <c r="T6986">
        <v>290</v>
      </c>
      <c r="U6986">
        <v>120</v>
      </c>
      <c r="V6986">
        <v>0</v>
      </c>
      <c r="W6986">
        <v>149</v>
      </c>
      <c r="X6986">
        <v>250</v>
      </c>
      <c r="Y6986">
        <v>0</v>
      </c>
      <c r="Z6986">
        <v>33</v>
      </c>
      <c r="AA6986">
        <v>0</v>
      </c>
      <c r="AB6986">
        <v>3.3880970000000001</v>
      </c>
      <c r="AC6986">
        <v>1.0719670000000001E-2</v>
      </c>
      <c r="AD6986">
        <v>2.043307</v>
      </c>
      <c r="AE6986">
        <v>0.18738659999999999</v>
      </c>
      <c r="AF6986">
        <v>263.255</v>
      </c>
      <c r="AG6986">
        <f>IFERROR(AH6986*0.1, "N/A")</f>
        <v>7.1531459999999996</v>
      </c>
      <c r="AH6986">
        <v>71.531459999999996</v>
      </c>
      <c r="AI6986">
        <v>196.27330000000001</v>
      </c>
      <c r="AJ6986">
        <v>28.405629999999999</v>
      </c>
      <c r="AK6986">
        <v>53.125830000000001</v>
      </c>
    </row>
    <row r="6987" spans="1:37" x14ac:dyDescent="0.3">
      <c r="A6987">
        <v>6986</v>
      </c>
      <c r="B6987">
        <v>0</v>
      </c>
      <c r="C6987">
        <v>-4.1276999999999999</v>
      </c>
      <c r="D6987">
        <v>15.8993</v>
      </c>
      <c r="E6987">
        <f>-4.1277-15.8993</f>
        <v>-20.027000000000001</v>
      </c>
      <c r="F6987" t="s">
        <v>10430</v>
      </c>
      <c r="G6987" t="s">
        <v>37</v>
      </c>
      <c r="H6987">
        <v>1990</v>
      </c>
      <c r="I6987">
        <v>27.7</v>
      </c>
      <c r="J6987">
        <v>14.8</v>
      </c>
      <c r="K6987">
        <v>56</v>
      </c>
      <c r="L6987">
        <v>31.64</v>
      </c>
      <c r="M6987">
        <v>40.9</v>
      </c>
      <c r="N6987">
        <v>14.6</v>
      </c>
      <c r="O6987">
        <v>26.3</v>
      </c>
      <c r="P6987">
        <v>28.4</v>
      </c>
      <c r="Q6987">
        <v>24.5</v>
      </c>
      <c r="R6987">
        <v>31.5</v>
      </c>
      <c r="S6987">
        <v>23</v>
      </c>
      <c r="T6987">
        <v>290</v>
      </c>
      <c r="U6987">
        <v>120</v>
      </c>
      <c r="V6987">
        <v>0</v>
      </c>
      <c r="W6987">
        <v>149</v>
      </c>
      <c r="X6987">
        <v>250</v>
      </c>
      <c r="Y6987">
        <v>0</v>
      </c>
      <c r="Z6987">
        <v>33</v>
      </c>
      <c r="AA6987">
        <v>0</v>
      </c>
      <c r="AB6987">
        <v>3.3880970000000001</v>
      </c>
      <c r="AC6987">
        <v>1.0719670000000001E-2</v>
      </c>
      <c r="AD6987">
        <v>2.043307</v>
      </c>
      <c r="AE6987">
        <v>0.18738659999999999</v>
      </c>
      <c r="AF6987">
        <v>263.255</v>
      </c>
      <c r="AG6987">
        <f>IFERROR(AH6987*0.1, "N/A")</f>
        <v>7.1531459999999996</v>
      </c>
      <c r="AH6987">
        <v>71.531459999999996</v>
      </c>
      <c r="AI6987">
        <v>196.27330000000001</v>
      </c>
      <c r="AJ6987">
        <v>28.405629999999999</v>
      </c>
      <c r="AK6987">
        <v>53.125830000000001</v>
      </c>
    </row>
    <row r="6988" spans="1:37" x14ac:dyDescent="0.3">
      <c r="A6988">
        <v>6987</v>
      </c>
      <c r="B6988">
        <v>54.5</v>
      </c>
      <c r="C6988">
        <v>2.4022000000000001</v>
      </c>
      <c r="D6988">
        <v>15.918200000000001</v>
      </c>
      <c r="E6988" t="s">
        <v>10431</v>
      </c>
      <c r="F6988" t="s">
        <v>10432</v>
      </c>
      <c r="G6988" t="s">
        <v>39</v>
      </c>
      <c r="H6988">
        <v>1990</v>
      </c>
      <c r="I6988">
        <v>29.9</v>
      </c>
      <c r="J6988">
        <v>14.8</v>
      </c>
      <c r="K6988">
        <v>54</v>
      </c>
      <c r="L6988">
        <v>37.86</v>
      </c>
      <c r="M6988">
        <v>42.2</v>
      </c>
      <c r="N6988">
        <v>14.9</v>
      </c>
      <c r="O6988">
        <v>27.3</v>
      </c>
      <c r="P6988">
        <v>31.5</v>
      </c>
      <c r="Q6988">
        <v>24.8</v>
      </c>
      <c r="R6988">
        <v>34.200000000000003</v>
      </c>
      <c r="S6988">
        <v>24.4</v>
      </c>
      <c r="T6988">
        <v>238</v>
      </c>
      <c r="U6988">
        <v>95</v>
      </c>
      <c r="V6988">
        <v>0</v>
      </c>
      <c r="W6988">
        <v>155</v>
      </c>
      <c r="X6988">
        <v>203</v>
      </c>
      <c r="Y6988">
        <v>0</v>
      </c>
      <c r="Z6988">
        <v>30</v>
      </c>
      <c r="AA6988">
        <v>0</v>
      </c>
      <c r="AB6988">
        <v>5.8709629999999997</v>
      </c>
      <c r="AC6988">
        <v>1.100047E-2</v>
      </c>
      <c r="AD6988">
        <v>1.962307</v>
      </c>
      <c r="AE6988">
        <v>0.26224160000000002</v>
      </c>
      <c r="AF6988">
        <v>274.87650000000002</v>
      </c>
      <c r="AG6988">
        <f>IFERROR(AH6988*0.1, "N/A")</f>
        <v>7.5609350000000006</v>
      </c>
      <c r="AH6988">
        <v>75.609350000000006</v>
      </c>
      <c r="AI6988">
        <v>71.842609999999993</v>
      </c>
      <c r="AJ6988">
        <v>20.472449999999998</v>
      </c>
      <c r="AK6988">
        <v>61.996659999999999</v>
      </c>
    </row>
    <row r="6989" spans="1:37" x14ac:dyDescent="0.3">
      <c r="A6989">
        <v>6988</v>
      </c>
      <c r="B6989">
        <v>0</v>
      </c>
      <c r="C6989">
        <v>2.4022000000000001</v>
      </c>
      <c r="D6989">
        <v>15.918200000000001</v>
      </c>
      <c r="E6989" t="s">
        <v>10431</v>
      </c>
      <c r="F6989" t="s">
        <v>10433</v>
      </c>
      <c r="G6989" t="s">
        <v>37</v>
      </c>
      <c r="H6989">
        <v>1990</v>
      </c>
      <c r="I6989">
        <v>29.9</v>
      </c>
      <c r="J6989">
        <v>14.8</v>
      </c>
      <c r="K6989">
        <v>54</v>
      </c>
      <c r="L6989">
        <v>37.86</v>
      </c>
      <c r="M6989">
        <v>42.2</v>
      </c>
      <c r="N6989">
        <v>14.9</v>
      </c>
      <c r="O6989">
        <v>27.3</v>
      </c>
      <c r="P6989">
        <v>31.5</v>
      </c>
      <c r="Q6989">
        <v>24.8</v>
      </c>
      <c r="R6989">
        <v>34.200000000000003</v>
      </c>
      <c r="S6989">
        <v>24.4</v>
      </c>
      <c r="T6989">
        <v>238</v>
      </c>
      <c r="U6989">
        <v>95</v>
      </c>
      <c r="V6989">
        <v>0</v>
      </c>
      <c r="W6989">
        <v>155</v>
      </c>
      <c r="X6989">
        <v>203</v>
      </c>
      <c r="Y6989">
        <v>0</v>
      </c>
      <c r="Z6989">
        <v>30</v>
      </c>
      <c r="AA6989">
        <v>0</v>
      </c>
      <c r="AB6989">
        <v>5.8709629999999997</v>
      </c>
      <c r="AC6989">
        <v>1.100047E-2</v>
      </c>
      <c r="AD6989">
        <v>1.962307</v>
      </c>
      <c r="AE6989">
        <v>0.26224160000000002</v>
      </c>
      <c r="AF6989">
        <v>274.87650000000002</v>
      </c>
      <c r="AG6989">
        <f>IFERROR(AH6989*0.1, "N/A")</f>
        <v>7.5609350000000006</v>
      </c>
      <c r="AH6989">
        <v>75.609350000000006</v>
      </c>
      <c r="AI6989">
        <v>71.842609999999993</v>
      </c>
      <c r="AJ6989">
        <v>20.472449999999998</v>
      </c>
      <c r="AK6989">
        <v>61.996659999999999</v>
      </c>
    </row>
    <row r="6990" spans="1:37" x14ac:dyDescent="0.3">
      <c r="A6990">
        <v>6989</v>
      </c>
      <c r="B6990">
        <v>0</v>
      </c>
      <c r="C6990">
        <v>-3.9906000000000001</v>
      </c>
      <c r="D6990">
        <v>15.9322</v>
      </c>
      <c r="E6990">
        <f>-3.9906-15.9322</f>
        <v>-19.922799999999999</v>
      </c>
      <c r="F6990" t="s">
        <v>10434</v>
      </c>
      <c r="G6990" t="s">
        <v>39</v>
      </c>
      <c r="H6990">
        <v>1987</v>
      </c>
      <c r="I6990">
        <v>27.7</v>
      </c>
      <c r="J6990">
        <v>14.8</v>
      </c>
      <c r="K6990">
        <v>56</v>
      </c>
      <c r="L6990">
        <v>31.83</v>
      </c>
      <c r="M6990">
        <v>41</v>
      </c>
      <c r="N6990">
        <v>14.6</v>
      </c>
      <c r="O6990">
        <v>26.4</v>
      </c>
      <c r="P6990">
        <v>28.4</v>
      </c>
      <c r="Q6990">
        <v>24.7</v>
      </c>
      <c r="R6990">
        <v>31.6</v>
      </c>
      <c r="S6990">
        <v>23.1</v>
      </c>
      <c r="T6990">
        <v>284</v>
      </c>
      <c r="U6990">
        <v>119</v>
      </c>
      <c r="V6990">
        <v>0</v>
      </c>
      <c r="W6990">
        <v>152</v>
      </c>
      <c r="X6990">
        <v>243</v>
      </c>
      <c r="Y6990">
        <v>0</v>
      </c>
      <c r="Z6990">
        <v>35</v>
      </c>
      <c r="AA6990">
        <v>0</v>
      </c>
      <c r="AB6990">
        <v>6.2696500000000004</v>
      </c>
      <c r="AC6990">
        <v>2.368139E-2</v>
      </c>
      <c r="AD6990">
        <v>1.620047</v>
      </c>
      <c r="AE6990">
        <v>0.404553</v>
      </c>
      <c r="AF6990">
        <v>268.00170000000003</v>
      </c>
      <c r="AG6990">
        <f>IFERROR(AH6990*0.1, "N/A")</f>
        <v>6.9034830000000005</v>
      </c>
      <c r="AH6990">
        <v>69.034829999999999</v>
      </c>
      <c r="AI6990">
        <v>277.75799999999998</v>
      </c>
      <c r="AJ6990">
        <v>20.741289999999999</v>
      </c>
      <c r="AK6990">
        <v>62.517409999999998</v>
      </c>
    </row>
    <row r="6991" spans="1:37" x14ac:dyDescent="0.3">
      <c r="A6991">
        <v>6990</v>
      </c>
      <c r="B6991">
        <v>1.4</v>
      </c>
      <c r="C6991">
        <v>-3.9906000000000001</v>
      </c>
      <c r="D6991">
        <v>15.9322</v>
      </c>
      <c r="E6991">
        <f>-3.9906-15.9322</f>
        <v>-19.922799999999999</v>
      </c>
      <c r="F6991" t="s">
        <v>10435</v>
      </c>
      <c r="G6991" t="s">
        <v>37</v>
      </c>
      <c r="H6991">
        <v>1990</v>
      </c>
      <c r="I6991">
        <v>27.7</v>
      </c>
      <c r="J6991">
        <v>14.8</v>
      </c>
      <c r="K6991">
        <v>56</v>
      </c>
      <c r="L6991">
        <v>31.83</v>
      </c>
      <c r="M6991">
        <v>41</v>
      </c>
      <c r="N6991">
        <v>14.6</v>
      </c>
      <c r="O6991">
        <v>26.4</v>
      </c>
      <c r="P6991">
        <v>28.4</v>
      </c>
      <c r="Q6991">
        <v>24.7</v>
      </c>
      <c r="R6991">
        <v>31.6</v>
      </c>
      <c r="S6991">
        <v>23.1</v>
      </c>
      <c r="T6991">
        <v>284</v>
      </c>
      <c r="U6991">
        <v>119</v>
      </c>
      <c r="V6991">
        <v>0</v>
      </c>
      <c r="W6991">
        <v>152</v>
      </c>
      <c r="X6991">
        <v>243</v>
      </c>
      <c r="Y6991">
        <v>0</v>
      </c>
      <c r="Z6991">
        <v>35</v>
      </c>
      <c r="AA6991">
        <v>0</v>
      </c>
      <c r="AB6991">
        <v>6.2696500000000004</v>
      </c>
      <c r="AC6991">
        <v>2.368139E-2</v>
      </c>
      <c r="AD6991">
        <v>1.620047</v>
      </c>
      <c r="AE6991">
        <v>0.404553</v>
      </c>
      <c r="AF6991">
        <v>268.00170000000003</v>
      </c>
      <c r="AG6991">
        <f>IFERROR(AH6991*0.1, "N/A")</f>
        <v>6.9034830000000005</v>
      </c>
      <c r="AH6991">
        <v>69.034829999999999</v>
      </c>
      <c r="AI6991">
        <v>277.75799999999998</v>
      </c>
      <c r="AJ6991">
        <v>20.741289999999999</v>
      </c>
      <c r="AK6991">
        <v>62.517409999999998</v>
      </c>
    </row>
    <row r="6992" spans="1:37" x14ac:dyDescent="0.3">
      <c r="A6992">
        <v>6991</v>
      </c>
      <c r="B6992">
        <v>1</v>
      </c>
      <c r="C6992">
        <v>-4.0464000000000002</v>
      </c>
      <c r="D6992">
        <v>15.9694</v>
      </c>
      <c r="E6992">
        <f>-4.0464-15.9694</f>
        <v>-20.015799999999999</v>
      </c>
      <c r="F6992" t="s">
        <v>10436</v>
      </c>
      <c r="G6992" t="s">
        <v>39</v>
      </c>
      <c r="H6992">
        <v>1990</v>
      </c>
      <c r="I6992">
        <v>27.7</v>
      </c>
      <c r="J6992">
        <v>14.8</v>
      </c>
      <c r="K6992">
        <v>56</v>
      </c>
      <c r="L6992">
        <v>31.85</v>
      </c>
      <c r="M6992">
        <v>40.9</v>
      </c>
      <c r="N6992">
        <v>14.5</v>
      </c>
      <c r="O6992">
        <v>26.4</v>
      </c>
      <c r="P6992">
        <v>28.5</v>
      </c>
      <c r="Q6992">
        <v>24.6</v>
      </c>
      <c r="R6992">
        <v>31.5</v>
      </c>
      <c r="S6992">
        <v>23</v>
      </c>
      <c r="T6992">
        <v>282</v>
      </c>
      <c r="U6992">
        <v>117</v>
      </c>
      <c r="V6992">
        <v>0</v>
      </c>
      <c r="W6992">
        <v>151</v>
      </c>
      <c r="X6992">
        <v>243</v>
      </c>
      <c r="Y6992">
        <v>0</v>
      </c>
      <c r="Z6992">
        <v>33</v>
      </c>
      <c r="AA6992">
        <v>0</v>
      </c>
      <c r="AB6992">
        <v>2.100336</v>
      </c>
      <c r="AC6992">
        <v>0.1243783</v>
      </c>
      <c r="AD6992">
        <v>1.7475909999999999</v>
      </c>
      <c r="AE6992">
        <v>0.2081905</v>
      </c>
      <c r="AF6992">
        <v>267.62</v>
      </c>
      <c r="AG6992">
        <f>IFERROR(AH6992*0.1, "N/A")</f>
        <v>7.3796670000000013</v>
      </c>
      <c r="AH6992">
        <v>73.796670000000006</v>
      </c>
      <c r="AI6992">
        <v>188.49189999999999</v>
      </c>
      <c r="AJ6992">
        <v>2.2200000000000002</v>
      </c>
      <c r="AK6992">
        <v>91.373329999999996</v>
      </c>
    </row>
    <row r="6993" spans="1:37" x14ac:dyDescent="0.3">
      <c r="A6993">
        <v>6992</v>
      </c>
      <c r="B6993">
        <v>0</v>
      </c>
      <c r="C6993">
        <v>-4.0464000000000002</v>
      </c>
      <c r="D6993">
        <v>15.9694</v>
      </c>
      <c r="E6993">
        <f>-4.0464-15.9694</f>
        <v>-20.015799999999999</v>
      </c>
      <c r="F6993" t="s">
        <v>10437</v>
      </c>
      <c r="G6993" t="s">
        <v>37</v>
      </c>
      <c r="H6993">
        <v>1990</v>
      </c>
      <c r="I6993">
        <v>27.7</v>
      </c>
      <c r="J6993">
        <v>14.8</v>
      </c>
      <c r="K6993">
        <v>56</v>
      </c>
      <c r="L6993">
        <v>31.85</v>
      </c>
      <c r="M6993">
        <v>40.9</v>
      </c>
      <c r="N6993">
        <v>14.5</v>
      </c>
      <c r="O6993">
        <v>26.4</v>
      </c>
      <c r="P6993">
        <v>28.5</v>
      </c>
      <c r="Q6993">
        <v>24.6</v>
      </c>
      <c r="R6993">
        <v>31.5</v>
      </c>
      <c r="S6993">
        <v>23</v>
      </c>
      <c r="T6993">
        <v>282</v>
      </c>
      <c r="U6993">
        <v>117</v>
      </c>
      <c r="V6993">
        <v>0</v>
      </c>
      <c r="W6993">
        <v>151</v>
      </c>
      <c r="X6993">
        <v>243</v>
      </c>
      <c r="Y6993">
        <v>0</v>
      </c>
      <c r="Z6993">
        <v>33</v>
      </c>
      <c r="AA6993">
        <v>0</v>
      </c>
      <c r="AB6993">
        <v>2.100336</v>
      </c>
      <c r="AC6993">
        <v>0.1243783</v>
      </c>
      <c r="AD6993">
        <v>1.7475909999999999</v>
      </c>
      <c r="AE6993">
        <v>0.2081905</v>
      </c>
      <c r="AF6993">
        <v>267.62</v>
      </c>
      <c r="AG6993">
        <f>IFERROR(AH6993*0.1, "N/A")</f>
        <v>7.3796670000000013</v>
      </c>
      <c r="AH6993">
        <v>73.796670000000006</v>
      </c>
      <c r="AI6993">
        <v>188.49189999999999</v>
      </c>
      <c r="AJ6993">
        <v>2.2200000000000002</v>
      </c>
      <c r="AK6993">
        <v>91.373329999999996</v>
      </c>
    </row>
    <row r="6994" spans="1:37" x14ac:dyDescent="0.3">
      <c r="A6994">
        <v>6993</v>
      </c>
      <c r="B6994">
        <v>17.2</v>
      </c>
      <c r="C6994">
        <v>-3.8066900000000001</v>
      </c>
      <c r="D6994">
        <v>15.9838</v>
      </c>
      <c r="E6994">
        <f>-3.80669-15.9838</f>
        <v>-19.790490000000002</v>
      </c>
      <c r="F6994" t="s">
        <v>10438</v>
      </c>
      <c r="G6994" t="s">
        <v>39</v>
      </c>
      <c r="H6994">
        <v>1990</v>
      </c>
      <c r="I6994">
        <v>27.85774</v>
      </c>
      <c r="J6994">
        <v>14.8</v>
      </c>
      <c r="K6994">
        <v>55.422629999999998</v>
      </c>
      <c r="L6994">
        <v>32.184229999999999</v>
      </c>
      <c r="M6994">
        <v>40.957740000000001</v>
      </c>
      <c r="N6994">
        <v>14.5</v>
      </c>
      <c r="O6994">
        <v>26.457740000000001</v>
      </c>
      <c r="P6994">
        <v>28.65774</v>
      </c>
      <c r="Q6994">
        <v>24.7</v>
      </c>
      <c r="R6994">
        <v>31.7</v>
      </c>
      <c r="S6994">
        <v>23.1</v>
      </c>
      <c r="T6994">
        <v>264.42259999999999</v>
      </c>
      <c r="U6994">
        <v>111</v>
      </c>
      <c r="V6994">
        <v>0</v>
      </c>
      <c r="W6994">
        <v>148.42259999999999</v>
      </c>
      <c r="X6994">
        <v>228.42259999999999</v>
      </c>
      <c r="Y6994">
        <v>0</v>
      </c>
      <c r="Z6994">
        <v>30</v>
      </c>
      <c r="AA6994">
        <v>0</v>
      </c>
      <c r="AB6994">
        <v>5.3818520000000003</v>
      </c>
      <c r="AC6994">
        <v>1.2889660000000001E-2</v>
      </c>
      <c r="AD6994">
        <v>1.8604179999999999</v>
      </c>
      <c r="AE6994">
        <v>0.40250279999999999</v>
      </c>
      <c r="AF6994">
        <v>267.92180000000002</v>
      </c>
      <c r="AG6994">
        <f>IFERROR(AH6994*0.1, "N/A")</f>
        <v>7.5985020000000008</v>
      </c>
      <c r="AH6994">
        <v>75.985020000000006</v>
      </c>
      <c r="AI6994">
        <v>245.21709999999999</v>
      </c>
      <c r="AJ6994">
        <v>12.785360000000001</v>
      </c>
      <c r="AK6994">
        <v>77.299499999999995</v>
      </c>
    </row>
    <row r="6995" spans="1:37" x14ac:dyDescent="0.3">
      <c r="A6995">
        <v>6994</v>
      </c>
      <c r="B6995">
        <v>0</v>
      </c>
      <c r="C6995">
        <v>-3.8066900000000001</v>
      </c>
      <c r="D6995">
        <v>15.9838</v>
      </c>
      <c r="E6995">
        <f>-3.80669-15.9838</f>
        <v>-19.790490000000002</v>
      </c>
      <c r="F6995" t="s">
        <v>10439</v>
      </c>
      <c r="G6995" t="s">
        <v>37</v>
      </c>
      <c r="H6995">
        <v>1990</v>
      </c>
      <c r="I6995">
        <v>27.85774</v>
      </c>
      <c r="J6995">
        <v>14.8</v>
      </c>
      <c r="K6995">
        <v>55.422629999999998</v>
      </c>
      <c r="L6995">
        <v>32.184229999999999</v>
      </c>
      <c r="M6995">
        <v>40.957740000000001</v>
      </c>
      <c r="N6995">
        <v>14.5</v>
      </c>
      <c r="O6995">
        <v>26.457740000000001</v>
      </c>
      <c r="P6995">
        <v>28.65774</v>
      </c>
      <c r="Q6995">
        <v>24.7</v>
      </c>
      <c r="R6995">
        <v>31.7</v>
      </c>
      <c r="S6995">
        <v>23.1</v>
      </c>
      <c r="T6995">
        <v>264.42259999999999</v>
      </c>
      <c r="U6995">
        <v>111</v>
      </c>
      <c r="V6995">
        <v>0</v>
      </c>
      <c r="W6995">
        <v>148.42259999999999</v>
      </c>
      <c r="X6995">
        <v>228.42259999999999</v>
      </c>
      <c r="Y6995">
        <v>0</v>
      </c>
      <c r="Z6995">
        <v>30</v>
      </c>
      <c r="AA6995">
        <v>0</v>
      </c>
      <c r="AB6995">
        <v>5.3818520000000003</v>
      </c>
      <c r="AC6995">
        <v>1.2889660000000001E-2</v>
      </c>
      <c r="AD6995">
        <v>1.8604179999999999</v>
      </c>
      <c r="AE6995">
        <v>0.40250279999999999</v>
      </c>
      <c r="AF6995">
        <v>267.92180000000002</v>
      </c>
      <c r="AG6995">
        <f>IFERROR(AH6995*0.1, "N/A")</f>
        <v>7.5985020000000008</v>
      </c>
      <c r="AH6995">
        <v>75.985020000000006</v>
      </c>
      <c r="AI6995">
        <v>245.21709999999999</v>
      </c>
      <c r="AJ6995">
        <v>12.785360000000001</v>
      </c>
      <c r="AK6995">
        <v>77.299499999999995</v>
      </c>
    </row>
    <row r="6996" spans="1:37" x14ac:dyDescent="0.3">
      <c r="A6996">
        <v>6995</v>
      </c>
      <c r="B6996">
        <v>3.3</v>
      </c>
      <c r="C6996">
        <v>-4.0305999999999997</v>
      </c>
      <c r="D6996">
        <v>16.072099999999999</v>
      </c>
      <c r="E6996">
        <f>-4.0306-16.0721</f>
        <v>-20.102699999999999</v>
      </c>
      <c r="F6996" t="s">
        <v>10440</v>
      </c>
      <c r="G6996" t="s">
        <v>39</v>
      </c>
      <c r="H6996">
        <v>1990</v>
      </c>
      <c r="I6996">
        <v>27.7</v>
      </c>
      <c r="J6996">
        <v>14.9</v>
      </c>
      <c r="K6996">
        <v>55</v>
      </c>
      <c r="L6996">
        <v>32.549999999999997</v>
      </c>
      <c r="M6996">
        <v>41</v>
      </c>
      <c r="N6996">
        <v>14.3</v>
      </c>
      <c r="O6996">
        <v>26.7</v>
      </c>
      <c r="P6996">
        <v>28.6</v>
      </c>
      <c r="Q6996">
        <v>24.5</v>
      </c>
      <c r="R6996">
        <v>31.6</v>
      </c>
      <c r="S6996">
        <v>23</v>
      </c>
      <c r="T6996">
        <v>264</v>
      </c>
      <c r="U6996">
        <v>109</v>
      </c>
      <c r="V6996">
        <v>0</v>
      </c>
      <c r="W6996">
        <v>148</v>
      </c>
      <c r="X6996">
        <v>229</v>
      </c>
      <c r="Y6996">
        <v>0</v>
      </c>
      <c r="Z6996">
        <v>30</v>
      </c>
      <c r="AA6996">
        <v>0</v>
      </c>
      <c r="AB6996">
        <v>3.02467</v>
      </c>
      <c r="AC6996">
        <v>0.6636841</v>
      </c>
      <c r="AD6996">
        <v>3.16438</v>
      </c>
      <c r="AE6996">
        <v>0.21207129999999999</v>
      </c>
      <c r="AF6996">
        <v>268.34109999999998</v>
      </c>
      <c r="AG6996">
        <f>IFERROR(AH6996*0.1, "N/A")</f>
        <v>7.5213579999999993</v>
      </c>
      <c r="AH6996">
        <v>75.213579999999993</v>
      </c>
      <c r="AI6996">
        <v>146.34819999999999</v>
      </c>
      <c r="AJ6996">
        <v>2.7864239999999998</v>
      </c>
      <c r="AK6996">
        <v>91.213579999999993</v>
      </c>
    </row>
    <row r="6997" spans="1:37" x14ac:dyDescent="0.3">
      <c r="A6997">
        <v>6996</v>
      </c>
      <c r="B6997">
        <v>0</v>
      </c>
      <c r="C6997">
        <v>-4.0305999999999997</v>
      </c>
      <c r="D6997">
        <v>16.072099999999999</v>
      </c>
      <c r="E6997">
        <f>-4.0306-16.0721</f>
        <v>-20.102699999999999</v>
      </c>
      <c r="F6997" t="s">
        <v>10441</v>
      </c>
      <c r="G6997" t="s">
        <v>37</v>
      </c>
      <c r="H6997">
        <v>1990</v>
      </c>
      <c r="I6997">
        <v>27.7</v>
      </c>
      <c r="J6997">
        <v>14.9</v>
      </c>
      <c r="K6997">
        <v>55</v>
      </c>
      <c r="L6997">
        <v>32.549999999999997</v>
      </c>
      <c r="M6997">
        <v>41</v>
      </c>
      <c r="N6997">
        <v>14.3</v>
      </c>
      <c r="O6997">
        <v>26.7</v>
      </c>
      <c r="P6997">
        <v>28.6</v>
      </c>
      <c r="Q6997">
        <v>24.5</v>
      </c>
      <c r="R6997">
        <v>31.6</v>
      </c>
      <c r="S6997">
        <v>23</v>
      </c>
      <c r="T6997">
        <v>264</v>
      </c>
      <c r="U6997">
        <v>109</v>
      </c>
      <c r="V6997">
        <v>0</v>
      </c>
      <c r="W6997">
        <v>148</v>
      </c>
      <c r="X6997">
        <v>229</v>
      </c>
      <c r="Y6997">
        <v>0</v>
      </c>
      <c r="Z6997">
        <v>30</v>
      </c>
      <c r="AA6997">
        <v>0</v>
      </c>
      <c r="AB6997">
        <v>3.02467</v>
      </c>
      <c r="AC6997">
        <v>0.6636841</v>
      </c>
      <c r="AD6997">
        <v>3.16438</v>
      </c>
      <c r="AE6997">
        <v>0.21207129999999999</v>
      </c>
      <c r="AF6997">
        <v>268.34109999999998</v>
      </c>
      <c r="AG6997">
        <f>IFERROR(AH6997*0.1, "N/A")</f>
        <v>7.5213579999999993</v>
      </c>
      <c r="AH6997">
        <v>75.213579999999993</v>
      </c>
      <c r="AI6997">
        <v>146.34819999999999</v>
      </c>
      <c r="AJ6997">
        <v>2.7864239999999998</v>
      </c>
      <c r="AK6997">
        <v>91.213579999999993</v>
      </c>
    </row>
    <row r="6998" spans="1:37" x14ac:dyDescent="0.3">
      <c r="A6998">
        <v>6997</v>
      </c>
      <c r="B6998">
        <v>21.4</v>
      </c>
      <c r="C6998">
        <v>-3.75</v>
      </c>
      <c r="D6998">
        <v>16.133299999999998</v>
      </c>
      <c r="E6998">
        <f>-3.75-16.133301</f>
        <v>-19.883300999999999</v>
      </c>
      <c r="F6998" t="s">
        <v>10442</v>
      </c>
      <c r="G6998" t="s">
        <v>39</v>
      </c>
      <c r="H6998">
        <v>1990</v>
      </c>
      <c r="I6998">
        <v>28</v>
      </c>
      <c r="J6998">
        <v>15</v>
      </c>
      <c r="K6998">
        <v>55</v>
      </c>
      <c r="L6998">
        <v>33.819339999999997</v>
      </c>
      <c r="M6998">
        <v>41.2</v>
      </c>
      <c r="N6998">
        <v>14.267049999999999</v>
      </c>
      <c r="O6998">
        <v>26.932950000000002</v>
      </c>
      <c r="P6998">
        <v>28.985099999999999</v>
      </c>
      <c r="Q6998">
        <v>24.651489999999999</v>
      </c>
      <c r="R6998">
        <v>32</v>
      </c>
      <c r="S6998">
        <v>22.984439999999999</v>
      </c>
      <c r="T6998">
        <v>232.6705</v>
      </c>
      <c r="U6998">
        <v>100.6705</v>
      </c>
      <c r="V6998">
        <v>0</v>
      </c>
      <c r="W6998">
        <v>152.34110000000001</v>
      </c>
      <c r="X6998">
        <v>201.6705</v>
      </c>
      <c r="Y6998">
        <v>0</v>
      </c>
      <c r="Z6998">
        <v>25</v>
      </c>
      <c r="AA6998">
        <v>1</v>
      </c>
      <c r="AB6998">
        <v>2.8076189999999999</v>
      </c>
      <c r="AC6998">
        <v>1.646243E-2</v>
      </c>
      <c r="AD6998">
        <v>0.80004830000000005</v>
      </c>
      <c r="AE6998">
        <v>0.3097318</v>
      </c>
      <c r="AF6998">
        <v>264.11090000000002</v>
      </c>
      <c r="AG6998">
        <f>IFERROR(AH6998*0.1, "N/A")</f>
        <v>7.4998339999999999</v>
      </c>
      <c r="AH6998">
        <v>74.998339999999999</v>
      </c>
      <c r="AI6998">
        <v>226.49209999999999</v>
      </c>
      <c r="AJ6998">
        <v>25.135760000000001</v>
      </c>
      <c r="AK6998">
        <v>56.481789999999997</v>
      </c>
    </row>
    <row r="6999" spans="1:37" x14ac:dyDescent="0.3">
      <c r="A6999">
        <v>6998</v>
      </c>
      <c r="B6999">
        <v>0</v>
      </c>
      <c r="C6999">
        <v>-3.75</v>
      </c>
      <c r="D6999">
        <v>16.133299999999998</v>
      </c>
      <c r="E6999">
        <f>-3.75-16.133301</f>
        <v>-19.883300999999999</v>
      </c>
      <c r="F6999" t="s">
        <v>10443</v>
      </c>
      <c r="G6999" t="s">
        <v>37</v>
      </c>
      <c r="H6999">
        <v>1990</v>
      </c>
      <c r="I6999">
        <v>28</v>
      </c>
      <c r="J6999">
        <v>15</v>
      </c>
      <c r="K6999">
        <v>55</v>
      </c>
      <c r="L6999">
        <v>33.819339999999997</v>
      </c>
      <c r="M6999">
        <v>41.2</v>
      </c>
      <c r="N6999">
        <v>14.267049999999999</v>
      </c>
      <c r="O6999">
        <v>26.932950000000002</v>
      </c>
      <c r="P6999">
        <v>28.985099999999999</v>
      </c>
      <c r="Q6999">
        <v>24.651489999999999</v>
      </c>
      <c r="R6999">
        <v>32</v>
      </c>
      <c r="S6999">
        <v>22.984439999999999</v>
      </c>
      <c r="T6999">
        <v>232.6705</v>
      </c>
      <c r="U6999">
        <v>100.6705</v>
      </c>
      <c r="V6999">
        <v>0</v>
      </c>
      <c r="W6999">
        <v>152.34110000000001</v>
      </c>
      <c r="X6999">
        <v>201.6705</v>
      </c>
      <c r="Y6999">
        <v>0</v>
      </c>
      <c r="Z6999">
        <v>25</v>
      </c>
      <c r="AA6999">
        <v>1</v>
      </c>
      <c r="AB6999">
        <v>2.8076189999999999</v>
      </c>
      <c r="AC6999">
        <v>1.646243E-2</v>
      </c>
      <c r="AD6999">
        <v>0.80004830000000005</v>
      </c>
      <c r="AE6999">
        <v>0.3097318</v>
      </c>
      <c r="AF6999">
        <v>264.11090000000002</v>
      </c>
      <c r="AG6999">
        <f>IFERROR(AH6999*0.1, "N/A")</f>
        <v>7.4998339999999999</v>
      </c>
      <c r="AH6999">
        <v>74.998339999999999</v>
      </c>
      <c r="AI6999">
        <v>226.49209999999999</v>
      </c>
      <c r="AJ6999">
        <v>25.135760000000001</v>
      </c>
      <c r="AK6999">
        <v>56.481789999999997</v>
      </c>
    </row>
    <row r="7000" spans="1:37" x14ac:dyDescent="0.3">
      <c r="A7000">
        <v>6999</v>
      </c>
      <c r="B7000">
        <v>20</v>
      </c>
      <c r="C7000">
        <v>-3.7480000000000002</v>
      </c>
      <c r="D7000">
        <v>16.134</v>
      </c>
      <c r="E7000">
        <f>-3.748-16.134001</f>
        <v>-19.882001000000002</v>
      </c>
      <c r="F7000" t="s">
        <v>10444</v>
      </c>
      <c r="G7000" t="s">
        <v>39</v>
      </c>
      <c r="H7000">
        <v>1987</v>
      </c>
      <c r="I7000">
        <v>28</v>
      </c>
      <c r="J7000">
        <v>15</v>
      </c>
      <c r="K7000">
        <v>55</v>
      </c>
      <c r="L7000">
        <v>33.911059999999999</v>
      </c>
      <c r="M7000">
        <v>41.2</v>
      </c>
      <c r="N7000">
        <v>14.2</v>
      </c>
      <c r="O7000">
        <v>27</v>
      </c>
      <c r="P7000">
        <v>28.972190000000001</v>
      </c>
      <c r="Q7000">
        <v>24.6</v>
      </c>
      <c r="R7000">
        <v>32</v>
      </c>
      <c r="S7000">
        <v>23</v>
      </c>
      <c r="T7000">
        <v>232</v>
      </c>
      <c r="U7000">
        <v>100</v>
      </c>
      <c r="V7000">
        <v>0</v>
      </c>
      <c r="W7000">
        <v>151</v>
      </c>
      <c r="X7000">
        <v>201</v>
      </c>
      <c r="Y7000">
        <v>0</v>
      </c>
      <c r="Z7000">
        <v>25</v>
      </c>
      <c r="AA7000">
        <v>1</v>
      </c>
      <c r="AB7000">
        <v>2.3116059999999998</v>
      </c>
      <c r="AC7000">
        <v>1.093861E-2</v>
      </c>
      <c r="AD7000">
        <v>1.1918500000000001</v>
      </c>
      <c r="AE7000">
        <v>0.2999058</v>
      </c>
      <c r="AF7000">
        <v>263.48509999999999</v>
      </c>
      <c r="AG7000">
        <f>IFERROR(AH7000*0.1, "N/A")</f>
        <v>7.4763250000000001</v>
      </c>
      <c r="AH7000">
        <v>74.763249999999999</v>
      </c>
      <c r="AI7000">
        <v>195.43289999999999</v>
      </c>
      <c r="AJ7000">
        <v>24.311260000000001</v>
      </c>
      <c r="AK7000">
        <v>58.447020000000002</v>
      </c>
    </row>
    <row r="7001" spans="1:37" x14ac:dyDescent="0.3">
      <c r="A7001">
        <v>7000</v>
      </c>
      <c r="B7001">
        <v>0</v>
      </c>
      <c r="C7001">
        <v>-3.7480000000000002</v>
      </c>
      <c r="D7001">
        <v>16.134</v>
      </c>
      <c r="E7001">
        <f>-3.748-16.134001</f>
        <v>-19.882001000000002</v>
      </c>
      <c r="F7001" t="s">
        <v>10445</v>
      </c>
      <c r="G7001" t="s">
        <v>37</v>
      </c>
      <c r="H7001">
        <v>1987</v>
      </c>
      <c r="I7001">
        <v>28</v>
      </c>
      <c r="J7001">
        <v>15</v>
      </c>
      <c r="K7001">
        <v>55</v>
      </c>
      <c r="L7001">
        <v>33.911059999999999</v>
      </c>
      <c r="M7001">
        <v>41.2</v>
      </c>
      <c r="N7001">
        <v>14.2</v>
      </c>
      <c r="O7001">
        <v>27</v>
      </c>
      <c r="P7001">
        <v>28.972190000000001</v>
      </c>
      <c r="Q7001">
        <v>24.6</v>
      </c>
      <c r="R7001">
        <v>32</v>
      </c>
      <c r="S7001">
        <v>23</v>
      </c>
      <c r="T7001">
        <v>232</v>
      </c>
      <c r="U7001">
        <v>100</v>
      </c>
      <c r="V7001">
        <v>0</v>
      </c>
      <c r="W7001">
        <v>151</v>
      </c>
      <c r="X7001">
        <v>201</v>
      </c>
      <c r="Y7001">
        <v>0</v>
      </c>
      <c r="Z7001">
        <v>25</v>
      </c>
      <c r="AA7001">
        <v>1</v>
      </c>
      <c r="AB7001">
        <v>2.3116059999999998</v>
      </c>
      <c r="AC7001">
        <v>1.093861E-2</v>
      </c>
      <c r="AD7001">
        <v>1.1918500000000001</v>
      </c>
      <c r="AE7001">
        <v>0.2999058</v>
      </c>
      <c r="AF7001">
        <v>263.48509999999999</v>
      </c>
      <c r="AG7001">
        <f>IFERROR(AH7001*0.1, "N/A")</f>
        <v>7.4763250000000001</v>
      </c>
      <c r="AH7001">
        <v>74.763249999999999</v>
      </c>
      <c r="AI7001">
        <v>195.43289999999999</v>
      </c>
      <c r="AJ7001">
        <v>24.311260000000001</v>
      </c>
      <c r="AK7001">
        <v>58.447020000000002</v>
      </c>
    </row>
    <row r="7002" spans="1:37" x14ac:dyDescent="0.3">
      <c r="A7002">
        <v>7001</v>
      </c>
      <c r="B7002">
        <v>23</v>
      </c>
      <c r="C7002">
        <v>-3.8370000000000002</v>
      </c>
      <c r="D7002">
        <v>16.16</v>
      </c>
      <c r="E7002">
        <f>-3.837-16.16</f>
        <v>-19.997</v>
      </c>
      <c r="F7002" t="s">
        <v>10446</v>
      </c>
      <c r="G7002" t="s">
        <v>39</v>
      </c>
      <c r="H7002">
        <v>1987</v>
      </c>
      <c r="I7002">
        <v>28</v>
      </c>
      <c r="J7002">
        <v>15</v>
      </c>
      <c r="K7002">
        <v>55</v>
      </c>
      <c r="L7002">
        <v>33.659999999999997</v>
      </c>
      <c r="M7002">
        <v>41.1</v>
      </c>
      <c r="N7002">
        <v>14.2</v>
      </c>
      <c r="O7002">
        <v>26.9</v>
      </c>
      <c r="P7002">
        <v>29</v>
      </c>
      <c r="Q7002">
        <v>24.6</v>
      </c>
      <c r="R7002">
        <v>31.9</v>
      </c>
      <c r="S7002">
        <v>23</v>
      </c>
      <c r="T7002">
        <v>234</v>
      </c>
      <c r="U7002">
        <v>99</v>
      </c>
      <c r="V7002">
        <v>0</v>
      </c>
      <c r="W7002">
        <v>152</v>
      </c>
      <c r="X7002">
        <v>203</v>
      </c>
      <c r="Y7002">
        <v>0</v>
      </c>
      <c r="Z7002">
        <v>26</v>
      </c>
      <c r="AA7002">
        <v>0</v>
      </c>
      <c r="AB7002">
        <v>2.4227240000000001</v>
      </c>
      <c r="AC7002">
        <v>2.4186309999999999E-2</v>
      </c>
      <c r="AD7002">
        <v>1.4212659999999999</v>
      </c>
      <c r="AE7002">
        <v>0.56525760000000003</v>
      </c>
      <c r="AF7002">
        <v>262</v>
      </c>
      <c r="AG7002">
        <f>IFERROR(AH7002*0.1, "N/A")</f>
        <v>7.4563850000000009</v>
      </c>
      <c r="AH7002">
        <v>74.563850000000002</v>
      </c>
      <c r="AI7002">
        <v>114.2153</v>
      </c>
      <c r="AJ7002">
        <v>6.2354890000000003</v>
      </c>
      <c r="AK7002">
        <v>83.587059999999994</v>
      </c>
    </row>
    <row r="7003" spans="1:37" x14ac:dyDescent="0.3">
      <c r="A7003">
        <v>7002</v>
      </c>
      <c r="B7003">
        <v>21.1</v>
      </c>
      <c r="C7003">
        <v>-3.8333300000000001</v>
      </c>
      <c r="D7003">
        <v>16.166699999999999</v>
      </c>
      <c r="E7003">
        <f>-3.83333-16.1667</f>
        <v>-20.000029999999999</v>
      </c>
      <c r="F7003" t="s">
        <v>10447</v>
      </c>
      <c r="G7003" t="s">
        <v>39</v>
      </c>
      <c r="H7003">
        <v>1990</v>
      </c>
      <c r="I7003">
        <v>28</v>
      </c>
      <c r="J7003">
        <v>15</v>
      </c>
      <c r="K7003">
        <v>55</v>
      </c>
      <c r="L7003">
        <v>33.872979999999998</v>
      </c>
      <c r="M7003">
        <v>41.151580000000003</v>
      </c>
      <c r="N7003">
        <v>14.2</v>
      </c>
      <c r="O7003">
        <v>26.95158</v>
      </c>
      <c r="P7003">
        <v>29.018470000000001</v>
      </c>
      <c r="Q7003">
        <v>24.6</v>
      </c>
      <c r="R7003">
        <v>31.95158</v>
      </c>
      <c r="S7003">
        <v>22.976870000000002</v>
      </c>
      <c r="T7003">
        <v>233.51580000000001</v>
      </c>
      <c r="U7003">
        <v>98.715469999999996</v>
      </c>
      <c r="V7003">
        <v>0</v>
      </c>
      <c r="W7003">
        <v>151.6156</v>
      </c>
      <c r="X7003">
        <v>202.51580000000001</v>
      </c>
      <c r="Y7003">
        <v>0</v>
      </c>
      <c r="Z7003">
        <v>26</v>
      </c>
      <c r="AA7003">
        <v>0</v>
      </c>
      <c r="AB7003">
        <v>3.9169559999999999</v>
      </c>
      <c r="AC7003">
        <v>1.494237E-2</v>
      </c>
      <c r="AD7003">
        <v>0.73078929999999998</v>
      </c>
      <c r="AE7003">
        <v>0.67211569999999998</v>
      </c>
      <c r="AF7003">
        <v>259.74540000000002</v>
      </c>
      <c r="AG7003">
        <f>IFERROR(AH7003*0.1, "N/A")</f>
        <v>7.268053000000001</v>
      </c>
      <c r="AH7003">
        <v>72.680530000000005</v>
      </c>
      <c r="AI7003">
        <v>124.9384</v>
      </c>
      <c r="AJ7003">
        <v>16.28453</v>
      </c>
      <c r="AK7003">
        <v>68.099829999999997</v>
      </c>
    </row>
    <row r="7004" spans="1:37" x14ac:dyDescent="0.3">
      <c r="A7004">
        <v>7003</v>
      </c>
      <c r="B7004">
        <v>0</v>
      </c>
      <c r="C7004">
        <v>-3.8333300000000001</v>
      </c>
      <c r="D7004">
        <v>16.166699999999999</v>
      </c>
      <c r="E7004">
        <f>-3.83333-16.1667</f>
        <v>-20.000029999999999</v>
      </c>
      <c r="F7004" t="s">
        <v>10448</v>
      </c>
      <c r="G7004" t="s">
        <v>37</v>
      </c>
      <c r="H7004">
        <v>1990</v>
      </c>
      <c r="I7004">
        <v>28</v>
      </c>
      <c r="J7004">
        <v>15</v>
      </c>
      <c r="K7004">
        <v>55</v>
      </c>
      <c r="L7004">
        <v>33.872979999999998</v>
      </c>
      <c r="M7004">
        <v>41.151580000000003</v>
      </c>
      <c r="N7004">
        <v>14.2</v>
      </c>
      <c r="O7004">
        <v>26.95158</v>
      </c>
      <c r="P7004">
        <v>29.018470000000001</v>
      </c>
      <c r="Q7004">
        <v>24.6</v>
      </c>
      <c r="R7004">
        <v>31.95158</v>
      </c>
      <c r="S7004">
        <v>22.976870000000002</v>
      </c>
      <c r="T7004">
        <v>233.51580000000001</v>
      </c>
      <c r="U7004">
        <v>98.715469999999996</v>
      </c>
      <c r="V7004">
        <v>0</v>
      </c>
      <c r="W7004">
        <v>151.6156</v>
      </c>
      <c r="X7004">
        <v>202.51580000000001</v>
      </c>
      <c r="Y7004">
        <v>0</v>
      </c>
      <c r="Z7004">
        <v>26</v>
      </c>
      <c r="AA7004">
        <v>0</v>
      </c>
      <c r="AB7004">
        <v>3.9169559999999999</v>
      </c>
      <c r="AC7004">
        <v>1.494237E-2</v>
      </c>
      <c r="AD7004">
        <v>0.73078929999999998</v>
      </c>
      <c r="AE7004">
        <v>0.67211569999999998</v>
      </c>
      <c r="AF7004">
        <v>259.74540000000002</v>
      </c>
      <c r="AG7004">
        <f>IFERROR(AH7004*0.1, "N/A")</f>
        <v>7.268053000000001</v>
      </c>
      <c r="AH7004">
        <v>72.680530000000005</v>
      </c>
      <c r="AI7004">
        <v>124.9384</v>
      </c>
      <c r="AJ7004">
        <v>16.28453</v>
      </c>
      <c r="AK7004">
        <v>68.099829999999997</v>
      </c>
    </row>
    <row r="7005" spans="1:37" x14ac:dyDescent="0.3">
      <c r="A7005">
        <v>7004</v>
      </c>
      <c r="B7005">
        <v>22.5</v>
      </c>
      <c r="C7005">
        <v>-1.0833000000000001E-2</v>
      </c>
      <c r="D7005">
        <v>16.213100000000001</v>
      </c>
      <c r="E7005">
        <f>-0.010833-16.2131</f>
        <v>-16.223933000000002</v>
      </c>
      <c r="F7005" t="s">
        <v>10449</v>
      </c>
      <c r="G7005" t="s">
        <v>39</v>
      </c>
      <c r="H7005">
        <v>1990</v>
      </c>
      <c r="I7005">
        <v>29.9</v>
      </c>
      <c r="J7005">
        <v>14.4</v>
      </c>
      <c r="K7005">
        <v>53</v>
      </c>
      <c r="L7005">
        <v>38.82</v>
      </c>
      <c r="M7005">
        <v>41.9</v>
      </c>
      <c r="N7005">
        <v>14.9</v>
      </c>
      <c r="O7005">
        <v>27</v>
      </c>
      <c r="P7005">
        <v>31.8</v>
      </c>
      <c r="Q7005">
        <v>25.8</v>
      </c>
      <c r="R7005">
        <v>34.1</v>
      </c>
      <c r="S7005">
        <v>24.2</v>
      </c>
      <c r="T7005">
        <v>204</v>
      </c>
      <c r="U7005">
        <v>80</v>
      </c>
      <c r="V7005">
        <v>0</v>
      </c>
      <c r="W7005">
        <v>143</v>
      </c>
      <c r="X7005">
        <v>172</v>
      </c>
      <c r="Y7005">
        <v>0</v>
      </c>
      <c r="Z7005">
        <v>27</v>
      </c>
      <c r="AA7005">
        <v>0</v>
      </c>
      <c r="AB7005">
        <v>7.0349870000000001</v>
      </c>
      <c r="AC7005">
        <v>9.0725440000000001E-3</v>
      </c>
      <c r="AD7005">
        <v>1.893588</v>
      </c>
      <c r="AE7005">
        <v>0.40404000000000001</v>
      </c>
      <c r="AF7005">
        <v>255.27529999999999</v>
      </c>
      <c r="AG7005">
        <f>IFERROR(AH7005*0.1, "N/A")</f>
        <v>7.5943620000000003</v>
      </c>
      <c r="AH7005">
        <v>75.943619999999996</v>
      </c>
      <c r="AI7005">
        <v>200.3639</v>
      </c>
      <c r="AJ7005">
        <v>24.741289999999999</v>
      </c>
      <c r="AK7005">
        <v>62.328360000000004</v>
      </c>
    </row>
    <row r="7006" spans="1:37" x14ac:dyDescent="0.3">
      <c r="A7006">
        <v>7005</v>
      </c>
      <c r="B7006">
        <v>0</v>
      </c>
      <c r="C7006">
        <v>-1.0833000000000001E-2</v>
      </c>
      <c r="D7006">
        <v>16.213100000000001</v>
      </c>
      <c r="E7006">
        <f>-0.010833-16.2131</f>
        <v>-16.223933000000002</v>
      </c>
      <c r="F7006" t="s">
        <v>10450</v>
      </c>
      <c r="G7006" t="s">
        <v>37</v>
      </c>
      <c r="H7006">
        <v>1990</v>
      </c>
      <c r="I7006">
        <v>29.9</v>
      </c>
      <c r="J7006">
        <v>14.4</v>
      </c>
      <c r="K7006">
        <v>53</v>
      </c>
      <c r="L7006">
        <v>38.82</v>
      </c>
      <c r="M7006">
        <v>41.9</v>
      </c>
      <c r="N7006">
        <v>14.9</v>
      </c>
      <c r="O7006">
        <v>27</v>
      </c>
      <c r="P7006">
        <v>31.8</v>
      </c>
      <c r="Q7006">
        <v>25.8</v>
      </c>
      <c r="R7006">
        <v>34.1</v>
      </c>
      <c r="S7006">
        <v>24.2</v>
      </c>
      <c r="T7006">
        <v>204</v>
      </c>
      <c r="U7006">
        <v>80</v>
      </c>
      <c r="V7006">
        <v>0</v>
      </c>
      <c r="W7006">
        <v>143</v>
      </c>
      <c r="X7006">
        <v>172</v>
      </c>
      <c r="Y7006">
        <v>0</v>
      </c>
      <c r="Z7006">
        <v>27</v>
      </c>
      <c r="AA7006">
        <v>0</v>
      </c>
      <c r="AB7006">
        <v>7.0349870000000001</v>
      </c>
      <c r="AC7006">
        <v>9.0725440000000001E-3</v>
      </c>
      <c r="AD7006">
        <v>1.893588</v>
      </c>
      <c r="AE7006">
        <v>0.40404000000000001</v>
      </c>
      <c r="AF7006">
        <v>255.27529999999999</v>
      </c>
      <c r="AG7006">
        <f>IFERROR(AH7006*0.1, "N/A")</f>
        <v>7.5943620000000003</v>
      </c>
      <c r="AH7006">
        <v>75.943619999999996</v>
      </c>
      <c r="AI7006">
        <v>200.3639</v>
      </c>
      <c r="AJ7006">
        <v>24.741289999999999</v>
      </c>
      <c r="AK7006">
        <v>62.328360000000004</v>
      </c>
    </row>
    <row r="7007" spans="1:37" x14ac:dyDescent="0.3">
      <c r="A7007">
        <v>7006</v>
      </c>
      <c r="B7007">
        <v>73.5</v>
      </c>
      <c r="C7007">
        <v>-5.5660000000000001E-2</v>
      </c>
      <c r="D7007">
        <v>16.255600000000001</v>
      </c>
      <c r="E7007">
        <f>-0.05566-16.2556</f>
        <v>-16.311260000000001</v>
      </c>
      <c r="F7007" t="s">
        <v>10451</v>
      </c>
      <c r="G7007" t="s">
        <v>39</v>
      </c>
      <c r="H7007">
        <v>1990</v>
      </c>
      <c r="I7007">
        <v>30</v>
      </c>
      <c r="J7007">
        <v>14.5</v>
      </c>
      <c r="K7007">
        <v>52</v>
      </c>
      <c r="L7007">
        <v>40.07</v>
      </c>
      <c r="M7007">
        <v>42.1</v>
      </c>
      <c r="N7007">
        <v>14.7</v>
      </c>
      <c r="O7007">
        <v>27.4</v>
      </c>
      <c r="P7007">
        <v>32</v>
      </c>
      <c r="Q7007">
        <v>25.7</v>
      </c>
      <c r="R7007">
        <v>34.200000000000003</v>
      </c>
      <c r="S7007">
        <v>24.1</v>
      </c>
      <c r="T7007">
        <v>199</v>
      </c>
      <c r="U7007">
        <v>76</v>
      </c>
      <c r="V7007">
        <v>0</v>
      </c>
      <c r="W7007">
        <v>146</v>
      </c>
      <c r="X7007">
        <v>166</v>
      </c>
      <c r="Y7007">
        <v>0</v>
      </c>
      <c r="Z7007">
        <v>28</v>
      </c>
      <c r="AA7007">
        <v>0</v>
      </c>
      <c r="AB7007">
        <v>11.870150000000001</v>
      </c>
      <c r="AC7007">
        <v>1.8863029999999999E-2</v>
      </c>
      <c r="AD7007">
        <v>1.7799830000000001</v>
      </c>
      <c r="AE7007">
        <v>0.50681600000000004</v>
      </c>
      <c r="AF7007">
        <v>253.66</v>
      </c>
      <c r="AG7007">
        <f>IFERROR(AH7007*0.1, "N/A")</f>
        <v>6.3058040000000002</v>
      </c>
      <c r="AH7007">
        <v>63.058039999999998</v>
      </c>
      <c r="AI7007">
        <v>225.00139999999999</v>
      </c>
      <c r="AJ7007">
        <v>32.058039999999998</v>
      </c>
      <c r="AK7007">
        <v>55</v>
      </c>
    </row>
    <row r="7008" spans="1:37" x14ac:dyDescent="0.3">
      <c r="A7008">
        <v>7007</v>
      </c>
      <c r="B7008">
        <v>0</v>
      </c>
      <c r="C7008">
        <v>-5.5660000000000001E-2</v>
      </c>
      <c r="D7008">
        <v>16.255600000000001</v>
      </c>
      <c r="E7008">
        <f>-0.05566-16.2556</f>
        <v>-16.311260000000001</v>
      </c>
      <c r="F7008" t="s">
        <v>10452</v>
      </c>
      <c r="G7008" t="s">
        <v>37</v>
      </c>
      <c r="H7008">
        <v>1990</v>
      </c>
      <c r="I7008">
        <v>30</v>
      </c>
      <c r="J7008">
        <v>14.5</v>
      </c>
      <c r="K7008">
        <v>52</v>
      </c>
      <c r="L7008">
        <v>40.07</v>
      </c>
      <c r="M7008">
        <v>42.1</v>
      </c>
      <c r="N7008">
        <v>14.7</v>
      </c>
      <c r="O7008">
        <v>27.4</v>
      </c>
      <c r="P7008">
        <v>32</v>
      </c>
      <c r="Q7008">
        <v>25.7</v>
      </c>
      <c r="R7008">
        <v>34.200000000000003</v>
      </c>
      <c r="S7008">
        <v>24.1</v>
      </c>
      <c r="T7008">
        <v>199</v>
      </c>
      <c r="U7008">
        <v>76</v>
      </c>
      <c r="V7008">
        <v>0</v>
      </c>
      <c r="W7008">
        <v>146</v>
      </c>
      <c r="X7008">
        <v>166</v>
      </c>
      <c r="Y7008">
        <v>0</v>
      </c>
      <c r="Z7008">
        <v>28</v>
      </c>
      <c r="AA7008">
        <v>0</v>
      </c>
      <c r="AB7008">
        <v>11.870150000000001</v>
      </c>
      <c r="AC7008">
        <v>1.8863029999999999E-2</v>
      </c>
      <c r="AD7008">
        <v>1.7799830000000001</v>
      </c>
      <c r="AE7008">
        <v>0.50681600000000004</v>
      </c>
      <c r="AF7008">
        <v>253.66</v>
      </c>
      <c r="AG7008">
        <f>IFERROR(AH7008*0.1, "N/A")</f>
        <v>6.3058040000000002</v>
      </c>
      <c r="AH7008">
        <v>63.058039999999998</v>
      </c>
      <c r="AI7008">
        <v>225.00139999999999</v>
      </c>
      <c r="AJ7008">
        <v>32.058039999999998</v>
      </c>
      <c r="AK7008">
        <v>55</v>
      </c>
    </row>
    <row r="7009" spans="1:37" x14ac:dyDescent="0.3">
      <c r="A7009">
        <v>7008</v>
      </c>
      <c r="B7009">
        <v>11</v>
      </c>
      <c r="C7009">
        <v>-3.73333</v>
      </c>
      <c r="D7009">
        <v>16.283300000000001</v>
      </c>
      <c r="E7009">
        <f>-3.73333-16.2833</f>
        <v>-20.016629999999999</v>
      </c>
      <c r="F7009" t="s">
        <v>10453</v>
      </c>
      <c r="G7009" t="s">
        <v>39</v>
      </c>
      <c r="H7009">
        <v>1990</v>
      </c>
      <c r="I7009">
        <v>28.1</v>
      </c>
      <c r="J7009">
        <v>15.1</v>
      </c>
      <c r="K7009">
        <v>55</v>
      </c>
      <c r="L7009">
        <v>34.850810000000003</v>
      </c>
      <c r="M7009">
        <v>41.3</v>
      </c>
      <c r="N7009">
        <v>14</v>
      </c>
      <c r="O7009">
        <v>27.3</v>
      </c>
      <c r="P7009">
        <v>29.35521</v>
      </c>
      <c r="Q7009">
        <v>24.512229999999999</v>
      </c>
      <c r="R7009">
        <v>32.1</v>
      </c>
      <c r="S7009">
        <v>22.9</v>
      </c>
      <c r="T7009">
        <v>218.8331</v>
      </c>
      <c r="U7009">
        <v>88.833060000000003</v>
      </c>
      <c r="V7009">
        <v>0</v>
      </c>
      <c r="W7009">
        <v>145.8331</v>
      </c>
      <c r="X7009">
        <v>186.8331</v>
      </c>
      <c r="Y7009">
        <v>0</v>
      </c>
      <c r="Z7009">
        <v>27</v>
      </c>
      <c r="AA7009">
        <v>0</v>
      </c>
      <c r="AB7009">
        <v>5.0746899999999998E-2</v>
      </c>
      <c r="AC7009">
        <v>0.1988027</v>
      </c>
      <c r="AD7009">
        <v>0</v>
      </c>
      <c r="AE7009">
        <v>0.3174746</v>
      </c>
      <c r="AF7009">
        <v>258</v>
      </c>
      <c r="AG7009">
        <f>IFERROR(AH7009*0.1, "N/A")</f>
        <v>7.5218180000000006</v>
      </c>
      <c r="AH7009">
        <v>75.218180000000004</v>
      </c>
      <c r="AI7009">
        <v>0</v>
      </c>
      <c r="AJ7009">
        <v>32.859499999999997</v>
      </c>
      <c r="AK7009">
        <v>47.289259999999999</v>
      </c>
    </row>
    <row r="7010" spans="1:37" x14ac:dyDescent="0.3">
      <c r="A7010">
        <v>7009</v>
      </c>
      <c r="B7010">
        <v>0</v>
      </c>
      <c r="C7010">
        <v>-3.73333</v>
      </c>
      <c r="D7010">
        <v>16.283300000000001</v>
      </c>
      <c r="E7010">
        <f>-3.73333-16.2833</f>
        <v>-20.016629999999999</v>
      </c>
      <c r="F7010" t="s">
        <v>10454</v>
      </c>
      <c r="G7010" t="s">
        <v>37</v>
      </c>
      <c r="H7010">
        <v>1990</v>
      </c>
      <c r="I7010">
        <v>28.1</v>
      </c>
      <c r="J7010">
        <v>15.1</v>
      </c>
      <c r="K7010">
        <v>55</v>
      </c>
      <c r="L7010">
        <v>34.850810000000003</v>
      </c>
      <c r="M7010">
        <v>41.3</v>
      </c>
      <c r="N7010">
        <v>14</v>
      </c>
      <c r="O7010">
        <v>27.3</v>
      </c>
      <c r="P7010">
        <v>29.35521</v>
      </c>
      <c r="Q7010">
        <v>24.512229999999999</v>
      </c>
      <c r="R7010">
        <v>32.1</v>
      </c>
      <c r="S7010">
        <v>22.9</v>
      </c>
      <c r="T7010">
        <v>218.8331</v>
      </c>
      <c r="U7010">
        <v>88.833060000000003</v>
      </c>
      <c r="V7010">
        <v>0</v>
      </c>
      <c r="W7010">
        <v>145.8331</v>
      </c>
      <c r="X7010">
        <v>186.8331</v>
      </c>
      <c r="Y7010">
        <v>0</v>
      </c>
      <c r="Z7010">
        <v>27</v>
      </c>
      <c r="AA7010">
        <v>0</v>
      </c>
      <c r="AB7010">
        <v>5.0746899999999998E-2</v>
      </c>
      <c r="AC7010">
        <v>0.1988027</v>
      </c>
      <c r="AD7010">
        <v>0</v>
      </c>
      <c r="AE7010">
        <v>0.3174746</v>
      </c>
      <c r="AF7010">
        <v>258</v>
      </c>
      <c r="AG7010">
        <f>IFERROR(AH7010*0.1, "N/A")</f>
        <v>7.5218180000000006</v>
      </c>
      <c r="AH7010">
        <v>75.218180000000004</v>
      </c>
      <c r="AI7010">
        <v>0</v>
      </c>
      <c r="AJ7010">
        <v>32.859499999999997</v>
      </c>
      <c r="AK7010">
        <v>47.289259999999999</v>
      </c>
    </row>
    <row r="7011" spans="1:37" x14ac:dyDescent="0.3">
      <c r="A7011">
        <v>7010</v>
      </c>
      <c r="B7011">
        <v>20.100000000000001</v>
      </c>
      <c r="C7011">
        <v>-2.8611000000000001E-2</v>
      </c>
      <c r="D7011">
        <v>16.3658</v>
      </c>
      <c r="E7011">
        <f>-0.028611-16.365801</f>
        <v>-16.394412000000003</v>
      </c>
      <c r="F7011" t="s">
        <v>10455</v>
      </c>
      <c r="G7011" t="s">
        <v>39</v>
      </c>
      <c r="H7011">
        <v>1990</v>
      </c>
      <c r="I7011">
        <v>29.991379999999999</v>
      </c>
      <c r="J7011">
        <v>14.5</v>
      </c>
      <c r="K7011">
        <v>53</v>
      </c>
      <c r="L7011">
        <v>39.520859999999999</v>
      </c>
      <c r="M7011">
        <v>42</v>
      </c>
      <c r="N7011">
        <v>14.8</v>
      </c>
      <c r="O7011">
        <v>27.2</v>
      </c>
      <c r="P7011">
        <v>32</v>
      </c>
      <c r="Q7011">
        <v>25.79138</v>
      </c>
      <c r="R7011">
        <v>34.200000000000003</v>
      </c>
      <c r="S7011">
        <v>24.1</v>
      </c>
      <c r="T7011">
        <v>195.91380000000001</v>
      </c>
      <c r="U7011">
        <v>76.913759999999996</v>
      </c>
      <c r="V7011">
        <v>0</v>
      </c>
      <c r="W7011">
        <v>145.91380000000001</v>
      </c>
      <c r="X7011">
        <v>164.91380000000001</v>
      </c>
      <c r="Y7011">
        <v>0</v>
      </c>
      <c r="Z7011">
        <v>83</v>
      </c>
      <c r="AA7011">
        <v>0</v>
      </c>
      <c r="AB7011">
        <v>1.092374</v>
      </c>
      <c r="AC7011">
        <v>9.1609120000000002E-3</v>
      </c>
      <c r="AD7011">
        <v>1.1377090000000001</v>
      </c>
      <c r="AE7011">
        <v>0.38869019999999999</v>
      </c>
      <c r="AF7011">
        <v>249.7629</v>
      </c>
      <c r="AG7011" t="str">
        <f>IFERROR(AH7011*0.1, "N/A")</f>
        <v>N/A</v>
      </c>
      <c r="AH7011" t="s">
        <v>729</v>
      </c>
      <c r="AI7011">
        <v>75.211340000000007</v>
      </c>
      <c r="AJ7011" t="s">
        <v>729</v>
      </c>
      <c r="AK7011" t="s">
        <v>729</v>
      </c>
    </row>
    <row r="7012" spans="1:37" x14ac:dyDescent="0.3">
      <c r="A7012">
        <v>7011</v>
      </c>
      <c r="B7012">
        <v>0</v>
      </c>
      <c r="C7012">
        <v>-2.8611000000000001E-2</v>
      </c>
      <c r="D7012">
        <v>16.3658</v>
      </c>
      <c r="E7012">
        <f>-0.028611-16.365801</f>
        <v>-16.394412000000003</v>
      </c>
      <c r="F7012" t="s">
        <v>10456</v>
      </c>
      <c r="G7012" t="s">
        <v>37</v>
      </c>
      <c r="H7012">
        <v>1990</v>
      </c>
      <c r="I7012">
        <v>29.991379999999999</v>
      </c>
      <c r="J7012">
        <v>14.5</v>
      </c>
      <c r="K7012">
        <v>53</v>
      </c>
      <c r="L7012">
        <v>39.520859999999999</v>
      </c>
      <c r="M7012">
        <v>42</v>
      </c>
      <c r="N7012">
        <v>14.8</v>
      </c>
      <c r="O7012">
        <v>27.2</v>
      </c>
      <c r="P7012">
        <v>32</v>
      </c>
      <c r="Q7012">
        <v>25.79138</v>
      </c>
      <c r="R7012">
        <v>34.200000000000003</v>
      </c>
      <c r="S7012">
        <v>24.1</v>
      </c>
      <c r="T7012">
        <v>195.91380000000001</v>
      </c>
      <c r="U7012">
        <v>76.913759999999996</v>
      </c>
      <c r="V7012">
        <v>0</v>
      </c>
      <c r="W7012">
        <v>145.91380000000001</v>
      </c>
      <c r="X7012">
        <v>164.91380000000001</v>
      </c>
      <c r="Y7012">
        <v>0</v>
      </c>
      <c r="Z7012">
        <v>83</v>
      </c>
      <c r="AA7012">
        <v>0</v>
      </c>
      <c r="AB7012">
        <v>1.092374</v>
      </c>
      <c r="AC7012">
        <v>9.1609120000000002E-3</v>
      </c>
      <c r="AD7012">
        <v>1.1377090000000001</v>
      </c>
      <c r="AE7012">
        <v>0.38869019999999999</v>
      </c>
      <c r="AF7012">
        <v>249.7629</v>
      </c>
      <c r="AG7012" t="str">
        <f>IFERROR(AH7012*0.1, "N/A")</f>
        <v>N/A</v>
      </c>
      <c r="AH7012" t="s">
        <v>729</v>
      </c>
      <c r="AI7012">
        <v>75.211340000000007</v>
      </c>
      <c r="AJ7012" t="s">
        <v>729</v>
      </c>
      <c r="AK7012" t="s">
        <v>729</v>
      </c>
    </row>
    <row r="7013" spans="1:37" x14ac:dyDescent="0.3">
      <c r="A7013">
        <v>7012</v>
      </c>
      <c r="B7013">
        <v>3.7</v>
      </c>
      <c r="C7013">
        <v>-3.23333</v>
      </c>
      <c r="D7013">
        <v>16.399999999999999</v>
      </c>
      <c r="E7013">
        <f>-3.23333-16.4</f>
        <v>-19.633329999999997</v>
      </c>
      <c r="F7013" t="s">
        <v>10457</v>
      </c>
      <c r="G7013" t="s">
        <v>39</v>
      </c>
      <c r="H7013">
        <v>1990</v>
      </c>
      <c r="I7013">
        <v>28.420359999999999</v>
      </c>
      <c r="J7013">
        <v>15.22268</v>
      </c>
      <c r="K7013">
        <v>54</v>
      </c>
      <c r="L7013">
        <v>38.815379999999998</v>
      </c>
      <c r="M7013">
        <v>41.343049999999998</v>
      </c>
      <c r="N7013">
        <v>13.377319999999999</v>
      </c>
      <c r="O7013">
        <v>27.965730000000001</v>
      </c>
      <c r="P7013">
        <v>30.3</v>
      </c>
      <c r="Q7013">
        <v>24.377320000000001</v>
      </c>
      <c r="R7013">
        <v>32.700000000000003</v>
      </c>
      <c r="S7013">
        <v>22.67268</v>
      </c>
      <c r="T7013">
        <v>238.29640000000001</v>
      </c>
      <c r="U7013">
        <v>99.046360000000007</v>
      </c>
      <c r="V7013">
        <v>0</v>
      </c>
      <c r="W7013">
        <v>156.9255</v>
      </c>
      <c r="X7013">
        <v>209.29640000000001</v>
      </c>
      <c r="Y7013">
        <v>0</v>
      </c>
      <c r="Z7013">
        <v>91.203639999999993</v>
      </c>
      <c r="AA7013">
        <v>0</v>
      </c>
      <c r="AB7013">
        <v>0.91424249999999996</v>
      </c>
      <c r="AC7013">
        <v>3.1780469999999998E-2</v>
      </c>
      <c r="AD7013">
        <v>2.1748720000000001</v>
      </c>
      <c r="AE7013">
        <v>0.29152289999999997</v>
      </c>
      <c r="AF7013">
        <v>260.40559999999999</v>
      </c>
      <c r="AG7013">
        <f>IFERROR(AH7013*0.1, "N/A")</f>
        <v>6.4726820000000007</v>
      </c>
      <c r="AH7013">
        <v>64.726820000000004</v>
      </c>
      <c r="AI7013">
        <v>203.67449999999999</v>
      </c>
      <c r="AJ7013">
        <v>21.81954</v>
      </c>
      <c r="AK7013">
        <v>61.90728</v>
      </c>
    </row>
    <row r="7014" spans="1:37" x14ac:dyDescent="0.3">
      <c r="A7014">
        <v>7013</v>
      </c>
      <c r="B7014">
        <v>0.9</v>
      </c>
      <c r="C7014">
        <v>-3.23333</v>
      </c>
      <c r="D7014">
        <v>16.399999999999999</v>
      </c>
      <c r="E7014">
        <f>-3.23333-16.4</f>
        <v>-19.633329999999997</v>
      </c>
      <c r="F7014" t="s">
        <v>10458</v>
      </c>
      <c r="G7014" t="s">
        <v>37</v>
      </c>
      <c r="H7014">
        <v>1990</v>
      </c>
      <c r="I7014">
        <v>28.420359999999999</v>
      </c>
      <c r="J7014">
        <v>15.22268</v>
      </c>
      <c r="K7014">
        <v>54</v>
      </c>
      <c r="L7014">
        <v>38.815379999999998</v>
      </c>
      <c r="M7014">
        <v>41.343049999999998</v>
      </c>
      <c r="N7014">
        <v>13.377319999999999</v>
      </c>
      <c r="O7014">
        <v>27.965730000000001</v>
      </c>
      <c r="P7014">
        <v>30.3</v>
      </c>
      <c r="Q7014">
        <v>24.377320000000001</v>
      </c>
      <c r="R7014">
        <v>32.700000000000003</v>
      </c>
      <c r="S7014">
        <v>22.67268</v>
      </c>
      <c r="T7014">
        <v>238.29640000000001</v>
      </c>
      <c r="U7014">
        <v>99.046360000000007</v>
      </c>
      <c r="V7014">
        <v>0</v>
      </c>
      <c r="W7014">
        <v>156.9255</v>
      </c>
      <c r="X7014">
        <v>209.29640000000001</v>
      </c>
      <c r="Y7014">
        <v>0</v>
      </c>
      <c r="Z7014">
        <v>91.203639999999993</v>
      </c>
      <c r="AA7014">
        <v>0</v>
      </c>
      <c r="AB7014">
        <v>0.91424249999999996</v>
      </c>
      <c r="AC7014">
        <v>3.1780469999999998E-2</v>
      </c>
      <c r="AD7014">
        <v>2.1748720000000001</v>
      </c>
      <c r="AE7014">
        <v>0.29152289999999997</v>
      </c>
      <c r="AF7014">
        <v>260.40559999999999</v>
      </c>
      <c r="AG7014">
        <f>IFERROR(AH7014*0.1, "N/A")</f>
        <v>6.4726820000000007</v>
      </c>
      <c r="AH7014">
        <v>64.726820000000004</v>
      </c>
      <c r="AI7014">
        <v>203.67449999999999</v>
      </c>
      <c r="AJ7014">
        <v>21.81954</v>
      </c>
      <c r="AK7014">
        <v>61.90728</v>
      </c>
    </row>
    <row r="7015" spans="1:37" x14ac:dyDescent="0.3">
      <c r="A7015">
        <v>7014</v>
      </c>
      <c r="B7015">
        <v>29</v>
      </c>
      <c r="C7015">
        <v>-5.5E-2</v>
      </c>
      <c r="D7015">
        <v>16.410599999999999</v>
      </c>
      <c r="E7015">
        <f>-0.055-16.410601</f>
        <v>-16.465600999999999</v>
      </c>
      <c r="F7015" t="s">
        <v>10459</v>
      </c>
      <c r="G7015" t="s">
        <v>39</v>
      </c>
      <c r="H7015">
        <v>1990</v>
      </c>
      <c r="I7015">
        <v>29.9</v>
      </c>
      <c r="J7015">
        <v>14.5</v>
      </c>
      <c r="K7015">
        <v>53</v>
      </c>
      <c r="L7015">
        <v>39.24</v>
      </c>
      <c r="M7015">
        <v>42</v>
      </c>
      <c r="N7015">
        <v>14.8</v>
      </c>
      <c r="O7015">
        <v>27.2</v>
      </c>
      <c r="P7015">
        <v>31.9</v>
      </c>
      <c r="Q7015">
        <v>25.7</v>
      </c>
      <c r="R7015">
        <v>34.1</v>
      </c>
      <c r="S7015">
        <v>24.1</v>
      </c>
      <c r="T7015">
        <v>191</v>
      </c>
      <c r="U7015">
        <v>75</v>
      </c>
      <c r="V7015">
        <v>0</v>
      </c>
      <c r="W7015">
        <v>153</v>
      </c>
      <c r="X7015">
        <v>162</v>
      </c>
      <c r="Y7015">
        <v>0</v>
      </c>
      <c r="Z7015">
        <v>81</v>
      </c>
      <c r="AA7015">
        <v>0</v>
      </c>
      <c r="AB7015">
        <v>1.8252109999999999</v>
      </c>
      <c r="AC7015">
        <v>4.5106789999999997</v>
      </c>
      <c r="AD7015">
        <v>2.2775349999999999</v>
      </c>
      <c r="AE7015">
        <v>0.19877359999999999</v>
      </c>
      <c r="AF7015">
        <v>250.0017</v>
      </c>
      <c r="AG7015">
        <f>IFERROR(AH7015*0.1, "N/A")</f>
        <v>7.3208960000000012</v>
      </c>
      <c r="AH7015">
        <v>73.208960000000005</v>
      </c>
      <c r="AI7015">
        <v>265.12720000000002</v>
      </c>
      <c r="AJ7015">
        <v>22</v>
      </c>
      <c r="AK7015">
        <v>62.930349999999997</v>
      </c>
    </row>
    <row r="7016" spans="1:37" x14ac:dyDescent="0.3">
      <c r="A7016">
        <v>7015</v>
      </c>
      <c r="B7016">
        <v>0</v>
      </c>
      <c r="C7016">
        <v>-5.5E-2</v>
      </c>
      <c r="D7016">
        <v>16.410599999999999</v>
      </c>
      <c r="E7016">
        <f>-0.055-16.410601</f>
        <v>-16.465600999999999</v>
      </c>
      <c r="F7016" t="s">
        <v>10460</v>
      </c>
      <c r="G7016" t="s">
        <v>37</v>
      </c>
      <c r="H7016">
        <v>1990</v>
      </c>
      <c r="I7016">
        <v>29.9</v>
      </c>
      <c r="J7016">
        <v>14.5</v>
      </c>
      <c r="K7016">
        <v>53</v>
      </c>
      <c r="L7016">
        <v>39.24</v>
      </c>
      <c r="M7016">
        <v>42</v>
      </c>
      <c r="N7016">
        <v>14.8</v>
      </c>
      <c r="O7016">
        <v>27.2</v>
      </c>
      <c r="P7016">
        <v>31.9</v>
      </c>
      <c r="Q7016">
        <v>25.7</v>
      </c>
      <c r="R7016">
        <v>34.1</v>
      </c>
      <c r="S7016">
        <v>24.1</v>
      </c>
      <c r="T7016">
        <v>191</v>
      </c>
      <c r="U7016">
        <v>75</v>
      </c>
      <c r="V7016">
        <v>0</v>
      </c>
      <c r="W7016">
        <v>153</v>
      </c>
      <c r="X7016">
        <v>162</v>
      </c>
      <c r="Y7016">
        <v>0</v>
      </c>
      <c r="Z7016">
        <v>81</v>
      </c>
      <c r="AA7016">
        <v>0</v>
      </c>
      <c r="AB7016">
        <v>1.8252109999999999</v>
      </c>
      <c r="AC7016">
        <v>4.5106789999999997</v>
      </c>
      <c r="AD7016">
        <v>2.2775349999999999</v>
      </c>
      <c r="AE7016">
        <v>0.19877359999999999</v>
      </c>
      <c r="AF7016">
        <v>250.0017</v>
      </c>
      <c r="AG7016">
        <f>IFERROR(AH7016*0.1, "N/A")</f>
        <v>7.3208960000000012</v>
      </c>
      <c r="AH7016">
        <v>73.208960000000005</v>
      </c>
      <c r="AI7016">
        <v>265.12720000000002</v>
      </c>
      <c r="AJ7016">
        <v>22</v>
      </c>
      <c r="AK7016">
        <v>62.930349999999997</v>
      </c>
    </row>
    <row r="7017" spans="1:37" x14ac:dyDescent="0.3">
      <c r="A7017">
        <v>7016</v>
      </c>
      <c r="B7017">
        <v>13.1</v>
      </c>
      <c r="C7017">
        <v>-3.6666699999999999</v>
      </c>
      <c r="D7017">
        <v>16.416699999999999</v>
      </c>
      <c r="E7017">
        <f>-3.66667-16.4167</f>
        <v>-20.083369999999999</v>
      </c>
      <c r="F7017" t="s">
        <v>10461</v>
      </c>
      <c r="G7017" t="s">
        <v>39</v>
      </c>
      <c r="H7017">
        <v>1990</v>
      </c>
      <c r="I7017">
        <v>28.2</v>
      </c>
      <c r="J7017">
        <v>15.3</v>
      </c>
      <c r="K7017">
        <v>55</v>
      </c>
      <c r="L7017">
        <v>36.650680000000001</v>
      </c>
      <c r="M7017">
        <v>41.4</v>
      </c>
      <c r="N7017">
        <v>13.763310000000001</v>
      </c>
      <c r="O7017">
        <v>27.636690000000002</v>
      </c>
      <c r="P7017">
        <v>29.686119999999999</v>
      </c>
      <c r="Q7017">
        <v>24.41273</v>
      </c>
      <c r="R7017">
        <v>32.299999999999997</v>
      </c>
      <c r="S7017">
        <v>22.763310000000001</v>
      </c>
      <c r="T7017">
        <v>206.35040000000001</v>
      </c>
      <c r="U7017">
        <v>78</v>
      </c>
      <c r="V7017">
        <v>0</v>
      </c>
      <c r="W7017">
        <v>142</v>
      </c>
      <c r="X7017">
        <v>173.35040000000001</v>
      </c>
      <c r="Y7017">
        <v>0</v>
      </c>
      <c r="Z7017">
        <v>29</v>
      </c>
      <c r="AA7017">
        <v>0</v>
      </c>
      <c r="AB7017">
        <v>6.7229840000000003</v>
      </c>
      <c r="AC7017">
        <v>2.7235490000000001E-2</v>
      </c>
      <c r="AD7017">
        <v>1.1084050000000001</v>
      </c>
      <c r="AE7017">
        <v>0.66522740000000002</v>
      </c>
      <c r="AF7017">
        <v>263.14710000000002</v>
      </c>
      <c r="AG7017">
        <f>IFERROR(AH7017*0.1, "N/A")</f>
        <v>7.3434710000000001</v>
      </c>
      <c r="AH7017">
        <v>73.434709999999995</v>
      </c>
      <c r="AI7017">
        <v>282.87720000000002</v>
      </c>
      <c r="AJ7017">
        <v>16.717359999999999</v>
      </c>
      <c r="AK7017">
        <v>68.565290000000005</v>
      </c>
    </row>
    <row r="7018" spans="1:37" x14ac:dyDescent="0.3">
      <c r="A7018">
        <v>7017</v>
      </c>
      <c r="B7018">
        <v>2.6</v>
      </c>
      <c r="C7018">
        <v>-3.6666699999999999</v>
      </c>
      <c r="D7018">
        <v>16.416699999999999</v>
      </c>
      <c r="E7018">
        <f>-3.66667-16.4167</f>
        <v>-20.083369999999999</v>
      </c>
      <c r="F7018" t="s">
        <v>10462</v>
      </c>
      <c r="G7018" t="s">
        <v>37</v>
      </c>
      <c r="H7018">
        <v>1990</v>
      </c>
      <c r="I7018">
        <v>28.2</v>
      </c>
      <c r="J7018">
        <v>15.3</v>
      </c>
      <c r="K7018">
        <v>55</v>
      </c>
      <c r="L7018">
        <v>36.650680000000001</v>
      </c>
      <c r="M7018">
        <v>41.4</v>
      </c>
      <c r="N7018">
        <v>13.763310000000001</v>
      </c>
      <c r="O7018">
        <v>27.636690000000002</v>
      </c>
      <c r="P7018">
        <v>29.686119999999999</v>
      </c>
      <c r="Q7018">
        <v>24.41273</v>
      </c>
      <c r="R7018">
        <v>32.299999999999997</v>
      </c>
      <c r="S7018">
        <v>22.763310000000001</v>
      </c>
      <c r="T7018">
        <v>206.35040000000001</v>
      </c>
      <c r="U7018">
        <v>78</v>
      </c>
      <c r="V7018">
        <v>0</v>
      </c>
      <c r="W7018">
        <v>142</v>
      </c>
      <c r="X7018">
        <v>173.35040000000001</v>
      </c>
      <c r="Y7018">
        <v>0</v>
      </c>
      <c r="Z7018">
        <v>29</v>
      </c>
      <c r="AA7018">
        <v>0</v>
      </c>
      <c r="AB7018">
        <v>6.7229840000000003</v>
      </c>
      <c r="AC7018">
        <v>2.7235490000000001E-2</v>
      </c>
      <c r="AD7018">
        <v>1.1084050000000001</v>
      </c>
      <c r="AE7018">
        <v>0.66522740000000002</v>
      </c>
      <c r="AF7018">
        <v>263.14710000000002</v>
      </c>
      <c r="AG7018">
        <f>IFERROR(AH7018*0.1, "N/A")</f>
        <v>7.3434710000000001</v>
      </c>
      <c r="AH7018">
        <v>73.434709999999995</v>
      </c>
      <c r="AI7018">
        <v>282.87720000000002</v>
      </c>
      <c r="AJ7018">
        <v>16.717359999999999</v>
      </c>
      <c r="AK7018">
        <v>68.565290000000005</v>
      </c>
    </row>
    <row r="7019" spans="1:37" x14ac:dyDescent="0.3">
      <c r="A7019">
        <v>7018</v>
      </c>
      <c r="B7019">
        <v>12</v>
      </c>
      <c r="C7019">
        <v>-3.6720000000000002</v>
      </c>
      <c r="D7019">
        <v>16.419</v>
      </c>
      <c r="E7019">
        <f>-3.672-16.419001</f>
        <v>-20.091001000000002</v>
      </c>
      <c r="F7019" t="s">
        <v>10463</v>
      </c>
      <c r="G7019" t="s">
        <v>39</v>
      </c>
      <c r="H7019">
        <v>1987</v>
      </c>
      <c r="I7019">
        <v>28.2</v>
      </c>
      <c r="J7019">
        <v>15.3</v>
      </c>
      <c r="K7019">
        <v>55</v>
      </c>
      <c r="L7019">
        <v>36.520000000000003</v>
      </c>
      <c r="M7019">
        <v>41.4</v>
      </c>
      <c r="N7019">
        <v>13.8</v>
      </c>
      <c r="O7019">
        <v>27.6</v>
      </c>
      <c r="P7019">
        <v>29.6</v>
      </c>
      <c r="Q7019">
        <v>24.4</v>
      </c>
      <c r="R7019">
        <v>32.299999999999997</v>
      </c>
      <c r="S7019">
        <v>22.8</v>
      </c>
      <c r="T7019">
        <v>206</v>
      </c>
      <c r="U7019">
        <v>78</v>
      </c>
      <c r="V7019">
        <v>0</v>
      </c>
      <c r="W7019">
        <v>142</v>
      </c>
      <c r="X7019">
        <v>173</v>
      </c>
      <c r="Y7019">
        <v>0</v>
      </c>
      <c r="Z7019">
        <v>29</v>
      </c>
      <c r="AA7019">
        <v>0</v>
      </c>
      <c r="AB7019">
        <v>4.7769599999999999</v>
      </c>
      <c r="AC7019">
        <v>4.0811359999999998E-2</v>
      </c>
      <c r="AD7019">
        <v>1.1916059999999999</v>
      </c>
      <c r="AE7019">
        <v>0.5596951</v>
      </c>
      <c r="AF7019">
        <v>258.1592</v>
      </c>
      <c r="AG7019">
        <f>IFERROR(AH7019*0.1, "N/A")</f>
        <v>7.1000000000000005</v>
      </c>
      <c r="AH7019">
        <v>71</v>
      </c>
      <c r="AI7019">
        <v>173.0531</v>
      </c>
      <c r="AJ7019">
        <v>11</v>
      </c>
      <c r="AK7019">
        <v>78</v>
      </c>
    </row>
    <row r="7020" spans="1:37" x14ac:dyDescent="0.3">
      <c r="A7020">
        <v>7019</v>
      </c>
      <c r="B7020">
        <v>3</v>
      </c>
      <c r="C7020">
        <v>-3.6720000000000002</v>
      </c>
      <c r="D7020">
        <v>16.419</v>
      </c>
      <c r="E7020">
        <f>-3.672-16.419001</f>
        <v>-20.091001000000002</v>
      </c>
      <c r="F7020" t="s">
        <v>10464</v>
      </c>
      <c r="G7020" t="s">
        <v>37</v>
      </c>
      <c r="H7020">
        <v>1987</v>
      </c>
      <c r="I7020">
        <v>28.2</v>
      </c>
      <c r="J7020">
        <v>15.3</v>
      </c>
      <c r="K7020">
        <v>55</v>
      </c>
      <c r="L7020">
        <v>36.520000000000003</v>
      </c>
      <c r="M7020">
        <v>41.4</v>
      </c>
      <c r="N7020">
        <v>13.8</v>
      </c>
      <c r="O7020">
        <v>27.6</v>
      </c>
      <c r="P7020">
        <v>29.6</v>
      </c>
      <c r="Q7020">
        <v>24.4</v>
      </c>
      <c r="R7020">
        <v>32.299999999999997</v>
      </c>
      <c r="S7020">
        <v>22.8</v>
      </c>
      <c r="T7020">
        <v>206</v>
      </c>
      <c r="U7020">
        <v>78</v>
      </c>
      <c r="V7020">
        <v>0</v>
      </c>
      <c r="W7020">
        <v>142</v>
      </c>
      <c r="X7020">
        <v>173</v>
      </c>
      <c r="Y7020">
        <v>0</v>
      </c>
      <c r="Z7020">
        <v>29</v>
      </c>
      <c r="AA7020">
        <v>0</v>
      </c>
      <c r="AB7020">
        <v>4.7769599999999999</v>
      </c>
      <c r="AC7020">
        <v>4.0811359999999998E-2</v>
      </c>
      <c r="AD7020">
        <v>1.1916059999999999</v>
      </c>
      <c r="AE7020">
        <v>0.5596951</v>
      </c>
      <c r="AF7020">
        <v>258.1592</v>
      </c>
      <c r="AG7020">
        <f>IFERROR(AH7020*0.1, "N/A")</f>
        <v>7.1000000000000005</v>
      </c>
      <c r="AH7020">
        <v>71</v>
      </c>
      <c r="AI7020">
        <v>173.0531</v>
      </c>
      <c r="AJ7020">
        <v>11</v>
      </c>
      <c r="AK7020">
        <v>78</v>
      </c>
    </row>
    <row r="7021" spans="1:37" x14ac:dyDescent="0.3">
      <c r="A7021">
        <v>7020</v>
      </c>
      <c r="B7021">
        <v>2</v>
      </c>
      <c r="C7021">
        <v>-3.1333299999999999</v>
      </c>
      <c r="D7021">
        <v>16.466699999999999</v>
      </c>
      <c r="E7021">
        <f>-3.13333-16.4667</f>
        <v>-19.60003</v>
      </c>
      <c r="F7021" t="s">
        <v>10465</v>
      </c>
      <c r="G7021" t="s">
        <v>39</v>
      </c>
      <c r="H7021">
        <v>1990</v>
      </c>
      <c r="I7021">
        <v>28.5</v>
      </c>
      <c r="J7021">
        <v>15.3</v>
      </c>
      <c r="K7021">
        <v>54</v>
      </c>
      <c r="L7021">
        <v>39.925930000000001</v>
      </c>
      <c r="M7021">
        <v>41.4</v>
      </c>
      <c r="N7021">
        <v>13.2</v>
      </c>
      <c r="O7021">
        <v>28.2</v>
      </c>
      <c r="P7021">
        <v>30.5</v>
      </c>
      <c r="Q7021">
        <v>24.27364</v>
      </c>
      <c r="R7021">
        <v>32.873640000000002</v>
      </c>
      <c r="S7021">
        <v>22.5</v>
      </c>
      <c r="T7021">
        <v>233.1301</v>
      </c>
      <c r="U7021">
        <v>96.889619999999994</v>
      </c>
      <c r="V7021">
        <v>0</v>
      </c>
      <c r="W7021">
        <v>154.7792</v>
      </c>
      <c r="X7021">
        <v>205.1301</v>
      </c>
      <c r="Y7021">
        <v>0</v>
      </c>
      <c r="Z7021">
        <v>88.889619999999994</v>
      </c>
      <c r="AA7021">
        <v>0</v>
      </c>
      <c r="AB7021">
        <v>4.6896230000000001</v>
      </c>
      <c r="AC7021">
        <v>1.0190640000000001E-2</v>
      </c>
      <c r="AD7021">
        <v>1.282802</v>
      </c>
      <c r="AE7021">
        <v>0.31204769999999998</v>
      </c>
      <c r="AF7021">
        <v>263.25540000000001</v>
      </c>
      <c r="AG7021">
        <f>IFERROR(AH7021*0.1, "N/A")</f>
        <v>7.7729820000000007</v>
      </c>
      <c r="AH7021">
        <v>77.729820000000004</v>
      </c>
      <c r="AI7021">
        <v>64.681629999999998</v>
      </c>
      <c r="AJ7021">
        <v>18.894559999999998</v>
      </c>
      <c r="AK7021">
        <v>67.105440000000002</v>
      </c>
    </row>
    <row r="7022" spans="1:37" x14ac:dyDescent="0.3">
      <c r="A7022">
        <v>7021</v>
      </c>
      <c r="B7022">
        <v>0</v>
      </c>
      <c r="C7022">
        <v>-3.1333299999999999</v>
      </c>
      <c r="D7022">
        <v>16.466699999999999</v>
      </c>
      <c r="E7022">
        <f>-3.13333-16.4667</f>
        <v>-19.60003</v>
      </c>
      <c r="F7022" t="s">
        <v>10466</v>
      </c>
      <c r="G7022" t="s">
        <v>37</v>
      </c>
      <c r="H7022">
        <v>1990</v>
      </c>
      <c r="I7022">
        <v>28.5</v>
      </c>
      <c r="J7022">
        <v>15.3</v>
      </c>
      <c r="K7022">
        <v>54</v>
      </c>
      <c r="L7022">
        <v>39.925930000000001</v>
      </c>
      <c r="M7022">
        <v>41.4</v>
      </c>
      <c r="N7022">
        <v>13.2</v>
      </c>
      <c r="O7022">
        <v>28.2</v>
      </c>
      <c r="P7022">
        <v>30.5</v>
      </c>
      <c r="Q7022">
        <v>24.27364</v>
      </c>
      <c r="R7022">
        <v>32.873640000000002</v>
      </c>
      <c r="S7022">
        <v>22.5</v>
      </c>
      <c r="T7022">
        <v>233.1301</v>
      </c>
      <c r="U7022">
        <v>96.889619999999994</v>
      </c>
      <c r="V7022">
        <v>0</v>
      </c>
      <c r="W7022">
        <v>154.7792</v>
      </c>
      <c r="X7022">
        <v>205.1301</v>
      </c>
      <c r="Y7022">
        <v>0</v>
      </c>
      <c r="Z7022">
        <v>88.889619999999994</v>
      </c>
      <c r="AA7022">
        <v>0</v>
      </c>
      <c r="AB7022">
        <v>4.6896230000000001</v>
      </c>
      <c r="AC7022">
        <v>1.0190640000000001E-2</v>
      </c>
      <c r="AD7022">
        <v>1.282802</v>
      </c>
      <c r="AE7022">
        <v>0.31204769999999998</v>
      </c>
      <c r="AF7022">
        <v>263.25540000000001</v>
      </c>
      <c r="AG7022">
        <f>IFERROR(AH7022*0.1, "N/A")</f>
        <v>7.7729820000000007</v>
      </c>
      <c r="AH7022">
        <v>77.729820000000004</v>
      </c>
      <c r="AI7022">
        <v>64.681629999999998</v>
      </c>
      <c r="AJ7022">
        <v>18.894559999999998</v>
      </c>
      <c r="AK7022">
        <v>67.105440000000002</v>
      </c>
    </row>
    <row r="7023" spans="1:37" x14ac:dyDescent="0.3">
      <c r="A7023">
        <v>7022</v>
      </c>
      <c r="B7023">
        <v>3.5</v>
      </c>
      <c r="C7023">
        <v>-0.114444</v>
      </c>
      <c r="D7023">
        <v>16.4711</v>
      </c>
      <c r="E7023">
        <f>-0.114444-16.4711</f>
        <v>-16.585543999999999</v>
      </c>
      <c r="F7023" t="s">
        <v>10467</v>
      </c>
      <c r="G7023" t="s">
        <v>39</v>
      </c>
      <c r="H7023">
        <v>1990</v>
      </c>
      <c r="I7023">
        <v>29.9</v>
      </c>
      <c r="J7023">
        <v>14.5</v>
      </c>
      <c r="K7023">
        <v>53</v>
      </c>
      <c r="L7023">
        <v>39.24</v>
      </c>
      <c r="M7023">
        <v>42.1</v>
      </c>
      <c r="N7023">
        <v>14.8</v>
      </c>
      <c r="O7023">
        <v>27.3</v>
      </c>
      <c r="P7023">
        <v>31.8</v>
      </c>
      <c r="Q7023">
        <v>25.7</v>
      </c>
      <c r="R7023">
        <v>34.1</v>
      </c>
      <c r="S7023">
        <v>24.1</v>
      </c>
      <c r="T7023">
        <v>186</v>
      </c>
      <c r="U7023">
        <v>73</v>
      </c>
      <c r="V7023">
        <v>0</v>
      </c>
      <c r="W7023">
        <v>149</v>
      </c>
      <c r="X7023">
        <v>158</v>
      </c>
      <c r="Y7023">
        <v>0</v>
      </c>
      <c r="Z7023">
        <v>79</v>
      </c>
      <c r="AA7023">
        <v>0</v>
      </c>
      <c r="AB7023">
        <v>4.2512470000000002</v>
      </c>
      <c r="AC7023">
        <v>9.5596980000000002E-3</v>
      </c>
      <c r="AD7023">
        <v>0.77538499999999999</v>
      </c>
      <c r="AE7023" t="s">
        <v>729</v>
      </c>
      <c r="AF7023">
        <v>249.55539999999999</v>
      </c>
      <c r="AG7023" t="str">
        <f>IFERROR(AH7023*0.1, "N/A")</f>
        <v>N/A</v>
      </c>
      <c r="AH7023" t="s">
        <v>729</v>
      </c>
      <c r="AI7023">
        <v>57.602739999999997</v>
      </c>
      <c r="AJ7023" t="s">
        <v>729</v>
      </c>
      <c r="AK7023" t="s">
        <v>729</v>
      </c>
    </row>
    <row r="7024" spans="1:37" x14ac:dyDescent="0.3">
      <c r="A7024">
        <v>7023</v>
      </c>
      <c r="B7024">
        <v>1.3</v>
      </c>
      <c r="C7024">
        <v>-0.114444</v>
      </c>
      <c r="D7024">
        <v>16.4711</v>
      </c>
      <c r="E7024">
        <f>-0.114444-16.4711</f>
        <v>-16.585543999999999</v>
      </c>
      <c r="F7024" t="s">
        <v>10468</v>
      </c>
      <c r="G7024" t="s">
        <v>37</v>
      </c>
      <c r="H7024">
        <v>1990</v>
      </c>
      <c r="I7024">
        <v>29.9</v>
      </c>
      <c r="J7024">
        <v>14.5</v>
      </c>
      <c r="K7024">
        <v>53</v>
      </c>
      <c r="L7024">
        <v>39.24</v>
      </c>
      <c r="M7024">
        <v>42.1</v>
      </c>
      <c r="N7024">
        <v>14.8</v>
      </c>
      <c r="O7024">
        <v>27.3</v>
      </c>
      <c r="P7024">
        <v>31.8</v>
      </c>
      <c r="Q7024">
        <v>25.7</v>
      </c>
      <c r="R7024">
        <v>34.1</v>
      </c>
      <c r="S7024">
        <v>24.1</v>
      </c>
      <c r="T7024">
        <v>186</v>
      </c>
      <c r="U7024">
        <v>73</v>
      </c>
      <c r="V7024">
        <v>0</v>
      </c>
      <c r="W7024">
        <v>149</v>
      </c>
      <c r="X7024">
        <v>158</v>
      </c>
      <c r="Y7024">
        <v>0</v>
      </c>
      <c r="Z7024">
        <v>79</v>
      </c>
      <c r="AA7024">
        <v>0</v>
      </c>
      <c r="AB7024">
        <v>4.2512470000000002</v>
      </c>
      <c r="AC7024">
        <v>9.5596980000000002E-3</v>
      </c>
      <c r="AD7024">
        <v>0.77538499999999999</v>
      </c>
      <c r="AE7024" t="s">
        <v>729</v>
      </c>
      <c r="AF7024">
        <v>249.55539999999999</v>
      </c>
      <c r="AG7024" t="str">
        <f>IFERROR(AH7024*0.1, "N/A")</f>
        <v>N/A</v>
      </c>
      <c r="AH7024" t="s">
        <v>729</v>
      </c>
      <c r="AI7024">
        <v>57.602739999999997</v>
      </c>
      <c r="AJ7024" t="s">
        <v>729</v>
      </c>
      <c r="AK7024" t="s">
        <v>729</v>
      </c>
    </row>
    <row r="7025" spans="1:37" x14ac:dyDescent="0.3">
      <c r="A7025">
        <v>7024</v>
      </c>
      <c r="B7025">
        <v>23.1</v>
      </c>
      <c r="C7025">
        <v>0.77</v>
      </c>
      <c r="D7025">
        <v>16.489999999999998</v>
      </c>
      <c r="E7025" t="s">
        <v>10469</v>
      </c>
      <c r="F7025" t="s">
        <v>10470</v>
      </c>
      <c r="G7025" t="s">
        <v>39</v>
      </c>
      <c r="H7025">
        <v>1983</v>
      </c>
      <c r="I7025">
        <v>29.2</v>
      </c>
      <c r="J7025">
        <v>14.4</v>
      </c>
      <c r="K7025">
        <v>56</v>
      </c>
      <c r="L7025">
        <v>34.130000000000003</v>
      </c>
      <c r="M7025">
        <v>40.5</v>
      </c>
      <c r="N7025">
        <v>15</v>
      </c>
      <c r="O7025">
        <v>25.5</v>
      </c>
      <c r="P7025">
        <v>31.1</v>
      </c>
      <c r="Q7025">
        <v>25.5</v>
      </c>
      <c r="R7025">
        <v>33</v>
      </c>
      <c r="S7025">
        <v>24.2</v>
      </c>
      <c r="T7025">
        <v>200</v>
      </c>
      <c r="U7025">
        <v>86</v>
      </c>
      <c r="V7025">
        <v>0</v>
      </c>
      <c r="W7025">
        <v>156</v>
      </c>
      <c r="X7025">
        <v>171</v>
      </c>
      <c r="Y7025">
        <v>0</v>
      </c>
      <c r="Z7025">
        <v>79</v>
      </c>
      <c r="AA7025">
        <v>0</v>
      </c>
      <c r="AB7025">
        <v>1.936202</v>
      </c>
      <c r="AC7025">
        <v>0.3227508</v>
      </c>
      <c r="AD7025">
        <v>0.97360599999999997</v>
      </c>
      <c r="AE7025">
        <v>6.4373420000000001E-2</v>
      </c>
      <c r="AF7025">
        <v>317.21929999999998</v>
      </c>
      <c r="AG7025">
        <f>IFERROR(AH7025*0.1, "N/A")</f>
        <v>7.7013290000000003</v>
      </c>
      <c r="AH7025">
        <v>77.013289999999998</v>
      </c>
      <c r="AI7025">
        <v>198.52889999999999</v>
      </c>
      <c r="AJ7025">
        <v>24.980070000000001</v>
      </c>
      <c r="AK7025">
        <v>59.013289999999998</v>
      </c>
    </row>
    <row r="7026" spans="1:37" x14ac:dyDescent="0.3">
      <c r="A7026">
        <v>7025</v>
      </c>
      <c r="B7026">
        <v>3.6</v>
      </c>
      <c r="C7026">
        <v>-3.1333299999999999</v>
      </c>
      <c r="D7026">
        <v>16.5</v>
      </c>
      <c r="E7026">
        <f>-3.13333-16.5</f>
        <v>-19.633330000000001</v>
      </c>
      <c r="F7026" t="s">
        <v>10471</v>
      </c>
      <c r="G7026" t="s">
        <v>39</v>
      </c>
      <c r="H7026">
        <v>1990</v>
      </c>
      <c r="I7026">
        <v>28.5</v>
      </c>
      <c r="J7026">
        <v>15.3</v>
      </c>
      <c r="K7026">
        <v>54</v>
      </c>
      <c r="L7026">
        <v>40.10942</v>
      </c>
      <c r="M7026">
        <v>41.4</v>
      </c>
      <c r="N7026">
        <v>13.18275</v>
      </c>
      <c r="O7026">
        <v>28.21725</v>
      </c>
      <c r="P7026">
        <v>30.567</v>
      </c>
      <c r="Q7026">
        <v>24.28275</v>
      </c>
      <c r="R7026">
        <v>32.9</v>
      </c>
      <c r="S7026">
        <v>22.482749999999999</v>
      </c>
      <c r="T7026">
        <v>226.0796</v>
      </c>
      <c r="U7026">
        <v>93.693200000000004</v>
      </c>
      <c r="V7026">
        <v>0</v>
      </c>
      <c r="W7026">
        <v>157.38640000000001</v>
      </c>
      <c r="X7026">
        <v>198.38640000000001</v>
      </c>
      <c r="Y7026">
        <v>0</v>
      </c>
      <c r="Z7026">
        <v>86.693200000000004</v>
      </c>
      <c r="AA7026">
        <v>0</v>
      </c>
      <c r="AB7026">
        <v>1.7880640000000001</v>
      </c>
      <c r="AC7026">
        <v>5.7077879999999998E-2</v>
      </c>
      <c r="AD7026">
        <v>1.4352819999999999</v>
      </c>
      <c r="AE7026">
        <v>0.27377829999999997</v>
      </c>
      <c r="AF7026">
        <v>261</v>
      </c>
      <c r="AG7026">
        <f>IFERROR(AH7026*0.1, "N/A")</f>
        <v>7.0963520000000004</v>
      </c>
      <c r="AH7026">
        <v>70.963520000000003</v>
      </c>
      <c r="AI7026">
        <v>83.462320000000005</v>
      </c>
      <c r="AJ7026">
        <v>23.036480000000001</v>
      </c>
      <c r="AK7026">
        <v>62.524050000000003</v>
      </c>
    </row>
    <row r="7027" spans="1:37" x14ac:dyDescent="0.3">
      <c r="A7027">
        <v>7026</v>
      </c>
      <c r="B7027">
        <v>0</v>
      </c>
      <c r="C7027">
        <v>-3.1333299999999999</v>
      </c>
      <c r="D7027">
        <v>16.5</v>
      </c>
      <c r="E7027">
        <f>-3.13333-16.5</f>
        <v>-19.633330000000001</v>
      </c>
      <c r="F7027" t="s">
        <v>10472</v>
      </c>
      <c r="G7027" t="s">
        <v>37</v>
      </c>
      <c r="H7027">
        <v>1990</v>
      </c>
      <c r="I7027">
        <v>28.5</v>
      </c>
      <c r="J7027">
        <v>15.3</v>
      </c>
      <c r="K7027">
        <v>54</v>
      </c>
      <c r="L7027">
        <v>40.10942</v>
      </c>
      <c r="M7027">
        <v>41.4</v>
      </c>
      <c r="N7027">
        <v>13.18275</v>
      </c>
      <c r="O7027">
        <v>28.21725</v>
      </c>
      <c r="P7027">
        <v>30.567</v>
      </c>
      <c r="Q7027">
        <v>24.28275</v>
      </c>
      <c r="R7027">
        <v>32.9</v>
      </c>
      <c r="S7027">
        <v>22.482749999999999</v>
      </c>
      <c r="T7027">
        <v>226.0796</v>
      </c>
      <c r="U7027">
        <v>93.693200000000004</v>
      </c>
      <c r="V7027">
        <v>0</v>
      </c>
      <c r="W7027">
        <v>157.38640000000001</v>
      </c>
      <c r="X7027">
        <v>198.38640000000001</v>
      </c>
      <c r="Y7027">
        <v>0</v>
      </c>
      <c r="Z7027">
        <v>86.693200000000004</v>
      </c>
      <c r="AA7027">
        <v>0</v>
      </c>
      <c r="AB7027">
        <v>1.7880640000000001</v>
      </c>
      <c r="AC7027">
        <v>5.7077879999999998E-2</v>
      </c>
      <c r="AD7027">
        <v>1.4352819999999999</v>
      </c>
      <c r="AE7027">
        <v>0.27377829999999997</v>
      </c>
      <c r="AF7027">
        <v>261</v>
      </c>
      <c r="AG7027">
        <f>IFERROR(AH7027*0.1, "N/A")</f>
        <v>7.0963520000000004</v>
      </c>
      <c r="AH7027">
        <v>70.963520000000003</v>
      </c>
      <c r="AI7027">
        <v>83.462320000000005</v>
      </c>
      <c r="AJ7027">
        <v>23.036480000000001</v>
      </c>
      <c r="AK7027">
        <v>62.524050000000003</v>
      </c>
    </row>
    <row r="7028" spans="1:37" x14ac:dyDescent="0.3">
      <c r="A7028">
        <v>7027</v>
      </c>
      <c r="B7028">
        <v>5.3</v>
      </c>
      <c r="C7028">
        <v>-3.22424</v>
      </c>
      <c r="D7028">
        <v>16.517600000000002</v>
      </c>
      <c r="E7028">
        <f>-3.22424-16.517599</f>
        <v>-19.741838999999999</v>
      </c>
      <c r="F7028" t="s">
        <v>10473</v>
      </c>
      <c r="G7028" t="s">
        <v>39</v>
      </c>
      <c r="H7028">
        <v>1990</v>
      </c>
      <c r="I7028">
        <v>28.4</v>
      </c>
      <c r="J7028">
        <v>15.4</v>
      </c>
      <c r="K7028">
        <v>54</v>
      </c>
      <c r="L7028">
        <v>39.964469999999999</v>
      </c>
      <c r="M7028">
        <v>41.3</v>
      </c>
      <c r="N7028">
        <v>13.1</v>
      </c>
      <c r="O7028">
        <v>28.2</v>
      </c>
      <c r="P7028">
        <v>30.5</v>
      </c>
      <c r="Q7028">
        <v>24.197019999999998</v>
      </c>
      <c r="R7028">
        <v>32.799999999999997</v>
      </c>
      <c r="S7028">
        <v>22.4</v>
      </c>
      <c r="T7028">
        <v>219.97020000000001</v>
      </c>
      <c r="U7028">
        <v>89.970200000000006</v>
      </c>
      <c r="V7028">
        <v>0</v>
      </c>
      <c r="W7028">
        <v>150.97020000000001</v>
      </c>
      <c r="X7028">
        <v>190.97020000000001</v>
      </c>
      <c r="Y7028">
        <v>0</v>
      </c>
      <c r="Z7028">
        <v>86</v>
      </c>
      <c r="AA7028">
        <v>0</v>
      </c>
      <c r="AB7028">
        <v>1.3581099999999999</v>
      </c>
      <c r="AC7028">
        <v>1.260141E-2</v>
      </c>
      <c r="AD7028">
        <v>1.4029879999999999</v>
      </c>
      <c r="AE7028">
        <v>0.27098990000000001</v>
      </c>
      <c r="AF7028">
        <v>261.72680000000003</v>
      </c>
      <c r="AG7028">
        <f>IFERROR(AH7028*0.1, "N/A")</f>
        <v>8.0970200000000006</v>
      </c>
      <c r="AH7028">
        <v>80.970200000000006</v>
      </c>
      <c r="AI7028">
        <v>234.20760000000001</v>
      </c>
      <c r="AJ7028">
        <v>22.922190000000001</v>
      </c>
      <c r="AK7028">
        <v>64.059600000000003</v>
      </c>
    </row>
    <row r="7029" spans="1:37" x14ac:dyDescent="0.3">
      <c r="A7029">
        <v>7028</v>
      </c>
      <c r="B7029">
        <v>0.7</v>
      </c>
      <c r="C7029">
        <v>-3.22424</v>
      </c>
      <c r="D7029">
        <v>16.517600000000002</v>
      </c>
      <c r="E7029">
        <f>-3.22424-16.517599</f>
        <v>-19.741838999999999</v>
      </c>
      <c r="F7029" t="s">
        <v>10474</v>
      </c>
      <c r="G7029" t="s">
        <v>37</v>
      </c>
      <c r="H7029">
        <v>1990</v>
      </c>
      <c r="I7029">
        <v>28.4</v>
      </c>
      <c r="J7029">
        <v>15.4</v>
      </c>
      <c r="K7029">
        <v>54</v>
      </c>
      <c r="L7029">
        <v>39.964469999999999</v>
      </c>
      <c r="M7029">
        <v>41.3</v>
      </c>
      <c r="N7029">
        <v>13.1</v>
      </c>
      <c r="O7029">
        <v>28.2</v>
      </c>
      <c r="P7029">
        <v>30.5</v>
      </c>
      <c r="Q7029">
        <v>24.197019999999998</v>
      </c>
      <c r="R7029">
        <v>32.799999999999997</v>
      </c>
      <c r="S7029">
        <v>22.4</v>
      </c>
      <c r="T7029">
        <v>219.97020000000001</v>
      </c>
      <c r="U7029">
        <v>89.970200000000006</v>
      </c>
      <c r="V7029">
        <v>0</v>
      </c>
      <c r="W7029">
        <v>150.97020000000001</v>
      </c>
      <c r="X7029">
        <v>190.97020000000001</v>
      </c>
      <c r="Y7029">
        <v>0</v>
      </c>
      <c r="Z7029">
        <v>86</v>
      </c>
      <c r="AA7029">
        <v>0</v>
      </c>
      <c r="AB7029">
        <v>1.3581099999999999</v>
      </c>
      <c r="AC7029">
        <v>1.260141E-2</v>
      </c>
      <c r="AD7029">
        <v>1.4029879999999999</v>
      </c>
      <c r="AE7029">
        <v>0.27098990000000001</v>
      </c>
      <c r="AF7029">
        <v>261.72680000000003</v>
      </c>
      <c r="AG7029">
        <f>IFERROR(AH7029*0.1, "N/A")</f>
        <v>8.0970200000000006</v>
      </c>
      <c r="AH7029">
        <v>80.970200000000006</v>
      </c>
      <c r="AI7029">
        <v>234.20760000000001</v>
      </c>
      <c r="AJ7029">
        <v>22.922190000000001</v>
      </c>
      <c r="AK7029">
        <v>64.059600000000003</v>
      </c>
    </row>
    <row r="7030" spans="1:37" x14ac:dyDescent="0.3">
      <c r="A7030">
        <v>7029</v>
      </c>
      <c r="B7030">
        <v>0</v>
      </c>
      <c r="C7030">
        <v>0.22</v>
      </c>
      <c r="D7030">
        <v>16.525300000000001</v>
      </c>
      <c r="E7030" t="s">
        <v>10475</v>
      </c>
      <c r="F7030" t="s">
        <v>10476</v>
      </c>
      <c r="G7030" t="s">
        <v>39</v>
      </c>
      <c r="H7030">
        <v>1983</v>
      </c>
      <c r="I7030">
        <v>29.7</v>
      </c>
      <c r="J7030">
        <v>14.5</v>
      </c>
      <c r="K7030">
        <v>54</v>
      </c>
      <c r="L7030">
        <v>37.108550000000001</v>
      </c>
      <c r="M7030">
        <v>41.5</v>
      </c>
      <c r="N7030">
        <v>14.9</v>
      </c>
      <c r="O7030">
        <v>26.6</v>
      </c>
      <c r="P7030">
        <v>31.7</v>
      </c>
      <c r="Q7030">
        <v>25.7</v>
      </c>
      <c r="R7030">
        <v>33.700000000000003</v>
      </c>
      <c r="S7030">
        <v>24.2</v>
      </c>
      <c r="T7030">
        <v>192.14189999999999</v>
      </c>
      <c r="U7030">
        <v>78.570959999999999</v>
      </c>
      <c r="V7030">
        <v>0</v>
      </c>
      <c r="W7030">
        <v>149.4323</v>
      </c>
      <c r="X7030">
        <v>162.571</v>
      </c>
      <c r="Y7030">
        <v>0</v>
      </c>
      <c r="Z7030">
        <v>78.570959999999999</v>
      </c>
      <c r="AA7030">
        <v>0</v>
      </c>
      <c r="AB7030">
        <v>1.674275</v>
      </c>
      <c r="AC7030">
        <v>1.0190899999999999E-2</v>
      </c>
      <c r="AD7030">
        <v>1.4588570000000001</v>
      </c>
      <c r="AE7030">
        <v>9.2526639999999993E-2</v>
      </c>
      <c r="AF7030">
        <v>263.38780000000003</v>
      </c>
      <c r="AG7030">
        <f>IFERROR(AH7030*0.1, "N/A")</f>
        <v>7.8996700000000004</v>
      </c>
      <c r="AH7030">
        <v>78.996700000000004</v>
      </c>
      <c r="AI7030">
        <v>139.5515</v>
      </c>
      <c r="AJ7030">
        <v>7</v>
      </c>
      <c r="AK7030">
        <v>87.998350000000002</v>
      </c>
    </row>
    <row r="7031" spans="1:37" x14ac:dyDescent="0.3">
      <c r="A7031">
        <v>7030</v>
      </c>
      <c r="B7031">
        <v>2.1</v>
      </c>
      <c r="C7031">
        <v>-3.1937700000000002</v>
      </c>
      <c r="D7031">
        <v>16.549299999999999</v>
      </c>
      <c r="E7031">
        <f>-3.19377-16.549299</f>
        <v>-19.743069000000002</v>
      </c>
      <c r="F7031" t="s">
        <v>10477</v>
      </c>
      <c r="G7031" t="s">
        <v>39</v>
      </c>
      <c r="H7031">
        <v>1990</v>
      </c>
      <c r="I7031">
        <v>28.4</v>
      </c>
      <c r="J7031">
        <v>15.4</v>
      </c>
      <c r="K7031">
        <v>54</v>
      </c>
      <c r="L7031">
        <v>40.086559999999999</v>
      </c>
      <c r="M7031">
        <v>41.3</v>
      </c>
      <c r="N7031">
        <v>13.1</v>
      </c>
      <c r="O7031">
        <v>28.2</v>
      </c>
      <c r="P7031">
        <v>30.522849999999998</v>
      </c>
      <c r="Q7031">
        <v>24.2</v>
      </c>
      <c r="R7031">
        <v>32.799999999999997</v>
      </c>
      <c r="S7031">
        <v>22.4</v>
      </c>
      <c r="T7031">
        <v>214.54300000000001</v>
      </c>
      <c r="U7031">
        <v>87.771519999999995</v>
      </c>
      <c r="V7031">
        <v>0</v>
      </c>
      <c r="W7031">
        <v>155.54300000000001</v>
      </c>
      <c r="X7031">
        <v>186.54300000000001</v>
      </c>
      <c r="Y7031">
        <v>0</v>
      </c>
      <c r="Z7031">
        <v>83.771519999999995</v>
      </c>
      <c r="AA7031">
        <v>0</v>
      </c>
      <c r="AB7031">
        <v>8.5460200000000004</v>
      </c>
      <c r="AC7031">
        <v>8.6213169999999999E-3</v>
      </c>
      <c r="AD7031">
        <v>1.4342839999999999</v>
      </c>
      <c r="AE7031">
        <v>0.26670120000000003</v>
      </c>
      <c r="AF7031">
        <v>263.57780000000002</v>
      </c>
      <c r="AG7031">
        <f>IFERROR(AH7031*0.1, "N/A")</f>
        <v>7.8899010000000009</v>
      </c>
      <c r="AH7031">
        <v>78.899010000000004</v>
      </c>
      <c r="AI7031">
        <v>141.3938</v>
      </c>
      <c r="AJ7031">
        <v>24.753309999999999</v>
      </c>
      <c r="AK7031">
        <v>58.892380000000003</v>
      </c>
    </row>
    <row r="7032" spans="1:37" x14ac:dyDescent="0.3">
      <c r="A7032">
        <v>7031</v>
      </c>
      <c r="B7032">
        <v>0</v>
      </c>
      <c r="C7032">
        <v>-3.1937700000000002</v>
      </c>
      <c r="D7032">
        <v>16.549299999999999</v>
      </c>
      <c r="E7032">
        <f>-3.19377-16.549299</f>
        <v>-19.743069000000002</v>
      </c>
      <c r="F7032" t="s">
        <v>10478</v>
      </c>
      <c r="G7032" t="s">
        <v>37</v>
      </c>
      <c r="H7032">
        <v>1990</v>
      </c>
      <c r="I7032">
        <v>28.4</v>
      </c>
      <c r="J7032">
        <v>15.4</v>
      </c>
      <c r="K7032">
        <v>54</v>
      </c>
      <c r="L7032">
        <v>40.086559999999999</v>
      </c>
      <c r="M7032">
        <v>41.3</v>
      </c>
      <c r="N7032">
        <v>13.1</v>
      </c>
      <c r="O7032">
        <v>28.2</v>
      </c>
      <c r="P7032">
        <v>30.522849999999998</v>
      </c>
      <c r="Q7032">
        <v>24.2</v>
      </c>
      <c r="R7032">
        <v>32.799999999999997</v>
      </c>
      <c r="S7032">
        <v>22.4</v>
      </c>
      <c r="T7032">
        <v>214.54300000000001</v>
      </c>
      <c r="U7032">
        <v>87.771519999999995</v>
      </c>
      <c r="V7032">
        <v>0</v>
      </c>
      <c r="W7032">
        <v>155.54300000000001</v>
      </c>
      <c r="X7032">
        <v>186.54300000000001</v>
      </c>
      <c r="Y7032">
        <v>0</v>
      </c>
      <c r="Z7032">
        <v>83.771519999999995</v>
      </c>
      <c r="AA7032">
        <v>0</v>
      </c>
      <c r="AB7032">
        <v>8.5460200000000004</v>
      </c>
      <c r="AC7032">
        <v>8.6213169999999999E-3</v>
      </c>
      <c r="AD7032">
        <v>1.4342839999999999</v>
      </c>
      <c r="AE7032">
        <v>0.26670120000000003</v>
      </c>
      <c r="AF7032">
        <v>263.57780000000002</v>
      </c>
      <c r="AG7032">
        <f>IFERROR(AH7032*0.1, "N/A")</f>
        <v>7.8899010000000009</v>
      </c>
      <c r="AH7032">
        <v>78.899010000000004</v>
      </c>
      <c r="AI7032">
        <v>141.3938</v>
      </c>
      <c r="AJ7032">
        <v>24.753309999999999</v>
      </c>
      <c r="AK7032">
        <v>58.892380000000003</v>
      </c>
    </row>
    <row r="7033" spans="1:37" x14ac:dyDescent="0.3">
      <c r="A7033">
        <v>7032</v>
      </c>
      <c r="B7033">
        <v>0</v>
      </c>
      <c r="C7033">
        <v>-0.13194400000000001</v>
      </c>
      <c r="D7033">
        <v>16.560300000000002</v>
      </c>
      <c r="E7033">
        <f>-0.131944-16.560301</f>
        <v>-16.692245</v>
      </c>
      <c r="F7033" t="s">
        <v>10479</v>
      </c>
      <c r="G7033" t="s">
        <v>39</v>
      </c>
      <c r="H7033">
        <v>1990</v>
      </c>
      <c r="I7033">
        <v>29.9</v>
      </c>
      <c r="J7033">
        <v>14.6</v>
      </c>
      <c r="K7033">
        <v>53</v>
      </c>
      <c r="L7033">
        <v>38.299999999999997</v>
      </c>
      <c r="M7033">
        <v>42</v>
      </c>
      <c r="N7033">
        <v>14.9</v>
      </c>
      <c r="O7033">
        <v>27.1</v>
      </c>
      <c r="P7033">
        <v>31.7</v>
      </c>
      <c r="Q7033">
        <v>25.7</v>
      </c>
      <c r="R7033">
        <v>34</v>
      </c>
      <c r="S7033">
        <v>24.2</v>
      </c>
      <c r="T7033">
        <v>179</v>
      </c>
      <c r="U7033">
        <v>71</v>
      </c>
      <c r="V7033">
        <v>0</v>
      </c>
      <c r="W7033">
        <v>153</v>
      </c>
      <c r="X7033">
        <v>152</v>
      </c>
      <c r="Y7033">
        <v>0</v>
      </c>
      <c r="Z7033">
        <v>22</v>
      </c>
      <c r="AA7033">
        <v>0</v>
      </c>
      <c r="AB7033">
        <v>0.28199439999999998</v>
      </c>
      <c r="AC7033">
        <v>8.1999640000000006E-3</v>
      </c>
      <c r="AD7033">
        <v>1.086211</v>
      </c>
      <c r="AE7033">
        <v>0.29397760000000001</v>
      </c>
      <c r="AF7033">
        <v>249.75700000000001</v>
      </c>
      <c r="AG7033" t="str">
        <f>IFERROR(AH7033*0.1, "N/A")</f>
        <v>N/A</v>
      </c>
      <c r="AH7033" t="s">
        <v>729</v>
      </c>
      <c r="AI7033">
        <v>175.4041</v>
      </c>
      <c r="AJ7033" t="s">
        <v>729</v>
      </c>
      <c r="AK7033" t="s">
        <v>729</v>
      </c>
    </row>
    <row r="7034" spans="1:37" x14ac:dyDescent="0.3">
      <c r="A7034">
        <v>7033</v>
      </c>
      <c r="B7034">
        <v>0</v>
      </c>
      <c r="C7034">
        <v>-0.13194400000000001</v>
      </c>
      <c r="D7034">
        <v>16.560300000000002</v>
      </c>
      <c r="E7034">
        <f>-0.131944-16.560301</f>
        <v>-16.692245</v>
      </c>
      <c r="F7034" t="s">
        <v>10480</v>
      </c>
      <c r="G7034" t="s">
        <v>37</v>
      </c>
      <c r="H7034">
        <v>1990</v>
      </c>
      <c r="I7034">
        <v>29.9</v>
      </c>
      <c r="J7034">
        <v>14.6</v>
      </c>
      <c r="K7034">
        <v>53</v>
      </c>
      <c r="L7034">
        <v>38.299999999999997</v>
      </c>
      <c r="M7034">
        <v>42</v>
      </c>
      <c r="N7034">
        <v>14.9</v>
      </c>
      <c r="O7034">
        <v>27.1</v>
      </c>
      <c r="P7034">
        <v>31.7</v>
      </c>
      <c r="Q7034">
        <v>25.7</v>
      </c>
      <c r="R7034">
        <v>34</v>
      </c>
      <c r="S7034">
        <v>24.2</v>
      </c>
      <c r="T7034">
        <v>179</v>
      </c>
      <c r="U7034">
        <v>71</v>
      </c>
      <c r="V7034">
        <v>0</v>
      </c>
      <c r="W7034">
        <v>153</v>
      </c>
      <c r="X7034">
        <v>152</v>
      </c>
      <c r="Y7034">
        <v>0</v>
      </c>
      <c r="Z7034">
        <v>22</v>
      </c>
      <c r="AA7034">
        <v>0</v>
      </c>
      <c r="AB7034">
        <v>0.28199439999999998</v>
      </c>
      <c r="AC7034">
        <v>8.1999640000000006E-3</v>
      </c>
      <c r="AD7034">
        <v>1.086211</v>
      </c>
      <c r="AE7034">
        <v>0.29397760000000001</v>
      </c>
      <c r="AF7034">
        <v>249.75700000000001</v>
      </c>
      <c r="AG7034" t="str">
        <f>IFERROR(AH7034*0.1, "N/A")</f>
        <v>N/A</v>
      </c>
      <c r="AH7034" t="s">
        <v>729</v>
      </c>
      <c r="AI7034">
        <v>175.4041</v>
      </c>
      <c r="AJ7034" t="s">
        <v>729</v>
      </c>
      <c r="AK7034" t="s">
        <v>729</v>
      </c>
    </row>
    <row r="7035" spans="1:37" x14ac:dyDescent="0.3">
      <c r="A7035">
        <v>7034</v>
      </c>
      <c r="B7035">
        <v>5</v>
      </c>
      <c r="C7035">
        <v>-3.3679999999999999</v>
      </c>
      <c r="D7035">
        <v>16.582000000000001</v>
      </c>
      <c r="E7035">
        <f>-3.368-16.582001</f>
        <v>-19.950001</v>
      </c>
      <c r="F7035" t="s">
        <v>10481</v>
      </c>
      <c r="G7035" t="s">
        <v>39</v>
      </c>
      <c r="H7035">
        <v>1987</v>
      </c>
      <c r="I7035">
        <v>28.3</v>
      </c>
      <c r="J7035">
        <v>15.4</v>
      </c>
      <c r="K7035">
        <v>54</v>
      </c>
      <c r="L7035">
        <v>39.799999999999997</v>
      </c>
      <c r="M7035">
        <v>41.4</v>
      </c>
      <c r="N7035">
        <v>13.1</v>
      </c>
      <c r="O7035">
        <v>28.3</v>
      </c>
      <c r="P7035">
        <v>30.4</v>
      </c>
      <c r="Q7035">
        <v>24</v>
      </c>
      <c r="R7035">
        <v>32.6</v>
      </c>
      <c r="S7035">
        <v>22.3</v>
      </c>
      <c r="T7035">
        <v>202</v>
      </c>
      <c r="U7035">
        <v>81</v>
      </c>
      <c r="V7035">
        <v>0</v>
      </c>
      <c r="W7035">
        <v>153</v>
      </c>
      <c r="X7035">
        <v>174</v>
      </c>
      <c r="Y7035">
        <v>0</v>
      </c>
      <c r="Z7035">
        <v>81</v>
      </c>
      <c r="AA7035">
        <v>0</v>
      </c>
      <c r="AB7035">
        <v>1.4293739999999999</v>
      </c>
      <c r="AC7035">
        <v>101.8937</v>
      </c>
      <c r="AD7035">
        <v>1.1125259999999999</v>
      </c>
      <c r="AE7035">
        <v>0.26334259999999998</v>
      </c>
      <c r="AF7035">
        <v>258.83659999999998</v>
      </c>
      <c r="AG7035">
        <f>IFERROR(AH7035*0.1, "N/A")</f>
        <v>6.4493399999999994</v>
      </c>
      <c r="AH7035">
        <v>64.493399999999994</v>
      </c>
      <c r="AI7035">
        <v>85.408799999999999</v>
      </c>
      <c r="AJ7035">
        <v>28.848179999999999</v>
      </c>
      <c r="AK7035">
        <v>52.151820000000001</v>
      </c>
    </row>
    <row r="7036" spans="1:37" x14ac:dyDescent="0.3">
      <c r="A7036">
        <v>7035</v>
      </c>
      <c r="B7036">
        <v>4.7</v>
      </c>
      <c r="C7036">
        <v>-3.3666700000000001</v>
      </c>
      <c r="D7036">
        <v>16.583300000000001</v>
      </c>
      <c r="E7036">
        <f>-3.36667-16.5833</f>
        <v>-19.94997</v>
      </c>
      <c r="F7036" t="s">
        <v>10482</v>
      </c>
      <c r="G7036" t="s">
        <v>39</v>
      </c>
      <c r="H7036">
        <v>1990</v>
      </c>
      <c r="I7036">
        <v>28.3</v>
      </c>
      <c r="J7036">
        <v>15.4</v>
      </c>
      <c r="K7036">
        <v>54</v>
      </c>
      <c r="L7036">
        <v>39.815730000000002</v>
      </c>
      <c r="M7036">
        <v>41.4</v>
      </c>
      <c r="N7036">
        <v>13.04336</v>
      </c>
      <c r="O7036">
        <v>28.356639999999999</v>
      </c>
      <c r="P7036">
        <v>30.4</v>
      </c>
      <c r="Q7036">
        <v>24.02608</v>
      </c>
      <c r="R7036">
        <v>32.6</v>
      </c>
      <c r="S7036">
        <v>22.326080000000001</v>
      </c>
      <c r="T7036">
        <v>201.73920000000001</v>
      </c>
      <c r="U7036">
        <v>80.739199999999997</v>
      </c>
      <c r="V7036">
        <v>0</v>
      </c>
      <c r="W7036">
        <v>152.73920000000001</v>
      </c>
      <c r="X7036">
        <v>173.73920000000001</v>
      </c>
      <c r="Y7036">
        <v>0</v>
      </c>
      <c r="Z7036">
        <v>81</v>
      </c>
      <c r="AA7036">
        <v>0</v>
      </c>
      <c r="AB7036">
        <v>1.346516</v>
      </c>
      <c r="AC7036">
        <v>0.25767570000000001</v>
      </c>
      <c r="AD7036">
        <v>0.65510029999999997</v>
      </c>
      <c r="AE7036">
        <v>0.26334259999999998</v>
      </c>
      <c r="AF7036">
        <v>259.90199999999999</v>
      </c>
      <c r="AG7036">
        <f>IFERROR(AH7036*0.1, "N/A")</f>
        <v>7.2624579999999996</v>
      </c>
      <c r="AH7036">
        <v>72.624579999999995</v>
      </c>
      <c r="AI7036">
        <v>143.6379</v>
      </c>
      <c r="AJ7036">
        <v>22.029900000000001</v>
      </c>
      <c r="AK7036">
        <v>60.810630000000003</v>
      </c>
    </row>
    <row r="7037" spans="1:37" x14ac:dyDescent="0.3">
      <c r="A7037">
        <v>7036</v>
      </c>
      <c r="B7037">
        <v>20.399999999999999</v>
      </c>
      <c r="C7037">
        <v>-3.73333</v>
      </c>
      <c r="D7037">
        <v>16.7333</v>
      </c>
      <c r="E7037">
        <f>-3.73333-16.733299</f>
        <v>-20.466628999999998</v>
      </c>
      <c r="F7037" t="s">
        <v>10483</v>
      </c>
      <c r="G7037" t="s">
        <v>39</v>
      </c>
      <c r="H7037">
        <v>1990</v>
      </c>
      <c r="I7037">
        <v>28.2</v>
      </c>
      <c r="J7037">
        <v>15.6</v>
      </c>
      <c r="K7037">
        <v>54</v>
      </c>
      <c r="L7037">
        <v>39.794530000000002</v>
      </c>
      <c r="M7037">
        <v>41.6</v>
      </c>
      <c r="N7037">
        <v>13.04678</v>
      </c>
      <c r="O7037">
        <v>28.55322</v>
      </c>
      <c r="P7037">
        <v>30.246780000000001</v>
      </c>
      <c r="Q7037">
        <v>23.94678</v>
      </c>
      <c r="R7037">
        <v>32.5</v>
      </c>
      <c r="S7037">
        <v>22.246780000000001</v>
      </c>
      <c r="T7037">
        <v>174</v>
      </c>
      <c r="U7037">
        <v>67</v>
      </c>
      <c r="V7037">
        <v>0</v>
      </c>
      <c r="W7037">
        <v>145</v>
      </c>
      <c r="X7037">
        <v>148</v>
      </c>
      <c r="Y7037">
        <v>0</v>
      </c>
      <c r="Z7037">
        <v>71</v>
      </c>
      <c r="AA7037">
        <v>0</v>
      </c>
      <c r="AB7037">
        <v>13.821</v>
      </c>
      <c r="AC7037">
        <v>8.1927179999999999E-3</v>
      </c>
      <c r="AD7037">
        <v>1.9598519999999999</v>
      </c>
      <c r="AE7037">
        <v>0.27079900000000001</v>
      </c>
      <c r="AF7037">
        <v>268.62810000000002</v>
      </c>
      <c r="AG7037">
        <f>IFERROR(AH7037*0.1, "N/A")</f>
        <v>7.7654550000000002</v>
      </c>
      <c r="AH7037">
        <v>77.65455</v>
      </c>
      <c r="AI7037">
        <v>225.60339999999999</v>
      </c>
      <c r="AJ7037">
        <v>0.3900826</v>
      </c>
      <c r="AK7037">
        <v>97.768600000000006</v>
      </c>
    </row>
    <row r="7038" spans="1:37" x14ac:dyDescent="0.3">
      <c r="A7038">
        <v>7037</v>
      </c>
      <c r="B7038">
        <v>21</v>
      </c>
      <c r="C7038">
        <v>-3.7429999999999999</v>
      </c>
      <c r="D7038">
        <v>16.739999999999998</v>
      </c>
      <c r="E7038">
        <f>-3.743-16.74</f>
        <v>-20.482999999999997</v>
      </c>
      <c r="F7038" t="s">
        <v>10484</v>
      </c>
      <c r="G7038" t="s">
        <v>39</v>
      </c>
      <c r="H7038">
        <v>1987</v>
      </c>
      <c r="I7038">
        <v>28.2</v>
      </c>
      <c r="J7038">
        <v>15.6</v>
      </c>
      <c r="K7038">
        <v>54</v>
      </c>
      <c r="L7038">
        <v>39.950000000000003</v>
      </c>
      <c r="M7038">
        <v>41.7</v>
      </c>
      <c r="N7038">
        <v>13.1</v>
      </c>
      <c r="O7038">
        <v>28.6</v>
      </c>
      <c r="P7038">
        <v>30.3</v>
      </c>
      <c r="Q7038">
        <v>24</v>
      </c>
      <c r="R7038">
        <v>32.6</v>
      </c>
      <c r="S7038">
        <v>22.3</v>
      </c>
      <c r="T7038">
        <v>174</v>
      </c>
      <c r="U7038">
        <v>67</v>
      </c>
      <c r="V7038">
        <v>0</v>
      </c>
      <c r="W7038">
        <v>145</v>
      </c>
      <c r="X7038">
        <v>148</v>
      </c>
      <c r="Y7038">
        <v>0</v>
      </c>
      <c r="Z7038">
        <v>71</v>
      </c>
      <c r="AA7038">
        <v>0</v>
      </c>
      <c r="AB7038">
        <v>9.9909309999999998</v>
      </c>
      <c r="AC7038">
        <v>2.242771E-2</v>
      </c>
      <c r="AD7038">
        <v>3.4421490000000001</v>
      </c>
      <c r="AE7038">
        <v>0.36099330000000002</v>
      </c>
      <c r="AF7038">
        <v>257.98349999999999</v>
      </c>
      <c r="AG7038">
        <f>IFERROR(AH7038*0.1, "N/A")</f>
        <v>8</v>
      </c>
      <c r="AH7038">
        <v>80</v>
      </c>
      <c r="AI7038">
        <v>278.95159999999998</v>
      </c>
      <c r="AJ7038">
        <v>1</v>
      </c>
      <c r="AK7038">
        <v>96</v>
      </c>
    </row>
    <row r="7039" spans="1:37" x14ac:dyDescent="0.3">
      <c r="A7039">
        <v>7038</v>
      </c>
      <c r="B7039">
        <v>11.3</v>
      </c>
      <c r="C7039">
        <v>-1.0161100000000001</v>
      </c>
      <c r="D7039">
        <v>16.9861</v>
      </c>
      <c r="E7039">
        <f>-1.01611-16.986099</f>
        <v>-18.002209000000001</v>
      </c>
      <c r="F7039" t="s">
        <v>10485</v>
      </c>
      <c r="G7039" t="s">
        <v>39</v>
      </c>
      <c r="H7039">
        <v>1990</v>
      </c>
      <c r="I7039">
        <v>29.4</v>
      </c>
      <c r="J7039">
        <v>15</v>
      </c>
      <c r="K7039">
        <v>55</v>
      </c>
      <c r="L7039">
        <v>36.21</v>
      </c>
      <c r="M7039">
        <v>41.7</v>
      </c>
      <c r="N7039">
        <v>14.8</v>
      </c>
      <c r="O7039">
        <v>26.9</v>
      </c>
      <c r="P7039">
        <v>30.9</v>
      </c>
      <c r="Q7039">
        <v>25.5</v>
      </c>
      <c r="R7039">
        <v>33.299999999999997</v>
      </c>
      <c r="S7039">
        <v>24</v>
      </c>
      <c r="T7039">
        <v>157</v>
      </c>
      <c r="U7039">
        <v>67</v>
      </c>
      <c r="V7039">
        <v>0</v>
      </c>
      <c r="W7039">
        <v>149</v>
      </c>
      <c r="X7039">
        <v>135</v>
      </c>
      <c r="Y7039">
        <v>0</v>
      </c>
      <c r="Z7039">
        <v>19</v>
      </c>
      <c r="AA7039">
        <v>0</v>
      </c>
      <c r="AB7039">
        <v>0.60958270000000003</v>
      </c>
      <c r="AC7039">
        <v>3080.36</v>
      </c>
      <c r="AD7039">
        <v>2.1613380000000002</v>
      </c>
      <c r="AE7039">
        <v>8.7577360000000007E-2</v>
      </c>
      <c r="AF7039">
        <v>255.53550000000001</v>
      </c>
      <c r="AG7039">
        <f>IFERROR(AH7039*0.1, "N/A")</f>
        <v>7.6991630000000004</v>
      </c>
      <c r="AH7039">
        <v>76.991630000000001</v>
      </c>
      <c r="AI7039">
        <v>210.12440000000001</v>
      </c>
      <c r="AJ7039">
        <v>5.0669459999999997</v>
      </c>
      <c r="AK7039">
        <v>83.916319999999999</v>
      </c>
    </row>
    <row r="7040" spans="1:37" x14ac:dyDescent="0.3">
      <c r="A7040">
        <v>7039</v>
      </c>
      <c r="B7040">
        <v>0</v>
      </c>
      <c r="C7040">
        <v>-1.0161100000000001</v>
      </c>
      <c r="D7040">
        <v>16.9861</v>
      </c>
      <c r="E7040">
        <f>-1.01611-16.986099</f>
        <v>-18.002209000000001</v>
      </c>
      <c r="F7040" t="s">
        <v>10486</v>
      </c>
      <c r="G7040" t="s">
        <v>37</v>
      </c>
      <c r="H7040">
        <v>1990</v>
      </c>
      <c r="I7040">
        <v>29.4</v>
      </c>
      <c r="J7040">
        <v>15</v>
      </c>
      <c r="K7040">
        <v>55</v>
      </c>
      <c r="L7040">
        <v>36.21</v>
      </c>
      <c r="M7040">
        <v>41.7</v>
      </c>
      <c r="N7040">
        <v>14.8</v>
      </c>
      <c r="O7040">
        <v>26.9</v>
      </c>
      <c r="P7040">
        <v>30.9</v>
      </c>
      <c r="Q7040">
        <v>25.5</v>
      </c>
      <c r="R7040">
        <v>33.299999999999997</v>
      </c>
      <c r="S7040">
        <v>24</v>
      </c>
      <c r="T7040">
        <v>157</v>
      </c>
      <c r="U7040">
        <v>67</v>
      </c>
      <c r="V7040">
        <v>0</v>
      </c>
      <c r="W7040">
        <v>149</v>
      </c>
      <c r="X7040">
        <v>135</v>
      </c>
      <c r="Y7040">
        <v>0</v>
      </c>
      <c r="Z7040">
        <v>19</v>
      </c>
      <c r="AA7040">
        <v>0</v>
      </c>
      <c r="AB7040">
        <v>0.60958270000000003</v>
      </c>
      <c r="AC7040">
        <v>3080.36</v>
      </c>
      <c r="AD7040">
        <v>2.1613380000000002</v>
      </c>
      <c r="AE7040">
        <v>8.7577360000000007E-2</v>
      </c>
      <c r="AF7040">
        <v>255.53550000000001</v>
      </c>
      <c r="AG7040">
        <f>IFERROR(AH7040*0.1, "N/A")</f>
        <v>7.6991630000000004</v>
      </c>
      <c r="AH7040">
        <v>76.991630000000001</v>
      </c>
      <c r="AI7040">
        <v>210.12440000000001</v>
      </c>
      <c r="AJ7040">
        <v>5.0669459999999997</v>
      </c>
      <c r="AK7040">
        <v>83.916319999999999</v>
      </c>
    </row>
    <row r="7041" spans="1:37" x14ac:dyDescent="0.3">
      <c r="A7041">
        <v>7040</v>
      </c>
      <c r="B7041">
        <v>4.8</v>
      </c>
      <c r="C7041">
        <v>-0.95722200000000002</v>
      </c>
      <c r="D7041">
        <v>16.996400000000001</v>
      </c>
      <c r="E7041">
        <f>-0.957222-16.996401</f>
        <v>-17.953623</v>
      </c>
      <c r="F7041" t="s">
        <v>10487</v>
      </c>
      <c r="G7041" t="s">
        <v>39</v>
      </c>
      <c r="H7041">
        <v>1990</v>
      </c>
      <c r="I7041">
        <v>29.4</v>
      </c>
      <c r="J7041">
        <v>15</v>
      </c>
      <c r="K7041">
        <v>55</v>
      </c>
      <c r="L7041">
        <v>36.4</v>
      </c>
      <c r="M7041">
        <v>41.8</v>
      </c>
      <c r="N7041">
        <v>14.8</v>
      </c>
      <c r="O7041">
        <v>27</v>
      </c>
      <c r="P7041">
        <v>30.9</v>
      </c>
      <c r="Q7041">
        <v>25.6</v>
      </c>
      <c r="R7041">
        <v>33.4</v>
      </c>
      <c r="S7041">
        <v>24</v>
      </c>
      <c r="T7041">
        <v>156</v>
      </c>
      <c r="U7041">
        <v>66</v>
      </c>
      <c r="V7041">
        <v>0</v>
      </c>
      <c r="W7041">
        <v>147</v>
      </c>
      <c r="X7041">
        <v>134</v>
      </c>
      <c r="Y7041">
        <v>0</v>
      </c>
      <c r="Z7041">
        <v>19</v>
      </c>
      <c r="AA7041">
        <v>0</v>
      </c>
      <c r="AB7041">
        <v>4.284459</v>
      </c>
      <c r="AC7041">
        <v>1.9446250000000002E-2</v>
      </c>
      <c r="AD7041">
        <v>1.9742409999999999</v>
      </c>
      <c r="AE7041">
        <v>9.3990820000000003E-2</v>
      </c>
      <c r="AF7041">
        <v>256.26780000000002</v>
      </c>
      <c r="AG7041">
        <f>IFERROR(AH7041*0.1, "N/A")</f>
        <v>7.6872340000000001</v>
      </c>
      <c r="AH7041">
        <v>76.872339999999994</v>
      </c>
      <c r="AI7041">
        <v>172.49010000000001</v>
      </c>
      <c r="AJ7041">
        <v>2.2127659999999998</v>
      </c>
      <c r="AK7041">
        <v>88.659570000000002</v>
      </c>
    </row>
    <row r="7042" spans="1:37" x14ac:dyDescent="0.3">
      <c r="A7042">
        <v>7041</v>
      </c>
      <c r="B7042">
        <v>0</v>
      </c>
      <c r="C7042">
        <v>-0.95722200000000002</v>
      </c>
      <c r="D7042">
        <v>16.996400000000001</v>
      </c>
      <c r="E7042">
        <f>-0.957222-16.996401</f>
        <v>-17.953623</v>
      </c>
      <c r="F7042" t="s">
        <v>10488</v>
      </c>
      <c r="G7042" t="s">
        <v>37</v>
      </c>
      <c r="H7042">
        <v>1990</v>
      </c>
      <c r="I7042">
        <v>29.4</v>
      </c>
      <c r="J7042">
        <v>15</v>
      </c>
      <c r="K7042">
        <v>55</v>
      </c>
      <c r="L7042">
        <v>36.4</v>
      </c>
      <c r="M7042">
        <v>41.8</v>
      </c>
      <c r="N7042">
        <v>14.8</v>
      </c>
      <c r="O7042">
        <v>27</v>
      </c>
      <c r="P7042">
        <v>30.9</v>
      </c>
      <c r="Q7042">
        <v>25.6</v>
      </c>
      <c r="R7042">
        <v>33.4</v>
      </c>
      <c r="S7042">
        <v>24</v>
      </c>
      <c r="T7042">
        <v>156</v>
      </c>
      <c r="U7042">
        <v>66</v>
      </c>
      <c r="V7042">
        <v>0</v>
      </c>
      <c r="W7042">
        <v>147</v>
      </c>
      <c r="X7042">
        <v>134</v>
      </c>
      <c r="Y7042">
        <v>0</v>
      </c>
      <c r="Z7042">
        <v>19</v>
      </c>
      <c r="AA7042">
        <v>0</v>
      </c>
      <c r="AB7042">
        <v>4.284459</v>
      </c>
      <c r="AC7042">
        <v>1.9446250000000002E-2</v>
      </c>
      <c r="AD7042">
        <v>1.9742409999999999</v>
      </c>
      <c r="AE7042">
        <v>9.3990820000000003E-2</v>
      </c>
      <c r="AF7042">
        <v>256.26780000000002</v>
      </c>
      <c r="AG7042">
        <f>IFERROR(AH7042*0.1, "N/A")</f>
        <v>7.6872340000000001</v>
      </c>
      <c r="AH7042">
        <v>76.872339999999994</v>
      </c>
      <c r="AI7042">
        <v>172.49010000000001</v>
      </c>
      <c r="AJ7042">
        <v>2.2127659999999998</v>
      </c>
      <c r="AK7042">
        <v>88.659570000000002</v>
      </c>
    </row>
    <row r="7043" spans="1:37" x14ac:dyDescent="0.3">
      <c r="A7043">
        <v>7042</v>
      </c>
      <c r="B7043">
        <v>2.6</v>
      </c>
      <c r="C7043">
        <v>-0.93555600000000005</v>
      </c>
      <c r="D7043">
        <v>17.000599999999999</v>
      </c>
      <c r="E7043">
        <f>-0.935556-17.000601</f>
        <v>-17.936157000000001</v>
      </c>
      <c r="F7043" t="s">
        <v>10489</v>
      </c>
      <c r="G7043" t="s">
        <v>39</v>
      </c>
      <c r="H7043">
        <v>1990</v>
      </c>
      <c r="I7043">
        <v>29.4</v>
      </c>
      <c r="J7043">
        <v>15</v>
      </c>
      <c r="K7043">
        <v>55</v>
      </c>
      <c r="L7043">
        <v>36.43</v>
      </c>
      <c r="M7043">
        <v>41.8</v>
      </c>
      <c r="N7043">
        <v>14.8</v>
      </c>
      <c r="O7043">
        <v>27</v>
      </c>
      <c r="P7043">
        <v>31</v>
      </c>
      <c r="Q7043">
        <v>25.5</v>
      </c>
      <c r="R7043">
        <v>33.4</v>
      </c>
      <c r="S7043">
        <v>24</v>
      </c>
      <c r="T7043">
        <v>155</v>
      </c>
      <c r="U7043">
        <v>65</v>
      </c>
      <c r="V7043">
        <v>0</v>
      </c>
      <c r="W7043">
        <v>157</v>
      </c>
      <c r="X7043">
        <v>133</v>
      </c>
      <c r="Y7043">
        <v>0</v>
      </c>
      <c r="Z7043">
        <v>19</v>
      </c>
      <c r="AA7043">
        <v>0</v>
      </c>
      <c r="AB7043">
        <v>4.2536240000000003</v>
      </c>
      <c r="AC7043">
        <v>2.3844259999999999E-2</v>
      </c>
      <c r="AD7043">
        <v>2.4219270000000002</v>
      </c>
      <c r="AE7043">
        <v>8.293557E-2</v>
      </c>
      <c r="AF7043">
        <v>258.56580000000002</v>
      </c>
      <c r="AG7043">
        <f>IFERROR(AH7043*0.1, "N/A")</f>
        <v>7.7664469999999994</v>
      </c>
      <c r="AH7043">
        <v>77.664469999999994</v>
      </c>
      <c r="AI7043">
        <v>208.78360000000001</v>
      </c>
      <c r="AJ7043">
        <v>10.046049999999999</v>
      </c>
      <c r="AK7043">
        <v>77.953950000000006</v>
      </c>
    </row>
    <row r="7044" spans="1:37" x14ac:dyDescent="0.3">
      <c r="A7044">
        <v>7043</v>
      </c>
      <c r="B7044">
        <v>1.4</v>
      </c>
      <c r="C7044">
        <v>-0.93555600000000005</v>
      </c>
      <c r="D7044">
        <v>17.000599999999999</v>
      </c>
      <c r="E7044">
        <f>-0.935556-17.000601</f>
        <v>-17.936157000000001</v>
      </c>
      <c r="F7044" t="s">
        <v>10490</v>
      </c>
      <c r="G7044" t="s">
        <v>37</v>
      </c>
      <c r="H7044">
        <v>1990</v>
      </c>
      <c r="I7044">
        <v>29.4</v>
      </c>
      <c r="J7044">
        <v>15</v>
      </c>
      <c r="K7044">
        <v>55</v>
      </c>
      <c r="L7044">
        <v>36.43</v>
      </c>
      <c r="M7044">
        <v>41.8</v>
      </c>
      <c r="N7044">
        <v>14.8</v>
      </c>
      <c r="O7044">
        <v>27</v>
      </c>
      <c r="P7044">
        <v>31</v>
      </c>
      <c r="Q7044">
        <v>25.5</v>
      </c>
      <c r="R7044">
        <v>33.4</v>
      </c>
      <c r="S7044">
        <v>24</v>
      </c>
      <c r="T7044">
        <v>155</v>
      </c>
      <c r="U7044">
        <v>65</v>
      </c>
      <c r="V7044">
        <v>0</v>
      </c>
      <c r="W7044">
        <v>157</v>
      </c>
      <c r="X7044">
        <v>133</v>
      </c>
      <c r="Y7044">
        <v>0</v>
      </c>
      <c r="Z7044">
        <v>19</v>
      </c>
      <c r="AA7044">
        <v>0</v>
      </c>
      <c r="AB7044">
        <v>4.2536240000000003</v>
      </c>
      <c r="AC7044">
        <v>2.3844259999999999E-2</v>
      </c>
      <c r="AD7044">
        <v>2.4219270000000002</v>
      </c>
      <c r="AE7044">
        <v>8.293557E-2</v>
      </c>
      <c r="AF7044">
        <v>258.56580000000002</v>
      </c>
      <c r="AG7044">
        <f>IFERROR(AH7044*0.1, "N/A")</f>
        <v>7.7664469999999994</v>
      </c>
      <c r="AH7044">
        <v>77.664469999999994</v>
      </c>
      <c r="AI7044">
        <v>208.78360000000001</v>
      </c>
      <c r="AJ7044">
        <v>10.046049999999999</v>
      </c>
      <c r="AK7044">
        <v>77.953950000000006</v>
      </c>
    </row>
    <row r="7045" spans="1:37" x14ac:dyDescent="0.3">
      <c r="A7045">
        <v>7044</v>
      </c>
      <c r="B7045">
        <v>1.3</v>
      </c>
      <c r="C7045">
        <v>-0.89066000000000001</v>
      </c>
      <c r="D7045">
        <v>17.002199999999998</v>
      </c>
      <c r="E7045">
        <f>-0.89066-17.002199</f>
        <v>-17.892859000000001</v>
      </c>
      <c r="F7045" t="s">
        <v>10491</v>
      </c>
      <c r="G7045" t="s">
        <v>39</v>
      </c>
      <c r="H7045">
        <v>1990</v>
      </c>
      <c r="I7045">
        <v>29.4</v>
      </c>
      <c r="J7045">
        <v>15</v>
      </c>
      <c r="K7045">
        <v>55</v>
      </c>
      <c r="L7045">
        <v>36.61</v>
      </c>
      <c r="M7045">
        <v>41.7</v>
      </c>
      <c r="N7045">
        <v>14.7</v>
      </c>
      <c r="O7045">
        <v>27</v>
      </c>
      <c r="P7045">
        <v>31.1</v>
      </c>
      <c r="Q7045">
        <v>25.5</v>
      </c>
      <c r="R7045">
        <v>33.4</v>
      </c>
      <c r="S7045">
        <v>24</v>
      </c>
      <c r="T7045">
        <v>155</v>
      </c>
      <c r="U7045">
        <v>65</v>
      </c>
      <c r="V7045">
        <v>0</v>
      </c>
      <c r="W7045">
        <v>157</v>
      </c>
      <c r="X7045">
        <v>133</v>
      </c>
      <c r="Y7045">
        <v>0</v>
      </c>
      <c r="Z7045">
        <v>19</v>
      </c>
      <c r="AA7045">
        <v>0</v>
      </c>
      <c r="AB7045">
        <v>1.149262</v>
      </c>
      <c r="AC7045">
        <v>8.7293540000000003E-2</v>
      </c>
      <c r="AD7045">
        <v>1.549215</v>
      </c>
      <c r="AE7045">
        <v>9.2561080000000004E-2</v>
      </c>
      <c r="AF7045">
        <v>256.61900000000003</v>
      </c>
      <c r="AG7045" t="str">
        <f>IFERROR(AH7045*0.1, "N/A")</f>
        <v>N/A</v>
      </c>
      <c r="AH7045" t="s">
        <v>729</v>
      </c>
      <c r="AI7045">
        <v>168.0008</v>
      </c>
      <c r="AJ7045" t="s">
        <v>729</v>
      </c>
      <c r="AK7045" t="s">
        <v>729</v>
      </c>
    </row>
    <row r="7046" spans="1:37" x14ac:dyDescent="0.3">
      <c r="A7046">
        <v>7045</v>
      </c>
      <c r="B7046">
        <v>0</v>
      </c>
      <c r="C7046">
        <v>-0.89066000000000001</v>
      </c>
      <c r="D7046">
        <v>17.002199999999998</v>
      </c>
      <c r="E7046">
        <f>-0.89066-17.002199</f>
        <v>-17.892859000000001</v>
      </c>
      <c r="F7046" t="s">
        <v>10492</v>
      </c>
      <c r="G7046" t="s">
        <v>37</v>
      </c>
      <c r="H7046">
        <v>1990</v>
      </c>
      <c r="I7046">
        <v>29.4</v>
      </c>
      <c r="J7046">
        <v>15</v>
      </c>
      <c r="K7046">
        <v>55</v>
      </c>
      <c r="L7046">
        <v>36.61</v>
      </c>
      <c r="M7046">
        <v>41.7</v>
      </c>
      <c r="N7046">
        <v>14.7</v>
      </c>
      <c r="O7046">
        <v>27</v>
      </c>
      <c r="P7046">
        <v>31.1</v>
      </c>
      <c r="Q7046">
        <v>25.5</v>
      </c>
      <c r="R7046">
        <v>33.4</v>
      </c>
      <c r="S7046">
        <v>24</v>
      </c>
      <c r="T7046">
        <v>155</v>
      </c>
      <c r="U7046">
        <v>65</v>
      </c>
      <c r="V7046">
        <v>0</v>
      </c>
      <c r="W7046">
        <v>157</v>
      </c>
      <c r="X7046">
        <v>133</v>
      </c>
      <c r="Y7046">
        <v>0</v>
      </c>
      <c r="Z7046">
        <v>19</v>
      </c>
      <c r="AA7046">
        <v>0</v>
      </c>
      <c r="AB7046">
        <v>1.149262</v>
      </c>
      <c r="AC7046">
        <v>8.7293540000000003E-2</v>
      </c>
      <c r="AD7046">
        <v>1.549215</v>
      </c>
      <c r="AE7046">
        <v>9.2561080000000004E-2</v>
      </c>
      <c r="AF7046">
        <v>256.61900000000003</v>
      </c>
      <c r="AG7046" t="str">
        <f>IFERROR(AH7046*0.1, "N/A")</f>
        <v>N/A</v>
      </c>
      <c r="AH7046" t="s">
        <v>729</v>
      </c>
      <c r="AI7046">
        <v>168.0008</v>
      </c>
      <c r="AJ7046" t="s">
        <v>729</v>
      </c>
      <c r="AK7046" t="s">
        <v>729</v>
      </c>
    </row>
    <row r="7047" spans="1:37" x14ac:dyDescent="0.3">
      <c r="A7047">
        <v>7046</v>
      </c>
      <c r="B7047">
        <v>2.7</v>
      </c>
      <c r="C7047">
        <v>-1.0719399999999999</v>
      </c>
      <c r="D7047">
        <v>17.040299999999998</v>
      </c>
      <c r="E7047">
        <f>-1.07194-17.0403</f>
        <v>-18.11224</v>
      </c>
      <c r="F7047" t="s">
        <v>10493</v>
      </c>
      <c r="G7047" t="s">
        <v>39</v>
      </c>
      <c r="H7047">
        <v>1990</v>
      </c>
      <c r="I7047">
        <v>29.4</v>
      </c>
      <c r="J7047">
        <v>15.1</v>
      </c>
      <c r="K7047">
        <v>55</v>
      </c>
      <c r="L7047">
        <v>36.369999999999997</v>
      </c>
      <c r="M7047">
        <v>41.7</v>
      </c>
      <c r="N7047">
        <v>14.7</v>
      </c>
      <c r="O7047">
        <v>27</v>
      </c>
      <c r="P7047">
        <v>31</v>
      </c>
      <c r="Q7047">
        <v>25.5</v>
      </c>
      <c r="R7047">
        <v>33.299999999999997</v>
      </c>
      <c r="S7047">
        <v>23.9</v>
      </c>
      <c r="T7047">
        <v>155</v>
      </c>
      <c r="U7047">
        <v>66</v>
      </c>
      <c r="V7047">
        <v>0</v>
      </c>
      <c r="W7047">
        <v>158</v>
      </c>
      <c r="X7047">
        <v>133</v>
      </c>
      <c r="Y7047">
        <v>0</v>
      </c>
      <c r="Z7047">
        <v>19</v>
      </c>
      <c r="AA7047">
        <v>0</v>
      </c>
      <c r="AB7047">
        <v>0.41157359999999998</v>
      </c>
      <c r="AC7047">
        <v>4.4020839999999999E-2</v>
      </c>
      <c r="AD7047">
        <v>0.33883459999999999</v>
      </c>
      <c r="AE7047">
        <v>8.7700070000000005E-2</v>
      </c>
      <c r="AF7047">
        <v>257.28429999999997</v>
      </c>
      <c r="AG7047">
        <f>IFERROR(AH7047*0.1, "N/A")</f>
        <v>6.9247930000000002</v>
      </c>
      <c r="AH7047">
        <v>69.247929999999997</v>
      </c>
      <c r="AI7047">
        <v>107.14570000000001</v>
      </c>
      <c r="AJ7047">
        <v>17.024789999999999</v>
      </c>
      <c r="AK7047">
        <v>66.074380000000005</v>
      </c>
    </row>
    <row r="7048" spans="1:37" x14ac:dyDescent="0.3">
      <c r="A7048">
        <v>7047</v>
      </c>
      <c r="B7048">
        <v>0</v>
      </c>
      <c r="C7048">
        <v>-1.0719399999999999</v>
      </c>
      <c r="D7048">
        <v>17.040299999999998</v>
      </c>
      <c r="E7048">
        <f>-1.07194-17.0403</f>
        <v>-18.11224</v>
      </c>
      <c r="F7048" t="s">
        <v>10494</v>
      </c>
      <c r="G7048" t="s">
        <v>37</v>
      </c>
      <c r="H7048">
        <v>1990</v>
      </c>
      <c r="I7048">
        <v>29.4</v>
      </c>
      <c r="J7048">
        <v>15.1</v>
      </c>
      <c r="K7048">
        <v>55</v>
      </c>
      <c r="L7048">
        <v>36.369999999999997</v>
      </c>
      <c r="M7048">
        <v>41.7</v>
      </c>
      <c r="N7048">
        <v>14.7</v>
      </c>
      <c r="O7048">
        <v>27</v>
      </c>
      <c r="P7048">
        <v>31</v>
      </c>
      <c r="Q7048">
        <v>25.5</v>
      </c>
      <c r="R7048">
        <v>33.299999999999997</v>
      </c>
      <c r="S7048">
        <v>23.9</v>
      </c>
      <c r="T7048">
        <v>155</v>
      </c>
      <c r="U7048">
        <v>66</v>
      </c>
      <c r="V7048">
        <v>0</v>
      </c>
      <c r="W7048">
        <v>158</v>
      </c>
      <c r="X7048">
        <v>133</v>
      </c>
      <c r="Y7048">
        <v>0</v>
      </c>
      <c r="Z7048">
        <v>19</v>
      </c>
      <c r="AA7048">
        <v>0</v>
      </c>
      <c r="AB7048">
        <v>0.41157359999999998</v>
      </c>
      <c r="AC7048">
        <v>4.4020839999999999E-2</v>
      </c>
      <c r="AD7048">
        <v>0.33883459999999999</v>
      </c>
      <c r="AE7048">
        <v>8.7700070000000005E-2</v>
      </c>
      <c r="AF7048">
        <v>257.28429999999997</v>
      </c>
      <c r="AG7048">
        <f>IFERROR(AH7048*0.1, "N/A")</f>
        <v>6.9247930000000002</v>
      </c>
      <c r="AH7048">
        <v>69.247929999999997</v>
      </c>
      <c r="AI7048">
        <v>107.14570000000001</v>
      </c>
      <c r="AJ7048">
        <v>17.024789999999999</v>
      </c>
      <c r="AK7048">
        <v>66.074380000000005</v>
      </c>
    </row>
    <row r="7049" spans="1:37" x14ac:dyDescent="0.3">
      <c r="A7049">
        <v>7048</v>
      </c>
      <c r="B7049">
        <v>0</v>
      </c>
      <c r="C7049">
        <v>35.222299999999997</v>
      </c>
      <c r="D7049">
        <v>-17.099399999999999</v>
      </c>
      <c r="E7049" t="s">
        <v>10495</v>
      </c>
      <c r="F7049" t="s">
        <v>10496</v>
      </c>
      <c r="G7049" t="s">
        <v>37</v>
      </c>
      <c r="H7049">
        <v>2004</v>
      </c>
      <c r="I7049">
        <v>25.8</v>
      </c>
      <c r="J7049">
        <v>13.4</v>
      </c>
      <c r="K7049">
        <v>59</v>
      </c>
      <c r="L7049">
        <v>27.9</v>
      </c>
      <c r="M7049">
        <v>36.6</v>
      </c>
      <c r="N7049">
        <v>14.1</v>
      </c>
      <c r="O7049">
        <v>22.5</v>
      </c>
      <c r="P7049">
        <v>28.1</v>
      </c>
      <c r="Q7049">
        <v>23.1</v>
      </c>
      <c r="R7049">
        <v>28.6</v>
      </c>
      <c r="S7049">
        <v>21.6</v>
      </c>
      <c r="T7049">
        <v>837</v>
      </c>
      <c r="U7049">
        <v>182</v>
      </c>
      <c r="V7049">
        <v>9</v>
      </c>
      <c r="W7049">
        <v>92</v>
      </c>
      <c r="X7049">
        <v>494</v>
      </c>
      <c r="Y7049">
        <v>32</v>
      </c>
      <c r="Z7049">
        <v>265</v>
      </c>
      <c r="AA7049">
        <v>39</v>
      </c>
      <c r="AB7049">
        <v>11.845890000000001</v>
      </c>
      <c r="AC7049">
        <v>2.026789E-2</v>
      </c>
      <c r="AD7049">
        <v>1.8993949999999999</v>
      </c>
      <c r="AE7049">
        <v>0.65675740000000005</v>
      </c>
      <c r="AF7049">
        <v>48.30921</v>
      </c>
      <c r="AG7049">
        <f>IFERROR(AH7049*0.1, "N/A")</f>
        <v>6.5046049999999997</v>
      </c>
      <c r="AH7049">
        <v>65.046049999999994</v>
      </c>
      <c r="AI7049">
        <v>107.5488</v>
      </c>
      <c r="AJ7049">
        <v>25</v>
      </c>
      <c r="AK7049">
        <v>64</v>
      </c>
    </row>
    <row r="7050" spans="1:37" x14ac:dyDescent="0.3">
      <c r="A7050">
        <v>7049</v>
      </c>
      <c r="B7050">
        <v>11.666700000000001</v>
      </c>
      <c r="C7050">
        <v>35.222299999999997</v>
      </c>
      <c r="D7050">
        <v>-17.099399999999999</v>
      </c>
      <c r="E7050" t="s">
        <v>10495</v>
      </c>
      <c r="F7050" t="s">
        <v>10497</v>
      </c>
      <c r="G7050" t="s">
        <v>39</v>
      </c>
      <c r="H7050">
        <v>2004</v>
      </c>
      <c r="I7050">
        <v>25.8</v>
      </c>
      <c r="J7050">
        <v>13.4</v>
      </c>
      <c r="K7050">
        <v>59</v>
      </c>
      <c r="L7050">
        <v>27.9</v>
      </c>
      <c r="M7050">
        <v>36.6</v>
      </c>
      <c r="N7050">
        <v>14.1</v>
      </c>
      <c r="O7050">
        <v>22.5</v>
      </c>
      <c r="P7050">
        <v>28.1</v>
      </c>
      <c r="Q7050">
        <v>23.1</v>
      </c>
      <c r="R7050">
        <v>28.6</v>
      </c>
      <c r="S7050">
        <v>21.6</v>
      </c>
      <c r="T7050">
        <v>837</v>
      </c>
      <c r="U7050">
        <v>182</v>
      </c>
      <c r="V7050">
        <v>9</v>
      </c>
      <c r="W7050">
        <v>92</v>
      </c>
      <c r="X7050">
        <v>494</v>
      </c>
      <c r="Y7050">
        <v>32</v>
      </c>
      <c r="Z7050">
        <v>265</v>
      </c>
      <c r="AA7050">
        <v>39</v>
      </c>
      <c r="AB7050">
        <v>11.845890000000001</v>
      </c>
      <c r="AC7050">
        <v>2.026789E-2</v>
      </c>
      <c r="AD7050">
        <v>1.8993949999999999</v>
      </c>
      <c r="AE7050">
        <v>0.65675740000000005</v>
      </c>
      <c r="AF7050">
        <v>48.30921</v>
      </c>
      <c r="AG7050">
        <f>IFERROR(AH7050*0.1, "N/A")</f>
        <v>6.5046049999999997</v>
      </c>
      <c r="AH7050">
        <v>65.046049999999994</v>
      </c>
      <c r="AI7050">
        <v>107.5488</v>
      </c>
      <c r="AJ7050">
        <v>25</v>
      </c>
      <c r="AK7050">
        <v>64</v>
      </c>
    </row>
    <row r="7051" spans="1:37" x14ac:dyDescent="0.3">
      <c r="A7051">
        <v>7050</v>
      </c>
      <c r="B7051">
        <v>0</v>
      </c>
      <c r="C7051">
        <v>34.896099999999997</v>
      </c>
      <c r="D7051">
        <v>-16.541499999999999</v>
      </c>
      <c r="E7051" t="s">
        <v>10498</v>
      </c>
      <c r="F7051" t="s">
        <v>10499</v>
      </c>
      <c r="G7051" t="s">
        <v>37</v>
      </c>
      <c r="H7051">
        <v>2004</v>
      </c>
      <c r="I7051">
        <v>25.95804</v>
      </c>
      <c r="J7051">
        <v>12.4</v>
      </c>
      <c r="K7051">
        <v>58</v>
      </c>
      <c r="L7051">
        <v>27.59741</v>
      </c>
      <c r="M7051">
        <v>35.958039999999997</v>
      </c>
      <c r="N7051">
        <v>14.858040000000001</v>
      </c>
      <c r="O7051">
        <v>21.1</v>
      </c>
      <c r="P7051">
        <v>28.15804</v>
      </c>
      <c r="Q7051">
        <v>23.558039999999998</v>
      </c>
      <c r="R7051">
        <v>28.916090000000001</v>
      </c>
      <c r="S7051">
        <v>21.95804</v>
      </c>
      <c r="T7051">
        <v>868.35659999999996</v>
      </c>
      <c r="U7051">
        <v>195</v>
      </c>
      <c r="V7051">
        <v>6</v>
      </c>
      <c r="W7051">
        <v>97.419569999999993</v>
      </c>
      <c r="X7051">
        <v>556.67830000000004</v>
      </c>
      <c r="Y7051">
        <v>26.41957</v>
      </c>
      <c r="Z7051">
        <v>282.83909999999997</v>
      </c>
      <c r="AA7051">
        <v>38.41957</v>
      </c>
      <c r="AB7051">
        <v>5.47546</v>
      </c>
      <c r="AC7051">
        <v>8.6957229999999996E-2</v>
      </c>
      <c r="AD7051">
        <v>2.826705</v>
      </c>
      <c r="AE7051">
        <v>0.54197740000000005</v>
      </c>
      <c r="AF7051">
        <v>146.13759999999999</v>
      </c>
      <c r="AG7051">
        <f>IFERROR(AH7051*0.1, "N/A")</f>
        <v>7.5</v>
      </c>
      <c r="AH7051">
        <v>75</v>
      </c>
      <c r="AI7051">
        <v>140.83000000000001</v>
      </c>
      <c r="AJ7051">
        <v>36.004980000000003</v>
      </c>
      <c r="AK7051">
        <v>49.990049999999997</v>
      </c>
    </row>
    <row r="7052" spans="1:37" x14ac:dyDescent="0.3">
      <c r="A7052">
        <v>7051</v>
      </c>
      <c r="B7052">
        <v>10.344799999999999</v>
      </c>
      <c r="C7052">
        <v>34.896099999999997</v>
      </c>
      <c r="D7052">
        <v>-16.541499999999999</v>
      </c>
      <c r="E7052" t="s">
        <v>10498</v>
      </c>
      <c r="F7052" t="s">
        <v>10500</v>
      </c>
      <c r="G7052" t="s">
        <v>39</v>
      </c>
      <c r="H7052">
        <v>2004</v>
      </c>
      <c r="I7052">
        <v>25.95804</v>
      </c>
      <c r="J7052">
        <v>12.4</v>
      </c>
      <c r="K7052">
        <v>58</v>
      </c>
      <c r="L7052">
        <v>27.59741</v>
      </c>
      <c r="M7052">
        <v>35.958039999999997</v>
      </c>
      <c r="N7052">
        <v>14.858040000000001</v>
      </c>
      <c r="O7052">
        <v>21.1</v>
      </c>
      <c r="P7052">
        <v>28.15804</v>
      </c>
      <c r="Q7052">
        <v>23.558039999999998</v>
      </c>
      <c r="R7052">
        <v>28.916090000000001</v>
      </c>
      <c r="S7052">
        <v>21.95804</v>
      </c>
      <c r="T7052">
        <v>868.35659999999996</v>
      </c>
      <c r="U7052">
        <v>195</v>
      </c>
      <c r="V7052">
        <v>6</v>
      </c>
      <c r="W7052">
        <v>97.419569999999993</v>
      </c>
      <c r="X7052">
        <v>556.67830000000004</v>
      </c>
      <c r="Y7052">
        <v>26.41957</v>
      </c>
      <c r="Z7052">
        <v>282.83909999999997</v>
      </c>
      <c r="AA7052">
        <v>38.41957</v>
      </c>
      <c r="AB7052">
        <v>5.47546</v>
      </c>
      <c r="AC7052">
        <v>8.6957229999999996E-2</v>
      </c>
      <c r="AD7052">
        <v>2.826705</v>
      </c>
      <c r="AE7052">
        <v>0.54197740000000005</v>
      </c>
      <c r="AF7052">
        <v>146.13759999999999</v>
      </c>
      <c r="AG7052">
        <f>IFERROR(AH7052*0.1, "N/A")</f>
        <v>7.5</v>
      </c>
      <c r="AH7052">
        <v>75</v>
      </c>
      <c r="AI7052">
        <v>140.83000000000001</v>
      </c>
      <c r="AJ7052">
        <v>36.004980000000003</v>
      </c>
      <c r="AK7052">
        <v>49.990049999999997</v>
      </c>
    </row>
    <row r="7053" spans="1:37" x14ac:dyDescent="0.3">
      <c r="A7053">
        <v>7052</v>
      </c>
      <c r="B7053">
        <v>3.4</v>
      </c>
      <c r="C7053">
        <v>35.1736</v>
      </c>
      <c r="D7053">
        <v>-16.421800000000001</v>
      </c>
      <c r="E7053" t="s">
        <v>10501</v>
      </c>
      <c r="F7053" t="s">
        <v>10502</v>
      </c>
      <c r="G7053" t="s">
        <v>37</v>
      </c>
      <c r="H7053">
        <v>1985</v>
      </c>
      <c r="I7053">
        <v>25.5</v>
      </c>
      <c r="J7053">
        <v>12.4</v>
      </c>
      <c r="K7053">
        <v>56</v>
      </c>
      <c r="L7053">
        <v>28.83</v>
      </c>
      <c r="M7053">
        <v>35.799999999999997</v>
      </c>
      <c r="N7053">
        <v>14</v>
      </c>
      <c r="O7053">
        <v>21.8</v>
      </c>
      <c r="P7053">
        <v>27.8</v>
      </c>
      <c r="Q7053">
        <v>23.1</v>
      </c>
      <c r="R7053">
        <v>28.5</v>
      </c>
      <c r="S7053">
        <v>21.3</v>
      </c>
      <c r="T7053">
        <v>861</v>
      </c>
      <c r="U7053">
        <v>194</v>
      </c>
      <c r="V7053">
        <v>6</v>
      </c>
      <c r="W7053">
        <v>94</v>
      </c>
      <c r="X7053">
        <v>526</v>
      </c>
      <c r="Y7053">
        <v>35</v>
      </c>
      <c r="Z7053">
        <v>285</v>
      </c>
      <c r="AA7053">
        <v>49</v>
      </c>
      <c r="AB7053">
        <v>19.107610000000001</v>
      </c>
      <c r="AC7053">
        <v>2.787792E-2</v>
      </c>
      <c r="AD7053">
        <v>3.112606</v>
      </c>
      <c r="AE7053">
        <v>0.67409439999999998</v>
      </c>
      <c r="AF7053">
        <v>95.627480000000006</v>
      </c>
      <c r="AG7053">
        <f>IFERROR(AH7053*0.1, "N/A")</f>
        <v>6.4814570000000007</v>
      </c>
      <c r="AH7053">
        <v>64.814570000000003</v>
      </c>
      <c r="AI7053">
        <v>215.29480000000001</v>
      </c>
      <c r="AJ7053">
        <v>22.90728</v>
      </c>
      <c r="AK7053">
        <v>64.278149999999997</v>
      </c>
    </row>
    <row r="7054" spans="1:37" x14ac:dyDescent="0.3">
      <c r="A7054">
        <v>7053</v>
      </c>
      <c r="B7054">
        <v>0</v>
      </c>
      <c r="C7054">
        <v>35.180399999999999</v>
      </c>
      <c r="D7054">
        <v>-16.275600000000001</v>
      </c>
      <c r="E7054" t="s">
        <v>10503</v>
      </c>
      <c r="F7054" t="s">
        <v>10504</v>
      </c>
      <c r="G7054" t="s">
        <v>37</v>
      </c>
      <c r="H7054">
        <v>2004</v>
      </c>
      <c r="I7054">
        <v>21.400500000000001</v>
      </c>
      <c r="J7054">
        <v>10.900499999999999</v>
      </c>
      <c r="K7054">
        <v>57</v>
      </c>
      <c r="L7054">
        <v>25.640499999999999</v>
      </c>
      <c r="M7054">
        <v>30.700500000000002</v>
      </c>
      <c r="N7054">
        <v>11.6005</v>
      </c>
      <c r="O7054">
        <v>19.100000000000001</v>
      </c>
      <c r="P7054">
        <v>23.500499999999999</v>
      </c>
      <c r="Q7054">
        <v>18.901489999999999</v>
      </c>
      <c r="R7054">
        <v>24.000499999999999</v>
      </c>
      <c r="S7054">
        <v>17.6005</v>
      </c>
      <c r="T7054">
        <v>1311.92</v>
      </c>
      <c r="U7054">
        <v>244.995</v>
      </c>
      <c r="V7054">
        <v>13</v>
      </c>
      <c r="W7054">
        <v>83</v>
      </c>
      <c r="X7054">
        <v>722.96519999999998</v>
      </c>
      <c r="Y7054">
        <v>61.995019999999997</v>
      </c>
      <c r="Z7054">
        <v>397.98009999999999</v>
      </c>
      <c r="AA7054">
        <v>82.990049999999997</v>
      </c>
      <c r="AB7054">
        <v>104.8065</v>
      </c>
      <c r="AC7054">
        <v>8.2526390000000008E-3</v>
      </c>
      <c r="AD7054">
        <v>10.47293</v>
      </c>
      <c r="AE7054">
        <v>0.45341090000000001</v>
      </c>
      <c r="AF7054">
        <v>758.62850000000003</v>
      </c>
      <c r="AG7054">
        <f>IFERROR(AH7054*0.1, "N/A")</f>
        <v>5.5</v>
      </c>
      <c r="AH7054">
        <v>55</v>
      </c>
      <c r="AI7054">
        <v>131.79239999999999</v>
      </c>
      <c r="AJ7054">
        <v>29.41957</v>
      </c>
      <c r="AK7054">
        <v>58.16086</v>
      </c>
    </row>
    <row r="7055" spans="1:37" x14ac:dyDescent="0.3">
      <c r="A7055">
        <v>7054</v>
      </c>
      <c r="B7055">
        <v>0</v>
      </c>
      <c r="C7055">
        <v>35.180399999999999</v>
      </c>
      <c r="D7055">
        <v>-16.275600000000001</v>
      </c>
      <c r="E7055" t="s">
        <v>10503</v>
      </c>
      <c r="F7055" t="s">
        <v>10505</v>
      </c>
      <c r="G7055" t="s">
        <v>39</v>
      </c>
      <c r="H7055">
        <v>2004</v>
      </c>
      <c r="I7055">
        <v>21.400500000000001</v>
      </c>
      <c r="J7055">
        <v>10.900499999999999</v>
      </c>
      <c r="K7055">
        <v>57</v>
      </c>
      <c r="L7055">
        <v>25.640499999999999</v>
      </c>
      <c r="M7055">
        <v>30.700500000000002</v>
      </c>
      <c r="N7055">
        <v>11.6005</v>
      </c>
      <c r="O7055">
        <v>19.100000000000001</v>
      </c>
      <c r="P7055">
        <v>23.500499999999999</v>
      </c>
      <c r="Q7055">
        <v>18.901489999999999</v>
      </c>
      <c r="R7055">
        <v>24.000499999999999</v>
      </c>
      <c r="S7055">
        <v>17.6005</v>
      </c>
      <c r="T7055">
        <v>1311.92</v>
      </c>
      <c r="U7055">
        <v>244.995</v>
      </c>
      <c r="V7055">
        <v>13</v>
      </c>
      <c r="W7055">
        <v>83</v>
      </c>
      <c r="X7055">
        <v>722.96519999999998</v>
      </c>
      <c r="Y7055">
        <v>61.995019999999997</v>
      </c>
      <c r="Z7055">
        <v>397.98009999999999</v>
      </c>
      <c r="AA7055">
        <v>82.990049999999997</v>
      </c>
      <c r="AB7055">
        <v>104.8065</v>
      </c>
      <c r="AC7055">
        <v>8.2526390000000008E-3</v>
      </c>
      <c r="AD7055">
        <v>10.47293</v>
      </c>
      <c r="AE7055">
        <v>0.45341090000000001</v>
      </c>
      <c r="AF7055">
        <v>758.62850000000003</v>
      </c>
      <c r="AG7055">
        <f>IFERROR(AH7055*0.1, "N/A")</f>
        <v>5.5</v>
      </c>
      <c r="AH7055">
        <v>55</v>
      </c>
      <c r="AI7055">
        <v>131.79239999999999</v>
      </c>
      <c r="AJ7055">
        <v>29.41957</v>
      </c>
      <c r="AK7055">
        <v>58.16086</v>
      </c>
    </row>
    <row r="7056" spans="1:37" x14ac:dyDescent="0.3">
      <c r="A7056">
        <v>7055</v>
      </c>
      <c r="B7056">
        <v>0</v>
      </c>
      <c r="C7056">
        <v>35.347299999999997</v>
      </c>
      <c r="D7056">
        <v>-16.096800000000002</v>
      </c>
      <c r="E7056" t="s">
        <v>10506</v>
      </c>
      <c r="F7056" t="s">
        <v>10507</v>
      </c>
      <c r="G7056" t="s">
        <v>37</v>
      </c>
      <c r="H7056">
        <v>2004</v>
      </c>
      <c r="I7056">
        <v>22</v>
      </c>
      <c r="J7056">
        <v>11.3</v>
      </c>
      <c r="K7056">
        <v>58</v>
      </c>
      <c r="L7056">
        <v>26.31</v>
      </c>
      <c r="M7056">
        <v>31.1</v>
      </c>
      <c r="N7056">
        <v>11.7</v>
      </c>
      <c r="O7056">
        <v>19.399999999999999</v>
      </c>
      <c r="P7056">
        <v>24.2</v>
      </c>
      <c r="Q7056">
        <v>19.5</v>
      </c>
      <c r="R7056">
        <v>24.5</v>
      </c>
      <c r="S7056">
        <v>18.100000000000001</v>
      </c>
      <c r="T7056">
        <v>1512</v>
      </c>
      <c r="U7056">
        <v>276</v>
      </c>
      <c r="V7056">
        <v>17</v>
      </c>
      <c r="W7056">
        <v>78</v>
      </c>
      <c r="X7056">
        <v>787</v>
      </c>
      <c r="Y7056">
        <v>80</v>
      </c>
      <c r="Z7056">
        <v>656</v>
      </c>
      <c r="AA7056">
        <v>106</v>
      </c>
      <c r="AB7056">
        <v>39.142220000000002</v>
      </c>
      <c r="AC7056">
        <v>8.2190590000000008E-3</v>
      </c>
      <c r="AD7056">
        <v>3.9467880000000002</v>
      </c>
      <c r="AE7056">
        <v>0.67742880000000005</v>
      </c>
      <c r="AF7056">
        <v>644.16560000000004</v>
      </c>
      <c r="AG7056">
        <f>IFERROR(AH7056*0.1, "N/A")</f>
        <v>5.6597679999999997</v>
      </c>
      <c r="AH7056">
        <v>56.597679999999997</v>
      </c>
      <c r="AI7056">
        <v>251.9605</v>
      </c>
      <c r="AJ7056">
        <v>24.336089999999999</v>
      </c>
      <c r="AK7056">
        <v>63.0745</v>
      </c>
    </row>
    <row r="7057" spans="1:37" x14ac:dyDescent="0.3">
      <c r="A7057">
        <v>7056</v>
      </c>
      <c r="B7057">
        <v>11.666700000000001</v>
      </c>
      <c r="C7057">
        <v>35.347299999999997</v>
      </c>
      <c r="D7057">
        <v>-16.096800000000002</v>
      </c>
      <c r="E7057" t="s">
        <v>10506</v>
      </c>
      <c r="F7057" t="s">
        <v>10508</v>
      </c>
      <c r="G7057" t="s">
        <v>39</v>
      </c>
      <c r="H7057">
        <v>2004</v>
      </c>
      <c r="I7057">
        <v>22</v>
      </c>
      <c r="J7057">
        <v>11.3</v>
      </c>
      <c r="K7057">
        <v>58</v>
      </c>
      <c r="L7057">
        <v>26.31</v>
      </c>
      <c r="M7057">
        <v>31.1</v>
      </c>
      <c r="N7057">
        <v>11.7</v>
      </c>
      <c r="O7057">
        <v>19.399999999999999</v>
      </c>
      <c r="P7057">
        <v>24.2</v>
      </c>
      <c r="Q7057">
        <v>19.5</v>
      </c>
      <c r="R7057">
        <v>24.5</v>
      </c>
      <c r="S7057">
        <v>18.100000000000001</v>
      </c>
      <c r="T7057">
        <v>1512</v>
      </c>
      <c r="U7057">
        <v>276</v>
      </c>
      <c r="V7057">
        <v>17</v>
      </c>
      <c r="W7057">
        <v>78</v>
      </c>
      <c r="X7057">
        <v>787</v>
      </c>
      <c r="Y7057">
        <v>80</v>
      </c>
      <c r="Z7057">
        <v>656</v>
      </c>
      <c r="AA7057">
        <v>106</v>
      </c>
      <c r="AB7057">
        <v>39.142220000000002</v>
      </c>
      <c r="AC7057">
        <v>8.2190590000000008E-3</v>
      </c>
      <c r="AD7057">
        <v>3.9467880000000002</v>
      </c>
      <c r="AE7057">
        <v>0.67742880000000005</v>
      </c>
      <c r="AF7057">
        <v>644.16560000000004</v>
      </c>
      <c r="AG7057">
        <f>IFERROR(AH7057*0.1, "N/A")</f>
        <v>5.6597679999999997</v>
      </c>
      <c r="AH7057">
        <v>56.597679999999997</v>
      </c>
      <c r="AI7057">
        <v>251.9605</v>
      </c>
      <c r="AJ7057">
        <v>24.336089999999999</v>
      </c>
      <c r="AK7057">
        <v>63.0745</v>
      </c>
    </row>
    <row r="7058" spans="1:37" x14ac:dyDescent="0.3">
      <c r="A7058">
        <v>7057</v>
      </c>
      <c r="B7058">
        <v>29.4</v>
      </c>
      <c r="C7058">
        <v>35.133299999999998</v>
      </c>
      <c r="D7058">
        <v>-16.066700000000001</v>
      </c>
      <c r="E7058" t="s">
        <v>10509</v>
      </c>
      <c r="F7058" t="s">
        <v>10510</v>
      </c>
      <c r="G7058" t="s">
        <v>37</v>
      </c>
      <c r="H7058">
        <v>1956</v>
      </c>
      <c r="I7058">
        <v>20.414259999999999</v>
      </c>
      <c r="J7058">
        <v>10.0471</v>
      </c>
      <c r="K7058">
        <v>55.799340000000001</v>
      </c>
      <c r="L7058">
        <v>24.713049999999999</v>
      </c>
      <c r="M7058">
        <v>29.129020000000001</v>
      </c>
      <c r="N7058">
        <v>11.22007</v>
      </c>
      <c r="O7058">
        <v>17.908950000000001</v>
      </c>
      <c r="P7058">
        <v>22.408950000000001</v>
      </c>
      <c r="Q7058">
        <v>18.067160000000001</v>
      </c>
      <c r="R7058">
        <v>22.929020000000001</v>
      </c>
      <c r="S7058">
        <v>16.767160000000001</v>
      </c>
      <c r="T7058">
        <v>1384.4</v>
      </c>
      <c r="U7058">
        <v>272.02159999999998</v>
      </c>
      <c r="V7058">
        <v>12</v>
      </c>
      <c r="W7058">
        <v>82.470979999999997</v>
      </c>
      <c r="X7058">
        <v>751.2604</v>
      </c>
      <c r="Y7058">
        <v>66.185739999999996</v>
      </c>
      <c r="Z7058">
        <v>402.38139999999999</v>
      </c>
      <c r="AA7058">
        <v>91.043120000000002</v>
      </c>
      <c r="AB7058">
        <v>75.609949999999998</v>
      </c>
      <c r="AC7058">
        <v>8.5474750000000006E-3</v>
      </c>
      <c r="AD7058">
        <v>9.625864</v>
      </c>
      <c r="AE7058">
        <v>0.65307749999999998</v>
      </c>
      <c r="AF7058">
        <v>976.68489999999997</v>
      </c>
      <c r="AG7058">
        <f>IFERROR(AH7058*0.1, "N/A")</f>
        <v>5.1721390000000005</v>
      </c>
      <c r="AH7058">
        <v>51.72139</v>
      </c>
      <c r="AI7058">
        <v>107.31740000000001</v>
      </c>
      <c r="AJ7058">
        <v>38.527360000000002</v>
      </c>
      <c r="AK7058">
        <v>46.601990000000001</v>
      </c>
    </row>
    <row r="7059" spans="1:37" x14ac:dyDescent="0.3">
      <c r="A7059">
        <v>7058</v>
      </c>
      <c r="B7059">
        <v>80</v>
      </c>
      <c r="C7059">
        <v>34.800400000000003</v>
      </c>
      <c r="D7059">
        <v>-16.042200000000001</v>
      </c>
      <c r="E7059" t="s">
        <v>10511</v>
      </c>
      <c r="F7059" t="s">
        <v>10512</v>
      </c>
      <c r="G7059" t="s">
        <v>39</v>
      </c>
      <c r="H7059">
        <v>1985</v>
      </c>
      <c r="I7059">
        <v>25.796029999999998</v>
      </c>
      <c r="J7059">
        <v>12</v>
      </c>
      <c r="K7059">
        <v>54</v>
      </c>
      <c r="L7059">
        <v>30.17841</v>
      </c>
      <c r="M7059">
        <v>36.1</v>
      </c>
      <c r="N7059">
        <v>14.19603</v>
      </c>
      <c r="O7059">
        <v>21.903970000000001</v>
      </c>
      <c r="P7059">
        <v>28.19603</v>
      </c>
      <c r="Q7059">
        <v>23</v>
      </c>
      <c r="R7059">
        <v>28.996030000000001</v>
      </c>
      <c r="S7059">
        <v>21.39603</v>
      </c>
      <c r="T7059">
        <v>796.85429999999997</v>
      </c>
      <c r="U7059">
        <v>187.40889999999999</v>
      </c>
      <c r="V7059">
        <v>4</v>
      </c>
      <c r="W7059">
        <v>97</v>
      </c>
      <c r="X7059">
        <v>496.40890000000002</v>
      </c>
      <c r="Y7059">
        <v>25</v>
      </c>
      <c r="Z7059">
        <v>255</v>
      </c>
      <c r="AA7059">
        <v>37</v>
      </c>
      <c r="AB7059">
        <v>10.00165</v>
      </c>
      <c r="AC7059">
        <v>8.9018589999999998E-3</v>
      </c>
      <c r="AD7059">
        <v>0.74285590000000001</v>
      </c>
      <c r="AE7059">
        <v>0.71067170000000002</v>
      </c>
      <c r="AF7059">
        <v>106.01990000000001</v>
      </c>
      <c r="AG7059">
        <f>IFERROR(AH7059*0.1, "N/A")</f>
        <v>6.6594370000000005</v>
      </c>
      <c r="AH7059">
        <v>66.594369999999998</v>
      </c>
      <c r="AI7059">
        <v>132.95089999999999</v>
      </c>
      <c r="AJ7059">
        <v>25.465229999999998</v>
      </c>
      <c r="AK7059">
        <v>61.617550000000001</v>
      </c>
    </row>
    <row r="7060" spans="1:37" x14ac:dyDescent="0.3">
      <c r="A7060">
        <v>7059</v>
      </c>
      <c r="B7060">
        <v>28.4</v>
      </c>
      <c r="C7060">
        <v>34.799500000000002</v>
      </c>
      <c r="D7060">
        <v>-16.041399999999999</v>
      </c>
      <c r="E7060" t="s">
        <v>10513</v>
      </c>
      <c r="F7060" t="s">
        <v>10514</v>
      </c>
      <c r="G7060" t="s">
        <v>39</v>
      </c>
      <c r="H7060">
        <v>2010</v>
      </c>
      <c r="I7060">
        <v>25.72542</v>
      </c>
      <c r="J7060">
        <v>12</v>
      </c>
      <c r="K7060">
        <v>54</v>
      </c>
      <c r="L7060">
        <v>30.150169999999999</v>
      </c>
      <c r="M7060">
        <v>36.1</v>
      </c>
      <c r="N7060">
        <v>14.12542</v>
      </c>
      <c r="O7060">
        <v>21.97458</v>
      </c>
      <c r="P7060">
        <v>28.125419999999998</v>
      </c>
      <c r="Q7060">
        <v>23</v>
      </c>
      <c r="R7060">
        <v>28.925409999999999</v>
      </c>
      <c r="S7060">
        <v>21.325410000000002</v>
      </c>
      <c r="T7060">
        <v>797.95510000000002</v>
      </c>
      <c r="U7060">
        <v>187.23920000000001</v>
      </c>
      <c r="V7060">
        <v>4</v>
      </c>
      <c r="W7060">
        <v>97</v>
      </c>
      <c r="X7060">
        <v>496.23919999999998</v>
      </c>
      <c r="Y7060">
        <v>25</v>
      </c>
      <c r="Z7060">
        <v>255</v>
      </c>
      <c r="AA7060">
        <v>37</v>
      </c>
      <c r="AB7060">
        <v>7.7181030000000002</v>
      </c>
      <c r="AC7060">
        <v>1.4995049999999999E-2</v>
      </c>
      <c r="AD7060">
        <v>1.508772</v>
      </c>
      <c r="AE7060">
        <v>0.71067170000000002</v>
      </c>
      <c r="AF7060">
        <v>106.01990000000001</v>
      </c>
      <c r="AG7060">
        <f>IFERROR(AH7060*0.1, "N/A")</f>
        <v>6.6029900000000001</v>
      </c>
      <c r="AH7060">
        <v>66.029899999999998</v>
      </c>
      <c r="AI7060">
        <v>213.92160000000001</v>
      </c>
      <c r="AJ7060">
        <v>24.985050000000001</v>
      </c>
      <c r="AK7060">
        <v>62.775750000000002</v>
      </c>
    </row>
    <row r="7061" spans="1:37" x14ac:dyDescent="0.3">
      <c r="A7061">
        <v>7060</v>
      </c>
      <c r="B7061">
        <v>32</v>
      </c>
      <c r="C7061">
        <v>35.500100000000003</v>
      </c>
      <c r="D7061">
        <v>-16.033300000000001</v>
      </c>
      <c r="E7061" t="s">
        <v>10515</v>
      </c>
      <c r="F7061" t="s">
        <v>10516</v>
      </c>
      <c r="G7061" t="s">
        <v>39</v>
      </c>
      <c r="H7061">
        <v>1985</v>
      </c>
      <c r="I7061">
        <v>21.912649999999999</v>
      </c>
      <c r="J7061">
        <v>11.7</v>
      </c>
      <c r="K7061">
        <v>58.910150000000002</v>
      </c>
      <c r="L7061">
        <v>25.938320000000001</v>
      </c>
      <c r="M7061">
        <v>31.13062</v>
      </c>
      <c r="N7061">
        <v>11.46622</v>
      </c>
      <c r="O7061">
        <v>19.664390000000001</v>
      </c>
      <c r="P7061">
        <v>23.92163</v>
      </c>
      <c r="Q7061">
        <v>19.312639999999998</v>
      </c>
      <c r="R7061">
        <v>24.38785</v>
      </c>
      <c r="S7061">
        <v>18.012650000000001</v>
      </c>
      <c r="T7061">
        <v>1799.3589999999999</v>
      </c>
      <c r="U7061">
        <v>312.24290000000002</v>
      </c>
      <c r="V7061">
        <v>24.247920000000001</v>
      </c>
      <c r="W7061">
        <v>74.126459999999994</v>
      </c>
      <c r="X7061">
        <v>908.47090000000003</v>
      </c>
      <c r="Y7061">
        <v>110.2063</v>
      </c>
      <c r="Z7061">
        <v>731.57069999999999</v>
      </c>
      <c r="AA7061">
        <v>145.6156</v>
      </c>
      <c r="AB7061">
        <v>6.339772</v>
      </c>
      <c r="AC7061">
        <v>14.94384</v>
      </c>
      <c r="AD7061">
        <v>2.671964</v>
      </c>
      <c r="AE7061">
        <v>0.74172260000000001</v>
      </c>
      <c r="AF7061">
        <v>605.06989999999996</v>
      </c>
      <c r="AG7061">
        <f>IFERROR(AH7061*0.1, "N/A")</f>
        <v>5.6720470000000001</v>
      </c>
      <c r="AH7061">
        <v>56.720469999999999</v>
      </c>
      <c r="AI7061">
        <v>240.173</v>
      </c>
      <c r="AJ7061">
        <v>29.139769999999999</v>
      </c>
      <c r="AK7061">
        <v>55.5807</v>
      </c>
    </row>
    <row r="7062" spans="1:37" x14ac:dyDescent="0.3">
      <c r="A7062">
        <v>7061</v>
      </c>
      <c r="B7062">
        <v>0.7</v>
      </c>
      <c r="C7062">
        <v>35.116700000000002</v>
      </c>
      <c r="D7062">
        <v>-15.916700000000001</v>
      </c>
      <c r="E7062" t="s">
        <v>10517</v>
      </c>
      <c r="F7062" t="s">
        <v>10518</v>
      </c>
      <c r="G7062" t="s">
        <v>37</v>
      </c>
      <c r="H7062">
        <v>2000</v>
      </c>
      <c r="I7062">
        <v>20.054819999999999</v>
      </c>
      <c r="J7062">
        <v>9.5313949999999998</v>
      </c>
      <c r="K7062">
        <v>55.313949999999998</v>
      </c>
      <c r="L7062">
        <v>23.05228</v>
      </c>
      <c r="M7062">
        <v>28.238700000000001</v>
      </c>
      <c r="N7062">
        <v>11.20731</v>
      </c>
      <c r="O7062">
        <v>17.031400000000001</v>
      </c>
      <c r="P7062">
        <v>21.802330000000001</v>
      </c>
      <c r="Q7062">
        <v>17.85482</v>
      </c>
      <c r="R7062">
        <v>22.338699999999999</v>
      </c>
      <c r="S7062">
        <v>16.554819999999999</v>
      </c>
      <c r="T7062">
        <v>1280.664</v>
      </c>
      <c r="U7062">
        <v>274.54820000000001</v>
      </c>
      <c r="V7062">
        <v>8</v>
      </c>
      <c r="W7062">
        <v>89.765780000000007</v>
      </c>
      <c r="X7062">
        <v>737.14620000000002</v>
      </c>
      <c r="Y7062">
        <v>46.073090000000001</v>
      </c>
      <c r="Z7062">
        <v>383.14620000000002</v>
      </c>
      <c r="AA7062">
        <v>63.832230000000003</v>
      </c>
      <c r="AB7062">
        <v>7.3757359999999998</v>
      </c>
      <c r="AC7062">
        <v>1.2763770000000001</v>
      </c>
      <c r="AD7062">
        <v>4.8693629999999999</v>
      </c>
      <c r="AE7062">
        <v>0.69971340000000004</v>
      </c>
      <c r="AF7062">
        <v>1049.3040000000001</v>
      </c>
      <c r="AG7062">
        <f>IFERROR(AH7062*0.1, "N/A")</f>
        <v>5.7621260000000003</v>
      </c>
      <c r="AH7062">
        <v>57.621259999999999</v>
      </c>
      <c r="AI7062">
        <v>110.1999</v>
      </c>
      <c r="AJ7062">
        <v>23.38372</v>
      </c>
      <c r="AK7062">
        <v>67.302329999999998</v>
      </c>
    </row>
    <row r="7063" spans="1:37" x14ac:dyDescent="0.3">
      <c r="A7063">
        <v>7062</v>
      </c>
      <c r="B7063">
        <v>0</v>
      </c>
      <c r="C7063">
        <v>35.087800000000001</v>
      </c>
      <c r="D7063">
        <v>-15.860900000000001</v>
      </c>
      <c r="E7063" t="s">
        <v>10519</v>
      </c>
      <c r="F7063" t="s">
        <v>10520</v>
      </c>
      <c r="G7063" t="s">
        <v>37</v>
      </c>
      <c r="H7063">
        <v>2004</v>
      </c>
      <c r="I7063">
        <v>20.100000000000001</v>
      </c>
      <c r="J7063">
        <v>9.5</v>
      </c>
      <c r="K7063">
        <v>56</v>
      </c>
      <c r="L7063">
        <v>22.19</v>
      </c>
      <c r="M7063">
        <v>28.2</v>
      </c>
      <c r="N7063">
        <v>11.3</v>
      </c>
      <c r="O7063">
        <v>16.899999999999999</v>
      </c>
      <c r="P7063">
        <v>21.8</v>
      </c>
      <c r="Q7063">
        <v>18</v>
      </c>
      <c r="R7063">
        <v>22.3</v>
      </c>
      <c r="S7063">
        <v>16.8</v>
      </c>
      <c r="T7063">
        <v>1206</v>
      </c>
      <c r="U7063">
        <v>269</v>
      </c>
      <c r="V7063">
        <v>7</v>
      </c>
      <c r="W7063">
        <v>94</v>
      </c>
      <c r="X7063">
        <v>719</v>
      </c>
      <c r="Y7063">
        <v>36</v>
      </c>
      <c r="Z7063">
        <v>369</v>
      </c>
      <c r="AA7063">
        <v>49</v>
      </c>
      <c r="AB7063">
        <v>11.322010000000001</v>
      </c>
      <c r="AC7063">
        <v>0.17234060000000001</v>
      </c>
      <c r="AD7063">
        <v>7.7548709999999996</v>
      </c>
      <c r="AE7063">
        <v>0.70048489999999997</v>
      </c>
      <c r="AF7063">
        <v>1048.1099999999999</v>
      </c>
      <c r="AG7063">
        <f>IFERROR(AH7063*0.1, "N/A")</f>
        <v>5.7746670000000009</v>
      </c>
      <c r="AH7063">
        <v>57.746670000000002</v>
      </c>
      <c r="AI7063">
        <v>139.63570000000001</v>
      </c>
      <c r="AJ7063">
        <v>22.92333</v>
      </c>
      <c r="AK7063">
        <v>68.11</v>
      </c>
    </row>
    <row r="7064" spans="1:37" x14ac:dyDescent="0.3">
      <c r="A7064">
        <v>7063</v>
      </c>
      <c r="B7064">
        <v>1.88679</v>
      </c>
      <c r="C7064">
        <v>35.087800000000001</v>
      </c>
      <c r="D7064">
        <v>-15.860900000000001</v>
      </c>
      <c r="E7064" t="s">
        <v>10519</v>
      </c>
      <c r="F7064" t="s">
        <v>10521</v>
      </c>
      <c r="G7064" t="s">
        <v>39</v>
      </c>
      <c r="H7064">
        <v>2004</v>
      </c>
      <c r="I7064">
        <v>20.100000000000001</v>
      </c>
      <c r="J7064">
        <v>9.5</v>
      </c>
      <c r="K7064">
        <v>56</v>
      </c>
      <c r="L7064">
        <v>22.19</v>
      </c>
      <c r="M7064">
        <v>28.2</v>
      </c>
      <c r="N7064">
        <v>11.3</v>
      </c>
      <c r="O7064">
        <v>16.899999999999999</v>
      </c>
      <c r="P7064">
        <v>21.8</v>
      </c>
      <c r="Q7064">
        <v>18</v>
      </c>
      <c r="R7064">
        <v>22.3</v>
      </c>
      <c r="S7064">
        <v>16.8</v>
      </c>
      <c r="T7064">
        <v>1206</v>
      </c>
      <c r="U7064">
        <v>269</v>
      </c>
      <c r="V7064">
        <v>7</v>
      </c>
      <c r="W7064">
        <v>94</v>
      </c>
      <c r="X7064">
        <v>719</v>
      </c>
      <c r="Y7064">
        <v>36</v>
      </c>
      <c r="Z7064">
        <v>369</v>
      </c>
      <c r="AA7064">
        <v>49</v>
      </c>
      <c r="AB7064">
        <v>11.322010000000001</v>
      </c>
      <c r="AC7064">
        <v>0.17234060000000001</v>
      </c>
      <c r="AD7064">
        <v>7.7548709999999996</v>
      </c>
      <c r="AE7064">
        <v>0.70048489999999997</v>
      </c>
      <c r="AF7064">
        <v>1048.1099999999999</v>
      </c>
      <c r="AG7064">
        <f>IFERROR(AH7064*0.1, "N/A")</f>
        <v>5.7746670000000009</v>
      </c>
      <c r="AH7064">
        <v>57.746670000000002</v>
      </c>
      <c r="AI7064">
        <v>139.63570000000001</v>
      </c>
      <c r="AJ7064">
        <v>22.92333</v>
      </c>
      <c r="AK7064">
        <v>68.11</v>
      </c>
    </row>
    <row r="7065" spans="1:37" x14ac:dyDescent="0.3">
      <c r="A7065">
        <v>7064</v>
      </c>
      <c r="B7065">
        <v>0</v>
      </c>
      <c r="C7065">
        <v>35.054499999999997</v>
      </c>
      <c r="D7065">
        <v>-15.860900000000001</v>
      </c>
      <c r="E7065" t="s">
        <v>10522</v>
      </c>
      <c r="F7065" t="s">
        <v>10523</v>
      </c>
      <c r="G7065" t="s">
        <v>37</v>
      </c>
      <c r="H7065">
        <v>2004</v>
      </c>
      <c r="I7065">
        <v>19.5</v>
      </c>
      <c r="J7065">
        <v>9.1999999999999993</v>
      </c>
      <c r="K7065">
        <v>56</v>
      </c>
      <c r="L7065">
        <v>21.49</v>
      </c>
      <c r="M7065">
        <v>27.3</v>
      </c>
      <c r="N7065">
        <v>10.9</v>
      </c>
      <c r="O7065">
        <v>16.399999999999999</v>
      </c>
      <c r="P7065">
        <v>21.2</v>
      </c>
      <c r="Q7065">
        <v>17.399999999999999</v>
      </c>
      <c r="R7065">
        <v>21.6</v>
      </c>
      <c r="S7065">
        <v>16.3</v>
      </c>
      <c r="T7065">
        <v>1210</v>
      </c>
      <c r="U7065">
        <v>265</v>
      </c>
      <c r="V7065">
        <v>7</v>
      </c>
      <c r="W7065">
        <v>94</v>
      </c>
      <c r="X7065">
        <v>723</v>
      </c>
      <c r="Y7065">
        <v>38</v>
      </c>
      <c r="Z7065">
        <v>371</v>
      </c>
      <c r="AA7065">
        <v>51</v>
      </c>
      <c r="AB7065">
        <v>90.372</v>
      </c>
      <c r="AC7065">
        <v>1.0794059999999999E-2</v>
      </c>
      <c r="AD7065">
        <v>7.1903940000000004</v>
      </c>
      <c r="AE7065">
        <v>0.6655162</v>
      </c>
      <c r="AF7065">
        <v>1182.2650000000001</v>
      </c>
      <c r="AG7065">
        <f>IFERROR(AH7065*0.1, "N/A")</f>
        <v>5.4</v>
      </c>
      <c r="AH7065">
        <v>54</v>
      </c>
      <c r="AI7065">
        <v>259.30439999999999</v>
      </c>
      <c r="AJ7065">
        <v>32</v>
      </c>
      <c r="AK7065">
        <v>55.965170000000001</v>
      </c>
    </row>
    <row r="7066" spans="1:37" x14ac:dyDescent="0.3">
      <c r="A7066">
        <v>7065</v>
      </c>
      <c r="B7066">
        <v>6.6666699999999999</v>
      </c>
      <c r="C7066">
        <v>35.054499999999997</v>
      </c>
      <c r="D7066">
        <v>-15.860900000000001</v>
      </c>
      <c r="E7066" t="s">
        <v>10522</v>
      </c>
      <c r="F7066" t="s">
        <v>10524</v>
      </c>
      <c r="G7066" t="s">
        <v>39</v>
      </c>
      <c r="H7066">
        <v>2004</v>
      </c>
      <c r="I7066">
        <v>19.5</v>
      </c>
      <c r="J7066">
        <v>9.1999999999999993</v>
      </c>
      <c r="K7066">
        <v>56</v>
      </c>
      <c r="L7066">
        <v>21.49</v>
      </c>
      <c r="M7066">
        <v>27.3</v>
      </c>
      <c r="N7066">
        <v>10.9</v>
      </c>
      <c r="O7066">
        <v>16.399999999999999</v>
      </c>
      <c r="P7066">
        <v>21.2</v>
      </c>
      <c r="Q7066">
        <v>17.399999999999999</v>
      </c>
      <c r="R7066">
        <v>21.6</v>
      </c>
      <c r="S7066">
        <v>16.3</v>
      </c>
      <c r="T7066">
        <v>1210</v>
      </c>
      <c r="U7066">
        <v>265</v>
      </c>
      <c r="V7066">
        <v>7</v>
      </c>
      <c r="W7066">
        <v>94</v>
      </c>
      <c r="X7066">
        <v>723</v>
      </c>
      <c r="Y7066">
        <v>38</v>
      </c>
      <c r="Z7066">
        <v>371</v>
      </c>
      <c r="AA7066">
        <v>51</v>
      </c>
      <c r="AB7066">
        <v>90.372</v>
      </c>
      <c r="AC7066">
        <v>1.0794059999999999E-2</v>
      </c>
      <c r="AD7066">
        <v>7.1903940000000004</v>
      </c>
      <c r="AE7066">
        <v>0.6655162</v>
      </c>
      <c r="AF7066">
        <v>1182.2650000000001</v>
      </c>
      <c r="AG7066">
        <f>IFERROR(AH7066*0.1, "N/A")</f>
        <v>5.4</v>
      </c>
      <c r="AH7066">
        <v>54</v>
      </c>
      <c r="AI7066">
        <v>259.30439999999999</v>
      </c>
      <c r="AJ7066">
        <v>32</v>
      </c>
      <c r="AK7066">
        <v>55.965170000000001</v>
      </c>
    </row>
    <row r="7067" spans="1:37" x14ac:dyDescent="0.3">
      <c r="A7067">
        <v>7066</v>
      </c>
      <c r="B7067">
        <v>95.1</v>
      </c>
      <c r="C7067">
        <v>35.65</v>
      </c>
      <c r="D7067">
        <v>-15.8</v>
      </c>
      <c r="E7067" t="s">
        <v>10525</v>
      </c>
      <c r="F7067" t="s">
        <v>10526</v>
      </c>
      <c r="G7067" t="s">
        <v>39</v>
      </c>
      <c r="H7067">
        <v>2010</v>
      </c>
      <c r="I7067">
        <v>21.800830000000001</v>
      </c>
      <c r="J7067">
        <v>11.4</v>
      </c>
      <c r="K7067">
        <v>60</v>
      </c>
      <c r="L7067">
        <v>23.126660000000001</v>
      </c>
      <c r="M7067">
        <v>30.837710000000001</v>
      </c>
      <c r="N7067">
        <v>12</v>
      </c>
      <c r="O7067">
        <v>18.837710000000001</v>
      </c>
      <c r="P7067">
        <v>23.437709999999999</v>
      </c>
      <c r="Q7067">
        <v>19.5</v>
      </c>
      <c r="R7067">
        <v>24.038540000000001</v>
      </c>
      <c r="S7067">
        <v>18.3186</v>
      </c>
      <c r="T7067">
        <v>1718.9469999999999</v>
      </c>
      <c r="U7067">
        <v>314.62290000000002</v>
      </c>
      <c r="V7067">
        <v>20</v>
      </c>
      <c r="W7067">
        <v>80</v>
      </c>
      <c r="X7067">
        <v>905.28899999999999</v>
      </c>
      <c r="Y7067">
        <v>87.622919999999993</v>
      </c>
      <c r="Z7067">
        <v>468.23750000000001</v>
      </c>
      <c r="AA7067">
        <v>116.6146</v>
      </c>
      <c r="AB7067">
        <v>2.9055080000000002</v>
      </c>
      <c r="AC7067">
        <v>0.1047194</v>
      </c>
      <c r="AD7067">
        <v>1.2166079999999999</v>
      </c>
      <c r="AE7067">
        <v>0.7197576</v>
      </c>
      <c r="AF7067">
        <v>752.62620000000004</v>
      </c>
      <c r="AG7067">
        <f>IFERROR(AH7067*0.1, "N/A")</f>
        <v>5.7410300000000003</v>
      </c>
      <c r="AH7067">
        <v>57.410299999999999</v>
      </c>
      <c r="AI7067">
        <v>204.69730000000001</v>
      </c>
      <c r="AJ7067">
        <v>24.023260000000001</v>
      </c>
      <c r="AK7067">
        <v>65.187709999999996</v>
      </c>
    </row>
    <row r="7068" spans="1:37" x14ac:dyDescent="0.3">
      <c r="A7068">
        <v>7067</v>
      </c>
      <c r="B7068">
        <v>22</v>
      </c>
      <c r="C7068">
        <v>35.007899999999999</v>
      </c>
      <c r="D7068">
        <v>-15.7958</v>
      </c>
      <c r="E7068" t="s">
        <v>10527</v>
      </c>
      <c r="F7068" t="s">
        <v>10528</v>
      </c>
      <c r="G7068" t="s">
        <v>39</v>
      </c>
      <c r="H7068">
        <v>1985</v>
      </c>
      <c r="I7068">
        <v>20.654</v>
      </c>
      <c r="J7068">
        <v>9.577</v>
      </c>
      <c r="K7068">
        <v>55</v>
      </c>
      <c r="L7068">
        <v>22.359300000000001</v>
      </c>
      <c r="M7068">
        <v>29.030999999999999</v>
      </c>
      <c r="N7068">
        <v>11.754</v>
      </c>
      <c r="O7068">
        <v>17.277000000000001</v>
      </c>
      <c r="P7068">
        <v>22.353999999999999</v>
      </c>
      <c r="Q7068">
        <v>18.530999999999999</v>
      </c>
      <c r="R7068">
        <v>23.030999999999999</v>
      </c>
      <c r="S7068">
        <v>17.353999999999999</v>
      </c>
      <c r="T7068">
        <v>1090.3699999999999</v>
      </c>
      <c r="U7068">
        <v>262.69</v>
      </c>
      <c r="V7068">
        <v>5</v>
      </c>
      <c r="W7068">
        <v>100.77</v>
      </c>
      <c r="X7068">
        <v>685.3</v>
      </c>
      <c r="Y7068">
        <v>21.46</v>
      </c>
      <c r="Z7068">
        <v>344.92</v>
      </c>
      <c r="AA7068">
        <v>28.69</v>
      </c>
      <c r="AB7068">
        <v>13.827640000000001</v>
      </c>
      <c r="AC7068">
        <v>1.0494750000000001E-2</v>
      </c>
      <c r="AD7068">
        <v>5.3311500000000001</v>
      </c>
      <c r="AE7068">
        <v>0.71743619999999997</v>
      </c>
      <c r="AF7068">
        <v>1031.7070000000001</v>
      </c>
      <c r="AG7068">
        <f>IFERROR(AH7068*0.1, "N/A")</f>
        <v>5.7310000000000008</v>
      </c>
      <c r="AH7068">
        <v>57.31</v>
      </c>
      <c r="AI7068">
        <v>44.659520000000001</v>
      </c>
      <c r="AJ7068">
        <v>36.46</v>
      </c>
      <c r="AK7068">
        <v>47.54</v>
      </c>
    </row>
    <row r="7069" spans="1:37" x14ac:dyDescent="0.3">
      <c r="A7069">
        <v>7068</v>
      </c>
      <c r="B7069">
        <v>22</v>
      </c>
      <c r="C7069">
        <v>35.007899999999999</v>
      </c>
      <c r="D7069">
        <v>-15.7958</v>
      </c>
      <c r="E7069" t="s">
        <v>10527</v>
      </c>
      <c r="F7069" t="s">
        <v>10529</v>
      </c>
      <c r="G7069" t="s">
        <v>37</v>
      </c>
      <c r="H7069">
        <v>1985</v>
      </c>
      <c r="I7069">
        <v>20.654</v>
      </c>
      <c r="J7069">
        <v>9.577</v>
      </c>
      <c r="K7069">
        <v>55</v>
      </c>
      <c r="L7069">
        <v>22.359300000000001</v>
      </c>
      <c r="M7069">
        <v>29.030999999999999</v>
      </c>
      <c r="N7069">
        <v>11.754</v>
      </c>
      <c r="O7069">
        <v>17.277000000000001</v>
      </c>
      <c r="P7069">
        <v>22.353999999999999</v>
      </c>
      <c r="Q7069">
        <v>18.530999999999999</v>
      </c>
      <c r="R7069">
        <v>23.030999999999999</v>
      </c>
      <c r="S7069">
        <v>17.353999999999999</v>
      </c>
      <c r="T7069">
        <v>1090.3699999999999</v>
      </c>
      <c r="U7069">
        <v>262.69</v>
      </c>
      <c r="V7069">
        <v>5</v>
      </c>
      <c r="W7069">
        <v>100.77</v>
      </c>
      <c r="X7069">
        <v>685.3</v>
      </c>
      <c r="Y7069">
        <v>21.46</v>
      </c>
      <c r="Z7069">
        <v>344.92</v>
      </c>
      <c r="AA7069">
        <v>28.69</v>
      </c>
      <c r="AB7069">
        <v>13.827640000000001</v>
      </c>
      <c r="AC7069">
        <v>1.0494750000000001E-2</v>
      </c>
      <c r="AD7069">
        <v>5.3311500000000001</v>
      </c>
      <c r="AE7069">
        <v>0.71743619999999997</v>
      </c>
      <c r="AF7069">
        <v>1031.7070000000001</v>
      </c>
      <c r="AG7069">
        <f>IFERROR(AH7069*0.1, "N/A")</f>
        <v>5.7310000000000008</v>
      </c>
      <c r="AH7069">
        <v>57.31</v>
      </c>
      <c r="AI7069">
        <v>44.659520000000001</v>
      </c>
      <c r="AJ7069">
        <v>36.46</v>
      </c>
      <c r="AK7069">
        <v>47.54</v>
      </c>
    </row>
    <row r="7070" spans="1:37" x14ac:dyDescent="0.3">
      <c r="A7070">
        <v>7069</v>
      </c>
      <c r="B7070">
        <v>10.4</v>
      </c>
      <c r="C7070">
        <v>35.005800000000001</v>
      </c>
      <c r="D7070">
        <v>-15.786300000000001</v>
      </c>
      <c r="E7070" t="s">
        <v>10530</v>
      </c>
      <c r="F7070" t="s">
        <v>10531</v>
      </c>
      <c r="G7070" t="s">
        <v>39</v>
      </c>
      <c r="H7070">
        <v>2009</v>
      </c>
      <c r="I7070">
        <v>20.7</v>
      </c>
      <c r="J7070">
        <v>9.6</v>
      </c>
      <c r="K7070">
        <v>55</v>
      </c>
      <c r="L7070">
        <v>22.34</v>
      </c>
      <c r="M7070">
        <v>29.1</v>
      </c>
      <c r="N7070">
        <v>11.8</v>
      </c>
      <c r="O7070">
        <v>17.3</v>
      </c>
      <c r="P7070">
        <v>22.4</v>
      </c>
      <c r="Q7070">
        <v>18.600000000000001</v>
      </c>
      <c r="R7070">
        <v>23.1</v>
      </c>
      <c r="S7070">
        <v>17.399999999999999</v>
      </c>
      <c r="T7070">
        <v>1086</v>
      </c>
      <c r="U7070">
        <v>262</v>
      </c>
      <c r="V7070">
        <v>5</v>
      </c>
      <c r="W7070">
        <v>101</v>
      </c>
      <c r="X7070">
        <v>684</v>
      </c>
      <c r="Y7070">
        <v>21</v>
      </c>
      <c r="Z7070">
        <v>344</v>
      </c>
      <c r="AA7070">
        <v>28</v>
      </c>
      <c r="AB7070">
        <v>24.05096</v>
      </c>
      <c r="AC7070">
        <v>8.5597429999999999E-3</v>
      </c>
      <c r="AD7070">
        <v>3.9365839999999999</v>
      </c>
      <c r="AE7070">
        <v>0.76209400000000005</v>
      </c>
      <c r="AF7070">
        <v>1045.6179999999999</v>
      </c>
      <c r="AG7070">
        <f>IFERROR(AH7070*0.1, "N/A")</f>
        <v>5.9272430000000007</v>
      </c>
      <c r="AH7070">
        <v>59.27243</v>
      </c>
      <c r="AI7070">
        <v>164.67789999999999</v>
      </c>
      <c r="AJ7070">
        <v>32.423589999999997</v>
      </c>
      <c r="AK7070">
        <v>50.808970000000002</v>
      </c>
    </row>
    <row r="7071" spans="1:37" x14ac:dyDescent="0.3">
      <c r="A7071">
        <v>7070</v>
      </c>
      <c r="B7071">
        <v>0</v>
      </c>
      <c r="C7071">
        <v>35.023800000000001</v>
      </c>
      <c r="D7071">
        <v>-15.7841</v>
      </c>
      <c r="E7071" t="s">
        <v>10532</v>
      </c>
      <c r="F7071" t="s">
        <v>10533</v>
      </c>
      <c r="G7071" t="s">
        <v>37</v>
      </c>
      <c r="H7071">
        <v>2004</v>
      </c>
      <c r="I7071">
        <v>20.495339999999999</v>
      </c>
      <c r="J7071">
        <v>9.5</v>
      </c>
      <c r="K7071">
        <v>55.953409999999998</v>
      </c>
      <c r="L7071">
        <v>21.655339999999999</v>
      </c>
      <c r="M7071">
        <v>28.59534</v>
      </c>
      <c r="N7071">
        <v>11.69068</v>
      </c>
      <c r="O7071">
        <v>16.90466</v>
      </c>
      <c r="P7071">
        <v>22.1</v>
      </c>
      <c r="Q7071">
        <v>18.395340000000001</v>
      </c>
      <c r="R7071">
        <v>22.695340000000002</v>
      </c>
      <c r="S7071">
        <v>17.295339999999999</v>
      </c>
      <c r="T7071">
        <v>1108.1859999999999</v>
      </c>
      <c r="U7071">
        <v>264.95339999999999</v>
      </c>
      <c r="V7071">
        <v>5</v>
      </c>
      <c r="W7071">
        <v>100</v>
      </c>
      <c r="X7071">
        <v>695.09320000000002</v>
      </c>
      <c r="Y7071">
        <v>23</v>
      </c>
      <c r="Z7071">
        <v>349.09320000000002</v>
      </c>
      <c r="AA7071">
        <v>31</v>
      </c>
      <c r="AB7071">
        <v>4.5362539999999996</v>
      </c>
      <c r="AC7071">
        <v>1.678685</v>
      </c>
      <c r="AD7071">
        <v>2.9795690000000001</v>
      </c>
      <c r="AE7071">
        <v>0.85723240000000001</v>
      </c>
      <c r="AF7071">
        <v>1059.02</v>
      </c>
      <c r="AG7071">
        <f>IFERROR(AH7071*0.1, "N/A")</f>
        <v>5.5</v>
      </c>
      <c r="AH7071">
        <v>55</v>
      </c>
      <c r="AI7071">
        <v>184.4522</v>
      </c>
      <c r="AJ7071">
        <v>35.968389999999999</v>
      </c>
      <c r="AK7071">
        <v>47.354410000000001</v>
      </c>
    </row>
    <row r="7072" spans="1:37" x14ac:dyDescent="0.3">
      <c r="A7072">
        <v>7071</v>
      </c>
      <c r="B7072">
        <v>10.6061</v>
      </c>
      <c r="C7072">
        <v>35.023800000000001</v>
      </c>
      <c r="D7072">
        <v>-15.7841</v>
      </c>
      <c r="E7072" t="s">
        <v>10532</v>
      </c>
      <c r="F7072" t="s">
        <v>10534</v>
      </c>
      <c r="G7072" t="s">
        <v>39</v>
      </c>
      <c r="H7072">
        <v>2004</v>
      </c>
      <c r="I7072">
        <v>20.495339999999999</v>
      </c>
      <c r="J7072">
        <v>9.5</v>
      </c>
      <c r="K7072">
        <v>55.953409999999998</v>
      </c>
      <c r="L7072">
        <v>21.655339999999999</v>
      </c>
      <c r="M7072">
        <v>28.59534</v>
      </c>
      <c r="N7072">
        <v>11.69068</v>
      </c>
      <c r="O7072">
        <v>16.90466</v>
      </c>
      <c r="P7072">
        <v>22.1</v>
      </c>
      <c r="Q7072">
        <v>18.395340000000001</v>
      </c>
      <c r="R7072">
        <v>22.695340000000002</v>
      </c>
      <c r="S7072">
        <v>17.295339999999999</v>
      </c>
      <c r="T7072">
        <v>1108.1859999999999</v>
      </c>
      <c r="U7072">
        <v>264.95339999999999</v>
      </c>
      <c r="V7072">
        <v>5</v>
      </c>
      <c r="W7072">
        <v>100</v>
      </c>
      <c r="X7072">
        <v>695.09320000000002</v>
      </c>
      <c r="Y7072">
        <v>23</v>
      </c>
      <c r="Z7072">
        <v>349.09320000000002</v>
      </c>
      <c r="AA7072">
        <v>31</v>
      </c>
      <c r="AB7072">
        <v>4.5362539999999996</v>
      </c>
      <c r="AC7072">
        <v>1.678685</v>
      </c>
      <c r="AD7072">
        <v>2.9795690000000001</v>
      </c>
      <c r="AE7072">
        <v>0.85723240000000001</v>
      </c>
      <c r="AF7072">
        <v>1059.02</v>
      </c>
      <c r="AG7072">
        <f>IFERROR(AH7072*0.1, "N/A")</f>
        <v>5.5</v>
      </c>
      <c r="AH7072">
        <v>55</v>
      </c>
      <c r="AI7072">
        <v>184.4522</v>
      </c>
      <c r="AJ7072">
        <v>35.968389999999999</v>
      </c>
      <c r="AK7072">
        <v>47.354410000000001</v>
      </c>
    </row>
    <row r="7073" spans="1:37" x14ac:dyDescent="0.3">
      <c r="A7073">
        <v>7072</v>
      </c>
      <c r="B7073">
        <v>27</v>
      </c>
      <c r="C7073">
        <v>35</v>
      </c>
      <c r="D7073">
        <v>-15.783300000000001</v>
      </c>
      <c r="E7073" t="s">
        <v>10535</v>
      </c>
      <c r="F7073" t="s">
        <v>10536</v>
      </c>
      <c r="G7073" t="s">
        <v>39</v>
      </c>
      <c r="H7073">
        <v>2010</v>
      </c>
      <c r="I7073">
        <v>20.7</v>
      </c>
      <c r="J7073">
        <v>9.6</v>
      </c>
      <c r="K7073">
        <v>55</v>
      </c>
      <c r="L7073">
        <v>22.31015</v>
      </c>
      <c r="M7073">
        <v>29.1</v>
      </c>
      <c r="N7073">
        <v>11.8</v>
      </c>
      <c r="O7073">
        <v>17.3</v>
      </c>
      <c r="P7073">
        <v>22.315090000000001</v>
      </c>
      <c r="Q7073">
        <v>18.600000000000001</v>
      </c>
      <c r="R7073">
        <v>23.1</v>
      </c>
      <c r="S7073">
        <v>17.43731</v>
      </c>
      <c r="T7073">
        <v>1084.355</v>
      </c>
      <c r="U7073">
        <v>262</v>
      </c>
      <c r="V7073">
        <v>5</v>
      </c>
      <c r="W7073">
        <v>101</v>
      </c>
      <c r="X7073">
        <v>684.20069999999998</v>
      </c>
      <c r="Y7073">
        <v>20.62687</v>
      </c>
      <c r="Z7073">
        <v>344.22550000000001</v>
      </c>
      <c r="AA7073">
        <v>27.62687</v>
      </c>
      <c r="AB7073">
        <v>46.38062</v>
      </c>
      <c r="AC7073">
        <v>1.7186900000000001E-2</v>
      </c>
      <c r="AD7073">
        <v>5.7558360000000004</v>
      </c>
      <c r="AE7073">
        <v>0.75881030000000005</v>
      </c>
      <c r="AF7073">
        <v>1061.0630000000001</v>
      </c>
      <c r="AG7073">
        <f>IFERROR(AH7073*0.1, "N/A")</f>
        <v>5.6988390000000004</v>
      </c>
      <c r="AH7073">
        <v>56.988390000000003</v>
      </c>
      <c r="AI7073">
        <v>222.9956</v>
      </c>
      <c r="AJ7073">
        <v>33.39967</v>
      </c>
      <c r="AK7073">
        <v>50.611939999999997</v>
      </c>
    </row>
    <row r="7074" spans="1:37" x14ac:dyDescent="0.3">
      <c r="A7074">
        <v>7073</v>
      </c>
      <c r="B7074">
        <v>0</v>
      </c>
      <c r="C7074">
        <v>35.031799999999997</v>
      </c>
      <c r="D7074">
        <v>-15.779299999999999</v>
      </c>
      <c r="E7074" t="s">
        <v>10537</v>
      </c>
      <c r="F7074" t="s">
        <v>10538</v>
      </c>
      <c r="G7074" t="s">
        <v>37</v>
      </c>
      <c r="H7074">
        <v>2000</v>
      </c>
      <c r="I7074">
        <v>20.399999999999999</v>
      </c>
      <c r="J7074">
        <v>9.5</v>
      </c>
      <c r="K7074">
        <v>56</v>
      </c>
      <c r="L7074">
        <v>20.96</v>
      </c>
      <c r="M7074">
        <v>28.3</v>
      </c>
      <c r="N7074">
        <v>11.5</v>
      </c>
      <c r="O7074">
        <v>16.8</v>
      </c>
      <c r="P7074">
        <v>21.9</v>
      </c>
      <c r="Q7074">
        <v>18.3</v>
      </c>
      <c r="R7074">
        <v>22.4</v>
      </c>
      <c r="S7074">
        <v>17.2</v>
      </c>
      <c r="T7074">
        <v>1122</v>
      </c>
      <c r="U7074">
        <v>265</v>
      </c>
      <c r="V7074">
        <v>5</v>
      </c>
      <c r="W7074">
        <v>100</v>
      </c>
      <c r="X7074">
        <v>703</v>
      </c>
      <c r="Y7074">
        <v>24</v>
      </c>
      <c r="Z7074">
        <v>353</v>
      </c>
      <c r="AA7074">
        <v>32</v>
      </c>
      <c r="AB7074">
        <v>21.321159999999999</v>
      </c>
      <c r="AC7074">
        <v>9.9439790000000004E-3</v>
      </c>
      <c r="AD7074">
        <v>5.5711490000000001</v>
      </c>
      <c r="AE7074">
        <v>0.85686899999999999</v>
      </c>
      <c r="AF7074">
        <v>1093.9480000000001</v>
      </c>
      <c r="AG7074">
        <f>IFERROR(AH7074*0.1, "N/A")</f>
        <v>5.6833610000000006</v>
      </c>
      <c r="AH7074">
        <v>56.83361</v>
      </c>
      <c r="AI7074">
        <v>270.7604</v>
      </c>
      <c r="AJ7074">
        <v>36.983359999999998</v>
      </c>
      <c r="AK7074">
        <v>47.279530000000001</v>
      </c>
    </row>
    <row r="7075" spans="1:37" x14ac:dyDescent="0.3">
      <c r="A7075">
        <v>7074</v>
      </c>
      <c r="B7075">
        <v>31</v>
      </c>
      <c r="C7075">
        <v>35.019399999999997</v>
      </c>
      <c r="D7075">
        <v>-15.6508</v>
      </c>
      <c r="E7075" t="s">
        <v>10539</v>
      </c>
      <c r="F7075" t="s">
        <v>10540</v>
      </c>
      <c r="G7075" t="s">
        <v>39</v>
      </c>
      <c r="H7075">
        <v>1985</v>
      </c>
      <c r="I7075">
        <v>22.5</v>
      </c>
      <c r="J7075">
        <v>10.4</v>
      </c>
      <c r="K7075">
        <v>56</v>
      </c>
      <c r="L7075">
        <v>24.09628</v>
      </c>
      <c r="M7075">
        <v>31.5</v>
      </c>
      <c r="N7075">
        <v>13</v>
      </c>
      <c r="O7075">
        <v>18.5</v>
      </c>
      <c r="P7075">
        <v>24.2</v>
      </c>
      <c r="Q7075">
        <v>19.337209999999999</v>
      </c>
      <c r="R7075">
        <v>25.2</v>
      </c>
      <c r="S7075">
        <v>19</v>
      </c>
      <c r="T7075">
        <v>957.20429999999999</v>
      </c>
      <c r="U7075">
        <v>225</v>
      </c>
      <c r="V7075">
        <v>3</v>
      </c>
      <c r="W7075">
        <v>102.7591</v>
      </c>
      <c r="X7075">
        <v>607.48170000000005</v>
      </c>
      <c r="Y7075">
        <v>13</v>
      </c>
      <c r="Z7075">
        <v>314.24090000000001</v>
      </c>
      <c r="AA7075">
        <v>13.24086</v>
      </c>
      <c r="AB7075">
        <v>6.9456769999999999</v>
      </c>
      <c r="AC7075">
        <v>8.2643230000000005E-3</v>
      </c>
      <c r="AD7075">
        <v>1.584365</v>
      </c>
      <c r="AE7075">
        <v>0.64176270000000002</v>
      </c>
      <c r="AF7075">
        <v>735.36540000000002</v>
      </c>
      <c r="AG7075">
        <f>IFERROR(AH7075*0.1, "N/A")</f>
        <v>6.2445180000000002</v>
      </c>
      <c r="AH7075">
        <v>62.445180000000001</v>
      </c>
      <c r="AI7075">
        <v>199.65119999999999</v>
      </c>
      <c r="AJ7075">
        <v>27.6113</v>
      </c>
      <c r="AK7075">
        <v>60.777410000000003</v>
      </c>
    </row>
    <row r="7076" spans="1:37" x14ac:dyDescent="0.3">
      <c r="A7076">
        <v>7075</v>
      </c>
      <c r="B7076">
        <v>20</v>
      </c>
      <c r="C7076">
        <v>35.019399999999997</v>
      </c>
      <c r="D7076">
        <v>-15.6508</v>
      </c>
      <c r="E7076" t="s">
        <v>10539</v>
      </c>
      <c r="F7076" t="s">
        <v>10541</v>
      </c>
      <c r="G7076" t="s">
        <v>37</v>
      </c>
      <c r="H7076">
        <v>1985</v>
      </c>
      <c r="I7076">
        <v>22.5</v>
      </c>
      <c r="J7076">
        <v>10.4</v>
      </c>
      <c r="K7076">
        <v>56</v>
      </c>
      <c r="L7076">
        <v>24.09628</v>
      </c>
      <c r="M7076">
        <v>31.5</v>
      </c>
      <c r="N7076">
        <v>13</v>
      </c>
      <c r="O7076">
        <v>18.5</v>
      </c>
      <c r="P7076">
        <v>24.2</v>
      </c>
      <c r="Q7076">
        <v>19.337209999999999</v>
      </c>
      <c r="R7076">
        <v>25.2</v>
      </c>
      <c r="S7076">
        <v>19</v>
      </c>
      <c r="T7076">
        <v>957.20429999999999</v>
      </c>
      <c r="U7076">
        <v>225</v>
      </c>
      <c r="V7076">
        <v>3</v>
      </c>
      <c r="W7076">
        <v>102.7591</v>
      </c>
      <c r="X7076">
        <v>607.48170000000005</v>
      </c>
      <c r="Y7076">
        <v>13</v>
      </c>
      <c r="Z7076">
        <v>314.24090000000001</v>
      </c>
      <c r="AA7076">
        <v>13.24086</v>
      </c>
      <c r="AB7076">
        <v>6.9456769999999999</v>
      </c>
      <c r="AC7076">
        <v>8.2643230000000005E-3</v>
      </c>
      <c r="AD7076">
        <v>1.584365</v>
      </c>
      <c r="AE7076">
        <v>0.64176270000000002</v>
      </c>
      <c r="AF7076">
        <v>735.36540000000002</v>
      </c>
      <c r="AG7076">
        <f>IFERROR(AH7076*0.1, "N/A")</f>
        <v>6.2445180000000002</v>
      </c>
      <c r="AH7076">
        <v>62.445180000000001</v>
      </c>
      <c r="AI7076">
        <v>199.65119999999999</v>
      </c>
      <c r="AJ7076">
        <v>27.6113</v>
      </c>
      <c r="AK7076">
        <v>60.777410000000003</v>
      </c>
    </row>
    <row r="7077" spans="1:37" x14ac:dyDescent="0.3">
      <c r="A7077">
        <v>7076</v>
      </c>
      <c r="B7077">
        <v>53</v>
      </c>
      <c r="C7077">
        <v>34.520099999999999</v>
      </c>
      <c r="D7077">
        <v>-15.5999</v>
      </c>
      <c r="E7077" t="s">
        <v>10542</v>
      </c>
      <c r="F7077" t="s">
        <v>10543</v>
      </c>
      <c r="G7077" t="s">
        <v>39</v>
      </c>
      <c r="H7077">
        <v>1985</v>
      </c>
      <c r="I7077">
        <v>23.158000000000001</v>
      </c>
      <c r="J7077">
        <v>10.929</v>
      </c>
      <c r="K7077">
        <v>56</v>
      </c>
      <c r="L7077">
        <v>23.797000000000001</v>
      </c>
      <c r="M7077">
        <v>32.758000000000003</v>
      </c>
      <c r="N7077">
        <v>13.358000000000001</v>
      </c>
      <c r="O7077">
        <v>19.399999999999999</v>
      </c>
      <c r="P7077">
        <v>24.658000000000001</v>
      </c>
      <c r="Q7077">
        <v>21.058</v>
      </c>
      <c r="R7077">
        <v>25.757999999999999</v>
      </c>
      <c r="S7077">
        <v>19.658000000000001</v>
      </c>
      <c r="T7077">
        <v>1039.81</v>
      </c>
      <c r="U7077">
        <v>219.13</v>
      </c>
      <c r="V7077">
        <v>6</v>
      </c>
      <c r="W7077">
        <v>96.71</v>
      </c>
      <c r="X7077">
        <v>646.67999999999995</v>
      </c>
      <c r="Y7077">
        <v>29</v>
      </c>
      <c r="Z7077">
        <v>325.83999999999997</v>
      </c>
      <c r="AA7077">
        <v>39.29</v>
      </c>
      <c r="AB7077">
        <v>38.83567</v>
      </c>
      <c r="AC7077">
        <v>8.7607299999999996E-3</v>
      </c>
      <c r="AD7077">
        <v>3.1795420000000001</v>
      </c>
      <c r="AE7077">
        <v>0.58469780000000005</v>
      </c>
      <c r="AF7077">
        <v>687.95169999999996</v>
      </c>
      <c r="AG7077">
        <f>IFERROR(AH7077*0.1, "N/A")</f>
        <v>6.277667000000001</v>
      </c>
      <c r="AH7077">
        <v>62.776670000000003</v>
      </c>
      <c r="AI7077">
        <v>105.53870000000001</v>
      </c>
      <c r="AJ7077">
        <v>26.553329999999999</v>
      </c>
      <c r="AK7077">
        <v>62.67</v>
      </c>
    </row>
    <row r="7078" spans="1:37" x14ac:dyDescent="0.3">
      <c r="A7078">
        <v>7077</v>
      </c>
      <c r="B7078">
        <v>12</v>
      </c>
      <c r="C7078">
        <v>34.520099999999999</v>
      </c>
      <c r="D7078">
        <v>-15.5999</v>
      </c>
      <c r="E7078" t="s">
        <v>10542</v>
      </c>
      <c r="F7078" t="s">
        <v>10544</v>
      </c>
      <c r="G7078" t="s">
        <v>37</v>
      </c>
      <c r="H7078">
        <v>1985</v>
      </c>
      <c r="I7078">
        <v>23.158000000000001</v>
      </c>
      <c r="J7078">
        <v>10.929</v>
      </c>
      <c r="K7078">
        <v>56</v>
      </c>
      <c r="L7078">
        <v>23.797000000000001</v>
      </c>
      <c r="M7078">
        <v>32.758000000000003</v>
      </c>
      <c r="N7078">
        <v>13.358000000000001</v>
      </c>
      <c r="O7078">
        <v>19.399999999999999</v>
      </c>
      <c r="P7078">
        <v>24.658000000000001</v>
      </c>
      <c r="Q7078">
        <v>21.058</v>
      </c>
      <c r="R7078">
        <v>25.757999999999999</v>
      </c>
      <c r="S7078">
        <v>19.658000000000001</v>
      </c>
      <c r="T7078">
        <v>1039.81</v>
      </c>
      <c r="U7078">
        <v>219.13</v>
      </c>
      <c r="V7078">
        <v>6</v>
      </c>
      <c r="W7078">
        <v>96.71</v>
      </c>
      <c r="X7078">
        <v>646.67999999999995</v>
      </c>
      <c r="Y7078">
        <v>29</v>
      </c>
      <c r="Z7078">
        <v>325.83999999999997</v>
      </c>
      <c r="AA7078">
        <v>39.29</v>
      </c>
      <c r="AB7078">
        <v>38.83567</v>
      </c>
      <c r="AC7078">
        <v>8.7607299999999996E-3</v>
      </c>
      <c r="AD7078">
        <v>3.1795420000000001</v>
      </c>
      <c r="AE7078">
        <v>0.58469780000000005</v>
      </c>
      <c r="AF7078">
        <v>687.95169999999996</v>
      </c>
      <c r="AG7078">
        <f>IFERROR(AH7078*0.1, "N/A")</f>
        <v>6.277667000000001</v>
      </c>
      <c r="AH7078">
        <v>62.776670000000003</v>
      </c>
      <c r="AI7078">
        <v>105.53870000000001</v>
      </c>
      <c r="AJ7078">
        <v>26.553329999999999</v>
      </c>
      <c r="AK7078">
        <v>62.67</v>
      </c>
    </row>
    <row r="7079" spans="1:37" x14ac:dyDescent="0.3">
      <c r="A7079">
        <v>7078</v>
      </c>
      <c r="B7079">
        <v>0</v>
      </c>
      <c r="C7079">
        <v>35.602499999999999</v>
      </c>
      <c r="D7079">
        <v>-15.5311</v>
      </c>
      <c r="E7079" t="s">
        <v>10545</v>
      </c>
      <c r="F7079" t="s">
        <v>10546</v>
      </c>
      <c r="G7079" t="s">
        <v>37</v>
      </c>
      <c r="H7079">
        <v>2004</v>
      </c>
      <c r="I7079">
        <v>22.6</v>
      </c>
      <c r="J7079">
        <v>11.2</v>
      </c>
      <c r="K7079">
        <v>58</v>
      </c>
      <c r="L7079">
        <v>24.14</v>
      </c>
      <c r="M7079">
        <v>31.7</v>
      </c>
      <c r="N7079">
        <v>12.6</v>
      </c>
      <c r="O7079">
        <v>19.100000000000001</v>
      </c>
      <c r="P7079">
        <v>24.4</v>
      </c>
      <c r="Q7079">
        <v>20.2</v>
      </c>
      <c r="R7079">
        <v>25</v>
      </c>
      <c r="S7079">
        <v>18.899999999999999</v>
      </c>
      <c r="T7079">
        <v>1414</v>
      </c>
      <c r="U7079">
        <v>285</v>
      </c>
      <c r="V7079">
        <v>13</v>
      </c>
      <c r="W7079">
        <v>90</v>
      </c>
      <c r="X7079">
        <v>806</v>
      </c>
      <c r="Y7079">
        <v>49</v>
      </c>
      <c r="Z7079">
        <v>410</v>
      </c>
      <c r="AA7079">
        <v>61</v>
      </c>
      <c r="AB7079">
        <v>0.52894850000000004</v>
      </c>
      <c r="AC7079">
        <v>1.494739E-2</v>
      </c>
      <c r="AD7079">
        <v>2.3668089999999999</v>
      </c>
      <c r="AE7079">
        <v>0.62353760000000003</v>
      </c>
      <c r="AF7079">
        <v>639.41930000000002</v>
      </c>
      <c r="AG7079">
        <f>IFERROR(AH7079*0.1, "N/A")</f>
        <v>5.9131450000000001</v>
      </c>
      <c r="AH7079">
        <v>59.131450000000001</v>
      </c>
      <c r="AI7079">
        <v>154.18969999999999</v>
      </c>
      <c r="AJ7079">
        <v>17.13644</v>
      </c>
      <c r="AK7079">
        <v>75.126459999999994</v>
      </c>
    </row>
    <row r="7080" spans="1:37" x14ac:dyDescent="0.3">
      <c r="A7080">
        <v>7079</v>
      </c>
      <c r="B7080">
        <v>46.666699999999999</v>
      </c>
      <c r="C7080">
        <v>35.602499999999999</v>
      </c>
      <c r="D7080">
        <v>-15.5311</v>
      </c>
      <c r="E7080" t="s">
        <v>10545</v>
      </c>
      <c r="F7080" t="s">
        <v>10547</v>
      </c>
      <c r="G7080" t="s">
        <v>39</v>
      </c>
      <c r="H7080">
        <v>2004</v>
      </c>
      <c r="I7080">
        <v>22.6</v>
      </c>
      <c r="J7080">
        <v>11.2</v>
      </c>
      <c r="K7080">
        <v>58</v>
      </c>
      <c r="L7080">
        <v>24.14</v>
      </c>
      <c r="M7080">
        <v>31.7</v>
      </c>
      <c r="N7080">
        <v>12.6</v>
      </c>
      <c r="O7080">
        <v>19.100000000000001</v>
      </c>
      <c r="P7080">
        <v>24.4</v>
      </c>
      <c r="Q7080">
        <v>20.2</v>
      </c>
      <c r="R7080">
        <v>25</v>
      </c>
      <c r="S7080">
        <v>18.899999999999999</v>
      </c>
      <c r="T7080">
        <v>1414</v>
      </c>
      <c r="U7080">
        <v>285</v>
      </c>
      <c r="V7080">
        <v>13</v>
      </c>
      <c r="W7080">
        <v>90</v>
      </c>
      <c r="X7080">
        <v>806</v>
      </c>
      <c r="Y7080">
        <v>49</v>
      </c>
      <c r="Z7080">
        <v>410</v>
      </c>
      <c r="AA7080">
        <v>61</v>
      </c>
      <c r="AB7080">
        <v>0.52894850000000004</v>
      </c>
      <c r="AC7080">
        <v>1.494739E-2</v>
      </c>
      <c r="AD7080">
        <v>2.3668089999999999</v>
      </c>
      <c r="AE7080">
        <v>0.62353760000000003</v>
      </c>
      <c r="AF7080">
        <v>639.41930000000002</v>
      </c>
      <c r="AG7080">
        <f>IFERROR(AH7080*0.1, "N/A")</f>
        <v>5.9131450000000001</v>
      </c>
      <c r="AH7080">
        <v>59.131450000000001</v>
      </c>
      <c r="AI7080">
        <v>154.18969999999999</v>
      </c>
      <c r="AJ7080">
        <v>17.13644</v>
      </c>
      <c r="AK7080">
        <v>75.126459999999994</v>
      </c>
    </row>
    <row r="7081" spans="1:37" x14ac:dyDescent="0.3">
      <c r="A7081">
        <v>7080</v>
      </c>
      <c r="B7081">
        <v>64.099999999999994</v>
      </c>
      <c r="C7081">
        <v>35.333399999999997</v>
      </c>
      <c r="D7081">
        <v>-15.3832</v>
      </c>
      <c r="E7081" t="s">
        <v>10548</v>
      </c>
      <c r="F7081" t="s">
        <v>10549</v>
      </c>
      <c r="G7081" t="s">
        <v>39</v>
      </c>
      <c r="H7081">
        <v>1998</v>
      </c>
      <c r="I7081">
        <v>21.056830000000001</v>
      </c>
      <c r="J7081">
        <v>10</v>
      </c>
      <c r="K7081">
        <v>55.47833</v>
      </c>
      <c r="L7081">
        <v>23.587530000000001</v>
      </c>
      <c r="M7081">
        <v>29.608499999999999</v>
      </c>
      <c r="N7081">
        <v>11.75633</v>
      </c>
      <c r="O7081">
        <v>17.852170000000001</v>
      </c>
      <c r="P7081">
        <v>22.7</v>
      </c>
      <c r="Q7081">
        <v>18.851669999999999</v>
      </c>
      <c r="R7081">
        <v>23.608499999999999</v>
      </c>
      <c r="S7081">
        <v>17.551670000000001</v>
      </c>
      <c r="T7081">
        <v>1286.17</v>
      </c>
      <c r="U7081">
        <v>287.34829999999999</v>
      </c>
      <c r="V7081">
        <v>6</v>
      </c>
      <c r="W7081">
        <v>100.56829999999999</v>
      </c>
      <c r="X7081">
        <v>807.82330000000002</v>
      </c>
      <c r="Y7081">
        <v>22</v>
      </c>
      <c r="Z7081">
        <v>402.64830000000001</v>
      </c>
      <c r="AA7081">
        <v>27</v>
      </c>
      <c r="AB7081">
        <v>22.788509999999999</v>
      </c>
      <c r="AC7081">
        <v>9.3333670000000004E-3</v>
      </c>
      <c r="AD7081">
        <v>3.0512950000000001</v>
      </c>
      <c r="AE7081">
        <v>0.63865930000000004</v>
      </c>
      <c r="AF7081">
        <v>908.59829999999999</v>
      </c>
      <c r="AG7081">
        <f>IFERROR(AH7081*0.1, "N/A")</f>
        <v>5.5</v>
      </c>
      <c r="AH7081">
        <v>55</v>
      </c>
      <c r="AI7081">
        <v>117.5415</v>
      </c>
      <c r="AJ7081">
        <v>34.52167</v>
      </c>
      <c r="AK7081">
        <v>51</v>
      </c>
    </row>
    <row r="7082" spans="1:37" x14ac:dyDescent="0.3">
      <c r="A7082">
        <v>7081</v>
      </c>
      <c r="B7082">
        <v>20</v>
      </c>
      <c r="C7082">
        <v>35.580599999999997</v>
      </c>
      <c r="D7082">
        <v>-15.3742</v>
      </c>
      <c r="E7082" t="s">
        <v>10550</v>
      </c>
      <c r="F7082" t="s">
        <v>10551</v>
      </c>
      <c r="G7082" t="s">
        <v>39</v>
      </c>
      <c r="H7082">
        <v>1989</v>
      </c>
      <c r="I7082">
        <v>22.78781</v>
      </c>
      <c r="J7082">
        <v>11.01219</v>
      </c>
      <c r="K7082">
        <v>57.121870000000001</v>
      </c>
      <c r="L7082">
        <v>24.119499999999999</v>
      </c>
      <c r="M7082">
        <v>31.8</v>
      </c>
      <c r="N7082">
        <v>12.8</v>
      </c>
      <c r="O7082">
        <v>19</v>
      </c>
      <c r="P7082">
        <v>24.5</v>
      </c>
      <c r="Q7082">
        <v>20.48781</v>
      </c>
      <c r="R7082">
        <v>25.28781</v>
      </c>
      <c r="S7082">
        <v>19.187809999999999</v>
      </c>
      <c r="T7082">
        <v>1293.8530000000001</v>
      </c>
      <c r="U7082">
        <v>271.12189999999998</v>
      </c>
      <c r="V7082">
        <v>10</v>
      </c>
      <c r="W7082">
        <v>95.878129999999999</v>
      </c>
      <c r="X7082">
        <v>772.36559999999997</v>
      </c>
      <c r="Y7082">
        <v>35</v>
      </c>
      <c r="Z7082">
        <v>385.24369999999999</v>
      </c>
      <c r="AA7082">
        <v>42</v>
      </c>
      <c r="AB7082">
        <v>3.0463969999999998</v>
      </c>
      <c r="AC7082">
        <v>6.9947380000000003E-2</v>
      </c>
      <c r="AD7082">
        <v>1.582292</v>
      </c>
      <c r="AE7082">
        <v>0.57524249999999999</v>
      </c>
      <c r="AF7082">
        <v>625.14689999999996</v>
      </c>
      <c r="AG7082">
        <f>IFERROR(AH7082*0.1, "N/A")</f>
        <v>6.0380630000000002</v>
      </c>
      <c r="AH7082">
        <v>60.380629999999996</v>
      </c>
      <c r="AI7082">
        <v>174.7612</v>
      </c>
      <c r="AJ7082">
        <v>18.44407</v>
      </c>
      <c r="AK7082">
        <v>69.370620000000002</v>
      </c>
    </row>
    <row r="7083" spans="1:37" x14ac:dyDescent="0.3">
      <c r="A7083">
        <v>7082</v>
      </c>
      <c r="B7083">
        <v>46.8</v>
      </c>
      <c r="C7083">
        <v>35.603700000000003</v>
      </c>
      <c r="D7083">
        <v>-15.3277</v>
      </c>
      <c r="E7083" t="s">
        <v>10552</v>
      </c>
      <c r="F7083" t="s">
        <v>10553</v>
      </c>
      <c r="G7083" t="s">
        <v>39</v>
      </c>
      <c r="H7083">
        <v>1956</v>
      </c>
      <c r="I7083">
        <v>22.7</v>
      </c>
      <c r="J7083">
        <v>11.1</v>
      </c>
      <c r="K7083">
        <v>58</v>
      </c>
      <c r="L7083">
        <v>23.83</v>
      </c>
      <c r="M7083">
        <v>31.8</v>
      </c>
      <c r="N7083">
        <v>12.9</v>
      </c>
      <c r="O7083">
        <v>18.899999999999999</v>
      </c>
      <c r="P7083">
        <v>24.5</v>
      </c>
      <c r="Q7083">
        <v>20.5</v>
      </c>
      <c r="R7083">
        <v>25.2</v>
      </c>
      <c r="S7083">
        <v>19.2</v>
      </c>
      <c r="T7083">
        <v>1282</v>
      </c>
      <c r="U7083">
        <v>269</v>
      </c>
      <c r="V7083">
        <v>9</v>
      </c>
      <c r="W7083">
        <v>97</v>
      </c>
      <c r="X7083">
        <v>771</v>
      </c>
      <c r="Y7083">
        <v>32</v>
      </c>
      <c r="Z7083">
        <v>384</v>
      </c>
      <c r="AA7083">
        <v>38</v>
      </c>
      <c r="AB7083">
        <v>10.226940000000001</v>
      </c>
      <c r="AC7083">
        <v>0.1918667</v>
      </c>
      <c r="AD7083">
        <v>2.575688</v>
      </c>
      <c r="AE7083">
        <v>0.39122760000000001</v>
      </c>
      <c r="AF7083">
        <v>636.66719999999998</v>
      </c>
      <c r="AG7083">
        <f>IFERROR(AH7083*0.1, "N/A")</f>
        <v>5.9173910000000003</v>
      </c>
      <c r="AH7083">
        <v>59.173909999999999</v>
      </c>
      <c r="AI7083">
        <v>250.7106</v>
      </c>
      <c r="AJ7083">
        <v>21.494980000000002</v>
      </c>
      <c r="AK7083">
        <v>62.812710000000003</v>
      </c>
    </row>
    <row r="7084" spans="1:37" x14ac:dyDescent="0.3">
      <c r="A7084">
        <v>7083</v>
      </c>
      <c r="B7084">
        <v>7.8</v>
      </c>
      <c r="C7084">
        <v>35.603700000000003</v>
      </c>
      <c r="D7084">
        <v>-15.3277</v>
      </c>
      <c r="E7084" t="s">
        <v>10552</v>
      </c>
      <c r="F7084" t="s">
        <v>10554</v>
      </c>
      <c r="G7084" t="s">
        <v>37</v>
      </c>
      <c r="H7084">
        <v>1956</v>
      </c>
      <c r="I7084">
        <v>22.7</v>
      </c>
      <c r="J7084">
        <v>11.1</v>
      </c>
      <c r="K7084">
        <v>58</v>
      </c>
      <c r="L7084">
        <v>23.83</v>
      </c>
      <c r="M7084">
        <v>31.8</v>
      </c>
      <c r="N7084">
        <v>12.9</v>
      </c>
      <c r="O7084">
        <v>18.899999999999999</v>
      </c>
      <c r="P7084">
        <v>24.5</v>
      </c>
      <c r="Q7084">
        <v>20.5</v>
      </c>
      <c r="R7084">
        <v>25.2</v>
      </c>
      <c r="S7084">
        <v>19.2</v>
      </c>
      <c r="T7084">
        <v>1282</v>
      </c>
      <c r="U7084">
        <v>269</v>
      </c>
      <c r="V7084">
        <v>9</v>
      </c>
      <c r="W7084">
        <v>97</v>
      </c>
      <c r="X7084">
        <v>771</v>
      </c>
      <c r="Y7084">
        <v>32</v>
      </c>
      <c r="Z7084">
        <v>384</v>
      </c>
      <c r="AA7084">
        <v>38</v>
      </c>
      <c r="AB7084">
        <v>10.226940000000001</v>
      </c>
      <c r="AC7084">
        <v>0.1918667</v>
      </c>
      <c r="AD7084">
        <v>2.575688</v>
      </c>
      <c r="AE7084">
        <v>0.39122760000000001</v>
      </c>
      <c r="AF7084">
        <v>636.66719999999998</v>
      </c>
      <c r="AG7084">
        <f>IFERROR(AH7084*0.1, "N/A")</f>
        <v>5.9173910000000003</v>
      </c>
      <c r="AH7084">
        <v>59.173909999999999</v>
      </c>
      <c r="AI7084">
        <v>250.7106</v>
      </c>
      <c r="AJ7084">
        <v>21.494980000000002</v>
      </c>
      <c r="AK7084">
        <v>62.812710000000003</v>
      </c>
    </row>
    <row r="7085" spans="1:37" x14ac:dyDescent="0.3">
      <c r="A7085">
        <v>7084</v>
      </c>
      <c r="B7085">
        <v>97</v>
      </c>
      <c r="C7085">
        <v>35.2333</v>
      </c>
      <c r="D7085">
        <v>-15.0663</v>
      </c>
      <c r="E7085" t="s">
        <v>10555</v>
      </c>
      <c r="F7085" t="s">
        <v>10556</v>
      </c>
      <c r="G7085" t="s">
        <v>39</v>
      </c>
      <c r="H7085">
        <v>1985</v>
      </c>
      <c r="I7085">
        <v>23.8</v>
      </c>
      <c r="J7085">
        <v>11</v>
      </c>
      <c r="K7085">
        <v>56</v>
      </c>
      <c r="L7085">
        <v>24.700900000000001</v>
      </c>
      <c r="M7085">
        <v>33.028640000000003</v>
      </c>
      <c r="N7085">
        <v>13.7</v>
      </c>
      <c r="O7085">
        <v>19.32864</v>
      </c>
      <c r="P7085">
        <v>25.417590000000001</v>
      </c>
      <c r="Q7085">
        <v>21.6</v>
      </c>
      <c r="R7085">
        <v>26.48141</v>
      </c>
      <c r="S7085">
        <v>20.2</v>
      </c>
      <c r="T7085">
        <v>996.13570000000004</v>
      </c>
      <c r="U7085">
        <v>231</v>
      </c>
      <c r="V7085">
        <v>4.0502510000000003</v>
      </c>
      <c r="W7085">
        <v>106.5879</v>
      </c>
      <c r="X7085">
        <v>653.33669999999995</v>
      </c>
      <c r="Y7085">
        <v>15.05025</v>
      </c>
      <c r="Z7085">
        <v>303.33670000000001</v>
      </c>
      <c r="AA7085">
        <v>16.050249999999998</v>
      </c>
      <c r="AB7085">
        <v>3.9475690000000001</v>
      </c>
      <c r="AC7085">
        <v>4.9972549999999998E-2</v>
      </c>
      <c r="AD7085">
        <v>1.3620680000000001</v>
      </c>
      <c r="AE7085">
        <v>0.73967899999999998</v>
      </c>
      <c r="AF7085">
        <v>487.69349999999997</v>
      </c>
      <c r="AG7085">
        <f>IFERROR(AH7085*0.1, "N/A")</f>
        <v>6.2169179999999997</v>
      </c>
      <c r="AH7085">
        <v>62.169179999999997</v>
      </c>
      <c r="AI7085">
        <v>186.7919</v>
      </c>
      <c r="AJ7085">
        <v>25.45561</v>
      </c>
      <c r="AK7085">
        <v>66.309880000000007</v>
      </c>
    </row>
    <row r="7086" spans="1:37" x14ac:dyDescent="0.3">
      <c r="A7086">
        <v>7085</v>
      </c>
      <c r="B7086">
        <v>0</v>
      </c>
      <c r="C7086">
        <v>35.075600000000001</v>
      </c>
      <c r="D7086">
        <v>-15.015700000000001</v>
      </c>
      <c r="E7086" t="s">
        <v>10557</v>
      </c>
      <c r="F7086" t="s">
        <v>10558</v>
      </c>
      <c r="G7086" t="s">
        <v>37</v>
      </c>
      <c r="H7086">
        <v>2004</v>
      </c>
      <c r="I7086">
        <v>23.2</v>
      </c>
      <c r="J7086">
        <v>10.8</v>
      </c>
      <c r="K7086">
        <v>56</v>
      </c>
      <c r="L7086">
        <v>24.173269999999999</v>
      </c>
      <c r="M7086">
        <v>32.391649999999998</v>
      </c>
      <c r="N7086">
        <v>13.3</v>
      </c>
      <c r="O7086">
        <v>19.091650000000001</v>
      </c>
      <c r="P7086">
        <v>24.8</v>
      </c>
      <c r="Q7086">
        <v>19.7</v>
      </c>
      <c r="R7086">
        <v>25.891649999999998</v>
      </c>
      <c r="S7086">
        <v>19.7</v>
      </c>
      <c r="T7086">
        <v>979.58429999999998</v>
      </c>
      <c r="U7086">
        <v>232.08349999999999</v>
      </c>
      <c r="V7086">
        <v>4</v>
      </c>
      <c r="W7086">
        <v>108.9165</v>
      </c>
      <c r="X7086">
        <v>655.25040000000001</v>
      </c>
      <c r="Y7086">
        <v>14</v>
      </c>
      <c r="Z7086">
        <v>299.25040000000001</v>
      </c>
      <c r="AA7086">
        <v>14</v>
      </c>
      <c r="AB7086">
        <v>15.54204</v>
      </c>
      <c r="AC7086">
        <v>9.0614990000000006E-3</v>
      </c>
      <c r="AD7086">
        <v>1.935152</v>
      </c>
      <c r="AE7086">
        <v>0.53883590000000003</v>
      </c>
      <c r="AF7086">
        <v>609.09019999999998</v>
      </c>
      <c r="AG7086">
        <f>IFERROR(AH7086*0.1, "N/A")</f>
        <v>6.0921540000000007</v>
      </c>
      <c r="AH7086">
        <v>60.92154</v>
      </c>
      <c r="AI7086">
        <v>315.33019999999999</v>
      </c>
      <c r="AJ7086">
        <v>18</v>
      </c>
      <c r="AK7086">
        <v>75.230379999999997</v>
      </c>
    </row>
    <row r="7087" spans="1:37" x14ac:dyDescent="0.3">
      <c r="A7087">
        <v>7086</v>
      </c>
      <c r="B7087">
        <v>0</v>
      </c>
      <c r="C7087">
        <v>35.075600000000001</v>
      </c>
      <c r="D7087">
        <v>-15.015700000000001</v>
      </c>
      <c r="E7087" t="s">
        <v>10557</v>
      </c>
      <c r="F7087" t="s">
        <v>10559</v>
      </c>
      <c r="G7087" t="s">
        <v>39</v>
      </c>
      <c r="H7087">
        <v>2004</v>
      </c>
      <c r="I7087">
        <v>23.2</v>
      </c>
      <c r="J7087">
        <v>10.8</v>
      </c>
      <c r="K7087">
        <v>56</v>
      </c>
      <c r="L7087">
        <v>24.173269999999999</v>
      </c>
      <c r="M7087">
        <v>32.391649999999998</v>
      </c>
      <c r="N7087">
        <v>13.3</v>
      </c>
      <c r="O7087">
        <v>19.091650000000001</v>
      </c>
      <c r="P7087">
        <v>24.8</v>
      </c>
      <c r="Q7087">
        <v>19.7</v>
      </c>
      <c r="R7087">
        <v>25.891649999999998</v>
      </c>
      <c r="S7087">
        <v>19.7</v>
      </c>
      <c r="T7087">
        <v>979.58429999999998</v>
      </c>
      <c r="U7087">
        <v>232.08349999999999</v>
      </c>
      <c r="V7087">
        <v>4</v>
      </c>
      <c r="W7087">
        <v>108.9165</v>
      </c>
      <c r="X7087">
        <v>655.25040000000001</v>
      </c>
      <c r="Y7087">
        <v>14</v>
      </c>
      <c r="Z7087">
        <v>299.25040000000001</v>
      </c>
      <c r="AA7087">
        <v>14</v>
      </c>
      <c r="AB7087">
        <v>15.54204</v>
      </c>
      <c r="AC7087">
        <v>9.0614990000000006E-3</v>
      </c>
      <c r="AD7087">
        <v>1.935152</v>
      </c>
      <c r="AE7087">
        <v>0.53883590000000003</v>
      </c>
      <c r="AF7087">
        <v>609.09019999999998</v>
      </c>
      <c r="AG7087">
        <f>IFERROR(AH7087*0.1, "N/A")</f>
        <v>6.0921540000000007</v>
      </c>
      <c r="AH7087">
        <v>60.92154</v>
      </c>
      <c r="AI7087">
        <v>315.33019999999999</v>
      </c>
      <c r="AJ7087">
        <v>18</v>
      </c>
      <c r="AK7087">
        <v>75.230379999999997</v>
      </c>
    </row>
    <row r="7088" spans="1:37" x14ac:dyDescent="0.3">
      <c r="A7088">
        <v>7087</v>
      </c>
      <c r="B7088">
        <v>0</v>
      </c>
      <c r="C7088">
        <v>34.734400000000001</v>
      </c>
      <c r="D7088">
        <v>-14.917899999999999</v>
      </c>
      <c r="E7088" t="s">
        <v>10560</v>
      </c>
      <c r="F7088" t="s">
        <v>10561</v>
      </c>
      <c r="G7088" t="s">
        <v>37</v>
      </c>
      <c r="H7088">
        <v>2004</v>
      </c>
      <c r="I7088">
        <v>21.8</v>
      </c>
      <c r="J7088">
        <v>10.8</v>
      </c>
      <c r="K7088">
        <v>56</v>
      </c>
      <c r="L7088">
        <v>23.14</v>
      </c>
      <c r="M7088">
        <v>30.9</v>
      </c>
      <c r="N7088">
        <v>11.9</v>
      </c>
      <c r="O7088">
        <v>19</v>
      </c>
      <c r="P7088">
        <v>23.2</v>
      </c>
      <c r="Q7088">
        <v>18.3</v>
      </c>
      <c r="R7088">
        <v>24.3</v>
      </c>
      <c r="S7088">
        <v>18.3</v>
      </c>
      <c r="T7088">
        <v>992</v>
      </c>
      <c r="U7088">
        <v>241</v>
      </c>
      <c r="V7088">
        <v>4</v>
      </c>
      <c r="W7088">
        <v>111</v>
      </c>
      <c r="X7088">
        <v>678</v>
      </c>
      <c r="Y7088">
        <v>14</v>
      </c>
      <c r="Z7088">
        <v>300</v>
      </c>
      <c r="AA7088">
        <v>14</v>
      </c>
      <c r="AB7088">
        <v>20.507339999999999</v>
      </c>
      <c r="AC7088">
        <v>5.7606919999999999E-2</v>
      </c>
      <c r="AD7088">
        <v>2.9503140000000001</v>
      </c>
      <c r="AE7088">
        <v>0.47745480000000001</v>
      </c>
      <c r="AF7088">
        <v>875.46400000000006</v>
      </c>
      <c r="AG7088">
        <f>IFERROR(AH7088*0.1, "N/A")</f>
        <v>5.5842550000000006</v>
      </c>
      <c r="AH7088">
        <v>55.842550000000003</v>
      </c>
      <c r="AI7088">
        <v>52.00515</v>
      </c>
      <c r="AJ7088">
        <v>26.835850000000001</v>
      </c>
      <c r="AK7088">
        <v>60.32161</v>
      </c>
    </row>
    <row r="7089" spans="1:37" x14ac:dyDescent="0.3">
      <c r="A7089">
        <v>7088</v>
      </c>
      <c r="B7089">
        <v>0</v>
      </c>
      <c r="C7089">
        <v>34.734400000000001</v>
      </c>
      <c r="D7089">
        <v>-14.917899999999999</v>
      </c>
      <c r="E7089" t="s">
        <v>10560</v>
      </c>
      <c r="F7089" t="s">
        <v>10562</v>
      </c>
      <c r="G7089" t="s">
        <v>39</v>
      </c>
      <c r="H7089">
        <v>2004</v>
      </c>
      <c r="I7089">
        <v>21.8</v>
      </c>
      <c r="J7089">
        <v>10.8</v>
      </c>
      <c r="K7089">
        <v>56</v>
      </c>
      <c r="L7089">
        <v>23.14</v>
      </c>
      <c r="M7089">
        <v>30.9</v>
      </c>
      <c r="N7089">
        <v>11.9</v>
      </c>
      <c r="O7089">
        <v>19</v>
      </c>
      <c r="P7089">
        <v>23.2</v>
      </c>
      <c r="Q7089">
        <v>18.3</v>
      </c>
      <c r="R7089">
        <v>24.3</v>
      </c>
      <c r="S7089">
        <v>18.3</v>
      </c>
      <c r="T7089">
        <v>992</v>
      </c>
      <c r="U7089">
        <v>241</v>
      </c>
      <c r="V7089">
        <v>4</v>
      </c>
      <c r="W7089">
        <v>111</v>
      </c>
      <c r="X7089">
        <v>678</v>
      </c>
      <c r="Y7089">
        <v>14</v>
      </c>
      <c r="Z7089">
        <v>300</v>
      </c>
      <c r="AA7089">
        <v>14</v>
      </c>
      <c r="AB7089">
        <v>20.507339999999999</v>
      </c>
      <c r="AC7089">
        <v>5.7606919999999999E-2</v>
      </c>
      <c r="AD7089">
        <v>2.9503140000000001</v>
      </c>
      <c r="AE7089">
        <v>0.47745480000000001</v>
      </c>
      <c r="AF7089">
        <v>875.46400000000006</v>
      </c>
      <c r="AG7089">
        <f>IFERROR(AH7089*0.1, "N/A")</f>
        <v>5.5842550000000006</v>
      </c>
      <c r="AH7089">
        <v>55.842550000000003</v>
      </c>
      <c r="AI7089">
        <v>52.00515</v>
      </c>
      <c r="AJ7089">
        <v>26.835850000000001</v>
      </c>
      <c r="AK7089">
        <v>60.32161</v>
      </c>
    </row>
    <row r="7090" spans="1:37" x14ac:dyDescent="0.3">
      <c r="A7090">
        <v>7089</v>
      </c>
      <c r="B7090">
        <v>58</v>
      </c>
      <c r="C7090">
        <v>35.530200000000001</v>
      </c>
      <c r="D7090">
        <v>-14.874000000000001</v>
      </c>
      <c r="E7090" t="s">
        <v>10563</v>
      </c>
      <c r="F7090" t="s">
        <v>10564</v>
      </c>
      <c r="G7090" t="s">
        <v>39</v>
      </c>
      <c r="H7090">
        <v>1985</v>
      </c>
      <c r="I7090">
        <v>22.7</v>
      </c>
      <c r="J7090">
        <v>10.7</v>
      </c>
      <c r="K7090">
        <v>59</v>
      </c>
      <c r="L7090">
        <v>21.99</v>
      </c>
      <c r="M7090">
        <v>31.4</v>
      </c>
      <c r="N7090">
        <v>13.3</v>
      </c>
      <c r="O7090">
        <v>18.100000000000001</v>
      </c>
      <c r="P7090">
        <v>24.2</v>
      </c>
      <c r="Q7090">
        <v>19.5</v>
      </c>
      <c r="R7090">
        <v>25.1</v>
      </c>
      <c r="S7090">
        <v>19.5</v>
      </c>
      <c r="T7090">
        <v>1091</v>
      </c>
      <c r="U7090">
        <v>240</v>
      </c>
      <c r="V7090">
        <v>4</v>
      </c>
      <c r="W7090">
        <v>108</v>
      </c>
      <c r="X7090">
        <v>712</v>
      </c>
      <c r="Y7090">
        <v>14</v>
      </c>
      <c r="Z7090">
        <v>337</v>
      </c>
      <c r="AA7090">
        <v>14</v>
      </c>
      <c r="AB7090">
        <v>25.187290000000001</v>
      </c>
      <c r="AC7090">
        <v>2.3045110000000001E-2</v>
      </c>
      <c r="AD7090">
        <v>1.1049169999999999</v>
      </c>
      <c r="AE7090">
        <v>0.668651</v>
      </c>
      <c r="AF7090">
        <v>732.55349999999999</v>
      </c>
      <c r="AG7090">
        <f>IFERROR(AH7090*0.1, "N/A")</f>
        <v>6.0093649999999998</v>
      </c>
      <c r="AH7090">
        <v>60.093649999999997</v>
      </c>
      <c r="AI7090">
        <v>125.378</v>
      </c>
      <c r="AJ7090">
        <v>17</v>
      </c>
      <c r="AK7090">
        <v>78</v>
      </c>
    </row>
    <row r="7091" spans="1:37" x14ac:dyDescent="0.3">
      <c r="A7091">
        <v>7090</v>
      </c>
      <c r="B7091">
        <v>0</v>
      </c>
      <c r="C7091">
        <v>35.680199999999999</v>
      </c>
      <c r="D7091">
        <v>-14.872400000000001</v>
      </c>
      <c r="E7091" t="s">
        <v>10565</v>
      </c>
      <c r="F7091" t="s">
        <v>10566</v>
      </c>
      <c r="G7091" t="s">
        <v>37</v>
      </c>
      <c r="H7091">
        <v>2004</v>
      </c>
      <c r="I7091">
        <v>23.1</v>
      </c>
      <c r="J7091">
        <v>11</v>
      </c>
      <c r="K7091">
        <v>59</v>
      </c>
      <c r="L7091">
        <v>21.8</v>
      </c>
      <c r="M7091">
        <v>31.9</v>
      </c>
      <c r="N7091">
        <v>13.5</v>
      </c>
      <c r="O7091">
        <v>18.399999999999999</v>
      </c>
      <c r="P7091">
        <v>24.6</v>
      </c>
      <c r="Q7091">
        <v>19.899999999999999</v>
      </c>
      <c r="R7091">
        <v>25.4</v>
      </c>
      <c r="S7091">
        <v>19.899999999999999</v>
      </c>
      <c r="T7091">
        <v>1105</v>
      </c>
      <c r="U7091">
        <v>240</v>
      </c>
      <c r="V7091">
        <v>5</v>
      </c>
      <c r="W7091">
        <v>107</v>
      </c>
      <c r="X7091">
        <v>717</v>
      </c>
      <c r="Y7091">
        <v>15</v>
      </c>
      <c r="Z7091">
        <v>340</v>
      </c>
      <c r="AA7091">
        <v>15</v>
      </c>
      <c r="AB7091">
        <v>11.0337</v>
      </c>
      <c r="AC7091">
        <v>8.2669800000000002E-3</v>
      </c>
      <c r="AD7091">
        <v>1.1687989999999999</v>
      </c>
      <c r="AE7091">
        <v>0.63665170000000004</v>
      </c>
      <c r="AF7091">
        <v>674.33720000000005</v>
      </c>
      <c r="AG7091">
        <f>IFERROR(AH7091*0.1, "N/A")</f>
        <v>5.8026710000000001</v>
      </c>
      <c r="AH7091">
        <v>58.026710000000001</v>
      </c>
      <c r="AI7091">
        <v>86.509069999999994</v>
      </c>
      <c r="AJ7091">
        <v>19</v>
      </c>
      <c r="AK7091">
        <v>73.986639999999994</v>
      </c>
    </row>
    <row r="7092" spans="1:37" x14ac:dyDescent="0.3">
      <c r="A7092">
        <v>7091</v>
      </c>
      <c r="B7092">
        <v>2</v>
      </c>
      <c r="C7092">
        <v>35.680199999999999</v>
      </c>
      <c r="D7092">
        <v>-14.872400000000001</v>
      </c>
      <c r="E7092" t="s">
        <v>10565</v>
      </c>
      <c r="F7092" t="s">
        <v>10567</v>
      </c>
      <c r="G7092" t="s">
        <v>39</v>
      </c>
      <c r="H7092">
        <v>2004</v>
      </c>
      <c r="I7092">
        <v>23.1</v>
      </c>
      <c r="J7092">
        <v>11</v>
      </c>
      <c r="K7092">
        <v>59</v>
      </c>
      <c r="L7092">
        <v>21.8</v>
      </c>
      <c r="M7092">
        <v>31.9</v>
      </c>
      <c r="N7092">
        <v>13.5</v>
      </c>
      <c r="O7092">
        <v>18.399999999999999</v>
      </c>
      <c r="P7092">
        <v>24.6</v>
      </c>
      <c r="Q7092">
        <v>19.899999999999999</v>
      </c>
      <c r="R7092">
        <v>25.4</v>
      </c>
      <c r="S7092">
        <v>19.899999999999999</v>
      </c>
      <c r="T7092">
        <v>1105</v>
      </c>
      <c r="U7092">
        <v>240</v>
      </c>
      <c r="V7092">
        <v>5</v>
      </c>
      <c r="W7092">
        <v>107</v>
      </c>
      <c r="X7092">
        <v>717</v>
      </c>
      <c r="Y7092">
        <v>15</v>
      </c>
      <c r="Z7092">
        <v>340</v>
      </c>
      <c r="AA7092">
        <v>15</v>
      </c>
      <c r="AB7092">
        <v>11.0337</v>
      </c>
      <c r="AC7092">
        <v>8.2669800000000002E-3</v>
      </c>
      <c r="AD7092">
        <v>1.1687989999999999</v>
      </c>
      <c r="AE7092">
        <v>0.63665170000000004</v>
      </c>
      <c r="AF7092">
        <v>674.33720000000005</v>
      </c>
      <c r="AG7092">
        <f>IFERROR(AH7092*0.1, "N/A")</f>
        <v>5.8026710000000001</v>
      </c>
      <c r="AH7092">
        <v>58.026710000000001</v>
      </c>
      <c r="AI7092">
        <v>86.509069999999994</v>
      </c>
      <c r="AJ7092">
        <v>19</v>
      </c>
      <c r="AK7092">
        <v>73.986639999999994</v>
      </c>
    </row>
    <row r="7093" spans="1:37" x14ac:dyDescent="0.3">
      <c r="A7093">
        <v>7092</v>
      </c>
      <c r="B7093">
        <v>69</v>
      </c>
      <c r="C7093">
        <v>35.170400000000001</v>
      </c>
      <c r="D7093">
        <v>-14.746499999999999</v>
      </c>
      <c r="E7093" t="s">
        <v>10568</v>
      </c>
      <c r="F7093" t="s">
        <v>10569</v>
      </c>
      <c r="G7093" t="s">
        <v>39</v>
      </c>
      <c r="H7093">
        <v>1995</v>
      </c>
      <c r="I7093">
        <v>24</v>
      </c>
      <c r="J7093">
        <v>11</v>
      </c>
      <c r="K7093">
        <v>57</v>
      </c>
      <c r="L7093">
        <v>23.96</v>
      </c>
      <c r="M7093">
        <v>33.200000000000003</v>
      </c>
      <c r="N7093">
        <v>14</v>
      </c>
      <c r="O7093">
        <v>19.2</v>
      </c>
      <c r="P7093">
        <v>25.5</v>
      </c>
      <c r="Q7093">
        <v>20.5</v>
      </c>
      <c r="R7093">
        <v>26.6</v>
      </c>
      <c r="S7093">
        <v>20.5</v>
      </c>
      <c r="T7093">
        <v>903</v>
      </c>
      <c r="U7093">
        <v>219</v>
      </c>
      <c r="V7093">
        <v>3</v>
      </c>
      <c r="W7093">
        <v>111</v>
      </c>
      <c r="X7093">
        <v>615</v>
      </c>
      <c r="Y7093">
        <v>11</v>
      </c>
      <c r="Z7093">
        <v>266</v>
      </c>
      <c r="AA7093">
        <v>11</v>
      </c>
      <c r="AB7093">
        <v>2.5995010000000001</v>
      </c>
      <c r="AC7093">
        <v>1.4417949999999999</v>
      </c>
      <c r="AD7093">
        <v>1.5612440000000001</v>
      </c>
      <c r="AE7093">
        <v>0.64384949999999996</v>
      </c>
      <c r="AF7093">
        <v>500.82240000000002</v>
      </c>
      <c r="AG7093">
        <f>IFERROR(AH7093*0.1, "N/A")</f>
        <v>6.7482410000000002</v>
      </c>
      <c r="AH7093">
        <v>67.482410000000002</v>
      </c>
      <c r="AI7093">
        <v>175.3408</v>
      </c>
      <c r="AJ7093">
        <v>25.241209999999999</v>
      </c>
      <c r="AK7093">
        <v>57.886099999999999</v>
      </c>
    </row>
    <row r="7094" spans="1:37" x14ac:dyDescent="0.3">
      <c r="A7094">
        <v>7093</v>
      </c>
      <c r="B7094">
        <v>54.5</v>
      </c>
      <c r="C7094">
        <v>34.966700000000003</v>
      </c>
      <c r="D7094">
        <v>-14.7</v>
      </c>
      <c r="E7094" t="s">
        <v>10570</v>
      </c>
      <c r="F7094" t="s">
        <v>10571</v>
      </c>
      <c r="G7094" t="s">
        <v>39</v>
      </c>
      <c r="H7094">
        <v>1995</v>
      </c>
      <c r="I7094">
        <v>22.141439999999999</v>
      </c>
      <c r="J7094">
        <v>10.614929999999999</v>
      </c>
      <c r="K7094">
        <v>56.149329999999999</v>
      </c>
      <c r="L7094">
        <v>22.482890000000001</v>
      </c>
      <c r="M7094">
        <v>31.026509999999998</v>
      </c>
      <c r="N7094">
        <v>12.42651</v>
      </c>
      <c r="O7094">
        <v>18.600000000000001</v>
      </c>
      <c r="P7094">
        <v>23.478190000000001</v>
      </c>
      <c r="Q7094">
        <v>18.826509999999999</v>
      </c>
      <c r="R7094">
        <v>24.641439999999999</v>
      </c>
      <c r="S7094">
        <v>18.826509999999999</v>
      </c>
      <c r="T7094">
        <v>946.09900000000005</v>
      </c>
      <c r="U7094">
        <v>237.5856</v>
      </c>
      <c r="V7094">
        <v>3</v>
      </c>
      <c r="W7094">
        <v>113.6326</v>
      </c>
      <c r="X7094">
        <v>659.99659999999994</v>
      </c>
      <c r="Y7094">
        <v>9</v>
      </c>
      <c r="Z7094">
        <v>284.10230000000001</v>
      </c>
      <c r="AA7094">
        <v>9</v>
      </c>
      <c r="AB7094">
        <v>50.001710000000003</v>
      </c>
      <c r="AC7094">
        <v>8.4955159999999998E-3</v>
      </c>
      <c r="AD7094">
        <v>7.2525729999999999</v>
      </c>
      <c r="AE7094">
        <v>0.58335289999999995</v>
      </c>
      <c r="AF7094">
        <v>827.41780000000006</v>
      </c>
      <c r="AG7094">
        <f>IFERROR(AH7094*0.1, "N/A")</f>
        <v>5.7323830000000005</v>
      </c>
      <c r="AH7094">
        <v>57.323830000000001</v>
      </c>
      <c r="AI7094">
        <v>91.577259999999995</v>
      </c>
      <c r="AJ7094">
        <v>18.02852</v>
      </c>
      <c r="AK7094">
        <v>75.97148</v>
      </c>
    </row>
    <row r="7095" spans="1:37" x14ac:dyDescent="0.3">
      <c r="A7095">
        <v>7094</v>
      </c>
      <c r="B7095">
        <v>45.5</v>
      </c>
      <c r="C7095">
        <v>34.950000000000003</v>
      </c>
      <c r="D7095">
        <v>-14.7</v>
      </c>
      <c r="E7095" t="s">
        <v>10572</v>
      </c>
      <c r="F7095" t="s">
        <v>10573</v>
      </c>
      <c r="G7095" t="s">
        <v>39</v>
      </c>
      <c r="H7095">
        <v>1995</v>
      </c>
      <c r="I7095">
        <v>22.145320000000002</v>
      </c>
      <c r="J7095">
        <v>10.645820000000001</v>
      </c>
      <c r="K7095">
        <v>56.804349999999999</v>
      </c>
      <c r="L7095">
        <v>22.566870000000002</v>
      </c>
      <c r="M7095">
        <v>30.964880000000001</v>
      </c>
      <c r="N7095">
        <v>12.3995</v>
      </c>
      <c r="O7095">
        <v>18.565380000000001</v>
      </c>
      <c r="P7095">
        <v>23.445319999999999</v>
      </c>
      <c r="Q7095">
        <v>18.764880000000002</v>
      </c>
      <c r="R7095">
        <v>24.610700000000001</v>
      </c>
      <c r="S7095">
        <v>18.764880000000002</v>
      </c>
      <c r="T7095">
        <v>945.88289999999995</v>
      </c>
      <c r="U7095">
        <v>237.7174</v>
      </c>
      <c r="V7095">
        <v>3</v>
      </c>
      <c r="W7095">
        <v>113.4833</v>
      </c>
      <c r="X7095">
        <v>660.26419999999996</v>
      </c>
      <c r="Y7095">
        <v>9</v>
      </c>
      <c r="Z7095">
        <v>284.35120000000001</v>
      </c>
      <c r="AA7095">
        <v>9</v>
      </c>
      <c r="AB7095">
        <v>13.49517</v>
      </c>
      <c r="AC7095">
        <v>2.3810350000000001E-2</v>
      </c>
      <c r="AD7095">
        <v>3.0768399999999998</v>
      </c>
      <c r="AE7095">
        <v>0.49059140000000001</v>
      </c>
      <c r="AF7095">
        <v>785.72069999999997</v>
      </c>
      <c r="AG7095">
        <f>IFERROR(AH7095*0.1, "N/A")</f>
        <v>5.7267560000000008</v>
      </c>
      <c r="AH7095">
        <v>57.267560000000003</v>
      </c>
      <c r="AI7095">
        <v>199.17760000000001</v>
      </c>
      <c r="AJ7095">
        <v>18</v>
      </c>
      <c r="AK7095">
        <v>73</v>
      </c>
    </row>
    <row r="7096" spans="1:37" x14ac:dyDescent="0.3">
      <c r="A7096">
        <v>7095</v>
      </c>
      <c r="B7096">
        <v>85.1</v>
      </c>
      <c r="C7096">
        <v>35.342300000000002</v>
      </c>
      <c r="D7096">
        <v>-14.6511</v>
      </c>
      <c r="E7096" t="s">
        <v>10574</v>
      </c>
      <c r="F7096" t="s">
        <v>10575</v>
      </c>
      <c r="G7096" t="s">
        <v>39</v>
      </c>
      <c r="H7096">
        <v>1995</v>
      </c>
      <c r="I7096">
        <v>24.2</v>
      </c>
      <c r="J7096">
        <v>11.1</v>
      </c>
      <c r="K7096">
        <v>57</v>
      </c>
      <c r="L7096">
        <v>24.04082</v>
      </c>
      <c r="M7096">
        <v>33.4</v>
      </c>
      <c r="N7096">
        <v>14.1</v>
      </c>
      <c r="O7096">
        <v>19.3</v>
      </c>
      <c r="P7096">
        <v>25.701170000000001</v>
      </c>
      <c r="Q7096">
        <v>20.60117</v>
      </c>
      <c r="R7096">
        <v>26.801169999999999</v>
      </c>
      <c r="S7096">
        <v>20.60117</v>
      </c>
      <c r="T7096">
        <v>902.96479999999997</v>
      </c>
      <c r="U7096">
        <v>217</v>
      </c>
      <c r="V7096">
        <v>3</v>
      </c>
      <c r="W7096">
        <v>111</v>
      </c>
      <c r="X7096">
        <v>608.98829999999998</v>
      </c>
      <c r="Y7096">
        <v>10</v>
      </c>
      <c r="Z7096">
        <v>261.98829999999998</v>
      </c>
      <c r="AA7096">
        <v>10</v>
      </c>
      <c r="AB7096">
        <v>2.1482320000000001</v>
      </c>
      <c r="AC7096">
        <v>0.32433879999999998</v>
      </c>
      <c r="AD7096">
        <v>0.93301820000000002</v>
      </c>
      <c r="AE7096">
        <v>0.43386160000000001</v>
      </c>
      <c r="AF7096">
        <v>481.02850000000001</v>
      </c>
      <c r="AG7096">
        <f>IFERROR(AH7096*0.1, "N/A")</f>
        <v>6.1817419999999998</v>
      </c>
      <c r="AH7096">
        <v>61.817419999999998</v>
      </c>
      <c r="AI7096">
        <v>214.67959999999999</v>
      </c>
      <c r="AJ7096">
        <v>21.329979999999999</v>
      </c>
      <c r="AK7096">
        <v>64.670019999999994</v>
      </c>
    </row>
    <row r="7097" spans="1:37" x14ac:dyDescent="0.3">
      <c r="A7097">
        <v>7096</v>
      </c>
      <c r="B7097">
        <v>73.8</v>
      </c>
      <c r="C7097">
        <v>35.181199999999997</v>
      </c>
      <c r="D7097">
        <v>-14.619899999999999</v>
      </c>
      <c r="E7097" t="s">
        <v>10576</v>
      </c>
      <c r="F7097" t="s">
        <v>10577</v>
      </c>
      <c r="G7097" t="s">
        <v>39</v>
      </c>
      <c r="H7097">
        <v>1995</v>
      </c>
      <c r="I7097">
        <v>24.1</v>
      </c>
      <c r="J7097">
        <v>11</v>
      </c>
      <c r="K7097">
        <v>56</v>
      </c>
      <c r="L7097">
        <v>24.58</v>
      </c>
      <c r="M7097">
        <v>33.4</v>
      </c>
      <c r="N7097">
        <v>14</v>
      </c>
      <c r="O7097">
        <v>19.399999999999999</v>
      </c>
      <c r="P7097">
        <v>25.7</v>
      </c>
      <c r="Q7097">
        <v>20.5</v>
      </c>
      <c r="R7097">
        <v>26.9</v>
      </c>
      <c r="S7097">
        <v>20.5</v>
      </c>
      <c r="T7097">
        <v>866</v>
      </c>
      <c r="U7097">
        <v>215</v>
      </c>
      <c r="V7097">
        <v>3</v>
      </c>
      <c r="W7097">
        <v>113</v>
      </c>
      <c r="X7097">
        <v>598</v>
      </c>
      <c r="Y7097">
        <v>9</v>
      </c>
      <c r="Z7097">
        <v>250</v>
      </c>
      <c r="AA7097">
        <v>9</v>
      </c>
      <c r="AB7097">
        <v>4.8813750000000002</v>
      </c>
      <c r="AC7097">
        <v>3.6229610000000002E-2</v>
      </c>
      <c r="AD7097">
        <v>1.442221</v>
      </c>
      <c r="AE7097">
        <v>0.42180659999999998</v>
      </c>
      <c r="AF7097">
        <v>483.0419</v>
      </c>
      <c r="AG7097">
        <f>IFERROR(AH7097*0.1, "N/A")</f>
        <v>6.2828860000000004</v>
      </c>
      <c r="AH7097">
        <v>62.828859999999999</v>
      </c>
      <c r="AI7097">
        <v>99.837310000000002</v>
      </c>
      <c r="AJ7097">
        <v>24.922820000000002</v>
      </c>
      <c r="AK7097">
        <v>58.696309999999997</v>
      </c>
    </row>
    <row r="7098" spans="1:37" x14ac:dyDescent="0.3">
      <c r="A7098">
        <v>7097</v>
      </c>
      <c r="B7098">
        <v>69.099999999999994</v>
      </c>
      <c r="C7098">
        <v>35.364800000000002</v>
      </c>
      <c r="D7098">
        <v>-14.581300000000001</v>
      </c>
      <c r="E7098" t="s">
        <v>10578</v>
      </c>
      <c r="F7098" t="s">
        <v>10579</v>
      </c>
      <c r="G7098" t="s">
        <v>39</v>
      </c>
      <c r="H7098">
        <v>1995</v>
      </c>
      <c r="I7098">
        <v>24.1</v>
      </c>
      <c r="J7098">
        <v>11</v>
      </c>
      <c r="K7098">
        <v>57</v>
      </c>
      <c r="L7098">
        <v>23.78</v>
      </c>
      <c r="M7098">
        <v>33.299999999999997</v>
      </c>
      <c r="N7098">
        <v>14.2</v>
      </c>
      <c r="O7098">
        <v>19.100000000000001</v>
      </c>
      <c r="P7098">
        <v>25.7</v>
      </c>
      <c r="Q7098">
        <v>20.6</v>
      </c>
      <c r="R7098">
        <v>26.7</v>
      </c>
      <c r="S7098">
        <v>20.6</v>
      </c>
      <c r="T7098">
        <v>893</v>
      </c>
      <c r="U7098">
        <v>217</v>
      </c>
      <c r="V7098">
        <v>3</v>
      </c>
      <c r="W7098">
        <v>112</v>
      </c>
      <c r="X7098">
        <v>604</v>
      </c>
      <c r="Y7098">
        <v>9</v>
      </c>
      <c r="Z7098">
        <v>257</v>
      </c>
      <c r="AA7098">
        <v>9</v>
      </c>
      <c r="AB7098">
        <v>14.624829999999999</v>
      </c>
      <c r="AC7098">
        <v>8.5000470000000002E-3</v>
      </c>
      <c r="AD7098">
        <v>1.3292930000000001</v>
      </c>
      <c r="AE7098">
        <v>0.67377279999999995</v>
      </c>
      <c r="AF7098">
        <v>513.85910000000001</v>
      </c>
      <c r="AG7098">
        <f>IFERROR(AH7098*0.1, "N/A")</f>
        <v>6.2557049999999998</v>
      </c>
      <c r="AH7098">
        <v>62.557049999999997</v>
      </c>
      <c r="AI7098">
        <v>229.1814</v>
      </c>
      <c r="AJ7098">
        <v>20.55705</v>
      </c>
      <c r="AK7098">
        <v>69.442949999999996</v>
      </c>
    </row>
    <row r="7099" spans="1:37" x14ac:dyDescent="0.3">
      <c r="A7099">
        <v>7098</v>
      </c>
      <c r="B7099">
        <v>34.5</v>
      </c>
      <c r="C7099">
        <v>35.049999999999997</v>
      </c>
      <c r="D7099">
        <v>-14.55</v>
      </c>
      <c r="E7099" t="s">
        <v>10580</v>
      </c>
      <c r="F7099" t="s">
        <v>10581</v>
      </c>
      <c r="G7099" t="s">
        <v>39</v>
      </c>
      <c r="H7099">
        <v>1995</v>
      </c>
      <c r="I7099">
        <v>22.107869999999998</v>
      </c>
      <c r="J7099">
        <v>10.5</v>
      </c>
      <c r="K7099">
        <v>57.063650000000003</v>
      </c>
      <c r="L7099">
        <v>22.120180000000001</v>
      </c>
      <c r="M7099">
        <v>30.845389999999998</v>
      </c>
      <c r="N7099">
        <v>12.56399</v>
      </c>
      <c r="O7099">
        <v>18.281410000000001</v>
      </c>
      <c r="P7099">
        <v>23.448910000000001</v>
      </c>
      <c r="Q7099">
        <v>18.807870000000001</v>
      </c>
      <c r="R7099">
        <v>24.601510000000001</v>
      </c>
      <c r="S7099">
        <v>18.807870000000001</v>
      </c>
      <c r="T7099">
        <v>934.78890000000001</v>
      </c>
      <c r="U7099">
        <v>238.4238</v>
      </c>
      <c r="V7099">
        <v>2</v>
      </c>
      <c r="W7099">
        <v>115</v>
      </c>
      <c r="X7099">
        <v>657.96979999999996</v>
      </c>
      <c r="Y7099">
        <v>6</v>
      </c>
      <c r="Z7099">
        <v>280.25799999999998</v>
      </c>
      <c r="AA7099">
        <v>6</v>
      </c>
      <c r="AB7099">
        <v>48.516379999999998</v>
      </c>
      <c r="AC7099">
        <v>2.2784470000000001E-2</v>
      </c>
      <c r="AD7099">
        <v>5.6646999999999998</v>
      </c>
      <c r="AE7099">
        <v>0.62464359999999997</v>
      </c>
      <c r="AF7099">
        <v>863.31989999999996</v>
      </c>
      <c r="AG7099">
        <f>IFERROR(AH7099*0.1, "N/A")</f>
        <v>5.5698490000000005</v>
      </c>
      <c r="AH7099">
        <v>55.69849</v>
      </c>
      <c r="AI7099">
        <v>94.507620000000003</v>
      </c>
      <c r="AJ7099">
        <v>19</v>
      </c>
      <c r="AK7099">
        <v>73.849249999999998</v>
      </c>
    </row>
    <row r="7100" spans="1:37" x14ac:dyDescent="0.3">
      <c r="A7100">
        <v>7099</v>
      </c>
      <c r="B7100">
        <v>81.8</v>
      </c>
      <c r="C7100">
        <v>35.366700000000002</v>
      </c>
      <c r="D7100">
        <v>-14.533300000000001</v>
      </c>
      <c r="E7100" t="s">
        <v>10582</v>
      </c>
      <c r="F7100" t="s">
        <v>10583</v>
      </c>
      <c r="G7100" t="s">
        <v>39</v>
      </c>
      <c r="H7100">
        <v>1995</v>
      </c>
      <c r="I7100">
        <v>24.046659999999999</v>
      </c>
      <c r="J7100">
        <v>11</v>
      </c>
      <c r="K7100">
        <v>56.620399999999997</v>
      </c>
      <c r="L7100">
        <v>23.780940000000001</v>
      </c>
      <c r="M7100">
        <v>33.208359999999999</v>
      </c>
      <c r="N7100">
        <v>14.06204</v>
      </c>
      <c r="O7100">
        <v>19.146319999999999</v>
      </c>
      <c r="P7100">
        <v>25.561710000000001</v>
      </c>
      <c r="Q7100">
        <v>20.546659999999999</v>
      </c>
      <c r="R7100">
        <v>26.708359999999999</v>
      </c>
      <c r="S7100">
        <v>20.546659999999999</v>
      </c>
      <c r="T7100">
        <v>889.66390000000001</v>
      </c>
      <c r="U7100">
        <v>218.15049999999999</v>
      </c>
      <c r="V7100">
        <v>2</v>
      </c>
      <c r="W7100">
        <v>111.70740000000001</v>
      </c>
      <c r="X7100">
        <v>603.13040000000001</v>
      </c>
      <c r="Y7100">
        <v>8</v>
      </c>
      <c r="Z7100">
        <v>254.44649999999999</v>
      </c>
      <c r="AA7100">
        <v>8</v>
      </c>
      <c r="AB7100">
        <v>7.1958219999999997</v>
      </c>
      <c r="AC7100">
        <v>3.4295340000000001E-2</v>
      </c>
      <c r="AD7100">
        <v>1.0815300000000001</v>
      </c>
      <c r="AE7100">
        <v>0.59320859999999997</v>
      </c>
      <c r="AF7100">
        <v>526.68560000000002</v>
      </c>
      <c r="AG7100">
        <f>IFERROR(AH7100*0.1, "N/A")</f>
        <v>6.4540130000000007</v>
      </c>
      <c r="AH7100">
        <v>64.540130000000005</v>
      </c>
      <c r="AI7100">
        <v>181.86789999999999</v>
      </c>
      <c r="AJ7100">
        <v>25.35284</v>
      </c>
      <c r="AK7100">
        <v>60.10033</v>
      </c>
    </row>
    <row r="7101" spans="1:37" x14ac:dyDescent="0.3">
      <c r="A7101">
        <v>7100</v>
      </c>
      <c r="B7101">
        <v>54</v>
      </c>
      <c r="C7101">
        <v>35.2164</v>
      </c>
      <c r="D7101">
        <v>-14.5327</v>
      </c>
      <c r="E7101" t="s">
        <v>10584</v>
      </c>
      <c r="F7101" t="s">
        <v>10585</v>
      </c>
      <c r="G7101" t="s">
        <v>39</v>
      </c>
      <c r="H7101">
        <v>1995</v>
      </c>
      <c r="I7101">
        <v>24.3</v>
      </c>
      <c r="J7101">
        <v>11</v>
      </c>
      <c r="K7101">
        <v>56</v>
      </c>
      <c r="L7101">
        <v>24.49522</v>
      </c>
      <c r="M7101">
        <v>33.550330000000002</v>
      </c>
      <c r="N7101">
        <v>14.17836</v>
      </c>
      <c r="O7101">
        <v>19.371980000000001</v>
      </c>
      <c r="P7101">
        <v>25.8</v>
      </c>
      <c r="Q7101">
        <v>20.678360000000001</v>
      </c>
      <c r="R7101">
        <v>27</v>
      </c>
      <c r="S7101">
        <v>20.678360000000001</v>
      </c>
      <c r="T7101">
        <v>845.99659999999994</v>
      </c>
      <c r="U7101">
        <v>213</v>
      </c>
      <c r="V7101">
        <v>2</v>
      </c>
      <c r="W7101">
        <v>114</v>
      </c>
      <c r="X7101">
        <v>584.20640000000003</v>
      </c>
      <c r="Y7101">
        <v>8</v>
      </c>
      <c r="Z7101">
        <v>238.69970000000001</v>
      </c>
      <c r="AA7101">
        <v>8</v>
      </c>
      <c r="AB7101">
        <v>1.3093980000000001</v>
      </c>
      <c r="AC7101">
        <v>0.19477169999999999</v>
      </c>
      <c r="AD7101">
        <v>0.72857360000000004</v>
      </c>
      <c r="AE7101">
        <v>0.55600269999999996</v>
      </c>
      <c r="AF7101">
        <v>479.0034</v>
      </c>
      <c r="AG7101">
        <f>IFERROR(AH7101*0.1, "N/A")</f>
        <v>6.070805</v>
      </c>
      <c r="AH7101">
        <v>60.70805</v>
      </c>
      <c r="AI7101">
        <v>142.2927</v>
      </c>
      <c r="AJ7101">
        <v>22.966439999999999</v>
      </c>
      <c r="AK7101">
        <v>64.81711</v>
      </c>
    </row>
    <row r="7102" spans="1:37" x14ac:dyDescent="0.3">
      <c r="A7102">
        <v>7101</v>
      </c>
      <c r="B7102">
        <v>78.099999999999994</v>
      </c>
      <c r="C7102">
        <v>35.25</v>
      </c>
      <c r="D7102">
        <v>-14.5</v>
      </c>
      <c r="E7102" t="s">
        <v>10586</v>
      </c>
      <c r="F7102" t="s">
        <v>10587</v>
      </c>
      <c r="G7102" t="s">
        <v>39</v>
      </c>
      <c r="H7102">
        <v>1995</v>
      </c>
      <c r="I7102">
        <v>24.3</v>
      </c>
      <c r="J7102">
        <v>11</v>
      </c>
      <c r="K7102">
        <v>56</v>
      </c>
      <c r="L7102">
        <v>24.65926</v>
      </c>
      <c r="M7102">
        <v>33.6</v>
      </c>
      <c r="N7102">
        <v>14.172219999999999</v>
      </c>
      <c r="O7102">
        <v>19.427779999999998</v>
      </c>
      <c r="P7102">
        <v>25.8</v>
      </c>
      <c r="Q7102">
        <v>20.691579999999998</v>
      </c>
      <c r="R7102">
        <v>27</v>
      </c>
      <c r="S7102">
        <v>20.691579999999998</v>
      </c>
      <c r="T7102">
        <v>842.36869999999999</v>
      </c>
      <c r="U7102">
        <v>213</v>
      </c>
      <c r="V7102">
        <v>2</v>
      </c>
      <c r="W7102">
        <v>113.0842</v>
      </c>
      <c r="X7102">
        <v>577.72220000000004</v>
      </c>
      <c r="Y7102">
        <v>8</v>
      </c>
      <c r="Z7102">
        <v>235.12960000000001</v>
      </c>
      <c r="AA7102">
        <v>8</v>
      </c>
      <c r="AB7102">
        <v>1.6776120000000001</v>
      </c>
      <c r="AC7102">
        <v>4.4665870000000003E-2</v>
      </c>
      <c r="AD7102">
        <v>0.60998649999999999</v>
      </c>
      <c r="AE7102">
        <v>0.4790085</v>
      </c>
      <c r="AF7102">
        <v>478.86869999999999</v>
      </c>
      <c r="AG7102">
        <f>IFERROR(AH7102*0.1, "N/A")</f>
        <v>6.1060610000000004</v>
      </c>
      <c r="AH7102">
        <v>61.060609999999997</v>
      </c>
      <c r="AI7102">
        <v>163.75389999999999</v>
      </c>
      <c r="AJ7102">
        <v>24.47306</v>
      </c>
      <c r="AK7102">
        <v>66.575760000000002</v>
      </c>
    </row>
    <row r="7103" spans="1:37" x14ac:dyDescent="0.3">
      <c r="A7103">
        <v>7102</v>
      </c>
      <c r="B7103">
        <v>16.2</v>
      </c>
      <c r="C7103">
        <v>35.184699999999999</v>
      </c>
      <c r="D7103">
        <v>-14.4885</v>
      </c>
      <c r="E7103" t="s">
        <v>10588</v>
      </c>
      <c r="F7103" t="s">
        <v>10589</v>
      </c>
      <c r="G7103" t="s">
        <v>39</v>
      </c>
      <c r="H7103">
        <v>1995</v>
      </c>
      <c r="I7103">
        <v>24.1</v>
      </c>
      <c r="J7103">
        <v>10.9</v>
      </c>
      <c r="K7103">
        <v>56</v>
      </c>
      <c r="L7103">
        <v>24.21</v>
      </c>
      <c r="M7103">
        <v>33.299999999999997</v>
      </c>
      <c r="N7103">
        <v>14.1</v>
      </c>
      <c r="O7103">
        <v>19.2</v>
      </c>
      <c r="P7103">
        <v>25.7</v>
      </c>
      <c r="Q7103">
        <v>20.6</v>
      </c>
      <c r="R7103">
        <v>26.8</v>
      </c>
      <c r="S7103">
        <v>20.6</v>
      </c>
      <c r="T7103">
        <v>843</v>
      </c>
      <c r="U7103">
        <v>215</v>
      </c>
      <c r="V7103">
        <v>2</v>
      </c>
      <c r="W7103">
        <v>114</v>
      </c>
      <c r="X7103">
        <v>588</v>
      </c>
      <c r="Y7103">
        <v>8</v>
      </c>
      <c r="Z7103">
        <v>237</v>
      </c>
      <c r="AA7103">
        <v>8</v>
      </c>
      <c r="AB7103">
        <v>2.4065400000000001</v>
      </c>
      <c r="AC7103">
        <v>7.5195579999999998E-2</v>
      </c>
      <c r="AD7103">
        <v>1.1288959999999999</v>
      </c>
      <c r="AE7103">
        <v>0.53400429999999999</v>
      </c>
      <c r="AF7103">
        <v>510.36450000000002</v>
      </c>
      <c r="AG7103">
        <f>IFERROR(AH7103*0.1, "N/A")</f>
        <v>6.4839460000000004</v>
      </c>
      <c r="AH7103">
        <v>64.839460000000003</v>
      </c>
      <c r="AI7103">
        <v>107.5996</v>
      </c>
      <c r="AJ7103">
        <v>19.344480000000001</v>
      </c>
      <c r="AK7103">
        <v>73.655519999999996</v>
      </c>
    </row>
    <row r="7104" spans="1:37" x14ac:dyDescent="0.3">
      <c r="A7104">
        <v>7103</v>
      </c>
      <c r="B7104">
        <v>53.5</v>
      </c>
      <c r="C7104">
        <v>35.259700000000002</v>
      </c>
      <c r="D7104">
        <v>-14.4801</v>
      </c>
      <c r="E7104" t="s">
        <v>10590</v>
      </c>
      <c r="F7104" t="s">
        <v>10591</v>
      </c>
      <c r="G7104" t="s">
        <v>39</v>
      </c>
      <c r="H7104">
        <v>1995</v>
      </c>
      <c r="I7104">
        <v>24.3</v>
      </c>
      <c r="J7104">
        <v>11</v>
      </c>
      <c r="K7104">
        <v>56</v>
      </c>
      <c r="L7104">
        <v>24.66</v>
      </c>
      <c r="M7104">
        <v>33.6</v>
      </c>
      <c r="N7104">
        <v>14.2</v>
      </c>
      <c r="O7104">
        <v>19.399999999999999</v>
      </c>
      <c r="P7104">
        <v>25.8</v>
      </c>
      <c r="Q7104">
        <v>20.7</v>
      </c>
      <c r="R7104">
        <v>27</v>
      </c>
      <c r="S7104">
        <v>20.7</v>
      </c>
      <c r="T7104">
        <v>841</v>
      </c>
      <c r="U7104">
        <v>214</v>
      </c>
      <c r="V7104">
        <v>2</v>
      </c>
      <c r="W7104">
        <v>113</v>
      </c>
      <c r="X7104">
        <v>576</v>
      </c>
      <c r="Y7104">
        <v>8</v>
      </c>
      <c r="Z7104">
        <v>233</v>
      </c>
      <c r="AA7104">
        <v>8</v>
      </c>
      <c r="AB7104">
        <v>2.005709</v>
      </c>
      <c r="AC7104">
        <v>1.1106990000000001E-2</v>
      </c>
      <c r="AD7104">
        <v>1.098568</v>
      </c>
      <c r="AE7104">
        <v>0.87265340000000002</v>
      </c>
      <c r="AF7104">
        <v>483.48570000000001</v>
      </c>
      <c r="AG7104">
        <f>IFERROR(AH7104*0.1, "N/A")</f>
        <v>6.5383190000000004</v>
      </c>
      <c r="AH7104">
        <v>65.383189999999999</v>
      </c>
      <c r="AI7104">
        <v>142.3115</v>
      </c>
      <c r="AJ7104">
        <v>23</v>
      </c>
      <c r="AK7104">
        <v>66.616810000000001</v>
      </c>
    </row>
    <row r="7105" spans="1:37" x14ac:dyDescent="0.3">
      <c r="A7105">
        <v>7104</v>
      </c>
      <c r="B7105">
        <v>74.7</v>
      </c>
      <c r="C7105">
        <v>35.278500000000001</v>
      </c>
      <c r="D7105">
        <v>-14.475</v>
      </c>
      <c r="E7105" t="s">
        <v>10592</v>
      </c>
      <c r="F7105" t="s">
        <v>10593</v>
      </c>
      <c r="G7105" t="s">
        <v>39</v>
      </c>
      <c r="H7105">
        <v>1995</v>
      </c>
      <c r="I7105">
        <v>24.3</v>
      </c>
      <c r="J7105">
        <v>11</v>
      </c>
      <c r="K7105">
        <v>56</v>
      </c>
      <c r="L7105">
        <v>24.43337</v>
      </c>
      <c r="M7105">
        <v>33.6</v>
      </c>
      <c r="N7105">
        <v>14.2</v>
      </c>
      <c r="O7105">
        <v>19.399999999999999</v>
      </c>
      <c r="P7105">
        <v>25.81775</v>
      </c>
      <c r="Q7105">
        <v>20.717759999999998</v>
      </c>
      <c r="R7105">
        <v>27</v>
      </c>
      <c r="S7105">
        <v>20.717759999999998</v>
      </c>
      <c r="T7105">
        <v>844.82240000000002</v>
      </c>
      <c r="U7105">
        <v>214</v>
      </c>
      <c r="V7105">
        <v>2</v>
      </c>
      <c r="W7105">
        <v>113</v>
      </c>
      <c r="X7105">
        <v>577.17759999999998</v>
      </c>
      <c r="Y7105">
        <v>8</v>
      </c>
      <c r="Z7105">
        <v>234.82239999999999</v>
      </c>
      <c r="AA7105">
        <v>8</v>
      </c>
      <c r="AB7105">
        <v>6.0928089999999999</v>
      </c>
      <c r="AC7105">
        <v>1.170816E-2</v>
      </c>
      <c r="AD7105">
        <v>2.1699030000000001</v>
      </c>
      <c r="AE7105">
        <v>0.63873740000000001</v>
      </c>
      <c r="AF7105">
        <v>482.25799999999998</v>
      </c>
      <c r="AG7105">
        <f>IFERROR(AH7105*0.1, "N/A")</f>
        <v>6.3130650000000008</v>
      </c>
      <c r="AH7105">
        <v>63.130650000000003</v>
      </c>
      <c r="AI7105">
        <v>177.2133</v>
      </c>
      <c r="AJ7105">
        <v>23.130649999999999</v>
      </c>
      <c r="AK7105">
        <v>65.608040000000003</v>
      </c>
    </row>
    <row r="7106" spans="1:37" x14ac:dyDescent="0.3">
      <c r="A7106">
        <v>7105</v>
      </c>
      <c r="B7106">
        <v>83</v>
      </c>
      <c r="C7106">
        <v>35.244</v>
      </c>
      <c r="D7106">
        <v>-14.460699999999999</v>
      </c>
      <c r="E7106" t="s">
        <v>10594</v>
      </c>
      <c r="F7106" t="s">
        <v>10595</v>
      </c>
      <c r="G7106" t="s">
        <v>39</v>
      </c>
      <c r="H7106">
        <v>1995</v>
      </c>
      <c r="I7106">
        <v>24.3</v>
      </c>
      <c r="J7106">
        <v>11</v>
      </c>
      <c r="K7106">
        <v>56</v>
      </c>
      <c r="L7106">
        <v>24.41</v>
      </c>
      <c r="M7106">
        <v>33.6</v>
      </c>
      <c r="N7106">
        <v>14.3</v>
      </c>
      <c r="O7106">
        <v>19.3</v>
      </c>
      <c r="P7106">
        <v>25.9</v>
      </c>
      <c r="Q7106">
        <v>20.8</v>
      </c>
      <c r="R7106">
        <v>27.1</v>
      </c>
      <c r="S7106">
        <v>20.8</v>
      </c>
      <c r="T7106">
        <v>838</v>
      </c>
      <c r="U7106">
        <v>214</v>
      </c>
      <c r="V7106">
        <v>2</v>
      </c>
      <c r="W7106">
        <v>114</v>
      </c>
      <c r="X7106">
        <v>577</v>
      </c>
      <c r="Y7106">
        <v>8</v>
      </c>
      <c r="Z7106">
        <v>233</v>
      </c>
      <c r="AA7106">
        <v>8</v>
      </c>
      <c r="AB7106">
        <v>1.064605</v>
      </c>
      <c r="AC7106">
        <v>9.5495759999999999E-2</v>
      </c>
      <c r="AD7106">
        <v>1.130701</v>
      </c>
      <c r="AE7106">
        <v>0.68486290000000005</v>
      </c>
      <c r="AF7106">
        <v>479.32380000000001</v>
      </c>
      <c r="AG7106">
        <f>IFERROR(AH7106*0.1, "N/A")</f>
        <v>6.5988259999999999</v>
      </c>
      <c r="AH7106">
        <v>65.988259999999997</v>
      </c>
      <c r="AI7106">
        <v>175.011</v>
      </c>
      <c r="AJ7106">
        <v>22.176169999999999</v>
      </c>
      <c r="AK7106">
        <v>70.338930000000005</v>
      </c>
    </row>
    <row r="7107" spans="1:37" x14ac:dyDescent="0.3">
      <c r="A7107">
        <v>7106</v>
      </c>
      <c r="B7107">
        <v>60</v>
      </c>
      <c r="C7107">
        <v>34.007800000000003</v>
      </c>
      <c r="D7107">
        <v>-14.4451</v>
      </c>
      <c r="E7107" t="s">
        <v>10596</v>
      </c>
      <c r="F7107" t="s">
        <v>10597</v>
      </c>
      <c r="G7107" t="s">
        <v>39</v>
      </c>
      <c r="H7107">
        <v>1985</v>
      </c>
      <c r="I7107">
        <v>18.8</v>
      </c>
      <c r="J7107">
        <v>11.5</v>
      </c>
      <c r="K7107">
        <v>57</v>
      </c>
      <c r="L7107">
        <v>25.587289999999999</v>
      </c>
      <c r="M7107">
        <v>27.9</v>
      </c>
      <c r="N7107">
        <v>7.9</v>
      </c>
      <c r="O7107">
        <v>20</v>
      </c>
      <c r="P7107">
        <v>20.705210000000001</v>
      </c>
      <c r="Q7107">
        <v>16.13748</v>
      </c>
      <c r="R7107">
        <v>21.5</v>
      </c>
      <c r="S7107">
        <v>15</v>
      </c>
      <c r="T7107">
        <v>944.9479</v>
      </c>
      <c r="U7107">
        <v>221.9479</v>
      </c>
      <c r="V7107">
        <v>2</v>
      </c>
      <c r="W7107">
        <v>109.9479</v>
      </c>
      <c r="X7107">
        <v>617</v>
      </c>
      <c r="Y7107">
        <v>7.0521010000000004</v>
      </c>
      <c r="Z7107">
        <v>272.9479</v>
      </c>
      <c r="AA7107">
        <v>8</v>
      </c>
      <c r="AB7107">
        <v>11.601150000000001</v>
      </c>
      <c r="AC7107">
        <v>1.081637E-2</v>
      </c>
      <c r="AD7107">
        <v>1.2218469999999999</v>
      </c>
      <c r="AE7107">
        <v>0.59366669999999999</v>
      </c>
      <c r="AF7107">
        <v>1298.9559999999999</v>
      </c>
      <c r="AG7107">
        <f>IFERROR(AH7107*0.1, "N/A")</f>
        <v>6.5899159999999997</v>
      </c>
      <c r="AH7107">
        <v>65.899159999999995</v>
      </c>
      <c r="AI7107">
        <v>88.436949999999996</v>
      </c>
      <c r="AJ7107">
        <v>20.752939999999999</v>
      </c>
      <c r="AK7107">
        <v>66.2958</v>
      </c>
    </row>
    <row r="7108" spans="1:37" x14ac:dyDescent="0.3">
      <c r="A7108">
        <v>7107</v>
      </c>
      <c r="B7108">
        <v>40</v>
      </c>
      <c r="C7108">
        <v>34.007800000000003</v>
      </c>
      <c r="D7108">
        <v>-14.4451</v>
      </c>
      <c r="E7108" t="s">
        <v>10596</v>
      </c>
      <c r="F7108" t="s">
        <v>10598</v>
      </c>
      <c r="G7108" t="s">
        <v>37</v>
      </c>
      <c r="H7108">
        <v>1985</v>
      </c>
      <c r="I7108">
        <v>18.8</v>
      </c>
      <c r="J7108">
        <v>11.5</v>
      </c>
      <c r="K7108">
        <v>57</v>
      </c>
      <c r="L7108">
        <v>25.587289999999999</v>
      </c>
      <c r="M7108">
        <v>27.9</v>
      </c>
      <c r="N7108">
        <v>7.9</v>
      </c>
      <c r="O7108">
        <v>20</v>
      </c>
      <c r="P7108">
        <v>20.705210000000001</v>
      </c>
      <c r="Q7108">
        <v>16.13748</v>
      </c>
      <c r="R7108">
        <v>21.5</v>
      </c>
      <c r="S7108">
        <v>15</v>
      </c>
      <c r="T7108">
        <v>944.9479</v>
      </c>
      <c r="U7108">
        <v>221.9479</v>
      </c>
      <c r="V7108">
        <v>2</v>
      </c>
      <c r="W7108">
        <v>109.9479</v>
      </c>
      <c r="X7108">
        <v>617</v>
      </c>
      <c r="Y7108">
        <v>7.0521010000000004</v>
      </c>
      <c r="Z7108">
        <v>272.9479</v>
      </c>
      <c r="AA7108">
        <v>8</v>
      </c>
      <c r="AB7108">
        <v>11.601150000000001</v>
      </c>
      <c r="AC7108">
        <v>1.081637E-2</v>
      </c>
      <c r="AD7108">
        <v>1.2218469999999999</v>
      </c>
      <c r="AE7108">
        <v>0.59366669999999999</v>
      </c>
      <c r="AF7108">
        <v>1298.9559999999999</v>
      </c>
      <c r="AG7108">
        <f>IFERROR(AH7108*0.1, "N/A")</f>
        <v>6.5899159999999997</v>
      </c>
      <c r="AH7108">
        <v>65.899159999999995</v>
      </c>
      <c r="AI7108">
        <v>88.436949999999996</v>
      </c>
      <c r="AJ7108">
        <v>20.752939999999999</v>
      </c>
      <c r="AK7108">
        <v>66.2958</v>
      </c>
    </row>
    <row r="7109" spans="1:37" x14ac:dyDescent="0.3">
      <c r="A7109">
        <v>7108</v>
      </c>
      <c r="B7109">
        <v>26.7</v>
      </c>
      <c r="C7109">
        <v>35.382300000000001</v>
      </c>
      <c r="D7109">
        <v>-14.420400000000001</v>
      </c>
      <c r="E7109" t="s">
        <v>10599</v>
      </c>
      <c r="F7109" t="s">
        <v>10600</v>
      </c>
      <c r="G7109" t="s">
        <v>39</v>
      </c>
      <c r="H7109">
        <v>1995</v>
      </c>
      <c r="I7109">
        <v>21.9</v>
      </c>
      <c r="J7109">
        <v>10.5</v>
      </c>
      <c r="K7109">
        <v>59</v>
      </c>
      <c r="L7109">
        <v>20.41</v>
      </c>
      <c r="M7109">
        <v>30.4</v>
      </c>
      <c r="N7109">
        <v>12.7</v>
      </c>
      <c r="O7109">
        <v>17.7</v>
      </c>
      <c r="P7109">
        <v>23.1</v>
      </c>
      <c r="Q7109">
        <v>18.8</v>
      </c>
      <c r="R7109">
        <v>24.2</v>
      </c>
      <c r="S7109">
        <v>18.8</v>
      </c>
      <c r="T7109">
        <v>1001</v>
      </c>
      <c r="U7109">
        <v>245</v>
      </c>
      <c r="V7109">
        <v>2</v>
      </c>
      <c r="W7109">
        <v>112</v>
      </c>
      <c r="X7109">
        <v>679</v>
      </c>
      <c r="Y7109">
        <v>7</v>
      </c>
      <c r="Z7109">
        <v>300</v>
      </c>
      <c r="AA7109">
        <v>7</v>
      </c>
      <c r="AB7109">
        <v>18.630949999999999</v>
      </c>
      <c r="AC7109">
        <v>4.7934610000000002E-2</v>
      </c>
      <c r="AD7109">
        <v>4.7151170000000002</v>
      </c>
      <c r="AE7109">
        <v>0.49760749999999998</v>
      </c>
      <c r="AF7109">
        <v>919.30250000000001</v>
      </c>
      <c r="AG7109">
        <f>IFERROR(AH7109*0.1, "N/A")</f>
        <v>5.6788240000000005</v>
      </c>
      <c r="AH7109">
        <v>56.788240000000002</v>
      </c>
      <c r="AI7109">
        <v>209.0368</v>
      </c>
      <c r="AJ7109">
        <v>30.070589999999999</v>
      </c>
      <c r="AK7109">
        <v>55.929409999999997</v>
      </c>
    </row>
    <row r="7110" spans="1:37" x14ac:dyDescent="0.3">
      <c r="A7110">
        <v>7109</v>
      </c>
      <c r="B7110">
        <v>59.3</v>
      </c>
      <c r="C7110">
        <v>35.216700000000003</v>
      </c>
      <c r="D7110">
        <v>-14.416700000000001</v>
      </c>
      <c r="E7110" t="s">
        <v>10601</v>
      </c>
      <c r="F7110" t="s">
        <v>10602</v>
      </c>
      <c r="G7110" t="s">
        <v>39</v>
      </c>
      <c r="H7110">
        <v>1995</v>
      </c>
      <c r="I7110">
        <v>24.390270000000001</v>
      </c>
      <c r="J7110">
        <v>10.81007</v>
      </c>
      <c r="K7110">
        <v>56.100670000000001</v>
      </c>
      <c r="L7110">
        <v>24.067319999999999</v>
      </c>
      <c r="M7110">
        <v>33.544629999999998</v>
      </c>
      <c r="N7110">
        <v>14.4</v>
      </c>
      <c r="O7110">
        <v>19.144629999999999</v>
      </c>
      <c r="P7110">
        <v>25.9</v>
      </c>
      <c r="Q7110">
        <v>20.890270000000001</v>
      </c>
      <c r="R7110">
        <v>27.044630000000002</v>
      </c>
      <c r="S7110">
        <v>20.890270000000001</v>
      </c>
      <c r="T7110">
        <v>835.54359999999997</v>
      </c>
      <c r="U7110">
        <v>220.7013</v>
      </c>
      <c r="V7110">
        <v>2</v>
      </c>
      <c r="W7110">
        <v>116</v>
      </c>
      <c r="X7110">
        <v>587.15440000000001</v>
      </c>
      <c r="Y7110">
        <v>7.6442949999999996</v>
      </c>
      <c r="Z7110">
        <v>229</v>
      </c>
      <c r="AA7110">
        <v>7.6442949999999996</v>
      </c>
      <c r="AB7110">
        <v>0.91039749999999997</v>
      </c>
      <c r="AC7110">
        <v>2.066875</v>
      </c>
      <c r="AD7110">
        <v>1.9107540000000001</v>
      </c>
      <c r="AE7110">
        <v>0.51482139999999998</v>
      </c>
      <c r="AF7110">
        <v>481.74160000000001</v>
      </c>
      <c r="AG7110">
        <f>IFERROR(AH7110*0.1, "N/A")</f>
        <v>6.2194630000000002</v>
      </c>
      <c r="AH7110">
        <v>62.194629999999997</v>
      </c>
      <c r="AI7110">
        <v>269.85809999999998</v>
      </c>
      <c r="AJ7110">
        <v>21.09732</v>
      </c>
      <c r="AK7110">
        <v>71.798659999999998</v>
      </c>
    </row>
    <row r="7111" spans="1:37" x14ac:dyDescent="0.3">
      <c r="A7111">
        <v>7110</v>
      </c>
      <c r="B7111">
        <v>68</v>
      </c>
      <c r="C7111">
        <v>35.299700000000001</v>
      </c>
      <c r="D7111">
        <v>-14.3773</v>
      </c>
      <c r="E7111" t="s">
        <v>10603</v>
      </c>
      <c r="F7111" t="s">
        <v>10604</v>
      </c>
      <c r="G7111" t="s">
        <v>39</v>
      </c>
      <c r="H7111">
        <v>1995</v>
      </c>
      <c r="I7111">
        <v>24.387560000000001</v>
      </c>
      <c r="J7111">
        <v>10.8</v>
      </c>
      <c r="K7111">
        <v>56.124369999999999</v>
      </c>
      <c r="L7111">
        <v>23.78134</v>
      </c>
      <c r="M7111">
        <v>33.487560000000002</v>
      </c>
      <c r="N7111">
        <v>14.5</v>
      </c>
      <c r="O7111">
        <v>18.987559999999998</v>
      </c>
      <c r="P7111">
        <v>25.9</v>
      </c>
      <c r="Q7111">
        <v>20.9</v>
      </c>
      <c r="R7111">
        <v>27</v>
      </c>
      <c r="S7111">
        <v>20.9</v>
      </c>
      <c r="T7111">
        <v>855.24869999999999</v>
      </c>
      <c r="U7111">
        <v>222</v>
      </c>
      <c r="V7111">
        <v>2</v>
      </c>
      <c r="W7111">
        <v>115</v>
      </c>
      <c r="X7111">
        <v>596.12440000000004</v>
      </c>
      <c r="Y7111">
        <v>7</v>
      </c>
      <c r="Z7111">
        <v>236.12440000000001</v>
      </c>
      <c r="AA7111">
        <v>7</v>
      </c>
      <c r="AB7111">
        <v>12.0358</v>
      </c>
      <c r="AC7111">
        <v>5.0129109999999998E-2</v>
      </c>
      <c r="AD7111">
        <v>0.85255300000000001</v>
      </c>
      <c r="AE7111">
        <v>0.56679029999999997</v>
      </c>
      <c r="AF7111">
        <v>487.44029999999998</v>
      </c>
      <c r="AG7111">
        <f>IFERROR(AH7111*0.1, "N/A")</f>
        <v>6.3626890000000005</v>
      </c>
      <c r="AH7111">
        <v>63.626890000000003</v>
      </c>
      <c r="AI7111">
        <v>296.55680000000001</v>
      </c>
      <c r="AJ7111">
        <v>25</v>
      </c>
      <c r="AK7111">
        <v>59.712609999999998</v>
      </c>
    </row>
    <row r="7112" spans="1:37" x14ac:dyDescent="0.3">
      <c r="A7112">
        <v>7111</v>
      </c>
      <c r="B7112">
        <v>51.5</v>
      </c>
      <c r="C7112">
        <v>35.601599999999998</v>
      </c>
      <c r="D7112">
        <v>-14.3714</v>
      </c>
      <c r="E7112" t="s">
        <v>10605</v>
      </c>
      <c r="F7112" t="s">
        <v>10606</v>
      </c>
      <c r="G7112" t="s">
        <v>39</v>
      </c>
      <c r="H7112">
        <v>1995</v>
      </c>
      <c r="I7112">
        <v>22.7</v>
      </c>
      <c r="J7112">
        <v>10.7</v>
      </c>
      <c r="K7112">
        <v>59</v>
      </c>
      <c r="L7112">
        <v>21.33</v>
      </c>
      <c r="M7112">
        <v>31.3</v>
      </c>
      <c r="N7112">
        <v>13.3</v>
      </c>
      <c r="O7112">
        <v>18</v>
      </c>
      <c r="P7112">
        <v>24</v>
      </c>
      <c r="Q7112">
        <v>19.5</v>
      </c>
      <c r="R7112">
        <v>25.1</v>
      </c>
      <c r="S7112">
        <v>19.5</v>
      </c>
      <c r="T7112">
        <v>1009</v>
      </c>
      <c r="U7112">
        <v>243</v>
      </c>
      <c r="V7112">
        <v>2</v>
      </c>
      <c r="W7112">
        <v>112</v>
      </c>
      <c r="X7112">
        <v>678</v>
      </c>
      <c r="Y7112">
        <v>6</v>
      </c>
      <c r="Z7112">
        <v>297</v>
      </c>
      <c r="AA7112">
        <v>6</v>
      </c>
      <c r="AB7112">
        <v>15.09511</v>
      </c>
      <c r="AC7112">
        <v>9.4552160000000007E-3</v>
      </c>
      <c r="AD7112">
        <v>1.992685</v>
      </c>
      <c r="AE7112">
        <v>0.54950019999999999</v>
      </c>
      <c r="AF7112">
        <v>793.89919999999995</v>
      </c>
      <c r="AG7112">
        <f>IFERROR(AH7112*0.1, "N/A")</f>
        <v>6.0053780000000003</v>
      </c>
      <c r="AH7112">
        <v>60.053780000000003</v>
      </c>
      <c r="AI7112">
        <v>138.04859999999999</v>
      </c>
      <c r="AJ7112">
        <v>20.38655</v>
      </c>
      <c r="AK7112">
        <v>70.779830000000004</v>
      </c>
    </row>
    <row r="7113" spans="1:37" x14ac:dyDescent="0.3">
      <c r="A7113">
        <v>7112</v>
      </c>
      <c r="B7113">
        <v>72.400000000000006</v>
      </c>
      <c r="C7113">
        <v>35.450000000000003</v>
      </c>
      <c r="D7113">
        <v>-14.3667</v>
      </c>
      <c r="E7113" t="s">
        <v>10607</v>
      </c>
      <c r="F7113" t="s">
        <v>10608</v>
      </c>
      <c r="G7113" t="s">
        <v>39</v>
      </c>
      <c r="H7113">
        <v>1995</v>
      </c>
      <c r="I7113">
        <v>21.477070000000001</v>
      </c>
      <c r="J7113">
        <v>10.4</v>
      </c>
      <c r="K7113">
        <v>59</v>
      </c>
      <c r="L7113">
        <v>20.039580000000001</v>
      </c>
      <c r="M7113">
        <v>29.87707</v>
      </c>
      <c r="N7113">
        <v>12.477069999999999</v>
      </c>
      <c r="O7113">
        <v>17.399999999999999</v>
      </c>
      <c r="P7113">
        <v>22.695620000000002</v>
      </c>
      <c r="Q7113">
        <v>18.477070000000001</v>
      </c>
      <c r="R7113">
        <v>23.695620000000002</v>
      </c>
      <c r="S7113">
        <v>18.477070000000001</v>
      </c>
      <c r="T7113">
        <v>1030.9480000000001</v>
      </c>
      <c r="U7113">
        <v>250.6695</v>
      </c>
      <c r="V7113">
        <v>2</v>
      </c>
      <c r="W7113">
        <v>111.3305</v>
      </c>
      <c r="X7113">
        <v>692.48900000000003</v>
      </c>
      <c r="Y7113">
        <v>7</v>
      </c>
      <c r="Z7113">
        <v>309.89879999999999</v>
      </c>
      <c r="AA7113">
        <v>7</v>
      </c>
      <c r="AB7113">
        <v>12.96576</v>
      </c>
      <c r="AC7113">
        <v>3.7320619999999999E-2</v>
      </c>
      <c r="AD7113">
        <v>3.147446</v>
      </c>
      <c r="AE7113">
        <v>0.62979620000000003</v>
      </c>
      <c r="AF7113">
        <v>969.23609999999996</v>
      </c>
      <c r="AG7113">
        <f>IFERROR(AH7113*0.1, "N/A")</f>
        <v>5.7330520000000007</v>
      </c>
      <c r="AH7113">
        <v>57.33052</v>
      </c>
      <c r="AI7113">
        <v>176.80240000000001</v>
      </c>
      <c r="AJ7113">
        <v>22.33052</v>
      </c>
      <c r="AK7113">
        <v>70</v>
      </c>
    </row>
    <row r="7114" spans="1:37" x14ac:dyDescent="0.3">
      <c r="A7114">
        <v>7113</v>
      </c>
      <c r="B7114">
        <v>29.2</v>
      </c>
      <c r="C7114">
        <v>35.508899999999997</v>
      </c>
      <c r="D7114">
        <v>-14.3588</v>
      </c>
      <c r="E7114" t="s">
        <v>10609</v>
      </c>
      <c r="F7114" t="s">
        <v>10610</v>
      </c>
      <c r="G7114" t="s">
        <v>39</v>
      </c>
      <c r="H7114">
        <v>1995</v>
      </c>
      <c r="I7114">
        <v>21.906880000000001</v>
      </c>
      <c r="J7114">
        <v>10.5</v>
      </c>
      <c r="K7114">
        <v>59</v>
      </c>
      <c r="L7114">
        <v>20.423100000000002</v>
      </c>
      <c r="M7114">
        <v>30.406880000000001</v>
      </c>
      <c r="N7114">
        <v>12.80688</v>
      </c>
      <c r="O7114">
        <v>17.600000000000001</v>
      </c>
      <c r="P7114">
        <v>23.09815</v>
      </c>
      <c r="Q7114">
        <v>18.850339999999999</v>
      </c>
      <c r="R7114">
        <v>24.191279999999999</v>
      </c>
      <c r="S7114">
        <v>18.850339999999999</v>
      </c>
      <c r="T7114">
        <v>1025.691</v>
      </c>
      <c r="U7114">
        <v>248.4966</v>
      </c>
      <c r="V7114">
        <v>2</v>
      </c>
      <c r="W7114">
        <v>111.84399999999999</v>
      </c>
      <c r="X7114">
        <v>687.75</v>
      </c>
      <c r="Y7114">
        <v>7</v>
      </c>
      <c r="Z7114">
        <v>306.09730000000002</v>
      </c>
      <c r="AA7114">
        <v>7</v>
      </c>
      <c r="AB7114">
        <v>26.488109999999999</v>
      </c>
      <c r="AC7114">
        <v>3.9316829999999997E-2</v>
      </c>
      <c r="AD7114">
        <v>2.1918099999999998</v>
      </c>
      <c r="AE7114">
        <v>0.61154940000000002</v>
      </c>
      <c r="AF7114">
        <v>914.71140000000003</v>
      </c>
      <c r="AG7114">
        <f>IFERROR(AH7114*0.1, "N/A")</f>
        <v>5.5243290000000007</v>
      </c>
      <c r="AH7114">
        <v>55.243290000000002</v>
      </c>
      <c r="AI7114">
        <v>194.49799999999999</v>
      </c>
      <c r="AJ7114">
        <v>21.23826</v>
      </c>
      <c r="AK7114">
        <v>71.010069999999999</v>
      </c>
    </row>
    <row r="7115" spans="1:37" x14ac:dyDescent="0.3">
      <c r="A7115">
        <v>7114</v>
      </c>
      <c r="B7115">
        <v>22</v>
      </c>
      <c r="C7115">
        <v>35.6511</v>
      </c>
      <c r="D7115">
        <v>-14.354699999999999</v>
      </c>
      <c r="E7115" t="s">
        <v>10611</v>
      </c>
      <c r="F7115" t="s">
        <v>10612</v>
      </c>
      <c r="G7115" t="s">
        <v>39</v>
      </c>
      <c r="H7115">
        <v>1995</v>
      </c>
      <c r="I7115">
        <v>22.9</v>
      </c>
      <c r="J7115">
        <v>10.8</v>
      </c>
      <c r="K7115">
        <v>60</v>
      </c>
      <c r="L7115">
        <v>20.93</v>
      </c>
      <c r="M7115">
        <v>31.6</v>
      </c>
      <c r="N7115">
        <v>13.6</v>
      </c>
      <c r="O7115">
        <v>18</v>
      </c>
      <c r="P7115">
        <v>24.2</v>
      </c>
      <c r="Q7115">
        <v>19.8</v>
      </c>
      <c r="R7115">
        <v>25.2</v>
      </c>
      <c r="S7115">
        <v>19.8</v>
      </c>
      <c r="T7115">
        <v>1006</v>
      </c>
      <c r="U7115">
        <v>243</v>
      </c>
      <c r="V7115">
        <v>2</v>
      </c>
      <c r="W7115">
        <v>113</v>
      </c>
      <c r="X7115">
        <v>676</v>
      </c>
      <c r="Y7115">
        <v>6</v>
      </c>
      <c r="Z7115">
        <v>295</v>
      </c>
      <c r="AA7115">
        <v>6</v>
      </c>
      <c r="AB7115">
        <v>29.763359999999999</v>
      </c>
      <c r="AC7115">
        <v>1.400976E-2</v>
      </c>
      <c r="AD7115">
        <v>2.218966</v>
      </c>
      <c r="AE7115">
        <v>0.40144400000000002</v>
      </c>
      <c r="AF7115">
        <v>765.79330000000004</v>
      </c>
      <c r="AG7115">
        <f>IFERROR(AH7115*0.1, "N/A")</f>
        <v>6</v>
      </c>
      <c r="AH7115">
        <v>60</v>
      </c>
      <c r="AI7115">
        <v>126.538</v>
      </c>
      <c r="AJ7115">
        <v>20</v>
      </c>
      <c r="AK7115">
        <v>70</v>
      </c>
    </row>
    <row r="7116" spans="1:37" x14ac:dyDescent="0.3">
      <c r="A7116">
        <v>7115</v>
      </c>
      <c r="B7116">
        <v>49.1</v>
      </c>
      <c r="C7116">
        <v>35.4</v>
      </c>
      <c r="D7116">
        <v>-14.35</v>
      </c>
      <c r="E7116" t="s">
        <v>10613</v>
      </c>
      <c r="F7116" t="s">
        <v>10614</v>
      </c>
      <c r="G7116" t="s">
        <v>39</v>
      </c>
      <c r="H7116">
        <v>1995</v>
      </c>
      <c r="I7116">
        <v>21.266999999999999</v>
      </c>
      <c r="J7116">
        <v>10.4</v>
      </c>
      <c r="K7116">
        <v>59.181820000000002</v>
      </c>
      <c r="L7116">
        <v>20.071149999999999</v>
      </c>
      <c r="M7116">
        <v>29.667000000000002</v>
      </c>
      <c r="N7116">
        <v>12.28519</v>
      </c>
      <c r="O7116">
        <v>17.381820000000001</v>
      </c>
      <c r="P7116">
        <v>22.466999999999999</v>
      </c>
      <c r="Q7116">
        <v>18.28518</v>
      </c>
      <c r="R7116">
        <v>23.567</v>
      </c>
      <c r="S7116">
        <v>18.28518</v>
      </c>
      <c r="T7116">
        <v>1030.6600000000001</v>
      </c>
      <c r="U7116">
        <v>252.33</v>
      </c>
      <c r="V7116">
        <v>1.7340070000000001</v>
      </c>
      <c r="W7116">
        <v>111.67</v>
      </c>
      <c r="X7116">
        <v>694.12789999999995</v>
      </c>
      <c r="Y7116">
        <v>6.7340070000000001</v>
      </c>
      <c r="Z7116">
        <v>310.39389999999997</v>
      </c>
      <c r="AA7116">
        <v>6.7340070000000001</v>
      </c>
      <c r="AB7116">
        <v>27.342099999999999</v>
      </c>
      <c r="AC7116">
        <v>1.7158389999999999E-2</v>
      </c>
      <c r="AD7116">
        <v>2.1663410000000001</v>
      </c>
      <c r="AE7116">
        <v>0.6244613</v>
      </c>
      <c r="AF7116">
        <v>1013.884</v>
      </c>
      <c r="AG7116">
        <f>IFERROR(AH7116*0.1, "N/A")</f>
        <v>5.5436030000000009</v>
      </c>
      <c r="AH7116">
        <v>55.436030000000002</v>
      </c>
      <c r="AI7116">
        <v>76.898510000000002</v>
      </c>
      <c r="AJ7116">
        <v>27.988219999999998</v>
      </c>
      <c r="AK7116">
        <v>60.910769999999999</v>
      </c>
    </row>
    <row r="7117" spans="1:37" x14ac:dyDescent="0.3">
      <c r="A7117">
        <v>7116</v>
      </c>
      <c r="B7117">
        <v>34.299999999999997</v>
      </c>
      <c r="C7117">
        <v>35.521099999999997</v>
      </c>
      <c r="D7117">
        <v>-14.349600000000001</v>
      </c>
      <c r="E7117" t="s">
        <v>10615</v>
      </c>
      <c r="F7117" t="s">
        <v>10616</v>
      </c>
      <c r="G7117" t="s">
        <v>39</v>
      </c>
      <c r="H7117">
        <v>1995</v>
      </c>
      <c r="I7117">
        <v>21.741109999999999</v>
      </c>
      <c r="J7117">
        <v>10.5</v>
      </c>
      <c r="K7117">
        <v>59.411070000000002</v>
      </c>
      <c r="L7117">
        <v>20.445340000000002</v>
      </c>
      <c r="M7117">
        <v>30.241109999999999</v>
      </c>
      <c r="N7117">
        <v>12.682219999999999</v>
      </c>
      <c r="O7117">
        <v>17.558890000000002</v>
      </c>
      <c r="P7117">
        <v>22.941109999999998</v>
      </c>
      <c r="Q7117">
        <v>18.682210000000001</v>
      </c>
      <c r="R7117">
        <v>24.04111</v>
      </c>
      <c r="S7117">
        <v>18.682210000000001</v>
      </c>
      <c r="T7117">
        <v>1032.5340000000001</v>
      </c>
      <c r="U7117">
        <v>250.17789999999999</v>
      </c>
      <c r="V7117">
        <v>2</v>
      </c>
      <c r="W7117">
        <v>111.4111</v>
      </c>
      <c r="X7117">
        <v>691.35569999999996</v>
      </c>
      <c r="Y7117">
        <v>7</v>
      </c>
      <c r="Z7117">
        <v>308.17790000000002</v>
      </c>
      <c r="AA7117">
        <v>7</v>
      </c>
      <c r="AB7117">
        <v>23.459209999999999</v>
      </c>
      <c r="AC7117">
        <v>8.4948330000000002E-3</v>
      </c>
      <c r="AD7117">
        <v>3.0157859999999999</v>
      </c>
      <c r="AE7117">
        <v>0.65612789999999999</v>
      </c>
      <c r="AF7117">
        <v>943.46310000000005</v>
      </c>
      <c r="AG7117">
        <f>IFERROR(AH7117*0.1, "N/A")</f>
        <v>5.8557050000000004</v>
      </c>
      <c r="AH7117">
        <v>58.557049999999997</v>
      </c>
      <c r="AI7117">
        <v>263.62979999999999</v>
      </c>
      <c r="AJ7117">
        <v>19.130870000000002</v>
      </c>
      <c r="AK7117">
        <v>73</v>
      </c>
    </row>
    <row r="7118" spans="1:37" x14ac:dyDescent="0.3">
      <c r="A7118">
        <v>7117</v>
      </c>
      <c r="B7118">
        <v>46</v>
      </c>
      <c r="C7118">
        <v>34.808100000000003</v>
      </c>
      <c r="D7118">
        <v>-14.3102</v>
      </c>
      <c r="E7118" t="s">
        <v>10617</v>
      </c>
      <c r="F7118" t="s">
        <v>10618</v>
      </c>
      <c r="G7118" t="s">
        <v>39</v>
      </c>
      <c r="H7118">
        <v>1995</v>
      </c>
      <c r="I7118">
        <v>24.3</v>
      </c>
      <c r="J7118">
        <v>10.4</v>
      </c>
      <c r="K7118">
        <v>57</v>
      </c>
      <c r="L7118">
        <v>22.006219999999999</v>
      </c>
      <c r="M7118">
        <v>32.9</v>
      </c>
      <c r="N7118">
        <v>14.766389999999999</v>
      </c>
      <c r="O7118">
        <v>18.133610000000001</v>
      </c>
      <c r="P7118">
        <v>25.566389999999998</v>
      </c>
      <c r="Q7118">
        <v>21.1</v>
      </c>
      <c r="R7118">
        <v>26.866389999999999</v>
      </c>
      <c r="S7118">
        <v>21.1</v>
      </c>
      <c r="T7118">
        <v>881.66390000000001</v>
      </c>
      <c r="U7118">
        <v>240</v>
      </c>
      <c r="V7118">
        <v>1</v>
      </c>
      <c r="W7118">
        <v>125</v>
      </c>
      <c r="X7118">
        <v>673.66390000000001</v>
      </c>
      <c r="Y7118">
        <v>4</v>
      </c>
      <c r="Z7118">
        <v>260.66390000000001</v>
      </c>
      <c r="AA7118">
        <v>4</v>
      </c>
      <c r="AB7118">
        <v>4.2287379999999999</v>
      </c>
      <c r="AC7118">
        <v>1.292604E-2</v>
      </c>
      <c r="AD7118">
        <v>1.0016529999999999</v>
      </c>
      <c r="AE7118">
        <v>0.52741039999999995</v>
      </c>
      <c r="AF7118">
        <v>494.94959999999998</v>
      </c>
      <c r="AG7118">
        <f>IFERROR(AH7118*0.1, "N/A")</f>
        <v>6.5</v>
      </c>
      <c r="AH7118">
        <v>65</v>
      </c>
      <c r="AI7118">
        <v>188.3759</v>
      </c>
      <c r="AJ7118">
        <v>19</v>
      </c>
      <c r="AK7118">
        <v>72.336129999999997</v>
      </c>
    </row>
    <row r="7119" spans="1:37" x14ac:dyDescent="0.3">
      <c r="A7119">
        <v>7118</v>
      </c>
      <c r="B7119">
        <v>53.3</v>
      </c>
      <c r="C7119">
        <v>35.116999999999997</v>
      </c>
      <c r="D7119">
        <v>-14.308</v>
      </c>
      <c r="E7119" t="s">
        <v>10619</v>
      </c>
      <c r="F7119" t="s">
        <v>10620</v>
      </c>
      <c r="G7119" t="s">
        <v>39</v>
      </c>
      <c r="H7119">
        <v>1995</v>
      </c>
      <c r="I7119">
        <v>24.54588</v>
      </c>
      <c r="J7119">
        <v>10.5</v>
      </c>
      <c r="K7119">
        <v>57</v>
      </c>
      <c r="L7119">
        <v>22.571870000000001</v>
      </c>
      <c r="M7119">
        <v>33.290759999999999</v>
      </c>
      <c r="N7119">
        <v>14.945880000000001</v>
      </c>
      <c r="O7119">
        <v>18.34487</v>
      </c>
      <c r="P7119">
        <v>25.86504</v>
      </c>
      <c r="Q7119">
        <v>21.280840000000001</v>
      </c>
      <c r="R7119">
        <v>27.1</v>
      </c>
      <c r="S7119">
        <v>21.280840000000001</v>
      </c>
      <c r="T7119">
        <v>856.26049999999998</v>
      </c>
      <c r="U7119">
        <v>230.9008</v>
      </c>
      <c r="V7119">
        <v>1</v>
      </c>
      <c r="W7119">
        <v>120.9008</v>
      </c>
      <c r="X7119">
        <v>631.0521</v>
      </c>
      <c r="Y7119">
        <v>5</v>
      </c>
      <c r="Z7119">
        <v>244.25040000000001</v>
      </c>
      <c r="AA7119">
        <v>5</v>
      </c>
      <c r="AB7119">
        <v>6.9408310000000002</v>
      </c>
      <c r="AC7119">
        <v>8.2877860000000001E-3</v>
      </c>
      <c r="AD7119">
        <v>2.2349410000000001</v>
      </c>
      <c r="AE7119">
        <v>0.77324579999999998</v>
      </c>
      <c r="AF7119">
        <v>486.25549999999998</v>
      </c>
      <c r="AG7119">
        <f>IFERROR(AH7119*0.1, "N/A")</f>
        <v>6.3356300000000001</v>
      </c>
      <c r="AH7119">
        <v>63.356299999999997</v>
      </c>
      <c r="AI7119">
        <v>197.29859999999999</v>
      </c>
      <c r="AJ7119">
        <v>23.472270000000002</v>
      </c>
      <c r="AK7119">
        <v>66.339500000000001</v>
      </c>
    </row>
    <row r="7120" spans="1:37" x14ac:dyDescent="0.3">
      <c r="A7120">
        <v>7119</v>
      </c>
      <c r="B7120">
        <v>22.9</v>
      </c>
      <c r="C7120">
        <v>35.129300000000001</v>
      </c>
      <c r="D7120">
        <v>-14.3063</v>
      </c>
      <c r="E7120" t="s">
        <v>10621</v>
      </c>
      <c r="F7120" t="s">
        <v>10622</v>
      </c>
      <c r="G7120" t="s">
        <v>39</v>
      </c>
      <c r="H7120">
        <v>1995</v>
      </c>
      <c r="I7120">
        <v>24.6</v>
      </c>
      <c r="J7120">
        <v>10.5</v>
      </c>
      <c r="K7120">
        <v>57</v>
      </c>
      <c r="L7120">
        <v>22.59</v>
      </c>
      <c r="M7120">
        <v>33.299999999999997</v>
      </c>
      <c r="N7120">
        <v>15</v>
      </c>
      <c r="O7120">
        <v>18.3</v>
      </c>
      <c r="P7120">
        <v>25.9</v>
      </c>
      <c r="Q7120">
        <v>21.3</v>
      </c>
      <c r="R7120">
        <v>27.1</v>
      </c>
      <c r="S7120">
        <v>21.3</v>
      </c>
      <c r="T7120">
        <v>855</v>
      </c>
      <c r="U7120">
        <v>231</v>
      </c>
      <c r="V7120">
        <v>1</v>
      </c>
      <c r="W7120">
        <v>121</v>
      </c>
      <c r="X7120">
        <v>629</v>
      </c>
      <c r="Y7120">
        <v>5</v>
      </c>
      <c r="Z7120">
        <v>243</v>
      </c>
      <c r="AA7120">
        <v>5</v>
      </c>
      <c r="AB7120">
        <v>2.761298</v>
      </c>
      <c r="AC7120">
        <v>3.2356040000000003E-2</v>
      </c>
      <c r="AD7120">
        <v>3.6442570000000001</v>
      </c>
      <c r="AE7120">
        <v>0.64469279999999995</v>
      </c>
      <c r="AF7120">
        <v>480.50170000000003</v>
      </c>
      <c r="AG7120">
        <f>IFERROR(AH7120*0.1, "N/A")</f>
        <v>6.7350170000000009</v>
      </c>
      <c r="AH7120">
        <v>67.350170000000006</v>
      </c>
      <c r="AI7120">
        <v>158.0685</v>
      </c>
      <c r="AJ7120">
        <v>30.97475</v>
      </c>
      <c r="AK7120">
        <v>51.700339999999997</v>
      </c>
    </row>
    <row r="7121" spans="1:37" x14ac:dyDescent="0.3">
      <c r="A7121">
        <v>7120</v>
      </c>
      <c r="B7121">
        <v>0</v>
      </c>
      <c r="C7121">
        <v>34.158299999999997</v>
      </c>
      <c r="D7121">
        <v>-14.2888</v>
      </c>
      <c r="E7121" t="s">
        <v>10623</v>
      </c>
      <c r="F7121" t="s">
        <v>10624</v>
      </c>
      <c r="G7121" t="s">
        <v>37</v>
      </c>
      <c r="H7121">
        <v>2004</v>
      </c>
      <c r="I7121">
        <v>18.399999999999999</v>
      </c>
      <c r="J7121">
        <v>11.3</v>
      </c>
      <c r="K7121">
        <v>57</v>
      </c>
      <c r="L7121">
        <v>24.47756</v>
      </c>
      <c r="M7121">
        <v>27.3</v>
      </c>
      <c r="N7121">
        <v>7.7389539999999997</v>
      </c>
      <c r="O7121">
        <v>19.561050000000002</v>
      </c>
      <c r="P7121">
        <v>20.2</v>
      </c>
      <c r="Q7121">
        <v>14.8</v>
      </c>
      <c r="R7121">
        <v>21</v>
      </c>
      <c r="S7121">
        <v>14.8</v>
      </c>
      <c r="T7121">
        <v>926.16859999999997</v>
      </c>
      <c r="U7121">
        <v>221.3895</v>
      </c>
      <c r="V7121">
        <v>3</v>
      </c>
      <c r="W7121">
        <v>110</v>
      </c>
      <c r="X7121">
        <v>622.77909999999997</v>
      </c>
      <c r="Y7121">
        <v>9</v>
      </c>
      <c r="Z7121">
        <v>274.77910000000003</v>
      </c>
      <c r="AA7121">
        <v>9</v>
      </c>
      <c r="AB7121">
        <v>15.10859</v>
      </c>
      <c r="AC7121">
        <v>1.403307E-2</v>
      </c>
      <c r="AD7121">
        <v>3.09321</v>
      </c>
      <c r="AE7121">
        <v>0.58796709999999996</v>
      </c>
      <c r="AF7121">
        <v>1303.6959999999999</v>
      </c>
      <c r="AG7121">
        <f>IFERROR(AH7121*0.1, "N/A")</f>
        <v>6.210287000000001</v>
      </c>
      <c r="AH7121">
        <v>62.102870000000003</v>
      </c>
      <c r="AI7121">
        <v>280.69130000000001</v>
      </c>
      <c r="AJ7121">
        <v>18.691400000000002</v>
      </c>
      <c r="AK7121">
        <v>69.430019999999999</v>
      </c>
    </row>
    <row r="7122" spans="1:37" x14ac:dyDescent="0.3">
      <c r="A7122">
        <v>7121</v>
      </c>
      <c r="B7122">
        <v>0</v>
      </c>
      <c r="C7122">
        <v>34.158299999999997</v>
      </c>
      <c r="D7122">
        <v>-14.2888</v>
      </c>
      <c r="E7122" t="s">
        <v>10623</v>
      </c>
      <c r="F7122" t="s">
        <v>10625</v>
      </c>
      <c r="G7122" t="s">
        <v>39</v>
      </c>
      <c r="H7122">
        <v>2004</v>
      </c>
      <c r="I7122">
        <v>18.399999999999999</v>
      </c>
      <c r="J7122">
        <v>11.3</v>
      </c>
      <c r="K7122">
        <v>57</v>
      </c>
      <c r="L7122">
        <v>24.47756</v>
      </c>
      <c r="M7122">
        <v>27.3</v>
      </c>
      <c r="N7122">
        <v>7.7389539999999997</v>
      </c>
      <c r="O7122">
        <v>19.561050000000002</v>
      </c>
      <c r="P7122">
        <v>20.2</v>
      </c>
      <c r="Q7122">
        <v>14.8</v>
      </c>
      <c r="R7122">
        <v>21</v>
      </c>
      <c r="S7122">
        <v>14.8</v>
      </c>
      <c r="T7122">
        <v>926.16859999999997</v>
      </c>
      <c r="U7122">
        <v>221.3895</v>
      </c>
      <c r="V7122">
        <v>3</v>
      </c>
      <c r="W7122">
        <v>110</v>
      </c>
      <c r="X7122">
        <v>622.77909999999997</v>
      </c>
      <c r="Y7122">
        <v>9</v>
      </c>
      <c r="Z7122">
        <v>274.77910000000003</v>
      </c>
      <c r="AA7122">
        <v>9</v>
      </c>
      <c r="AB7122">
        <v>15.10859</v>
      </c>
      <c r="AC7122">
        <v>1.403307E-2</v>
      </c>
      <c r="AD7122">
        <v>3.09321</v>
      </c>
      <c r="AE7122">
        <v>0.58796709999999996</v>
      </c>
      <c r="AF7122">
        <v>1303.6959999999999</v>
      </c>
      <c r="AG7122">
        <f>IFERROR(AH7122*0.1, "N/A")</f>
        <v>6.210287000000001</v>
      </c>
      <c r="AH7122">
        <v>62.102870000000003</v>
      </c>
      <c r="AI7122">
        <v>280.69130000000001</v>
      </c>
      <c r="AJ7122">
        <v>18.691400000000002</v>
      </c>
      <c r="AK7122">
        <v>69.430019999999999</v>
      </c>
    </row>
    <row r="7123" spans="1:37" x14ac:dyDescent="0.3">
      <c r="A7123">
        <v>7122</v>
      </c>
      <c r="B7123">
        <v>70.599999999999994</v>
      </c>
      <c r="C7123">
        <v>35.2667</v>
      </c>
      <c r="D7123">
        <v>-14.283300000000001</v>
      </c>
      <c r="E7123" t="s">
        <v>10626</v>
      </c>
      <c r="F7123" t="s">
        <v>10627</v>
      </c>
      <c r="G7123" t="s">
        <v>39</v>
      </c>
      <c r="H7123">
        <v>1995</v>
      </c>
      <c r="I7123">
        <v>24.5</v>
      </c>
      <c r="J7123">
        <v>10.6</v>
      </c>
      <c r="K7123">
        <v>56.68289</v>
      </c>
      <c r="L7123">
        <v>22.983260000000001</v>
      </c>
      <c r="M7123">
        <v>33.387250000000002</v>
      </c>
      <c r="N7123">
        <v>14.86829</v>
      </c>
      <c r="O7123">
        <v>18.51896</v>
      </c>
      <c r="P7123">
        <v>25.861070000000002</v>
      </c>
      <c r="Q7123">
        <v>21.144459999999999</v>
      </c>
      <c r="R7123">
        <v>27.087250000000001</v>
      </c>
      <c r="S7123">
        <v>21.144459999999999</v>
      </c>
      <c r="T7123">
        <v>869.31039999999996</v>
      </c>
      <c r="U7123">
        <v>230.44460000000001</v>
      </c>
      <c r="V7123">
        <v>2</v>
      </c>
      <c r="W7123">
        <v>118</v>
      </c>
      <c r="X7123">
        <v>619.88930000000005</v>
      </c>
      <c r="Y7123">
        <v>6</v>
      </c>
      <c r="Z7123">
        <v>241.73830000000001</v>
      </c>
      <c r="AA7123">
        <v>6</v>
      </c>
      <c r="AB7123">
        <v>2.755709</v>
      </c>
      <c r="AC7123">
        <v>4.8522509999999998E-2</v>
      </c>
      <c r="AD7123">
        <v>1.572681</v>
      </c>
      <c r="AE7123">
        <v>0.64845969999999997</v>
      </c>
      <c r="AF7123">
        <v>484.4128</v>
      </c>
      <c r="AG7123">
        <f>IFERROR(AH7123*0.1, "N/A")</f>
        <v>6.1174500000000007</v>
      </c>
      <c r="AH7123">
        <v>61.174500000000002</v>
      </c>
      <c r="AI7123">
        <v>212.1105</v>
      </c>
      <c r="AJ7123">
        <v>21.293620000000001</v>
      </c>
      <c r="AK7123">
        <v>62.706380000000003</v>
      </c>
    </row>
    <row r="7124" spans="1:37" x14ac:dyDescent="0.3">
      <c r="A7124">
        <v>7123</v>
      </c>
      <c r="B7124">
        <v>13.7255</v>
      </c>
      <c r="C7124">
        <v>35.442900000000002</v>
      </c>
      <c r="D7124">
        <v>-14.263999999999999</v>
      </c>
      <c r="E7124" t="s">
        <v>10628</v>
      </c>
      <c r="F7124" t="s">
        <v>10629</v>
      </c>
      <c r="G7124" t="s">
        <v>37</v>
      </c>
      <c r="H7124">
        <v>2004</v>
      </c>
      <c r="I7124">
        <v>21.4</v>
      </c>
      <c r="J7124">
        <v>10.4</v>
      </c>
      <c r="K7124">
        <v>60</v>
      </c>
      <c r="L7124">
        <v>19.53</v>
      </c>
      <c r="M7124">
        <v>29.8</v>
      </c>
      <c r="N7124">
        <v>12.5</v>
      </c>
      <c r="O7124">
        <v>17.3</v>
      </c>
      <c r="P7124">
        <v>22.6</v>
      </c>
      <c r="Q7124">
        <v>18.5</v>
      </c>
      <c r="R7124">
        <v>23.6</v>
      </c>
      <c r="S7124">
        <v>18.5</v>
      </c>
      <c r="T7124">
        <v>1030</v>
      </c>
      <c r="U7124">
        <v>254</v>
      </c>
      <c r="V7124">
        <v>1</v>
      </c>
      <c r="W7124">
        <v>113</v>
      </c>
      <c r="X7124">
        <v>693</v>
      </c>
      <c r="Y7124">
        <v>5</v>
      </c>
      <c r="Z7124">
        <v>308</v>
      </c>
      <c r="AA7124">
        <v>5</v>
      </c>
      <c r="AB7124">
        <v>13.22847</v>
      </c>
      <c r="AC7124">
        <v>2.350054E-2</v>
      </c>
      <c r="AD7124">
        <v>1.844182</v>
      </c>
      <c r="AE7124">
        <v>0.65399099999999999</v>
      </c>
      <c r="AF7124">
        <v>989.4529</v>
      </c>
      <c r="AG7124">
        <f>IFERROR(AH7124*0.1, "N/A")</f>
        <v>5.7</v>
      </c>
      <c r="AH7124">
        <v>57</v>
      </c>
      <c r="AI7124">
        <v>165.17099999999999</v>
      </c>
      <c r="AJ7124">
        <v>18.882149999999999</v>
      </c>
      <c r="AK7124">
        <v>73.117850000000004</v>
      </c>
    </row>
    <row r="7125" spans="1:37" x14ac:dyDescent="0.3">
      <c r="A7125">
        <v>7124</v>
      </c>
      <c r="B7125">
        <v>11.764699999999999</v>
      </c>
      <c r="C7125">
        <v>35.442900000000002</v>
      </c>
      <c r="D7125">
        <v>-14.263999999999999</v>
      </c>
      <c r="E7125" t="s">
        <v>10628</v>
      </c>
      <c r="F7125" t="s">
        <v>10630</v>
      </c>
      <c r="G7125" t="s">
        <v>39</v>
      </c>
      <c r="H7125">
        <v>2004</v>
      </c>
      <c r="I7125">
        <v>21.4</v>
      </c>
      <c r="J7125">
        <v>10.4</v>
      </c>
      <c r="K7125">
        <v>60</v>
      </c>
      <c r="L7125">
        <v>19.53</v>
      </c>
      <c r="M7125">
        <v>29.8</v>
      </c>
      <c r="N7125">
        <v>12.5</v>
      </c>
      <c r="O7125">
        <v>17.3</v>
      </c>
      <c r="P7125">
        <v>22.6</v>
      </c>
      <c r="Q7125">
        <v>18.5</v>
      </c>
      <c r="R7125">
        <v>23.6</v>
      </c>
      <c r="S7125">
        <v>18.5</v>
      </c>
      <c r="T7125">
        <v>1030</v>
      </c>
      <c r="U7125">
        <v>254</v>
      </c>
      <c r="V7125">
        <v>1</v>
      </c>
      <c r="W7125">
        <v>113</v>
      </c>
      <c r="X7125">
        <v>693</v>
      </c>
      <c r="Y7125">
        <v>5</v>
      </c>
      <c r="Z7125">
        <v>308</v>
      </c>
      <c r="AA7125">
        <v>5</v>
      </c>
      <c r="AB7125">
        <v>13.22847</v>
      </c>
      <c r="AC7125">
        <v>2.350054E-2</v>
      </c>
      <c r="AD7125">
        <v>1.844182</v>
      </c>
      <c r="AE7125">
        <v>0.65399099999999999</v>
      </c>
      <c r="AF7125">
        <v>989.4529</v>
      </c>
      <c r="AG7125">
        <f>IFERROR(AH7125*0.1, "N/A")</f>
        <v>5.7</v>
      </c>
      <c r="AH7125">
        <v>57</v>
      </c>
      <c r="AI7125">
        <v>165.17099999999999</v>
      </c>
      <c r="AJ7125">
        <v>18.882149999999999</v>
      </c>
      <c r="AK7125">
        <v>73.117850000000004</v>
      </c>
    </row>
    <row r="7126" spans="1:37" x14ac:dyDescent="0.3">
      <c r="A7126">
        <v>7125</v>
      </c>
      <c r="B7126">
        <v>20</v>
      </c>
      <c r="C7126">
        <v>35.470100000000002</v>
      </c>
      <c r="D7126">
        <v>-14.2378</v>
      </c>
      <c r="E7126" t="s">
        <v>10631</v>
      </c>
      <c r="F7126" t="s">
        <v>10632</v>
      </c>
      <c r="G7126" t="s">
        <v>39</v>
      </c>
      <c r="H7126">
        <v>1995</v>
      </c>
      <c r="I7126">
        <v>21.4</v>
      </c>
      <c r="J7126">
        <v>10.4</v>
      </c>
      <c r="K7126">
        <v>60</v>
      </c>
      <c r="L7126">
        <v>19.63</v>
      </c>
      <c r="M7126">
        <v>29.8</v>
      </c>
      <c r="N7126">
        <v>12.5</v>
      </c>
      <c r="O7126">
        <v>17.3</v>
      </c>
      <c r="P7126">
        <v>22.5</v>
      </c>
      <c r="Q7126">
        <v>18.5</v>
      </c>
      <c r="R7126">
        <v>23.6</v>
      </c>
      <c r="S7126">
        <v>18.5</v>
      </c>
      <c r="T7126">
        <v>1036</v>
      </c>
      <c r="U7126">
        <v>256</v>
      </c>
      <c r="V7126">
        <v>1</v>
      </c>
      <c r="W7126">
        <v>112</v>
      </c>
      <c r="X7126">
        <v>695</v>
      </c>
      <c r="Y7126">
        <v>5</v>
      </c>
      <c r="Z7126">
        <v>308</v>
      </c>
      <c r="AA7126">
        <v>5</v>
      </c>
      <c r="AB7126">
        <v>18.563949999999998</v>
      </c>
      <c r="AC7126">
        <v>1.1960989999999999E-2</v>
      </c>
      <c r="AD7126">
        <v>2.1705730000000001</v>
      </c>
      <c r="AE7126">
        <v>0.644679</v>
      </c>
      <c r="AF7126">
        <v>998.15989999999999</v>
      </c>
      <c r="AG7126">
        <f>IFERROR(AH7126*0.1, "N/A")</f>
        <v>5.6102690000000006</v>
      </c>
      <c r="AH7126">
        <v>56.102690000000003</v>
      </c>
      <c r="AI7126">
        <v>98.500919999999994</v>
      </c>
      <c r="AJ7126">
        <v>22.208749999999998</v>
      </c>
      <c r="AK7126">
        <v>65.109430000000003</v>
      </c>
    </row>
    <row r="7127" spans="1:37" x14ac:dyDescent="0.3">
      <c r="A7127">
        <v>7126</v>
      </c>
      <c r="B7127">
        <v>59</v>
      </c>
      <c r="C7127">
        <v>34.814799999999998</v>
      </c>
      <c r="D7127">
        <v>-14.2294</v>
      </c>
      <c r="E7127" t="s">
        <v>10633</v>
      </c>
      <c r="F7127" t="s">
        <v>10634</v>
      </c>
      <c r="G7127" t="s">
        <v>39</v>
      </c>
      <c r="H7127">
        <v>1995</v>
      </c>
      <c r="I7127">
        <v>24.5</v>
      </c>
      <c r="J7127">
        <v>10.199999999999999</v>
      </c>
      <c r="K7127">
        <v>56</v>
      </c>
      <c r="L7127">
        <v>21.6</v>
      </c>
      <c r="M7127">
        <v>33</v>
      </c>
      <c r="N7127">
        <v>15.1</v>
      </c>
      <c r="O7127">
        <v>17.899999999999999</v>
      </c>
      <c r="P7127">
        <v>25.7</v>
      </c>
      <c r="Q7127">
        <v>21.4</v>
      </c>
      <c r="R7127">
        <v>27</v>
      </c>
      <c r="S7127">
        <v>21.4</v>
      </c>
      <c r="T7127">
        <v>897</v>
      </c>
      <c r="U7127">
        <v>246</v>
      </c>
      <c r="V7127">
        <v>1</v>
      </c>
      <c r="W7127">
        <v>128</v>
      </c>
      <c r="X7127">
        <v>695</v>
      </c>
      <c r="Y7127">
        <v>3</v>
      </c>
      <c r="Z7127">
        <v>268</v>
      </c>
      <c r="AA7127">
        <v>3</v>
      </c>
      <c r="AB7127">
        <v>7.3080480000000003</v>
      </c>
      <c r="AC7127">
        <v>9.1684509999999993E-3</v>
      </c>
      <c r="AD7127">
        <v>2.4190130000000001</v>
      </c>
      <c r="AE7127">
        <v>0.63176940000000004</v>
      </c>
      <c r="AF7127">
        <v>482.74290000000002</v>
      </c>
      <c r="AG7127">
        <f>IFERROR(AH7127*0.1, "N/A")</f>
        <v>6.1537820000000005</v>
      </c>
      <c r="AH7127">
        <v>61.537820000000004</v>
      </c>
      <c r="AI7127">
        <v>261.91239999999999</v>
      </c>
      <c r="AJ7127">
        <v>20.20168</v>
      </c>
      <c r="AK7127">
        <v>66.394959999999998</v>
      </c>
    </row>
    <row r="7128" spans="1:37" x14ac:dyDescent="0.3">
      <c r="A7128">
        <v>7127</v>
      </c>
      <c r="B7128">
        <v>42</v>
      </c>
      <c r="C7128">
        <v>34.816899999999997</v>
      </c>
      <c r="D7128">
        <v>-14.229200000000001</v>
      </c>
      <c r="E7128" t="s">
        <v>10635</v>
      </c>
      <c r="F7128" t="s">
        <v>10636</v>
      </c>
      <c r="G7128" t="s">
        <v>39</v>
      </c>
      <c r="H7128">
        <v>1985</v>
      </c>
      <c r="I7128">
        <v>24.5</v>
      </c>
      <c r="J7128">
        <v>10.199999999999999</v>
      </c>
      <c r="K7128">
        <v>56.503360000000001</v>
      </c>
      <c r="L7128">
        <v>21.514430000000001</v>
      </c>
      <c r="M7128">
        <v>32.949669999999998</v>
      </c>
      <c r="N7128">
        <v>15.15034</v>
      </c>
      <c r="O7128">
        <v>17.799330000000001</v>
      </c>
      <c r="P7128">
        <v>25.7</v>
      </c>
      <c r="Q7128">
        <v>21.4</v>
      </c>
      <c r="R7128">
        <v>27</v>
      </c>
      <c r="S7128">
        <v>21.4</v>
      </c>
      <c r="T7128">
        <v>895.99329999999998</v>
      </c>
      <c r="U7128">
        <v>246</v>
      </c>
      <c r="V7128">
        <v>1</v>
      </c>
      <c r="W7128">
        <v>127.4966</v>
      </c>
      <c r="X7128">
        <v>694.49659999999994</v>
      </c>
      <c r="Y7128">
        <v>3</v>
      </c>
      <c r="Z7128">
        <v>268</v>
      </c>
      <c r="AA7128">
        <v>3</v>
      </c>
      <c r="AB7128">
        <v>1.0036849999999999</v>
      </c>
      <c r="AC7128">
        <v>2.7125300000000001E-2</v>
      </c>
      <c r="AD7128">
        <v>1.93401</v>
      </c>
      <c r="AE7128">
        <v>0.63176940000000004</v>
      </c>
      <c r="AF7128">
        <v>483.11070000000001</v>
      </c>
      <c r="AG7128">
        <f>IFERROR(AH7128*0.1, "N/A")</f>
        <v>6.0496639999999999</v>
      </c>
      <c r="AH7128">
        <v>60.496639999999999</v>
      </c>
      <c r="AI7128">
        <v>136.22229999999999</v>
      </c>
      <c r="AJ7128">
        <v>21.510069999999999</v>
      </c>
      <c r="AK7128">
        <v>66.496639999999999</v>
      </c>
    </row>
    <row r="7129" spans="1:37" x14ac:dyDescent="0.3">
      <c r="A7129">
        <v>7128</v>
      </c>
      <c r="B7129">
        <v>0</v>
      </c>
      <c r="C7129">
        <v>34.816899999999997</v>
      </c>
      <c r="D7129">
        <v>-14.229200000000001</v>
      </c>
      <c r="E7129" t="s">
        <v>10635</v>
      </c>
      <c r="F7129" t="s">
        <v>10637</v>
      </c>
      <c r="G7129" t="s">
        <v>37</v>
      </c>
      <c r="H7129">
        <v>1985</v>
      </c>
      <c r="I7129">
        <v>24.5</v>
      </c>
      <c r="J7129">
        <v>10.199999999999999</v>
      </c>
      <c r="K7129">
        <v>56.503360000000001</v>
      </c>
      <c r="L7129">
        <v>21.514430000000001</v>
      </c>
      <c r="M7129">
        <v>32.949669999999998</v>
      </c>
      <c r="N7129">
        <v>15.15034</v>
      </c>
      <c r="O7129">
        <v>17.799330000000001</v>
      </c>
      <c r="P7129">
        <v>25.7</v>
      </c>
      <c r="Q7129">
        <v>21.4</v>
      </c>
      <c r="R7129">
        <v>27</v>
      </c>
      <c r="S7129">
        <v>21.4</v>
      </c>
      <c r="T7129">
        <v>895.99329999999998</v>
      </c>
      <c r="U7129">
        <v>246</v>
      </c>
      <c r="V7129">
        <v>1</v>
      </c>
      <c r="W7129">
        <v>127.4966</v>
      </c>
      <c r="X7129">
        <v>694.49659999999994</v>
      </c>
      <c r="Y7129">
        <v>3</v>
      </c>
      <c r="Z7129">
        <v>268</v>
      </c>
      <c r="AA7129">
        <v>3</v>
      </c>
      <c r="AB7129">
        <v>1.0036849999999999</v>
      </c>
      <c r="AC7129">
        <v>2.7125300000000001E-2</v>
      </c>
      <c r="AD7129">
        <v>1.93401</v>
      </c>
      <c r="AE7129">
        <v>0.63176940000000004</v>
      </c>
      <c r="AF7129">
        <v>483.11070000000001</v>
      </c>
      <c r="AG7129">
        <f>IFERROR(AH7129*0.1, "N/A")</f>
        <v>6.0496639999999999</v>
      </c>
      <c r="AH7129">
        <v>60.496639999999999</v>
      </c>
      <c r="AI7129">
        <v>136.22229999999999</v>
      </c>
      <c r="AJ7129">
        <v>21.510069999999999</v>
      </c>
      <c r="AK7129">
        <v>66.496639999999999</v>
      </c>
    </row>
    <row r="7130" spans="1:37" x14ac:dyDescent="0.3">
      <c r="A7130">
        <v>7129</v>
      </c>
      <c r="B7130">
        <v>33</v>
      </c>
      <c r="C7130">
        <v>35.069400000000002</v>
      </c>
      <c r="D7130">
        <v>-14.220700000000001</v>
      </c>
      <c r="E7130" t="s">
        <v>10638</v>
      </c>
      <c r="F7130" t="s">
        <v>10639</v>
      </c>
      <c r="G7130" t="s">
        <v>39</v>
      </c>
      <c r="H7130">
        <v>1985</v>
      </c>
      <c r="I7130">
        <v>24.7</v>
      </c>
      <c r="J7130">
        <v>10.199999999999999</v>
      </c>
      <c r="K7130">
        <v>57</v>
      </c>
      <c r="L7130">
        <v>21.31</v>
      </c>
      <c r="M7130">
        <v>33.200000000000003</v>
      </c>
      <c r="N7130">
        <v>15.4</v>
      </c>
      <c r="O7130">
        <v>17.8</v>
      </c>
      <c r="P7130">
        <v>25.9</v>
      </c>
      <c r="Q7130">
        <v>21.6</v>
      </c>
      <c r="R7130">
        <v>27.2</v>
      </c>
      <c r="S7130">
        <v>21.6</v>
      </c>
      <c r="T7130">
        <v>876</v>
      </c>
      <c r="U7130">
        <v>239</v>
      </c>
      <c r="V7130">
        <v>1</v>
      </c>
      <c r="W7130">
        <v>124</v>
      </c>
      <c r="X7130">
        <v>663</v>
      </c>
      <c r="Y7130">
        <v>3</v>
      </c>
      <c r="Z7130">
        <v>256</v>
      </c>
      <c r="AA7130">
        <v>3</v>
      </c>
      <c r="AB7130">
        <v>4.6204970000000003</v>
      </c>
      <c r="AC7130">
        <v>1.1467979999999999E-2</v>
      </c>
      <c r="AD7130">
        <v>1.023479</v>
      </c>
      <c r="AE7130">
        <v>0.61766310000000002</v>
      </c>
      <c r="AF7130">
        <v>480.92610000000002</v>
      </c>
      <c r="AG7130">
        <f>IFERROR(AH7130*0.1, "N/A")</f>
        <v>6.0174790000000007</v>
      </c>
      <c r="AH7130">
        <v>60.174790000000002</v>
      </c>
      <c r="AI7130">
        <v>99.776319999999998</v>
      </c>
      <c r="AJ7130">
        <v>20.912610000000001</v>
      </c>
      <c r="AK7130">
        <v>72</v>
      </c>
    </row>
    <row r="7131" spans="1:37" x14ac:dyDescent="0.3">
      <c r="A7131">
        <v>7130</v>
      </c>
      <c r="B7131">
        <v>63</v>
      </c>
      <c r="C7131">
        <v>35.033299999999997</v>
      </c>
      <c r="D7131">
        <v>-14.2</v>
      </c>
      <c r="E7131" t="s">
        <v>10640</v>
      </c>
      <c r="F7131" t="s">
        <v>10641</v>
      </c>
      <c r="G7131" t="s">
        <v>39</v>
      </c>
      <c r="H7131">
        <v>1995</v>
      </c>
      <c r="I7131">
        <v>24.7133</v>
      </c>
      <c r="J7131">
        <v>10.1</v>
      </c>
      <c r="K7131">
        <v>57</v>
      </c>
      <c r="L7131">
        <v>21.303000000000001</v>
      </c>
      <c r="M7131">
        <v>33.1</v>
      </c>
      <c r="N7131">
        <v>15.4133</v>
      </c>
      <c r="O7131">
        <v>17.686699999999998</v>
      </c>
      <c r="P7131">
        <v>25.9</v>
      </c>
      <c r="Q7131">
        <v>21.60135</v>
      </c>
      <c r="R7131">
        <v>27.113299999999999</v>
      </c>
      <c r="S7131">
        <v>21.60135</v>
      </c>
      <c r="T7131">
        <v>883.62459999999999</v>
      </c>
      <c r="U7131">
        <v>241.2525</v>
      </c>
      <c r="V7131">
        <v>1</v>
      </c>
      <c r="W7131">
        <v>125.6953</v>
      </c>
      <c r="X7131">
        <v>675.77610000000004</v>
      </c>
      <c r="Y7131">
        <v>3</v>
      </c>
      <c r="Z7131">
        <v>261.82830000000001</v>
      </c>
      <c r="AA7131">
        <v>3</v>
      </c>
      <c r="AB7131">
        <v>3.747131</v>
      </c>
      <c r="AC7131">
        <v>3.5791089999999998E-2</v>
      </c>
      <c r="AD7131">
        <v>3.9468670000000001</v>
      </c>
      <c r="AE7131">
        <v>0.63279350000000001</v>
      </c>
      <c r="AF7131">
        <v>483.4529</v>
      </c>
      <c r="AG7131">
        <f>IFERROR(AH7131*0.1, "N/A")</f>
        <v>6.1757580000000001</v>
      </c>
      <c r="AH7131">
        <v>61.757579999999997</v>
      </c>
      <c r="AI7131">
        <v>286.7989</v>
      </c>
      <c r="AJ7131">
        <v>21.010100000000001</v>
      </c>
      <c r="AK7131">
        <v>69.117850000000004</v>
      </c>
    </row>
    <row r="7132" spans="1:37" x14ac:dyDescent="0.3">
      <c r="A7132">
        <v>7131</v>
      </c>
      <c r="B7132">
        <v>85</v>
      </c>
      <c r="C7132">
        <v>34.997900000000001</v>
      </c>
      <c r="D7132">
        <v>-14.1814</v>
      </c>
      <c r="E7132" t="s">
        <v>10642</v>
      </c>
      <c r="F7132" t="s">
        <v>10643</v>
      </c>
      <c r="G7132" t="s">
        <v>39</v>
      </c>
      <c r="H7132">
        <v>1995</v>
      </c>
      <c r="I7132">
        <v>24.7</v>
      </c>
      <c r="J7132">
        <v>10</v>
      </c>
      <c r="K7132">
        <v>57</v>
      </c>
      <c r="L7132">
        <v>21.03</v>
      </c>
      <c r="M7132">
        <v>33</v>
      </c>
      <c r="N7132">
        <v>15.6</v>
      </c>
      <c r="O7132">
        <v>17.399999999999999</v>
      </c>
      <c r="P7132">
        <v>25.9</v>
      </c>
      <c r="Q7132">
        <v>21.7</v>
      </c>
      <c r="R7132">
        <v>27.2</v>
      </c>
      <c r="S7132">
        <v>21.7</v>
      </c>
      <c r="T7132">
        <v>892</v>
      </c>
      <c r="U7132">
        <v>244</v>
      </c>
      <c r="V7132">
        <v>1</v>
      </c>
      <c r="W7132">
        <v>127</v>
      </c>
      <c r="X7132">
        <v>690</v>
      </c>
      <c r="Y7132">
        <v>3</v>
      </c>
      <c r="Z7132">
        <v>268</v>
      </c>
      <c r="AA7132">
        <v>3</v>
      </c>
      <c r="AB7132">
        <v>4.7815560000000001</v>
      </c>
      <c r="AC7132">
        <v>4.8613959999999998E-2</v>
      </c>
      <c r="AD7132">
        <v>1.8378289999999999</v>
      </c>
      <c r="AE7132">
        <v>0.37696580000000002</v>
      </c>
      <c r="AF7132">
        <v>484.67619999999999</v>
      </c>
      <c r="AG7132">
        <f>IFERROR(AH7132*0.1, "N/A")</f>
        <v>5.948322000000001</v>
      </c>
      <c r="AH7132">
        <v>59.483220000000003</v>
      </c>
      <c r="AI7132">
        <v>151.1172</v>
      </c>
      <c r="AJ7132">
        <v>22.647649999999999</v>
      </c>
      <c r="AK7132">
        <v>64.479870000000005</v>
      </c>
    </row>
    <row r="7133" spans="1:37" x14ac:dyDescent="0.3">
      <c r="A7133">
        <v>7132</v>
      </c>
      <c r="B7133">
        <v>25</v>
      </c>
      <c r="C7133">
        <v>33.633299999999998</v>
      </c>
      <c r="D7133">
        <v>-14.166700000000001</v>
      </c>
      <c r="E7133" t="s">
        <v>10644</v>
      </c>
      <c r="F7133" t="s">
        <v>10645</v>
      </c>
      <c r="G7133" t="s">
        <v>39</v>
      </c>
      <c r="H7133">
        <v>1985</v>
      </c>
      <c r="I7133">
        <v>20.063800000000001</v>
      </c>
      <c r="J7133">
        <v>12.71195</v>
      </c>
      <c r="K7133">
        <v>58</v>
      </c>
      <c r="L7133">
        <v>25.670390000000001</v>
      </c>
      <c r="M7133">
        <v>30.005559999999999</v>
      </c>
      <c r="N7133">
        <v>8.1968010000000007</v>
      </c>
      <c r="O7133">
        <v>21.80875</v>
      </c>
      <c r="P7133">
        <v>21.963799999999999</v>
      </c>
      <c r="Q7133">
        <v>16.208749999999998</v>
      </c>
      <c r="R7133">
        <v>22.708749999999998</v>
      </c>
      <c r="S7133">
        <v>16.208749999999998</v>
      </c>
      <c r="T7133">
        <v>903.98990000000003</v>
      </c>
      <c r="U7133">
        <v>222.03200000000001</v>
      </c>
      <c r="V7133">
        <v>1</v>
      </c>
      <c r="W7133">
        <v>109.968</v>
      </c>
      <c r="X7133">
        <v>606.798</v>
      </c>
      <c r="Y7133">
        <v>5</v>
      </c>
      <c r="Z7133">
        <v>264.096</v>
      </c>
      <c r="AA7133">
        <v>5</v>
      </c>
      <c r="AB7133">
        <v>105.8066</v>
      </c>
      <c r="AC7133">
        <v>1.722802E-2</v>
      </c>
      <c r="AD7133">
        <v>18.66489</v>
      </c>
      <c r="AE7133">
        <v>0.399171</v>
      </c>
      <c r="AF7133">
        <v>1191.367</v>
      </c>
      <c r="AG7133">
        <f>IFERROR(AH7133*0.1, "N/A")</f>
        <v>5.791919</v>
      </c>
      <c r="AH7133">
        <v>57.91919</v>
      </c>
      <c r="AI7133">
        <v>187.4213</v>
      </c>
      <c r="AJ7133">
        <v>30.22391</v>
      </c>
      <c r="AK7133">
        <v>57</v>
      </c>
    </row>
    <row r="7134" spans="1:37" x14ac:dyDescent="0.3">
      <c r="A7134">
        <v>7133</v>
      </c>
      <c r="B7134">
        <v>62</v>
      </c>
      <c r="C7134">
        <v>33.633299999999998</v>
      </c>
      <c r="D7134">
        <v>-14.166700000000001</v>
      </c>
      <c r="E7134" t="s">
        <v>10644</v>
      </c>
      <c r="F7134" t="s">
        <v>10646</v>
      </c>
      <c r="G7134" t="s">
        <v>37</v>
      </c>
      <c r="H7134">
        <v>1985</v>
      </c>
      <c r="I7134">
        <v>20.063800000000001</v>
      </c>
      <c r="J7134">
        <v>12.71195</v>
      </c>
      <c r="K7134">
        <v>58</v>
      </c>
      <c r="L7134">
        <v>25.670390000000001</v>
      </c>
      <c r="M7134">
        <v>30.005559999999999</v>
      </c>
      <c r="N7134">
        <v>8.1968010000000007</v>
      </c>
      <c r="O7134">
        <v>21.80875</v>
      </c>
      <c r="P7134">
        <v>21.963799999999999</v>
      </c>
      <c r="Q7134">
        <v>16.208749999999998</v>
      </c>
      <c r="R7134">
        <v>22.708749999999998</v>
      </c>
      <c r="S7134">
        <v>16.208749999999998</v>
      </c>
      <c r="T7134">
        <v>903.98990000000003</v>
      </c>
      <c r="U7134">
        <v>222.03200000000001</v>
      </c>
      <c r="V7134">
        <v>1</v>
      </c>
      <c r="W7134">
        <v>109.968</v>
      </c>
      <c r="X7134">
        <v>606.798</v>
      </c>
      <c r="Y7134">
        <v>5</v>
      </c>
      <c r="Z7134">
        <v>264.096</v>
      </c>
      <c r="AA7134">
        <v>5</v>
      </c>
      <c r="AB7134">
        <v>105.8066</v>
      </c>
      <c r="AC7134">
        <v>1.722802E-2</v>
      </c>
      <c r="AD7134">
        <v>18.66489</v>
      </c>
      <c r="AE7134">
        <v>0.399171</v>
      </c>
      <c r="AF7134">
        <v>1191.367</v>
      </c>
      <c r="AG7134">
        <f>IFERROR(AH7134*0.1, "N/A")</f>
        <v>5.791919</v>
      </c>
      <c r="AH7134">
        <v>57.91919</v>
      </c>
      <c r="AI7134">
        <v>187.4213</v>
      </c>
      <c r="AJ7134">
        <v>30.22391</v>
      </c>
      <c r="AK7134">
        <v>57</v>
      </c>
    </row>
    <row r="7135" spans="1:37" x14ac:dyDescent="0.3">
      <c r="A7135">
        <v>7134</v>
      </c>
      <c r="B7135">
        <v>8.3000000000000007</v>
      </c>
      <c r="C7135">
        <v>33.881799999999998</v>
      </c>
      <c r="D7135">
        <v>-14.1516</v>
      </c>
      <c r="E7135" t="s">
        <v>10647</v>
      </c>
      <c r="F7135" t="s">
        <v>10648</v>
      </c>
      <c r="G7135" t="s">
        <v>37</v>
      </c>
      <c r="H7135">
        <v>1988</v>
      </c>
      <c r="I7135">
        <v>19.399999999999999</v>
      </c>
      <c r="J7135">
        <v>12.1</v>
      </c>
      <c r="K7135">
        <v>57</v>
      </c>
      <c r="L7135">
        <v>25.91</v>
      </c>
      <c r="M7135">
        <v>28.9</v>
      </c>
      <c r="N7135">
        <v>7.8</v>
      </c>
      <c r="O7135">
        <v>21.1</v>
      </c>
      <c r="P7135">
        <v>21.2</v>
      </c>
      <c r="Q7135">
        <v>15.5</v>
      </c>
      <c r="R7135">
        <v>22.1</v>
      </c>
      <c r="S7135">
        <v>15.5</v>
      </c>
      <c r="T7135">
        <v>890</v>
      </c>
      <c r="U7135">
        <v>216</v>
      </c>
      <c r="V7135">
        <v>1</v>
      </c>
      <c r="W7135">
        <v>110</v>
      </c>
      <c r="X7135">
        <v>601</v>
      </c>
      <c r="Y7135">
        <v>5</v>
      </c>
      <c r="Z7135">
        <v>255</v>
      </c>
      <c r="AA7135">
        <v>5</v>
      </c>
      <c r="AB7135">
        <v>7.0090130000000004</v>
      </c>
      <c r="AC7135">
        <v>1.203657E-2</v>
      </c>
      <c r="AD7135">
        <v>1.9084140000000001</v>
      </c>
      <c r="AE7135">
        <v>0.54859380000000002</v>
      </c>
      <c r="AF7135">
        <v>1137.807</v>
      </c>
      <c r="AG7135">
        <f>IFERROR(AH7135*0.1, "N/A")</f>
        <v>6</v>
      </c>
      <c r="AH7135">
        <v>60</v>
      </c>
      <c r="AI7135">
        <v>283.0865</v>
      </c>
      <c r="AJ7135">
        <v>14</v>
      </c>
      <c r="AK7135">
        <v>78.181209999999993</v>
      </c>
    </row>
    <row r="7136" spans="1:37" x14ac:dyDescent="0.3">
      <c r="A7136">
        <v>7135</v>
      </c>
      <c r="B7136">
        <v>58.1</v>
      </c>
      <c r="C7136">
        <v>34.816699999999997</v>
      </c>
      <c r="D7136">
        <v>-14.15</v>
      </c>
      <c r="E7136" t="s">
        <v>10649</v>
      </c>
      <c r="F7136" t="s">
        <v>10650</v>
      </c>
      <c r="G7136" t="s">
        <v>39</v>
      </c>
      <c r="H7136">
        <v>1995</v>
      </c>
      <c r="I7136">
        <v>24.7</v>
      </c>
      <c r="J7136">
        <v>10</v>
      </c>
      <c r="K7136">
        <v>57</v>
      </c>
      <c r="L7136">
        <v>20.80057</v>
      </c>
      <c r="M7136">
        <v>32.9</v>
      </c>
      <c r="N7136">
        <v>15.5457</v>
      </c>
      <c r="O7136">
        <v>17.354299999999999</v>
      </c>
      <c r="P7136">
        <v>25.8</v>
      </c>
      <c r="Q7136">
        <v>21.67285</v>
      </c>
      <c r="R7136">
        <v>27.1</v>
      </c>
      <c r="S7136">
        <v>21.67285</v>
      </c>
      <c r="T7136">
        <v>916.25800000000004</v>
      </c>
      <c r="U7136">
        <v>253.47550000000001</v>
      </c>
      <c r="V7136">
        <v>0</v>
      </c>
      <c r="W7136">
        <v>128.7285</v>
      </c>
      <c r="X7136">
        <v>717.9325</v>
      </c>
      <c r="Y7136">
        <v>2</v>
      </c>
      <c r="Z7136">
        <v>274.7285</v>
      </c>
      <c r="AA7136">
        <v>2</v>
      </c>
      <c r="AB7136">
        <v>1.4286719999999999</v>
      </c>
      <c r="AC7136">
        <v>1.6642959999999998E-2</v>
      </c>
      <c r="AD7136">
        <v>0.73793690000000001</v>
      </c>
      <c r="AE7136">
        <v>0.37290109999999999</v>
      </c>
      <c r="AF7136">
        <v>478.2226</v>
      </c>
      <c r="AG7136">
        <f>IFERROR(AH7136*0.1, "N/A")</f>
        <v>6.0662730000000007</v>
      </c>
      <c r="AH7136">
        <v>60.662730000000003</v>
      </c>
      <c r="AI7136">
        <v>130.14830000000001</v>
      </c>
      <c r="AJ7136">
        <v>24.988199999999999</v>
      </c>
      <c r="AK7136">
        <v>58.686340000000001</v>
      </c>
    </row>
    <row r="7137" spans="1:37" x14ac:dyDescent="0.3">
      <c r="A7137">
        <v>7136</v>
      </c>
      <c r="B7137">
        <v>50.5</v>
      </c>
      <c r="C7137">
        <v>35.3842</v>
      </c>
      <c r="D7137">
        <v>-14.134399999999999</v>
      </c>
      <c r="E7137" t="s">
        <v>10651</v>
      </c>
      <c r="F7137" t="s">
        <v>10652</v>
      </c>
      <c r="G7137" t="s">
        <v>39</v>
      </c>
      <c r="H7137">
        <v>1995</v>
      </c>
      <c r="I7137">
        <v>21.2867</v>
      </c>
      <c r="J7137">
        <v>10.3</v>
      </c>
      <c r="K7137">
        <v>60</v>
      </c>
      <c r="L7137">
        <v>19.494039999999998</v>
      </c>
      <c r="M7137">
        <v>29.5867</v>
      </c>
      <c r="N7137">
        <v>12.486700000000001</v>
      </c>
      <c r="O7137">
        <v>17.100000000000001</v>
      </c>
      <c r="P7137">
        <v>22.386700000000001</v>
      </c>
      <c r="Q7137">
        <v>18.386700000000001</v>
      </c>
      <c r="R7137">
        <v>23.486699999999999</v>
      </c>
      <c r="S7137">
        <v>18.386700000000001</v>
      </c>
      <c r="T7137">
        <v>1033.2660000000001</v>
      </c>
      <c r="U7137">
        <v>259</v>
      </c>
      <c r="V7137">
        <v>1</v>
      </c>
      <c r="W7137">
        <v>112</v>
      </c>
      <c r="X7137">
        <v>695.13300000000004</v>
      </c>
      <c r="Y7137">
        <v>4.1329969999999996</v>
      </c>
      <c r="Z7137">
        <v>305.13299999999998</v>
      </c>
      <c r="AA7137">
        <v>4.1329969999999996</v>
      </c>
      <c r="AB7137">
        <v>1.354549</v>
      </c>
      <c r="AC7137">
        <v>17.1799</v>
      </c>
      <c r="AD7137">
        <v>3.3435700000000002</v>
      </c>
      <c r="AE7137">
        <v>0.61377729999999997</v>
      </c>
      <c r="AF7137">
        <v>1005.52</v>
      </c>
      <c r="AG7137">
        <f>IFERROR(AH7137*0.1, "N/A")</f>
        <v>5.7614480000000006</v>
      </c>
      <c r="AH7137">
        <v>57.61448</v>
      </c>
      <c r="AI7137">
        <v>71.347009999999997</v>
      </c>
      <c r="AJ7137">
        <v>24.265989999999999</v>
      </c>
      <c r="AK7137">
        <v>65.880470000000003</v>
      </c>
    </row>
    <row r="7138" spans="1:37" x14ac:dyDescent="0.3">
      <c r="A7138">
        <v>7137</v>
      </c>
      <c r="B7138">
        <v>65</v>
      </c>
      <c r="C7138">
        <v>34.861400000000003</v>
      </c>
      <c r="D7138">
        <v>-14.120900000000001</v>
      </c>
      <c r="E7138" t="s">
        <v>10653</v>
      </c>
      <c r="F7138" t="s">
        <v>10654</v>
      </c>
      <c r="G7138" t="s">
        <v>39</v>
      </c>
      <c r="H7138">
        <v>1995</v>
      </c>
      <c r="I7138">
        <v>24.8</v>
      </c>
      <c r="J7138">
        <v>9.9</v>
      </c>
      <c r="K7138">
        <v>57</v>
      </c>
      <c r="L7138">
        <v>20.420000000000002</v>
      </c>
      <c r="M7138">
        <v>32.9</v>
      </c>
      <c r="N7138">
        <v>15.8</v>
      </c>
      <c r="O7138">
        <v>17.100000000000001</v>
      </c>
      <c r="P7138">
        <v>25.9</v>
      </c>
      <c r="Q7138">
        <v>21.8</v>
      </c>
      <c r="R7138">
        <v>27.2</v>
      </c>
      <c r="S7138">
        <v>21.8</v>
      </c>
      <c r="T7138">
        <v>917</v>
      </c>
      <c r="U7138">
        <v>254</v>
      </c>
      <c r="V7138">
        <v>0</v>
      </c>
      <c r="W7138">
        <v>130</v>
      </c>
      <c r="X7138">
        <v>726</v>
      </c>
      <c r="Y7138">
        <v>2</v>
      </c>
      <c r="Z7138">
        <v>279</v>
      </c>
      <c r="AA7138">
        <v>2</v>
      </c>
      <c r="AB7138">
        <v>5.0224679999999999</v>
      </c>
      <c r="AC7138">
        <v>8.6728310000000006E-3</v>
      </c>
      <c r="AD7138">
        <v>1.667419</v>
      </c>
      <c r="AE7138">
        <v>0.5989949</v>
      </c>
      <c r="AF7138">
        <v>481.70780000000002</v>
      </c>
      <c r="AG7138">
        <f>IFERROR(AH7138*0.1, "N/A")</f>
        <v>6.6771960000000012</v>
      </c>
      <c r="AH7138">
        <v>66.771960000000007</v>
      </c>
      <c r="AI7138">
        <v>213.9589</v>
      </c>
      <c r="AJ7138">
        <v>24.13682</v>
      </c>
      <c r="AK7138">
        <v>59.09122</v>
      </c>
    </row>
    <row r="7139" spans="1:37" x14ac:dyDescent="0.3">
      <c r="A7139">
        <v>7138</v>
      </c>
      <c r="B7139">
        <v>10.6</v>
      </c>
      <c r="C7139">
        <v>34.922899999999998</v>
      </c>
      <c r="D7139">
        <v>-14.1129</v>
      </c>
      <c r="E7139" t="s">
        <v>10655</v>
      </c>
      <c r="F7139" t="s">
        <v>10656</v>
      </c>
      <c r="G7139" t="s">
        <v>39</v>
      </c>
      <c r="H7139">
        <v>2006</v>
      </c>
      <c r="I7139">
        <v>24.9</v>
      </c>
      <c r="J7139">
        <v>9.8000000000000007</v>
      </c>
      <c r="K7139">
        <v>57</v>
      </c>
      <c r="L7139">
        <v>20.100000000000001</v>
      </c>
      <c r="M7139">
        <v>33</v>
      </c>
      <c r="N7139">
        <v>16</v>
      </c>
      <c r="O7139">
        <v>17</v>
      </c>
      <c r="P7139">
        <v>25.9</v>
      </c>
      <c r="Q7139">
        <v>22</v>
      </c>
      <c r="R7139">
        <v>27.3</v>
      </c>
      <c r="S7139">
        <v>22</v>
      </c>
      <c r="T7139">
        <v>912</v>
      </c>
      <c r="U7139">
        <v>252</v>
      </c>
      <c r="V7139">
        <v>0</v>
      </c>
      <c r="W7139">
        <v>130</v>
      </c>
      <c r="X7139">
        <v>725</v>
      </c>
      <c r="Y7139">
        <v>1</v>
      </c>
      <c r="Z7139">
        <v>280</v>
      </c>
      <c r="AA7139">
        <v>1</v>
      </c>
      <c r="AB7139">
        <v>4.7748059999999999</v>
      </c>
      <c r="AC7139">
        <v>1.1166590000000001E-2</v>
      </c>
      <c r="AD7139">
        <v>2.120549</v>
      </c>
      <c r="AE7139">
        <v>0.75619449999999999</v>
      </c>
      <c r="AF7139">
        <v>483.51429999999999</v>
      </c>
      <c r="AG7139">
        <f>IFERROR(AH7139*0.1, "N/A")</f>
        <v>6.3252100000000002</v>
      </c>
      <c r="AH7139">
        <v>63.252099999999999</v>
      </c>
      <c r="AI7139">
        <v>251.7561</v>
      </c>
      <c r="AJ7139">
        <v>22.94286</v>
      </c>
      <c r="AK7139">
        <v>67.087389999999999</v>
      </c>
    </row>
    <row r="7140" spans="1:37" x14ac:dyDescent="0.3">
      <c r="A7140">
        <v>7139</v>
      </c>
      <c r="B7140">
        <v>13.3</v>
      </c>
      <c r="C7140">
        <v>33.938000000000002</v>
      </c>
      <c r="D7140">
        <v>-14.1106</v>
      </c>
      <c r="E7140" t="s">
        <v>10657</v>
      </c>
      <c r="F7140" t="s">
        <v>10658</v>
      </c>
      <c r="G7140" t="s">
        <v>37</v>
      </c>
      <c r="H7140">
        <v>1988</v>
      </c>
      <c r="I7140">
        <v>19.2</v>
      </c>
      <c r="J7140">
        <v>11.9</v>
      </c>
      <c r="K7140">
        <v>56</v>
      </c>
      <c r="L7140">
        <v>25.91</v>
      </c>
      <c r="M7140">
        <v>28.7</v>
      </c>
      <c r="N7140">
        <v>7.8</v>
      </c>
      <c r="O7140">
        <v>20.9</v>
      </c>
      <c r="P7140">
        <v>21.1</v>
      </c>
      <c r="Q7140">
        <v>15.4</v>
      </c>
      <c r="R7140">
        <v>21.9</v>
      </c>
      <c r="S7140">
        <v>15.4</v>
      </c>
      <c r="T7140">
        <v>888</v>
      </c>
      <c r="U7140">
        <v>219</v>
      </c>
      <c r="V7140">
        <v>1</v>
      </c>
      <c r="W7140">
        <v>111</v>
      </c>
      <c r="X7140">
        <v>603</v>
      </c>
      <c r="Y7140">
        <v>5</v>
      </c>
      <c r="Z7140">
        <v>254</v>
      </c>
      <c r="AA7140">
        <v>5</v>
      </c>
      <c r="AB7140">
        <v>48.07902</v>
      </c>
      <c r="AC7140">
        <v>1.203736E-2</v>
      </c>
      <c r="AD7140">
        <v>4.7544089999999999</v>
      </c>
      <c r="AE7140">
        <v>0.51415699999999998</v>
      </c>
      <c r="AF7140">
        <v>1166.4490000000001</v>
      </c>
      <c r="AG7140">
        <f>IFERROR(AH7140*0.1, "N/A")</f>
        <v>6.2175080000000005</v>
      </c>
      <c r="AH7140">
        <v>62.175080000000001</v>
      </c>
      <c r="AI7140">
        <v>190.2585</v>
      </c>
      <c r="AJ7140">
        <v>16.262630000000001</v>
      </c>
      <c r="AK7140">
        <v>73.562290000000004</v>
      </c>
    </row>
    <row r="7141" spans="1:37" x14ac:dyDescent="0.3">
      <c r="A7141">
        <v>7140</v>
      </c>
      <c r="B7141">
        <v>33</v>
      </c>
      <c r="C7141">
        <v>34.914299999999997</v>
      </c>
      <c r="D7141">
        <v>-14.080500000000001</v>
      </c>
      <c r="E7141" t="s">
        <v>10659</v>
      </c>
      <c r="F7141" t="s">
        <v>10660</v>
      </c>
      <c r="G7141" t="s">
        <v>39</v>
      </c>
      <c r="H7141">
        <v>1995</v>
      </c>
      <c r="I7141">
        <v>24.9</v>
      </c>
      <c r="J7141">
        <v>9.6999999999999993</v>
      </c>
      <c r="K7141">
        <v>57</v>
      </c>
      <c r="L7141">
        <v>19.86</v>
      </c>
      <c r="M7141">
        <v>32.799999999999997</v>
      </c>
      <c r="N7141">
        <v>16</v>
      </c>
      <c r="O7141">
        <v>16.8</v>
      </c>
      <c r="P7141">
        <v>25.9</v>
      </c>
      <c r="Q7141">
        <v>22</v>
      </c>
      <c r="R7141">
        <v>27.2</v>
      </c>
      <c r="S7141">
        <v>22</v>
      </c>
      <c r="T7141">
        <v>927</v>
      </c>
      <c r="U7141">
        <v>256</v>
      </c>
      <c r="V7141">
        <v>0</v>
      </c>
      <c r="W7141">
        <v>130</v>
      </c>
      <c r="X7141">
        <v>733</v>
      </c>
      <c r="Y7141">
        <v>2</v>
      </c>
      <c r="Z7141">
        <v>283</v>
      </c>
      <c r="AA7141">
        <v>2</v>
      </c>
      <c r="AB7141">
        <v>13.434279999999999</v>
      </c>
      <c r="AC7141">
        <v>1.232543E-2</v>
      </c>
      <c r="AD7141">
        <v>2.0099429999999998</v>
      </c>
      <c r="AE7141">
        <v>0.65309079999999997</v>
      </c>
      <c r="AF7141">
        <v>488.00170000000003</v>
      </c>
      <c r="AG7141">
        <f>IFERROR(AH7141*0.1, "N/A")</f>
        <v>5.8161340000000008</v>
      </c>
      <c r="AH7141">
        <v>58.161340000000003</v>
      </c>
      <c r="AI7141">
        <v>127.07680000000001</v>
      </c>
      <c r="AJ7141">
        <v>21.473949999999999</v>
      </c>
      <c r="AK7141">
        <v>65.421850000000006</v>
      </c>
    </row>
    <row r="7142" spans="1:37" x14ac:dyDescent="0.3">
      <c r="A7142">
        <v>7141</v>
      </c>
      <c r="B7142">
        <v>32.299999999999997</v>
      </c>
      <c r="C7142">
        <v>34.845599999999997</v>
      </c>
      <c r="D7142">
        <v>-14.069699999999999</v>
      </c>
      <c r="E7142" t="s">
        <v>10661</v>
      </c>
      <c r="F7142" t="s">
        <v>10662</v>
      </c>
      <c r="G7142" t="s">
        <v>39</v>
      </c>
      <c r="H7142">
        <v>2006</v>
      </c>
      <c r="I7142">
        <v>24.8</v>
      </c>
      <c r="J7142">
        <v>9.8000000000000007</v>
      </c>
      <c r="K7142">
        <v>57</v>
      </c>
      <c r="L7142">
        <v>20.13</v>
      </c>
      <c r="M7142">
        <v>32.9</v>
      </c>
      <c r="N7142">
        <v>15.9</v>
      </c>
      <c r="O7142">
        <v>17</v>
      </c>
      <c r="P7142">
        <v>25.9</v>
      </c>
      <c r="Q7142">
        <v>21.9</v>
      </c>
      <c r="R7142">
        <v>27.2</v>
      </c>
      <c r="S7142">
        <v>21.9</v>
      </c>
      <c r="T7142">
        <v>938</v>
      </c>
      <c r="U7142">
        <v>260</v>
      </c>
      <c r="V7142">
        <v>0</v>
      </c>
      <c r="W7142">
        <v>129</v>
      </c>
      <c r="X7142">
        <v>737</v>
      </c>
      <c r="Y7142">
        <v>2</v>
      </c>
      <c r="Z7142">
        <v>282</v>
      </c>
      <c r="AA7142">
        <v>2</v>
      </c>
      <c r="AB7142">
        <v>6.4988270000000004</v>
      </c>
      <c r="AC7142">
        <v>3.2036380000000003E-2</v>
      </c>
      <c r="AD7142">
        <v>10.3628</v>
      </c>
      <c r="AE7142">
        <v>0.39640150000000002</v>
      </c>
      <c r="AF7142">
        <v>486.03719999999998</v>
      </c>
      <c r="AG7142">
        <f>IFERROR(AH7142*0.1, "N/A")</f>
        <v>6.0951810000000002</v>
      </c>
      <c r="AH7142">
        <v>60.951810000000002</v>
      </c>
      <c r="AI7142">
        <v>225.76830000000001</v>
      </c>
      <c r="AJ7142">
        <v>21.475899999999999</v>
      </c>
      <c r="AK7142">
        <v>55.048189999999998</v>
      </c>
    </row>
    <row r="7143" spans="1:37" x14ac:dyDescent="0.3">
      <c r="A7143">
        <v>7142</v>
      </c>
      <c r="B7143">
        <v>54.2</v>
      </c>
      <c r="C7143">
        <v>34.843899999999998</v>
      </c>
      <c r="D7143">
        <v>-14.0678</v>
      </c>
      <c r="E7143" t="s">
        <v>10663</v>
      </c>
      <c r="F7143" t="s">
        <v>10664</v>
      </c>
      <c r="G7143" t="s">
        <v>39</v>
      </c>
      <c r="H7143">
        <v>1995</v>
      </c>
      <c r="I7143">
        <v>24.8</v>
      </c>
      <c r="J7143">
        <v>9.8000000000000007</v>
      </c>
      <c r="K7143">
        <v>57</v>
      </c>
      <c r="L7143">
        <v>20.13</v>
      </c>
      <c r="M7143">
        <v>32.9</v>
      </c>
      <c r="N7143">
        <v>15.9</v>
      </c>
      <c r="O7143">
        <v>17</v>
      </c>
      <c r="P7143">
        <v>25.9</v>
      </c>
      <c r="Q7143">
        <v>21.9</v>
      </c>
      <c r="R7143">
        <v>27.2</v>
      </c>
      <c r="S7143">
        <v>21.9</v>
      </c>
      <c r="T7143">
        <v>938</v>
      </c>
      <c r="U7143">
        <v>260</v>
      </c>
      <c r="V7143">
        <v>0</v>
      </c>
      <c r="W7143">
        <v>129</v>
      </c>
      <c r="X7143">
        <v>737</v>
      </c>
      <c r="Y7143">
        <v>2</v>
      </c>
      <c r="Z7143">
        <v>282</v>
      </c>
      <c r="AA7143">
        <v>2</v>
      </c>
      <c r="AB7143">
        <v>3.4526949999999998</v>
      </c>
      <c r="AC7143">
        <v>0.35252489999999997</v>
      </c>
      <c r="AD7143">
        <v>3.0472190000000001</v>
      </c>
      <c r="AE7143">
        <v>0.39640150000000002</v>
      </c>
      <c r="AF7143">
        <v>482.49489999999997</v>
      </c>
      <c r="AG7143">
        <f>IFERROR(AH7143*0.1, "N/A")</f>
        <v>6.4725590000000004</v>
      </c>
      <c r="AH7143">
        <v>64.725589999999997</v>
      </c>
      <c r="AI7143">
        <v>210.23779999999999</v>
      </c>
      <c r="AJ7143">
        <v>24.158249999999999</v>
      </c>
      <c r="AK7143">
        <v>54.414140000000003</v>
      </c>
    </row>
    <row r="7144" spans="1:37" x14ac:dyDescent="0.3">
      <c r="A7144">
        <v>7143</v>
      </c>
      <c r="B7144">
        <v>7</v>
      </c>
      <c r="C7144">
        <v>34.1</v>
      </c>
      <c r="D7144">
        <v>-14.033300000000001</v>
      </c>
      <c r="E7144" t="s">
        <v>10665</v>
      </c>
      <c r="F7144" t="s">
        <v>10666</v>
      </c>
      <c r="G7144" t="s">
        <v>39</v>
      </c>
      <c r="H7144">
        <v>1985</v>
      </c>
      <c r="I7144">
        <v>18.529900000000001</v>
      </c>
      <c r="J7144">
        <v>11.272130000000001</v>
      </c>
      <c r="K7144">
        <v>57</v>
      </c>
      <c r="L7144">
        <v>24.12782</v>
      </c>
      <c r="M7144">
        <v>27.506080000000001</v>
      </c>
      <c r="N7144">
        <v>7.860811</v>
      </c>
      <c r="O7144">
        <v>19.64527</v>
      </c>
      <c r="P7144">
        <v>20.232939999999999</v>
      </c>
      <c r="Q7144">
        <v>15.8299</v>
      </c>
      <c r="R7144">
        <v>21.094760000000001</v>
      </c>
      <c r="S7144">
        <v>14.933949999999999</v>
      </c>
      <c r="T7144">
        <v>920.39359999999999</v>
      </c>
      <c r="U7144">
        <v>231.29220000000001</v>
      </c>
      <c r="V7144">
        <v>2</v>
      </c>
      <c r="W7144">
        <v>112.95950000000001</v>
      </c>
      <c r="X7144">
        <v>628.6182</v>
      </c>
      <c r="Y7144">
        <v>6</v>
      </c>
      <c r="Z7144">
        <v>268.4966</v>
      </c>
      <c r="AA7144">
        <v>6.6891889999999998</v>
      </c>
      <c r="AB7144">
        <v>72.925160000000005</v>
      </c>
      <c r="AC7144">
        <v>1.634304E-2</v>
      </c>
      <c r="AD7144">
        <v>19.35135</v>
      </c>
      <c r="AE7144">
        <v>0.54208040000000002</v>
      </c>
      <c r="AF7144">
        <v>1342.2739999999999</v>
      </c>
      <c r="AG7144">
        <f>IFERROR(AH7144*0.1, "N/A")</f>
        <v>5.6464530000000011</v>
      </c>
      <c r="AH7144">
        <v>56.464530000000003</v>
      </c>
      <c r="AI7144">
        <v>176.66480000000001</v>
      </c>
      <c r="AJ7144">
        <v>21.53547</v>
      </c>
      <c r="AK7144">
        <v>68</v>
      </c>
    </row>
    <row r="7145" spans="1:37" x14ac:dyDescent="0.3">
      <c r="A7145">
        <v>7144</v>
      </c>
      <c r="B7145">
        <v>71</v>
      </c>
      <c r="C7145">
        <v>34.1</v>
      </c>
      <c r="D7145">
        <v>-14.033300000000001</v>
      </c>
      <c r="E7145" t="s">
        <v>10665</v>
      </c>
      <c r="F7145" t="s">
        <v>10667</v>
      </c>
      <c r="G7145" t="s">
        <v>37</v>
      </c>
      <c r="H7145">
        <v>1985</v>
      </c>
      <c r="I7145">
        <v>18.529900000000001</v>
      </c>
      <c r="J7145">
        <v>11.272130000000001</v>
      </c>
      <c r="K7145">
        <v>57</v>
      </c>
      <c r="L7145">
        <v>24.12782</v>
      </c>
      <c r="M7145">
        <v>27.506080000000001</v>
      </c>
      <c r="N7145">
        <v>7.860811</v>
      </c>
      <c r="O7145">
        <v>19.64527</v>
      </c>
      <c r="P7145">
        <v>20.232939999999999</v>
      </c>
      <c r="Q7145">
        <v>15.8299</v>
      </c>
      <c r="R7145">
        <v>21.094760000000001</v>
      </c>
      <c r="S7145">
        <v>14.933949999999999</v>
      </c>
      <c r="T7145">
        <v>920.39359999999999</v>
      </c>
      <c r="U7145">
        <v>231.29220000000001</v>
      </c>
      <c r="V7145">
        <v>2</v>
      </c>
      <c r="W7145">
        <v>112.95950000000001</v>
      </c>
      <c r="X7145">
        <v>628.6182</v>
      </c>
      <c r="Y7145">
        <v>6</v>
      </c>
      <c r="Z7145">
        <v>268.4966</v>
      </c>
      <c r="AA7145">
        <v>6.6891889999999998</v>
      </c>
      <c r="AB7145">
        <v>72.925160000000005</v>
      </c>
      <c r="AC7145">
        <v>1.634304E-2</v>
      </c>
      <c r="AD7145">
        <v>19.35135</v>
      </c>
      <c r="AE7145">
        <v>0.54208040000000002</v>
      </c>
      <c r="AF7145">
        <v>1342.2739999999999</v>
      </c>
      <c r="AG7145">
        <f>IFERROR(AH7145*0.1, "N/A")</f>
        <v>5.6464530000000011</v>
      </c>
      <c r="AH7145">
        <v>56.464530000000003</v>
      </c>
      <c r="AI7145">
        <v>176.66480000000001</v>
      </c>
      <c r="AJ7145">
        <v>21.53547</v>
      </c>
      <c r="AK7145">
        <v>68</v>
      </c>
    </row>
    <row r="7146" spans="1:37" x14ac:dyDescent="0.3">
      <c r="A7146">
        <v>7145</v>
      </c>
      <c r="B7146">
        <v>57.4</v>
      </c>
      <c r="C7146">
        <v>34.840400000000002</v>
      </c>
      <c r="D7146">
        <v>-14.0268</v>
      </c>
      <c r="E7146" t="s">
        <v>10668</v>
      </c>
      <c r="F7146" t="s">
        <v>10669</v>
      </c>
      <c r="G7146" t="s">
        <v>39</v>
      </c>
      <c r="H7146">
        <v>2006</v>
      </c>
      <c r="I7146">
        <v>24.8</v>
      </c>
      <c r="J7146">
        <v>9.8000000000000007</v>
      </c>
      <c r="K7146">
        <v>57</v>
      </c>
      <c r="L7146">
        <v>20.12</v>
      </c>
      <c r="M7146">
        <v>32.9</v>
      </c>
      <c r="N7146">
        <v>15.9</v>
      </c>
      <c r="O7146">
        <v>17</v>
      </c>
      <c r="P7146">
        <v>25.9</v>
      </c>
      <c r="Q7146">
        <v>21.9</v>
      </c>
      <c r="R7146">
        <v>27.2</v>
      </c>
      <c r="S7146">
        <v>21.9</v>
      </c>
      <c r="T7146">
        <v>955</v>
      </c>
      <c r="U7146">
        <v>265</v>
      </c>
      <c r="V7146">
        <v>0</v>
      </c>
      <c r="W7146">
        <v>128</v>
      </c>
      <c r="X7146">
        <v>742</v>
      </c>
      <c r="Y7146">
        <v>2</v>
      </c>
      <c r="Z7146">
        <v>281</v>
      </c>
      <c r="AA7146">
        <v>2</v>
      </c>
      <c r="AB7146">
        <v>6.1833489999999998</v>
      </c>
      <c r="AC7146">
        <v>5.0303130000000001E-2</v>
      </c>
      <c r="AD7146">
        <v>2.203335</v>
      </c>
      <c r="AE7146">
        <v>0.65059069999999997</v>
      </c>
      <c r="AF7146">
        <v>481.95960000000002</v>
      </c>
      <c r="AG7146">
        <f>IFERROR(AH7146*0.1, "N/A")</f>
        <v>6.4</v>
      </c>
      <c r="AH7146">
        <v>64</v>
      </c>
      <c r="AI7146">
        <v>174.62739999999999</v>
      </c>
      <c r="AJ7146">
        <v>24</v>
      </c>
      <c r="AK7146">
        <v>58</v>
      </c>
    </row>
    <row r="7147" spans="1:37" x14ac:dyDescent="0.3">
      <c r="A7147">
        <v>7146</v>
      </c>
      <c r="B7147">
        <v>73</v>
      </c>
      <c r="C7147">
        <v>34.85</v>
      </c>
      <c r="D7147">
        <v>-14.0167</v>
      </c>
      <c r="E7147" t="s">
        <v>10670</v>
      </c>
      <c r="F7147" t="s">
        <v>10671</v>
      </c>
      <c r="G7147" t="s">
        <v>39</v>
      </c>
      <c r="H7147">
        <v>1995</v>
      </c>
      <c r="I7147">
        <v>24.732379999999999</v>
      </c>
      <c r="J7147">
        <v>9.7281619999999993</v>
      </c>
      <c r="K7147">
        <v>57</v>
      </c>
      <c r="L7147">
        <v>20.148869999999999</v>
      </c>
      <c r="M7147">
        <v>32.732379999999999</v>
      </c>
      <c r="N7147">
        <v>15.832380000000001</v>
      </c>
      <c r="O7147">
        <v>16.899999999999999</v>
      </c>
      <c r="P7147">
        <v>25.75919</v>
      </c>
      <c r="Q7147">
        <v>21.832380000000001</v>
      </c>
      <c r="R7147">
        <v>27.104220000000002</v>
      </c>
      <c r="S7147">
        <v>21.832380000000001</v>
      </c>
      <c r="T7147">
        <v>961.65430000000003</v>
      </c>
      <c r="U7147">
        <v>266.13319999999999</v>
      </c>
      <c r="V7147">
        <v>0</v>
      </c>
      <c r="W7147">
        <v>127.2968</v>
      </c>
      <c r="X7147">
        <v>743.80269999999996</v>
      </c>
      <c r="Y7147">
        <v>2</v>
      </c>
      <c r="Z7147">
        <v>282.19729999999998</v>
      </c>
      <c r="AA7147">
        <v>2</v>
      </c>
      <c r="AB7147">
        <v>1.270829</v>
      </c>
      <c r="AC7147">
        <v>1.253933</v>
      </c>
      <c r="AD7147">
        <v>0.84881240000000002</v>
      </c>
      <c r="AE7147">
        <v>0.51902700000000002</v>
      </c>
      <c r="AF7147">
        <v>478.47890000000001</v>
      </c>
      <c r="AG7147">
        <f>IFERROR(AH7147*0.1, "N/A")</f>
        <v>6.6244519999999998</v>
      </c>
      <c r="AH7147">
        <v>66.244519999999994</v>
      </c>
      <c r="AI7147">
        <v>218.0258</v>
      </c>
      <c r="AJ7147">
        <v>24.83474</v>
      </c>
      <c r="AK7147">
        <v>56.119729999999997</v>
      </c>
    </row>
    <row r="7148" spans="1:37" x14ac:dyDescent="0.3">
      <c r="A7148">
        <v>7147</v>
      </c>
      <c r="B7148">
        <v>46</v>
      </c>
      <c r="C7148">
        <v>34.85</v>
      </c>
      <c r="D7148">
        <v>-14.0166</v>
      </c>
      <c r="E7148" t="s">
        <v>10672</v>
      </c>
      <c r="F7148" t="s">
        <v>10673</v>
      </c>
      <c r="G7148" t="s">
        <v>39</v>
      </c>
      <c r="H7148">
        <v>1985</v>
      </c>
      <c r="I7148">
        <v>24.718689999999999</v>
      </c>
      <c r="J7148">
        <v>9.7358589999999996</v>
      </c>
      <c r="K7148">
        <v>57</v>
      </c>
      <c r="L7148">
        <v>20.128350000000001</v>
      </c>
      <c r="M7148">
        <v>32.718690000000002</v>
      </c>
      <c r="N7148">
        <v>15.81869</v>
      </c>
      <c r="O7148">
        <v>16.899999999999999</v>
      </c>
      <c r="P7148">
        <v>25.742760000000001</v>
      </c>
      <c r="Q7148">
        <v>21.81869</v>
      </c>
      <c r="R7148">
        <v>27.082830000000001</v>
      </c>
      <c r="S7148">
        <v>21.81869</v>
      </c>
      <c r="T7148">
        <v>962.15319999999997</v>
      </c>
      <c r="U7148">
        <v>266.26429999999999</v>
      </c>
      <c r="V7148">
        <v>0</v>
      </c>
      <c r="W7148">
        <v>127.18859999999999</v>
      </c>
      <c r="X7148">
        <v>743.77269999999999</v>
      </c>
      <c r="Y7148">
        <v>2</v>
      </c>
      <c r="Z7148">
        <v>282.22730000000001</v>
      </c>
      <c r="AA7148">
        <v>2</v>
      </c>
      <c r="AB7148">
        <v>1.462124</v>
      </c>
      <c r="AC7148">
        <v>1.1675260000000001</v>
      </c>
      <c r="AD7148">
        <v>0.8266831</v>
      </c>
      <c r="AE7148">
        <v>0.51902700000000002</v>
      </c>
      <c r="AF7148">
        <v>478.52019999999999</v>
      </c>
      <c r="AG7148">
        <f>IFERROR(AH7148*0.1, "N/A")</f>
        <v>6.619529</v>
      </c>
      <c r="AH7148">
        <v>66.19529</v>
      </c>
      <c r="AI7148">
        <v>230.30799999999999</v>
      </c>
      <c r="AJ7148">
        <v>24.838380000000001</v>
      </c>
      <c r="AK7148">
        <v>56.144779999999997</v>
      </c>
    </row>
    <row r="7149" spans="1:37" x14ac:dyDescent="0.3">
      <c r="A7149">
        <v>7148</v>
      </c>
      <c r="B7149">
        <v>62.8</v>
      </c>
      <c r="C7149">
        <v>35.15</v>
      </c>
      <c r="D7149">
        <v>-14</v>
      </c>
      <c r="E7149" t="s">
        <v>10674</v>
      </c>
      <c r="F7149" t="s">
        <v>10675</v>
      </c>
      <c r="G7149" t="s">
        <v>39</v>
      </c>
      <c r="H7149">
        <v>1995</v>
      </c>
      <c r="I7149">
        <v>24.8</v>
      </c>
      <c r="J7149">
        <v>10</v>
      </c>
      <c r="K7149">
        <v>58</v>
      </c>
      <c r="L7149">
        <v>20.52599</v>
      </c>
      <c r="M7149">
        <v>33.064079999999997</v>
      </c>
      <c r="N7149">
        <v>15.86408</v>
      </c>
      <c r="O7149">
        <v>17.2</v>
      </c>
      <c r="P7149">
        <v>25.9</v>
      </c>
      <c r="Q7149">
        <v>21.8</v>
      </c>
      <c r="R7149">
        <v>27.2</v>
      </c>
      <c r="S7149">
        <v>21.8</v>
      </c>
      <c r="T7149">
        <v>950.50419999999997</v>
      </c>
      <c r="U7149">
        <v>256.71499999999997</v>
      </c>
      <c r="V7149">
        <v>1</v>
      </c>
      <c r="W7149">
        <v>122</v>
      </c>
      <c r="X7149">
        <v>702.61720000000003</v>
      </c>
      <c r="Y7149">
        <v>3</v>
      </c>
      <c r="Z7149">
        <v>270</v>
      </c>
      <c r="AA7149">
        <v>3</v>
      </c>
      <c r="AB7149">
        <v>1.5062409999999999</v>
      </c>
      <c r="AC7149">
        <v>5.3767759999999998E-2</v>
      </c>
      <c r="AD7149">
        <v>1.295229</v>
      </c>
      <c r="AE7149">
        <v>0.31103009999999998</v>
      </c>
      <c r="AF7149">
        <v>480.91059999999999</v>
      </c>
      <c r="AG7149">
        <f>IFERROR(AH7149*0.1, "N/A")</f>
        <v>5.943676</v>
      </c>
      <c r="AH7149">
        <v>59.43676</v>
      </c>
      <c r="AI7149">
        <v>108.2795</v>
      </c>
      <c r="AJ7149">
        <v>22.640809999999998</v>
      </c>
      <c r="AK7149">
        <v>58</v>
      </c>
    </row>
    <row r="7150" spans="1:37" x14ac:dyDescent="0.3">
      <c r="A7150">
        <v>7149</v>
      </c>
      <c r="B7150">
        <v>10.8</v>
      </c>
      <c r="C7150">
        <v>33.782299999999999</v>
      </c>
      <c r="D7150">
        <v>-13.9826</v>
      </c>
      <c r="E7150" t="s">
        <v>10676</v>
      </c>
      <c r="F7150" t="s">
        <v>10677</v>
      </c>
      <c r="G7150" t="s">
        <v>39</v>
      </c>
      <c r="H7150">
        <v>1980</v>
      </c>
      <c r="I7150">
        <v>20.2</v>
      </c>
      <c r="J7150">
        <v>12.4</v>
      </c>
      <c r="K7150">
        <v>57</v>
      </c>
      <c r="L7150">
        <v>25.87745</v>
      </c>
      <c r="M7150">
        <v>30</v>
      </c>
      <c r="N7150">
        <v>8.4040470000000003</v>
      </c>
      <c r="O7150">
        <v>21.595949999999998</v>
      </c>
      <c r="P7150">
        <v>22.095949999999998</v>
      </c>
      <c r="Q7150">
        <v>17.652280000000001</v>
      </c>
      <c r="R7150">
        <v>22.989879999999999</v>
      </c>
      <c r="S7150">
        <v>16.393930000000001</v>
      </c>
      <c r="T7150">
        <v>861.12139999999999</v>
      </c>
      <c r="U7150">
        <v>224</v>
      </c>
      <c r="V7150">
        <v>0</v>
      </c>
      <c r="W7150">
        <v>115</v>
      </c>
      <c r="X7150">
        <v>599.0607</v>
      </c>
      <c r="Y7150">
        <v>3.1011799999999998</v>
      </c>
      <c r="Z7150">
        <v>249.95949999999999</v>
      </c>
      <c r="AA7150">
        <v>4</v>
      </c>
      <c r="AB7150">
        <v>3.1209560000000001</v>
      </c>
      <c r="AC7150">
        <v>553.60950000000003</v>
      </c>
      <c r="AD7150">
        <v>2.6452179999999998</v>
      </c>
      <c r="AE7150">
        <v>0.83189489999999999</v>
      </c>
      <c r="AF7150">
        <v>1030.624</v>
      </c>
      <c r="AG7150">
        <f>IFERROR(AH7150*0.1, "N/A")</f>
        <v>6.6919060000000004</v>
      </c>
      <c r="AH7150">
        <v>66.919060000000002</v>
      </c>
      <c r="AI7150">
        <v>169.60589999999999</v>
      </c>
      <c r="AJ7150">
        <v>26.959530000000001</v>
      </c>
      <c r="AK7150">
        <v>58.121420000000001</v>
      </c>
    </row>
    <row r="7151" spans="1:37" x14ac:dyDescent="0.3">
      <c r="A7151">
        <v>7150</v>
      </c>
      <c r="B7151">
        <v>19.399999999999999</v>
      </c>
      <c r="C7151">
        <v>33.782299999999999</v>
      </c>
      <c r="D7151">
        <v>-13.9826</v>
      </c>
      <c r="E7151" t="s">
        <v>10676</v>
      </c>
      <c r="F7151" t="s">
        <v>10678</v>
      </c>
      <c r="G7151" t="s">
        <v>37</v>
      </c>
      <c r="H7151">
        <v>1980</v>
      </c>
      <c r="I7151">
        <v>20.2</v>
      </c>
      <c r="J7151">
        <v>12.4</v>
      </c>
      <c r="K7151">
        <v>57</v>
      </c>
      <c r="L7151">
        <v>25.87745</v>
      </c>
      <c r="M7151">
        <v>30</v>
      </c>
      <c r="N7151">
        <v>8.4040470000000003</v>
      </c>
      <c r="O7151">
        <v>21.595949999999998</v>
      </c>
      <c r="P7151">
        <v>22.095949999999998</v>
      </c>
      <c r="Q7151">
        <v>17.652280000000001</v>
      </c>
      <c r="R7151">
        <v>22.989879999999999</v>
      </c>
      <c r="S7151">
        <v>16.393930000000001</v>
      </c>
      <c r="T7151">
        <v>861.12139999999999</v>
      </c>
      <c r="U7151">
        <v>224</v>
      </c>
      <c r="V7151">
        <v>0</v>
      </c>
      <c r="W7151">
        <v>115</v>
      </c>
      <c r="X7151">
        <v>599.0607</v>
      </c>
      <c r="Y7151">
        <v>3.1011799999999998</v>
      </c>
      <c r="Z7151">
        <v>249.95949999999999</v>
      </c>
      <c r="AA7151">
        <v>4</v>
      </c>
      <c r="AB7151">
        <v>3.1209560000000001</v>
      </c>
      <c r="AC7151">
        <v>553.60950000000003</v>
      </c>
      <c r="AD7151">
        <v>2.6452179999999998</v>
      </c>
      <c r="AE7151">
        <v>0.83189489999999999</v>
      </c>
      <c r="AF7151">
        <v>1030.624</v>
      </c>
      <c r="AG7151">
        <f>IFERROR(AH7151*0.1, "N/A")</f>
        <v>6.6919060000000004</v>
      </c>
      <c r="AH7151">
        <v>66.919060000000002</v>
      </c>
      <c r="AI7151">
        <v>169.60589999999999</v>
      </c>
      <c r="AJ7151">
        <v>26.959530000000001</v>
      </c>
      <c r="AK7151">
        <v>58.121420000000001</v>
      </c>
    </row>
    <row r="7152" spans="1:37" x14ac:dyDescent="0.3">
      <c r="A7152">
        <v>7151</v>
      </c>
      <c r="B7152">
        <v>0</v>
      </c>
      <c r="C7152">
        <v>33.773000000000003</v>
      </c>
      <c r="D7152">
        <v>-13.981</v>
      </c>
      <c r="E7152" t="s">
        <v>10679</v>
      </c>
      <c r="F7152" t="s">
        <v>10680</v>
      </c>
      <c r="G7152" t="s">
        <v>37</v>
      </c>
      <c r="H7152">
        <v>2004</v>
      </c>
      <c r="I7152">
        <v>20.3</v>
      </c>
      <c r="J7152">
        <v>12.4</v>
      </c>
      <c r="K7152">
        <v>57</v>
      </c>
      <c r="L7152">
        <v>25.85</v>
      </c>
      <c r="M7152">
        <v>30</v>
      </c>
      <c r="N7152">
        <v>8.5</v>
      </c>
      <c r="O7152">
        <v>21.5</v>
      </c>
      <c r="P7152">
        <v>22.1</v>
      </c>
      <c r="Q7152">
        <v>17.899999999999999</v>
      </c>
      <c r="R7152">
        <v>23</v>
      </c>
      <c r="S7152">
        <v>16.399999999999999</v>
      </c>
      <c r="T7152">
        <v>861</v>
      </c>
      <c r="U7152">
        <v>224</v>
      </c>
      <c r="V7152">
        <v>0</v>
      </c>
      <c r="W7152">
        <v>115</v>
      </c>
      <c r="X7152">
        <v>599</v>
      </c>
      <c r="Y7152">
        <v>3</v>
      </c>
      <c r="Z7152">
        <v>250</v>
      </c>
      <c r="AA7152">
        <v>4</v>
      </c>
      <c r="AB7152">
        <v>12.417909999999999</v>
      </c>
      <c r="AC7152">
        <v>0.1093524</v>
      </c>
      <c r="AD7152">
        <v>2.256551</v>
      </c>
      <c r="AE7152">
        <v>0.85632149999999996</v>
      </c>
      <c r="AF7152">
        <v>1044.595</v>
      </c>
      <c r="AG7152">
        <f>IFERROR(AH7152*0.1, "N/A")</f>
        <v>6.2545610000000007</v>
      </c>
      <c r="AH7152">
        <v>62.545610000000003</v>
      </c>
      <c r="AI7152">
        <v>160.90129999999999</v>
      </c>
      <c r="AJ7152">
        <v>24.90878</v>
      </c>
      <c r="AK7152">
        <v>60.09122</v>
      </c>
    </row>
    <row r="7153" spans="1:37" x14ac:dyDescent="0.3">
      <c r="A7153">
        <v>7152</v>
      </c>
      <c r="B7153">
        <v>0</v>
      </c>
      <c r="C7153">
        <v>33.773000000000003</v>
      </c>
      <c r="D7153">
        <v>-13.981</v>
      </c>
      <c r="E7153" t="s">
        <v>10679</v>
      </c>
      <c r="F7153" t="s">
        <v>10681</v>
      </c>
      <c r="G7153" t="s">
        <v>39</v>
      </c>
      <c r="H7153">
        <v>2004</v>
      </c>
      <c r="I7153">
        <v>20.3</v>
      </c>
      <c r="J7153">
        <v>12.4</v>
      </c>
      <c r="K7153">
        <v>57</v>
      </c>
      <c r="L7153">
        <v>25.85</v>
      </c>
      <c r="M7153">
        <v>30</v>
      </c>
      <c r="N7153">
        <v>8.5</v>
      </c>
      <c r="O7153">
        <v>21.5</v>
      </c>
      <c r="P7153">
        <v>22.1</v>
      </c>
      <c r="Q7153">
        <v>17.899999999999999</v>
      </c>
      <c r="R7153">
        <v>23</v>
      </c>
      <c r="S7153">
        <v>16.399999999999999</v>
      </c>
      <c r="T7153">
        <v>861</v>
      </c>
      <c r="U7153">
        <v>224</v>
      </c>
      <c r="V7153">
        <v>0</v>
      </c>
      <c r="W7153">
        <v>115</v>
      </c>
      <c r="X7153">
        <v>599</v>
      </c>
      <c r="Y7153">
        <v>3</v>
      </c>
      <c r="Z7153">
        <v>250</v>
      </c>
      <c r="AA7153">
        <v>4</v>
      </c>
      <c r="AB7153">
        <v>12.417909999999999</v>
      </c>
      <c r="AC7153">
        <v>0.1093524</v>
      </c>
      <c r="AD7153">
        <v>2.256551</v>
      </c>
      <c r="AE7153">
        <v>0.85632149999999996</v>
      </c>
      <c r="AF7153">
        <v>1044.595</v>
      </c>
      <c r="AG7153">
        <f>IFERROR(AH7153*0.1, "N/A")</f>
        <v>6.2545610000000007</v>
      </c>
      <c r="AH7153">
        <v>62.545610000000003</v>
      </c>
      <c r="AI7153">
        <v>160.90129999999999</v>
      </c>
      <c r="AJ7153">
        <v>24.90878</v>
      </c>
      <c r="AK7153">
        <v>60.09122</v>
      </c>
    </row>
    <row r="7154" spans="1:37" x14ac:dyDescent="0.3">
      <c r="A7154">
        <v>7153</v>
      </c>
      <c r="B7154">
        <v>16</v>
      </c>
      <c r="C7154">
        <v>33.787399999999998</v>
      </c>
      <c r="D7154">
        <v>-13.962999999999999</v>
      </c>
      <c r="E7154" t="s">
        <v>10682</v>
      </c>
      <c r="F7154" t="s">
        <v>10683</v>
      </c>
      <c r="G7154" t="s">
        <v>39</v>
      </c>
      <c r="H7154">
        <v>1985</v>
      </c>
      <c r="I7154">
        <v>20.2</v>
      </c>
      <c r="J7154">
        <v>12.4</v>
      </c>
      <c r="K7154">
        <v>57</v>
      </c>
      <c r="L7154">
        <v>25.38</v>
      </c>
      <c r="M7154">
        <v>29.9</v>
      </c>
      <c r="N7154">
        <v>8.5</v>
      </c>
      <c r="O7154">
        <v>21.4</v>
      </c>
      <c r="P7154">
        <v>22</v>
      </c>
      <c r="Q7154">
        <v>17.8</v>
      </c>
      <c r="R7154">
        <v>22.9</v>
      </c>
      <c r="S7154">
        <v>16.399999999999999</v>
      </c>
      <c r="T7154">
        <v>860</v>
      </c>
      <c r="U7154">
        <v>225</v>
      </c>
      <c r="V7154">
        <v>0</v>
      </c>
      <c r="W7154">
        <v>115</v>
      </c>
      <c r="X7154">
        <v>598</v>
      </c>
      <c r="Y7154">
        <v>3</v>
      </c>
      <c r="Z7154">
        <v>249</v>
      </c>
      <c r="AA7154">
        <v>4</v>
      </c>
      <c r="AB7154">
        <v>32.713009999999997</v>
      </c>
      <c r="AC7154">
        <v>1.0483640000000001E-2</v>
      </c>
      <c r="AD7154">
        <v>1.8344009999999999</v>
      </c>
      <c r="AE7154">
        <v>0.7258831</v>
      </c>
      <c r="AF7154">
        <v>1070.69</v>
      </c>
      <c r="AG7154">
        <f>IFERROR(AH7154*0.1, "N/A")</f>
        <v>5.814165</v>
      </c>
      <c r="AH7154">
        <v>58.141649999999998</v>
      </c>
      <c r="AI7154">
        <v>51.935960000000001</v>
      </c>
      <c r="AJ7154">
        <v>21.573360000000001</v>
      </c>
      <c r="AK7154">
        <v>66.32884</v>
      </c>
    </row>
    <row r="7155" spans="1:37" x14ac:dyDescent="0.3">
      <c r="A7155">
        <v>7154</v>
      </c>
      <c r="B7155">
        <v>47</v>
      </c>
      <c r="C7155">
        <v>33.787399999999998</v>
      </c>
      <c r="D7155">
        <v>-13.962999999999999</v>
      </c>
      <c r="E7155" t="s">
        <v>10682</v>
      </c>
      <c r="F7155" t="s">
        <v>10684</v>
      </c>
      <c r="G7155" t="s">
        <v>37</v>
      </c>
      <c r="H7155">
        <v>1985</v>
      </c>
      <c r="I7155">
        <v>20.2</v>
      </c>
      <c r="J7155">
        <v>12.4</v>
      </c>
      <c r="K7155">
        <v>57</v>
      </c>
      <c r="L7155">
        <v>25.38</v>
      </c>
      <c r="M7155">
        <v>29.9</v>
      </c>
      <c r="N7155">
        <v>8.5</v>
      </c>
      <c r="O7155">
        <v>21.4</v>
      </c>
      <c r="P7155">
        <v>22</v>
      </c>
      <c r="Q7155">
        <v>17.8</v>
      </c>
      <c r="R7155">
        <v>22.9</v>
      </c>
      <c r="S7155">
        <v>16.399999999999999</v>
      </c>
      <c r="T7155">
        <v>860</v>
      </c>
      <c r="U7155">
        <v>225</v>
      </c>
      <c r="V7155">
        <v>0</v>
      </c>
      <c r="W7155">
        <v>115</v>
      </c>
      <c r="X7155">
        <v>598</v>
      </c>
      <c r="Y7155">
        <v>3</v>
      </c>
      <c r="Z7155">
        <v>249</v>
      </c>
      <c r="AA7155">
        <v>4</v>
      </c>
      <c r="AB7155">
        <v>32.713009999999997</v>
      </c>
      <c r="AC7155">
        <v>1.0483640000000001E-2</v>
      </c>
      <c r="AD7155">
        <v>1.8344009999999999</v>
      </c>
      <c r="AE7155">
        <v>0.7258831</v>
      </c>
      <c r="AF7155">
        <v>1070.69</v>
      </c>
      <c r="AG7155">
        <f>IFERROR(AH7155*0.1, "N/A")</f>
        <v>5.814165</v>
      </c>
      <c r="AH7155">
        <v>58.141649999999998</v>
      </c>
      <c r="AI7155">
        <v>51.935960000000001</v>
      </c>
      <c r="AJ7155">
        <v>21.573360000000001</v>
      </c>
      <c r="AK7155">
        <v>66.32884</v>
      </c>
    </row>
    <row r="7156" spans="1:37" x14ac:dyDescent="0.3">
      <c r="A7156">
        <v>7155</v>
      </c>
      <c r="B7156">
        <v>66.7</v>
      </c>
      <c r="C7156">
        <v>35.142000000000003</v>
      </c>
      <c r="D7156">
        <v>-13.962</v>
      </c>
      <c r="E7156" t="s">
        <v>10685</v>
      </c>
      <c r="F7156" t="s">
        <v>10686</v>
      </c>
      <c r="G7156" t="s">
        <v>39</v>
      </c>
      <c r="H7156">
        <v>1995</v>
      </c>
      <c r="I7156">
        <v>24.8</v>
      </c>
      <c r="J7156">
        <v>9.9</v>
      </c>
      <c r="K7156">
        <v>57</v>
      </c>
      <c r="L7156">
        <v>20.289490000000001</v>
      </c>
      <c r="M7156">
        <v>33</v>
      </c>
      <c r="N7156">
        <v>15.8575</v>
      </c>
      <c r="O7156">
        <v>17.142499999999998</v>
      </c>
      <c r="P7156">
        <v>25.8</v>
      </c>
      <c r="Q7156">
        <v>21.857500000000002</v>
      </c>
      <c r="R7156">
        <v>27.2</v>
      </c>
      <c r="S7156">
        <v>21.857500000000002</v>
      </c>
      <c r="T7156">
        <v>964</v>
      </c>
      <c r="U7156">
        <v>260</v>
      </c>
      <c r="V7156">
        <v>0</v>
      </c>
      <c r="W7156">
        <v>122</v>
      </c>
      <c r="X7156">
        <v>710.57500000000005</v>
      </c>
      <c r="Y7156">
        <v>2</v>
      </c>
      <c r="Z7156">
        <v>273</v>
      </c>
      <c r="AA7156">
        <v>2</v>
      </c>
      <c r="AB7156">
        <v>6.315512</v>
      </c>
      <c r="AC7156">
        <v>2.135927E-2</v>
      </c>
      <c r="AD7156">
        <v>1.0186170000000001</v>
      </c>
      <c r="AE7156">
        <v>0.52889900000000001</v>
      </c>
      <c r="AF7156">
        <v>488.09109999999998</v>
      </c>
      <c r="AG7156">
        <f>IFERROR(AH7156*0.1, "N/A")</f>
        <v>6.4991570000000003</v>
      </c>
      <c r="AH7156">
        <v>64.991569999999996</v>
      </c>
      <c r="AI7156">
        <v>153.64420000000001</v>
      </c>
      <c r="AJ7156">
        <v>25.419899999999998</v>
      </c>
      <c r="AK7156">
        <v>58.588529999999999</v>
      </c>
    </row>
    <row r="7157" spans="1:37" x14ac:dyDescent="0.3">
      <c r="A7157">
        <v>7156</v>
      </c>
      <c r="B7157">
        <v>0</v>
      </c>
      <c r="C7157">
        <v>33.776699999999998</v>
      </c>
      <c r="D7157">
        <v>-13.9489</v>
      </c>
      <c r="E7157" t="s">
        <v>10687</v>
      </c>
      <c r="F7157" t="s">
        <v>10688</v>
      </c>
      <c r="G7157" t="s">
        <v>37</v>
      </c>
      <c r="H7157">
        <v>2004</v>
      </c>
      <c r="I7157">
        <v>20.100000000000001</v>
      </c>
      <c r="J7157">
        <v>12.3</v>
      </c>
      <c r="K7157">
        <v>57</v>
      </c>
      <c r="L7157">
        <v>25.11</v>
      </c>
      <c r="M7157">
        <v>29.8</v>
      </c>
      <c r="N7157">
        <v>8.5</v>
      </c>
      <c r="O7157">
        <v>21.3</v>
      </c>
      <c r="P7157">
        <v>21.9</v>
      </c>
      <c r="Q7157">
        <v>17.8</v>
      </c>
      <c r="R7157">
        <v>22.8</v>
      </c>
      <c r="S7157">
        <v>16.399999999999999</v>
      </c>
      <c r="T7157">
        <v>859</v>
      </c>
      <c r="U7157">
        <v>225</v>
      </c>
      <c r="V7157">
        <v>0</v>
      </c>
      <c r="W7157">
        <v>115</v>
      </c>
      <c r="X7157">
        <v>597</v>
      </c>
      <c r="Y7157">
        <v>3</v>
      </c>
      <c r="Z7157">
        <v>250</v>
      </c>
      <c r="AA7157">
        <v>4</v>
      </c>
      <c r="AB7157">
        <v>24.246310000000001</v>
      </c>
      <c r="AC7157">
        <v>1.409992E-2</v>
      </c>
      <c r="AD7157">
        <v>3.7452700000000001</v>
      </c>
      <c r="AE7157">
        <v>0.66645940000000004</v>
      </c>
      <c r="AF7157">
        <v>1063.79</v>
      </c>
      <c r="AG7157">
        <f>IFERROR(AH7157*0.1, "N/A")</f>
        <v>6.0887210000000005</v>
      </c>
      <c r="AH7157">
        <v>60.887210000000003</v>
      </c>
      <c r="AI7157">
        <v>242.3091</v>
      </c>
      <c r="AJ7157">
        <v>21.893940000000001</v>
      </c>
      <c r="AK7157">
        <v>66.823229999999995</v>
      </c>
    </row>
    <row r="7158" spans="1:37" x14ac:dyDescent="0.3">
      <c r="A7158">
        <v>7157</v>
      </c>
      <c r="B7158">
        <v>0</v>
      </c>
      <c r="C7158">
        <v>33.776699999999998</v>
      </c>
      <c r="D7158">
        <v>-13.9489</v>
      </c>
      <c r="E7158" t="s">
        <v>10687</v>
      </c>
      <c r="F7158" t="s">
        <v>10689</v>
      </c>
      <c r="G7158" t="s">
        <v>39</v>
      </c>
      <c r="H7158">
        <v>2004</v>
      </c>
      <c r="I7158">
        <v>20.100000000000001</v>
      </c>
      <c r="J7158">
        <v>12.3</v>
      </c>
      <c r="K7158">
        <v>57</v>
      </c>
      <c r="L7158">
        <v>25.11</v>
      </c>
      <c r="M7158">
        <v>29.8</v>
      </c>
      <c r="N7158">
        <v>8.5</v>
      </c>
      <c r="O7158">
        <v>21.3</v>
      </c>
      <c r="P7158">
        <v>21.9</v>
      </c>
      <c r="Q7158">
        <v>17.8</v>
      </c>
      <c r="R7158">
        <v>22.8</v>
      </c>
      <c r="S7158">
        <v>16.399999999999999</v>
      </c>
      <c r="T7158">
        <v>859</v>
      </c>
      <c r="U7158">
        <v>225</v>
      </c>
      <c r="V7158">
        <v>0</v>
      </c>
      <c r="W7158">
        <v>115</v>
      </c>
      <c r="X7158">
        <v>597</v>
      </c>
      <c r="Y7158">
        <v>3</v>
      </c>
      <c r="Z7158">
        <v>250</v>
      </c>
      <c r="AA7158">
        <v>4</v>
      </c>
      <c r="AB7158">
        <v>24.246310000000001</v>
      </c>
      <c r="AC7158">
        <v>1.409992E-2</v>
      </c>
      <c r="AD7158">
        <v>3.7452700000000001</v>
      </c>
      <c r="AE7158">
        <v>0.66645940000000004</v>
      </c>
      <c r="AF7158">
        <v>1063.79</v>
      </c>
      <c r="AG7158">
        <f>IFERROR(AH7158*0.1, "N/A")</f>
        <v>6.0887210000000005</v>
      </c>
      <c r="AH7158">
        <v>60.887210000000003</v>
      </c>
      <c r="AI7158">
        <v>242.3091</v>
      </c>
      <c r="AJ7158">
        <v>21.893940000000001</v>
      </c>
      <c r="AK7158">
        <v>66.823229999999995</v>
      </c>
    </row>
    <row r="7159" spans="1:37" x14ac:dyDescent="0.3">
      <c r="A7159">
        <v>7158</v>
      </c>
      <c r="B7159">
        <v>13</v>
      </c>
      <c r="C7159">
        <v>32.8932</v>
      </c>
      <c r="D7159">
        <v>-13.799899999999999</v>
      </c>
      <c r="E7159" t="s">
        <v>10690</v>
      </c>
      <c r="F7159" t="s">
        <v>10691</v>
      </c>
      <c r="G7159" t="s">
        <v>39</v>
      </c>
      <c r="H7159">
        <v>1985</v>
      </c>
      <c r="I7159">
        <v>21.4</v>
      </c>
      <c r="J7159">
        <v>12.7</v>
      </c>
      <c r="K7159">
        <v>58</v>
      </c>
      <c r="L7159">
        <v>22.986709999999999</v>
      </c>
      <c r="M7159">
        <v>31.7</v>
      </c>
      <c r="N7159">
        <v>9.9532880000000006</v>
      </c>
      <c r="O7159">
        <v>21.74671</v>
      </c>
      <c r="P7159">
        <v>22.7</v>
      </c>
      <c r="Q7159">
        <v>17.953289999999999</v>
      </c>
      <c r="R7159">
        <v>23.953289999999999</v>
      </c>
      <c r="S7159">
        <v>17.953289999999999</v>
      </c>
      <c r="T7159">
        <v>1015.934</v>
      </c>
      <c r="U7159">
        <v>249</v>
      </c>
      <c r="V7159">
        <v>0</v>
      </c>
      <c r="W7159">
        <v>112</v>
      </c>
      <c r="X7159">
        <v>689</v>
      </c>
      <c r="Y7159">
        <v>3</v>
      </c>
      <c r="Z7159">
        <v>322.46710000000002</v>
      </c>
      <c r="AA7159">
        <v>3</v>
      </c>
      <c r="AB7159">
        <v>9.1378299999999992</v>
      </c>
      <c r="AC7159">
        <v>0.1059186</v>
      </c>
      <c r="AD7159">
        <v>1.560927</v>
      </c>
      <c r="AE7159">
        <v>0.54861470000000001</v>
      </c>
      <c r="AF7159">
        <v>1198.5129999999999</v>
      </c>
      <c r="AG7159">
        <f>IFERROR(AH7159*0.1, "N/A")</f>
        <v>6.0264760000000006</v>
      </c>
      <c r="AH7159">
        <v>60.264760000000003</v>
      </c>
      <c r="AI7159">
        <v>113.4042</v>
      </c>
      <c r="AJ7159">
        <v>18.816189999999999</v>
      </c>
      <c r="AK7159">
        <v>72.183809999999994</v>
      </c>
    </row>
    <row r="7160" spans="1:37" x14ac:dyDescent="0.3">
      <c r="A7160">
        <v>7159</v>
      </c>
      <c r="B7160">
        <v>2</v>
      </c>
      <c r="C7160">
        <v>32.8932</v>
      </c>
      <c r="D7160">
        <v>-13.799899999999999</v>
      </c>
      <c r="E7160" t="s">
        <v>10690</v>
      </c>
      <c r="F7160" t="s">
        <v>10692</v>
      </c>
      <c r="G7160" t="s">
        <v>37</v>
      </c>
      <c r="H7160">
        <v>1985</v>
      </c>
      <c r="I7160">
        <v>21.4</v>
      </c>
      <c r="J7160">
        <v>12.7</v>
      </c>
      <c r="K7160">
        <v>58</v>
      </c>
      <c r="L7160">
        <v>22.986709999999999</v>
      </c>
      <c r="M7160">
        <v>31.7</v>
      </c>
      <c r="N7160">
        <v>9.9532880000000006</v>
      </c>
      <c r="O7160">
        <v>21.74671</v>
      </c>
      <c r="P7160">
        <v>22.7</v>
      </c>
      <c r="Q7160">
        <v>17.953289999999999</v>
      </c>
      <c r="R7160">
        <v>23.953289999999999</v>
      </c>
      <c r="S7160">
        <v>17.953289999999999</v>
      </c>
      <c r="T7160">
        <v>1015.934</v>
      </c>
      <c r="U7160">
        <v>249</v>
      </c>
      <c r="V7160">
        <v>0</v>
      </c>
      <c r="W7160">
        <v>112</v>
      </c>
      <c r="X7160">
        <v>689</v>
      </c>
      <c r="Y7160">
        <v>3</v>
      </c>
      <c r="Z7160">
        <v>322.46710000000002</v>
      </c>
      <c r="AA7160">
        <v>3</v>
      </c>
      <c r="AB7160">
        <v>9.1378299999999992</v>
      </c>
      <c r="AC7160">
        <v>0.1059186</v>
      </c>
      <c r="AD7160">
        <v>1.560927</v>
      </c>
      <c r="AE7160">
        <v>0.54861470000000001</v>
      </c>
      <c r="AF7160">
        <v>1198.5129999999999</v>
      </c>
      <c r="AG7160">
        <f>IFERROR(AH7160*0.1, "N/A")</f>
        <v>6.0264760000000006</v>
      </c>
      <c r="AH7160">
        <v>60.264760000000003</v>
      </c>
      <c r="AI7160">
        <v>113.4042</v>
      </c>
      <c r="AJ7160">
        <v>18.816189999999999</v>
      </c>
      <c r="AK7160">
        <v>72.183809999999994</v>
      </c>
    </row>
    <row r="7161" spans="1:37" x14ac:dyDescent="0.3">
      <c r="A7161">
        <v>7160</v>
      </c>
      <c r="B7161">
        <v>0</v>
      </c>
      <c r="C7161">
        <v>34.519100000000002</v>
      </c>
      <c r="D7161">
        <v>-13.773400000000001</v>
      </c>
      <c r="E7161" t="s">
        <v>10693</v>
      </c>
      <c r="F7161" t="s">
        <v>10694</v>
      </c>
      <c r="G7161" t="s">
        <v>37</v>
      </c>
      <c r="H7161">
        <v>2004</v>
      </c>
      <c r="I7161">
        <v>24.4</v>
      </c>
      <c r="J7161">
        <v>10</v>
      </c>
      <c r="K7161">
        <v>57</v>
      </c>
      <c r="L7161">
        <v>21.88</v>
      </c>
      <c r="M7161">
        <v>32.700000000000003</v>
      </c>
      <c r="N7161">
        <v>15.3</v>
      </c>
      <c r="O7161">
        <v>17.399999999999999</v>
      </c>
      <c r="P7161">
        <v>25.6</v>
      </c>
      <c r="Q7161">
        <v>22.4</v>
      </c>
      <c r="R7161">
        <v>26.9</v>
      </c>
      <c r="S7161">
        <v>21.2</v>
      </c>
      <c r="T7161">
        <v>1112</v>
      </c>
      <c r="U7161">
        <v>307</v>
      </c>
      <c r="V7161">
        <v>1</v>
      </c>
      <c r="W7161">
        <v>120</v>
      </c>
      <c r="X7161">
        <v>774</v>
      </c>
      <c r="Y7161">
        <v>3</v>
      </c>
      <c r="Z7161">
        <v>265</v>
      </c>
      <c r="AA7161">
        <v>5</v>
      </c>
      <c r="AB7161">
        <v>4.1611459999999996</v>
      </c>
      <c r="AC7161">
        <v>9.387243E-3</v>
      </c>
      <c r="AD7161">
        <v>1.254748</v>
      </c>
      <c r="AE7161">
        <v>0.58157000000000003</v>
      </c>
      <c r="AF7161">
        <v>495.3125</v>
      </c>
      <c r="AG7161">
        <f>IFERROR(AH7161*0.1, "N/A")</f>
        <v>6.2145270000000004</v>
      </c>
      <c r="AH7161">
        <v>62.145269999999996</v>
      </c>
      <c r="AI7161">
        <v>166.18219999999999</v>
      </c>
      <c r="AJ7161">
        <v>25.22973</v>
      </c>
      <c r="AK7161">
        <v>61.5152</v>
      </c>
    </row>
    <row r="7162" spans="1:37" x14ac:dyDescent="0.3">
      <c r="A7162">
        <v>7161</v>
      </c>
      <c r="B7162">
        <v>3.8461500000000002</v>
      </c>
      <c r="C7162">
        <v>34.519100000000002</v>
      </c>
      <c r="D7162">
        <v>-13.773400000000001</v>
      </c>
      <c r="E7162" t="s">
        <v>10693</v>
      </c>
      <c r="F7162" t="s">
        <v>10695</v>
      </c>
      <c r="G7162" t="s">
        <v>39</v>
      </c>
      <c r="H7162">
        <v>2004</v>
      </c>
      <c r="I7162">
        <v>24.4</v>
      </c>
      <c r="J7162">
        <v>10</v>
      </c>
      <c r="K7162">
        <v>57</v>
      </c>
      <c r="L7162">
        <v>21.88</v>
      </c>
      <c r="M7162">
        <v>32.700000000000003</v>
      </c>
      <c r="N7162">
        <v>15.3</v>
      </c>
      <c r="O7162">
        <v>17.399999999999999</v>
      </c>
      <c r="P7162">
        <v>25.6</v>
      </c>
      <c r="Q7162">
        <v>22.4</v>
      </c>
      <c r="R7162">
        <v>26.9</v>
      </c>
      <c r="S7162">
        <v>21.2</v>
      </c>
      <c r="T7162">
        <v>1112</v>
      </c>
      <c r="U7162">
        <v>307</v>
      </c>
      <c r="V7162">
        <v>1</v>
      </c>
      <c r="W7162">
        <v>120</v>
      </c>
      <c r="X7162">
        <v>774</v>
      </c>
      <c r="Y7162">
        <v>3</v>
      </c>
      <c r="Z7162">
        <v>265</v>
      </c>
      <c r="AA7162">
        <v>5</v>
      </c>
      <c r="AB7162">
        <v>4.1611459999999996</v>
      </c>
      <c r="AC7162">
        <v>9.387243E-3</v>
      </c>
      <c r="AD7162">
        <v>1.254748</v>
      </c>
      <c r="AE7162">
        <v>0.58157000000000003</v>
      </c>
      <c r="AF7162">
        <v>495.3125</v>
      </c>
      <c r="AG7162">
        <f>IFERROR(AH7162*0.1, "N/A")</f>
        <v>6.2145270000000004</v>
      </c>
      <c r="AH7162">
        <v>62.145269999999996</v>
      </c>
      <c r="AI7162">
        <v>166.18219999999999</v>
      </c>
      <c r="AJ7162">
        <v>25.22973</v>
      </c>
      <c r="AK7162">
        <v>61.5152</v>
      </c>
    </row>
    <row r="7163" spans="1:37" x14ac:dyDescent="0.3">
      <c r="A7163">
        <v>7162</v>
      </c>
      <c r="B7163">
        <v>0</v>
      </c>
      <c r="C7163">
        <v>35.075299999999999</v>
      </c>
      <c r="D7163">
        <v>-13.758599999999999</v>
      </c>
      <c r="E7163" t="s">
        <v>10696</v>
      </c>
      <c r="F7163" t="s">
        <v>10697</v>
      </c>
      <c r="G7163" t="s">
        <v>37</v>
      </c>
      <c r="H7163">
        <v>2004</v>
      </c>
      <c r="I7163">
        <v>24.702529999999999</v>
      </c>
      <c r="J7163">
        <v>9.8000000000000007</v>
      </c>
      <c r="K7163">
        <v>57.929290000000002</v>
      </c>
      <c r="L7163">
        <v>19.79177</v>
      </c>
      <c r="M7163">
        <v>32.807070000000003</v>
      </c>
      <c r="N7163">
        <v>16</v>
      </c>
      <c r="O7163">
        <v>16.80707</v>
      </c>
      <c r="P7163">
        <v>25.707070000000002</v>
      </c>
      <c r="Q7163">
        <v>21.802520000000001</v>
      </c>
      <c r="R7163">
        <v>27.009599999999999</v>
      </c>
      <c r="S7163">
        <v>21.802520000000001</v>
      </c>
      <c r="T7163">
        <v>1053.374</v>
      </c>
      <c r="U7163">
        <v>279.0455</v>
      </c>
      <c r="V7163">
        <v>0</v>
      </c>
      <c r="W7163">
        <v>120</v>
      </c>
      <c r="X7163">
        <v>749.55889999999999</v>
      </c>
      <c r="Y7163">
        <v>3</v>
      </c>
      <c r="Z7163">
        <v>282.37209999999999</v>
      </c>
      <c r="AA7163">
        <v>3</v>
      </c>
      <c r="AB7163">
        <v>7.768008</v>
      </c>
      <c r="AC7163">
        <v>1.500628E-2</v>
      </c>
      <c r="AD7163">
        <v>2.0155669999999999</v>
      </c>
      <c r="AE7163">
        <v>0.41257480000000002</v>
      </c>
      <c r="AF7163">
        <v>483.87040000000002</v>
      </c>
      <c r="AG7163">
        <f>IFERROR(AH7163*0.1, "N/A")</f>
        <v>6.5505050000000002</v>
      </c>
      <c r="AH7163">
        <v>65.505049999999997</v>
      </c>
      <c r="AI7163">
        <v>267.59059999999999</v>
      </c>
      <c r="AJ7163">
        <v>18.212119999999999</v>
      </c>
      <c r="AK7163">
        <v>61.85859</v>
      </c>
    </row>
    <row r="7164" spans="1:37" x14ac:dyDescent="0.3">
      <c r="A7164">
        <v>7163</v>
      </c>
      <c r="B7164">
        <v>36.363599999999998</v>
      </c>
      <c r="C7164">
        <v>35.075299999999999</v>
      </c>
      <c r="D7164">
        <v>-13.758599999999999</v>
      </c>
      <c r="E7164" t="s">
        <v>10696</v>
      </c>
      <c r="F7164" t="s">
        <v>10698</v>
      </c>
      <c r="G7164" t="s">
        <v>39</v>
      </c>
      <c r="H7164">
        <v>2004</v>
      </c>
      <c r="I7164">
        <v>24.702529999999999</v>
      </c>
      <c r="J7164">
        <v>9.8000000000000007</v>
      </c>
      <c r="K7164">
        <v>57.929290000000002</v>
      </c>
      <c r="L7164">
        <v>19.79177</v>
      </c>
      <c r="M7164">
        <v>32.807070000000003</v>
      </c>
      <c r="N7164">
        <v>16</v>
      </c>
      <c r="O7164">
        <v>16.80707</v>
      </c>
      <c r="P7164">
        <v>25.707070000000002</v>
      </c>
      <c r="Q7164">
        <v>21.802520000000001</v>
      </c>
      <c r="R7164">
        <v>27.009599999999999</v>
      </c>
      <c r="S7164">
        <v>21.802520000000001</v>
      </c>
      <c r="T7164">
        <v>1053.374</v>
      </c>
      <c r="U7164">
        <v>279.0455</v>
      </c>
      <c r="V7164">
        <v>0</v>
      </c>
      <c r="W7164">
        <v>120</v>
      </c>
      <c r="X7164">
        <v>749.55889999999999</v>
      </c>
      <c r="Y7164">
        <v>3</v>
      </c>
      <c r="Z7164">
        <v>282.37209999999999</v>
      </c>
      <c r="AA7164">
        <v>3</v>
      </c>
      <c r="AB7164">
        <v>7.768008</v>
      </c>
      <c r="AC7164">
        <v>1.500628E-2</v>
      </c>
      <c r="AD7164">
        <v>2.0155669999999999</v>
      </c>
      <c r="AE7164">
        <v>0.41257480000000002</v>
      </c>
      <c r="AF7164">
        <v>483.87040000000002</v>
      </c>
      <c r="AG7164">
        <f>IFERROR(AH7164*0.1, "N/A")</f>
        <v>6.5505050000000002</v>
      </c>
      <c r="AH7164">
        <v>65.505049999999997</v>
      </c>
      <c r="AI7164">
        <v>267.59059999999999</v>
      </c>
      <c r="AJ7164">
        <v>18.212119999999999</v>
      </c>
      <c r="AK7164">
        <v>61.85859</v>
      </c>
    </row>
    <row r="7165" spans="1:37" x14ac:dyDescent="0.3">
      <c r="A7165">
        <v>7164</v>
      </c>
      <c r="B7165">
        <v>61</v>
      </c>
      <c r="C7165">
        <v>35.044899999999998</v>
      </c>
      <c r="D7165">
        <v>-13.7102</v>
      </c>
      <c r="E7165" t="s">
        <v>10699</v>
      </c>
      <c r="F7165" t="s">
        <v>10700</v>
      </c>
      <c r="G7165" t="s">
        <v>39</v>
      </c>
      <c r="H7165">
        <v>1995</v>
      </c>
      <c r="I7165">
        <v>24.7</v>
      </c>
      <c r="J7165">
        <v>9.6999999999999993</v>
      </c>
      <c r="K7165">
        <v>57</v>
      </c>
      <c r="L7165">
        <v>20.079999999999998</v>
      </c>
      <c r="M7165">
        <v>32.799999999999997</v>
      </c>
      <c r="N7165">
        <v>16</v>
      </c>
      <c r="O7165">
        <v>16.8</v>
      </c>
      <c r="P7165">
        <v>25.7</v>
      </c>
      <c r="Q7165">
        <v>21.8</v>
      </c>
      <c r="R7165">
        <v>27.1</v>
      </c>
      <c r="S7165">
        <v>21.8</v>
      </c>
      <c r="T7165">
        <v>1075</v>
      </c>
      <c r="U7165">
        <v>284</v>
      </c>
      <c r="V7165">
        <v>0</v>
      </c>
      <c r="W7165">
        <v>119</v>
      </c>
      <c r="X7165">
        <v>759</v>
      </c>
      <c r="Y7165">
        <v>3</v>
      </c>
      <c r="Z7165">
        <v>283</v>
      </c>
      <c r="AA7165">
        <v>3</v>
      </c>
      <c r="AB7165">
        <v>5.55816</v>
      </c>
      <c r="AC7165">
        <v>0.12014030000000001</v>
      </c>
      <c r="AD7165">
        <v>1.759287</v>
      </c>
      <c r="AE7165">
        <v>0.60795619999999995</v>
      </c>
      <c r="AF7165">
        <v>490.64870000000002</v>
      </c>
      <c r="AG7165">
        <f>IFERROR(AH7165*0.1, "N/A")</f>
        <v>6.3000000000000007</v>
      </c>
      <c r="AH7165">
        <v>63</v>
      </c>
      <c r="AI7165">
        <v>103.3974</v>
      </c>
      <c r="AJ7165">
        <v>23</v>
      </c>
      <c r="AK7165">
        <v>67</v>
      </c>
    </row>
    <row r="7166" spans="1:37" x14ac:dyDescent="0.3">
      <c r="A7166">
        <v>7165</v>
      </c>
      <c r="B7166">
        <v>26</v>
      </c>
      <c r="C7166">
        <v>33.6008</v>
      </c>
      <c r="D7166">
        <v>-13.7059</v>
      </c>
      <c r="E7166" t="s">
        <v>10701</v>
      </c>
      <c r="F7166" t="s">
        <v>10702</v>
      </c>
      <c r="G7166" t="s">
        <v>39</v>
      </c>
      <c r="H7166">
        <v>1985</v>
      </c>
      <c r="I7166">
        <v>19.899999999999999</v>
      </c>
      <c r="J7166">
        <v>12.1</v>
      </c>
      <c r="K7166">
        <v>59</v>
      </c>
      <c r="L7166">
        <v>22.74</v>
      </c>
      <c r="M7166">
        <v>29.1</v>
      </c>
      <c r="N7166">
        <v>8.8000000000000007</v>
      </c>
      <c r="O7166">
        <v>20.3</v>
      </c>
      <c r="P7166">
        <v>21.5</v>
      </c>
      <c r="Q7166">
        <v>17.8</v>
      </c>
      <c r="R7166">
        <v>22.3</v>
      </c>
      <c r="S7166">
        <v>16.399999999999999</v>
      </c>
      <c r="T7166">
        <v>872</v>
      </c>
      <c r="U7166">
        <v>231</v>
      </c>
      <c r="V7166">
        <v>0</v>
      </c>
      <c r="W7166">
        <v>117</v>
      </c>
      <c r="X7166">
        <v>603</v>
      </c>
      <c r="Y7166">
        <v>2</v>
      </c>
      <c r="Z7166">
        <v>256</v>
      </c>
      <c r="AA7166">
        <v>3</v>
      </c>
      <c r="AB7166">
        <v>15.67807</v>
      </c>
      <c r="AC7166">
        <v>2.9881870000000001E-2</v>
      </c>
      <c r="AD7166">
        <v>1.6342650000000001</v>
      </c>
      <c r="AE7166">
        <v>0.4222534</v>
      </c>
      <c r="AF7166">
        <v>1218.3209999999999</v>
      </c>
      <c r="AG7166">
        <f>IFERROR(AH7166*0.1, "N/A")</f>
        <v>6.6000000000000005</v>
      </c>
      <c r="AH7166">
        <v>66</v>
      </c>
      <c r="AI7166">
        <v>257.3689</v>
      </c>
      <c r="AJ7166">
        <v>17</v>
      </c>
      <c r="AK7166">
        <v>73</v>
      </c>
    </row>
    <row r="7167" spans="1:37" x14ac:dyDescent="0.3">
      <c r="A7167">
        <v>7166</v>
      </c>
      <c r="B7167">
        <v>8</v>
      </c>
      <c r="C7167">
        <v>33.6008</v>
      </c>
      <c r="D7167">
        <v>-13.7059</v>
      </c>
      <c r="E7167" t="s">
        <v>10701</v>
      </c>
      <c r="F7167" t="s">
        <v>10703</v>
      </c>
      <c r="G7167" t="s">
        <v>37</v>
      </c>
      <c r="H7167">
        <v>1985</v>
      </c>
      <c r="I7167">
        <v>19.899999999999999</v>
      </c>
      <c r="J7167">
        <v>12.1</v>
      </c>
      <c r="K7167">
        <v>59</v>
      </c>
      <c r="L7167">
        <v>22.74</v>
      </c>
      <c r="M7167">
        <v>29.1</v>
      </c>
      <c r="N7167">
        <v>8.8000000000000007</v>
      </c>
      <c r="O7167">
        <v>20.3</v>
      </c>
      <c r="P7167">
        <v>21.5</v>
      </c>
      <c r="Q7167">
        <v>17.8</v>
      </c>
      <c r="R7167">
        <v>22.3</v>
      </c>
      <c r="S7167">
        <v>16.399999999999999</v>
      </c>
      <c r="T7167">
        <v>872</v>
      </c>
      <c r="U7167">
        <v>231</v>
      </c>
      <c r="V7167">
        <v>0</v>
      </c>
      <c r="W7167">
        <v>117</v>
      </c>
      <c r="X7167">
        <v>603</v>
      </c>
      <c r="Y7167">
        <v>2</v>
      </c>
      <c r="Z7167">
        <v>256</v>
      </c>
      <c r="AA7167">
        <v>3</v>
      </c>
      <c r="AB7167">
        <v>15.67807</v>
      </c>
      <c r="AC7167">
        <v>2.9881870000000001E-2</v>
      </c>
      <c r="AD7167">
        <v>1.6342650000000001</v>
      </c>
      <c r="AE7167">
        <v>0.4222534</v>
      </c>
      <c r="AF7167">
        <v>1218.3209999999999</v>
      </c>
      <c r="AG7167">
        <f>IFERROR(AH7167*0.1, "N/A")</f>
        <v>6.6000000000000005</v>
      </c>
      <c r="AH7167">
        <v>66</v>
      </c>
      <c r="AI7167">
        <v>257.3689</v>
      </c>
      <c r="AJ7167">
        <v>17</v>
      </c>
      <c r="AK7167">
        <v>73</v>
      </c>
    </row>
    <row r="7168" spans="1:37" x14ac:dyDescent="0.3">
      <c r="A7168">
        <v>7167</v>
      </c>
      <c r="B7168">
        <v>59</v>
      </c>
      <c r="C7168">
        <v>35.044400000000003</v>
      </c>
      <c r="D7168">
        <v>-13.7056</v>
      </c>
      <c r="E7168" t="s">
        <v>10704</v>
      </c>
      <c r="F7168" t="s">
        <v>10705</v>
      </c>
      <c r="G7168" t="s">
        <v>39</v>
      </c>
      <c r="H7168">
        <v>1985</v>
      </c>
      <c r="I7168">
        <v>24.6</v>
      </c>
      <c r="J7168">
        <v>9.6999999999999993</v>
      </c>
      <c r="K7168">
        <v>57</v>
      </c>
      <c r="L7168">
        <v>19.87</v>
      </c>
      <c r="M7168">
        <v>32.799999999999997</v>
      </c>
      <c r="N7168">
        <v>16</v>
      </c>
      <c r="O7168">
        <v>16.8</v>
      </c>
      <c r="P7168">
        <v>25.6</v>
      </c>
      <c r="Q7168">
        <v>21.7</v>
      </c>
      <c r="R7168">
        <v>27</v>
      </c>
      <c r="S7168">
        <v>21.7</v>
      </c>
      <c r="T7168">
        <v>1077</v>
      </c>
      <c r="U7168">
        <v>284</v>
      </c>
      <c r="V7168">
        <v>0</v>
      </c>
      <c r="W7168">
        <v>119</v>
      </c>
      <c r="X7168">
        <v>759</v>
      </c>
      <c r="Y7168">
        <v>3</v>
      </c>
      <c r="Z7168">
        <v>283</v>
      </c>
      <c r="AA7168">
        <v>3</v>
      </c>
      <c r="AB7168">
        <v>8.4146099999999997</v>
      </c>
      <c r="AC7168">
        <v>6.4772549999999998E-2</v>
      </c>
      <c r="AD7168">
        <v>0.90204910000000005</v>
      </c>
      <c r="AE7168">
        <v>0.59983730000000002</v>
      </c>
      <c r="AF7168">
        <v>492.63760000000002</v>
      </c>
      <c r="AG7168">
        <f>IFERROR(AH7168*0.1, "N/A")</f>
        <v>6.2</v>
      </c>
      <c r="AH7168">
        <v>62</v>
      </c>
      <c r="AI7168">
        <v>204.06120000000001</v>
      </c>
      <c r="AJ7168">
        <v>24</v>
      </c>
      <c r="AK7168">
        <v>66</v>
      </c>
    </row>
    <row r="7169" spans="1:37" x14ac:dyDescent="0.3">
      <c r="A7169">
        <v>7168</v>
      </c>
      <c r="B7169">
        <v>3</v>
      </c>
      <c r="C7169">
        <v>35.044400000000003</v>
      </c>
      <c r="D7169">
        <v>-13.7056</v>
      </c>
      <c r="E7169" t="s">
        <v>10704</v>
      </c>
      <c r="F7169" t="s">
        <v>10706</v>
      </c>
      <c r="G7169" t="s">
        <v>37</v>
      </c>
      <c r="H7169">
        <v>1985</v>
      </c>
      <c r="I7169">
        <v>24.6</v>
      </c>
      <c r="J7169">
        <v>9.6999999999999993</v>
      </c>
      <c r="K7169">
        <v>57</v>
      </c>
      <c r="L7169">
        <v>19.87</v>
      </c>
      <c r="M7169">
        <v>32.799999999999997</v>
      </c>
      <c r="N7169">
        <v>16</v>
      </c>
      <c r="O7169">
        <v>16.8</v>
      </c>
      <c r="P7169">
        <v>25.6</v>
      </c>
      <c r="Q7169">
        <v>21.7</v>
      </c>
      <c r="R7169">
        <v>27</v>
      </c>
      <c r="S7169">
        <v>21.7</v>
      </c>
      <c r="T7169">
        <v>1077</v>
      </c>
      <c r="U7169">
        <v>284</v>
      </c>
      <c r="V7169">
        <v>0</v>
      </c>
      <c r="W7169">
        <v>119</v>
      </c>
      <c r="X7169">
        <v>759</v>
      </c>
      <c r="Y7169">
        <v>3</v>
      </c>
      <c r="Z7169">
        <v>283</v>
      </c>
      <c r="AA7169">
        <v>3</v>
      </c>
      <c r="AB7169">
        <v>8.4146099999999997</v>
      </c>
      <c r="AC7169">
        <v>6.4772549999999998E-2</v>
      </c>
      <c r="AD7169">
        <v>0.90204910000000005</v>
      </c>
      <c r="AE7169">
        <v>0.59983730000000002</v>
      </c>
      <c r="AF7169">
        <v>492.63760000000002</v>
      </c>
      <c r="AG7169">
        <f>IFERROR(AH7169*0.1, "N/A")</f>
        <v>6.2</v>
      </c>
      <c r="AH7169">
        <v>62</v>
      </c>
      <c r="AI7169">
        <v>204.06120000000001</v>
      </c>
      <c r="AJ7169">
        <v>24</v>
      </c>
      <c r="AK7169">
        <v>66</v>
      </c>
    </row>
    <row r="7170" spans="1:37" x14ac:dyDescent="0.3">
      <c r="A7170">
        <v>7169</v>
      </c>
      <c r="B7170">
        <v>81.900000000000006</v>
      </c>
      <c r="C7170">
        <v>34.917999999999999</v>
      </c>
      <c r="D7170">
        <v>-13.687799999999999</v>
      </c>
      <c r="E7170" t="s">
        <v>10707</v>
      </c>
      <c r="F7170" t="s">
        <v>10708</v>
      </c>
      <c r="G7170" t="s">
        <v>39</v>
      </c>
      <c r="H7170">
        <v>1995</v>
      </c>
      <c r="I7170">
        <v>24.3</v>
      </c>
      <c r="J7170">
        <v>9.6999999999999993</v>
      </c>
      <c r="K7170">
        <v>58</v>
      </c>
      <c r="L7170">
        <v>19.95</v>
      </c>
      <c r="M7170">
        <v>32.4</v>
      </c>
      <c r="N7170">
        <v>15.7</v>
      </c>
      <c r="O7170">
        <v>16.7</v>
      </c>
      <c r="P7170">
        <v>25.3</v>
      </c>
      <c r="Q7170">
        <v>21.4</v>
      </c>
      <c r="R7170">
        <v>26.7</v>
      </c>
      <c r="S7170">
        <v>21.4</v>
      </c>
      <c r="T7170">
        <v>1104</v>
      </c>
      <c r="U7170">
        <v>292</v>
      </c>
      <c r="V7170">
        <v>1</v>
      </c>
      <c r="W7170">
        <v>118</v>
      </c>
      <c r="X7170">
        <v>773</v>
      </c>
      <c r="Y7170">
        <v>4</v>
      </c>
      <c r="Z7170">
        <v>286</v>
      </c>
      <c r="AA7170">
        <v>4</v>
      </c>
      <c r="AB7170">
        <v>16.1951</v>
      </c>
      <c r="AC7170">
        <v>8.3097499999999994E-3</v>
      </c>
      <c r="AD7170">
        <v>1.590192</v>
      </c>
      <c r="AE7170">
        <v>0.59618890000000002</v>
      </c>
      <c r="AF7170">
        <v>539.64639999999997</v>
      </c>
      <c r="AG7170">
        <f>IFERROR(AH7170*0.1, "N/A")</f>
        <v>6.3203050000000003</v>
      </c>
      <c r="AH7170">
        <v>63.203049999999998</v>
      </c>
      <c r="AI7170">
        <v>188.29259999999999</v>
      </c>
      <c r="AJ7170">
        <v>21.16244</v>
      </c>
      <c r="AK7170">
        <v>71.472080000000005</v>
      </c>
    </row>
    <row r="7171" spans="1:37" x14ac:dyDescent="0.3">
      <c r="A7171">
        <v>7170</v>
      </c>
      <c r="B7171">
        <v>77.900000000000006</v>
      </c>
      <c r="C7171">
        <v>35.030299999999997</v>
      </c>
      <c r="D7171">
        <v>-13.6473</v>
      </c>
      <c r="E7171" t="s">
        <v>10709</v>
      </c>
      <c r="F7171" t="s">
        <v>10710</v>
      </c>
      <c r="G7171" t="s">
        <v>39</v>
      </c>
      <c r="H7171">
        <v>1995</v>
      </c>
      <c r="I7171">
        <v>24.3</v>
      </c>
      <c r="J7171">
        <v>9.6999999999999993</v>
      </c>
      <c r="K7171">
        <v>57</v>
      </c>
      <c r="L7171">
        <v>19.899999999999999</v>
      </c>
      <c r="M7171">
        <v>32.5</v>
      </c>
      <c r="N7171">
        <v>15.7</v>
      </c>
      <c r="O7171">
        <v>16.8</v>
      </c>
      <c r="P7171">
        <v>25.4</v>
      </c>
      <c r="Q7171">
        <v>21.4</v>
      </c>
      <c r="R7171">
        <v>26.7</v>
      </c>
      <c r="S7171">
        <v>21.4</v>
      </c>
      <c r="T7171">
        <v>1105</v>
      </c>
      <c r="U7171">
        <v>288</v>
      </c>
      <c r="V7171">
        <v>1</v>
      </c>
      <c r="W7171">
        <v>117</v>
      </c>
      <c r="X7171">
        <v>766</v>
      </c>
      <c r="Y7171">
        <v>4</v>
      </c>
      <c r="Z7171">
        <v>287</v>
      </c>
      <c r="AA7171">
        <v>4</v>
      </c>
      <c r="AB7171">
        <v>15.55763</v>
      </c>
      <c r="AC7171">
        <v>2.528451E-2</v>
      </c>
      <c r="AD7171">
        <v>2.4697360000000002</v>
      </c>
      <c r="AE7171">
        <v>0.59464950000000005</v>
      </c>
      <c r="AF7171">
        <v>530.82939999999996</v>
      </c>
      <c r="AG7171">
        <f>IFERROR(AH7171*0.1, "N/A")</f>
        <v>6.2</v>
      </c>
      <c r="AH7171">
        <v>62</v>
      </c>
      <c r="AI7171">
        <v>202.69049999999999</v>
      </c>
      <c r="AJ7171">
        <v>19</v>
      </c>
      <c r="AK7171">
        <v>73</v>
      </c>
    </row>
    <row r="7172" spans="1:37" x14ac:dyDescent="0.3">
      <c r="A7172">
        <v>7171</v>
      </c>
      <c r="B7172">
        <v>0</v>
      </c>
      <c r="C7172">
        <v>34.294600000000003</v>
      </c>
      <c r="D7172">
        <v>-13.596399999999999</v>
      </c>
      <c r="E7172" t="s">
        <v>10711</v>
      </c>
      <c r="F7172" t="s">
        <v>10712</v>
      </c>
      <c r="G7172" t="s">
        <v>37</v>
      </c>
      <c r="H7172">
        <v>2004</v>
      </c>
      <c r="I7172">
        <v>23.7</v>
      </c>
      <c r="J7172">
        <v>10.4</v>
      </c>
      <c r="K7172">
        <v>55</v>
      </c>
      <c r="L7172">
        <v>24.74</v>
      </c>
      <c r="M7172">
        <v>32.4</v>
      </c>
      <c r="N7172">
        <v>13.8</v>
      </c>
      <c r="O7172">
        <v>18.600000000000001</v>
      </c>
      <c r="P7172">
        <v>25.3</v>
      </c>
      <c r="Q7172">
        <v>21.4</v>
      </c>
      <c r="R7172">
        <v>26.6</v>
      </c>
      <c r="S7172">
        <v>20.100000000000001</v>
      </c>
      <c r="T7172">
        <v>975</v>
      </c>
      <c r="U7172">
        <v>269</v>
      </c>
      <c r="V7172">
        <v>0</v>
      </c>
      <c r="W7172">
        <v>123</v>
      </c>
      <c r="X7172">
        <v>706</v>
      </c>
      <c r="Y7172">
        <v>0</v>
      </c>
      <c r="Z7172">
        <v>236</v>
      </c>
      <c r="AA7172">
        <v>3</v>
      </c>
      <c r="AB7172">
        <v>15.43942</v>
      </c>
      <c r="AC7172">
        <v>1.0535320000000001E-2</v>
      </c>
      <c r="AD7172">
        <v>2.0118049999999998</v>
      </c>
      <c r="AE7172">
        <v>0.65946470000000001</v>
      </c>
      <c r="AF7172">
        <v>551.76310000000001</v>
      </c>
      <c r="AG7172">
        <f>IFERROR(AH7172*0.1, "N/A")</f>
        <v>6.1199660000000007</v>
      </c>
      <c r="AH7172">
        <v>61.199660000000002</v>
      </c>
      <c r="AI7172">
        <v>138.5624</v>
      </c>
      <c r="AJ7172">
        <v>22.402709999999999</v>
      </c>
      <c r="AK7172">
        <v>64.697119999999998</v>
      </c>
    </row>
    <row r="7173" spans="1:37" x14ac:dyDescent="0.3">
      <c r="A7173">
        <v>7172</v>
      </c>
      <c r="B7173">
        <v>18.181799999999999</v>
      </c>
      <c r="C7173">
        <v>34.294600000000003</v>
      </c>
      <c r="D7173">
        <v>-13.596399999999999</v>
      </c>
      <c r="E7173" t="s">
        <v>10711</v>
      </c>
      <c r="F7173" t="s">
        <v>10713</v>
      </c>
      <c r="G7173" t="s">
        <v>39</v>
      </c>
      <c r="H7173">
        <v>2004</v>
      </c>
      <c r="I7173">
        <v>23.7</v>
      </c>
      <c r="J7173">
        <v>10.4</v>
      </c>
      <c r="K7173">
        <v>55</v>
      </c>
      <c r="L7173">
        <v>24.74</v>
      </c>
      <c r="M7173">
        <v>32.4</v>
      </c>
      <c r="N7173">
        <v>13.8</v>
      </c>
      <c r="O7173">
        <v>18.600000000000001</v>
      </c>
      <c r="P7173">
        <v>25.3</v>
      </c>
      <c r="Q7173">
        <v>21.4</v>
      </c>
      <c r="R7173">
        <v>26.6</v>
      </c>
      <c r="S7173">
        <v>20.100000000000001</v>
      </c>
      <c r="T7173">
        <v>975</v>
      </c>
      <c r="U7173">
        <v>269</v>
      </c>
      <c r="V7173">
        <v>0</v>
      </c>
      <c r="W7173">
        <v>123</v>
      </c>
      <c r="X7173">
        <v>706</v>
      </c>
      <c r="Y7173">
        <v>0</v>
      </c>
      <c r="Z7173">
        <v>236</v>
      </c>
      <c r="AA7173">
        <v>3</v>
      </c>
      <c r="AB7173">
        <v>15.43942</v>
      </c>
      <c r="AC7173">
        <v>1.0535320000000001E-2</v>
      </c>
      <c r="AD7173">
        <v>2.0118049999999998</v>
      </c>
      <c r="AE7173">
        <v>0.65946470000000001</v>
      </c>
      <c r="AF7173">
        <v>551.76310000000001</v>
      </c>
      <c r="AG7173">
        <f>IFERROR(AH7173*0.1, "N/A")</f>
        <v>6.1199660000000007</v>
      </c>
      <c r="AH7173">
        <v>61.199660000000002</v>
      </c>
      <c r="AI7173">
        <v>138.5624</v>
      </c>
      <c r="AJ7173">
        <v>22.402709999999999</v>
      </c>
      <c r="AK7173">
        <v>64.697119999999998</v>
      </c>
    </row>
    <row r="7174" spans="1:37" x14ac:dyDescent="0.3">
      <c r="A7174">
        <v>7173</v>
      </c>
      <c r="B7174">
        <v>0</v>
      </c>
      <c r="C7174">
        <v>33.628900000000002</v>
      </c>
      <c r="D7174">
        <v>-13.5663</v>
      </c>
      <c r="E7174" t="s">
        <v>10714</v>
      </c>
      <c r="F7174" t="s">
        <v>10715</v>
      </c>
      <c r="G7174" t="s">
        <v>37</v>
      </c>
      <c r="H7174">
        <v>2004</v>
      </c>
      <c r="I7174">
        <v>20.043900000000001</v>
      </c>
      <c r="J7174">
        <v>11.8</v>
      </c>
      <c r="K7174">
        <v>59</v>
      </c>
      <c r="L7174">
        <v>22.685369999999999</v>
      </c>
      <c r="M7174">
        <v>28.9</v>
      </c>
      <c r="N7174">
        <v>8.9438980000000008</v>
      </c>
      <c r="O7174">
        <v>19.956099999999999</v>
      </c>
      <c r="P7174">
        <v>21.6</v>
      </c>
      <c r="Q7174">
        <v>17.843900000000001</v>
      </c>
      <c r="R7174">
        <v>22.4</v>
      </c>
      <c r="S7174">
        <v>16.543900000000001</v>
      </c>
      <c r="T7174">
        <v>859.56100000000004</v>
      </c>
      <c r="U7174">
        <v>227</v>
      </c>
      <c r="V7174">
        <v>0</v>
      </c>
      <c r="W7174">
        <v>119</v>
      </c>
      <c r="X7174">
        <v>608.56100000000004</v>
      </c>
      <c r="Y7174">
        <v>2</v>
      </c>
      <c r="Z7174">
        <v>247</v>
      </c>
      <c r="AA7174">
        <v>4</v>
      </c>
      <c r="AB7174">
        <v>14.14612</v>
      </c>
      <c r="AC7174">
        <v>1.503558E-2</v>
      </c>
      <c r="AD7174">
        <v>0.8424642</v>
      </c>
      <c r="AE7174">
        <v>0.44945239999999997</v>
      </c>
      <c r="AF7174">
        <v>1205.8389999999999</v>
      </c>
      <c r="AG7174">
        <f>IFERROR(AH7174*0.1, "N/A")</f>
        <v>6.5</v>
      </c>
      <c r="AH7174">
        <v>65</v>
      </c>
      <c r="AI7174">
        <v>78.722229999999996</v>
      </c>
      <c r="AJ7174">
        <v>22</v>
      </c>
      <c r="AK7174">
        <v>65.162710000000004</v>
      </c>
    </row>
    <row r="7175" spans="1:37" x14ac:dyDescent="0.3">
      <c r="A7175">
        <v>7174</v>
      </c>
      <c r="B7175">
        <v>0</v>
      </c>
      <c r="C7175">
        <v>33.628900000000002</v>
      </c>
      <c r="D7175">
        <v>-13.5663</v>
      </c>
      <c r="E7175" t="s">
        <v>10714</v>
      </c>
      <c r="F7175" t="s">
        <v>10716</v>
      </c>
      <c r="G7175" t="s">
        <v>39</v>
      </c>
      <c r="H7175">
        <v>2004</v>
      </c>
      <c r="I7175">
        <v>20.043900000000001</v>
      </c>
      <c r="J7175">
        <v>11.8</v>
      </c>
      <c r="K7175">
        <v>59</v>
      </c>
      <c r="L7175">
        <v>22.685369999999999</v>
      </c>
      <c r="M7175">
        <v>28.9</v>
      </c>
      <c r="N7175">
        <v>8.9438980000000008</v>
      </c>
      <c r="O7175">
        <v>19.956099999999999</v>
      </c>
      <c r="P7175">
        <v>21.6</v>
      </c>
      <c r="Q7175">
        <v>17.843900000000001</v>
      </c>
      <c r="R7175">
        <v>22.4</v>
      </c>
      <c r="S7175">
        <v>16.543900000000001</v>
      </c>
      <c r="T7175">
        <v>859.56100000000004</v>
      </c>
      <c r="U7175">
        <v>227</v>
      </c>
      <c r="V7175">
        <v>0</v>
      </c>
      <c r="W7175">
        <v>119</v>
      </c>
      <c r="X7175">
        <v>608.56100000000004</v>
      </c>
      <c r="Y7175">
        <v>2</v>
      </c>
      <c r="Z7175">
        <v>247</v>
      </c>
      <c r="AA7175">
        <v>4</v>
      </c>
      <c r="AB7175">
        <v>14.14612</v>
      </c>
      <c r="AC7175">
        <v>1.503558E-2</v>
      </c>
      <c r="AD7175">
        <v>0.8424642</v>
      </c>
      <c r="AE7175">
        <v>0.44945239999999997</v>
      </c>
      <c r="AF7175">
        <v>1205.8389999999999</v>
      </c>
      <c r="AG7175">
        <f>IFERROR(AH7175*0.1, "N/A")</f>
        <v>6.5</v>
      </c>
      <c r="AH7175">
        <v>65</v>
      </c>
      <c r="AI7175">
        <v>78.722229999999996</v>
      </c>
      <c r="AJ7175">
        <v>22</v>
      </c>
      <c r="AK7175">
        <v>65.162710000000004</v>
      </c>
    </row>
    <row r="7176" spans="1:37" x14ac:dyDescent="0.3">
      <c r="A7176">
        <v>7175</v>
      </c>
      <c r="B7176">
        <v>0</v>
      </c>
      <c r="C7176">
        <v>33.064</v>
      </c>
      <c r="D7176">
        <v>-13.404400000000001</v>
      </c>
      <c r="E7176" t="s">
        <v>10717</v>
      </c>
      <c r="F7176" t="s">
        <v>10718</v>
      </c>
      <c r="G7176" t="s">
        <v>37</v>
      </c>
      <c r="H7176">
        <v>2004</v>
      </c>
      <c r="I7176">
        <v>21.8</v>
      </c>
      <c r="J7176">
        <v>12.2</v>
      </c>
      <c r="K7176">
        <v>59</v>
      </c>
      <c r="L7176">
        <v>22.39</v>
      </c>
      <c r="M7176">
        <v>31.1</v>
      </c>
      <c r="N7176">
        <v>10.7</v>
      </c>
      <c r="O7176">
        <v>20.399999999999999</v>
      </c>
      <c r="P7176">
        <v>23.3</v>
      </c>
      <c r="Q7176">
        <v>18.399999999999999</v>
      </c>
      <c r="R7176">
        <v>24.3</v>
      </c>
      <c r="S7176">
        <v>18.399999999999999</v>
      </c>
      <c r="T7176">
        <v>866</v>
      </c>
      <c r="U7176">
        <v>221</v>
      </c>
      <c r="V7176">
        <v>0</v>
      </c>
      <c r="W7176">
        <v>116</v>
      </c>
      <c r="X7176">
        <v>610</v>
      </c>
      <c r="Y7176">
        <v>2</v>
      </c>
      <c r="Z7176">
        <v>282</v>
      </c>
      <c r="AA7176">
        <v>2</v>
      </c>
      <c r="AB7176">
        <v>11.56664</v>
      </c>
      <c r="AC7176">
        <v>8.9117239999999993E-3</v>
      </c>
      <c r="AD7176">
        <v>1.2290650000000001</v>
      </c>
      <c r="AE7176">
        <v>0.33813130000000002</v>
      </c>
      <c r="AF7176">
        <v>1091.3409999999999</v>
      </c>
      <c r="AG7176">
        <f>IFERROR(AH7176*0.1, "N/A")</f>
        <v>5.6794919999999998</v>
      </c>
      <c r="AH7176">
        <v>56.794919999999998</v>
      </c>
      <c r="AI7176">
        <v>85.517240000000001</v>
      </c>
      <c r="AJ7176">
        <v>23.205079999999999</v>
      </c>
      <c r="AK7176">
        <v>66.194919999999996</v>
      </c>
    </row>
    <row r="7177" spans="1:37" x14ac:dyDescent="0.3">
      <c r="A7177">
        <v>7176</v>
      </c>
      <c r="B7177">
        <v>1.96078</v>
      </c>
      <c r="C7177">
        <v>33.064</v>
      </c>
      <c r="D7177">
        <v>-13.404400000000001</v>
      </c>
      <c r="E7177" t="s">
        <v>10717</v>
      </c>
      <c r="F7177" t="s">
        <v>10719</v>
      </c>
      <c r="G7177" t="s">
        <v>39</v>
      </c>
      <c r="H7177">
        <v>2004</v>
      </c>
      <c r="I7177">
        <v>21.8</v>
      </c>
      <c r="J7177">
        <v>12.2</v>
      </c>
      <c r="K7177">
        <v>59</v>
      </c>
      <c r="L7177">
        <v>22.39</v>
      </c>
      <c r="M7177">
        <v>31.1</v>
      </c>
      <c r="N7177">
        <v>10.7</v>
      </c>
      <c r="O7177">
        <v>20.399999999999999</v>
      </c>
      <c r="P7177">
        <v>23.3</v>
      </c>
      <c r="Q7177">
        <v>18.399999999999999</v>
      </c>
      <c r="R7177">
        <v>24.3</v>
      </c>
      <c r="S7177">
        <v>18.399999999999999</v>
      </c>
      <c r="T7177">
        <v>866</v>
      </c>
      <c r="U7177">
        <v>221</v>
      </c>
      <c r="V7177">
        <v>0</v>
      </c>
      <c r="W7177">
        <v>116</v>
      </c>
      <c r="X7177">
        <v>610</v>
      </c>
      <c r="Y7177">
        <v>2</v>
      </c>
      <c r="Z7177">
        <v>282</v>
      </c>
      <c r="AA7177">
        <v>2</v>
      </c>
      <c r="AB7177">
        <v>11.56664</v>
      </c>
      <c r="AC7177">
        <v>8.9117239999999993E-3</v>
      </c>
      <c r="AD7177">
        <v>1.2290650000000001</v>
      </c>
      <c r="AE7177">
        <v>0.33813130000000002</v>
      </c>
      <c r="AF7177">
        <v>1091.3409999999999</v>
      </c>
      <c r="AG7177">
        <f>IFERROR(AH7177*0.1, "N/A")</f>
        <v>5.6794919999999998</v>
      </c>
      <c r="AH7177">
        <v>56.794919999999998</v>
      </c>
      <c r="AI7177">
        <v>85.517240000000001</v>
      </c>
      <c r="AJ7177">
        <v>23.205079999999999</v>
      </c>
      <c r="AK7177">
        <v>66.194919999999996</v>
      </c>
    </row>
    <row r="7178" spans="1:37" x14ac:dyDescent="0.3">
      <c r="A7178">
        <v>7177</v>
      </c>
      <c r="B7178">
        <v>1.69492</v>
      </c>
      <c r="C7178">
        <v>34.1143</v>
      </c>
      <c r="D7178">
        <v>-13.365500000000001</v>
      </c>
      <c r="E7178" t="s">
        <v>10720</v>
      </c>
      <c r="F7178" t="s">
        <v>10721</v>
      </c>
      <c r="G7178" t="s">
        <v>37</v>
      </c>
      <c r="H7178">
        <v>2004</v>
      </c>
      <c r="I7178">
        <v>22.4</v>
      </c>
      <c r="J7178">
        <v>10.5</v>
      </c>
      <c r="K7178">
        <v>57</v>
      </c>
      <c r="L7178">
        <v>23.98</v>
      </c>
      <c r="M7178">
        <v>30.8</v>
      </c>
      <c r="N7178">
        <v>12.4</v>
      </c>
      <c r="O7178">
        <v>18.399999999999999</v>
      </c>
      <c r="P7178">
        <v>24.1</v>
      </c>
      <c r="Q7178">
        <v>20.100000000000001</v>
      </c>
      <c r="R7178">
        <v>25.1</v>
      </c>
      <c r="S7178">
        <v>18.8</v>
      </c>
      <c r="T7178">
        <v>953</v>
      </c>
      <c r="U7178">
        <v>253</v>
      </c>
      <c r="V7178">
        <v>0</v>
      </c>
      <c r="W7178">
        <v>121</v>
      </c>
      <c r="X7178">
        <v>679</v>
      </c>
      <c r="Y7178">
        <v>1</v>
      </c>
      <c r="Z7178">
        <v>237</v>
      </c>
      <c r="AA7178">
        <v>5</v>
      </c>
      <c r="AB7178">
        <v>26.313839999999999</v>
      </c>
      <c r="AC7178">
        <v>1.13797E-2</v>
      </c>
      <c r="AD7178">
        <v>2.0599210000000001</v>
      </c>
      <c r="AE7178">
        <v>0.36108319999999999</v>
      </c>
      <c r="AF7178">
        <v>738.68299999999999</v>
      </c>
      <c r="AG7178">
        <f>IFERROR(AH7178*0.1, "N/A")</f>
        <v>5.989376</v>
      </c>
      <c r="AH7178">
        <v>59.89376</v>
      </c>
      <c r="AI7178">
        <v>99.072410000000005</v>
      </c>
      <c r="AJ7178">
        <v>22.472180000000002</v>
      </c>
      <c r="AK7178">
        <v>66</v>
      </c>
    </row>
    <row r="7179" spans="1:37" x14ac:dyDescent="0.3">
      <c r="A7179">
        <v>7178</v>
      </c>
      <c r="B7179">
        <v>22.033899999999999</v>
      </c>
      <c r="C7179">
        <v>34.1143</v>
      </c>
      <c r="D7179">
        <v>-13.365500000000001</v>
      </c>
      <c r="E7179" t="s">
        <v>10720</v>
      </c>
      <c r="F7179" t="s">
        <v>10722</v>
      </c>
      <c r="G7179" t="s">
        <v>39</v>
      </c>
      <c r="H7179">
        <v>2004</v>
      </c>
      <c r="I7179">
        <v>22.4</v>
      </c>
      <c r="J7179">
        <v>10.5</v>
      </c>
      <c r="K7179">
        <v>57</v>
      </c>
      <c r="L7179">
        <v>23.98</v>
      </c>
      <c r="M7179">
        <v>30.8</v>
      </c>
      <c r="N7179">
        <v>12.4</v>
      </c>
      <c r="O7179">
        <v>18.399999999999999</v>
      </c>
      <c r="P7179">
        <v>24.1</v>
      </c>
      <c r="Q7179">
        <v>20.100000000000001</v>
      </c>
      <c r="R7179">
        <v>25.1</v>
      </c>
      <c r="S7179">
        <v>18.8</v>
      </c>
      <c r="T7179">
        <v>953</v>
      </c>
      <c r="U7179">
        <v>253</v>
      </c>
      <c r="V7179">
        <v>0</v>
      </c>
      <c r="W7179">
        <v>121</v>
      </c>
      <c r="X7179">
        <v>679</v>
      </c>
      <c r="Y7179">
        <v>1</v>
      </c>
      <c r="Z7179">
        <v>237</v>
      </c>
      <c r="AA7179">
        <v>5</v>
      </c>
      <c r="AB7179">
        <v>26.313839999999999</v>
      </c>
      <c r="AC7179">
        <v>1.13797E-2</v>
      </c>
      <c r="AD7179">
        <v>2.0599210000000001</v>
      </c>
      <c r="AE7179">
        <v>0.36108319999999999</v>
      </c>
      <c r="AF7179">
        <v>738.68299999999999</v>
      </c>
      <c r="AG7179">
        <f>IFERROR(AH7179*0.1, "N/A")</f>
        <v>5.989376</v>
      </c>
      <c r="AH7179">
        <v>59.89376</v>
      </c>
      <c r="AI7179">
        <v>99.072410000000005</v>
      </c>
      <c r="AJ7179">
        <v>22.472180000000002</v>
      </c>
      <c r="AK7179">
        <v>66</v>
      </c>
    </row>
    <row r="7180" spans="1:37" x14ac:dyDescent="0.3">
      <c r="A7180">
        <v>7179</v>
      </c>
      <c r="B7180">
        <v>0</v>
      </c>
      <c r="C7180">
        <v>33.645600000000002</v>
      </c>
      <c r="D7180">
        <v>-13.081799999999999</v>
      </c>
      <c r="E7180" t="s">
        <v>10723</v>
      </c>
      <c r="F7180" t="s">
        <v>10724</v>
      </c>
      <c r="G7180" t="s">
        <v>37</v>
      </c>
      <c r="H7180">
        <v>2004</v>
      </c>
      <c r="I7180">
        <v>20.3</v>
      </c>
      <c r="J7180">
        <v>11</v>
      </c>
      <c r="K7180">
        <v>60</v>
      </c>
      <c r="L7180">
        <v>22.49</v>
      </c>
      <c r="M7180">
        <v>27.7</v>
      </c>
      <c r="N7180">
        <v>9.5</v>
      </c>
      <c r="O7180">
        <v>18.2</v>
      </c>
      <c r="P7180">
        <v>22.1</v>
      </c>
      <c r="Q7180">
        <v>17.899999999999999</v>
      </c>
      <c r="R7180">
        <v>22.4</v>
      </c>
      <c r="S7180">
        <v>16.8</v>
      </c>
      <c r="T7180">
        <v>868</v>
      </c>
      <c r="U7180">
        <v>222</v>
      </c>
      <c r="V7180">
        <v>0</v>
      </c>
      <c r="W7180">
        <v>120</v>
      </c>
      <c r="X7180">
        <v>625</v>
      </c>
      <c r="Y7180">
        <v>2</v>
      </c>
      <c r="Z7180">
        <v>238</v>
      </c>
      <c r="AA7180">
        <v>4</v>
      </c>
      <c r="AB7180">
        <v>9.4854199999999995</v>
      </c>
      <c r="AC7180">
        <v>3.7917590000000001E-2</v>
      </c>
      <c r="AD7180">
        <v>1.166873</v>
      </c>
      <c r="AE7180">
        <v>0.5934045</v>
      </c>
      <c r="AF7180">
        <v>1131.5329999999999</v>
      </c>
      <c r="AG7180">
        <f>IFERROR(AH7180*0.1, "N/A")</f>
        <v>6.4565370000000009</v>
      </c>
      <c r="AH7180">
        <v>64.565370000000001</v>
      </c>
      <c r="AI7180">
        <v>78.386899999999997</v>
      </c>
      <c r="AJ7180">
        <v>15.541600000000001</v>
      </c>
      <c r="AK7180">
        <v>76.567059999999998</v>
      </c>
    </row>
    <row r="7181" spans="1:37" x14ac:dyDescent="0.3">
      <c r="A7181">
        <v>7180</v>
      </c>
      <c r="B7181">
        <v>10</v>
      </c>
      <c r="C7181">
        <v>33.645600000000002</v>
      </c>
      <c r="D7181">
        <v>-13.081799999999999</v>
      </c>
      <c r="E7181" t="s">
        <v>10723</v>
      </c>
      <c r="F7181" t="s">
        <v>10725</v>
      </c>
      <c r="G7181" t="s">
        <v>39</v>
      </c>
      <c r="H7181">
        <v>2004</v>
      </c>
      <c r="I7181">
        <v>20.3</v>
      </c>
      <c r="J7181">
        <v>11</v>
      </c>
      <c r="K7181">
        <v>60</v>
      </c>
      <c r="L7181">
        <v>22.49</v>
      </c>
      <c r="M7181">
        <v>27.7</v>
      </c>
      <c r="N7181">
        <v>9.5</v>
      </c>
      <c r="O7181">
        <v>18.2</v>
      </c>
      <c r="P7181">
        <v>22.1</v>
      </c>
      <c r="Q7181">
        <v>17.899999999999999</v>
      </c>
      <c r="R7181">
        <v>22.4</v>
      </c>
      <c r="S7181">
        <v>16.8</v>
      </c>
      <c r="T7181">
        <v>868</v>
      </c>
      <c r="U7181">
        <v>222</v>
      </c>
      <c r="V7181">
        <v>0</v>
      </c>
      <c r="W7181">
        <v>120</v>
      </c>
      <c r="X7181">
        <v>625</v>
      </c>
      <c r="Y7181">
        <v>2</v>
      </c>
      <c r="Z7181">
        <v>238</v>
      </c>
      <c r="AA7181">
        <v>4</v>
      </c>
      <c r="AB7181">
        <v>9.4854199999999995</v>
      </c>
      <c r="AC7181">
        <v>3.7917590000000001E-2</v>
      </c>
      <c r="AD7181">
        <v>1.166873</v>
      </c>
      <c r="AE7181">
        <v>0.5934045</v>
      </c>
      <c r="AF7181">
        <v>1131.5329999999999</v>
      </c>
      <c r="AG7181">
        <f>IFERROR(AH7181*0.1, "N/A")</f>
        <v>6.4565370000000009</v>
      </c>
      <c r="AH7181">
        <v>64.565370000000001</v>
      </c>
      <c r="AI7181">
        <v>78.386899999999997</v>
      </c>
      <c r="AJ7181">
        <v>15.541600000000001</v>
      </c>
      <c r="AK7181">
        <v>76.567059999999998</v>
      </c>
    </row>
    <row r="7182" spans="1:37" x14ac:dyDescent="0.3">
      <c r="A7182">
        <v>7181</v>
      </c>
      <c r="B7182">
        <v>81.7</v>
      </c>
      <c r="C7182">
        <v>34.283299999999997</v>
      </c>
      <c r="D7182">
        <v>-12.916700000000001</v>
      </c>
      <c r="E7182" t="s">
        <v>10726</v>
      </c>
      <c r="F7182" t="s">
        <v>10727</v>
      </c>
      <c r="G7182" t="s">
        <v>39</v>
      </c>
      <c r="H7182">
        <v>1956</v>
      </c>
      <c r="I7182">
        <v>23.714939999999999</v>
      </c>
      <c r="J7182">
        <v>9.3000000000000007</v>
      </c>
      <c r="K7182">
        <v>56</v>
      </c>
      <c r="L7182">
        <v>20.913060000000002</v>
      </c>
      <c r="M7182">
        <v>31.697959999999998</v>
      </c>
      <c r="N7182">
        <v>15.09796</v>
      </c>
      <c r="O7182">
        <v>16.600000000000001</v>
      </c>
      <c r="P7182">
        <v>24.66452</v>
      </c>
      <c r="Q7182">
        <v>21.614940000000001</v>
      </c>
      <c r="R7182">
        <v>26.147200000000002</v>
      </c>
      <c r="S7182">
        <v>20.632259999999999</v>
      </c>
      <c r="T7182">
        <v>1497.088</v>
      </c>
      <c r="U7182">
        <v>357.96769999999998</v>
      </c>
      <c r="V7182">
        <v>1.334465</v>
      </c>
      <c r="W7182">
        <v>107.4958</v>
      </c>
      <c r="X7182">
        <v>947.95590000000004</v>
      </c>
      <c r="Y7182">
        <v>7.3344649999999998</v>
      </c>
      <c r="Z7182">
        <v>323.83019999999999</v>
      </c>
      <c r="AA7182">
        <v>15</v>
      </c>
      <c r="AB7182">
        <v>30.466560000000001</v>
      </c>
      <c r="AC7182">
        <v>1.6062920000000001E-2</v>
      </c>
      <c r="AD7182">
        <v>1.1317429999999999</v>
      </c>
      <c r="AE7182">
        <v>0.63288789999999995</v>
      </c>
      <c r="AF7182">
        <v>517.95929999999998</v>
      </c>
      <c r="AG7182">
        <f>IFERROR(AH7182*0.1, "N/A")</f>
        <v>5.8495759999999999</v>
      </c>
      <c r="AH7182">
        <v>58.495759999999997</v>
      </c>
      <c r="AI7182">
        <v>83.189490000000006</v>
      </c>
      <c r="AJ7182">
        <v>18</v>
      </c>
      <c r="AK7182">
        <v>71.504239999999996</v>
      </c>
    </row>
    <row r="7183" spans="1:37" x14ac:dyDescent="0.3">
      <c r="A7183">
        <v>7182</v>
      </c>
      <c r="B7183">
        <v>7.2</v>
      </c>
      <c r="C7183">
        <v>34.283299999999997</v>
      </c>
      <c r="D7183">
        <v>-12.916700000000001</v>
      </c>
      <c r="E7183" t="s">
        <v>10726</v>
      </c>
      <c r="F7183" t="s">
        <v>10728</v>
      </c>
      <c r="G7183" t="s">
        <v>37</v>
      </c>
      <c r="H7183">
        <v>1956</v>
      </c>
      <c r="I7183">
        <v>23.714939999999999</v>
      </c>
      <c r="J7183">
        <v>9.3000000000000007</v>
      </c>
      <c r="K7183">
        <v>56</v>
      </c>
      <c r="L7183">
        <v>20.913060000000002</v>
      </c>
      <c r="M7183">
        <v>31.697959999999998</v>
      </c>
      <c r="N7183">
        <v>15.09796</v>
      </c>
      <c r="O7183">
        <v>16.600000000000001</v>
      </c>
      <c r="P7183">
        <v>24.66452</v>
      </c>
      <c r="Q7183">
        <v>21.614940000000001</v>
      </c>
      <c r="R7183">
        <v>26.147200000000002</v>
      </c>
      <c r="S7183">
        <v>20.632259999999999</v>
      </c>
      <c r="T7183">
        <v>1497.088</v>
      </c>
      <c r="U7183">
        <v>357.96769999999998</v>
      </c>
      <c r="V7183">
        <v>1.334465</v>
      </c>
      <c r="W7183">
        <v>107.4958</v>
      </c>
      <c r="X7183">
        <v>947.95590000000004</v>
      </c>
      <c r="Y7183">
        <v>7.3344649999999998</v>
      </c>
      <c r="Z7183">
        <v>323.83019999999999</v>
      </c>
      <c r="AA7183">
        <v>15</v>
      </c>
      <c r="AB7183">
        <v>30.466560000000001</v>
      </c>
      <c r="AC7183">
        <v>1.6062920000000001E-2</v>
      </c>
      <c r="AD7183">
        <v>1.1317429999999999</v>
      </c>
      <c r="AE7183">
        <v>0.63288789999999995</v>
      </c>
      <c r="AF7183">
        <v>517.95929999999998</v>
      </c>
      <c r="AG7183">
        <f>IFERROR(AH7183*0.1, "N/A")</f>
        <v>5.8495759999999999</v>
      </c>
      <c r="AH7183">
        <v>58.495759999999997</v>
      </c>
      <c r="AI7183">
        <v>83.189490000000006</v>
      </c>
      <c r="AJ7183">
        <v>18</v>
      </c>
      <c r="AK7183">
        <v>71.504239999999996</v>
      </c>
    </row>
    <row r="7184" spans="1:37" x14ac:dyDescent="0.3">
      <c r="A7184">
        <v>7183</v>
      </c>
      <c r="B7184">
        <v>42</v>
      </c>
      <c r="C7184">
        <v>33.5167</v>
      </c>
      <c r="D7184">
        <v>-12.566700000000001</v>
      </c>
      <c r="E7184" t="s">
        <v>10729</v>
      </c>
      <c r="F7184" t="s">
        <v>10730</v>
      </c>
      <c r="G7184" t="s">
        <v>39</v>
      </c>
      <c r="H7184">
        <v>1985</v>
      </c>
      <c r="I7184">
        <v>20.062860000000001</v>
      </c>
      <c r="J7184">
        <v>11.5</v>
      </c>
      <c r="K7184">
        <v>58.628619999999998</v>
      </c>
      <c r="L7184">
        <v>22.869109999999999</v>
      </c>
      <c r="M7184">
        <v>28.3293</v>
      </c>
      <c r="N7184">
        <v>8.8628619999999998</v>
      </c>
      <c r="O7184">
        <v>19.466439999999999</v>
      </c>
      <c r="P7184">
        <v>21.76286</v>
      </c>
      <c r="Q7184">
        <v>17.7</v>
      </c>
      <c r="R7184">
        <v>22.3</v>
      </c>
      <c r="S7184">
        <v>16.54787</v>
      </c>
      <c r="T7184">
        <v>937.678</v>
      </c>
      <c r="U7184">
        <v>229.22829999999999</v>
      </c>
      <c r="V7184">
        <v>0</v>
      </c>
      <c r="W7184">
        <v>113.2283</v>
      </c>
      <c r="X7184">
        <v>636.37819999999999</v>
      </c>
      <c r="Y7184">
        <v>2</v>
      </c>
      <c r="Z7184">
        <v>261</v>
      </c>
      <c r="AA7184">
        <v>3</v>
      </c>
      <c r="AB7184">
        <v>7.7285760000000003</v>
      </c>
      <c r="AC7184">
        <v>1.9154190000000001E-2</v>
      </c>
      <c r="AD7184">
        <v>1.214877</v>
      </c>
      <c r="AE7184">
        <v>0.69585010000000003</v>
      </c>
      <c r="AF7184">
        <v>1191.4680000000001</v>
      </c>
      <c r="AG7184">
        <f>IFERROR(AH7184*0.1, "N/A")</f>
        <v>6.0529809999999999</v>
      </c>
      <c r="AH7184">
        <v>60.529809999999998</v>
      </c>
      <c r="AI7184">
        <v>89.584149999999994</v>
      </c>
      <c r="AJ7184">
        <v>19.972740000000002</v>
      </c>
      <c r="AK7184">
        <v>71.483819999999994</v>
      </c>
    </row>
    <row r="7185" spans="1:37" x14ac:dyDescent="0.3">
      <c r="A7185">
        <v>7184</v>
      </c>
      <c r="B7185">
        <v>73.900000000000006</v>
      </c>
      <c r="C7185">
        <v>34.128700000000002</v>
      </c>
      <c r="D7185">
        <v>-12.538500000000001</v>
      </c>
      <c r="E7185" t="s">
        <v>10731</v>
      </c>
      <c r="F7185" t="s">
        <v>10732</v>
      </c>
      <c r="G7185" t="s">
        <v>37</v>
      </c>
      <c r="H7185">
        <v>1989</v>
      </c>
      <c r="I7185">
        <v>23.9</v>
      </c>
      <c r="J7185">
        <v>9.6999999999999993</v>
      </c>
      <c r="K7185">
        <v>58</v>
      </c>
      <c r="L7185">
        <v>20.56</v>
      </c>
      <c r="M7185">
        <v>31.6</v>
      </c>
      <c r="N7185">
        <v>14.9</v>
      </c>
      <c r="O7185">
        <v>16.7</v>
      </c>
      <c r="P7185">
        <v>24.9</v>
      </c>
      <c r="Q7185">
        <v>23.8</v>
      </c>
      <c r="R7185">
        <v>26.3</v>
      </c>
      <c r="S7185">
        <v>20.9</v>
      </c>
      <c r="T7185">
        <v>1461</v>
      </c>
      <c r="U7185">
        <v>329</v>
      </c>
      <c r="V7185">
        <v>2</v>
      </c>
      <c r="W7185">
        <v>103</v>
      </c>
      <c r="X7185">
        <v>898</v>
      </c>
      <c r="Y7185">
        <v>10</v>
      </c>
      <c r="Z7185">
        <v>321</v>
      </c>
      <c r="AA7185">
        <v>21</v>
      </c>
      <c r="AB7185">
        <v>8.6729570000000002</v>
      </c>
      <c r="AC7185">
        <v>1.074725E-2</v>
      </c>
      <c r="AD7185">
        <v>1.9944930000000001</v>
      </c>
      <c r="AE7185">
        <v>0.2548629</v>
      </c>
      <c r="AF7185">
        <v>492.42349999999999</v>
      </c>
      <c r="AG7185">
        <f>IFERROR(AH7185*0.1, "N/A")</f>
        <v>6.0636049999999999</v>
      </c>
      <c r="AH7185">
        <v>60.636049999999997</v>
      </c>
      <c r="AI7185">
        <v>31.771329999999999</v>
      </c>
      <c r="AJ7185">
        <v>24.852039999999999</v>
      </c>
      <c r="AK7185">
        <v>58.336730000000003</v>
      </c>
    </row>
    <row r="7186" spans="1:37" x14ac:dyDescent="0.3">
      <c r="A7186">
        <v>7185</v>
      </c>
      <c r="B7186">
        <v>0</v>
      </c>
      <c r="C7186">
        <v>33.998100000000001</v>
      </c>
      <c r="D7186">
        <v>-12.2424</v>
      </c>
      <c r="E7186" t="s">
        <v>10733</v>
      </c>
      <c r="F7186" t="s">
        <v>10734</v>
      </c>
      <c r="G7186" t="s">
        <v>37</v>
      </c>
      <c r="H7186">
        <v>2004</v>
      </c>
      <c r="I7186">
        <v>23.9</v>
      </c>
      <c r="J7186">
        <v>10</v>
      </c>
      <c r="K7186">
        <v>58</v>
      </c>
      <c r="L7186">
        <v>20.34</v>
      </c>
      <c r="M7186">
        <v>31.6</v>
      </c>
      <c r="N7186">
        <v>14.5</v>
      </c>
      <c r="O7186">
        <v>17.100000000000001</v>
      </c>
      <c r="P7186">
        <v>25</v>
      </c>
      <c r="Q7186">
        <v>23.8</v>
      </c>
      <c r="R7186">
        <v>26.1</v>
      </c>
      <c r="S7186">
        <v>20.8</v>
      </c>
      <c r="T7186">
        <v>1545</v>
      </c>
      <c r="U7186">
        <v>343</v>
      </c>
      <c r="V7186">
        <v>2</v>
      </c>
      <c r="W7186">
        <v>97</v>
      </c>
      <c r="X7186">
        <v>887</v>
      </c>
      <c r="Y7186">
        <v>13</v>
      </c>
      <c r="Z7186">
        <v>343</v>
      </c>
      <c r="AA7186">
        <v>37</v>
      </c>
      <c r="AB7186">
        <v>12.11192</v>
      </c>
      <c r="AC7186">
        <v>1.054978E-2</v>
      </c>
      <c r="AD7186">
        <v>0.87864810000000004</v>
      </c>
      <c r="AE7186">
        <v>0.39877449999999998</v>
      </c>
      <c r="AF7186">
        <v>490.03579999999999</v>
      </c>
      <c r="AG7186">
        <f>IFERROR(AH7186*0.1, "N/A")</f>
        <v>5.9659280000000008</v>
      </c>
      <c r="AH7186">
        <v>59.659280000000003</v>
      </c>
      <c r="AI7186">
        <v>200.43119999999999</v>
      </c>
      <c r="AJ7186">
        <v>27.190799999999999</v>
      </c>
      <c r="AK7186">
        <v>57.938670000000002</v>
      </c>
    </row>
    <row r="7187" spans="1:37" x14ac:dyDescent="0.3">
      <c r="A7187">
        <v>7186</v>
      </c>
      <c r="B7187">
        <v>3.3333300000000001</v>
      </c>
      <c r="C7187">
        <v>33.998100000000001</v>
      </c>
      <c r="D7187">
        <v>-12.2424</v>
      </c>
      <c r="E7187" t="s">
        <v>10733</v>
      </c>
      <c r="F7187" t="s">
        <v>10735</v>
      </c>
      <c r="G7187" t="s">
        <v>39</v>
      </c>
      <c r="H7187">
        <v>2004</v>
      </c>
      <c r="I7187">
        <v>23.9</v>
      </c>
      <c r="J7187">
        <v>10</v>
      </c>
      <c r="K7187">
        <v>58</v>
      </c>
      <c r="L7187">
        <v>20.34</v>
      </c>
      <c r="M7187">
        <v>31.6</v>
      </c>
      <c r="N7187">
        <v>14.5</v>
      </c>
      <c r="O7187">
        <v>17.100000000000001</v>
      </c>
      <c r="P7187">
        <v>25</v>
      </c>
      <c r="Q7187">
        <v>23.8</v>
      </c>
      <c r="R7187">
        <v>26.1</v>
      </c>
      <c r="S7187">
        <v>20.8</v>
      </c>
      <c r="T7187">
        <v>1545</v>
      </c>
      <c r="U7187">
        <v>343</v>
      </c>
      <c r="V7187">
        <v>2</v>
      </c>
      <c r="W7187">
        <v>97</v>
      </c>
      <c r="X7187">
        <v>887</v>
      </c>
      <c r="Y7187">
        <v>13</v>
      </c>
      <c r="Z7187">
        <v>343</v>
      </c>
      <c r="AA7187">
        <v>37</v>
      </c>
      <c r="AB7187">
        <v>12.11192</v>
      </c>
      <c r="AC7187">
        <v>1.054978E-2</v>
      </c>
      <c r="AD7187">
        <v>0.87864810000000004</v>
      </c>
      <c r="AE7187">
        <v>0.39877449999999998</v>
      </c>
      <c r="AF7187">
        <v>490.03579999999999</v>
      </c>
      <c r="AG7187">
        <f>IFERROR(AH7187*0.1, "N/A")</f>
        <v>5.9659280000000008</v>
      </c>
      <c r="AH7187">
        <v>59.659280000000003</v>
      </c>
      <c r="AI7187">
        <v>200.43119999999999</v>
      </c>
      <c r="AJ7187">
        <v>27.190799999999999</v>
      </c>
      <c r="AK7187">
        <v>57.938670000000002</v>
      </c>
    </row>
    <row r="7188" spans="1:37" x14ac:dyDescent="0.3">
      <c r="A7188">
        <v>7187</v>
      </c>
      <c r="B7188">
        <v>27.1</v>
      </c>
      <c r="C7188">
        <v>34.733199999999997</v>
      </c>
      <c r="D7188">
        <v>-12.0693</v>
      </c>
      <c r="E7188" t="s">
        <v>10736</v>
      </c>
      <c r="F7188" t="s">
        <v>10737</v>
      </c>
      <c r="G7188" t="s">
        <v>39</v>
      </c>
      <c r="H7188">
        <v>2006</v>
      </c>
      <c r="I7188">
        <v>25.048549999999999</v>
      </c>
      <c r="J7188">
        <v>8.4628619999999994</v>
      </c>
      <c r="K7188">
        <v>57</v>
      </c>
      <c r="L7188">
        <v>17.47174</v>
      </c>
      <c r="M7188">
        <v>32.074280000000002</v>
      </c>
      <c r="N7188">
        <v>17.285689999999999</v>
      </c>
      <c r="O7188">
        <v>14.788589999999999</v>
      </c>
      <c r="P7188">
        <v>25.374279999999999</v>
      </c>
      <c r="Q7188">
        <v>23.285689999999999</v>
      </c>
      <c r="R7188">
        <v>27.211410000000001</v>
      </c>
      <c r="S7188">
        <v>22.485690000000002</v>
      </c>
      <c r="T7188">
        <v>1226.8009999999999</v>
      </c>
      <c r="U7188">
        <v>344.37139999999999</v>
      </c>
      <c r="V7188">
        <v>2</v>
      </c>
      <c r="W7188">
        <v>117.37139999999999</v>
      </c>
      <c r="X7188">
        <v>847.88589999999999</v>
      </c>
      <c r="Y7188">
        <v>7</v>
      </c>
      <c r="Z7188">
        <v>269.1431</v>
      </c>
      <c r="AA7188">
        <v>10</v>
      </c>
      <c r="AB7188">
        <v>4.7538340000000003</v>
      </c>
      <c r="AC7188">
        <v>0.2471159</v>
      </c>
      <c r="AD7188">
        <v>3.374593</v>
      </c>
      <c r="AE7188">
        <v>0.30080180000000001</v>
      </c>
      <c r="AF7188">
        <v>499.19760000000002</v>
      </c>
      <c r="AG7188">
        <f>IFERROR(AH7188*0.1, "N/A")</f>
        <v>5.7122660000000005</v>
      </c>
      <c r="AH7188">
        <v>57.122660000000003</v>
      </c>
      <c r="AI7188">
        <v>63.278579999999998</v>
      </c>
      <c r="AJ7188">
        <v>21.53322</v>
      </c>
      <c r="AK7188">
        <v>61.616700000000002</v>
      </c>
    </row>
    <row r="7189" spans="1:37" x14ac:dyDescent="0.3">
      <c r="A7189">
        <v>7188</v>
      </c>
      <c r="B7189">
        <v>0</v>
      </c>
      <c r="C7189">
        <v>34.7333</v>
      </c>
      <c r="D7189">
        <v>-12.0672</v>
      </c>
      <c r="E7189" t="s">
        <v>10738</v>
      </c>
      <c r="F7189" t="s">
        <v>10739</v>
      </c>
      <c r="G7189" t="s">
        <v>39</v>
      </c>
      <c r="H7189">
        <v>1954</v>
      </c>
      <c r="I7189">
        <v>25.02</v>
      </c>
      <c r="J7189">
        <v>8.4738980000000002</v>
      </c>
      <c r="K7189">
        <v>57.193219999999997</v>
      </c>
      <c r="L7189">
        <v>17.31549</v>
      </c>
      <c r="M7189">
        <v>32.00797</v>
      </c>
      <c r="N7189">
        <v>17.244240000000001</v>
      </c>
      <c r="O7189">
        <v>14.763730000000001</v>
      </c>
      <c r="P7189">
        <v>25.327290000000001</v>
      </c>
      <c r="Q7189">
        <v>23.246099999999998</v>
      </c>
      <c r="R7189">
        <v>27.153390000000002</v>
      </c>
      <c r="S7189">
        <v>22.465420000000002</v>
      </c>
      <c r="T7189">
        <v>1229.5730000000001</v>
      </c>
      <c r="U7189">
        <v>343.39490000000001</v>
      </c>
      <c r="V7189">
        <v>2</v>
      </c>
      <c r="W7189">
        <v>117.0305</v>
      </c>
      <c r="X7189">
        <v>848.04240000000004</v>
      </c>
      <c r="Y7189">
        <v>7</v>
      </c>
      <c r="Z7189">
        <v>270.1746</v>
      </c>
      <c r="AA7189">
        <v>10.21186</v>
      </c>
      <c r="AB7189">
        <v>18.550360000000001</v>
      </c>
      <c r="AC7189">
        <v>3.2543599999999999E-2</v>
      </c>
      <c r="AD7189">
        <v>3.2058439999999999</v>
      </c>
      <c r="AE7189">
        <v>0.30080180000000001</v>
      </c>
      <c r="AF7189">
        <v>502.08640000000003</v>
      </c>
      <c r="AG7189">
        <f>IFERROR(AH7189*0.1, "N/A")</f>
        <v>5.6594920000000002</v>
      </c>
      <c r="AH7189">
        <v>56.594920000000002</v>
      </c>
      <c r="AI7189">
        <v>100.3836</v>
      </c>
      <c r="AJ7189">
        <v>22.549150000000001</v>
      </c>
      <c r="AK7189">
        <v>61.261020000000002</v>
      </c>
    </row>
    <row r="7190" spans="1:37" x14ac:dyDescent="0.3">
      <c r="A7190">
        <v>7189</v>
      </c>
      <c r="B7190">
        <v>30.6</v>
      </c>
      <c r="C7190">
        <v>34.624400000000001</v>
      </c>
      <c r="D7190">
        <v>-12.018000000000001</v>
      </c>
      <c r="E7190" t="s">
        <v>10740</v>
      </c>
      <c r="F7190" t="s">
        <v>10741</v>
      </c>
      <c r="G7190" t="s">
        <v>39</v>
      </c>
      <c r="H7190">
        <v>2006</v>
      </c>
      <c r="I7190">
        <v>25</v>
      </c>
      <c r="J7190">
        <v>8.6710879999999992</v>
      </c>
      <c r="K7190">
        <v>58</v>
      </c>
      <c r="L7190">
        <v>17.522649999999999</v>
      </c>
      <c r="M7190">
        <v>32.071089999999998</v>
      </c>
      <c r="N7190">
        <v>17.128910000000001</v>
      </c>
      <c r="O7190">
        <v>14.94218</v>
      </c>
      <c r="P7190">
        <v>25.428909999999998</v>
      </c>
      <c r="Q7190">
        <v>23.228909999999999</v>
      </c>
      <c r="R7190">
        <v>27.128910000000001</v>
      </c>
      <c r="S7190">
        <v>22.4</v>
      </c>
      <c r="T7190">
        <v>1313.1089999999999</v>
      </c>
      <c r="U7190">
        <v>321.28910000000002</v>
      </c>
      <c r="V7190">
        <v>2</v>
      </c>
      <c r="W7190">
        <v>107.2891</v>
      </c>
      <c r="X7190">
        <v>852.42179999999996</v>
      </c>
      <c r="Y7190">
        <v>11.71088</v>
      </c>
      <c r="Z7190">
        <v>293.42180000000002</v>
      </c>
      <c r="AA7190">
        <v>19.421769999999999</v>
      </c>
      <c r="AB7190">
        <v>111.1465</v>
      </c>
      <c r="AC7190">
        <v>8.9615800000000002E-3</v>
      </c>
      <c r="AD7190">
        <v>14.57438</v>
      </c>
      <c r="AE7190">
        <v>0.28976879999999999</v>
      </c>
      <c r="AF7190">
        <v>618.25509999999997</v>
      </c>
      <c r="AG7190">
        <f>IFERROR(AH7190*0.1, "N/A")</f>
        <v>5.8552720000000003</v>
      </c>
      <c r="AH7190">
        <v>58.552720000000001</v>
      </c>
      <c r="AI7190">
        <v>82.305459999999997</v>
      </c>
      <c r="AJ7190">
        <v>27.20748</v>
      </c>
      <c r="AK7190">
        <v>51.474490000000003</v>
      </c>
    </row>
    <row r="7191" spans="1:37" x14ac:dyDescent="0.3">
      <c r="A7191">
        <v>7190</v>
      </c>
      <c r="B7191">
        <v>0</v>
      </c>
      <c r="C7191">
        <v>33.4405</v>
      </c>
      <c r="D7191">
        <v>-11.938000000000001</v>
      </c>
      <c r="E7191" t="s">
        <v>10742</v>
      </c>
      <c r="F7191" t="s">
        <v>10743</v>
      </c>
      <c r="G7191" t="s">
        <v>37</v>
      </c>
      <c r="H7191">
        <v>2004</v>
      </c>
      <c r="I7191">
        <v>20.3</v>
      </c>
      <c r="J7191">
        <v>11.7</v>
      </c>
      <c r="K7191">
        <v>58</v>
      </c>
      <c r="L7191">
        <v>21.5</v>
      </c>
      <c r="M7191">
        <v>29.3</v>
      </c>
      <c r="N7191">
        <v>9.4</v>
      </c>
      <c r="O7191">
        <v>19.899999999999999</v>
      </c>
      <c r="P7191">
        <v>21.6</v>
      </c>
      <c r="Q7191">
        <v>17.2</v>
      </c>
      <c r="R7191">
        <v>22.7</v>
      </c>
      <c r="S7191">
        <v>17.2</v>
      </c>
      <c r="T7191">
        <v>911</v>
      </c>
      <c r="U7191">
        <v>222</v>
      </c>
      <c r="V7191">
        <v>0</v>
      </c>
      <c r="W7191">
        <v>114</v>
      </c>
      <c r="X7191">
        <v>608</v>
      </c>
      <c r="Y7191">
        <v>3</v>
      </c>
      <c r="Z7191">
        <v>255</v>
      </c>
      <c r="AA7191">
        <v>3</v>
      </c>
      <c r="AB7191">
        <v>16.027329999999999</v>
      </c>
      <c r="AC7191">
        <v>1.529109E-2</v>
      </c>
      <c r="AD7191">
        <v>2.0279940000000001</v>
      </c>
      <c r="AE7191">
        <v>0.65992450000000002</v>
      </c>
      <c r="AF7191">
        <v>1243.6210000000001</v>
      </c>
      <c r="AG7191">
        <f>IFERROR(AH7191*0.1, "N/A")</f>
        <v>6.1049490000000004</v>
      </c>
      <c r="AH7191">
        <v>61.049489999999999</v>
      </c>
      <c r="AI7191">
        <v>141.9272</v>
      </c>
      <c r="AJ7191">
        <v>21.950510000000001</v>
      </c>
      <c r="AK7191">
        <v>69.098979999999997</v>
      </c>
    </row>
    <row r="7192" spans="1:37" x14ac:dyDescent="0.3">
      <c r="A7192">
        <v>7191</v>
      </c>
      <c r="B7192">
        <v>7.2463800000000003</v>
      </c>
      <c r="C7192">
        <v>33.4405</v>
      </c>
      <c r="D7192">
        <v>-11.938000000000001</v>
      </c>
      <c r="E7192" t="s">
        <v>10742</v>
      </c>
      <c r="F7192" t="s">
        <v>10744</v>
      </c>
      <c r="G7192" t="s">
        <v>39</v>
      </c>
      <c r="H7192">
        <v>2004</v>
      </c>
      <c r="I7192">
        <v>20.3</v>
      </c>
      <c r="J7192">
        <v>11.7</v>
      </c>
      <c r="K7192">
        <v>58</v>
      </c>
      <c r="L7192">
        <v>21.5</v>
      </c>
      <c r="M7192">
        <v>29.3</v>
      </c>
      <c r="N7192">
        <v>9.4</v>
      </c>
      <c r="O7192">
        <v>19.899999999999999</v>
      </c>
      <c r="P7192">
        <v>21.6</v>
      </c>
      <c r="Q7192">
        <v>17.2</v>
      </c>
      <c r="R7192">
        <v>22.7</v>
      </c>
      <c r="S7192">
        <v>17.2</v>
      </c>
      <c r="T7192">
        <v>911</v>
      </c>
      <c r="U7192">
        <v>222</v>
      </c>
      <c r="V7192">
        <v>0</v>
      </c>
      <c r="W7192">
        <v>114</v>
      </c>
      <c r="X7192">
        <v>608</v>
      </c>
      <c r="Y7192">
        <v>3</v>
      </c>
      <c r="Z7192">
        <v>255</v>
      </c>
      <c r="AA7192">
        <v>3</v>
      </c>
      <c r="AB7192">
        <v>16.027329999999999</v>
      </c>
      <c r="AC7192">
        <v>1.529109E-2</v>
      </c>
      <c r="AD7192">
        <v>2.0279940000000001</v>
      </c>
      <c r="AE7192">
        <v>0.65992450000000002</v>
      </c>
      <c r="AF7192">
        <v>1243.6210000000001</v>
      </c>
      <c r="AG7192">
        <f>IFERROR(AH7192*0.1, "N/A")</f>
        <v>6.1049490000000004</v>
      </c>
      <c r="AH7192">
        <v>61.049489999999999</v>
      </c>
      <c r="AI7192">
        <v>141.9272</v>
      </c>
      <c r="AJ7192">
        <v>21.950510000000001</v>
      </c>
      <c r="AK7192">
        <v>69.098979999999997</v>
      </c>
    </row>
    <row r="7193" spans="1:37" x14ac:dyDescent="0.3">
      <c r="A7193">
        <v>7192</v>
      </c>
      <c r="B7193">
        <v>65.5</v>
      </c>
      <c r="C7193">
        <v>34.166699999999999</v>
      </c>
      <c r="D7193">
        <v>-11.833299999999999</v>
      </c>
      <c r="E7193" t="s">
        <v>10745</v>
      </c>
      <c r="F7193" t="s">
        <v>10746</v>
      </c>
      <c r="G7193" t="s">
        <v>39</v>
      </c>
      <c r="H7193">
        <v>1956</v>
      </c>
      <c r="I7193">
        <v>23.823509999999999</v>
      </c>
      <c r="J7193">
        <v>9.6</v>
      </c>
      <c r="K7193">
        <v>58.659280000000003</v>
      </c>
      <c r="L7193">
        <v>19.478020000000001</v>
      </c>
      <c r="M7193">
        <v>31.07854</v>
      </c>
      <c r="N7193">
        <v>14.84446</v>
      </c>
      <c r="O7193">
        <v>16.234069999999999</v>
      </c>
      <c r="P7193">
        <v>24.723510000000001</v>
      </c>
      <c r="Q7193">
        <v>23.46848</v>
      </c>
      <c r="R7193">
        <v>25.823509999999999</v>
      </c>
      <c r="S7193">
        <v>20.823509999999999</v>
      </c>
      <c r="T7193">
        <v>1997.4380000000001</v>
      </c>
      <c r="U7193">
        <v>440.57580000000002</v>
      </c>
      <c r="V7193">
        <v>4</v>
      </c>
      <c r="W7193">
        <v>88</v>
      </c>
      <c r="X7193">
        <v>1051.2829999999999</v>
      </c>
      <c r="Y7193">
        <v>26</v>
      </c>
      <c r="Z7193">
        <v>429</v>
      </c>
      <c r="AA7193">
        <v>92.684839999999994</v>
      </c>
      <c r="AB7193">
        <v>8.2188979999999994</v>
      </c>
      <c r="AC7193">
        <v>1.230507E-2</v>
      </c>
      <c r="AD7193">
        <v>2.3122790000000002</v>
      </c>
      <c r="AE7193">
        <v>0.54137900000000005</v>
      </c>
      <c r="AF7193">
        <v>502.60309999999998</v>
      </c>
      <c r="AG7193">
        <f>IFERROR(AH7193*0.1, "N/A")</f>
        <v>5.7659280000000006</v>
      </c>
      <c r="AH7193">
        <v>57.659280000000003</v>
      </c>
      <c r="AI7193">
        <v>270.59289999999999</v>
      </c>
      <c r="AJ7193">
        <v>24.659279999999999</v>
      </c>
      <c r="AK7193">
        <v>60.659280000000003</v>
      </c>
    </row>
    <row r="7194" spans="1:37" x14ac:dyDescent="0.3">
      <c r="A7194">
        <v>7193</v>
      </c>
      <c r="B7194">
        <v>1.2</v>
      </c>
      <c r="C7194">
        <v>34.166699999999999</v>
      </c>
      <c r="D7194">
        <v>-11.833299999999999</v>
      </c>
      <c r="E7194" t="s">
        <v>10745</v>
      </c>
      <c r="F7194" t="s">
        <v>10747</v>
      </c>
      <c r="G7194" t="s">
        <v>37</v>
      </c>
      <c r="H7194">
        <v>1956</v>
      </c>
      <c r="I7194">
        <v>23.823509999999999</v>
      </c>
      <c r="J7194">
        <v>9.6</v>
      </c>
      <c r="K7194">
        <v>58.659280000000003</v>
      </c>
      <c r="L7194">
        <v>19.478020000000001</v>
      </c>
      <c r="M7194">
        <v>31.07854</v>
      </c>
      <c r="N7194">
        <v>14.84446</v>
      </c>
      <c r="O7194">
        <v>16.234069999999999</v>
      </c>
      <c r="P7194">
        <v>24.723510000000001</v>
      </c>
      <c r="Q7194">
        <v>23.46848</v>
      </c>
      <c r="R7194">
        <v>25.823509999999999</v>
      </c>
      <c r="S7194">
        <v>20.823509999999999</v>
      </c>
      <c r="T7194">
        <v>1997.4380000000001</v>
      </c>
      <c r="U7194">
        <v>440.57580000000002</v>
      </c>
      <c r="V7194">
        <v>4</v>
      </c>
      <c r="W7194">
        <v>88</v>
      </c>
      <c r="X7194">
        <v>1051.2829999999999</v>
      </c>
      <c r="Y7194">
        <v>26</v>
      </c>
      <c r="Z7194">
        <v>429</v>
      </c>
      <c r="AA7194">
        <v>92.684839999999994</v>
      </c>
      <c r="AB7194">
        <v>8.2188979999999994</v>
      </c>
      <c r="AC7194">
        <v>1.230507E-2</v>
      </c>
      <c r="AD7194">
        <v>2.3122790000000002</v>
      </c>
      <c r="AE7194">
        <v>0.54137900000000005</v>
      </c>
      <c r="AF7194">
        <v>502.60309999999998</v>
      </c>
      <c r="AG7194">
        <f>IFERROR(AH7194*0.1, "N/A")</f>
        <v>5.7659280000000006</v>
      </c>
      <c r="AH7194">
        <v>57.659280000000003</v>
      </c>
      <c r="AI7194">
        <v>270.59289999999999</v>
      </c>
      <c r="AJ7194">
        <v>24.659279999999999</v>
      </c>
      <c r="AK7194">
        <v>60.659280000000003</v>
      </c>
    </row>
    <row r="7195" spans="1:37" x14ac:dyDescent="0.3">
      <c r="A7195">
        <v>7194</v>
      </c>
      <c r="B7195">
        <v>0</v>
      </c>
      <c r="C7195">
        <v>33.993099999999998</v>
      </c>
      <c r="D7195">
        <v>-11.455299999999999</v>
      </c>
      <c r="E7195" t="s">
        <v>10748</v>
      </c>
      <c r="F7195" t="s">
        <v>10749</v>
      </c>
      <c r="G7195" t="s">
        <v>37</v>
      </c>
      <c r="H7195">
        <v>2004</v>
      </c>
      <c r="I7195">
        <v>18.2</v>
      </c>
      <c r="J7195">
        <v>11.3</v>
      </c>
      <c r="K7195">
        <v>56</v>
      </c>
      <c r="L7195">
        <v>27.62</v>
      </c>
      <c r="M7195">
        <v>27</v>
      </c>
      <c r="N7195">
        <v>6.9</v>
      </c>
      <c r="O7195">
        <v>20.100000000000001</v>
      </c>
      <c r="P7195">
        <v>20.5</v>
      </c>
      <c r="Q7195">
        <v>14.9</v>
      </c>
      <c r="R7195">
        <v>20.8</v>
      </c>
      <c r="S7195">
        <v>14</v>
      </c>
      <c r="T7195">
        <v>1190</v>
      </c>
      <c r="U7195">
        <v>216</v>
      </c>
      <c r="V7195">
        <v>8</v>
      </c>
      <c r="W7195">
        <v>82</v>
      </c>
      <c r="X7195">
        <v>612</v>
      </c>
      <c r="Y7195">
        <v>35</v>
      </c>
      <c r="Z7195">
        <v>473</v>
      </c>
      <c r="AA7195">
        <v>48</v>
      </c>
      <c r="AB7195">
        <v>24.490379999999998</v>
      </c>
      <c r="AC7195">
        <v>8.3808919999999992E-3</v>
      </c>
      <c r="AD7195">
        <v>1.7383960000000001</v>
      </c>
      <c r="AE7195">
        <v>0.61120129999999995</v>
      </c>
      <c r="AF7195">
        <v>1281.2449999999999</v>
      </c>
      <c r="AG7195">
        <f>IFERROR(AH7195*0.1, "N/A")</f>
        <v>6.3529110000000006</v>
      </c>
      <c r="AH7195">
        <v>63.529110000000003</v>
      </c>
      <c r="AI7195">
        <v>193.94919999999999</v>
      </c>
      <c r="AJ7195">
        <v>23</v>
      </c>
      <c r="AK7195">
        <v>63.470889999999997</v>
      </c>
    </row>
    <row r="7196" spans="1:37" x14ac:dyDescent="0.3">
      <c r="A7196">
        <v>7195</v>
      </c>
      <c r="B7196">
        <v>0</v>
      </c>
      <c r="C7196">
        <v>33.993099999999998</v>
      </c>
      <c r="D7196">
        <v>-11.455299999999999</v>
      </c>
      <c r="E7196" t="s">
        <v>10748</v>
      </c>
      <c r="F7196" t="s">
        <v>10750</v>
      </c>
      <c r="G7196" t="s">
        <v>39</v>
      </c>
      <c r="H7196">
        <v>2004</v>
      </c>
      <c r="I7196">
        <v>18.2</v>
      </c>
      <c r="J7196">
        <v>11.3</v>
      </c>
      <c r="K7196">
        <v>56</v>
      </c>
      <c r="L7196">
        <v>27.62</v>
      </c>
      <c r="M7196">
        <v>27</v>
      </c>
      <c r="N7196">
        <v>6.9</v>
      </c>
      <c r="O7196">
        <v>20.100000000000001</v>
      </c>
      <c r="P7196">
        <v>20.5</v>
      </c>
      <c r="Q7196">
        <v>14.9</v>
      </c>
      <c r="R7196">
        <v>20.8</v>
      </c>
      <c r="S7196">
        <v>14</v>
      </c>
      <c r="T7196">
        <v>1190</v>
      </c>
      <c r="U7196">
        <v>216</v>
      </c>
      <c r="V7196">
        <v>8</v>
      </c>
      <c r="W7196">
        <v>82</v>
      </c>
      <c r="X7196">
        <v>612</v>
      </c>
      <c r="Y7196">
        <v>35</v>
      </c>
      <c r="Z7196">
        <v>473</v>
      </c>
      <c r="AA7196">
        <v>48</v>
      </c>
      <c r="AB7196">
        <v>24.490379999999998</v>
      </c>
      <c r="AC7196">
        <v>8.3808919999999992E-3</v>
      </c>
      <c r="AD7196">
        <v>1.7383960000000001</v>
      </c>
      <c r="AE7196">
        <v>0.61120129999999995</v>
      </c>
      <c r="AF7196">
        <v>1281.2449999999999</v>
      </c>
      <c r="AG7196">
        <f>IFERROR(AH7196*0.1, "N/A")</f>
        <v>6.3529110000000006</v>
      </c>
      <c r="AH7196">
        <v>63.529110000000003</v>
      </c>
      <c r="AI7196">
        <v>193.94919999999999</v>
      </c>
      <c r="AJ7196">
        <v>23</v>
      </c>
      <c r="AK7196">
        <v>63.470889999999997</v>
      </c>
    </row>
    <row r="7197" spans="1:37" x14ac:dyDescent="0.3">
      <c r="A7197">
        <v>7196</v>
      </c>
      <c r="B7197">
        <v>0</v>
      </c>
      <c r="C7197">
        <v>33.630299999999998</v>
      </c>
      <c r="D7197">
        <v>-11.3169</v>
      </c>
      <c r="E7197" t="s">
        <v>10751</v>
      </c>
      <c r="F7197" t="s">
        <v>10752</v>
      </c>
      <c r="G7197" t="s">
        <v>37</v>
      </c>
      <c r="H7197">
        <v>2004</v>
      </c>
      <c r="I7197">
        <v>20.399999999999999</v>
      </c>
      <c r="J7197">
        <v>11.7</v>
      </c>
      <c r="K7197">
        <v>55</v>
      </c>
      <c r="L7197">
        <v>24.706689999999998</v>
      </c>
      <c r="M7197">
        <v>29.857849999999999</v>
      </c>
      <c r="N7197">
        <v>8.8000000000000007</v>
      </c>
      <c r="O7197">
        <v>21.057849999999998</v>
      </c>
      <c r="P7197">
        <v>22</v>
      </c>
      <c r="Q7197">
        <v>18</v>
      </c>
      <c r="R7197">
        <v>23.1</v>
      </c>
      <c r="S7197">
        <v>16.8</v>
      </c>
      <c r="T7197">
        <v>803.42150000000004</v>
      </c>
      <c r="U7197">
        <v>194</v>
      </c>
      <c r="V7197">
        <v>1</v>
      </c>
      <c r="W7197">
        <v>110.157</v>
      </c>
      <c r="X7197">
        <v>531.42150000000004</v>
      </c>
      <c r="Y7197">
        <v>6</v>
      </c>
      <c r="Z7197">
        <v>222</v>
      </c>
      <c r="AA7197">
        <v>7</v>
      </c>
      <c r="AB7197">
        <v>18.145060000000001</v>
      </c>
      <c r="AC7197">
        <v>1.0373790000000001E-2</v>
      </c>
      <c r="AD7197">
        <v>1.639737</v>
      </c>
      <c r="AE7197">
        <v>0.59953380000000001</v>
      </c>
      <c r="AF7197">
        <v>1241.019</v>
      </c>
      <c r="AG7197">
        <f>IFERROR(AH7197*0.1, "N/A")</f>
        <v>6.1000000000000005</v>
      </c>
      <c r="AH7197">
        <v>61</v>
      </c>
      <c r="AI7197">
        <v>225.47069999999999</v>
      </c>
      <c r="AJ7197">
        <v>18</v>
      </c>
      <c r="AK7197">
        <v>76</v>
      </c>
    </row>
    <row r="7198" spans="1:37" x14ac:dyDescent="0.3">
      <c r="A7198">
        <v>7197</v>
      </c>
      <c r="B7198">
        <v>0</v>
      </c>
      <c r="C7198">
        <v>33.630299999999998</v>
      </c>
      <c r="D7198">
        <v>-11.3169</v>
      </c>
      <c r="E7198" t="s">
        <v>10751</v>
      </c>
      <c r="F7198" t="s">
        <v>10753</v>
      </c>
      <c r="G7198" t="s">
        <v>39</v>
      </c>
      <c r="H7198">
        <v>2004</v>
      </c>
      <c r="I7198">
        <v>20.399999999999999</v>
      </c>
      <c r="J7198">
        <v>11.7</v>
      </c>
      <c r="K7198">
        <v>55</v>
      </c>
      <c r="L7198">
        <v>24.706689999999998</v>
      </c>
      <c r="M7198">
        <v>29.857849999999999</v>
      </c>
      <c r="N7198">
        <v>8.8000000000000007</v>
      </c>
      <c r="O7198">
        <v>21.057849999999998</v>
      </c>
      <c r="P7198">
        <v>22</v>
      </c>
      <c r="Q7198">
        <v>18</v>
      </c>
      <c r="R7198">
        <v>23.1</v>
      </c>
      <c r="S7198">
        <v>16.8</v>
      </c>
      <c r="T7198">
        <v>803.42150000000004</v>
      </c>
      <c r="U7198">
        <v>194</v>
      </c>
      <c r="V7198">
        <v>1</v>
      </c>
      <c r="W7198">
        <v>110.157</v>
      </c>
      <c r="X7198">
        <v>531.42150000000004</v>
      </c>
      <c r="Y7198">
        <v>6</v>
      </c>
      <c r="Z7198">
        <v>222</v>
      </c>
      <c r="AA7198">
        <v>7</v>
      </c>
      <c r="AB7198">
        <v>18.145060000000001</v>
      </c>
      <c r="AC7198">
        <v>1.0373790000000001E-2</v>
      </c>
      <c r="AD7198">
        <v>1.639737</v>
      </c>
      <c r="AE7198">
        <v>0.59953380000000001</v>
      </c>
      <c r="AF7198">
        <v>1241.019</v>
      </c>
      <c r="AG7198">
        <f>IFERROR(AH7198*0.1, "N/A")</f>
        <v>6.1000000000000005</v>
      </c>
      <c r="AH7198">
        <v>61</v>
      </c>
      <c r="AI7198">
        <v>225.47069999999999</v>
      </c>
      <c r="AJ7198">
        <v>18</v>
      </c>
      <c r="AK7198">
        <v>76</v>
      </c>
    </row>
    <row r="7199" spans="1:37" x14ac:dyDescent="0.3">
      <c r="A7199">
        <v>7198</v>
      </c>
      <c r="B7199">
        <v>0</v>
      </c>
      <c r="C7199">
        <v>34.0244</v>
      </c>
      <c r="D7199">
        <v>-10.871700000000001</v>
      </c>
      <c r="E7199" t="s">
        <v>10754</v>
      </c>
      <c r="F7199" t="s">
        <v>10755</v>
      </c>
      <c r="G7199" t="s">
        <v>37</v>
      </c>
      <c r="H7199">
        <v>2004</v>
      </c>
      <c r="I7199">
        <v>21.069179999999999</v>
      </c>
      <c r="J7199">
        <v>11.2</v>
      </c>
      <c r="K7199">
        <v>56</v>
      </c>
      <c r="L7199">
        <v>23.33</v>
      </c>
      <c r="M7199">
        <v>30</v>
      </c>
      <c r="N7199">
        <v>10.03459</v>
      </c>
      <c r="O7199">
        <v>19.965409999999999</v>
      </c>
      <c r="P7199">
        <v>22.269179999999999</v>
      </c>
      <c r="Q7199">
        <v>18.834589999999999</v>
      </c>
      <c r="R7199">
        <v>23.634589999999999</v>
      </c>
      <c r="S7199">
        <v>17.669180000000001</v>
      </c>
      <c r="T7199">
        <v>1080.729</v>
      </c>
      <c r="U7199">
        <v>217.3459</v>
      </c>
      <c r="V7199">
        <v>3</v>
      </c>
      <c r="W7199">
        <v>93</v>
      </c>
      <c r="X7199">
        <v>609.69179999999994</v>
      </c>
      <c r="Y7199">
        <v>15</v>
      </c>
      <c r="Z7199">
        <v>269.34589999999997</v>
      </c>
      <c r="AA7199">
        <v>23</v>
      </c>
      <c r="AB7199">
        <v>0.93047639999999998</v>
      </c>
      <c r="AC7199">
        <v>0.59022730000000001</v>
      </c>
      <c r="AD7199">
        <v>1.1247720000000001</v>
      </c>
      <c r="AE7199">
        <v>0.41714519999999999</v>
      </c>
      <c r="AF7199">
        <v>1025.68</v>
      </c>
      <c r="AG7199">
        <f>IFERROR(AH7199*0.1, "N/A")</f>
        <v>6.1486300000000007</v>
      </c>
      <c r="AH7199">
        <v>61.4863</v>
      </c>
      <c r="AI7199">
        <v>169.24010000000001</v>
      </c>
      <c r="AJ7199">
        <v>24.176369999999999</v>
      </c>
      <c r="AK7199">
        <v>63.140410000000003</v>
      </c>
    </row>
    <row r="7200" spans="1:37" x14ac:dyDescent="0.3">
      <c r="A7200">
        <v>7199</v>
      </c>
      <c r="B7200">
        <v>0</v>
      </c>
      <c r="C7200">
        <v>34.0244</v>
      </c>
      <c r="D7200">
        <v>-10.871700000000001</v>
      </c>
      <c r="E7200" t="s">
        <v>10754</v>
      </c>
      <c r="F7200" t="s">
        <v>10756</v>
      </c>
      <c r="G7200" t="s">
        <v>39</v>
      </c>
      <c r="H7200">
        <v>2004</v>
      </c>
      <c r="I7200">
        <v>21.069179999999999</v>
      </c>
      <c r="J7200">
        <v>11.2</v>
      </c>
      <c r="K7200">
        <v>56</v>
      </c>
      <c r="L7200">
        <v>23.33</v>
      </c>
      <c r="M7200">
        <v>30</v>
      </c>
      <c r="N7200">
        <v>10.03459</v>
      </c>
      <c r="O7200">
        <v>19.965409999999999</v>
      </c>
      <c r="P7200">
        <v>22.269179999999999</v>
      </c>
      <c r="Q7200">
        <v>18.834589999999999</v>
      </c>
      <c r="R7200">
        <v>23.634589999999999</v>
      </c>
      <c r="S7200">
        <v>17.669180000000001</v>
      </c>
      <c r="T7200">
        <v>1080.729</v>
      </c>
      <c r="U7200">
        <v>217.3459</v>
      </c>
      <c r="V7200">
        <v>3</v>
      </c>
      <c r="W7200">
        <v>93</v>
      </c>
      <c r="X7200">
        <v>609.69179999999994</v>
      </c>
      <c r="Y7200">
        <v>15</v>
      </c>
      <c r="Z7200">
        <v>269.34589999999997</v>
      </c>
      <c r="AA7200">
        <v>23</v>
      </c>
      <c r="AB7200">
        <v>0.93047639999999998</v>
      </c>
      <c r="AC7200">
        <v>0.59022730000000001</v>
      </c>
      <c r="AD7200">
        <v>1.1247720000000001</v>
      </c>
      <c r="AE7200">
        <v>0.41714519999999999</v>
      </c>
      <c r="AF7200">
        <v>1025.68</v>
      </c>
      <c r="AG7200">
        <f>IFERROR(AH7200*0.1, "N/A")</f>
        <v>6.1486300000000007</v>
      </c>
      <c r="AH7200">
        <v>61.4863</v>
      </c>
      <c r="AI7200">
        <v>169.24010000000001</v>
      </c>
      <c r="AJ7200">
        <v>24.176369999999999</v>
      </c>
      <c r="AK7200">
        <v>63.140410000000003</v>
      </c>
    </row>
    <row r="7201" spans="1:37" x14ac:dyDescent="0.3">
      <c r="A7201">
        <v>7200</v>
      </c>
      <c r="B7201">
        <v>0</v>
      </c>
      <c r="C7201">
        <v>33.484699999999997</v>
      </c>
      <c r="D7201">
        <v>-10.853300000000001</v>
      </c>
      <c r="E7201" t="s">
        <v>10757</v>
      </c>
      <c r="F7201" t="s">
        <v>10758</v>
      </c>
      <c r="G7201" t="s">
        <v>37</v>
      </c>
      <c r="H7201">
        <v>2004</v>
      </c>
      <c r="I7201">
        <v>21</v>
      </c>
      <c r="J7201">
        <v>11.5</v>
      </c>
      <c r="K7201">
        <v>54</v>
      </c>
      <c r="L7201">
        <v>24.4</v>
      </c>
      <c r="M7201">
        <v>30.8</v>
      </c>
      <c r="N7201">
        <v>9.6</v>
      </c>
      <c r="O7201">
        <v>21.2</v>
      </c>
      <c r="P7201">
        <v>22.2</v>
      </c>
      <c r="Q7201">
        <v>17.7</v>
      </c>
      <c r="R7201">
        <v>24</v>
      </c>
      <c r="S7201">
        <v>17.600000000000001</v>
      </c>
      <c r="T7201">
        <v>816</v>
      </c>
      <c r="U7201">
        <v>197</v>
      </c>
      <c r="V7201">
        <v>1</v>
      </c>
      <c r="W7201">
        <v>109</v>
      </c>
      <c r="X7201">
        <v>544</v>
      </c>
      <c r="Y7201">
        <v>5</v>
      </c>
      <c r="Z7201">
        <v>253</v>
      </c>
      <c r="AA7201">
        <v>15</v>
      </c>
      <c r="AB7201">
        <v>8.8611570000000004</v>
      </c>
      <c r="AC7201">
        <v>1.249625E-2</v>
      </c>
      <c r="AD7201">
        <v>1.222189</v>
      </c>
      <c r="AE7201">
        <v>0.33832279999999998</v>
      </c>
      <c r="AF7201">
        <v>1181.9590000000001</v>
      </c>
      <c r="AG7201">
        <f>IFERROR(AH7201*0.1, "N/A")</f>
        <v>5.9</v>
      </c>
      <c r="AH7201">
        <v>59</v>
      </c>
      <c r="AI7201">
        <v>218.01060000000001</v>
      </c>
      <c r="AJ7201">
        <v>27.051369999999999</v>
      </c>
      <c r="AK7201">
        <v>58.948630000000001</v>
      </c>
    </row>
    <row r="7202" spans="1:37" x14ac:dyDescent="0.3">
      <c r="A7202">
        <v>7201</v>
      </c>
      <c r="B7202">
        <v>0</v>
      </c>
      <c r="C7202">
        <v>33.484699999999997</v>
      </c>
      <c r="D7202">
        <v>-10.853300000000001</v>
      </c>
      <c r="E7202" t="s">
        <v>10757</v>
      </c>
      <c r="F7202" t="s">
        <v>10759</v>
      </c>
      <c r="G7202" t="s">
        <v>39</v>
      </c>
      <c r="H7202">
        <v>2004</v>
      </c>
      <c r="I7202">
        <v>21</v>
      </c>
      <c r="J7202">
        <v>11.5</v>
      </c>
      <c r="K7202">
        <v>54</v>
      </c>
      <c r="L7202">
        <v>24.4</v>
      </c>
      <c r="M7202">
        <v>30.8</v>
      </c>
      <c r="N7202">
        <v>9.6</v>
      </c>
      <c r="O7202">
        <v>21.2</v>
      </c>
      <c r="P7202">
        <v>22.2</v>
      </c>
      <c r="Q7202">
        <v>17.7</v>
      </c>
      <c r="R7202">
        <v>24</v>
      </c>
      <c r="S7202">
        <v>17.600000000000001</v>
      </c>
      <c r="T7202">
        <v>816</v>
      </c>
      <c r="U7202">
        <v>197</v>
      </c>
      <c r="V7202">
        <v>1</v>
      </c>
      <c r="W7202">
        <v>109</v>
      </c>
      <c r="X7202">
        <v>544</v>
      </c>
      <c r="Y7202">
        <v>5</v>
      </c>
      <c r="Z7202">
        <v>253</v>
      </c>
      <c r="AA7202">
        <v>15</v>
      </c>
      <c r="AB7202">
        <v>8.8611570000000004</v>
      </c>
      <c r="AC7202">
        <v>1.249625E-2</v>
      </c>
      <c r="AD7202">
        <v>1.222189</v>
      </c>
      <c r="AE7202">
        <v>0.33832279999999998</v>
      </c>
      <c r="AF7202">
        <v>1181.9590000000001</v>
      </c>
      <c r="AG7202">
        <f>IFERROR(AH7202*0.1, "N/A")</f>
        <v>5.9</v>
      </c>
      <c r="AH7202">
        <v>59</v>
      </c>
      <c r="AI7202">
        <v>218.01060000000001</v>
      </c>
      <c r="AJ7202">
        <v>27.051369999999999</v>
      </c>
      <c r="AK7202">
        <v>58.948630000000001</v>
      </c>
    </row>
    <row r="7203" spans="1:37" x14ac:dyDescent="0.3">
      <c r="A7203">
        <v>7202</v>
      </c>
      <c r="B7203">
        <v>11.7</v>
      </c>
      <c r="C7203">
        <v>34.188299999999998</v>
      </c>
      <c r="D7203">
        <v>-10.485799999999999</v>
      </c>
      <c r="E7203" t="s">
        <v>10760</v>
      </c>
      <c r="F7203" t="s">
        <v>10761</v>
      </c>
      <c r="G7203" t="s">
        <v>37</v>
      </c>
      <c r="H7203">
        <v>2002</v>
      </c>
      <c r="I7203">
        <v>24.5</v>
      </c>
      <c r="J7203">
        <v>10</v>
      </c>
      <c r="K7203">
        <v>58</v>
      </c>
      <c r="L7203">
        <v>19.71</v>
      </c>
      <c r="M7203">
        <v>32.299999999999997</v>
      </c>
      <c r="N7203">
        <v>15.2</v>
      </c>
      <c r="O7203">
        <v>17.100000000000001</v>
      </c>
      <c r="P7203">
        <v>25.5</v>
      </c>
      <c r="Q7203">
        <v>22.4</v>
      </c>
      <c r="R7203">
        <v>26.6</v>
      </c>
      <c r="S7203">
        <v>21.5</v>
      </c>
      <c r="T7203">
        <v>1028</v>
      </c>
      <c r="U7203">
        <v>240</v>
      </c>
      <c r="V7203">
        <v>1</v>
      </c>
      <c r="W7203">
        <v>103</v>
      </c>
      <c r="X7203">
        <v>634</v>
      </c>
      <c r="Y7203">
        <v>5</v>
      </c>
      <c r="Z7203">
        <v>218</v>
      </c>
      <c r="AA7203">
        <v>11</v>
      </c>
      <c r="AB7203">
        <v>4.2867540000000002</v>
      </c>
      <c r="AC7203">
        <v>1.007211E-2</v>
      </c>
      <c r="AD7203">
        <v>2.041385</v>
      </c>
      <c r="AE7203">
        <v>0.51576630000000001</v>
      </c>
      <c r="AF7203">
        <v>488.54910000000001</v>
      </c>
      <c r="AG7203">
        <f>IFERROR(AH7203*0.1, "N/A")</f>
        <v>6.27074</v>
      </c>
      <c r="AH7203">
        <v>62.7074</v>
      </c>
      <c r="AI7203">
        <v>165.5949</v>
      </c>
      <c r="AJ7203">
        <v>21.7074</v>
      </c>
      <c r="AK7203">
        <v>62.2926</v>
      </c>
    </row>
    <row r="7204" spans="1:37" x14ac:dyDescent="0.3">
      <c r="A7204">
        <v>7203</v>
      </c>
      <c r="B7204">
        <v>25</v>
      </c>
      <c r="C7204">
        <v>34.188299999999998</v>
      </c>
      <c r="D7204">
        <v>-10.485799999999999</v>
      </c>
      <c r="E7204" t="s">
        <v>10760</v>
      </c>
      <c r="F7204" t="s">
        <v>10762</v>
      </c>
      <c r="G7204" t="s">
        <v>39</v>
      </c>
      <c r="H7204">
        <v>2002</v>
      </c>
      <c r="I7204">
        <v>24.5</v>
      </c>
      <c r="J7204">
        <v>10</v>
      </c>
      <c r="K7204">
        <v>58</v>
      </c>
      <c r="L7204">
        <v>19.71</v>
      </c>
      <c r="M7204">
        <v>32.299999999999997</v>
      </c>
      <c r="N7204">
        <v>15.2</v>
      </c>
      <c r="O7204">
        <v>17.100000000000001</v>
      </c>
      <c r="P7204">
        <v>25.5</v>
      </c>
      <c r="Q7204">
        <v>22.4</v>
      </c>
      <c r="R7204">
        <v>26.6</v>
      </c>
      <c r="S7204">
        <v>21.5</v>
      </c>
      <c r="T7204">
        <v>1028</v>
      </c>
      <c r="U7204">
        <v>240</v>
      </c>
      <c r="V7204">
        <v>1</v>
      </c>
      <c r="W7204">
        <v>103</v>
      </c>
      <c r="X7204">
        <v>634</v>
      </c>
      <c r="Y7204">
        <v>5</v>
      </c>
      <c r="Z7204">
        <v>218</v>
      </c>
      <c r="AA7204">
        <v>11</v>
      </c>
      <c r="AB7204">
        <v>4.2867540000000002</v>
      </c>
      <c r="AC7204">
        <v>1.007211E-2</v>
      </c>
      <c r="AD7204">
        <v>2.041385</v>
      </c>
      <c r="AE7204">
        <v>0.51576630000000001</v>
      </c>
      <c r="AF7204">
        <v>488.54910000000001</v>
      </c>
      <c r="AG7204">
        <f>IFERROR(AH7204*0.1, "N/A")</f>
        <v>6.27074</v>
      </c>
      <c r="AH7204">
        <v>62.7074</v>
      </c>
      <c r="AI7204">
        <v>165.5949</v>
      </c>
      <c r="AJ7204">
        <v>21.7074</v>
      </c>
      <c r="AK7204">
        <v>62.2926</v>
      </c>
    </row>
    <row r="7205" spans="1:37" x14ac:dyDescent="0.3">
      <c r="A7205">
        <v>7204</v>
      </c>
      <c r="B7205">
        <v>5</v>
      </c>
      <c r="C7205">
        <v>34.250399999999999</v>
      </c>
      <c r="D7205">
        <v>-10.4335</v>
      </c>
      <c r="E7205" t="s">
        <v>10763</v>
      </c>
      <c r="F7205" t="s">
        <v>10764</v>
      </c>
      <c r="G7205" t="s">
        <v>37</v>
      </c>
      <c r="H7205">
        <v>2002</v>
      </c>
      <c r="I7205">
        <v>24.5</v>
      </c>
      <c r="J7205">
        <v>9.9</v>
      </c>
      <c r="K7205">
        <v>58</v>
      </c>
      <c r="L7205">
        <v>19.70815</v>
      </c>
      <c r="M7205">
        <v>32.299999999999997</v>
      </c>
      <c r="N7205">
        <v>15.3</v>
      </c>
      <c r="O7205">
        <v>17</v>
      </c>
      <c r="P7205">
        <v>25.578939999999999</v>
      </c>
      <c r="Q7205">
        <v>22.421060000000001</v>
      </c>
      <c r="R7205">
        <v>26.69932</v>
      </c>
      <c r="S7205">
        <v>21.536819999999999</v>
      </c>
      <c r="T7205">
        <v>1017.211</v>
      </c>
      <c r="U7205">
        <v>239.3682</v>
      </c>
      <c r="V7205">
        <v>1</v>
      </c>
      <c r="W7205">
        <v>105</v>
      </c>
      <c r="X7205">
        <v>638.15750000000003</v>
      </c>
      <c r="Y7205">
        <v>5</v>
      </c>
      <c r="Z7205">
        <v>209.2106</v>
      </c>
      <c r="AA7205">
        <v>10</v>
      </c>
      <c r="AB7205">
        <v>6.2111270000000003</v>
      </c>
      <c r="AC7205">
        <v>8.5244970000000007E-3</v>
      </c>
      <c r="AD7205">
        <v>1.968507</v>
      </c>
      <c r="AE7205">
        <v>0.65361440000000004</v>
      </c>
      <c r="AF7205">
        <v>483.41950000000003</v>
      </c>
      <c r="AG7205">
        <f>IFERROR(AH7205*0.1, "N/A")</f>
        <v>6.5429789999999999</v>
      </c>
      <c r="AH7205">
        <v>65.429789999999997</v>
      </c>
      <c r="AI7205">
        <v>213.4461</v>
      </c>
      <c r="AJ7205">
        <v>23.681509999999999</v>
      </c>
      <c r="AK7205">
        <v>58.183219999999999</v>
      </c>
    </row>
    <row r="7206" spans="1:37" x14ac:dyDescent="0.3">
      <c r="A7206">
        <v>7205</v>
      </c>
      <c r="B7206">
        <v>6.4</v>
      </c>
      <c r="C7206">
        <v>34.250399999999999</v>
      </c>
      <c r="D7206">
        <v>-10.4335</v>
      </c>
      <c r="E7206" t="s">
        <v>10763</v>
      </c>
      <c r="F7206" t="s">
        <v>10765</v>
      </c>
      <c r="G7206" t="s">
        <v>39</v>
      </c>
      <c r="H7206">
        <v>2002</v>
      </c>
      <c r="I7206">
        <v>24.5</v>
      </c>
      <c r="J7206">
        <v>9.9</v>
      </c>
      <c r="K7206">
        <v>58</v>
      </c>
      <c r="L7206">
        <v>19.70815</v>
      </c>
      <c r="M7206">
        <v>32.299999999999997</v>
      </c>
      <c r="N7206">
        <v>15.3</v>
      </c>
      <c r="O7206">
        <v>17</v>
      </c>
      <c r="P7206">
        <v>25.578939999999999</v>
      </c>
      <c r="Q7206">
        <v>22.421060000000001</v>
      </c>
      <c r="R7206">
        <v>26.69932</v>
      </c>
      <c r="S7206">
        <v>21.536819999999999</v>
      </c>
      <c r="T7206">
        <v>1017.211</v>
      </c>
      <c r="U7206">
        <v>239.3682</v>
      </c>
      <c r="V7206">
        <v>1</v>
      </c>
      <c r="W7206">
        <v>105</v>
      </c>
      <c r="X7206">
        <v>638.15750000000003</v>
      </c>
      <c r="Y7206">
        <v>5</v>
      </c>
      <c r="Z7206">
        <v>209.2106</v>
      </c>
      <c r="AA7206">
        <v>10</v>
      </c>
      <c r="AB7206">
        <v>6.2111270000000003</v>
      </c>
      <c r="AC7206">
        <v>8.5244970000000007E-3</v>
      </c>
      <c r="AD7206">
        <v>1.968507</v>
      </c>
      <c r="AE7206">
        <v>0.65361440000000004</v>
      </c>
      <c r="AF7206">
        <v>483.41950000000003</v>
      </c>
      <c r="AG7206">
        <f>IFERROR(AH7206*0.1, "N/A")</f>
        <v>6.5429789999999999</v>
      </c>
      <c r="AH7206">
        <v>65.429789999999997</v>
      </c>
      <c r="AI7206">
        <v>213.4461</v>
      </c>
      <c r="AJ7206">
        <v>23.681509999999999</v>
      </c>
      <c r="AK7206">
        <v>58.183219999999999</v>
      </c>
    </row>
    <row r="7207" spans="1:37" x14ac:dyDescent="0.3">
      <c r="A7207">
        <v>7206</v>
      </c>
      <c r="B7207">
        <v>48</v>
      </c>
      <c r="C7207">
        <v>33.613799999999998</v>
      </c>
      <c r="D7207">
        <v>-9.8927499999999995</v>
      </c>
      <c r="E7207" t="s">
        <v>10766</v>
      </c>
      <c r="F7207" t="s">
        <v>10767</v>
      </c>
      <c r="G7207" t="s">
        <v>39</v>
      </c>
      <c r="H7207">
        <v>1985</v>
      </c>
      <c r="I7207">
        <v>21.4</v>
      </c>
      <c r="J7207">
        <v>10.3</v>
      </c>
      <c r="K7207">
        <v>58</v>
      </c>
      <c r="L7207">
        <v>18.989999999999998</v>
      </c>
      <c r="M7207">
        <v>29.9</v>
      </c>
      <c r="N7207">
        <v>12.4</v>
      </c>
      <c r="O7207">
        <v>17.5</v>
      </c>
      <c r="P7207">
        <v>21.8</v>
      </c>
      <c r="Q7207">
        <v>21.6</v>
      </c>
      <c r="R7207">
        <v>23.6</v>
      </c>
      <c r="S7207">
        <v>18.600000000000001</v>
      </c>
      <c r="T7207">
        <v>1383</v>
      </c>
      <c r="U7207">
        <v>279</v>
      </c>
      <c r="V7207">
        <v>5</v>
      </c>
      <c r="W7207">
        <v>88</v>
      </c>
      <c r="X7207">
        <v>710</v>
      </c>
      <c r="Y7207">
        <v>20</v>
      </c>
      <c r="Z7207">
        <v>326</v>
      </c>
      <c r="AA7207">
        <v>41</v>
      </c>
      <c r="AB7207">
        <v>78.227630000000005</v>
      </c>
      <c r="AC7207">
        <v>8.8008459999999993E-3</v>
      </c>
      <c r="AD7207">
        <v>4.4222580000000002</v>
      </c>
      <c r="AE7207">
        <v>0.36817800000000001</v>
      </c>
      <c r="AF7207">
        <v>1150.8050000000001</v>
      </c>
      <c r="AG7207">
        <f>IFERROR(AH7207*0.1, "N/A")</f>
        <v>5.8137930000000004</v>
      </c>
      <c r="AH7207">
        <v>58.137929999999997</v>
      </c>
      <c r="AI7207">
        <v>236.23830000000001</v>
      </c>
      <c r="AJ7207">
        <v>29.413789999999999</v>
      </c>
      <c r="AK7207">
        <v>58.586210000000001</v>
      </c>
    </row>
    <row r="7208" spans="1:37" x14ac:dyDescent="0.3">
      <c r="A7208">
        <v>7207</v>
      </c>
      <c r="B7208">
        <v>12</v>
      </c>
      <c r="C7208">
        <v>33.613799999999998</v>
      </c>
      <c r="D7208">
        <v>-9.8927499999999995</v>
      </c>
      <c r="E7208" t="s">
        <v>10766</v>
      </c>
      <c r="F7208" t="s">
        <v>10768</v>
      </c>
      <c r="G7208" t="s">
        <v>37</v>
      </c>
      <c r="H7208">
        <v>1985</v>
      </c>
      <c r="I7208">
        <v>21.4</v>
      </c>
      <c r="J7208">
        <v>10.3</v>
      </c>
      <c r="K7208">
        <v>58</v>
      </c>
      <c r="L7208">
        <v>18.989999999999998</v>
      </c>
      <c r="M7208">
        <v>29.9</v>
      </c>
      <c r="N7208">
        <v>12.4</v>
      </c>
      <c r="O7208">
        <v>17.5</v>
      </c>
      <c r="P7208">
        <v>21.8</v>
      </c>
      <c r="Q7208">
        <v>21.6</v>
      </c>
      <c r="R7208">
        <v>23.6</v>
      </c>
      <c r="S7208">
        <v>18.600000000000001</v>
      </c>
      <c r="T7208">
        <v>1383</v>
      </c>
      <c r="U7208">
        <v>279</v>
      </c>
      <c r="V7208">
        <v>5</v>
      </c>
      <c r="W7208">
        <v>88</v>
      </c>
      <c r="X7208">
        <v>710</v>
      </c>
      <c r="Y7208">
        <v>20</v>
      </c>
      <c r="Z7208">
        <v>326</v>
      </c>
      <c r="AA7208">
        <v>41</v>
      </c>
      <c r="AB7208">
        <v>78.227630000000005</v>
      </c>
      <c r="AC7208">
        <v>8.8008459999999993E-3</v>
      </c>
      <c r="AD7208">
        <v>4.4222580000000002</v>
      </c>
      <c r="AE7208">
        <v>0.36817800000000001</v>
      </c>
      <c r="AF7208">
        <v>1150.8050000000001</v>
      </c>
      <c r="AG7208">
        <f>IFERROR(AH7208*0.1, "N/A")</f>
        <v>5.8137930000000004</v>
      </c>
      <c r="AH7208">
        <v>58.137929999999997</v>
      </c>
      <c r="AI7208">
        <v>236.23830000000001</v>
      </c>
      <c r="AJ7208">
        <v>29.413789999999999</v>
      </c>
      <c r="AK7208">
        <v>58.586210000000001</v>
      </c>
    </row>
    <row r="7209" spans="1:37" x14ac:dyDescent="0.3">
      <c r="A7209">
        <v>7208</v>
      </c>
      <c r="B7209">
        <v>57.6</v>
      </c>
      <c r="C7209">
        <v>33.881</v>
      </c>
      <c r="D7209">
        <v>-9.8509499999999992</v>
      </c>
      <c r="E7209" t="s">
        <v>10769</v>
      </c>
      <c r="F7209" t="s">
        <v>10770</v>
      </c>
      <c r="G7209" t="s">
        <v>37</v>
      </c>
      <c r="H7209">
        <v>2002</v>
      </c>
      <c r="I7209">
        <v>25.1</v>
      </c>
      <c r="J7209">
        <v>9.5</v>
      </c>
      <c r="K7209">
        <v>60</v>
      </c>
      <c r="L7209">
        <v>16.96</v>
      </c>
      <c r="M7209">
        <v>32.799999999999997</v>
      </c>
      <c r="N7209">
        <v>17.100000000000001</v>
      </c>
      <c r="O7209">
        <v>15.7</v>
      </c>
      <c r="P7209">
        <v>25.4</v>
      </c>
      <c r="Q7209">
        <v>25.1</v>
      </c>
      <c r="R7209">
        <v>27.2</v>
      </c>
      <c r="S7209">
        <v>22.7</v>
      </c>
      <c r="T7209">
        <v>1352</v>
      </c>
      <c r="U7209">
        <v>339</v>
      </c>
      <c r="V7209">
        <v>1</v>
      </c>
      <c r="W7209">
        <v>101</v>
      </c>
      <c r="X7209">
        <v>798</v>
      </c>
      <c r="Y7209">
        <v>10</v>
      </c>
      <c r="Z7209">
        <v>256</v>
      </c>
      <c r="AA7209">
        <v>35</v>
      </c>
      <c r="AB7209">
        <v>1.9507559999999999</v>
      </c>
      <c r="AC7209">
        <v>0.1410603</v>
      </c>
      <c r="AD7209">
        <v>1.124376</v>
      </c>
      <c r="AE7209">
        <v>0.70032450000000002</v>
      </c>
      <c r="AF7209">
        <v>483.32760000000002</v>
      </c>
      <c r="AG7209">
        <f>IFERROR(AH7209*0.1, "N/A")</f>
        <v>6.6883359999999996</v>
      </c>
      <c r="AH7209">
        <v>66.883359999999996</v>
      </c>
      <c r="AI7209">
        <v>186.18899999999999</v>
      </c>
      <c r="AJ7209">
        <v>24.108059999999998</v>
      </c>
      <c r="AK7209">
        <v>63.571179999999998</v>
      </c>
    </row>
    <row r="7210" spans="1:37" x14ac:dyDescent="0.3">
      <c r="A7210">
        <v>7209</v>
      </c>
      <c r="B7210">
        <v>42.3</v>
      </c>
      <c r="C7210">
        <v>33.881</v>
      </c>
      <c r="D7210">
        <v>-9.8509499999999992</v>
      </c>
      <c r="E7210" t="s">
        <v>10769</v>
      </c>
      <c r="F7210" t="s">
        <v>10771</v>
      </c>
      <c r="G7210" t="s">
        <v>39</v>
      </c>
      <c r="H7210">
        <v>2002</v>
      </c>
      <c r="I7210">
        <v>25.1</v>
      </c>
      <c r="J7210">
        <v>9.5</v>
      </c>
      <c r="K7210">
        <v>60</v>
      </c>
      <c r="L7210">
        <v>16.96</v>
      </c>
      <c r="M7210">
        <v>32.799999999999997</v>
      </c>
      <c r="N7210">
        <v>17.100000000000001</v>
      </c>
      <c r="O7210">
        <v>15.7</v>
      </c>
      <c r="P7210">
        <v>25.4</v>
      </c>
      <c r="Q7210">
        <v>25.1</v>
      </c>
      <c r="R7210">
        <v>27.2</v>
      </c>
      <c r="S7210">
        <v>22.7</v>
      </c>
      <c r="T7210">
        <v>1352</v>
      </c>
      <c r="U7210">
        <v>339</v>
      </c>
      <c r="V7210">
        <v>1</v>
      </c>
      <c r="W7210">
        <v>101</v>
      </c>
      <c r="X7210">
        <v>798</v>
      </c>
      <c r="Y7210">
        <v>10</v>
      </c>
      <c r="Z7210">
        <v>256</v>
      </c>
      <c r="AA7210">
        <v>35</v>
      </c>
      <c r="AB7210">
        <v>1.9507559999999999</v>
      </c>
      <c r="AC7210">
        <v>0.1410603</v>
      </c>
      <c r="AD7210">
        <v>1.124376</v>
      </c>
      <c r="AE7210">
        <v>0.70032450000000002</v>
      </c>
      <c r="AF7210">
        <v>483.32760000000002</v>
      </c>
      <c r="AG7210">
        <f>IFERROR(AH7210*0.1, "N/A")</f>
        <v>6.6883359999999996</v>
      </c>
      <c r="AH7210">
        <v>66.883359999999996</v>
      </c>
      <c r="AI7210">
        <v>186.18899999999999</v>
      </c>
      <c r="AJ7210">
        <v>24.108059999999998</v>
      </c>
      <c r="AK7210">
        <v>63.571179999999998</v>
      </c>
    </row>
    <row r="7211" spans="1:37" x14ac:dyDescent="0.3">
      <c r="A7211">
        <v>7210</v>
      </c>
      <c r="B7211">
        <v>46.7</v>
      </c>
      <c r="C7211">
        <v>33.833300000000001</v>
      </c>
      <c r="D7211">
        <v>-9.8000000000000007</v>
      </c>
      <c r="E7211" t="s">
        <v>10772</v>
      </c>
      <c r="F7211" t="s">
        <v>10773</v>
      </c>
      <c r="G7211" t="s">
        <v>37</v>
      </c>
      <c r="H7211">
        <v>2002</v>
      </c>
      <c r="I7211">
        <v>25.1</v>
      </c>
      <c r="J7211">
        <v>9.6</v>
      </c>
      <c r="K7211">
        <v>60</v>
      </c>
      <c r="L7211">
        <v>16.702220000000001</v>
      </c>
      <c r="M7211">
        <v>32.700000000000003</v>
      </c>
      <c r="N7211">
        <v>16.899999999999999</v>
      </c>
      <c r="O7211">
        <v>15.8</v>
      </c>
      <c r="P7211">
        <v>25.4</v>
      </c>
      <c r="Q7211">
        <v>25.055250000000001</v>
      </c>
      <c r="R7211">
        <v>27.1</v>
      </c>
      <c r="S7211">
        <v>22.6</v>
      </c>
      <c r="T7211">
        <v>1532.836</v>
      </c>
      <c r="U7211">
        <v>374.6472</v>
      </c>
      <c r="V7211">
        <v>2</v>
      </c>
      <c r="W7211">
        <v>98.895009999999999</v>
      </c>
      <c r="X7211">
        <v>895.84680000000003</v>
      </c>
      <c r="Y7211">
        <v>14</v>
      </c>
      <c r="Z7211">
        <v>267.10500000000002</v>
      </c>
      <c r="AA7211">
        <v>58.64716</v>
      </c>
      <c r="AB7211">
        <v>2.8850359999999999</v>
      </c>
      <c r="AC7211">
        <v>2.3260949999999999E-2</v>
      </c>
      <c r="AD7211">
        <v>0.81284279999999998</v>
      </c>
      <c r="AE7211">
        <v>0.5643669</v>
      </c>
      <c r="AF7211">
        <v>493.23059999999998</v>
      </c>
      <c r="AG7211">
        <f>IFERROR(AH7211*0.1, "N/A")</f>
        <v>6.3000000000000007</v>
      </c>
      <c r="AH7211">
        <v>63</v>
      </c>
      <c r="AI7211">
        <v>71.13373</v>
      </c>
      <c r="AJ7211">
        <v>25.4148</v>
      </c>
      <c r="AK7211">
        <v>60.609290000000001</v>
      </c>
    </row>
    <row r="7212" spans="1:37" x14ac:dyDescent="0.3">
      <c r="A7212">
        <v>7211</v>
      </c>
      <c r="B7212">
        <v>10.1</v>
      </c>
      <c r="C7212">
        <v>33.833300000000001</v>
      </c>
      <c r="D7212">
        <v>-9.8000000000000007</v>
      </c>
      <c r="E7212" t="s">
        <v>10772</v>
      </c>
      <c r="F7212" t="s">
        <v>10774</v>
      </c>
      <c r="G7212" t="s">
        <v>39</v>
      </c>
      <c r="H7212">
        <v>2002</v>
      </c>
      <c r="I7212">
        <v>25.1</v>
      </c>
      <c r="J7212">
        <v>9.6</v>
      </c>
      <c r="K7212">
        <v>60</v>
      </c>
      <c r="L7212">
        <v>16.702220000000001</v>
      </c>
      <c r="M7212">
        <v>32.700000000000003</v>
      </c>
      <c r="N7212">
        <v>16.899999999999999</v>
      </c>
      <c r="O7212">
        <v>15.8</v>
      </c>
      <c r="P7212">
        <v>25.4</v>
      </c>
      <c r="Q7212">
        <v>25.055250000000001</v>
      </c>
      <c r="R7212">
        <v>27.1</v>
      </c>
      <c r="S7212">
        <v>22.6</v>
      </c>
      <c r="T7212">
        <v>1532.836</v>
      </c>
      <c r="U7212">
        <v>374.6472</v>
      </c>
      <c r="V7212">
        <v>2</v>
      </c>
      <c r="W7212">
        <v>98.895009999999999</v>
      </c>
      <c r="X7212">
        <v>895.84680000000003</v>
      </c>
      <c r="Y7212">
        <v>14</v>
      </c>
      <c r="Z7212">
        <v>267.10500000000002</v>
      </c>
      <c r="AA7212">
        <v>58.64716</v>
      </c>
      <c r="AB7212">
        <v>2.8850359999999999</v>
      </c>
      <c r="AC7212">
        <v>2.3260949999999999E-2</v>
      </c>
      <c r="AD7212">
        <v>0.81284279999999998</v>
      </c>
      <c r="AE7212">
        <v>0.5643669</v>
      </c>
      <c r="AF7212">
        <v>493.23059999999998</v>
      </c>
      <c r="AG7212">
        <f>IFERROR(AH7212*0.1, "N/A")</f>
        <v>6.3000000000000007</v>
      </c>
      <c r="AH7212">
        <v>63</v>
      </c>
      <c r="AI7212">
        <v>71.13373</v>
      </c>
      <c r="AJ7212">
        <v>25.4148</v>
      </c>
      <c r="AK7212">
        <v>60.609290000000001</v>
      </c>
    </row>
    <row r="7213" spans="1:37" x14ac:dyDescent="0.3">
      <c r="A7213">
        <v>7212</v>
      </c>
      <c r="B7213">
        <v>30</v>
      </c>
      <c r="C7213">
        <v>33.876100000000001</v>
      </c>
      <c r="D7213">
        <v>-9.7654399999999999</v>
      </c>
      <c r="E7213" t="s">
        <v>10775</v>
      </c>
      <c r="F7213" t="s">
        <v>10776</v>
      </c>
      <c r="G7213" t="s">
        <v>39</v>
      </c>
      <c r="H7213">
        <v>1985</v>
      </c>
      <c r="I7213">
        <v>25.1</v>
      </c>
      <c r="J7213">
        <v>9.6999999999999993</v>
      </c>
      <c r="K7213">
        <v>61</v>
      </c>
      <c r="L7213">
        <v>16.55</v>
      </c>
      <c r="M7213">
        <v>32.799999999999997</v>
      </c>
      <c r="N7213">
        <v>17</v>
      </c>
      <c r="O7213">
        <v>15.8</v>
      </c>
      <c r="P7213">
        <v>25.5</v>
      </c>
      <c r="Q7213">
        <v>25</v>
      </c>
      <c r="R7213">
        <v>27.1</v>
      </c>
      <c r="S7213">
        <v>22.7</v>
      </c>
      <c r="T7213">
        <v>1586</v>
      </c>
      <c r="U7213">
        <v>399</v>
      </c>
      <c r="V7213">
        <v>2</v>
      </c>
      <c r="W7213">
        <v>99</v>
      </c>
      <c r="X7213">
        <v>927</v>
      </c>
      <c r="Y7213">
        <v>15</v>
      </c>
      <c r="Z7213">
        <v>266</v>
      </c>
      <c r="AA7213">
        <v>64</v>
      </c>
      <c r="AB7213">
        <v>0.58948590000000001</v>
      </c>
      <c r="AC7213">
        <v>4.628323</v>
      </c>
      <c r="AD7213">
        <v>1.023827</v>
      </c>
      <c r="AE7213">
        <v>0.68783620000000001</v>
      </c>
      <c r="AF7213">
        <v>479.01029999999997</v>
      </c>
      <c r="AG7213">
        <f>IFERROR(AH7213*0.1, "N/A")</f>
        <v>5.9727589999999999</v>
      </c>
      <c r="AH7213">
        <v>59.727589999999999</v>
      </c>
      <c r="AI7213">
        <v>167.90180000000001</v>
      </c>
      <c r="AJ7213">
        <v>24</v>
      </c>
      <c r="AK7213">
        <v>62</v>
      </c>
    </row>
    <row r="7214" spans="1:37" x14ac:dyDescent="0.3">
      <c r="A7214">
        <v>7213</v>
      </c>
      <c r="B7214">
        <v>7</v>
      </c>
      <c r="C7214">
        <v>33.876100000000001</v>
      </c>
      <c r="D7214">
        <v>-9.7654399999999999</v>
      </c>
      <c r="E7214" t="s">
        <v>10775</v>
      </c>
      <c r="F7214" t="s">
        <v>10777</v>
      </c>
      <c r="G7214" t="s">
        <v>37</v>
      </c>
      <c r="H7214">
        <v>1985</v>
      </c>
      <c r="I7214">
        <v>25.1</v>
      </c>
      <c r="J7214">
        <v>9.6999999999999993</v>
      </c>
      <c r="K7214">
        <v>61</v>
      </c>
      <c r="L7214">
        <v>16.55</v>
      </c>
      <c r="M7214">
        <v>32.799999999999997</v>
      </c>
      <c r="N7214">
        <v>17</v>
      </c>
      <c r="O7214">
        <v>15.8</v>
      </c>
      <c r="P7214">
        <v>25.5</v>
      </c>
      <c r="Q7214">
        <v>25</v>
      </c>
      <c r="R7214">
        <v>27.1</v>
      </c>
      <c r="S7214">
        <v>22.7</v>
      </c>
      <c r="T7214">
        <v>1586</v>
      </c>
      <c r="U7214">
        <v>399</v>
      </c>
      <c r="V7214">
        <v>2</v>
      </c>
      <c r="W7214">
        <v>99</v>
      </c>
      <c r="X7214">
        <v>927</v>
      </c>
      <c r="Y7214">
        <v>15</v>
      </c>
      <c r="Z7214">
        <v>266</v>
      </c>
      <c r="AA7214">
        <v>64</v>
      </c>
      <c r="AB7214">
        <v>0.58948590000000001</v>
      </c>
      <c r="AC7214">
        <v>4.628323</v>
      </c>
      <c r="AD7214">
        <v>1.023827</v>
      </c>
      <c r="AE7214">
        <v>0.68783620000000001</v>
      </c>
      <c r="AF7214">
        <v>479.01029999999997</v>
      </c>
      <c r="AG7214">
        <f>IFERROR(AH7214*0.1, "N/A")</f>
        <v>5.9727589999999999</v>
      </c>
      <c r="AH7214">
        <v>59.727589999999999</v>
      </c>
      <c r="AI7214">
        <v>167.90180000000001</v>
      </c>
      <c r="AJ7214">
        <v>24</v>
      </c>
      <c r="AK7214">
        <v>62</v>
      </c>
    </row>
    <row r="7215" spans="1:37" x14ac:dyDescent="0.3">
      <c r="A7215">
        <v>7214</v>
      </c>
      <c r="B7215">
        <v>0</v>
      </c>
      <c r="C7215">
        <v>33.017400000000002</v>
      </c>
      <c r="D7215">
        <v>-9.6115700000000004</v>
      </c>
      <c r="E7215" t="s">
        <v>10778</v>
      </c>
      <c r="F7215" t="s">
        <v>10779</v>
      </c>
      <c r="G7215" t="s">
        <v>37</v>
      </c>
      <c r="H7215">
        <v>2004</v>
      </c>
      <c r="I7215">
        <v>21.1</v>
      </c>
      <c r="J7215">
        <v>10.3</v>
      </c>
      <c r="K7215">
        <v>60</v>
      </c>
      <c r="L7215">
        <v>16.1709</v>
      </c>
      <c r="M7215">
        <v>30</v>
      </c>
      <c r="N7215">
        <v>13</v>
      </c>
      <c r="O7215">
        <v>17</v>
      </c>
      <c r="P7215">
        <v>21.5</v>
      </c>
      <c r="Q7215">
        <v>19.899999999999999</v>
      </c>
      <c r="R7215">
        <v>23.1</v>
      </c>
      <c r="S7215">
        <v>18.899999999999999</v>
      </c>
      <c r="T7215">
        <v>1111.933</v>
      </c>
      <c r="U7215">
        <v>221</v>
      </c>
      <c r="V7215">
        <v>1</v>
      </c>
      <c r="W7215">
        <v>99</v>
      </c>
      <c r="X7215">
        <v>644</v>
      </c>
      <c r="Y7215">
        <v>8.9776249999999997</v>
      </c>
      <c r="Z7215">
        <v>316.9776</v>
      </c>
      <c r="AA7215">
        <v>9.9776249999999997</v>
      </c>
      <c r="AB7215">
        <v>1.4872209999999999</v>
      </c>
      <c r="AC7215">
        <v>3.6013330000000003E-2</v>
      </c>
      <c r="AD7215">
        <v>2.0863640000000001</v>
      </c>
      <c r="AE7215">
        <v>0.27183760000000001</v>
      </c>
      <c r="AF7215">
        <v>1354.126</v>
      </c>
      <c r="AG7215">
        <f>IFERROR(AH7215*0.1, "N/A")</f>
        <v>6.302238</v>
      </c>
      <c r="AH7215">
        <v>63.022379999999998</v>
      </c>
      <c r="AI7215">
        <v>108.2289</v>
      </c>
      <c r="AJ7215">
        <v>29</v>
      </c>
      <c r="AK7215">
        <v>51.83305</v>
      </c>
    </row>
    <row r="7216" spans="1:37" x14ac:dyDescent="0.3">
      <c r="A7216">
        <v>7215</v>
      </c>
      <c r="B7216">
        <v>29.411799999999999</v>
      </c>
      <c r="C7216">
        <v>33.017400000000002</v>
      </c>
      <c r="D7216">
        <v>-9.6115700000000004</v>
      </c>
      <c r="E7216" t="s">
        <v>10778</v>
      </c>
      <c r="F7216" t="s">
        <v>10780</v>
      </c>
      <c r="G7216" t="s">
        <v>39</v>
      </c>
      <c r="H7216">
        <v>2004</v>
      </c>
      <c r="I7216">
        <v>21.1</v>
      </c>
      <c r="J7216">
        <v>10.3</v>
      </c>
      <c r="K7216">
        <v>60</v>
      </c>
      <c r="L7216">
        <v>16.1709</v>
      </c>
      <c r="M7216">
        <v>30</v>
      </c>
      <c r="N7216">
        <v>13</v>
      </c>
      <c r="O7216">
        <v>17</v>
      </c>
      <c r="P7216">
        <v>21.5</v>
      </c>
      <c r="Q7216">
        <v>19.899999999999999</v>
      </c>
      <c r="R7216">
        <v>23.1</v>
      </c>
      <c r="S7216">
        <v>18.899999999999999</v>
      </c>
      <c r="T7216">
        <v>1111.933</v>
      </c>
      <c r="U7216">
        <v>221</v>
      </c>
      <c r="V7216">
        <v>1</v>
      </c>
      <c r="W7216">
        <v>99</v>
      </c>
      <c r="X7216">
        <v>644</v>
      </c>
      <c r="Y7216">
        <v>8.9776249999999997</v>
      </c>
      <c r="Z7216">
        <v>316.9776</v>
      </c>
      <c r="AA7216">
        <v>9.9776249999999997</v>
      </c>
      <c r="AB7216">
        <v>1.4872209999999999</v>
      </c>
      <c r="AC7216">
        <v>3.6013330000000003E-2</v>
      </c>
      <c r="AD7216">
        <v>2.0863640000000001</v>
      </c>
      <c r="AE7216">
        <v>0.27183760000000001</v>
      </c>
      <c r="AF7216">
        <v>1354.126</v>
      </c>
      <c r="AG7216">
        <f>IFERROR(AH7216*0.1, "N/A")</f>
        <v>6.302238</v>
      </c>
      <c r="AH7216">
        <v>63.022379999999998</v>
      </c>
      <c r="AI7216">
        <v>108.2289</v>
      </c>
      <c r="AJ7216">
        <v>29</v>
      </c>
      <c r="AK7216">
        <v>51.83305</v>
      </c>
    </row>
    <row r="7217" spans="1:37" x14ac:dyDescent="0.3">
      <c r="A7217">
        <v>7216</v>
      </c>
      <c r="B7217">
        <v>0.5</v>
      </c>
      <c r="C7217">
        <v>34.325479999999999</v>
      </c>
      <c r="D7217">
        <v>-14.38166</v>
      </c>
      <c r="E7217" t="s">
        <v>10781</v>
      </c>
      <c r="F7217" t="s">
        <v>10782</v>
      </c>
      <c r="G7217" t="s">
        <v>37</v>
      </c>
      <c r="H7217">
        <v>1956</v>
      </c>
      <c r="I7217">
        <v>18</v>
      </c>
      <c r="J7217">
        <v>10</v>
      </c>
      <c r="K7217">
        <v>56</v>
      </c>
      <c r="L7217">
        <v>23.071069999999999</v>
      </c>
      <c r="M7217">
        <v>26.2</v>
      </c>
      <c r="N7217">
        <v>8.6</v>
      </c>
      <c r="O7217">
        <v>17.600000000000001</v>
      </c>
      <c r="P7217">
        <v>19.7</v>
      </c>
      <c r="Q7217">
        <v>14.6</v>
      </c>
      <c r="R7217">
        <v>20.40034</v>
      </c>
      <c r="S7217">
        <v>14.6</v>
      </c>
      <c r="T7217">
        <v>1040.9870000000001</v>
      </c>
      <c r="U7217">
        <v>247</v>
      </c>
      <c r="V7217">
        <v>3</v>
      </c>
      <c r="W7217">
        <v>110</v>
      </c>
      <c r="X7217">
        <v>697.99329999999998</v>
      </c>
      <c r="Y7217">
        <v>11</v>
      </c>
      <c r="Z7217">
        <v>308.9966</v>
      </c>
      <c r="AA7217">
        <v>11</v>
      </c>
      <c r="AB7217">
        <v>17.533570000000001</v>
      </c>
      <c r="AC7217">
        <v>3.2181429999999997E-2</v>
      </c>
      <c r="AD7217">
        <v>2.3972370000000001</v>
      </c>
      <c r="AE7217">
        <v>0.72723769999999999</v>
      </c>
      <c r="AF7217">
        <v>1579.4549999999999</v>
      </c>
      <c r="AG7217">
        <f>IFERROR(AH7217*0.1, "N/A")</f>
        <v>5.4996640000000001</v>
      </c>
      <c r="AH7217">
        <v>54.996639999999999</v>
      </c>
      <c r="AI7217">
        <v>76.858230000000006</v>
      </c>
      <c r="AJ7217">
        <v>27.003360000000001</v>
      </c>
      <c r="AK7217">
        <v>59.614089999999997</v>
      </c>
    </row>
    <row r="7218" spans="1:37" x14ac:dyDescent="0.3">
      <c r="A7218">
        <v>7217</v>
      </c>
      <c r="B7218">
        <v>1</v>
      </c>
      <c r="C7218">
        <v>34.325479999999999</v>
      </c>
      <c r="D7218">
        <v>-14.38166</v>
      </c>
      <c r="E7218" t="s">
        <v>10781</v>
      </c>
      <c r="F7218" t="s">
        <v>10783</v>
      </c>
      <c r="G7218" t="s">
        <v>39</v>
      </c>
      <c r="H7218">
        <v>1956</v>
      </c>
      <c r="I7218">
        <v>18</v>
      </c>
      <c r="J7218">
        <v>10</v>
      </c>
      <c r="K7218">
        <v>56</v>
      </c>
      <c r="L7218">
        <v>23.071069999999999</v>
      </c>
      <c r="M7218">
        <v>26.2</v>
      </c>
      <c r="N7218">
        <v>8.6</v>
      </c>
      <c r="O7218">
        <v>17.600000000000001</v>
      </c>
      <c r="P7218">
        <v>19.7</v>
      </c>
      <c r="Q7218">
        <v>14.6</v>
      </c>
      <c r="R7218">
        <v>20.40034</v>
      </c>
      <c r="S7218">
        <v>14.6</v>
      </c>
      <c r="T7218">
        <v>1040.9870000000001</v>
      </c>
      <c r="U7218">
        <v>247</v>
      </c>
      <c r="V7218">
        <v>3</v>
      </c>
      <c r="W7218">
        <v>110</v>
      </c>
      <c r="X7218">
        <v>697.99329999999998</v>
      </c>
      <c r="Y7218">
        <v>11</v>
      </c>
      <c r="Z7218">
        <v>308.9966</v>
      </c>
      <c r="AA7218">
        <v>11</v>
      </c>
      <c r="AB7218">
        <v>17.533570000000001</v>
      </c>
      <c r="AC7218">
        <v>3.2181429999999997E-2</v>
      </c>
      <c r="AD7218">
        <v>2.3972370000000001</v>
      </c>
      <c r="AE7218">
        <v>0.72723769999999999</v>
      </c>
      <c r="AF7218">
        <v>1579.4549999999999</v>
      </c>
      <c r="AG7218">
        <f>IFERROR(AH7218*0.1, "N/A")</f>
        <v>5.4996640000000001</v>
      </c>
      <c r="AH7218">
        <v>54.996639999999999</v>
      </c>
      <c r="AI7218">
        <v>76.858230000000006</v>
      </c>
      <c r="AJ7218">
        <v>27.003360000000001</v>
      </c>
      <c r="AK7218">
        <v>59.614089999999997</v>
      </c>
    </row>
    <row r="7219" spans="1:37" x14ac:dyDescent="0.3">
      <c r="A7219">
        <v>7218</v>
      </c>
      <c r="B7219">
        <v>1.1000000000000001</v>
      </c>
      <c r="C7219">
        <v>34.281959999999998</v>
      </c>
      <c r="D7219">
        <v>-12.93224</v>
      </c>
      <c r="E7219" t="s">
        <v>10784</v>
      </c>
      <c r="F7219" t="s">
        <v>10785</v>
      </c>
      <c r="G7219" t="s">
        <v>37</v>
      </c>
      <c r="H7219">
        <v>1956</v>
      </c>
      <c r="I7219">
        <v>23.6</v>
      </c>
      <c r="J7219">
        <v>9.3000000000000007</v>
      </c>
      <c r="K7219">
        <v>56</v>
      </c>
      <c r="L7219">
        <v>20.8</v>
      </c>
      <c r="M7219">
        <v>31.6</v>
      </c>
      <c r="N7219">
        <v>15</v>
      </c>
      <c r="O7219">
        <v>16.600000000000001</v>
      </c>
      <c r="P7219">
        <v>24.6</v>
      </c>
      <c r="Q7219">
        <v>21.5</v>
      </c>
      <c r="R7219">
        <v>26</v>
      </c>
      <c r="S7219">
        <v>20.6</v>
      </c>
      <c r="T7219">
        <v>1473</v>
      </c>
      <c r="U7219">
        <v>350</v>
      </c>
      <c r="V7219">
        <v>1</v>
      </c>
      <c r="W7219">
        <v>108</v>
      </c>
      <c r="X7219">
        <v>936</v>
      </c>
      <c r="Y7219">
        <v>6</v>
      </c>
      <c r="Z7219">
        <v>321</v>
      </c>
      <c r="AA7219">
        <v>13</v>
      </c>
      <c r="AB7219">
        <v>5.9232560000000003</v>
      </c>
      <c r="AC7219">
        <v>9.4531979999999995E-3</v>
      </c>
      <c r="AD7219">
        <v>2.0175939999999999</v>
      </c>
      <c r="AE7219">
        <v>0.5603572</v>
      </c>
      <c r="AF7219">
        <v>509.74700000000001</v>
      </c>
      <c r="AG7219">
        <f>IFERROR(AH7219*0.1, "N/A")</f>
        <v>5.8079800000000006</v>
      </c>
      <c r="AH7219">
        <v>58.079799999999999</v>
      </c>
      <c r="AI7219">
        <v>91.961439999999996</v>
      </c>
      <c r="AJ7219">
        <v>17.539899999999999</v>
      </c>
      <c r="AK7219">
        <v>75.344650000000001</v>
      </c>
    </row>
    <row r="7220" spans="1:37" x14ac:dyDescent="0.3">
      <c r="A7220">
        <v>7219</v>
      </c>
      <c r="B7220">
        <v>21.2</v>
      </c>
      <c r="C7220">
        <v>34.281959999999998</v>
      </c>
      <c r="D7220">
        <v>-12.93224</v>
      </c>
      <c r="E7220" t="s">
        <v>10784</v>
      </c>
      <c r="F7220" t="s">
        <v>10786</v>
      </c>
      <c r="G7220" t="s">
        <v>39</v>
      </c>
      <c r="H7220">
        <v>1956</v>
      </c>
      <c r="I7220">
        <v>23.6</v>
      </c>
      <c r="J7220">
        <v>9.3000000000000007</v>
      </c>
      <c r="K7220">
        <v>56</v>
      </c>
      <c r="L7220">
        <v>20.8</v>
      </c>
      <c r="M7220">
        <v>31.6</v>
      </c>
      <c r="N7220">
        <v>15</v>
      </c>
      <c r="O7220">
        <v>16.600000000000001</v>
      </c>
      <c r="P7220">
        <v>24.6</v>
      </c>
      <c r="Q7220">
        <v>21.5</v>
      </c>
      <c r="R7220">
        <v>26</v>
      </c>
      <c r="S7220">
        <v>20.6</v>
      </c>
      <c r="T7220">
        <v>1473</v>
      </c>
      <c r="U7220">
        <v>350</v>
      </c>
      <c r="V7220">
        <v>1</v>
      </c>
      <c r="W7220">
        <v>108</v>
      </c>
      <c r="X7220">
        <v>936</v>
      </c>
      <c r="Y7220">
        <v>6</v>
      </c>
      <c r="Z7220">
        <v>321</v>
      </c>
      <c r="AA7220">
        <v>13</v>
      </c>
      <c r="AB7220">
        <v>5.9232560000000003</v>
      </c>
      <c r="AC7220">
        <v>9.4531979999999995E-3</v>
      </c>
      <c r="AD7220">
        <v>2.0175939999999999</v>
      </c>
      <c r="AE7220">
        <v>0.5603572</v>
      </c>
      <c r="AF7220">
        <v>509.74700000000001</v>
      </c>
      <c r="AG7220">
        <f>IFERROR(AH7220*0.1, "N/A")</f>
        <v>5.8079800000000006</v>
      </c>
      <c r="AH7220">
        <v>58.079799999999999</v>
      </c>
      <c r="AI7220">
        <v>91.961439999999996</v>
      </c>
      <c r="AJ7220">
        <v>17.539899999999999</v>
      </c>
      <c r="AK7220">
        <v>75.344650000000001</v>
      </c>
    </row>
    <row r="7221" spans="1:37" x14ac:dyDescent="0.3">
      <c r="A7221">
        <v>7220</v>
      </c>
      <c r="B7221">
        <v>1.8</v>
      </c>
      <c r="C7221">
        <v>35.556510000000003</v>
      </c>
      <c r="D7221">
        <v>-16.074179999999998</v>
      </c>
      <c r="E7221" t="s">
        <v>10787</v>
      </c>
      <c r="F7221" t="s">
        <v>10788</v>
      </c>
      <c r="G7221" t="s">
        <v>37</v>
      </c>
      <c r="H7221">
        <v>1956</v>
      </c>
      <c r="I7221">
        <v>22</v>
      </c>
      <c r="J7221">
        <v>11.9</v>
      </c>
      <c r="K7221">
        <v>59</v>
      </c>
      <c r="L7221">
        <v>26.29</v>
      </c>
      <c r="M7221">
        <v>31.4</v>
      </c>
      <c r="N7221">
        <v>11.4</v>
      </c>
      <c r="O7221">
        <v>20</v>
      </c>
      <c r="P7221">
        <v>24</v>
      </c>
      <c r="Q7221">
        <v>19.399999999999999</v>
      </c>
      <c r="R7221">
        <v>24.5</v>
      </c>
      <c r="S7221">
        <v>18</v>
      </c>
      <c r="T7221">
        <v>1746</v>
      </c>
      <c r="U7221">
        <v>307</v>
      </c>
      <c r="V7221">
        <v>24</v>
      </c>
      <c r="W7221">
        <v>75</v>
      </c>
      <c r="X7221">
        <v>885</v>
      </c>
      <c r="Y7221">
        <v>107</v>
      </c>
      <c r="Z7221">
        <v>722</v>
      </c>
      <c r="AA7221">
        <v>142</v>
      </c>
      <c r="AB7221">
        <v>12.385490000000001</v>
      </c>
      <c r="AC7221">
        <v>9.3022880000000006E-3</v>
      </c>
      <c r="AD7221">
        <v>3.6780879999999998</v>
      </c>
      <c r="AE7221">
        <v>0.38469399999999998</v>
      </c>
      <c r="AF7221">
        <v>604.33500000000004</v>
      </c>
      <c r="AG7221">
        <f>IFERROR(AH7221*0.1, "N/A")</f>
        <v>5.4</v>
      </c>
      <c r="AH7221">
        <v>54</v>
      </c>
      <c r="AI7221">
        <v>122.9957</v>
      </c>
      <c r="AJ7221">
        <v>28.56</v>
      </c>
      <c r="AK7221">
        <v>51.608330000000002</v>
      </c>
    </row>
    <row r="7222" spans="1:37" x14ac:dyDescent="0.3">
      <c r="A7222">
        <v>7221</v>
      </c>
      <c r="B7222">
        <v>62.5</v>
      </c>
      <c r="C7222">
        <v>35.556510000000003</v>
      </c>
      <c r="D7222">
        <v>-16.074179999999998</v>
      </c>
      <c r="E7222" t="s">
        <v>10787</v>
      </c>
      <c r="F7222" t="s">
        <v>10789</v>
      </c>
      <c r="G7222" t="s">
        <v>39</v>
      </c>
      <c r="H7222">
        <v>1956</v>
      </c>
      <c r="I7222">
        <v>22</v>
      </c>
      <c r="J7222">
        <v>11.9</v>
      </c>
      <c r="K7222">
        <v>59</v>
      </c>
      <c r="L7222">
        <v>26.29</v>
      </c>
      <c r="M7222">
        <v>31.4</v>
      </c>
      <c r="N7222">
        <v>11.4</v>
      </c>
      <c r="O7222">
        <v>20</v>
      </c>
      <c r="P7222">
        <v>24</v>
      </c>
      <c r="Q7222">
        <v>19.399999999999999</v>
      </c>
      <c r="R7222">
        <v>24.5</v>
      </c>
      <c r="S7222">
        <v>18</v>
      </c>
      <c r="T7222">
        <v>1746</v>
      </c>
      <c r="U7222">
        <v>307</v>
      </c>
      <c r="V7222">
        <v>24</v>
      </c>
      <c r="W7222">
        <v>75</v>
      </c>
      <c r="X7222">
        <v>885</v>
      </c>
      <c r="Y7222">
        <v>107</v>
      </c>
      <c r="Z7222">
        <v>722</v>
      </c>
      <c r="AA7222">
        <v>142</v>
      </c>
      <c r="AB7222">
        <v>12.385490000000001</v>
      </c>
      <c r="AC7222">
        <v>9.3022880000000006E-3</v>
      </c>
      <c r="AD7222">
        <v>3.6780879999999998</v>
      </c>
      <c r="AE7222">
        <v>0.38469399999999998</v>
      </c>
      <c r="AF7222">
        <v>604.33500000000004</v>
      </c>
      <c r="AG7222">
        <f>IFERROR(AH7222*0.1, "N/A")</f>
        <v>5.4</v>
      </c>
      <c r="AH7222">
        <v>54</v>
      </c>
      <c r="AI7222">
        <v>122.9957</v>
      </c>
      <c r="AJ7222">
        <v>28.56</v>
      </c>
      <c r="AK7222">
        <v>51.608330000000002</v>
      </c>
    </row>
    <row r="7223" spans="1:37" x14ac:dyDescent="0.3">
      <c r="A7223">
        <v>7222</v>
      </c>
      <c r="B7223">
        <v>5</v>
      </c>
      <c r="C7223">
        <v>35.5</v>
      </c>
      <c r="D7223">
        <v>-16.033329999999999</v>
      </c>
      <c r="E7223" t="s">
        <v>10790</v>
      </c>
      <c r="F7223" t="s">
        <v>10791</v>
      </c>
      <c r="G7223" t="s">
        <v>37</v>
      </c>
      <c r="H7223">
        <v>1956</v>
      </c>
      <c r="I7223">
        <v>21.91874</v>
      </c>
      <c r="J7223">
        <v>11.7</v>
      </c>
      <c r="K7223">
        <v>58.860700000000001</v>
      </c>
      <c r="L7223">
        <v>25.971209999999999</v>
      </c>
      <c r="M7223">
        <v>31.146599999999999</v>
      </c>
      <c r="N7223">
        <v>11.46965</v>
      </c>
      <c r="O7223">
        <v>19.676950000000001</v>
      </c>
      <c r="P7223">
        <v>23.932670000000002</v>
      </c>
      <c r="Q7223">
        <v>19.318739999999998</v>
      </c>
      <c r="R7223">
        <v>24.40232</v>
      </c>
      <c r="S7223">
        <v>18.018740000000001</v>
      </c>
      <c r="T7223">
        <v>1796.5719999999999</v>
      </c>
      <c r="U7223">
        <v>311.95359999999999</v>
      </c>
      <c r="V7223">
        <v>24.164180000000002</v>
      </c>
      <c r="W7223">
        <v>74.187399999999997</v>
      </c>
      <c r="X7223">
        <v>907.27530000000002</v>
      </c>
      <c r="Y7223">
        <v>109.9055</v>
      </c>
      <c r="Z7223">
        <v>730.83579999999995</v>
      </c>
      <c r="AA7223">
        <v>145.22720000000001</v>
      </c>
      <c r="AB7223">
        <v>5.6462709999999996</v>
      </c>
      <c r="AC7223">
        <v>22.13439</v>
      </c>
      <c r="AD7223">
        <v>2.5691549999999999</v>
      </c>
      <c r="AE7223">
        <v>0.74172260000000001</v>
      </c>
      <c r="AF7223">
        <v>604.65009999999995</v>
      </c>
      <c r="AG7223">
        <f>IFERROR(AH7223*0.1, "N/A")</f>
        <v>5.6588720000000006</v>
      </c>
      <c r="AH7223">
        <v>56.588720000000002</v>
      </c>
      <c r="AI7223">
        <v>235.48179999999999</v>
      </c>
      <c r="AJ7223">
        <v>29.205639999999999</v>
      </c>
      <c r="AK7223">
        <v>55.38308</v>
      </c>
    </row>
    <row r="7224" spans="1:37" x14ac:dyDescent="0.3">
      <c r="A7224">
        <v>7223</v>
      </c>
      <c r="B7224">
        <v>79.2</v>
      </c>
      <c r="C7224">
        <v>35.5</v>
      </c>
      <c r="D7224">
        <v>-16.033329999999999</v>
      </c>
      <c r="E7224" t="s">
        <v>10790</v>
      </c>
      <c r="F7224" t="s">
        <v>10792</v>
      </c>
      <c r="G7224" t="s">
        <v>39</v>
      </c>
      <c r="H7224">
        <v>1956</v>
      </c>
      <c r="I7224">
        <v>21.91874</v>
      </c>
      <c r="J7224">
        <v>11.7</v>
      </c>
      <c r="K7224">
        <v>58.860700000000001</v>
      </c>
      <c r="L7224">
        <v>25.971209999999999</v>
      </c>
      <c r="M7224">
        <v>31.146599999999999</v>
      </c>
      <c r="N7224">
        <v>11.46965</v>
      </c>
      <c r="O7224">
        <v>19.676950000000001</v>
      </c>
      <c r="P7224">
        <v>23.932670000000002</v>
      </c>
      <c r="Q7224">
        <v>19.318739999999998</v>
      </c>
      <c r="R7224">
        <v>24.40232</v>
      </c>
      <c r="S7224">
        <v>18.018740000000001</v>
      </c>
      <c r="T7224">
        <v>1796.5719999999999</v>
      </c>
      <c r="U7224">
        <v>311.95359999999999</v>
      </c>
      <c r="V7224">
        <v>24.164180000000002</v>
      </c>
      <c r="W7224">
        <v>74.187399999999997</v>
      </c>
      <c r="X7224">
        <v>907.27530000000002</v>
      </c>
      <c r="Y7224">
        <v>109.9055</v>
      </c>
      <c r="Z7224">
        <v>730.83579999999995</v>
      </c>
      <c r="AA7224">
        <v>145.22720000000001</v>
      </c>
      <c r="AB7224">
        <v>5.6462709999999996</v>
      </c>
      <c r="AC7224">
        <v>22.13439</v>
      </c>
      <c r="AD7224">
        <v>2.5691549999999999</v>
      </c>
      <c r="AE7224">
        <v>0.74172260000000001</v>
      </c>
      <c r="AF7224">
        <v>604.65009999999995</v>
      </c>
      <c r="AG7224">
        <f>IFERROR(AH7224*0.1, "N/A")</f>
        <v>5.6588720000000006</v>
      </c>
      <c r="AH7224">
        <v>56.588720000000002</v>
      </c>
      <c r="AI7224">
        <v>235.48179999999999</v>
      </c>
      <c r="AJ7224">
        <v>29.205639999999999</v>
      </c>
      <c r="AK7224">
        <v>55.38308</v>
      </c>
    </row>
    <row r="7225" spans="1:37" x14ac:dyDescent="0.3">
      <c r="A7225">
        <v>7224</v>
      </c>
      <c r="B7225">
        <v>79.900000000000006</v>
      </c>
      <c r="C7225">
        <v>33.933329999999998</v>
      </c>
      <c r="D7225">
        <v>-9.9333329999999993</v>
      </c>
      <c r="E7225" t="s">
        <v>10793</v>
      </c>
      <c r="F7225" t="s">
        <v>10794</v>
      </c>
      <c r="G7225" t="s">
        <v>37</v>
      </c>
      <c r="H7225">
        <v>1956</v>
      </c>
      <c r="I7225">
        <v>25.1</v>
      </c>
      <c r="J7225">
        <v>9.4</v>
      </c>
      <c r="K7225">
        <v>60</v>
      </c>
      <c r="L7225">
        <v>16.7059</v>
      </c>
      <c r="M7225">
        <v>32.700000000000003</v>
      </c>
      <c r="N7225">
        <v>17.100000000000001</v>
      </c>
      <c r="O7225">
        <v>15.6</v>
      </c>
      <c r="P7225">
        <v>25.4</v>
      </c>
      <c r="Q7225">
        <v>25.1</v>
      </c>
      <c r="R7225">
        <v>27.2</v>
      </c>
      <c r="S7225">
        <v>22.7</v>
      </c>
      <c r="T7225">
        <v>1172.133</v>
      </c>
      <c r="U7225">
        <v>315.85539999999997</v>
      </c>
      <c r="V7225">
        <v>1</v>
      </c>
      <c r="W7225">
        <v>105</v>
      </c>
      <c r="X7225">
        <v>692.20140000000004</v>
      </c>
      <c r="Y7225">
        <v>6</v>
      </c>
      <c r="Z7225">
        <v>242.1842</v>
      </c>
      <c r="AA7225">
        <v>15.148020000000001</v>
      </c>
      <c r="AB7225">
        <v>0.84164309999999998</v>
      </c>
      <c r="AC7225">
        <v>0.2088602</v>
      </c>
      <c r="AD7225">
        <v>1.1596139999999999</v>
      </c>
      <c r="AE7225">
        <v>0.63790469999999999</v>
      </c>
      <c r="AF7225">
        <v>481.03100000000001</v>
      </c>
      <c r="AG7225">
        <f>IFERROR(AH7225*0.1, "N/A")</f>
        <v>6.2736660000000004</v>
      </c>
      <c r="AH7225">
        <v>62.736660000000001</v>
      </c>
      <c r="AI7225">
        <v>146.10159999999999</v>
      </c>
      <c r="AJ7225">
        <v>22.815829999999998</v>
      </c>
      <c r="AK7225">
        <v>65</v>
      </c>
    </row>
    <row r="7226" spans="1:37" x14ac:dyDescent="0.3">
      <c r="A7226">
        <v>7225</v>
      </c>
      <c r="B7226">
        <v>38.700000000000003</v>
      </c>
      <c r="C7226">
        <v>33.933329999999998</v>
      </c>
      <c r="D7226">
        <v>-9.9333329999999993</v>
      </c>
      <c r="E7226" t="s">
        <v>10793</v>
      </c>
      <c r="F7226" t="s">
        <v>10795</v>
      </c>
      <c r="G7226" t="s">
        <v>39</v>
      </c>
      <c r="H7226">
        <v>1956</v>
      </c>
      <c r="I7226">
        <v>25.1</v>
      </c>
      <c r="J7226">
        <v>9.4</v>
      </c>
      <c r="K7226">
        <v>60</v>
      </c>
      <c r="L7226">
        <v>16.7059</v>
      </c>
      <c r="M7226">
        <v>32.700000000000003</v>
      </c>
      <c r="N7226">
        <v>17.100000000000001</v>
      </c>
      <c r="O7226">
        <v>15.6</v>
      </c>
      <c r="P7226">
        <v>25.4</v>
      </c>
      <c r="Q7226">
        <v>25.1</v>
      </c>
      <c r="R7226">
        <v>27.2</v>
      </c>
      <c r="S7226">
        <v>22.7</v>
      </c>
      <c r="T7226">
        <v>1172.133</v>
      </c>
      <c r="U7226">
        <v>315.85539999999997</v>
      </c>
      <c r="V7226">
        <v>1</v>
      </c>
      <c r="W7226">
        <v>105</v>
      </c>
      <c r="X7226">
        <v>692.20140000000004</v>
      </c>
      <c r="Y7226">
        <v>6</v>
      </c>
      <c r="Z7226">
        <v>242.1842</v>
      </c>
      <c r="AA7226">
        <v>15.148020000000001</v>
      </c>
      <c r="AB7226">
        <v>0.84164309999999998</v>
      </c>
      <c r="AC7226">
        <v>0.2088602</v>
      </c>
      <c r="AD7226">
        <v>1.1596139999999999</v>
      </c>
      <c r="AE7226">
        <v>0.63790469999999999</v>
      </c>
      <c r="AF7226">
        <v>481.03100000000001</v>
      </c>
      <c r="AG7226">
        <f>IFERROR(AH7226*0.1, "N/A")</f>
        <v>6.2736660000000004</v>
      </c>
      <c r="AH7226">
        <v>62.736660000000001</v>
      </c>
      <c r="AI7226">
        <v>146.10159999999999</v>
      </c>
      <c r="AJ7226">
        <v>22.815829999999998</v>
      </c>
      <c r="AK7226">
        <v>65</v>
      </c>
    </row>
    <row r="7227" spans="1:37" x14ac:dyDescent="0.3">
      <c r="A7227">
        <v>7226</v>
      </c>
      <c r="B7227">
        <v>0.6</v>
      </c>
      <c r="C7227">
        <v>33.783329999999999</v>
      </c>
      <c r="D7227">
        <v>-13.98333</v>
      </c>
      <c r="E7227" t="s">
        <v>10796</v>
      </c>
      <c r="F7227" t="s">
        <v>10797</v>
      </c>
      <c r="G7227" t="s">
        <v>39</v>
      </c>
      <c r="H7227">
        <v>1988</v>
      </c>
      <c r="I7227">
        <v>20.2</v>
      </c>
      <c r="J7227">
        <v>12.4</v>
      </c>
      <c r="K7227">
        <v>57</v>
      </c>
      <c r="L7227">
        <v>25.552510000000002</v>
      </c>
      <c r="M7227">
        <v>30</v>
      </c>
      <c r="N7227">
        <v>8.5322089999999999</v>
      </c>
      <c r="O7227">
        <v>21.467790000000001</v>
      </c>
      <c r="P7227">
        <v>22.06729</v>
      </c>
      <c r="Q7227">
        <v>16.51315</v>
      </c>
      <c r="R7227">
        <v>22.95514</v>
      </c>
      <c r="S7227">
        <v>16.437609999999999</v>
      </c>
      <c r="T7227">
        <v>861.24279999999999</v>
      </c>
      <c r="U7227">
        <v>224</v>
      </c>
      <c r="V7227">
        <v>0</v>
      </c>
      <c r="W7227">
        <v>115</v>
      </c>
      <c r="X7227">
        <v>599.12139999999999</v>
      </c>
      <c r="Y7227">
        <v>3.946037</v>
      </c>
      <c r="Z7227">
        <v>248.67789999999999</v>
      </c>
      <c r="AA7227">
        <v>4</v>
      </c>
      <c r="AB7227">
        <v>4.1568820000000004</v>
      </c>
      <c r="AC7227">
        <v>241.68960000000001</v>
      </c>
      <c r="AD7227">
        <v>3.1174119999999998</v>
      </c>
      <c r="AE7227">
        <v>0.85523769999999999</v>
      </c>
      <c r="AF7227">
        <v>1033.366</v>
      </c>
      <c r="AG7227">
        <f>IFERROR(AH7227*0.1, "N/A")</f>
        <v>6.5350760000000001</v>
      </c>
      <c r="AH7227">
        <v>65.350759999999994</v>
      </c>
      <c r="AI7227">
        <v>224.77430000000001</v>
      </c>
      <c r="AJ7227">
        <v>26.2226</v>
      </c>
      <c r="AK7227">
        <v>60.414839999999998</v>
      </c>
    </row>
    <row r="7228" spans="1:37" x14ac:dyDescent="0.3">
      <c r="A7228">
        <v>7227</v>
      </c>
      <c r="B7228">
        <v>23</v>
      </c>
      <c r="C7228">
        <v>34.458640000000003</v>
      </c>
      <c r="D7228">
        <v>-13.77955</v>
      </c>
      <c r="E7228" t="s">
        <v>10798</v>
      </c>
      <c r="F7228" t="s">
        <v>10799</v>
      </c>
      <c r="G7228" t="s">
        <v>39</v>
      </c>
      <c r="H7228">
        <v>1985</v>
      </c>
      <c r="I7228">
        <v>24.1647</v>
      </c>
      <c r="J7228">
        <v>10.199999999999999</v>
      </c>
      <c r="K7228">
        <v>57</v>
      </c>
      <c r="L7228">
        <v>22.671759999999999</v>
      </c>
      <c r="M7228">
        <v>32.6</v>
      </c>
      <c r="N7228">
        <v>14.8</v>
      </c>
      <c r="O7228">
        <v>17.8</v>
      </c>
      <c r="P7228">
        <v>25.5</v>
      </c>
      <c r="Q7228">
        <v>22.1</v>
      </c>
      <c r="R7228">
        <v>26.8</v>
      </c>
      <c r="S7228">
        <v>20.9</v>
      </c>
      <c r="T7228">
        <v>1066.941</v>
      </c>
      <c r="U7228">
        <v>295.64699999999999</v>
      </c>
      <c r="V7228">
        <v>1</v>
      </c>
      <c r="W7228">
        <v>120.35299999999999</v>
      </c>
      <c r="X7228">
        <v>752.29390000000001</v>
      </c>
      <c r="Y7228">
        <v>3</v>
      </c>
      <c r="Z7228">
        <v>257</v>
      </c>
      <c r="AA7228">
        <v>5</v>
      </c>
      <c r="AB7228">
        <v>2.2695970000000001</v>
      </c>
      <c r="AC7228">
        <v>4.3960020000000002E-2</v>
      </c>
      <c r="AD7228">
        <v>3.5618699999999999</v>
      </c>
      <c r="AE7228">
        <v>0.70469150000000003</v>
      </c>
      <c r="AF7228">
        <v>512.82939999999996</v>
      </c>
      <c r="AG7228">
        <f>IFERROR(AH7228*0.1, "N/A")</f>
        <v>6.2643580000000005</v>
      </c>
      <c r="AH7228">
        <v>62.64358</v>
      </c>
      <c r="AI7228">
        <v>150.37379999999999</v>
      </c>
      <c r="AJ7228">
        <v>26.25169</v>
      </c>
      <c r="AK7228">
        <v>62.48142</v>
      </c>
    </row>
    <row r="7229" spans="1:37" x14ac:dyDescent="0.3">
      <c r="A7229">
        <v>7228</v>
      </c>
      <c r="B7229">
        <v>58</v>
      </c>
      <c r="C7229">
        <v>34.458640000000003</v>
      </c>
      <c r="D7229">
        <v>-13.77955</v>
      </c>
      <c r="E7229" t="s">
        <v>10798</v>
      </c>
      <c r="F7229" t="s">
        <v>10800</v>
      </c>
      <c r="G7229" t="s">
        <v>37</v>
      </c>
      <c r="H7229">
        <v>1985</v>
      </c>
      <c r="I7229">
        <v>24.1647</v>
      </c>
      <c r="J7229">
        <v>10.199999999999999</v>
      </c>
      <c r="K7229">
        <v>57</v>
      </c>
      <c r="L7229">
        <v>22.671759999999999</v>
      </c>
      <c r="M7229">
        <v>32.6</v>
      </c>
      <c r="N7229">
        <v>14.8</v>
      </c>
      <c r="O7229">
        <v>17.8</v>
      </c>
      <c r="P7229">
        <v>25.5</v>
      </c>
      <c r="Q7229">
        <v>22.1</v>
      </c>
      <c r="R7229">
        <v>26.8</v>
      </c>
      <c r="S7229">
        <v>20.9</v>
      </c>
      <c r="T7229">
        <v>1066.941</v>
      </c>
      <c r="U7229">
        <v>295.64699999999999</v>
      </c>
      <c r="V7229">
        <v>1</v>
      </c>
      <c r="W7229">
        <v>120.35299999999999</v>
      </c>
      <c r="X7229">
        <v>752.29390000000001</v>
      </c>
      <c r="Y7229">
        <v>3</v>
      </c>
      <c r="Z7229">
        <v>257</v>
      </c>
      <c r="AA7229">
        <v>5</v>
      </c>
      <c r="AB7229">
        <v>2.2695970000000001</v>
      </c>
      <c r="AC7229">
        <v>4.3960020000000002E-2</v>
      </c>
      <c r="AD7229">
        <v>3.5618699999999999</v>
      </c>
      <c r="AE7229">
        <v>0.70469150000000003</v>
      </c>
      <c r="AF7229">
        <v>512.82939999999996</v>
      </c>
      <c r="AG7229">
        <f>IFERROR(AH7229*0.1, "N/A")</f>
        <v>6.2643580000000005</v>
      </c>
      <c r="AH7229">
        <v>62.64358</v>
      </c>
      <c r="AI7229">
        <v>150.37379999999999</v>
      </c>
      <c r="AJ7229">
        <v>26.25169</v>
      </c>
      <c r="AK7229">
        <v>62.48142</v>
      </c>
    </row>
    <row r="7230" spans="1:37" x14ac:dyDescent="0.3">
      <c r="A7230">
        <v>7229</v>
      </c>
      <c r="B7230">
        <v>24</v>
      </c>
      <c r="C7230">
        <v>33.866669999999999</v>
      </c>
      <c r="D7230">
        <v>-11.01667</v>
      </c>
      <c r="E7230" t="s">
        <v>10801</v>
      </c>
      <c r="F7230" t="s">
        <v>10802</v>
      </c>
      <c r="G7230" t="s">
        <v>39</v>
      </c>
      <c r="H7230">
        <v>1985</v>
      </c>
      <c r="I7230">
        <v>20.829619999999998</v>
      </c>
      <c r="J7230">
        <v>11.7</v>
      </c>
      <c r="K7230">
        <v>55</v>
      </c>
      <c r="L7230">
        <v>25.200150000000001</v>
      </c>
      <c r="M7230">
        <v>30.178080000000001</v>
      </c>
      <c r="N7230">
        <v>9.0046230000000005</v>
      </c>
      <c r="O7230">
        <v>21.173459999999999</v>
      </c>
      <c r="P7230">
        <v>21.978079999999999</v>
      </c>
      <c r="Q7230">
        <v>18.629619999999999</v>
      </c>
      <c r="R7230">
        <v>23.70308</v>
      </c>
      <c r="S7230">
        <v>17.286639999999998</v>
      </c>
      <c r="T7230">
        <v>912.29110000000003</v>
      </c>
      <c r="U7230">
        <v>191.399</v>
      </c>
      <c r="V7230">
        <v>2</v>
      </c>
      <c r="W7230">
        <v>96.25</v>
      </c>
      <c r="X7230">
        <v>533.12670000000003</v>
      </c>
      <c r="Y7230">
        <v>12.179790000000001</v>
      </c>
      <c r="Z7230">
        <v>250.1952</v>
      </c>
      <c r="AA7230">
        <v>35.375</v>
      </c>
      <c r="AB7230">
        <v>5.6847409999999998</v>
      </c>
      <c r="AC7230">
        <v>2.4116659999999999</v>
      </c>
      <c r="AD7230">
        <v>3.3651949999999999</v>
      </c>
      <c r="AE7230">
        <v>0.57720729999999998</v>
      </c>
      <c r="AF7230">
        <v>1066.4369999999999</v>
      </c>
      <c r="AG7230">
        <f>IFERROR(AH7230*0.1, "N/A")</f>
        <v>6.1328770000000006</v>
      </c>
      <c r="AH7230">
        <v>61.328769999999999</v>
      </c>
      <c r="AI7230">
        <v>107.99</v>
      </c>
      <c r="AJ7230">
        <v>28.657530000000001</v>
      </c>
      <c r="AK7230">
        <v>58.678080000000001</v>
      </c>
    </row>
    <row r="7231" spans="1:37" x14ac:dyDescent="0.3">
      <c r="A7231">
        <v>7230</v>
      </c>
      <c r="B7231">
        <v>9</v>
      </c>
      <c r="C7231">
        <v>33.866669999999999</v>
      </c>
      <c r="D7231">
        <v>-11.01667</v>
      </c>
      <c r="E7231" t="s">
        <v>10801</v>
      </c>
      <c r="F7231" t="s">
        <v>10803</v>
      </c>
      <c r="G7231" t="s">
        <v>37</v>
      </c>
      <c r="H7231">
        <v>1985</v>
      </c>
      <c r="I7231">
        <v>20.829619999999998</v>
      </c>
      <c r="J7231">
        <v>11.7</v>
      </c>
      <c r="K7231">
        <v>55</v>
      </c>
      <c r="L7231">
        <v>25.200150000000001</v>
      </c>
      <c r="M7231">
        <v>30.178080000000001</v>
      </c>
      <c r="N7231">
        <v>9.0046230000000005</v>
      </c>
      <c r="O7231">
        <v>21.173459999999999</v>
      </c>
      <c r="P7231">
        <v>21.978079999999999</v>
      </c>
      <c r="Q7231">
        <v>18.629619999999999</v>
      </c>
      <c r="R7231">
        <v>23.70308</v>
      </c>
      <c r="S7231">
        <v>17.286639999999998</v>
      </c>
      <c r="T7231">
        <v>912.29110000000003</v>
      </c>
      <c r="U7231">
        <v>191.399</v>
      </c>
      <c r="V7231">
        <v>2</v>
      </c>
      <c r="W7231">
        <v>96.25</v>
      </c>
      <c r="X7231">
        <v>533.12670000000003</v>
      </c>
      <c r="Y7231">
        <v>12.179790000000001</v>
      </c>
      <c r="Z7231">
        <v>250.1952</v>
      </c>
      <c r="AA7231">
        <v>35.375</v>
      </c>
      <c r="AB7231">
        <v>5.6847409999999998</v>
      </c>
      <c r="AC7231">
        <v>2.4116659999999999</v>
      </c>
      <c r="AD7231">
        <v>3.3651949999999999</v>
      </c>
      <c r="AE7231">
        <v>0.57720729999999998</v>
      </c>
      <c r="AF7231">
        <v>1066.4369999999999</v>
      </c>
      <c r="AG7231">
        <f>IFERROR(AH7231*0.1, "N/A")</f>
        <v>6.1328770000000006</v>
      </c>
      <c r="AH7231">
        <v>61.328769999999999</v>
      </c>
      <c r="AI7231">
        <v>107.99</v>
      </c>
      <c r="AJ7231">
        <v>28.657530000000001</v>
      </c>
      <c r="AK7231">
        <v>58.678080000000001</v>
      </c>
    </row>
    <row r="7232" spans="1:37" x14ac:dyDescent="0.3">
      <c r="A7232">
        <v>7231</v>
      </c>
      <c r="B7232">
        <v>24</v>
      </c>
      <c r="C7232">
        <v>33.276629999999997</v>
      </c>
      <c r="D7232">
        <v>-9.7050000000000001</v>
      </c>
      <c r="E7232" t="s">
        <v>10804</v>
      </c>
      <c r="F7232" t="s">
        <v>10805</v>
      </c>
      <c r="G7232" t="s">
        <v>39</v>
      </c>
      <c r="H7232">
        <v>1985</v>
      </c>
      <c r="I7232">
        <v>21.1</v>
      </c>
      <c r="J7232">
        <v>10.3</v>
      </c>
      <c r="K7232">
        <v>58</v>
      </c>
      <c r="L7232">
        <v>18.420000000000002</v>
      </c>
      <c r="M7232">
        <v>29.9</v>
      </c>
      <c r="N7232">
        <v>12.4</v>
      </c>
      <c r="O7232">
        <v>17.5</v>
      </c>
      <c r="P7232">
        <v>21.8</v>
      </c>
      <c r="Q7232">
        <v>19.5</v>
      </c>
      <c r="R7232">
        <v>23.2</v>
      </c>
      <c r="S7232">
        <v>18.399999999999999</v>
      </c>
      <c r="T7232">
        <v>1079</v>
      </c>
      <c r="U7232">
        <v>219</v>
      </c>
      <c r="V7232">
        <v>1</v>
      </c>
      <c r="W7232">
        <v>105</v>
      </c>
      <c r="X7232">
        <v>656</v>
      </c>
      <c r="Y7232">
        <v>9</v>
      </c>
      <c r="Z7232">
        <v>318</v>
      </c>
      <c r="AA7232">
        <v>10</v>
      </c>
      <c r="AB7232">
        <v>21.554390000000001</v>
      </c>
      <c r="AC7232">
        <v>1.604071E-2</v>
      </c>
      <c r="AD7232">
        <v>2.1482290000000002</v>
      </c>
      <c r="AE7232">
        <v>0.71065250000000002</v>
      </c>
      <c r="AF7232">
        <v>1277.6890000000001</v>
      </c>
      <c r="AG7232">
        <f>IFERROR(AH7232*0.1, "N/A")</f>
        <v>6.2663210000000005</v>
      </c>
      <c r="AH7232">
        <v>62.663209999999999</v>
      </c>
      <c r="AI7232">
        <v>137.13040000000001</v>
      </c>
      <c r="AJ7232">
        <v>21.094989999999999</v>
      </c>
      <c r="AK7232">
        <v>68.996549999999999</v>
      </c>
    </row>
    <row r="7233" spans="1:37" x14ac:dyDescent="0.3">
      <c r="A7233">
        <v>7232</v>
      </c>
      <c r="B7233">
        <v>1.5</v>
      </c>
      <c r="C7233">
        <v>33.276629999999997</v>
      </c>
      <c r="D7233">
        <v>-9.7050000000000001</v>
      </c>
      <c r="E7233" t="s">
        <v>10804</v>
      </c>
      <c r="F7233" t="s">
        <v>10806</v>
      </c>
      <c r="G7233" t="s">
        <v>37</v>
      </c>
      <c r="H7233">
        <v>1985</v>
      </c>
      <c r="I7233">
        <v>21.1</v>
      </c>
      <c r="J7233">
        <v>10.3</v>
      </c>
      <c r="K7233">
        <v>58</v>
      </c>
      <c r="L7233">
        <v>18.420000000000002</v>
      </c>
      <c r="M7233">
        <v>29.9</v>
      </c>
      <c r="N7233">
        <v>12.4</v>
      </c>
      <c r="O7233">
        <v>17.5</v>
      </c>
      <c r="P7233">
        <v>21.8</v>
      </c>
      <c r="Q7233">
        <v>19.5</v>
      </c>
      <c r="R7233">
        <v>23.2</v>
      </c>
      <c r="S7233">
        <v>18.399999999999999</v>
      </c>
      <c r="T7233">
        <v>1079</v>
      </c>
      <c r="U7233">
        <v>219</v>
      </c>
      <c r="V7233">
        <v>1</v>
      </c>
      <c r="W7233">
        <v>105</v>
      </c>
      <c r="X7233">
        <v>656</v>
      </c>
      <c r="Y7233">
        <v>9</v>
      </c>
      <c r="Z7233">
        <v>318</v>
      </c>
      <c r="AA7233">
        <v>10</v>
      </c>
      <c r="AB7233">
        <v>21.554390000000001</v>
      </c>
      <c r="AC7233">
        <v>1.604071E-2</v>
      </c>
      <c r="AD7233">
        <v>2.1482290000000002</v>
      </c>
      <c r="AE7233">
        <v>0.71065250000000002</v>
      </c>
      <c r="AF7233">
        <v>1277.6890000000001</v>
      </c>
      <c r="AG7233">
        <f>IFERROR(AH7233*0.1, "N/A")</f>
        <v>6.2663210000000005</v>
      </c>
      <c r="AH7233">
        <v>62.663209999999999</v>
      </c>
      <c r="AI7233">
        <v>137.13040000000001</v>
      </c>
      <c r="AJ7233">
        <v>21.094989999999999</v>
      </c>
      <c r="AK7233">
        <v>68.996549999999999</v>
      </c>
    </row>
    <row r="7234" spans="1:37" x14ac:dyDescent="0.3">
      <c r="A7234">
        <v>7233</v>
      </c>
      <c r="B7234">
        <v>19</v>
      </c>
      <c r="C7234">
        <v>35.333329999999997</v>
      </c>
      <c r="D7234">
        <v>-15.383330000000001</v>
      </c>
      <c r="E7234" t="s">
        <v>10807</v>
      </c>
      <c r="F7234" t="s">
        <v>10808</v>
      </c>
      <c r="G7234" t="s">
        <v>39</v>
      </c>
      <c r="H7234">
        <v>1985</v>
      </c>
      <c r="I7234">
        <v>21.06683</v>
      </c>
      <c r="J7234">
        <v>10</v>
      </c>
      <c r="K7234">
        <v>55.42</v>
      </c>
      <c r="L7234">
        <v>23.607869999999998</v>
      </c>
      <c r="M7234">
        <v>29.614329999999999</v>
      </c>
      <c r="N7234">
        <v>11.75633</v>
      </c>
      <c r="O7234">
        <v>17.858000000000001</v>
      </c>
      <c r="P7234">
        <v>22.7</v>
      </c>
      <c r="Q7234">
        <v>18.8475</v>
      </c>
      <c r="R7234">
        <v>23.614329999999999</v>
      </c>
      <c r="S7234">
        <v>17.547499999999999</v>
      </c>
      <c r="T7234">
        <v>1285.8030000000001</v>
      </c>
      <c r="U7234">
        <v>287.36500000000001</v>
      </c>
      <c r="V7234">
        <v>6</v>
      </c>
      <c r="W7234">
        <v>100.6683</v>
      </c>
      <c r="X7234">
        <v>807.61500000000001</v>
      </c>
      <c r="Y7234">
        <v>22</v>
      </c>
      <c r="Z7234">
        <v>402.46499999999997</v>
      </c>
      <c r="AA7234">
        <v>27</v>
      </c>
      <c r="AB7234">
        <v>22.372509999999998</v>
      </c>
      <c r="AC7234">
        <v>1.015811E-2</v>
      </c>
      <c r="AD7234">
        <v>3.0842809999999998</v>
      </c>
      <c r="AE7234">
        <v>0.63635249999999999</v>
      </c>
      <c r="AF7234">
        <v>908.37329999999997</v>
      </c>
      <c r="AG7234">
        <f>IFERROR(AH7234*0.1, "N/A")</f>
        <v>5.5</v>
      </c>
      <c r="AH7234">
        <v>55</v>
      </c>
      <c r="AI7234">
        <v>120.12869999999999</v>
      </c>
      <c r="AJ7234">
        <v>34.58</v>
      </c>
      <c r="AK7234">
        <v>51</v>
      </c>
    </row>
    <row r="7235" spans="1:37" x14ac:dyDescent="0.3">
      <c r="A7235">
        <v>7234</v>
      </c>
      <c r="B7235">
        <v>0</v>
      </c>
      <c r="C7235">
        <v>35.333329999999997</v>
      </c>
      <c r="D7235">
        <v>-15.383330000000001</v>
      </c>
      <c r="E7235" t="s">
        <v>10807</v>
      </c>
      <c r="F7235" t="s">
        <v>10809</v>
      </c>
      <c r="G7235" t="s">
        <v>37</v>
      </c>
      <c r="H7235">
        <v>1985</v>
      </c>
      <c r="I7235">
        <v>21.06683</v>
      </c>
      <c r="J7235">
        <v>10</v>
      </c>
      <c r="K7235">
        <v>55.42</v>
      </c>
      <c r="L7235">
        <v>23.607869999999998</v>
      </c>
      <c r="M7235">
        <v>29.614329999999999</v>
      </c>
      <c r="N7235">
        <v>11.75633</v>
      </c>
      <c r="O7235">
        <v>17.858000000000001</v>
      </c>
      <c r="P7235">
        <v>22.7</v>
      </c>
      <c r="Q7235">
        <v>18.8475</v>
      </c>
      <c r="R7235">
        <v>23.614329999999999</v>
      </c>
      <c r="S7235">
        <v>17.547499999999999</v>
      </c>
      <c r="T7235">
        <v>1285.8030000000001</v>
      </c>
      <c r="U7235">
        <v>287.36500000000001</v>
      </c>
      <c r="V7235">
        <v>6</v>
      </c>
      <c r="W7235">
        <v>100.6683</v>
      </c>
      <c r="X7235">
        <v>807.61500000000001</v>
      </c>
      <c r="Y7235">
        <v>22</v>
      </c>
      <c r="Z7235">
        <v>402.46499999999997</v>
      </c>
      <c r="AA7235">
        <v>27</v>
      </c>
      <c r="AB7235">
        <v>22.372509999999998</v>
      </c>
      <c r="AC7235">
        <v>1.015811E-2</v>
      </c>
      <c r="AD7235">
        <v>3.0842809999999998</v>
      </c>
      <c r="AE7235">
        <v>0.63635249999999999</v>
      </c>
      <c r="AF7235">
        <v>908.37329999999997</v>
      </c>
      <c r="AG7235">
        <f>IFERROR(AH7235*0.1, "N/A")</f>
        <v>5.5</v>
      </c>
      <c r="AH7235">
        <v>55</v>
      </c>
      <c r="AI7235">
        <v>120.12869999999999</v>
      </c>
      <c r="AJ7235">
        <v>34.58</v>
      </c>
      <c r="AK7235">
        <v>51</v>
      </c>
    </row>
    <row r="7236" spans="1:37" x14ac:dyDescent="0.3">
      <c r="A7236">
        <v>7235</v>
      </c>
      <c r="B7236">
        <v>64</v>
      </c>
      <c r="C7236">
        <v>35.478189999999998</v>
      </c>
      <c r="D7236">
        <v>-14.94073</v>
      </c>
      <c r="E7236" t="s">
        <v>10810</v>
      </c>
      <c r="F7236" t="s">
        <v>10811</v>
      </c>
      <c r="G7236" t="s">
        <v>39</v>
      </c>
      <c r="H7236">
        <v>1985</v>
      </c>
      <c r="I7236">
        <v>23.2</v>
      </c>
      <c r="J7236">
        <v>11</v>
      </c>
      <c r="K7236">
        <v>58</v>
      </c>
      <c r="L7236">
        <v>23.17</v>
      </c>
      <c r="M7236">
        <v>32.200000000000003</v>
      </c>
      <c r="N7236">
        <v>13.4</v>
      </c>
      <c r="O7236">
        <v>18.8</v>
      </c>
      <c r="P7236">
        <v>24.7</v>
      </c>
      <c r="Q7236">
        <v>19.8</v>
      </c>
      <c r="R7236">
        <v>25.7</v>
      </c>
      <c r="S7236">
        <v>19.8</v>
      </c>
      <c r="T7236">
        <v>1064</v>
      </c>
      <c r="U7236">
        <v>237</v>
      </c>
      <c r="V7236">
        <v>5</v>
      </c>
      <c r="W7236">
        <v>107</v>
      </c>
      <c r="X7236">
        <v>693</v>
      </c>
      <c r="Y7236">
        <v>16</v>
      </c>
      <c r="Z7236">
        <v>325</v>
      </c>
      <c r="AA7236">
        <v>16</v>
      </c>
      <c r="AB7236">
        <v>23.878979999999999</v>
      </c>
      <c r="AC7236">
        <v>1.7042769999999999E-2</v>
      </c>
      <c r="AD7236">
        <v>4.238105</v>
      </c>
      <c r="AE7236">
        <v>0.59888459999999999</v>
      </c>
      <c r="AF7236">
        <v>614.51089999999999</v>
      </c>
      <c r="AG7236">
        <f>IFERROR(AH7236*0.1, "N/A")</f>
        <v>5.8003360000000006</v>
      </c>
      <c r="AH7236">
        <v>58.003360000000001</v>
      </c>
      <c r="AI7236">
        <v>173.91909999999999</v>
      </c>
      <c r="AJ7236">
        <v>17.436969999999999</v>
      </c>
      <c r="AK7236">
        <v>76.563029999999998</v>
      </c>
    </row>
    <row r="7237" spans="1:37" x14ac:dyDescent="0.3">
      <c r="A7237">
        <v>7236</v>
      </c>
      <c r="B7237">
        <v>35</v>
      </c>
      <c r="C7237">
        <v>33.935980000000001</v>
      </c>
      <c r="D7237">
        <v>-13.65147</v>
      </c>
      <c r="E7237" t="s">
        <v>10812</v>
      </c>
      <c r="F7237" t="s">
        <v>10813</v>
      </c>
      <c r="G7237" t="s">
        <v>39</v>
      </c>
      <c r="H7237">
        <v>1985</v>
      </c>
      <c r="I7237">
        <v>18.899999999999999</v>
      </c>
      <c r="J7237">
        <v>11.3</v>
      </c>
      <c r="K7237">
        <v>58</v>
      </c>
      <c r="L7237">
        <v>22.5</v>
      </c>
      <c r="M7237">
        <v>27.7</v>
      </c>
      <c r="N7237">
        <v>8.3000000000000007</v>
      </c>
      <c r="O7237">
        <v>19.399999999999999</v>
      </c>
      <c r="P7237">
        <v>20.3</v>
      </c>
      <c r="Q7237">
        <v>16.8</v>
      </c>
      <c r="R7237">
        <v>21.3</v>
      </c>
      <c r="S7237">
        <v>15.4</v>
      </c>
      <c r="T7237">
        <v>895</v>
      </c>
      <c r="U7237">
        <v>244</v>
      </c>
      <c r="V7237">
        <v>0</v>
      </c>
      <c r="W7237">
        <v>119</v>
      </c>
      <c r="X7237">
        <v>628</v>
      </c>
      <c r="Y7237">
        <v>2</v>
      </c>
      <c r="Z7237">
        <v>250</v>
      </c>
      <c r="AA7237">
        <v>4</v>
      </c>
      <c r="AB7237">
        <v>16.65089</v>
      </c>
      <c r="AC7237">
        <v>3.3943620000000001E-2</v>
      </c>
      <c r="AD7237">
        <v>4.0308859999999997</v>
      </c>
      <c r="AE7237">
        <v>0.57636310000000002</v>
      </c>
      <c r="AF7237">
        <v>1340.722</v>
      </c>
      <c r="AG7237">
        <f>IFERROR(AH7237*0.1, "N/A")</f>
        <v>5.8338380000000001</v>
      </c>
      <c r="AH7237">
        <v>58.338380000000001</v>
      </c>
      <c r="AI7237">
        <v>320.98309999999998</v>
      </c>
      <c r="AJ7237">
        <v>23.176770000000001</v>
      </c>
      <c r="AK7237">
        <v>63.382150000000003</v>
      </c>
    </row>
    <row r="7238" spans="1:37" x14ac:dyDescent="0.3">
      <c r="A7238">
        <v>7237</v>
      </c>
      <c r="B7238">
        <v>12</v>
      </c>
      <c r="C7238">
        <v>33.935980000000001</v>
      </c>
      <c r="D7238">
        <v>-13.65147</v>
      </c>
      <c r="E7238" t="s">
        <v>10812</v>
      </c>
      <c r="F7238" t="s">
        <v>10814</v>
      </c>
      <c r="G7238" t="s">
        <v>37</v>
      </c>
      <c r="H7238">
        <v>1985</v>
      </c>
      <c r="I7238">
        <v>18.899999999999999</v>
      </c>
      <c r="J7238">
        <v>11.3</v>
      </c>
      <c r="K7238">
        <v>58</v>
      </c>
      <c r="L7238">
        <v>22.5</v>
      </c>
      <c r="M7238">
        <v>27.7</v>
      </c>
      <c r="N7238">
        <v>8.3000000000000007</v>
      </c>
      <c r="O7238">
        <v>19.399999999999999</v>
      </c>
      <c r="P7238">
        <v>20.3</v>
      </c>
      <c r="Q7238">
        <v>16.8</v>
      </c>
      <c r="R7238">
        <v>21.3</v>
      </c>
      <c r="S7238">
        <v>15.4</v>
      </c>
      <c r="T7238">
        <v>895</v>
      </c>
      <c r="U7238">
        <v>244</v>
      </c>
      <c r="V7238">
        <v>0</v>
      </c>
      <c r="W7238">
        <v>119</v>
      </c>
      <c r="X7238">
        <v>628</v>
      </c>
      <c r="Y7238">
        <v>2</v>
      </c>
      <c r="Z7238">
        <v>250</v>
      </c>
      <c r="AA7238">
        <v>4</v>
      </c>
      <c r="AB7238">
        <v>16.65089</v>
      </c>
      <c r="AC7238">
        <v>3.3943620000000001E-2</v>
      </c>
      <c r="AD7238">
        <v>4.0308859999999997</v>
      </c>
      <c r="AE7238">
        <v>0.57636310000000002</v>
      </c>
      <c r="AF7238">
        <v>1340.722</v>
      </c>
      <c r="AG7238">
        <f>IFERROR(AH7238*0.1, "N/A")</f>
        <v>5.8338380000000001</v>
      </c>
      <c r="AH7238">
        <v>58.338380000000001</v>
      </c>
      <c r="AI7238">
        <v>320.98309999999998</v>
      </c>
      <c r="AJ7238">
        <v>23.176770000000001</v>
      </c>
      <c r="AK7238">
        <v>63.382150000000003</v>
      </c>
    </row>
    <row r="7239" spans="1:37" x14ac:dyDescent="0.3">
      <c r="A7239">
        <v>7238</v>
      </c>
      <c r="B7239">
        <v>10</v>
      </c>
      <c r="C7239">
        <v>33.885779999999997</v>
      </c>
      <c r="D7239">
        <v>-13.2842</v>
      </c>
      <c r="E7239" t="s">
        <v>10815</v>
      </c>
      <c r="F7239" t="s">
        <v>10816</v>
      </c>
      <c r="G7239" t="s">
        <v>39</v>
      </c>
      <c r="H7239">
        <v>1985</v>
      </c>
      <c r="I7239">
        <v>19.399999999999999</v>
      </c>
      <c r="J7239">
        <v>11</v>
      </c>
      <c r="K7239">
        <v>59</v>
      </c>
      <c r="L7239">
        <v>21.632280000000002</v>
      </c>
      <c r="M7239">
        <v>27.50084</v>
      </c>
      <c r="N7239">
        <v>9.1</v>
      </c>
      <c r="O7239">
        <v>18.400839999999999</v>
      </c>
      <c r="P7239">
        <v>21</v>
      </c>
      <c r="Q7239">
        <v>17.3</v>
      </c>
      <c r="R7239">
        <v>21.600840000000002</v>
      </c>
      <c r="S7239">
        <v>16.100000000000001</v>
      </c>
      <c r="T7239">
        <v>915.00840000000005</v>
      </c>
      <c r="U7239">
        <v>236</v>
      </c>
      <c r="V7239">
        <v>0</v>
      </c>
      <c r="W7239">
        <v>118</v>
      </c>
      <c r="X7239">
        <v>645.00840000000005</v>
      </c>
      <c r="Y7239">
        <v>2</v>
      </c>
      <c r="Z7239">
        <v>251</v>
      </c>
      <c r="AA7239">
        <v>4</v>
      </c>
      <c r="AB7239">
        <v>27.31907</v>
      </c>
      <c r="AC7239">
        <v>2.0240359999999999E-2</v>
      </c>
      <c r="AD7239">
        <v>3.1174170000000001</v>
      </c>
      <c r="AE7239">
        <v>0.52226349999999999</v>
      </c>
      <c r="AF7239">
        <v>1266.924</v>
      </c>
      <c r="AG7239">
        <f>IFERROR(AH7239*0.1, "N/A")</f>
        <v>5.8150080000000006</v>
      </c>
      <c r="AH7239">
        <v>58.150080000000003</v>
      </c>
      <c r="AI7239">
        <v>278.8417</v>
      </c>
      <c r="AJ7239">
        <v>18.976389999999999</v>
      </c>
      <c r="AK7239">
        <v>73.072509999999994</v>
      </c>
    </row>
    <row r="7240" spans="1:37" x14ac:dyDescent="0.3">
      <c r="A7240">
        <v>7239</v>
      </c>
      <c r="B7240">
        <v>2</v>
      </c>
      <c r="C7240">
        <v>33.885779999999997</v>
      </c>
      <c r="D7240">
        <v>-13.2842</v>
      </c>
      <c r="E7240" t="s">
        <v>10815</v>
      </c>
      <c r="F7240" t="s">
        <v>10817</v>
      </c>
      <c r="G7240" t="s">
        <v>37</v>
      </c>
      <c r="H7240">
        <v>1985</v>
      </c>
      <c r="I7240">
        <v>19.399999999999999</v>
      </c>
      <c r="J7240">
        <v>11</v>
      </c>
      <c r="K7240">
        <v>59</v>
      </c>
      <c r="L7240">
        <v>21.632280000000002</v>
      </c>
      <c r="M7240">
        <v>27.50084</v>
      </c>
      <c r="N7240">
        <v>9.1</v>
      </c>
      <c r="O7240">
        <v>18.400839999999999</v>
      </c>
      <c r="P7240">
        <v>21</v>
      </c>
      <c r="Q7240">
        <v>17.3</v>
      </c>
      <c r="R7240">
        <v>21.600840000000002</v>
      </c>
      <c r="S7240">
        <v>16.100000000000001</v>
      </c>
      <c r="T7240">
        <v>915.00840000000005</v>
      </c>
      <c r="U7240">
        <v>236</v>
      </c>
      <c r="V7240">
        <v>0</v>
      </c>
      <c r="W7240">
        <v>118</v>
      </c>
      <c r="X7240">
        <v>645.00840000000005</v>
      </c>
      <c r="Y7240">
        <v>2</v>
      </c>
      <c r="Z7240">
        <v>251</v>
      </c>
      <c r="AA7240">
        <v>4</v>
      </c>
      <c r="AB7240">
        <v>27.31907</v>
      </c>
      <c r="AC7240">
        <v>2.0240359999999999E-2</v>
      </c>
      <c r="AD7240">
        <v>3.1174170000000001</v>
      </c>
      <c r="AE7240">
        <v>0.52226349999999999</v>
      </c>
      <c r="AF7240">
        <v>1266.924</v>
      </c>
      <c r="AG7240">
        <f>IFERROR(AH7240*0.1, "N/A")</f>
        <v>5.8150080000000006</v>
      </c>
      <c r="AH7240">
        <v>58.150080000000003</v>
      </c>
      <c r="AI7240">
        <v>278.8417</v>
      </c>
      <c r="AJ7240">
        <v>18.976389999999999</v>
      </c>
      <c r="AK7240">
        <v>73.072509999999994</v>
      </c>
    </row>
    <row r="7241" spans="1:37" x14ac:dyDescent="0.3">
      <c r="A7241">
        <v>7240</v>
      </c>
      <c r="B7241">
        <v>64.5</v>
      </c>
      <c r="C7241">
        <v>34.816670000000002</v>
      </c>
      <c r="D7241">
        <v>-14.35</v>
      </c>
      <c r="E7241" t="s">
        <v>10818</v>
      </c>
      <c r="F7241" t="s">
        <v>10819</v>
      </c>
      <c r="G7241" t="s">
        <v>39</v>
      </c>
      <c r="H7241">
        <v>2007</v>
      </c>
      <c r="I7241">
        <v>24.218150000000001</v>
      </c>
      <c r="J7241">
        <v>10.5</v>
      </c>
      <c r="K7241">
        <v>57</v>
      </c>
      <c r="L7241">
        <v>22.28424</v>
      </c>
      <c r="M7241">
        <v>32.840670000000003</v>
      </c>
      <c r="N7241">
        <v>14.52655</v>
      </c>
      <c r="O7241">
        <v>18.314119999999999</v>
      </c>
      <c r="P7241">
        <v>25.5</v>
      </c>
      <c r="Q7241">
        <v>20.926549999999999</v>
      </c>
      <c r="R7241">
        <v>26.7</v>
      </c>
      <c r="S7241">
        <v>20.926549999999999</v>
      </c>
      <c r="T7241">
        <v>878.73450000000003</v>
      </c>
      <c r="U7241">
        <v>238</v>
      </c>
      <c r="V7241">
        <v>1</v>
      </c>
      <c r="W7241">
        <v>123.2655</v>
      </c>
      <c r="X7241">
        <v>665.26549999999997</v>
      </c>
      <c r="Y7241">
        <v>4</v>
      </c>
      <c r="Z7241">
        <v>259.73450000000003</v>
      </c>
      <c r="AA7241">
        <v>4</v>
      </c>
      <c r="AB7241">
        <v>0.2095776</v>
      </c>
      <c r="AC7241">
        <v>0.38825599999999999</v>
      </c>
      <c r="AD7241">
        <v>1.8306750000000001</v>
      </c>
      <c r="AE7241">
        <v>0.44471949999999999</v>
      </c>
      <c r="AF7241">
        <v>506.70920000000001</v>
      </c>
      <c r="AG7241">
        <f>IFERROR(AH7241*0.1, "N/A")</f>
        <v>6.5366390000000001</v>
      </c>
      <c r="AH7241">
        <v>65.366389999999996</v>
      </c>
      <c r="AI7241">
        <v>142.7807</v>
      </c>
      <c r="AJ7241">
        <v>19.94286</v>
      </c>
      <c r="AK7241">
        <v>71.366389999999996</v>
      </c>
    </row>
    <row r="7242" spans="1:37" x14ac:dyDescent="0.3">
      <c r="A7242">
        <v>7241</v>
      </c>
      <c r="B7242">
        <v>2.1</v>
      </c>
      <c r="C7242">
        <v>34.816670000000002</v>
      </c>
      <c r="D7242">
        <v>-14.35</v>
      </c>
      <c r="E7242" t="s">
        <v>10818</v>
      </c>
      <c r="F7242" t="s">
        <v>10820</v>
      </c>
      <c r="G7242" t="s">
        <v>37</v>
      </c>
      <c r="H7242">
        <v>2007</v>
      </c>
      <c r="I7242">
        <v>24.218150000000001</v>
      </c>
      <c r="J7242">
        <v>10.5</v>
      </c>
      <c r="K7242">
        <v>57</v>
      </c>
      <c r="L7242">
        <v>22.28424</v>
      </c>
      <c r="M7242">
        <v>32.840670000000003</v>
      </c>
      <c r="N7242">
        <v>14.52655</v>
      </c>
      <c r="O7242">
        <v>18.314119999999999</v>
      </c>
      <c r="P7242">
        <v>25.5</v>
      </c>
      <c r="Q7242">
        <v>20.926549999999999</v>
      </c>
      <c r="R7242">
        <v>26.7</v>
      </c>
      <c r="S7242">
        <v>20.926549999999999</v>
      </c>
      <c r="T7242">
        <v>878.73450000000003</v>
      </c>
      <c r="U7242">
        <v>238</v>
      </c>
      <c r="V7242">
        <v>1</v>
      </c>
      <c r="W7242">
        <v>123.2655</v>
      </c>
      <c r="X7242">
        <v>665.26549999999997</v>
      </c>
      <c r="Y7242">
        <v>4</v>
      </c>
      <c r="Z7242">
        <v>259.73450000000003</v>
      </c>
      <c r="AA7242">
        <v>4</v>
      </c>
      <c r="AB7242">
        <v>0.2095776</v>
      </c>
      <c r="AC7242">
        <v>0.38825599999999999</v>
      </c>
      <c r="AD7242">
        <v>1.8306750000000001</v>
      </c>
      <c r="AE7242">
        <v>0.44471949999999999</v>
      </c>
      <c r="AF7242">
        <v>506.70920000000001</v>
      </c>
      <c r="AG7242">
        <f>IFERROR(AH7242*0.1, "N/A")</f>
        <v>6.5366390000000001</v>
      </c>
      <c r="AH7242">
        <v>65.366389999999996</v>
      </c>
      <c r="AI7242">
        <v>142.7807</v>
      </c>
      <c r="AJ7242">
        <v>19.94286</v>
      </c>
      <c r="AK7242">
        <v>71.366389999999996</v>
      </c>
    </row>
    <row r="7243" spans="1:37" x14ac:dyDescent="0.3">
      <c r="A7243">
        <v>7242</v>
      </c>
      <c r="B7243">
        <v>37</v>
      </c>
      <c r="C7243">
        <v>34.083329999999997</v>
      </c>
      <c r="D7243">
        <v>-12.466670000000001</v>
      </c>
      <c r="E7243" t="s">
        <v>10821</v>
      </c>
      <c r="F7243" t="s">
        <v>10822</v>
      </c>
      <c r="G7243" t="s">
        <v>39</v>
      </c>
      <c r="H7243">
        <v>1985</v>
      </c>
      <c r="I7243">
        <v>23.880240000000001</v>
      </c>
      <c r="J7243">
        <v>9.7197610000000001</v>
      </c>
      <c r="K7243">
        <v>57.197609999999997</v>
      </c>
      <c r="L7243">
        <v>20.375620000000001</v>
      </c>
      <c r="M7243">
        <v>31.480239999999998</v>
      </c>
      <c r="N7243">
        <v>14.68024</v>
      </c>
      <c r="O7243">
        <v>16.8</v>
      </c>
      <c r="P7243">
        <v>24.885860000000001</v>
      </c>
      <c r="Q7243">
        <v>23.680240000000001</v>
      </c>
      <c r="R7243">
        <v>26.08586</v>
      </c>
      <c r="S7243">
        <v>20.780239999999999</v>
      </c>
      <c r="T7243">
        <v>1467.55</v>
      </c>
      <c r="U7243">
        <v>327.80239999999998</v>
      </c>
      <c r="V7243">
        <v>2</v>
      </c>
      <c r="W7243">
        <v>101</v>
      </c>
      <c r="X7243">
        <v>889.40719999999999</v>
      </c>
      <c r="Y7243">
        <v>11</v>
      </c>
      <c r="Z7243">
        <v>325</v>
      </c>
      <c r="AA7243">
        <v>24.50085</v>
      </c>
      <c r="AB7243">
        <v>1.216696</v>
      </c>
      <c r="AC7243">
        <v>0.30963069999999998</v>
      </c>
      <c r="AD7243">
        <v>0.6492694</v>
      </c>
      <c r="AE7243">
        <v>0.55691139999999995</v>
      </c>
      <c r="AF7243">
        <v>504.87729999999999</v>
      </c>
      <c r="AG7243">
        <f>IFERROR(AH7243*0.1, "N/A")</f>
        <v>6.6000000000000005</v>
      </c>
      <c r="AH7243">
        <v>66</v>
      </c>
      <c r="AI7243">
        <v>174.10069999999999</v>
      </c>
      <c r="AJ7243">
        <v>21.197610000000001</v>
      </c>
      <c r="AK7243">
        <v>68.604770000000002</v>
      </c>
    </row>
    <row r="7244" spans="1:37" x14ac:dyDescent="0.3">
      <c r="A7244">
        <v>7243</v>
      </c>
      <c r="B7244">
        <v>14</v>
      </c>
      <c r="C7244">
        <v>34.083329999999997</v>
      </c>
      <c r="D7244">
        <v>-12.466670000000001</v>
      </c>
      <c r="E7244" t="s">
        <v>10821</v>
      </c>
      <c r="F7244" t="s">
        <v>10823</v>
      </c>
      <c r="G7244" t="s">
        <v>37</v>
      </c>
      <c r="H7244">
        <v>1985</v>
      </c>
      <c r="I7244">
        <v>23.880240000000001</v>
      </c>
      <c r="J7244">
        <v>9.7197610000000001</v>
      </c>
      <c r="K7244">
        <v>57.197609999999997</v>
      </c>
      <c r="L7244">
        <v>20.375620000000001</v>
      </c>
      <c r="M7244">
        <v>31.480239999999998</v>
      </c>
      <c r="N7244">
        <v>14.68024</v>
      </c>
      <c r="O7244">
        <v>16.8</v>
      </c>
      <c r="P7244">
        <v>24.885860000000001</v>
      </c>
      <c r="Q7244">
        <v>23.680240000000001</v>
      </c>
      <c r="R7244">
        <v>26.08586</v>
      </c>
      <c r="S7244">
        <v>20.780239999999999</v>
      </c>
      <c r="T7244">
        <v>1467.55</v>
      </c>
      <c r="U7244">
        <v>327.80239999999998</v>
      </c>
      <c r="V7244">
        <v>2</v>
      </c>
      <c r="W7244">
        <v>101</v>
      </c>
      <c r="X7244">
        <v>889.40719999999999</v>
      </c>
      <c r="Y7244">
        <v>11</v>
      </c>
      <c r="Z7244">
        <v>325</v>
      </c>
      <c r="AA7244">
        <v>24.50085</v>
      </c>
      <c r="AB7244">
        <v>1.216696</v>
      </c>
      <c r="AC7244">
        <v>0.30963069999999998</v>
      </c>
      <c r="AD7244">
        <v>0.6492694</v>
      </c>
      <c r="AE7244">
        <v>0.55691139999999995</v>
      </c>
      <c r="AF7244">
        <v>504.87729999999999</v>
      </c>
      <c r="AG7244">
        <f>IFERROR(AH7244*0.1, "N/A")</f>
        <v>6.6000000000000005</v>
      </c>
      <c r="AH7244">
        <v>66</v>
      </c>
      <c r="AI7244">
        <v>174.10069999999999</v>
      </c>
      <c r="AJ7244">
        <v>21.197610000000001</v>
      </c>
      <c r="AK7244">
        <v>68.604770000000002</v>
      </c>
    </row>
    <row r="7245" spans="1:37" x14ac:dyDescent="0.3">
      <c r="A7245">
        <v>7244</v>
      </c>
      <c r="B7245">
        <v>90</v>
      </c>
      <c r="C7245">
        <v>35.170879999999997</v>
      </c>
      <c r="D7245">
        <v>-16.728819999999999</v>
      </c>
      <c r="E7245" t="s">
        <v>10824</v>
      </c>
      <c r="F7245" t="s">
        <v>10825</v>
      </c>
      <c r="G7245" t="s">
        <v>39</v>
      </c>
      <c r="H7245">
        <v>1985</v>
      </c>
      <c r="I7245">
        <v>24.9</v>
      </c>
      <c r="J7245">
        <v>12.7</v>
      </c>
      <c r="K7245">
        <v>58</v>
      </c>
      <c r="L7245">
        <v>27.96</v>
      </c>
      <c r="M7245">
        <v>35.299999999999997</v>
      </c>
      <c r="N7245">
        <v>13.6</v>
      </c>
      <c r="O7245">
        <v>21.7</v>
      </c>
      <c r="P7245">
        <v>27.1</v>
      </c>
      <c r="Q7245">
        <v>22.4</v>
      </c>
      <c r="R7245">
        <v>27.7</v>
      </c>
      <c r="S7245">
        <v>20.8</v>
      </c>
      <c r="T7245">
        <v>1033</v>
      </c>
      <c r="U7245">
        <v>210</v>
      </c>
      <c r="V7245">
        <v>10</v>
      </c>
      <c r="W7245">
        <v>88</v>
      </c>
      <c r="X7245">
        <v>600</v>
      </c>
      <c r="Y7245">
        <v>48</v>
      </c>
      <c r="Z7245">
        <v>327</v>
      </c>
      <c r="AA7245">
        <v>63</v>
      </c>
      <c r="AB7245">
        <v>3.9425500000000002</v>
      </c>
      <c r="AC7245">
        <v>0.32946370000000003</v>
      </c>
      <c r="AD7245">
        <v>2.0055429999999999</v>
      </c>
      <c r="AE7245">
        <v>0.27716829999999998</v>
      </c>
      <c r="AF7245">
        <v>202.7997</v>
      </c>
      <c r="AG7245">
        <f>IFERROR(AH7245*0.1, "N/A")</f>
        <v>6.5463579999999997</v>
      </c>
      <c r="AH7245">
        <v>65.463579999999993</v>
      </c>
      <c r="AI7245">
        <v>60.924619999999997</v>
      </c>
      <c r="AJ7245">
        <v>24.317879999999999</v>
      </c>
      <c r="AK7245">
        <v>59.682119999999998</v>
      </c>
    </row>
    <row r="7246" spans="1:37" x14ac:dyDescent="0.3">
      <c r="A7246">
        <v>7245</v>
      </c>
      <c r="B7246">
        <v>57</v>
      </c>
      <c r="C7246">
        <v>35.253300000000003</v>
      </c>
      <c r="D7246">
        <v>-14.48617</v>
      </c>
      <c r="E7246" t="s">
        <v>10826</v>
      </c>
      <c r="F7246" t="s">
        <v>10827</v>
      </c>
      <c r="G7246" t="s">
        <v>39</v>
      </c>
      <c r="H7246">
        <v>1985</v>
      </c>
      <c r="I7246">
        <v>24.3</v>
      </c>
      <c r="J7246">
        <v>11</v>
      </c>
      <c r="K7246">
        <v>56</v>
      </c>
      <c r="L7246">
        <v>24.66</v>
      </c>
      <c r="M7246">
        <v>33.6</v>
      </c>
      <c r="N7246">
        <v>14.2</v>
      </c>
      <c r="O7246">
        <v>19.399999999999999</v>
      </c>
      <c r="P7246">
        <v>25.8</v>
      </c>
      <c r="Q7246">
        <v>20.7</v>
      </c>
      <c r="R7246">
        <v>27</v>
      </c>
      <c r="S7246">
        <v>20.7</v>
      </c>
      <c r="T7246">
        <v>839</v>
      </c>
      <c r="U7246">
        <v>213</v>
      </c>
      <c r="V7246">
        <v>2</v>
      </c>
      <c r="W7246">
        <v>114</v>
      </c>
      <c r="X7246">
        <v>575</v>
      </c>
      <c r="Y7246">
        <v>8</v>
      </c>
      <c r="Z7246">
        <v>233</v>
      </c>
      <c r="AA7246">
        <v>8</v>
      </c>
      <c r="AB7246">
        <v>2.0558640000000001</v>
      </c>
      <c r="AC7246">
        <v>1.004593E-2</v>
      </c>
      <c r="AD7246">
        <v>1.907986</v>
      </c>
      <c r="AE7246">
        <v>0.83566200000000002</v>
      </c>
      <c r="AF7246">
        <v>483.61739999999998</v>
      </c>
      <c r="AG7246">
        <f>IFERROR(AH7246*0.1, "N/A")</f>
        <v>6.7432890000000008</v>
      </c>
      <c r="AH7246">
        <v>67.43289</v>
      </c>
      <c r="AI7246">
        <v>178.58070000000001</v>
      </c>
      <c r="AJ7246">
        <v>21.43289</v>
      </c>
      <c r="AK7246">
        <v>69.56711</v>
      </c>
    </row>
    <row r="7247" spans="1:37" x14ac:dyDescent="0.3">
      <c r="A7247">
        <v>7246</v>
      </c>
      <c r="B7247">
        <v>72</v>
      </c>
      <c r="C7247">
        <v>33.783329999999999</v>
      </c>
      <c r="D7247">
        <v>-13.98333</v>
      </c>
      <c r="E7247" t="s">
        <v>10796</v>
      </c>
      <c r="F7247" t="s">
        <v>10828</v>
      </c>
      <c r="G7247" t="s">
        <v>37</v>
      </c>
      <c r="H7247">
        <v>1985</v>
      </c>
      <c r="I7247">
        <v>20.2</v>
      </c>
      <c r="J7247">
        <v>12.4</v>
      </c>
      <c r="K7247">
        <v>57</v>
      </c>
      <c r="L7247">
        <v>25.552510000000002</v>
      </c>
      <c r="M7247">
        <v>30</v>
      </c>
      <c r="N7247">
        <v>8.5322089999999999</v>
      </c>
      <c r="O7247">
        <v>21.467790000000001</v>
      </c>
      <c r="P7247">
        <v>22.06729</v>
      </c>
      <c r="Q7247">
        <v>16.51315</v>
      </c>
      <c r="R7247">
        <v>22.95514</v>
      </c>
      <c r="S7247">
        <v>16.437609999999999</v>
      </c>
      <c r="T7247">
        <v>861.24279999999999</v>
      </c>
      <c r="U7247">
        <v>224</v>
      </c>
      <c r="V7247">
        <v>0</v>
      </c>
      <c r="W7247">
        <v>115</v>
      </c>
      <c r="X7247">
        <v>599.12139999999999</v>
      </c>
      <c r="Y7247">
        <v>3.946037</v>
      </c>
      <c r="Z7247">
        <v>248.67789999999999</v>
      </c>
      <c r="AA7247">
        <v>4</v>
      </c>
      <c r="AB7247">
        <v>4.1568820000000004</v>
      </c>
      <c r="AC7247">
        <v>241.68960000000001</v>
      </c>
      <c r="AD7247">
        <v>3.1174119999999998</v>
      </c>
      <c r="AE7247">
        <v>0.85523769999999999</v>
      </c>
      <c r="AF7247">
        <v>1033.366</v>
      </c>
      <c r="AG7247">
        <f>IFERROR(AH7247*0.1, "N/A")</f>
        <v>6.5350760000000001</v>
      </c>
      <c r="AH7247">
        <v>65.350759999999994</v>
      </c>
      <c r="AI7247">
        <v>224.77430000000001</v>
      </c>
      <c r="AJ7247">
        <v>26.2226</v>
      </c>
      <c r="AK7247">
        <v>60.414839999999998</v>
      </c>
    </row>
    <row r="7248" spans="1:37" x14ac:dyDescent="0.3">
      <c r="A7248">
        <v>7247</v>
      </c>
      <c r="B7248">
        <v>64</v>
      </c>
      <c r="C7248">
        <v>35.258800000000001</v>
      </c>
      <c r="D7248">
        <v>-15.742319999999999</v>
      </c>
      <c r="E7248" t="s">
        <v>10829</v>
      </c>
      <c r="F7248" t="s">
        <v>10830</v>
      </c>
      <c r="G7248" t="s">
        <v>39</v>
      </c>
      <c r="H7248">
        <v>1985</v>
      </c>
      <c r="I7248">
        <v>21.5</v>
      </c>
      <c r="J7248">
        <v>10.4</v>
      </c>
      <c r="K7248">
        <v>57</v>
      </c>
      <c r="L7248">
        <v>24.2501</v>
      </c>
      <c r="M7248">
        <v>30.2</v>
      </c>
      <c r="N7248">
        <v>12</v>
      </c>
      <c r="O7248">
        <v>18.2</v>
      </c>
      <c r="P7248">
        <v>23.4</v>
      </c>
      <c r="Q7248">
        <v>19.267440000000001</v>
      </c>
      <c r="R7248">
        <v>24</v>
      </c>
      <c r="S7248">
        <v>17.899999999999999</v>
      </c>
      <c r="T7248">
        <v>1294.3689999999999</v>
      </c>
      <c r="U7248">
        <v>274.67439999999999</v>
      </c>
      <c r="V7248">
        <v>9.6744190000000003</v>
      </c>
      <c r="W7248">
        <v>91.325580000000002</v>
      </c>
      <c r="X7248">
        <v>751.66110000000003</v>
      </c>
      <c r="Y7248">
        <v>38.348840000000003</v>
      </c>
      <c r="Z7248">
        <v>392.34219999999999</v>
      </c>
      <c r="AA7248">
        <v>48.674419999999998</v>
      </c>
      <c r="AB7248">
        <v>1.7207589999999999</v>
      </c>
      <c r="AC7248">
        <v>0.72700830000000005</v>
      </c>
      <c r="AD7248">
        <v>1.8582559999999999</v>
      </c>
      <c r="AE7248">
        <v>0.65375229999999995</v>
      </c>
      <c r="AF7248">
        <v>818.20600000000002</v>
      </c>
      <c r="AG7248">
        <f>IFERROR(AH7248*0.1, "N/A")</f>
        <v>5.8000000000000007</v>
      </c>
      <c r="AH7248">
        <v>58</v>
      </c>
      <c r="AI7248">
        <v>35.565260000000002</v>
      </c>
      <c r="AJ7248">
        <v>21.993359999999999</v>
      </c>
      <c r="AK7248">
        <v>67.64452</v>
      </c>
    </row>
    <row r="7249" spans="1:37" x14ac:dyDescent="0.3">
      <c r="A7249">
        <v>7248</v>
      </c>
      <c r="B7249">
        <v>65</v>
      </c>
      <c r="C7249">
        <v>34.774079999999998</v>
      </c>
      <c r="D7249">
        <v>-16.19584</v>
      </c>
      <c r="E7249" t="s">
        <v>10831</v>
      </c>
      <c r="F7249" t="s">
        <v>10832</v>
      </c>
      <c r="G7249" t="s">
        <v>39</v>
      </c>
      <c r="H7249">
        <v>1985</v>
      </c>
      <c r="I7249">
        <v>26</v>
      </c>
      <c r="J7249">
        <v>12.1</v>
      </c>
      <c r="K7249">
        <v>55</v>
      </c>
      <c r="L7249">
        <v>29.299250000000001</v>
      </c>
      <c r="M7249">
        <v>36.200000000000003</v>
      </c>
      <c r="N7249">
        <v>14.5</v>
      </c>
      <c r="O7249">
        <v>21.7</v>
      </c>
      <c r="P7249">
        <v>28.205970000000001</v>
      </c>
      <c r="Q7249">
        <v>23.3</v>
      </c>
      <c r="R7249">
        <v>29.1</v>
      </c>
      <c r="S7249">
        <v>21.7</v>
      </c>
      <c r="T7249">
        <v>785</v>
      </c>
      <c r="U7249">
        <v>179</v>
      </c>
      <c r="V7249">
        <v>4</v>
      </c>
      <c r="W7249">
        <v>98</v>
      </c>
      <c r="X7249">
        <v>499</v>
      </c>
      <c r="Y7249">
        <v>23</v>
      </c>
      <c r="Z7249">
        <v>255</v>
      </c>
      <c r="AA7249">
        <v>35</v>
      </c>
      <c r="AB7249">
        <v>0.75522279999999997</v>
      </c>
      <c r="AC7249">
        <v>5.0557100000000001E-2</v>
      </c>
      <c r="AD7249">
        <v>0.87817279999999998</v>
      </c>
      <c r="AE7249">
        <v>0.61484680000000003</v>
      </c>
      <c r="AF7249">
        <v>95.587059999999994</v>
      </c>
      <c r="AG7249">
        <f>IFERROR(AH7249*0.1, "N/A")</f>
        <v>6.9996679999999998</v>
      </c>
      <c r="AH7249">
        <v>69.996679999999998</v>
      </c>
      <c r="AI7249">
        <v>167.50890000000001</v>
      </c>
      <c r="AJ7249">
        <v>21</v>
      </c>
      <c r="AK7249">
        <v>68.940299999999993</v>
      </c>
    </row>
    <row r="7250" spans="1:37" x14ac:dyDescent="0.3">
      <c r="A7250">
        <v>7249</v>
      </c>
      <c r="B7250">
        <v>78</v>
      </c>
      <c r="C7250">
        <v>35.658749999999998</v>
      </c>
      <c r="D7250">
        <v>-15.76333</v>
      </c>
      <c r="E7250" t="s">
        <v>10833</v>
      </c>
      <c r="F7250" t="s">
        <v>10834</v>
      </c>
      <c r="G7250" t="s">
        <v>39</v>
      </c>
      <c r="H7250">
        <v>1985</v>
      </c>
      <c r="I7250">
        <v>21.9</v>
      </c>
      <c r="J7250">
        <v>11.3611</v>
      </c>
      <c r="K7250">
        <v>59.611020000000003</v>
      </c>
      <c r="L7250">
        <v>23.372240000000001</v>
      </c>
      <c r="M7250">
        <v>30.9389</v>
      </c>
      <c r="N7250">
        <v>12.0389</v>
      </c>
      <c r="O7250">
        <v>18.899999999999999</v>
      </c>
      <c r="P7250">
        <v>23.538900000000002</v>
      </c>
      <c r="Q7250">
        <v>19.600000000000001</v>
      </c>
      <c r="R7250">
        <v>24.2</v>
      </c>
      <c r="S7250">
        <v>18.399999999999999</v>
      </c>
      <c r="T7250">
        <v>1682.499</v>
      </c>
      <c r="U7250">
        <v>311.61099999999999</v>
      </c>
      <c r="V7250">
        <v>19</v>
      </c>
      <c r="W7250">
        <v>81</v>
      </c>
      <c r="X7250">
        <v>892.44410000000005</v>
      </c>
      <c r="Y7250">
        <v>81.611019999999996</v>
      </c>
      <c r="Z7250">
        <v>462.22199999999998</v>
      </c>
      <c r="AA7250">
        <v>108.22199999999999</v>
      </c>
      <c r="AB7250">
        <v>9.2806350000000002</v>
      </c>
      <c r="AC7250">
        <v>0.45144990000000002</v>
      </c>
      <c r="AD7250">
        <v>1.6640459999999999</v>
      </c>
      <c r="AE7250">
        <v>0.71269320000000003</v>
      </c>
      <c r="AF7250">
        <v>756.27710000000002</v>
      </c>
      <c r="AG7250">
        <f>IFERROR(AH7250*0.1, "N/A")</f>
        <v>5.924207</v>
      </c>
      <c r="AH7250">
        <v>59.242069999999998</v>
      </c>
      <c r="AI7250">
        <v>131.46619999999999</v>
      </c>
      <c r="AJ7250">
        <v>23.485810000000001</v>
      </c>
      <c r="AK7250">
        <v>65.417360000000002</v>
      </c>
    </row>
    <row r="7251" spans="1:37" x14ac:dyDescent="0.3">
      <c r="A7251">
        <v>7250</v>
      </c>
      <c r="B7251">
        <v>0</v>
      </c>
      <c r="C7251">
        <v>-9.9830970000000008</v>
      </c>
      <c r="D7251">
        <v>6.9761499999999996</v>
      </c>
      <c r="E7251">
        <f>-9.983097-6.97615</f>
        <v>-16.959247000000001</v>
      </c>
      <c r="F7251" t="s">
        <v>10835</v>
      </c>
      <c r="G7251" t="s">
        <v>39</v>
      </c>
      <c r="H7251">
        <v>1983</v>
      </c>
      <c r="I7251">
        <v>26.398779999999999</v>
      </c>
      <c r="J7251">
        <v>11.2</v>
      </c>
      <c r="K7251">
        <v>81.012169999999998</v>
      </c>
      <c r="L7251">
        <v>8.6384179999999997</v>
      </c>
      <c r="M7251">
        <v>33.598779999999998</v>
      </c>
      <c r="N7251">
        <v>19.899999999999999</v>
      </c>
      <c r="O7251">
        <v>13.698779999999999</v>
      </c>
      <c r="P7251">
        <v>25.1</v>
      </c>
      <c r="Q7251">
        <v>26.598780000000001</v>
      </c>
      <c r="R7251">
        <v>27.098780000000001</v>
      </c>
      <c r="S7251">
        <v>25.1</v>
      </c>
      <c r="T7251">
        <v>2283.0309999999999</v>
      </c>
      <c r="U7251">
        <v>415.6087</v>
      </c>
      <c r="V7251">
        <v>22.012170000000001</v>
      </c>
      <c r="W7251">
        <v>58.596519999999998</v>
      </c>
      <c r="X7251">
        <v>978.39829999999995</v>
      </c>
      <c r="Y7251">
        <v>136.01220000000001</v>
      </c>
      <c r="Z7251">
        <v>442.01220000000001</v>
      </c>
      <c r="AA7251">
        <v>978.39829999999995</v>
      </c>
      <c r="AB7251">
        <v>8.2113010000000006</v>
      </c>
      <c r="AC7251">
        <v>1.031582E-2</v>
      </c>
      <c r="AD7251">
        <v>2.5959279999999998</v>
      </c>
      <c r="AE7251">
        <v>0.3175791</v>
      </c>
      <c r="AF7251">
        <v>200.37039999999999</v>
      </c>
      <c r="AG7251">
        <f>IFERROR(AH7251*0.1, "N/A")</f>
        <v>5.1704350000000003</v>
      </c>
      <c r="AH7251">
        <v>51.704349999999998</v>
      </c>
      <c r="AI7251">
        <v>160.66630000000001</v>
      </c>
      <c r="AJ7251">
        <v>19.351299999999998</v>
      </c>
      <c r="AK7251">
        <v>62.577390000000001</v>
      </c>
    </row>
    <row r="7252" spans="1:37" x14ac:dyDescent="0.3">
      <c r="A7252">
        <v>7251</v>
      </c>
      <c r="B7252">
        <v>25</v>
      </c>
      <c r="C7252">
        <v>-9.9830970000000008</v>
      </c>
      <c r="D7252">
        <v>6.9761499999999996</v>
      </c>
      <c r="E7252">
        <f>-9.983097-6.97615</f>
        <v>-16.959247000000001</v>
      </c>
      <c r="F7252" t="s">
        <v>10836</v>
      </c>
      <c r="G7252" t="s">
        <v>37</v>
      </c>
      <c r="H7252">
        <v>1983</v>
      </c>
      <c r="I7252">
        <v>26.398779999999999</v>
      </c>
      <c r="J7252">
        <v>11.2</v>
      </c>
      <c r="K7252">
        <v>81.012169999999998</v>
      </c>
      <c r="L7252">
        <v>8.6384179999999997</v>
      </c>
      <c r="M7252">
        <v>33.598779999999998</v>
      </c>
      <c r="N7252">
        <v>19.899999999999999</v>
      </c>
      <c r="O7252">
        <v>13.698779999999999</v>
      </c>
      <c r="P7252">
        <v>25.1</v>
      </c>
      <c r="Q7252">
        <v>26.598780000000001</v>
      </c>
      <c r="R7252">
        <v>27.098780000000001</v>
      </c>
      <c r="S7252">
        <v>25.1</v>
      </c>
      <c r="T7252">
        <v>2283.0309999999999</v>
      </c>
      <c r="U7252">
        <v>415.6087</v>
      </c>
      <c r="V7252">
        <v>22.012170000000001</v>
      </c>
      <c r="W7252">
        <v>58.596519999999998</v>
      </c>
      <c r="X7252">
        <v>978.39829999999995</v>
      </c>
      <c r="Y7252">
        <v>136.01220000000001</v>
      </c>
      <c r="Z7252">
        <v>442.01220000000001</v>
      </c>
      <c r="AA7252">
        <v>978.39829999999995</v>
      </c>
      <c r="AB7252">
        <v>8.2113010000000006</v>
      </c>
      <c r="AC7252">
        <v>1.031582E-2</v>
      </c>
      <c r="AD7252">
        <v>2.5959279999999998</v>
      </c>
      <c r="AE7252">
        <v>0.3175791</v>
      </c>
      <c r="AF7252">
        <v>200.37039999999999</v>
      </c>
      <c r="AG7252">
        <f>IFERROR(AH7252*0.1, "N/A")</f>
        <v>5.1704350000000003</v>
      </c>
      <c r="AH7252">
        <v>51.704349999999998</v>
      </c>
      <c r="AI7252">
        <v>160.66630000000001</v>
      </c>
      <c r="AJ7252">
        <v>19.351299999999998</v>
      </c>
      <c r="AK7252">
        <v>62.577390000000001</v>
      </c>
    </row>
    <row r="7253" spans="1:37" x14ac:dyDescent="0.3">
      <c r="A7253">
        <v>7252</v>
      </c>
      <c r="B7253">
        <v>16.2</v>
      </c>
      <c r="C7253">
        <v>-9.589639</v>
      </c>
      <c r="D7253">
        <v>7.1222529999999997</v>
      </c>
      <c r="E7253">
        <f>-9.589639-7.122253</f>
        <v>-16.711891999999999</v>
      </c>
      <c r="F7253" t="s">
        <v>10837</v>
      </c>
      <c r="G7253" t="s">
        <v>39</v>
      </c>
      <c r="H7253">
        <v>1983</v>
      </c>
      <c r="I7253">
        <v>25.2</v>
      </c>
      <c r="J7253">
        <v>12.2</v>
      </c>
      <c r="K7253">
        <v>77</v>
      </c>
      <c r="L7253">
        <v>7.32</v>
      </c>
      <c r="M7253">
        <v>33.4</v>
      </c>
      <c r="N7253">
        <v>17.7</v>
      </c>
      <c r="O7253">
        <v>15.7</v>
      </c>
      <c r="P7253">
        <v>24.6</v>
      </c>
      <c r="Q7253">
        <v>25.4</v>
      </c>
      <c r="R7253">
        <v>25.8</v>
      </c>
      <c r="S7253">
        <v>24.1</v>
      </c>
      <c r="T7253">
        <v>2048</v>
      </c>
      <c r="U7253">
        <v>383</v>
      </c>
      <c r="V7253">
        <v>20</v>
      </c>
      <c r="W7253">
        <v>57</v>
      </c>
      <c r="X7253">
        <v>855</v>
      </c>
      <c r="Y7253">
        <v>121</v>
      </c>
      <c r="Z7253">
        <v>391</v>
      </c>
      <c r="AA7253">
        <v>839</v>
      </c>
      <c r="AB7253">
        <v>37.101390000000002</v>
      </c>
      <c r="AC7253">
        <v>8.4832029999999999E-3</v>
      </c>
      <c r="AD7253">
        <v>10.78783</v>
      </c>
      <c r="AE7253">
        <v>0.1740544</v>
      </c>
      <c r="AF7253">
        <v>333.93060000000003</v>
      </c>
      <c r="AG7253">
        <f>IFERROR(AH7253*0.1, "N/A")</f>
        <v>5.2269100000000002</v>
      </c>
      <c r="AH7253">
        <v>52.269100000000002</v>
      </c>
      <c r="AI7253">
        <v>136.70910000000001</v>
      </c>
      <c r="AJ7253">
        <v>24.800350000000002</v>
      </c>
      <c r="AK7253">
        <v>57.93056</v>
      </c>
    </row>
    <row r="7254" spans="1:37" x14ac:dyDescent="0.3">
      <c r="A7254">
        <v>7253</v>
      </c>
      <c r="B7254">
        <v>7.1</v>
      </c>
      <c r="C7254">
        <v>-9.589639</v>
      </c>
      <c r="D7254">
        <v>7.1222529999999997</v>
      </c>
      <c r="E7254">
        <f>-9.589639-7.122253</f>
        <v>-16.711891999999999</v>
      </c>
      <c r="F7254" t="s">
        <v>10838</v>
      </c>
      <c r="G7254" t="s">
        <v>37</v>
      </c>
      <c r="H7254">
        <v>1983</v>
      </c>
      <c r="I7254">
        <v>25.2</v>
      </c>
      <c r="J7254">
        <v>12.2</v>
      </c>
      <c r="K7254">
        <v>77</v>
      </c>
      <c r="L7254">
        <v>7.32</v>
      </c>
      <c r="M7254">
        <v>33.4</v>
      </c>
      <c r="N7254">
        <v>17.7</v>
      </c>
      <c r="O7254">
        <v>15.7</v>
      </c>
      <c r="P7254">
        <v>24.6</v>
      </c>
      <c r="Q7254">
        <v>25.4</v>
      </c>
      <c r="R7254">
        <v>25.8</v>
      </c>
      <c r="S7254">
        <v>24.1</v>
      </c>
      <c r="T7254">
        <v>2048</v>
      </c>
      <c r="U7254">
        <v>383</v>
      </c>
      <c r="V7254">
        <v>20</v>
      </c>
      <c r="W7254">
        <v>57</v>
      </c>
      <c r="X7254">
        <v>855</v>
      </c>
      <c r="Y7254">
        <v>121</v>
      </c>
      <c r="Z7254">
        <v>391</v>
      </c>
      <c r="AA7254">
        <v>839</v>
      </c>
      <c r="AB7254">
        <v>37.101390000000002</v>
      </c>
      <c r="AC7254">
        <v>8.4832029999999999E-3</v>
      </c>
      <c r="AD7254">
        <v>10.78783</v>
      </c>
      <c r="AE7254">
        <v>0.1740544</v>
      </c>
      <c r="AF7254">
        <v>333.93060000000003</v>
      </c>
      <c r="AG7254">
        <f>IFERROR(AH7254*0.1, "N/A")</f>
        <v>5.2269100000000002</v>
      </c>
      <c r="AH7254">
        <v>52.269100000000002</v>
      </c>
      <c r="AI7254">
        <v>136.70910000000001</v>
      </c>
      <c r="AJ7254">
        <v>24.800350000000002</v>
      </c>
      <c r="AK7254">
        <v>57.93056</v>
      </c>
    </row>
    <row r="7255" spans="1:37" x14ac:dyDescent="0.3">
      <c r="A7255">
        <v>7254</v>
      </c>
      <c r="B7255">
        <v>26.7</v>
      </c>
      <c r="C7255">
        <v>-9.1833720000000003</v>
      </c>
      <c r="D7255">
        <v>6.843261</v>
      </c>
      <c r="E7255">
        <f>-9.183372-6.843261</f>
        <v>-16.026633</v>
      </c>
      <c r="F7255" t="s">
        <v>10839</v>
      </c>
      <c r="G7255" t="s">
        <v>39</v>
      </c>
      <c r="H7255">
        <v>1983</v>
      </c>
      <c r="I7255">
        <v>25.3</v>
      </c>
      <c r="J7255">
        <v>12.6</v>
      </c>
      <c r="K7255">
        <v>77</v>
      </c>
      <c r="L7255">
        <v>6.8826530000000004</v>
      </c>
      <c r="M7255">
        <v>33.9</v>
      </c>
      <c r="N7255">
        <v>17.639620000000001</v>
      </c>
      <c r="O7255">
        <v>16.260380000000001</v>
      </c>
      <c r="P7255">
        <v>24.8</v>
      </c>
      <c r="Q7255">
        <v>25.2</v>
      </c>
      <c r="R7255">
        <v>25.960380000000001</v>
      </c>
      <c r="S7255">
        <v>24.3</v>
      </c>
      <c r="T7255">
        <v>2037.396</v>
      </c>
      <c r="U7255">
        <v>387</v>
      </c>
      <c r="V7255">
        <v>19</v>
      </c>
      <c r="W7255">
        <v>59</v>
      </c>
      <c r="X7255">
        <v>825</v>
      </c>
      <c r="Y7255">
        <v>114</v>
      </c>
      <c r="Z7255">
        <v>462.74520000000001</v>
      </c>
      <c r="AA7255">
        <v>810</v>
      </c>
      <c r="AB7255">
        <v>11.964399999999999</v>
      </c>
      <c r="AC7255">
        <v>1.6872620000000001E-2</v>
      </c>
      <c r="AD7255">
        <v>1.3445320000000001</v>
      </c>
      <c r="AE7255">
        <v>0.543771</v>
      </c>
      <c r="AF7255">
        <v>239.1414</v>
      </c>
      <c r="AG7255">
        <f>IFERROR(AH7255*0.1, "N/A")</f>
        <v>5.2980800000000006</v>
      </c>
      <c r="AH7255">
        <v>52.980800000000002</v>
      </c>
      <c r="AI7255">
        <v>207.4136</v>
      </c>
      <c r="AJ7255">
        <v>16.760909999999999</v>
      </c>
      <c r="AK7255">
        <v>64.572429999999997</v>
      </c>
    </row>
    <row r="7256" spans="1:37" x14ac:dyDescent="0.3">
      <c r="A7256">
        <v>7255</v>
      </c>
      <c r="B7256">
        <v>0</v>
      </c>
      <c r="C7256">
        <v>-9.1833720000000003</v>
      </c>
      <c r="D7256">
        <v>6.843261</v>
      </c>
      <c r="E7256">
        <f>-9.183372-6.843261</f>
        <v>-16.026633</v>
      </c>
      <c r="F7256" t="s">
        <v>10840</v>
      </c>
      <c r="G7256" t="s">
        <v>37</v>
      </c>
      <c r="H7256">
        <v>1983</v>
      </c>
      <c r="I7256">
        <v>25.3</v>
      </c>
      <c r="J7256">
        <v>12.6</v>
      </c>
      <c r="K7256">
        <v>77</v>
      </c>
      <c r="L7256">
        <v>6.8826530000000004</v>
      </c>
      <c r="M7256">
        <v>33.9</v>
      </c>
      <c r="N7256">
        <v>17.639620000000001</v>
      </c>
      <c r="O7256">
        <v>16.260380000000001</v>
      </c>
      <c r="P7256">
        <v>24.8</v>
      </c>
      <c r="Q7256">
        <v>25.2</v>
      </c>
      <c r="R7256">
        <v>25.960380000000001</v>
      </c>
      <c r="S7256">
        <v>24.3</v>
      </c>
      <c r="T7256">
        <v>2037.396</v>
      </c>
      <c r="U7256">
        <v>387</v>
      </c>
      <c r="V7256">
        <v>19</v>
      </c>
      <c r="W7256">
        <v>59</v>
      </c>
      <c r="X7256">
        <v>825</v>
      </c>
      <c r="Y7256">
        <v>114</v>
      </c>
      <c r="Z7256">
        <v>462.74520000000001</v>
      </c>
      <c r="AA7256">
        <v>810</v>
      </c>
      <c r="AB7256">
        <v>11.964399999999999</v>
      </c>
      <c r="AC7256">
        <v>1.6872620000000001E-2</v>
      </c>
      <c r="AD7256">
        <v>1.3445320000000001</v>
      </c>
      <c r="AE7256">
        <v>0.543771</v>
      </c>
      <c r="AF7256">
        <v>239.1414</v>
      </c>
      <c r="AG7256">
        <f>IFERROR(AH7256*0.1, "N/A")</f>
        <v>5.2980800000000006</v>
      </c>
      <c r="AH7256">
        <v>52.980800000000002</v>
      </c>
      <c r="AI7256">
        <v>207.4136</v>
      </c>
      <c r="AJ7256">
        <v>16.760909999999999</v>
      </c>
      <c r="AK7256">
        <v>64.572429999999997</v>
      </c>
    </row>
    <row r="7257" spans="1:37" x14ac:dyDescent="0.3">
      <c r="A7257">
        <v>7256</v>
      </c>
      <c r="B7257">
        <v>12</v>
      </c>
      <c r="C7257">
        <v>-10.8</v>
      </c>
      <c r="D7257">
        <v>6.4832999999999998</v>
      </c>
      <c r="E7257">
        <f>-10.8-6.4833</f>
        <v>-17.283300000000001</v>
      </c>
      <c r="F7257" t="s">
        <v>10841</v>
      </c>
      <c r="G7257" t="s">
        <v>39</v>
      </c>
      <c r="H7257">
        <v>1987</v>
      </c>
      <c r="I7257">
        <v>25.7</v>
      </c>
      <c r="J7257">
        <v>9.5</v>
      </c>
      <c r="K7257">
        <v>78.865849999999995</v>
      </c>
      <c r="L7257">
        <v>7.139634</v>
      </c>
      <c r="M7257">
        <v>32.067590000000003</v>
      </c>
      <c r="N7257">
        <v>20.054179999999999</v>
      </c>
      <c r="O7257">
        <v>12.01341</v>
      </c>
      <c r="P7257">
        <v>24.854179999999999</v>
      </c>
      <c r="Q7257">
        <v>26.054179999999999</v>
      </c>
      <c r="R7257">
        <v>26.613420000000001</v>
      </c>
      <c r="S7257">
        <v>24.6676</v>
      </c>
      <c r="T7257">
        <v>4178.6989999999996</v>
      </c>
      <c r="U7257">
        <v>787.32399999999996</v>
      </c>
      <c r="V7257">
        <v>36</v>
      </c>
      <c r="W7257">
        <v>78</v>
      </c>
      <c r="X7257">
        <v>2038.296</v>
      </c>
      <c r="Y7257">
        <v>186.9443</v>
      </c>
      <c r="Z7257">
        <v>315.56450000000001</v>
      </c>
      <c r="AA7257">
        <v>1915.134</v>
      </c>
      <c r="AB7257">
        <v>13.37195</v>
      </c>
      <c r="AC7257">
        <v>8.7606539999999997E-3</v>
      </c>
      <c r="AD7257">
        <v>1.7590060000000001</v>
      </c>
      <c r="AE7257">
        <v>0.40932829999999998</v>
      </c>
      <c r="AF7257">
        <v>23.979089999999999</v>
      </c>
      <c r="AG7257">
        <f>IFERROR(AH7257*0.1, "N/A")</f>
        <v>4.8000000000000007</v>
      </c>
      <c r="AH7257">
        <v>48</v>
      </c>
      <c r="AI7257">
        <v>118.589</v>
      </c>
      <c r="AJ7257">
        <v>29</v>
      </c>
      <c r="AK7257">
        <v>52.134149999999998</v>
      </c>
    </row>
    <row r="7258" spans="1:37" x14ac:dyDescent="0.3">
      <c r="A7258">
        <v>7257</v>
      </c>
      <c r="B7258">
        <v>0</v>
      </c>
      <c r="C7258">
        <v>-10.8</v>
      </c>
      <c r="D7258">
        <v>6.4832999999999998</v>
      </c>
      <c r="E7258">
        <f>-10.8-6.4833</f>
        <v>-17.283300000000001</v>
      </c>
      <c r="F7258" t="s">
        <v>10842</v>
      </c>
      <c r="G7258" t="s">
        <v>37</v>
      </c>
      <c r="H7258">
        <v>1987</v>
      </c>
      <c r="I7258">
        <v>25.7</v>
      </c>
      <c r="J7258">
        <v>9.5</v>
      </c>
      <c r="K7258">
        <v>78.865849999999995</v>
      </c>
      <c r="L7258">
        <v>7.139634</v>
      </c>
      <c r="M7258">
        <v>32.067590000000003</v>
      </c>
      <c r="N7258">
        <v>20.054179999999999</v>
      </c>
      <c r="O7258">
        <v>12.01341</v>
      </c>
      <c r="P7258">
        <v>24.854179999999999</v>
      </c>
      <c r="Q7258">
        <v>26.054179999999999</v>
      </c>
      <c r="R7258">
        <v>26.613420000000001</v>
      </c>
      <c r="S7258">
        <v>24.6676</v>
      </c>
      <c r="T7258">
        <v>4178.6989999999996</v>
      </c>
      <c r="U7258">
        <v>787.32399999999996</v>
      </c>
      <c r="V7258">
        <v>36</v>
      </c>
      <c r="W7258">
        <v>78</v>
      </c>
      <c r="X7258">
        <v>2038.296</v>
      </c>
      <c r="Y7258">
        <v>186.9443</v>
      </c>
      <c r="Z7258">
        <v>315.56450000000001</v>
      </c>
      <c r="AA7258">
        <v>1915.134</v>
      </c>
      <c r="AB7258">
        <v>13.37195</v>
      </c>
      <c r="AC7258">
        <v>8.7606539999999997E-3</v>
      </c>
      <c r="AD7258">
        <v>1.7590060000000001</v>
      </c>
      <c r="AE7258">
        <v>0.40932829999999998</v>
      </c>
      <c r="AF7258">
        <v>23.979089999999999</v>
      </c>
      <c r="AG7258">
        <f>IFERROR(AH7258*0.1, "N/A")</f>
        <v>4.8000000000000007</v>
      </c>
      <c r="AH7258">
        <v>48</v>
      </c>
      <c r="AI7258">
        <v>118.589</v>
      </c>
      <c r="AJ7258">
        <v>29</v>
      </c>
      <c r="AK7258">
        <v>52.134149999999998</v>
      </c>
    </row>
    <row r="7259" spans="1:37" x14ac:dyDescent="0.3">
      <c r="A7259">
        <v>7258</v>
      </c>
      <c r="B7259">
        <v>0</v>
      </c>
      <c r="C7259">
        <v>-8.8670000000000009</v>
      </c>
      <c r="D7259">
        <v>6.4950000000000001</v>
      </c>
      <c r="E7259">
        <f>-8.867-6.495</f>
        <v>-15.362000000000002</v>
      </c>
      <c r="F7259" t="s">
        <v>10843</v>
      </c>
      <c r="G7259" t="s">
        <v>39</v>
      </c>
      <c r="H7259">
        <v>1987</v>
      </c>
      <c r="I7259">
        <v>25.704170000000001</v>
      </c>
      <c r="J7259">
        <v>12.2</v>
      </c>
      <c r="K7259">
        <v>73</v>
      </c>
      <c r="L7259">
        <v>8.2374949999999991</v>
      </c>
      <c r="M7259">
        <v>34.404179999999997</v>
      </c>
      <c r="N7259">
        <v>17.804169999999999</v>
      </c>
      <c r="O7259">
        <v>16.600000000000001</v>
      </c>
      <c r="P7259">
        <v>25.10417</v>
      </c>
      <c r="Q7259">
        <v>25.60417</v>
      </c>
      <c r="R7259">
        <v>26.60417</v>
      </c>
      <c r="S7259">
        <v>24.804169999999999</v>
      </c>
      <c r="T7259">
        <v>1963.7080000000001</v>
      </c>
      <c r="U7259">
        <v>346.95830000000001</v>
      </c>
      <c r="V7259">
        <v>19</v>
      </c>
      <c r="W7259">
        <v>60</v>
      </c>
      <c r="X7259">
        <v>766.83299999999997</v>
      </c>
      <c r="Y7259">
        <v>104.95829999999999</v>
      </c>
      <c r="Z7259">
        <v>337.91649999999998</v>
      </c>
      <c r="AA7259">
        <v>722.83299999999997</v>
      </c>
      <c r="AB7259">
        <v>22.243310000000001</v>
      </c>
      <c r="AC7259">
        <v>1.3191690000000001E-2</v>
      </c>
      <c r="AD7259">
        <v>7.3769410000000004</v>
      </c>
      <c r="AE7259">
        <v>0.62000770000000005</v>
      </c>
      <c r="AF7259">
        <v>264.45740000000001</v>
      </c>
      <c r="AG7259">
        <f>IFERROR(AH7259*0.1, "N/A")</f>
        <v>5.1747830000000006</v>
      </c>
      <c r="AH7259">
        <v>51.74783</v>
      </c>
      <c r="AI7259">
        <v>90.443680000000001</v>
      </c>
      <c r="AJ7259">
        <v>22.313040000000001</v>
      </c>
      <c r="AK7259">
        <v>58.97739</v>
      </c>
    </row>
    <row r="7260" spans="1:37" x14ac:dyDescent="0.3">
      <c r="A7260">
        <v>7259</v>
      </c>
      <c r="B7260">
        <v>13</v>
      </c>
      <c r="C7260">
        <v>-9.4700000000000006</v>
      </c>
      <c r="D7260">
        <v>6.51</v>
      </c>
      <c r="E7260">
        <f>-9.47-6.51</f>
        <v>-15.98</v>
      </c>
      <c r="F7260" t="s">
        <v>10844</v>
      </c>
      <c r="G7260" t="s">
        <v>39</v>
      </c>
      <c r="H7260">
        <v>1987</v>
      </c>
      <c r="I7260">
        <v>25.3</v>
      </c>
      <c r="J7260">
        <v>11.4</v>
      </c>
      <c r="K7260">
        <v>80</v>
      </c>
      <c r="L7260">
        <v>7.57</v>
      </c>
      <c r="M7260">
        <v>32.9</v>
      </c>
      <c r="N7260">
        <v>18.8</v>
      </c>
      <c r="O7260">
        <v>14.1</v>
      </c>
      <c r="P7260">
        <v>24.6</v>
      </c>
      <c r="Q7260">
        <v>25.4</v>
      </c>
      <c r="R7260">
        <v>26</v>
      </c>
      <c r="S7260">
        <v>24.2</v>
      </c>
      <c r="T7260">
        <v>2261</v>
      </c>
      <c r="U7260">
        <v>420</v>
      </c>
      <c r="V7260">
        <v>26</v>
      </c>
      <c r="W7260">
        <v>59</v>
      </c>
      <c r="X7260">
        <v>924</v>
      </c>
      <c r="Y7260">
        <v>136</v>
      </c>
      <c r="Z7260">
        <v>541</v>
      </c>
      <c r="AA7260">
        <v>901</v>
      </c>
      <c r="AB7260">
        <v>64.556550000000001</v>
      </c>
      <c r="AC7260">
        <v>1.010959E-2</v>
      </c>
      <c r="AD7260">
        <v>20.431920000000002</v>
      </c>
      <c r="AE7260">
        <v>0.1529809</v>
      </c>
      <c r="AF7260">
        <v>230</v>
      </c>
      <c r="AG7260">
        <f>IFERROR(AH7260*0.1, "N/A")</f>
        <v>5.2</v>
      </c>
      <c r="AH7260">
        <v>52</v>
      </c>
      <c r="AI7260">
        <v>92.990979999999993</v>
      </c>
      <c r="AJ7260">
        <v>22</v>
      </c>
      <c r="AK7260">
        <v>63</v>
      </c>
    </row>
    <row r="7261" spans="1:37" x14ac:dyDescent="0.3">
      <c r="A7261">
        <v>7260</v>
      </c>
      <c r="B7261">
        <v>3</v>
      </c>
      <c r="C7261">
        <v>-9.4700000000000006</v>
      </c>
      <c r="D7261">
        <v>6.51</v>
      </c>
      <c r="E7261">
        <f>-9.47-6.51</f>
        <v>-15.98</v>
      </c>
      <c r="F7261" t="s">
        <v>10845</v>
      </c>
      <c r="G7261" t="s">
        <v>37</v>
      </c>
      <c r="H7261">
        <v>1987</v>
      </c>
      <c r="I7261">
        <v>25.3</v>
      </c>
      <c r="J7261">
        <v>11.4</v>
      </c>
      <c r="K7261">
        <v>80</v>
      </c>
      <c r="L7261">
        <v>7.57</v>
      </c>
      <c r="M7261">
        <v>32.9</v>
      </c>
      <c r="N7261">
        <v>18.8</v>
      </c>
      <c r="O7261">
        <v>14.1</v>
      </c>
      <c r="P7261">
        <v>24.6</v>
      </c>
      <c r="Q7261">
        <v>25.4</v>
      </c>
      <c r="R7261">
        <v>26</v>
      </c>
      <c r="S7261">
        <v>24.2</v>
      </c>
      <c r="T7261">
        <v>2261</v>
      </c>
      <c r="U7261">
        <v>420</v>
      </c>
      <c r="V7261">
        <v>26</v>
      </c>
      <c r="W7261">
        <v>59</v>
      </c>
      <c r="X7261">
        <v>924</v>
      </c>
      <c r="Y7261">
        <v>136</v>
      </c>
      <c r="Z7261">
        <v>541</v>
      </c>
      <c r="AA7261">
        <v>901</v>
      </c>
      <c r="AB7261">
        <v>64.556550000000001</v>
      </c>
      <c r="AC7261">
        <v>1.010959E-2</v>
      </c>
      <c r="AD7261">
        <v>20.431920000000002</v>
      </c>
      <c r="AE7261">
        <v>0.1529809</v>
      </c>
      <c r="AF7261">
        <v>230</v>
      </c>
      <c r="AG7261">
        <f>IFERROR(AH7261*0.1, "N/A")</f>
        <v>5.2</v>
      </c>
      <c r="AH7261">
        <v>52</v>
      </c>
      <c r="AI7261">
        <v>92.990979999999993</v>
      </c>
      <c r="AJ7261">
        <v>22</v>
      </c>
      <c r="AK7261">
        <v>63</v>
      </c>
    </row>
    <row r="7262" spans="1:37" x14ac:dyDescent="0.3">
      <c r="A7262">
        <v>7261</v>
      </c>
      <c r="B7262">
        <v>0</v>
      </c>
      <c r="C7262">
        <v>-10.946999999999999</v>
      </c>
      <c r="D7262">
        <v>6.5460000000000003</v>
      </c>
      <c r="E7262">
        <f>-10.947-6.546</f>
        <v>-17.492999999999999</v>
      </c>
      <c r="F7262" t="s">
        <v>10846</v>
      </c>
      <c r="G7262" t="s">
        <v>39</v>
      </c>
      <c r="H7262">
        <v>1987</v>
      </c>
      <c r="I7262">
        <v>25.5</v>
      </c>
      <c r="J7262">
        <v>9.3000000000000007</v>
      </c>
      <c r="K7262">
        <v>78</v>
      </c>
      <c r="L7262">
        <v>8.0299999999999994</v>
      </c>
      <c r="M7262">
        <v>31.8</v>
      </c>
      <c r="N7262">
        <v>19.899999999999999</v>
      </c>
      <c r="O7262">
        <v>11.9</v>
      </c>
      <c r="P7262">
        <v>24.5</v>
      </c>
      <c r="Q7262">
        <v>25.8</v>
      </c>
      <c r="R7262">
        <v>26.5</v>
      </c>
      <c r="S7262">
        <v>24.4</v>
      </c>
      <c r="T7262">
        <v>4226</v>
      </c>
      <c r="U7262">
        <v>819</v>
      </c>
      <c r="V7262">
        <v>36</v>
      </c>
      <c r="W7262">
        <v>79</v>
      </c>
      <c r="X7262">
        <v>2094</v>
      </c>
      <c r="Y7262">
        <v>187</v>
      </c>
      <c r="Z7262">
        <v>316</v>
      </c>
      <c r="AA7262">
        <v>1935</v>
      </c>
      <c r="AB7262">
        <v>10.83118</v>
      </c>
      <c r="AC7262">
        <v>1.3701619999999999E-2</v>
      </c>
      <c r="AD7262">
        <v>1.883168</v>
      </c>
      <c r="AE7262">
        <v>0.29560639999999999</v>
      </c>
      <c r="AF7262">
        <v>21.599299999999999</v>
      </c>
      <c r="AG7262">
        <f>IFERROR(AH7262*0.1, "N/A")</f>
        <v>4.8989550000000008</v>
      </c>
      <c r="AH7262">
        <v>48.989550000000001</v>
      </c>
      <c r="AI7262">
        <v>162.55770000000001</v>
      </c>
      <c r="AJ7262">
        <v>24</v>
      </c>
      <c r="AK7262">
        <v>58.968640000000001</v>
      </c>
    </row>
    <row r="7263" spans="1:37" x14ac:dyDescent="0.3">
      <c r="A7263">
        <v>7262</v>
      </c>
      <c r="B7263">
        <v>0</v>
      </c>
      <c r="C7263">
        <v>-9.4491700000000005</v>
      </c>
      <c r="D7263">
        <v>6.5622199999999999</v>
      </c>
      <c r="E7263">
        <f>-9.44917-6.56222</f>
        <v>-16.011389999999999</v>
      </c>
      <c r="F7263" t="s">
        <v>10847</v>
      </c>
      <c r="G7263" t="s">
        <v>39</v>
      </c>
      <c r="H7263">
        <v>1983</v>
      </c>
      <c r="I7263">
        <v>25.4</v>
      </c>
      <c r="J7263">
        <v>11.5</v>
      </c>
      <c r="K7263">
        <v>80</v>
      </c>
      <c r="L7263">
        <v>7.49</v>
      </c>
      <c r="M7263">
        <v>33</v>
      </c>
      <c r="N7263">
        <v>18.7</v>
      </c>
      <c r="O7263">
        <v>14.3</v>
      </c>
      <c r="P7263">
        <v>24.8</v>
      </c>
      <c r="Q7263">
        <v>25.4</v>
      </c>
      <c r="R7263">
        <v>26</v>
      </c>
      <c r="S7263">
        <v>24.3</v>
      </c>
      <c r="T7263">
        <v>2207</v>
      </c>
      <c r="U7263">
        <v>411</v>
      </c>
      <c r="V7263">
        <v>25</v>
      </c>
      <c r="W7263">
        <v>59</v>
      </c>
      <c r="X7263">
        <v>899</v>
      </c>
      <c r="Y7263">
        <v>131</v>
      </c>
      <c r="Z7263">
        <v>537</v>
      </c>
      <c r="AA7263">
        <v>876</v>
      </c>
      <c r="AB7263">
        <v>5.5453739999999998</v>
      </c>
      <c r="AC7263">
        <v>0.14793809999999999</v>
      </c>
      <c r="AD7263">
        <v>6.2968859999999998</v>
      </c>
      <c r="AE7263">
        <v>0.1785253</v>
      </c>
      <c r="AF7263">
        <v>208.02440000000001</v>
      </c>
      <c r="AG7263">
        <f>IFERROR(AH7263*0.1, "N/A")</f>
        <v>5.1000000000000005</v>
      </c>
      <c r="AH7263">
        <v>51</v>
      </c>
      <c r="AI7263">
        <v>200.0445</v>
      </c>
      <c r="AJ7263">
        <v>20</v>
      </c>
      <c r="AK7263">
        <v>61</v>
      </c>
    </row>
    <row r="7264" spans="1:37" x14ac:dyDescent="0.3">
      <c r="A7264">
        <v>7263</v>
      </c>
      <c r="B7264">
        <v>0</v>
      </c>
      <c r="C7264">
        <v>-9.4491700000000005</v>
      </c>
      <c r="D7264">
        <v>6.5622199999999999</v>
      </c>
      <c r="E7264">
        <f>-9.44917-6.56222</f>
        <v>-16.011389999999999</v>
      </c>
      <c r="F7264" t="s">
        <v>10848</v>
      </c>
      <c r="G7264" t="s">
        <v>37</v>
      </c>
      <c r="H7264">
        <v>1983</v>
      </c>
      <c r="I7264">
        <v>25.4</v>
      </c>
      <c r="J7264">
        <v>11.5</v>
      </c>
      <c r="K7264">
        <v>80</v>
      </c>
      <c r="L7264">
        <v>7.49</v>
      </c>
      <c r="M7264">
        <v>33</v>
      </c>
      <c r="N7264">
        <v>18.7</v>
      </c>
      <c r="O7264">
        <v>14.3</v>
      </c>
      <c r="P7264">
        <v>24.8</v>
      </c>
      <c r="Q7264">
        <v>25.4</v>
      </c>
      <c r="R7264">
        <v>26</v>
      </c>
      <c r="S7264">
        <v>24.3</v>
      </c>
      <c r="T7264">
        <v>2207</v>
      </c>
      <c r="U7264">
        <v>411</v>
      </c>
      <c r="V7264">
        <v>25</v>
      </c>
      <c r="W7264">
        <v>59</v>
      </c>
      <c r="X7264">
        <v>899</v>
      </c>
      <c r="Y7264">
        <v>131</v>
      </c>
      <c r="Z7264">
        <v>537</v>
      </c>
      <c r="AA7264">
        <v>876</v>
      </c>
      <c r="AB7264">
        <v>5.5453739999999998</v>
      </c>
      <c r="AC7264">
        <v>0.14793809999999999</v>
      </c>
      <c r="AD7264">
        <v>6.2968859999999998</v>
      </c>
      <c r="AE7264">
        <v>0.1785253</v>
      </c>
      <c r="AF7264">
        <v>208.02440000000001</v>
      </c>
      <c r="AG7264">
        <f>IFERROR(AH7264*0.1, "N/A")</f>
        <v>5.1000000000000005</v>
      </c>
      <c r="AH7264">
        <v>51</v>
      </c>
      <c r="AI7264">
        <v>200.0445</v>
      </c>
      <c r="AJ7264">
        <v>20</v>
      </c>
      <c r="AK7264">
        <v>61</v>
      </c>
    </row>
    <row r="7265" spans="1:37" x14ac:dyDescent="0.3">
      <c r="A7265">
        <v>7264</v>
      </c>
      <c r="B7265">
        <v>25</v>
      </c>
      <c r="C7265">
        <v>-9.3725000000000005</v>
      </c>
      <c r="D7265">
        <v>6.6524999999999999</v>
      </c>
      <c r="E7265">
        <f>-9.3725-6.6525</f>
        <v>-16.024999999999999</v>
      </c>
      <c r="F7265" t="s">
        <v>10849</v>
      </c>
      <c r="G7265" t="s">
        <v>39</v>
      </c>
      <c r="H7265">
        <v>1983</v>
      </c>
      <c r="I7265">
        <v>25.3</v>
      </c>
      <c r="J7265">
        <v>11.8</v>
      </c>
      <c r="K7265">
        <v>79</v>
      </c>
      <c r="L7265">
        <v>7.23</v>
      </c>
      <c r="M7265">
        <v>33.200000000000003</v>
      </c>
      <c r="N7265">
        <v>18.399999999999999</v>
      </c>
      <c r="O7265">
        <v>14.8</v>
      </c>
      <c r="P7265">
        <v>24.7</v>
      </c>
      <c r="Q7265">
        <v>25.4</v>
      </c>
      <c r="R7265">
        <v>25.9</v>
      </c>
      <c r="S7265">
        <v>24.2</v>
      </c>
      <c r="T7265">
        <v>2124</v>
      </c>
      <c r="U7265">
        <v>397</v>
      </c>
      <c r="V7265">
        <v>23</v>
      </c>
      <c r="W7265">
        <v>58</v>
      </c>
      <c r="X7265">
        <v>860</v>
      </c>
      <c r="Y7265">
        <v>125</v>
      </c>
      <c r="Z7265">
        <v>372</v>
      </c>
      <c r="AA7265">
        <v>836</v>
      </c>
      <c r="AB7265">
        <v>9.9643910000000009</v>
      </c>
      <c r="AC7265">
        <v>7.2747900000000004E-2</v>
      </c>
      <c r="AD7265">
        <v>3.3746179999999999</v>
      </c>
      <c r="AE7265">
        <v>0.4743211</v>
      </c>
      <c r="AF7265">
        <v>209.2304</v>
      </c>
      <c r="AG7265">
        <f>IFERROR(AH7265*0.1, "N/A")</f>
        <v>5.1907500000000004</v>
      </c>
      <c r="AH7265">
        <v>51.907499999999999</v>
      </c>
      <c r="AI7265">
        <v>218.0642</v>
      </c>
      <c r="AJ7265">
        <v>19</v>
      </c>
      <c r="AK7265">
        <v>62.284469999999999</v>
      </c>
    </row>
    <row r="7266" spans="1:37" x14ac:dyDescent="0.3">
      <c r="A7266">
        <v>7265</v>
      </c>
      <c r="B7266">
        <v>0</v>
      </c>
      <c r="C7266">
        <v>-9.3725000000000005</v>
      </c>
      <c r="D7266">
        <v>6.6524999999999999</v>
      </c>
      <c r="E7266">
        <f>-9.3725-6.6525</f>
        <v>-16.024999999999999</v>
      </c>
      <c r="F7266" t="s">
        <v>10850</v>
      </c>
      <c r="G7266" t="s">
        <v>37</v>
      </c>
      <c r="H7266">
        <v>1983</v>
      </c>
      <c r="I7266">
        <v>25.3</v>
      </c>
      <c r="J7266">
        <v>11.8</v>
      </c>
      <c r="K7266">
        <v>79</v>
      </c>
      <c r="L7266">
        <v>7.23</v>
      </c>
      <c r="M7266">
        <v>33.200000000000003</v>
      </c>
      <c r="N7266">
        <v>18.399999999999999</v>
      </c>
      <c r="O7266">
        <v>14.8</v>
      </c>
      <c r="P7266">
        <v>24.7</v>
      </c>
      <c r="Q7266">
        <v>25.4</v>
      </c>
      <c r="R7266">
        <v>25.9</v>
      </c>
      <c r="S7266">
        <v>24.2</v>
      </c>
      <c r="T7266">
        <v>2124</v>
      </c>
      <c r="U7266">
        <v>397</v>
      </c>
      <c r="V7266">
        <v>23</v>
      </c>
      <c r="W7266">
        <v>58</v>
      </c>
      <c r="X7266">
        <v>860</v>
      </c>
      <c r="Y7266">
        <v>125</v>
      </c>
      <c r="Z7266">
        <v>372</v>
      </c>
      <c r="AA7266">
        <v>836</v>
      </c>
      <c r="AB7266">
        <v>9.9643910000000009</v>
      </c>
      <c r="AC7266">
        <v>7.2747900000000004E-2</v>
      </c>
      <c r="AD7266">
        <v>3.3746179999999999</v>
      </c>
      <c r="AE7266">
        <v>0.4743211</v>
      </c>
      <c r="AF7266">
        <v>209.2304</v>
      </c>
      <c r="AG7266">
        <f>IFERROR(AH7266*0.1, "N/A")</f>
        <v>5.1907500000000004</v>
      </c>
      <c r="AH7266">
        <v>51.907499999999999</v>
      </c>
      <c r="AI7266">
        <v>218.0642</v>
      </c>
      <c r="AJ7266">
        <v>19</v>
      </c>
      <c r="AK7266">
        <v>62.284469999999999</v>
      </c>
    </row>
    <row r="7267" spans="1:37" x14ac:dyDescent="0.3">
      <c r="A7267">
        <v>7266</v>
      </c>
      <c r="B7267">
        <v>0</v>
      </c>
      <c r="C7267">
        <v>-9.1897199999999994</v>
      </c>
      <c r="D7267">
        <v>6.6711099999999997</v>
      </c>
      <c r="E7267">
        <f>-9.18972-6.67111</f>
        <v>-15.86083</v>
      </c>
      <c r="F7267" t="s">
        <v>10851</v>
      </c>
      <c r="G7267" t="s">
        <v>39</v>
      </c>
      <c r="H7267">
        <v>1983</v>
      </c>
      <c r="I7267">
        <v>25.5</v>
      </c>
      <c r="J7267">
        <v>12.2</v>
      </c>
      <c r="K7267">
        <v>78</v>
      </c>
      <c r="L7267">
        <v>7.26</v>
      </c>
      <c r="M7267">
        <v>33.799999999999997</v>
      </c>
      <c r="N7267">
        <v>18.3</v>
      </c>
      <c r="O7267">
        <v>15.5</v>
      </c>
      <c r="P7267">
        <v>24.9</v>
      </c>
      <c r="Q7267">
        <v>25.5</v>
      </c>
      <c r="R7267">
        <v>26.2</v>
      </c>
      <c r="S7267">
        <v>24.5</v>
      </c>
      <c r="T7267">
        <v>2059</v>
      </c>
      <c r="U7267">
        <v>383</v>
      </c>
      <c r="V7267">
        <v>20</v>
      </c>
      <c r="W7267">
        <v>59</v>
      </c>
      <c r="X7267">
        <v>825</v>
      </c>
      <c r="Y7267">
        <v>115</v>
      </c>
      <c r="Z7267">
        <v>524</v>
      </c>
      <c r="AA7267">
        <v>799</v>
      </c>
      <c r="AB7267">
        <v>7.7965270000000002</v>
      </c>
      <c r="AC7267">
        <v>2.1707750000000001E-2</v>
      </c>
      <c r="AD7267">
        <v>3.871343</v>
      </c>
      <c r="AE7267">
        <v>0.2125649</v>
      </c>
      <c r="AF7267">
        <v>211.2783</v>
      </c>
      <c r="AG7267">
        <f>IFERROR(AH7267*0.1, "N/A")</f>
        <v>5.2069570000000001</v>
      </c>
      <c r="AH7267">
        <v>52.069569999999999</v>
      </c>
      <c r="AI7267">
        <v>120.2817</v>
      </c>
      <c r="AJ7267">
        <v>22.49043</v>
      </c>
      <c r="AK7267">
        <v>58.020870000000002</v>
      </c>
    </row>
    <row r="7268" spans="1:37" x14ac:dyDescent="0.3">
      <c r="A7268">
        <v>7267</v>
      </c>
      <c r="B7268">
        <v>0</v>
      </c>
      <c r="C7268">
        <v>-9.1897199999999994</v>
      </c>
      <c r="D7268">
        <v>6.6711099999999997</v>
      </c>
      <c r="E7268">
        <f>-9.18972-6.67111</f>
        <v>-15.86083</v>
      </c>
      <c r="F7268" t="s">
        <v>10852</v>
      </c>
      <c r="G7268" t="s">
        <v>37</v>
      </c>
      <c r="H7268">
        <v>1983</v>
      </c>
      <c r="I7268">
        <v>25.5</v>
      </c>
      <c r="J7268">
        <v>12.2</v>
      </c>
      <c r="K7268">
        <v>78</v>
      </c>
      <c r="L7268">
        <v>7.26</v>
      </c>
      <c r="M7268">
        <v>33.799999999999997</v>
      </c>
      <c r="N7268">
        <v>18.3</v>
      </c>
      <c r="O7268">
        <v>15.5</v>
      </c>
      <c r="P7268">
        <v>24.9</v>
      </c>
      <c r="Q7268">
        <v>25.5</v>
      </c>
      <c r="R7268">
        <v>26.2</v>
      </c>
      <c r="S7268">
        <v>24.5</v>
      </c>
      <c r="T7268">
        <v>2059</v>
      </c>
      <c r="U7268">
        <v>383</v>
      </c>
      <c r="V7268">
        <v>20</v>
      </c>
      <c r="W7268">
        <v>59</v>
      </c>
      <c r="X7268">
        <v>825</v>
      </c>
      <c r="Y7268">
        <v>115</v>
      </c>
      <c r="Z7268">
        <v>524</v>
      </c>
      <c r="AA7268">
        <v>799</v>
      </c>
      <c r="AB7268">
        <v>7.7965270000000002</v>
      </c>
      <c r="AC7268">
        <v>2.1707750000000001E-2</v>
      </c>
      <c r="AD7268">
        <v>3.871343</v>
      </c>
      <c r="AE7268">
        <v>0.2125649</v>
      </c>
      <c r="AF7268">
        <v>211.2783</v>
      </c>
      <c r="AG7268">
        <f>IFERROR(AH7268*0.1, "N/A")</f>
        <v>5.2069570000000001</v>
      </c>
      <c r="AH7268">
        <v>52.069569999999999</v>
      </c>
      <c r="AI7268">
        <v>120.2817</v>
      </c>
      <c r="AJ7268">
        <v>22.49043</v>
      </c>
      <c r="AK7268">
        <v>58.020870000000002</v>
      </c>
    </row>
    <row r="7269" spans="1:37" x14ac:dyDescent="0.3">
      <c r="A7269">
        <v>7268</v>
      </c>
      <c r="B7269">
        <v>35.9</v>
      </c>
      <c r="C7269">
        <v>-9.6888299999999994</v>
      </c>
      <c r="D7269">
        <v>6.6851700000000003</v>
      </c>
      <c r="E7269">
        <f>-9.68883-6.68517</f>
        <v>-16.373999999999999</v>
      </c>
      <c r="F7269" t="s">
        <v>10853</v>
      </c>
      <c r="G7269" t="s">
        <v>39</v>
      </c>
      <c r="H7269">
        <v>1983</v>
      </c>
      <c r="I7269">
        <v>25.4</v>
      </c>
      <c r="J7269">
        <v>11.3</v>
      </c>
      <c r="K7269">
        <v>81</v>
      </c>
      <c r="L7269">
        <v>7.91</v>
      </c>
      <c r="M7269">
        <v>32.799999999999997</v>
      </c>
      <c r="N7269">
        <v>18.899999999999999</v>
      </c>
      <c r="O7269">
        <v>13.9</v>
      </c>
      <c r="P7269">
        <v>24.7</v>
      </c>
      <c r="Q7269">
        <v>25.6</v>
      </c>
      <c r="R7269">
        <v>26</v>
      </c>
      <c r="S7269">
        <v>24.2</v>
      </c>
      <c r="T7269">
        <v>2228</v>
      </c>
      <c r="U7269">
        <v>420</v>
      </c>
      <c r="V7269">
        <v>24</v>
      </c>
      <c r="W7269">
        <v>59</v>
      </c>
      <c r="X7269">
        <v>932</v>
      </c>
      <c r="Y7269">
        <v>132</v>
      </c>
      <c r="Z7269">
        <v>375</v>
      </c>
      <c r="AA7269">
        <v>924</v>
      </c>
      <c r="AB7269">
        <v>9.5956299999999999</v>
      </c>
      <c r="AC7269">
        <v>3.8305239999999997E-2</v>
      </c>
      <c r="AD7269">
        <v>2.401875</v>
      </c>
      <c r="AE7269">
        <v>0.1952565</v>
      </c>
      <c r="AF7269">
        <v>203.71729999999999</v>
      </c>
      <c r="AG7269">
        <f>IFERROR(AH7269*0.1, "N/A")</f>
        <v>5.1160560000000004</v>
      </c>
      <c r="AH7269">
        <v>51.160559999999997</v>
      </c>
      <c r="AI7269">
        <v>117.7269</v>
      </c>
      <c r="AJ7269">
        <v>19.481680000000001</v>
      </c>
      <c r="AK7269">
        <v>61.678879999999999</v>
      </c>
    </row>
    <row r="7270" spans="1:37" x14ac:dyDescent="0.3">
      <c r="A7270">
        <v>7269</v>
      </c>
      <c r="B7270">
        <v>5.0999999999999996</v>
      </c>
      <c r="C7270">
        <v>-9.6888299999999994</v>
      </c>
      <c r="D7270">
        <v>6.6851700000000003</v>
      </c>
      <c r="E7270">
        <f>-9.68883-6.68517</f>
        <v>-16.373999999999999</v>
      </c>
      <c r="F7270" t="s">
        <v>10854</v>
      </c>
      <c r="G7270" t="s">
        <v>37</v>
      </c>
      <c r="H7270">
        <v>1983</v>
      </c>
      <c r="I7270">
        <v>25.4</v>
      </c>
      <c r="J7270">
        <v>11.3</v>
      </c>
      <c r="K7270">
        <v>81</v>
      </c>
      <c r="L7270">
        <v>7.91</v>
      </c>
      <c r="M7270">
        <v>32.799999999999997</v>
      </c>
      <c r="N7270">
        <v>18.899999999999999</v>
      </c>
      <c r="O7270">
        <v>13.9</v>
      </c>
      <c r="P7270">
        <v>24.7</v>
      </c>
      <c r="Q7270">
        <v>25.6</v>
      </c>
      <c r="R7270">
        <v>26</v>
      </c>
      <c r="S7270">
        <v>24.2</v>
      </c>
      <c r="T7270">
        <v>2228</v>
      </c>
      <c r="U7270">
        <v>420</v>
      </c>
      <c r="V7270">
        <v>24</v>
      </c>
      <c r="W7270">
        <v>59</v>
      </c>
      <c r="X7270">
        <v>932</v>
      </c>
      <c r="Y7270">
        <v>132</v>
      </c>
      <c r="Z7270">
        <v>375</v>
      </c>
      <c r="AA7270">
        <v>924</v>
      </c>
      <c r="AB7270">
        <v>9.5956299999999999</v>
      </c>
      <c r="AC7270">
        <v>3.8305239999999997E-2</v>
      </c>
      <c r="AD7270">
        <v>2.401875</v>
      </c>
      <c r="AE7270">
        <v>0.1952565</v>
      </c>
      <c r="AF7270">
        <v>203.71729999999999</v>
      </c>
      <c r="AG7270">
        <f>IFERROR(AH7270*0.1, "N/A")</f>
        <v>5.1160560000000004</v>
      </c>
      <c r="AH7270">
        <v>51.160559999999997</v>
      </c>
      <c r="AI7270">
        <v>117.7269</v>
      </c>
      <c r="AJ7270">
        <v>19.481680000000001</v>
      </c>
      <c r="AK7270">
        <v>61.678879999999999</v>
      </c>
    </row>
    <row r="7271" spans="1:37" x14ac:dyDescent="0.3">
      <c r="A7271">
        <v>7270</v>
      </c>
      <c r="B7271">
        <v>21.7</v>
      </c>
      <c r="C7271">
        <v>-9.3627800000000008</v>
      </c>
      <c r="D7271">
        <v>6.6866700000000003</v>
      </c>
      <c r="E7271">
        <f>-9.36278-6.68667</f>
        <v>-16.04945</v>
      </c>
      <c r="F7271" t="s">
        <v>10855</v>
      </c>
      <c r="G7271" t="s">
        <v>39</v>
      </c>
      <c r="H7271">
        <v>1983</v>
      </c>
      <c r="I7271">
        <v>25.3</v>
      </c>
      <c r="J7271">
        <v>11.9</v>
      </c>
      <c r="K7271">
        <v>79</v>
      </c>
      <c r="L7271">
        <v>7.02</v>
      </c>
      <c r="M7271">
        <v>33.299999999999997</v>
      </c>
      <c r="N7271">
        <v>18.3</v>
      </c>
      <c r="O7271">
        <v>15</v>
      </c>
      <c r="P7271">
        <v>24.7</v>
      </c>
      <c r="Q7271">
        <v>25.3</v>
      </c>
      <c r="R7271">
        <v>25.8</v>
      </c>
      <c r="S7271">
        <v>24.2</v>
      </c>
      <c r="T7271">
        <v>2106</v>
      </c>
      <c r="U7271">
        <v>395</v>
      </c>
      <c r="V7271">
        <v>22</v>
      </c>
      <c r="W7271">
        <v>58</v>
      </c>
      <c r="X7271">
        <v>853</v>
      </c>
      <c r="Y7271">
        <v>123</v>
      </c>
      <c r="Z7271">
        <v>373</v>
      </c>
      <c r="AA7271">
        <v>830</v>
      </c>
      <c r="AB7271">
        <v>13.90035</v>
      </c>
      <c r="AC7271">
        <v>2.6683470000000001E-2</v>
      </c>
      <c r="AD7271">
        <v>2.5848779999999998</v>
      </c>
      <c r="AE7271">
        <v>0.46563369999999998</v>
      </c>
      <c r="AF7271">
        <v>215.1704</v>
      </c>
      <c r="AG7271">
        <f>IFERROR(AH7271*0.1, "N/A")</f>
        <v>5.4038260000000005</v>
      </c>
      <c r="AH7271">
        <v>54.038260000000001</v>
      </c>
      <c r="AI7271">
        <v>223.01609999999999</v>
      </c>
      <c r="AJ7271">
        <v>20</v>
      </c>
      <c r="AK7271">
        <v>58.46087</v>
      </c>
    </row>
    <row r="7272" spans="1:37" x14ac:dyDescent="0.3">
      <c r="A7272">
        <v>7271</v>
      </c>
      <c r="B7272">
        <v>0</v>
      </c>
      <c r="C7272">
        <v>-9.3627800000000008</v>
      </c>
      <c r="D7272">
        <v>6.6866700000000003</v>
      </c>
      <c r="E7272">
        <f>-9.36278-6.68667</f>
        <v>-16.04945</v>
      </c>
      <c r="F7272" t="s">
        <v>10856</v>
      </c>
      <c r="G7272" t="s">
        <v>37</v>
      </c>
      <c r="H7272">
        <v>1983</v>
      </c>
      <c r="I7272">
        <v>25.3</v>
      </c>
      <c r="J7272">
        <v>11.9</v>
      </c>
      <c r="K7272">
        <v>79</v>
      </c>
      <c r="L7272">
        <v>7.02</v>
      </c>
      <c r="M7272">
        <v>33.299999999999997</v>
      </c>
      <c r="N7272">
        <v>18.3</v>
      </c>
      <c r="O7272">
        <v>15</v>
      </c>
      <c r="P7272">
        <v>24.7</v>
      </c>
      <c r="Q7272">
        <v>25.3</v>
      </c>
      <c r="R7272">
        <v>25.8</v>
      </c>
      <c r="S7272">
        <v>24.2</v>
      </c>
      <c r="T7272">
        <v>2106</v>
      </c>
      <c r="U7272">
        <v>395</v>
      </c>
      <c r="V7272">
        <v>22</v>
      </c>
      <c r="W7272">
        <v>58</v>
      </c>
      <c r="X7272">
        <v>853</v>
      </c>
      <c r="Y7272">
        <v>123</v>
      </c>
      <c r="Z7272">
        <v>373</v>
      </c>
      <c r="AA7272">
        <v>830</v>
      </c>
      <c r="AB7272">
        <v>13.90035</v>
      </c>
      <c r="AC7272">
        <v>2.6683470000000001E-2</v>
      </c>
      <c r="AD7272">
        <v>2.5848779999999998</v>
      </c>
      <c r="AE7272">
        <v>0.46563369999999998</v>
      </c>
      <c r="AF7272">
        <v>215.1704</v>
      </c>
      <c r="AG7272">
        <f>IFERROR(AH7272*0.1, "N/A")</f>
        <v>5.4038260000000005</v>
      </c>
      <c r="AH7272">
        <v>54.038260000000001</v>
      </c>
      <c r="AI7272">
        <v>223.01609999999999</v>
      </c>
      <c r="AJ7272">
        <v>20</v>
      </c>
      <c r="AK7272">
        <v>58.46087</v>
      </c>
    </row>
    <row r="7273" spans="1:37" x14ac:dyDescent="0.3">
      <c r="A7273">
        <v>7272</v>
      </c>
      <c r="B7273">
        <v>8.9</v>
      </c>
      <c r="C7273">
        <v>-9.3000000000000007</v>
      </c>
      <c r="D7273">
        <v>6.7</v>
      </c>
      <c r="E7273">
        <f>-9.3-6.7</f>
        <v>-16</v>
      </c>
      <c r="F7273" t="s">
        <v>10857</v>
      </c>
      <c r="G7273" t="s">
        <v>37</v>
      </c>
      <c r="H7273">
        <v>1985</v>
      </c>
      <c r="I7273">
        <v>25.414680000000001</v>
      </c>
      <c r="J7273">
        <v>12</v>
      </c>
      <c r="K7273">
        <v>78</v>
      </c>
      <c r="L7273">
        <v>7.1716610000000003</v>
      </c>
      <c r="M7273">
        <v>33.514690000000002</v>
      </c>
      <c r="N7273">
        <v>18.23339</v>
      </c>
      <c r="O7273">
        <v>15.28129</v>
      </c>
      <c r="P7273">
        <v>24.718710000000002</v>
      </c>
      <c r="Q7273">
        <v>25.333390000000001</v>
      </c>
      <c r="R7273">
        <v>26.018709999999999</v>
      </c>
      <c r="S7273">
        <v>24.314679999999999</v>
      </c>
      <c r="T7273">
        <v>2077.6799999999998</v>
      </c>
      <c r="U7273">
        <v>389.85309999999998</v>
      </c>
      <c r="V7273">
        <v>21</v>
      </c>
      <c r="W7273">
        <v>58</v>
      </c>
      <c r="X7273">
        <v>838.11890000000005</v>
      </c>
      <c r="Y7273">
        <v>119.2657</v>
      </c>
      <c r="Z7273">
        <v>526.33389999999997</v>
      </c>
      <c r="AA7273">
        <v>815.11890000000005</v>
      </c>
      <c r="AB7273">
        <v>8.2910909999999998</v>
      </c>
      <c r="AC7273">
        <v>2.4521910000000001E-2</v>
      </c>
      <c r="AD7273">
        <v>2.8061099999999999</v>
      </c>
      <c r="AE7273">
        <v>0.44003740000000002</v>
      </c>
      <c r="AF7273">
        <v>210.0822</v>
      </c>
      <c r="AG7273">
        <f>IFERROR(AH7273*0.1, "N/A")</f>
        <v>5</v>
      </c>
      <c r="AH7273">
        <v>50</v>
      </c>
      <c r="AI7273">
        <v>60.628810000000001</v>
      </c>
      <c r="AJ7273">
        <v>21.734269999999999</v>
      </c>
      <c r="AK7273">
        <v>55.265729999999998</v>
      </c>
    </row>
    <row r="7274" spans="1:37" x14ac:dyDescent="0.3">
      <c r="A7274">
        <v>7273</v>
      </c>
      <c r="B7274">
        <v>10.9</v>
      </c>
      <c r="C7274">
        <v>-9.3000000000000007</v>
      </c>
      <c r="D7274">
        <v>6.7</v>
      </c>
      <c r="E7274">
        <f>-9.3-6.7</f>
        <v>-16</v>
      </c>
      <c r="F7274" t="s">
        <v>10858</v>
      </c>
      <c r="G7274" t="s">
        <v>39</v>
      </c>
      <c r="H7274">
        <v>1985</v>
      </c>
      <c r="I7274">
        <v>25.414680000000001</v>
      </c>
      <c r="J7274">
        <v>12</v>
      </c>
      <c r="K7274">
        <v>78</v>
      </c>
      <c r="L7274">
        <v>7.1716610000000003</v>
      </c>
      <c r="M7274">
        <v>33.514690000000002</v>
      </c>
      <c r="N7274">
        <v>18.23339</v>
      </c>
      <c r="O7274">
        <v>15.28129</v>
      </c>
      <c r="P7274">
        <v>24.718710000000002</v>
      </c>
      <c r="Q7274">
        <v>25.333390000000001</v>
      </c>
      <c r="R7274">
        <v>26.018709999999999</v>
      </c>
      <c r="S7274">
        <v>24.314679999999999</v>
      </c>
      <c r="T7274">
        <v>2077.6799999999998</v>
      </c>
      <c r="U7274">
        <v>389.85309999999998</v>
      </c>
      <c r="V7274">
        <v>21</v>
      </c>
      <c r="W7274">
        <v>58</v>
      </c>
      <c r="X7274">
        <v>838.11890000000005</v>
      </c>
      <c r="Y7274">
        <v>119.2657</v>
      </c>
      <c r="Z7274">
        <v>526.33389999999997</v>
      </c>
      <c r="AA7274">
        <v>815.11890000000005</v>
      </c>
      <c r="AB7274">
        <v>8.2910909999999998</v>
      </c>
      <c r="AC7274">
        <v>2.4521910000000001E-2</v>
      </c>
      <c r="AD7274">
        <v>2.8061099999999999</v>
      </c>
      <c r="AE7274">
        <v>0.44003740000000002</v>
      </c>
      <c r="AF7274">
        <v>210.0822</v>
      </c>
      <c r="AG7274">
        <f>IFERROR(AH7274*0.1, "N/A")</f>
        <v>5</v>
      </c>
      <c r="AH7274">
        <v>50</v>
      </c>
      <c r="AI7274">
        <v>60.628810000000001</v>
      </c>
      <c r="AJ7274">
        <v>21.734269999999999</v>
      </c>
      <c r="AK7274">
        <v>55.265729999999998</v>
      </c>
    </row>
    <row r="7275" spans="1:37" x14ac:dyDescent="0.3">
      <c r="A7275">
        <v>7274</v>
      </c>
      <c r="B7275">
        <v>5</v>
      </c>
      <c r="C7275">
        <v>-9.5263899999999992</v>
      </c>
      <c r="D7275">
        <v>6.7261100000000003</v>
      </c>
      <c r="E7275">
        <f>-9.52639-6.72611</f>
        <v>-16.252499999999998</v>
      </c>
      <c r="F7275" t="s">
        <v>10859</v>
      </c>
      <c r="G7275" t="s">
        <v>39</v>
      </c>
      <c r="H7275">
        <v>1983</v>
      </c>
      <c r="I7275">
        <v>25.3</v>
      </c>
      <c r="J7275">
        <v>11.6</v>
      </c>
      <c r="K7275">
        <v>80</v>
      </c>
      <c r="L7275">
        <v>7.62</v>
      </c>
      <c r="M7275">
        <v>32.9</v>
      </c>
      <c r="N7275">
        <v>18.399999999999999</v>
      </c>
      <c r="O7275">
        <v>14.5</v>
      </c>
      <c r="P7275">
        <v>24.6</v>
      </c>
      <c r="Q7275">
        <v>25.3</v>
      </c>
      <c r="R7275">
        <v>25.8</v>
      </c>
      <c r="S7275">
        <v>24.2</v>
      </c>
      <c r="T7275">
        <v>2126</v>
      </c>
      <c r="U7275">
        <v>402</v>
      </c>
      <c r="V7275">
        <v>23</v>
      </c>
      <c r="W7275">
        <v>58</v>
      </c>
      <c r="X7275">
        <v>872</v>
      </c>
      <c r="Y7275">
        <v>126</v>
      </c>
      <c r="Z7275">
        <v>529</v>
      </c>
      <c r="AA7275">
        <v>855</v>
      </c>
      <c r="AB7275">
        <v>11.58628</v>
      </c>
      <c r="AC7275">
        <v>8.4901969999999997E-3</v>
      </c>
      <c r="AD7275">
        <v>3.5699610000000002</v>
      </c>
      <c r="AE7275">
        <v>0.33972560000000002</v>
      </c>
      <c r="AF7275">
        <v>209.3177</v>
      </c>
      <c r="AG7275">
        <f>IFERROR(AH7275*0.1, "N/A")</f>
        <v>5.0843750000000005</v>
      </c>
      <c r="AH7275">
        <v>50.84375</v>
      </c>
      <c r="AI7275">
        <v>178.10589999999999</v>
      </c>
      <c r="AJ7275">
        <v>19.3125</v>
      </c>
      <c r="AK7275">
        <v>62.6875</v>
      </c>
    </row>
    <row r="7276" spans="1:37" x14ac:dyDescent="0.3">
      <c r="A7276">
        <v>7275</v>
      </c>
      <c r="B7276">
        <v>0</v>
      </c>
      <c r="C7276">
        <v>-9.5263899999999992</v>
      </c>
      <c r="D7276">
        <v>6.7261100000000003</v>
      </c>
      <c r="E7276">
        <f>-9.52639-6.72611</f>
        <v>-16.252499999999998</v>
      </c>
      <c r="F7276" t="s">
        <v>10860</v>
      </c>
      <c r="G7276" t="s">
        <v>37</v>
      </c>
      <c r="H7276">
        <v>1983</v>
      </c>
      <c r="I7276">
        <v>25.3</v>
      </c>
      <c r="J7276">
        <v>11.6</v>
      </c>
      <c r="K7276">
        <v>80</v>
      </c>
      <c r="L7276">
        <v>7.62</v>
      </c>
      <c r="M7276">
        <v>32.9</v>
      </c>
      <c r="N7276">
        <v>18.399999999999999</v>
      </c>
      <c r="O7276">
        <v>14.5</v>
      </c>
      <c r="P7276">
        <v>24.6</v>
      </c>
      <c r="Q7276">
        <v>25.3</v>
      </c>
      <c r="R7276">
        <v>25.8</v>
      </c>
      <c r="S7276">
        <v>24.2</v>
      </c>
      <c r="T7276">
        <v>2126</v>
      </c>
      <c r="U7276">
        <v>402</v>
      </c>
      <c r="V7276">
        <v>23</v>
      </c>
      <c r="W7276">
        <v>58</v>
      </c>
      <c r="X7276">
        <v>872</v>
      </c>
      <c r="Y7276">
        <v>126</v>
      </c>
      <c r="Z7276">
        <v>529</v>
      </c>
      <c r="AA7276">
        <v>855</v>
      </c>
      <c r="AB7276">
        <v>11.58628</v>
      </c>
      <c r="AC7276">
        <v>8.4901969999999997E-3</v>
      </c>
      <c r="AD7276">
        <v>3.5699610000000002</v>
      </c>
      <c r="AE7276">
        <v>0.33972560000000002</v>
      </c>
      <c r="AF7276">
        <v>209.3177</v>
      </c>
      <c r="AG7276">
        <f>IFERROR(AH7276*0.1, "N/A")</f>
        <v>5.0843750000000005</v>
      </c>
      <c r="AH7276">
        <v>50.84375</v>
      </c>
      <c r="AI7276">
        <v>178.10589999999999</v>
      </c>
      <c r="AJ7276">
        <v>19.3125</v>
      </c>
      <c r="AK7276">
        <v>62.6875</v>
      </c>
    </row>
    <row r="7277" spans="1:37" x14ac:dyDescent="0.3">
      <c r="A7277">
        <v>7276</v>
      </c>
      <c r="B7277">
        <v>3.3</v>
      </c>
      <c r="C7277">
        <v>-10.028600000000001</v>
      </c>
      <c r="D7277">
        <v>6.7616699999999996</v>
      </c>
      <c r="E7277">
        <f>-10.0286-6.76167</f>
        <v>-16.79027</v>
      </c>
      <c r="F7277" t="s">
        <v>10861</v>
      </c>
      <c r="G7277" t="s">
        <v>39</v>
      </c>
      <c r="H7277">
        <v>1983</v>
      </c>
      <c r="I7277">
        <v>26.4</v>
      </c>
      <c r="J7277">
        <v>10.9</v>
      </c>
      <c r="K7277">
        <v>81</v>
      </c>
      <c r="L7277">
        <v>8.85</v>
      </c>
      <c r="M7277">
        <v>33.4</v>
      </c>
      <c r="N7277">
        <v>20</v>
      </c>
      <c r="O7277">
        <v>13.4</v>
      </c>
      <c r="P7277">
        <v>25.1</v>
      </c>
      <c r="Q7277">
        <v>26.3</v>
      </c>
      <c r="R7277">
        <v>27</v>
      </c>
      <c r="S7277">
        <v>25.1</v>
      </c>
      <c r="T7277">
        <v>2407</v>
      </c>
      <c r="U7277">
        <v>447</v>
      </c>
      <c r="V7277">
        <v>25</v>
      </c>
      <c r="W7277">
        <v>60</v>
      </c>
      <c r="X7277">
        <v>1056</v>
      </c>
      <c r="Y7277">
        <v>144</v>
      </c>
      <c r="Z7277">
        <v>524</v>
      </c>
      <c r="AA7277">
        <v>1056</v>
      </c>
      <c r="AB7277">
        <v>14.0335</v>
      </c>
      <c r="AC7277">
        <v>2.4491079999999998E-2</v>
      </c>
      <c r="AD7277">
        <v>4.8378300000000003</v>
      </c>
      <c r="AE7277">
        <v>0.51630940000000003</v>
      </c>
      <c r="AF7277">
        <v>132.63</v>
      </c>
      <c r="AG7277">
        <f>IFERROR(AH7277*0.1, "N/A")</f>
        <v>5.3301920000000003</v>
      </c>
      <c r="AH7277">
        <v>53.301920000000003</v>
      </c>
      <c r="AI7277">
        <v>142.19069999999999</v>
      </c>
      <c r="AJ7277">
        <v>21.499130000000001</v>
      </c>
      <c r="AK7277">
        <v>63.858640000000001</v>
      </c>
    </row>
    <row r="7278" spans="1:37" x14ac:dyDescent="0.3">
      <c r="A7278">
        <v>7277</v>
      </c>
      <c r="B7278">
        <v>0</v>
      </c>
      <c r="C7278">
        <v>-10.028600000000001</v>
      </c>
      <c r="D7278">
        <v>6.7616699999999996</v>
      </c>
      <c r="E7278">
        <f>-10.0286-6.76167</f>
        <v>-16.79027</v>
      </c>
      <c r="F7278" t="s">
        <v>10862</v>
      </c>
      <c r="G7278" t="s">
        <v>37</v>
      </c>
      <c r="H7278">
        <v>1983</v>
      </c>
      <c r="I7278">
        <v>26.4</v>
      </c>
      <c r="J7278">
        <v>10.9</v>
      </c>
      <c r="K7278">
        <v>81</v>
      </c>
      <c r="L7278">
        <v>8.85</v>
      </c>
      <c r="M7278">
        <v>33.4</v>
      </c>
      <c r="N7278">
        <v>20</v>
      </c>
      <c r="O7278">
        <v>13.4</v>
      </c>
      <c r="P7278">
        <v>25.1</v>
      </c>
      <c r="Q7278">
        <v>26.3</v>
      </c>
      <c r="R7278">
        <v>27</v>
      </c>
      <c r="S7278">
        <v>25.1</v>
      </c>
      <c r="T7278">
        <v>2407</v>
      </c>
      <c r="U7278">
        <v>447</v>
      </c>
      <c r="V7278">
        <v>25</v>
      </c>
      <c r="W7278">
        <v>60</v>
      </c>
      <c r="X7278">
        <v>1056</v>
      </c>
      <c r="Y7278">
        <v>144</v>
      </c>
      <c r="Z7278">
        <v>524</v>
      </c>
      <c r="AA7278">
        <v>1056</v>
      </c>
      <c r="AB7278">
        <v>14.0335</v>
      </c>
      <c r="AC7278">
        <v>2.4491079999999998E-2</v>
      </c>
      <c r="AD7278">
        <v>4.8378300000000003</v>
      </c>
      <c r="AE7278">
        <v>0.51630940000000003</v>
      </c>
      <c r="AF7278">
        <v>132.63</v>
      </c>
      <c r="AG7278">
        <f>IFERROR(AH7278*0.1, "N/A")</f>
        <v>5.3301920000000003</v>
      </c>
      <c r="AH7278">
        <v>53.301920000000003</v>
      </c>
      <c r="AI7278">
        <v>142.19069999999999</v>
      </c>
      <c r="AJ7278">
        <v>21.499130000000001</v>
      </c>
      <c r="AK7278">
        <v>63.858640000000001</v>
      </c>
    </row>
    <row r="7279" spans="1:37" x14ac:dyDescent="0.3">
      <c r="A7279">
        <v>7278</v>
      </c>
      <c r="B7279">
        <v>42.6</v>
      </c>
      <c r="C7279">
        <v>-9.4433299999999996</v>
      </c>
      <c r="D7279">
        <v>6.7822199999999997</v>
      </c>
      <c r="E7279">
        <f>-9.44333-6.78222</f>
        <v>-16.225549999999998</v>
      </c>
      <c r="F7279" t="s">
        <v>10863</v>
      </c>
      <c r="G7279" t="s">
        <v>39</v>
      </c>
      <c r="H7279">
        <v>1983</v>
      </c>
      <c r="I7279">
        <v>25.1</v>
      </c>
      <c r="J7279">
        <v>11.9</v>
      </c>
      <c r="K7279">
        <v>78</v>
      </c>
      <c r="L7279">
        <v>7.29</v>
      </c>
      <c r="M7279">
        <v>33</v>
      </c>
      <c r="N7279">
        <v>17.899999999999999</v>
      </c>
      <c r="O7279">
        <v>15.1</v>
      </c>
      <c r="P7279">
        <v>24.5</v>
      </c>
      <c r="Q7279">
        <v>25.1</v>
      </c>
      <c r="R7279">
        <v>25.6</v>
      </c>
      <c r="S7279">
        <v>24</v>
      </c>
      <c r="T7279">
        <v>2088</v>
      </c>
      <c r="U7279">
        <v>395</v>
      </c>
      <c r="V7279">
        <v>22</v>
      </c>
      <c r="W7279">
        <v>58</v>
      </c>
      <c r="X7279">
        <v>853</v>
      </c>
      <c r="Y7279">
        <v>123</v>
      </c>
      <c r="Z7279">
        <v>528</v>
      </c>
      <c r="AA7279">
        <v>834</v>
      </c>
      <c r="AB7279">
        <v>14.028740000000001</v>
      </c>
      <c r="AC7279">
        <v>1.5795300000000002E-2</v>
      </c>
      <c r="AD7279">
        <v>2.6080610000000002</v>
      </c>
      <c r="AE7279">
        <v>0.29583540000000003</v>
      </c>
      <c r="AF7279">
        <v>254.56270000000001</v>
      </c>
      <c r="AG7279">
        <f>IFERROR(AH7279*0.1, "N/A")</f>
        <v>5.4458190000000002</v>
      </c>
      <c r="AH7279">
        <v>54.458190000000002</v>
      </c>
      <c r="AI7279">
        <v>64.691909999999993</v>
      </c>
      <c r="AJ7279">
        <v>21.005230000000001</v>
      </c>
      <c r="AK7279">
        <v>60.973869999999998</v>
      </c>
    </row>
    <row r="7280" spans="1:37" x14ac:dyDescent="0.3">
      <c r="A7280">
        <v>7279</v>
      </c>
      <c r="B7280">
        <v>6.9</v>
      </c>
      <c r="C7280">
        <v>-9.4433299999999996</v>
      </c>
      <c r="D7280">
        <v>6.7822199999999997</v>
      </c>
      <c r="E7280">
        <f>-9.44333-6.78222</f>
        <v>-16.225549999999998</v>
      </c>
      <c r="F7280" t="s">
        <v>10864</v>
      </c>
      <c r="G7280" t="s">
        <v>37</v>
      </c>
      <c r="H7280">
        <v>1983</v>
      </c>
      <c r="I7280">
        <v>25.1</v>
      </c>
      <c r="J7280">
        <v>11.9</v>
      </c>
      <c r="K7280">
        <v>78</v>
      </c>
      <c r="L7280">
        <v>7.29</v>
      </c>
      <c r="M7280">
        <v>33</v>
      </c>
      <c r="N7280">
        <v>17.899999999999999</v>
      </c>
      <c r="O7280">
        <v>15.1</v>
      </c>
      <c r="P7280">
        <v>24.5</v>
      </c>
      <c r="Q7280">
        <v>25.1</v>
      </c>
      <c r="R7280">
        <v>25.6</v>
      </c>
      <c r="S7280">
        <v>24</v>
      </c>
      <c r="T7280">
        <v>2088</v>
      </c>
      <c r="U7280">
        <v>395</v>
      </c>
      <c r="V7280">
        <v>22</v>
      </c>
      <c r="W7280">
        <v>58</v>
      </c>
      <c r="X7280">
        <v>853</v>
      </c>
      <c r="Y7280">
        <v>123</v>
      </c>
      <c r="Z7280">
        <v>528</v>
      </c>
      <c r="AA7280">
        <v>834</v>
      </c>
      <c r="AB7280">
        <v>14.028740000000001</v>
      </c>
      <c r="AC7280">
        <v>1.5795300000000002E-2</v>
      </c>
      <c r="AD7280">
        <v>2.6080610000000002</v>
      </c>
      <c r="AE7280">
        <v>0.29583540000000003</v>
      </c>
      <c r="AF7280">
        <v>254.56270000000001</v>
      </c>
      <c r="AG7280">
        <f>IFERROR(AH7280*0.1, "N/A")</f>
        <v>5.4458190000000002</v>
      </c>
      <c r="AH7280">
        <v>54.458190000000002</v>
      </c>
      <c r="AI7280">
        <v>64.691909999999993</v>
      </c>
      <c r="AJ7280">
        <v>21.005230000000001</v>
      </c>
      <c r="AK7280">
        <v>60.973869999999998</v>
      </c>
    </row>
    <row r="7281" spans="1:37" x14ac:dyDescent="0.3">
      <c r="A7281">
        <v>7280</v>
      </c>
      <c r="B7281">
        <v>0</v>
      </c>
      <c r="C7281">
        <v>-8.8109999999999999</v>
      </c>
      <c r="D7281">
        <v>6.806</v>
      </c>
      <c r="E7281">
        <f>-8.811-6.806</f>
        <v>-15.617000000000001</v>
      </c>
      <c r="F7281" t="s">
        <v>10865</v>
      </c>
      <c r="G7281" t="s">
        <v>39</v>
      </c>
      <c r="H7281">
        <v>1987</v>
      </c>
      <c r="I7281">
        <v>25.7</v>
      </c>
      <c r="J7281">
        <v>13.1</v>
      </c>
      <c r="K7281">
        <v>77</v>
      </c>
      <c r="L7281">
        <v>8.26</v>
      </c>
      <c r="M7281">
        <v>34.6</v>
      </c>
      <c r="N7281">
        <v>17.600000000000001</v>
      </c>
      <c r="O7281">
        <v>17</v>
      </c>
      <c r="P7281">
        <v>25.1</v>
      </c>
      <c r="Q7281">
        <v>25.6</v>
      </c>
      <c r="R7281">
        <v>26.7</v>
      </c>
      <c r="S7281">
        <v>24.6</v>
      </c>
      <c r="T7281">
        <v>1992</v>
      </c>
      <c r="U7281">
        <v>376</v>
      </c>
      <c r="V7281">
        <v>16</v>
      </c>
      <c r="W7281">
        <v>60</v>
      </c>
      <c r="X7281">
        <v>807</v>
      </c>
      <c r="Y7281">
        <v>102</v>
      </c>
      <c r="Z7281">
        <v>496</v>
      </c>
      <c r="AA7281">
        <v>790</v>
      </c>
      <c r="AB7281">
        <v>12.46048</v>
      </c>
      <c r="AC7281">
        <v>5.1571199999999998E-2</v>
      </c>
      <c r="AD7281">
        <v>3.1436500000000001</v>
      </c>
      <c r="AE7281">
        <v>0.35618</v>
      </c>
      <c r="AF7281">
        <v>253.0035</v>
      </c>
      <c r="AG7281">
        <f>IFERROR(AH7281*0.1, "N/A")</f>
        <v>5.4842660000000008</v>
      </c>
      <c r="AH7281">
        <v>54.842660000000002</v>
      </c>
      <c r="AI7281">
        <v>222.87819999999999</v>
      </c>
      <c r="AJ7281">
        <v>21.39161</v>
      </c>
      <c r="AK7281">
        <v>59.118879999999997</v>
      </c>
    </row>
    <row r="7282" spans="1:37" x14ac:dyDescent="0.3">
      <c r="A7282">
        <v>7281</v>
      </c>
      <c r="B7282">
        <v>4.3</v>
      </c>
      <c r="C7282">
        <v>-9.9380600000000001</v>
      </c>
      <c r="D7282">
        <v>6.8125</v>
      </c>
      <c r="E7282">
        <f>-9.93806-6.8125</f>
        <v>-16.75056</v>
      </c>
      <c r="F7282" t="s">
        <v>10866</v>
      </c>
      <c r="G7282" t="s">
        <v>37</v>
      </c>
      <c r="H7282">
        <v>1980</v>
      </c>
      <c r="I7282">
        <v>25.8</v>
      </c>
      <c r="J7282">
        <v>11.1</v>
      </c>
      <c r="K7282">
        <v>81</v>
      </c>
      <c r="L7282">
        <v>8.26</v>
      </c>
      <c r="M7282">
        <v>32.9</v>
      </c>
      <c r="N7282">
        <v>19.3</v>
      </c>
      <c r="O7282">
        <v>13.6</v>
      </c>
      <c r="P7282">
        <v>24.5</v>
      </c>
      <c r="Q7282">
        <v>25.9</v>
      </c>
      <c r="R7282">
        <v>26.3</v>
      </c>
      <c r="S7282">
        <v>24.5</v>
      </c>
      <c r="T7282">
        <v>2325</v>
      </c>
      <c r="U7282">
        <v>432</v>
      </c>
      <c r="V7282">
        <v>25</v>
      </c>
      <c r="W7282">
        <v>59</v>
      </c>
      <c r="X7282">
        <v>1001</v>
      </c>
      <c r="Y7282">
        <v>141</v>
      </c>
      <c r="Z7282">
        <v>387</v>
      </c>
      <c r="AA7282">
        <v>1001</v>
      </c>
      <c r="AB7282">
        <v>0.80417620000000001</v>
      </c>
      <c r="AC7282">
        <v>7.1979309999999996</v>
      </c>
      <c r="AD7282">
        <v>2.6993070000000001</v>
      </c>
      <c r="AE7282">
        <v>0.7284929</v>
      </c>
      <c r="AF7282">
        <v>253.75829999999999</v>
      </c>
      <c r="AG7282">
        <f>IFERROR(AH7282*0.1, "N/A")</f>
        <v>5.0128700000000004</v>
      </c>
      <c r="AH7282">
        <v>50.128700000000002</v>
      </c>
      <c r="AI7282">
        <v>71.89752</v>
      </c>
      <c r="AJ7282">
        <v>19.19304</v>
      </c>
      <c r="AK7282">
        <v>64.806960000000004</v>
      </c>
    </row>
    <row r="7283" spans="1:37" x14ac:dyDescent="0.3">
      <c r="A7283">
        <v>7282</v>
      </c>
      <c r="B7283">
        <v>41.3</v>
      </c>
      <c r="C7283">
        <v>-9.9380600000000001</v>
      </c>
      <c r="D7283">
        <v>6.8125</v>
      </c>
      <c r="E7283">
        <f>-9.93806-6.8125</f>
        <v>-16.75056</v>
      </c>
      <c r="F7283" t="s">
        <v>10867</v>
      </c>
      <c r="G7283" t="s">
        <v>39</v>
      </c>
      <c r="H7283">
        <v>1980</v>
      </c>
      <c r="I7283">
        <v>25.8</v>
      </c>
      <c r="J7283">
        <v>11.1</v>
      </c>
      <c r="K7283">
        <v>81</v>
      </c>
      <c r="L7283">
        <v>8.26</v>
      </c>
      <c r="M7283">
        <v>32.9</v>
      </c>
      <c r="N7283">
        <v>19.3</v>
      </c>
      <c r="O7283">
        <v>13.6</v>
      </c>
      <c r="P7283">
        <v>24.5</v>
      </c>
      <c r="Q7283">
        <v>25.9</v>
      </c>
      <c r="R7283">
        <v>26.3</v>
      </c>
      <c r="S7283">
        <v>24.5</v>
      </c>
      <c r="T7283">
        <v>2325</v>
      </c>
      <c r="U7283">
        <v>432</v>
      </c>
      <c r="V7283">
        <v>25</v>
      </c>
      <c r="W7283">
        <v>59</v>
      </c>
      <c r="X7283">
        <v>1001</v>
      </c>
      <c r="Y7283">
        <v>141</v>
      </c>
      <c r="Z7283">
        <v>387</v>
      </c>
      <c r="AA7283">
        <v>1001</v>
      </c>
      <c r="AB7283">
        <v>0.80417620000000001</v>
      </c>
      <c r="AC7283">
        <v>7.1979309999999996</v>
      </c>
      <c r="AD7283">
        <v>2.6993070000000001</v>
      </c>
      <c r="AE7283">
        <v>0.7284929</v>
      </c>
      <c r="AF7283">
        <v>253.75829999999999</v>
      </c>
      <c r="AG7283">
        <f>IFERROR(AH7283*0.1, "N/A")</f>
        <v>5.0128700000000004</v>
      </c>
      <c r="AH7283">
        <v>50.128700000000002</v>
      </c>
      <c r="AI7283">
        <v>71.89752</v>
      </c>
      <c r="AJ7283">
        <v>19.19304</v>
      </c>
      <c r="AK7283">
        <v>64.806960000000004</v>
      </c>
    </row>
    <row r="7284" spans="1:37" x14ac:dyDescent="0.3">
      <c r="A7284">
        <v>7283</v>
      </c>
      <c r="B7284">
        <v>16.5</v>
      </c>
      <c r="C7284">
        <v>-9.1824999999999992</v>
      </c>
      <c r="D7284">
        <v>6.8155599999999996</v>
      </c>
      <c r="E7284">
        <f>-9.1825-6.81556</f>
        <v>-15.998059999999999</v>
      </c>
      <c r="F7284" t="s">
        <v>10868</v>
      </c>
      <c r="G7284" t="s">
        <v>39</v>
      </c>
      <c r="H7284">
        <v>1983</v>
      </c>
      <c r="I7284">
        <v>25.4</v>
      </c>
      <c r="J7284">
        <v>12.6</v>
      </c>
      <c r="K7284">
        <v>78</v>
      </c>
      <c r="L7284">
        <v>6.83</v>
      </c>
      <c r="M7284">
        <v>33.9</v>
      </c>
      <c r="N7284">
        <v>17.8</v>
      </c>
      <c r="O7284">
        <v>16.100000000000001</v>
      </c>
      <c r="P7284">
        <v>24.9</v>
      </c>
      <c r="Q7284">
        <v>25.3</v>
      </c>
      <c r="R7284">
        <v>26</v>
      </c>
      <c r="S7284">
        <v>24.4</v>
      </c>
      <c r="T7284">
        <v>2034</v>
      </c>
      <c r="U7284">
        <v>385</v>
      </c>
      <c r="V7284">
        <v>19</v>
      </c>
      <c r="W7284">
        <v>59</v>
      </c>
      <c r="X7284">
        <v>821</v>
      </c>
      <c r="Y7284">
        <v>113</v>
      </c>
      <c r="Z7284">
        <v>519</v>
      </c>
      <c r="AA7284">
        <v>804</v>
      </c>
      <c r="AB7284">
        <v>1.750783</v>
      </c>
      <c r="AC7284">
        <v>7.3618480000000002</v>
      </c>
      <c r="AD7284">
        <v>2.759827</v>
      </c>
      <c r="AE7284">
        <v>0.59224860000000001</v>
      </c>
      <c r="AF7284">
        <v>226.16399999999999</v>
      </c>
      <c r="AG7284">
        <f>IFERROR(AH7284*0.1, "N/A")</f>
        <v>5.2</v>
      </c>
      <c r="AH7284">
        <v>52</v>
      </c>
      <c r="AI7284">
        <v>255.53020000000001</v>
      </c>
      <c r="AJ7284">
        <v>18.345549999999999</v>
      </c>
      <c r="AK7284">
        <v>62</v>
      </c>
    </row>
    <row r="7285" spans="1:37" x14ac:dyDescent="0.3">
      <c r="A7285">
        <v>7284</v>
      </c>
      <c r="B7285">
        <v>42.1</v>
      </c>
      <c r="C7285">
        <v>-9.1824999999999992</v>
      </c>
      <c r="D7285">
        <v>6.8155599999999996</v>
      </c>
      <c r="E7285">
        <f>-9.1825-6.81556</f>
        <v>-15.998059999999999</v>
      </c>
      <c r="F7285" t="s">
        <v>10869</v>
      </c>
      <c r="G7285" t="s">
        <v>37</v>
      </c>
      <c r="H7285">
        <v>1983</v>
      </c>
      <c r="I7285">
        <v>25.4</v>
      </c>
      <c r="J7285">
        <v>12.6</v>
      </c>
      <c r="K7285">
        <v>78</v>
      </c>
      <c r="L7285">
        <v>6.83</v>
      </c>
      <c r="M7285">
        <v>33.9</v>
      </c>
      <c r="N7285">
        <v>17.8</v>
      </c>
      <c r="O7285">
        <v>16.100000000000001</v>
      </c>
      <c r="P7285">
        <v>24.9</v>
      </c>
      <c r="Q7285">
        <v>25.3</v>
      </c>
      <c r="R7285">
        <v>26</v>
      </c>
      <c r="S7285">
        <v>24.4</v>
      </c>
      <c r="T7285">
        <v>2034</v>
      </c>
      <c r="U7285">
        <v>385</v>
      </c>
      <c r="V7285">
        <v>19</v>
      </c>
      <c r="W7285">
        <v>59</v>
      </c>
      <c r="X7285">
        <v>821</v>
      </c>
      <c r="Y7285">
        <v>113</v>
      </c>
      <c r="Z7285">
        <v>519</v>
      </c>
      <c r="AA7285">
        <v>804</v>
      </c>
      <c r="AB7285">
        <v>1.750783</v>
      </c>
      <c r="AC7285">
        <v>7.3618480000000002</v>
      </c>
      <c r="AD7285">
        <v>2.759827</v>
      </c>
      <c r="AE7285">
        <v>0.59224860000000001</v>
      </c>
      <c r="AF7285">
        <v>226.16399999999999</v>
      </c>
      <c r="AG7285">
        <f>IFERROR(AH7285*0.1, "N/A")</f>
        <v>5.2</v>
      </c>
      <c r="AH7285">
        <v>52</v>
      </c>
      <c r="AI7285">
        <v>255.53020000000001</v>
      </c>
      <c r="AJ7285">
        <v>18.345549999999999</v>
      </c>
      <c r="AK7285">
        <v>62</v>
      </c>
    </row>
    <row r="7286" spans="1:37" x14ac:dyDescent="0.3">
      <c r="A7286">
        <v>7285</v>
      </c>
      <c r="B7286">
        <v>41.3</v>
      </c>
      <c r="C7286">
        <v>-9.9350000000000005</v>
      </c>
      <c r="D7286">
        <v>6.819</v>
      </c>
      <c r="E7286">
        <f>-9.935-6.819</f>
        <v>-16.754000000000001</v>
      </c>
      <c r="F7286" t="s">
        <v>10870</v>
      </c>
      <c r="G7286" t="s">
        <v>39</v>
      </c>
      <c r="H7286">
        <v>1987</v>
      </c>
      <c r="I7286">
        <v>25.8</v>
      </c>
      <c r="J7286">
        <v>11.1</v>
      </c>
      <c r="K7286">
        <v>82</v>
      </c>
      <c r="L7286">
        <v>8.06</v>
      </c>
      <c r="M7286">
        <v>32.799999999999997</v>
      </c>
      <c r="N7286">
        <v>19.3</v>
      </c>
      <c r="O7286">
        <v>13.5</v>
      </c>
      <c r="P7286">
        <v>24.6</v>
      </c>
      <c r="Q7286">
        <v>25.9</v>
      </c>
      <c r="R7286">
        <v>26.3</v>
      </c>
      <c r="S7286">
        <v>24.6</v>
      </c>
      <c r="T7286">
        <v>2322</v>
      </c>
      <c r="U7286">
        <v>432</v>
      </c>
      <c r="V7286">
        <v>25</v>
      </c>
      <c r="W7286">
        <v>59</v>
      </c>
      <c r="X7286">
        <v>1000</v>
      </c>
      <c r="Y7286">
        <v>140</v>
      </c>
      <c r="Z7286">
        <v>388</v>
      </c>
      <c r="AA7286">
        <v>1000</v>
      </c>
      <c r="AB7286">
        <v>16.430669999999999</v>
      </c>
      <c r="AC7286">
        <v>1.021884E-2</v>
      </c>
      <c r="AD7286">
        <v>5.2633390000000002</v>
      </c>
      <c r="AE7286">
        <v>0.55596920000000005</v>
      </c>
      <c r="AF7286">
        <v>270.66719999999998</v>
      </c>
      <c r="AG7286">
        <f>IFERROR(AH7286*0.1, "N/A")</f>
        <v>5.1996520000000004</v>
      </c>
      <c r="AH7286">
        <v>51.996519999999997</v>
      </c>
      <c r="AI7286">
        <v>236.2775</v>
      </c>
      <c r="AJ7286">
        <v>21.815329999999999</v>
      </c>
      <c r="AK7286">
        <v>62.181179999999998</v>
      </c>
    </row>
    <row r="7287" spans="1:37" x14ac:dyDescent="0.3">
      <c r="A7287">
        <v>7286</v>
      </c>
      <c r="B7287">
        <v>4.3</v>
      </c>
      <c r="C7287">
        <v>-9.9350000000000005</v>
      </c>
      <c r="D7287">
        <v>6.819</v>
      </c>
      <c r="E7287">
        <f>-9.935-6.819</f>
        <v>-16.754000000000001</v>
      </c>
      <c r="F7287" t="s">
        <v>10871</v>
      </c>
      <c r="G7287" t="s">
        <v>37</v>
      </c>
      <c r="H7287">
        <v>1987</v>
      </c>
      <c r="I7287">
        <v>25.8</v>
      </c>
      <c r="J7287">
        <v>11.1</v>
      </c>
      <c r="K7287">
        <v>82</v>
      </c>
      <c r="L7287">
        <v>8.06</v>
      </c>
      <c r="M7287">
        <v>32.799999999999997</v>
      </c>
      <c r="N7287">
        <v>19.3</v>
      </c>
      <c r="O7287">
        <v>13.5</v>
      </c>
      <c r="P7287">
        <v>24.6</v>
      </c>
      <c r="Q7287">
        <v>25.9</v>
      </c>
      <c r="R7287">
        <v>26.3</v>
      </c>
      <c r="S7287">
        <v>24.6</v>
      </c>
      <c r="T7287">
        <v>2322</v>
      </c>
      <c r="U7287">
        <v>432</v>
      </c>
      <c r="V7287">
        <v>25</v>
      </c>
      <c r="W7287">
        <v>59</v>
      </c>
      <c r="X7287">
        <v>1000</v>
      </c>
      <c r="Y7287">
        <v>140</v>
      </c>
      <c r="Z7287">
        <v>388</v>
      </c>
      <c r="AA7287">
        <v>1000</v>
      </c>
      <c r="AB7287">
        <v>16.430669999999999</v>
      </c>
      <c r="AC7287">
        <v>1.021884E-2</v>
      </c>
      <c r="AD7287">
        <v>5.2633390000000002</v>
      </c>
      <c r="AE7287">
        <v>0.55596920000000005</v>
      </c>
      <c r="AF7287">
        <v>270.66719999999998</v>
      </c>
      <c r="AG7287">
        <f>IFERROR(AH7287*0.1, "N/A")</f>
        <v>5.1996520000000004</v>
      </c>
      <c r="AH7287">
        <v>51.996519999999997</v>
      </c>
      <c r="AI7287">
        <v>236.2775</v>
      </c>
      <c r="AJ7287">
        <v>21.815329999999999</v>
      </c>
      <c r="AK7287">
        <v>62.181179999999998</v>
      </c>
    </row>
    <row r="7288" spans="1:37" x14ac:dyDescent="0.3">
      <c r="A7288">
        <v>7287</v>
      </c>
      <c r="B7288">
        <v>10</v>
      </c>
      <c r="C7288">
        <v>-9.6477799999999991</v>
      </c>
      <c r="D7288">
        <v>6.8277799999999997</v>
      </c>
      <c r="E7288">
        <f>-9.64778-6.82778</f>
        <v>-16.475559999999998</v>
      </c>
      <c r="F7288" t="s">
        <v>10872</v>
      </c>
      <c r="G7288" t="s">
        <v>39</v>
      </c>
      <c r="H7288">
        <v>1983</v>
      </c>
      <c r="I7288">
        <v>25.2</v>
      </c>
      <c r="J7288">
        <v>11.5</v>
      </c>
      <c r="K7288">
        <v>79</v>
      </c>
      <c r="L7288">
        <v>8.06</v>
      </c>
      <c r="M7288">
        <v>32.799999999999997</v>
      </c>
      <c r="N7288">
        <v>18.399999999999999</v>
      </c>
      <c r="O7288">
        <v>14.4</v>
      </c>
      <c r="P7288">
        <v>24.5</v>
      </c>
      <c r="Q7288">
        <v>25.4</v>
      </c>
      <c r="R7288">
        <v>25.7</v>
      </c>
      <c r="S7288">
        <v>24</v>
      </c>
      <c r="T7288">
        <v>2115</v>
      </c>
      <c r="U7288">
        <v>400</v>
      </c>
      <c r="V7288">
        <v>22</v>
      </c>
      <c r="W7288">
        <v>58</v>
      </c>
      <c r="X7288">
        <v>876</v>
      </c>
      <c r="Y7288">
        <v>126</v>
      </c>
      <c r="Z7288">
        <v>410</v>
      </c>
      <c r="AA7288">
        <v>862</v>
      </c>
      <c r="AB7288">
        <v>8.361891</v>
      </c>
      <c r="AC7288">
        <v>2.0953619999999999E-2</v>
      </c>
      <c r="AD7288">
        <v>2.2207859999999999</v>
      </c>
      <c r="AE7288">
        <v>0.52580369999999998</v>
      </c>
      <c r="AF7288">
        <v>228.61009999999999</v>
      </c>
      <c r="AG7288">
        <f>IFERROR(AH7288*0.1, "N/A")</f>
        <v>5.2117130000000005</v>
      </c>
      <c r="AH7288">
        <v>52.117130000000003</v>
      </c>
      <c r="AI7288">
        <v>235.34020000000001</v>
      </c>
      <c r="AJ7288">
        <v>18.55245</v>
      </c>
      <c r="AK7288">
        <v>64.860140000000001</v>
      </c>
    </row>
    <row r="7289" spans="1:37" x14ac:dyDescent="0.3">
      <c r="A7289">
        <v>7288</v>
      </c>
      <c r="B7289">
        <v>0</v>
      </c>
      <c r="C7289">
        <v>-9.6477799999999991</v>
      </c>
      <c r="D7289">
        <v>6.8277799999999997</v>
      </c>
      <c r="E7289">
        <f>-9.64778-6.82778</f>
        <v>-16.475559999999998</v>
      </c>
      <c r="F7289" t="s">
        <v>10873</v>
      </c>
      <c r="G7289" t="s">
        <v>37</v>
      </c>
      <c r="H7289">
        <v>1983</v>
      </c>
      <c r="I7289">
        <v>25.2</v>
      </c>
      <c r="J7289">
        <v>11.5</v>
      </c>
      <c r="K7289">
        <v>79</v>
      </c>
      <c r="L7289">
        <v>8.06</v>
      </c>
      <c r="M7289">
        <v>32.799999999999997</v>
      </c>
      <c r="N7289">
        <v>18.399999999999999</v>
      </c>
      <c r="O7289">
        <v>14.4</v>
      </c>
      <c r="P7289">
        <v>24.5</v>
      </c>
      <c r="Q7289">
        <v>25.4</v>
      </c>
      <c r="R7289">
        <v>25.7</v>
      </c>
      <c r="S7289">
        <v>24</v>
      </c>
      <c r="T7289">
        <v>2115</v>
      </c>
      <c r="U7289">
        <v>400</v>
      </c>
      <c r="V7289">
        <v>22</v>
      </c>
      <c r="W7289">
        <v>58</v>
      </c>
      <c r="X7289">
        <v>876</v>
      </c>
      <c r="Y7289">
        <v>126</v>
      </c>
      <c r="Z7289">
        <v>410</v>
      </c>
      <c r="AA7289">
        <v>862</v>
      </c>
      <c r="AB7289">
        <v>8.361891</v>
      </c>
      <c r="AC7289">
        <v>2.0953619999999999E-2</v>
      </c>
      <c r="AD7289">
        <v>2.2207859999999999</v>
      </c>
      <c r="AE7289">
        <v>0.52580369999999998</v>
      </c>
      <c r="AF7289">
        <v>228.61009999999999</v>
      </c>
      <c r="AG7289">
        <f>IFERROR(AH7289*0.1, "N/A")</f>
        <v>5.2117130000000005</v>
      </c>
      <c r="AH7289">
        <v>52.117130000000003</v>
      </c>
      <c r="AI7289">
        <v>235.34020000000001</v>
      </c>
      <c r="AJ7289">
        <v>18.55245</v>
      </c>
      <c r="AK7289">
        <v>64.860140000000001</v>
      </c>
    </row>
    <row r="7290" spans="1:37" x14ac:dyDescent="0.3">
      <c r="A7290">
        <v>7289</v>
      </c>
      <c r="B7290">
        <v>0</v>
      </c>
      <c r="C7290">
        <v>-9.4577799999999996</v>
      </c>
      <c r="D7290">
        <v>6.8313899999999999</v>
      </c>
      <c r="E7290">
        <f>-9.45778-6.83139</f>
        <v>-16.289169999999999</v>
      </c>
      <c r="F7290" t="s">
        <v>10874</v>
      </c>
      <c r="G7290" t="s">
        <v>39</v>
      </c>
      <c r="H7290">
        <v>1983</v>
      </c>
      <c r="I7290">
        <v>25.1</v>
      </c>
      <c r="J7290">
        <v>11.9</v>
      </c>
      <c r="K7290">
        <v>78</v>
      </c>
      <c r="L7290">
        <v>7.0642060000000004</v>
      </c>
      <c r="M7290">
        <v>33</v>
      </c>
      <c r="N7290">
        <v>17.899999999999999</v>
      </c>
      <c r="O7290">
        <v>15.1</v>
      </c>
      <c r="P7290">
        <v>24.5</v>
      </c>
      <c r="Q7290">
        <v>25.1</v>
      </c>
      <c r="R7290">
        <v>25.506460000000001</v>
      </c>
      <c r="S7290">
        <v>24</v>
      </c>
      <c r="T7290">
        <v>2056.194</v>
      </c>
      <c r="U7290">
        <v>391</v>
      </c>
      <c r="V7290">
        <v>21</v>
      </c>
      <c r="W7290">
        <v>58</v>
      </c>
      <c r="X7290">
        <v>838.12909999999999</v>
      </c>
      <c r="Y7290">
        <v>121</v>
      </c>
      <c r="Z7290">
        <v>525.06460000000004</v>
      </c>
      <c r="AA7290">
        <v>820.12909999999999</v>
      </c>
      <c r="AB7290">
        <v>9.7495650000000005</v>
      </c>
      <c r="AC7290">
        <v>1.6428660000000001E-2</v>
      </c>
      <c r="AD7290">
        <v>3.24308</v>
      </c>
      <c r="AE7290">
        <v>0.28775240000000002</v>
      </c>
      <c r="AF7290">
        <v>230.37700000000001</v>
      </c>
      <c r="AG7290">
        <f>IFERROR(AH7290*0.1, "N/A")</f>
        <v>5.188307</v>
      </c>
      <c r="AH7290">
        <v>51.883069999999996</v>
      </c>
      <c r="AI7290">
        <v>132.77690000000001</v>
      </c>
      <c r="AJ7290">
        <v>19.895289999999999</v>
      </c>
      <c r="AK7290">
        <v>60.104709999999997</v>
      </c>
    </row>
    <row r="7291" spans="1:37" x14ac:dyDescent="0.3">
      <c r="A7291">
        <v>7290</v>
      </c>
      <c r="B7291">
        <v>28.6</v>
      </c>
      <c r="C7291">
        <v>-9.4577799999999996</v>
      </c>
      <c r="D7291">
        <v>6.8313899999999999</v>
      </c>
      <c r="E7291">
        <f>-9.45778-6.83139</f>
        <v>-16.289169999999999</v>
      </c>
      <c r="F7291" t="s">
        <v>10875</v>
      </c>
      <c r="G7291" t="s">
        <v>37</v>
      </c>
      <c r="H7291">
        <v>1983</v>
      </c>
      <c r="I7291">
        <v>25.1</v>
      </c>
      <c r="J7291">
        <v>11.9</v>
      </c>
      <c r="K7291">
        <v>78</v>
      </c>
      <c r="L7291">
        <v>7.0642060000000004</v>
      </c>
      <c r="M7291">
        <v>33</v>
      </c>
      <c r="N7291">
        <v>17.899999999999999</v>
      </c>
      <c r="O7291">
        <v>15.1</v>
      </c>
      <c r="P7291">
        <v>24.5</v>
      </c>
      <c r="Q7291">
        <v>25.1</v>
      </c>
      <c r="R7291">
        <v>25.506460000000001</v>
      </c>
      <c r="S7291">
        <v>24</v>
      </c>
      <c r="T7291">
        <v>2056.194</v>
      </c>
      <c r="U7291">
        <v>391</v>
      </c>
      <c r="V7291">
        <v>21</v>
      </c>
      <c r="W7291">
        <v>58</v>
      </c>
      <c r="X7291">
        <v>838.12909999999999</v>
      </c>
      <c r="Y7291">
        <v>121</v>
      </c>
      <c r="Z7291">
        <v>525.06460000000004</v>
      </c>
      <c r="AA7291">
        <v>820.12909999999999</v>
      </c>
      <c r="AB7291">
        <v>9.7495650000000005</v>
      </c>
      <c r="AC7291">
        <v>1.6428660000000001E-2</v>
      </c>
      <c r="AD7291">
        <v>3.24308</v>
      </c>
      <c r="AE7291">
        <v>0.28775240000000002</v>
      </c>
      <c r="AF7291">
        <v>230.37700000000001</v>
      </c>
      <c r="AG7291">
        <f>IFERROR(AH7291*0.1, "N/A")</f>
        <v>5.188307</v>
      </c>
      <c r="AH7291">
        <v>51.883069999999996</v>
      </c>
      <c r="AI7291">
        <v>132.77690000000001</v>
      </c>
      <c r="AJ7291">
        <v>19.895289999999999</v>
      </c>
      <c r="AK7291">
        <v>60.104709999999997</v>
      </c>
    </row>
    <row r="7292" spans="1:37" x14ac:dyDescent="0.3">
      <c r="A7292">
        <v>7291</v>
      </c>
      <c r="B7292">
        <v>23.7</v>
      </c>
      <c r="C7292">
        <v>-9.8520000000000003</v>
      </c>
      <c r="D7292">
        <v>6.8330000000000002</v>
      </c>
      <c r="E7292">
        <f>-9.852-6.833</f>
        <v>-16.685000000000002</v>
      </c>
      <c r="F7292" t="s">
        <v>10876</v>
      </c>
      <c r="G7292" t="s">
        <v>39</v>
      </c>
      <c r="H7292">
        <v>1987</v>
      </c>
      <c r="I7292">
        <v>25.6</v>
      </c>
      <c r="J7292">
        <v>11.2</v>
      </c>
      <c r="K7292">
        <v>81</v>
      </c>
      <c r="L7292">
        <v>7.96</v>
      </c>
      <c r="M7292">
        <v>32.799999999999997</v>
      </c>
      <c r="N7292">
        <v>19.100000000000001</v>
      </c>
      <c r="O7292">
        <v>13.7</v>
      </c>
      <c r="P7292">
        <v>24.9</v>
      </c>
      <c r="Q7292">
        <v>25.7</v>
      </c>
      <c r="R7292">
        <v>26.1</v>
      </c>
      <c r="S7292">
        <v>24.4</v>
      </c>
      <c r="T7292">
        <v>2254.5459999999998</v>
      </c>
      <c r="U7292">
        <v>420.84870000000001</v>
      </c>
      <c r="V7292">
        <v>24</v>
      </c>
      <c r="W7292">
        <v>59</v>
      </c>
      <c r="X7292">
        <v>958.84870000000001</v>
      </c>
      <c r="Y7292">
        <v>136</v>
      </c>
      <c r="Z7292">
        <v>430.58609999999999</v>
      </c>
      <c r="AA7292">
        <v>955.69740000000002</v>
      </c>
      <c r="AB7292">
        <v>36.76905</v>
      </c>
      <c r="AC7292">
        <v>8.4883430000000006E-3</v>
      </c>
      <c r="AD7292">
        <v>2.1290390000000001</v>
      </c>
      <c r="AE7292">
        <v>0.286742</v>
      </c>
      <c r="AF7292">
        <v>286.40699999999998</v>
      </c>
      <c r="AG7292">
        <f>IFERROR(AH7292*0.1, "N/A")</f>
        <v>5.1000000000000005</v>
      </c>
      <c r="AH7292">
        <v>51</v>
      </c>
      <c r="AI7292">
        <v>196.2535</v>
      </c>
      <c r="AJ7292">
        <v>18.034780000000001</v>
      </c>
      <c r="AK7292">
        <v>65.153040000000004</v>
      </c>
    </row>
    <row r="7293" spans="1:37" x14ac:dyDescent="0.3">
      <c r="A7293">
        <v>7292</v>
      </c>
      <c r="B7293">
        <v>2.1</v>
      </c>
      <c r="C7293">
        <v>-9.8427799999999994</v>
      </c>
      <c r="D7293">
        <v>6.8402799999999999</v>
      </c>
      <c r="E7293">
        <f>-9.84278-6.84028</f>
        <v>-16.683059999999998</v>
      </c>
      <c r="F7293" t="s">
        <v>10877</v>
      </c>
      <c r="G7293" t="s">
        <v>37</v>
      </c>
      <c r="H7293">
        <v>1980</v>
      </c>
      <c r="I7293">
        <v>25.5</v>
      </c>
      <c r="J7293">
        <v>11.2</v>
      </c>
      <c r="K7293">
        <v>81</v>
      </c>
      <c r="L7293">
        <v>8.1199999999999992</v>
      </c>
      <c r="M7293">
        <v>32.799999999999997</v>
      </c>
      <c r="N7293">
        <v>19</v>
      </c>
      <c r="O7293">
        <v>13.8</v>
      </c>
      <c r="P7293">
        <v>24.8</v>
      </c>
      <c r="Q7293">
        <v>25.7</v>
      </c>
      <c r="R7293">
        <v>26.1</v>
      </c>
      <c r="S7293">
        <v>24.3</v>
      </c>
      <c r="T7293">
        <v>2245</v>
      </c>
      <c r="U7293">
        <v>419</v>
      </c>
      <c r="V7293">
        <v>24</v>
      </c>
      <c r="W7293">
        <v>58</v>
      </c>
      <c r="X7293">
        <v>954</v>
      </c>
      <c r="Y7293">
        <v>136</v>
      </c>
      <c r="Z7293">
        <v>389</v>
      </c>
      <c r="AA7293">
        <v>949</v>
      </c>
      <c r="AB7293">
        <v>6.883991</v>
      </c>
      <c r="AC7293">
        <v>1.206688E-2</v>
      </c>
      <c r="AD7293">
        <v>5.3271649999999999</v>
      </c>
      <c r="AE7293">
        <v>0.32476759999999999</v>
      </c>
      <c r="AF7293">
        <v>266.67599999999999</v>
      </c>
      <c r="AG7293">
        <f>IFERROR(AH7293*0.1, "N/A")</f>
        <v>5.1796170000000004</v>
      </c>
      <c r="AH7293">
        <v>51.796169999999996</v>
      </c>
      <c r="AI7293">
        <v>180.98070000000001</v>
      </c>
      <c r="AJ7293">
        <v>21.20383</v>
      </c>
      <c r="AK7293">
        <v>63.388500000000001</v>
      </c>
    </row>
    <row r="7294" spans="1:37" x14ac:dyDescent="0.3">
      <c r="A7294">
        <v>7293</v>
      </c>
      <c r="B7294">
        <v>47.9</v>
      </c>
      <c r="C7294">
        <v>-9.8427799999999994</v>
      </c>
      <c r="D7294">
        <v>6.8402799999999999</v>
      </c>
      <c r="E7294">
        <f>-9.84278-6.84028</f>
        <v>-16.683059999999998</v>
      </c>
      <c r="F7294" t="s">
        <v>10878</v>
      </c>
      <c r="G7294" t="s">
        <v>39</v>
      </c>
      <c r="H7294">
        <v>1980</v>
      </c>
      <c r="I7294">
        <v>25.5</v>
      </c>
      <c r="J7294">
        <v>11.2</v>
      </c>
      <c r="K7294">
        <v>81</v>
      </c>
      <c r="L7294">
        <v>8.1199999999999992</v>
      </c>
      <c r="M7294">
        <v>32.799999999999997</v>
      </c>
      <c r="N7294">
        <v>19</v>
      </c>
      <c r="O7294">
        <v>13.8</v>
      </c>
      <c r="P7294">
        <v>24.8</v>
      </c>
      <c r="Q7294">
        <v>25.7</v>
      </c>
      <c r="R7294">
        <v>26.1</v>
      </c>
      <c r="S7294">
        <v>24.3</v>
      </c>
      <c r="T7294">
        <v>2245</v>
      </c>
      <c r="U7294">
        <v>419</v>
      </c>
      <c r="V7294">
        <v>24</v>
      </c>
      <c r="W7294">
        <v>58</v>
      </c>
      <c r="X7294">
        <v>954</v>
      </c>
      <c r="Y7294">
        <v>136</v>
      </c>
      <c r="Z7294">
        <v>389</v>
      </c>
      <c r="AA7294">
        <v>949</v>
      </c>
      <c r="AB7294">
        <v>6.883991</v>
      </c>
      <c r="AC7294">
        <v>1.206688E-2</v>
      </c>
      <c r="AD7294">
        <v>5.3271649999999999</v>
      </c>
      <c r="AE7294">
        <v>0.32476759999999999</v>
      </c>
      <c r="AF7294">
        <v>266.67599999999999</v>
      </c>
      <c r="AG7294">
        <f>IFERROR(AH7294*0.1, "N/A")</f>
        <v>5.1796170000000004</v>
      </c>
      <c r="AH7294">
        <v>51.796169999999996</v>
      </c>
      <c r="AI7294">
        <v>180.98070000000001</v>
      </c>
      <c r="AJ7294">
        <v>21.20383</v>
      </c>
      <c r="AK7294">
        <v>63.388500000000001</v>
      </c>
    </row>
    <row r="7295" spans="1:37" x14ac:dyDescent="0.3">
      <c r="A7295">
        <v>7294</v>
      </c>
      <c r="B7295">
        <v>0</v>
      </c>
      <c r="C7295">
        <v>-9.0679999999999996</v>
      </c>
      <c r="D7295">
        <v>6.85</v>
      </c>
      <c r="E7295">
        <f>-9.068-6.85</f>
        <v>-15.917999999999999</v>
      </c>
      <c r="F7295" t="s">
        <v>10879</v>
      </c>
      <c r="G7295" t="s">
        <v>39</v>
      </c>
      <c r="H7295">
        <v>1987</v>
      </c>
      <c r="I7295">
        <v>25.679580000000001</v>
      </c>
      <c r="J7295">
        <v>12.9</v>
      </c>
      <c r="K7295">
        <v>77</v>
      </c>
      <c r="L7295">
        <v>7.1438740000000003</v>
      </c>
      <c r="M7295">
        <v>34.4</v>
      </c>
      <c r="N7295">
        <v>17.8</v>
      </c>
      <c r="O7295">
        <v>16.600000000000001</v>
      </c>
      <c r="P7295">
        <v>25.179580000000001</v>
      </c>
      <c r="Q7295">
        <v>25.5</v>
      </c>
      <c r="R7295">
        <v>26.3</v>
      </c>
      <c r="S7295">
        <v>24.7</v>
      </c>
      <c r="T7295">
        <v>2015.817</v>
      </c>
      <c r="U7295">
        <v>383</v>
      </c>
      <c r="V7295">
        <v>17.204190000000001</v>
      </c>
      <c r="W7295">
        <v>59</v>
      </c>
      <c r="X7295">
        <v>813.20420000000001</v>
      </c>
      <c r="Y7295">
        <v>109.2042</v>
      </c>
      <c r="Z7295">
        <v>511.20420000000001</v>
      </c>
      <c r="AA7295">
        <v>801</v>
      </c>
      <c r="AB7295">
        <v>17.684989999999999</v>
      </c>
      <c r="AC7295">
        <v>8.7546919999999997E-3</v>
      </c>
      <c r="AD7295">
        <v>3.0885050000000001</v>
      </c>
      <c r="AE7295">
        <v>0.26291399999999998</v>
      </c>
      <c r="AF7295">
        <v>227.32640000000001</v>
      </c>
      <c r="AG7295">
        <f>IFERROR(AH7295*0.1, "N/A")</f>
        <v>5.2893540000000003</v>
      </c>
      <c r="AH7295">
        <v>52.893540000000002</v>
      </c>
      <c r="AI7295">
        <v>142.18870000000001</v>
      </c>
      <c r="AJ7295">
        <v>22</v>
      </c>
      <c r="AK7295">
        <v>54.106459999999998</v>
      </c>
    </row>
    <row r="7296" spans="1:37" x14ac:dyDescent="0.3">
      <c r="A7296">
        <v>7295</v>
      </c>
      <c r="B7296">
        <v>38.5</v>
      </c>
      <c r="C7296">
        <v>-9.7916699999999999</v>
      </c>
      <c r="D7296">
        <v>6.8536099999999998</v>
      </c>
      <c r="E7296">
        <f>-9.79167-6.85361</f>
        <v>-16.64528</v>
      </c>
      <c r="F7296" t="s">
        <v>10880</v>
      </c>
      <c r="G7296" t="s">
        <v>39</v>
      </c>
      <c r="H7296">
        <v>1983</v>
      </c>
      <c r="I7296">
        <v>25.552009999999999</v>
      </c>
      <c r="J7296">
        <v>11.3</v>
      </c>
      <c r="K7296">
        <v>80.520070000000004</v>
      </c>
      <c r="L7296">
        <v>7.9655849999999999</v>
      </c>
      <c r="M7296">
        <v>32.847990000000003</v>
      </c>
      <c r="N7296">
        <v>18.899999999999999</v>
      </c>
      <c r="O7296">
        <v>13.947990000000001</v>
      </c>
      <c r="P7296">
        <v>24.85201</v>
      </c>
      <c r="Q7296">
        <v>25.7</v>
      </c>
      <c r="R7296">
        <v>26.1</v>
      </c>
      <c r="S7296">
        <v>24.35201</v>
      </c>
      <c r="T7296">
        <v>2193.08</v>
      </c>
      <c r="U7296">
        <v>410</v>
      </c>
      <c r="V7296">
        <v>23</v>
      </c>
      <c r="W7296">
        <v>58</v>
      </c>
      <c r="X7296">
        <v>923.52009999999996</v>
      </c>
      <c r="Y7296">
        <v>132.52010000000001</v>
      </c>
      <c r="Z7296">
        <v>426.0401</v>
      </c>
      <c r="AA7296">
        <v>915.52009999999996</v>
      </c>
      <c r="AB7296">
        <v>5.6319340000000002</v>
      </c>
      <c r="AC7296">
        <v>0.11223900000000001</v>
      </c>
      <c r="AD7296">
        <v>2.8857110000000001</v>
      </c>
      <c r="AE7296">
        <v>0.34608070000000002</v>
      </c>
      <c r="AF7296">
        <v>242.096</v>
      </c>
      <c r="AG7296">
        <f>IFERROR(AH7296*0.1, "N/A")</f>
        <v>5.600873</v>
      </c>
      <c r="AH7296">
        <v>56.00873</v>
      </c>
      <c r="AI7296">
        <v>228.43440000000001</v>
      </c>
      <c r="AJ7296">
        <v>18.70157</v>
      </c>
      <c r="AK7296">
        <v>65.109949999999998</v>
      </c>
    </row>
    <row r="7297" spans="1:37" x14ac:dyDescent="0.3">
      <c r="A7297">
        <v>7296</v>
      </c>
      <c r="B7297">
        <v>4</v>
      </c>
      <c r="C7297">
        <v>-9.7825000000000006</v>
      </c>
      <c r="D7297">
        <v>6.8552799999999996</v>
      </c>
      <c r="E7297">
        <f>-9.7825-6.85528</f>
        <v>-16.637779999999999</v>
      </c>
      <c r="F7297" t="s">
        <v>10881</v>
      </c>
      <c r="G7297" t="s">
        <v>37</v>
      </c>
      <c r="H7297">
        <v>1980</v>
      </c>
      <c r="I7297">
        <v>25.5</v>
      </c>
      <c r="J7297">
        <v>11.3</v>
      </c>
      <c r="K7297">
        <v>80</v>
      </c>
      <c r="L7297">
        <v>7.87</v>
      </c>
      <c r="M7297">
        <v>32.9</v>
      </c>
      <c r="N7297">
        <v>18.8</v>
      </c>
      <c r="O7297">
        <v>14.1</v>
      </c>
      <c r="P7297">
        <v>24.7</v>
      </c>
      <c r="Q7297">
        <v>25.7</v>
      </c>
      <c r="R7297">
        <v>26</v>
      </c>
      <c r="S7297">
        <v>24.3</v>
      </c>
      <c r="T7297">
        <v>2185</v>
      </c>
      <c r="U7297">
        <v>409</v>
      </c>
      <c r="V7297">
        <v>23</v>
      </c>
      <c r="W7297">
        <v>58</v>
      </c>
      <c r="X7297">
        <v>919</v>
      </c>
      <c r="Y7297">
        <v>132</v>
      </c>
      <c r="Z7297">
        <v>424</v>
      </c>
      <c r="AA7297">
        <v>910</v>
      </c>
      <c r="AB7297">
        <v>14.089359999999999</v>
      </c>
      <c r="AC7297">
        <v>1.525757E-2</v>
      </c>
      <c r="AD7297">
        <v>5.1341419999999998</v>
      </c>
      <c r="AE7297">
        <v>0.26440330000000001</v>
      </c>
      <c r="AF7297">
        <v>248.74520000000001</v>
      </c>
      <c r="AG7297">
        <f>IFERROR(AH7297*0.1, "N/A")</f>
        <v>5.17103</v>
      </c>
      <c r="AH7297">
        <v>51.710299999999997</v>
      </c>
      <c r="AI7297">
        <v>119.47969999999999</v>
      </c>
      <c r="AJ7297">
        <v>19.420590000000001</v>
      </c>
      <c r="AK7297">
        <v>65.579409999999996</v>
      </c>
    </row>
    <row r="7298" spans="1:37" x14ac:dyDescent="0.3">
      <c r="A7298">
        <v>7297</v>
      </c>
      <c r="B7298">
        <v>74</v>
      </c>
      <c r="C7298">
        <v>-9.7825000000000006</v>
      </c>
      <c r="D7298">
        <v>6.8552799999999996</v>
      </c>
      <c r="E7298">
        <f>-9.7825-6.85528</f>
        <v>-16.637779999999999</v>
      </c>
      <c r="F7298" t="s">
        <v>10882</v>
      </c>
      <c r="G7298" t="s">
        <v>39</v>
      </c>
      <c r="H7298">
        <v>1980</v>
      </c>
      <c r="I7298">
        <v>25.5</v>
      </c>
      <c r="J7298">
        <v>11.3</v>
      </c>
      <c r="K7298">
        <v>80</v>
      </c>
      <c r="L7298">
        <v>7.87</v>
      </c>
      <c r="M7298">
        <v>32.9</v>
      </c>
      <c r="N7298">
        <v>18.8</v>
      </c>
      <c r="O7298">
        <v>14.1</v>
      </c>
      <c r="P7298">
        <v>24.7</v>
      </c>
      <c r="Q7298">
        <v>25.7</v>
      </c>
      <c r="R7298">
        <v>26</v>
      </c>
      <c r="S7298">
        <v>24.3</v>
      </c>
      <c r="T7298">
        <v>2185</v>
      </c>
      <c r="U7298">
        <v>409</v>
      </c>
      <c r="V7298">
        <v>23</v>
      </c>
      <c r="W7298">
        <v>58</v>
      </c>
      <c r="X7298">
        <v>919</v>
      </c>
      <c r="Y7298">
        <v>132</v>
      </c>
      <c r="Z7298">
        <v>424</v>
      </c>
      <c r="AA7298">
        <v>910</v>
      </c>
      <c r="AB7298">
        <v>14.089359999999999</v>
      </c>
      <c r="AC7298">
        <v>1.525757E-2</v>
      </c>
      <c r="AD7298">
        <v>5.1341419999999998</v>
      </c>
      <c r="AE7298">
        <v>0.26440330000000001</v>
      </c>
      <c r="AF7298">
        <v>248.74520000000001</v>
      </c>
      <c r="AG7298">
        <f>IFERROR(AH7298*0.1, "N/A")</f>
        <v>5.17103</v>
      </c>
      <c r="AH7298">
        <v>51.710299999999997</v>
      </c>
      <c r="AI7298">
        <v>119.47969999999999</v>
      </c>
      <c r="AJ7298">
        <v>19.420590000000001</v>
      </c>
      <c r="AK7298">
        <v>65.579409999999996</v>
      </c>
    </row>
    <row r="7299" spans="1:37" x14ac:dyDescent="0.3">
      <c r="A7299">
        <v>7298</v>
      </c>
      <c r="B7299">
        <v>43.5</v>
      </c>
      <c r="C7299">
        <v>-9.7919999999999998</v>
      </c>
      <c r="D7299">
        <v>6.8559999999999999</v>
      </c>
      <c r="E7299">
        <f>-9.792-6.856</f>
        <v>-16.648</v>
      </c>
      <c r="F7299" t="s">
        <v>10883</v>
      </c>
      <c r="G7299" t="s">
        <v>39</v>
      </c>
      <c r="H7299">
        <v>1987</v>
      </c>
      <c r="I7299">
        <v>25.5793</v>
      </c>
      <c r="J7299">
        <v>11.3</v>
      </c>
      <c r="K7299">
        <v>80.793040000000005</v>
      </c>
      <c r="L7299">
        <v>7.9055309999999999</v>
      </c>
      <c r="M7299">
        <v>32.820700000000002</v>
      </c>
      <c r="N7299">
        <v>18.899999999999999</v>
      </c>
      <c r="O7299">
        <v>13.9207</v>
      </c>
      <c r="P7299">
        <v>24.879300000000001</v>
      </c>
      <c r="Q7299">
        <v>25.7</v>
      </c>
      <c r="R7299">
        <v>26.1</v>
      </c>
      <c r="S7299">
        <v>24.379300000000001</v>
      </c>
      <c r="T7299">
        <v>2194.172</v>
      </c>
      <c r="U7299">
        <v>410</v>
      </c>
      <c r="V7299">
        <v>23</v>
      </c>
      <c r="W7299">
        <v>58</v>
      </c>
      <c r="X7299">
        <v>923.79300000000001</v>
      </c>
      <c r="Y7299">
        <v>132.79300000000001</v>
      </c>
      <c r="Z7299">
        <v>426.58609999999999</v>
      </c>
      <c r="AA7299">
        <v>915.79300000000001</v>
      </c>
      <c r="AB7299">
        <v>3.1427879999999999</v>
      </c>
      <c r="AC7299">
        <v>0.15261920000000001</v>
      </c>
      <c r="AD7299">
        <v>2.4725969999999999</v>
      </c>
      <c r="AE7299">
        <v>0.43272739999999998</v>
      </c>
      <c r="AF7299">
        <v>236.84870000000001</v>
      </c>
      <c r="AG7299">
        <f>IFERROR(AH7299*0.1, "N/A")</f>
        <v>5.6586090000000002</v>
      </c>
      <c r="AH7299">
        <v>56.586089999999999</v>
      </c>
      <c r="AI7299">
        <v>123.69580000000001</v>
      </c>
      <c r="AJ7299">
        <v>20</v>
      </c>
      <c r="AK7299">
        <v>65</v>
      </c>
    </row>
    <row r="7300" spans="1:37" x14ac:dyDescent="0.3">
      <c r="A7300">
        <v>7299</v>
      </c>
      <c r="B7300">
        <v>40</v>
      </c>
      <c r="C7300">
        <v>-9.1603100000000008</v>
      </c>
      <c r="D7300">
        <v>6.8575499999999998</v>
      </c>
      <c r="E7300">
        <f>-9.16031-6.85755</f>
        <v>-16.017859999999999</v>
      </c>
      <c r="F7300" t="s">
        <v>10884</v>
      </c>
      <c r="G7300" t="s">
        <v>39</v>
      </c>
      <c r="H7300">
        <v>1983</v>
      </c>
      <c r="I7300">
        <v>25.4</v>
      </c>
      <c r="J7300">
        <v>12.7</v>
      </c>
      <c r="K7300">
        <v>77</v>
      </c>
      <c r="L7300">
        <v>6.82</v>
      </c>
      <c r="M7300">
        <v>34</v>
      </c>
      <c r="N7300">
        <v>17.7</v>
      </c>
      <c r="O7300">
        <v>16.3</v>
      </c>
      <c r="P7300">
        <v>24.9</v>
      </c>
      <c r="Q7300">
        <v>25.3</v>
      </c>
      <c r="R7300">
        <v>26</v>
      </c>
      <c r="S7300">
        <v>24.5</v>
      </c>
      <c r="T7300">
        <v>2031</v>
      </c>
      <c r="U7300">
        <v>386</v>
      </c>
      <c r="V7300">
        <v>19</v>
      </c>
      <c r="W7300">
        <v>58</v>
      </c>
      <c r="X7300">
        <v>821</v>
      </c>
      <c r="Y7300">
        <v>114</v>
      </c>
      <c r="Z7300">
        <v>517</v>
      </c>
      <c r="AA7300">
        <v>807</v>
      </c>
      <c r="AB7300">
        <v>18.003489999999999</v>
      </c>
      <c r="AC7300">
        <v>1.2502279999999999E-2</v>
      </c>
      <c r="AD7300">
        <v>2.8448349999999998</v>
      </c>
      <c r="AE7300">
        <v>0.31156859999999997</v>
      </c>
      <c r="AF7300">
        <v>246</v>
      </c>
      <c r="AG7300">
        <f>IFERROR(AH7300*0.1, "N/A")</f>
        <v>5.4643980000000001</v>
      </c>
      <c r="AH7300">
        <v>54.643979999999999</v>
      </c>
      <c r="AI7300">
        <v>254.5676</v>
      </c>
      <c r="AJ7300">
        <v>18.211169999999999</v>
      </c>
      <c r="AK7300">
        <v>63.581150000000001</v>
      </c>
    </row>
    <row r="7301" spans="1:37" x14ac:dyDescent="0.3">
      <c r="A7301">
        <v>7300</v>
      </c>
      <c r="B7301">
        <v>0</v>
      </c>
      <c r="C7301">
        <v>-9.1603100000000008</v>
      </c>
      <c r="D7301">
        <v>6.8575499999999998</v>
      </c>
      <c r="E7301">
        <f>-9.16031-6.85755</f>
        <v>-16.017859999999999</v>
      </c>
      <c r="F7301" t="s">
        <v>10885</v>
      </c>
      <c r="G7301" t="s">
        <v>37</v>
      </c>
      <c r="H7301">
        <v>1983</v>
      </c>
      <c r="I7301">
        <v>25.4</v>
      </c>
      <c r="J7301">
        <v>12.7</v>
      </c>
      <c r="K7301">
        <v>77</v>
      </c>
      <c r="L7301">
        <v>6.82</v>
      </c>
      <c r="M7301">
        <v>34</v>
      </c>
      <c r="N7301">
        <v>17.7</v>
      </c>
      <c r="O7301">
        <v>16.3</v>
      </c>
      <c r="P7301">
        <v>24.9</v>
      </c>
      <c r="Q7301">
        <v>25.3</v>
      </c>
      <c r="R7301">
        <v>26</v>
      </c>
      <c r="S7301">
        <v>24.5</v>
      </c>
      <c r="T7301">
        <v>2031</v>
      </c>
      <c r="U7301">
        <v>386</v>
      </c>
      <c r="V7301">
        <v>19</v>
      </c>
      <c r="W7301">
        <v>58</v>
      </c>
      <c r="X7301">
        <v>821</v>
      </c>
      <c r="Y7301">
        <v>114</v>
      </c>
      <c r="Z7301">
        <v>517</v>
      </c>
      <c r="AA7301">
        <v>807</v>
      </c>
      <c r="AB7301">
        <v>18.003489999999999</v>
      </c>
      <c r="AC7301">
        <v>1.2502279999999999E-2</v>
      </c>
      <c r="AD7301">
        <v>2.8448349999999998</v>
      </c>
      <c r="AE7301">
        <v>0.31156859999999997</v>
      </c>
      <c r="AF7301">
        <v>246</v>
      </c>
      <c r="AG7301">
        <f>IFERROR(AH7301*0.1, "N/A")</f>
        <v>5.4643980000000001</v>
      </c>
      <c r="AH7301">
        <v>54.643979999999999</v>
      </c>
      <c r="AI7301">
        <v>254.5676</v>
      </c>
      <c r="AJ7301">
        <v>18.211169999999999</v>
      </c>
      <c r="AK7301">
        <v>63.581150000000001</v>
      </c>
    </row>
    <row r="7302" spans="1:37" x14ac:dyDescent="0.3">
      <c r="A7302">
        <v>7301</v>
      </c>
      <c r="B7302">
        <v>3.4</v>
      </c>
      <c r="C7302">
        <v>-9.1914800000000003</v>
      </c>
      <c r="D7302">
        <v>6.8617600000000003</v>
      </c>
      <c r="E7302">
        <f>-9.19148-6.86176</f>
        <v>-16.053240000000002</v>
      </c>
      <c r="F7302" t="s">
        <v>10886</v>
      </c>
      <c r="G7302" t="s">
        <v>39</v>
      </c>
      <c r="H7302">
        <v>1983</v>
      </c>
      <c r="I7302">
        <v>25.24174</v>
      </c>
      <c r="J7302">
        <v>12.65826</v>
      </c>
      <c r="K7302">
        <v>77</v>
      </c>
      <c r="L7302">
        <v>6.6433039999999997</v>
      </c>
      <c r="M7302">
        <v>33.799999999999997</v>
      </c>
      <c r="N7302">
        <v>17.5</v>
      </c>
      <c r="O7302">
        <v>16.3</v>
      </c>
      <c r="P7302">
        <v>24.8</v>
      </c>
      <c r="Q7302">
        <v>25.141739999999999</v>
      </c>
      <c r="R7302">
        <v>25.8</v>
      </c>
      <c r="S7302">
        <v>24.3</v>
      </c>
      <c r="T7302">
        <v>2038.748</v>
      </c>
      <c r="U7302">
        <v>387.58260000000001</v>
      </c>
      <c r="V7302">
        <v>19</v>
      </c>
      <c r="W7302">
        <v>58</v>
      </c>
      <c r="X7302">
        <v>826.16520000000003</v>
      </c>
      <c r="Y7302">
        <v>115</v>
      </c>
      <c r="Z7302">
        <v>518.41740000000004</v>
      </c>
      <c r="AA7302">
        <v>812.16520000000003</v>
      </c>
      <c r="AB7302">
        <v>21.84365</v>
      </c>
      <c r="AC7302">
        <v>8.4878499999999999E-3</v>
      </c>
      <c r="AD7302">
        <v>1.927551</v>
      </c>
      <c r="AE7302">
        <v>0.3144014</v>
      </c>
      <c r="AF7302">
        <v>263.58089999999999</v>
      </c>
      <c r="AG7302">
        <f>IFERROR(AH7302*0.1, "N/A")</f>
        <v>5.0721740000000004</v>
      </c>
      <c r="AH7302">
        <v>50.721739999999997</v>
      </c>
      <c r="AI7302">
        <v>119.18210000000001</v>
      </c>
      <c r="AJ7302">
        <v>21.250430000000001</v>
      </c>
      <c r="AK7302">
        <v>58.535649999999997</v>
      </c>
    </row>
    <row r="7303" spans="1:37" x14ac:dyDescent="0.3">
      <c r="A7303">
        <v>7302</v>
      </c>
      <c r="B7303">
        <v>0</v>
      </c>
      <c r="C7303">
        <v>-9.1914800000000003</v>
      </c>
      <c r="D7303">
        <v>6.8617600000000003</v>
      </c>
      <c r="E7303">
        <f>-9.19148-6.86176</f>
        <v>-16.053240000000002</v>
      </c>
      <c r="F7303" t="s">
        <v>10887</v>
      </c>
      <c r="G7303" t="s">
        <v>37</v>
      </c>
      <c r="H7303">
        <v>1983</v>
      </c>
      <c r="I7303">
        <v>25.24174</v>
      </c>
      <c r="J7303">
        <v>12.65826</v>
      </c>
      <c r="K7303">
        <v>77</v>
      </c>
      <c r="L7303">
        <v>6.6433039999999997</v>
      </c>
      <c r="M7303">
        <v>33.799999999999997</v>
      </c>
      <c r="N7303">
        <v>17.5</v>
      </c>
      <c r="O7303">
        <v>16.3</v>
      </c>
      <c r="P7303">
        <v>24.8</v>
      </c>
      <c r="Q7303">
        <v>25.141739999999999</v>
      </c>
      <c r="R7303">
        <v>25.8</v>
      </c>
      <c r="S7303">
        <v>24.3</v>
      </c>
      <c r="T7303">
        <v>2038.748</v>
      </c>
      <c r="U7303">
        <v>387.58260000000001</v>
      </c>
      <c r="V7303">
        <v>19</v>
      </c>
      <c r="W7303">
        <v>58</v>
      </c>
      <c r="X7303">
        <v>826.16520000000003</v>
      </c>
      <c r="Y7303">
        <v>115</v>
      </c>
      <c r="Z7303">
        <v>518.41740000000004</v>
      </c>
      <c r="AA7303">
        <v>812.16520000000003</v>
      </c>
      <c r="AB7303">
        <v>21.84365</v>
      </c>
      <c r="AC7303">
        <v>8.4878499999999999E-3</v>
      </c>
      <c r="AD7303">
        <v>1.927551</v>
      </c>
      <c r="AE7303">
        <v>0.3144014</v>
      </c>
      <c r="AF7303">
        <v>263.58089999999999</v>
      </c>
      <c r="AG7303">
        <f>IFERROR(AH7303*0.1, "N/A")</f>
        <v>5.0721740000000004</v>
      </c>
      <c r="AH7303">
        <v>50.721739999999997</v>
      </c>
      <c r="AI7303">
        <v>119.18210000000001</v>
      </c>
      <c r="AJ7303">
        <v>21.250430000000001</v>
      </c>
      <c r="AK7303">
        <v>58.535649999999997</v>
      </c>
    </row>
    <row r="7304" spans="1:37" x14ac:dyDescent="0.3">
      <c r="A7304">
        <v>7303</v>
      </c>
      <c r="B7304">
        <v>0</v>
      </c>
      <c r="C7304">
        <v>-8.952</v>
      </c>
      <c r="D7304">
        <v>6.8659999999999997</v>
      </c>
      <c r="E7304">
        <f>-8.952-6.866</f>
        <v>-15.818</v>
      </c>
      <c r="F7304" t="s">
        <v>10888</v>
      </c>
      <c r="G7304" t="s">
        <v>39</v>
      </c>
      <c r="H7304">
        <v>1987</v>
      </c>
      <c r="I7304">
        <v>25.8</v>
      </c>
      <c r="J7304">
        <v>13.10365</v>
      </c>
      <c r="K7304">
        <v>77</v>
      </c>
      <c r="L7304">
        <v>7.51</v>
      </c>
      <c r="M7304">
        <v>34.6</v>
      </c>
      <c r="N7304">
        <v>17.600000000000001</v>
      </c>
      <c r="O7304">
        <v>17</v>
      </c>
      <c r="P7304">
        <v>25.29635</v>
      </c>
      <c r="Q7304">
        <v>25.6</v>
      </c>
      <c r="R7304">
        <v>26.6</v>
      </c>
      <c r="S7304">
        <v>24.79635</v>
      </c>
      <c r="T7304">
        <v>2014.2190000000001</v>
      </c>
      <c r="U7304">
        <v>383.03649999999999</v>
      </c>
      <c r="V7304">
        <v>16</v>
      </c>
      <c r="W7304">
        <v>59.963479999999997</v>
      </c>
      <c r="X7304">
        <v>815.07299999999998</v>
      </c>
      <c r="Y7304">
        <v>105.0365</v>
      </c>
      <c r="Z7304">
        <v>506.03649999999999</v>
      </c>
      <c r="AA7304">
        <v>804.1096</v>
      </c>
      <c r="AB7304">
        <v>7.470783</v>
      </c>
      <c r="AC7304">
        <v>6.3841369999999995E-2</v>
      </c>
      <c r="AD7304">
        <v>4.2225799999999998</v>
      </c>
      <c r="AE7304">
        <v>0.36321490000000001</v>
      </c>
      <c r="AF7304">
        <v>221.46430000000001</v>
      </c>
      <c r="AG7304">
        <f>IFERROR(AH7304*0.1, "N/A")</f>
        <v>5.3826090000000004</v>
      </c>
      <c r="AH7304">
        <v>53.826090000000001</v>
      </c>
      <c r="AI7304">
        <v>128.88550000000001</v>
      </c>
      <c r="AJ7304">
        <v>21.678260000000002</v>
      </c>
      <c r="AK7304">
        <v>57.090429999999998</v>
      </c>
    </row>
    <row r="7305" spans="1:37" x14ac:dyDescent="0.3">
      <c r="A7305">
        <v>7304</v>
      </c>
      <c r="B7305">
        <v>62</v>
      </c>
      <c r="C7305">
        <v>-9.7577800000000003</v>
      </c>
      <c r="D7305">
        <v>6.8822200000000002</v>
      </c>
      <c r="E7305">
        <f>-9.75778-6.88222</f>
        <v>-16.64</v>
      </c>
      <c r="F7305" t="s">
        <v>10889</v>
      </c>
      <c r="G7305" t="s">
        <v>39</v>
      </c>
      <c r="H7305">
        <v>1983</v>
      </c>
      <c r="I7305">
        <v>25.4</v>
      </c>
      <c r="J7305">
        <v>11.4</v>
      </c>
      <c r="K7305">
        <v>80</v>
      </c>
      <c r="L7305">
        <v>8.1951300000000007</v>
      </c>
      <c r="M7305">
        <v>32.9</v>
      </c>
      <c r="N7305">
        <v>18.7</v>
      </c>
      <c r="O7305">
        <v>14.2</v>
      </c>
      <c r="P7305">
        <v>24.61082</v>
      </c>
      <c r="Q7305">
        <v>25.68918</v>
      </c>
      <c r="R7305">
        <v>25.989180000000001</v>
      </c>
      <c r="S7305">
        <v>24.11082</v>
      </c>
      <c r="T7305">
        <v>2158.2130000000002</v>
      </c>
      <c r="U7305">
        <v>404.0489</v>
      </c>
      <c r="V7305">
        <v>23</v>
      </c>
      <c r="W7305">
        <v>58</v>
      </c>
      <c r="X7305">
        <v>905.08730000000003</v>
      </c>
      <c r="Y7305">
        <v>130.0489</v>
      </c>
      <c r="Z7305">
        <v>416.67020000000002</v>
      </c>
      <c r="AA7305">
        <v>893.24429999999995</v>
      </c>
      <c r="AB7305">
        <v>3.6935419999999999</v>
      </c>
      <c r="AC7305">
        <v>11.021660000000001</v>
      </c>
      <c r="AD7305">
        <v>1.9516929999999999</v>
      </c>
      <c r="AE7305">
        <v>0.32389649999999998</v>
      </c>
      <c r="AF7305">
        <v>250.75040000000001</v>
      </c>
      <c r="AG7305">
        <f>IFERROR(AH7305*0.1, "N/A")</f>
        <v>5.2</v>
      </c>
      <c r="AH7305">
        <v>52</v>
      </c>
      <c r="AI7305">
        <v>185.34469999999999</v>
      </c>
      <c r="AJ7305">
        <v>20.118670000000002</v>
      </c>
      <c r="AK7305">
        <v>63.940660000000001</v>
      </c>
    </row>
    <row r="7306" spans="1:37" x14ac:dyDescent="0.3">
      <c r="A7306">
        <v>7305</v>
      </c>
      <c r="B7306">
        <v>12</v>
      </c>
      <c r="C7306">
        <v>-9.7577800000000003</v>
      </c>
      <c r="D7306">
        <v>6.8822200000000002</v>
      </c>
      <c r="E7306">
        <f>-9.75778-6.88222</f>
        <v>-16.64</v>
      </c>
      <c r="F7306" t="s">
        <v>10890</v>
      </c>
      <c r="G7306" t="s">
        <v>37</v>
      </c>
      <c r="H7306">
        <v>1983</v>
      </c>
      <c r="I7306">
        <v>25.4</v>
      </c>
      <c r="J7306">
        <v>11.4</v>
      </c>
      <c r="K7306">
        <v>80</v>
      </c>
      <c r="L7306">
        <v>8.1951300000000007</v>
      </c>
      <c r="M7306">
        <v>32.9</v>
      </c>
      <c r="N7306">
        <v>18.7</v>
      </c>
      <c r="O7306">
        <v>14.2</v>
      </c>
      <c r="P7306">
        <v>24.61082</v>
      </c>
      <c r="Q7306">
        <v>25.68918</v>
      </c>
      <c r="R7306">
        <v>25.989180000000001</v>
      </c>
      <c r="S7306">
        <v>24.11082</v>
      </c>
      <c r="T7306">
        <v>2158.2130000000002</v>
      </c>
      <c r="U7306">
        <v>404.0489</v>
      </c>
      <c r="V7306">
        <v>23</v>
      </c>
      <c r="W7306">
        <v>58</v>
      </c>
      <c r="X7306">
        <v>905.08730000000003</v>
      </c>
      <c r="Y7306">
        <v>130.0489</v>
      </c>
      <c r="Z7306">
        <v>416.67020000000002</v>
      </c>
      <c r="AA7306">
        <v>893.24429999999995</v>
      </c>
      <c r="AB7306">
        <v>3.6935419999999999</v>
      </c>
      <c r="AC7306">
        <v>11.021660000000001</v>
      </c>
      <c r="AD7306">
        <v>1.9516929999999999</v>
      </c>
      <c r="AE7306">
        <v>0.32389649999999998</v>
      </c>
      <c r="AF7306">
        <v>250.75040000000001</v>
      </c>
      <c r="AG7306">
        <f>IFERROR(AH7306*0.1, "N/A")</f>
        <v>5.2</v>
      </c>
      <c r="AH7306">
        <v>52</v>
      </c>
      <c r="AI7306">
        <v>185.34469999999999</v>
      </c>
      <c r="AJ7306">
        <v>20.118670000000002</v>
      </c>
      <c r="AK7306">
        <v>63.940660000000001</v>
      </c>
    </row>
    <row r="7307" spans="1:37" x14ac:dyDescent="0.3">
      <c r="A7307">
        <v>7306</v>
      </c>
      <c r="B7307">
        <v>61.4</v>
      </c>
      <c r="C7307">
        <v>-9.7509999999999994</v>
      </c>
      <c r="D7307">
        <v>6.883</v>
      </c>
      <c r="E7307">
        <f>-9.751-6.883</f>
        <v>-16.634</v>
      </c>
      <c r="F7307" t="s">
        <v>10891</v>
      </c>
      <c r="G7307" t="s">
        <v>39</v>
      </c>
      <c r="H7307">
        <v>1987</v>
      </c>
      <c r="I7307">
        <v>25.39808</v>
      </c>
      <c r="J7307">
        <v>11.4</v>
      </c>
      <c r="K7307">
        <v>79.984290000000001</v>
      </c>
      <c r="L7307">
        <v>7.9881330000000004</v>
      </c>
      <c r="M7307">
        <v>32.89808</v>
      </c>
      <c r="N7307">
        <v>18.69651</v>
      </c>
      <c r="O7307">
        <v>14.20157</v>
      </c>
      <c r="P7307">
        <v>24.66038</v>
      </c>
      <c r="Q7307">
        <v>25.63578</v>
      </c>
      <c r="R7307">
        <v>25.936129999999999</v>
      </c>
      <c r="S7307">
        <v>24.161960000000001</v>
      </c>
      <c r="T7307">
        <v>2156.154</v>
      </c>
      <c r="U7307">
        <v>404</v>
      </c>
      <c r="V7307">
        <v>23</v>
      </c>
      <c r="W7307">
        <v>58</v>
      </c>
      <c r="X7307">
        <v>904.38049999999998</v>
      </c>
      <c r="Y7307">
        <v>130.0035</v>
      </c>
      <c r="Z7307">
        <v>416.98430000000002</v>
      </c>
      <c r="AA7307">
        <v>892.98429999999996</v>
      </c>
      <c r="AB7307">
        <v>10.50994</v>
      </c>
      <c r="AC7307">
        <v>1.3923609999999999E-2</v>
      </c>
      <c r="AD7307">
        <v>4.8340959999999997</v>
      </c>
      <c r="AE7307">
        <v>0.3604077</v>
      </c>
      <c r="AF7307">
        <v>257.74349999999998</v>
      </c>
      <c r="AG7307">
        <f>IFERROR(AH7307*0.1, "N/A")</f>
        <v>5.1411870000000004</v>
      </c>
      <c r="AH7307">
        <v>51.41187</v>
      </c>
      <c r="AI7307">
        <v>109.0261</v>
      </c>
      <c r="AJ7307">
        <v>17.811520000000002</v>
      </c>
      <c r="AK7307">
        <v>66.207679999999996</v>
      </c>
    </row>
    <row r="7308" spans="1:37" x14ac:dyDescent="0.3">
      <c r="A7308">
        <v>7307</v>
      </c>
      <c r="B7308">
        <v>5</v>
      </c>
      <c r="C7308">
        <v>-9.7509999999999994</v>
      </c>
      <c r="D7308">
        <v>6.883</v>
      </c>
      <c r="E7308">
        <f>-9.751-6.883</f>
        <v>-16.634</v>
      </c>
      <c r="F7308" t="s">
        <v>10892</v>
      </c>
      <c r="G7308" t="s">
        <v>37</v>
      </c>
      <c r="H7308">
        <v>1987</v>
      </c>
      <c r="I7308">
        <v>25.39808</v>
      </c>
      <c r="J7308">
        <v>11.4</v>
      </c>
      <c r="K7308">
        <v>79.984290000000001</v>
      </c>
      <c r="L7308">
        <v>7.9881330000000004</v>
      </c>
      <c r="M7308">
        <v>32.89808</v>
      </c>
      <c r="N7308">
        <v>18.69651</v>
      </c>
      <c r="O7308">
        <v>14.20157</v>
      </c>
      <c r="P7308">
        <v>24.66038</v>
      </c>
      <c r="Q7308">
        <v>25.63578</v>
      </c>
      <c r="R7308">
        <v>25.936129999999999</v>
      </c>
      <c r="S7308">
        <v>24.161960000000001</v>
      </c>
      <c r="T7308">
        <v>2156.154</v>
      </c>
      <c r="U7308">
        <v>404</v>
      </c>
      <c r="V7308">
        <v>23</v>
      </c>
      <c r="W7308">
        <v>58</v>
      </c>
      <c r="X7308">
        <v>904.38049999999998</v>
      </c>
      <c r="Y7308">
        <v>130.0035</v>
      </c>
      <c r="Z7308">
        <v>416.98430000000002</v>
      </c>
      <c r="AA7308">
        <v>892.98429999999996</v>
      </c>
      <c r="AB7308">
        <v>10.50994</v>
      </c>
      <c r="AC7308">
        <v>1.3923609999999999E-2</v>
      </c>
      <c r="AD7308">
        <v>4.8340959999999997</v>
      </c>
      <c r="AE7308">
        <v>0.3604077</v>
      </c>
      <c r="AF7308">
        <v>257.74349999999998</v>
      </c>
      <c r="AG7308">
        <f>IFERROR(AH7308*0.1, "N/A")</f>
        <v>5.1411870000000004</v>
      </c>
      <c r="AH7308">
        <v>51.41187</v>
      </c>
      <c r="AI7308">
        <v>109.0261</v>
      </c>
      <c r="AJ7308">
        <v>17.811520000000002</v>
      </c>
      <c r="AK7308">
        <v>66.207679999999996</v>
      </c>
    </row>
    <row r="7309" spans="1:37" x14ac:dyDescent="0.3">
      <c r="A7309">
        <v>7308</v>
      </c>
      <c r="B7309">
        <v>21.1</v>
      </c>
      <c r="C7309">
        <v>-9.7597199999999997</v>
      </c>
      <c r="D7309">
        <v>6.8833299999999999</v>
      </c>
      <c r="E7309">
        <f>-9.75972-6.88333</f>
        <v>-16.643049999999999</v>
      </c>
      <c r="F7309" t="s">
        <v>10893</v>
      </c>
      <c r="G7309" t="s">
        <v>39</v>
      </c>
      <c r="H7309">
        <v>1983</v>
      </c>
      <c r="I7309">
        <v>25.4</v>
      </c>
      <c r="J7309">
        <v>11.4</v>
      </c>
      <c r="K7309">
        <v>80</v>
      </c>
      <c r="L7309">
        <v>7.981376</v>
      </c>
      <c r="M7309">
        <v>32.9</v>
      </c>
      <c r="N7309">
        <v>18.7</v>
      </c>
      <c r="O7309">
        <v>14.2</v>
      </c>
      <c r="P7309">
        <v>24.7</v>
      </c>
      <c r="Q7309">
        <v>25.6</v>
      </c>
      <c r="R7309">
        <v>25.986239999999999</v>
      </c>
      <c r="S7309">
        <v>24.2</v>
      </c>
      <c r="T7309">
        <v>2160.826</v>
      </c>
      <c r="U7309">
        <v>404.13760000000002</v>
      </c>
      <c r="V7309">
        <v>23</v>
      </c>
      <c r="W7309">
        <v>58</v>
      </c>
      <c r="X7309">
        <v>906.27530000000002</v>
      </c>
      <c r="Y7309">
        <v>131</v>
      </c>
      <c r="Z7309">
        <v>392</v>
      </c>
      <c r="AA7309">
        <v>895.41290000000004</v>
      </c>
      <c r="AB7309">
        <v>4.6783939999999999</v>
      </c>
      <c r="AC7309">
        <v>2.8419699999999999E-2</v>
      </c>
      <c r="AD7309">
        <v>2.7982969999999998</v>
      </c>
      <c r="AE7309">
        <v>0.47724640000000002</v>
      </c>
      <c r="AF7309">
        <v>251.10980000000001</v>
      </c>
      <c r="AG7309">
        <f>IFERROR(AH7309*0.1, "N/A")</f>
        <v>5.2862369999999999</v>
      </c>
      <c r="AH7309">
        <v>52.862369999999999</v>
      </c>
      <c r="AI7309">
        <v>213.61920000000001</v>
      </c>
      <c r="AJ7309">
        <v>20</v>
      </c>
      <c r="AK7309">
        <v>63.137630000000001</v>
      </c>
    </row>
    <row r="7310" spans="1:37" x14ac:dyDescent="0.3">
      <c r="A7310">
        <v>7309</v>
      </c>
      <c r="B7310">
        <v>5.0999999999999996</v>
      </c>
      <c r="C7310">
        <v>-9.6772200000000002</v>
      </c>
      <c r="D7310">
        <v>6.8869400000000001</v>
      </c>
      <c r="E7310">
        <f>-9.67722-6.88694</f>
        <v>-16.564160000000001</v>
      </c>
      <c r="F7310" t="s">
        <v>10894</v>
      </c>
      <c r="G7310" t="s">
        <v>37</v>
      </c>
      <c r="H7310">
        <v>1980</v>
      </c>
      <c r="I7310">
        <v>25.2</v>
      </c>
      <c r="J7310">
        <v>11.5</v>
      </c>
      <c r="K7310">
        <v>79</v>
      </c>
      <c r="L7310">
        <v>7.97</v>
      </c>
      <c r="M7310">
        <v>32.799999999999997</v>
      </c>
      <c r="N7310">
        <v>18.3</v>
      </c>
      <c r="O7310">
        <v>14.5</v>
      </c>
      <c r="P7310">
        <v>24.5</v>
      </c>
      <c r="Q7310">
        <v>25.4</v>
      </c>
      <c r="R7310">
        <v>25.8</v>
      </c>
      <c r="S7310">
        <v>24</v>
      </c>
      <c r="T7310">
        <v>2106</v>
      </c>
      <c r="U7310">
        <v>397</v>
      </c>
      <c r="V7310">
        <v>22</v>
      </c>
      <c r="W7310">
        <v>58</v>
      </c>
      <c r="X7310">
        <v>875</v>
      </c>
      <c r="Y7310">
        <v>127</v>
      </c>
      <c r="Z7310">
        <v>408</v>
      </c>
      <c r="AA7310">
        <v>860</v>
      </c>
      <c r="AB7310">
        <v>2.2574939999999999</v>
      </c>
      <c r="AC7310">
        <v>0.82077770000000005</v>
      </c>
      <c r="AD7310">
        <v>2.1566139999999998</v>
      </c>
      <c r="AE7310">
        <v>0.73361679999999996</v>
      </c>
      <c r="AF7310">
        <v>238.62200000000001</v>
      </c>
      <c r="AG7310">
        <f>IFERROR(AH7310*0.1, "N/A")</f>
        <v>5.3000000000000007</v>
      </c>
      <c r="AH7310">
        <v>53</v>
      </c>
      <c r="AI7310">
        <v>244.023</v>
      </c>
      <c r="AJ7310">
        <v>16.63589</v>
      </c>
      <c r="AK7310">
        <v>67.170730000000006</v>
      </c>
    </row>
    <row r="7311" spans="1:37" x14ac:dyDescent="0.3">
      <c r="A7311">
        <v>7310</v>
      </c>
      <c r="B7311">
        <v>27.5</v>
      </c>
      <c r="C7311">
        <v>-9.6772200000000002</v>
      </c>
      <c r="D7311">
        <v>6.8869400000000001</v>
      </c>
      <c r="E7311">
        <f>-9.67722-6.88694</f>
        <v>-16.564160000000001</v>
      </c>
      <c r="F7311" t="s">
        <v>10895</v>
      </c>
      <c r="G7311" t="s">
        <v>39</v>
      </c>
      <c r="H7311">
        <v>1980</v>
      </c>
      <c r="I7311">
        <v>25.2</v>
      </c>
      <c r="J7311">
        <v>11.5</v>
      </c>
      <c r="K7311">
        <v>79</v>
      </c>
      <c r="L7311">
        <v>7.97</v>
      </c>
      <c r="M7311">
        <v>32.799999999999997</v>
      </c>
      <c r="N7311">
        <v>18.3</v>
      </c>
      <c r="O7311">
        <v>14.5</v>
      </c>
      <c r="P7311">
        <v>24.5</v>
      </c>
      <c r="Q7311">
        <v>25.4</v>
      </c>
      <c r="R7311">
        <v>25.8</v>
      </c>
      <c r="S7311">
        <v>24</v>
      </c>
      <c r="T7311">
        <v>2106</v>
      </c>
      <c r="U7311">
        <v>397</v>
      </c>
      <c r="V7311">
        <v>22</v>
      </c>
      <c r="W7311">
        <v>58</v>
      </c>
      <c r="X7311">
        <v>875</v>
      </c>
      <c r="Y7311">
        <v>127</v>
      </c>
      <c r="Z7311">
        <v>408</v>
      </c>
      <c r="AA7311">
        <v>860</v>
      </c>
      <c r="AB7311">
        <v>2.2574939999999999</v>
      </c>
      <c r="AC7311">
        <v>0.82077770000000005</v>
      </c>
      <c r="AD7311">
        <v>2.1566139999999998</v>
      </c>
      <c r="AE7311">
        <v>0.73361679999999996</v>
      </c>
      <c r="AF7311">
        <v>238.62200000000001</v>
      </c>
      <c r="AG7311">
        <f>IFERROR(AH7311*0.1, "N/A")</f>
        <v>5.3000000000000007</v>
      </c>
      <c r="AH7311">
        <v>53</v>
      </c>
      <c r="AI7311">
        <v>244.023</v>
      </c>
      <c r="AJ7311">
        <v>16.63589</v>
      </c>
      <c r="AK7311">
        <v>67.170730000000006</v>
      </c>
    </row>
    <row r="7312" spans="1:37" x14ac:dyDescent="0.3">
      <c r="A7312">
        <v>7311</v>
      </c>
      <c r="B7312">
        <v>0</v>
      </c>
      <c r="C7312">
        <v>-8.5120000000000005</v>
      </c>
      <c r="D7312">
        <v>6.891</v>
      </c>
      <c r="E7312">
        <f>-8.512-6.891</f>
        <v>-15.403</v>
      </c>
      <c r="F7312" t="s">
        <v>10896</v>
      </c>
      <c r="G7312" t="s">
        <v>39</v>
      </c>
      <c r="H7312">
        <v>1987</v>
      </c>
      <c r="I7312">
        <v>25.6</v>
      </c>
      <c r="J7312">
        <v>13.2</v>
      </c>
      <c r="K7312">
        <v>77</v>
      </c>
      <c r="L7312">
        <v>9.19</v>
      </c>
      <c r="M7312">
        <v>34.5</v>
      </c>
      <c r="N7312">
        <v>17.5</v>
      </c>
      <c r="O7312">
        <v>17</v>
      </c>
      <c r="P7312">
        <v>24.3</v>
      </c>
      <c r="Q7312">
        <v>25.5</v>
      </c>
      <c r="R7312">
        <v>26.7</v>
      </c>
      <c r="S7312">
        <v>24.3</v>
      </c>
      <c r="T7312">
        <v>1943</v>
      </c>
      <c r="U7312">
        <v>374</v>
      </c>
      <c r="V7312">
        <v>15</v>
      </c>
      <c r="W7312">
        <v>62</v>
      </c>
      <c r="X7312">
        <v>815</v>
      </c>
      <c r="Y7312">
        <v>99</v>
      </c>
      <c r="Z7312">
        <v>454</v>
      </c>
      <c r="AA7312">
        <v>815</v>
      </c>
      <c r="AB7312">
        <v>5.1877870000000001</v>
      </c>
      <c r="AC7312">
        <v>1.7344930000000001E-2</v>
      </c>
      <c r="AD7312">
        <v>2.0474649999999999</v>
      </c>
      <c r="AE7312">
        <v>0.35133379999999997</v>
      </c>
      <c r="AF7312">
        <v>277.822</v>
      </c>
      <c r="AG7312">
        <f>IFERROR(AH7312*0.1, "N/A")</f>
        <v>5.3324610000000003</v>
      </c>
      <c r="AH7312">
        <v>53.32461</v>
      </c>
      <c r="AI7312">
        <v>190.26509999999999</v>
      </c>
      <c r="AJ7312">
        <v>18.563700000000001</v>
      </c>
      <c r="AK7312">
        <v>64.26876</v>
      </c>
    </row>
    <row r="7313" spans="1:37" x14ac:dyDescent="0.3">
      <c r="A7313">
        <v>7312</v>
      </c>
      <c r="B7313">
        <v>0</v>
      </c>
      <c r="C7313">
        <v>-9.6544399999999992</v>
      </c>
      <c r="D7313">
        <v>6.90306</v>
      </c>
      <c r="E7313">
        <f>-9.65444-6.90306</f>
        <v>-16.557499999999997</v>
      </c>
      <c r="F7313" t="s">
        <v>10897</v>
      </c>
      <c r="G7313" t="s">
        <v>39</v>
      </c>
      <c r="H7313">
        <v>1983</v>
      </c>
      <c r="I7313">
        <v>25.1</v>
      </c>
      <c r="J7313">
        <v>11.6</v>
      </c>
      <c r="K7313">
        <v>79</v>
      </c>
      <c r="L7313">
        <v>7.92</v>
      </c>
      <c r="M7313">
        <v>32.799999999999997</v>
      </c>
      <c r="N7313">
        <v>18.2</v>
      </c>
      <c r="O7313">
        <v>14.6</v>
      </c>
      <c r="P7313">
        <v>24.4</v>
      </c>
      <c r="Q7313">
        <v>25.3</v>
      </c>
      <c r="R7313">
        <v>25.6</v>
      </c>
      <c r="S7313">
        <v>23.9</v>
      </c>
      <c r="T7313">
        <v>2090</v>
      </c>
      <c r="U7313">
        <v>394</v>
      </c>
      <c r="V7313">
        <v>22</v>
      </c>
      <c r="W7313">
        <v>57</v>
      </c>
      <c r="X7313">
        <v>865</v>
      </c>
      <c r="Y7313">
        <v>126</v>
      </c>
      <c r="Z7313">
        <v>392</v>
      </c>
      <c r="AA7313">
        <v>849</v>
      </c>
      <c r="AB7313">
        <v>6.0472260000000002</v>
      </c>
      <c r="AC7313">
        <v>1.098743</v>
      </c>
      <c r="AD7313">
        <v>3.5134729999999998</v>
      </c>
      <c r="AE7313">
        <v>0.2164866</v>
      </c>
      <c r="AF7313">
        <v>257.16489999999999</v>
      </c>
      <c r="AG7313">
        <f>IFERROR(AH7313*0.1, "N/A")</f>
        <v>5.3098960000000002</v>
      </c>
      <c r="AH7313">
        <v>53.098959999999998</v>
      </c>
      <c r="AI7313">
        <v>134.9256</v>
      </c>
      <c r="AJ7313">
        <v>22.15625</v>
      </c>
      <c r="AK7313">
        <v>62.387149999999998</v>
      </c>
    </row>
    <row r="7314" spans="1:37" x14ac:dyDescent="0.3">
      <c r="A7314">
        <v>7313</v>
      </c>
      <c r="B7314">
        <v>8.3000000000000007</v>
      </c>
      <c r="C7314">
        <v>-9.6544399999999992</v>
      </c>
      <c r="D7314">
        <v>6.90306</v>
      </c>
      <c r="E7314">
        <f>-9.65444-6.90306</f>
        <v>-16.557499999999997</v>
      </c>
      <c r="F7314" t="s">
        <v>10898</v>
      </c>
      <c r="G7314" t="s">
        <v>37</v>
      </c>
      <c r="H7314">
        <v>1983</v>
      </c>
      <c r="I7314">
        <v>25.1</v>
      </c>
      <c r="J7314">
        <v>11.6</v>
      </c>
      <c r="K7314">
        <v>79</v>
      </c>
      <c r="L7314">
        <v>7.92</v>
      </c>
      <c r="M7314">
        <v>32.799999999999997</v>
      </c>
      <c r="N7314">
        <v>18.2</v>
      </c>
      <c r="O7314">
        <v>14.6</v>
      </c>
      <c r="P7314">
        <v>24.4</v>
      </c>
      <c r="Q7314">
        <v>25.3</v>
      </c>
      <c r="R7314">
        <v>25.6</v>
      </c>
      <c r="S7314">
        <v>23.9</v>
      </c>
      <c r="T7314">
        <v>2090</v>
      </c>
      <c r="U7314">
        <v>394</v>
      </c>
      <c r="V7314">
        <v>22</v>
      </c>
      <c r="W7314">
        <v>57</v>
      </c>
      <c r="X7314">
        <v>865</v>
      </c>
      <c r="Y7314">
        <v>126</v>
      </c>
      <c r="Z7314">
        <v>392</v>
      </c>
      <c r="AA7314">
        <v>849</v>
      </c>
      <c r="AB7314">
        <v>6.0472260000000002</v>
      </c>
      <c r="AC7314">
        <v>1.098743</v>
      </c>
      <c r="AD7314">
        <v>3.5134729999999998</v>
      </c>
      <c r="AE7314">
        <v>0.2164866</v>
      </c>
      <c r="AF7314">
        <v>257.16489999999999</v>
      </c>
      <c r="AG7314">
        <f>IFERROR(AH7314*0.1, "N/A")</f>
        <v>5.3098960000000002</v>
      </c>
      <c r="AH7314">
        <v>53.098959999999998</v>
      </c>
      <c r="AI7314">
        <v>134.9256</v>
      </c>
      <c r="AJ7314">
        <v>22.15625</v>
      </c>
      <c r="AK7314">
        <v>62.387149999999998</v>
      </c>
    </row>
    <row r="7315" spans="1:37" x14ac:dyDescent="0.3">
      <c r="A7315">
        <v>7314</v>
      </c>
      <c r="B7315">
        <v>0</v>
      </c>
      <c r="C7315">
        <v>-10.0167</v>
      </c>
      <c r="D7315">
        <v>6.9333299999999998</v>
      </c>
      <c r="E7315">
        <f>-10.0167-6.93333</f>
        <v>-16.950029999999998</v>
      </c>
      <c r="F7315" t="s">
        <v>10899</v>
      </c>
      <c r="G7315" t="s">
        <v>39</v>
      </c>
      <c r="H7315">
        <v>1983</v>
      </c>
      <c r="I7315">
        <v>26.255400000000002</v>
      </c>
      <c r="J7315">
        <v>11.1</v>
      </c>
      <c r="K7315">
        <v>81.04007</v>
      </c>
      <c r="L7315">
        <v>8.5560799999999997</v>
      </c>
      <c r="M7315">
        <v>33.395989999999998</v>
      </c>
      <c r="N7315">
        <v>19.77073</v>
      </c>
      <c r="O7315">
        <v>13.625260000000001</v>
      </c>
      <c r="P7315">
        <v>24.966719999999999</v>
      </c>
      <c r="Q7315">
        <v>26.495989999999999</v>
      </c>
      <c r="R7315">
        <v>26.9</v>
      </c>
      <c r="S7315">
        <v>24.966719999999999</v>
      </c>
      <c r="T7315">
        <v>2326.6779999999999</v>
      </c>
      <c r="U7315">
        <v>425.52609999999999</v>
      </c>
      <c r="V7315">
        <v>23</v>
      </c>
      <c r="W7315">
        <v>59</v>
      </c>
      <c r="X7315">
        <v>1004.845</v>
      </c>
      <c r="Y7315">
        <v>139.1533</v>
      </c>
      <c r="Z7315">
        <v>450.56619999999998</v>
      </c>
      <c r="AA7315">
        <v>1004.845</v>
      </c>
      <c r="AB7315">
        <v>2.950523</v>
      </c>
      <c r="AC7315">
        <v>3.4218380000000002</v>
      </c>
      <c r="AD7315">
        <v>2.6274090000000001</v>
      </c>
      <c r="AE7315">
        <v>0.21328949999999999</v>
      </c>
      <c r="AF7315">
        <v>221.97389999999999</v>
      </c>
      <c r="AG7315">
        <f>IFERROR(AH7315*0.1, "N/A")</f>
        <v>5.0153309999999998</v>
      </c>
      <c r="AH7315">
        <v>50.153309999999998</v>
      </c>
      <c r="AI7315">
        <v>157.2364</v>
      </c>
      <c r="AJ7315">
        <v>24</v>
      </c>
      <c r="AK7315">
        <v>60.306620000000002</v>
      </c>
    </row>
    <row r="7316" spans="1:37" x14ac:dyDescent="0.3">
      <c r="A7316">
        <v>7315</v>
      </c>
      <c r="B7316">
        <v>0</v>
      </c>
      <c r="C7316">
        <v>-10.0167</v>
      </c>
      <c r="D7316">
        <v>6.9333299999999998</v>
      </c>
      <c r="E7316">
        <f>-10.0167-6.93333</f>
        <v>-16.950029999999998</v>
      </c>
      <c r="F7316" t="s">
        <v>10900</v>
      </c>
      <c r="G7316" t="s">
        <v>37</v>
      </c>
      <c r="H7316">
        <v>1983</v>
      </c>
      <c r="I7316">
        <v>26.255400000000002</v>
      </c>
      <c r="J7316">
        <v>11.1</v>
      </c>
      <c r="K7316">
        <v>81.04007</v>
      </c>
      <c r="L7316">
        <v>8.5560799999999997</v>
      </c>
      <c r="M7316">
        <v>33.395989999999998</v>
      </c>
      <c r="N7316">
        <v>19.77073</v>
      </c>
      <c r="O7316">
        <v>13.625260000000001</v>
      </c>
      <c r="P7316">
        <v>24.966719999999999</v>
      </c>
      <c r="Q7316">
        <v>26.495989999999999</v>
      </c>
      <c r="R7316">
        <v>26.9</v>
      </c>
      <c r="S7316">
        <v>24.966719999999999</v>
      </c>
      <c r="T7316">
        <v>2326.6779999999999</v>
      </c>
      <c r="U7316">
        <v>425.52609999999999</v>
      </c>
      <c r="V7316">
        <v>23</v>
      </c>
      <c r="W7316">
        <v>59</v>
      </c>
      <c r="X7316">
        <v>1004.845</v>
      </c>
      <c r="Y7316">
        <v>139.1533</v>
      </c>
      <c r="Z7316">
        <v>450.56619999999998</v>
      </c>
      <c r="AA7316">
        <v>1004.845</v>
      </c>
      <c r="AB7316">
        <v>2.950523</v>
      </c>
      <c r="AC7316">
        <v>3.4218380000000002</v>
      </c>
      <c r="AD7316">
        <v>2.6274090000000001</v>
      </c>
      <c r="AE7316">
        <v>0.21328949999999999</v>
      </c>
      <c r="AF7316">
        <v>221.97389999999999</v>
      </c>
      <c r="AG7316">
        <f>IFERROR(AH7316*0.1, "N/A")</f>
        <v>5.0153309999999998</v>
      </c>
      <c r="AH7316">
        <v>50.153309999999998</v>
      </c>
      <c r="AI7316">
        <v>157.2364</v>
      </c>
      <c r="AJ7316">
        <v>24</v>
      </c>
      <c r="AK7316">
        <v>60.306620000000002</v>
      </c>
    </row>
    <row r="7317" spans="1:37" x14ac:dyDescent="0.3">
      <c r="A7317">
        <v>7316</v>
      </c>
      <c r="B7317">
        <v>37.799999999999997</v>
      </c>
      <c r="C7317">
        <v>-9.6355599999999999</v>
      </c>
      <c r="D7317">
        <v>6.9413900000000002</v>
      </c>
      <c r="E7317">
        <f>-9.63556-6.94139</f>
        <v>-16.57695</v>
      </c>
      <c r="F7317" t="s">
        <v>10901</v>
      </c>
      <c r="G7317" t="s">
        <v>37</v>
      </c>
      <c r="H7317">
        <v>1980</v>
      </c>
      <c r="I7317">
        <v>25</v>
      </c>
      <c r="J7317">
        <v>11.7</v>
      </c>
      <c r="K7317">
        <v>78.396519999999995</v>
      </c>
      <c r="L7317">
        <v>8.0130960000000009</v>
      </c>
      <c r="M7317">
        <v>32.799999999999997</v>
      </c>
      <c r="N7317">
        <v>17.93965</v>
      </c>
      <c r="O7317">
        <v>14.86035</v>
      </c>
      <c r="P7317">
        <v>24.3</v>
      </c>
      <c r="Q7317">
        <v>25.2</v>
      </c>
      <c r="R7317">
        <v>25.6</v>
      </c>
      <c r="S7317">
        <v>23.8</v>
      </c>
      <c r="T7317">
        <v>2072.0169999999998</v>
      </c>
      <c r="U7317">
        <v>390.6035</v>
      </c>
      <c r="V7317">
        <v>22</v>
      </c>
      <c r="W7317">
        <v>57</v>
      </c>
      <c r="X7317">
        <v>857.41390000000001</v>
      </c>
      <c r="Y7317">
        <v>125.6035</v>
      </c>
      <c r="Z7317">
        <v>399</v>
      </c>
      <c r="AA7317">
        <v>840.41390000000001</v>
      </c>
      <c r="AB7317">
        <v>13.419129999999999</v>
      </c>
      <c r="AC7317">
        <v>1.1910540000000001E-2</v>
      </c>
      <c r="AD7317">
        <v>2.708361</v>
      </c>
      <c r="AE7317">
        <v>0.45165110000000003</v>
      </c>
      <c r="AF7317">
        <v>272.63130000000001</v>
      </c>
      <c r="AG7317">
        <f>IFERROR(AH7317*0.1, "N/A")</f>
        <v>5.3273040000000007</v>
      </c>
      <c r="AH7317">
        <v>53.273040000000002</v>
      </c>
      <c r="AI7317">
        <v>142.8356</v>
      </c>
      <c r="AJ7317">
        <v>21.073039999999999</v>
      </c>
      <c r="AK7317">
        <v>61.151299999999999</v>
      </c>
    </row>
    <row r="7318" spans="1:37" x14ac:dyDescent="0.3">
      <c r="A7318">
        <v>7317</v>
      </c>
      <c r="B7318">
        <v>36.200000000000003</v>
      </c>
      <c r="C7318">
        <v>-9.6355599999999999</v>
      </c>
      <c r="D7318">
        <v>6.9413900000000002</v>
      </c>
      <c r="E7318">
        <f>-9.63556-6.94139</f>
        <v>-16.57695</v>
      </c>
      <c r="F7318" t="s">
        <v>10902</v>
      </c>
      <c r="G7318" t="s">
        <v>39</v>
      </c>
      <c r="H7318">
        <v>1980</v>
      </c>
      <c r="I7318">
        <v>25</v>
      </c>
      <c r="J7318">
        <v>11.7</v>
      </c>
      <c r="K7318">
        <v>78.396519999999995</v>
      </c>
      <c r="L7318">
        <v>8.0130960000000009</v>
      </c>
      <c r="M7318">
        <v>32.799999999999997</v>
      </c>
      <c r="N7318">
        <v>17.93965</v>
      </c>
      <c r="O7318">
        <v>14.86035</v>
      </c>
      <c r="P7318">
        <v>24.3</v>
      </c>
      <c r="Q7318">
        <v>25.2</v>
      </c>
      <c r="R7318">
        <v>25.6</v>
      </c>
      <c r="S7318">
        <v>23.8</v>
      </c>
      <c r="T7318">
        <v>2072.0169999999998</v>
      </c>
      <c r="U7318">
        <v>390.6035</v>
      </c>
      <c r="V7318">
        <v>22</v>
      </c>
      <c r="W7318">
        <v>57</v>
      </c>
      <c r="X7318">
        <v>857.41390000000001</v>
      </c>
      <c r="Y7318">
        <v>125.6035</v>
      </c>
      <c r="Z7318">
        <v>399</v>
      </c>
      <c r="AA7318">
        <v>840.41390000000001</v>
      </c>
      <c r="AB7318">
        <v>13.419129999999999</v>
      </c>
      <c r="AC7318">
        <v>1.1910540000000001E-2</v>
      </c>
      <c r="AD7318">
        <v>2.708361</v>
      </c>
      <c r="AE7318">
        <v>0.45165110000000003</v>
      </c>
      <c r="AF7318">
        <v>272.63130000000001</v>
      </c>
      <c r="AG7318">
        <f>IFERROR(AH7318*0.1, "N/A")</f>
        <v>5.3273040000000007</v>
      </c>
      <c r="AH7318">
        <v>53.273040000000002</v>
      </c>
      <c r="AI7318">
        <v>142.8356</v>
      </c>
      <c r="AJ7318">
        <v>21.073039999999999</v>
      </c>
      <c r="AK7318">
        <v>61.151299999999999</v>
      </c>
    </row>
    <row r="7319" spans="1:37" x14ac:dyDescent="0.3">
      <c r="A7319">
        <v>7318</v>
      </c>
      <c r="B7319">
        <v>0</v>
      </c>
      <c r="C7319">
        <v>-10.8</v>
      </c>
      <c r="D7319">
        <v>6.95</v>
      </c>
      <c r="E7319">
        <f>-10.8-6.95</f>
        <v>-17.75</v>
      </c>
      <c r="F7319" t="s">
        <v>10903</v>
      </c>
      <c r="G7319" t="s">
        <v>39</v>
      </c>
      <c r="H7319">
        <v>1987</v>
      </c>
      <c r="I7319">
        <v>25.9</v>
      </c>
      <c r="J7319">
        <v>9.8000000000000007</v>
      </c>
      <c r="K7319">
        <v>80.114580000000004</v>
      </c>
      <c r="L7319">
        <v>8.1079000000000008</v>
      </c>
      <c r="M7319">
        <v>32.459200000000003</v>
      </c>
      <c r="N7319">
        <v>20.370660000000001</v>
      </c>
      <c r="O7319">
        <v>12.08854</v>
      </c>
      <c r="P7319">
        <v>24.859200000000001</v>
      </c>
      <c r="Q7319">
        <v>26.2</v>
      </c>
      <c r="R7319">
        <v>26.770659999999999</v>
      </c>
      <c r="S7319">
        <v>24.7</v>
      </c>
      <c r="T7319">
        <v>3277.9340000000002</v>
      </c>
      <c r="U7319">
        <v>557.65970000000004</v>
      </c>
      <c r="V7319">
        <v>25.11458</v>
      </c>
      <c r="W7319">
        <v>71.980900000000005</v>
      </c>
      <c r="X7319">
        <v>1515.7270000000001</v>
      </c>
      <c r="Y7319">
        <v>147.1146</v>
      </c>
      <c r="Z7319">
        <v>321</v>
      </c>
      <c r="AA7319">
        <v>1509.047</v>
      </c>
      <c r="AB7319">
        <v>11.470840000000001</v>
      </c>
      <c r="AC7319">
        <v>2.6563839999999998E-2</v>
      </c>
      <c r="AD7319">
        <v>5.4487300000000003</v>
      </c>
      <c r="AE7319">
        <v>0.1836257</v>
      </c>
      <c r="AF7319">
        <v>74.364580000000004</v>
      </c>
      <c r="AG7319">
        <f>IFERROR(AH7319*0.1, "N/A")</f>
        <v>4.9690970000000005</v>
      </c>
      <c r="AH7319">
        <v>49.69097</v>
      </c>
      <c r="AI7319">
        <v>226.8177</v>
      </c>
      <c r="AJ7319">
        <v>20</v>
      </c>
      <c r="AK7319">
        <v>58.782989999999998</v>
      </c>
    </row>
    <row r="7320" spans="1:37" x14ac:dyDescent="0.3">
      <c r="A7320">
        <v>7319</v>
      </c>
      <c r="B7320">
        <v>0</v>
      </c>
      <c r="C7320">
        <v>-9.6565999999999992</v>
      </c>
      <c r="D7320">
        <v>6.9620699999999998</v>
      </c>
      <c r="E7320">
        <f>-9.6566-6.96207</f>
        <v>-16.618669999999998</v>
      </c>
      <c r="F7320" t="s">
        <v>10904</v>
      </c>
      <c r="G7320" t="s">
        <v>39</v>
      </c>
      <c r="H7320">
        <v>1983</v>
      </c>
      <c r="I7320">
        <v>25.1</v>
      </c>
      <c r="J7320">
        <v>11.7</v>
      </c>
      <c r="K7320">
        <v>79</v>
      </c>
      <c r="L7320">
        <v>7.89</v>
      </c>
      <c r="M7320">
        <v>32.9</v>
      </c>
      <c r="N7320">
        <v>18.100000000000001</v>
      </c>
      <c r="O7320">
        <v>14.8</v>
      </c>
      <c r="P7320">
        <v>24.4</v>
      </c>
      <c r="Q7320">
        <v>25.4</v>
      </c>
      <c r="R7320">
        <v>25.7</v>
      </c>
      <c r="S7320">
        <v>23.9</v>
      </c>
      <c r="T7320">
        <v>2075</v>
      </c>
      <c r="U7320">
        <v>390</v>
      </c>
      <c r="V7320">
        <v>22</v>
      </c>
      <c r="W7320">
        <v>57</v>
      </c>
      <c r="X7320">
        <v>860</v>
      </c>
      <c r="Y7320">
        <v>126</v>
      </c>
      <c r="Z7320">
        <v>399</v>
      </c>
      <c r="AA7320">
        <v>844</v>
      </c>
      <c r="AB7320">
        <v>4.7123910000000002</v>
      </c>
      <c r="AC7320">
        <v>0.7424771</v>
      </c>
      <c r="AD7320">
        <v>4.9148540000000001</v>
      </c>
      <c r="AE7320">
        <v>0.28802430000000001</v>
      </c>
      <c r="AF7320">
        <v>265.45549999999997</v>
      </c>
      <c r="AG7320">
        <f>IFERROR(AH7320*0.1, "N/A")</f>
        <v>5.1059340000000004</v>
      </c>
      <c r="AH7320">
        <v>51.059339999999999</v>
      </c>
      <c r="AI7320">
        <v>140.875</v>
      </c>
      <c r="AJ7320">
        <v>22.048870000000001</v>
      </c>
      <c r="AK7320">
        <v>63.921469999999999</v>
      </c>
    </row>
    <row r="7321" spans="1:37" x14ac:dyDescent="0.3">
      <c r="A7321">
        <v>7320</v>
      </c>
      <c r="B7321">
        <v>0</v>
      </c>
      <c r="C7321">
        <v>-9.6565999999999992</v>
      </c>
      <c r="D7321">
        <v>6.9620699999999998</v>
      </c>
      <c r="E7321">
        <f>-9.6566-6.96207</f>
        <v>-16.618669999999998</v>
      </c>
      <c r="F7321" t="s">
        <v>10905</v>
      </c>
      <c r="G7321" t="s">
        <v>37</v>
      </c>
      <c r="H7321">
        <v>1983</v>
      </c>
      <c r="I7321">
        <v>25.1</v>
      </c>
      <c r="J7321">
        <v>11.7</v>
      </c>
      <c r="K7321">
        <v>79</v>
      </c>
      <c r="L7321">
        <v>7.89</v>
      </c>
      <c r="M7321">
        <v>32.9</v>
      </c>
      <c r="N7321">
        <v>18.100000000000001</v>
      </c>
      <c r="O7321">
        <v>14.8</v>
      </c>
      <c r="P7321">
        <v>24.4</v>
      </c>
      <c r="Q7321">
        <v>25.4</v>
      </c>
      <c r="R7321">
        <v>25.7</v>
      </c>
      <c r="S7321">
        <v>23.9</v>
      </c>
      <c r="T7321">
        <v>2075</v>
      </c>
      <c r="U7321">
        <v>390</v>
      </c>
      <c r="V7321">
        <v>22</v>
      </c>
      <c r="W7321">
        <v>57</v>
      </c>
      <c r="X7321">
        <v>860</v>
      </c>
      <c r="Y7321">
        <v>126</v>
      </c>
      <c r="Z7321">
        <v>399</v>
      </c>
      <c r="AA7321">
        <v>844</v>
      </c>
      <c r="AB7321">
        <v>4.7123910000000002</v>
      </c>
      <c r="AC7321">
        <v>0.7424771</v>
      </c>
      <c r="AD7321">
        <v>4.9148540000000001</v>
      </c>
      <c r="AE7321">
        <v>0.28802430000000001</v>
      </c>
      <c r="AF7321">
        <v>265.45549999999997</v>
      </c>
      <c r="AG7321">
        <f>IFERROR(AH7321*0.1, "N/A")</f>
        <v>5.1059340000000004</v>
      </c>
      <c r="AH7321">
        <v>51.059339999999999</v>
      </c>
      <c r="AI7321">
        <v>140.875</v>
      </c>
      <c r="AJ7321">
        <v>22.048870000000001</v>
      </c>
      <c r="AK7321">
        <v>63.921469999999999</v>
      </c>
    </row>
    <row r="7322" spans="1:37" x14ac:dyDescent="0.3">
      <c r="A7322">
        <v>7321</v>
      </c>
      <c r="B7322">
        <v>0</v>
      </c>
      <c r="C7322">
        <v>-8.84</v>
      </c>
      <c r="D7322">
        <v>6.9669999999999996</v>
      </c>
      <c r="E7322">
        <f>-8.84-6.967</f>
        <v>-15.806999999999999</v>
      </c>
      <c r="F7322" t="s">
        <v>10906</v>
      </c>
      <c r="G7322" t="s">
        <v>39</v>
      </c>
      <c r="H7322">
        <v>1987</v>
      </c>
      <c r="I7322">
        <v>25.806640000000002</v>
      </c>
      <c r="J7322">
        <v>13.6</v>
      </c>
      <c r="K7322">
        <v>76</v>
      </c>
      <c r="L7322">
        <v>8.3133219999999994</v>
      </c>
      <c r="M7322">
        <v>34.70664</v>
      </c>
      <c r="N7322">
        <v>17.006640000000001</v>
      </c>
      <c r="O7322">
        <v>17.7</v>
      </c>
      <c r="P7322">
        <v>24.7</v>
      </c>
      <c r="Q7322">
        <v>25.606639999999999</v>
      </c>
      <c r="R7322">
        <v>26.806640000000002</v>
      </c>
      <c r="S7322">
        <v>24.7</v>
      </c>
      <c r="T7322">
        <v>2057.3359999999998</v>
      </c>
      <c r="U7322">
        <v>394.86709999999999</v>
      </c>
      <c r="V7322">
        <v>15</v>
      </c>
      <c r="W7322">
        <v>60.933570000000003</v>
      </c>
      <c r="X7322">
        <v>843.60140000000001</v>
      </c>
      <c r="Y7322">
        <v>104</v>
      </c>
      <c r="Z7322">
        <v>500.86709999999999</v>
      </c>
      <c r="AA7322">
        <v>843.60140000000001</v>
      </c>
      <c r="AB7322">
        <v>9.44895</v>
      </c>
      <c r="AC7322">
        <v>1.029596E-2</v>
      </c>
      <c r="AD7322">
        <v>4.0018529999999997</v>
      </c>
      <c r="AE7322">
        <v>0.84660150000000001</v>
      </c>
      <c r="AF7322">
        <v>238.5752</v>
      </c>
      <c r="AG7322">
        <f>IFERROR(AH7322*0.1, "N/A")</f>
        <v>5.7874130000000008</v>
      </c>
      <c r="AH7322">
        <v>57.874130000000001</v>
      </c>
      <c r="AI7322">
        <v>93.592510000000004</v>
      </c>
      <c r="AJ7322">
        <v>18.125869999999999</v>
      </c>
      <c r="AK7322">
        <v>63.874130000000001</v>
      </c>
    </row>
    <row r="7323" spans="1:37" x14ac:dyDescent="0.3">
      <c r="A7323">
        <v>7322</v>
      </c>
      <c r="B7323">
        <v>2.4</v>
      </c>
      <c r="C7323">
        <v>-9.98278</v>
      </c>
      <c r="D7323">
        <v>6.9744400000000004</v>
      </c>
      <c r="E7323">
        <f>-9.98278-6.97444</f>
        <v>-16.95722</v>
      </c>
      <c r="F7323" t="s">
        <v>10907</v>
      </c>
      <c r="G7323" t="s">
        <v>39</v>
      </c>
      <c r="H7323">
        <v>1983</v>
      </c>
      <c r="I7323">
        <v>26.3</v>
      </c>
      <c r="J7323">
        <v>11.2</v>
      </c>
      <c r="K7323">
        <v>81.317629999999994</v>
      </c>
      <c r="L7323">
        <v>8.5782369999999997</v>
      </c>
      <c r="M7323">
        <v>33.5</v>
      </c>
      <c r="N7323">
        <v>19.831759999999999</v>
      </c>
      <c r="O7323">
        <v>13.668240000000001</v>
      </c>
      <c r="P7323">
        <v>25.031759999999998</v>
      </c>
      <c r="Q7323">
        <v>26.568239999999999</v>
      </c>
      <c r="R7323">
        <v>27</v>
      </c>
      <c r="S7323">
        <v>25.031759999999998</v>
      </c>
      <c r="T7323">
        <v>2284.223</v>
      </c>
      <c r="U7323">
        <v>416.31760000000003</v>
      </c>
      <c r="V7323">
        <v>23</v>
      </c>
      <c r="W7323">
        <v>58.317630000000001</v>
      </c>
      <c r="X7323">
        <v>978.27049999999997</v>
      </c>
      <c r="Y7323">
        <v>137</v>
      </c>
      <c r="Z7323">
        <v>442.31760000000003</v>
      </c>
      <c r="AA7323">
        <v>978.27049999999997</v>
      </c>
      <c r="AB7323">
        <v>9.3036689999999993</v>
      </c>
      <c r="AC7323">
        <v>1.0055669999999999E-2</v>
      </c>
      <c r="AD7323">
        <v>2.1992129999999999</v>
      </c>
      <c r="AE7323">
        <v>0.31963449999999999</v>
      </c>
      <c r="AF7323">
        <v>205.67359999999999</v>
      </c>
      <c r="AG7323">
        <f>IFERROR(AH7323*0.1, "N/A")</f>
        <v>5.2371730000000003</v>
      </c>
      <c r="AH7323">
        <v>52.371729999999999</v>
      </c>
      <c r="AI7323">
        <v>259.04790000000003</v>
      </c>
      <c r="AJ7323">
        <v>19.003489999999999</v>
      </c>
      <c r="AK7323">
        <v>63.310650000000003</v>
      </c>
    </row>
    <row r="7324" spans="1:37" x14ac:dyDescent="0.3">
      <c r="A7324">
        <v>7323</v>
      </c>
      <c r="B7324">
        <v>0</v>
      </c>
      <c r="C7324">
        <v>-9.98278</v>
      </c>
      <c r="D7324">
        <v>6.9744400000000004</v>
      </c>
      <c r="E7324">
        <f>-9.98278-6.97444</f>
        <v>-16.95722</v>
      </c>
      <c r="F7324" t="s">
        <v>10908</v>
      </c>
      <c r="G7324" t="s">
        <v>37</v>
      </c>
      <c r="H7324">
        <v>1983</v>
      </c>
      <c r="I7324">
        <v>26.3</v>
      </c>
      <c r="J7324">
        <v>11.2</v>
      </c>
      <c r="K7324">
        <v>81.317629999999994</v>
      </c>
      <c r="L7324">
        <v>8.5782369999999997</v>
      </c>
      <c r="M7324">
        <v>33.5</v>
      </c>
      <c r="N7324">
        <v>19.831759999999999</v>
      </c>
      <c r="O7324">
        <v>13.668240000000001</v>
      </c>
      <c r="P7324">
        <v>25.031759999999998</v>
      </c>
      <c r="Q7324">
        <v>26.568239999999999</v>
      </c>
      <c r="R7324">
        <v>27</v>
      </c>
      <c r="S7324">
        <v>25.031759999999998</v>
      </c>
      <c r="T7324">
        <v>2284.223</v>
      </c>
      <c r="U7324">
        <v>416.31760000000003</v>
      </c>
      <c r="V7324">
        <v>23</v>
      </c>
      <c r="W7324">
        <v>58.317630000000001</v>
      </c>
      <c r="X7324">
        <v>978.27049999999997</v>
      </c>
      <c r="Y7324">
        <v>137</v>
      </c>
      <c r="Z7324">
        <v>442.31760000000003</v>
      </c>
      <c r="AA7324">
        <v>978.27049999999997</v>
      </c>
      <c r="AB7324">
        <v>9.3036689999999993</v>
      </c>
      <c r="AC7324">
        <v>1.0055669999999999E-2</v>
      </c>
      <c r="AD7324">
        <v>2.1992129999999999</v>
      </c>
      <c r="AE7324">
        <v>0.31963449999999999</v>
      </c>
      <c r="AF7324">
        <v>205.67359999999999</v>
      </c>
      <c r="AG7324">
        <f>IFERROR(AH7324*0.1, "N/A")</f>
        <v>5.2371730000000003</v>
      </c>
      <c r="AH7324">
        <v>52.371729999999999</v>
      </c>
      <c r="AI7324">
        <v>259.04790000000003</v>
      </c>
      <c r="AJ7324">
        <v>19.003489999999999</v>
      </c>
      <c r="AK7324">
        <v>63.310650000000003</v>
      </c>
    </row>
    <row r="7325" spans="1:37" x14ac:dyDescent="0.3">
      <c r="A7325">
        <v>7324</v>
      </c>
      <c r="B7325">
        <v>6.7</v>
      </c>
      <c r="C7325">
        <v>-9.2866400000000002</v>
      </c>
      <c r="D7325">
        <v>6.9864899999999999</v>
      </c>
      <c r="E7325">
        <f>-9.28664-6.98649</f>
        <v>-16.273130000000002</v>
      </c>
      <c r="F7325" t="s">
        <v>10909</v>
      </c>
      <c r="G7325" t="s">
        <v>39</v>
      </c>
      <c r="H7325">
        <v>1983</v>
      </c>
      <c r="I7325">
        <v>25.1</v>
      </c>
      <c r="J7325">
        <v>12.7</v>
      </c>
      <c r="K7325">
        <v>77</v>
      </c>
      <c r="L7325">
        <v>6.45</v>
      </c>
      <c r="M7325">
        <v>33.700000000000003</v>
      </c>
      <c r="N7325">
        <v>17.3</v>
      </c>
      <c r="O7325">
        <v>16.399999999999999</v>
      </c>
      <c r="P7325">
        <v>24.6</v>
      </c>
      <c r="Q7325">
        <v>25</v>
      </c>
      <c r="R7325">
        <v>25.5</v>
      </c>
      <c r="S7325">
        <v>24.2</v>
      </c>
      <c r="T7325">
        <v>2036</v>
      </c>
      <c r="U7325">
        <v>390</v>
      </c>
      <c r="V7325">
        <v>19</v>
      </c>
      <c r="W7325">
        <v>58</v>
      </c>
      <c r="X7325">
        <v>834</v>
      </c>
      <c r="Y7325">
        <v>118</v>
      </c>
      <c r="Z7325">
        <v>386</v>
      </c>
      <c r="AA7325">
        <v>824</v>
      </c>
      <c r="AB7325">
        <v>8.8408029999999993</v>
      </c>
      <c r="AC7325">
        <v>3.8435879999999999E-2</v>
      </c>
      <c r="AD7325">
        <v>2.7729279999999998</v>
      </c>
      <c r="AE7325">
        <v>0.43231180000000002</v>
      </c>
      <c r="AF7325">
        <v>273.96010000000001</v>
      </c>
      <c r="AG7325">
        <f>IFERROR(AH7325*0.1, "N/A")</f>
        <v>5.4093750000000007</v>
      </c>
      <c r="AH7325">
        <v>54.09375</v>
      </c>
      <c r="AI7325">
        <v>306.8664</v>
      </c>
      <c r="AJ7325">
        <v>19.90625</v>
      </c>
      <c r="AK7325">
        <v>62.09375</v>
      </c>
    </row>
    <row r="7326" spans="1:37" x14ac:dyDescent="0.3">
      <c r="A7326">
        <v>7325</v>
      </c>
      <c r="B7326">
        <v>0</v>
      </c>
      <c r="C7326">
        <v>-9.2866400000000002</v>
      </c>
      <c r="D7326">
        <v>6.9864899999999999</v>
      </c>
      <c r="E7326">
        <f>-9.28664-6.98649</f>
        <v>-16.273130000000002</v>
      </c>
      <c r="F7326" t="s">
        <v>10910</v>
      </c>
      <c r="G7326" t="s">
        <v>37</v>
      </c>
      <c r="H7326">
        <v>1983</v>
      </c>
      <c r="I7326">
        <v>25.1</v>
      </c>
      <c r="J7326">
        <v>12.7</v>
      </c>
      <c r="K7326">
        <v>77</v>
      </c>
      <c r="L7326">
        <v>6.45</v>
      </c>
      <c r="M7326">
        <v>33.700000000000003</v>
      </c>
      <c r="N7326">
        <v>17.3</v>
      </c>
      <c r="O7326">
        <v>16.399999999999999</v>
      </c>
      <c r="P7326">
        <v>24.6</v>
      </c>
      <c r="Q7326">
        <v>25</v>
      </c>
      <c r="R7326">
        <v>25.5</v>
      </c>
      <c r="S7326">
        <v>24.2</v>
      </c>
      <c r="T7326">
        <v>2036</v>
      </c>
      <c r="U7326">
        <v>390</v>
      </c>
      <c r="V7326">
        <v>19</v>
      </c>
      <c r="W7326">
        <v>58</v>
      </c>
      <c r="X7326">
        <v>834</v>
      </c>
      <c r="Y7326">
        <v>118</v>
      </c>
      <c r="Z7326">
        <v>386</v>
      </c>
      <c r="AA7326">
        <v>824</v>
      </c>
      <c r="AB7326">
        <v>8.8408029999999993</v>
      </c>
      <c r="AC7326">
        <v>3.8435879999999999E-2</v>
      </c>
      <c r="AD7326">
        <v>2.7729279999999998</v>
      </c>
      <c r="AE7326">
        <v>0.43231180000000002</v>
      </c>
      <c r="AF7326">
        <v>273.96010000000001</v>
      </c>
      <c r="AG7326">
        <f>IFERROR(AH7326*0.1, "N/A")</f>
        <v>5.4093750000000007</v>
      </c>
      <c r="AH7326">
        <v>54.09375</v>
      </c>
      <c r="AI7326">
        <v>306.8664</v>
      </c>
      <c r="AJ7326">
        <v>19.90625</v>
      </c>
      <c r="AK7326">
        <v>62.09375</v>
      </c>
    </row>
    <row r="7327" spans="1:37" x14ac:dyDescent="0.3">
      <c r="A7327">
        <v>7326</v>
      </c>
      <c r="B7327">
        <v>75.599999999999994</v>
      </c>
      <c r="C7327">
        <v>-9.5813900000000007</v>
      </c>
      <c r="D7327">
        <v>6.9888899999999996</v>
      </c>
      <c r="E7327">
        <f>-9.58139-6.98889</f>
        <v>-16.57028</v>
      </c>
      <c r="F7327" t="s">
        <v>10911</v>
      </c>
      <c r="G7327" t="s">
        <v>37</v>
      </c>
      <c r="H7327">
        <v>1980</v>
      </c>
      <c r="I7327">
        <v>25</v>
      </c>
      <c r="J7327">
        <v>11.9</v>
      </c>
      <c r="K7327">
        <v>78</v>
      </c>
      <c r="L7327">
        <v>7.52</v>
      </c>
      <c r="M7327">
        <v>32.9</v>
      </c>
      <c r="N7327">
        <v>17.7</v>
      </c>
      <c r="O7327">
        <v>15.2</v>
      </c>
      <c r="P7327">
        <v>24.3</v>
      </c>
      <c r="Q7327">
        <v>25.2</v>
      </c>
      <c r="R7327">
        <v>25.5</v>
      </c>
      <c r="S7327">
        <v>23.8</v>
      </c>
      <c r="T7327">
        <v>2039</v>
      </c>
      <c r="U7327">
        <v>385</v>
      </c>
      <c r="V7327">
        <v>21</v>
      </c>
      <c r="W7327">
        <v>57</v>
      </c>
      <c r="X7327">
        <v>840</v>
      </c>
      <c r="Y7327">
        <v>123</v>
      </c>
      <c r="Z7327">
        <v>392</v>
      </c>
      <c r="AA7327">
        <v>822</v>
      </c>
      <c r="AB7327">
        <v>20.32957</v>
      </c>
      <c r="AC7327">
        <v>8.4856029999999995E-3</v>
      </c>
      <c r="AD7327">
        <v>2.663932</v>
      </c>
      <c r="AE7327">
        <v>0.75248890000000002</v>
      </c>
      <c r="AF7327">
        <v>274.2226</v>
      </c>
      <c r="AG7327">
        <f>IFERROR(AH7327*0.1, "N/A")</f>
        <v>5.6916520000000004</v>
      </c>
      <c r="AH7327">
        <v>56.916519999999998</v>
      </c>
      <c r="AI7327">
        <v>186.447</v>
      </c>
      <c r="AJ7327">
        <v>19.057390000000002</v>
      </c>
      <c r="AK7327">
        <v>64.714780000000005</v>
      </c>
    </row>
    <row r="7328" spans="1:37" x14ac:dyDescent="0.3">
      <c r="A7328">
        <v>7327</v>
      </c>
      <c r="B7328">
        <v>57.5</v>
      </c>
      <c r="C7328">
        <v>-9.5813900000000007</v>
      </c>
      <c r="D7328">
        <v>6.9888899999999996</v>
      </c>
      <c r="E7328">
        <f>-9.58139-6.98889</f>
        <v>-16.57028</v>
      </c>
      <c r="F7328" t="s">
        <v>10912</v>
      </c>
      <c r="G7328" t="s">
        <v>39</v>
      </c>
      <c r="H7328">
        <v>1980</v>
      </c>
      <c r="I7328">
        <v>25</v>
      </c>
      <c r="J7328">
        <v>11.9</v>
      </c>
      <c r="K7328">
        <v>78</v>
      </c>
      <c r="L7328">
        <v>7.52</v>
      </c>
      <c r="M7328">
        <v>32.9</v>
      </c>
      <c r="N7328">
        <v>17.7</v>
      </c>
      <c r="O7328">
        <v>15.2</v>
      </c>
      <c r="P7328">
        <v>24.3</v>
      </c>
      <c r="Q7328">
        <v>25.2</v>
      </c>
      <c r="R7328">
        <v>25.5</v>
      </c>
      <c r="S7328">
        <v>23.8</v>
      </c>
      <c r="T7328">
        <v>2039</v>
      </c>
      <c r="U7328">
        <v>385</v>
      </c>
      <c r="V7328">
        <v>21</v>
      </c>
      <c r="W7328">
        <v>57</v>
      </c>
      <c r="X7328">
        <v>840</v>
      </c>
      <c r="Y7328">
        <v>123</v>
      </c>
      <c r="Z7328">
        <v>392</v>
      </c>
      <c r="AA7328">
        <v>822</v>
      </c>
      <c r="AB7328">
        <v>20.32957</v>
      </c>
      <c r="AC7328">
        <v>8.4856029999999995E-3</v>
      </c>
      <c r="AD7328">
        <v>2.663932</v>
      </c>
      <c r="AE7328">
        <v>0.75248890000000002</v>
      </c>
      <c r="AF7328">
        <v>274.2226</v>
      </c>
      <c r="AG7328">
        <f>IFERROR(AH7328*0.1, "N/A")</f>
        <v>5.6916520000000004</v>
      </c>
      <c r="AH7328">
        <v>56.916519999999998</v>
      </c>
      <c r="AI7328">
        <v>186.447</v>
      </c>
      <c r="AJ7328">
        <v>19.057390000000002</v>
      </c>
      <c r="AK7328">
        <v>64.714780000000005</v>
      </c>
    </row>
    <row r="7329" spans="1:37" x14ac:dyDescent="0.3">
      <c r="A7329">
        <v>7328</v>
      </c>
      <c r="B7329">
        <v>49.7</v>
      </c>
      <c r="C7329">
        <v>-9.5814000000000004</v>
      </c>
      <c r="D7329">
        <v>6.9889000000000001</v>
      </c>
      <c r="E7329">
        <f>-9.5814-6.9889</f>
        <v>-16.5703</v>
      </c>
      <c r="F7329" t="s">
        <v>10913</v>
      </c>
      <c r="G7329" t="s">
        <v>39</v>
      </c>
      <c r="H7329">
        <v>1979</v>
      </c>
      <c r="I7329">
        <v>25</v>
      </c>
      <c r="J7329">
        <v>11.9</v>
      </c>
      <c r="K7329">
        <v>78</v>
      </c>
      <c r="L7329">
        <v>7.52</v>
      </c>
      <c r="M7329">
        <v>32.9</v>
      </c>
      <c r="N7329">
        <v>17.7</v>
      </c>
      <c r="O7329">
        <v>15.2</v>
      </c>
      <c r="P7329">
        <v>24.3</v>
      </c>
      <c r="Q7329">
        <v>25.2</v>
      </c>
      <c r="R7329">
        <v>25.5</v>
      </c>
      <c r="S7329">
        <v>23.8</v>
      </c>
      <c r="T7329">
        <v>2039</v>
      </c>
      <c r="U7329">
        <v>385</v>
      </c>
      <c r="V7329">
        <v>21</v>
      </c>
      <c r="W7329">
        <v>57</v>
      </c>
      <c r="X7329">
        <v>840</v>
      </c>
      <c r="Y7329">
        <v>123</v>
      </c>
      <c r="Z7329">
        <v>392</v>
      </c>
      <c r="AA7329">
        <v>822</v>
      </c>
      <c r="AB7329">
        <v>20.38607</v>
      </c>
      <c r="AC7329">
        <v>8.4856029999999995E-3</v>
      </c>
      <c r="AD7329">
        <v>2.6590760000000002</v>
      </c>
      <c r="AE7329">
        <v>0.75248890000000002</v>
      </c>
      <c r="AF7329">
        <v>274.24740000000003</v>
      </c>
      <c r="AG7329">
        <f>IFERROR(AH7329*0.1, "N/A")</f>
        <v>5.6916380000000002</v>
      </c>
      <c r="AH7329">
        <v>56.916379999999997</v>
      </c>
      <c r="AI7329">
        <v>185.11080000000001</v>
      </c>
      <c r="AJ7329">
        <v>19.048780000000001</v>
      </c>
      <c r="AK7329">
        <v>64.714290000000005</v>
      </c>
    </row>
    <row r="7330" spans="1:37" x14ac:dyDescent="0.3">
      <c r="A7330">
        <v>7329</v>
      </c>
      <c r="B7330">
        <v>49.7</v>
      </c>
      <c r="C7330">
        <v>-9.5814000000000004</v>
      </c>
      <c r="D7330">
        <v>6.9889000000000001</v>
      </c>
      <c r="E7330">
        <f>-9.5814-6.9889</f>
        <v>-16.5703</v>
      </c>
      <c r="F7330" t="s">
        <v>10914</v>
      </c>
      <c r="G7330" t="s">
        <v>37</v>
      </c>
      <c r="H7330">
        <v>1979</v>
      </c>
      <c r="I7330">
        <v>25</v>
      </c>
      <c r="J7330">
        <v>11.9</v>
      </c>
      <c r="K7330">
        <v>78</v>
      </c>
      <c r="L7330">
        <v>7.52</v>
      </c>
      <c r="M7330">
        <v>32.9</v>
      </c>
      <c r="N7330">
        <v>17.7</v>
      </c>
      <c r="O7330">
        <v>15.2</v>
      </c>
      <c r="P7330">
        <v>24.3</v>
      </c>
      <c r="Q7330">
        <v>25.2</v>
      </c>
      <c r="R7330">
        <v>25.5</v>
      </c>
      <c r="S7330">
        <v>23.8</v>
      </c>
      <c r="T7330">
        <v>2039</v>
      </c>
      <c r="U7330">
        <v>385</v>
      </c>
      <c r="V7330">
        <v>21</v>
      </c>
      <c r="W7330">
        <v>57</v>
      </c>
      <c r="X7330">
        <v>840</v>
      </c>
      <c r="Y7330">
        <v>123</v>
      </c>
      <c r="Z7330">
        <v>392</v>
      </c>
      <c r="AA7330">
        <v>822</v>
      </c>
      <c r="AB7330">
        <v>20.38607</v>
      </c>
      <c r="AC7330">
        <v>8.4856029999999995E-3</v>
      </c>
      <c r="AD7330">
        <v>2.6590760000000002</v>
      </c>
      <c r="AE7330">
        <v>0.75248890000000002</v>
      </c>
      <c r="AF7330">
        <v>274.24740000000003</v>
      </c>
      <c r="AG7330">
        <f>IFERROR(AH7330*0.1, "N/A")</f>
        <v>5.6916380000000002</v>
      </c>
      <c r="AH7330">
        <v>56.916379999999997</v>
      </c>
      <c r="AI7330">
        <v>185.11080000000001</v>
      </c>
      <c r="AJ7330">
        <v>19.048780000000001</v>
      </c>
      <c r="AK7330">
        <v>64.714290000000005</v>
      </c>
    </row>
    <row r="7331" spans="1:37" x14ac:dyDescent="0.3">
      <c r="A7331">
        <v>7330</v>
      </c>
      <c r="B7331">
        <v>16</v>
      </c>
      <c r="C7331">
        <v>-9.5820000000000007</v>
      </c>
      <c r="D7331">
        <v>6.9909999999999997</v>
      </c>
      <c r="E7331">
        <f>-9.582-6.991</f>
        <v>-16.573</v>
      </c>
      <c r="F7331" t="s">
        <v>10915</v>
      </c>
      <c r="G7331" t="s">
        <v>39</v>
      </c>
      <c r="H7331">
        <v>1987</v>
      </c>
      <c r="I7331">
        <v>25</v>
      </c>
      <c r="J7331">
        <v>11.89029</v>
      </c>
      <c r="K7331">
        <v>77.902950000000004</v>
      </c>
      <c r="L7331">
        <v>7.5364990000000001</v>
      </c>
      <c r="M7331">
        <v>32.9</v>
      </c>
      <c r="N7331">
        <v>17.7</v>
      </c>
      <c r="O7331">
        <v>15.2</v>
      </c>
      <c r="P7331">
        <v>24.3</v>
      </c>
      <c r="Q7331">
        <v>25.2</v>
      </c>
      <c r="R7331">
        <v>25.5</v>
      </c>
      <c r="S7331">
        <v>23.8</v>
      </c>
      <c r="T7331">
        <v>2037.932</v>
      </c>
      <c r="U7331">
        <v>384.90289999999999</v>
      </c>
      <c r="V7331">
        <v>21</v>
      </c>
      <c r="W7331">
        <v>57</v>
      </c>
      <c r="X7331">
        <v>839.41769999999997</v>
      </c>
      <c r="Y7331">
        <v>122.80589999999999</v>
      </c>
      <c r="Z7331">
        <v>391.61180000000002</v>
      </c>
      <c r="AA7331">
        <v>821.51469999999995</v>
      </c>
      <c r="AB7331">
        <v>16.394110000000001</v>
      </c>
      <c r="AC7331">
        <v>2.3868469999999999E-2</v>
      </c>
      <c r="AD7331">
        <v>2.7808709999999999</v>
      </c>
      <c r="AE7331">
        <v>0.72704939999999996</v>
      </c>
      <c r="AF7331">
        <v>268.48180000000002</v>
      </c>
      <c r="AG7331">
        <f>IFERROR(AH7331*0.1, "N/A")</f>
        <v>5.7138650000000002</v>
      </c>
      <c r="AH7331">
        <v>57.138649999999998</v>
      </c>
      <c r="AI7331">
        <v>87.797479999999993</v>
      </c>
      <c r="AJ7331">
        <v>20.279029999999999</v>
      </c>
      <c r="AK7331">
        <v>64.218369999999993</v>
      </c>
    </row>
    <row r="7332" spans="1:37" x14ac:dyDescent="0.3">
      <c r="A7332">
        <v>7331</v>
      </c>
      <c r="B7332">
        <v>5.3</v>
      </c>
      <c r="C7332">
        <v>-9.5820000000000007</v>
      </c>
      <c r="D7332">
        <v>6.9909999999999997</v>
      </c>
      <c r="E7332">
        <f>-9.582-6.991</f>
        <v>-16.573</v>
      </c>
      <c r="F7332" t="s">
        <v>10916</v>
      </c>
      <c r="G7332" t="s">
        <v>37</v>
      </c>
      <c r="H7332">
        <v>1987</v>
      </c>
      <c r="I7332">
        <v>25</v>
      </c>
      <c r="J7332">
        <v>11.89029</v>
      </c>
      <c r="K7332">
        <v>77.902950000000004</v>
      </c>
      <c r="L7332">
        <v>7.5364990000000001</v>
      </c>
      <c r="M7332">
        <v>32.9</v>
      </c>
      <c r="N7332">
        <v>17.7</v>
      </c>
      <c r="O7332">
        <v>15.2</v>
      </c>
      <c r="P7332">
        <v>24.3</v>
      </c>
      <c r="Q7332">
        <v>25.2</v>
      </c>
      <c r="R7332">
        <v>25.5</v>
      </c>
      <c r="S7332">
        <v>23.8</v>
      </c>
      <c r="T7332">
        <v>2037.932</v>
      </c>
      <c r="U7332">
        <v>384.90289999999999</v>
      </c>
      <c r="V7332">
        <v>21</v>
      </c>
      <c r="W7332">
        <v>57</v>
      </c>
      <c r="X7332">
        <v>839.41769999999997</v>
      </c>
      <c r="Y7332">
        <v>122.80589999999999</v>
      </c>
      <c r="Z7332">
        <v>391.61180000000002</v>
      </c>
      <c r="AA7332">
        <v>821.51469999999995</v>
      </c>
      <c r="AB7332">
        <v>16.394110000000001</v>
      </c>
      <c r="AC7332">
        <v>2.3868469999999999E-2</v>
      </c>
      <c r="AD7332">
        <v>2.7808709999999999</v>
      </c>
      <c r="AE7332">
        <v>0.72704939999999996</v>
      </c>
      <c r="AF7332">
        <v>268.48180000000002</v>
      </c>
      <c r="AG7332">
        <f>IFERROR(AH7332*0.1, "N/A")</f>
        <v>5.7138650000000002</v>
      </c>
      <c r="AH7332">
        <v>57.138649999999998</v>
      </c>
      <c r="AI7332">
        <v>87.797479999999993</v>
      </c>
      <c r="AJ7332">
        <v>20.279029999999999</v>
      </c>
      <c r="AK7332">
        <v>64.218369999999993</v>
      </c>
    </row>
    <row r="7333" spans="1:37" x14ac:dyDescent="0.3">
      <c r="A7333">
        <v>7332</v>
      </c>
      <c r="B7333">
        <v>21.4</v>
      </c>
      <c r="C7333">
        <v>-9.4722200000000001</v>
      </c>
      <c r="D7333">
        <v>6.9955600000000002</v>
      </c>
      <c r="E7333">
        <f>-9.47222-6.99556</f>
        <v>-16.467780000000001</v>
      </c>
      <c r="F7333" t="s">
        <v>10917</v>
      </c>
      <c r="G7333" t="s">
        <v>39</v>
      </c>
      <c r="H7333">
        <v>1982</v>
      </c>
      <c r="I7333">
        <v>25</v>
      </c>
      <c r="J7333">
        <v>12.1</v>
      </c>
      <c r="K7333">
        <v>77</v>
      </c>
      <c r="L7333">
        <v>7.04</v>
      </c>
      <c r="M7333">
        <v>33.1</v>
      </c>
      <c r="N7333">
        <v>17.399999999999999</v>
      </c>
      <c r="O7333">
        <v>15.7</v>
      </c>
      <c r="P7333">
        <v>24.4</v>
      </c>
      <c r="Q7333">
        <v>25.1</v>
      </c>
      <c r="R7333">
        <v>25.4</v>
      </c>
      <c r="S7333">
        <v>23.9</v>
      </c>
      <c r="T7333">
        <v>2013</v>
      </c>
      <c r="U7333">
        <v>384</v>
      </c>
      <c r="V7333">
        <v>20</v>
      </c>
      <c r="W7333">
        <v>58</v>
      </c>
      <c r="X7333">
        <v>824</v>
      </c>
      <c r="Y7333">
        <v>119</v>
      </c>
      <c r="Z7333">
        <v>384</v>
      </c>
      <c r="AA7333">
        <v>809</v>
      </c>
      <c r="AB7333">
        <v>15.13491</v>
      </c>
      <c r="AC7333">
        <v>2.212447E-2</v>
      </c>
      <c r="AD7333">
        <v>3.4671289999999999</v>
      </c>
      <c r="AE7333">
        <v>0.86827659999999995</v>
      </c>
      <c r="AF7333">
        <v>252.76089999999999</v>
      </c>
      <c r="AG7333">
        <f>IFERROR(AH7333*0.1, "N/A")</f>
        <v>5.7821990000000003</v>
      </c>
      <c r="AH7333">
        <v>57.82199</v>
      </c>
      <c r="AI7333">
        <v>231.66659999999999</v>
      </c>
      <c r="AJ7333">
        <v>18.455500000000001</v>
      </c>
      <c r="AK7333">
        <v>64.554969999999997</v>
      </c>
    </row>
    <row r="7334" spans="1:37" x14ac:dyDescent="0.3">
      <c r="A7334">
        <v>7333</v>
      </c>
      <c r="B7334">
        <v>8.1999999999999993</v>
      </c>
      <c r="C7334">
        <v>-9.4722200000000001</v>
      </c>
      <c r="D7334">
        <v>6.9955600000000002</v>
      </c>
      <c r="E7334">
        <f>-9.47222-6.99556</f>
        <v>-16.467780000000001</v>
      </c>
      <c r="F7334" t="s">
        <v>10918</v>
      </c>
      <c r="G7334" t="s">
        <v>37</v>
      </c>
      <c r="H7334">
        <v>1982</v>
      </c>
      <c r="I7334">
        <v>25</v>
      </c>
      <c r="J7334">
        <v>12.1</v>
      </c>
      <c r="K7334">
        <v>77</v>
      </c>
      <c r="L7334">
        <v>7.04</v>
      </c>
      <c r="M7334">
        <v>33.1</v>
      </c>
      <c r="N7334">
        <v>17.399999999999999</v>
      </c>
      <c r="O7334">
        <v>15.7</v>
      </c>
      <c r="P7334">
        <v>24.4</v>
      </c>
      <c r="Q7334">
        <v>25.1</v>
      </c>
      <c r="R7334">
        <v>25.4</v>
      </c>
      <c r="S7334">
        <v>23.9</v>
      </c>
      <c r="T7334">
        <v>2013</v>
      </c>
      <c r="U7334">
        <v>384</v>
      </c>
      <c r="V7334">
        <v>20</v>
      </c>
      <c r="W7334">
        <v>58</v>
      </c>
      <c r="X7334">
        <v>824</v>
      </c>
      <c r="Y7334">
        <v>119</v>
      </c>
      <c r="Z7334">
        <v>384</v>
      </c>
      <c r="AA7334">
        <v>809</v>
      </c>
      <c r="AB7334">
        <v>15.13491</v>
      </c>
      <c r="AC7334">
        <v>2.212447E-2</v>
      </c>
      <c r="AD7334">
        <v>3.4671289999999999</v>
      </c>
      <c r="AE7334">
        <v>0.86827659999999995</v>
      </c>
      <c r="AF7334">
        <v>252.76089999999999</v>
      </c>
      <c r="AG7334">
        <f>IFERROR(AH7334*0.1, "N/A")</f>
        <v>5.7821990000000003</v>
      </c>
      <c r="AH7334">
        <v>57.82199</v>
      </c>
      <c r="AI7334">
        <v>231.66659999999999</v>
      </c>
      <c r="AJ7334">
        <v>18.455500000000001</v>
      </c>
      <c r="AK7334">
        <v>64.554969999999997</v>
      </c>
    </row>
    <row r="7335" spans="1:37" x14ac:dyDescent="0.3">
      <c r="A7335">
        <v>7334</v>
      </c>
      <c r="B7335">
        <v>44.4</v>
      </c>
      <c r="C7335">
        <v>-9.4722000000000008</v>
      </c>
      <c r="D7335">
        <v>6.9955999999999996</v>
      </c>
      <c r="E7335">
        <f>-9.4722-6.9956</f>
        <v>-16.4678</v>
      </c>
      <c r="F7335" t="s">
        <v>10919</v>
      </c>
      <c r="G7335" t="s">
        <v>39</v>
      </c>
      <c r="H7335">
        <v>1979</v>
      </c>
      <c r="I7335">
        <v>25</v>
      </c>
      <c r="J7335">
        <v>12.1</v>
      </c>
      <c r="K7335">
        <v>77</v>
      </c>
      <c r="L7335">
        <v>7.04</v>
      </c>
      <c r="M7335">
        <v>33.1</v>
      </c>
      <c r="N7335">
        <v>17.399999999999999</v>
      </c>
      <c r="O7335">
        <v>15.7</v>
      </c>
      <c r="P7335">
        <v>24.4</v>
      </c>
      <c r="Q7335">
        <v>25.1</v>
      </c>
      <c r="R7335">
        <v>25.4</v>
      </c>
      <c r="S7335">
        <v>23.9</v>
      </c>
      <c r="T7335">
        <v>2013</v>
      </c>
      <c r="U7335">
        <v>384</v>
      </c>
      <c r="V7335">
        <v>20</v>
      </c>
      <c r="W7335">
        <v>58</v>
      </c>
      <c r="X7335">
        <v>824</v>
      </c>
      <c r="Y7335">
        <v>119</v>
      </c>
      <c r="Z7335">
        <v>384</v>
      </c>
      <c r="AA7335">
        <v>809</v>
      </c>
      <c r="AB7335">
        <v>15.27061</v>
      </c>
      <c r="AC7335">
        <v>2.0704589999999998E-2</v>
      </c>
      <c r="AD7335">
        <v>3.4793099999999999</v>
      </c>
      <c r="AE7335">
        <v>0.86827659999999995</v>
      </c>
      <c r="AF7335">
        <v>253.03479999999999</v>
      </c>
      <c r="AG7335">
        <f>IFERROR(AH7335*0.1, "N/A")</f>
        <v>5.7848700000000006</v>
      </c>
      <c r="AH7335">
        <v>57.848700000000001</v>
      </c>
      <c r="AI7335">
        <v>229.88570000000001</v>
      </c>
      <c r="AJ7335">
        <v>18.526959999999999</v>
      </c>
      <c r="AK7335">
        <v>64.492170000000002</v>
      </c>
    </row>
    <row r="7336" spans="1:37" x14ac:dyDescent="0.3">
      <c r="A7336">
        <v>7335</v>
      </c>
      <c r="B7336">
        <v>70</v>
      </c>
      <c r="C7336">
        <v>-9.4722000000000008</v>
      </c>
      <c r="D7336">
        <v>6.9955999999999996</v>
      </c>
      <c r="E7336">
        <f>-9.4722-6.9956</f>
        <v>-16.4678</v>
      </c>
      <c r="F7336" t="s">
        <v>10920</v>
      </c>
      <c r="G7336" t="s">
        <v>37</v>
      </c>
      <c r="H7336">
        <v>1979</v>
      </c>
      <c r="I7336">
        <v>25</v>
      </c>
      <c r="J7336">
        <v>12.1</v>
      </c>
      <c r="K7336">
        <v>77</v>
      </c>
      <c r="L7336">
        <v>7.04</v>
      </c>
      <c r="M7336">
        <v>33.1</v>
      </c>
      <c r="N7336">
        <v>17.399999999999999</v>
      </c>
      <c r="O7336">
        <v>15.7</v>
      </c>
      <c r="P7336">
        <v>24.4</v>
      </c>
      <c r="Q7336">
        <v>25.1</v>
      </c>
      <c r="R7336">
        <v>25.4</v>
      </c>
      <c r="S7336">
        <v>23.9</v>
      </c>
      <c r="T7336">
        <v>2013</v>
      </c>
      <c r="U7336">
        <v>384</v>
      </c>
      <c r="V7336">
        <v>20</v>
      </c>
      <c r="W7336">
        <v>58</v>
      </c>
      <c r="X7336">
        <v>824</v>
      </c>
      <c r="Y7336">
        <v>119</v>
      </c>
      <c r="Z7336">
        <v>384</v>
      </c>
      <c r="AA7336">
        <v>809</v>
      </c>
      <c r="AB7336">
        <v>15.27061</v>
      </c>
      <c r="AC7336">
        <v>2.0704589999999998E-2</v>
      </c>
      <c r="AD7336">
        <v>3.4793099999999999</v>
      </c>
      <c r="AE7336">
        <v>0.86827659999999995</v>
      </c>
      <c r="AF7336">
        <v>253.03479999999999</v>
      </c>
      <c r="AG7336">
        <f>IFERROR(AH7336*0.1, "N/A")</f>
        <v>5.7848700000000006</v>
      </c>
      <c r="AH7336">
        <v>57.848700000000001</v>
      </c>
      <c r="AI7336">
        <v>229.88570000000001</v>
      </c>
      <c r="AJ7336">
        <v>18.526959999999999</v>
      </c>
      <c r="AK7336">
        <v>64.492170000000002</v>
      </c>
    </row>
    <row r="7337" spans="1:37" x14ac:dyDescent="0.3">
      <c r="A7337">
        <v>7336</v>
      </c>
      <c r="B7337">
        <v>38.5</v>
      </c>
      <c r="C7337">
        <v>-9.2872199999999996</v>
      </c>
      <c r="D7337">
        <v>6.9986100000000002</v>
      </c>
      <c r="E7337">
        <f>-9.28722-6.99861</f>
        <v>-16.285830000000001</v>
      </c>
      <c r="F7337" t="s">
        <v>10921</v>
      </c>
      <c r="G7337" t="s">
        <v>39</v>
      </c>
      <c r="H7337">
        <v>1983</v>
      </c>
      <c r="I7337">
        <v>25.1</v>
      </c>
      <c r="J7337">
        <v>12.7</v>
      </c>
      <c r="K7337">
        <v>76</v>
      </c>
      <c r="L7337">
        <v>6.32</v>
      </c>
      <c r="M7337">
        <v>33.700000000000003</v>
      </c>
      <c r="N7337">
        <v>17.2</v>
      </c>
      <c r="O7337">
        <v>16.5</v>
      </c>
      <c r="P7337">
        <v>24.7</v>
      </c>
      <c r="Q7337">
        <v>25.1</v>
      </c>
      <c r="R7337">
        <v>25.5</v>
      </c>
      <c r="S7337">
        <v>24.2</v>
      </c>
      <c r="T7337">
        <v>2030</v>
      </c>
      <c r="U7337">
        <v>389</v>
      </c>
      <c r="V7337">
        <v>19</v>
      </c>
      <c r="W7337">
        <v>58</v>
      </c>
      <c r="X7337">
        <v>830</v>
      </c>
      <c r="Y7337">
        <v>117</v>
      </c>
      <c r="Z7337">
        <v>386</v>
      </c>
      <c r="AA7337">
        <v>822</v>
      </c>
      <c r="AB7337">
        <v>4.7252960000000002</v>
      </c>
      <c r="AC7337">
        <v>1.069194E-2</v>
      </c>
      <c r="AD7337">
        <v>2.1581990000000002</v>
      </c>
      <c r="AE7337">
        <v>0.48931049999999998</v>
      </c>
      <c r="AF7337">
        <v>264.74520000000001</v>
      </c>
      <c r="AG7337">
        <f>IFERROR(AH7337*0.1, "N/A")</f>
        <v>5.5089010000000007</v>
      </c>
      <c r="AH7337">
        <v>55.089010000000002</v>
      </c>
      <c r="AI7337">
        <v>93.366230000000002</v>
      </c>
      <c r="AJ7337">
        <v>18.841190000000001</v>
      </c>
      <c r="AK7337">
        <v>61.910989999999998</v>
      </c>
    </row>
    <row r="7338" spans="1:37" x14ac:dyDescent="0.3">
      <c r="A7338">
        <v>7337</v>
      </c>
      <c r="B7338">
        <v>22.1</v>
      </c>
      <c r="C7338">
        <v>-9.2872199999999996</v>
      </c>
      <c r="D7338">
        <v>6.9986100000000002</v>
      </c>
      <c r="E7338">
        <f>-9.28722-6.99861</f>
        <v>-16.285830000000001</v>
      </c>
      <c r="F7338" t="s">
        <v>10922</v>
      </c>
      <c r="G7338" t="s">
        <v>37</v>
      </c>
      <c r="H7338">
        <v>1983</v>
      </c>
      <c r="I7338">
        <v>25.1</v>
      </c>
      <c r="J7338">
        <v>12.7</v>
      </c>
      <c r="K7338">
        <v>76</v>
      </c>
      <c r="L7338">
        <v>6.32</v>
      </c>
      <c r="M7338">
        <v>33.700000000000003</v>
      </c>
      <c r="N7338">
        <v>17.2</v>
      </c>
      <c r="O7338">
        <v>16.5</v>
      </c>
      <c r="P7338">
        <v>24.7</v>
      </c>
      <c r="Q7338">
        <v>25.1</v>
      </c>
      <c r="R7338">
        <v>25.5</v>
      </c>
      <c r="S7338">
        <v>24.2</v>
      </c>
      <c r="T7338">
        <v>2030</v>
      </c>
      <c r="U7338">
        <v>389</v>
      </c>
      <c r="V7338">
        <v>19</v>
      </c>
      <c r="W7338">
        <v>58</v>
      </c>
      <c r="X7338">
        <v>830</v>
      </c>
      <c r="Y7338">
        <v>117</v>
      </c>
      <c r="Z7338">
        <v>386</v>
      </c>
      <c r="AA7338">
        <v>822</v>
      </c>
      <c r="AB7338">
        <v>4.7252960000000002</v>
      </c>
      <c r="AC7338">
        <v>1.069194E-2</v>
      </c>
      <c r="AD7338">
        <v>2.1581990000000002</v>
      </c>
      <c r="AE7338">
        <v>0.48931049999999998</v>
      </c>
      <c r="AF7338">
        <v>264.74520000000001</v>
      </c>
      <c r="AG7338">
        <f>IFERROR(AH7338*0.1, "N/A")</f>
        <v>5.5089010000000007</v>
      </c>
      <c r="AH7338">
        <v>55.089010000000002</v>
      </c>
      <c r="AI7338">
        <v>93.366230000000002</v>
      </c>
      <c r="AJ7338">
        <v>18.841190000000001</v>
      </c>
      <c r="AK7338">
        <v>61.910989999999998</v>
      </c>
    </row>
    <row r="7339" spans="1:37" x14ac:dyDescent="0.3">
      <c r="A7339">
        <v>7338</v>
      </c>
      <c r="B7339">
        <v>7.8</v>
      </c>
      <c r="C7339">
        <v>-9.5630600000000001</v>
      </c>
      <c r="D7339">
        <v>7.0136099999999999</v>
      </c>
      <c r="E7339">
        <f>-9.56306-7.01361</f>
        <v>-16.57667</v>
      </c>
      <c r="F7339" t="s">
        <v>10923</v>
      </c>
      <c r="G7339" t="s">
        <v>39</v>
      </c>
      <c r="H7339">
        <v>1983</v>
      </c>
      <c r="I7339">
        <v>25</v>
      </c>
      <c r="J7339">
        <v>11.9</v>
      </c>
      <c r="K7339">
        <v>77</v>
      </c>
      <c r="L7339">
        <v>7.57</v>
      </c>
      <c r="M7339">
        <v>32.9</v>
      </c>
      <c r="N7339">
        <v>17.600000000000001</v>
      </c>
      <c r="O7339">
        <v>15.3</v>
      </c>
      <c r="P7339">
        <v>24.4</v>
      </c>
      <c r="Q7339">
        <v>25.2</v>
      </c>
      <c r="R7339">
        <v>25.6</v>
      </c>
      <c r="S7339">
        <v>23.8</v>
      </c>
      <c r="T7339">
        <v>2015</v>
      </c>
      <c r="U7339">
        <v>382</v>
      </c>
      <c r="V7339">
        <v>20</v>
      </c>
      <c r="W7339">
        <v>57</v>
      </c>
      <c r="X7339">
        <v>827</v>
      </c>
      <c r="Y7339">
        <v>120</v>
      </c>
      <c r="Z7339">
        <v>386</v>
      </c>
      <c r="AA7339">
        <v>810</v>
      </c>
      <c r="AB7339">
        <v>2.3396110000000001</v>
      </c>
      <c r="AC7339">
        <v>47.051780000000001</v>
      </c>
      <c r="AD7339">
        <v>2.5016919999999998</v>
      </c>
      <c r="AE7339">
        <v>0.7728505</v>
      </c>
      <c r="AF7339">
        <v>247.05410000000001</v>
      </c>
      <c r="AG7339">
        <f>IFERROR(AH7339*0.1, "N/A")</f>
        <v>5.1392670000000003</v>
      </c>
      <c r="AH7339">
        <v>51.392670000000003</v>
      </c>
      <c r="AI7339">
        <v>171.93279999999999</v>
      </c>
      <c r="AJ7339">
        <v>21.654450000000001</v>
      </c>
      <c r="AK7339">
        <v>61.246070000000003</v>
      </c>
    </row>
    <row r="7340" spans="1:37" x14ac:dyDescent="0.3">
      <c r="A7340">
        <v>7339</v>
      </c>
      <c r="B7340">
        <v>26.6</v>
      </c>
      <c r="C7340">
        <v>-9.5630600000000001</v>
      </c>
      <c r="D7340">
        <v>7.0136099999999999</v>
      </c>
      <c r="E7340">
        <f>-9.56306-7.01361</f>
        <v>-16.57667</v>
      </c>
      <c r="F7340" t="s">
        <v>10924</v>
      </c>
      <c r="G7340" t="s">
        <v>37</v>
      </c>
      <c r="H7340">
        <v>1983</v>
      </c>
      <c r="I7340">
        <v>25</v>
      </c>
      <c r="J7340">
        <v>11.9</v>
      </c>
      <c r="K7340">
        <v>77</v>
      </c>
      <c r="L7340">
        <v>7.57</v>
      </c>
      <c r="M7340">
        <v>32.9</v>
      </c>
      <c r="N7340">
        <v>17.600000000000001</v>
      </c>
      <c r="O7340">
        <v>15.3</v>
      </c>
      <c r="P7340">
        <v>24.4</v>
      </c>
      <c r="Q7340">
        <v>25.2</v>
      </c>
      <c r="R7340">
        <v>25.6</v>
      </c>
      <c r="S7340">
        <v>23.8</v>
      </c>
      <c r="T7340">
        <v>2015</v>
      </c>
      <c r="U7340">
        <v>382</v>
      </c>
      <c r="V7340">
        <v>20</v>
      </c>
      <c r="W7340">
        <v>57</v>
      </c>
      <c r="X7340">
        <v>827</v>
      </c>
      <c r="Y7340">
        <v>120</v>
      </c>
      <c r="Z7340">
        <v>386</v>
      </c>
      <c r="AA7340">
        <v>810</v>
      </c>
      <c r="AB7340">
        <v>2.3396110000000001</v>
      </c>
      <c r="AC7340">
        <v>47.051780000000001</v>
      </c>
      <c r="AD7340">
        <v>2.5016919999999998</v>
      </c>
      <c r="AE7340">
        <v>0.7728505</v>
      </c>
      <c r="AF7340">
        <v>247.05410000000001</v>
      </c>
      <c r="AG7340">
        <f>IFERROR(AH7340*0.1, "N/A")</f>
        <v>5.1392670000000003</v>
      </c>
      <c r="AH7340">
        <v>51.392670000000003</v>
      </c>
      <c r="AI7340">
        <v>171.93279999999999</v>
      </c>
      <c r="AJ7340">
        <v>21.654450000000001</v>
      </c>
      <c r="AK7340">
        <v>61.246070000000003</v>
      </c>
    </row>
    <row r="7341" spans="1:37" x14ac:dyDescent="0.3">
      <c r="A7341">
        <v>7340</v>
      </c>
      <c r="B7341">
        <v>0</v>
      </c>
      <c r="C7341">
        <v>-8.718</v>
      </c>
      <c r="D7341">
        <v>7.0149999999999997</v>
      </c>
      <c r="E7341">
        <f>-8.718-7.015</f>
        <v>-15.733000000000001</v>
      </c>
      <c r="F7341" t="s">
        <v>10925</v>
      </c>
      <c r="G7341" t="s">
        <v>39</v>
      </c>
      <c r="H7341">
        <v>1987</v>
      </c>
      <c r="I7341">
        <v>25.8</v>
      </c>
      <c r="J7341">
        <v>13.8</v>
      </c>
      <c r="K7341">
        <v>76</v>
      </c>
      <c r="L7341">
        <v>9.7899999999999991</v>
      </c>
      <c r="M7341">
        <v>34.700000000000003</v>
      </c>
      <c r="N7341">
        <v>16.600000000000001</v>
      </c>
      <c r="O7341">
        <v>18.100000000000001</v>
      </c>
      <c r="P7341">
        <v>24.4</v>
      </c>
      <c r="Q7341">
        <v>25.6</v>
      </c>
      <c r="R7341">
        <v>27</v>
      </c>
      <c r="S7341">
        <v>24.4</v>
      </c>
      <c r="T7341">
        <v>2082</v>
      </c>
      <c r="U7341">
        <v>399</v>
      </c>
      <c r="V7341">
        <v>14</v>
      </c>
      <c r="W7341">
        <v>62</v>
      </c>
      <c r="X7341">
        <v>872</v>
      </c>
      <c r="Y7341">
        <v>102</v>
      </c>
      <c r="Z7341">
        <v>490</v>
      </c>
      <c r="AA7341">
        <v>872</v>
      </c>
      <c r="AB7341">
        <v>23.972829999999998</v>
      </c>
      <c r="AC7341">
        <v>1.0791210000000001E-2</v>
      </c>
      <c r="AD7341">
        <v>5.1105970000000003</v>
      </c>
      <c r="AE7341">
        <v>0.43572060000000001</v>
      </c>
      <c r="AF7341">
        <v>283.35890000000001</v>
      </c>
      <c r="AG7341">
        <f>IFERROR(AH7341*0.1, "N/A")</f>
        <v>5.5</v>
      </c>
      <c r="AH7341">
        <v>55</v>
      </c>
      <c r="AI7341">
        <v>171.20570000000001</v>
      </c>
      <c r="AJ7341">
        <v>28</v>
      </c>
      <c r="AK7341">
        <v>53</v>
      </c>
    </row>
    <row r="7342" spans="1:37" x14ac:dyDescent="0.3">
      <c r="A7342">
        <v>7341</v>
      </c>
      <c r="B7342">
        <v>0</v>
      </c>
      <c r="C7342">
        <v>-10.166700000000001</v>
      </c>
      <c r="D7342">
        <v>7.0166700000000004</v>
      </c>
      <c r="E7342">
        <f>-10.1667-7.01667</f>
        <v>-17.18337</v>
      </c>
      <c r="F7342" t="s">
        <v>10926</v>
      </c>
      <c r="G7342" t="s">
        <v>39</v>
      </c>
      <c r="H7342">
        <v>1983</v>
      </c>
      <c r="I7342">
        <v>26.654260000000001</v>
      </c>
      <c r="J7342">
        <v>11</v>
      </c>
      <c r="K7342">
        <v>82</v>
      </c>
      <c r="L7342">
        <v>8.1976870000000002</v>
      </c>
      <c r="M7342">
        <v>33.700000000000003</v>
      </c>
      <c r="N7342">
        <v>20.349910000000001</v>
      </c>
      <c r="O7342">
        <v>13.35009</v>
      </c>
      <c r="P7342">
        <v>25.4</v>
      </c>
      <c r="Q7342">
        <v>26.995830000000002</v>
      </c>
      <c r="R7342">
        <v>27.304169999999999</v>
      </c>
      <c r="S7342">
        <v>25.4</v>
      </c>
      <c r="T7342">
        <v>2443.8890000000001</v>
      </c>
      <c r="U7342">
        <v>439.28699999999998</v>
      </c>
      <c r="V7342">
        <v>22.45739</v>
      </c>
      <c r="W7342">
        <v>60.913040000000002</v>
      </c>
      <c r="X7342">
        <v>1078.7719999999999</v>
      </c>
      <c r="Y7342">
        <v>142.0017</v>
      </c>
      <c r="Z7342">
        <v>465.00170000000003</v>
      </c>
      <c r="AA7342">
        <v>1078.7719999999999</v>
      </c>
      <c r="AB7342">
        <v>11.07912</v>
      </c>
      <c r="AC7342">
        <v>1.4387789999999999E-2</v>
      </c>
      <c r="AD7342">
        <v>3.7657470000000002</v>
      </c>
      <c r="AE7342">
        <v>0.20566380000000001</v>
      </c>
      <c r="AF7342">
        <v>170.167</v>
      </c>
      <c r="AG7342">
        <f>IFERROR(AH7342*0.1, "N/A")</f>
        <v>5.2286960000000002</v>
      </c>
      <c r="AH7342">
        <v>52.286960000000001</v>
      </c>
      <c r="AI7342">
        <v>133.4725</v>
      </c>
      <c r="AJ7342">
        <v>26.142610000000001</v>
      </c>
      <c r="AK7342">
        <v>54</v>
      </c>
    </row>
    <row r="7343" spans="1:37" x14ac:dyDescent="0.3">
      <c r="A7343">
        <v>7342</v>
      </c>
      <c r="B7343">
        <v>0</v>
      </c>
      <c r="C7343">
        <v>-10.166700000000001</v>
      </c>
      <c r="D7343">
        <v>7.0166700000000004</v>
      </c>
      <c r="E7343">
        <f>-10.1667-7.01667</f>
        <v>-17.18337</v>
      </c>
      <c r="F7343" t="s">
        <v>10927</v>
      </c>
      <c r="G7343" t="s">
        <v>37</v>
      </c>
      <c r="H7343">
        <v>1983</v>
      </c>
      <c r="I7343">
        <v>26.654260000000001</v>
      </c>
      <c r="J7343">
        <v>11</v>
      </c>
      <c r="K7343">
        <v>82</v>
      </c>
      <c r="L7343">
        <v>8.1976870000000002</v>
      </c>
      <c r="M7343">
        <v>33.700000000000003</v>
      </c>
      <c r="N7343">
        <v>20.349910000000001</v>
      </c>
      <c r="O7343">
        <v>13.35009</v>
      </c>
      <c r="P7343">
        <v>25.4</v>
      </c>
      <c r="Q7343">
        <v>26.995830000000002</v>
      </c>
      <c r="R7343">
        <v>27.304169999999999</v>
      </c>
      <c r="S7343">
        <v>25.4</v>
      </c>
      <c r="T7343">
        <v>2443.8890000000001</v>
      </c>
      <c r="U7343">
        <v>439.28699999999998</v>
      </c>
      <c r="V7343">
        <v>22.45739</v>
      </c>
      <c r="W7343">
        <v>60.913040000000002</v>
      </c>
      <c r="X7343">
        <v>1078.7719999999999</v>
      </c>
      <c r="Y7343">
        <v>142.0017</v>
      </c>
      <c r="Z7343">
        <v>465.00170000000003</v>
      </c>
      <c r="AA7343">
        <v>1078.7719999999999</v>
      </c>
      <c r="AB7343">
        <v>11.07912</v>
      </c>
      <c r="AC7343">
        <v>1.4387789999999999E-2</v>
      </c>
      <c r="AD7343">
        <v>3.7657470000000002</v>
      </c>
      <c r="AE7343">
        <v>0.20566380000000001</v>
      </c>
      <c r="AF7343">
        <v>170.167</v>
      </c>
      <c r="AG7343">
        <f>IFERROR(AH7343*0.1, "N/A")</f>
        <v>5.2286960000000002</v>
      </c>
      <c r="AH7343">
        <v>52.286960000000001</v>
      </c>
      <c r="AI7343">
        <v>133.4725</v>
      </c>
      <c r="AJ7343">
        <v>26.142610000000001</v>
      </c>
      <c r="AK7343">
        <v>54</v>
      </c>
    </row>
    <row r="7344" spans="1:37" x14ac:dyDescent="0.3">
      <c r="A7344">
        <v>7343</v>
      </c>
      <c r="B7344">
        <v>4.5999999999999996</v>
      </c>
      <c r="C7344">
        <v>-9.5670000000000002</v>
      </c>
      <c r="D7344">
        <v>7.0179999999999998</v>
      </c>
      <c r="E7344">
        <f>-9.567-7.018</f>
        <v>-16.585000000000001</v>
      </c>
      <c r="F7344" t="s">
        <v>10928</v>
      </c>
      <c r="G7344" t="s">
        <v>39</v>
      </c>
      <c r="H7344">
        <v>1987</v>
      </c>
      <c r="I7344">
        <v>25</v>
      </c>
      <c r="J7344">
        <v>11.9</v>
      </c>
      <c r="K7344">
        <v>77</v>
      </c>
      <c r="L7344">
        <v>7.6108539999999998</v>
      </c>
      <c r="M7344">
        <v>32.9</v>
      </c>
      <c r="N7344">
        <v>17.600000000000001</v>
      </c>
      <c r="O7344">
        <v>15.3</v>
      </c>
      <c r="P7344">
        <v>24.4</v>
      </c>
      <c r="Q7344">
        <v>25.2</v>
      </c>
      <c r="R7344">
        <v>25.6</v>
      </c>
      <c r="S7344">
        <v>23.8</v>
      </c>
      <c r="T7344">
        <v>2016.8820000000001</v>
      </c>
      <c r="U7344">
        <v>382</v>
      </c>
      <c r="V7344">
        <v>20</v>
      </c>
      <c r="W7344">
        <v>57</v>
      </c>
      <c r="X7344">
        <v>828.44079999999997</v>
      </c>
      <c r="Y7344">
        <v>120</v>
      </c>
      <c r="Z7344">
        <v>386</v>
      </c>
      <c r="AA7344">
        <v>811.88149999999996</v>
      </c>
      <c r="AB7344">
        <v>0.58850239999999998</v>
      </c>
      <c r="AC7344">
        <v>44.152850000000001</v>
      </c>
      <c r="AD7344">
        <v>1.123402</v>
      </c>
      <c r="AE7344">
        <v>0.74970199999999998</v>
      </c>
      <c r="AF7344">
        <v>243.82749999999999</v>
      </c>
      <c r="AG7344">
        <f>IFERROR(AH7344*0.1, "N/A")</f>
        <v>5.5</v>
      </c>
      <c r="AH7344">
        <v>55</v>
      </c>
      <c r="AI7344">
        <v>188.267</v>
      </c>
      <c r="AJ7344">
        <v>20.369340000000001</v>
      </c>
      <c r="AK7344">
        <v>64.010450000000006</v>
      </c>
    </row>
    <row r="7345" spans="1:37" x14ac:dyDescent="0.3">
      <c r="A7345">
        <v>7344</v>
      </c>
      <c r="B7345">
        <v>0</v>
      </c>
      <c r="C7345">
        <v>-9.5670000000000002</v>
      </c>
      <c r="D7345">
        <v>7.0179999999999998</v>
      </c>
      <c r="E7345">
        <f>-9.567-7.018</f>
        <v>-16.585000000000001</v>
      </c>
      <c r="F7345" t="s">
        <v>10929</v>
      </c>
      <c r="G7345" t="s">
        <v>37</v>
      </c>
      <c r="H7345">
        <v>1987</v>
      </c>
      <c r="I7345">
        <v>25</v>
      </c>
      <c r="J7345">
        <v>11.9</v>
      </c>
      <c r="K7345">
        <v>77</v>
      </c>
      <c r="L7345">
        <v>7.6108539999999998</v>
      </c>
      <c r="M7345">
        <v>32.9</v>
      </c>
      <c r="N7345">
        <v>17.600000000000001</v>
      </c>
      <c r="O7345">
        <v>15.3</v>
      </c>
      <c r="P7345">
        <v>24.4</v>
      </c>
      <c r="Q7345">
        <v>25.2</v>
      </c>
      <c r="R7345">
        <v>25.6</v>
      </c>
      <c r="S7345">
        <v>23.8</v>
      </c>
      <c r="T7345">
        <v>2016.8820000000001</v>
      </c>
      <c r="U7345">
        <v>382</v>
      </c>
      <c r="V7345">
        <v>20</v>
      </c>
      <c r="W7345">
        <v>57</v>
      </c>
      <c r="X7345">
        <v>828.44079999999997</v>
      </c>
      <c r="Y7345">
        <v>120</v>
      </c>
      <c r="Z7345">
        <v>386</v>
      </c>
      <c r="AA7345">
        <v>811.88149999999996</v>
      </c>
      <c r="AB7345">
        <v>0.58850239999999998</v>
      </c>
      <c r="AC7345">
        <v>44.152850000000001</v>
      </c>
      <c r="AD7345">
        <v>1.123402</v>
      </c>
      <c r="AE7345">
        <v>0.74970199999999998</v>
      </c>
      <c r="AF7345">
        <v>243.82749999999999</v>
      </c>
      <c r="AG7345">
        <f>IFERROR(AH7345*0.1, "N/A")</f>
        <v>5.5</v>
      </c>
      <c r="AH7345">
        <v>55</v>
      </c>
      <c r="AI7345">
        <v>188.267</v>
      </c>
      <c r="AJ7345">
        <v>20.369340000000001</v>
      </c>
      <c r="AK7345">
        <v>64.010450000000006</v>
      </c>
    </row>
    <row r="7346" spans="1:37" x14ac:dyDescent="0.3">
      <c r="A7346">
        <v>7345</v>
      </c>
      <c r="B7346">
        <v>15.1</v>
      </c>
      <c r="C7346">
        <v>-9.5500000000000007</v>
      </c>
      <c r="D7346">
        <v>7.0333300000000003</v>
      </c>
      <c r="E7346">
        <f>-9.55-7.03333</f>
        <v>-16.58333</v>
      </c>
      <c r="F7346" t="s">
        <v>10930</v>
      </c>
      <c r="G7346" t="s">
        <v>39</v>
      </c>
      <c r="H7346">
        <v>1982</v>
      </c>
      <c r="I7346">
        <v>25</v>
      </c>
      <c r="J7346">
        <v>12</v>
      </c>
      <c r="K7346">
        <v>77</v>
      </c>
      <c r="L7346">
        <v>7.2805039999999996</v>
      </c>
      <c r="M7346">
        <v>33.085039999999999</v>
      </c>
      <c r="N7346">
        <v>17.64104</v>
      </c>
      <c r="O7346">
        <v>15.444000000000001</v>
      </c>
      <c r="P7346">
        <v>24.393910000000002</v>
      </c>
      <c r="Q7346">
        <v>25.2</v>
      </c>
      <c r="R7346">
        <v>25.5</v>
      </c>
      <c r="S7346">
        <v>23.9</v>
      </c>
      <c r="T7346">
        <v>2017.0260000000001</v>
      </c>
      <c r="U7346">
        <v>382</v>
      </c>
      <c r="V7346">
        <v>20</v>
      </c>
      <c r="W7346">
        <v>57</v>
      </c>
      <c r="X7346">
        <v>829.87649999999996</v>
      </c>
      <c r="Y7346">
        <v>120</v>
      </c>
      <c r="Z7346">
        <v>386.4991</v>
      </c>
      <c r="AA7346">
        <v>813.37739999999997</v>
      </c>
      <c r="AB7346">
        <v>3.7292149999999999</v>
      </c>
      <c r="AC7346">
        <v>0.1340288</v>
      </c>
      <c r="AD7346">
        <v>4.4012419999999999</v>
      </c>
      <c r="AE7346">
        <v>0.6852587</v>
      </c>
      <c r="AF7346">
        <v>250.03829999999999</v>
      </c>
      <c r="AG7346">
        <f>IFERROR(AH7346*0.1, "N/A")</f>
        <v>5.4351300000000009</v>
      </c>
      <c r="AH7346">
        <v>54.351300000000002</v>
      </c>
      <c r="AI7346">
        <v>140.06370000000001</v>
      </c>
      <c r="AJ7346">
        <v>19.648700000000002</v>
      </c>
      <c r="AK7346">
        <v>64.645219999999995</v>
      </c>
    </row>
    <row r="7347" spans="1:37" x14ac:dyDescent="0.3">
      <c r="A7347">
        <v>7346</v>
      </c>
      <c r="B7347">
        <v>5.2</v>
      </c>
      <c r="C7347">
        <v>-9.5500000000000007</v>
      </c>
      <c r="D7347">
        <v>7.0333300000000003</v>
      </c>
      <c r="E7347">
        <f>-9.55-7.03333</f>
        <v>-16.58333</v>
      </c>
      <c r="F7347" t="s">
        <v>10931</v>
      </c>
      <c r="G7347" t="s">
        <v>37</v>
      </c>
      <c r="H7347">
        <v>1982</v>
      </c>
      <c r="I7347">
        <v>25</v>
      </c>
      <c r="J7347">
        <v>12</v>
      </c>
      <c r="K7347">
        <v>77</v>
      </c>
      <c r="L7347">
        <v>7.2805039999999996</v>
      </c>
      <c r="M7347">
        <v>33.085039999999999</v>
      </c>
      <c r="N7347">
        <v>17.64104</v>
      </c>
      <c r="O7347">
        <v>15.444000000000001</v>
      </c>
      <c r="P7347">
        <v>24.393910000000002</v>
      </c>
      <c r="Q7347">
        <v>25.2</v>
      </c>
      <c r="R7347">
        <v>25.5</v>
      </c>
      <c r="S7347">
        <v>23.9</v>
      </c>
      <c r="T7347">
        <v>2017.0260000000001</v>
      </c>
      <c r="U7347">
        <v>382</v>
      </c>
      <c r="V7347">
        <v>20</v>
      </c>
      <c r="W7347">
        <v>57</v>
      </c>
      <c r="X7347">
        <v>829.87649999999996</v>
      </c>
      <c r="Y7347">
        <v>120</v>
      </c>
      <c r="Z7347">
        <v>386.4991</v>
      </c>
      <c r="AA7347">
        <v>813.37739999999997</v>
      </c>
      <c r="AB7347">
        <v>3.7292149999999999</v>
      </c>
      <c r="AC7347">
        <v>0.1340288</v>
      </c>
      <c r="AD7347">
        <v>4.4012419999999999</v>
      </c>
      <c r="AE7347">
        <v>0.6852587</v>
      </c>
      <c r="AF7347">
        <v>250.03829999999999</v>
      </c>
      <c r="AG7347">
        <f>IFERROR(AH7347*0.1, "N/A")</f>
        <v>5.4351300000000009</v>
      </c>
      <c r="AH7347">
        <v>54.351300000000002</v>
      </c>
      <c r="AI7347">
        <v>140.06370000000001</v>
      </c>
      <c r="AJ7347">
        <v>19.648700000000002</v>
      </c>
      <c r="AK7347">
        <v>64.645219999999995</v>
      </c>
    </row>
    <row r="7348" spans="1:37" x14ac:dyDescent="0.3">
      <c r="A7348">
        <v>7347</v>
      </c>
      <c r="B7348">
        <v>79.2</v>
      </c>
      <c r="C7348">
        <v>-9.5186100000000007</v>
      </c>
      <c r="D7348">
        <v>7.0436100000000001</v>
      </c>
      <c r="E7348">
        <f>-9.51861-7.04361</f>
        <v>-16.56222</v>
      </c>
      <c r="F7348" t="s">
        <v>10932</v>
      </c>
      <c r="G7348" t="s">
        <v>37</v>
      </c>
      <c r="H7348">
        <v>1980</v>
      </c>
      <c r="I7348">
        <v>24.9</v>
      </c>
      <c r="J7348">
        <v>12.1</v>
      </c>
      <c r="K7348">
        <v>77</v>
      </c>
      <c r="L7348">
        <v>7.22</v>
      </c>
      <c r="M7348">
        <v>33.1</v>
      </c>
      <c r="N7348">
        <v>17.399999999999999</v>
      </c>
      <c r="O7348">
        <v>15.7</v>
      </c>
      <c r="P7348">
        <v>24.4</v>
      </c>
      <c r="Q7348">
        <v>25.1</v>
      </c>
      <c r="R7348">
        <v>25.5</v>
      </c>
      <c r="S7348">
        <v>23.9</v>
      </c>
      <c r="T7348">
        <v>2018</v>
      </c>
      <c r="U7348">
        <v>383</v>
      </c>
      <c r="V7348">
        <v>20</v>
      </c>
      <c r="W7348">
        <v>57</v>
      </c>
      <c r="X7348">
        <v>832</v>
      </c>
      <c r="Y7348">
        <v>119</v>
      </c>
      <c r="Z7348">
        <v>385</v>
      </c>
      <c r="AA7348">
        <v>816</v>
      </c>
      <c r="AB7348">
        <v>18.73677</v>
      </c>
      <c r="AC7348">
        <v>8.4994059999999993E-3</v>
      </c>
      <c r="AD7348">
        <v>2.3705189999999998</v>
      </c>
      <c r="AE7348">
        <v>0.72029019999999999</v>
      </c>
      <c r="AF7348">
        <v>273.31360000000001</v>
      </c>
      <c r="AG7348">
        <f>IFERROR(AH7348*0.1, "N/A")</f>
        <v>5.4452959999999999</v>
      </c>
      <c r="AH7348">
        <v>54.452959999999997</v>
      </c>
      <c r="AI7348">
        <v>241.1867</v>
      </c>
      <c r="AJ7348">
        <v>20.547039999999999</v>
      </c>
      <c r="AK7348">
        <v>63.452959999999997</v>
      </c>
    </row>
    <row r="7349" spans="1:37" x14ac:dyDescent="0.3">
      <c r="A7349">
        <v>7348</v>
      </c>
      <c r="B7349">
        <v>50</v>
      </c>
      <c r="C7349">
        <v>-9.5186100000000007</v>
      </c>
      <c r="D7349">
        <v>7.0436100000000001</v>
      </c>
      <c r="E7349">
        <f>-9.51861-7.04361</f>
        <v>-16.56222</v>
      </c>
      <c r="F7349" t="s">
        <v>10933</v>
      </c>
      <c r="G7349" t="s">
        <v>39</v>
      </c>
      <c r="H7349">
        <v>1980</v>
      </c>
      <c r="I7349">
        <v>24.9</v>
      </c>
      <c r="J7349">
        <v>12.1</v>
      </c>
      <c r="K7349">
        <v>77</v>
      </c>
      <c r="L7349">
        <v>7.22</v>
      </c>
      <c r="M7349">
        <v>33.1</v>
      </c>
      <c r="N7349">
        <v>17.399999999999999</v>
      </c>
      <c r="O7349">
        <v>15.7</v>
      </c>
      <c r="P7349">
        <v>24.4</v>
      </c>
      <c r="Q7349">
        <v>25.1</v>
      </c>
      <c r="R7349">
        <v>25.5</v>
      </c>
      <c r="S7349">
        <v>23.9</v>
      </c>
      <c r="T7349">
        <v>2018</v>
      </c>
      <c r="U7349">
        <v>383</v>
      </c>
      <c r="V7349">
        <v>20</v>
      </c>
      <c r="W7349">
        <v>57</v>
      </c>
      <c r="X7349">
        <v>832</v>
      </c>
      <c r="Y7349">
        <v>119</v>
      </c>
      <c r="Z7349">
        <v>385</v>
      </c>
      <c r="AA7349">
        <v>816</v>
      </c>
      <c r="AB7349">
        <v>18.73677</v>
      </c>
      <c r="AC7349">
        <v>8.4994059999999993E-3</v>
      </c>
      <c r="AD7349">
        <v>2.3705189999999998</v>
      </c>
      <c r="AE7349">
        <v>0.72029019999999999</v>
      </c>
      <c r="AF7349">
        <v>273.31360000000001</v>
      </c>
      <c r="AG7349">
        <f>IFERROR(AH7349*0.1, "N/A")</f>
        <v>5.4452959999999999</v>
      </c>
      <c r="AH7349">
        <v>54.452959999999997</v>
      </c>
      <c r="AI7349">
        <v>241.1867</v>
      </c>
      <c r="AJ7349">
        <v>20.547039999999999</v>
      </c>
      <c r="AK7349">
        <v>63.452959999999997</v>
      </c>
    </row>
    <row r="7350" spans="1:37" x14ac:dyDescent="0.3">
      <c r="A7350">
        <v>7349</v>
      </c>
      <c r="B7350">
        <v>0</v>
      </c>
      <c r="C7350">
        <v>-9.8988399999999999</v>
      </c>
      <c r="D7350">
        <v>7.0481999999999996</v>
      </c>
      <c r="E7350">
        <f>-9.89884-7.0482</f>
        <v>-16.947040000000001</v>
      </c>
      <c r="F7350" t="s">
        <v>10934</v>
      </c>
      <c r="G7350" t="s">
        <v>37</v>
      </c>
      <c r="H7350">
        <v>1983</v>
      </c>
      <c r="I7350">
        <v>26.3</v>
      </c>
      <c r="J7350">
        <v>11.5</v>
      </c>
      <c r="K7350">
        <v>80</v>
      </c>
      <c r="L7350">
        <v>8.1999999999999993</v>
      </c>
      <c r="M7350">
        <v>33.700000000000003</v>
      </c>
      <c r="N7350">
        <v>19.5</v>
      </c>
      <c r="O7350">
        <v>14.2</v>
      </c>
      <c r="P7350">
        <v>25.6</v>
      </c>
      <c r="Q7350">
        <v>26.7</v>
      </c>
      <c r="R7350">
        <v>27</v>
      </c>
      <c r="S7350">
        <v>25</v>
      </c>
      <c r="T7350">
        <v>2198</v>
      </c>
      <c r="U7350">
        <v>399</v>
      </c>
      <c r="V7350">
        <v>21</v>
      </c>
      <c r="W7350">
        <v>58</v>
      </c>
      <c r="X7350">
        <v>931</v>
      </c>
      <c r="Y7350">
        <v>131</v>
      </c>
      <c r="Z7350">
        <v>424</v>
      </c>
      <c r="AA7350">
        <v>926</v>
      </c>
      <c r="AB7350">
        <v>15.92596</v>
      </c>
      <c r="AC7350">
        <v>9.5340279999999999E-3</v>
      </c>
      <c r="AD7350">
        <v>7.911594</v>
      </c>
      <c r="AE7350">
        <v>0.18477640000000001</v>
      </c>
      <c r="AF7350">
        <v>226.0453</v>
      </c>
      <c r="AG7350">
        <f>IFERROR(AH7350*0.1, "N/A")</f>
        <v>5.3000000000000007</v>
      </c>
      <c r="AH7350">
        <v>53</v>
      </c>
      <c r="AI7350">
        <v>163.83029999999999</v>
      </c>
      <c r="AJ7350">
        <v>22</v>
      </c>
      <c r="AK7350">
        <v>62</v>
      </c>
    </row>
    <row r="7351" spans="1:37" x14ac:dyDescent="0.3">
      <c r="A7351">
        <v>7350</v>
      </c>
      <c r="B7351">
        <v>35.799999999999997</v>
      </c>
      <c r="C7351">
        <v>-9.5583299999999998</v>
      </c>
      <c r="D7351">
        <v>7.0536099999999999</v>
      </c>
      <c r="E7351">
        <f>-9.55833-7.05361</f>
        <v>-16.611940000000001</v>
      </c>
      <c r="F7351" t="s">
        <v>10935</v>
      </c>
      <c r="G7351" t="s">
        <v>39</v>
      </c>
      <c r="H7351">
        <v>1983</v>
      </c>
      <c r="I7351">
        <v>25</v>
      </c>
      <c r="J7351">
        <v>12</v>
      </c>
      <c r="K7351">
        <v>77</v>
      </c>
      <c r="L7351">
        <v>7.5176309999999997</v>
      </c>
      <c r="M7351">
        <v>33.1</v>
      </c>
      <c r="N7351">
        <v>17.600000000000001</v>
      </c>
      <c r="O7351">
        <v>15.5</v>
      </c>
      <c r="P7351">
        <v>24.429089999999999</v>
      </c>
      <c r="Q7351">
        <v>25.3</v>
      </c>
      <c r="R7351">
        <v>25.629090000000001</v>
      </c>
      <c r="S7351">
        <v>23.929089999999999</v>
      </c>
      <c r="T7351">
        <v>2023.836</v>
      </c>
      <c r="U7351">
        <v>382</v>
      </c>
      <c r="V7351">
        <v>20</v>
      </c>
      <c r="W7351">
        <v>57</v>
      </c>
      <c r="X7351">
        <v>835.41809999999998</v>
      </c>
      <c r="Y7351">
        <v>120</v>
      </c>
      <c r="Z7351">
        <v>387</v>
      </c>
      <c r="AA7351">
        <v>819.12720000000002</v>
      </c>
      <c r="AB7351">
        <v>18.282579999999999</v>
      </c>
      <c r="AC7351">
        <v>8.4844480000000003E-3</v>
      </c>
      <c r="AD7351">
        <v>3.6433469999999999</v>
      </c>
      <c r="AE7351">
        <v>0.77219420000000005</v>
      </c>
      <c r="AF7351">
        <v>275.0958</v>
      </c>
      <c r="AG7351">
        <f>IFERROR(AH7351*0.1, "N/A")</f>
        <v>5.4552259999999997</v>
      </c>
      <c r="AH7351">
        <v>54.552259999999997</v>
      </c>
      <c r="AI7351">
        <v>227.86420000000001</v>
      </c>
      <c r="AJ7351">
        <v>20.134150000000002</v>
      </c>
      <c r="AK7351">
        <v>63</v>
      </c>
    </row>
    <row r="7352" spans="1:37" x14ac:dyDescent="0.3">
      <c r="A7352">
        <v>7351</v>
      </c>
      <c r="B7352">
        <v>52.8</v>
      </c>
      <c r="C7352">
        <v>-9.5583299999999998</v>
      </c>
      <c r="D7352">
        <v>7.0536099999999999</v>
      </c>
      <c r="E7352">
        <f>-9.55833-7.05361</f>
        <v>-16.611940000000001</v>
      </c>
      <c r="F7352" t="s">
        <v>10936</v>
      </c>
      <c r="G7352" t="s">
        <v>37</v>
      </c>
      <c r="H7352">
        <v>1983</v>
      </c>
      <c r="I7352">
        <v>25</v>
      </c>
      <c r="J7352">
        <v>12</v>
      </c>
      <c r="K7352">
        <v>77</v>
      </c>
      <c r="L7352">
        <v>7.5176309999999997</v>
      </c>
      <c r="M7352">
        <v>33.1</v>
      </c>
      <c r="N7352">
        <v>17.600000000000001</v>
      </c>
      <c r="O7352">
        <v>15.5</v>
      </c>
      <c r="P7352">
        <v>24.429089999999999</v>
      </c>
      <c r="Q7352">
        <v>25.3</v>
      </c>
      <c r="R7352">
        <v>25.629090000000001</v>
      </c>
      <c r="S7352">
        <v>23.929089999999999</v>
      </c>
      <c r="T7352">
        <v>2023.836</v>
      </c>
      <c r="U7352">
        <v>382</v>
      </c>
      <c r="V7352">
        <v>20</v>
      </c>
      <c r="W7352">
        <v>57</v>
      </c>
      <c r="X7352">
        <v>835.41809999999998</v>
      </c>
      <c r="Y7352">
        <v>120</v>
      </c>
      <c r="Z7352">
        <v>387</v>
      </c>
      <c r="AA7352">
        <v>819.12720000000002</v>
      </c>
      <c r="AB7352">
        <v>18.282579999999999</v>
      </c>
      <c r="AC7352">
        <v>8.4844480000000003E-3</v>
      </c>
      <c r="AD7352">
        <v>3.6433469999999999</v>
      </c>
      <c r="AE7352">
        <v>0.77219420000000005</v>
      </c>
      <c r="AF7352">
        <v>275.0958</v>
      </c>
      <c r="AG7352">
        <f>IFERROR(AH7352*0.1, "N/A")</f>
        <v>5.4552259999999997</v>
      </c>
      <c r="AH7352">
        <v>54.552259999999997</v>
      </c>
      <c r="AI7352">
        <v>227.86420000000001</v>
      </c>
      <c r="AJ7352">
        <v>20.134150000000002</v>
      </c>
      <c r="AK7352">
        <v>63</v>
      </c>
    </row>
    <row r="7353" spans="1:37" x14ac:dyDescent="0.3">
      <c r="A7353">
        <v>7352</v>
      </c>
      <c r="B7353">
        <v>64</v>
      </c>
      <c r="C7353">
        <v>-9.5869400000000002</v>
      </c>
      <c r="D7353">
        <v>7.0686099999999996</v>
      </c>
      <c r="E7353">
        <f>-9.58694-7.06861</f>
        <v>-16.655549999999998</v>
      </c>
      <c r="F7353" t="s">
        <v>10937</v>
      </c>
      <c r="G7353" t="s">
        <v>37</v>
      </c>
      <c r="H7353">
        <v>1985</v>
      </c>
      <c r="I7353">
        <v>25.1</v>
      </c>
      <c r="J7353">
        <v>12</v>
      </c>
      <c r="K7353">
        <v>77</v>
      </c>
      <c r="L7353">
        <v>7.38</v>
      </c>
      <c r="M7353">
        <v>33.200000000000003</v>
      </c>
      <c r="N7353">
        <v>17.7</v>
      </c>
      <c r="O7353">
        <v>15.5</v>
      </c>
      <c r="P7353">
        <v>24.5</v>
      </c>
      <c r="Q7353">
        <v>25.4</v>
      </c>
      <c r="R7353">
        <v>25.7</v>
      </c>
      <c r="S7353">
        <v>24</v>
      </c>
      <c r="T7353">
        <v>2037</v>
      </c>
      <c r="U7353">
        <v>383</v>
      </c>
      <c r="V7353">
        <v>20</v>
      </c>
      <c r="W7353">
        <v>57</v>
      </c>
      <c r="X7353">
        <v>844</v>
      </c>
      <c r="Y7353">
        <v>121</v>
      </c>
      <c r="Z7353">
        <v>390</v>
      </c>
      <c r="AA7353">
        <v>827</v>
      </c>
      <c r="AB7353">
        <v>17.334599999999998</v>
      </c>
      <c r="AC7353">
        <v>1.085975E-2</v>
      </c>
      <c r="AD7353">
        <v>3.26654</v>
      </c>
      <c r="AE7353">
        <v>0.24266799999999999</v>
      </c>
      <c r="AF7353">
        <v>277.47649999999999</v>
      </c>
      <c r="AG7353">
        <f>IFERROR(AH7353*0.1, "N/A")</f>
        <v>5.5038260000000001</v>
      </c>
      <c r="AH7353">
        <v>55.038260000000001</v>
      </c>
      <c r="AI7353">
        <v>143.4153</v>
      </c>
      <c r="AJ7353">
        <v>19.038260000000001</v>
      </c>
      <c r="AK7353">
        <v>63.020870000000002</v>
      </c>
    </row>
    <row r="7354" spans="1:37" x14ac:dyDescent="0.3">
      <c r="A7354">
        <v>7353</v>
      </c>
      <c r="B7354">
        <v>33</v>
      </c>
      <c r="C7354">
        <v>-9.5869400000000002</v>
      </c>
      <c r="D7354">
        <v>7.0686099999999996</v>
      </c>
      <c r="E7354">
        <f>-9.58694-7.06861</f>
        <v>-16.655549999999998</v>
      </c>
      <c r="F7354" t="s">
        <v>10938</v>
      </c>
      <c r="G7354" t="s">
        <v>39</v>
      </c>
      <c r="H7354">
        <v>1985</v>
      </c>
      <c r="I7354">
        <v>25.1</v>
      </c>
      <c r="J7354">
        <v>12</v>
      </c>
      <c r="K7354">
        <v>77</v>
      </c>
      <c r="L7354">
        <v>7.38</v>
      </c>
      <c r="M7354">
        <v>33.200000000000003</v>
      </c>
      <c r="N7354">
        <v>17.7</v>
      </c>
      <c r="O7354">
        <v>15.5</v>
      </c>
      <c r="P7354">
        <v>24.5</v>
      </c>
      <c r="Q7354">
        <v>25.4</v>
      </c>
      <c r="R7354">
        <v>25.7</v>
      </c>
      <c r="S7354">
        <v>24</v>
      </c>
      <c r="T7354">
        <v>2037</v>
      </c>
      <c r="U7354">
        <v>383</v>
      </c>
      <c r="V7354">
        <v>20</v>
      </c>
      <c r="W7354">
        <v>57</v>
      </c>
      <c r="X7354">
        <v>844</v>
      </c>
      <c r="Y7354">
        <v>121</v>
      </c>
      <c r="Z7354">
        <v>390</v>
      </c>
      <c r="AA7354">
        <v>827</v>
      </c>
      <c r="AB7354">
        <v>17.334599999999998</v>
      </c>
      <c r="AC7354">
        <v>1.085975E-2</v>
      </c>
      <c r="AD7354">
        <v>3.26654</v>
      </c>
      <c r="AE7354">
        <v>0.24266799999999999</v>
      </c>
      <c r="AF7354">
        <v>277.47649999999999</v>
      </c>
      <c r="AG7354">
        <f>IFERROR(AH7354*0.1, "N/A")</f>
        <v>5.5038260000000001</v>
      </c>
      <c r="AH7354">
        <v>55.038260000000001</v>
      </c>
      <c r="AI7354">
        <v>143.4153</v>
      </c>
      <c r="AJ7354">
        <v>19.038260000000001</v>
      </c>
      <c r="AK7354">
        <v>63.020870000000002</v>
      </c>
    </row>
    <row r="7355" spans="1:37" x14ac:dyDescent="0.3">
      <c r="A7355">
        <v>7354</v>
      </c>
      <c r="B7355">
        <v>6.1</v>
      </c>
      <c r="C7355">
        <v>-9.2230600000000003</v>
      </c>
      <c r="D7355">
        <v>7.0894399999999997</v>
      </c>
      <c r="E7355">
        <f>-9.22306-7.08944</f>
        <v>-16.3125</v>
      </c>
      <c r="F7355" t="s">
        <v>10939</v>
      </c>
      <c r="G7355" t="s">
        <v>39</v>
      </c>
      <c r="H7355">
        <v>1983</v>
      </c>
      <c r="I7355">
        <v>25.1</v>
      </c>
      <c r="J7355">
        <v>13.1</v>
      </c>
      <c r="K7355">
        <v>76</v>
      </c>
      <c r="L7355">
        <v>5.66</v>
      </c>
      <c r="M7355">
        <v>34.1</v>
      </c>
      <c r="N7355">
        <v>17</v>
      </c>
      <c r="O7355">
        <v>17.100000000000001</v>
      </c>
      <c r="P7355">
        <v>24.3</v>
      </c>
      <c r="Q7355">
        <v>25</v>
      </c>
      <c r="R7355">
        <v>25.5</v>
      </c>
      <c r="S7355">
        <v>24.3</v>
      </c>
      <c r="T7355">
        <v>2048</v>
      </c>
      <c r="U7355">
        <v>394</v>
      </c>
      <c r="V7355">
        <v>19</v>
      </c>
      <c r="W7355">
        <v>58</v>
      </c>
      <c r="X7355">
        <v>845</v>
      </c>
      <c r="Y7355">
        <v>118</v>
      </c>
      <c r="Z7355">
        <v>386</v>
      </c>
      <c r="AA7355">
        <v>845</v>
      </c>
      <c r="AB7355">
        <v>26.022570000000002</v>
      </c>
      <c r="AC7355">
        <v>8.4838029999999998E-3</v>
      </c>
      <c r="AD7355">
        <v>4.3947599999999998</v>
      </c>
      <c r="AE7355">
        <v>0.56718270000000004</v>
      </c>
      <c r="AF7355">
        <v>288.07990000000001</v>
      </c>
      <c r="AG7355">
        <f>IFERROR(AH7355*0.1, "N/A")</f>
        <v>5.8000000000000007</v>
      </c>
      <c r="AH7355">
        <v>58</v>
      </c>
      <c r="AI7355">
        <v>296.1583</v>
      </c>
      <c r="AJ7355">
        <v>22.456600000000002</v>
      </c>
      <c r="AK7355">
        <v>58</v>
      </c>
    </row>
    <row r="7356" spans="1:37" x14ac:dyDescent="0.3">
      <c r="A7356">
        <v>7355</v>
      </c>
      <c r="B7356">
        <v>23.3</v>
      </c>
      <c r="C7356">
        <v>-9.2230600000000003</v>
      </c>
      <c r="D7356">
        <v>7.0894399999999997</v>
      </c>
      <c r="E7356">
        <f>-9.22306-7.08944</f>
        <v>-16.3125</v>
      </c>
      <c r="F7356" t="s">
        <v>10940</v>
      </c>
      <c r="G7356" t="s">
        <v>37</v>
      </c>
      <c r="H7356">
        <v>1983</v>
      </c>
      <c r="I7356">
        <v>25.1</v>
      </c>
      <c r="J7356">
        <v>13.1</v>
      </c>
      <c r="K7356">
        <v>76</v>
      </c>
      <c r="L7356">
        <v>5.66</v>
      </c>
      <c r="M7356">
        <v>34.1</v>
      </c>
      <c r="N7356">
        <v>17</v>
      </c>
      <c r="O7356">
        <v>17.100000000000001</v>
      </c>
      <c r="P7356">
        <v>24.3</v>
      </c>
      <c r="Q7356">
        <v>25</v>
      </c>
      <c r="R7356">
        <v>25.5</v>
      </c>
      <c r="S7356">
        <v>24.3</v>
      </c>
      <c r="T7356">
        <v>2048</v>
      </c>
      <c r="U7356">
        <v>394</v>
      </c>
      <c r="V7356">
        <v>19</v>
      </c>
      <c r="W7356">
        <v>58</v>
      </c>
      <c r="X7356">
        <v>845</v>
      </c>
      <c r="Y7356">
        <v>118</v>
      </c>
      <c r="Z7356">
        <v>386</v>
      </c>
      <c r="AA7356">
        <v>845</v>
      </c>
      <c r="AB7356">
        <v>26.022570000000002</v>
      </c>
      <c r="AC7356">
        <v>8.4838029999999998E-3</v>
      </c>
      <c r="AD7356">
        <v>4.3947599999999998</v>
      </c>
      <c r="AE7356">
        <v>0.56718270000000004</v>
      </c>
      <c r="AF7356">
        <v>288.07990000000001</v>
      </c>
      <c r="AG7356">
        <f>IFERROR(AH7356*0.1, "N/A")</f>
        <v>5.8000000000000007</v>
      </c>
      <c r="AH7356">
        <v>58</v>
      </c>
      <c r="AI7356">
        <v>296.1583</v>
      </c>
      <c r="AJ7356">
        <v>22.456600000000002</v>
      </c>
      <c r="AK7356">
        <v>58</v>
      </c>
    </row>
    <row r="7357" spans="1:37" x14ac:dyDescent="0.3">
      <c r="A7357">
        <v>7356</v>
      </c>
      <c r="B7357">
        <v>0</v>
      </c>
      <c r="C7357">
        <v>-9.8823100000000004</v>
      </c>
      <c r="D7357">
        <v>7.0936599999999999</v>
      </c>
      <c r="E7357">
        <f>-9.88231-7.09366</f>
        <v>-16.97597</v>
      </c>
      <c r="F7357" t="s">
        <v>10941</v>
      </c>
      <c r="G7357" t="s">
        <v>39</v>
      </c>
      <c r="H7357">
        <v>1983</v>
      </c>
      <c r="I7357">
        <v>26.4</v>
      </c>
      <c r="J7357">
        <v>11.6</v>
      </c>
      <c r="K7357">
        <v>80</v>
      </c>
      <c r="L7357">
        <v>8.6</v>
      </c>
      <c r="M7357">
        <v>34</v>
      </c>
      <c r="N7357">
        <v>19.600000000000001</v>
      </c>
      <c r="O7357">
        <v>14.4</v>
      </c>
      <c r="P7357">
        <v>25.7</v>
      </c>
      <c r="Q7357">
        <v>26.8</v>
      </c>
      <c r="R7357">
        <v>27.2</v>
      </c>
      <c r="S7357">
        <v>25.2</v>
      </c>
      <c r="T7357">
        <v>2177</v>
      </c>
      <c r="U7357">
        <v>393</v>
      </c>
      <c r="V7357">
        <v>21</v>
      </c>
      <c r="W7357">
        <v>57</v>
      </c>
      <c r="X7357">
        <v>921</v>
      </c>
      <c r="Y7357">
        <v>129</v>
      </c>
      <c r="Z7357">
        <v>420</v>
      </c>
      <c r="AA7357">
        <v>914</v>
      </c>
      <c r="AB7357">
        <v>13.33009</v>
      </c>
      <c r="AC7357">
        <v>9.5460449999999995E-3</v>
      </c>
      <c r="AD7357">
        <v>2.7996859999999999</v>
      </c>
      <c r="AE7357">
        <v>0.15637400000000001</v>
      </c>
      <c r="AF7357">
        <v>222.6139</v>
      </c>
      <c r="AG7357">
        <f>IFERROR(AH7357*0.1, "N/A")</f>
        <v>5.2069570000000001</v>
      </c>
      <c r="AH7357">
        <v>52.069569999999999</v>
      </c>
      <c r="AI7357">
        <v>150.15369999999999</v>
      </c>
      <c r="AJ7357">
        <v>24</v>
      </c>
      <c r="AK7357">
        <v>56.2087</v>
      </c>
    </row>
    <row r="7358" spans="1:37" x14ac:dyDescent="0.3">
      <c r="A7358">
        <v>7357</v>
      </c>
      <c r="B7358">
        <v>6.5</v>
      </c>
      <c r="C7358">
        <v>-9.8823100000000004</v>
      </c>
      <c r="D7358">
        <v>7.0936599999999999</v>
      </c>
      <c r="E7358">
        <f>-9.88231-7.09366</f>
        <v>-16.97597</v>
      </c>
      <c r="F7358" t="s">
        <v>10942</v>
      </c>
      <c r="G7358" t="s">
        <v>37</v>
      </c>
      <c r="H7358">
        <v>1983</v>
      </c>
      <c r="I7358">
        <v>26.4</v>
      </c>
      <c r="J7358">
        <v>11.6</v>
      </c>
      <c r="K7358">
        <v>80</v>
      </c>
      <c r="L7358">
        <v>8.6</v>
      </c>
      <c r="M7358">
        <v>34</v>
      </c>
      <c r="N7358">
        <v>19.600000000000001</v>
      </c>
      <c r="O7358">
        <v>14.4</v>
      </c>
      <c r="P7358">
        <v>25.7</v>
      </c>
      <c r="Q7358">
        <v>26.8</v>
      </c>
      <c r="R7358">
        <v>27.2</v>
      </c>
      <c r="S7358">
        <v>25.2</v>
      </c>
      <c r="T7358">
        <v>2177</v>
      </c>
      <c r="U7358">
        <v>393</v>
      </c>
      <c r="V7358">
        <v>21</v>
      </c>
      <c r="W7358">
        <v>57</v>
      </c>
      <c r="X7358">
        <v>921</v>
      </c>
      <c r="Y7358">
        <v>129</v>
      </c>
      <c r="Z7358">
        <v>420</v>
      </c>
      <c r="AA7358">
        <v>914</v>
      </c>
      <c r="AB7358">
        <v>13.33009</v>
      </c>
      <c r="AC7358">
        <v>9.5460449999999995E-3</v>
      </c>
      <c r="AD7358">
        <v>2.7996859999999999</v>
      </c>
      <c r="AE7358">
        <v>0.15637400000000001</v>
      </c>
      <c r="AF7358">
        <v>222.6139</v>
      </c>
      <c r="AG7358">
        <f>IFERROR(AH7358*0.1, "N/A")</f>
        <v>5.2069570000000001</v>
      </c>
      <c r="AH7358">
        <v>52.069569999999999</v>
      </c>
      <c r="AI7358">
        <v>150.15369999999999</v>
      </c>
      <c r="AJ7358">
        <v>24</v>
      </c>
      <c r="AK7358">
        <v>56.2087</v>
      </c>
    </row>
    <row r="7359" spans="1:37" x14ac:dyDescent="0.3">
      <c r="A7359">
        <v>7358</v>
      </c>
      <c r="B7359">
        <v>30.9</v>
      </c>
      <c r="C7359">
        <v>-9.5630600000000001</v>
      </c>
      <c r="D7359">
        <v>7.1</v>
      </c>
      <c r="E7359">
        <f>-9.56306-7.1</f>
        <v>-16.663060000000002</v>
      </c>
      <c r="F7359" t="s">
        <v>10943</v>
      </c>
      <c r="G7359" t="s">
        <v>39</v>
      </c>
      <c r="H7359">
        <v>1983</v>
      </c>
      <c r="I7359">
        <v>25.044440000000002</v>
      </c>
      <c r="J7359">
        <v>12.227779999999999</v>
      </c>
      <c r="K7359">
        <v>77</v>
      </c>
      <c r="L7359">
        <v>7.34</v>
      </c>
      <c r="M7359">
        <v>33.299999999999997</v>
      </c>
      <c r="N7359">
        <v>17.572220000000002</v>
      </c>
      <c r="O7359">
        <v>15.727779999999999</v>
      </c>
      <c r="P7359">
        <v>24.47222</v>
      </c>
      <c r="Q7359">
        <v>25.344439999999999</v>
      </c>
      <c r="R7359">
        <v>25.644439999999999</v>
      </c>
      <c r="S7359">
        <v>23.97222</v>
      </c>
      <c r="T7359">
        <v>2045</v>
      </c>
      <c r="U7359">
        <v>384.38889999999998</v>
      </c>
      <c r="V7359">
        <v>20.27778</v>
      </c>
      <c r="W7359">
        <v>57</v>
      </c>
      <c r="X7359">
        <v>852.94439999999997</v>
      </c>
      <c r="Y7359">
        <v>121.83329999999999</v>
      </c>
      <c r="Z7359">
        <v>390.94439999999997</v>
      </c>
      <c r="AA7359">
        <v>835.66669999999999</v>
      </c>
      <c r="AB7359">
        <v>56.097929999999998</v>
      </c>
      <c r="AC7359">
        <v>1.7968749999999999E-2</v>
      </c>
      <c r="AD7359">
        <v>16.659549999999999</v>
      </c>
      <c r="AE7359">
        <v>0.20303360000000001</v>
      </c>
      <c r="AF7359">
        <v>334.35419999999999</v>
      </c>
      <c r="AG7359">
        <f>IFERROR(AH7359*0.1, "N/A")</f>
        <v>5.4048610000000004</v>
      </c>
      <c r="AH7359">
        <v>54.048609999999996</v>
      </c>
      <c r="AI7359">
        <v>204.42169999999999</v>
      </c>
      <c r="AJ7359">
        <v>24.935759999999998</v>
      </c>
      <c r="AK7359">
        <v>60.12847</v>
      </c>
    </row>
    <row r="7360" spans="1:37" x14ac:dyDescent="0.3">
      <c r="A7360">
        <v>7359</v>
      </c>
      <c r="B7360">
        <v>44</v>
      </c>
      <c r="C7360">
        <v>-9.5630600000000001</v>
      </c>
      <c r="D7360">
        <v>7.1</v>
      </c>
      <c r="E7360">
        <f>-9.56306-7.1</f>
        <v>-16.663060000000002</v>
      </c>
      <c r="F7360" t="s">
        <v>10944</v>
      </c>
      <c r="G7360" t="s">
        <v>37</v>
      </c>
      <c r="H7360">
        <v>1983</v>
      </c>
      <c r="I7360">
        <v>25.044440000000002</v>
      </c>
      <c r="J7360">
        <v>12.227779999999999</v>
      </c>
      <c r="K7360">
        <v>77</v>
      </c>
      <c r="L7360">
        <v>7.34</v>
      </c>
      <c r="M7360">
        <v>33.299999999999997</v>
      </c>
      <c r="N7360">
        <v>17.572220000000002</v>
      </c>
      <c r="O7360">
        <v>15.727779999999999</v>
      </c>
      <c r="P7360">
        <v>24.47222</v>
      </c>
      <c r="Q7360">
        <v>25.344439999999999</v>
      </c>
      <c r="R7360">
        <v>25.644439999999999</v>
      </c>
      <c r="S7360">
        <v>23.97222</v>
      </c>
      <c r="T7360">
        <v>2045</v>
      </c>
      <c r="U7360">
        <v>384.38889999999998</v>
      </c>
      <c r="V7360">
        <v>20.27778</v>
      </c>
      <c r="W7360">
        <v>57</v>
      </c>
      <c r="X7360">
        <v>852.94439999999997</v>
      </c>
      <c r="Y7360">
        <v>121.83329999999999</v>
      </c>
      <c r="Z7360">
        <v>390.94439999999997</v>
      </c>
      <c r="AA7360">
        <v>835.66669999999999</v>
      </c>
      <c r="AB7360">
        <v>56.097929999999998</v>
      </c>
      <c r="AC7360">
        <v>1.7968749999999999E-2</v>
      </c>
      <c r="AD7360">
        <v>16.659549999999999</v>
      </c>
      <c r="AE7360">
        <v>0.20303360000000001</v>
      </c>
      <c r="AF7360">
        <v>334.35419999999999</v>
      </c>
      <c r="AG7360">
        <f>IFERROR(AH7360*0.1, "N/A")</f>
        <v>5.4048610000000004</v>
      </c>
      <c r="AH7360">
        <v>54.048609999999996</v>
      </c>
      <c r="AI7360">
        <v>204.42169999999999</v>
      </c>
      <c r="AJ7360">
        <v>24.935759999999998</v>
      </c>
      <c r="AK7360">
        <v>60.12847</v>
      </c>
    </row>
    <row r="7361" spans="1:37" x14ac:dyDescent="0.3">
      <c r="A7361">
        <v>7360</v>
      </c>
      <c r="B7361">
        <v>26.6</v>
      </c>
      <c r="C7361">
        <v>-9.4566700000000008</v>
      </c>
      <c r="D7361">
        <v>7.1138899999999996</v>
      </c>
      <c r="E7361">
        <f>-9.45667-7.11389</f>
        <v>-16.57056</v>
      </c>
      <c r="F7361" t="s">
        <v>10945</v>
      </c>
      <c r="G7361" t="s">
        <v>39</v>
      </c>
      <c r="H7361">
        <v>1983</v>
      </c>
      <c r="I7361">
        <v>25</v>
      </c>
      <c r="J7361">
        <v>12.5</v>
      </c>
      <c r="K7361">
        <v>77</v>
      </c>
      <c r="L7361">
        <v>6.26</v>
      </c>
      <c r="M7361">
        <v>33.5</v>
      </c>
      <c r="N7361">
        <v>17.3</v>
      </c>
      <c r="O7361">
        <v>16.2</v>
      </c>
      <c r="P7361">
        <v>24.6</v>
      </c>
      <c r="Q7361">
        <v>25.1</v>
      </c>
      <c r="R7361">
        <v>25.5</v>
      </c>
      <c r="S7361">
        <v>24.1</v>
      </c>
      <c r="T7361">
        <v>2028</v>
      </c>
      <c r="U7361">
        <v>385</v>
      </c>
      <c r="V7361">
        <v>20</v>
      </c>
      <c r="W7361">
        <v>57</v>
      </c>
      <c r="X7361">
        <v>842</v>
      </c>
      <c r="Y7361">
        <v>119</v>
      </c>
      <c r="Z7361">
        <v>386</v>
      </c>
      <c r="AA7361">
        <v>830</v>
      </c>
      <c r="AB7361">
        <v>11.089869999999999</v>
      </c>
      <c r="AC7361">
        <v>9.9429489999999995E-2</v>
      </c>
      <c r="AD7361">
        <v>3.8545349999999998</v>
      </c>
      <c r="AE7361">
        <v>0.49620340000000002</v>
      </c>
      <c r="AF7361">
        <v>278.30540000000002</v>
      </c>
      <c r="AG7361">
        <f>IFERROR(AH7361*0.1, "N/A")</f>
        <v>5.4891800000000011</v>
      </c>
      <c r="AH7361">
        <v>54.891800000000003</v>
      </c>
      <c r="AI7361">
        <v>279.86360000000002</v>
      </c>
      <c r="AJ7361">
        <v>18.41536</v>
      </c>
      <c r="AK7361">
        <v>64.322860000000006</v>
      </c>
    </row>
    <row r="7362" spans="1:37" x14ac:dyDescent="0.3">
      <c r="A7362">
        <v>7361</v>
      </c>
      <c r="B7362">
        <v>44.9</v>
      </c>
      <c r="C7362">
        <v>-9.4566700000000008</v>
      </c>
      <c r="D7362">
        <v>7.1138899999999996</v>
      </c>
      <c r="E7362">
        <f>-9.45667-7.11389</f>
        <v>-16.57056</v>
      </c>
      <c r="F7362" t="s">
        <v>10946</v>
      </c>
      <c r="G7362" t="s">
        <v>37</v>
      </c>
      <c r="H7362">
        <v>1983</v>
      </c>
      <c r="I7362">
        <v>25</v>
      </c>
      <c r="J7362">
        <v>12.5</v>
      </c>
      <c r="K7362">
        <v>77</v>
      </c>
      <c r="L7362">
        <v>6.26</v>
      </c>
      <c r="M7362">
        <v>33.5</v>
      </c>
      <c r="N7362">
        <v>17.3</v>
      </c>
      <c r="O7362">
        <v>16.2</v>
      </c>
      <c r="P7362">
        <v>24.6</v>
      </c>
      <c r="Q7362">
        <v>25.1</v>
      </c>
      <c r="R7362">
        <v>25.5</v>
      </c>
      <c r="S7362">
        <v>24.1</v>
      </c>
      <c r="T7362">
        <v>2028</v>
      </c>
      <c r="U7362">
        <v>385</v>
      </c>
      <c r="V7362">
        <v>20</v>
      </c>
      <c r="W7362">
        <v>57</v>
      </c>
      <c r="X7362">
        <v>842</v>
      </c>
      <c r="Y7362">
        <v>119</v>
      </c>
      <c r="Z7362">
        <v>386</v>
      </c>
      <c r="AA7362">
        <v>830</v>
      </c>
      <c r="AB7362">
        <v>11.089869999999999</v>
      </c>
      <c r="AC7362">
        <v>9.9429489999999995E-2</v>
      </c>
      <c r="AD7362">
        <v>3.8545349999999998</v>
      </c>
      <c r="AE7362">
        <v>0.49620340000000002</v>
      </c>
      <c r="AF7362">
        <v>278.30540000000002</v>
      </c>
      <c r="AG7362">
        <f>IFERROR(AH7362*0.1, "N/A")</f>
        <v>5.4891800000000011</v>
      </c>
      <c r="AH7362">
        <v>54.891800000000003</v>
      </c>
      <c r="AI7362">
        <v>279.86360000000002</v>
      </c>
      <c r="AJ7362">
        <v>18.41536</v>
      </c>
      <c r="AK7362">
        <v>64.322860000000006</v>
      </c>
    </row>
    <row r="7363" spans="1:37" x14ac:dyDescent="0.3">
      <c r="A7363">
        <v>7362</v>
      </c>
      <c r="B7363">
        <v>0</v>
      </c>
      <c r="C7363">
        <v>-8.9190000000000005</v>
      </c>
      <c r="D7363">
        <v>7.1180000000000003</v>
      </c>
      <c r="E7363">
        <f>-8.919-7.118</f>
        <v>-16.036999999999999</v>
      </c>
      <c r="F7363" t="s">
        <v>10947</v>
      </c>
      <c r="G7363" t="s">
        <v>39</v>
      </c>
      <c r="H7363">
        <v>1987</v>
      </c>
      <c r="I7363">
        <v>25.6</v>
      </c>
      <c r="J7363">
        <v>13.8</v>
      </c>
      <c r="K7363">
        <v>76</v>
      </c>
      <c r="L7363">
        <v>6.12</v>
      </c>
      <c r="M7363">
        <v>34.9</v>
      </c>
      <c r="N7363">
        <v>16.8</v>
      </c>
      <c r="O7363">
        <v>18.100000000000001</v>
      </c>
      <c r="P7363">
        <v>24.8</v>
      </c>
      <c r="Q7363">
        <v>25.3</v>
      </c>
      <c r="R7363">
        <v>26.2</v>
      </c>
      <c r="S7363">
        <v>24.8</v>
      </c>
      <c r="T7363">
        <v>2091</v>
      </c>
      <c r="U7363">
        <v>405</v>
      </c>
      <c r="V7363">
        <v>16</v>
      </c>
      <c r="W7363">
        <v>60</v>
      </c>
      <c r="X7363">
        <v>887</v>
      </c>
      <c r="Y7363">
        <v>113</v>
      </c>
      <c r="Z7363">
        <v>494</v>
      </c>
      <c r="AA7363">
        <v>887</v>
      </c>
      <c r="AB7363">
        <v>15.775690000000001</v>
      </c>
      <c r="AC7363">
        <v>9.1755080000000006E-3</v>
      </c>
      <c r="AD7363">
        <v>2.561204</v>
      </c>
      <c r="AE7363">
        <v>0.59278379999999997</v>
      </c>
      <c r="AF7363">
        <v>254.98779999999999</v>
      </c>
      <c r="AG7363">
        <f>IFERROR(AH7363*0.1, "N/A")</f>
        <v>5.9296880000000005</v>
      </c>
      <c r="AH7363">
        <v>59.296880000000002</v>
      </c>
      <c r="AI7363">
        <v>114.893</v>
      </c>
      <c r="AJ7363">
        <v>21.703119999999998</v>
      </c>
      <c r="AK7363">
        <v>58.890619999999998</v>
      </c>
    </row>
    <row r="7364" spans="1:37" x14ac:dyDescent="0.3">
      <c r="A7364">
        <v>7363</v>
      </c>
      <c r="B7364">
        <v>1.2</v>
      </c>
      <c r="C7364">
        <v>-9.7802799999999994</v>
      </c>
      <c r="D7364">
        <v>7.1186100000000003</v>
      </c>
      <c r="E7364">
        <f>-9.78028-7.11861</f>
        <v>-16.898890000000002</v>
      </c>
      <c r="F7364" t="s">
        <v>10948</v>
      </c>
      <c r="G7364" t="s">
        <v>39</v>
      </c>
      <c r="H7364">
        <v>1983</v>
      </c>
      <c r="I7364">
        <v>26.1</v>
      </c>
      <c r="J7364">
        <v>11.8</v>
      </c>
      <c r="K7364">
        <v>79</v>
      </c>
      <c r="L7364">
        <v>8.14</v>
      </c>
      <c r="M7364">
        <v>33.799999999999997</v>
      </c>
      <c r="N7364">
        <v>18.899999999999999</v>
      </c>
      <c r="O7364">
        <v>14.9</v>
      </c>
      <c r="P7364">
        <v>25.4</v>
      </c>
      <c r="Q7364">
        <v>26.4</v>
      </c>
      <c r="R7364">
        <v>26.8</v>
      </c>
      <c r="S7364">
        <v>24.9</v>
      </c>
      <c r="T7364">
        <v>2110</v>
      </c>
      <c r="U7364">
        <v>384</v>
      </c>
      <c r="V7364">
        <v>20</v>
      </c>
      <c r="W7364">
        <v>57</v>
      </c>
      <c r="X7364">
        <v>885</v>
      </c>
      <c r="Y7364">
        <v>125</v>
      </c>
      <c r="Z7364">
        <v>407</v>
      </c>
      <c r="AA7364">
        <v>873</v>
      </c>
      <c r="AB7364">
        <v>18.389030000000002</v>
      </c>
      <c r="AC7364">
        <v>1.146868E-2</v>
      </c>
      <c r="AD7364">
        <v>4.287604</v>
      </c>
      <c r="AE7364">
        <v>0.33343739999999999</v>
      </c>
      <c r="AF7364">
        <v>226.48259999999999</v>
      </c>
      <c r="AG7364">
        <f>IFERROR(AH7364*0.1, "N/A")</f>
        <v>5.4740420000000007</v>
      </c>
      <c r="AH7364">
        <v>54.74042</v>
      </c>
      <c r="AI7364">
        <v>244.52330000000001</v>
      </c>
      <c r="AJ7364">
        <v>22.616720000000001</v>
      </c>
      <c r="AK7364">
        <v>59.19164</v>
      </c>
    </row>
    <row r="7365" spans="1:37" x14ac:dyDescent="0.3">
      <c r="A7365">
        <v>7364</v>
      </c>
      <c r="B7365">
        <v>2.2999999999999998</v>
      </c>
      <c r="C7365">
        <v>-9.7802799999999994</v>
      </c>
      <c r="D7365">
        <v>7.1186100000000003</v>
      </c>
      <c r="E7365">
        <f>-9.78028-7.11861</f>
        <v>-16.898890000000002</v>
      </c>
      <c r="F7365" t="s">
        <v>10949</v>
      </c>
      <c r="G7365" t="s">
        <v>37</v>
      </c>
      <c r="H7365">
        <v>1983</v>
      </c>
      <c r="I7365">
        <v>26.1</v>
      </c>
      <c r="J7365">
        <v>11.8</v>
      </c>
      <c r="K7365">
        <v>79</v>
      </c>
      <c r="L7365">
        <v>8.14</v>
      </c>
      <c r="M7365">
        <v>33.799999999999997</v>
      </c>
      <c r="N7365">
        <v>18.899999999999999</v>
      </c>
      <c r="O7365">
        <v>14.9</v>
      </c>
      <c r="P7365">
        <v>25.4</v>
      </c>
      <c r="Q7365">
        <v>26.4</v>
      </c>
      <c r="R7365">
        <v>26.8</v>
      </c>
      <c r="S7365">
        <v>24.9</v>
      </c>
      <c r="T7365">
        <v>2110</v>
      </c>
      <c r="U7365">
        <v>384</v>
      </c>
      <c r="V7365">
        <v>20</v>
      </c>
      <c r="W7365">
        <v>57</v>
      </c>
      <c r="X7365">
        <v>885</v>
      </c>
      <c r="Y7365">
        <v>125</v>
      </c>
      <c r="Z7365">
        <v>407</v>
      </c>
      <c r="AA7365">
        <v>873</v>
      </c>
      <c r="AB7365">
        <v>18.389030000000002</v>
      </c>
      <c r="AC7365">
        <v>1.146868E-2</v>
      </c>
      <c r="AD7365">
        <v>4.287604</v>
      </c>
      <c r="AE7365">
        <v>0.33343739999999999</v>
      </c>
      <c r="AF7365">
        <v>226.48259999999999</v>
      </c>
      <c r="AG7365">
        <f>IFERROR(AH7365*0.1, "N/A")</f>
        <v>5.4740420000000007</v>
      </c>
      <c r="AH7365">
        <v>54.74042</v>
      </c>
      <c r="AI7365">
        <v>244.52330000000001</v>
      </c>
      <c r="AJ7365">
        <v>22.616720000000001</v>
      </c>
      <c r="AK7365">
        <v>59.19164</v>
      </c>
    </row>
    <row r="7366" spans="1:37" x14ac:dyDescent="0.3">
      <c r="A7366">
        <v>7365</v>
      </c>
      <c r="B7366">
        <v>0</v>
      </c>
      <c r="C7366">
        <v>-8.4659999999999993</v>
      </c>
      <c r="D7366">
        <v>7.1260000000000003</v>
      </c>
      <c r="E7366">
        <f>-8.466-7.126</f>
        <v>-15.591999999999999</v>
      </c>
      <c r="F7366" t="s">
        <v>10950</v>
      </c>
      <c r="G7366" t="s">
        <v>39</v>
      </c>
      <c r="H7366">
        <v>1987</v>
      </c>
      <c r="I7366">
        <v>25.20487</v>
      </c>
      <c r="J7366">
        <v>13.5</v>
      </c>
      <c r="K7366">
        <v>76</v>
      </c>
      <c r="L7366">
        <v>8.7405740000000005</v>
      </c>
      <c r="M7366">
        <v>34.304870000000001</v>
      </c>
      <c r="N7366">
        <v>16.69304</v>
      </c>
      <c r="O7366">
        <v>17.611830000000001</v>
      </c>
      <c r="P7366">
        <v>24.00487</v>
      </c>
      <c r="Q7366">
        <v>25.2</v>
      </c>
      <c r="R7366">
        <v>26.293040000000001</v>
      </c>
      <c r="S7366">
        <v>24.00487</v>
      </c>
      <c r="T7366">
        <v>2047.278</v>
      </c>
      <c r="U7366">
        <v>385.11829999999998</v>
      </c>
      <c r="V7366">
        <v>16</v>
      </c>
      <c r="W7366">
        <v>64</v>
      </c>
      <c r="X7366">
        <v>926.06960000000004</v>
      </c>
      <c r="Y7366">
        <v>103.06959999999999</v>
      </c>
      <c r="Z7366">
        <v>436.13909999999998</v>
      </c>
      <c r="AA7366">
        <v>926.06960000000004</v>
      </c>
      <c r="AB7366">
        <v>16.760529999999999</v>
      </c>
      <c r="AC7366">
        <v>1.318944E-2</v>
      </c>
      <c r="AD7366">
        <v>4.4306999999999999</v>
      </c>
      <c r="AE7366">
        <v>0.34785690000000002</v>
      </c>
      <c r="AF7366">
        <v>334.10430000000002</v>
      </c>
      <c r="AG7366">
        <f>IFERROR(AH7366*0.1, "N/A")</f>
        <v>5.4048699999999998</v>
      </c>
      <c r="AH7366">
        <v>54.048699999999997</v>
      </c>
      <c r="AI7366">
        <v>93.47054</v>
      </c>
      <c r="AJ7366">
        <v>21.0487</v>
      </c>
      <c r="AK7366">
        <v>61.951300000000003</v>
      </c>
    </row>
    <row r="7367" spans="1:37" x14ac:dyDescent="0.3">
      <c r="A7367">
        <v>7366</v>
      </c>
      <c r="B7367">
        <v>41.5</v>
      </c>
      <c r="C7367">
        <v>-9.2288899999999998</v>
      </c>
      <c r="D7367">
        <v>7.1269400000000003</v>
      </c>
      <c r="E7367">
        <f>-9.22889-7.12694</f>
        <v>-16.355830000000001</v>
      </c>
      <c r="F7367" t="s">
        <v>10951</v>
      </c>
      <c r="G7367" t="s">
        <v>39</v>
      </c>
      <c r="H7367">
        <v>1983</v>
      </c>
      <c r="I7367">
        <v>25.1</v>
      </c>
      <c r="J7367">
        <v>13.2</v>
      </c>
      <c r="K7367">
        <v>76</v>
      </c>
      <c r="L7367">
        <v>5.93</v>
      </c>
      <c r="M7367">
        <v>34.200000000000003</v>
      </c>
      <c r="N7367">
        <v>16.899999999999999</v>
      </c>
      <c r="O7367">
        <v>17.3</v>
      </c>
      <c r="P7367">
        <v>24.4</v>
      </c>
      <c r="Q7367">
        <v>25</v>
      </c>
      <c r="R7367">
        <v>25.6</v>
      </c>
      <c r="S7367">
        <v>24.4</v>
      </c>
      <c r="T7367">
        <v>2052</v>
      </c>
      <c r="U7367">
        <v>395</v>
      </c>
      <c r="V7367">
        <v>19</v>
      </c>
      <c r="W7367">
        <v>58</v>
      </c>
      <c r="X7367">
        <v>852</v>
      </c>
      <c r="Y7367">
        <v>118</v>
      </c>
      <c r="Z7367">
        <v>386</v>
      </c>
      <c r="AA7367">
        <v>852</v>
      </c>
      <c r="AB7367">
        <v>12.38416</v>
      </c>
      <c r="AC7367">
        <v>8.6601620000000008E-3</v>
      </c>
      <c r="AD7367">
        <v>1.33948</v>
      </c>
      <c r="AE7367">
        <v>0.70056859999999999</v>
      </c>
      <c r="AF7367">
        <v>290.25740000000002</v>
      </c>
      <c r="AG7367">
        <f>IFERROR(AH7367*0.1, "N/A")</f>
        <v>5.6474780000000004</v>
      </c>
      <c r="AH7367">
        <v>56.474780000000003</v>
      </c>
      <c r="AI7367">
        <v>158.43940000000001</v>
      </c>
      <c r="AJ7367">
        <v>22</v>
      </c>
      <c r="AK7367">
        <v>60</v>
      </c>
    </row>
    <row r="7368" spans="1:37" x14ac:dyDescent="0.3">
      <c r="A7368">
        <v>7367</v>
      </c>
      <c r="B7368">
        <v>17</v>
      </c>
      <c r="C7368">
        <v>-9.2288899999999998</v>
      </c>
      <c r="D7368">
        <v>7.1269400000000003</v>
      </c>
      <c r="E7368">
        <f>-9.22889-7.12694</f>
        <v>-16.355830000000001</v>
      </c>
      <c r="F7368" t="s">
        <v>10952</v>
      </c>
      <c r="G7368" t="s">
        <v>37</v>
      </c>
      <c r="H7368">
        <v>1983</v>
      </c>
      <c r="I7368">
        <v>25.1</v>
      </c>
      <c r="J7368">
        <v>13.2</v>
      </c>
      <c r="K7368">
        <v>76</v>
      </c>
      <c r="L7368">
        <v>5.93</v>
      </c>
      <c r="M7368">
        <v>34.200000000000003</v>
      </c>
      <c r="N7368">
        <v>16.899999999999999</v>
      </c>
      <c r="O7368">
        <v>17.3</v>
      </c>
      <c r="P7368">
        <v>24.4</v>
      </c>
      <c r="Q7368">
        <v>25</v>
      </c>
      <c r="R7368">
        <v>25.6</v>
      </c>
      <c r="S7368">
        <v>24.4</v>
      </c>
      <c r="T7368">
        <v>2052</v>
      </c>
      <c r="U7368">
        <v>395</v>
      </c>
      <c r="V7368">
        <v>19</v>
      </c>
      <c r="W7368">
        <v>58</v>
      </c>
      <c r="X7368">
        <v>852</v>
      </c>
      <c r="Y7368">
        <v>118</v>
      </c>
      <c r="Z7368">
        <v>386</v>
      </c>
      <c r="AA7368">
        <v>852</v>
      </c>
      <c r="AB7368">
        <v>12.38416</v>
      </c>
      <c r="AC7368">
        <v>8.6601620000000008E-3</v>
      </c>
      <c r="AD7368">
        <v>1.33948</v>
      </c>
      <c r="AE7368">
        <v>0.70056859999999999</v>
      </c>
      <c r="AF7368">
        <v>290.25740000000002</v>
      </c>
      <c r="AG7368">
        <f>IFERROR(AH7368*0.1, "N/A")</f>
        <v>5.6474780000000004</v>
      </c>
      <c r="AH7368">
        <v>56.474780000000003</v>
      </c>
      <c r="AI7368">
        <v>158.43940000000001</v>
      </c>
      <c r="AJ7368">
        <v>22</v>
      </c>
      <c r="AK7368">
        <v>60</v>
      </c>
    </row>
    <row r="7369" spans="1:37" x14ac:dyDescent="0.3">
      <c r="A7369">
        <v>7368</v>
      </c>
      <c r="B7369">
        <v>13.6</v>
      </c>
      <c r="C7369">
        <v>-8.8996099999999991</v>
      </c>
      <c r="D7369">
        <v>7.1309199999999997</v>
      </c>
      <c r="E7369">
        <f>-8.89961-7.13092</f>
        <v>-16.030529999999999</v>
      </c>
      <c r="F7369" t="s">
        <v>10953</v>
      </c>
      <c r="G7369" t="s">
        <v>39</v>
      </c>
      <c r="H7369">
        <v>1969</v>
      </c>
      <c r="I7369">
        <v>25.6</v>
      </c>
      <c r="J7369">
        <v>13.9</v>
      </c>
      <c r="K7369">
        <v>76</v>
      </c>
      <c r="L7369">
        <v>6.5560349999999996</v>
      </c>
      <c r="M7369">
        <v>34.9</v>
      </c>
      <c r="N7369">
        <v>16.7</v>
      </c>
      <c r="O7369">
        <v>18.2</v>
      </c>
      <c r="P7369">
        <v>24.8</v>
      </c>
      <c r="Q7369">
        <v>25.3</v>
      </c>
      <c r="R7369">
        <v>26.2</v>
      </c>
      <c r="S7369">
        <v>24.8</v>
      </c>
      <c r="T7369">
        <v>2101</v>
      </c>
      <c r="U7369">
        <v>407</v>
      </c>
      <c r="V7369">
        <v>16</v>
      </c>
      <c r="W7369">
        <v>60</v>
      </c>
      <c r="X7369">
        <v>895.50609999999995</v>
      </c>
      <c r="Y7369">
        <v>112.4939</v>
      </c>
      <c r="Z7369">
        <v>490.98779999999999</v>
      </c>
      <c r="AA7369">
        <v>895.50609999999995</v>
      </c>
      <c r="AB7369">
        <v>3.519828</v>
      </c>
      <c r="AC7369">
        <v>0.114426</v>
      </c>
      <c r="AD7369">
        <v>3.2702140000000002</v>
      </c>
      <c r="AE7369">
        <v>0.45563290000000001</v>
      </c>
      <c r="AF7369">
        <v>257.82429999999999</v>
      </c>
      <c r="AG7369">
        <f>IFERROR(AH7369*0.1, "N/A")</f>
        <v>5.8286960000000008</v>
      </c>
      <c r="AH7369">
        <v>58.286960000000001</v>
      </c>
      <c r="AI7369">
        <v>163.46889999999999</v>
      </c>
      <c r="AJ7369">
        <v>22.577390000000001</v>
      </c>
      <c r="AK7369">
        <v>60.027830000000002</v>
      </c>
    </row>
    <row r="7370" spans="1:37" x14ac:dyDescent="0.3">
      <c r="A7370">
        <v>7369</v>
      </c>
      <c r="B7370">
        <v>0.6</v>
      </c>
      <c r="C7370">
        <v>-8.8996099999999991</v>
      </c>
      <c r="D7370">
        <v>7.1309199999999997</v>
      </c>
      <c r="E7370">
        <f>-8.89961-7.13092</f>
        <v>-16.030529999999999</v>
      </c>
      <c r="F7370" t="s">
        <v>10954</v>
      </c>
      <c r="G7370" t="s">
        <v>37</v>
      </c>
      <c r="H7370">
        <v>1969</v>
      </c>
      <c r="I7370">
        <v>25.6</v>
      </c>
      <c r="J7370">
        <v>13.9</v>
      </c>
      <c r="K7370">
        <v>76</v>
      </c>
      <c r="L7370">
        <v>6.5560349999999996</v>
      </c>
      <c r="M7370">
        <v>34.9</v>
      </c>
      <c r="N7370">
        <v>16.7</v>
      </c>
      <c r="O7370">
        <v>18.2</v>
      </c>
      <c r="P7370">
        <v>24.8</v>
      </c>
      <c r="Q7370">
        <v>25.3</v>
      </c>
      <c r="R7370">
        <v>26.2</v>
      </c>
      <c r="S7370">
        <v>24.8</v>
      </c>
      <c r="T7370">
        <v>2101</v>
      </c>
      <c r="U7370">
        <v>407</v>
      </c>
      <c r="V7370">
        <v>16</v>
      </c>
      <c r="W7370">
        <v>60</v>
      </c>
      <c r="X7370">
        <v>895.50609999999995</v>
      </c>
      <c r="Y7370">
        <v>112.4939</v>
      </c>
      <c r="Z7370">
        <v>490.98779999999999</v>
      </c>
      <c r="AA7370">
        <v>895.50609999999995</v>
      </c>
      <c r="AB7370">
        <v>3.519828</v>
      </c>
      <c r="AC7370">
        <v>0.114426</v>
      </c>
      <c r="AD7370">
        <v>3.2702140000000002</v>
      </c>
      <c r="AE7370">
        <v>0.45563290000000001</v>
      </c>
      <c r="AF7370">
        <v>257.82429999999999</v>
      </c>
      <c r="AG7370">
        <f>IFERROR(AH7370*0.1, "N/A")</f>
        <v>5.8286960000000008</v>
      </c>
      <c r="AH7370">
        <v>58.286960000000001</v>
      </c>
      <c r="AI7370">
        <v>163.46889999999999</v>
      </c>
      <c r="AJ7370">
        <v>22.577390000000001</v>
      </c>
      <c r="AK7370">
        <v>60.027830000000002</v>
      </c>
    </row>
    <row r="7371" spans="1:37" x14ac:dyDescent="0.3">
      <c r="A7371">
        <v>7370</v>
      </c>
      <c r="B7371">
        <v>0</v>
      </c>
      <c r="C7371">
        <v>-9.2105599999999992</v>
      </c>
      <c r="D7371">
        <v>7.1636100000000003</v>
      </c>
      <c r="E7371">
        <f>-9.21056-7.16361</f>
        <v>-16.374169999999999</v>
      </c>
      <c r="F7371" t="s">
        <v>10955</v>
      </c>
      <c r="G7371" t="s">
        <v>39</v>
      </c>
      <c r="H7371">
        <v>1983</v>
      </c>
      <c r="I7371">
        <v>25.2</v>
      </c>
      <c r="J7371">
        <v>13.3</v>
      </c>
      <c r="K7371">
        <v>76</v>
      </c>
      <c r="L7371">
        <v>5.84</v>
      </c>
      <c r="M7371">
        <v>34.299999999999997</v>
      </c>
      <c r="N7371">
        <v>16.8</v>
      </c>
      <c r="O7371">
        <v>17.5</v>
      </c>
      <c r="P7371">
        <v>24.4</v>
      </c>
      <c r="Q7371">
        <v>25.1</v>
      </c>
      <c r="R7371">
        <v>25.6</v>
      </c>
      <c r="S7371">
        <v>24.4</v>
      </c>
      <c r="T7371">
        <v>2056</v>
      </c>
      <c r="U7371">
        <v>396</v>
      </c>
      <c r="V7371">
        <v>19</v>
      </c>
      <c r="W7371">
        <v>58</v>
      </c>
      <c r="X7371">
        <v>861</v>
      </c>
      <c r="Y7371">
        <v>118</v>
      </c>
      <c r="Z7371">
        <v>384</v>
      </c>
      <c r="AA7371">
        <v>861</v>
      </c>
      <c r="AB7371">
        <v>7.4439029999999997</v>
      </c>
      <c r="AC7371">
        <v>9.3691279999999991E-3</v>
      </c>
      <c r="AD7371">
        <v>3.0524170000000002</v>
      </c>
      <c r="AE7371">
        <v>0.21599479999999999</v>
      </c>
      <c r="AF7371">
        <v>290.36239999999998</v>
      </c>
      <c r="AG7371">
        <f>IFERROR(AH7371*0.1, "N/A")</f>
        <v>5.3588850000000008</v>
      </c>
      <c r="AH7371">
        <v>53.588850000000001</v>
      </c>
      <c r="AI7371">
        <v>283.78129999999999</v>
      </c>
      <c r="AJ7371">
        <v>21.261320000000001</v>
      </c>
      <c r="AK7371">
        <v>62.254359999999998</v>
      </c>
    </row>
    <row r="7372" spans="1:37" x14ac:dyDescent="0.3">
      <c r="A7372">
        <v>7371</v>
      </c>
      <c r="B7372">
        <v>0</v>
      </c>
      <c r="C7372">
        <v>-9.2105599999999992</v>
      </c>
      <c r="D7372">
        <v>7.1636100000000003</v>
      </c>
      <c r="E7372">
        <f>-9.21056-7.16361</f>
        <v>-16.374169999999999</v>
      </c>
      <c r="F7372" t="s">
        <v>10956</v>
      </c>
      <c r="G7372" t="s">
        <v>37</v>
      </c>
      <c r="H7372">
        <v>1983</v>
      </c>
      <c r="I7372">
        <v>25.2</v>
      </c>
      <c r="J7372">
        <v>13.3</v>
      </c>
      <c r="K7372">
        <v>76</v>
      </c>
      <c r="L7372">
        <v>5.84</v>
      </c>
      <c r="M7372">
        <v>34.299999999999997</v>
      </c>
      <c r="N7372">
        <v>16.8</v>
      </c>
      <c r="O7372">
        <v>17.5</v>
      </c>
      <c r="P7372">
        <v>24.4</v>
      </c>
      <c r="Q7372">
        <v>25.1</v>
      </c>
      <c r="R7372">
        <v>25.6</v>
      </c>
      <c r="S7372">
        <v>24.4</v>
      </c>
      <c r="T7372">
        <v>2056</v>
      </c>
      <c r="U7372">
        <v>396</v>
      </c>
      <c r="V7372">
        <v>19</v>
      </c>
      <c r="W7372">
        <v>58</v>
      </c>
      <c r="X7372">
        <v>861</v>
      </c>
      <c r="Y7372">
        <v>118</v>
      </c>
      <c r="Z7372">
        <v>384</v>
      </c>
      <c r="AA7372">
        <v>861</v>
      </c>
      <c r="AB7372">
        <v>7.4439029999999997</v>
      </c>
      <c r="AC7372">
        <v>9.3691279999999991E-3</v>
      </c>
      <c r="AD7372">
        <v>3.0524170000000002</v>
      </c>
      <c r="AE7372">
        <v>0.21599479999999999</v>
      </c>
      <c r="AF7372">
        <v>290.36239999999998</v>
      </c>
      <c r="AG7372">
        <f>IFERROR(AH7372*0.1, "N/A")</f>
        <v>5.3588850000000008</v>
      </c>
      <c r="AH7372">
        <v>53.588850000000001</v>
      </c>
      <c r="AI7372">
        <v>283.78129999999999</v>
      </c>
      <c r="AJ7372">
        <v>21.261320000000001</v>
      </c>
      <c r="AK7372">
        <v>62.254359999999998</v>
      </c>
    </row>
    <row r="7373" spans="1:37" x14ac:dyDescent="0.3">
      <c r="A7373">
        <v>7372</v>
      </c>
      <c r="B7373">
        <v>0</v>
      </c>
      <c r="C7373">
        <v>-9.4378200000000003</v>
      </c>
      <c r="D7373">
        <v>7.2181699999999998</v>
      </c>
      <c r="E7373">
        <f>-9.43782-7.21817</f>
        <v>-16.655989999999999</v>
      </c>
      <c r="F7373" t="s">
        <v>10957</v>
      </c>
      <c r="G7373" t="s">
        <v>39</v>
      </c>
      <c r="H7373">
        <v>1983</v>
      </c>
      <c r="I7373">
        <v>24.9</v>
      </c>
      <c r="J7373">
        <v>12.9</v>
      </c>
      <c r="K7373">
        <v>77</v>
      </c>
      <c r="L7373">
        <v>6.14</v>
      </c>
      <c r="M7373">
        <v>33.700000000000003</v>
      </c>
      <c r="N7373">
        <v>17</v>
      </c>
      <c r="O7373">
        <v>16.7</v>
      </c>
      <c r="P7373">
        <v>24.5</v>
      </c>
      <c r="Q7373">
        <v>25</v>
      </c>
      <c r="R7373">
        <v>25.4</v>
      </c>
      <c r="S7373">
        <v>24</v>
      </c>
      <c r="T7373">
        <v>2072</v>
      </c>
      <c r="U7373">
        <v>391</v>
      </c>
      <c r="V7373">
        <v>20</v>
      </c>
      <c r="W7373">
        <v>58</v>
      </c>
      <c r="X7373">
        <v>881</v>
      </c>
      <c r="Y7373">
        <v>121</v>
      </c>
      <c r="Z7373">
        <v>392</v>
      </c>
      <c r="AA7373">
        <v>870</v>
      </c>
      <c r="AB7373">
        <v>27.371009999999998</v>
      </c>
      <c r="AC7373">
        <v>8.6728789999999997E-3</v>
      </c>
      <c r="AD7373">
        <v>4.3030619999999997</v>
      </c>
      <c r="AE7373">
        <v>0.2002324</v>
      </c>
      <c r="AF7373">
        <v>378.1771</v>
      </c>
      <c r="AG7373">
        <f>IFERROR(AH7373*0.1, "N/A")</f>
        <v>5.3444440000000002</v>
      </c>
      <c r="AH7373">
        <v>53.44444</v>
      </c>
      <c r="AI7373">
        <v>176.91399999999999</v>
      </c>
      <c r="AJ7373">
        <v>25.00694</v>
      </c>
      <c r="AK7373">
        <v>57.58681</v>
      </c>
    </row>
    <row r="7374" spans="1:37" x14ac:dyDescent="0.3">
      <c r="A7374">
        <v>7373</v>
      </c>
      <c r="B7374">
        <v>36.4</v>
      </c>
      <c r="C7374">
        <v>-9.4378200000000003</v>
      </c>
      <c r="D7374">
        <v>7.2181699999999998</v>
      </c>
      <c r="E7374">
        <f>-9.43782-7.21817</f>
        <v>-16.655989999999999</v>
      </c>
      <c r="F7374" t="s">
        <v>10958</v>
      </c>
      <c r="G7374" t="s">
        <v>37</v>
      </c>
      <c r="H7374">
        <v>1983</v>
      </c>
      <c r="I7374">
        <v>24.9</v>
      </c>
      <c r="J7374">
        <v>12.9</v>
      </c>
      <c r="K7374">
        <v>77</v>
      </c>
      <c r="L7374">
        <v>6.14</v>
      </c>
      <c r="M7374">
        <v>33.700000000000003</v>
      </c>
      <c r="N7374">
        <v>17</v>
      </c>
      <c r="O7374">
        <v>16.7</v>
      </c>
      <c r="P7374">
        <v>24.5</v>
      </c>
      <c r="Q7374">
        <v>25</v>
      </c>
      <c r="R7374">
        <v>25.4</v>
      </c>
      <c r="S7374">
        <v>24</v>
      </c>
      <c r="T7374">
        <v>2072</v>
      </c>
      <c r="U7374">
        <v>391</v>
      </c>
      <c r="V7374">
        <v>20</v>
      </c>
      <c r="W7374">
        <v>58</v>
      </c>
      <c r="X7374">
        <v>881</v>
      </c>
      <c r="Y7374">
        <v>121</v>
      </c>
      <c r="Z7374">
        <v>392</v>
      </c>
      <c r="AA7374">
        <v>870</v>
      </c>
      <c r="AB7374">
        <v>27.371009999999998</v>
      </c>
      <c r="AC7374">
        <v>8.6728789999999997E-3</v>
      </c>
      <c r="AD7374">
        <v>4.3030619999999997</v>
      </c>
      <c r="AE7374">
        <v>0.2002324</v>
      </c>
      <c r="AF7374">
        <v>378.1771</v>
      </c>
      <c r="AG7374">
        <f>IFERROR(AH7374*0.1, "N/A")</f>
        <v>5.3444440000000002</v>
      </c>
      <c r="AH7374">
        <v>53.44444</v>
      </c>
      <c r="AI7374">
        <v>176.91399999999999</v>
      </c>
      <c r="AJ7374">
        <v>25.00694</v>
      </c>
      <c r="AK7374">
        <v>57.58681</v>
      </c>
    </row>
    <row r="7375" spans="1:37" x14ac:dyDescent="0.3">
      <c r="A7375">
        <v>7374</v>
      </c>
      <c r="B7375">
        <v>0</v>
      </c>
      <c r="C7375">
        <v>-8.9844000000000008</v>
      </c>
      <c r="D7375">
        <v>7.2350000000000003</v>
      </c>
      <c r="E7375">
        <f>-8.9844-7.235</f>
        <v>-16.2194</v>
      </c>
      <c r="F7375" t="s">
        <v>10959</v>
      </c>
      <c r="G7375" t="s">
        <v>39</v>
      </c>
      <c r="H7375">
        <v>1987</v>
      </c>
      <c r="I7375">
        <v>25.3</v>
      </c>
      <c r="J7375">
        <v>13.9</v>
      </c>
      <c r="K7375">
        <v>73</v>
      </c>
      <c r="L7375">
        <v>5.71</v>
      </c>
      <c r="M7375">
        <v>34.9</v>
      </c>
      <c r="N7375">
        <v>16.100000000000001</v>
      </c>
      <c r="O7375">
        <v>18.8</v>
      </c>
      <c r="P7375">
        <v>24.8</v>
      </c>
      <c r="Q7375">
        <v>25</v>
      </c>
      <c r="R7375">
        <v>25.8</v>
      </c>
      <c r="S7375">
        <v>24.8</v>
      </c>
      <c r="T7375">
        <v>2105</v>
      </c>
      <c r="U7375">
        <v>408</v>
      </c>
      <c r="V7375">
        <v>17</v>
      </c>
      <c r="W7375">
        <v>60</v>
      </c>
      <c r="X7375">
        <v>913</v>
      </c>
      <c r="Y7375">
        <v>117</v>
      </c>
      <c r="Z7375">
        <v>758</v>
      </c>
      <c r="AA7375">
        <v>744</v>
      </c>
      <c r="AB7375">
        <v>8.5287050000000004</v>
      </c>
      <c r="AC7375">
        <v>9.3868279999999998E-2</v>
      </c>
      <c r="AD7375">
        <v>3.298394</v>
      </c>
      <c r="AE7375">
        <v>0.85199510000000001</v>
      </c>
      <c r="AF7375">
        <v>282.99650000000003</v>
      </c>
      <c r="AG7375">
        <f>IFERROR(AH7375*0.1, "N/A")</f>
        <v>5.8000000000000007</v>
      </c>
      <c r="AH7375">
        <v>58</v>
      </c>
      <c r="AI7375">
        <v>131.97479999999999</v>
      </c>
      <c r="AJ7375">
        <v>17</v>
      </c>
      <c r="AK7375">
        <v>62</v>
      </c>
    </row>
    <row r="7376" spans="1:37" x14ac:dyDescent="0.3">
      <c r="A7376">
        <v>7375</v>
      </c>
      <c r="B7376">
        <v>0</v>
      </c>
      <c r="C7376">
        <v>-8.9844000000000008</v>
      </c>
      <c r="D7376">
        <v>7.2350000000000003</v>
      </c>
      <c r="E7376">
        <f>-8.9844-7.235</f>
        <v>-16.2194</v>
      </c>
      <c r="F7376" t="s">
        <v>10960</v>
      </c>
      <c r="G7376" t="s">
        <v>37</v>
      </c>
      <c r="H7376">
        <v>1987</v>
      </c>
      <c r="I7376">
        <v>25.3</v>
      </c>
      <c r="J7376">
        <v>13.9</v>
      </c>
      <c r="K7376">
        <v>73</v>
      </c>
      <c r="L7376">
        <v>5.71</v>
      </c>
      <c r="M7376">
        <v>34.9</v>
      </c>
      <c r="N7376">
        <v>16.100000000000001</v>
      </c>
      <c r="O7376">
        <v>18.8</v>
      </c>
      <c r="P7376">
        <v>24.8</v>
      </c>
      <c r="Q7376">
        <v>25</v>
      </c>
      <c r="R7376">
        <v>25.8</v>
      </c>
      <c r="S7376">
        <v>24.8</v>
      </c>
      <c r="T7376">
        <v>2105</v>
      </c>
      <c r="U7376">
        <v>408</v>
      </c>
      <c r="V7376">
        <v>17</v>
      </c>
      <c r="W7376">
        <v>60</v>
      </c>
      <c r="X7376">
        <v>913</v>
      </c>
      <c r="Y7376">
        <v>117</v>
      </c>
      <c r="Z7376">
        <v>758</v>
      </c>
      <c r="AA7376">
        <v>744</v>
      </c>
      <c r="AB7376">
        <v>8.5287050000000004</v>
      </c>
      <c r="AC7376">
        <v>9.3868279999999998E-2</v>
      </c>
      <c r="AD7376">
        <v>3.298394</v>
      </c>
      <c r="AE7376">
        <v>0.85199510000000001</v>
      </c>
      <c r="AF7376">
        <v>282.99650000000003</v>
      </c>
      <c r="AG7376">
        <f>IFERROR(AH7376*0.1, "N/A")</f>
        <v>5.8000000000000007</v>
      </c>
      <c r="AH7376">
        <v>58</v>
      </c>
      <c r="AI7376">
        <v>131.97479999999999</v>
      </c>
      <c r="AJ7376">
        <v>17</v>
      </c>
      <c r="AK7376">
        <v>62</v>
      </c>
    </row>
    <row r="7377" spans="1:37" x14ac:dyDescent="0.3">
      <c r="A7377">
        <v>7376</v>
      </c>
      <c r="B7377">
        <v>20</v>
      </c>
      <c r="C7377">
        <v>-9.38917</v>
      </c>
      <c r="D7377">
        <v>7.2438900000000004</v>
      </c>
      <c r="E7377">
        <f>-9.38917-7.24389</f>
        <v>-16.63306</v>
      </c>
      <c r="F7377" t="s">
        <v>10961</v>
      </c>
      <c r="G7377" t="s">
        <v>39</v>
      </c>
      <c r="H7377">
        <v>1983</v>
      </c>
      <c r="I7377">
        <v>24.9</v>
      </c>
      <c r="J7377">
        <v>13.1</v>
      </c>
      <c r="K7377">
        <v>76</v>
      </c>
      <c r="L7377">
        <v>5.99</v>
      </c>
      <c r="M7377">
        <v>33.9</v>
      </c>
      <c r="N7377">
        <v>16.8</v>
      </c>
      <c r="O7377">
        <v>17.100000000000001</v>
      </c>
      <c r="P7377">
        <v>24.5</v>
      </c>
      <c r="Q7377">
        <v>25</v>
      </c>
      <c r="R7377">
        <v>25.3</v>
      </c>
      <c r="S7377">
        <v>24</v>
      </c>
      <c r="T7377">
        <v>2074</v>
      </c>
      <c r="U7377">
        <v>393</v>
      </c>
      <c r="V7377">
        <v>20</v>
      </c>
      <c r="W7377">
        <v>58</v>
      </c>
      <c r="X7377">
        <v>883</v>
      </c>
      <c r="Y7377">
        <v>120</v>
      </c>
      <c r="Z7377">
        <v>394</v>
      </c>
      <c r="AA7377">
        <v>877</v>
      </c>
      <c r="AB7377">
        <v>17.15878</v>
      </c>
      <c r="AC7377">
        <v>2.210962E-2</v>
      </c>
      <c r="AD7377">
        <v>2.4131109999999998</v>
      </c>
      <c r="AE7377">
        <v>0.24484110000000001</v>
      </c>
      <c r="AF7377">
        <v>368.64519999999999</v>
      </c>
      <c r="AG7377">
        <f>IFERROR(AH7377*0.1, "N/A")</f>
        <v>5.7020870000000006</v>
      </c>
      <c r="AH7377">
        <v>57.020870000000002</v>
      </c>
      <c r="AI7377">
        <v>193.94829999999999</v>
      </c>
      <c r="AJ7377">
        <v>21.46435</v>
      </c>
      <c r="AK7377">
        <v>61</v>
      </c>
    </row>
    <row r="7378" spans="1:37" x14ac:dyDescent="0.3">
      <c r="A7378">
        <v>7377</v>
      </c>
      <c r="B7378">
        <v>8.5</v>
      </c>
      <c r="C7378">
        <v>-9.38917</v>
      </c>
      <c r="D7378">
        <v>7.2438900000000004</v>
      </c>
      <c r="E7378">
        <f>-9.38917-7.24389</f>
        <v>-16.63306</v>
      </c>
      <c r="F7378" t="s">
        <v>10962</v>
      </c>
      <c r="G7378" t="s">
        <v>37</v>
      </c>
      <c r="H7378">
        <v>1983</v>
      </c>
      <c r="I7378">
        <v>24.9</v>
      </c>
      <c r="J7378">
        <v>13.1</v>
      </c>
      <c r="K7378">
        <v>76</v>
      </c>
      <c r="L7378">
        <v>5.99</v>
      </c>
      <c r="M7378">
        <v>33.9</v>
      </c>
      <c r="N7378">
        <v>16.8</v>
      </c>
      <c r="O7378">
        <v>17.100000000000001</v>
      </c>
      <c r="P7378">
        <v>24.5</v>
      </c>
      <c r="Q7378">
        <v>25</v>
      </c>
      <c r="R7378">
        <v>25.3</v>
      </c>
      <c r="S7378">
        <v>24</v>
      </c>
      <c r="T7378">
        <v>2074</v>
      </c>
      <c r="U7378">
        <v>393</v>
      </c>
      <c r="V7378">
        <v>20</v>
      </c>
      <c r="W7378">
        <v>58</v>
      </c>
      <c r="X7378">
        <v>883</v>
      </c>
      <c r="Y7378">
        <v>120</v>
      </c>
      <c r="Z7378">
        <v>394</v>
      </c>
      <c r="AA7378">
        <v>877</v>
      </c>
      <c r="AB7378">
        <v>17.15878</v>
      </c>
      <c r="AC7378">
        <v>2.210962E-2</v>
      </c>
      <c r="AD7378">
        <v>2.4131109999999998</v>
      </c>
      <c r="AE7378">
        <v>0.24484110000000001</v>
      </c>
      <c r="AF7378">
        <v>368.64519999999999</v>
      </c>
      <c r="AG7378">
        <f>IFERROR(AH7378*0.1, "N/A")</f>
        <v>5.7020870000000006</v>
      </c>
      <c r="AH7378">
        <v>57.020870000000002</v>
      </c>
      <c r="AI7378">
        <v>193.94829999999999</v>
      </c>
      <c r="AJ7378">
        <v>21.46435</v>
      </c>
      <c r="AK7378">
        <v>61</v>
      </c>
    </row>
    <row r="7379" spans="1:37" x14ac:dyDescent="0.3">
      <c r="A7379">
        <v>7378</v>
      </c>
      <c r="B7379">
        <v>44.5</v>
      </c>
      <c r="C7379">
        <v>-9.4352800000000006</v>
      </c>
      <c r="D7379">
        <v>7.26</v>
      </c>
      <c r="E7379">
        <f>-9.43528-7.26</f>
        <v>-16.69528</v>
      </c>
      <c r="F7379" t="s">
        <v>10963</v>
      </c>
      <c r="G7379" t="s">
        <v>39</v>
      </c>
      <c r="H7379">
        <v>1983</v>
      </c>
      <c r="I7379">
        <v>24.9</v>
      </c>
      <c r="J7379">
        <v>13</v>
      </c>
      <c r="K7379">
        <v>76</v>
      </c>
      <c r="L7379">
        <v>6.1</v>
      </c>
      <c r="M7379">
        <v>33.799999999999997</v>
      </c>
      <c r="N7379">
        <v>16.899999999999999</v>
      </c>
      <c r="O7379">
        <v>16.899999999999999</v>
      </c>
      <c r="P7379">
        <v>24.6</v>
      </c>
      <c r="Q7379">
        <v>25.1</v>
      </c>
      <c r="R7379">
        <v>25.4</v>
      </c>
      <c r="S7379">
        <v>24.1</v>
      </c>
      <c r="T7379">
        <v>2079</v>
      </c>
      <c r="U7379">
        <v>392</v>
      </c>
      <c r="V7379">
        <v>20</v>
      </c>
      <c r="W7379">
        <v>58</v>
      </c>
      <c r="X7379">
        <v>889</v>
      </c>
      <c r="Y7379">
        <v>120</v>
      </c>
      <c r="Z7379">
        <v>393</v>
      </c>
      <c r="AA7379">
        <v>879</v>
      </c>
      <c r="AB7379">
        <v>14.55799</v>
      </c>
      <c r="AC7379">
        <v>9.3302200000000002E-2</v>
      </c>
      <c r="AD7379">
        <v>4.5355309999999998</v>
      </c>
      <c r="AE7379">
        <v>0.36673050000000001</v>
      </c>
      <c r="AF7379">
        <v>355.38850000000002</v>
      </c>
      <c r="AG7379">
        <f>IFERROR(AH7379*0.1, "N/A")</f>
        <v>5.3984319999999997</v>
      </c>
      <c r="AH7379">
        <v>53.984319999999997</v>
      </c>
      <c r="AI7379">
        <v>175.91290000000001</v>
      </c>
      <c r="AJ7379">
        <v>21.418119999999998</v>
      </c>
      <c r="AK7379">
        <v>60.581879999999998</v>
      </c>
    </row>
    <row r="7380" spans="1:37" x14ac:dyDescent="0.3">
      <c r="A7380">
        <v>7379</v>
      </c>
      <c r="B7380">
        <v>23</v>
      </c>
      <c r="C7380">
        <v>-9.4352800000000006</v>
      </c>
      <c r="D7380">
        <v>7.26</v>
      </c>
      <c r="E7380">
        <f>-9.43528-7.26</f>
        <v>-16.69528</v>
      </c>
      <c r="F7380" t="s">
        <v>10964</v>
      </c>
      <c r="G7380" t="s">
        <v>37</v>
      </c>
      <c r="H7380">
        <v>1983</v>
      </c>
      <c r="I7380">
        <v>24.9</v>
      </c>
      <c r="J7380">
        <v>13</v>
      </c>
      <c r="K7380">
        <v>76</v>
      </c>
      <c r="L7380">
        <v>6.1</v>
      </c>
      <c r="M7380">
        <v>33.799999999999997</v>
      </c>
      <c r="N7380">
        <v>16.899999999999999</v>
      </c>
      <c r="O7380">
        <v>16.899999999999999</v>
      </c>
      <c r="P7380">
        <v>24.6</v>
      </c>
      <c r="Q7380">
        <v>25.1</v>
      </c>
      <c r="R7380">
        <v>25.4</v>
      </c>
      <c r="S7380">
        <v>24.1</v>
      </c>
      <c r="T7380">
        <v>2079</v>
      </c>
      <c r="U7380">
        <v>392</v>
      </c>
      <c r="V7380">
        <v>20</v>
      </c>
      <c r="W7380">
        <v>58</v>
      </c>
      <c r="X7380">
        <v>889</v>
      </c>
      <c r="Y7380">
        <v>120</v>
      </c>
      <c r="Z7380">
        <v>393</v>
      </c>
      <c r="AA7380">
        <v>879</v>
      </c>
      <c r="AB7380">
        <v>14.55799</v>
      </c>
      <c r="AC7380">
        <v>9.3302200000000002E-2</v>
      </c>
      <c r="AD7380">
        <v>4.5355309999999998</v>
      </c>
      <c r="AE7380">
        <v>0.36673050000000001</v>
      </c>
      <c r="AF7380">
        <v>355.38850000000002</v>
      </c>
      <c r="AG7380">
        <f>IFERROR(AH7380*0.1, "N/A")</f>
        <v>5.3984319999999997</v>
      </c>
      <c r="AH7380">
        <v>53.984319999999997</v>
      </c>
      <c r="AI7380">
        <v>175.91290000000001</v>
      </c>
      <c r="AJ7380">
        <v>21.418119999999998</v>
      </c>
      <c r="AK7380">
        <v>60.581879999999998</v>
      </c>
    </row>
    <row r="7381" spans="1:37" x14ac:dyDescent="0.3">
      <c r="A7381">
        <v>7380</v>
      </c>
      <c r="B7381">
        <v>57</v>
      </c>
      <c r="C7381">
        <v>-9.3533299999999997</v>
      </c>
      <c r="D7381">
        <v>7.2611100000000004</v>
      </c>
      <c r="E7381">
        <f>-9.35333-7.26111</f>
        <v>-16.614440000000002</v>
      </c>
      <c r="F7381" t="s">
        <v>10965</v>
      </c>
      <c r="G7381" t="s">
        <v>39</v>
      </c>
      <c r="H7381">
        <v>1983</v>
      </c>
      <c r="I7381">
        <v>24.9</v>
      </c>
      <c r="J7381">
        <v>13.2</v>
      </c>
      <c r="K7381">
        <v>76</v>
      </c>
      <c r="L7381">
        <v>5.82</v>
      </c>
      <c r="M7381">
        <v>34</v>
      </c>
      <c r="N7381">
        <v>16.7</v>
      </c>
      <c r="O7381">
        <v>17.3</v>
      </c>
      <c r="P7381">
        <v>24.6</v>
      </c>
      <c r="Q7381">
        <v>24.9</v>
      </c>
      <c r="R7381">
        <v>25.3</v>
      </c>
      <c r="S7381">
        <v>24.1</v>
      </c>
      <c r="T7381">
        <v>2076</v>
      </c>
      <c r="U7381">
        <v>394</v>
      </c>
      <c r="V7381">
        <v>20</v>
      </c>
      <c r="W7381">
        <v>58</v>
      </c>
      <c r="X7381">
        <v>884</v>
      </c>
      <c r="Y7381">
        <v>120</v>
      </c>
      <c r="Z7381">
        <v>391</v>
      </c>
      <c r="AA7381">
        <v>881</v>
      </c>
      <c r="AB7381">
        <v>13.040929999999999</v>
      </c>
      <c r="AC7381">
        <v>2.2457379999999999E-2</v>
      </c>
      <c r="AD7381">
        <v>6.3134540000000001</v>
      </c>
      <c r="AE7381">
        <v>0.22179479999999999</v>
      </c>
      <c r="AF7381">
        <v>373.08890000000002</v>
      </c>
      <c r="AG7381">
        <f>IFERROR(AH7381*0.1, "N/A")</f>
        <v>5.6003480000000003</v>
      </c>
      <c r="AH7381">
        <v>56.003480000000003</v>
      </c>
      <c r="AI7381">
        <v>195.62440000000001</v>
      </c>
      <c r="AJ7381">
        <v>23</v>
      </c>
      <c r="AK7381">
        <v>58.003480000000003</v>
      </c>
    </row>
    <row r="7382" spans="1:37" x14ac:dyDescent="0.3">
      <c r="A7382">
        <v>7381</v>
      </c>
      <c r="B7382">
        <v>35.4</v>
      </c>
      <c r="C7382">
        <v>-9.3533299999999997</v>
      </c>
      <c r="D7382">
        <v>7.2611100000000004</v>
      </c>
      <c r="E7382">
        <f>-9.35333-7.26111</f>
        <v>-16.614440000000002</v>
      </c>
      <c r="F7382" t="s">
        <v>10966</v>
      </c>
      <c r="G7382" t="s">
        <v>37</v>
      </c>
      <c r="H7382">
        <v>1983</v>
      </c>
      <c r="I7382">
        <v>24.9</v>
      </c>
      <c r="J7382">
        <v>13.2</v>
      </c>
      <c r="K7382">
        <v>76</v>
      </c>
      <c r="L7382">
        <v>5.82</v>
      </c>
      <c r="M7382">
        <v>34</v>
      </c>
      <c r="N7382">
        <v>16.7</v>
      </c>
      <c r="O7382">
        <v>17.3</v>
      </c>
      <c r="P7382">
        <v>24.6</v>
      </c>
      <c r="Q7382">
        <v>24.9</v>
      </c>
      <c r="R7382">
        <v>25.3</v>
      </c>
      <c r="S7382">
        <v>24.1</v>
      </c>
      <c r="T7382">
        <v>2076</v>
      </c>
      <c r="U7382">
        <v>394</v>
      </c>
      <c r="V7382">
        <v>20</v>
      </c>
      <c r="W7382">
        <v>58</v>
      </c>
      <c r="X7382">
        <v>884</v>
      </c>
      <c r="Y7382">
        <v>120</v>
      </c>
      <c r="Z7382">
        <v>391</v>
      </c>
      <c r="AA7382">
        <v>881</v>
      </c>
      <c r="AB7382">
        <v>13.040929999999999</v>
      </c>
      <c r="AC7382">
        <v>2.2457379999999999E-2</v>
      </c>
      <c r="AD7382">
        <v>6.3134540000000001</v>
      </c>
      <c r="AE7382">
        <v>0.22179479999999999</v>
      </c>
      <c r="AF7382">
        <v>373.08890000000002</v>
      </c>
      <c r="AG7382">
        <f>IFERROR(AH7382*0.1, "N/A")</f>
        <v>5.6003480000000003</v>
      </c>
      <c r="AH7382">
        <v>56.003480000000003</v>
      </c>
      <c r="AI7382">
        <v>195.62440000000001</v>
      </c>
      <c r="AJ7382">
        <v>23</v>
      </c>
      <c r="AK7382">
        <v>58.003480000000003</v>
      </c>
    </row>
    <row r="7383" spans="1:37" x14ac:dyDescent="0.3">
      <c r="A7383">
        <v>7382</v>
      </c>
      <c r="B7383">
        <v>0</v>
      </c>
      <c r="C7383">
        <v>-8.5038999999999998</v>
      </c>
      <c r="D7383">
        <v>7.2697000000000003</v>
      </c>
      <c r="E7383">
        <f>-8.5039-7.2697</f>
        <v>-15.7736</v>
      </c>
      <c r="F7383" t="s">
        <v>10967</v>
      </c>
      <c r="G7383" t="s">
        <v>39</v>
      </c>
      <c r="H7383">
        <v>1987</v>
      </c>
      <c r="I7383">
        <v>24.9</v>
      </c>
      <c r="J7383">
        <v>13.8</v>
      </c>
      <c r="K7383">
        <v>75</v>
      </c>
      <c r="L7383">
        <v>7.73</v>
      </c>
      <c r="M7383">
        <v>34.299999999999997</v>
      </c>
      <c r="N7383">
        <v>16</v>
      </c>
      <c r="O7383">
        <v>18.3</v>
      </c>
      <c r="P7383">
        <v>23.9</v>
      </c>
      <c r="Q7383">
        <v>24.9</v>
      </c>
      <c r="R7383">
        <v>25.7</v>
      </c>
      <c r="S7383">
        <v>23.9</v>
      </c>
      <c r="T7383">
        <v>2101</v>
      </c>
      <c r="U7383">
        <v>390</v>
      </c>
      <c r="V7383">
        <v>16</v>
      </c>
      <c r="W7383">
        <v>66</v>
      </c>
      <c r="X7383">
        <v>981</v>
      </c>
      <c r="Y7383">
        <v>104</v>
      </c>
      <c r="Z7383">
        <v>421</v>
      </c>
      <c r="AA7383">
        <v>981</v>
      </c>
      <c r="AB7383">
        <v>10.851380000000001</v>
      </c>
      <c r="AC7383">
        <v>1.0571189999999999E-2</v>
      </c>
      <c r="AD7383">
        <v>1.7934019999999999</v>
      </c>
      <c r="AE7383">
        <v>0.70901449999999999</v>
      </c>
      <c r="AF7383">
        <v>364.87329999999997</v>
      </c>
      <c r="AG7383">
        <f>IFERROR(AH7383*0.1, "N/A")</f>
        <v>5.4871530000000002</v>
      </c>
      <c r="AH7383">
        <v>54.87153</v>
      </c>
      <c r="AI7383">
        <v>82.815070000000006</v>
      </c>
      <c r="AJ7383">
        <v>25.22222</v>
      </c>
      <c r="AK7383">
        <v>56.77778</v>
      </c>
    </row>
    <row r="7384" spans="1:37" x14ac:dyDescent="0.3">
      <c r="A7384">
        <v>7383</v>
      </c>
      <c r="B7384">
        <v>0</v>
      </c>
      <c r="C7384">
        <v>-8.5038999999999998</v>
      </c>
      <c r="D7384">
        <v>7.2697000000000003</v>
      </c>
      <c r="E7384">
        <f>-8.5039-7.2697</f>
        <v>-15.7736</v>
      </c>
      <c r="F7384" t="s">
        <v>10968</v>
      </c>
      <c r="G7384" t="s">
        <v>37</v>
      </c>
      <c r="H7384">
        <v>1987</v>
      </c>
      <c r="I7384">
        <v>24.9</v>
      </c>
      <c r="J7384">
        <v>13.8</v>
      </c>
      <c r="K7384">
        <v>75</v>
      </c>
      <c r="L7384">
        <v>7.73</v>
      </c>
      <c r="M7384">
        <v>34.299999999999997</v>
      </c>
      <c r="N7384">
        <v>16</v>
      </c>
      <c r="O7384">
        <v>18.3</v>
      </c>
      <c r="P7384">
        <v>23.9</v>
      </c>
      <c r="Q7384">
        <v>24.9</v>
      </c>
      <c r="R7384">
        <v>25.7</v>
      </c>
      <c r="S7384">
        <v>23.9</v>
      </c>
      <c r="T7384">
        <v>2101</v>
      </c>
      <c r="U7384">
        <v>390</v>
      </c>
      <c r="V7384">
        <v>16</v>
      </c>
      <c r="W7384">
        <v>66</v>
      </c>
      <c r="X7384">
        <v>981</v>
      </c>
      <c r="Y7384">
        <v>104</v>
      </c>
      <c r="Z7384">
        <v>421</v>
      </c>
      <c r="AA7384">
        <v>981</v>
      </c>
      <c r="AB7384">
        <v>10.851380000000001</v>
      </c>
      <c r="AC7384">
        <v>1.0571189999999999E-2</v>
      </c>
      <c r="AD7384">
        <v>1.7934019999999999</v>
      </c>
      <c r="AE7384">
        <v>0.70901449999999999</v>
      </c>
      <c r="AF7384">
        <v>364.87329999999997</v>
      </c>
      <c r="AG7384">
        <f>IFERROR(AH7384*0.1, "N/A")</f>
        <v>5.4871530000000002</v>
      </c>
      <c r="AH7384">
        <v>54.87153</v>
      </c>
      <c r="AI7384">
        <v>82.815070000000006</v>
      </c>
      <c r="AJ7384">
        <v>25.22222</v>
      </c>
      <c r="AK7384">
        <v>56.77778</v>
      </c>
    </row>
    <row r="7385" spans="1:37" x14ac:dyDescent="0.3">
      <c r="A7385">
        <v>7384</v>
      </c>
      <c r="B7385">
        <v>32.700000000000003</v>
      </c>
      <c r="C7385">
        <v>-8.8230000000000004</v>
      </c>
      <c r="D7385">
        <v>7.274</v>
      </c>
      <c r="E7385">
        <f>-8.823-7.274</f>
        <v>-16.097000000000001</v>
      </c>
      <c r="F7385" t="s">
        <v>10969</v>
      </c>
      <c r="G7385" t="s">
        <v>39</v>
      </c>
      <c r="H7385">
        <v>1987</v>
      </c>
      <c r="I7385">
        <v>25.310970000000001</v>
      </c>
      <c r="J7385">
        <v>14.1</v>
      </c>
      <c r="K7385">
        <v>75</v>
      </c>
      <c r="L7385">
        <v>6.1264640000000004</v>
      </c>
      <c r="M7385">
        <v>34.9</v>
      </c>
      <c r="N7385">
        <v>16.2</v>
      </c>
      <c r="O7385">
        <v>18.7</v>
      </c>
      <c r="P7385">
        <v>24.6</v>
      </c>
      <c r="Q7385">
        <v>25.110980000000001</v>
      </c>
      <c r="R7385">
        <v>25.8</v>
      </c>
      <c r="S7385">
        <v>24.6</v>
      </c>
      <c r="T7385">
        <v>2142.5610000000001</v>
      </c>
      <c r="U7385">
        <v>408</v>
      </c>
      <c r="V7385">
        <v>16</v>
      </c>
      <c r="W7385">
        <v>63</v>
      </c>
      <c r="X7385">
        <v>961.10979999999995</v>
      </c>
      <c r="Y7385">
        <v>110.89019999999999</v>
      </c>
      <c r="Z7385">
        <v>452.78050000000002</v>
      </c>
      <c r="AA7385">
        <v>822.10979999999995</v>
      </c>
      <c r="AB7385">
        <v>4.1203799999999999</v>
      </c>
      <c r="AC7385">
        <v>13.76046</v>
      </c>
      <c r="AD7385">
        <v>1.4459059999999999</v>
      </c>
      <c r="AE7385">
        <v>0.50391379999999997</v>
      </c>
      <c r="AF7385">
        <v>288.74040000000002</v>
      </c>
      <c r="AG7385">
        <f>IFERROR(AH7385*0.1, "N/A")</f>
        <v>5.4109760000000007</v>
      </c>
      <c r="AH7385">
        <v>54.109760000000001</v>
      </c>
      <c r="AI7385">
        <v>106.4948</v>
      </c>
      <c r="AJ7385">
        <v>26.634150000000002</v>
      </c>
      <c r="AK7385">
        <v>55.47213</v>
      </c>
    </row>
    <row r="7386" spans="1:37" x14ac:dyDescent="0.3">
      <c r="A7386">
        <v>7385</v>
      </c>
      <c r="B7386">
        <v>1.8</v>
      </c>
      <c r="C7386">
        <v>-8.8230000000000004</v>
      </c>
      <c r="D7386">
        <v>7.274</v>
      </c>
      <c r="E7386">
        <f>-8.823-7.274</f>
        <v>-16.097000000000001</v>
      </c>
      <c r="F7386" t="s">
        <v>10970</v>
      </c>
      <c r="G7386" t="s">
        <v>37</v>
      </c>
      <c r="H7386">
        <v>1987</v>
      </c>
      <c r="I7386">
        <v>25.310970000000001</v>
      </c>
      <c r="J7386">
        <v>14.1</v>
      </c>
      <c r="K7386">
        <v>75</v>
      </c>
      <c r="L7386">
        <v>6.1264640000000004</v>
      </c>
      <c r="M7386">
        <v>34.9</v>
      </c>
      <c r="N7386">
        <v>16.2</v>
      </c>
      <c r="O7386">
        <v>18.7</v>
      </c>
      <c r="P7386">
        <v>24.6</v>
      </c>
      <c r="Q7386">
        <v>25.110980000000001</v>
      </c>
      <c r="R7386">
        <v>25.8</v>
      </c>
      <c r="S7386">
        <v>24.6</v>
      </c>
      <c r="T7386">
        <v>2142.5610000000001</v>
      </c>
      <c r="U7386">
        <v>408</v>
      </c>
      <c r="V7386">
        <v>16</v>
      </c>
      <c r="W7386">
        <v>63</v>
      </c>
      <c r="X7386">
        <v>961.10979999999995</v>
      </c>
      <c r="Y7386">
        <v>110.89019999999999</v>
      </c>
      <c r="Z7386">
        <v>452.78050000000002</v>
      </c>
      <c r="AA7386">
        <v>822.10979999999995</v>
      </c>
      <c r="AB7386">
        <v>4.1203799999999999</v>
      </c>
      <c r="AC7386">
        <v>13.76046</v>
      </c>
      <c r="AD7386">
        <v>1.4459059999999999</v>
      </c>
      <c r="AE7386">
        <v>0.50391379999999997</v>
      </c>
      <c r="AF7386">
        <v>288.74040000000002</v>
      </c>
      <c r="AG7386">
        <f>IFERROR(AH7386*0.1, "N/A")</f>
        <v>5.4109760000000007</v>
      </c>
      <c r="AH7386">
        <v>54.109760000000001</v>
      </c>
      <c r="AI7386">
        <v>106.4948</v>
      </c>
      <c r="AJ7386">
        <v>26.634150000000002</v>
      </c>
      <c r="AK7386">
        <v>55.47213</v>
      </c>
    </row>
    <row r="7387" spans="1:37" x14ac:dyDescent="0.3">
      <c r="A7387">
        <v>7386</v>
      </c>
      <c r="B7387">
        <v>37.700000000000003</v>
      </c>
      <c r="C7387">
        <v>-9.218</v>
      </c>
      <c r="D7387">
        <v>7.319</v>
      </c>
      <c r="E7387">
        <f>-9.218-7.319</f>
        <v>-16.536999999999999</v>
      </c>
      <c r="F7387" t="s">
        <v>10971</v>
      </c>
      <c r="G7387" t="s">
        <v>39</v>
      </c>
      <c r="H7387">
        <v>1987</v>
      </c>
      <c r="I7387">
        <v>25</v>
      </c>
      <c r="J7387">
        <v>13.7</v>
      </c>
      <c r="K7387">
        <v>75</v>
      </c>
      <c r="L7387">
        <v>5.39</v>
      </c>
      <c r="M7387">
        <v>34.4</v>
      </c>
      <c r="N7387">
        <v>16.2</v>
      </c>
      <c r="O7387">
        <v>18.2</v>
      </c>
      <c r="P7387">
        <v>24.4</v>
      </c>
      <c r="Q7387">
        <v>24.8</v>
      </c>
      <c r="R7387">
        <v>25.4</v>
      </c>
      <c r="S7387">
        <v>24.4</v>
      </c>
      <c r="T7387">
        <v>2082</v>
      </c>
      <c r="U7387">
        <v>398</v>
      </c>
      <c r="V7387">
        <v>19</v>
      </c>
      <c r="W7387">
        <v>59</v>
      </c>
      <c r="X7387">
        <v>899</v>
      </c>
      <c r="Y7387">
        <v>117</v>
      </c>
      <c r="Z7387">
        <v>378</v>
      </c>
      <c r="AA7387">
        <v>899</v>
      </c>
      <c r="AB7387">
        <v>10.68421</v>
      </c>
      <c r="AC7387">
        <v>0.20696990000000001</v>
      </c>
      <c r="AD7387">
        <v>1.795963</v>
      </c>
      <c r="AE7387">
        <v>0.1937092</v>
      </c>
      <c r="AF7387">
        <v>322.98090000000002</v>
      </c>
      <c r="AG7387">
        <f>IFERROR(AH7387*0.1, "N/A")</f>
        <v>5.490278</v>
      </c>
      <c r="AH7387">
        <v>54.90278</v>
      </c>
      <c r="AI7387">
        <v>175.70740000000001</v>
      </c>
      <c r="AJ7387">
        <v>25.29167</v>
      </c>
      <c r="AK7387">
        <v>55.611109999999996</v>
      </c>
    </row>
    <row r="7388" spans="1:37" x14ac:dyDescent="0.3">
      <c r="A7388">
        <v>7387</v>
      </c>
      <c r="B7388">
        <v>0</v>
      </c>
      <c r="C7388">
        <v>-9.218</v>
      </c>
      <c r="D7388">
        <v>7.319</v>
      </c>
      <c r="E7388">
        <f>-9.218-7.319</f>
        <v>-16.536999999999999</v>
      </c>
      <c r="F7388" t="s">
        <v>10972</v>
      </c>
      <c r="G7388" t="s">
        <v>37</v>
      </c>
      <c r="H7388">
        <v>1987</v>
      </c>
      <c r="I7388">
        <v>25</v>
      </c>
      <c r="J7388">
        <v>13.7</v>
      </c>
      <c r="K7388">
        <v>75</v>
      </c>
      <c r="L7388">
        <v>5.39</v>
      </c>
      <c r="M7388">
        <v>34.4</v>
      </c>
      <c r="N7388">
        <v>16.2</v>
      </c>
      <c r="O7388">
        <v>18.2</v>
      </c>
      <c r="P7388">
        <v>24.4</v>
      </c>
      <c r="Q7388">
        <v>24.8</v>
      </c>
      <c r="R7388">
        <v>25.4</v>
      </c>
      <c r="S7388">
        <v>24.4</v>
      </c>
      <c r="T7388">
        <v>2082</v>
      </c>
      <c r="U7388">
        <v>398</v>
      </c>
      <c r="V7388">
        <v>19</v>
      </c>
      <c r="W7388">
        <v>59</v>
      </c>
      <c r="X7388">
        <v>899</v>
      </c>
      <c r="Y7388">
        <v>117</v>
      </c>
      <c r="Z7388">
        <v>378</v>
      </c>
      <c r="AA7388">
        <v>899</v>
      </c>
      <c r="AB7388">
        <v>10.68421</v>
      </c>
      <c r="AC7388">
        <v>0.20696990000000001</v>
      </c>
      <c r="AD7388">
        <v>1.795963</v>
      </c>
      <c r="AE7388">
        <v>0.1937092</v>
      </c>
      <c r="AF7388">
        <v>322.98090000000002</v>
      </c>
      <c r="AG7388">
        <f>IFERROR(AH7388*0.1, "N/A")</f>
        <v>5.490278</v>
      </c>
      <c r="AH7388">
        <v>54.90278</v>
      </c>
      <c r="AI7388">
        <v>175.70740000000001</v>
      </c>
      <c r="AJ7388">
        <v>25.29167</v>
      </c>
      <c r="AK7388">
        <v>55.611109999999996</v>
      </c>
    </row>
    <row r="7389" spans="1:37" x14ac:dyDescent="0.3">
      <c r="A7389">
        <v>7388</v>
      </c>
      <c r="B7389">
        <v>12.1</v>
      </c>
      <c r="C7389">
        <v>-9.3366699999999998</v>
      </c>
      <c r="D7389">
        <v>7.3711099999999998</v>
      </c>
      <c r="E7389">
        <f>-9.33667-7.37111</f>
        <v>-16.70778</v>
      </c>
      <c r="F7389" t="s">
        <v>10973</v>
      </c>
      <c r="G7389" t="s">
        <v>39</v>
      </c>
      <c r="H7389">
        <v>1983</v>
      </c>
      <c r="I7389">
        <v>24.8</v>
      </c>
      <c r="J7389">
        <v>13.5</v>
      </c>
      <c r="K7389">
        <v>75</v>
      </c>
      <c r="L7389">
        <v>5.65</v>
      </c>
      <c r="M7389">
        <v>34.200000000000003</v>
      </c>
      <c r="N7389">
        <v>16.3</v>
      </c>
      <c r="O7389">
        <v>17.899999999999999</v>
      </c>
      <c r="P7389">
        <v>24.1</v>
      </c>
      <c r="Q7389">
        <v>24.8</v>
      </c>
      <c r="R7389">
        <v>25.3</v>
      </c>
      <c r="S7389">
        <v>24.1</v>
      </c>
      <c r="T7389">
        <v>2096</v>
      </c>
      <c r="U7389">
        <v>396</v>
      </c>
      <c r="V7389">
        <v>20</v>
      </c>
      <c r="W7389">
        <v>59</v>
      </c>
      <c r="X7389">
        <v>908</v>
      </c>
      <c r="Y7389">
        <v>119</v>
      </c>
      <c r="Z7389">
        <v>388</v>
      </c>
      <c r="AA7389">
        <v>908</v>
      </c>
      <c r="AB7389">
        <v>8.1451180000000001</v>
      </c>
      <c r="AC7389">
        <v>3.9586690000000001E-2</v>
      </c>
      <c r="AD7389">
        <v>4.2497020000000001</v>
      </c>
      <c r="AE7389">
        <v>0.17008670000000001</v>
      </c>
      <c r="AF7389">
        <v>370.58359999999999</v>
      </c>
      <c r="AG7389">
        <f>IFERROR(AH7389*0.1, "N/A")</f>
        <v>5.4</v>
      </c>
      <c r="AH7389">
        <v>54</v>
      </c>
      <c r="AI7389">
        <v>141.68119999999999</v>
      </c>
      <c r="AJ7389">
        <v>23.146339999999999</v>
      </c>
      <c r="AK7389">
        <v>57.439019999999999</v>
      </c>
    </row>
    <row r="7390" spans="1:37" x14ac:dyDescent="0.3">
      <c r="A7390">
        <v>7389</v>
      </c>
      <c r="B7390">
        <v>12.5</v>
      </c>
      <c r="C7390">
        <v>-9.3366699999999998</v>
      </c>
      <c r="D7390">
        <v>7.3711099999999998</v>
      </c>
      <c r="E7390">
        <f>-9.33667-7.37111</f>
        <v>-16.70778</v>
      </c>
      <c r="F7390" t="s">
        <v>10974</v>
      </c>
      <c r="G7390" t="s">
        <v>37</v>
      </c>
      <c r="H7390">
        <v>1983</v>
      </c>
      <c r="I7390">
        <v>24.8</v>
      </c>
      <c r="J7390">
        <v>13.5</v>
      </c>
      <c r="K7390">
        <v>75</v>
      </c>
      <c r="L7390">
        <v>5.65</v>
      </c>
      <c r="M7390">
        <v>34.200000000000003</v>
      </c>
      <c r="N7390">
        <v>16.3</v>
      </c>
      <c r="O7390">
        <v>17.899999999999999</v>
      </c>
      <c r="P7390">
        <v>24.1</v>
      </c>
      <c r="Q7390">
        <v>24.8</v>
      </c>
      <c r="R7390">
        <v>25.3</v>
      </c>
      <c r="S7390">
        <v>24.1</v>
      </c>
      <c r="T7390">
        <v>2096</v>
      </c>
      <c r="U7390">
        <v>396</v>
      </c>
      <c r="V7390">
        <v>20</v>
      </c>
      <c r="W7390">
        <v>59</v>
      </c>
      <c r="X7390">
        <v>908</v>
      </c>
      <c r="Y7390">
        <v>119</v>
      </c>
      <c r="Z7390">
        <v>388</v>
      </c>
      <c r="AA7390">
        <v>908</v>
      </c>
      <c r="AB7390">
        <v>8.1451180000000001</v>
      </c>
      <c r="AC7390">
        <v>3.9586690000000001E-2</v>
      </c>
      <c r="AD7390">
        <v>4.2497020000000001</v>
      </c>
      <c r="AE7390">
        <v>0.17008670000000001</v>
      </c>
      <c r="AF7390">
        <v>370.58359999999999</v>
      </c>
      <c r="AG7390">
        <f>IFERROR(AH7390*0.1, "N/A")</f>
        <v>5.4</v>
      </c>
      <c r="AH7390">
        <v>54</v>
      </c>
      <c r="AI7390">
        <v>141.68119999999999</v>
      </c>
      <c r="AJ7390">
        <v>23.146339999999999</v>
      </c>
      <c r="AK7390">
        <v>57.439019999999999</v>
      </c>
    </row>
    <row r="7391" spans="1:37" x14ac:dyDescent="0.3">
      <c r="A7391">
        <v>7390</v>
      </c>
      <c r="B7391">
        <v>0</v>
      </c>
      <c r="C7391">
        <v>-8.6880000000000006</v>
      </c>
      <c r="D7391">
        <v>7.3739999999999997</v>
      </c>
      <c r="E7391">
        <f>-8.688-7.374</f>
        <v>-16.062000000000001</v>
      </c>
      <c r="F7391" t="s">
        <v>10975</v>
      </c>
      <c r="G7391" t="s">
        <v>39</v>
      </c>
      <c r="H7391">
        <v>1987</v>
      </c>
      <c r="I7391">
        <v>24.4</v>
      </c>
      <c r="J7391">
        <v>14.2</v>
      </c>
      <c r="K7391">
        <v>74</v>
      </c>
      <c r="L7391">
        <v>6.91</v>
      </c>
      <c r="M7391">
        <v>34.4</v>
      </c>
      <c r="N7391">
        <v>15.4</v>
      </c>
      <c r="O7391">
        <v>19</v>
      </c>
      <c r="P7391">
        <v>23.6</v>
      </c>
      <c r="Q7391">
        <v>24.6</v>
      </c>
      <c r="R7391">
        <v>24.9</v>
      </c>
      <c r="S7391">
        <v>23.4</v>
      </c>
      <c r="T7391">
        <v>2239</v>
      </c>
      <c r="U7391">
        <v>413</v>
      </c>
      <c r="V7391">
        <v>19</v>
      </c>
      <c r="W7391">
        <v>67</v>
      </c>
      <c r="X7391">
        <v>1063</v>
      </c>
      <c r="Y7391">
        <v>114</v>
      </c>
      <c r="Z7391">
        <v>762</v>
      </c>
      <c r="AA7391">
        <v>956</v>
      </c>
      <c r="AB7391">
        <v>11.49095</v>
      </c>
      <c r="AC7391">
        <v>0.10062210000000001</v>
      </c>
      <c r="AD7391">
        <v>3.6850670000000001</v>
      </c>
      <c r="AE7391">
        <v>0.67447210000000002</v>
      </c>
      <c r="AF7391">
        <v>429.52170000000001</v>
      </c>
      <c r="AG7391">
        <f>IFERROR(AH7391*0.1, "N/A")</f>
        <v>5.4674779999999998</v>
      </c>
      <c r="AH7391">
        <v>54.674779999999998</v>
      </c>
      <c r="AI7391">
        <v>221.24950000000001</v>
      </c>
      <c r="AJ7391">
        <v>26</v>
      </c>
      <c r="AK7391">
        <v>56.050429999999999</v>
      </c>
    </row>
    <row r="7392" spans="1:37" x14ac:dyDescent="0.3">
      <c r="A7392">
        <v>7391</v>
      </c>
      <c r="B7392">
        <v>0</v>
      </c>
      <c r="C7392">
        <v>-8.6880000000000006</v>
      </c>
      <c r="D7392">
        <v>7.3739999999999997</v>
      </c>
      <c r="E7392">
        <f>-8.688-7.374</f>
        <v>-16.062000000000001</v>
      </c>
      <c r="F7392" t="s">
        <v>10976</v>
      </c>
      <c r="G7392" t="s">
        <v>37</v>
      </c>
      <c r="H7392">
        <v>1987</v>
      </c>
      <c r="I7392">
        <v>24.4</v>
      </c>
      <c r="J7392">
        <v>14.2</v>
      </c>
      <c r="K7392">
        <v>74</v>
      </c>
      <c r="L7392">
        <v>6.91</v>
      </c>
      <c r="M7392">
        <v>34.4</v>
      </c>
      <c r="N7392">
        <v>15.4</v>
      </c>
      <c r="O7392">
        <v>19</v>
      </c>
      <c r="P7392">
        <v>23.6</v>
      </c>
      <c r="Q7392">
        <v>24.6</v>
      </c>
      <c r="R7392">
        <v>24.9</v>
      </c>
      <c r="S7392">
        <v>23.4</v>
      </c>
      <c r="T7392">
        <v>2239</v>
      </c>
      <c r="U7392">
        <v>413</v>
      </c>
      <c r="V7392">
        <v>19</v>
      </c>
      <c r="W7392">
        <v>67</v>
      </c>
      <c r="X7392">
        <v>1063</v>
      </c>
      <c r="Y7392">
        <v>114</v>
      </c>
      <c r="Z7392">
        <v>762</v>
      </c>
      <c r="AA7392">
        <v>956</v>
      </c>
      <c r="AB7392">
        <v>11.49095</v>
      </c>
      <c r="AC7392">
        <v>0.10062210000000001</v>
      </c>
      <c r="AD7392">
        <v>3.6850670000000001</v>
      </c>
      <c r="AE7392">
        <v>0.67447210000000002</v>
      </c>
      <c r="AF7392">
        <v>429.52170000000001</v>
      </c>
      <c r="AG7392">
        <f>IFERROR(AH7392*0.1, "N/A")</f>
        <v>5.4674779999999998</v>
      </c>
      <c r="AH7392">
        <v>54.674779999999998</v>
      </c>
      <c r="AI7392">
        <v>221.24950000000001</v>
      </c>
      <c r="AJ7392">
        <v>26</v>
      </c>
      <c r="AK7392">
        <v>56.050429999999999</v>
      </c>
    </row>
    <row r="7393" spans="1:37" x14ac:dyDescent="0.3">
      <c r="A7393">
        <v>7392</v>
      </c>
      <c r="B7393">
        <v>0</v>
      </c>
      <c r="C7393">
        <v>-9.4359999999999999</v>
      </c>
      <c r="D7393">
        <v>7.6890000000000001</v>
      </c>
      <c r="E7393">
        <f>-9.436-7.689</f>
        <v>-17.125</v>
      </c>
      <c r="F7393" t="s">
        <v>10977</v>
      </c>
      <c r="G7393" t="s">
        <v>39</v>
      </c>
      <c r="H7393">
        <v>1987</v>
      </c>
      <c r="I7393">
        <v>25.2</v>
      </c>
      <c r="J7393">
        <v>14</v>
      </c>
      <c r="K7393">
        <v>75</v>
      </c>
      <c r="L7393">
        <v>5.47</v>
      </c>
      <c r="M7393">
        <v>34.9</v>
      </c>
      <c r="N7393">
        <v>16.3</v>
      </c>
      <c r="O7393">
        <v>18.600000000000001</v>
      </c>
      <c r="P7393">
        <v>24.6</v>
      </c>
      <c r="Q7393">
        <v>25.1</v>
      </c>
      <c r="R7393">
        <v>25.7</v>
      </c>
      <c r="S7393">
        <v>24.6</v>
      </c>
      <c r="T7393">
        <v>2187</v>
      </c>
      <c r="U7393">
        <v>400</v>
      </c>
      <c r="V7393">
        <v>19</v>
      </c>
      <c r="W7393">
        <v>61</v>
      </c>
      <c r="X7393">
        <v>984</v>
      </c>
      <c r="Y7393">
        <v>115</v>
      </c>
      <c r="Z7393">
        <v>385</v>
      </c>
      <c r="AA7393">
        <v>809</v>
      </c>
      <c r="AB7393">
        <v>15.403119999999999</v>
      </c>
      <c r="AC7393">
        <v>4.9895139999999998E-2</v>
      </c>
      <c r="AD7393">
        <v>10.044560000000001</v>
      </c>
      <c r="AE7393">
        <v>0.20846770000000001</v>
      </c>
      <c r="AF7393">
        <v>352.58229999999998</v>
      </c>
      <c r="AG7393">
        <f>IFERROR(AH7393*0.1, "N/A")</f>
        <v>5.3000000000000007</v>
      </c>
      <c r="AH7393">
        <v>53</v>
      </c>
      <c r="AI7393">
        <v>114.67189999999999</v>
      </c>
      <c r="AJ7393">
        <v>23.774699999999999</v>
      </c>
      <c r="AK7393">
        <v>58.225299999999997</v>
      </c>
    </row>
    <row r="7394" spans="1:37" x14ac:dyDescent="0.3">
      <c r="A7394">
        <v>7393</v>
      </c>
      <c r="B7394">
        <v>23.2</v>
      </c>
      <c r="C7394">
        <v>-9.4339999999999993</v>
      </c>
      <c r="D7394">
        <v>7.7830000000000004</v>
      </c>
      <c r="E7394">
        <f>-9.434-7.783</f>
        <v>-17.216999999999999</v>
      </c>
      <c r="F7394" t="s">
        <v>10978</v>
      </c>
      <c r="G7394" t="s">
        <v>39</v>
      </c>
      <c r="H7394">
        <v>1987</v>
      </c>
      <c r="I7394">
        <v>24.2974</v>
      </c>
      <c r="J7394">
        <v>14.3</v>
      </c>
      <c r="K7394">
        <v>74.486999999999995</v>
      </c>
      <c r="L7394">
        <v>5.9833800000000004</v>
      </c>
      <c r="M7394">
        <v>34.348700000000001</v>
      </c>
      <c r="N7394">
        <v>15.194800000000001</v>
      </c>
      <c r="O7394">
        <v>19.1539</v>
      </c>
      <c r="P7394">
        <v>23.848700000000001</v>
      </c>
      <c r="Q7394">
        <v>24.2974</v>
      </c>
      <c r="R7394">
        <v>24.897400000000001</v>
      </c>
      <c r="S7394">
        <v>23.848700000000001</v>
      </c>
      <c r="T7394">
        <v>2240.5650000000001</v>
      </c>
      <c r="U7394">
        <v>413.05200000000002</v>
      </c>
      <c r="V7394">
        <v>21.513000000000002</v>
      </c>
      <c r="W7394">
        <v>63.512999999999998</v>
      </c>
      <c r="X7394">
        <v>1034.617</v>
      </c>
      <c r="Y7394">
        <v>119.51300000000001</v>
      </c>
      <c r="Z7394">
        <v>386</v>
      </c>
      <c r="AA7394">
        <v>846.53899999999999</v>
      </c>
      <c r="AB7394">
        <v>4.1807550000000004</v>
      </c>
      <c r="AC7394">
        <v>8.2533620000000002E-2</v>
      </c>
      <c r="AD7394">
        <v>2.1872609999999999</v>
      </c>
      <c r="AE7394">
        <v>0.61802880000000004</v>
      </c>
      <c r="AF7394">
        <v>447.54250000000002</v>
      </c>
      <c r="AG7394">
        <f>IFERROR(AH7394*0.1, "N/A")</f>
        <v>5.1000000000000005</v>
      </c>
      <c r="AH7394">
        <v>51</v>
      </c>
      <c r="AI7394">
        <v>175.73750000000001</v>
      </c>
      <c r="AJ7394">
        <v>27</v>
      </c>
      <c r="AK7394">
        <v>56</v>
      </c>
    </row>
    <row r="7395" spans="1:37" x14ac:dyDescent="0.3">
      <c r="A7395">
        <v>7394</v>
      </c>
      <c r="B7395">
        <v>0</v>
      </c>
      <c r="C7395">
        <v>-9.4710000000000001</v>
      </c>
      <c r="D7395">
        <v>7.8170000000000002</v>
      </c>
      <c r="E7395">
        <f>-9.471-7.817</f>
        <v>-17.288</v>
      </c>
      <c r="F7395" t="s">
        <v>10979</v>
      </c>
      <c r="G7395" t="s">
        <v>39</v>
      </c>
      <c r="H7395">
        <v>1987</v>
      </c>
      <c r="I7395">
        <v>24.3</v>
      </c>
      <c r="J7395">
        <v>14.3</v>
      </c>
      <c r="K7395">
        <v>74</v>
      </c>
      <c r="L7395">
        <v>6.2190479999999999</v>
      </c>
      <c r="M7395">
        <v>34.4</v>
      </c>
      <c r="N7395">
        <v>15.20086</v>
      </c>
      <c r="O7395">
        <v>19.19914</v>
      </c>
      <c r="P7395">
        <v>23.8</v>
      </c>
      <c r="Q7395">
        <v>24.3</v>
      </c>
      <c r="R7395">
        <v>24.9</v>
      </c>
      <c r="S7395">
        <v>23.8</v>
      </c>
      <c r="T7395">
        <v>2272.9650000000001</v>
      </c>
      <c r="U7395">
        <v>416</v>
      </c>
      <c r="V7395">
        <v>22</v>
      </c>
      <c r="W7395">
        <v>63</v>
      </c>
      <c r="X7395">
        <v>1050.9829999999999</v>
      </c>
      <c r="Y7395">
        <v>121.9913</v>
      </c>
      <c r="Z7395">
        <v>389</v>
      </c>
      <c r="AA7395">
        <v>862.98270000000002</v>
      </c>
      <c r="AB7395">
        <v>26.342559999999999</v>
      </c>
      <c r="AC7395">
        <v>2.3739440000000001E-2</v>
      </c>
      <c r="AD7395">
        <v>6.563072</v>
      </c>
      <c r="AE7395">
        <v>0.39225559999999998</v>
      </c>
      <c r="AF7395">
        <v>485.94979999999998</v>
      </c>
      <c r="AG7395">
        <f>IFERROR(AH7395*0.1, "N/A")</f>
        <v>5.2920420000000004</v>
      </c>
      <c r="AH7395">
        <v>52.92042</v>
      </c>
      <c r="AI7395">
        <v>137.78059999999999</v>
      </c>
      <c r="AJ7395">
        <v>25.724910000000001</v>
      </c>
      <c r="AK7395">
        <v>58.823529999999998</v>
      </c>
    </row>
    <row r="7396" spans="1:37" x14ac:dyDescent="0.3">
      <c r="A7396">
        <v>7395</v>
      </c>
      <c r="B7396">
        <v>0</v>
      </c>
      <c r="C7396">
        <v>-10.35</v>
      </c>
      <c r="D7396">
        <v>8.0980000000000008</v>
      </c>
      <c r="E7396">
        <f>-10.35-8.098</f>
        <v>-18.448</v>
      </c>
      <c r="F7396" t="s">
        <v>10980</v>
      </c>
      <c r="G7396" t="s">
        <v>39</v>
      </c>
      <c r="H7396">
        <v>1987</v>
      </c>
      <c r="I7396">
        <v>24.965969999999999</v>
      </c>
      <c r="J7396">
        <v>12.9</v>
      </c>
      <c r="K7396">
        <v>73.829859999999996</v>
      </c>
      <c r="L7396">
        <v>9.0682980000000004</v>
      </c>
      <c r="M7396">
        <v>33.765970000000003</v>
      </c>
      <c r="N7396">
        <v>16.331939999999999</v>
      </c>
      <c r="O7396">
        <v>17.43403</v>
      </c>
      <c r="P7396">
        <v>24.56597</v>
      </c>
      <c r="Q7396">
        <v>24.848960000000002</v>
      </c>
      <c r="R7396">
        <v>25.665970000000002</v>
      </c>
      <c r="S7396">
        <v>23.765969999999999</v>
      </c>
      <c r="T7396">
        <v>2620.17</v>
      </c>
      <c r="U7396">
        <v>440.34030000000001</v>
      </c>
      <c r="V7396">
        <v>17.17014</v>
      </c>
      <c r="W7396">
        <v>62</v>
      </c>
      <c r="X7396">
        <v>1164.681</v>
      </c>
      <c r="Y7396">
        <v>112.5104</v>
      </c>
      <c r="Z7396">
        <v>376.64580000000001</v>
      </c>
      <c r="AA7396">
        <v>1028.17</v>
      </c>
      <c r="AB7396">
        <v>59.961309999999997</v>
      </c>
      <c r="AC7396">
        <v>1.344592E-2</v>
      </c>
      <c r="AD7396">
        <v>21.96116</v>
      </c>
      <c r="AE7396">
        <v>0.1520831</v>
      </c>
      <c r="AF7396">
        <v>498.84719999999999</v>
      </c>
      <c r="AG7396">
        <f>IFERROR(AH7396*0.1, "N/A")</f>
        <v>4.9397570000000002</v>
      </c>
      <c r="AH7396">
        <v>49.397570000000002</v>
      </c>
      <c r="AI7396">
        <v>111.7367</v>
      </c>
      <c r="AJ7396">
        <v>34.397570000000002</v>
      </c>
      <c r="AK7396">
        <v>51.657989999999998</v>
      </c>
    </row>
    <row r="7397" spans="1:37" x14ac:dyDescent="0.3">
      <c r="A7397">
        <v>7396</v>
      </c>
      <c r="B7397">
        <v>20.5</v>
      </c>
      <c r="C7397">
        <v>-9.5399999999999991</v>
      </c>
      <c r="D7397">
        <v>8.2200000000000006</v>
      </c>
      <c r="E7397">
        <f>-9.54-8.22</f>
        <v>-17.759999999999998</v>
      </c>
      <c r="F7397" t="s">
        <v>10981</v>
      </c>
      <c r="G7397" t="s">
        <v>39</v>
      </c>
      <c r="H7397">
        <v>1987</v>
      </c>
      <c r="I7397">
        <v>24.4</v>
      </c>
      <c r="J7397">
        <v>15.2</v>
      </c>
      <c r="K7397">
        <v>75</v>
      </c>
      <c r="L7397">
        <v>5.6</v>
      </c>
      <c r="M7397">
        <v>34.6</v>
      </c>
      <c r="N7397">
        <v>14.4</v>
      </c>
      <c r="O7397">
        <v>20.2</v>
      </c>
      <c r="P7397">
        <v>24</v>
      </c>
      <c r="Q7397">
        <v>24.1</v>
      </c>
      <c r="R7397">
        <v>25.1</v>
      </c>
      <c r="S7397">
        <v>23.9</v>
      </c>
      <c r="T7397">
        <v>2646</v>
      </c>
      <c r="U7397">
        <v>429</v>
      </c>
      <c r="V7397">
        <v>19</v>
      </c>
      <c r="W7397">
        <v>60</v>
      </c>
      <c r="X7397">
        <v>1214</v>
      </c>
      <c r="Y7397">
        <v>140</v>
      </c>
      <c r="Z7397">
        <v>554</v>
      </c>
      <c r="AA7397">
        <v>263</v>
      </c>
      <c r="AB7397">
        <v>18.313680000000002</v>
      </c>
      <c r="AC7397">
        <v>1.9441610000000002E-2</v>
      </c>
      <c r="AD7397">
        <v>16.729489999999998</v>
      </c>
      <c r="AE7397">
        <v>0.1228447</v>
      </c>
      <c r="AF7397">
        <v>433.1592</v>
      </c>
      <c r="AG7397">
        <f>IFERROR(AH7397*0.1, "N/A")</f>
        <v>5.4153979999999997</v>
      </c>
      <c r="AH7397">
        <v>54.153979999999997</v>
      </c>
      <c r="AI7397">
        <v>298.09500000000003</v>
      </c>
      <c r="AJ7397">
        <v>29.314879999999999</v>
      </c>
      <c r="AK7397">
        <v>53.685119999999998</v>
      </c>
    </row>
    <row r="7398" spans="1:37" x14ac:dyDescent="0.3">
      <c r="A7398">
        <v>7397</v>
      </c>
      <c r="B7398">
        <v>30</v>
      </c>
      <c r="C7398">
        <v>-9.5399999999999991</v>
      </c>
      <c r="D7398">
        <v>8.2200000000000006</v>
      </c>
      <c r="E7398">
        <f>-9.54-8.22</f>
        <v>-17.759999999999998</v>
      </c>
      <c r="F7398" t="s">
        <v>10982</v>
      </c>
      <c r="G7398" t="s">
        <v>37</v>
      </c>
      <c r="H7398">
        <v>1987</v>
      </c>
      <c r="I7398">
        <v>24.4</v>
      </c>
      <c r="J7398">
        <v>15.2</v>
      </c>
      <c r="K7398">
        <v>75</v>
      </c>
      <c r="L7398">
        <v>5.6</v>
      </c>
      <c r="M7398">
        <v>34.6</v>
      </c>
      <c r="N7398">
        <v>14.4</v>
      </c>
      <c r="O7398">
        <v>20.2</v>
      </c>
      <c r="P7398">
        <v>24</v>
      </c>
      <c r="Q7398">
        <v>24.1</v>
      </c>
      <c r="R7398">
        <v>25.1</v>
      </c>
      <c r="S7398">
        <v>23.9</v>
      </c>
      <c r="T7398">
        <v>2646</v>
      </c>
      <c r="U7398">
        <v>429</v>
      </c>
      <c r="V7398">
        <v>19</v>
      </c>
      <c r="W7398">
        <v>60</v>
      </c>
      <c r="X7398">
        <v>1214</v>
      </c>
      <c r="Y7398">
        <v>140</v>
      </c>
      <c r="Z7398">
        <v>554</v>
      </c>
      <c r="AA7398">
        <v>263</v>
      </c>
      <c r="AB7398">
        <v>18.313680000000002</v>
      </c>
      <c r="AC7398">
        <v>1.9441610000000002E-2</v>
      </c>
      <c r="AD7398">
        <v>16.729489999999998</v>
      </c>
      <c r="AE7398">
        <v>0.1228447</v>
      </c>
      <c r="AF7398">
        <v>433.1592</v>
      </c>
      <c r="AG7398">
        <f>IFERROR(AH7398*0.1, "N/A")</f>
        <v>5.4153979999999997</v>
      </c>
      <c r="AH7398">
        <v>54.153979999999997</v>
      </c>
      <c r="AI7398">
        <v>298.09500000000003</v>
      </c>
      <c r="AJ7398">
        <v>29.314879999999999</v>
      </c>
      <c r="AK7398">
        <v>53.685119999999998</v>
      </c>
    </row>
    <row r="7399" spans="1:37" x14ac:dyDescent="0.3">
      <c r="A7399">
        <v>7398</v>
      </c>
      <c r="B7399">
        <v>12</v>
      </c>
      <c r="C7399">
        <v>-10.151</v>
      </c>
      <c r="D7399">
        <v>8.2330000000000005</v>
      </c>
      <c r="E7399">
        <f>-10.151-8.233</f>
        <v>-18.384</v>
      </c>
      <c r="F7399" t="s">
        <v>10983</v>
      </c>
      <c r="G7399" t="s">
        <v>39</v>
      </c>
      <c r="H7399">
        <v>1987</v>
      </c>
      <c r="I7399">
        <v>24.846270000000001</v>
      </c>
      <c r="J7399">
        <v>13.94627</v>
      </c>
      <c r="K7399">
        <v>72.462739999999997</v>
      </c>
      <c r="L7399">
        <v>11.20581</v>
      </c>
      <c r="M7399">
        <v>34.04627</v>
      </c>
      <c r="N7399">
        <v>14.99255</v>
      </c>
      <c r="O7399">
        <v>19.053730000000002</v>
      </c>
      <c r="P7399">
        <v>23.646270000000001</v>
      </c>
      <c r="Q7399">
        <v>24.39255</v>
      </c>
      <c r="R7399">
        <v>25.692550000000001</v>
      </c>
      <c r="S7399">
        <v>23.492550000000001</v>
      </c>
      <c r="T7399">
        <v>2621</v>
      </c>
      <c r="U7399">
        <v>446.53730000000002</v>
      </c>
      <c r="V7399">
        <v>17</v>
      </c>
      <c r="W7399">
        <v>62</v>
      </c>
      <c r="X7399">
        <v>1164.075</v>
      </c>
      <c r="Y7399">
        <v>117.5373</v>
      </c>
      <c r="Z7399">
        <v>564</v>
      </c>
      <c r="AA7399">
        <v>1022</v>
      </c>
      <c r="AB7399">
        <v>9.1646400000000003</v>
      </c>
      <c r="AC7399">
        <v>0.29148760000000001</v>
      </c>
      <c r="AD7399">
        <v>8.3278990000000004</v>
      </c>
      <c r="AE7399">
        <v>0.27041749999999998</v>
      </c>
      <c r="AF7399">
        <v>471.58580000000001</v>
      </c>
      <c r="AG7399">
        <f>IFERROR(AH7399*0.1, "N/A")</f>
        <v>5.2</v>
      </c>
      <c r="AH7399">
        <v>52</v>
      </c>
      <c r="AI7399">
        <v>269.1739</v>
      </c>
      <c r="AJ7399">
        <v>28</v>
      </c>
      <c r="AK7399">
        <v>55</v>
      </c>
    </row>
    <row r="7400" spans="1:37" x14ac:dyDescent="0.3">
      <c r="A7400">
        <v>7399</v>
      </c>
      <c r="B7400">
        <v>0.9</v>
      </c>
      <c r="C7400">
        <v>-10.151</v>
      </c>
      <c r="D7400">
        <v>8.2330000000000005</v>
      </c>
      <c r="E7400">
        <f>-10.151-8.233</f>
        <v>-18.384</v>
      </c>
      <c r="F7400" t="s">
        <v>10984</v>
      </c>
      <c r="G7400" t="s">
        <v>37</v>
      </c>
      <c r="H7400">
        <v>1987</v>
      </c>
      <c r="I7400">
        <v>24.846270000000001</v>
      </c>
      <c r="J7400">
        <v>13.94627</v>
      </c>
      <c r="K7400">
        <v>72.462739999999997</v>
      </c>
      <c r="L7400">
        <v>11.20581</v>
      </c>
      <c r="M7400">
        <v>34.04627</v>
      </c>
      <c r="N7400">
        <v>14.99255</v>
      </c>
      <c r="O7400">
        <v>19.053730000000002</v>
      </c>
      <c r="P7400">
        <v>23.646270000000001</v>
      </c>
      <c r="Q7400">
        <v>24.39255</v>
      </c>
      <c r="R7400">
        <v>25.692550000000001</v>
      </c>
      <c r="S7400">
        <v>23.492550000000001</v>
      </c>
      <c r="T7400">
        <v>2621</v>
      </c>
      <c r="U7400">
        <v>446.53730000000002</v>
      </c>
      <c r="V7400">
        <v>17</v>
      </c>
      <c r="W7400">
        <v>62</v>
      </c>
      <c r="X7400">
        <v>1164.075</v>
      </c>
      <c r="Y7400">
        <v>117.5373</v>
      </c>
      <c r="Z7400">
        <v>564</v>
      </c>
      <c r="AA7400">
        <v>1022</v>
      </c>
      <c r="AB7400">
        <v>9.1646400000000003</v>
      </c>
      <c r="AC7400">
        <v>0.29148760000000001</v>
      </c>
      <c r="AD7400">
        <v>8.3278990000000004</v>
      </c>
      <c r="AE7400">
        <v>0.27041749999999998</v>
      </c>
      <c r="AF7400">
        <v>471.58580000000001</v>
      </c>
      <c r="AG7400">
        <f>IFERROR(AH7400*0.1, "N/A")</f>
        <v>5.2</v>
      </c>
      <c r="AH7400">
        <v>52</v>
      </c>
      <c r="AI7400">
        <v>269.1739</v>
      </c>
      <c r="AJ7400">
        <v>28</v>
      </c>
      <c r="AK7400">
        <v>55</v>
      </c>
    </row>
    <row r="7401" spans="1:37" x14ac:dyDescent="0.3">
      <c r="A7401">
        <v>7400</v>
      </c>
      <c r="B7401">
        <v>14</v>
      </c>
      <c r="C7401">
        <v>-10.084</v>
      </c>
      <c r="D7401">
        <v>8.2840000000000007</v>
      </c>
      <c r="E7401">
        <f>-10.084-8.284</f>
        <v>-18.368000000000002</v>
      </c>
      <c r="F7401" t="s">
        <v>10985</v>
      </c>
      <c r="G7401" t="s">
        <v>39</v>
      </c>
      <c r="H7401">
        <v>1987</v>
      </c>
      <c r="I7401">
        <v>24.8</v>
      </c>
      <c r="J7401">
        <v>14.3</v>
      </c>
      <c r="K7401">
        <v>72.173010000000005</v>
      </c>
      <c r="L7401">
        <v>12.445930000000001</v>
      </c>
      <c r="M7401">
        <v>34.1</v>
      </c>
      <c r="N7401">
        <v>14.517300000000001</v>
      </c>
      <c r="O7401">
        <v>19.582699999999999</v>
      </c>
      <c r="P7401">
        <v>23.517299999999999</v>
      </c>
      <c r="Q7401">
        <v>24.217300000000002</v>
      </c>
      <c r="R7401">
        <v>25.717300000000002</v>
      </c>
      <c r="S7401">
        <v>23.4</v>
      </c>
      <c r="T7401">
        <v>2633.1729999999998</v>
      </c>
      <c r="U7401">
        <v>448.827</v>
      </c>
      <c r="V7401">
        <v>17</v>
      </c>
      <c r="W7401">
        <v>61</v>
      </c>
      <c r="X7401">
        <v>1171</v>
      </c>
      <c r="Y7401">
        <v>120</v>
      </c>
      <c r="Z7401">
        <v>532.65219999999999</v>
      </c>
      <c r="AA7401">
        <v>1028.173</v>
      </c>
      <c r="AB7401">
        <v>10.79932</v>
      </c>
      <c r="AC7401">
        <v>1.093415E-2</v>
      </c>
      <c r="AD7401">
        <v>2.1433550000000001</v>
      </c>
      <c r="AE7401">
        <v>0.75329800000000002</v>
      </c>
      <c r="AF7401">
        <v>481.77850000000001</v>
      </c>
      <c r="AG7401">
        <f>IFERROR(AH7401*0.1, "N/A")</f>
        <v>5.3529410000000004</v>
      </c>
      <c r="AH7401">
        <v>53.529409999999999</v>
      </c>
      <c r="AI7401">
        <v>201.94909999999999</v>
      </c>
      <c r="AJ7401">
        <v>22.03979</v>
      </c>
      <c r="AK7401">
        <v>60.609000000000002</v>
      </c>
    </row>
    <row r="7402" spans="1:37" x14ac:dyDescent="0.3">
      <c r="A7402">
        <v>7401</v>
      </c>
      <c r="B7402">
        <v>8</v>
      </c>
      <c r="C7402">
        <v>-10.084</v>
      </c>
      <c r="D7402">
        <v>8.2859999999999996</v>
      </c>
      <c r="E7402">
        <f>-10.084-8.286</f>
        <v>-18.369999999999997</v>
      </c>
      <c r="F7402" t="s">
        <v>10986</v>
      </c>
      <c r="G7402" t="s">
        <v>39</v>
      </c>
      <c r="H7402">
        <v>1987</v>
      </c>
      <c r="I7402">
        <v>24.8</v>
      </c>
      <c r="J7402">
        <v>14.3</v>
      </c>
      <c r="K7402">
        <v>72.169839999999994</v>
      </c>
      <c r="L7402">
        <v>12.46036</v>
      </c>
      <c r="M7402">
        <v>34.1</v>
      </c>
      <c r="N7402">
        <v>14.51698</v>
      </c>
      <c r="O7402">
        <v>19.583020000000001</v>
      </c>
      <c r="P7402">
        <v>23.51698</v>
      </c>
      <c r="Q7402">
        <v>24.21698</v>
      </c>
      <c r="R7402">
        <v>25.71698</v>
      </c>
      <c r="S7402">
        <v>23.4</v>
      </c>
      <c r="T7402">
        <v>2633.17</v>
      </c>
      <c r="U7402">
        <v>448.83019999999999</v>
      </c>
      <c r="V7402">
        <v>17</v>
      </c>
      <c r="W7402">
        <v>61</v>
      </c>
      <c r="X7402">
        <v>1171</v>
      </c>
      <c r="Y7402">
        <v>120</v>
      </c>
      <c r="Z7402">
        <v>532.47310000000004</v>
      </c>
      <c r="AA7402">
        <v>1028.17</v>
      </c>
      <c r="AB7402">
        <v>19.41422</v>
      </c>
      <c r="AC7402">
        <v>1.470669E-2</v>
      </c>
      <c r="AD7402">
        <v>1.9711890000000001</v>
      </c>
      <c r="AE7402">
        <v>0.75329800000000002</v>
      </c>
      <c r="AF7402">
        <v>483.46969999999999</v>
      </c>
      <c r="AG7402">
        <f>IFERROR(AH7402*0.1, "N/A")</f>
        <v>5.2830159999999999</v>
      </c>
      <c r="AH7402">
        <v>52.830159999999999</v>
      </c>
      <c r="AI7402">
        <v>246.3963</v>
      </c>
      <c r="AJ7402">
        <v>22.169840000000001</v>
      </c>
      <c r="AK7402">
        <v>61.490470000000002</v>
      </c>
    </row>
    <row r="7403" spans="1:37" x14ac:dyDescent="0.3">
      <c r="A7403">
        <v>7402</v>
      </c>
      <c r="B7403">
        <v>0.7</v>
      </c>
      <c r="C7403">
        <v>-10.084</v>
      </c>
      <c r="D7403">
        <v>8.2859999999999996</v>
      </c>
      <c r="E7403">
        <f>-10.084-8.286</f>
        <v>-18.369999999999997</v>
      </c>
      <c r="F7403" t="s">
        <v>10987</v>
      </c>
      <c r="G7403" t="s">
        <v>37</v>
      </c>
      <c r="H7403">
        <v>1987</v>
      </c>
      <c r="I7403">
        <v>24.8</v>
      </c>
      <c r="J7403">
        <v>14.3</v>
      </c>
      <c r="K7403">
        <v>72.169839999999994</v>
      </c>
      <c r="L7403">
        <v>12.46036</v>
      </c>
      <c r="M7403">
        <v>34.1</v>
      </c>
      <c r="N7403">
        <v>14.51698</v>
      </c>
      <c r="O7403">
        <v>19.583020000000001</v>
      </c>
      <c r="P7403">
        <v>23.51698</v>
      </c>
      <c r="Q7403">
        <v>24.21698</v>
      </c>
      <c r="R7403">
        <v>25.71698</v>
      </c>
      <c r="S7403">
        <v>23.4</v>
      </c>
      <c r="T7403">
        <v>2633.17</v>
      </c>
      <c r="U7403">
        <v>448.83019999999999</v>
      </c>
      <c r="V7403">
        <v>17</v>
      </c>
      <c r="W7403">
        <v>61</v>
      </c>
      <c r="X7403">
        <v>1171</v>
      </c>
      <c r="Y7403">
        <v>120</v>
      </c>
      <c r="Z7403">
        <v>532.47310000000004</v>
      </c>
      <c r="AA7403">
        <v>1028.17</v>
      </c>
      <c r="AB7403">
        <v>19.41422</v>
      </c>
      <c r="AC7403">
        <v>1.470669E-2</v>
      </c>
      <c r="AD7403">
        <v>1.9711890000000001</v>
      </c>
      <c r="AE7403">
        <v>0.75329800000000002</v>
      </c>
      <c r="AF7403">
        <v>483.46969999999999</v>
      </c>
      <c r="AG7403">
        <f>IFERROR(AH7403*0.1, "N/A")</f>
        <v>5.2830159999999999</v>
      </c>
      <c r="AH7403">
        <v>52.830159999999999</v>
      </c>
      <c r="AI7403">
        <v>246.3963</v>
      </c>
      <c r="AJ7403">
        <v>22.169840000000001</v>
      </c>
      <c r="AK7403">
        <v>61.490470000000002</v>
      </c>
    </row>
    <row r="7404" spans="1:37" x14ac:dyDescent="0.3">
      <c r="A7404">
        <v>7403</v>
      </c>
      <c r="B7404">
        <v>21</v>
      </c>
      <c r="C7404">
        <v>-10.195600000000001</v>
      </c>
      <c r="D7404">
        <v>8.2925000000000004</v>
      </c>
      <c r="E7404">
        <f>-10.1956-8.2925</f>
        <v>-18.488100000000003</v>
      </c>
      <c r="F7404" t="s">
        <v>10988</v>
      </c>
      <c r="G7404" t="s">
        <v>39</v>
      </c>
      <c r="H7404">
        <v>1987</v>
      </c>
      <c r="I7404">
        <v>24.8</v>
      </c>
      <c r="J7404">
        <v>14</v>
      </c>
      <c r="K7404">
        <v>70</v>
      </c>
      <c r="L7404">
        <v>12.49</v>
      </c>
      <c r="M7404">
        <v>34.299999999999997</v>
      </c>
      <c r="N7404">
        <v>14.5</v>
      </c>
      <c r="O7404">
        <v>19.8</v>
      </c>
      <c r="P7404">
        <v>23.5</v>
      </c>
      <c r="Q7404">
        <v>24.3</v>
      </c>
      <c r="R7404">
        <v>25.8</v>
      </c>
      <c r="S7404">
        <v>23.4</v>
      </c>
      <c r="T7404">
        <v>2606</v>
      </c>
      <c r="U7404">
        <v>447</v>
      </c>
      <c r="V7404">
        <v>16</v>
      </c>
      <c r="W7404">
        <v>62</v>
      </c>
      <c r="X7404">
        <v>1160</v>
      </c>
      <c r="Y7404">
        <v>111</v>
      </c>
      <c r="Z7404">
        <v>519</v>
      </c>
      <c r="AA7404">
        <v>1019</v>
      </c>
      <c r="AB7404">
        <v>11.09254</v>
      </c>
      <c r="AC7404">
        <v>4.5987819999999999E-2</v>
      </c>
      <c r="AD7404">
        <v>3.8865289999999999</v>
      </c>
      <c r="AE7404">
        <v>0.37904890000000002</v>
      </c>
      <c r="AF7404">
        <v>490.6198</v>
      </c>
      <c r="AG7404">
        <f>IFERROR(AH7404*0.1, "N/A")</f>
        <v>5.2689240000000002</v>
      </c>
      <c r="AH7404">
        <v>52.689239999999998</v>
      </c>
      <c r="AI7404">
        <v>222.95760000000001</v>
      </c>
      <c r="AJ7404">
        <v>26.05903</v>
      </c>
      <c r="AK7404">
        <v>54.44444</v>
      </c>
    </row>
    <row r="7405" spans="1:37" x14ac:dyDescent="0.3">
      <c r="A7405">
        <v>7404</v>
      </c>
      <c r="B7405">
        <v>0</v>
      </c>
      <c r="C7405">
        <v>-10.195600000000001</v>
      </c>
      <c r="D7405">
        <v>8.2925000000000004</v>
      </c>
      <c r="E7405">
        <f>-10.1956-8.2925</f>
        <v>-18.488100000000003</v>
      </c>
      <c r="F7405" t="s">
        <v>10989</v>
      </c>
      <c r="G7405" t="s">
        <v>37</v>
      </c>
      <c r="H7405">
        <v>1987</v>
      </c>
      <c r="I7405">
        <v>24.8</v>
      </c>
      <c r="J7405">
        <v>14</v>
      </c>
      <c r="K7405">
        <v>70</v>
      </c>
      <c r="L7405">
        <v>12.49</v>
      </c>
      <c r="M7405">
        <v>34.299999999999997</v>
      </c>
      <c r="N7405">
        <v>14.5</v>
      </c>
      <c r="O7405">
        <v>19.8</v>
      </c>
      <c r="P7405">
        <v>23.5</v>
      </c>
      <c r="Q7405">
        <v>24.3</v>
      </c>
      <c r="R7405">
        <v>25.8</v>
      </c>
      <c r="S7405">
        <v>23.4</v>
      </c>
      <c r="T7405">
        <v>2606</v>
      </c>
      <c r="U7405">
        <v>447</v>
      </c>
      <c r="V7405">
        <v>16</v>
      </c>
      <c r="W7405">
        <v>62</v>
      </c>
      <c r="X7405">
        <v>1160</v>
      </c>
      <c r="Y7405">
        <v>111</v>
      </c>
      <c r="Z7405">
        <v>519</v>
      </c>
      <c r="AA7405">
        <v>1019</v>
      </c>
      <c r="AB7405">
        <v>11.09254</v>
      </c>
      <c r="AC7405">
        <v>4.5987819999999999E-2</v>
      </c>
      <c r="AD7405">
        <v>3.8865289999999999</v>
      </c>
      <c r="AE7405">
        <v>0.37904890000000002</v>
      </c>
      <c r="AF7405">
        <v>490.6198</v>
      </c>
      <c r="AG7405">
        <f>IFERROR(AH7405*0.1, "N/A")</f>
        <v>5.2689240000000002</v>
      </c>
      <c r="AH7405">
        <v>52.689239999999998</v>
      </c>
      <c r="AI7405">
        <v>222.95760000000001</v>
      </c>
      <c r="AJ7405">
        <v>26.05903</v>
      </c>
      <c r="AK7405">
        <v>54.44444</v>
      </c>
    </row>
    <row r="7406" spans="1:37" x14ac:dyDescent="0.3">
      <c r="A7406">
        <v>7405</v>
      </c>
      <c r="B7406">
        <v>9</v>
      </c>
      <c r="C7406">
        <v>-9.6340000000000003</v>
      </c>
      <c r="D7406">
        <v>8.2929999999999993</v>
      </c>
      <c r="E7406">
        <f>-9.634-8.293</f>
        <v>-17.927</v>
      </c>
      <c r="F7406" t="s">
        <v>10990</v>
      </c>
      <c r="G7406" t="s">
        <v>39</v>
      </c>
      <c r="H7406">
        <v>1987</v>
      </c>
      <c r="I7406">
        <v>24.3</v>
      </c>
      <c r="J7406">
        <v>15.3</v>
      </c>
      <c r="K7406">
        <v>74.737480000000005</v>
      </c>
      <c r="L7406">
        <v>6.8252509999999997</v>
      </c>
      <c r="M7406">
        <v>34.613120000000002</v>
      </c>
      <c r="N7406">
        <v>14.17375</v>
      </c>
      <c r="O7406">
        <v>20.43938</v>
      </c>
      <c r="P7406">
        <v>23.7</v>
      </c>
      <c r="Q7406">
        <v>23.98687</v>
      </c>
      <c r="R7406">
        <v>25.086870000000001</v>
      </c>
      <c r="S7406">
        <v>23.6</v>
      </c>
      <c r="T7406">
        <v>2771.7370000000001</v>
      </c>
      <c r="U7406">
        <v>439</v>
      </c>
      <c r="V7406">
        <v>19.131260000000001</v>
      </c>
      <c r="W7406">
        <v>59</v>
      </c>
      <c r="X7406">
        <v>1251.1310000000001</v>
      </c>
      <c r="Y7406">
        <v>155.13130000000001</v>
      </c>
      <c r="Z7406">
        <v>573.86869999999999</v>
      </c>
      <c r="AA7406">
        <v>1123</v>
      </c>
      <c r="AB7406">
        <v>10.623659999999999</v>
      </c>
      <c r="AC7406">
        <v>9.4392390000000003E-3</v>
      </c>
      <c r="AD7406">
        <v>2.7957200000000002</v>
      </c>
      <c r="AE7406">
        <v>0.32688800000000001</v>
      </c>
      <c r="AF7406">
        <v>501.24869999999999</v>
      </c>
      <c r="AG7406">
        <f>IFERROR(AH7406*0.1, "N/A")</f>
        <v>5.1704660000000002</v>
      </c>
      <c r="AH7406">
        <v>51.704659999999997</v>
      </c>
      <c r="AI7406">
        <v>222.19040000000001</v>
      </c>
      <c r="AJ7406">
        <v>25.335059999999999</v>
      </c>
      <c r="AK7406">
        <v>56.509500000000003</v>
      </c>
    </row>
    <row r="7407" spans="1:37" x14ac:dyDescent="0.3">
      <c r="A7407">
        <v>7406</v>
      </c>
      <c r="B7407">
        <v>0</v>
      </c>
      <c r="C7407">
        <v>-9.6340000000000003</v>
      </c>
      <c r="D7407">
        <v>8.2929999999999993</v>
      </c>
      <c r="E7407">
        <f>-9.634-8.293</f>
        <v>-17.927</v>
      </c>
      <c r="F7407" t="s">
        <v>10991</v>
      </c>
      <c r="G7407" t="s">
        <v>37</v>
      </c>
      <c r="H7407">
        <v>1987</v>
      </c>
      <c r="I7407">
        <v>24.3</v>
      </c>
      <c r="J7407">
        <v>15.3</v>
      </c>
      <c r="K7407">
        <v>74.737480000000005</v>
      </c>
      <c r="L7407">
        <v>6.8252509999999997</v>
      </c>
      <c r="M7407">
        <v>34.613120000000002</v>
      </c>
      <c r="N7407">
        <v>14.17375</v>
      </c>
      <c r="O7407">
        <v>20.43938</v>
      </c>
      <c r="P7407">
        <v>23.7</v>
      </c>
      <c r="Q7407">
        <v>23.98687</v>
      </c>
      <c r="R7407">
        <v>25.086870000000001</v>
      </c>
      <c r="S7407">
        <v>23.6</v>
      </c>
      <c r="T7407">
        <v>2771.7370000000001</v>
      </c>
      <c r="U7407">
        <v>439</v>
      </c>
      <c r="V7407">
        <v>19.131260000000001</v>
      </c>
      <c r="W7407">
        <v>59</v>
      </c>
      <c r="X7407">
        <v>1251.1310000000001</v>
      </c>
      <c r="Y7407">
        <v>155.13130000000001</v>
      </c>
      <c r="Z7407">
        <v>573.86869999999999</v>
      </c>
      <c r="AA7407">
        <v>1123</v>
      </c>
      <c r="AB7407">
        <v>10.623659999999999</v>
      </c>
      <c r="AC7407">
        <v>9.4392390000000003E-3</v>
      </c>
      <c r="AD7407">
        <v>2.7957200000000002</v>
      </c>
      <c r="AE7407">
        <v>0.32688800000000001</v>
      </c>
      <c r="AF7407">
        <v>501.24869999999999</v>
      </c>
      <c r="AG7407">
        <f>IFERROR(AH7407*0.1, "N/A")</f>
        <v>5.1704660000000002</v>
      </c>
      <c r="AH7407">
        <v>51.704659999999997</v>
      </c>
      <c r="AI7407">
        <v>222.19040000000001</v>
      </c>
      <c r="AJ7407">
        <v>25.335059999999999</v>
      </c>
      <c r="AK7407">
        <v>56.509500000000003</v>
      </c>
    </row>
    <row r="7408" spans="1:37" x14ac:dyDescent="0.3">
      <c r="A7408">
        <v>7407</v>
      </c>
      <c r="B7408">
        <v>0</v>
      </c>
      <c r="C7408">
        <v>-10.276400000000001</v>
      </c>
      <c r="D7408">
        <v>8.2996999999999996</v>
      </c>
      <c r="E7408">
        <f>-10.2764-8.2997</f>
        <v>-18.5761</v>
      </c>
      <c r="F7408" t="s">
        <v>10992</v>
      </c>
      <c r="G7408" t="s">
        <v>39</v>
      </c>
      <c r="H7408">
        <v>1987</v>
      </c>
      <c r="I7408">
        <v>25.296869999999998</v>
      </c>
      <c r="J7408">
        <v>13.8</v>
      </c>
      <c r="K7408">
        <v>71</v>
      </c>
      <c r="L7408">
        <v>10.854380000000001</v>
      </c>
      <c r="M7408">
        <v>34.796869999999998</v>
      </c>
      <c r="N7408">
        <v>15.49375</v>
      </c>
      <c r="O7408">
        <v>19.30312</v>
      </c>
      <c r="P7408">
        <v>24.09375</v>
      </c>
      <c r="Q7408">
        <v>24.796869999999998</v>
      </c>
      <c r="R7408">
        <v>26.296869999999998</v>
      </c>
      <c r="S7408">
        <v>23.996870000000001</v>
      </c>
      <c r="T7408">
        <v>2604.9369999999999</v>
      </c>
      <c r="U7408">
        <v>441.03120000000001</v>
      </c>
      <c r="V7408">
        <v>15</v>
      </c>
      <c r="W7408">
        <v>63</v>
      </c>
      <c r="X7408">
        <v>1152.0309999999999</v>
      </c>
      <c r="Y7408">
        <v>103</v>
      </c>
      <c r="Z7408">
        <v>525.9375</v>
      </c>
      <c r="AA7408">
        <v>1021.9690000000001</v>
      </c>
      <c r="AB7408">
        <v>26.314589999999999</v>
      </c>
      <c r="AC7408">
        <v>1.816864E-2</v>
      </c>
      <c r="AD7408">
        <v>9.3742560000000008</v>
      </c>
      <c r="AE7408">
        <v>0.233428</v>
      </c>
      <c r="AF7408">
        <v>411.27080000000001</v>
      </c>
      <c r="AG7408">
        <f>IFERROR(AH7408*0.1, "N/A")</f>
        <v>5.1350690000000005</v>
      </c>
      <c r="AH7408">
        <v>51.35069</v>
      </c>
      <c r="AI7408">
        <v>242.8717</v>
      </c>
      <c r="AJ7408">
        <v>25.192710000000002</v>
      </c>
      <c r="AK7408">
        <v>56.928820000000002</v>
      </c>
    </row>
    <row r="7409" spans="1:37" x14ac:dyDescent="0.3">
      <c r="A7409">
        <v>7408</v>
      </c>
      <c r="B7409">
        <v>0</v>
      </c>
      <c r="C7409">
        <v>-9.8859999999999992</v>
      </c>
      <c r="D7409">
        <v>8.3000000000000007</v>
      </c>
      <c r="E7409">
        <f>-9.886-8.3</f>
        <v>-18.186</v>
      </c>
      <c r="F7409" t="s">
        <v>10993</v>
      </c>
      <c r="G7409" t="s">
        <v>39</v>
      </c>
      <c r="H7409">
        <v>1987</v>
      </c>
      <c r="I7409">
        <v>24.13617</v>
      </c>
      <c r="J7409">
        <v>14.81809</v>
      </c>
      <c r="K7409">
        <v>74</v>
      </c>
      <c r="L7409">
        <v>9.4092520000000004</v>
      </c>
      <c r="M7409">
        <v>33.936169999999997</v>
      </c>
      <c r="N7409">
        <v>13.95426</v>
      </c>
      <c r="O7409">
        <v>19.981909999999999</v>
      </c>
      <c r="P7409">
        <v>23.21809</v>
      </c>
      <c r="Q7409">
        <v>23.754259999999999</v>
      </c>
      <c r="R7409">
        <v>24.936170000000001</v>
      </c>
      <c r="S7409">
        <v>23.036169999999998</v>
      </c>
      <c r="T7409">
        <v>2708.99</v>
      </c>
      <c r="U7409">
        <v>448.81909999999999</v>
      </c>
      <c r="V7409">
        <v>19</v>
      </c>
      <c r="W7409">
        <v>59.819130000000001</v>
      </c>
      <c r="X7409">
        <v>1210.819</v>
      </c>
      <c r="Y7409">
        <v>142</v>
      </c>
      <c r="Z7409">
        <v>547.72349999999994</v>
      </c>
      <c r="AA7409">
        <v>1070.5429999999999</v>
      </c>
      <c r="AB7409">
        <v>51.304310000000001</v>
      </c>
      <c r="AC7409">
        <v>3.6474100000000002E-2</v>
      </c>
      <c r="AD7409">
        <v>8.5644120000000008</v>
      </c>
      <c r="AE7409">
        <v>0.1456094</v>
      </c>
      <c r="AF7409">
        <v>574.99300000000005</v>
      </c>
      <c r="AG7409">
        <f>IFERROR(AH7409*0.1, "N/A")</f>
        <v>5.3000000000000007</v>
      </c>
      <c r="AH7409">
        <v>53</v>
      </c>
      <c r="AI7409">
        <v>158.7561</v>
      </c>
      <c r="AJ7409">
        <v>30</v>
      </c>
      <c r="AK7409">
        <v>50.88</v>
      </c>
    </row>
    <row r="7410" spans="1:37" x14ac:dyDescent="0.3">
      <c r="A7410">
        <v>7409</v>
      </c>
      <c r="B7410">
        <v>0</v>
      </c>
      <c r="C7410">
        <v>-9.8859999999999992</v>
      </c>
      <c r="D7410">
        <v>8.3000000000000007</v>
      </c>
      <c r="E7410">
        <f>-9.886-8.3</f>
        <v>-18.186</v>
      </c>
      <c r="F7410" t="s">
        <v>10994</v>
      </c>
      <c r="G7410" t="s">
        <v>37</v>
      </c>
      <c r="H7410">
        <v>1987</v>
      </c>
      <c r="I7410">
        <v>24.13617</v>
      </c>
      <c r="J7410">
        <v>14.81809</v>
      </c>
      <c r="K7410">
        <v>74</v>
      </c>
      <c r="L7410">
        <v>9.4092520000000004</v>
      </c>
      <c r="M7410">
        <v>33.936169999999997</v>
      </c>
      <c r="N7410">
        <v>13.95426</v>
      </c>
      <c r="O7410">
        <v>19.981909999999999</v>
      </c>
      <c r="P7410">
        <v>23.21809</v>
      </c>
      <c r="Q7410">
        <v>23.754259999999999</v>
      </c>
      <c r="R7410">
        <v>24.936170000000001</v>
      </c>
      <c r="S7410">
        <v>23.036169999999998</v>
      </c>
      <c r="T7410">
        <v>2708.99</v>
      </c>
      <c r="U7410">
        <v>448.81909999999999</v>
      </c>
      <c r="V7410">
        <v>19</v>
      </c>
      <c r="W7410">
        <v>59.819130000000001</v>
      </c>
      <c r="X7410">
        <v>1210.819</v>
      </c>
      <c r="Y7410">
        <v>142</v>
      </c>
      <c r="Z7410">
        <v>547.72349999999994</v>
      </c>
      <c r="AA7410">
        <v>1070.5429999999999</v>
      </c>
      <c r="AB7410">
        <v>51.304310000000001</v>
      </c>
      <c r="AC7410">
        <v>3.6474100000000002E-2</v>
      </c>
      <c r="AD7410">
        <v>8.5644120000000008</v>
      </c>
      <c r="AE7410">
        <v>0.1456094</v>
      </c>
      <c r="AF7410">
        <v>574.99300000000005</v>
      </c>
      <c r="AG7410">
        <f>IFERROR(AH7410*0.1, "N/A")</f>
        <v>5.3000000000000007</v>
      </c>
      <c r="AH7410">
        <v>53</v>
      </c>
      <c r="AI7410">
        <v>158.7561</v>
      </c>
      <c r="AJ7410">
        <v>30</v>
      </c>
      <c r="AK7410">
        <v>50.88</v>
      </c>
    </row>
    <row r="7411" spans="1:37" x14ac:dyDescent="0.3">
      <c r="A7411">
        <v>7410</v>
      </c>
      <c r="B7411">
        <v>0</v>
      </c>
      <c r="C7411">
        <v>-10.1349</v>
      </c>
      <c r="D7411">
        <v>8.31053</v>
      </c>
      <c r="E7411">
        <f>-10.1349-8.31053</f>
        <v>-18.445430000000002</v>
      </c>
      <c r="F7411" t="s">
        <v>10995</v>
      </c>
      <c r="G7411" t="s">
        <v>39</v>
      </c>
      <c r="H7411">
        <v>1987</v>
      </c>
      <c r="I7411">
        <v>24.7</v>
      </c>
      <c r="J7411">
        <v>14.3</v>
      </c>
      <c r="K7411">
        <v>71</v>
      </c>
      <c r="L7411">
        <v>12.86</v>
      </c>
      <c r="M7411">
        <v>34.200000000000003</v>
      </c>
      <c r="N7411">
        <v>14.2</v>
      </c>
      <c r="O7411">
        <v>20</v>
      </c>
      <c r="P7411">
        <v>23.4</v>
      </c>
      <c r="Q7411">
        <v>24.1</v>
      </c>
      <c r="R7411">
        <v>25.7</v>
      </c>
      <c r="S7411">
        <v>23.2</v>
      </c>
      <c r="T7411">
        <v>2613</v>
      </c>
      <c r="U7411">
        <v>449</v>
      </c>
      <c r="V7411">
        <v>16</v>
      </c>
      <c r="W7411">
        <v>62</v>
      </c>
      <c r="X7411">
        <v>1165</v>
      </c>
      <c r="Y7411">
        <v>115</v>
      </c>
      <c r="Z7411">
        <v>565</v>
      </c>
      <c r="AA7411">
        <v>1021</v>
      </c>
      <c r="AB7411">
        <v>41.834420000000001</v>
      </c>
      <c r="AC7411">
        <v>8.6794209999999997E-3</v>
      </c>
      <c r="AD7411">
        <v>7.3148960000000001</v>
      </c>
      <c r="AE7411">
        <v>0.21671360000000001</v>
      </c>
      <c r="AF7411">
        <v>531.32870000000003</v>
      </c>
      <c r="AG7411">
        <f>IFERROR(AH7411*0.1, "N/A")</f>
        <v>5.3000000000000007</v>
      </c>
      <c r="AH7411">
        <v>53</v>
      </c>
      <c r="AI7411">
        <v>186.68979999999999</v>
      </c>
      <c r="AJ7411">
        <v>26.013839999999998</v>
      </c>
      <c r="AK7411">
        <v>56.993079999999999</v>
      </c>
    </row>
    <row r="7412" spans="1:37" x14ac:dyDescent="0.3">
      <c r="A7412">
        <v>7411</v>
      </c>
      <c r="B7412">
        <v>0</v>
      </c>
      <c r="C7412">
        <v>-10.285600000000001</v>
      </c>
      <c r="D7412">
        <v>8.3314000000000004</v>
      </c>
      <c r="E7412">
        <f>-10.2856-8.3314</f>
        <v>-18.617000000000001</v>
      </c>
      <c r="F7412" t="s">
        <v>10996</v>
      </c>
      <c r="G7412" t="s">
        <v>39</v>
      </c>
      <c r="H7412">
        <v>1987</v>
      </c>
      <c r="I7412">
        <v>25</v>
      </c>
      <c r="J7412">
        <v>13.9</v>
      </c>
      <c r="K7412">
        <v>70</v>
      </c>
      <c r="L7412">
        <v>11.54</v>
      </c>
      <c r="M7412">
        <v>34.6</v>
      </c>
      <c r="N7412">
        <v>14.9</v>
      </c>
      <c r="O7412">
        <v>19.7</v>
      </c>
      <c r="P7412">
        <v>23.8</v>
      </c>
      <c r="Q7412">
        <v>24.5</v>
      </c>
      <c r="R7412">
        <v>26.2</v>
      </c>
      <c r="S7412">
        <v>23.7</v>
      </c>
      <c r="T7412">
        <v>2597</v>
      </c>
      <c r="U7412">
        <v>444</v>
      </c>
      <c r="V7412">
        <v>15</v>
      </c>
      <c r="W7412">
        <v>63</v>
      </c>
      <c r="X7412">
        <v>1153</v>
      </c>
      <c r="Y7412">
        <v>103</v>
      </c>
      <c r="Z7412">
        <v>519</v>
      </c>
      <c r="AA7412">
        <v>1018</v>
      </c>
      <c r="AB7412">
        <v>11.625080000000001</v>
      </c>
      <c r="AC7412">
        <v>0.13536490000000001</v>
      </c>
      <c r="AD7412">
        <v>11.261340000000001</v>
      </c>
      <c r="AE7412">
        <v>0.23020750000000001</v>
      </c>
      <c r="AF7412">
        <v>457.89269999999999</v>
      </c>
      <c r="AG7412">
        <f>IFERROR(AH7412*0.1, "N/A")</f>
        <v>5.1000000000000005</v>
      </c>
      <c r="AH7412">
        <v>51</v>
      </c>
      <c r="AI7412">
        <v>64.442269999999994</v>
      </c>
      <c r="AJ7412">
        <v>24.8218</v>
      </c>
      <c r="AK7412">
        <v>55.785469999999997</v>
      </c>
    </row>
    <row r="7413" spans="1:37" x14ac:dyDescent="0.3">
      <c r="A7413">
        <v>7412</v>
      </c>
      <c r="B7413">
        <v>1</v>
      </c>
      <c r="C7413">
        <v>-9.8330000000000002</v>
      </c>
      <c r="D7413">
        <v>8.3330000000000002</v>
      </c>
      <c r="E7413">
        <f>-9.833-8.333</f>
        <v>-18.166</v>
      </c>
      <c r="F7413" t="s">
        <v>10997</v>
      </c>
      <c r="G7413" t="s">
        <v>39</v>
      </c>
      <c r="H7413">
        <v>1987</v>
      </c>
      <c r="I7413">
        <v>24.149139999999999</v>
      </c>
      <c r="J7413">
        <v>15.04914</v>
      </c>
      <c r="K7413">
        <v>73.491349999999997</v>
      </c>
      <c r="L7413">
        <v>9.2259510000000002</v>
      </c>
      <c r="M7413">
        <v>34.109690000000001</v>
      </c>
      <c r="N7413">
        <v>13.752940000000001</v>
      </c>
      <c r="O7413">
        <v>20.356750000000002</v>
      </c>
      <c r="P7413">
        <v>23.205880000000001</v>
      </c>
      <c r="Q7413">
        <v>23.752939999999999</v>
      </c>
      <c r="R7413">
        <v>25.049140000000001</v>
      </c>
      <c r="S7413">
        <v>23.049140000000001</v>
      </c>
      <c r="T7413">
        <v>2744.768</v>
      </c>
      <c r="U7413">
        <v>447.50869999999998</v>
      </c>
      <c r="V7413">
        <v>19</v>
      </c>
      <c r="W7413">
        <v>59</v>
      </c>
      <c r="X7413">
        <v>1225.509</v>
      </c>
      <c r="Y7413">
        <v>148.52940000000001</v>
      </c>
      <c r="Z7413">
        <v>557.52940000000001</v>
      </c>
      <c r="AA7413">
        <v>1091.0999999999999</v>
      </c>
      <c r="AB7413">
        <v>21.81784</v>
      </c>
      <c r="AC7413">
        <v>3.4715839999999998E-2</v>
      </c>
      <c r="AD7413">
        <v>5.2989030000000001</v>
      </c>
      <c r="AE7413">
        <v>0.16355500000000001</v>
      </c>
      <c r="AF7413">
        <v>574.4325</v>
      </c>
      <c r="AG7413">
        <f>IFERROR(AH7413*0.1, "N/A")</f>
        <v>5.1828719999999997</v>
      </c>
      <c r="AH7413">
        <v>51.828719999999997</v>
      </c>
      <c r="AI7413">
        <v>232.048</v>
      </c>
      <c r="AJ7413">
        <v>28.2301</v>
      </c>
      <c r="AK7413">
        <v>54.605539999999998</v>
      </c>
    </row>
    <row r="7414" spans="1:37" x14ac:dyDescent="0.3">
      <c r="A7414">
        <v>7413</v>
      </c>
      <c r="B7414">
        <v>0</v>
      </c>
      <c r="C7414">
        <v>-9.8330000000000002</v>
      </c>
      <c r="D7414">
        <v>8.3330000000000002</v>
      </c>
      <c r="E7414">
        <f>-9.833-8.333</f>
        <v>-18.166</v>
      </c>
      <c r="F7414" t="s">
        <v>10998</v>
      </c>
      <c r="G7414" t="s">
        <v>37</v>
      </c>
      <c r="H7414">
        <v>1987</v>
      </c>
      <c r="I7414">
        <v>24.149139999999999</v>
      </c>
      <c r="J7414">
        <v>15.04914</v>
      </c>
      <c r="K7414">
        <v>73.491349999999997</v>
      </c>
      <c r="L7414">
        <v>9.2259510000000002</v>
      </c>
      <c r="M7414">
        <v>34.109690000000001</v>
      </c>
      <c r="N7414">
        <v>13.752940000000001</v>
      </c>
      <c r="O7414">
        <v>20.356750000000002</v>
      </c>
      <c r="P7414">
        <v>23.205880000000001</v>
      </c>
      <c r="Q7414">
        <v>23.752939999999999</v>
      </c>
      <c r="R7414">
        <v>25.049140000000001</v>
      </c>
      <c r="S7414">
        <v>23.049140000000001</v>
      </c>
      <c r="T7414">
        <v>2744.768</v>
      </c>
      <c r="U7414">
        <v>447.50869999999998</v>
      </c>
      <c r="V7414">
        <v>19</v>
      </c>
      <c r="W7414">
        <v>59</v>
      </c>
      <c r="X7414">
        <v>1225.509</v>
      </c>
      <c r="Y7414">
        <v>148.52940000000001</v>
      </c>
      <c r="Z7414">
        <v>557.52940000000001</v>
      </c>
      <c r="AA7414">
        <v>1091.0999999999999</v>
      </c>
      <c r="AB7414">
        <v>21.81784</v>
      </c>
      <c r="AC7414">
        <v>3.4715839999999998E-2</v>
      </c>
      <c r="AD7414">
        <v>5.2989030000000001</v>
      </c>
      <c r="AE7414">
        <v>0.16355500000000001</v>
      </c>
      <c r="AF7414">
        <v>574.4325</v>
      </c>
      <c r="AG7414">
        <f>IFERROR(AH7414*0.1, "N/A")</f>
        <v>5.1828719999999997</v>
      </c>
      <c r="AH7414">
        <v>51.828719999999997</v>
      </c>
      <c r="AI7414">
        <v>232.048</v>
      </c>
      <c r="AJ7414">
        <v>28.2301</v>
      </c>
      <c r="AK7414">
        <v>54.605539999999998</v>
      </c>
    </row>
    <row r="7415" spans="1:37" x14ac:dyDescent="0.3">
      <c r="A7415">
        <v>7414</v>
      </c>
      <c r="B7415">
        <v>41.6</v>
      </c>
      <c r="C7415">
        <v>-10.1972</v>
      </c>
      <c r="D7415">
        <v>8.3552800000000005</v>
      </c>
      <c r="E7415">
        <f>-10.1972-8.35528</f>
        <v>-18.552480000000003</v>
      </c>
      <c r="F7415" t="s">
        <v>10999</v>
      </c>
      <c r="G7415" t="s">
        <v>39</v>
      </c>
      <c r="H7415">
        <v>1987</v>
      </c>
      <c r="I7415">
        <v>25</v>
      </c>
      <c r="J7415">
        <v>14.2</v>
      </c>
      <c r="K7415">
        <v>69</v>
      </c>
      <c r="L7415">
        <v>13.36</v>
      </c>
      <c r="M7415">
        <v>34.6</v>
      </c>
      <c r="N7415">
        <v>14.3</v>
      </c>
      <c r="O7415">
        <v>20.3</v>
      </c>
      <c r="P7415">
        <v>23.6</v>
      </c>
      <c r="Q7415">
        <v>24.3</v>
      </c>
      <c r="R7415">
        <v>26.1</v>
      </c>
      <c r="S7415">
        <v>23.5</v>
      </c>
      <c r="T7415">
        <v>2589</v>
      </c>
      <c r="U7415">
        <v>446</v>
      </c>
      <c r="V7415">
        <v>15</v>
      </c>
      <c r="W7415">
        <v>63</v>
      </c>
      <c r="X7415">
        <v>1153</v>
      </c>
      <c r="Y7415">
        <v>106</v>
      </c>
      <c r="Z7415">
        <v>514</v>
      </c>
      <c r="AA7415">
        <v>1012</v>
      </c>
      <c r="AB7415">
        <v>29.713840000000001</v>
      </c>
      <c r="AC7415">
        <v>5.4075619999999998E-2</v>
      </c>
      <c r="AD7415">
        <v>7.9110930000000002</v>
      </c>
      <c r="AE7415">
        <v>0.44388739999999999</v>
      </c>
      <c r="AF7415">
        <v>483.91</v>
      </c>
      <c r="AG7415">
        <f>IFERROR(AH7415*0.1, "N/A")</f>
        <v>5.2806230000000003</v>
      </c>
      <c r="AH7415">
        <v>52.806229999999999</v>
      </c>
      <c r="AI7415">
        <v>185.54179999999999</v>
      </c>
      <c r="AJ7415">
        <v>25.681660000000001</v>
      </c>
      <c r="AK7415">
        <v>56.278550000000003</v>
      </c>
    </row>
    <row r="7416" spans="1:37" x14ac:dyDescent="0.3">
      <c r="A7416">
        <v>7415</v>
      </c>
      <c r="B7416">
        <v>0</v>
      </c>
      <c r="C7416">
        <v>-10.1972</v>
      </c>
      <c r="D7416">
        <v>8.3552800000000005</v>
      </c>
      <c r="E7416">
        <f>-10.1972-8.35528</f>
        <v>-18.552480000000003</v>
      </c>
      <c r="F7416" t="s">
        <v>11000</v>
      </c>
      <c r="G7416" t="s">
        <v>37</v>
      </c>
      <c r="H7416">
        <v>1987</v>
      </c>
      <c r="I7416">
        <v>25</v>
      </c>
      <c r="J7416">
        <v>14.2</v>
      </c>
      <c r="K7416">
        <v>69</v>
      </c>
      <c r="L7416">
        <v>13.36</v>
      </c>
      <c r="M7416">
        <v>34.6</v>
      </c>
      <c r="N7416">
        <v>14.3</v>
      </c>
      <c r="O7416">
        <v>20.3</v>
      </c>
      <c r="P7416">
        <v>23.6</v>
      </c>
      <c r="Q7416">
        <v>24.3</v>
      </c>
      <c r="R7416">
        <v>26.1</v>
      </c>
      <c r="S7416">
        <v>23.5</v>
      </c>
      <c r="T7416">
        <v>2589</v>
      </c>
      <c r="U7416">
        <v>446</v>
      </c>
      <c r="V7416">
        <v>15</v>
      </c>
      <c r="W7416">
        <v>63</v>
      </c>
      <c r="X7416">
        <v>1153</v>
      </c>
      <c r="Y7416">
        <v>106</v>
      </c>
      <c r="Z7416">
        <v>514</v>
      </c>
      <c r="AA7416">
        <v>1012</v>
      </c>
      <c r="AB7416">
        <v>29.713840000000001</v>
      </c>
      <c r="AC7416">
        <v>5.4075619999999998E-2</v>
      </c>
      <c r="AD7416">
        <v>7.9110930000000002</v>
      </c>
      <c r="AE7416">
        <v>0.44388739999999999</v>
      </c>
      <c r="AF7416">
        <v>483.91</v>
      </c>
      <c r="AG7416">
        <f>IFERROR(AH7416*0.1, "N/A")</f>
        <v>5.2806230000000003</v>
      </c>
      <c r="AH7416">
        <v>52.806229999999999</v>
      </c>
      <c r="AI7416">
        <v>185.54179999999999</v>
      </c>
      <c r="AJ7416">
        <v>25.681660000000001</v>
      </c>
      <c r="AK7416">
        <v>56.278550000000003</v>
      </c>
    </row>
    <row r="7417" spans="1:37" x14ac:dyDescent="0.3">
      <c r="A7417">
        <v>7416</v>
      </c>
      <c r="B7417">
        <v>0</v>
      </c>
      <c r="C7417">
        <v>-9.8347200000000008</v>
      </c>
      <c r="D7417">
        <v>8.3588900000000006</v>
      </c>
      <c r="E7417">
        <f>-9.83472-8.35889</f>
        <v>-18.19361</v>
      </c>
      <c r="F7417" t="s">
        <v>11001</v>
      </c>
      <c r="G7417" t="s">
        <v>39</v>
      </c>
      <c r="H7417">
        <v>1987</v>
      </c>
      <c r="I7417">
        <v>24.2</v>
      </c>
      <c r="J7417">
        <v>15.2</v>
      </c>
      <c r="K7417">
        <v>74</v>
      </c>
      <c r="L7417">
        <v>9.2899999999999991</v>
      </c>
      <c r="M7417">
        <v>34.200000000000003</v>
      </c>
      <c r="N7417">
        <v>13.7</v>
      </c>
      <c r="O7417">
        <v>20.5</v>
      </c>
      <c r="P7417">
        <v>23.3</v>
      </c>
      <c r="Q7417">
        <v>23.8</v>
      </c>
      <c r="R7417">
        <v>25.1</v>
      </c>
      <c r="S7417">
        <v>23.1</v>
      </c>
      <c r="T7417">
        <v>2759</v>
      </c>
      <c r="U7417">
        <v>447</v>
      </c>
      <c r="V7417">
        <v>19</v>
      </c>
      <c r="W7417">
        <v>59</v>
      </c>
      <c r="X7417">
        <v>1228</v>
      </c>
      <c r="Y7417">
        <v>148</v>
      </c>
      <c r="Z7417">
        <v>560</v>
      </c>
      <c r="AA7417">
        <v>1099</v>
      </c>
      <c r="AB7417">
        <v>25.20072</v>
      </c>
      <c r="AC7417">
        <v>2.7908289999999999E-2</v>
      </c>
      <c r="AD7417">
        <v>3.9400940000000002</v>
      </c>
      <c r="AE7417">
        <v>0.16863639999999999</v>
      </c>
      <c r="AF7417">
        <v>563.73009999999999</v>
      </c>
      <c r="AG7417">
        <f>IFERROR(AH7417*0.1, "N/A")</f>
        <v>5.0003460000000004</v>
      </c>
      <c r="AH7417">
        <v>50.003459999999997</v>
      </c>
      <c r="AI7417">
        <v>203.8861</v>
      </c>
      <c r="AJ7417">
        <v>29.001729999999998</v>
      </c>
      <c r="AK7417">
        <v>54.998269999999998</v>
      </c>
    </row>
    <row r="7418" spans="1:37" x14ac:dyDescent="0.3">
      <c r="A7418">
        <v>7417</v>
      </c>
      <c r="B7418">
        <v>0</v>
      </c>
      <c r="C7418">
        <v>-9.8347200000000008</v>
      </c>
      <c r="D7418">
        <v>8.3588900000000006</v>
      </c>
      <c r="E7418">
        <f>-9.83472-8.35889</f>
        <v>-18.19361</v>
      </c>
      <c r="F7418" t="s">
        <v>11002</v>
      </c>
      <c r="G7418" t="s">
        <v>37</v>
      </c>
      <c r="H7418">
        <v>1987</v>
      </c>
      <c r="I7418">
        <v>24.2</v>
      </c>
      <c r="J7418">
        <v>15.2</v>
      </c>
      <c r="K7418">
        <v>74</v>
      </c>
      <c r="L7418">
        <v>9.2899999999999991</v>
      </c>
      <c r="M7418">
        <v>34.200000000000003</v>
      </c>
      <c r="N7418">
        <v>13.7</v>
      </c>
      <c r="O7418">
        <v>20.5</v>
      </c>
      <c r="P7418">
        <v>23.3</v>
      </c>
      <c r="Q7418">
        <v>23.8</v>
      </c>
      <c r="R7418">
        <v>25.1</v>
      </c>
      <c r="S7418">
        <v>23.1</v>
      </c>
      <c r="T7418">
        <v>2759</v>
      </c>
      <c r="U7418">
        <v>447</v>
      </c>
      <c r="V7418">
        <v>19</v>
      </c>
      <c r="W7418">
        <v>59</v>
      </c>
      <c r="X7418">
        <v>1228</v>
      </c>
      <c r="Y7418">
        <v>148</v>
      </c>
      <c r="Z7418">
        <v>560</v>
      </c>
      <c r="AA7418">
        <v>1099</v>
      </c>
      <c r="AB7418">
        <v>25.20072</v>
      </c>
      <c r="AC7418">
        <v>2.7908289999999999E-2</v>
      </c>
      <c r="AD7418">
        <v>3.9400940000000002</v>
      </c>
      <c r="AE7418">
        <v>0.16863639999999999</v>
      </c>
      <c r="AF7418">
        <v>563.73009999999999</v>
      </c>
      <c r="AG7418">
        <f>IFERROR(AH7418*0.1, "N/A")</f>
        <v>5.0003460000000004</v>
      </c>
      <c r="AH7418">
        <v>50.003459999999997</v>
      </c>
      <c r="AI7418">
        <v>203.8861</v>
      </c>
      <c r="AJ7418">
        <v>29.001729999999998</v>
      </c>
      <c r="AK7418">
        <v>54.998269999999998</v>
      </c>
    </row>
    <row r="7419" spans="1:37" x14ac:dyDescent="0.3">
      <c r="A7419">
        <v>7418</v>
      </c>
      <c r="B7419">
        <v>15</v>
      </c>
      <c r="C7419">
        <v>-10.1988</v>
      </c>
      <c r="D7419">
        <v>8.3627300000000009</v>
      </c>
      <c r="E7419">
        <f>-10.1988-8.36273</f>
        <v>-18.561530000000001</v>
      </c>
      <c r="F7419" t="s">
        <v>11003</v>
      </c>
      <c r="G7419" t="s">
        <v>39</v>
      </c>
      <c r="H7419">
        <v>1987</v>
      </c>
      <c r="I7419">
        <v>25</v>
      </c>
      <c r="J7419">
        <v>14.3</v>
      </c>
      <c r="K7419">
        <v>70</v>
      </c>
      <c r="L7419">
        <v>13.39</v>
      </c>
      <c r="M7419">
        <v>34.700000000000003</v>
      </c>
      <c r="N7419">
        <v>14.3</v>
      </c>
      <c r="O7419">
        <v>20.399999999999999</v>
      </c>
      <c r="P7419">
        <v>23.7</v>
      </c>
      <c r="Q7419">
        <v>24.4</v>
      </c>
      <c r="R7419">
        <v>26.2</v>
      </c>
      <c r="S7419">
        <v>23.6</v>
      </c>
      <c r="T7419">
        <v>2584</v>
      </c>
      <c r="U7419">
        <v>445</v>
      </c>
      <c r="V7419">
        <v>15</v>
      </c>
      <c r="W7419">
        <v>63</v>
      </c>
      <c r="X7419">
        <v>1150</v>
      </c>
      <c r="Y7419">
        <v>105</v>
      </c>
      <c r="Z7419">
        <v>513</v>
      </c>
      <c r="AA7419">
        <v>1010</v>
      </c>
      <c r="AB7419">
        <v>5.4851539999999996</v>
      </c>
      <c r="AC7419">
        <v>0.68901140000000005</v>
      </c>
      <c r="AD7419">
        <v>3.1736970000000002</v>
      </c>
      <c r="AE7419">
        <v>0.75227509999999997</v>
      </c>
      <c r="AF7419">
        <v>444.19690000000003</v>
      </c>
      <c r="AG7419">
        <f>IFERROR(AH7419*0.1, "N/A")</f>
        <v>5.1000000000000005</v>
      </c>
      <c r="AH7419">
        <v>51</v>
      </c>
      <c r="AI7419">
        <v>306.71629999999999</v>
      </c>
      <c r="AJ7419">
        <v>22.100169999999999</v>
      </c>
      <c r="AK7419">
        <v>58.79965</v>
      </c>
    </row>
    <row r="7420" spans="1:37" x14ac:dyDescent="0.3">
      <c r="A7420">
        <v>7419</v>
      </c>
      <c r="B7420">
        <v>0</v>
      </c>
      <c r="C7420">
        <v>-10.1988</v>
      </c>
      <c r="D7420">
        <v>8.3627300000000009</v>
      </c>
      <c r="E7420">
        <f>-10.1988-8.36273</f>
        <v>-18.561530000000001</v>
      </c>
      <c r="F7420" t="s">
        <v>11004</v>
      </c>
      <c r="G7420" t="s">
        <v>37</v>
      </c>
      <c r="H7420">
        <v>1987</v>
      </c>
      <c r="I7420">
        <v>25</v>
      </c>
      <c r="J7420">
        <v>14.3</v>
      </c>
      <c r="K7420">
        <v>70</v>
      </c>
      <c r="L7420">
        <v>13.39</v>
      </c>
      <c r="M7420">
        <v>34.700000000000003</v>
      </c>
      <c r="N7420">
        <v>14.3</v>
      </c>
      <c r="O7420">
        <v>20.399999999999999</v>
      </c>
      <c r="P7420">
        <v>23.7</v>
      </c>
      <c r="Q7420">
        <v>24.4</v>
      </c>
      <c r="R7420">
        <v>26.2</v>
      </c>
      <c r="S7420">
        <v>23.6</v>
      </c>
      <c r="T7420">
        <v>2584</v>
      </c>
      <c r="U7420">
        <v>445</v>
      </c>
      <c r="V7420">
        <v>15</v>
      </c>
      <c r="W7420">
        <v>63</v>
      </c>
      <c r="X7420">
        <v>1150</v>
      </c>
      <c r="Y7420">
        <v>105</v>
      </c>
      <c r="Z7420">
        <v>513</v>
      </c>
      <c r="AA7420">
        <v>1010</v>
      </c>
      <c r="AB7420">
        <v>5.4851539999999996</v>
      </c>
      <c r="AC7420">
        <v>0.68901140000000005</v>
      </c>
      <c r="AD7420">
        <v>3.1736970000000002</v>
      </c>
      <c r="AE7420">
        <v>0.75227509999999997</v>
      </c>
      <c r="AF7420">
        <v>444.19690000000003</v>
      </c>
      <c r="AG7420">
        <f>IFERROR(AH7420*0.1, "N/A")</f>
        <v>5.1000000000000005</v>
      </c>
      <c r="AH7420">
        <v>51</v>
      </c>
      <c r="AI7420">
        <v>306.71629999999999</v>
      </c>
      <c r="AJ7420">
        <v>22.100169999999999</v>
      </c>
      <c r="AK7420">
        <v>58.79965</v>
      </c>
    </row>
    <row r="7421" spans="1:37" x14ac:dyDescent="0.3">
      <c r="A7421">
        <v>7420</v>
      </c>
      <c r="B7421">
        <v>0</v>
      </c>
      <c r="C7421">
        <v>-10.2689</v>
      </c>
      <c r="D7421">
        <v>8.3633000000000006</v>
      </c>
      <c r="E7421">
        <f>-10.2689-8.3633</f>
        <v>-18.632200000000001</v>
      </c>
      <c r="F7421" t="s">
        <v>11005</v>
      </c>
      <c r="G7421" t="s">
        <v>39</v>
      </c>
      <c r="H7421">
        <v>1987</v>
      </c>
      <c r="I7421">
        <v>25.1</v>
      </c>
      <c r="J7421">
        <v>14.1</v>
      </c>
      <c r="K7421">
        <v>69</v>
      </c>
      <c r="L7421">
        <v>12.28</v>
      </c>
      <c r="M7421">
        <v>34.9</v>
      </c>
      <c r="N7421">
        <v>14.7</v>
      </c>
      <c r="O7421">
        <v>20.2</v>
      </c>
      <c r="P7421">
        <v>23.8</v>
      </c>
      <c r="Q7421">
        <v>24.4</v>
      </c>
      <c r="R7421">
        <v>26.3</v>
      </c>
      <c r="S7421">
        <v>23.7</v>
      </c>
      <c r="T7421">
        <v>2583</v>
      </c>
      <c r="U7421">
        <v>443</v>
      </c>
      <c r="V7421">
        <v>15</v>
      </c>
      <c r="W7421">
        <v>63</v>
      </c>
      <c r="X7421">
        <v>1148</v>
      </c>
      <c r="Y7421">
        <v>101</v>
      </c>
      <c r="Z7421">
        <v>516</v>
      </c>
      <c r="AA7421">
        <v>1012</v>
      </c>
      <c r="AB7421">
        <v>39.714359999999999</v>
      </c>
      <c r="AC7421">
        <v>1.276131E-2</v>
      </c>
      <c r="AD7421">
        <v>9.0630970000000008</v>
      </c>
      <c r="AE7421">
        <v>0.29245949999999998</v>
      </c>
      <c r="AF7421">
        <v>464.56920000000002</v>
      </c>
      <c r="AG7421">
        <f>IFERROR(AH7421*0.1, "N/A")</f>
        <v>5.0929070000000003</v>
      </c>
      <c r="AH7421">
        <v>50.929070000000003</v>
      </c>
      <c r="AI7421">
        <v>47.65652</v>
      </c>
      <c r="AJ7421">
        <v>26.859860000000001</v>
      </c>
      <c r="AK7421">
        <v>53.780279999999998</v>
      </c>
    </row>
    <row r="7422" spans="1:37" x14ac:dyDescent="0.3">
      <c r="A7422">
        <v>7421</v>
      </c>
      <c r="B7422">
        <v>17</v>
      </c>
      <c r="C7422">
        <v>-9.9359999999999999</v>
      </c>
      <c r="D7422">
        <v>8.3670000000000009</v>
      </c>
      <c r="E7422">
        <f>-9.936-8.367</f>
        <v>-18.303000000000001</v>
      </c>
      <c r="F7422" t="s">
        <v>11006</v>
      </c>
      <c r="G7422" t="s">
        <v>39</v>
      </c>
      <c r="H7422">
        <v>1987</v>
      </c>
      <c r="I7422">
        <v>24.541</v>
      </c>
      <c r="J7422">
        <v>14.959</v>
      </c>
      <c r="K7422">
        <v>73.410030000000006</v>
      </c>
      <c r="L7422">
        <v>10.7723</v>
      </c>
      <c r="M7422">
        <v>34.158999999999999</v>
      </c>
      <c r="N7422">
        <v>13.982010000000001</v>
      </c>
      <c r="O7422">
        <v>20.17699</v>
      </c>
      <c r="P7422">
        <v>23.440999999999999</v>
      </c>
      <c r="Q7422">
        <v>24.041</v>
      </c>
      <c r="R7422">
        <v>25.440999999999999</v>
      </c>
      <c r="S7422">
        <v>23.3</v>
      </c>
      <c r="T7422">
        <v>2701.59</v>
      </c>
      <c r="U7422">
        <v>448</v>
      </c>
      <c r="V7422">
        <v>17</v>
      </c>
      <c r="W7422">
        <v>60</v>
      </c>
      <c r="X7422">
        <v>1201.5899999999999</v>
      </c>
      <c r="Y7422">
        <v>133</v>
      </c>
      <c r="Z7422">
        <v>542</v>
      </c>
      <c r="AA7422">
        <v>1067.5899999999999</v>
      </c>
      <c r="AB7422">
        <v>5.8188550000000001</v>
      </c>
      <c r="AC7422">
        <v>1.005381E-2</v>
      </c>
      <c r="AD7422">
        <v>1.8384640000000001</v>
      </c>
      <c r="AE7422">
        <v>0.19191169999999999</v>
      </c>
      <c r="AF7422">
        <v>502.78370000000001</v>
      </c>
      <c r="AG7422">
        <f>IFERROR(AH7422*0.1, "N/A")</f>
        <v>5.1000000000000005</v>
      </c>
      <c r="AH7422">
        <v>51</v>
      </c>
      <c r="AI7422">
        <v>197.8674</v>
      </c>
      <c r="AJ7422">
        <v>27.979240000000001</v>
      </c>
      <c r="AK7422">
        <v>53</v>
      </c>
    </row>
    <row r="7423" spans="1:37" x14ac:dyDescent="0.3">
      <c r="A7423">
        <v>7422</v>
      </c>
      <c r="B7423">
        <v>0.2</v>
      </c>
      <c r="C7423">
        <v>-9.9359999999999999</v>
      </c>
      <c r="D7423">
        <v>8.3670000000000009</v>
      </c>
      <c r="E7423">
        <f>-9.936-8.367</f>
        <v>-18.303000000000001</v>
      </c>
      <c r="F7423" t="s">
        <v>11007</v>
      </c>
      <c r="G7423" t="s">
        <v>37</v>
      </c>
      <c r="H7423">
        <v>1987</v>
      </c>
      <c r="I7423">
        <v>24.541</v>
      </c>
      <c r="J7423">
        <v>14.959</v>
      </c>
      <c r="K7423">
        <v>73.410030000000006</v>
      </c>
      <c r="L7423">
        <v>10.7723</v>
      </c>
      <c r="M7423">
        <v>34.158999999999999</v>
      </c>
      <c r="N7423">
        <v>13.982010000000001</v>
      </c>
      <c r="O7423">
        <v>20.17699</v>
      </c>
      <c r="P7423">
        <v>23.440999999999999</v>
      </c>
      <c r="Q7423">
        <v>24.041</v>
      </c>
      <c r="R7423">
        <v>25.440999999999999</v>
      </c>
      <c r="S7423">
        <v>23.3</v>
      </c>
      <c r="T7423">
        <v>2701.59</v>
      </c>
      <c r="U7423">
        <v>448</v>
      </c>
      <c r="V7423">
        <v>17</v>
      </c>
      <c r="W7423">
        <v>60</v>
      </c>
      <c r="X7423">
        <v>1201.5899999999999</v>
      </c>
      <c r="Y7423">
        <v>133</v>
      </c>
      <c r="Z7423">
        <v>542</v>
      </c>
      <c r="AA7423">
        <v>1067.5899999999999</v>
      </c>
      <c r="AB7423">
        <v>5.8188550000000001</v>
      </c>
      <c r="AC7423">
        <v>1.005381E-2</v>
      </c>
      <c r="AD7423">
        <v>1.8384640000000001</v>
      </c>
      <c r="AE7423">
        <v>0.19191169999999999</v>
      </c>
      <c r="AF7423">
        <v>502.78370000000001</v>
      </c>
      <c r="AG7423">
        <f>IFERROR(AH7423*0.1, "N/A")</f>
        <v>5.1000000000000005</v>
      </c>
      <c r="AH7423">
        <v>51</v>
      </c>
      <c r="AI7423">
        <v>197.8674</v>
      </c>
      <c r="AJ7423">
        <v>27.979240000000001</v>
      </c>
      <c r="AK7423">
        <v>53</v>
      </c>
    </row>
    <row r="7424" spans="1:37" x14ac:dyDescent="0.3">
      <c r="A7424">
        <v>7423</v>
      </c>
      <c r="B7424">
        <v>0</v>
      </c>
      <c r="C7424">
        <v>-9.76694</v>
      </c>
      <c r="D7424">
        <v>8.3672199999999997</v>
      </c>
      <c r="E7424">
        <f>-9.76694-8.36722</f>
        <v>-18.134160000000001</v>
      </c>
      <c r="F7424" t="s">
        <v>11008</v>
      </c>
      <c r="G7424" t="s">
        <v>39</v>
      </c>
      <c r="H7424">
        <v>1987</v>
      </c>
      <c r="I7424">
        <v>24.3</v>
      </c>
      <c r="J7424">
        <v>15.311249999999999</v>
      </c>
      <c r="K7424">
        <v>73.342560000000006</v>
      </c>
      <c r="L7424">
        <v>8.7006219999999992</v>
      </c>
      <c r="M7424">
        <v>34.5</v>
      </c>
      <c r="N7424">
        <v>13.83426</v>
      </c>
      <c r="O7424">
        <v>20.66574</v>
      </c>
      <c r="P7424">
        <v>23.5</v>
      </c>
      <c r="Q7424">
        <v>23.92024</v>
      </c>
      <c r="R7424">
        <v>25.22024</v>
      </c>
      <c r="S7424">
        <v>23.320239999999998</v>
      </c>
      <c r="T7424">
        <v>2804.268</v>
      </c>
      <c r="U7424">
        <v>444.88749999999999</v>
      </c>
      <c r="V7424">
        <v>19</v>
      </c>
      <c r="W7424">
        <v>58</v>
      </c>
      <c r="X7424">
        <v>1245.848</v>
      </c>
      <c r="Y7424">
        <v>157.48269999999999</v>
      </c>
      <c r="Z7424">
        <v>573.82529999999997</v>
      </c>
      <c r="AA7424">
        <v>1124.0730000000001</v>
      </c>
      <c r="AB7424">
        <v>16.49654</v>
      </c>
      <c r="AC7424">
        <v>9.3806259999999995E-3</v>
      </c>
      <c r="AD7424">
        <v>3.1550850000000001</v>
      </c>
      <c r="AE7424">
        <v>0.18280460000000001</v>
      </c>
      <c r="AF7424">
        <v>552.37019999999995</v>
      </c>
      <c r="AG7424">
        <f>IFERROR(AH7424*0.1, "N/A")</f>
        <v>5.0140140000000004</v>
      </c>
      <c r="AH7424">
        <v>50.140140000000002</v>
      </c>
      <c r="AI7424">
        <v>267.77870000000001</v>
      </c>
      <c r="AJ7424">
        <v>26.378889999999998</v>
      </c>
      <c r="AK7424">
        <v>53.719720000000002</v>
      </c>
    </row>
    <row r="7425" spans="1:37" x14ac:dyDescent="0.3">
      <c r="A7425">
        <v>7424</v>
      </c>
      <c r="B7425">
        <v>0</v>
      </c>
      <c r="C7425">
        <v>-9.76694</v>
      </c>
      <c r="D7425">
        <v>8.3672199999999997</v>
      </c>
      <c r="E7425">
        <f>-9.76694-8.36722</f>
        <v>-18.134160000000001</v>
      </c>
      <c r="F7425" t="s">
        <v>11009</v>
      </c>
      <c r="G7425" t="s">
        <v>37</v>
      </c>
      <c r="H7425">
        <v>1987</v>
      </c>
      <c r="I7425">
        <v>24.3</v>
      </c>
      <c r="J7425">
        <v>15.311249999999999</v>
      </c>
      <c r="K7425">
        <v>73.342560000000006</v>
      </c>
      <c r="L7425">
        <v>8.7006219999999992</v>
      </c>
      <c r="M7425">
        <v>34.5</v>
      </c>
      <c r="N7425">
        <v>13.83426</v>
      </c>
      <c r="O7425">
        <v>20.66574</v>
      </c>
      <c r="P7425">
        <v>23.5</v>
      </c>
      <c r="Q7425">
        <v>23.92024</v>
      </c>
      <c r="R7425">
        <v>25.22024</v>
      </c>
      <c r="S7425">
        <v>23.320239999999998</v>
      </c>
      <c r="T7425">
        <v>2804.268</v>
      </c>
      <c r="U7425">
        <v>444.88749999999999</v>
      </c>
      <c r="V7425">
        <v>19</v>
      </c>
      <c r="W7425">
        <v>58</v>
      </c>
      <c r="X7425">
        <v>1245.848</v>
      </c>
      <c r="Y7425">
        <v>157.48269999999999</v>
      </c>
      <c r="Z7425">
        <v>573.82529999999997</v>
      </c>
      <c r="AA7425">
        <v>1124.0730000000001</v>
      </c>
      <c r="AB7425">
        <v>16.49654</v>
      </c>
      <c r="AC7425">
        <v>9.3806259999999995E-3</v>
      </c>
      <c r="AD7425">
        <v>3.1550850000000001</v>
      </c>
      <c r="AE7425">
        <v>0.18280460000000001</v>
      </c>
      <c r="AF7425">
        <v>552.37019999999995</v>
      </c>
      <c r="AG7425">
        <f>IFERROR(AH7425*0.1, "N/A")</f>
        <v>5.0140140000000004</v>
      </c>
      <c r="AH7425">
        <v>50.140140000000002</v>
      </c>
      <c r="AI7425">
        <v>267.77870000000001</v>
      </c>
      <c r="AJ7425">
        <v>26.378889999999998</v>
      </c>
      <c r="AK7425">
        <v>53.719720000000002</v>
      </c>
    </row>
    <row r="7426" spans="1:37" x14ac:dyDescent="0.3">
      <c r="A7426">
        <v>7425</v>
      </c>
      <c r="B7426">
        <v>8</v>
      </c>
      <c r="C7426">
        <v>-9.7530000000000001</v>
      </c>
      <c r="D7426">
        <v>8.3840000000000003</v>
      </c>
      <c r="E7426">
        <f>-9.753-8.384</f>
        <v>-18.137</v>
      </c>
      <c r="F7426" t="s">
        <v>11010</v>
      </c>
      <c r="G7426" t="s">
        <v>39</v>
      </c>
      <c r="H7426">
        <v>1987</v>
      </c>
      <c r="I7426">
        <v>24.4</v>
      </c>
      <c r="J7426">
        <v>15.4</v>
      </c>
      <c r="K7426">
        <v>74</v>
      </c>
      <c r="L7426">
        <v>8.4600000000000009</v>
      </c>
      <c r="M7426">
        <v>34.6</v>
      </c>
      <c r="N7426">
        <v>14</v>
      </c>
      <c r="O7426">
        <v>20.6</v>
      </c>
      <c r="P7426">
        <v>23.6</v>
      </c>
      <c r="Q7426">
        <v>24</v>
      </c>
      <c r="R7426">
        <v>25.3</v>
      </c>
      <c r="S7426">
        <v>23.4</v>
      </c>
      <c r="T7426">
        <v>2826</v>
      </c>
      <c r="U7426">
        <v>443</v>
      </c>
      <c r="V7426">
        <v>19</v>
      </c>
      <c r="W7426">
        <v>58</v>
      </c>
      <c r="X7426">
        <v>1252</v>
      </c>
      <c r="Y7426">
        <v>161</v>
      </c>
      <c r="Z7426">
        <v>579</v>
      </c>
      <c r="AA7426">
        <v>1136</v>
      </c>
      <c r="AB7426">
        <v>79.061340000000001</v>
      </c>
      <c r="AC7426">
        <v>8.4583179999999994E-3</v>
      </c>
      <c r="AD7426">
        <v>12.99438</v>
      </c>
      <c r="AE7426">
        <v>0.20427799999999999</v>
      </c>
      <c r="AF7426">
        <v>608.91849999999999</v>
      </c>
      <c r="AG7426">
        <f>IFERROR(AH7426*0.1, "N/A")</f>
        <v>5.3000000000000007</v>
      </c>
      <c r="AH7426">
        <v>53</v>
      </c>
      <c r="AI7426">
        <v>350.0573</v>
      </c>
      <c r="AJ7426">
        <v>30</v>
      </c>
      <c r="AK7426">
        <v>52</v>
      </c>
    </row>
    <row r="7427" spans="1:37" x14ac:dyDescent="0.3">
      <c r="A7427">
        <v>7426</v>
      </c>
      <c r="B7427">
        <v>0</v>
      </c>
      <c r="C7427">
        <v>-9.7530000000000001</v>
      </c>
      <c r="D7427">
        <v>8.3840000000000003</v>
      </c>
      <c r="E7427">
        <f>-9.753-8.384</f>
        <v>-18.137</v>
      </c>
      <c r="F7427" t="s">
        <v>11011</v>
      </c>
      <c r="G7427" t="s">
        <v>37</v>
      </c>
      <c r="H7427">
        <v>1987</v>
      </c>
      <c r="I7427">
        <v>24.4</v>
      </c>
      <c r="J7427">
        <v>15.4</v>
      </c>
      <c r="K7427">
        <v>74</v>
      </c>
      <c r="L7427">
        <v>8.4600000000000009</v>
      </c>
      <c r="M7427">
        <v>34.6</v>
      </c>
      <c r="N7427">
        <v>14</v>
      </c>
      <c r="O7427">
        <v>20.6</v>
      </c>
      <c r="P7427">
        <v>23.6</v>
      </c>
      <c r="Q7427">
        <v>24</v>
      </c>
      <c r="R7427">
        <v>25.3</v>
      </c>
      <c r="S7427">
        <v>23.4</v>
      </c>
      <c r="T7427">
        <v>2826</v>
      </c>
      <c r="U7427">
        <v>443</v>
      </c>
      <c r="V7427">
        <v>19</v>
      </c>
      <c r="W7427">
        <v>58</v>
      </c>
      <c r="X7427">
        <v>1252</v>
      </c>
      <c r="Y7427">
        <v>161</v>
      </c>
      <c r="Z7427">
        <v>579</v>
      </c>
      <c r="AA7427">
        <v>1136</v>
      </c>
      <c r="AB7427">
        <v>79.061340000000001</v>
      </c>
      <c r="AC7427">
        <v>8.4583179999999994E-3</v>
      </c>
      <c r="AD7427">
        <v>12.99438</v>
      </c>
      <c r="AE7427">
        <v>0.20427799999999999</v>
      </c>
      <c r="AF7427">
        <v>608.91849999999999</v>
      </c>
      <c r="AG7427">
        <f>IFERROR(AH7427*0.1, "N/A")</f>
        <v>5.3000000000000007</v>
      </c>
      <c r="AH7427">
        <v>53</v>
      </c>
      <c r="AI7427">
        <v>350.0573</v>
      </c>
      <c r="AJ7427">
        <v>30</v>
      </c>
      <c r="AK7427">
        <v>52</v>
      </c>
    </row>
    <row r="7428" spans="1:37" x14ac:dyDescent="0.3">
      <c r="A7428">
        <v>7427</v>
      </c>
      <c r="B7428">
        <v>1</v>
      </c>
      <c r="C7428">
        <v>-9.9009999999999998</v>
      </c>
      <c r="D7428">
        <v>8.3849999999999998</v>
      </c>
      <c r="E7428">
        <f>-9.901-8.385</f>
        <v>-18.286000000000001</v>
      </c>
      <c r="F7428" t="s">
        <v>11012</v>
      </c>
      <c r="G7428" t="s">
        <v>39</v>
      </c>
      <c r="H7428">
        <v>1987</v>
      </c>
      <c r="I7428">
        <v>24.305199999999999</v>
      </c>
      <c r="J7428">
        <v>15.1</v>
      </c>
      <c r="K7428">
        <v>73.025999999999996</v>
      </c>
      <c r="L7428">
        <v>10.602460000000001</v>
      </c>
      <c r="M7428">
        <v>34.102600000000002</v>
      </c>
      <c r="N7428">
        <v>13.607799999999999</v>
      </c>
      <c r="O7428">
        <v>20.494800000000001</v>
      </c>
      <c r="P7428">
        <v>23.302600000000002</v>
      </c>
      <c r="Q7428">
        <v>23.707799999999999</v>
      </c>
      <c r="R7428">
        <v>25.305199999999999</v>
      </c>
      <c r="S7428">
        <v>23.1052</v>
      </c>
      <c r="T7428">
        <v>2716.39</v>
      </c>
      <c r="U7428">
        <v>447</v>
      </c>
      <c r="V7428">
        <v>17.974</v>
      </c>
      <c r="W7428">
        <v>60</v>
      </c>
      <c r="X7428">
        <v>1211.0519999999999</v>
      </c>
      <c r="Y7428">
        <v>137.02600000000001</v>
      </c>
      <c r="Z7428">
        <v>546.13</v>
      </c>
      <c r="AA7428">
        <v>1079.1300000000001</v>
      </c>
      <c r="AB7428">
        <v>22.166039999999999</v>
      </c>
      <c r="AC7428">
        <v>8.634203E-3</v>
      </c>
      <c r="AD7428">
        <v>5.9487240000000003</v>
      </c>
      <c r="AE7428">
        <v>0.17500489999999999</v>
      </c>
      <c r="AF7428">
        <v>532.12480000000005</v>
      </c>
      <c r="AG7428">
        <f>IFERROR(AH7428*0.1, "N/A")</f>
        <v>5.1974</v>
      </c>
      <c r="AH7428">
        <v>51.973999999999997</v>
      </c>
      <c r="AI7428">
        <v>67.357249999999993</v>
      </c>
      <c r="AJ7428">
        <v>29.405550000000002</v>
      </c>
      <c r="AK7428">
        <v>53.240900000000003</v>
      </c>
    </row>
    <row r="7429" spans="1:37" x14ac:dyDescent="0.3">
      <c r="A7429">
        <v>7428</v>
      </c>
      <c r="B7429">
        <v>0</v>
      </c>
      <c r="C7429">
        <v>-9.9009999999999998</v>
      </c>
      <c r="D7429">
        <v>8.3849999999999998</v>
      </c>
      <c r="E7429">
        <f>-9.901-8.385</f>
        <v>-18.286000000000001</v>
      </c>
      <c r="F7429" t="s">
        <v>11013</v>
      </c>
      <c r="G7429" t="s">
        <v>37</v>
      </c>
      <c r="H7429">
        <v>1987</v>
      </c>
      <c r="I7429">
        <v>24.305199999999999</v>
      </c>
      <c r="J7429">
        <v>15.1</v>
      </c>
      <c r="K7429">
        <v>73.025999999999996</v>
      </c>
      <c r="L7429">
        <v>10.602460000000001</v>
      </c>
      <c r="M7429">
        <v>34.102600000000002</v>
      </c>
      <c r="N7429">
        <v>13.607799999999999</v>
      </c>
      <c r="O7429">
        <v>20.494800000000001</v>
      </c>
      <c r="P7429">
        <v>23.302600000000002</v>
      </c>
      <c r="Q7429">
        <v>23.707799999999999</v>
      </c>
      <c r="R7429">
        <v>25.305199999999999</v>
      </c>
      <c r="S7429">
        <v>23.1052</v>
      </c>
      <c r="T7429">
        <v>2716.39</v>
      </c>
      <c r="U7429">
        <v>447</v>
      </c>
      <c r="V7429">
        <v>17.974</v>
      </c>
      <c r="W7429">
        <v>60</v>
      </c>
      <c r="X7429">
        <v>1211.0519999999999</v>
      </c>
      <c r="Y7429">
        <v>137.02600000000001</v>
      </c>
      <c r="Z7429">
        <v>546.13</v>
      </c>
      <c r="AA7429">
        <v>1079.1300000000001</v>
      </c>
      <c r="AB7429">
        <v>22.166039999999999</v>
      </c>
      <c r="AC7429">
        <v>8.634203E-3</v>
      </c>
      <c r="AD7429">
        <v>5.9487240000000003</v>
      </c>
      <c r="AE7429">
        <v>0.17500489999999999</v>
      </c>
      <c r="AF7429">
        <v>532.12480000000005</v>
      </c>
      <c r="AG7429">
        <f>IFERROR(AH7429*0.1, "N/A")</f>
        <v>5.1974</v>
      </c>
      <c r="AH7429">
        <v>51.973999999999997</v>
      </c>
      <c r="AI7429">
        <v>67.357249999999993</v>
      </c>
      <c r="AJ7429">
        <v>29.405550000000002</v>
      </c>
      <c r="AK7429">
        <v>53.240900000000003</v>
      </c>
    </row>
    <row r="7430" spans="1:37" x14ac:dyDescent="0.3">
      <c r="A7430">
        <v>7429</v>
      </c>
      <c r="B7430">
        <v>13</v>
      </c>
      <c r="C7430">
        <v>-9.8529999999999998</v>
      </c>
      <c r="D7430">
        <v>8.3859999999999992</v>
      </c>
      <c r="E7430">
        <f>-9.853-8.386</f>
        <v>-18.238999999999997</v>
      </c>
      <c r="F7430" t="s">
        <v>11014</v>
      </c>
      <c r="G7430" t="s">
        <v>39</v>
      </c>
      <c r="H7430">
        <v>1987</v>
      </c>
      <c r="I7430">
        <v>24.4</v>
      </c>
      <c r="J7430">
        <v>15.2</v>
      </c>
      <c r="K7430">
        <v>74</v>
      </c>
      <c r="L7430">
        <v>9.4600000000000009</v>
      </c>
      <c r="M7430">
        <v>34.4</v>
      </c>
      <c r="N7430">
        <v>13.9</v>
      </c>
      <c r="O7430">
        <v>20.5</v>
      </c>
      <c r="P7430">
        <v>23.5</v>
      </c>
      <c r="Q7430">
        <v>24</v>
      </c>
      <c r="R7430">
        <v>25.4</v>
      </c>
      <c r="S7430">
        <v>23.4</v>
      </c>
      <c r="T7430">
        <v>2759</v>
      </c>
      <c r="U7430">
        <v>446</v>
      </c>
      <c r="V7430">
        <v>18</v>
      </c>
      <c r="W7430">
        <v>59</v>
      </c>
      <c r="X7430">
        <v>1225</v>
      </c>
      <c r="Y7430">
        <v>145</v>
      </c>
      <c r="Z7430">
        <v>560</v>
      </c>
      <c r="AA7430">
        <v>1099</v>
      </c>
      <c r="AB7430">
        <v>10.177</v>
      </c>
      <c r="AC7430">
        <v>3.4213559999999997E-2</v>
      </c>
      <c r="AD7430">
        <v>4.3480049999999997</v>
      </c>
      <c r="AE7430">
        <v>0.1743952</v>
      </c>
      <c r="AF7430">
        <v>533.23360000000002</v>
      </c>
      <c r="AG7430">
        <f>IFERROR(AH7430*0.1, "N/A")</f>
        <v>5.1058820000000003</v>
      </c>
      <c r="AH7430">
        <v>51.058819999999997</v>
      </c>
      <c r="AI7430">
        <v>82.906189999999995</v>
      </c>
      <c r="AJ7430">
        <v>29</v>
      </c>
      <c r="AK7430">
        <v>51.117649999999998</v>
      </c>
    </row>
    <row r="7431" spans="1:37" x14ac:dyDescent="0.3">
      <c r="A7431">
        <v>7430</v>
      </c>
      <c r="B7431">
        <v>0</v>
      </c>
      <c r="C7431">
        <v>-9.8529999999999998</v>
      </c>
      <c r="D7431">
        <v>8.3859999999999992</v>
      </c>
      <c r="E7431">
        <f>-9.853-8.386</f>
        <v>-18.238999999999997</v>
      </c>
      <c r="F7431" t="s">
        <v>11015</v>
      </c>
      <c r="G7431" t="s">
        <v>37</v>
      </c>
      <c r="H7431">
        <v>1987</v>
      </c>
      <c r="I7431">
        <v>24.4</v>
      </c>
      <c r="J7431">
        <v>15.2</v>
      </c>
      <c r="K7431">
        <v>74</v>
      </c>
      <c r="L7431">
        <v>9.4600000000000009</v>
      </c>
      <c r="M7431">
        <v>34.4</v>
      </c>
      <c r="N7431">
        <v>13.9</v>
      </c>
      <c r="O7431">
        <v>20.5</v>
      </c>
      <c r="P7431">
        <v>23.5</v>
      </c>
      <c r="Q7431">
        <v>24</v>
      </c>
      <c r="R7431">
        <v>25.4</v>
      </c>
      <c r="S7431">
        <v>23.4</v>
      </c>
      <c r="T7431">
        <v>2759</v>
      </c>
      <c r="U7431">
        <v>446</v>
      </c>
      <c r="V7431">
        <v>18</v>
      </c>
      <c r="W7431">
        <v>59</v>
      </c>
      <c r="X7431">
        <v>1225</v>
      </c>
      <c r="Y7431">
        <v>145</v>
      </c>
      <c r="Z7431">
        <v>560</v>
      </c>
      <c r="AA7431">
        <v>1099</v>
      </c>
      <c r="AB7431">
        <v>10.177</v>
      </c>
      <c r="AC7431">
        <v>3.4213559999999997E-2</v>
      </c>
      <c r="AD7431">
        <v>4.3480049999999997</v>
      </c>
      <c r="AE7431">
        <v>0.1743952</v>
      </c>
      <c r="AF7431">
        <v>533.23360000000002</v>
      </c>
      <c r="AG7431">
        <f>IFERROR(AH7431*0.1, "N/A")</f>
        <v>5.1058820000000003</v>
      </c>
      <c r="AH7431">
        <v>51.058819999999997</v>
      </c>
      <c r="AI7431">
        <v>82.906189999999995</v>
      </c>
      <c r="AJ7431">
        <v>29</v>
      </c>
      <c r="AK7431">
        <v>51.117649999999998</v>
      </c>
    </row>
    <row r="7432" spans="1:37" x14ac:dyDescent="0.3">
      <c r="A7432">
        <v>7431</v>
      </c>
      <c r="B7432">
        <v>0</v>
      </c>
      <c r="C7432">
        <v>-10.266</v>
      </c>
      <c r="D7432">
        <v>8.4</v>
      </c>
      <c r="E7432">
        <f>-10.266-8.4</f>
        <v>-18.666</v>
      </c>
      <c r="F7432" t="s">
        <v>11016</v>
      </c>
      <c r="G7432" t="s">
        <v>39</v>
      </c>
      <c r="H7432">
        <v>1987</v>
      </c>
      <c r="I7432">
        <v>25.161069999999999</v>
      </c>
      <c r="J7432">
        <v>14.239100000000001</v>
      </c>
      <c r="K7432">
        <v>69</v>
      </c>
      <c r="L7432">
        <v>12.485810000000001</v>
      </c>
      <c r="M7432">
        <v>35.1</v>
      </c>
      <c r="N7432">
        <v>14.52197</v>
      </c>
      <c r="O7432">
        <v>20.578029999999998</v>
      </c>
      <c r="P7432">
        <v>23.861070000000002</v>
      </c>
      <c r="Q7432">
        <v>24.461069999999999</v>
      </c>
      <c r="R7432">
        <v>26.461069999999999</v>
      </c>
      <c r="S7432">
        <v>23.800170000000001</v>
      </c>
      <c r="T7432">
        <v>2566.4360000000001</v>
      </c>
      <c r="U7432">
        <v>440.99829999999997</v>
      </c>
      <c r="V7432">
        <v>14.60727</v>
      </c>
      <c r="W7432">
        <v>63.390999999999998</v>
      </c>
      <c r="X7432">
        <v>1140.998</v>
      </c>
      <c r="Y7432">
        <v>98.214529999999996</v>
      </c>
      <c r="Z7432">
        <v>513.21969999999999</v>
      </c>
      <c r="AA7432">
        <v>1006.002</v>
      </c>
      <c r="AB7432">
        <v>10.242559999999999</v>
      </c>
      <c r="AC7432">
        <v>0.31682369999999999</v>
      </c>
      <c r="AD7432">
        <v>7.7222980000000003</v>
      </c>
      <c r="AE7432">
        <v>0.2534246</v>
      </c>
      <c r="AF7432">
        <v>440.06229999999999</v>
      </c>
      <c r="AG7432">
        <f>IFERROR(AH7432*0.1, "N/A")</f>
        <v>5.1000000000000005</v>
      </c>
      <c r="AH7432">
        <v>51</v>
      </c>
      <c r="AI7432">
        <v>241.39</v>
      </c>
      <c r="AJ7432">
        <v>25.008649999999999</v>
      </c>
      <c r="AK7432">
        <v>54.998269999999998</v>
      </c>
    </row>
    <row r="7433" spans="1:37" x14ac:dyDescent="0.3">
      <c r="A7433">
        <v>7432</v>
      </c>
      <c r="B7433">
        <v>0</v>
      </c>
      <c r="C7433">
        <v>-10.266</v>
      </c>
      <c r="D7433">
        <v>8.4</v>
      </c>
      <c r="E7433">
        <f>-10.266-8.4</f>
        <v>-18.666</v>
      </c>
      <c r="F7433" t="s">
        <v>11017</v>
      </c>
      <c r="G7433" t="s">
        <v>37</v>
      </c>
      <c r="H7433">
        <v>1987</v>
      </c>
      <c r="I7433">
        <v>25.161069999999999</v>
      </c>
      <c r="J7433">
        <v>14.239100000000001</v>
      </c>
      <c r="K7433">
        <v>69</v>
      </c>
      <c r="L7433">
        <v>12.485810000000001</v>
      </c>
      <c r="M7433">
        <v>35.1</v>
      </c>
      <c r="N7433">
        <v>14.52197</v>
      </c>
      <c r="O7433">
        <v>20.578029999999998</v>
      </c>
      <c r="P7433">
        <v>23.861070000000002</v>
      </c>
      <c r="Q7433">
        <v>24.461069999999999</v>
      </c>
      <c r="R7433">
        <v>26.461069999999999</v>
      </c>
      <c r="S7433">
        <v>23.800170000000001</v>
      </c>
      <c r="T7433">
        <v>2566.4360000000001</v>
      </c>
      <c r="U7433">
        <v>440.99829999999997</v>
      </c>
      <c r="V7433">
        <v>14.60727</v>
      </c>
      <c r="W7433">
        <v>63.390999999999998</v>
      </c>
      <c r="X7433">
        <v>1140.998</v>
      </c>
      <c r="Y7433">
        <v>98.214529999999996</v>
      </c>
      <c r="Z7433">
        <v>513.21969999999999</v>
      </c>
      <c r="AA7433">
        <v>1006.002</v>
      </c>
      <c r="AB7433">
        <v>10.242559999999999</v>
      </c>
      <c r="AC7433">
        <v>0.31682369999999999</v>
      </c>
      <c r="AD7433">
        <v>7.7222980000000003</v>
      </c>
      <c r="AE7433">
        <v>0.2534246</v>
      </c>
      <c r="AF7433">
        <v>440.06229999999999</v>
      </c>
      <c r="AG7433">
        <f>IFERROR(AH7433*0.1, "N/A")</f>
        <v>5.1000000000000005</v>
      </c>
      <c r="AH7433">
        <v>51</v>
      </c>
      <c r="AI7433">
        <v>241.39</v>
      </c>
      <c r="AJ7433">
        <v>25.008649999999999</v>
      </c>
      <c r="AK7433">
        <v>54.998269999999998</v>
      </c>
    </row>
    <row r="7434" spans="1:37" x14ac:dyDescent="0.3">
      <c r="A7434">
        <v>7433</v>
      </c>
      <c r="B7434">
        <v>4</v>
      </c>
      <c r="C7434">
        <v>-9.718</v>
      </c>
      <c r="D7434">
        <v>8.4149999999999991</v>
      </c>
      <c r="E7434">
        <f>-9.718-8.415</f>
        <v>-18.132999999999999</v>
      </c>
      <c r="F7434" t="s">
        <v>11018</v>
      </c>
      <c r="G7434" t="s">
        <v>39</v>
      </c>
      <c r="H7434">
        <v>1987</v>
      </c>
      <c r="I7434">
        <v>24.4</v>
      </c>
      <c r="J7434">
        <v>15.5</v>
      </c>
      <c r="K7434">
        <v>73</v>
      </c>
      <c r="L7434">
        <v>8.92</v>
      </c>
      <c r="M7434">
        <v>34.799999999999997</v>
      </c>
      <c r="N7434">
        <v>13.8</v>
      </c>
      <c r="O7434">
        <v>21</v>
      </c>
      <c r="P7434">
        <v>23.6</v>
      </c>
      <c r="Q7434">
        <v>24</v>
      </c>
      <c r="R7434">
        <v>25.4</v>
      </c>
      <c r="S7434">
        <v>23.4</v>
      </c>
      <c r="T7434">
        <v>2847</v>
      </c>
      <c r="U7434">
        <v>442</v>
      </c>
      <c r="V7434">
        <v>19</v>
      </c>
      <c r="W7434">
        <v>58</v>
      </c>
      <c r="X7434">
        <v>1264</v>
      </c>
      <c r="Y7434">
        <v>165</v>
      </c>
      <c r="Z7434">
        <v>584</v>
      </c>
      <c r="AA7434">
        <v>1152</v>
      </c>
      <c r="AB7434">
        <v>10.06251</v>
      </c>
      <c r="AC7434">
        <v>3.6385489999999999E-2</v>
      </c>
      <c r="AD7434">
        <v>4.6102449999999999</v>
      </c>
      <c r="AE7434">
        <v>0.24311389999999999</v>
      </c>
      <c r="AF7434">
        <v>541.6354</v>
      </c>
      <c r="AG7434">
        <f>IFERROR(AH7434*0.1, "N/A")</f>
        <v>5.1618060000000003</v>
      </c>
      <c r="AH7434">
        <v>51.61806</v>
      </c>
      <c r="AI7434">
        <v>238.3732</v>
      </c>
      <c r="AJ7434">
        <v>24</v>
      </c>
      <c r="AK7434">
        <v>53.80903</v>
      </c>
    </row>
    <row r="7435" spans="1:37" x14ac:dyDescent="0.3">
      <c r="A7435">
        <v>7434</v>
      </c>
      <c r="B7435">
        <v>0.2</v>
      </c>
      <c r="C7435">
        <v>-9.718</v>
      </c>
      <c r="D7435">
        <v>8.4149999999999991</v>
      </c>
      <c r="E7435">
        <f>-9.718-8.415</f>
        <v>-18.132999999999999</v>
      </c>
      <c r="F7435" t="s">
        <v>11019</v>
      </c>
      <c r="G7435" t="s">
        <v>37</v>
      </c>
      <c r="H7435">
        <v>1987</v>
      </c>
      <c r="I7435">
        <v>24.4</v>
      </c>
      <c r="J7435">
        <v>15.5</v>
      </c>
      <c r="K7435">
        <v>73</v>
      </c>
      <c r="L7435">
        <v>8.92</v>
      </c>
      <c r="M7435">
        <v>34.799999999999997</v>
      </c>
      <c r="N7435">
        <v>13.8</v>
      </c>
      <c r="O7435">
        <v>21</v>
      </c>
      <c r="P7435">
        <v>23.6</v>
      </c>
      <c r="Q7435">
        <v>24</v>
      </c>
      <c r="R7435">
        <v>25.4</v>
      </c>
      <c r="S7435">
        <v>23.4</v>
      </c>
      <c r="T7435">
        <v>2847</v>
      </c>
      <c r="U7435">
        <v>442</v>
      </c>
      <c r="V7435">
        <v>19</v>
      </c>
      <c r="W7435">
        <v>58</v>
      </c>
      <c r="X7435">
        <v>1264</v>
      </c>
      <c r="Y7435">
        <v>165</v>
      </c>
      <c r="Z7435">
        <v>584</v>
      </c>
      <c r="AA7435">
        <v>1152</v>
      </c>
      <c r="AB7435">
        <v>10.06251</v>
      </c>
      <c r="AC7435">
        <v>3.6385489999999999E-2</v>
      </c>
      <c r="AD7435">
        <v>4.6102449999999999</v>
      </c>
      <c r="AE7435">
        <v>0.24311389999999999</v>
      </c>
      <c r="AF7435">
        <v>541.6354</v>
      </c>
      <c r="AG7435">
        <f>IFERROR(AH7435*0.1, "N/A")</f>
        <v>5.1618060000000003</v>
      </c>
      <c r="AH7435">
        <v>51.61806</v>
      </c>
      <c r="AI7435">
        <v>238.3732</v>
      </c>
      <c r="AJ7435">
        <v>24</v>
      </c>
      <c r="AK7435">
        <v>53.80903</v>
      </c>
    </row>
    <row r="7436" spans="1:37" x14ac:dyDescent="0.3">
      <c r="A7436">
        <v>7435</v>
      </c>
      <c r="B7436">
        <v>13.1</v>
      </c>
      <c r="C7436">
        <v>-9.7550000000000008</v>
      </c>
      <c r="D7436">
        <v>8.4179999999999993</v>
      </c>
      <c r="E7436">
        <f>-9.755-8.418</f>
        <v>-18.173000000000002</v>
      </c>
      <c r="F7436" t="s">
        <v>11020</v>
      </c>
      <c r="G7436" t="s">
        <v>39</v>
      </c>
      <c r="H7436">
        <v>1987</v>
      </c>
      <c r="I7436">
        <v>24.3</v>
      </c>
      <c r="J7436">
        <v>15.5</v>
      </c>
      <c r="K7436">
        <v>73</v>
      </c>
      <c r="L7436">
        <v>9.1199999999999992</v>
      </c>
      <c r="M7436">
        <v>34.799999999999997</v>
      </c>
      <c r="N7436">
        <v>13.7</v>
      </c>
      <c r="O7436">
        <v>21.1</v>
      </c>
      <c r="P7436">
        <v>23.6</v>
      </c>
      <c r="Q7436">
        <v>23.9</v>
      </c>
      <c r="R7436">
        <v>25.4</v>
      </c>
      <c r="S7436">
        <v>23.4</v>
      </c>
      <c r="T7436">
        <v>2826</v>
      </c>
      <c r="U7436">
        <v>443</v>
      </c>
      <c r="V7436">
        <v>18</v>
      </c>
      <c r="W7436">
        <v>58</v>
      </c>
      <c r="X7436">
        <v>1256</v>
      </c>
      <c r="Y7436">
        <v>158</v>
      </c>
      <c r="Z7436">
        <v>578</v>
      </c>
      <c r="AA7436">
        <v>1141</v>
      </c>
      <c r="AB7436">
        <v>12.01773</v>
      </c>
      <c r="AC7436">
        <v>8.4869560000000004E-3</v>
      </c>
      <c r="AD7436">
        <v>5.0053650000000003</v>
      </c>
      <c r="AE7436">
        <v>0.87583940000000005</v>
      </c>
      <c r="AF7436">
        <v>543.00689999999997</v>
      </c>
      <c r="AG7436">
        <f>IFERROR(AH7436*0.1, "N/A")</f>
        <v>5.3418400000000004</v>
      </c>
      <c r="AH7436">
        <v>53.418399999999998</v>
      </c>
      <c r="AI7436">
        <v>97.860380000000006</v>
      </c>
      <c r="AJ7436">
        <v>24.67361</v>
      </c>
      <c r="AK7436">
        <v>55.326390000000004</v>
      </c>
    </row>
    <row r="7437" spans="1:37" x14ac:dyDescent="0.3">
      <c r="A7437">
        <v>7436</v>
      </c>
      <c r="B7437">
        <v>0</v>
      </c>
      <c r="C7437">
        <v>-9.8759999999999994</v>
      </c>
      <c r="D7437">
        <v>8.4269999999999996</v>
      </c>
      <c r="E7437">
        <f>-9.876-8.427</f>
        <v>-18.302999999999997</v>
      </c>
      <c r="F7437" t="s">
        <v>11021</v>
      </c>
      <c r="G7437" t="s">
        <v>39</v>
      </c>
      <c r="H7437">
        <v>1987</v>
      </c>
      <c r="I7437">
        <v>24.4</v>
      </c>
      <c r="J7437">
        <v>15.3</v>
      </c>
      <c r="K7437">
        <v>73</v>
      </c>
      <c r="L7437">
        <v>10.06</v>
      </c>
      <c r="M7437">
        <v>34.299999999999997</v>
      </c>
      <c r="N7437">
        <v>13.5</v>
      </c>
      <c r="O7437">
        <v>20.8</v>
      </c>
      <c r="P7437">
        <v>23.4</v>
      </c>
      <c r="Q7437">
        <v>23.8</v>
      </c>
      <c r="R7437">
        <v>25.4</v>
      </c>
      <c r="S7437">
        <v>23.3</v>
      </c>
      <c r="T7437">
        <v>2732</v>
      </c>
      <c r="U7437">
        <v>445</v>
      </c>
      <c r="V7437">
        <v>17</v>
      </c>
      <c r="W7437">
        <v>60</v>
      </c>
      <c r="X7437">
        <v>1217</v>
      </c>
      <c r="Y7437">
        <v>137</v>
      </c>
      <c r="Z7437">
        <v>551</v>
      </c>
      <c r="AA7437">
        <v>1091</v>
      </c>
      <c r="AB7437">
        <v>15.399789999999999</v>
      </c>
      <c r="AC7437">
        <v>2.3504170000000001E-2</v>
      </c>
      <c r="AD7437">
        <v>4.851197</v>
      </c>
      <c r="AE7437">
        <v>0.15636649999999999</v>
      </c>
      <c r="AF7437">
        <v>539.68169999999998</v>
      </c>
      <c r="AG7437">
        <f>IFERROR(AH7437*0.1, "N/A")</f>
        <v>5.2</v>
      </c>
      <c r="AH7437">
        <v>52</v>
      </c>
      <c r="AI7437">
        <v>147.37139999999999</v>
      </c>
      <c r="AJ7437">
        <v>27</v>
      </c>
      <c r="AK7437">
        <v>54</v>
      </c>
    </row>
    <row r="7438" spans="1:37" x14ac:dyDescent="0.3">
      <c r="A7438">
        <v>7437</v>
      </c>
      <c r="B7438">
        <v>0</v>
      </c>
      <c r="C7438">
        <v>-10.266999999999999</v>
      </c>
      <c r="D7438">
        <v>8.4309999999999992</v>
      </c>
      <c r="E7438">
        <f>-10.267-8.431</f>
        <v>-18.698</v>
      </c>
      <c r="F7438" t="s">
        <v>11022</v>
      </c>
      <c r="G7438" t="s">
        <v>39</v>
      </c>
      <c r="H7438">
        <v>1987</v>
      </c>
      <c r="I7438">
        <v>25.4</v>
      </c>
      <c r="J7438">
        <v>14.3</v>
      </c>
      <c r="K7438">
        <v>69</v>
      </c>
      <c r="L7438">
        <v>12.0642</v>
      </c>
      <c r="M7438">
        <v>35.462690000000002</v>
      </c>
      <c r="N7438">
        <v>14.762689999999999</v>
      </c>
      <c r="O7438">
        <v>20.7</v>
      </c>
      <c r="P7438">
        <v>24.2</v>
      </c>
      <c r="Q7438">
        <v>24.662690000000001</v>
      </c>
      <c r="R7438">
        <v>26.762689999999999</v>
      </c>
      <c r="S7438">
        <v>24.2</v>
      </c>
      <c r="T7438">
        <v>2551.7460000000001</v>
      </c>
      <c r="U7438">
        <v>436.37310000000002</v>
      </c>
      <c r="V7438">
        <v>14</v>
      </c>
      <c r="W7438">
        <v>64</v>
      </c>
      <c r="X7438">
        <v>1132.373</v>
      </c>
      <c r="Y7438">
        <v>94.373059999999995</v>
      </c>
      <c r="Z7438">
        <v>513</v>
      </c>
      <c r="AA7438">
        <v>1002</v>
      </c>
      <c r="AB7438">
        <v>13.733840000000001</v>
      </c>
      <c r="AC7438">
        <v>2.637975E-2</v>
      </c>
      <c r="AD7438">
        <v>2.6113200000000001</v>
      </c>
      <c r="AE7438">
        <v>0.60084099999999996</v>
      </c>
      <c r="AF7438">
        <v>410.71499999999997</v>
      </c>
      <c r="AG7438">
        <f>IFERROR(AH7438*0.1, "N/A")</f>
        <v>5.1000000000000005</v>
      </c>
      <c r="AH7438">
        <v>51</v>
      </c>
      <c r="AI7438">
        <v>266.7953</v>
      </c>
      <c r="AJ7438">
        <v>25.438690000000001</v>
      </c>
      <c r="AK7438">
        <v>56.50432</v>
      </c>
    </row>
    <row r="7439" spans="1:37" x14ac:dyDescent="0.3">
      <c r="A7439">
        <v>7438</v>
      </c>
      <c r="B7439">
        <v>0</v>
      </c>
      <c r="C7439">
        <v>-9.6679999999999993</v>
      </c>
      <c r="D7439">
        <v>8.4329999999999998</v>
      </c>
      <c r="E7439">
        <f>-9.668-8.433</f>
        <v>-18.100999999999999</v>
      </c>
      <c r="F7439" t="s">
        <v>11023</v>
      </c>
      <c r="G7439" t="s">
        <v>39</v>
      </c>
      <c r="H7439">
        <v>1987</v>
      </c>
      <c r="I7439">
        <v>24.2</v>
      </c>
      <c r="J7439">
        <v>15.7</v>
      </c>
      <c r="K7439">
        <v>72</v>
      </c>
      <c r="L7439">
        <v>8.7237819999999999</v>
      </c>
      <c r="M7439">
        <v>34.799999999999997</v>
      </c>
      <c r="N7439">
        <v>13.157859999999999</v>
      </c>
      <c r="O7439">
        <v>21.642140000000001</v>
      </c>
      <c r="P7439">
        <v>23.6</v>
      </c>
      <c r="Q7439">
        <v>23.678930000000001</v>
      </c>
      <c r="R7439">
        <v>25.3</v>
      </c>
      <c r="S7439">
        <v>23.45786</v>
      </c>
      <c r="T7439">
        <v>2840.7359999999999</v>
      </c>
      <c r="U7439">
        <v>440</v>
      </c>
      <c r="V7439">
        <v>19</v>
      </c>
      <c r="W7439">
        <v>59</v>
      </c>
      <c r="X7439">
        <v>1279.211</v>
      </c>
      <c r="Y7439">
        <v>162.57859999999999</v>
      </c>
      <c r="Z7439">
        <v>580.57860000000005</v>
      </c>
      <c r="AA7439">
        <v>985.47670000000005</v>
      </c>
      <c r="AB7439">
        <v>6.3571949999999999</v>
      </c>
      <c r="AC7439">
        <v>0.2011319</v>
      </c>
      <c r="AD7439">
        <v>3.3249029999999999</v>
      </c>
      <c r="AE7439">
        <v>0.1855581</v>
      </c>
      <c r="AF7439">
        <v>553.97929999999997</v>
      </c>
      <c r="AG7439">
        <f>IFERROR(AH7439*0.1, "N/A")</f>
        <v>5.209499000000001</v>
      </c>
      <c r="AH7439">
        <v>52.094990000000003</v>
      </c>
      <c r="AI7439">
        <v>193.62970000000001</v>
      </c>
      <c r="AJ7439">
        <v>30.402419999999999</v>
      </c>
      <c r="AK7439">
        <v>54.189979999999998</v>
      </c>
    </row>
    <row r="7440" spans="1:37" x14ac:dyDescent="0.3">
      <c r="A7440">
        <v>7439</v>
      </c>
      <c r="B7440">
        <v>0</v>
      </c>
      <c r="C7440">
        <v>-9.6679999999999993</v>
      </c>
      <c r="D7440">
        <v>8.4329999999999998</v>
      </c>
      <c r="E7440">
        <f>-9.668-8.433</f>
        <v>-18.100999999999999</v>
      </c>
      <c r="F7440" t="s">
        <v>11024</v>
      </c>
      <c r="G7440" t="s">
        <v>37</v>
      </c>
      <c r="H7440">
        <v>1987</v>
      </c>
      <c r="I7440">
        <v>24.2</v>
      </c>
      <c r="J7440">
        <v>15.7</v>
      </c>
      <c r="K7440">
        <v>72</v>
      </c>
      <c r="L7440">
        <v>8.7237819999999999</v>
      </c>
      <c r="M7440">
        <v>34.799999999999997</v>
      </c>
      <c r="N7440">
        <v>13.157859999999999</v>
      </c>
      <c r="O7440">
        <v>21.642140000000001</v>
      </c>
      <c r="P7440">
        <v>23.6</v>
      </c>
      <c r="Q7440">
        <v>23.678930000000001</v>
      </c>
      <c r="R7440">
        <v>25.3</v>
      </c>
      <c r="S7440">
        <v>23.45786</v>
      </c>
      <c r="T7440">
        <v>2840.7359999999999</v>
      </c>
      <c r="U7440">
        <v>440</v>
      </c>
      <c r="V7440">
        <v>19</v>
      </c>
      <c r="W7440">
        <v>59</v>
      </c>
      <c r="X7440">
        <v>1279.211</v>
      </c>
      <c r="Y7440">
        <v>162.57859999999999</v>
      </c>
      <c r="Z7440">
        <v>580.57860000000005</v>
      </c>
      <c r="AA7440">
        <v>985.47670000000005</v>
      </c>
      <c r="AB7440">
        <v>6.3571949999999999</v>
      </c>
      <c r="AC7440">
        <v>0.2011319</v>
      </c>
      <c r="AD7440">
        <v>3.3249029999999999</v>
      </c>
      <c r="AE7440">
        <v>0.1855581</v>
      </c>
      <c r="AF7440">
        <v>553.97929999999997</v>
      </c>
      <c r="AG7440">
        <f>IFERROR(AH7440*0.1, "N/A")</f>
        <v>5.209499000000001</v>
      </c>
      <c r="AH7440">
        <v>52.094990000000003</v>
      </c>
      <c r="AI7440">
        <v>193.62970000000001</v>
      </c>
      <c r="AJ7440">
        <v>30.402419999999999</v>
      </c>
      <c r="AK7440">
        <v>54.189979999999998</v>
      </c>
    </row>
    <row r="7441" spans="1:37" x14ac:dyDescent="0.3">
      <c r="A7441">
        <v>7440</v>
      </c>
      <c r="B7441">
        <v>19</v>
      </c>
      <c r="C7441">
        <v>-10.111000000000001</v>
      </c>
      <c r="D7441">
        <v>8.4329999999999998</v>
      </c>
      <c r="E7441">
        <f>-10.111-8.433</f>
        <v>-18.544</v>
      </c>
      <c r="F7441" t="s">
        <v>11025</v>
      </c>
      <c r="G7441" t="s">
        <v>39</v>
      </c>
      <c r="H7441">
        <v>1987</v>
      </c>
      <c r="I7441">
        <v>24.779029999999999</v>
      </c>
      <c r="J7441">
        <v>14.720969999999999</v>
      </c>
      <c r="K7441">
        <v>68</v>
      </c>
      <c r="L7441">
        <v>15.829190000000001</v>
      </c>
      <c r="M7441">
        <v>34.779029999999999</v>
      </c>
      <c r="N7441">
        <v>13.279030000000001</v>
      </c>
      <c r="O7441">
        <v>21.5</v>
      </c>
      <c r="P7441">
        <v>23.3</v>
      </c>
      <c r="Q7441">
        <v>23.87903</v>
      </c>
      <c r="R7441">
        <v>26.079029999999999</v>
      </c>
      <c r="S7441">
        <v>23.1</v>
      </c>
      <c r="T7441">
        <v>2577.5810000000001</v>
      </c>
      <c r="U7441">
        <v>448.7903</v>
      </c>
      <c r="V7441">
        <v>15</v>
      </c>
      <c r="W7441">
        <v>63</v>
      </c>
      <c r="X7441">
        <v>1156</v>
      </c>
      <c r="Y7441">
        <v>108</v>
      </c>
      <c r="Z7441">
        <v>502</v>
      </c>
      <c r="AA7441">
        <v>1010</v>
      </c>
      <c r="AB7441">
        <v>19.282330000000002</v>
      </c>
      <c r="AC7441">
        <v>1.303033E-2</v>
      </c>
      <c r="AD7441">
        <v>9.1492199999999997</v>
      </c>
      <c r="AE7441">
        <v>0.44016129999999998</v>
      </c>
      <c r="AF7441">
        <v>495.31200000000001</v>
      </c>
      <c r="AG7441">
        <f>IFERROR(AH7441*0.1, "N/A")</f>
        <v>5.0230500000000005</v>
      </c>
      <c r="AH7441">
        <v>50.230499999999999</v>
      </c>
      <c r="AI7441">
        <v>197.3965</v>
      </c>
      <c r="AJ7441">
        <v>24.769500000000001</v>
      </c>
      <c r="AK7441">
        <v>57.691510000000001</v>
      </c>
    </row>
    <row r="7442" spans="1:37" x14ac:dyDescent="0.3">
      <c r="A7442">
        <v>7441</v>
      </c>
      <c r="B7442">
        <v>0</v>
      </c>
      <c r="C7442">
        <v>-10.111000000000001</v>
      </c>
      <c r="D7442">
        <v>8.4329999999999998</v>
      </c>
      <c r="E7442">
        <f>-10.111-8.433</f>
        <v>-18.544</v>
      </c>
      <c r="F7442" t="s">
        <v>11026</v>
      </c>
      <c r="G7442" t="s">
        <v>37</v>
      </c>
      <c r="H7442">
        <v>1987</v>
      </c>
      <c r="I7442">
        <v>24.779029999999999</v>
      </c>
      <c r="J7442">
        <v>14.720969999999999</v>
      </c>
      <c r="K7442">
        <v>68</v>
      </c>
      <c r="L7442">
        <v>15.829190000000001</v>
      </c>
      <c r="M7442">
        <v>34.779029999999999</v>
      </c>
      <c r="N7442">
        <v>13.279030000000001</v>
      </c>
      <c r="O7442">
        <v>21.5</v>
      </c>
      <c r="P7442">
        <v>23.3</v>
      </c>
      <c r="Q7442">
        <v>23.87903</v>
      </c>
      <c r="R7442">
        <v>26.079029999999999</v>
      </c>
      <c r="S7442">
        <v>23.1</v>
      </c>
      <c r="T7442">
        <v>2577.5810000000001</v>
      </c>
      <c r="U7442">
        <v>448.7903</v>
      </c>
      <c r="V7442">
        <v>15</v>
      </c>
      <c r="W7442">
        <v>63</v>
      </c>
      <c r="X7442">
        <v>1156</v>
      </c>
      <c r="Y7442">
        <v>108</v>
      </c>
      <c r="Z7442">
        <v>502</v>
      </c>
      <c r="AA7442">
        <v>1010</v>
      </c>
      <c r="AB7442">
        <v>19.282330000000002</v>
      </c>
      <c r="AC7442">
        <v>1.303033E-2</v>
      </c>
      <c r="AD7442">
        <v>9.1492199999999997</v>
      </c>
      <c r="AE7442">
        <v>0.44016129999999998</v>
      </c>
      <c r="AF7442">
        <v>495.31200000000001</v>
      </c>
      <c r="AG7442">
        <f>IFERROR(AH7442*0.1, "N/A")</f>
        <v>5.0230500000000005</v>
      </c>
      <c r="AH7442">
        <v>50.230499999999999</v>
      </c>
      <c r="AI7442">
        <v>197.3965</v>
      </c>
      <c r="AJ7442">
        <v>24.769500000000001</v>
      </c>
      <c r="AK7442">
        <v>57.691510000000001</v>
      </c>
    </row>
    <row r="7443" spans="1:37" x14ac:dyDescent="0.3">
      <c r="A7443">
        <v>7442</v>
      </c>
      <c r="B7443">
        <v>12</v>
      </c>
      <c r="C7443">
        <v>-9.8520000000000003</v>
      </c>
      <c r="D7443">
        <v>8.4499999999999993</v>
      </c>
      <c r="E7443">
        <f>-9.852-8.45</f>
        <v>-18.302</v>
      </c>
      <c r="F7443" t="s">
        <v>11027</v>
      </c>
      <c r="G7443" t="s">
        <v>39</v>
      </c>
      <c r="H7443">
        <v>1987</v>
      </c>
      <c r="I7443">
        <v>24.21332</v>
      </c>
      <c r="J7443">
        <v>15.4</v>
      </c>
      <c r="K7443">
        <v>72.133219999999994</v>
      </c>
      <c r="L7443">
        <v>10.00867</v>
      </c>
      <c r="M7443">
        <v>34.4</v>
      </c>
      <c r="N7443">
        <v>13.22664</v>
      </c>
      <c r="O7443">
        <v>21.173359999999999</v>
      </c>
      <c r="P7443">
        <v>23.313320000000001</v>
      </c>
      <c r="Q7443">
        <v>23.626639999999998</v>
      </c>
      <c r="R7443">
        <v>25.326640000000001</v>
      </c>
      <c r="S7443">
        <v>23.21332</v>
      </c>
      <c r="T7443">
        <v>2737.799</v>
      </c>
      <c r="U7443">
        <v>443.13319999999999</v>
      </c>
      <c r="V7443">
        <v>17</v>
      </c>
      <c r="W7443">
        <v>60</v>
      </c>
      <c r="X7443">
        <v>1224.133</v>
      </c>
      <c r="Y7443">
        <v>139</v>
      </c>
      <c r="Z7443">
        <v>552.26639999999998</v>
      </c>
      <c r="AA7443">
        <v>1100.133</v>
      </c>
      <c r="AB7443">
        <v>10.74306</v>
      </c>
      <c r="AC7443">
        <v>9.2352400000000001E-2</v>
      </c>
      <c r="AD7443">
        <v>2.6992699999999998</v>
      </c>
      <c r="AE7443">
        <v>0.27925480000000003</v>
      </c>
      <c r="AF7443">
        <v>555.84429999999998</v>
      </c>
      <c r="AG7443">
        <f>IFERROR(AH7443*0.1, "N/A")</f>
        <v>5.1000000000000005</v>
      </c>
      <c r="AH7443">
        <v>51</v>
      </c>
      <c r="AI7443">
        <v>203.0926</v>
      </c>
      <c r="AJ7443">
        <v>28.43599</v>
      </c>
      <c r="AK7443">
        <v>53.913490000000003</v>
      </c>
    </row>
    <row r="7444" spans="1:37" x14ac:dyDescent="0.3">
      <c r="A7444">
        <v>7443</v>
      </c>
      <c r="B7444">
        <v>0</v>
      </c>
      <c r="C7444">
        <v>-9.8520000000000003</v>
      </c>
      <c r="D7444">
        <v>8.4499999999999993</v>
      </c>
      <c r="E7444">
        <f>-9.852-8.45</f>
        <v>-18.302</v>
      </c>
      <c r="F7444" t="s">
        <v>11028</v>
      </c>
      <c r="G7444" t="s">
        <v>37</v>
      </c>
      <c r="H7444">
        <v>1987</v>
      </c>
      <c r="I7444">
        <v>24.21332</v>
      </c>
      <c r="J7444">
        <v>15.4</v>
      </c>
      <c r="K7444">
        <v>72.133219999999994</v>
      </c>
      <c r="L7444">
        <v>10.00867</v>
      </c>
      <c r="M7444">
        <v>34.4</v>
      </c>
      <c r="N7444">
        <v>13.22664</v>
      </c>
      <c r="O7444">
        <v>21.173359999999999</v>
      </c>
      <c r="P7444">
        <v>23.313320000000001</v>
      </c>
      <c r="Q7444">
        <v>23.626639999999998</v>
      </c>
      <c r="R7444">
        <v>25.326640000000001</v>
      </c>
      <c r="S7444">
        <v>23.21332</v>
      </c>
      <c r="T7444">
        <v>2737.799</v>
      </c>
      <c r="U7444">
        <v>443.13319999999999</v>
      </c>
      <c r="V7444">
        <v>17</v>
      </c>
      <c r="W7444">
        <v>60</v>
      </c>
      <c r="X7444">
        <v>1224.133</v>
      </c>
      <c r="Y7444">
        <v>139</v>
      </c>
      <c r="Z7444">
        <v>552.26639999999998</v>
      </c>
      <c r="AA7444">
        <v>1100.133</v>
      </c>
      <c r="AB7444">
        <v>10.74306</v>
      </c>
      <c r="AC7444">
        <v>9.2352400000000001E-2</v>
      </c>
      <c r="AD7444">
        <v>2.6992699999999998</v>
      </c>
      <c r="AE7444">
        <v>0.27925480000000003</v>
      </c>
      <c r="AF7444">
        <v>555.84429999999998</v>
      </c>
      <c r="AG7444">
        <f>IFERROR(AH7444*0.1, "N/A")</f>
        <v>5.1000000000000005</v>
      </c>
      <c r="AH7444">
        <v>51</v>
      </c>
      <c r="AI7444">
        <v>203.0926</v>
      </c>
      <c r="AJ7444">
        <v>28.43599</v>
      </c>
      <c r="AK7444">
        <v>53.913490000000003</v>
      </c>
    </row>
    <row r="7445" spans="1:37" x14ac:dyDescent="0.3">
      <c r="A7445">
        <v>7444</v>
      </c>
      <c r="B7445">
        <v>0</v>
      </c>
      <c r="C7445">
        <v>-9.952</v>
      </c>
      <c r="D7445">
        <v>8.4510000000000005</v>
      </c>
      <c r="E7445">
        <f>-9.952-8.451</f>
        <v>-18.402999999999999</v>
      </c>
      <c r="F7445" t="s">
        <v>11029</v>
      </c>
      <c r="G7445" t="s">
        <v>39</v>
      </c>
      <c r="H7445">
        <v>1987</v>
      </c>
      <c r="I7445">
        <v>24.7</v>
      </c>
      <c r="J7445">
        <v>15.2</v>
      </c>
      <c r="K7445">
        <v>73</v>
      </c>
      <c r="L7445">
        <v>11.72</v>
      </c>
      <c r="M7445">
        <v>34.4</v>
      </c>
      <c r="N7445">
        <v>13.6</v>
      </c>
      <c r="O7445">
        <v>20.8</v>
      </c>
      <c r="P7445">
        <v>23.6</v>
      </c>
      <c r="Q7445">
        <v>23.9</v>
      </c>
      <c r="R7445">
        <v>25.8</v>
      </c>
      <c r="S7445">
        <v>23.4</v>
      </c>
      <c r="T7445">
        <v>2671</v>
      </c>
      <c r="U7445">
        <v>444</v>
      </c>
      <c r="V7445">
        <v>16</v>
      </c>
      <c r="W7445">
        <v>61</v>
      </c>
      <c r="X7445">
        <v>1191</v>
      </c>
      <c r="Y7445">
        <v>124</v>
      </c>
      <c r="Z7445">
        <v>533</v>
      </c>
      <c r="AA7445">
        <v>1061</v>
      </c>
      <c r="AB7445">
        <v>13.01849</v>
      </c>
      <c r="AC7445">
        <v>1.0092749999999999E-2</v>
      </c>
      <c r="AD7445">
        <v>3.126055</v>
      </c>
      <c r="AE7445">
        <v>0.15234010000000001</v>
      </c>
      <c r="AF7445">
        <v>508.44389999999999</v>
      </c>
      <c r="AG7445">
        <f>IFERROR(AH7445*0.1, "N/A")</f>
        <v>5.3530220000000002</v>
      </c>
      <c r="AH7445">
        <v>53.53022</v>
      </c>
      <c r="AI7445">
        <v>129.09549999999999</v>
      </c>
      <c r="AJ7445">
        <v>27.704660000000001</v>
      </c>
      <c r="AK7445">
        <v>53.879100000000001</v>
      </c>
    </row>
    <row r="7446" spans="1:37" x14ac:dyDescent="0.3">
      <c r="A7446">
        <v>7445</v>
      </c>
      <c r="B7446">
        <v>0.9</v>
      </c>
      <c r="C7446">
        <v>-9.952</v>
      </c>
      <c r="D7446">
        <v>8.4510000000000005</v>
      </c>
      <c r="E7446">
        <f>-9.952-8.451</f>
        <v>-18.402999999999999</v>
      </c>
      <c r="F7446" t="s">
        <v>11030</v>
      </c>
      <c r="G7446" t="s">
        <v>37</v>
      </c>
      <c r="H7446">
        <v>1987</v>
      </c>
      <c r="I7446">
        <v>24.7</v>
      </c>
      <c r="J7446">
        <v>15.2</v>
      </c>
      <c r="K7446">
        <v>73</v>
      </c>
      <c r="L7446">
        <v>11.72</v>
      </c>
      <c r="M7446">
        <v>34.4</v>
      </c>
      <c r="N7446">
        <v>13.6</v>
      </c>
      <c r="O7446">
        <v>20.8</v>
      </c>
      <c r="P7446">
        <v>23.6</v>
      </c>
      <c r="Q7446">
        <v>23.9</v>
      </c>
      <c r="R7446">
        <v>25.8</v>
      </c>
      <c r="S7446">
        <v>23.4</v>
      </c>
      <c r="T7446">
        <v>2671</v>
      </c>
      <c r="U7446">
        <v>444</v>
      </c>
      <c r="V7446">
        <v>16</v>
      </c>
      <c r="W7446">
        <v>61</v>
      </c>
      <c r="X7446">
        <v>1191</v>
      </c>
      <c r="Y7446">
        <v>124</v>
      </c>
      <c r="Z7446">
        <v>533</v>
      </c>
      <c r="AA7446">
        <v>1061</v>
      </c>
      <c r="AB7446">
        <v>13.01849</v>
      </c>
      <c r="AC7446">
        <v>1.0092749999999999E-2</v>
      </c>
      <c r="AD7446">
        <v>3.126055</v>
      </c>
      <c r="AE7446">
        <v>0.15234010000000001</v>
      </c>
      <c r="AF7446">
        <v>508.44389999999999</v>
      </c>
      <c r="AG7446">
        <f>IFERROR(AH7446*0.1, "N/A")</f>
        <v>5.3530220000000002</v>
      </c>
      <c r="AH7446">
        <v>53.53022</v>
      </c>
      <c r="AI7446">
        <v>129.09549999999999</v>
      </c>
      <c r="AJ7446">
        <v>27.704660000000001</v>
      </c>
      <c r="AK7446">
        <v>53.879100000000001</v>
      </c>
    </row>
    <row r="7447" spans="1:37" x14ac:dyDescent="0.3">
      <c r="A7447">
        <v>7446</v>
      </c>
      <c r="B7447">
        <v>0</v>
      </c>
      <c r="C7447">
        <v>-10.215</v>
      </c>
      <c r="D7447">
        <v>8.4649999999999999</v>
      </c>
      <c r="E7447">
        <f>-10.215-8.465</f>
        <v>-18.68</v>
      </c>
      <c r="F7447" t="s">
        <v>11031</v>
      </c>
      <c r="G7447" t="s">
        <v>39</v>
      </c>
      <c r="H7447">
        <v>1987</v>
      </c>
      <c r="I7447">
        <v>25.5</v>
      </c>
      <c r="J7447">
        <v>14.6</v>
      </c>
      <c r="K7447">
        <v>68</v>
      </c>
      <c r="L7447">
        <v>13.15</v>
      </c>
      <c r="M7447">
        <v>35.799999999999997</v>
      </c>
      <c r="N7447">
        <v>14.4</v>
      </c>
      <c r="O7447">
        <v>21.4</v>
      </c>
      <c r="P7447">
        <v>24.1</v>
      </c>
      <c r="Q7447">
        <v>24.7</v>
      </c>
      <c r="R7447">
        <v>27</v>
      </c>
      <c r="S7447">
        <v>24.1</v>
      </c>
      <c r="T7447">
        <v>2530</v>
      </c>
      <c r="U7447">
        <v>435</v>
      </c>
      <c r="V7447">
        <v>14</v>
      </c>
      <c r="W7447">
        <v>64</v>
      </c>
      <c r="X7447">
        <v>1125</v>
      </c>
      <c r="Y7447">
        <v>93</v>
      </c>
      <c r="Z7447">
        <v>509</v>
      </c>
      <c r="AA7447">
        <v>992</v>
      </c>
      <c r="AB7447">
        <v>11.402609999999999</v>
      </c>
      <c r="AC7447">
        <v>1.553307E-2</v>
      </c>
      <c r="AD7447">
        <v>4.9314939999999998</v>
      </c>
      <c r="AE7447">
        <v>0.57234479999999999</v>
      </c>
      <c r="AF7447">
        <v>423.48779999999999</v>
      </c>
      <c r="AG7447">
        <f>IFERROR(AH7447*0.1, "N/A")</f>
        <v>5.3963540000000005</v>
      </c>
      <c r="AH7447">
        <v>53.963540000000002</v>
      </c>
      <c r="AI7447">
        <v>112.5946</v>
      </c>
      <c r="AJ7447">
        <v>24.01042</v>
      </c>
      <c r="AK7447">
        <v>56.298609999999996</v>
      </c>
    </row>
    <row r="7448" spans="1:37" x14ac:dyDescent="0.3">
      <c r="A7448">
        <v>7447</v>
      </c>
      <c r="B7448">
        <v>0</v>
      </c>
      <c r="C7448">
        <v>-10.215</v>
      </c>
      <c r="D7448">
        <v>8.4649999999999999</v>
      </c>
      <c r="E7448">
        <f>-10.215-8.465</f>
        <v>-18.68</v>
      </c>
      <c r="F7448" t="s">
        <v>11032</v>
      </c>
      <c r="G7448" t="s">
        <v>37</v>
      </c>
      <c r="H7448">
        <v>1987</v>
      </c>
      <c r="I7448">
        <v>25.5</v>
      </c>
      <c r="J7448">
        <v>14.6</v>
      </c>
      <c r="K7448">
        <v>68</v>
      </c>
      <c r="L7448">
        <v>13.15</v>
      </c>
      <c r="M7448">
        <v>35.799999999999997</v>
      </c>
      <c r="N7448">
        <v>14.4</v>
      </c>
      <c r="O7448">
        <v>21.4</v>
      </c>
      <c r="P7448">
        <v>24.1</v>
      </c>
      <c r="Q7448">
        <v>24.7</v>
      </c>
      <c r="R7448">
        <v>27</v>
      </c>
      <c r="S7448">
        <v>24.1</v>
      </c>
      <c r="T7448">
        <v>2530</v>
      </c>
      <c r="U7448">
        <v>435</v>
      </c>
      <c r="V7448">
        <v>14</v>
      </c>
      <c r="W7448">
        <v>64</v>
      </c>
      <c r="X7448">
        <v>1125</v>
      </c>
      <c r="Y7448">
        <v>93</v>
      </c>
      <c r="Z7448">
        <v>509</v>
      </c>
      <c r="AA7448">
        <v>992</v>
      </c>
      <c r="AB7448">
        <v>11.402609999999999</v>
      </c>
      <c r="AC7448">
        <v>1.553307E-2</v>
      </c>
      <c r="AD7448">
        <v>4.9314939999999998</v>
      </c>
      <c r="AE7448">
        <v>0.57234479999999999</v>
      </c>
      <c r="AF7448">
        <v>423.48779999999999</v>
      </c>
      <c r="AG7448">
        <f>IFERROR(AH7448*0.1, "N/A")</f>
        <v>5.3963540000000005</v>
      </c>
      <c r="AH7448">
        <v>53.963540000000002</v>
      </c>
      <c r="AI7448">
        <v>112.5946</v>
      </c>
      <c r="AJ7448">
        <v>24.01042</v>
      </c>
      <c r="AK7448">
        <v>56.298609999999996</v>
      </c>
    </row>
    <row r="7449" spans="1:37" x14ac:dyDescent="0.3">
      <c r="A7449">
        <v>7448</v>
      </c>
      <c r="B7449">
        <v>11</v>
      </c>
      <c r="C7449">
        <v>-9.6679999999999993</v>
      </c>
      <c r="D7449">
        <v>8.4670000000000005</v>
      </c>
      <c r="E7449">
        <f>-9.668-8.467</f>
        <v>-18.134999999999998</v>
      </c>
      <c r="F7449" t="s">
        <v>11033</v>
      </c>
      <c r="G7449" t="s">
        <v>39</v>
      </c>
      <c r="H7449">
        <v>1987</v>
      </c>
      <c r="I7449">
        <v>24.2</v>
      </c>
      <c r="J7449">
        <v>15.8</v>
      </c>
      <c r="K7449">
        <v>71.178510000000003</v>
      </c>
      <c r="L7449">
        <v>8.8207280000000008</v>
      </c>
      <c r="M7449">
        <v>34.799999999999997</v>
      </c>
      <c r="N7449">
        <v>12.835699999999999</v>
      </c>
      <c r="O7449">
        <v>21.964300000000001</v>
      </c>
      <c r="P7449">
        <v>23.7</v>
      </c>
      <c r="Q7449">
        <v>23.6</v>
      </c>
      <c r="R7449">
        <v>25.3</v>
      </c>
      <c r="S7449">
        <v>23.31785</v>
      </c>
      <c r="T7449">
        <v>2828.7139999999999</v>
      </c>
      <c r="U7449">
        <v>439</v>
      </c>
      <c r="V7449">
        <v>18</v>
      </c>
      <c r="W7449">
        <v>59.821489999999997</v>
      </c>
      <c r="X7449">
        <v>1283.8209999999999</v>
      </c>
      <c r="Y7449">
        <v>154.357</v>
      </c>
      <c r="Z7449">
        <v>575.35699999999997</v>
      </c>
      <c r="AA7449">
        <v>306.53550000000001</v>
      </c>
      <c r="AB7449">
        <v>14.72927</v>
      </c>
      <c r="AC7449">
        <v>3.1935539999999998E-2</v>
      </c>
      <c r="AD7449">
        <v>6.5430349999999997</v>
      </c>
      <c r="AE7449">
        <v>0.28867379999999998</v>
      </c>
      <c r="AF7449">
        <v>563.90470000000005</v>
      </c>
      <c r="AG7449">
        <f>IFERROR(AH7449*0.1, "N/A")</f>
        <v>5.2129980000000007</v>
      </c>
      <c r="AH7449">
        <v>52.129980000000003</v>
      </c>
      <c r="AI7449">
        <v>124.9935</v>
      </c>
      <c r="AJ7449">
        <v>24.389949999999999</v>
      </c>
      <c r="AK7449">
        <v>55.521659999999997</v>
      </c>
    </row>
    <row r="7450" spans="1:37" x14ac:dyDescent="0.3">
      <c r="A7450">
        <v>7449</v>
      </c>
      <c r="B7450">
        <v>8</v>
      </c>
      <c r="C7450">
        <v>-9.6679999999999993</v>
      </c>
      <c r="D7450">
        <v>8.4670000000000005</v>
      </c>
      <c r="E7450">
        <f>-9.668-8.467</f>
        <v>-18.134999999999998</v>
      </c>
      <c r="F7450" t="s">
        <v>11034</v>
      </c>
      <c r="G7450" t="s">
        <v>37</v>
      </c>
      <c r="H7450">
        <v>1987</v>
      </c>
      <c r="I7450">
        <v>24.2</v>
      </c>
      <c r="J7450">
        <v>15.8</v>
      </c>
      <c r="K7450">
        <v>71.178510000000003</v>
      </c>
      <c r="L7450">
        <v>8.8207280000000008</v>
      </c>
      <c r="M7450">
        <v>34.799999999999997</v>
      </c>
      <c r="N7450">
        <v>12.835699999999999</v>
      </c>
      <c r="O7450">
        <v>21.964300000000001</v>
      </c>
      <c r="P7450">
        <v>23.7</v>
      </c>
      <c r="Q7450">
        <v>23.6</v>
      </c>
      <c r="R7450">
        <v>25.3</v>
      </c>
      <c r="S7450">
        <v>23.31785</v>
      </c>
      <c r="T7450">
        <v>2828.7139999999999</v>
      </c>
      <c r="U7450">
        <v>439</v>
      </c>
      <c r="V7450">
        <v>18</v>
      </c>
      <c r="W7450">
        <v>59.821489999999997</v>
      </c>
      <c r="X7450">
        <v>1283.8209999999999</v>
      </c>
      <c r="Y7450">
        <v>154.357</v>
      </c>
      <c r="Z7450">
        <v>575.35699999999997</v>
      </c>
      <c r="AA7450">
        <v>306.53550000000001</v>
      </c>
      <c r="AB7450">
        <v>14.72927</v>
      </c>
      <c r="AC7450">
        <v>3.1935539999999998E-2</v>
      </c>
      <c r="AD7450">
        <v>6.5430349999999997</v>
      </c>
      <c r="AE7450">
        <v>0.28867379999999998</v>
      </c>
      <c r="AF7450">
        <v>563.90470000000005</v>
      </c>
      <c r="AG7450">
        <f>IFERROR(AH7450*0.1, "N/A")</f>
        <v>5.2129980000000007</v>
      </c>
      <c r="AH7450">
        <v>52.129980000000003</v>
      </c>
      <c r="AI7450">
        <v>124.9935</v>
      </c>
      <c r="AJ7450">
        <v>24.389949999999999</v>
      </c>
      <c r="AK7450">
        <v>55.521659999999997</v>
      </c>
    </row>
    <row r="7451" spans="1:37" x14ac:dyDescent="0.3">
      <c r="A7451">
        <v>7450</v>
      </c>
      <c r="B7451">
        <v>10</v>
      </c>
      <c r="C7451">
        <v>-10.167</v>
      </c>
      <c r="D7451">
        <v>8.4990000000000006</v>
      </c>
      <c r="E7451">
        <f>-10.167-8.499</f>
        <v>-18.666</v>
      </c>
      <c r="F7451" t="s">
        <v>11035</v>
      </c>
      <c r="G7451" t="s">
        <v>39</v>
      </c>
      <c r="H7451">
        <v>1987</v>
      </c>
      <c r="I7451">
        <v>25.5</v>
      </c>
      <c r="J7451">
        <v>14.800520000000001</v>
      </c>
      <c r="K7451">
        <v>67.005189999999999</v>
      </c>
      <c r="L7451">
        <v>13.93275</v>
      </c>
      <c r="M7451">
        <v>36</v>
      </c>
      <c r="N7451">
        <v>14.199479999999999</v>
      </c>
      <c r="O7451">
        <v>21.800519999999999</v>
      </c>
      <c r="P7451">
        <v>24.09948</v>
      </c>
      <c r="Q7451">
        <v>24.6</v>
      </c>
      <c r="R7451">
        <v>27.1</v>
      </c>
      <c r="S7451">
        <v>24.09948</v>
      </c>
      <c r="T7451">
        <v>2508.9899999999998</v>
      </c>
      <c r="U7451">
        <v>432</v>
      </c>
      <c r="V7451">
        <v>13</v>
      </c>
      <c r="W7451">
        <v>64</v>
      </c>
      <c r="X7451">
        <v>1117</v>
      </c>
      <c r="Y7451">
        <v>92</v>
      </c>
      <c r="Z7451">
        <v>505.9948</v>
      </c>
      <c r="AA7451">
        <v>1117</v>
      </c>
      <c r="AB7451">
        <v>6.5088290000000004</v>
      </c>
      <c r="AC7451">
        <v>1.359087E-2</v>
      </c>
      <c r="AD7451">
        <v>2.257225</v>
      </c>
      <c r="AE7451">
        <v>0.45699430000000002</v>
      </c>
      <c r="AF7451">
        <v>429.82870000000003</v>
      </c>
      <c r="AG7451">
        <f>IFERROR(AH7451*0.1, "N/A")</f>
        <v>5.3472320000000009</v>
      </c>
      <c r="AH7451">
        <v>53.472320000000003</v>
      </c>
      <c r="AI7451">
        <v>121.3464</v>
      </c>
      <c r="AJ7451">
        <v>22.204149999999998</v>
      </c>
      <c r="AK7451">
        <v>55.06747</v>
      </c>
    </row>
    <row r="7452" spans="1:37" x14ac:dyDescent="0.3">
      <c r="A7452">
        <v>7451</v>
      </c>
      <c r="B7452">
        <v>3</v>
      </c>
      <c r="C7452">
        <v>-10.167</v>
      </c>
      <c r="D7452">
        <v>8.4990000000000006</v>
      </c>
      <c r="E7452">
        <f>-10.167-8.499</f>
        <v>-18.666</v>
      </c>
      <c r="F7452" t="s">
        <v>11036</v>
      </c>
      <c r="G7452" t="s">
        <v>37</v>
      </c>
      <c r="H7452">
        <v>1987</v>
      </c>
      <c r="I7452">
        <v>25.5</v>
      </c>
      <c r="J7452">
        <v>14.800520000000001</v>
      </c>
      <c r="K7452">
        <v>67.005189999999999</v>
      </c>
      <c r="L7452">
        <v>13.93275</v>
      </c>
      <c r="M7452">
        <v>36</v>
      </c>
      <c r="N7452">
        <v>14.199479999999999</v>
      </c>
      <c r="O7452">
        <v>21.800519999999999</v>
      </c>
      <c r="P7452">
        <v>24.09948</v>
      </c>
      <c r="Q7452">
        <v>24.6</v>
      </c>
      <c r="R7452">
        <v>27.1</v>
      </c>
      <c r="S7452">
        <v>24.09948</v>
      </c>
      <c r="T7452">
        <v>2508.9899999999998</v>
      </c>
      <c r="U7452">
        <v>432</v>
      </c>
      <c r="V7452">
        <v>13</v>
      </c>
      <c r="W7452">
        <v>64</v>
      </c>
      <c r="X7452">
        <v>1117</v>
      </c>
      <c r="Y7452">
        <v>92</v>
      </c>
      <c r="Z7452">
        <v>505.9948</v>
      </c>
      <c r="AA7452">
        <v>1117</v>
      </c>
      <c r="AB7452">
        <v>6.5088290000000004</v>
      </c>
      <c r="AC7452">
        <v>1.359087E-2</v>
      </c>
      <c r="AD7452">
        <v>2.257225</v>
      </c>
      <c r="AE7452">
        <v>0.45699430000000002</v>
      </c>
      <c r="AF7452">
        <v>429.82870000000003</v>
      </c>
      <c r="AG7452">
        <f>IFERROR(AH7452*0.1, "N/A")</f>
        <v>5.3472320000000009</v>
      </c>
      <c r="AH7452">
        <v>53.472320000000003</v>
      </c>
      <c r="AI7452">
        <v>121.3464</v>
      </c>
      <c r="AJ7452">
        <v>22.204149999999998</v>
      </c>
      <c r="AK7452">
        <v>55.06747</v>
      </c>
    </row>
    <row r="7453" spans="1:37" x14ac:dyDescent="0.3">
      <c r="A7453">
        <v>7452</v>
      </c>
      <c r="B7453">
        <v>47.5</v>
      </c>
      <c r="C7453">
        <v>-1.2832699999999999</v>
      </c>
      <c r="D7453">
        <v>10.7334</v>
      </c>
      <c r="E7453">
        <f>-1.28327-10.7334</f>
        <v>-12.01667</v>
      </c>
      <c r="F7453" t="s">
        <v>11037</v>
      </c>
      <c r="G7453" t="s">
        <v>39</v>
      </c>
      <c r="H7453">
        <v>1976</v>
      </c>
      <c r="I7453">
        <v>28.3</v>
      </c>
      <c r="J7453">
        <v>12</v>
      </c>
      <c r="K7453">
        <v>62</v>
      </c>
      <c r="L7453">
        <v>18.21463</v>
      </c>
      <c r="M7453">
        <v>38.298630000000003</v>
      </c>
      <c r="N7453">
        <v>19.06427</v>
      </c>
      <c r="O7453">
        <v>19.234359999999999</v>
      </c>
      <c r="P7453">
        <v>26.2</v>
      </c>
      <c r="Q7453">
        <v>28.06427</v>
      </c>
      <c r="R7453">
        <v>30.962910000000001</v>
      </c>
      <c r="S7453">
        <v>26.2</v>
      </c>
      <c r="T7453">
        <v>982.93330000000003</v>
      </c>
      <c r="U7453">
        <v>261</v>
      </c>
      <c r="V7453">
        <v>1</v>
      </c>
      <c r="W7453">
        <v>101.7932</v>
      </c>
      <c r="X7453">
        <v>615.50599999999997</v>
      </c>
      <c r="Y7453">
        <v>5</v>
      </c>
      <c r="Z7453">
        <v>176.22049999999999</v>
      </c>
      <c r="AA7453">
        <v>615.50599999999997</v>
      </c>
      <c r="AB7453">
        <v>6.1923170000000001</v>
      </c>
      <c r="AC7453">
        <v>2.0134280000000001E-2</v>
      </c>
      <c r="AD7453">
        <v>1.233125</v>
      </c>
      <c r="AE7453">
        <v>0.76406419999999997</v>
      </c>
      <c r="AF7453">
        <v>169.1026</v>
      </c>
      <c r="AG7453">
        <f>IFERROR(AH7453*0.1, "N/A")</f>
        <v>6.4849570000000005</v>
      </c>
      <c r="AH7453">
        <v>64.84957</v>
      </c>
      <c r="AI7453">
        <v>185.28020000000001</v>
      </c>
      <c r="AJ7453">
        <v>16.15043</v>
      </c>
      <c r="AK7453">
        <v>63.699150000000003</v>
      </c>
    </row>
    <row r="7454" spans="1:37" x14ac:dyDescent="0.3">
      <c r="A7454">
        <v>7453</v>
      </c>
      <c r="B7454">
        <v>1.4</v>
      </c>
      <c r="C7454">
        <v>40.066699999999997</v>
      </c>
      <c r="D7454">
        <v>1.75</v>
      </c>
      <c r="E7454" t="s">
        <v>11038</v>
      </c>
      <c r="F7454" t="s">
        <v>11039</v>
      </c>
      <c r="G7454" t="s">
        <v>37</v>
      </c>
      <c r="H7454">
        <v>1987</v>
      </c>
      <c r="I7454">
        <v>27.8</v>
      </c>
      <c r="J7454">
        <v>13.7</v>
      </c>
      <c r="K7454">
        <v>78</v>
      </c>
      <c r="L7454">
        <v>10.966519999999999</v>
      </c>
      <c r="M7454">
        <v>37.4</v>
      </c>
      <c r="N7454">
        <v>20</v>
      </c>
      <c r="O7454">
        <v>17.399999999999999</v>
      </c>
      <c r="P7454">
        <v>28.7</v>
      </c>
      <c r="Q7454">
        <v>26.341650000000001</v>
      </c>
      <c r="R7454">
        <v>29.2</v>
      </c>
      <c r="S7454">
        <v>26.341650000000001</v>
      </c>
      <c r="T7454">
        <v>320.0299</v>
      </c>
      <c r="U7454">
        <v>96</v>
      </c>
      <c r="V7454">
        <v>2</v>
      </c>
      <c r="W7454">
        <v>104</v>
      </c>
      <c r="X7454">
        <v>171.80670000000001</v>
      </c>
      <c r="Y7454">
        <v>7.2231990000000001</v>
      </c>
      <c r="Z7454">
        <v>144</v>
      </c>
      <c r="AA7454">
        <v>7.2231990000000001</v>
      </c>
      <c r="AB7454">
        <v>1.1643269999999999</v>
      </c>
      <c r="AC7454">
        <v>1.7283099999999999E-2</v>
      </c>
      <c r="AD7454">
        <v>0.74122869999999996</v>
      </c>
      <c r="AE7454">
        <v>0.51379909999999995</v>
      </c>
      <c r="AF7454">
        <v>259.63440000000003</v>
      </c>
      <c r="AG7454">
        <f>IFERROR(AH7454*0.1, "N/A")</f>
        <v>7.5919160000000012</v>
      </c>
      <c r="AH7454">
        <v>75.919160000000005</v>
      </c>
      <c r="AI7454">
        <v>87.940010000000001</v>
      </c>
      <c r="AJ7454">
        <v>22.91037</v>
      </c>
      <c r="AK7454">
        <v>61.098419999999997</v>
      </c>
    </row>
    <row r="7455" spans="1:37" x14ac:dyDescent="0.3">
      <c r="A7455">
        <v>7454</v>
      </c>
      <c r="B7455">
        <v>1.6</v>
      </c>
      <c r="C7455">
        <v>40.066699999999997</v>
      </c>
      <c r="D7455">
        <v>1.75</v>
      </c>
      <c r="E7455" t="s">
        <v>11038</v>
      </c>
      <c r="F7455" t="s">
        <v>11040</v>
      </c>
      <c r="G7455" t="s">
        <v>39</v>
      </c>
      <c r="H7455">
        <v>1987</v>
      </c>
      <c r="I7455">
        <v>27.8</v>
      </c>
      <c r="J7455">
        <v>13.7</v>
      </c>
      <c r="K7455">
        <v>78</v>
      </c>
      <c r="L7455">
        <v>10.966519999999999</v>
      </c>
      <c r="M7455">
        <v>37.4</v>
      </c>
      <c r="N7455">
        <v>20</v>
      </c>
      <c r="O7455">
        <v>17.399999999999999</v>
      </c>
      <c r="P7455">
        <v>28.7</v>
      </c>
      <c r="Q7455">
        <v>26.341650000000001</v>
      </c>
      <c r="R7455">
        <v>29.2</v>
      </c>
      <c r="S7455">
        <v>26.341650000000001</v>
      </c>
      <c r="T7455">
        <v>320.0299</v>
      </c>
      <c r="U7455">
        <v>96</v>
      </c>
      <c r="V7455">
        <v>2</v>
      </c>
      <c r="W7455">
        <v>104</v>
      </c>
      <c r="X7455">
        <v>171.80670000000001</v>
      </c>
      <c r="Y7455">
        <v>7.2231990000000001</v>
      </c>
      <c r="Z7455">
        <v>144</v>
      </c>
      <c r="AA7455">
        <v>7.2231990000000001</v>
      </c>
      <c r="AB7455">
        <v>1.1643269999999999</v>
      </c>
      <c r="AC7455">
        <v>1.7283099999999999E-2</v>
      </c>
      <c r="AD7455">
        <v>0.74122869999999996</v>
      </c>
      <c r="AE7455">
        <v>0.51379909999999995</v>
      </c>
      <c r="AF7455">
        <v>259.63440000000003</v>
      </c>
      <c r="AG7455">
        <f>IFERROR(AH7455*0.1, "N/A")</f>
        <v>7.5919160000000012</v>
      </c>
      <c r="AH7455">
        <v>75.919160000000005</v>
      </c>
      <c r="AI7455">
        <v>87.940010000000001</v>
      </c>
      <c r="AJ7455">
        <v>22.91037</v>
      </c>
      <c r="AK7455">
        <v>61.098419999999997</v>
      </c>
    </row>
    <row r="7456" spans="1:37" x14ac:dyDescent="0.3">
      <c r="A7456">
        <v>7455</v>
      </c>
      <c r="B7456">
        <v>5.7</v>
      </c>
      <c r="C7456">
        <v>40.533299999999997</v>
      </c>
      <c r="D7456">
        <v>1.75</v>
      </c>
      <c r="E7456" t="s">
        <v>11041</v>
      </c>
      <c r="F7456" t="s">
        <v>11042</v>
      </c>
      <c r="G7456" t="s">
        <v>39</v>
      </c>
      <c r="H7456">
        <v>1978</v>
      </c>
      <c r="I7456">
        <v>28</v>
      </c>
      <c r="J7456">
        <v>13.9</v>
      </c>
      <c r="K7456">
        <v>77.530760000000001</v>
      </c>
      <c r="L7456">
        <v>11.82784</v>
      </c>
      <c r="M7456">
        <v>37.946930000000002</v>
      </c>
      <c r="N7456">
        <v>20.100000000000001</v>
      </c>
      <c r="O7456">
        <v>17.846920000000001</v>
      </c>
      <c r="P7456">
        <v>29</v>
      </c>
      <c r="Q7456">
        <v>26.459050000000001</v>
      </c>
      <c r="R7456">
        <v>29.54148</v>
      </c>
      <c r="S7456">
        <v>26.459050000000001</v>
      </c>
      <c r="T7456">
        <v>337</v>
      </c>
      <c r="U7456">
        <v>97</v>
      </c>
      <c r="V7456">
        <v>3</v>
      </c>
      <c r="W7456">
        <v>101</v>
      </c>
      <c r="X7456">
        <v>170</v>
      </c>
      <c r="Y7456">
        <v>11</v>
      </c>
      <c r="Z7456">
        <v>139</v>
      </c>
      <c r="AA7456">
        <v>11</v>
      </c>
      <c r="AB7456">
        <v>5.5478040000000002</v>
      </c>
      <c r="AC7456">
        <v>1.198255E-2</v>
      </c>
      <c r="AD7456">
        <v>0.43553700000000001</v>
      </c>
      <c r="AE7456">
        <v>0.187995</v>
      </c>
      <c r="AF7456">
        <v>223.4692</v>
      </c>
      <c r="AG7456">
        <f>IFERROR(AH7456*0.1, "N/A")</f>
        <v>8.0713530000000002</v>
      </c>
      <c r="AH7456">
        <v>80.713530000000006</v>
      </c>
      <c r="AI7456">
        <v>63.150770000000001</v>
      </c>
      <c r="AJ7456">
        <v>22.695959999999999</v>
      </c>
      <c r="AK7456">
        <v>60.442880000000002</v>
      </c>
    </row>
    <row r="7457" spans="1:37" x14ac:dyDescent="0.3">
      <c r="A7457">
        <v>7456</v>
      </c>
      <c r="B7457">
        <v>0</v>
      </c>
      <c r="C7457">
        <v>35.285299999999999</v>
      </c>
      <c r="D7457">
        <v>1.5928100000000001</v>
      </c>
      <c r="E7457" t="s">
        <v>11043</v>
      </c>
      <c r="F7457" t="s">
        <v>11044</v>
      </c>
      <c r="G7457" t="s">
        <v>39</v>
      </c>
      <c r="H7457">
        <v>1982</v>
      </c>
      <c r="I7457">
        <v>18</v>
      </c>
      <c r="J7457">
        <v>14.4</v>
      </c>
      <c r="K7457">
        <v>85</v>
      </c>
      <c r="L7457">
        <v>6.4</v>
      </c>
      <c r="M7457">
        <v>27.1</v>
      </c>
      <c r="N7457">
        <v>10.199999999999999</v>
      </c>
      <c r="O7457">
        <v>16.899999999999999</v>
      </c>
      <c r="P7457">
        <v>17.399999999999999</v>
      </c>
      <c r="Q7457">
        <v>18.2</v>
      </c>
      <c r="R7457">
        <v>18.8</v>
      </c>
      <c r="S7457">
        <v>17.100000000000001</v>
      </c>
      <c r="T7457">
        <v>912</v>
      </c>
      <c r="U7457">
        <v>142</v>
      </c>
      <c r="V7457">
        <v>17</v>
      </c>
      <c r="W7457">
        <v>52</v>
      </c>
      <c r="X7457">
        <v>345</v>
      </c>
      <c r="Y7457">
        <v>77</v>
      </c>
      <c r="Z7457">
        <v>218</v>
      </c>
      <c r="AA7457">
        <v>335</v>
      </c>
      <c r="AB7457">
        <v>142.00389999999999</v>
      </c>
      <c r="AC7457">
        <v>8.6499230000000003E-3</v>
      </c>
      <c r="AD7457">
        <v>17.19547</v>
      </c>
      <c r="AE7457">
        <v>0.72984499999999997</v>
      </c>
      <c r="AF7457">
        <v>1916.2760000000001</v>
      </c>
      <c r="AG7457">
        <f>IFERROR(AH7457*0.1, "N/A")</f>
        <v>5.8679580000000007</v>
      </c>
      <c r="AH7457">
        <v>58.679580000000001</v>
      </c>
      <c r="AI7457">
        <v>129.58609999999999</v>
      </c>
      <c r="AJ7457">
        <v>39.225349999999999</v>
      </c>
      <c r="AK7457">
        <v>35.445419999999999</v>
      </c>
    </row>
    <row r="7458" spans="1:37" x14ac:dyDescent="0.3">
      <c r="A7458">
        <v>7457</v>
      </c>
      <c r="B7458">
        <v>19.7</v>
      </c>
      <c r="C7458">
        <v>34.683300000000003</v>
      </c>
      <c r="D7458">
        <v>0.76670000000000005</v>
      </c>
      <c r="E7458" t="s">
        <v>11045</v>
      </c>
      <c r="F7458" t="s">
        <v>11046</v>
      </c>
      <c r="G7458" t="s">
        <v>37</v>
      </c>
      <c r="H7458">
        <v>1987</v>
      </c>
      <c r="I7458">
        <v>19.783300000000001</v>
      </c>
      <c r="J7458">
        <v>15.5</v>
      </c>
      <c r="K7458">
        <v>87</v>
      </c>
      <c r="L7458">
        <v>6.5827419999999996</v>
      </c>
      <c r="M7458">
        <v>29.086469999999998</v>
      </c>
      <c r="N7458">
        <v>11.3833</v>
      </c>
      <c r="O7458">
        <v>17.70316</v>
      </c>
      <c r="P7458">
        <v>19.683299999999999</v>
      </c>
      <c r="Q7458">
        <v>20.224959999999999</v>
      </c>
      <c r="R7458">
        <v>20.586469999999998</v>
      </c>
      <c r="S7458">
        <v>18.883299999999998</v>
      </c>
      <c r="T7458">
        <v>1650.309</v>
      </c>
      <c r="U7458">
        <v>245.21270000000001</v>
      </c>
      <c r="V7458">
        <v>41</v>
      </c>
      <c r="W7458">
        <v>42</v>
      </c>
      <c r="X7458">
        <v>623.86289999999997</v>
      </c>
      <c r="Y7458">
        <v>177.30760000000001</v>
      </c>
      <c r="Z7458">
        <v>341.3374</v>
      </c>
      <c r="AA7458">
        <v>477.20740000000001</v>
      </c>
      <c r="AB7458">
        <v>33.382910000000003</v>
      </c>
      <c r="AC7458">
        <v>5.3671009999999998E-2</v>
      </c>
      <c r="AD7458">
        <v>2.483263</v>
      </c>
      <c r="AE7458">
        <v>0.75248749999999998</v>
      </c>
      <c r="AF7458">
        <v>1641.4010000000001</v>
      </c>
      <c r="AG7458">
        <f>IFERROR(AH7458*0.1, "N/A")</f>
        <v>5.4994730000000001</v>
      </c>
      <c r="AH7458">
        <v>54.994729999999997</v>
      </c>
      <c r="AI7458">
        <v>96.470690000000005</v>
      </c>
      <c r="AJ7458">
        <v>43.62039</v>
      </c>
      <c r="AK7458">
        <v>34.058</v>
      </c>
    </row>
    <row r="7459" spans="1:37" x14ac:dyDescent="0.3">
      <c r="A7459">
        <v>7458</v>
      </c>
      <c r="B7459">
        <v>11.4</v>
      </c>
      <c r="C7459">
        <v>34.683300000000003</v>
      </c>
      <c r="D7459">
        <v>0.76670000000000005</v>
      </c>
      <c r="E7459" t="s">
        <v>11045</v>
      </c>
      <c r="F7459" t="s">
        <v>11047</v>
      </c>
      <c r="G7459" t="s">
        <v>39</v>
      </c>
      <c r="H7459">
        <v>1987</v>
      </c>
      <c r="I7459">
        <v>19.783300000000001</v>
      </c>
      <c r="J7459">
        <v>15.5</v>
      </c>
      <c r="K7459">
        <v>87</v>
      </c>
      <c r="L7459">
        <v>6.5827419999999996</v>
      </c>
      <c r="M7459">
        <v>29.086469999999998</v>
      </c>
      <c r="N7459">
        <v>11.3833</v>
      </c>
      <c r="O7459">
        <v>17.70316</v>
      </c>
      <c r="P7459">
        <v>19.683299999999999</v>
      </c>
      <c r="Q7459">
        <v>20.224959999999999</v>
      </c>
      <c r="R7459">
        <v>20.586469999999998</v>
      </c>
      <c r="S7459">
        <v>18.883299999999998</v>
      </c>
      <c r="T7459">
        <v>1650.309</v>
      </c>
      <c r="U7459">
        <v>245.21270000000001</v>
      </c>
      <c r="V7459">
        <v>41</v>
      </c>
      <c r="W7459">
        <v>42</v>
      </c>
      <c r="X7459">
        <v>623.86289999999997</v>
      </c>
      <c r="Y7459">
        <v>177.30760000000001</v>
      </c>
      <c r="Z7459">
        <v>341.3374</v>
      </c>
      <c r="AA7459">
        <v>477.20740000000001</v>
      </c>
      <c r="AB7459">
        <v>33.382910000000003</v>
      </c>
      <c r="AC7459">
        <v>5.3671009999999998E-2</v>
      </c>
      <c r="AD7459">
        <v>2.483263</v>
      </c>
      <c r="AE7459">
        <v>0.75248749999999998</v>
      </c>
      <c r="AF7459">
        <v>1641.4010000000001</v>
      </c>
      <c r="AG7459">
        <f>IFERROR(AH7459*0.1, "N/A")</f>
        <v>5.4994730000000001</v>
      </c>
      <c r="AH7459">
        <v>54.994729999999997</v>
      </c>
      <c r="AI7459">
        <v>96.470690000000005</v>
      </c>
      <c r="AJ7459">
        <v>43.62039</v>
      </c>
      <c r="AK7459">
        <v>34.058</v>
      </c>
    </row>
    <row r="7460" spans="1:37" x14ac:dyDescent="0.3">
      <c r="A7460">
        <v>7459</v>
      </c>
      <c r="B7460">
        <v>9.1</v>
      </c>
      <c r="C7460">
        <v>34.0167</v>
      </c>
      <c r="D7460">
        <v>0.216667</v>
      </c>
      <c r="E7460" t="s">
        <v>11048</v>
      </c>
      <c r="F7460" t="s">
        <v>11049</v>
      </c>
      <c r="G7460" t="s">
        <v>37</v>
      </c>
      <c r="H7460">
        <v>1978</v>
      </c>
      <c r="I7460">
        <v>22.455629999999999</v>
      </c>
      <c r="J7460">
        <v>12.3</v>
      </c>
      <c r="K7460">
        <v>85.760559999999998</v>
      </c>
      <c r="L7460">
        <v>5.6200700000000001</v>
      </c>
      <c r="M7460">
        <v>30.055630000000001</v>
      </c>
      <c r="N7460">
        <v>15.73169</v>
      </c>
      <c r="O7460">
        <v>14.32394</v>
      </c>
      <c r="P7460">
        <v>22.75563</v>
      </c>
      <c r="Q7460">
        <v>21.631689999999999</v>
      </c>
      <c r="R7460">
        <v>23.155629999999999</v>
      </c>
      <c r="S7460">
        <v>21.631689999999999</v>
      </c>
      <c r="T7460">
        <v>1218.32</v>
      </c>
      <c r="U7460">
        <v>203.5599</v>
      </c>
      <c r="V7460">
        <v>49.102110000000003</v>
      </c>
      <c r="W7460">
        <v>43.102110000000003</v>
      </c>
      <c r="X7460">
        <v>484.11970000000002</v>
      </c>
      <c r="Y7460">
        <v>191.77459999999999</v>
      </c>
      <c r="Z7460">
        <v>258.66199999999998</v>
      </c>
      <c r="AA7460">
        <v>191.77459999999999</v>
      </c>
      <c r="AB7460">
        <v>2.2672629999999998</v>
      </c>
      <c r="AC7460">
        <v>3.3438310000000002</v>
      </c>
      <c r="AD7460">
        <v>1.3618269999999999</v>
      </c>
      <c r="AE7460">
        <v>0.45470660000000002</v>
      </c>
      <c r="AF7460">
        <v>1134.905</v>
      </c>
      <c r="AG7460">
        <f>IFERROR(AH7460*0.1, "N/A")</f>
        <v>5.6633800000000001</v>
      </c>
      <c r="AH7460">
        <v>56.633800000000001</v>
      </c>
      <c r="AI7460">
        <v>182.61269999999999</v>
      </c>
      <c r="AJ7460">
        <v>37.901409999999998</v>
      </c>
      <c r="AK7460">
        <v>45.415489999999998</v>
      </c>
    </row>
    <row r="7461" spans="1:37" x14ac:dyDescent="0.3">
      <c r="A7461">
        <v>7460</v>
      </c>
      <c r="B7461">
        <v>0</v>
      </c>
      <c r="C7461">
        <v>34.0167</v>
      </c>
      <c r="D7461">
        <v>0.216667</v>
      </c>
      <c r="E7461" t="s">
        <v>11048</v>
      </c>
      <c r="F7461" t="s">
        <v>11050</v>
      </c>
      <c r="G7461" t="s">
        <v>39</v>
      </c>
      <c r="H7461">
        <v>1978</v>
      </c>
      <c r="I7461">
        <v>22.455629999999999</v>
      </c>
      <c r="J7461">
        <v>12.3</v>
      </c>
      <c r="K7461">
        <v>85.760559999999998</v>
      </c>
      <c r="L7461">
        <v>5.6200700000000001</v>
      </c>
      <c r="M7461">
        <v>30.055630000000001</v>
      </c>
      <c r="N7461">
        <v>15.73169</v>
      </c>
      <c r="O7461">
        <v>14.32394</v>
      </c>
      <c r="P7461">
        <v>22.75563</v>
      </c>
      <c r="Q7461">
        <v>21.631689999999999</v>
      </c>
      <c r="R7461">
        <v>23.155629999999999</v>
      </c>
      <c r="S7461">
        <v>21.631689999999999</v>
      </c>
      <c r="T7461">
        <v>1218.32</v>
      </c>
      <c r="U7461">
        <v>203.5599</v>
      </c>
      <c r="V7461">
        <v>49.102110000000003</v>
      </c>
      <c r="W7461">
        <v>43.102110000000003</v>
      </c>
      <c r="X7461">
        <v>484.11970000000002</v>
      </c>
      <c r="Y7461">
        <v>191.77459999999999</v>
      </c>
      <c r="Z7461">
        <v>258.66199999999998</v>
      </c>
      <c r="AA7461">
        <v>191.77459999999999</v>
      </c>
      <c r="AB7461">
        <v>2.2672629999999998</v>
      </c>
      <c r="AC7461">
        <v>3.3438310000000002</v>
      </c>
      <c r="AD7461">
        <v>1.3618269999999999</v>
      </c>
      <c r="AE7461">
        <v>0.45470660000000002</v>
      </c>
      <c r="AF7461">
        <v>1134.905</v>
      </c>
      <c r="AG7461">
        <f>IFERROR(AH7461*0.1, "N/A")</f>
        <v>5.6633800000000001</v>
      </c>
      <c r="AH7461">
        <v>56.633800000000001</v>
      </c>
      <c r="AI7461">
        <v>182.61269999999999</v>
      </c>
      <c r="AJ7461">
        <v>37.901409999999998</v>
      </c>
      <c r="AK7461">
        <v>45.415489999999998</v>
      </c>
    </row>
    <row r="7462" spans="1:37" x14ac:dyDescent="0.3">
      <c r="A7462">
        <v>7461</v>
      </c>
      <c r="B7462">
        <v>9.1999999999999993</v>
      </c>
      <c r="C7462">
        <v>34.043399999999998</v>
      </c>
      <c r="D7462">
        <v>0.20370199999999999</v>
      </c>
      <c r="E7462" t="s">
        <v>11051</v>
      </c>
      <c r="F7462" t="s">
        <v>11052</v>
      </c>
      <c r="G7462" t="s">
        <v>37</v>
      </c>
      <c r="H7462">
        <v>1978</v>
      </c>
      <c r="I7462">
        <v>22</v>
      </c>
      <c r="J7462">
        <v>12.4</v>
      </c>
      <c r="K7462">
        <v>85</v>
      </c>
      <c r="L7462">
        <v>5.47</v>
      </c>
      <c r="M7462">
        <v>29.7</v>
      </c>
      <c r="N7462">
        <v>15.2</v>
      </c>
      <c r="O7462">
        <v>14.5</v>
      </c>
      <c r="P7462">
        <v>22.3</v>
      </c>
      <c r="Q7462">
        <v>21.2</v>
      </c>
      <c r="R7462">
        <v>22.7</v>
      </c>
      <c r="S7462">
        <v>21.2</v>
      </c>
      <c r="T7462">
        <v>1313</v>
      </c>
      <c r="U7462">
        <v>221</v>
      </c>
      <c r="V7462">
        <v>53</v>
      </c>
      <c r="W7462">
        <v>43</v>
      </c>
      <c r="X7462">
        <v>523</v>
      </c>
      <c r="Y7462">
        <v>210</v>
      </c>
      <c r="Z7462">
        <v>275</v>
      </c>
      <c r="AA7462">
        <v>210</v>
      </c>
      <c r="AB7462">
        <v>23.737480000000001</v>
      </c>
      <c r="AC7462">
        <v>1.106098E-2</v>
      </c>
      <c r="AD7462">
        <v>1.3639889999999999</v>
      </c>
      <c r="AE7462">
        <v>0.62988739999999999</v>
      </c>
      <c r="AF7462">
        <v>1225.4100000000001</v>
      </c>
      <c r="AG7462">
        <f>IFERROR(AH7462*0.1, "N/A")</f>
        <v>5.8975350000000004</v>
      </c>
      <c r="AH7462">
        <v>58.975349999999999</v>
      </c>
      <c r="AI7462">
        <v>112.3188</v>
      </c>
      <c r="AJ7462">
        <v>38.975349999999999</v>
      </c>
      <c r="AK7462">
        <v>42.049300000000002</v>
      </c>
    </row>
    <row r="7463" spans="1:37" x14ac:dyDescent="0.3">
      <c r="A7463">
        <v>7462</v>
      </c>
      <c r="B7463">
        <v>0</v>
      </c>
      <c r="C7463">
        <v>34.043399999999998</v>
      </c>
      <c r="D7463">
        <v>0.20370199999999999</v>
      </c>
      <c r="E7463" t="s">
        <v>11051</v>
      </c>
      <c r="F7463" t="s">
        <v>11053</v>
      </c>
      <c r="G7463" t="s">
        <v>39</v>
      </c>
      <c r="H7463">
        <v>1978</v>
      </c>
      <c r="I7463">
        <v>22</v>
      </c>
      <c r="J7463">
        <v>12.4</v>
      </c>
      <c r="K7463">
        <v>85</v>
      </c>
      <c r="L7463">
        <v>5.47</v>
      </c>
      <c r="M7463">
        <v>29.7</v>
      </c>
      <c r="N7463">
        <v>15.2</v>
      </c>
      <c r="O7463">
        <v>14.5</v>
      </c>
      <c r="P7463">
        <v>22.3</v>
      </c>
      <c r="Q7463">
        <v>21.2</v>
      </c>
      <c r="R7463">
        <v>22.7</v>
      </c>
      <c r="S7463">
        <v>21.2</v>
      </c>
      <c r="T7463">
        <v>1313</v>
      </c>
      <c r="U7463">
        <v>221</v>
      </c>
      <c r="V7463">
        <v>53</v>
      </c>
      <c r="W7463">
        <v>43</v>
      </c>
      <c r="X7463">
        <v>523</v>
      </c>
      <c r="Y7463">
        <v>210</v>
      </c>
      <c r="Z7463">
        <v>275</v>
      </c>
      <c r="AA7463">
        <v>210</v>
      </c>
      <c r="AB7463">
        <v>23.737480000000001</v>
      </c>
      <c r="AC7463">
        <v>1.106098E-2</v>
      </c>
      <c r="AD7463">
        <v>1.3639889999999999</v>
      </c>
      <c r="AE7463">
        <v>0.62988739999999999</v>
      </c>
      <c r="AF7463">
        <v>1225.4100000000001</v>
      </c>
      <c r="AG7463">
        <f>IFERROR(AH7463*0.1, "N/A")</f>
        <v>5.8975350000000004</v>
      </c>
      <c r="AH7463">
        <v>58.975349999999999</v>
      </c>
      <c r="AI7463">
        <v>112.3188</v>
      </c>
      <c r="AJ7463">
        <v>38.975349999999999</v>
      </c>
      <c r="AK7463">
        <v>42.049300000000002</v>
      </c>
    </row>
    <row r="7464" spans="1:37" x14ac:dyDescent="0.3">
      <c r="A7464">
        <v>7463</v>
      </c>
      <c r="B7464">
        <v>26.7</v>
      </c>
      <c r="C7464">
        <v>34.006</v>
      </c>
      <c r="D7464">
        <v>0.18979699999999999</v>
      </c>
      <c r="E7464" t="s">
        <v>11054</v>
      </c>
      <c r="F7464" t="s">
        <v>11055</v>
      </c>
      <c r="G7464" t="s">
        <v>37</v>
      </c>
      <c r="H7464">
        <v>1978</v>
      </c>
      <c r="I7464">
        <v>22.5</v>
      </c>
      <c r="J7464">
        <v>12.3</v>
      </c>
      <c r="K7464">
        <v>86</v>
      </c>
      <c r="L7464">
        <v>5.77</v>
      </c>
      <c r="M7464">
        <v>30.1</v>
      </c>
      <c r="N7464">
        <v>15.8</v>
      </c>
      <c r="O7464">
        <v>14.3</v>
      </c>
      <c r="P7464">
        <v>22.8</v>
      </c>
      <c r="Q7464">
        <v>21.7</v>
      </c>
      <c r="R7464">
        <v>23.2</v>
      </c>
      <c r="S7464">
        <v>21.7</v>
      </c>
      <c r="T7464">
        <v>1153</v>
      </c>
      <c r="U7464">
        <v>195</v>
      </c>
      <c r="V7464">
        <v>45</v>
      </c>
      <c r="W7464">
        <v>44</v>
      </c>
      <c r="X7464">
        <v>466</v>
      </c>
      <c r="Y7464">
        <v>174</v>
      </c>
      <c r="Z7464">
        <v>254</v>
      </c>
      <c r="AA7464">
        <v>174</v>
      </c>
      <c r="AB7464">
        <v>2.056978</v>
      </c>
      <c r="AC7464">
        <v>0.63375930000000003</v>
      </c>
      <c r="AD7464">
        <v>2.3322349999999998</v>
      </c>
      <c r="AE7464">
        <v>0.59235819999999995</v>
      </c>
      <c r="AF7464">
        <v>1142.9880000000001</v>
      </c>
      <c r="AG7464">
        <f>IFERROR(AH7464*0.1, "N/A")</f>
        <v>5.7068779999999997</v>
      </c>
      <c r="AH7464">
        <v>57.068779999999997</v>
      </c>
      <c r="AI7464">
        <v>324.6191</v>
      </c>
      <c r="AJ7464">
        <v>30.878309999999999</v>
      </c>
      <c r="AK7464">
        <v>51.202820000000003</v>
      </c>
    </row>
    <row r="7465" spans="1:37" x14ac:dyDescent="0.3">
      <c r="A7465">
        <v>7464</v>
      </c>
      <c r="B7465">
        <v>0</v>
      </c>
      <c r="C7465">
        <v>34.006</v>
      </c>
      <c r="D7465">
        <v>0.18979699999999999</v>
      </c>
      <c r="E7465" t="s">
        <v>11054</v>
      </c>
      <c r="F7465" t="s">
        <v>11056</v>
      </c>
      <c r="G7465" t="s">
        <v>39</v>
      </c>
      <c r="H7465">
        <v>1978</v>
      </c>
      <c r="I7465">
        <v>22.5</v>
      </c>
      <c r="J7465">
        <v>12.3</v>
      </c>
      <c r="K7465">
        <v>86</v>
      </c>
      <c r="L7465">
        <v>5.77</v>
      </c>
      <c r="M7465">
        <v>30.1</v>
      </c>
      <c r="N7465">
        <v>15.8</v>
      </c>
      <c r="O7465">
        <v>14.3</v>
      </c>
      <c r="P7465">
        <v>22.8</v>
      </c>
      <c r="Q7465">
        <v>21.7</v>
      </c>
      <c r="R7465">
        <v>23.2</v>
      </c>
      <c r="S7465">
        <v>21.7</v>
      </c>
      <c r="T7465">
        <v>1153</v>
      </c>
      <c r="U7465">
        <v>195</v>
      </c>
      <c r="V7465">
        <v>45</v>
      </c>
      <c r="W7465">
        <v>44</v>
      </c>
      <c r="X7465">
        <v>466</v>
      </c>
      <c r="Y7465">
        <v>174</v>
      </c>
      <c r="Z7465">
        <v>254</v>
      </c>
      <c r="AA7465">
        <v>174</v>
      </c>
      <c r="AB7465">
        <v>2.056978</v>
      </c>
      <c r="AC7465">
        <v>0.63375930000000003</v>
      </c>
      <c r="AD7465">
        <v>2.3322349999999998</v>
      </c>
      <c r="AE7465">
        <v>0.59235819999999995</v>
      </c>
      <c r="AF7465">
        <v>1142.9880000000001</v>
      </c>
      <c r="AG7465">
        <f>IFERROR(AH7465*0.1, "N/A")</f>
        <v>5.7068779999999997</v>
      </c>
      <c r="AH7465">
        <v>57.068779999999997</v>
      </c>
      <c r="AI7465">
        <v>324.6191</v>
      </c>
      <c r="AJ7465">
        <v>30.878309999999999</v>
      </c>
      <c r="AK7465">
        <v>51.202820000000003</v>
      </c>
    </row>
    <row r="7466" spans="1:37" x14ac:dyDescent="0.3">
      <c r="A7466">
        <v>7465</v>
      </c>
      <c r="B7466">
        <v>0</v>
      </c>
      <c r="C7466">
        <v>34.051400000000001</v>
      </c>
      <c r="D7466">
        <v>0.17205599999999999</v>
      </c>
      <c r="E7466" t="s">
        <v>11057</v>
      </c>
      <c r="F7466" t="s">
        <v>11058</v>
      </c>
      <c r="G7466" t="s">
        <v>37</v>
      </c>
      <c r="H7466">
        <v>1978</v>
      </c>
      <c r="I7466">
        <v>22.1</v>
      </c>
      <c r="J7466">
        <v>12.5</v>
      </c>
      <c r="K7466">
        <v>86</v>
      </c>
      <c r="L7466">
        <v>5.67</v>
      </c>
      <c r="M7466">
        <v>29.8</v>
      </c>
      <c r="N7466">
        <v>15.3</v>
      </c>
      <c r="O7466">
        <v>14.5</v>
      </c>
      <c r="P7466">
        <v>22.3</v>
      </c>
      <c r="Q7466">
        <v>21.3</v>
      </c>
      <c r="R7466">
        <v>22.8</v>
      </c>
      <c r="S7466">
        <v>21.3</v>
      </c>
      <c r="T7466">
        <v>1246</v>
      </c>
      <c r="U7466">
        <v>212</v>
      </c>
      <c r="V7466">
        <v>49</v>
      </c>
      <c r="W7466">
        <v>44</v>
      </c>
      <c r="X7466">
        <v>504</v>
      </c>
      <c r="Y7466">
        <v>194</v>
      </c>
      <c r="Z7466">
        <v>269</v>
      </c>
      <c r="AA7466">
        <v>194</v>
      </c>
      <c r="AB7466">
        <v>35.581789999999998</v>
      </c>
      <c r="AC7466">
        <v>1.2481330000000001E-2</v>
      </c>
      <c r="AD7466">
        <v>1.4604010000000001</v>
      </c>
      <c r="AE7466">
        <v>0.74041380000000001</v>
      </c>
      <c r="AF7466">
        <v>1222.202</v>
      </c>
      <c r="AG7466">
        <f>IFERROR(AH7466*0.1, "N/A")</f>
        <v>6.1814160000000005</v>
      </c>
      <c r="AH7466">
        <v>61.814160000000001</v>
      </c>
      <c r="AI7466">
        <v>238.75800000000001</v>
      </c>
      <c r="AJ7466">
        <v>36.371679999999998</v>
      </c>
      <c r="AK7466">
        <v>44.814160000000001</v>
      </c>
    </row>
    <row r="7467" spans="1:37" x14ac:dyDescent="0.3">
      <c r="A7467">
        <v>7466</v>
      </c>
      <c r="B7467">
        <v>0</v>
      </c>
      <c r="C7467">
        <v>34.051400000000001</v>
      </c>
      <c r="D7467">
        <v>0.17205599999999999</v>
      </c>
      <c r="E7467" t="s">
        <v>11057</v>
      </c>
      <c r="F7467" t="s">
        <v>11059</v>
      </c>
      <c r="G7467" t="s">
        <v>39</v>
      </c>
      <c r="H7467">
        <v>1978</v>
      </c>
      <c r="I7467">
        <v>22.1</v>
      </c>
      <c r="J7467">
        <v>12.5</v>
      </c>
      <c r="K7467">
        <v>86</v>
      </c>
      <c r="L7467">
        <v>5.67</v>
      </c>
      <c r="M7467">
        <v>29.8</v>
      </c>
      <c r="N7467">
        <v>15.3</v>
      </c>
      <c r="O7467">
        <v>14.5</v>
      </c>
      <c r="P7467">
        <v>22.3</v>
      </c>
      <c r="Q7467">
        <v>21.3</v>
      </c>
      <c r="R7467">
        <v>22.8</v>
      </c>
      <c r="S7467">
        <v>21.3</v>
      </c>
      <c r="T7467">
        <v>1246</v>
      </c>
      <c r="U7467">
        <v>212</v>
      </c>
      <c r="V7467">
        <v>49</v>
      </c>
      <c r="W7467">
        <v>44</v>
      </c>
      <c r="X7467">
        <v>504</v>
      </c>
      <c r="Y7467">
        <v>194</v>
      </c>
      <c r="Z7467">
        <v>269</v>
      </c>
      <c r="AA7467">
        <v>194</v>
      </c>
      <c r="AB7467">
        <v>35.581789999999998</v>
      </c>
      <c r="AC7467">
        <v>1.2481330000000001E-2</v>
      </c>
      <c r="AD7467">
        <v>1.4604010000000001</v>
      </c>
      <c r="AE7467">
        <v>0.74041380000000001</v>
      </c>
      <c r="AF7467">
        <v>1222.202</v>
      </c>
      <c r="AG7467">
        <f>IFERROR(AH7467*0.1, "N/A")</f>
        <v>6.1814160000000005</v>
      </c>
      <c r="AH7467">
        <v>61.814160000000001</v>
      </c>
      <c r="AI7467">
        <v>238.75800000000001</v>
      </c>
      <c r="AJ7467">
        <v>36.371679999999998</v>
      </c>
      <c r="AK7467">
        <v>44.814160000000001</v>
      </c>
    </row>
    <row r="7468" spans="1:37" x14ac:dyDescent="0.3">
      <c r="A7468">
        <v>7467</v>
      </c>
      <c r="B7468">
        <v>25.8</v>
      </c>
      <c r="C7468">
        <v>34.047699999999999</v>
      </c>
      <c r="D7468">
        <v>0.13838500000000001</v>
      </c>
      <c r="E7468" t="s">
        <v>11060</v>
      </c>
      <c r="F7468" t="s">
        <v>11061</v>
      </c>
      <c r="G7468" t="s">
        <v>37</v>
      </c>
      <c r="H7468">
        <v>1978</v>
      </c>
      <c r="I7468">
        <v>22.5</v>
      </c>
      <c r="J7468">
        <v>12.4</v>
      </c>
      <c r="K7468">
        <v>85</v>
      </c>
      <c r="L7468">
        <v>5.66</v>
      </c>
      <c r="M7468">
        <v>30.2</v>
      </c>
      <c r="N7468">
        <v>15.7</v>
      </c>
      <c r="O7468">
        <v>14.5</v>
      </c>
      <c r="P7468">
        <v>22.8</v>
      </c>
      <c r="Q7468">
        <v>21.7</v>
      </c>
      <c r="R7468">
        <v>23.2</v>
      </c>
      <c r="S7468">
        <v>21.7</v>
      </c>
      <c r="T7468">
        <v>1074</v>
      </c>
      <c r="U7468">
        <v>183</v>
      </c>
      <c r="V7468">
        <v>40</v>
      </c>
      <c r="W7468">
        <v>45</v>
      </c>
      <c r="X7468">
        <v>440</v>
      </c>
      <c r="Y7468">
        <v>160</v>
      </c>
      <c r="Z7468">
        <v>243</v>
      </c>
      <c r="AA7468">
        <v>160</v>
      </c>
      <c r="AB7468">
        <v>8.943638</v>
      </c>
      <c r="AC7468">
        <v>9.962439E-3</v>
      </c>
      <c r="AD7468">
        <v>2.86069</v>
      </c>
      <c r="AE7468">
        <v>0.74949900000000003</v>
      </c>
      <c r="AF7468">
        <v>1147.4649999999999</v>
      </c>
      <c r="AG7468">
        <f>IFERROR(AH7468*0.1, "N/A")</f>
        <v>6.0154930000000002</v>
      </c>
      <c r="AH7468">
        <v>60.15493</v>
      </c>
      <c r="AI7468">
        <v>179.84909999999999</v>
      </c>
      <c r="AJ7468">
        <v>30.042249999999999</v>
      </c>
      <c r="AK7468">
        <v>52.528170000000003</v>
      </c>
    </row>
    <row r="7469" spans="1:37" x14ac:dyDescent="0.3">
      <c r="A7469">
        <v>7468</v>
      </c>
      <c r="B7469">
        <v>0</v>
      </c>
      <c r="C7469">
        <v>34.047699999999999</v>
      </c>
      <c r="D7469">
        <v>0.13838500000000001</v>
      </c>
      <c r="E7469" t="s">
        <v>11060</v>
      </c>
      <c r="F7469" t="s">
        <v>11062</v>
      </c>
      <c r="G7469" t="s">
        <v>39</v>
      </c>
      <c r="H7469">
        <v>1978</v>
      </c>
      <c r="I7469">
        <v>22.5</v>
      </c>
      <c r="J7469">
        <v>12.4</v>
      </c>
      <c r="K7469">
        <v>85</v>
      </c>
      <c r="L7469">
        <v>5.66</v>
      </c>
      <c r="M7469">
        <v>30.2</v>
      </c>
      <c r="N7469">
        <v>15.7</v>
      </c>
      <c r="O7469">
        <v>14.5</v>
      </c>
      <c r="P7469">
        <v>22.8</v>
      </c>
      <c r="Q7469">
        <v>21.7</v>
      </c>
      <c r="R7469">
        <v>23.2</v>
      </c>
      <c r="S7469">
        <v>21.7</v>
      </c>
      <c r="T7469">
        <v>1074</v>
      </c>
      <c r="U7469">
        <v>183</v>
      </c>
      <c r="V7469">
        <v>40</v>
      </c>
      <c r="W7469">
        <v>45</v>
      </c>
      <c r="X7469">
        <v>440</v>
      </c>
      <c r="Y7469">
        <v>160</v>
      </c>
      <c r="Z7469">
        <v>243</v>
      </c>
      <c r="AA7469">
        <v>160</v>
      </c>
      <c r="AB7469">
        <v>8.943638</v>
      </c>
      <c r="AC7469">
        <v>9.962439E-3</v>
      </c>
      <c r="AD7469">
        <v>2.86069</v>
      </c>
      <c r="AE7469">
        <v>0.74949900000000003</v>
      </c>
      <c r="AF7469">
        <v>1147.4649999999999</v>
      </c>
      <c r="AG7469">
        <f>IFERROR(AH7469*0.1, "N/A")</f>
        <v>6.0154930000000002</v>
      </c>
      <c r="AH7469">
        <v>60.15493</v>
      </c>
      <c r="AI7469">
        <v>179.84909999999999</v>
      </c>
      <c r="AJ7469">
        <v>30.042249999999999</v>
      </c>
      <c r="AK7469">
        <v>52.528170000000003</v>
      </c>
    </row>
    <row r="7470" spans="1:37" x14ac:dyDescent="0.3">
      <c r="A7470">
        <v>7469</v>
      </c>
      <c r="B7470">
        <v>17.5</v>
      </c>
      <c r="C7470">
        <v>34.027799999999999</v>
      </c>
      <c r="D7470">
        <v>0.13036</v>
      </c>
      <c r="E7470" t="s">
        <v>11063</v>
      </c>
      <c r="F7470" t="s">
        <v>11064</v>
      </c>
      <c r="G7470" t="s">
        <v>37</v>
      </c>
      <c r="H7470">
        <v>1978</v>
      </c>
      <c r="I7470">
        <v>22.5</v>
      </c>
      <c r="J7470">
        <v>12.4</v>
      </c>
      <c r="K7470">
        <v>86</v>
      </c>
      <c r="L7470">
        <v>5.79</v>
      </c>
      <c r="M7470">
        <v>30.1</v>
      </c>
      <c r="N7470">
        <v>15.7</v>
      </c>
      <c r="O7470">
        <v>14.4</v>
      </c>
      <c r="P7470">
        <v>22.8</v>
      </c>
      <c r="Q7470">
        <v>21.7</v>
      </c>
      <c r="R7470">
        <v>23.2</v>
      </c>
      <c r="S7470">
        <v>21.7</v>
      </c>
      <c r="T7470">
        <v>1062</v>
      </c>
      <c r="U7470">
        <v>182</v>
      </c>
      <c r="V7470">
        <v>39</v>
      </c>
      <c r="W7470">
        <v>46</v>
      </c>
      <c r="X7470">
        <v>439</v>
      </c>
      <c r="Y7470">
        <v>154</v>
      </c>
      <c r="Z7470">
        <v>244</v>
      </c>
      <c r="AA7470">
        <v>154</v>
      </c>
      <c r="AB7470">
        <v>2.2947660000000001</v>
      </c>
      <c r="AC7470">
        <v>0.14959459999999999</v>
      </c>
      <c r="AD7470">
        <v>1.4408099999999999</v>
      </c>
      <c r="AE7470">
        <v>0.6923745</v>
      </c>
      <c r="AF7470">
        <v>1140.991</v>
      </c>
      <c r="AG7470">
        <f>IFERROR(AH7470*0.1, "N/A")</f>
        <v>6.1901229999999998</v>
      </c>
      <c r="AH7470">
        <v>61.901229999999998</v>
      </c>
      <c r="AI7470">
        <v>91.788439999999994</v>
      </c>
      <c r="AJ7470">
        <v>28.756609999999998</v>
      </c>
      <c r="AK7470">
        <v>53.867719999999998</v>
      </c>
    </row>
    <row r="7471" spans="1:37" x14ac:dyDescent="0.3">
      <c r="A7471">
        <v>7470</v>
      </c>
      <c r="B7471">
        <v>0</v>
      </c>
      <c r="C7471">
        <v>34.027799999999999</v>
      </c>
      <c r="D7471">
        <v>0.13036</v>
      </c>
      <c r="E7471" t="s">
        <v>11063</v>
      </c>
      <c r="F7471" t="s">
        <v>11065</v>
      </c>
      <c r="G7471" t="s">
        <v>39</v>
      </c>
      <c r="H7471">
        <v>1978</v>
      </c>
      <c r="I7471">
        <v>22.5</v>
      </c>
      <c r="J7471">
        <v>12.4</v>
      </c>
      <c r="K7471">
        <v>86</v>
      </c>
      <c r="L7471">
        <v>5.79</v>
      </c>
      <c r="M7471">
        <v>30.1</v>
      </c>
      <c r="N7471">
        <v>15.7</v>
      </c>
      <c r="O7471">
        <v>14.4</v>
      </c>
      <c r="P7471">
        <v>22.8</v>
      </c>
      <c r="Q7471">
        <v>21.7</v>
      </c>
      <c r="R7471">
        <v>23.2</v>
      </c>
      <c r="S7471">
        <v>21.7</v>
      </c>
      <c r="T7471">
        <v>1062</v>
      </c>
      <c r="U7471">
        <v>182</v>
      </c>
      <c r="V7471">
        <v>39</v>
      </c>
      <c r="W7471">
        <v>46</v>
      </c>
      <c r="X7471">
        <v>439</v>
      </c>
      <c r="Y7471">
        <v>154</v>
      </c>
      <c r="Z7471">
        <v>244</v>
      </c>
      <c r="AA7471">
        <v>154</v>
      </c>
      <c r="AB7471">
        <v>2.2947660000000001</v>
      </c>
      <c r="AC7471">
        <v>0.14959459999999999</v>
      </c>
      <c r="AD7471">
        <v>1.4408099999999999</v>
      </c>
      <c r="AE7471">
        <v>0.6923745</v>
      </c>
      <c r="AF7471">
        <v>1140.991</v>
      </c>
      <c r="AG7471">
        <f>IFERROR(AH7471*0.1, "N/A")</f>
        <v>6.1901229999999998</v>
      </c>
      <c r="AH7471">
        <v>61.901229999999998</v>
      </c>
      <c r="AI7471">
        <v>91.788439999999994</v>
      </c>
      <c r="AJ7471">
        <v>28.756609999999998</v>
      </c>
      <c r="AK7471">
        <v>53.867719999999998</v>
      </c>
    </row>
    <row r="7472" spans="1:37" x14ac:dyDescent="0.3">
      <c r="A7472">
        <v>7471</v>
      </c>
      <c r="B7472">
        <v>17</v>
      </c>
      <c r="C7472">
        <v>35.67</v>
      </c>
      <c r="D7472">
        <v>0.13</v>
      </c>
      <c r="E7472" t="s">
        <v>11066</v>
      </c>
      <c r="F7472" t="s">
        <v>11067</v>
      </c>
      <c r="G7472" t="s">
        <v>37</v>
      </c>
      <c r="H7472">
        <v>1987</v>
      </c>
      <c r="I7472">
        <v>15.4</v>
      </c>
      <c r="J7472">
        <v>14.3</v>
      </c>
      <c r="K7472">
        <v>86</v>
      </c>
      <c r="L7472">
        <v>6.18</v>
      </c>
      <c r="M7472">
        <v>24.3</v>
      </c>
      <c r="N7472">
        <v>7.7</v>
      </c>
      <c r="O7472">
        <v>16.600000000000001</v>
      </c>
      <c r="P7472">
        <v>15.9</v>
      </c>
      <c r="Q7472">
        <v>15.8</v>
      </c>
      <c r="R7472">
        <v>16.100000000000001</v>
      </c>
      <c r="S7472">
        <v>14.5</v>
      </c>
      <c r="T7472">
        <v>1257</v>
      </c>
      <c r="U7472">
        <v>202</v>
      </c>
      <c r="V7472">
        <v>39</v>
      </c>
      <c r="W7472">
        <v>47</v>
      </c>
      <c r="X7472">
        <v>444</v>
      </c>
      <c r="Y7472">
        <v>170</v>
      </c>
      <c r="Z7472">
        <v>342</v>
      </c>
      <c r="AA7472">
        <v>378</v>
      </c>
      <c r="AB7472">
        <v>30.445810000000002</v>
      </c>
      <c r="AC7472">
        <v>6.6091189999999994E-2</v>
      </c>
      <c r="AD7472">
        <v>7.1692010000000002</v>
      </c>
      <c r="AE7472">
        <v>0.33508130000000003</v>
      </c>
      <c r="AF7472">
        <v>2384.915</v>
      </c>
      <c r="AG7472">
        <f>IFERROR(AH7472*0.1, "N/A")</f>
        <v>4.9000000000000004</v>
      </c>
      <c r="AH7472">
        <v>49</v>
      </c>
      <c r="AI7472">
        <v>101.584</v>
      </c>
      <c r="AJ7472">
        <v>40.299819999999997</v>
      </c>
      <c r="AK7472">
        <v>32</v>
      </c>
    </row>
    <row r="7473" spans="1:37" x14ac:dyDescent="0.3">
      <c r="A7473">
        <v>7472</v>
      </c>
      <c r="B7473">
        <v>6.5</v>
      </c>
      <c r="C7473">
        <v>35.67</v>
      </c>
      <c r="D7473">
        <v>0.13</v>
      </c>
      <c r="E7473" t="s">
        <v>11066</v>
      </c>
      <c r="F7473" t="s">
        <v>11068</v>
      </c>
      <c r="G7473" t="s">
        <v>39</v>
      </c>
      <c r="H7473">
        <v>1987</v>
      </c>
      <c r="I7473">
        <v>15.4</v>
      </c>
      <c r="J7473">
        <v>14.3</v>
      </c>
      <c r="K7473">
        <v>86</v>
      </c>
      <c r="L7473">
        <v>6.18</v>
      </c>
      <c r="M7473">
        <v>24.3</v>
      </c>
      <c r="N7473">
        <v>7.7</v>
      </c>
      <c r="O7473">
        <v>16.600000000000001</v>
      </c>
      <c r="P7473">
        <v>15.9</v>
      </c>
      <c r="Q7473">
        <v>15.8</v>
      </c>
      <c r="R7473">
        <v>16.100000000000001</v>
      </c>
      <c r="S7473">
        <v>14.5</v>
      </c>
      <c r="T7473">
        <v>1257</v>
      </c>
      <c r="U7473">
        <v>202</v>
      </c>
      <c r="V7473">
        <v>39</v>
      </c>
      <c r="W7473">
        <v>47</v>
      </c>
      <c r="X7473">
        <v>444</v>
      </c>
      <c r="Y7473">
        <v>170</v>
      </c>
      <c r="Z7473">
        <v>342</v>
      </c>
      <c r="AA7473">
        <v>378</v>
      </c>
      <c r="AB7473">
        <v>30.445810000000002</v>
      </c>
      <c r="AC7473">
        <v>6.6091189999999994E-2</v>
      </c>
      <c r="AD7473">
        <v>7.1692010000000002</v>
      </c>
      <c r="AE7473">
        <v>0.33508130000000003</v>
      </c>
      <c r="AF7473">
        <v>2384.915</v>
      </c>
      <c r="AG7473">
        <f>IFERROR(AH7473*0.1, "N/A")</f>
        <v>4.9000000000000004</v>
      </c>
      <c r="AH7473">
        <v>49</v>
      </c>
      <c r="AI7473">
        <v>101.584</v>
      </c>
      <c r="AJ7473">
        <v>40.299819999999997</v>
      </c>
      <c r="AK7473">
        <v>32</v>
      </c>
    </row>
    <row r="7474" spans="1:37" x14ac:dyDescent="0.3">
      <c r="A7474">
        <v>7473</v>
      </c>
      <c r="B7474">
        <v>3.3</v>
      </c>
      <c r="C7474">
        <v>34.052799999999998</v>
      </c>
      <c r="D7474">
        <v>0.1225</v>
      </c>
      <c r="E7474" t="s">
        <v>11069</v>
      </c>
      <c r="F7474" t="s">
        <v>11070</v>
      </c>
      <c r="G7474" t="s">
        <v>37</v>
      </c>
      <c r="H7474">
        <v>1978</v>
      </c>
      <c r="I7474">
        <v>22.5</v>
      </c>
      <c r="J7474">
        <v>12.4</v>
      </c>
      <c r="K7474">
        <v>85</v>
      </c>
      <c r="L7474">
        <v>5.86</v>
      </c>
      <c r="M7474">
        <v>30.2</v>
      </c>
      <c r="N7474">
        <v>15.7</v>
      </c>
      <c r="O7474">
        <v>14.5</v>
      </c>
      <c r="P7474">
        <v>22.9</v>
      </c>
      <c r="Q7474">
        <v>21.7</v>
      </c>
      <c r="R7474">
        <v>23.2</v>
      </c>
      <c r="S7474">
        <v>21.7</v>
      </c>
      <c r="T7474">
        <v>1046</v>
      </c>
      <c r="U7474">
        <v>179</v>
      </c>
      <c r="V7474">
        <v>38</v>
      </c>
      <c r="W7474">
        <v>46</v>
      </c>
      <c r="X7474">
        <v>431</v>
      </c>
      <c r="Y7474">
        <v>154</v>
      </c>
      <c r="Z7474">
        <v>239</v>
      </c>
      <c r="AA7474">
        <v>154</v>
      </c>
      <c r="AB7474">
        <v>1.7000379999999999</v>
      </c>
      <c r="AC7474">
        <v>1.36344E-2</v>
      </c>
      <c r="AD7474">
        <v>1.238801</v>
      </c>
      <c r="AE7474">
        <v>0.73121749999999996</v>
      </c>
      <c r="AF7474">
        <v>1142.3219999999999</v>
      </c>
      <c r="AG7474">
        <f>IFERROR(AH7474*0.1, "N/A")</f>
        <v>6.1161969999999997</v>
      </c>
      <c r="AH7474">
        <v>61.161969999999997</v>
      </c>
      <c r="AI7474">
        <v>129.96</v>
      </c>
      <c r="AJ7474">
        <v>35.570419999999999</v>
      </c>
      <c r="AK7474">
        <v>47.031689999999998</v>
      </c>
    </row>
    <row r="7475" spans="1:37" x14ac:dyDescent="0.3">
      <c r="A7475">
        <v>7474</v>
      </c>
      <c r="B7475">
        <v>0.8</v>
      </c>
      <c r="C7475">
        <v>34.052799999999998</v>
      </c>
      <c r="D7475">
        <v>0.1225</v>
      </c>
      <c r="E7475" t="s">
        <v>11069</v>
      </c>
      <c r="F7475" t="s">
        <v>11071</v>
      </c>
      <c r="G7475" t="s">
        <v>39</v>
      </c>
      <c r="H7475">
        <v>1978</v>
      </c>
      <c r="I7475">
        <v>22.5</v>
      </c>
      <c r="J7475">
        <v>12.4</v>
      </c>
      <c r="K7475">
        <v>85</v>
      </c>
      <c r="L7475">
        <v>5.86</v>
      </c>
      <c r="M7475">
        <v>30.2</v>
      </c>
      <c r="N7475">
        <v>15.7</v>
      </c>
      <c r="O7475">
        <v>14.5</v>
      </c>
      <c r="P7475">
        <v>22.9</v>
      </c>
      <c r="Q7475">
        <v>21.7</v>
      </c>
      <c r="R7475">
        <v>23.2</v>
      </c>
      <c r="S7475">
        <v>21.7</v>
      </c>
      <c r="T7475">
        <v>1046</v>
      </c>
      <c r="U7475">
        <v>179</v>
      </c>
      <c r="V7475">
        <v>38</v>
      </c>
      <c r="W7475">
        <v>46</v>
      </c>
      <c r="X7475">
        <v>431</v>
      </c>
      <c r="Y7475">
        <v>154</v>
      </c>
      <c r="Z7475">
        <v>239</v>
      </c>
      <c r="AA7475">
        <v>154</v>
      </c>
      <c r="AB7475">
        <v>1.7000379999999999</v>
      </c>
      <c r="AC7475">
        <v>1.36344E-2</v>
      </c>
      <c r="AD7475">
        <v>1.238801</v>
      </c>
      <c r="AE7475">
        <v>0.73121749999999996</v>
      </c>
      <c r="AF7475">
        <v>1142.3219999999999</v>
      </c>
      <c r="AG7475">
        <f>IFERROR(AH7475*0.1, "N/A")</f>
        <v>6.1161969999999997</v>
      </c>
      <c r="AH7475">
        <v>61.161969999999997</v>
      </c>
      <c r="AI7475">
        <v>129.96</v>
      </c>
      <c r="AJ7475">
        <v>35.570419999999999</v>
      </c>
      <c r="AK7475">
        <v>47.031689999999998</v>
      </c>
    </row>
    <row r="7476" spans="1:37" x14ac:dyDescent="0.3">
      <c r="A7476">
        <v>7475</v>
      </c>
      <c r="B7476">
        <v>1.4</v>
      </c>
      <c r="C7476">
        <v>35.183300000000003</v>
      </c>
      <c r="D7476">
        <v>0.1167</v>
      </c>
      <c r="E7476" t="s">
        <v>11072</v>
      </c>
      <c r="F7476" t="s">
        <v>11073</v>
      </c>
      <c r="G7476" t="s">
        <v>37</v>
      </c>
      <c r="H7476">
        <v>1987</v>
      </c>
      <c r="I7476">
        <v>17.422049999999999</v>
      </c>
      <c r="J7476">
        <v>15.94444</v>
      </c>
      <c r="K7476">
        <v>85.44444</v>
      </c>
      <c r="L7476">
        <v>7.9808110000000001</v>
      </c>
      <c r="M7476">
        <v>27.170549999999999</v>
      </c>
      <c r="N7476">
        <v>8.6444449999999993</v>
      </c>
      <c r="O7476">
        <v>18.5261</v>
      </c>
      <c r="P7476">
        <v>17.370550000000001</v>
      </c>
      <c r="Q7476">
        <v>17.922049999999999</v>
      </c>
      <c r="R7476">
        <v>18.403700000000001</v>
      </c>
      <c r="S7476">
        <v>16.3261</v>
      </c>
      <c r="T7476">
        <v>1464.653</v>
      </c>
      <c r="U7476">
        <v>204.51679999999999</v>
      </c>
      <c r="V7476">
        <v>50.55556</v>
      </c>
      <c r="W7476">
        <v>36.407409999999999</v>
      </c>
      <c r="X7476">
        <v>499.92239999999998</v>
      </c>
      <c r="Y7476">
        <v>198.4409</v>
      </c>
      <c r="Z7476">
        <v>380.10759999999999</v>
      </c>
      <c r="AA7476">
        <v>432.40039999999999</v>
      </c>
      <c r="AB7476">
        <v>15.29402</v>
      </c>
      <c r="AC7476">
        <v>4.9116159999999999E-2</v>
      </c>
      <c r="AD7476">
        <v>5.5208120000000003</v>
      </c>
      <c r="AE7476">
        <v>0.55975609999999998</v>
      </c>
      <c r="AF7476">
        <v>1990.8920000000001</v>
      </c>
      <c r="AG7476">
        <f>IFERROR(AH7476*0.1, "N/A")</f>
        <v>5.3000000000000007</v>
      </c>
      <c r="AH7476">
        <v>53</v>
      </c>
      <c r="AI7476">
        <v>188.08029999999999</v>
      </c>
      <c r="AJ7476">
        <v>39</v>
      </c>
      <c r="AK7476">
        <v>35</v>
      </c>
    </row>
    <row r="7477" spans="1:37" x14ac:dyDescent="0.3">
      <c r="A7477">
        <v>7476</v>
      </c>
      <c r="B7477">
        <v>4.2</v>
      </c>
      <c r="C7477">
        <v>35.183300000000003</v>
      </c>
      <c r="D7477">
        <v>0.1167</v>
      </c>
      <c r="E7477" t="s">
        <v>11072</v>
      </c>
      <c r="F7477" t="s">
        <v>11074</v>
      </c>
      <c r="G7477" t="s">
        <v>39</v>
      </c>
      <c r="H7477">
        <v>1987</v>
      </c>
      <c r="I7477">
        <v>17.422049999999999</v>
      </c>
      <c r="J7477">
        <v>15.94444</v>
      </c>
      <c r="K7477">
        <v>85.44444</v>
      </c>
      <c r="L7477">
        <v>7.9808110000000001</v>
      </c>
      <c r="M7477">
        <v>27.170549999999999</v>
      </c>
      <c r="N7477">
        <v>8.6444449999999993</v>
      </c>
      <c r="O7477">
        <v>18.5261</v>
      </c>
      <c r="P7477">
        <v>17.370550000000001</v>
      </c>
      <c r="Q7477">
        <v>17.922049999999999</v>
      </c>
      <c r="R7477">
        <v>18.403700000000001</v>
      </c>
      <c r="S7477">
        <v>16.3261</v>
      </c>
      <c r="T7477">
        <v>1464.653</v>
      </c>
      <c r="U7477">
        <v>204.51679999999999</v>
      </c>
      <c r="V7477">
        <v>50.55556</v>
      </c>
      <c r="W7477">
        <v>36.407409999999999</v>
      </c>
      <c r="X7477">
        <v>499.92239999999998</v>
      </c>
      <c r="Y7477">
        <v>198.4409</v>
      </c>
      <c r="Z7477">
        <v>380.10759999999999</v>
      </c>
      <c r="AA7477">
        <v>432.40039999999999</v>
      </c>
      <c r="AB7477">
        <v>15.29402</v>
      </c>
      <c r="AC7477">
        <v>4.9116159999999999E-2</v>
      </c>
      <c r="AD7477">
        <v>5.5208120000000003</v>
      </c>
      <c r="AE7477">
        <v>0.55975609999999998</v>
      </c>
      <c r="AF7477">
        <v>1990.8920000000001</v>
      </c>
      <c r="AG7477">
        <f>IFERROR(AH7477*0.1, "N/A")</f>
        <v>5.3000000000000007</v>
      </c>
      <c r="AH7477">
        <v>53</v>
      </c>
      <c r="AI7477">
        <v>188.08029999999999</v>
      </c>
      <c r="AJ7477">
        <v>39</v>
      </c>
      <c r="AK7477">
        <v>35</v>
      </c>
    </row>
    <row r="7478" spans="1:37" x14ac:dyDescent="0.3">
      <c r="A7478">
        <v>7477</v>
      </c>
      <c r="B7478">
        <v>5.9</v>
      </c>
      <c r="C7478">
        <v>34.049300000000002</v>
      </c>
      <c r="D7478">
        <v>0.10508199999999999</v>
      </c>
      <c r="E7478" t="s">
        <v>11075</v>
      </c>
      <c r="F7478" t="s">
        <v>11076</v>
      </c>
      <c r="G7478" t="s">
        <v>37</v>
      </c>
      <c r="H7478">
        <v>1978</v>
      </c>
      <c r="I7478">
        <v>22.5</v>
      </c>
      <c r="J7478">
        <v>12.41408</v>
      </c>
      <c r="K7478">
        <v>85</v>
      </c>
      <c r="L7478">
        <v>5.7770419999999998</v>
      </c>
      <c r="M7478">
        <v>30.2</v>
      </c>
      <c r="N7478">
        <v>15.685919999999999</v>
      </c>
      <c r="O7478">
        <v>14.51408</v>
      </c>
      <c r="P7478">
        <v>22.9</v>
      </c>
      <c r="Q7478">
        <v>21.7</v>
      </c>
      <c r="R7478">
        <v>23.2</v>
      </c>
      <c r="S7478">
        <v>21.7</v>
      </c>
      <c r="T7478">
        <v>1019.437</v>
      </c>
      <c r="U7478">
        <v>174.85919999999999</v>
      </c>
      <c r="V7478">
        <v>37</v>
      </c>
      <c r="W7478">
        <v>46</v>
      </c>
      <c r="X7478">
        <v>423.57749999999999</v>
      </c>
      <c r="Y7478">
        <v>147.14080000000001</v>
      </c>
      <c r="Z7478">
        <v>235.85919999999999</v>
      </c>
      <c r="AA7478">
        <v>147.14080000000001</v>
      </c>
      <c r="AB7478">
        <v>0.66524899999999998</v>
      </c>
      <c r="AC7478">
        <v>9.1197050000000005E-3</v>
      </c>
      <c r="AD7478">
        <v>1.5221439999999999</v>
      </c>
      <c r="AE7478">
        <v>0.55500229999999995</v>
      </c>
      <c r="AF7478">
        <v>1142.037</v>
      </c>
      <c r="AG7478">
        <f>IFERROR(AH7478*0.1, "N/A")</f>
        <v>6.0079230000000008</v>
      </c>
      <c r="AH7478">
        <v>60.079230000000003</v>
      </c>
      <c r="AI7478">
        <v>164.2621</v>
      </c>
      <c r="AJ7478">
        <v>45.882040000000003</v>
      </c>
      <c r="AK7478">
        <v>37.117959999999997</v>
      </c>
    </row>
    <row r="7479" spans="1:37" x14ac:dyDescent="0.3">
      <c r="A7479">
        <v>7478</v>
      </c>
      <c r="B7479">
        <v>0</v>
      </c>
      <c r="C7479">
        <v>34.049300000000002</v>
      </c>
      <c r="D7479">
        <v>0.10508199999999999</v>
      </c>
      <c r="E7479" t="s">
        <v>11075</v>
      </c>
      <c r="F7479" t="s">
        <v>11077</v>
      </c>
      <c r="G7479" t="s">
        <v>39</v>
      </c>
      <c r="H7479">
        <v>1978</v>
      </c>
      <c r="I7479">
        <v>22.5</v>
      </c>
      <c r="J7479">
        <v>12.41408</v>
      </c>
      <c r="K7479">
        <v>85</v>
      </c>
      <c r="L7479">
        <v>5.7770419999999998</v>
      </c>
      <c r="M7479">
        <v>30.2</v>
      </c>
      <c r="N7479">
        <v>15.685919999999999</v>
      </c>
      <c r="O7479">
        <v>14.51408</v>
      </c>
      <c r="P7479">
        <v>22.9</v>
      </c>
      <c r="Q7479">
        <v>21.7</v>
      </c>
      <c r="R7479">
        <v>23.2</v>
      </c>
      <c r="S7479">
        <v>21.7</v>
      </c>
      <c r="T7479">
        <v>1019.437</v>
      </c>
      <c r="U7479">
        <v>174.85919999999999</v>
      </c>
      <c r="V7479">
        <v>37</v>
      </c>
      <c r="W7479">
        <v>46</v>
      </c>
      <c r="X7479">
        <v>423.57749999999999</v>
      </c>
      <c r="Y7479">
        <v>147.14080000000001</v>
      </c>
      <c r="Z7479">
        <v>235.85919999999999</v>
      </c>
      <c r="AA7479">
        <v>147.14080000000001</v>
      </c>
      <c r="AB7479">
        <v>0.66524899999999998</v>
      </c>
      <c r="AC7479">
        <v>9.1197050000000005E-3</v>
      </c>
      <c r="AD7479">
        <v>1.5221439999999999</v>
      </c>
      <c r="AE7479">
        <v>0.55500229999999995</v>
      </c>
      <c r="AF7479">
        <v>1142.037</v>
      </c>
      <c r="AG7479">
        <f>IFERROR(AH7479*0.1, "N/A")</f>
        <v>6.0079230000000008</v>
      </c>
      <c r="AH7479">
        <v>60.079230000000003</v>
      </c>
      <c r="AI7479">
        <v>164.2621</v>
      </c>
      <c r="AJ7479">
        <v>45.882040000000003</v>
      </c>
      <c r="AK7479">
        <v>37.117959999999997</v>
      </c>
    </row>
    <row r="7480" spans="1:37" x14ac:dyDescent="0.3">
      <c r="A7480">
        <v>7479</v>
      </c>
      <c r="B7480">
        <v>28.3</v>
      </c>
      <c r="C7480">
        <v>33.9758</v>
      </c>
      <c r="D7480">
        <v>9.7199999999999995E-2</v>
      </c>
      <c r="E7480" t="s">
        <v>11078</v>
      </c>
      <c r="F7480" t="s">
        <v>11079</v>
      </c>
      <c r="G7480" t="s">
        <v>37</v>
      </c>
      <c r="H7480">
        <v>1978</v>
      </c>
      <c r="I7480">
        <v>22.490120000000001</v>
      </c>
      <c r="J7480">
        <v>12.3</v>
      </c>
      <c r="K7480">
        <v>86</v>
      </c>
      <c r="L7480">
        <v>5.5492590000000002</v>
      </c>
      <c r="M7480">
        <v>29.990120000000001</v>
      </c>
      <c r="N7480">
        <v>15.69012</v>
      </c>
      <c r="O7480">
        <v>14.3</v>
      </c>
      <c r="P7480">
        <v>22.790120000000002</v>
      </c>
      <c r="Q7480">
        <v>21.685189999999999</v>
      </c>
      <c r="R7480">
        <v>23.09506</v>
      </c>
      <c r="S7480">
        <v>21.685189999999999</v>
      </c>
      <c r="T7480">
        <v>1039.086</v>
      </c>
      <c r="U7480">
        <v>180.19749999999999</v>
      </c>
      <c r="V7480">
        <v>36.049379999999999</v>
      </c>
      <c r="W7480">
        <v>48</v>
      </c>
      <c r="X7480">
        <v>438.54320000000001</v>
      </c>
      <c r="Y7480">
        <v>139.09880000000001</v>
      </c>
      <c r="Z7480">
        <v>246.2963</v>
      </c>
      <c r="AA7480">
        <v>139.09880000000001</v>
      </c>
      <c r="AB7480">
        <v>20.02741</v>
      </c>
      <c r="AC7480">
        <v>2.5779219999999999E-2</v>
      </c>
      <c r="AD7480">
        <v>3.3841109999999999</v>
      </c>
      <c r="AE7480">
        <v>0.73108209999999996</v>
      </c>
      <c r="AF7480">
        <v>1157.0930000000001</v>
      </c>
      <c r="AG7480">
        <f>IFERROR(AH7480*0.1, "N/A")</f>
        <v>6.2283949999999999</v>
      </c>
      <c r="AH7480">
        <v>62.283949999999997</v>
      </c>
      <c r="AI7480">
        <v>46.26981</v>
      </c>
      <c r="AJ7480">
        <v>35.380949999999999</v>
      </c>
      <c r="AK7480">
        <v>46.236330000000002</v>
      </c>
    </row>
    <row r="7481" spans="1:37" x14ac:dyDescent="0.3">
      <c r="A7481">
        <v>7480</v>
      </c>
      <c r="B7481">
        <v>0</v>
      </c>
      <c r="C7481">
        <v>33.9758</v>
      </c>
      <c r="D7481">
        <v>9.7199999999999995E-2</v>
      </c>
      <c r="E7481" t="s">
        <v>11078</v>
      </c>
      <c r="F7481" t="s">
        <v>11080</v>
      </c>
      <c r="G7481" t="s">
        <v>39</v>
      </c>
      <c r="H7481">
        <v>1978</v>
      </c>
      <c r="I7481">
        <v>22.490120000000001</v>
      </c>
      <c r="J7481">
        <v>12.3</v>
      </c>
      <c r="K7481">
        <v>86</v>
      </c>
      <c r="L7481">
        <v>5.5492590000000002</v>
      </c>
      <c r="M7481">
        <v>29.990120000000001</v>
      </c>
      <c r="N7481">
        <v>15.69012</v>
      </c>
      <c r="O7481">
        <v>14.3</v>
      </c>
      <c r="P7481">
        <v>22.790120000000002</v>
      </c>
      <c r="Q7481">
        <v>21.685189999999999</v>
      </c>
      <c r="R7481">
        <v>23.09506</v>
      </c>
      <c r="S7481">
        <v>21.685189999999999</v>
      </c>
      <c r="T7481">
        <v>1039.086</v>
      </c>
      <c r="U7481">
        <v>180.19749999999999</v>
      </c>
      <c r="V7481">
        <v>36.049379999999999</v>
      </c>
      <c r="W7481">
        <v>48</v>
      </c>
      <c r="X7481">
        <v>438.54320000000001</v>
      </c>
      <c r="Y7481">
        <v>139.09880000000001</v>
      </c>
      <c r="Z7481">
        <v>246.2963</v>
      </c>
      <c r="AA7481">
        <v>139.09880000000001</v>
      </c>
      <c r="AB7481">
        <v>20.02741</v>
      </c>
      <c r="AC7481">
        <v>2.5779219999999999E-2</v>
      </c>
      <c r="AD7481">
        <v>3.3841109999999999</v>
      </c>
      <c r="AE7481">
        <v>0.73108209999999996</v>
      </c>
      <c r="AF7481">
        <v>1157.0930000000001</v>
      </c>
      <c r="AG7481">
        <f>IFERROR(AH7481*0.1, "N/A")</f>
        <v>6.2283949999999999</v>
      </c>
      <c r="AH7481">
        <v>62.283949999999997</v>
      </c>
      <c r="AI7481">
        <v>46.26981</v>
      </c>
      <c r="AJ7481">
        <v>35.380949999999999</v>
      </c>
      <c r="AK7481">
        <v>46.236330000000002</v>
      </c>
    </row>
    <row r="7482" spans="1:37" x14ac:dyDescent="0.3">
      <c r="A7482">
        <v>7481</v>
      </c>
      <c r="B7482">
        <v>22.5</v>
      </c>
      <c r="C7482">
        <v>33.954700000000003</v>
      </c>
      <c r="D7482">
        <v>6.2595999999999999E-2</v>
      </c>
      <c r="E7482" t="s">
        <v>11081</v>
      </c>
      <c r="F7482" t="s">
        <v>11082</v>
      </c>
      <c r="G7482" t="s">
        <v>37</v>
      </c>
      <c r="H7482">
        <v>1978</v>
      </c>
      <c r="I7482">
        <v>22.5</v>
      </c>
      <c r="J7482">
        <v>12.3</v>
      </c>
      <c r="K7482">
        <v>86</v>
      </c>
      <c r="L7482">
        <v>6.12</v>
      </c>
      <c r="M7482">
        <v>30</v>
      </c>
      <c r="N7482">
        <v>15.7</v>
      </c>
      <c r="O7482">
        <v>14.3</v>
      </c>
      <c r="P7482">
        <v>22.9</v>
      </c>
      <c r="Q7482">
        <v>21.6</v>
      </c>
      <c r="R7482">
        <v>23.2</v>
      </c>
      <c r="S7482">
        <v>21.6</v>
      </c>
      <c r="T7482">
        <v>1015</v>
      </c>
      <c r="U7482">
        <v>176</v>
      </c>
      <c r="V7482">
        <v>35</v>
      </c>
      <c r="W7482">
        <v>49</v>
      </c>
      <c r="X7482">
        <v>433</v>
      </c>
      <c r="Y7482">
        <v>131</v>
      </c>
      <c r="Z7482">
        <v>246</v>
      </c>
      <c r="AA7482">
        <v>131</v>
      </c>
      <c r="AB7482">
        <v>2.8428629999999999</v>
      </c>
      <c r="AC7482">
        <v>8.923416E-3</v>
      </c>
      <c r="AD7482">
        <v>0.39668320000000001</v>
      </c>
      <c r="AE7482">
        <v>0.21483910000000001</v>
      </c>
      <c r="AF7482">
        <v>1136.3230000000001</v>
      </c>
      <c r="AG7482">
        <f>IFERROR(AH7482*0.1, "N/A")</f>
        <v>5.8495610000000005</v>
      </c>
      <c r="AH7482">
        <v>58.495609999999999</v>
      </c>
      <c r="AI7482">
        <v>137.4641</v>
      </c>
      <c r="AJ7482">
        <v>40.970120000000001</v>
      </c>
      <c r="AK7482">
        <v>38.383130000000001</v>
      </c>
    </row>
    <row r="7483" spans="1:37" x14ac:dyDescent="0.3">
      <c r="A7483">
        <v>7482</v>
      </c>
      <c r="B7483">
        <v>0</v>
      </c>
      <c r="C7483">
        <v>33.954700000000003</v>
      </c>
      <c r="D7483">
        <v>6.2595999999999999E-2</v>
      </c>
      <c r="E7483" t="s">
        <v>11081</v>
      </c>
      <c r="F7483" t="s">
        <v>11083</v>
      </c>
      <c r="G7483" t="s">
        <v>39</v>
      </c>
      <c r="H7483">
        <v>1978</v>
      </c>
      <c r="I7483">
        <v>22.5</v>
      </c>
      <c r="J7483">
        <v>12.3</v>
      </c>
      <c r="K7483">
        <v>86</v>
      </c>
      <c r="L7483">
        <v>6.12</v>
      </c>
      <c r="M7483">
        <v>30</v>
      </c>
      <c r="N7483">
        <v>15.7</v>
      </c>
      <c r="O7483">
        <v>14.3</v>
      </c>
      <c r="P7483">
        <v>22.9</v>
      </c>
      <c r="Q7483">
        <v>21.6</v>
      </c>
      <c r="R7483">
        <v>23.2</v>
      </c>
      <c r="S7483">
        <v>21.6</v>
      </c>
      <c r="T7483">
        <v>1015</v>
      </c>
      <c r="U7483">
        <v>176</v>
      </c>
      <c r="V7483">
        <v>35</v>
      </c>
      <c r="W7483">
        <v>49</v>
      </c>
      <c r="X7483">
        <v>433</v>
      </c>
      <c r="Y7483">
        <v>131</v>
      </c>
      <c r="Z7483">
        <v>246</v>
      </c>
      <c r="AA7483">
        <v>131</v>
      </c>
      <c r="AB7483">
        <v>2.8428629999999999</v>
      </c>
      <c r="AC7483">
        <v>8.923416E-3</v>
      </c>
      <c r="AD7483">
        <v>0.39668320000000001</v>
      </c>
      <c r="AE7483">
        <v>0.21483910000000001</v>
      </c>
      <c r="AF7483">
        <v>1136.3230000000001</v>
      </c>
      <c r="AG7483">
        <f>IFERROR(AH7483*0.1, "N/A")</f>
        <v>5.8495610000000005</v>
      </c>
      <c r="AH7483">
        <v>58.495609999999999</v>
      </c>
      <c r="AI7483">
        <v>137.4641</v>
      </c>
      <c r="AJ7483">
        <v>40.970120000000001</v>
      </c>
      <c r="AK7483">
        <v>38.383130000000001</v>
      </c>
    </row>
    <row r="7484" spans="1:37" x14ac:dyDescent="0.3">
      <c r="A7484">
        <v>7483</v>
      </c>
      <c r="B7484">
        <v>17.100000000000001</v>
      </c>
      <c r="C7484">
        <v>34.041699999999999</v>
      </c>
      <c r="D7484">
        <v>4.7378999999999998E-2</v>
      </c>
      <c r="E7484" t="s">
        <v>11084</v>
      </c>
      <c r="F7484" t="s">
        <v>11085</v>
      </c>
      <c r="G7484" t="s">
        <v>37</v>
      </c>
      <c r="H7484">
        <v>1968</v>
      </c>
      <c r="I7484">
        <v>22.5</v>
      </c>
      <c r="J7484">
        <v>12.5</v>
      </c>
      <c r="K7484">
        <v>85</v>
      </c>
      <c r="L7484">
        <v>6.3797889999999997</v>
      </c>
      <c r="M7484">
        <v>30.2</v>
      </c>
      <c r="N7484">
        <v>15.6</v>
      </c>
      <c r="O7484">
        <v>14.6</v>
      </c>
      <c r="P7484">
        <v>22.9</v>
      </c>
      <c r="Q7484">
        <v>21.6</v>
      </c>
      <c r="R7484">
        <v>23.3</v>
      </c>
      <c r="S7484">
        <v>21.6</v>
      </c>
      <c r="T7484">
        <v>966.91549999999995</v>
      </c>
      <c r="U7484">
        <v>167</v>
      </c>
      <c r="V7484">
        <v>34</v>
      </c>
      <c r="W7484">
        <v>48</v>
      </c>
      <c r="X7484">
        <v>409.45769999999999</v>
      </c>
      <c r="Y7484">
        <v>132.54230000000001</v>
      </c>
      <c r="Z7484">
        <v>228.91550000000001</v>
      </c>
      <c r="AA7484">
        <v>132.54230000000001</v>
      </c>
      <c r="AB7484">
        <v>0.5752931</v>
      </c>
      <c r="AC7484">
        <v>1.8721000000000002E-2</v>
      </c>
      <c r="AD7484">
        <v>1.1632400000000001</v>
      </c>
      <c r="AE7484">
        <v>0.36290650000000002</v>
      </c>
      <c r="AF7484">
        <v>1141.4749999999999</v>
      </c>
      <c r="AG7484">
        <f>IFERROR(AH7484*0.1, "N/A")</f>
        <v>5.3471830000000002</v>
      </c>
      <c r="AH7484">
        <v>53.471829999999997</v>
      </c>
      <c r="AI7484">
        <v>270.43720000000002</v>
      </c>
      <c r="AJ7484">
        <v>38.929580000000001</v>
      </c>
      <c r="AK7484">
        <v>44.408450000000002</v>
      </c>
    </row>
    <row r="7485" spans="1:37" x14ac:dyDescent="0.3">
      <c r="A7485">
        <v>7484</v>
      </c>
      <c r="B7485">
        <v>6.5</v>
      </c>
      <c r="C7485">
        <v>34.041699999999999</v>
      </c>
      <c r="D7485">
        <v>4.7378999999999998E-2</v>
      </c>
      <c r="E7485" t="s">
        <v>11084</v>
      </c>
      <c r="F7485" t="s">
        <v>11086</v>
      </c>
      <c r="G7485" t="s">
        <v>39</v>
      </c>
      <c r="H7485">
        <v>1968</v>
      </c>
      <c r="I7485">
        <v>22.5</v>
      </c>
      <c r="J7485">
        <v>12.5</v>
      </c>
      <c r="K7485">
        <v>85</v>
      </c>
      <c r="L7485">
        <v>6.3797889999999997</v>
      </c>
      <c r="M7485">
        <v>30.2</v>
      </c>
      <c r="N7485">
        <v>15.6</v>
      </c>
      <c r="O7485">
        <v>14.6</v>
      </c>
      <c r="P7485">
        <v>22.9</v>
      </c>
      <c r="Q7485">
        <v>21.6</v>
      </c>
      <c r="R7485">
        <v>23.3</v>
      </c>
      <c r="S7485">
        <v>21.6</v>
      </c>
      <c r="T7485">
        <v>966.91549999999995</v>
      </c>
      <c r="U7485">
        <v>167</v>
      </c>
      <c r="V7485">
        <v>34</v>
      </c>
      <c r="W7485">
        <v>48</v>
      </c>
      <c r="X7485">
        <v>409.45769999999999</v>
      </c>
      <c r="Y7485">
        <v>132.54230000000001</v>
      </c>
      <c r="Z7485">
        <v>228.91550000000001</v>
      </c>
      <c r="AA7485">
        <v>132.54230000000001</v>
      </c>
      <c r="AB7485">
        <v>0.5752931</v>
      </c>
      <c r="AC7485">
        <v>1.8721000000000002E-2</v>
      </c>
      <c r="AD7485">
        <v>1.1632400000000001</v>
      </c>
      <c r="AE7485">
        <v>0.36290650000000002</v>
      </c>
      <c r="AF7485">
        <v>1141.4749999999999</v>
      </c>
      <c r="AG7485">
        <f>IFERROR(AH7485*0.1, "N/A")</f>
        <v>5.3471830000000002</v>
      </c>
      <c r="AH7485">
        <v>53.471829999999997</v>
      </c>
      <c r="AI7485">
        <v>270.43720000000002</v>
      </c>
      <c r="AJ7485">
        <v>38.929580000000001</v>
      </c>
      <c r="AK7485">
        <v>44.408450000000002</v>
      </c>
    </row>
    <row r="7486" spans="1:37" x14ac:dyDescent="0.3">
      <c r="A7486">
        <v>7485</v>
      </c>
      <c r="B7486">
        <v>61</v>
      </c>
      <c r="C7486">
        <v>37.345320000000001</v>
      </c>
      <c r="D7486">
        <v>-1.3055669999999999</v>
      </c>
      <c r="E7486" t="s">
        <v>11087</v>
      </c>
      <c r="F7486" t="s">
        <v>11088</v>
      </c>
      <c r="G7486" t="s">
        <v>37</v>
      </c>
      <c r="H7486">
        <v>1992</v>
      </c>
      <c r="I7486">
        <v>19</v>
      </c>
      <c r="J7486">
        <v>13.8</v>
      </c>
      <c r="K7486">
        <v>76</v>
      </c>
      <c r="L7486">
        <v>12.57</v>
      </c>
      <c r="M7486">
        <v>28.3</v>
      </c>
      <c r="N7486">
        <v>10.3</v>
      </c>
      <c r="O7486">
        <v>18</v>
      </c>
      <c r="P7486">
        <v>19.399999999999999</v>
      </c>
      <c r="Q7486">
        <v>17</v>
      </c>
      <c r="R7486">
        <v>20.3</v>
      </c>
      <c r="S7486">
        <v>17</v>
      </c>
      <c r="T7486">
        <v>993</v>
      </c>
      <c r="U7486">
        <v>252</v>
      </c>
      <c r="V7486">
        <v>5</v>
      </c>
      <c r="W7486">
        <v>95</v>
      </c>
      <c r="X7486">
        <v>452</v>
      </c>
      <c r="Y7486">
        <v>18</v>
      </c>
      <c r="Z7486">
        <v>391</v>
      </c>
      <c r="AA7486">
        <v>18</v>
      </c>
      <c r="AB7486">
        <v>91.460440000000006</v>
      </c>
      <c r="AC7486">
        <v>2.4927419999999999E-2</v>
      </c>
      <c r="AD7486">
        <v>8.1551380000000009</v>
      </c>
      <c r="AE7486">
        <v>0.51565819999999996</v>
      </c>
      <c r="AF7486">
        <v>1642.424</v>
      </c>
      <c r="AG7486">
        <f>IFERROR(AH7486*0.1, "N/A")</f>
        <v>5.5045940000000009</v>
      </c>
      <c r="AH7486">
        <v>55.045940000000002</v>
      </c>
      <c r="AI7486">
        <v>40.398350000000001</v>
      </c>
      <c r="AJ7486">
        <v>41.681980000000003</v>
      </c>
      <c r="AK7486">
        <v>39.706710000000001</v>
      </c>
    </row>
    <row r="7487" spans="1:37" x14ac:dyDescent="0.3">
      <c r="A7487">
        <v>7486</v>
      </c>
      <c r="B7487">
        <v>96</v>
      </c>
      <c r="C7487">
        <v>36.942860000000003</v>
      </c>
      <c r="D7487">
        <v>-1.3922749999999999</v>
      </c>
      <c r="E7487" t="s">
        <v>11089</v>
      </c>
      <c r="F7487" t="s">
        <v>11090</v>
      </c>
      <c r="G7487" t="s">
        <v>37</v>
      </c>
      <c r="H7487">
        <v>1992</v>
      </c>
      <c r="I7487">
        <v>19.198239999999998</v>
      </c>
      <c r="J7487">
        <v>12.7</v>
      </c>
      <c r="K7487">
        <v>74</v>
      </c>
      <c r="L7487">
        <v>12.26877</v>
      </c>
      <c r="M7487">
        <v>28.1</v>
      </c>
      <c r="N7487">
        <v>11</v>
      </c>
      <c r="O7487">
        <v>17.100000000000001</v>
      </c>
      <c r="P7487">
        <v>20.198239999999998</v>
      </c>
      <c r="Q7487">
        <v>17.598240000000001</v>
      </c>
      <c r="R7487">
        <v>20.498239999999999</v>
      </c>
      <c r="S7487">
        <v>17.29824</v>
      </c>
      <c r="T7487">
        <v>663.15869999999995</v>
      </c>
      <c r="U7487">
        <v>143.01759999999999</v>
      </c>
      <c r="V7487">
        <v>9</v>
      </c>
      <c r="W7487">
        <v>75</v>
      </c>
      <c r="X7487">
        <v>312.07049999999998</v>
      </c>
      <c r="Y7487">
        <v>31</v>
      </c>
      <c r="Z7487">
        <v>257.03530000000001</v>
      </c>
      <c r="AA7487">
        <v>39</v>
      </c>
      <c r="AB7487">
        <v>34.211150000000004</v>
      </c>
      <c r="AC7487">
        <v>3.6728579999999997E-2</v>
      </c>
      <c r="AD7487">
        <v>1.5397620000000001</v>
      </c>
      <c r="AE7487">
        <v>0.74726130000000002</v>
      </c>
      <c r="AF7487">
        <v>1607.5730000000001</v>
      </c>
      <c r="AG7487">
        <f>IFERROR(AH7487*0.1, "N/A")</f>
        <v>7.1389770000000006</v>
      </c>
      <c r="AH7487">
        <v>71.389769999999999</v>
      </c>
      <c r="AI7487">
        <v>118.8922</v>
      </c>
      <c r="AJ7487">
        <v>38.389769999999999</v>
      </c>
      <c r="AK7487">
        <v>42.389769999999999</v>
      </c>
    </row>
    <row r="7488" spans="1:37" x14ac:dyDescent="0.3">
      <c r="A7488">
        <v>7487</v>
      </c>
      <c r="B7488">
        <v>17</v>
      </c>
      <c r="C7488">
        <v>39.450000000000003</v>
      </c>
      <c r="D7488">
        <v>-4.1666670000000003</v>
      </c>
      <c r="E7488" t="s">
        <v>11091</v>
      </c>
      <c r="F7488" t="s">
        <v>11092</v>
      </c>
      <c r="G7488" t="s">
        <v>39</v>
      </c>
      <c r="H7488">
        <v>1956</v>
      </c>
      <c r="I7488">
        <v>23.506319999999999</v>
      </c>
      <c r="J7488">
        <v>8.4</v>
      </c>
      <c r="K7488">
        <v>65</v>
      </c>
      <c r="L7488">
        <v>14.30021</v>
      </c>
      <c r="M7488">
        <v>30.206320000000002</v>
      </c>
      <c r="N7488">
        <v>17.40316</v>
      </c>
      <c r="O7488">
        <v>12.80316</v>
      </c>
      <c r="P7488">
        <v>23.289819999999999</v>
      </c>
      <c r="Q7488">
        <v>25.10632</v>
      </c>
      <c r="R7488">
        <v>25.10632</v>
      </c>
      <c r="S7488">
        <v>21.58982</v>
      </c>
      <c r="T7488">
        <v>1107.135</v>
      </c>
      <c r="U7488">
        <v>215.49299999999999</v>
      </c>
      <c r="V7488">
        <v>23.380700000000001</v>
      </c>
      <c r="W7488">
        <v>55</v>
      </c>
      <c r="X7488">
        <v>463.39819999999997</v>
      </c>
      <c r="Y7488">
        <v>120.4825</v>
      </c>
      <c r="Z7488">
        <v>120.4825</v>
      </c>
      <c r="AA7488">
        <v>217.05090000000001</v>
      </c>
      <c r="AB7488">
        <v>16.12509</v>
      </c>
      <c r="AC7488">
        <v>2.1703179999999999E-2</v>
      </c>
      <c r="AD7488">
        <v>4.5883900000000004</v>
      </c>
      <c r="AE7488">
        <v>0.72466249999999999</v>
      </c>
      <c r="AF7488">
        <v>373.15089999999998</v>
      </c>
      <c r="AG7488">
        <f>IFERROR(AH7488*0.1, "N/A")</f>
        <v>5.5787720000000007</v>
      </c>
      <c r="AH7488">
        <v>55.78772</v>
      </c>
      <c r="AI7488">
        <v>83.908919999999995</v>
      </c>
      <c r="AJ7488">
        <v>26.164909999999999</v>
      </c>
      <c r="AK7488">
        <v>58.740349999999999</v>
      </c>
    </row>
    <row r="7489" spans="1:37" x14ac:dyDescent="0.3">
      <c r="A7489">
        <v>7488</v>
      </c>
      <c r="B7489">
        <v>14.3</v>
      </c>
      <c r="C7489">
        <v>34.767960000000002</v>
      </c>
      <c r="D7489">
        <v>-9.1703000000000007E-2</v>
      </c>
      <c r="E7489" t="s">
        <v>11093</v>
      </c>
      <c r="F7489" t="s">
        <v>11094</v>
      </c>
      <c r="G7489" t="s">
        <v>37</v>
      </c>
      <c r="H7489">
        <v>1998</v>
      </c>
      <c r="I7489">
        <v>22.754930000000002</v>
      </c>
      <c r="J7489">
        <v>13.9</v>
      </c>
      <c r="K7489">
        <v>85</v>
      </c>
      <c r="L7489">
        <v>6.4022540000000001</v>
      </c>
      <c r="M7489">
        <v>31.254930000000002</v>
      </c>
      <c r="N7489">
        <v>15</v>
      </c>
      <c r="O7489">
        <v>16.254930000000002</v>
      </c>
      <c r="P7489">
        <v>22.954930000000001</v>
      </c>
      <c r="Q7489">
        <v>21.754930000000002</v>
      </c>
      <c r="R7489">
        <v>23.454930000000001</v>
      </c>
      <c r="S7489">
        <v>21.754930000000002</v>
      </c>
      <c r="T7489">
        <v>1323.2539999999999</v>
      </c>
      <c r="U7489">
        <v>226.9014</v>
      </c>
      <c r="V7489">
        <v>63</v>
      </c>
      <c r="W7489">
        <v>42.450699999999998</v>
      </c>
      <c r="X7489">
        <v>545.80280000000005</v>
      </c>
      <c r="Y7489">
        <v>227</v>
      </c>
      <c r="Z7489">
        <v>317.90140000000002</v>
      </c>
      <c r="AA7489">
        <v>227</v>
      </c>
      <c r="AB7489">
        <v>41.05865</v>
      </c>
      <c r="AC7489">
        <v>2.0210840000000001E-2</v>
      </c>
      <c r="AD7489">
        <v>2.663071</v>
      </c>
      <c r="AE7489">
        <v>0.72703229999999996</v>
      </c>
      <c r="AF7489">
        <v>1183.335</v>
      </c>
      <c r="AG7489">
        <f>IFERROR(AH7489*0.1, "N/A")</f>
        <v>6.6853870000000004</v>
      </c>
      <c r="AH7489">
        <v>66.853870000000001</v>
      </c>
      <c r="AI7489">
        <v>157.5924</v>
      </c>
      <c r="AJ7489">
        <v>38.853870000000001</v>
      </c>
      <c r="AK7489">
        <v>35.146129999999999</v>
      </c>
    </row>
    <row r="7490" spans="1:37" x14ac:dyDescent="0.3">
      <c r="A7490">
        <v>7489</v>
      </c>
      <c r="B7490">
        <v>23.9</v>
      </c>
      <c r="C7490">
        <v>34.767960000000002</v>
      </c>
      <c r="D7490">
        <v>-9.1703999999999994E-2</v>
      </c>
      <c r="E7490" t="s">
        <v>11095</v>
      </c>
      <c r="F7490" t="s">
        <v>11096</v>
      </c>
      <c r="G7490" t="s">
        <v>37</v>
      </c>
      <c r="H7490">
        <v>1998</v>
      </c>
      <c r="I7490">
        <v>22.755379999999999</v>
      </c>
      <c r="J7490">
        <v>13.9</v>
      </c>
      <c r="K7490">
        <v>85</v>
      </c>
      <c r="L7490">
        <v>6.4038269999999997</v>
      </c>
      <c r="M7490">
        <v>31.255379999999999</v>
      </c>
      <c r="N7490">
        <v>15</v>
      </c>
      <c r="O7490">
        <v>16.255379999999999</v>
      </c>
      <c r="P7490">
        <v>22.955380000000002</v>
      </c>
      <c r="Q7490">
        <v>21.755379999999999</v>
      </c>
      <c r="R7490">
        <v>23.455380000000002</v>
      </c>
      <c r="S7490">
        <v>21.755379999999999</v>
      </c>
      <c r="T7490">
        <v>1323.231</v>
      </c>
      <c r="U7490">
        <v>226.89240000000001</v>
      </c>
      <c r="V7490">
        <v>63</v>
      </c>
      <c r="W7490">
        <v>42.446210000000001</v>
      </c>
      <c r="X7490">
        <v>545.78480000000002</v>
      </c>
      <c r="Y7490">
        <v>227</v>
      </c>
      <c r="Z7490">
        <v>317.89240000000001</v>
      </c>
      <c r="AA7490">
        <v>227</v>
      </c>
      <c r="AB7490">
        <v>41.053109999999997</v>
      </c>
      <c r="AC7490">
        <v>2.0231409999999998E-2</v>
      </c>
      <c r="AD7490">
        <v>2.6684909999999999</v>
      </c>
      <c r="AE7490">
        <v>0.72703229999999996</v>
      </c>
      <c r="AF7490">
        <v>1183.3330000000001</v>
      </c>
      <c r="AG7490">
        <f>IFERROR(AH7490*0.1, "N/A")</f>
        <v>6.6853620000000014</v>
      </c>
      <c r="AH7490">
        <v>66.853620000000006</v>
      </c>
      <c r="AI7490">
        <v>157.50370000000001</v>
      </c>
      <c r="AJ7490">
        <v>38.853619999999999</v>
      </c>
      <c r="AK7490">
        <v>35.146380000000001</v>
      </c>
    </row>
    <row r="7491" spans="1:37" x14ac:dyDescent="0.3">
      <c r="A7491">
        <v>7490</v>
      </c>
      <c r="B7491">
        <v>24.6</v>
      </c>
      <c r="C7491">
        <v>34.767960000000002</v>
      </c>
      <c r="D7491">
        <v>-9.1704999999999995E-2</v>
      </c>
      <c r="E7491" t="s">
        <v>11097</v>
      </c>
      <c r="F7491" t="s">
        <v>11098</v>
      </c>
      <c r="G7491" t="s">
        <v>37</v>
      </c>
      <c r="H7491">
        <v>1998</v>
      </c>
      <c r="I7491">
        <v>22.755379999999999</v>
      </c>
      <c r="J7491">
        <v>13.9</v>
      </c>
      <c r="K7491">
        <v>85</v>
      </c>
      <c r="L7491">
        <v>6.4038269999999997</v>
      </c>
      <c r="M7491">
        <v>31.255379999999999</v>
      </c>
      <c r="N7491">
        <v>15</v>
      </c>
      <c r="O7491">
        <v>16.255379999999999</v>
      </c>
      <c r="P7491">
        <v>22.955380000000002</v>
      </c>
      <c r="Q7491">
        <v>21.755379999999999</v>
      </c>
      <c r="R7491">
        <v>23.455380000000002</v>
      </c>
      <c r="S7491">
        <v>21.755379999999999</v>
      </c>
      <c r="T7491">
        <v>1323.231</v>
      </c>
      <c r="U7491">
        <v>226.89240000000001</v>
      </c>
      <c r="V7491">
        <v>63</v>
      </c>
      <c r="W7491">
        <v>42.446210000000001</v>
      </c>
      <c r="X7491">
        <v>545.78480000000002</v>
      </c>
      <c r="Y7491">
        <v>227</v>
      </c>
      <c r="Z7491">
        <v>317.89240000000001</v>
      </c>
      <c r="AA7491">
        <v>227</v>
      </c>
      <c r="AB7491">
        <v>41.053109999999997</v>
      </c>
      <c r="AC7491">
        <v>2.0231409999999998E-2</v>
      </c>
      <c r="AD7491">
        <v>2.6684909999999999</v>
      </c>
      <c r="AE7491">
        <v>0.72703229999999996</v>
      </c>
      <c r="AF7491">
        <v>1183.3330000000001</v>
      </c>
      <c r="AG7491">
        <f>IFERROR(AH7491*0.1, "N/A")</f>
        <v>6.6853620000000014</v>
      </c>
      <c r="AH7491">
        <v>66.853620000000006</v>
      </c>
      <c r="AI7491">
        <v>157.50370000000001</v>
      </c>
      <c r="AJ7491">
        <v>38.853619999999999</v>
      </c>
      <c r="AK7491">
        <v>35.146380000000001</v>
      </c>
    </row>
    <row r="7492" spans="1:37" x14ac:dyDescent="0.3">
      <c r="A7492">
        <v>7491</v>
      </c>
      <c r="B7492">
        <v>24.6</v>
      </c>
      <c r="C7492">
        <v>34.767960000000002</v>
      </c>
      <c r="D7492">
        <v>-9.1705999999999996E-2</v>
      </c>
      <c r="E7492" t="s">
        <v>11099</v>
      </c>
      <c r="F7492" t="s">
        <v>11100</v>
      </c>
      <c r="G7492" t="s">
        <v>37</v>
      </c>
      <c r="H7492">
        <v>1998</v>
      </c>
      <c r="I7492">
        <v>22.755199999999999</v>
      </c>
      <c r="J7492">
        <v>13.9</v>
      </c>
      <c r="K7492">
        <v>85</v>
      </c>
      <c r="L7492">
        <v>6.4032099999999996</v>
      </c>
      <c r="M7492">
        <v>31.255199999999999</v>
      </c>
      <c r="N7492">
        <v>15</v>
      </c>
      <c r="O7492">
        <v>16.255199999999999</v>
      </c>
      <c r="P7492">
        <v>22.955200000000001</v>
      </c>
      <c r="Q7492">
        <v>21.755199999999999</v>
      </c>
      <c r="R7492">
        <v>23.455200000000001</v>
      </c>
      <c r="S7492">
        <v>21.755199999999999</v>
      </c>
      <c r="T7492">
        <v>1323.24</v>
      </c>
      <c r="U7492">
        <v>226.89590000000001</v>
      </c>
      <c r="V7492">
        <v>63</v>
      </c>
      <c r="W7492">
        <v>42.447969999999998</v>
      </c>
      <c r="X7492">
        <v>545.79190000000006</v>
      </c>
      <c r="Y7492">
        <v>227</v>
      </c>
      <c r="Z7492">
        <v>317.89589999999998</v>
      </c>
      <c r="AA7492">
        <v>227</v>
      </c>
      <c r="AB7492">
        <v>41.049750000000003</v>
      </c>
      <c r="AC7492">
        <v>2.0246489999999999E-2</v>
      </c>
      <c r="AD7492">
        <v>2.6728830000000001</v>
      </c>
      <c r="AE7492">
        <v>0.72703229999999996</v>
      </c>
      <c r="AF7492">
        <v>1183.325</v>
      </c>
      <c r="AG7492">
        <f>IFERROR(AH7492*0.1, "N/A")</f>
        <v>6.6851850000000006</v>
      </c>
      <c r="AH7492">
        <v>66.851849999999999</v>
      </c>
      <c r="AI7492">
        <v>157.3509</v>
      </c>
      <c r="AJ7492">
        <v>38.851849999999999</v>
      </c>
      <c r="AK7492">
        <v>35.148150000000001</v>
      </c>
    </row>
    <row r="7493" spans="1:37" x14ac:dyDescent="0.3">
      <c r="A7493">
        <v>7492</v>
      </c>
      <c r="B7493">
        <v>4.4000000000000004</v>
      </c>
      <c r="C7493">
        <v>37.983330000000002</v>
      </c>
      <c r="D7493">
        <v>2.3333330000000001</v>
      </c>
      <c r="E7493" t="s">
        <v>11101</v>
      </c>
      <c r="F7493" t="s">
        <v>11102</v>
      </c>
      <c r="G7493" t="s">
        <v>39</v>
      </c>
      <c r="H7493">
        <v>2004</v>
      </c>
      <c r="I7493">
        <v>19.8307</v>
      </c>
      <c r="J7493">
        <v>15.2</v>
      </c>
      <c r="K7493">
        <v>82</v>
      </c>
      <c r="L7493">
        <v>9.3110879999999998</v>
      </c>
      <c r="M7493">
        <v>29.419119999999999</v>
      </c>
      <c r="N7493">
        <v>10.9307</v>
      </c>
      <c r="O7493">
        <v>18.488420000000001</v>
      </c>
      <c r="P7493">
        <v>20.765260000000001</v>
      </c>
      <c r="Q7493">
        <v>18.630700000000001</v>
      </c>
      <c r="R7493">
        <v>21.019120000000001</v>
      </c>
      <c r="S7493">
        <v>18.581050000000001</v>
      </c>
      <c r="T7493">
        <v>842.82809999999995</v>
      </c>
      <c r="U7493">
        <v>229.04740000000001</v>
      </c>
      <c r="V7493">
        <v>7.4614039999999999</v>
      </c>
      <c r="W7493">
        <v>91.612279999999998</v>
      </c>
      <c r="X7493">
        <v>398.55090000000001</v>
      </c>
      <c r="Y7493">
        <v>38.461399999999998</v>
      </c>
      <c r="Z7493">
        <v>330.55090000000001</v>
      </c>
      <c r="AA7493">
        <v>41.461399999999998</v>
      </c>
      <c r="AB7493">
        <v>3.5401609999999999</v>
      </c>
      <c r="AC7493">
        <v>8.3011790000000002E-2</v>
      </c>
      <c r="AD7493">
        <v>2.0069149999999998</v>
      </c>
      <c r="AE7493">
        <v>0.72157420000000005</v>
      </c>
      <c r="AF7493">
        <v>1360.2180000000001</v>
      </c>
      <c r="AG7493">
        <f>IFERROR(AH7493*0.1, "N/A")</f>
        <v>6.4380700000000006</v>
      </c>
      <c r="AH7493">
        <v>64.380700000000004</v>
      </c>
      <c r="AI7493">
        <v>260.62439999999998</v>
      </c>
      <c r="AJ7493">
        <v>39.073680000000003</v>
      </c>
      <c r="AK7493">
        <v>36.624560000000002</v>
      </c>
    </row>
    <row r="7494" spans="1:37" x14ac:dyDescent="0.3">
      <c r="A7494">
        <v>7493</v>
      </c>
      <c r="B7494">
        <v>79.400000000000006</v>
      </c>
      <c r="C7494">
        <v>34.092559999999999</v>
      </c>
      <c r="D7494">
        <v>-6.0824999999999997E-2</v>
      </c>
      <c r="E7494" t="s">
        <v>11103</v>
      </c>
      <c r="F7494" t="s">
        <v>11104</v>
      </c>
      <c r="G7494" t="s">
        <v>37</v>
      </c>
      <c r="H7494">
        <v>1998</v>
      </c>
      <c r="I7494">
        <v>22.589079999999999</v>
      </c>
      <c r="J7494">
        <v>12.7</v>
      </c>
      <c r="K7494">
        <v>85.054580000000001</v>
      </c>
      <c r="L7494">
        <v>5.9801760000000002</v>
      </c>
      <c r="M7494">
        <v>30.38908</v>
      </c>
      <c r="N7494">
        <v>15.59454</v>
      </c>
      <c r="O7494">
        <v>14.79454</v>
      </c>
      <c r="P7494">
        <v>22.894539999999999</v>
      </c>
      <c r="Q7494">
        <v>21.69454</v>
      </c>
      <c r="R7494">
        <v>23.294540000000001</v>
      </c>
      <c r="S7494">
        <v>21.69454</v>
      </c>
      <c r="T7494">
        <v>923.4366</v>
      </c>
      <c r="U7494">
        <v>158.10919999999999</v>
      </c>
      <c r="V7494">
        <v>35.054580000000001</v>
      </c>
      <c r="W7494">
        <v>49</v>
      </c>
      <c r="X7494">
        <v>394.27289999999999</v>
      </c>
      <c r="Y7494">
        <v>128.05459999999999</v>
      </c>
      <c r="Z7494">
        <v>214.05459999999999</v>
      </c>
      <c r="AA7494">
        <v>128.05459999999999</v>
      </c>
      <c r="AB7494">
        <v>25.654409999999999</v>
      </c>
      <c r="AC7494">
        <v>3.5891949999999999E-2</v>
      </c>
      <c r="AD7494">
        <v>2.7155559999999999</v>
      </c>
      <c r="AE7494">
        <v>0.37659619999999999</v>
      </c>
      <c r="AF7494">
        <v>1156.2819999999999</v>
      </c>
      <c r="AG7494">
        <f>IFERROR(AH7494*0.1, "N/A")</f>
        <v>5.9</v>
      </c>
      <c r="AH7494">
        <v>59</v>
      </c>
      <c r="AI7494">
        <v>135.50190000000001</v>
      </c>
      <c r="AJ7494">
        <v>25.86796</v>
      </c>
      <c r="AK7494">
        <v>57.915489999999998</v>
      </c>
    </row>
    <row r="7495" spans="1:37" x14ac:dyDescent="0.3">
      <c r="A7495">
        <v>7494</v>
      </c>
      <c r="B7495">
        <v>3.8</v>
      </c>
      <c r="C7495">
        <v>37.16874</v>
      </c>
      <c r="D7495">
        <v>-0.63657200000000003</v>
      </c>
      <c r="E7495" t="s">
        <v>11105</v>
      </c>
      <c r="F7495" t="s">
        <v>11106</v>
      </c>
      <c r="G7495" t="s">
        <v>37</v>
      </c>
      <c r="H7495">
        <v>1982</v>
      </c>
      <c r="I7495">
        <v>20.399999999999999</v>
      </c>
      <c r="J7495">
        <v>17.5</v>
      </c>
      <c r="K7495">
        <v>84</v>
      </c>
      <c r="L7495">
        <v>10.88</v>
      </c>
      <c r="M7495">
        <v>31.2</v>
      </c>
      <c r="N7495">
        <v>10.6</v>
      </c>
      <c r="O7495">
        <v>20.6</v>
      </c>
      <c r="P7495">
        <v>21</v>
      </c>
      <c r="Q7495">
        <v>19.100000000000001</v>
      </c>
      <c r="R7495">
        <v>21.3</v>
      </c>
      <c r="S7495">
        <v>19</v>
      </c>
      <c r="T7495">
        <v>1228</v>
      </c>
      <c r="U7495">
        <v>305</v>
      </c>
      <c r="V7495">
        <v>18</v>
      </c>
      <c r="W7495">
        <v>85</v>
      </c>
      <c r="X7495">
        <v>617</v>
      </c>
      <c r="Y7495">
        <v>90</v>
      </c>
      <c r="Z7495">
        <v>430</v>
      </c>
      <c r="AA7495">
        <v>143</v>
      </c>
      <c r="AB7495">
        <v>3.3221750000000001</v>
      </c>
      <c r="AC7495">
        <v>75.802419999999998</v>
      </c>
      <c r="AD7495">
        <v>9.0579640000000001</v>
      </c>
      <c r="AE7495">
        <v>0.39945219999999998</v>
      </c>
      <c r="AF7495">
        <v>1219.626</v>
      </c>
      <c r="AG7495">
        <f>IFERROR(AH7495*0.1, "N/A")</f>
        <v>5.7446400000000004</v>
      </c>
      <c r="AH7495">
        <v>57.446399999999997</v>
      </c>
      <c r="AI7495">
        <v>158.35570000000001</v>
      </c>
      <c r="AJ7495">
        <v>47.866430000000001</v>
      </c>
      <c r="AK7495">
        <v>31.18629</v>
      </c>
    </row>
    <row r="7496" spans="1:37" x14ac:dyDescent="0.3">
      <c r="A7496">
        <v>7495</v>
      </c>
      <c r="B7496">
        <v>0</v>
      </c>
      <c r="C7496">
        <v>39.450000000000003</v>
      </c>
      <c r="D7496">
        <v>-4.1666670000000003</v>
      </c>
      <c r="E7496" t="s">
        <v>11091</v>
      </c>
      <c r="F7496" t="s">
        <v>11107</v>
      </c>
      <c r="G7496" t="s">
        <v>37</v>
      </c>
      <c r="H7496">
        <v>1982</v>
      </c>
      <c r="I7496">
        <v>23.506319999999999</v>
      </c>
      <c r="J7496">
        <v>8.4</v>
      </c>
      <c r="K7496">
        <v>65</v>
      </c>
      <c r="L7496">
        <v>14.30021</v>
      </c>
      <c r="M7496">
        <v>30.206320000000002</v>
      </c>
      <c r="N7496">
        <v>17.40316</v>
      </c>
      <c r="O7496">
        <v>12.80316</v>
      </c>
      <c r="P7496">
        <v>23.289819999999999</v>
      </c>
      <c r="Q7496">
        <v>25.10632</v>
      </c>
      <c r="R7496">
        <v>25.10632</v>
      </c>
      <c r="S7496">
        <v>21.58982</v>
      </c>
      <c r="T7496">
        <v>1107.135</v>
      </c>
      <c r="U7496">
        <v>215.49299999999999</v>
      </c>
      <c r="V7496">
        <v>23.380700000000001</v>
      </c>
      <c r="W7496">
        <v>55</v>
      </c>
      <c r="X7496">
        <v>463.39819999999997</v>
      </c>
      <c r="Y7496">
        <v>120.4825</v>
      </c>
      <c r="Z7496">
        <v>120.4825</v>
      </c>
      <c r="AA7496">
        <v>217.05090000000001</v>
      </c>
      <c r="AB7496">
        <v>16.12509</v>
      </c>
      <c r="AC7496">
        <v>2.1703179999999999E-2</v>
      </c>
      <c r="AD7496">
        <v>4.5883900000000004</v>
      </c>
      <c r="AE7496">
        <v>0.72466249999999999</v>
      </c>
      <c r="AF7496">
        <v>373.15089999999998</v>
      </c>
      <c r="AG7496">
        <f>IFERROR(AH7496*0.1, "N/A")</f>
        <v>5.5787720000000007</v>
      </c>
      <c r="AH7496">
        <v>55.78772</v>
      </c>
      <c r="AI7496">
        <v>83.908919999999995</v>
      </c>
      <c r="AJ7496">
        <v>26.164909999999999</v>
      </c>
      <c r="AK7496">
        <v>58.740349999999999</v>
      </c>
    </row>
    <row r="7497" spans="1:37" x14ac:dyDescent="0.3">
      <c r="A7497">
        <v>7496</v>
      </c>
      <c r="B7497">
        <v>0</v>
      </c>
      <c r="C7497">
        <v>35.285359999999997</v>
      </c>
      <c r="D7497">
        <v>1.592444</v>
      </c>
      <c r="E7497" t="s">
        <v>11108</v>
      </c>
      <c r="F7497" t="s">
        <v>11109</v>
      </c>
      <c r="G7497" t="s">
        <v>37</v>
      </c>
      <c r="H7497">
        <v>1982</v>
      </c>
      <c r="I7497">
        <v>18.050619999999999</v>
      </c>
      <c r="J7497">
        <v>14.416869999999999</v>
      </c>
      <c r="K7497">
        <v>85.042180000000002</v>
      </c>
      <c r="L7497">
        <v>6.4097010000000001</v>
      </c>
      <c r="M7497">
        <v>27.15062</v>
      </c>
      <c r="N7497">
        <v>10.242179999999999</v>
      </c>
      <c r="O7497">
        <v>16.908439999999999</v>
      </c>
      <c r="P7497">
        <v>17.450610000000001</v>
      </c>
      <c r="Q7497">
        <v>18.250620000000001</v>
      </c>
      <c r="R7497">
        <v>18.85483</v>
      </c>
      <c r="S7497">
        <v>17.15062</v>
      </c>
      <c r="T7497">
        <v>909.68010000000004</v>
      </c>
      <c r="U7497">
        <v>141.57820000000001</v>
      </c>
      <c r="V7497">
        <v>16.957820000000002</v>
      </c>
      <c r="W7497">
        <v>52</v>
      </c>
      <c r="X7497">
        <v>343.81900000000002</v>
      </c>
      <c r="Y7497">
        <v>76.957819999999998</v>
      </c>
      <c r="Z7497">
        <v>217.8313</v>
      </c>
      <c r="AA7497">
        <v>334.0299</v>
      </c>
      <c r="AB7497">
        <v>193.26130000000001</v>
      </c>
      <c r="AC7497">
        <v>8.9050269999999994E-3</v>
      </c>
      <c r="AD7497">
        <v>23.518799999999999</v>
      </c>
      <c r="AE7497">
        <v>0.72984499999999997</v>
      </c>
      <c r="AF7497">
        <v>1903.1479999999999</v>
      </c>
      <c r="AG7497">
        <f>IFERROR(AH7497*0.1, "N/A")</f>
        <v>5.9182780000000008</v>
      </c>
      <c r="AH7497">
        <v>59.182780000000001</v>
      </c>
      <c r="AI7497">
        <v>146.90960000000001</v>
      </c>
      <c r="AJ7497">
        <v>38.599299999999999</v>
      </c>
      <c r="AK7497">
        <v>35.729349999999997</v>
      </c>
    </row>
    <row r="7498" spans="1:37" x14ac:dyDescent="0.3">
      <c r="A7498">
        <v>7497</v>
      </c>
      <c r="B7498">
        <v>31.6</v>
      </c>
      <c r="C7498">
        <v>34.091450000000002</v>
      </c>
      <c r="D7498">
        <v>-6.2018999999999998E-2</v>
      </c>
      <c r="E7498" t="s">
        <v>11110</v>
      </c>
      <c r="F7498" t="s">
        <v>11111</v>
      </c>
      <c r="G7498" t="s">
        <v>37</v>
      </c>
      <c r="H7498">
        <v>2001</v>
      </c>
      <c r="I7498">
        <v>22.41968</v>
      </c>
      <c r="J7498">
        <v>12.7</v>
      </c>
      <c r="K7498">
        <v>85.901579999999996</v>
      </c>
      <c r="L7498">
        <v>5.8277150000000004</v>
      </c>
      <c r="M7498">
        <v>30.21968</v>
      </c>
      <c r="N7498">
        <v>15.509840000000001</v>
      </c>
      <c r="O7498">
        <v>14.70984</v>
      </c>
      <c r="P7498">
        <v>22.809840000000001</v>
      </c>
      <c r="Q7498">
        <v>21.609839999999998</v>
      </c>
      <c r="R7498">
        <v>23.20984</v>
      </c>
      <c r="S7498">
        <v>21.609839999999998</v>
      </c>
      <c r="T7498">
        <v>930.21270000000004</v>
      </c>
      <c r="U7498">
        <v>159.8032</v>
      </c>
      <c r="V7498">
        <v>35.901580000000003</v>
      </c>
      <c r="W7498">
        <v>49</v>
      </c>
      <c r="X7498">
        <v>398.50790000000001</v>
      </c>
      <c r="Y7498">
        <v>128.9016</v>
      </c>
      <c r="Z7498">
        <v>214.9016</v>
      </c>
      <c r="AA7498">
        <v>128.9016</v>
      </c>
      <c r="AB7498">
        <v>20.89141</v>
      </c>
      <c r="AC7498">
        <v>2.4321570000000001E-2</v>
      </c>
      <c r="AD7498">
        <v>1.9050530000000001</v>
      </c>
      <c r="AE7498">
        <v>0.37659619999999999</v>
      </c>
      <c r="AF7498">
        <v>1156.8150000000001</v>
      </c>
      <c r="AG7498">
        <f>IFERROR(AH7498*0.1, "N/A")</f>
        <v>5.9</v>
      </c>
      <c r="AH7498">
        <v>59</v>
      </c>
      <c r="AI7498">
        <v>120.8653</v>
      </c>
      <c r="AJ7498">
        <v>28</v>
      </c>
      <c r="AK7498">
        <v>56.803159999999998</v>
      </c>
    </row>
    <row r="7499" spans="1:37" x14ac:dyDescent="0.3">
      <c r="A7499">
        <v>7498</v>
      </c>
      <c r="B7499">
        <v>0.5</v>
      </c>
      <c r="C7499">
        <v>34.091450000000002</v>
      </c>
      <c r="D7499">
        <v>-6.2018999999999998E-2</v>
      </c>
      <c r="E7499" t="s">
        <v>11110</v>
      </c>
      <c r="F7499" t="s">
        <v>11112</v>
      </c>
      <c r="G7499" t="s">
        <v>39</v>
      </c>
      <c r="H7499">
        <v>2001</v>
      </c>
      <c r="I7499">
        <v>22.41968</v>
      </c>
      <c r="J7499">
        <v>12.7</v>
      </c>
      <c r="K7499">
        <v>85.901579999999996</v>
      </c>
      <c r="L7499">
        <v>5.8277150000000004</v>
      </c>
      <c r="M7499">
        <v>30.21968</v>
      </c>
      <c r="N7499">
        <v>15.509840000000001</v>
      </c>
      <c r="O7499">
        <v>14.70984</v>
      </c>
      <c r="P7499">
        <v>22.809840000000001</v>
      </c>
      <c r="Q7499">
        <v>21.609839999999998</v>
      </c>
      <c r="R7499">
        <v>23.20984</v>
      </c>
      <c r="S7499">
        <v>21.609839999999998</v>
      </c>
      <c r="T7499">
        <v>930.21270000000004</v>
      </c>
      <c r="U7499">
        <v>159.8032</v>
      </c>
      <c r="V7499">
        <v>35.901580000000003</v>
      </c>
      <c r="W7499">
        <v>49</v>
      </c>
      <c r="X7499">
        <v>398.50790000000001</v>
      </c>
      <c r="Y7499">
        <v>128.9016</v>
      </c>
      <c r="Z7499">
        <v>214.9016</v>
      </c>
      <c r="AA7499">
        <v>128.9016</v>
      </c>
      <c r="AB7499">
        <v>20.89141</v>
      </c>
      <c r="AC7499">
        <v>2.4321570000000001E-2</v>
      </c>
      <c r="AD7499">
        <v>1.9050530000000001</v>
      </c>
      <c r="AE7499">
        <v>0.37659619999999999</v>
      </c>
      <c r="AF7499">
        <v>1156.8150000000001</v>
      </c>
      <c r="AG7499">
        <f>IFERROR(AH7499*0.1, "N/A")</f>
        <v>5.9</v>
      </c>
      <c r="AH7499">
        <v>59</v>
      </c>
      <c r="AI7499">
        <v>120.8653</v>
      </c>
      <c r="AJ7499">
        <v>28</v>
      </c>
      <c r="AK7499">
        <v>56.803159999999998</v>
      </c>
    </row>
    <row r="7500" spans="1:37" x14ac:dyDescent="0.3">
      <c r="A7500">
        <v>7499</v>
      </c>
      <c r="B7500">
        <v>92</v>
      </c>
      <c r="C7500">
        <v>37.361429999999999</v>
      </c>
      <c r="D7500">
        <v>-0.67308100000000004</v>
      </c>
      <c r="E7500" t="s">
        <v>11113</v>
      </c>
      <c r="F7500" t="s">
        <v>11114</v>
      </c>
      <c r="G7500" t="s">
        <v>37</v>
      </c>
      <c r="H7500">
        <v>1995</v>
      </c>
      <c r="I7500">
        <v>21.4</v>
      </c>
      <c r="J7500">
        <v>17.8</v>
      </c>
      <c r="K7500">
        <v>85</v>
      </c>
      <c r="L7500">
        <v>9.5399999999999991</v>
      </c>
      <c r="M7500">
        <v>32.5</v>
      </c>
      <c r="N7500">
        <v>11.6</v>
      </c>
      <c r="O7500">
        <v>20.9</v>
      </c>
      <c r="P7500">
        <v>22.3</v>
      </c>
      <c r="Q7500">
        <v>20.5</v>
      </c>
      <c r="R7500">
        <v>22.4</v>
      </c>
      <c r="S7500">
        <v>20.100000000000001</v>
      </c>
      <c r="T7500">
        <v>949</v>
      </c>
      <c r="U7500">
        <v>269</v>
      </c>
      <c r="V7500">
        <v>8</v>
      </c>
      <c r="W7500">
        <v>99</v>
      </c>
      <c r="X7500">
        <v>496</v>
      </c>
      <c r="Y7500">
        <v>31</v>
      </c>
      <c r="Z7500">
        <v>385</v>
      </c>
      <c r="AA7500">
        <v>37</v>
      </c>
      <c r="AB7500">
        <v>5.7924480000000003</v>
      </c>
      <c r="AC7500">
        <v>3.4008539999999997E-2</v>
      </c>
      <c r="AD7500">
        <v>1.035428</v>
      </c>
      <c r="AE7500">
        <v>0.78519050000000001</v>
      </c>
      <c r="AF7500">
        <v>1162.6089999999999</v>
      </c>
      <c r="AG7500">
        <f>IFERROR(AH7500*0.1, "N/A")</f>
        <v>6.4899649999999998</v>
      </c>
      <c r="AH7500">
        <v>64.899649999999994</v>
      </c>
      <c r="AI7500">
        <v>186.1919</v>
      </c>
      <c r="AJ7500">
        <v>47.966549999999998</v>
      </c>
      <c r="AK7500">
        <v>33.033450000000002</v>
      </c>
    </row>
    <row r="7501" spans="1:37" x14ac:dyDescent="0.3">
      <c r="A7501">
        <v>7500</v>
      </c>
      <c r="B7501">
        <v>36.5</v>
      </c>
      <c r="C7501">
        <v>37.55921</v>
      </c>
      <c r="D7501">
        <v>-1.0056719999999999</v>
      </c>
      <c r="E7501" t="s">
        <v>11115</v>
      </c>
      <c r="F7501" t="s">
        <v>11116</v>
      </c>
      <c r="G7501" t="s">
        <v>37</v>
      </c>
      <c r="H7501">
        <v>1971</v>
      </c>
      <c r="I7501">
        <v>21.5</v>
      </c>
      <c r="J7501">
        <v>15.7037</v>
      </c>
      <c r="K7501">
        <v>82.037040000000005</v>
      </c>
      <c r="L7501">
        <v>10.41963</v>
      </c>
      <c r="M7501">
        <v>31.4</v>
      </c>
      <c r="N7501">
        <v>12.4</v>
      </c>
      <c r="O7501">
        <v>19</v>
      </c>
      <c r="P7501">
        <v>22</v>
      </c>
      <c r="Q7501">
        <v>19.899999999999999</v>
      </c>
      <c r="R7501">
        <v>22.6</v>
      </c>
      <c r="S7501">
        <v>19.899999999999999</v>
      </c>
      <c r="T7501">
        <v>713.96299999999997</v>
      </c>
      <c r="U7501">
        <v>203.96299999999999</v>
      </c>
      <c r="V7501">
        <v>1</v>
      </c>
      <c r="W7501">
        <v>104.96299999999999</v>
      </c>
      <c r="X7501">
        <v>342.92590000000001</v>
      </c>
      <c r="Y7501">
        <v>9</v>
      </c>
      <c r="Z7501">
        <v>274</v>
      </c>
      <c r="AA7501">
        <v>9</v>
      </c>
      <c r="AB7501">
        <v>9.2347319999999993</v>
      </c>
      <c r="AC7501">
        <v>4.0833580000000001E-2</v>
      </c>
      <c r="AD7501">
        <v>2.8385950000000002</v>
      </c>
      <c r="AE7501">
        <v>0.70288309999999998</v>
      </c>
      <c r="AF7501">
        <v>1117.8710000000001</v>
      </c>
      <c r="AG7501">
        <f>IFERROR(AH7501*0.1, "N/A")</f>
        <v>6.720282000000001</v>
      </c>
      <c r="AH7501">
        <v>67.202820000000003</v>
      </c>
      <c r="AI7501">
        <v>281.73930000000001</v>
      </c>
      <c r="AJ7501">
        <v>34.331569999999999</v>
      </c>
      <c r="AK7501">
        <v>48.631390000000003</v>
      </c>
    </row>
    <row r="7502" spans="1:37" x14ac:dyDescent="0.3">
      <c r="A7502">
        <v>7501</v>
      </c>
      <c r="B7502">
        <v>23.6</v>
      </c>
      <c r="C7502">
        <v>37.343330000000002</v>
      </c>
      <c r="D7502">
        <v>-1.305747</v>
      </c>
      <c r="E7502" t="s">
        <v>11117</v>
      </c>
      <c r="F7502" t="s">
        <v>11118</v>
      </c>
      <c r="G7502" t="s">
        <v>37</v>
      </c>
      <c r="H7502">
        <v>1971</v>
      </c>
      <c r="I7502">
        <v>19</v>
      </c>
      <c r="J7502">
        <v>13.8</v>
      </c>
      <c r="K7502">
        <v>76</v>
      </c>
      <c r="L7502">
        <v>12.57</v>
      </c>
      <c r="M7502">
        <v>28.3</v>
      </c>
      <c r="N7502">
        <v>10.3</v>
      </c>
      <c r="O7502">
        <v>18</v>
      </c>
      <c r="P7502">
        <v>19.399999999999999</v>
      </c>
      <c r="Q7502">
        <v>17</v>
      </c>
      <c r="R7502">
        <v>20.3</v>
      </c>
      <c r="S7502">
        <v>17</v>
      </c>
      <c r="T7502">
        <v>993</v>
      </c>
      <c r="U7502">
        <v>252</v>
      </c>
      <c r="V7502">
        <v>5</v>
      </c>
      <c r="W7502">
        <v>95</v>
      </c>
      <c r="X7502">
        <v>452</v>
      </c>
      <c r="Y7502">
        <v>18</v>
      </c>
      <c r="Z7502">
        <v>391</v>
      </c>
      <c r="AA7502">
        <v>18</v>
      </c>
      <c r="AB7502">
        <v>85.945340000000002</v>
      </c>
      <c r="AC7502">
        <v>9.2365439999999993E-3</v>
      </c>
      <c r="AD7502">
        <v>8.2189230000000002</v>
      </c>
      <c r="AE7502">
        <v>0.50577059999999996</v>
      </c>
      <c r="AF7502">
        <v>1660.694</v>
      </c>
      <c r="AG7502">
        <f>IFERROR(AH7502*0.1, "N/A")</f>
        <v>5.5</v>
      </c>
      <c r="AH7502">
        <v>55</v>
      </c>
      <c r="AI7502">
        <v>90.956729999999993</v>
      </c>
      <c r="AJ7502">
        <v>42.83831</v>
      </c>
      <c r="AK7502">
        <v>39.080840000000002</v>
      </c>
    </row>
    <row r="7503" spans="1:37" x14ac:dyDescent="0.3">
      <c r="A7503">
        <v>7502</v>
      </c>
      <c r="B7503">
        <v>21.3</v>
      </c>
      <c r="C7503">
        <v>36.978749999999998</v>
      </c>
      <c r="D7503">
        <v>-1.44825</v>
      </c>
      <c r="E7503" t="s">
        <v>11119</v>
      </c>
      <c r="F7503" t="s">
        <v>11120</v>
      </c>
      <c r="G7503" t="s">
        <v>37</v>
      </c>
      <c r="H7503">
        <v>1971</v>
      </c>
      <c r="I7503">
        <v>19.600000000000001</v>
      </c>
      <c r="J7503">
        <v>12.8</v>
      </c>
      <c r="K7503">
        <v>73</v>
      </c>
      <c r="L7503">
        <v>12.65</v>
      </c>
      <c r="M7503">
        <v>28.7</v>
      </c>
      <c r="N7503">
        <v>11.4</v>
      </c>
      <c r="O7503">
        <v>17.3</v>
      </c>
      <c r="P7503">
        <v>20.6</v>
      </c>
      <c r="Q7503">
        <v>18</v>
      </c>
      <c r="R7503">
        <v>21</v>
      </c>
      <c r="S7503">
        <v>17.600000000000001</v>
      </c>
      <c r="T7503">
        <v>603</v>
      </c>
      <c r="U7503">
        <v>140</v>
      </c>
      <c r="V7503">
        <v>6</v>
      </c>
      <c r="W7503">
        <v>80</v>
      </c>
      <c r="X7503">
        <v>293</v>
      </c>
      <c r="Y7503">
        <v>22</v>
      </c>
      <c r="Z7503">
        <v>255</v>
      </c>
      <c r="AA7503">
        <v>30</v>
      </c>
      <c r="AB7503">
        <v>4.1679680000000001</v>
      </c>
      <c r="AC7503">
        <v>0.44478250000000003</v>
      </c>
      <c r="AD7503">
        <v>1.4614750000000001</v>
      </c>
      <c r="AE7503">
        <v>0.83740380000000003</v>
      </c>
      <c r="AF7503">
        <v>1504.2739999999999</v>
      </c>
      <c r="AG7503">
        <f>IFERROR(AH7503*0.1, "N/A")</f>
        <v>7.1000000000000005</v>
      </c>
      <c r="AH7503">
        <v>71</v>
      </c>
      <c r="AI7503">
        <v>164.67760000000001</v>
      </c>
      <c r="AJ7503">
        <v>39.147629999999999</v>
      </c>
      <c r="AK7503">
        <v>37.680140000000002</v>
      </c>
    </row>
    <row r="7504" spans="1:37" x14ac:dyDescent="0.3">
      <c r="A7504">
        <v>7503</v>
      </c>
      <c r="B7504">
        <v>22.6</v>
      </c>
      <c r="C7504">
        <v>37.267969999999998</v>
      </c>
      <c r="D7504">
        <v>-1.5171220000000001</v>
      </c>
      <c r="E7504" t="s">
        <v>11121</v>
      </c>
      <c r="F7504" t="s">
        <v>11122</v>
      </c>
      <c r="G7504" t="s">
        <v>37</v>
      </c>
      <c r="H7504">
        <v>1971</v>
      </c>
      <c r="I7504">
        <v>18.902470000000001</v>
      </c>
      <c r="J7504">
        <v>13.1</v>
      </c>
      <c r="K7504">
        <v>74</v>
      </c>
      <c r="L7504">
        <v>13.14926</v>
      </c>
      <c r="M7504">
        <v>28</v>
      </c>
      <c r="N7504">
        <v>10.4</v>
      </c>
      <c r="O7504">
        <v>17.600000000000001</v>
      </c>
      <c r="P7504">
        <v>19.402470000000001</v>
      </c>
      <c r="Q7504">
        <v>17.2</v>
      </c>
      <c r="R7504">
        <v>20.3</v>
      </c>
      <c r="S7504">
        <v>16.899999999999999</v>
      </c>
      <c r="T7504">
        <v>840.09879999999998</v>
      </c>
      <c r="U7504">
        <v>194.0247</v>
      </c>
      <c r="V7504">
        <v>4</v>
      </c>
      <c r="W7504">
        <v>89.024690000000007</v>
      </c>
      <c r="X7504">
        <v>359.04939999999999</v>
      </c>
      <c r="Y7504">
        <v>17</v>
      </c>
      <c r="Z7504">
        <v>338.04939999999999</v>
      </c>
      <c r="AA7504">
        <v>18</v>
      </c>
      <c r="AB7504">
        <v>39.848909999999997</v>
      </c>
      <c r="AC7504">
        <v>9.5094270000000009E-3</v>
      </c>
      <c r="AD7504">
        <v>1.7362029999999999</v>
      </c>
      <c r="AE7504">
        <v>0.78455719999999995</v>
      </c>
      <c r="AF7504">
        <v>1630.229</v>
      </c>
      <c r="AG7504">
        <f>IFERROR(AH7504*0.1, "N/A")</f>
        <v>5.9601410000000001</v>
      </c>
      <c r="AH7504">
        <v>59.601410000000001</v>
      </c>
      <c r="AI7504">
        <v>247.98910000000001</v>
      </c>
      <c r="AJ7504">
        <v>45.906529999999997</v>
      </c>
      <c r="AK7504">
        <v>36.52205</v>
      </c>
    </row>
    <row r="7505" spans="1:37" x14ac:dyDescent="0.3">
      <c r="A7505">
        <v>7504</v>
      </c>
      <c r="B7505">
        <v>42.2</v>
      </c>
      <c r="C7505">
        <v>37.670409999999997</v>
      </c>
      <c r="D7505">
        <v>-1.534208</v>
      </c>
      <c r="E7505" t="s">
        <v>11123</v>
      </c>
      <c r="F7505" t="s">
        <v>11124</v>
      </c>
      <c r="G7505" t="s">
        <v>37</v>
      </c>
      <c r="H7505">
        <v>1971</v>
      </c>
      <c r="I7505">
        <v>21.5</v>
      </c>
      <c r="J7505">
        <v>13.6</v>
      </c>
      <c r="K7505">
        <v>77</v>
      </c>
      <c r="L7505">
        <v>12.260350000000001</v>
      </c>
      <c r="M7505">
        <v>30.598240000000001</v>
      </c>
      <c r="N7505">
        <v>12.998239999999999</v>
      </c>
      <c r="O7505">
        <v>17.600000000000001</v>
      </c>
      <c r="P7505">
        <v>21.9</v>
      </c>
      <c r="Q7505">
        <v>19.899999999999999</v>
      </c>
      <c r="R7505">
        <v>22.8</v>
      </c>
      <c r="S7505">
        <v>19.600000000000001</v>
      </c>
      <c r="T7505">
        <v>829.05290000000002</v>
      </c>
      <c r="U7505">
        <v>244.01759999999999</v>
      </c>
      <c r="V7505">
        <v>2</v>
      </c>
      <c r="W7505">
        <v>101</v>
      </c>
      <c r="X7505">
        <v>423.01760000000002</v>
      </c>
      <c r="Y7505">
        <v>13</v>
      </c>
      <c r="Z7505">
        <v>296.03530000000001</v>
      </c>
      <c r="AA7505">
        <v>15</v>
      </c>
      <c r="AB7505">
        <v>35.836190000000002</v>
      </c>
      <c r="AC7505">
        <v>1.1046520000000001E-2</v>
      </c>
      <c r="AD7505">
        <v>2.9278749999999998</v>
      </c>
      <c r="AE7505">
        <v>0.73078549999999998</v>
      </c>
      <c r="AF7505">
        <v>1168.289</v>
      </c>
      <c r="AG7505">
        <f>IFERROR(AH7505*0.1, "N/A")</f>
        <v>5.7534390000000002</v>
      </c>
      <c r="AH7505">
        <v>57.534390000000002</v>
      </c>
      <c r="AI7505">
        <v>243.5248</v>
      </c>
      <c r="AJ7505">
        <v>31.534389999999998</v>
      </c>
      <c r="AK7505">
        <v>55.5291</v>
      </c>
    </row>
    <row r="7506" spans="1:37" x14ac:dyDescent="0.3">
      <c r="A7506">
        <v>7505</v>
      </c>
      <c r="B7506">
        <v>30.7</v>
      </c>
      <c r="C7506">
        <v>37.134830000000001</v>
      </c>
      <c r="D7506">
        <v>-1.738075</v>
      </c>
      <c r="E7506" t="s">
        <v>11125</v>
      </c>
      <c r="F7506" t="s">
        <v>11126</v>
      </c>
      <c r="G7506" t="s">
        <v>37</v>
      </c>
      <c r="H7506">
        <v>1971</v>
      </c>
      <c r="I7506">
        <v>18.8</v>
      </c>
      <c r="J7506">
        <v>12.3</v>
      </c>
      <c r="K7506">
        <v>72</v>
      </c>
      <c r="L7506">
        <v>12.96</v>
      </c>
      <c r="M7506">
        <v>27.7</v>
      </c>
      <c r="N7506">
        <v>10.8</v>
      </c>
      <c r="O7506">
        <v>16.899999999999999</v>
      </c>
      <c r="P7506">
        <v>19.7</v>
      </c>
      <c r="Q7506">
        <v>17.2</v>
      </c>
      <c r="R7506">
        <v>20.2</v>
      </c>
      <c r="S7506">
        <v>16.8</v>
      </c>
      <c r="T7506">
        <v>541</v>
      </c>
      <c r="U7506">
        <v>134</v>
      </c>
      <c r="V7506">
        <v>2</v>
      </c>
      <c r="W7506">
        <v>87</v>
      </c>
      <c r="X7506">
        <v>265</v>
      </c>
      <c r="Y7506">
        <v>10</v>
      </c>
      <c r="Z7506">
        <v>237</v>
      </c>
      <c r="AA7506">
        <v>13</v>
      </c>
      <c r="AB7506">
        <v>2.6451829999999998</v>
      </c>
      <c r="AC7506">
        <v>0.50472499999999998</v>
      </c>
      <c r="AD7506">
        <v>3.666296</v>
      </c>
      <c r="AE7506">
        <v>0.3517401</v>
      </c>
      <c r="AF7506">
        <v>1650.8</v>
      </c>
      <c r="AG7506">
        <f>IFERROR(AH7506*0.1, "N/A")</f>
        <v>6.6040419999999997</v>
      </c>
      <c r="AH7506">
        <v>66.040419999999997</v>
      </c>
      <c r="AI7506">
        <v>231.26689999999999</v>
      </c>
      <c r="AJ7506">
        <v>34.994729999999997</v>
      </c>
      <c r="AK7506">
        <v>45.124780000000001</v>
      </c>
    </row>
    <row r="7507" spans="1:37" x14ac:dyDescent="0.3">
      <c r="A7507">
        <v>7506</v>
      </c>
      <c r="B7507">
        <v>8.1</v>
      </c>
      <c r="C7507">
        <v>37.99521</v>
      </c>
      <c r="D7507">
        <v>-1.375081</v>
      </c>
      <c r="E7507" t="s">
        <v>11127</v>
      </c>
      <c r="F7507" t="s">
        <v>11128</v>
      </c>
      <c r="G7507" t="s">
        <v>37</v>
      </c>
      <c r="H7507">
        <v>1978</v>
      </c>
      <c r="I7507">
        <v>21.6</v>
      </c>
      <c r="J7507">
        <v>13.6</v>
      </c>
      <c r="K7507">
        <v>78</v>
      </c>
      <c r="L7507">
        <v>11.79993</v>
      </c>
      <c r="M7507">
        <v>30.4</v>
      </c>
      <c r="N7507">
        <v>13.1</v>
      </c>
      <c r="O7507">
        <v>17.3</v>
      </c>
      <c r="P7507">
        <v>22</v>
      </c>
      <c r="Q7507">
        <v>19.77148</v>
      </c>
      <c r="R7507">
        <v>22.9</v>
      </c>
      <c r="S7507">
        <v>19.77148</v>
      </c>
      <c r="T7507">
        <v>1064.5740000000001</v>
      </c>
      <c r="U7507">
        <v>327.42959999999999</v>
      </c>
      <c r="V7507">
        <v>2</v>
      </c>
      <c r="W7507">
        <v>110.7148</v>
      </c>
      <c r="X7507">
        <v>538.42960000000005</v>
      </c>
      <c r="Y7507">
        <v>15</v>
      </c>
      <c r="Z7507">
        <v>417.14440000000002</v>
      </c>
      <c r="AA7507">
        <v>15</v>
      </c>
      <c r="AB7507">
        <v>29.26953</v>
      </c>
      <c r="AC7507">
        <v>1.966354E-2</v>
      </c>
      <c r="AD7507">
        <v>3.9965069999999998</v>
      </c>
      <c r="AE7507">
        <v>0.71039779999999997</v>
      </c>
      <c r="AF7507">
        <v>1121.3869999999999</v>
      </c>
      <c r="AG7507">
        <f>IFERROR(AH7507*0.1, "N/A")</f>
        <v>5.4</v>
      </c>
      <c r="AH7507">
        <v>54</v>
      </c>
      <c r="AI7507">
        <v>297.40559999999999</v>
      </c>
      <c r="AJ7507">
        <v>38</v>
      </c>
      <c r="AK7507">
        <v>51</v>
      </c>
    </row>
    <row r="7508" spans="1:37" x14ac:dyDescent="0.3">
      <c r="A7508">
        <v>7507</v>
      </c>
      <c r="B7508">
        <v>1.6</v>
      </c>
      <c r="C7508">
        <v>37.99521</v>
      </c>
      <c r="D7508">
        <v>-1.375081</v>
      </c>
      <c r="E7508" t="s">
        <v>11127</v>
      </c>
      <c r="F7508" t="s">
        <v>11129</v>
      </c>
      <c r="G7508" t="s">
        <v>39</v>
      </c>
      <c r="H7508">
        <v>1978</v>
      </c>
      <c r="I7508">
        <v>21.6</v>
      </c>
      <c r="J7508">
        <v>13.6</v>
      </c>
      <c r="K7508">
        <v>78</v>
      </c>
      <c r="L7508">
        <v>11.79993</v>
      </c>
      <c r="M7508">
        <v>30.4</v>
      </c>
      <c r="N7508">
        <v>13.1</v>
      </c>
      <c r="O7508">
        <v>17.3</v>
      </c>
      <c r="P7508">
        <v>22</v>
      </c>
      <c r="Q7508">
        <v>19.77148</v>
      </c>
      <c r="R7508">
        <v>22.9</v>
      </c>
      <c r="S7508">
        <v>19.77148</v>
      </c>
      <c r="T7508">
        <v>1064.5740000000001</v>
      </c>
      <c r="U7508">
        <v>327.42959999999999</v>
      </c>
      <c r="V7508">
        <v>2</v>
      </c>
      <c r="W7508">
        <v>110.7148</v>
      </c>
      <c r="X7508">
        <v>538.42960000000005</v>
      </c>
      <c r="Y7508">
        <v>15</v>
      </c>
      <c r="Z7508">
        <v>417.14440000000002</v>
      </c>
      <c r="AA7508">
        <v>15</v>
      </c>
      <c r="AB7508">
        <v>29.26953</v>
      </c>
      <c r="AC7508">
        <v>1.966354E-2</v>
      </c>
      <c r="AD7508">
        <v>3.9965069999999998</v>
      </c>
      <c r="AE7508">
        <v>0.71039779999999997</v>
      </c>
      <c r="AF7508">
        <v>1121.3869999999999</v>
      </c>
      <c r="AG7508">
        <f>IFERROR(AH7508*0.1, "N/A")</f>
        <v>5.4</v>
      </c>
      <c r="AH7508">
        <v>54</v>
      </c>
      <c r="AI7508">
        <v>297.40559999999999</v>
      </c>
      <c r="AJ7508">
        <v>38</v>
      </c>
      <c r="AK7508">
        <v>51</v>
      </c>
    </row>
    <row r="7509" spans="1:37" x14ac:dyDescent="0.3">
      <c r="A7509">
        <v>7508</v>
      </c>
      <c r="B7509">
        <v>0</v>
      </c>
      <c r="C7509">
        <v>38.51784</v>
      </c>
      <c r="D7509">
        <v>-1.312972</v>
      </c>
      <c r="E7509" t="s">
        <v>11130</v>
      </c>
      <c r="F7509" t="s">
        <v>11131</v>
      </c>
      <c r="G7509" t="s">
        <v>37</v>
      </c>
      <c r="H7509">
        <v>1978</v>
      </c>
      <c r="I7509">
        <v>25.199120000000001</v>
      </c>
      <c r="J7509">
        <v>13.49912</v>
      </c>
      <c r="K7509">
        <v>77</v>
      </c>
      <c r="L7509">
        <v>12.26797</v>
      </c>
      <c r="M7509">
        <v>33.999119999999998</v>
      </c>
      <c r="N7509">
        <v>16.600000000000001</v>
      </c>
      <c r="O7509">
        <v>17.39912</v>
      </c>
      <c r="P7509">
        <v>25.699120000000001</v>
      </c>
      <c r="Q7509">
        <v>23.3</v>
      </c>
      <c r="R7509">
        <v>26.599119999999999</v>
      </c>
      <c r="S7509">
        <v>23.3</v>
      </c>
      <c r="T7509">
        <v>771.01760000000002</v>
      </c>
      <c r="U7509">
        <v>282.00880000000001</v>
      </c>
      <c r="V7509">
        <v>2</v>
      </c>
      <c r="W7509">
        <v>123</v>
      </c>
      <c r="X7509">
        <v>481.00880000000001</v>
      </c>
      <c r="Y7509">
        <v>7</v>
      </c>
      <c r="Z7509">
        <v>231.00880000000001</v>
      </c>
      <c r="AA7509">
        <v>7</v>
      </c>
      <c r="AB7509">
        <v>9.6694829999999996</v>
      </c>
      <c r="AC7509">
        <v>8.6210160000000004E-3</v>
      </c>
      <c r="AD7509">
        <v>1.66961</v>
      </c>
      <c r="AE7509">
        <v>0.65548530000000005</v>
      </c>
      <c r="AF7509">
        <v>493.18869999999998</v>
      </c>
      <c r="AG7509">
        <f>IFERROR(AH7509*0.1, "N/A")</f>
        <v>5.8765430000000007</v>
      </c>
      <c r="AH7509">
        <v>58.765430000000002</v>
      </c>
      <c r="AI7509">
        <v>193.3193</v>
      </c>
      <c r="AJ7509">
        <v>29.19577</v>
      </c>
      <c r="AK7509">
        <v>58.169310000000003</v>
      </c>
    </row>
    <row r="7510" spans="1:37" x14ac:dyDescent="0.3">
      <c r="A7510">
        <v>7509</v>
      </c>
      <c r="B7510">
        <v>0.8</v>
      </c>
      <c r="C7510">
        <v>38.51784</v>
      </c>
      <c r="D7510">
        <v>-1.312972</v>
      </c>
      <c r="E7510" t="s">
        <v>11130</v>
      </c>
      <c r="F7510" t="s">
        <v>11132</v>
      </c>
      <c r="G7510" t="s">
        <v>39</v>
      </c>
      <c r="H7510">
        <v>1978</v>
      </c>
      <c r="I7510">
        <v>25.199120000000001</v>
      </c>
      <c r="J7510">
        <v>13.49912</v>
      </c>
      <c r="K7510">
        <v>77</v>
      </c>
      <c r="L7510">
        <v>12.26797</v>
      </c>
      <c r="M7510">
        <v>33.999119999999998</v>
      </c>
      <c r="N7510">
        <v>16.600000000000001</v>
      </c>
      <c r="O7510">
        <v>17.39912</v>
      </c>
      <c r="P7510">
        <v>25.699120000000001</v>
      </c>
      <c r="Q7510">
        <v>23.3</v>
      </c>
      <c r="R7510">
        <v>26.599119999999999</v>
      </c>
      <c r="S7510">
        <v>23.3</v>
      </c>
      <c r="T7510">
        <v>771.01760000000002</v>
      </c>
      <c r="U7510">
        <v>282.00880000000001</v>
      </c>
      <c r="V7510">
        <v>2</v>
      </c>
      <c r="W7510">
        <v>123</v>
      </c>
      <c r="X7510">
        <v>481.00880000000001</v>
      </c>
      <c r="Y7510">
        <v>7</v>
      </c>
      <c r="Z7510">
        <v>231.00880000000001</v>
      </c>
      <c r="AA7510">
        <v>7</v>
      </c>
      <c r="AB7510">
        <v>9.6694829999999996</v>
      </c>
      <c r="AC7510">
        <v>8.6210160000000004E-3</v>
      </c>
      <c r="AD7510">
        <v>1.66961</v>
      </c>
      <c r="AE7510">
        <v>0.65548530000000005</v>
      </c>
      <c r="AF7510">
        <v>493.18869999999998</v>
      </c>
      <c r="AG7510">
        <f>IFERROR(AH7510*0.1, "N/A")</f>
        <v>5.8765430000000007</v>
      </c>
      <c r="AH7510">
        <v>58.765430000000002</v>
      </c>
      <c r="AI7510">
        <v>193.3193</v>
      </c>
      <c r="AJ7510">
        <v>29.19577</v>
      </c>
      <c r="AK7510">
        <v>58.169310000000003</v>
      </c>
    </row>
    <row r="7511" spans="1:37" x14ac:dyDescent="0.3">
      <c r="A7511">
        <v>7510</v>
      </c>
      <c r="B7511">
        <v>0.2</v>
      </c>
      <c r="C7511">
        <v>38.40043</v>
      </c>
      <c r="D7511">
        <v>-2.1873610000000001</v>
      </c>
      <c r="E7511" t="s">
        <v>11133</v>
      </c>
      <c r="F7511" t="s">
        <v>11134</v>
      </c>
      <c r="G7511" t="s">
        <v>37</v>
      </c>
      <c r="H7511">
        <v>1978</v>
      </c>
      <c r="I7511">
        <v>24.927589999999999</v>
      </c>
      <c r="J7511">
        <v>12.2</v>
      </c>
      <c r="K7511">
        <v>73.362039999999993</v>
      </c>
      <c r="L7511">
        <v>13.59207</v>
      </c>
      <c r="M7511">
        <v>33.427590000000002</v>
      </c>
      <c r="N7511">
        <v>16.963799999999999</v>
      </c>
      <c r="O7511">
        <v>16.463799999999999</v>
      </c>
      <c r="P7511">
        <v>25.363800000000001</v>
      </c>
      <c r="Q7511">
        <v>22.863800000000001</v>
      </c>
      <c r="R7511">
        <v>26.427589999999999</v>
      </c>
      <c r="S7511">
        <v>22.863800000000001</v>
      </c>
      <c r="T7511">
        <v>638.72410000000002</v>
      </c>
      <c r="U7511">
        <v>180.72409999999999</v>
      </c>
      <c r="V7511">
        <v>4</v>
      </c>
      <c r="W7511">
        <v>106.36199999999999</v>
      </c>
      <c r="X7511">
        <v>342.72410000000002</v>
      </c>
      <c r="Y7511">
        <v>14</v>
      </c>
      <c r="Z7511">
        <v>224.36199999999999</v>
      </c>
      <c r="AA7511">
        <v>14</v>
      </c>
      <c r="AB7511">
        <v>43.198410000000003</v>
      </c>
      <c r="AC7511">
        <v>8.5417559999999993E-3</v>
      </c>
      <c r="AD7511">
        <v>11.34258</v>
      </c>
      <c r="AE7511">
        <v>3.1952360000000002E-3</v>
      </c>
      <c r="AF7511">
        <v>568.70299999999997</v>
      </c>
      <c r="AG7511">
        <f>IFERROR(AH7511*0.1, "N/A")</f>
        <v>6</v>
      </c>
      <c r="AH7511">
        <v>60</v>
      </c>
      <c r="AI7511">
        <v>155.55019999999999</v>
      </c>
      <c r="AJ7511">
        <v>28.275919999999999</v>
      </c>
      <c r="AK7511">
        <v>57.724080000000001</v>
      </c>
    </row>
    <row r="7512" spans="1:37" x14ac:dyDescent="0.3">
      <c r="A7512">
        <v>7511</v>
      </c>
      <c r="B7512">
        <v>14.4</v>
      </c>
      <c r="C7512">
        <v>38.40043</v>
      </c>
      <c r="D7512">
        <v>-2.1873610000000001</v>
      </c>
      <c r="E7512" t="s">
        <v>11133</v>
      </c>
      <c r="F7512" t="s">
        <v>11135</v>
      </c>
      <c r="G7512" t="s">
        <v>39</v>
      </c>
      <c r="H7512">
        <v>1978</v>
      </c>
      <c r="I7512">
        <v>24.927589999999999</v>
      </c>
      <c r="J7512">
        <v>12.2</v>
      </c>
      <c r="K7512">
        <v>73.362039999999993</v>
      </c>
      <c r="L7512">
        <v>13.59207</v>
      </c>
      <c r="M7512">
        <v>33.427590000000002</v>
      </c>
      <c r="N7512">
        <v>16.963799999999999</v>
      </c>
      <c r="O7512">
        <v>16.463799999999999</v>
      </c>
      <c r="P7512">
        <v>25.363800000000001</v>
      </c>
      <c r="Q7512">
        <v>22.863800000000001</v>
      </c>
      <c r="R7512">
        <v>26.427589999999999</v>
      </c>
      <c r="S7512">
        <v>22.863800000000001</v>
      </c>
      <c r="T7512">
        <v>638.72410000000002</v>
      </c>
      <c r="U7512">
        <v>180.72409999999999</v>
      </c>
      <c r="V7512">
        <v>4</v>
      </c>
      <c r="W7512">
        <v>106.36199999999999</v>
      </c>
      <c r="X7512">
        <v>342.72410000000002</v>
      </c>
      <c r="Y7512">
        <v>14</v>
      </c>
      <c r="Z7512">
        <v>224.36199999999999</v>
      </c>
      <c r="AA7512">
        <v>14</v>
      </c>
      <c r="AB7512">
        <v>43.198410000000003</v>
      </c>
      <c r="AC7512">
        <v>8.5417559999999993E-3</v>
      </c>
      <c r="AD7512">
        <v>11.34258</v>
      </c>
      <c r="AE7512">
        <v>3.1952360000000002E-3</v>
      </c>
      <c r="AF7512">
        <v>568.70299999999997</v>
      </c>
      <c r="AG7512">
        <f>IFERROR(AH7512*0.1, "N/A")</f>
        <v>6</v>
      </c>
      <c r="AH7512">
        <v>60</v>
      </c>
      <c r="AI7512">
        <v>155.55019999999999</v>
      </c>
      <c r="AJ7512">
        <v>28.275919999999999</v>
      </c>
      <c r="AK7512">
        <v>57.724080000000001</v>
      </c>
    </row>
    <row r="7513" spans="1:37" x14ac:dyDescent="0.3">
      <c r="A7513">
        <v>7512</v>
      </c>
      <c r="B7513">
        <v>0</v>
      </c>
      <c r="C7513">
        <v>38.155380000000001</v>
      </c>
      <c r="D7513">
        <v>-0.78522800000000004</v>
      </c>
      <c r="E7513" t="s">
        <v>11136</v>
      </c>
      <c r="F7513" t="s">
        <v>11137</v>
      </c>
      <c r="G7513" t="s">
        <v>37</v>
      </c>
      <c r="H7513">
        <v>1978</v>
      </c>
      <c r="I7513">
        <v>22</v>
      </c>
      <c r="J7513">
        <v>15</v>
      </c>
      <c r="K7513">
        <v>79</v>
      </c>
      <c r="L7513">
        <v>11.71</v>
      </c>
      <c r="M7513">
        <v>31.6</v>
      </c>
      <c r="N7513">
        <v>12.7</v>
      </c>
      <c r="O7513">
        <v>18.899999999999999</v>
      </c>
      <c r="P7513">
        <v>22.6</v>
      </c>
      <c r="Q7513">
        <v>20.3</v>
      </c>
      <c r="R7513">
        <v>23.3</v>
      </c>
      <c r="S7513">
        <v>20.3</v>
      </c>
      <c r="T7513">
        <v>771</v>
      </c>
      <c r="U7513">
        <v>268</v>
      </c>
      <c r="V7513">
        <v>0</v>
      </c>
      <c r="W7513">
        <v>121</v>
      </c>
      <c r="X7513">
        <v>433</v>
      </c>
      <c r="Y7513">
        <v>3</v>
      </c>
      <c r="Z7513">
        <v>281</v>
      </c>
      <c r="AA7513">
        <v>3</v>
      </c>
      <c r="AB7513">
        <v>72.459779999999995</v>
      </c>
      <c r="AC7513">
        <v>3.2590420000000002E-2</v>
      </c>
      <c r="AD7513">
        <v>23.654969999999999</v>
      </c>
      <c r="AE7513">
        <v>0.4927706</v>
      </c>
      <c r="AF7513">
        <v>990</v>
      </c>
      <c r="AG7513">
        <f>IFERROR(AH7513*0.1, "N/A")</f>
        <v>5.9068779999999999</v>
      </c>
      <c r="AH7513">
        <v>59.068779999999997</v>
      </c>
      <c r="AI7513">
        <v>256.4633</v>
      </c>
      <c r="AJ7513">
        <v>32.790120000000002</v>
      </c>
      <c r="AK7513">
        <v>50.134039999999999</v>
      </c>
    </row>
    <row r="7514" spans="1:37" x14ac:dyDescent="0.3">
      <c r="A7514">
        <v>7513</v>
      </c>
      <c r="B7514">
        <v>0</v>
      </c>
      <c r="C7514">
        <v>38.155380000000001</v>
      </c>
      <c r="D7514">
        <v>-0.78522800000000004</v>
      </c>
      <c r="E7514" t="s">
        <v>11136</v>
      </c>
      <c r="F7514" t="s">
        <v>11138</v>
      </c>
      <c r="G7514" t="s">
        <v>39</v>
      </c>
      <c r="H7514">
        <v>1978</v>
      </c>
      <c r="I7514">
        <v>22</v>
      </c>
      <c r="J7514">
        <v>15</v>
      </c>
      <c r="K7514">
        <v>79</v>
      </c>
      <c r="L7514">
        <v>11.71</v>
      </c>
      <c r="M7514">
        <v>31.6</v>
      </c>
      <c r="N7514">
        <v>12.7</v>
      </c>
      <c r="O7514">
        <v>18.899999999999999</v>
      </c>
      <c r="P7514">
        <v>22.6</v>
      </c>
      <c r="Q7514">
        <v>20.3</v>
      </c>
      <c r="R7514">
        <v>23.3</v>
      </c>
      <c r="S7514">
        <v>20.3</v>
      </c>
      <c r="T7514">
        <v>771</v>
      </c>
      <c r="U7514">
        <v>268</v>
      </c>
      <c r="V7514">
        <v>0</v>
      </c>
      <c r="W7514">
        <v>121</v>
      </c>
      <c r="X7514">
        <v>433</v>
      </c>
      <c r="Y7514">
        <v>3</v>
      </c>
      <c r="Z7514">
        <v>281</v>
      </c>
      <c r="AA7514">
        <v>3</v>
      </c>
      <c r="AB7514">
        <v>72.459779999999995</v>
      </c>
      <c r="AC7514">
        <v>3.2590420000000002E-2</v>
      </c>
      <c r="AD7514">
        <v>23.654969999999999</v>
      </c>
      <c r="AE7514">
        <v>0.4927706</v>
      </c>
      <c r="AF7514">
        <v>990</v>
      </c>
      <c r="AG7514">
        <f>IFERROR(AH7514*0.1, "N/A")</f>
        <v>5.9068779999999999</v>
      </c>
      <c r="AH7514">
        <v>59.068779999999997</v>
      </c>
      <c r="AI7514">
        <v>256.4633</v>
      </c>
      <c r="AJ7514">
        <v>32.790120000000002</v>
      </c>
      <c r="AK7514">
        <v>50.134039999999999</v>
      </c>
    </row>
    <row r="7515" spans="1:37" x14ac:dyDescent="0.3">
      <c r="A7515">
        <v>7514</v>
      </c>
      <c r="B7515">
        <v>20</v>
      </c>
      <c r="C7515">
        <v>38.060499999999998</v>
      </c>
      <c r="D7515">
        <v>-0.93741099999999999</v>
      </c>
      <c r="E7515" t="s">
        <v>11139</v>
      </c>
      <c r="F7515" t="s">
        <v>11140</v>
      </c>
      <c r="G7515" t="s">
        <v>37</v>
      </c>
      <c r="H7515">
        <v>1978</v>
      </c>
      <c r="I7515">
        <v>21.8</v>
      </c>
      <c r="J7515">
        <v>14.9</v>
      </c>
      <c r="K7515">
        <v>80</v>
      </c>
      <c r="L7515">
        <v>11.41</v>
      </c>
      <c r="M7515">
        <v>31.3</v>
      </c>
      <c r="N7515">
        <v>12.7</v>
      </c>
      <c r="O7515">
        <v>18.600000000000001</v>
      </c>
      <c r="P7515">
        <v>22.3</v>
      </c>
      <c r="Q7515">
        <v>20.100000000000001</v>
      </c>
      <c r="R7515">
        <v>23</v>
      </c>
      <c r="S7515">
        <v>20.100000000000001</v>
      </c>
      <c r="T7515">
        <v>801</v>
      </c>
      <c r="U7515">
        <v>285</v>
      </c>
      <c r="V7515">
        <v>1</v>
      </c>
      <c r="W7515">
        <v>122</v>
      </c>
      <c r="X7515">
        <v>449</v>
      </c>
      <c r="Y7515">
        <v>5</v>
      </c>
      <c r="Z7515">
        <v>288</v>
      </c>
      <c r="AA7515">
        <v>5</v>
      </c>
      <c r="AB7515">
        <v>51.768909999999998</v>
      </c>
      <c r="AC7515">
        <v>2.113402E-2</v>
      </c>
      <c r="AD7515">
        <v>6.0585360000000001</v>
      </c>
      <c r="AE7515">
        <v>0.75888250000000002</v>
      </c>
      <c r="AF7515">
        <v>1013.417</v>
      </c>
      <c r="AG7515">
        <f>IFERROR(AH7515*0.1, "N/A")</f>
        <v>6.7629170000000007</v>
      </c>
      <c r="AH7515">
        <v>67.629170000000002</v>
      </c>
      <c r="AI7515">
        <v>258.29820000000001</v>
      </c>
      <c r="AJ7515">
        <v>31.314589999999999</v>
      </c>
      <c r="AK7515">
        <v>53</v>
      </c>
    </row>
    <row r="7516" spans="1:37" x14ac:dyDescent="0.3">
      <c r="A7516">
        <v>7515</v>
      </c>
      <c r="B7516">
        <v>0.4</v>
      </c>
      <c r="C7516">
        <v>38.060499999999998</v>
      </c>
      <c r="D7516">
        <v>-0.93741099999999999</v>
      </c>
      <c r="E7516" t="s">
        <v>11139</v>
      </c>
      <c r="F7516" t="s">
        <v>11141</v>
      </c>
      <c r="G7516" t="s">
        <v>39</v>
      </c>
      <c r="H7516">
        <v>1978</v>
      </c>
      <c r="I7516">
        <v>21.8</v>
      </c>
      <c r="J7516">
        <v>14.9</v>
      </c>
      <c r="K7516">
        <v>80</v>
      </c>
      <c r="L7516">
        <v>11.41</v>
      </c>
      <c r="M7516">
        <v>31.3</v>
      </c>
      <c r="N7516">
        <v>12.7</v>
      </c>
      <c r="O7516">
        <v>18.600000000000001</v>
      </c>
      <c r="P7516">
        <v>22.3</v>
      </c>
      <c r="Q7516">
        <v>20.100000000000001</v>
      </c>
      <c r="R7516">
        <v>23</v>
      </c>
      <c r="S7516">
        <v>20.100000000000001</v>
      </c>
      <c r="T7516">
        <v>801</v>
      </c>
      <c r="U7516">
        <v>285</v>
      </c>
      <c r="V7516">
        <v>1</v>
      </c>
      <c r="W7516">
        <v>122</v>
      </c>
      <c r="X7516">
        <v>449</v>
      </c>
      <c r="Y7516">
        <v>5</v>
      </c>
      <c r="Z7516">
        <v>288</v>
      </c>
      <c r="AA7516">
        <v>5</v>
      </c>
      <c r="AB7516">
        <v>51.768909999999998</v>
      </c>
      <c r="AC7516">
        <v>2.113402E-2</v>
      </c>
      <c r="AD7516">
        <v>6.0585360000000001</v>
      </c>
      <c r="AE7516">
        <v>0.75888250000000002</v>
      </c>
      <c r="AF7516">
        <v>1013.417</v>
      </c>
      <c r="AG7516">
        <f>IFERROR(AH7516*0.1, "N/A")</f>
        <v>6.7629170000000007</v>
      </c>
      <c r="AH7516">
        <v>67.629170000000002</v>
      </c>
      <c r="AI7516">
        <v>258.29820000000001</v>
      </c>
      <c r="AJ7516">
        <v>31.314589999999999</v>
      </c>
      <c r="AK7516">
        <v>53</v>
      </c>
    </row>
    <row r="7517" spans="1:37" x14ac:dyDescent="0.3">
      <c r="A7517">
        <v>7516</v>
      </c>
      <c r="B7517">
        <v>4.9000000000000004</v>
      </c>
      <c r="C7517">
        <v>34.766080000000002</v>
      </c>
      <c r="D7517">
        <v>-9.3038999999999997E-2</v>
      </c>
      <c r="E7517" t="s">
        <v>11142</v>
      </c>
      <c r="F7517" t="s">
        <v>11143</v>
      </c>
      <c r="G7517" t="s">
        <v>37</v>
      </c>
      <c r="H7517">
        <v>1971</v>
      </c>
      <c r="I7517">
        <v>22.8</v>
      </c>
      <c r="J7517">
        <v>13.9</v>
      </c>
      <c r="K7517">
        <v>85</v>
      </c>
      <c r="L7517">
        <v>6.4058630000000001</v>
      </c>
      <c r="M7517">
        <v>31.3</v>
      </c>
      <c r="N7517">
        <v>15</v>
      </c>
      <c r="O7517">
        <v>16.3</v>
      </c>
      <c r="P7517">
        <v>23</v>
      </c>
      <c r="Q7517">
        <v>21.8</v>
      </c>
      <c r="R7517">
        <v>23.5</v>
      </c>
      <c r="S7517">
        <v>21.8</v>
      </c>
      <c r="T7517">
        <v>1325.5329999999999</v>
      </c>
      <c r="U7517">
        <v>228.7201</v>
      </c>
      <c r="V7517">
        <v>62.093310000000002</v>
      </c>
      <c r="W7517">
        <v>42.906689999999998</v>
      </c>
      <c r="X7517">
        <v>548.5335</v>
      </c>
      <c r="Y7517">
        <v>225.1866</v>
      </c>
      <c r="Z7517">
        <v>317.9067</v>
      </c>
      <c r="AA7517">
        <v>225.1866</v>
      </c>
      <c r="AB7517">
        <v>32.038319999999999</v>
      </c>
      <c r="AC7517">
        <v>6.0542230000000002E-2</v>
      </c>
      <c r="AD7517">
        <v>2.3743069999999999</v>
      </c>
      <c r="AE7517">
        <v>0.72958520000000004</v>
      </c>
      <c r="AF7517">
        <v>1180.864</v>
      </c>
      <c r="AG7517">
        <f>IFERROR(AH7517*0.1, "N/A")</f>
        <v>6.7093310000000006</v>
      </c>
      <c r="AH7517">
        <v>67.093310000000002</v>
      </c>
      <c r="AI7517">
        <v>194.10159999999999</v>
      </c>
      <c r="AJ7517">
        <v>37.133800000000001</v>
      </c>
      <c r="AK7517">
        <v>37.052819999999997</v>
      </c>
    </row>
    <row r="7518" spans="1:37" x14ac:dyDescent="0.3">
      <c r="A7518">
        <v>7517</v>
      </c>
      <c r="B7518">
        <v>70</v>
      </c>
      <c r="C7518">
        <v>34.088200000000001</v>
      </c>
      <c r="D7518">
        <v>-6.0818999999999998E-2</v>
      </c>
      <c r="E7518" t="s">
        <v>11144</v>
      </c>
      <c r="F7518" t="s">
        <v>11145</v>
      </c>
      <c r="G7518" t="s">
        <v>37</v>
      </c>
      <c r="H7518">
        <v>2003</v>
      </c>
      <c r="I7518">
        <v>22.4</v>
      </c>
      <c r="J7518">
        <v>12.7</v>
      </c>
      <c r="K7518">
        <v>86</v>
      </c>
      <c r="L7518">
        <v>5.81</v>
      </c>
      <c r="M7518">
        <v>30.2</v>
      </c>
      <c r="N7518">
        <v>15.5</v>
      </c>
      <c r="O7518">
        <v>14.7</v>
      </c>
      <c r="P7518">
        <v>22.8</v>
      </c>
      <c r="Q7518">
        <v>21.6</v>
      </c>
      <c r="R7518">
        <v>23.2</v>
      </c>
      <c r="S7518">
        <v>21.6</v>
      </c>
      <c r="T7518">
        <v>931</v>
      </c>
      <c r="U7518">
        <v>160</v>
      </c>
      <c r="V7518">
        <v>36</v>
      </c>
      <c r="W7518">
        <v>49</v>
      </c>
      <c r="X7518">
        <v>399</v>
      </c>
      <c r="Y7518">
        <v>129</v>
      </c>
      <c r="Z7518">
        <v>215</v>
      </c>
      <c r="AA7518">
        <v>129</v>
      </c>
      <c r="AB7518">
        <v>25.42361</v>
      </c>
      <c r="AC7518">
        <v>1.3311730000000001E-2</v>
      </c>
      <c r="AD7518">
        <v>1.592886</v>
      </c>
      <c r="AE7518">
        <v>0.45598080000000002</v>
      </c>
      <c r="AF7518">
        <v>1160.3720000000001</v>
      </c>
      <c r="AG7518">
        <f>IFERROR(AH7518*0.1, "N/A")</f>
        <v>5.9246910000000002</v>
      </c>
      <c r="AH7518">
        <v>59.24691</v>
      </c>
      <c r="AI7518">
        <v>159.52099999999999</v>
      </c>
      <c r="AJ7518">
        <v>26.5291</v>
      </c>
      <c r="AK7518">
        <v>58.20635</v>
      </c>
    </row>
    <row r="7519" spans="1:37" x14ac:dyDescent="0.3">
      <c r="A7519">
        <v>7518</v>
      </c>
      <c r="B7519">
        <v>0</v>
      </c>
      <c r="C7519">
        <v>34.04186</v>
      </c>
      <c r="D7519">
        <v>4.6397000000000001E-2</v>
      </c>
      <c r="E7519" t="s">
        <v>11146</v>
      </c>
      <c r="F7519" t="s">
        <v>11147</v>
      </c>
      <c r="G7519" t="s">
        <v>37</v>
      </c>
      <c r="H7519">
        <v>1968</v>
      </c>
      <c r="I7519">
        <v>22.5</v>
      </c>
      <c r="J7519">
        <v>12.5</v>
      </c>
      <c r="K7519">
        <v>85</v>
      </c>
      <c r="L7519">
        <v>6.4332099999999999</v>
      </c>
      <c r="M7519">
        <v>30.2</v>
      </c>
      <c r="N7519">
        <v>15.6</v>
      </c>
      <c r="O7519">
        <v>14.6</v>
      </c>
      <c r="P7519">
        <v>22.9</v>
      </c>
      <c r="Q7519">
        <v>21.6</v>
      </c>
      <c r="R7519">
        <v>23.3</v>
      </c>
      <c r="S7519">
        <v>21.6</v>
      </c>
      <c r="T7519">
        <v>966.61019999999996</v>
      </c>
      <c r="U7519">
        <v>167</v>
      </c>
      <c r="V7519">
        <v>34</v>
      </c>
      <c r="W7519">
        <v>48</v>
      </c>
      <c r="X7519">
        <v>409.30509999999998</v>
      </c>
      <c r="Y7519">
        <v>132.69489999999999</v>
      </c>
      <c r="Z7519">
        <v>228.61019999999999</v>
      </c>
      <c r="AA7519">
        <v>132.69489999999999</v>
      </c>
      <c r="AB7519">
        <v>0.58265579999999995</v>
      </c>
      <c r="AC7519">
        <v>9.7647049999999993</v>
      </c>
      <c r="AD7519">
        <v>1.211136</v>
      </c>
      <c r="AE7519">
        <v>0.36290650000000002</v>
      </c>
      <c r="AF7519">
        <v>1142.1310000000001</v>
      </c>
      <c r="AG7519">
        <f>IFERROR(AH7519*0.1, "N/A")</f>
        <v>5.4278660000000007</v>
      </c>
      <c r="AH7519">
        <v>54.278660000000002</v>
      </c>
      <c r="AI7519">
        <v>270.7516</v>
      </c>
      <c r="AJ7519">
        <v>39.583770000000001</v>
      </c>
      <c r="AK7519">
        <v>43.79365</v>
      </c>
    </row>
    <row r="7520" spans="1:37" x14ac:dyDescent="0.3">
      <c r="A7520">
        <v>7519</v>
      </c>
      <c r="B7520">
        <v>0</v>
      </c>
      <c r="C7520">
        <v>34.04186</v>
      </c>
      <c r="D7520">
        <v>4.6397000000000001E-2</v>
      </c>
      <c r="E7520" t="s">
        <v>11146</v>
      </c>
      <c r="F7520" t="s">
        <v>11148</v>
      </c>
      <c r="G7520" t="s">
        <v>39</v>
      </c>
      <c r="H7520">
        <v>1968</v>
      </c>
      <c r="I7520">
        <v>22.5</v>
      </c>
      <c r="J7520">
        <v>12.5</v>
      </c>
      <c r="K7520">
        <v>85</v>
      </c>
      <c r="L7520">
        <v>6.4332099999999999</v>
      </c>
      <c r="M7520">
        <v>30.2</v>
      </c>
      <c r="N7520">
        <v>15.6</v>
      </c>
      <c r="O7520">
        <v>14.6</v>
      </c>
      <c r="P7520">
        <v>22.9</v>
      </c>
      <c r="Q7520">
        <v>21.6</v>
      </c>
      <c r="R7520">
        <v>23.3</v>
      </c>
      <c r="S7520">
        <v>21.6</v>
      </c>
      <c r="T7520">
        <v>966.61019999999996</v>
      </c>
      <c r="U7520">
        <v>167</v>
      </c>
      <c r="V7520">
        <v>34</v>
      </c>
      <c r="W7520">
        <v>48</v>
      </c>
      <c r="X7520">
        <v>409.30509999999998</v>
      </c>
      <c r="Y7520">
        <v>132.69489999999999</v>
      </c>
      <c r="Z7520">
        <v>228.61019999999999</v>
      </c>
      <c r="AA7520">
        <v>132.69489999999999</v>
      </c>
      <c r="AB7520">
        <v>0.58265579999999995</v>
      </c>
      <c r="AC7520">
        <v>9.7647049999999993</v>
      </c>
      <c r="AD7520">
        <v>1.211136</v>
      </c>
      <c r="AE7520">
        <v>0.36290650000000002</v>
      </c>
      <c r="AF7520">
        <v>1142.1310000000001</v>
      </c>
      <c r="AG7520">
        <f>IFERROR(AH7520*0.1, "N/A")</f>
        <v>5.4278660000000007</v>
      </c>
      <c r="AH7520">
        <v>54.278660000000002</v>
      </c>
      <c r="AI7520">
        <v>270.7516</v>
      </c>
      <c r="AJ7520">
        <v>39.583770000000001</v>
      </c>
      <c r="AK7520">
        <v>43.79365</v>
      </c>
    </row>
    <row r="7521" spans="1:37" x14ac:dyDescent="0.3">
      <c r="A7521">
        <v>7520</v>
      </c>
      <c r="B7521">
        <v>17.399999999999999</v>
      </c>
      <c r="C7521">
        <v>34.357990000000001</v>
      </c>
      <c r="D7521">
        <v>-0.301894</v>
      </c>
      <c r="E7521" t="s">
        <v>11149</v>
      </c>
      <c r="F7521" t="s">
        <v>11150</v>
      </c>
      <c r="G7521" t="s">
        <v>37</v>
      </c>
      <c r="H7521">
        <v>2008</v>
      </c>
      <c r="I7521">
        <v>22.4</v>
      </c>
      <c r="J7521">
        <v>13.6</v>
      </c>
      <c r="K7521">
        <v>86</v>
      </c>
      <c r="L7521">
        <v>6.4201059999999996</v>
      </c>
      <c r="M7521">
        <v>30.6</v>
      </c>
      <c r="N7521">
        <v>14.8</v>
      </c>
      <c r="O7521">
        <v>15.8</v>
      </c>
      <c r="P7521">
        <v>22.6</v>
      </c>
      <c r="Q7521">
        <v>21.40053</v>
      </c>
      <c r="R7521">
        <v>23.100529999999999</v>
      </c>
      <c r="S7521">
        <v>21.40053</v>
      </c>
      <c r="T7521">
        <v>1114.0160000000001</v>
      </c>
      <c r="U7521">
        <v>191.00530000000001</v>
      </c>
      <c r="V7521">
        <v>42</v>
      </c>
      <c r="W7521">
        <v>44.994729999999997</v>
      </c>
      <c r="X7521">
        <v>465.00529999999998</v>
      </c>
      <c r="Y7521">
        <v>191.01050000000001</v>
      </c>
      <c r="Z7521">
        <v>232</v>
      </c>
      <c r="AA7521">
        <v>191.01050000000001</v>
      </c>
      <c r="AB7521">
        <v>5.8293359999999996</v>
      </c>
      <c r="AC7521">
        <v>3.5557999999999999E-2</v>
      </c>
      <c r="AD7521">
        <v>2.2589160000000001</v>
      </c>
      <c r="AE7521">
        <v>0.73148519999999995</v>
      </c>
      <c r="AF7521">
        <v>1190.32</v>
      </c>
      <c r="AG7521">
        <f>IFERROR(AH7521*0.1, "N/A")</f>
        <v>7.1247800000000003</v>
      </c>
      <c r="AH7521">
        <v>71.247799999999998</v>
      </c>
      <c r="AI7521">
        <v>338.99650000000003</v>
      </c>
      <c r="AJ7521">
        <v>55.871699999999997</v>
      </c>
      <c r="AK7521">
        <v>28.128299999999999</v>
      </c>
    </row>
    <row r="7522" spans="1:37" x14ac:dyDescent="0.3">
      <c r="A7522">
        <v>7521</v>
      </c>
      <c r="B7522">
        <v>22</v>
      </c>
      <c r="C7522">
        <v>34.132399999999997</v>
      </c>
      <c r="D7522">
        <v>-6.0670000000000003E-3</v>
      </c>
      <c r="E7522" t="s">
        <v>11151</v>
      </c>
      <c r="F7522" t="s">
        <v>11152</v>
      </c>
      <c r="G7522" t="s">
        <v>37</v>
      </c>
      <c r="H7522">
        <v>2008</v>
      </c>
      <c r="I7522">
        <v>22.5</v>
      </c>
      <c r="J7522">
        <v>12.7</v>
      </c>
      <c r="K7522">
        <v>85</v>
      </c>
      <c r="L7522">
        <v>5.93</v>
      </c>
      <c r="M7522">
        <v>30.3</v>
      </c>
      <c r="N7522">
        <v>15.5</v>
      </c>
      <c r="O7522">
        <v>14.8</v>
      </c>
      <c r="P7522">
        <v>22.8</v>
      </c>
      <c r="Q7522">
        <v>21.6</v>
      </c>
      <c r="R7522">
        <v>23.2</v>
      </c>
      <c r="S7522">
        <v>21.6</v>
      </c>
      <c r="T7522">
        <v>977</v>
      </c>
      <c r="U7522">
        <v>166</v>
      </c>
      <c r="V7522">
        <v>39</v>
      </c>
      <c r="W7522">
        <v>46</v>
      </c>
      <c r="X7522">
        <v>409</v>
      </c>
      <c r="Y7522">
        <v>146</v>
      </c>
      <c r="Z7522">
        <v>218</v>
      </c>
      <c r="AA7522">
        <v>146</v>
      </c>
      <c r="AB7522">
        <v>3.949255</v>
      </c>
      <c r="AC7522">
        <v>0.55413590000000001</v>
      </c>
      <c r="AD7522">
        <v>3.249447</v>
      </c>
      <c r="AE7522">
        <v>0.60837850000000004</v>
      </c>
      <c r="AF7522">
        <v>1161.942</v>
      </c>
      <c r="AG7522">
        <f>IFERROR(AH7522*0.1, "N/A")</f>
        <v>6.3945420000000004</v>
      </c>
      <c r="AH7522">
        <v>63.945419999999999</v>
      </c>
      <c r="AI7522">
        <v>235.58330000000001</v>
      </c>
      <c r="AJ7522">
        <v>29.163730000000001</v>
      </c>
      <c r="AK7522">
        <v>53.945419999999999</v>
      </c>
    </row>
    <row r="7523" spans="1:37" x14ac:dyDescent="0.3">
      <c r="A7523">
        <v>7522</v>
      </c>
      <c r="B7523">
        <v>11.9</v>
      </c>
      <c r="C7523">
        <v>34.227899999999998</v>
      </c>
      <c r="D7523">
        <v>-1.0583E-2</v>
      </c>
      <c r="E7523" t="s">
        <v>11153</v>
      </c>
      <c r="F7523" t="s">
        <v>11154</v>
      </c>
      <c r="G7523" t="s">
        <v>37</v>
      </c>
      <c r="H7523">
        <v>2008</v>
      </c>
      <c r="I7523">
        <v>22.3</v>
      </c>
      <c r="J7523">
        <v>13.1</v>
      </c>
      <c r="K7523">
        <v>86</v>
      </c>
      <c r="L7523">
        <v>6.13</v>
      </c>
      <c r="M7523">
        <v>30.3</v>
      </c>
      <c r="N7523">
        <v>15.1</v>
      </c>
      <c r="O7523">
        <v>15.2</v>
      </c>
      <c r="P7523">
        <v>22.5</v>
      </c>
      <c r="Q7523">
        <v>22.8</v>
      </c>
      <c r="R7523">
        <v>23</v>
      </c>
      <c r="S7523">
        <v>21.4</v>
      </c>
      <c r="T7523">
        <v>1131</v>
      </c>
      <c r="U7523">
        <v>184</v>
      </c>
      <c r="V7523">
        <v>42</v>
      </c>
      <c r="W7523">
        <v>41</v>
      </c>
      <c r="X7523">
        <v>448</v>
      </c>
      <c r="Y7523">
        <v>195</v>
      </c>
      <c r="Z7523">
        <v>223</v>
      </c>
      <c r="AA7523">
        <v>198</v>
      </c>
      <c r="AB7523">
        <v>30.305579999999999</v>
      </c>
      <c r="AC7523">
        <v>1.1617860000000001E-2</v>
      </c>
      <c r="AD7523">
        <v>1.5902179999999999</v>
      </c>
      <c r="AE7523">
        <v>0.2845184</v>
      </c>
      <c r="AF7523">
        <v>1201.7449999999999</v>
      </c>
      <c r="AG7523">
        <f>IFERROR(AH7523*0.1, "N/A")</f>
        <v>5.6000000000000005</v>
      </c>
      <c r="AH7523">
        <v>56</v>
      </c>
      <c r="AI7523">
        <v>199.1097</v>
      </c>
      <c r="AJ7523">
        <v>36</v>
      </c>
      <c r="AK7523">
        <v>45</v>
      </c>
    </row>
    <row r="7524" spans="1:37" x14ac:dyDescent="0.3">
      <c r="A7524">
        <v>7523</v>
      </c>
      <c r="B7524">
        <v>29.7</v>
      </c>
      <c r="C7524">
        <v>34.116999999999997</v>
      </c>
      <c r="D7524">
        <v>-1.44E-2</v>
      </c>
      <c r="E7524" t="s">
        <v>11155</v>
      </c>
      <c r="F7524" t="s">
        <v>11156</v>
      </c>
      <c r="G7524" t="s">
        <v>37</v>
      </c>
      <c r="H7524">
        <v>2008</v>
      </c>
      <c r="I7524">
        <v>22.300529999999998</v>
      </c>
      <c r="J7524">
        <v>12.799469999999999</v>
      </c>
      <c r="K7524">
        <v>85</v>
      </c>
      <c r="L7524">
        <v>5.9805809999999999</v>
      </c>
      <c r="M7524">
        <v>30.100529999999999</v>
      </c>
      <c r="N7524">
        <v>15.200530000000001</v>
      </c>
      <c r="O7524">
        <v>14.9</v>
      </c>
      <c r="P7524">
        <v>22.501059999999999</v>
      </c>
      <c r="Q7524">
        <v>21.5</v>
      </c>
      <c r="R7524">
        <v>23.000530000000001</v>
      </c>
      <c r="S7524">
        <v>21.5</v>
      </c>
      <c r="T7524">
        <v>992.91020000000003</v>
      </c>
      <c r="U7524">
        <v>168.98419999999999</v>
      </c>
      <c r="V7524">
        <v>39.989440000000002</v>
      </c>
      <c r="W7524">
        <v>47</v>
      </c>
      <c r="X7524">
        <v>416.9683</v>
      </c>
      <c r="Y7524">
        <v>146.97890000000001</v>
      </c>
      <c r="Z7524">
        <v>220.99469999999999</v>
      </c>
      <c r="AA7524">
        <v>146.97890000000001</v>
      </c>
      <c r="AB7524">
        <v>23.006180000000001</v>
      </c>
      <c r="AC7524">
        <v>8.5478570000000007E-3</v>
      </c>
      <c r="AD7524">
        <v>1.930957</v>
      </c>
      <c r="AE7524">
        <v>0.38156509999999999</v>
      </c>
      <c r="AF7524">
        <v>1198.077</v>
      </c>
      <c r="AG7524">
        <f>IFERROR(AH7524*0.1, "N/A")</f>
        <v>6.1005280000000006</v>
      </c>
      <c r="AH7524">
        <v>61.005279999999999</v>
      </c>
      <c r="AI7524">
        <v>80.342579999999998</v>
      </c>
      <c r="AJ7524">
        <v>25</v>
      </c>
      <c r="AK7524">
        <v>57.010559999999998</v>
      </c>
    </row>
    <row r="7525" spans="1:37" x14ac:dyDescent="0.3">
      <c r="A7525">
        <v>7524</v>
      </c>
      <c r="B7525">
        <v>14.3</v>
      </c>
      <c r="C7525">
        <v>34.155700000000003</v>
      </c>
      <c r="D7525">
        <v>-1.4617E-2</v>
      </c>
      <c r="E7525" t="s">
        <v>11157</v>
      </c>
      <c r="F7525" t="s">
        <v>11158</v>
      </c>
      <c r="G7525" t="s">
        <v>37</v>
      </c>
      <c r="H7525">
        <v>2008</v>
      </c>
      <c r="I7525">
        <v>22.3</v>
      </c>
      <c r="J7525">
        <v>12.9</v>
      </c>
      <c r="K7525">
        <v>85</v>
      </c>
      <c r="L7525">
        <v>6.42</v>
      </c>
      <c r="M7525">
        <v>30.3</v>
      </c>
      <c r="N7525">
        <v>15.2</v>
      </c>
      <c r="O7525">
        <v>15.1</v>
      </c>
      <c r="P7525">
        <v>22.6</v>
      </c>
      <c r="Q7525">
        <v>21.4</v>
      </c>
      <c r="R7525">
        <v>23.1</v>
      </c>
      <c r="S7525">
        <v>21.4</v>
      </c>
      <c r="T7525">
        <v>1017</v>
      </c>
      <c r="U7525">
        <v>171</v>
      </c>
      <c r="V7525">
        <v>42</v>
      </c>
      <c r="W7525">
        <v>45</v>
      </c>
      <c r="X7525">
        <v>420</v>
      </c>
      <c r="Y7525">
        <v>158</v>
      </c>
      <c r="Z7525">
        <v>220</v>
      </c>
      <c r="AA7525">
        <v>158</v>
      </c>
      <c r="AB7525">
        <v>39.601579999999998</v>
      </c>
      <c r="AC7525">
        <v>8.5478570000000007E-3</v>
      </c>
      <c r="AD7525">
        <v>2.3893230000000001</v>
      </c>
      <c r="AE7525">
        <v>0.49778430000000001</v>
      </c>
      <c r="AF7525">
        <v>1189.8679999999999</v>
      </c>
      <c r="AG7525">
        <f>IFERROR(AH7525*0.1, "N/A")</f>
        <v>6.2966550000000003</v>
      </c>
      <c r="AH7525">
        <v>62.966549999999998</v>
      </c>
      <c r="AI7525">
        <v>190.8245</v>
      </c>
      <c r="AJ7525">
        <v>26.033449999999998</v>
      </c>
      <c r="AK7525">
        <v>59.933100000000003</v>
      </c>
    </row>
    <row r="7526" spans="1:37" x14ac:dyDescent="0.3">
      <c r="A7526">
        <v>7525</v>
      </c>
      <c r="B7526">
        <v>18.8</v>
      </c>
      <c r="C7526">
        <v>34.1509</v>
      </c>
      <c r="D7526">
        <v>-2.5283E-2</v>
      </c>
      <c r="E7526" t="s">
        <v>11159</v>
      </c>
      <c r="F7526" t="s">
        <v>11160</v>
      </c>
      <c r="G7526" t="s">
        <v>37</v>
      </c>
      <c r="H7526">
        <v>2008</v>
      </c>
      <c r="I7526">
        <v>22.4</v>
      </c>
      <c r="J7526">
        <v>12.8</v>
      </c>
      <c r="K7526">
        <v>84.452460000000002</v>
      </c>
      <c r="L7526">
        <v>6.1518660000000001</v>
      </c>
      <c r="M7526">
        <v>30.354749999999999</v>
      </c>
      <c r="N7526">
        <v>15.3</v>
      </c>
      <c r="O7526">
        <v>15.05475</v>
      </c>
      <c r="P7526">
        <v>22.657219999999999</v>
      </c>
      <c r="Q7526">
        <v>21.554749999999999</v>
      </c>
      <c r="R7526">
        <v>23.15475</v>
      </c>
      <c r="S7526">
        <v>21.554749999999999</v>
      </c>
      <c r="T7526">
        <v>991.32749999999999</v>
      </c>
      <c r="U7526">
        <v>166.85390000000001</v>
      </c>
      <c r="V7526">
        <v>41</v>
      </c>
      <c r="W7526">
        <v>45.075699999999998</v>
      </c>
      <c r="X7526">
        <v>411.13560000000001</v>
      </c>
      <c r="Y7526">
        <v>152.85740000000001</v>
      </c>
      <c r="Z7526">
        <v>215.85390000000001</v>
      </c>
      <c r="AA7526">
        <v>152.85740000000001</v>
      </c>
      <c r="AB7526">
        <v>6.8493219999999999</v>
      </c>
      <c r="AC7526">
        <v>0.14969279999999999</v>
      </c>
      <c r="AD7526">
        <v>2.6767910000000001</v>
      </c>
      <c r="AE7526">
        <v>0.49506689999999998</v>
      </c>
      <c r="AF7526">
        <v>1169.8589999999999</v>
      </c>
      <c r="AG7526">
        <f>IFERROR(AH7526*0.1, "N/A")</f>
        <v>6.0082750000000003</v>
      </c>
      <c r="AH7526">
        <v>60.082749999999997</v>
      </c>
      <c r="AI7526">
        <v>229.06489999999999</v>
      </c>
      <c r="AJ7526">
        <v>27.848590000000002</v>
      </c>
      <c r="AK7526">
        <v>58.158450000000002</v>
      </c>
    </row>
    <row r="7527" spans="1:37" x14ac:dyDescent="0.3">
      <c r="A7527">
        <v>7526</v>
      </c>
      <c r="B7527">
        <v>9.6999999999999993</v>
      </c>
      <c r="C7527">
        <v>34.188200000000002</v>
      </c>
      <c r="D7527">
        <v>-2.9899999999999999E-2</v>
      </c>
      <c r="E7527" t="s">
        <v>11161</v>
      </c>
      <c r="F7527" t="s">
        <v>11162</v>
      </c>
      <c r="G7527" t="s">
        <v>37</v>
      </c>
      <c r="H7527">
        <v>2008</v>
      </c>
      <c r="I7527">
        <v>22.5</v>
      </c>
      <c r="J7527">
        <v>12.9</v>
      </c>
      <c r="K7527">
        <v>86</v>
      </c>
      <c r="L7527">
        <v>6.08</v>
      </c>
      <c r="M7527">
        <v>30.4</v>
      </c>
      <c r="N7527">
        <v>15.4</v>
      </c>
      <c r="O7527">
        <v>15</v>
      </c>
      <c r="P7527">
        <v>22.8</v>
      </c>
      <c r="Q7527">
        <v>21.6</v>
      </c>
      <c r="R7527">
        <v>23.2</v>
      </c>
      <c r="S7527">
        <v>21.6</v>
      </c>
      <c r="T7527">
        <v>1018</v>
      </c>
      <c r="U7527">
        <v>170</v>
      </c>
      <c r="V7527">
        <v>41</v>
      </c>
      <c r="W7527">
        <v>44</v>
      </c>
      <c r="X7527">
        <v>417</v>
      </c>
      <c r="Y7527">
        <v>164</v>
      </c>
      <c r="Z7527">
        <v>216</v>
      </c>
      <c r="AA7527">
        <v>164</v>
      </c>
      <c r="AB7527">
        <v>6.0087820000000001</v>
      </c>
      <c r="AC7527">
        <v>0.34730719999999998</v>
      </c>
      <c r="AD7527">
        <v>2.540349</v>
      </c>
      <c r="AE7527">
        <v>0.3554657</v>
      </c>
      <c r="AF7527">
        <v>1163.779</v>
      </c>
      <c r="AG7527">
        <f>IFERROR(AH7527*0.1, "N/A")</f>
        <v>6.2</v>
      </c>
      <c r="AH7527">
        <v>62</v>
      </c>
      <c r="AI7527">
        <v>246.06720000000001</v>
      </c>
      <c r="AJ7527">
        <v>27.488579999999999</v>
      </c>
      <c r="AK7527">
        <v>58.418280000000003</v>
      </c>
    </row>
    <row r="7528" spans="1:37" x14ac:dyDescent="0.3">
      <c r="A7528">
        <v>7527</v>
      </c>
      <c r="B7528">
        <v>46.6</v>
      </c>
      <c r="C7528">
        <v>40.456200000000003</v>
      </c>
      <c r="D7528">
        <v>-3.048E-2</v>
      </c>
      <c r="E7528" t="s">
        <v>11163</v>
      </c>
      <c r="F7528" t="s">
        <v>11164</v>
      </c>
      <c r="G7528" t="s">
        <v>39</v>
      </c>
      <c r="H7528">
        <v>1978</v>
      </c>
      <c r="I7528">
        <v>28.5</v>
      </c>
      <c r="J7528">
        <v>12.1</v>
      </c>
      <c r="K7528">
        <v>74</v>
      </c>
      <c r="L7528">
        <v>12.56</v>
      </c>
      <c r="M7528">
        <v>37.1</v>
      </c>
      <c r="N7528">
        <v>20.8</v>
      </c>
      <c r="O7528">
        <v>16.3</v>
      </c>
      <c r="P7528">
        <v>29.6</v>
      </c>
      <c r="Q7528">
        <v>26.9</v>
      </c>
      <c r="R7528">
        <v>30</v>
      </c>
      <c r="S7528">
        <v>26.7</v>
      </c>
      <c r="T7528">
        <v>351</v>
      </c>
      <c r="U7528">
        <v>90</v>
      </c>
      <c r="V7528">
        <v>5</v>
      </c>
      <c r="W7528">
        <v>89</v>
      </c>
      <c r="X7528">
        <v>154</v>
      </c>
      <c r="Y7528">
        <v>26</v>
      </c>
      <c r="Z7528">
        <v>126</v>
      </c>
      <c r="AA7528">
        <v>28</v>
      </c>
      <c r="AB7528">
        <v>0.3388388</v>
      </c>
      <c r="AC7528">
        <v>0.17055149999999999</v>
      </c>
      <c r="AD7528">
        <v>1.0782940000000001</v>
      </c>
      <c r="AE7528">
        <v>0.3632534</v>
      </c>
      <c r="AF7528">
        <v>121.9104</v>
      </c>
      <c r="AG7528">
        <f>IFERROR(AH7528*0.1, "N/A")</f>
        <v>7.1000000000000005</v>
      </c>
      <c r="AH7528">
        <v>71</v>
      </c>
      <c r="AI7528">
        <v>144.28280000000001</v>
      </c>
      <c r="AJ7528">
        <v>33.242530000000002</v>
      </c>
      <c r="AK7528">
        <v>47.525480000000002</v>
      </c>
    </row>
    <row r="7529" spans="1:37" x14ac:dyDescent="0.3">
      <c r="A7529">
        <v>7528</v>
      </c>
      <c r="B7529">
        <v>4.9000000000000004</v>
      </c>
      <c r="C7529">
        <v>34.598999999999997</v>
      </c>
      <c r="D7529">
        <v>-3.2000000000000001E-2</v>
      </c>
      <c r="E7529" t="s">
        <v>11165</v>
      </c>
      <c r="F7529" t="s">
        <v>11166</v>
      </c>
      <c r="G7529" t="s">
        <v>37</v>
      </c>
      <c r="H7529">
        <v>2003</v>
      </c>
      <c r="I7529">
        <v>21.4</v>
      </c>
      <c r="J7529">
        <v>14.5</v>
      </c>
      <c r="K7529">
        <v>86</v>
      </c>
      <c r="L7529">
        <v>6.62</v>
      </c>
      <c r="M7529">
        <v>30.2</v>
      </c>
      <c r="N7529">
        <v>13.4</v>
      </c>
      <c r="O7529">
        <v>16.8</v>
      </c>
      <c r="P7529">
        <v>21.7</v>
      </c>
      <c r="Q7529">
        <v>22</v>
      </c>
      <c r="R7529">
        <v>22.2</v>
      </c>
      <c r="S7529">
        <v>20.399999999999999</v>
      </c>
      <c r="T7529">
        <v>1603</v>
      </c>
      <c r="U7529">
        <v>258</v>
      </c>
      <c r="V7529">
        <v>62</v>
      </c>
      <c r="W7529">
        <v>39</v>
      </c>
      <c r="X7529">
        <v>621</v>
      </c>
      <c r="Y7529">
        <v>267</v>
      </c>
      <c r="Z7529">
        <v>306</v>
      </c>
      <c r="AA7529">
        <v>323</v>
      </c>
      <c r="AB7529">
        <v>8.234693</v>
      </c>
      <c r="AC7529">
        <v>1.2631410000000001</v>
      </c>
      <c r="AD7529">
        <v>3.9281600000000001</v>
      </c>
      <c r="AE7529">
        <v>0.70987900000000004</v>
      </c>
      <c r="AF7529">
        <v>1387.213</v>
      </c>
      <c r="AG7529">
        <f>IFERROR(AH7529*0.1, "N/A")</f>
        <v>5.3000000000000007</v>
      </c>
      <c r="AH7529">
        <v>53</v>
      </c>
      <c r="AI7529">
        <v>262.791</v>
      </c>
      <c r="AJ7529">
        <v>43</v>
      </c>
      <c r="AK7529">
        <v>37</v>
      </c>
    </row>
    <row r="7530" spans="1:37" x14ac:dyDescent="0.3">
      <c r="A7530">
        <v>7529</v>
      </c>
      <c r="B7530">
        <v>0</v>
      </c>
      <c r="C7530">
        <v>34.598999999999997</v>
      </c>
      <c r="D7530">
        <v>-3.2000000000000001E-2</v>
      </c>
      <c r="E7530" t="s">
        <v>11165</v>
      </c>
      <c r="F7530" t="s">
        <v>11167</v>
      </c>
      <c r="G7530" t="s">
        <v>39</v>
      </c>
      <c r="H7530">
        <v>2003</v>
      </c>
      <c r="I7530">
        <v>21.4</v>
      </c>
      <c r="J7530">
        <v>14.5</v>
      </c>
      <c r="K7530">
        <v>86</v>
      </c>
      <c r="L7530">
        <v>6.62</v>
      </c>
      <c r="M7530">
        <v>30.2</v>
      </c>
      <c r="N7530">
        <v>13.4</v>
      </c>
      <c r="O7530">
        <v>16.8</v>
      </c>
      <c r="P7530">
        <v>21.7</v>
      </c>
      <c r="Q7530">
        <v>22</v>
      </c>
      <c r="R7530">
        <v>22.2</v>
      </c>
      <c r="S7530">
        <v>20.399999999999999</v>
      </c>
      <c r="T7530">
        <v>1603</v>
      </c>
      <c r="U7530">
        <v>258</v>
      </c>
      <c r="V7530">
        <v>62</v>
      </c>
      <c r="W7530">
        <v>39</v>
      </c>
      <c r="X7530">
        <v>621</v>
      </c>
      <c r="Y7530">
        <v>267</v>
      </c>
      <c r="Z7530">
        <v>306</v>
      </c>
      <c r="AA7530">
        <v>323</v>
      </c>
      <c r="AB7530">
        <v>8.234693</v>
      </c>
      <c r="AC7530">
        <v>1.2631410000000001</v>
      </c>
      <c r="AD7530">
        <v>3.9281600000000001</v>
      </c>
      <c r="AE7530">
        <v>0.70987900000000004</v>
      </c>
      <c r="AF7530">
        <v>1387.213</v>
      </c>
      <c r="AG7530">
        <f>IFERROR(AH7530*0.1, "N/A")</f>
        <v>5.3000000000000007</v>
      </c>
      <c r="AH7530">
        <v>53</v>
      </c>
      <c r="AI7530">
        <v>262.791</v>
      </c>
      <c r="AJ7530">
        <v>43</v>
      </c>
      <c r="AK7530">
        <v>37</v>
      </c>
    </row>
    <row r="7531" spans="1:37" x14ac:dyDescent="0.3">
      <c r="A7531">
        <v>7530</v>
      </c>
      <c r="B7531">
        <v>7.7</v>
      </c>
      <c r="C7531">
        <v>34.343600000000002</v>
      </c>
      <c r="D7531">
        <v>-3.6999999999999998E-2</v>
      </c>
      <c r="E7531" t="s">
        <v>11168</v>
      </c>
      <c r="F7531" t="s">
        <v>11169</v>
      </c>
      <c r="G7531" t="s">
        <v>37</v>
      </c>
      <c r="H7531">
        <v>2008</v>
      </c>
      <c r="I7531">
        <v>22.2</v>
      </c>
      <c r="J7531">
        <v>13.4</v>
      </c>
      <c r="K7531">
        <v>85</v>
      </c>
      <c r="L7531">
        <v>6.22</v>
      </c>
      <c r="M7531">
        <v>30.4</v>
      </c>
      <c r="N7531">
        <v>14.7</v>
      </c>
      <c r="O7531">
        <v>15.7</v>
      </c>
      <c r="P7531">
        <v>22.4</v>
      </c>
      <c r="Q7531">
        <v>22.7</v>
      </c>
      <c r="R7531">
        <v>22.9</v>
      </c>
      <c r="S7531">
        <v>21.3</v>
      </c>
      <c r="T7531">
        <v>1372</v>
      </c>
      <c r="U7531">
        <v>229</v>
      </c>
      <c r="V7531">
        <v>49</v>
      </c>
      <c r="W7531">
        <v>42</v>
      </c>
      <c r="X7531">
        <v>552</v>
      </c>
      <c r="Y7531">
        <v>214</v>
      </c>
      <c r="Z7531">
        <v>254</v>
      </c>
      <c r="AA7531">
        <v>263</v>
      </c>
      <c r="AB7531">
        <v>69.286590000000004</v>
      </c>
      <c r="AC7531">
        <v>1.8477790000000001E-2</v>
      </c>
      <c r="AD7531">
        <v>4.8831910000000001</v>
      </c>
      <c r="AE7531">
        <v>0.7455927</v>
      </c>
      <c r="AF7531">
        <v>1262.2650000000001</v>
      </c>
      <c r="AG7531">
        <f>IFERROR(AH7531*0.1, "N/A")</f>
        <v>5.5604570000000004</v>
      </c>
      <c r="AH7531">
        <v>55.604570000000002</v>
      </c>
      <c r="AI7531">
        <v>320.44349999999997</v>
      </c>
      <c r="AJ7531">
        <v>38.395429999999998</v>
      </c>
      <c r="AK7531">
        <v>42.604570000000002</v>
      </c>
    </row>
    <row r="7532" spans="1:37" x14ac:dyDescent="0.3">
      <c r="A7532">
        <v>7531</v>
      </c>
      <c r="B7532">
        <v>10.5</v>
      </c>
      <c r="C7532">
        <v>34.314100000000003</v>
      </c>
      <c r="D7532">
        <v>-4.5117999999999998E-2</v>
      </c>
      <c r="E7532" t="s">
        <v>11170</v>
      </c>
      <c r="F7532" t="s">
        <v>11171</v>
      </c>
      <c r="G7532" t="s">
        <v>37</v>
      </c>
      <c r="H7532">
        <v>2008</v>
      </c>
      <c r="I7532">
        <v>22</v>
      </c>
      <c r="J7532">
        <v>13.4</v>
      </c>
      <c r="K7532">
        <v>85</v>
      </c>
      <c r="L7532">
        <v>6.46</v>
      </c>
      <c r="M7532">
        <v>30.3</v>
      </c>
      <c r="N7532">
        <v>14.6</v>
      </c>
      <c r="O7532">
        <v>15.7</v>
      </c>
      <c r="P7532">
        <v>22.3</v>
      </c>
      <c r="Q7532">
        <v>22.6</v>
      </c>
      <c r="R7532">
        <v>22.8</v>
      </c>
      <c r="S7532">
        <v>21.1</v>
      </c>
      <c r="T7532">
        <v>1339</v>
      </c>
      <c r="U7532">
        <v>222</v>
      </c>
      <c r="V7532">
        <v>48</v>
      </c>
      <c r="W7532">
        <v>42</v>
      </c>
      <c r="X7532">
        <v>537</v>
      </c>
      <c r="Y7532">
        <v>213</v>
      </c>
      <c r="Z7532">
        <v>250</v>
      </c>
      <c r="AA7532">
        <v>253</v>
      </c>
      <c r="AB7532">
        <v>66.563280000000006</v>
      </c>
      <c r="AC7532">
        <v>1.0839339999999999E-2</v>
      </c>
      <c r="AD7532">
        <v>3.4232130000000001</v>
      </c>
      <c r="AE7532">
        <v>0.73710189999999998</v>
      </c>
      <c r="AF7532">
        <v>1262.991</v>
      </c>
      <c r="AG7532">
        <f>IFERROR(AH7532*0.1, "N/A")</f>
        <v>5.4405640000000002</v>
      </c>
      <c r="AH7532">
        <v>54.405639999999998</v>
      </c>
      <c r="AI7532">
        <v>337.16980000000001</v>
      </c>
      <c r="AJ7532">
        <v>39.121690000000001</v>
      </c>
      <c r="AK7532">
        <v>42.814810000000001</v>
      </c>
    </row>
    <row r="7533" spans="1:37" x14ac:dyDescent="0.3">
      <c r="A7533">
        <v>7532</v>
      </c>
      <c r="B7533">
        <v>30.2</v>
      </c>
      <c r="C7533">
        <v>34.1753</v>
      </c>
      <c r="D7533">
        <v>-4.7417000000000001E-2</v>
      </c>
      <c r="E7533" t="s">
        <v>11172</v>
      </c>
      <c r="F7533" t="s">
        <v>11173</v>
      </c>
      <c r="G7533" t="s">
        <v>37</v>
      </c>
      <c r="H7533">
        <v>2008</v>
      </c>
      <c r="I7533">
        <v>22.1</v>
      </c>
      <c r="J7533">
        <v>13</v>
      </c>
      <c r="K7533">
        <v>85.026359999999997</v>
      </c>
      <c r="L7533">
        <v>6.2639370000000003</v>
      </c>
      <c r="M7533">
        <v>30.1</v>
      </c>
      <c r="N7533">
        <v>14.90264</v>
      </c>
      <c r="O7533">
        <v>15.19736</v>
      </c>
      <c r="P7533">
        <v>22.30264</v>
      </c>
      <c r="Q7533">
        <v>21.202639999999999</v>
      </c>
      <c r="R7533">
        <v>22.9</v>
      </c>
      <c r="S7533">
        <v>21.202639999999999</v>
      </c>
      <c r="T7533">
        <v>1071.3150000000001</v>
      </c>
      <c r="U7533">
        <v>177.92089999999999</v>
      </c>
      <c r="V7533">
        <v>41.973640000000003</v>
      </c>
      <c r="W7533">
        <v>44</v>
      </c>
      <c r="X7533">
        <v>438.78910000000002</v>
      </c>
      <c r="Y7533">
        <v>173.81549999999999</v>
      </c>
      <c r="Z7533">
        <v>222.92089999999999</v>
      </c>
      <c r="AA7533">
        <v>173.81549999999999</v>
      </c>
      <c r="AB7533">
        <v>54.645879999999998</v>
      </c>
      <c r="AC7533">
        <v>8.6680349999999993E-3</v>
      </c>
      <c r="AD7533">
        <v>1.7043250000000001</v>
      </c>
      <c r="AE7533">
        <v>0.35472939999999997</v>
      </c>
      <c r="AF7533">
        <v>1237.4639999999999</v>
      </c>
      <c r="AG7533">
        <f>IFERROR(AH7533*0.1, "N/A")</f>
        <v>6.006151</v>
      </c>
      <c r="AH7533">
        <v>60.061509999999998</v>
      </c>
      <c r="AI7533">
        <v>79.107910000000004</v>
      </c>
      <c r="AJ7533">
        <v>30.97364</v>
      </c>
      <c r="AK7533">
        <v>51</v>
      </c>
    </row>
    <row r="7534" spans="1:37" x14ac:dyDescent="0.3">
      <c r="A7534">
        <v>7533</v>
      </c>
      <c r="B7534">
        <v>14.8</v>
      </c>
      <c r="C7534">
        <v>34.207000000000001</v>
      </c>
      <c r="D7534">
        <v>-4.7879999999999999E-2</v>
      </c>
      <c r="E7534" t="s">
        <v>11174</v>
      </c>
      <c r="F7534" t="s">
        <v>11175</v>
      </c>
      <c r="G7534" t="s">
        <v>37</v>
      </c>
      <c r="H7534">
        <v>2008</v>
      </c>
      <c r="I7534">
        <v>22.3</v>
      </c>
      <c r="J7534">
        <v>13</v>
      </c>
      <c r="K7534">
        <v>86</v>
      </c>
      <c r="L7534">
        <v>5.97</v>
      </c>
      <c r="M7534">
        <v>30.2</v>
      </c>
      <c r="N7534">
        <v>15.1</v>
      </c>
      <c r="O7534">
        <v>15.1</v>
      </c>
      <c r="P7534">
        <v>22.5</v>
      </c>
      <c r="Q7534">
        <v>21.5</v>
      </c>
      <c r="R7534">
        <v>23</v>
      </c>
      <c r="S7534">
        <v>21.5</v>
      </c>
      <c r="T7534">
        <v>1065</v>
      </c>
      <c r="U7534">
        <v>176</v>
      </c>
      <c r="V7534">
        <v>41</v>
      </c>
      <c r="W7534">
        <v>43</v>
      </c>
      <c r="X7534">
        <v>431</v>
      </c>
      <c r="Y7534">
        <v>178</v>
      </c>
      <c r="Z7534">
        <v>218</v>
      </c>
      <c r="AA7534">
        <v>178</v>
      </c>
      <c r="AB7534">
        <v>26.208950000000002</v>
      </c>
      <c r="AC7534">
        <v>1.7170689999999999E-2</v>
      </c>
      <c r="AD7534">
        <v>2.5218639999999999</v>
      </c>
      <c r="AE7534">
        <v>0.35820249999999998</v>
      </c>
      <c r="AF7534">
        <v>1215.0440000000001</v>
      </c>
      <c r="AG7534">
        <f>IFERROR(AH7534*0.1, "N/A")</f>
        <v>6.195614</v>
      </c>
      <c r="AH7534">
        <v>61.956139999999998</v>
      </c>
      <c r="AI7534">
        <v>309.79919999999998</v>
      </c>
      <c r="AJ7534">
        <v>34.043860000000002</v>
      </c>
      <c r="AK7534">
        <v>49.956139999999998</v>
      </c>
    </row>
    <row r="7535" spans="1:37" x14ac:dyDescent="0.3">
      <c r="A7535">
        <v>7534</v>
      </c>
      <c r="B7535">
        <v>0</v>
      </c>
      <c r="C7535">
        <v>34.322499999999998</v>
      </c>
      <c r="D7535">
        <v>-4.9882999999999997E-2</v>
      </c>
      <c r="E7535" t="s">
        <v>11176</v>
      </c>
      <c r="F7535" t="s">
        <v>11177</v>
      </c>
      <c r="G7535" t="s">
        <v>37</v>
      </c>
      <c r="H7535">
        <v>2008</v>
      </c>
      <c r="I7535">
        <v>22.085059999999999</v>
      </c>
      <c r="J7535">
        <v>13.4</v>
      </c>
      <c r="K7535">
        <v>85</v>
      </c>
      <c r="L7535">
        <v>6.4879259999999999</v>
      </c>
      <c r="M7535">
        <v>30.3</v>
      </c>
      <c r="N7535">
        <v>14.6</v>
      </c>
      <c r="O7535">
        <v>15.7</v>
      </c>
      <c r="P7535">
        <v>22.285060000000001</v>
      </c>
      <c r="Q7535">
        <v>22.6</v>
      </c>
      <c r="R7535">
        <v>22.885059999999999</v>
      </c>
      <c r="S7535">
        <v>21.18506</v>
      </c>
      <c r="T7535">
        <v>1342.046</v>
      </c>
      <c r="U7535">
        <v>222.2988</v>
      </c>
      <c r="V7535">
        <v>48</v>
      </c>
      <c r="W7535">
        <v>42</v>
      </c>
      <c r="X7535">
        <v>537.74689999999998</v>
      </c>
      <c r="Y7535">
        <v>213.14940000000001</v>
      </c>
      <c r="Z7535">
        <v>250.14940000000001</v>
      </c>
      <c r="AA7535">
        <v>254.14940000000001</v>
      </c>
      <c r="AB7535">
        <v>29.512070000000001</v>
      </c>
      <c r="AC7535">
        <v>1.55634E-2</v>
      </c>
      <c r="AD7535">
        <v>5.5920820000000004</v>
      </c>
      <c r="AE7535">
        <v>0.74094899999999997</v>
      </c>
      <c r="AF7535">
        <v>1259.5039999999999</v>
      </c>
      <c r="AG7535">
        <f>IFERROR(AH7535*0.1, "N/A")</f>
        <v>5.7</v>
      </c>
      <c r="AH7535">
        <v>57</v>
      </c>
      <c r="AI7535">
        <v>102.3766</v>
      </c>
      <c r="AJ7535">
        <v>42.550089999999997</v>
      </c>
      <c r="AK7535">
        <v>40.449910000000003</v>
      </c>
    </row>
    <row r="7536" spans="1:37" x14ac:dyDescent="0.3">
      <c r="A7536">
        <v>7535</v>
      </c>
      <c r="B7536">
        <v>4.3</v>
      </c>
      <c r="C7536">
        <v>34.311500000000002</v>
      </c>
      <c r="D7536">
        <v>-5.3409999999999999E-2</v>
      </c>
      <c r="E7536" t="s">
        <v>11178</v>
      </c>
      <c r="F7536" t="s">
        <v>11179</v>
      </c>
      <c r="G7536" t="s">
        <v>37</v>
      </c>
      <c r="H7536">
        <v>2008</v>
      </c>
      <c r="I7536">
        <v>21.8</v>
      </c>
      <c r="J7536">
        <v>13.5</v>
      </c>
      <c r="K7536">
        <v>85</v>
      </c>
      <c r="L7536">
        <v>6.38</v>
      </c>
      <c r="M7536">
        <v>30.1</v>
      </c>
      <c r="N7536">
        <v>14.4</v>
      </c>
      <c r="O7536">
        <v>15.7</v>
      </c>
      <c r="P7536">
        <v>22.1</v>
      </c>
      <c r="Q7536">
        <v>22.4</v>
      </c>
      <c r="R7536">
        <v>22.6</v>
      </c>
      <c r="S7536">
        <v>20.9</v>
      </c>
      <c r="T7536">
        <v>1408</v>
      </c>
      <c r="U7536">
        <v>233</v>
      </c>
      <c r="V7536">
        <v>51</v>
      </c>
      <c r="W7536">
        <v>42</v>
      </c>
      <c r="X7536">
        <v>566</v>
      </c>
      <c r="Y7536">
        <v>223</v>
      </c>
      <c r="Z7536">
        <v>261</v>
      </c>
      <c r="AA7536">
        <v>268</v>
      </c>
      <c r="AB7536">
        <v>71.573089999999993</v>
      </c>
      <c r="AC7536">
        <v>1.542526E-2</v>
      </c>
      <c r="AD7536">
        <v>1.320975</v>
      </c>
      <c r="AE7536">
        <v>0.73852799999999996</v>
      </c>
      <c r="AF7536">
        <v>1294.6130000000001</v>
      </c>
      <c r="AG7536">
        <f>IFERROR(AH7536*0.1, "N/A")</f>
        <v>5.7653170000000005</v>
      </c>
      <c r="AH7536">
        <v>57.653170000000003</v>
      </c>
      <c r="AI7536">
        <v>145.72819999999999</v>
      </c>
      <c r="AJ7536">
        <v>42.808100000000003</v>
      </c>
      <c r="AK7536">
        <v>38.653170000000003</v>
      </c>
    </row>
    <row r="7537" spans="1:37" x14ac:dyDescent="0.3">
      <c r="A7537">
        <v>7536</v>
      </c>
      <c r="B7537">
        <v>8</v>
      </c>
      <c r="C7537">
        <v>34.191200000000002</v>
      </c>
      <c r="D7537">
        <v>-5.7383000000000003E-2</v>
      </c>
      <c r="E7537" t="s">
        <v>11180</v>
      </c>
      <c r="F7537" t="s">
        <v>11181</v>
      </c>
      <c r="G7537" t="s">
        <v>37</v>
      </c>
      <c r="H7537">
        <v>2008</v>
      </c>
      <c r="I7537">
        <v>22.2</v>
      </c>
      <c r="J7537">
        <v>13</v>
      </c>
      <c r="K7537">
        <v>85.767200000000003</v>
      </c>
      <c r="L7537">
        <v>5.9807410000000001</v>
      </c>
      <c r="M7537">
        <v>30.123280000000001</v>
      </c>
      <c r="N7537">
        <v>15</v>
      </c>
      <c r="O7537">
        <v>15.123279999999999</v>
      </c>
      <c r="P7537">
        <v>22.4</v>
      </c>
      <c r="Q7537">
        <v>21.388359999999999</v>
      </c>
      <c r="R7537">
        <v>22.911639999999998</v>
      </c>
      <c r="S7537">
        <v>21.388359999999999</v>
      </c>
      <c r="T7537">
        <v>1061.4659999999999</v>
      </c>
      <c r="U7537">
        <v>176</v>
      </c>
      <c r="V7537">
        <v>41</v>
      </c>
      <c r="W7537">
        <v>44</v>
      </c>
      <c r="X7537">
        <v>433</v>
      </c>
      <c r="Y7537">
        <v>173.2328</v>
      </c>
      <c r="Z7537">
        <v>220</v>
      </c>
      <c r="AA7537">
        <v>173.2328</v>
      </c>
      <c r="AB7537">
        <v>30.140370000000001</v>
      </c>
      <c r="AC7537">
        <v>2.0216350000000001E-2</v>
      </c>
      <c r="AD7537">
        <v>1.0980270000000001</v>
      </c>
      <c r="AE7537">
        <v>0.35036099999999998</v>
      </c>
      <c r="AF7537">
        <v>1228.4939999999999</v>
      </c>
      <c r="AG7537">
        <f>IFERROR(AH7537*0.1, "N/A")</f>
        <v>6.1661380000000001</v>
      </c>
      <c r="AH7537">
        <v>61.661380000000001</v>
      </c>
      <c r="AI7537">
        <v>80.634349999999998</v>
      </c>
      <c r="AJ7537">
        <v>32.544969999999999</v>
      </c>
      <c r="AK7537">
        <v>48.176369999999999</v>
      </c>
    </row>
    <row r="7538" spans="1:37" x14ac:dyDescent="0.3">
      <c r="A7538">
        <v>7537</v>
      </c>
      <c r="B7538">
        <v>11.5</v>
      </c>
      <c r="C7538">
        <v>34.361499999999999</v>
      </c>
      <c r="D7538">
        <v>-5.7500000000000002E-2</v>
      </c>
      <c r="E7538" t="s">
        <v>11182</v>
      </c>
      <c r="F7538" t="s">
        <v>11183</v>
      </c>
      <c r="G7538" t="s">
        <v>37</v>
      </c>
      <c r="H7538">
        <v>2008</v>
      </c>
      <c r="I7538">
        <v>21.9</v>
      </c>
      <c r="J7538">
        <v>13.6</v>
      </c>
      <c r="K7538">
        <v>85</v>
      </c>
      <c r="L7538">
        <v>6.64</v>
      </c>
      <c r="M7538">
        <v>30.3</v>
      </c>
      <c r="N7538">
        <v>14.4</v>
      </c>
      <c r="O7538">
        <v>15.9</v>
      </c>
      <c r="P7538">
        <v>22.2</v>
      </c>
      <c r="Q7538">
        <v>22.5</v>
      </c>
      <c r="R7538">
        <v>22.7</v>
      </c>
      <c r="S7538">
        <v>21</v>
      </c>
      <c r="T7538">
        <v>1478</v>
      </c>
      <c r="U7538">
        <v>248</v>
      </c>
      <c r="V7538">
        <v>53</v>
      </c>
      <c r="W7538">
        <v>43</v>
      </c>
      <c r="X7538">
        <v>600</v>
      </c>
      <c r="Y7538">
        <v>226</v>
      </c>
      <c r="Z7538">
        <v>270</v>
      </c>
      <c r="AA7538">
        <v>287</v>
      </c>
      <c r="AB7538">
        <v>12.252829999999999</v>
      </c>
      <c r="AC7538">
        <v>1.0519280000000001E-2</v>
      </c>
      <c r="AD7538">
        <v>2.1532870000000002</v>
      </c>
      <c r="AE7538">
        <v>0.75269540000000001</v>
      </c>
      <c r="AF7538">
        <v>1291.838</v>
      </c>
      <c r="AG7538">
        <f>IFERROR(AH7538*0.1, "N/A")</f>
        <v>5.7507040000000007</v>
      </c>
      <c r="AH7538">
        <v>57.507040000000003</v>
      </c>
      <c r="AI7538">
        <v>208.1661</v>
      </c>
      <c r="AJ7538">
        <v>39</v>
      </c>
      <c r="AK7538">
        <v>43.507040000000003</v>
      </c>
    </row>
    <row r="7539" spans="1:37" x14ac:dyDescent="0.3">
      <c r="A7539">
        <v>7538</v>
      </c>
      <c r="B7539">
        <v>10</v>
      </c>
      <c r="C7539">
        <v>34.334499999999998</v>
      </c>
      <c r="D7539">
        <v>-5.8317000000000001E-2</v>
      </c>
      <c r="E7539" t="s">
        <v>11184</v>
      </c>
      <c r="F7539" t="s">
        <v>11185</v>
      </c>
      <c r="G7539" t="s">
        <v>37</v>
      </c>
      <c r="H7539">
        <v>2008</v>
      </c>
      <c r="I7539">
        <v>22.15747</v>
      </c>
      <c r="J7539">
        <v>13.4</v>
      </c>
      <c r="K7539">
        <v>84.574690000000004</v>
      </c>
      <c r="L7539">
        <v>6.4497710000000001</v>
      </c>
      <c r="M7539">
        <v>30.4</v>
      </c>
      <c r="N7539">
        <v>14.65747</v>
      </c>
      <c r="O7539">
        <v>15.74253</v>
      </c>
      <c r="P7539">
        <v>22.414940000000001</v>
      </c>
      <c r="Q7539">
        <v>22.65747</v>
      </c>
      <c r="R7539">
        <v>22.957470000000001</v>
      </c>
      <c r="S7539">
        <v>21.257470000000001</v>
      </c>
      <c r="T7539">
        <v>1338.4829999999999</v>
      </c>
      <c r="U7539">
        <v>223.7012</v>
      </c>
      <c r="V7539">
        <v>47.850619999999999</v>
      </c>
      <c r="W7539">
        <v>43</v>
      </c>
      <c r="X7539">
        <v>540.25310000000002</v>
      </c>
      <c r="Y7539">
        <v>212.7012</v>
      </c>
      <c r="Z7539">
        <v>250.7012</v>
      </c>
      <c r="AA7539">
        <v>252.97720000000001</v>
      </c>
      <c r="AB7539">
        <v>9.7799809999999994</v>
      </c>
      <c r="AC7539">
        <v>4.0260530000000003E-2</v>
      </c>
      <c r="AD7539">
        <v>1.586608</v>
      </c>
      <c r="AE7539">
        <v>0.74420929999999996</v>
      </c>
      <c r="AF7539">
        <v>1242.682</v>
      </c>
      <c r="AG7539">
        <f>IFERROR(AH7539*0.1, "N/A")</f>
        <v>5.7994729999999999</v>
      </c>
      <c r="AH7539">
        <v>57.994729999999997</v>
      </c>
      <c r="AI7539">
        <v>165.88589999999999</v>
      </c>
      <c r="AJ7539">
        <v>44.96837</v>
      </c>
      <c r="AK7539">
        <v>37.03163</v>
      </c>
    </row>
    <row r="7540" spans="1:37" x14ac:dyDescent="0.3">
      <c r="A7540">
        <v>7539</v>
      </c>
      <c r="B7540">
        <v>27</v>
      </c>
      <c r="C7540">
        <v>34.241399999999999</v>
      </c>
      <c r="D7540">
        <v>-6.0425E-2</v>
      </c>
      <c r="E7540" t="s">
        <v>11186</v>
      </c>
      <c r="F7540" t="s">
        <v>11187</v>
      </c>
      <c r="G7540" t="s">
        <v>37</v>
      </c>
      <c r="H7540">
        <v>1997</v>
      </c>
      <c r="I7540">
        <v>22.2</v>
      </c>
      <c r="J7540">
        <v>13.10581</v>
      </c>
      <c r="K7540">
        <v>85.058099999999996</v>
      </c>
      <c r="L7540">
        <v>6.4096650000000004</v>
      </c>
      <c r="M7540">
        <v>30.3</v>
      </c>
      <c r="N7540">
        <v>14.905810000000001</v>
      </c>
      <c r="O7540">
        <v>15.39419</v>
      </c>
      <c r="P7540">
        <v>22.5</v>
      </c>
      <c r="Q7540">
        <v>21.387149999999998</v>
      </c>
      <c r="R7540">
        <v>23</v>
      </c>
      <c r="S7540">
        <v>21.305810000000001</v>
      </c>
      <c r="T7540">
        <v>1121.884</v>
      </c>
      <c r="U7540">
        <v>184</v>
      </c>
      <c r="V7540">
        <v>41.941899999999997</v>
      </c>
      <c r="W7540">
        <v>42</v>
      </c>
      <c r="X7540">
        <v>448.94189999999998</v>
      </c>
      <c r="Y7540">
        <v>194.9419</v>
      </c>
      <c r="Z7540">
        <v>222.9419</v>
      </c>
      <c r="AA7540">
        <v>195</v>
      </c>
      <c r="AB7540">
        <v>24.251709999999999</v>
      </c>
      <c r="AC7540">
        <v>9.0444700000000006E-3</v>
      </c>
      <c r="AD7540">
        <v>1.587432</v>
      </c>
      <c r="AE7540">
        <v>0.34961710000000001</v>
      </c>
      <c r="AF7540">
        <v>1221.836</v>
      </c>
      <c r="AG7540">
        <f>IFERROR(AH7540*0.1, "N/A")</f>
        <v>5.8005279999999999</v>
      </c>
      <c r="AH7540">
        <v>58.005279999999999</v>
      </c>
      <c r="AI7540">
        <v>227.3287</v>
      </c>
      <c r="AJ7540">
        <v>36.968310000000002</v>
      </c>
      <c r="AK7540">
        <v>46.031689999999998</v>
      </c>
    </row>
    <row r="7541" spans="1:37" x14ac:dyDescent="0.3">
      <c r="A7541">
        <v>7540</v>
      </c>
      <c r="B7541">
        <v>10.5</v>
      </c>
      <c r="C7541">
        <v>34.2804</v>
      </c>
      <c r="D7541">
        <v>-6.3816999999999999E-2</v>
      </c>
      <c r="E7541" t="s">
        <v>11188</v>
      </c>
      <c r="F7541" t="s">
        <v>11189</v>
      </c>
      <c r="G7541" t="s">
        <v>37</v>
      </c>
      <c r="H7541">
        <v>2008</v>
      </c>
      <c r="I7541">
        <v>22</v>
      </c>
      <c r="J7541">
        <v>13.3</v>
      </c>
      <c r="K7541">
        <v>85</v>
      </c>
      <c r="L7541">
        <v>6.36</v>
      </c>
      <c r="M7541">
        <v>30.2</v>
      </c>
      <c r="N7541">
        <v>14.6</v>
      </c>
      <c r="O7541">
        <v>15.6</v>
      </c>
      <c r="P7541">
        <v>22.3</v>
      </c>
      <c r="Q7541">
        <v>22.5</v>
      </c>
      <c r="R7541">
        <v>22.8</v>
      </c>
      <c r="S7541">
        <v>21.1</v>
      </c>
      <c r="T7541">
        <v>1267</v>
      </c>
      <c r="U7541">
        <v>209</v>
      </c>
      <c r="V7541">
        <v>46</v>
      </c>
      <c r="W7541">
        <v>42</v>
      </c>
      <c r="X7541">
        <v>508</v>
      </c>
      <c r="Y7541">
        <v>209</v>
      </c>
      <c r="Z7541">
        <v>242</v>
      </c>
      <c r="AA7541">
        <v>232</v>
      </c>
      <c r="AB7541">
        <v>42.424120000000002</v>
      </c>
      <c r="AC7541">
        <v>8.6980779999999997E-3</v>
      </c>
      <c r="AD7541">
        <v>0.68546929999999995</v>
      </c>
      <c r="AE7541">
        <v>0.74941279999999999</v>
      </c>
      <c r="AF7541">
        <v>1265.8150000000001</v>
      </c>
      <c r="AG7541">
        <f>IFERROR(AH7541*0.1, "N/A")</f>
        <v>6</v>
      </c>
      <c r="AH7541">
        <v>60</v>
      </c>
      <c r="AI7541">
        <v>76.354879999999994</v>
      </c>
      <c r="AJ7541">
        <v>36</v>
      </c>
      <c r="AK7541">
        <v>47</v>
      </c>
    </row>
    <row r="7542" spans="1:37" x14ac:dyDescent="0.3">
      <c r="A7542">
        <v>7541</v>
      </c>
      <c r="B7542">
        <v>24.4</v>
      </c>
      <c r="C7542">
        <v>34.195599999999999</v>
      </c>
      <c r="D7542">
        <v>-6.4316999999999999E-2</v>
      </c>
      <c r="E7542" t="s">
        <v>11190</v>
      </c>
      <c r="F7542" t="s">
        <v>11191</v>
      </c>
      <c r="G7542" t="s">
        <v>37</v>
      </c>
      <c r="H7542">
        <v>2008</v>
      </c>
      <c r="I7542">
        <v>22.1</v>
      </c>
      <c r="J7542">
        <v>13.1</v>
      </c>
      <c r="K7542">
        <v>85</v>
      </c>
      <c r="L7542">
        <v>6.42</v>
      </c>
      <c r="M7542">
        <v>30.2</v>
      </c>
      <c r="N7542">
        <v>14.9</v>
      </c>
      <c r="O7542">
        <v>15.3</v>
      </c>
      <c r="P7542">
        <v>22.4</v>
      </c>
      <c r="Q7542">
        <v>21.2</v>
      </c>
      <c r="R7542">
        <v>22.9</v>
      </c>
      <c r="S7542">
        <v>21.2</v>
      </c>
      <c r="T7542">
        <v>1086</v>
      </c>
      <c r="U7542">
        <v>180</v>
      </c>
      <c r="V7542">
        <v>42</v>
      </c>
      <c r="W7542">
        <v>43</v>
      </c>
      <c r="X7542">
        <v>442</v>
      </c>
      <c r="Y7542">
        <v>180</v>
      </c>
      <c r="Z7542">
        <v>223</v>
      </c>
      <c r="AA7542">
        <v>180</v>
      </c>
      <c r="AB7542">
        <v>25.363530000000001</v>
      </c>
      <c r="AC7542">
        <v>9.6785199999999995E-3</v>
      </c>
      <c r="AD7542">
        <v>1.3069299999999999</v>
      </c>
      <c r="AE7542">
        <v>0.34699639999999998</v>
      </c>
      <c r="AF7542">
        <v>1239.829</v>
      </c>
      <c r="AG7542">
        <f>IFERROR(AH7542*0.1, "N/A")</f>
        <v>6.3000000000000007</v>
      </c>
      <c r="AH7542">
        <v>63</v>
      </c>
      <c r="AI7542">
        <v>172.29990000000001</v>
      </c>
      <c r="AJ7542">
        <v>32</v>
      </c>
      <c r="AK7542">
        <v>51.809519999999999</v>
      </c>
    </row>
    <row r="7543" spans="1:37" x14ac:dyDescent="0.3">
      <c r="A7543">
        <v>7542</v>
      </c>
      <c r="B7543">
        <v>10.3</v>
      </c>
      <c r="C7543">
        <v>34.353400000000001</v>
      </c>
      <c r="D7543">
        <v>-6.5699999999999995E-2</v>
      </c>
      <c r="E7543" t="s">
        <v>11192</v>
      </c>
      <c r="F7543" t="s">
        <v>11193</v>
      </c>
      <c r="G7543" t="s">
        <v>37</v>
      </c>
      <c r="H7543">
        <v>2008</v>
      </c>
      <c r="I7543">
        <v>21.999469999999999</v>
      </c>
      <c r="J7543">
        <v>13.500529999999999</v>
      </c>
      <c r="K7543">
        <v>85</v>
      </c>
      <c r="L7543">
        <v>6.221743</v>
      </c>
      <c r="M7543">
        <v>30.2</v>
      </c>
      <c r="N7543">
        <v>14.498939999999999</v>
      </c>
      <c r="O7543">
        <v>15.70106</v>
      </c>
      <c r="P7543">
        <v>22.298940000000002</v>
      </c>
      <c r="Q7543">
        <v>22.499469999999999</v>
      </c>
      <c r="R7543">
        <v>22.699470000000002</v>
      </c>
      <c r="S7543">
        <v>21.098939999999999</v>
      </c>
      <c r="T7543">
        <v>1429.1949999999999</v>
      </c>
      <c r="U7543">
        <v>240.0264</v>
      </c>
      <c r="V7543">
        <v>51.010559999999998</v>
      </c>
      <c r="W7543">
        <v>43</v>
      </c>
      <c r="X7543">
        <v>580.06870000000004</v>
      </c>
      <c r="Y7543">
        <v>222.0317</v>
      </c>
      <c r="Z7543">
        <v>264.0317</v>
      </c>
      <c r="AA7543">
        <v>275.04750000000001</v>
      </c>
      <c r="AB7543">
        <v>20.71885</v>
      </c>
      <c r="AC7543">
        <v>8.5929990000000005E-3</v>
      </c>
      <c r="AD7543">
        <v>3.6925330000000001</v>
      </c>
      <c r="AE7543">
        <v>0.74820600000000004</v>
      </c>
      <c r="AF7543">
        <v>1292.0989999999999</v>
      </c>
      <c r="AG7543">
        <f>IFERROR(AH7543*0.1, "N/A")</f>
        <v>5.7</v>
      </c>
      <c r="AH7543">
        <v>57</v>
      </c>
      <c r="AI7543">
        <v>158.3749</v>
      </c>
      <c r="AJ7543">
        <v>38.591549999999998</v>
      </c>
      <c r="AK7543">
        <v>42.408450000000002</v>
      </c>
    </row>
    <row r="7544" spans="1:37" x14ac:dyDescent="0.3">
      <c r="A7544">
        <v>7543</v>
      </c>
      <c r="B7544">
        <v>79.599999999999994</v>
      </c>
      <c r="C7544">
        <v>34.055199999999999</v>
      </c>
      <c r="D7544">
        <v>-6.6475000000000006E-2</v>
      </c>
      <c r="E7544" t="s">
        <v>11194</v>
      </c>
      <c r="F7544" t="s">
        <v>11195</v>
      </c>
      <c r="G7544" t="s">
        <v>37</v>
      </c>
      <c r="H7544">
        <v>1999</v>
      </c>
      <c r="I7544">
        <v>22.55132</v>
      </c>
      <c r="J7544">
        <v>12.6</v>
      </c>
      <c r="K7544">
        <v>85</v>
      </c>
      <c r="L7544">
        <v>5.9432869999999998</v>
      </c>
      <c r="M7544">
        <v>30.25132</v>
      </c>
      <c r="N7544">
        <v>15.55132</v>
      </c>
      <c r="O7544">
        <v>14.7</v>
      </c>
      <c r="P7544">
        <v>22.851320000000001</v>
      </c>
      <c r="Q7544">
        <v>21.75132</v>
      </c>
      <c r="R7544">
        <v>23.3</v>
      </c>
      <c r="S7544">
        <v>21.75132</v>
      </c>
      <c r="T7544">
        <v>924.94730000000004</v>
      </c>
      <c r="U7544">
        <v>159</v>
      </c>
      <c r="V7544">
        <v>34</v>
      </c>
      <c r="W7544">
        <v>49.513179999999998</v>
      </c>
      <c r="X7544">
        <v>398.48680000000002</v>
      </c>
      <c r="Y7544">
        <v>123</v>
      </c>
      <c r="Z7544">
        <v>219.48679999999999</v>
      </c>
      <c r="AA7544">
        <v>123</v>
      </c>
      <c r="AB7544">
        <v>15.4199</v>
      </c>
      <c r="AC7544">
        <v>1.0395629999999999E-2</v>
      </c>
      <c r="AD7544">
        <v>2.1109330000000002</v>
      </c>
      <c r="AE7544">
        <v>0.70696899999999996</v>
      </c>
      <c r="AF7544">
        <v>1150.731</v>
      </c>
      <c r="AG7544">
        <f>IFERROR(AH7544*0.1, "N/A")</f>
        <v>5.8000000000000007</v>
      </c>
      <c r="AH7544">
        <v>58</v>
      </c>
      <c r="AI7544">
        <v>16.78051</v>
      </c>
      <c r="AJ7544">
        <v>36</v>
      </c>
      <c r="AK7544">
        <v>46</v>
      </c>
    </row>
    <row r="7545" spans="1:37" x14ac:dyDescent="0.3">
      <c r="A7545">
        <v>7544</v>
      </c>
      <c r="B7545">
        <v>61.5</v>
      </c>
      <c r="C7545">
        <v>34.75</v>
      </c>
      <c r="D7545">
        <v>-6.6669999999999993E-2</v>
      </c>
      <c r="E7545" t="s">
        <v>11196</v>
      </c>
      <c r="F7545" t="s">
        <v>11197</v>
      </c>
      <c r="G7545" t="s">
        <v>39</v>
      </c>
      <c r="H7545">
        <v>1983</v>
      </c>
      <c r="I7545">
        <v>22.721689999999999</v>
      </c>
      <c r="J7545">
        <v>13.90476</v>
      </c>
      <c r="K7545">
        <v>84.463840000000005</v>
      </c>
      <c r="L7545">
        <v>6.7574069999999997</v>
      </c>
      <c r="M7545">
        <v>31.256609999999998</v>
      </c>
      <c r="N7545">
        <v>14.929449999999999</v>
      </c>
      <c r="O7545">
        <v>16.327159999999999</v>
      </c>
      <c r="P7545">
        <v>22.85661</v>
      </c>
      <c r="Q7545">
        <v>21.721689999999999</v>
      </c>
      <c r="R7545">
        <v>23.421690000000002</v>
      </c>
      <c r="S7545">
        <v>21.721689999999999</v>
      </c>
      <c r="T7545">
        <v>1343.2860000000001</v>
      </c>
      <c r="U7545">
        <v>229.32980000000001</v>
      </c>
      <c r="V7545">
        <v>61.813049999999997</v>
      </c>
      <c r="W7545">
        <v>42.613759999999999</v>
      </c>
      <c r="X7545">
        <v>554.61199999999997</v>
      </c>
      <c r="Y7545">
        <v>230.8801</v>
      </c>
      <c r="Z7545">
        <v>318.46379999999999</v>
      </c>
      <c r="AA7545">
        <v>230.8801</v>
      </c>
      <c r="AB7545">
        <v>5.2896150000000004</v>
      </c>
      <c r="AC7545">
        <v>0.37842710000000002</v>
      </c>
      <c r="AD7545">
        <v>3.605248</v>
      </c>
      <c r="AE7545">
        <v>0.82029050000000003</v>
      </c>
      <c r="AF7545">
        <v>1185.623</v>
      </c>
      <c r="AG7545">
        <f>IFERROR(AH7545*0.1, "N/A")</f>
        <v>6</v>
      </c>
      <c r="AH7545">
        <v>60</v>
      </c>
      <c r="AI7545">
        <v>187.1337</v>
      </c>
      <c r="AJ7545">
        <v>38.116399999999999</v>
      </c>
      <c r="AK7545">
        <v>38.865960000000001</v>
      </c>
    </row>
    <row r="7546" spans="1:37" x14ac:dyDescent="0.3">
      <c r="A7546">
        <v>7545</v>
      </c>
      <c r="B7546">
        <v>20.7</v>
      </c>
      <c r="C7546">
        <v>34.217399999999998</v>
      </c>
      <c r="D7546">
        <v>-6.8833000000000005E-2</v>
      </c>
      <c r="E7546" t="s">
        <v>11198</v>
      </c>
      <c r="F7546" t="s">
        <v>11199</v>
      </c>
      <c r="G7546" t="s">
        <v>37</v>
      </c>
      <c r="H7546">
        <v>2008</v>
      </c>
      <c r="I7546">
        <v>22.1</v>
      </c>
      <c r="J7546">
        <v>13.1</v>
      </c>
      <c r="K7546">
        <v>85</v>
      </c>
      <c r="L7546">
        <v>6.55</v>
      </c>
      <c r="M7546">
        <v>30.2</v>
      </c>
      <c r="N7546">
        <v>14.8</v>
      </c>
      <c r="O7546">
        <v>15.4</v>
      </c>
      <c r="P7546">
        <v>22.4</v>
      </c>
      <c r="Q7546">
        <v>21.2</v>
      </c>
      <c r="R7546">
        <v>22.9</v>
      </c>
      <c r="S7546">
        <v>21.2</v>
      </c>
      <c r="T7546">
        <v>1119.1289999999999</v>
      </c>
      <c r="U7546">
        <v>184.86600000000001</v>
      </c>
      <c r="V7546">
        <v>42</v>
      </c>
      <c r="W7546">
        <v>43</v>
      </c>
      <c r="X7546">
        <v>452.66489999999999</v>
      </c>
      <c r="Y7546">
        <v>190.7319</v>
      </c>
      <c r="Z7546">
        <v>224.93299999999999</v>
      </c>
      <c r="AA7546">
        <v>190.7319</v>
      </c>
      <c r="AB7546">
        <v>9.519425</v>
      </c>
      <c r="AC7546">
        <v>1.4321800000000001E-2</v>
      </c>
      <c r="AD7546">
        <v>1.1912339999999999</v>
      </c>
      <c r="AE7546">
        <v>0.35295979999999999</v>
      </c>
      <c r="AF7546">
        <v>1244.713</v>
      </c>
      <c r="AG7546">
        <f>IFERROR(AH7546*0.1, "N/A")</f>
        <v>6</v>
      </c>
      <c r="AH7546">
        <v>60</v>
      </c>
      <c r="AI7546">
        <v>174.4186</v>
      </c>
      <c r="AJ7546">
        <v>31.097000000000001</v>
      </c>
      <c r="AK7546">
        <v>53.181660000000001</v>
      </c>
    </row>
    <row r="7547" spans="1:37" x14ac:dyDescent="0.3">
      <c r="A7547">
        <v>7546</v>
      </c>
      <c r="B7547">
        <v>4.8</v>
      </c>
      <c r="C7547">
        <v>34.372900000000001</v>
      </c>
      <c r="D7547">
        <v>-6.9793999999999995E-2</v>
      </c>
      <c r="E7547" t="s">
        <v>11200</v>
      </c>
      <c r="F7547" t="s">
        <v>11201</v>
      </c>
      <c r="G7547" t="s">
        <v>37</v>
      </c>
      <c r="H7547">
        <v>2003</v>
      </c>
      <c r="I7547">
        <v>21.7</v>
      </c>
      <c r="J7547">
        <v>13.7</v>
      </c>
      <c r="K7547">
        <v>85</v>
      </c>
      <c r="L7547">
        <v>6.14</v>
      </c>
      <c r="M7547">
        <v>30</v>
      </c>
      <c r="N7547">
        <v>14</v>
      </c>
      <c r="O7547">
        <v>16</v>
      </c>
      <c r="P7547">
        <v>21.9</v>
      </c>
      <c r="Q7547">
        <v>22.1</v>
      </c>
      <c r="R7547">
        <v>22.3</v>
      </c>
      <c r="S7547">
        <v>20.7</v>
      </c>
      <c r="T7547">
        <v>1533</v>
      </c>
      <c r="U7547">
        <v>255</v>
      </c>
      <c r="V7547">
        <v>56</v>
      </c>
      <c r="W7547">
        <v>43</v>
      </c>
      <c r="X7547">
        <v>618</v>
      </c>
      <c r="Y7547">
        <v>237</v>
      </c>
      <c r="Z7547">
        <v>280</v>
      </c>
      <c r="AA7547">
        <v>302</v>
      </c>
      <c r="AB7547">
        <v>40.561</v>
      </c>
      <c r="AC7547">
        <v>3.7376189999999997E-2</v>
      </c>
      <c r="AD7547">
        <v>2.2877939999999999</v>
      </c>
      <c r="AE7547">
        <v>0.7584997</v>
      </c>
      <c r="AF7547">
        <v>1334.079</v>
      </c>
      <c r="AG7547">
        <f>IFERROR(AH7547*0.1, "N/A")</f>
        <v>5.8947280000000006</v>
      </c>
      <c r="AH7547">
        <v>58.947279999999999</v>
      </c>
      <c r="AI7547">
        <v>324.3802</v>
      </c>
      <c r="AJ7547">
        <v>51.305799999999998</v>
      </c>
      <c r="AK7547">
        <v>30.694199999999999</v>
      </c>
    </row>
    <row r="7548" spans="1:37" x14ac:dyDescent="0.3">
      <c r="A7548">
        <v>7547</v>
      </c>
      <c r="B7548">
        <v>0</v>
      </c>
      <c r="C7548">
        <v>34.372900000000001</v>
      </c>
      <c r="D7548">
        <v>-6.9793999999999995E-2</v>
      </c>
      <c r="E7548" t="s">
        <v>11200</v>
      </c>
      <c r="F7548" t="s">
        <v>11202</v>
      </c>
      <c r="G7548" t="s">
        <v>39</v>
      </c>
      <c r="H7548">
        <v>2003</v>
      </c>
      <c r="I7548">
        <v>21.7</v>
      </c>
      <c r="J7548">
        <v>13.7</v>
      </c>
      <c r="K7548">
        <v>85</v>
      </c>
      <c r="L7548">
        <v>6.14</v>
      </c>
      <c r="M7548">
        <v>30</v>
      </c>
      <c r="N7548">
        <v>14</v>
      </c>
      <c r="O7548">
        <v>16</v>
      </c>
      <c r="P7548">
        <v>21.9</v>
      </c>
      <c r="Q7548">
        <v>22.1</v>
      </c>
      <c r="R7548">
        <v>22.3</v>
      </c>
      <c r="S7548">
        <v>20.7</v>
      </c>
      <c r="T7548">
        <v>1533</v>
      </c>
      <c r="U7548">
        <v>255</v>
      </c>
      <c r="V7548">
        <v>56</v>
      </c>
      <c r="W7548">
        <v>43</v>
      </c>
      <c r="X7548">
        <v>618</v>
      </c>
      <c r="Y7548">
        <v>237</v>
      </c>
      <c r="Z7548">
        <v>280</v>
      </c>
      <c r="AA7548">
        <v>302</v>
      </c>
      <c r="AB7548">
        <v>40.561</v>
      </c>
      <c r="AC7548">
        <v>3.7376189999999997E-2</v>
      </c>
      <c r="AD7548">
        <v>2.2877939999999999</v>
      </c>
      <c r="AE7548">
        <v>0.7584997</v>
      </c>
      <c r="AF7548">
        <v>1334.079</v>
      </c>
      <c r="AG7548">
        <f>IFERROR(AH7548*0.1, "N/A")</f>
        <v>5.8947280000000006</v>
      </c>
      <c r="AH7548">
        <v>58.947279999999999</v>
      </c>
      <c r="AI7548">
        <v>324.3802</v>
      </c>
      <c r="AJ7548">
        <v>51.305799999999998</v>
      </c>
      <c r="AK7548">
        <v>30.694199999999999</v>
      </c>
    </row>
    <row r="7549" spans="1:37" x14ac:dyDescent="0.3">
      <c r="A7549">
        <v>7548</v>
      </c>
      <c r="B7549">
        <v>4.0999999999999996</v>
      </c>
      <c r="C7549">
        <v>34.322200000000002</v>
      </c>
      <c r="D7549">
        <v>-7.2617000000000001E-2</v>
      </c>
      <c r="E7549" t="s">
        <v>11203</v>
      </c>
      <c r="F7549" t="s">
        <v>11204</v>
      </c>
      <c r="G7549" t="s">
        <v>37</v>
      </c>
      <c r="H7549">
        <v>2008</v>
      </c>
      <c r="I7549">
        <v>21.8</v>
      </c>
      <c r="J7549">
        <v>13.5</v>
      </c>
      <c r="K7549">
        <v>85</v>
      </c>
      <c r="L7549">
        <v>6.14</v>
      </c>
      <c r="M7549">
        <v>30</v>
      </c>
      <c r="N7549">
        <v>14.2</v>
      </c>
      <c r="O7549">
        <v>15.8</v>
      </c>
      <c r="P7549">
        <v>22.1</v>
      </c>
      <c r="Q7549">
        <v>22.3</v>
      </c>
      <c r="R7549">
        <v>22.5</v>
      </c>
      <c r="S7549">
        <v>20.9</v>
      </c>
      <c r="T7549">
        <v>1416</v>
      </c>
      <c r="U7549">
        <v>235</v>
      </c>
      <c r="V7549">
        <v>51</v>
      </c>
      <c r="W7549">
        <v>42</v>
      </c>
      <c r="X7549">
        <v>570</v>
      </c>
      <c r="Y7549">
        <v>225</v>
      </c>
      <c r="Z7549">
        <v>263</v>
      </c>
      <c r="AA7549">
        <v>270</v>
      </c>
      <c r="AB7549">
        <v>41.847000000000001</v>
      </c>
      <c r="AC7549">
        <v>8.6686679999999992E-3</v>
      </c>
      <c r="AD7549">
        <v>2.1859289999999998</v>
      </c>
      <c r="AE7549">
        <v>0.73682950000000003</v>
      </c>
      <c r="AF7549">
        <v>1318.8219999999999</v>
      </c>
      <c r="AG7549">
        <f>IFERROR(AH7549*0.1, "N/A")</f>
        <v>5.8000000000000007</v>
      </c>
      <c r="AH7549">
        <v>58</v>
      </c>
      <c r="AI7549">
        <v>125.8673</v>
      </c>
      <c r="AJ7549">
        <v>43.962899999999998</v>
      </c>
      <c r="AK7549">
        <v>37.037100000000002</v>
      </c>
    </row>
    <row r="7550" spans="1:37" x14ac:dyDescent="0.3">
      <c r="A7550">
        <v>7549</v>
      </c>
      <c r="B7550">
        <v>8.3000000000000007</v>
      </c>
      <c r="C7550">
        <v>34.330599999999997</v>
      </c>
      <c r="D7550">
        <v>-7.2749999999999995E-2</v>
      </c>
      <c r="E7550" t="s">
        <v>11205</v>
      </c>
      <c r="F7550" t="s">
        <v>11206</v>
      </c>
      <c r="G7550" t="s">
        <v>37</v>
      </c>
      <c r="H7550">
        <v>2008</v>
      </c>
      <c r="I7550">
        <v>21.8</v>
      </c>
      <c r="J7550">
        <v>13.5</v>
      </c>
      <c r="K7550">
        <v>85</v>
      </c>
      <c r="L7550">
        <v>6.36</v>
      </c>
      <c r="M7550">
        <v>30.1</v>
      </c>
      <c r="N7550">
        <v>14.4</v>
      </c>
      <c r="O7550">
        <v>15.7</v>
      </c>
      <c r="P7550">
        <v>22.1</v>
      </c>
      <c r="Q7550">
        <v>22.4</v>
      </c>
      <c r="R7550">
        <v>22.6</v>
      </c>
      <c r="S7550">
        <v>20.9</v>
      </c>
      <c r="T7550">
        <v>1412</v>
      </c>
      <c r="U7550">
        <v>235</v>
      </c>
      <c r="V7550">
        <v>51</v>
      </c>
      <c r="W7550">
        <v>43</v>
      </c>
      <c r="X7550">
        <v>570</v>
      </c>
      <c r="Y7550">
        <v>223</v>
      </c>
      <c r="Z7550">
        <v>262</v>
      </c>
      <c r="AA7550">
        <v>270</v>
      </c>
      <c r="AB7550">
        <v>72.739369999999994</v>
      </c>
      <c r="AC7550">
        <v>1.7683649999999999E-2</v>
      </c>
      <c r="AD7550">
        <v>2.7996840000000001</v>
      </c>
      <c r="AE7550">
        <v>0.73869750000000001</v>
      </c>
      <c r="AF7550">
        <v>1318.4549999999999</v>
      </c>
      <c r="AG7550">
        <f>IFERROR(AH7550*0.1, "N/A")</f>
        <v>5.7761899999999997</v>
      </c>
      <c r="AH7550">
        <v>57.761899999999997</v>
      </c>
      <c r="AI7550">
        <v>55.315869999999997</v>
      </c>
      <c r="AJ7550">
        <v>47.238100000000003</v>
      </c>
      <c r="AK7550">
        <v>34.523809999999997</v>
      </c>
    </row>
    <row r="7551" spans="1:37" x14ac:dyDescent="0.3">
      <c r="A7551">
        <v>7550</v>
      </c>
      <c r="B7551">
        <v>100</v>
      </c>
      <c r="C7551">
        <v>34.058500000000002</v>
      </c>
      <c r="D7551">
        <v>-7.3130000000000001E-2</v>
      </c>
      <c r="E7551" t="s">
        <v>11207</v>
      </c>
      <c r="F7551" t="s">
        <v>11208</v>
      </c>
      <c r="G7551" t="s">
        <v>37</v>
      </c>
      <c r="H7551">
        <v>0</v>
      </c>
      <c r="I7551">
        <v>22.530809999999999</v>
      </c>
      <c r="J7551">
        <v>12.6</v>
      </c>
      <c r="K7551">
        <v>85</v>
      </c>
      <c r="L7551">
        <v>5.9730280000000002</v>
      </c>
      <c r="M7551">
        <v>30.230810000000002</v>
      </c>
      <c r="N7551">
        <v>15.530810000000001</v>
      </c>
      <c r="O7551">
        <v>14.7</v>
      </c>
      <c r="P7551">
        <v>22.8</v>
      </c>
      <c r="Q7551">
        <v>21.730810000000002</v>
      </c>
      <c r="R7551">
        <v>23.3</v>
      </c>
      <c r="S7551">
        <v>21.730810000000002</v>
      </c>
      <c r="T7551">
        <v>924.53520000000003</v>
      </c>
      <c r="U7551">
        <v>158.6919</v>
      </c>
      <c r="V7551">
        <v>34</v>
      </c>
      <c r="W7551">
        <v>49.308100000000003</v>
      </c>
      <c r="X7551">
        <v>398.07569999999998</v>
      </c>
      <c r="Y7551">
        <v>123</v>
      </c>
      <c r="Z7551">
        <v>219.07570000000001</v>
      </c>
      <c r="AA7551">
        <v>123</v>
      </c>
      <c r="AB7551">
        <v>13.13081</v>
      </c>
      <c r="AC7551">
        <v>3.7682779999999999E-2</v>
      </c>
      <c r="AD7551">
        <v>1.8863449999999999</v>
      </c>
      <c r="AE7551">
        <v>0.56001290000000004</v>
      </c>
      <c r="AF7551">
        <v>1140.4100000000001</v>
      </c>
      <c r="AG7551">
        <f>IFERROR(AH7551*0.1, "N/A")</f>
        <v>5.8223920000000007</v>
      </c>
      <c r="AH7551">
        <v>58.22392</v>
      </c>
      <c r="AI7551">
        <v>127.9203</v>
      </c>
      <c r="AJ7551">
        <v>35.111960000000003</v>
      </c>
      <c r="AK7551">
        <v>48</v>
      </c>
    </row>
    <row r="7552" spans="1:37" x14ac:dyDescent="0.3">
      <c r="A7552">
        <v>7551</v>
      </c>
      <c r="B7552">
        <v>0</v>
      </c>
      <c r="C7552">
        <v>34.395400000000002</v>
      </c>
      <c r="D7552">
        <v>-7.5039999999999996E-2</v>
      </c>
      <c r="E7552" t="s">
        <v>11209</v>
      </c>
      <c r="F7552" t="s">
        <v>11210</v>
      </c>
      <c r="G7552" t="s">
        <v>37</v>
      </c>
      <c r="H7552">
        <v>2003</v>
      </c>
      <c r="I7552">
        <v>21.8</v>
      </c>
      <c r="J7552">
        <v>13.715109999999999</v>
      </c>
      <c r="K7552">
        <v>85</v>
      </c>
      <c r="L7552">
        <v>6.4145339999999997</v>
      </c>
      <c r="M7552">
        <v>30.2</v>
      </c>
      <c r="N7552">
        <v>14.184889999999999</v>
      </c>
      <c r="O7552">
        <v>16.01511</v>
      </c>
      <c r="P7552">
        <v>22.1</v>
      </c>
      <c r="Q7552">
        <v>22.384889999999999</v>
      </c>
      <c r="R7552">
        <v>22.584890000000001</v>
      </c>
      <c r="S7552">
        <v>20.884889999999999</v>
      </c>
      <c r="T7552">
        <v>1511.1389999999999</v>
      </c>
      <c r="U7552">
        <v>253.75569999999999</v>
      </c>
      <c r="V7552">
        <v>55.151139999999998</v>
      </c>
      <c r="W7552">
        <v>43</v>
      </c>
      <c r="X7552">
        <v>611.96489999999994</v>
      </c>
      <c r="Y7552">
        <v>234.45339999999999</v>
      </c>
      <c r="Z7552">
        <v>277.6046</v>
      </c>
      <c r="AA7552">
        <v>296.3603</v>
      </c>
      <c r="AB7552">
        <v>2.6971569999999998</v>
      </c>
      <c r="AC7552">
        <v>2.3212000000000002</v>
      </c>
      <c r="AD7552">
        <v>2.3704689999999999</v>
      </c>
      <c r="AE7552">
        <v>0.7508901</v>
      </c>
      <c r="AF7552">
        <v>1296.3320000000001</v>
      </c>
      <c r="AG7552">
        <f>IFERROR(AH7552*0.1, "N/A")</f>
        <v>5.8000000000000007</v>
      </c>
      <c r="AH7552">
        <v>58</v>
      </c>
      <c r="AI7552">
        <v>217.4546</v>
      </c>
      <c r="AJ7552">
        <v>49.063270000000003</v>
      </c>
      <c r="AK7552">
        <v>32.543059999999997</v>
      </c>
    </row>
    <row r="7553" spans="1:37" x14ac:dyDescent="0.3">
      <c r="A7553">
        <v>7552</v>
      </c>
      <c r="B7553">
        <v>0</v>
      </c>
      <c r="C7553">
        <v>34.395400000000002</v>
      </c>
      <c r="D7553">
        <v>-7.5039999999999996E-2</v>
      </c>
      <c r="E7553" t="s">
        <v>11209</v>
      </c>
      <c r="F7553" t="s">
        <v>11211</v>
      </c>
      <c r="G7553" t="s">
        <v>39</v>
      </c>
      <c r="H7553">
        <v>2003</v>
      </c>
      <c r="I7553">
        <v>21.8</v>
      </c>
      <c r="J7553">
        <v>13.715109999999999</v>
      </c>
      <c r="K7553">
        <v>85</v>
      </c>
      <c r="L7553">
        <v>6.4145339999999997</v>
      </c>
      <c r="M7553">
        <v>30.2</v>
      </c>
      <c r="N7553">
        <v>14.184889999999999</v>
      </c>
      <c r="O7553">
        <v>16.01511</v>
      </c>
      <c r="P7553">
        <v>22.1</v>
      </c>
      <c r="Q7553">
        <v>22.384889999999999</v>
      </c>
      <c r="R7553">
        <v>22.584890000000001</v>
      </c>
      <c r="S7553">
        <v>20.884889999999999</v>
      </c>
      <c r="T7553">
        <v>1511.1389999999999</v>
      </c>
      <c r="U7553">
        <v>253.75569999999999</v>
      </c>
      <c r="V7553">
        <v>55.151139999999998</v>
      </c>
      <c r="W7553">
        <v>43</v>
      </c>
      <c r="X7553">
        <v>611.96489999999994</v>
      </c>
      <c r="Y7553">
        <v>234.45339999999999</v>
      </c>
      <c r="Z7553">
        <v>277.6046</v>
      </c>
      <c r="AA7553">
        <v>296.3603</v>
      </c>
      <c r="AB7553">
        <v>2.6971569999999998</v>
      </c>
      <c r="AC7553">
        <v>2.3212000000000002</v>
      </c>
      <c r="AD7553">
        <v>2.3704689999999999</v>
      </c>
      <c r="AE7553">
        <v>0.7508901</v>
      </c>
      <c r="AF7553">
        <v>1296.3320000000001</v>
      </c>
      <c r="AG7553">
        <f>IFERROR(AH7553*0.1, "N/A")</f>
        <v>5.8000000000000007</v>
      </c>
      <c r="AH7553">
        <v>58</v>
      </c>
      <c r="AI7553">
        <v>217.4546</v>
      </c>
      <c r="AJ7553">
        <v>49.063270000000003</v>
      </c>
      <c r="AK7553">
        <v>32.543059999999997</v>
      </c>
    </row>
    <row r="7554" spans="1:37" x14ac:dyDescent="0.3">
      <c r="A7554">
        <v>7553</v>
      </c>
      <c r="B7554">
        <v>0</v>
      </c>
      <c r="C7554">
        <v>34.821800000000003</v>
      </c>
      <c r="D7554">
        <v>-7.6382000000000005E-2</v>
      </c>
      <c r="E7554" t="s">
        <v>11212</v>
      </c>
      <c r="F7554" t="s">
        <v>11213</v>
      </c>
      <c r="G7554" t="s">
        <v>39</v>
      </c>
      <c r="H7554">
        <v>1971</v>
      </c>
      <c r="I7554">
        <v>22.8</v>
      </c>
      <c r="J7554">
        <v>14</v>
      </c>
      <c r="K7554">
        <v>86</v>
      </c>
      <c r="L7554">
        <v>5.63</v>
      </c>
      <c r="M7554">
        <v>31.3</v>
      </c>
      <c r="N7554">
        <v>15.1</v>
      </c>
      <c r="O7554">
        <v>16.2</v>
      </c>
      <c r="P7554">
        <v>22.9</v>
      </c>
      <c r="Q7554">
        <v>21.9</v>
      </c>
      <c r="R7554">
        <v>23.4</v>
      </c>
      <c r="S7554">
        <v>21.9</v>
      </c>
      <c r="T7554">
        <v>1291</v>
      </c>
      <c r="U7554">
        <v>217</v>
      </c>
      <c r="V7554">
        <v>63</v>
      </c>
      <c r="W7554">
        <v>41</v>
      </c>
      <c r="X7554">
        <v>526</v>
      </c>
      <c r="Y7554">
        <v>229</v>
      </c>
      <c r="Z7554">
        <v>310</v>
      </c>
      <c r="AA7554">
        <v>229</v>
      </c>
      <c r="AB7554">
        <v>0.88395279999999998</v>
      </c>
      <c r="AC7554">
        <v>0.1913936</v>
      </c>
      <c r="AD7554">
        <v>1.5378339999999999</v>
      </c>
      <c r="AE7554">
        <v>0.78658839999999997</v>
      </c>
      <c r="AF7554">
        <v>1163.6949999999999</v>
      </c>
      <c r="AG7554">
        <f>IFERROR(AH7554*0.1, "N/A")</f>
        <v>6.2</v>
      </c>
      <c r="AH7554">
        <v>62</v>
      </c>
      <c r="AI7554">
        <v>202.4298</v>
      </c>
      <c r="AJ7554">
        <v>37</v>
      </c>
      <c r="AK7554">
        <v>44</v>
      </c>
    </row>
    <row r="7555" spans="1:37" x14ac:dyDescent="0.3">
      <c r="A7555">
        <v>7554</v>
      </c>
      <c r="B7555">
        <v>0</v>
      </c>
      <c r="C7555">
        <v>34.821800000000003</v>
      </c>
      <c r="D7555">
        <v>-7.6382000000000005E-2</v>
      </c>
      <c r="E7555" t="s">
        <v>11212</v>
      </c>
      <c r="F7555" t="s">
        <v>11214</v>
      </c>
      <c r="G7555" t="s">
        <v>37</v>
      </c>
      <c r="H7555">
        <v>1971</v>
      </c>
      <c r="I7555">
        <v>22.8</v>
      </c>
      <c r="J7555">
        <v>14</v>
      </c>
      <c r="K7555">
        <v>86</v>
      </c>
      <c r="L7555">
        <v>5.63</v>
      </c>
      <c r="M7555">
        <v>31.3</v>
      </c>
      <c r="N7555">
        <v>15.1</v>
      </c>
      <c r="O7555">
        <v>16.2</v>
      </c>
      <c r="P7555">
        <v>22.9</v>
      </c>
      <c r="Q7555">
        <v>21.9</v>
      </c>
      <c r="R7555">
        <v>23.4</v>
      </c>
      <c r="S7555">
        <v>21.9</v>
      </c>
      <c r="T7555">
        <v>1291</v>
      </c>
      <c r="U7555">
        <v>217</v>
      </c>
      <c r="V7555">
        <v>63</v>
      </c>
      <c r="W7555">
        <v>41</v>
      </c>
      <c r="X7555">
        <v>526</v>
      </c>
      <c r="Y7555">
        <v>229</v>
      </c>
      <c r="Z7555">
        <v>310</v>
      </c>
      <c r="AA7555">
        <v>229</v>
      </c>
      <c r="AB7555">
        <v>0.88395279999999998</v>
      </c>
      <c r="AC7555">
        <v>0.1913936</v>
      </c>
      <c r="AD7555">
        <v>1.5378339999999999</v>
      </c>
      <c r="AE7555">
        <v>0.78658839999999997</v>
      </c>
      <c r="AF7555">
        <v>1163.6949999999999</v>
      </c>
      <c r="AG7555">
        <f>IFERROR(AH7555*0.1, "N/A")</f>
        <v>6.2</v>
      </c>
      <c r="AH7555">
        <v>62</v>
      </c>
      <c r="AI7555">
        <v>202.4298</v>
      </c>
      <c r="AJ7555">
        <v>37</v>
      </c>
      <c r="AK7555">
        <v>44</v>
      </c>
    </row>
    <row r="7556" spans="1:37" x14ac:dyDescent="0.3">
      <c r="A7556">
        <v>7555</v>
      </c>
      <c r="B7556">
        <v>11.1</v>
      </c>
      <c r="C7556">
        <v>34.256500000000003</v>
      </c>
      <c r="D7556">
        <v>-7.7933000000000002E-2</v>
      </c>
      <c r="E7556" t="s">
        <v>11215</v>
      </c>
      <c r="F7556" t="s">
        <v>11216</v>
      </c>
      <c r="G7556" t="s">
        <v>37</v>
      </c>
      <c r="H7556">
        <v>2008</v>
      </c>
      <c r="I7556">
        <v>22</v>
      </c>
      <c r="J7556">
        <v>13.2</v>
      </c>
      <c r="K7556">
        <v>85</v>
      </c>
      <c r="L7556">
        <v>6.22</v>
      </c>
      <c r="M7556">
        <v>30.1</v>
      </c>
      <c r="N7556">
        <v>14.7</v>
      </c>
      <c r="O7556">
        <v>15.4</v>
      </c>
      <c r="P7556">
        <v>22.3</v>
      </c>
      <c r="Q7556">
        <v>22.5</v>
      </c>
      <c r="R7556">
        <v>22.8</v>
      </c>
      <c r="S7556">
        <v>21.1</v>
      </c>
      <c r="T7556">
        <v>1194</v>
      </c>
      <c r="U7556">
        <v>197</v>
      </c>
      <c r="V7556">
        <v>44</v>
      </c>
      <c r="W7556">
        <v>42</v>
      </c>
      <c r="X7556">
        <v>480</v>
      </c>
      <c r="Y7556">
        <v>203</v>
      </c>
      <c r="Z7556">
        <v>234</v>
      </c>
      <c r="AA7556">
        <v>212</v>
      </c>
      <c r="AB7556">
        <v>36.518470000000001</v>
      </c>
      <c r="AC7556">
        <v>1.026344E-2</v>
      </c>
      <c r="AD7556">
        <v>0.86860119999999996</v>
      </c>
      <c r="AE7556">
        <v>0.78259780000000001</v>
      </c>
      <c r="AF7556">
        <v>1258.798</v>
      </c>
      <c r="AG7556">
        <f>IFERROR(AH7556*0.1, "N/A")</f>
        <v>6.5447180000000005</v>
      </c>
      <c r="AH7556">
        <v>65.447180000000003</v>
      </c>
      <c r="AI7556">
        <v>124.9765</v>
      </c>
      <c r="AJ7556">
        <v>34.25</v>
      </c>
      <c r="AK7556">
        <v>47.943660000000001</v>
      </c>
    </row>
    <row r="7557" spans="1:37" x14ac:dyDescent="0.3">
      <c r="A7557">
        <v>7556</v>
      </c>
      <c r="B7557">
        <v>2.8</v>
      </c>
      <c r="C7557">
        <v>34.385100000000001</v>
      </c>
      <c r="D7557">
        <v>-8.0214999999999995E-2</v>
      </c>
      <c r="E7557" t="s">
        <v>11217</v>
      </c>
      <c r="F7557" t="s">
        <v>11218</v>
      </c>
      <c r="G7557" t="s">
        <v>37</v>
      </c>
      <c r="H7557">
        <v>2003</v>
      </c>
      <c r="I7557">
        <v>21.7</v>
      </c>
      <c r="J7557">
        <v>13.8</v>
      </c>
      <c r="K7557">
        <v>85</v>
      </c>
      <c r="L7557">
        <v>6.43</v>
      </c>
      <c r="M7557">
        <v>30.1</v>
      </c>
      <c r="N7557">
        <v>14</v>
      </c>
      <c r="O7557">
        <v>16.100000000000001</v>
      </c>
      <c r="P7557">
        <v>21.9</v>
      </c>
      <c r="Q7557">
        <v>22.2</v>
      </c>
      <c r="R7557">
        <v>22.4</v>
      </c>
      <c r="S7557">
        <v>20.7</v>
      </c>
      <c r="T7557">
        <v>1532</v>
      </c>
      <c r="U7557">
        <v>255</v>
      </c>
      <c r="V7557">
        <v>56</v>
      </c>
      <c r="W7557">
        <v>43</v>
      </c>
      <c r="X7557">
        <v>617</v>
      </c>
      <c r="Y7557">
        <v>238</v>
      </c>
      <c r="Z7557">
        <v>280</v>
      </c>
      <c r="AA7557">
        <v>302</v>
      </c>
      <c r="AB7557">
        <v>26.114249999999998</v>
      </c>
      <c r="AC7557">
        <v>1.2249909999999999E-2</v>
      </c>
      <c r="AD7557">
        <v>1.4073929999999999</v>
      </c>
      <c r="AE7557">
        <v>0.75790219999999997</v>
      </c>
      <c r="AF7557">
        <v>1339.38</v>
      </c>
      <c r="AG7557">
        <f>IFERROR(AH7557*0.1, "N/A")</f>
        <v>5.7248240000000008</v>
      </c>
      <c r="AH7557">
        <v>57.248240000000003</v>
      </c>
      <c r="AI7557">
        <v>227.65209999999999</v>
      </c>
      <c r="AJ7557">
        <v>49.614440000000002</v>
      </c>
      <c r="AK7557">
        <v>32.411969999999997</v>
      </c>
    </row>
    <row r="7558" spans="1:37" x14ac:dyDescent="0.3">
      <c r="A7558">
        <v>7557</v>
      </c>
      <c r="B7558">
        <v>0</v>
      </c>
      <c r="C7558">
        <v>34.385100000000001</v>
      </c>
      <c r="D7558">
        <v>-8.0214999999999995E-2</v>
      </c>
      <c r="E7558" t="s">
        <v>11217</v>
      </c>
      <c r="F7558" t="s">
        <v>11219</v>
      </c>
      <c r="G7558" t="s">
        <v>39</v>
      </c>
      <c r="H7558">
        <v>2003</v>
      </c>
      <c r="I7558">
        <v>21.7</v>
      </c>
      <c r="J7558">
        <v>13.8</v>
      </c>
      <c r="K7558">
        <v>85</v>
      </c>
      <c r="L7558">
        <v>6.43</v>
      </c>
      <c r="M7558">
        <v>30.1</v>
      </c>
      <c r="N7558">
        <v>14</v>
      </c>
      <c r="O7558">
        <v>16.100000000000001</v>
      </c>
      <c r="P7558">
        <v>21.9</v>
      </c>
      <c r="Q7558">
        <v>22.2</v>
      </c>
      <c r="R7558">
        <v>22.4</v>
      </c>
      <c r="S7558">
        <v>20.7</v>
      </c>
      <c r="T7558">
        <v>1532</v>
      </c>
      <c r="U7558">
        <v>255</v>
      </c>
      <c r="V7558">
        <v>56</v>
      </c>
      <c r="W7558">
        <v>43</v>
      </c>
      <c r="X7558">
        <v>617</v>
      </c>
      <c r="Y7558">
        <v>238</v>
      </c>
      <c r="Z7558">
        <v>280</v>
      </c>
      <c r="AA7558">
        <v>302</v>
      </c>
      <c r="AB7558">
        <v>26.114249999999998</v>
      </c>
      <c r="AC7558">
        <v>1.2249909999999999E-2</v>
      </c>
      <c r="AD7558">
        <v>1.4073929999999999</v>
      </c>
      <c r="AE7558">
        <v>0.75790219999999997</v>
      </c>
      <c r="AF7558">
        <v>1339.38</v>
      </c>
      <c r="AG7558">
        <f>IFERROR(AH7558*0.1, "N/A")</f>
        <v>5.7248240000000008</v>
      </c>
      <c r="AH7558">
        <v>57.248240000000003</v>
      </c>
      <c r="AI7558">
        <v>227.65209999999999</v>
      </c>
      <c r="AJ7558">
        <v>49.614440000000002</v>
      </c>
      <c r="AK7558">
        <v>32.411969999999997</v>
      </c>
    </row>
    <row r="7559" spans="1:37" x14ac:dyDescent="0.3">
      <c r="A7559">
        <v>7558</v>
      </c>
      <c r="B7559">
        <v>63.9</v>
      </c>
      <c r="C7559">
        <v>34.773899999999998</v>
      </c>
      <c r="D7559">
        <v>-8.0967999999999998E-2</v>
      </c>
      <c r="E7559" t="s">
        <v>11220</v>
      </c>
      <c r="F7559" t="s">
        <v>11221</v>
      </c>
      <c r="G7559" t="s">
        <v>39</v>
      </c>
      <c r="H7559">
        <v>1971</v>
      </c>
      <c r="I7559">
        <v>22.79982</v>
      </c>
      <c r="J7559">
        <v>13.9</v>
      </c>
      <c r="K7559">
        <v>85.998239999999996</v>
      </c>
      <c r="L7559">
        <v>6.2501049999999996</v>
      </c>
      <c r="M7559">
        <v>31.29982</v>
      </c>
      <c r="N7559">
        <v>15.19965</v>
      </c>
      <c r="O7559">
        <v>16.100180000000002</v>
      </c>
      <c r="P7559">
        <v>22.99982</v>
      </c>
      <c r="Q7559">
        <v>21.899650000000001</v>
      </c>
      <c r="R7559">
        <v>23.49982</v>
      </c>
      <c r="S7559">
        <v>21.899650000000001</v>
      </c>
      <c r="T7559">
        <v>1316.0119999999999</v>
      </c>
      <c r="U7559">
        <v>224.0035</v>
      </c>
      <c r="V7559">
        <v>62.001759999999997</v>
      </c>
      <c r="W7559">
        <v>42</v>
      </c>
      <c r="X7559">
        <v>543.0018</v>
      </c>
      <c r="Y7559">
        <v>226.0035</v>
      </c>
      <c r="Z7559">
        <v>316.00349999999997</v>
      </c>
      <c r="AA7559">
        <v>226.0035</v>
      </c>
      <c r="AB7559">
        <v>22.892949999999999</v>
      </c>
      <c r="AC7559">
        <v>8.5628719999999992E-3</v>
      </c>
      <c r="AD7559">
        <v>1.7876050000000001</v>
      </c>
      <c r="AE7559">
        <v>0.77619009999999999</v>
      </c>
      <c r="AF7559">
        <v>1181.768</v>
      </c>
      <c r="AG7559">
        <f>IFERROR(AH7559*0.1, "N/A")</f>
        <v>6.7014060000000004</v>
      </c>
      <c r="AH7559">
        <v>67.014060000000001</v>
      </c>
      <c r="AI7559">
        <v>142.07339999999999</v>
      </c>
      <c r="AJ7559">
        <v>38.00703</v>
      </c>
      <c r="AK7559">
        <v>35.998240000000003</v>
      </c>
    </row>
    <row r="7560" spans="1:37" x14ac:dyDescent="0.3">
      <c r="A7560">
        <v>7559</v>
      </c>
      <c r="B7560">
        <v>36</v>
      </c>
      <c r="C7560">
        <v>34.706699999999998</v>
      </c>
      <c r="D7560">
        <v>-8.1403000000000003E-2</v>
      </c>
      <c r="E7560" t="s">
        <v>11222</v>
      </c>
      <c r="F7560" t="s">
        <v>11223</v>
      </c>
      <c r="G7560" t="s">
        <v>39</v>
      </c>
      <c r="H7560">
        <v>1971</v>
      </c>
      <c r="I7560">
        <v>22.9</v>
      </c>
      <c r="J7560">
        <v>13.8</v>
      </c>
      <c r="K7560">
        <v>84</v>
      </c>
      <c r="L7560">
        <v>7.42</v>
      </c>
      <c r="M7560">
        <v>31.5</v>
      </c>
      <c r="N7560">
        <v>15.2</v>
      </c>
      <c r="O7560">
        <v>16.3</v>
      </c>
      <c r="P7560">
        <v>23.1</v>
      </c>
      <c r="Q7560">
        <v>21.8</v>
      </c>
      <c r="R7560">
        <v>23.7</v>
      </c>
      <c r="S7560">
        <v>21.8</v>
      </c>
      <c r="T7560">
        <v>1315</v>
      </c>
      <c r="U7560">
        <v>224</v>
      </c>
      <c r="V7560">
        <v>58</v>
      </c>
      <c r="W7560">
        <v>43</v>
      </c>
      <c r="X7560">
        <v>548</v>
      </c>
      <c r="Y7560">
        <v>226</v>
      </c>
      <c r="Z7560">
        <v>308</v>
      </c>
      <c r="AA7560">
        <v>226</v>
      </c>
      <c r="AB7560">
        <v>8.466011</v>
      </c>
      <c r="AC7560">
        <v>2.0427399999999998E-2</v>
      </c>
      <c r="AD7560">
        <v>1.6183460000000001</v>
      </c>
      <c r="AE7560">
        <v>0.80930780000000002</v>
      </c>
      <c r="AF7560">
        <v>1149.086</v>
      </c>
      <c r="AG7560">
        <f>IFERROR(AH7560*0.1, "N/A")</f>
        <v>5.786772</v>
      </c>
      <c r="AH7560">
        <v>57.867719999999998</v>
      </c>
      <c r="AI7560">
        <v>199.93690000000001</v>
      </c>
      <c r="AJ7560">
        <v>37.405639999999998</v>
      </c>
      <c r="AK7560">
        <v>45.523809999999997</v>
      </c>
    </row>
    <row r="7561" spans="1:37" x14ac:dyDescent="0.3">
      <c r="A7561">
        <v>7560</v>
      </c>
      <c r="B7561">
        <v>0</v>
      </c>
      <c r="C7561">
        <v>34.253700000000002</v>
      </c>
      <c r="D7561">
        <v>-8.43E-2</v>
      </c>
      <c r="E7561" t="s">
        <v>11224</v>
      </c>
      <c r="F7561" t="s">
        <v>11225</v>
      </c>
      <c r="G7561" t="s">
        <v>37</v>
      </c>
      <c r="H7561">
        <v>2008</v>
      </c>
      <c r="I7561">
        <v>22</v>
      </c>
      <c r="J7561">
        <v>13.29735</v>
      </c>
      <c r="K7561">
        <v>85</v>
      </c>
      <c r="L7561">
        <v>6.5899470000000004</v>
      </c>
      <c r="M7561">
        <v>30.1</v>
      </c>
      <c r="N7561">
        <v>14.50529</v>
      </c>
      <c r="O7561">
        <v>15.594709999999999</v>
      </c>
      <c r="P7561">
        <v>22.3</v>
      </c>
      <c r="Q7561">
        <v>22.5</v>
      </c>
      <c r="R7561">
        <v>22.702649999999998</v>
      </c>
      <c r="S7561">
        <v>21.002649999999999</v>
      </c>
      <c r="T7561">
        <v>1204.7090000000001</v>
      </c>
      <c r="U7561">
        <v>198.94710000000001</v>
      </c>
      <c r="V7561">
        <v>44.97354</v>
      </c>
      <c r="W7561">
        <v>42</v>
      </c>
      <c r="X7561">
        <v>485.84129999999999</v>
      </c>
      <c r="Y7561">
        <v>204.94710000000001</v>
      </c>
      <c r="Z7561">
        <v>235.94710000000001</v>
      </c>
      <c r="AA7561">
        <v>213.94710000000001</v>
      </c>
      <c r="AB7561">
        <v>45.093229999999998</v>
      </c>
      <c r="AC7561">
        <v>1.198508E-2</v>
      </c>
      <c r="AD7561">
        <v>0.52326150000000005</v>
      </c>
      <c r="AE7561">
        <v>0.74001850000000002</v>
      </c>
      <c r="AF7561">
        <v>1271.3140000000001</v>
      </c>
      <c r="AG7561">
        <f>IFERROR(AH7561*0.1, "N/A")</f>
        <v>6.4</v>
      </c>
      <c r="AH7561">
        <v>64</v>
      </c>
      <c r="AI7561">
        <v>178.33330000000001</v>
      </c>
      <c r="AJ7561">
        <v>32.633159999999997</v>
      </c>
      <c r="AK7561">
        <v>49.366840000000003</v>
      </c>
    </row>
    <row r="7562" spans="1:37" x14ac:dyDescent="0.3">
      <c r="A7562">
        <v>7561</v>
      </c>
      <c r="B7562">
        <v>14.6</v>
      </c>
      <c r="C7562">
        <v>34.224800000000002</v>
      </c>
      <c r="D7562">
        <v>-8.5050000000000001E-2</v>
      </c>
      <c r="E7562" t="s">
        <v>11226</v>
      </c>
      <c r="F7562" t="s">
        <v>11227</v>
      </c>
      <c r="G7562" t="s">
        <v>37</v>
      </c>
      <c r="H7562">
        <v>2008</v>
      </c>
      <c r="I7562">
        <v>21.9</v>
      </c>
      <c r="J7562">
        <v>13.2</v>
      </c>
      <c r="K7562">
        <v>85</v>
      </c>
      <c r="L7562">
        <v>6.27257</v>
      </c>
      <c r="M7562">
        <v>30</v>
      </c>
      <c r="N7562">
        <v>14.6</v>
      </c>
      <c r="O7562">
        <v>15.4</v>
      </c>
      <c r="P7562">
        <v>22.2</v>
      </c>
      <c r="Q7562">
        <v>21.040489999999998</v>
      </c>
      <c r="R7562">
        <v>22.64049</v>
      </c>
      <c r="S7562">
        <v>21.040489999999998</v>
      </c>
      <c r="T7562">
        <v>1175.6199999999999</v>
      </c>
      <c r="U7562">
        <v>194</v>
      </c>
      <c r="V7562">
        <v>45</v>
      </c>
      <c r="W7562">
        <v>42.59507</v>
      </c>
      <c r="X7562">
        <v>476</v>
      </c>
      <c r="Y7562">
        <v>202.2148</v>
      </c>
      <c r="Z7562">
        <v>236</v>
      </c>
      <c r="AA7562">
        <v>202.2148</v>
      </c>
      <c r="AB7562">
        <v>42.308100000000003</v>
      </c>
      <c r="AC7562">
        <v>1.7381629999999999E-2</v>
      </c>
      <c r="AD7562">
        <v>2.3597039999999998</v>
      </c>
      <c r="AE7562">
        <v>0.52861769999999997</v>
      </c>
      <c r="AF7562">
        <v>1282.32</v>
      </c>
      <c r="AG7562">
        <f>IFERROR(AH7562*0.1, "N/A")</f>
        <v>6.2679580000000001</v>
      </c>
      <c r="AH7562">
        <v>62.679580000000001</v>
      </c>
      <c r="AI7562">
        <v>194.6481</v>
      </c>
      <c r="AJ7562">
        <v>32.59507</v>
      </c>
      <c r="AK7562">
        <v>49.084510000000002</v>
      </c>
    </row>
    <row r="7563" spans="1:37" x14ac:dyDescent="0.3">
      <c r="A7563">
        <v>7562</v>
      </c>
      <c r="B7563">
        <v>1.3</v>
      </c>
      <c r="C7563">
        <v>34.789700000000003</v>
      </c>
      <c r="D7563">
        <v>-8.5345000000000004E-2</v>
      </c>
      <c r="E7563" t="s">
        <v>11228</v>
      </c>
      <c r="F7563" t="s">
        <v>11229</v>
      </c>
      <c r="G7563" t="s">
        <v>39</v>
      </c>
      <c r="H7563">
        <v>1971</v>
      </c>
      <c r="I7563">
        <v>22.8</v>
      </c>
      <c r="J7563">
        <v>13.9</v>
      </c>
      <c r="K7563">
        <v>85</v>
      </c>
      <c r="L7563">
        <v>6.29</v>
      </c>
      <c r="M7563">
        <v>31.3</v>
      </c>
      <c r="N7563">
        <v>15.1</v>
      </c>
      <c r="O7563">
        <v>16.2</v>
      </c>
      <c r="P7563">
        <v>23</v>
      </c>
      <c r="Q7563">
        <v>21.9</v>
      </c>
      <c r="R7563">
        <v>23.5</v>
      </c>
      <c r="S7563">
        <v>21.9</v>
      </c>
      <c r="T7563">
        <v>1303</v>
      </c>
      <c r="U7563">
        <v>220</v>
      </c>
      <c r="V7563">
        <v>62</v>
      </c>
      <c r="W7563">
        <v>42</v>
      </c>
      <c r="X7563">
        <v>534</v>
      </c>
      <c r="Y7563">
        <v>227</v>
      </c>
      <c r="Z7563">
        <v>312</v>
      </c>
      <c r="AA7563">
        <v>227</v>
      </c>
      <c r="AB7563">
        <v>1.0263990000000001</v>
      </c>
      <c r="AC7563">
        <v>0.3821251</v>
      </c>
      <c r="AD7563">
        <v>0.86797069999999998</v>
      </c>
      <c r="AE7563">
        <v>0.76773369999999996</v>
      </c>
      <c r="AF7563">
        <v>1154.5070000000001</v>
      </c>
      <c r="AG7563">
        <f>IFERROR(AH7563*0.1, "N/A")</f>
        <v>6.3000000000000007</v>
      </c>
      <c r="AH7563">
        <v>63</v>
      </c>
      <c r="AI7563">
        <v>115.8459</v>
      </c>
      <c r="AJ7563">
        <v>42.713030000000003</v>
      </c>
      <c r="AK7563">
        <v>36.57394</v>
      </c>
    </row>
    <row r="7564" spans="1:37" x14ac:dyDescent="0.3">
      <c r="A7564">
        <v>7563</v>
      </c>
      <c r="B7564">
        <v>0</v>
      </c>
      <c r="C7564">
        <v>34.789700000000003</v>
      </c>
      <c r="D7564">
        <v>-8.5345000000000004E-2</v>
      </c>
      <c r="E7564" t="s">
        <v>11228</v>
      </c>
      <c r="F7564" t="s">
        <v>11230</v>
      </c>
      <c r="G7564" t="s">
        <v>37</v>
      </c>
      <c r="H7564">
        <v>1971</v>
      </c>
      <c r="I7564">
        <v>22.8</v>
      </c>
      <c r="J7564">
        <v>13.9</v>
      </c>
      <c r="K7564">
        <v>85</v>
      </c>
      <c r="L7564">
        <v>6.29</v>
      </c>
      <c r="M7564">
        <v>31.3</v>
      </c>
      <c r="N7564">
        <v>15.1</v>
      </c>
      <c r="O7564">
        <v>16.2</v>
      </c>
      <c r="P7564">
        <v>23</v>
      </c>
      <c r="Q7564">
        <v>21.9</v>
      </c>
      <c r="R7564">
        <v>23.5</v>
      </c>
      <c r="S7564">
        <v>21.9</v>
      </c>
      <c r="T7564">
        <v>1303</v>
      </c>
      <c r="U7564">
        <v>220</v>
      </c>
      <c r="V7564">
        <v>62</v>
      </c>
      <c r="W7564">
        <v>42</v>
      </c>
      <c r="X7564">
        <v>534</v>
      </c>
      <c r="Y7564">
        <v>227</v>
      </c>
      <c r="Z7564">
        <v>312</v>
      </c>
      <c r="AA7564">
        <v>227</v>
      </c>
      <c r="AB7564">
        <v>1.0263990000000001</v>
      </c>
      <c r="AC7564">
        <v>0.3821251</v>
      </c>
      <c r="AD7564">
        <v>0.86797069999999998</v>
      </c>
      <c r="AE7564">
        <v>0.76773369999999996</v>
      </c>
      <c r="AF7564">
        <v>1154.5070000000001</v>
      </c>
      <c r="AG7564">
        <f>IFERROR(AH7564*0.1, "N/A")</f>
        <v>6.3000000000000007</v>
      </c>
      <c r="AH7564">
        <v>63</v>
      </c>
      <c r="AI7564">
        <v>115.8459</v>
      </c>
      <c r="AJ7564">
        <v>42.713030000000003</v>
      </c>
      <c r="AK7564">
        <v>36.57394</v>
      </c>
    </row>
    <row r="7565" spans="1:37" x14ac:dyDescent="0.3">
      <c r="A7565">
        <v>7564</v>
      </c>
      <c r="B7565">
        <v>0</v>
      </c>
      <c r="C7565">
        <v>34.369999999999997</v>
      </c>
      <c r="D7565">
        <v>-8.8230000000000003E-2</v>
      </c>
      <c r="E7565" t="s">
        <v>11231</v>
      </c>
      <c r="F7565" t="s">
        <v>11232</v>
      </c>
      <c r="G7565" t="s">
        <v>37</v>
      </c>
      <c r="H7565">
        <v>2003</v>
      </c>
      <c r="I7565">
        <v>21.9</v>
      </c>
      <c r="J7565">
        <v>13.6</v>
      </c>
      <c r="K7565">
        <v>85</v>
      </c>
      <c r="L7565">
        <v>6.54</v>
      </c>
      <c r="M7565">
        <v>30.2</v>
      </c>
      <c r="N7565">
        <v>14.3</v>
      </c>
      <c r="O7565">
        <v>15.9</v>
      </c>
      <c r="P7565">
        <v>22.1</v>
      </c>
      <c r="Q7565">
        <v>22.4</v>
      </c>
      <c r="R7565">
        <v>22.6</v>
      </c>
      <c r="S7565">
        <v>20.9</v>
      </c>
      <c r="T7565">
        <v>1451</v>
      </c>
      <c r="U7565">
        <v>244</v>
      </c>
      <c r="V7565">
        <v>53</v>
      </c>
      <c r="W7565">
        <v>43</v>
      </c>
      <c r="X7565">
        <v>589</v>
      </c>
      <c r="Y7565">
        <v>228</v>
      </c>
      <c r="Z7565">
        <v>270</v>
      </c>
      <c r="AA7565">
        <v>280</v>
      </c>
      <c r="AB7565">
        <v>5.8067929999999999</v>
      </c>
      <c r="AC7565">
        <v>6.3647430000000005E-2</v>
      </c>
      <c r="AD7565">
        <v>1.893024</v>
      </c>
      <c r="AE7565">
        <v>0.75006589999999995</v>
      </c>
      <c r="AF7565">
        <v>1290.009</v>
      </c>
      <c r="AG7565">
        <f>IFERROR(AH7565*0.1, "N/A")</f>
        <v>5.9651330000000007</v>
      </c>
      <c r="AH7565">
        <v>59.651330000000002</v>
      </c>
      <c r="AI7565">
        <v>273.07729999999998</v>
      </c>
      <c r="AJ7565">
        <v>53.54336</v>
      </c>
      <c r="AK7565">
        <v>30.45664</v>
      </c>
    </row>
    <row r="7566" spans="1:37" x14ac:dyDescent="0.3">
      <c r="A7566">
        <v>7565</v>
      </c>
      <c r="B7566">
        <v>0</v>
      </c>
      <c r="C7566">
        <v>34.369999999999997</v>
      </c>
      <c r="D7566">
        <v>-8.8230000000000003E-2</v>
      </c>
      <c r="E7566" t="s">
        <v>11231</v>
      </c>
      <c r="F7566" t="s">
        <v>11233</v>
      </c>
      <c r="G7566" t="s">
        <v>39</v>
      </c>
      <c r="H7566">
        <v>2003</v>
      </c>
      <c r="I7566">
        <v>21.9</v>
      </c>
      <c r="J7566">
        <v>13.6</v>
      </c>
      <c r="K7566">
        <v>85</v>
      </c>
      <c r="L7566">
        <v>6.54</v>
      </c>
      <c r="M7566">
        <v>30.2</v>
      </c>
      <c r="N7566">
        <v>14.3</v>
      </c>
      <c r="O7566">
        <v>15.9</v>
      </c>
      <c r="P7566">
        <v>22.1</v>
      </c>
      <c r="Q7566">
        <v>22.4</v>
      </c>
      <c r="R7566">
        <v>22.6</v>
      </c>
      <c r="S7566">
        <v>20.9</v>
      </c>
      <c r="T7566">
        <v>1451</v>
      </c>
      <c r="U7566">
        <v>244</v>
      </c>
      <c r="V7566">
        <v>53</v>
      </c>
      <c r="W7566">
        <v>43</v>
      </c>
      <c r="X7566">
        <v>589</v>
      </c>
      <c r="Y7566">
        <v>228</v>
      </c>
      <c r="Z7566">
        <v>270</v>
      </c>
      <c r="AA7566">
        <v>280</v>
      </c>
      <c r="AB7566">
        <v>5.8067929999999999</v>
      </c>
      <c r="AC7566">
        <v>6.3647430000000005E-2</v>
      </c>
      <c r="AD7566">
        <v>1.893024</v>
      </c>
      <c r="AE7566">
        <v>0.75006589999999995</v>
      </c>
      <c r="AF7566">
        <v>1290.009</v>
      </c>
      <c r="AG7566">
        <f>IFERROR(AH7566*0.1, "N/A")</f>
        <v>5.9651330000000007</v>
      </c>
      <c r="AH7566">
        <v>59.651330000000002</v>
      </c>
      <c r="AI7566">
        <v>273.07729999999998</v>
      </c>
      <c r="AJ7566">
        <v>53.54336</v>
      </c>
      <c r="AK7566">
        <v>30.45664</v>
      </c>
    </row>
    <row r="7567" spans="1:37" x14ac:dyDescent="0.3">
      <c r="A7567">
        <v>7566</v>
      </c>
      <c r="B7567">
        <v>23.1</v>
      </c>
      <c r="C7567">
        <v>34.213700000000003</v>
      </c>
      <c r="D7567">
        <v>-9.1039999999999996E-2</v>
      </c>
      <c r="E7567" t="s">
        <v>11234</v>
      </c>
      <c r="F7567" t="s">
        <v>11235</v>
      </c>
      <c r="G7567" t="s">
        <v>37</v>
      </c>
      <c r="H7567">
        <v>2008</v>
      </c>
      <c r="I7567">
        <v>22.005649999999999</v>
      </c>
      <c r="J7567">
        <v>13.1</v>
      </c>
      <c r="K7567">
        <v>85</v>
      </c>
      <c r="L7567">
        <v>6.3264310000000004</v>
      </c>
      <c r="M7567">
        <v>30.005649999999999</v>
      </c>
      <c r="N7567">
        <v>14.61131</v>
      </c>
      <c r="O7567">
        <v>15.394349999999999</v>
      </c>
      <c r="P7567">
        <v>22.3</v>
      </c>
      <c r="Q7567">
        <v>21.011310000000002</v>
      </c>
      <c r="R7567">
        <v>22.705649999999999</v>
      </c>
      <c r="S7567">
        <v>21.011310000000002</v>
      </c>
      <c r="T7567">
        <v>1132.134</v>
      </c>
      <c r="U7567">
        <v>187.71729999999999</v>
      </c>
      <c r="V7567">
        <v>42.943460000000002</v>
      </c>
      <c r="W7567">
        <v>43.056539999999998</v>
      </c>
      <c r="X7567">
        <v>460.37810000000002</v>
      </c>
      <c r="Y7567">
        <v>191.49119999999999</v>
      </c>
      <c r="Z7567">
        <v>228.7739</v>
      </c>
      <c r="AA7567">
        <v>191.49119999999999</v>
      </c>
      <c r="AB7567">
        <v>29.774509999999999</v>
      </c>
      <c r="AC7567">
        <v>2.910194E-2</v>
      </c>
      <c r="AD7567">
        <v>2.713355</v>
      </c>
      <c r="AE7567">
        <v>0.40086840000000001</v>
      </c>
      <c r="AF7567">
        <v>1263.9960000000001</v>
      </c>
      <c r="AG7567">
        <f>IFERROR(AH7567*0.1, "N/A")</f>
        <v>6.1742050000000006</v>
      </c>
      <c r="AH7567">
        <v>61.742049999999999</v>
      </c>
      <c r="AI7567">
        <v>102.9699</v>
      </c>
      <c r="AJ7567">
        <v>34.462899999999998</v>
      </c>
      <c r="AK7567">
        <v>47.010599999999997</v>
      </c>
    </row>
    <row r="7568" spans="1:37" x14ac:dyDescent="0.3">
      <c r="A7568">
        <v>7567</v>
      </c>
      <c r="B7568">
        <v>13</v>
      </c>
      <c r="C7568">
        <v>34.767899999999997</v>
      </c>
      <c r="D7568">
        <v>-9.1324000000000002E-2</v>
      </c>
      <c r="E7568" t="s">
        <v>11236</v>
      </c>
      <c r="F7568" t="s">
        <v>11237</v>
      </c>
      <c r="G7568" t="s">
        <v>39</v>
      </c>
      <c r="H7568">
        <v>1982</v>
      </c>
      <c r="I7568">
        <v>22.723420000000001</v>
      </c>
      <c r="J7568">
        <v>13.9</v>
      </c>
      <c r="K7568">
        <v>85</v>
      </c>
      <c r="L7568">
        <v>6.2919539999999996</v>
      </c>
      <c r="M7568">
        <v>31.223420000000001</v>
      </c>
      <c r="N7568">
        <v>15</v>
      </c>
      <c r="O7568">
        <v>16.223420000000001</v>
      </c>
      <c r="P7568">
        <v>22.92342</v>
      </c>
      <c r="Q7568">
        <v>21.723420000000001</v>
      </c>
      <c r="R7568">
        <v>23.42342</v>
      </c>
      <c r="S7568">
        <v>21.723420000000001</v>
      </c>
      <c r="T7568">
        <v>1324.829</v>
      </c>
      <c r="U7568">
        <v>227.5317</v>
      </c>
      <c r="V7568">
        <v>63</v>
      </c>
      <c r="W7568">
        <v>42.76585</v>
      </c>
      <c r="X7568">
        <v>547.0634</v>
      </c>
      <c r="Y7568">
        <v>227</v>
      </c>
      <c r="Z7568">
        <v>318.5317</v>
      </c>
      <c r="AA7568">
        <v>227</v>
      </c>
      <c r="AB7568">
        <v>42.130490000000002</v>
      </c>
      <c r="AC7568">
        <v>1.6839860000000002E-2</v>
      </c>
      <c r="AD7568">
        <v>2.1676950000000001</v>
      </c>
      <c r="AE7568">
        <v>0.72703229999999996</v>
      </c>
      <c r="AF7568">
        <v>1184.414</v>
      </c>
      <c r="AG7568">
        <f>IFERROR(AH7568*0.1, "N/A")</f>
        <v>6.6894369999999999</v>
      </c>
      <c r="AH7568">
        <v>66.894369999999995</v>
      </c>
      <c r="AI7568">
        <v>168.89699999999999</v>
      </c>
      <c r="AJ7568">
        <v>38.707749999999997</v>
      </c>
      <c r="AK7568">
        <v>35.105629999999998</v>
      </c>
    </row>
    <row r="7569" spans="1:37" x14ac:dyDescent="0.3">
      <c r="A7569">
        <v>7568</v>
      </c>
      <c r="B7569">
        <v>3</v>
      </c>
      <c r="C7569">
        <v>34.399099999999997</v>
      </c>
      <c r="D7569">
        <v>-9.3703999999999996E-2</v>
      </c>
      <c r="E7569" t="s">
        <v>11238</v>
      </c>
      <c r="F7569" t="s">
        <v>11239</v>
      </c>
      <c r="G7569" t="s">
        <v>37</v>
      </c>
      <c r="H7569">
        <v>2003</v>
      </c>
      <c r="I7569">
        <v>21.9</v>
      </c>
      <c r="J7569">
        <v>13.7</v>
      </c>
      <c r="K7569">
        <v>85</v>
      </c>
      <c r="L7569">
        <v>6.58</v>
      </c>
      <c r="M7569">
        <v>30.3</v>
      </c>
      <c r="N7569">
        <v>14.2</v>
      </c>
      <c r="O7569">
        <v>16.100000000000001</v>
      </c>
      <c r="P7569">
        <v>22.1</v>
      </c>
      <c r="Q7569">
        <v>22.4</v>
      </c>
      <c r="R7569">
        <v>22.7</v>
      </c>
      <c r="S7569">
        <v>20.9</v>
      </c>
      <c r="T7569">
        <v>1449</v>
      </c>
      <c r="U7569">
        <v>244</v>
      </c>
      <c r="V7569">
        <v>53</v>
      </c>
      <c r="W7569">
        <v>43</v>
      </c>
      <c r="X7569">
        <v>588</v>
      </c>
      <c r="Y7569">
        <v>228</v>
      </c>
      <c r="Z7569">
        <v>270</v>
      </c>
      <c r="AA7569">
        <v>281</v>
      </c>
      <c r="AB7569">
        <v>32.912390000000002</v>
      </c>
      <c r="AC7569">
        <v>5.5055970000000003E-2</v>
      </c>
      <c r="AD7569">
        <v>2.3861750000000002</v>
      </c>
      <c r="AE7569">
        <v>0.74337549999999997</v>
      </c>
      <c r="AF7569">
        <v>1288.7950000000001</v>
      </c>
      <c r="AG7569">
        <f>IFERROR(AH7569*0.1, "N/A")</f>
        <v>5.9996470000000004</v>
      </c>
      <c r="AH7569">
        <v>59.996470000000002</v>
      </c>
      <c r="AI7569">
        <v>128.5412</v>
      </c>
      <c r="AJ7569">
        <v>46.945329999999998</v>
      </c>
      <c r="AK7569">
        <v>35.098770000000002</v>
      </c>
    </row>
    <row r="7570" spans="1:37" x14ac:dyDescent="0.3">
      <c r="A7570">
        <v>7569</v>
      </c>
      <c r="B7570">
        <v>0</v>
      </c>
      <c r="C7570">
        <v>34.399099999999997</v>
      </c>
      <c r="D7570">
        <v>-9.3703999999999996E-2</v>
      </c>
      <c r="E7570" t="s">
        <v>11238</v>
      </c>
      <c r="F7570" t="s">
        <v>11240</v>
      </c>
      <c r="G7570" t="s">
        <v>39</v>
      </c>
      <c r="H7570">
        <v>2003</v>
      </c>
      <c r="I7570">
        <v>21.9</v>
      </c>
      <c r="J7570">
        <v>13.7</v>
      </c>
      <c r="K7570">
        <v>85</v>
      </c>
      <c r="L7570">
        <v>6.58</v>
      </c>
      <c r="M7570">
        <v>30.3</v>
      </c>
      <c r="N7570">
        <v>14.2</v>
      </c>
      <c r="O7570">
        <v>16.100000000000001</v>
      </c>
      <c r="P7570">
        <v>22.1</v>
      </c>
      <c r="Q7570">
        <v>22.4</v>
      </c>
      <c r="R7570">
        <v>22.7</v>
      </c>
      <c r="S7570">
        <v>20.9</v>
      </c>
      <c r="T7570">
        <v>1449</v>
      </c>
      <c r="U7570">
        <v>244</v>
      </c>
      <c r="V7570">
        <v>53</v>
      </c>
      <c r="W7570">
        <v>43</v>
      </c>
      <c r="X7570">
        <v>588</v>
      </c>
      <c r="Y7570">
        <v>228</v>
      </c>
      <c r="Z7570">
        <v>270</v>
      </c>
      <c r="AA7570">
        <v>281</v>
      </c>
      <c r="AB7570">
        <v>32.912390000000002</v>
      </c>
      <c r="AC7570">
        <v>5.5055970000000003E-2</v>
      </c>
      <c r="AD7570">
        <v>2.3861750000000002</v>
      </c>
      <c r="AE7570">
        <v>0.74337549999999997</v>
      </c>
      <c r="AF7570">
        <v>1288.7950000000001</v>
      </c>
      <c r="AG7570">
        <f>IFERROR(AH7570*0.1, "N/A")</f>
        <v>5.9996470000000004</v>
      </c>
      <c r="AH7570">
        <v>59.996470000000002</v>
      </c>
      <c r="AI7570">
        <v>128.5412</v>
      </c>
      <c r="AJ7570">
        <v>46.945329999999998</v>
      </c>
      <c r="AK7570">
        <v>35.098770000000002</v>
      </c>
    </row>
    <row r="7571" spans="1:37" x14ac:dyDescent="0.3">
      <c r="A7571">
        <v>7570</v>
      </c>
      <c r="B7571">
        <v>3.8</v>
      </c>
      <c r="C7571">
        <v>34.846299999999999</v>
      </c>
      <c r="D7571">
        <v>-9.3917E-2</v>
      </c>
      <c r="E7571" t="s">
        <v>11241</v>
      </c>
      <c r="F7571" t="s">
        <v>11242</v>
      </c>
      <c r="G7571" t="s">
        <v>39</v>
      </c>
      <c r="H7571">
        <v>1971</v>
      </c>
      <c r="I7571">
        <v>22.9</v>
      </c>
      <c r="J7571">
        <v>14.1</v>
      </c>
      <c r="K7571">
        <v>87</v>
      </c>
      <c r="L7571">
        <v>5.42</v>
      </c>
      <c r="M7571">
        <v>31.4</v>
      </c>
      <c r="N7571">
        <v>15.2</v>
      </c>
      <c r="O7571">
        <v>16.2</v>
      </c>
      <c r="P7571">
        <v>23</v>
      </c>
      <c r="Q7571">
        <v>22.3</v>
      </c>
      <c r="R7571">
        <v>23.6</v>
      </c>
      <c r="S7571">
        <v>22.1</v>
      </c>
      <c r="T7571">
        <v>1264</v>
      </c>
      <c r="U7571">
        <v>211</v>
      </c>
      <c r="V7571">
        <v>63</v>
      </c>
      <c r="W7571">
        <v>40</v>
      </c>
      <c r="X7571">
        <v>512</v>
      </c>
      <c r="Y7571">
        <v>225</v>
      </c>
      <c r="Z7571">
        <v>305</v>
      </c>
      <c r="AA7571">
        <v>226</v>
      </c>
      <c r="AB7571">
        <v>2.756548</v>
      </c>
      <c r="AC7571">
        <v>2.6260550000000001E-2</v>
      </c>
      <c r="AD7571">
        <v>0.74630280000000004</v>
      </c>
      <c r="AE7571">
        <v>0.75928169999999995</v>
      </c>
      <c r="AF7571">
        <v>1151.3630000000001</v>
      </c>
      <c r="AG7571">
        <f>IFERROR(AH7571*0.1, "N/A")</f>
        <v>6.6000000000000005</v>
      </c>
      <c r="AH7571">
        <v>66</v>
      </c>
      <c r="AI7571">
        <v>141.7663</v>
      </c>
      <c r="AJ7571">
        <v>27.510560000000002</v>
      </c>
      <c r="AK7571">
        <v>54.528170000000003</v>
      </c>
    </row>
    <row r="7572" spans="1:37" x14ac:dyDescent="0.3">
      <c r="A7572">
        <v>7571</v>
      </c>
      <c r="B7572">
        <v>0</v>
      </c>
      <c r="C7572">
        <v>34.846299999999999</v>
      </c>
      <c r="D7572">
        <v>-9.3917E-2</v>
      </c>
      <c r="E7572" t="s">
        <v>11241</v>
      </c>
      <c r="F7572" t="s">
        <v>11243</v>
      </c>
      <c r="G7572" t="s">
        <v>37</v>
      </c>
      <c r="H7572">
        <v>1971</v>
      </c>
      <c r="I7572">
        <v>22.9</v>
      </c>
      <c r="J7572">
        <v>14.1</v>
      </c>
      <c r="K7572">
        <v>87</v>
      </c>
      <c r="L7572">
        <v>5.42</v>
      </c>
      <c r="M7572">
        <v>31.4</v>
      </c>
      <c r="N7572">
        <v>15.2</v>
      </c>
      <c r="O7572">
        <v>16.2</v>
      </c>
      <c r="P7572">
        <v>23</v>
      </c>
      <c r="Q7572">
        <v>22.3</v>
      </c>
      <c r="R7572">
        <v>23.6</v>
      </c>
      <c r="S7572">
        <v>22.1</v>
      </c>
      <c r="T7572">
        <v>1264</v>
      </c>
      <c r="U7572">
        <v>211</v>
      </c>
      <c r="V7572">
        <v>63</v>
      </c>
      <c r="W7572">
        <v>40</v>
      </c>
      <c r="X7572">
        <v>512</v>
      </c>
      <c r="Y7572">
        <v>225</v>
      </c>
      <c r="Z7572">
        <v>305</v>
      </c>
      <c r="AA7572">
        <v>226</v>
      </c>
      <c r="AB7572">
        <v>2.756548</v>
      </c>
      <c r="AC7572">
        <v>2.6260550000000001E-2</v>
      </c>
      <c r="AD7572">
        <v>0.74630280000000004</v>
      </c>
      <c r="AE7572">
        <v>0.75928169999999995</v>
      </c>
      <c r="AF7572">
        <v>1151.3630000000001</v>
      </c>
      <c r="AG7572">
        <f>IFERROR(AH7572*0.1, "N/A")</f>
        <v>6.6000000000000005</v>
      </c>
      <c r="AH7572">
        <v>66</v>
      </c>
      <c r="AI7572">
        <v>141.7663</v>
      </c>
      <c r="AJ7572">
        <v>27.510560000000002</v>
      </c>
      <c r="AK7572">
        <v>54.528170000000003</v>
      </c>
    </row>
    <row r="7573" spans="1:37" x14ac:dyDescent="0.3">
      <c r="A7573">
        <v>7572</v>
      </c>
      <c r="B7573">
        <v>12.5</v>
      </c>
      <c r="C7573">
        <v>34.353999999999999</v>
      </c>
      <c r="D7573">
        <v>-9.4055E-2</v>
      </c>
      <c r="E7573" t="s">
        <v>11244</v>
      </c>
      <c r="F7573" t="s">
        <v>11245</v>
      </c>
      <c r="G7573" t="s">
        <v>37</v>
      </c>
      <c r="H7573">
        <v>2003</v>
      </c>
      <c r="I7573">
        <v>21.7</v>
      </c>
      <c r="J7573">
        <v>13.7</v>
      </c>
      <c r="K7573">
        <v>86</v>
      </c>
      <c r="L7573">
        <v>6.41</v>
      </c>
      <c r="M7573">
        <v>30.1</v>
      </c>
      <c r="N7573">
        <v>14.2</v>
      </c>
      <c r="O7573">
        <v>15.9</v>
      </c>
      <c r="P7573">
        <v>22</v>
      </c>
      <c r="Q7573">
        <v>22.3</v>
      </c>
      <c r="R7573">
        <v>22.5</v>
      </c>
      <c r="S7573">
        <v>20.8</v>
      </c>
      <c r="T7573">
        <v>1446</v>
      </c>
      <c r="U7573">
        <v>241</v>
      </c>
      <c r="V7573">
        <v>53</v>
      </c>
      <c r="W7573">
        <v>43</v>
      </c>
      <c r="X7573">
        <v>584</v>
      </c>
      <c r="Y7573">
        <v>229</v>
      </c>
      <c r="Z7573">
        <v>269</v>
      </c>
      <c r="AA7573">
        <v>278</v>
      </c>
      <c r="AB7573">
        <v>41.720799999999997</v>
      </c>
      <c r="AC7573">
        <v>1.890476E-2</v>
      </c>
      <c r="AD7573">
        <v>2.2669679999999999</v>
      </c>
      <c r="AE7573">
        <v>0.74360630000000005</v>
      </c>
      <c r="AF7573">
        <v>1326.827</v>
      </c>
      <c r="AG7573">
        <f>IFERROR(AH7573*0.1, "N/A")</f>
        <v>5.8065260000000007</v>
      </c>
      <c r="AH7573">
        <v>58.065260000000002</v>
      </c>
      <c r="AI7573">
        <v>221.74930000000001</v>
      </c>
      <c r="AJ7573">
        <v>48.25573</v>
      </c>
      <c r="AK7573">
        <v>34.342149999999997</v>
      </c>
    </row>
    <row r="7574" spans="1:37" x14ac:dyDescent="0.3">
      <c r="A7574">
        <v>7573</v>
      </c>
      <c r="B7574">
        <v>0</v>
      </c>
      <c r="C7574">
        <v>34.353999999999999</v>
      </c>
      <c r="D7574">
        <v>-9.4055E-2</v>
      </c>
      <c r="E7574" t="s">
        <v>11244</v>
      </c>
      <c r="F7574" t="s">
        <v>11246</v>
      </c>
      <c r="G7574" t="s">
        <v>39</v>
      </c>
      <c r="H7574">
        <v>2003</v>
      </c>
      <c r="I7574">
        <v>21.7</v>
      </c>
      <c r="J7574">
        <v>13.7</v>
      </c>
      <c r="K7574">
        <v>86</v>
      </c>
      <c r="L7574">
        <v>6.41</v>
      </c>
      <c r="M7574">
        <v>30.1</v>
      </c>
      <c r="N7574">
        <v>14.2</v>
      </c>
      <c r="O7574">
        <v>15.9</v>
      </c>
      <c r="P7574">
        <v>22</v>
      </c>
      <c r="Q7574">
        <v>22.3</v>
      </c>
      <c r="R7574">
        <v>22.5</v>
      </c>
      <c r="S7574">
        <v>20.8</v>
      </c>
      <c r="T7574">
        <v>1446</v>
      </c>
      <c r="U7574">
        <v>241</v>
      </c>
      <c r="V7574">
        <v>53</v>
      </c>
      <c r="W7574">
        <v>43</v>
      </c>
      <c r="X7574">
        <v>584</v>
      </c>
      <c r="Y7574">
        <v>229</v>
      </c>
      <c r="Z7574">
        <v>269</v>
      </c>
      <c r="AA7574">
        <v>278</v>
      </c>
      <c r="AB7574">
        <v>41.720799999999997</v>
      </c>
      <c r="AC7574">
        <v>1.890476E-2</v>
      </c>
      <c r="AD7574">
        <v>2.2669679999999999</v>
      </c>
      <c r="AE7574">
        <v>0.74360630000000005</v>
      </c>
      <c r="AF7574">
        <v>1326.827</v>
      </c>
      <c r="AG7574">
        <f>IFERROR(AH7574*0.1, "N/A")</f>
        <v>5.8065260000000007</v>
      </c>
      <c r="AH7574">
        <v>58.065260000000002</v>
      </c>
      <c r="AI7574">
        <v>221.74930000000001</v>
      </c>
      <c r="AJ7574">
        <v>48.25573</v>
      </c>
      <c r="AK7574">
        <v>34.342149999999997</v>
      </c>
    </row>
    <row r="7575" spans="1:37" x14ac:dyDescent="0.3">
      <c r="A7575">
        <v>7574</v>
      </c>
      <c r="B7575">
        <v>71</v>
      </c>
      <c r="C7575">
        <v>34.2746</v>
      </c>
      <c r="D7575">
        <v>-9.9391999999999994E-2</v>
      </c>
      <c r="E7575" t="s">
        <v>11247</v>
      </c>
      <c r="F7575" t="s">
        <v>11248</v>
      </c>
      <c r="G7575" t="s">
        <v>37</v>
      </c>
      <c r="H7575">
        <v>2003</v>
      </c>
      <c r="I7575">
        <v>22.022259999999999</v>
      </c>
      <c r="J7575">
        <v>13.3</v>
      </c>
      <c r="K7575">
        <v>84.992930000000001</v>
      </c>
      <c r="L7575">
        <v>6.3497880000000002</v>
      </c>
      <c r="M7575">
        <v>30.126329999999999</v>
      </c>
      <c r="N7575">
        <v>14.52562</v>
      </c>
      <c r="O7575">
        <v>15.600709999999999</v>
      </c>
      <c r="P7575">
        <v>22.32226</v>
      </c>
      <c r="Q7575">
        <v>22.52562</v>
      </c>
      <c r="R7575">
        <v>22.747879999999999</v>
      </c>
      <c r="S7575">
        <v>21.047170000000001</v>
      </c>
      <c r="T7575">
        <v>1213.06</v>
      </c>
      <c r="U7575">
        <v>201.64490000000001</v>
      </c>
      <c r="V7575">
        <v>44.777389999999997</v>
      </c>
      <c r="W7575">
        <v>42.966430000000003</v>
      </c>
      <c r="X7575">
        <v>489.85160000000002</v>
      </c>
      <c r="Y7575">
        <v>205.8604</v>
      </c>
      <c r="Z7575">
        <v>236.8604</v>
      </c>
      <c r="AA7575">
        <v>216.8021</v>
      </c>
      <c r="AB7575">
        <v>12.2188</v>
      </c>
      <c r="AC7575">
        <v>1.0677249999999999E-2</v>
      </c>
      <c r="AD7575">
        <v>1.4488749999999999</v>
      </c>
      <c r="AE7575">
        <v>0.76806260000000004</v>
      </c>
      <c r="AF7575">
        <v>1255.8109999999999</v>
      </c>
      <c r="AG7575">
        <f>IFERROR(AH7575*0.1, "N/A")</f>
        <v>6.6091870000000004</v>
      </c>
      <c r="AH7575">
        <v>66.09187</v>
      </c>
      <c r="AI7575">
        <v>229.73150000000001</v>
      </c>
      <c r="AJ7575">
        <v>35.181980000000003</v>
      </c>
      <c r="AK7575">
        <v>45.918729999999996</v>
      </c>
    </row>
    <row r="7576" spans="1:37" x14ac:dyDescent="0.3">
      <c r="A7576">
        <v>7575</v>
      </c>
      <c r="B7576">
        <v>100</v>
      </c>
      <c r="C7576">
        <v>34.75</v>
      </c>
      <c r="D7576">
        <v>-0.1</v>
      </c>
      <c r="E7576" t="s">
        <v>11249</v>
      </c>
      <c r="F7576" t="s">
        <v>11250</v>
      </c>
      <c r="G7576" t="s">
        <v>37</v>
      </c>
      <c r="H7576">
        <v>1997</v>
      </c>
      <c r="I7576">
        <v>23.07206</v>
      </c>
      <c r="J7576">
        <v>13.815289999999999</v>
      </c>
      <c r="K7576">
        <v>85.152900000000002</v>
      </c>
      <c r="L7576">
        <v>6.4965200000000003</v>
      </c>
      <c r="M7576">
        <v>31.472059999999999</v>
      </c>
      <c r="N7576">
        <v>15.372059999999999</v>
      </c>
      <c r="O7576">
        <v>16.100000000000001</v>
      </c>
      <c r="P7576">
        <v>23.174689999999998</v>
      </c>
      <c r="Q7576">
        <v>22.05677</v>
      </c>
      <c r="R7576">
        <v>23.759399999999999</v>
      </c>
      <c r="S7576">
        <v>22.05677</v>
      </c>
      <c r="T7576">
        <v>1297.924</v>
      </c>
      <c r="U7576">
        <v>220.5729</v>
      </c>
      <c r="V7576">
        <v>60.305799999999998</v>
      </c>
      <c r="W7576">
        <v>42.152900000000002</v>
      </c>
      <c r="X7576">
        <v>536.43409999999994</v>
      </c>
      <c r="Y7576">
        <v>223.3058</v>
      </c>
      <c r="Z7576">
        <v>308.62569999999999</v>
      </c>
      <c r="AA7576">
        <v>223.3058</v>
      </c>
      <c r="AB7576">
        <v>24.93027</v>
      </c>
      <c r="AC7576">
        <v>1.179272E-2</v>
      </c>
      <c r="AD7576">
        <v>3.9270160000000001</v>
      </c>
      <c r="AE7576">
        <v>0.67506549999999999</v>
      </c>
      <c r="AF7576">
        <v>1152.694</v>
      </c>
      <c r="AG7576">
        <f>IFERROR(AH7576*0.1, "N/A")</f>
        <v>6.5602810000000007</v>
      </c>
      <c r="AH7576">
        <v>65.602810000000005</v>
      </c>
      <c r="AI7576">
        <v>282.21140000000003</v>
      </c>
      <c r="AJ7576">
        <v>34.133569999999999</v>
      </c>
      <c r="AK7576">
        <v>39.701230000000002</v>
      </c>
    </row>
    <row r="7577" spans="1:37" x14ac:dyDescent="0.3">
      <c r="A7577">
        <v>7576</v>
      </c>
      <c r="B7577">
        <v>1.9</v>
      </c>
      <c r="C7577">
        <v>34.75</v>
      </c>
      <c r="D7577">
        <v>-0.1</v>
      </c>
      <c r="E7577" t="s">
        <v>11249</v>
      </c>
      <c r="F7577" t="s">
        <v>11251</v>
      </c>
      <c r="G7577" t="s">
        <v>39</v>
      </c>
      <c r="H7577">
        <v>1997</v>
      </c>
      <c r="I7577">
        <v>23.07206</v>
      </c>
      <c r="J7577">
        <v>13.815289999999999</v>
      </c>
      <c r="K7577">
        <v>85.152900000000002</v>
      </c>
      <c r="L7577">
        <v>6.4965200000000003</v>
      </c>
      <c r="M7577">
        <v>31.472059999999999</v>
      </c>
      <c r="N7577">
        <v>15.372059999999999</v>
      </c>
      <c r="O7577">
        <v>16.100000000000001</v>
      </c>
      <c r="P7577">
        <v>23.174689999999998</v>
      </c>
      <c r="Q7577">
        <v>22.05677</v>
      </c>
      <c r="R7577">
        <v>23.759399999999999</v>
      </c>
      <c r="S7577">
        <v>22.05677</v>
      </c>
      <c r="T7577">
        <v>1297.924</v>
      </c>
      <c r="U7577">
        <v>220.5729</v>
      </c>
      <c r="V7577">
        <v>60.305799999999998</v>
      </c>
      <c r="W7577">
        <v>42.152900000000002</v>
      </c>
      <c r="X7577">
        <v>536.43409999999994</v>
      </c>
      <c r="Y7577">
        <v>223.3058</v>
      </c>
      <c r="Z7577">
        <v>308.62569999999999</v>
      </c>
      <c r="AA7577">
        <v>223.3058</v>
      </c>
      <c r="AB7577">
        <v>24.93027</v>
      </c>
      <c r="AC7577">
        <v>1.179272E-2</v>
      </c>
      <c r="AD7577">
        <v>3.9270160000000001</v>
      </c>
      <c r="AE7577">
        <v>0.67506549999999999</v>
      </c>
      <c r="AF7577">
        <v>1152.694</v>
      </c>
      <c r="AG7577">
        <f>IFERROR(AH7577*0.1, "N/A")</f>
        <v>6.5602810000000007</v>
      </c>
      <c r="AH7577">
        <v>65.602810000000005</v>
      </c>
      <c r="AI7577">
        <v>282.21140000000003</v>
      </c>
      <c r="AJ7577">
        <v>34.133569999999999</v>
      </c>
      <c r="AK7577">
        <v>39.701230000000002</v>
      </c>
    </row>
    <row r="7578" spans="1:37" x14ac:dyDescent="0.3">
      <c r="A7578">
        <v>7577</v>
      </c>
      <c r="B7578">
        <v>10.3</v>
      </c>
      <c r="C7578">
        <v>34.375100000000003</v>
      </c>
      <c r="D7578">
        <v>-0.10359</v>
      </c>
      <c r="E7578" t="s">
        <v>11252</v>
      </c>
      <c r="F7578" t="s">
        <v>11253</v>
      </c>
      <c r="G7578" t="s">
        <v>37</v>
      </c>
      <c r="H7578">
        <v>2003</v>
      </c>
      <c r="I7578">
        <v>22</v>
      </c>
      <c r="J7578">
        <v>13.6</v>
      </c>
      <c r="K7578">
        <v>85.343310000000002</v>
      </c>
      <c r="L7578">
        <v>6.5811970000000004</v>
      </c>
      <c r="M7578">
        <v>30.3</v>
      </c>
      <c r="N7578">
        <v>14.434329999999999</v>
      </c>
      <c r="O7578">
        <v>15.86567</v>
      </c>
      <c r="P7578">
        <v>22.23433</v>
      </c>
      <c r="Q7578">
        <v>22.534330000000001</v>
      </c>
      <c r="R7578">
        <v>22.73433</v>
      </c>
      <c r="S7578">
        <v>21.034330000000001</v>
      </c>
      <c r="T7578">
        <v>1385.268</v>
      </c>
      <c r="U7578">
        <v>233.9401</v>
      </c>
      <c r="V7578">
        <v>50.313380000000002</v>
      </c>
      <c r="W7578">
        <v>43</v>
      </c>
      <c r="X7578">
        <v>563.85040000000004</v>
      </c>
      <c r="Y7578">
        <v>221.2835</v>
      </c>
      <c r="Z7578">
        <v>261.2835</v>
      </c>
      <c r="AA7578">
        <v>263.56689999999998</v>
      </c>
      <c r="AB7578">
        <v>32.245060000000002</v>
      </c>
      <c r="AC7578">
        <v>5.8194559999999999E-2</v>
      </c>
      <c r="AD7578">
        <v>4.0037180000000001</v>
      </c>
      <c r="AE7578">
        <v>0.74675259999999999</v>
      </c>
      <c r="AF7578">
        <v>1274.6780000000001</v>
      </c>
      <c r="AG7578">
        <f>IFERROR(AH7578*0.1, "N/A")</f>
        <v>5.8278170000000005</v>
      </c>
      <c r="AH7578">
        <v>58.278170000000003</v>
      </c>
      <c r="AI7578">
        <v>251.38480000000001</v>
      </c>
      <c r="AJ7578">
        <v>52.79401</v>
      </c>
      <c r="AK7578">
        <v>30.653169999999999</v>
      </c>
    </row>
    <row r="7579" spans="1:37" x14ac:dyDescent="0.3">
      <c r="A7579">
        <v>7578</v>
      </c>
      <c r="B7579">
        <v>0</v>
      </c>
      <c r="C7579">
        <v>34.375100000000003</v>
      </c>
      <c r="D7579">
        <v>-0.10359</v>
      </c>
      <c r="E7579" t="s">
        <v>11252</v>
      </c>
      <c r="F7579" t="s">
        <v>11254</v>
      </c>
      <c r="G7579" t="s">
        <v>39</v>
      </c>
      <c r="H7579">
        <v>2003</v>
      </c>
      <c r="I7579">
        <v>22</v>
      </c>
      <c r="J7579">
        <v>13.6</v>
      </c>
      <c r="K7579">
        <v>85.343310000000002</v>
      </c>
      <c r="L7579">
        <v>6.5811970000000004</v>
      </c>
      <c r="M7579">
        <v>30.3</v>
      </c>
      <c r="N7579">
        <v>14.434329999999999</v>
      </c>
      <c r="O7579">
        <v>15.86567</v>
      </c>
      <c r="P7579">
        <v>22.23433</v>
      </c>
      <c r="Q7579">
        <v>22.534330000000001</v>
      </c>
      <c r="R7579">
        <v>22.73433</v>
      </c>
      <c r="S7579">
        <v>21.034330000000001</v>
      </c>
      <c r="T7579">
        <v>1385.268</v>
      </c>
      <c r="U7579">
        <v>233.9401</v>
      </c>
      <c r="V7579">
        <v>50.313380000000002</v>
      </c>
      <c r="W7579">
        <v>43</v>
      </c>
      <c r="X7579">
        <v>563.85040000000004</v>
      </c>
      <c r="Y7579">
        <v>221.2835</v>
      </c>
      <c r="Z7579">
        <v>261.2835</v>
      </c>
      <c r="AA7579">
        <v>263.56689999999998</v>
      </c>
      <c r="AB7579">
        <v>32.245060000000002</v>
      </c>
      <c r="AC7579">
        <v>5.8194559999999999E-2</v>
      </c>
      <c r="AD7579">
        <v>4.0037180000000001</v>
      </c>
      <c r="AE7579">
        <v>0.74675259999999999</v>
      </c>
      <c r="AF7579">
        <v>1274.6780000000001</v>
      </c>
      <c r="AG7579">
        <f>IFERROR(AH7579*0.1, "N/A")</f>
        <v>5.8278170000000005</v>
      </c>
      <c r="AH7579">
        <v>58.278170000000003</v>
      </c>
      <c r="AI7579">
        <v>251.38480000000001</v>
      </c>
      <c r="AJ7579">
        <v>52.79401</v>
      </c>
      <c r="AK7579">
        <v>30.653169999999999</v>
      </c>
    </row>
    <row r="7580" spans="1:37" x14ac:dyDescent="0.3">
      <c r="A7580">
        <v>7579</v>
      </c>
      <c r="B7580">
        <v>2.6</v>
      </c>
      <c r="C7580">
        <v>34.3992</v>
      </c>
      <c r="D7580">
        <v>-0.10376000000000001</v>
      </c>
      <c r="E7580" t="s">
        <v>11255</v>
      </c>
      <c r="F7580" t="s">
        <v>11256</v>
      </c>
      <c r="G7580" t="s">
        <v>37</v>
      </c>
      <c r="H7580">
        <v>2003</v>
      </c>
      <c r="I7580">
        <v>21.9</v>
      </c>
      <c r="J7580">
        <v>13.7</v>
      </c>
      <c r="K7580">
        <v>85</v>
      </c>
      <c r="L7580">
        <v>6.44</v>
      </c>
      <c r="M7580">
        <v>30.3</v>
      </c>
      <c r="N7580">
        <v>14.3</v>
      </c>
      <c r="O7580">
        <v>16</v>
      </c>
      <c r="P7580">
        <v>22.2</v>
      </c>
      <c r="Q7580">
        <v>22.5</v>
      </c>
      <c r="R7580">
        <v>22.7</v>
      </c>
      <c r="S7580">
        <v>21</v>
      </c>
      <c r="T7580">
        <v>1430</v>
      </c>
      <c r="U7580">
        <v>241</v>
      </c>
      <c r="V7580">
        <v>52</v>
      </c>
      <c r="W7580">
        <v>43</v>
      </c>
      <c r="X7580">
        <v>581</v>
      </c>
      <c r="Y7580">
        <v>226</v>
      </c>
      <c r="Z7580">
        <v>267</v>
      </c>
      <c r="AA7580">
        <v>276</v>
      </c>
      <c r="AB7580">
        <v>27.8963</v>
      </c>
      <c r="AC7580">
        <v>1.107608E-2</v>
      </c>
      <c r="AD7580">
        <v>1.225033</v>
      </c>
      <c r="AE7580">
        <v>0.74615690000000001</v>
      </c>
      <c r="AF7580">
        <v>1286.3499999999999</v>
      </c>
      <c r="AG7580">
        <f>IFERROR(AH7580*0.1, "N/A")</f>
        <v>5.8169010000000005</v>
      </c>
      <c r="AH7580">
        <v>58.16901</v>
      </c>
      <c r="AI7580">
        <v>67.514380000000003</v>
      </c>
      <c r="AJ7580">
        <v>46.338030000000003</v>
      </c>
      <c r="AK7580">
        <v>35.661969999999997</v>
      </c>
    </row>
    <row r="7581" spans="1:37" x14ac:dyDescent="0.3">
      <c r="A7581">
        <v>7580</v>
      </c>
      <c r="B7581">
        <v>0</v>
      </c>
      <c r="C7581">
        <v>34.3992</v>
      </c>
      <c r="D7581">
        <v>-0.10376000000000001</v>
      </c>
      <c r="E7581" t="s">
        <v>11255</v>
      </c>
      <c r="F7581" t="s">
        <v>11257</v>
      </c>
      <c r="G7581" t="s">
        <v>39</v>
      </c>
      <c r="H7581">
        <v>2003</v>
      </c>
      <c r="I7581">
        <v>21.9</v>
      </c>
      <c r="J7581">
        <v>13.7</v>
      </c>
      <c r="K7581">
        <v>85</v>
      </c>
      <c r="L7581">
        <v>6.44</v>
      </c>
      <c r="M7581">
        <v>30.3</v>
      </c>
      <c r="N7581">
        <v>14.3</v>
      </c>
      <c r="O7581">
        <v>16</v>
      </c>
      <c r="P7581">
        <v>22.2</v>
      </c>
      <c r="Q7581">
        <v>22.5</v>
      </c>
      <c r="R7581">
        <v>22.7</v>
      </c>
      <c r="S7581">
        <v>21</v>
      </c>
      <c r="T7581">
        <v>1430</v>
      </c>
      <c r="U7581">
        <v>241</v>
      </c>
      <c r="V7581">
        <v>52</v>
      </c>
      <c r="W7581">
        <v>43</v>
      </c>
      <c r="X7581">
        <v>581</v>
      </c>
      <c r="Y7581">
        <v>226</v>
      </c>
      <c r="Z7581">
        <v>267</v>
      </c>
      <c r="AA7581">
        <v>276</v>
      </c>
      <c r="AB7581">
        <v>27.8963</v>
      </c>
      <c r="AC7581">
        <v>1.107608E-2</v>
      </c>
      <c r="AD7581">
        <v>1.225033</v>
      </c>
      <c r="AE7581">
        <v>0.74615690000000001</v>
      </c>
      <c r="AF7581">
        <v>1286.3499999999999</v>
      </c>
      <c r="AG7581">
        <f>IFERROR(AH7581*0.1, "N/A")</f>
        <v>5.8169010000000005</v>
      </c>
      <c r="AH7581">
        <v>58.16901</v>
      </c>
      <c r="AI7581">
        <v>67.514380000000003</v>
      </c>
      <c r="AJ7581">
        <v>46.338030000000003</v>
      </c>
      <c r="AK7581">
        <v>35.661969999999997</v>
      </c>
    </row>
    <row r="7582" spans="1:37" x14ac:dyDescent="0.3">
      <c r="A7582">
        <v>7581</v>
      </c>
      <c r="B7582">
        <v>6</v>
      </c>
      <c r="C7582">
        <v>34.355699999999999</v>
      </c>
      <c r="D7582">
        <v>-0.104715</v>
      </c>
      <c r="E7582" t="s">
        <v>11258</v>
      </c>
      <c r="F7582" t="s">
        <v>11259</v>
      </c>
      <c r="G7582" t="s">
        <v>37</v>
      </c>
      <c r="H7582">
        <v>2003</v>
      </c>
      <c r="I7582">
        <v>21.8</v>
      </c>
      <c r="J7582">
        <v>13.6</v>
      </c>
      <c r="K7582">
        <v>86</v>
      </c>
      <c r="L7582">
        <v>6.47</v>
      </c>
      <c r="M7582">
        <v>30.1</v>
      </c>
      <c r="N7582">
        <v>14.3</v>
      </c>
      <c r="O7582">
        <v>15.8</v>
      </c>
      <c r="P7582">
        <v>22.1</v>
      </c>
      <c r="Q7582">
        <v>22.4</v>
      </c>
      <c r="R7582">
        <v>22.6</v>
      </c>
      <c r="S7582">
        <v>20.9</v>
      </c>
      <c r="T7582">
        <v>1403</v>
      </c>
      <c r="U7582">
        <v>235</v>
      </c>
      <c r="V7582">
        <v>51</v>
      </c>
      <c r="W7582">
        <v>43</v>
      </c>
      <c r="X7582">
        <v>568</v>
      </c>
      <c r="Y7582">
        <v>225</v>
      </c>
      <c r="Z7582">
        <v>263</v>
      </c>
      <c r="AA7582">
        <v>267</v>
      </c>
      <c r="AB7582">
        <v>46.40804</v>
      </c>
      <c r="AC7582">
        <v>1.059091E-2</v>
      </c>
      <c r="AD7582">
        <v>2.8640690000000002</v>
      </c>
      <c r="AE7582">
        <v>0.74136639999999998</v>
      </c>
      <c r="AF7582">
        <v>1300.1859999999999</v>
      </c>
      <c r="AG7582">
        <f>IFERROR(AH7582*0.1, "N/A")</f>
        <v>6</v>
      </c>
      <c r="AH7582">
        <v>60</v>
      </c>
      <c r="AI7582">
        <v>257.23509999999999</v>
      </c>
      <c r="AJ7582">
        <v>48.943759999999997</v>
      </c>
      <c r="AK7582">
        <v>34.367310000000003</v>
      </c>
    </row>
    <row r="7583" spans="1:37" x14ac:dyDescent="0.3">
      <c r="A7583">
        <v>7582</v>
      </c>
      <c r="B7583">
        <v>0</v>
      </c>
      <c r="C7583">
        <v>34.355699999999999</v>
      </c>
      <c r="D7583">
        <v>-0.104715</v>
      </c>
      <c r="E7583" t="s">
        <v>11258</v>
      </c>
      <c r="F7583" t="s">
        <v>11260</v>
      </c>
      <c r="G7583" t="s">
        <v>39</v>
      </c>
      <c r="H7583">
        <v>2003</v>
      </c>
      <c r="I7583">
        <v>21.8</v>
      </c>
      <c r="J7583">
        <v>13.6</v>
      </c>
      <c r="K7583">
        <v>86</v>
      </c>
      <c r="L7583">
        <v>6.47</v>
      </c>
      <c r="M7583">
        <v>30.1</v>
      </c>
      <c r="N7583">
        <v>14.3</v>
      </c>
      <c r="O7583">
        <v>15.8</v>
      </c>
      <c r="P7583">
        <v>22.1</v>
      </c>
      <c r="Q7583">
        <v>22.4</v>
      </c>
      <c r="R7583">
        <v>22.6</v>
      </c>
      <c r="S7583">
        <v>20.9</v>
      </c>
      <c r="T7583">
        <v>1403</v>
      </c>
      <c r="U7583">
        <v>235</v>
      </c>
      <c r="V7583">
        <v>51</v>
      </c>
      <c r="W7583">
        <v>43</v>
      </c>
      <c r="X7583">
        <v>568</v>
      </c>
      <c r="Y7583">
        <v>225</v>
      </c>
      <c r="Z7583">
        <v>263</v>
      </c>
      <c r="AA7583">
        <v>267</v>
      </c>
      <c r="AB7583">
        <v>46.40804</v>
      </c>
      <c r="AC7583">
        <v>1.059091E-2</v>
      </c>
      <c r="AD7583">
        <v>2.8640690000000002</v>
      </c>
      <c r="AE7583">
        <v>0.74136639999999998</v>
      </c>
      <c r="AF7583">
        <v>1300.1859999999999</v>
      </c>
      <c r="AG7583">
        <f>IFERROR(AH7583*0.1, "N/A")</f>
        <v>6</v>
      </c>
      <c r="AH7583">
        <v>60</v>
      </c>
      <c r="AI7583">
        <v>257.23509999999999</v>
      </c>
      <c r="AJ7583">
        <v>48.943759999999997</v>
      </c>
      <c r="AK7583">
        <v>34.367310000000003</v>
      </c>
    </row>
    <row r="7584" spans="1:37" x14ac:dyDescent="0.3">
      <c r="A7584">
        <v>7583</v>
      </c>
      <c r="B7584">
        <v>0</v>
      </c>
      <c r="C7584">
        <v>34.718299999999999</v>
      </c>
      <c r="D7584">
        <v>-0.10519000000000001</v>
      </c>
      <c r="E7584" t="s">
        <v>11261</v>
      </c>
      <c r="F7584" t="s">
        <v>11262</v>
      </c>
      <c r="G7584" t="s">
        <v>37</v>
      </c>
      <c r="H7584">
        <v>0</v>
      </c>
      <c r="I7584">
        <v>23.1</v>
      </c>
      <c r="J7584">
        <v>13.8</v>
      </c>
      <c r="K7584">
        <v>85</v>
      </c>
      <c r="L7584">
        <v>6.83</v>
      </c>
      <c r="M7584">
        <v>31.5</v>
      </c>
      <c r="N7584">
        <v>15.3</v>
      </c>
      <c r="O7584">
        <v>16.2</v>
      </c>
      <c r="P7584">
        <v>23.3</v>
      </c>
      <c r="Q7584">
        <v>22</v>
      </c>
      <c r="R7584">
        <v>23.8</v>
      </c>
      <c r="S7584">
        <v>22</v>
      </c>
      <c r="T7584">
        <v>1301</v>
      </c>
      <c r="U7584">
        <v>222</v>
      </c>
      <c r="V7584">
        <v>59</v>
      </c>
      <c r="W7584">
        <v>43</v>
      </c>
      <c r="X7584">
        <v>540</v>
      </c>
      <c r="Y7584">
        <v>223</v>
      </c>
      <c r="Z7584">
        <v>307</v>
      </c>
      <c r="AA7584">
        <v>223</v>
      </c>
      <c r="AB7584">
        <v>1.339407</v>
      </c>
      <c r="AC7584">
        <v>5.2631150000000002E-2</v>
      </c>
      <c r="AD7584">
        <v>1.8713869999999999</v>
      </c>
      <c r="AE7584">
        <v>0.61490069999999997</v>
      </c>
      <c r="AF7584">
        <v>1133.8779999999999</v>
      </c>
      <c r="AG7584" t="str">
        <f>IFERROR(AH7584*0.1, "N/A")</f>
        <v>N/A</v>
      </c>
      <c r="AH7584" t="s">
        <v>729</v>
      </c>
      <c r="AI7584">
        <v>244.21539999999999</v>
      </c>
      <c r="AJ7584" t="s">
        <v>729</v>
      </c>
      <c r="AK7584" t="s">
        <v>729</v>
      </c>
    </row>
    <row r="7585" spans="1:37" x14ac:dyDescent="0.3">
      <c r="A7585">
        <v>7584</v>
      </c>
      <c r="B7585">
        <v>0</v>
      </c>
      <c r="C7585">
        <v>34.933300000000003</v>
      </c>
      <c r="D7585">
        <v>-0.109484</v>
      </c>
      <c r="E7585" t="s">
        <v>11263</v>
      </c>
      <c r="F7585" t="s">
        <v>11264</v>
      </c>
      <c r="G7585" t="s">
        <v>39</v>
      </c>
      <c r="H7585">
        <v>1971</v>
      </c>
      <c r="I7585">
        <v>23</v>
      </c>
      <c r="J7585">
        <v>14.3</v>
      </c>
      <c r="K7585">
        <v>87</v>
      </c>
      <c r="L7585">
        <v>5.2304579999999996</v>
      </c>
      <c r="M7585">
        <v>31.598240000000001</v>
      </c>
      <c r="N7585">
        <v>15.2</v>
      </c>
      <c r="O7585">
        <v>16.398240000000001</v>
      </c>
      <c r="P7585">
        <v>23.101759999999999</v>
      </c>
      <c r="Q7585">
        <v>22.4</v>
      </c>
      <c r="R7585">
        <v>23.6</v>
      </c>
      <c r="S7585">
        <v>22.2</v>
      </c>
      <c r="T7585">
        <v>1226.2380000000001</v>
      </c>
      <c r="U7585">
        <v>203.8151</v>
      </c>
      <c r="V7585">
        <v>63.982390000000002</v>
      </c>
      <c r="W7585">
        <v>38.81514</v>
      </c>
      <c r="X7585">
        <v>488.83269999999999</v>
      </c>
      <c r="Y7585">
        <v>221.2201</v>
      </c>
      <c r="Z7585">
        <v>298.98239999999998</v>
      </c>
      <c r="AA7585">
        <v>227.20249999999999</v>
      </c>
      <c r="AB7585">
        <v>7.100511</v>
      </c>
      <c r="AC7585">
        <v>3.1422350000000002E-2</v>
      </c>
      <c r="AD7585">
        <v>1.0190140000000001</v>
      </c>
      <c r="AE7585">
        <v>0.72483640000000005</v>
      </c>
      <c r="AF7585">
        <v>1162.489</v>
      </c>
      <c r="AG7585">
        <f>IFERROR(AH7585*0.1, "N/A")</f>
        <v>6.5607389999999999</v>
      </c>
      <c r="AH7585">
        <v>65.607389999999995</v>
      </c>
      <c r="AI7585">
        <v>198.2474</v>
      </c>
      <c r="AJ7585">
        <v>39.686619999999998</v>
      </c>
      <c r="AK7585">
        <v>40.471829999999997</v>
      </c>
    </row>
    <row r="7586" spans="1:37" x14ac:dyDescent="0.3">
      <c r="A7586">
        <v>7585</v>
      </c>
      <c r="B7586">
        <v>5</v>
      </c>
      <c r="C7586">
        <v>34.933300000000003</v>
      </c>
      <c r="D7586">
        <v>-0.109484</v>
      </c>
      <c r="E7586" t="s">
        <v>11263</v>
      </c>
      <c r="F7586" t="s">
        <v>11265</v>
      </c>
      <c r="G7586" t="s">
        <v>37</v>
      </c>
      <c r="H7586">
        <v>1971</v>
      </c>
      <c r="I7586">
        <v>23</v>
      </c>
      <c r="J7586">
        <v>14.3</v>
      </c>
      <c r="K7586">
        <v>87</v>
      </c>
      <c r="L7586">
        <v>5.2304579999999996</v>
      </c>
      <c r="M7586">
        <v>31.598240000000001</v>
      </c>
      <c r="N7586">
        <v>15.2</v>
      </c>
      <c r="O7586">
        <v>16.398240000000001</v>
      </c>
      <c r="P7586">
        <v>23.101759999999999</v>
      </c>
      <c r="Q7586">
        <v>22.4</v>
      </c>
      <c r="R7586">
        <v>23.6</v>
      </c>
      <c r="S7586">
        <v>22.2</v>
      </c>
      <c r="T7586">
        <v>1226.2380000000001</v>
      </c>
      <c r="U7586">
        <v>203.8151</v>
      </c>
      <c r="V7586">
        <v>63.982390000000002</v>
      </c>
      <c r="W7586">
        <v>38.81514</v>
      </c>
      <c r="X7586">
        <v>488.83269999999999</v>
      </c>
      <c r="Y7586">
        <v>221.2201</v>
      </c>
      <c r="Z7586">
        <v>298.98239999999998</v>
      </c>
      <c r="AA7586">
        <v>227.20249999999999</v>
      </c>
      <c r="AB7586">
        <v>7.100511</v>
      </c>
      <c r="AC7586">
        <v>3.1422350000000002E-2</v>
      </c>
      <c r="AD7586">
        <v>1.0190140000000001</v>
      </c>
      <c r="AE7586">
        <v>0.72483640000000005</v>
      </c>
      <c r="AF7586">
        <v>1162.489</v>
      </c>
      <c r="AG7586">
        <f>IFERROR(AH7586*0.1, "N/A")</f>
        <v>6.5607389999999999</v>
      </c>
      <c r="AH7586">
        <v>65.607389999999995</v>
      </c>
      <c r="AI7586">
        <v>198.2474</v>
      </c>
      <c r="AJ7586">
        <v>39.686619999999998</v>
      </c>
      <c r="AK7586">
        <v>40.471829999999997</v>
      </c>
    </row>
    <row r="7587" spans="1:37" x14ac:dyDescent="0.3">
      <c r="A7587">
        <v>7586</v>
      </c>
      <c r="B7587">
        <v>9.3000000000000007</v>
      </c>
      <c r="C7587">
        <v>34.308199999999999</v>
      </c>
      <c r="D7587">
        <v>-0.11398</v>
      </c>
      <c r="E7587" t="s">
        <v>11266</v>
      </c>
      <c r="F7587" t="s">
        <v>11267</v>
      </c>
      <c r="G7587" t="s">
        <v>37</v>
      </c>
      <c r="H7587">
        <v>2008</v>
      </c>
      <c r="I7587">
        <v>21.871600000000001</v>
      </c>
      <c r="J7587">
        <v>13.42839</v>
      </c>
      <c r="K7587">
        <v>85</v>
      </c>
      <c r="L7587">
        <v>6.6161729999999999</v>
      </c>
      <c r="M7587">
        <v>30.171610000000001</v>
      </c>
      <c r="N7587">
        <v>14.443210000000001</v>
      </c>
      <c r="O7587">
        <v>15.728389999999999</v>
      </c>
      <c r="P7587">
        <v>22.171610000000001</v>
      </c>
      <c r="Q7587">
        <v>22.443210000000001</v>
      </c>
      <c r="R7587">
        <v>22.671610000000001</v>
      </c>
      <c r="S7587">
        <v>20.971599999999999</v>
      </c>
      <c r="T7587">
        <v>1289.7650000000001</v>
      </c>
      <c r="U7587">
        <v>215.27160000000001</v>
      </c>
      <c r="V7587">
        <v>47.567900000000002</v>
      </c>
      <c r="W7587">
        <v>42.716050000000003</v>
      </c>
      <c r="X7587">
        <v>522.39509999999996</v>
      </c>
      <c r="Y7587">
        <v>213.7037</v>
      </c>
      <c r="Z7587">
        <v>247.98769999999999</v>
      </c>
      <c r="AA7587">
        <v>236.69139999999999</v>
      </c>
      <c r="AB7587">
        <v>32.590980000000002</v>
      </c>
      <c r="AC7587">
        <v>0.1108807</v>
      </c>
      <c r="AD7587">
        <v>2.2049289999999999</v>
      </c>
      <c r="AE7587">
        <v>0.7443187</v>
      </c>
      <c r="AF7587">
        <v>1284.1220000000001</v>
      </c>
      <c r="AG7587">
        <f>IFERROR(AH7587*0.1, "N/A")</f>
        <v>6.201587</v>
      </c>
      <c r="AH7587">
        <v>62.01587</v>
      </c>
      <c r="AI7587">
        <v>240.6994</v>
      </c>
      <c r="AJ7587">
        <v>41.6843</v>
      </c>
      <c r="AK7587">
        <v>39.299819999999997</v>
      </c>
    </row>
    <row r="7588" spans="1:37" x14ac:dyDescent="0.3">
      <c r="A7588">
        <v>7587</v>
      </c>
      <c r="B7588">
        <v>3.8</v>
      </c>
      <c r="C7588">
        <v>34.965000000000003</v>
      </c>
      <c r="D7588">
        <v>-0.115096</v>
      </c>
      <c r="E7588" t="s">
        <v>11268</v>
      </c>
      <c r="F7588" t="s">
        <v>11269</v>
      </c>
      <c r="G7588" t="s">
        <v>39</v>
      </c>
      <c r="H7588">
        <v>1971</v>
      </c>
      <c r="I7588">
        <v>22.9</v>
      </c>
      <c r="J7588">
        <v>14.4</v>
      </c>
      <c r="K7588">
        <v>87</v>
      </c>
      <c r="L7588">
        <v>4.96</v>
      </c>
      <c r="M7588">
        <v>31.5</v>
      </c>
      <c r="N7588">
        <v>15.1</v>
      </c>
      <c r="O7588">
        <v>16.399999999999999</v>
      </c>
      <c r="P7588">
        <v>23.1</v>
      </c>
      <c r="Q7588">
        <v>22.3</v>
      </c>
      <c r="R7588">
        <v>23.5</v>
      </c>
      <c r="S7588">
        <v>22.2</v>
      </c>
      <c r="T7588">
        <v>1225</v>
      </c>
      <c r="U7588">
        <v>202</v>
      </c>
      <c r="V7588">
        <v>63</v>
      </c>
      <c r="W7588">
        <v>38</v>
      </c>
      <c r="X7588">
        <v>485</v>
      </c>
      <c r="Y7588">
        <v>225</v>
      </c>
      <c r="Z7588">
        <v>295</v>
      </c>
      <c r="AA7588">
        <v>232</v>
      </c>
      <c r="AB7588">
        <v>2.3066650000000002</v>
      </c>
      <c r="AC7588">
        <v>1.285186E-2</v>
      </c>
      <c r="AD7588">
        <v>1.016146</v>
      </c>
      <c r="AE7588">
        <v>0.73160150000000002</v>
      </c>
      <c r="AF7588">
        <v>1163.5619999999999</v>
      </c>
      <c r="AG7588">
        <f>IFERROR(AH7588*0.1, "N/A")</f>
        <v>6.6992960000000004</v>
      </c>
      <c r="AH7588">
        <v>66.992959999999997</v>
      </c>
      <c r="AI7588">
        <v>187.1472</v>
      </c>
      <c r="AJ7588">
        <v>46.420769999999997</v>
      </c>
      <c r="AK7588">
        <v>31.989439999999998</v>
      </c>
    </row>
    <row r="7589" spans="1:37" x14ac:dyDescent="0.3">
      <c r="A7589">
        <v>7588</v>
      </c>
      <c r="B7589">
        <v>0</v>
      </c>
      <c r="C7589">
        <v>34.965000000000003</v>
      </c>
      <c r="D7589">
        <v>-0.115096</v>
      </c>
      <c r="E7589" t="s">
        <v>11268</v>
      </c>
      <c r="F7589" t="s">
        <v>11270</v>
      </c>
      <c r="G7589" t="s">
        <v>37</v>
      </c>
      <c r="H7589">
        <v>1971</v>
      </c>
      <c r="I7589">
        <v>22.9</v>
      </c>
      <c r="J7589">
        <v>14.4</v>
      </c>
      <c r="K7589">
        <v>87</v>
      </c>
      <c r="L7589">
        <v>4.96</v>
      </c>
      <c r="M7589">
        <v>31.5</v>
      </c>
      <c r="N7589">
        <v>15.1</v>
      </c>
      <c r="O7589">
        <v>16.399999999999999</v>
      </c>
      <c r="P7589">
        <v>23.1</v>
      </c>
      <c r="Q7589">
        <v>22.3</v>
      </c>
      <c r="R7589">
        <v>23.5</v>
      </c>
      <c r="S7589">
        <v>22.2</v>
      </c>
      <c r="T7589">
        <v>1225</v>
      </c>
      <c r="U7589">
        <v>202</v>
      </c>
      <c r="V7589">
        <v>63</v>
      </c>
      <c r="W7589">
        <v>38</v>
      </c>
      <c r="X7589">
        <v>485</v>
      </c>
      <c r="Y7589">
        <v>225</v>
      </c>
      <c r="Z7589">
        <v>295</v>
      </c>
      <c r="AA7589">
        <v>232</v>
      </c>
      <c r="AB7589">
        <v>2.3066650000000002</v>
      </c>
      <c r="AC7589">
        <v>1.285186E-2</v>
      </c>
      <c r="AD7589">
        <v>1.016146</v>
      </c>
      <c r="AE7589">
        <v>0.73160150000000002</v>
      </c>
      <c r="AF7589">
        <v>1163.5619999999999</v>
      </c>
      <c r="AG7589">
        <f>IFERROR(AH7589*0.1, "N/A")</f>
        <v>6.6992960000000004</v>
      </c>
      <c r="AH7589">
        <v>66.992959999999997</v>
      </c>
      <c r="AI7589">
        <v>187.1472</v>
      </c>
      <c r="AJ7589">
        <v>46.420769999999997</v>
      </c>
      <c r="AK7589">
        <v>31.989439999999998</v>
      </c>
    </row>
    <row r="7590" spans="1:37" x14ac:dyDescent="0.3">
      <c r="A7590">
        <v>7589</v>
      </c>
      <c r="B7590">
        <v>2.1</v>
      </c>
      <c r="C7590">
        <v>34.345799999999997</v>
      </c>
      <c r="D7590">
        <v>-0.120418</v>
      </c>
      <c r="E7590" t="s">
        <v>11271</v>
      </c>
      <c r="F7590" t="s">
        <v>11272</v>
      </c>
      <c r="G7590" t="s">
        <v>37</v>
      </c>
      <c r="H7590">
        <v>2003</v>
      </c>
      <c r="I7590">
        <v>22</v>
      </c>
      <c r="J7590">
        <v>13.6</v>
      </c>
      <c r="K7590">
        <v>86</v>
      </c>
      <c r="L7590">
        <v>6.49</v>
      </c>
      <c r="M7590">
        <v>30.2</v>
      </c>
      <c r="N7590">
        <v>14.4</v>
      </c>
      <c r="O7590">
        <v>15.8</v>
      </c>
      <c r="P7590">
        <v>22.2</v>
      </c>
      <c r="Q7590">
        <v>22.5</v>
      </c>
      <c r="R7590">
        <v>22.7</v>
      </c>
      <c r="S7590">
        <v>21</v>
      </c>
      <c r="T7590">
        <v>1325</v>
      </c>
      <c r="U7590">
        <v>223</v>
      </c>
      <c r="V7590">
        <v>49</v>
      </c>
      <c r="W7590">
        <v>43</v>
      </c>
      <c r="X7590">
        <v>539</v>
      </c>
      <c r="Y7590">
        <v>217</v>
      </c>
      <c r="Z7590">
        <v>254</v>
      </c>
      <c r="AA7590">
        <v>247</v>
      </c>
      <c r="AB7590">
        <v>48.083689999999997</v>
      </c>
      <c r="AC7590">
        <v>8.9684699999999992E-3</v>
      </c>
      <c r="AD7590">
        <v>1.072208</v>
      </c>
      <c r="AE7590">
        <v>0.74072640000000001</v>
      </c>
      <c r="AF7590">
        <v>1293.5450000000001</v>
      </c>
      <c r="AG7590">
        <f>IFERROR(AH7590*0.1, "N/A")</f>
        <v>6.1000000000000005</v>
      </c>
      <c r="AH7590">
        <v>61</v>
      </c>
      <c r="AI7590">
        <v>148.7586</v>
      </c>
      <c r="AJ7590">
        <v>44.817219999999999</v>
      </c>
      <c r="AK7590">
        <v>35.365549999999999</v>
      </c>
    </row>
    <row r="7591" spans="1:37" x14ac:dyDescent="0.3">
      <c r="A7591">
        <v>7590</v>
      </c>
      <c r="B7591">
        <v>0</v>
      </c>
      <c r="C7591">
        <v>34.345799999999997</v>
      </c>
      <c r="D7591">
        <v>-0.120418</v>
      </c>
      <c r="E7591" t="s">
        <v>11271</v>
      </c>
      <c r="F7591" t="s">
        <v>11273</v>
      </c>
      <c r="G7591" t="s">
        <v>39</v>
      </c>
      <c r="H7591">
        <v>2003</v>
      </c>
      <c r="I7591">
        <v>22</v>
      </c>
      <c r="J7591">
        <v>13.6</v>
      </c>
      <c r="K7591">
        <v>86</v>
      </c>
      <c r="L7591">
        <v>6.49</v>
      </c>
      <c r="M7591">
        <v>30.2</v>
      </c>
      <c r="N7591">
        <v>14.4</v>
      </c>
      <c r="O7591">
        <v>15.8</v>
      </c>
      <c r="P7591">
        <v>22.2</v>
      </c>
      <c r="Q7591">
        <v>22.5</v>
      </c>
      <c r="R7591">
        <v>22.7</v>
      </c>
      <c r="S7591">
        <v>21</v>
      </c>
      <c r="T7591">
        <v>1325</v>
      </c>
      <c r="U7591">
        <v>223</v>
      </c>
      <c r="V7591">
        <v>49</v>
      </c>
      <c r="W7591">
        <v>43</v>
      </c>
      <c r="X7591">
        <v>539</v>
      </c>
      <c r="Y7591">
        <v>217</v>
      </c>
      <c r="Z7591">
        <v>254</v>
      </c>
      <c r="AA7591">
        <v>247</v>
      </c>
      <c r="AB7591">
        <v>48.083689999999997</v>
      </c>
      <c r="AC7591">
        <v>8.9684699999999992E-3</v>
      </c>
      <c r="AD7591">
        <v>1.072208</v>
      </c>
      <c r="AE7591">
        <v>0.74072640000000001</v>
      </c>
      <c r="AF7591">
        <v>1293.5450000000001</v>
      </c>
      <c r="AG7591">
        <f>IFERROR(AH7591*0.1, "N/A")</f>
        <v>6.1000000000000005</v>
      </c>
      <c r="AH7591">
        <v>61</v>
      </c>
      <c r="AI7591">
        <v>148.7586</v>
      </c>
      <c r="AJ7591">
        <v>44.817219999999999</v>
      </c>
      <c r="AK7591">
        <v>35.365549999999999</v>
      </c>
    </row>
    <row r="7592" spans="1:37" x14ac:dyDescent="0.3">
      <c r="A7592">
        <v>7591</v>
      </c>
      <c r="B7592">
        <v>3.7</v>
      </c>
      <c r="C7592">
        <v>34.811700000000002</v>
      </c>
      <c r="D7592">
        <v>-0.12042799999999999</v>
      </c>
      <c r="E7592" t="s">
        <v>11274</v>
      </c>
      <c r="F7592" t="s">
        <v>11275</v>
      </c>
      <c r="G7592" t="s">
        <v>39</v>
      </c>
      <c r="H7592">
        <v>1971</v>
      </c>
      <c r="I7592">
        <v>23</v>
      </c>
      <c r="J7592">
        <v>14</v>
      </c>
      <c r="K7592">
        <v>86</v>
      </c>
      <c r="L7592">
        <v>5.76</v>
      </c>
      <c r="M7592">
        <v>31.5</v>
      </c>
      <c r="N7592">
        <v>15.3</v>
      </c>
      <c r="O7592">
        <v>16.2</v>
      </c>
      <c r="P7592">
        <v>23.2</v>
      </c>
      <c r="Q7592">
        <v>22.1</v>
      </c>
      <c r="R7592">
        <v>23.6</v>
      </c>
      <c r="S7592">
        <v>22.1</v>
      </c>
      <c r="T7592">
        <v>1266</v>
      </c>
      <c r="U7592">
        <v>212</v>
      </c>
      <c r="V7592">
        <v>62</v>
      </c>
      <c r="W7592">
        <v>41</v>
      </c>
      <c r="X7592">
        <v>517</v>
      </c>
      <c r="Y7592">
        <v>223</v>
      </c>
      <c r="Z7592">
        <v>304</v>
      </c>
      <c r="AA7592">
        <v>223</v>
      </c>
      <c r="AB7592">
        <v>4.2016080000000002</v>
      </c>
      <c r="AC7592">
        <v>1.1311989999999999E-2</v>
      </c>
      <c r="AD7592">
        <v>1.7078150000000001</v>
      </c>
      <c r="AE7592">
        <v>0.78649119999999995</v>
      </c>
      <c r="AF7592">
        <v>1145.838</v>
      </c>
      <c r="AG7592">
        <f>IFERROR(AH7592*0.1, "N/A")</f>
        <v>6.5985940000000003</v>
      </c>
      <c r="AH7592">
        <v>65.985939999999999</v>
      </c>
      <c r="AI7592">
        <v>205.4503</v>
      </c>
      <c r="AJ7592">
        <v>29.971879999999999</v>
      </c>
      <c r="AK7592">
        <v>52.028120000000001</v>
      </c>
    </row>
    <row r="7593" spans="1:37" x14ac:dyDescent="0.3">
      <c r="A7593">
        <v>7592</v>
      </c>
      <c r="B7593">
        <v>2.5</v>
      </c>
      <c r="C7593">
        <v>34.9876</v>
      </c>
      <c r="D7593">
        <v>-0.121186</v>
      </c>
      <c r="E7593" t="s">
        <v>11276</v>
      </c>
      <c r="F7593" t="s">
        <v>11277</v>
      </c>
      <c r="G7593" t="s">
        <v>39</v>
      </c>
      <c r="H7593">
        <v>1971</v>
      </c>
      <c r="I7593">
        <v>22.9</v>
      </c>
      <c r="J7593">
        <v>14.5</v>
      </c>
      <c r="K7593">
        <v>87</v>
      </c>
      <c r="L7593">
        <v>5.38</v>
      </c>
      <c r="M7593">
        <v>31.6</v>
      </c>
      <c r="N7593">
        <v>15</v>
      </c>
      <c r="O7593">
        <v>16.600000000000001</v>
      </c>
      <c r="P7593">
        <v>23.1</v>
      </c>
      <c r="Q7593">
        <v>22.3</v>
      </c>
      <c r="R7593">
        <v>23.6</v>
      </c>
      <c r="S7593">
        <v>22.1</v>
      </c>
      <c r="T7593">
        <v>1231</v>
      </c>
      <c r="U7593">
        <v>202</v>
      </c>
      <c r="V7593">
        <v>63</v>
      </c>
      <c r="W7593">
        <v>37</v>
      </c>
      <c r="X7593">
        <v>485</v>
      </c>
      <c r="Y7593">
        <v>228</v>
      </c>
      <c r="Z7593">
        <v>295</v>
      </c>
      <c r="AA7593">
        <v>236</v>
      </c>
      <c r="AB7593">
        <v>1.218777</v>
      </c>
      <c r="AC7593">
        <v>9.1727779999999995E-2</v>
      </c>
      <c r="AD7593">
        <v>0.72987489999999999</v>
      </c>
      <c r="AE7593">
        <v>0.7290065</v>
      </c>
      <c r="AF7593">
        <v>1169.211</v>
      </c>
      <c r="AG7593">
        <f>IFERROR(AH7593*0.1, "N/A")</f>
        <v>6.9279440000000001</v>
      </c>
      <c r="AH7593">
        <v>69.279439999999994</v>
      </c>
      <c r="AI7593">
        <v>186.95079999999999</v>
      </c>
      <c r="AJ7593">
        <v>44</v>
      </c>
      <c r="AK7593">
        <v>33.279440000000001</v>
      </c>
    </row>
    <row r="7594" spans="1:37" x14ac:dyDescent="0.3">
      <c r="A7594">
        <v>7593</v>
      </c>
      <c r="B7594">
        <v>5.0999999999999996</v>
      </c>
      <c r="C7594">
        <v>34.382599999999996</v>
      </c>
      <c r="D7594">
        <v>-0.12298000000000001</v>
      </c>
      <c r="E7594" t="s">
        <v>11278</v>
      </c>
      <c r="F7594" t="s">
        <v>11279</v>
      </c>
      <c r="G7594" t="s">
        <v>37</v>
      </c>
      <c r="H7594">
        <v>2003</v>
      </c>
      <c r="I7594">
        <v>22.11599</v>
      </c>
      <c r="J7594">
        <v>13.6</v>
      </c>
      <c r="K7594">
        <v>85</v>
      </c>
      <c r="L7594">
        <v>6.4359580000000003</v>
      </c>
      <c r="M7594">
        <v>30.431989999999999</v>
      </c>
      <c r="N7594">
        <v>14.51599</v>
      </c>
      <c r="O7594">
        <v>15.915990000000001</v>
      </c>
      <c r="P7594">
        <v>22.331990000000001</v>
      </c>
      <c r="Q7594">
        <v>22.631989999999998</v>
      </c>
      <c r="R7594">
        <v>22.831990000000001</v>
      </c>
      <c r="S7594">
        <v>21.11599</v>
      </c>
      <c r="T7594">
        <v>1333.0830000000001</v>
      </c>
      <c r="U7594">
        <v>226.2004</v>
      </c>
      <c r="V7594">
        <v>48.680140000000002</v>
      </c>
      <c r="W7594">
        <v>43</v>
      </c>
      <c r="X7594">
        <v>544.92089999999996</v>
      </c>
      <c r="Y7594">
        <v>216.2004</v>
      </c>
      <c r="Z7594">
        <v>255.3603</v>
      </c>
      <c r="AA7594">
        <v>250.56059999999999</v>
      </c>
      <c r="AB7594">
        <v>55.959110000000003</v>
      </c>
      <c r="AC7594">
        <v>1.161244E-2</v>
      </c>
      <c r="AD7594">
        <v>2.7029670000000001</v>
      </c>
      <c r="AE7594">
        <v>0.7468863</v>
      </c>
      <c r="AF7594">
        <v>1249.2460000000001</v>
      </c>
      <c r="AG7594">
        <f>IFERROR(AH7594*0.1, "N/A")</f>
        <v>5.9159930000000003</v>
      </c>
      <c r="AH7594">
        <v>59.159930000000003</v>
      </c>
      <c r="AI7594">
        <v>126.7732</v>
      </c>
      <c r="AJ7594">
        <v>41</v>
      </c>
      <c r="AK7594">
        <v>42.159930000000003</v>
      </c>
    </row>
    <row r="7595" spans="1:37" x14ac:dyDescent="0.3">
      <c r="A7595">
        <v>7594</v>
      </c>
      <c r="B7595">
        <v>0</v>
      </c>
      <c r="C7595">
        <v>34.382599999999996</v>
      </c>
      <c r="D7595">
        <v>-0.12298000000000001</v>
      </c>
      <c r="E7595" t="s">
        <v>11278</v>
      </c>
      <c r="F7595" t="s">
        <v>11280</v>
      </c>
      <c r="G7595" t="s">
        <v>39</v>
      </c>
      <c r="H7595">
        <v>2003</v>
      </c>
      <c r="I7595">
        <v>22.11599</v>
      </c>
      <c r="J7595">
        <v>13.6</v>
      </c>
      <c r="K7595">
        <v>85</v>
      </c>
      <c r="L7595">
        <v>6.4359580000000003</v>
      </c>
      <c r="M7595">
        <v>30.431989999999999</v>
      </c>
      <c r="N7595">
        <v>14.51599</v>
      </c>
      <c r="O7595">
        <v>15.915990000000001</v>
      </c>
      <c r="P7595">
        <v>22.331990000000001</v>
      </c>
      <c r="Q7595">
        <v>22.631989999999998</v>
      </c>
      <c r="R7595">
        <v>22.831990000000001</v>
      </c>
      <c r="S7595">
        <v>21.11599</v>
      </c>
      <c r="T7595">
        <v>1333.0830000000001</v>
      </c>
      <c r="U7595">
        <v>226.2004</v>
      </c>
      <c r="V7595">
        <v>48.680140000000002</v>
      </c>
      <c r="W7595">
        <v>43</v>
      </c>
      <c r="X7595">
        <v>544.92089999999996</v>
      </c>
      <c r="Y7595">
        <v>216.2004</v>
      </c>
      <c r="Z7595">
        <v>255.3603</v>
      </c>
      <c r="AA7595">
        <v>250.56059999999999</v>
      </c>
      <c r="AB7595">
        <v>55.959110000000003</v>
      </c>
      <c r="AC7595">
        <v>1.161244E-2</v>
      </c>
      <c r="AD7595">
        <v>2.7029670000000001</v>
      </c>
      <c r="AE7595">
        <v>0.7468863</v>
      </c>
      <c r="AF7595">
        <v>1249.2460000000001</v>
      </c>
      <c r="AG7595">
        <f>IFERROR(AH7595*0.1, "N/A")</f>
        <v>5.9159930000000003</v>
      </c>
      <c r="AH7595">
        <v>59.159930000000003</v>
      </c>
      <c r="AI7595">
        <v>126.7732</v>
      </c>
      <c r="AJ7595">
        <v>41</v>
      </c>
      <c r="AK7595">
        <v>42.159930000000003</v>
      </c>
    </row>
    <row r="7596" spans="1:37" x14ac:dyDescent="0.3">
      <c r="A7596">
        <v>7595</v>
      </c>
      <c r="B7596">
        <v>10.5</v>
      </c>
      <c r="C7596">
        <v>34.262099999999997</v>
      </c>
      <c r="D7596">
        <v>-0.1236</v>
      </c>
      <c r="E7596" t="s">
        <v>11281</v>
      </c>
      <c r="F7596" t="s">
        <v>11282</v>
      </c>
      <c r="G7596" t="s">
        <v>37</v>
      </c>
      <c r="H7596">
        <v>2008</v>
      </c>
      <c r="I7596">
        <v>22.1</v>
      </c>
      <c r="J7596">
        <v>13.3</v>
      </c>
      <c r="K7596">
        <v>85</v>
      </c>
      <c r="L7596">
        <v>6.5</v>
      </c>
      <c r="M7596">
        <v>30.3</v>
      </c>
      <c r="N7596">
        <v>14.7</v>
      </c>
      <c r="O7596">
        <v>15.6</v>
      </c>
      <c r="P7596">
        <v>22.4</v>
      </c>
      <c r="Q7596">
        <v>21.2</v>
      </c>
      <c r="R7596">
        <v>22.9</v>
      </c>
      <c r="S7596">
        <v>21.2</v>
      </c>
      <c r="T7596">
        <v>1154</v>
      </c>
      <c r="U7596">
        <v>193</v>
      </c>
      <c r="V7596">
        <v>43</v>
      </c>
      <c r="W7596">
        <v>43</v>
      </c>
      <c r="X7596">
        <v>470</v>
      </c>
      <c r="Y7596">
        <v>201</v>
      </c>
      <c r="Z7596">
        <v>231</v>
      </c>
      <c r="AA7596">
        <v>201</v>
      </c>
      <c r="AB7596">
        <v>19.973849999999999</v>
      </c>
      <c r="AC7596">
        <v>9.9950899999999999E-3</v>
      </c>
      <c r="AD7596">
        <v>1.9813339999999999</v>
      </c>
      <c r="AE7596">
        <v>0.61121239999999999</v>
      </c>
      <c r="AF7596">
        <v>1245.0509999999999</v>
      </c>
      <c r="AG7596">
        <f>IFERROR(AH7596*0.1, "N/A")</f>
        <v>6.3557319999999997</v>
      </c>
      <c r="AH7596">
        <v>63.557319999999997</v>
      </c>
      <c r="AI7596">
        <v>213.8443</v>
      </c>
      <c r="AJ7596">
        <v>30.250440000000001</v>
      </c>
      <c r="AK7596">
        <v>52.749560000000002</v>
      </c>
    </row>
    <row r="7597" spans="1:37" x14ac:dyDescent="0.3">
      <c r="A7597">
        <v>7596</v>
      </c>
      <c r="B7597">
        <v>2.9</v>
      </c>
      <c r="C7597">
        <v>34.375399999999999</v>
      </c>
      <c r="D7597">
        <v>-0.12567</v>
      </c>
      <c r="E7597" t="s">
        <v>11283</v>
      </c>
      <c r="F7597" t="s">
        <v>11284</v>
      </c>
      <c r="G7597" t="s">
        <v>37</v>
      </c>
      <c r="H7597">
        <v>2003</v>
      </c>
      <c r="I7597">
        <v>22.210370000000001</v>
      </c>
      <c r="J7597">
        <v>13.5884</v>
      </c>
      <c r="K7597">
        <v>85</v>
      </c>
      <c r="L7597">
        <v>6.6387340000000004</v>
      </c>
      <c r="M7597">
        <v>30.49877</v>
      </c>
      <c r="N7597">
        <v>14.621969999999999</v>
      </c>
      <c r="O7597">
        <v>15.876799999999999</v>
      </c>
      <c r="P7597">
        <v>22.41037</v>
      </c>
      <c r="Q7597">
        <v>22.797540000000001</v>
      </c>
      <c r="R7597">
        <v>22.997540000000001</v>
      </c>
      <c r="S7597">
        <v>21.221969999999999</v>
      </c>
      <c r="T7597">
        <v>1271.6679999999999</v>
      </c>
      <c r="U7597">
        <v>216.6591</v>
      </c>
      <c r="V7597">
        <v>45.920909999999999</v>
      </c>
      <c r="W7597">
        <v>43.115989999999996</v>
      </c>
      <c r="X7597">
        <v>522.13530000000003</v>
      </c>
      <c r="Y7597">
        <v>209.7381</v>
      </c>
      <c r="Z7597">
        <v>247.75040000000001</v>
      </c>
      <c r="AA7597">
        <v>235.2689</v>
      </c>
      <c r="AB7597">
        <v>32.447479999999999</v>
      </c>
      <c r="AC7597">
        <v>3.6775229999999999E-2</v>
      </c>
      <c r="AD7597">
        <v>2.2540990000000001</v>
      </c>
      <c r="AE7597">
        <v>0.74616459999999996</v>
      </c>
      <c r="AF7597">
        <v>1234.2</v>
      </c>
      <c r="AG7597">
        <f>IFERROR(AH7597*0.1, "N/A")</f>
        <v>5.9</v>
      </c>
      <c r="AH7597">
        <v>59</v>
      </c>
      <c r="AI7597">
        <v>203.10149999999999</v>
      </c>
      <c r="AJ7597">
        <v>39.388399999999997</v>
      </c>
      <c r="AK7597">
        <v>42.25132</v>
      </c>
    </row>
    <row r="7598" spans="1:37" x14ac:dyDescent="0.3">
      <c r="A7598">
        <v>7597</v>
      </c>
      <c r="B7598">
        <v>0</v>
      </c>
      <c r="C7598">
        <v>34.375399999999999</v>
      </c>
      <c r="D7598">
        <v>-0.12567</v>
      </c>
      <c r="E7598" t="s">
        <v>11283</v>
      </c>
      <c r="F7598" t="s">
        <v>11285</v>
      </c>
      <c r="G7598" t="s">
        <v>39</v>
      </c>
      <c r="H7598">
        <v>2003</v>
      </c>
      <c r="I7598">
        <v>22.210370000000001</v>
      </c>
      <c r="J7598">
        <v>13.5884</v>
      </c>
      <c r="K7598">
        <v>85</v>
      </c>
      <c r="L7598">
        <v>6.6387340000000004</v>
      </c>
      <c r="M7598">
        <v>30.49877</v>
      </c>
      <c r="N7598">
        <v>14.621969999999999</v>
      </c>
      <c r="O7598">
        <v>15.876799999999999</v>
      </c>
      <c r="P7598">
        <v>22.41037</v>
      </c>
      <c r="Q7598">
        <v>22.797540000000001</v>
      </c>
      <c r="R7598">
        <v>22.997540000000001</v>
      </c>
      <c r="S7598">
        <v>21.221969999999999</v>
      </c>
      <c r="T7598">
        <v>1271.6679999999999</v>
      </c>
      <c r="U7598">
        <v>216.6591</v>
      </c>
      <c r="V7598">
        <v>45.920909999999999</v>
      </c>
      <c r="W7598">
        <v>43.115989999999996</v>
      </c>
      <c r="X7598">
        <v>522.13530000000003</v>
      </c>
      <c r="Y7598">
        <v>209.7381</v>
      </c>
      <c r="Z7598">
        <v>247.75040000000001</v>
      </c>
      <c r="AA7598">
        <v>235.2689</v>
      </c>
      <c r="AB7598">
        <v>32.447479999999999</v>
      </c>
      <c r="AC7598">
        <v>3.6775229999999999E-2</v>
      </c>
      <c r="AD7598">
        <v>2.2540990000000001</v>
      </c>
      <c r="AE7598">
        <v>0.74616459999999996</v>
      </c>
      <c r="AF7598">
        <v>1234.2</v>
      </c>
      <c r="AG7598">
        <f>IFERROR(AH7598*0.1, "N/A")</f>
        <v>5.9</v>
      </c>
      <c r="AH7598">
        <v>59</v>
      </c>
      <c r="AI7598">
        <v>203.10149999999999</v>
      </c>
      <c r="AJ7598">
        <v>39.388399999999997</v>
      </c>
      <c r="AK7598">
        <v>42.25132</v>
      </c>
    </row>
    <row r="7599" spans="1:37" x14ac:dyDescent="0.3">
      <c r="A7599">
        <v>7598</v>
      </c>
      <c r="B7599">
        <v>5.0999999999999996</v>
      </c>
      <c r="C7599">
        <v>34.395200000000003</v>
      </c>
      <c r="D7599">
        <v>-0.12848699999999999</v>
      </c>
      <c r="E7599" t="s">
        <v>11286</v>
      </c>
      <c r="F7599" t="s">
        <v>11287</v>
      </c>
      <c r="G7599" t="s">
        <v>37</v>
      </c>
      <c r="H7599">
        <v>2003</v>
      </c>
      <c r="I7599">
        <v>22.3</v>
      </c>
      <c r="J7599">
        <v>13.6</v>
      </c>
      <c r="K7599">
        <v>85</v>
      </c>
      <c r="L7599">
        <v>6.56</v>
      </c>
      <c r="M7599">
        <v>30.6</v>
      </c>
      <c r="N7599">
        <v>14.7</v>
      </c>
      <c r="O7599">
        <v>15.9</v>
      </c>
      <c r="P7599">
        <v>22.5</v>
      </c>
      <c r="Q7599">
        <v>22.9</v>
      </c>
      <c r="R7599">
        <v>23.1</v>
      </c>
      <c r="S7599">
        <v>21.3</v>
      </c>
      <c r="T7599">
        <v>1270</v>
      </c>
      <c r="U7599">
        <v>217</v>
      </c>
      <c r="V7599">
        <v>46</v>
      </c>
      <c r="W7599">
        <v>44</v>
      </c>
      <c r="X7599">
        <v>523</v>
      </c>
      <c r="Y7599">
        <v>210</v>
      </c>
      <c r="Z7599">
        <v>250</v>
      </c>
      <c r="AA7599">
        <v>234</v>
      </c>
      <c r="AB7599">
        <v>20.578589999999998</v>
      </c>
      <c r="AC7599">
        <v>3.6414679999999998E-2</v>
      </c>
      <c r="AD7599">
        <v>3.2546400000000002</v>
      </c>
      <c r="AE7599">
        <v>0.74636000000000002</v>
      </c>
      <c r="AF7599">
        <v>1209.71</v>
      </c>
      <c r="AG7599">
        <f>IFERROR(AH7599*0.1, "N/A")</f>
        <v>5.8000000000000007</v>
      </c>
      <c r="AH7599">
        <v>58</v>
      </c>
      <c r="AI7599">
        <v>237.9417</v>
      </c>
      <c r="AJ7599">
        <v>27.179259999999999</v>
      </c>
      <c r="AK7599">
        <v>56</v>
      </c>
    </row>
    <row r="7600" spans="1:37" x14ac:dyDescent="0.3">
      <c r="A7600">
        <v>7599</v>
      </c>
      <c r="B7600">
        <v>0</v>
      </c>
      <c r="C7600">
        <v>34.395200000000003</v>
      </c>
      <c r="D7600">
        <v>-0.12848699999999999</v>
      </c>
      <c r="E7600" t="s">
        <v>11286</v>
      </c>
      <c r="F7600" t="s">
        <v>11288</v>
      </c>
      <c r="G7600" t="s">
        <v>39</v>
      </c>
      <c r="H7600">
        <v>2003</v>
      </c>
      <c r="I7600">
        <v>22.3</v>
      </c>
      <c r="J7600">
        <v>13.6</v>
      </c>
      <c r="K7600">
        <v>85</v>
      </c>
      <c r="L7600">
        <v>6.56</v>
      </c>
      <c r="M7600">
        <v>30.6</v>
      </c>
      <c r="N7600">
        <v>14.7</v>
      </c>
      <c r="O7600">
        <v>15.9</v>
      </c>
      <c r="P7600">
        <v>22.5</v>
      </c>
      <c r="Q7600">
        <v>22.9</v>
      </c>
      <c r="R7600">
        <v>23.1</v>
      </c>
      <c r="S7600">
        <v>21.3</v>
      </c>
      <c r="T7600">
        <v>1270</v>
      </c>
      <c r="U7600">
        <v>217</v>
      </c>
      <c r="V7600">
        <v>46</v>
      </c>
      <c r="W7600">
        <v>44</v>
      </c>
      <c r="X7600">
        <v>523</v>
      </c>
      <c r="Y7600">
        <v>210</v>
      </c>
      <c r="Z7600">
        <v>250</v>
      </c>
      <c r="AA7600">
        <v>234</v>
      </c>
      <c r="AB7600">
        <v>20.578589999999998</v>
      </c>
      <c r="AC7600">
        <v>3.6414679999999998E-2</v>
      </c>
      <c r="AD7600">
        <v>3.2546400000000002</v>
      </c>
      <c r="AE7600">
        <v>0.74636000000000002</v>
      </c>
      <c r="AF7600">
        <v>1209.71</v>
      </c>
      <c r="AG7600">
        <f>IFERROR(AH7600*0.1, "N/A")</f>
        <v>5.8000000000000007</v>
      </c>
      <c r="AH7600">
        <v>58</v>
      </c>
      <c r="AI7600">
        <v>237.9417</v>
      </c>
      <c r="AJ7600">
        <v>27.179259999999999</v>
      </c>
      <c r="AK7600">
        <v>56</v>
      </c>
    </row>
    <row r="7601" spans="1:37" x14ac:dyDescent="0.3">
      <c r="A7601">
        <v>7600</v>
      </c>
      <c r="B7601">
        <v>0</v>
      </c>
      <c r="C7601">
        <v>34.890999999999998</v>
      </c>
      <c r="D7601">
        <v>-0.13240099999999999</v>
      </c>
      <c r="E7601" t="s">
        <v>11289</v>
      </c>
      <c r="F7601" t="s">
        <v>11290</v>
      </c>
      <c r="G7601" t="s">
        <v>39</v>
      </c>
      <c r="H7601">
        <v>1971</v>
      </c>
      <c r="I7601">
        <v>23</v>
      </c>
      <c r="J7601">
        <v>14.2</v>
      </c>
      <c r="K7601">
        <v>87</v>
      </c>
      <c r="L7601">
        <v>5.1264089999999998</v>
      </c>
      <c r="M7601">
        <v>31.512499999999999</v>
      </c>
      <c r="N7601">
        <v>15.3</v>
      </c>
      <c r="O7601">
        <v>16.212499999999999</v>
      </c>
      <c r="P7601">
        <v>23.2</v>
      </c>
      <c r="Q7601">
        <v>22.4</v>
      </c>
      <c r="R7601">
        <v>23.6</v>
      </c>
      <c r="S7601">
        <v>22.2</v>
      </c>
      <c r="T7601">
        <v>1230.674</v>
      </c>
      <c r="U7601">
        <v>204</v>
      </c>
      <c r="V7601">
        <v>64</v>
      </c>
      <c r="W7601">
        <v>39</v>
      </c>
      <c r="X7601">
        <v>495.67430000000002</v>
      </c>
      <c r="Y7601">
        <v>218.20070000000001</v>
      </c>
      <c r="Z7601">
        <v>301.875</v>
      </c>
      <c r="AA7601">
        <v>222.125</v>
      </c>
      <c r="AB7601">
        <v>1.531293</v>
      </c>
      <c r="AC7601">
        <v>1.13921E-2</v>
      </c>
      <c r="AD7601">
        <v>0.46295170000000002</v>
      </c>
      <c r="AE7601">
        <v>0.72799329999999995</v>
      </c>
      <c r="AF7601">
        <v>1150.0329999999999</v>
      </c>
      <c r="AG7601">
        <f>IFERROR(AH7601*0.1, "N/A")</f>
        <v>6.6431340000000008</v>
      </c>
      <c r="AH7601">
        <v>66.431340000000006</v>
      </c>
      <c r="AI7601">
        <v>85.509349999999998</v>
      </c>
      <c r="AJ7601">
        <v>41.790489999999998</v>
      </c>
      <c r="AK7601">
        <v>38.197180000000003</v>
      </c>
    </row>
    <row r="7602" spans="1:37" x14ac:dyDescent="0.3">
      <c r="A7602">
        <v>7601</v>
      </c>
      <c r="B7602">
        <v>15</v>
      </c>
      <c r="C7602">
        <v>34.42</v>
      </c>
      <c r="D7602">
        <v>-0.133078</v>
      </c>
      <c r="E7602" t="s">
        <v>11291</v>
      </c>
      <c r="F7602" t="s">
        <v>11292</v>
      </c>
      <c r="G7602" t="s">
        <v>37</v>
      </c>
      <c r="H7602">
        <v>2003</v>
      </c>
      <c r="I7602">
        <v>22.418800000000001</v>
      </c>
      <c r="J7602">
        <v>13.6</v>
      </c>
      <c r="K7602">
        <v>85.59402</v>
      </c>
      <c r="L7602">
        <v>6.587135</v>
      </c>
      <c r="M7602">
        <v>30.7</v>
      </c>
      <c r="N7602">
        <v>14.859400000000001</v>
      </c>
      <c r="O7602">
        <v>15.8406</v>
      </c>
      <c r="P7602">
        <v>22.718800000000002</v>
      </c>
      <c r="Q7602">
        <v>22.959399999999999</v>
      </c>
      <c r="R7602">
        <v>23.259399999999999</v>
      </c>
      <c r="S7602">
        <v>21.459399999999999</v>
      </c>
      <c r="T7602">
        <v>1255.4570000000001</v>
      </c>
      <c r="U7602">
        <v>215.4359</v>
      </c>
      <c r="V7602">
        <v>45.811950000000003</v>
      </c>
      <c r="W7602">
        <v>43.59402</v>
      </c>
      <c r="X7602">
        <v>518.68370000000004</v>
      </c>
      <c r="Y7602">
        <v>209.4359</v>
      </c>
      <c r="Z7602">
        <v>250.0299</v>
      </c>
      <c r="AA7602">
        <v>232.0598</v>
      </c>
      <c r="AB7602">
        <v>31.321459999999998</v>
      </c>
      <c r="AC7602">
        <v>2.1286960000000001E-2</v>
      </c>
      <c r="AD7602">
        <v>2.0796209999999999</v>
      </c>
      <c r="AE7602">
        <v>0.74250879999999997</v>
      </c>
      <c r="AF7602">
        <v>1204.279</v>
      </c>
      <c r="AG7602">
        <f>IFERROR(AH7602*0.1, "N/A")</f>
        <v>5.700527000000001</v>
      </c>
      <c r="AH7602">
        <v>57.005270000000003</v>
      </c>
      <c r="AI7602">
        <v>163.96190000000001</v>
      </c>
      <c r="AJ7602">
        <v>22</v>
      </c>
      <c r="AK7602">
        <v>63.994729999999997</v>
      </c>
    </row>
    <row r="7603" spans="1:37" x14ac:dyDescent="0.3">
      <c r="A7603">
        <v>7602</v>
      </c>
      <c r="B7603">
        <v>2.5</v>
      </c>
      <c r="C7603">
        <v>34.42</v>
      </c>
      <c r="D7603">
        <v>-0.133078</v>
      </c>
      <c r="E7603" t="s">
        <v>11291</v>
      </c>
      <c r="F7603" t="s">
        <v>11293</v>
      </c>
      <c r="G7603" t="s">
        <v>39</v>
      </c>
      <c r="H7603">
        <v>2003</v>
      </c>
      <c r="I7603">
        <v>22.418800000000001</v>
      </c>
      <c r="J7603">
        <v>13.6</v>
      </c>
      <c r="K7603">
        <v>85.59402</v>
      </c>
      <c r="L7603">
        <v>6.587135</v>
      </c>
      <c r="M7603">
        <v>30.7</v>
      </c>
      <c r="N7603">
        <v>14.859400000000001</v>
      </c>
      <c r="O7603">
        <v>15.8406</v>
      </c>
      <c r="P7603">
        <v>22.718800000000002</v>
      </c>
      <c r="Q7603">
        <v>22.959399999999999</v>
      </c>
      <c r="R7603">
        <v>23.259399999999999</v>
      </c>
      <c r="S7603">
        <v>21.459399999999999</v>
      </c>
      <c r="T7603">
        <v>1255.4570000000001</v>
      </c>
      <c r="U7603">
        <v>215.4359</v>
      </c>
      <c r="V7603">
        <v>45.811950000000003</v>
      </c>
      <c r="W7603">
        <v>43.59402</v>
      </c>
      <c r="X7603">
        <v>518.68370000000004</v>
      </c>
      <c r="Y7603">
        <v>209.4359</v>
      </c>
      <c r="Z7603">
        <v>250.0299</v>
      </c>
      <c r="AA7603">
        <v>232.0598</v>
      </c>
      <c r="AB7603">
        <v>31.321459999999998</v>
      </c>
      <c r="AC7603">
        <v>2.1286960000000001E-2</v>
      </c>
      <c r="AD7603">
        <v>2.0796209999999999</v>
      </c>
      <c r="AE7603">
        <v>0.74250879999999997</v>
      </c>
      <c r="AF7603">
        <v>1204.279</v>
      </c>
      <c r="AG7603">
        <f>IFERROR(AH7603*0.1, "N/A")</f>
        <v>5.700527000000001</v>
      </c>
      <c r="AH7603">
        <v>57.005270000000003</v>
      </c>
      <c r="AI7603">
        <v>163.96190000000001</v>
      </c>
      <c r="AJ7603">
        <v>22</v>
      </c>
      <c r="AK7603">
        <v>63.994729999999997</v>
      </c>
    </row>
    <row r="7604" spans="1:37" x14ac:dyDescent="0.3">
      <c r="A7604">
        <v>7603</v>
      </c>
      <c r="B7604">
        <v>9.4</v>
      </c>
      <c r="C7604">
        <v>34.369100000000003</v>
      </c>
      <c r="D7604">
        <v>-0.13497999999999999</v>
      </c>
      <c r="E7604" t="s">
        <v>11294</v>
      </c>
      <c r="F7604" t="s">
        <v>11295</v>
      </c>
      <c r="G7604" t="s">
        <v>37</v>
      </c>
      <c r="H7604">
        <v>2003</v>
      </c>
      <c r="I7604">
        <v>22.4</v>
      </c>
      <c r="J7604">
        <v>13.5</v>
      </c>
      <c r="K7604">
        <v>85</v>
      </c>
      <c r="L7604">
        <v>6.18</v>
      </c>
      <c r="M7604">
        <v>30.6</v>
      </c>
      <c r="N7604">
        <v>14.9</v>
      </c>
      <c r="O7604">
        <v>15.7</v>
      </c>
      <c r="P7604">
        <v>22.6</v>
      </c>
      <c r="Q7604">
        <v>22.9</v>
      </c>
      <c r="R7604">
        <v>23.1</v>
      </c>
      <c r="S7604">
        <v>21.5</v>
      </c>
      <c r="T7604">
        <v>1207</v>
      </c>
      <c r="U7604">
        <v>207</v>
      </c>
      <c r="V7604">
        <v>44</v>
      </c>
      <c r="W7604">
        <v>44</v>
      </c>
      <c r="X7604">
        <v>499</v>
      </c>
      <c r="Y7604">
        <v>203</v>
      </c>
      <c r="Z7604">
        <v>242</v>
      </c>
      <c r="AA7604">
        <v>219</v>
      </c>
      <c r="AB7604">
        <v>16.768699999999999</v>
      </c>
      <c r="AC7604">
        <v>4.5383140000000002E-2</v>
      </c>
      <c r="AD7604">
        <v>3.7079</v>
      </c>
      <c r="AE7604">
        <v>0.74711269999999996</v>
      </c>
      <c r="AF7604">
        <v>1212.0260000000001</v>
      </c>
      <c r="AG7604">
        <f>IFERROR(AH7604*0.1, "N/A")</f>
        <v>5.8000000000000007</v>
      </c>
      <c r="AH7604">
        <v>58</v>
      </c>
      <c r="AI7604">
        <v>40.226649999999999</v>
      </c>
      <c r="AJ7604">
        <v>33.876980000000003</v>
      </c>
      <c r="AK7604">
        <v>49.123019999999997</v>
      </c>
    </row>
    <row r="7605" spans="1:37" x14ac:dyDescent="0.3">
      <c r="A7605">
        <v>7604</v>
      </c>
      <c r="B7605">
        <v>0</v>
      </c>
      <c r="C7605">
        <v>34.369100000000003</v>
      </c>
      <c r="D7605">
        <v>-0.13497999999999999</v>
      </c>
      <c r="E7605" t="s">
        <v>11294</v>
      </c>
      <c r="F7605" t="s">
        <v>11296</v>
      </c>
      <c r="G7605" t="s">
        <v>39</v>
      </c>
      <c r="H7605">
        <v>2003</v>
      </c>
      <c r="I7605">
        <v>22.4</v>
      </c>
      <c r="J7605">
        <v>13.5</v>
      </c>
      <c r="K7605">
        <v>85</v>
      </c>
      <c r="L7605">
        <v>6.18</v>
      </c>
      <c r="M7605">
        <v>30.6</v>
      </c>
      <c r="N7605">
        <v>14.9</v>
      </c>
      <c r="O7605">
        <v>15.7</v>
      </c>
      <c r="P7605">
        <v>22.6</v>
      </c>
      <c r="Q7605">
        <v>22.9</v>
      </c>
      <c r="R7605">
        <v>23.1</v>
      </c>
      <c r="S7605">
        <v>21.5</v>
      </c>
      <c r="T7605">
        <v>1207</v>
      </c>
      <c r="U7605">
        <v>207</v>
      </c>
      <c r="V7605">
        <v>44</v>
      </c>
      <c r="W7605">
        <v>44</v>
      </c>
      <c r="X7605">
        <v>499</v>
      </c>
      <c r="Y7605">
        <v>203</v>
      </c>
      <c r="Z7605">
        <v>242</v>
      </c>
      <c r="AA7605">
        <v>219</v>
      </c>
      <c r="AB7605">
        <v>16.768699999999999</v>
      </c>
      <c r="AC7605">
        <v>4.5383140000000002E-2</v>
      </c>
      <c r="AD7605">
        <v>3.7079</v>
      </c>
      <c r="AE7605">
        <v>0.74711269999999996</v>
      </c>
      <c r="AF7605">
        <v>1212.0260000000001</v>
      </c>
      <c r="AG7605">
        <f>IFERROR(AH7605*0.1, "N/A")</f>
        <v>5.8000000000000007</v>
      </c>
      <c r="AH7605">
        <v>58</v>
      </c>
      <c r="AI7605">
        <v>40.226649999999999</v>
      </c>
      <c r="AJ7605">
        <v>33.876980000000003</v>
      </c>
      <c r="AK7605">
        <v>49.123019999999997</v>
      </c>
    </row>
    <row r="7606" spans="1:37" x14ac:dyDescent="0.3">
      <c r="A7606">
        <v>7605</v>
      </c>
      <c r="B7606">
        <v>2.2000000000000002</v>
      </c>
      <c r="C7606">
        <v>34.408499999999997</v>
      </c>
      <c r="D7606">
        <v>-0.135736</v>
      </c>
      <c r="E7606" t="s">
        <v>11297</v>
      </c>
      <c r="F7606" t="s">
        <v>11298</v>
      </c>
      <c r="G7606" t="s">
        <v>37</v>
      </c>
      <c r="H7606">
        <v>2003</v>
      </c>
      <c r="I7606">
        <v>22.320599999999999</v>
      </c>
      <c r="J7606">
        <v>13.5794</v>
      </c>
      <c r="K7606">
        <v>84.79401</v>
      </c>
      <c r="L7606">
        <v>6.4673769999999999</v>
      </c>
      <c r="M7606">
        <v>30.6206</v>
      </c>
      <c r="N7606">
        <v>14.720599999999999</v>
      </c>
      <c r="O7606">
        <v>15.9</v>
      </c>
      <c r="P7606">
        <v>22.6</v>
      </c>
      <c r="Q7606">
        <v>22.841200000000001</v>
      </c>
      <c r="R7606">
        <v>23.1206</v>
      </c>
      <c r="S7606">
        <v>21.4</v>
      </c>
      <c r="T7606">
        <v>1271.731</v>
      </c>
      <c r="U7606">
        <v>217.5581</v>
      </c>
      <c r="V7606">
        <v>46.588030000000003</v>
      </c>
      <c r="W7606">
        <v>43.20599</v>
      </c>
      <c r="X7606">
        <v>523.70420000000001</v>
      </c>
      <c r="Y7606">
        <v>210.9701</v>
      </c>
      <c r="Z7606">
        <v>250.9701</v>
      </c>
      <c r="AA7606">
        <v>236.32220000000001</v>
      </c>
      <c r="AB7606">
        <v>29.701969999999999</v>
      </c>
      <c r="AC7606">
        <v>4.8668469999999998E-2</v>
      </c>
      <c r="AD7606">
        <v>2.943676</v>
      </c>
      <c r="AE7606">
        <v>0.74608430000000003</v>
      </c>
      <c r="AF7606">
        <v>1211.6389999999999</v>
      </c>
      <c r="AG7606">
        <f>IFERROR(AH7606*0.1, "N/A")</f>
        <v>5.7</v>
      </c>
      <c r="AH7606">
        <v>57</v>
      </c>
      <c r="AI7606">
        <v>285.64479999999998</v>
      </c>
      <c r="AJ7606">
        <v>22.20599</v>
      </c>
      <c r="AK7606">
        <v>63.17606</v>
      </c>
    </row>
    <row r="7607" spans="1:37" x14ac:dyDescent="0.3">
      <c r="A7607">
        <v>7606</v>
      </c>
      <c r="B7607">
        <v>0</v>
      </c>
      <c r="C7607">
        <v>34.408499999999997</v>
      </c>
      <c r="D7607">
        <v>-0.135736</v>
      </c>
      <c r="E7607" t="s">
        <v>11297</v>
      </c>
      <c r="F7607" t="s">
        <v>11299</v>
      </c>
      <c r="G7607" t="s">
        <v>39</v>
      </c>
      <c r="H7607">
        <v>2003</v>
      </c>
      <c r="I7607">
        <v>22.320599999999999</v>
      </c>
      <c r="J7607">
        <v>13.5794</v>
      </c>
      <c r="K7607">
        <v>84.79401</v>
      </c>
      <c r="L7607">
        <v>6.4673769999999999</v>
      </c>
      <c r="M7607">
        <v>30.6206</v>
      </c>
      <c r="N7607">
        <v>14.720599999999999</v>
      </c>
      <c r="O7607">
        <v>15.9</v>
      </c>
      <c r="P7607">
        <v>22.6</v>
      </c>
      <c r="Q7607">
        <v>22.841200000000001</v>
      </c>
      <c r="R7607">
        <v>23.1206</v>
      </c>
      <c r="S7607">
        <v>21.4</v>
      </c>
      <c r="T7607">
        <v>1271.731</v>
      </c>
      <c r="U7607">
        <v>217.5581</v>
      </c>
      <c r="V7607">
        <v>46.588030000000003</v>
      </c>
      <c r="W7607">
        <v>43.20599</v>
      </c>
      <c r="X7607">
        <v>523.70420000000001</v>
      </c>
      <c r="Y7607">
        <v>210.9701</v>
      </c>
      <c r="Z7607">
        <v>250.9701</v>
      </c>
      <c r="AA7607">
        <v>236.32220000000001</v>
      </c>
      <c r="AB7607">
        <v>29.701969999999999</v>
      </c>
      <c r="AC7607">
        <v>4.8668469999999998E-2</v>
      </c>
      <c r="AD7607">
        <v>2.943676</v>
      </c>
      <c r="AE7607">
        <v>0.74608430000000003</v>
      </c>
      <c r="AF7607">
        <v>1211.6389999999999</v>
      </c>
      <c r="AG7607">
        <f>IFERROR(AH7607*0.1, "N/A")</f>
        <v>5.7</v>
      </c>
      <c r="AH7607">
        <v>57</v>
      </c>
      <c r="AI7607">
        <v>285.64479999999998</v>
      </c>
      <c r="AJ7607">
        <v>22.20599</v>
      </c>
      <c r="AK7607">
        <v>63.17606</v>
      </c>
    </row>
    <row r="7608" spans="1:37" x14ac:dyDescent="0.3">
      <c r="A7608">
        <v>7607</v>
      </c>
      <c r="B7608">
        <v>15</v>
      </c>
      <c r="C7608">
        <v>34.278199999999998</v>
      </c>
      <c r="D7608">
        <v>-0.13592000000000001</v>
      </c>
      <c r="E7608" t="s">
        <v>11300</v>
      </c>
      <c r="F7608" t="s">
        <v>11301</v>
      </c>
      <c r="G7608" t="s">
        <v>37</v>
      </c>
      <c r="H7608">
        <v>2008</v>
      </c>
      <c r="I7608">
        <v>22.1</v>
      </c>
      <c r="J7608">
        <v>13.3</v>
      </c>
      <c r="K7608">
        <v>85</v>
      </c>
      <c r="L7608">
        <v>6.43</v>
      </c>
      <c r="M7608">
        <v>30.3</v>
      </c>
      <c r="N7608">
        <v>14.8</v>
      </c>
      <c r="O7608">
        <v>15.5</v>
      </c>
      <c r="P7608">
        <v>22.4</v>
      </c>
      <c r="Q7608">
        <v>21.2</v>
      </c>
      <c r="R7608">
        <v>22.9</v>
      </c>
      <c r="S7608">
        <v>21.2</v>
      </c>
      <c r="T7608">
        <v>1158</v>
      </c>
      <c r="U7608">
        <v>194</v>
      </c>
      <c r="V7608">
        <v>43</v>
      </c>
      <c r="W7608">
        <v>43</v>
      </c>
      <c r="X7608">
        <v>472</v>
      </c>
      <c r="Y7608">
        <v>202</v>
      </c>
      <c r="Z7608">
        <v>232</v>
      </c>
      <c r="AA7608">
        <v>202</v>
      </c>
      <c r="AB7608">
        <v>24.496970000000001</v>
      </c>
      <c r="AC7608">
        <v>1.6733850000000002E-2</v>
      </c>
      <c r="AD7608">
        <v>2.2371470000000002</v>
      </c>
      <c r="AE7608">
        <v>0.40210750000000001</v>
      </c>
      <c r="AF7608">
        <v>1239.453</v>
      </c>
      <c r="AG7608">
        <f>IFERROR(AH7608*0.1, "N/A")</f>
        <v>6.1915340000000008</v>
      </c>
      <c r="AH7608">
        <v>61.91534</v>
      </c>
      <c r="AI7608">
        <v>289.89229999999998</v>
      </c>
      <c r="AJ7608">
        <v>28.389769999999999</v>
      </c>
      <c r="AK7608">
        <v>53.696649999999998</v>
      </c>
    </row>
    <row r="7609" spans="1:37" x14ac:dyDescent="0.3">
      <c r="A7609">
        <v>7608</v>
      </c>
      <c r="B7609">
        <v>17.100000000000001</v>
      </c>
      <c r="C7609">
        <v>34.356699999999996</v>
      </c>
      <c r="D7609">
        <v>-0.13653999999999999</v>
      </c>
      <c r="E7609" t="s">
        <v>11302</v>
      </c>
      <c r="F7609" t="s">
        <v>11303</v>
      </c>
      <c r="G7609" t="s">
        <v>37</v>
      </c>
      <c r="H7609">
        <v>2003</v>
      </c>
      <c r="I7609">
        <v>22.1</v>
      </c>
      <c r="J7609">
        <v>13.5</v>
      </c>
      <c r="K7609">
        <v>84</v>
      </c>
      <c r="L7609">
        <v>6.51</v>
      </c>
      <c r="M7609">
        <v>30.4</v>
      </c>
      <c r="N7609">
        <v>14.5</v>
      </c>
      <c r="O7609">
        <v>15.9</v>
      </c>
      <c r="P7609">
        <v>22.4</v>
      </c>
      <c r="Q7609">
        <v>22.6</v>
      </c>
      <c r="R7609">
        <v>22.9</v>
      </c>
      <c r="S7609">
        <v>21.2</v>
      </c>
      <c r="T7609">
        <v>1262</v>
      </c>
      <c r="U7609">
        <v>214</v>
      </c>
      <c r="V7609">
        <v>46</v>
      </c>
      <c r="W7609">
        <v>43</v>
      </c>
      <c r="X7609">
        <v>516</v>
      </c>
      <c r="Y7609">
        <v>210</v>
      </c>
      <c r="Z7609">
        <v>246</v>
      </c>
      <c r="AA7609">
        <v>232</v>
      </c>
      <c r="AB7609">
        <v>3.7065649999999999</v>
      </c>
      <c r="AC7609">
        <v>0.14427110000000001</v>
      </c>
      <c r="AD7609">
        <v>2.2774610000000002</v>
      </c>
      <c r="AE7609">
        <v>0.75179110000000005</v>
      </c>
      <c r="AF7609">
        <v>1237.203</v>
      </c>
      <c r="AG7609">
        <f>IFERROR(AH7609*0.1, "N/A")</f>
        <v>6.1017670000000006</v>
      </c>
      <c r="AH7609">
        <v>61.017670000000003</v>
      </c>
      <c r="AI7609">
        <v>94.90052</v>
      </c>
      <c r="AJ7609">
        <v>42.575969999999998</v>
      </c>
      <c r="AK7609">
        <v>39.939929999999997</v>
      </c>
    </row>
    <row r="7610" spans="1:37" x14ac:dyDescent="0.3">
      <c r="A7610">
        <v>7609</v>
      </c>
      <c r="B7610">
        <v>0</v>
      </c>
      <c r="C7610">
        <v>34.356699999999996</v>
      </c>
      <c r="D7610">
        <v>-0.13653999999999999</v>
      </c>
      <c r="E7610" t="s">
        <v>11302</v>
      </c>
      <c r="F7610" t="s">
        <v>11304</v>
      </c>
      <c r="G7610" t="s">
        <v>39</v>
      </c>
      <c r="H7610">
        <v>2003</v>
      </c>
      <c r="I7610">
        <v>22.1</v>
      </c>
      <c r="J7610">
        <v>13.5</v>
      </c>
      <c r="K7610">
        <v>84</v>
      </c>
      <c r="L7610">
        <v>6.51</v>
      </c>
      <c r="M7610">
        <v>30.4</v>
      </c>
      <c r="N7610">
        <v>14.5</v>
      </c>
      <c r="O7610">
        <v>15.9</v>
      </c>
      <c r="P7610">
        <v>22.4</v>
      </c>
      <c r="Q7610">
        <v>22.6</v>
      </c>
      <c r="R7610">
        <v>22.9</v>
      </c>
      <c r="S7610">
        <v>21.2</v>
      </c>
      <c r="T7610">
        <v>1262</v>
      </c>
      <c r="U7610">
        <v>214</v>
      </c>
      <c r="V7610">
        <v>46</v>
      </c>
      <c r="W7610">
        <v>43</v>
      </c>
      <c r="X7610">
        <v>516</v>
      </c>
      <c r="Y7610">
        <v>210</v>
      </c>
      <c r="Z7610">
        <v>246</v>
      </c>
      <c r="AA7610">
        <v>232</v>
      </c>
      <c r="AB7610">
        <v>3.7065649999999999</v>
      </c>
      <c r="AC7610">
        <v>0.14427110000000001</v>
      </c>
      <c r="AD7610">
        <v>2.2774610000000002</v>
      </c>
      <c r="AE7610">
        <v>0.75179110000000005</v>
      </c>
      <c r="AF7610">
        <v>1237.203</v>
      </c>
      <c r="AG7610">
        <f>IFERROR(AH7610*0.1, "N/A")</f>
        <v>6.1017670000000006</v>
      </c>
      <c r="AH7610">
        <v>61.017670000000003</v>
      </c>
      <c r="AI7610">
        <v>94.90052</v>
      </c>
      <c r="AJ7610">
        <v>42.575969999999998</v>
      </c>
      <c r="AK7610">
        <v>39.939929999999997</v>
      </c>
    </row>
    <row r="7611" spans="1:37" x14ac:dyDescent="0.3">
      <c r="A7611">
        <v>7610</v>
      </c>
      <c r="B7611">
        <v>3.7</v>
      </c>
      <c r="C7611">
        <v>34.388300000000001</v>
      </c>
      <c r="D7611">
        <v>-0.13778000000000001</v>
      </c>
      <c r="E7611" t="s">
        <v>11305</v>
      </c>
      <c r="F7611" t="s">
        <v>11306</v>
      </c>
      <c r="G7611" t="s">
        <v>37</v>
      </c>
      <c r="H7611">
        <v>2003</v>
      </c>
      <c r="I7611">
        <v>22.3</v>
      </c>
      <c r="J7611">
        <v>13.5</v>
      </c>
      <c r="K7611">
        <v>84</v>
      </c>
      <c r="L7611">
        <v>6.58</v>
      </c>
      <c r="M7611">
        <v>30.6</v>
      </c>
      <c r="N7611">
        <v>14.7</v>
      </c>
      <c r="O7611">
        <v>15.9</v>
      </c>
      <c r="P7611">
        <v>22.5</v>
      </c>
      <c r="Q7611">
        <v>22.9</v>
      </c>
      <c r="R7611">
        <v>23.1</v>
      </c>
      <c r="S7611">
        <v>21.3</v>
      </c>
      <c r="T7611">
        <v>1248</v>
      </c>
      <c r="U7611">
        <v>214</v>
      </c>
      <c r="V7611">
        <v>45</v>
      </c>
      <c r="W7611">
        <v>43</v>
      </c>
      <c r="X7611">
        <v>515</v>
      </c>
      <c r="Y7611">
        <v>208</v>
      </c>
      <c r="Z7611">
        <v>247</v>
      </c>
      <c r="AA7611">
        <v>229</v>
      </c>
      <c r="AB7611">
        <v>28.24211</v>
      </c>
      <c r="AC7611">
        <v>9.1949400000000004E-3</v>
      </c>
      <c r="AD7611">
        <v>2.29664</v>
      </c>
      <c r="AE7611">
        <v>0.746286</v>
      </c>
      <c r="AF7611">
        <v>1215.049</v>
      </c>
      <c r="AG7611">
        <f>IFERROR(AH7611*0.1, "N/A")</f>
        <v>5.7010560000000003</v>
      </c>
      <c r="AH7611">
        <v>57.010559999999998</v>
      </c>
      <c r="AI7611">
        <v>222.4478</v>
      </c>
      <c r="AJ7611">
        <v>22.06514</v>
      </c>
      <c r="AK7611">
        <v>61.010559999999998</v>
      </c>
    </row>
    <row r="7612" spans="1:37" x14ac:dyDescent="0.3">
      <c r="A7612">
        <v>7611</v>
      </c>
      <c r="B7612">
        <v>0</v>
      </c>
      <c r="C7612">
        <v>34.388300000000001</v>
      </c>
      <c r="D7612">
        <v>-0.13778000000000001</v>
      </c>
      <c r="E7612" t="s">
        <v>11305</v>
      </c>
      <c r="F7612" t="s">
        <v>11307</v>
      </c>
      <c r="G7612" t="s">
        <v>39</v>
      </c>
      <c r="H7612">
        <v>2003</v>
      </c>
      <c r="I7612">
        <v>22.3</v>
      </c>
      <c r="J7612">
        <v>13.5</v>
      </c>
      <c r="K7612">
        <v>84</v>
      </c>
      <c r="L7612">
        <v>6.58</v>
      </c>
      <c r="M7612">
        <v>30.6</v>
      </c>
      <c r="N7612">
        <v>14.7</v>
      </c>
      <c r="O7612">
        <v>15.9</v>
      </c>
      <c r="P7612">
        <v>22.5</v>
      </c>
      <c r="Q7612">
        <v>22.9</v>
      </c>
      <c r="R7612">
        <v>23.1</v>
      </c>
      <c r="S7612">
        <v>21.3</v>
      </c>
      <c r="T7612">
        <v>1248</v>
      </c>
      <c r="U7612">
        <v>214</v>
      </c>
      <c r="V7612">
        <v>45</v>
      </c>
      <c r="W7612">
        <v>43</v>
      </c>
      <c r="X7612">
        <v>515</v>
      </c>
      <c r="Y7612">
        <v>208</v>
      </c>
      <c r="Z7612">
        <v>247</v>
      </c>
      <c r="AA7612">
        <v>229</v>
      </c>
      <c r="AB7612">
        <v>28.24211</v>
      </c>
      <c r="AC7612">
        <v>9.1949400000000004E-3</v>
      </c>
      <c r="AD7612">
        <v>2.29664</v>
      </c>
      <c r="AE7612">
        <v>0.746286</v>
      </c>
      <c r="AF7612">
        <v>1215.049</v>
      </c>
      <c r="AG7612">
        <f>IFERROR(AH7612*0.1, "N/A")</f>
        <v>5.7010560000000003</v>
      </c>
      <c r="AH7612">
        <v>57.010559999999998</v>
      </c>
      <c r="AI7612">
        <v>222.4478</v>
      </c>
      <c r="AJ7612">
        <v>22.06514</v>
      </c>
      <c r="AK7612">
        <v>61.010559999999998</v>
      </c>
    </row>
    <row r="7613" spans="1:37" x14ac:dyDescent="0.3">
      <c r="A7613">
        <v>7612</v>
      </c>
      <c r="B7613">
        <v>10.7</v>
      </c>
      <c r="C7613">
        <v>34.301200000000001</v>
      </c>
      <c r="D7613">
        <v>-0.13830000000000001</v>
      </c>
      <c r="E7613" t="s">
        <v>11308</v>
      </c>
      <c r="F7613" t="s">
        <v>11309</v>
      </c>
      <c r="G7613" t="s">
        <v>37</v>
      </c>
      <c r="H7613">
        <v>2008</v>
      </c>
      <c r="I7613">
        <v>22.100180000000002</v>
      </c>
      <c r="J7613">
        <v>13.39982</v>
      </c>
      <c r="K7613">
        <v>85</v>
      </c>
      <c r="L7613">
        <v>6.5297369999999999</v>
      </c>
      <c r="M7613">
        <v>30.300170000000001</v>
      </c>
      <c r="N7613">
        <v>14.70018</v>
      </c>
      <c r="O7613">
        <v>15.6</v>
      </c>
      <c r="P7613">
        <v>22.400179999999999</v>
      </c>
      <c r="Q7613">
        <v>22.600349999999999</v>
      </c>
      <c r="R7613">
        <v>22.900179999999999</v>
      </c>
      <c r="S7613">
        <v>21.20018</v>
      </c>
      <c r="T7613">
        <v>1188.9259999999999</v>
      </c>
      <c r="U7613">
        <v>199.98949999999999</v>
      </c>
      <c r="V7613">
        <v>43.996490000000001</v>
      </c>
      <c r="W7613">
        <v>43.001759999999997</v>
      </c>
      <c r="X7613">
        <v>485.97359999999998</v>
      </c>
      <c r="Y7613">
        <v>202.99119999999999</v>
      </c>
      <c r="Z7613">
        <v>235.99119999999999</v>
      </c>
      <c r="AA7613">
        <v>211.98070000000001</v>
      </c>
      <c r="AB7613">
        <v>16.171869999999998</v>
      </c>
      <c r="AC7613">
        <v>4.2093190000000003E-2</v>
      </c>
      <c r="AD7613">
        <v>2.2777180000000001</v>
      </c>
      <c r="AE7613">
        <v>0.74049940000000003</v>
      </c>
      <c r="AF7613">
        <v>1227.1510000000001</v>
      </c>
      <c r="AG7613">
        <f>IFERROR(AH7613*0.1, "N/A")</f>
        <v>6.1001760000000003</v>
      </c>
      <c r="AH7613">
        <v>61.001759999999997</v>
      </c>
      <c r="AI7613">
        <v>300.23270000000002</v>
      </c>
      <c r="AJ7613">
        <v>44.001759999999997</v>
      </c>
      <c r="AK7613">
        <v>37.994729999999997</v>
      </c>
    </row>
    <row r="7614" spans="1:37" x14ac:dyDescent="0.3">
      <c r="A7614">
        <v>7613</v>
      </c>
      <c r="B7614">
        <v>3.8</v>
      </c>
      <c r="C7614">
        <v>34.931800000000003</v>
      </c>
      <c r="D7614">
        <v>-0.140705</v>
      </c>
      <c r="E7614" t="s">
        <v>11310</v>
      </c>
      <c r="F7614" t="s">
        <v>11311</v>
      </c>
      <c r="G7614" t="s">
        <v>39</v>
      </c>
      <c r="H7614">
        <v>1971</v>
      </c>
      <c r="I7614">
        <v>23</v>
      </c>
      <c r="J7614">
        <v>14.4</v>
      </c>
      <c r="K7614">
        <v>87</v>
      </c>
      <c r="L7614">
        <v>5.44</v>
      </c>
      <c r="M7614">
        <v>31.6</v>
      </c>
      <c r="N7614">
        <v>15.2</v>
      </c>
      <c r="O7614">
        <v>16.399999999999999</v>
      </c>
      <c r="P7614">
        <v>23.2</v>
      </c>
      <c r="Q7614">
        <v>22.4</v>
      </c>
      <c r="R7614">
        <v>23.7</v>
      </c>
      <c r="S7614">
        <v>22.2</v>
      </c>
      <c r="T7614">
        <v>1221</v>
      </c>
      <c r="U7614">
        <v>202</v>
      </c>
      <c r="V7614">
        <v>64</v>
      </c>
      <c r="W7614">
        <v>39</v>
      </c>
      <c r="X7614">
        <v>488</v>
      </c>
      <c r="Y7614">
        <v>218</v>
      </c>
      <c r="Z7614">
        <v>301</v>
      </c>
      <c r="AA7614">
        <v>224</v>
      </c>
      <c r="AB7614">
        <v>1.23973</v>
      </c>
      <c r="AC7614">
        <v>1.104158E-2</v>
      </c>
      <c r="AD7614">
        <v>1.2658990000000001</v>
      </c>
      <c r="AE7614">
        <v>0.72492520000000005</v>
      </c>
      <c r="AF7614">
        <v>1156.4590000000001</v>
      </c>
      <c r="AG7614">
        <f>IFERROR(AH7614*0.1, "N/A")</f>
        <v>6.7</v>
      </c>
      <c r="AH7614">
        <v>67</v>
      </c>
      <c r="AI7614">
        <v>195.04390000000001</v>
      </c>
      <c r="AJ7614">
        <v>41.898069999999997</v>
      </c>
      <c r="AK7614">
        <v>34.210900000000002</v>
      </c>
    </row>
    <row r="7615" spans="1:37" x14ac:dyDescent="0.3">
      <c r="A7615">
        <v>7614</v>
      </c>
      <c r="B7615">
        <v>0</v>
      </c>
      <c r="C7615">
        <v>34.931800000000003</v>
      </c>
      <c r="D7615">
        <v>-0.140705</v>
      </c>
      <c r="E7615" t="s">
        <v>11310</v>
      </c>
      <c r="F7615" t="s">
        <v>11312</v>
      </c>
      <c r="G7615" t="s">
        <v>37</v>
      </c>
      <c r="H7615">
        <v>1971</v>
      </c>
      <c r="I7615">
        <v>23</v>
      </c>
      <c r="J7615">
        <v>14.4</v>
      </c>
      <c r="K7615">
        <v>87</v>
      </c>
      <c r="L7615">
        <v>5.44</v>
      </c>
      <c r="M7615">
        <v>31.6</v>
      </c>
      <c r="N7615">
        <v>15.2</v>
      </c>
      <c r="O7615">
        <v>16.399999999999999</v>
      </c>
      <c r="P7615">
        <v>23.2</v>
      </c>
      <c r="Q7615">
        <v>22.4</v>
      </c>
      <c r="R7615">
        <v>23.7</v>
      </c>
      <c r="S7615">
        <v>22.2</v>
      </c>
      <c r="T7615">
        <v>1221</v>
      </c>
      <c r="U7615">
        <v>202</v>
      </c>
      <c r="V7615">
        <v>64</v>
      </c>
      <c r="W7615">
        <v>39</v>
      </c>
      <c r="X7615">
        <v>488</v>
      </c>
      <c r="Y7615">
        <v>218</v>
      </c>
      <c r="Z7615">
        <v>301</v>
      </c>
      <c r="AA7615">
        <v>224</v>
      </c>
      <c r="AB7615">
        <v>1.23973</v>
      </c>
      <c r="AC7615">
        <v>1.104158E-2</v>
      </c>
      <c r="AD7615">
        <v>1.2658990000000001</v>
      </c>
      <c r="AE7615">
        <v>0.72492520000000005</v>
      </c>
      <c r="AF7615">
        <v>1156.4590000000001</v>
      </c>
      <c r="AG7615">
        <f>IFERROR(AH7615*0.1, "N/A")</f>
        <v>6.7</v>
      </c>
      <c r="AH7615">
        <v>67</v>
      </c>
      <c r="AI7615">
        <v>195.04390000000001</v>
      </c>
      <c r="AJ7615">
        <v>41.898069999999997</v>
      </c>
      <c r="AK7615">
        <v>34.210900000000002</v>
      </c>
    </row>
    <row r="7616" spans="1:37" x14ac:dyDescent="0.3">
      <c r="A7616">
        <v>7615</v>
      </c>
      <c r="B7616">
        <v>3.3</v>
      </c>
      <c r="C7616">
        <v>34.739800000000002</v>
      </c>
      <c r="D7616">
        <v>-0.141016</v>
      </c>
      <c r="E7616" t="s">
        <v>11313</v>
      </c>
      <c r="F7616" t="s">
        <v>11314</v>
      </c>
      <c r="G7616" t="s">
        <v>39</v>
      </c>
      <c r="H7616">
        <v>1971</v>
      </c>
      <c r="I7616">
        <v>23.1</v>
      </c>
      <c r="J7616">
        <v>13.9</v>
      </c>
      <c r="K7616">
        <v>86</v>
      </c>
      <c r="L7616">
        <v>6.37</v>
      </c>
      <c r="M7616">
        <v>31.5</v>
      </c>
      <c r="N7616">
        <v>15.4</v>
      </c>
      <c r="O7616">
        <v>16.100000000000001</v>
      </c>
      <c r="P7616">
        <v>23.3</v>
      </c>
      <c r="Q7616">
        <v>22.1</v>
      </c>
      <c r="R7616">
        <v>23.8</v>
      </c>
      <c r="S7616">
        <v>22.1</v>
      </c>
      <c r="T7616">
        <v>1268</v>
      </c>
      <c r="U7616">
        <v>215</v>
      </c>
      <c r="V7616">
        <v>58</v>
      </c>
      <c r="W7616">
        <v>43</v>
      </c>
      <c r="X7616">
        <v>525</v>
      </c>
      <c r="Y7616">
        <v>220</v>
      </c>
      <c r="Z7616">
        <v>298</v>
      </c>
      <c r="AA7616">
        <v>220</v>
      </c>
      <c r="AB7616">
        <v>7.2781380000000002</v>
      </c>
      <c r="AC7616">
        <v>8.547832E-3</v>
      </c>
      <c r="AD7616">
        <v>1.0766610000000001</v>
      </c>
      <c r="AE7616">
        <v>0.57516840000000002</v>
      </c>
      <c r="AF7616">
        <v>1137.9960000000001</v>
      </c>
      <c r="AG7616">
        <f>IFERROR(AH7616*0.1, "N/A")</f>
        <v>5.5355629999999998</v>
      </c>
      <c r="AH7616">
        <v>55.355629999999998</v>
      </c>
      <c r="AI7616">
        <v>78.118549999999999</v>
      </c>
      <c r="AJ7616">
        <v>33</v>
      </c>
      <c r="AK7616">
        <v>43</v>
      </c>
    </row>
    <row r="7617" spans="1:37" x14ac:dyDescent="0.3">
      <c r="A7617">
        <v>7616</v>
      </c>
      <c r="B7617">
        <v>3.3</v>
      </c>
      <c r="C7617">
        <v>34.877499999999998</v>
      </c>
      <c r="D7617">
        <v>-0.141317</v>
      </c>
      <c r="E7617" t="s">
        <v>11315</v>
      </c>
      <c r="F7617" t="s">
        <v>11316</v>
      </c>
      <c r="G7617" t="s">
        <v>39</v>
      </c>
      <c r="H7617">
        <v>1971</v>
      </c>
      <c r="I7617">
        <v>23</v>
      </c>
      <c r="J7617">
        <v>14.2</v>
      </c>
      <c r="K7617">
        <v>87</v>
      </c>
      <c r="L7617">
        <v>5.2581369999999996</v>
      </c>
      <c r="M7617">
        <v>31.5</v>
      </c>
      <c r="N7617">
        <v>15.3</v>
      </c>
      <c r="O7617">
        <v>16.2</v>
      </c>
      <c r="P7617">
        <v>23.2</v>
      </c>
      <c r="Q7617">
        <v>22.4</v>
      </c>
      <c r="R7617">
        <v>23.6</v>
      </c>
      <c r="S7617">
        <v>22.2</v>
      </c>
      <c r="T7617">
        <v>1230</v>
      </c>
      <c r="U7617">
        <v>204</v>
      </c>
      <c r="V7617">
        <v>63.047449999999998</v>
      </c>
      <c r="W7617">
        <v>39.952550000000002</v>
      </c>
      <c r="X7617">
        <v>496</v>
      </c>
      <c r="Y7617">
        <v>218</v>
      </c>
      <c r="Z7617">
        <v>301.04750000000001</v>
      </c>
      <c r="AA7617">
        <v>221</v>
      </c>
      <c r="AB7617">
        <v>4.8464049999999999</v>
      </c>
      <c r="AC7617">
        <v>1.48573E-2</v>
      </c>
      <c r="AD7617">
        <v>1.6680900000000001</v>
      </c>
      <c r="AE7617">
        <v>0.73285940000000005</v>
      </c>
      <c r="AF7617">
        <v>1150.768</v>
      </c>
      <c r="AG7617">
        <f>IFERROR(AH7617*0.1, "N/A")</f>
        <v>6.630580000000001</v>
      </c>
      <c r="AH7617">
        <v>66.305800000000005</v>
      </c>
      <c r="AI7617">
        <v>85.075249999999997</v>
      </c>
      <c r="AJ7617">
        <v>43</v>
      </c>
      <c r="AK7617">
        <v>38</v>
      </c>
    </row>
    <row r="7618" spans="1:37" x14ac:dyDescent="0.3">
      <c r="A7618">
        <v>7617</v>
      </c>
      <c r="B7618">
        <v>2.5</v>
      </c>
      <c r="C7618">
        <v>34.736899999999999</v>
      </c>
      <c r="D7618">
        <v>-0.14358099999999999</v>
      </c>
      <c r="E7618" t="s">
        <v>11317</v>
      </c>
      <c r="F7618" t="s">
        <v>11318</v>
      </c>
      <c r="G7618" t="s">
        <v>39</v>
      </c>
      <c r="H7618">
        <v>1971</v>
      </c>
      <c r="I7618">
        <v>23.1</v>
      </c>
      <c r="J7618">
        <v>13.9</v>
      </c>
      <c r="K7618">
        <v>85</v>
      </c>
      <c r="L7618">
        <v>6.39</v>
      </c>
      <c r="M7618">
        <v>31.5</v>
      </c>
      <c r="N7618">
        <v>15.3</v>
      </c>
      <c r="O7618">
        <v>16.2</v>
      </c>
      <c r="P7618">
        <v>23.3</v>
      </c>
      <c r="Q7618">
        <v>22.1</v>
      </c>
      <c r="R7618">
        <v>23.8</v>
      </c>
      <c r="S7618">
        <v>22.1</v>
      </c>
      <c r="T7618">
        <v>1261</v>
      </c>
      <c r="U7618">
        <v>213</v>
      </c>
      <c r="V7618">
        <v>57</v>
      </c>
      <c r="W7618">
        <v>42</v>
      </c>
      <c r="X7618">
        <v>522</v>
      </c>
      <c r="Y7618">
        <v>221</v>
      </c>
      <c r="Z7618">
        <v>295</v>
      </c>
      <c r="AA7618">
        <v>221</v>
      </c>
      <c r="AB7618">
        <v>8.0626879999999996</v>
      </c>
      <c r="AC7618">
        <v>2.085791E-2</v>
      </c>
      <c r="AD7618">
        <v>1.97997</v>
      </c>
      <c r="AE7618">
        <v>0.48896529999999999</v>
      </c>
      <c r="AF7618">
        <v>1138.1320000000001</v>
      </c>
      <c r="AG7618">
        <f>IFERROR(AH7618*0.1, "N/A")</f>
        <v>5.5140850000000006</v>
      </c>
      <c r="AH7618">
        <v>55.14085</v>
      </c>
      <c r="AI7618">
        <v>145.77699999999999</v>
      </c>
      <c r="AJ7618">
        <v>34.943660000000001</v>
      </c>
      <c r="AK7618">
        <v>41.943660000000001</v>
      </c>
    </row>
    <row r="7619" spans="1:37" x14ac:dyDescent="0.3">
      <c r="A7619">
        <v>7618</v>
      </c>
      <c r="B7619">
        <v>5.9</v>
      </c>
      <c r="C7619">
        <v>34.3626</v>
      </c>
      <c r="D7619">
        <v>-0.14751</v>
      </c>
      <c r="E7619" t="s">
        <v>11319</v>
      </c>
      <c r="F7619" t="s">
        <v>11320</v>
      </c>
      <c r="G7619" t="s">
        <v>37</v>
      </c>
      <c r="H7619">
        <v>2003</v>
      </c>
      <c r="I7619">
        <v>22.2</v>
      </c>
      <c r="J7619">
        <v>13.5</v>
      </c>
      <c r="K7619">
        <v>85</v>
      </c>
      <c r="L7619">
        <v>6.41</v>
      </c>
      <c r="M7619">
        <v>30.5</v>
      </c>
      <c r="N7619">
        <v>14.7</v>
      </c>
      <c r="O7619">
        <v>15.8</v>
      </c>
      <c r="P7619">
        <v>22.5</v>
      </c>
      <c r="Q7619">
        <v>22.7</v>
      </c>
      <c r="R7619">
        <v>23</v>
      </c>
      <c r="S7619">
        <v>21.3</v>
      </c>
      <c r="T7619">
        <v>1233</v>
      </c>
      <c r="U7619">
        <v>210</v>
      </c>
      <c r="V7619">
        <v>45</v>
      </c>
      <c r="W7619">
        <v>43</v>
      </c>
      <c r="X7619">
        <v>507</v>
      </c>
      <c r="Y7619">
        <v>207</v>
      </c>
      <c r="Z7619">
        <v>244</v>
      </c>
      <c r="AA7619">
        <v>225</v>
      </c>
      <c r="AB7619">
        <v>7.2122679999999999</v>
      </c>
      <c r="AC7619">
        <v>7.0050150000000005E-2</v>
      </c>
      <c r="AD7619">
        <v>2.8825449999999999</v>
      </c>
      <c r="AE7619">
        <v>0.74864330000000001</v>
      </c>
      <c r="AF7619">
        <v>1221.0509999999999</v>
      </c>
      <c r="AG7619">
        <f>IFERROR(AH7619*0.1, "N/A")</f>
        <v>5.6724080000000008</v>
      </c>
      <c r="AH7619">
        <v>56.724080000000001</v>
      </c>
      <c r="AI7619">
        <v>262.04599999999999</v>
      </c>
      <c r="AJ7619">
        <v>25</v>
      </c>
      <c r="AK7619">
        <v>61</v>
      </c>
    </row>
    <row r="7620" spans="1:37" x14ac:dyDescent="0.3">
      <c r="A7620">
        <v>7619</v>
      </c>
      <c r="B7620">
        <v>0</v>
      </c>
      <c r="C7620">
        <v>34.3626</v>
      </c>
      <c r="D7620">
        <v>-0.14751</v>
      </c>
      <c r="E7620" t="s">
        <v>11319</v>
      </c>
      <c r="F7620" t="s">
        <v>11321</v>
      </c>
      <c r="G7620" t="s">
        <v>39</v>
      </c>
      <c r="H7620">
        <v>2003</v>
      </c>
      <c r="I7620">
        <v>22.2</v>
      </c>
      <c r="J7620">
        <v>13.5</v>
      </c>
      <c r="K7620">
        <v>85</v>
      </c>
      <c r="L7620">
        <v>6.41</v>
      </c>
      <c r="M7620">
        <v>30.5</v>
      </c>
      <c r="N7620">
        <v>14.7</v>
      </c>
      <c r="O7620">
        <v>15.8</v>
      </c>
      <c r="P7620">
        <v>22.5</v>
      </c>
      <c r="Q7620">
        <v>22.7</v>
      </c>
      <c r="R7620">
        <v>23</v>
      </c>
      <c r="S7620">
        <v>21.3</v>
      </c>
      <c r="T7620">
        <v>1233</v>
      </c>
      <c r="U7620">
        <v>210</v>
      </c>
      <c r="V7620">
        <v>45</v>
      </c>
      <c r="W7620">
        <v>43</v>
      </c>
      <c r="X7620">
        <v>507</v>
      </c>
      <c r="Y7620">
        <v>207</v>
      </c>
      <c r="Z7620">
        <v>244</v>
      </c>
      <c r="AA7620">
        <v>225</v>
      </c>
      <c r="AB7620">
        <v>7.2122679999999999</v>
      </c>
      <c r="AC7620">
        <v>7.0050150000000005E-2</v>
      </c>
      <c r="AD7620">
        <v>2.8825449999999999</v>
      </c>
      <c r="AE7620">
        <v>0.74864330000000001</v>
      </c>
      <c r="AF7620">
        <v>1221.0509999999999</v>
      </c>
      <c r="AG7620">
        <f>IFERROR(AH7620*0.1, "N/A")</f>
        <v>5.6724080000000008</v>
      </c>
      <c r="AH7620">
        <v>56.724080000000001</v>
      </c>
      <c r="AI7620">
        <v>262.04599999999999</v>
      </c>
      <c r="AJ7620">
        <v>25</v>
      </c>
      <c r="AK7620">
        <v>61</v>
      </c>
    </row>
    <row r="7621" spans="1:37" x14ac:dyDescent="0.3">
      <c r="A7621">
        <v>7620</v>
      </c>
      <c r="B7621">
        <v>28.6</v>
      </c>
      <c r="C7621">
        <v>34.392800000000001</v>
      </c>
      <c r="D7621">
        <v>-0.149338</v>
      </c>
      <c r="E7621" t="s">
        <v>11322</v>
      </c>
      <c r="F7621" t="s">
        <v>11323</v>
      </c>
      <c r="G7621" t="s">
        <v>37</v>
      </c>
      <c r="H7621">
        <v>2003</v>
      </c>
      <c r="I7621">
        <v>22.40211</v>
      </c>
      <c r="J7621">
        <v>13.5</v>
      </c>
      <c r="K7621">
        <v>84.994730000000004</v>
      </c>
      <c r="L7621">
        <v>6.313269</v>
      </c>
      <c r="M7621">
        <v>30.602640000000001</v>
      </c>
      <c r="N7621">
        <v>14.80475</v>
      </c>
      <c r="O7621">
        <v>15.797890000000001</v>
      </c>
      <c r="P7621">
        <v>22.60211</v>
      </c>
      <c r="Q7621">
        <v>22.902640000000002</v>
      </c>
      <c r="R7621">
        <v>23.102640000000001</v>
      </c>
      <c r="S7621">
        <v>21.40474</v>
      </c>
      <c r="T7621">
        <v>1221.367</v>
      </c>
      <c r="U7621">
        <v>209.9051</v>
      </c>
      <c r="V7621">
        <v>43.978909999999999</v>
      </c>
      <c r="W7621">
        <v>43.994729999999997</v>
      </c>
      <c r="X7621">
        <v>505.75749999999999</v>
      </c>
      <c r="Y7621">
        <v>204.9631</v>
      </c>
      <c r="Z7621">
        <v>243.95779999999999</v>
      </c>
      <c r="AA7621">
        <v>221.8629</v>
      </c>
      <c r="AB7621">
        <v>30.627379999999999</v>
      </c>
      <c r="AC7621">
        <v>1.2123190000000001E-2</v>
      </c>
      <c r="AD7621">
        <v>1.714226</v>
      </c>
      <c r="AE7621">
        <v>0.75013700000000005</v>
      </c>
      <c r="AF7621">
        <v>1193.3689999999999</v>
      </c>
      <c r="AG7621">
        <f>IFERROR(AH7621*0.1, "N/A")</f>
        <v>5.7994729999999999</v>
      </c>
      <c r="AH7621">
        <v>57.994729999999997</v>
      </c>
      <c r="AI7621">
        <v>132.74809999999999</v>
      </c>
      <c r="AJ7621">
        <v>18.333919999999999</v>
      </c>
      <c r="AK7621">
        <v>66.681899999999999</v>
      </c>
    </row>
    <row r="7622" spans="1:37" x14ac:dyDescent="0.3">
      <c r="A7622">
        <v>7621</v>
      </c>
      <c r="B7622">
        <v>0</v>
      </c>
      <c r="C7622">
        <v>34.392800000000001</v>
      </c>
      <c r="D7622">
        <v>-0.149338</v>
      </c>
      <c r="E7622" t="s">
        <v>11322</v>
      </c>
      <c r="F7622" t="s">
        <v>11324</v>
      </c>
      <c r="G7622" t="s">
        <v>39</v>
      </c>
      <c r="H7622">
        <v>2003</v>
      </c>
      <c r="I7622">
        <v>22.40211</v>
      </c>
      <c r="J7622">
        <v>13.5</v>
      </c>
      <c r="K7622">
        <v>84.994730000000004</v>
      </c>
      <c r="L7622">
        <v>6.313269</v>
      </c>
      <c r="M7622">
        <v>30.602640000000001</v>
      </c>
      <c r="N7622">
        <v>14.80475</v>
      </c>
      <c r="O7622">
        <v>15.797890000000001</v>
      </c>
      <c r="P7622">
        <v>22.60211</v>
      </c>
      <c r="Q7622">
        <v>22.902640000000002</v>
      </c>
      <c r="R7622">
        <v>23.102640000000001</v>
      </c>
      <c r="S7622">
        <v>21.40474</v>
      </c>
      <c r="T7622">
        <v>1221.367</v>
      </c>
      <c r="U7622">
        <v>209.9051</v>
      </c>
      <c r="V7622">
        <v>43.978909999999999</v>
      </c>
      <c r="W7622">
        <v>43.994729999999997</v>
      </c>
      <c r="X7622">
        <v>505.75749999999999</v>
      </c>
      <c r="Y7622">
        <v>204.9631</v>
      </c>
      <c r="Z7622">
        <v>243.95779999999999</v>
      </c>
      <c r="AA7622">
        <v>221.8629</v>
      </c>
      <c r="AB7622">
        <v>30.627379999999999</v>
      </c>
      <c r="AC7622">
        <v>1.2123190000000001E-2</v>
      </c>
      <c r="AD7622">
        <v>1.714226</v>
      </c>
      <c r="AE7622">
        <v>0.75013700000000005</v>
      </c>
      <c r="AF7622">
        <v>1193.3689999999999</v>
      </c>
      <c r="AG7622">
        <f>IFERROR(AH7622*0.1, "N/A")</f>
        <v>5.7994729999999999</v>
      </c>
      <c r="AH7622">
        <v>57.994729999999997</v>
      </c>
      <c r="AI7622">
        <v>132.74809999999999</v>
      </c>
      <c r="AJ7622">
        <v>18.333919999999999</v>
      </c>
      <c r="AK7622">
        <v>66.681899999999999</v>
      </c>
    </row>
    <row r="7623" spans="1:37" x14ac:dyDescent="0.3">
      <c r="A7623">
        <v>7622</v>
      </c>
      <c r="B7623">
        <v>18.899999999999999</v>
      </c>
      <c r="C7623">
        <v>34.3827</v>
      </c>
      <c r="D7623">
        <v>-0.14960799999999999</v>
      </c>
      <c r="E7623" t="s">
        <v>11325</v>
      </c>
      <c r="F7623" t="s">
        <v>11326</v>
      </c>
      <c r="G7623" t="s">
        <v>37</v>
      </c>
      <c r="H7623">
        <v>2003</v>
      </c>
      <c r="I7623">
        <v>22.391580000000001</v>
      </c>
      <c r="J7623">
        <v>13.5</v>
      </c>
      <c r="K7623">
        <v>84.778949999999995</v>
      </c>
      <c r="L7623">
        <v>6.4499649999999997</v>
      </c>
      <c r="M7623">
        <v>30.677900000000001</v>
      </c>
      <c r="N7623">
        <v>14.931929999999999</v>
      </c>
      <c r="O7623">
        <v>15.74596</v>
      </c>
      <c r="P7623">
        <v>22.654039999999998</v>
      </c>
      <c r="Q7623">
        <v>22.977889999999999</v>
      </c>
      <c r="R7623">
        <v>23.177900000000001</v>
      </c>
      <c r="S7623">
        <v>21.469470000000001</v>
      </c>
      <c r="T7623">
        <v>1200.2739999999999</v>
      </c>
      <c r="U7623">
        <v>206.15440000000001</v>
      </c>
      <c r="V7623">
        <v>43.305259999999997</v>
      </c>
      <c r="W7623">
        <v>43.778950000000002</v>
      </c>
      <c r="X7623">
        <v>497.2561</v>
      </c>
      <c r="Y7623">
        <v>203.0702</v>
      </c>
      <c r="Z7623">
        <v>241.84909999999999</v>
      </c>
      <c r="AA7623">
        <v>216.62809999999999</v>
      </c>
      <c r="AB7623">
        <v>21.367329999999999</v>
      </c>
      <c r="AC7623">
        <v>7.7485319999999996E-2</v>
      </c>
      <c r="AD7623">
        <v>3.9978150000000001</v>
      </c>
      <c r="AE7623">
        <v>0.751525</v>
      </c>
      <c r="AF7623">
        <v>1196.325</v>
      </c>
      <c r="AG7623">
        <f>IFERROR(AH7623*0.1, "N/A")</f>
        <v>5.761228</v>
      </c>
      <c r="AH7623">
        <v>57.612279999999998</v>
      </c>
      <c r="AI7623">
        <v>283.59460000000001</v>
      </c>
      <c r="AJ7623">
        <v>24.43158</v>
      </c>
      <c r="AK7623">
        <v>60.68947</v>
      </c>
    </row>
    <row r="7624" spans="1:37" x14ac:dyDescent="0.3">
      <c r="A7624">
        <v>7623</v>
      </c>
      <c r="B7624">
        <v>0</v>
      </c>
      <c r="C7624">
        <v>34.3827</v>
      </c>
      <c r="D7624">
        <v>-0.14960799999999999</v>
      </c>
      <c r="E7624" t="s">
        <v>11325</v>
      </c>
      <c r="F7624" t="s">
        <v>11327</v>
      </c>
      <c r="G7624" t="s">
        <v>39</v>
      </c>
      <c r="H7624">
        <v>2003</v>
      </c>
      <c r="I7624">
        <v>22.391580000000001</v>
      </c>
      <c r="J7624">
        <v>13.5</v>
      </c>
      <c r="K7624">
        <v>84.778949999999995</v>
      </c>
      <c r="L7624">
        <v>6.4499649999999997</v>
      </c>
      <c r="M7624">
        <v>30.677900000000001</v>
      </c>
      <c r="N7624">
        <v>14.931929999999999</v>
      </c>
      <c r="O7624">
        <v>15.74596</v>
      </c>
      <c r="P7624">
        <v>22.654039999999998</v>
      </c>
      <c r="Q7624">
        <v>22.977889999999999</v>
      </c>
      <c r="R7624">
        <v>23.177900000000001</v>
      </c>
      <c r="S7624">
        <v>21.469470000000001</v>
      </c>
      <c r="T7624">
        <v>1200.2739999999999</v>
      </c>
      <c r="U7624">
        <v>206.15440000000001</v>
      </c>
      <c r="V7624">
        <v>43.305259999999997</v>
      </c>
      <c r="W7624">
        <v>43.778950000000002</v>
      </c>
      <c r="X7624">
        <v>497.2561</v>
      </c>
      <c r="Y7624">
        <v>203.0702</v>
      </c>
      <c r="Z7624">
        <v>241.84909999999999</v>
      </c>
      <c r="AA7624">
        <v>216.62809999999999</v>
      </c>
      <c r="AB7624">
        <v>21.367329999999999</v>
      </c>
      <c r="AC7624">
        <v>7.7485319999999996E-2</v>
      </c>
      <c r="AD7624">
        <v>3.9978150000000001</v>
      </c>
      <c r="AE7624">
        <v>0.751525</v>
      </c>
      <c r="AF7624">
        <v>1196.325</v>
      </c>
      <c r="AG7624">
        <f>IFERROR(AH7624*0.1, "N/A")</f>
        <v>5.761228</v>
      </c>
      <c r="AH7624">
        <v>57.612279999999998</v>
      </c>
      <c r="AI7624">
        <v>283.59460000000001</v>
      </c>
      <c r="AJ7624">
        <v>24.43158</v>
      </c>
      <c r="AK7624">
        <v>60.68947</v>
      </c>
    </row>
    <row r="7625" spans="1:37" x14ac:dyDescent="0.3">
      <c r="A7625">
        <v>7624</v>
      </c>
      <c r="B7625">
        <v>27.8</v>
      </c>
      <c r="C7625">
        <v>34.408099999999997</v>
      </c>
      <c r="D7625">
        <v>-0.14988399999999999</v>
      </c>
      <c r="E7625" t="s">
        <v>11328</v>
      </c>
      <c r="F7625" t="s">
        <v>11329</v>
      </c>
      <c r="G7625" t="s">
        <v>37</v>
      </c>
      <c r="H7625">
        <v>2003</v>
      </c>
      <c r="I7625">
        <v>22.49278</v>
      </c>
      <c r="J7625">
        <v>13.528169999999999</v>
      </c>
      <c r="K7625">
        <v>84.654929999999993</v>
      </c>
      <c r="L7625">
        <v>6.5383449999999996</v>
      </c>
      <c r="M7625">
        <v>30.755459999999999</v>
      </c>
      <c r="N7625">
        <v>14.913729999999999</v>
      </c>
      <c r="O7625">
        <v>15.84173</v>
      </c>
      <c r="P7625">
        <v>22.741900000000001</v>
      </c>
      <c r="Q7625">
        <v>23.027290000000001</v>
      </c>
      <c r="R7625">
        <v>23.276409999999998</v>
      </c>
      <c r="S7625">
        <v>21.513729999999999</v>
      </c>
      <c r="T7625">
        <v>1206.44</v>
      </c>
      <c r="U7625">
        <v>208.13380000000001</v>
      </c>
      <c r="V7625">
        <v>43.727110000000003</v>
      </c>
      <c r="W7625">
        <v>44</v>
      </c>
      <c r="X7625">
        <v>501.50349999999997</v>
      </c>
      <c r="Y7625">
        <v>204.36269999999999</v>
      </c>
      <c r="Z7625">
        <v>244.08099999999999</v>
      </c>
      <c r="AA7625">
        <v>218.6602</v>
      </c>
      <c r="AB7625">
        <v>29.223610000000001</v>
      </c>
      <c r="AC7625">
        <v>1.1151299999999999E-2</v>
      </c>
      <c r="AD7625">
        <v>1.7245889999999999</v>
      </c>
      <c r="AE7625">
        <v>0.75008220000000003</v>
      </c>
      <c r="AF7625">
        <v>1198.278</v>
      </c>
      <c r="AG7625">
        <f>IFERROR(AH7625*0.1, "N/A")</f>
        <v>6.0022890000000002</v>
      </c>
      <c r="AH7625">
        <v>60.022889999999997</v>
      </c>
      <c r="AI7625">
        <v>305.59820000000002</v>
      </c>
      <c r="AJ7625">
        <v>20.146129999999999</v>
      </c>
      <c r="AK7625">
        <v>65.822180000000003</v>
      </c>
    </row>
    <row r="7626" spans="1:37" x14ac:dyDescent="0.3">
      <c r="A7626">
        <v>7625</v>
      </c>
      <c r="B7626">
        <v>0</v>
      </c>
      <c r="C7626">
        <v>34.408099999999997</v>
      </c>
      <c r="D7626">
        <v>-0.14988399999999999</v>
      </c>
      <c r="E7626" t="s">
        <v>11328</v>
      </c>
      <c r="F7626" t="s">
        <v>11330</v>
      </c>
      <c r="G7626" t="s">
        <v>39</v>
      </c>
      <c r="H7626">
        <v>2003</v>
      </c>
      <c r="I7626">
        <v>22.49278</v>
      </c>
      <c r="J7626">
        <v>13.528169999999999</v>
      </c>
      <c r="K7626">
        <v>84.654929999999993</v>
      </c>
      <c r="L7626">
        <v>6.5383449999999996</v>
      </c>
      <c r="M7626">
        <v>30.755459999999999</v>
      </c>
      <c r="N7626">
        <v>14.913729999999999</v>
      </c>
      <c r="O7626">
        <v>15.84173</v>
      </c>
      <c r="P7626">
        <v>22.741900000000001</v>
      </c>
      <c r="Q7626">
        <v>23.027290000000001</v>
      </c>
      <c r="R7626">
        <v>23.276409999999998</v>
      </c>
      <c r="S7626">
        <v>21.513729999999999</v>
      </c>
      <c r="T7626">
        <v>1206.44</v>
      </c>
      <c r="U7626">
        <v>208.13380000000001</v>
      </c>
      <c r="V7626">
        <v>43.727110000000003</v>
      </c>
      <c r="W7626">
        <v>44</v>
      </c>
      <c r="X7626">
        <v>501.50349999999997</v>
      </c>
      <c r="Y7626">
        <v>204.36269999999999</v>
      </c>
      <c r="Z7626">
        <v>244.08099999999999</v>
      </c>
      <c r="AA7626">
        <v>218.6602</v>
      </c>
      <c r="AB7626">
        <v>29.223610000000001</v>
      </c>
      <c r="AC7626">
        <v>1.1151299999999999E-2</v>
      </c>
      <c r="AD7626">
        <v>1.7245889999999999</v>
      </c>
      <c r="AE7626">
        <v>0.75008220000000003</v>
      </c>
      <c r="AF7626">
        <v>1198.278</v>
      </c>
      <c r="AG7626">
        <f>IFERROR(AH7626*0.1, "N/A")</f>
        <v>6.0022890000000002</v>
      </c>
      <c r="AH7626">
        <v>60.022889999999997</v>
      </c>
      <c r="AI7626">
        <v>305.59820000000002</v>
      </c>
      <c r="AJ7626">
        <v>20.146129999999999</v>
      </c>
      <c r="AK7626">
        <v>65.822180000000003</v>
      </c>
    </row>
    <row r="7627" spans="1:37" x14ac:dyDescent="0.3">
      <c r="A7627">
        <v>7626</v>
      </c>
      <c r="B7627">
        <v>5</v>
      </c>
      <c r="C7627">
        <v>34.790599999999998</v>
      </c>
      <c r="D7627">
        <v>-0.15109800000000001</v>
      </c>
      <c r="E7627" t="s">
        <v>11331</v>
      </c>
      <c r="F7627" t="s">
        <v>11332</v>
      </c>
      <c r="G7627" t="s">
        <v>39</v>
      </c>
      <c r="H7627">
        <v>1971</v>
      </c>
      <c r="I7627">
        <v>23</v>
      </c>
      <c r="J7627">
        <v>14</v>
      </c>
      <c r="K7627">
        <v>86</v>
      </c>
      <c r="L7627">
        <v>5.8</v>
      </c>
      <c r="M7627">
        <v>31.5</v>
      </c>
      <c r="N7627">
        <v>15.3</v>
      </c>
      <c r="O7627">
        <v>16.2</v>
      </c>
      <c r="P7627">
        <v>23.2</v>
      </c>
      <c r="Q7627">
        <v>22.2</v>
      </c>
      <c r="R7627">
        <v>23.7</v>
      </c>
      <c r="S7627">
        <v>22.2</v>
      </c>
      <c r="T7627">
        <v>1248</v>
      </c>
      <c r="U7627">
        <v>208</v>
      </c>
      <c r="V7627">
        <v>59</v>
      </c>
      <c r="W7627">
        <v>41</v>
      </c>
      <c r="X7627">
        <v>512</v>
      </c>
      <c r="Y7627">
        <v>220</v>
      </c>
      <c r="Z7627">
        <v>297</v>
      </c>
      <c r="AA7627">
        <v>220</v>
      </c>
      <c r="AB7627">
        <v>0.90123310000000001</v>
      </c>
      <c r="AC7627">
        <v>0.20705580000000001</v>
      </c>
      <c r="AD7627">
        <v>0.61688810000000005</v>
      </c>
      <c r="AE7627">
        <v>0.77129320000000001</v>
      </c>
      <c r="AF7627">
        <v>1136.104</v>
      </c>
      <c r="AG7627">
        <f>IFERROR(AH7627*0.1, "N/A")</f>
        <v>6.2678380000000002</v>
      </c>
      <c r="AH7627">
        <v>62.678379999999997</v>
      </c>
      <c r="AI7627">
        <v>132.48849999999999</v>
      </c>
      <c r="AJ7627">
        <v>41.281199999999998</v>
      </c>
      <c r="AK7627">
        <v>41.713529999999999</v>
      </c>
    </row>
    <row r="7628" spans="1:37" x14ac:dyDescent="0.3">
      <c r="A7628">
        <v>7627</v>
      </c>
      <c r="B7628">
        <v>0</v>
      </c>
      <c r="C7628">
        <v>34.790599999999998</v>
      </c>
      <c r="D7628">
        <v>-0.15109800000000001</v>
      </c>
      <c r="E7628" t="s">
        <v>11331</v>
      </c>
      <c r="F7628" t="s">
        <v>11333</v>
      </c>
      <c r="G7628" t="s">
        <v>37</v>
      </c>
      <c r="H7628">
        <v>1971</v>
      </c>
      <c r="I7628">
        <v>23</v>
      </c>
      <c r="J7628">
        <v>14</v>
      </c>
      <c r="K7628">
        <v>86</v>
      </c>
      <c r="L7628">
        <v>5.8</v>
      </c>
      <c r="M7628">
        <v>31.5</v>
      </c>
      <c r="N7628">
        <v>15.3</v>
      </c>
      <c r="O7628">
        <v>16.2</v>
      </c>
      <c r="P7628">
        <v>23.2</v>
      </c>
      <c r="Q7628">
        <v>22.2</v>
      </c>
      <c r="R7628">
        <v>23.7</v>
      </c>
      <c r="S7628">
        <v>22.2</v>
      </c>
      <c r="T7628">
        <v>1248</v>
      </c>
      <c r="U7628">
        <v>208</v>
      </c>
      <c r="V7628">
        <v>59</v>
      </c>
      <c r="W7628">
        <v>41</v>
      </c>
      <c r="X7628">
        <v>512</v>
      </c>
      <c r="Y7628">
        <v>220</v>
      </c>
      <c r="Z7628">
        <v>297</v>
      </c>
      <c r="AA7628">
        <v>220</v>
      </c>
      <c r="AB7628">
        <v>0.90123310000000001</v>
      </c>
      <c r="AC7628">
        <v>0.20705580000000001</v>
      </c>
      <c r="AD7628">
        <v>0.61688810000000005</v>
      </c>
      <c r="AE7628">
        <v>0.77129320000000001</v>
      </c>
      <c r="AF7628">
        <v>1136.104</v>
      </c>
      <c r="AG7628">
        <f>IFERROR(AH7628*0.1, "N/A")</f>
        <v>6.2678380000000002</v>
      </c>
      <c r="AH7628">
        <v>62.678379999999997</v>
      </c>
      <c r="AI7628">
        <v>132.48849999999999</v>
      </c>
      <c r="AJ7628">
        <v>41.281199999999998</v>
      </c>
      <c r="AK7628">
        <v>41.713529999999999</v>
      </c>
    </row>
    <row r="7629" spans="1:37" x14ac:dyDescent="0.3">
      <c r="A7629">
        <v>7628</v>
      </c>
      <c r="B7629">
        <v>17.2</v>
      </c>
      <c r="C7629">
        <v>34.293599999999998</v>
      </c>
      <c r="D7629">
        <v>-0.152583</v>
      </c>
      <c r="E7629" t="s">
        <v>11334</v>
      </c>
      <c r="F7629" t="s">
        <v>11335</v>
      </c>
      <c r="G7629" t="s">
        <v>37</v>
      </c>
      <c r="H7629">
        <v>2008</v>
      </c>
      <c r="I7629">
        <v>22.2</v>
      </c>
      <c r="J7629">
        <v>13.4</v>
      </c>
      <c r="K7629">
        <v>85</v>
      </c>
      <c r="L7629">
        <v>6.55</v>
      </c>
      <c r="M7629">
        <v>30.3</v>
      </c>
      <c r="N7629">
        <v>14.7</v>
      </c>
      <c r="O7629">
        <v>15.6</v>
      </c>
      <c r="P7629">
        <v>22.5</v>
      </c>
      <c r="Q7629">
        <v>21.2</v>
      </c>
      <c r="R7629">
        <v>23</v>
      </c>
      <c r="S7629">
        <v>21.2</v>
      </c>
      <c r="T7629">
        <v>1157</v>
      </c>
      <c r="U7629">
        <v>195</v>
      </c>
      <c r="V7629">
        <v>43</v>
      </c>
      <c r="W7629">
        <v>43</v>
      </c>
      <c r="X7629">
        <v>474</v>
      </c>
      <c r="Y7629">
        <v>202</v>
      </c>
      <c r="Z7629">
        <v>233</v>
      </c>
      <c r="AA7629">
        <v>202</v>
      </c>
      <c r="AB7629">
        <v>27.46406</v>
      </c>
      <c r="AC7629">
        <v>4.8532989999999998E-2</v>
      </c>
      <c r="AD7629">
        <v>1.6044320000000001</v>
      </c>
      <c r="AE7629">
        <v>0.73430709999999999</v>
      </c>
      <c r="AF7629">
        <v>1226.2170000000001</v>
      </c>
      <c r="AG7629">
        <f>IFERROR(AH7629*0.1, "N/A")</f>
        <v>6.5559860000000008</v>
      </c>
      <c r="AH7629">
        <v>65.55986</v>
      </c>
      <c r="AI7629">
        <v>240.77099999999999</v>
      </c>
      <c r="AJ7629">
        <v>40.13908</v>
      </c>
      <c r="AK7629">
        <v>42.05106</v>
      </c>
    </row>
    <row r="7630" spans="1:37" x14ac:dyDescent="0.3">
      <c r="A7630">
        <v>7629</v>
      </c>
      <c r="B7630">
        <v>1.3</v>
      </c>
      <c r="C7630">
        <v>34.982700000000001</v>
      </c>
      <c r="D7630">
        <v>-0.15324199999999999</v>
      </c>
      <c r="E7630" t="s">
        <v>11336</v>
      </c>
      <c r="F7630" t="s">
        <v>11337</v>
      </c>
      <c r="G7630" t="s">
        <v>39</v>
      </c>
      <c r="H7630">
        <v>1971</v>
      </c>
      <c r="I7630">
        <v>22.9</v>
      </c>
      <c r="J7630">
        <v>14.5</v>
      </c>
      <c r="K7630">
        <v>87.643739999999994</v>
      </c>
      <c r="L7630">
        <v>4.9145329999999996</v>
      </c>
      <c r="M7630">
        <v>31.517810000000001</v>
      </c>
      <c r="N7630">
        <v>15.06437</v>
      </c>
      <c r="O7630">
        <v>16.453440000000001</v>
      </c>
      <c r="P7630">
        <v>23.1</v>
      </c>
      <c r="Q7630">
        <v>22.382190000000001</v>
      </c>
      <c r="R7630">
        <v>23.5</v>
      </c>
      <c r="S7630">
        <v>22.182189999999999</v>
      </c>
      <c r="T7630">
        <v>1231.644</v>
      </c>
      <c r="U7630">
        <v>202</v>
      </c>
      <c r="V7630">
        <v>64.821870000000004</v>
      </c>
      <c r="W7630">
        <v>38</v>
      </c>
      <c r="X7630">
        <v>487.82190000000003</v>
      </c>
      <c r="Y7630">
        <v>223.3563</v>
      </c>
      <c r="Z7630">
        <v>301.46559999999999</v>
      </c>
      <c r="AA7630">
        <v>232.1781</v>
      </c>
      <c r="AB7630">
        <v>9.4336570000000002</v>
      </c>
      <c r="AC7630">
        <v>1.20152E-2</v>
      </c>
      <c r="AD7630">
        <v>0.68603860000000005</v>
      </c>
      <c r="AE7630">
        <v>0.73442859999999999</v>
      </c>
      <c r="AF7630">
        <v>1169.954</v>
      </c>
      <c r="AG7630">
        <f>IFERROR(AH7630*0.1, "N/A")</f>
        <v>6.8255730000000003</v>
      </c>
      <c r="AH7630">
        <v>68.25573</v>
      </c>
      <c r="AI7630">
        <v>153.77969999999999</v>
      </c>
      <c r="AJ7630">
        <v>41.292769999999997</v>
      </c>
      <c r="AK7630">
        <v>39.580249999999999</v>
      </c>
    </row>
    <row r="7631" spans="1:37" x14ac:dyDescent="0.3">
      <c r="A7631">
        <v>7630</v>
      </c>
      <c r="B7631">
        <v>5.9</v>
      </c>
      <c r="C7631">
        <v>34.364699999999999</v>
      </c>
      <c r="D7631">
        <v>-0.15717</v>
      </c>
      <c r="E7631" t="s">
        <v>11338</v>
      </c>
      <c r="F7631" t="s">
        <v>11339</v>
      </c>
      <c r="G7631" t="s">
        <v>37</v>
      </c>
      <c r="H7631">
        <v>2003</v>
      </c>
      <c r="I7631">
        <v>22.3</v>
      </c>
      <c r="J7631">
        <v>13.5</v>
      </c>
      <c r="K7631">
        <v>85</v>
      </c>
      <c r="L7631">
        <v>6.42</v>
      </c>
      <c r="M7631">
        <v>30.6</v>
      </c>
      <c r="N7631">
        <v>14.8</v>
      </c>
      <c r="O7631">
        <v>15.8</v>
      </c>
      <c r="P7631">
        <v>22.5</v>
      </c>
      <c r="Q7631">
        <v>22.9</v>
      </c>
      <c r="R7631">
        <v>23.1</v>
      </c>
      <c r="S7631">
        <v>21.4</v>
      </c>
      <c r="T7631">
        <v>1204</v>
      </c>
      <c r="U7631">
        <v>206</v>
      </c>
      <c r="V7631">
        <v>44</v>
      </c>
      <c r="W7631">
        <v>44</v>
      </c>
      <c r="X7631">
        <v>497</v>
      </c>
      <c r="Y7631">
        <v>204</v>
      </c>
      <c r="Z7631">
        <v>241</v>
      </c>
      <c r="AA7631">
        <v>217</v>
      </c>
      <c r="AB7631">
        <v>32.315869999999997</v>
      </c>
      <c r="AC7631">
        <v>1.5410159999999999E-2</v>
      </c>
      <c r="AD7631">
        <v>1.938488</v>
      </c>
      <c r="AE7631">
        <v>0.74639840000000002</v>
      </c>
      <c r="AF7631">
        <v>1213.548</v>
      </c>
      <c r="AG7631">
        <f>IFERROR(AH7631*0.1, "N/A")</f>
        <v>5.6054580000000005</v>
      </c>
      <c r="AH7631">
        <v>56.054580000000001</v>
      </c>
      <c r="AI7631">
        <v>123.0808</v>
      </c>
      <c r="AJ7631">
        <v>18.72711</v>
      </c>
      <c r="AK7631">
        <v>65.272890000000004</v>
      </c>
    </row>
    <row r="7632" spans="1:37" x14ac:dyDescent="0.3">
      <c r="A7632">
        <v>7631</v>
      </c>
      <c r="B7632">
        <v>0</v>
      </c>
      <c r="C7632">
        <v>34.364699999999999</v>
      </c>
      <c r="D7632">
        <v>-0.15717</v>
      </c>
      <c r="E7632" t="s">
        <v>11338</v>
      </c>
      <c r="F7632" t="s">
        <v>11340</v>
      </c>
      <c r="G7632" t="s">
        <v>39</v>
      </c>
      <c r="H7632">
        <v>2003</v>
      </c>
      <c r="I7632">
        <v>22.3</v>
      </c>
      <c r="J7632">
        <v>13.5</v>
      </c>
      <c r="K7632">
        <v>85</v>
      </c>
      <c r="L7632">
        <v>6.42</v>
      </c>
      <c r="M7632">
        <v>30.6</v>
      </c>
      <c r="N7632">
        <v>14.8</v>
      </c>
      <c r="O7632">
        <v>15.8</v>
      </c>
      <c r="P7632">
        <v>22.5</v>
      </c>
      <c r="Q7632">
        <v>22.9</v>
      </c>
      <c r="R7632">
        <v>23.1</v>
      </c>
      <c r="S7632">
        <v>21.4</v>
      </c>
      <c r="T7632">
        <v>1204</v>
      </c>
      <c r="U7632">
        <v>206</v>
      </c>
      <c r="V7632">
        <v>44</v>
      </c>
      <c r="W7632">
        <v>44</v>
      </c>
      <c r="X7632">
        <v>497</v>
      </c>
      <c r="Y7632">
        <v>204</v>
      </c>
      <c r="Z7632">
        <v>241</v>
      </c>
      <c r="AA7632">
        <v>217</v>
      </c>
      <c r="AB7632">
        <v>32.315869999999997</v>
      </c>
      <c r="AC7632">
        <v>1.5410159999999999E-2</v>
      </c>
      <c r="AD7632">
        <v>1.938488</v>
      </c>
      <c r="AE7632">
        <v>0.74639840000000002</v>
      </c>
      <c r="AF7632">
        <v>1213.548</v>
      </c>
      <c r="AG7632">
        <f>IFERROR(AH7632*0.1, "N/A")</f>
        <v>5.6054580000000005</v>
      </c>
      <c r="AH7632">
        <v>56.054580000000001</v>
      </c>
      <c r="AI7632">
        <v>123.0808</v>
      </c>
      <c r="AJ7632">
        <v>18.72711</v>
      </c>
      <c r="AK7632">
        <v>65.272890000000004</v>
      </c>
    </row>
    <row r="7633" spans="1:37" x14ac:dyDescent="0.3">
      <c r="A7633">
        <v>7632</v>
      </c>
      <c r="B7633">
        <v>0</v>
      </c>
      <c r="C7633">
        <v>34.811700000000002</v>
      </c>
      <c r="D7633">
        <v>-0.15886600000000001</v>
      </c>
      <c r="E7633" t="s">
        <v>11341</v>
      </c>
      <c r="F7633" t="s">
        <v>11342</v>
      </c>
      <c r="G7633" t="s">
        <v>39</v>
      </c>
      <c r="H7633">
        <v>1971</v>
      </c>
      <c r="I7633">
        <v>23</v>
      </c>
      <c r="J7633">
        <v>14.1</v>
      </c>
      <c r="K7633">
        <v>87</v>
      </c>
      <c r="L7633">
        <v>5.4114839999999997</v>
      </c>
      <c r="M7633">
        <v>31.5</v>
      </c>
      <c r="N7633">
        <v>15.3</v>
      </c>
      <c r="O7633">
        <v>16.2</v>
      </c>
      <c r="P7633">
        <v>23.10247</v>
      </c>
      <c r="Q7633">
        <v>22.395050000000001</v>
      </c>
      <c r="R7633">
        <v>23.60247</v>
      </c>
      <c r="S7633">
        <v>22.2</v>
      </c>
      <c r="T7633">
        <v>1240.124</v>
      </c>
      <c r="U7633">
        <v>206.0247</v>
      </c>
      <c r="V7633">
        <v>60.024729999999998</v>
      </c>
      <c r="W7633">
        <v>41</v>
      </c>
      <c r="X7633">
        <v>506.04950000000002</v>
      </c>
      <c r="Y7633">
        <v>220.0247</v>
      </c>
      <c r="Z7633">
        <v>297.04950000000002</v>
      </c>
      <c r="AA7633">
        <v>221</v>
      </c>
      <c r="AB7633">
        <v>1.8486050000000001</v>
      </c>
      <c r="AC7633">
        <v>1.9859350000000001E-2</v>
      </c>
      <c r="AD7633">
        <v>0.59659280000000003</v>
      </c>
      <c r="AE7633">
        <v>0.79681089999999999</v>
      </c>
      <c r="AF7633">
        <v>1141.3989999999999</v>
      </c>
      <c r="AG7633">
        <f>IFERROR(AH7633*0.1, "N/A")</f>
        <v>6.9404590000000006</v>
      </c>
      <c r="AH7633">
        <v>69.404589999999999</v>
      </c>
      <c r="AI7633">
        <v>114.5763</v>
      </c>
      <c r="AJ7633">
        <v>43.754420000000003</v>
      </c>
      <c r="AK7633">
        <v>35.874560000000002</v>
      </c>
    </row>
    <row r="7634" spans="1:37" x14ac:dyDescent="0.3">
      <c r="A7634">
        <v>7633</v>
      </c>
      <c r="B7634">
        <v>2</v>
      </c>
      <c r="C7634">
        <v>34.811700000000002</v>
      </c>
      <c r="D7634">
        <v>-0.15886600000000001</v>
      </c>
      <c r="E7634" t="s">
        <v>11341</v>
      </c>
      <c r="F7634" t="s">
        <v>11343</v>
      </c>
      <c r="G7634" t="s">
        <v>37</v>
      </c>
      <c r="H7634">
        <v>1971</v>
      </c>
      <c r="I7634">
        <v>23</v>
      </c>
      <c r="J7634">
        <v>14.1</v>
      </c>
      <c r="K7634">
        <v>87</v>
      </c>
      <c r="L7634">
        <v>5.4114839999999997</v>
      </c>
      <c r="M7634">
        <v>31.5</v>
      </c>
      <c r="N7634">
        <v>15.3</v>
      </c>
      <c r="O7634">
        <v>16.2</v>
      </c>
      <c r="P7634">
        <v>23.10247</v>
      </c>
      <c r="Q7634">
        <v>22.395050000000001</v>
      </c>
      <c r="R7634">
        <v>23.60247</v>
      </c>
      <c r="S7634">
        <v>22.2</v>
      </c>
      <c r="T7634">
        <v>1240.124</v>
      </c>
      <c r="U7634">
        <v>206.0247</v>
      </c>
      <c r="V7634">
        <v>60.024729999999998</v>
      </c>
      <c r="W7634">
        <v>41</v>
      </c>
      <c r="X7634">
        <v>506.04950000000002</v>
      </c>
      <c r="Y7634">
        <v>220.0247</v>
      </c>
      <c r="Z7634">
        <v>297.04950000000002</v>
      </c>
      <c r="AA7634">
        <v>221</v>
      </c>
      <c r="AB7634">
        <v>1.8486050000000001</v>
      </c>
      <c r="AC7634">
        <v>1.9859350000000001E-2</v>
      </c>
      <c r="AD7634">
        <v>0.59659280000000003</v>
      </c>
      <c r="AE7634">
        <v>0.79681089999999999</v>
      </c>
      <c r="AF7634">
        <v>1141.3989999999999</v>
      </c>
      <c r="AG7634">
        <f>IFERROR(AH7634*0.1, "N/A")</f>
        <v>6.9404590000000006</v>
      </c>
      <c r="AH7634">
        <v>69.404589999999999</v>
      </c>
      <c r="AI7634">
        <v>114.5763</v>
      </c>
      <c r="AJ7634">
        <v>43.754420000000003</v>
      </c>
      <c r="AK7634">
        <v>35.874560000000002</v>
      </c>
    </row>
    <row r="7635" spans="1:37" x14ac:dyDescent="0.3">
      <c r="A7635">
        <v>7634</v>
      </c>
      <c r="B7635">
        <v>29.8</v>
      </c>
      <c r="C7635">
        <v>34.396799999999999</v>
      </c>
      <c r="D7635">
        <v>-0.161663</v>
      </c>
      <c r="E7635" t="s">
        <v>11344</v>
      </c>
      <c r="F7635" t="s">
        <v>11345</v>
      </c>
      <c r="G7635" t="s">
        <v>37</v>
      </c>
      <c r="H7635">
        <v>2003</v>
      </c>
      <c r="I7635">
        <v>22.6</v>
      </c>
      <c r="J7635">
        <v>13.5</v>
      </c>
      <c r="K7635">
        <v>85</v>
      </c>
      <c r="L7635">
        <v>6.37</v>
      </c>
      <c r="M7635">
        <v>30.8</v>
      </c>
      <c r="N7635">
        <v>15.1</v>
      </c>
      <c r="O7635">
        <v>15.7</v>
      </c>
      <c r="P7635">
        <v>22.9</v>
      </c>
      <c r="Q7635">
        <v>23.1</v>
      </c>
      <c r="R7635">
        <v>23.4</v>
      </c>
      <c r="S7635">
        <v>21.7</v>
      </c>
      <c r="T7635">
        <v>1161</v>
      </c>
      <c r="U7635">
        <v>201</v>
      </c>
      <c r="V7635">
        <v>42</v>
      </c>
      <c r="W7635">
        <v>45</v>
      </c>
      <c r="X7635">
        <v>485</v>
      </c>
      <c r="Y7635">
        <v>200</v>
      </c>
      <c r="Z7635">
        <v>239</v>
      </c>
      <c r="AA7635">
        <v>207</v>
      </c>
      <c r="AB7635">
        <v>12.248989999999999</v>
      </c>
      <c r="AC7635">
        <v>1.7443E-2</v>
      </c>
      <c r="AD7635">
        <v>2.9831859999999999</v>
      </c>
      <c r="AE7635">
        <v>0.74888209999999999</v>
      </c>
      <c r="AF7635">
        <v>1158.4449999999999</v>
      </c>
      <c r="AG7635">
        <f>IFERROR(AH7635*0.1, "N/A")</f>
        <v>6.3000000000000007</v>
      </c>
      <c r="AH7635">
        <v>63</v>
      </c>
      <c r="AI7635">
        <v>236.45160000000001</v>
      </c>
      <c r="AJ7635">
        <v>20</v>
      </c>
      <c r="AK7635">
        <v>64</v>
      </c>
    </row>
    <row r="7636" spans="1:37" x14ac:dyDescent="0.3">
      <c r="A7636">
        <v>7635</v>
      </c>
      <c r="B7636">
        <v>0</v>
      </c>
      <c r="C7636">
        <v>34.396799999999999</v>
      </c>
      <c r="D7636">
        <v>-0.161663</v>
      </c>
      <c r="E7636" t="s">
        <v>11344</v>
      </c>
      <c r="F7636" t="s">
        <v>11346</v>
      </c>
      <c r="G7636" t="s">
        <v>39</v>
      </c>
      <c r="H7636">
        <v>2003</v>
      </c>
      <c r="I7636">
        <v>22.6</v>
      </c>
      <c r="J7636">
        <v>13.5</v>
      </c>
      <c r="K7636">
        <v>85</v>
      </c>
      <c r="L7636">
        <v>6.37</v>
      </c>
      <c r="M7636">
        <v>30.8</v>
      </c>
      <c r="N7636">
        <v>15.1</v>
      </c>
      <c r="O7636">
        <v>15.7</v>
      </c>
      <c r="P7636">
        <v>22.9</v>
      </c>
      <c r="Q7636">
        <v>23.1</v>
      </c>
      <c r="R7636">
        <v>23.4</v>
      </c>
      <c r="S7636">
        <v>21.7</v>
      </c>
      <c r="T7636">
        <v>1161</v>
      </c>
      <c r="U7636">
        <v>201</v>
      </c>
      <c r="V7636">
        <v>42</v>
      </c>
      <c r="W7636">
        <v>45</v>
      </c>
      <c r="X7636">
        <v>485</v>
      </c>
      <c r="Y7636">
        <v>200</v>
      </c>
      <c r="Z7636">
        <v>239</v>
      </c>
      <c r="AA7636">
        <v>207</v>
      </c>
      <c r="AB7636">
        <v>12.248989999999999</v>
      </c>
      <c r="AC7636">
        <v>1.7443E-2</v>
      </c>
      <c r="AD7636">
        <v>2.9831859999999999</v>
      </c>
      <c r="AE7636">
        <v>0.74888209999999999</v>
      </c>
      <c r="AF7636">
        <v>1158.4449999999999</v>
      </c>
      <c r="AG7636">
        <f>IFERROR(AH7636*0.1, "N/A")</f>
        <v>6.3000000000000007</v>
      </c>
      <c r="AH7636">
        <v>63</v>
      </c>
      <c r="AI7636">
        <v>236.45160000000001</v>
      </c>
      <c r="AJ7636">
        <v>20</v>
      </c>
      <c r="AK7636">
        <v>64</v>
      </c>
    </row>
    <row r="7637" spans="1:37" x14ac:dyDescent="0.3">
      <c r="A7637">
        <v>7636</v>
      </c>
      <c r="B7637">
        <v>3.2</v>
      </c>
      <c r="C7637">
        <v>35.6</v>
      </c>
      <c r="D7637">
        <v>-0.16669999999999999</v>
      </c>
      <c r="E7637" t="s">
        <v>11347</v>
      </c>
      <c r="F7637" t="s">
        <v>11348</v>
      </c>
      <c r="G7637" t="s">
        <v>37</v>
      </c>
      <c r="H7637">
        <v>1987</v>
      </c>
      <c r="I7637">
        <v>15.496650000000001</v>
      </c>
      <c r="J7637">
        <v>14.796659999999999</v>
      </c>
      <c r="K7637">
        <v>86</v>
      </c>
      <c r="L7637">
        <v>6.8570070000000003</v>
      </c>
      <c r="M7637">
        <v>24.789960000000001</v>
      </c>
      <c r="N7637">
        <v>7.5966550000000002</v>
      </c>
      <c r="O7637">
        <v>17.19331</v>
      </c>
      <c r="P7637">
        <v>15.75229</v>
      </c>
      <c r="Q7637">
        <v>15.896649999999999</v>
      </c>
      <c r="R7637">
        <v>16.39331</v>
      </c>
      <c r="S7637">
        <v>14.593310000000001</v>
      </c>
      <c r="T7637">
        <v>1161.674</v>
      </c>
      <c r="U7637">
        <v>170.9665</v>
      </c>
      <c r="V7637">
        <v>38.693660000000001</v>
      </c>
      <c r="W7637">
        <v>44.556339999999999</v>
      </c>
      <c r="X7637">
        <v>404.6268</v>
      </c>
      <c r="Y7637">
        <v>147.83099999999999</v>
      </c>
      <c r="Z7637">
        <v>294.79750000000001</v>
      </c>
      <c r="AA7637">
        <v>397.6232</v>
      </c>
      <c r="AB7637">
        <v>15.645160000000001</v>
      </c>
      <c r="AC7637">
        <v>3.0609629999999999E-2</v>
      </c>
      <c r="AD7637">
        <v>3.8019880000000001</v>
      </c>
      <c r="AE7637">
        <v>0.67944559999999998</v>
      </c>
      <c r="AF7637">
        <v>2304.0140000000001</v>
      </c>
      <c r="AG7637">
        <f>IFERROR(AH7637*0.1, "N/A")</f>
        <v>5.6727110000000005</v>
      </c>
      <c r="AH7637">
        <v>56.727110000000003</v>
      </c>
      <c r="AI7637">
        <v>220.1797</v>
      </c>
      <c r="AJ7637">
        <v>38.966549999999998</v>
      </c>
      <c r="AK7637">
        <v>33.204230000000003</v>
      </c>
    </row>
    <row r="7638" spans="1:37" x14ac:dyDescent="0.3">
      <c r="A7638">
        <v>7637</v>
      </c>
      <c r="B7638">
        <v>2.9</v>
      </c>
      <c r="C7638">
        <v>35.6</v>
      </c>
      <c r="D7638">
        <v>-0.16669999999999999</v>
      </c>
      <c r="E7638" t="s">
        <v>11347</v>
      </c>
      <c r="F7638" t="s">
        <v>11349</v>
      </c>
      <c r="G7638" t="s">
        <v>39</v>
      </c>
      <c r="H7638">
        <v>1987</v>
      </c>
      <c r="I7638">
        <v>15.496650000000001</v>
      </c>
      <c r="J7638">
        <v>14.796659999999999</v>
      </c>
      <c r="K7638">
        <v>86</v>
      </c>
      <c r="L7638">
        <v>6.8570070000000003</v>
      </c>
      <c r="M7638">
        <v>24.789960000000001</v>
      </c>
      <c r="N7638">
        <v>7.5966550000000002</v>
      </c>
      <c r="O7638">
        <v>17.19331</v>
      </c>
      <c r="P7638">
        <v>15.75229</v>
      </c>
      <c r="Q7638">
        <v>15.896649999999999</v>
      </c>
      <c r="R7638">
        <v>16.39331</v>
      </c>
      <c r="S7638">
        <v>14.593310000000001</v>
      </c>
      <c r="T7638">
        <v>1161.674</v>
      </c>
      <c r="U7638">
        <v>170.9665</v>
      </c>
      <c r="V7638">
        <v>38.693660000000001</v>
      </c>
      <c r="W7638">
        <v>44.556339999999999</v>
      </c>
      <c r="X7638">
        <v>404.6268</v>
      </c>
      <c r="Y7638">
        <v>147.83099999999999</v>
      </c>
      <c r="Z7638">
        <v>294.79750000000001</v>
      </c>
      <c r="AA7638">
        <v>397.6232</v>
      </c>
      <c r="AB7638">
        <v>15.645160000000001</v>
      </c>
      <c r="AC7638">
        <v>3.0609629999999999E-2</v>
      </c>
      <c r="AD7638">
        <v>3.8019880000000001</v>
      </c>
      <c r="AE7638">
        <v>0.67944559999999998</v>
      </c>
      <c r="AF7638">
        <v>2304.0140000000001</v>
      </c>
      <c r="AG7638">
        <f>IFERROR(AH7638*0.1, "N/A")</f>
        <v>5.6727110000000005</v>
      </c>
      <c r="AH7638">
        <v>56.727110000000003</v>
      </c>
      <c r="AI7638">
        <v>220.1797</v>
      </c>
      <c r="AJ7638">
        <v>38.966549999999998</v>
      </c>
      <c r="AK7638">
        <v>33.204230000000003</v>
      </c>
    </row>
    <row r="7639" spans="1:37" x14ac:dyDescent="0.3">
      <c r="A7639">
        <v>7638</v>
      </c>
      <c r="B7639">
        <v>2.4</v>
      </c>
      <c r="C7639">
        <v>34.891599999999997</v>
      </c>
      <c r="D7639">
        <v>-0.16747000000000001</v>
      </c>
      <c r="E7639" t="s">
        <v>11350</v>
      </c>
      <c r="F7639" t="s">
        <v>11351</v>
      </c>
      <c r="G7639" t="s">
        <v>39</v>
      </c>
      <c r="H7639">
        <v>1971</v>
      </c>
      <c r="I7639">
        <v>23</v>
      </c>
      <c r="J7639">
        <v>14.27909</v>
      </c>
      <c r="K7639">
        <v>87.790859999999995</v>
      </c>
      <c r="L7639">
        <v>5.1365550000000004</v>
      </c>
      <c r="M7639">
        <v>31.5</v>
      </c>
      <c r="N7639">
        <v>15.28383</v>
      </c>
      <c r="O7639">
        <v>16.216170000000002</v>
      </c>
      <c r="P7639">
        <v>23.246919999999999</v>
      </c>
      <c r="Q7639">
        <v>22.4</v>
      </c>
      <c r="R7639">
        <v>23.646920000000001</v>
      </c>
      <c r="S7639">
        <v>22.27909</v>
      </c>
      <c r="T7639">
        <v>1218.2059999999999</v>
      </c>
      <c r="U7639">
        <v>200.5308</v>
      </c>
      <c r="V7639">
        <v>63.16169</v>
      </c>
      <c r="W7639">
        <v>39</v>
      </c>
      <c r="X7639">
        <v>490.57819999999998</v>
      </c>
      <c r="Y7639">
        <v>216.04750000000001</v>
      </c>
      <c r="Z7639">
        <v>299.58</v>
      </c>
      <c r="AA7639">
        <v>220.67840000000001</v>
      </c>
      <c r="AB7639">
        <v>1.551358</v>
      </c>
      <c r="AC7639">
        <v>1.165749E-2</v>
      </c>
      <c r="AD7639">
        <v>1.8809610000000001</v>
      </c>
      <c r="AE7639">
        <v>0.7716594</v>
      </c>
      <c r="AF7639">
        <v>1150.3230000000001</v>
      </c>
      <c r="AG7639">
        <f>IFERROR(AH7639*0.1, "N/A")</f>
        <v>6.7516700000000007</v>
      </c>
      <c r="AH7639">
        <v>67.5167</v>
      </c>
      <c r="AI7639">
        <v>173.42619999999999</v>
      </c>
      <c r="AJ7639">
        <v>44</v>
      </c>
      <c r="AK7639">
        <v>35.629170000000002</v>
      </c>
    </row>
    <row r="7640" spans="1:37" x14ac:dyDescent="0.3">
      <c r="A7640">
        <v>7639</v>
      </c>
      <c r="B7640">
        <v>17.899999999999999</v>
      </c>
      <c r="C7640">
        <v>34.347000000000001</v>
      </c>
      <c r="D7640">
        <v>-0.16936000000000001</v>
      </c>
      <c r="E7640" t="s">
        <v>11352</v>
      </c>
      <c r="F7640" t="s">
        <v>11353</v>
      </c>
      <c r="G7640" t="s">
        <v>37</v>
      </c>
      <c r="H7640">
        <v>2003</v>
      </c>
      <c r="I7640">
        <v>22.3</v>
      </c>
      <c r="J7640">
        <v>13.5</v>
      </c>
      <c r="K7640">
        <v>85</v>
      </c>
      <c r="L7640">
        <v>6.34</v>
      </c>
      <c r="M7640">
        <v>30.5</v>
      </c>
      <c r="N7640">
        <v>14.8</v>
      </c>
      <c r="O7640">
        <v>15.7</v>
      </c>
      <c r="P7640">
        <v>22.6</v>
      </c>
      <c r="Q7640">
        <v>22.8</v>
      </c>
      <c r="R7640">
        <v>23.1</v>
      </c>
      <c r="S7640">
        <v>21.4</v>
      </c>
      <c r="T7640">
        <v>1166</v>
      </c>
      <c r="U7640">
        <v>200</v>
      </c>
      <c r="V7640">
        <v>43</v>
      </c>
      <c r="W7640">
        <v>44</v>
      </c>
      <c r="X7640">
        <v>483</v>
      </c>
      <c r="Y7640">
        <v>201</v>
      </c>
      <c r="Z7640">
        <v>236</v>
      </c>
      <c r="AA7640">
        <v>207</v>
      </c>
      <c r="AB7640">
        <v>20.683859999999999</v>
      </c>
      <c r="AC7640">
        <v>1.3152809999999999E-2</v>
      </c>
      <c r="AD7640">
        <v>1.6249309999999999</v>
      </c>
      <c r="AE7640">
        <v>0.74168179999999995</v>
      </c>
      <c r="AF7640">
        <v>1212.8710000000001</v>
      </c>
      <c r="AG7640">
        <f>IFERROR(AH7640*0.1, "N/A")</f>
        <v>5.8852110000000009</v>
      </c>
      <c r="AH7640">
        <v>58.852110000000003</v>
      </c>
      <c r="AI7640">
        <v>51.77599</v>
      </c>
      <c r="AJ7640">
        <v>22</v>
      </c>
      <c r="AK7640">
        <v>62.697180000000003</v>
      </c>
    </row>
    <row r="7641" spans="1:37" x14ac:dyDescent="0.3">
      <c r="A7641">
        <v>7640</v>
      </c>
      <c r="B7641">
        <v>5.0999999999999996</v>
      </c>
      <c r="C7641">
        <v>34.347000000000001</v>
      </c>
      <c r="D7641">
        <v>-0.16936000000000001</v>
      </c>
      <c r="E7641" t="s">
        <v>11352</v>
      </c>
      <c r="F7641" t="s">
        <v>11354</v>
      </c>
      <c r="G7641" t="s">
        <v>39</v>
      </c>
      <c r="H7641">
        <v>2003</v>
      </c>
      <c r="I7641">
        <v>22.3</v>
      </c>
      <c r="J7641">
        <v>13.5</v>
      </c>
      <c r="K7641">
        <v>85</v>
      </c>
      <c r="L7641">
        <v>6.34</v>
      </c>
      <c r="M7641">
        <v>30.5</v>
      </c>
      <c r="N7641">
        <v>14.8</v>
      </c>
      <c r="O7641">
        <v>15.7</v>
      </c>
      <c r="P7641">
        <v>22.6</v>
      </c>
      <c r="Q7641">
        <v>22.8</v>
      </c>
      <c r="R7641">
        <v>23.1</v>
      </c>
      <c r="S7641">
        <v>21.4</v>
      </c>
      <c r="T7641">
        <v>1166</v>
      </c>
      <c r="U7641">
        <v>200</v>
      </c>
      <c r="V7641">
        <v>43</v>
      </c>
      <c r="W7641">
        <v>44</v>
      </c>
      <c r="X7641">
        <v>483</v>
      </c>
      <c r="Y7641">
        <v>201</v>
      </c>
      <c r="Z7641">
        <v>236</v>
      </c>
      <c r="AA7641">
        <v>207</v>
      </c>
      <c r="AB7641">
        <v>20.683859999999999</v>
      </c>
      <c r="AC7641">
        <v>1.3152809999999999E-2</v>
      </c>
      <c r="AD7641">
        <v>1.6249309999999999</v>
      </c>
      <c r="AE7641">
        <v>0.74168179999999995</v>
      </c>
      <c r="AF7641">
        <v>1212.8710000000001</v>
      </c>
      <c r="AG7641">
        <f>IFERROR(AH7641*0.1, "N/A")</f>
        <v>5.8852110000000009</v>
      </c>
      <c r="AH7641">
        <v>58.852110000000003</v>
      </c>
      <c r="AI7641">
        <v>51.77599</v>
      </c>
      <c r="AJ7641">
        <v>22</v>
      </c>
      <c r="AK7641">
        <v>62.697180000000003</v>
      </c>
    </row>
    <row r="7642" spans="1:37" x14ac:dyDescent="0.3">
      <c r="A7642">
        <v>7641</v>
      </c>
      <c r="B7642">
        <v>4.0999999999999996</v>
      </c>
      <c r="C7642">
        <v>34.822699999999998</v>
      </c>
      <c r="D7642">
        <v>-0.16952300000000001</v>
      </c>
      <c r="E7642" t="s">
        <v>11355</v>
      </c>
      <c r="F7642" t="s">
        <v>11356</v>
      </c>
      <c r="G7642" t="s">
        <v>37</v>
      </c>
      <c r="H7642">
        <v>1971</v>
      </c>
      <c r="I7642">
        <v>23</v>
      </c>
      <c r="J7642">
        <v>14.1</v>
      </c>
      <c r="K7642">
        <v>87</v>
      </c>
      <c r="L7642">
        <v>5.72</v>
      </c>
      <c r="M7642">
        <v>31.6</v>
      </c>
      <c r="N7642">
        <v>15.4</v>
      </c>
      <c r="O7642">
        <v>16.2</v>
      </c>
      <c r="P7642">
        <v>23.2</v>
      </c>
      <c r="Q7642">
        <v>22.4</v>
      </c>
      <c r="R7642">
        <v>23.8</v>
      </c>
      <c r="S7642">
        <v>22.2</v>
      </c>
      <c r="T7642">
        <v>1231</v>
      </c>
      <c r="U7642">
        <v>203</v>
      </c>
      <c r="V7642">
        <v>60</v>
      </c>
      <c r="W7642">
        <v>40</v>
      </c>
      <c r="X7642">
        <v>502</v>
      </c>
      <c r="Y7642">
        <v>218</v>
      </c>
      <c r="Z7642">
        <v>296</v>
      </c>
      <c r="AA7642">
        <v>220</v>
      </c>
      <c r="AB7642">
        <v>2.2956989999999999</v>
      </c>
      <c r="AC7642">
        <v>1.519947E-2</v>
      </c>
      <c r="AD7642">
        <v>2.116269</v>
      </c>
      <c r="AE7642">
        <v>0.77696589999999999</v>
      </c>
      <c r="AF7642">
        <v>1140.3979999999999</v>
      </c>
      <c r="AG7642">
        <f>IFERROR(AH7642*0.1, "N/A")</f>
        <v>6.6697180000000005</v>
      </c>
      <c r="AH7642">
        <v>66.697180000000003</v>
      </c>
      <c r="AI7642">
        <v>118.62439999999999</v>
      </c>
      <c r="AJ7642">
        <v>45.271129999999999</v>
      </c>
      <c r="AK7642">
        <v>33.839790000000001</v>
      </c>
    </row>
    <row r="7643" spans="1:37" x14ac:dyDescent="0.3">
      <c r="A7643">
        <v>7642</v>
      </c>
      <c r="B7643">
        <v>4.9000000000000004</v>
      </c>
      <c r="C7643">
        <v>34.849800000000002</v>
      </c>
      <c r="D7643">
        <v>-0.17008799999999999</v>
      </c>
      <c r="E7643" t="s">
        <v>11357</v>
      </c>
      <c r="F7643" t="s">
        <v>11358</v>
      </c>
      <c r="G7643" t="s">
        <v>39</v>
      </c>
      <c r="H7643">
        <v>1971</v>
      </c>
      <c r="I7643">
        <v>23</v>
      </c>
      <c r="J7643">
        <v>14.2</v>
      </c>
      <c r="K7643">
        <v>87</v>
      </c>
      <c r="L7643">
        <v>5.8604760000000002</v>
      </c>
      <c r="M7643">
        <v>31.578309999999998</v>
      </c>
      <c r="N7643">
        <v>15.3</v>
      </c>
      <c r="O7643">
        <v>16.278310000000001</v>
      </c>
      <c r="P7643">
        <v>23.3</v>
      </c>
      <c r="Q7643">
        <v>22.32169</v>
      </c>
      <c r="R7643">
        <v>23.7</v>
      </c>
      <c r="S7643">
        <v>22.1</v>
      </c>
      <c r="T7643">
        <v>1225</v>
      </c>
      <c r="U7643">
        <v>202</v>
      </c>
      <c r="V7643">
        <v>61.216929999999998</v>
      </c>
      <c r="W7643">
        <v>40</v>
      </c>
      <c r="X7643">
        <v>497.78309999999999</v>
      </c>
      <c r="Y7643">
        <v>217</v>
      </c>
      <c r="Z7643">
        <v>297.21690000000001</v>
      </c>
      <c r="AA7643">
        <v>220</v>
      </c>
      <c r="AB7643">
        <v>0.5587126</v>
      </c>
      <c r="AC7643">
        <v>2.0276579999999999E-2</v>
      </c>
      <c r="AD7643">
        <v>1.7969679999999999</v>
      </c>
      <c r="AE7643">
        <v>0.76076630000000001</v>
      </c>
      <c r="AF7643">
        <v>1144.171</v>
      </c>
      <c r="AG7643">
        <f>IFERROR(AH7643*0.1, "N/A")</f>
        <v>6.7045860000000008</v>
      </c>
      <c r="AH7643">
        <v>67.045860000000005</v>
      </c>
      <c r="AI7643">
        <v>57.124780000000001</v>
      </c>
      <c r="AJ7643">
        <v>44.954140000000002</v>
      </c>
      <c r="AK7643">
        <v>33.52028</v>
      </c>
    </row>
    <row r="7644" spans="1:37" x14ac:dyDescent="0.3">
      <c r="A7644">
        <v>7643</v>
      </c>
      <c r="B7644">
        <v>0</v>
      </c>
      <c r="C7644">
        <v>34.849800000000002</v>
      </c>
      <c r="D7644">
        <v>-0.17008799999999999</v>
      </c>
      <c r="E7644" t="s">
        <v>11357</v>
      </c>
      <c r="F7644" t="s">
        <v>11359</v>
      </c>
      <c r="G7644" t="s">
        <v>37</v>
      </c>
      <c r="H7644">
        <v>1971</v>
      </c>
      <c r="I7644">
        <v>23</v>
      </c>
      <c r="J7644">
        <v>14.2</v>
      </c>
      <c r="K7644">
        <v>87</v>
      </c>
      <c r="L7644">
        <v>5.8604760000000002</v>
      </c>
      <c r="M7644">
        <v>31.578309999999998</v>
      </c>
      <c r="N7644">
        <v>15.3</v>
      </c>
      <c r="O7644">
        <v>16.278310000000001</v>
      </c>
      <c r="P7644">
        <v>23.3</v>
      </c>
      <c r="Q7644">
        <v>22.32169</v>
      </c>
      <c r="R7644">
        <v>23.7</v>
      </c>
      <c r="S7644">
        <v>22.1</v>
      </c>
      <c r="T7644">
        <v>1225</v>
      </c>
      <c r="U7644">
        <v>202</v>
      </c>
      <c r="V7644">
        <v>61.216929999999998</v>
      </c>
      <c r="W7644">
        <v>40</v>
      </c>
      <c r="X7644">
        <v>497.78309999999999</v>
      </c>
      <c r="Y7644">
        <v>217</v>
      </c>
      <c r="Z7644">
        <v>297.21690000000001</v>
      </c>
      <c r="AA7644">
        <v>220</v>
      </c>
      <c r="AB7644">
        <v>0.5587126</v>
      </c>
      <c r="AC7644">
        <v>2.0276579999999999E-2</v>
      </c>
      <c r="AD7644">
        <v>1.7969679999999999</v>
      </c>
      <c r="AE7644">
        <v>0.76076630000000001</v>
      </c>
      <c r="AF7644">
        <v>1144.171</v>
      </c>
      <c r="AG7644">
        <f>IFERROR(AH7644*0.1, "N/A")</f>
        <v>6.7045860000000008</v>
      </c>
      <c r="AH7644">
        <v>67.045860000000005</v>
      </c>
      <c r="AI7644">
        <v>57.124780000000001</v>
      </c>
      <c r="AJ7644">
        <v>44.954140000000002</v>
      </c>
      <c r="AK7644">
        <v>33.52028</v>
      </c>
    </row>
    <row r="7645" spans="1:37" x14ac:dyDescent="0.3">
      <c r="A7645">
        <v>7644</v>
      </c>
      <c r="B7645">
        <v>0</v>
      </c>
      <c r="C7645">
        <v>35.089100000000002</v>
      </c>
      <c r="D7645">
        <v>-0.17018900000000001</v>
      </c>
      <c r="E7645" t="s">
        <v>11360</v>
      </c>
      <c r="F7645" t="s">
        <v>11361</v>
      </c>
      <c r="G7645" t="s">
        <v>39</v>
      </c>
      <c r="H7645">
        <v>1971</v>
      </c>
      <c r="I7645">
        <v>21.9</v>
      </c>
      <c r="J7645">
        <v>14.9</v>
      </c>
      <c r="K7645">
        <v>87</v>
      </c>
      <c r="L7645">
        <v>5.47</v>
      </c>
      <c r="M7645">
        <v>30.9</v>
      </c>
      <c r="N7645">
        <v>13.8</v>
      </c>
      <c r="O7645">
        <v>17.100000000000001</v>
      </c>
      <c r="P7645">
        <v>22.2</v>
      </c>
      <c r="Q7645">
        <v>21.3</v>
      </c>
      <c r="R7645">
        <v>22.6</v>
      </c>
      <c r="S7645">
        <v>21.1</v>
      </c>
      <c r="T7645">
        <v>1390</v>
      </c>
      <c r="U7645">
        <v>218</v>
      </c>
      <c r="V7645">
        <v>67</v>
      </c>
      <c r="W7645">
        <v>35</v>
      </c>
      <c r="X7645">
        <v>538</v>
      </c>
      <c r="Y7645">
        <v>270</v>
      </c>
      <c r="Z7645">
        <v>332</v>
      </c>
      <c r="AA7645">
        <v>284</v>
      </c>
      <c r="AB7645">
        <v>75.367990000000006</v>
      </c>
      <c r="AC7645">
        <v>9.4507589999999995E-3</v>
      </c>
      <c r="AD7645">
        <v>1.0699110000000001</v>
      </c>
      <c r="AE7645">
        <v>0.77968230000000005</v>
      </c>
      <c r="AF7645">
        <v>1303.018</v>
      </c>
      <c r="AG7645">
        <f>IFERROR(AH7645*0.1, "N/A")</f>
        <v>6.4</v>
      </c>
      <c r="AH7645">
        <v>64</v>
      </c>
      <c r="AI7645">
        <v>256.5752</v>
      </c>
      <c r="AJ7645">
        <v>34.806339999999999</v>
      </c>
      <c r="AK7645">
        <v>45.193660000000001</v>
      </c>
    </row>
    <row r="7646" spans="1:37" x14ac:dyDescent="0.3">
      <c r="A7646">
        <v>7645</v>
      </c>
      <c r="B7646">
        <v>5</v>
      </c>
      <c r="C7646">
        <v>34.937199999999997</v>
      </c>
      <c r="D7646">
        <v>-0.171289</v>
      </c>
      <c r="E7646" t="s">
        <v>11362</v>
      </c>
      <c r="F7646" t="s">
        <v>11363</v>
      </c>
      <c r="G7646" t="s">
        <v>39</v>
      </c>
      <c r="H7646">
        <v>1971</v>
      </c>
      <c r="I7646">
        <v>23</v>
      </c>
      <c r="J7646">
        <v>14.4</v>
      </c>
      <c r="K7646">
        <v>87</v>
      </c>
      <c r="L7646">
        <v>5.28</v>
      </c>
      <c r="M7646">
        <v>31.6</v>
      </c>
      <c r="N7646">
        <v>15.2</v>
      </c>
      <c r="O7646">
        <v>16.399999999999999</v>
      </c>
      <c r="P7646">
        <v>23.2</v>
      </c>
      <c r="Q7646">
        <v>22.4</v>
      </c>
      <c r="R7646">
        <v>23.6</v>
      </c>
      <c r="S7646">
        <v>22.2</v>
      </c>
      <c r="T7646">
        <v>1220</v>
      </c>
      <c r="U7646">
        <v>200</v>
      </c>
      <c r="V7646">
        <v>65</v>
      </c>
      <c r="W7646">
        <v>38</v>
      </c>
      <c r="X7646">
        <v>487</v>
      </c>
      <c r="Y7646">
        <v>218</v>
      </c>
      <c r="Z7646">
        <v>303</v>
      </c>
      <c r="AA7646">
        <v>224</v>
      </c>
      <c r="AB7646">
        <v>4.5491479999999997</v>
      </c>
      <c r="AC7646">
        <v>0.15560650000000001</v>
      </c>
      <c r="AD7646">
        <v>0.838028</v>
      </c>
      <c r="AE7646">
        <v>0.78936660000000003</v>
      </c>
      <c r="AF7646">
        <v>1159.0719999999999</v>
      </c>
      <c r="AG7646">
        <f>IFERROR(AH7646*0.1, "N/A")</f>
        <v>6.1774650000000007</v>
      </c>
      <c r="AH7646">
        <v>61.774650000000001</v>
      </c>
      <c r="AI7646">
        <v>66.91283</v>
      </c>
      <c r="AJ7646">
        <v>41.32394</v>
      </c>
      <c r="AK7646">
        <v>37.338030000000003</v>
      </c>
    </row>
    <row r="7647" spans="1:37" x14ac:dyDescent="0.3">
      <c r="A7647">
        <v>7646</v>
      </c>
      <c r="B7647">
        <v>58.3</v>
      </c>
      <c r="C7647">
        <v>34.396999999999998</v>
      </c>
      <c r="D7647">
        <v>-0.17268800000000001</v>
      </c>
      <c r="E7647" t="s">
        <v>11364</v>
      </c>
      <c r="F7647" t="s">
        <v>11365</v>
      </c>
      <c r="G7647" t="s">
        <v>37</v>
      </c>
      <c r="H7647">
        <v>2003</v>
      </c>
      <c r="I7647">
        <v>22.7</v>
      </c>
      <c r="J7647">
        <v>13.5</v>
      </c>
      <c r="K7647">
        <v>85</v>
      </c>
      <c r="L7647">
        <v>6.55</v>
      </c>
      <c r="M7647">
        <v>30.9</v>
      </c>
      <c r="N7647">
        <v>15.1</v>
      </c>
      <c r="O7647">
        <v>15.8</v>
      </c>
      <c r="P7647">
        <v>22.9</v>
      </c>
      <c r="Q7647">
        <v>23.2</v>
      </c>
      <c r="R7647">
        <v>23.4</v>
      </c>
      <c r="S7647">
        <v>21.7</v>
      </c>
      <c r="T7647">
        <v>1144</v>
      </c>
      <c r="U7647">
        <v>198</v>
      </c>
      <c r="V7647">
        <v>41</v>
      </c>
      <c r="W7647">
        <v>45</v>
      </c>
      <c r="X7647">
        <v>479</v>
      </c>
      <c r="Y7647">
        <v>198</v>
      </c>
      <c r="Z7647">
        <v>237</v>
      </c>
      <c r="AA7647">
        <v>203</v>
      </c>
      <c r="AB7647">
        <v>3.040689</v>
      </c>
      <c r="AC7647">
        <v>0.45491910000000002</v>
      </c>
      <c r="AD7647">
        <v>1.982891</v>
      </c>
      <c r="AE7647">
        <v>0.72350550000000002</v>
      </c>
      <c r="AF7647">
        <v>1145.3030000000001</v>
      </c>
      <c r="AG7647">
        <f>IFERROR(AH7647*0.1, "N/A")</f>
        <v>5.8000000000000007</v>
      </c>
      <c r="AH7647">
        <v>58</v>
      </c>
      <c r="AI7647">
        <v>307.39210000000003</v>
      </c>
      <c r="AJ7647">
        <v>26.06878</v>
      </c>
      <c r="AK7647">
        <v>54.977069999999998</v>
      </c>
    </row>
    <row r="7648" spans="1:37" x14ac:dyDescent="0.3">
      <c r="A7648">
        <v>7647</v>
      </c>
      <c r="B7648">
        <v>0</v>
      </c>
      <c r="C7648">
        <v>34.396999999999998</v>
      </c>
      <c r="D7648">
        <v>-0.17268800000000001</v>
      </c>
      <c r="E7648" t="s">
        <v>11364</v>
      </c>
      <c r="F7648" t="s">
        <v>11366</v>
      </c>
      <c r="G7648" t="s">
        <v>39</v>
      </c>
      <c r="H7648">
        <v>2003</v>
      </c>
      <c r="I7648">
        <v>22.7</v>
      </c>
      <c r="J7648">
        <v>13.5</v>
      </c>
      <c r="K7648">
        <v>85</v>
      </c>
      <c r="L7648">
        <v>6.55</v>
      </c>
      <c r="M7648">
        <v>30.9</v>
      </c>
      <c r="N7648">
        <v>15.1</v>
      </c>
      <c r="O7648">
        <v>15.8</v>
      </c>
      <c r="P7648">
        <v>22.9</v>
      </c>
      <c r="Q7648">
        <v>23.2</v>
      </c>
      <c r="R7648">
        <v>23.4</v>
      </c>
      <c r="S7648">
        <v>21.7</v>
      </c>
      <c r="T7648">
        <v>1144</v>
      </c>
      <c r="U7648">
        <v>198</v>
      </c>
      <c r="V7648">
        <v>41</v>
      </c>
      <c r="W7648">
        <v>45</v>
      </c>
      <c r="X7648">
        <v>479</v>
      </c>
      <c r="Y7648">
        <v>198</v>
      </c>
      <c r="Z7648">
        <v>237</v>
      </c>
      <c r="AA7648">
        <v>203</v>
      </c>
      <c r="AB7648">
        <v>3.040689</v>
      </c>
      <c r="AC7648">
        <v>0.45491910000000002</v>
      </c>
      <c r="AD7648">
        <v>1.982891</v>
      </c>
      <c r="AE7648">
        <v>0.72350550000000002</v>
      </c>
      <c r="AF7648">
        <v>1145.3030000000001</v>
      </c>
      <c r="AG7648">
        <f>IFERROR(AH7648*0.1, "N/A")</f>
        <v>5.8000000000000007</v>
      </c>
      <c r="AH7648">
        <v>58</v>
      </c>
      <c r="AI7648">
        <v>307.39210000000003</v>
      </c>
      <c r="AJ7648">
        <v>26.06878</v>
      </c>
      <c r="AK7648">
        <v>54.977069999999998</v>
      </c>
    </row>
    <row r="7649" spans="1:37" x14ac:dyDescent="0.3">
      <c r="A7649">
        <v>7648</v>
      </c>
      <c r="B7649">
        <v>10.6</v>
      </c>
      <c r="C7649">
        <v>34.806800000000003</v>
      </c>
      <c r="D7649">
        <v>-0.17283699999999999</v>
      </c>
      <c r="E7649" t="s">
        <v>11367</v>
      </c>
      <c r="F7649" t="s">
        <v>11368</v>
      </c>
      <c r="G7649" t="s">
        <v>37</v>
      </c>
      <c r="H7649">
        <v>1971</v>
      </c>
      <c r="I7649">
        <v>23</v>
      </c>
      <c r="J7649">
        <v>14.1</v>
      </c>
      <c r="K7649">
        <v>87</v>
      </c>
      <c r="L7649">
        <v>5.68</v>
      </c>
      <c r="M7649">
        <v>31.5</v>
      </c>
      <c r="N7649">
        <v>15.3</v>
      </c>
      <c r="O7649">
        <v>16.2</v>
      </c>
      <c r="P7649">
        <v>23.2</v>
      </c>
      <c r="Q7649">
        <v>22.4</v>
      </c>
      <c r="R7649">
        <v>23.7</v>
      </c>
      <c r="S7649">
        <v>22.2</v>
      </c>
      <c r="T7649">
        <v>1234</v>
      </c>
      <c r="U7649">
        <v>204</v>
      </c>
      <c r="V7649">
        <v>59</v>
      </c>
      <c r="W7649">
        <v>41</v>
      </c>
      <c r="X7649">
        <v>504</v>
      </c>
      <c r="Y7649">
        <v>219</v>
      </c>
      <c r="Z7649">
        <v>294</v>
      </c>
      <c r="AA7649">
        <v>220</v>
      </c>
      <c r="AB7649">
        <v>2.478199</v>
      </c>
      <c r="AC7649">
        <v>1.116174E-2</v>
      </c>
      <c r="AD7649">
        <v>0.67792209999999997</v>
      </c>
      <c r="AE7649">
        <v>0.74063579999999996</v>
      </c>
      <c r="AF7649">
        <v>1138.3879999999999</v>
      </c>
      <c r="AG7649">
        <f>IFERROR(AH7649*0.1, "N/A")</f>
        <v>6.5</v>
      </c>
      <c r="AH7649">
        <v>65</v>
      </c>
      <c r="AI7649">
        <v>45.77375</v>
      </c>
      <c r="AJ7649">
        <v>43.868189999999998</v>
      </c>
      <c r="AK7649">
        <v>36.191560000000003</v>
      </c>
    </row>
    <row r="7650" spans="1:37" x14ac:dyDescent="0.3">
      <c r="A7650">
        <v>7649</v>
      </c>
      <c r="B7650">
        <v>62.5</v>
      </c>
      <c r="C7650">
        <v>34.379399999999997</v>
      </c>
      <c r="D7650">
        <v>-0.17372799999999999</v>
      </c>
      <c r="E7650" t="s">
        <v>11369</v>
      </c>
      <c r="F7650" t="s">
        <v>11370</v>
      </c>
      <c r="G7650" t="s">
        <v>37</v>
      </c>
      <c r="H7650">
        <v>2003</v>
      </c>
      <c r="I7650">
        <v>22.6</v>
      </c>
      <c r="J7650">
        <v>13.5</v>
      </c>
      <c r="K7650">
        <v>85</v>
      </c>
      <c r="L7650">
        <v>6.36</v>
      </c>
      <c r="M7650">
        <v>30.8</v>
      </c>
      <c r="N7650">
        <v>15.1</v>
      </c>
      <c r="O7650">
        <v>15.7</v>
      </c>
      <c r="P7650">
        <v>22.9</v>
      </c>
      <c r="Q7650">
        <v>23.1</v>
      </c>
      <c r="R7650">
        <v>23.4</v>
      </c>
      <c r="S7650">
        <v>21.7</v>
      </c>
      <c r="T7650">
        <v>1139</v>
      </c>
      <c r="U7650">
        <v>197</v>
      </c>
      <c r="V7650">
        <v>41</v>
      </c>
      <c r="W7650">
        <v>45</v>
      </c>
      <c r="X7650">
        <v>477</v>
      </c>
      <c r="Y7650">
        <v>197</v>
      </c>
      <c r="Z7650">
        <v>236</v>
      </c>
      <c r="AA7650">
        <v>201</v>
      </c>
      <c r="AB7650">
        <v>40.37276</v>
      </c>
      <c r="AC7650">
        <v>1.266399E-2</v>
      </c>
      <c r="AD7650">
        <v>2.1060370000000002</v>
      </c>
      <c r="AE7650">
        <v>0.75502409999999998</v>
      </c>
      <c r="AF7650">
        <v>1184.2139999999999</v>
      </c>
      <c r="AG7650">
        <f>IFERROR(AH7650*0.1, "N/A")</f>
        <v>5.6231990000000005</v>
      </c>
      <c r="AH7650">
        <v>56.231990000000003</v>
      </c>
      <c r="AI7650">
        <v>141.96789999999999</v>
      </c>
      <c r="AJ7650">
        <v>21.390160000000002</v>
      </c>
      <c r="AK7650">
        <v>62.202109999999998</v>
      </c>
    </row>
    <row r="7651" spans="1:37" x14ac:dyDescent="0.3">
      <c r="A7651">
        <v>7650</v>
      </c>
      <c r="B7651">
        <v>0</v>
      </c>
      <c r="C7651">
        <v>34.379399999999997</v>
      </c>
      <c r="D7651">
        <v>-0.17372799999999999</v>
      </c>
      <c r="E7651" t="s">
        <v>11369</v>
      </c>
      <c r="F7651" t="s">
        <v>11371</v>
      </c>
      <c r="G7651" t="s">
        <v>39</v>
      </c>
      <c r="H7651">
        <v>2003</v>
      </c>
      <c r="I7651">
        <v>22.6</v>
      </c>
      <c r="J7651">
        <v>13.5</v>
      </c>
      <c r="K7651">
        <v>85</v>
      </c>
      <c r="L7651">
        <v>6.36</v>
      </c>
      <c r="M7651">
        <v>30.8</v>
      </c>
      <c r="N7651">
        <v>15.1</v>
      </c>
      <c r="O7651">
        <v>15.7</v>
      </c>
      <c r="P7651">
        <v>22.9</v>
      </c>
      <c r="Q7651">
        <v>23.1</v>
      </c>
      <c r="R7651">
        <v>23.4</v>
      </c>
      <c r="S7651">
        <v>21.7</v>
      </c>
      <c r="T7651">
        <v>1139</v>
      </c>
      <c r="U7651">
        <v>197</v>
      </c>
      <c r="V7651">
        <v>41</v>
      </c>
      <c r="W7651">
        <v>45</v>
      </c>
      <c r="X7651">
        <v>477</v>
      </c>
      <c r="Y7651">
        <v>197</v>
      </c>
      <c r="Z7651">
        <v>236</v>
      </c>
      <c r="AA7651">
        <v>201</v>
      </c>
      <c r="AB7651">
        <v>40.37276</v>
      </c>
      <c r="AC7651">
        <v>1.266399E-2</v>
      </c>
      <c r="AD7651">
        <v>2.1060370000000002</v>
      </c>
      <c r="AE7651">
        <v>0.75502409999999998</v>
      </c>
      <c r="AF7651">
        <v>1184.2139999999999</v>
      </c>
      <c r="AG7651">
        <f>IFERROR(AH7651*0.1, "N/A")</f>
        <v>5.6231990000000005</v>
      </c>
      <c r="AH7651">
        <v>56.231990000000003</v>
      </c>
      <c r="AI7651">
        <v>141.96789999999999</v>
      </c>
      <c r="AJ7651">
        <v>21.390160000000002</v>
      </c>
      <c r="AK7651">
        <v>62.202109999999998</v>
      </c>
    </row>
    <row r="7652" spans="1:37" x14ac:dyDescent="0.3">
      <c r="A7652">
        <v>7651</v>
      </c>
      <c r="B7652">
        <v>33.299999999999997</v>
      </c>
      <c r="C7652">
        <v>34.356099999999998</v>
      </c>
      <c r="D7652">
        <v>-0.17746999999999999</v>
      </c>
      <c r="E7652" t="s">
        <v>11372</v>
      </c>
      <c r="F7652" t="s">
        <v>11373</v>
      </c>
      <c r="G7652" t="s">
        <v>37</v>
      </c>
      <c r="H7652">
        <v>2003</v>
      </c>
      <c r="I7652">
        <v>22.5</v>
      </c>
      <c r="J7652">
        <v>13.5</v>
      </c>
      <c r="K7652">
        <v>85</v>
      </c>
      <c r="L7652">
        <v>6.44</v>
      </c>
      <c r="M7652">
        <v>30.7</v>
      </c>
      <c r="N7652">
        <v>15</v>
      </c>
      <c r="O7652">
        <v>15.7</v>
      </c>
      <c r="P7652">
        <v>22.8</v>
      </c>
      <c r="Q7652">
        <v>21.6</v>
      </c>
      <c r="R7652">
        <v>23.3</v>
      </c>
      <c r="S7652">
        <v>21.6</v>
      </c>
      <c r="T7652">
        <v>1133</v>
      </c>
      <c r="U7652">
        <v>196</v>
      </c>
      <c r="V7652">
        <v>41</v>
      </c>
      <c r="W7652">
        <v>45</v>
      </c>
      <c r="X7652">
        <v>473</v>
      </c>
      <c r="Y7652">
        <v>198</v>
      </c>
      <c r="Z7652">
        <v>234</v>
      </c>
      <c r="AA7652">
        <v>198</v>
      </c>
      <c r="AB7652">
        <v>39.345260000000003</v>
      </c>
      <c r="AC7652">
        <v>8.907725E-3</v>
      </c>
      <c r="AD7652">
        <v>2.6706089999999998</v>
      </c>
      <c r="AE7652">
        <v>0.74708810000000003</v>
      </c>
      <c r="AF7652">
        <v>1189.133</v>
      </c>
      <c r="AG7652">
        <f>IFERROR(AH7652*0.1, "N/A")</f>
        <v>5.7164910000000004</v>
      </c>
      <c r="AH7652">
        <v>57.164909999999999</v>
      </c>
      <c r="AI7652">
        <v>241.958</v>
      </c>
      <c r="AJ7652">
        <v>21.377189999999999</v>
      </c>
      <c r="AK7652">
        <v>62.156140000000001</v>
      </c>
    </row>
    <row r="7653" spans="1:37" x14ac:dyDescent="0.3">
      <c r="A7653">
        <v>7652</v>
      </c>
      <c r="B7653">
        <v>0</v>
      </c>
      <c r="C7653">
        <v>34.356099999999998</v>
      </c>
      <c r="D7653">
        <v>-0.17746999999999999</v>
      </c>
      <c r="E7653" t="s">
        <v>11372</v>
      </c>
      <c r="F7653" t="s">
        <v>11374</v>
      </c>
      <c r="G7653" t="s">
        <v>39</v>
      </c>
      <c r="H7653">
        <v>2003</v>
      </c>
      <c r="I7653">
        <v>22.5</v>
      </c>
      <c r="J7653">
        <v>13.5</v>
      </c>
      <c r="K7653">
        <v>85</v>
      </c>
      <c r="L7653">
        <v>6.44</v>
      </c>
      <c r="M7653">
        <v>30.7</v>
      </c>
      <c r="N7653">
        <v>15</v>
      </c>
      <c r="O7653">
        <v>15.7</v>
      </c>
      <c r="P7653">
        <v>22.8</v>
      </c>
      <c r="Q7653">
        <v>21.6</v>
      </c>
      <c r="R7653">
        <v>23.3</v>
      </c>
      <c r="S7653">
        <v>21.6</v>
      </c>
      <c r="T7653">
        <v>1133</v>
      </c>
      <c r="U7653">
        <v>196</v>
      </c>
      <c r="V7653">
        <v>41</v>
      </c>
      <c r="W7653">
        <v>45</v>
      </c>
      <c r="X7653">
        <v>473</v>
      </c>
      <c r="Y7653">
        <v>198</v>
      </c>
      <c r="Z7653">
        <v>234</v>
      </c>
      <c r="AA7653">
        <v>198</v>
      </c>
      <c r="AB7653">
        <v>39.345260000000003</v>
      </c>
      <c r="AC7653">
        <v>8.907725E-3</v>
      </c>
      <c r="AD7653">
        <v>2.6706089999999998</v>
      </c>
      <c r="AE7653">
        <v>0.74708810000000003</v>
      </c>
      <c r="AF7653">
        <v>1189.133</v>
      </c>
      <c r="AG7653">
        <f>IFERROR(AH7653*0.1, "N/A")</f>
        <v>5.7164910000000004</v>
      </c>
      <c r="AH7653">
        <v>57.164909999999999</v>
      </c>
      <c r="AI7653">
        <v>241.958</v>
      </c>
      <c r="AJ7653">
        <v>21.377189999999999</v>
      </c>
      <c r="AK7653">
        <v>62.156140000000001</v>
      </c>
    </row>
    <row r="7654" spans="1:37" x14ac:dyDescent="0.3">
      <c r="A7654">
        <v>7653</v>
      </c>
      <c r="B7654">
        <v>5.3</v>
      </c>
      <c r="C7654">
        <v>34.386600000000001</v>
      </c>
      <c r="D7654">
        <v>-0.178254</v>
      </c>
      <c r="E7654" t="s">
        <v>11375</v>
      </c>
      <c r="F7654" t="s">
        <v>11376</v>
      </c>
      <c r="G7654" t="s">
        <v>37</v>
      </c>
      <c r="H7654">
        <v>2003</v>
      </c>
      <c r="I7654">
        <v>22.6</v>
      </c>
      <c r="J7654">
        <v>13.5</v>
      </c>
      <c r="K7654">
        <v>85</v>
      </c>
      <c r="L7654">
        <v>6.47</v>
      </c>
      <c r="M7654">
        <v>30.8</v>
      </c>
      <c r="N7654">
        <v>15.1</v>
      </c>
      <c r="O7654">
        <v>15.7</v>
      </c>
      <c r="P7654">
        <v>22.9</v>
      </c>
      <c r="Q7654">
        <v>23.1</v>
      </c>
      <c r="R7654">
        <v>23.4</v>
      </c>
      <c r="S7654">
        <v>21.7</v>
      </c>
      <c r="T7654">
        <v>1136</v>
      </c>
      <c r="U7654">
        <v>197</v>
      </c>
      <c r="V7654">
        <v>41</v>
      </c>
      <c r="W7654">
        <v>45</v>
      </c>
      <c r="X7654">
        <v>477</v>
      </c>
      <c r="Y7654">
        <v>197</v>
      </c>
      <c r="Z7654">
        <v>236</v>
      </c>
      <c r="AA7654">
        <v>200</v>
      </c>
      <c r="AB7654">
        <v>8.2522490000000008</v>
      </c>
      <c r="AC7654">
        <v>4.0065070000000001E-2</v>
      </c>
      <c r="AD7654">
        <v>2.9091909999999999</v>
      </c>
      <c r="AE7654">
        <v>0.75502409999999998</v>
      </c>
      <c r="AF7654">
        <v>1153.9949999999999</v>
      </c>
      <c r="AG7654">
        <f>IFERROR(AH7654*0.1, "N/A")</f>
        <v>5.6627420000000006</v>
      </c>
      <c r="AH7654">
        <v>56.627420000000001</v>
      </c>
      <c r="AI7654">
        <v>134.63470000000001</v>
      </c>
      <c r="AJ7654">
        <v>26.372579999999999</v>
      </c>
      <c r="AK7654">
        <v>57.836559999999999</v>
      </c>
    </row>
    <row r="7655" spans="1:37" x14ac:dyDescent="0.3">
      <c r="A7655">
        <v>7654</v>
      </c>
      <c r="B7655">
        <v>0</v>
      </c>
      <c r="C7655">
        <v>34.386600000000001</v>
      </c>
      <c r="D7655">
        <v>-0.178254</v>
      </c>
      <c r="E7655" t="s">
        <v>11375</v>
      </c>
      <c r="F7655" t="s">
        <v>11377</v>
      </c>
      <c r="G7655" t="s">
        <v>39</v>
      </c>
      <c r="H7655">
        <v>2003</v>
      </c>
      <c r="I7655">
        <v>22.6</v>
      </c>
      <c r="J7655">
        <v>13.5</v>
      </c>
      <c r="K7655">
        <v>85</v>
      </c>
      <c r="L7655">
        <v>6.47</v>
      </c>
      <c r="M7655">
        <v>30.8</v>
      </c>
      <c r="N7655">
        <v>15.1</v>
      </c>
      <c r="O7655">
        <v>15.7</v>
      </c>
      <c r="P7655">
        <v>22.9</v>
      </c>
      <c r="Q7655">
        <v>23.1</v>
      </c>
      <c r="R7655">
        <v>23.4</v>
      </c>
      <c r="S7655">
        <v>21.7</v>
      </c>
      <c r="T7655">
        <v>1136</v>
      </c>
      <c r="U7655">
        <v>197</v>
      </c>
      <c r="V7655">
        <v>41</v>
      </c>
      <c r="W7655">
        <v>45</v>
      </c>
      <c r="X7655">
        <v>477</v>
      </c>
      <c r="Y7655">
        <v>197</v>
      </c>
      <c r="Z7655">
        <v>236</v>
      </c>
      <c r="AA7655">
        <v>200</v>
      </c>
      <c r="AB7655">
        <v>8.2522490000000008</v>
      </c>
      <c r="AC7655">
        <v>4.0065070000000001E-2</v>
      </c>
      <c r="AD7655">
        <v>2.9091909999999999</v>
      </c>
      <c r="AE7655">
        <v>0.75502409999999998</v>
      </c>
      <c r="AF7655">
        <v>1153.9949999999999</v>
      </c>
      <c r="AG7655">
        <f>IFERROR(AH7655*0.1, "N/A")</f>
        <v>5.6627420000000006</v>
      </c>
      <c r="AH7655">
        <v>56.627420000000001</v>
      </c>
      <c r="AI7655">
        <v>134.63470000000001</v>
      </c>
      <c r="AJ7655">
        <v>26.372579999999999</v>
      </c>
      <c r="AK7655">
        <v>57.836559999999999</v>
      </c>
    </row>
    <row r="7656" spans="1:37" x14ac:dyDescent="0.3">
      <c r="A7656">
        <v>7655</v>
      </c>
      <c r="B7656">
        <v>36.1</v>
      </c>
      <c r="C7656">
        <v>34.369</v>
      </c>
      <c r="D7656">
        <v>-0.17949999999999999</v>
      </c>
      <c r="E7656" t="s">
        <v>11378</v>
      </c>
      <c r="F7656" t="s">
        <v>11379</v>
      </c>
      <c r="G7656" t="s">
        <v>37</v>
      </c>
      <c r="H7656">
        <v>2003</v>
      </c>
      <c r="I7656">
        <v>22.5</v>
      </c>
      <c r="J7656">
        <v>13.5</v>
      </c>
      <c r="K7656">
        <v>85</v>
      </c>
      <c r="L7656">
        <v>6.41</v>
      </c>
      <c r="M7656">
        <v>30.7</v>
      </c>
      <c r="N7656">
        <v>15</v>
      </c>
      <c r="O7656">
        <v>15.7</v>
      </c>
      <c r="P7656">
        <v>22.8</v>
      </c>
      <c r="Q7656">
        <v>23</v>
      </c>
      <c r="R7656">
        <v>23.3</v>
      </c>
      <c r="S7656">
        <v>21.6</v>
      </c>
      <c r="T7656">
        <v>1140</v>
      </c>
      <c r="U7656">
        <v>197</v>
      </c>
      <c r="V7656">
        <v>41</v>
      </c>
      <c r="W7656">
        <v>44</v>
      </c>
      <c r="X7656">
        <v>476</v>
      </c>
      <c r="Y7656">
        <v>198</v>
      </c>
      <c r="Z7656">
        <v>235</v>
      </c>
      <c r="AA7656">
        <v>201</v>
      </c>
      <c r="AB7656">
        <v>16.49757</v>
      </c>
      <c r="AC7656">
        <v>1.100719E-2</v>
      </c>
      <c r="AD7656">
        <v>1.6048720000000001</v>
      </c>
      <c r="AE7656">
        <v>0.75220160000000003</v>
      </c>
      <c r="AF7656">
        <v>1167.598</v>
      </c>
      <c r="AG7656">
        <f>IFERROR(AH7656*0.1, "N/A")</f>
        <v>5.7</v>
      </c>
      <c r="AH7656">
        <v>57</v>
      </c>
      <c r="AI7656">
        <v>234.61340000000001</v>
      </c>
      <c r="AJ7656">
        <v>19.070180000000001</v>
      </c>
      <c r="AK7656">
        <v>65.280699999999996</v>
      </c>
    </row>
    <row r="7657" spans="1:37" x14ac:dyDescent="0.3">
      <c r="A7657">
        <v>7656</v>
      </c>
      <c r="B7657">
        <v>0</v>
      </c>
      <c r="C7657">
        <v>34.369</v>
      </c>
      <c r="D7657">
        <v>-0.17949999999999999</v>
      </c>
      <c r="E7657" t="s">
        <v>11378</v>
      </c>
      <c r="F7657" t="s">
        <v>11380</v>
      </c>
      <c r="G7657" t="s">
        <v>39</v>
      </c>
      <c r="H7657">
        <v>2003</v>
      </c>
      <c r="I7657">
        <v>22.5</v>
      </c>
      <c r="J7657">
        <v>13.5</v>
      </c>
      <c r="K7657">
        <v>85</v>
      </c>
      <c r="L7657">
        <v>6.41</v>
      </c>
      <c r="M7657">
        <v>30.7</v>
      </c>
      <c r="N7657">
        <v>15</v>
      </c>
      <c r="O7657">
        <v>15.7</v>
      </c>
      <c r="P7657">
        <v>22.8</v>
      </c>
      <c r="Q7657">
        <v>23</v>
      </c>
      <c r="R7657">
        <v>23.3</v>
      </c>
      <c r="S7657">
        <v>21.6</v>
      </c>
      <c r="T7657">
        <v>1140</v>
      </c>
      <c r="U7657">
        <v>197</v>
      </c>
      <c r="V7657">
        <v>41</v>
      </c>
      <c r="W7657">
        <v>44</v>
      </c>
      <c r="X7657">
        <v>476</v>
      </c>
      <c r="Y7657">
        <v>198</v>
      </c>
      <c r="Z7657">
        <v>235</v>
      </c>
      <c r="AA7657">
        <v>201</v>
      </c>
      <c r="AB7657">
        <v>16.49757</v>
      </c>
      <c r="AC7657">
        <v>1.100719E-2</v>
      </c>
      <c r="AD7657">
        <v>1.6048720000000001</v>
      </c>
      <c r="AE7657">
        <v>0.75220160000000003</v>
      </c>
      <c r="AF7657">
        <v>1167.598</v>
      </c>
      <c r="AG7657">
        <f>IFERROR(AH7657*0.1, "N/A")</f>
        <v>5.7</v>
      </c>
      <c r="AH7657">
        <v>57</v>
      </c>
      <c r="AI7657">
        <v>234.61340000000001</v>
      </c>
      <c r="AJ7657">
        <v>19.070180000000001</v>
      </c>
      <c r="AK7657">
        <v>65.280699999999996</v>
      </c>
    </row>
    <row r="7658" spans="1:37" x14ac:dyDescent="0.3">
      <c r="A7658">
        <v>7657</v>
      </c>
      <c r="B7658">
        <v>16.7</v>
      </c>
      <c r="C7658">
        <v>34.3857</v>
      </c>
      <c r="D7658">
        <v>-0.18318999999999999</v>
      </c>
      <c r="E7658" t="s">
        <v>11381</v>
      </c>
      <c r="F7658" t="s">
        <v>11382</v>
      </c>
      <c r="G7658" t="s">
        <v>37</v>
      </c>
      <c r="H7658">
        <v>2008</v>
      </c>
      <c r="I7658">
        <v>22.642959999999999</v>
      </c>
      <c r="J7658">
        <v>13.5</v>
      </c>
      <c r="K7658">
        <v>85</v>
      </c>
      <c r="L7658">
        <v>6.4742959999999998</v>
      </c>
      <c r="M7658">
        <v>30.842960000000001</v>
      </c>
      <c r="N7658">
        <v>15.14296</v>
      </c>
      <c r="O7658">
        <v>15.7</v>
      </c>
      <c r="P7658">
        <v>22.942959999999999</v>
      </c>
      <c r="Q7658">
        <v>22.541550000000001</v>
      </c>
      <c r="R7658">
        <v>23.442959999999999</v>
      </c>
      <c r="S7658">
        <v>21.74296</v>
      </c>
      <c r="T7658">
        <v>1128.268</v>
      </c>
      <c r="U7658">
        <v>195.71129999999999</v>
      </c>
      <c r="V7658">
        <v>41</v>
      </c>
      <c r="W7658">
        <v>45</v>
      </c>
      <c r="X7658">
        <v>473.99299999999999</v>
      </c>
      <c r="Y7658">
        <v>196.14080000000001</v>
      </c>
      <c r="Z7658">
        <v>235.57040000000001</v>
      </c>
      <c r="AA7658">
        <v>197.85210000000001</v>
      </c>
      <c r="AB7658">
        <v>30.47588</v>
      </c>
      <c r="AC7658">
        <v>1.5906759999999999E-2</v>
      </c>
      <c r="AD7658">
        <v>1.3172759999999999</v>
      </c>
      <c r="AE7658">
        <v>0.68279610000000002</v>
      </c>
      <c r="AF7658">
        <v>1160.704</v>
      </c>
      <c r="AG7658">
        <f>IFERROR(AH7658*0.1, "N/A")</f>
        <v>5.7</v>
      </c>
      <c r="AH7658">
        <v>57</v>
      </c>
      <c r="AI7658">
        <v>224.4374</v>
      </c>
      <c r="AJ7658">
        <v>28.5</v>
      </c>
      <c r="AK7658">
        <v>55.010559999999998</v>
      </c>
    </row>
    <row r="7659" spans="1:37" x14ac:dyDescent="0.3">
      <c r="A7659">
        <v>7658</v>
      </c>
      <c r="B7659">
        <v>0</v>
      </c>
      <c r="C7659">
        <v>34.387500000000003</v>
      </c>
      <c r="D7659">
        <v>-0.18737000000000001</v>
      </c>
      <c r="E7659" t="s">
        <v>11383</v>
      </c>
      <c r="F7659" t="s">
        <v>11384</v>
      </c>
      <c r="G7659" t="s">
        <v>37</v>
      </c>
      <c r="H7659">
        <v>0</v>
      </c>
      <c r="I7659">
        <v>22.7</v>
      </c>
      <c r="J7659">
        <v>13.5</v>
      </c>
      <c r="K7659">
        <v>85</v>
      </c>
      <c r="L7659">
        <v>6.48</v>
      </c>
      <c r="M7659">
        <v>30.9</v>
      </c>
      <c r="N7659">
        <v>15.2</v>
      </c>
      <c r="O7659">
        <v>15.7</v>
      </c>
      <c r="P7659">
        <v>23</v>
      </c>
      <c r="Q7659">
        <v>21.8</v>
      </c>
      <c r="R7659">
        <v>23.5</v>
      </c>
      <c r="S7659">
        <v>21.8</v>
      </c>
      <c r="T7659">
        <v>1118</v>
      </c>
      <c r="U7659">
        <v>194</v>
      </c>
      <c r="V7659">
        <v>41</v>
      </c>
      <c r="W7659">
        <v>45</v>
      </c>
      <c r="X7659">
        <v>470</v>
      </c>
      <c r="Y7659">
        <v>195</v>
      </c>
      <c r="Z7659">
        <v>235</v>
      </c>
      <c r="AA7659">
        <v>195</v>
      </c>
      <c r="AB7659">
        <v>10.584020000000001</v>
      </c>
      <c r="AC7659">
        <v>1.641842E-2</v>
      </c>
      <c r="AD7659">
        <v>4.051355</v>
      </c>
      <c r="AE7659">
        <v>0.64204369999999999</v>
      </c>
      <c r="AF7659">
        <v>1142.3499999999999</v>
      </c>
      <c r="AG7659">
        <f>IFERROR(AH7659*0.1, "N/A")</f>
        <v>5.8003520000000002</v>
      </c>
      <c r="AH7659">
        <v>58.003520000000002</v>
      </c>
      <c r="AI7659">
        <v>170.5941</v>
      </c>
      <c r="AJ7659">
        <v>31.00704</v>
      </c>
      <c r="AK7659">
        <v>52.494720000000001</v>
      </c>
    </row>
    <row r="7660" spans="1:37" x14ac:dyDescent="0.3">
      <c r="A7660">
        <v>7659</v>
      </c>
      <c r="B7660">
        <v>27.5</v>
      </c>
      <c r="C7660">
        <v>34.980800000000002</v>
      </c>
      <c r="D7660">
        <v>-0.19073399999999999</v>
      </c>
      <c r="E7660" t="s">
        <v>11385</v>
      </c>
      <c r="F7660" t="s">
        <v>11386</v>
      </c>
      <c r="G7660" t="s">
        <v>39</v>
      </c>
      <c r="H7660">
        <v>1971</v>
      </c>
      <c r="I7660">
        <v>22.90493</v>
      </c>
      <c r="J7660">
        <v>14.5</v>
      </c>
      <c r="K7660">
        <v>86.950699999999998</v>
      </c>
      <c r="L7660">
        <v>5.1549300000000002</v>
      </c>
      <c r="M7660">
        <v>31.60493</v>
      </c>
      <c r="N7660">
        <v>15.09507</v>
      </c>
      <c r="O7660">
        <v>16.50986</v>
      </c>
      <c r="P7660">
        <v>23.10493</v>
      </c>
      <c r="Q7660">
        <v>22.3</v>
      </c>
      <c r="R7660">
        <v>23.6</v>
      </c>
      <c r="S7660">
        <v>22.2</v>
      </c>
      <c r="T7660">
        <v>1216.951</v>
      </c>
      <c r="U7660">
        <v>198</v>
      </c>
      <c r="V7660">
        <v>63</v>
      </c>
      <c r="W7660">
        <v>38</v>
      </c>
      <c r="X7660">
        <v>484</v>
      </c>
      <c r="Y7660">
        <v>221</v>
      </c>
      <c r="Z7660">
        <v>297</v>
      </c>
      <c r="AA7660">
        <v>229</v>
      </c>
      <c r="AB7660">
        <v>1.952529</v>
      </c>
      <c r="AC7660">
        <v>1.3965440000000001E-2</v>
      </c>
      <c r="AD7660">
        <v>1.2369460000000001</v>
      </c>
      <c r="AE7660">
        <v>0.72550939999999997</v>
      </c>
      <c r="AF7660">
        <v>1152.8589999999999</v>
      </c>
      <c r="AG7660">
        <f>IFERROR(AH7660*0.1, "N/A")</f>
        <v>7.3096829999999997</v>
      </c>
      <c r="AH7660">
        <v>73.096829999999997</v>
      </c>
      <c r="AI7660">
        <v>92.022279999999995</v>
      </c>
      <c r="AJ7660">
        <v>36.903170000000003</v>
      </c>
      <c r="AK7660">
        <v>44.882040000000003</v>
      </c>
    </row>
    <row r="7661" spans="1:37" x14ac:dyDescent="0.3">
      <c r="A7661">
        <v>7660</v>
      </c>
      <c r="B7661">
        <v>4</v>
      </c>
      <c r="C7661">
        <v>34.952500000000001</v>
      </c>
      <c r="D7661">
        <v>-0.19547300000000001</v>
      </c>
      <c r="E7661" t="s">
        <v>11387</v>
      </c>
      <c r="F7661" t="s">
        <v>11388</v>
      </c>
      <c r="G7661" t="s">
        <v>39</v>
      </c>
      <c r="H7661">
        <v>1971</v>
      </c>
      <c r="I7661">
        <v>23</v>
      </c>
      <c r="J7661">
        <v>14.4</v>
      </c>
      <c r="K7661">
        <v>87</v>
      </c>
      <c r="L7661">
        <v>5.22</v>
      </c>
      <c r="M7661">
        <v>31.6</v>
      </c>
      <c r="N7661">
        <v>15.2</v>
      </c>
      <c r="O7661">
        <v>16.399999999999999</v>
      </c>
      <c r="P7661">
        <v>23.2</v>
      </c>
      <c r="Q7661">
        <v>22.4</v>
      </c>
      <c r="R7661">
        <v>23.6</v>
      </c>
      <c r="S7661">
        <v>22.2</v>
      </c>
      <c r="T7661">
        <v>1210</v>
      </c>
      <c r="U7661">
        <v>197</v>
      </c>
      <c r="V7661">
        <v>63</v>
      </c>
      <c r="W7661">
        <v>38</v>
      </c>
      <c r="X7661">
        <v>484</v>
      </c>
      <c r="Y7661">
        <v>217</v>
      </c>
      <c r="Z7661">
        <v>297</v>
      </c>
      <c r="AA7661">
        <v>224</v>
      </c>
      <c r="AB7661">
        <v>0.90312000000000003</v>
      </c>
      <c r="AC7661">
        <v>0.39747359999999998</v>
      </c>
      <c r="AD7661">
        <v>1.3557319999999999</v>
      </c>
      <c r="AE7661">
        <v>0.73389680000000002</v>
      </c>
      <c r="AF7661">
        <v>1144.31</v>
      </c>
      <c r="AG7661">
        <f>IFERROR(AH7661*0.1, "N/A")</f>
        <v>7.3880280000000003</v>
      </c>
      <c r="AH7661">
        <v>73.880279999999999</v>
      </c>
      <c r="AI7661">
        <v>132.018</v>
      </c>
      <c r="AJ7661">
        <v>39.239440000000002</v>
      </c>
      <c r="AK7661">
        <v>40.880279999999999</v>
      </c>
    </row>
    <row r="7662" spans="1:37" x14ac:dyDescent="0.3">
      <c r="A7662">
        <v>7661</v>
      </c>
      <c r="B7662">
        <v>0</v>
      </c>
      <c r="C7662">
        <v>34.827800000000003</v>
      </c>
      <c r="D7662">
        <v>-0.197654</v>
      </c>
      <c r="E7662" t="s">
        <v>11389</v>
      </c>
      <c r="F7662" t="s">
        <v>11390</v>
      </c>
      <c r="G7662" t="s">
        <v>39</v>
      </c>
      <c r="H7662">
        <v>1971</v>
      </c>
      <c r="I7662">
        <v>23</v>
      </c>
      <c r="J7662">
        <v>14.1</v>
      </c>
      <c r="K7662">
        <v>85</v>
      </c>
      <c r="L7662">
        <v>6.16</v>
      </c>
      <c r="M7662">
        <v>31.6</v>
      </c>
      <c r="N7662">
        <v>15.2</v>
      </c>
      <c r="O7662">
        <v>16.399999999999999</v>
      </c>
      <c r="P7662">
        <v>23.3</v>
      </c>
      <c r="Q7662">
        <v>22.3</v>
      </c>
      <c r="R7662">
        <v>23.8</v>
      </c>
      <c r="S7662">
        <v>22.1</v>
      </c>
      <c r="T7662">
        <v>1216</v>
      </c>
      <c r="U7662">
        <v>199</v>
      </c>
      <c r="V7662">
        <v>59</v>
      </c>
      <c r="W7662">
        <v>40</v>
      </c>
      <c r="X7662">
        <v>495</v>
      </c>
      <c r="Y7662">
        <v>218</v>
      </c>
      <c r="Z7662">
        <v>291</v>
      </c>
      <c r="AA7662">
        <v>220</v>
      </c>
      <c r="AB7662">
        <v>1.1438699999999999</v>
      </c>
      <c r="AC7662">
        <v>1.3691490000000001E-2</v>
      </c>
      <c r="AD7662">
        <v>1.449184</v>
      </c>
      <c r="AE7662">
        <v>0.73208139999999999</v>
      </c>
      <c r="AF7662">
        <v>1138.623</v>
      </c>
      <c r="AG7662">
        <f>IFERROR(AH7662*0.1, "N/A")</f>
        <v>6.4</v>
      </c>
      <c r="AH7662">
        <v>64</v>
      </c>
      <c r="AI7662">
        <v>157.0257</v>
      </c>
      <c r="AJ7662">
        <v>43</v>
      </c>
      <c r="AK7662">
        <v>38</v>
      </c>
    </row>
    <row r="7663" spans="1:37" x14ac:dyDescent="0.3">
      <c r="A7663">
        <v>7662</v>
      </c>
      <c r="B7663">
        <v>9.8000000000000007</v>
      </c>
      <c r="C7663">
        <v>34.827800000000003</v>
      </c>
      <c r="D7663">
        <v>-0.197654</v>
      </c>
      <c r="E7663" t="s">
        <v>11389</v>
      </c>
      <c r="F7663" t="s">
        <v>11391</v>
      </c>
      <c r="G7663" t="s">
        <v>37</v>
      </c>
      <c r="H7663">
        <v>1971</v>
      </c>
      <c r="I7663">
        <v>23</v>
      </c>
      <c r="J7663">
        <v>14.1</v>
      </c>
      <c r="K7663">
        <v>85</v>
      </c>
      <c r="L7663">
        <v>6.16</v>
      </c>
      <c r="M7663">
        <v>31.6</v>
      </c>
      <c r="N7663">
        <v>15.2</v>
      </c>
      <c r="O7663">
        <v>16.399999999999999</v>
      </c>
      <c r="P7663">
        <v>23.3</v>
      </c>
      <c r="Q7663">
        <v>22.3</v>
      </c>
      <c r="R7663">
        <v>23.8</v>
      </c>
      <c r="S7663">
        <v>22.1</v>
      </c>
      <c r="T7663">
        <v>1216</v>
      </c>
      <c r="U7663">
        <v>199</v>
      </c>
      <c r="V7663">
        <v>59</v>
      </c>
      <c r="W7663">
        <v>40</v>
      </c>
      <c r="X7663">
        <v>495</v>
      </c>
      <c r="Y7663">
        <v>218</v>
      </c>
      <c r="Z7663">
        <v>291</v>
      </c>
      <c r="AA7663">
        <v>220</v>
      </c>
      <c r="AB7663">
        <v>1.1438699999999999</v>
      </c>
      <c r="AC7663">
        <v>1.3691490000000001E-2</v>
      </c>
      <c r="AD7663">
        <v>1.449184</v>
      </c>
      <c r="AE7663">
        <v>0.73208139999999999</v>
      </c>
      <c r="AF7663">
        <v>1138.623</v>
      </c>
      <c r="AG7663">
        <f>IFERROR(AH7663*0.1, "N/A")</f>
        <v>6.4</v>
      </c>
      <c r="AH7663">
        <v>64</v>
      </c>
      <c r="AI7663">
        <v>157.0257</v>
      </c>
      <c r="AJ7663">
        <v>43</v>
      </c>
      <c r="AK7663">
        <v>38</v>
      </c>
    </row>
    <row r="7664" spans="1:37" x14ac:dyDescent="0.3">
      <c r="A7664">
        <v>7663</v>
      </c>
      <c r="B7664">
        <v>16.399999999999999</v>
      </c>
      <c r="C7664">
        <v>34.833300000000001</v>
      </c>
      <c r="D7664">
        <v>-0.21667</v>
      </c>
      <c r="E7664" t="s">
        <v>11392</v>
      </c>
      <c r="F7664" t="s">
        <v>11393</v>
      </c>
      <c r="G7664" t="s">
        <v>37</v>
      </c>
      <c r="H7664">
        <v>1979</v>
      </c>
      <c r="I7664">
        <v>23</v>
      </c>
      <c r="J7664">
        <v>14.2</v>
      </c>
      <c r="K7664">
        <v>86</v>
      </c>
      <c r="L7664">
        <v>5.5875219999999999</v>
      </c>
      <c r="M7664">
        <v>31.6</v>
      </c>
      <c r="N7664">
        <v>15.2</v>
      </c>
      <c r="O7664">
        <v>16.399999999999999</v>
      </c>
      <c r="P7664">
        <v>23.2</v>
      </c>
      <c r="Q7664">
        <v>22.4</v>
      </c>
      <c r="R7664">
        <v>23.7</v>
      </c>
      <c r="S7664">
        <v>22.2</v>
      </c>
      <c r="T7664">
        <v>1204.877</v>
      </c>
      <c r="U7664">
        <v>195.3603</v>
      </c>
      <c r="V7664">
        <v>58.275919999999999</v>
      </c>
      <c r="W7664">
        <v>40</v>
      </c>
      <c r="X7664">
        <v>490.08440000000002</v>
      </c>
      <c r="Y7664">
        <v>216</v>
      </c>
      <c r="Z7664">
        <v>287.4323</v>
      </c>
      <c r="AA7664">
        <v>219</v>
      </c>
      <c r="AB7664">
        <v>0.55414470000000005</v>
      </c>
      <c r="AC7664">
        <v>0.25303890000000001</v>
      </c>
      <c r="AD7664">
        <v>1.032518</v>
      </c>
      <c r="AE7664">
        <v>0.70148449999999996</v>
      </c>
      <c r="AF7664">
        <v>1136.5150000000001</v>
      </c>
      <c r="AG7664">
        <f>IFERROR(AH7664*0.1, "N/A")</f>
        <v>6.3975400000000002</v>
      </c>
      <c r="AH7664">
        <v>63.9754</v>
      </c>
      <c r="AI7664">
        <v>264.60050000000001</v>
      </c>
      <c r="AJ7664">
        <v>43.326889999999999</v>
      </c>
      <c r="AK7664">
        <v>34.982430000000001</v>
      </c>
    </row>
    <row r="7665" spans="1:37" x14ac:dyDescent="0.3">
      <c r="A7665">
        <v>7664</v>
      </c>
      <c r="B7665">
        <v>0</v>
      </c>
      <c r="C7665">
        <v>34.873199999999997</v>
      </c>
      <c r="D7665">
        <v>-0.216866</v>
      </c>
      <c r="E7665" t="s">
        <v>11394</v>
      </c>
      <c r="F7665" t="s">
        <v>11395</v>
      </c>
      <c r="G7665" t="s">
        <v>39</v>
      </c>
      <c r="H7665">
        <v>1971</v>
      </c>
      <c r="I7665">
        <v>23</v>
      </c>
      <c r="J7665">
        <v>14.3</v>
      </c>
      <c r="K7665">
        <v>87</v>
      </c>
      <c r="L7665">
        <v>5.528187</v>
      </c>
      <c r="M7665">
        <v>31.6</v>
      </c>
      <c r="N7665">
        <v>15.222009999999999</v>
      </c>
      <c r="O7665">
        <v>16.37799</v>
      </c>
      <c r="P7665">
        <v>23.277989999999999</v>
      </c>
      <c r="Q7665">
        <v>22.4</v>
      </c>
      <c r="R7665">
        <v>23.7</v>
      </c>
      <c r="S7665">
        <v>22.2</v>
      </c>
      <c r="T7665">
        <v>1203.6600000000001</v>
      </c>
      <c r="U7665">
        <v>195.2201</v>
      </c>
      <c r="V7665">
        <v>60</v>
      </c>
      <c r="W7665">
        <v>39</v>
      </c>
      <c r="X7665">
        <v>487.2201</v>
      </c>
      <c r="Y7665">
        <v>216</v>
      </c>
      <c r="Z7665">
        <v>291.2201</v>
      </c>
      <c r="AA7665">
        <v>220</v>
      </c>
      <c r="AB7665">
        <v>2.0016379999999998</v>
      </c>
      <c r="AC7665">
        <v>9.4206359999999996E-3</v>
      </c>
      <c r="AD7665">
        <v>0.54704030000000003</v>
      </c>
      <c r="AE7665">
        <v>0.67679350000000005</v>
      </c>
      <c r="AF7665">
        <v>1139.982</v>
      </c>
      <c r="AG7665">
        <f>IFERROR(AH7665*0.1, "N/A")</f>
        <v>6.6915490000000011</v>
      </c>
      <c r="AH7665">
        <v>66.915490000000005</v>
      </c>
      <c r="AI7665">
        <v>106.8777</v>
      </c>
      <c r="AJ7665">
        <v>44.943660000000001</v>
      </c>
      <c r="AK7665">
        <v>33.056339999999999</v>
      </c>
    </row>
    <row r="7666" spans="1:37" x14ac:dyDescent="0.3">
      <c r="A7666">
        <v>7665</v>
      </c>
      <c r="B7666">
        <v>10</v>
      </c>
      <c r="C7666">
        <v>34.873199999999997</v>
      </c>
      <c r="D7666">
        <v>-0.216866</v>
      </c>
      <c r="E7666" t="s">
        <v>11394</v>
      </c>
      <c r="F7666" t="s">
        <v>11396</v>
      </c>
      <c r="G7666" t="s">
        <v>37</v>
      </c>
      <c r="H7666">
        <v>1971</v>
      </c>
      <c r="I7666">
        <v>23</v>
      </c>
      <c r="J7666">
        <v>14.3</v>
      </c>
      <c r="K7666">
        <v>87</v>
      </c>
      <c r="L7666">
        <v>5.528187</v>
      </c>
      <c r="M7666">
        <v>31.6</v>
      </c>
      <c r="N7666">
        <v>15.222009999999999</v>
      </c>
      <c r="O7666">
        <v>16.37799</v>
      </c>
      <c r="P7666">
        <v>23.277989999999999</v>
      </c>
      <c r="Q7666">
        <v>22.4</v>
      </c>
      <c r="R7666">
        <v>23.7</v>
      </c>
      <c r="S7666">
        <v>22.2</v>
      </c>
      <c r="T7666">
        <v>1203.6600000000001</v>
      </c>
      <c r="U7666">
        <v>195.2201</v>
      </c>
      <c r="V7666">
        <v>60</v>
      </c>
      <c r="W7666">
        <v>39</v>
      </c>
      <c r="X7666">
        <v>487.2201</v>
      </c>
      <c r="Y7666">
        <v>216</v>
      </c>
      <c r="Z7666">
        <v>291.2201</v>
      </c>
      <c r="AA7666">
        <v>220</v>
      </c>
      <c r="AB7666">
        <v>2.0016379999999998</v>
      </c>
      <c r="AC7666">
        <v>9.4206359999999996E-3</v>
      </c>
      <c r="AD7666">
        <v>0.54704030000000003</v>
      </c>
      <c r="AE7666">
        <v>0.67679350000000005</v>
      </c>
      <c r="AF7666">
        <v>1139.982</v>
      </c>
      <c r="AG7666">
        <f>IFERROR(AH7666*0.1, "N/A")</f>
        <v>6.6915490000000011</v>
      </c>
      <c r="AH7666">
        <v>66.915490000000005</v>
      </c>
      <c r="AI7666">
        <v>106.8777</v>
      </c>
      <c r="AJ7666">
        <v>44.943660000000001</v>
      </c>
      <c r="AK7666">
        <v>33.056339999999999</v>
      </c>
    </row>
    <row r="7667" spans="1:37" x14ac:dyDescent="0.3">
      <c r="A7667">
        <v>7666</v>
      </c>
      <c r="B7667">
        <v>2.5</v>
      </c>
      <c r="C7667">
        <v>34.837600000000002</v>
      </c>
      <c r="D7667">
        <v>-0.21703700000000001</v>
      </c>
      <c r="E7667" t="s">
        <v>11397</v>
      </c>
      <c r="F7667" t="s">
        <v>11398</v>
      </c>
      <c r="G7667" t="s">
        <v>39</v>
      </c>
      <c r="H7667">
        <v>1971</v>
      </c>
      <c r="I7667">
        <v>23</v>
      </c>
      <c r="J7667">
        <v>14.2</v>
      </c>
      <c r="K7667">
        <v>86</v>
      </c>
      <c r="L7667">
        <v>5.4965140000000003</v>
      </c>
      <c r="M7667">
        <v>31.6</v>
      </c>
      <c r="N7667">
        <v>15.2</v>
      </c>
      <c r="O7667">
        <v>16.399999999999999</v>
      </c>
      <c r="P7667">
        <v>23.2</v>
      </c>
      <c r="Q7667">
        <v>22.4</v>
      </c>
      <c r="R7667">
        <v>23.7</v>
      </c>
      <c r="S7667">
        <v>22.2</v>
      </c>
      <c r="T7667">
        <v>1204.354</v>
      </c>
      <c r="U7667">
        <v>195.11799999999999</v>
      </c>
      <c r="V7667">
        <v>58.117959999999997</v>
      </c>
      <c r="W7667">
        <v>40</v>
      </c>
      <c r="X7667">
        <v>490</v>
      </c>
      <c r="Y7667">
        <v>216</v>
      </c>
      <c r="Z7667">
        <v>287.23590000000002</v>
      </c>
      <c r="AA7667">
        <v>219</v>
      </c>
      <c r="AB7667">
        <v>3.1203910000000001</v>
      </c>
      <c r="AC7667">
        <v>9.3754890000000007E-3</v>
      </c>
      <c r="AD7667">
        <v>1.4535169999999999</v>
      </c>
      <c r="AE7667">
        <v>0.68771389999999999</v>
      </c>
      <c r="AF7667">
        <v>1141.1320000000001</v>
      </c>
      <c r="AG7667">
        <f>IFERROR(AH7667*0.1, "N/A")</f>
        <v>6.5998239999999999</v>
      </c>
      <c r="AH7667">
        <v>65.998239999999996</v>
      </c>
      <c r="AI7667">
        <v>153.51560000000001</v>
      </c>
      <c r="AJ7667">
        <v>45.260559999999998</v>
      </c>
      <c r="AK7667">
        <v>34.459510000000002</v>
      </c>
    </row>
    <row r="7668" spans="1:37" x14ac:dyDescent="0.3">
      <c r="A7668">
        <v>7667</v>
      </c>
      <c r="B7668">
        <v>2</v>
      </c>
      <c r="C7668">
        <v>34.837600000000002</v>
      </c>
      <c r="D7668">
        <v>-0.21703700000000001</v>
      </c>
      <c r="E7668" t="s">
        <v>11397</v>
      </c>
      <c r="F7668" t="s">
        <v>11399</v>
      </c>
      <c r="G7668" t="s">
        <v>37</v>
      </c>
      <c r="H7668">
        <v>1971</v>
      </c>
      <c r="I7668">
        <v>23</v>
      </c>
      <c r="J7668">
        <v>14.2</v>
      </c>
      <c r="K7668">
        <v>86</v>
      </c>
      <c r="L7668">
        <v>5.4965140000000003</v>
      </c>
      <c r="M7668">
        <v>31.6</v>
      </c>
      <c r="N7668">
        <v>15.2</v>
      </c>
      <c r="O7668">
        <v>16.399999999999999</v>
      </c>
      <c r="P7668">
        <v>23.2</v>
      </c>
      <c r="Q7668">
        <v>22.4</v>
      </c>
      <c r="R7668">
        <v>23.7</v>
      </c>
      <c r="S7668">
        <v>22.2</v>
      </c>
      <c r="T7668">
        <v>1204.354</v>
      </c>
      <c r="U7668">
        <v>195.11799999999999</v>
      </c>
      <c r="V7668">
        <v>58.117959999999997</v>
      </c>
      <c r="W7668">
        <v>40</v>
      </c>
      <c r="X7668">
        <v>490</v>
      </c>
      <c r="Y7668">
        <v>216</v>
      </c>
      <c r="Z7668">
        <v>287.23590000000002</v>
      </c>
      <c r="AA7668">
        <v>219</v>
      </c>
      <c r="AB7668">
        <v>3.1203910000000001</v>
      </c>
      <c r="AC7668">
        <v>9.3754890000000007E-3</v>
      </c>
      <c r="AD7668">
        <v>1.4535169999999999</v>
      </c>
      <c r="AE7668">
        <v>0.68771389999999999</v>
      </c>
      <c r="AF7668">
        <v>1141.1320000000001</v>
      </c>
      <c r="AG7668">
        <f>IFERROR(AH7668*0.1, "N/A")</f>
        <v>6.5998239999999999</v>
      </c>
      <c r="AH7668">
        <v>65.998239999999996</v>
      </c>
      <c r="AI7668">
        <v>153.51560000000001</v>
      </c>
      <c r="AJ7668">
        <v>45.260559999999998</v>
      </c>
      <c r="AK7668">
        <v>34.459510000000002</v>
      </c>
    </row>
    <row r="7669" spans="1:37" x14ac:dyDescent="0.3">
      <c r="A7669">
        <v>7668</v>
      </c>
      <c r="B7669">
        <v>2.5</v>
      </c>
      <c r="C7669">
        <v>34.847499999999997</v>
      </c>
      <c r="D7669">
        <v>-0.23033400000000001</v>
      </c>
      <c r="E7669" t="s">
        <v>11400</v>
      </c>
      <c r="F7669" t="s">
        <v>11401</v>
      </c>
      <c r="G7669" t="s">
        <v>37</v>
      </c>
      <c r="H7669">
        <v>1971</v>
      </c>
      <c r="I7669">
        <v>23</v>
      </c>
      <c r="J7669">
        <v>14.3</v>
      </c>
      <c r="K7669">
        <v>87</v>
      </c>
      <c r="L7669">
        <v>5.45</v>
      </c>
      <c r="M7669">
        <v>31.6</v>
      </c>
      <c r="N7669">
        <v>15.2</v>
      </c>
      <c r="O7669">
        <v>16.399999999999999</v>
      </c>
      <c r="P7669">
        <v>23.2</v>
      </c>
      <c r="Q7669">
        <v>22.3</v>
      </c>
      <c r="R7669">
        <v>23.7</v>
      </c>
      <c r="S7669">
        <v>22.2</v>
      </c>
      <c r="T7669">
        <v>1199</v>
      </c>
      <c r="U7669">
        <v>193</v>
      </c>
      <c r="V7669">
        <v>58</v>
      </c>
      <c r="W7669">
        <v>40</v>
      </c>
      <c r="X7669">
        <v>486</v>
      </c>
      <c r="Y7669">
        <v>216</v>
      </c>
      <c r="Z7669">
        <v>286</v>
      </c>
      <c r="AA7669">
        <v>220</v>
      </c>
      <c r="AB7669">
        <v>1.0797680000000001</v>
      </c>
      <c r="AC7669">
        <v>1.5274660000000001E-2</v>
      </c>
      <c r="AD7669">
        <v>1.132071</v>
      </c>
      <c r="AE7669">
        <v>0.71471629999999997</v>
      </c>
      <c r="AF7669">
        <v>1137.155</v>
      </c>
      <c r="AG7669">
        <f>IFERROR(AH7669*0.1, "N/A")</f>
        <v>6.5147890000000004</v>
      </c>
      <c r="AH7669">
        <v>65.147890000000004</v>
      </c>
      <c r="AI7669">
        <v>205.61320000000001</v>
      </c>
      <c r="AJ7669">
        <v>45</v>
      </c>
      <c r="AK7669">
        <v>35.295769999999997</v>
      </c>
    </row>
    <row r="7670" spans="1:37" x14ac:dyDescent="0.3">
      <c r="A7670">
        <v>7669</v>
      </c>
      <c r="B7670">
        <v>25</v>
      </c>
      <c r="C7670">
        <v>34.956800000000001</v>
      </c>
      <c r="D7670">
        <v>-0.24101900000000001</v>
      </c>
      <c r="E7670" t="s">
        <v>11402</v>
      </c>
      <c r="F7670" t="s">
        <v>11403</v>
      </c>
      <c r="G7670" t="s">
        <v>39</v>
      </c>
      <c r="H7670">
        <v>1971</v>
      </c>
      <c r="I7670">
        <v>22.99578</v>
      </c>
      <c r="J7670">
        <v>14.5</v>
      </c>
      <c r="K7670">
        <v>86</v>
      </c>
      <c r="L7670">
        <v>5.3956059999999999</v>
      </c>
      <c r="M7670">
        <v>31.7</v>
      </c>
      <c r="N7670">
        <v>14.99578</v>
      </c>
      <c r="O7670">
        <v>16.704219999999999</v>
      </c>
      <c r="P7670">
        <v>23.2</v>
      </c>
      <c r="Q7670">
        <v>22.295780000000001</v>
      </c>
      <c r="R7670">
        <v>23.6</v>
      </c>
      <c r="S7670">
        <v>22.195779999999999</v>
      </c>
      <c r="T7670">
        <v>1208.0419999999999</v>
      </c>
      <c r="U7670">
        <v>195</v>
      </c>
      <c r="V7670">
        <v>61</v>
      </c>
      <c r="W7670">
        <v>38.042180000000002</v>
      </c>
      <c r="X7670">
        <v>484.04219999999998</v>
      </c>
      <c r="Y7670">
        <v>218</v>
      </c>
      <c r="Z7670">
        <v>293.95780000000002</v>
      </c>
      <c r="AA7670">
        <v>225</v>
      </c>
      <c r="AB7670">
        <v>4.0779240000000003</v>
      </c>
      <c r="AC7670">
        <v>1.4466629999999999E-2</v>
      </c>
      <c r="AD7670">
        <v>0.93747480000000005</v>
      </c>
      <c r="AE7670">
        <v>0.74330629999999998</v>
      </c>
      <c r="AF7670">
        <v>1149.1690000000001</v>
      </c>
      <c r="AG7670">
        <f>IFERROR(AH7670*0.1, "N/A")</f>
        <v>6.8595780000000008</v>
      </c>
      <c r="AH7670">
        <v>68.595780000000005</v>
      </c>
      <c r="AI7670">
        <v>174.3569</v>
      </c>
      <c r="AJ7670">
        <v>37.724080000000001</v>
      </c>
      <c r="AK7670">
        <v>43.275919999999999</v>
      </c>
    </row>
    <row r="7671" spans="1:37" x14ac:dyDescent="0.3">
      <c r="A7671">
        <v>7670</v>
      </c>
      <c r="B7671">
        <v>22.9</v>
      </c>
      <c r="C7671">
        <v>34.956800000000001</v>
      </c>
      <c r="D7671">
        <v>-0.24101900000000001</v>
      </c>
      <c r="E7671" t="s">
        <v>11402</v>
      </c>
      <c r="F7671" t="s">
        <v>11404</v>
      </c>
      <c r="G7671" t="s">
        <v>37</v>
      </c>
      <c r="H7671">
        <v>1971</v>
      </c>
      <c r="I7671">
        <v>22.99578</v>
      </c>
      <c r="J7671">
        <v>14.5</v>
      </c>
      <c r="K7671">
        <v>86</v>
      </c>
      <c r="L7671">
        <v>5.3956059999999999</v>
      </c>
      <c r="M7671">
        <v>31.7</v>
      </c>
      <c r="N7671">
        <v>14.99578</v>
      </c>
      <c r="O7671">
        <v>16.704219999999999</v>
      </c>
      <c r="P7671">
        <v>23.2</v>
      </c>
      <c r="Q7671">
        <v>22.295780000000001</v>
      </c>
      <c r="R7671">
        <v>23.6</v>
      </c>
      <c r="S7671">
        <v>22.195779999999999</v>
      </c>
      <c r="T7671">
        <v>1208.0419999999999</v>
      </c>
      <c r="U7671">
        <v>195</v>
      </c>
      <c r="V7671">
        <v>61</v>
      </c>
      <c r="W7671">
        <v>38.042180000000002</v>
      </c>
      <c r="X7671">
        <v>484.04219999999998</v>
      </c>
      <c r="Y7671">
        <v>218</v>
      </c>
      <c r="Z7671">
        <v>293.95780000000002</v>
      </c>
      <c r="AA7671">
        <v>225</v>
      </c>
      <c r="AB7671">
        <v>4.0779240000000003</v>
      </c>
      <c r="AC7671">
        <v>1.4466629999999999E-2</v>
      </c>
      <c r="AD7671">
        <v>0.93747480000000005</v>
      </c>
      <c r="AE7671">
        <v>0.74330629999999998</v>
      </c>
      <c r="AF7671">
        <v>1149.1690000000001</v>
      </c>
      <c r="AG7671">
        <f>IFERROR(AH7671*0.1, "N/A")</f>
        <v>6.8595780000000008</v>
      </c>
      <c r="AH7671">
        <v>68.595780000000005</v>
      </c>
      <c r="AI7671">
        <v>174.3569</v>
      </c>
      <c r="AJ7671">
        <v>37.724080000000001</v>
      </c>
      <c r="AK7671">
        <v>43.275919999999999</v>
      </c>
    </row>
    <row r="7672" spans="1:37" x14ac:dyDescent="0.3">
      <c r="A7672">
        <v>7671</v>
      </c>
      <c r="B7672">
        <v>23.8</v>
      </c>
      <c r="C7672">
        <v>34.850099999999998</v>
      </c>
      <c r="D7672">
        <v>-0.24710399999999999</v>
      </c>
      <c r="E7672" t="s">
        <v>11405</v>
      </c>
      <c r="F7672" t="s">
        <v>11406</v>
      </c>
      <c r="G7672" t="s">
        <v>37</v>
      </c>
      <c r="H7672">
        <v>1971</v>
      </c>
      <c r="I7672">
        <v>22.9</v>
      </c>
      <c r="J7672">
        <v>14.3</v>
      </c>
      <c r="K7672">
        <v>87</v>
      </c>
      <c r="L7672">
        <v>5.6670999999999996</v>
      </c>
      <c r="M7672">
        <v>31.5</v>
      </c>
      <c r="N7672">
        <v>15.1</v>
      </c>
      <c r="O7672">
        <v>16.399999999999999</v>
      </c>
      <c r="P7672">
        <v>23.2</v>
      </c>
      <c r="Q7672">
        <v>22.2</v>
      </c>
      <c r="R7672">
        <v>23.6</v>
      </c>
      <c r="S7672">
        <v>22.1</v>
      </c>
      <c r="T7672">
        <v>1194.529</v>
      </c>
      <c r="U7672">
        <v>191</v>
      </c>
      <c r="V7672">
        <v>57</v>
      </c>
      <c r="W7672">
        <v>39</v>
      </c>
      <c r="X7672">
        <v>484</v>
      </c>
      <c r="Y7672">
        <v>216.529</v>
      </c>
      <c r="Z7672">
        <v>283.471</v>
      </c>
      <c r="AA7672">
        <v>220.529</v>
      </c>
      <c r="AB7672">
        <v>1.2836799999999999</v>
      </c>
      <c r="AC7672">
        <v>8.5477790000000001E-3</v>
      </c>
      <c r="AD7672">
        <v>1.4159820000000001</v>
      </c>
      <c r="AE7672">
        <v>0.67842499999999994</v>
      </c>
      <c r="AF7672">
        <v>1138.1559999999999</v>
      </c>
      <c r="AG7672">
        <f>IFERROR(AH7672*0.1, "N/A")</f>
        <v>6.4748679999999998</v>
      </c>
      <c r="AH7672">
        <v>64.748679999999993</v>
      </c>
      <c r="AI7672">
        <v>196.0634</v>
      </c>
      <c r="AJ7672">
        <v>40.957819999999998</v>
      </c>
      <c r="AK7672">
        <v>37.49736</v>
      </c>
    </row>
    <row r="7673" spans="1:37" x14ac:dyDescent="0.3">
      <c r="A7673">
        <v>7672</v>
      </c>
      <c r="B7673">
        <v>10</v>
      </c>
      <c r="C7673">
        <v>34.962499999999999</v>
      </c>
      <c r="D7673">
        <v>-0.26184299999999999</v>
      </c>
      <c r="E7673" t="s">
        <v>11407</v>
      </c>
      <c r="F7673" t="s">
        <v>11408</v>
      </c>
      <c r="G7673" t="s">
        <v>39</v>
      </c>
      <c r="H7673">
        <v>1971</v>
      </c>
      <c r="I7673">
        <v>22.8</v>
      </c>
      <c r="J7673">
        <v>14.6</v>
      </c>
      <c r="K7673">
        <v>87</v>
      </c>
      <c r="L7673">
        <v>5.54</v>
      </c>
      <c r="M7673">
        <v>31.6</v>
      </c>
      <c r="N7673">
        <v>14.9</v>
      </c>
      <c r="O7673">
        <v>16.7</v>
      </c>
      <c r="P7673">
        <v>23.1</v>
      </c>
      <c r="Q7673">
        <v>22.2</v>
      </c>
      <c r="R7673">
        <v>23.5</v>
      </c>
      <c r="S7673">
        <v>22</v>
      </c>
      <c r="T7673">
        <v>1213</v>
      </c>
      <c r="U7673">
        <v>194</v>
      </c>
      <c r="V7673">
        <v>61</v>
      </c>
      <c r="W7673">
        <v>38</v>
      </c>
      <c r="X7673">
        <v>485</v>
      </c>
      <c r="Y7673">
        <v>220</v>
      </c>
      <c r="Z7673">
        <v>293</v>
      </c>
      <c r="AA7673">
        <v>228</v>
      </c>
      <c r="AB7673">
        <v>1.2485310000000001</v>
      </c>
      <c r="AC7673">
        <v>1.055234</v>
      </c>
      <c r="AD7673">
        <v>1.038942</v>
      </c>
      <c r="AE7673">
        <v>0.74934000000000001</v>
      </c>
      <c r="AF7673">
        <v>1153.4110000000001</v>
      </c>
      <c r="AG7673">
        <f>IFERROR(AH7673*0.1, "N/A")</f>
        <v>7.1948849999999993</v>
      </c>
      <c r="AH7673">
        <v>71.948849999999993</v>
      </c>
      <c r="AI7673">
        <v>231.7818</v>
      </c>
      <c r="AJ7673">
        <v>40.557319999999997</v>
      </c>
      <c r="AK7673">
        <v>41.640210000000003</v>
      </c>
    </row>
    <row r="7674" spans="1:37" x14ac:dyDescent="0.3">
      <c r="A7674">
        <v>7673</v>
      </c>
      <c r="B7674">
        <v>0</v>
      </c>
      <c r="C7674">
        <v>34.962499999999999</v>
      </c>
      <c r="D7674">
        <v>-0.26184299999999999</v>
      </c>
      <c r="E7674" t="s">
        <v>11407</v>
      </c>
      <c r="F7674" t="s">
        <v>11409</v>
      </c>
      <c r="G7674" t="s">
        <v>37</v>
      </c>
      <c r="H7674">
        <v>1971</v>
      </c>
      <c r="I7674">
        <v>22.8</v>
      </c>
      <c r="J7674">
        <v>14.6</v>
      </c>
      <c r="K7674">
        <v>87</v>
      </c>
      <c r="L7674">
        <v>5.54</v>
      </c>
      <c r="M7674">
        <v>31.6</v>
      </c>
      <c r="N7674">
        <v>14.9</v>
      </c>
      <c r="O7674">
        <v>16.7</v>
      </c>
      <c r="P7674">
        <v>23.1</v>
      </c>
      <c r="Q7674">
        <v>22.2</v>
      </c>
      <c r="R7674">
        <v>23.5</v>
      </c>
      <c r="S7674">
        <v>22</v>
      </c>
      <c r="T7674">
        <v>1213</v>
      </c>
      <c r="U7674">
        <v>194</v>
      </c>
      <c r="V7674">
        <v>61</v>
      </c>
      <c r="W7674">
        <v>38</v>
      </c>
      <c r="X7674">
        <v>485</v>
      </c>
      <c r="Y7674">
        <v>220</v>
      </c>
      <c r="Z7674">
        <v>293</v>
      </c>
      <c r="AA7674">
        <v>228</v>
      </c>
      <c r="AB7674">
        <v>1.2485310000000001</v>
      </c>
      <c r="AC7674">
        <v>1.055234</v>
      </c>
      <c r="AD7674">
        <v>1.038942</v>
      </c>
      <c r="AE7674">
        <v>0.74934000000000001</v>
      </c>
      <c r="AF7674">
        <v>1153.4110000000001</v>
      </c>
      <c r="AG7674">
        <f>IFERROR(AH7674*0.1, "N/A")</f>
        <v>7.1948849999999993</v>
      </c>
      <c r="AH7674">
        <v>71.948849999999993</v>
      </c>
      <c r="AI7674">
        <v>231.7818</v>
      </c>
      <c r="AJ7674">
        <v>40.557319999999997</v>
      </c>
      <c r="AK7674">
        <v>41.640210000000003</v>
      </c>
    </row>
    <row r="7675" spans="1:37" x14ac:dyDescent="0.3">
      <c r="A7675">
        <v>7674</v>
      </c>
      <c r="B7675">
        <v>5</v>
      </c>
      <c r="C7675">
        <v>35.017899999999997</v>
      </c>
      <c r="D7675">
        <v>-0.26355000000000001</v>
      </c>
      <c r="E7675" t="s">
        <v>11410</v>
      </c>
      <c r="F7675" t="s">
        <v>11411</v>
      </c>
      <c r="G7675" t="s">
        <v>39</v>
      </c>
      <c r="H7675">
        <v>1971</v>
      </c>
      <c r="I7675">
        <v>22.5</v>
      </c>
      <c r="J7675">
        <v>14.8</v>
      </c>
      <c r="K7675">
        <v>87</v>
      </c>
      <c r="L7675">
        <v>5.43</v>
      </c>
      <c r="M7675">
        <v>31.3</v>
      </c>
      <c r="N7675">
        <v>14.4</v>
      </c>
      <c r="O7675">
        <v>16.899999999999999</v>
      </c>
      <c r="P7675">
        <v>22.7</v>
      </c>
      <c r="Q7675">
        <v>21.8</v>
      </c>
      <c r="R7675">
        <v>23.2</v>
      </c>
      <c r="S7675">
        <v>21.7</v>
      </c>
      <c r="T7675">
        <v>1264</v>
      </c>
      <c r="U7675">
        <v>202</v>
      </c>
      <c r="V7675">
        <v>64</v>
      </c>
      <c r="W7675">
        <v>37</v>
      </c>
      <c r="X7675">
        <v>500</v>
      </c>
      <c r="Y7675">
        <v>234</v>
      </c>
      <c r="Z7675">
        <v>304</v>
      </c>
      <c r="AA7675">
        <v>244</v>
      </c>
      <c r="AB7675">
        <v>6.6199570000000003</v>
      </c>
      <c r="AC7675">
        <v>3.6659089999999998E-2</v>
      </c>
      <c r="AD7675">
        <v>1.7083090000000001</v>
      </c>
      <c r="AE7675">
        <v>0.71685580000000004</v>
      </c>
      <c r="AF7675">
        <v>1198.655</v>
      </c>
      <c r="AG7675">
        <f>IFERROR(AH7675*0.1, "N/A")</f>
        <v>7.1762320000000006</v>
      </c>
      <c r="AH7675">
        <v>71.762320000000003</v>
      </c>
      <c r="AI7675">
        <v>280.32119999999998</v>
      </c>
      <c r="AJ7675">
        <v>40</v>
      </c>
      <c r="AK7675">
        <v>41</v>
      </c>
    </row>
    <row r="7676" spans="1:37" x14ac:dyDescent="0.3">
      <c r="A7676">
        <v>7675</v>
      </c>
      <c r="B7676">
        <v>0</v>
      </c>
      <c r="C7676">
        <v>35.017899999999997</v>
      </c>
      <c r="D7676">
        <v>-0.26355000000000001</v>
      </c>
      <c r="E7676" t="s">
        <v>11410</v>
      </c>
      <c r="F7676" t="s">
        <v>11412</v>
      </c>
      <c r="G7676" t="s">
        <v>37</v>
      </c>
      <c r="H7676">
        <v>1971</v>
      </c>
      <c r="I7676">
        <v>22.5</v>
      </c>
      <c r="J7676">
        <v>14.8</v>
      </c>
      <c r="K7676">
        <v>87</v>
      </c>
      <c r="L7676">
        <v>5.43</v>
      </c>
      <c r="M7676">
        <v>31.3</v>
      </c>
      <c r="N7676">
        <v>14.4</v>
      </c>
      <c r="O7676">
        <v>16.899999999999999</v>
      </c>
      <c r="P7676">
        <v>22.7</v>
      </c>
      <c r="Q7676">
        <v>21.8</v>
      </c>
      <c r="R7676">
        <v>23.2</v>
      </c>
      <c r="S7676">
        <v>21.7</v>
      </c>
      <c r="T7676">
        <v>1264</v>
      </c>
      <c r="U7676">
        <v>202</v>
      </c>
      <c r="V7676">
        <v>64</v>
      </c>
      <c r="W7676">
        <v>37</v>
      </c>
      <c r="X7676">
        <v>500</v>
      </c>
      <c r="Y7676">
        <v>234</v>
      </c>
      <c r="Z7676">
        <v>304</v>
      </c>
      <c r="AA7676">
        <v>244</v>
      </c>
      <c r="AB7676">
        <v>6.6199570000000003</v>
      </c>
      <c r="AC7676">
        <v>3.6659089999999998E-2</v>
      </c>
      <c r="AD7676">
        <v>1.7083090000000001</v>
      </c>
      <c r="AE7676">
        <v>0.71685580000000004</v>
      </c>
      <c r="AF7676">
        <v>1198.655</v>
      </c>
      <c r="AG7676">
        <f>IFERROR(AH7676*0.1, "N/A")</f>
        <v>7.1762320000000006</v>
      </c>
      <c r="AH7676">
        <v>71.762320000000003</v>
      </c>
      <c r="AI7676">
        <v>280.32119999999998</v>
      </c>
      <c r="AJ7676">
        <v>40</v>
      </c>
      <c r="AK7676">
        <v>41</v>
      </c>
    </row>
    <row r="7677" spans="1:37" x14ac:dyDescent="0.3">
      <c r="A7677">
        <v>7676</v>
      </c>
      <c r="B7677">
        <v>8.3000000000000007</v>
      </c>
      <c r="C7677">
        <v>34.968699999999998</v>
      </c>
      <c r="D7677">
        <v>-0.269146</v>
      </c>
      <c r="E7677" t="s">
        <v>11413</v>
      </c>
      <c r="F7677" t="s">
        <v>11414</v>
      </c>
      <c r="G7677" t="s">
        <v>39</v>
      </c>
      <c r="H7677">
        <v>1971</v>
      </c>
      <c r="I7677">
        <v>22.8</v>
      </c>
      <c r="J7677">
        <v>14.6</v>
      </c>
      <c r="K7677">
        <v>87</v>
      </c>
      <c r="L7677">
        <v>5.6</v>
      </c>
      <c r="M7677">
        <v>31.5</v>
      </c>
      <c r="N7677">
        <v>14.8</v>
      </c>
      <c r="O7677">
        <v>16.7</v>
      </c>
      <c r="P7677">
        <v>23</v>
      </c>
      <c r="Q7677">
        <v>22.1</v>
      </c>
      <c r="R7677">
        <v>23.5</v>
      </c>
      <c r="S7677">
        <v>21.9</v>
      </c>
      <c r="T7677">
        <v>1223</v>
      </c>
      <c r="U7677">
        <v>196</v>
      </c>
      <c r="V7677">
        <v>61</v>
      </c>
      <c r="W7677">
        <v>38</v>
      </c>
      <c r="X7677">
        <v>489</v>
      </c>
      <c r="Y7677">
        <v>223</v>
      </c>
      <c r="Z7677">
        <v>294</v>
      </c>
      <c r="AA7677">
        <v>231</v>
      </c>
      <c r="AB7677">
        <v>5.3745120000000002</v>
      </c>
      <c r="AC7677">
        <v>0.1218808</v>
      </c>
      <c r="AD7677">
        <v>0.77607930000000003</v>
      </c>
      <c r="AE7677">
        <v>0.76216269999999997</v>
      </c>
      <c r="AF7677">
        <v>1163.857</v>
      </c>
      <c r="AG7677">
        <f>IFERROR(AH7677*0.1, "N/A")</f>
        <v>7.2910210000000006</v>
      </c>
      <c r="AH7677">
        <v>72.910210000000006</v>
      </c>
      <c r="AI7677">
        <v>210.33969999999999</v>
      </c>
      <c r="AJ7677">
        <v>38.48415</v>
      </c>
      <c r="AK7677">
        <v>41.713030000000003</v>
      </c>
    </row>
    <row r="7678" spans="1:37" x14ac:dyDescent="0.3">
      <c r="A7678">
        <v>7677</v>
      </c>
      <c r="B7678">
        <v>58.3</v>
      </c>
      <c r="C7678">
        <v>34.954500000000003</v>
      </c>
      <c r="D7678">
        <v>-0.28556500000000001</v>
      </c>
      <c r="E7678" t="s">
        <v>11415</v>
      </c>
      <c r="F7678" t="s">
        <v>11416</v>
      </c>
      <c r="G7678" t="s">
        <v>39</v>
      </c>
      <c r="H7678">
        <v>1971</v>
      </c>
      <c r="I7678">
        <v>22.7</v>
      </c>
      <c r="J7678">
        <v>14.6</v>
      </c>
      <c r="K7678">
        <v>87</v>
      </c>
      <c r="L7678">
        <v>5.65</v>
      </c>
      <c r="M7678">
        <v>31.5</v>
      </c>
      <c r="N7678">
        <v>14.8</v>
      </c>
      <c r="O7678">
        <v>16.7</v>
      </c>
      <c r="P7678">
        <v>23</v>
      </c>
      <c r="Q7678">
        <v>22.1</v>
      </c>
      <c r="R7678">
        <v>23.5</v>
      </c>
      <c r="S7678">
        <v>21.9</v>
      </c>
      <c r="T7678">
        <v>1216</v>
      </c>
      <c r="U7678">
        <v>194</v>
      </c>
      <c r="V7678">
        <v>60</v>
      </c>
      <c r="W7678">
        <v>38</v>
      </c>
      <c r="X7678">
        <v>487</v>
      </c>
      <c r="Y7678">
        <v>222</v>
      </c>
      <c r="Z7678">
        <v>291</v>
      </c>
      <c r="AA7678">
        <v>229</v>
      </c>
      <c r="AB7678">
        <v>8.9623019999999993</v>
      </c>
      <c r="AC7678">
        <v>1.071479E-2</v>
      </c>
      <c r="AD7678">
        <v>1.025355</v>
      </c>
      <c r="AE7678">
        <v>0.697411</v>
      </c>
      <c r="AF7678">
        <v>1164.9670000000001</v>
      </c>
      <c r="AG7678">
        <f>IFERROR(AH7678*0.1, "N/A")</f>
        <v>6.7786970000000002</v>
      </c>
      <c r="AH7678">
        <v>67.786969999999997</v>
      </c>
      <c r="AI7678">
        <v>250.02869999999999</v>
      </c>
      <c r="AJ7678">
        <v>40.642609999999998</v>
      </c>
      <c r="AK7678">
        <v>38.357390000000002</v>
      </c>
    </row>
    <row r="7679" spans="1:37" x14ac:dyDescent="0.3">
      <c r="A7679">
        <v>7678</v>
      </c>
      <c r="B7679">
        <v>0</v>
      </c>
      <c r="C7679">
        <v>34.954500000000003</v>
      </c>
      <c r="D7679">
        <v>-0.28556500000000001</v>
      </c>
      <c r="E7679" t="s">
        <v>11415</v>
      </c>
      <c r="F7679" t="s">
        <v>11417</v>
      </c>
      <c r="G7679" t="s">
        <v>37</v>
      </c>
      <c r="H7679">
        <v>1971</v>
      </c>
      <c r="I7679">
        <v>22.7</v>
      </c>
      <c r="J7679">
        <v>14.6</v>
      </c>
      <c r="K7679">
        <v>87</v>
      </c>
      <c r="L7679">
        <v>5.65</v>
      </c>
      <c r="M7679">
        <v>31.5</v>
      </c>
      <c r="N7679">
        <v>14.8</v>
      </c>
      <c r="O7679">
        <v>16.7</v>
      </c>
      <c r="P7679">
        <v>23</v>
      </c>
      <c r="Q7679">
        <v>22.1</v>
      </c>
      <c r="R7679">
        <v>23.5</v>
      </c>
      <c r="S7679">
        <v>21.9</v>
      </c>
      <c r="T7679">
        <v>1216</v>
      </c>
      <c r="U7679">
        <v>194</v>
      </c>
      <c r="V7679">
        <v>60</v>
      </c>
      <c r="W7679">
        <v>38</v>
      </c>
      <c r="X7679">
        <v>487</v>
      </c>
      <c r="Y7679">
        <v>222</v>
      </c>
      <c r="Z7679">
        <v>291</v>
      </c>
      <c r="AA7679">
        <v>229</v>
      </c>
      <c r="AB7679">
        <v>8.9623019999999993</v>
      </c>
      <c r="AC7679">
        <v>1.071479E-2</v>
      </c>
      <c r="AD7679">
        <v>1.025355</v>
      </c>
      <c r="AE7679">
        <v>0.697411</v>
      </c>
      <c r="AF7679">
        <v>1164.9670000000001</v>
      </c>
      <c r="AG7679">
        <f>IFERROR(AH7679*0.1, "N/A")</f>
        <v>6.7786970000000002</v>
      </c>
      <c r="AH7679">
        <v>67.786969999999997</v>
      </c>
      <c r="AI7679">
        <v>250.02869999999999</v>
      </c>
      <c r="AJ7679">
        <v>40.642609999999998</v>
      </c>
      <c r="AK7679">
        <v>38.357390000000002</v>
      </c>
    </row>
    <row r="7680" spans="1:37" x14ac:dyDescent="0.3">
      <c r="A7680">
        <v>7679</v>
      </c>
      <c r="B7680">
        <v>28.8</v>
      </c>
      <c r="C7680">
        <v>34.975700000000003</v>
      </c>
      <c r="D7680">
        <v>-0.28981000000000001</v>
      </c>
      <c r="E7680" t="s">
        <v>11418</v>
      </c>
      <c r="F7680" t="s">
        <v>11419</v>
      </c>
      <c r="G7680" t="s">
        <v>39</v>
      </c>
      <c r="H7680">
        <v>1971</v>
      </c>
      <c r="I7680">
        <v>22.60247</v>
      </c>
      <c r="J7680">
        <v>14.7</v>
      </c>
      <c r="K7680">
        <v>86.024690000000007</v>
      </c>
      <c r="L7680">
        <v>5.7283949999999999</v>
      </c>
      <c r="M7680">
        <v>31.4</v>
      </c>
      <c r="N7680">
        <v>14.502470000000001</v>
      </c>
      <c r="O7680">
        <v>16.89753</v>
      </c>
      <c r="P7680">
        <v>22.80247</v>
      </c>
      <c r="Q7680">
        <v>21.902470000000001</v>
      </c>
      <c r="R7680">
        <v>23.3</v>
      </c>
      <c r="S7680">
        <v>21.704940000000001</v>
      </c>
      <c r="T7680">
        <v>1243.7280000000001</v>
      </c>
      <c r="U7680">
        <v>197.9753</v>
      </c>
      <c r="V7680">
        <v>61.97531</v>
      </c>
      <c r="W7680">
        <v>38</v>
      </c>
      <c r="X7680">
        <v>494.92590000000001</v>
      </c>
      <c r="Y7680">
        <v>228.92590000000001</v>
      </c>
      <c r="Z7680">
        <v>296.95060000000001</v>
      </c>
      <c r="AA7680">
        <v>236.92590000000001</v>
      </c>
      <c r="AB7680">
        <v>13.7834</v>
      </c>
      <c r="AC7680">
        <v>5.7512630000000002E-2</v>
      </c>
      <c r="AD7680">
        <v>1.5369980000000001</v>
      </c>
      <c r="AE7680">
        <v>0.74336069999999999</v>
      </c>
      <c r="AF7680">
        <v>1188.155</v>
      </c>
      <c r="AG7680">
        <f>IFERROR(AH7680*0.1, "N/A")</f>
        <v>6.8797180000000004</v>
      </c>
      <c r="AH7680">
        <v>68.797179999999997</v>
      </c>
      <c r="AI7680">
        <v>256.96559999999999</v>
      </c>
      <c r="AJ7680">
        <v>39.202820000000003</v>
      </c>
      <c r="AK7680">
        <v>41.227510000000002</v>
      </c>
    </row>
    <row r="7681" spans="1:37" x14ac:dyDescent="0.3">
      <c r="A7681">
        <v>7680</v>
      </c>
      <c r="B7681">
        <v>2</v>
      </c>
      <c r="C7681">
        <v>34.975700000000003</v>
      </c>
      <c r="D7681">
        <v>-0.28981000000000001</v>
      </c>
      <c r="E7681" t="s">
        <v>11418</v>
      </c>
      <c r="F7681" t="s">
        <v>11420</v>
      </c>
      <c r="G7681" t="s">
        <v>37</v>
      </c>
      <c r="H7681">
        <v>1971</v>
      </c>
      <c r="I7681">
        <v>22.60247</v>
      </c>
      <c r="J7681">
        <v>14.7</v>
      </c>
      <c r="K7681">
        <v>86.024690000000007</v>
      </c>
      <c r="L7681">
        <v>5.7283949999999999</v>
      </c>
      <c r="M7681">
        <v>31.4</v>
      </c>
      <c r="N7681">
        <v>14.502470000000001</v>
      </c>
      <c r="O7681">
        <v>16.89753</v>
      </c>
      <c r="P7681">
        <v>22.80247</v>
      </c>
      <c r="Q7681">
        <v>21.902470000000001</v>
      </c>
      <c r="R7681">
        <v>23.3</v>
      </c>
      <c r="S7681">
        <v>21.704940000000001</v>
      </c>
      <c r="T7681">
        <v>1243.7280000000001</v>
      </c>
      <c r="U7681">
        <v>197.9753</v>
      </c>
      <c r="V7681">
        <v>61.97531</v>
      </c>
      <c r="W7681">
        <v>38</v>
      </c>
      <c r="X7681">
        <v>494.92590000000001</v>
      </c>
      <c r="Y7681">
        <v>228.92590000000001</v>
      </c>
      <c r="Z7681">
        <v>296.95060000000001</v>
      </c>
      <c r="AA7681">
        <v>236.92590000000001</v>
      </c>
      <c r="AB7681">
        <v>13.7834</v>
      </c>
      <c r="AC7681">
        <v>5.7512630000000002E-2</v>
      </c>
      <c r="AD7681">
        <v>1.5369980000000001</v>
      </c>
      <c r="AE7681">
        <v>0.74336069999999999</v>
      </c>
      <c r="AF7681">
        <v>1188.155</v>
      </c>
      <c r="AG7681">
        <f>IFERROR(AH7681*0.1, "N/A")</f>
        <v>6.8797180000000004</v>
      </c>
      <c r="AH7681">
        <v>68.797179999999997</v>
      </c>
      <c r="AI7681">
        <v>256.96559999999999</v>
      </c>
      <c r="AJ7681">
        <v>39.202820000000003</v>
      </c>
      <c r="AK7681">
        <v>41.227510000000002</v>
      </c>
    </row>
    <row r="7682" spans="1:37" x14ac:dyDescent="0.3">
      <c r="A7682">
        <v>7681</v>
      </c>
      <c r="B7682">
        <v>39.6</v>
      </c>
      <c r="C7682">
        <v>34.857399999999998</v>
      </c>
      <c r="D7682">
        <v>-0.29387000000000002</v>
      </c>
      <c r="E7682" t="s">
        <v>11421</v>
      </c>
      <c r="F7682" t="s">
        <v>11422</v>
      </c>
      <c r="G7682" t="s">
        <v>37</v>
      </c>
      <c r="H7682">
        <v>1971</v>
      </c>
      <c r="I7682">
        <v>22.9</v>
      </c>
      <c r="J7682">
        <v>14.4</v>
      </c>
      <c r="K7682">
        <v>86</v>
      </c>
      <c r="L7682">
        <v>5.89</v>
      </c>
      <c r="M7682">
        <v>31.6</v>
      </c>
      <c r="N7682">
        <v>15</v>
      </c>
      <c r="O7682">
        <v>16.600000000000001</v>
      </c>
      <c r="P7682">
        <v>23.1</v>
      </c>
      <c r="Q7682">
        <v>22.2</v>
      </c>
      <c r="R7682">
        <v>23.6</v>
      </c>
      <c r="S7682">
        <v>22</v>
      </c>
      <c r="T7682">
        <v>1186</v>
      </c>
      <c r="U7682">
        <v>186</v>
      </c>
      <c r="V7682">
        <v>54</v>
      </c>
      <c r="W7682">
        <v>39</v>
      </c>
      <c r="X7682">
        <v>481</v>
      </c>
      <c r="Y7682">
        <v>219</v>
      </c>
      <c r="Z7682">
        <v>276</v>
      </c>
      <c r="AA7682">
        <v>223</v>
      </c>
      <c r="AB7682">
        <v>0.48508119999999999</v>
      </c>
      <c r="AC7682">
        <v>0.1209003</v>
      </c>
      <c r="AD7682">
        <v>1.1557740000000001</v>
      </c>
      <c r="AE7682">
        <v>0.34145829999999999</v>
      </c>
      <c r="AF7682">
        <v>1136.912</v>
      </c>
      <c r="AG7682">
        <f>IFERROR(AH7682*0.1, "N/A")</f>
        <v>5.4</v>
      </c>
      <c r="AH7682">
        <v>54</v>
      </c>
      <c r="AI7682">
        <v>142.29220000000001</v>
      </c>
      <c r="AJ7682">
        <v>39.994729999999997</v>
      </c>
      <c r="AK7682">
        <v>37</v>
      </c>
    </row>
    <row r="7683" spans="1:37" x14ac:dyDescent="0.3">
      <c r="A7683">
        <v>7682</v>
      </c>
      <c r="B7683">
        <v>57.1</v>
      </c>
      <c r="C7683">
        <v>34.931699999999999</v>
      </c>
      <c r="D7683">
        <v>-0.30848900000000001</v>
      </c>
      <c r="E7683" t="s">
        <v>11423</v>
      </c>
      <c r="F7683" t="s">
        <v>11424</v>
      </c>
      <c r="G7683" t="s">
        <v>39</v>
      </c>
      <c r="H7683">
        <v>1971</v>
      </c>
      <c r="I7683">
        <v>22.722180000000002</v>
      </c>
      <c r="J7683">
        <v>14.6</v>
      </c>
      <c r="K7683">
        <v>86</v>
      </c>
      <c r="L7683">
        <v>5.8544010000000002</v>
      </c>
      <c r="M7683">
        <v>31.522179999999999</v>
      </c>
      <c r="N7683">
        <v>14.72218</v>
      </c>
      <c r="O7683">
        <v>16.8</v>
      </c>
      <c r="P7683">
        <v>22.922180000000001</v>
      </c>
      <c r="Q7683">
        <v>22.022179999999999</v>
      </c>
      <c r="R7683">
        <v>23.422180000000001</v>
      </c>
      <c r="S7683">
        <v>21.9</v>
      </c>
      <c r="T7683">
        <v>1210.56</v>
      </c>
      <c r="U7683">
        <v>190.7782</v>
      </c>
      <c r="V7683">
        <v>58</v>
      </c>
      <c r="W7683">
        <v>38</v>
      </c>
      <c r="X7683">
        <v>485.33449999999999</v>
      </c>
      <c r="Y7683">
        <v>222.11269999999999</v>
      </c>
      <c r="Z7683">
        <v>285.77820000000003</v>
      </c>
      <c r="AA7683">
        <v>229.11269999999999</v>
      </c>
      <c r="AB7683">
        <v>3.022373</v>
      </c>
      <c r="AC7683">
        <v>0.78747420000000001</v>
      </c>
      <c r="AD7683">
        <v>1.353062</v>
      </c>
      <c r="AE7683">
        <v>0.71970800000000001</v>
      </c>
      <c r="AF7683">
        <v>1152.5039999999999</v>
      </c>
      <c r="AG7683">
        <f>IFERROR(AH7683*0.1, "N/A")</f>
        <v>6.2063380000000006</v>
      </c>
      <c r="AH7683">
        <v>62.063380000000002</v>
      </c>
      <c r="AI7683">
        <v>203.69810000000001</v>
      </c>
      <c r="AJ7683">
        <v>37.105629999999998</v>
      </c>
      <c r="AK7683">
        <v>42.021129999999999</v>
      </c>
    </row>
    <row r="7684" spans="1:37" x14ac:dyDescent="0.3">
      <c r="A7684">
        <v>7683</v>
      </c>
      <c r="B7684">
        <v>0</v>
      </c>
      <c r="C7684">
        <v>34.931699999999999</v>
      </c>
      <c r="D7684">
        <v>-0.30848900000000001</v>
      </c>
      <c r="E7684" t="s">
        <v>11423</v>
      </c>
      <c r="F7684" t="s">
        <v>11425</v>
      </c>
      <c r="G7684" t="s">
        <v>37</v>
      </c>
      <c r="H7684">
        <v>1971</v>
      </c>
      <c r="I7684">
        <v>22.722180000000002</v>
      </c>
      <c r="J7684">
        <v>14.6</v>
      </c>
      <c r="K7684">
        <v>86</v>
      </c>
      <c r="L7684">
        <v>5.8544010000000002</v>
      </c>
      <c r="M7684">
        <v>31.522179999999999</v>
      </c>
      <c r="N7684">
        <v>14.72218</v>
      </c>
      <c r="O7684">
        <v>16.8</v>
      </c>
      <c r="P7684">
        <v>22.922180000000001</v>
      </c>
      <c r="Q7684">
        <v>22.022179999999999</v>
      </c>
      <c r="R7684">
        <v>23.422180000000001</v>
      </c>
      <c r="S7684">
        <v>21.9</v>
      </c>
      <c r="T7684">
        <v>1210.56</v>
      </c>
      <c r="U7684">
        <v>190.7782</v>
      </c>
      <c r="V7684">
        <v>58</v>
      </c>
      <c r="W7684">
        <v>38</v>
      </c>
      <c r="X7684">
        <v>485.33449999999999</v>
      </c>
      <c r="Y7684">
        <v>222.11269999999999</v>
      </c>
      <c r="Z7684">
        <v>285.77820000000003</v>
      </c>
      <c r="AA7684">
        <v>229.11269999999999</v>
      </c>
      <c r="AB7684">
        <v>3.022373</v>
      </c>
      <c r="AC7684">
        <v>0.78747420000000001</v>
      </c>
      <c r="AD7684">
        <v>1.353062</v>
      </c>
      <c r="AE7684">
        <v>0.71970800000000001</v>
      </c>
      <c r="AF7684">
        <v>1152.5039999999999</v>
      </c>
      <c r="AG7684">
        <f>IFERROR(AH7684*0.1, "N/A")</f>
        <v>6.2063380000000006</v>
      </c>
      <c r="AH7684">
        <v>62.063380000000002</v>
      </c>
      <c r="AI7684">
        <v>203.69810000000001</v>
      </c>
      <c r="AJ7684">
        <v>37.105629999999998</v>
      </c>
      <c r="AK7684">
        <v>42.021129999999999</v>
      </c>
    </row>
    <row r="7685" spans="1:37" x14ac:dyDescent="0.3">
      <c r="A7685">
        <v>7684</v>
      </c>
      <c r="B7685">
        <v>0</v>
      </c>
      <c r="C7685">
        <v>35.316800000000001</v>
      </c>
      <c r="D7685">
        <v>-0.30937999999999999</v>
      </c>
      <c r="E7685" t="s">
        <v>11426</v>
      </c>
      <c r="F7685" t="s">
        <v>11427</v>
      </c>
      <c r="G7685" t="s">
        <v>37</v>
      </c>
      <c r="H7685">
        <v>1993</v>
      </c>
      <c r="I7685">
        <v>17.37218</v>
      </c>
      <c r="J7685">
        <v>15.7</v>
      </c>
      <c r="K7685">
        <v>86.860919999999993</v>
      </c>
      <c r="L7685">
        <v>6.47</v>
      </c>
      <c r="M7685">
        <v>27.072179999999999</v>
      </c>
      <c r="N7685">
        <v>9.0582750000000001</v>
      </c>
      <c r="O7685">
        <v>18.013909999999999</v>
      </c>
      <c r="P7685">
        <v>17.75827</v>
      </c>
      <c r="Q7685">
        <v>17.972180000000002</v>
      </c>
      <c r="R7685">
        <v>18.25827</v>
      </c>
      <c r="S7685">
        <v>16.55827</v>
      </c>
      <c r="T7685">
        <v>1682.5039999999999</v>
      </c>
      <c r="U7685">
        <v>244.83449999999999</v>
      </c>
      <c r="V7685">
        <v>59</v>
      </c>
      <c r="W7685">
        <v>37.13908</v>
      </c>
      <c r="X7685">
        <v>621.2518</v>
      </c>
      <c r="Y7685">
        <v>235.13910000000001</v>
      </c>
      <c r="Z7685">
        <v>292.41730000000001</v>
      </c>
      <c r="AA7685">
        <v>444.2518</v>
      </c>
      <c r="AB7685">
        <v>83.774799999999999</v>
      </c>
      <c r="AC7685">
        <v>1.1226430000000001E-2</v>
      </c>
      <c r="AD7685">
        <v>3.8552209999999998</v>
      </c>
      <c r="AE7685">
        <v>0.77047370000000004</v>
      </c>
      <c r="AF7685">
        <v>2102.1849999999999</v>
      </c>
      <c r="AG7685">
        <f>IFERROR(AH7685*0.1, "N/A")</f>
        <v>5.5860920000000007</v>
      </c>
      <c r="AH7685">
        <v>55.86092</v>
      </c>
      <c r="AI7685">
        <v>76.134389999999996</v>
      </c>
      <c r="AJ7685">
        <v>37.311619999999998</v>
      </c>
      <c r="AK7685">
        <v>34.424300000000002</v>
      </c>
    </row>
    <row r="7686" spans="1:37" x14ac:dyDescent="0.3">
      <c r="A7686">
        <v>7685</v>
      </c>
      <c r="B7686">
        <v>0</v>
      </c>
      <c r="C7686">
        <v>35.316800000000001</v>
      </c>
      <c r="D7686">
        <v>-0.30937999999999999</v>
      </c>
      <c r="E7686" t="s">
        <v>11426</v>
      </c>
      <c r="F7686" t="s">
        <v>11428</v>
      </c>
      <c r="G7686" t="s">
        <v>39</v>
      </c>
      <c r="H7686">
        <v>1993</v>
      </c>
      <c r="I7686">
        <v>17.37218</v>
      </c>
      <c r="J7686">
        <v>15.7</v>
      </c>
      <c r="K7686">
        <v>86.860919999999993</v>
      </c>
      <c r="L7686">
        <v>6.47</v>
      </c>
      <c r="M7686">
        <v>27.072179999999999</v>
      </c>
      <c r="N7686">
        <v>9.0582750000000001</v>
      </c>
      <c r="O7686">
        <v>18.013909999999999</v>
      </c>
      <c r="P7686">
        <v>17.75827</v>
      </c>
      <c r="Q7686">
        <v>17.972180000000002</v>
      </c>
      <c r="R7686">
        <v>18.25827</v>
      </c>
      <c r="S7686">
        <v>16.55827</v>
      </c>
      <c r="T7686">
        <v>1682.5039999999999</v>
      </c>
      <c r="U7686">
        <v>244.83449999999999</v>
      </c>
      <c r="V7686">
        <v>59</v>
      </c>
      <c r="W7686">
        <v>37.13908</v>
      </c>
      <c r="X7686">
        <v>621.2518</v>
      </c>
      <c r="Y7686">
        <v>235.13910000000001</v>
      </c>
      <c r="Z7686">
        <v>292.41730000000001</v>
      </c>
      <c r="AA7686">
        <v>444.2518</v>
      </c>
      <c r="AB7686">
        <v>83.774799999999999</v>
      </c>
      <c r="AC7686">
        <v>1.1226430000000001E-2</v>
      </c>
      <c r="AD7686">
        <v>3.8552209999999998</v>
      </c>
      <c r="AE7686">
        <v>0.77047370000000004</v>
      </c>
      <c r="AF7686">
        <v>2102.1849999999999</v>
      </c>
      <c r="AG7686">
        <f>IFERROR(AH7686*0.1, "N/A")</f>
        <v>5.5860920000000007</v>
      </c>
      <c r="AH7686">
        <v>55.86092</v>
      </c>
      <c r="AI7686">
        <v>76.134389999999996</v>
      </c>
      <c r="AJ7686">
        <v>37.311619999999998</v>
      </c>
      <c r="AK7686">
        <v>34.424300000000002</v>
      </c>
    </row>
    <row r="7687" spans="1:37" x14ac:dyDescent="0.3">
      <c r="A7687">
        <v>7686</v>
      </c>
      <c r="B7687">
        <v>44.4</v>
      </c>
      <c r="C7687">
        <v>34.931899999999999</v>
      </c>
      <c r="D7687">
        <v>-0.31003399999999998</v>
      </c>
      <c r="E7687" t="s">
        <v>11429</v>
      </c>
      <c r="F7687" t="s">
        <v>11430</v>
      </c>
      <c r="G7687" t="s">
        <v>39</v>
      </c>
      <c r="H7687">
        <v>1971</v>
      </c>
      <c r="I7687">
        <v>22.7</v>
      </c>
      <c r="J7687">
        <v>14.6</v>
      </c>
      <c r="K7687">
        <v>86</v>
      </c>
      <c r="L7687">
        <v>5.83</v>
      </c>
      <c r="M7687">
        <v>31.5</v>
      </c>
      <c r="N7687">
        <v>14.7</v>
      </c>
      <c r="O7687">
        <v>16.8</v>
      </c>
      <c r="P7687">
        <v>22.9</v>
      </c>
      <c r="Q7687">
        <v>22</v>
      </c>
      <c r="R7687">
        <v>23.4</v>
      </c>
      <c r="S7687">
        <v>21.9</v>
      </c>
      <c r="T7687">
        <v>1213</v>
      </c>
      <c r="U7687">
        <v>191</v>
      </c>
      <c r="V7687">
        <v>58</v>
      </c>
      <c r="W7687">
        <v>38</v>
      </c>
      <c r="X7687">
        <v>486</v>
      </c>
      <c r="Y7687">
        <v>223</v>
      </c>
      <c r="Z7687">
        <v>286</v>
      </c>
      <c r="AA7687">
        <v>230</v>
      </c>
      <c r="AB7687">
        <v>8.9408340000000006</v>
      </c>
      <c r="AC7687">
        <v>0.51328479999999999</v>
      </c>
      <c r="AD7687">
        <v>2.0337040000000002</v>
      </c>
      <c r="AE7687">
        <v>0.71970800000000001</v>
      </c>
      <c r="AF7687">
        <v>1158.164</v>
      </c>
      <c r="AG7687">
        <f>IFERROR(AH7687*0.1, "N/A")</f>
        <v>6.1000000000000005</v>
      </c>
      <c r="AH7687">
        <v>61</v>
      </c>
      <c r="AI7687">
        <v>175.78540000000001</v>
      </c>
      <c r="AJ7687">
        <v>38</v>
      </c>
      <c r="AK7687">
        <v>42.005279999999999</v>
      </c>
    </row>
    <row r="7688" spans="1:37" x14ac:dyDescent="0.3">
      <c r="A7688">
        <v>7687</v>
      </c>
      <c r="B7688">
        <v>5.0999999999999996</v>
      </c>
      <c r="C7688">
        <v>34.931899999999999</v>
      </c>
      <c r="D7688">
        <v>-0.31003399999999998</v>
      </c>
      <c r="E7688" t="s">
        <v>11429</v>
      </c>
      <c r="F7688" t="s">
        <v>11431</v>
      </c>
      <c r="G7688" t="s">
        <v>37</v>
      </c>
      <c r="H7688">
        <v>1971</v>
      </c>
      <c r="I7688">
        <v>22.7</v>
      </c>
      <c r="J7688">
        <v>14.6</v>
      </c>
      <c r="K7688">
        <v>86</v>
      </c>
      <c r="L7688">
        <v>5.83</v>
      </c>
      <c r="M7688">
        <v>31.5</v>
      </c>
      <c r="N7688">
        <v>14.7</v>
      </c>
      <c r="O7688">
        <v>16.8</v>
      </c>
      <c r="P7688">
        <v>22.9</v>
      </c>
      <c r="Q7688">
        <v>22</v>
      </c>
      <c r="R7688">
        <v>23.4</v>
      </c>
      <c r="S7688">
        <v>21.9</v>
      </c>
      <c r="T7688">
        <v>1213</v>
      </c>
      <c r="U7688">
        <v>191</v>
      </c>
      <c r="V7688">
        <v>58</v>
      </c>
      <c r="W7688">
        <v>38</v>
      </c>
      <c r="X7688">
        <v>486</v>
      </c>
      <c r="Y7688">
        <v>223</v>
      </c>
      <c r="Z7688">
        <v>286</v>
      </c>
      <c r="AA7688">
        <v>230</v>
      </c>
      <c r="AB7688">
        <v>8.9408340000000006</v>
      </c>
      <c r="AC7688">
        <v>0.51328479999999999</v>
      </c>
      <c r="AD7688">
        <v>2.0337040000000002</v>
      </c>
      <c r="AE7688">
        <v>0.71970800000000001</v>
      </c>
      <c r="AF7688">
        <v>1158.164</v>
      </c>
      <c r="AG7688">
        <f>IFERROR(AH7688*0.1, "N/A")</f>
        <v>6.1000000000000005</v>
      </c>
      <c r="AH7688">
        <v>61</v>
      </c>
      <c r="AI7688">
        <v>175.78540000000001</v>
      </c>
      <c r="AJ7688">
        <v>38</v>
      </c>
      <c r="AK7688">
        <v>42.005279999999999</v>
      </c>
    </row>
    <row r="7689" spans="1:37" x14ac:dyDescent="0.3">
      <c r="A7689">
        <v>7688</v>
      </c>
      <c r="B7689">
        <v>20</v>
      </c>
      <c r="C7689">
        <v>34.9373</v>
      </c>
      <c r="D7689">
        <v>-0.31162200000000001</v>
      </c>
      <c r="E7689" t="s">
        <v>11432</v>
      </c>
      <c r="F7689" t="s">
        <v>11433</v>
      </c>
      <c r="G7689" t="s">
        <v>39</v>
      </c>
      <c r="H7689">
        <v>1971</v>
      </c>
      <c r="I7689">
        <v>22.7</v>
      </c>
      <c r="J7689">
        <v>14.6</v>
      </c>
      <c r="K7689">
        <v>86</v>
      </c>
      <c r="L7689">
        <v>5.83</v>
      </c>
      <c r="M7689">
        <v>31.5</v>
      </c>
      <c r="N7689">
        <v>14.7</v>
      </c>
      <c r="O7689">
        <v>16.8</v>
      </c>
      <c r="P7689">
        <v>23</v>
      </c>
      <c r="Q7689">
        <v>22</v>
      </c>
      <c r="R7689">
        <v>23.4</v>
      </c>
      <c r="S7689">
        <v>21.8</v>
      </c>
      <c r="T7689">
        <v>1220</v>
      </c>
      <c r="U7689">
        <v>193</v>
      </c>
      <c r="V7689">
        <v>59</v>
      </c>
      <c r="W7689">
        <v>38</v>
      </c>
      <c r="X7689">
        <v>489</v>
      </c>
      <c r="Y7689">
        <v>224</v>
      </c>
      <c r="Z7689">
        <v>288</v>
      </c>
      <c r="AA7689">
        <v>232</v>
      </c>
      <c r="AB7689">
        <v>8.0565669999999994</v>
      </c>
      <c r="AC7689">
        <v>9.5063250000000002E-2</v>
      </c>
      <c r="AD7689">
        <v>1.402048</v>
      </c>
      <c r="AE7689">
        <v>0.73009820000000003</v>
      </c>
      <c r="AF7689">
        <v>1164.1179999999999</v>
      </c>
      <c r="AG7689">
        <f>IFERROR(AH7689*0.1, "N/A")</f>
        <v>6.1000000000000005</v>
      </c>
      <c r="AH7689">
        <v>61</v>
      </c>
      <c r="AI7689">
        <v>179.23220000000001</v>
      </c>
      <c r="AJ7689">
        <v>38.52993</v>
      </c>
      <c r="AK7689">
        <v>41.94014</v>
      </c>
    </row>
    <row r="7690" spans="1:37" x14ac:dyDescent="0.3">
      <c r="A7690">
        <v>7689</v>
      </c>
      <c r="B7690">
        <v>5.4</v>
      </c>
      <c r="C7690">
        <v>34.9373</v>
      </c>
      <c r="D7690">
        <v>-0.31162200000000001</v>
      </c>
      <c r="E7690" t="s">
        <v>11432</v>
      </c>
      <c r="F7690" t="s">
        <v>11434</v>
      </c>
      <c r="G7690" t="s">
        <v>37</v>
      </c>
      <c r="H7690">
        <v>1971</v>
      </c>
      <c r="I7690">
        <v>22.7</v>
      </c>
      <c r="J7690">
        <v>14.6</v>
      </c>
      <c r="K7690">
        <v>86</v>
      </c>
      <c r="L7690">
        <v>5.83</v>
      </c>
      <c r="M7690">
        <v>31.5</v>
      </c>
      <c r="N7690">
        <v>14.7</v>
      </c>
      <c r="O7690">
        <v>16.8</v>
      </c>
      <c r="P7690">
        <v>23</v>
      </c>
      <c r="Q7690">
        <v>22</v>
      </c>
      <c r="R7690">
        <v>23.4</v>
      </c>
      <c r="S7690">
        <v>21.8</v>
      </c>
      <c r="T7690">
        <v>1220</v>
      </c>
      <c r="U7690">
        <v>193</v>
      </c>
      <c r="V7690">
        <v>59</v>
      </c>
      <c r="W7690">
        <v>38</v>
      </c>
      <c r="X7690">
        <v>489</v>
      </c>
      <c r="Y7690">
        <v>224</v>
      </c>
      <c r="Z7690">
        <v>288</v>
      </c>
      <c r="AA7690">
        <v>232</v>
      </c>
      <c r="AB7690">
        <v>8.0565669999999994</v>
      </c>
      <c r="AC7690">
        <v>9.5063250000000002E-2</v>
      </c>
      <c r="AD7690">
        <v>1.402048</v>
      </c>
      <c r="AE7690">
        <v>0.73009820000000003</v>
      </c>
      <c r="AF7690">
        <v>1164.1179999999999</v>
      </c>
      <c r="AG7690">
        <f>IFERROR(AH7690*0.1, "N/A")</f>
        <v>6.1000000000000005</v>
      </c>
      <c r="AH7690">
        <v>61</v>
      </c>
      <c r="AI7690">
        <v>179.23220000000001</v>
      </c>
      <c r="AJ7690">
        <v>38.52993</v>
      </c>
      <c r="AK7690">
        <v>41.94014</v>
      </c>
    </row>
    <row r="7691" spans="1:37" x14ac:dyDescent="0.3">
      <c r="A7691">
        <v>7690</v>
      </c>
      <c r="B7691">
        <v>28.3</v>
      </c>
      <c r="C7691">
        <v>34.903399999999998</v>
      </c>
      <c r="D7691">
        <v>-0.32622699999999999</v>
      </c>
      <c r="E7691" t="s">
        <v>11435</v>
      </c>
      <c r="F7691" t="s">
        <v>11436</v>
      </c>
      <c r="G7691" t="s">
        <v>39</v>
      </c>
      <c r="H7691">
        <v>1971</v>
      </c>
      <c r="I7691">
        <v>22.5</v>
      </c>
      <c r="J7691">
        <v>14.7</v>
      </c>
      <c r="K7691">
        <v>86</v>
      </c>
      <c r="L7691">
        <v>5.97</v>
      </c>
      <c r="M7691">
        <v>31.3</v>
      </c>
      <c r="N7691">
        <v>14.4</v>
      </c>
      <c r="O7691">
        <v>16.899999999999999</v>
      </c>
      <c r="P7691">
        <v>22.8</v>
      </c>
      <c r="Q7691">
        <v>21.8</v>
      </c>
      <c r="R7691">
        <v>23.2</v>
      </c>
      <c r="S7691">
        <v>21.6</v>
      </c>
      <c r="T7691">
        <v>1234</v>
      </c>
      <c r="U7691">
        <v>193</v>
      </c>
      <c r="V7691">
        <v>58</v>
      </c>
      <c r="W7691">
        <v>38</v>
      </c>
      <c r="X7691">
        <v>493</v>
      </c>
      <c r="Y7691">
        <v>231</v>
      </c>
      <c r="Z7691">
        <v>286</v>
      </c>
      <c r="AA7691">
        <v>237</v>
      </c>
      <c r="AB7691">
        <v>35.273569999999999</v>
      </c>
      <c r="AC7691">
        <v>1.00225E-2</v>
      </c>
      <c r="AD7691">
        <v>1.5043040000000001</v>
      </c>
      <c r="AE7691">
        <v>0.75607239999999998</v>
      </c>
      <c r="AF7691">
        <v>1193.1669999999999</v>
      </c>
      <c r="AG7691">
        <f>IFERROR(AH7691*0.1, "N/A")</f>
        <v>6.3360920000000007</v>
      </c>
      <c r="AH7691">
        <v>63.36092</v>
      </c>
      <c r="AI7691">
        <v>213.8321</v>
      </c>
      <c r="AJ7691">
        <v>34.822180000000003</v>
      </c>
      <c r="AK7691">
        <v>46.63908</v>
      </c>
    </row>
    <row r="7692" spans="1:37" x14ac:dyDescent="0.3">
      <c r="A7692">
        <v>7691</v>
      </c>
      <c r="B7692">
        <v>5.9</v>
      </c>
      <c r="C7692">
        <v>34.903399999999998</v>
      </c>
      <c r="D7692">
        <v>-0.32622699999999999</v>
      </c>
      <c r="E7692" t="s">
        <v>11435</v>
      </c>
      <c r="F7692" t="s">
        <v>11437</v>
      </c>
      <c r="G7692" t="s">
        <v>37</v>
      </c>
      <c r="H7692">
        <v>1971</v>
      </c>
      <c r="I7692">
        <v>22.5</v>
      </c>
      <c r="J7692">
        <v>14.7</v>
      </c>
      <c r="K7692">
        <v>86</v>
      </c>
      <c r="L7692">
        <v>5.97</v>
      </c>
      <c r="M7692">
        <v>31.3</v>
      </c>
      <c r="N7692">
        <v>14.4</v>
      </c>
      <c r="O7692">
        <v>16.899999999999999</v>
      </c>
      <c r="P7692">
        <v>22.8</v>
      </c>
      <c r="Q7692">
        <v>21.8</v>
      </c>
      <c r="R7692">
        <v>23.2</v>
      </c>
      <c r="S7692">
        <v>21.6</v>
      </c>
      <c r="T7692">
        <v>1234</v>
      </c>
      <c r="U7692">
        <v>193</v>
      </c>
      <c r="V7692">
        <v>58</v>
      </c>
      <c r="W7692">
        <v>38</v>
      </c>
      <c r="X7692">
        <v>493</v>
      </c>
      <c r="Y7692">
        <v>231</v>
      </c>
      <c r="Z7692">
        <v>286</v>
      </c>
      <c r="AA7692">
        <v>237</v>
      </c>
      <c r="AB7692">
        <v>35.273569999999999</v>
      </c>
      <c r="AC7692">
        <v>1.00225E-2</v>
      </c>
      <c r="AD7692">
        <v>1.5043040000000001</v>
      </c>
      <c r="AE7692">
        <v>0.75607239999999998</v>
      </c>
      <c r="AF7692">
        <v>1193.1669999999999</v>
      </c>
      <c r="AG7692">
        <f>IFERROR(AH7692*0.1, "N/A")</f>
        <v>6.3360920000000007</v>
      </c>
      <c r="AH7692">
        <v>63.36092</v>
      </c>
      <c r="AI7692">
        <v>213.8321</v>
      </c>
      <c r="AJ7692">
        <v>34.822180000000003</v>
      </c>
      <c r="AK7692">
        <v>46.63908</v>
      </c>
    </row>
    <row r="7693" spans="1:37" x14ac:dyDescent="0.3">
      <c r="A7693">
        <v>7692</v>
      </c>
      <c r="B7693">
        <v>17.5</v>
      </c>
      <c r="C7693">
        <v>34.844499999999996</v>
      </c>
      <c r="D7693">
        <v>-0.32674900000000001</v>
      </c>
      <c r="E7693" t="s">
        <v>11438</v>
      </c>
      <c r="F7693" t="s">
        <v>11439</v>
      </c>
      <c r="G7693" t="s">
        <v>39</v>
      </c>
      <c r="H7693">
        <v>1971</v>
      </c>
      <c r="I7693">
        <v>22.7</v>
      </c>
      <c r="J7693">
        <v>14.5</v>
      </c>
      <c r="K7693">
        <v>86</v>
      </c>
      <c r="L7693">
        <v>5.88</v>
      </c>
      <c r="M7693">
        <v>31.4</v>
      </c>
      <c r="N7693">
        <v>14.7</v>
      </c>
      <c r="O7693">
        <v>16.7</v>
      </c>
      <c r="P7693">
        <v>22.9</v>
      </c>
      <c r="Q7693">
        <v>21.9</v>
      </c>
      <c r="R7693">
        <v>23.4</v>
      </c>
      <c r="S7693">
        <v>21.8</v>
      </c>
      <c r="T7693">
        <v>1197</v>
      </c>
      <c r="U7693">
        <v>185</v>
      </c>
      <c r="V7693">
        <v>53</v>
      </c>
      <c r="W7693">
        <v>39</v>
      </c>
      <c r="X7693">
        <v>483</v>
      </c>
      <c r="Y7693">
        <v>226</v>
      </c>
      <c r="Z7693">
        <v>272</v>
      </c>
      <c r="AA7693">
        <v>230</v>
      </c>
      <c r="AB7693">
        <v>14.74493</v>
      </c>
      <c r="AC7693">
        <v>5.355157E-2</v>
      </c>
      <c r="AD7693">
        <v>1.8592329999999999</v>
      </c>
      <c r="AE7693">
        <v>0.7123041</v>
      </c>
      <c r="AF7693">
        <v>1156.201</v>
      </c>
      <c r="AG7693">
        <f>IFERROR(AH7693*0.1, "N/A")</f>
        <v>5.7</v>
      </c>
      <c r="AH7693">
        <v>57</v>
      </c>
      <c r="AI7693">
        <v>198.76779999999999</v>
      </c>
      <c r="AJ7693">
        <v>31.088339999999999</v>
      </c>
      <c r="AK7693">
        <v>51.770319999999998</v>
      </c>
    </row>
    <row r="7694" spans="1:37" x14ac:dyDescent="0.3">
      <c r="A7694">
        <v>7693</v>
      </c>
      <c r="B7694">
        <v>2</v>
      </c>
      <c r="C7694">
        <v>34.844499999999996</v>
      </c>
      <c r="D7694">
        <v>-0.32674900000000001</v>
      </c>
      <c r="E7694" t="s">
        <v>11438</v>
      </c>
      <c r="F7694" t="s">
        <v>11440</v>
      </c>
      <c r="G7694" t="s">
        <v>37</v>
      </c>
      <c r="H7694">
        <v>1971</v>
      </c>
      <c r="I7694">
        <v>22.7</v>
      </c>
      <c r="J7694">
        <v>14.5</v>
      </c>
      <c r="K7694">
        <v>86</v>
      </c>
      <c r="L7694">
        <v>5.88</v>
      </c>
      <c r="M7694">
        <v>31.4</v>
      </c>
      <c r="N7694">
        <v>14.7</v>
      </c>
      <c r="O7694">
        <v>16.7</v>
      </c>
      <c r="P7694">
        <v>22.9</v>
      </c>
      <c r="Q7694">
        <v>21.9</v>
      </c>
      <c r="R7694">
        <v>23.4</v>
      </c>
      <c r="S7694">
        <v>21.8</v>
      </c>
      <c r="T7694">
        <v>1197</v>
      </c>
      <c r="U7694">
        <v>185</v>
      </c>
      <c r="V7694">
        <v>53</v>
      </c>
      <c r="W7694">
        <v>39</v>
      </c>
      <c r="X7694">
        <v>483</v>
      </c>
      <c r="Y7694">
        <v>226</v>
      </c>
      <c r="Z7694">
        <v>272</v>
      </c>
      <c r="AA7694">
        <v>230</v>
      </c>
      <c r="AB7694">
        <v>14.74493</v>
      </c>
      <c r="AC7694">
        <v>5.355157E-2</v>
      </c>
      <c r="AD7694">
        <v>1.8592329999999999</v>
      </c>
      <c r="AE7694">
        <v>0.7123041</v>
      </c>
      <c r="AF7694">
        <v>1156.201</v>
      </c>
      <c r="AG7694">
        <f>IFERROR(AH7694*0.1, "N/A")</f>
        <v>5.7</v>
      </c>
      <c r="AH7694">
        <v>57</v>
      </c>
      <c r="AI7694">
        <v>198.76779999999999</v>
      </c>
      <c r="AJ7694">
        <v>31.088339999999999</v>
      </c>
      <c r="AK7694">
        <v>51.770319999999998</v>
      </c>
    </row>
    <row r="7695" spans="1:37" x14ac:dyDescent="0.3">
      <c r="A7695">
        <v>7694</v>
      </c>
      <c r="B7695">
        <v>17.5</v>
      </c>
      <c r="C7695">
        <v>34.853999999999999</v>
      </c>
      <c r="D7695">
        <v>-0.33374799999999999</v>
      </c>
      <c r="E7695" t="s">
        <v>11441</v>
      </c>
      <c r="F7695" t="s">
        <v>11442</v>
      </c>
      <c r="G7695" t="s">
        <v>39</v>
      </c>
      <c r="H7695">
        <v>1971</v>
      </c>
      <c r="I7695">
        <v>22.51567</v>
      </c>
      <c r="J7695">
        <v>14.6</v>
      </c>
      <c r="K7695">
        <v>86.156689999999998</v>
      </c>
      <c r="L7695">
        <v>5.9258980000000001</v>
      </c>
      <c r="M7695">
        <v>31.3</v>
      </c>
      <c r="N7695">
        <v>14.51567</v>
      </c>
      <c r="O7695">
        <v>16.784330000000001</v>
      </c>
      <c r="P7695">
        <v>22.815670000000001</v>
      </c>
      <c r="Q7695">
        <v>21.8</v>
      </c>
      <c r="R7695">
        <v>23.215669999999999</v>
      </c>
      <c r="S7695">
        <v>21.615670000000001</v>
      </c>
      <c r="T7695">
        <v>1218.1199999999999</v>
      </c>
      <c r="U7695">
        <v>188.6866</v>
      </c>
      <c r="V7695">
        <v>54.843310000000002</v>
      </c>
      <c r="W7695">
        <v>38</v>
      </c>
      <c r="X7695">
        <v>489.3732</v>
      </c>
      <c r="Y7695">
        <v>231.3732</v>
      </c>
      <c r="Z7695">
        <v>276.6866</v>
      </c>
      <c r="AA7695">
        <v>235.3732</v>
      </c>
      <c r="AB7695">
        <v>9.4070250000000009</v>
      </c>
      <c r="AC7695">
        <v>0.16972010000000001</v>
      </c>
      <c r="AD7695">
        <v>1.35131</v>
      </c>
      <c r="AE7695">
        <v>0.78013089999999996</v>
      </c>
      <c r="AF7695">
        <v>1180.5530000000001</v>
      </c>
      <c r="AG7695">
        <f>IFERROR(AH7695*0.1, "N/A")</f>
        <v>5.8000000000000007</v>
      </c>
      <c r="AH7695">
        <v>58</v>
      </c>
      <c r="AI7695">
        <v>311.90640000000002</v>
      </c>
      <c r="AJ7695">
        <v>32.65493</v>
      </c>
      <c r="AK7695">
        <v>48</v>
      </c>
    </row>
    <row r="7696" spans="1:37" x14ac:dyDescent="0.3">
      <c r="A7696">
        <v>7695</v>
      </c>
      <c r="B7696">
        <v>10.9</v>
      </c>
      <c r="C7696">
        <v>34.853999999999999</v>
      </c>
      <c r="D7696">
        <v>-0.33374799999999999</v>
      </c>
      <c r="E7696" t="s">
        <v>11441</v>
      </c>
      <c r="F7696" t="s">
        <v>11443</v>
      </c>
      <c r="G7696" t="s">
        <v>37</v>
      </c>
      <c r="H7696">
        <v>1971</v>
      </c>
      <c r="I7696">
        <v>22.51567</v>
      </c>
      <c r="J7696">
        <v>14.6</v>
      </c>
      <c r="K7696">
        <v>86.156689999999998</v>
      </c>
      <c r="L7696">
        <v>5.9258980000000001</v>
      </c>
      <c r="M7696">
        <v>31.3</v>
      </c>
      <c r="N7696">
        <v>14.51567</v>
      </c>
      <c r="O7696">
        <v>16.784330000000001</v>
      </c>
      <c r="P7696">
        <v>22.815670000000001</v>
      </c>
      <c r="Q7696">
        <v>21.8</v>
      </c>
      <c r="R7696">
        <v>23.215669999999999</v>
      </c>
      <c r="S7696">
        <v>21.615670000000001</v>
      </c>
      <c r="T7696">
        <v>1218.1199999999999</v>
      </c>
      <c r="U7696">
        <v>188.6866</v>
      </c>
      <c r="V7696">
        <v>54.843310000000002</v>
      </c>
      <c r="W7696">
        <v>38</v>
      </c>
      <c r="X7696">
        <v>489.3732</v>
      </c>
      <c r="Y7696">
        <v>231.3732</v>
      </c>
      <c r="Z7696">
        <v>276.6866</v>
      </c>
      <c r="AA7696">
        <v>235.3732</v>
      </c>
      <c r="AB7696">
        <v>9.4070250000000009</v>
      </c>
      <c r="AC7696">
        <v>0.16972010000000001</v>
      </c>
      <c r="AD7696">
        <v>1.35131</v>
      </c>
      <c r="AE7696">
        <v>0.78013089999999996</v>
      </c>
      <c r="AF7696">
        <v>1180.5530000000001</v>
      </c>
      <c r="AG7696">
        <f>IFERROR(AH7696*0.1, "N/A")</f>
        <v>5.8000000000000007</v>
      </c>
      <c r="AH7696">
        <v>58</v>
      </c>
      <c r="AI7696">
        <v>311.90640000000002</v>
      </c>
      <c r="AJ7696">
        <v>32.65493</v>
      </c>
      <c r="AK7696">
        <v>48</v>
      </c>
    </row>
    <row r="7697" spans="1:37" x14ac:dyDescent="0.3">
      <c r="A7697">
        <v>7696</v>
      </c>
      <c r="B7697">
        <v>13.2</v>
      </c>
      <c r="C7697">
        <v>34.168199999999999</v>
      </c>
      <c r="D7697">
        <v>-0.37968400000000002</v>
      </c>
      <c r="E7697" t="s">
        <v>11444</v>
      </c>
      <c r="F7697" t="s">
        <v>11445</v>
      </c>
      <c r="G7697" t="s">
        <v>37</v>
      </c>
      <c r="H7697">
        <v>1974</v>
      </c>
      <c r="I7697">
        <v>22.6</v>
      </c>
      <c r="J7697">
        <v>13</v>
      </c>
      <c r="K7697">
        <v>85</v>
      </c>
      <c r="L7697">
        <v>5.95</v>
      </c>
      <c r="M7697">
        <v>30.4</v>
      </c>
      <c r="N7697">
        <v>15.2</v>
      </c>
      <c r="O7697">
        <v>15.2</v>
      </c>
      <c r="P7697">
        <v>22.8</v>
      </c>
      <c r="Q7697">
        <v>21.7</v>
      </c>
      <c r="R7697">
        <v>23.3</v>
      </c>
      <c r="S7697">
        <v>21.7</v>
      </c>
      <c r="T7697">
        <v>976</v>
      </c>
      <c r="U7697">
        <v>165</v>
      </c>
      <c r="V7697">
        <v>39</v>
      </c>
      <c r="W7697">
        <v>49</v>
      </c>
      <c r="X7697">
        <v>418</v>
      </c>
      <c r="Y7697">
        <v>134</v>
      </c>
      <c r="Z7697">
        <v>221</v>
      </c>
      <c r="AA7697">
        <v>134</v>
      </c>
      <c r="AB7697">
        <v>39.5062</v>
      </c>
      <c r="AC7697">
        <v>2.2593499999999999E-2</v>
      </c>
      <c r="AD7697">
        <v>4.9137420000000001</v>
      </c>
      <c r="AE7697">
        <v>0.70905669999999998</v>
      </c>
      <c r="AF7697">
        <v>1169.1859999999999</v>
      </c>
      <c r="AG7697">
        <f>IFERROR(AH7697*0.1, "N/A")</f>
        <v>6.3794380000000004</v>
      </c>
      <c r="AH7697">
        <v>63.794379999999997</v>
      </c>
      <c r="AI7697">
        <v>66.957409999999996</v>
      </c>
      <c r="AJ7697">
        <v>40.210900000000002</v>
      </c>
      <c r="AK7697">
        <v>39.098419999999997</v>
      </c>
    </row>
    <row r="7698" spans="1:37" x14ac:dyDescent="0.3">
      <c r="A7698">
        <v>7697</v>
      </c>
      <c r="B7698">
        <v>33.799999999999997</v>
      </c>
      <c r="C7698">
        <v>34.2134</v>
      </c>
      <c r="D7698">
        <v>-0.38220500000000002</v>
      </c>
      <c r="E7698" t="s">
        <v>11446</v>
      </c>
      <c r="F7698" t="s">
        <v>11447</v>
      </c>
      <c r="G7698" t="s">
        <v>37</v>
      </c>
      <c r="H7698">
        <v>1974</v>
      </c>
      <c r="I7698">
        <v>22.7</v>
      </c>
      <c r="J7698">
        <v>13.2</v>
      </c>
      <c r="K7698">
        <v>86</v>
      </c>
      <c r="L7698">
        <v>6.28</v>
      </c>
      <c r="M7698">
        <v>30.6</v>
      </c>
      <c r="N7698">
        <v>15.3</v>
      </c>
      <c r="O7698">
        <v>15.3</v>
      </c>
      <c r="P7698">
        <v>22.9</v>
      </c>
      <c r="Q7698">
        <v>21.8</v>
      </c>
      <c r="R7698">
        <v>23.4</v>
      </c>
      <c r="S7698">
        <v>21.8</v>
      </c>
      <c r="T7698">
        <v>989</v>
      </c>
      <c r="U7698">
        <v>169</v>
      </c>
      <c r="V7698">
        <v>39</v>
      </c>
      <c r="W7698">
        <v>48</v>
      </c>
      <c r="X7698">
        <v>424</v>
      </c>
      <c r="Y7698">
        <v>141</v>
      </c>
      <c r="Z7698">
        <v>221</v>
      </c>
      <c r="AA7698">
        <v>141</v>
      </c>
      <c r="AB7698">
        <v>23.799130000000002</v>
      </c>
      <c r="AC7698">
        <v>1.670338E-2</v>
      </c>
      <c r="AD7698">
        <v>3.6895859999999998</v>
      </c>
      <c r="AE7698">
        <v>0.47484219999999999</v>
      </c>
      <c r="AF7698">
        <v>1150.575</v>
      </c>
      <c r="AG7698">
        <f>IFERROR(AH7698*0.1, "N/A")</f>
        <v>6.7</v>
      </c>
      <c r="AH7698">
        <v>67</v>
      </c>
      <c r="AI7698">
        <v>304.13979999999998</v>
      </c>
      <c r="AJ7698">
        <v>37</v>
      </c>
      <c r="AK7698">
        <v>40</v>
      </c>
    </row>
    <row r="7699" spans="1:37" x14ac:dyDescent="0.3">
      <c r="A7699">
        <v>7698</v>
      </c>
      <c r="B7699">
        <v>19.7</v>
      </c>
      <c r="C7699">
        <v>34.216200000000001</v>
      </c>
      <c r="D7699">
        <v>-0.382602</v>
      </c>
      <c r="E7699" t="s">
        <v>11448</v>
      </c>
      <c r="F7699" t="s">
        <v>11449</v>
      </c>
      <c r="G7699" t="s">
        <v>37</v>
      </c>
      <c r="H7699">
        <v>1974</v>
      </c>
      <c r="I7699">
        <v>22.69613</v>
      </c>
      <c r="J7699">
        <v>13.2</v>
      </c>
      <c r="K7699">
        <v>85.961269999999999</v>
      </c>
      <c r="L7699">
        <v>6.2772889999999997</v>
      </c>
      <c r="M7699">
        <v>30.6</v>
      </c>
      <c r="N7699">
        <v>15.29613</v>
      </c>
      <c r="O7699">
        <v>15.30387</v>
      </c>
      <c r="P7699">
        <v>22.9</v>
      </c>
      <c r="Q7699">
        <v>21.796130000000002</v>
      </c>
      <c r="R7699">
        <v>23.4</v>
      </c>
      <c r="S7699">
        <v>21.796130000000002</v>
      </c>
      <c r="T7699">
        <v>989.30989999999997</v>
      </c>
      <c r="U7699">
        <v>169.07749999999999</v>
      </c>
      <c r="V7699">
        <v>39</v>
      </c>
      <c r="W7699">
        <v>48</v>
      </c>
      <c r="X7699">
        <v>424.1549</v>
      </c>
      <c r="Y7699">
        <v>141.07749999999999</v>
      </c>
      <c r="Z7699">
        <v>221.03870000000001</v>
      </c>
      <c r="AA7699">
        <v>141.07749999999999</v>
      </c>
      <c r="AB7699">
        <v>19.29965</v>
      </c>
      <c r="AC7699">
        <v>1.6102129999999999E-2</v>
      </c>
      <c r="AD7699">
        <v>4.0437339999999997</v>
      </c>
      <c r="AE7699">
        <v>0.52911799999999998</v>
      </c>
      <c r="AF7699">
        <v>1150.2249999999999</v>
      </c>
      <c r="AG7699">
        <f>IFERROR(AH7699*0.1, "N/A")</f>
        <v>6.6839789999999999</v>
      </c>
      <c r="AH7699">
        <v>66.839789999999994</v>
      </c>
      <c r="AI7699">
        <v>126.504</v>
      </c>
      <c r="AJ7699">
        <v>36.97007</v>
      </c>
      <c r="AK7699">
        <v>39.973590000000002</v>
      </c>
    </row>
    <row r="7700" spans="1:37" x14ac:dyDescent="0.3">
      <c r="A7700">
        <v>7699</v>
      </c>
      <c r="B7700">
        <v>85.8</v>
      </c>
      <c r="C7700">
        <v>34.300800000000002</v>
      </c>
      <c r="D7700">
        <v>-0.38261699999999998</v>
      </c>
      <c r="E7700" t="s">
        <v>11450</v>
      </c>
      <c r="F7700" t="s">
        <v>11451</v>
      </c>
      <c r="G7700" t="s">
        <v>37</v>
      </c>
      <c r="H7700">
        <v>2010</v>
      </c>
      <c r="I7700">
        <v>22.6</v>
      </c>
      <c r="J7700">
        <v>13.48592</v>
      </c>
      <c r="K7700">
        <v>85</v>
      </c>
      <c r="L7700">
        <v>6.4219720000000002</v>
      </c>
      <c r="M7700">
        <v>30.7</v>
      </c>
      <c r="N7700">
        <v>15.01408</v>
      </c>
      <c r="O7700">
        <v>15.685919999999999</v>
      </c>
      <c r="P7700">
        <v>22.9</v>
      </c>
      <c r="Q7700">
        <v>21.628170000000001</v>
      </c>
      <c r="R7700">
        <v>23.4</v>
      </c>
      <c r="S7700">
        <v>21.614080000000001</v>
      </c>
      <c r="T7700">
        <v>1056.8869999999999</v>
      </c>
      <c r="U7700">
        <v>182.7183</v>
      </c>
      <c r="V7700">
        <v>39.85915</v>
      </c>
      <c r="W7700">
        <v>46.14085</v>
      </c>
      <c r="X7700">
        <v>449.4366</v>
      </c>
      <c r="Y7700">
        <v>165.29580000000001</v>
      </c>
      <c r="Z7700">
        <v>228.7183</v>
      </c>
      <c r="AA7700">
        <v>165.4366</v>
      </c>
      <c r="AB7700">
        <v>44.49033</v>
      </c>
      <c r="AC7700">
        <v>8.5476700000000003E-3</v>
      </c>
      <c r="AD7700">
        <v>1.0307770000000001</v>
      </c>
      <c r="AE7700">
        <v>0.75363550000000001</v>
      </c>
      <c r="AF7700">
        <v>1182.643</v>
      </c>
      <c r="AG7700">
        <f>IFERROR(AH7700*0.1, "N/A")</f>
        <v>6.1996479999999998</v>
      </c>
      <c r="AH7700">
        <v>61.996479999999998</v>
      </c>
      <c r="AI7700">
        <v>244.93029999999999</v>
      </c>
      <c r="AJ7700">
        <v>39.857390000000002</v>
      </c>
      <c r="AK7700">
        <v>43</v>
      </c>
    </row>
    <row r="7701" spans="1:37" x14ac:dyDescent="0.3">
      <c r="A7701">
        <v>7700</v>
      </c>
      <c r="B7701">
        <v>8.4</v>
      </c>
      <c r="C7701">
        <v>34.164299999999997</v>
      </c>
      <c r="D7701">
        <v>-0.39800099999999999</v>
      </c>
      <c r="E7701" t="s">
        <v>11452</v>
      </c>
      <c r="F7701" t="s">
        <v>11453</v>
      </c>
      <c r="G7701" t="s">
        <v>37</v>
      </c>
      <c r="H7701">
        <v>1974</v>
      </c>
      <c r="I7701">
        <v>22.6</v>
      </c>
      <c r="J7701">
        <v>13</v>
      </c>
      <c r="K7701">
        <v>85</v>
      </c>
      <c r="L7701">
        <v>6.15</v>
      </c>
      <c r="M7701">
        <v>30.5</v>
      </c>
      <c r="N7701">
        <v>15.3</v>
      </c>
      <c r="O7701">
        <v>15.2</v>
      </c>
      <c r="P7701">
        <v>22.9</v>
      </c>
      <c r="Q7701">
        <v>21.7</v>
      </c>
      <c r="R7701">
        <v>23.4</v>
      </c>
      <c r="S7701">
        <v>21.7</v>
      </c>
      <c r="T7701">
        <v>974</v>
      </c>
      <c r="U7701">
        <v>165</v>
      </c>
      <c r="V7701">
        <v>38</v>
      </c>
      <c r="W7701">
        <v>50</v>
      </c>
      <c r="X7701">
        <v>419</v>
      </c>
      <c r="Y7701">
        <v>131</v>
      </c>
      <c r="Z7701">
        <v>221</v>
      </c>
      <c r="AA7701">
        <v>131</v>
      </c>
      <c r="AB7701">
        <v>13.28013</v>
      </c>
      <c r="AC7701">
        <v>1.388994E-2</v>
      </c>
      <c r="AD7701">
        <v>2.6242510000000001</v>
      </c>
      <c r="AE7701">
        <v>0.68259970000000003</v>
      </c>
      <c r="AF7701">
        <v>1151.2239999999999</v>
      </c>
      <c r="AG7701">
        <f>IFERROR(AH7701*0.1, "N/A")</f>
        <v>6.4540490000000013</v>
      </c>
      <c r="AH7701">
        <v>64.540490000000005</v>
      </c>
      <c r="AI7701">
        <v>251.8048</v>
      </c>
      <c r="AJ7701">
        <v>40.846829999999997</v>
      </c>
      <c r="AK7701">
        <v>43.153170000000003</v>
      </c>
    </row>
    <row r="7702" spans="1:37" x14ac:dyDescent="0.3">
      <c r="A7702">
        <v>7701</v>
      </c>
      <c r="B7702">
        <v>10.4</v>
      </c>
      <c r="C7702">
        <v>34.167499999999997</v>
      </c>
      <c r="D7702">
        <v>-0.39873799999999998</v>
      </c>
      <c r="E7702" t="s">
        <v>11454</v>
      </c>
      <c r="F7702" t="s">
        <v>11455</v>
      </c>
      <c r="G7702" t="s">
        <v>37</v>
      </c>
      <c r="H7702">
        <v>1974</v>
      </c>
      <c r="I7702">
        <v>22.4</v>
      </c>
      <c r="J7702">
        <v>13.1</v>
      </c>
      <c r="K7702">
        <v>85</v>
      </c>
      <c r="L7702">
        <v>6.29</v>
      </c>
      <c r="M7702">
        <v>30.3</v>
      </c>
      <c r="N7702">
        <v>14.9</v>
      </c>
      <c r="O7702">
        <v>15.4</v>
      </c>
      <c r="P7702">
        <v>22.6</v>
      </c>
      <c r="Q7702">
        <v>21.5</v>
      </c>
      <c r="R7702">
        <v>23.1</v>
      </c>
      <c r="S7702">
        <v>21.5</v>
      </c>
      <c r="T7702">
        <v>998</v>
      </c>
      <c r="U7702">
        <v>168</v>
      </c>
      <c r="V7702">
        <v>40</v>
      </c>
      <c r="W7702">
        <v>48</v>
      </c>
      <c r="X7702">
        <v>423</v>
      </c>
      <c r="Y7702">
        <v>138</v>
      </c>
      <c r="Z7702">
        <v>222</v>
      </c>
      <c r="AA7702">
        <v>138</v>
      </c>
      <c r="AB7702">
        <v>4.3169009999999997</v>
      </c>
      <c r="AC7702">
        <v>0.35650330000000002</v>
      </c>
      <c r="AD7702">
        <v>2.9835729999999998</v>
      </c>
      <c r="AE7702">
        <v>0.68259970000000003</v>
      </c>
      <c r="AF7702">
        <v>1167.0160000000001</v>
      </c>
      <c r="AG7702">
        <f>IFERROR(AH7702*0.1, "N/A")</f>
        <v>6.2610920000000005</v>
      </c>
      <c r="AH7702">
        <v>62.61092</v>
      </c>
      <c r="AI7702">
        <v>244.53919999999999</v>
      </c>
      <c r="AJ7702">
        <v>40.38908</v>
      </c>
      <c r="AK7702">
        <v>41.38908</v>
      </c>
    </row>
    <row r="7703" spans="1:37" x14ac:dyDescent="0.3">
      <c r="A7703">
        <v>7702</v>
      </c>
      <c r="B7703">
        <v>31.2</v>
      </c>
      <c r="C7703">
        <v>34.192999999999998</v>
      </c>
      <c r="D7703">
        <v>-0.40252900000000003</v>
      </c>
      <c r="E7703" t="s">
        <v>11456</v>
      </c>
      <c r="F7703" t="s">
        <v>11457</v>
      </c>
      <c r="G7703" t="s">
        <v>37</v>
      </c>
      <c r="H7703">
        <v>1974</v>
      </c>
      <c r="I7703">
        <v>22.6</v>
      </c>
      <c r="J7703">
        <v>13.1</v>
      </c>
      <c r="K7703">
        <v>85</v>
      </c>
      <c r="L7703">
        <v>6.25</v>
      </c>
      <c r="M7703">
        <v>30.5</v>
      </c>
      <c r="N7703">
        <v>15.2</v>
      </c>
      <c r="O7703">
        <v>15.3</v>
      </c>
      <c r="P7703">
        <v>22.9</v>
      </c>
      <c r="Q7703">
        <v>21.7</v>
      </c>
      <c r="R7703">
        <v>23.4</v>
      </c>
      <c r="S7703">
        <v>21.7</v>
      </c>
      <c r="T7703">
        <v>992</v>
      </c>
      <c r="U7703">
        <v>169</v>
      </c>
      <c r="V7703">
        <v>39</v>
      </c>
      <c r="W7703">
        <v>49</v>
      </c>
      <c r="X7703">
        <v>426</v>
      </c>
      <c r="Y7703">
        <v>138</v>
      </c>
      <c r="Z7703">
        <v>222</v>
      </c>
      <c r="AA7703">
        <v>138</v>
      </c>
      <c r="AB7703">
        <v>15.6038</v>
      </c>
      <c r="AC7703">
        <v>1.287405E-2</v>
      </c>
      <c r="AD7703">
        <v>2.4080520000000001</v>
      </c>
      <c r="AE7703">
        <v>0.81397249999999999</v>
      </c>
      <c r="AF7703">
        <v>1154.626</v>
      </c>
      <c r="AG7703">
        <f>IFERROR(AH7703*0.1, "N/A")</f>
        <v>6.2</v>
      </c>
      <c r="AH7703">
        <v>62</v>
      </c>
      <c r="AI7703">
        <v>75.31344</v>
      </c>
      <c r="AJ7703">
        <v>36.369070000000001</v>
      </c>
      <c r="AK7703">
        <v>42</v>
      </c>
    </row>
    <row r="7704" spans="1:37" x14ac:dyDescent="0.3">
      <c r="A7704">
        <v>7703</v>
      </c>
      <c r="B7704">
        <v>6.7</v>
      </c>
      <c r="C7704">
        <v>34.201500000000003</v>
      </c>
      <c r="D7704">
        <v>-0.415325</v>
      </c>
      <c r="E7704" t="s">
        <v>11458</v>
      </c>
      <c r="F7704" t="s">
        <v>11459</v>
      </c>
      <c r="G7704" t="s">
        <v>37</v>
      </c>
      <c r="H7704">
        <v>1974</v>
      </c>
      <c r="I7704">
        <v>22.6</v>
      </c>
      <c r="J7704">
        <v>13.2</v>
      </c>
      <c r="K7704">
        <v>85</v>
      </c>
      <c r="L7704">
        <v>6.25</v>
      </c>
      <c r="M7704">
        <v>30.5</v>
      </c>
      <c r="N7704">
        <v>15.1</v>
      </c>
      <c r="O7704">
        <v>15.4</v>
      </c>
      <c r="P7704">
        <v>22.8</v>
      </c>
      <c r="Q7704">
        <v>21.7</v>
      </c>
      <c r="R7704">
        <v>23.3</v>
      </c>
      <c r="S7704">
        <v>21.7</v>
      </c>
      <c r="T7704">
        <v>1003</v>
      </c>
      <c r="U7704">
        <v>171</v>
      </c>
      <c r="V7704">
        <v>39</v>
      </c>
      <c r="W7704">
        <v>49</v>
      </c>
      <c r="X7704">
        <v>429</v>
      </c>
      <c r="Y7704">
        <v>141</v>
      </c>
      <c r="Z7704">
        <v>223</v>
      </c>
      <c r="AA7704">
        <v>141</v>
      </c>
      <c r="AB7704">
        <v>22.510110000000001</v>
      </c>
      <c r="AC7704">
        <v>8.9553859999999992E-3</v>
      </c>
      <c r="AD7704">
        <v>2.5600369999999999</v>
      </c>
      <c r="AE7704" t="s">
        <v>729</v>
      </c>
      <c r="AF7704">
        <v>1150.576</v>
      </c>
      <c r="AG7704">
        <f>IFERROR(AH7704*0.1, "N/A")</f>
        <v>6.6000000000000005</v>
      </c>
      <c r="AH7704">
        <v>66</v>
      </c>
      <c r="AI7704">
        <v>171.3287</v>
      </c>
      <c r="AJ7704">
        <v>39</v>
      </c>
      <c r="AK7704">
        <v>39.26502</v>
      </c>
    </row>
    <row r="7705" spans="1:37" x14ac:dyDescent="0.3">
      <c r="A7705">
        <v>7704</v>
      </c>
      <c r="B7705">
        <v>21.6</v>
      </c>
      <c r="C7705">
        <v>34.137700000000002</v>
      </c>
      <c r="D7705">
        <v>-0.41910399999999998</v>
      </c>
      <c r="E7705" t="s">
        <v>11460</v>
      </c>
      <c r="F7705" t="s">
        <v>11461</v>
      </c>
      <c r="G7705" t="s">
        <v>37</v>
      </c>
      <c r="H7705">
        <v>1974</v>
      </c>
      <c r="I7705">
        <v>22.6</v>
      </c>
      <c r="J7705">
        <v>13</v>
      </c>
      <c r="K7705">
        <v>86</v>
      </c>
      <c r="L7705">
        <v>6.14</v>
      </c>
      <c r="M7705">
        <v>30.4</v>
      </c>
      <c r="N7705">
        <v>15.3</v>
      </c>
      <c r="O7705">
        <v>15.1</v>
      </c>
      <c r="P7705">
        <v>22.8</v>
      </c>
      <c r="Q7705">
        <v>21.7</v>
      </c>
      <c r="R7705">
        <v>23.4</v>
      </c>
      <c r="S7705">
        <v>21.7</v>
      </c>
      <c r="T7705">
        <v>977</v>
      </c>
      <c r="U7705">
        <v>164</v>
      </c>
      <c r="V7705">
        <v>37</v>
      </c>
      <c r="W7705">
        <v>50</v>
      </c>
      <c r="X7705">
        <v>420</v>
      </c>
      <c r="Y7705">
        <v>128</v>
      </c>
      <c r="Z7705">
        <v>224</v>
      </c>
      <c r="AA7705">
        <v>128</v>
      </c>
      <c r="AB7705">
        <v>9.509487</v>
      </c>
      <c r="AC7705">
        <v>8.2186449999999994E-2</v>
      </c>
      <c r="AD7705">
        <v>1.756575</v>
      </c>
      <c r="AE7705">
        <v>0.73315109999999994</v>
      </c>
      <c r="AF7705">
        <v>1148.309</v>
      </c>
      <c r="AG7705">
        <f>IFERROR(AH7705*0.1, "N/A")</f>
        <v>6.305097</v>
      </c>
      <c r="AH7705">
        <v>63.05097</v>
      </c>
      <c r="AI7705">
        <v>33.371830000000003</v>
      </c>
      <c r="AJ7705">
        <v>40.075569999999999</v>
      </c>
      <c r="AK7705">
        <v>42.977150000000002</v>
      </c>
    </row>
    <row r="7706" spans="1:37" x14ac:dyDescent="0.3">
      <c r="A7706">
        <v>7705</v>
      </c>
      <c r="B7706">
        <v>25</v>
      </c>
      <c r="C7706">
        <v>34.158999999999999</v>
      </c>
      <c r="D7706">
        <v>-0.42363099999999998</v>
      </c>
      <c r="E7706" t="s">
        <v>11462</v>
      </c>
      <c r="F7706" t="s">
        <v>11463</v>
      </c>
      <c r="G7706" t="s">
        <v>37</v>
      </c>
      <c r="H7706">
        <v>1974</v>
      </c>
      <c r="I7706">
        <v>22.20722</v>
      </c>
      <c r="J7706">
        <v>13.1</v>
      </c>
      <c r="K7706">
        <v>85.072180000000003</v>
      </c>
      <c r="L7706">
        <v>6.2612329999999998</v>
      </c>
      <c r="M7706">
        <v>30.107220000000002</v>
      </c>
      <c r="N7706">
        <v>14.814439999999999</v>
      </c>
      <c r="O7706">
        <v>15.29278</v>
      </c>
      <c r="P7706">
        <v>22.50722</v>
      </c>
      <c r="Q7706">
        <v>21.314440000000001</v>
      </c>
      <c r="R7706">
        <v>23.00722</v>
      </c>
      <c r="S7706">
        <v>21.314440000000001</v>
      </c>
      <c r="T7706">
        <v>1018.917</v>
      </c>
      <c r="U7706">
        <v>168.85560000000001</v>
      </c>
      <c r="V7706">
        <v>40.927819999999997</v>
      </c>
      <c r="W7706">
        <v>47.072180000000003</v>
      </c>
      <c r="X7706">
        <v>425.85559999999998</v>
      </c>
      <c r="Y7706">
        <v>141.63910000000001</v>
      </c>
      <c r="Z7706">
        <v>225</v>
      </c>
      <c r="AA7706">
        <v>141.63910000000001</v>
      </c>
      <c r="AB7706">
        <v>3.2881770000000001</v>
      </c>
      <c r="AC7706">
        <v>0.26098870000000002</v>
      </c>
      <c r="AD7706">
        <v>3.615008</v>
      </c>
      <c r="AE7706">
        <v>0.81515309999999996</v>
      </c>
      <c r="AF7706">
        <v>1174.521</v>
      </c>
      <c r="AG7706">
        <f>IFERROR(AH7706*0.1, "N/A")</f>
        <v>6.2948940000000002</v>
      </c>
      <c r="AH7706">
        <v>62.94894</v>
      </c>
      <c r="AI7706">
        <v>171.01480000000001</v>
      </c>
      <c r="AJ7706">
        <v>38.746479999999998</v>
      </c>
      <c r="AK7706">
        <v>42.181339999999999</v>
      </c>
    </row>
    <row r="7707" spans="1:37" x14ac:dyDescent="0.3">
      <c r="A7707">
        <v>7706</v>
      </c>
      <c r="B7707">
        <v>100</v>
      </c>
      <c r="C7707">
        <v>34.138599999999997</v>
      </c>
      <c r="D7707">
        <v>-0.42781000000000002</v>
      </c>
      <c r="E7707" t="s">
        <v>11464</v>
      </c>
      <c r="F7707" t="s">
        <v>11465</v>
      </c>
      <c r="G7707" t="s">
        <v>37</v>
      </c>
      <c r="H7707">
        <v>0</v>
      </c>
      <c r="I7707">
        <v>22.6</v>
      </c>
      <c r="J7707">
        <v>13</v>
      </c>
      <c r="K7707">
        <v>86</v>
      </c>
      <c r="L7707">
        <v>6.09</v>
      </c>
      <c r="M7707">
        <v>30.4</v>
      </c>
      <c r="N7707">
        <v>15.3</v>
      </c>
      <c r="O7707">
        <v>15.1</v>
      </c>
      <c r="P7707">
        <v>22.9</v>
      </c>
      <c r="Q7707">
        <v>21.8</v>
      </c>
      <c r="R7707">
        <v>23.4</v>
      </c>
      <c r="S7707">
        <v>21.8</v>
      </c>
      <c r="T7707">
        <v>977</v>
      </c>
      <c r="U7707">
        <v>164</v>
      </c>
      <c r="V7707">
        <v>37</v>
      </c>
      <c r="W7707">
        <v>50</v>
      </c>
      <c r="X7707">
        <v>422</v>
      </c>
      <c r="Y7707">
        <v>127</v>
      </c>
      <c r="Z7707">
        <v>224</v>
      </c>
      <c r="AA7707">
        <v>127</v>
      </c>
      <c r="AB7707">
        <v>5.0993170000000001</v>
      </c>
      <c r="AC7707">
        <v>8.1119529999999995E-2</v>
      </c>
      <c r="AD7707">
        <v>2.2841239999999998</v>
      </c>
      <c r="AE7707">
        <v>0.58275160000000004</v>
      </c>
      <c r="AF7707">
        <v>1135.626</v>
      </c>
      <c r="AG7707">
        <f>IFERROR(AH7707*0.1, "N/A")</f>
        <v>6.4664900000000003</v>
      </c>
      <c r="AH7707">
        <v>64.664900000000003</v>
      </c>
      <c r="AI7707">
        <v>139.42250000000001</v>
      </c>
      <c r="AJ7707">
        <v>39.996470000000002</v>
      </c>
      <c r="AK7707">
        <v>42.342149999999997</v>
      </c>
    </row>
    <row r="7708" spans="1:37" x14ac:dyDescent="0.3">
      <c r="A7708">
        <v>7707</v>
      </c>
      <c r="B7708">
        <v>100</v>
      </c>
      <c r="C7708">
        <v>34.039700000000003</v>
      </c>
      <c r="D7708">
        <v>-0.43556099999999998</v>
      </c>
      <c r="E7708" t="s">
        <v>11466</v>
      </c>
      <c r="F7708" t="s">
        <v>11467</v>
      </c>
      <c r="G7708" t="s">
        <v>37</v>
      </c>
      <c r="H7708">
        <v>0</v>
      </c>
      <c r="I7708">
        <v>22.4</v>
      </c>
      <c r="J7708">
        <v>12.7</v>
      </c>
      <c r="K7708">
        <v>85</v>
      </c>
      <c r="L7708">
        <v>6.02</v>
      </c>
      <c r="M7708">
        <v>30</v>
      </c>
      <c r="N7708">
        <v>15.2</v>
      </c>
      <c r="O7708">
        <v>14.8</v>
      </c>
      <c r="P7708">
        <v>22.7</v>
      </c>
      <c r="Q7708">
        <v>21.5</v>
      </c>
      <c r="R7708">
        <v>23.1</v>
      </c>
      <c r="S7708">
        <v>21.5</v>
      </c>
      <c r="T7708">
        <v>989</v>
      </c>
      <c r="U7708">
        <v>161</v>
      </c>
      <c r="V7708">
        <v>35</v>
      </c>
      <c r="W7708">
        <v>51</v>
      </c>
      <c r="X7708">
        <v>424</v>
      </c>
      <c r="Y7708">
        <v>121</v>
      </c>
      <c r="Z7708">
        <v>234</v>
      </c>
      <c r="AA7708">
        <v>121</v>
      </c>
      <c r="AB7708">
        <v>16.603380000000001</v>
      </c>
      <c r="AC7708">
        <v>4.2436559999999998E-2</v>
      </c>
      <c r="AD7708">
        <v>2.3840409999999999</v>
      </c>
      <c r="AE7708">
        <v>0.58432280000000003</v>
      </c>
      <c r="AF7708">
        <v>1142.31</v>
      </c>
      <c r="AG7708">
        <f>IFERROR(AH7708*0.1, "N/A")</f>
        <v>6.3638450000000004</v>
      </c>
      <c r="AH7708">
        <v>63.638449999999999</v>
      </c>
      <c r="AI7708">
        <v>122.1324</v>
      </c>
      <c r="AJ7708">
        <v>39.469140000000003</v>
      </c>
      <c r="AK7708">
        <v>37.08466</v>
      </c>
    </row>
    <row r="7709" spans="1:37" x14ac:dyDescent="0.3">
      <c r="A7709">
        <v>7708</v>
      </c>
      <c r="B7709">
        <v>31.7</v>
      </c>
      <c r="C7709">
        <v>34.638199999999998</v>
      </c>
      <c r="D7709">
        <v>-0.43583100000000002</v>
      </c>
      <c r="E7709" t="s">
        <v>11468</v>
      </c>
      <c r="F7709" t="s">
        <v>11469</v>
      </c>
      <c r="G7709" t="s">
        <v>39</v>
      </c>
      <c r="H7709">
        <v>1983</v>
      </c>
      <c r="I7709">
        <v>22</v>
      </c>
      <c r="J7709">
        <v>14.6</v>
      </c>
      <c r="K7709">
        <v>86</v>
      </c>
      <c r="L7709">
        <v>6.37</v>
      </c>
      <c r="M7709">
        <v>30.7</v>
      </c>
      <c r="N7709">
        <v>13.9</v>
      </c>
      <c r="O7709">
        <v>16.8</v>
      </c>
      <c r="P7709">
        <v>22.2</v>
      </c>
      <c r="Q7709">
        <v>22.5</v>
      </c>
      <c r="R7709">
        <v>22.8</v>
      </c>
      <c r="S7709">
        <v>21.1</v>
      </c>
      <c r="T7709">
        <v>1262</v>
      </c>
      <c r="U7709">
        <v>203</v>
      </c>
      <c r="V7709">
        <v>43</v>
      </c>
      <c r="W7709">
        <v>41</v>
      </c>
      <c r="X7709">
        <v>506</v>
      </c>
      <c r="Y7709">
        <v>211</v>
      </c>
      <c r="Z7709">
        <v>239</v>
      </c>
      <c r="AA7709">
        <v>257</v>
      </c>
      <c r="AB7709">
        <v>29.539259999999999</v>
      </c>
      <c r="AC7709">
        <v>1.89847E-2</v>
      </c>
      <c r="AD7709">
        <v>5.1666119999999998</v>
      </c>
      <c r="AE7709">
        <v>0.73073949999999999</v>
      </c>
      <c r="AF7709">
        <v>1251.635</v>
      </c>
      <c r="AG7709">
        <f>IFERROR(AH7709*0.1, "N/A")</f>
        <v>5.7</v>
      </c>
      <c r="AH7709">
        <v>57</v>
      </c>
      <c r="AI7709">
        <v>26.730989999999998</v>
      </c>
      <c r="AJ7709">
        <v>33.021050000000002</v>
      </c>
      <c r="AK7709">
        <v>47.978949999999998</v>
      </c>
    </row>
    <row r="7710" spans="1:37" x14ac:dyDescent="0.3">
      <c r="A7710">
        <v>7709</v>
      </c>
      <c r="B7710">
        <v>31.3</v>
      </c>
      <c r="C7710">
        <v>34.021299999999997</v>
      </c>
      <c r="D7710">
        <v>-0.43684800000000001</v>
      </c>
      <c r="E7710" t="s">
        <v>11470</v>
      </c>
      <c r="F7710" t="s">
        <v>11471</v>
      </c>
      <c r="G7710" t="s">
        <v>37</v>
      </c>
      <c r="H7710">
        <v>1971</v>
      </c>
      <c r="I7710">
        <v>22.4</v>
      </c>
      <c r="J7710">
        <v>12.7</v>
      </c>
      <c r="K7710">
        <v>85</v>
      </c>
      <c r="L7710">
        <v>6.33</v>
      </c>
      <c r="M7710">
        <v>30</v>
      </c>
      <c r="N7710">
        <v>15.2</v>
      </c>
      <c r="O7710">
        <v>14.8</v>
      </c>
      <c r="P7710">
        <v>22.7</v>
      </c>
      <c r="Q7710">
        <v>21.5</v>
      </c>
      <c r="R7710">
        <v>23.2</v>
      </c>
      <c r="S7710">
        <v>21.5</v>
      </c>
      <c r="T7710">
        <v>987</v>
      </c>
      <c r="U7710">
        <v>161</v>
      </c>
      <c r="V7710">
        <v>34</v>
      </c>
      <c r="W7710">
        <v>51</v>
      </c>
      <c r="X7710">
        <v>425</v>
      </c>
      <c r="Y7710">
        <v>118</v>
      </c>
      <c r="Z7710">
        <v>236</v>
      </c>
      <c r="AA7710">
        <v>118</v>
      </c>
      <c r="AB7710">
        <v>18.571999999999999</v>
      </c>
      <c r="AC7710">
        <v>2.5733140000000002E-2</v>
      </c>
      <c r="AD7710">
        <v>4.7448490000000003</v>
      </c>
      <c r="AE7710">
        <v>0.46627649999999998</v>
      </c>
      <c r="AF7710">
        <v>1151.836</v>
      </c>
      <c r="AG7710">
        <f>IFERROR(AH7710*0.1, "N/A")</f>
        <v>5.4496479999999998</v>
      </c>
      <c r="AH7710">
        <v>54.496479999999998</v>
      </c>
      <c r="AI7710">
        <v>282.87220000000002</v>
      </c>
      <c r="AJ7710">
        <v>40.276409999999998</v>
      </c>
      <c r="AK7710">
        <v>39.813380000000002</v>
      </c>
    </row>
    <row r="7711" spans="1:37" x14ac:dyDescent="0.3">
      <c r="A7711">
        <v>7710</v>
      </c>
      <c r="B7711">
        <v>42.9</v>
      </c>
      <c r="C7711">
        <v>34.040799999999997</v>
      </c>
      <c r="D7711">
        <v>-0.446718</v>
      </c>
      <c r="E7711" t="s">
        <v>11472</v>
      </c>
      <c r="F7711" t="s">
        <v>11473</v>
      </c>
      <c r="G7711" t="s">
        <v>37</v>
      </c>
      <c r="H7711">
        <v>1971</v>
      </c>
      <c r="I7711">
        <v>21.9</v>
      </c>
      <c r="J7711">
        <v>12.8</v>
      </c>
      <c r="K7711">
        <v>85</v>
      </c>
      <c r="L7711">
        <v>5.94</v>
      </c>
      <c r="M7711">
        <v>29.6</v>
      </c>
      <c r="N7711">
        <v>14.7</v>
      </c>
      <c r="O7711">
        <v>14.9</v>
      </c>
      <c r="P7711">
        <v>22.2</v>
      </c>
      <c r="Q7711">
        <v>21.1</v>
      </c>
      <c r="R7711">
        <v>22.6</v>
      </c>
      <c r="S7711">
        <v>21.1</v>
      </c>
      <c r="T7711">
        <v>1058</v>
      </c>
      <c r="U7711">
        <v>168</v>
      </c>
      <c r="V7711">
        <v>38</v>
      </c>
      <c r="W7711">
        <v>48</v>
      </c>
      <c r="X7711">
        <v>439</v>
      </c>
      <c r="Y7711">
        <v>135</v>
      </c>
      <c r="Z7711">
        <v>246</v>
      </c>
      <c r="AA7711">
        <v>135</v>
      </c>
      <c r="AB7711">
        <v>73.461789999999993</v>
      </c>
      <c r="AC7711">
        <v>0.1298994</v>
      </c>
      <c r="AD7711">
        <v>17.076360000000001</v>
      </c>
      <c r="AE7711">
        <v>0.71395249999999999</v>
      </c>
      <c r="AF7711">
        <v>1211.796</v>
      </c>
      <c r="AG7711">
        <f>IFERROR(AH7711*0.1, "N/A")</f>
        <v>5.6301060000000005</v>
      </c>
      <c r="AH7711">
        <v>56.30106</v>
      </c>
      <c r="AI7711">
        <v>63.965730000000001</v>
      </c>
      <c r="AJ7711">
        <v>37.69894</v>
      </c>
      <c r="AK7711">
        <v>41</v>
      </c>
    </row>
    <row r="7712" spans="1:37" x14ac:dyDescent="0.3">
      <c r="A7712">
        <v>7711</v>
      </c>
      <c r="B7712">
        <v>80</v>
      </c>
      <c r="C7712">
        <v>33.991599999999998</v>
      </c>
      <c r="D7712">
        <v>-0.44783400000000001</v>
      </c>
      <c r="E7712" t="s">
        <v>11474</v>
      </c>
      <c r="F7712" t="s">
        <v>11475</v>
      </c>
      <c r="G7712" t="s">
        <v>37</v>
      </c>
      <c r="H7712">
        <v>1971</v>
      </c>
      <c r="I7712">
        <v>22.45458</v>
      </c>
      <c r="J7712">
        <v>12.572710000000001</v>
      </c>
      <c r="K7712">
        <v>85</v>
      </c>
      <c r="L7712">
        <v>5.769965</v>
      </c>
      <c r="M7712">
        <v>29.95458</v>
      </c>
      <c r="N7712">
        <v>15.28187</v>
      </c>
      <c r="O7712">
        <v>14.67271</v>
      </c>
      <c r="P7712">
        <v>22.654579999999999</v>
      </c>
      <c r="Q7712">
        <v>21.60915</v>
      </c>
      <c r="R7712">
        <v>23.154579999999999</v>
      </c>
      <c r="S7712">
        <v>21.581869999999999</v>
      </c>
      <c r="T7712">
        <v>993.08799999999997</v>
      </c>
      <c r="U7712">
        <v>161.45419999999999</v>
      </c>
      <c r="V7712">
        <v>33.727110000000003</v>
      </c>
      <c r="W7712">
        <v>51.545769999999997</v>
      </c>
      <c r="X7712">
        <v>429.18130000000002</v>
      </c>
      <c r="Y7712">
        <v>116.6356</v>
      </c>
      <c r="Z7712">
        <v>239.45419999999999</v>
      </c>
      <c r="AA7712">
        <v>116.9085</v>
      </c>
      <c r="AB7712">
        <v>1.25037</v>
      </c>
      <c r="AC7712">
        <v>5.2996080000000001</v>
      </c>
      <c r="AD7712">
        <v>1.0428230000000001</v>
      </c>
      <c r="AE7712">
        <v>0.55777540000000003</v>
      </c>
      <c r="AF7712">
        <v>1138.873</v>
      </c>
      <c r="AG7712">
        <f>IFERROR(AH7712*0.1, "N/A")</f>
        <v>5.7</v>
      </c>
      <c r="AH7712">
        <v>57</v>
      </c>
      <c r="AI7712">
        <v>177.54310000000001</v>
      </c>
      <c r="AJ7712">
        <v>41.545769999999997</v>
      </c>
      <c r="AK7712">
        <v>38.727110000000003</v>
      </c>
    </row>
    <row r="7713" spans="1:37" x14ac:dyDescent="0.3">
      <c r="A7713">
        <v>7712</v>
      </c>
      <c r="B7713">
        <v>40.700000000000003</v>
      </c>
      <c r="C7713">
        <v>34.052599999999998</v>
      </c>
      <c r="D7713">
        <v>-0.45332699999999998</v>
      </c>
      <c r="E7713" t="s">
        <v>11476</v>
      </c>
      <c r="F7713" t="s">
        <v>11477</v>
      </c>
      <c r="G7713" t="s">
        <v>37</v>
      </c>
      <c r="H7713">
        <v>1971</v>
      </c>
      <c r="I7713">
        <v>22.5</v>
      </c>
      <c r="J7713">
        <v>12.7</v>
      </c>
      <c r="K7713">
        <v>85</v>
      </c>
      <c r="L7713">
        <v>5.84</v>
      </c>
      <c r="M7713">
        <v>30.1</v>
      </c>
      <c r="N7713">
        <v>15.3</v>
      </c>
      <c r="O7713">
        <v>14.8</v>
      </c>
      <c r="P7713">
        <v>22.8</v>
      </c>
      <c r="Q7713">
        <v>21.7</v>
      </c>
      <c r="R7713">
        <v>23.2</v>
      </c>
      <c r="S7713">
        <v>21.7</v>
      </c>
      <c r="T7713">
        <v>985</v>
      </c>
      <c r="U7713">
        <v>161</v>
      </c>
      <c r="V7713">
        <v>35</v>
      </c>
      <c r="W7713">
        <v>51</v>
      </c>
      <c r="X7713">
        <v>425</v>
      </c>
      <c r="Y7713">
        <v>119</v>
      </c>
      <c r="Z7713">
        <v>233</v>
      </c>
      <c r="AA7713">
        <v>119</v>
      </c>
      <c r="AB7713">
        <v>31.604369999999999</v>
      </c>
      <c r="AC7713">
        <v>3.6240590000000003E-2</v>
      </c>
      <c r="AD7713">
        <v>3.77624</v>
      </c>
      <c r="AE7713">
        <v>0.77117849999999999</v>
      </c>
      <c r="AF7713">
        <v>1169.0509999999999</v>
      </c>
      <c r="AG7713">
        <f>IFERROR(AH7713*0.1, "N/A")</f>
        <v>6.3029980000000005</v>
      </c>
      <c r="AH7713">
        <v>63.029980000000002</v>
      </c>
      <c r="AI7713">
        <v>45.23948</v>
      </c>
      <c r="AJ7713">
        <v>38.218690000000002</v>
      </c>
      <c r="AK7713">
        <v>39.548499999999997</v>
      </c>
    </row>
    <row r="7714" spans="1:37" x14ac:dyDescent="0.3">
      <c r="A7714">
        <v>7713</v>
      </c>
      <c r="B7714">
        <v>10.199999999999999</v>
      </c>
      <c r="C7714">
        <v>39.658299999999997</v>
      </c>
      <c r="D7714">
        <v>-0.45694400000000002</v>
      </c>
      <c r="E7714" t="s">
        <v>11478</v>
      </c>
      <c r="F7714" t="s">
        <v>11479</v>
      </c>
      <c r="G7714" t="s">
        <v>39</v>
      </c>
      <c r="H7714">
        <v>1987</v>
      </c>
      <c r="I7714">
        <v>29.1</v>
      </c>
      <c r="J7714">
        <v>13</v>
      </c>
      <c r="K7714">
        <v>76</v>
      </c>
      <c r="L7714">
        <v>12.4497</v>
      </c>
      <c r="M7714">
        <v>38</v>
      </c>
      <c r="N7714">
        <v>20.917570000000001</v>
      </c>
      <c r="O7714">
        <v>17.082429999999999</v>
      </c>
      <c r="P7714">
        <v>29.3</v>
      </c>
      <c r="Q7714">
        <v>27.31757</v>
      </c>
      <c r="R7714">
        <v>30.6</v>
      </c>
      <c r="S7714">
        <v>27.31757</v>
      </c>
      <c r="T7714">
        <v>369.64850000000001</v>
      </c>
      <c r="U7714">
        <v>98.824250000000006</v>
      </c>
      <c r="V7714">
        <v>4</v>
      </c>
      <c r="W7714">
        <v>103</v>
      </c>
      <c r="X7714">
        <v>177.82429999999999</v>
      </c>
      <c r="Y7714">
        <v>16</v>
      </c>
      <c r="Z7714">
        <v>138</v>
      </c>
      <c r="AA7714">
        <v>16</v>
      </c>
      <c r="AB7714">
        <v>1.639721</v>
      </c>
      <c r="AC7714">
        <v>0.45722889999999999</v>
      </c>
      <c r="AD7714">
        <v>1.292341</v>
      </c>
      <c r="AE7714">
        <v>0.54756709999999997</v>
      </c>
      <c r="AF7714">
        <v>155.37430000000001</v>
      </c>
      <c r="AG7714">
        <f>IFERROR(AH7714*0.1, "N/A")</f>
        <v>7.4977149999999995</v>
      </c>
      <c r="AH7714">
        <v>74.977149999999995</v>
      </c>
      <c r="AI7714">
        <v>279.26409999999998</v>
      </c>
      <c r="AJ7714">
        <v>26.43234</v>
      </c>
      <c r="AK7714">
        <v>57.4587</v>
      </c>
    </row>
    <row r="7715" spans="1:37" x14ac:dyDescent="0.3">
      <c r="A7715">
        <v>7714</v>
      </c>
      <c r="B7715">
        <v>50</v>
      </c>
      <c r="C7715">
        <v>34.028799999999997</v>
      </c>
      <c r="D7715">
        <v>-0.45959299999999997</v>
      </c>
      <c r="E7715" t="s">
        <v>11480</v>
      </c>
      <c r="F7715" t="s">
        <v>11481</v>
      </c>
      <c r="G7715" t="s">
        <v>37</v>
      </c>
      <c r="H7715">
        <v>1971</v>
      </c>
      <c r="I7715">
        <v>21.1</v>
      </c>
      <c r="J7715">
        <v>12.8</v>
      </c>
      <c r="K7715">
        <v>85</v>
      </c>
      <c r="L7715">
        <v>5.86</v>
      </c>
      <c r="M7715">
        <v>28.8</v>
      </c>
      <c r="N7715">
        <v>13.8</v>
      </c>
      <c r="O7715">
        <v>15</v>
      </c>
      <c r="P7715">
        <v>21.4</v>
      </c>
      <c r="Q7715">
        <v>20.3</v>
      </c>
      <c r="R7715">
        <v>21.8</v>
      </c>
      <c r="S7715">
        <v>20.3</v>
      </c>
      <c r="T7715">
        <v>1240</v>
      </c>
      <c r="U7715">
        <v>188</v>
      </c>
      <c r="V7715">
        <v>46</v>
      </c>
      <c r="W7715">
        <v>44</v>
      </c>
      <c r="X7715">
        <v>493</v>
      </c>
      <c r="Y7715">
        <v>172</v>
      </c>
      <c r="Z7715">
        <v>285</v>
      </c>
      <c r="AA7715">
        <v>172</v>
      </c>
      <c r="AB7715">
        <v>60.896450000000002</v>
      </c>
      <c r="AC7715">
        <v>8.5475870000000006E-3</v>
      </c>
      <c r="AD7715">
        <v>7.556165</v>
      </c>
      <c r="AE7715">
        <v>0.70330179999999998</v>
      </c>
      <c r="AF7715">
        <v>1443.5730000000001</v>
      </c>
      <c r="AG7715">
        <f>IFERROR(AH7715*0.1, "N/A")</f>
        <v>5.4349740000000004</v>
      </c>
      <c r="AH7715">
        <v>54.349739999999997</v>
      </c>
      <c r="AI7715">
        <v>195.095</v>
      </c>
      <c r="AJ7715">
        <v>38.112479999999998</v>
      </c>
      <c r="AK7715">
        <v>42.601050000000001</v>
      </c>
    </row>
    <row r="7716" spans="1:37" x14ac:dyDescent="0.3">
      <c r="A7716">
        <v>7715</v>
      </c>
      <c r="B7716">
        <v>47.2</v>
      </c>
      <c r="C7716">
        <v>33.9664</v>
      </c>
      <c r="D7716">
        <v>-0.46714600000000001</v>
      </c>
      <c r="E7716" t="s">
        <v>11482</v>
      </c>
      <c r="F7716" t="s">
        <v>11483</v>
      </c>
      <c r="G7716" t="s">
        <v>37</v>
      </c>
      <c r="H7716">
        <v>1971</v>
      </c>
      <c r="I7716">
        <v>22.395250000000001</v>
      </c>
      <c r="J7716">
        <v>12.5</v>
      </c>
      <c r="K7716">
        <v>85.98415</v>
      </c>
      <c r="L7716">
        <v>5.6282569999999996</v>
      </c>
      <c r="M7716">
        <v>29.79683</v>
      </c>
      <c r="N7716">
        <v>15.295249999999999</v>
      </c>
      <c r="O7716">
        <v>14.501580000000001</v>
      </c>
      <c r="P7716">
        <v>22.59525</v>
      </c>
      <c r="Q7716">
        <v>21.59525</v>
      </c>
      <c r="R7716">
        <v>23.09525</v>
      </c>
      <c r="S7716">
        <v>21.59525</v>
      </c>
      <c r="T7716">
        <v>1008.539</v>
      </c>
      <c r="U7716">
        <v>162.0634</v>
      </c>
      <c r="V7716">
        <v>34.01585</v>
      </c>
      <c r="W7716">
        <v>51.98415</v>
      </c>
      <c r="X7716">
        <v>436.11090000000002</v>
      </c>
      <c r="Y7716">
        <v>116.1109</v>
      </c>
      <c r="Z7716">
        <v>246.07919999999999</v>
      </c>
      <c r="AA7716">
        <v>116.1109</v>
      </c>
      <c r="AB7716">
        <v>65.566339999999997</v>
      </c>
      <c r="AC7716">
        <v>9.7665119999999998E-3</v>
      </c>
      <c r="AD7716">
        <v>4.3102090000000004</v>
      </c>
      <c r="AE7716">
        <v>0.67973830000000002</v>
      </c>
      <c r="AF7716">
        <v>1223.1130000000001</v>
      </c>
      <c r="AG7716">
        <f>IFERROR(AH7716*0.1, "N/A")</f>
        <v>5.3654930000000007</v>
      </c>
      <c r="AH7716">
        <v>53.65493</v>
      </c>
      <c r="AI7716">
        <v>257.98480000000001</v>
      </c>
      <c r="AJ7716">
        <v>38.482390000000002</v>
      </c>
      <c r="AK7716">
        <v>44.711269999999999</v>
      </c>
    </row>
    <row r="7717" spans="1:37" x14ac:dyDescent="0.3">
      <c r="A7717">
        <v>7716</v>
      </c>
      <c r="B7717">
        <v>74.400000000000006</v>
      </c>
      <c r="C7717">
        <v>34.062899999999999</v>
      </c>
      <c r="D7717">
        <v>-0.47899000000000003</v>
      </c>
      <c r="E7717" t="s">
        <v>11484</v>
      </c>
      <c r="F7717" t="s">
        <v>11485</v>
      </c>
      <c r="G7717" t="s">
        <v>37</v>
      </c>
      <c r="H7717">
        <v>1971</v>
      </c>
      <c r="I7717">
        <v>22.6</v>
      </c>
      <c r="J7717">
        <v>12.8</v>
      </c>
      <c r="K7717">
        <v>86</v>
      </c>
      <c r="L7717">
        <v>5.85</v>
      </c>
      <c r="M7717">
        <v>30.2</v>
      </c>
      <c r="N7717">
        <v>15.4</v>
      </c>
      <c r="O7717">
        <v>14.8</v>
      </c>
      <c r="P7717">
        <v>22.8</v>
      </c>
      <c r="Q7717">
        <v>21.8</v>
      </c>
      <c r="R7717">
        <v>23.3</v>
      </c>
      <c r="S7717">
        <v>21.8</v>
      </c>
      <c r="T7717">
        <v>980</v>
      </c>
      <c r="U7717">
        <v>161</v>
      </c>
      <c r="V7717">
        <v>34</v>
      </c>
      <c r="W7717">
        <v>52</v>
      </c>
      <c r="X7717">
        <v>426</v>
      </c>
      <c r="Y7717">
        <v>117</v>
      </c>
      <c r="Z7717">
        <v>232</v>
      </c>
      <c r="AA7717">
        <v>117</v>
      </c>
      <c r="AB7717">
        <v>37.879429999999999</v>
      </c>
      <c r="AC7717">
        <v>1.486795E-2</v>
      </c>
      <c r="AD7717">
        <v>12.71954</v>
      </c>
      <c r="AE7717">
        <v>0.68302949999999996</v>
      </c>
      <c r="AF7717">
        <v>1157.2249999999999</v>
      </c>
      <c r="AG7717">
        <f>IFERROR(AH7717*0.1, "N/A")</f>
        <v>6.3612679999999999</v>
      </c>
      <c r="AH7717">
        <v>63.612679999999997</v>
      </c>
      <c r="AI7717">
        <v>125.82389999999999</v>
      </c>
      <c r="AJ7717">
        <v>36.380279999999999</v>
      </c>
      <c r="AK7717">
        <v>40.683100000000003</v>
      </c>
    </row>
    <row r="7718" spans="1:37" x14ac:dyDescent="0.3">
      <c r="A7718">
        <v>7717</v>
      </c>
      <c r="B7718">
        <v>43.5</v>
      </c>
      <c r="C7718">
        <v>34.026499999999999</v>
      </c>
      <c r="D7718">
        <v>-0.486371</v>
      </c>
      <c r="E7718" t="s">
        <v>11486</v>
      </c>
      <c r="F7718" t="s">
        <v>11487</v>
      </c>
      <c r="G7718" t="s">
        <v>37</v>
      </c>
      <c r="H7718">
        <v>1971</v>
      </c>
      <c r="I7718">
        <v>22.3</v>
      </c>
      <c r="J7718">
        <v>12.7</v>
      </c>
      <c r="K7718">
        <v>85</v>
      </c>
      <c r="L7718">
        <v>6.12</v>
      </c>
      <c r="M7718">
        <v>29.9</v>
      </c>
      <c r="N7718">
        <v>15.1</v>
      </c>
      <c r="O7718">
        <v>14.8</v>
      </c>
      <c r="P7718">
        <v>22.6</v>
      </c>
      <c r="Q7718">
        <v>21.4</v>
      </c>
      <c r="R7718">
        <v>23.1</v>
      </c>
      <c r="S7718">
        <v>21.4</v>
      </c>
      <c r="T7718">
        <v>1016</v>
      </c>
      <c r="U7718">
        <v>163</v>
      </c>
      <c r="V7718">
        <v>35</v>
      </c>
      <c r="W7718">
        <v>51</v>
      </c>
      <c r="X7718">
        <v>434</v>
      </c>
      <c r="Y7718">
        <v>122</v>
      </c>
      <c r="Z7718">
        <v>241</v>
      </c>
      <c r="AA7718">
        <v>122</v>
      </c>
      <c r="AB7718">
        <v>97.807060000000007</v>
      </c>
      <c r="AC7718">
        <v>3.2218869999999997E-2</v>
      </c>
      <c r="AD7718">
        <v>13.359249999999999</v>
      </c>
      <c r="AE7718">
        <v>0.72245720000000002</v>
      </c>
      <c r="AF7718">
        <v>1241.44</v>
      </c>
      <c r="AG7718">
        <f>IFERROR(AH7718*0.1, "N/A")</f>
        <v>5.6577460000000004</v>
      </c>
      <c r="AH7718">
        <v>56.577460000000002</v>
      </c>
      <c r="AI7718">
        <v>154.95670000000001</v>
      </c>
      <c r="AJ7718">
        <v>34.424300000000002</v>
      </c>
      <c r="AK7718">
        <v>44.575699999999998</v>
      </c>
    </row>
    <row r="7719" spans="1:37" x14ac:dyDescent="0.3">
      <c r="A7719">
        <v>7718</v>
      </c>
      <c r="B7719">
        <v>33.299999999999997</v>
      </c>
      <c r="C7719">
        <v>34.023200000000003</v>
      </c>
      <c r="D7719">
        <v>-0.49376500000000001</v>
      </c>
      <c r="E7719" t="s">
        <v>11488</v>
      </c>
      <c r="F7719" t="s">
        <v>11489</v>
      </c>
      <c r="G7719" t="s">
        <v>37</v>
      </c>
      <c r="H7719">
        <v>0</v>
      </c>
      <c r="I7719">
        <v>22.6</v>
      </c>
      <c r="J7719">
        <v>12.6</v>
      </c>
      <c r="K7719">
        <v>85</v>
      </c>
      <c r="L7719">
        <v>5.71</v>
      </c>
      <c r="M7719">
        <v>30</v>
      </c>
      <c r="N7719">
        <v>15.3</v>
      </c>
      <c r="O7719">
        <v>14.7</v>
      </c>
      <c r="P7719">
        <v>22.8</v>
      </c>
      <c r="Q7719">
        <v>21.7</v>
      </c>
      <c r="R7719">
        <v>23.2</v>
      </c>
      <c r="S7719">
        <v>21.7</v>
      </c>
      <c r="T7719">
        <v>989</v>
      </c>
      <c r="U7719">
        <v>160</v>
      </c>
      <c r="V7719">
        <v>33</v>
      </c>
      <c r="W7719">
        <v>52</v>
      </c>
      <c r="X7719">
        <v>430</v>
      </c>
      <c r="Y7719">
        <v>114</v>
      </c>
      <c r="Z7719">
        <v>238</v>
      </c>
      <c r="AA7719">
        <v>114</v>
      </c>
      <c r="AB7719">
        <v>24.127669999999998</v>
      </c>
      <c r="AC7719">
        <v>9.4655050000000008E-3</v>
      </c>
      <c r="AD7719">
        <v>5.2567649999999997</v>
      </c>
      <c r="AE7719">
        <v>0.64168800000000004</v>
      </c>
      <c r="AF7719">
        <v>1151.338</v>
      </c>
      <c r="AG7719">
        <f>IFERROR(AH7719*0.1, "N/A")</f>
        <v>5.8846829999999999</v>
      </c>
      <c r="AH7719">
        <v>58.846829999999997</v>
      </c>
      <c r="AI7719">
        <v>153.62350000000001</v>
      </c>
      <c r="AJ7719">
        <v>33</v>
      </c>
      <c r="AK7719">
        <v>46.846829999999997</v>
      </c>
    </row>
    <row r="7720" spans="1:37" x14ac:dyDescent="0.3">
      <c r="A7720">
        <v>7719</v>
      </c>
      <c r="B7720">
        <v>0</v>
      </c>
      <c r="C7720">
        <v>34.366700000000002</v>
      </c>
      <c r="D7720">
        <v>-0.5</v>
      </c>
      <c r="E7720" t="s">
        <v>11490</v>
      </c>
      <c r="F7720" t="s">
        <v>11491</v>
      </c>
      <c r="G7720" t="s">
        <v>37</v>
      </c>
      <c r="H7720">
        <v>2010</v>
      </c>
      <c r="I7720">
        <v>22.464130000000001</v>
      </c>
      <c r="J7720">
        <v>13.7</v>
      </c>
      <c r="K7720">
        <v>85.454059999999998</v>
      </c>
      <c r="L7720">
        <v>6.5844170000000002</v>
      </c>
      <c r="M7720">
        <v>30.737629999999999</v>
      </c>
      <c r="N7720">
        <v>14.796290000000001</v>
      </c>
      <c r="O7720">
        <v>15.94134</v>
      </c>
      <c r="P7720">
        <v>22.764130000000002</v>
      </c>
      <c r="Q7720">
        <v>21.564129999999999</v>
      </c>
      <c r="R7720">
        <v>23.264130000000002</v>
      </c>
      <c r="S7720">
        <v>21.564129999999999</v>
      </c>
      <c r="T7720">
        <v>1168.5</v>
      </c>
      <c r="U7720">
        <v>204.583</v>
      </c>
      <c r="V7720">
        <v>42.491169999999997</v>
      </c>
      <c r="W7720">
        <v>47</v>
      </c>
      <c r="X7720">
        <v>499.72969999999998</v>
      </c>
      <c r="Y7720">
        <v>183.6396</v>
      </c>
      <c r="Z7720">
        <v>248.60069999999999</v>
      </c>
      <c r="AA7720">
        <v>183.6396</v>
      </c>
      <c r="AB7720">
        <v>29.779679999999999</v>
      </c>
      <c r="AC7720">
        <v>2.7303790000000001E-2</v>
      </c>
      <c r="AD7720">
        <v>2.3148140000000001</v>
      </c>
      <c r="AE7720">
        <v>0.71468810000000005</v>
      </c>
      <c r="AF7720">
        <v>1177.7349999999999</v>
      </c>
      <c r="AG7720">
        <f>IFERROR(AH7720*0.1, "N/A")</f>
        <v>6.8623670000000008</v>
      </c>
      <c r="AH7720">
        <v>68.623670000000004</v>
      </c>
      <c r="AI7720">
        <v>282.2133</v>
      </c>
      <c r="AJ7720">
        <v>43.376330000000003</v>
      </c>
      <c r="AK7720">
        <v>37.247349999999997</v>
      </c>
    </row>
    <row r="7721" spans="1:37" x14ac:dyDescent="0.3">
      <c r="A7721">
        <v>7720</v>
      </c>
      <c r="B7721">
        <v>14.6</v>
      </c>
      <c r="C7721">
        <v>34.450000000000003</v>
      </c>
      <c r="D7721">
        <v>-0.51670000000000005</v>
      </c>
      <c r="E7721" t="s">
        <v>11492</v>
      </c>
      <c r="F7721" t="s">
        <v>11493</v>
      </c>
      <c r="G7721" t="s">
        <v>37</v>
      </c>
      <c r="H7721">
        <v>1987</v>
      </c>
      <c r="I7721">
        <v>22.64404</v>
      </c>
      <c r="J7721">
        <v>13.91825</v>
      </c>
      <c r="K7721">
        <v>85.496489999999994</v>
      </c>
      <c r="L7721">
        <v>6.6431579999999997</v>
      </c>
      <c r="M7721">
        <v>31.007020000000001</v>
      </c>
      <c r="N7721">
        <v>14.84404</v>
      </c>
      <c r="O7721">
        <v>16.162980000000001</v>
      </c>
      <c r="P7721">
        <v>22.944030000000001</v>
      </c>
      <c r="Q7721">
        <v>21.84403</v>
      </c>
      <c r="R7721">
        <v>23.488769999999999</v>
      </c>
      <c r="S7721">
        <v>21.712630000000001</v>
      </c>
      <c r="T7721">
        <v>1183.5250000000001</v>
      </c>
      <c r="U7721">
        <v>206.3579</v>
      </c>
      <c r="V7721">
        <v>41.056139999999999</v>
      </c>
      <c r="W7721">
        <v>46.440350000000002</v>
      </c>
      <c r="X7721">
        <v>507.16320000000002</v>
      </c>
      <c r="Y7721">
        <v>191.7158</v>
      </c>
      <c r="Z7721">
        <v>252.67189999999999</v>
      </c>
      <c r="AA7721">
        <v>196.08600000000001</v>
      </c>
      <c r="AB7721">
        <v>0</v>
      </c>
      <c r="AC7721">
        <v>5.245474E-2</v>
      </c>
      <c r="AD7721">
        <v>0</v>
      </c>
      <c r="AE7721">
        <v>0.45231199999999999</v>
      </c>
      <c r="AF7721">
        <v>1131</v>
      </c>
      <c r="AG7721" t="str">
        <f>IFERROR(AH7721*0.1, "N/A")</f>
        <v>N/A</v>
      </c>
      <c r="AH7721" t="s">
        <v>729</v>
      </c>
      <c r="AI7721">
        <v>0</v>
      </c>
      <c r="AJ7721" t="s">
        <v>729</v>
      </c>
      <c r="AK7721" t="s">
        <v>729</v>
      </c>
    </row>
    <row r="7722" spans="1:37" x14ac:dyDescent="0.3">
      <c r="A7722">
        <v>7721</v>
      </c>
      <c r="B7722">
        <v>11.6</v>
      </c>
      <c r="C7722">
        <v>34.450000000000003</v>
      </c>
      <c r="D7722">
        <v>-0.51670000000000005</v>
      </c>
      <c r="E7722" t="s">
        <v>11492</v>
      </c>
      <c r="F7722" t="s">
        <v>11494</v>
      </c>
      <c r="G7722" t="s">
        <v>39</v>
      </c>
      <c r="H7722">
        <v>1987</v>
      </c>
      <c r="I7722">
        <v>22.64404</v>
      </c>
      <c r="J7722">
        <v>13.91825</v>
      </c>
      <c r="K7722">
        <v>85.496489999999994</v>
      </c>
      <c r="L7722">
        <v>6.6431579999999997</v>
      </c>
      <c r="M7722">
        <v>31.007020000000001</v>
      </c>
      <c r="N7722">
        <v>14.84404</v>
      </c>
      <c r="O7722">
        <v>16.162980000000001</v>
      </c>
      <c r="P7722">
        <v>22.944030000000001</v>
      </c>
      <c r="Q7722">
        <v>21.84403</v>
      </c>
      <c r="R7722">
        <v>23.488769999999999</v>
      </c>
      <c r="S7722">
        <v>21.712630000000001</v>
      </c>
      <c r="T7722">
        <v>1183.5250000000001</v>
      </c>
      <c r="U7722">
        <v>206.3579</v>
      </c>
      <c r="V7722">
        <v>41.056139999999999</v>
      </c>
      <c r="W7722">
        <v>46.440350000000002</v>
      </c>
      <c r="X7722">
        <v>507.16320000000002</v>
      </c>
      <c r="Y7722">
        <v>191.7158</v>
      </c>
      <c r="Z7722">
        <v>252.67189999999999</v>
      </c>
      <c r="AA7722">
        <v>196.08600000000001</v>
      </c>
      <c r="AB7722">
        <v>0</v>
      </c>
      <c r="AC7722">
        <v>5.245474E-2</v>
      </c>
      <c r="AD7722">
        <v>0</v>
      </c>
      <c r="AE7722">
        <v>0.45231199999999999</v>
      </c>
      <c r="AF7722">
        <v>1131</v>
      </c>
      <c r="AG7722" t="str">
        <f>IFERROR(AH7722*0.1, "N/A")</f>
        <v>N/A</v>
      </c>
      <c r="AH7722" t="s">
        <v>729</v>
      </c>
      <c r="AI7722">
        <v>0</v>
      </c>
      <c r="AJ7722" t="s">
        <v>729</v>
      </c>
      <c r="AK7722" t="s">
        <v>729</v>
      </c>
    </row>
    <row r="7723" spans="1:37" x14ac:dyDescent="0.3">
      <c r="A7723">
        <v>7722</v>
      </c>
      <c r="B7723">
        <v>2.2999999999999998</v>
      </c>
      <c r="C7723">
        <v>37.450000000000003</v>
      </c>
      <c r="D7723">
        <v>-0.53333299999999995</v>
      </c>
      <c r="E7723" t="s">
        <v>11495</v>
      </c>
      <c r="F7723" t="s">
        <v>11496</v>
      </c>
      <c r="G7723" t="s">
        <v>39</v>
      </c>
      <c r="H7723">
        <v>1987</v>
      </c>
      <c r="I7723">
        <v>19.925350000000002</v>
      </c>
      <c r="J7723">
        <v>18.083269999999999</v>
      </c>
      <c r="K7723">
        <v>84.193659999999994</v>
      </c>
      <c r="L7723">
        <v>9.9648240000000001</v>
      </c>
      <c r="M7723">
        <v>31.215669999999999</v>
      </c>
      <c r="N7723">
        <v>9.9614440000000002</v>
      </c>
      <c r="O7723">
        <v>21.25422</v>
      </c>
      <c r="P7723">
        <v>20.82535</v>
      </c>
      <c r="Q7723">
        <v>18.45176</v>
      </c>
      <c r="R7723">
        <v>20.925350000000002</v>
      </c>
      <c r="S7723">
        <v>18.45176</v>
      </c>
      <c r="T7723">
        <v>1153.489</v>
      </c>
      <c r="U7723">
        <v>270.75</v>
      </c>
      <c r="V7723">
        <v>20.021129999999999</v>
      </c>
      <c r="W7723">
        <v>89.989440000000002</v>
      </c>
      <c r="X7723">
        <v>549.71479999999997</v>
      </c>
      <c r="Y7723">
        <v>71.899649999999994</v>
      </c>
      <c r="Z7723">
        <v>413.10390000000001</v>
      </c>
      <c r="AA7723">
        <v>71.899649999999994</v>
      </c>
      <c r="AB7723">
        <v>76.221289999999996</v>
      </c>
      <c r="AC7723">
        <v>1.9186720000000001E-2</v>
      </c>
      <c r="AD7723">
        <v>6.3458610000000002</v>
      </c>
      <c r="AE7723">
        <v>0.59290900000000002</v>
      </c>
      <c r="AF7723">
        <v>1395.3309999999999</v>
      </c>
      <c r="AG7723">
        <f>IFERROR(AH7723*0.1, "N/A")</f>
        <v>5.9257040000000005</v>
      </c>
      <c r="AH7723">
        <v>59.257040000000003</v>
      </c>
      <c r="AI7723">
        <v>252.6995</v>
      </c>
      <c r="AJ7723">
        <v>53.857390000000002</v>
      </c>
      <c r="AK7723">
        <v>26.142610000000001</v>
      </c>
    </row>
    <row r="7724" spans="1:37" x14ac:dyDescent="0.3">
      <c r="A7724">
        <v>7723</v>
      </c>
      <c r="B7724">
        <v>22</v>
      </c>
      <c r="C7724">
        <v>37.35</v>
      </c>
      <c r="D7724">
        <v>-0.58333000000000002</v>
      </c>
      <c r="E7724" t="s">
        <v>11497</v>
      </c>
      <c r="F7724" t="s">
        <v>11498</v>
      </c>
      <c r="G7724" t="s">
        <v>37</v>
      </c>
      <c r="H7724">
        <v>2007</v>
      </c>
      <c r="I7724">
        <v>20.659510000000001</v>
      </c>
      <c r="J7724">
        <v>18</v>
      </c>
      <c r="K7724">
        <v>85</v>
      </c>
      <c r="L7724">
        <v>9.5123940000000005</v>
      </c>
      <c r="M7724">
        <v>31.85951</v>
      </c>
      <c r="N7724">
        <v>10.85951</v>
      </c>
      <c r="O7724">
        <v>21</v>
      </c>
      <c r="P7724">
        <v>21.55951</v>
      </c>
      <c r="Q7724">
        <v>19.68468</v>
      </c>
      <c r="R7724">
        <v>21.659510000000001</v>
      </c>
      <c r="S7724">
        <v>19.36937</v>
      </c>
      <c r="T7724">
        <v>1061.982</v>
      </c>
      <c r="U7724">
        <v>256.57749999999999</v>
      </c>
      <c r="V7724">
        <v>15.674300000000001</v>
      </c>
      <c r="W7724">
        <v>90.846829999999997</v>
      </c>
      <c r="X7724">
        <v>529.70600000000002</v>
      </c>
      <c r="Y7724">
        <v>55.232390000000002</v>
      </c>
      <c r="Z7724">
        <v>390.73059999999998</v>
      </c>
      <c r="AA7724">
        <v>61.441899999999997</v>
      </c>
      <c r="AB7724">
        <v>5.9003860000000001</v>
      </c>
      <c r="AC7724">
        <v>0.54711600000000005</v>
      </c>
      <c r="AD7724">
        <v>1.9267810000000001</v>
      </c>
      <c r="AE7724">
        <v>0.73469479999999998</v>
      </c>
      <c r="AF7724">
        <v>1270.319</v>
      </c>
      <c r="AG7724">
        <f>IFERROR(AH7724*0.1, "N/A")</f>
        <v>5.8637320000000006</v>
      </c>
      <c r="AH7724">
        <v>58.637320000000003</v>
      </c>
      <c r="AI7724">
        <v>266.19749999999999</v>
      </c>
      <c r="AJ7724">
        <v>52.637320000000003</v>
      </c>
      <c r="AK7724">
        <v>24.304580000000001</v>
      </c>
    </row>
    <row r="7725" spans="1:37" x14ac:dyDescent="0.3">
      <c r="A7725">
        <v>7724</v>
      </c>
      <c r="B7725">
        <v>14.9</v>
      </c>
      <c r="C7725">
        <v>37.433300000000003</v>
      </c>
      <c r="D7725">
        <v>-0.6</v>
      </c>
      <c r="E7725" t="s">
        <v>11499</v>
      </c>
      <c r="F7725" t="s">
        <v>11500</v>
      </c>
      <c r="G7725" t="s">
        <v>37</v>
      </c>
      <c r="H7725">
        <v>2007</v>
      </c>
      <c r="I7725">
        <v>21.12452</v>
      </c>
      <c r="J7725">
        <v>17.899999999999999</v>
      </c>
      <c r="K7725">
        <v>85.483249999999998</v>
      </c>
      <c r="L7725">
        <v>9.5720639999999992</v>
      </c>
      <c r="M7725">
        <v>32.176189999999998</v>
      </c>
      <c r="N7725">
        <v>11.32451</v>
      </c>
      <c r="O7725">
        <v>20.851669999999999</v>
      </c>
      <c r="P7725">
        <v>21.976189999999999</v>
      </c>
      <c r="Q7725">
        <v>19.758379999999999</v>
      </c>
      <c r="R7725">
        <v>22.07619</v>
      </c>
      <c r="S7725">
        <v>19.758379999999999</v>
      </c>
      <c r="T7725">
        <v>991.10929999999996</v>
      </c>
      <c r="U7725">
        <v>256.64370000000002</v>
      </c>
      <c r="V7725">
        <v>10.57672</v>
      </c>
      <c r="W7725">
        <v>96.338620000000006</v>
      </c>
      <c r="X7725">
        <v>492.46030000000002</v>
      </c>
      <c r="Y7725">
        <v>38.636679999999998</v>
      </c>
      <c r="Z7725">
        <v>386.49209999999999</v>
      </c>
      <c r="AA7725">
        <v>38.636679999999998</v>
      </c>
      <c r="AB7725">
        <v>11.086930000000001</v>
      </c>
      <c r="AC7725">
        <v>9.8739780000000003E-3</v>
      </c>
      <c r="AD7725">
        <v>4.8743590000000001</v>
      </c>
      <c r="AE7725">
        <v>0.69949680000000003</v>
      </c>
      <c r="AF7725">
        <v>1195.847</v>
      </c>
      <c r="AG7725">
        <f>IFERROR(AH7725*0.1, "N/A")</f>
        <v>5.8984130000000006</v>
      </c>
      <c r="AH7725">
        <v>58.98413</v>
      </c>
      <c r="AI7725">
        <v>187.95949999999999</v>
      </c>
      <c r="AJ7725">
        <v>54.361550000000001</v>
      </c>
      <c r="AK7725">
        <v>26.455030000000001</v>
      </c>
    </row>
    <row r="7726" spans="1:37" x14ac:dyDescent="0.3">
      <c r="A7726">
        <v>7725</v>
      </c>
      <c r="B7726">
        <v>71.099999999999994</v>
      </c>
      <c r="C7726">
        <v>37.299999999999997</v>
      </c>
      <c r="D7726">
        <v>-0.61667000000000005</v>
      </c>
      <c r="E7726" t="s">
        <v>11501</v>
      </c>
      <c r="F7726" t="s">
        <v>11502</v>
      </c>
      <c r="G7726" t="s">
        <v>37</v>
      </c>
      <c r="H7726">
        <v>2007</v>
      </c>
      <c r="I7726">
        <v>20.9</v>
      </c>
      <c r="J7726">
        <v>17.86796</v>
      </c>
      <c r="K7726">
        <v>85</v>
      </c>
      <c r="L7726">
        <v>9.6035039999999992</v>
      </c>
      <c r="M7726">
        <v>31.996300000000002</v>
      </c>
      <c r="N7726">
        <v>11.096299999999999</v>
      </c>
      <c r="O7726">
        <v>20.9</v>
      </c>
      <c r="P7726">
        <v>21.781510000000001</v>
      </c>
      <c r="Q7726">
        <v>19.94577</v>
      </c>
      <c r="R7726">
        <v>21.796299999999999</v>
      </c>
      <c r="S7726">
        <v>19.600000000000001</v>
      </c>
      <c r="T7726">
        <v>1058.1510000000001</v>
      </c>
      <c r="U7726">
        <v>264.35739999999998</v>
      </c>
      <c r="V7726">
        <v>13</v>
      </c>
      <c r="W7726">
        <v>91.457750000000004</v>
      </c>
      <c r="X7726">
        <v>549.14440000000002</v>
      </c>
      <c r="Y7726">
        <v>47.232390000000002</v>
      </c>
      <c r="Z7726">
        <v>405.35559999999998</v>
      </c>
      <c r="AA7726">
        <v>62.947180000000003</v>
      </c>
      <c r="AB7726">
        <v>3.2043819999999998</v>
      </c>
      <c r="AC7726">
        <v>3.1164810000000001E-2</v>
      </c>
      <c r="AD7726">
        <v>1.028896</v>
      </c>
      <c r="AE7726">
        <v>0.74058740000000001</v>
      </c>
      <c r="AF7726">
        <v>1226.114</v>
      </c>
      <c r="AG7726">
        <f>IFERROR(AH7726*0.1, "N/A")</f>
        <v>6.1000000000000005</v>
      </c>
      <c r="AH7726">
        <v>61</v>
      </c>
      <c r="AI7726">
        <v>162.54730000000001</v>
      </c>
      <c r="AJ7726">
        <v>49.427819999999997</v>
      </c>
      <c r="AK7726">
        <v>26.501760000000001</v>
      </c>
    </row>
    <row r="7727" spans="1:37" x14ac:dyDescent="0.3">
      <c r="A7727">
        <v>7726</v>
      </c>
      <c r="B7727">
        <v>8.1999999999999993</v>
      </c>
      <c r="C7727">
        <v>37.366700000000002</v>
      </c>
      <c r="D7727">
        <v>-0.61670000000000003</v>
      </c>
      <c r="E7727" t="s">
        <v>11503</v>
      </c>
      <c r="F7727" t="s">
        <v>11504</v>
      </c>
      <c r="G7727" t="s">
        <v>37</v>
      </c>
      <c r="H7727">
        <v>1987</v>
      </c>
      <c r="I7727">
        <v>21.183299999999999</v>
      </c>
      <c r="J7727">
        <v>17.916340000000002</v>
      </c>
      <c r="K7727">
        <v>85</v>
      </c>
      <c r="L7727">
        <v>9.3749380000000002</v>
      </c>
      <c r="M7727">
        <v>32.283299999999997</v>
      </c>
      <c r="N7727">
        <v>11.35009</v>
      </c>
      <c r="O7727">
        <v>20.933219999999999</v>
      </c>
      <c r="P7727">
        <v>22.050090000000001</v>
      </c>
      <c r="Q7727">
        <v>20.283300000000001</v>
      </c>
      <c r="R7727">
        <v>22.149740000000001</v>
      </c>
      <c r="S7727">
        <v>19.883299999999998</v>
      </c>
      <c r="T7727">
        <v>994.03340000000003</v>
      </c>
      <c r="U7727">
        <v>260.50619999999998</v>
      </c>
      <c r="V7727">
        <v>12.50264</v>
      </c>
      <c r="W7727">
        <v>95.660809999999998</v>
      </c>
      <c r="X7727">
        <v>506.35500000000002</v>
      </c>
      <c r="Y7727">
        <v>40.172229999999999</v>
      </c>
      <c r="Z7727">
        <v>386.84179999999998</v>
      </c>
      <c r="AA7727">
        <v>44.177500000000002</v>
      </c>
      <c r="AB7727">
        <v>4.0061929999999997</v>
      </c>
      <c r="AC7727">
        <v>4.6717639999999998E-2</v>
      </c>
      <c r="AD7727">
        <v>0.79786630000000003</v>
      </c>
      <c r="AE7727">
        <v>0.78024269999999996</v>
      </c>
      <c r="AF7727">
        <v>1205.55</v>
      </c>
      <c r="AG7727">
        <f>IFERROR(AH7727*0.1, "N/A")</f>
        <v>6.034446</v>
      </c>
      <c r="AH7727">
        <v>60.344459999999998</v>
      </c>
      <c r="AI7727">
        <v>106.2479</v>
      </c>
      <c r="AJ7727">
        <v>49.356769999999997</v>
      </c>
      <c r="AK7727">
        <v>28.604569999999999</v>
      </c>
    </row>
    <row r="7728" spans="1:37" x14ac:dyDescent="0.3">
      <c r="A7728">
        <v>7727</v>
      </c>
      <c r="B7728">
        <v>0.2</v>
      </c>
      <c r="C7728">
        <v>37.366700000000002</v>
      </c>
      <c r="D7728">
        <v>-0.61670000000000003</v>
      </c>
      <c r="E7728" t="s">
        <v>11503</v>
      </c>
      <c r="F7728" t="s">
        <v>11505</v>
      </c>
      <c r="G7728" t="s">
        <v>39</v>
      </c>
      <c r="H7728">
        <v>1987</v>
      </c>
      <c r="I7728">
        <v>21.183299999999999</v>
      </c>
      <c r="J7728">
        <v>17.916340000000002</v>
      </c>
      <c r="K7728">
        <v>85</v>
      </c>
      <c r="L7728">
        <v>9.3749380000000002</v>
      </c>
      <c r="M7728">
        <v>32.283299999999997</v>
      </c>
      <c r="N7728">
        <v>11.35009</v>
      </c>
      <c r="O7728">
        <v>20.933219999999999</v>
      </c>
      <c r="P7728">
        <v>22.050090000000001</v>
      </c>
      <c r="Q7728">
        <v>20.283300000000001</v>
      </c>
      <c r="R7728">
        <v>22.149740000000001</v>
      </c>
      <c r="S7728">
        <v>19.883299999999998</v>
      </c>
      <c r="T7728">
        <v>994.03340000000003</v>
      </c>
      <c r="U7728">
        <v>260.50619999999998</v>
      </c>
      <c r="V7728">
        <v>12.50264</v>
      </c>
      <c r="W7728">
        <v>95.660809999999998</v>
      </c>
      <c r="X7728">
        <v>506.35500000000002</v>
      </c>
      <c r="Y7728">
        <v>40.172229999999999</v>
      </c>
      <c r="Z7728">
        <v>386.84179999999998</v>
      </c>
      <c r="AA7728">
        <v>44.177500000000002</v>
      </c>
      <c r="AB7728">
        <v>4.0061929999999997</v>
      </c>
      <c r="AC7728">
        <v>4.6717639999999998E-2</v>
      </c>
      <c r="AD7728">
        <v>0.79786630000000003</v>
      </c>
      <c r="AE7728">
        <v>0.78024269999999996</v>
      </c>
      <c r="AF7728">
        <v>1205.55</v>
      </c>
      <c r="AG7728">
        <f>IFERROR(AH7728*0.1, "N/A")</f>
        <v>6.034446</v>
      </c>
      <c r="AH7728">
        <v>60.344459999999998</v>
      </c>
      <c r="AI7728">
        <v>106.2479</v>
      </c>
      <c r="AJ7728">
        <v>49.356769999999997</v>
      </c>
      <c r="AK7728">
        <v>28.604569999999999</v>
      </c>
    </row>
    <row r="7729" spans="1:37" x14ac:dyDescent="0.3">
      <c r="A7729">
        <v>7728</v>
      </c>
      <c r="B7729">
        <v>94.4</v>
      </c>
      <c r="C7729">
        <v>37.322000000000003</v>
      </c>
      <c r="D7729">
        <v>-0.66378700000000002</v>
      </c>
      <c r="E7729" t="s">
        <v>11506</v>
      </c>
      <c r="F7729" t="s">
        <v>11507</v>
      </c>
      <c r="G7729" t="s">
        <v>37</v>
      </c>
      <c r="H7729">
        <v>1987</v>
      </c>
      <c r="I7729">
        <v>21.3</v>
      </c>
      <c r="J7729">
        <v>17.8</v>
      </c>
      <c r="K7729">
        <v>85</v>
      </c>
      <c r="L7729">
        <v>9.7200000000000006</v>
      </c>
      <c r="M7729">
        <v>32.299999999999997</v>
      </c>
      <c r="N7729">
        <v>11.4</v>
      </c>
      <c r="O7729">
        <v>20.9</v>
      </c>
      <c r="P7729">
        <v>22.2</v>
      </c>
      <c r="Q7729">
        <v>20.399999999999999</v>
      </c>
      <c r="R7729">
        <v>22.2</v>
      </c>
      <c r="S7729">
        <v>20</v>
      </c>
      <c r="T7729">
        <v>993</v>
      </c>
      <c r="U7729">
        <v>269</v>
      </c>
      <c r="V7729">
        <v>12</v>
      </c>
      <c r="W7729">
        <v>97</v>
      </c>
      <c r="X7729">
        <v>523</v>
      </c>
      <c r="Y7729">
        <v>36</v>
      </c>
      <c r="Z7729">
        <v>397</v>
      </c>
      <c r="AA7729">
        <v>47</v>
      </c>
      <c r="AB7729">
        <v>10.27422</v>
      </c>
      <c r="AC7729">
        <v>1.9257699999999999E-2</v>
      </c>
      <c r="AD7729">
        <v>1.641564</v>
      </c>
      <c r="AE7729">
        <v>0.75772459999999997</v>
      </c>
      <c r="AF7729">
        <v>1178.076</v>
      </c>
      <c r="AG7729">
        <f>IFERROR(AH7729*0.1, "N/A")</f>
        <v>6.3996490000000001</v>
      </c>
      <c r="AH7729">
        <v>63.996490000000001</v>
      </c>
      <c r="AI7729">
        <v>164.2234</v>
      </c>
      <c r="AJ7729">
        <v>43.00703</v>
      </c>
      <c r="AK7729">
        <v>34.003509999999999</v>
      </c>
    </row>
    <row r="7730" spans="1:37" x14ac:dyDescent="0.3">
      <c r="A7730">
        <v>7729</v>
      </c>
      <c r="B7730">
        <v>69.599999999999994</v>
      </c>
      <c r="C7730">
        <v>37.35</v>
      </c>
      <c r="D7730">
        <v>-0.68332999999999999</v>
      </c>
      <c r="E7730" t="s">
        <v>11508</v>
      </c>
      <c r="F7730" t="s">
        <v>11509</v>
      </c>
      <c r="G7730" t="s">
        <v>37</v>
      </c>
      <c r="H7730">
        <v>2007</v>
      </c>
      <c r="I7730">
        <v>21.5</v>
      </c>
      <c r="J7730">
        <v>17.775040000000001</v>
      </c>
      <c r="K7730">
        <v>85</v>
      </c>
      <c r="L7730">
        <v>9.7055710000000008</v>
      </c>
      <c r="M7730">
        <v>32.5</v>
      </c>
      <c r="N7730">
        <v>11.62496</v>
      </c>
      <c r="O7730">
        <v>20.875039999999998</v>
      </c>
      <c r="P7730">
        <v>22.4</v>
      </c>
      <c r="Q7730">
        <v>20.571179999999998</v>
      </c>
      <c r="R7730">
        <v>22.416869999999999</v>
      </c>
      <c r="S7730">
        <v>20.2</v>
      </c>
      <c r="T7730">
        <v>945.59400000000005</v>
      </c>
      <c r="U7730">
        <v>270.45870000000002</v>
      </c>
      <c r="V7730">
        <v>7.9191560000000001</v>
      </c>
      <c r="W7730">
        <v>100.5431</v>
      </c>
      <c r="X7730">
        <v>497.50970000000001</v>
      </c>
      <c r="Y7730">
        <v>30.669599999999999</v>
      </c>
      <c r="Z7730">
        <v>385.45870000000002</v>
      </c>
      <c r="AA7730">
        <v>37.83831</v>
      </c>
      <c r="AB7730">
        <v>1.57822</v>
      </c>
      <c r="AC7730">
        <v>44.152410000000003</v>
      </c>
      <c r="AD7730">
        <v>1.727698</v>
      </c>
      <c r="AE7730">
        <v>0.79691540000000005</v>
      </c>
      <c r="AF7730">
        <v>1136.8910000000001</v>
      </c>
      <c r="AG7730">
        <f>IFERROR(AH7730*0.1, "N/A")</f>
        <v>6.2369070000000004</v>
      </c>
      <c r="AH7730">
        <v>62.369070000000001</v>
      </c>
      <c r="AI7730">
        <v>238.44159999999999</v>
      </c>
      <c r="AJ7730">
        <v>43.738140000000001</v>
      </c>
      <c r="AK7730">
        <v>34.630929999999999</v>
      </c>
    </row>
    <row r="7731" spans="1:37" x14ac:dyDescent="0.3">
      <c r="A7731">
        <v>7730</v>
      </c>
      <c r="B7731">
        <v>1.3</v>
      </c>
      <c r="C7731">
        <v>34.7667</v>
      </c>
      <c r="D7731">
        <v>-0.68333299999999997</v>
      </c>
      <c r="E7731" t="s">
        <v>11510</v>
      </c>
      <c r="F7731" t="s">
        <v>11511</v>
      </c>
      <c r="G7731" t="s">
        <v>39</v>
      </c>
      <c r="H7731">
        <v>1987</v>
      </c>
      <c r="I7731">
        <v>19.27807</v>
      </c>
      <c r="J7731">
        <v>15.088419999999999</v>
      </c>
      <c r="K7731">
        <v>85.150880000000001</v>
      </c>
      <c r="L7731">
        <v>7.0278770000000002</v>
      </c>
      <c r="M7731">
        <v>28.516839999999998</v>
      </c>
      <c r="N7731">
        <v>10.92421</v>
      </c>
      <c r="O7731">
        <v>17.59263</v>
      </c>
      <c r="P7731">
        <v>19.72298</v>
      </c>
      <c r="Q7731">
        <v>19.897369999999999</v>
      </c>
      <c r="R7731">
        <v>20.197369999999999</v>
      </c>
      <c r="S7731">
        <v>18.352630000000001</v>
      </c>
      <c r="T7731">
        <v>1955.9649999999999</v>
      </c>
      <c r="U7731">
        <v>280.21749999999997</v>
      </c>
      <c r="V7731">
        <v>84.314040000000006</v>
      </c>
      <c r="W7731">
        <v>30.849119999999999</v>
      </c>
      <c r="X7731">
        <v>691.8614</v>
      </c>
      <c r="Y7731">
        <v>337.74209999999999</v>
      </c>
      <c r="Z7731">
        <v>390.78070000000002</v>
      </c>
      <c r="AA7731">
        <v>431.6474</v>
      </c>
      <c r="AB7731">
        <v>20.973669999999998</v>
      </c>
      <c r="AC7731">
        <v>5.2138259999999999E-2</v>
      </c>
      <c r="AD7731">
        <v>6.2422950000000004</v>
      </c>
      <c r="AE7731">
        <v>0.81033770000000005</v>
      </c>
      <c r="AF7731">
        <v>1688.289</v>
      </c>
      <c r="AG7731">
        <f>IFERROR(AH7731*0.1, "N/A")</f>
        <v>5.44</v>
      </c>
      <c r="AH7731">
        <v>54.4</v>
      </c>
      <c r="AI7731">
        <v>78.280810000000002</v>
      </c>
      <c r="AJ7731">
        <v>46.4</v>
      </c>
      <c r="AK7731">
        <v>31.6</v>
      </c>
    </row>
    <row r="7732" spans="1:37" x14ac:dyDescent="0.3">
      <c r="A7732">
        <v>7731</v>
      </c>
      <c r="B7732">
        <v>58.2</v>
      </c>
      <c r="C7732">
        <v>37.3446</v>
      </c>
      <c r="D7732">
        <v>-0.69810000000000005</v>
      </c>
      <c r="E7732" t="s">
        <v>11512</v>
      </c>
      <c r="F7732" t="s">
        <v>11513</v>
      </c>
      <c r="G7732" t="s">
        <v>37</v>
      </c>
      <c r="H7732">
        <v>2007</v>
      </c>
      <c r="I7732">
        <v>21.5</v>
      </c>
      <c r="J7732">
        <v>17.7</v>
      </c>
      <c r="K7732">
        <v>85</v>
      </c>
      <c r="L7732">
        <v>9.7799999999999994</v>
      </c>
      <c r="M7732">
        <v>32.5</v>
      </c>
      <c r="N7732">
        <v>11.8</v>
      </c>
      <c r="O7732">
        <v>20.7</v>
      </c>
      <c r="P7732">
        <v>22.4</v>
      </c>
      <c r="Q7732">
        <v>20.5</v>
      </c>
      <c r="R7732">
        <v>22.5</v>
      </c>
      <c r="S7732">
        <v>20.2</v>
      </c>
      <c r="T7732">
        <v>932</v>
      </c>
      <c r="U7732">
        <v>264</v>
      </c>
      <c r="V7732">
        <v>7</v>
      </c>
      <c r="W7732">
        <v>100</v>
      </c>
      <c r="X7732">
        <v>488</v>
      </c>
      <c r="Y7732">
        <v>29</v>
      </c>
      <c r="Z7732">
        <v>379</v>
      </c>
      <c r="AA7732">
        <v>36</v>
      </c>
      <c r="AB7732">
        <v>4.7391019999999999</v>
      </c>
      <c r="AC7732">
        <v>5.8082000000000002E-2</v>
      </c>
      <c r="AD7732">
        <v>1.3358300000000001</v>
      </c>
      <c r="AE7732">
        <v>0.78239009999999998</v>
      </c>
      <c r="AF7732">
        <v>1143.422</v>
      </c>
      <c r="AG7732">
        <f>IFERROR(AH7732*0.1, "N/A")</f>
        <v>6.2070550000000004</v>
      </c>
      <c r="AH7732">
        <v>62.070549999999997</v>
      </c>
      <c r="AI7732">
        <v>104.4264</v>
      </c>
      <c r="AJ7732">
        <v>38.99295</v>
      </c>
      <c r="AK7732">
        <v>35.010579999999997</v>
      </c>
    </row>
    <row r="7733" spans="1:37" x14ac:dyDescent="0.3">
      <c r="A7733">
        <v>7732</v>
      </c>
      <c r="B7733">
        <v>0</v>
      </c>
      <c r="C7733">
        <v>37.366700000000002</v>
      </c>
      <c r="D7733">
        <v>-0.7</v>
      </c>
      <c r="E7733" t="s">
        <v>11514</v>
      </c>
      <c r="F7733" t="s">
        <v>11515</v>
      </c>
      <c r="G7733" t="s">
        <v>37</v>
      </c>
      <c r="H7733">
        <v>1987</v>
      </c>
      <c r="I7733">
        <v>21.5</v>
      </c>
      <c r="J7733">
        <v>17.62951</v>
      </c>
      <c r="K7733">
        <v>85</v>
      </c>
      <c r="L7733">
        <v>9.8248409999999993</v>
      </c>
      <c r="M7733">
        <v>32.5</v>
      </c>
      <c r="N7733">
        <v>11.86661</v>
      </c>
      <c r="O7733">
        <v>20.633389999999999</v>
      </c>
      <c r="P7733">
        <v>22.4</v>
      </c>
      <c r="Q7733">
        <v>20.566610000000001</v>
      </c>
      <c r="R7733">
        <v>22.5</v>
      </c>
      <c r="S7733">
        <v>20.2</v>
      </c>
      <c r="T7733">
        <v>915.50530000000003</v>
      </c>
      <c r="U7733">
        <v>257.93819999999999</v>
      </c>
      <c r="V7733">
        <v>6.3339220000000003</v>
      </c>
      <c r="W7733">
        <v>100.29510000000001</v>
      </c>
      <c r="X7733">
        <v>474.38159999999999</v>
      </c>
      <c r="Y7733">
        <v>27.333919999999999</v>
      </c>
      <c r="Z7733">
        <v>372.93819999999999</v>
      </c>
      <c r="AA7733">
        <v>32.372790000000002</v>
      </c>
      <c r="AB7733">
        <v>2.3505539999999998</v>
      </c>
      <c r="AC7733">
        <v>283.94929999999999</v>
      </c>
      <c r="AD7733">
        <v>1.6341129999999999</v>
      </c>
      <c r="AE7733">
        <v>0.7667889</v>
      </c>
      <c r="AF7733">
        <v>1132.873</v>
      </c>
      <c r="AG7733">
        <f>IFERROR(AH7733*0.1, "N/A")</f>
        <v>6.4</v>
      </c>
      <c r="AH7733">
        <v>64</v>
      </c>
      <c r="AI7733">
        <v>173.52119999999999</v>
      </c>
      <c r="AJ7733">
        <v>43.849820000000001</v>
      </c>
      <c r="AK7733">
        <v>32.173139999999997</v>
      </c>
    </row>
    <row r="7734" spans="1:37" x14ac:dyDescent="0.3">
      <c r="A7734">
        <v>7733</v>
      </c>
      <c r="B7734">
        <v>90.4</v>
      </c>
      <c r="C7734">
        <v>37.439100000000003</v>
      </c>
      <c r="D7734">
        <v>-0.71292999999999995</v>
      </c>
      <c r="E7734" t="s">
        <v>11516</v>
      </c>
      <c r="F7734" t="s">
        <v>11517</v>
      </c>
      <c r="G7734" t="s">
        <v>37</v>
      </c>
      <c r="H7734">
        <v>1987</v>
      </c>
      <c r="I7734">
        <v>21.6</v>
      </c>
      <c r="J7734">
        <v>17.399999999999999</v>
      </c>
      <c r="K7734">
        <v>85</v>
      </c>
      <c r="L7734">
        <v>9.99</v>
      </c>
      <c r="M7734">
        <v>32.4</v>
      </c>
      <c r="N7734">
        <v>12</v>
      </c>
      <c r="O7734">
        <v>20.399999999999999</v>
      </c>
      <c r="P7734">
        <v>22.5</v>
      </c>
      <c r="Q7734">
        <v>20.6</v>
      </c>
      <c r="R7734">
        <v>22.6</v>
      </c>
      <c r="S7734">
        <v>20.2</v>
      </c>
      <c r="T7734">
        <v>866</v>
      </c>
      <c r="U7734">
        <v>235</v>
      </c>
      <c r="V7734">
        <v>4</v>
      </c>
      <c r="W7734">
        <v>100</v>
      </c>
      <c r="X7734">
        <v>432</v>
      </c>
      <c r="Y7734">
        <v>22</v>
      </c>
      <c r="Z7734">
        <v>352</v>
      </c>
      <c r="AA7734">
        <v>23</v>
      </c>
      <c r="AB7734">
        <v>1.4640690000000001</v>
      </c>
      <c r="AC7734">
        <v>38.948749999999997</v>
      </c>
      <c r="AD7734">
        <v>2.736459</v>
      </c>
      <c r="AE7734">
        <v>0.73220810000000003</v>
      </c>
      <c r="AF7734">
        <v>1099.5530000000001</v>
      </c>
      <c r="AG7734">
        <f>IFERROR(AH7734*0.1, "N/A")</f>
        <v>6.5213030000000005</v>
      </c>
      <c r="AH7734">
        <v>65.213030000000003</v>
      </c>
      <c r="AI7734">
        <v>252.03880000000001</v>
      </c>
      <c r="AJ7734">
        <v>49.42606</v>
      </c>
      <c r="AK7734">
        <v>30.57394</v>
      </c>
    </row>
    <row r="7735" spans="1:37" x14ac:dyDescent="0.3">
      <c r="A7735">
        <v>7734</v>
      </c>
      <c r="B7735">
        <v>5.3</v>
      </c>
      <c r="C7735">
        <v>36.433300000000003</v>
      </c>
      <c r="D7735">
        <v>-0.7167</v>
      </c>
      <c r="E7735" t="s">
        <v>11518</v>
      </c>
      <c r="F7735" t="s">
        <v>11519</v>
      </c>
      <c r="G7735" t="s">
        <v>37</v>
      </c>
      <c r="H7735">
        <v>1987</v>
      </c>
      <c r="I7735">
        <v>17.02702</v>
      </c>
      <c r="J7735">
        <v>15.32105</v>
      </c>
      <c r="K7735">
        <v>80.059650000000005</v>
      </c>
      <c r="L7735">
        <v>8.7468070000000004</v>
      </c>
      <c r="M7735">
        <v>27.386669999999999</v>
      </c>
      <c r="N7735">
        <v>8.4059650000000001</v>
      </c>
      <c r="O7735">
        <v>18.980699999999999</v>
      </c>
      <c r="P7735">
        <v>17.807020000000001</v>
      </c>
      <c r="Q7735">
        <v>15.87158</v>
      </c>
      <c r="R7735">
        <v>18.101050000000001</v>
      </c>
      <c r="S7735">
        <v>15.77158</v>
      </c>
      <c r="T7735">
        <v>690.6</v>
      </c>
      <c r="U7735">
        <v>124.70529999999999</v>
      </c>
      <c r="V7735">
        <v>33.50526</v>
      </c>
      <c r="W7735">
        <v>46.487720000000003</v>
      </c>
      <c r="X7735">
        <v>281.56139999999999</v>
      </c>
      <c r="Y7735">
        <v>118.2912</v>
      </c>
      <c r="Z7735">
        <v>223.0737</v>
      </c>
      <c r="AA7735">
        <v>127.2912</v>
      </c>
      <c r="AB7735">
        <v>9.7803649999999998</v>
      </c>
      <c r="AC7735">
        <v>2.2648700000000002</v>
      </c>
      <c r="AD7735">
        <v>2.079936</v>
      </c>
      <c r="AE7735">
        <v>0.75879129999999995</v>
      </c>
      <c r="AF7735">
        <v>1905.2739999999999</v>
      </c>
      <c r="AG7735">
        <f>IFERROR(AH7735*0.1, "N/A")</f>
        <v>7.178947</v>
      </c>
      <c r="AH7735">
        <v>71.789469999999994</v>
      </c>
      <c r="AI7735">
        <v>255.2105</v>
      </c>
      <c r="AJ7735">
        <v>35.421050000000001</v>
      </c>
      <c r="AK7735">
        <v>35.789470000000001</v>
      </c>
    </row>
    <row r="7736" spans="1:37" x14ac:dyDescent="0.3">
      <c r="A7736">
        <v>7735</v>
      </c>
      <c r="B7736">
        <v>14.9</v>
      </c>
      <c r="C7736">
        <v>36.433300000000003</v>
      </c>
      <c r="D7736">
        <v>-0.7167</v>
      </c>
      <c r="E7736" t="s">
        <v>11518</v>
      </c>
      <c r="F7736" t="s">
        <v>11520</v>
      </c>
      <c r="G7736" t="s">
        <v>39</v>
      </c>
      <c r="H7736">
        <v>1987</v>
      </c>
      <c r="I7736">
        <v>17.02702</v>
      </c>
      <c r="J7736">
        <v>15.32105</v>
      </c>
      <c r="K7736">
        <v>80.059650000000005</v>
      </c>
      <c r="L7736">
        <v>8.7468070000000004</v>
      </c>
      <c r="M7736">
        <v>27.386669999999999</v>
      </c>
      <c r="N7736">
        <v>8.4059650000000001</v>
      </c>
      <c r="O7736">
        <v>18.980699999999999</v>
      </c>
      <c r="P7736">
        <v>17.807020000000001</v>
      </c>
      <c r="Q7736">
        <v>15.87158</v>
      </c>
      <c r="R7736">
        <v>18.101050000000001</v>
      </c>
      <c r="S7736">
        <v>15.77158</v>
      </c>
      <c r="T7736">
        <v>690.6</v>
      </c>
      <c r="U7736">
        <v>124.70529999999999</v>
      </c>
      <c r="V7736">
        <v>33.50526</v>
      </c>
      <c r="W7736">
        <v>46.487720000000003</v>
      </c>
      <c r="X7736">
        <v>281.56139999999999</v>
      </c>
      <c r="Y7736">
        <v>118.2912</v>
      </c>
      <c r="Z7736">
        <v>223.0737</v>
      </c>
      <c r="AA7736">
        <v>127.2912</v>
      </c>
      <c r="AB7736">
        <v>9.7803649999999998</v>
      </c>
      <c r="AC7736">
        <v>2.2648700000000002</v>
      </c>
      <c r="AD7736">
        <v>2.079936</v>
      </c>
      <c r="AE7736">
        <v>0.75879129999999995</v>
      </c>
      <c r="AF7736">
        <v>1905.2739999999999</v>
      </c>
      <c r="AG7736">
        <f>IFERROR(AH7736*0.1, "N/A")</f>
        <v>7.178947</v>
      </c>
      <c r="AH7736">
        <v>71.789469999999994</v>
      </c>
      <c r="AI7736">
        <v>255.2105</v>
      </c>
      <c r="AJ7736">
        <v>35.421050000000001</v>
      </c>
      <c r="AK7736">
        <v>35.789470000000001</v>
      </c>
    </row>
    <row r="7737" spans="1:37" x14ac:dyDescent="0.3">
      <c r="A7737">
        <v>7736</v>
      </c>
      <c r="B7737">
        <v>92.7</v>
      </c>
      <c r="C7737">
        <v>37.321599999999997</v>
      </c>
      <c r="D7737">
        <v>-0.72560000000000002</v>
      </c>
      <c r="E7737" t="s">
        <v>11521</v>
      </c>
      <c r="F7737" t="s">
        <v>11522</v>
      </c>
      <c r="G7737" t="s">
        <v>37</v>
      </c>
      <c r="H7737">
        <v>2005</v>
      </c>
      <c r="I7737">
        <v>21.406359999999999</v>
      </c>
      <c r="J7737">
        <v>17.5</v>
      </c>
      <c r="K7737">
        <v>84</v>
      </c>
      <c r="L7737">
        <v>9.8374559999999995</v>
      </c>
      <c r="M7737">
        <v>32.299999999999997</v>
      </c>
      <c r="N7737">
        <v>11.7</v>
      </c>
      <c r="O7737">
        <v>20.6</v>
      </c>
      <c r="P7737">
        <v>22.20636</v>
      </c>
      <c r="Q7737">
        <v>20.399999999999999</v>
      </c>
      <c r="R7737">
        <v>22.306360000000002</v>
      </c>
      <c r="S7737">
        <v>20.006360000000001</v>
      </c>
      <c r="T7737">
        <v>938.19079999999997</v>
      </c>
      <c r="U7737">
        <v>259.12720000000002</v>
      </c>
      <c r="V7737">
        <v>8</v>
      </c>
      <c r="W7737">
        <v>98</v>
      </c>
      <c r="X7737">
        <v>494.12720000000002</v>
      </c>
      <c r="Y7737">
        <v>29</v>
      </c>
      <c r="Z7737">
        <v>378.12720000000002</v>
      </c>
      <c r="AA7737">
        <v>37.063600000000001</v>
      </c>
      <c r="AB7737">
        <v>6.1538700000000004</v>
      </c>
      <c r="AC7737">
        <v>1.2730170000000001E-2</v>
      </c>
      <c r="AD7737">
        <v>0.92406359999999999</v>
      </c>
      <c r="AE7737">
        <v>0.73022229999999999</v>
      </c>
      <c r="AF7737">
        <v>1150.558</v>
      </c>
      <c r="AG7737">
        <f>IFERROR(AH7737*0.1, "N/A")</f>
        <v>6.9141340000000007</v>
      </c>
      <c r="AH7737">
        <v>69.14134</v>
      </c>
      <c r="AI7737">
        <v>63.473469999999999</v>
      </c>
      <c r="AJ7737">
        <v>44.57244</v>
      </c>
      <c r="AK7737">
        <v>35.42756</v>
      </c>
    </row>
    <row r="7738" spans="1:37" x14ac:dyDescent="0.3">
      <c r="A7738">
        <v>7737</v>
      </c>
      <c r="B7738">
        <v>89.9</v>
      </c>
      <c r="C7738">
        <v>37.330500000000001</v>
      </c>
      <c r="D7738">
        <v>-0.73024999999999995</v>
      </c>
      <c r="E7738" t="s">
        <v>11523</v>
      </c>
      <c r="F7738" t="s">
        <v>11524</v>
      </c>
      <c r="G7738" t="s">
        <v>37</v>
      </c>
      <c r="H7738">
        <v>2005</v>
      </c>
      <c r="I7738">
        <v>21.4</v>
      </c>
      <c r="J7738">
        <v>17.5</v>
      </c>
      <c r="K7738">
        <v>85</v>
      </c>
      <c r="L7738">
        <v>9.82</v>
      </c>
      <c r="M7738">
        <v>32.299999999999997</v>
      </c>
      <c r="N7738">
        <v>11.8</v>
      </c>
      <c r="O7738">
        <v>20.5</v>
      </c>
      <c r="P7738">
        <v>22.3</v>
      </c>
      <c r="Q7738">
        <v>20.399999999999999</v>
      </c>
      <c r="R7738">
        <v>22.4</v>
      </c>
      <c r="S7738">
        <v>20</v>
      </c>
      <c r="T7738">
        <v>931</v>
      </c>
      <c r="U7738">
        <v>258</v>
      </c>
      <c r="V7738">
        <v>7</v>
      </c>
      <c r="W7738">
        <v>98</v>
      </c>
      <c r="X7738">
        <v>488</v>
      </c>
      <c r="Y7738">
        <v>28</v>
      </c>
      <c r="Z7738">
        <v>376</v>
      </c>
      <c r="AA7738">
        <v>36</v>
      </c>
      <c r="AB7738">
        <v>4.0519179999999997</v>
      </c>
      <c r="AC7738">
        <v>2.4407600000000002E-2</v>
      </c>
      <c r="AD7738">
        <v>2.7212839999999998</v>
      </c>
      <c r="AE7738">
        <v>0.73457919999999999</v>
      </c>
      <c r="AF7738">
        <v>1144.866</v>
      </c>
      <c r="AG7738">
        <f>IFERROR(AH7738*0.1, "N/A")</f>
        <v>6.5</v>
      </c>
      <c r="AH7738">
        <v>65</v>
      </c>
      <c r="AI7738">
        <v>21.109210000000001</v>
      </c>
      <c r="AJ7738">
        <v>45.582749999999997</v>
      </c>
      <c r="AK7738">
        <v>35.165489999999998</v>
      </c>
    </row>
    <row r="7739" spans="1:37" x14ac:dyDescent="0.3">
      <c r="A7739">
        <v>7738</v>
      </c>
      <c r="B7739">
        <v>75</v>
      </c>
      <c r="C7739">
        <v>34.126800000000003</v>
      </c>
      <c r="D7739">
        <v>-1.01244</v>
      </c>
      <c r="E7739" t="s">
        <v>11525</v>
      </c>
      <c r="F7739" t="s">
        <v>11526</v>
      </c>
      <c r="G7739" t="s">
        <v>37</v>
      </c>
      <c r="H7739">
        <v>0</v>
      </c>
      <c r="I7739">
        <v>22.7</v>
      </c>
      <c r="J7739">
        <v>12.7</v>
      </c>
      <c r="K7739">
        <v>85</v>
      </c>
      <c r="L7739">
        <v>5.66</v>
      </c>
      <c r="M7739">
        <v>30.1</v>
      </c>
      <c r="N7739">
        <v>15.3</v>
      </c>
      <c r="O7739">
        <v>14.8</v>
      </c>
      <c r="P7739">
        <v>23</v>
      </c>
      <c r="Q7739">
        <v>22.1</v>
      </c>
      <c r="R7739">
        <v>23.3</v>
      </c>
      <c r="S7739">
        <v>21.8</v>
      </c>
      <c r="T7739">
        <v>1009</v>
      </c>
      <c r="U7739">
        <v>183</v>
      </c>
      <c r="V7739">
        <v>29</v>
      </c>
      <c r="W7739">
        <v>56</v>
      </c>
      <c r="X7739">
        <v>450</v>
      </c>
      <c r="Y7739">
        <v>106</v>
      </c>
      <c r="Z7739">
        <v>236</v>
      </c>
      <c r="AA7739">
        <v>111</v>
      </c>
      <c r="AB7739">
        <v>8.0395950000000003</v>
      </c>
      <c r="AC7739">
        <v>7.0249880000000001E-2</v>
      </c>
      <c r="AD7739">
        <v>2.1570109999999998</v>
      </c>
      <c r="AE7739">
        <v>0.71471240000000003</v>
      </c>
      <c r="AF7739">
        <v>1143.1510000000001</v>
      </c>
      <c r="AG7739">
        <f>IFERROR(AH7739*0.1, "N/A")</f>
        <v>6.5342710000000004</v>
      </c>
      <c r="AH7739">
        <v>65.342709999999997</v>
      </c>
      <c r="AI7739">
        <v>266.37450000000001</v>
      </c>
      <c r="AJ7739">
        <v>30.678380000000001</v>
      </c>
      <c r="AK7739">
        <v>51.321620000000003</v>
      </c>
    </row>
    <row r="7740" spans="1:37" x14ac:dyDescent="0.3">
      <c r="A7740">
        <v>7739</v>
      </c>
      <c r="B7740">
        <v>5.2</v>
      </c>
      <c r="C7740">
        <v>36.7333</v>
      </c>
      <c r="D7740">
        <v>-1.0333000000000001</v>
      </c>
      <c r="E7740" t="s">
        <v>11527</v>
      </c>
      <c r="F7740" t="s">
        <v>11528</v>
      </c>
      <c r="G7740" t="s">
        <v>37</v>
      </c>
      <c r="H7740">
        <v>1987</v>
      </c>
      <c r="I7740">
        <v>16.26567</v>
      </c>
      <c r="J7740">
        <v>12.4</v>
      </c>
      <c r="K7740">
        <v>74.498239999999996</v>
      </c>
      <c r="L7740">
        <v>12.32544</v>
      </c>
      <c r="M7740">
        <v>25.065670000000001</v>
      </c>
      <c r="N7740">
        <v>8.5154929999999993</v>
      </c>
      <c r="O7740">
        <v>16.550180000000001</v>
      </c>
      <c r="P7740">
        <v>17.165669999999999</v>
      </c>
      <c r="Q7740">
        <v>14.62077</v>
      </c>
      <c r="R7740">
        <v>17.615490000000001</v>
      </c>
      <c r="S7740">
        <v>14.34718</v>
      </c>
      <c r="T7740">
        <v>1422.0740000000001</v>
      </c>
      <c r="U7740">
        <v>331.95069999999998</v>
      </c>
      <c r="V7740">
        <v>38.316899999999997</v>
      </c>
      <c r="W7740">
        <v>78.18486</v>
      </c>
      <c r="X7740">
        <v>728.77290000000005</v>
      </c>
      <c r="Y7740">
        <v>126.8451</v>
      </c>
      <c r="Z7740">
        <v>515.92780000000005</v>
      </c>
      <c r="AA7740">
        <v>146.58099999999999</v>
      </c>
      <c r="AB7740">
        <v>30.807770000000001</v>
      </c>
      <c r="AC7740">
        <v>0.1394523</v>
      </c>
      <c r="AD7740">
        <v>8.2893209999999993</v>
      </c>
      <c r="AE7740">
        <v>0.57853290000000002</v>
      </c>
      <c r="AF7740">
        <v>2089.5740000000001</v>
      </c>
      <c r="AG7740">
        <f>IFERROR(AH7740*0.1, "N/A")</f>
        <v>5.3000000000000007</v>
      </c>
      <c r="AH7740">
        <v>53</v>
      </c>
      <c r="AI7740">
        <v>48.564109999999999</v>
      </c>
      <c r="AJ7740">
        <v>34.357390000000002</v>
      </c>
      <c r="AK7740">
        <v>29.003520000000002</v>
      </c>
    </row>
    <row r="7741" spans="1:37" x14ac:dyDescent="0.3">
      <c r="A7741">
        <v>7740</v>
      </c>
      <c r="B7741">
        <v>61.8</v>
      </c>
      <c r="C7741">
        <v>37.545900000000003</v>
      </c>
      <c r="D7741">
        <v>-1.1469499999999999</v>
      </c>
      <c r="E7741" t="s">
        <v>11529</v>
      </c>
      <c r="F7741" t="s">
        <v>11530</v>
      </c>
      <c r="G7741" t="s">
        <v>39</v>
      </c>
      <c r="H7741">
        <v>1999</v>
      </c>
      <c r="I7741">
        <v>20.9</v>
      </c>
      <c r="J7741">
        <v>15</v>
      </c>
      <c r="K7741">
        <v>80</v>
      </c>
      <c r="L7741">
        <v>11.78</v>
      </c>
      <c r="M7741">
        <v>30.5</v>
      </c>
      <c r="N7741">
        <v>11.9</v>
      </c>
      <c r="O7741">
        <v>18.600000000000001</v>
      </c>
      <c r="P7741">
        <v>21.3</v>
      </c>
      <c r="Q7741">
        <v>19</v>
      </c>
      <c r="R7741">
        <v>22.1</v>
      </c>
      <c r="S7741">
        <v>19</v>
      </c>
      <c r="T7741">
        <v>759</v>
      </c>
      <c r="U7741">
        <v>219</v>
      </c>
      <c r="V7741">
        <v>2</v>
      </c>
      <c r="W7741">
        <v>103</v>
      </c>
      <c r="X7741">
        <v>370</v>
      </c>
      <c r="Y7741">
        <v>12</v>
      </c>
      <c r="Z7741">
        <v>288</v>
      </c>
      <c r="AA7741">
        <v>12</v>
      </c>
      <c r="AB7741">
        <v>49.884950000000003</v>
      </c>
      <c r="AC7741">
        <v>1.1035059999999999E-2</v>
      </c>
      <c r="AD7741">
        <v>2.9377930000000001</v>
      </c>
      <c r="AE7741">
        <v>0.74456319999999998</v>
      </c>
      <c r="AF7741">
        <v>1271.509</v>
      </c>
      <c r="AG7741">
        <f>IFERROR(AH7741*0.1, "N/A")</f>
        <v>7.2047370000000006</v>
      </c>
      <c r="AH7741">
        <v>72.047370000000001</v>
      </c>
      <c r="AI7741">
        <v>39.58661</v>
      </c>
      <c r="AJ7741">
        <v>36.875439999999998</v>
      </c>
      <c r="AK7741">
        <v>41.929819999999999</v>
      </c>
    </row>
    <row r="7742" spans="1:37" x14ac:dyDescent="0.3">
      <c r="A7742">
        <v>7741</v>
      </c>
      <c r="B7742">
        <v>60.7</v>
      </c>
      <c r="C7742">
        <v>37.2333</v>
      </c>
      <c r="D7742">
        <v>-1.18333</v>
      </c>
      <c r="E7742" t="s">
        <v>11531</v>
      </c>
      <c r="F7742" t="s">
        <v>11532</v>
      </c>
      <c r="G7742" t="s">
        <v>39</v>
      </c>
      <c r="H7742">
        <v>1999</v>
      </c>
      <c r="I7742">
        <v>19.7</v>
      </c>
      <c r="J7742">
        <v>14.03063</v>
      </c>
      <c r="K7742">
        <v>77.306340000000006</v>
      </c>
      <c r="L7742">
        <v>11.653700000000001</v>
      </c>
      <c r="M7742">
        <v>29.2</v>
      </c>
      <c r="N7742">
        <v>11.13063</v>
      </c>
      <c r="O7742">
        <v>18.069369999999999</v>
      </c>
      <c r="P7742">
        <v>20.6</v>
      </c>
      <c r="Q7742">
        <v>18.160039999999999</v>
      </c>
      <c r="R7742">
        <v>20.914439999999999</v>
      </c>
      <c r="S7742">
        <v>17.860029999999998</v>
      </c>
      <c r="T7742">
        <v>879.8732</v>
      </c>
      <c r="U7742">
        <v>208.17080000000001</v>
      </c>
      <c r="V7742">
        <v>5</v>
      </c>
      <c r="W7742">
        <v>93.438379999999995</v>
      </c>
      <c r="X7742">
        <v>396.8768</v>
      </c>
      <c r="Y7742">
        <v>19</v>
      </c>
      <c r="Z7742">
        <v>360.71480000000003</v>
      </c>
      <c r="AA7742">
        <v>20</v>
      </c>
      <c r="AB7742">
        <v>7.5447030000000002</v>
      </c>
      <c r="AC7742">
        <v>1.104369E-2</v>
      </c>
      <c r="AD7742">
        <v>1.4962899999999999</v>
      </c>
      <c r="AE7742">
        <v>0.71749759999999996</v>
      </c>
      <c r="AF7742">
        <v>1509.585</v>
      </c>
      <c r="AG7742">
        <f>IFERROR(AH7742*0.1, "N/A")</f>
        <v>6.536620000000001</v>
      </c>
      <c r="AH7742">
        <v>65.366200000000006</v>
      </c>
      <c r="AI7742">
        <v>256.64089999999999</v>
      </c>
      <c r="AJ7742">
        <v>36.528170000000003</v>
      </c>
      <c r="AK7742">
        <v>48.968310000000002</v>
      </c>
    </row>
    <row r="7743" spans="1:37" x14ac:dyDescent="0.3">
      <c r="A7743">
        <v>7742</v>
      </c>
      <c r="B7743">
        <v>45.7</v>
      </c>
      <c r="C7743">
        <v>40.002000000000002</v>
      </c>
      <c r="D7743">
        <v>-1.20539</v>
      </c>
      <c r="E7743" t="s">
        <v>11533</v>
      </c>
      <c r="F7743" t="s">
        <v>11534</v>
      </c>
      <c r="G7743" t="s">
        <v>39</v>
      </c>
      <c r="H7743">
        <v>1978</v>
      </c>
      <c r="I7743">
        <v>27.6</v>
      </c>
      <c r="J7743">
        <v>11.5</v>
      </c>
      <c r="K7743">
        <v>73</v>
      </c>
      <c r="L7743">
        <v>13.45</v>
      </c>
      <c r="M7743">
        <v>35.5</v>
      </c>
      <c r="N7743">
        <v>19.8</v>
      </c>
      <c r="O7743">
        <v>15.7</v>
      </c>
      <c r="P7743">
        <v>28.1</v>
      </c>
      <c r="Q7743">
        <v>25.6</v>
      </c>
      <c r="R7743">
        <v>29.1</v>
      </c>
      <c r="S7743">
        <v>25.6</v>
      </c>
      <c r="T7743">
        <v>437</v>
      </c>
      <c r="U7743">
        <v>96</v>
      </c>
      <c r="V7743">
        <v>8</v>
      </c>
      <c r="W7743">
        <v>78</v>
      </c>
      <c r="X7743">
        <v>187</v>
      </c>
      <c r="Y7743">
        <v>38</v>
      </c>
      <c r="Z7743">
        <v>141</v>
      </c>
      <c r="AA7743">
        <v>38</v>
      </c>
      <c r="AB7743">
        <v>1.0445439999999999</v>
      </c>
      <c r="AC7743">
        <v>9.4081200000000004E-2</v>
      </c>
      <c r="AD7743">
        <v>1.386598</v>
      </c>
      <c r="AE7743">
        <v>0.31172699999999998</v>
      </c>
      <c r="AF7743">
        <v>79.987679999999997</v>
      </c>
      <c r="AG7743">
        <f>IFERROR(AH7743*0.1, "N/A")</f>
        <v>6.8100350000000009</v>
      </c>
      <c r="AH7743">
        <v>68.100350000000006</v>
      </c>
      <c r="AI7743">
        <v>119.8806</v>
      </c>
      <c r="AJ7743">
        <v>29.086269999999999</v>
      </c>
      <c r="AK7743">
        <v>47.75</v>
      </c>
    </row>
    <row r="7744" spans="1:37" x14ac:dyDescent="0.3">
      <c r="A7744">
        <v>7743</v>
      </c>
      <c r="B7744">
        <v>37.1</v>
      </c>
      <c r="C7744">
        <v>37.2667</v>
      </c>
      <c r="D7744">
        <v>-1.2166699999999999</v>
      </c>
      <c r="E7744" t="s">
        <v>11535</v>
      </c>
      <c r="F7744" t="s">
        <v>11536</v>
      </c>
      <c r="G7744" t="s">
        <v>39</v>
      </c>
      <c r="H7744">
        <v>1999</v>
      </c>
      <c r="I7744">
        <v>19.665849999999999</v>
      </c>
      <c r="J7744">
        <v>14.01637</v>
      </c>
      <c r="K7744">
        <v>77</v>
      </c>
      <c r="L7744">
        <v>11.9778</v>
      </c>
      <c r="M7744">
        <v>29.139610000000001</v>
      </c>
      <c r="N7744">
        <v>11.08222</v>
      </c>
      <c r="O7744">
        <v>18.057390000000002</v>
      </c>
      <c r="P7744">
        <v>20.6</v>
      </c>
      <c r="Q7744">
        <v>18.08222</v>
      </c>
      <c r="R7744">
        <v>20.916370000000001</v>
      </c>
      <c r="S7744">
        <v>17.782219999999999</v>
      </c>
      <c r="T7744">
        <v>902.20420000000001</v>
      </c>
      <c r="U7744">
        <v>219.17779999999999</v>
      </c>
      <c r="V7744">
        <v>4.0686619999999998</v>
      </c>
      <c r="W7744">
        <v>95</v>
      </c>
      <c r="X7744">
        <v>401.76580000000001</v>
      </c>
      <c r="Y7744">
        <v>17.068660000000001</v>
      </c>
      <c r="Z7744">
        <v>371.69720000000001</v>
      </c>
      <c r="AA7744">
        <v>18.068660000000001</v>
      </c>
      <c r="AB7744">
        <v>16.850010000000001</v>
      </c>
      <c r="AC7744">
        <v>0.1077574</v>
      </c>
      <c r="AD7744">
        <v>1.5052019999999999</v>
      </c>
      <c r="AE7744">
        <v>0.67105340000000002</v>
      </c>
      <c r="AF7744">
        <v>1506.982</v>
      </c>
      <c r="AG7744">
        <f>IFERROR(AH7744*0.1, "N/A")</f>
        <v>5.7702460000000002</v>
      </c>
      <c r="AH7744">
        <v>57.702460000000002</v>
      </c>
      <c r="AI7744">
        <v>90.406909999999996</v>
      </c>
      <c r="AJ7744">
        <v>32.658450000000002</v>
      </c>
      <c r="AK7744">
        <v>54.119720000000001</v>
      </c>
    </row>
    <row r="7745" spans="1:37" x14ac:dyDescent="0.3">
      <c r="A7745">
        <v>7744</v>
      </c>
      <c r="B7745">
        <v>22.9</v>
      </c>
      <c r="C7745">
        <v>37.2958</v>
      </c>
      <c r="D7745">
        <v>-1.2220800000000001</v>
      </c>
      <c r="E7745" t="s">
        <v>11537</v>
      </c>
      <c r="F7745" t="s">
        <v>11538</v>
      </c>
      <c r="G7745" t="s">
        <v>37</v>
      </c>
      <c r="H7745">
        <v>1983</v>
      </c>
      <c r="I7745">
        <v>19.7</v>
      </c>
      <c r="J7745">
        <v>14.1</v>
      </c>
      <c r="K7745">
        <v>77</v>
      </c>
      <c r="L7745">
        <v>12.13</v>
      </c>
      <c r="M7745">
        <v>29.3</v>
      </c>
      <c r="N7745">
        <v>11.1</v>
      </c>
      <c r="O7745">
        <v>18.2</v>
      </c>
      <c r="P7745">
        <v>20.6</v>
      </c>
      <c r="Q7745">
        <v>17.8</v>
      </c>
      <c r="R7745">
        <v>21</v>
      </c>
      <c r="S7745">
        <v>17.8</v>
      </c>
      <c r="T7745">
        <v>899</v>
      </c>
      <c r="U7745">
        <v>222</v>
      </c>
      <c r="V7745">
        <v>4</v>
      </c>
      <c r="W7745">
        <v>97</v>
      </c>
      <c r="X7745">
        <v>398</v>
      </c>
      <c r="Y7745">
        <v>16</v>
      </c>
      <c r="Z7745">
        <v>370</v>
      </c>
      <c r="AA7745">
        <v>16</v>
      </c>
      <c r="AB7745">
        <v>5.5072580000000002</v>
      </c>
      <c r="AC7745">
        <v>0.1144223</v>
      </c>
      <c r="AD7745">
        <v>2.0843250000000002</v>
      </c>
      <c r="AE7745">
        <v>0.71457040000000005</v>
      </c>
      <c r="AF7745">
        <v>1490.3009999999999</v>
      </c>
      <c r="AG7745">
        <f>IFERROR(AH7745*0.1, "N/A")</f>
        <v>5.5813380000000006</v>
      </c>
      <c r="AH7745">
        <v>55.813380000000002</v>
      </c>
      <c r="AI7745">
        <v>66.656059999999997</v>
      </c>
      <c r="AJ7745">
        <v>36.737679999999997</v>
      </c>
      <c r="AK7745">
        <v>47.267609999999998</v>
      </c>
    </row>
    <row r="7746" spans="1:37" x14ac:dyDescent="0.3">
      <c r="A7746">
        <v>7745</v>
      </c>
      <c r="B7746">
        <v>1.1000000000000001</v>
      </c>
      <c r="C7746">
        <v>36.816699999999997</v>
      </c>
      <c r="D7746">
        <v>-1.2833000000000001</v>
      </c>
      <c r="E7746" t="s">
        <v>11539</v>
      </c>
      <c r="F7746" t="s">
        <v>11540</v>
      </c>
      <c r="G7746" t="s">
        <v>37</v>
      </c>
      <c r="H7746">
        <v>1987</v>
      </c>
      <c r="I7746">
        <v>18.964079999999999</v>
      </c>
      <c r="J7746">
        <v>12.2</v>
      </c>
      <c r="K7746">
        <v>73</v>
      </c>
      <c r="L7746">
        <v>11.990320000000001</v>
      </c>
      <c r="M7746">
        <v>27.653700000000001</v>
      </c>
      <c r="N7746">
        <v>11.153700000000001</v>
      </c>
      <c r="O7746">
        <v>16.5</v>
      </c>
      <c r="P7746">
        <v>19.91778</v>
      </c>
      <c r="Q7746">
        <v>17.423940000000002</v>
      </c>
      <c r="R7746">
        <v>20.26408</v>
      </c>
      <c r="S7746">
        <v>17.123940000000001</v>
      </c>
      <c r="T7746">
        <v>872.97709999999995</v>
      </c>
      <c r="U7746">
        <v>192.14789999999999</v>
      </c>
      <c r="V7746">
        <v>14</v>
      </c>
      <c r="W7746">
        <v>74</v>
      </c>
      <c r="X7746">
        <v>429.35739999999998</v>
      </c>
      <c r="Y7746">
        <v>54.132040000000003</v>
      </c>
      <c r="Z7746">
        <v>332.3415</v>
      </c>
      <c r="AA7746">
        <v>69.491200000000006</v>
      </c>
      <c r="AB7746">
        <v>14.18398</v>
      </c>
      <c r="AC7746">
        <v>9.0723430000000001E-3</v>
      </c>
      <c r="AD7746">
        <v>3.218661</v>
      </c>
      <c r="AE7746">
        <v>0.77803889999999998</v>
      </c>
      <c r="AF7746">
        <v>1682.5630000000001</v>
      </c>
      <c r="AG7746">
        <f>IFERROR(AH7746*0.1, "N/A")</f>
        <v>6.5922540000000005</v>
      </c>
      <c r="AH7746">
        <v>65.922539999999998</v>
      </c>
      <c r="AI7746">
        <v>181.9562</v>
      </c>
      <c r="AJ7746">
        <v>40.35915</v>
      </c>
      <c r="AK7746">
        <v>33.281689999999998</v>
      </c>
    </row>
    <row r="7747" spans="1:37" x14ac:dyDescent="0.3">
      <c r="A7747">
        <v>7746</v>
      </c>
      <c r="B7747">
        <v>8</v>
      </c>
      <c r="C7747">
        <v>36.85</v>
      </c>
      <c r="D7747">
        <v>-1.2833300000000001</v>
      </c>
      <c r="E7747" t="s">
        <v>11541</v>
      </c>
      <c r="F7747" t="s">
        <v>11542</v>
      </c>
      <c r="G7747" t="s">
        <v>37</v>
      </c>
      <c r="H7747">
        <v>1987</v>
      </c>
      <c r="I7747">
        <v>19.130569999999999</v>
      </c>
      <c r="J7747">
        <v>12.469429999999999</v>
      </c>
      <c r="K7747">
        <v>74</v>
      </c>
      <c r="L7747">
        <v>11.857950000000001</v>
      </c>
      <c r="M7747">
        <v>27.9</v>
      </c>
      <c r="N7747">
        <v>11.2</v>
      </c>
      <c r="O7747">
        <v>16.7</v>
      </c>
      <c r="P7747">
        <v>20.100000000000001</v>
      </c>
      <c r="Q7747">
        <v>17.543990000000001</v>
      </c>
      <c r="R7747">
        <v>20.430569999999999</v>
      </c>
      <c r="S7747">
        <v>17.3</v>
      </c>
      <c r="T7747">
        <v>830.86400000000003</v>
      </c>
      <c r="U7747">
        <v>178.84809999999999</v>
      </c>
      <c r="V7747">
        <v>13</v>
      </c>
      <c r="W7747">
        <v>73</v>
      </c>
      <c r="X7747">
        <v>400.6431</v>
      </c>
      <c r="Y7747">
        <v>49.558300000000003</v>
      </c>
      <c r="Z7747">
        <v>314.03179999999998</v>
      </c>
      <c r="AA7747">
        <v>64.171379999999999</v>
      </c>
      <c r="AB7747">
        <v>9.4906980000000001</v>
      </c>
      <c r="AC7747">
        <v>1.6336590000000002E-2</v>
      </c>
      <c r="AD7747">
        <v>1.083753</v>
      </c>
      <c r="AE7747">
        <v>0.82352610000000004</v>
      </c>
      <c r="AF7747">
        <v>1647.173</v>
      </c>
      <c r="AG7747">
        <f>IFERROR(AH7747*0.1, "N/A")</f>
        <v>7</v>
      </c>
      <c r="AH7747">
        <v>70</v>
      </c>
      <c r="AI7747">
        <v>139.23859999999999</v>
      </c>
      <c r="AJ7747">
        <v>43.69435</v>
      </c>
      <c r="AK7747">
        <v>33.30565</v>
      </c>
    </row>
    <row r="7748" spans="1:37" x14ac:dyDescent="0.3">
      <c r="A7748">
        <v>7747</v>
      </c>
      <c r="B7748">
        <v>0</v>
      </c>
      <c r="C7748">
        <v>36.821899999999999</v>
      </c>
      <c r="D7748">
        <v>-1.29216</v>
      </c>
      <c r="E7748" t="s">
        <v>11543</v>
      </c>
      <c r="F7748" t="s">
        <v>11544</v>
      </c>
      <c r="G7748" t="s">
        <v>37</v>
      </c>
      <c r="H7748">
        <v>2008</v>
      </c>
      <c r="I7748">
        <v>19.078869999999998</v>
      </c>
      <c r="J7748">
        <v>12.27887</v>
      </c>
      <c r="K7748">
        <v>73.788730000000001</v>
      </c>
      <c r="L7748">
        <v>12.044650000000001</v>
      </c>
      <c r="M7748">
        <v>27.67887</v>
      </c>
      <c r="N7748">
        <v>11.17887</v>
      </c>
      <c r="O7748">
        <v>16.5</v>
      </c>
      <c r="P7748">
        <v>19.978870000000001</v>
      </c>
      <c r="Q7748">
        <v>17.478870000000001</v>
      </c>
      <c r="R7748">
        <v>20.378869999999999</v>
      </c>
      <c r="S7748">
        <v>17.17887</v>
      </c>
      <c r="T7748">
        <v>851.80280000000005</v>
      </c>
      <c r="U7748">
        <v>186.05629999999999</v>
      </c>
      <c r="V7748">
        <v>13.211270000000001</v>
      </c>
      <c r="W7748">
        <v>74</v>
      </c>
      <c r="X7748">
        <v>417.11270000000002</v>
      </c>
      <c r="Y7748">
        <v>51.422539999999998</v>
      </c>
      <c r="Z7748">
        <v>323.47890000000001</v>
      </c>
      <c r="AA7748">
        <v>66.422539999999998</v>
      </c>
      <c r="AB7748">
        <v>6.1568240000000003</v>
      </c>
      <c r="AC7748">
        <v>0.1661454</v>
      </c>
      <c r="AD7748">
        <v>1.9095249999999999</v>
      </c>
      <c r="AE7748">
        <v>0.82883450000000003</v>
      </c>
      <c r="AF7748">
        <v>1668.125</v>
      </c>
      <c r="AG7748">
        <f>IFERROR(AH7748*0.1, "N/A")</f>
        <v>6.8720070000000009</v>
      </c>
      <c r="AH7748">
        <v>68.720070000000007</v>
      </c>
      <c r="AI7748">
        <v>162.80160000000001</v>
      </c>
      <c r="AJ7748">
        <v>44.183100000000003</v>
      </c>
      <c r="AK7748">
        <v>30.001760000000001</v>
      </c>
    </row>
    <row r="7749" spans="1:37" x14ac:dyDescent="0.3">
      <c r="A7749">
        <v>7748</v>
      </c>
      <c r="B7749">
        <v>9.8000000000000007</v>
      </c>
      <c r="C7749">
        <v>37.35</v>
      </c>
      <c r="D7749">
        <v>-1.3</v>
      </c>
      <c r="E7749" t="s">
        <v>11545</v>
      </c>
      <c r="F7749" t="s">
        <v>11546</v>
      </c>
      <c r="G7749" t="s">
        <v>37</v>
      </c>
      <c r="H7749">
        <v>1987</v>
      </c>
      <c r="I7749">
        <v>19.137609999999999</v>
      </c>
      <c r="J7749">
        <v>13.814590000000001</v>
      </c>
      <c r="K7749">
        <v>76.145870000000002</v>
      </c>
      <c r="L7749">
        <v>12.415179999999999</v>
      </c>
      <c r="M7749">
        <v>28.462389999999999</v>
      </c>
      <c r="N7749">
        <v>10.452199999999999</v>
      </c>
      <c r="O7749">
        <v>18.010190000000001</v>
      </c>
      <c r="P7749">
        <v>19.552199999999999</v>
      </c>
      <c r="Q7749">
        <v>17.199120000000001</v>
      </c>
      <c r="R7749">
        <v>20.437609999999999</v>
      </c>
      <c r="S7749">
        <v>17.199120000000001</v>
      </c>
      <c r="T7749">
        <v>978.92619999999999</v>
      </c>
      <c r="U7749">
        <v>249.07560000000001</v>
      </c>
      <c r="V7749">
        <v>4.8541299999999996</v>
      </c>
      <c r="W7749">
        <v>95.145870000000002</v>
      </c>
      <c r="X7749">
        <v>445.39019999999999</v>
      </c>
      <c r="Y7749">
        <v>17.708259999999999</v>
      </c>
      <c r="Z7749">
        <v>387.34089999999998</v>
      </c>
      <c r="AA7749">
        <v>17.708259999999999</v>
      </c>
      <c r="AB7749">
        <v>41.800730000000001</v>
      </c>
      <c r="AC7749">
        <v>4.0460629999999997E-2</v>
      </c>
      <c r="AD7749">
        <v>3.512543</v>
      </c>
      <c r="AE7749">
        <v>0.52143070000000002</v>
      </c>
      <c r="AF7749">
        <v>1587.067</v>
      </c>
      <c r="AG7749">
        <f>IFERROR(AH7749*0.1, "N/A")</f>
        <v>5.3008790000000001</v>
      </c>
      <c r="AH7749">
        <v>53.008789999999998</v>
      </c>
      <c r="AI7749">
        <v>64.926950000000005</v>
      </c>
      <c r="AJ7749">
        <v>45.991210000000002</v>
      </c>
      <c r="AK7749">
        <v>39</v>
      </c>
    </row>
    <row r="7750" spans="1:37" x14ac:dyDescent="0.3">
      <c r="A7750">
        <v>7749</v>
      </c>
      <c r="B7750">
        <v>7.1</v>
      </c>
      <c r="C7750">
        <v>37.35</v>
      </c>
      <c r="D7750">
        <v>-1.3</v>
      </c>
      <c r="E7750" t="s">
        <v>11545</v>
      </c>
      <c r="F7750" t="s">
        <v>11547</v>
      </c>
      <c r="G7750" t="s">
        <v>39</v>
      </c>
      <c r="H7750">
        <v>1987</v>
      </c>
      <c r="I7750">
        <v>19.137609999999999</v>
      </c>
      <c r="J7750">
        <v>13.814590000000001</v>
      </c>
      <c r="K7750">
        <v>76.145870000000002</v>
      </c>
      <c r="L7750">
        <v>12.415179999999999</v>
      </c>
      <c r="M7750">
        <v>28.462389999999999</v>
      </c>
      <c r="N7750">
        <v>10.452199999999999</v>
      </c>
      <c r="O7750">
        <v>18.010190000000001</v>
      </c>
      <c r="P7750">
        <v>19.552199999999999</v>
      </c>
      <c r="Q7750">
        <v>17.199120000000001</v>
      </c>
      <c r="R7750">
        <v>20.437609999999999</v>
      </c>
      <c r="S7750">
        <v>17.199120000000001</v>
      </c>
      <c r="T7750">
        <v>978.92619999999999</v>
      </c>
      <c r="U7750">
        <v>249.07560000000001</v>
      </c>
      <c r="V7750">
        <v>4.8541299999999996</v>
      </c>
      <c r="W7750">
        <v>95.145870000000002</v>
      </c>
      <c r="X7750">
        <v>445.39019999999999</v>
      </c>
      <c r="Y7750">
        <v>17.708259999999999</v>
      </c>
      <c r="Z7750">
        <v>387.34089999999998</v>
      </c>
      <c r="AA7750">
        <v>17.708259999999999</v>
      </c>
      <c r="AB7750">
        <v>41.800730000000001</v>
      </c>
      <c r="AC7750">
        <v>4.0460629999999997E-2</v>
      </c>
      <c r="AD7750">
        <v>3.512543</v>
      </c>
      <c r="AE7750">
        <v>0.52143070000000002</v>
      </c>
      <c r="AF7750">
        <v>1587.067</v>
      </c>
      <c r="AG7750">
        <f>IFERROR(AH7750*0.1, "N/A")</f>
        <v>5.3008790000000001</v>
      </c>
      <c r="AH7750">
        <v>53.008789999999998</v>
      </c>
      <c r="AI7750">
        <v>64.926950000000005</v>
      </c>
      <c r="AJ7750">
        <v>45.991210000000002</v>
      </c>
      <c r="AK7750">
        <v>39</v>
      </c>
    </row>
    <row r="7751" spans="1:37" x14ac:dyDescent="0.3">
      <c r="A7751">
        <v>7750</v>
      </c>
      <c r="B7751">
        <v>26.9</v>
      </c>
      <c r="C7751">
        <v>37.433300000000003</v>
      </c>
      <c r="D7751">
        <v>-1.31667</v>
      </c>
      <c r="E7751" t="s">
        <v>11548</v>
      </c>
      <c r="F7751" t="s">
        <v>11549</v>
      </c>
      <c r="G7751" t="s">
        <v>39</v>
      </c>
      <c r="H7751">
        <v>1999</v>
      </c>
      <c r="I7751">
        <v>20.917459999999998</v>
      </c>
      <c r="J7751">
        <v>14.273020000000001</v>
      </c>
      <c r="K7751">
        <v>78</v>
      </c>
      <c r="L7751">
        <v>12.04679</v>
      </c>
      <c r="M7751">
        <v>30.39048</v>
      </c>
      <c r="N7751">
        <v>12.2</v>
      </c>
      <c r="O7751">
        <v>18.190480000000001</v>
      </c>
      <c r="P7751">
        <v>21.381830000000001</v>
      </c>
      <c r="Q7751">
        <v>19.377420000000001</v>
      </c>
      <c r="R7751">
        <v>22.194890000000001</v>
      </c>
      <c r="S7751">
        <v>19.07302</v>
      </c>
      <c r="T7751">
        <v>777.74249999999995</v>
      </c>
      <c r="U7751">
        <v>208.321</v>
      </c>
      <c r="V7751">
        <v>3</v>
      </c>
      <c r="W7751">
        <v>98.643739999999994</v>
      </c>
      <c r="X7751">
        <v>364.86770000000001</v>
      </c>
      <c r="Y7751">
        <v>12</v>
      </c>
      <c r="Z7751">
        <v>304.42329999999998</v>
      </c>
      <c r="AA7751">
        <v>15</v>
      </c>
      <c r="AB7751">
        <v>3.2211539999999999</v>
      </c>
      <c r="AC7751">
        <v>0.30634620000000001</v>
      </c>
      <c r="AD7751">
        <v>1.4916609999999999</v>
      </c>
      <c r="AE7751">
        <v>0.73376699999999995</v>
      </c>
      <c r="AF7751">
        <v>1253.598</v>
      </c>
      <c r="AG7751">
        <f>IFERROR(AH7751*0.1, "N/A")</f>
        <v>5.6000000000000005</v>
      </c>
      <c r="AH7751">
        <v>56</v>
      </c>
      <c r="AI7751">
        <v>71.917959999999994</v>
      </c>
      <c r="AJ7751">
        <v>23.22222</v>
      </c>
      <c r="AK7751">
        <v>63.77778</v>
      </c>
    </row>
    <row r="7752" spans="1:37" x14ac:dyDescent="0.3">
      <c r="A7752">
        <v>7751</v>
      </c>
      <c r="B7752">
        <v>72.099999999999994</v>
      </c>
      <c r="C7752">
        <v>37.316699999999997</v>
      </c>
      <c r="D7752">
        <v>-1.3487499999999999</v>
      </c>
      <c r="E7752" t="s">
        <v>11550</v>
      </c>
      <c r="F7752" t="s">
        <v>11551</v>
      </c>
      <c r="G7752" t="s">
        <v>37</v>
      </c>
      <c r="H7752">
        <v>1991</v>
      </c>
      <c r="I7752">
        <v>19.7</v>
      </c>
      <c r="J7752">
        <v>13.7</v>
      </c>
      <c r="K7752">
        <v>76</v>
      </c>
      <c r="L7752">
        <v>12.530670000000001</v>
      </c>
      <c r="M7752">
        <v>29.067779999999999</v>
      </c>
      <c r="N7752">
        <v>11.067780000000001</v>
      </c>
      <c r="O7752">
        <v>18</v>
      </c>
      <c r="P7752">
        <v>20.13222</v>
      </c>
      <c r="Q7752">
        <v>18.100000000000001</v>
      </c>
      <c r="R7752">
        <v>21.067779999999999</v>
      </c>
      <c r="S7752">
        <v>17.767779999999998</v>
      </c>
      <c r="T7752">
        <v>876.1884</v>
      </c>
      <c r="U7752">
        <v>219.28870000000001</v>
      </c>
      <c r="V7752">
        <v>4</v>
      </c>
      <c r="W7752">
        <v>95</v>
      </c>
      <c r="X7752">
        <v>392.57749999999999</v>
      </c>
      <c r="Y7752">
        <v>15</v>
      </c>
      <c r="Z7752">
        <v>352.28870000000001</v>
      </c>
      <c r="AA7752">
        <v>16</v>
      </c>
      <c r="AB7752">
        <v>21.886980000000001</v>
      </c>
      <c r="AC7752">
        <v>1.0381019999999999E-2</v>
      </c>
      <c r="AD7752">
        <v>4.8946560000000003</v>
      </c>
      <c r="AE7752">
        <v>0.52845030000000004</v>
      </c>
      <c r="AF7752">
        <v>1476.646</v>
      </c>
      <c r="AG7752">
        <f>IFERROR(AH7752*0.1, "N/A")</f>
        <v>5.4750000000000005</v>
      </c>
      <c r="AH7752">
        <v>54.75</v>
      </c>
      <c r="AI7752">
        <v>269.33710000000002</v>
      </c>
      <c r="AJ7752">
        <v>37.213030000000003</v>
      </c>
      <c r="AK7752">
        <v>48.857390000000002</v>
      </c>
    </row>
    <row r="7753" spans="1:37" x14ac:dyDescent="0.3">
      <c r="A7753">
        <v>7752</v>
      </c>
      <c r="B7753">
        <v>53</v>
      </c>
      <c r="C7753">
        <v>37.351300000000002</v>
      </c>
      <c r="D7753">
        <v>-1.3507400000000001</v>
      </c>
      <c r="E7753" t="s">
        <v>11552</v>
      </c>
      <c r="F7753" t="s">
        <v>11553</v>
      </c>
      <c r="G7753" t="s">
        <v>37</v>
      </c>
      <c r="H7753">
        <v>1997</v>
      </c>
      <c r="I7753">
        <v>19.379539999999999</v>
      </c>
      <c r="J7753">
        <v>13.7</v>
      </c>
      <c r="K7753">
        <v>76</v>
      </c>
      <c r="L7753">
        <v>12.67489</v>
      </c>
      <c r="M7753">
        <v>28.669309999999999</v>
      </c>
      <c r="N7753">
        <v>10.769310000000001</v>
      </c>
      <c r="O7753">
        <v>17.899999999999999</v>
      </c>
      <c r="P7753">
        <v>19.879539999999999</v>
      </c>
      <c r="Q7753">
        <v>17.738620000000001</v>
      </c>
      <c r="R7753">
        <v>20.769310000000001</v>
      </c>
      <c r="S7753">
        <v>17.46931</v>
      </c>
      <c r="T7753">
        <v>938.17110000000002</v>
      </c>
      <c r="U7753">
        <v>238.71600000000001</v>
      </c>
      <c r="V7753">
        <v>4</v>
      </c>
      <c r="W7753">
        <v>95.897710000000004</v>
      </c>
      <c r="X7753">
        <v>428.43209999999999</v>
      </c>
      <c r="Y7753">
        <v>15.20459</v>
      </c>
      <c r="Z7753">
        <v>372.02289999999999</v>
      </c>
      <c r="AA7753">
        <v>16.10229</v>
      </c>
      <c r="AB7753">
        <v>56.831159999999997</v>
      </c>
      <c r="AC7753">
        <v>1.7663769999999999E-2</v>
      </c>
      <c r="AD7753">
        <v>15.22292</v>
      </c>
      <c r="AE7753">
        <v>0.56566090000000002</v>
      </c>
      <c r="AF7753">
        <v>1584.5260000000001</v>
      </c>
      <c r="AG7753">
        <f>IFERROR(AH7753*0.1, "N/A")</f>
        <v>5.4195770000000003</v>
      </c>
      <c r="AH7753">
        <v>54.195770000000003</v>
      </c>
      <c r="AI7753">
        <v>60.90822</v>
      </c>
      <c r="AJ7753">
        <v>34.705469999999998</v>
      </c>
      <c r="AK7753">
        <v>50.50441</v>
      </c>
    </row>
    <row r="7754" spans="1:37" x14ac:dyDescent="0.3">
      <c r="A7754">
        <v>7753</v>
      </c>
      <c r="B7754">
        <v>4.5999999999999996</v>
      </c>
      <c r="C7754">
        <v>38.0167</v>
      </c>
      <c r="D7754">
        <v>-1.3667</v>
      </c>
      <c r="E7754" t="s">
        <v>11554</v>
      </c>
      <c r="F7754" t="s">
        <v>11555</v>
      </c>
      <c r="G7754" t="s">
        <v>37</v>
      </c>
      <c r="H7754">
        <v>1987</v>
      </c>
      <c r="I7754">
        <v>21.487500000000001</v>
      </c>
      <c r="J7754">
        <v>13.609159999999999</v>
      </c>
      <c r="K7754">
        <v>78.091549999999998</v>
      </c>
      <c r="L7754">
        <v>11.943009999999999</v>
      </c>
      <c r="M7754">
        <v>30.390840000000001</v>
      </c>
      <c r="N7754">
        <v>13.05035</v>
      </c>
      <c r="O7754">
        <v>17.340489999999999</v>
      </c>
      <c r="P7754">
        <v>21.887499999999999</v>
      </c>
      <c r="Q7754">
        <v>19.6875</v>
      </c>
      <c r="R7754">
        <v>22.82799</v>
      </c>
      <c r="S7754">
        <v>19.6875</v>
      </c>
      <c r="T7754">
        <v>1063.451</v>
      </c>
      <c r="U7754">
        <v>328.7201</v>
      </c>
      <c r="V7754">
        <v>2</v>
      </c>
      <c r="W7754">
        <v>110.53700000000001</v>
      </c>
      <c r="X7754">
        <v>542.85209999999995</v>
      </c>
      <c r="Y7754">
        <v>15</v>
      </c>
      <c r="Z7754">
        <v>411.22710000000001</v>
      </c>
      <c r="AA7754">
        <v>15</v>
      </c>
      <c r="AB7754">
        <v>59.553150000000002</v>
      </c>
      <c r="AC7754">
        <v>1.245713E-2</v>
      </c>
      <c r="AD7754">
        <v>6.5511309999999998</v>
      </c>
      <c r="AE7754">
        <v>0.73140039999999995</v>
      </c>
      <c r="AF7754">
        <v>1165.681</v>
      </c>
      <c r="AG7754">
        <f>IFERROR(AH7754*0.1, "N/A")</f>
        <v>5.8533450000000009</v>
      </c>
      <c r="AH7754">
        <v>58.533450000000002</v>
      </c>
      <c r="AI7754">
        <v>105.2273</v>
      </c>
      <c r="AJ7754">
        <v>34.843310000000002</v>
      </c>
      <c r="AK7754">
        <v>49.623240000000003</v>
      </c>
    </row>
    <row r="7755" spans="1:37" x14ac:dyDescent="0.3">
      <c r="A7755">
        <v>7754</v>
      </c>
      <c r="B7755">
        <v>34.5</v>
      </c>
      <c r="C7755">
        <v>38.0167</v>
      </c>
      <c r="D7755">
        <v>-1.3667</v>
      </c>
      <c r="E7755" t="s">
        <v>11554</v>
      </c>
      <c r="F7755" t="s">
        <v>11556</v>
      </c>
      <c r="G7755" t="s">
        <v>39</v>
      </c>
      <c r="H7755">
        <v>1987</v>
      </c>
      <c r="I7755">
        <v>21.487500000000001</v>
      </c>
      <c r="J7755">
        <v>13.609159999999999</v>
      </c>
      <c r="K7755">
        <v>78.091549999999998</v>
      </c>
      <c r="L7755">
        <v>11.943009999999999</v>
      </c>
      <c r="M7755">
        <v>30.390840000000001</v>
      </c>
      <c r="N7755">
        <v>13.05035</v>
      </c>
      <c r="O7755">
        <v>17.340489999999999</v>
      </c>
      <c r="P7755">
        <v>21.887499999999999</v>
      </c>
      <c r="Q7755">
        <v>19.6875</v>
      </c>
      <c r="R7755">
        <v>22.82799</v>
      </c>
      <c r="S7755">
        <v>19.6875</v>
      </c>
      <c r="T7755">
        <v>1063.451</v>
      </c>
      <c r="U7755">
        <v>328.7201</v>
      </c>
      <c r="V7755">
        <v>2</v>
      </c>
      <c r="W7755">
        <v>110.53700000000001</v>
      </c>
      <c r="X7755">
        <v>542.85209999999995</v>
      </c>
      <c r="Y7755">
        <v>15</v>
      </c>
      <c r="Z7755">
        <v>411.22710000000001</v>
      </c>
      <c r="AA7755">
        <v>15</v>
      </c>
      <c r="AB7755">
        <v>59.553150000000002</v>
      </c>
      <c r="AC7755">
        <v>1.245713E-2</v>
      </c>
      <c r="AD7755">
        <v>6.5511309999999998</v>
      </c>
      <c r="AE7755">
        <v>0.73140039999999995</v>
      </c>
      <c r="AF7755">
        <v>1165.681</v>
      </c>
      <c r="AG7755">
        <f>IFERROR(AH7755*0.1, "N/A")</f>
        <v>5.8533450000000009</v>
      </c>
      <c r="AH7755">
        <v>58.533450000000002</v>
      </c>
      <c r="AI7755">
        <v>105.2273</v>
      </c>
      <c r="AJ7755">
        <v>34.843310000000002</v>
      </c>
      <c r="AK7755">
        <v>49.623240000000003</v>
      </c>
    </row>
    <row r="7756" spans="1:37" x14ac:dyDescent="0.3">
      <c r="A7756">
        <v>7755</v>
      </c>
      <c r="B7756">
        <v>58.8</v>
      </c>
      <c r="C7756">
        <v>37.344099999999997</v>
      </c>
      <c r="D7756">
        <v>-1.36751</v>
      </c>
      <c r="E7756" t="s">
        <v>11557</v>
      </c>
      <c r="F7756" t="s">
        <v>11558</v>
      </c>
      <c r="G7756" t="s">
        <v>37</v>
      </c>
      <c r="H7756">
        <v>1991</v>
      </c>
      <c r="I7756">
        <v>19.7</v>
      </c>
      <c r="J7756">
        <v>13.7</v>
      </c>
      <c r="K7756">
        <v>76</v>
      </c>
      <c r="L7756">
        <v>12.5</v>
      </c>
      <c r="M7756">
        <v>29.1</v>
      </c>
      <c r="N7756">
        <v>11.1</v>
      </c>
      <c r="O7756">
        <v>18</v>
      </c>
      <c r="P7756">
        <v>20.100000000000001</v>
      </c>
      <c r="Q7756">
        <v>18.100000000000001</v>
      </c>
      <c r="R7756">
        <v>21.1</v>
      </c>
      <c r="S7756">
        <v>17.8</v>
      </c>
      <c r="T7756">
        <v>893</v>
      </c>
      <c r="U7756">
        <v>227</v>
      </c>
      <c r="V7756">
        <v>4</v>
      </c>
      <c r="W7756">
        <v>95</v>
      </c>
      <c r="X7756">
        <v>407</v>
      </c>
      <c r="Y7756">
        <v>15</v>
      </c>
      <c r="Z7756">
        <v>354</v>
      </c>
      <c r="AA7756">
        <v>16</v>
      </c>
      <c r="AB7756">
        <v>76.037739999999999</v>
      </c>
      <c r="AC7756">
        <v>1.094842E-2</v>
      </c>
      <c r="AD7756">
        <v>4.048559</v>
      </c>
      <c r="AE7756">
        <v>0.43713560000000001</v>
      </c>
      <c r="AF7756">
        <v>1514.4269999999999</v>
      </c>
      <c r="AG7756">
        <f>IFERROR(AH7756*0.1, "N/A")</f>
        <v>5.3905099999999999</v>
      </c>
      <c r="AH7756">
        <v>53.905099999999997</v>
      </c>
      <c r="AI7756">
        <v>205.0119</v>
      </c>
      <c r="AJ7756">
        <v>37.321620000000003</v>
      </c>
      <c r="AK7756">
        <v>48.678379999999997</v>
      </c>
    </row>
    <row r="7757" spans="1:37" x14ac:dyDescent="0.3">
      <c r="A7757">
        <v>7756</v>
      </c>
      <c r="B7757">
        <v>84.9</v>
      </c>
      <c r="C7757">
        <v>37.357300000000002</v>
      </c>
      <c r="D7757">
        <v>-1.37496</v>
      </c>
      <c r="E7757" t="s">
        <v>11559</v>
      </c>
      <c r="F7757" t="s">
        <v>11560</v>
      </c>
      <c r="G7757" t="s">
        <v>37</v>
      </c>
      <c r="H7757">
        <v>1991</v>
      </c>
      <c r="I7757">
        <v>19.918900000000001</v>
      </c>
      <c r="J7757">
        <v>13.7</v>
      </c>
      <c r="K7757">
        <v>75.189049999999995</v>
      </c>
      <c r="L7757">
        <v>12.69707</v>
      </c>
      <c r="M7757">
        <v>29.318899999999999</v>
      </c>
      <c r="N7757">
        <v>11.23781</v>
      </c>
      <c r="O7757">
        <v>18.081099999999999</v>
      </c>
      <c r="P7757">
        <v>20.418900000000001</v>
      </c>
      <c r="Q7757">
        <v>18.23781</v>
      </c>
      <c r="R7757">
        <v>21.318899999999999</v>
      </c>
      <c r="S7757">
        <v>17.937809999999999</v>
      </c>
      <c r="T7757">
        <v>868.97529999999995</v>
      </c>
      <c r="U7757">
        <v>222.24379999999999</v>
      </c>
      <c r="V7757">
        <v>4</v>
      </c>
      <c r="W7757">
        <v>95.810950000000005</v>
      </c>
      <c r="X7757">
        <v>396.67669999999998</v>
      </c>
      <c r="Y7757">
        <v>15</v>
      </c>
      <c r="Z7757">
        <v>343.67669999999998</v>
      </c>
      <c r="AA7757">
        <v>16</v>
      </c>
      <c r="AB7757">
        <v>45.718670000000003</v>
      </c>
      <c r="AC7757">
        <v>9.8136709999999995E-3</v>
      </c>
      <c r="AD7757">
        <v>4.0414719999999997</v>
      </c>
      <c r="AE7757">
        <v>0.69946529999999996</v>
      </c>
      <c r="AF7757">
        <v>1454.1410000000001</v>
      </c>
      <c r="AG7757">
        <f>IFERROR(AH7757*0.1, "N/A")</f>
        <v>5.2</v>
      </c>
      <c r="AH7757">
        <v>52</v>
      </c>
      <c r="AI7757">
        <v>78.360590000000002</v>
      </c>
      <c r="AJ7757">
        <v>40</v>
      </c>
      <c r="AK7757">
        <v>50</v>
      </c>
    </row>
    <row r="7758" spans="1:37" x14ac:dyDescent="0.3">
      <c r="A7758">
        <v>7757</v>
      </c>
      <c r="B7758">
        <v>83.8</v>
      </c>
      <c r="C7758">
        <v>37.305999999999997</v>
      </c>
      <c r="D7758">
        <v>-1.375</v>
      </c>
      <c r="E7758" t="s">
        <v>11561</v>
      </c>
      <c r="F7758" t="s">
        <v>11562</v>
      </c>
      <c r="G7758" t="s">
        <v>37</v>
      </c>
      <c r="H7758">
        <v>1994</v>
      </c>
      <c r="I7758">
        <v>20</v>
      </c>
      <c r="J7758">
        <v>13.6</v>
      </c>
      <c r="K7758">
        <v>75</v>
      </c>
      <c r="L7758">
        <v>12.75211</v>
      </c>
      <c r="M7758">
        <v>29.4</v>
      </c>
      <c r="N7758">
        <v>11.4</v>
      </c>
      <c r="O7758">
        <v>18</v>
      </c>
      <c r="P7758">
        <v>20.422180000000001</v>
      </c>
      <c r="Q7758">
        <v>18.3</v>
      </c>
      <c r="R7758">
        <v>21.322179999999999</v>
      </c>
      <c r="S7758">
        <v>18</v>
      </c>
      <c r="T7758">
        <v>827.11270000000002</v>
      </c>
      <c r="U7758">
        <v>205.7782</v>
      </c>
      <c r="V7758">
        <v>3</v>
      </c>
      <c r="W7758">
        <v>94.221829999999997</v>
      </c>
      <c r="X7758">
        <v>369.55630000000002</v>
      </c>
      <c r="Y7758">
        <v>14</v>
      </c>
      <c r="Z7758">
        <v>331.55630000000002</v>
      </c>
      <c r="AA7758">
        <v>15</v>
      </c>
      <c r="AB7758">
        <v>52.89246</v>
      </c>
      <c r="AC7758">
        <v>3.6919920000000002E-2</v>
      </c>
      <c r="AD7758">
        <v>3.6486420000000002</v>
      </c>
      <c r="AE7758">
        <v>0.73127690000000001</v>
      </c>
      <c r="AF7758">
        <v>1435.482</v>
      </c>
      <c r="AG7758">
        <f>IFERROR(AH7758*0.1, "N/A")</f>
        <v>5.6000000000000005</v>
      </c>
      <c r="AH7758">
        <v>56</v>
      </c>
      <c r="AI7758">
        <v>173.3338</v>
      </c>
      <c r="AJ7758">
        <v>36.382040000000003</v>
      </c>
      <c r="AK7758">
        <v>50</v>
      </c>
    </row>
    <row r="7759" spans="1:37" x14ac:dyDescent="0.3">
      <c r="A7759">
        <v>7758</v>
      </c>
      <c r="B7759">
        <v>82.5</v>
      </c>
      <c r="C7759">
        <v>37.305999999999997</v>
      </c>
      <c r="D7759">
        <v>-1.37771</v>
      </c>
      <c r="E7759" t="s">
        <v>11563</v>
      </c>
      <c r="F7759" t="s">
        <v>11564</v>
      </c>
      <c r="G7759" t="s">
        <v>37</v>
      </c>
      <c r="H7759">
        <v>1996</v>
      </c>
      <c r="I7759">
        <v>20</v>
      </c>
      <c r="J7759">
        <v>13.6</v>
      </c>
      <c r="K7759">
        <v>75</v>
      </c>
      <c r="L7759">
        <v>12.97</v>
      </c>
      <c r="M7759">
        <v>29.4</v>
      </c>
      <c r="N7759">
        <v>11.4</v>
      </c>
      <c r="O7759">
        <v>18</v>
      </c>
      <c r="P7759">
        <v>20.5</v>
      </c>
      <c r="Q7759">
        <v>18.3</v>
      </c>
      <c r="R7759">
        <v>21.4</v>
      </c>
      <c r="S7759">
        <v>18</v>
      </c>
      <c r="T7759">
        <v>824</v>
      </c>
      <c r="U7759">
        <v>205</v>
      </c>
      <c r="V7759">
        <v>3</v>
      </c>
      <c r="W7759">
        <v>95</v>
      </c>
      <c r="X7759">
        <v>368</v>
      </c>
      <c r="Y7759">
        <v>14</v>
      </c>
      <c r="Z7759">
        <v>330</v>
      </c>
      <c r="AA7759">
        <v>15</v>
      </c>
      <c r="AB7759">
        <v>61.097050000000003</v>
      </c>
      <c r="AC7759">
        <v>8.5454350000000005E-3</v>
      </c>
      <c r="AD7759">
        <v>1.466323</v>
      </c>
      <c r="AE7759">
        <v>0.73311249999999994</v>
      </c>
      <c r="AF7759">
        <v>1446.9739999999999</v>
      </c>
      <c r="AG7759">
        <f>IFERROR(AH7759*0.1, "N/A")</f>
        <v>5.8901580000000004</v>
      </c>
      <c r="AH7759">
        <v>58.901580000000003</v>
      </c>
      <c r="AI7759">
        <v>165.14089999999999</v>
      </c>
      <c r="AJ7759">
        <v>33.773290000000003</v>
      </c>
      <c r="AK7759">
        <v>51.913879999999999</v>
      </c>
    </row>
    <row r="7760" spans="1:37" x14ac:dyDescent="0.3">
      <c r="A7760">
        <v>7759</v>
      </c>
      <c r="B7760">
        <v>0</v>
      </c>
      <c r="C7760">
        <v>37.305999999999997</v>
      </c>
      <c r="D7760">
        <v>-1.37771</v>
      </c>
      <c r="E7760" t="s">
        <v>11563</v>
      </c>
      <c r="F7760" t="s">
        <v>11565</v>
      </c>
      <c r="G7760" t="s">
        <v>39</v>
      </c>
      <c r="H7760">
        <v>1991</v>
      </c>
      <c r="I7760">
        <v>20</v>
      </c>
      <c r="J7760">
        <v>13.6</v>
      </c>
      <c r="K7760">
        <v>75</v>
      </c>
      <c r="L7760">
        <v>12.97</v>
      </c>
      <c r="M7760">
        <v>29.4</v>
      </c>
      <c r="N7760">
        <v>11.4</v>
      </c>
      <c r="O7760">
        <v>18</v>
      </c>
      <c r="P7760">
        <v>20.5</v>
      </c>
      <c r="Q7760">
        <v>18.3</v>
      </c>
      <c r="R7760">
        <v>21.4</v>
      </c>
      <c r="S7760">
        <v>18</v>
      </c>
      <c r="T7760">
        <v>824</v>
      </c>
      <c r="U7760">
        <v>205</v>
      </c>
      <c r="V7760">
        <v>3</v>
      </c>
      <c r="W7760">
        <v>95</v>
      </c>
      <c r="X7760">
        <v>368</v>
      </c>
      <c r="Y7760">
        <v>14</v>
      </c>
      <c r="Z7760">
        <v>330</v>
      </c>
      <c r="AA7760">
        <v>15</v>
      </c>
      <c r="AB7760">
        <v>61.097050000000003</v>
      </c>
      <c r="AC7760">
        <v>8.5454350000000005E-3</v>
      </c>
      <c r="AD7760">
        <v>1.466323</v>
      </c>
      <c r="AE7760">
        <v>0.73311249999999994</v>
      </c>
      <c r="AF7760">
        <v>1446.9739999999999</v>
      </c>
      <c r="AG7760">
        <f>IFERROR(AH7760*0.1, "N/A")</f>
        <v>5.8901580000000004</v>
      </c>
      <c r="AH7760">
        <v>58.901580000000003</v>
      </c>
      <c r="AI7760">
        <v>165.14089999999999</v>
      </c>
      <c r="AJ7760">
        <v>33.773290000000003</v>
      </c>
      <c r="AK7760">
        <v>51.913879999999999</v>
      </c>
    </row>
    <row r="7761" spans="1:37" x14ac:dyDescent="0.3">
      <c r="A7761">
        <v>7760</v>
      </c>
      <c r="B7761">
        <v>75.3</v>
      </c>
      <c r="C7761">
        <v>37.347499999999997</v>
      </c>
      <c r="D7761">
        <v>-1.38165</v>
      </c>
      <c r="E7761" t="s">
        <v>11566</v>
      </c>
      <c r="F7761" t="s">
        <v>11567</v>
      </c>
      <c r="G7761" t="s">
        <v>37</v>
      </c>
      <c r="H7761">
        <v>1991</v>
      </c>
      <c r="I7761">
        <v>19.8</v>
      </c>
      <c r="J7761">
        <v>13.7</v>
      </c>
      <c r="K7761">
        <v>76</v>
      </c>
      <c r="L7761">
        <v>12.78</v>
      </c>
      <c r="M7761">
        <v>29.1</v>
      </c>
      <c r="N7761">
        <v>11.2</v>
      </c>
      <c r="O7761">
        <v>17.899999999999999</v>
      </c>
      <c r="P7761">
        <v>20.3</v>
      </c>
      <c r="Q7761">
        <v>18.2</v>
      </c>
      <c r="R7761">
        <v>21.2</v>
      </c>
      <c r="S7761">
        <v>17.899999999999999</v>
      </c>
      <c r="T7761">
        <v>874</v>
      </c>
      <c r="U7761">
        <v>222</v>
      </c>
      <c r="V7761">
        <v>4</v>
      </c>
      <c r="W7761">
        <v>95</v>
      </c>
      <c r="X7761">
        <v>398</v>
      </c>
      <c r="Y7761">
        <v>15</v>
      </c>
      <c r="Z7761">
        <v>346</v>
      </c>
      <c r="AA7761">
        <v>16</v>
      </c>
      <c r="AB7761">
        <v>67.010159999999999</v>
      </c>
      <c r="AC7761">
        <v>1.9403670000000001E-2</v>
      </c>
      <c r="AD7761">
        <v>1.789636</v>
      </c>
      <c r="AE7761">
        <v>0.70836540000000003</v>
      </c>
      <c r="AF7761">
        <v>1457.942</v>
      </c>
      <c r="AG7761">
        <f>IFERROR(AH7761*0.1, "N/A")</f>
        <v>5.4455179999999999</v>
      </c>
      <c r="AH7761">
        <v>54.455179999999999</v>
      </c>
      <c r="AI7761">
        <v>179.98310000000001</v>
      </c>
      <c r="AJ7761">
        <v>34.08963</v>
      </c>
      <c r="AK7761">
        <v>55</v>
      </c>
    </row>
    <row r="7762" spans="1:37" x14ac:dyDescent="0.3">
      <c r="A7762">
        <v>7761</v>
      </c>
      <c r="B7762">
        <v>61.3</v>
      </c>
      <c r="C7762">
        <v>37.350499999999997</v>
      </c>
      <c r="D7762">
        <v>-1.3817999999999999</v>
      </c>
      <c r="E7762" t="s">
        <v>11568</v>
      </c>
      <c r="F7762" t="s">
        <v>11569</v>
      </c>
      <c r="G7762" t="s">
        <v>37</v>
      </c>
      <c r="H7762">
        <v>1997</v>
      </c>
      <c r="I7762">
        <v>19.960560000000001</v>
      </c>
      <c r="J7762">
        <v>13.7</v>
      </c>
      <c r="K7762">
        <v>76</v>
      </c>
      <c r="L7762">
        <v>12.531129999999999</v>
      </c>
      <c r="M7762">
        <v>29.34084</v>
      </c>
      <c r="N7762">
        <v>11.36056</v>
      </c>
      <c r="O7762">
        <v>17.98028</v>
      </c>
      <c r="P7762">
        <v>20.460560000000001</v>
      </c>
      <c r="Q7762">
        <v>18.36056</v>
      </c>
      <c r="R7762">
        <v>21.36056</v>
      </c>
      <c r="S7762">
        <v>18.060559999999999</v>
      </c>
      <c r="T7762">
        <v>859.54930000000002</v>
      </c>
      <c r="U7762">
        <v>219.5915</v>
      </c>
      <c r="V7762">
        <v>4</v>
      </c>
      <c r="W7762">
        <v>95</v>
      </c>
      <c r="X7762">
        <v>392.38029999999998</v>
      </c>
      <c r="Y7762">
        <v>15</v>
      </c>
      <c r="Z7762">
        <v>339.57749999999999</v>
      </c>
      <c r="AA7762">
        <v>16</v>
      </c>
      <c r="AB7762">
        <v>41.29759</v>
      </c>
      <c r="AC7762">
        <v>1.3434969999999999E-2</v>
      </c>
      <c r="AD7762">
        <v>3.476642</v>
      </c>
      <c r="AE7762">
        <v>0.71023159999999996</v>
      </c>
      <c r="AF7762">
        <v>1454.07</v>
      </c>
      <c r="AG7762">
        <f>IFERROR(AH7762*0.1, "N/A")</f>
        <v>5.4017610000000005</v>
      </c>
      <c r="AH7762">
        <v>54.017609999999998</v>
      </c>
      <c r="AI7762">
        <v>96.776409999999998</v>
      </c>
      <c r="AJ7762">
        <v>34.197180000000003</v>
      </c>
      <c r="AK7762">
        <v>54.964790000000001</v>
      </c>
    </row>
    <row r="7763" spans="1:37" x14ac:dyDescent="0.3">
      <c r="A7763">
        <v>7762</v>
      </c>
      <c r="B7763">
        <v>87.8</v>
      </c>
      <c r="C7763">
        <v>37.383299999999998</v>
      </c>
      <c r="D7763">
        <v>-1.3833299999999999</v>
      </c>
      <c r="E7763" t="s">
        <v>11570</v>
      </c>
      <c r="F7763" t="s">
        <v>11571</v>
      </c>
      <c r="G7763" t="s">
        <v>37</v>
      </c>
      <c r="H7763">
        <v>1992</v>
      </c>
      <c r="I7763">
        <v>20.11514</v>
      </c>
      <c r="J7763">
        <v>13.75775</v>
      </c>
      <c r="K7763">
        <v>76</v>
      </c>
      <c r="L7763">
        <v>12.42963</v>
      </c>
      <c r="M7763">
        <v>29.47289</v>
      </c>
      <c r="N7763">
        <v>11.47289</v>
      </c>
      <c r="O7763">
        <v>18</v>
      </c>
      <c r="P7763">
        <v>20.572890000000001</v>
      </c>
      <c r="Q7763">
        <v>18.523769999999999</v>
      </c>
      <c r="R7763">
        <v>21.47289</v>
      </c>
      <c r="S7763">
        <v>18.148240000000001</v>
      </c>
      <c r="T7763">
        <v>864.35919999999999</v>
      </c>
      <c r="U7763">
        <v>223.9085</v>
      </c>
      <c r="V7763">
        <v>4</v>
      </c>
      <c r="W7763">
        <v>95.753519999999995</v>
      </c>
      <c r="X7763">
        <v>399.39260000000002</v>
      </c>
      <c r="Y7763">
        <v>14.66901</v>
      </c>
      <c r="Z7763">
        <v>338.51060000000001</v>
      </c>
      <c r="AA7763">
        <v>16</v>
      </c>
      <c r="AB7763">
        <v>45.807780000000001</v>
      </c>
      <c r="AC7763">
        <v>1.128356E-2</v>
      </c>
      <c r="AD7763">
        <v>6.9819459999999998</v>
      </c>
      <c r="AE7763">
        <v>0.73693690000000001</v>
      </c>
      <c r="AF7763">
        <v>1420.2149999999999</v>
      </c>
      <c r="AG7763">
        <f>IFERROR(AH7763*0.1, "N/A")</f>
        <v>5.6575699999999998</v>
      </c>
      <c r="AH7763">
        <v>56.575699999999998</v>
      </c>
      <c r="AI7763">
        <v>290.86680000000001</v>
      </c>
      <c r="AJ7763">
        <v>37.878520000000002</v>
      </c>
      <c r="AK7763">
        <v>49.121479999999998</v>
      </c>
    </row>
    <row r="7764" spans="1:37" x14ac:dyDescent="0.3">
      <c r="A7764">
        <v>7763</v>
      </c>
      <c r="B7764">
        <v>69</v>
      </c>
      <c r="C7764">
        <v>37.3919</v>
      </c>
      <c r="D7764">
        <v>-1.3875</v>
      </c>
      <c r="E7764" t="s">
        <v>11572</v>
      </c>
      <c r="F7764" t="s">
        <v>11573</v>
      </c>
      <c r="G7764" t="s">
        <v>37</v>
      </c>
      <c r="H7764">
        <v>1993</v>
      </c>
      <c r="I7764">
        <v>19.65765</v>
      </c>
      <c r="J7764">
        <v>13.7</v>
      </c>
      <c r="K7764">
        <v>76</v>
      </c>
      <c r="L7764">
        <v>12.411350000000001</v>
      </c>
      <c r="M7764">
        <v>28.872060000000001</v>
      </c>
      <c r="N7764">
        <v>10.95764</v>
      </c>
      <c r="O7764">
        <v>17.91441</v>
      </c>
      <c r="P7764">
        <v>20.057639999999999</v>
      </c>
      <c r="Q7764">
        <v>17.972059999999999</v>
      </c>
      <c r="R7764">
        <v>20.957640000000001</v>
      </c>
      <c r="S7764">
        <v>17.65765</v>
      </c>
      <c r="T7764">
        <v>938.35329999999999</v>
      </c>
      <c r="U7764">
        <v>243.6942</v>
      </c>
      <c r="V7764">
        <v>4</v>
      </c>
      <c r="W7764">
        <v>96</v>
      </c>
      <c r="X7764">
        <v>437.53250000000003</v>
      </c>
      <c r="Y7764">
        <v>15</v>
      </c>
      <c r="Z7764">
        <v>364.8295</v>
      </c>
      <c r="AA7764">
        <v>16</v>
      </c>
      <c r="AB7764">
        <v>43.31973</v>
      </c>
      <c r="AC7764">
        <v>6.0748959999999998E-2</v>
      </c>
      <c r="AD7764">
        <v>6.0397530000000001</v>
      </c>
      <c r="AE7764">
        <v>0.68951580000000001</v>
      </c>
      <c r="AF7764">
        <v>1464.146</v>
      </c>
      <c r="AG7764">
        <f>IFERROR(AH7764*0.1, "N/A")</f>
        <v>5.6005270000000005</v>
      </c>
      <c r="AH7764">
        <v>56.005270000000003</v>
      </c>
      <c r="AI7764">
        <v>243.36760000000001</v>
      </c>
      <c r="AJ7764">
        <v>32.28295</v>
      </c>
      <c r="AK7764">
        <v>55.152900000000002</v>
      </c>
    </row>
    <row r="7765" spans="1:37" x14ac:dyDescent="0.3">
      <c r="A7765">
        <v>7764</v>
      </c>
      <c r="B7765">
        <v>0</v>
      </c>
      <c r="C7765">
        <v>37.3919</v>
      </c>
      <c r="D7765">
        <v>-1.3875</v>
      </c>
      <c r="E7765" t="s">
        <v>11572</v>
      </c>
      <c r="F7765" t="s">
        <v>11574</v>
      </c>
      <c r="G7765" t="s">
        <v>39</v>
      </c>
      <c r="H7765">
        <v>1993</v>
      </c>
      <c r="I7765">
        <v>19.65765</v>
      </c>
      <c r="J7765">
        <v>13.7</v>
      </c>
      <c r="K7765">
        <v>76</v>
      </c>
      <c r="L7765">
        <v>12.411350000000001</v>
      </c>
      <c r="M7765">
        <v>28.872060000000001</v>
      </c>
      <c r="N7765">
        <v>10.95764</v>
      </c>
      <c r="O7765">
        <v>17.91441</v>
      </c>
      <c r="P7765">
        <v>20.057639999999999</v>
      </c>
      <c r="Q7765">
        <v>17.972059999999999</v>
      </c>
      <c r="R7765">
        <v>20.957640000000001</v>
      </c>
      <c r="S7765">
        <v>17.65765</v>
      </c>
      <c r="T7765">
        <v>938.35329999999999</v>
      </c>
      <c r="U7765">
        <v>243.6942</v>
      </c>
      <c r="V7765">
        <v>4</v>
      </c>
      <c r="W7765">
        <v>96</v>
      </c>
      <c r="X7765">
        <v>437.53250000000003</v>
      </c>
      <c r="Y7765">
        <v>15</v>
      </c>
      <c r="Z7765">
        <v>364.8295</v>
      </c>
      <c r="AA7765">
        <v>16</v>
      </c>
      <c r="AB7765">
        <v>43.31973</v>
      </c>
      <c r="AC7765">
        <v>6.0748959999999998E-2</v>
      </c>
      <c r="AD7765">
        <v>6.0397530000000001</v>
      </c>
      <c r="AE7765">
        <v>0.68951580000000001</v>
      </c>
      <c r="AF7765">
        <v>1464.146</v>
      </c>
      <c r="AG7765">
        <f>IFERROR(AH7765*0.1, "N/A")</f>
        <v>5.6005270000000005</v>
      </c>
      <c r="AH7765">
        <v>56.005270000000003</v>
      </c>
      <c r="AI7765">
        <v>243.36760000000001</v>
      </c>
      <c r="AJ7765">
        <v>32.28295</v>
      </c>
      <c r="AK7765">
        <v>55.152900000000002</v>
      </c>
    </row>
    <row r="7766" spans="1:37" x14ac:dyDescent="0.3">
      <c r="A7766">
        <v>7765</v>
      </c>
      <c r="B7766">
        <v>58.5</v>
      </c>
      <c r="C7766">
        <v>37.383099999999999</v>
      </c>
      <c r="D7766">
        <v>-1.39855</v>
      </c>
      <c r="E7766" t="s">
        <v>11575</v>
      </c>
      <c r="F7766" t="s">
        <v>11576</v>
      </c>
      <c r="G7766" t="s">
        <v>37</v>
      </c>
      <c r="H7766">
        <v>1988</v>
      </c>
      <c r="I7766">
        <v>20.100000000000001</v>
      </c>
      <c r="J7766">
        <v>13.7</v>
      </c>
      <c r="K7766">
        <v>76</v>
      </c>
      <c r="L7766">
        <v>12.33717</v>
      </c>
      <c r="M7766">
        <v>29.44868</v>
      </c>
      <c r="N7766">
        <v>11.47434</v>
      </c>
      <c r="O7766">
        <v>17.974340000000002</v>
      </c>
      <c r="P7766">
        <v>20.574339999999999</v>
      </c>
      <c r="Q7766">
        <v>18.5</v>
      </c>
      <c r="R7766">
        <v>21.37434</v>
      </c>
      <c r="S7766">
        <v>18.174340000000001</v>
      </c>
      <c r="T7766">
        <v>863.82249999999999</v>
      </c>
      <c r="U7766">
        <v>223.0264</v>
      </c>
      <c r="V7766">
        <v>4</v>
      </c>
      <c r="W7766">
        <v>96</v>
      </c>
      <c r="X7766">
        <v>398.79610000000002</v>
      </c>
      <c r="Y7766">
        <v>15</v>
      </c>
      <c r="Z7766">
        <v>337.76979999999998</v>
      </c>
      <c r="AA7766">
        <v>16</v>
      </c>
      <c r="AB7766">
        <v>51.928930000000001</v>
      </c>
      <c r="AC7766">
        <v>2.4269430000000002E-2</v>
      </c>
      <c r="AD7766">
        <v>4.6371390000000003</v>
      </c>
      <c r="AE7766">
        <v>0.73218919999999998</v>
      </c>
      <c r="AF7766">
        <v>1415.471</v>
      </c>
      <c r="AG7766">
        <f>IFERROR(AH7766*0.1, "N/A")</f>
        <v>5.5434090000000005</v>
      </c>
      <c r="AH7766">
        <v>55.434089999999998</v>
      </c>
      <c r="AI7766">
        <v>151.54179999999999</v>
      </c>
      <c r="AJ7766">
        <v>38.365549999999999</v>
      </c>
      <c r="AK7766">
        <v>49.96837</v>
      </c>
    </row>
    <row r="7767" spans="1:37" x14ac:dyDescent="0.3">
      <c r="A7767">
        <v>7766</v>
      </c>
      <c r="B7767">
        <v>50</v>
      </c>
      <c r="C7767">
        <v>37.378</v>
      </c>
      <c r="D7767">
        <v>-1.4001399999999999</v>
      </c>
      <c r="E7767" t="s">
        <v>11577</v>
      </c>
      <c r="F7767" t="s">
        <v>11578</v>
      </c>
      <c r="G7767" t="s">
        <v>37</v>
      </c>
      <c r="H7767">
        <v>1984</v>
      </c>
      <c r="I7767">
        <v>20.278479999999998</v>
      </c>
      <c r="J7767">
        <v>13.7</v>
      </c>
      <c r="K7767">
        <v>76</v>
      </c>
      <c r="L7767">
        <v>12.555260000000001</v>
      </c>
      <c r="M7767">
        <v>29.58924</v>
      </c>
      <c r="N7767">
        <v>11.58924</v>
      </c>
      <c r="O7767">
        <v>18</v>
      </c>
      <c r="P7767">
        <v>20.778479999999998</v>
      </c>
      <c r="Q7767">
        <v>18.67848</v>
      </c>
      <c r="R7767">
        <v>21.578479999999999</v>
      </c>
      <c r="S7767">
        <v>18.289239999999999</v>
      </c>
      <c r="T7767">
        <v>845.82889999999998</v>
      </c>
      <c r="U7767">
        <v>218.43029999999999</v>
      </c>
      <c r="V7767">
        <v>4</v>
      </c>
      <c r="W7767">
        <v>95.107579999999999</v>
      </c>
      <c r="X7767">
        <v>390.75310000000002</v>
      </c>
      <c r="Y7767">
        <v>14.10758</v>
      </c>
      <c r="Z7767">
        <v>330.75310000000002</v>
      </c>
      <c r="AA7767">
        <v>16</v>
      </c>
      <c r="AB7767">
        <v>50.671939999999999</v>
      </c>
      <c r="AC7767">
        <v>8.5453560000000005E-3</v>
      </c>
      <c r="AD7767">
        <v>6.9334619999999996</v>
      </c>
      <c r="AE7767">
        <v>0.73350009999999999</v>
      </c>
      <c r="AF7767">
        <v>1407.5930000000001</v>
      </c>
      <c r="AG7767">
        <f>IFERROR(AH7767*0.1, "N/A")</f>
        <v>5.6211640000000003</v>
      </c>
      <c r="AH7767">
        <v>56.211640000000003</v>
      </c>
      <c r="AI7767">
        <v>208.7996</v>
      </c>
      <c r="AJ7767">
        <v>38</v>
      </c>
      <c r="AK7767">
        <v>50.788359999999997</v>
      </c>
    </row>
    <row r="7768" spans="1:37" x14ac:dyDescent="0.3">
      <c r="A7768">
        <v>7767</v>
      </c>
      <c r="B7768">
        <v>86.8</v>
      </c>
      <c r="C7768">
        <v>37.25</v>
      </c>
      <c r="D7768">
        <v>-1.4666999999999999</v>
      </c>
      <c r="E7768" t="s">
        <v>11579</v>
      </c>
      <c r="F7768" t="s">
        <v>11580</v>
      </c>
      <c r="G7768" t="s">
        <v>37</v>
      </c>
      <c r="H7768">
        <v>1987</v>
      </c>
      <c r="I7768">
        <v>18.662430000000001</v>
      </c>
      <c r="J7768">
        <v>13.17601</v>
      </c>
      <c r="K7768">
        <v>74.760140000000007</v>
      </c>
      <c r="L7768">
        <v>12.88265</v>
      </c>
      <c r="M7768">
        <v>27.623989999999999</v>
      </c>
      <c r="N7768">
        <v>10.062430000000001</v>
      </c>
      <c r="O7768">
        <v>17.56155</v>
      </c>
      <c r="P7768">
        <v>19.662430000000001</v>
      </c>
      <c r="Q7768">
        <v>17.023990000000001</v>
      </c>
      <c r="R7768">
        <v>20.023990000000001</v>
      </c>
      <c r="S7768">
        <v>16.662430000000001</v>
      </c>
      <c r="T7768">
        <v>883.8818</v>
      </c>
      <c r="U7768">
        <v>200.25219999999999</v>
      </c>
      <c r="V7768">
        <v>4</v>
      </c>
      <c r="W7768">
        <v>90.894180000000006</v>
      </c>
      <c r="X7768">
        <v>383.76190000000003</v>
      </c>
      <c r="Y7768">
        <v>17</v>
      </c>
      <c r="Z7768">
        <v>359.38619999999997</v>
      </c>
      <c r="AA7768">
        <v>18</v>
      </c>
      <c r="AB7768">
        <v>4.1769299999999996</v>
      </c>
      <c r="AC7768">
        <v>7.9312579999999997</v>
      </c>
      <c r="AD7768">
        <v>4.1211700000000002</v>
      </c>
      <c r="AE7768">
        <v>0.80569210000000002</v>
      </c>
      <c r="AF7768">
        <v>1647.039</v>
      </c>
      <c r="AG7768">
        <f>IFERROR(AH7768*0.1, "N/A")</f>
        <v>5.7878310000000006</v>
      </c>
      <c r="AH7768">
        <v>57.878309999999999</v>
      </c>
      <c r="AI7768">
        <v>129.9727</v>
      </c>
      <c r="AJ7768">
        <v>30.243390000000002</v>
      </c>
      <c r="AK7768">
        <v>53.878309999999999</v>
      </c>
    </row>
    <row r="7769" spans="1:37" x14ac:dyDescent="0.3">
      <c r="A7769">
        <v>7768</v>
      </c>
      <c r="B7769">
        <v>45.2</v>
      </c>
      <c r="C7769">
        <v>40.0289</v>
      </c>
      <c r="D7769">
        <v>-1.5036099999999999</v>
      </c>
      <c r="E7769" t="s">
        <v>11581</v>
      </c>
      <c r="F7769" t="s">
        <v>11582</v>
      </c>
      <c r="G7769" t="s">
        <v>39</v>
      </c>
      <c r="H7769">
        <v>1987</v>
      </c>
      <c r="I7769">
        <v>27.4</v>
      </c>
      <c r="J7769">
        <v>11.1</v>
      </c>
      <c r="K7769">
        <v>71</v>
      </c>
      <c r="L7769">
        <v>13.63</v>
      </c>
      <c r="M7769">
        <v>35.299999999999997</v>
      </c>
      <c r="N7769">
        <v>19.7</v>
      </c>
      <c r="O7769">
        <v>15.6</v>
      </c>
      <c r="P7769">
        <v>27.8</v>
      </c>
      <c r="Q7769">
        <v>25.5</v>
      </c>
      <c r="R7769">
        <v>29</v>
      </c>
      <c r="S7769">
        <v>25.5</v>
      </c>
      <c r="T7769">
        <v>473</v>
      </c>
      <c r="U7769">
        <v>92</v>
      </c>
      <c r="V7769">
        <v>14</v>
      </c>
      <c r="W7769">
        <v>54</v>
      </c>
      <c r="X7769">
        <v>185</v>
      </c>
      <c r="Y7769">
        <v>63</v>
      </c>
      <c r="Z7769">
        <v>83</v>
      </c>
      <c r="AA7769">
        <v>63</v>
      </c>
      <c r="AB7769">
        <v>5.5570399999999998</v>
      </c>
      <c r="AC7769">
        <v>1.4201510000000001E-2</v>
      </c>
      <c r="AD7769">
        <v>0.91539320000000002</v>
      </c>
      <c r="AE7769">
        <v>0.69859610000000005</v>
      </c>
      <c r="AF7769">
        <v>66.174300000000002</v>
      </c>
      <c r="AG7769">
        <f>IFERROR(AH7769*0.1, "N/A")</f>
        <v>7.8397890000000006</v>
      </c>
      <c r="AH7769">
        <v>78.397890000000004</v>
      </c>
      <c r="AI7769">
        <v>189.47030000000001</v>
      </c>
      <c r="AJ7769">
        <v>28.531690000000001</v>
      </c>
      <c r="AK7769">
        <v>49.010559999999998</v>
      </c>
    </row>
    <row r="7770" spans="1:37" x14ac:dyDescent="0.3">
      <c r="A7770">
        <v>7769</v>
      </c>
      <c r="B7770">
        <v>33.299999999999997</v>
      </c>
      <c r="C7770">
        <v>38.0916</v>
      </c>
      <c r="D7770">
        <v>-1.50807</v>
      </c>
      <c r="E7770" t="s">
        <v>11583</v>
      </c>
      <c r="F7770" t="s">
        <v>11584</v>
      </c>
      <c r="G7770" t="s">
        <v>39</v>
      </c>
      <c r="H7770">
        <v>1999</v>
      </c>
      <c r="I7770">
        <v>22.427019999999999</v>
      </c>
      <c r="J7770">
        <v>13.315440000000001</v>
      </c>
      <c r="K7770">
        <v>77</v>
      </c>
      <c r="L7770">
        <v>12.32507</v>
      </c>
      <c r="M7770">
        <v>31.147189999999998</v>
      </c>
      <c r="N7770">
        <v>14</v>
      </c>
      <c r="O7770">
        <v>17.147189999999998</v>
      </c>
      <c r="P7770">
        <v>22.827020000000001</v>
      </c>
      <c r="Q7770">
        <v>20.52702</v>
      </c>
      <c r="R7770">
        <v>23.72702</v>
      </c>
      <c r="S7770">
        <v>20.52702</v>
      </c>
      <c r="T7770">
        <v>896.73159999999996</v>
      </c>
      <c r="U7770">
        <v>291.94040000000001</v>
      </c>
      <c r="V7770">
        <v>2</v>
      </c>
      <c r="W7770">
        <v>112.386</v>
      </c>
      <c r="X7770">
        <v>499.5754</v>
      </c>
      <c r="Y7770">
        <v>10.72982</v>
      </c>
      <c r="Z7770">
        <v>316.2842</v>
      </c>
      <c r="AA7770">
        <v>10.72982</v>
      </c>
      <c r="AB7770">
        <v>10.53595</v>
      </c>
      <c r="AC7770">
        <v>8.7848149999999996E-3</v>
      </c>
      <c r="AD7770">
        <v>1.237527</v>
      </c>
      <c r="AE7770">
        <v>0.70027139999999999</v>
      </c>
      <c r="AF7770">
        <v>979.34739999999999</v>
      </c>
      <c r="AG7770">
        <f>IFERROR(AH7770*0.1, "N/A")</f>
        <v>5.679825000000001</v>
      </c>
      <c r="AH7770">
        <v>56.798250000000003</v>
      </c>
      <c r="AI7770">
        <v>153.5018</v>
      </c>
      <c r="AJ7770">
        <v>32.605260000000001</v>
      </c>
      <c r="AK7770">
        <v>55.547370000000001</v>
      </c>
    </row>
    <row r="7771" spans="1:37" x14ac:dyDescent="0.3">
      <c r="A7771">
        <v>7770</v>
      </c>
      <c r="B7771">
        <v>2.9</v>
      </c>
      <c r="C7771">
        <v>37.566699999999997</v>
      </c>
      <c r="D7771">
        <v>-1.51667</v>
      </c>
      <c r="E7771" t="s">
        <v>11585</v>
      </c>
      <c r="F7771" t="s">
        <v>11586</v>
      </c>
      <c r="G7771" t="s">
        <v>37</v>
      </c>
      <c r="H7771">
        <v>1995</v>
      </c>
      <c r="I7771">
        <v>21.290839999999999</v>
      </c>
      <c r="J7771">
        <v>13.7</v>
      </c>
      <c r="K7771">
        <v>76.908450000000002</v>
      </c>
      <c r="L7771">
        <v>12.289720000000001</v>
      </c>
      <c r="M7771">
        <v>30.455629999999999</v>
      </c>
      <c r="N7771">
        <v>12.79842</v>
      </c>
      <c r="O7771">
        <v>17.657219999999999</v>
      </c>
      <c r="P7771">
        <v>21.75563</v>
      </c>
      <c r="Q7771">
        <v>19.70757</v>
      </c>
      <c r="R7771">
        <v>22.581510000000002</v>
      </c>
      <c r="S7771">
        <v>19.390840000000001</v>
      </c>
      <c r="T7771">
        <v>825.45249999999999</v>
      </c>
      <c r="U7771">
        <v>230.75700000000001</v>
      </c>
      <c r="V7771">
        <v>2</v>
      </c>
      <c r="W7771">
        <v>98.389080000000007</v>
      </c>
      <c r="X7771">
        <v>405.51409999999998</v>
      </c>
      <c r="Y7771">
        <v>13</v>
      </c>
      <c r="Z7771">
        <v>304.30990000000003</v>
      </c>
      <c r="AA7771">
        <v>15</v>
      </c>
      <c r="AB7771">
        <v>6.8260509999999996</v>
      </c>
      <c r="AC7771">
        <v>0.23355680000000001</v>
      </c>
      <c r="AD7771">
        <v>4.2216120000000004</v>
      </c>
      <c r="AE7771">
        <v>0.73601660000000002</v>
      </c>
      <c r="AF7771">
        <v>1192.076</v>
      </c>
      <c r="AG7771">
        <f>IFERROR(AH7771*0.1, "N/A")</f>
        <v>5.9346829999999997</v>
      </c>
      <c r="AH7771">
        <v>59.346829999999997</v>
      </c>
      <c r="AI7771">
        <v>229.79599999999999</v>
      </c>
      <c r="AJ7771">
        <v>32.980629999999998</v>
      </c>
      <c r="AK7771">
        <v>52.961269999999999</v>
      </c>
    </row>
    <row r="7772" spans="1:37" x14ac:dyDescent="0.3">
      <c r="A7772">
        <v>7771</v>
      </c>
      <c r="B7772">
        <v>6.6</v>
      </c>
      <c r="C7772">
        <v>37.2333</v>
      </c>
      <c r="D7772">
        <v>-1.5166999999999999</v>
      </c>
      <c r="E7772" t="s">
        <v>11587</v>
      </c>
      <c r="F7772" t="s">
        <v>11588</v>
      </c>
      <c r="G7772" t="s">
        <v>37</v>
      </c>
      <c r="H7772">
        <v>1987</v>
      </c>
      <c r="I7772">
        <v>19.056260000000002</v>
      </c>
      <c r="J7772">
        <v>12.811640000000001</v>
      </c>
      <c r="K7772">
        <v>73</v>
      </c>
      <c r="L7772">
        <v>13.210710000000001</v>
      </c>
      <c r="M7772">
        <v>28.200530000000001</v>
      </c>
      <c r="N7772">
        <v>10.776899999999999</v>
      </c>
      <c r="O7772">
        <v>17.423629999999999</v>
      </c>
      <c r="P7772">
        <v>20.020630000000001</v>
      </c>
      <c r="Q7772">
        <v>17.344619999999999</v>
      </c>
      <c r="R7772">
        <v>20.48854</v>
      </c>
      <c r="S7772">
        <v>17.032630000000001</v>
      </c>
      <c r="T7772">
        <v>800.19579999999996</v>
      </c>
      <c r="U7772">
        <v>180.78479999999999</v>
      </c>
      <c r="V7772">
        <v>4</v>
      </c>
      <c r="W7772">
        <v>89.442679999999996</v>
      </c>
      <c r="X7772">
        <v>347.27870000000001</v>
      </c>
      <c r="Y7772">
        <v>15.99471</v>
      </c>
      <c r="Z7772">
        <v>324.39510000000001</v>
      </c>
      <c r="AA7772">
        <v>17.557320000000001</v>
      </c>
      <c r="AB7772">
        <v>11.061920000000001</v>
      </c>
      <c r="AC7772">
        <v>8.6716050000000003E-2</v>
      </c>
      <c r="AD7772">
        <v>3.507225</v>
      </c>
      <c r="AE7772">
        <v>0.74889329999999998</v>
      </c>
      <c r="AF7772">
        <v>1611.711</v>
      </c>
      <c r="AG7772">
        <f>IFERROR(AH7772*0.1, "N/A")</f>
        <v>5.993474</v>
      </c>
      <c r="AH7772">
        <v>59.934739999999998</v>
      </c>
      <c r="AI7772">
        <v>276.75380000000001</v>
      </c>
      <c r="AJ7772">
        <v>33.437390000000001</v>
      </c>
      <c r="AK7772">
        <v>51.47795</v>
      </c>
    </row>
    <row r="7773" spans="1:37" x14ac:dyDescent="0.3">
      <c r="A7773">
        <v>7772</v>
      </c>
      <c r="B7773">
        <v>1</v>
      </c>
      <c r="C7773">
        <v>37.2333</v>
      </c>
      <c r="D7773">
        <v>-1.5166999999999999</v>
      </c>
      <c r="E7773" t="s">
        <v>11587</v>
      </c>
      <c r="F7773" t="s">
        <v>11589</v>
      </c>
      <c r="G7773" t="s">
        <v>39</v>
      </c>
      <c r="H7773">
        <v>1987</v>
      </c>
      <c r="I7773">
        <v>19.056260000000002</v>
      </c>
      <c r="J7773">
        <v>12.811640000000001</v>
      </c>
      <c r="K7773">
        <v>73</v>
      </c>
      <c r="L7773">
        <v>13.210710000000001</v>
      </c>
      <c r="M7773">
        <v>28.200530000000001</v>
      </c>
      <c r="N7773">
        <v>10.776899999999999</v>
      </c>
      <c r="O7773">
        <v>17.423629999999999</v>
      </c>
      <c r="P7773">
        <v>20.020630000000001</v>
      </c>
      <c r="Q7773">
        <v>17.344619999999999</v>
      </c>
      <c r="R7773">
        <v>20.48854</v>
      </c>
      <c r="S7773">
        <v>17.032630000000001</v>
      </c>
      <c r="T7773">
        <v>800.19579999999996</v>
      </c>
      <c r="U7773">
        <v>180.78479999999999</v>
      </c>
      <c r="V7773">
        <v>4</v>
      </c>
      <c r="W7773">
        <v>89.442679999999996</v>
      </c>
      <c r="X7773">
        <v>347.27870000000001</v>
      </c>
      <c r="Y7773">
        <v>15.99471</v>
      </c>
      <c r="Z7773">
        <v>324.39510000000001</v>
      </c>
      <c r="AA7773">
        <v>17.557320000000001</v>
      </c>
      <c r="AB7773">
        <v>11.061920000000001</v>
      </c>
      <c r="AC7773">
        <v>8.6716050000000003E-2</v>
      </c>
      <c r="AD7773">
        <v>3.507225</v>
      </c>
      <c r="AE7773">
        <v>0.74889329999999998</v>
      </c>
      <c r="AF7773">
        <v>1611.711</v>
      </c>
      <c r="AG7773">
        <f>IFERROR(AH7773*0.1, "N/A")</f>
        <v>5.993474</v>
      </c>
      <c r="AH7773">
        <v>59.934739999999998</v>
      </c>
      <c r="AI7773">
        <v>276.75380000000001</v>
      </c>
      <c r="AJ7773">
        <v>33.437390000000001</v>
      </c>
      <c r="AK7773">
        <v>51.47795</v>
      </c>
    </row>
    <row r="7774" spans="1:37" x14ac:dyDescent="0.3">
      <c r="A7774">
        <v>7773</v>
      </c>
      <c r="B7774">
        <v>92.3</v>
      </c>
      <c r="C7774">
        <v>37.35</v>
      </c>
      <c r="D7774">
        <v>-1.5166999999999999</v>
      </c>
      <c r="E7774" t="s">
        <v>11590</v>
      </c>
      <c r="F7774" t="s">
        <v>11591</v>
      </c>
      <c r="G7774" t="s">
        <v>37</v>
      </c>
      <c r="H7774">
        <v>1987</v>
      </c>
      <c r="I7774">
        <v>20.40915</v>
      </c>
      <c r="J7774">
        <v>13.4</v>
      </c>
      <c r="K7774">
        <v>75</v>
      </c>
      <c r="L7774">
        <v>12.663819999999999</v>
      </c>
      <c r="M7774">
        <v>29.609159999999999</v>
      </c>
      <c r="N7774">
        <v>11.90915</v>
      </c>
      <c r="O7774">
        <v>17.7</v>
      </c>
      <c r="P7774">
        <v>20.83662</v>
      </c>
      <c r="Q7774">
        <v>18.760390000000001</v>
      </c>
      <c r="R7774">
        <v>21.77253</v>
      </c>
      <c r="S7774">
        <v>18.432919999999999</v>
      </c>
      <c r="T7774">
        <v>805.64790000000005</v>
      </c>
      <c r="U7774">
        <v>201.0616</v>
      </c>
      <c r="V7774">
        <v>3</v>
      </c>
      <c r="W7774">
        <v>92.274649999999994</v>
      </c>
      <c r="X7774">
        <v>363.70249999999999</v>
      </c>
      <c r="Y7774">
        <v>13</v>
      </c>
      <c r="Z7774">
        <v>315.27460000000002</v>
      </c>
      <c r="AA7774">
        <v>16</v>
      </c>
      <c r="AB7774">
        <v>38.066870000000002</v>
      </c>
      <c r="AC7774">
        <v>3.8993729999999997E-2</v>
      </c>
      <c r="AD7774">
        <v>6.517436</v>
      </c>
      <c r="AE7774">
        <v>0.73587820000000004</v>
      </c>
      <c r="AF7774">
        <v>1357.463</v>
      </c>
      <c r="AG7774">
        <f>IFERROR(AH7774*0.1, "N/A")</f>
        <v>5.4647889999999997</v>
      </c>
      <c r="AH7774">
        <v>54.647889999999997</v>
      </c>
      <c r="AI7774">
        <v>288.85180000000003</v>
      </c>
      <c r="AJ7774">
        <v>36.01408</v>
      </c>
      <c r="AK7774">
        <v>48</v>
      </c>
    </row>
    <row r="7775" spans="1:37" x14ac:dyDescent="0.3">
      <c r="A7775">
        <v>7774</v>
      </c>
      <c r="B7775">
        <v>14.5</v>
      </c>
      <c r="C7775">
        <v>37.263399999999997</v>
      </c>
      <c r="D7775">
        <v>-1.5174799999999999</v>
      </c>
      <c r="E7775" t="s">
        <v>11592</v>
      </c>
      <c r="F7775" t="s">
        <v>11593</v>
      </c>
      <c r="G7775" t="s">
        <v>37</v>
      </c>
      <c r="H7775">
        <v>1985</v>
      </c>
      <c r="I7775">
        <v>19</v>
      </c>
      <c r="J7775">
        <v>13</v>
      </c>
      <c r="K7775">
        <v>74</v>
      </c>
      <c r="L7775">
        <v>13</v>
      </c>
      <c r="M7775">
        <v>28</v>
      </c>
      <c r="N7775">
        <v>10.5</v>
      </c>
      <c r="O7775">
        <v>17.5</v>
      </c>
      <c r="P7775">
        <v>19.899999999999999</v>
      </c>
      <c r="Q7775">
        <v>17.3</v>
      </c>
      <c r="R7775">
        <v>20.3</v>
      </c>
      <c r="S7775">
        <v>16.899999999999999</v>
      </c>
      <c r="T7775">
        <v>830</v>
      </c>
      <c r="U7775">
        <v>191</v>
      </c>
      <c r="V7775">
        <v>4</v>
      </c>
      <c r="W7775">
        <v>89</v>
      </c>
      <c r="X7775">
        <v>355</v>
      </c>
      <c r="Y7775">
        <v>17</v>
      </c>
      <c r="Z7775">
        <v>335</v>
      </c>
      <c r="AA7775">
        <v>18</v>
      </c>
      <c r="AB7775">
        <v>19.791699999999999</v>
      </c>
      <c r="AC7775">
        <v>1.826326E-2</v>
      </c>
      <c r="AD7775">
        <v>3.8333740000000001</v>
      </c>
      <c r="AE7775">
        <v>0.78455719999999995</v>
      </c>
      <c r="AF7775">
        <v>1619.47</v>
      </c>
      <c r="AG7775">
        <f>IFERROR(AH7775*0.1, "N/A")</f>
        <v>5.6711270000000003</v>
      </c>
      <c r="AH7775">
        <v>56.711269999999999</v>
      </c>
      <c r="AI7775">
        <v>248.3749</v>
      </c>
      <c r="AJ7775">
        <v>44.322180000000003</v>
      </c>
      <c r="AK7775">
        <v>41.033450000000002</v>
      </c>
    </row>
    <row r="7776" spans="1:37" x14ac:dyDescent="0.3">
      <c r="A7776">
        <v>7775</v>
      </c>
      <c r="B7776">
        <v>48</v>
      </c>
      <c r="C7776">
        <v>37.263500000000001</v>
      </c>
      <c r="D7776">
        <v>-1.5176499999999999</v>
      </c>
      <c r="E7776" t="s">
        <v>11594</v>
      </c>
      <c r="F7776" t="s">
        <v>11595</v>
      </c>
      <c r="G7776" t="s">
        <v>37</v>
      </c>
      <c r="H7776">
        <v>2001</v>
      </c>
      <c r="I7776">
        <v>19</v>
      </c>
      <c r="J7776">
        <v>13</v>
      </c>
      <c r="K7776">
        <v>74</v>
      </c>
      <c r="L7776">
        <v>13</v>
      </c>
      <c r="M7776">
        <v>28</v>
      </c>
      <c r="N7776">
        <v>10.5</v>
      </c>
      <c r="O7776">
        <v>17.5</v>
      </c>
      <c r="P7776">
        <v>19.899999999999999</v>
      </c>
      <c r="Q7776">
        <v>17.3</v>
      </c>
      <c r="R7776">
        <v>20.3</v>
      </c>
      <c r="S7776">
        <v>16.899999999999999</v>
      </c>
      <c r="T7776">
        <v>830</v>
      </c>
      <c r="U7776">
        <v>191</v>
      </c>
      <c r="V7776">
        <v>4</v>
      </c>
      <c r="W7776">
        <v>89</v>
      </c>
      <c r="X7776">
        <v>355</v>
      </c>
      <c r="Y7776">
        <v>17</v>
      </c>
      <c r="Z7776">
        <v>335</v>
      </c>
      <c r="AA7776">
        <v>18</v>
      </c>
      <c r="AB7776">
        <v>21.016490000000001</v>
      </c>
      <c r="AC7776">
        <v>3.3398749999999998E-2</v>
      </c>
      <c r="AD7776">
        <v>3.719814</v>
      </c>
      <c r="AE7776">
        <v>0.78455719999999995</v>
      </c>
      <c r="AF7776">
        <v>1619.0229999999999</v>
      </c>
      <c r="AG7776">
        <f>IFERROR(AH7776*0.1, "N/A")</f>
        <v>5.7191560000000008</v>
      </c>
      <c r="AH7776">
        <v>57.191560000000003</v>
      </c>
      <c r="AI7776">
        <v>235.12049999999999</v>
      </c>
      <c r="AJ7776">
        <v>44.202109999999998</v>
      </c>
      <c r="AK7776">
        <v>41.39367</v>
      </c>
    </row>
    <row r="7777" spans="1:37" x14ac:dyDescent="0.3">
      <c r="A7777">
        <v>7776</v>
      </c>
      <c r="B7777">
        <v>28.8</v>
      </c>
      <c r="C7777">
        <v>37.2699</v>
      </c>
      <c r="D7777">
        <v>-1.5202899999999999</v>
      </c>
      <c r="E7777" t="s">
        <v>11596</v>
      </c>
      <c r="F7777" t="s">
        <v>11597</v>
      </c>
      <c r="G7777" t="s">
        <v>37</v>
      </c>
      <c r="H7777">
        <v>1970</v>
      </c>
      <c r="I7777">
        <v>18.899999999999999</v>
      </c>
      <c r="J7777">
        <v>13.1</v>
      </c>
      <c r="K7777">
        <v>74</v>
      </c>
      <c r="L7777">
        <v>13.15</v>
      </c>
      <c r="M7777">
        <v>28</v>
      </c>
      <c r="N7777">
        <v>10.4</v>
      </c>
      <c r="O7777">
        <v>17.600000000000001</v>
      </c>
      <c r="P7777">
        <v>19.399999999999999</v>
      </c>
      <c r="Q7777">
        <v>17.2</v>
      </c>
      <c r="R7777">
        <v>20.3</v>
      </c>
      <c r="S7777">
        <v>16.899999999999999</v>
      </c>
      <c r="T7777">
        <v>840</v>
      </c>
      <c r="U7777">
        <v>194</v>
      </c>
      <c r="V7777">
        <v>4</v>
      </c>
      <c r="W7777">
        <v>89</v>
      </c>
      <c r="X7777">
        <v>359</v>
      </c>
      <c r="Y7777">
        <v>17</v>
      </c>
      <c r="Z7777">
        <v>338</v>
      </c>
      <c r="AA7777">
        <v>18</v>
      </c>
      <c r="AB7777">
        <v>56.089489999999998</v>
      </c>
      <c r="AC7777">
        <v>3.1296310000000001E-2</v>
      </c>
      <c r="AD7777">
        <v>2.3739370000000002</v>
      </c>
      <c r="AE7777">
        <v>0.77867540000000002</v>
      </c>
      <c r="AF7777">
        <v>1623.394</v>
      </c>
      <c r="AG7777">
        <f>IFERROR(AH7777*0.1, "N/A")</f>
        <v>6.4760980000000004</v>
      </c>
      <c r="AH7777">
        <v>64.760980000000004</v>
      </c>
      <c r="AI7777">
        <v>166.47919999999999</v>
      </c>
      <c r="AJ7777">
        <v>41.478029999999997</v>
      </c>
      <c r="AK7777">
        <v>43.521970000000003</v>
      </c>
    </row>
    <row r="7778" spans="1:37" x14ac:dyDescent="0.3">
      <c r="A7778">
        <v>7777</v>
      </c>
      <c r="B7778">
        <v>17.5</v>
      </c>
      <c r="C7778">
        <v>37.909999999999997</v>
      </c>
      <c r="D7778">
        <v>-1.54</v>
      </c>
      <c r="E7778" t="s">
        <v>11598</v>
      </c>
      <c r="F7778" t="s">
        <v>11599</v>
      </c>
      <c r="G7778" t="s">
        <v>37</v>
      </c>
      <c r="H7778">
        <v>1987</v>
      </c>
      <c r="I7778">
        <v>22.5</v>
      </c>
      <c r="J7778">
        <v>13.5</v>
      </c>
      <c r="K7778">
        <v>78</v>
      </c>
      <c r="L7778">
        <v>12.22</v>
      </c>
      <c r="M7778">
        <v>31.3</v>
      </c>
      <c r="N7778">
        <v>14.1</v>
      </c>
      <c r="O7778">
        <v>17.2</v>
      </c>
      <c r="P7778">
        <v>23</v>
      </c>
      <c r="Q7778">
        <v>20.6</v>
      </c>
      <c r="R7778">
        <v>23.8</v>
      </c>
      <c r="S7778">
        <v>20.6</v>
      </c>
      <c r="T7778">
        <v>796</v>
      </c>
      <c r="U7778">
        <v>259</v>
      </c>
      <c r="V7778">
        <v>1</v>
      </c>
      <c r="W7778">
        <v>110</v>
      </c>
      <c r="X7778">
        <v>438</v>
      </c>
      <c r="Y7778">
        <v>10</v>
      </c>
      <c r="Z7778">
        <v>276</v>
      </c>
      <c r="AA7778">
        <v>10</v>
      </c>
      <c r="AB7778">
        <v>11.41386</v>
      </c>
      <c r="AC7778">
        <v>5.1659429999999999E-2</v>
      </c>
      <c r="AD7778">
        <v>4.0666679999999999</v>
      </c>
      <c r="AE7778">
        <v>0.68965529999999997</v>
      </c>
      <c r="AF7778">
        <v>971.54129999999998</v>
      </c>
      <c r="AG7778">
        <f>IFERROR(AH7778*0.1, "N/A")</f>
        <v>6.8000000000000007</v>
      </c>
      <c r="AH7778">
        <v>68</v>
      </c>
      <c r="AI7778">
        <v>287.20800000000003</v>
      </c>
      <c r="AJ7778">
        <v>40</v>
      </c>
      <c r="AK7778">
        <v>42</v>
      </c>
    </row>
    <row r="7779" spans="1:37" x14ac:dyDescent="0.3">
      <c r="A7779">
        <v>7778</v>
      </c>
      <c r="B7779">
        <v>23.5</v>
      </c>
      <c r="C7779">
        <v>37.909999999999997</v>
      </c>
      <c r="D7779">
        <v>-1.54</v>
      </c>
      <c r="E7779" t="s">
        <v>11598</v>
      </c>
      <c r="F7779" t="s">
        <v>11600</v>
      </c>
      <c r="G7779" t="s">
        <v>39</v>
      </c>
      <c r="H7779">
        <v>1987</v>
      </c>
      <c r="I7779">
        <v>22.5</v>
      </c>
      <c r="J7779">
        <v>13.5</v>
      </c>
      <c r="K7779">
        <v>78</v>
      </c>
      <c r="L7779">
        <v>12.22</v>
      </c>
      <c r="M7779">
        <v>31.3</v>
      </c>
      <c r="N7779">
        <v>14.1</v>
      </c>
      <c r="O7779">
        <v>17.2</v>
      </c>
      <c r="P7779">
        <v>23</v>
      </c>
      <c r="Q7779">
        <v>20.6</v>
      </c>
      <c r="R7779">
        <v>23.8</v>
      </c>
      <c r="S7779">
        <v>20.6</v>
      </c>
      <c r="T7779">
        <v>796</v>
      </c>
      <c r="U7779">
        <v>259</v>
      </c>
      <c r="V7779">
        <v>1</v>
      </c>
      <c r="W7779">
        <v>110</v>
      </c>
      <c r="X7779">
        <v>438</v>
      </c>
      <c r="Y7779">
        <v>10</v>
      </c>
      <c r="Z7779">
        <v>276</v>
      </c>
      <c r="AA7779">
        <v>10</v>
      </c>
      <c r="AB7779">
        <v>11.41386</v>
      </c>
      <c r="AC7779">
        <v>5.1659429999999999E-2</v>
      </c>
      <c r="AD7779">
        <v>4.0666679999999999</v>
      </c>
      <c r="AE7779">
        <v>0.68965529999999997</v>
      </c>
      <c r="AF7779">
        <v>971.54129999999998</v>
      </c>
      <c r="AG7779">
        <f>IFERROR(AH7779*0.1, "N/A")</f>
        <v>6.8000000000000007</v>
      </c>
      <c r="AH7779">
        <v>68</v>
      </c>
      <c r="AI7779">
        <v>287.20800000000003</v>
      </c>
      <c r="AJ7779">
        <v>40</v>
      </c>
      <c r="AK7779">
        <v>42</v>
      </c>
    </row>
    <row r="7780" spans="1:37" x14ac:dyDescent="0.3">
      <c r="A7780">
        <v>7779</v>
      </c>
      <c r="B7780">
        <v>65.2</v>
      </c>
      <c r="C7780">
        <v>38.088500000000003</v>
      </c>
      <c r="D7780">
        <v>-1.6032299999999999</v>
      </c>
      <c r="E7780" t="s">
        <v>11601</v>
      </c>
      <c r="F7780" t="s">
        <v>11602</v>
      </c>
      <c r="G7780" t="s">
        <v>39</v>
      </c>
      <c r="H7780">
        <v>1999</v>
      </c>
      <c r="I7780">
        <v>22.9</v>
      </c>
      <c r="J7780">
        <v>13.2</v>
      </c>
      <c r="K7780">
        <v>77</v>
      </c>
      <c r="L7780">
        <v>12.63</v>
      </c>
      <c r="M7780">
        <v>31.6</v>
      </c>
      <c r="N7780">
        <v>14.5</v>
      </c>
      <c r="O7780">
        <v>17.100000000000001</v>
      </c>
      <c r="P7780">
        <v>23.3</v>
      </c>
      <c r="Q7780">
        <v>20.9</v>
      </c>
      <c r="R7780">
        <v>24.2</v>
      </c>
      <c r="S7780">
        <v>20.9</v>
      </c>
      <c r="T7780">
        <v>801</v>
      </c>
      <c r="U7780">
        <v>265</v>
      </c>
      <c r="V7780">
        <v>1</v>
      </c>
      <c r="W7780">
        <v>114</v>
      </c>
      <c r="X7780">
        <v>455</v>
      </c>
      <c r="Y7780">
        <v>7</v>
      </c>
      <c r="Z7780">
        <v>279</v>
      </c>
      <c r="AA7780">
        <v>7</v>
      </c>
      <c r="AB7780">
        <v>15.80721</v>
      </c>
      <c r="AC7780">
        <v>1.5582169999999999E-2</v>
      </c>
      <c r="AD7780">
        <v>1.8744209999999999</v>
      </c>
      <c r="AE7780">
        <v>0.70321290000000003</v>
      </c>
      <c r="AF7780">
        <v>908.33159999999998</v>
      </c>
      <c r="AG7780">
        <f>IFERROR(AH7780*0.1, "N/A")</f>
        <v>6.1851850000000006</v>
      </c>
      <c r="AH7780">
        <v>61.851849999999999</v>
      </c>
      <c r="AI7780">
        <v>197.18360000000001</v>
      </c>
      <c r="AJ7780">
        <v>33.077599999999997</v>
      </c>
      <c r="AK7780">
        <v>54.848320000000001</v>
      </c>
    </row>
    <row r="7781" spans="1:37" x14ac:dyDescent="0.3">
      <c r="A7781">
        <v>7780</v>
      </c>
      <c r="B7781">
        <v>4.8</v>
      </c>
      <c r="C7781">
        <v>37.366700000000002</v>
      </c>
      <c r="D7781">
        <v>-1.76667</v>
      </c>
      <c r="E7781" t="s">
        <v>11603</v>
      </c>
      <c r="F7781" t="s">
        <v>11604</v>
      </c>
      <c r="G7781" t="s">
        <v>39</v>
      </c>
      <c r="H7781">
        <v>1976</v>
      </c>
      <c r="I7781">
        <v>19.003340000000001</v>
      </c>
      <c r="J7781">
        <v>12.66028</v>
      </c>
      <c r="K7781">
        <v>73</v>
      </c>
      <c r="L7781">
        <v>13.09529</v>
      </c>
      <c r="M7781">
        <v>27.86749</v>
      </c>
      <c r="N7781">
        <v>10.70721</v>
      </c>
      <c r="O7781">
        <v>17.16028</v>
      </c>
      <c r="P7781">
        <v>19.467490000000002</v>
      </c>
      <c r="Q7781">
        <v>17.30527</v>
      </c>
      <c r="R7781">
        <v>20.38805</v>
      </c>
      <c r="S7781">
        <v>16.96942</v>
      </c>
      <c r="T7781">
        <v>976.18280000000004</v>
      </c>
      <c r="U7781">
        <v>230.12479999999999</v>
      </c>
      <c r="V7781">
        <v>5</v>
      </c>
      <c r="W7781">
        <v>88.847099999999998</v>
      </c>
      <c r="X7781">
        <v>423.21089999999998</v>
      </c>
      <c r="Y7781">
        <v>22</v>
      </c>
      <c r="Z7781">
        <v>380.7663</v>
      </c>
      <c r="AA7781">
        <v>27.20562</v>
      </c>
      <c r="AB7781">
        <v>91.164100000000005</v>
      </c>
      <c r="AC7781">
        <v>6.5437969999999998E-2</v>
      </c>
      <c r="AD7781">
        <v>21.327750000000002</v>
      </c>
      <c r="AE7781">
        <v>0.65905349999999996</v>
      </c>
      <c r="AF7781">
        <v>1669.1110000000001</v>
      </c>
      <c r="AG7781">
        <f>IFERROR(AH7781*0.1, "N/A")</f>
        <v>5.6000000000000005</v>
      </c>
      <c r="AH7781">
        <v>56</v>
      </c>
      <c r="AI7781">
        <v>76.427340000000001</v>
      </c>
      <c r="AJ7781">
        <v>36.827770000000001</v>
      </c>
      <c r="AK7781">
        <v>47.344459999999998</v>
      </c>
    </row>
    <row r="7782" spans="1:37" x14ac:dyDescent="0.3">
      <c r="A7782">
        <v>7781</v>
      </c>
      <c r="B7782">
        <v>58.1</v>
      </c>
      <c r="C7782">
        <v>37.366700000000002</v>
      </c>
      <c r="D7782">
        <v>-1.76667</v>
      </c>
      <c r="E7782" t="s">
        <v>11603</v>
      </c>
      <c r="F7782" t="s">
        <v>11605</v>
      </c>
      <c r="G7782" t="s">
        <v>37</v>
      </c>
      <c r="H7782">
        <v>1976</v>
      </c>
      <c r="I7782">
        <v>19.003340000000001</v>
      </c>
      <c r="J7782">
        <v>12.66028</v>
      </c>
      <c r="K7782">
        <v>73</v>
      </c>
      <c r="L7782">
        <v>13.09529</v>
      </c>
      <c r="M7782">
        <v>27.86749</v>
      </c>
      <c r="N7782">
        <v>10.70721</v>
      </c>
      <c r="O7782">
        <v>17.16028</v>
      </c>
      <c r="P7782">
        <v>19.467490000000002</v>
      </c>
      <c r="Q7782">
        <v>17.30527</v>
      </c>
      <c r="R7782">
        <v>20.38805</v>
      </c>
      <c r="S7782">
        <v>16.96942</v>
      </c>
      <c r="T7782">
        <v>976.18280000000004</v>
      </c>
      <c r="U7782">
        <v>230.12479999999999</v>
      </c>
      <c r="V7782">
        <v>5</v>
      </c>
      <c r="W7782">
        <v>88.847099999999998</v>
      </c>
      <c r="X7782">
        <v>423.21089999999998</v>
      </c>
      <c r="Y7782">
        <v>22</v>
      </c>
      <c r="Z7782">
        <v>380.7663</v>
      </c>
      <c r="AA7782">
        <v>27.20562</v>
      </c>
      <c r="AB7782">
        <v>91.164100000000005</v>
      </c>
      <c r="AC7782">
        <v>6.5437969999999998E-2</v>
      </c>
      <c r="AD7782">
        <v>21.327750000000002</v>
      </c>
      <c r="AE7782">
        <v>0.65905349999999996</v>
      </c>
      <c r="AF7782">
        <v>1669.1110000000001</v>
      </c>
      <c r="AG7782">
        <f>IFERROR(AH7782*0.1, "N/A")</f>
        <v>5.6000000000000005</v>
      </c>
      <c r="AH7782">
        <v>56</v>
      </c>
      <c r="AI7782">
        <v>76.427340000000001</v>
      </c>
      <c r="AJ7782">
        <v>36.827770000000001</v>
      </c>
      <c r="AK7782">
        <v>47.344459999999998</v>
      </c>
    </row>
    <row r="7783" spans="1:37" x14ac:dyDescent="0.3">
      <c r="A7783">
        <v>7782</v>
      </c>
      <c r="B7783">
        <v>66.7</v>
      </c>
      <c r="C7783">
        <v>37.506799999999998</v>
      </c>
      <c r="D7783">
        <v>-1.91072</v>
      </c>
      <c r="E7783" t="s">
        <v>11606</v>
      </c>
      <c r="F7783" t="s">
        <v>11607</v>
      </c>
      <c r="G7783" t="s">
        <v>37</v>
      </c>
      <c r="H7783">
        <v>2007</v>
      </c>
      <c r="I7783">
        <v>21.6</v>
      </c>
      <c r="J7783">
        <v>12.8</v>
      </c>
      <c r="K7783">
        <v>73</v>
      </c>
      <c r="L7783">
        <v>13.17</v>
      </c>
      <c r="M7783">
        <v>30.7</v>
      </c>
      <c r="N7783">
        <v>13.4</v>
      </c>
      <c r="O7783">
        <v>17.3</v>
      </c>
      <c r="P7783">
        <v>22</v>
      </c>
      <c r="Q7783">
        <v>19.899999999999999</v>
      </c>
      <c r="R7783">
        <v>23.1</v>
      </c>
      <c r="S7783">
        <v>19.600000000000001</v>
      </c>
      <c r="T7783">
        <v>812</v>
      </c>
      <c r="U7783">
        <v>197</v>
      </c>
      <c r="V7783">
        <v>1</v>
      </c>
      <c r="W7783">
        <v>92</v>
      </c>
      <c r="X7783">
        <v>364</v>
      </c>
      <c r="Y7783">
        <v>11</v>
      </c>
      <c r="Z7783">
        <v>321</v>
      </c>
      <c r="AA7783">
        <v>14</v>
      </c>
      <c r="AB7783">
        <v>2.768545</v>
      </c>
      <c r="AC7783">
        <v>0.95915430000000002</v>
      </c>
      <c r="AD7783">
        <v>3.5498280000000002</v>
      </c>
      <c r="AE7783">
        <v>0.72409780000000001</v>
      </c>
      <c r="AF7783">
        <v>1136.961</v>
      </c>
      <c r="AG7783">
        <f>IFERROR(AH7783*0.1, "N/A")</f>
        <v>5.5</v>
      </c>
      <c r="AH7783">
        <v>55</v>
      </c>
      <c r="AI7783">
        <v>81.323880000000003</v>
      </c>
      <c r="AJ7783">
        <v>34</v>
      </c>
      <c r="AK7783">
        <v>53</v>
      </c>
    </row>
    <row r="7784" spans="1:37" x14ac:dyDescent="0.3">
      <c r="A7784">
        <v>7783</v>
      </c>
      <c r="B7784">
        <v>8.6</v>
      </c>
      <c r="C7784">
        <v>37.383299999999998</v>
      </c>
      <c r="D7784">
        <v>-1.9166700000000001</v>
      </c>
      <c r="E7784" t="s">
        <v>11608</v>
      </c>
      <c r="F7784" t="s">
        <v>11609</v>
      </c>
      <c r="G7784" t="s">
        <v>37</v>
      </c>
      <c r="H7784">
        <v>2007</v>
      </c>
      <c r="I7784">
        <v>20.90757</v>
      </c>
      <c r="J7784">
        <v>12.7</v>
      </c>
      <c r="K7784">
        <v>74.133799999999994</v>
      </c>
      <c r="L7784">
        <v>12.84676</v>
      </c>
      <c r="M7784">
        <v>29.807569999999998</v>
      </c>
      <c r="N7784">
        <v>12.77694</v>
      </c>
      <c r="O7784">
        <v>17.030629999999999</v>
      </c>
      <c r="P7784">
        <v>21.644369999999999</v>
      </c>
      <c r="Q7784">
        <v>19.220949999999998</v>
      </c>
      <c r="R7784">
        <v>22.307569999999998</v>
      </c>
      <c r="S7784">
        <v>18.920950000000001</v>
      </c>
      <c r="T7784">
        <v>806.97540000000004</v>
      </c>
      <c r="U7784">
        <v>189.7835</v>
      </c>
      <c r="V7784">
        <v>2</v>
      </c>
      <c r="W7784">
        <v>89.776409999999998</v>
      </c>
      <c r="X7784">
        <v>345.77640000000002</v>
      </c>
      <c r="Y7784">
        <v>12</v>
      </c>
      <c r="Z7784">
        <v>329.4085</v>
      </c>
      <c r="AA7784">
        <v>17</v>
      </c>
      <c r="AB7784">
        <v>6.1696609999999996</v>
      </c>
      <c r="AC7784">
        <v>7.5602689999999999</v>
      </c>
      <c r="AD7784">
        <v>1.7395849999999999</v>
      </c>
      <c r="AE7784">
        <v>0.71703159999999999</v>
      </c>
      <c r="AF7784">
        <v>1270.952</v>
      </c>
      <c r="AG7784">
        <f>IFERROR(AH7784*0.1, "N/A")</f>
        <v>6.157394</v>
      </c>
      <c r="AH7784">
        <v>61.57394</v>
      </c>
      <c r="AI7784">
        <v>68.644170000000003</v>
      </c>
      <c r="AJ7784">
        <v>32.278170000000003</v>
      </c>
      <c r="AK7784">
        <v>54.721829999999997</v>
      </c>
    </row>
    <row r="7785" spans="1:37" x14ac:dyDescent="0.3">
      <c r="A7785">
        <v>7784</v>
      </c>
      <c r="B7785">
        <v>7.4</v>
      </c>
      <c r="C7785">
        <v>40.903300000000002</v>
      </c>
      <c r="D7785">
        <v>-2.27833</v>
      </c>
      <c r="E7785" t="s">
        <v>11610</v>
      </c>
      <c r="F7785" t="s">
        <v>11611</v>
      </c>
      <c r="G7785" t="s">
        <v>39</v>
      </c>
      <c r="H7785">
        <v>1987</v>
      </c>
      <c r="I7785" t="s">
        <v>729</v>
      </c>
      <c r="J7785" t="s">
        <v>729</v>
      </c>
      <c r="K7785" t="s">
        <v>729</v>
      </c>
      <c r="L7785" t="s">
        <v>729</v>
      </c>
      <c r="M7785" t="s">
        <v>729</v>
      </c>
      <c r="N7785" t="s">
        <v>729</v>
      </c>
      <c r="O7785" t="s">
        <v>729</v>
      </c>
      <c r="P7785" t="s">
        <v>729</v>
      </c>
      <c r="Q7785" t="s">
        <v>729</v>
      </c>
      <c r="R7785" t="s">
        <v>729</v>
      </c>
      <c r="S7785" t="s">
        <v>729</v>
      </c>
      <c r="T7785" t="s">
        <v>729</v>
      </c>
      <c r="U7785" t="s">
        <v>729</v>
      </c>
      <c r="V7785" t="s">
        <v>729</v>
      </c>
      <c r="W7785" t="s">
        <v>729</v>
      </c>
      <c r="X7785" t="s">
        <v>729</v>
      </c>
      <c r="Y7785" t="s">
        <v>729</v>
      </c>
      <c r="Z7785" t="s">
        <v>729</v>
      </c>
      <c r="AA7785" t="s">
        <v>729</v>
      </c>
      <c r="AB7785" t="s">
        <v>729</v>
      </c>
      <c r="AC7785" t="s">
        <v>729</v>
      </c>
      <c r="AD7785" t="s">
        <v>729</v>
      </c>
      <c r="AE7785" t="s">
        <v>729</v>
      </c>
      <c r="AF7785" t="s">
        <v>729</v>
      </c>
      <c r="AG7785" t="str">
        <f>IFERROR(AH7785*0.1, "N/A")</f>
        <v>N/A</v>
      </c>
      <c r="AH7785" t="s">
        <v>729</v>
      </c>
      <c r="AI7785" t="s">
        <v>729</v>
      </c>
      <c r="AJ7785" t="s">
        <v>729</v>
      </c>
      <c r="AK7785" t="s">
        <v>729</v>
      </c>
    </row>
    <row r="7786" spans="1:37" x14ac:dyDescent="0.3">
      <c r="A7786">
        <v>7785</v>
      </c>
      <c r="B7786">
        <v>3.2</v>
      </c>
      <c r="C7786">
        <v>37.816699999999997</v>
      </c>
      <c r="D7786">
        <v>-2.2833000000000001</v>
      </c>
      <c r="E7786" t="s">
        <v>11612</v>
      </c>
      <c r="F7786" t="s">
        <v>11613</v>
      </c>
      <c r="G7786" t="s">
        <v>37</v>
      </c>
      <c r="H7786">
        <v>1987</v>
      </c>
      <c r="I7786">
        <v>22.443760000000001</v>
      </c>
      <c r="J7786">
        <v>12.35308</v>
      </c>
      <c r="K7786">
        <v>74</v>
      </c>
      <c r="L7786">
        <v>13.421419999999999</v>
      </c>
      <c r="M7786">
        <v>31.169419999999999</v>
      </c>
      <c r="N7786">
        <v>14.59069</v>
      </c>
      <c r="O7786">
        <v>16.57873</v>
      </c>
      <c r="P7786">
        <v>22.790690000000001</v>
      </c>
      <c r="Q7786">
        <v>20.395610000000001</v>
      </c>
      <c r="R7786">
        <v>23.96942</v>
      </c>
      <c r="S7786">
        <v>20.395610000000001</v>
      </c>
      <c r="T7786">
        <v>615.04390000000001</v>
      </c>
      <c r="U7786">
        <v>178.1371</v>
      </c>
      <c r="V7786">
        <v>1</v>
      </c>
      <c r="W7786">
        <v>105.3708</v>
      </c>
      <c r="X7786">
        <v>334.18099999999998</v>
      </c>
      <c r="Y7786">
        <v>6</v>
      </c>
      <c r="Z7786">
        <v>214.6063</v>
      </c>
      <c r="AA7786">
        <v>6</v>
      </c>
      <c r="AB7786">
        <v>18.836749999999999</v>
      </c>
      <c r="AC7786">
        <v>2.0399810000000001E-2</v>
      </c>
      <c r="AD7786">
        <v>1.9421980000000001</v>
      </c>
      <c r="AE7786">
        <v>0.76072689999999998</v>
      </c>
      <c r="AF7786">
        <v>996.77859999999998</v>
      </c>
      <c r="AG7786">
        <f>IFERROR(AH7786*0.1, "N/A")</f>
        <v>6.8000000000000007</v>
      </c>
      <c r="AH7786">
        <v>68</v>
      </c>
      <c r="AI7786">
        <v>309.3682</v>
      </c>
      <c r="AJ7786">
        <v>34.574689999999997</v>
      </c>
      <c r="AK7786">
        <v>48.212649999999996</v>
      </c>
    </row>
    <row r="7787" spans="1:37" x14ac:dyDescent="0.3">
      <c r="A7787">
        <v>7786</v>
      </c>
      <c r="B7787">
        <v>2.8</v>
      </c>
      <c r="C7787">
        <v>37.816699999999997</v>
      </c>
      <c r="D7787">
        <v>-2.2833000000000001</v>
      </c>
      <c r="E7787" t="s">
        <v>11612</v>
      </c>
      <c r="F7787" t="s">
        <v>11614</v>
      </c>
      <c r="G7787" t="s">
        <v>39</v>
      </c>
      <c r="H7787">
        <v>1987</v>
      </c>
      <c r="I7787">
        <v>22.443760000000001</v>
      </c>
      <c r="J7787">
        <v>12.35308</v>
      </c>
      <c r="K7787">
        <v>74</v>
      </c>
      <c r="L7787">
        <v>13.421419999999999</v>
      </c>
      <c r="M7787">
        <v>31.169419999999999</v>
      </c>
      <c r="N7787">
        <v>14.59069</v>
      </c>
      <c r="O7787">
        <v>16.57873</v>
      </c>
      <c r="P7787">
        <v>22.790690000000001</v>
      </c>
      <c r="Q7787">
        <v>20.395610000000001</v>
      </c>
      <c r="R7787">
        <v>23.96942</v>
      </c>
      <c r="S7787">
        <v>20.395610000000001</v>
      </c>
      <c r="T7787">
        <v>615.04390000000001</v>
      </c>
      <c r="U7787">
        <v>178.1371</v>
      </c>
      <c r="V7787">
        <v>1</v>
      </c>
      <c r="W7787">
        <v>105.3708</v>
      </c>
      <c r="X7787">
        <v>334.18099999999998</v>
      </c>
      <c r="Y7787">
        <v>6</v>
      </c>
      <c r="Z7787">
        <v>214.6063</v>
      </c>
      <c r="AA7787">
        <v>6</v>
      </c>
      <c r="AB7787">
        <v>18.836749999999999</v>
      </c>
      <c r="AC7787">
        <v>2.0399810000000001E-2</v>
      </c>
      <c r="AD7787">
        <v>1.9421980000000001</v>
      </c>
      <c r="AE7787">
        <v>0.76072689999999998</v>
      </c>
      <c r="AF7787">
        <v>996.77859999999998</v>
      </c>
      <c r="AG7787">
        <f>IFERROR(AH7787*0.1, "N/A")</f>
        <v>6.8000000000000007</v>
      </c>
      <c r="AH7787">
        <v>68</v>
      </c>
      <c r="AI7787">
        <v>309.3682</v>
      </c>
      <c r="AJ7787">
        <v>34.574689999999997</v>
      </c>
      <c r="AK7787">
        <v>48.212649999999996</v>
      </c>
    </row>
    <row r="7788" spans="1:37" x14ac:dyDescent="0.3">
      <c r="A7788">
        <v>7787</v>
      </c>
      <c r="B7788">
        <v>17.899999999999999</v>
      </c>
      <c r="C7788">
        <v>37.898200000000003</v>
      </c>
      <c r="D7788">
        <v>-2.36117</v>
      </c>
      <c r="E7788" t="s">
        <v>11615</v>
      </c>
      <c r="F7788" t="s">
        <v>11616</v>
      </c>
      <c r="G7788" t="s">
        <v>37</v>
      </c>
      <c r="H7788">
        <v>1998</v>
      </c>
      <c r="I7788">
        <v>22.5</v>
      </c>
      <c r="J7788">
        <v>12.2</v>
      </c>
      <c r="K7788">
        <v>73</v>
      </c>
      <c r="L7788">
        <v>13.54</v>
      </c>
      <c r="M7788">
        <v>31.3</v>
      </c>
      <c r="N7788">
        <v>14.7</v>
      </c>
      <c r="O7788">
        <v>16.600000000000001</v>
      </c>
      <c r="P7788">
        <v>22.8</v>
      </c>
      <c r="Q7788">
        <v>20.5</v>
      </c>
      <c r="R7788">
        <v>24</v>
      </c>
      <c r="S7788">
        <v>20.5</v>
      </c>
      <c r="T7788">
        <v>635</v>
      </c>
      <c r="U7788">
        <v>176</v>
      </c>
      <c r="V7788">
        <v>1</v>
      </c>
      <c r="W7788">
        <v>106</v>
      </c>
      <c r="X7788">
        <v>344</v>
      </c>
      <c r="Y7788">
        <v>7</v>
      </c>
      <c r="Z7788">
        <v>225</v>
      </c>
      <c r="AA7788">
        <v>7</v>
      </c>
      <c r="AB7788">
        <v>6.1948730000000003</v>
      </c>
      <c r="AC7788">
        <v>0.28697339999999999</v>
      </c>
      <c r="AD7788">
        <v>3.177597</v>
      </c>
      <c r="AE7788">
        <v>0.71260299999999999</v>
      </c>
      <c r="AF7788">
        <v>989.60389999999995</v>
      </c>
      <c r="AG7788">
        <f>IFERROR(AH7788*0.1, "N/A")</f>
        <v>6.5320420000000006</v>
      </c>
      <c r="AH7788">
        <v>65.320419999999999</v>
      </c>
      <c r="AI7788">
        <v>247.2131</v>
      </c>
      <c r="AJ7788">
        <v>35.15493</v>
      </c>
      <c r="AK7788">
        <v>49.531689999999998</v>
      </c>
    </row>
    <row r="7789" spans="1:37" x14ac:dyDescent="0.3">
      <c r="A7789">
        <v>7788</v>
      </c>
      <c r="B7789">
        <v>20</v>
      </c>
      <c r="C7789">
        <v>38.115299999999998</v>
      </c>
      <c r="D7789">
        <v>-2.4748299999999999</v>
      </c>
      <c r="E7789" t="s">
        <v>11617</v>
      </c>
      <c r="F7789" t="s">
        <v>11618</v>
      </c>
      <c r="G7789" t="s">
        <v>37</v>
      </c>
      <c r="H7789">
        <v>1998</v>
      </c>
      <c r="I7789">
        <v>23.55405</v>
      </c>
      <c r="J7789">
        <v>12</v>
      </c>
      <c r="K7789">
        <v>72</v>
      </c>
      <c r="L7789">
        <v>14.0838</v>
      </c>
      <c r="M7789">
        <v>32.354050000000001</v>
      </c>
      <c r="N7789">
        <v>15.754049999999999</v>
      </c>
      <c r="O7789">
        <v>16.600000000000001</v>
      </c>
      <c r="P7789">
        <v>24.1</v>
      </c>
      <c r="Q7789">
        <v>21.454049999999999</v>
      </c>
      <c r="R7789">
        <v>25.154050000000002</v>
      </c>
      <c r="S7789">
        <v>21.454049999999999</v>
      </c>
      <c r="T7789">
        <v>621.37850000000003</v>
      </c>
      <c r="U7789">
        <v>163.45949999999999</v>
      </c>
      <c r="V7789">
        <v>1</v>
      </c>
      <c r="W7789">
        <v>107.45950000000001</v>
      </c>
      <c r="X7789">
        <v>327.91899999999998</v>
      </c>
      <c r="Y7789">
        <v>8</v>
      </c>
      <c r="Z7789">
        <v>230.45949999999999</v>
      </c>
      <c r="AA7789">
        <v>8</v>
      </c>
      <c r="AB7789">
        <v>24.531669999999998</v>
      </c>
      <c r="AC7789">
        <v>7.2560239999999998E-2</v>
      </c>
      <c r="AD7789">
        <v>2.220523</v>
      </c>
      <c r="AE7789">
        <v>0.70482750000000005</v>
      </c>
      <c r="AF7789">
        <v>789.33799999999997</v>
      </c>
      <c r="AG7789">
        <f>IFERROR(AH7789*0.1, "N/A")</f>
        <v>6.6056340000000011</v>
      </c>
      <c r="AH7789">
        <v>66.056340000000006</v>
      </c>
      <c r="AI7789">
        <v>81.788700000000006</v>
      </c>
      <c r="AJ7789">
        <v>32</v>
      </c>
      <c r="AK7789">
        <v>54</v>
      </c>
    </row>
    <row r="7790" spans="1:37" x14ac:dyDescent="0.3">
      <c r="A7790">
        <v>7789</v>
      </c>
      <c r="B7790">
        <v>85.6</v>
      </c>
      <c r="C7790">
        <v>38.035499999999999</v>
      </c>
      <c r="D7790">
        <v>-2.4759000000000002</v>
      </c>
      <c r="E7790" t="s">
        <v>11619</v>
      </c>
      <c r="F7790" t="s">
        <v>11620</v>
      </c>
      <c r="G7790" t="s">
        <v>37</v>
      </c>
      <c r="H7790">
        <v>1996</v>
      </c>
      <c r="I7790">
        <v>23.2</v>
      </c>
      <c r="J7790">
        <v>12.1</v>
      </c>
      <c r="K7790">
        <v>72</v>
      </c>
      <c r="L7790">
        <v>14.06</v>
      </c>
      <c r="M7790">
        <v>32</v>
      </c>
      <c r="N7790">
        <v>15.4</v>
      </c>
      <c r="O7790">
        <v>16.600000000000001</v>
      </c>
      <c r="P7790">
        <v>23.7</v>
      </c>
      <c r="Q7790">
        <v>21.1</v>
      </c>
      <c r="R7790">
        <v>24.9</v>
      </c>
      <c r="S7790">
        <v>21.1</v>
      </c>
      <c r="T7790">
        <v>613</v>
      </c>
      <c r="U7790">
        <v>162</v>
      </c>
      <c r="V7790">
        <v>1</v>
      </c>
      <c r="W7790">
        <v>106</v>
      </c>
      <c r="X7790">
        <v>328</v>
      </c>
      <c r="Y7790">
        <v>6</v>
      </c>
      <c r="Z7790">
        <v>223</v>
      </c>
      <c r="AA7790">
        <v>6</v>
      </c>
      <c r="AB7790">
        <v>3.6406749999999999</v>
      </c>
      <c r="AC7790">
        <v>0.99992499999999995</v>
      </c>
      <c r="AD7790">
        <v>2.0665550000000001</v>
      </c>
      <c r="AE7790">
        <v>0.70766929999999995</v>
      </c>
      <c r="AF7790">
        <v>852.16200000000003</v>
      </c>
      <c r="AG7790">
        <f>IFERROR(AH7790*0.1, "N/A")</f>
        <v>6.7276410000000002</v>
      </c>
      <c r="AH7790">
        <v>67.276409999999998</v>
      </c>
      <c r="AI7790">
        <v>37.803049999999999</v>
      </c>
      <c r="AJ7790">
        <v>31.33099</v>
      </c>
      <c r="AK7790">
        <v>51.799300000000002</v>
      </c>
    </row>
    <row r="7791" spans="1:37" x14ac:dyDescent="0.3">
      <c r="A7791">
        <v>7790</v>
      </c>
      <c r="B7791">
        <v>82.4</v>
      </c>
      <c r="C7791">
        <v>38.0167</v>
      </c>
      <c r="D7791">
        <v>-2.48333</v>
      </c>
      <c r="E7791" t="s">
        <v>11621</v>
      </c>
      <c r="F7791" t="s">
        <v>11622</v>
      </c>
      <c r="G7791" t="s">
        <v>37</v>
      </c>
      <c r="H7791">
        <v>1996</v>
      </c>
      <c r="I7791">
        <v>23.029699999999998</v>
      </c>
      <c r="J7791">
        <v>12</v>
      </c>
      <c r="K7791">
        <v>71.124780000000001</v>
      </c>
      <c r="L7791">
        <v>14.39311</v>
      </c>
      <c r="M7791">
        <v>31.91722</v>
      </c>
      <c r="N7791">
        <v>15.229699999999999</v>
      </c>
      <c r="O7791">
        <v>16.687519999999999</v>
      </c>
      <c r="P7791">
        <v>23.537960000000002</v>
      </c>
      <c r="Q7791">
        <v>20.9297</v>
      </c>
      <c r="R7791">
        <v>24.717220000000001</v>
      </c>
      <c r="S7791">
        <v>20.9297</v>
      </c>
      <c r="T7791">
        <v>622.51139999999998</v>
      </c>
      <c r="U7791">
        <v>164.24250000000001</v>
      </c>
      <c r="V7791">
        <v>1</v>
      </c>
      <c r="W7791">
        <v>106.413</v>
      </c>
      <c r="X7791">
        <v>333.77330000000001</v>
      </c>
      <c r="Y7791">
        <v>7</v>
      </c>
      <c r="Z7791">
        <v>225.11779999999999</v>
      </c>
      <c r="AA7791">
        <v>7</v>
      </c>
      <c r="AB7791">
        <v>9.5688840000000006</v>
      </c>
      <c r="AC7791">
        <v>3.7582009999999999E-2</v>
      </c>
      <c r="AD7791">
        <v>2.524359</v>
      </c>
      <c r="AE7791">
        <v>0.70835490000000001</v>
      </c>
      <c r="AF7791">
        <v>892.02110000000005</v>
      </c>
      <c r="AG7791">
        <f>IFERROR(AH7791*0.1, "N/A")</f>
        <v>6.3000000000000007</v>
      </c>
      <c r="AH7791">
        <v>63</v>
      </c>
      <c r="AI7791">
        <v>195.37639999999999</v>
      </c>
      <c r="AJ7791">
        <v>32.550089999999997</v>
      </c>
      <c r="AK7791">
        <v>52.03866</v>
      </c>
    </row>
    <row r="7792" spans="1:37" x14ac:dyDescent="0.3">
      <c r="A7792">
        <v>7791</v>
      </c>
      <c r="B7792">
        <v>25.1</v>
      </c>
      <c r="C7792">
        <v>40.538899999999998</v>
      </c>
      <c r="D7792">
        <v>-2.52278</v>
      </c>
      <c r="E7792" t="s">
        <v>11623</v>
      </c>
      <c r="F7792" t="s">
        <v>11624</v>
      </c>
      <c r="G7792" t="s">
        <v>39</v>
      </c>
      <c r="H7792">
        <v>1987</v>
      </c>
      <c r="I7792">
        <v>26.8</v>
      </c>
      <c r="J7792">
        <v>7.2</v>
      </c>
      <c r="K7792">
        <v>67</v>
      </c>
      <c r="L7792">
        <v>10.62</v>
      </c>
      <c r="M7792">
        <v>32</v>
      </c>
      <c r="N7792">
        <v>21.4</v>
      </c>
      <c r="O7792">
        <v>10.6</v>
      </c>
      <c r="P7792">
        <v>26.9</v>
      </c>
      <c r="Q7792">
        <v>27.7</v>
      </c>
      <c r="R7792">
        <v>28</v>
      </c>
      <c r="S7792">
        <v>25.3</v>
      </c>
      <c r="T7792">
        <v>1068</v>
      </c>
      <c r="U7792">
        <v>326</v>
      </c>
      <c r="V7792">
        <v>6</v>
      </c>
      <c r="W7792">
        <v>92</v>
      </c>
      <c r="X7792">
        <v>619</v>
      </c>
      <c r="Y7792">
        <v>58</v>
      </c>
      <c r="Z7792">
        <v>184</v>
      </c>
      <c r="AA7792">
        <v>194</v>
      </c>
      <c r="AB7792">
        <v>5.231986</v>
      </c>
      <c r="AC7792">
        <v>1.367259E-2</v>
      </c>
      <c r="AD7792">
        <v>3.4512019999999999</v>
      </c>
      <c r="AE7792">
        <v>0.61778580000000005</v>
      </c>
      <c r="AF7792">
        <v>17.286470000000001</v>
      </c>
      <c r="AG7792">
        <f>IFERROR(AH7792*0.1, "N/A")</f>
        <v>6.2558880000000006</v>
      </c>
      <c r="AH7792">
        <v>62.558880000000002</v>
      </c>
      <c r="AI7792">
        <v>200.01249999999999</v>
      </c>
      <c r="AJ7792">
        <v>26.058</v>
      </c>
      <c r="AK7792">
        <v>53.346220000000002</v>
      </c>
    </row>
    <row r="7793" spans="1:37" x14ac:dyDescent="0.3">
      <c r="A7793">
        <v>7792</v>
      </c>
      <c r="B7793">
        <v>83.6</v>
      </c>
      <c r="C7793">
        <v>38.200299999999999</v>
      </c>
      <c r="D7793">
        <v>-2.5457700000000001</v>
      </c>
      <c r="E7793" t="s">
        <v>11625</v>
      </c>
      <c r="F7793" t="s">
        <v>11626</v>
      </c>
      <c r="G7793" t="s">
        <v>37</v>
      </c>
      <c r="H7793">
        <v>1992</v>
      </c>
      <c r="I7793">
        <v>24.1</v>
      </c>
      <c r="J7793">
        <v>11.9</v>
      </c>
      <c r="K7793">
        <v>71.798599999999993</v>
      </c>
      <c r="L7793">
        <v>14.496180000000001</v>
      </c>
      <c r="M7793">
        <v>32.799999999999997</v>
      </c>
      <c r="N7793">
        <v>16.279859999999999</v>
      </c>
      <c r="O7793">
        <v>16.520140000000001</v>
      </c>
      <c r="P7793">
        <v>24.6</v>
      </c>
      <c r="Q7793">
        <v>21.979859999999999</v>
      </c>
      <c r="R7793">
        <v>25.779859999999999</v>
      </c>
      <c r="S7793">
        <v>21.979859999999999</v>
      </c>
      <c r="T7793">
        <v>647.19439999999997</v>
      </c>
      <c r="U7793">
        <v>160</v>
      </c>
      <c r="V7793">
        <v>2.7985989999999998</v>
      </c>
      <c r="W7793">
        <v>102.4028</v>
      </c>
      <c r="X7793">
        <v>326</v>
      </c>
      <c r="Y7793">
        <v>12.7986</v>
      </c>
      <c r="Z7793">
        <v>244.79859999999999</v>
      </c>
      <c r="AA7793">
        <v>12.7986</v>
      </c>
      <c r="AB7793">
        <v>10.77704</v>
      </c>
      <c r="AC7793">
        <v>2.1176980000000001E-2</v>
      </c>
      <c r="AD7793">
        <v>2.0199579999999999</v>
      </c>
      <c r="AE7793">
        <v>0.70625470000000001</v>
      </c>
      <c r="AF7793">
        <v>693.44309999999996</v>
      </c>
      <c r="AG7793">
        <f>IFERROR(AH7793*0.1, "N/A")</f>
        <v>6.6395799999999996</v>
      </c>
      <c r="AH7793">
        <v>66.395799999999994</v>
      </c>
      <c r="AI7793">
        <v>75.81277</v>
      </c>
      <c r="AJ7793">
        <v>29.2014</v>
      </c>
      <c r="AK7793">
        <v>58.194400000000002</v>
      </c>
    </row>
    <row r="7794" spans="1:37" x14ac:dyDescent="0.3">
      <c r="A7794">
        <v>7793</v>
      </c>
      <c r="B7794">
        <v>95.5</v>
      </c>
      <c r="C7794">
        <v>38.135899999999999</v>
      </c>
      <c r="D7794">
        <v>-2.5511599999999999</v>
      </c>
      <c r="E7794" t="s">
        <v>11627</v>
      </c>
      <c r="F7794" t="s">
        <v>11628</v>
      </c>
      <c r="G7794" t="s">
        <v>37</v>
      </c>
      <c r="H7794">
        <v>1996</v>
      </c>
      <c r="I7794">
        <v>23.7</v>
      </c>
      <c r="J7794">
        <v>11.9</v>
      </c>
      <c r="K7794">
        <v>71</v>
      </c>
      <c r="L7794">
        <v>14.56</v>
      </c>
      <c r="M7794">
        <v>32.4</v>
      </c>
      <c r="N7794">
        <v>15.8</v>
      </c>
      <c r="O7794">
        <v>16.600000000000001</v>
      </c>
      <c r="P7794">
        <v>24.3</v>
      </c>
      <c r="Q7794">
        <v>21.7</v>
      </c>
      <c r="R7794">
        <v>25.3</v>
      </c>
      <c r="S7794">
        <v>21.5</v>
      </c>
      <c r="T7794">
        <v>624</v>
      </c>
      <c r="U7794">
        <v>159</v>
      </c>
      <c r="V7794">
        <v>1</v>
      </c>
      <c r="W7794">
        <v>106</v>
      </c>
      <c r="X7794">
        <v>324</v>
      </c>
      <c r="Y7794">
        <v>8</v>
      </c>
      <c r="Z7794">
        <v>237</v>
      </c>
      <c r="AA7794">
        <v>9</v>
      </c>
      <c r="AB7794">
        <v>11.32799</v>
      </c>
      <c r="AC7794">
        <v>8.2628770000000004E-2</v>
      </c>
      <c r="AD7794">
        <v>0.99831760000000003</v>
      </c>
      <c r="AE7794">
        <v>0.71892080000000003</v>
      </c>
      <c r="AF7794">
        <v>770.33799999999997</v>
      </c>
      <c r="AG7794">
        <f>IFERROR(AH7794*0.1, "N/A")</f>
        <v>6.2521890000000004</v>
      </c>
      <c r="AH7794">
        <v>62.521889999999999</v>
      </c>
      <c r="AI7794">
        <v>95.569400000000002</v>
      </c>
      <c r="AJ7794">
        <v>27.970230000000001</v>
      </c>
      <c r="AK7794">
        <v>60.050789999999999</v>
      </c>
    </row>
    <row r="7795" spans="1:37" x14ac:dyDescent="0.3">
      <c r="A7795">
        <v>7794</v>
      </c>
      <c r="B7795">
        <v>96.3</v>
      </c>
      <c r="C7795">
        <v>38.151299999999999</v>
      </c>
      <c r="D7795">
        <v>-2.5766499999999999</v>
      </c>
      <c r="E7795" t="s">
        <v>11629</v>
      </c>
      <c r="F7795" t="s">
        <v>11630</v>
      </c>
      <c r="G7795" t="s">
        <v>37</v>
      </c>
      <c r="H7795">
        <v>1991</v>
      </c>
      <c r="I7795">
        <v>23.7</v>
      </c>
      <c r="J7795">
        <v>11.9</v>
      </c>
      <c r="K7795">
        <v>72</v>
      </c>
      <c r="L7795">
        <v>14.63</v>
      </c>
      <c r="M7795">
        <v>32.4</v>
      </c>
      <c r="N7795">
        <v>15.9</v>
      </c>
      <c r="O7795">
        <v>16.5</v>
      </c>
      <c r="P7795">
        <v>24.4</v>
      </c>
      <c r="Q7795">
        <v>21.6</v>
      </c>
      <c r="R7795">
        <v>25.3</v>
      </c>
      <c r="S7795">
        <v>21.6</v>
      </c>
      <c r="T7795">
        <v>630</v>
      </c>
      <c r="U7795">
        <v>157</v>
      </c>
      <c r="V7795">
        <v>2</v>
      </c>
      <c r="W7795">
        <v>105</v>
      </c>
      <c r="X7795">
        <v>323</v>
      </c>
      <c r="Y7795">
        <v>10</v>
      </c>
      <c r="Z7795">
        <v>240</v>
      </c>
      <c r="AA7795">
        <v>10</v>
      </c>
      <c r="AB7795">
        <v>4.7121399999999998</v>
      </c>
      <c r="AC7795">
        <v>8.0636570000000005E-2</v>
      </c>
      <c r="AD7795">
        <v>1.0621449999999999</v>
      </c>
      <c r="AE7795">
        <v>0.71065270000000003</v>
      </c>
      <c r="AF7795">
        <v>744.04219999999998</v>
      </c>
      <c r="AG7795">
        <f>IFERROR(AH7795*0.1, "N/A")</f>
        <v>6.6000000000000005</v>
      </c>
      <c r="AH7795">
        <v>66</v>
      </c>
      <c r="AI7795">
        <v>156.14439999999999</v>
      </c>
      <c r="AJ7795">
        <v>33</v>
      </c>
      <c r="AK7795">
        <v>55</v>
      </c>
    </row>
    <row r="7796" spans="1:37" x14ac:dyDescent="0.3">
      <c r="A7796">
        <v>7795</v>
      </c>
      <c r="B7796">
        <v>0</v>
      </c>
      <c r="C7796">
        <v>38.151299999999999</v>
      </c>
      <c r="D7796">
        <v>-2.5766499999999999</v>
      </c>
      <c r="E7796" t="s">
        <v>11629</v>
      </c>
      <c r="F7796" t="s">
        <v>11631</v>
      </c>
      <c r="G7796" t="s">
        <v>39</v>
      </c>
      <c r="H7796">
        <v>1991</v>
      </c>
      <c r="I7796">
        <v>23.7</v>
      </c>
      <c r="J7796">
        <v>11.9</v>
      </c>
      <c r="K7796">
        <v>72</v>
      </c>
      <c r="L7796">
        <v>14.63</v>
      </c>
      <c r="M7796">
        <v>32.4</v>
      </c>
      <c r="N7796">
        <v>15.9</v>
      </c>
      <c r="O7796">
        <v>16.5</v>
      </c>
      <c r="P7796">
        <v>24.4</v>
      </c>
      <c r="Q7796">
        <v>21.6</v>
      </c>
      <c r="R7796">
        <v>25.3</v>
      </c>
      <c r="S7796">
        <v>21.6</v>
      </c>
      <c r="T7796">
        <v>630</v>
      </c>
      <c r="U7796">
        <v>157</v>
      </c>
      <c r="V7796">
        <v>2</v>
      </c>
      <c r="W7796">
        <v>105</v>
      </c>
      <c r="X7796">
        <v>323</v>
      </c>
      <c r="Y7796">
        <v>10</v>
      </c>
      <c r="Z7796">
        <v>240</v>
      </c>
      <c r="AA7796">
        <v>10</v>
      </c>
      <c r="AB7796">
        <v>4.7121399999999998</v>
      </c>
      <c r="AC7796">
        <v>8.0636570000000005E-2</v>
      </c>
      <c r="AD7796">
        <v>1.0621449999999999</v>
      </c>
      <c r="AE7796">
        <v>0.71065270000000003</v>
      </c>
      <c r="AF7796">
        <v>744.04219999999998</v>
      </c>
      <c r="AG7796">
        <f>IFERROR(AH7796*0.1, "N/A")</f>
        <v>6.6000000000000005</v>
      </c>
      <c r="AH7796">
        <v>66</v>
      </c>
      <c r="AI7796">
        <v>156.14439999999999</v>
      </c>
      <c r="AJ7796">
        <v>33</v>
      </c>
      <c r="AK7796">
        <v>55</v>
      </c>
    </row>
    <row r="7797" spans="1:37" x14ac:dyDescent="0.3">
      <c r="A7797">
        <v>7796</v>
      </c>
      <c r="B7797">
        <v>7.8</v>
      </c>
      <c r="C7797">
        <v>38.075699999999998</v>
      </c>
      <c r="D7797">
        <v>-2.59538</v>
      </c>
      <c r="E7797" t="s">
        <v>11632</v>
      </c>
      <c r="F7797" t="s">
        <v>11633</v>
      </c>
      <c r="G7797" t="s">
        <v>37</v>
      </c>
      <c r="H7797">
        <v>1995</v>
      </c>
      <c r="I7797">
        <v>23.1</v>
      </c>
      <c r="J7797">
        <v>11.9</v>
      </c>
      <c r="K7797">
        <v>72</v>
      </c>
      <c r="L7797">
        <v>14.19674</v>
      </c>
      <c r="M7797">
        <v>31.805430000000001</v>
      </c>
      <c r="N7797">
        <v>15.305429999999999</v>
      </c>
      <c r="O7797">
        <v>16.5</v>
      </c>
      <c r="P7797">
        <v>23.7</v>
      </c>
      <c r="Q7797">
        <v>20.905429999999999</v>
      </c>
      <c r="R7797">
        <v>24.605429999999998</v>
      </c>
      <c r="S7797">
        <v>20.905429999999999</v>
      </c>
      <c r="T7797">
        <v>626.83709999999996</v>
      </c>
      <c r="U7797">
        <v>161.94569999999999</v>
      </c>
      <c r="V7797">
        <v>1</v>
      </c>
      <c r="W7797">
        <v>105</v>
      </c>
      <c r="X7797">
        <v>331.89139999999998</v>
      </c>
      <c r="Y7797">
        <v>8</v>
      </c>
      <c r="Z7797">
        <v>230.94569999999999</v>
      </c>
      <c r="AA7797">
        <v>8</v>
      </c>
      <c r="AB7797">
        <v>42.765509999999999</v>
      </c>
      <c r="AC7797">
        <v>9.9300710000000004E-3</v>
      </c>
      <c r="AD7797">
        <v>1.253816</v>
      </c>
      <c r="AE7797">
        <v>0.76060320000000003</v>
      </c>
      <c r="AF7797">
        <v>867.72680000000003</v>
      </c>
      <c r="AG7797">
        <f>IFERROR(AH7797*0.1, "N/A")</f>
        <v>6.9054289999999998</v>
      </c>
      <c r="AH7797">
        <v>69.054289999999995</v>
      </c>
      <c r="AI7797">
        <v>97.945599999999999</v>
      </c>
      <c r="AJ7797">
        <v>36.054290000000002</v>
      </c>
      <c r="AK7797">
        <v>48.891419999999997</v>
      </c>
    </row>
    <row r="7798" spans="1:37" x14ac:dyDescent="0.3">
      <c r="A7798">
        <v>7797</v>
      </c>
      <c r="B7798">
        <v>4.4000000000000004</v>
      </c>
      <c r="C7798">
        <v>37.999099999999999</v>
      </c>
      <c r="D7798">
        <v>-2.6042999999999998</v>
      </c>
      <c r="E7798" t="s">
        <v>11634</v>
      </c>
      <c r="F7798" t="s">
        <v>11635</v>
      </c>
      <c r="G7798" t="s">
        <v>37</v>
      </c>
      <c r="H7798">
        <v>1998</v>
      </c>
      <c r="I7798">
        <v>22.708279999999998</v>
      </c>
      <c r="J7798">
        <v>11.9</v>
      </c>
      <c r="K7798">
        <v>71.917249999999996</v>
      </c>
      <c r="L7798">
        <v>14.10158</v>
      </c>
      <c r="M7798">
        <v>31.50827</v>
      </c>
      <c r="N7798">
        <v>15</v>
      </c>
      <c r="O7798">
        <v>16.50827</v>
      </c>
      <c r="P7798">
        <v>23.30827</v>
      </c>
      <c r="Q7798">
        <v>20.80827</v>
      </c>
      <c r="R7798">
        <v>24.30827</v>
      </c>
      <c r="S7798">
        <v>20.6</v>
      </c>
      <c r="T7798">
        <v>633.42079999999999</v>
      </c>
      <c r="U7798">
        <v>163.83449999999999</v>
      </c>
      <c r="V7798">
        <v>1</v>
      </c>
      <c r="W7798">
        <v>104</v>
      </c>
      <c r="X7798">
        <v>334.7518</v>
      </c>
      <c r="Y7798">
        <v>7</v>
      </c>
      <c r="Z7798">
        <v>231.83449999999999</v>
      </c>
      <c r="AA7798">
        <v>8</v>
      </c>
      <c r="AB7798">
        <v>2.7647930000000001</v>
      </c>
      <c r="AC7798">
        <v>2.6505169999999998</v>
      </c>
      <c r="AD7798">
        <v>2.8969550000000002</v>
      </c>
      <c r="AE7798">
        <v>0.69972040000000002</v>
      </c>
      <c r="AF7798">
        <v>923.11270000000002</v>
      </c>
      <c r="AG7798">
        <f>IFERROR(AH7798*0.1, "N/A")</f>
        <v>6.2248240000000008</v>
      </c>
      <c r="AH7798">
        <v>62.248240000000003</v>
      </c>
      <c r="AI7798">
        <v>93.701599999999999</v>
      </c>
      <c r="AJ7798">
        <v>38.834510000000002</v>
      </c>
      <c r="AK7798">
        <v>44.917250000000003</v>
      </c>
    </row>
    <row r="7799" spans="1:37" x14ac:dyDescent="0.3">
      <c r="A7799">
        <v>7798</v>
      </c>
      <c r="B7799">
        <v>80.2</v>
      </c>
      <c r="C7799">
        <v>38.221800000000002</v>
      </c>
      <c r="D7799">
        <v>-2.61185</v>
      </c>
      <c r="E7799" t="s">
        <v>11636</v>
      </c>
      <c r="F7799" t="s">
        <v>11637</v>
      </c>
      <c r="G7799" t="s">
        <v>37</v>
      </c>
      <c r="H7799">
        <v>2004</v>
      </c>
      <c r="I7799">
        <v>24.1</v>
      </c>
      <c r="J7799">
        <v>11.8</v>
      </c>
      <c r="K7799">
        <v>71</v>
      </c>
      <c r="L7799">
        <v>14.5</v>
      </c>
      <c r="M7799">
        <v>32.799999999999997</v>
      </c>
      <c r="N7799">
        <v>16.399999999999999</v>
      </c>
      <c r="O7799">
        <v>16.399999999999999</v>
      </c>
      <c r="P7799">
        <v>24.7</v>
      </c>
      <c r="Q7799">
        <v>22</v>
      </c>
      <c r="R7799">
        <v>25.7</v>
      </c>
      <c r="S7799">
        <v>22</v>
      </c>
      <c r="T7799">
        <v>664</v>
      </c>
      <c r="U7799">
        <v>158</v>
      </c>
      <c r="V7799">
        <v>3</v>
      </c>
      <c r="W7799">
        <v>100</v>
      </c>
      <c r="X7799">
        <v>326</v>
      </c>
      <c r="Y7799">
        <v>15</v>
      </c>
      <c r="Z7799">
        <v>251</v>
      </c>
      <c r="AA7799">
        <v>15</v>
      </c>
      <c r="AB7799">
        <v>10.35641</v>
      </c>
      <c r="AC7799">
        <v>8.5391579999999998E-3</v>
      </c>
      <c r="AD7799">
        <v>1.7051449999999999</v>
      </c>
      <c r="AE7799">
        <v>0.70372820000000003</v>
      </c>
      <c r="AF7799">
        <v>672.9701</v>
      </c>
      <c r="AG7799">
        <f>IFERROR(AH7799*0.1, "N/A")</f>
        <v>6.6829530000000013</v>
      </c>
      <c r="AH7799">
        <v>66.829530000000005</v>
      </c>
      <c r="AI7799">
        <v>59.877850000000002</v>
      </c>
      <c r="AJ7799">
        <v>28.170470000000002</v>
      </c>
      <c r="AK7799">
        <v>60</v>
      </c>
    </row>
    <row r="7800" spans="1:37" x14ac:dyDescent="0.3">
      <c r="A7800">
        <v>7799</v>
      </c>
      <c r="B7800">
        <v>0.4</v>
      </c>
      <c r="C7800">
        <v>38.170099999999998</v>
      </c>
      <c r="D7800">
        <v>-2.6899799999999998</v>
      </c>
      <c r="E7800" t="s">
        <v>11638</v>
      </c>
      <c r="F7800" t="s">
        <v>11639</v>
      </c>
      <c r="G7800" t="s">
        <v>37</v>
      </c>
      <c r="H7800">
        <v>2001</v>
      </c>
      <c r="I7800">
        <v>23.8</v>
      </c>
      <c r="J7800">
        <v>11.8</v>
      </c>
      <c r="K7800">
        <v>71</v>
      </c>
      <c r="L7800">
        <v>14.69</v>
      </c>
      <c r="M7800">
        <v>32.4</v>
      </c>
      <c r="N7800">
        <v>16</v>
      </c>
      <c r="O7800">
        <v>16.399999999999999</v>
      </c>
      <c r="P7800">
        <v>24.5</v>
      </c>
      <c r="Q7800">
        <v>21.6</v>
      </c>
      <c r="R7800">
        <v>25.4</v>
      </c>
      <c r="S7800">
        <v>21.6</v>
      </c>
      <c r="T7800">
        <v>645</v>
      </c>
      <c r="U7800">
        <v>153</v>
      </c>
      <c r="V7800">
        <v>2</v>
      </c>
      <c r="W7800">
        <v>101</v>
      </c>
      <c r="X7800">
        <v>321</v>
      </c>
      <c r="Y7800">
        <v>12</v>
      </c>
      <c r="Z7800">
        <v>243</v>
      </c>
      <c r="AA7800">
        <v>12</v>
      </c>
      <c r="AB7800">
        <v>2.3385579999999999</v>
      </c>
      <c r="AC7800">
        <v>0.37200070000000002</v>
      </c>
      <c r="AD7800">
        <v>2.614897</v>
      </c>
      <c r="AE7800">
        <v>0.63121479999999996</v>
      </c>
      <c r="AF7800">
        <v>738.8451</v>
      </c>
      <c r="AG7800">
        <f>IFERROR(AH7800*0.1, "N/A")</f>
        <v>6.5338030000000007</v>
      </c>
      <c r="AH7800">
        <v>65.338030000000003</v>
      </c>
      <c r="AI7800">
        <v>81.121920000000003</v>
      </c>
      <c r="AJ7800">
        <v>35.887320000000003</v>
      </c>
      <c r="AK7800">
        <v>49.225349999999999</v>
      </c>
    </row>
    <row r="7801" spans="1:37" x14ac:dyDescent="0.3">
      <c r="A7801">
        <v>7800</v>
      </c>
      <c r="B7801">
        <v>0</v>
      </c>
      <c r="C7801">
        <v>40.019199999999998</v>
      </c>
      <c r="D7801">
        <v>-3.1868500000000002</v>
      </c>
      <c r="E7801" t="s">
        <v>11640</v>
      </c>
      <c r="F7801" t="s">
        <v>11641</v>
      </c>
      <c r="G7801" t="s">
        <v>37</v>
      </c>
      <c r="H7801">
        <v>1993</v>
      </c>
      <c r="I7801">
        <v>26.2</v>
      </c>
      <c r="J7801">
        <v>7.9</v>
      </c>
      <c r="K7801">
        <v>68</v>
      </c>
      <c r="L7801">
        <v>11.56</v>
      </c>
      <c r="M7801">
        <v>32.4</v>
      </c>
      <c r="N7801">
        <v>20.9</v>
      </c>
      <c r="O7801">
        <v>11.5</v>
      </c>
      <c r="P7801">
        <v>26.2</v>
      </c>
      <c r="Q7801">
        <v>27.3</v>
      </c>
      <c r="R7801">
        <v>27.5</v>
      </c>
      <c r="S7801">
        <v>24.6</v>
      </c>
      <c r="T7801">
        <v>1008</v>
      </c>
      <c r="U7801">
        <v>237</v>
      </c>
      <c r="V7801">
        <v>9</v>
      </c>
      <c r="W7801">
        <v>74</v>
      </c>
      <c r="X7801">
        <v>533</v>
      </c>
      <c r="Y7801">
        <v>57</v>
      </c>
      <c r="Z7801">
        <v>205</v>
      </c>
      <c r="AA7801">
        <v>287</v>
      </c>
      <c r="AB7801">
        <v>0.18609120000000001</v>
      </c>
      <c r="AC7801">
        <v>4.9186459999999999</v>
      </c>
      <c r="AD7801">
        <v>0.95394570000000001</v>
      </c>
      <c r="AE7801">
        <v>0.66394169999999997</v>
      </c>
      <c r="AF7801">
        <v>14.32042</v>
      </c>
      <c r="AG7801">
        <f>IFERROR(AH7801*0.1, "N/A")</f>
        <v>6.8610919999999993</v>
      </c>
      <c r="AH7801">
        <v>68.610919999999993</v>
      </c>
      <c r="AI7801">
        <v>182.39070000000001</v>
      </c>
      <c r="AJ7801">
        <v>30.357389999999999</v>
      </c>
      <c r="AK7801">
        <v>48.908450000000002</v>
      </c>
    </row>
    <row r="7802" spans="1:37" x14ac:dyDescent="0.3">
      <c r="A7802">
        <v>7801</v>
      </c>
      <c r="B7802">
        <v>69.900000000000006</v>
      </c>
      <c r="C7802">
        <v>40.019199999999998</v>
      </c>
      <c r="D7802">
        <v>-3.1868500000000002</v>
      </c>
      <c r="E7802" t="s">
        <v>11640</v>
      </c>
      <c r="F7802" t="s">
        <v>11642</v>
      </c>
      <c r="G7802" t="s">
        <v>39</v>
      </c>
      <c r="H7802">
        <v>1993</v>
      </c>
      <c r="I7802">
        <v>26.2</v>
      </c>
      <c r="J7802">
        <v>7.9</v>
      </c>
      <c r="K7802">
        <v>68</v>
      </c>
      <c r="L7802">
        <v>11.56</v>
      </c>
      <c r="M7802">
        <v>32.4</v>
      </c>
      <c r="N7802">
        <v>20.9</v>
      </c>
      <c r="O7802">
        <v>11.5</v>
      </c>
      <c r="P7802">
        <v>26.2</v>
      </c>
      <c r="Q7802">
        <v>27.3</v>
      </c>
      <c r="R7802">
        <v>27.5</v>
      </c>
      <c r="S7802">
        <v>24.6</v>
      </c>
      <c r="T7802">
        <v>1008</v>
      </c>
      <c r="U7802">
        <v>237</v>
      </c>
      <c r="V7802">
        <v>9</v>
      </c>
      <c r="W7802">
        <v>74</v>
      </c>
      <c r="X7802">
        <v>533</v>
      </c>
      <c r="Y7802">
        <v>57</v>
      </c>
      <c r="Z7802">
        <v>205</v>
      </c>
      <c r="AA7802">
        <v>287</v>
      </c>
      <c r="AB7802">
        <v>0.18609120000000001</v>
      </c>
      <c r="AC7802">
        <v>4.9186459999999999</v>
      </c>
      <c r="AD7802">
        <v>0.95394570000000001</v>
      </c>
      <c r="AE7802">
        <v>0.66394169999999997</v>
      </c>
      <c r="AF7802">
        <v>14.32042</v>
      </c>
      <c r="AG7802">
        <f>IFERROR(AH7802*0.1, "N/A")</f>
        <v>6.8610919999999993</v>
      </c>
      <c r="AH7802">
        <v>68.610919999999993</v>
      </c>
      <c r="AI7802">
        <v>182.39070000000001</v>
      </c>
      <c r="AJ7802">
        <v>30.357389999999999</v>
      </c>
      <c r="AK7802">
        <v>48.908450000000002</v>
      </c>
    </row>
    <row r="7803" spans="1:37" x14ac:dyDescent="0.3">
      <c r="A7803">
        <v>7802</v>
      </c>
      <c r="B7803">
        <v>17.5</v>
      </c>
      <c r="C7803">
        <v>40.116700000000002</v>
      </c>
      <c r="D7803">
        <v>-3.2166700000000001</v>
      </c>
      <c r="E7803" t="s">
        <v>11643</v>
      </c>
      <c r="F7803" t="s">
        <v>11644</v>
      </c>
      <c r="G7803" t="s">
        <v>39</v>
      </c>
      <c r="H7803">
        <v>1987</v>
      </c>
      <c r="I7803">
        <v>26.3</v>
      </c>
      <c r="J7803">
        <v>7.6</v>
      </c>
      <c r="K7803">
        <v>68.76491</v>
      </c>
      <c r="L7803">
        <v>10.73747</v>
      </c>
      <c r="M7803">
        <v>32.299999999999997</v>
      </c>
      <c r="N7803">
        <v>21.276489999999999</v>
      </c>
      <c r="O7803">
        <v>11.02351</v>
      </c>
      <c r="P7803">
        <v>26.338239999999999</v>
      </c>
      <c r="Q7803">
        <v>27.21912</v>
      </c>
      <c r="R7803">
        <v>27.519120000000001</v>
      </c>
      <c r="S7803">
        <v>24.867719999999998</v>
      </c>
      <c r="T7803">
        <v>1095.2159999999999</v>
      </c>
      <c r="U7803">
        <v>294.2912</v>
      </c>
      <c r="V7803">
        <v>6</v>
      </c>
      <c r="W7803">
        <v>86.601749999999996</v>
      </c>
      <c r="X7803">
        <v>632.70180000000005</v>
      </c>
      <c r="Y7803">
        <v>50</v>
      </c>
      <c r="Z7803">
        <v>222.3228</v>
      </c>
      <c r="AA7803">
        <v>303.47890000000001</v>
      </c>
      <c r="AB7803">
        <v>0.68912289999999998</v>
      </c>
      <c r="AC7803">
        <v>1.892301</v>
      </c>
      <c r="AD7803">
        <v>0.6520724</v>
      </c>
      <c r="AE7803">
        <v>0.6839054</v>
      </c>
      <c r="AF7803">
        <v>7.3140349999999996</v>
      </c>
      <c r="AG7803">
        <f>IFERROR(AH7803*0.1, "N/A")</f>
        <v>6.3557890000000006</v>
      </c>
      <c r="AH7803">
        <v>63.55789</v>
      </c>
      <c r="AI7803">
        <v>175.73679999999999</v>
      </c>
      <c r="AJ7803">
        <v>28</v>
      </c>
      <c r="AK7803">
        <v>51.278950000000002</v>
      </c>
    </row>
    <row r="7804" spans="1:37" x14ac:dyDescent="0.3">
      <c r="A7804">
        <v>7803</v>
      </c>
      <c r="B7804">
        <v>5.3</v>
      </c>
      <c r="C7804">
        <v>37.735999999999997</v>
      </c>
      <c r="D7804">
        <v>-3.29582</v>
      </c>
      <c r="E7804" t="s">
        <v>11645</v>
      </c>
      <c r="F7804" t="s">
        <v>11646</v>
      </c>
      <c r="G7804" t="s">
        <v>37</v>
      </c>
      <c r="H7804">
        <v>1978</v>
      </c>
      <c r="I7804">
        <v>22.5</v>
      </c>
      <c r="J7804">
        <v>11.8</v>
      </c>
      <c r="K7804">
        <v>70</v>
      </c>
      <c r="L7804">
        <v>16.04</v>
      </c>
      <c r="M7804">
        <v>31.6</v>
      </c>
      <c r="N7804">
        <v>14.9</v>
      </c>
      <c r="O7804">
        <v>16.7</v>
      </c>
      <c r="P7804">
        <v>23.2</v>
      </c>
      <c r="Q7804">
        <v>20.399999999999999</v>
      </c>
      <c r="R7804">
        <v>24.3</v>
      </c>
      <c r="S7804">
        <v>20.2</v>
      </c>
      <c r="T7804">
        <v>693</v>
      </c>
      <c r="U7804">
        <v>182</v>
      </c>
      <c r="V7804">
        <v>9</v>
      </c>
      <c r="W7804">
        <v>86</v>
      </c>
      <c r="X7804">
        <v>370</v>
      </c>
      <c r="Y7804">
        <v>29</v>
      </c>
      <c r="Z7804">
        <v>181</v>
      </c>
      <c r="AA7804">
        <v>36</v>
      </c>
      <c r="AB7804">
        <v>7.2006959999999998</v>
      </c>
      <c r="AC7804">
        <v>1.759295E-2</v>
      </c>
      <c r="AD7804">
        <v>0.99001410000000001</v>
      </c>
      <c r="AE7804">
        <v>0.68155809999999994</v>
      </c>
      <c r="AF7804">
        <v>885.01760000000002</v>
      </c>
      <c r="AG7804">
        <f>IFERROR(AH7804*0.1, "N/A")</f>
        <v>7.0117750000000001</v>
      </c>
      <c r="AH7804">
        <v>70.117750000000001</v>
      </c>
      <c r="AI7804">
        <v>103.8643</v>
      </c>
      <c r="AJ7804">
        <v>42</v>
      </c>
      <c r="AK7804">
        <v>35.882249999999999</v>
      </c>
    </row>
    <row r="7805" spans="1:37" x14ac:dyDescent="0.3">
      <c r="A7805">
        <v>7804</v>
      </c>
      <c r="B7805">
        <v>2.2999999999999998</v>
      </c>
      <c r="C7805">
        <v>37.735999999999997</v>
      </c>
      <c r="D7805">
        <v>-3.29582</v>
      </c>
      <c r="E7805" t="s">
        <v>11645</v>
      </c>
      <c r="F7805" t="s">
        <v>11647</v>
      </c>
      <c r="G7805" t="s">
        <v>39</v>
      </c>
      <c r="H7805">
        <v>1978</v>
      </c>
      <c r="I7805">
        <v>22.5</v>
      </c>
      <c r="J7805">
        <v>11.8</v>
      </c>
      <c r="K7805">
        <v>70</v>
      </c>
      <c r="L7805">
        <v>16.04</v>
      </c>
      <c r="M7805">
        <v>31.6</v>
      </c>
      <c r="N7805">
        <v>14.9</v>
      </c>
      <c r="O7805">
        <v>16.7</v>
      </c>
      <c r="P7805">
        <v>23.2</v>
      </c>
      <c r="Q7805">
        <v>20.399999999999999</v>
      </c>
      <c r="R7805">
        <v>24.3</v>
      </c>
      <c r="S7805">
        <v>20.2</v>
      </c>
      <c r="T7805">
        <v>693</v>
      </c>
      <c r="U7805">
        <v>182</v>
      </c>
      <c r="V7805">
        <v>9</v>
      </c>
      <c r="W7805">
        <v>86</v>
      </c>
      <c r="X7805">
        <v>370</v>
      </c>
      <c r="Y7805">
        <v>29</v>
      </c>
      <c r="Z7805">
        <v>181</v>
      </c>
      <c r="AA7805">
        <v>36</v>
      </c>
      <c r="AB7805">
        <v>7.2006959999999998</v>
      </c>
      <c r="AC7805">
        <v>1.759295E-2</v>
      </c>
      <c r="AD7805">
        <v>0.99001410000000001</v>
      </c>
      <c r="AE7805">
        <v>0.68155809999999994</v>
      </c>
      <c r="AF7805">
        <v>885.01760000000002</v>
      </c>
      <c r="AG7805">
        <f>IFERROR(AH7805*0.1, "N/A")</f>
        <v>7.0117750000000001</v>
      </c>
      <c r="AH7805">
        <v>70.117750000000001</v>
      </c>
      <c r="AI7805">
        <v>103.8643</v>
      </c>
      <c r="AJ7805">
        <v>42</v>
      </c>
      <c r="AK7805">
        <v>35.882249999999999</v>
      </c>
    </row>
    <row r="7806" spans="1:37" x14ac:dyDescent="0.3">
      <c r="A7806">
        <v>7805</v>
      </c>
      <c r="B7806">
        <v>49.5</v>
      </c>
      <c r="C7806">
        <v>38.349899999999998</v>
      </c>
      <c r="D7806">
        <v>-3.3823300000000001</v>
      </c>
      <c r="E7806" t="s">
        <v>11648</v>
      </c>
      <c r="F7806" t="s">
        <v>11649</v>
      </c>
      <c r="G7806" t="s">
        <v>37</v>
      </c>
      <c r="H7806">
        <v>1993</v>
      </c>
      <c r="I7806">
        <v>18.18</v>
      </c>
      <c r="J7806">
        <v>10.38982</v>
      </c>
      <c r="K7806">
        <v>69</v>
      </c>
      <c r="L7806">
        <v>15.140739999999999</v>
      </c>
      <c r="M7806">
        <v>26.22561</v>
      </c>
      <c r="N7806">
        <v>11.19158</v>
      </c>
      <c r="O7806">
        <v>15.03403</v>
      </c>
      <c r="P7806">
        <v>18.951930000000001</v>
      </c>
      <c r="Q7806">
        <v>16.081399999999999</v>
      </c>
      <c r="R7806">
        <v>19.935790000000001</v>
      </c>
      <c r="S7806">
        <v>16.081399999999999</v>
      </c>
      <c r="T7806">
        <v>1216.0740000000001</v>
      </c>
      <c r="U7806">
        <v>252.66669999999999</v>
      </c>
      <c r="V7806">
        <v>13.898250000000001</v>
      </c>
      <c r="W7806">
        <v>81.087720000000004</v>
      </c>
      <c r="X7806">
        <v>536.97540000000004</v>
      </c>
      <c r="Y7806">
        <v>53.252630000000003</v>
      </c>
      <c r="Z7806">
        <v>304.33679999999998</v>
      </c>
      <c r="AA7806">
        <v>60.326320000000003</v>
      </c>
      <c r="AB7806">
        <v>125.73990000000001</v>
      </c>
      <c r="AC7806">
        <v>4.0780089999999998E-2</v>
      </c>
      <c r="AD7806">
        <v>22.417590000000001</v>
      </c>
      <c r="AE7806">
        <v>0.49959880000000001</v>
      </c>
      <c r="AF7806">
        <v>1528.904</v>
      </c>
      <c r="AG7806">
        <f>IFERROR(AH7806*0.1, "N/A")</f>
        <v>5.6240350000000001</v>
      </c>
      <c r="AH7806">
        <v>56.240349999999999</v>
      </c>
      <c r="AI7806">
        <v>106.9842</v>
      </c>
      <c r="AJ7806">
        <v>35.60351</v>
      </c>
      <c r="AK7806">
        <v>44.271929999999998</v>
      </c>
    </row>
    <row r="7807" spans="1:37" x14ac:dyDescent="0.3">
      <c r="A7807">
        <v>7806</v>
      </c>
      <c r="B7807">
        <v>6</v>
      </c>
      <c r="C7807">
        <v>38.349899999999998</v>
      </c>
      <c r="D7807">
        <v>-3.3823300000000001</v>
      </c>
      <c r="E7807" t="s">
        <v>11648</v>
      </c>
      <c r="F7807" t="s">
        <v>11650</v>
      </c>
      <c r="G7807" t="s">
        <v>39</v>
      </c>
      <c r="H7807">
        <v>1993</v>
      </c>
      <c r="I7807">
        <v>18.18</v>
      </c>
      <c r="J7807">
        <v>10.38982</v>
      </c>
      <c r="K7807">
        <v>69</v>
      </c>
      <c r="L7807">
        <v>15.140739999999999</v>
      </c>
      <c r="M7807">
        <v>26.22561</v>
      </c>
      <c r="N7807">
        <v>11.19158</v>
      </c>
      <c r="O7807">
        <v>15.03403</v>
      </c>
      <c r="P7807">
        <v>18.951930000000001</v>
      </c>
      <c r="Q7807">
        <v>16.081399999999999</v>
      </c>
      <c r="R7807">
        <v>19.935790000000001</v>
      </c>
      <c r="S7807">
        <v>16.081399999999999</v>
      </c>
      <c r="T7807">
        <v>1216.0740000000001</v>
      </c>
      <c r="U7807">
        <v>252.66669999999999</v>
      </c>
      <c r="V7807">
        <v>13.898250000000001</v>
      </c>
      <c r="W7807">
        <v>81.087720000000004</v>
      </c>
      <c r="X7807">
        <v>536.97540000000004</v>
      </c>
      <c r="Y7807">
        <v>53.252630000000003</v>
      </c>
      <c r="Z7807">
        <v>304.33679999999998</v>
      </c>
      <c r="AA7807">
        <v>60.326320000000003</v>
      </c>
      <c r="AB7807">
        <v>125.73990000000001</v>
      </c>
      <c r="AC7807">
        <v>4.0780089999999998E-2</v>
      </c>
      <c r="AD7807">
        <v>22.417590000000001</v>
      </c>
      <c r="AE7807">
        <v>0.49959880000000001</v>
      </c>
      <c r="AF7807">
        <v>1528.904</v>
      </c>
      <c r="AG7807">
        <f>IFERROR(AH7807*0.1, "N/A")</f>
        <v>5.6240350000000001</v>
      </c>
      <c r="AH7807">
        <v>56.240349999999999</v>
      </c>
      <c r="AI7807">
        <v>106.9842</v>
      </c>
      <c r="AJ7807">
        <v>35.60351</v>
      </c>
      <c r="AK7807">
        <v>44.271929999999998</v>
      </c>
    </row>
    <row r="7808" spans="1:37" x14ac:dyDescent="0.3">
      <c r="A7808">
        <v>7807</v>
      </c>
      <c r="B7808">
        <v>1.5</v>
      </c>
      <c r="C7808">
        <v>38.566699999999997</v>
      </c>
      <c r="D7808">
        <v>-3.3833000000000002</v>
      </c>
      <c r="E7808" t="s">
        <v>11651</v>
      </c>
      <c r="F7808" t="s">
        <v>11652</v>
      </c>
      <c r="G7808" t="s">
        <v>37</v>
      </c>
      <c r="H7808">
        <v>1987</v>
      </c>
      <c r="I7808">
        <v>24.901050000000001</v>
      </c>
      <c r="J7808">
        <v>10.7225</v>
      </c>
      <c r="K7808">
        <v>69</v>
      </c>
      <c r="L7808">
        <v>14.58076</v>
      </c>
      <c r="M7808">
        <v>33.02355</v>
      </c>
      <c r="N7808">
        <v>17.607559999999999</v>
      </c>
      <c r="O7808">
        <v>15.415990000000001</v>
      </c>
      <c r="P7808">
        <v>25.37012</v>
      </c>
      <c r="Q7808">
        <v>22.923549999999999</v>
      </c>
      <c r="R7808">
        <v>26.623550000000002</v>
      </c>
      <c r="S7808">
        <v>22.876629999999999</v>
      </c>
      <c r="T7808">
        <v>615.82069999999999</v>
      </c>
      <c r="U7808">
        <v>125.6467</v>
      </c>
      <c r="V7808">
        <v>5.5043939999999996</v>
      </c>
      <c r="W7808">
        <v>80.961340000000007</v>
      </c>
      <c r="X7808">
        <v>279.76799999999997</v>
      </c>
      <c r="Y7808">
        <v>23.643229999999999</v>
      </c>
      <c r="Z7808">
        <v>158.17750000000001</v>
      </c>
      <c r="AA7808">
        <v>37.887520000000002</v>
      </c>
      <c r="AB7808">
        <v>52.915320000000001</v>
      </c>
      <c r="AC7808">
        <v>7.4685000000000001E-2</v>
      </c>
      <c r="AD7808">
        <v>3.4225840000000001</v>
      </c>
      <c r="AE7808">
        <v>0.74113180000000001</v>
      </c>
      <c r="AF7808">
        <v>602.85059999999999</v>
      </c>
      <c r="AG7808">
        <f>IFERROR(AH7808*0.1, "N/A")</f>
        <v>7.0008790000000012</v>
      </c>
      <c r="AH7808">
        <v>70.008790000000005</v>
      </c>
      <c r="AI7808">
        <v>141.821</v>
      </c>
      <c r="AJ7808">
        <v>29.660810000000001</v>
      </c>
      <c r="AK7808">
        <v>57.339190000000002</v>
      </c>
    </row>
    <row r="7809" spans="1:37" x14ac:dyDescent="0.3">
      <c r="A7809">
        <v>7808</v>
      </c>
      <c r="B7809">
        <v>3</v>
      </c>
      <c r="C7809">
        <v>38.566699999999997</v>
      </c>
      <c r="D7809">
        <v>-3.3833000000000002</v>
      </c>
      <c r="E7809" t="s">
        <v>11651</v>
      </c>
      <c r="F7809" t="s">
        <v>11653</v>
      </c>
      <c r="G7809" t="s">
        <v>39</v>
      </c>
      <c r="H7809">
        <v>1987</v>
      </c>
      <c r="I7809">
        <v>24.901050000000001</v>
      </c>
      <c r="J7809">
        <v>10.7225</v>
      </c>
      <c r="K7809">
        <v>69</v>
      </c>
      <c r="L7809">
        <v>14.58076</v>
      </c>
      <c r="M7809">
        <v>33.02355</v>
      </c>
      <c r="N7809">
        <v>17.607559999999999</v>
      </c>
      <c r="O7809">
        <v>15.415990000000001</v>
      </c>
      <c r="P7809">
        <v>25.37012</v>
      </c>
      <c r="Q7809">
        <v>22.923549999999999</v>
      </c>
      <c r="R7809">
        <v>26.623550000000002</v>
      </c>
      <c r="S7809">
        <v>22.876629999999999</v>
      </c>
      <c r="T7809">
        <v>615.82069999999999</v>
      </c>
      <c r="U7809">
        <v>125.6467</v>
      </c>
      <c r="V7809">
        <v>5.5043939999999996</v>
      </c>
      <c r="W7809">
        <v>80.961340000000007</v>
      </c>
      <c r="X7809">
        <v>279.76799999999997</v>
      </c>
      <c r="Y7809">
        <v>23.643229999999999</v>
      </c>
      <c r="Z7809">
        <v>158.17750000000001</v>
      </c>
      <c r="AA7809">
        <v>37.887520000000002</v>
      </c>
      <c r="AB7809">
        <v>52.915320000000001</v>
      </c>
      <c r="AC7809">
        <v>7.4685000000000001E-2</v>
      </c>
      <c r="AD7809">
        <v>3.4225840000000001</v>
      </c>
      <c r="AE7809">
        <v>0.74113180000000001</v>
      </c>
      <c r="AF7809">
        <v>602.85059999999999</v>
      </c>
      <c r="AG7809">
        <f>IFERROR(AH7809*0.1, "N/A")</f>
        <v>7.0008790000000012</v>
      </c>
      <c r="AH7809">
        <v>70.008790000000005</v>
      </c>
      <c r="AI7809">
        <v>141.821</v>
      </c>
      <c r="AJ7809">
        <v>29.660810000000001</v>
      </c>
      <c r="AK7809">
        <v>57.339190000000002</v>
      </c>
    </row>
    <row r="7810" spans="1:37" x14ac:dyDescent="0.3">
      <c r="A7810">
        <v>7809</v>
      </c>
      <c r="B7810">
        <v>0</v>
      </c>
      <c r="C7810">
        <v>39.950000000000003</v>
      </c>
      <c r="D7810">
        <v>-3.3833299999999999</v>
      </c>
      <c r="E7810" t="s">
        <v>11654</v>
      </c>
      <c r="F7810" t="s">
        <v>11655</v>
      </c>
      <c r="G7810" t="s">
        <v>39</v>
      </c>
      <c r="H7810">
        <v>1993</v>
      </c>
      <c r="I7810">
        <v>26</v>
      </c>
      <c r="J7810">
        <v>7.9084060000000003</v>
      </c>
      <c r="K7810">
        <v>66.381789999999995</v>
      </c>
      <c r="L7810">
        <v>12.297829999999999</v>
      </c>
      <c r="M7810">
        <v>32.27863</v>
      </c>
      <c r="N7810">
        <v>20.5</v>
      </c>
      <c r="O7810">
        <v>11.77863</v>
      </c>
      <c r="P7810">
        <v>26.070229999999999</v>
      </c>
      <c r="Q7810">
        <v>27.241510000000002</v>
      </c>
      <c r="R7810">
        <v>27.470230000000001</v>
      </c>
      <c r="S7810">
        <v>24.3</v>
      </c>
      <c r="T7810">
        <v>1038.8720000000001</v>
      </c>
      <c r="U7810">
        <v>263.18560000000002</v>
      </c>
      <c r="V7810">
        <v>12</v>
      </c>
      <c r="W7810">
        <v>76.236429999999999</v>
      </c>
      <c r="X7810">
        <v>544.95619999999997</v>
      </c>
      <c r="Y7810">
        <v>66</v>
      </c>
      <c r="Z7810">
        <v>204.2364</v>
      </c>
      <c r="AA7810">
        <v>236.58840000000001</v>
      </c>
      <c r="AB7810">
        <v>3.9835379999999998</v>
      </c>
      <c r="AC7810">
        <v>1.0296700000000001E-2</v>
      </c>
      <c r="AD7810">
        <v>1.9898</v>
      </c>
      <c r="AE7810">
        <v>0.57189350000000005</v>
      </c>
      <c r="AF7810">
        <v>8.9141860000000008</v>
      </c>
      <c r="AG7810">
        <f>IFERROR(AH7810*0.1, "N/A")</f>
        <v>5.8049040000000005</v>
      </c>
      <c r="AH7810">
        <v>58.049039999999998</v>
      </c>
      <c r="AI7810">
        <v>45.386270000000003</v>
      </c>
      <c r="AJ7810">
        <v>27.588439999999999</v>
      </c>
      <c r="AK7810">
        <v>54.86515</v>
      </c>
    </row>
    <row r="7811" spans="1:37" x14ac:dyDescent="0.3">
      <c r="A7811">
        <v>7810</v>
      </c>
      <c r="B7811">
        <v>8</v>
      </c>
      <c r="C7811">
        <v>37.683300000000003</v>
      </c>
      <c r="D7811">
        <v>-3.4</v>
      </c>
      <c r="E7811" t="s">
        <v>11656</v>
      </c>
      <c r="F7811" t="s">
        <v>11657</v>
      </c>
      <c r="G7811" t="s">
        <v>37</v>
      </c>
      <c r="H7811">
        <v>1987</v>
      </c>
      <c r="I7811">
        <v>23.314959999999999</v>
      </c>
      <c r="J7811">
        <v>12</v>
      </c>
      <c r="K7811">
        <v>70</v>
      </c>
      <c r="L7811">
        <v>16.377690000000001</v>
      </c>
      <c r="M7811">
        <v>32.514960000000002</v>
      </c>
      <c r="N7811">
        <v>15.5</v>
      </c>
      <c r="O7811">
        <v>17.014959999999999</v>
      </c>
      <c r="P7811">
        <v>23.96285</v>
      </c>
      <c r="Q7811">
        <v>21.2</v>
      </c>
      <c r="R7811">
        <v>25.11497</v>
      </c>
      <c r="S7811">
        <v>20.976579999999998</v>
      </c>
      <c r="T7811">
        <v>622.26580000000001</v>
      </c>
      <c r="U7811">
        <v>156.10390000000001</v>
      </c>
      <c r="V7811">
        <v>7</v>
      </c>
      <c r="W7811">
        <v>82.76585</v>
      </c>
      <c r="X7811">
        <v>330.32389999999998</v>
      </c>
      <c r="Y7811">
        <v>24.371479999999998</v>
      </c>
      <c r="Z7811">
        <v>173.9648</v>
      </c>
      <c r="AA7811">
        <v>31.74296</v>
      </c>
      <c r="AB7811">
        <v>0.99119619999999997</v>
      </c>
      <c r="AC7811">
        <v>0.81095260000000002</v>
      </c>
      <c r="AD7811">
        <v>1.843696</v>
      </c>
      <c r="AE7811">
        <v>0.78174860000000002</v>
      </c>
      <c r="AF7811">
        <v>749.23590000000002</v>
      </c>
      <c r="AG7811">
        <f>IFERROR(AH7811*0.1, "N/A")</f>
        <v>7.2</v>
      </c>
      <c r="AH7811">
        <v>72</v>
      </c>
      <c r="AI7811">
        <v>93.322829999999996</v>
      </c>
      <c r="AJ7811">
        <v>39</v>
      </c>
      <c r="AK7811">
        <v>35.394370000000002</v>
      </c>
    </row>
    <row r="7812" spans="1:37" x14ac:dyDescent="0.3">
      <c r="A7812">
        <v>7811</v>
      </c>
      <c r="B7812">
        <v>45.6</v>
      </c>
      <c r="C7812">
        <v>37.683300000000003</v>
      </c>
      <c r="D7812">
        <v>-3.4</v>
      </c>
      <c r="E7812" t="s">
        <v>11656</v>
      </c>
      <c r="F7812" t="s">
        <v>11658</v>
      </c>
      <c r="G7812" t="s">
        <v>39</v>
      </c>
      <c r="H7812">
        <v>1987</v>
      </c>
      <c r="I7812">
        <v>23.314959999999999</v>
      </c>
      <c r="J7812">
        <v>12</v>
      </c>
      <c r="K7812">
        <v>70</v>
      </c>
      <c r="L7812">
        <v>16.377690000000001</v>
      </c>
      <c r="M7812">
        <v>32.514960000000002</v>
      </c>
      <c r="N7812">
        <v>15.5</v>
      </c>
      <c r="O7812">
        <v>17.014959999999999</v>
      </c>
      <c r="P7812">
        <v>23.96285</v>
      </c>
      <c r="Q7812">
        <v>21.2</v>
      </c>
      <c r="R7812">
        <v>25.11497</v>
      </c>
      <c r="S7812">
        <v>20.976579999999998</v>
      </c>
      <c r="T7812">
        <v>622.26580000000001</v>
      </c>
      <c r="U7812">
        <v>156.10390000000001</v>
      </c>
      <c r="V7812">
        <v>7</v>
      </c>
      <c r="W7812">
        <v>82.76585</v>
      </c>
      <c r="X7812">
        <v>330.32389999999998</v>
      </c>
      <c r="Y7812">
        <v>24.371479999999998</v>
      </c>
      <c r="Z7812">
        <v>173.9648</v>
      </c>
      <c r="AA7812">
        <v>31.74296</v>
      </c>
      <c r="AB7812">
        <v>0.99119619999999997</v>
      </c>
      <c r="AC7812">
        <v>0.81095260000000002</v>
      </c>
      <c r="AD7812">
        <v>1.843696</v>
      </c>
      <c r="AE7812">
        <v>0.78174860000000002</v>
      </c>
      <c r="AF7812">
        <v>749.23590000000002</v>
      </c>
      <c r="AG7812">
        <f>IFERROR(AH7812*0.1, "N/A")</f>
        <v>7.2</v>
      </c>
      <c r="AH7812">
        <v>72</v>
      </c>
      <c r="AI7812">
        <v>93.322829999999996</v>
      </c>
      <c r="AJ7812">
        <v>39</v>
      </c>
      <c r="AK7812">
        <v>35.394370000000002</v>
      </c>
    </row>
    <row r="7813" spans="1:37" x14ac:dyDescent="0.3">
      <c r="A7813">
        <v>7812</v>
      </c>
      <c r="B7813">
        <v>1.5</v>
      </c>
      <c r="C7813">
        <v>38.366700000000002</v>
      </c>
      <c r="D7813">
        <v>-3.4</v>
      </c>
      <c r="E7813" t="s">
        <v>11659</v>
      </c>
      <c r="F7813" t="s">
        <v>11660</v>
      </c>
      <c r="G7813" t="s">
        <v>37</v>
      </c>
      <c r="H7813">
        <v>1987</v>
      </c>
      <c r="I7813">
        <v>19.73357</v>
      </c>
      <c r="J7813">
        <v>10.512650000000001</v>
      </c>
      <c r="K7813">
        <v>69</v>
      </c>
      <c r="L7813">
        <v>15.10629</v>
      </c>
      <c r="M7813">
        <v>27.93357</v>
      </c>
      <c r="N7813">
        <v>12.73357</v>
      </c>
      <c r="O7813">
        <v>15.2</v>
      </c>
      <c r="P7813">
        <v>20.28032</v>
      </c>
      <c r="Q7813">
        <v>17.64622</v>
      </c>
      <c r="R7813">
        <v>21.520910000000001</v>
      </c>
      <c r="S7813">
        <v>17.64622</v>
      </c>
      <c r="T7813">
        <v>1134.297</v>
      </c>
      <c r="U7813">
        <v>224.12649999999999</v>
      </c>
      <c r="V7813">
        <v>15.21265</v>
      </c>
      <c r="W7813">
        <v>78.787350000000004</v>
      </c>
      <c r="X7813">
        <v>467.52199999999999</v>
      </c>
      <c r="Y7813">
        <v>58.551850000000002</v>
      </c>
      <c r="Z7813">
        <v>260.82249999999999</v>
      </c>
      <c r="AA7813">
        <v>58.551850000000002</v>
      </c>
      <c r="AB7813">
        <v>36.144269999999999</v>
      </c>
      <c r="AC7813">
        <v>1.3213349999999999</v>
      </c>
      <c r="AD7813">
        <v>25.58286</v>
      </c>
      <c r="AE7813">
        <v>0.54083460000000005</v>
      </c>
      <c r="AF7813">
        <v>1365.7260000000001</v>
      </c>
      <c r="AG7813">
        <f>IFERROR(AH7813*0.1, "N/A")</f>
        <v>5.421265</v>
      </c>
      <c r="AH7813">
        <v>54.212649999999996</v>
      </c>
      <c r="AI7813">
        <v>69.889650000000003</v>
      </c>
      <c r="AJ7813">
        <v>34</v>
      </c>
      <c r="AK7813">
        <v>44.574689999999997</v>
      </c>
    </row>
    <row r="7814" spans="1:37" x14ac:dyDescent="0.3">
      <c r="A7814">
        <v>7813</v>
      </c>
      <c r="B7814">
        <v>5.4</v>
      </c>
      <c r="C7814">
        <v>38.366700000000002</v>
      </c>
      <c r="D7814">
        <v>-3.4</v>
      </c>
      <c r="E7814" t="s">
        <v>11659</v>
      </c>
      <c r="F7814" t="s">
        <v>11661</v>
      </c>
      <c r="G7814" t="s">
        <v>39</v>
      </c>
      <c r="H7814">
        <v>1987</v>
      </c>
      <c r="I7814">
        <v>19.73357</v>
      </c>
      <c r="J7814">
        <v>10.512650000000001</v>
      </c>
      <c r="K7814">
        <v>69</v>
      </c>
      <c r="L7814">
        <v>15.10629</v>
      </c>
      <c r="M7814">
        <v>27.93357</v>
      </c>
      <c r="N7814">
        <v>12.73357</v>
      </c>
      <c r="O7814">
        <v>15.2</v>
      </c>
      <c r="P7814">
        <v>20.28032</v>
      </c>
      <c r="Q7814">
        <v>17.64622</v>
      </c>
      <c r="R7814">
        <v>21.520910000000001</v>
      </c>
      <c r="S7814">
        <v>17.64622</v>
      </c>
      <c r="T7814">
        <v>1134.297</v>
      </c>
      <c r="U7814">
        <v>224.12649999999999</v>
      </c>
      <c r="V7814">
        <v>15.21265</v>
      </c>
      <c r="W7814">
        <v>78.787350000000004</v>
      </c>
      <c r="X7814">
        <v>467.52199999999999</v>
      </c>
      <c r="Y7814">
        <v>58.551850000000002</v>
      </c>
      <c r="Z7814">
        <v>260.82249999999999</v>
      </c>
      <c r="AA7814">
        <v>58.551850000000002</v>
      </c>
      <c r="AB7814">
        <v>36.144269999999999</v>
      </c>
      <c r="AC7814">
        <v>1.3213349999999999</v>
      </c>
      <c r="AD7814">
        <v>25.58286</v>
      </c>
      <c r="AE7814">
        <v>0.54083460000000005</v>
      </c>
      <c r="AF7814">
        <v>1365.7260000000001</v>
      </c>
      <c r="AG7814">
        <f>IFERROR(AH7814*0.1, "N/A")</f>
        <v>5.421265</v>
      </c>
      <c r="AH7814">
        <v>54.212649999999996</v>
      </c>
      <c r="AI7814">
        <v>69.889650000000003</v>
      </c>
      <c r="AJ7814">
        <v>34</v>
      </c>
      <c r="AK7814">
        <v>44.574689999999997</v>
      </c>
    </row>
    <row r="7815" spans="1:37" x14ac:dyDescent="0.3">
      <c r="A7815">
        <v>7814</v>
      </c>
      <c r="B7815">
        <v>34.200000000000003</v>
      </c>
      <c r="C7815">
        <v>37.6877</v>
      </c>
      <c r="D7815">
        <v>-3.4354100000000001</v>
      </c>
      <c r="E7815" t="s">
        <v>11662</v>
      </c>
      <c r="F7815" t="s">
        <v>11663</v>
      </c>
      <c r="G7815" t="s">
        <v>37</v>
      </c>
      <c r="H7815">
        <v>1998</v>
      </c>
      <c r="I7815">
        <v>23.5</v>
      </c>
      <c r="J7815">
        <v>12.1</v>
      </c>
      <c r="K7815">
        <v>70</v>
      </c>
      <c r="L7815">
        <v>16.63</v>
      </c>
      <c r="M7815">
        <v>32.700000000000003</v>
      </c>
      <c r="N7815">
        <v>15.6</v>
      </c>
      <c r="O7815">
        <v>17.100000000000001</v>
      </c>
      <c r="P7815">
        <v>24.2</v>
      </c>
      <c r="Q7815">
        <v>21.4</v>
      </c>
      <c r="R7815">
        <v>25.3</v>
      </c>
      <c r="S7815">
        <v>21.1</v>
      </c>
      <c r="T7815">
        <v>582</v>
      </c>
      <c r="U7815">
        <v>141</v>
      </c>
      <c r="V7815">
        <v>6</v>
      </c>
      <c r="W7815">
        <v>82</v>
      </c>
      <c r="X7815">
        <v>303</v>
      </c>
      <c r="Y7815">
        <v>22</v>
      </c>
      <c r="Z7815">
        <v>166</v>
      </c>
      <c r="AA7815">
        <v>27</v>
      </c>
      <c r="AB7815">
        <v>6.7353440000000004</v>
      </c>
      <c r="AC7815">
        <v>1.568597E-2</v>
      </c>
      <c r="AD7815">
        <v>1.1429510000000001</v>
      </c>
      <c r="AE7815">
        <v>0.72241900000000003</v>
      </c>
      <c r="AF7815">
        <v>723.18799999999999</v>
      </c>
      <c r="AG7815">
        <f>IFERROR(AH7815*0.1, "N/A")</f>
        <v>6.8963089999999996</v>
      </c>
      <c r="AH7815">
        <v>68.963089999999994</v>
      </c>
      <c r="AI7815">
        <v>177.33750000000001</v>
      </c>
      <c r="AJ7815">
        <v>34.059750000000001</v>
      </c>
      <c r="AK7815">
        <v>41.043939999999999</v>
      </c>
    </row>
    <row r="7816" spans="1:37" x14ac:dyDescent="0.3">
      <c r="A7816">
        <v>7815</v>
      </c>
      <c r="B7816">
        <v>55.7</v>
      </c>
      <c r="C7816">
        <v>37.6877</v>
      </c>
      <c r="D7816">
        <v>-3.4354100000000001</v>
      </c>
      <c r="E7816" t="s">
        <v>11662</v>
      </c>
      <c r="F7816" t="s">
        <v>11664</v>
      </c>
      <c r="G7816" t="s">
        <v>39</v>
      </c>
      <c r="H7816">
        <v>1998</v>
      </c>
      <c r="I7816">
        <v>23.5</v>
      </c>
      <c r="J7816">
        <v>12.1</v>
      </c>
      <c r="K7816">
        <v>70</v>
      </c>
      <c r="L7816">
        <v>16.63</v>
      </c>
      <c r="M7816">
        <v>32.700000000000003</v>
      </c>
      <c r="N7816">
        <v>15.6</v>
      </c>
      <c r="O7816">
        <v>17.100000000000001</v>
      </c>
      <c r="P7816">
        <v>24.2</v>
      </c>
      <c r="Q7816">
        <v>21.4</v>
      </c>
      <c r="R7816">
        <v>25.3</v>
      </c>
      <c r="S7816">
        <v>21.1</v>
      </c>
      <c r="T7816">
        <v>582</v>
      </c>
      <c r="U7816">
        <v>141</v>
      </c>
      <c r="V7816">
        <v>6</v>
      </c>
      <c r="W7816">
        <v>82</v>
      </c>
      <c r="X7816">
        <v>303</v>
      </c>
      <c r="Y7816">
        <v>22</v>
      </c>
      <c r="Z7816">
        <v>166</v>
      </c>
      <c r="AA7816">
        <v>27</v>
      </c>
      <c r="AB7816">
        <v>6.7353440000000004</v>
      </c>
      <c r="AC7816">
        <v>1.568597E-2</v>
      </c>
      <c r="AD7816">
        <v>1.1429510000000001</v>
      </c>
      <c r="AE7816">
        <v>0.72241900000000003</v>
      </c>
      <c r="AF7816">
        <v>723.18799999999999</v>
      </c>
      <c r="AG7816">
        <f>IFERROR(AH7816*0.1, "N/A")</f>
        <v>6.8963089999999996</v>
      </c>
      <c r="AH7816">
        <v>68.963089999999994</v>
      </c>
      <c r="AI7816">
        <v>177.33750000000001</v>
      </c>
      <c r="AJ7816">
        <v>34.059750000000001</v>
      </c>
      <c r="AK7816">
        <v>41.043939999999999</v>
      </c>
    </row>
    <row r="7817" spans="1:37" x14ac:dyDescent="0.3">
      <c r="A7817">
        <v>7816</v>
      </c>
      <c r="B7817">
        <v>0</v>
      </c>
      <c r="C7817">
        <v>39.887799999999999</v>
      </c>
      <c r="D7817">
        <v>-3.46455</v>
      </c>
      <c r="E7817" t="s">
        <v>11665</v>
      </c>
      <c r="F7817" t="s">
        <v>11666</v>
      </c>
      <c r="G7817" t="s">
        <v>39</v>
      </c>
      <c r="H7817">
        <v>1993</v>
      </c>
      <c r="I7817">
        <v>25.8</v>
      </c>
      <c r="J7817">
        <v>8</v>
      </c>
      <c r="K7817">
        <v>68</v>
      </c>
      <c r="L7817">
        <v>11.94</v>
      </c>
      <c r="M7817">
        <v>32.1</v>
      </c>
      <c r="N7817">
        <v>20.399999999999999</v>
      </c>
      <c r="O7817">
        <v>11.7</v>
      </c>
      <c r="P7817">
        <v>25.9</v>
      </c>
      <c r="Q7817">
        <v>27</v>
      </c>
      <c r="R7817">
        <v>27.3</v>
      </c>
      <c r="S7817">
        <v>24.2</v>
      </c>
      <c r="T7817">
        <v>1020</v>
      </c>
      <c r="U7817">
        <v>250</v>
      </c>
      <c r="V7817">
        <v>13</v>
      </c>
      <c r="W7817">
        <v>71</v>
      </c>
      <c r="X7817">
        <v>513</v>
      </c>
      <c r="Y7817">
        <v>73</v>
      </c>
      <c r="Z7817">
        <v>199</v>
      </c>
      <c r="AA7817">
        <v>213</v>
      </c>
      <c r="AB7817">
        <v>10.851850000000001</v>
      </c>
      <c r="AC7817">
        <v>9.4772799999999994E-3</v>
      </c>
      <c r="AD7817">
        <v>0.98254229999999998</v>
      </c>
      <c r="AE7817">
        <v>0.37768390000000002</v>
      </c>
      <c r="AF7817">
        <v>28.311070000000001</v>
      </c>
      <c r="AG7817">
        <f>IFERROR(AH7817*0.1, "N/A")</f>
        <v>5.8421790000000007</v>
      </c>
      <c r="AH7817">
        <v>58.421790000000001</v>
      </c>
      <c r="AI7817">
        <v>168.37039999999999</v>
      </c>
      <c r="AJ7817">
        <v>20.156410000000001</v>
      </c>
      <c r="AK7817">
        <v>63.421790000000001</v>
      </c>
    </row>
    <row r="7818" spans="1:37" x14ac:dyDescent="0.3">
      <c r="A7818">
        <v>7817</v>
      </c>
      <c r="B7818">
        <v>57.2</v>
      </c>
      <c r="C7818">
        <v>37.680599999999998</v>
      </c>
      <c r="D7818">
        <v>-3.4808400000000002</v>
      </c>
      <c r="E7818" t="s">
        <v>11667</v>
      </c>
      <c r="F7818" t="s">
        <v>11668</v>
      </c>
      <c r="G7818" t="s">
        <v>37</v>
      </c>
      <c r="H7818">
        <v>1998</v>
      </c>
      <c r="I7818">
        <v>23.5</v>
      </c>
      <c r="J7818">
        <v>12</v>
      </c>
      <c r="K7818">
        <v>70</v>
      </c>
      <c r="L7818">
        <v>16.55</v>
      </c>
      <c r="M7818">
        <v>32.700000000000003</v>
      </c>
      <c r="N7818">
        <v>15.6</v>
      </c>
      <c r="O7818">
        <v>17.100000000000001</v>
      </c>
      <c r="P7818">
        <v>24.1</v>
      </c>
      <c r="Q7818">
        <v>21.4</v>
      </c>
      <c r="R7818">
        <v>25.3</v>
      </c>
      <c r="S7818">
        <v>21.1</v>
      </c>
      <c r="T7818">
        <v>564</v>
      </c>
      <c r="U7818">
        <v>129</v>
      </c>
      <c r="V7818">
        <v>6</v>
      </c>
      <c r="W7818">
        <v>78</v>
      </c>
      <c r="X7818">
        <v>285</v>
      </c>
      <c r="Y7818">
        <v>22</v>
      </c>
      <c r="Z7818">
        <v>165</v>
      </c>
      <c r="AA7818">
        <v>26</v>
      </c>
      <c r="AB7818">
        <v>74.909679999999994</v>
      </c>
      <c r="AC7818">
        <v>8.6523629999999997E-3</v>
      </c>
      <c r="AD7818">
        <v>9.5961960000000008</v>
      </c>
      <c r="AE7818">
        <v>0.73178460000000001</v>
      </c>
      <c r="AF7818">
        <v>786.71879999999999</v>
      </c>
      <c r="AG7818">
        <f>IFERROR(AH7818*0.1, "N/A")</f>
        <v>6.8977149999999998</v>
      </c>
      <c r="AH7818">
        <v>68.977149999999995</v>
      </c>
      <c r="AI7818">
        <v>66.962500000000006</v>
      </c>
      <c r="AJ7818">
        <v>36.977150000000002</v>
      </c>
      <c r="AK7818">
        <v>42.977150000000002</v>
      </c>
    </row>
    <row r="7819" spans="1:37" x14ac:dyDescent="0.3">
      <c r="A7819">
        <v>7818</v>
      </c>
      <c r="B7819">
        <v>8.8000000000000007</v>
      </c>
      <c r="C7819">
        <v>37.680599999999998</v>
      </c>
      <c r="D7819">
        <v>-3.4808400000000002</v>
      </c>
      <c r="E7819" t="s">
        <v>11667</v>
      </c>
      <c r="F7819" t="s">
        <v>11669</v>
      </c>
      <c r="G7819" t="s">
        <v>39</v>
      </c>
      <c r="H7819">
        <v>1998</v>
      </c>
      <c r="I7819">
        <v>23.5</v>
      </c>
      <c r="J7819">
        <v>12</v>
      </c>
      <c r="K7819">
        <v>70</v>
      </c>
      <c r="L7819">
        <v>16.55</v>
      </c>
      <c r="M7819">
        <v>32.700000000000003</v>
      </c>
      <c r="N7819">
        <v>15.6</v>
      </c>
      <c r="O7819">
        <v>17.100000000000001</v>
      </c>
      <c r="P7819">
        <v>24.1</v>
      </c>
      <c r="Q7819">
        <v>21.4</v>
      </c>
      <c r="R7819">
        <v>25.3</v>
      </c>
      <c r="S7819">
        <v>21.1</v>
      </c>
      <c r="T7819">
        <v>564</v>
      </c>
      <c r="U7819">
        <v>129</v>
      </c>
      <c r="V7819">
        <v>6</v>
      </c>
      <c r="W7819">
        <v>78</v>
      </c>
      <c r="X7819">
        <v>285</v>
      </c>
      <c r="Y7819">
        <v>22</v>
      </c>
      <c r="Z7819">
        <v>165</v>
      </c>
      <c r="AA7819">
        <v>26</v>
      </c>
      <c r="AB7819">
        <v>74.909679999999994</v>
      </c>
      <c r="AC7819">
        <v>8.6523629999999997E-3</v>
      </c>
      <c r="AD7819">
        <v>9.5961960000000008</v>
      </c>
      <c r="AE7819">
        <v>0.73178460000000001</v>
      </c>
      <c r="AF7819">
        <v>786.71879999999999</v>
      </c>
      <c r="AG7819">
        <f>IFERROR(AH7819*0.1, "N/A")</f>
        <v>6.8977149999999998</v>
      </c>
      <c r="AH7819">
        <v>68.977149999999995</v>
      </c>
      <c r="AI7819">
        <v>66.962500000000006</v>
      </c>
      <c r="AJ7819">
        <v>36.977150000000002</v>
      </c>
      <c r="AK7819">
        <v>42.977150000000002</v>
      </c>
    </row>
    <row r="7820" spans="1:37" x14ac:dyDescent="0.3">
      <c r="A7820">
        <v>7819</v>
      </c>
      <c r="B7820">
        <v>0</v>
      </c>
      <c r="C7820">
        <v>39.616700000000002</v>
      </c>
      <c r="D7820">
        <v>-3.48333</v>
      </c>
      <c r="E7820" t="s">
        <v>11670</v>
      </c>
      <c r="F7820" t="s">
        <v>11671</v>
      </c>
      <c r="G7820" t="s">
        <v>39</v>
      </c>
      <c r="H7820">
        <v>1993</v>
      </c>
      <c r="I7820">
        <v>24.61055</v>
      </c>
      <c r="J7820">
        <v>8.5476279999999996</v>
      </c>
      <c r="K7820">
        <v>67.878730000000004</v>
      </c>
      <c r="L7820">
        <v>12.68206</v>
      </c>
      <c r="M7820">
        <v>31.322669999999999</v>
      </c>
      <c r="N7820">
        <v>18.81054</v>
      </c>
      <c r="O7820">
        <v>12.512130000000001</v>
      </c>
      <c r="P7820">
        <v>24.566960000000002</v>
      </c>
      <c r="Q7820">
        <v>25.931460000000001</v>
      </c>
      <c r="R7820">
        <v>26.11055</v>
      </c>
      <c r="S7820">
        <v>22.910540000000001</v>
      </c>
      <c r="T7820">
        <v>857.12829999999997</v>
      </c>
      <c r="U7820">
        <v>158.84010000000001</v>
      </c>
      <c r="V7820">
        <v>18.685410000000001</v>
      </c>
      <c r="W7820">
        <v>52.314590000000003</v>
      </c>
      <c r="X7820">
        <v>322.3322</v>
      </c>
      <c r="Y7820">
        <v>100.0562</v>
      </c>
      <c r="Z7820">
        <v>174.05619999999999</v>
      </c>
      <c r="AA7820">
        <v>157.01580000000001</v>
      </c>
      <c r="AB7820">
        <v>30.94201</v>
      </c>
      <c r="AC7820">
        <v>1.363081E-2</v>
      </c>
      <c r="AD7820">
        <v>2.864668</v>
      </c>
      <c r="AE7820">
        <v>0.69570449999999995</v>
      </c>
      <c r="AF7820">
        <v>208.35679999999999</v>
      </c>
      <c r="AG7820">
        <f>IFERROR(AH7820*0.1, "N/A")</f>
        <v>6</v>
      </c>
      <c r="AH7820">
        <v>60</v>
      </c>
      <c r="AI7820">
        <v>67.326530000000005</v>
      </c>
      <c r="AJ7820">
        <v>15.40246</v>
      </c>
      <c r="AK7820">
        <v>70.195080000000004</v>
      </c>
    </row>
    <row r="7821" spans="1:37" x14ac:dyDescent="0.3">
      <c r="A7821">
        <v>7820</v>
      </c>
      <c r="B7821">
        <v>4.8</v>
      </c>
      <c r="C7821">
        <v>39.820500000000003</v>
      </c>
      <c r="D7821">
        <v>-3.5139</v>
      </c>
      <c r="E7821" t="s">
        <v>11672</v>
      </c>
      <c r="F7821" t="s">
        <v>11673</v>
      </c>
      <c r="G7821" t="s">
        <v>39</v>
      </c>
      <c r="H7821">
        <v>1993</v>
      </c>
      <c r="I7821">
        <v>25.3</v>
      </c>
      <c r="J7821">
        <v>8.1</v>
      </c>
      <c r="K7821">
        <v>67</v>
      </c>
      <c r="L7821">
        <v>12.26</v>
      </c>
      <c r="M7821">
        <v>31.7</v>
      </c>
      <c r="N7821">
        <v>19.7</v>
      </c>
      <c r="O7821">
        <v>12</v>
      </c>
      <c r="P7821">
        <v>25.3</v>
      </c>
      <c r="Q7821">
        <v>26.6</v>
      </c>
      <c r="R7821">
        <v>26.7</v>
      </c>
      <c r="S7821">
        <v>23.6</v>
      </c>
      <c r="T7821">
        <v>1011</v>
      </c>
      <c r="U7821">
        <v>232</v>
      </c>
      <c r="V7821">
        <v>15</v>
      </c>
      <c r="W7821">
        <v>65</v>
      </c>
      <c r="X7821">
        <v>474</v>
      </c>
      <c r="Y7821">
        <v>84</v>
      </c>
      <c r="Z7821">
        <v>197</v>
      </c>
      <c r="AA7821">
        <v>207</v>
      </c>
      <c r="AB7821">
        <v>13.715059999999999</v>
      </c>
      <c r="AC7821">
        <v>1.374701E-2</v>
      </c>
      <c r="AD7821">
        <v>1.2894000000000001</v>
      </c>
      <c r="AE7821">
        <v>0.36083949999999998</v>
      </c>
      <c r="AF7821">
        <v>105.8669</v>
      </c>
      <c r="AG7821">
        <f>IFERROR(AH7821*0.1, "N/A")</f>
        <v>6.5949209999999994</v>
      </c>
      <c r="AH7821">
        <v>65.949209999999994</v>
      </c>
      <c r="AI7821">
        <v>160.46</v>
      </c>
      <c r="AJ7821">
        <v>22.133099999999999</v>
      </c>
      <c r="AK7821">
        <v>57.322240000000001</v>
      </c>
    </row>
    <row r="7822" spans="1:37" x14ac:dyDescent="0.3">
      <c r="A7822">
        <v>7821</v>
      </c>
      <c r="B7822">
        <v>0</v>
      </c>
      <c r="C7822">
        <v>39.632399999999997</v>
      </c>
      <c r="D7822">
        <v>-3.5228100000000002</v>
      </c>
      <c r="E7822" t="s">
        <v>11674</v>
      </c>
      <c r="F7822" t="s">
        <v>11675</v>
      </c>
      <c r="G7822" t="s">
        <v>39</v>
      </c>
      <c r="H7822">
        <v>1993</v>
      </c>
      <c r="I7822">
        <v>24.4</v>
      </c>
      <c r="J7822">
        <v>8.5</v>
      </c>
      <c r="K7822">
        <v>68</v>
      </c>
      <c r="L7822">
        <v>12.66</v>
      </c>
      <c r="M7822">
        <v>31.1</v>
      </c>
      <c r="N7822">
        <v>18.7</v>
      </c>
      <c r="O7822">
        <v>12.4</v>
      </c>
      <c r="P7822">
        <v>24.3</v>
      </c>
      <c r="Q7822">
        <v>25.8</v>
      </c>
      <c r="R7822">
        <v>25.9</v>
      </c>
      <c r="S7822">
        <v>22.7</v>
      </c>
      <c r="T7822">
        <v>893</v>
      </c>
      <c r="U7822">
        <v>169</v>
      </c>
      <c r="V7822">
        <v>19</v>
      </c>
      <c r="W7822">
        <v>53</v>
      </c>
      <c r="X7822">
        <v>340</v>
      </c>
      <c r="Y7822">
        <v>101</v>
      </c>
      <c r="Z7822">
        <v>178</v>
      </c>
      <c r="AA7822">
        <v>166</v>
      </c>
      <c r="AB7822">
        <v>44.354759999999999</v>
      </c>
      <c r="AC7822">
        <v>1.4585570000000001E-2</v>
      </c>
      <c r="AD7822">
        <v>2.026662</v>
      </c>
      <c r="AE7822">
        <v>0.71023309999999995</v>
      </c>
      <c r="AF7822">
        <v>223.72890000000001</v>
      </c>
      <c r="AG7822">
        <f>IFERROR(AH7822*0.1, "N/A")</f>
        <v>6</v>
      </c>
      <c r="AH7822">
        <v>60</v>
      </c>
      <c r="AI7822">
        <v>218.0429</v>
      </c>
      <c r="AJ7822">
        <v>19</v>
      </c>
      <c r="AK7822">
        <v>69</v>
      </c>
    </row>
    <row r="7823" spans="1:37" x14ac:dyDescent="0.3">
      <c r="A7823">
        <v>7822</v>
      </c>
      <c r="B7823">
        <v>6.7</v>
      </c>
      <c r="C7823">
        <v>39.466700000000003</v>
      </c>
      <c r="D7823">
        <v>-3.5333299999999999</v>
      </c>
      <c r="E7823" t="s">
        <v>11676</v>
      </c>
      <c r="F7823" t="s">
        <v>11677</v>
      </c>
      <c r="G7823" t="s">
        <v>39</v>
      </c>
      <c r="H7823">
        <v>1993</v>
      </c>
      <c r="I7823">
        <v>24.5</v>
      </c>
      <c r="J7823">
        <v>8.8000000000000007</v>
      </c>
      <c r="K7823">
        <v>68</v>
      </c>
      <c r="L7823">
        <v>12.886950000000001</v>
      </c>
      <c r="M7823">
        <v>31.330120000000001</v>
      </c>
      <c r="N7823">
        <v>18.459720000000001</v>
      </c>
      <c r="O7823">
        <v>12.8704</v>
      </c>
      <c r="P7823">
        <v>25.2958</v>
      </c>
      <c r="Q7823">
        <v>25.9</v>
      </c>
      <c r="R7823">
        <v>25.959720000000001</v>
      </c>
      <c r="S7823">
        <v>22.738880000000002</v>
      </c>
      <c r="T7823">
        <v>800.74429999999995</v>
      </c>
      <c r="U7823">
        <v>123.7128</v>
      </c>
      <c r="V7823">
        <v>23</v>
      </c>
      <c r="W7823">
        <v>48</v>
      </c>
      <c r="X7823">
        <v>279.31</v>
      </c>
      <c r="Y7823">
        <v>110.3888</v>
      </c>
      <c r="Z7823">
        <v>178.3888</v>
      </c>
      <c r="AA7823">
        <v>141.72149999999999</v>
      </c>
      <c r="AB7823">
        <v>0.75568789999999997</v>
      </c>
      <c r="AC7823">
        <v>0.36632130000000002</v>
      </c>
      <c r="AD7823">
        <v>0.84410560000000001</v>
      </c>
      <c r="AE7823">
        <v>0.68259910000000001</v>
      </c>
      <c r="AF7823">
        <v>224.74430000000001</v>
      </c>
      <c r="AG7823">
        <f>IFERROR(AH7823*0.1, "N/A")</f>
        <v>6.5628720000000005</v>
      </c>
      <c r="AH7823">
        <v>65.628720000000001</v>
      </c>
      <c r="AI7823">
        <v>109.5423</v>
      </c>
      <c r="AJ7823">
        <v>20.985990000000001</v>
      </c>
      <c r="AK7823">
        <v>64.633979999999994</v>
      </c>
    </row>
    <row r="7824" spans="1:37" x14ac:dyDescent="0.3">
      <c r="A7824">
        <v>7823</v>
      </c>
      <c r="B7824">
        <v>1.5</v>
      </c>
      <c r="C7824">
        <v>39.866700000000002</v>
      </c>
      <c r="D7824">
        <v>-3.55</v>
      </c>
      <c r="E7824" t="s">
        <v>11678</v>
      </c>
      <c r="F7824" t="s">
        <v>11679</v>
      </c>
      <c r="G7824" t="s">
        <v>39</v>
      </c>
      <c r="H7824">
        <v>1993</v>
      </c>
      <c r="I7824">
        <v>25.9</v>
      </c>
      <c r="J7824">
        <v>8</v>
      </c>
      <c r="K7824">
        <v>68</v>
      </c>
      <c r="L7824">
        <v>11.916090000000001</v>
      </c>
      <c r="M7824">
        <v>32.200000000000003</v>
      </c>
      <c r="N7824">
        <v>20.5</v>
      </c>
      <c r="O7824">
        <v>11.7</v>
      </c>
      <c r="P7824">
        <v>25.994890000000002</v>
      </c>
      <c r="Q7824">
        <v>27.1</v>
      </c>
      <c r="R7824">
        <v>27.344719999999999</v>
      </c>
      <c r="S7824">
        <v>24.3</v>
      </c>
      <c r="T7824">
        <v>1042.671</v>
      </c>
      <c r="U7824">
        <v>256.00529999999998</v>
      </c>
      <c r="V7824">
        <v>14</v>
      </c>
      <c r="W7824">
        <v>71.869720000000001</v>
      </c>
      <c r="X7824">
        <v>523.38199999999995</v>
      </c>
      <c r="Y7824">
        <v>77.051060000000007</v>
      </c>
      <c r="Z7824">
        <v>203.73939999999999</v>
      </c>
      <c r="AA7824">
        <v>219.55459999999999</v>
      </c>
      <c r="AB7824">
        <v>0.60299259999999999</v>
      </c>
      <c r="AC7824">
        <v>0.26080500000000001</v>
      </c>
      <c r="AD7824">
        <v>1.12219</v>
      </c>
      <c r="AE7824">
        <v>0.47737740000000001</v>
      </c>
      <c r="AF7824">
        <v>19.23415</v>
      </c>
      <c r="AG7824">
        <f>IFERROR(AH7824*0.1, "N/A")</f>
        <v>6</v>
      </c>
      <c r="AH7824">
        <v>60</v>
      </c>
      <c r="AI7824">
        <v>158.9992</v>
      </c>
      <c r="AJ7824">
        <v>15.362679999999999</v>
      </c>
      <c r="AK7824">
        <v>71.637320000000003</v>
      </c>
    </row>
    <row r="7825" spans="1:37" x14ac:dyDescent="0.3">
      <c r="A7825">
        <v>7824</v>
      </c>
      <c r="B7825">
        <v>5.3</v>
      </c>
      <c r="C7825">
        <v>39.8429</v>
      </c>
      <c r="D7825">
        <v>-3.5596299999999998</v>
      </c>
      <c r="E7825" t="s">
        <v>11680</v>
      </c>
      <c r="F7825" t="s">
        <v>11681</v>
      </c>
      <c r="G7825" t="s">
        <v>39</v>
      </c>
      <c r="H7825">
        <v>1993</v>
      </c>
      <c r="I7825">
        <v>25.70035</v>
      </c>
      <c r="J7825">
        <v>8</v>
      </c>
      <c r="K7825">
        <v>67.996489999999994</v>
      </c>
      <c r="L7825">
        <v>11.84182</v>
      </c>
      <c r="M7825">
        <v>32.000349999999997</v>
      </c>
      <c r="N7825">
        <v>20.3</v>
      </c>
      <c r="O7825">
        <v>11.70035</v>
      </c>
      <c r="P7825">
        <v>25.8</v>
      </c>
      <c r="Q7825">
        <v>26.90035</v>
      </c>
      <c r="R7825">
        <v>27.100349999999999</v>
      </c>
      <c r="S7825">
        <v>24.1</v>
      </c>
      <c r="T7825">
        <v>1039.982</v>
      </c>
      <c r="U7825">
        <v>250.9965</v>
      </c>
      <c r="V7825">
        <v>14</v>
      </c>
      <c r="W7825">
        <v>69.996489999999994</v>
      </c>
      <c r="X7825">
        <v>511.98599999999999</v>
      </c>
      <c r="Y7825">
        <v>80</v>
      </c>
      <c r="Z7825">
        <v>202.99299999999999</v>
      </c>
      <c r="AA7825">
        <v>217.9965</v>
      </c>
      <c r="AB7825">
        <v>5.3012280000000001</v>
      </c>
      <c r="AC7825">
        <v>3.1567329999999998E-2</v>
      </c>
      <c r="AD7825">
        <v>1.619675</v>
      </c>
      <c r="AE7825">
        <v>0.47511140000000002</v>
      </c>
      <c r="AF7825">
        <v>48.077190000000002</v>
      </c>
      <c r="AG7825">
        <f>IFERROR(AH7825*0.1, "N/A")</f>
        <v>5.987368</v>
      </c>
      <c r="AH7825">
        <v>59.87368</v>
      </c>
      <c r="AI7825">
        <v>178.3073</v>
      </c>
      <c r="AJ7825">
        <v>14.41404</v>
      </c>
      <c r="AK7825">
        <v>71.729820000000004</v>
      </c>
    </row>
    <row r="7826" spans="1:37" x14ac:dyDescent="0.3">
      <c r="A7826">
        <v>7825</v>
      </c>
      <c r="B7826">
        <v>0</v>
      </c>
      <c r="C7826">
        <v>39.612499999999997</v>
      </c>
      <c r="D7826">
        <v>-3.5605000000000002</v>
      </c>
      <c r="E7826" t="s">
        <v>11682</v>
      </c>
      <c r="F7826" t="s">
        <v>11683</v>
      </c>
      <c r="G7826" t="s">
        <v>39</v>
      </c>
      <c r="H7826">
        <v>1993</v>
      </c>
      <c r="I7826">
        <v>24.4</v>
      </c>
      <c r="J7826">
        <v>8.5</v>
      </c>
      <c r="K7826">
        <v>68</v>
      </c>
      <c r="L7826">
        <v>13.05</v>
      </c>
      <c r="M7826">
        <v>31.1</v>
      </c>
      <c r="N7826">
        <v>18.600000000000001</v>
      </c>
      <c r="O7826">
        <v>12.5</v>
      </c>
      <c r="P7826">
        <v>24.2</v>
      </c>
      <c r="Q7826">
        <v>25.8</v>
      </c>
      <c r="R7826">
        <v>25.9</v>
      </c>
      <c r="S7826">
        <v>22.6</v>
      </c>
      <c r="T7826">
        <v>911</v>
      </c>
      <c r="U7826">
        <v>170</v>
      </c>
      <c r="V7826">
        <v>20</v>
      </c>
      <c r="W7826">
        <v>53</v>
      </c>
      <c r="X7826">
        <v>346</v>
      </c>
      <c r="Y7826">
        <v>102</v>
      </c>
      <c r="Z7826">
        <v>182</v>
      </c>
      <c r="AA7826">
        <v>172</v>
      </c>
      <c r="AB7826">
        <v>23.464670000000002</v>
      </c>
      <c r="AC7826">
        <v>1.8472820000000001E-2</v>
      </c>
      <c r="AD7826">
        <v>2.2641070000000001</v>
      </c>
      <c r="AE7826">
        <v>0.69493959999999999</v>
      </c>
      <c r="AF7826">
        <v>229.9016</v>
      </c>
      <c r="AG7826">
        <f>IFERROR(AH7826*0.1, "N/A")</f>
        <v>5.8841830000000002</v>
      </c>
      <c r="AH7826">
        <v>58.841830000000002</v>
      </c>
      <c r="AI7826">
        <v>35.692059999999998</v>
      </c>
      <c r="AJ7826">
        <v>16.02636</v>
      </c>
      <c r="AK7826">
        <v>70.987700000000004</v>
      </c>
    </row>
    <row r="7827" spans="1:37" x14ac:dyDescent="0.3">
      <c r="A7827">
        <v>7826</v>
      </c>
      <c r="B7827">
        <v>0</v>
      </c>
      <c r="C7827">
        <v>39.866700000000002</v>
      </c>
      <c r="D7827">
        <v>-3.5666699999999998</v>
      </c>
      <c r="E7827" t="s">
        <v>11684</v>
      </c>
      <c r="F7827" t="s">
        <v>11685</v>
      </c>
      <c r="G7827" t="s">
        <v>39</v>
      </c>
      <c r="H7827">
        <v>1993</v>
      </c>
      <c r="I7827">
        <v>25.982040000000001</v>
      </c>
      <c r="J7827">
        <v>8</v>
      </c>
      <c r="K7827">
        <v>68</v>
      </c>
      <c r="L7827">
        <v>11.95945</v>
      </c>
      <c r="M7827">
        <v>32.282040000000002</v>
      </c>
      <c r="N7827">
        <v>20.582039999999999</v>
      </c>
      <c r="O7827">
        <v>11.7</v>
      </c>
      <c r="P7827">
        <v>25.983450000000001</v>
      </c>
      <c r="Q7827">
        <v>27.182040000000001</v>
      </c>
      <c r="R7827">
        <v>27.444189999999999</v>
      </c>
      <c r="S7827">
        <v>24.38204</v>
      </c>
      <c r="T7827">
        <v>1049.9929999999999</v>
      </c>
      <c r="U7827">
        <v>258.41370000000001</v>
      </c>
      <c r="V7827">
        <v>14</v>
      </c>
      <c r="W7827">
        <v>71.820419999999999</v>
      </c>
      <c r="X7827">
        <v>528.02639999999997</v>
      </c>
      <c r="Y7827">
        <v>77.179580000000001</v>
      </c>
      <c r="Z7827">
        <v>204.98589999999999</v>
      </c>
      <c r="AA7827">
        <v>222.5933</v>
      </c>
      <c r="AB7827">
        <v>0.3732394</v>
      </c>
      <c r="AC7827">
        <v>1.2318640000000001</v>
      </c>
      <c r="AD7827">
        <v>1.083663</v>
      </c>
      <c r="AE7827">
        <v>0.48472500000000002</v>
      </c>
      <c r="AF7827">
        <v>20.396129999999999</v>
      </c>
      <c r="AG7827">
        <f>IFERROR(AH7827*0.1, "N/A")</f>
        <v>6.2434860000000008</v>
      </c>
      <c r="AH7827">
        <v>62.43486</v>
      </c>
      <c r="AI7827">
        <v>117.9174</v>
      </c>
      <c r="AJ7827">
        <v>16.561620000000001</v>
      </c>
      <c r="AK7827">
        <v>71.795770000000005</v>
      </c>
    </row>
    <row r="7828" spans="1:37" x14ac:dyDescent="0.3">
      <c r="A7828">
        <v>7827</v>
      </c>
      <c r="B7828">
        <v>59.5</v>
      </c>
      <c r="C7828">
        <v>37.775100000000002</v>
      </c>
      <c r="D7828">
        <v>-3.58019</v>
      </c>
      <c r="E7828" t="s">
        <v>11686</v>
      </c>
      <c r="F7828" t="s">
        <v>11687</v>
      </c>
      <c r="G7828" t="s">
        <v>37</v>
      </c>
      <c r="H7828">
        <v>1978</v>
      </c>
      <c r="I7828">
        <v>23.6</v>
      </c>
      <c r="J7828">
        <v>11.9</v>
      </c>
      <c r="K7828">
        <v>70</v>
      </c>
      <c r="L7828">
        <v>16.60838</v>
      </c>
      <c r="M7828">
        <v>32.700000000000003</v>
      </c>
      <c r="N7828">
        <v>15.7</v>
      </c>
      <c r="O7828">
        <v>17</v>
      </c>
      <c r="P7828">
        <v>24.34534</v>
      </c>
      <c r="Q7828">
        <v>21.5</v>
      </c>
      <c r="R7828">
        <v>25.5</v>
      </c>
      <c r="S7828">
        <v>21.245339999999999</v>
      </c>
      <c r="T7828">
        <v>554.09310000000005</v>
      </c>
      <c r="U7828">
        <v>118.5466</v>
      </c>
      <c r="V7828">
        <v>6</v>
      </c>
      <c r="W7828">
        <v>77</v>
      </c>
      <c r="X7828">
        <v>267.54660000000001</v>
      </c>
      <c r="Y7828">
        <v>21</v>
      </c>
      <c r="Z7828">
        <v>168.54660000000001</v>
      </c>
      <c r="AA7828">
        <v>22</v>
      </c>
      <c r="AB7828">
        <v>4.3495540000000004</v>
      </c>
      <c r="AC7828">
        <v>2.9403019999999998E-2</v>
      </c>
      <c r="AD7828">
        <v>1.3599619999999999</v>
      </c>
      <c r="AE7828">
        <v>0.26988570000000001</v>
      </c>
      <c r="AF7828">
        <v>714.87350000000004</v>
      </c>
      <c r="AG7828">
        <f>IFERROR(AH7828*0.1, "N/A")</f>
        <v>6.6458699999999995</v>
      </c>
      <c r="AH7828">
        <v>66.458699999999993</v>
      </c>
      <c r="AI7828">
        <v>277.32780000000002</v>
      </c>
      <c r="AJ7828">
        <v>26.388400000000001</v>
      </c>
      <c r="AK7828">
        <v>55.996490000000001</v>
      </c>
    </row>
    <row r="7829" spans="1:37" x14ac:dyDescent="0.3">
      <c r="A7829">
        <v>7828</v>
      </c>
      <c r="B7829">
        <v>0.4</v>
      </c>
      <c r="C7829">
        <v>37.775100000000002</v>
      </c>
      <c r="D7829">
        <v>-3.58019</v>
      </c>
      <c r="E7829" t="s">
        <v>11686</v>
      </c>
      <c r="F7829" t="s">
        <v>11688</v>
      </c>
      <c r="G7829" t="s">
        <v>39</v>
      </c>
      <c r="H7829">
        <v>1978</v>
      </c>
      <c r="I7829">
        <v>23.6</v>
      </c>
      <c r="J7829">
        <v>11.9</v>
      </c>
      <c r="K7829">
        <v>70</v>
      </c>
      <c r="L7829">
        <v>16.60838</v>
      </c>
      <c r="M7829">
        <v>32.700000000000003</v>
      </c>
      <c r="N7829">
        <v>15.7</v>
      </c>
      <c r="O7829">
        <v>17</v>
      </c>
      <c r="P7829">
        <v>24.34534</v>
      </c>
      <c r="Q7829">
        <v>21.5</v>
      </c>
      <c r="R7829">
        <v>25.5</v>
      </c>
      <c r="S7829">
        <v>21.245339999999999</v>
      </c>
      <c r="T7829">
        <v>554.09310000000005</v>
      </c>
      <c r="U7829">
        <v>118.5466</v>
      </c>
      <c r="V7829">
        <v>6</v>
      </c>
      <c r="W7829">
        <v>77</v>
      </c>
      <c r="X7829">
        <v>267.54660000000001</v>
      </c>
      <c r="Y7829">
        <v>21</v>
      </c>
      <c r="Z7829">
        <v>168.54660000000001</v>
      </c>
      <c r="AA7829">
        <v>22</v>
      </c>
      <c r="AB7829">
        <v>4.3495540000000004</v>
      </c>
      <c r="AC7829">
        <v>2.9403019999999998E-2</v>
      </c>
      <c r="AD7829">
        <v>1.3599619999999999</v>
      </c>
      <c r="AE7829">
        <v>0.26988570000000001</v>
      </c>
      <c r="AF7829">
        <v>714.87350000000004</v>
      </c>
      <c r="AG7829">
        <f>IFERROR(AH7829*0.1, "N/A")</f>
        <v>6.6458699999999995</v>
      </c>
      <c r="AH7829">
        <v>66.458699999999993</v>
      </c>
      <c r="AI7829">
        <v>277.32780000000002</v>
      </c>
      <c r="AJ7829">
        <v>26.388400000000001</v>
      </c>
      <c r="AK7829">
        <v>55.996490000000001</v>
      </c>
    </row>
    <row r="7830" spans="1:37" x14ac:dyDescent="0.3">
      <c r="A7830">
        <v>7829</v>
      </c>
      <c r="B7830">
        <v>0</v>
      </c>
      <c r="C7830">
        <v>39.6</v>
      </c>
      <c r="D7830">
        <v>-3.6</v>
      </c>
      <c r="E7830" t="s">
        <v>11689</v>
      </c>
      <c r="F7830" t="s">
        <v>11690</v>
      </c>
      <c r="G7830" t="s">
        <v>39</v>
      </c>
      <c r="H7830">
        <v>1993</v>
      </c>
      <c r="I7830">
        <v>24.20035</v>
      </c>
      <c r="J7830">
        <v>8.4869719999999997</v>
      </c>
      <c r="K7830">
        <v>67.012320000000003</v>
      </c>
      <c r="L7830">
        <v>13.302149999999999</v>
      </c>
      <c r="M7830">
        <v>30.90035</v>
      </c>
      <c r="N7830">
        <v>18.314609999999998</v>
      </c>
      <c r="O7830">
        <v>12.585739999999999</v>
      </c>
      <c r="P7830">
        <v>24.041899999999998</v>
      </c>
      <c r="Q7830">
        <v>25.600349999999999</v>
      </c>
      <c r="R7830">
        <v>25.71461</v>
      </c>
      <c r="S7830">
        <v>22.40035</v>
      </c>
      <c r="T7830">
        <v>931.23940000000005</v>
      </c>
      <c r="U7830">
        <v>164.7183</v>
      </c>
      <c r="V7830">
        <v>22</v>
      </c>
      <c r="W7830">
        <v>51</v>
      </c>
      <c r="X7830">
        <v>344.9982</v>
      </c>
      <c r="Y7830">
        <v>107.7077</v>
      </c>
      <c r="Z7830">
        <v>188.85740000000001</v>
      </c>
      <c r="AA7830">
        <v>177.55279999999999</v>
      </c>
      <c r="AB7830">
        <v>13.18099</v>
      </c>
      <c r="AC7830">
        <v>1.46144E-2</v>
      </c>
      <c r="AD7830">
        <v>1.19503</v>
      </c>
      <c r="AE7830">
        <v>0.70149760000000005</v>
      </c>
      <c r="AF7830">
        <v>261.5933</v>
      </c>
      <c r="AG7830">
        <f>IFERROR(AH7830*0.1, "N/A")</f>
        <v>5.4130280000000006</v>
      </c>
      <c r="AH7830">
        <v>54.130279999999999</v>
      </c>
      <c r="AI7830">
        <v>67.729979999999998</v>
      </c>
      <c r="AJ7830">
        <v>24.510560000000002</v>
      </c>
      <c r="AK7830">
        <v>64.369720000000001</v>
      </c>
    </row>
    <row r="7831" spans="1:37" x14ac:dyDescent="0.3">
      <c r="A7831">
        <v>7830</v>
      </c>
      <c r="B7831">
        <v>0</v>
      </c>
      <c r="C7831">
        <v>39.743000000000002</v>
      </c>
      <c r="D7831">
        <v>-3.6190199999999999</v>
      </c>
      <c r="E7831" t="s">
        <v>11691</v>
      </c>
      <c r="F7831" t="s">
        <v>11692</v>
      </c>
      <c r="G7831" t="s">
        <v>39</v>
      </c>
      <c r="H7831">
        <v>1993</v>
      </c>
      <c r="I7831">
        <v>25.2</v>
      </c>
      <c r="J7831">
        <v>8.1</v>
      </c>
      <c r="K7831">
        <v>67</v>
      </c>
      <c r="L7831">
        <v>12.6</v>
      </c>
      <c r="M7831">
        <v>31.6</v>
      </c>
      <c r="N7831">
        <v>19.600000000000001</v>
      </c>
      <c r="O7831">
        <v>12</v>
      </c>
      <c r="P7831">
        <v>25.1</v>
      </c>
      <c r="Q7831">
        <v>26.5</v>
      </c>
      <c r="R7831">
        <v>26.7</v>
      </c>
      <c r="S7831">
        <v>23.5</v>
      </c>
      <c r="T7831">
        <v>1031</v>
      </c>
      <c r="U7831">
        <v>236</v>
      </c>
      <c r="V7831">
        <v>17</v>
      </c>
      <c r="W7831">
        <v>65</v>
      </c>
      <c r="X7831">
        <v>472</v>
      </c>
      <c r="Y7831">
        <v>88</v>
      </c>
      <c r="Z7831">
        <v>200</v>
      </c>
      <c r="AA7831">
        <v>213</v>
      </c>
      <c r="AB7831">
        <v>65.88897</v>
      </c>
      <c r="AC7831">
        <v>1.4940709999999999E-2</v>
      </c>
      <c r="AD7831">
        <v>1.039749</v>
      </c>
      <c r="AE7831">
        <v>0.64288940000000006</v>
      </c>
      <c r="AF7831">
        <v>83.022769999999994</v>
      </c>
      <c r="AG7831">
        <f>IFERROR(AH7831*0.1, "N/A")</f>
        <v>6.3000000000000007</v>
      </c>
      <c r="AH7831">
        <v>63</v>
      </c>
      <c r="AI7831">
        <v>64.210679999999996</v>
      </c>
      <c r="AJ7831">
        <v>25</v>
      </c>
      <c r="AK7831">
        <v>53</v>
      </c>
    </row>
    <row r="7832" spans="1:37" x14ac:dyDescent="0.3">
      <c r="A7832">
        <v>7831</v>
      </c>
      <c r="B7832">
        <v>5.5</v>
      </c>
      <c r="C7832">
        <v>39.641300000000001</v>
      </c>
      <c r="D7832">
        <v>-3.62629</v>
      </c>
      <c r="E7832" t="s">
        <v>11693</v>
      </c>
      <c r="F7832" t="s">
        <v>11694</v>
      </c>
      <c r="G7832" t="s">
        <v>39</v>
      </c>
      <c r="H7832">
        <v>1993</v>
      </c>
      <c r="I7832">
        <v>24.4</v>
      </c>
      <c r="J7832">
        <v>8.4</v>
      </c>
      <c r="K7832">
        <v>67</v>
      </c>
      <c r="L7832">
        <v>13.08541</v>
      </c>
      <c r="M7832">
        <v>31</v>
      </c>
      <c r="N7832">
        <v>18.600000000000001</v>
      </c>
      <c r="O7832">
        <v>12.4</v>
      </c>
      <c r="P7832">
        <v>24.3</v>
      </c>
      <c r="Q7832">
        <v>25.8</v>
      </c>
      <c r="R7832">
        <v>26</v>
      </c>
      <c r="S7832">
        <v>22.7</v>
      </c>
      <c r="T7832">
        <v>979.81200000000001</v>
      </c>
      <c r="U7832">
        <v>189.40600000000001</v>
      </c>
      <c r="V7832">
        <v>21</v>
      </c>
      <c r="W7832">
        <v>54.135330000000003</v>
      </c>
      <c r="X7832">
        <v>386.81200000000001</v>
      </c>
      <c r="Y7832">
        <v>101.8647</v>
      </c>
      <c r="Z7832">
        <v>193</v>
      </c>
      <c r="AA7832">
        <v>199.54130000000001</v>
      </c>
      <c r="AB7832">
        <v>8.2780349999999991</v>
      </c>
      <c r="AC7832">
        <v>0.1041574</v>
      </c>
      <c r="AD7832">
        <v>2.4418500000000001</v>
      </c>
      <c r="AE7832">
        <v>0.70419790000000004</v>
      </c>
      <c r="AF7832">
        <v>208.08080000000001</v>
      </c>
      <c r="AG7832">
        <f>IFERROR(AH7832*0.1, "N/A")</f>
        <v>5.7782070000000001</v>
      </c>
      <c r="AH7832">
        <v>57.782069999999997</v>
      </c>
      <c r="AI7832">
        <v>273.55560000000003</v>
      </c>
      <c r="AJ7832">
        <v>19.72935</v>
      </c>
      <c r="AK7832">
        <v>67.458699999999993</v>
      </c>
    </row>
    <row r="7833" spans="1:37" x14ac:dyDescent="0.3">
      <c r="A7833">
        <v>7832</v>
      </c>
      <c r="B7833">
        <v>14.5</v>
      </c>
      <c r="C7833">
        <v>39.85</v>
      </c>
      <c r="D7833">
        <v>-3.6333299999999999</v>
      </c>
      <c r="E7833" t="s">
        <v>11695</v>
      </c>
      <c r="F7833" t="s">
        <v>11696</v>
      </c>
      <c r="G7833" t="s">
        <v>39</v>
      </c>
      <c r="H7833">
        <v>1987</v>
      </c>
      <c r="I7833">
        <v>25.928180000000001</v>
      </c>
      <c r="J7833">
        <v>7.9</v>
      </c>
      <c r="K7833">
        <v>67</v>
      </c>
      <c r="L7833">
        <v>12.154640000000001</v>
      </c>
      <c r="M7833">
        <v>32.228180000000002</v>
      </c>
      <c r="N7833">
        <v>20.528179999999999</v>
      </c>
      <c r="O7833">
        <v>11.7</v>
      </c>
      <c r="P7833">
        <v>25.928180000000001</v>
      </c>
      <c r="Q7833">
        <v>27.2</v>
      </c>
      <c r="R7833">
        <v>27.4</v>
      </c>
      <c r="S7833">
        <v>24.32818</v>
      </c>
      <c r="T7833">
        <v>1065.873</v>
      </c>
      <c r="U7833">
        <v>258.56360000000001</v>
      </c>
      <c r="V7833">
        <v>14.71818</v>
      </c>
      <c r="W7833">
        <v>71.281819999999996</v>
      </c>
      <c r="X7833">
        <v>533.84550000000002</v>
      </c>
      <c r="Y7833">
        <v>80.15455</v>
      </c>
      <c r="Z7833">
        <v>210.43639999999999</v>
      </c>
      <c r="AA7833">
        <v>229</v>
      </c>
      <c r="AB7833">
        <v>17.09666</v>
      </c>
      <c r="AC7833">
        <v>1.2421049999999999E-2</v>
      </c>
      <c r="AD7833">
        <v>3.1949000000000001</v>
      </c>
      <c r="AE7833">
        <v>0.62073250000000002</v>
      </c>
      <c r="AF7833">
        <v>23.306339999999999</v>
      </c>
      <c r="AG7833">
        <f>IFERROR(AH7833*0.1, "N/A")</f>
        <v>6.0077460000000009</v>
      </c>
      <c r="AH7833">
        <v>60.077460000000002</v>
      </c>
      <c r="AI7833">
        <v>197.11770000000001</v>
      </c>
      <c r="AJ7833">
        <v>26.436620000000001</v>
      </c>
      <c r="AK7833">
        <v>56.281689999999998</v>
      </c>
    </row>
    <row r="7834" spans="1:37" x14ac:dyDescent="0.3">
      <c r="A7834">
        <v>7833</v>
      </c>
      <c r="B7834">
        <v>11.6</v>
      </c>
      <c r="C7834">
        <v>39.466700000000003</v>
      </c>
      <c r="D7834">
        <v>-3.6333299999999999</v>
      </c>
      <c r="E7834" t="s">
        <v>11697</v>
      </c>
      <c r="F7834" t="s">
        <v>11698</v>
      </c>
      <c r="G7834" t="s">
        <v>39</v>
      </c>
      <c r="H7834">
        <v>1993</v>
      </c>
      <c r="I7834">
        <v>24.449819999999999</v>
      </c>
      <c r="J7834">
        <v>8.6999999999999993</v>
      </c>
      <c r="K7834">
        <v>66.498239999999996</v>
      </c>
      <c r="L7834">
        <v>13.379099999999999</v>
      </c>
      <c r="M7834">
        <v>31.3</v>
      </c>
      <c r="N7834">
        <v>18.399650000000001</v>
      </c>
      <c r="O7834">
        <v>12.90035</v>
      </c>
      <c r="P7834">
        <v>25.411269999999998</v>
      </c>
      <c r="Q7834">
        <v>25.86919</v>
      </c>
      <c r="R7834">
        <v>25.96144</v>
      </c>
      <c r="S7834">
        <v>22.64208</v>
      </c>
      <c r="T7834">
        <v>839.34680000000003</v>
      </c>
      <c r="U7834">
        <v>136.03700000000001</v>
      </c>
      <c r="V7834">
        <v>23.385560000000002</v>
      </c>
      <c r="W7834">
        <v>48.116199999999999</v>
      </c>
      <c r="X7834">
        <v>295.8451</v>
      </c>
      <c r="Y7834">
        <v>110.3856</v>
      </c>
      <c r="Z7834">
        <v>183.19370000000001</v>
      </c>
      <c r="AA7834">
        <v>149.5986</v>
      </c>
      <c r="AB7834">
        <v>11.846299999999999</v>
      </c>
      <c r="AC7834">
        <v>1.8669120000000001E-2</v>
      </c>
      <c r="AD7834">
        <v>1.8916230000000001</v>
      </c>
      <c r="AE7834">
        <v>0.69110850000000001</v>
      </c>
      <c r="AF7834">
        <v>235.95599999999999</v>
      </c>
      <c r="AG7834">
        <f>IFERROR(AH7834*0.1, "N/A")</f>
        <v>6.1614440000000004</v>
      </c>
      <c r="AH7834">
        <v>61.614440000000002</v>
      </c>
      <c r="AI7834">
        <v>68.035309999999996</v>
      </c>
      <c r="AJ7834">
        <v>17</v>
      </c>
      <c r="AK7834">
        <v>66.614440000000002</v>
      </c>
    </row>
    <row r="7835" spans="1:37" x14ac:dyDescent="0.3">
      <c r="A7835">
        <v>7834</v>
      </c>
      <c r="B7835">
        <v>1.5</v>
      </c>
      <c r="C7835">
        <v>39.816699999999997</v>
      </c>
      <c r="D7835">
        <v>-3.7</v>
      </c>
      <c r="E7835" t="s">
        <v>11699</v>
      </c>
      <c r="F7835" t="s">
        <v>11700</v>
      </c>
      <c r="G7835" t="s">
        <v>39</v>
      </c>
      <c r="H7835">
        <v>1993</v>
      </c>
      <c r="I7835">
        <v>25.77403</v>
      </c>
      <c r="J7835">
        <v>7.9891230000000002</v>
      </c>
      <c r="K7835">
        <v>66.891229999999993</v>
      </c>
      <c r="L7835">
        <v>12.546670000000001</v>
      </c>
      <c r="M7835">
        <v>32.142809999999997</v>
      </c>
      <c r="N7835">
        <v>20.253679999999999</v>
      </c>
      <c r="O7835">
        <v>11.88912</v>
      </c>
      <c r="P7835">
        <v>25.753679999999999</v>
      </c>
      <c r="Q7835">
        <v>27.05368</v>
      </c>
      <c r="R7835">
        <v>27.27403</v>
      </c>
      <c r="S7835">
        <v>24.07404</v>
      </c>
      <c r="T7835">
        <v>1091.498</v>
      </c>
      <c r="U7835">
        <v>263.89120000000003</v>
      </c>
      <c r="V7835">
        <v>14.35439</v>
      </c>
      <c r="W7835">
        <v>70.536839999999998</v>
      </c>
      <c r="X7835">
        <v>542.68769999999995</v>
      </c>
      <c r="Y7835">
        <v>82.266670000000005</v>
      </c>
      <c r="Z7835">
        <v>219.19300000000001</v>
      </c>
      <c r="AA7835">
        <v>232.3895</v>
      </c>
      <c r="AB7835">
        <v>26.338239999999999</v>
      </c>
      <c r="AC7835">
        <v>1.284049E-2</v>
      </c>
      <c r="AD7835">
        <v>6.7757990000000001</v>
      </c>
      <c r="AE7835">
        <v>0.46582960000000001</v>
      </c>
      <c r="AF7835">
        <v>26.133330000000001</v>
      </c>
      <c r="AG7835">
        <f>IFERROR(AH7835*0.1, "N/A")</f>
        <v>6.3312280000000003</v>
      </c>
      <c r="AH7835">
        <v>63.312280000000001</v>
      </c>
      <c r="AI7835">
        <v>305.86040000000003</v>
      </c>
      <c r="AJ7835">
        <v>21.312280000000001</v>
      </c>
      <c r="AK7835">
        <v>62.063160000000003</v>
      </c>
    </row>
    <row r="7836" spans="1:37" x14ac:dyDescent="0.3">
      <c r="A7836">
        <v>7835</v>
      </c>
      <c r="B7836">
        <v>0</v>
      </c>
      <c r="C7836">
        <v>39.783299999999997</v>
      </c>
      <c r="D7836">
        <v>-3.73333</v>
      </c>
      <c r="E7836" t="s">
        <v>11701</v>
      </c>
      <c r="F7836" t="s">
        <v>11702</v>
      </c>
      <c r="G7836" t="s">
        <v>39</v>
      </c>
      <c r="H7836">
        <v>1993</v>
      </c>
      <c r="I7836">
        <v>25.318069999999999</v>
      </c>
      <c r="J7836">
        <v>8</v>
      </c>
      <c r="K7836">
        <v>66.436840000000004</v>
      </c>
      <c r="L7836">
        <v>12.662000000000001</v>
      </c>
      <c r="M7836">
        <v>31.718070000000001</v>
      </c>
      <c r="N7836">
        <v>19.761749999999999</v>
      </c>
      <c r="O7836">
        <v>11.95632</v>
      </c>
      <c r="P7836">
        <v>25.275259999999999</v>
      </c>
      <c r="Q7836">
        <v>26.70947</v>
      </c>
      <c r="R7836">
        <v>26.818069999999999</v>
      </c>
      <c r="S7836">
        <v>23.661750000000001</v>
      </c>
      <c r="T7836">
        <v>1127.1890000000001</v>
      </c>
      <c r="U7836">
        <v>264.52280000000002</v>
      </c>
      <c r="V7836">
        <v>15</v>
      </c>
      <c r="W7836">
        <v>68.571929999999995</v>
      </c>
      <c r="X7836">
        <v>544.74040000000002</v>
      </c>
      <c r="Y7836">
        <v>87.428070000000005</v>
      </c>
      <c r="Z7836">
        <v>229.4649</v>
      </c>
      <c r="AA7836">
        <v>257.37540000000001</v>
      </c>
      <c r="AB7836">
        <v>5.3370179999999996</v>
      </c>
      <c r="AC7836">
        <v>0.2511119</v>
      </c>
      <c r="AD7836">
        <v>4.3565810000000003</v>
      </c>
      <c r="AE7836">
        <v>0.71262979999999998</v>
      </c>
      <c r="AF7836">
        <v>38.226320000000001</v>
      </c>
      <c r="AG7836">
        <f>IFERROR(AH7836*0.1, "N/A")</f>
        <v>6.4361400000000009</v>
      </c>
      <c r="AH7836">
        <v>64.361400000000003</v>
      </c>
      <c r="AI7836">
        <v>280.26799999999997</v>
      </c>
      <c r="AJ7836">
        <v>31</v>
      </c>
      <c r="AK7836">
        <v>46.638599999999997</v>
      </c>
    </row>
    <row r="7837" spans="1:37" x14ac:dyDescent="0.3">
      <c r="A7837">
        <v>7836</v>
      </c>
      <c r="B7837">
        <v>0</v>
      </c>
      <c r="C7837">
        <v>39.833300000000001</v>
      </c>
      <c r="D7837">
        <v>-3.7833299999999999</v>
      </c>
      <c r="E7837" t="s">
        <v>11703</v>
      </c>
      <c r="F7837" t="s">
        <v>11704</v>
      </c>
      <c r="G7837" t="s">
        <v>39</v>
      </c>
      <c r="H7837">
        <v>1993</v>
      </c>
      <c r="I7837">
        <v>25.9</v>
      </c>
      <c r="J7837">
        <v>7.9</v>
      </c>
      <c r="K7837">
        <v>66</v>
      </c>
      <c r="L7837">
        <v>12.739229999999999</v>
      </c>
      <c r="M7837">
        <v>32.200000000000003</v>
      </c>
      <c r="N7837">
        <v>20.369070000000001</v>
      </c>
      <c r="O7837">
        <v>11.83093</v>
      </c>
      <c r="P7837">
        <v>25.869070000000001</v>
      </c>
      <c r="Q7837">
        <v>27.274159999999998</v>
      </c>
      <c r="R7837">
        <v>27.37416</v>
      </c>
      <c r="S7837">
        <v>24.2</v>
      </c>
      <c r="T7837">
        <v>1148.7449999999999</v>
      </c>
      <c r="U7837">
        <v>278.86989999999997</v>
      </c>
      <c r="V7837">
        <v>13</v>
      </c>
      <c r="W7837">
        <v>72.562389999999994</v>
      </c>
      <c r="X7837">
        <v>581.22850000000005</v>
      </c>
      <c r="Y7837">
        <v>85.488579999999999</v>
      </c>
      <c r="Z7837">
        <v>244.40950000000001</v>
      </c>
      <c r="AA7837">
        <v>253.35499999999999</v>
      </c>
      <c r="AB7837">
        <v>3.2676630000000002</v>
      </c>
      <c r="AC7837">
        <v>1.498726</v>
      </c>
      <c r="AD7837">
        <v>2.4947810000000001</v>
      </c>
      <c r="AE7837">
        <v>0.77998699999999999</v>
      </c>
      <c r="AF7837">
        <v>9.5289979999999996</v>
      </c>
      <c r="AG7837">
        <f>IFERROR(AH7837*0.1, "N/A")</f>
        <v>6.0367310000000005</v>
      </c>
      <c r="AH7837">
        <v>60.367310000000003</v>
      </c>
      <c r="AI7837">
        <v>70.799379999999999</v>
      </c>
      <c r="AJ7837">
        <v>23.15466</v>
      </c>
      <c r="AK7837">
        <v>58.694200000000002</v>
      </c>
    </row>
    <row r="7838" spans="1:37" x14ac:dyDescent="0.3">
      <c r="A7838">
        <v>7837</v>
      </c>
      <c r="B7838">
        <v>56.6</v>
      </c>
      <c r="C7838">
        <v>39.575299999999999</v>
      </c>
      <c r="D7838">
        <v>-3.8136800000000002</v>
      </c>
      <c r="E7838" t="s">
        <v>11705</v>
      </c>
      <c r="F7838" t="s">
        <v>11706</v>
      </c>
      <c r="G7838" t="s">
        <v>39</v>
      </c>
      <c r="H7838">
        <v>1995</v>
      </c>
      <c r="I7838">
        <v>24.547630000000002</v>
      </c>
      <c r="J7838">
        <v>8.3000000000000007</v>
      </c>
      <c r="K7838">
        <v>65</v>
      </c>
      <c r="L7838">
        <v>14.17188</v>
      </c>
      <c r="M7838">
        <v>31.3</v>
      </c>
      <c r="N7838">
        <v>18.600000000000001</v>
      </c>
      <c r="O7838">
        <v>12.7</v>
      </c>
      <c r="P7838">
        <v>24.347629999999999</v>
      </c>
      <c r="Q7838">
        <v>26.1</v>
      </c>
      <c r="R7838">
        <v>26.2</v>
      </c>
      <c r="S7838">
        <v>22.647629999999999</v>
      </c>
      <c r="T7838">
        <v>1073.6189999999999</v>
      </c>
      <c r="U7838">
        <v>185</v>
      </c>
      <c r="V7838">
        <v>26</v>
      </c>
      <c r="W7838">
        <v>51</v>
      </c>
      <c r="X7838">
        <v>403.57119999999998</v>
      </c>
      <c r="Y7838">
        <v>117.47629999999999</v>
      </c>
      <c r="Z7838">
        <v>218.47630000000001</v>
      </c>
      <c r="AA7838">
        <v>225.61859999999999</v>
      </c>
      <c r="AB7838">
        <v>2.6625679999999998</v>
      </c>
      <c r="AC7838">
        <v>0.38477980000000001</v>
      </c>
      <c r="AD7838">
        <v>2.130674</v>
      </c>
      <c r="AE7838">
        <v>0.71664079999999997</v>
      </c>
      <c r="AF7838">
        <v>212.62569999999999</v>
      </c>
      <c r="AG7838">
        <f>IFERROR(AH7838*0.1, "N/A")</f>
        <v>5.9850620000000001</v>
      </c>
      <c r="AH7838">
        <v>59.850619999999999</v>
      </c>
      <c r="AI7838">
        <v>226.95750000000001</v>
      </c>
      <c r="AJ7838">
        <v>20.47627</v>
      </c>
      <c r="AK7838">
        <v>65.462209999999999</v>
      </c>
    </row>
    <row r="7839" spans="1:37" x14ac:dyDescent="0.3">
      <c r="A7839">
        <v>7838</v>
      </c>
      <c r="B7839">
        <v>84.8</v>
      </c>
      <c r="C7839">
        <v>39.666699999999999</v>
      </c>
      <c r="D7839">
        <v>-3.8167</v>
      </c>
      <c r="E7839" t="s">
        <v>11707</v>
      </c>
      <c r="F7839" t="s">
        <v>11708</v>
      </c>
      <c r="G7839" t="s">
        <v>39</v>
      </c>
      <c r="H7839">
        <v>1998</v>
      </c>
      <c r="I7839">
        <v>24.873239999999999</v>
      </c>
      <c r="J7839">
        <v>8.1</v>
      </c>
      <c r="K7839">
        <v>65</v>
      </c>
      <c r="L7839">
        <v>13.70898</v>
      </c>
      <c r="M7839">
        <v>31.473240000000001</v>
      </c>
      <c r="N7839">
        <v>19.073239999999998</v>
      </c>
      <c r="O7839">
        <v>12.4</v>
      </c>
      <c r="P7839">
        <v>24.66461</v>
      </c>
      <c r="Q7839">
        <v>26.14349</v>
      </c>
      <c r="R7839">
        <v>26.473240000000001</v>
      </c>
      <c r="S7839">
        <v>23.064609999999998</v>
      </c>
      <c r="T7839">
        <v>1151.1479999999999</v>
      </c>
      <c r="U7839">
        <v>230.61799999999999</v>
      </c>
      <c r="V7839">
        <v>20.554580000000001</v>
      </c>
      <c r="W7839">
        <v>58.732390000000002</v>
      </c>
      <c r="X7839">
        <v>487.4982</v>
      </c>
      <c r="Y7839">
        <v>104.7077</v>
      </c>
      <c r="Z7839">
        <v>234.3151</v>
      </c>
      <c r="AA7839">
        <v>258.69369999999998</v>
      </c>
      <c r="AB7839">
        <v>23.91057</v>
      </c>
      <c r="AC7839">
        <v>1.4836149999999999E-2</v>
      </c>
      <c r="AD7839">
        <v>5.9211450000000001</v>
      </c>
      <c r="AE7839">
        <v>0.43932399999999999</v>
      </c>
      <c r="AF7839">
        <v>178.1549</v>
      </c>
      <c r="AG7839">
        <f>IFERROR(AH7839*0.1, "N/A")</f>
        <v>5.1000000000000005</v>
      </c>
      <c r="AH7839">
        <v>51</v>
      </c>
      <c r="AI7839">
        <v>274.4083</v>
      </c>
      <c r="AJ7839">
        <v>27</v>
      </c>
      <c r="AK7839">
        <v>62.320419999999999</v>
      </c>
    </row>
    <row r="7840" spans="1:37" x14ac:dyDescent="0.3">
      <c r="A7840">
        <v>7839</v>
      </c>
      <c r="B7840">
        <v>8.1999999999999993</v>
      </c>
      <c r="C7840">
        <v>39.761099999999999</v>
      </c>
      <c r="D7840">
        <v>-3.8298700000000001</v>
      </c>
      <c r="E7840" t="s">
        <v>11709</v>
      </c>
      <c r="F7840" t="s">
        <v>11710</v>
      </c>
      <c r="G7840" t="s">
        <v>39</v>
      </c>
      <c r="H7840">
        <v>2008</v>
      </c>
      <c r="I7840">
        <v>25.3</v>
      </c>
      <c r="J7840">
        <v>8</v>
      </c>
      <c r="K7840">
        <v>66</v>
      </c>
      <c r="L7840">
        <v>13.3</v>
      </c>
      <c r="M7840">
        <v>31.8</v>
      </c>
      <c r="N7840">
        <v>19.7</v>
      </c>
      <c r="O7840">
        <v>12.1</v>
      </c>
      <c r="P7840">
        <v>25.1</v>
      </c>
      <c r="Q7840">
        <v>26.8</v>
      </c>
      <c r="R7840">
        <v>26.9</v>
      </c>
      <c r="S7840">
        <v>23.6</v>
      </c>
      <c r="T7840">
        <v>1197</v>
      </c>
      <c r="U7840">
        <v>269</v>
      </c>
      <c r="V7840">
        <v>15</v>
      </c>
      <c r="W7840">
        <v>67</v>
      </c>
      <c r="X7840">
        <v>568</v>
      </c>
      <c r="Y7840">
        <v>97</v>
      </c>
      <c r="Z7840">
        <v>256</v>
      </c>
      <c r="AA7840">
        <v>245</v>
      </c>
      <c r="AB7840">
        <v>40.857900000000001</v>
      </c>
      <c r="AC7840">
        <v>1.101308E-2</v>
      </c>
      <c r="AD7840">
        <v>2.7095739999999999</v>
      </c>
      <c r="AE7840">
        <v>0.50930909999999996</v>
      </c>
      <c r="AF7840">
        <v>129.19649999999999</v>
      </c>
      <c r="AG7840">
        <f>IFERROR(AH7840*0.1, "N/A")</f>
        <v>6.0924560000000003</v>
      </c>
      <c r="AH7840">
        <v>60.92456</v>
      </c>
      <c r="AI7840">
        <v>143.2628</v>
      </c>
      <c r="AJ7840">
        <v>29.021049999999999</v>
      </c>
      <c r="AK7840">
        <v>51.989469999999997</v>
      </c>
    </row>
    <row r="7841" spans="1:37" x14ac:dyDescent="0.3">
      <c r="A7841">
        <v>7840</v>
      </c>
      <c r="B7841">
        <v>77</v>
      </c>
      <c r="C7841">
        <v>39.539200000000001</v>
      </c>
      <c r="D7841">
        <v>-3.8323499999999999</v>
      </c>
      <c r="E7841" t="s">
        <v>11711</v>
      </c>
      <c r="F7841" t="s">
        <v>11712</v>
      </c>
      <c r="G7841" t="s">
        <v>39</v>
      </c>
      <c r="H7841">
        <v>1998</v>
      </c>
      <c r="I7841">
        <v>24.800879999999999</v>
      </c>
      <c r="J7841">
        <v>8.4</v>
      </c>
      <c r="K7841">
        <v>65.991230000000002</v>
      </c>
      <c r="L7841">
        <v>13.901669999999999</v>
      </c>
      <c r="M7841">
        <v>31.500879999999999</v>
      </c>
      <c r="N7841">
        <v>18.8</v>
      </c>
      <c r="O7841">
        <v>12.70088</v>
      </c>
      <c r="P7841">
        <v>24.60088</v>
      </c>
      <c r="Q7841">
        <v>26.000879999999999</v>
      </c>
      <c r="R7841">
        <v>26.400880000000001</v>
      </c>
      <c r="S7841">
        <v>22.900880000000001</v>
      </c>
      <c r="T7841">
        <v>1043.07</v>
      </c>
      <c r="U7841">
        <v>182.05260000000001</v>
      </c>
      <c r="V7841">
        <v>24.991230000000002</v>
      </c>
      <c r="W7841">
        <v>51.008769999999998</v>
      </c>
      <c r="X7841">
        <v>390.07889999999998</v>
      </c>
      <c r="Y7841">
        <v>118.9825</v>
      </c>
      <c r="Z7841">
        <v>220.0351</v>
      </c>
      <c r="AA7841">
        <v>209.00880000000001</v>
      </c>
      <c r="AB7841">
        <v>10.680709999999999</v>
      </c>
      <c r="AC7841">
        <v>3.3892110000000003E-2</v>
      </c>
      <c r="AD7841">
        <v>1.9090290000000001</v>
      </c>
      <c r="AE7841">
        <v>0.72545289999999996</v>
      </c>
      <c r="AF7841">
        <v>179.51580000000001</v>
      </c>
      <c r="AG7841">
        <f>IFERROR(AH7841*0.1, "N/A")</f>
        <v>6.1452629999999999</v>
      </c>
      <c r="AH7841">
        <v>61.452629999999999</v>
      </c>
      <c r="AI7841">
        <v>225.55160000000001</v>
      </c>
      <c r="AJ7841">
        <v>14.23333</v>
      </c>
      <c r="AK7841">
        <v>71.008769999999998</v>
      </c>
    </row>
    <row r="7842" spans="1:37" x14ac:dyDescent="0.3">
      <c r="A7842">
        <v>7841</v>
      </c>
      <c r="B7842">
        <v>59.6</v>
      </c>
      <c r="C7842">
        <v>39.7667</v>
      </c>
      <c r="D7842">
        <v>-3.8333300000000001</v>
      </c>
      <c r="E7842" t="s">
        <v>11713</v>
      </c>
      <c r="F7842" t="s">
        <v>11714</v>
      </c>
      <c r="G7842" t="s">
        <v>39</v>
      </c>
      <c r="H7842">
        <v>1993</v>
      </c>
      <c r="I7842">
        <v>25.482980000000001</v>
      </c>
      <c r="J7842">
        <v>7.9117540000000002</v>
      </c>
      <c r="K7842">
        <v>65.117540000000005</v>
      </c>
      <c r="L7842">
        <v>13.300789999999999</v>
      </c>
      <c r="M7842">
        <v>31.924910000000001</v>
      </c>
      <c r="N7842">
        <v>19.846319999999999</v>
      </c>
      <c r="O7842">
        <v>12.0786</v>
      </c>
      <c r="P7842">
        <v>25.341049999999999</v>
      </c>
      <c r="Q7842">
        <v>26.924910000000001</v>
      </c>
      <c r="R7842">
        <v>26.99474</v>
      </c>
      <c r="S7842">
        <v>23.694739999999999</v>
      </c>
      <c r="T7842">
        <v>1200.8579999999999</v>
      </c>
      <c r="U7842">
        <v>276.89999999999998</v>
      </c>
      <c r="V7842">
        <v>13.53684</v>
      </c>
      <c r="W7842">
        <v>69.410529999999994</v>
      </c>
      <c r="X7842">
        <v>584.98419999999999</v>
      </c>
      <c r="Y7842">
        <v>94.375439999999998</v>
      </c>
      <c r="Z7842">
        <v>262.45960000000002</v>
      </c>
      <c r="AA7842">
        <v>245.30179999999999</v>
      </c>
      <c r="AB7842">
        <v>68.797719999999998</v>
      </c>
      <c r="AC7842">
        <v>8.5889720000000003E-3</v>
      </c>
      <c r="AD7842">
        <v>4.5954280000000001</v>
      </c>
      <c r="AE7842">
        <v>0.68722300000000003</v>
      </c>
      <c r="AF7842">
        <v>112.1088</v>
      </c>
      <c r="AG7842">
        <f>IFERROR(AH7842*0.1, "N/A")</f>
        <v>6.1000000000000005</v>
      </c>
      <c r="AH7842">
        <v>61</v>
      </c>
      <c r="AI7842">
        <v>102.0857</v>
      </c>
      <c r="AJ7842">
        <v>27.968419999999998</v>
      </c>
      <c r="AK7842">
        <v>50.038600000000002</v>
      </c>
    </row>
    <row r="7843" spans="1:37" x14ac:dyDescent="0.3">
      <c r="A7843">
        <v>7842</v>
      </c>
      <c r="B7843">
        <v>78.099999999999994</v>
      </c>
      <c r="C7843">
        <v>39.614699999999999</v>
      </c>
      <c r="D7843">
        <v>-3.8555799999999998</v>
      </c>
      <c r="E7843" t="s">
        <v>11715</v>
      </c>
      <c r="F7843" t="s">
        <v>11716</v>
      </c>
      <c r="G7843" t="s">
        <v>39</v>
      </c>
      <c r="H7843">
        <v>1995</v>
      </c>
      <c r="I7843">
        <v>25.1</v>
      </c>
      <c r="J7843">
        <v>8.1999999999999993</v>
      </c>
      <c r="K7843">
        <v>65</v>
      </c>
      <c r="L7843">
        <v>14.16</v>
      </c>
      <c r="M7843">
        <v>31.8</v>
      </c>
      <c r="N7843">
        <v>19.2</v>
      </c>
      <c r="O7843">
        <v>12.6</v>
      </c>
      <c r="P7843">
        <v>24.8</v>
      </c>
      <c r="Q7843">
        <v>26.3</v>
      </c>
      <c r="R7843">
        <v>26.7</v>
      </c>
      <c r="S7843">
        <v>23.2</v>
      </c>
      <c r="T7843">
        <v>1147</v>
      </c>
      <c r="U7843">
        <v>228</v>
      </c>
      <c r="V7843">
        <v>20</v>
      </c>
      <c r="W7843">
        <v>58</v>
      </c>
      <c r="X7843">
        <v>480</v>
      </c>
      <c r="Y7843">
        <v>108</v>
      </c>
      <c r="Z7843">
        <v>112</v>
      </c>
      <c r="AA7843">
        <v>247</v>
      </c>
      <c r="AB7843">
        <v>17.632580000000001</v>
      </c>
      <c r="AC7843">
        <v>2.0806939999999999E-2</v>
      </c>
      <c r="AD7843">
        <v>5.6461709999999998</v>
      </c>
      <c r="AE7843">
        <v>0.75102800000000003</v>
      </c>
      <c r="AF7843">
        <v>149.95099999999999</v>
      </c>
      <c r="AG7843">
        <f>IFERROR(AH7843*0.1, "N/A")</f>
        <v>5.9639230000000003</v>
      </c>
      <c r="AH7843">
        <v>59.639229999999998</v>
      </c>
      <c r="AI7843">
        <v>303.81790000000001</v>
      </c>
      <c r="AJ7843">
        <v>26.180389999999999</v>
      </c>
      <c r="AK7843">
        <v>60.40981</v>
      </c>
    </row>
    <row r="7844" spans="1:37" x14ac:dyDescent="0.3">
      <c r="A7844">
        <v>7843</v>
      </c>
      <c r="B7844">
        <v>72.5</v>
      </c>
      <c r="C7844">
        <v>39.577500000000001</v>
      </c>
      <c r="D7844">
        <v>-3.8614000000000002</v>
      </c>
      <c r="E7844" t="s">
        <v>11717</v>
      </c>
      <c r="F7844" t="s">
        <v>11718</v>
      </c>
      <c r="G7844" t="s">
        <v>39</v>
      </c>
      <c r="H7844">
        <v>1995</v>
      </c>
      <c r="I7844">
        <v>25</v>
      </c>
      <c r="J7844">
        <v>8.1999999999999993</v>
      </c>
      <c r="K7844">
        <v>64</v>
      </c>
      <c r="L7844">
        <v>14.14</v>
      </c>
      <c r="M7844">
        <v>31.7</v>
      </c>
      <c r="N7844">
        <v>19</v>
      </c>
      <c r="O7844">
        <v>12.7</v>
      </c>
      <c r="P7844">
        <v>24.8</v>
      </c>
      <c r="Q7844">
        <v>26.3</v>
      </c>
      <c r="R7844">
        <v>26.7</v>
      </c>
      <c r="S7844">
        <v>23.2</v>
      </c>
      <c r="T7844">
        <v>1125</v>
      </c>
      <c r="U7844">
        <v>205</v>
      </c>
      <c r="V7844">
        <v>24</v>
      </c>
      <c r="W7844">
        <v>53</v>
      </c>
      <c r="X7844">
        <v>438</v>
      </c>
      <c r="Y7844">
        <v>116</v>
      </c>
      <c r="Z7844">
        <v>122</v>
      </c>
      <c r="AA7844">
        <v>235</v>
      </c>
      <c r="AB7844">
        <v>13.1065</v>
      </c>
      <c r="AC7844">
        <v>9.6700220000000003E-3</v>
      </c>
      <c r="AD7844">
        <v>2.6848260000000002</v>
      </c>
      <c r="AE7844">
        <v>0.73412040000000001</v>
      </c>
      <c r="AF7844">
        <v>170.17779999999999</v>
      </c>
      <c r="AG7844">
        <f>IFERROR(AH7844*0.1, "N/A")</f>
        <v>6.085915</v>
      </c>
      <c r="AH7844">
        <v>60.85915</v>
      </c>
      <c r="AI7844">
        <v>81.312370000000001</v>
      </c>
      <c r="AJ7844">
        <v>17.223590000000002</v>
      </c>
      <c r="AK7844">
        <v>67.91901</v>
      </c>
    </row>
    <row r="7845" spans="1:37" x14ac:dyDescent="0.3">
      <c r="A7845">
        <v>7844</v>
      </c>
      <c r="B7845">
        <v>57.1</v>
      </c>
      <c r="C7845">
        <v>39.6</v>
      </c>
      <c r="D7845">
        <v>-3.8626100000000001</v>
      </c>
      <c r="E7845" t="s">
        <v>11719</v>
      </c>
      <c r="F7845" t="s">
        <v>11720</v>
      </c>
      <c r="G7845" t="s">
        <v>39</v>
      </c>
      <c r="H7845">
        <v>1995</v>
      </c>
      <c r="I7845">
        <v>25.014610000000001</v>
      </c>
      <c r="J7845">
        <v>8.1999999999999993</v>
      </c>
      <c r="K7845">
        <v>64.853870000000001</v>
      </c>
      <c r="L7845">
        <v>13.84731</v>
      </c>
      <c r="M7845">
        <v>31.62923</v>
      </c>
      <c r="N7845">
        <v>19.014610000000001</v>
      </c>
      <c r="O7845">
        <v>12.614610000000001</v>
      </c>
      <c r="P7845">
        <v>24.729230000000001</v>
      </c>
      <c r="Q7845">
        <v>26.21461</v>
      </c>
      <c r="R7845">
        <v>26.529229999999998</v>
      </c>
      <c r="S7845">
        <v>23.114609999999999</v>
      </c>
      <c r="T7845">
        <v>1138.1690000000001</v>
      </c>
      <c r="U7845">
        <v>208.1919</v>
      </c>
      <c r="V7845">
        <v>23.707750000000001</v>
      </c>
      <c r="W7845">
        <v>53.438380000000002</v>
      </c>
      <c r="X7845">
        <v>447.65320000000003</v>
      </c>
      <c r="Y7845">
        <v>115.2694</v>
      </c>
      <c r="Z7845">
        <v>138.9736</v>
      </c>
      <c r="AA7845">
        <v>242.58449999999999</v>
      </c>
      <c r="AB7845">
        <v>16.416889999999999</v>
      </c>
      <c r="AC7845">
        <v>9.3396669999999994E-3</v>
      </c>
      <c r="AD7845">
        <v>4.2912270000000001</v>
      </c>
      <c r="AE7845">
        <v>0.75230770000000002</v>
      </c>
      <c r="AF7845">
        <v>166.45949999999999</v>
      </c>
      <c r="AG7845">
        <f>IFERROR(AH7845*0.1, "N/A")</f>
        <v>6.1000000000000005</v>
      </c>
      <c r="AH7845">
        <v>61</v>
      </c>
      <c r="AI7845">
        <v>198.1619</v>
      </c>
      <c r="AJ7845">
        <v>21</v>
      </c>
      <c r="AK7845">
        <v>66</v>
      </c>
    </row>
    <row r="7846" spans="1:37" x14ac:dyDescent="0.3">
      <c r="A7846">
        <v>7845</v>
      </c>
      <c r="B7846">
        <v>85</v>
      </c>
      <c r="C7846">
        <v>39.569499999999998</v>
      </c>
      <c r="D7846">
        <v>-3.8768199999999999</v>
      </c>
      <c r="E7846" t="s">
        <v>11721</v>
      </c>
      <c r="F7846" t="s">
        <v>11722</v>
      </c>
      <c r="G7846" t="s">
        <v>39</v>
      </c>
      <c r="H7846">
        <v>1995</v>
      </c>
      <c r="I7846">
        <v>25.1</v>
      </c>
      <c r="J7846">
        <v>8.3000000000000007</v>
      </c>
      <c r="K7846">
        <v>65</v>
      </c>
      <c r="L7846">
        <v>14.47</v>
      </c>
      <c r="M7846">
        <v>31.8</v>
      </c>
      <c r="N7846">
        <v>19.100000000000001</v>
      </c>
      <c r="O7846">
        <v>12.7</v>
      </c>
      <c r="P7846">
        <v>24.8</v>
      </c>
      <c r="Q7846">
        <v>26.4</v>
      </c>
      <c r="R7846">
        <v>26.8</v>
      </c>
      <c r="S7846">
        <v>23.2</v>
      </c>
      <c r="T7846">
        <v>1126</v>
      </c>
      <c r="U7846">
        <v>208</v>
      </c>
      <c r="V7846">
        <v>24</v>
      </c>
      <c r="W7846">
        <v>54</v>
      </c>
      <c r="X7846">
        <v>442</v>
      </c>
      <c r="Y7846">
        <v>116</v>
      </c>
      <c r="Z7846">
        <v>123</v>
      </c>
      <c r="AA7846">
        <v>234</v>
      </c>
      <c r="AB7846">
        <v>1.183686</v>
      </c>
      <c r="AC7846">
        <v>32.712940000000003</v>
      </c>
      <c r="AD7846">
        <v>1.7308969999999999</v>
      </c>
      <c r="AE7846">
        <v>0.72606749999999998</v>
      </c>
      <c r="AF7846">
        <v>150.18600000000001</v>
      </c>
      <c r="AG7846">
        <f>IFERROR(AH7846*0.1, "N/A")</f>
        <v>6.1000000000000005</v>
      </c>
      <c r="AH7846">
        <v>61</v>
      </c>
      <c r="AI7846">
        <v>201.7268</v>
      </c>
      <c r="AJ7846">
        <v>15.096489999999999</v>
      </c>
      <c r="AK7846">
        <v>67.710530000000006</v>
      </c>
    </row>
    <row r="7847" spans="1:37" x14ac:dyDescent="0.3">
      <c r="A7847">
        <v>7846</v>
      </c>
      <c r="B7847">
        <v>50.3</v>
      </c>
      <c r="C7847">
        <v>39.612200000000001</v>
      </c>
      <c r="D7847">
        <v>-3.8771599999999999</v>
      </c>
      <c r="E7847" t="s">
        <v>11723</v>
      </c>
      <c r="F7847" t="s">
        <v>11724</v>
      </c>
      <c r="G7847" t="s">
        <v>39</v>
      </c>
      <c r="H7847">
        <v>1995</v>
      </c>
      <c r="I7847">
        <v>25.3</v>
      </c>
      <c r="J7847">
        <v>8.1999999999999993</v>
      </c>
      <c r="K7847">
        <v>65</v>
      </c>
      <c r="L7847">
        <v>13.89</v>
      </c>
      <c r="M7847">
        <v>31.9</v>
      </c>
      <c r="N7847">
        <v>19.399999999999999</v>
      </c>
      <c r="O7847">
        <v>12.5</v>
      </c>
      <c r="P7847">
        <v>25.1</v>
      </c>
      <c r="Q7847">
        <v>26.5</v>
      </c>
      <c r="R7847">
        <v>26.9</v>
      </c>
      <c r="S7847">
        <v>23.4</v>
      </c>
      <c r="T7847">
        <v>1157</v>
      </c>
      <c r="U7847">
        <v>234</v>
      </c>
      <c r="V7847">
        <v>20</v>
      </c>
      <c r="W7847">
        <v>59</v>
      </c>
      <c r="X7847">
        <v>492</v>
      </c>
      <c r="Y7847">
        <v>109</v>
      </c>
      <c r="Z7847">
        <v>250</v>
      </c>
      <c r="AA7847">
        <v>250</v>
      </c>
      <c r="AB7847">
        <v>14.60228</v>
      </c>
      <c r="AC7847">
        <v>4.6168349999999997E-2</v>
      </c>
      <c r="AD7847">
        <v>5.4263539999999999</v>
      </c>
      <c r="AE7847">
        <v>0.66482629999999998</v>
      </c>
      <c r="AF7847">
        <v>133.51840000000001</v>
      </c>
      <c r="AG7847">
        <f>IFERROR(AH7847*0.1, "N/A")</f>
        <v>6.1176880000000002</v>
      </c>
      <c r="AH7847">
        <v>61.176879999999997</v>
      </c>
      <c r="AI7847">
        <v>109.2346</v>
      </c>
      <c r="AJ7847">
        <v>22.646229999999999</v>
      </c>
      <c r="AK7847">
        <v>62.353769999999997</v>
      </c>
    </row>
    <row r="7848" spans="1:37" x14ac:dyDescent="0.3">
      <c r="A7848">
        <v>7847</v>
      </c>
      <c r="B7848">
        <v>81</v>
      </c>
      <c r="C7848">
        <v>39.548999999999999</v>
      </c>
      <c r="D7848">
        <v>-3.8832399999999998</v>
      </c>
      <c r="E7848" t="s">
        <v>11725</v>
      </c>
      <c r="F7848" t="s">
        <v>11726</v>
      </c>
      <c r="G7848" t="s">
        <v>39</v>
      </c>
      <c r="H7848">
        <v>1995</v>
      </c>
      <c r="I7848">
        <v>25.03398</v>
      </c>
      <c r="J7848">
        <v>8.3000000000000007</v>
      </c>
      <c r="K7848">
        <v>65</v>
      </c>
      <c r="L7848">
        <v>14.196020000000001</v>
      </c>
      <c r="M7848">
        <v>31.733979999999999</v>
      </c>
      <c r="N7848">
        <v>19.03398</v>
      </c>
      <c r="O7848">
        <v>12.7</v>
      </c>
      <c r="P7848">
        <v>24.833970000000001</v>
      </c>
      <c r="Q7848">
        <v>26.333970000000001</v>
      </c>
      <c r="R7848">
        <v>26.633980000000001</v>
      </c>
      <c r="S7848">
        <v>23.133980000000001</v>
      </c>
      <c r="T7848">
        <v>1095.039</v>
      </c>
      <c r="U7848">
        <v>200.69880000000001</v>
      </c>
      <c r="V7848">
        <v>25</v>
      </c>
      <c r="W7848">
        <v>53.339750000000002</v>
      </c>
      <c r="X7848">
        <v>424.05779999999999</v>
      </c>
      <c r="Y7848">
        <v>117.6602</v>
      </c>
      <c r="Z7848">
        <v>198.28720000000001</v>
      </c>
      <c r="AA7848">
        <v>221.3398</v>
      </c>
      <c r="AB7848">
        <v>8.9220659999999992</v>
      </c>
      <c r="AC7848">
        <v>1.7744320000000001E-2</v>
      </c>
      <c r="AD7848">
        <v>3.6626889999999999</v>
      </c>
      <c r="AE7848">
        <v>0.75312809999999997</v>
      </c>
      <c r="AF7848">
        <v>169.36080000000001</v>
      </c>
      <c r="AG7848">
        <f>IFERROR(AH7848*0.1, "N/A")</f>
        <v>5.9</v>
      </c>
      <c r="AH7848">
        <v>59</v>
      </c>
      <c r="AI7848">
        <v>112.8567</v>
      </c>
      <c r="AJ7848">
        <v>18.066549999999999</v>
      </c>
      <c r="AK7848">
        <v>63.966729999999998</v>
      </c>
    </row>
    <row r="7849" spans="1:37" x14ac:dyDescent="0.3">
      <c r="A7849">
        <v>7848</v>
      </c>
      <c r="B7849">
        <v>5.4</v>
      </c>
      <c r="C7849">
        <v>39.783299999999997</v>
      </c>
      <c r="D7849">
        <v>-3.8833299999999999</v>
      </c>
      <c r="E7849" t="s">
        <v>11727</v>
      </c>
      <c r="F7849" t="s">
        <v>11728</v>
      </c>
      <c r="G7849" t="s">
        <v>39</v>
      </c>
      <c r="H7849">
        <v>1993</v>
      </c>
      <c r="I7849">
        <v>26.1</v>
      </c>
      <c r="J7849">
        <v>7.9</v>
      </c>
      <c r="K7849">
        <v>65</v>
      </c>
      <c r="L7849">
        <v>13.56789</v>
      </c>
      <c r="M7849">
        <v>32.451050000000002</v>
      </c>
      <c r="N7849">
        <v>20.399999999999999</v>
      </c>
      <c r="O7849">
        <v>12.05105</v>
      </c>
      <c r="P7849">
        <v>25.908249999999999</v>
      </c>
      <c r="Q7849">
        <v>27.59018</v>
      </c>
      <c r="R7849">
        <v>27.64123</v>
      </c>
      <c r="S7849">
        <v>24.251049999999999</v>
      </c>
      <c r="T7849">
        <v>1219.086</v>
      </c>
      <c r="U7849">
        <v>291.9228</v>
      </c>
      <c r="V7849">
        <v>11</v>
      </c>
      <c r="W7849">
        <v>74</v>
      </c>
      <c r="X7849">
        <v>621.56669999999997</v>
      </c>
      <c r="Y7849">
        <v>92.901750000000007</v>
      </c>
      <c r="Z7849">
        <v>281.54559999999998</v>
      </c>
      <c r="AA7849">
        <v>244.8193</v>
      </c>
      <c r="AB7849">
        <v>6.504912</v>
      </c>
      <c r="AC7849">
        <v>1.0982469999999999E-2</v>
      </c>
      <c r="AD7849">
        <v>1.478561</v>
      </c>
      <c r="AE7849">
        <v>0.55639850000000002</v>
      </c>
      <c r="AF7849">
        <v>22.970179999999999</v>
      </c>
      <c r="AG7849">
        <f>IFERROR(AH7849*0.1, "N/A")</f>
        <v>5.7903510000000002</v>
      </c>
      <c r="AH7849">
        <v>57.903509999999997</v>
      </c>
      <c r="AI7849">
        <v>68.937790000000007</v>
      </c>
      <c r="AJ7849">
        <v>18.819299999999998</v>
      </c>
      <c r="AK7849">
        <v>64.819299999999998</v>
      </c>
    </row>
    <row r="7850" spans="1:37" x14ac:dyDescent="0.3">
      <c r="A7850">
        <v>7849</v>
      </c>
      <c r="B7850">
        <v>34.6</v>
      </c>
      <c r="C7850">
        <v>39.6</v>
      </c>
      <c r="D7850">
        <v>-3.9166699999999999</v>
      </c>
      <c r="E7850" t="s">
        <v>11729</v>
      </c>
      <c r="F7850" t="s">
        <v>11730</v>
      </c>
      <c r="G7850" t="s">
        <v>39</v>
      </c>
      <c r="H7850">
        <v>1995</v>
      </c>
      <c r="I7850">
        <v>25.29965</v>
      </c>
      <c r="J7850">
        <v>8.1999999999999993</v>
      </c>
      <c r="K7850">
        <v>64.55789</v>
      </c>
      <c r="L7850">
        <v>14.283300000000001</v>
      </c>
      <c r="M7850">
        <v>31.9407</v>
      </c>
      <c r="N7850">
        <v>19.30246</v>
      </c>
      <c r="O7850">
        <v>12.638249999999999</v>
      </c>
      <c r="P7850">
        <v>25.049469999999999</v>
      </c>
      <c r="Q7850">
        <v>26.555440000000001</v>
      </c>
      <c r="R7850">
        <v>26.899650000000001</v>
      </c>
      <c r="S7850">
        <v>23.355440000000002</v>
      </c>
      <c r="T7850">
        <v>1157.4110000000001</v>
      </c>
      <c r="U7850">
        <v>228.00700000000001</v>
      </c>
      <c r="V7850">
        <v>22.298249999999999</v>
      </c>
      <c r="W7850">
        <v>56.817540000000001</v>
      </c>
      <c r="X7850">
        <v>480.46319999999997</v>
      </c>
      <c r="Y7850">
        <v>116.24209999999999</v>
      </c>
      <c r="Z7850">
        <v>189.67019999999999</v>
      </c>
      <c r="AA7850">
        <v>245.76490000000001</v>
      </c>
      <c r="AB7850">
        <v>5.5198280000000004</v>
      </c>
      <c r="AC7850">
        <v>0.242339</v>
      </c>
      <c r="AD7850">
        <v>3.63279</v>
      </c>
      <c r="AE7850">
        <v>0.5073782</v>
      </c>
      <c r="AF7850">
        <v>135.72110000000001</v>
      </c>
      <c r="AG7850">
        <f>IFERROR(AH7850*0.1, "N/A")</f>
        <v>5.7878950000000007</v>
      </c>
      <c r="AH7850">
        <v>57.878950000000003</v>
      </c>
      <c r="AI7850">
        <v>151.3562</v>
      </c>
      <c r="AJ7850">
        <v>25.87895</v>
      </c>
      <c r="AK7850">
        <v>64.121049999999997</v>
      </c>
    </row>
    <row r="7851" spans="1:37" x14ac:dyDescent="0.3">
      <c r="A7851">
        <v>7850</v>
      </c>
      <c r="B7851">
        <v>36.299999999999997</v>
      </c>
      <c r="C7851">
        <v>39.646900000000002</v>
      </c>
      <c r="D7851">
        <v>-3.9329000000000001</v>
      </c>
      <c r="E7851" t="s">
        <v>11731</v>
      </c>
      <c r="F7851" t="s">
        <v>11732</v>
      </c>
      <c r="G7851" t="s">
        <v>39</v>
      </c>
      <c r="H7851">
        <v>1995</v>
      </c>
      <c r="I7851">
        <v>26.1</v>
      </c>
      <c r="J7851">
        <v>8.1</v>
      </c>
      <c r="K7851">
        <v>65</v>
      </c>
      <c r="L7851">
        <v>14.03</v>
      </c>
      <c r="M7851">
        <v>32.6</v>
      </c>
      <c r="N7851">
        <v>20.2</v>
      </c>
      <c r="O7851">
        <v>12.4</v>
      </c>
      <c r="P7851">
        <v>25.8</v>
      </c>
      <c r="Q7851">
        <v>27.6</v>
      </c>
      <c r="R7851">
        <v>27.6</v>
      </c>
      <c r="S7851">
        <v>24.2</v>
      </c>
      <c r="T7851">
        <v>1187</v>
      </c>
      <c r="U7851">
        <v>278</v>
      </c>
      <c r="V7851">
        <v>13</v>
      </c>
      <c r="W7851">
        <v>71</v>
      </c>
      <c r="X7851">
        <v>581</v>
      </c>
      <c r="Y7851">
        <v>102</v>
      </c>
      <c r="Z7851">
        <v>277</v>
      </c>
      <c r="AA7851">
        <v>231</v>
      </c>
      <c r="AB7851">
        <v>12.21053</v>
      </c>
      <c r="AC7851">
        <v>8.8273599999999994E-3</v>
      </c>
      <c r="AD7851">
        <v>2.3277779999999999</v>
      </c>
      <c r="AE7851">
        <v>0.57768180000000002</v>
      </c>
      <c r="AF7851">
        <v>35.584209999999999</v>
      </c>
      <c r="AG7851">
        <f>IFERROR(AH7851*0.1, "N/A")</f>
        <v>6.4889470000000005</v>
      </c>
      <c r="AH7851">
        <v>64.889470000000003</v>
      </c>
      <c r="AI7851">
        <v>220.58760000000001</v>
      </c>
      <c r="AJ7851">
        <v>25.963159999999998</v>
      </c>
      <c r="AK7851">
        <v>54.073680000000003</v>
      </c>
    </row>
    <row r="7852" spans="1:37" x14ac:dyDescent="0.3">
      <c r="A7852">
        <v>7851</v>
      </c>
      <c r="B7852">
        <v>85.3</v>
      </c>
      <c r="C7852">
        <v>39.539000000000001</v>
      </c>
      <c r="D7852">
        <v>-3.9426100000000002</v>
      </c>
      <c r="E7852" t="s">
        <v>11733</v>
      </c>
      <c r="F7852" t="s">
        <v>11734</v>
      </c>
      <c r="G7852" t="s">
        <v>39</v>
      </c>
      <c r="H7852">
        <v>1999</v>
      </c>
      <c r="I7852">
        <v>25.298770000000001</v>
      </c>
      <c r="J7852">
        <v>8.3000000000000007</v>
      </c>
      <c r="K7852">
        <v>64.012299999999996</v>
      </c>
      <c r="L7852">
        <v>14.57938</v>
      </c>
      <c r="M7852">
        <v>31.99877</v>
      </c>
      <c r="N7852">
        <v>19.2</v>
      </c>
      <c r="O7852">
        <v>12.798769999999999</v>
      </c>
      <c r="P7852">
        <v>25</v>
      </c>
      <c r="Q7852">
        <v>26.993849999999998</v>
      </c>
      <c r="R7852">
        <v>26.997540000000001</v>
      </c>
      <c r="S7852">
        <v>23.397539999999999</v>
      </c>
      <c r="T7852">
        <v>1089.037</v>
      </c>
      <c r="U7852">
        <v>221.95079999999999</v>
      </c>
      <c r="V7852">
        <v>23</v>
      </c>
      <c r="W7852">
        <v>57.9754</v>
      </c>
      <c r="X7852">
        <v>452.93849999999998</v>
      </c>
      <c r="Y7852">
        <v>121</v>
      </c>
      <c r="Z7852">
        <v>121.0123</v>
      </c>
      <c r="AA7852">
        <v>219.01230000000001</v>
      </c>
      <c r="AB7852">
        <v>7.6822499999999998</v>
      </c>
      <c r="AC7852">
        <v>9.3073909999999999E-3</v>
      </c>
      <c r="AD7852">
        <v>2.1135220000000001</v>
      </c>
      <c r="AE7852">
        <v>0.79053039999999997</v>
      </c>
      <c r="AF7852">
        <v>155.75569999999999</v>
      </c>
      <c r="AG7852">
        <f>IFERROR(AH7852*0.1, "N/A")</f>
        <v>6.1214410000000008</v>
      </c>
      <c r="AH7852">
        <v>61.214410000000001</v>
      </c>
      <c r="AI7852">
        <v>93.053740000000005</v>
      </c>
      <c r="AJ7852">
        <v>21.62566</v>
      </c>
      <c r="AK7852">
        <v>63.25132</v>
      </c>
    </row>
    <row r="7853" spans="1:37" x14ac:dyDescent="0.3">
      <c r="A7853">
        <v>7852</v>
      </c>
      <c r="B7853">
        <v>19</v>
      </c>
      <c r="C7853">
        <v>39.631300000000003</v>
      </c>
      <c r="D7853">
        <v>-3.9563700000000002</v>
      </c>
      <c r="E7853" t="s">
        <v>11735</v>
      </c>
      <c r="F7853" t="s">
        <v>11736</v>
      </c>
      <c r="G7853" t="s">
        <v>39</v>
      </c>
      <c r="H7853">
        <v>1995</v>
      </c>
      <c r="I7853">
        <v>26.1</v>
      </c>
      <c r="J7853">
        <v>8.1</v>
      </c>
      <c r="K7853">
        <v>64</v>
      </c>
      <c r="L7853">
        <v>14.31</v>
      </c>
      <c r="M7853">
        <v>32.700000000000003</v>
      </c>
      <c r="N7853">
        <v>20.100000000000001</v>
      </c>
      <c r="O7853">
        <v>12.6</v>
      </c>
      <c r="P7853">
        <v>25.9</v>
      </c>
      <c r="Q7853">
        <v>27.7</v>
      </c>
      <c r="R7853">
        <v>27.7</v>
      </c>
      <c r="S7853">
        <v>24.2</v>
      </c>
      <c r="T7853">
        <v>1172</v>
      </c>
      <c r="U7853">
        <v>274</v>
      </c>
      <c r="V7853">
        <v>14</v>
      </c>
      <c r="W7853">
        <v>69</v>
      </c>
      <c r="X7853">
        <v>565</v>
      </c>
      <c r="Y7853">
        <v>104</v>
      </c>
      <c r="Z7853">
        <v>104</v>
      </c>
      <c r="AA7853">
        <v>227</v>
      </c>
      <c r="AB7853">
        <v>44.004390000000001</v>
      </c>
      <c r="AC7853">
        <v>1.1131149999999999E-2</v>
      </c>
      <c r="AD7853">
        <v>2.9793949999999998</v>
      </c>
      <c r="AE7853">
        <v>0.74681359999999997</v>
      </c>
      <c r="AF7853">
        <v>52.39123</v>
      </c>
      <c r="AG7853">
        <f>IFERROR(AH7853*0.1, "N/A")</f>
        <v>6.4582459999999999</v>
      </c>
      <c r="AH7853">
        <v>64.582459999999998</v>
      </c>
      <c r="AI7853">
        <v>252.2764</v>
      </c>
      <c r="AJ7853">
        <v>22.096489999999999</v>
      </c>
      <c r="AK7853">
        <v>59.112279999999998</v>
      </c>
    </row>
    <row r="7854" spans="1:37" x14ac:dyDescent="0.3">
      <c r="A7854">
        <v>7853</v>
      </c>
      <c r="B7854">
        <v>1.6</v>
      </c>
      <c r="C7854">
        <v>39.646599999999999</v>
      </c>
      <c r="D7854">
        <v>-3.9690099999999999</v>
      </c>
      <c r="E7854" t="s">
        <v>11737</v>
      </c>
      <c r="F7854" t="s">
        <v>11738</v>
      </c>
      <c r="G7854" t="s">
        <v>39</v>
      </c>
      <c r="H7854">
        <v>1995</v>
      </c>
      <c r="I7854">
        <v>26.3</v>
      </c>
      <c r="J7854">
        <v>8</v>
      </c>
      <c r="K7854">
        <v>64</v>
      </c>
      <c r="L7854">
        <v>14.06</v>
      </c>
      <c r="M7854">
        <v>32.9</v>
      </c>
      <c r="N7854">
        <v>20.399999999999999</v>
      </c>
      <c r="O7854">
        <v>12.5</v>
      </c>
      <c r="P7854">
        <v>26.1</v>
      </c>
      <c r="Q7854">
        <v>27.9</v>
      </c>
      <c r="R7854">
        <v>27.9</v>
      </c>
      <c r="S7854">
        <v>24.4</v>
      </c>
      <c r="T7854">
        <v>1180</v>
      </c>
      <c r="U7854">
        <v>284</v>
      </c>
      <c r="V7854">
        <v>13</v>
      </c>
      <c r="W7854">
        <v>72</v>
      </c>
      <c r="X7854">
        <v>585</v>
      </c>
      <c r="Y7854">
        <v>101</v>
      </c>
      <c r="Z7854">
        <v>101</v>
      </c>
      <c r="AA7854">
        <v>227</v>
      </c>
      <c r="AB7854">
        <v>20.90719</v>
      </c>
      <c r="AC7854">
        <v>9.7545670000000004E-3</v>
      </c>
      <c r="AD7854">
        <v>1.7529239999999999</v>
      </c>
      <c r="AE7854">
        <v>0.72986980000000001</v>
      </c>
      <c r="AF7854">
        <v>31.55789</v>
      </c>
      <c r="AG7854">
        <f>IFERROR(AH7854*0.1, "N/A")</f>
        <v>7</v>
      </c>
      <c r="AH7854">
        <v>70</v>
      </c>
      <c r="AI7854">
        <v>205.3312</v>
      </c>
      <c r="AJ7854">
        <v>29</v>
      </c>
      <c r="AK7854">
        <v>50.26491</v>
      </c>
    </row>
    <row r="7855" spans="1:37" x14ac:dyDescent="0.3">
      <c r="A7855">
        <v>7854</v>
      </c>
      <c r="B7855">
        <v>16.7</v>
      </c>
      <c r="C7855">
        <v>39.655500000000004</v>
      </c>
      <c r="D7855">
        <v>-4.0844800000000001</v>
      </c>
      <c r="E7855" t="s">
        <v>11739</v>
      </c>
      <c r="F7855" t="s">
        <v>11740</v>
      </c>
      <c r="G7855" t="s">
        <v>39</v>
      </c>
      <c r="H7855">
        <v>1997</v>
      </c>
      <c r="I7855">
        <v>26.7</v>
      </c>
      <c r="J7855">
        <v>8</v>
      </c>
      <c r="K7855">
        <v>64</v>
      </c>
      <c r="L7855">
        <v>14.42905</v>
      </c>
      <c r="M7855">
        <v>33.200000000000003</v>
      </c>
      <c r="N7855">
        <v>20.70316</v>
      </c>
      <c r="O7855">
        <v>12.496840000000001</v>
      </c>
      <c r="P7855">
        <v>26.5</v>
      </c>
      <c r="Q7855">
        <v>28.4</v>
      </c>
      <c r="R7855">
        <v>28.4</v>
      </c>
      <c r="S7855">
        <v>24.8</v>
      </c>
      <c r="T7855">
        <v>1190.8420000000001</v>
      </c>
      <c r="U7855">
        <v>300.96839999999997</v>
      </c>
      <c r="V7855">
        <v>15.96842</v>
      </c>
      <c r="W7855">
        <v>75.031580000000005</v>
      </c>
      <c r="X7855">
        <v>608.90530000000001</v>
      </c>
      <c r="Y7855">
        <v>100.9684</v>
      </c>
      <c r="Z7855">
        <v>100.9684</v>
      </c>
      <c r="AA7855">
        <v>226.9684</v>
      </c>
      <c r="AB7855">
        <v>5.1233339999999998</v>
      </c>
      <c r="AC7855">
        <v>2.324613E-2</v>
      </c>
      <c r="AD7855">
        <v>1.1879029999999999</v>
      </c>
      <c r="AE7855">
        <v>0.85345760000000004</v>
      </c>
      <c r="AF7855">
        <v>17.084209999999999</v>
      </c>
      <c r="AG7855">
        <f>IFERROR(AH7855*0.1, "N/A")</f>
        <v>6.4133330000000006</v>
      </c>
      <c r="AH7855">
        <v>64.133330000000001</v>
      </c>
      <c r="AI7855">
        <v>242.2938</v>
      </c>
      <c r="AJ7855">
        <v>35.115789999999997</v>
      </c>
      <c r="AK7855">
        <v>43.992980000000003</v>
      </c>
    </row>
    <row r="7856" spans="1:37" x14ac:dyDescent="0.3">
      <c r="A7856">
        <v>7855</v>
      </c>
      <c r="B7856">
        <v>36.6</v>
      </c>
      <c r="C7856">
        <v>39.5518</v>
      </c>
      <c r="D7856">
        <v>-4.1049300000000004</v>
      </c>
      <c r="E7856" t="s">
        <v>11741</v>
      </c>
      <c r="F7856" t="s">
        <v>11742</v>
      </c>
      <c r="G7856" t="s">
        <v>39</v>
      </c>
      <c r="H7856">
        <v>1997</v>
      </c>
      <c r="I7856">
        <v>26.2</v>
      </c>
      <c r="J7856">
        <v>8.1999999999999993</v>
      </c>
      <c r="K7856">
        <v>64</v>
      </c>
      <c r="L7856">
        <v>14.49</v>
      </c>
      <c r="M7856">
        <v>32.799999999999997</v>
      </c>
      <c r="N7856">
        <v>20.100000000000001</v>
      </c>
      <c r="O7856">
        <v>12.7</v>
      </c>
      <c r="P7856">
        <v>25.9</v>
      </c>
      <c r="Q7856">
        <v>27.8</v>
      </c>
      <c r="R7856">
        <v>27.8</v>
      </c>
      <c r="S7856">
        <v>24.2</v>
      </c>
      <c r="T7856">
        <v>1120</v>
      </c>
      <c r="U7856">
        <v>261</v>
      </c>
      <c r="V7856">
        <v>18</v>
      </c>
      <c r="W7856">
        <v>69</v>
      </c>
      <c r="X7856">
        <v>541</v>
      </c>
      <c r="Y7856">
        <v>100</v>
      </c>
      <c r="Z7856">
        <v>100</v>
      </c>
      <c r="AA7856">
        <v>216</v>
      </c>
      <c r="AB7856">
        <v>48.608269999999997</v>
      </c>
      <c r="AC7856">
        <v>9.5921619999999996E-3</v>
      </c>
      <c r="AD7856">
        <v>4.7061000000000002</v>
      </c>
      <c r="AE7856">
        <v>0.75999139999999998</v>
      </c>
      <c r="AF7856">
        <v>77.889080000000007</v>
      </c>
      <c r="AG7856">
        <f>IFERROR(AH7856*0.1, "N/A")</f>
        <v>6.4750000000000005</v>
      </c>
      <c r="AH7856">
        <v>64.75</v>
      </c>
      <c r="AI7856">
        <v>283.94110000000001</v>
      </c>
      <c r="AJ7856">
        <v>30.739439999999998</v>
      </c>
      <c r="AK7856">
        <v>50.454230000000003</v>
      </c>
    </row>
    <row r="7857" spans="1:37" x14ac:dyDescent="0.3">
      <c r="A7857">
        <v>7856</v>
      </c>
      <c r="B7857">
        <v>13.1</v>
      </c>
      <c r="C7857">
        <v>39.627000000000002</v>
      </c>
      <c r="D7857">
        <v>-4.1181400000000004</v>
      </c>
      <c r="E7857" t="s">
        <v>11743</v>
      </c>
      <c r="F7857" t="s">
        <v>11744</v>
      </c>
      <c r="G7857" t="s">
        <v>39</v>
      </c>
      <c r="H7857">
        <v>1997</v>
      </c>
      <c r="I7857">
        <v>26.6</v>
      </c>
      <c r="J7857">
        <v>8</v>
      </c>
      <c r="K7857">
        <v>63</v>
      </c>
      <c r="L7857">
        <v>14.66</v>
      </c>
      <c r="M7857">
        <v>33.200000000000003</v>
      </c>
      <c r="N7857">
        <v>20.6</v>
      </c>
      <c r="O7857">
        <v>12.6</v>
      </c>
      <c r="P7857">
        <v>26.3</v>
      </c>
      <c r="Q7857">
        <v>28.3</v>
      </c>
      <c r="R7857">
        <v>28.3</v>
      </c>
      <c r="S7857">
        <v>24.6</v>
      </c>
      <c r="T7857">
        <v>1185</v>
      </c>
      <c r="U7857">
        <v>296</v>
      </c>
      <c r="V7857">
        <v>16</v>
      </c>
      <c r="W7857">
        <v>76</v>
      </c>
      <c r="X7857">
        <v>606</v>
      </c>
      <c r="Y7857">
        <v>98</v>
      </c>
      <c r="Z7857">
        <v>98</v>
      </c>
      <c r="AA7857">
        <v>227</v>
      </c>
      <c r="AB7857">
        <v>2.408582</v>
      </c>
      <c r="AC7857">
        <v>0.24295939999999999</v>
      </c>
      <c r="AD7857">
        <v>1.7458089999999999</v>
      </c>
      <c r="AE7857">
        <v>0.54008089999999997</v>
      </c>
      <c r="AF7857">
        <v>30.76182</v>
      </c>
      <c r="AG7857">
        <f>IFERROR(AH7857*0.1, "N/A")</f>
        <v>6.5605950000000011</v>
      </c>
      <c r="AH7857">
        <v>65.605950000000007</v>
      </c>
      <c r="AI7857">
        <v>109.2285</v>
      </c>
      <c r="AJ7857">
        <v>17.29072</v>
      </c>
      <c r="AK7857">
        <v>64.369529999999997</v>
      </c>
    </row>
    <row r="7858" spans="1:37" x14ac:dyDescent="0.3">
      <c r="A7858">
        <v>7857</v>
      </c>
      <c r="B7858">
        <v>7.4</v>
      </c>
      <c r="C7858">
        <v>39.606400000000001</v>
      </c>
      <c r="D7858">
        <v>-4.1185900000000002</v>
      </c>
      <c r="E7858" t="s">
        <v>11745</v>
      </c>
      <c r="F7858" t="s">
        <v>11746</v>
      </c>
      <c r="G7858" t="s">
        <v>39</v>
      </c>
      <c r="H7858">
        <v>1997</v>
      </c>
      <c r="I7858">
        <v>26.4</v>
      </c>
      <c r="J7858">
        <v>8.1</v>
      </c>
      <c r="K7858">
        <v>64</v>
      </c>
      <c r="L7858">
        <v>14.48</v>
      </c>
      <c r="M7858">
        <v>33</v>
      </c>
      <c r="N7858">
        <v>20.399999999999999</v>
      </c>
      <c r="O7858">
        <v>12.6</v>
      </c>
      <c r="P7858">
        <v>26.2</v>
      </c>
      <c r="Q7858">
        <v>28.1</v>
      </c>
      <c r="R7858">
        <v>28.1</v>
      </c>
      <c r="S7858">
        <v>24.5</v>
      </c>
      <c r="T7858">
        <v>1168</v>
      </c>
      <c r="U7858">
        <v>285</v>
      </c>
      <c r="V7858">
        <v>17</v>
      </c>
      <c r="W7858">
        <v>73</v>
      </c>
      <c r="X7858">
        <v>588</v>
      </c>
      <c r="Y7858">
        <v>98</v>
      </c>
      <c r="Z7858">
        <v>269</v>
      </c>
      <c r="AA7858">
        <v>259</v>
      </c>
      <c r="AB7858">
        <v>3.0182790000000002</v>
      </c>
      <c r="AC7858">
        <v>3.8495420000000002E-2</v>
      </c>
      <c r="AD7858">
        <v>1.50352</v>
      </c>
      <c r="AE7858">
        <v>0.5001333</v>
      </c>
      <c r="AF7858">
        <v>44.138840000000002</v>
      </c>
      <c r="AG7858">
        <f>IFERROR(AH7858*0.1, "N/A")</f>
        <v>6.5063270000000006</v>
      </c>
      <c r="AH7858">
        <v>65.063270000000003</v>
      </c>
      <c r="AI7858">
        <v>211.2062</v>
      </c>
      <c r="AJ7858">
        <v>23.23199</v>
      </c>
      <c r="AK7858">
        <v>56.936729999999997</v>
      </c>
    </row>
    <row r="7859" spans="1:37" x14ac:dyDescent="0.3">
      <c r="A7859">
        <v>7858</v>
      </c>
      <c r="B7859">
        <v>9.3000000000000007</v>
      </c>
      <c r="C7859">
        <v>39.628999999999998</v>
      </c>
      <c r="D7859">
        <v>-4.1263300000000003</v>
      </c>
      <c r="E7859" t="s">
        <v>11747</v>
      </c>
      <c r="F7859" t="s">
        <v>11748</v>
      </c>
      <c r="G7859" t="s">
        <v>39</v>
      </c>
      <c r="H7859">
        <v>1997</v>
      </c>
      <c r="I7859">
        <v>26.6</v>
      </c>
      <c r="J7859">
        <v>8.1</v>
      </c>
      <c r="K7859">
        <v>64</v>
      </c>
      <c r="L7859">
        <v>14.67</v>
      </c>
      <c r="M7859">
        <v>33.200000000000003</v>
      </c>
      <c r="N7859">
        <v>20.6</v>
      </c>
      <c r="O7859">
        <v>12.6</v>
      </c>
      <c r="P7859">
        <v>26.3</v>
      </c>
      <c r="Q7859">
        <v>28.3</v>
      </c>
      <c r="R7859">
        <v>28.3</v>
      </c>
      <c r="S7859">
        <v>24.6</v>
      </c>
      <c r="T7859">
        <v>1191</v>
      </c>
      <c r="U7859">
        <v>298</v>
      </c>
      <c r="V7859">
        <v>16</v>
      </c>
      <c r="W7859">
        <v>76</v>
      </c>
      <c r="X7859">
        <v>611</v>
      </c>
      <c r="Y7859">
        <v>97</v>
      </c>
      <c r="Z7859">
        <v>97</v>
      </c>
      <c r="AA7859">
        <v>230</v>
      </c>
      <c r="AB7859">
        <v>1.623427</v>
      </c>
      <c r="AC7859">
        <v>0.22779079999999999</v>
      </c>
      <c r="AD7859">
        <v>1.315769</v>
      </c>
      <c r="AE7859">
        <v>0.53657220000000005</v>
      </c>
      <c r="AF7859">
        <v>27.75874</v>
      </c>
      <c r="AG7859">
        <f>IFERROR(AH7859*0.1, "N/A")</f>
        <v>6.7155590000000007</v>
      </c>
      <c r="AH7859">
        <v>67.155590000000004</v>
      </c>
      <c r="AI7859">
        <v>153.5917</v>
      </c>
      <c r="AJ7859">
        <v>20.711539999999999</v>
      </c>
      <c r="AK7859">
        <v>61.526220000000002</v>
      </c>
    </row>
    <row r="7860" spans="1:37" x14ac:dyDescent="0.3">
      <c r="A7860">
        <v>7859</v>
      </c>
      <c r="B7860">
        <v>20.7</v>
      </c>
      <c r="C7860">
        <v>39.497199999999999</v>
      </c>
      <c r="D7860">
        <v>-4.1268700000000003</v>
      </c>
      <c r="E7860" t="s">
        <v>11749</v>
      </c>
      <c r="F7860" t="s">
        <v>11750</v>
      </c>
      <c r="G7860" t="s">
        <v>39</v>
      </c>
      <c r="H7860">
        <v>1997</v>
      </c>
      <c r="I7860">
        <v>25.4</v>
      </c>
      <c r="J7860">
        <v>8.3000000000000007</v>
      </c>
      <c r="K7860">
        <v>64</v>
      </c>
      <c r="L7860">
        <v>14.39</v>
      </c>
      <c r="M7860">
        <v>32.1</v>
      </c>
      <c r="N7860">
        <v>19.3</v>
      </c>
      <c r="O7860">
        <v>12.8</v>
      </c>
      <c r="P7860">
        <v>25.2</v>
      </c>
      <c r="Q7860">
        <v>27.1</v>
      </c>
      <c r="R7860">
        <v>27.1</v>
      </c>
      <c r="S7860">
        <v>23.5</v>
      </c>
      <c r="T7860">
        <v>1090</v>
      </c>
      <c r="U7860">
        <v>229</v>
      </c>
      <c r="V7860">
        <v>21</v>
      </c>
      <c r="W7860">
        <v>62</v>
      </c>
      <c r="X7860">
        <v>490</v>
      </c>
      <c r="Y7860">
        <v>109</v>
      </c>
      <c r="Z7860">
        <v>109</v>
      </c>
      <c r="AA7860">
        <v>233</v>
      </c>
      <c r="AB7860">
        <v>59.168300000000002</v>
      </c>
      <c r="AC7860">
        <v>1.02881E-2</v>
      </c>
      <c r="AD7860">
        <v>4.7923650000000002</v>
      </c>
      <c r="AE7860">
        <v>0.7220202</v>
      </c>
      <c r="AF7860">
        <v>142.4939</v>
      </c>
      <c r="AG7860">
        <f>IFERROR(AH7860*0.1, "N/A")</f>
        <v>5.9</v>
      </c>
      <c r="AH7860">
        <v>59</v>
      </c>
      <c r="AI7860">
        <v>231.91390000000001</v>
      </c>
      <c r="AJ7860">
        <v>23</v>
      </c>
      <c r="AK7860">
        <v>59</v>
      </c>
    </row>
    <row r="7861" spans="1:37" x14ac:dyDescent="0.3">
      <c r="A7861">
        <v>7860</v>
      </c>
      <c r="B7861">
        <v>8.1999999999999993</v>
      </c>
      <c r="C7861">
        <v>39.6128</v>
      </c>
      <c r="D7861">
        <v>-4.1277100000000004</v>
      </c>
      <c r="E7861" t="s">
        <v>11751</v>
      </c>
      <c r="F7861" t="s">
        <v>11752</v>
      </c>
      <c r="G7861" t="s">
        <v>39</v>
      </c>
      <c r="H7861">
        <v>1997</v>
      </c>
      <c r="I7861">
        <v>26.4</v>
      </c>
      <c r="J7861">
        <v>8.1</v>
      </c>
      <c r="K7861">
        <v>64</v>
      </c>
      <c r="L7861">
        <v>14.73</v>
      </c>
      <c r="M7861">
        <v>33</v>
      </c>
      <c r="N7861">
        <v>20.399999999999999</v>
      </c>
      <c r="O7861">
        <v>12.6</v>
      </c>
      <c r="P7861">
        <v>26.2</v>
      </c>
      <c r="Q7861">
        <v>28.1</v>
      </c>
      <c r="R7861">
        <v>28.1</v>
      </c>
      <c r="S7861">
        <v>24.5</v>
      </c>
      <c r="T7861">
        <v>1181</v>
      </c>
      <c r="U7861">
        <v>290</v>
      </c>
      <c r="V7861">
        <v>17</v>
      </c>
      <c r="W7861">
        <v>74</v>
      </c>
      <c r="X7861">
        <v>597</v>
      </c>
      <c r="Y7861">
        <v>98</v>
      </c>
      <c r="Z7861">
        <v>98</v>
      </c>
      <c r="AA7861">
        <v>263</v>
      </c>
      <c r="AB7861">
        <v>3.65937</v>
      </c>
      <c r="AC7861">
        <v>8.7949010000000008E-3</v>
      </c>
      <c r="AD7861">
        <v>1.475314</v>
      </c>
      <c r="AE7861">
        <v>0.50598100000000001</v>
      </c>
      <c r="AF7861">
        <v>46.28546</v>
      </c>
      <c r="AG7861">
        <f>IFERROR(AH7861*0.1, "N/A")</f>
        <v>6.4068299999999994</v>
      </c>
      <c r="AH7861">
        <v>64.068299999999994</v>
      </c>
      <c r="AI7861">
        <v>177.7928</v>
      </c>
      <c r="AJ7861">
        <v>17.90718</v>
      </c>
      <c r="AK7861">
        <v>66.562169999999995</v>
      </c>
    </row>
    <row r="7862" spans="1:37" x14ac:dyDescent="0.3">
      <c r="A7862">
        <v>7861</v>
      </c>
      <c r="B7862">
        <v>54.2</v>
      </c>
      <c r="C7862">
        <v>39.423699999999997</v>
      </c>
      <c r="D7862">
        <v>-4.1300600000000003</v>
      </c>
      <c r="E7862" t="s">
        <v>11753</v>
      </c>
      <c r="F7862" t="s">
        <v>11754</v>
      </c>
      <c r="G7862" t="s">
        <v>39</v>
      </c>
      <c r="H7862">
        <v>1991</v>
      </c>
      <c r="I7862">
        <v>25.6</v>
      </c>
      <c r="J7862">
        <v>8.5</v>
      </c>
      <c r="K7862">
        <v>65</v>
      </c>
      <c r="L7862">
        <v>14.31</v>
      </c>
      <c r="M7862">
        <v>32.4</v>
      </c>
      <c r="N7862">
        <v>19.399999999999999</v>
      </c>
      <c r="O7862">
        <v>13</v>
      </c>
      <c r="P7862">
        <v>25.3</v>
      </c>
      <c r="Q7862">
        <v>27.2</v>
      </c>
      <c r="R7862">
        <v>27.2</v>
      </c>
      <c r="S7862">
        <v>23.7</v>
      </c>
      <c r="T7862">
        <v>998</v>
      </c>
      <c r="U7862">
        <v>195</v>
      </c>
      <c r="V7862">
        <v>22</v>
      </c>
      <c r="W7862">
        <v>58</v>
      </c>
      <c r="X7862">
        <v>430</v>
      </c>
      <c r="Y7862">
        <v>109</v>
      </c>
      <c r="Z7862">
        <v>109</v>
      </c>
      <c r="AA7862">
        <v>203</v>
      </c>
      <c r="AB7862">
        <v>26.271329999999999</v>
      </c>
      <c r="AC7862">
        <v>8.6155390000000002E-3</v>
      </c>
      <c r="AD7862">
        <v>2.5822970000000001</v>
      </c>
      <c r="AE7862">
        <v>0.33729520000000002</v>
      </c>
      <c r="AF7862">
        <v>147.89859999999999</v>
      </c>
      <c r="AG7862">
        <f>IFERROR(AH7862*0.1, "N/A")</f>
        <v>6</v>
      </c>
      <c r="AH7862">
        <v>60</v>
      </c>
      <c r="AI7862">
        <v>273.24450000000002</v>
      </c>
      <c r="AJ7862">
        <v>19.414339999999999</v>
      </c>
      <c r="AK7862">
        <v>65.723780000000005</v>
      </c>
    </row>
    <row r="7863" spans="1:37" x14ac:dyDescent="0.3">
      <c r="A7863">
        <v>7862</v>
      </c>
      <c r="B7863">
        <v>31.2</v>
      </c>
      <c r="C7863">
        <v>39.616700000000002</v>
      </c>
      <c r="D7863">
        <v>-4.1333299999999999</v>
      </c>
      <c r="E7863" t="s">
        <v>11755</v>
      </c>
      <c r="F7863" t="s">
        <v>11756</v>
      </c>
      <c r="G7863" t="s">
        <v>39</v>
      </c>
      <c r="H7863">
        <v>1974</v>
      </c>
      <c r="I7863">
        <v>26.52364</v>
      </c>
      <c r="J7863">
        <v>8.1</v>
      </c>
      <c r="K7863">
        <v>64</v>
      </c>
      <c r="L7863">
        <v>14.574339999999999</v>
      </c>
      <c r="M7863">
        <v>33.095799999999997</v>
      </c>
      <c r="N7863">
        <v>20.495799999999999</v>
      </c>
      <c r="O7863">
        <v>12.6</v>
      </c>
      <c r="P7863">
        <v>26.259540000000001</v>
      </c>
      <c r="Q7863">
        <v>28.20035</v>
      </c>
      <c r="R7863">
        <v>28.20035</v>
      </c>
      <c r="S7863">
        <v>24.595800000000001</v>
      </c>
      <c r="T7863">
        <v>1186.9490000000001</v>
      </c>
      <c r="U7863">
        <v>294.02629999999999</v>
      </c>
      <c r="V7863">
        <v>16.63748</v>
      </c>
      <c r="W7863">
        <v>75.236429999999999</v>
      </c>
      <c r="X7863">
        <v>605.73910000000001</v>
      </c>
      <c r="Y7863">
        <v>97.274959999999993</v>
      </c>
      <c r="Z7863">
        <v>97.274959999999993</v>
      </c>
      <c r="AA7863">
        <v>264.59890000000001</v>
      </c>
      <c r="AB7863">
        <v>17.21471</v>
      </c>
      <c r="AC7863">
        <v>1.7515039999999999E-2</v>
      </c>
      <c r="AD7863">
        <v>1.3181210000000001</v>
      </c>
      <c r="AE7863">
        <v>0.51467960000000001</v>
      </c>
      <c r="AF7863">
        <v>43.98424</v>
      </c>
      <c r="AG7863">
        <f>IFERROR(AH7863*0.1, "N/A")</f>
        <v>6.5</v>
      </c>
      <c r="AH7863">
        <v>65</v>
      </c>
      <c r="AI7863">
        <v>153.2526</v>
      </c>
      <c r="AJ7863">
        <v>18.012260000000001</v>
      </c>
      <c r="AK7863">
        <v>66.98424</v>
      </c>
    </row>
    <row r="7864" spans="1:37" x14ac:dyDescent="0.3">
      <c r="A7864">
        <v>7863</v>
      </c>
      <c r="B7864">
        <v>8.1999999999999993</v>
      </c>
      <c r="C7864">
        <v>39.616999999999997</v>
      </c>
      <c r="D7864">
        <v>-4.1432000000000002</v>
      </c>
      <c r="E7864" t="s">
        <v>11757</v>
      </c>
      <c r="F7864" t="s">
        <v>11758</v>
      </c>
      <c r="G7864" t="s">
        <v>39</v>
      </c>
      <c r="H7864">
        <v>1997</v>
      </c>
      <c r="I7864">
        <v>26.6</v>
      </c>
      <c r="J7864">
        <v>8.1</v>
      </c>
      <c r="K7864">
        <v>64</v>
      </c>
      <c r="L7864">
        <v>14.593500000000001</v>
      </c>
      <c r="M7864">
        <v>33.200000000000003</v>
      </c>
      <c r="N7864">
        <v>20.6</v>
      </c>
      <c r="O7864">
        <v>12.6</v>
      </c>
      <c r="P7864">
        <v>26.3</v>
      </c>
      <c r="Q7864">
        <v>28.3</v>
      </c>
      <c r="R7864">
        <v>28.3</v>
      </c>
      <c r="S7864">
        <v>24.7</v>
      </c>
      <c r="T7864">
        <v>1195.3499999999999</v>
      </c>
      <c r="U7864">
        <v>298.51220000000001</v>
      </c>
      <c r="V7864">
        <v>16.162590000000002</v>
      </c>
      <c r="W7864">
        <v>76</v>
      </c>
      <c r="X7864">
        <v>616.34969999999998</v>
      </c>
      <c r="Y7864">
        <v>96.162589999999994</v>
      </c>
      <c r="Z7864">
        <v>96.162589999999994</v>
      </c>
      <c r="AA7864">
        <v>266</v>
      </c>
      <c r="AB7864">
        <v>4.2683559999999998</v>
      </c>
      <c r="AC7864">
        <v>9.3204809999999999E-2</v>
      </c>
      <c r="AD7864">
        <v>2.4529260000000002</v>
      </c>
      <c r="AE7864">
        <v>0.51807230000000004</v>
      </c>
      <c r="AF7864">
        <v>29.459790000000002</v>
      </c>
      <c r="AG7864">
        <f>IFERROR(AH7864*0.1, "N/A")</f>
        <v>6.5512240000000013</v>
      </c>
      <c r="AH7864">
        <v>65.512240000000006</v>
      </c>
      <c r="AI7864">
        <v>149.18879999999999</v>
      </c>
      <c r="AJ7864">
        <v>19</v>
      </c>
      <c r="AK7864">
        <v>65.162589999999994</v>
      </c>
    </row>
    <row r="7865" spans="1:37" x14ac:dyDescent="0.3">
      <c r="A7865">
        <v>7864</v>
      </c>
      <c r="B7865">
        <v>18.8</v>
      </c>
      <c r="C7865">
        <v>39.616700000000002</v>
      </c>
      <c r="D7865">
        <v>-4.1500000000000004</v>
      </c>
      <c r="E7865" t="s">
        <v>11759</v>
      </c>
      <c r="F7865" t="s">
        <v>11760</v>
      </c>
      <c r="G7865" t="s">
        <v>39</v>
      </c>
      <c r="H7865">
        <v>1974</v>
      </c>
      <c r="I7865">
        <v>26.6</v>
      </c>
      <c r="J7865">
        <v>8.1</v>
      </c>
      <c r="K7865">
        <v>64</v>
      </c>
      <c r="L7865">
        <v>14.558859999999999</v>
      </c>
      <c r="M7865">
        <v>33.181899999999999</v>
      </c>
      <c r="N7865">
        <v>20.6</v>
      </c>
      <c r="O7865">
        <v>12.581899999999999</v>
      </c>
      <c r="P7865">
        <v>26.318100000000001</v>
      </c>
      <c r="Q7865">
        <v>28.2819</v>
      </c>
      <c r="R7865">
        <v>28.2819</v>
      </c>
      <c r="S7865">
        <v>24.7</v>
      </c>
      <c r="T7865">
        <v>1196.3430000000001</v>
      </c>
      <c r="U7865">
        <v>298.7047</v>
      </c>
      <c r="V7865">
        <v>16.404219999999999</v>
      </c>
      <c r="W7865">
        <v>76.305800000000005</v>
      </c>
      <c r="X7865">
        <v>617.39890000000003</v>
      </c>
      <c r="Y7865">
        <v>96.098420000000004</v>
      </c>
      <c r="Z7865">
        <v>96.098420000000004</v>
      </c>
      <c r="AA7865">
        <v>266.79259999999999</v>
      </c>
      <c r="AB7865">
        <v>1.7188049999999999</v>
      </c>
      <c r="AC7865">
        <v>0.2683198</v>
      </c>
      <c r="AD7865">
        <v>1.5059370000000001</v>
      </c>
      <c r="AE7865">
        <v>0.50752260000000005</v>
      </c>
      <c r="AF7865">
        <v>25.042179999999998</v>
      </c>
      <c r="AG7865">
        <f>IFERROR(AH7865*0.1, "N/A")</f>
        <v>6.559578000000001</v>
      </c>
      <c r="AH7865">
        <v>65.595780000000005</v>
      </c>
      <c r="AI7865">
        <v>215.38919999999999</v>
      </c>
      <c r="AJ7865">
        <v>18</v>
      </c>
      <c r="AK7865">
        <v>67</v>
      </c>
    </row>
    <row r="7866" spans="1:37" x14ac:dyDescent="0.3">
      <c r="A7866">
        <v>7865</v>
      </c>
      <c r="B7866">
        <v>33.5</v>
      </c>
      <c r="C7866">
        <v>39.486699999999999</v>
      </c>
      <c r="D7866">
        <v>-4.1515000000000004</v>
      </c>
      <c r="E7866" t="s">
        <v>11761</v>
      </c>
      <c r="F7866" t="s">
        <v>11762</v>
      </c>
      <c r="G7866" t="s">
        <v>39</v>
      </c>
      <c r="H7866">
        <v>1997</v>
      </c>
      <c r="I7866">
        <v>25.2</v>
      </c>
      <c r="J7866">
        <v>8.3000000000000007</v>
      </c>
      <c r="K7866">
        <v>64</v>
      </c>
      <c r="L7866">
        <v>14.33</v>
      </c>
      <c r="M7866">
        <v>31.9</v>
      </c>
      <c r="N7866">
        <v>19.100000000000001</v>
      </c>
      <c r="O7866">
        <v>12.8</v>
      </c>
      <c r="P7866">
        <v>24.9</v>
      </c>
      <c r="Q7866">
        <v>26.8</v>
      </c>
      <c r="R7866">
        <v>26.8</v>
      </c>
      <c r="S7866">
        <v>23.3</v>
      </c>
      <c r="T7866">
        <v>1102</v>
      </c>
      <c r="U7866">
        <v>228</v>
      </c>
      <c r="V7866">
        <v>21</v>
      </c>
      <c r="W7866">
        <v>61</v>
      </c>
      <c r="X7866">
        <v>492</v>
      </c>
      <c r="Y7866">
        <v>109</v>
      </c>
      <c r="Z7866">
        <v>109</v>
      </c>
      <c r="AA7866">
        <v>218</v>
      </c>
      <c r="AB7866">
        <v>45.679850000000002</v>
      </c>
      <c r="AC7866">
        <v>3.272986E-2</v>
      </c>
      <c r="AD7866">
        <v>8.5397160000000003</v>
      </c>
      <c r="AE7866">
        <v>0.74985900000000005</v>
      </c>
      <c r="AF7866">
        <v>217.0806</v>
      </c>
      <c r="AG7866">
        <f>IFERROR(AH7866*0.1, "N/A")</f>
        <v>5.7129600000000007</v>
      </c>
      <c r="AH7866">
        <v>57.129600000000003</v>
      </c>
      <c r="AI7866">
        <v>125.4014</v>
      </c>
      <c r="AJ7866">
        <v>29.495619999999999</v>
      </c>
      <c r="AK7866">
        <v>52.791589999999999</v>
      </c>
    </row>
    <row r="7867" spans="1:37" x14ac:dyDescent="0.3">
      <c r="A7867">
        <v>7866</v>
      </c>
      <c r="B7867">
        <v>30.2</v>
      </c>
      <c r="C7867">
        <v>39.454099999999997</v>
      </c>
      <c r="D7867">
        <v>-4.1553399999999998</v>
      </c>
      <c r="E7867" t="s">
        <v>11763</v>
      </c>
      <c r="F7867" t="s">
        <v>11764</v>
      </c>
      <c r="G7867" t="s">
        <v>39</v>
      </c>
      <c r="H7867">
        <v>1997</v>
      </c>
      <c r="I7867">
        <v>23.7</v>
      </c>
      <c r="J7867">
        <v>8.4</v>
      </c>
      <c r="K7867">
        <v>65</v>
      </c>
      <c r="L7867">
        <v>14.45</v>
      </c>
      <c r="M7867">
        <v>30.4</v>
      </c>
      <c r="N7867">
        <v>17.5</v>
      </c>
      <c r="O7867">
        <v>12.9</v>
      </c>
      <c r="P7867">
        <v>23.4</v>
      </c>
      <c r="Q7867">
        <v>25.3</v>
      </c>
      <c r="R7867">
        <v>25.3</v>
      </c>
      <c r="S7867">
        <v>21.7</v>
      </c>
      <c r="T7867">
        <v>1100</v>
      </c>
      <c r="U7867">
        <v>213</v>
      </c>
      <c r="V7867">
        <v>24</v>
      </c>
      <c r="W7867">
        <v>55</v>
      </c>
      <c r="X7867">
        <v>459</v>
      </c>
      <c r="Y7867">
        <v>120</v>
      </c>
      <c r="Z7867">
        <v>120</v>
      </c>
      <c r="AA7867">
        <v>217</v>
      </c>
      <c r="AB7867">
        <v>59.913870000000003</v>
      </c>
      <c r="AC7867">
        <v>9.1690190000000005E-3</v>
      </c>
      <c r="AD7867">
        <v>3.9312649999999998</v>
      </c>
      <c r="AE7867">
        <v>0.77739279999999999</v>
      </c>
      <c r="AF7867">
        <v>385.87189999999998</v>
      </c>
      <c r="AG7867">
        <f>IFERROR(AH7867*0.1, "N/A")</f>
        <v>5.6989470000000004</v>
      </c>
      <c r="AH7867">
        <v>56.989469999999997</v>
      </c>
      <c r="AI7867">
        <v>85.936899999999994</v>
      </c>
      <c r="AJ7867">
        <v>26.2</v>
      </c>
      <c r="AK7867">
        <v>59.81053</v>
      </c>
    </row>
    <row r="7868" spans="1:37" x14ac:dyDescent="0.3">
      <c r="A7868">
        <v>7867</v>
      </c>
      <c r="B7868">
        <v>18.8</v>
      </c>
      <c r="C7868">
        <v>39.587400000000002</v>
      </c>
      <c r="D7868">
        <v>-4.1634099999999998</v>
      </c>
      <c r="E7868" t="s">
        <v>11765</v>
      </c>
      <c r="F7868" t="s">
        <v>11766</v>
      </c>
      <c r="G7868" t="s">
        <v>39</v>
      </c>
      <c r="H7868">
        <v>1997</v>
      </c>
      <c r="I7868">
        <v>26.3</v>
      </c>
      <c r="J7868">
        <v>8.1</v>
      </c>
      <c r="K7868">
        <v>64</v>
      </c>
      <c r="L7868">
        <v>14.3</v>
      </c>
      <c r="M7868">
        <v>32.9</v>
      </c>
      <c r="N7868">
        <v>20.3</v>
      </c>
      <c r="O7868">
        <v>12.6</v>
      </c>
      <c r="P7868">
        <v>26</v>
      </c>
      <c r="Q7868">
        <v>27.9</v>
      </c>
      <c r="R7868">
        <v>27.9</v>
      </c>
      <c r="S7868">
        <v>24.4</v>
      </c>
      <c r="T7868">
        <v>1189</v>
      </c>
      <c r="U7868">
        <v>288</v>
      </c>
      <c r="V7868">
        <v>17</v>
      </c>
      <c r="W7868">
        <v>74</v>
      </c>
      <c r="X7868">
        <v>602</v>
      </c>
      <c r="Y7868">
        <v>97</v>
      </c>
      <c r="Z7868">
        <v>97</v>
      </c>
      <c r="AA7868">
        <v>264</v>
      </c>
      <c r="AB7868">
        <v>11.51769</v>
      </c>
      <c r="AC7868">
        <v>1.735014E-2</v>
      </c>
      <c r="AD7868">
        <v>2.300376</v>
      </c>
      <c r="AE7868">
        <v>0.48899609999999999</v>
      </c>
      <c r="AF7868">
        <v>55.401049999999998</v>
      </c>
      <c r="AG7868">
        <f>IFERROR(AH7868*0.1, "N/A")</f>
        <v>6.2900179999999999</v>
      </c>
      <c r="AH7868">
        <v>62.900179999999999</v>
      </c>
      <c r="AI7868">
        <v>129.62620000000001</v>
      </c>
      <c r="AJ7868">
        <v>26.784590000000001</v>
      </c>
      <c r="AK7868">
        <v>54.280209999999997</v>
      </c>
    </row>
    <row r="7869" spans="1:37" x14ac:dyDescent="0.3">
      <c r="A7869">
        <v>7868</v>
      </c>
      <c r="B7869">
        <v>11.9</v>
      </c>
      <c r="C7869">
        <v>39.603999999999999</v>
      </c>
      <c r="D7869">
        <v>-4.16777</v>
      </c>
      <c r="E7869" t="s">
        <v>11767</v>
      </c>
      <c r="F7869" t="s">
        <v>11768</v>
      </c>
      <c r="G7869" t="s">
        <v>39</v>
      </c>
      <c r="H7869">
        <v>1997</v>
      </c>
      <c r="I7869">
        <v>26.6</v>
      </c>
      <c r="J7869">
        <v>8.1</v>
      </c>
      <c r="K7869">
        <v>64</v>
      </c>
      <c r="L7869">
        <v>14.34</v>
      </c>
      <c r="M7869">
        <v>33.1</v>
      </c>
      <c r="N7869">
        <v>20.6</v>
      </c>
      <c r="O7869">
        <v>12.5</v>
      </c>
      <c r="P7869">
        <v>26.3</v>
      </c>
      <c r="Q7869">
        <v>28.3</v>
      </c>
      <c r="R7869">
        <v>28.3</v>
      </c>
      <c r="S7869">
        <v>24.7</v>
      </c>
      <c r="T7869">
        <v>1208</v>
      </c>
      <c r="U7869">
        <v>301</v>
      </c>
      <c r="V7869">
        <v>17</v>
      </c>
      <c r="W7869">
        <v>77</v>
      </c>
      <c r="X7869">
        <v>627</v>
      </c>
      <c r="Y7869">
        <v>95</v>
      </c>
      <c r="Z7869">
        <v>95</v>
      </c>
      <c r="AA7869">
        <v>270</v>
      </c>
      <c r="AB7869">
        <v>2.6005259999999999</v>
      </c>
      <c r="AC7869">
        <v>4.8003789999999998E-2</v>
      </c>
      <c r="AD7869">
        <v>1.93964</v>
      </c>
      <c r="AE7869">
        <v>0.51172229999999996</v>
      </c>
      <c r="AF7869">
        <v>24.661999999999999</v>
      </c>
      <c r="AG7869">
        <f>IFERROR(AH7869*0.1, "N/A")</f>
        <v>6.209632</v>
      </c>
      <c r="AH7869">
        <v>62.096319999999999</v>
      </c>
      <c r="AI7869">
        <v>179.04470000000001</v>
      </c>
      <c r="AJ7869">
        <v>21.483360000000001</v>
      </c>
      <c r="AK7869">
        <v>65.910679999999999</v>
      </c>
    </row>
    <row r="7870" spans="1:37" x14ac:dyDescent="0.3">
      <c r="A7870">
        <v>7869</v>
      </c>
      <c r="B7870">
        <v>14.7</v>
      </c>
      <c r="C7870">
        <v>39.569200000000002</v>
      </c>
      <c r="D7870">
        <v>-4.1692499999999999</v>
      </c>
      <c r="E7870" t="s">
        <v>11769</v>
      </c>
      <c r="F7870" t="s">
        <v>11770</v>
      </c>
      <c r="G7870" t="s">
        <v>39</v>
      </c>
      <c r="H7870">
        <v>1997</v>
      </c>
      <c r="I7870">
        <v>25.8</v>
      </c>
      <c r="J7870">
        <v>8.1999999999999993</v>
      </c>
      <c r="K7870">
        <v>65</v>
      </c>
      <c r="L7870">
        <v>14.4</v>
      </c>
      <c r="M7870">
        <v>32.4</v>
      </c>
      <c r="N7870">
        <v>19.8</v>
      </c>
      <c r="O7870">
        <v>12.6</v>
      </c>
      <c r="P7870">
        <v>25.5</v>
      </c>
      <c r="Q7870">
        <v>27.4</v>
      </c>
      <c r="R7870">
        <v>27.4</v>
      </c>
      <c r="S7870">
        <v>23.9</v>
      </c>
      <c r="T7870">
        <v>1186</v>
      </c>
      <c r="U7870">
        <v>275</v>
      </c>
      <c r="V7870">
        <v>19</v>
      </c>
      <c r="W7870">
        <v>70</v>
      </c>
      <c r="X7870">
        <v>579</v>
      </c>
      <c r="Y7870">
        <v>103</v>
      </c>
      <c r="Z7870">
        <v>103</v>
      </c>
      <c r="AA7870">
        <v>264</v>
      </c>
      <c r="AB7870">
        <v>62.032870000000003</v>
      </c>
      <c r="AC7870">
        <v>2.1671949999999999E-2</v>
      </c>
      <c r="AD7870">
        <v>6.5303969999999998</v>
      </c>
      <c r="AE7870">
        <v>0.61202489999999998</v>
      </c>
      <c r="AF7870">
        <v>122.3566</v>
      </c>
      <c r="AG7870">
        <f>IFERROR(AH7870*0.1, "N/A")</f>
        <v>6.1622380000000003</v>
      </c>
      <c r="AH7870">
        <v>61.62238</v>
      </c>
      <c r="AI7870">
        <v>277.71409999999997</v>
      </c>
      <c r="AJ7870">
        <v>30.300699999999999</v>
      </c>
      <c r="AK7870">
        <v>52.699300000000001</v>
      </c>
    </row>
    <row r="7871" spans="1:37" x14ac:dyDescent="0.3">
      <c r="A7871">
        <v>7870</v>
      </c>
      <c r="B7871">
        <v>40.700000000000003</v>
      </c>
      <c r="C7871">
        <v>39.4604</v>
      </c>
      <c r="D7871">
        <v>-4.1742800000000004</v>
      </c>
      <c r="E7871" t="s">
        <v>11771</v>
      </c>
      <c r="F7871" t="s">
        <v>11772</v>
      </c>
      <c r="G7871" t="s">
        <v>39</v>
      </c>
      <c r="H7871">
        <v>1982</v>
      </c>
      <c r="I7871">
        <v>23.5</v>
      </c>
      <c r="J7871">
        <v>8.4</v>
      </c>
      <c r="K7871">
        <v>66</v>
      </c>
      <c r="L7871">
        <v>14.27</v>
      </c>
      <c r="M7871">
        <v>30.2</v>
      </c>
      <c r="N7871">
        <v>17.5</v>
      </c>
      <c r="O7871">
        <v>12.7</v>
      </c>
      <c r="P7871">
        <v>23.2</v>
      </c>
      <c r="Q7871">
        <v>25.1</v>
      </c>
      <c r="R7871">
        <v>25.1</v>
      </c>
      <c r="S7871">
        <v>21.6</v>
      </c>
      <c r="T7871">
        <v>1124</v>
      </c>
      <c r="U7871">
        <v>220</v>
      </c>
      <c r="V7871">
        <v>23</v>
      </c>
      <c r="W7871">
        <v>56</v>
      </c>
      <c r="X7871">
        <v>473</v>
      </c>
      <c r="Y7871">
        <v>122</v>
      </c>
      <c r="Z7871">
        <v>122</v>
      </c>
      <c r="AA7871">
        <v>220</v>
      </c>
      <c r="AB7871">
        <v>56.194929999999999</v>
      </c>
      <c r="AC7871">
        <v>2.0142E-2</v>
      </c>
      <c r="AD7871">
        <v>2.3815729999999999</v>
      </c>
      <c r="AE7871">
        <v>0.76995460000000004</v>
      </c>
      <c r="AF7871">
        <v>398.75659999999999</v>
      </c>
      <c r="AG7871">
        <f>IFERROR(AH7871*0.1, "N/A")</f>
        <v>5.3840630000000003</v>
      </c>
      <c r="AH7871">
        <v>53.840629999999997</v>
      </c>
      <c r="AI7871">
        <v>64.038640000000001</v>
      </c>
      <c r="AJ7871">
        <v>28.469349999999999</v>
      </c>
      <c r="AK7871">
        <v>55.886159999999997</v>
      </c>
    </row>
    <row r="7872" spans="1:37" x14ac:dyDescent="0.3">
      <c r="A7872">
        <v>7871</v>
      </c>
      <c r="B7872">
        <v>39.799999999999997</v>
      </c>
      <c r="C7872">
        <v>39.460299999999997</v>
      </c>
      <c r="D7872">
        <v>-4.1743699999999997</v>
      </c>
      <c r="E7872" t="s">
        <v>11773</v>
      </c>
      <c r="F7872" t="s">
        <v>11774</v>
      </c>
      <c r="G7872" t="s">
        <v>39</v>
      </c>
      <c r="H7872">
        <v>2010</v>
      </c>
      <c r="I7872">
        <v>23.5</v>
      </c>
      <c r="J7872">
        <v>8.4</v>
      </c>
      <c r="K7872">
        <v>66</v>
      </c>
      <c r="L7872">
        <v>14.27</v>
      </c>
      <c r="M7872">
        <v>30.2</v>
      </c>
      <c r="N7872">
        <v>17.5</v>
      </c>
      <c r="O7872">
        <v>12.7</v>
      </c>
      <c r="P7872">
        <v>23.2</v>
      </c>
      <c r="Q7872">
        <v>25.1</v>
      </c>
      <c r="R7872">
        <v>25.1</v>
      </c>
      <c r="S7872">
        <v>21.6</v>
      </c>
      <c r="T7872">
        <v>1124</v>
      </c>
      <c r="U7872">
        <v>220</v>
      </c>
      <c r="V7872">
        <v>23</v>
      </c>
      <c r="W7872">
        <v>56</v>
      </c>
      <c r="X7872">
        <v>473</v>
      </c>
      <c r="Y7872">
        <v>122</v>
      </c>
      <c r="Z7872">
        <v>122</v>
      </c>
      <c r="AA7872">
        <v>220</v>
      </c>
      <c r="AB7872">
        <v>57.01088</v>
      </c>
      <c r="AC7872">
        <v>1.8681610000000001E-2</v>
      </c>
      <c r="AD7872">
        <v>2.3255919999999999</v>
      </c>
      <c r="AE7872">
        <v>0.76995460000000004</v>
      </c>
      <c r="AF7872">
        <v>399.41050000000001</v>
      </c>
      <c r="AG7872">
        <f>IFERROR(AH7872*0.1, "N/A")</f>
        <v>5.3982460000000003</v>
      </c>
      <c r="AH7872">
        <v>53.982460000000003</v>
      </c>
      <c r="AI7872">
        <v>67.969549999999998</v>
      </c>
      <c r="AJ7872">
        <v>28.47719</v>
      </c>
      <c r="AK7872">
        <v>55.996490000000001</v>
      </c>
    </row>
    <row r="7873" spans="1:37" x14ac:dyDescent="0.3">
      <c r="A7873">
        <v>7872</v>
      </c>
      <c r="B7873">
        <v>18.8</v>
      </c>
      <c r="C7873">
        <v>39.587600000000002</v>
      </c>
      <c r="D7873">
        <v>-4.1748799999999999</v>
      </c>
      <c r="E7873" t="s">
        <v>11775</v>
      </c>
      <c r="F7873" t="s">
        <v>11776</v>
      </c>
      <c r="G7873" t="s">
        <v>39</v>
      </c>
      <c r="H7873">
        <v>1997</v>
      </c>
      <c r="I7873">
        <v>26.4</v>
      </c>
      <c r="J7873">
        <v>8.1</v>
      </c>
      <c r="K7873">
        <v>64</v>
      </c>
      <c r="L7873">
        <v>14.387930000000001</v>
      </c>
      <c r="M7873">
        <v>33</v>
      </c>
      <c r="N7873">
        <v>20.399999999999999</v>
      </c>
      <c r="O7873">
        <v>12.6</v>
      </c>
      <c r="P7873">
        <v>26.1</v>
      </c>
      <c r="Q7873">
        <v>28.08963</v>
      </c>
      <c r="R7873">
        <v>28.1</v>
      </c>
      <c r="S7873">
        <v>24.5</v>
      </c>
      <c r="T7873">
        <v>1197.037</v>
      </c>
      <c r="U7873">
        <v>293.41480000000001</v>
      </c>
      <c r="V7873">
        <v>17</v>
      </c>
      <c r="W7873">
        <v>76</v>
      </c>
      <c r="X7873">
        <v>613.93320000000006</v>
      </c>
      <c r="Y7873">
        <v>96</v>
      </c>
      <c r="Z7873">
        <v>115.90860000000001</v>
      </c>
      <c r="AA7873">
        <v>266.31110000000001</v>
      </c>
      <c r="AB7873">
        <v>17.088049999999999</v>
      </c>
      <c r="AC7873">
        <v>3.9616470000000001E-2</v>
      </c>
      <c r="AD7873">
        <v>2.1830750000000001</v>
      </c>
      <c r="AE7873">
        <v>0.49538929999999998</v>
      </c>
      <c r="AF7873">
        <v>44.569420000000001</v>
      </c>
      <c r="AG7873">
        <f>IFERROR(AH7873*0.1, "N/A")</f>
        <v>6.2711779999999999</v>
      </c>
      <c r="AH7873">
        <v>62.711779999999997</v>
      </c>
      <c r="AI7873">
        <v>57.31973</v>
      </c>
      <c r="AJ7873">
        <v>20.711780000000001</v>
      </c>
      <c r="AK7873">
        <v>64.576449999999994</v>
      </c>
    </row>
    <row r="7874" spans="1:37" x14ac:dyDescent="0.3">
      <c r="A7874">
        <v>7873</v>
      </c>
      <c r="B7874">
        <v>21.5</v>
      </c>
      <c r="C7874">
        <v>39.4574</v>
      </c>
      <c r="D7874">
        <v>-4.1790399999999996</v>
      </c>
      <c r="E7874" t="s">
        <v>11777</v>
      </c>
      <c r="F7874" t="s">
        <v>11778</v>
      </c>
      <c r="G7874" t="s">
        <v>39</v>
      </c>
      <c r="H7874">
        <v>1997</v>
      </c>
      <c r="I7874">
        <v>23.4</v>
      </c>
      <c r="J7874">
        <v>8.4</v>
      </c>
      <c r="K7874">
        <v>65</v>
      </c>
      <c r="L7874">
        <v>14.43</v>
      </c>
      <c r="M7874">
        <v>30.1</v>
      </c>
      <c r="N7874">
        <v>17.3</v>
      </c>
      <c r="O7874">
        <v>12.8</v>
      </c>
      <c r="P7874">
        <v>23.2</v>
      </c>
      <c r="Q7874">
        <v>25.1</v>
      </c>
      <c r="R7874">
        <v>25.1</v>
      </c>
      <c r="S7874">
        <v>21.5</v>
      </c>
      <c r="T7874">
        <v>1125</v>
      </c>
      <c r="U7874">
        <v>220</v>
      </c>
      <c r="V7874">
        <v>23</v>
      </c>
      <c r="W7874">
        <v>56</v>
      </c>
      <c r="X7874">
        <v>473</v>
      </c>
      <c r="Y7874">
        <v>122</v>
      </c>
      <c r="Z7874">
        <v>122</v>
      </c>
      <c r="AA7874">
        <v>220</v>
      </c>
      <c r="AB7874">
        <v>75.699280000000002</v>
      </c>
      <c r="AC7874">
        <v>3.057868E-2</v>
      </c>
      <c r="AD7874">
        <v>5.0775949999999996</v>
      </c>
      <c r="AE7874">
        <v>0.71151039999999999</v>
      </c>
      <c r="AF7874">
        <v>395.87389999999999</v>
      </c>
      <c r="AG7874">
        <f>IFERROR(AH7874*0.1, "N/A")</f>
        <v>5.4</v>
      </c>
      <c r="AH7874">
        <v>54</v>
      </c>
      <c r="AI7874">
        <v>134.08539999999999</v>
      </c>
      <c r="AJ7874">
        <v>28</v>
      </c>
      <c r="AK7874">
        <v>56</v>
      </c>
    </row>
    <row r="7875" spans="1:37" x14ac:dyDescent="0.3">
      <c r="A7875">
        <v>7874</v>
      </c>
      <c r="B7875">
        <v>61.5</v>
      </c>
      <c r="C7875">
        <v>39.533299999999997</v>
      </c>
      <c r="D7875">
        <v>-4.1833299999999998</v>
      </c>
      <c r="E7875" t="s">
        <v>11779</v>
      </c>
      <c r="F7875" t="s">
        <v>11780</v>
      </c>
      <c r="G7875" t="s">
        <v>39</v>
      </c>
      <c r="H7875">
        <v>1974</v>
      </c>
      <c r="I7875">
        <v>26.177859999999999</v>
      </c>
      <c r="J7875">
        <v>8.218102</v>
      </c>
      <c r="K7875">
        <v>64.181020000000004</v>
      </c>
      <c r="L7875">
        <v>14.532780000000001</v>
      </c>
      <c r="M7875">
        <v>32.841650000000001</v>
      </c>
      <c r="N7875">
        <v>20.059750000000001</v>
      </c>
      <c r="O7875">
        <v>12.7819</v>
      </c>
      <c r="P7875">
        <v>25.895959999999999</v>
      </c>
      <c r="Q7875">
        <v>27.859749999999998</v>
      </c>
      <c r="R7875">
        <v>27.859749999999998</v>
      </c>
      <c r="S7875">
        <v>24.239889999999999</v>
      </c>
      <c r="T7875">
        <v>1167.7380000000001</v>
      </c>
      <c r="U7875">
        <v>274.7364</v>
      </c>
      <c r="V7875">
        <v>18.37961</v>
      </c>
      <c r="W7875">
        <v>72.499120000000005</v>
      </c>
      <c r="X7875">
        <v>582.75220000000002</v>
      </c>
      <c r="Y7875">
        <v>98.601050000000001</v>
      </c>
      <c r="Z7875">
        <v>98.601050000000001</v>
      </c>
      <c r="AA7875">
        <v>245.5694</v>
      </c>
      <c r="AB7875">
        <v>27.378209999999999</v>
      </c>
      <c r="AC7875">
        <v>1.3574930000000001E-2</v>
      </c>
      <c r="AD7875">
        <v>5.0535889999999997</v>
      </c>
      <c r="AE7875">
        <v>0.73574240000000002</v>
      </c>
      <c r="AF7875">
        <v>83.975399999999993</v>
      </c>
      <c r="AG7875">
        <f>IFERROR(AH7875*0.1, "N/A")</f>
        <v>5.9558880000000007</v>
      </c>
      <c r="AH7875">
        <v>59.558880000000002</v>
      </c>
      <c r="AI7875">
        <v>311.09449999999998</v>
      </c>
      <c r="AJ7875">
        <v>29.279440000000001</v>
      </c>
      <c r="AK7875">
        <v>53.720559999999999</v>
      </c>
    </row>
    <row r="7876" spans="1:37" x14ac:dyDescent="0.3">
      <c r="A7876">
        <v>7875</v>
      </c>
      <c r="B7876">
        <v>51.6</v>
      </c>
      <c r="C7876">
        <v>39.506500000000003</v>
      </c>
      <c r="D7876">
        <v>-4.1845299999999996</v>
      </c>
      <c r="E7876" t="s">
        <v>11781</v>
      </c>
      <c r="F7876" t="s">
        <v>11782</v>
      </c>
      <c r="G7876" t="s">
        <v>39</v>
      </c>
      <c r="H7876">
        <v>1997</v>
      </c>
      <c r="I7876">
        <v>25.3</v>
      </c>
      <c r="J7876">
        <v>8.3000000000000007</v>
      </c>
      <c r="K7876">
        <v>65</v>
      </c>
      <c r="L7876">
        <v>14.08</v>
      </c>
      <c r="M7876">
        <v>31.9</v>
      </c>
      <c r="N7876">
        <v>19.2</v>
      </c>
      <c r="O7876">
        <v>12.7</v>
      </c>
      <c r="P7876">
        <v>25.1</v>
      </c>
      <c r="Q7876">
        <v>26.9</v>
      </c>
      <c r="R7876">
        <v>26.9</v>
      </c>
      <c r="S7876">
        <v>23.4</v>
      </c>
      <c r="T7876">
        <v>1142</v>
      </c>
      <c r="U7876">
        <v>246</v>
      </c>
      <c r="V7876">
        <v>20</v>
      </c>
      <c r="W7876">
        <v>64</v>
      </c>
      <c r="X7876">
        <v>529</v>
      </c>
      <c r="Y7876">
        <v>108</v>
      </c>
      <c r="Z7876">
        <v>108</v>
      </c>
      <c r="AA7876">
        <v>252</v>
      </c>
      <c r="AB7876">
        <v>62.617539999999998</v>
      </c>
      <c r="AC7876">
        <v>8.8994499999999997E-3</v>
      </c>
      <c r="AD7876">
        <v>5.2369849999999998</v>
      </c>
      <c r="AE7876">
        <v>0.74441579999999996</v>
      </c>
      <c r="AF7876">
        <v>167.7561</v>
      </c>
      <c r="AG7876">
        <f>IFERROR(AH7876*0.1, "N/A")</f>
        <v>5.6394739999999999</v>
      </c>
      <c r="AH7876">
        <v>56.394739999999999</v>
      </c>
      <c r="AI7876">
        <v>300.66430000000003</v>
      </c>
      <c r="AJ7876">
        <v>29.210529999999999</v>
      </c>
      <c r="AK7876">
        <v>53.035089999999997</v>
      </c>
    </row>
    <row r="7877" spans="1:37" x14ac:dyDescent="0.3">
      <c r="A7877">
        <v>7876</v>
      </c>
      <c r="B7877">
        <v>29.7</v>
      </c>
      <c r="C7877">
        <v>39.4893</v>
      </c>
      <c r="D7877">
        <v>-4.1850699999999996</v>
      </c>
      <c r="E7877" t="s">
        <v>11783</v>
      </c>
      <c r="F7877" t="s">
        <v>11784</v>
      </c>
      <c r="G7877" t="s">
        <v>39</v>
      </c>
      <c r="H7877">
        <v>1997</v>
      </c>
      <c r="I7877">
        <v>24.5</v>
      </c>
      <c r="J7877">
        <v>8.3000000000000007</v>
      </c>
      <c r="K7877">
        <v>64</v>
      </c>
      <c r="L7877">
        <v>14.55</v>
      </c>
      <c r="M7877">
        <v>31.2</v>
      </c>
      <c r="N7877">
        <v>18.3</v>
      </c>
      <c r="O7877">
        <v>12.9</v>
      </c>
      <c r="P7877">
        <v>24.2</v>
      </c>
      <c r="Q7877">
        <v>26.1</v>
      </c>
      <c r="R7877">
        <v>26.1</v>
      </c>
      <c r="S7877">
        <v>22.5</v>
      </c>
      <c r="T7877">
        <v>1138</v>
      </c>
      <c r="U7877">
        <v>232</v>
      </c>
      <c r="V7877">
        <v>21</v>
      </c>
      <c r="W7877">
        <v>60</v>
      </c>
      <c r="X7877">
        <v>501</v>
      </c>
      <c r="Y7877">
        <v>113</v>
      </c>
      <c r="Z7877">
        <v>113</v>
      </c>
      <c r="AA7877">
        <v>228</v>
      </c>
      <c r="AB7877">
        <v>61.694229999999997</v>
      </c>
      <c r="AC7877">
        <v>3.1026290000000002E-2</v>
      </c>
      <c r="AD7877">
        <v>3.0669840000000002</v>
      </c>
      <c r="AE7877">
        <v>0.77319530000000003</v>
      </c>
      <c r="AF7877">
        <v>260.56389999999999</v>
      </c>
      <c r="AG7877">
        <f>IFERROR(AH7877*0.1, "N/A")</f>
        <v>5.4</v>
      </c>
      <c r="AH7877">
        <v>54</v>
      </c>
      <c r="AI7877">
        <v>91.694720000000004</v>
      </c>
      <c r="AJ7877">
        <v>28.929950000000002</v>
      </c>
      <c r="AK7877">
        <v>55</v>
      </c>
    </row>
    <row r="7878" spans="1:37" x14ac:dyDescent="0.3">
      <c r="A7878">
        <v>7877</v>
      </c>
      <c r="B7878">
        <v>39.299999999999997</v>
      </c>
      <c r="C7878">
        <v>39.579700000000003</v>
      </c>
      <c r="D7878">
        <v>-4.1892399999999999</v>
      </c>
      <c r="E7878" t="s">
        <v>11785</v>
      </c>
      <c r="F7878" t="s">
        <v>11786</v>
      </c>
      <c r="G7878" t="s">
        <v>39</v>
      </c>
      <c r="H7878">
        <v>1997</v>
      </c>
      <c r="I7878">
        <v>26.3</v>
      </c>
      <c r="J7878">
        <v>8.1999999999999993</v>
      </c>
      <c r="K7878">
        <v>65</v>
      </c>
      <c r="L7878">
        <v>14.33</v>
      </c>
      <c r="M7878">
        <v>32.9</v>
      </c>
      <c r="N7878">
        <v>20.3</v>
      </c>
      <c r="O7878">
        <v>12.6</v>
      </c>
      <c r="P7878">
        <v>26</v>
      </c>
      <c r="Q7878">
        <v>27.9</v>
      </c>
      <c r="R7878">
        <v>27.9</v>
      </c>
      <c r="S7878">
        <v>24.4</v>
      </c>
      <c r="T7878">
        <v>1209</v>
      </c>
      <c r="U7878">
        <v>295</v>
      </c>
      <c r="V7878">
        <v>18</v>
      </c>
      <c r="W7878">
        <v>76</v>
      </c>
      <c r="X7878">
        <v>620</v>
      </c>
      <c r="Y7878">
        <v>97</v>
      </c>
      <c r="Z7878">
        <v>97</v>
      </c>
      <c r="AA7878">
        <v>235</v>
      </c>
      <c r="AB7878">
        <v>16.940110000000001</v>
      </c>
      <c r="AC7878">
        <v>1.125781E-2</v>
      </c>
      <c r="AD7878">
        <v>1.2871999999999999</v>
      </c>
      <c r="AE7878">
        <v>0.50913830000000004</v>
      </c>
      <c r="AF7878">
        <v>55.22242</v>
      </c>
      <c r="AG7878">
        <f>IFERROR(AH7878*0.1, "N/A")</f>
        <v>6.3992990000000001</v>
      </c>
      <c r="AH7878">
        <v>63.992989999999999</v>
      </c>
      <c r="AI7878">
        <v>85.432090000000002</v>
      </c>
      <c r="AJ7878">
        <v>21.992989999999999</v>
      </c>
      <c r="AK7878">
        <v>65.003500000000003</v>
      </c>
    </row>
    <row r="7879" spans="1:37" x14ac:dyDescent="0.3">
      <c r="A7879">
        <v>7878</v>
      </c>
      <c r="B7879">
        <v>14.4</v>
      </c>
      <c r="C7879">
        <v>39.561799999999998</v>
      </c>
      <c r="D7879">
        <v>-4.1926300000000003</v>
      </c>
      <c r="E7879" t="s">
        <v>11787</v>
      </c>
      <c r="F7879" t="s">
        <v>11788</v>
      </c>
      <c r="G7879" t="s">
        <v>39</v>
      </c>
      <c r="H7879">
        <v>1997</v>
      </c>
      <c r="I7879">
        <v>25.8</v>
      </c>
      <c r="J7879">
        <v>8.1999999999999993</v>
      </c>
      <c r="K7879">
        <v>64</v>
      </c>
      <c r="L7879">
        <v>14.46</v>
      </c>
      <c r="M7879">
        <v>32.5</v>
      </c>
      <c r="N7879">
        <v>19.8</v>
      </c>
      <c r="O7879">
        <v>12.7</v>
      </c>
      <c r="P7879">
        <v>25.5</v>
      </c>
      <c r="Q7879">
        <v>27.5</v>
      </c>
      <c r="R7879">
        <v>27.5</v>
      </c>
      <c r="S7879">
        <v>23.9</v>
      </c>
      <c r="T7879">
        <v>1198</v>
      </c>
      <c r="U7879">
        <v>279</v>
      </c>
      <c r="V7879">
        <v>19</v>
      </c>
      <c r="W7879">
        <v>71</v>
      </c>
      <c r="X7879">
        <v>591</v>
      </c>
      <c r="Y7879">
        <v>103</v>
      </c>
      <c r="Z7879">
        <v>103</v>
      </c>
      <c r="AA7879">
        <v>268</v>
      </c>
      <c r="AB7879">
        <v>35.811909999999997</v>
      </c>
      <c r="AC7879">
        <v>8.5254400000000004E-3</v>
      </c>
      <c r="AD7879">
        <v>2.5371630000000001</v>
      </c>
      <c r="AE7879">
        <v>0.71298919999999999</v>
      </c>
      <c r="AF7879">
        <v>118.2189</v>
      </c>
      <c r="AG7879">
        <f>IFERROR(AH7879*0.1, "N/A")</f>
        <v>6.0350260000000002</v>
      </c>
      <c r="AH7879">
        <v>60.350259999999999</v>
      </c>
      <c r="AI7879">
        <v>194.08959999999999</v>
      </c>
      <c r="AJ7879">
        <v>27</v>
      </c>
      <c r="AK7879">
        <v>56.350259999999999</v>
      </c>
    </row>
    <row r="7880" spans="1:37" x14ac:dyDescent="0.3">
      <c r="A7880">
        <v>7879</v>
      </c>
      <c r="B7880">
        <v>35.200000000000003</v>
      </c>
      <c r="C7880">
        <v>39.596499999999999</v>
      </c>
      <c r="D7880">
        <v>-4.1992399999999996</v>
      </c>
      <c r="E7880" t="s">
        <v>11789</v>
      </c>
      <c r="F7880" t="s">
        <v>11790</v>
      </c>
      <c r="G7880" t="s">
        <v>39</v>
      </c>
      <c r="H7880">
        <v>1997</v>
      </c>
      <c r="I7880">
        <v>26.6</v>
      </c>
      <c r="J7880">
        <v>8.1</v>
      </c>
      <c r="K7880">
        <v>64</v>
      </c>
      <c r="L7880">
        <v>14.277939999999999</v>
      </c>
      <c r="M7880">
        <v>33.1</v>
      </c>
      <c r="N7880">
        <v>20.6</v>
      </c>
      <c r="O7880">
        <v>12.5</v>
      </c>
      <c r="P7880">
        <v>26.3</v>
      </c>
      <c r="Q7880">
        <v>28.3</v>
      </c>
      <c r="R7880">
        <v>28.3</v>
      </c>
      <c r="S7880">
        <v>24.7</v>
      </c>
      <c r="T7880">
        <v>1231.3779999999999</v>
      </c>
      <c r="U7880">
        <v>308.34449999999998</v>
      </c>
      <c r="V7880">
        <v>17</v>
      </c>
      <c r="W7880">
        <v>78</v>
      </c>
      <c r="X7880">
        <v>645.03340000000003</v>
      </c>
      <c r="Y7880">
        <v>96.172229999999999</v>
      </c>
      <c r="Z7880">
        <v>96.172229999999999</v>
      </c>
      <c r="AA7880">
        <v>273.34449999999998</v>
      </c>
      <c r="AB7880">
        <v>4.4623889999999999</v>
      </c>
      <c r="AC7880">
        <v>0.17154140000000001</v>
      </c>
      <c r="AD7880">
        <v>0.79530129999999999</v>
      </c>
      <c r="AE7880">
        <v>0.4842476</v>
      </c>
      <c r="AF7880">
        <v>23.87698</v>
      </c>
      <c r="AG7880">
        <f>IFERROR(AH7880*0.1, "N/A")</f>
        <v>6.2</v>
      </c>
      <c r="AH7880">
        <v>62</v>
      </c>
      <c r="AI7880">
        <v>104.3053</v>
      </c>
      <c r="AJ7880">
        <v>20</v>
      </c>
      <c r="AK7880">
        <v>65</v>
      </c>
    </row>
    <row r="7881" spans="1:37" x14ac:dyDescent="0.3">
      <c r="A7881">
        <v>7880</v>
      </c>
      <c r="B7881">
        <v>70.3</v>
      </c>
      <c r="C7881">
        <v>39.583300000000001</v>
      </c>
      <c r="D7881">
        <v>-4.2</v>
      </c>
      <c r="E7881" t="s">
        <v>11791</v>
      </c>
      <c r="F7881" t="s">
        <v>11792</v>
      </c>
      <c r="G7881" t="s">
        <v>39</v>
      </c>
      <c r="H7881">
        <v>1974</v>
      </c>
      <c r="I7881">
        <v>26.423469999999998</v>
      </c>
      <c r="J7881">
        <v>8.1549910000000008</v>
      </c>
      <c r="K7881">
        <v>64.549909999999997</v>
      </c>
      <c r="L7881">
        <v>14.42</v>
      </c>
      <c r="M7881">
        <v>32.945010000000003</v>
      </c>
      <c r="N7881">
        <v>20.378979999999999</v>
      </c>
      <c r="O7881">
        <v>12.56602</v>
      </c>
      <c r="P7881">
        <v>26.145009999999999</v>
      </c>
      <c r="Q7881">
        <v>28.06795</v>
      </c>
      <c r="R7881">
        <v>28.078980000000001</v>
      </c>
      <c r="S7881">
        <v>24.52347</v>
      </c>
      <c r="T7881">
        <v>1229.441</v>
      </c>
      <c r="U7881">
        <v>303.83359999999999</v>
      </c>
      <c r="V7881">
        <v>17.549910000000001</v>
      </c>
      <c r="W7881">
        <v>77.234679999999997</v>
      </c>
      <c r="X7881">
        <v>638.56219999999996</v>
      </c>
      <c r="Y7881">
        <v>96.654989999999998</v>
      </c>
      <c r="Z7881">
        <v>118.8319</v>
      </c>
      <c r="AA7881">
        <v>257.66550000000001</v>
      </c>
      <c r="AB7881">
        <v>6.302276</v>
      </c>
      <c r="AC7881">
        <v>5.7318670000000002E-2</v>
      </c>
      <c r="AD7881">
        <v>1.2319420000000001</v>
      </c>
      <c r="AE7881">
        <v>0.50254980000000005</v>
      </c>
      <c r="AF7881">
        <v>38.227670000000003</v>
      </c>
      <c r="AG7881">
        <f>IFERROR(AH7881*0.1, "N/A")</f>
        <v>6.2539400000000001</v>
      </c>
      <c r="AH7881">
        <v>62.539400000000001</v>
      </c>
      <c r="AI7881">
        <v>152.85169999999999</v>
      </c>
      <c r="AJ7881">
        <v>24.40455</v>
      </c>
      <c r="AK7881">
        <v>63.033270000000002</v>
      </c>
    </row>
    <row r="7882" spans="1:37" x14ac:dyDescent="0.3">
      <c r="A7882">
        <v>7881</v>
      </c>
      <c r="B7882">
        <v>50</v>
      </c>
      <c r="C7882">
        <v>39.6</v>
      </c>
      <c r="D7882">
        <v>-4.2</v>
      </c>
      <c r="E7882" t="s">
        <v>11793</v>
      </c>
      <c r="F7882" t="s">
        <v>11794</v>
      </c>
      <c r="G7882" t="s">
        <v>39</v>
      </c>
      <c r="H7882">
        <v>1974</v>
      </c>
      <c r="I7882">
        <v>26.6</v>
      </c>
      <c r="J7882">
        <v>8.1</v>
      </c>
      <c r="K7882">
        <v>64</v>
      </c>
      <c r="L7882">
        <v>14.285869999999999</v>
      </c>
      <c r="M7882">
        <v>33.1</v>
      </c>
      <c r="N7882">
        <v>20.6</v>
      </c>
      <c r="O7882">
        <v>12.5</v>
      </c>
      <c r="P7882">
        <v>26.3</v>
      </c>
      <c r="Q7882">
        <v>28.3</v>
      </c>
      <c r="R7882">
        <v>28.3</v>
      </c>
      <c r="S7882">
        <v>24.7</v>
      </c>
      <c r="T7882">
        <v>1236.6089999999999</v>
      </c>
      <c r="U7882">
        <v>309.86689999999999</v>
      </c>
      <c r="V7882">
        <v>17</v>
      </c>
      <c r="W7882">
        <v>78.148859999999999</v>
      </c>
      <c r="X7882">
        <v>649.15409999999997</v>
      </c>
      <c r="Y7882">
        <v>96.653239999999997</v>
      </c>
      <c r="Z7882">
        <v>96.653239999999997</v>
      </c>
      <c r="AA7882">
        <v>274.73559999999998</v>
      </c>
      <c r="AB7882">
        <v>1.0413300000000001</v>
      </c>
      <c r="AC7882">
        <v>0.19187370000000001</v>
      </c>
      <c r="AD7882">
        <v>0.94119180000000002</v>
      </c>
      <c r="AE7882">
        <v>0.4842476</v>
      </c>
      <c r="AF7882">
        <v>19.609459999999999</v>
      </c>
      <c r="AG7882">
        <f>IFERROR(AH7882*0.1, "N/A")</f>
        <v>6.4668999999999999</v>
      </c>
      <c r="AH7882">
        <v>64.668999999999997</v>
      </c>
      <c r="AI7882">
        <v>220.5718</v>
      </c>
      <c r="AJ7882">
        <v>18.120840000000001</v>
      </c>
      <c r="AK7882">
        <v>67.089320000000001</v>
      </c>
    </row>
    <row r="7883" spans="1:37" x14ac:dyDescent="0.3">
      <c r="A7883">
        <v>7882</v>
      </c>
      <c r="B7883">
        <v>58.5</v>
      </c>
      <c r="C7883">
        <v>39.502800000000001</v>
      </c>
      <c r="D7883">
        <v>-4.2012200000000002</v>
      </c>
      <c r="E7883" t="s">
        <v>11795</v>
      </c>
      <c r="F7883" t="s">
        <v>11796</v>
      </c>
      <c r="G7883" t="s">
        <v>39</v>
      </c>
      <c r="H7883">
        <v>1997</v>
      </c>
      <c r="I7883">
        <v>25.8</v>
      </c>
      <c r="J7883">
        <v>8.3000000000000007</v>
      </c>
      <c r="K7883">
        <v>64</v>
      </c>
      <c r="L7883">
        <v>14.52</v>
      </c>
      <c r="M7883">
        <v>32.5</v>
      </c>
      <c r="N7883">
        <v>19.7</v>
      </c>
      <c r="O7883">
        <v>12.8</v>
      </c>
      <c r="P7883">
        <v>25.6</v>
      </c>
      <c r="Q7883">
        <v>27.5</v>
      </c>
      <c r="R7883">
        <v>27.5</v>
      </c>
      <c r="S7883">
        <v>23.9</v>
      </c>
      <c r="T7883">
        <v>1153</v>
      </c>
      <c r="U7883">
        <v>260</v>
      </c>
      <c r="V7883">
        <v>19</v>
      </c>
      <c r="W7883">
        <v>69</v>
      </c>
      <c r="X7883">
        <v>558</v>
      </c>
      <c r="Y7883">
        <v>103</v>
      </c>
      <c r="Z7883">
        <v>103</v>
      </c>
      <c r="AA7883">
        <v>227</v>
      </c>
      <c r="AB7883">
        <v>15.61511</v>
      </c>
      <c r="AC7883">
        <v>1.5612320000000001E-2</v>
      </c>
      <c r="AD7883">
        <v>3.184199</v>
      </c>
      <c r="AE7883">
        <v>0.67085030000000001</v>
      </c>
      <c r="AF7883">
        <v>117.3374</v>
      </c>
      <c r="AG7883">
        <f>IFERROR(AH7883*0.1, "N/A")</f>
        <v>5.5098419999999999</v>
      </c>
      <c r="AH7883">
        <v>55.098419999999997</v>
      </c>
      <c r="AI7883">
        <v>50.603920000000002</v>
      </c>
      <c r="AJ7883">
        <v>27.049209999999999</v>
      </c>
      <c r="AK7883">
        <v>56.950789999999998</v>
      </c>
    </row>
    <row r="7884" spans="1:37" x14ac:dyDescent="0.3">
      <c r="A7884">
        <v>7883</v>
      </c>
      <c r="B7884">
        <v>59.2</v>
      </c>
      <c r="C7884">
        <v>39.387799999999999</v>
      </c>
      <c r="D7884">
        <v>-4.2059699999999998</v>
      </c>
      <c r="E7884" t="s">
        <v>11797</v>
      </c>
      <c r="F7884" t="s">
        <v>11798</v>
      </c>
      <c r="G7884" t="s">
        <v>39</v>
      </c>
      <c r="H7884">
        <v>1997</v>
      </c>
      <c r="I7884">
        <v>25.3</v>
      </c>
      <c r="J7884">
        <v>8.5</v>
      </c>
      <c r="K7884">
        <v>65</v>
      </c>
      <c r="L7884">
        <v>14.44</v>
      </c>
      <c r="M7884">
        <v>32.1</v>
      </c>
      <c r="N7884">
        <v>19.100000000000001</v>
      </c>
      <c r="O7884">
        <v>13</v>
      </c>
      <c r="P7884">
        <v>25</v>
      </c>
      <c r="Q7884">
        <v>27</v>
      </c>
      <c r="R7884">
        <v>27</v>
      </c>
      <c r="S7884">
        <v>23.4</v>
      </c>
      <c r="T7884">
        <v>1030</v>
      </c>
      <c r="U7884">
        <v>202</v>
      </c>
      <c r="V7884">
        <v>22</v>
      </c>
      <c r="W7884">
        <v>59</v>
      </c>
      <c r="X7884">
        <v>450</v>
      </c>
      <c r="Y7884">
        <v>110</v>
      </c>
      <c r="Z7884">
        <v>110</v>
      </c>
      <c r="AA7884">
        <v>201</v>
      </c>
      <c r="AB7884">
        <v>6.5730310000000003</v>
      </c>
      <c r="AC7884">
        <v>3.670531</v>
      </c>
      <c r="AD7884">
        <v>3.9287269999999999</v>
      </c>
      <c r="AE7884">
        <v>0.58865179999999995</v>
      </c>
      <c r="AF7884">
        <v>149.81960000000001</v>
      </c>
      <c r="AG7884">
        <f>IFERROR(AH7884*0.1, "N/A")</f>
        <v>6.1259189999999997</v>
      </c>
      <c r="AH7884">
        <v>61.259189999999997</v>
      </c>
      <c r="AI7884">
        <v>206.20070000000001</v>
      </c>
      <c r="AJ7884">
        <v>21.48161</v>
      </c>
      <c r="AK7884">
        <v>64.259190000000004</v>
      </c>
    </row>
    <row r="7885" spans="1:37" x14ac:dyDescent="0.3">
      <c r="A7885">
        <v>7884</v>
      </c>
      <c r="B7885">
        <v>23</v>
      </c>
      <c r="C7885">
        <v>39.554600000000001</v>
      </c>
      <c r="D7885">
        <v>-4.2111099999999997</v>
      </c>
      <c r="E7885" t="s">
        <v>11799</v>
      </c>
      <c r="F7885" t="s">
        <v>11800</v>
      </c>
      <c r="G7885" t="s">
        <v>39</v>
      </c>
      <c r="H7885">
        <v>1997</v>
      </c>
      <c r="I7885">
        <v>25.9</v>
      </c>
      <c r="J7885">
        <v>8.1999999999999993</v>
      </c>
      <c r="K7885">
        <v>64</v>
      </c>
      <c r="L7885">
        <v>14.47</v>
      </c>
      <c r="M7885">
        <v>32.6</v>
      </c>
      <c r="N7885">
        <v>19.899999999999999</v>
      </c>
      <c r="O7885">
        <v>12.7</v>
      </c>
      <c r="P7885">
        <v>25.6</v>
      </c>
      <c r="Q7885">
        <v>27.6</v>
      </c>
      <c r="R7885">
        <v>27.6</v>
      </c>
      <c r="S7885">
        <v>24</v>
      </c>
      <c r="T7885">
        <v>1204</v>
      </c>
      <c r="U7885">
        <v>283</v>
      </c>
      <c r="V7885">
        <v>19</v>
      </c>
      <c r="W7885">
        <v>72</v>
      </c>
      <c r="X7885">
        <v>600</v>
      </c>
      <c r="Y7885">
        <v>102</v>
      </c>
      <c r="Z7885">
        <v>102</v>
      </c>
      <c r="AA7885">
        <v>237</v>
      </c>
      <c r="AB7885">
        <v>35.718699999999998</v>
      </c>
      <c r="AC7885">
        <v>1.8227940000000002E-2</v>
      </c>
      <c r="AD7885">
        <v>2.145365</v>
      </c>
      <c r="AE7885">
        <v>0.47937869999999999</v>
      </c>
      <c r="AF7885">
        <v>108.2325</v>
      </c>
      <c r="AG7885">
        <f>IFERROR(AH7885*0.1, "N/A")</f>
        <v>5.9</v>
      </c>
      <c r="AH7885">
        <v>59</v>
      </c>
      <c r="AI7885">
        <v>243.67859999999999</v>
      </c>
      <c r="AJ7885">
        <v>30.65035</v>
      </c>
      <c r="AK7885">
        <v>51.67483</v>
      </c>
    </row>
    <row r="7886" spans="1:37" x14ac:dyDescent="0.3">
      <c r="A7886">
        <v>7885</v>
      </c>
      <c r="B7886">
        <v>32.700000000000003</v>
      </c>
      <c r="C7886">
        <v>39.582999999999998</v>
      </c>
      <c r="D7886">
        <v>-4.2123100000000004</v>
      </c>
      <c r="E7886" t="s">
        <v>11801</v>
      </c>
      <c r="F7886" t="s">
        <v>11802</v>
      </c>
      <c r="G7886" t="s">
        <v>39</v>
      </c>
      <c r="H7886">
        <v>1997</v>
      </c>
      <c r="I7886">
        <v>26.420030000000001</v>
      </c>
      <c r="J7886">
        <v>8.1999999999999993</v>
      </c>
      <c r="K7886">
        <v>65</v>
      </c>
      <c r="L7886">
        <v>14.287940000000001</v>
      </c>
      <c r="M7886">
        <v>33</v>
      </c>
      <c r="N7886">
        <v>20.420030000000001</v>
      </c>
      <c r="O7886">
        <v>12.579969999999999</v>
      </c>
      <c r="P7886">
        <v>26.120039999999999</v>
      </c>
      <c r="Q7886">
        <v>28.020040000000002</v>
      </c>
      <c r="R7886">
        <v>28.020040000000002</v>
      </c>
      <c r="S7886">
        <v>24.520040000000002</v>
      </c>
      <c r="T7886">
        <v>1239.6030000000001</v>
      </c>
      <c r="U7886">
        <v>306.8014</v>
      </c>
      <c r="V7886">
        <v>17.79965</v>
      </c>
      <c r="W7886">
        <v>77.20035</v>
      </c>
      <c r="X7886">
        <v>646.40250000000003</v>
      </c>
      <c r="Y7886">
        <v>97.79965</v>
      </c>
      <c r="Z7886">
        <v>97.79965</v>
      </c>
      <c r="AA7886">
        <v>268.38839999999999</v>
      </c>
      <c r="AB7886">
        <v>7.6397199999999996</v>
      </c>
      <c r="AC7886">
        <v>2.0226839999999999E-2</v>
      </c>
      <c r="AD7886">
        <v>1.5548390000000001</v>
      </c>
      <c r="AE7886">
        <v>0.50510690000000003</v>
      </c>
      <c r="AF7886">
        <v>39.947279999999999</v>
      </c>
      <c r="AG7886">
        <f>IFERROR(AH7886*0.1, "N/A")</f>
        <v>6.1395429999999998</v>
      </c>
      <c r="AH7886">
        <v>61.395429999999998</v>
      </c>
      <c r="AI7886">
        <v>88.418509999999998</v>
      </c>
      <c r="AJ7886">
        <v>22.796130000000002</v>
      </c>
      <c r="AK7886">
        <v>62.608080000000001</v>
      </c>
    </row>
    <row r="7887" spans="1:37" x14ac:dyDescent="0.3">
      <c r="A7887">
        <v>7886</v>
      </c>
      <c r="B7887">
        <v>21.6</v>
      </c>
      <c r="C7887">
        <v>39.549999999999997</v>
      </c>
      <c r="D7887">
        <v>-4.2166699999999997</v>
      </c>
      <c r="E7887" t="s">
        <v>11803</v>
      </c>
      <c r="F7887" t="s">
        <v>11804</v>
      </c>
      <c r="G7887" t="s">
        <v>39</v>
      </c>
      <c r="H7887">
        <v>1974</v>
      </c>
      <c r="I7887">
        <v>25.999120000000001</v>
      </c>
      <c r="J7887">
        <v>8.1999999999999993</v>
      </c>
      <c r="K7887">
        <v>64</v>
      </c>
      <c r="L7887">
        <v>14.470789999999999</v>
      </c>
      <c r="M7887">
        <v>32.62021</v>
      </c>
      <c r="N7887">
        <v>19.90193</v>
      </c>
      <c r="O7887">
        <v>12.71828</v>
      </c>
      <c r="P7887">
        <v>25.699120000000001</v>
      </c>
      <c r="Q7887">
        <v>27.62021</v>
      </c>
      <c r="R7887">
        <v>27.62021</v>
      </c>
      <c r="S7887">
        <v>24.05255</v>
      </c>
      <c r="T7887">
        <v>1206.817</v>
      </c>
      <c r="U7887">
        <v>285.55009999999999</v>
      </c>
      <c r="V7887">
        <v>18.534269999999999</v>
      </c>
      <c r="W7887">
        <v>72.708259999999996</v>
      </c>
      <c r="X7887">
        <v>605.56590000000006</v>
      </c>
      <c r="Y7887">
        <v>101.00879999999999</v>
      </c>
      <c r="Z7887">
        <v>101.00879999999999</v>
      </c>
      <c r="AA7887">
        <v>253.7047</v>
      </c>
      <c r="AB7887">
        <v>31.950610000000001</v>
      </c>
      <c r="AC7887">
        <v>8.2360279999999994E-2</v>
      </c>
      <c r="AD7887">
        <v>6.2421300000000004</v>
      </c>
      <c r="AE7887">
        <v>0.52802819999999995</v>
      </c>
      <c r="AF7887">
        <v>77.662570000000002</v>
      </c>
      <c r="AG7887">
        <f>IFERROR(AH7887*0.1, "N/A")</f>
        <v>5.9</v>
      </c>
      <c r="AH7887">
        <v>59</v>
      </c>
      <c r="AI7887">
        <v>225.51179999999999</v>
      </c>
      <c r="AJ7887">
        <v>28.78735</v>
      </c>
      <c r="AK7887">
        <v>52.212649999999996</v>
      </c>
    </row>
    <row r="7888" spans="1:37" x14ac:dyDescent="0.3">
      <c r="A7888">
        <v>7887</v>
      </c>
      <c r="B7888">
        <v>52.4</v>
      </c>
      <c r="C7888">
        <v>39.570300000000003</v>
      </c>
      <c r="D7888">
        <v>-4.2209599999999998</v>
      </c>
      <c r="E7888" t="s">
        <v>11805</v>
      </c>
      <c r="F7888" t="s">
        <v>11806</v>
      </c>
      <c r="G7888" t="s">
        <v>39</v>
      </c>
      <c r="H7888">
        <v>1997</v>
      </c>
      <c r="I7888">
        <v>26.5</v>
      </c>
      <c r="J7888">
        <v>8.1999999999999993</v>
      </c>
      <c r="K7888">
        <v>65</v>
      </c>
      <c r="L7888">
        <v>14.4</v>
      </c>
      <c r="M7888">
        <v>33</v>
      </c>
      <c r="N7888">
        <v>20.399999999999999</v>
      </c>
      <c r="O7888">
        <v>12.6</v>
      </c>
      <c r="P7888">
        <v>26.2</v>
      </c>
      <c r="Q7888">
        <v>28.1</v>
      </c>
      <c r="R7888">
        <v>28.1</v>
      </c>
      <c r="S7888">
        <v>24.5</v>
      </c>
      <c r="T7888">
        <v>1241</v>
      </c>
      <c r="U7888">
        <v>307</v>
      </c>
      <c r="V7888">
        <v>18</v>
      </c>
      <c r="W7888">
        <v>78</v>
      </c>
      <c r="X7888">
        <v>648</v>
      </c>
      <c r="Y7888">
        <v>98</v>
      </c>
      <c r="Z7888">
        <v>98</v>
      </c>
      <c r="AA7888">
        <v>241</v>
      </c>
      <c r="AB7888">
        <v>4.7330399999999999</v>
      </c>
      <c r="AC7888">
        <v>0.38775510000000002</v>
      </c>
      <c r="AD7888">
        <v>1.7760659999999999</v>
      </c>
      <c r="AE7888">
        <v>0.49683830000000001</v>
      </c>
      <c r="AF7888">
        <v>42.495609999999999</v>
      </c>
      <c r="AG7888">
        <f>IFERROR(AH7888*0.1, "N/A")</f>
        <v>6.1000000000000005</v>
      </c>
      <c r="AH7888">
        <v>61</v>
      </c>
      <c r="AI7888">
        <v>138.6942</v>
      </c>
      <c r="AJ7888">
        <v>24.326889999999999</v>
      </c>
      <c r="AK7888">
        <v>61.564149999999998</v>
      </c>
    </row>
    <row r="7889" spans="1:37" x14ac:dyDescent="0.3">
      <c r="A7889">
        <v>7888</v>
      </c>
      <c r="B7889">
        <v>18.899999999999999</v>
      </c>
      <c r="C7889">
        <v>39.537399999999998</v>
      </c>
      <c r="D7889">
        <v>-4.2213500000000002</v>
      </c>
      <c r="E7889" t="s">
        <v>11807</v>
      </c>
      <c r="F7889" t="s">
        <v>11808</v>
      </c>
      <c r="G7889" t="s">
        <v>39</v>
      </c>
      <c r="H7889">
        <v>1997</v>
      </c>
      <c r="I7889">
        <v>26.4</v>
      </c>
      <c r="J7889">
        <v>8.3000000000000007</v>
      </c>
      <c r="K7889">
        <v>65</v>
      </c>
      <c r="L7889">
        <v>14.29</v>
      </c>
      <c r="M7889">
        <v>32.9</v>
      </c>
      <c r="N7889">
        <v>20.3</v>
      </c>
      <c r="O7889">
        <v>12.6</v>
      </c>
      <c r="P7889">
        <v>26.1</v>
      </c>
      <c r="Q7889">
        <v>28</v>
      </c>
      <c r="R7889">
        <v>28</v>
      </c>
      <c r="S7889">
        <v>24.5</v>
      </c>
      <c r="T7889">
        <v>1211</v>
      </c>
      <c r="U7889">
        <v>294</v>
      </c>
      <c r="V7889">
        <v>18</v>
      </c>
      <c r="W7889">
        <v>77</v>
      </c>
      <c r="X7889">
        <v>624</v>
      </c>
      <c r="Y7889">
        <v>97</v>
      </c>
      <c r="Z7889">
        <v>97</v>
      </c>
      <c r="AA7889">
        <v>268</v>
      </c>
      <c r="AB7889">
        <v>16.762589999999999</v>
      </c>
      <c r="AC7889">
        <v>1.175931E-2</v>
      </c>
      <c r="AD7889">
        <v>7.3588959999999997</v>
      </c>
      <c r="AE7889">
        <v>0.63216799999999995</v>
      </c>
      <c r="AF7889">
        <v>59.638109999999998</v>
      </c>
      <c r="AG7889">
        <f>IFERROR(AH7889*0.1, "N/A")</f>
        <v>5.698601</v>
      </c>
      <c r="AH7889">
        <v>56.98601</v>
      </c>
      <c r="AI7889">
        <v>20.320830000000001</v>
      </c>
      <c r="AJ7889">
        <v>26</v>
      </c>
      <c r="AK7889">
        <v>57.335659999999997</v>
      </c>
    </row>
    <row r="7890" spans="1:37" x14ac:dyDescent="0.3">
      <c r="A7890">
        <v>7889</v>
      </c>
      <c r="B7890">
        <v>50.4</v>
      </c>
      <c r="C7890">
        <v>39.588099999999997</v>
      </c>
      <c r="D7890">
        <v>-4.2262599999999999</v>
      </c>
      <c r="E7890" t="s">
        <v>11809</v>
      </c>
      <c r="F7890" t="s">
        <v>11810</v>
      </c>
      <c r="G7890" t="s">
        <v>39</v>
      </c>
      <c r="H7890">
        <v>1997</v>
      </c>
      <c r="I7890">
        <v>26.6</v>
      </c>
      <c r="J7890">
        <v>8.1999999999999993</v>
      </c>
      <c r="K7890">
        <v>65</v>
      </c>
      <c r="L7890">
        <v>14.5</v>
      </c>
      <c r="M7890">
        <v>33.1</v>
      </c>
      <c r="N7890">
        <v>20.5</v>
      </c>
      <c r="O7890">
        <v>12.6</v>
      </c>
      <c r="P7890">
        <v>26.3</v>
      </c>
      <c r="Q7890">
        <v>28.3</v>
      </c>
      <c r="R7890">
        <v>28.3</v>
      </c>
      <c r="S7890">
        <v>24.7</v>
      </c>
      <c r="T7890">
        <v>1257</v>
      </c>
      <c r="U7890">
        <v>315</v>
      </c>
      <c r="V7890">
        <v>17</v>
      </c>
      <c r="W7890">
        <v>79</v>
      </c>
      <c r="X7890">
        <v>663</v>
      </c>
      <c r="Y7890">
        <v>97</v>
      </c>
      <c r="Z7890">
        <v>97</v>
      </c>
      <c r="AA7890">
        <v>280</v>
      </c>
      <c r="AB7890">
        <v>3.1204900000000002</v>
      </c>
      <c r="AC7890">
        <v>0.33404590000000001</v>
      </c>
      <c r="AD7890">
        <v>0.77676389999999995</v>
      </c>
      <c r="AE7890">
        <v>0.51034250000000003</v>
      </c>
      <c r="AF7890">
        <v>21.210159999999998</v>
      </c>
      <c r="AG7890">
        <f>IFERROR(AH7890*0.1, "N/A")</f>
        <v>5.7008760000000009</v>
      </c>
      <c r="AH7890">
        <v>57.008760000000002</v>
      </c>
      <c r="AI7890">
        <v>54.566009999999999</v>
      </c>
      <c r="AJ7890">
        <v>27.446580000000001</v>
      </c>
      <c r="AK7890">
        <v>57.117339999999999</v>
      </c>
    </row>
    <row r="7891" spans="1:37" x14ac:dyDescent="0.3">
      <c r="A7891">
        <v>7890</v>
      </c>
      <c r="B7891">
        <v>48.8</v>
      </c>
      <c r="C7891">
        <v>39.580599999999997</v>
      </c>
      <c r="D7891">
        <v>-4.23142</v>
      </c>
      <c r="E7891" t="s">
        <v>11811</v>
      </c>
      <c r="F7891" t="s">
        <v>11812</v>
      </c>
      <c r="G7891" t="s">
        <v>39</v>
      </c>
      <c r="H7891">
        <v>1997</v>
      </c>
      <c r="I7891">
        <v>26.5</v>
      </c>
      <c r="J7891">
        <v>8.1999999999999993</v>
      </c>
      <c r="K7891">
        <v>65</v>
      </c>
      <c r="L7891">
        <v>14.2</v>
      </c>
      <c r="M7891">
        <v>33</v>
      </c>
      <c r="N7891">
        <v>20.399999999999999</v>
      </c>
      <c r="O7891">
        <v>12.6</v>
      </c>
      <c r="P7891">
        <v>26.2</v>
      </c>
      <c r="Q7891">
        <v>28.1</v>
      </c>
      <c r="R7891">
        <v>28.1</v>
      </c>
      <c r="S7891">
        <v>24.6</v>
      </c>
      <c r="T7891">
        <v>1252</v>
      </c>
      <c r="U7891">
        <v>312</v>
      </c>
      <c r="V7891">
        <v>18</v>
      </c>
      <c r="W7891">
        <v>78</v>
      </c>
      <c r="X7891">
        <v>657</v>
      </c>
      <c r="Y7891">
        <v>97</v>
      </c>
      <c r="Z7891">
        <v>97</v>
      </c>
      <c r="AA7891">
        <v>244</v>
      </c>
      <c r="AB7891">
        <v>11.89913</v>
      </c>
      <c r="AC7891">
        <v>1.5960169999999999E-2</v>
      </c>
      <c r="AD7891">
        <v>2.6087760000000002</v>
      </c>
      <c r="AE7891">
        <v>0.51676670000000002</v>
      </c>
      <c r="AF7891">
        <v>28.008759999999999</v>
      </c>
      <c r="AG7891">
        <f>IFERROR(AH7891*0.1, "N/A")</f>
        <v>6.0157620000000005</v>
      </c>
      <c r="AH7891">
        <v>60.157620000000001</v>
      </c>
      <c r="AI7891">
        <v>109.9233</v>
      </c>
      <c r="AJ7891">
        <v>26</v>
      </c>
      <c r="AK7891">
        <v>58</v>
      </c>
    </row>
    <row r="7892" spans="1:37" x14ac:dyDescent="0.3">
      <c r="A7892">
        <v>7891</v>
      </c>
      <c r="B7892">
        <v>13.2</v>
      </c>
      <c r="C7892">
        <v>39.548699999999997</v>
      </c>
      <c r="D7892">
        <v>-4.2325400000000002</v>
      </c>
      <c r="E7892" t="s">
        <v>11813</v>
      </c>
      <c r="F7892" t="s">
        <v>11814</v>
      </c>
      <c r="G7892" t="s">
        <v>39</v>
      </c>
      <c r="H7892">
        <v>1997</v>
      </c>
      <c r="I7892">
        <v>26.4</v>
      </c>
      <c r="J7892">
        <v>8.1999999999999993</v>
      </c>
      <c r="K7892">
        <v>64</v>
      </c>
      <c r="L7892">
        <v>14.71</v>
      </c>
      <c r="M7892">
        <v>33.1</v>
      </c>
      <c r="N7892">
        <v>20.3</v>
      </c>
      <c r="O7892">
        <v>12.8</v>
      </c>
      <c r="P7892">
        <v>26.2</v>
      </c>
      <c r="Q7892">
        <v>28.1</v>
      </c>
      <c r="R7892">
        <v>28.1</v>
      </c>
      <c r="S7892">
        <v>24.4</v>
      </c>
      <c r="T7892">
        <v>1227</v>
      </c>
      <c r="U7892">
        <v>300</v>
      </c>
      <c r="V7892">
        <v>18</v>
      </c>
      <c r="W7892">
        <v>77</v>
      </c>
      <c r="X7892">
        <v>637</v>
      </c>
      <c r="Y7892">
        <v>98</v>
      </c>
      <c r="Z7892">
        <v>98</v>
      </c>
      <c r="AA7892">
        <v>239</v>
      </c>
      <c r="AB7892">
        <v>61.731290000000001</v>
      </c>
      <c r="AC7892">
        <v>1.0060110000000001E-2</v>
      </c>
      <c r="AD7892">
        <v>3.5709409999999999</v>
      </c>
      <c r="AE7892">
        <v>0.72877179999999997</v>
      </c>
      <c r="AF7892">
        <v>96.442310000000006</v>
      </c>
      <c r="AG7892">
        <f>IFERROR(AH7892*0.1, "N/A")</f>
        <v>5.8000000000000007</v>
      </c>
      <c r="AH7892">
        <v>58</v>
      </c>
      <c r="AI7892">
        <v>175.2456</v>
      </c>
      <c r="AJ7892">
        <v>28.180070000000001</v>
      </c>
      <c r="AK7892">
        <v>51.923079999999999</v>
      </c>
    </row>
    <row r="7893" spans="1:37" x14ac:dyDescent="0.3">
      <c r="A7893">
        <v>7892</v>
      </c>
      <c r="B7893">
        <v>20.5</v>
      </c>
      <c r="C7893">
        <v>39.581899999999997</v>
      </c>
      <c r="D7893">
        <v>-4.2402899999999999</v>
      </c>
      <c r="E7893" t="s">
        <v>11815</v>
      </c>
      <c r="F7893" t="s">
        <v>11816</v>
      </c>
      <c r="G7893" t="s">
        <v>39</v>
      </c>
      <c r="H7893">
        <v>1997</v>
      </c>
      <c r="I7893">
        <v>26.5</v>
      </c>
      <c r="J7893">
        <v>8.1999999999999993</v>
      </c>
      <c r="K7893">
        <v>65</v>
      </c>
      <c r="L7893">
        <v>14.23</v>
      </c>
      <c r="M7893">
        <v>33</v>
      </c>
      <c r="N7893">
        <v>20.399999999999999</v>
      </c>
      <c r="O7893">
        <v>12.6</v>
      </c>
      <c r="P7893">
        <v>26.2</v>
      </c>
      <c r="Q7893">
        <v>28.1</v>
      </c>
      <c r="R7893">
        <v>28.1</v>
      </c>
      <c r="S7893">
        <v>24.6</v>
      </c>
      <c r="T7893">
        <v>1256</v>
      </c>
      <c r="U7893">
        <v>313</v>
      </c>
      <c r="V7893">
        <v>18</v>
      </c>
      <c r="W7893">
        <v>79</v>
      </c>
      <c r="X7893">
        <v>661</v>
      </c>
      <c r="Y7893">
        <v>98</v>
      </c>
      <c r="Z7893">
        <v>98</v>
      </c>
      <c r="AA7893">
        <v>244</v>
      </c>
      <c r="AB7893">
        <v>7.6973770000000004</v>
      </c>
      <c r="AC7893">
        <v>5.9629740000000001E-2</v>
      </c>
      <c r="AD7893">
        <v>1.336247</v>
      </c>
      <c r="AE7893">
        <v>0.53096860000000001</v>
      </c>
      <c r="AF7893">
        <v>24.965029999999999</v>
      </c>
      <c r="AG7893">
        <f>IFERROR(AH7893*0.1, "N/A")</f>
        <v>5.9837410000000002</v>
      </c>
      <c r="AH7893">
        <v>59.837409999999998</v>
      </c>
      <c r="AI7893">
        <v>239.4237</v>
      </c>
      <c r="AJ7893">
        <v>27.517479999999999</v>
      </c>
      <c r="AK7893">
        <v>56.277970000000003</v>
      </c>
    </row>
    <row r="7894" spans="1:37" x14ac:dyDescent="0.3">
      <c r="A7894">
        <v>7893</v>
      </c>
      <c r="B7894">
        <v>4</v>
      </c>
      <c r="C7894">
        <v>39.491300000000003</v>
      </c>
      <c r="D7894">
        <v>-4.2416999999999998</v>
      </c>
      <c r="E7894" t="s">
        <v>11817</v>
      </c>
      <c r="F7894" t="s">
        <v>11818</v>
      </c>
      <c r="G7894" t="s">
        <v>39</v>
      </c>
      <c r="H7894">
        <v>1997</v>
      </c>
      <c r="I7894">
        <v>25.51088</v>
      </c>
      <c r="J7894">
        <v>8.3000000000000007</v>
      </c>
      <c r="K7894">
        <v>64.391229999999993</v>
      </c>
      <c r="L7894">
        <v>14.34582</v>
      </c>
      <c r="M7894">
        <v>32.165790000000001</v>
      </c>
      <c r="N7894">
        <v>19.404910000000001</v>
      </c>
      <c r="O7894">
        <v>12.76088</v>
      </c>
      <c r="P7894">
        <v>25.30491</v>
      </c>
      <c r="Q7894">
        <v>27.110880000000002</v>
      </c>
      <c r="R7894">
        <v>27.110880000000002</v>
      </c>
      <c r="S7894">
        <v>23.596489999999999</v>
      </c>
      <c r="T7894">
        <v>1169.644</v>
      </c>
      <c r="U7894">
        <v>260.27370000000002</v>
      </c>
      <c r="V7894">
        <v>19</v>
      </c>
      <c r="W7894">
        <v>68.084209999999999</v>
      </c>
      <c r="X7894">
        <v>561.85440000000006</v>
      </c>
      <c r="Y7894">
        <v>105.3421</v>
      </c>
      <c r="Z7894">
        <v>105.3421</v>
      </c>
      <c r="AA7894">
        <v>233.5386</v>
      </c>
      <c r="AB7894">
        <v>16.496320000000001</v>
      </c>
      <c r="AC7894">
        <v>2.567941E-2</v>
      </c>
      <c r="AD7894">
        <v>3.9449019999999999</v>
      </c>
      <c r="AE7894">
        <v>0.33757819999999999</v>
      </c>
      <c r="AF7894">
        <v>135.107</v>
      </c>
      <c r="AG7894">
        <f>IFERROR(AH7894*0.1, "N/A")</f>
        <v>5.1287720000000006</v>
      </c>
      <c r="AH7894">
        <v>51.28772</v>
      </c>
      <c r="AI7894">
        <v>119.0616</v>
      </c>
      <c r="AJ7894">
        <v>25</v>
      </c>
      <c r="AK7894">
        <v>61.71228</v>
      </c>
    </row>
    <row r="7895" spans="1:37" x14ac:dyDescent="0.3">
      <c r="A7895">
        <v>7894</v>
      </c>
      <c r="B7895">
        <v>10.7</v>
      </c>
      <c r="C7895">
        <v>39.577100000000002</v>
      </c>
      <c r="D7895">
        <v>-4.2448300000000003</v>
      </c>
      <c r="E7895" t="s">
        <v>11819</v>
      </c>
      <c r="F7895" t="s">
        <v>11820</v>
      </c>
      <c r="G7895" t="s">
        <v>39</v>
      </c>
      <c r="H7895">
        <v>1997</v>
      </c>
      <c r="I7895">
        <v>26.5</v>
      </c>
      <c r="J7895">
        <v>8.1999999999999993</v>
      </c>
      <c r="K7895">
        <v>65</v>
      </c>
      <c r="L7895">
        <v>14.4</v>
      </c>
      <c r="M7895">
        <v>33</v>
      </c>
      <c r="N7895">
        <v>20.399999999999999</v>
      </c>
      <c r="O7895">
        <v>12.6</v>
      </c>
      <c r="P7895">
        <v>26.2</v>
      </c>
      <c r="Q7895">
        <v>28.1</v>
      </c>
      <c r="R7895">
        <v>28.1</v>
      </c>
      <c r="S7895">
        <v>24.6</v>
      </c>
      <c r="T7895">
        <v>1259</v>
      </c>
      <c r="U7895">
        <v>314</v>
      </c>
      <c r="V7895">
        <v>18</v>
      </c>
      <c r="W7895">
        <v>79</v>
      </c>
      <c r="X7895">
        <v>663</v>
      </c>
      <c r="Y7895">
        <v>98</v>
      </c>
      <c r="Z7895">
        <v>98</v>
      </c>
      <c r="AA7895">
        <v>245</v>
      </c>
      <c r="AB7895">
        <v>9.0564689999999999</v>
      </c>
      <c r="AC7895">
        <v>1.0402730000000001E-2</v>
      </c>
      <c r="AD7895">
        <v>1.8850480000000001</v>
      </c>
      <c r="AE7895">
        <v>0.57429059999999998</v>
      </c>
      <c r="AF7895">
        <v>33.396850000000001</v>
      </c>
      <c r="AG7895">
        <f>IFERROR(AH7895*0.1, "N/A")</f>
        <v>5.8220280000000004</v>
      </c>
      <c r="AH7895">
        <v>58.220280000000002</v>
      </c>
      <c r="AI7895">
        <v>126.5808</v>
      </c>
      <c r="AJ7895">
        <v>26.351400000000002</v>
      </c>
      <c r="AK7895">
        <v>58.375869999999999</v>
      </c>
    </row>
    <row r="7896" spans="1:37" x14ac:dyDescent="0.3">
      <c r="A7896">
        <v>7895</v>
      </c>
      <c r="B7896">
        <v>19.5</v>
      </c>
      <c r="C7896">
        <v>39.571300000000001</v>
      </c>
      <c r="D7896">
        <v>-4.25061</v>
      </c>
      <c r="E7896" t="s">
        <v>11821</v>
      </c>
      <c r="F7896" t="s">
        <v>11822</v>
      </c>
      <c r="G7896" t="s">
        <v>39</v>
      </c>
      <c r="H7896">
        <v>1997</v>
      </c>
      <c r="I7896">
        <v>26.49455</v>
      </c>
      <c r="J7896">
        <v>8.1999999999999993</v>
      </c>
      <c r="K7896">
        <v>65</v>
      </c>
      <c r="L7896">
        <v>14.33564</v>
      </c>
      <c r="M7896">
        <v>33</v>
      </c>
      <c r="N7896">
        <v>20.399999999999999</v>
      </c>
      <c r="O7896">
        <v>12.6</v>
      </c>
      <c r="P7896">
        <v>26.2</v>
      </c>
      <c r="Q7896">
        <v>28.1</v>
      </c>
      <c r="R7896">
        <v>28.1</v>
      </c>
      <c r="S7896">
        <v>24.5</v>
      </c>
      <c r="T7896">
        <v>1256.8910000000001</v>
      </c>
      <c r="U7896">
        <v>311.94549999999998</v>
      </c>
      <c r="V7896">
        <v>18</v>
      </c>
      <c r="W7896">
        <v>78.945520000000002</v>
      </c>
      <c r="X7896">
        <v>659.83659999999998</v>
      </c>
      <c r="Y7896">
        <v>98.054479999999998</v>
      </c>
      <c r="Z7896">
        <v>98.054479999999998</v>
      </c>
      <c r="AA7896">
        <v>245</v>
      </c>
      <c r="AB7896">
        <v>6.661511</v>
      </c>
      <c r="AC7896">
        <v>2.734236E-2</v>
      </c>
      <c r="AD7896">
        <v>1.1005640000000001</v>
      </c>
      <c r="AE7896">
        <v>0.59714730000000005</v>
      </c>
      <c r="AF7896">
        <v>31.815470000000001</v>
      </c>
      <c r="AG7896">
        <f>IFERROR(AH7896*0.1, "N/A")</f>
        <v>5.6195079999999997</v>
      </c>
      <c r="AH7896">
        <v>56.195079999999997</v>
      </c>
      <c r="AI7896">
        <v>172.9418</v>
      </c>
      <c r="AJ7896">
        <v>21.924430000000001</v>
      </c>
      <c r="AK7896">
        <v>64.29701</v>
      </c>
    </row>
    <row r="7897" spans="1:37" x14ac:dyDescent="0.3">
      <c r="A7897">
        <v>7896</v>
      </c>
      <c r="B7897">
        <v>74.7</v>
      </c>
      <c r="C7897">
        <v>39.566699999999997</v>
      </c>
      <c r="D7897">
        <v>-4.2666700000000004</v>
      </c>
      <c r="E7897" t="s">
        <v>11823</v>
      </c>
      <c r="F7897" t="s">
        <v>11824</v>
      </c>
      <c r="G7897" t="s">
        <v>39</v>
      </c>
      <c r="H7897">
        <v>1998</v>
      </c>
      <c r="I7897">
        <v>26.562809999999999</v>
      </c>
      <c r="J7897">
        <v>8.1999999999999993</v>
      </c>
      <c r="K7897">
        <v>64.985960000000006</v>
      </c>
      <c r="L7897">
        <v>14.225300000000001</v>
      </c>
      <c r="M7897">
        <v>33.062809999999999</v>
      </c>
      <c r="N7897">
        <v>20.461400000000001</v>
      </c>
      <c r="O7897">
        <v>12.6014</v>
      </c>
      <c r="P7897">
        <v>26.262810000000002</v>
      </c>
      <c r="Q7897">
        <v>28.16281</v>
      </c>
      <c r="R7897">
        <v>28.16281</v>
      </c>
      <c r="S7897">
        <v>24.647189999999998</v>
      </c>
      <c r="T7897">
        <v>1262.3389999999999</v>
      </c>
      <c r="U7897">
        <v>314.3614</v>
      </c>
      <c r="V7897">
        <v>18</v>
      </c>
      <c r="W7897">
        <v>78.642110000000002</v>
      </c>
      <c r="X7897">
        <v>664.73680000000002</v>
      </c>
      <c r="Y7897">
        <v>99.014039999999994</v>
      </c>
      <c r="Z7897">
        <v>99.014039999999994</v>
      </c>
      <c r="AA7897">
        <v>270.60180000000003</v>
      </c>
      <c r="AB7897">
        <v>13.37947</v>
      </c>
      <c r="AC7897">
        <v>1.159052E-2</v>
      </c>
      <c r="AD7897">
        <v>1.164102</v>
      </c>
      <c r="AE7897">
        <v>0.81696679999999999</v>
      </c>
      <c r="AF7897">
        <v>29.1386</v>
      </c>
      <c r="AG7897">
        <f>IFERROR(AH7897*0.1, "N/A")</f>
        <v>6.3312280000000003</v>
      </c>
      <c r="AH7897">
        <v>63.312280000000001</v>
      </c>
      <c r="AI7897">
        <v>151.54679999999999</v>
      </c>
      <c r="AJ7897">
        <v>26.2193</v>
      </c>
      <c r="AK7897">
        <v>57.936839999999997</v>
      </c>
    </row>
    <row r="7898" spans="1:37" x14ac:dyDescent="0.3">
      <c r="A7898">
        <v>7897</v>
      </c>
      <c r="B7898">
        <v>29</v>
      </c>
      <c r="C7898">
        <v>39.473700000000001</v>
      </c>
      <c r="D7898">
        <v>-4.2755099999999997</v>
      </c>
      <c r="E7898" t="s">
        <v>11825</v>
      </c>
      <c r="F7898" t="s">
        <v>11826</v>
      </c>
      <c r="G7898" t="s">
        <v>39</v>
      </c>
      <c r="H7898">
        <v>1997</v>
      </c>
      <c r="I7898">
        <v>25.6</v>
      </c>
      <c r="J7898">
        <v>8.4</v>
      </c>
      <c r="K7898">
        <v>65</v>
      </c>
      <c r="L7898">
        <v>14.56345</v>
      </c>
      <c r="M7898">
        <v>32.299999999999997</v>
      </c>
      <c r="N7898">
        <v>19.418389999999999</v>
      </c>
      <c r="O7898">
        <v>12.88161</v>
      </c>
      <c r="P7898">
        <v>25.318390000000001</v>
      </c>
      <c r="Q7898">
        <v>27.2</v>
      </c>
      <c r="R7898">
        <v>27.2</v>
      </c>
      <c r="S7898">
        <v>23.618390000000002</v>
      </c>
      <c r="T7898">
        <v>1184.1610000000001</v>
      </c>
      <c r="U7898">
        <v>267.44830000000002</v>
      </c>
      <c r="V7898">
        <v>19</v>
      </c>
      <c r="W7898">
        <v>69.816109999999995</v>
      </c>
      <c r="X7898">
        <v>577.89670000000001</v>
      </c>
      <c r="Y7898">
        <v>105.81610000000001</v>
      </c>
      <c r="Z7898">
        <v>105.81610000000001</v>
      </c>
      <c r="AA7898">
        <v>269.44830000000002</v>
      </c>
      <c r="AB7898">
        <v>19.574960000000001</v>
      </c>
      <c r="AC7898">
        <v>3.1587260000000001</v>
      </c>
      <c r="AD7898">
        <v>8.5681600000000007</v>
      </c>
      <c r="AE7898">
        <v>0.72517039999999999</v>
      </c>
      <c r="AF7898">
        <v>117.3818</v>
      </c>
      <c r="AG7898">
        <f>IFERROR(AH7898*0.1, "N/A")</f>
        <v>5.4879160000000002</v>
      </c>
      <c r="AH7898">
        <v>54.879159999999999</v>
      </c>
      <c r="AI7898">
        <v>294.53289999999998</v>
      </c>
      <c r="AJ7898">
        <v>25.646229999999999</v>
      </c>
      <c r="AK7898">
        <v>60.236429999999999</v>
      </c>
    </row>
    <row r="7899" spans="1:37" x14ac:dyDescent="0.3">
      <c r="A7899">
        <v>7898</v>
      </c>
      <c r="B7899">
        <v>31.1</v>
      </c>
      <c r="C7899">
        <v>39.566400000000002</v>
      </c>
      <c r="D7899">
        <v>-4.2814399999999999</v>
      </c>
      <c r="E7899" t="s">
        <v>11827</v>
      </c>
      <c r="F7899" t="s">
        <v>11828</v>
      </c>
      <c r="G7899" t="s">
        <v>39</v>
      </c>
      <c r="H7899">
        <v>1989</v>
      </c>
      <c r="I7899">
        <v>26.459890000000001</v>
      </c>
      <c r="J7899">
        <v>8.1999999999999993</v>
      </c>
      <c r="K7899">
        <v>64.598950000000002</v>
      </c>
      <c r="L7899">
        <v>14.28229</v>
      </c>
      <c r="M7899">
        <v>33</v>
      </c>
      <c r="N7899">
        <v>20.35989</v>
      </c>
      <c r="O7899">
        <v>12.64011</v>
      </c>
      <c r="P7899">
        <v>26.1599</v>
      </c>
      <c r="Q7899">
        <v>28.1</v>
      </c>
      <c r="R7899">
        <v>28.1</v>
      </c>
      <c r="S7899">
        <v>24.559899999999999</v>
      </c>
      <c r="T7899">
        <v>1266.7919999999999</v>
      </c>
      <c r="U7899">
        <v>313.99470000000002</v>
      </c>
      <c r="V7899">
        <v>18</v>
      </c>
      <c r="W7899">
        <v>78.197900000000004</v>
      </c>
      <c r="X7899">
        <v>664.98950000000002</v>
      </c>
      <c r="Y7899">
        <v>100.4011</v>
      </c>
      <c r="Z7899">
        <v>100.4011</v>
      </c>
      <c r="AA7899">
        <v>287.59890000000001</v>
      </c>
      <c r="AB7899">
        <v>13.431520000000001</v>
      </c>
      <c r="AC7899">
        <v>5.662586E-2</v>
      </c>
      <c r="AD7899">
        <v>2.3568950000000002</v>
      </c>
      <c r="AE7899">
        <v>0.78956859999999995</v>
      </c>
      <c r="AF7899">
        <v>28.338000000000001</v>
      </c>
      <c r="AG7899">
        <f>IFERROR(AH7899*0.1, "N/A")</f>
        <v>6.1401050000000001</v>
      </c>
      <c r="AH7899">
        <v>61.401049999999998</v>
      </c>
      <c r="AI7899">
        <v>84.690269999999998</v>
      </c>
      <c r="AJ7899">
        <v>27.802099999999999</v>
      </c>
      <c r="AK7899">
        <v>56.401049999999998</v>
      </c>
    </row>
    <row r="7900" spans="1:37" x14ac:dyDescent="0.3">
      <c r="A7900">
        <v>7899</v>
      </c>
      <c r="B7900">
        <v>46</v>
      </c>
      <c r="C7900">
        <v>39.566299999999998</v>
      </c>
      <c r="D7900">
        <v>-4.2814399999999999</v>
      </c>
      <c r="E7900" t="s">
        <v>11829</v>
      </c>
      <c r="F7900" t="s">
        <v>11830</v>
      </c>
      <c r="G7900" t="s">
        <v>39</v>
      </c>
      <c r="H7900">
        <v>1985</v>
      </c>
      <c r="I7900">
        <v>26.450790000000001</v>
      </c>
      <c r="J7900">
        <v>8.1999999999999993</v>
      </c>
      <c r="K7900">
        <v>64.50788</v>
      </c>
      <c r="L7900">
        <v>14.307790000000001</v>
      </c>
      <c r="M7900">
        <v>33</v>
      </c>
      <c r="N7900">
        <v>20.35079</v>
      </c>
      <c r="O7900">
        <v>12.64921</v>
      </c>
      <c r="P7900">
        <v>26.150790000000001</v>
      </c>
      <c r="Q7900">
        <v>28.1</v>
      </c>
      <c r="R7900">
        <v>28.1</v>
      </c>
      <c r="S7900">
        <v>24.550789999999999</v>
      </c>
      <c r="T7900">
        <v>1266.0630000000001</v>
      </c>
      <c r="U7900">
        <v>313.5394</v>
      </c>
      <c r="V7900">
        <v>18</v>
      </c>
      <c r="W7900">
        <v>78.01576</v>
      </c>
      <c r="X7900">
        <v>664.0788</v>
      </c>
      <c r="Y7900">
        <v>100.49209999999999</v>
      </c>
      <c r="Z7900">
        <v>100.49209999999999</v>
      </c>
      <c r="AA7900">
        <v>287.50790000000001</v>
      </c>
      <c r="AB7900">
        <v>13.66427</v>
      </c>
      <c r="AC7900">
        <v>5.5640540000000002E-2</v>
      </c>
      <c r="AD7900">
        <v>2.4085640000000001</v>
      </c>
      <c r="AE7900">
        <v>0.78966349999999996</v>
      </c>
      <c r="AF7900">
        <v>28.760069999999999</v>
      </c>
      <c r="AG7900">
        <f>IFERROR(AH7900*0.1, "N/A")</f>
        <v>6.1492120000000003</v>
      </c>
      <c r="AH7900">
        <v>61.49212</v>
      </c>
      <c r="AI7900">
        <v>83.713610000000003</v>
      </c>
      <c r="AJ7900">
        <v>27.98424</v>
      </c>
      <c r="AK7900">
        <v>56.49212</v>
      </c>
    </row>
    <row r="7901" spans="1:37" x14ac:dyDescent="0.3">
      <c r="A7901">
        <v>7900</v>
      </c>
      <c r="B7901">
        <v>68.2</v>
      </c>
      <c r="C7901">
        <v>39.566699999999997</v>
      </c>
      <c r="D7901">
        <v>-4.2816099999999997</v>
      </c>
      <c r="E7901" t="s">
        <v>11831</v>
      </c>
      <c r="F7901" t="s">
        <v>11832</v>
      </c>
      <c r="G7901" t="s">
        <v>39</v>
      </c>
      <c r="H7901">
        <v>1974</v>
      </c>
      <c r="I7901">
        <v>26.48441</v>
      </c>
      <c r="J7901">
        <v>8.1999999999999993</v>
      </c>
      <c r="K7901">
        <v>64.844130000000007</v>
      </c>
      <c r="L7901">
        <v>14.21364</v>
      </c>
      <c r="M7901">
        <v>33</v>
      </c>
      <c r="N7901">
        <v>20.384409999999999</v>
      </c>
      <c r="O7901">
        <v>12.615589999999999</v>
      </c>
      <c r="P7901">
        <v>26.18441</v>
      </c>
      <c r="Q7901">
        <v>28.1</v>
      </c>
      <c r="R7901">
        <v>28.1</v>
      </c>
      <c r="S7901">
        <v>24.584409999999998</v>
      </c>
      <c r="T7901">
        <v>1268.7529999999999</v>
      </c>
      <c r="U7901">
        <v>315.22070000000002</v>
      </c>
      <c r="V7901">
        <v>18</v>
      </c>
      <c r="W7901">
        <v>78.688270000000003</v>
      </c>
      <c r="X7901">
        <v>667.44129999999996</v>
      </c>
      <c r="Y7901">
        <v>100.1559</v>
      </c>
      <c r="Z7901">
        <v>100.1559</v>
      </c>
      <c r="AA7901">
        <v>287.84410000000003</v>
      </c>
      <c r="AB7901">
        <v>12.468999999999999</v>
      </c>
      <c r="AC7901">
        <v>5.6700489999999999E-2</v>
      </c>
      <c r="AD7901">
        <v>2.2126079999999999</v>
      </c>
      <c r="AE7901">
        <v>0.78387209999999996</v>
      </c>
      <c r="AF7901">
        <v>26.816109999999998</v>
      </c>
      <c r="AG7901">
        <f>IFERROR(AH7901*0.1, "N/A")</f>
        <v>6.1189140000000002</v>
      </c>
      <c r="AH7901">
        <v>61.189140000000002</v>
      </c>
      <c r="AI7901">
        <v>86.473690000000005</v>
      </c>
      <c r="AJ7901">
        <v>27.21191</v>
      </c>
      <c r="AK7901">
        <v>56.322240000000001</v>
      </c>
    </row>
    <row r="7902" spans="1:37" x14ac:dyDescent="0.3">
      <c r="A7902">
        <v>7901</v>
      </c>
      <c r="B7902">
        <v>74.5</v>
      </c>
      <c r="C7902">
        <v>39.5167</v>
      </c>
      <c r="D7902">
        <v>-4.2833300000000003</v>
      </c>
      <c r="E7902" t="s">
        <v>11833</v>
      </c>
      <c r="F7902" t="s">
        <v>11834</v>
      </c>
      <c r="G7902" t="s">
        <v>39</v>
      </c>
      <c r="H7902">
        <v>1974</v>
      </c>
      <c r="I7902">
        <v>26.236249999999998</v>
      </c>
      <c r="J7902">
        <v>8.3000000000000007</v>
      </c>
      <c r="K7902">
        <v>64.131349999999998</v>
      </c>
      <c r="L7902">
        <v>14.518090000000001</v>
      </c>
      <c r="M7902">
        <v>32.860250000000001</v>
      </c>
      <c r="N7902">
        <v>20.07338</v>
      </c>
      <c r="O7902">
        <v>12.78687</v>
      </c>
      <c r="P7902">
        <v>25.91489</v>
      </c>
      <c r="Q7902">
        <v>27.777229999999999</v>
      </c>
      <c r="R7902">
        <v>27.90175</v>
      </c>
      <c r="S7902">
        <v>24.27338</v>
      </c>
      <c r="T7902">
        <v>1219.807</v>
      </c>
      <c r="U7902">
        <v>293.4151</v>
      </c>
      <c r="V7902">
        <v>18.239930000000001</v>
      </c>
      <c r="W7902">
        <v>75.520139999999998</v>
      </c>
      <c r="X7902">
        <v>626.07010000000002</v>
      </c>
      <c r="Y7902">
        <v>99.824870000000004</v>
      </c>
      <c r="Z7902">
        <v>100.23990000000001</v>
      </c>
      <c r="AA7902">
        <v>262.76010000000002</v>
      </c>
      <c r="AB7902">
        <v>16.738350000000001</v>
      </c>
      <c r="AC7902">
        <v>1.3719759999999999E-2</v>
      </c>
      <c r="AD7902">
        <v>5.8347749999999996</v>
      </c>
      <c r="AE7902">
        <v>0.75621450000000001</v>
      </c>
      <c r="AF7902">
        <v>53.7303</v>
      </c>
      <c r="AG7902">
        <f>IFERROR(AH7902*0.1, "N/A")</f>
        <v>5.6642730000000006</v>
      </c>
      <c r="AH7902">
        <v>56.64273</v>
      </c>
      <c r="AI7902">
        <v>148.9811</v>
      </c>
      <c r="AJ7902">
        <v>23</v>
      </c>
      <c r="AK7902">
        <v>60.64273</v>
      </c>
    </row>
    <row r="7903" spans="1:37" x14ac:dyDescent="0.3">
      <c r="A7903">
        <v>7902</v>
      </c>
      <c r="B7903">
        <v>60.8</v>
      </c>
      <c r="C7903">
        <v>39.533299999999997</v>
      </c>
      <c r="D7903">
        <v>-4.3</v>
      </c>
      <c r="E7903" t="s">
        <v>11835</v>
      </c>
      <c r="F7903" t="s">
        <v>11836</v>
      </c>
      <c r="G7903" t="s">
        <v>39</v>
      </c>
      <c r="H7903">
        <v>1989</v>
      </c>
      <c r="I7903">
        <v>26.271930000000001</v>
      </c>
      <c r="J7903">
        <v>8.25</v>
      </c>
      <c r="K7903">
        <v>64.291229999999999</v>
      </c>
      <c r="L7903">
        <v>14.40165</v>
      </c>
      <c r="M7903">
        <v>32.821930000000002</v>
      </c>
      <c r="N7903">
        <v>20.101050000000001</v>
      </c>
      <c r="O7903">
        <v>12.720879999999999</v>
      </c>
      <c r="P7903">
        <v>25.97193</v>
      </c>
      <c r="Q7903">
        <v>27.593859999999999</v>
      </c>
      <c r="R7903">
        <v>27.89386</v>
      </c>
      <c r="S7903">
        <v>24.30105</v>
      </c>
      <c r="T7903">
        <v>1248.0840000000001</v>
      </c>
      <c r="U7903">
        <v>304.2509</v>
      </c>
      <c r="V7903">
        <v>18</v>
      </c>
      <c r="W7903">
        <v>76.219300000000004</v>
      </c>
      <c r="X7903">
        <v>646.78250000000003</v>
      </c>
      <c r="Y7903">
        <v>100</v>
      </c>
      <c r="Z7903">
        <v>101.2912</v>
      </c>
      <c r="AA7903">
        <v>258.02280000000002</v>
      </c>
      <c r="AB7903">
        <v>3.5077180000000001</v>
      </c>
      <c r="AC7903">
        <v>0.36581269999999999</v>
      </c>
      <c r="AD7903">
        <v>2.3187139999999999</v>
      </c>
      <c r="AE7903">
        <v>0.78944170000000002</v>
      </c>
      <c r="AF7903">
        <v>44.1</v>
      </c>
      <c r="AG7903">
        <f>IFERROR(AH7903*0.1, "N/A")</f>
        <v>5.5842109999999998</v>
      </c>
      <c r="AH7903">
        <v>55.842109999999998</v>
      </c>
      <c r="AI7903">
        <v>188.91640000000001</v>
      </c>
      <c r="AJ7903">
        <v>19.842110000000002</v>
      </c>
      <c r="AK7903">
        <v>66.438599999999994</v>
      </c>
    </row>
    <row r="7904" spans="1:37" x14ac:dyDescent="0.3">
      <c r="A7904">
        <v>7903</v>
      </c>
      <c r="B7904">
        <v>50.7</v>
      </c>
      <c r="C7904">
        <v>39.539700000000003</v>
      </c>
      <c r="D7904">
        <v>-4.3016399999999999</v>
      </c>
      <c r="E7904" t="s">
        <v>11837</v>
      </c>
      <c r="F7904" t="s">
        <v>11838</v>
      </c>
      <c r="G7904" t="s">
        <v>39</v>
      </c>
      <c r="H7904">
        <v>1990</v>
      </c>
      <c r="I7904">
        <v>26.3</v>
      </c>
      <c r="J7904">
        <v>8.3000000000000007</v>
      </c>
      <c r="K7904">
        <v>65</v>
      </c>
      <c r="L7904">
        <v>14.43</v>
      </c>
      <c r="M7904">
        <v>32.9</v>
      </c>
      <c r="N7904">
        <v>20.2</v>
      </c>
      <c r="O7904">
        <v>12.7</v>
      </c>
      <c r="P7904">
        <v>26</v>
      </c>
      <c r="Q7904">
        <v>27.7</v>
      </c>
      <c r="R7904">
        <v>28</v>
      </c>
      <c r="S7904">
        <v>24.4</v>
      </c>
      <c r="T7904">
        <v>1255</v>
      </c>
      <c r="U7904">
        <v>307</v>
      </c>
      <c r="V7904">
        <v>18</v>
      </c>
      <c r="W7904">
        <v>77</v>
      </c>
      <c r="X7904">
        <v>652</v>
      </c>
      <c r="Y7904">
        <v>100</v>
      </c>
      <c r="Z7904">
        <v>102</v>
      </c>
      <c r="AA7904">
        <v>288</v>
      </c>
      <c r="AB7904">
        <v>9.7325739999999996</v>
      </c>
      <c r="AC7904">
        <v>8.5541139999999998E-3</v>
      </c>
      <c r="AD7904">
        <v>1.3702289999999999</v>
      </c>
      <c r="AE7904">
        <v>0.79075530000000005</v>
      </c>
      <c r="AF7904">
        <v>43.297719999999998</v>
      </c>
      <c r="AG7904">
        <f>IFERROR(AH7904*0.1, "N/A")</f>
        <v>5.5325740000000003</v>
      </c>
      <c r="AH7904">
        <v>55.325740000000003</v>
      </c>
      <c r="AI7904">
        <v>202.56909999999999</v>
      </c>
      <c r="AJ7904">
        <v>23.805599999999998</v>
      </c>
      <c r="AK7904">
        <v>62.90193</v>
      </c>
    </row>
    <row r="7905" spans="1:37" x14ac:dyDescent="0.3">
      <c r="A7905">
        <v>7904</v>
      </c>
      <c r="B7905">
        <v>20.5</v>
      </c>
      <c r="C7905">
        <v>39.133299999999998</v>
      </c>
      <c r="D7905">
        <v>-4.3333300000000001</v>
      </c>
      <c r="E7905" t="s">
        <v>11839</v>
      </c>
      <c r="F7905" t="s">
        <v>11840</v>
      </c>
      <c r="G7905" t="s">
        <v>39</v>
      </c>
      <c r="H7905">
        <v>1989</v>
      </c>
      <c r="I7905">
        <v>25.405629999999999</v>
      </c>
      <c r="J7905">
        <v>9.1</v>
      </c>
      <c r="K7905">
        <v>66</v>
      </c>
      <c r="L7905">
        <v>15.23081</v>
      </c>
      <c r="M7905">
        <v>32.505629999999996</v>
      </c>
      <c r="N7905">
        <v>18.805630000000001</v>
      </c>
      <c r="O7905">
        <v>13.7</v>
      </c>
      <c r="P7905">
        <v>26.274470000000001</v>
      </c>
      <c r="Q7905">
        <v>26.905629999999999</v>
      </c>
      <c r="R7905">
        <v>27.205629999999999</v>
      </c>
      <c r="S7905">
        <v>23.405629999999999</v>
      </c>
      <c r="T7905">
        <v>882.47360000000003</v>
      </c>
      <c r="U7905">
        <v>159.10740000000001</v>
      </c>
      <c r="V7905">
        <v>23.311620000000001</v>
      </c>
      <c r="W7905">
        <v>54.688380000000002</v>
      </c>
      <c r="X7905">
        <v>366.52640000000002</v>
      </c>
      <c r="Y7905">
        <v>117.13030000000001</v>
      </c>
      <c r="Z7905">
        <v>122.8099</v>
      </c>
      <c r="AA7905">
        <v>151.3151</v>
      </c>
      <c r="AB7905">
        <v>16.676939999999998</v>
      </c>
      <c r="AC7905">
        <v>1.130018E-2</v>
      </c>
      <c r="AD7905">
        <v>3.0766300000000002</v>
      </c>
      <c r="AE7905">
        <v>0.3330225</v>
      </c>
      <c r="AF7905">
        <v>134.58799999999999</v>
      </c>
      <c r="AG7905">
        <f>IFERROR(AH7905*0.1, "N/A")</f>
        <v>6.2501759999999997</v>
      </c>
      <c r="AH7905">
        <v>62.501759999999997</v>
      </c>
      <c r="AI7905">
        <v>94.718639999999994</v>
      </c>
      <c r="AJ7905">
        <v>22.501760000000001</v>
      </c>
      <c r="AK7905">
        <v>61.498240000000003</v>
      </c>
    </row>
    <row r="7906" spans="1:37" x14ac:dyDescent="0.3">
      <c r="A7906">
        <v>7905</v>
      </c>
      <c r="B7906">
        <v>61.5</v>
      </c>
      <c r="C7906">
        <v>39.571899999999999</v>
      </c>
      <c r="D7906">
        <v>-4.3379899999999996</v>
      </c>
      <c r="E7906" t="s">
        <v>11841</v>
      </c>
      <c r="F7906" t="s">
        <v>11842</v>
      </c>
      <c r="G7906" t="s">
        <v>39</v>
      </c>
      <c r="H7906">
        <v>1974</v>
      </c>
      <c r="I7906" t="s">
        <v>729</v>
      </c>
      <c r="J7906" t="s">
        <v>729</v>
      </c>
      <c r="K7906" t="s">
        <v>729</v>
      </c>
      <c r="L7906" t="s">
        <v>729</v>
      </c>
      <c r="M7906" t="s">
        <v>729</v>
      </c>
      <c r="N7906" t="s">
        <v>729</v>
      </c>
      <c r="O7906" t="s">
        <v>729</v>
      </c>
      <c r="P7906" t="s">
        <v>729</v>
      </c>
      <c r="Q7906" t="s">
        <v>729</v>
      </c>
      <c r="R7906" t="s">
        <v>729</v>
      </c>
      <c r="S7906" t="s">
        <v>729</v>
      </c>
      <c r="T7906" t="s">
        <v>729</v>
      </c>
      <c r="U7906" t="s">
        <v>729</v>
      </c>
      <c r="V7906" t="s">
        <v>729</v>
      </c>
      <c r="W7906" t="s">
        <v>729</v>
      </c>
      <c r="X7906" t="s">
        <v>729</v>
      </c>
      <c r="Y7906" t="s">
        <v>729</v>
      </c>
      <c r="Z7906" t="s">
        <v>729</v>
      </c>
      <c r="AA7906" t="s">
        <v>729</v>
      </c>
      <c r="AB7906" t="s">
        <v>729</v>
      </c>
      <c r="AC7906" t="s">
        <v>729</v>
      </c>
      <c r="AD7906" t="s">
        <v>729</v>
      </c>
      <c r="AE7906" t="s">
        <v>729</v>
      </c>
      <c r="AF7906" t="s">
        <v>729</v>
      </c>
      <c r="AG7906" t="str">
        <f>IFERROR(AH7906*0.1, "N/A")</f>
        <v>N/A</v>
      </c>
      <c r="AH7906" t="s">
        <v>729</v>
      </c>
      <c r="AI7906" t="s">
        <v>729</v>
      </c>
      <c r="AJ7906" t="s">
        <v>729</v>
      </c>
      <c r="AK7906" t="s">
        <v>729</v>
      </c>
    </row>
    <row r="7907" spans="1:37" x14ac:dyDescent="0.3">
      <c r="A7907">
        <v>7906</v>
      </c>
      <c r="B7907">
        <v>66</v>
      </c>
      <c r="C7907">
        <v>39.514099999999999</v>
      </c>
      <c r="D7907">
        <v>-4.3411400000000002</v>
      </c>
      <c r="E7907" t="s">
        <v>11843</v>
      </c>
      <c r="F7907" t="s">
        <v>11844</v>
      </c>
      <c r="G7907" t="s">
        <v>39</v>
      </c>
      <c r="H7907">
        <v>1974</v>
      </c>
      <c r="I7907">
        <v>26.215060000000001</v>
      </c>
      <c r="J7907">
        <v>8.3000000000000007</v>
      </c>
      <c r="K7907">
        <v>64</v>
      </c>
      <c r="L7907">
        <v>14.640420000000001</v>
      </c>
      <c r="M7907">
        <v>32.815060000000003</v>
      </c>
      <c r="N7907">
        <v>20</v>
      </c>
      <c r="O7907">
        <v>12.815060000000001</v>
      </c>
      <c r="P7907">
        <v>25.91506</v>
      </c>
      <c r="Q7907">
        <v>27.515059999999998</v>
      </c>
      <c r="R7907">
        <v>27.9</v>
      </c>
      <c r="S7907">
        <v>24.215060000000001</v>
      </c>
      <c r="T7907">
        <v>1264.904</v>
      </c>
      <c r="U7907">
        <v>307.45179999999999</v>
      </c>
      <c r="V7907">
        <v>18</v>
      </c>
      <c r="W7907">
        <v>76</v>
      </c>
      <c r="X7907">
        <v>654.05430000000001</v>
      </c>
      <c r="Y7907">
        <v>101</v>
      </c>
      <c r="Z7907">
        <v>105.1506</v>
      </c>
      <c r="AA7907">
        <v>288.22239999999999</v>
      </c>
      <c r="AB7907">
        <v>25.627500000000001</v>
      </c>
      <c r="AC7907">
        <v>1.228566E-2</v>
      </c>
      <c r="AD7907">
        <v>3.3467090000000002</v>
      </c>
      <c r="AE7907">
        <v>0.55876199999999998</v>
      </c>
      <c r="AF7907">
        <v>60.108580000000003</v>
      </c>
      <c r="AG7907">
        <f>IFERROR(AH7907*0.1, "N/A")</f>
        <v>5.6000000000000005</v>
      </c>
      <c r="AH7907">
        <v>56</v>
      </c>
      <c r="AI7907">
        <v>196.15379999999999</v>
      </c>
      <c r="AJ7907">
        <v>21.65849</v>
      </c>
      <c r="AK7907">
        <v>64.189139999999995</v>
      </c>
    </row>
    <row r="7908" spans="1:37" x14ac:dyDescent="0.3">
      <c r="A7908">
        <v>7907</v>
      </c>
      <c r="B7908">
        <v>61.5</v>
      </c>
      <c r="C7908">
        <v>39.566699999999997</v>
      </c>
      <c r="D7908">
        <v>-4.3499999999999996</v>
      </c>
      <c r="E7908" t="s">
        <v>11845</v>
      </c>
      <c r="F7908" t="s">
        <v>11846</v>
      </c>
      <c r="G7908" t="s">
        <v>39</v>
      </c>
      <c r="H7908">
        <v>1987</v>
      </c>
      <c r="I7908" t="s">
        <v>729</v>
      </c>
      <c r="J7908" t="s">
        <v>729</v>
      </c>
      <c r="K7908" t="s">
        <v>729</v>
      </c>
      <c r="L7908" t="s">
        <v>729</v>
      </c>
      <c r="M7908" t="s">
        <v>729</v>
      </c>
      <c r="N7908" t="s">
        <v>729</v>
      </c>
      <c r="O7908" t="s">
        <v>729</v>
      </c>
      <c r="P7908" t="s">
        <v>729</v>
      </c>
      <c r="Q7908" t="s">
        <v>729</v>
      </c>
      <c r="R7908" t="s">
        <v>729</v>
      </c>
      <c r="S7908" t="s">
        <v>729</v>
      </c>
      <c r="T7908" t="s">
        <v>729</v>
      </c>
      <c r="U7908" t="s">
        <v>729</v>
      </c>
      <c r="V7908" t="s">
        <v>729</v>
      </c>
      <c r="W7908" t="s">
        <v>729</v>
      </c>
      <c r="X7908" t="s">
        <v>729</v>
      </c>
      <c r="Y7908" t="s">
        <v>729</v>
      </c>
      <c r="Z7908" t="s">
        <v>729</v>
      </c>
      <c r="AA7908" t="s">
        <v>729</v>
      </c>
      <c r="AB7908" t="s">
        <v>729</v>
      </c>
      <c r="AC7908" t="s">
        <v>729</v>
      </c>
      <c r="AD7908" t="s">
        <v>729</v>
      </c>
      <c r="AE7908" t="s">
        <v>729</v>
      </c>
      <c r="AF7908" t="s">
        <v>729</v>
      </c>
      <c r="AG7908" t="str">
        <f>IFERROR(AH7908*0.1, "N/A")</f>
        <v>N/A</v>
      </c>
      <c r="AH7908" t="s">
        <v>729</v>
      </c>
      <c r="AI7908" t="s">
        <v>729</v>
      </c>
      <c r="AJ7908" t="s">
        <v>729</v>
      </c>
      <c r="AK7908" t="s">
        <v>729</v>
      </c>
    </row>
    <row r="7909" spans="1:37" x14ac:dyDescent="0.3">
      <c r="A7909">
        <v>7908</v>
      </c>
      <c r="B7909">
        <v>64.8</v>
      </c>
      <c r="C7909">
        <v>39.5</v>
      </c>
      <c r="D7909">
        <v>-4.3666700000000001</v>
      </c>
      <c r="E7909" t="s">
        <v>11847</v>
      </c>
      <c r="F7909" t="s">
        <v>11848</v>
      </c>
      <c r="G7909" t="s">
        <v>39</v>
      </c>
      <c r="H7909">
        <v>1988</v>
      </c>
      <c r="I7909">
        <v>26.256920000000001</v>
      </c>
      <c r="J7909">
        <v>8.3331</v>
      </c>
      <c r="K7909">
        <v>64.331000000000003</v>
      </c>
      <c r="L7909">
        <v>14.27413</v>
      </c>
      <c r="M7909">
        <v>32.860239999999997</v>
      </c>
      <c r="N7909">
        <v>20.01191</v>
      </c>
      <c r="O7909">
        <v>12.84834</v>
      </c>
      <c r="P7909">
        <v>25.97513</v>
      </c>
      <c r="Q7909">
        <v>27.611910000000002</v>
      </c>
      <c r="R7909">
        <v>27.911909999999999</v>
      </c>
      <c r="S7909">
        <v>24.356919999999999</v>
      </c>
      <c r="T7909">
        <v>1285.9860000000001</v>
      </c>
      <c r="U7909">
        <v>314.66550000000001</v>
      </c>
      <c r="V7909">
        <v>18</v>
      </c>
      <c r="W7909">
        <v>76</v>
      </c>
      <c r="X7909">
        <v>668.75130000000001</v>
      </c>
      <c r="Y7909">
        <v>102.81789999999999</v>
      </c>
      <c r="Z7909">
        <v>109.1489</v>
      </c>
      <c r="AA7909">
        <v>259.52890000000002</v>
      </c>
      <c r="AB7909">
        <v>4.640981</v>
      </c>
      <c r="AC7909">
        <v>1.321073E-2</v>
      </c>
      <c r="AD7909">
        <v>1.5471170000000001</v>
      </c>
      <c r="AE7909">
        <v>0.73660919999999996</v>
      </c>
      <c r="AF7909">
        <v>35.194400000000002</v>
      </c>
      <c r="AG7909">
        <f>IFERROR(AH7909*0.1, "N/A")</f>
        <v>5.6331000000000007</v>
      </c>
      <c r="AH7909">
        <v>56.331000000000003</v>
      </c>
      <c r="AI7909">
        <v>71.285659999999993</v>
      </c>
      <c r="AJ7909">
        <v>27.676010000000002</v>
      </c>
      <c r="AK7909">
        <v>56.64799</v>
      </c>
    </row>
    <row r="7910" spans="1:37" x14ac:dyDescent="0.3">
      <c r="A7910">
        <v>7909</v>
      </c>
      <c r="B7910">
        <v>61.4</v>
      </c>
      <c r="C7910">
        <v>39.5</v>
      </c>
      <c r="D7910">
        <v>-4.4166699999999999</v>
      </c>
      <c r="E7910" t="s">
        <v>11849</v>
      </c>
      <c r="F7910" t="s">
        <v>11850</v>
      </c>
      <c r="G7910" t="s">
        <v>39</v>
      </c>
      <c r="H7910">
        <v>1987</v>
      </c>
      <c r="I7910">
        <v>26.453250000000001</v>
      </c>
      <c r="J7910">
        <v>8.4</v>
      </c>
      <c r="K7910">
        <v>65</v>
      </c>
      <c r="L7910">
        <v>14.208589999999999</v>
      </c>
      <c r="M7910">
        <v>33.053249999999998</v>
      </c>
      <c r="N7910">
        <v>20.15325</v>
      </c>
      <c r="O7910">
        <v>12.9</v>
      </c>
      <c r="P7910">
        <v>26.206499999999998</v>
      </c>
      <c r="Q7910">
        <v>27.779959999999999</v>
      </c>
      <c r="R7910">
        <v>28.053249999999998</v>
      </c>
      <c r="S7910">
        <v>24.553249999999998</v>
      </c>
      <c r="T7910">
        <v>1310.1420000000001</v>
      </c>
      <c r="U7910">
        <v>313.3374</v>
      </c>
      <c r="V7910">
        <v>18</v>
      </c>
      <c r="W7910">
        <v>74.933220000000006</v>
      </c>
      <c r="X7910">
        <v>678.20740000000001</v>
      </c>
      <c r="Y7910">
        <v>106</v>
      </c>
      <c r="Z7910">
        <v>112.4675</v>
      </c>
      <c r="AA7910">
        <v>258</v>
      </c>
      <c r="AB7910">
        <v>13.590159999999999</v>
      </c>
      <c r="AC7910">
        <v>1.352592E-2</v>
      </c>
      <c r="AD7910">
        <v>1.632908</v>
      </c>
      <c r="AE7910">
        <v>0.68774780000000002</v>
      </c>
      <c r="AF7910">
        <v>21.72232</v>
      </c>
      <c r="AG7910">
        <f>IFERROR(AH7910*0.1, "N/A")</f>
        <v>5.7667840000000004</v>
      </c>
      <c r="AH7910">
        <v>57.667839999999998</v>
      </c>
      <c r="AI7910">
        <v>90.278139999999993</v>
      </c>
      <c r="AJ7910">
        <v>24.33568</v>
      </c>
      <c r="AK7910">
        <v>59.664319999999996</v>
      </c>
    </row>
    <row r="7911" spans="1:37" x14ac:dyDescent="0.3">
      <c r="A7911">
        <v>7910</v>
      </c>
      <c r="B7911">
        <v>22</v>
      </c>
      <c r="C7911">
        <v>39.383299999999998</v>
      </c>
      <c r="D7911">
        <v>-4.4166699999999999</v>
      </c>
      <c r="E7911" t="s">
        <v>11851</v>
      </c>
      <c r="F7911" t="s">
        <v>11852</v>
      </c>
      <c r="G7911" t="s">
        <v>39</v>
      </c>
      <c r="H7911">
        <v>1974</v>
      </c>
      <c r="I7911">
        <v>25.86872</v>
      </c>
      <c r="J7911">
        <v>8.5841829999999995</v>
      </c>
      <c r="K7911">
        <v>64.841830000000002</v>
      </c>
      <c r="L7911">
        <v>14.53206</v>
      </c>
      <c r="M7911">
        <v>32.584530000000001</v>
      </c>
      <c r="N7911">
        <v>19.484529999999999</v>
      </c>
      <c r="O7911">
        <v>13.1</v>
      </c>
      <c r="P7911">
        <v>25.568719999999999</v>
      </c>
      <c r="Q7911">
        <v>27.268719999999998</v>
      </c>
      <c r="R7911">
        <v>27.568719999999999</v>
      </c>
      <c r="S7911">
        <v>23.906500000000001</v>
      </c>
      <c r="T7911">
        <v>1248.8150000000001</v>
      </c>
      <c r="U7911">
        <v>293.1986</v>
      </c>
      <c r="V7911">
        <v>18.79965</v>
      </c>
      <c r="W7911">
        <v>72.980670000000003</v>
      </c>
      <c r="X7911">
        <v>632.81719999999996</v>
      </c>
      <c r="Y7911">
        <v>107.9772</v>
      </c>
      <c r="Z7911">
        <v>116.1353</v>
      </c>
      <c r="AA7911">
        <v>248.0685</v>
      </c>
      <c r="AB7911">
        <v>30.943059999999999</v>
      </c>
      <c r="AC7911">
        <v>1.258226E-2</v>
      </c>
      <c r="AD7911">
        <v>8.2856550000000002</v>
      </c>
      <c r="AE7911">
        <v>0.70580149999999997</v>
      </c>
      <c r="AF7911">
        <v>75.471000000000004</v>
      </c>
      <c r="AG7911">
        <f>IFERROR(AH7911*0.1, "N/A")</f>
        <v>5.6000000000000005</v>
      </c>
      <c r="AH7911">
        <v>56</v>
      </c>
      <c r="AI7911">
        <v>141.85059999999999</v>
      </c>
      <c r="AJ7911">
        <v>17.30931</v>
      </c>
      <c r="AK7911">
        <v>69.47627</v>
      </c>
    </row>
    <row r="7912" spans="1:37" x14ac:dyDescent="0.3">
      <c r="A7912">
        <v>7911</v>
      </c>
      <c r="B7912">
        <v>61.4</v>
      </c>
      <c r="C7912">
        <v>39.506100000000004</v>
      </c>
      <c r="D7912">
        <v>-4.4241900000000003</v>
      </c>
      <c r="E7912" t="s">
        <v>11853</v>
      </c>
      <c r="F7912" t="s">
        <v>11854</v>
      </c>
      <c r="G7912" t="s">
        <v>39</v>
      </c>
      <c r="H7912">
        <v>1974</v>
      </c>
      <c r="I7912">
        <v>26.4</v>
      </c>
      <c r="J7912">
        <v>8.4</v>
      </c>
      <c r="K7912">
        <v>65</v>
      </c>
      <c r="L7912">
        <v>14.21</v>
      </c>
      <c r="M7912">
        <v>33</v>
      </c>
      <c r="N7912">
        <v>20.100000000000001</v>
      </c>
      <c r="O7912">
        <v>12.9</v>
      </c>
      <c r="P7912">
        <v>26.1</v>
      </c>
      <c r="Q7912">
        <v>27.7</v>
      </c>
      <c r="R7912">
        <v>28</v>
      </c>
      <c r="S7912">
        <v>24.5</v>
      </c>
      <c r="T7912">
        <v>1323</v>
      </c>
      <c r="U7912">
        <v>320</v>
      </c>
      <c r="V7912">
        <v>18</v>
      </c>
      <c r="W7912">
        <v>76</v>
      </c>
      <c r="X7912">
        <v>690</v>
      </c>
      <c r="Y7912">
        <v>106</v>
      </c>
      <c r="Z7912">
        <v>113</v>
      </c>
      <c r="AA7912">
        <v>258</v>
      </c>
      <c r="AB7912">
        <v>10.17478</v>
      </c>
      <c r="AC7912">
        <v>5.425696E-2</v>
      </c>
      <c r="AD7912">
        <v>0.92385249999999997</v>
      </c>
      <c r="AE7912">
        <v>0.6267914</v>
      </c>
      <c r="AF7912">
        <v>14.991239999999999</v>
      </c>
      <c r="AG7912">
        <f>IFERROR(AH7912*0.1, "N/A")</f>
        <v>5.9502630000000005</v>
      </c>
      <c r="AH7912">
        <v>59.502630000000003</v>
      </c>
      <c r="AI7912">
        <v>37.527349999999998</v>
      </c>
      <c r="AJ7912">
        <v>25.996500000000001</v>
      </c>
      <c r="AK7912">
        <v>56.001750000000001</v>
      </c>
    </row>
    <row r="7913" spans="1:37" x14ac:dyDescent="0.3">
      <c r="A7913">
        <v>7912</v>
      </c>
      <c r="B7913">
        <v>8</v>
      </c>
      <c r="C7913">
        <v>39.375</v>
      </c>
      <c r="D7913">
        <v>-4.4451799999999997</v>
      </c>
      <c r="E7913" t="s">
        <v>11855</v>
      </c>
      <c r="F7913" t="s">
        <v>11856</v>
      </c>
      <c r="G7913" t="s">
        <v>39</v>
      </c>
      <c r="H7913">
        <v>1974</v>
      </c>
      <c r="I7913">
        <v>26.19049</v>
      </c>
      <c r="J7913">
        <v>8.6</v>
      </c>
      <c r="K7913">
        <v>65</v>
      </c>
      <c r="L7913">
        <v>14.628590000000001</v>
      </c>
      <c r="M7913">
        <v>32.935740000000003</v>
      </c>
      <c r="N7913">
        <v>19.790489999999998</v>
      </c>
      <c r="O7913">
        <v>13.145250000000001</v>
      </c>
      <c r="P7913">
        <v>25.89049</v>
      </c>
      <c r="Q7913">
        <v>27.590489999999999</v>
      </c>
      <c r="R7913">
        <v>27.89049</v>
      </c>
      <c r="S7913">
        <v>24.19049</v>
      </c>
      <c r="T7913">
        <v>1266.1179999999999</v>
      </c>
      <c r="U7913">
        <v>303.64260000000002</v>
      </c>
      <c r="V7913">
        <v>19</v>
      </c>
      <c r="W7913">
        <v>75.452460000000002</v>
      </c>
      <c r="X7913">
        <v>654.28520000000003</v>
      </c>
      <c r="Y7913">
        <v>107.5475</v>
      </c>
      <c r="Z7913">
        <v>116.5475</v>
      </c>
      <c r="AA7913">
        <v>234.64259999999999</v>
      </c>
      <c r="AB7913">
        <v>10.991020000000001</v>
      </c>
      <c r="AC7913">
        <v>2.01513E-2</v>
      </c>
      <c r="AD7913">
        <v>1.7861990000000001</v>
      </c>
      <c r="AE7913">
        <v>0.71729180000000003</v>
      </c>
      <c r="AF7913">
        <v>35.255279999999999</v>
      </c>
      <c r="AG7913">
        <f>IFERROR(AH7913*0.1, "N/A")</f>
        <v>5.8336269999999999</v>
      </c>
      <c r="AH7913">
        <v>58.336269999999999</v>
      </c>
      <c r="AI7913">
        <v>240.4547</v>
      </c>
      <c r="AJ7913">
        <v>19.570419999999999</v>
      </c>
      <c r="AK7913">
        <v>66.001760000000004</v>
      </c>
    </row>
    <row r="7914" spans="1:37" x14ac:dyDescent="0.3">
      <c r="A7914">
        <v>7913</v>
      </c>
      <c r="B7914">
        <v>41.5</v>
      </c>
      <c r="C7914">
        <v>39.466000000000001</v>
      </c>
      <c r="D7914">
        <v>-4.4489999999999998</v>
      </c>
      <c r="E7914" t="s">
        <v>11857</v>
      </c>
      <c r="F7914" t="s">
        <v>11858</v>
      </c>
      <c r="G7914" t="s">
        <v>39</v>
      </c>
      <c r="H7914">
        <v>2004</v>
      </c>
      <c r="I7914">
        <v>26.305949999999999</v>
      </c>
      <c r="J7914">
        <v>8.4</v>
      </c>
      <c r="K7914">
        <v>64.059539999999998</v>
      </c>
      <c r="L7914">
        <v>14.71095</v>
      </c>
      <c r="M7914">
        <v>33</v>
      </c>
      <c r="N7914">
        <v>19.911909999999999</v>
      </c>
      <c r="O7914">
        <v>13.088089999999999</v>
      </c>
      <c r="P7914">
        <v>26.005949999999999</v>
      </c>
      <c r="Q7914">
        <v>27.7</v>
      </c>
      <c r="R7914">
        <v>28</v>
      </c>
      <c r="S7914">
        <v>24.305949999999999</v>
      </c>
      <c r="T7914">
        <v>1344.298</v>
      </c>
      <c r="U7914">
        <v>335.05950000000001</v>
      </c>
      <c r="V7914">
        <v>18</v>
      </c>
      <c r="W7914">
        <v>78.059539999999998</v>
      </c>
      <c r="X7914">
        <v>715.17859999999996</v>
      </c>
      <c r="Y7914">
        <v>104</v>
      </c>
      <c r="Z7914">
        <v>114</v>
      </c>
      <c r="AA7914">
        <v>254.1191</v>
      </c>
      <c r="AB7914">
        <v>14.08511</v>
      </c>
      <c r="AC7914">
        <v>2.583651E-2</v>
      </c>
      <c r="AD7914">
        <v>1.2165010000000001</v>
      </c>
      <c r="AE7914">
        <v>0.75783129999999999</v>
      </c>
      <c r="AF7914">
        <v>25.252189999999999</v>
      </c>
      <c r="AG7914">
        <f>IFERROR(AH7914*0.1, "N/A")</f>
        <v>6.5882660000000008</v>
      </c>
      <c r="AH7914">
        <v>65.882660000000001</v>
      </c>
      <c r="AI7914">
        <v>122.0988</v>
      </c>
      <c r="AJ7914">
        <v>22.586690000000001</v>
      </c>
      <c r="AK7914">
        <v>62.530650000000001</v>
      </c>
    </row>
    <row r="7915" spans="1:37" x14ac:dyDescent="0.3">
      <c r="A7915">
        <v>7914</v>
      </c>
      <c r="B7915">
        <v>38</v>
      </c>
      <c r="C7915">
        <v>39.4559</v>
      </c>
      <c r="D7915">
        <v>-4.4570400000000001</v>
      </c>
      <c r="E7915" t="s">
        <v>11859</v>
      </c>
      <c r="F7915" t="s">
        <v>11860</v>
      </c>
      <c r="G7915" t="s">
        <v>39</v>
      </c>
      <c r="H7915">
        <v>2006</v>
      </c>
      <c r="I7915">
        <v>26.3</v>
      </c>
      <c r="J7915">
        <v>8.5</v>
      </c>
      <c r="K7915">
        <v>64</v>
      </c>
      <c r="L7915">
        <v>14.71</v>
      </c>
      <c r="M7915">
        <v>33</v>
      </c>
      <c r="N7915">
        <v>19.899999999999999</v>
      </c>
      <c r="O7915">
        <v>13.1</v>
      </c>
      <c r="P7915">
        <v>26</v>
      </c>
      <c r="Q7915">
        <v>27.7</v>
      </c>
      <c r="R7915">
        <v>28</v>
      </c>
      <c r="S7915">
        <v>24.3</v>
      </c>
      <c r="T7915">
        <v>1353</v>
      </c>
      <c r="U7915">
        <v>338</v>
      </c>
      <c r="V7915">
        <v>18</v>
      </c>
      <c r="W7915">
        <v>79</v>
      </c>
      <c r="X7915">
        <v>722</v>
      </c>
      <c r="Y7915">
        <v>104</v>
      </c>
      <c r="Z7915">
        <v>115</v>
      </c>
      <c r="AA7915">
        <v>254</v>
      </c>
      <c r="AB7915">
        <v>3.1577929999999999</v>
      </c>
      <c r="AC7915">
        <v>6.7717529999999998E-2</v>
      </c>
      <c r="AD7915">
        <v>1.4948330000000001</v>
      </c>
      <c r="AE7915">
        <v>0.76843519999999998</v>
      </c>
      <c r="AF7915">
        <v>29.91769</v>
      </c>
      <c r="AG7915">
        <f>IFERROR(AH7915*0.1, "N/A")</f>
        <v>6.2418560000000003</v>
      </c>
      <c r="AH7915">
        <v>62.418559999999999</v>
      </c>
      <c r="AI7915">
        <v>148.77029999999999</v>
      </c>
      <c r="AJ7915">
        <v>18.59019</v>
      </c>
      <c r="AK7915">
        <v>67.409809999999993</v>
      </c>
    </row>
    <row r="7916" spans="1:37" x14ac:dyDescent="0.3">
      <c r="A7916">
        <v>7915</v>
      </c>
      <c r="B7916">
        <v>42</v>
      </c>
      <c r="C7916">
        <v>39.467599999999997</v>
      </c>
      <c r="D7916">
        <v>-4.4577200000000001</v>
      </c>
      <c r="E7916" t="s">
        <v>11861</v>
      </c>
      <c r="F7916" t="s">
        <v>11862</v>
      </c>
      <c r="G7916" t="s">
        <v>39</v>
      </c>
      <c r="H7916">
        <v>2006</v>
      </c>
      <c r="I7916">
        <v>26.304539999999999</v>
      </c>
      <c r="J7916">
        <v>8.4</v>
      </c>
      <c r="K7916">
        <v>64.045450000000002</v>
      </c>
      <c r="L7916">
        <v>14.526820000000001</v>
      </c>
      <c r="M7916">
        <v>33</v>
      </c>
      <c r="N7916">
        <v>20.004549999999998</v>
      </c>
      <c r="O7916">
        <v>12.99545</v>
      </c>
      <c r="P7916">
        <v>26.004549999999998</v>
      </c>
      <c r="Q7916">
        <v>27.609089999999998</v>
      </c>
      <c r="R7916">
        <v>28.004549999999998</v>
      </c>
      <c r="S7916">
        <v>24.304539999999999</v>
      </c>
      <c r="T7916">
        <v>1360.4090000000001</v>
      </c>
      <c r="U7916">
        <v>341.22730000000001</v>
      </c>
      <c r="V7916">
        <v>18</v>
      </c>
      <c r="W7916">
        <v>79.045450000000002</v>
      </c>
      <c r="X7916">
        <v>727.45450000000005</v>
      </c>
      <c r="Y7916">
        <v>103.9545</v>
      </c>
      <c r="Z7916">
        <v>115</v>
      </c>
      <c r="AA7916">
        <v>256</v>
      </c>
      <c r="AB7916">
        <v>6.3391599999999997</v>
      </c>
      <c r="AC7916">
        <v>1.081704E-2</v>
      </c>
      <c r="AD7916">
        <v>1.5643959999999999</v>
      </c>
      <c r="AE7916">
        <v>0.77268300000000001</v>
      </c>
      <c r="AF7916">
        <v>25.597899999999999</v>
      </c>
      <c r="AG7916">
        <f>IFERROR(AH7916*0.1, "N/A")</f>
        <v>6.4286710000000005</v>
      </c>
      <c r="AH7916">
        <v>64.286709999999999</v>
      </c>
      <c r="AI7916">
        <v>132.39189999999999</v>
      </c>
      <c r="AJ7916">
        <v>20.71678</v>
      </c>
      <c r="AK7916">
        <v>64.996499999999997</v>
      </c>
    </row>
    <row r="7917" spans="1:37" x14ac:dyDescent="0.3">
      <c r="A7917">
        <v>7916</v>
      </c>
      <c r="B7917">
        <v>24</v>
      </c>
      <c r="C7917">
        <v>39.476399999999998</v>
      </c>
      <c r="D7917">
        <v>-4.4620899999999999</v>
      </c>
      <c r="E7917" t="s">
        <v>11863</v>
      </c>
      <c r="F7917" t="s">
        <v>11864</v>
      </c>
      <c r="G7917" t="s">
        <v>39</v>
      </c>
      <c r="H7917">
        <v>2006</v>
      </c>
      <c r="I7917">
        <v>26.4</v>
      </c>
      <c r="J7917">
        <v>8.4</v>
      </c>
      <c r="K7917">
        <v>65</v>
      </c>
      <c r="L7917">
        <v>14.41</v>
      </c>
      <c r="M7917">
        <v>33</v>
      </c>
      <c r="N7917">
        <v>20.100000000000001</v>
      </c>
      <c r="O7917">
        <v>12.9</v>
      </c>
      <c r="P7917">
        <v>26.1</v>
      </c>
      <c r="Q7917">
        <v>27.8</v>
      </c>
      <c r="R7917">
        <v>28.1</v>
      </c>
      <c r="S7917">
        <v>24.5</v>
      </c>
      <c r="T7917">
        <v>1372</v>
      </c>
      <c r="U7917">
        <v>347</v>
      </c>
      <c r="V7917">
        <v>18</v>
      </c>
      <c r="W7917">
        <v>80</v>
      </c>
      <c r="X7917">
        <v>739</v>
      </c>
      <c r="Y7917">
        <v>103</v>
      </c>
      <c r="Z7917">
        <v>115</v>
      </c>
      <c r="AA7917">
        <v>257</v>
      </c>
      <c r="AB7917">
        <v>1.6812940000000001</v>
      </c>
      <c r="AC7917">
        <v>2.8770790000000001E-2</v>
      </c>
      <c r="AD7917">
        <v>1.654498</v>
      </c>
      <c r="AE7917">
        <v>0.78893820000000003</v>
      </c>
      <c r="AF7917">
        <v>19.026219999999999</v>
      </c>
      <c r="AG7917">
        <f>IFERROR(AH7917*0.1, "N/A")</f>
        <v>6.3000000000000007</v>
      </c>
      <c r="AH7917">
        <v>63</v>
      </c>
      <c r="AI7917">
        <v>171.6454</v>
      </c>
      <c r="AJ7917">
        <v>22</v>
      </c>
      <c r="AK7917">
        <v>65</v>
      </c>
    </row>
    <row r="7918" spans="1:37" x14ac:dyDescent="0.3">
      <c r="A7918">
        <v>7917</v>
      </c>
      <c r="B7918">
        <v>33.299999999999997</v>
      </c>
      <c r="C7918">
        <v>39.473399999999998</v>
      </c>
      <c r="D7918">
        <v>-4.4637000000000002</v>
      </c>
      <c r="E7918" t="s">
        <v>11865</v>
      </c>
      <c r="F7918" t="s">
        <v>11866</v>
      </c>
      <c r="G7918" t="s">
        <v>39</v>
      </c>
      <c r="H7918">
        <v>2005</v>
      </c>
      <c r="I7918">
        <v>26.4</v>
      </c>
      <c r="J7918">
        <v>8.4</v>
      </c>
      <c r="K7918">
        <v>65</v>
      </c>
      <c r="L7918">
        <v>14.46</v>
      </c>
      <c r="M7918">
        <v>33</v>
      </c>
      <c r="N7918">
        <v>20.100000000000001</v>
      </c>
      <c r="O7918">
        <v>12.9</v>
      </c>
      <c r="P7918">
        <v>26.1</v>
      </c>
      <c r="Q7918">
        <v>27.8</v>
      </c>
      <c r="R7918">
        <v>28.1</v>
      </c>
      <c r="S7918">
        <v>24.4</v>
      </c>
      <c r="T7918">
        <v>1369</v>
      </c>
      <c r="U7918">
        <v>346</v>
      </c>
      <c r="V7918">
        <v>18</v>
      </c>
      <c r="W7918">
        <v>80</v>
      </c>
      <c r="X7918">
        <v>737</v>
      </c>
      <c r="Y7918">
        <v>103</v>
      </c>
      <c r="Z7918">
        <v>115</v>
      </c>
      <c r="AA7918">
        <v>256</v>
      </c>
      <c r="AB7918">
        <v>5.5335089999999996</v>
      </c>
      <c r="AC7918">
        <v>2.2367709999999999E-2</v>
      </c>
      <c r="AD7918">
        <v>2.5548600000000001</v>
      </c>
      <c r="AE7918">
        <v>0.78893820000000003</v>
      </c>
      <c r="AF7918">
        <v>23.091229999999999</v>
      </c>
      <c r="AG7918">
        <f>IFERROR(AH7918*0.1, "N/A")</f>
        <v>6.2821050000000005</v>
      </c>
      <c r="AH7918">
        <v>62.82105</v>
      </c>
      <c r="AI7918">
        <v>125.7433</v>
      </c>
      <c r="AJ7918">
        <v>20.791229999999999</v>
      </c>
      <c r="AK7918">
        <v>64.638599999999997</v>
      </c>
    </row>
    <row r="7919" spans="1:37" x14ac:dyDescent="0.3">
      <c r="A7919">
        <v>7918</v>
      </c>
      <c r="B7919">
        <v>73</v>
      </c>
      <c r="C7919">
        <v>39.472999999999999</v>
      </c>
      <c r="D7919">
        <v>-4.4647600000000001</v>
      </c>
      <c r="E7919" t="s">
        <v>11867</v>
      </c>
      <c r="F7919" t="s">
        <v>11868</v>
      </c>
      <c r="G7919" t="s">
        <v>39</v>
      </c>
      <c r="H7919">
        <v>1988</v>
      </c>
      <c r="I7919">
        <v>26.4</v>
      </c>
      <c r="J7919">
        <v>8.4</v>
      </c>
      <c r="K7919">
        <v>65</v>
      </c>
      <c r="L7919">
        <v>14.46</v>
      </c>
      <c r="M7919">
        <v>33</v>
      </c>
      <c r="N7919">
        <v>20.100000000000001</v>
      </c>
      <c r="O7919">
        <v>12.9</v>
      </c>
      <c r="P7919">
        <v>26.1</v>
      </c>
      <c r="Q7919">
        <v>27.8</v>
      </c>
      <c r="R7919">
        <v>28.1</v>
      </c>
      <c r="S7919">
        <v>24.4</v>
      </c>
      <c r="T7919">
        <v>1369</v>
      </c>
      <c r="U7919">
        <v>346</v>
      </c>
      <c r="V7919">
        <v>18</v>
      </c>
      <c r="W7919">
        <v>80</v>
      </c>
      <c r="X7919">
        <v>737</v>
      </c>
      <c r="Y7919">
        <v>103</v>
      </c>
      <c r="Z7919">
        <v>115</v>
      </c>
      <c r="AA7919">
        <v>256</v>
      </c>
      <c r="AB7919">
        <v>7.3253940000000002</v>
      </c>
      <c r="AC7919">
        <v>2.1418030000000001E-2</v>
      </c>
      <c r="AD7919">
        <v>1.31985</v>
      </c>
      <c r="AE7919">
        <v>0.78893820000000003</v>
      </c>
      <c r="AF7919">
        <v>20.401050000000001</v>
      </c>
      <c r="AG7919">
        <f>IFERROR(AH7919*0.1, "N/A")</f>
        <v>6.2985990000000003</v>
      </c>
      <c r="AH7919">
        <v>62.985990000000001</v>
      </c>
      <c r="AI7919">
        <v>229.68459999999999</v>
      </c>
      <c r="AJ7919">
        <v>20.61646</v>
      </c>
      <c r="AK7919">
        <v>65.007009999999994</v>
      </c>
    </row>
    <row r="7920" spans="1:37" x14ac:dyDescent="0.3">
      <c r="A7920">
        <v>7919</v>
      </c>
      <c r="B7920">
        <v>46.5</v>
      </c>
      <c r="C7920">
        <v>39.466000000000001</v>
      </c>
      <c r="D7920">
        <v>-4.4649999999999999</v>
      </c>
      <c r="E7920" t="s">
        <v>11869</v>
      </c>
      <c r="F7920" t="s">
        <v>11870</v>
      </c>
      <c r="G7920" t="s">
        <v>39</v>
      </c>
      <c r="H7920">
        <v>2004</v>
      </c>
      <c r="I7920">
        <v>26.4</v>
      </c>
      <c r="J7920">
        <v>8.4</v>
      </c>
      <c r="K7920">
        <v>65</v>
      </c>
      <c r="L7920">
        <v>14.63904</v>
      </c>
      <c r="M7920">
        <v>33</v>
      </c>
      <c r="N7920">
        <v>20.100000000000001</v>
      </c>
      <c r="O7920">
        <v>12.9</v>
      </c>
      <c r="P7920">
        <v>26.1</v>
      </c>
      <c r="Q7920">
        <v>27.8</v>
      </c>
      <c r="R7920">
        <v>28.1</v>
      </c>
      <c r="S7920">
        <v>24.4</v>
      </c>
      <c r="T7920">
        <v>1364.288</v>
      </c>
      <c r="U7920">
        <v>344.11540000000002</v>
      </c>
      <c r="V7920">
        <v>18</v>
      </c>
      <c r="W7920">
        <v>80</v>
      </c>
      <c r="X7920">
        <v>733.23080000000004</v>
      </c>
      <c r="Y7920">
        <v>103.9423</v>
      </c>
      <c r="Z7920">
        <v>115</v>
      </c>
      <c r="AA7920">
        <v>254.11539999999999</v>
      </c>
      <c r="AB7920">
        <v>7.0227269999999997</v>
      </c>
      <c r="AC7920">
        <v>5.1984160000000001E-2</v>
      </c>
      <c r="AD7920">
        <v>2.0083790000000001</v>
      </c>
      <c r="AE7920">
        <v>0.77448589999999995</v>
      </c>
      <c r="AF7920">
        <v>21.442309999999999</v>
      </c>
      <c r="AG7920">
        <f>IFERROR(AH7920*0.1, "N/A")</f>
        <v>6.1884620000000004</v>
      </c>
      <c r="AH7920">
        <v>61.884619999999998</v>
      </c>
      <c r="AI7920">
        <v>209.6317</v>
      </c>
      <c r="AJ7920">
        <v>21.82517</v>
      </c>
      <c r="AK7920">
        <v>65.739509999999996</v>
      </c>
    </row>
    <row r="7921" spans="1:37" x14ac:dyDescent="0.3">
      <c r="A7921">
        <v>7920</v>
      </c>
      <c r="B7921">
        <v>53.8</v>
      </c>
      <c r="C7921">
        <v>39.450000000000003</v>
      </c>
      <c r="D7921">
        <v>-4.4649999999999999</v>
      </c>
      <c r="E7921" t="s">
        <v>11871</v>
      </c>
      <c r="F7921" t="s">
        <v>11872</v>
      </c>
      <c r="G7921" t="s">
        <v>39</v>
      </c>
      <c r="H7921">
        <v>2004</v>
      </c>
      <c r="I7921">
        <v>26.3</v>
      </c>
      <c r="J7921">
        <v>8.5</v>
      </c>
      <c r="K7921">
        <v>64</v>
      </c>
      <c r="L7921">
        <v>14.75004</v>
      </c>
      <c r="M7921">
        <v>33</v>
      </c>
      <c r="N7921">
        <v>19.899999999999999</v>
      </c>
      <c r="O7921">
        <v>13.1</v>
      </c>
      <c r="P7921">
        <v>26</v>
      </c>
      <c r="Q7921">
        <v>27.7</v>
      </c>
      <c r="R7921">
        <v>28</v>
      </c>
      <c r="S7921">
        <v>24.3</v>
      </c>
      <c r="T7921">
        <v>1356.83</v>
      </c>
      <c r="U7921">
        <v>340.3322</v>
      </c>
      <c r="V7921">
        <v>18</v>
      </c>
      <c r="W7921">
        <v>79.166079999999994</v>
      </c>
      <c r="X7921">
        <v>725.83040000000005</v>
      </c>
      <c r="Y7921">
        <v>104</v>
      </c>
      <c r="Z7921">
        <v>115.8339</v>
      </c>
      <c r="AA7921">
        <v>253.1661</v>
      </c>
      <c r="AB7921">
        <v>2.856468</v>
      </c>
      <c r="AC7921">
        <v>0.1789126</v>
      </c>
      <c r="AD7921">
        <v>3.5138799999999999</v>
      </c>
      <c r="AE7921">
        <v>0.75299119999999997</v>
      </c>
      <c r="AF7921">
        <v>24.223780000000001</v>
      </c>
      <c r="AG7921">
        <f>IFERROR(AH7921*0.1, "N/A")</f>
        <v>6.2</v>
      </c>
      <c r="AH7921">
        <v>62</v>
      </c>
      <c r="AI7921">
        <v>137.84</v>
      </c>
      <c r="AJ7921">
        <v>22.414339999999999</v>
      </c>
      <c r="AK7921">
        <v>63.332169999999998</v>
      </c>
    </row>
    <row r="7922" spans="1:37" x14ac:dyDescent="0.3">
      <c r="A7922">
        <v>7921</v>
      </c>
      <c r="B7922">
        <v>35.4</v>
      </c>
      <c r="C7922">
        <v>39.482999999999997</v>
      </c>
      <c r="D7922">
        <v>-4.4649999999999999</v>
      </c>
      <c r="E7922" t="s">
        <v>11873</v>
      </c>
      <c r="F7922" t="s">
        <v>11874</v>
      </c>
      <c r="G7922" t="s">
        <v>39</v>
      </c>
      <c r="H7922">
        <v>2004</v>
      </c>
      <c r="I7922">
        <v>26.4</v>
      </c>
      <c r="J7922">
        <v>8.4</v>
      </c>
      <c r="K7922">
        <v>65</v>
      </c>
      <c r="L7922">
        <v>14.411989999999999</v>
      </c>
      <c r="M7922">
        <v>33</v>
      </c>
      <c r="N7922">
        <v>20.100000000000001</v>
      </c>
      <c r="O7922">
        <v>12.9</v>
      </c>
      <c r="P7922">
        <v>26.1</v>
      </c>
      <c r="Q7922">
        <v>27.8</v>
      </c>
      <c r="R7922">
        <v>28.1</v>
      </c>
      <c r="S7922">
        <v>24.5</v>
      </c>
      <c r="T7922">
        <v>1372</v>
      </c>
      <c r="U7922">
        <v>347</v>
      </c>
      <c r="V7922">
        <v>18</v>
      </c>
      <c r="W7922">
        <v>80</v>
      </c>
      <c r="X7922">
        <v>739</v>
      </c>
      <c r="Y7922">
        <v>103</v>
      </c>
      <c r="Z7922">
        <v>115</v>
      </c>
      <c r="AA7922">
        <v>257</v>
      </c>
      <c r="AB7922">
        <v>11.48969</v>
      </c>
      <c r="AC7922">
        <v>9.9676690000000002E-3</v>
      </c>
      <c r="AD7922">
        <v>0.90362969999999998</v>
      </c>
      <c r="AE7922">
        <v>0.79649139999999996</v>
      </c>
      <c r="AF7922">
        <v>20.78322</v>
      </c>
      <c r="AG7922">
        <f>IFERROR(AH7922*0.1, "N/A")</f>
        <v>6.5</v>
      </c>
      <c r="AH7922">
        <v>65</v>
      </c>
      <c r="AI7922">
        <v>164.7396</v>
      </c>
      <c r="AJ7922">
        <v>20.153849999999998</v>
      </c>
      <c r="AK7922">
        <v>65.846149999999994</v>
      </c>
    </row>
    <row r="7923" spans="1:37" x14ac:dyDescent="0.3">
      <c r="A7923">
        <v>7922</v>
      </c>
      <c r="B7923">
        <v>20.6</v>
      </c>
      <c r="C7923">
        <v>39.481400000000001</v>
      </c>
      <c r="D7923">
        <v>-4.46502</v>
      </c>
      <c r="E7923" t="s">
        <v>11875</v>
      </c>
      <c r="F7923" t="s">
        <v>11876</v>
      </c>
      <c r="G7923" t="s">
        <v>39</v>
      </c>
      <c r="H7923">
        <v>1999</v>
      </c>
      <c r="I7923">
        <v>26.4</v>
      </c>
      <c r="J7923">
        <v>8.4</v>
      </c>
      <c r="K7923">
        <v>65</v>
      </c>
      <c r="L7923">
        <v>14.41</v>
      </c>
      <c r="M7923">
        <v>33</v>
      </c>
      <c r="N7923">
        <v>20.100000000000001</v>
      </c>
      <c r="O7923">
        <v>12.9</v>
      </c>
      <c r="P7923">
        <v>26.1</v>
      </c>
      <c r="Q7923">
        <v>27.8</v>
      </c>
      <c r="R7923">
        <v>28.1</v>
      </c>
      <c r="S7923">
        <v>24.5</v>
      </c>
      <c r="T7923">
        <v>1372</v>
      </c>
      <c r="U7923">
        <v>347</v>
      </c>
      <c r="V7923">
        <v>18</v>
      </c>
      <c r="W7923">
        <v>80</v>
      </c>
      <c r="X7923">
        <v>739</v>
      </c>
      <c r="Y7923">
        <v>103</v>
      </c>
      <c r="Z7923">
        <v>115</v>
      </c>
      <c r="AA7923">
        <v>257</v>
      </c>
      <c r="AB7923">
        <v>10.04659</v>
      </c>
      <c r="AC7923">
        <v>8.6269099999999998E-3</v>
      </c>
      <c r="AD7923">
        <v>1.484386</v>
      </c>
      <c r="AE7923">
        <v>0.79649139999999996</v>
      </c>
      <c r="AF7923">
        <v>23.47636</v>
      </c>
      <c r="AG7923">
        <f>IFERROR(AH7923*0.1, "N/A")</f>
        <v>6.4866900000000003</v>
      </c>
      <c r="AH7923">
        <v>64.866900000000001</v>
      </c>
      <c r="AI7923">
        <v>145.17429999999999</v>
      </c>
      <c r="AJ7923">
        <v>20.096319999999999</v>
      </c>
      <c r="AK7923">
        <v>65.770579999999995</v>
      </c>
    </row>
    <row r="7924" spans="1:37" x14ac:dyDescent="0.3">
      <c r="A7924">
        <v>7923</v>
      </c>
      <c r="B7924">
        <v>21</v>
      </c>
      <c r="C7924">
        <v>39.483899999999998</v>
      </c>
      <c r="D7924">
        <v>-4.4653400000000003</v>
      </c>
      <c r="E7924" t="s">
        <v>11877</v>
      </c>
      <c r="F7924" t="s">
        <v>11878</v>
      </c>
      <c r="G7924" t="s">
        <v>39</v>
      </c>
      <c r="H7924">
        <v>2006</v>
      </c>
      <c r="I7924">
        <v>26.4</v>
      </c>
      <c r="J7924">
        <v>8.4</v>
      </c>
      <c r="K7924">
        <v>65</v>
      </c>
      <c r="L7924">
        <v>14.45364</v>
      </c>
      <c r="M7924">
        <v>33</v>
      </c>
      <c r="N7924">
        <v>20.100000000000001</v>
      </c>
      <c r="O7924">
        <v>12.9</v>
      </c>
      <c r="P7924">
        <v>26.1</v>
      </c>
      <c r="Q7924">
        <v>27.8</v>
      </c>
      <c r="R7924">
        <v>28.1</v>
      </c>
      <c r="S7924">
        <v>24.5</v>
      </c>
      <c r="T7924">
        <v>1372</v>
      </c>
      <c r="U7924">
        <v>347</v>
      </c>
      <c r="V7924">
        <v>18</v>
      </c>
      <c r="W7924">
        <v>80</v>
      </c>
      <c r="X7924">
        <v>739</v>
      </c>
      <c r="Y7924">
        <v>103</v>
      </c>
      <c r="Z7924">
        <v>115</v>
      </c>
      <c r="AA7924">
        <v>257</v>
      </c>
      <c r="AB7924">
        <v>9.9982520000000008</v>
      </c>
      <c r="AC7924">
        <v>1.013156E-2</v>
      </c>
      <c r="AD7924">
        <v>1.0596319999999999</v>
      </c>
      <c r="AE7924">
        <v>0.79649139999999996</v>
      </c>
      <c r="AF7924">
        <v>20.895099999999999</v>
      </c>
      <c r="AG7924">
        <f>IFERROR(AH7924*0.1, "N/A")</f>
        <v>6.5</v>
      </c>
      <c r="AH7924">
        <v>65</v>
      </c>
      <c r="AI7924">
        <v>102.1178</v>
      </c>
      <c r="AJ7924">
        <v>21.031469999999999</v>
      </c>
      <c r="AK7924">
        <v>64.968530000000001</v>
      </c>
    </row>
    <row r="7925" spans="1:37" x14ac:dyDescent="0.3">
      <c r="A7925">
        <v>7924</v>
      </c>
      <c r="B7925">
        <v>60</v>
      </c>
      <c r="C7925">
        <v>39.484299999999998</v>
      </c>
      <c r="D7925">
        <v>-4.46591</v>
      </c>
      <c r="E7925" t="s">
        <v>11879</v>
      </c>
      <c r="F7925" t="s">
        <v>11880</v>
      </c>
      <c r="G7925" t="s">
        <v>39</v>
      </c>
      <c r="H7925">
        <v>1988</v>
      </c>
      <c r="I7925">
        <v>26.4</v>
      </c>
      <c r="J7925">
        <v>8.4</v>
      </c>
      <c r="K7925">
        <v>65</v>
      </c>
      <c r="L7925">
        <v>14.46306</v>
      </c>
      <c r="M7925">
        <v>33</v>
      </c>
      <c r="N7925">
        <v>20.100000000000001</v>
      </c>
      <c r="O7925">
        <v>12.9</v>
      </c>
      <c r="P7925">
        <v>26.1</v>
      </c>
      <c r="Q7925">
        <v>27.8</v>
      </c>
      <c r="R7925">
        <v>28.1</v>
      </c>
      <c r="S7925">
        <v>24.5</v>
      </c>
      <c r="T7925">
        <v>1373.1120000000001</v>
      </c>
      <c r="U7925">
        <v>347.55590000000001</v>
      </c>
      <c r="V7925">
        <v>18</v>
      </c>
      <c r="W7925">
        <v>80.092659999999995</v>
      </c>
      <c r="X7925">
        <v>740.01919999999996</v>
      </c>
      <c r="Y7925">
        <v>103</v>
      </c>
      <c r="Z7925">
        <v>115</v>
      </c>
      <c r="AA7925">
        <v>262.8374</v>
      </c>
      <c r="AB7925">
        <v>9.3335670000000004</v>
      </c>
      <c r="AC7925">
        <v>1.2500549999999999E-2</v>
      </c>
      <c r="AD7925">
        <v>2.0515539999999999</v>
      </c>
      <c r="AE7925">
        <v>0.79649139999999996</v>
      </c>
      <c r="AF7925">
        <v>20.597899999999999</v>
      </c>
      <c r="AG7925">
        <f>IFERROR(AH7925*0.1, "N/A")</f>
        <v>6.5</v>
      </c>
      <c r="AH7925">
        <v>65</v>
      </c>
      <c r="AI7925">
        <v>150.06720000000001</v>
      </c>
      <c r="AJ7925">
        <v>20.45804</v>
      </c>
      <c r="AK7925">
        <v>65.541960000000003</v>
      </c>
    </row>
    <row r="7926" spans="1:37" x14ac:dyDescent="0.3">
      <c r="A7926">
        <v>7925</v>
      </c>
      <c r="B7926">
        <v>46</v>
      </c>
      <c r="C7926">
        <v>39.466700000000003</v>
      </c>
      <c r="D7926">
        <v>-4.4667000000000003</v>
      </c>
      <c r="E7926" t="s">
        <v>11881</v>
      </c>
      <c r="F7926" t="s">
        <v>11882</v>
      </c>
      <c r="G7926" t="s">
        <v>39</v>
      </c>
      <c r="H7926">
        <v>2006</v>
      </c>
      <c r="I7926">
        <v>26.36975</v>
      </c>
      <c r="J7926">
        <v>8.4</v>
      </c>
      <c r="K7926">
        <v>64.697550000000007</v>
      </c>
      <c r="L7926">
        <v>14.53974</v>
      </c>
      <c r="M7926">
        <v>33</v>
      </c>
      <c r="N7926">
        <v>20.03951</v>
      </c>
      <c r="O7926">
        <v>12.96049</v>
      </c>
      <c r="P7926">
        <v>26.069759999999999</v>
      </c>
      <c r="Q7926">
        <v>27.739509999999999</v>
      </c>
      <c r="R7926">
        <v>28.069759999999999</v>
      </c>
      <c r="S7926">
        <v>24.36975</v>
      </c>
      <c r="T7926">
        <v>1374.2190000000001</v>
      </c>
      <c r="U7926">
        <v>348.0874</v>
      </c>
      <c r="V7926">
        <v>18</v>
      </c>
      <c r="W7926">
        <v>80.715029999999999</v>
      </c>
      <c r="X7926">
        <v>741.1748</v>
      </c>
      <c r="Y7926">
        <v>103.38639999999999</v>
      </c>
      <c r="Z7926">
        <v>115.715</v>
      </c>
      <c r="AA7926">
        <v>255.63990000000001</v>
      </c>
      <c r="AB7926">
        <v>1.786014</v>
      </c>
      <c r="AC7926">
        <v>2.5458889999999998</v>
      </c>
      <c r="AD7926">
        <v>2.29596</v>
      </c>
      <c r="AE7926">
        <v>0.77448589999999995</v>
      </c>
      <c r="AF7926">
        <v>16.314689999999999</v>
      </c>
      <c r="AG7926">
        <f>IFERROR(AH7926*0.1, "N/A")</f>
        <v>6.1337410000000006</v>
      </c>
      <c r="AH7926">
        <v>61.337409999999998</v>
      </c>
      <c r="AI7926">
        <v>249.99619999999999</v>
      </c>
      <c r="AJ7926">
        <v>20.01923</v>
      </c>
      <c r="AK7926">
        <v>66.038460000000001</v>
      </c>
    </row>
    <row r="7927" spans="1:37" x14ac:dyDescent="0.3">
      <c r="A7927">
        <v>7926</v>
      </c>
      <c r="B7927">
        <v>79</v>
      </c>
      <c r="C7927">
        <v>39.451099999999997</v>
      </c>
      <c r="D7927">
        <v>-4.4673800000000004</v>
      </c>
      <c r="E7927" t="s">
        <v>11883</v>
      </c>
      <c r="F7927" t="s">
        <v>11884</v>
      </c>
      <c r="G7927" t="s">
        <v>39</v>
      </c>
      <c r="H7927">
        <v>1974</v>
      </c>
      <c r="I7927">
        <v>26.3</v>
      </c>
      <c r="J7927">
        <v>8.5</v>
      </c>
      <c r="K7927">
        <v>64</v>
      </c>
      <c r="L7927">
        <v>14.762079999999999</v>
      </c>
      <c r="M7927">
        <v>33</v>
      </c>
      <c r="N7927">
        <v>19.899999999999999</v>
      </c>
      <c r="O7927">
        <v>13.1</v>
      </c>
      <c r="P7927">
        <v>26</v>
      </c>
      <c r="Q7927">
        <v>27.7</v>
      </c>
      <c r="R7927">
        <v>28</v>
      </c>
      <c r="S7927">
        <v>24.3</v>
      </c>
      <c r="T7927">
        <v>1369.7919999999999</v>
      </c>
      <c r="U7927">
        <v>345.91070000000002</v>
      </c>
      <c r="V7927">
        <v>18</v>
      </c>
      <c r="W7927">
        <v>80</v>
      </c>
      <c r="X7927">
        <v>737.82140000000004</v>
      </c>
      <c r="Y7927">
        <v>104</v>
      </c>
      <c r="Z7927">
        <v>116</v>
      </c>
      <c r="AA7927">
        <v>253.97020000000001</v>
      </c>
      <c r="AB7927">
        <v>2.8877410000000001</v>
      </c>
      <c r="AC7927">
        <v>2.4940489999999999E-2</v>
      </c>
      <c r="AD7927">
        <v>1.845737</v>
      </c>
      <c r="AE7927">
        <v>0.76737900000000003</v>
      </c>
      <c r="AF7927">
        <v>24.971979999999999</v>
      </c>
      <c r="AG7927">
        <f>IFERROR(AH7927*0.1, "N/A")</f>
        <v>6.3451839999999997</v>
      </c>
      <c r="AH7927">
        <v>63.451839999999997</v>
      </c>
      <c r="AI7927">
        <v>265.07429999999999</v>
      </c>
      <c r="AJ7927">
        <v>20.479859999999999</v>
      </c>
      <c r="AK7927">
        <v>66.003500000000003</v>
      </c>
    </row>
    <row r="7928" spans="1:37" x14ac:dyDescent="0.3">
      <c r="A7928">
        <v>7927</v>
      </c>
      <c r="B7928">
        <v>54</v>
      </c>
      <c r="C7928">
        <v>39.454900000000002</v>
      </c>
      <c r="D7928">
        <v>-4.4720500000000003</v>
      </c>
      <c r="E7928" t="s">
        <v>11885</v>
      </c>
      <c r="F7928" t="s">
        <v>11886</v>
      </c>
      <c r="G7928" t="s">
        <v>39</v>
      </c>
      <c r="H7928">
        <v>2006</v>
      </c>
      <c r="I7928">
        <v>26.3</v>
      </c>
      <c r="J7928">
        <v>8.5</v>
      </c>
      <c r="K7928">
        <v>64</v>
      </c>
      <c r="L7928">
        <v>14.76</v>
      </c>
      <c r="M7928">
        <v>33</v>
      </c>
      <c r="N7928">
        <v>19.899999999999999</v>
      </c>
      <c r="O7928">
        <v>13.1</v>
      </c>
      <c r="P7928">
        <v>26</v>
      </c>
      <c r="Q7928">
        <v>27.7</v>
      </c>
      <c r="R7928">
        <v>28</v>
      </c>
      <c r="S7928">
        <v>24.3</v>
      </c>
      <c r="T7928">
        <v>1370</v>
      </c>
      <c r="U7928">
        <v>346</v>
      </c>
      <c r="V7928">
        <v>18</v>
      </c>
      <c r="W7928">
        <v>80</v>
      </c>
      <c r="X7928">
        <v>738</v>
      </c>
      <c r="Y7928">
        <v>104</v>
      </c>
      <c r="Z7928">
        <v>116</v>
      </c>
      <c r="AA7928">
        <v>254</v>
      </c>
      <c r="AB7928">
        <v>6.268357</v>
      </c>
      <c r="AC7928">
        <v>0.34694779999999997</v>
      </c>
      <c r="AD7928">
        <v>1.259136</v>
      </c>
      <c r="AE7928">
        <v>0.77003029999999995</v>
      </c>
      <c r="AF7928">
        <v>28.496500000000001</v>
      </c>
      <c r="AG7928">
        <f>IFERROR(AH7928*0.1, "N/A")</f>
        <v>6.0632869999999999</v>
      </c>
      <c r="AH7928">
        <v>60.632869999999997</v>
      </c>
      <c r="AI7928">
        <v>188.75579999999999</v>
      </c>
      <c r="AJ7928">
        <v>21.31643</v>
      </c>
      <c r="AK7928">
        <v>62.683570000000003</v>
      </c>
    </row>
    <row r="7929" spans="1:37" x14ac:dyDescent="0.3">
      <c r="A7929">
        <v>7928</v>
      </c>
      <c r="B7929">
        <v>35</v>
      </c>
      <c r="C7929">
        <v>39.483499999999999</v>
      </c>
      <c r="D7929">
        <v>-4.47295</v>
      </c>
      <c r="E7929" t="s">
        <v>11887</v>
      </c>
      <c r="F7929" t="s">
        <v>11888</v>
      </c>
      <c r="G7929" t="s">
        <v>39</v>
      </c>
      <c r="H7929">
        <v>2006</v>
      </c>
      <c r="I7929">
        <v>26.4</v>
      </c>
      <c r="J7929">
        <v>8.4</v>
      </c>
      <c r="K7929">
        <v>65</v>
      </c>
      <c r="L7929">
        <v>14.36979</v>
      </c>
      <c r="M7929">
        <v>33</v>
      </c>
      <c r="N7929">
        <v>20.100000000000001</v>
      </c>
      <c r="O7929">
        <v>12.9</v>
      </c>
      <c r="P7929">
        <v>26.1</v>
      </c>
      <c r="Q7929">
        <v>27.8</v>
      </c>
      <c r="R7929">
        <v>28.1</v>
      </c>
      <c r="S7929">
        <v>24.5</v>
      </c>
      <c r="T7929">
        <v>1382.7449999999999</v>
      </c>
      <c r="U7929">
        <v>352.37240000000003</v>
      </c>
      <c r="V7929">
        <v>18</v>
      </c>
      <c r="W7929">
        <v>81</v>
      </c>
      <c r="X7929">
        <v>749.37239999999997</v>
      </c>
      <c r="Y7929">
        <v>103</v>
      </c>
      <c r="Z7929">
        <v>115</v>
      </c>
      <c r="AA7929">
        <v>320</v>
      </c>
      <c r="AB7929">
        <v>6.8353149999999996</v>
      </c>
      <c r="AC7929">
        <v>1.49588E-2</v>
      </c>
      <c r="AD7929">
        <v>1.2495019999999999</v>
      </c>
      <c r="AE7929">
        <v>0.79962330000000004</v>
      </c>
      <c r="AF7929">
        <v>15.505240000000001</v>
      </c>
      <c r="AG7929">
        <f>IFERROR(AH7929*0.1, "N/A")</f>
        <v>6.2660840000000002</v>
      </c>
      <c r="AH7929">
        <v>62.66084</v>
      </c>
      <c r="AI7929">
        <v>133.66370000000001</v>
      </c>
      <c r="AJ7929">
        <v>21.11713</v>
      </c>
      <c r="AK7929">
        <v>63.44406</v>
      </c>
    </row>
    <row r="7930" spans="1:37" x14ac:dyDescent="0.3">
      <c r="A7930">
        <v>7929</v>
      </c>
      <c r="B7930">
        <v>86</v>
      </c>
      <c r="C7930">
        <v>39.459200000000003</v>
      </c>
      <c r="D7930">
        <v>-4.4730699999999999</v>
      </c>
      <c r="E7930" t="s">
        <v>11889</v>
      </c>
      <c r="F7930" t="s">
        <v>11890</v>
      </c>
      <c r="G7930" t="s">
        <v>39</v>
      </c>
      <c r="H7930">
        <v>1988</v>
      </c>
      <c r="I7930">
        <v>26.3</v>
      </c>
      <c r="J7930">
        <v>8.4022760000000005</v>
      </c>
      <c r="K7930">
        <v>64</v>
      </c>
      <c r="L7930">
        <v>14.632960000000001</v>
      </c>
      <c r="M7930">
        <v>33</v>
      </c>
      <c r="N7930">
        <v>19.899999999999999</v>
      </c>
      <c r="O7930">
        <v>13.1</v>
      </c>
      <c r="P7930">
        <v>26</v>
      </c>
      <c r="Q7930">
        <v>27.60228</v>
      </c>
      <c r="R7930">
        <v>28</v>
      </c>
      <c r="S7930">
        <v>24.3</v>
      </c>
      <c r="T7930">
        <v>1373.9090000000001</v>
      </c>
      <c r="U7930">
        <v>347.9545</v>
      </c>
      <c r="V7930">
        <v>18</v>
      </c>
      <c r="W7930">
        <v>80.977230000000006</v>
      </c>
      <c r="X7930">
        <v>740.93169999999998</v>
      </c>
      <c r="Y7930">
        <v>104</v>
      </c>
      <c r="Z7930">
        <v>116</v>
      </c>
      <c r="AA7930">
        <v>254</v>
      </c>
      <c r="AB7930">
        <v>2.500175</v>
      </c>
      <c r="AC7930">
        <v>2.595509E-2</v>
      </c>
      <c r="AD7930">
        <v>0.93022629999999995</v>
      </c>
      <c r="AE7930">
        <v>0.7730918</v>
      </c>
      <c r="AF7930">
        <v>27.035029999999999</v>
      </c>
      <c r="AG7930">
        <f>IFERROR(AH7930*0.1, "N/A")</f>
        <v>5.9954470000000004</v>
      </c>
      <c r="AH7930">
        <v>59.954470000000001</v>
      </c>
      <c r="AI7930">
        <v>38.51878</v>
      </c>
      <c r="AJ7930">
        <v>21.758320000000001</v>
      </c>
      <c r="AK7930">
        <v>64.299469999999999</v>
      </c>
    </row>
    <row r="7931" spans="1:37" x14ac:dyDescent="0.3">
      <c r="A7931">
        <v>7930</v>
      </c>
      <c r="B7931">
        <v>30</v>
      </c>
      <c r="C7931">
        <v>39.4818</v>
      </c>
      <c r="D7931">
        <v>-4.4776699999999998</v>
      </c>
      <c r="E7931" t="s">
        <v>11891</v>
      </c>
      <c r="F7931" t="s">
        <v>11892</v>
      </c>
      <c r="G7931" t="s">
        <v>39</v>
      </c>
      <c r="H7931">
        <v>2006</v>
      </c>
      <c r="I7931">
        <v>26.4</v>
      </c>
      <c r="J7931">
        <v>8.4</v>
      </c>
      <c r="K7931">
        <v>65</v>
      </c>
      <c r="L7931">
        <v>14.42</v>
      </c>
      <c r="M7931">
        <v>33</v>
      </c>
      <c r="N7931">
        <v>20.100000000000001</v>
      </c>
      <c r="O7931">
        <v>12.9</v>
      </c>
      <c r="P7931">
        <v>26.1</v>
      </c>
      <c r="Q7931">
        <v>27.8</v>
      </c>
      <c r="R7931">
        <v>28.1</v>
      </c>
      <c r="S7931">
        <v>24.5</v>
      </c>
      <c r="T7931">
        <v>1392</v>
      </c>
      <c r="U7931">
        <v>357</v>
      </c>
      <c r="V7931">
        <v>18</v>
      </c>
      <c r="W7931">
        <v>81</v>
      </c>
      <c r="X7931">
        <v>758</v>
      </c>
      <c r="Y7931">
        <v>103</v>
      </c>
      <c r="Z7931">
        <v>116</v>
      </c>
      <c r="AA7931">
        <v>321</v>
      </c>
      <c r="AB7931">
        <v>10.35979</v>
      </c>
      <c r="AC7931">
        <v>2.117161E-2</v>
      </c>
      <c r="AD7931">
        <v>1.06125</v>
      </c>
      <c r="AE7931">
        <v>0.70890310000000001</v>
      </c>
      <c r="AF7931">
        <v>15.19406</v>
      </c>
      <c r="AG7931">
        <f>IFERROR(AH7931*0.1, "N/A")</f>
        <v>6.3284970000000005</v>
      </c>
      <c r="AH7931">
        <v>63.284970000000001</v>
      </c>
      <c r="AI7931">
        <v>152.62440000000001</v>
      </c>
      <c r="AJ7931">
        <v>24.854900000000001</v>
      </c>
      <c r="AK7931">
        <v>59.286709999999999</v>
      </c>
    </row>
    <row r="7932" spans="1:37" x14ac:dyDescent="0.3">
      <c r="A7932">
        <v>7931</v>
      </c>
      <c r="B7932">
        <v>62.7</v>
      </c>
      <c r="C7932">
        <v>39.481200000000001</v>
      </c>
      <c r="D7932">
        <v>-4.47926</v>
      </c>
      <c r="E7932" t="s">
        <v>11893</v>
      </c>
      <c r="F7932" t="s">
        <v>11894</v>
      </c>
      <c r="G7932" t="s">
        <v>39</v>
      </c>
      <c r="H7932">
        <v>1974</v>
      </c>
      <c r="I7932">
        <v>26.4</v>
      </c>
      <c r="J7932">
        <v>8.4</v>
      </c>
      <c r="K7932">
        <v>65</v>
      </c>
      <c r="L7932">
        <v>14.42</v>
      </c>
      <c r="M7932">
        <v>33</v>
      </c>
      <c r="N7932">
        <v>20.100000000000001</v>
      </c>
      <c r="O7932">
        <v>12.9</v>
      </c>
      <c r="P7932">
        <v>26.1</v>
      </c>
      <c r="Q7932">
        <v>27.8</v>
      </c>
      <c r="R7932">
        <v>28.1</v>
      </c>
      <c r="S7932">
        <v>24.5</v>
      </c>
      <c r="T7932">
        <v>1392</v>
      </c>
      <c r="U7932">
        <v>357</v>
      </c>
      <c r="V7932">
        <v>18</v>
      </c>
      <c r="W7932">
        <v>81</v>
      </c>
      <c r="X7932">
        <v>758</v>
      </c>
      <c r="Y7932">
        <v>103</v>
      </c>
      <c r="Z7932">
        <v>116</v>
      </c>
      <c r="AA7932">
        <v>321</v>
      </c>
      <c r="AB7932">
        <v>14.03923</v>
      </c>
      <c r="AC7932">
        <v>4.4253130000000002E-2</v>
      </c>
      <c r="AD7932">
        <v>1.983976</v>
      </c>
      <c r="AE7932">
        <v>0.69151499999999999</v>
      </c>
      <c r="AF7932">
        <v>17.302980000000002</v>
      </c>
      <c r="AG7932">
        <f>IFERROR(AH7932*0.1, "N/A")</f>
        <v>6.4696200000000008</v>
      </c>
      <c r="AH7932">
        <v>64.696200000000005</v>
      </c>
      <c r="AI7932">
        <v>124.9341</v>
      </c>
      <c r="AJ7932">
        <v>24.27486</v>
      </c>
      <c r="AK7932">
        <v>60.7179</v>
      </c>
    </row>
    <row r="7933" spans="1:37" x14ac:dyDescent="0.3">
      <c r="A7933">
        <v>7932</v>
      </c>
      <c r="B7933">
        <v>29.7</v>
      </c>
      <c r="C7933">
        <v>39.479999999999997</v>
      </c>
      <c r="D7933">
        <v>-4.4800000000000004</v>
      </c>
      <c r="E7933" t="s">
        <v>11895</v>
      </c>
      <c r="F7933" t="s">
        <v>11896</v>
      </c>
      <c r="G7933" t="s">
        <v>39</v>
      </c>
      <c r="H7933">
        <v>2004</v>
      </c>
      <c r="I7933">
        <v>26.4</v>
      </c>
      <c r="J7933">
        <v>8.4</v>
      </c>
      <c r="K7933">
        <v>65</v>
      </c>
      <c r="L7933">
        <v>14.42</v>
      </c>
      <c r="M7933">
        <v>33</v>
      </c>
      <c r="N7933">
        <v>20.100000000000001</v>
      </c>
      <c r="O7933">
        <v>12.9</v>
      </c>
      <c r="P7933">
        <v>26.1</v>
      </c>
      <c r="Q7933">
        <v>27.8</v>
      </c>
      <c r="R7933">
        <v>28.1</v>
      </c>
      <c r="S7933">
        <v>24.5</v>
      </c>
      <c r="T7933">
        <v>1392</v>
      </c>
      <c r="U7933">
        <v>357</v>
      </c>
      <c r="V7933">
        <v>18</v>
      </c>
      <c r="W7933">
        <v>81</v>
      </c>
      <c r="X7933">
        <v>758</v>
      </c>
      <c r="Y7933">
        <v>103</v>
      </c>
      <c r="Z7933">
        <v>116</v>
      </c>
      <c r="AA7933">
        <v>321</v>
      </c>
      <c r="AB7933">
        <v>16.15448</v>
      </c>
      <c r="AC7933">
        <v>2.7843400000000001E-2</v>
      </c>
      <c r="AD7933">
        <v>0.94947239999999999</v>
      </c>
      <c r="AE7933">
        <v>0.69151499999999999</v>
      </c>
      <c r="AF7933">
        <v>16.639720000000001</v>
      </c>
      <c r="AG7933">
        <f>IFERROR(AH7933*0.1, "N/A")</f>
        <v>6.2281200000000005</v>
      </c>
      <c r="AH7933">
        <v>62.281199999999998</v>
      </c>
      <c r="AI7933">
        <v>214.77</v>
      </c>
      <c r="AJ7933">
        <v>24.427070000000001</v>
      </c>
      <c r="AK7933">
        <v>60</v>
      </c>
    </row>
    <row r="7934" spans="1:37" x14ac:dyDescent="0.3">
      <c r="A7934">
        <v>7933</v>
      </c>
      <c r="B7934">
        <v>18</v>
      </c>
      <c r="C7934">
        <v>39.450000000000003</v>
      </c>
      <c r="D7934">
        <v>-4.4800000000000004</v>
      </c>
      <c r="E7934" t="s">
        <v>11897</v>
      </c>
      <c r="F7934" t="s">
        <v>11898</v>
      </c>
      <c r="G7934" t="s">
        <v>39</v>
      </c>
      <c r="H7934">
        <v>2004</v>
      </c>
      <c r="I7934">
        <v>26.3</v>
      </c>
      <c r="J7934">
        <v>8.5</v>
      </c>
      <c r="K7934">
        <v>64</v>
      </c>
      <c r="L7934">
        <v>14.609680000000001</v>
      </c>
      <c r="M7934">
        <v>33</v>
      </c>
      <c r="N7934">
        <v>19.899999999999999</v>
      </c>
      <c r="O7934">
        <v>13.1</v>
      </c>
      <c r="P7934">
        <v>26</v>
      </c>
      <c r="Q7934">
        <v>27.616489999999999</v>
      </c>
      <c r="R7934">
        <v>28</v>
      </c>
      <c r="S7934">
        <v>24.3</v>
      </c>
      <c r="T7934">
        <v>1373.4949999999999</v>
      </c>
      <c r="U7934">
        <v>347.32979999999998</v>
      </c>
      <c r="V7934">
        <v>18</v>
      </c>
      <c r="W7934">
        <v>80.164910000000006</v>
      </c>
      <c r="X7934">
        <v>740.65959999999995</v>
      </c>
      <c r="Y7934">
        <v>104.8351</v>
      </c>
      <c r="Z7934">
        <v>116.8351</v>
      </c>
      <c r="AA7934">
        <v>253.16489999999999</v>
      </c>
      <c r="AB7934">
        <v>6.8010539999999997</v>
      </c>
      <c r="AC7934">
        <v>1.4114059999999999E-2</v>
      </c>
      <c r="AD7934">
        <v>1.450429</v>
      </c>
      <c r="AE7934">
        <v>0.74006930000000004</v>
      </c>
      <c r="AF7934">
        <v>28.21228</v>
      </c>
      <c r="AG7934">
        <f>IFERROR(AH7934*0.1, "N/A")</f>
        <v>5.7838600000000007</v>
      </c>
      <c r="AH7934">
        <v>57.8386</v>
      </c>
      <c r="AI7934">
        <v>177.90119999999999</v>
      </c>
      <c r="AJ7934">
        <v>21.056139999999999</v>
      </c>
      <c r="AK7934">
        <v>65.42456</v>
      </c>
    </row>
    <row r="7935" spans="1:37" x14ac:dyDescent="0.3">
      <c r="A7935">
        <v>7934</v>
      </c>
      <c r="B7935">
        <v>40.700000000000003</v>
      </c>
      <c r="C7935">
        <v>39.450000000000003</v>
      </c>
      <c r="D7935">
        <v>-4.4820000000000002</v>
      </c>
      <c r="E7935" t="s">
        <v>11899</v>
      </c>
      <c r="F7935" t="s">
        <v>11900</v>
      </c>
      <c r="G7935" t="s">
        <v>39</v>
      </c>
      <c r="H7935">
        <v>2004</v>
      </c>
      <c r="I7935">
        <v>26.3</v>
      </c>
      <c r="J7935">
        <v>8.5</v>
      </c>
      <c r="K7935">
        <v>64</v>
      </c>
      <c r="L7935">
        <v>14.609680000000001</v>
      </c>
      <c r="M7935">
        <v>33</v>
      </c>
      <c r="N7935">
        <v>19.899999999999999</v>
      </c>
      <c r="O7935">
        <v>13.1</v>
      </c>
      <c r="P7935">
        <v>26</v>
      </c>
      <c r="Q7935">
        <v>27.616489999999999</v>
      </c>
      <c r="R7935">
        <v>28</v>
      </c>
      <c r="S7935">
        <v>24.3</v>
      </c>
      <c r="T7935">
        <v>1373.4949999999999</v>
      </c>
      <c r="U7935">
        <v>347.32979999999998</v>
      </c>
      <c r="V7935">
        <v>18</v>
      </c>
      <c r="W7935">
        <v>80.164910000000006</v>
      </c>
      <c r="X7935">
        <v>740.65959999999995</v>
      </c>
      <c r="Y7935">
        <v>104.8351</v>
      </c>
      <c r="Z7935">
        <v>116.8351</v>
      </c>
      <c r="AA7935">
        <v>253.16489999999999</v>
      </c>
      <c r="AB7935">
        <v>8.5228070000000002</v>
      </c>
      <c r="AC7935">
        <v>8.5222379999999997E-3</v>
      </c>
      <c r="AD7935">
        <v>1.467568</v>
      </c>
      <c r="AE7935">
        <v>0.74006930000000004</v>
      </c>
      <c r="AF7935">
        <v>26.991230000000002</v>
      </c>
      <c r="AG7935">
        <f>IFERROR(AH7935*0.1, "N/A")</f>
        <v>5.7805260000000001</v>
      </c>
      <c r="AH7935">
        <v>57.805259999999997</v>
      </c>
      <c r="AI7935">
        <v>111.8831</v>
      </c>
      <c r="AJ7935">
        <v>21</v>
      </c>
      <c r="AK7935">
        <v>66.364909999999995</v>
      </c>
    </row>
    <row r="7936" spans="1:37" x14ac:dyDescent="0.3">
      <c r="A7936">
        <v>7935</v>
      </c>
      <c r="B7936">
        <v>38.9</v>
      </c>
      <c r="C7936">
        <v>39.477600000000002</v>
      </c>
      <c r="D7936">
        <v>-4.4831899999999996</v>
      </c>
      <c r="E7936" t="s">
        <v>11901</v>
      </c>
      <c r="F7936" t="s">
        <v>11902</v>
      </c>
      <c r="G7936" t="s">
        <v>39</v>
      </c>
      <c r="H7936">
        <v>2006</v>
      </c>
      <c r="I7936">
        <v>26.423729999999999</v>
      </c>
      <c r="J7936">
        <v>8.4</v>
      </c>
      <c r="K7936">
        <v>65</v>
      </c>
      <c r="L7936">
        <v>14.45322</v>
      </c>
      <c r="M7936">
        <v>33.02373</v>
      </c>
      <c r="N7936">
        <v>20.123729999999998</v>
      </c>
      <c r="O7936">
        <v>12.9</v>
      </c>
      <c r="P7936">
        <v>26.123729999999998</v>
      </c>
      <c r="Q7936">
        <v>27.823730000000001</v>
      </c>
      <c r="R7936">
        <v>28.123729999999998</v>
      </c>
      <c r="S7936">
        <v>24.5</v>
      </c>
      <c r="T7936">
        <v>1391.288</v>
      </c>
      <c r="U7936">
        <v>357.2373</v>
      </c>
      <c r="V7936">
        <v>18</v>
      </c>
      <c r="W7936">
        <v>81.474519999999998</v>
      </c>
      <c r="X7936">
        <v>758.2373</v>
      </c>
      <c r="Y7936">
        <v>102.7627</v>
      </c>
      <c r="Z7936">
        <v>115.7627</v>
      </c>
      <c r="AA7936">
        <v>305.1037</v>
      </c>
      <c r="AB7936">
        <v>16.982250000000001</v>
      </c>
      <c r="AC7936">
        <v>1.5846240000000001E-2</v>
      </c>
      <c r="AD7936">
        <v>1.418018</v>
      </c>
      <c r="AE7936">
        <v>0.71093150000000005</v>
      </c>
      <c r="AF7936">
        <v>17.592269999999999</v>
      </c>
      <c r="AG7936">
        <f>IFERROR(AH7936*0.1, "N/A")</f>
        <v>6.1585239999999999</v>
      </c>
      <c r="AH7936">
        <v>61.585239999999999</v>
      </c>
      <c r="AI7936">
        <v>84.10342</v>
      </c>
      <c r="AJ7936">
        <v>25</v>
      </c>
      <c r="AK7936">
        <v>62.28295</v>
      </c>
    </row>
    <row r="7937" spans="1:37" x14ac:dyDescent="0.3">
      <c r="A7937">
        <v>7936</v>
      </c>
      <c r="B7937">
        <v>41</v>
      </c>
      <c r="C7937">
        <v>39.450000000000003</v>
      </c>
      <c r="D7937">
        <v>-4.4833299999999996</v>
      </c>
      <c r="E7937" t="s">
        <v>11903</v>
      </c>
      <c r="F7937" t="s">
        <v>11904</v>
      </c>
      <c r="G7937" t="s">
        <v>39</v>
      </c>
      <c r="H7937">
        <v>2006</v>
      </c>
      <c r="I7937">
        <v>26.328949999999999</v>
      </c>
      <c r="J7937">
        <v>8.5</v>
      </c>
      <c r="K7937">
        <v>64</v>
      </c>
      <c r="L7937">
        <v>14.668049999999999</v>
      </c>
      <c r="M7937">
        <v>33.035260000000001</v>
      </c>
      <c r="N7937">
        <v>19.93526</v>
      </c>
      <c r="O7937">
        <v>13.1</v>
      </c>
      <c r="P7937">
        <v>26.035260000000001</v>
      </c>
      <c r="Q7937">
        <v>27.674389999999999</v>
      </c>
      <c r="R7937">
        <v>28.035260000000001</v>
      </c>
      <c r="S7937">
        <v>24.335260000000002</v>
      </c>
      <c r="T7937">
        <v>1375.4469999999999</v>
      </c>
      <c r="U7937">
        <v>348.3877</v>
      </c>
      <c r="V7937">
        <v>18</v>
      </c>
      <c r="W7937">
        <v>80.454390000000004</v>
      </c>
      <c r="X7937">
        <v>742.77539999999999</v>
      </c>
      <c r="Y7937">
        <v>104.8351</v>
      </c>
      <c r="Z7937">
        <v>116.8982</v>
      </c>
      <c r="AA7937">
        <v>252.87540000000001</v>
      </c>
      <c r="AB7937">
        <v>8.6166660000000004</v>
      </c>
      <c r="AC7937">
        <v>9.0604680000000003E-3</v>
      </c>
      <c r="AD7937">
        <v>1.7202440000000001</v>
      </c>
      <c r="AE7937">
        <v>0.74006930000000004</v>
      </c>
      <c r="AF7937">
        <v>28.142109999999999</v>
      </c>
      <c r="AG7937">
        <f>IFERROR(AH7937*0.1, "N/A")</f>
        <v>5.7835090000000005</v>
      </c>
      <c r="AH7937">
        <v>57.835090000000001</v>
      </c>
      <c r="AI7937">
        <v>149.02950000000001</v>
      </c>
      <c r="AJ7937">
        <v>21</v>
      </c>
      <c r="AK7937">
        <v>66.835089999999994</v>
      </c>
    </row>
    <row r="7938" spans="1:37" x14ac:dyDescent="0.3">
      <c r="A7938">
        <v>7937</v>
      </c>
      <c r="B7938">
        <v>70</v>
      </c>
      <c r="C7938">
        <v>39.460099999999997</v>
      </c>
      <c r="D7938">
        <v>-4.4901099999999996</v>
      </c>
      <c r="E7938" t="s">
        <v>11905</v>
      </c>
      <c r="F7938" t="s">
        <v>11906</v>
      </c>
      <c r="G7938" t="s">
        <v>39</v>
      </c>
      <c r="H7938">
        <v>1988</v>
      </c>
      <c r="I7938">
        <v>26.3</v>
      </c>
      <c r="J7938">
        <v>8.4</v>
      </c>
      <c r="K7938">
        <v>64</v>
      </c>
      <c r="L7938">
        <v>14.65</v>
      </c>
      <c r="M7938">
        <v>33</v>
      </c>
      <c r="N7938">
        <v>19.899999999999999</v>
      </c>
      <c r="O7938">
        <v>13.1</v>
      </c>
      <c r="P7938">
        <v>26</v>
      </c>
      <c r="Q7938">
        <v>27.7</v>
      </c>
      <c r="R7938">
        <v>28</v>
      </c>
      <c r="S7938">
        <v>24.3</v>
      </c>
      <c r="T7938">
        <v>1390</v>
      </c>
      <c r="U7938">
        <v>354</v>
      </c>
      <c r="V7938">
        <v>18</v>
      </c>
      <c r="W7938">
        <v>81</v>
      </c>
      <c r="X7938">
        <v>754</v>
      </c>
      <c r="Y7938">
        <v>104</v>
      </c>
      <c r="Z7938">
        <v>117</v>
      </c>
      <c r="AA7938">
        <v>255</v>
      </c>
      <c r="AB7938">
        <v>2.5314040000000002</v>
      </c>
      <c r="AC7938">
        <v>1.548939E-2</v>
      </c>
      <c r="AD7938">
        <v>1.7698259999999999</v>
      </c>
      <c r="AE7938">
        <v>0.7332168</v>
      </c>
      <c r="AF7938">
        <v>25.682459999999999</v>
      </c>
      <c r="AG7938">
        <f>IFERROR(AH7938*0.1, "N/A")</f>
        <v>5.7187720000000004</v>
      </c>
      <c r="AH7938">
        <v>57.187719999999999</v>
      </c>
      <c r="AI7938">
        <v>244.1018</v>
      </c>
      <c r="AJ7938">
        <v>24.60351</v>
      </c>
      <c r="AK7938">
        <v>61.4</v>
      </c>
    </row>
    <row r="7939" spans="1:37" x14ac:dyDescent="0.3">
      <c r="A7939">
        <v>7938</v>
      </c>
      <c r="B7939">
        <v>41</v>
      </c>
      <c r="C7939">
        <v>39.4574</v>
      </c>
      <c r="D7939">
        <v>-4.4919099999999998</v>
      </c>
      <c r="E7939" t="s">
        <v>11907</v>
      </c>
      <c r="F7939" t="s">
        <v>11908</v>
      </c>
      <c r="G7939" t="s">
        <v>39</v>
      </c>
      <c r="H7939">
        <v>1988</v>
      </c>
      <c r="I7939">
        <v>26.375610000000002</v>
      </c>
      <c r="J7939">
        <v>8.5</v>
      </c>
      <c r="K7939">
        <v>64</v>
      </c>
      <c r="L7939">
        <v>14.84172</v>
      </c>
      <c r="M7939">
        <v>33.1</v>
      </c>
      <c r="N7939">
        <v>20</v>
      </c>
      <c r="O7939">
        <v>13.1</v>
      </c>
      <c r="P7939">
        <v>26.1</v>
      </c>
      <c r="Q7939">
        <v>27.77561</v>
      </c>
      <c r="R7939">
        <v>28.1</v>
      </c>
      <c r="S7939">
        <v>24.4</v>
      </c>
      <c r="T7939">
        <v>1387.7809999999999</v>
      </c>
      <c r="U7939">
        <v>353.51229999999998</v>
      </c>
      <c r="V7939">
        <v>18</v>
      </c>
      <c r="W7939">
        <v>81.756140000000002</v>
      </c>
      <c r="X7939">
        <v>753.02459999999996</v>
      </c>
      <c r="Y7939">
        <v>104.7561</v>
      </c>
      <c r="Z7939">
        <v>117</v>
      </c>
      <c r="AA7939">
        <v>254</v>
      </c>
      <c r="AB7939">
        <v>0.29771920000000002</v>
      </c>
      <c r="AC7939">
        <v>0.19656290000000001</v>
      </c>
      <c r="AD7939">
        <v>0.88489980000000001</v>
      </c>
      <c r="AE7939">
        <v>0.73133009999999998</v>
      </c>
      <c r="AF7939">
        <v>19.721050000000002</v>
      </c>
      <c r="AG7939">
        <f>IFERROR(AH7939*0.1, "N/A")</f>
        <v>6.3589470000000006</v>
      </c>
      <c r="AH7939">
        <v>63.589469999999999</v>
      </c>
      <c r="AI7939">
        <v>192.04320000000001</v>
      </c>
      <c r="AJ7939">
        <v>19.136839999999999</v>
      </c>
      <c r="AK7939">
        <v>64.931579999999997</v>
      </c>
    </row>
    <row r="7940" spans="1:37" x14ac:dyDescent="0.3">
      <c r="A7940">
        <v>7939</v>
      </c>
      <c r="B7940">
        <v>29.3</v>
      </c>
      <c r="C7940">
        <v>34.008450000000003</v>
      </c>
      <c r="D7940">
        <v>-0.45936700000000003</v>
      </c>
      <c r="E7940" t="s">
        <v>11909</v>
      </c>
      <c r="F7940" t="s">
        <v>11910</v>
      </c>
      <c r="G7940" t="s">
        <v>37</v>
      </c>
      <c r="H7940">
        <v>1971</v>
      </c>
      <c r="I7940">
        <v>21.553349999999998</v>
      </c>
      <c r="J7940">
        <v>12.7</v>
      </c>
      <c r="K7940">
        <v>85</v>
      </c>
      <c r="L7940">
        <v>5.9793310000000002</v>
      </c>
      <c r="M7940">
        <v>29.15335</v>
      </c>
      <c r="N7940">
        <v>14.353339999999999</v>
      </c>
      <c r="O7940">
        <v>14.8</v>
      </c>
      <c r="P7940">
        <v>21.853339999999999</v>
      </c>
      <c r="Q7940">
        <v>20.65335</v>
      </c>
      <c r="R7940">
        <v>22.253350000000001</v>
      </c>
      <c r="S7940">
        <v>20.65335</v>
      </c>
      <c r="T7940">
        <v>1125.665</v>
      </c>
      <c r="U7940">
        <v>175.4665</v>
      </c>
      <c r="V7940">
        <v>40.466549999999998</v>
      </c>
      <c r="W7940">
        <v>46.533450000000002</v>
      </c>
      <c r="X7940">
        <v>460.39960000000002</v>
      </c>
      <c r="Y7940">
        <v>145.4665</v>
      </c>
      <c r="Z7940">
        <v>262.86619999999999</v>
      </c>
      <c r="AA7940">
        <v>145.4665</v>
      </c>
      <c r="AB7940">
        <v>39.244419999999998</v>
      </c>
      <c r="AC7940">
        <v>0.1515841</v>
      </c>
      <c r="AD7940">
        <v>17.84609</v>
      </c>
      <c r="AE7940">
        <v>0.6988856</v>
      </c>
      <c r="AF7940">
        <v>1259.463</v>
      </c>
      <c r="AG7940">
        <f>IFERROR(AH7940*0.1, "N/A")</f>
        <v>5.4616199999999999</v>
      </c>
      <c r="AH7940">
        <v>54.616199999999999</v>
      </c>
      <c r="AI7940">
        <v>33.301690000000001</v>
      </c>
      <c r="AJ7940">
        <v>37.658450000000002</v>
      </c>
      <c r="AK7940">
        <v>42.056339999999999</v>
      </c>
    </row>
    <row r="7941" spans="1:37" x14ac:dyDescent="0.3">
      <c r="A7941">
        <v>7940</v>
      </c>
      <c r="B7941">
        <v>0.6</v>
      </c>
      <c r="C7941">
        <v>34.008450000000003</v>
      </c>
      <c r="D7941">
        <v>-0.45936700000000003</v>
      </c>
      <c r="E7941" t="s">
        <v>11909</v>
      </c>
      <c r="F7941" t="s">
        <v>11911</v>
      </c>
      <c r="G7941" t="s">
        <v>39</v>
      </c>
      <c r="H7941">
        <v>1971</v>
      </c>
      <c r="I7941">
        <v>21.553349999999998</v>
      </c>
      <c r="J7941">
        <v>12.7</v>
      </c>
      <c r="K7941">
        <v>85</v>
      </c>
      <c r="L7941">
        <v>5.9793310000000002</v>
      </c>
      <c r="M7941">
        <v>29.15335</v>
      </c>
      <c r="N7941">
        <v>14.353339999999999</v>
      </c>
      <c r="O7941">
        <v>14.8</v>
      </c>
      <c r="P7941">
        <v>21.853339999999999</v>
      </c>
      <c r="Q7941">
        <v>20.65335</v>
      </c>
      <c r="R7941">
        <v>22.253350000000001</v>
      </c>
      <c r="S7941">
        <v>20.65335</v>
      </c>
      <c r="T7941">
        <v>1125.665</v>
      </c>
      <c r="U7941">
        <v>175.4665</v>
      </c>
      <c r="V7941">
        <v>40.466549999999998</v>
      </c>
      <c r="W7941">
        <v>46.533450000000002</v>
      </c>
      <c r="X7941">
        <v>460.39960000000002</v>
      </c>
      <c r="Y7941">
        <v>145.4665</v>
      </c>
      <c r="Z7941">
        <v>262.86619999999999</v>
      </c>
      <c r="AA7941">
        <v>145.4665</v>
      </c>
      <c r="AB7941">
        <v>39.244419999999998</v>
      </c>
      <c r="AC7941">
        <v>0.1515841</v>
      </c>
      <c r="AD7941">
        <v>17.84609</v>
      </c>
      <c r="AE7941">
        <v>0.6988856</v>
      </c>
      <c r="AF7941">
        <v>1259.463</v>
      </c>
      <c r="AG7941">
        <f>IFERROR(AH7941*0.1, "N/A")</f>
        <v>5.4616199999999999</v>
      </c>
      <c r="AH7941">
        <v>54.616199999999999</v>
      </c>
      <c r="AI7941">
        <v>33.301690000000001</v>
      </c>
      <c r="AJ7941">
        <v>37.658450000000002</v>
      </c>
      <c r="AK7941">
        <v>42.056339999999999</v>
      </c>
    </row>
    <row r="7942" spans="1:37" x14ac:dyDescent="0.3">
      <c r="A7942">
        <v>7941</v>
      </c>
      <c r="B7942">
        <v>4.9000000000000004</v>
      </c>
      <c r="C7942">
        <v>38.35774</v>
      </c>
      <c r="D7942">
        <v>-3.4006219999999998</v>
      </c>
      <c r="E7942" t="s">
        <v>11912</v>
      </c>
      <c r="F7942" t="s">
        <v>11913</v>
      </c>
      <c r="G7942" t="s">
        <v>37</v>
      </c>
      <c r="H7942">
        <v>1978</v>
      </c>
      <c r="I7942">
        <v>19.492809999999999</v>
      </c>
      <c r="J7942">
        <v>10.5</v>
      </c>
      <c r="K7942">
        <v>69</v>
      </c>
      <c r="L7942">
        <v>15.31456</v>
      </c>
      <c r="M7942">
        <v>27.692810000000001</v>
      </c>
      <c r="N7942">
        <v>12.49281</v>
      </c>
      <c r="O7942">
        <v>15.2</v>
      </c>
      <c r="P7942">
        <v>19.907019999999999</v>
      </c>
      <c r="Q7942">
        <v>17.392810000000001</v>
      </c>
      <c r="R7942">
        <v>21.292809999999999</v>
      </c>
      <c r="S7942">
        <v>17.392810000000001</v>
      </c>
      <c r="T7942">
        <v>1143.104</v>
      </c>
      <c r="U7942">
        <v>226.9684</v>
      </c>
      <c r="V7942">
        <v>15</v>
      </c>
      <c r="W7942">
        <v>79.112279999999998</v>
      </c>
      <c r="X7942">
        <v>473.35610000000003</v>
      </c>
      <c r="Y7942">
        <v>57.23509</v>
      </c>
      <c r="Z7942">
        <v>268.01049999999998</v>
      </c>
      <c r="AA7942">
        <v>57.23509</v>
      </c>
      <c r="AB7942">
        <v>60.485570000000003</v>
      </c>
      <c r="AC7942">
        <v>1.031458E-2</v>
      </c>
      <c r="AD7942">
        <v>13.624079999999999</v>
      </c>
      <c r="AE7942">
        <v>0.5387151</v>
      </c>
      <c r="AF7942">
        <v>1477.2719999999999</v>
      </c>
      <c r="AG7942">
        <f>IFERROR(AH7942*0.1, "N/A")</f>
        <v>5.3215789999999998</v>
      </c>
      <c r="AH7942">
        <v>53.215789999999998</v>
      </c>
      <c r="AI7942">
        <v>206.9434</v>
      </c>
      <c r="AJ7942">
        <v>34.215789999999998</v>
      </c>
      <c r="AK7942">
        <v>45.926319999999997</v>
      </c>
    </row>
    <row r="7943" spans="1:37" x14ac:dyDescent="0.3">
      <c r="A7943">
        <v>7942</v>
      </c>
      <c r="B7943">
        <v>36.6</v>
      </c>
      <c r="C7943">
        <v>38.35774</v>
      </c>
      <c r="D7943">
        <v>-3.4006219999999998</v>
      </c>
      <c r="E7943" t="s">
        <v>11912</v>
      </c>
      <c r="F7943" t="s">
        <v>11914</v>
      </c>
      <c r="G7943" t="s">
        <v>39</v>
      </c>
      <c r="H7943">
        <v>1978</v>
      </c>
      <c r="I7943">
        <v>19.492809999999999</v>
      </c>
      <c r="J7943">
        <v>10.5</v>
      </c>
      <c r="K7943">
        <v>69</v>
      </c>
      <c r="L7943">
        <v>15.31456</v>
      </c>
      <c r="M7943">
        <v>27.692810000000001</v>
      </c>
      <c r="N7943">
        <v>12.49281</v>
      </c>
      <c r="O7943">
        <v>15.2</v>
      </c>
      <c r="P7943">
        <v>19.907019999999999</v>
      </c>
      <c r="Q7943">
        <v>17.392810000000001</v>
      </c>
      <c r="R7943">
        <v>21.292809999999999</v>
      </c>
      <c r="S7943">
        <v>17.392810000000001</v>
      </c>
      <c r="T7943">
        <v>1143.104</v>
      </c>
      <c r="U7943">
        <v>226.9684</v>
      </c>
      <c r="V7943">
        <v>15</v>
      </c>
      <c r="W7943">
        <v>79.112279999999998</v>
      </c>
      <c r="X7943">
        <v>473.35610000000003</v>
      </c>
      <c r="Y7943">
        <v>57.23509</v>
      </c>
      <c r="Z7943">
        <v>268.01049999999998</v>
      </c>
      <c r="AA7943">
        <v>57.23509</v>
      </c>
      <c r="AB7943">
        <v>60.485570000000003</v>
      </c>
      <c r="AC7943">
        <v>1.031458E-2</v>
      </c>
      <c r="AD7943">
        <v>13.624079999999999</v>
      </c>
      <c r="AE7943">
        <v>0.5387151</v>
      </c>
      <c r="AF7943">
        <v>1477.2719999999999</v>
      </c>
      <c r="AG7943">
        <f>IFERROR(AH7943*0.1, "N/A")</f>
        <v>5.3215789999999998</v>
      </c>
      <c r="AH7943">
        <v>53.215789999999998</v>
      </c>
      <c r="AI7943">
        <v>206.9434</v>
      </c>
      <c r="AJ7943">
        <v>34.215789999999998</v>
      </c>
      <c r="AK7943">
        <v>45.926319999999997</v>
      </c>
    </row>
    <row r="7944" spans="1:37" x14ac:dyDescent="0.3">
      <c r="A7944">
        <v>7943</v>
      </c>
      <c r="B7944">
        <v>1.6</v>
      </c>
      <c r="C7944">
        <v>34.284309999999998</v>
      </c>
      <c r="D7944">
        <v>4.4046719999999997</v>
      </c>
      <c r="E7944" t="s">
        <v>11915</v>
      </c>
      <c r="F7944" t="s">
        <v>11916</v>
      </c>
      <c r="G7944" t="s">
        <v>37</v>
      </c>
      <c r="H7944">
        <v>1998</v>
      </c>
      <c r="I7944">
        <v>26.6</v>
      </c>
      <c r="J7944">
        <v>12</v>
      </c>
      <c r="K7944">
        <v>78</v>
      </c>
      <c r="L7944">
        <v>10.06</v>
      </c>
      <c r="M7944">
        <v>35.1</v>
      </c>
      <c r="N7944">
        <v>19.899999999999999</v>
      </c>
      <c r="O7944">
        <v>15.2</v>
      </c>
      <c r="P7944">
        <v>27.3</v>
      </c>
      <c r="Q7944">
        <v>27.5</v>
      </c>
      <c r="R7944">
        <v>28</v>
      </c>
      <c r="S7944">
        <v>25.3</v>
      </c>
      <c r="T7944">
        <v>453</v>
      </c>
      <c r="U7944">
        <v>80</v>
      </c>
      <c r="V7944">
        <v>7</v>
      </c>
      <c r="W7944">
        <v>48</v>
      </c>
      <c r="X7944">
        <v>179</v>
      </c>
      <c r="Y7944">
        <v>47</v>
      </c>
      <c r="Z7944">
        <v>82</v>
      </c>
      <c r="AA7944">
        <v>118</v>
      </c>
      <c r="AB7944">
        <v>1.752011</v>
      </c>
      <c r="AC7944">
        <v>9.015693E-3</v>
      </c>
      <c r="AD7944">
        <v>1.1229420000000001</v>
      </c>
      <c r="AE7944">
        <v>0.16028629999999999</v>
      </c>
      <c r="AF7944">
        <v>601.52009999999996</v>
      </c>
      <c r="AG7944">
        <f>IFERROR(AH7944*0.1, "N/A")</f>
        <v>7.3989490000000009</v>
      </c>
      <c r="AH7944">
        <v>73.989490000000004</v>
      </c>
      <c r="AI7944">
        <v>54.317830000000001</v>
      </c>
      <c r="AJ7944">
        <v>25.702279999999998</v>
      </c>
      <c r="AK7944">
        <v>53.359020000000001</v>
      </c>
    </row>
    <row r="7945" spans="1:37" x14ac:dyDescent="0.3">
      <c r="A7945">
        <v>7944</v>
      </c>
      <c r="B7945">
        <v>0</v>
      </c>
      <c r="C7945">
        <v>34.284309999999998</v>
      </c>
      <c r="D7945">
        <v>4.4046719999999997</v>
      </c>
      <c r="E7945" t="s">
        <v>11915</v>
      </c>
      <c r="F7945" t="s">
        <v>11917</v>
      </c>
      <c r="G7945" t="s">
        <v>39</v>
      </c>
      <c r="H7945">
        <v>1998</v>
      </c>
      <c r="I7945">
        <v>26.6</v>
      </c>
      <c r="J7945">
        <v>12</v>
      </c>
      <c r="K7945">
        <v>78</v>
      </c>
      <c r="L7945">
        <v>10.06</v>
      </c>
      <c r="M7945">
        <v>35.1</v>
      </c>
      <c r="N7945">
        <v>19.899999999999999</v>
      </c>
      <c r="O7945">
        <v>15.2</v>
      </c>
      <c r="P7945">
        <v>27.3</v>
      </c>
      <c r="Q7945">
        <v>27.5</v>
      </c>
      <c r="R7945">
        <v>28</v>
      </c>
      <c r="S7945">
        <v>25.3</v>
      </c>
      <c r="T7945">
        <v>453</v>
      </c>
      <c r="U7945">
        <v>80</v>
      </c>
      <c r="V7945">
        <v>7</v>
      </c>
      <c r="W7945">
        <v>48</v>
      </c>
      <c r="X7945">
        <v>179</v>
      </c>
      <c r="Y7945">
        <v>47</v>
      </c>
      <c r="Z7945">
        <v>82</v>
      </c>
      <c r="AA7945">
        <v>118</v>
      </c>
      <c r="AB7945">
        <v>1.752011</v>
      </c>
      <c r="AC7945">
        <v>9.015693E-3</v>
      </c>
      <c r="AD7945">
        <v>1.1229420000000001</v>
      </c>
      <c r="AE7945">
        <v>0.16028629999999999</v>
      </c>
      <c r="AF7945">
        <v>601.52009999999996</v>
      </c>
      <c r="AG7945">
        <f>IFERROR(AH7945*0.1, "N/A")</f>
        <v>7.3989490000000009</v>
      </c>
      <c r="AH7945">
        <v>73.989490000000004</v>
      </c>
      <c r="AI7945">
        <v>54.317830000000001</v>
      </c>
      <c r="AJ7945">
        <v>25.702279999999998</v>
      </c>
      <c r="AK7945">
        <v>53.359020000000001</v>
      </c>
    </row>
    <row r="7946" spans="1:37" x14ac:dyDescent="0.3">
      <c r="A7946">
        <v>7945</v>
      </c>
      <c r="B7946">
        <v>100</v>
      </c>
      <c r="C7946">
        <v>-15.216670000000001</v>
      </c>
      <c r="D7946">
        <v>12.48333</v>
      </c>
      <c r="E7946">
        <f>-15.216667-12.483333</f>
        <v>-27.7</v>
      </c>
      <c r="F7946" t="s">
        <v>11918</v>
      </c>
      <c r="G7946" t="s">
        <v>39</v>
      </c>
      <c r="H7946">
        <v>1951</v>
      </c>
      <c r="I7946">
        <v>26.965869999999999</v>
      </c>
      <c r="J7946">
        <v>12.844989999999999</v>
      </c>
      <c r="K7946">
        <v>57.867570000000001</v>
      </c>
      <c r="L7946">
        <v>16.578389999999999</v>
      </c>
      <c r="M7946">
        <v>37.071480000000001</v>
      </c>
      <c r="N7946">
        <v>15.1</v>
      </c>
      <c r="O7946">
        <v>21.97148</v>
      </c>
      <c r="P7946">
        <v>26.624110000000002</v>
      </c>
      <c r="Q7946">
        <v>26.092359999999999</v>
      </c>
      <c r="R7946">
        <v>29.06587</v>
      </c>
      <c r="S7946">
        <v>24.8</v>
      </c>
      <c r="T7946">
        <v>1259.1120000000001</v>
      </c>
      <c r="U7946">
        <v>397.62650000000002</v>
      </c>
      <c r="V7946">
        <v>0</v>
      </c>
      <c r="W7946">
        <v>130.44990000000001</v>
      </c>
      <c r="X7946">
        <v>981.46180000000004</v>
      </c>
      <c r="Y7946">
        <v>0</v>
      </c>
      <c r="Z7946">
        <v>138.1002</v>
      </c>
      <c r="AA7946">
        <v>2</v>
      </c>
      <c r="AB7946">
        <v>6.9573859999999996</v>
      </c>
      <c r="AC7946">
        <v>2.2922629999999999E-2</v>
      </c>
      <c r="AD7946">
        <v>1.068492</v>
      </c>
      <c r="AE7946">
        <v>0.47509940000000001</v>
      </c>
      <c r="AF7946">
        <v>8.7623090000000001</v>
      </c>
      <c r="AG7946">
        <f>IFERROR(AH7946*0.1, "N/A")</f>
        <v>5.0835310000000007</v>
      </c>
      <c r="AH7946">
        <v>50.83531</v>
      </c>
      <c r="AI7946">
        <v>140.15880000000001</v>
      </c>
      <c r="AJ7946">
        <v>20</v>
      </c>
      <c r="AK7946">
        <v>54.417659999999998</v>
      </c>
    </row>
    <row r="7947" spans="1:37" x14ac:dyDescent="0.3">
      <c r="A7947">
        <v>7946</v>
      </c>
      <c r="B7947">
        <v>9</v>
      </c>
      <c r="C7947">
        <v>-15.429779999999999</v>
      </c>
      <c r="D7947">
        <v>12.038360000000001</v>
      </c>
      <c r="E7947">
        <f>-15.429778-12.038356</f>
        <v>-27.468133999999999</v>
      </c>
      <c r="F7947" t="s">
        <v>11919</v>
      </c>
      <c r="G7947" t="s">
        <v>39</v>
      </c>
      <c r="H7947">
        <v>1951</v>
      </c>
      <c r="I7947">
        <v>26.5</v>
      </c>
      <c r="J7947">
        <v>10.7</v>
      </c>
      <c r="K7947">
        <v>62</v>
      </c>
      <c r="L7947">
        <v>11.29</v>
      </c>
      <c r="M7947">
        <v>34.4</v>
      </c>
      <c r="N7947">
        <v>17.2</v>
      </c>
      <c r="O7947">
        <v>17.2</v>
      </c>
      <c r="P7947">
        <v>26.2</v>
      </c>
      <c r="Q7947">
        <v>25.8</v>
      </c>
      <c r="R7947">
        <v>27.8</v>
      </c>
      <c r="S7947">
        <v>24.9</v>
      </c>
      <c r="T7947">
        <v>1657</v>
      </c>
      <c r="U7947">
        <v>548</v>
      </c>
      <c r="V7947">
        <v>0</v>
      </c>
      <c r="W7947">
        <v>130</v>
      </c>
      <c r="X7947">
        <v>1283</v>
      </c>
      <c r="Y7947">
        <v>0</v>
      </c>
      <c r="Z7947">
        <v>174</v>
      </c>
      <c r="AA7947">
        <v>4</v>
      </c>
      <c r="AB7947">
        <v>8.7353749999999994</v>
      </c>
      <c r="AC7947">
        <v>5.6368559999999998E-2</v>
      </c>
      <c r="AD7947">
        <v>1.5434490000000001</v>
      </c>
      <c r="AE7947">
        <v>0.67853019999999997</v>
      </c>
      <c r="AF7947">
        <v>14.90136</v>
      </c>
      <c r="AG7947">
        <f>IFERROR(AH7947*0.1, "N/A")</f>
        <v>5.0738100000000008</v>
      </c>
      <c r="AH7947">
        <v>50.738100000000003</v>
      </c>
      <c r="AI7947">
        <v>191.05070000000001</v>
      </c>
      <c r="AJ7947">
        <v>21.676870000000001</v>
      </c>
      <c r="AK7947">
        <v>57.697279999999999</v>
      </c>
    </row>
    <row r="7948" spans="1:37" x14ac:dyDescent="0.3">
      <c r="A7948">
        <v>7947</v>
      </c>
      <c r="B7948">
        <v>23.1</v>
      </c>
      <c r="C7948">
        <v>-14.860099999999999</v>
      </c>
      <c r="D7948">
        <v>12.022399999999999</v>
      </c>
      <c r="E7948">
        <f>-14.8601-12.0224</f>
        <v>-26.8825</v>
      </c>
      <c r="F7948" t="s">
        <v>11920</v>
      </c>
      <c r="G7948" t="s">
        <v>39</v>
      </c>
      <c r="H7948">
        <v>1951</v>
      </c>
      <c r="I7948">
        <v>26.7</v>
      </c>
      <c r="J7948">
        <v>11.1</v>
      </c>
      <c r="K7948">
        <v>58</v>
      </c>
      <c r="L7948">
        <v>14.7</v>
      </c>
      <c r="M7948">
        <v>35.700000000000003</v>
      </c>
      <c r="N7948">
        <v>16.8</v>
      </c>
      <c r="O7948">
        <v>18.899999999999999</v>
      </c>
      <c r="P7948">
        <v>26.2</v>
      </c>
      <c r="Q7948">
        <v>26.3</v>
      </c>
      <c r="R7948">
        <v>28.6</v>
      </c>
      <c r="S7948">
        <v>25</v>
      </c>
      <c r="T7948">
        <v>1632</v>
      </c>
      <c r="U7948">
        <v>498</v>
      </c>
      <c r="V7948">
        <v>0</v>
      </c>
      <c r="W7948">
        <v>125</v>
      </c>
      <c r="X7948">
        <v>1219</v>
      </c>
      <c r="Y7948">
        <v>0</v>
      </c>
      <c r="Z7948">
        <v>29</v>
      </c>
      <c r="AA7948">
        <v>28</v>
      </c>
      <c r="AB7948">
        <v>29.711459999999999</v>
      </c>
      <c r="AC7948">
        <v>1.299641E-2</v>
      </c>
      <c r="AD7948">
        <v>1.1538280000000001</v>
      </c>
      <c r="AE7948">
        <v>0.72071059999999998</v>
      </c>
      <c r="AF7948">
        <v>32.835900000000002</v>
      </c>
      <c r="AG7948">
        <f>IFERROR(AH7948*0.1, "N/A")</f>
        <v>6.3261539999999998</v>
      </c>
      <c r="AH7948">
        <v>63.261539999999997</v>
      </c>
      <c r="AI7948">
        <v>168.88040000000001</v>
      </c>
      <c r="AJ7948">
        <v>31.133330000000001</v>
      </c>
      <c r="AK7948">
        <v>44.041029999999999</v>
      </c>
    </row>
    <row r="7949" spans="1:37" x14ac:dyDescent="0.3">
      <c r="A7949">
        <v>7948</v>
      </c>
      <c r="B7949">
        <v>40</v>
      </c>
      <c r="C7949">
        <v>-16.0397</v>
      </c>
      <c r="D7949">
        <v>12.0543</v>
      </c>
      <c r="E7949">
        <f>-16.0397-12.0543</f>
        <v>-28.094000000000001</v>
      </c>
      <c r="F7949" t="s">
        <v>11921</v>
      </c>
      <c r="G7949" t="s">
        <v>39</v>
      </c>
      <c r="H7949">
        <v>1949</v>
      </c>
      <c r="I7949">
        <v>26.5</v>
      </c>
      <c r="J7949">
        <v>11.4</v>
      </c>
      <c r="K7949">
        <v>62</v>
      </c>
      <c r="L7949">
        <v>10.77</v>
      </c>
      <c r="M7949">
        <v>34.9</v>
      </c>
      <c r="N7949">
        <v>16.600000000000001</v>
      </c>
      <c r="O7949">
        <v>18.3</v>
      </c>
      <c r="P7949">
        <v>26.4</v>
      </c>
      <c r="Q7949">
        <v>25.6</v>
      </c>
      <c r="R7949">
        <v>27.6</v>
      </c>
      <c r="S7949">
        <v>24.9</v>
      </c>
      <c r="T7949">
        <v>1822</v>
      </c>
      <c r="U7949">
        <v>637</v>
      </c>
      <c r="V7949">
        <v>0</v>
      </c>
      <c r="W7949">
        <v>138</v>
      </c>
      <c r="X7949">
        <v>1465</v>
      </c>
      <c r="Y7949">
        <v>0</v>
      </c>
      <c r="Z7949">
        <v>143</v>
      </c>
      <c r="AA7949">
        <v>4</v>
      </c>
      <c r="AB7949">
        <v>4.032368</v>
      </c>
      <c r="AC7949">
        <v>1.313581E-2</v>
      </c>
      <c r="AD7949">
        <v>2.8756270000000002</v>
      </c>
      <c r="AE7949">
        <v>0.68809379999999998</v>
      </c>
      <c r="AF7949">
        <v>6.1379900000000003</v>
      </c>
      <c r="AG7949">
        <f>IFERROR(AH7949*0.1, "N/A")</f>
        <v>5.3126060000000006</v>
      </c>
      <c r="AH7949">
        <v>53.126060000000003</v>
      </c>
      <c r="AI7949">
        <v>290.95229999999998</v>
      </c>
      <c r="AJ7949">
        <v>21.548549999999999</v>
      </c>
      <c r="AK7949">
        <v>60.708689999999997</v>
      </c>
    </row>
    <row r="7950" spans="1:37" x14ac:dyDescent="0.3">
      <c r="A7950">
        <v>7949</v>
      </c>
      <c r="B7950">
        <v>72.7</v>
      </c>
      <c r="C7950">
        <v>-16.044</v>
      </c>
      <c r="D7950">
        <v>12.062200000000001</v>
      </c>
      <c r="E7950">
        <f>-16.044001-12.0622</f>
        <v>-28.106201000000002</v>
      </c>
      <c r="F7950" t="s">
        <v>11922</v>
      </c>
      <c r="G7950" t="s">
        <v>39</v>
      </c>
      <c r="H7950">
        <v>1949</v>
      </c>
      <c r="I7950">
        <v>26.5</v>
      </c>
      <c r="J7950">
        <v>11.5</v>
      </c>
      <c r="K7950">
        <v>63</v>
      </c>
      <c r="L7950">
        <v>10.99</v>
      </c>
      <c r="M7950">
        <v>34.799999999999997</v>
      </c>
      <c r="N7950">
        <v>16.600000000000001</v>
      </c>
      <c r="O7950">
        <v>18.2</v>
      </c>
      <c r="P7950">
        <v>26.4</v>
      </c>
      <c r="Q7950">
        <v>25.5</v>
      </c>
      <c r="R7950">
        <v>27.7</v>
      </c>
      <c r="S7950">
        <v>24.8</v>
      </c>
      <c r="T7950">
        <v>1811</v>
      </c>
      <c r="U7950">
        <v>632</v>
      </c>
      <c r="V7950">
        <v>0</v>
      </c>
      <c r="W7950">
        <v>138</v>
      </c>
      <c r="X7950">
        <v>1457</v>
      </c>
      <c r="Y7950">
        <v>0</v>
      </c>
      <c r="Z7950">
        <v>142</v>
      </c>
      <c r="AA7950">
        <v>4</v>
      </c>
      <c r="AB7950">
        <v>10.179080000000001</v>
      </c>
      <c r="AC7950">
        <v>2.285537E-2</v>
      </c>
      <c r="AD7950">
        <v>2.053067</v>
      </c>
      <c r="AE7950">
        <v>0.66597729999999999</v>
      </c>
      <c r="AF7950">
        <v>13.63095</v>
      </c>
      <c r="AG7950">
        <f>IFERROR(AH7950*0.1, "N/A")</f>
        <v>4.2683670000000005</v>
      </c>
      <c r="AH7950">
        <v>42.683669999999999</v>
      </c>
      <c r="AI7950">
        <v>192.74549999999999</v>
      </c>
      <c r="AJ7950">
        <v>22.571429999999999</v>
      </c>
      <c r="AK7950">
        <v>61.836730000000003</v>
      </c>
    </row>
    <row r="7951" spans="1:37" x14ac:dyDescent="0.3">
      <c r="A7951">
        <v>7950</v>
      </c>
      <c r="B7951">
        <v>100</v>
      </c>
      <c r="C7951">
        <v>-16.0518</v>
      </c>
      <c r="D7951">
        <v>12.0625</v>
      </c>
      <c r="E7951">
        <f>-16.0518-12.0625</f>
        <v>-28.1143</v>
      </c>
      <c r="F7951" t="s">
        <v>11923</v>
      </c>
      <c r="G7951" t="s">
        <v>39</v>
      </c>
      <c r="H7951">
        <v>1949</v>
      </c>
      <c r="I7951">
        <v>26.5</v>
      </c>
      <c r="J7951">
        <v>11.5</v>
      </c>
      <c r="K7951">
        <v>62</v>
      </c>
      <c r="L7951">
        <v>10.87</v>
      </c>
      <c r="M7951">
        <v>34.9</v>
      </c>
      <c r="N7951">
        <v>16.600000000000001</v>
      </c>
      <c r="O7951">
        <v>18.3</v>
      </c>
      <c r="P7951">
        <v>26.4</v>
      </c>
      <c r="Q7951">
        <v>25.6</v>
      </c>
      <c r="R7951">
        <v>27.6</v>
      </c>
      <c r="S7951">
        <v>24.9</v>
      </c>
      <c r="T7951">
        <v>1811</v>
      </c>
      <c r="U7951">
        <v>632</v>
      </c>
      <c r="V7951">
        <v>0</v>
      </c>
      <c r="W7951">
        <v>138</v>
      </c>
      <c r="X7951">
        <v>1459</v>
      </c>
      <c r="Y7951">
        <v>0</v>
      </c>
      <c r="Z7951">
        <v>142</v>
      </c>
      <c r="AA7951">
        <v>3</v>
      </c>
      <c r="AB7951">
        <v>8.8378200000000007</v>
      </c>
      <c r="AC7951">
        <v>2.2623540000000001E-2</v>
      </c>
      <c r="AD7951">
        <v>1.830333</v>
      </c>
      <c r="AE7951">
        <v>0.59024920000000003</v>
      </c>
      <c r="AF7951">
        <v>9.8909710000000004</v>
      </c>
      <c r="AG7951">
        <f>IFERROR(AH7951*0.1, "N/A")</f>
        <v>4.3650770000000003</v>
      </c>
      <c r="AH7951">
        <v>43.650770000000001</v>
      </c>
      <c r="AI7951">
        <v>253.34540000000001</v>
      </c>
      <c r="AJ7951">
        <v>23</v>
      </c>
      <c r="AK7951">
        <v>58.674619999999997</v>
      </c>
    </row>
    <row r="7952" spans="1:37" x14ac:dyDescent="0.3">
      <c r="A7952">
        <v>7951</v>
      </c>
      <c r="B7952">
        <v>100</v>
      </c>
      <c r="C7952">
        <v>-16.055399999999999</v>
      </c>
      <c r="D7952">
        <v>12.0663</v>
      </c>
      <c r="E7952">
        <f>-16.055401-12.0663</f>
        <v>-28.121701000000002</v>
      </c>
      <c r="F7952" t="s">
        <v>11924</v>
      </c>
      <c r="G7952" t="s">
        <v>39</v>
      </c>
      <c r="H7952">
        <v>1949</v>
      </c>
      <c r="I7952">
        <v>26.5</v>
      </c>
      <c r="J7952">
        <v>11.5</v>
      </c>
      <c r="K7952">
        <v>62</v>
      </c>
      <c r="L7952">
        <v>10.86734</v>
      </c>
      <c r="M7952">
        <v>34.9</v>
      </c>
      <c r="N7952">
        <v>16.600000000000001</v>
      </c>
      <c r="O7952">
        <v>18.3</v>
      </c>
      <c r="P7952">
        <v>26.4</v>
      </c>
      <c r="Q7952">
        <v>25.6</v>
      </c>
      <c r="R7952">
        <v>27.602039999999999</v>
      </c>
      <c r="S7952">
        <v>24.9</v>
      </c>
      <c r="T7952">
        <v>1810.693</v>
      </c>
      <c r="U7952">
        <v>631.89779999999996</v>
      </c>
      <c r="V7952">
        <v>0</v>
      </c>
      <c r="W7952">
        <v>138</v>
      </c>
      <c r="X7952">
        <v>1458.7550000000001</v>
      </c>
      <c r="Y7952">
        <v>0</v>
      </c>
      <c r="Z7952">
        <v>141.9796</v>
      </c>
      <c r="AA7952">
        <v>3</v>
      </c>
      <c r="AB7952">
        <v>8.5057919999999996</v>
      </c>
      <c r="AC7952">
        <v>1.9432140000000001E-2</v>
      </c>
      <c r="AD7952">
        <v>3.0906609999999999</v>
      </c>
      <c r="AE7952">
        <v>0.49255149999999998</v>
      </c>
      <c r="AF7952">
        <v>8.4718909999999994</v>
      </c>
      <c r="AG7952">
        <f>IFERROR(AH7952*0.1, "N/A")</f>
        <v>5.1611580000000004</v>
      </c>
      <c r="AH7952">
        <v>51.611579999999996</v>
      </c>
      <c r="AI7952">
        <v>250.68029999999999</v>
      </c>
      <c r="AJ7952">
        <v>24.247019999999999</v>
      </c>
      <c r="AK7952">
        <v>57.376489999999997</v>
      </c>
    </row>
    <row r="7953" spans="1:37" x14ac:dyDescent="0.3">
      <c r="A7953">
        <v>7952</v>
      </c>
      <c r="B7953">
        <v>95</v>
      </c>
      <c r="C7953">
        <v>-16.2333</v>
      </c>
      <c r="D7953">
        <v>12.066700000000001</v>
      </c>
      <c r="E7953">
        <f>-16.233299-12.0667</f>
        <v>-28.299999</v>
      </c>
      <c r="F7953" t="s">
        <v>11925</v>
      </c>
      <c r="G7953" t="s">
        <v>39</v>
      </c>
      <c r="H7953">
        <v>1949</v>
      </c>
      <c r="I7953">
        <v>26.482340000000001</v>
      </c>
      <c r="J7953">
        <v>11.52258</v>
      </c>
      <c r="K7953">
        <v>62.176569999999998</v>
      </c>
      <c r="L7953">
        <v>11.034649999999999</v>
      </c>
      <c r="M7953">
        <v>34.982340000000001</v>
      </c>
      <c r="N7953">
        <v>16.530560000000001</v>
      </c>
      <c r="O7953">
        <v>18.451779999999999</v>
      </c>
      <c r="P7953">
        <v>26.33548</v>
      </c>
      <c r="Q7953">
        <v>25.6129</v>
      </c>
      <c r="R7953">
        <v>27.68234</v>
      </c>
      <c r="S7953">
        <v>24.830559999999998</v>
      </c>
      <c r="T7953">
        <v>1794.9829999999999</v>
      </c>
      <c r="U7953">
        <v>609.43629999999996</v>
      </c>
      <c r="V7953">
        <v>0</v>
      </c>
      <c r="W7953">
        <v>138.51779999999999</v>
      </c>
      <c r="X7953">
        <v>1464.307</v>
      </c>
      <c r="Y7953">
        <v>0</v>
      </c>
      <c r="Z7953">
        <v>136.77420000000001</v>
      </c>
      <c r="AA7953">
        <v>3</v>
      </c>
      <c r="AB7953">
        <v>2.80017</v>
      </c>
      <c r="AC7953">
        <v>1.9266729999999999E-2</v>
      </c>
      <c r="AD7953">
        <v>1.170715</v>
      </c>
      <c r="AE7953">
        <v>0.64725180000000004</v>
      </c>
      <c r="AF7953">
        <v>11.173170000000001</v>
      </c>
      <c r="AG7953">
        <f>IFERROR(AH7953*0.1, "N/A")</f>
        <v>5.1084890000000005</v>
      </c>
      <c r="AH7953">
        <v>51.084890000000001</v>
      </c>
      <c r="AI7953">
        <v>206.58500000000001</v>
      </c>
      <c r="AJ7953">
        <v>22.42784</v>
      </c>
      <c r="AK7953">
        <v>59.937179999999998</v>
      </c>
    </row>
    <row r="7954" spans="1:37" x14ac:dyDescent="0.3">
      <c r="A7954">
        <v>7953</v>
      </c>
      <c r="B7954">
        <v>64.099999999999994</v>
      </c>
      <c r="C7954">
        <v>-16.0825</v>
      </c>
      <c r="D7954">
        <v>12.066700000000001</v>
      </c>
      <c r="E7954">
        <f>-16.0825-12.0667</f>
        <v>-28.1492</v>
      </c>
      <c r="F7954" t="s">
        <v>11926</v>
      </c>
      <c r="G7954" t="s">
        <v>39</v>
      </c>
      <c r="H7954">
        <v>1949</v>
      </c>
      <c r="I7954">
        <v>26.5</v>
      </c>
      <c r="J7954">
        <v>11.5</v>
      </c>
      <c r="K7954">
        <v>62</v>
      </c>
      <c r="L7954">
        <v>10.99194</v>
      </c>
      <c r="M7954">
        <v>34.922580000000004</v>
      </c>
      <c r="N7954">
        <v>16.600000000000001</v>
      </c>
      <c r="O7954">
        <v>18.322579999999999</v>
      </c>
      <c r="P7954">
        <v>26.377420000000001</v>
      </c>
      <c r="Q7954">
        <v>25.6</v>
      </c>
      <c r="R7954">
        <v>27.7</v>
      </c>
      <c r="S7954">
        <v>24.822579999999999</v>
      </c>
      <c r="T7954">
        <v>1809.29</v>
      </c>
      <c r="U7954">
        <v>629.09680000000003</v>
      </c>
      <c r="V7954">
        <v>0</v>
      </c>
      <c r="W7954">
        <v>137</v>
      </c>
      <c r="X7954">
        <v>1459.9680000000001</v>
      </c>
      <c r="Y7954">
        <v>0</v>
      </c>
      <c r="Z7954">
        <v>140.77420000000001</v>
      </c>
      <c r="AA7954">
        <v>3</v>
      </c>
      <c r="AB7954">
        <v>0.9933786</v>
      </c>
      <c r="AC7954">
        <v>2.5952920000000002</v>
      </c>
      <c r="AD7954">
        <v>2.0636930000000002</v>
      </c>
      <c r="AE7954">
        <v>0.68615539999999997</v>
      </c>
      <c r="AF7954">
        <v>2.1646860000000001</v>
      </c>
      <c r="AG7954">
        <f>IFERROR(AH7954*0.1, "N/A")</f>
        <v>4.6254669999999996</v>
      </c>
      <c r="AH7954">
        <v>46.254669999999997</v>
      </c>
      <c r="AI7954">
        <v>231.20310000000001</v>
      </c>
      <c r="AJ7954">
        <v>20.915109999999999</v>
      </c>
      <c r="AK7954">
        <v>60.169780000000003</v>
      </c>
    </row>
    <row r="7955" spans="1:37" x14ac:dyDescent="0.3">
      <c r="A7955">
        <v>7954</v>
      </c>
      <c r="B7955">
        <v>41.1</v>
      </c>
      <c r="C7955">
        <v>-16.055299999999999</v>
      </c>
      <c r="D7955">
        <v>12.078099999999999</v>
      </c>
      <c r="E7955">
        <f>-16.0553-12.0781</f>
        <v>-28.133399999999998</v>
      </c>
      <c r="F7955" t="s">
        <v>11927</v>
      </c>
      <c r="G7955" t="s">
        <v>39</v>
      </c>
      <c r="H7955">
        <v>1949</v>
      </c>
      <c r="I7955">
        <v>26.6</v>
      </c>
      <c r="J7955">
        <v>11.5</v>
      </c>
      <c r="K7955">
        <v>62</v>
      </c>
      <c r="L7955">
        <v>10.92</v>
      </c>
      <c r="M7955">
        <v>35</v>
      </c>
      <c r="N7955">
        <v>16.600000000000001</v>
      </c>
      <c r="O7955">
        <v>18.399999999999999</v>
      </c>
      <c r="P7955">
        <v>26.4</v>
      </c>
      <c r="Q7955">
        <v>25.7</v>
      </c>
      <c r="R7955">
        <v>27.8</v>
      </c>
      <c r="S7955">
        <v>24.9</v>
      </c>
      <c r="T7955">
        <v>1785</v>
      </c>
      <c r="U7955">
        <v>623</v>
      </c>
      <c r="V7955">
        <v>0</v>
      </c>
      <c r="W7955">
        <v>138</v>
      </c>
      <c r="X7955">
        <v>1438</v>
      </c>
      <c r="Y7955">
        <v>0</v>
      </c>
      <c r="Z7955">
        <v>140</v>
      </c>
      <c r="AA7955">
        <v>3</v>
      </c>
      <c r="AB7955">
        <v>4.8691649999999997</v>
      </c>
      <c r="AC7955">
        <v>8.5332600000000008E-3</v>
      </c>
      <c r="AD7955">
        <v>1.801998</v>
      </c>
      <c r="AE7955">
        <v>0.61028550000000004</v>
      </c>
      <c r="AF7955">
        <v>5.8943779999999997</v>
      </c>
      <c r="AG7955">
        <f>IFERROR(AH7955*0.1, "N/A")</f>
        <v>5</v>
      </c>
      <c r="AH7955">
        <v>50</v>
      </c>
      <c r="AI7955">
        <v>245.4264</v>
      </c>
      <c r="AJ7955">
        <v>19.06814</v>
      </c>
      <c r="AK7955">
        <v>62.93186</v>
      </c>
    </row>
    <row r="7956" spans="1:37" x14ac:dyDescent="0.3">
      <c r="A7956">
        <v>7955</v>
      </c>
      <c r="B7956">
        <v>3.3</v>
      </c>
      <c r="C7956">
        <v>-16.033300000000001</v>
      </c>
      <c r="D7956">
        <v>12.083299999999999</v>
      </c>
      <c r="E7956">
        <f>-16.0333-12.0833</f>
        <v>-28.116599999999998</v>
      </c>
      <c r="F7956" t="s">
        <v>11928</v>
      </c>
      <c r="G7956" t="s">
        <v>39</v>
      </c>
      <c r="H7956">
        <v>1949</v>
      </c>
      <c r="I7956">
        <v>26.435770000000002</v>
      </c>
      <c r="J7956">
        <v>11.5</v>
      </c>
      <c r="K7956">
        <v>62</v>
      </c>
      <c r="L7956">
        <v>10.85974</v>
      </c>
      <c r="M7956">
        <v>34.83578</v>
      </c>
      <c r="N7956">
        <v>16.5</v>
      </c>
      <c r="O7956">
        <v>18.33577</v>
      </c>
      <c r="P7956">
        <v>26.3</v>
      </c>
      <c r="Q7956">
        <v>25.535779999999999</v>
      </c>
      <c r="R7956">
        <v>27.6</v>
      </c>
      <c r="S7956">
        <v>24.8</v>
      </c>
      <c r="T7956">
        <v>1776.32</v>
      </c>
      <c r="U7956">
        <v>620.37310000000002</v>
      </c>
      <c r="V7956">
        <v>0</v>
      </c>
      <c r="W7956">
        <v>137</v>
      </c>
      <c r="X7956">
        <v>1428.451</v>
      </c>
      <c r="Y7956">
        <v>0</v>
      </c>
      <c r="Z7956">
        <v>140</v>
      </c>
      <c r="AA7956">
        <v>4</v>
      </c>
      <c r="AB7956">
        <v>12.01158</v>
      </c>
      <c r="AC7956">
        <v>3.5542949999999997E-2</v>
      </c>
      <c r="AD7956">
        <v>1.476917</v>
      </c>
      <c r="AE7956">
        <v>0.71895489999999995</v>
      </c>
      <c r="AF7956">
        <v>25.209540000000001</v>
      </c>
      <c r="AG7956">
        <f>IFERROR(AH7956*0.1, "N/A")</f>
        <v>4.9364570000000008</v>
      </c>
      <c r="AH7956">
        <v>49.364570000000001</v>
      </c>
      <c r="AI7956">
        <v>313.90780000000001</v>
      </c>
      <c r="AJ7956">
        <v>24.541740000000001</v>
      </c>
      <c r="AK7956">
        <v>57.822830000000003</v>
      </c>
    </row>
    <row r="7957" spans="1:37" x14ac:dyDescent="0.3">
      <c r="A7957">
        <v>7956</v>
      </c>
      <c r="B7957">
        <v>68.8</v>
      </c>
      <c r="C7957">
        <v>-16.070599999999999</v>
      </c>
      <c r="D7957">
        <v>12.083600000000001</v>
      </c>
      <c r="E7957">
        <f>-16.070601-12.0836</f>
        <v>-28.154201</v>
      </c>
      <c r="F7957" t="s">
        <v>11929</v>
      </c>
      <c r="G7957" t="s">
        <v>39</v>
      </c>
      <c r="H7957">
        <v>1949</v>
      </c>
      <c r="I7957">
        <v>26.4</v>
      </c>
      <c r="J7957">
        <v>11.580859999999999</v>
      </c>
      <c r="K7957">
        <v>62.808549999999997</v>
      </c>
      <c r="L7957">
        <v>10.75128</v>
      </c>
      <c r="M7957">
        <v>34.9</v>
      </c>
      <c r="N7957">
        <v>16.5</v>
      </c>
      <c r="O7957">
        <v>18.399999999999999</v>
      </c>
      <c r="P7957">
        <v>26.3</v>
      </c>
      <c r="Q7957">
        <v>25.51915</v>
      </c>
      <c r="R7957">
        <v>27.6</v>
      </c>
      <c r="S7957">
        <v>24.8</v>
      </c>
      <c r="T7957">
        <v>1778.68</v>
      </c>
      <c r="U7957">
        <v>619.76580000000001</v>
      </c>
      <c r="V7957">
        <v>0</v>
      </c>
      <c r="W7957">
        <v>137</v>
      </c>
      <c r="X7957">
        <v>1435.915</v>
      </c>
      <c r="Y7957">
        <v>0</v>
      </c>
      <c r="Z7957">
        <v>138.19149999999999</v>
      </c>
      <c r="AA7957">
        <v>3</v>
      </c>
      <c r="AB7957">
        <v>13.36889</v>
      </c>
      <c r="AC7957">
        <v>2.1369909999999999E-2</v>
      </c>
      <c r="AD7957">
        <v>0.72899040000000004</v>
      </c>
      <c r="AE7957">
        <v>0.7355294</v>
      </c>
      <c r="AF7957">
        <v>24.321370000000002</v>
      </c>
      <c r="AG7957">
        <f>IFERROR(AH7957*0.1, "N/A")</f>
        <v>5.0268380000000006</v>
      </c>
      <c r="AH7957">
        <v>50.268380000000001</v>
      </c>
      <c r="AI7957">
        <v>136.05269999999999</v>
      </c>
      <c r="AJ7957">
        <v>24.268380000000001</v>
      </c>
      <c r="AK7957">
        <v>57</v>
      </c>
    </row>
    <row r="7958" spans="1:37" x14ac:dyDescent="0.3">
      <c r="A7958">
        <v>7957</v>
      </c>
      <c r="B7958">
        <v>46.4</v>
      </c>
      <c r="C7958">
        <v>-16.0839</v>
      </c>
      <c r="D7958">
        <v>12.085599999999999</v>
      </c>
      <c r="E7958">
        <f>-16.0839-12.0856</f>
        <v>-28.169499999999999</v>
      </c>
      <c r="F7958" t="s">
        <v>11930</v>
      </c>
      <c r="G7958" t="s">
        <v>39</v>
      </c>
      <c r="H7958">
        <v>1949</v>
      </c>
      <c r="I7958">
        <v>26.4</v>
      </c>
      <c r="J7958">
        <v>11.6</v>
      </c>
      <c r="K7958">
        <v>63</v>
      </c>
      <c r="L7958">
        <v>10.78</v>
      </c>
      <c r="M7958">
        <v>34.9</v>
      </c>
      <c r="N7958">
        <v>16.5</v>
      </c>
      <c r="O7958">
        <v>18.399999999999999</v>
      </c>
      <c r="P7958">
        <v>26.3</v>
      </c>
      <c r="Q7958">
        <v>25.5</v>
      </c>
      <c r="R7958">
        <v>27.6</v>
      </c>
      <c r="S7958">
        <v>24.8</v>
      </c>
      <c r="T7958">
        <v>1777.8610000000001</v>
      </c>
      <c r="U7958">
        <v>618</v>
      </c>
      <c r="V7958">
        <v>0</v>
      </c>
      <c r="W7958">
        <v>137</v>
      </c>
      <c r="X7958">
        <v>1436.721</v>
      </c>
      <c r="Y7958">
        <v>0</v>
      </c>
      <c r="Z7958">
        <v>138</v>
      </c>
      <c r="AA7958">
        <v>3</v>
      </c>
      <c r="AB7958">
        <v>3.7093539999999998</v>
      </c>
      <c r="AC7958">
        <v>2.6792779999999999E-2</v>
      </c>
      <c r="AD7958">
        <v>0.79072410000000004</v>
      </c>
      <c r="AE7958">
        <v>0.69404399999999999</v>
      </c>
      <c r="AF7958">
        <v>21.94388</v>
      </c>
      <c r="AG7958">
        <f>IFERROR(AH7958*0.1, "N/A")</f>
        <v>4.8142860000000001</v>
      </c>
      <c r="AH7958">
        <v>48.142859999999999</v>
      </c>
      <c r="AI7958">
        <v>170.64070000000001</v>
      </c>
      <c r="AJ7958">
        <v>26.071429999999999</v>
      </c>
      <c r="AK7958">
        <v>56.86054</v>
      </c>
    </row>
    <row r="7959" spans="1:37" x14ac:dyDescent="0.3">
      <c r="A7959">
        <v>7958</v>
      </c>
      <c r="B7959">
        <v>61.8</v>
      </c>
      <c r="C7959">
        <v>-16.074200000000001</v>
      </c>
      <c r="D7959">
        <v>12.1</v>
      </c>
      <c r="E7959">
        <f>-16.0742-12.1</f>
        <v>-28.174199999999999</v>
      </c>
      <c r="F7959" t="s">
        <v>11931</v>
      </c>
      <c r="G7959" t="s">
        <v>39</v>
      </c>
      <c r="H7959">
        <v>1949</v>
      </c>
      <c r="I7959">
        <v>26.526579999999999</v>
      </c>
      <c r="J7959">
        <v>11.6</v>
      </c>
      <c r="K7959">
        <v>62</v>
      </c>
      <c r="L7959">
        <v>11.05392</v>
      </c>
      <c r="M7959">
        <v>35.026580000000003</v>
      </c>
      <c r="N7959">
        <v>16.5</v>
      </c>
      <c r="O7959">
        <v>18.526579999999999</v>
      </c>
      <c r="P7959">
        <v>26.4</v>
      </c>
      <c r="Q7959">
        <v>25.626580000000001</v>
      </c>
      <c r="R7959">
        <v>27.7</v>
      </c>
      <c r="S7959">
        <v>24.9</v>
      </c>
      <c r="T7959">
        <v>1759.5450000000001</v>
      </c>
      <c r="U7959">
        <v>612.93700000000001</v>
      </c>
      <c r="V7959">
        <v>0</v>
      </c>
      <c r="W7959">
        <v>138</v>
      </c>
      <c r="X7959">
        <v>1419.6079999999999</v>
      </c>
      <c r="Y7959">
        <v>0</v>
      </c>
      <c r="Z7959">
        <v>137.73419999999999</v>
      </c>
      <c r="AA7959">
        <v>3</v>
      </c>
      <c r="AB7959">
        <v>14.32044</v>
      </c>
      <c r="AC7959">
        <v>3.410175E-2</v>
      </c>
      <c r="AD7959">
        <v>1.418955</v>
      </c>
      <c r="AE7959">
        <v>0.73129820000000001</v>
      </c>
      <c r="AF7959">
        <v>15.936970000000001</v>
      </c>
      <c r="AG7959">
        <f>IFERROR(AH7959*0.1, "N/A")</f>
        <v>4.8112440000000003</v>
      </c>
      <c r="AH7959">
        <v>48.112439999999999</v>
      </c>
      <c r="AI7959">
        <v>73.087900000000005</v>
      </c>
      <c r="AJ7959">
        <v>23</v>
      </c>
      <c r="AK7959">
        <v>57.943779999999997</v>
      </c>
    </row>
    <row r="7960" spans="1:37" x14ac:dyDescent="0.3">
      <c r="A7960">
        <v>7959</v>
      </c>
      <c r="B7960">
        <v>2</v>
      </c>
      <c r="C7960">
        <v>-16.05</v>
      </c>
      <c r="D7960">
        <v>12.1</v>
      </c>
      <c r="E7960">
        <f>-16.049999-12.1</f>
        <v>-28.149999000000001</v>
      </c>
      <c r="F7960" t="s">
        <v>11932</v>
      </c>
      <c r="G7960" t="s">
        <v>39</v>
      </c>
      <c r="H7960">
        <v>1949</v>
      </c>
      <c r="I7960">
        <v>26.420919999999999</v>
      </c>
      <c r="J7960">
        <v>11.6</v>
      </c>
      <c r="K7960">
        <v>62</v>
      </c>
      <c r="L7960">
        <v>11.00187</v>
      </c>
      <c r="M7960">
        <v>34.920920000000002</v>
      </c>
      <c r="N7960">
        <v>16.420919999999999</v>
      </c>
      <c r="O7960">
        <v>18.5</v>
      </c>
      <c r="P7960">
        <v>26.320920000000001</v>
      </c>
      <c r="Q7960">
        <v>25.52092</v>
      </c>
      <c r="R7960">
        <v>27.6</v>
      </c>
      <c r="S7960">
        <v>24.79439</v>
      </c>
      <c r="T7960">
        <v>1758.7159999999999</v>
      </c>
      <c r="U7960">
        <v>613.7296</v>
      </c>
      <c r="V7960">
        <v>0</v>
      </c>
      <c r="W7960">
        <v>137.52719999999999</v>
      </c>
      <c r="X7960">
        <v>1416.568</v>
      </c>
      <c r="Y7960">
        <v>0</v>
      </c>
      <c r="Z7960">
        <v>138.67859999999999</v>
      </c>
      <c r="AA7960">
        <v>3</v>
      </c>
      <c r="AB7960">
        <v>7.8972790000000002</v>
      </c>
      <c r="AC7960">
        <v>6.9153820000000005E-2</v>
      </c>
      <c r="AD7960">
        <v>2.6638389999999998</v>
      </c>
      <c r="AE7960">
        <v>0.64016150000000005</v>
      </c>
      <c r="AF7960">
        <v>15.63265</v>
      </c>
      <c r="AG7960">
        <f>IFERROR(AH7960*0.1, "N/A")</f>
        <v>4.6710880000000001</v>
      </c>
      <c r="AH7960">
        <v>46.710880000000003</v>
      </c>
      <c r="AI7960">
        <v>69.147599999999997</v>
      </c>
      <c r="AJ7960">
        <v>24.964289999999998</v>
      </c>
      <c r="AK7960">
        <v>58.015309999999999</v>
      </c>
    </row>
    <row r="7961" spans="1:37" x14ac:dyDescent="0.3">
      <c r="A7961">
        <v>7960</v>
      </c>
      <c r="B7961">
        <v>62.9</v>
      </c>
      <c r="C7961">
        <v>-16.051100000000002</v>
      </c>
      <c r="D7961">
        <v>12.1053</v>
      </c>
      <c r="E7961">
        <f>-16.0511-12.1053</f>
        <v>-28.156400000000001</v>
      </c>
      <c r="F7961" t="s">
        <v>11933</v>
      </c>
      <c r="G7961" t="s">
        <v>39</v>
      </c>
      <c r="H7961">
        <v>1949</v>
      </c>
      <c r="I7961">
        <v>26.4</v>
      </c>
      <c r="J7961">
        <v>11.6</v>
      </c>
      <c r="K7961">
        <v>62</v>
      </c>
      <c r="L7961">
        <v>11.1</v>
      </c>
      <c r="M7961">
        <v>34.9</v>
      </c>
      <c r="N7961">
        <v>16.399999999999999</v>
      </c>
      <c r="O7961">
        <v>18.5</v>
      </c>
      <c r="P7961">
        <v>26.3</v>
      </c>
      <c r="Q7961">
        <v>25.5</v>
      </c>
      <c r="R7961">
        <v>27.6</v>
      </c>
      <c r="S7961">
        <v>24.7</v>
      </c>
      <c r="T7961">
        <v>1750</v>
      </c>
      <c r="U7961">
        <v>611</v>
      </c>
      <c r="V7961">
        <v>0</v>
      </c>
      <c r="W7961">
        <v>138</v>
      </c>
      <c r="X7961">
        <v>1411</v>
      </c>
      <c r="Y7961">
        <v>0</v>
      </c>
      <c r="Z7961">
        <v>137</v>
      </c>
      <c r="AA7961">
        <v>3</v>
      </c>
      <c r="AB7961">
        <v>20.085149999999999</v>
      </c>
      <c r="AC7961">
        <v>8.6611239999999992E-3</v>
      </c>
      <c r="AD7961">
        <v>1.6920630000000001</v>
      </c>
      <c r="AE7961">
        <v>0.63520379999999999</v>
      </c>
      <c r="AF7961">
        <v>25.365189999999998</v>
      </c>
      <c r="AG7961">
        <f>IFERROR(AH7961*0.1, "N/A")</f>
        <v>4.7796930000000009</v>
      </c>
      <c r="AH7961">
        <v>47.796930000000003</v>
      </c>
      <c r="AI7961">
        <v>203.9289</v>
      </c>
      <c r="AJ7961">
        <v>25.406140000000001</v>
      </c>
      <c r="AK7961">
        <v>59.593859999999999</v>
      </c>
    </row>
    <row r="7962" spans="1:37" x14ac:dyDescent="0.3">
      <c r="A7962">
        <v>7961</v>
      </c>
      <c r="B7962">
        <v>33.299999999999997</v>
      </c>
      <c r="C7962">
        <v>-16.116099999999999</v>
      </c>
      <c r="D7962">
        <v>12.105600000000001</v>
      </c>
      <c r="E7962">
        <f>-16.1161-12.1056</f>
        <v>-28.221699999999998</v>
      </c>
      <c r="F7962" t="s">
        <v>11934</v>
      </c>
      <c r="G7962" t="s">
        <v>39</v>
      </c>
      <c r="H7962">
        <v>1949</v>
      </c>
      <c r="I7962">
        <v>26.414359999999999</v>
      </c>
      <c r="J7962">
        <v>11.7</v>
      </c>
      <c r="K7962">
        <v>62</v>
      </c>
      <c r="L7962">
        <v>10.97354</v>
      </c>
      <c r="M7962">
        <v>35.014360000000003</v>
      </c>
      <c r="N7962">
        <v>16.40718</v>
      </c>
      <c r="O7962">
        <v>18.60718</v>
      </c>
      <c r="P7962">
        <v>26.307179999999999</v>
      </c>
      <c r="Q7962">
        <v>25.51436</v>
      </c>
      <c r="R7962">
        <v>27.60718</v>
      </c>
      <c r="S7962">
        <v>24.807179999999999</v>
      </c>
      <c r="T7962">
        <v>1754.856</v>
      </c>
      <c r="U7962">
        <v>607.85640000000001</v>
      </c>
      <c r="V7962">
        <v>0</v>
      </c>
      <c r="W7962">
        <v>137.9282</v>
      </c>
      <c r="X7962">
        <v>1420.9280000000001</v>
      </c>
      <c r="Y7962">
        <v>0</v>
      </c>
      <c r="Z7962">
        <v>136</v>
      </c>
      <c r="AA7962">
        <v>3</v>
      </c>
      <c r="AB7962">
        <v>9.8025640000000003</v>
      </c>
      <c r="AC7962">
        <v>1.333547E-2</v>
      </c>
      <c r="AD7962">
        <v>1.676496</v>
      </c>
      <c r="AE7962">
        <v>0.48923850000000002</v>
      </c>
      <c r="AF7962">
        <v>16.249569999999999</v>
      </c>
      <c r="AG7962">
        <f>IFERROR(AH7962*0.1, "N/A")</f>
        <v>5.0353850000000007</v>
      </c>
      <c r="AH7962">
        <v>50.353850000000001</v>
      </c>
      <c r="AI7962">
        <v>273.39249999999998</v>
      </c>
      <c r="AJ7962">
        <v>23.668379999999999</v>
      </c>
      <c r="AK7962">
        <v>62.673499999999997</v>
      </c>
    </row>
    <row r="7963" spans="1:37" x14ac:dyDescent="0.3">
      <c r="A7963">
        <v>7962</v>
      </c>
      <c r="B7963">
        <v>21.4</v>
      </c>
      <c r="C7963">
        <v>-16.083300000000001</v>
      </c>
      <c r="D7963">
        <v>12.1167</v>
      </c>
      <c r="E7963">
        <f>-16.0833-12.1167</f>
        <v>-28.200000000000003</v>
      </c>
      <c r="F7963" t="s">
        <v>11935</v>
      </c>
      <c r="G7963" t="s">
        <v>39</v>
      </c>
      <c r="H7963">
        <v>1949</v>
      </c>
      <c r="I7963">
        <v>26.491990000000001</v>
      </c>
      <c r="J7963">
        <v>11.7</v>
      </c>
      <c r="K7963">
        <v>62</v>
      </c>
      <c r="L7963">
        <v>11.083080000000001</v>
      </c>
      <c r="M7963">
        <v>35.091990000000003</v>
      </c>
      <c r="N7963">
        <v>16.411069999999999</v>
      </c>
      <c r="O7963">
        <v>18.68092</v>
      </c>
      <c r="P7963">
        <v>26.348210000000002</v>
      </c>
      <c r="Q7963">
        <v>25.591989999999999</v>
      </c>
      <c r="R7963">
        <v>27.711069999999999</v>
      </c>
      <c r="S7963">
        <v>24.811070000000001</v>
      </c>
      <c r="T7963">
        <v>1732.9590000000001</v>
      </c>
      <c r="U7963">
        <v>602.83479999999997</v>
      </c>
      <c r="V7963">
        <v>0</v>
      </c>
      <c r="W7963">
        <v>137</v>
      </c>
      <c r="X7963">
        <v>1400.165</v>
      </c>
      <c r="Y7963">
        <v>0</v>
      </c>
      <c r="Z7963">
        <v>135.3015</v>
      </c>
      <c r="AA7963">
        <v>3</v>
      </c>
      <c r="AB7963">
        <v>16.717379999999999</v>
      </c>
      <c r="AC7963">
        <v>1.186511E-2</v>
      </c>
      <c r="AD7963">
        <v>1.8679399999999999</v>
      </c>
      <c r="AE7963">
        <v>0.65926629999999997</v>
      </c>
      <c r="AF7963">
        <v>25.250430000000001</v>
      </c>
      <c r="AG7963">
        <f>IFERROR(AH7963*0.1, "N/A")</f>
        <v>5.0371380000000006</v>
      </c>
      <c r="AH7963">
        <v>50.371380000000002</v>
      </c>
      <c r="AI7963">
        <v>131.53370000000001</v>
      </c>
      <c r="AJ7963">
        <v>26.371379999999998</v>
      </c>
      <c r="AK7963">
        <v>57.628619999999998</v>
      </c>
    </row>
    <row r="7964" spans="1:37" x14ac:dyDescent="0.3">
      <c r="A7964">
        <v>7963</v>
      </c>
      <c r="B7964">
        <v>66.7</v>
      </c>
      <c r="C7964">
        <v>-14.916700000000001</v>
      </c>
      <c r="D7964">
        <v>12.1167</v>
      </c>
      <c r="E7964">
        <f>-14.9167-12.1167</f>
        <v>-27.0334</v>
      </c>
      <c r="F7964" t="s">
        <v>11936</v>
      </c>
      <c r="G7964" t="s">
        <v>39</v>
      </c>
      <c r="H7964">
        <v>1951</v>
      </c>
      <c r="I7964">
        <v>26.844480000000001</v>
      </c>
      <c r="J7964">
        <v>11.425470000000001</v>
      </c>
      <c r="K7964">
        <v>58</v>
      </c>
      <c r="L7964">
        <v>15.33954</v>
      </c>
      <c r="M7964">
        <v>36.04448</v>
      </c>
      <c r="N7964">
        <v>16.464179999999999</v>
      </c>
      <c r="O7964">
        <v>19.580310000000001</v>
      </c>
      <c r="P7964">
        <v>26.26418</v>
      </c>
      <c r="Q7964">
        <v>26.289639999999999</v>
      </c>
      <c r="R7964">
        <v>28.689640000000001</v>
      </c>
      <c r="S7964">
        <v>24.989640000000001</v>
      </c>
      <c r="T7964">
        <v>1558.1780000000001</v>
      </c>
      <c r="U7964">
        <v>479.98809999999997</v>
      </c>
      <c r="V7964">
        <v>0</v>
      </c>
      <c r="W7964">
        <v>125.8964</v>
      </c>
      <c r="X7964">
        <v>1167.8320000000001</v>
      </c>
      <c r="Y7964">
        <v>0</v>
      </c>
      <c r="Z7964">
        <v>30</v>
      </c>
      <c r="AA7964">
        <v>26.641770000000001</v>
      </c>
      <c r="AB7964">
        <v>7.8188449999999996</v>
      </c>
      <c r="AC7964">
        <v>2.8192310000000002E-2</v>
      </c>
      <c r="AD7964">
        <v>2.1596160000000002</v>
      </c>
      <c r="AE7964">
        <v>0.6867567</v>
      </c>
      <c r="AF7964">
        <v>25.045839999999998</v>
      </c>
      <c r="AG7964">
        <f>IFERROR(AH7964*0.1, "N/A")</f>
        <v>6.2074700000000007</v>
      </c>
      <c r="AH7964">
        <v>62.0747</v>
      </c>
      <c r="AI7964">
        <v>237.2243</v>
      </c>
      <c r="AJ7964">
        <v>23.716470000000001</v>
      </c>
      <c r="AK7964">
        <v>59.567059999999998</v>
      </c>
    </row>
    <row r="7965" spans="1:37" x14ac:dyDescent="0.3">
      <c r="A7965">
        <v>7964</v>
      </c>
      <c r="B7965">
        <v>10</v>
      </c>
      <c r="C7965">
        <v>-14.666700000000001</v>
      </c>
      <c r="D7965">
        <v>12.166700000000001</v>
      </c>
      <c r="E7965">
        <f>-14.6667-12.1667</f>
        <v>-26.833400000000001</v>
      </c>
      <c r="F7965" t="s">
        <v>11937</v>
      </c>
      <c r="G7965" t="s">
        <v>39</v>
      </c>
      <c r="H7965">
        <v>1951</v>
      </c>
      <c r="I7965">
        <v>27.172450000000001</v>
      </c>
      <c r="J7965">
        <v>12.1</v>
      </c>
      <c r="K7965">
        <v>56</v>
      </c>
      <c r="L7965">
        <v>18.858740000000001</v>
      </c>
      <c r="M7965">
        <v>37.42109</v>
      </c>
      <c r="N7965">
        <v>15.844900000000001</v>
      </c>
      <c r="O7965">
        <v>21.57619</v>
      </c>
      <c r="P7965">
        <v>26.344899999999999</v>
      </c>
      <c r="Q7965">
        <v>26.872450000000001</v>
      </c>
      <c r="R7965">
        <v>29.5898</v>
      </c>
      <c r="S7965">
        <v>24.972449999999998</v>
      </c>
      <c r="T7965">
        <v>1428.864</v>
      </c>
      <c r="U7965">
        <v>414.72449999999998</v>
      </c>
      <c r="V7965">
        <v>0</v>
      </c>
      <c r="W7965">
        <v>123</v>
      </c>
      <c r="X7965">
        <v>1053.7239999999999</v>
      </c>
      <c r="Y7965">
        <v>1</v>
      </c>
      <c r="Z7965">
        <v>30.724489999999999</v>
      </c>
      <c r="AA7965">
        <v>18.724489999999999</v>
      </c>
      <c r="AB7965">
        <v>2.5639460000000001</v>
      </c>
      <c r="AC7965">
        <v>2.32873E-2</v>
      </c>
      <c r="AD7965">
        <v>1.7409349999999999</v>
      </c>
      <c r="AE7965">
        <v>0.66373579999999999</v>
      </c>
      <c r="AF7965">
        <v>1.1088439999999999</v>
      </c>
      <c r="AG7965">
        <f>IFERROR(AH7965*0.1, "N/A")</f>
        <v>6.5057820000000008</v>
      </c>
      <c r="AH7965">
        <v>65.057820000000007</v>
      </c>
      <c r="AI7965">
        <v>131.43629999999999</v>
      </c>
      <c r="AJ7965">
        <v>31</v>
      </c>
      <c r="AK7965">
        <v>42.176870000000001</v>
      </c>
    </row>
    <row r="7966" spans="1:37" x14ac:dyDescent="0.3">
      <c r="A7966">
        <v>7965</v>
      </c>
      <c r="B7966">
        <v>22.2</v>
      </c>
      <c r="C7966">
        <v>-14.7667</v>
      </c>
      <c r="D7966">
        <v>12.166700000000001</v>
      </c>
      <c r="E7966">
        <f>-14.7667-12.1667</f>
        <v>-26.933399999999999</v>
      </c>
      <c r="F7966" t="s">
        <v>11938</v>
      </c>
      <c r="G7966" t="s">
        <v>39</v>
      </c>
      <c r="H7966">
        <v>1951</v>
      </c>
      <c r="I7966">
        <v>27.06718</v>
      </c>
      <c r="J7966">
        <v>11.915480000000001</v>
      </c>
      <c r="K7966">
        <v>56</v>
      </c>
      <c r="L7966">
        <v>17.764880000000002</v>
      </c>
      <c r="M7966">
        <v>36.98265</v>
      </c>
      <c r="N7966">
        <v>15.973979999999999</v>
      </c>
      <c r="O7966">
        <v>21.008669999999999</v>
      </c>
      <c r="P7966">
        <v>26.348299999999998</v>
      </c>
      <c r="Q7966">
        <v>26.618880000000001</v>
      </c>
      <c r="R7966">
        <v>29.28265</v>
      </c>
      <c r="S7966">
        <v>24.937750000000001</v>
      </c>
      <c r="T7966">
        <v>1461.57</v>
      </c>
      <c r="U7966">
        <v>434.05270000000002</v>
      </c>
      <c r="V7966">
        <v>0</v>
      </c>
      <c r="W7966">
        <v>124.483</v>
      </c>
      <c r="X7966">
        <v>1086.6559999999999</v>
      </c>
      <c r="Y7966">
        <v>1</v>
      </c>
      <c r="Z7966">
        <v>30</v>
      </c>
      <c r="AA7966">
        <v>20.36224</v>
      </c>
      <c r="AB7966">
        <v>16.312760000000001</v>
      </c>
      <c r="AC7966">
        <v>8.4107950000000001E-2</v>
      </c>
      <c r="AD7966">
        <v>2.1507589999999999</v>
      </c>
      <c r="AE7966">
        <v>0.66578910000000002</v>
      </c>
      <c r="AF7966">
        <v>26.622450000000001</v>
      </c>
      <c r="AG7966">
        <f>IFERROR(AH7966*0.1, "N/A")</f>
        <v>6.2343539999999997</v>
      </c>
      <c r="AH7966">
        <v>62.343539999999997</v>
      </c>
      <c r="AI7966">
        <v>154.93969999999999</v>
      </c>
      <c r="AJ7966">
        <v>27.656459999999999</v>
      </c>
      <c r="AK7966">
        <v>50.343539999999997</v>
      </c>
    </row>
    <row r="7967" spans="1:37" x14ac:dyDescent="0.3">
      <c r="A7967">
        <v>7966</v>
      </c>
      <c r="B7967">
        <v>7.7</v>
      </c>
      <c r="C7967">
        <v>-14.666700000000001</v>
      </c>
      <c r="D7967">
        <v>12.1678</v>
      </c>
      <c r="E7967">
        <f>-14.6667-12.1678</f>
        <v>-26.834499999999998</v>
      </c>
      <c r="F7967" t="s">
        <v>11939</v>
      </c>
      <c r="G7967" t="s">
        <v>39</v>
      </c>
      <c r="H7967">
        <v>1951</v>
      </c>
      <c r="I7967">
        <v>27.140989999999999</v>
      </c>
      <c r="J7967">
        <v>12.1</v>
      </c>
      <c r="K7967">
        <v>56</v>
      </c>
      <c r="L7967">
        <v>18.94951</v>
      </c>
      <c r="M7967">
        <v>37.381970000000003</v>
      </c>
      <c r="N7967">
        <v>15.781969999999999</v>
      </c>
      <c r="O7967">
        <v>21.6</v>
      </c>
      <c r="P7967">
        <v>26.281970000000001</v>
      </c>
      <c r="Q7967">
        <v>26.840990000000001</v>
      </c>
      <c r="R7967">
        <v>29.581969999999998</v>
      </c>
      <c r="S7967">
        <v>24.940989999999999</v>
      </c>
      <c r="T7967">
        <v>1422.0989999999999</v>
      </c>
      <c r="U7967">
        <v>412.04930000000002</v>
      </c>
      <c r="V7967">
        <v>0</v>
      </c>
      <c r="W7967">
        <v>123</v>
      </c>
      <c r="X7967">
        <v>1048.6890000000001</v>
      </c>
      <c r="Y7967">
        <v>1</v>
      </c>
      <c r="Z7967">
        <v>30.409859999999998</v>
      </c>
      <c r="AA7967">
        <v>18.409859999999998</v>
      </c>
      <c r="AB7967">
        <v>4.6911569999999996</v>
      </c>
      <c r="AC7967">
        <v>2.8504809999999998E-2</v>
      </c>
      <c r="AD7967">
        <v>2.54122</v>
      </c>
      <c r="AE7967">
        <v>0.66389350000000003</v>
      </c>
      <c r="AF7967">
        <v>4.0765310000000001</v>
      </c>
      <c r="AG7967">
        <f>IFERROR(AH7967*0.1, "N/A")</f>
        <v>6.4641160000000006</v>
      </c>
      <c r="AH7967">
        <v>64.641159999999999</v>
      </c>
      <c r="AI7967">
        <v>192.89250000000001</v>
      </c>
      <c r="AJ7967">
        <v>30.5</v>
      </c>
      <c r="AK7967">
        <v>42.93027</v>
      </c>
    </row>
    <row r="7968" spans="1:37" x14ac:dyDescent="0.3">
      <c r="A7968">
        <v>7967</v>
      </c>
      <c r="B7968">
        <v>66.7</v>
      </c>
      <c r="C7968">
        <v>-14.95</v>
      </c>
      <c r="D7968">
        <v>12.183299999999999</v>
      </c>
      <c r="E7968">
        <f>-14.95-12.1833</f>
        <v>-27.133299999999998</v>
      </c>
      <c r="F7968" t="s">
        <v>11940</v>
      </c>
      <c r="G7968" t="s">
        <v>39</v>
      </c>
      <c r="H7968">
        <v>1951</v>
      </c>
      <c r="I7968">
        <v>26.87942</v>
      </c>
      <c r="J7968">
        <v>11.684519999999999</v>
      </c>
      <c r="K7968">
        <v>57.205779999999997</v>
      </c>
      <c r="L7968">
        <v>15.79983</v>
      </c>
      <c r="M7968">
        <v>36.34337</v>
      </c>
      <c r="N7968">
        <v>16.2</v>
      </c>
      <c r="O7968">
        <v>20.143370000000001</v>
      </c>
      <c r="P7968">
        <v>26.348980000000001</v>
      </c>
      <c r="Q7968">
        <v>26.279419999999998</v>
      </c>
      <c r="R7968">
        <v>28.858840000000001</v>
      </c>
      <c r="S7968">
        <v>24.979420000000001</v>
      </c>
      <c r="T7968">
        <v>1509.6510000000001</v>
      </c>
      <c r="U7968">
        <v>468.26190000000003</v>
      </c>
      <c r="V7968">
        <v>0</v>
      </c>
      <c r="W7968">
        <v>126</v>
      </c>
      <c r="X7968">
        <v>1135.0340000000001</v>
      </c>
      <c r="Y7968">
        <v>0</v>
      </c>
      <c r="Z7968">
        <v>30</v>
      </c>
      <c r="AA7968">
        <v>26</v>
      </c>
      <c r="AB7968">
        <v>24.078399999999998</v>
      </c>
      <c r="AC7968">
        <v>5.0225880000000001E-2</v>
      </c>
      <c r="AD7968">
        <v>1.5795889999999999</v>
      </c>
      <c r="AE7968">
        <v>0.67771939999999997</v>
      </c>
      <c r="AF7968">
        <v>33.491500000000002</v>
      </c>
      <c r="AG7968">
        <f>IFERROR(AH7968*0.1, "N/A")</f>
        <v>5.3450680000000004</v>
      </c>
      <c r="AH7968">
        <v>53.450679999999998</v>
      </c>
      <c r="AI7968">
        <v>78.891580000000005</v>
      </c>
      <c r="AJ7968">
        <v>23.90136</v>
      </c>
      <c r="AK7968">
        <v>57.780610000000003</v>
      </c>
    </row>
    <row r="7969" spans="1:37" x14ac:dyDescent="0.3">
      <c r="A7969">
        <v>7968</v>
      </c>
      <c r="B7969">
        <v>16.7</v>
      </c>
      <c r="C7969">
        <v>-14.6333</v>
      </c>
      <c r="D7969">
        <v>12.2</v>
      </c>
      <c r="E7969">
        <f>-14.6333-12.2</f>
        <v>-26.833300000000001</v>
      </c>
      <c r="F7969" t="s">
        <v>11941</v>
      </c>
      <c r="G7969" t="s">
        <v>39</v>
      </c>
      <c r="H7969">
        <v>1951</v>
      </c>
      <c r="I7969">
        <v>26.963730000000002</v>
      </c>
      <c r="J7969">
        <v>12.286099999999999</v>
      </c>
      <c r="K7969">
        <v>55</v>
      </c>
      <c r="L7969">
        <v>19.34742</v>
      </c>
      <c r="M7969">
        <v>37.4</v>
      </c>
      <c r="N7969">
        <v>15.4139</v>
      </c>
      <c r="O7969">
        <v>21.9861</v>
      </c>
      <c r="P7969">
        <v>26.2</v>
      </c>
      <c r="Q7969">
        <v>26.613900000000001</v>
      </c>
      <c r="R7969">
        <v>29.463730000000002</v>
      </c>
      <c r="S7969">
        <v>24.7</v>
      </c>
      <c r="T7969">
        <v>1412.4580000000001</v>
      </c>
      <c r="U7969">
        <v>409.72879999999998</v>
      </c>
      <c r="V7969">
        <v>0</v>
      </c>
      <c r="W7969">
        <v>123.3627</v>
      </c>
      <c r="X7969">
        <v>1040.5930000000001</v>
      </c>
      <c r="Y7969">
        <v>1</v>
      </c>
      <c r="Z7969">
        <v>32</v>
      </c>
      <c r="AA7969">
        <v>17</v>
      </c>
      <c r="AB7969">
        <v>12.5922</v>
      </c>
      <c r="AC7969">
        <v>1.9366330000000001E-2</v>
      </c>
      <c r="AD7969">
        <v>1.7683819999999999</v>
      </c>
      <c r="AE7969">
        <v>0.66820690000000005</v>
      </c>
      <c r="AF7969">
        <v>38.442369999999997</v>
      </c>
      <c r="AG7969">
        <f>IFERROR(AH7969*0.1, "N/A")</f>
        <v>6.6000000000000005</v>
      </c>
      <c r="AH7969">
        <v>66</v>
      </c>
      <c r="AI7969">
        <v>207.3963</v>
      </c>
      <c r="AJ7969">
        <v>29.457630000000002</v>
      </c>
      <c r="AK7969">
        <v>49.542369999999998</v>
      </c>
    </row>
    <row r="7970" spans="1:37" x14ac:dyDescent="0.3">
      <c r="A7970">
        <v>7969</v>
      </c>
      <c r="B7970">
        <v>22.2</v>
      </c>
      <c r="C7970">
        <v>-15.197699999999999</v>
      </c>
      <c r="D7970">
        <v>12.246499999999999</v>
      </c>
      <c r="E7970">
        <f>-15.1977-12.2465</f>
        <v>-27.444199999999999</v>
      </c>
      <c r="F7970" t="s">
        <v>11942</v>
      </c>
      <c r="G7970" t="s">
        <v>39</v>
      </c>
      <c r="H7970">
        <v>1951</v>
      </c>
      <c r="I7970">
        <v>26.6</v>
      </c>
      <c r="J7970">
        <v>11.7</v>
      </c>
      <c r="K7970">
        <v>59</v>
      </c>
      <c r="L7970">
        <v>14.68</v>
      </c>
      <c r="M7970">
        <v>35.799999999999997</v>
      </c>
      <c r="N7970">
        <v>16</v>
      </c>
      <c r="O7970">
        <v>19.8</v>
      </c>
      <c r="P7970">
        <v>26.2</v>
      </c>
      <c r="Q7970">
        <v>25.9</v>
      </c>
      <c r="R7970">
        <v>28.4</v>
      </c>
      <c r="S7970">
        <v>24.8</v>
      </c>
      <c r="T7970">
        <v>1502</v>
      </c>
      <c r="U7970">
        <v>489</v>
      </c>
      <c r="V7970">
        <v>0</v>
      </c>
      <c r="W7970">
        <v>128</v>
      </c>
      <c r="X7970">
        <v>1144</v>
      </c>
      <c r="Y7970">
        <v>0</v>
      </c>
      <c r="Z7970">
        <v>175</v>
      </c>
      <c r="AA7970">
        <v>4</v>
      </c>
      <c r="AB7970">
        <v>12.10425</v>
      </c>
      <c r="AC7970">
        <v>4.4173480000000001E-2</v>
      </c>
      <c r="AD7970">
        <v>2.203948</v>
      </c>
      <c r="AE7970">
        <v>0.69275900000000001</v>
      </c>
      <c r="AF7970">
        <v>32.988100000000003</v>
      </c>
      <c r="AG7970">
        <f>IFERROR(AH7970*0.1, "N/A")</f>
        <v>5.9947280000000003</v>
      </c>
      <c r="AH7970">
        <v>59.947279999999999</v>
      </c>
      <c r="AI7970">
        <v>305.31200000000001</v>
      </c>
      <c r="AJ7970">
        <v>22.857140000000001</v>
      </c>
      <c r="AK7970">
        <v>60.688780000000001</v>
      </c>
    </row>
    <row r="7971" spans="1:37" x14ac:dyDescent="0.3">
      <c r="A7971">
        <v>7970</v>
      </c>
      <c r="B7971">
        <v>7</v>
      </c>
      <c r="C7971">
        <v>-15.5847</v>
      </c>
      <c r="D7971">
        <v>12.2506</v>
      </c>
      <c r="E7971">
        <f>-15.5847-12.2506</f>
        <v>-27.8353</v>
      </c>
      <c r="F7971" t="s">
        <v>11943</v>
      </c>
      <c r="G7971" t="s">
        <v>39</v>
      </c>
      <c r="H7971">
        <v>1951</v>
      </c>
      <c r="I7971">
        <v>26.6</v>
      </c>
      <c r="J7971">
        <v>11.8</v>
      </c>
      <c r="K7971">
        <v>61.738460000000003</v>
      </c>
      <c r="L7971">
        <v>12.120150000000001</v>
      </c>
      <c r="M7971">
        <v>35.299999999999997</v>
      </c>
      <c r="N7971">
        <v>16.273849999999999</v>
      </c>
      <c r="O7971">
        <v>19.026150000000001</v>
      </c>
      <c r="P7971">
        <v>26.473849999999999</v>
      </c>
      <c r="Q7971">
        <v>25.8</v>
      </c>
      <c r="R7971">
        <v>28</v>
      </c>
      <c r="S7971">
        <v>24.873850000000001</v>
      </c>
      <c r="T7971">
        <v>1438.8309999999999</v>
      </c>
      <c r="U7971">
        <v>489.5231</v>
      </c>
      <c r="V7971">
        <v>0</v>
      </c>
      <c r="W7971">
        <v>133</v>
      </c>
      <c r="X7971">
        <v>1125.046</v>
      </c>
      <c r="Y7971">
        <v>0</v>
      </c>
      <c r="Z7971">
        <v>142.26150000000001</v>
      </c>
      <c r="AA7971">
        <v>4</v>
      </c>
      <c r="AB7971">
        <v>5.9410259999999999</v>
      </c>
      <c r="AC7971">
        <v>0.2286513</v>
      </c>
      <c r="AD7971">
        <v>1.6891590000000001</v>
      </c>
      <c r="AE7971">
        <v>0.3816947</v>
      </c>
      <c r="AF7971">
        <v>11.2547</v>
      </c>
      <c r="AG7971">
        <f>IFERROR(AH7971*0.1, "N/A")</f>
        <v>5.4</v>
      </c>
      <c r="AH7971">
        <v>54</v>
      </c>
      <c r="AI7971">
        <v>175.64519999999999</v>
      </c>
      <c r="AJ7971">
        <v>24.923079999999999</v>
      </c>
      <c r="AK7971">
        <v>60</v>
      </c>
    </row>
    <row r="7972" spans="1:37" x14ac:dyDescent="0.3">
      <c r="A7972">
        <v>7971</v>
      </c>
      <c r="B7972">
        <v>66.7</v>
      </c>
      <c r="C7972">
        <v>-14.55</v>
      </c>
      <c r="D7972">
        <v>12.316700000000001</v>
      </c>
      <c r="E7972">
        <f>-14.55-12.3167</f>
        <v>-26.866700000000002</v>
      </c>
      <c r="F7972" t="s">
        <v>11944</v>
      </c>
      <c r="G7972" t="s">
        <v>39</v>
      </c>
      <c r="H7972">
        <v>1951</v>
      </c>
      <c r="I7972">
        <v>26.8</v>
      </c>
      <c r="J7972">
        <v>12.7</v>
      </c>
      <c r="K7972">
        <v>54.566330000000001</v>
      </c>
      <c r="L7972">
        <v>20.311170000000001</v>
      </c>
      <c r="M7972">
        <v>37.799999999999997</v>
      </c>
      <c r="N7972">
        <v>14.756629999999999</v>
      </c>
      <c r="O7972">
        <v>23.043369999999999</v>
      </c>
      <c r="P7972">
        <v>26.1</v>
      </c>
      <c r="Q7972">
        <v>26.256630000000001</v>
      </c>
      <c r="R7972">
        <v>29.5</v>
      </c>
      <c r="S7972">
        <v>24.380099999999999</v>
      </c>
      <c r="T7972">
        <v>1403.2470000000001</v>
      </c>
      <c r="U7972">
        <v>417.76530000000002</v>
      </c>
      <c r="V7972">
        <v>0</v>
      </c>
      <c r="W7972">
        <v>124.28400000000001</v>
      </c>
      <c r="X7972">
        <v>1037.5309999999999</v>
      </c>
      <c r="Y7972">
        <v>0</v>
      </c>
      <c r="Z7972">
        <v>37.433669999999999</v>
      </c>
      <c r="AA7972">
        <v>15</v>
      </c>
      <c r="AB7972">
        <v>12.33554</v>
      </c>
      <c r="AC7972">
        <v>4.3479669999999998E-2</v>
      </c>
      <c r="AD7972">
        <v>1.609429</v>
      </c>
      <c r="AE7972">
        <v>0.4623449</v>
      </c>
      <c r="AF7972">
        <v>45.151359999999997</v>
      </c>
      <c r="AG7972">
        <f>IFERROR(AH7972*0.1, "N/A")</f>
        <v>6.1034010000000007</v>
      </c>
      <c r="AH7972">
        <v>61.034010000000002</v>
      </c>
      <c r="AI7972">
        <v>220.21469999999999</v>
      </c>
      <c r="AJ7972">
        <v>23</v>
      </c>
      <c r="AK7972">
        <v>51.06803</v>
      </c>
    </row>
    <row r="7973" spans="1:37" x14ac:dyDescent="0.3">
      <c r="A7973">
        <v>7972</v>
      </c>
      <c r="B7973">
        <v>7</v>
      </c>
      <c r="C7973">
        <v>-15.4802</v>
      </c>
      <c r="D7973">
        <v>12.3171</v>
      </c>
      <c r="E7973">
        <f>-15.4802-12.3171</f>
        <v>-27.7973</v>
      </c>
      <c r="F7973" t="s">
        <v>11945</v>
      </c>
      <c r="G7973" t="s">
        <v>39</v>
      </c>
      <c r="H7973">
        <v>1951</v>
      </c>
      <c r="I7973">
        <v>26.6</v>
      </c>
      <c r="J7973">
        <v>12</v>
      </c>
      <c r="K7973">
        <v>60</v>
      </c>
      <c r="L7973">
        <v>13.26327</v>
      </c>
      <c r="M7973">
        <v>35.6</v>
      </c>
      <c r="N7973">
        <v>15.824490000000001</v>
      </c>
      <c r="O7973">
        <v>19.775510000000001</v>
      </c>
      <c r="P7973">
        <v>26.324490000000001</v>
      </c>
      <c r="Q7973">
        <v>25.7</v>
      </c>
      <c r="R7973">
        <v>28.124490000000002</v>
      </c>
      <c r="S7973">
        <v>24.7</v>
      </c>
      <c r="T7973">
        <v>1394.4690000000001</v>
      </c>
      <c r="U7973">
        <v>465.4898</v>
      </c>
      <c r="V7973">
        <v>0</v>
      </c>
      <c r="W7973">
        <v>132</v>
      </c>
      <c r="X7973">
        <v>1089.98</v>
      </c>
      <c r="Y7973">
        <v>0</v>
      </c>
      <c r="Z7973">
        <v>142.2449</v>
      </c>
      <c r="AA7973">
        <v>3</v>
      </c>
      <c r="AB7973">
        <v>6.9702380000000002</v>
      </c>
      <c r="AC7973">
        <v>4.7330249999999997E-2</v>
      </c>
      <c r="AD7973">
        <v>1.448226</v>
      </c>
      <c r="AE7973">
        <v>0.69528069999999997</v>
      </c>
      <c r="AF7973">
        <v>33.095239999999997</v>
      </c>
      <c r="AG7973">
        <f>IFERROR(AH7973*0.1, "N/A")</f>
        <v>5.5909860000000009</v>
      </c>
      <c r="AH7973">
        <v>55.909860000000002</v>
      </c>
      <c r="AI7973">
        <v>44.862810000000003</v>
      </c>
      <c r="AJ7973">
        <v>22.090140000000002</v>
      </c>
      <c r="AK7973">
        <v>60.81973</v>
      </c>
    </row>
    <row r="7974" spans="1:37" x14ac:dyDescent="0.3">
      <c r="A7974">
        <v>7973</v>
      </c>
      <c r="B7974">
        <v>46.7</v>
      </c>
      <c r="C7974">
        <v>-14.5631</v>
      </c>
      <c r="D7974">
        <v>12.378299999999999</v>
      </c>
      <c r="E7974">
        <f>-14.5631-12.3783</f>
        <v>-26.941400000000002</v>
      </c>
      <c r="F7974" t="s">
        <v>11946</v>
      </c>
      <c r="G7974" t="s">
        <v>39</v>
      </c>
      <c r="H7974">
        <v>1951</v>
      </c>
      <c r="I7974">
        <v>27.1</v>
      </c>
      <c r="J7974">
        <v>12.9</v>
      </c>
      <c r="K7974">
        <v>55</v>
      </c>
      <c r="L7974">
        <v>20.45</v>
      </c>
      <c r="M7974">
        <v>38.1</v>
      </c>
      <c r="N7974">
        <v>14.7</v>
      </c>
      <c r="O7974">
        <v>23.4</v>
      </c>
      <c r="P7974">
        <v>26.4</v>
      </c>
      <c r="Q7974">
        <v>26.5</v>
      </c>
      <c r="R7974">
        <v>29.8</v>
      </c>
      <c r="S7974">
        <v>24.6</v>
      </c>
      <c r="T7974">
        <v>1374</v>
      </c>
      <c r="U7974">
        <v>412</v>
      </c>
      <c r="V7974">
        <v>0</v>
      </c>
      <c r="W7974">
        <v>125</v>
      </c>
      <c r="X7974">
        <v>1021</v>
      </c>
      <c r="Y7974">
        <v>0</v>
      </c>
      <c r="Z7974">
        <v>37</v>
      </c>
      <c r="AA7974">
        <v>14</v>
      </c>
      <c r="AB7974">
        <v>16.39762</v>
      </c>
      <c r="AC7974">
        <v>4.6998369999999998E-2</v>
      </c>
      <c r="AD7974">
        <v>1.419413</v>
      </c>
      <c r="AE7974">
        <v>0.68209839999999999</v>
      </c>
      <c r="AF7974">
        <v>18.73854</v>
      </c>
      <c r="AG7974">
        <f>IFERROR(AH7974*0.1, "N/A")</f>
        <v>6.4994910000000008</v>
      </c>
      <c r="AH7974">
        <v>64.994910000000004</v>
      </c>
      <c r="AI7974">
        <v>90.290989999999994</v>
      </c>
      <c r="AJ7974">
        <v>30.473680000000002</v>
      </c>
      <c r="AK7974">
        <v>43.147709999999996</v>
      </c>
    </row>
    <row r="7975" spans="1:37" x14ac:dyDescent="0.3">
      <c r="A7975">
        <v>7974</v>
      </c>
      <c r="B7975">
        <v>30</v>
      </c>
      <c r="C7975">
        <v>-15.2217</v>
      </c>
      <c r="D7975">
        <v>12.4839</v>
      </c>
      <c r="E7975">
        <f>-15.2217-12.4839</f>
        <v>-27.7056</v>
      </c>
      <c r="F7975" t="s">
        <v>11947</v>
      </c>
      <c r="G7975" t="s">
        <v>39</v>
      </c>
      <c r="H7975">
        <v>1951</v>
      </c>
      <c r="I7975">
        <v>27</v>
      </c>
      <c r="J7975">
        <v>12.9</v>
      </c>
      <c r="K7975">
        <v>58</v>
      </c>
      <c r="L7975">
        <v>16.559999999999999</v>
      </c>
      <c r="M7975">
        <v>37.1</v>
      </c>
      <c r="N7975">
        <v>15.1</v>
      </c>
      <c r="O7975">
        <v>22</v>
      </c>
      <c r="P7975">
        <v>26.7</v>
      </c>
      <c r="Q7975">
        <v>26.1</v>
      </c>
      <c r="R7975">
        <v>29.1</v>
      </c>
      <c r="S7975">
        <v>24.8</v>
      </c>
      <c r="T7975">
        <v>1256</v>
      </c>
      <c r="U7975">
        <v>397</v>
      </c>
      <c r="V7975">
        <v>0</v>
      </c>
      <c r="W7975">
        <v>131</v>
      </c>
      <c r="X7975">
        <v>980</v>
      </c>
      <c r="Y7975">
        <v>0</v>
      </c>
      <c r="Z7975">
        <v>137</v>
      </c>
      <c r="AA7975">
        <v>2</v>
      </c>
      <c r="AB7975">
        <v>3.0431240000000002</v>
      </c>
      <c r="AC7975">
        <v>1.703808</v>
      </c>
      <c r="AD7975">
        <v>2.3101379999999998</v>
      </c>
      <c r="AE7975">
        <v>0.45210660000000003</v>
      </c>
      <c r="AF7975">
        <v>2.8692700000000002</v>
      </c>
      <c r="AG7975">
        <f>IFERROR(AH7975*0.1, "N/A")</f>
        <v>5.2775889999999999</v>
      </c>
      <c r="AH7975">
        <v>52.775889999999997</v>
      </c>
      <c r="AI7975">
        <v>252.29949999999999</v>
      </c>
      <c r="AJ7975">
        <v>22.03735</v>
      </c>
      <c r="AK7975">
        <v>52.962649999999996</v>
      </c>
    </row>
    <row r="7976" spans="1:37" x14ac:dyDescent="0.3">
      <c r="A7976">
        <v>7975</v>
      </c>
      <c r="B7976">
        <v>33</v>
      </c>
      <c r="C7976">
        <v>-14.9</v>
      </c>
      <c r="D7976">
        <v>12.55</v>
      </c>
      <c r="E7976">
        <f>-14.9-12.55</f>
        <v>-27.450000000000003</v>
      </c>
      <c r="F7976" t="s">
        <v>11948</v>
      </c>
      <c r="G7976" t="s">
        <v>39</v>
      </c>
      <c r="H7976">
        <v>1951</v>
      </c>
      <c r="I7976">
        <v>26.898299999999999</v>
      </c>
      <c r="J7976">
        <v>13.3</v>
      </c>
      <c r="K7976">
        <v>56</v>
      </c>
      <c r="L7976">
        <v>19.75281</v>
      </c>
      <c r="M7976">
        <v>37.875259999999997</v>
      </c>
      <c r="N7976">
        <v>14.276949999999999</v>
      </c>
      <c r="O7976">
        <v>23.598310000000001</v>
      </c>
      <c r="P7976">
        <v>26.476949999999999</v>
      </c>
      <c r="Q7976">
        <v>26.07695</v>
      </c>
      <c r="R7976">
        <v>29.475249999999999</v>
      </c>
      <c r="S7976">
        <v>24.4</v>
      </c>
      <c r="T7976">
        <v>1249.473</v>
      </c>
      <c r="U7976">
        <v>378.55590000000001</v>
      </c>
      <c r="V7976">
        <v>0</v>
      </c>
      <c r="W7976">
        <v>127.23050000000001</v>
      </c>
      <c r="X7976">
        <v>954.11189999999999</v>
      </c>
      <c r="Y7976">
        <v>0</v>
      </c>
      <c r="Z7976">
        <v>154.5915</v>
      </c>
      <c r="AA7976">
        <v>12</v>
      </c>
      <c r="AB7976">
        <v>1.76678</v>
      </c>
      <c r="AC7976">
        <v>0.17871980000000001</v>
      </c>
      <c r="AD7976">
        <v>1.1687920000000001</v>
      </c>
      <c r="AE7976">
        <v>0.58949779999999996</v>
      </c>
      <c r="AF7976">
        <v>44.591529999999999</v>
      </c>
      <c r="AG7976">
        <f>IFERROR(AH7976*0.1, "N/A")</f>
        <v>6.1657630000000001</v>
      </c>
      <c r="AH7976">
        <v>61.657629999999997</v>
      </c>
      <c r="AI7976">
        <v>173.7012</v>
      </c>
      <c r="AJ7976">
        <v>22.99492</v>
      </c>
      <c r="AK7976">
        <v>61.923729999999999</v>
      </c>
    </row>
    <row r="7977" spans="1:37" x14ac:dyDescent="0.3">
      <c r="A7977">
        <v>7976</v>
      </c>
      <c r="B7977">
        <v>100</v>
      </c>
      <c r="C7977">
        <v>-15.033300000000001</v>
      </c>
      <c r="D7977">
        <v>12.6167</v>
      </c>
      <c r="E7977">
        <f>-15.0333-12.6167</f>
        <v>-27.65</v>
      </c>
      <c r="F7977" t="s">
        <v>11949</v>
      </c>
      <c r="G7977" t="s">
        <v>39</v>
      </c>
      <c r="H7977">
        <v>1951</v>
      </c>
      <c r="I7977">
        <v>26.981760000000001</v>
      </c>
      <c r="J7977">
        <v>13.5</v>
      </c>
      <c r="K7977">
        <v>56</v>
      </c>
      <c r="L7977">
        <v>19.453849999999999</v>
      </c>
      <c r="M7977">
        <v>38.003720000000001</v>
      </c>
      <c r="N7977">
        <v>14.141550000000001</v>
      </c>
      <c r="O7977">
        <v>23.862159999999999</v>
      </c>
      <c r="P7977">
        <v>26.612159999999999</v>
      </c>
      <c r="Q7977">
        <v>26.063510000000001</v>
      </c>
      <c r="R7977">
        <v>29.533110000000001</v>
      </c>
      <c r="S7977">
        <v>24.551349999999999</v>
      </c>
      <c r="T7977">
        <v>1199.5740000000001</v>
      </c>
      <c r="U7977">
        <v>365.3784</v>
      </c>
      <c r="V7977">
        <v>0</v>
      </c>
      <c r="W7977">
        <v>128.58449999999999</v>
      </c>
      <c r="X7977">
        <v>927.15880000000004</v>
      </c>
      <c r="Y7977">
        <v>0</v>
      </c>
      <c r="Z7977">
        <v>142.8176</v>
      </c>
      <c r="AA7977">
        <v>10</v>
      </c>
      <c r="AB7977">
        <v>10.46959</v>
      </c>
      <c r="AC7977">
        <v>2.6502299999999999E-2</v>
      </c>
      <c r="AD7977">
        <v>2.0846450000000001</v>
      </c>
      <c r="AE7977">
        <v>0.68268359999999995</v>
      </c>
      <c r="AF7977">
        <v>29.1723</v>
      </c>
      <c r="AG7977">
        <f>IFERROR(AH7977*0.1, "N/A")</f>
        <v>5.8000000000000007</v>
      </c>
      <c r="AH7977">
        <v>58</v>
      </c>
      <c r="AI7977">
        <v>135.6378</v>
      </c>
      <c r="AJ7977">
        <v>23.00676</v>
      </c>
      <c r="AK7977">
        <v>55.472969999999997</v>
      </c>
    </row>
    <row r="7978" spans="1:37" x14ac:dyDescent="0.3">
      <c r="A7978">
        <v>7977</v>
      </c>
      <c r="B7978">
        <v>100</v>
      </c>
      <c r="C7978">
        <v>-15.064500000000001</v>
      </c>
      <c r="D7978">
        <v>12.625500000000001</v>
      </c>
      <c r="E7978">
        <f>-15.0645-12.6255</f>
        <v>-27.69</v>
      </c>
      <c r="F7978" t="s">
        <v>11950</v>
      </c>
      <c r="G7978" t="s">
        <v>39</v>
      </c>
      <c r="H7978">
        <v>1951</v>
      </c>
      <c r="I7978">
        <v>27</v>
      </c>
      <c r="J7978">
        <v>13.593719999999999</v>
      </c>
      <c r="K7978">
        <v>56</v>
      </c>
      <c r="L7978">
        <v>19.338059999999999</v>
      </c>
      <c r="M7978">
        <v>38.087429999999998</v>
      </c>
      <c r="N7978">
        <v>14.10628</v>
      </c>
      <c r="O7978">
        <v>23.98115</v>
      </c>
      <c r="P7978">
        <v>26.606280000000002</v>
      </c>
      <c r="Q7978">
        <v>26</v>
      </c>
      <c r="R7978">
        <v>29.49372</v>
      </c>
      <c r="S7978">
        <v>24.593720000000001</v>
      </c>
      <c r="T7978">
        <v>1191.251</v>
      </c>
      <c r="U7978">
        <v>363.12560000000002</v>
      </c>
      <c r="V7978">
        <v>0</v>
      </c>
      <c r="W7978">
        <v>129</v>
      </c>
      <c r="X7978">
        <v>923.18849999999998</v>
      </c>
      <c r="Y7978">
        <v>0</v>
      </c>
      <c r="Z7978">
        <v>140</v>
      </c>
      <c r="AA7978">
        <v>10</v>
      </c>
      <c r="AB7978">
        <v>11.800850000000001</v>
      </c>
      <c r="AC7978">
        <v>1.4310069999999999E-2</v>
      </c>
      <c r="AD7978">
        <v>1.915319</v>
      </c>
      <c r="AE7978">
        <v>0.66150989999999998</v>
      </c>
      <c r="AF7978">
        <v>27.275040000000001</v>
      </c>
      <c r="AG7978">
        <f>IFERROR(AH7978*0.1, "N/A")</f>
        <v>5.2555180000000004</v>
      </c>
      <c r="AH7978">
        <v>52.55518</v>
      </c>
      <c r="AI7978">
        <v>63.793289999999999</v>
      </c>
      <c r="AJ7978">
        <v>21.589130000000001</v>
      </c>
      <c r="AK7978">
        <v>55.025469999999999</v>
      </c>
    </row>
    <row r="7979" spans="1:37" x14ac:dyDescent="0.3">
      <c r="A7979">
        <v>7978</v>
      </c>
      <c r="B7979">
        <v>100</v>
      </c>
      <c r="C7979">
        <v>-15.068300000000001</v>
      </c>
      <c r="D7979">
        <v>12.655799999999999</v>
      </c>
      <c r="E7979">
        <f>-15.0683-12.6558</f>
        <v>-27.7241</v>
      </c>
      <c r="F7979" t="s">
        <v>11951</v>
      </c>
      <c r="G7979" t="s">
        <v>39</v>
      </c>
      <c r="H7979">
        <v>1951</v>
      </c>
      <c r="I7979">
        <v>27</v>
      </c>
      <c r="J7979">
        <v>13.6</v>
      </c>
      <c r="K7979">
        <v>56</v>
      </c>
      <c r="L7979">
        <v>19.579999999999998</v>
      </c>
      <c r="M7979">
        <v>38.1</v>
      </c>
      <c r="N7979">
        <v>14.1</v>
      </c>
      <c r="O7979">
        <v>24</v>
      </c>
      <c r="P7979">
        <v>26.6</v>
      </c>
      <c r="Q7979">
        <v>26</v>
      </c>
      <c r="R7979">
        <v>29.6</v>
      </c>
      <c r="S7979">
        <v>24.5</v>
      </c>
      <c r="T7979">
        <v>1176</v>
      </c>
      <c r="U7979">
        <v>358</v>
      </c>
      <c r="V7979">
        <v>0</v>
      </c>
      <c r="W7979">
        <v>129</v>
      </c>
      <c r="X7979">
        <v>913</v>
      </c>
      <c r="Y7979">
        <v>0</v>
      </c>
      <c r="Z7979">
        <v>138</v>
      </c>
      <c r="AA7979">
        <v>9</v>
      </c>
      <c r="AB7979">
        <v>4.15313</v>
      </c>
      <c r="AC7979">
        <v>2.1074299999999999</v>
      </c>
      <c r="AD7979">
        <v>1.7577689999999999</v>
      </c>
      <c r="AE7979">
        <v>0.6804694</v>
      </c>
      <c r="AF7979">
        <v>33.314720000000001</v>
      </c>
      <c r="AG7979">
        <f>IFERROR(AH7979*0.1, "N/A")</f>
        <v>5.511337000000001</v>
      </c>
      <c r="AH7979">
        <v>55.113370000000003</v>
      </c>
      <c r="AI7979">
        <v>148.63300000000001</v>
      </c>
      <c r="AJ7979">
        <v>20.67343</v>
      </c>
      <c r="AK7979">
        <v>58.213200000000001</v>
      </c>
    </row>
    <row r="7980" spans="1:37" x14ac:dyDescent="0.3">
      <c r="A7980">
        <v>7979</v>
      </c>
      <c r="B7980">
        <v>83</v>
      </c>
      <c r="C7980">
        <v>-15.000299999999999</v>
      </c>
      <c r="D7980">
        <v>12.6561</v>
      </c>
      <c r="E7980">
        <f>-15.0003-12.6561</f>
        <v>-27.656399999999998</v>
      </c>
      <c r="F7980" t="s">
        <v>11952</v>
      </c>
      <c r="G7980" t="s">
        <v>39</v>
      </c>
      <c r="H7980">
        <v>1951</v>
      </c>
      <c r="I7980">
        <v>27</v>
      </c>
      <c r="J7980">
        <v>13.7</v>
      </c>
      <c r="K7980">
        <v>56</v>
      </c>
      <c r="L7980">
        <v>20.25</v>
      </c>
      <c r="M7980">
        <v>38.131749999999997</v>
      </c>
      <c r="N7980">
        <v>13.931749999999999</v>
      </c>
      <c r="O7980">
        <v>24.2</v>
      </c>
      <c r="P7980">
        <v>26.6</v>
      </c>
      <c r="Q7980">
        <v>25.9635</v>
      </c>
      <c r="R7980">
        <v>29.63175</v>
      </c>
      <c r="S7980">
        <v>24.431750000000001</v>
      </c>
      <c r="T7980">
        <v>1180.683</v>
      </c>
      <c r="U7980">
        <v>357</v>
      </c>
      <c r="V7980">
        <v>0</v>
      </c>
      <c r="W7980">
        <v>129</v>
      </c>
      <c r="X7980">
        <v>912.6825</v>
      </c>
      <c r="Y7980">
        <v>0</v>
      </c>
      <c r="Z7980">
        <v>142</v>
      </c>
      <c r="AA7980">
        <v>9</v>
      </c>
      <c r="AB7980">
        <v>2.752122</v>
      </c>
      <c r="AC7980">
        <v>8.2464839999999998E-2</v>
      </c>
      <c r="AD7980">
        <v>2.171519</v>
      </c>
      <c r="AE7980">
        <v>0.68124410000000002</v>
      </c>
      <c r="AF7980">
        <v>14.421049999999999</v>
      </c>
      <c r="AG7980">
        <f>IFERROR(AH7980*0.1, "N/A")</f>
        <v>5.3000000000000007</v>
      </c>
      <c r="AH7980">
        <v>53</v>
      </c>
      <c r="AI7980">
        <v>73.87903</v>
      </c>
      <c r="AJ7980">
        <v>22.641770000000001</v>
      </c>
      <c r="AK7980">
        <v>49.358229999999999</v>
      </c>
    </row>
    <row r="7981" spans="1:37" x14ac:dyDescent="0.3">
      <c r="A7981">
        <v>7980</v>
      </c>
      <c r="B7981">
        <v>100</v>
      </c>
      <c r="C7981">
        <v>-15.0175</v>
      </c>
      <c r="D7981">
        <v>12.665800000000001</v>
      </c>
      <c r="E7981">
        <f>-15.0175-12.6658</f>
        <v>-27.683300000000003</v>
      </c>
      <c r="F7981" t="s">
        <v>11953</v>
      </c>
      <c r="G7981" t="s">
        <v>39</v>
      </c>
      <c r="H7981">
        <v>1951</v>
      </c>
      <c r="I7981">
        <v>27</v>
      </c>
      <c r="J7981">
        <v>13.7</v>
      </c>
      <c r="K7981">
        <v>56</v>
      </c>
      <c r="L7981">
        <v>20.217120000000001</v>
      </c>
      <c r="M7981">
        <v>38.117629999999998</v>
      </c>
      <c r="N7981">
        <v>13.9</v>
      </c>
      <c r="O7981">
        <v>24.21763</v>
      </c>
      <c r="P7981">
        <v>26.6</v>
      </c>
      <c r="Q7981">
        <v>25.917629999999999</v>
      </c>
      <c r="R7981">
        <v>29.6</v>
      </c>
      <c r="S7981">
        <v>24.4</v>
      </c>
      <c r="T7981">
        <v>1173.2950000000001</v>
      </c>
      <c r="U7981">
        <v>354.82369999999997</v>
      </c>
      <c r="V7981">
        <v>0</v>
      </c>
      <c r="W7981">
        <v>129.8237</v>
      </c>
      <c r="X7981">
        <v>908.47119999999995</v>
      </c>
      <c r="Y7981">
        <v>0</v>
      </c>
      <c r="Z7981">
        <v>140</v>
      </c>
      <c r="AA7981">
        <v>9</v>
      </c>
      <c r="AB7981">
        <v>2.3823729999999999</v>
      </c>
      <c r="AC7981">
        <v>1.288203</v>
      </c>
      <c r="AD7981">
        <v>1.711457</v>
      </c>
      <c r="AE7981">
        <v>0.67638330000000002</v>
      </c>
      <c r="AF7981">
        <v>27.484749999999998</v>
      </c>
      <c r="AG7981">
        <f>IFERROR(AH7981*0.1, "N/A")</f>
        <v>5.3071190000000001</v>
      </c>
      <c r="AH7981">
        <v>53.071190000000001</v>
      </c>
      <c r="AI7981">
        <v>58.793509999999998</v>
      </c>
      <c r="AJ7981">
        <v>21.201689999999999</v>
      </c>
      <c r="AK7981">
        <v>57.223730000000003</v>
      </c>
    </row>
    <row r="7982" spans="1:37" x14ac:dyDescent="0.3">
      <c r="A7982">
        <v>7981</v>
      </c>
      <c r="B7982">
        <v>67</v>
      </c>
      <c r="C7982">
        <v>-14.916700000000001</v>
      </c>
      <c r="D7982">
        <v>12.683299999999999</v>
      </c>
      <c r="E7982">
        <f>-14.9167-12.6833</f>
        <v>-27.6</v>
      </c>
      <c r="F7982" t="s">
        <v>11954</v>
      </c>
      <c r="G7982" t="s">
        <v>39</v>
      </c>
      <c r="H7982">
        <v>1951</v>
      </c>
      <c r="I7982">
        <v>27.017880000000002</v>
      </c>
      <c r="J7982">
        <v>13.832549999999999</v>
      </c>
      <c r="K7982">
        <v>55.640810000000002</v>
      </c>
      <c r="L7982">
        <v>20.854649999999999</v>
      </c>
      <c r="M7982">
        <v>38.371839999999999</v>
      </c>
      <c r="N7982">
        <v>13.749409999999999</v>
      </c>
      <c r="O7982">
        <v>24.622430000000001</v>
      </c>
      <c r="P7982">
        <v>26.635919999999999</v>
      </c>
      <c r="Q7982">
        <v>26.049410000000002</v>
      </c>
      <c r="R7982">
        <v>29.73592</v>
      </c>
      <c r="S7982">
        <v>24.367450000000002</v>
      </c>
      <c r="T7982">
        <v>1169.9760000000001</v>
      </c>
      <c r="U7982">
        <v>350.80939999999998</v>
      </c>
      <c r="V7982">
        <v>0</v>
      </c>
      <c r="W7982">
        <v>128.31530000000001</v>
      </c>
      <c r="X7982">
        <v>900.30190000000005</v>
      </c>
      <c r="Y7982">
        <v>0</v>
      </c>
      <c r="Z7982">
        <v>144.67449999999999</v>
      </c>
      <c r="AA7982">
        <v>9</v>
      </c>
      <c r="AB7982">
        <v>1.39747</v>
      </c>
      <c r="AC7982">
        <v>24.24578</v>
      </c>
      <c r="AD7982">
        <v>0.95096499999999995</v>
      </c>
      <c r="AE7982">
        <v>0.7206591</v>
      </c>
      <c r="AF7982">
        <v>18.34233</v>
      </c>
      <c r="AG7982">
        <f>IFERROR(AH7982*0.1, "N/A")</f>
        <v>5.5640810000000007</v>
      </c>
      <c r="AH7982">
        <v>55.640810000000002</v>
      </c>
      <c r="AI7982">
        <v>182.46250000000001</v>
      </c>
      <c r="AJ7982">
        <v>20.640809999999998</v>
      </c>
      <c r="AK7982">
        <v>52.359189999999998</v>
      </c>
    </row>
    <row r="7983" spans="1:37" x14ac:dyDescent="0.3">
      <c r="A7983">
        <v>7982</v>
      </c>
      <c r="B7983">
        <v>0</v>
      </c>
      <c r="C7983">
        <v>-14.03933</v>
      </c>
      <c r="D7983">
        <v>10.180300000000001</v>
      </c>
      <c r="E7983">
        <f>-14.039333-10.180303</f>
        <v>-24.219636000000001</v>
      </c>
      <c r="F7983" t="s">
        <v>11955</v>
      </c>
      <c r="G7983" t="s">
        <v>39</v>
      </c>
      <c r="H7983">
        <v>1997</v>
      </c>
      <c r="I7983">
        <v>30.4</v>
      </c>
      <c r="J7983">
        <v>11.4</v>
      </c>
      <c r="K7983">
        <v>55</v>
      </c>
      <c r="L7983">
        <v>19.52</v>
      </c>
      <c r="M7983">
        <v>41.1</v>
      </c>
      <c r="N7983">
        <v>20.6</v>
      </c>
      <c r="O7983">
        <v>20.5</v>
      </c>
      <c r="P7983">
        <v>28.7</v>
      </c>
      <c r="Q7983">
        <v>30.7</v>
      </c>
      <c r="R7983">
        <v>33.4</v>
      </c>
      <c r="S7983">
        <v>28.7</v>
      </c>
      <c r="T7983">
        <v>3293</v>
      </c>
      <c r="U7983">
        <v>1052</v>
      </c>
      <c r="V7983">
        <v>0</v>
      </c>
      <c r="W7983">
        <v>128</v>
      </c>
      <c r="X7983">
        <v>2461</v>
      </c>
      <c r="Y7983">
        <v>4</v>
      </c>
      <c r="Z7983">
        <v>115</v>
      </c>
      <c r="AA7983">
        <v>2461</v>
      </c>
      <c r="AB7983">
        <v>19.204660000000001</v>
      </c>
      <c r="AC7983">
        <v>8.4159260000000007E-3</v>
      </c>
      <c r="AD7983">
        <v>1.9281440000000001</v>
      </c>
      <c r="AE7983">
        <v>0.46802240000000001</v>
      </c>
      <c r="AF7983">
        <v>25.182759999999998</v>
      </c>
      <c r="AG7983">
        <f>IFERROR(AH7983*0.1, "N/A")</f>
        <v>5.2141380000000002</v>
      </c>
      <c r="AH7983">
        <v>52.141379999999998</v>
      </c>
      <c r="AI7983">
        <v>160.9768</v>
      </c>
      <c r="AJ7983">
        <v>31.734480000000001</v>
      </c>
      <c r="AK7983">
        <v>46.891379999999998</v>
      </c>
    </row>
    <row r="7984" spans="1:37" x14ac:dyDescent="0.3">
      <c r="A7984">
        <v>7983</v>
      </c>
      <c r="B7984">
        <v>0</v>
      </c>
      <c r="C7984">
        <v>-14.03933</v>
      </c>
      <c r="D7984">
        <v>10.180300000000001</v>
      </c>
      <c r="E7984">
        <f>-14.039333-10.180303</f>
        <v>-24.219636000000001</v>
      </c>
      <c r="F7984" t="s">
        <v>11956</v>
      </c>
      <c r="G7984" t="s">
        <v>37</v>
      </c>
      <c r="H7984">
        <v>1997</v>
      </c>
      <c r="I7984">
        <v>30.4</v>
      </c>
      <c r="J7984">
        <v>11.4</v>
      </c>
      <c r="K7984">
        <v>55</v>
      </c>
      <c r="L7984">
        <v>19.52</v>
      </c>
      <c r="M7984">
        <v>41.1</v>
      </c>
      <c r="N7984">
        <v>20.6</v>
      </c>
      <c r="O7984">
        <v>20.5</v>
      </c>
      <c r="P7984">
        <v>28.7</v>
      </c>
      <c r="Q7984">
        <v>30.7</v>
      </c>
      <c r="R7984">
        <v>33.4</v>
      </c>
      <c r="S7984">
        <v>28.7</v>
      </c>
      <c r="T7984">
        <v>3293</v>
      </c>
      <c r="U7984">
        <v>1052</v>
      </c>
      <c r="V7984">
        <v>0</v>
      </c>
      <c r="W7984">
        <v>128</v>
      </c>
      <c r="X7984">
        <v>2461</v>
      </c>
      <c r="Y7984">
        <v>4</v>
      </c>
      <c r="Z7984">
        <v>115</v>
      </c>
      <c r="AA7984">
        <v>2461</v>
      </c>
      <c r="AB7984">
        <v>19.204660000000001</v>
      </c>
      <c r="AC7984">
        <v>8.4159260000000007E-3</v>
      </c>
      <c r="AD7984">
        <v>1.9281440000000001</v>
      </c>
      <c r="AE7984">
        <v>0.46802240000000001</v>
      </c>
      <c r="AF7984">
        <v>25.182759999999998</v>
      </c>
      <c r="AG7984">
        <f>IFERROR(AH7984*0.1, "N/A")</f>
        <v>5.2141380000000002</v>
      </c>
      <c r="AH7984">
        <v>52.141379999999998</v>
      </c>
      <c r="AI7984">
        <v>160.9768</v>
      </c>
      <c r="AJ7984">
        <v>31.734480000000001</v>
      </c>
      <c r="AK7984">
        <v>46.891379999999998</v>
      </c>
    </row>
    <row r="7985" spans="1:37" x14ac:dyDescent="0.3">
      <c r="A7985">
        <v>7984</v>
      </c>
      <c r="B7985">
        <v>0</v>
      </c>
      <c r="C7985">
        <v>-14.42421</v>
      </c>
      <c r="D7985">
        <v>10.394679999999999</v>
      </c>
      <c r="E7985">
        <f>-14.424208-10.394681</f>
        <v>-24.818888999999999</v>
      </c>
      <c r="F7985" t="s">
        <v>11957</v>
      </c>
      <c r="G7985" t="s">
        <v>39</v>
      </c>
      <c r="H7985">
        <v>1997</v>
      </c>
      <c r="I7985">
        <v>29.8</v>
      </c>
      <c r="J7985">
        <v>12.4</v>
      </c>
      <c r="K7985">
        <v>58</v>
      </c>
      <c r="L7985">
        <v>17.989999999999998</v>
      </c>
      <c r="M7985">
        <v>40.5</v>
      </c>
      <c r="N7985">
        <v>19.3</v>
      </c>
      <c r="O7985">
        <v>21.2</v>
      </c>
      <c r="P7985">
        <v>28.1</v>
      </c>
      <c r="Q7985">
        <v>30.1</v>
      </c>
      <c r="R7985">
        <v>32.5</v>
      </c>
      <c r="S7985">
        <v>28.1</v>
      </c>
      <c r="T7985">
        <v>3155</v>
      </c>
      <c r="U7985">
        <v>1019</v>
      </c>
      <c r="V7985">
        <v>0</v>
      </c>
      <c r="W7985">
        <v>128</v>
      </c>
      <c r="X7985">
        <v>2350</v>
      </c>
      <c r="Y7985">
        <v>1</v>
      </c>
      <c r="Z7985">
        <v>94</v>
      </c>
      <c r="AA7985">
        <v>2350</v>
      </c>
      <c r="AB7985">
        <v>15.343970000000001</v>
      </c>
      <c r="AC7985">
        <v>7.232856E-2</v>
      </c>
      <c r="AD7985">
        <v>1.657035</v>
      </c>
      <c r="AE7985">
        <v>0.29073909999999997</v>
      </c>
      <c r="AF7985">
        <v>18.45</v>
      </c>
      <c r="AG7985">
        <f>IFERROR(AH7985*0.1, "N/A")</f>
        <v>5.3000000000000007</v>
      </c>
      <c r="AH7985">
        <v>53</v>
      </c>
      <c r="AI7985">
        <v>278.0677</v>
      </c>
      <c r="AJ7985">
        <v>29.772410000000001</v>
      </c>
      <c r="AK7985">
        <v>47.227589999999999</v>
      </c>
    </row>
    <row r="7986" spans="1:37" x14ac:dyDescent="0.3">
      <c r="A7986">
        <v>7985</v>
      </c>
      <c r="B7986">
        <v>0</v>
      </c>
      <c r="C7986">
        <v>-14.42421</v>
      </c>
      <c r="D7986">
        <v>10.394679999999999</v>
      </c>
      <c r="E7986">
        <f>-14.424208-10.394681</f>
        <v>-24.818888999999999</v>
      </c>
      <c r="F7986" t="s">
        <v>11958</v>
      </c>
      <c r="G7986" t="s">
        <v>37</v>
      </c>
      <c r="H7986">
        <v>1997</v>
      </c>
      <c r="I7986">
        <v>29.8</v>
      </c>
      <c r="J7986">
        <v>12.4</v>
      </c>
      <c r="K7986">
        <v>58</v>
      </c>
      <c r="L7986">
        <v>17.989999999999998</v>
      </c>
      <c r="M7986">
        <v>40.5</v>
      </c>
      <c r="N7986">
        <v>19.3</v>
      </c>
      <c r="O7986">
        <v>21.2</v>
      </c>
      <c r="P7986">
        <v>28.1</v>
      </c>
      <c r="Q7986">
        <v>30.1</v>
      </c>
      <c r="R7986">
        <v>32.5</v>
      </c>
      <c r="S7986">
        <v>28.1</v>
      </c>
      <c r="T7986">
        <v>3155</v>
      </c>
      <c r="U7986">
        <v>1019</v>
      </c>
      <c r="V7986">
        <v>0</v>
      </c>
      <c r="W7986">
        <v>128</v>
      </c>
      <c r="X7986">
        <v>2350</v>
      </c>
      <c r="Y7986">
        <v>1</v>
      </c>
      <c r="Z7986">
        <v>94</v>
      </c>
      <c r="AA7986">
        <v>2350</v>
      </c>
      <c r="AB7986">
        <v>15.343970000000001</v>
      </c>
      <c r="AC7986">
        <v>7.232856E-2</v>
      </c>
      <c r="AD7986">
        <v>1.657035</v>
      </c>
      <c r="AE7986">
        <v>0.29073909999999997</v>
      </c>
      <c r="AF7986">
        <v>18.45</v>
      </c>
      <c r="AG7986">
        <f>IFERROR(AH7986*0.1, "N/A")</f>
        <v>5.3000000000000007</v>
      </c>
      <c r="AH7986">
        <v>53</v>
      </c>
      <c r="AI7986">
        <v>278.0677</v>
      </c>
      <c r="AJ7986">
        <v>29.772410000000001</v>
      </c>
      <c r="AK7986">
        <v>47.227589999999999</v>
      </c>
    </row>
    <row r="7987" spans="1:37" x14ac:dyDescent="0.3">
      <c r="A7987">
        <v>7986</v>
      </c>
      <c r="B7987">
        <v>2.1</v>
      </c>
      <c r="C7987">
        <v>-9.2687670000000004</v>
      </c>
      <c r="D7987">
        <v>10.420680000000001</v>
      </c>
      <c r="E7987">
        <f>-9.268767-10.420678</f>
        <v>-19.689444999999999</v>
      </c>
      <c r="F7987" t="s">
        <v>11959</v>
      </c>
      <c r="G7987" t="s">
        <v>39</v>
      </c>
      <c r="H7987">
        <v>1997</v>
      </c>
      <c r="I7987">
        <v>25.9</v>
      </c>
      <c r="J7987">
        <v>17.2</v>
      </c>
      <c r="K7987">
        <v>64</v>
      </c>
      <c r="L7987">
        <v>17.55</v>
      </c>
      <c r="M7987">
        <v>38.299999999999997</v>
      </c>
      <c r="N7987">
        <v>11.8</v>
      </c>
      <c r="O7987">
        <v>26.5</v>
      </c>
      <c r="P7987">
        <v>25.4</v>
      </c>
      <c r="Q7987">
        <v>24.1</v>
      </c>
      <c r="R7987">
        <v>28.5</v>
      </c>
      <c r="S7987">
        <v>23.7</v>
      </c>
      <c r="T7987">
        <v>1534</v>
      </c>
      <c r="U7987">
        <v>326</v>
      </c>
      <c r="V7987">
        <v>1</v>
      </c>
      <c r="W7987">
        <v>95</v>
      </c>
      <c r="X7987">
        <v>920</v>
      </c>
      <c r="Y7987">
        <v>9</v>
      </c>
      <c r="Z7987">
        <v>220</v>
      </c>
      <c r="AA7987">
        <v>34</v>
      </c>
      <c r="AB7987">
        <v>16.247340000000001</v>
      </c>
      <c r="AC7987">
        <v>7.3320399999999994E-2</v>
      </c>
      <c r="AD7987">
        <v>2.7740640000000001</v>
      </c>
      <c r="AE7987">
        <v>0.48057630000000001</v>
      </c>
      <c r="AF7987">
        <v>377.98630000000003</v>
      </c>
      <c r="AG7987">
        <f>IFERROR(AH7987*0.1, "N/A")</f>
        <v>5.7835330000000003</v>
      </c>
      <c r="AH7987">
        <v>57.835329999999999</v>
      </c>
      <c r="AI7987">
        <v>135.22829999999999</v>
      </c>
      <c r="AJ7987">
        <v>20.699829999999999</v>
      </c>
      <c r="AK7987">
        <v>52.632930000000002</v>
      </c>
    </row>
    <row r="7988" spans="1:37" x14ac:dyDescent="0.3">
      <c r="A7988">
        <v>7987</v>
      </c>
      <c r="B7988">
        <v>0</v>
      </c>
      <c r="C7988">
        <v>-9.2687670000000004</v>
      </c>
      <c r="D7988">
        <v>10.420680000000001</v>
      </c>
      <c r="E7988">
        <f>-9.268767-10.420678</f>
        <v>-19.689444999999999</v>
      </c>
      <c r="F7988" t="s">
        <v>11960</v>
      </c>
      <c r="G7988" t="s">
        <v>37</v>
      </c>
      <c r="H7988">
        <v>1997</v>
      </c>
      <c r="I7988">
        <v>25.9</v>
      </c>
      <c r="J7988">
        <v>17.2</v>
      </c>
      <c r="K7988">
        <v>64</v>
      </c>
      <c r="L7988">
        <v>17.55</v>
      </c>
      <c r="M7988">
        <v>38.299999999999997</v>
      </c>
      <c r="N7988">
        <v>11.8</v>
      </c>
      <c r="O7988">
        <v>26.5</v>
      </c>
      <c r="P7988">
        <v>25.4</v>
      </c>
      <c r="Q7988">
        <v>24.1</v>
      </c>
      <c r="R7988">
        <v>28.5</v>
      </c>
      <c r="S7988">
        <v>23.7</v>
      </c>
      <c r="T7988">
        <v>1534</v>
      </c>
      <c r="U7988">
        <v>326</v>
      </c>
      <c r="V7988">
        <v>1</v>
      </c>
      <c r="W7988">
        <v>95</v>
      </c>
      <c r="X7988">
        <v>920</v>
      </c>
      <c r="Y7988">
        <v>9</v>
      </c>
      <c r="Z7988">
        <v>220</v>
      </c>
      <c r="AA7988">
        <v>34</v>
      </c>
      <c r="AB7988">
        <v>16.247340000000001</v>
      </c>
      <c r="AC7988">
        <v>7.3320399999999994E-2</v>
      </c>
      <c r="AD7988">
        <v>2.7740640000000001</v>
      </c>
      <c r="AE7988">
        <v>0.48057630000000001</v>
      </c>
      <c r="AF7988">
        <v>377.98630000000003</v>
      </c>
      <c r="AG7988">
        <f>IFERROR(AH7988*0.1, "N/A")</f>
        <v>5.7835330000000003</v>
      </c>
      <c r="AH7988">
        <v>57.835329999999999</v>
      </c>
      <c r="AI7988">
        <v>135.22829999999999</v>
      </c>
      <c r="AJ7988">
        <v>20.699829999999999</v>
      </c>
      <c r="AK7988">
        <v>52.632930000000002</v>
      </c>
    </row>
    <row r="7989" spans="1:37" x14ac:dyDescent="0.3">
      <c r="A7989">
        <v>7988</v>
      </c>
      <c r="B7989">
        <v>0</v>
      </c>
      <c r="C7989">
        <v>-9.3780940000000008</v>
      </c>
      <c r="D7989">
        <v>8.5391110000000001</v>
      </c>
      <c r="E7989">
        <f>-9.378094-8.539111</f>
        <v>-17.917205000000003</v>
      </c>
      <c r="F7989" t="s">
        <v>11961</v>
      </c>
      <c r="G7989" t="s">
        <v>39</v>
      </c>
      <c r="H7989">
        <v>1997</v>
      </c>
      <c r="I7989">
        <v>24.1</v>
      </c>
      <c r="J7989">
        <v>15.9</v>
      </c>
      <c r="K7989">
        <v>69</v>
      </c>
      <c r="L7989">
        <v>8.17</v>
      </c>
      <c r="M7989">
        <v>34.799999999999997</v>
      </c>
      <c r="N7989">
        <v>11.8</v>
      </c>
      <c r="O7989">
        <v>23</v>
      </c>
      <c r="P7989">
        <v>23.6</v>
      </c>
      <c r="Q7989">
        <v>23.2</v>
      </c>
      <c r="R7989">
        <v>25.1</v>
      </c>
      <c r="S7989">
        <v>23.2</v>
      </c>
      <c r="T7989">
        <v>2691</v>
      </c>
      <c r="U7989">
        <v>493</v>
      </c>
      <c r="V7989">
        <v>15</v>
      </c>
      <c r="W7989">
        <v>67</v>
      </c>
      <c r="X7989">
        <v>1345</v>
      </c>
      <c r="Y7989">
        <v>120</v>
      </c>
      <c r="Z7989">
        <v>525</v>
      </c>
      <c r="AA7989">
        <v>221</v>
      </c>
      <c r="AB7989">
        <v>7.124695</v>
      </c>
      <c r="AC7989">
        <v>0.35907420000000001</v>
      </c>
      <c r="AD7989">
        <v>4.1708749999999997</v>
      </c>
      <c r="AE7989">
        <v>0.31415029999999999</v>
      </c>
      <c r="AF7989">
        <v>546.1952</v>
      </c>
      <c r="AG7989">
        <f>IFERROR(AH7989*0.1, "N/A")</f>
        <v>5.0105350000000008</v>
      </c>
      <c r="AH7989">
        <v>50.105350000000001</v>
      </c>
      <c r="AI7989">
        <v>291.73509999999999</v>
      </c>
      <c r="AJ7989">
        <v>29.19171</v>
      </c>
      <c r="AK7989">
        <v>51.832470000000001</v>
      </c>
    </row>
    <row r="7990" spans="1:37" x14ac:dyDescent="0.3">
      <c r="A7990">
        <v>7989</v>
      </c>
      <c r="B7990">
        <v>0</v>
      </c>
      <c r="C7990">
        <v>-9.3780940000000008</v>
      </c>
      <c r="D7990">
        <v>8.5391110000000001</v>
      </c>
      <c r="E7990">
        <f>-9.378094-8.539111</f>
        <v>-17.917205000000003</v>
      </c>
      <c r="F7990" t="s">
        <v>11962</v>
      </c>
      <c r="G7990" t="s">
        <v>37</v>
      </c>
      <c r="H7990">
        <v>1997</v>
      </c>
      <c r="I7990">
        <v>24.1</v>
      </c>
      <c r="J7990">
        <v>15.9</v>
      </c>
      <c r="K7990">
        <v>69</v>
      </c>
      <c r="L7990">
        <v>8.17</v>
      </c>
      <c r="M7990">
        <v>34.799999999999997</v>
      </c>
      <c r="N7990">
        <v>11.8</v>
      </c>
      <c r="O7990">
        <v>23</v>
      </c>
      <c r="P7990">
        <v>23.6</v>
      </c>
      <c r="Q7990">
        <v>23.2</v>
      </c>
      <c r="R7990">
        <v>25.1</v>
      </c>
      <c r="S7990">
        <v>23.2</v>
      </c>
      <c r="T7990">
        <v>2691</v>
      </c>
      <c r="U7990">
        <v>493</v>
      </c>
      <c r="V7990">
        <v>15</v>
      </c>
      <c r="W7990">
        <v>67</v>
      </c>
      <c r="X7990">
        <v>1345</v>
      </c>
      <c r="Y7990">
        <v>120</v>
      </c>
      <c r="Z7990">
        <v>525</v>
      </c>
      <c r="AA7990">
        <v>221</v>
      </c>
      <c r="AB7990">
        <v>7.124695</v>
      </c>
      <c r="AC7990">
        <v>0.35907420000000001</v>
      </c>
      <c r="AD7990">
        <v>4.1708749999999997</v>
      </c>
      <c r="AE7990">
        <v>0.31415029999999999</v>
      </c>
      <c r="AF7990">
        <v>546.1952</v>
      </c>
      <c r="AG7990">
        <f>IFERROR(AH7990*0.1, "N/A")</f>
        <v>5.0105350000000008</v>
      </c>
      <c r="AH7990">
        <v>50.105350000000001</v>
      </c>
      <c r="AI7990">
        <v>291.73509999999999</v>
      </c>
      <c r="AJ7990">
        <v>29.19171</v>
      </c>
      <c r="AK7990">
        <v>51.832470000000001</v>
      </c>
    </row>
    <row r="7991" spans="1:37" x14ac:dyDescent="0.3">
      <c r="A7991">
        <v>7990</v>
      </c>
      <c r="B7991">
        <v>0</v>
      </c>
      <c r="C7991">
        <v>-8.8674999999999997</v>
      </c>
      <c r="D7991">
        <v>7.8052780000000004</v>
      </c>
      <c r="E7991">
        <f>-8.8675-7.805278</f>
        <v>-16.672778000000001</v>
      </c>
      <c r="F7991" t="s">
        <v>11963</v>
      </c>
      <c r="G7991" t="s">
        <v>39</v>
      </c>
      <c r="H7991">
        <v>1997</v>
      </c>
      <c r="I7991">
        <v>24.2</v>
      </c>
      <c r="J7991">
        <v>14.9</v>
      </c>
      <c r="K7991">
        <v>66</v>
      </c>
      <c r="L7991">
        <v>10</v>
      </c>
      <c r="M7991">
        <v>34.799999999999997</v>
      </c>
      <c r="N7991">
        <v>12.5</v>
      </c>
      <c r="O7991">
        <v>22.3</v>
      </c>
      <c r="P7991">
        <v>23.5</v>
      </c>
      <c r="Q7991">
        <v>23.5</v>
      </c>
      <c r="R7991">
        <v>25.6</v>
      </c>
      <c r="S7991">
        <v>23.2</v>
      </c>
      <c r="T7991">
        <v>1994</v>
      </c>
      <c r="U7991">
        <v>356</v>
      </c>
      <c r="V7991">
        <v>14</v>
      </c>
      <c r="W7991">
        <v>63</v>
      </c>
      <c r="X7991">
        <v>913</v>
      </c>
      <c r="Y7991">
        <v>98</v>
      </c>
      <c r="Z7991">
        <v>448</v>
      </c>
      <c r="AA7991">
        <v>138</v>
      </c>
      <c r="AB7991">
        <v>18.49183</v>
      </c>
      <c r="AC7991">
        <v>5.9070600000000001E-2</v>
      </c>
      <c r="AD7991">
        <v>3.8067709999999999</v>
      </c>
      <c r="AE7991">
        <v>0.50205460000000002</v>
      </c>
      <c r="AF7991">
        <v>459.19830000000002</v>
      </c>
      <c r="AG7991">
        <f>IFERROR(AH7991*0.1, "N/A")</f>
        <v>5.371652000000001</v>
      </c>
      <c r="AH7991">
        <v>53.716520000000003</v>
      </c>
      <c r="AI7991">
        <v>284.21390000000002</v>
      </c>
      <c r="AJ7991">
        <v>23.358260000000001</v>
      </c>
      <c r="AK7991">
        <v>57.641739999999999</v>
      </c>
    </row>
    <row r="7992" spans="1:37" x14ac:dyDescent="0.3">
      <c r="A7992">
        <v>7991</v>
      </c>
      <c r="B7992">
        <v>0</v>
      </c>
      <c r="C7992">
        <v>-8.8674999999999997</v>
      </c>
      <c r="D7992">
        <v>7.8052780000000004</v>
      </c>
      <c r="E7992">
        <f>-8.8675-7.805278</f>
        <v>-16.672778000000001</v>
      </c>
      <c r="F7992" t="s">
        <v>11964</v>
      </c>
      <c r="G7992" t="s">
        <v>37</v>
      </c>
      <c r="H7992">
        <v>1997</v>
      </c>
      <c r="I7992">
        <v>24.2</v>
      </c>
      <c r="J7992">
        <v>14.9</v>
      </c>
      <c r="K7992">
        <v>66</v>
      </c>
      <c r="L7992">
        <v>10</v>
      </c>
      <c r="M7992">
        <v>34.799999999999997</v>
      </c>
      <c r="N7992">
        <v>12.5</v>
      </c>
      <c r="O7992">
        <v>22.3</v>
      </c>
      <c r="P7992">
        <v>23.5</v>
      </c>
      <c r="Q7992">
        <v>23.5</v>
      </c>
      <c r="R7992">
        <v>25.6</v>
      </c>
      <c r="S7992">
        <v>23.2</v>
      </c>
      <c r="T7992">
        <v>1994</v>
      </c>
      <c r="U7992">
        <v>356</v>
      </c>
      <c r="V7992">
        <v>14</v>
      </c>
      <c r="W7992">
        <v>63</v>
      </c>
      <c r="X7992">
        <v>913</v>
      </c>
      <c r="Y7992">
        <v>98</v>
      </c>
      <c r="Z7992">
        <v>448</v>
      </c>
      <c r="AA7992">
        <v>138</v>
      </c>
      <c r="AB7992">
        <v>18.49183</v>
      </c>
      <c r="AC7992">
        <v>5.9070600000000001E-2</v>
      </c>
      <c r="AD7992">
        <v>3.8067709999999999</v>
      </c>
      <c r="AE7992">
        <v>0.50205460000000002</v>
      </c>
      <c r="AF7992">
        <v>459.19830000000002</v>
      </c>
      <c r="AG7992">
        <f>IFERROR(AH7992*0.1, "N/A")</f>
        <v>5.371652000000001</v>
      </c>
      <c r="AH7992">
        <v>53.716520000000003</v>
      </c>
      <c r="AI7992">
        <v>284.21390000000002</v>
      </c>
      <c r="AJ7992">
        <v>23.358260000000001</v>
      </c>
      <c r="AK7992">
        <v>57.641739999999999</v>
      </c>
    </row>
    <row r="7993" spans="1:37" x14ac:dyDescent="0.3">
      <c r="A7993">
        <v>7992</v>
      </c>
      <c r="B7993">
        <v>21.1</v>
      </c>
      <c r="C7993">
        <v>-8.8149999999999995</v>
      </c>
      <c r="D7993">
        <v>7.8286100000000003</v>
      </c>
      <c r="E7993">
        <f>-8.815-7.82861</f>
        <v>-16.643609999999999</v>
      </c>
      <c r="F7993" t="s">
        <v>11965</v>
      </c>
      <c r="G7993" t="s">
        <v>39</v>
      </c>
      <c r="H7993">
        <v>1997</v>
      </c>
      <c r="I7993">
        <v>24.1</v>
      </c>
      <c r="J7993">
        <v>14.8</v>
      </c>
      <c r="K7993">
        <v>66</v>
      </c>
      <c r="L7993">
        <v>10.75</v>
      </c>
      <c r="M7993">
        <v>34.700000000000003</v>
      </c>
      <c r="N7993">
        <v>12.6</v>
      </c>
      <c r="O7993">
        <v>22.1</v>
      </c>
      <c r="P7993">
        <v>23.2</v>
      </c>
      <c r="Q7993">
        <v>23.5</v>
      </c>
      <c r="R7993">
        <v>25.6</v>
      </c>
      <c r="S7993">
        <v>23.2</v>
      </c>
      <c r="T7993">
        <v>1980</v>
      </c>
      <c r="U7993">
        <v>352</v>
      </c>
      <c r="V7993">
        <v>14</v>
      </c>
      <c r="W7993">
        <v>63</v>
      </c>
      <c r="X7993">
        <v>910</v>
      </c>
      <c r="Y7993">
        <v>97</v>
      </c>
      <c r="Z7993">
        <v>444</v>
      </c>
      <c r="AA7993">
        <v>910</v>
      </c>
      <c r="AB7993">
        <v>22.892869999999998</v>
      </c>
      <c r="AC7993">
        <v>9.278517E-3</v>
      </c>
      <c r="AD7993">
        <v>1.5646990000000001</v>
      </c>
      <c r="AE7993">
        <v>0.32162089999999999</v>
      </c>
      <c r="AF7993">
        <v>486.72919999999999</v>
      </c>
      <c r="AG7993">
        <f>IFERROR(AH7993*0.1, "N/A")</f>
        <v>5.2029510000000005</v>
      </c>
      <c r="AH7993">
        <v>52.029510000000002</v>
      </c>
      <c r="AI7993">
        <v>267.5763</v>
      </c>
      <c r="AJ7993">
        <v>24.008679999999998</v>
      </c>
      <c r="AK7993">
        <v>55.00347</v>
      </c>
    </row>
    <row r="7994" spans="1:37" x14ac:dyDescent="0.3">
      <c r="A7994">
        <v>7993</v>
      </c>
      <c r="B7994">
        <v>52.6</v>
      </c>
      <c r="C7994">
        <v>-8.8149999999999995</v>
      </c>
      <c r="D7994">
        <v>7.8286100000000003</v>
      </c>
      <c r="E7994">
        <f>-8.815-7.82861</f>
        <v>-16.643609999999999</v>
      </c>
      <c r="F7994" t="s">
        <v>11966</v>
      </c>
      <c r="G7994" t="s">
        <v>37</v>
      </c>
      <c r="H7994">
        <v>1997</v>
      </c>
      <c r="I7994">
        <v>24.1</v>
      </c>
      <c r="J7994">
        <v>14.8</v>
      </c>
      <c r="K7994">
        <v>66</v>
      </c>
      <c r="L7994">
        <v>10.75</v>
      </c>
      <c r="M7994">
        <v>34.700000000000003</v>
      </c>
      <c r="N7994">
        <v>12.6</v>
      </c>
      <c r="O7994">
        <v>22.1</v>
      </c>
      <c r="P7994">
        <v>23.2</v>
      </c>
      <c r="Q7994">
        <v>23.5</v>
      </c>
      <c r="R7994">
        <v>25.6</v>
      </c>
      <c r="S7994">
        <v>23.2</v>
      </c>
      <c r="T7994">
        <v>1980</v>
      </c>
      <c r="U7994">
        <v>352</v>
      </c>
      <c r="V7994">
        <v>14</v>
      </c>
      <c r="W7994">
        <v>63</v>
      </c>
      <c r="X7994">
        <v>910</v>
      </c>
      <c r="Y7994">
        <v>97</v>
      </c>
      <c r="Z7994">
        <v>444</v>
      </c>
      <c r="AA7994">
        <v>910</v>
      </c>
      <c r="AB7994">
        <v>22.892869999999998</v>
      </c>
      <c r="AC7994">
        <v>9.278517E-3</v>
      </c>
      <c r="AD7994">
        <v>1.5646990000000001</v>
      </c>
      <c r="AE7994">
        <v>0.32162089999999999</v>
      </c>
      <c r="AF7994">
        <v>486.72919999999999</v>
      </c>
      <c r="AG7994">
        <f>IFERROR(AH7994*0.1, "N/A")</f>
        <v>5.2029510000000005</v>
      </c>
      <c r="AH7994">
        <v>52.029510000000002</v>
      </c>
      <c r="AI7994">
        <v>267.5763</v>
      </c>
      <c r="AJ7994">
        <v>24.008679999999998</v>
      </c>
      <c r="AK7994">
        <v>55.00347</v>
      </c>
    </row>
    <row r="7995" spans="1:37" x14ac:dyDescent="0.3">
      <c r="A7995">
        <v>7994</v>
      </c>
      <c r="B7995">
        <v>12.5</v>
      </c>
      <c r="C7995">
        <v>-8.8938900000000007</v>
      </c>
      <c r="D7995">
        <v>7.8411099999999996</v>
      </c>
      <c r="E7995">
        <f>-8.89389-7.84111</f>
        <v>-16.734999999999999</v>
      </c>
      <c r="F7995" t="s">
        <v>11967</v>
      </c>
      <c r="G7995" t="s">
        <v>39</v>
      </c>
      <c r="H7995">
        <v>1997</v>
      </c>
      <c r="I7995">
        <v>24.372050000000002</v>
      </c>
      <c r="J7995">
        <v>14.87205</v>
      </c>
      <c r="K7995">
        <v>67</v>
      </c>
      <c r="L7995">
        <v>9.4107470000000006</v>
      </c>
      <c r="M7995">
        <v>34.799999999999997</v>
      </c>
      <c r="N7995">
        <v>12.8</v>
      </c>
      <c r="O7995">
        <v>22</v>
      </c>
      <c r="P7995">
        <v>23.77205</v>
      </c>
      <c r="Q7995">
        <v>23.7</v>
      </c>
      <c r="R7995">
        <v>25.7</v>
      </c>
      <c r="S7995">
        <v>23.4</v>
      </c>
      <c r="T7995">
        <v>2006.8389999999999</v>
      </c>
      <c r="U7995">
        <v>357</v>
      </c>
      <c r="V7995">
        <v>14</v>
      </c>
      <c r="W7995">
        <v>63</v>
      </c>
      <c r="X7995">
        <v>921.55899999999997</v>
      </c>
      <c r="Y7995">
        <v>97</v>
      </c>
      <c r="Z7995">
        <v>451.27949999999998</v>
      </c>
      <c r="AA7995">
        <v>140</v>
      </c>
      <c r="AB7995">
        <v>10.85989</v>
      </c>
      <c r="AC7995">
        <v>1.632144E-2</v>
      </c>
      <c r="AD7995">
        <v>3.3801429999999999</v>
      </c>
      <c r="AE7995">
        <v>0.2520405</v>
      </c>
      <c r="AF7995">
        <v>433.59899999999999</v>
      </c>
      <c r="AG7995">
        <f>IFERROR(AH7995*0.1, "N/A")</f>
        <v>5.5046870000000006</v>
      </c>
      <c r="AH7995">
        <v>55.046869999999998</v>
      </c>
      <c r="AI7995">
        <v>246.4803</v>
      </c>
      <c r="AJ7995">
        <v>24.637149999999998</v>
      </c>
      <c r="AK7995">
        <v>54.78819</v>
      </c>
    </row>
    <row r="7996" spans="1:37" x14ac:dyDescent="0.3">
      <c r="A7996">
        <v>7995</v>
      </c>
      <c r="B7996">
        <v>50</v>
      </c>
      <c r="C7996">
        <v>-8.8938900000000007</v>
      </c>
      <c r="D7996">
        <v>7.8411099999999996</v>
      </c>
      <c r="E7996">
        <f>-8.89389-7.84111</f>
        <v>-16.734999999999999</v>
      </c>
      <c r="F7996" t="s">
        <v>11968</v>
      </c>
      <c r="G7996" t="s">
        <v>37</v>
      </c>
      <c r="H7996">
        <v>1997</v>
      </c>
      <c r="I7996">
        <v>24.372050000000002</v>
      </c>
      <c r="J7996">
        <v>14.87205</v>
      </c>
      <c r="K7996">
        <v>67</v>
      </c>
      <c r="L7996">
        <v>9.4107470000000006</v>
      </c>
      <c r="M7996">
        <v>34.799999999999997</v>
      </c>
      <c r="N7996">
        <v>12.8</v>
      </c>
      <c r="O7996">
        <v>22</v>
      </c>
      <c r="P7996">
        <v>23.77205</v>
      </c>
      <c r="Q7996">
        <v>23.7</v>
      </c>
      <c r="R7996">
        <v>25.7</v>
      </c>
      <c r="S7996">
        <v>23.4</v>
      </c>
      <c r="T7996">
        <v>2006.8389999999999</v>
      </c>
      <c r="U7996">
        <v>357</v>
      </c>
      <c r="V7996">
        <v>14</v>
      </c>
      <c r="W7996">
        <v>63</v>
      </c>
      <c r="X7996">
        <v>921.55899999999997</v>
      </c>
      <c r="Y7996">
        <v>97</v>
      </c>
      <c r="Z7996">
        <v>451.27949999999998</v>
      </c>
      <c r="AA7996">
        <v>140</v>
      </c>
      <c r="AB7996">
        <v>10.85989</v>
      </c>
      <c r="AC7996">
        <v>1.632144E-2</v>
      </c>
      <c r="AD7996">
        <v>3.3801429999999999</v>
      </c>
      <c r="AE7996">
        <v>0.2520405</v>
      </c>
      <c r="AF7996">
        <v>433.59899999999999</v>
      </c>
      <c r="AG7996">
        <f>IFERROR(AH7996*0.1, "N/A")</f>
        <v>5.5046870000000006</v>
      </c>
      <c r="AH7996">
        <v>55.046869999999998</v>
      </c>
      <c r="AI7996">
        <v>246.4803</v>
      </c>
      <c r="AJ7996">
        <v>24.637149999999998</v>
      </c>
      <c r="AK7996">
        <v>54.78819</v>
      </c>
    </row>
    <row r="7997" spans="1:37" x14ac:dyDescent="0.3">
      <c r="A7997">
        <v>7996</v>
      </c>
      <c r="B7997">
        <v>0</v>
      </c>
      <c r="C7997">
        <v>-8.8452800000000007</v>
      </c>
      <c r="D7997">
        <v>7.8447199999999997</v>
      </c>
      <c r="E7997">
        <f>-8.84528-7.84472</f>
        <v>-16.690000000000001</v>
      </c>
      <c r="F7997" t="s">
        <v>11969</v>
      </c>
      <c r="G7997" t="s">
        <v>39</v>
      </c>
      <c r="H7997">
        <v>1997</v>
      </c>
      <c r="I7997">
        <v>24.1</v>
      </c>
      <c r="J7997">
        <v>14.8</v>
      </c>
      <c r="K7997">
        <v>67</v>
      </c>
      <c r="L7997">
        <v>10.58</v>
      </c>
      <c r="M7997">
        <v>34.6</v>
      </c>
      <c r="N7997">
        <v>12.6</v>
      </c>
      <c r="O7997">
        <v>22</v>
      </c>
      <c r="P7997">
        <v>23.2</v>
      </c>
      <c r="Q7997">
        <v>23.5</v>
      </c>
      <c r="R7997">
        <v>25.6</v>
      </c>
      <c r="S7997">
        <v>23.2</v>
      </c>
      <c r="T7997">
        <v>1993</v>
      </c>
      <c r="U7997">
        <v>354</v>
      </c>
      <c r="V7997">
        <v>14</v>
      </c>
      <c r="W7997">
        <v>63</v>
      </c>
      <c r="X7997">
        <v>916</v>
      </c>
      <c r="Y7997">
        <v>98</v>
      </c>
      <c r="Z7997">
        <v>447</v>
      </c>
      <c r="AA7997">
        <v>916</v>
      </c>
      <c r="AB7997">
        <v>35.954479999999997</v>
      </c>
      <c r="AC7997">
        <v>8.6446790000000006E-3</v>
      </c>
      <c r="AD7997">
        <v>2.0322209999999998</v>
      </c>
      <c r="AE7997">
        <v>0.28746189999999999</v>
      </c>
      <c r="AF7997">
        <v>487.03100000000001</v>
      </c>
      <c r="AG7997">
        <f>IFERROR(AH7997*0.1, "N/A")</f>
        <v>5.3270690000000007</v>
      </c>
      <c r="AH7997">
        <v>53.270690000000002</v>
      </c>
      <c r="AI7997">
        <v>241.99459999999999</v>
      </c>
      <c r="AJ7997">
        <v>24.432759999999998</v>
      </c>
      <c r="AK7997">
        <v>56.296550000000003</v>
      </c>
    </row>
    <row r="7998" spans="1:37" x14ac:dyDescent="0.3">
      <c r="A7998">
        <v>7997</v>
      </c>
      <c r="B7998">
        <v>0</v>
      </c>
      <c r="C7998">
        <v>-8.8452800000000007</v>
      </c>
      <c r="D7998">
        <v>7.8447199999999997</v>
      </c>
      <c r="E7998">
        <f>-8.84528-7.84472</f>
        <v>-16.690000000000001</v>
      </c>
      <c r="F7998" t="s">
        <v>11970</v>
      </c>
      <c r="G7998" t="s">
        <v>37</v>
      </c>
      <c r="H7998">
        <v>1997</v>
      </c>
      <c r="I7998">
        <v>24.1</v>
      </c>
      <c r="J7998">
        <v>14.8</v>
      </c>
      <c r="K7998">
        <v>67</v>
      </c>
      <c r="L7998">
        <v>10.58</v>
      </c>
      <c r="M7998">
        <v>34.6</v>
      </c>
      <c r="N7998">
        <v>12.6</v>
      </c>
      <c r="O7998">
        <v>22</v>
      </c>
      <c r="P7998">
        <v>23.2</v>
      </c>
      <c r="Q7998">
        <v>23.5</v>
      </c>
      <c r="R7998">
        <v>25.6</v>
      </c>
      <c r="S7998">
        <v>23.2</v>
      </c>
      <c r="T7998">
        <v>1993</v>
      </c>
      <c r="U7998">
        <v>354</v>
      </c>
      <c r="V7998">
        <v>14</v>
      </c>
      <c r="W7998">
        <v>63</v>
      </c>
      <c r="X7998">
        <v>916</v>
      </c>
      <c r="Y7998">
        <v>98</v>
      </c>
      <c r="Z7998">
        <v>447</v>
      </c>
      <c r="AA7998">
        <v>916</v>
      </c>
      <c r="AB7998">
        <v>35.954479999999997</v>
      </c>
      <c r="AC7998">
        <v>8.6446790000000006E-3</v>
      </c>
      <c r="AD7998">
        <v>2.0322209999999998</v>
      </c>
      <c r="AE7998">
        <v>0.28746189999999999</v>
      </c>
      <c r="AF7998">
        <v>487.03100000000001</v>
      </c>
      <c r="AG7998">
        <f>IFERROR(AH7998*0.1, "N/A")</f>
        <v>5.3270690000000007</v>
      </c>
      <c r="AH7998">
        <v>53.270690000000002</v>
      </c>
      <c r="AI7998">
        <v>241.99459999999999</v>
      </c>
      <c r="AJ7998">
        <v>24.432759999999998</v>
      </c>
      <c r="AK7998">
        <v>56.296550000000003</v>
      </c>
    </row>
    <row r="7999" spans="1:37" x14ac:dyDescent="0.3">
      <c r="A7999">
        <v>7998</v>
      </c>
      <c r="B7999">
        <v>0</v>
      </c>
      <c r="C7999">
        <v>-8.8302800000000001</v>
      </c>
      <c r="D7999">
        <v>7.8791700000000002</v>
      </c>
      <c r="E7999">
        <f>-8.83028-7.87917</f>
        <v>-16.70945</v>
      </c>
      <c r="F7999" t="s">
        <v>11971</v>
      </c>
      <c r="G7999" t="s">
        <v>39</v>
      </c>
      <c r="H7999">
        <v>1997</v>
      </c>
      <c r="I7999">
        <v>24.2</v>
      </c>
      <c r="J7999">
        <v>14.7</v>
      </c>
      <c r="K7999">
        <v>66</v>
      </c>
      <c r="L7999">
        <v>10.41</v>
      </c>
      <c r="M7999">
        <v>34.799999999999997</v>
      </c>
      <c r="N7999">
        <v>12.8</v>
      </c>
      <c r="O7999">
        <v>22</v>
      </c>
      <c r="P7999">
        <v>23.5</v>
      </c>
      <c r="Q7999">
        <v>23.6</v>
      </c>
      <c r="R7999">
        <v>25.7</v>
      </c>
      <c r="S7999">
        <v>23.3</v>
      </c>
      <c r="T7999">
        <v>1985</v>
      </c>
      <c r="U7999">
        <v>351</v>
      </c>
      <c r="V7999">
        <v>14</v>
      </c>
      <c r="W7999">
        <v>63</v>
      </c>
      <c r="X7999">
        <v>913</v>
      </c>
      <c r="Y7999">
        <v>96</v>
      </c>
      <c r="Z7999">
        <v>446</v>
      </c>
      <c r="AA7999">
        <v>136</v>
      </c>
      <c r="AB7999">
        <v>26.34714</v>
      </c>
      <c r="AC7999">
        <v>1.630643E-2</v>
      </c>
      <c r="AD7999">
        <v>3.9461840000000001</v>
      </c>
      <c r="AE7999">
        <v>0.26916899999999999</v>
      </c>
      <c r="AF7999">
        <v>462.85270000000003</v>
      </c>
      <c r="AG7999">
        <f>IFERROR(AH7999*0.1, "N/A")</f>
        <v>5.5008670000000004</v>
      </c>
      <c r="AH7999">
        <v>55.008670000000002</v>
      </c>
      <c r="AI7999">
        <v>206.62459999999999</v>
      </c>
      <c r="AJ7999">
        <v>26.008669999999999</v>
      </c>
      <c r="AK7999">
        <v>53.991329999999998</v>
      </c>
    </row>
    <row r="8000" spans="1:37" x14ac:dyDescent="0.3">
      <c r="A8000">
        <v>7999</v>
      </c>
      <c r="B8000">
        <v>0</v>
      </c>
      <c r="C8000">
        <v>-8.8302800000000001</v>
      </c>
      <c r="D8000">
        <v>7.8791700000000002</v>
      </c>
      <c r="E8000">
        <f>-8.83028-7.87917</f>
        <v>-16.70945</v>
      </c>
      <c r="F8000" t="s">
        <v>11972</v>
      </c>
      <c r="G8000" t="s">
        <v>37</v>
      </c>
      <c r="H8000">
        <v>1997</v>
      </c>
      <c r="I8000">
        <v>24.2</v>
      </c>
      <c r="J8000">
        <v>14.7</v>
      </c>
      <c r="K8000">
        <v>66</v>
      </c>
      <c r="L8000">
        <v>10.41</v>
      </c>
      <c r="M8000">
        <v>34.799999999999997</v>
      </c>
      <c r="N8000">
        <v>12.8</v>
      </c>
      <c r="O8000">
        <v>22</v>
      </c>
      <c r="P8000">
        <v>23.5</v>
      </c>
      <c r="Q8000">
        <v>23.6</v>
      </c>
      <c r="R8000">
        <v>25.7</v>
      </c>
      <c r="S8000">
        <v>23.3</v>
      </c>
      <c r="T8000">
        <v>1985</v>
      </c>
      <c r="U8000">
        <v>351</v>
      </c>
      <c r="V8000">
        <v>14</v>
      </c>
      <c r="W8000">
        <v>63</v>
      </c>
      <c r="X8000">
        <v>913</v>
      </c>
      <c r="Y8000">
        <v>96</v>
      </c>
      <c r="Z8000">
        <v>446</v>
      </c>
      <c r="AA8000">
        <v>136</v>
      </c>
      <c r="AB8000">
        <v>26.34714</v>
      </c>
      <c r="AC8000">
        <v>1.630643E-2</v>
      </c>
      <c r="AD8000">
        <v>3.9461840000000001</v>
      </c>
      <c r="AE8000">
        <v>0.26916899999999999</v>
      </c>
      <c r="AF8000">
        <v>462.85270000000003</v>
      </c>
      <c r="AG8000">
        <f>IFERROR(AH8000*0.1, "N/A")</f>
        <v>5.5008670000000004</v>
      </c>
      <c r="AH8000">
        <v>55.008670000000002</v>
      </c>
      <c r="AI8000">
        <v>206.62459999999999</v>
      </c>
      <c r="AJ8000">
        <v>26.008669999999999</v>
      </c>
      <c r="AK8000">
        <v>53.991329999999998</v>
      </c>
    </row>
    <row r="8001" spans="1:37" x14ac:dyDescent="0.3">
      <c r="A8001">
        <v>8000</v>
      </c>
      <c r="B8001">
        <v>100</v>
      </c>
      <c r="C8001">
        <v>-9.6716700000000007</v>
      </c>
      <c r="D8001">
        <v>8.5091699999999992</v>
      </c>
      <c r="E8001">
        <f>-9.67167-8.50917</f>
        <v>-18.18084</v>
      </c>
      <c r="F8001" t="s">
        <v>11973</v>
      </c>
      <c r="G8001" t="s">
        <v>39</v>
      </c>
      <c r="H8001">
        <v>1997</v>
      </c>
      <c r="I8001">
        <v>24.1</v>
      </c>
      <c r="J8001">
        <v>15.9</v>
      </c>
      <c r="K8001">
        <v>70</v>
      </c>
      <c r="L8001">
        <v>9.11</v>
      </c>
      <c r="M8001">
        <v>34.700000000000003</v>
      </c>
      <c r="N8001">
        <v>12.3</v>
      </c>
      <c r="O8001">
        <v>22.4</v>
      </c>
      <c r="P8001">
        <v>23.6</v>
      </c>
      <c r="Q8001">
        <v>23.3</v>
      </c>
      <c r="R8001">
        <v>25.3</v>
      </c>
      <c r="S8001">
        <v>23.1</v>
      </c>
      <c r="T8001">
        <v>2792</v>
      </c>
      <c r="U8001">
        <v>437</v>
      </c>
      <c r="V8001">
        <v>18</v>
      </c>
      <c r="W8001">
        <v>61</v>
      </c>
      <c r="X8001">
        <v>1283</v>
      </c>
      <c r="Y8001">
        <v>146</v>
      </c>
      <c r="Z8001">
        <v>563</v>
      </c>
      <c r="AA8001">
        <v>290</v>
      </c>
      <c r="AB8001">
        <v>5.3598509999999999</v>
      </c>
      <c r="AC8001">
        <v>0.96791539999999998</v>
      </c>
      <c r="AD8001">
        <v>6.2497769999999999</v>
      </c>
      <c r="AE8001">
        <v>0.2185868</v>
      </c>
      <c r="AF8001">
        <v>571.20240000000001</v>
      </c>
      <c r="AG8001">
        <f>IFERROR(AH8001*0.1, "N/A")</f>
        <v>5.0115920000000003</v>
      </c>
      <c r="AH8001">
        <v>50.115920000000003</v>
      </c>
      <c r="AI8001">
        <v>217.4134</v>
      </c>
      <c r="AJ8001">
        <v>29.71799</v>
      </c>
      <c r="AK8001">
        <v>50.562280000000001</v>
      </c>
    </row>
    <row r="8002" spans="1:37" x14ac:dyDescent="0.3">
      <c r="A8002">
        <v>8001</v>
      </c>
      <c r="B8002">
        <v>0</v>
      </c>
      <c r="C8002">
        <v>-9.6716700000000007</v>
      </c>
      <c r="D8002">
        <v>8.5091699999999992</v>
      </c>
      <c r="E8002">
        <f>-9.67167-8.50917</f>
        <v>-18.18084</v>
      </c>
      <c r="F8002" t="s">
        <v>11974</v>
      </c>
      <c r="G8002" t="s">
        <v>37</v>
      </c>
      <c r="H8002">
        <v>1997</v>
      </c>
      <c r="I8002">
        <v>24.1</v>
      </c>
      <c r="J8002">
        <v>15.9</v>
      </c>
      <c r="K8002">
        <v>70</v>
      </c>
      <c r="L8002">
        <v>9.11</v>
      </c>
      <c r="M8002">
        <v>34.700000000000003</v>
      </c>
      <c r="N8002">
        <v>12.3</v>
      </c>
      <c r="O8002">
        <v>22.4</v>
      </c>
      <c r="P8002">
        <v>23.6</v>
      </c>
      <c r="Q8002">
        <v>23.3</v>
      </c>
      <c r="R8002">
        <v>25.3</v>
      </c>
      <c r="S8002">
        <v>23.1</v>
      </c>
      <c r="T8002">
        <v>2792</v>
      </c>
      <c r="U8002">
        <v>437</v>
      </c>
      <c r="V8002">
        <v>18</v>
      </c>
      <c r="W8002">
        <v>61</v>
      </c>
      <c r="X8002">
        <v>1283</v>
      </c>
      <c r="Y8002">
        <v>146</v>
      </c>
      <c r="Z8002">
        <v>563</v>
      </c>
      <c r="AA8002">
        <v>290</v>
      </c>
      <c r="AB8002">
        <v>5.3598509999999999</v>
      </c>
      <c r="AC8002">
        <v>0.96791539999999998</v>
      </c>
      <c r="AD8002">
        <v>6.2497769999999999</v>
      </c>
      <c r="AE8002">
        <v>0.2185868</v>
      </c>
      <c r="AF8002">
        <v>571.20240000000001</v>
      </c>
      <c r="AG8002">
        <f>IFERROR(AH8002*0.1, "N/A")</f>
        <v>5.0115920000000003</v>
      </c>
      <c r="AH8002">
        <v>50.115920000000003</v>
      </c>
      <c r="AI8002">
        <v>217.4134</v>
      </c>
      <c r="AJ8002">
        <v>29.71799</v>
      </c>
      <c r="AK8002">
        <v>50.562280000000001</v>
      </c>
    </row>
    <row r="8003" spans="1:37" x14ac:dyDescent="0.3">
      <c r="A8003">
        <v>8002</v>
      </c>
      <c r="B8003">
        <v>0</v>
      </c>
      <c r="C8003">
        <v>-9.3836099999999991</v>
      </c>
      <c r="D8003">
        <v>8.5130599999999994</v>
      </c>
      <c r="E8003">
        <f>-9.38361-8.51306</f>
        <v>-17.89667</v>
      </c>
      <c r="F8003" t="s">
        <v>11975</v>
      </c>
      <c r="G8003" t="s">
        <v>39</v>
      </c>
      <c r="H8003">
        <v>1997</v>
      </c>
      <c r="I8003">
        <v>24</v>
      </c>
      <c r="J8003">
        <v>15.9</v>
      </c>
      <c r="K8003">
        <v>68.017300000000006</v>
      </c>
      <c r="L8003">
        <v>8.4449830000000006</v>
      </c>
      <c r="M8003">
        <v>34.700000000000003</v>
      </c>
      <c r="N8003">
        <v>11.60173</v>
      </c>
      <c r="O8003">
        <v>23.098269999999999</v>
      </c>
      <c r="P8003">
        <v>23.60173</v>
      </c>
      <c r="Q8003">
        <v>23.001729999999998</v>
      </c>
      <c r="R8003">
        <v>25</v>
      </c>
      <c r="S8003">
        <v>23</v>
      </c>
      <c r="T8003">
        <v>2694.81</v>
      </c>
      <c r="U8003">
        <v>488.98270000000002</v>
      </c>
      <c r="V8003">
        <v>15.982699999999999</v>
      </c>
      <c r="W8003">
        <v>67</v>
      </c>
      <c r="X8003">
        <v>1337.9480000000001</v>
      </c>
      <c r="Y8003">
        <v>123.9481</v>
      </c>
      <c r="Z8003">
        <v>528.96540000000005</v>
      </c>
      <c r="AA8003">
        <v>224.94810000000001</v>
      </c>
      <c r="AB8003">
        <v>21.942740000000001</v>
      </c>
      <c r="AC8003">
        <v>2.9609010000000002E-2</v>
      </c>
      <c r="AD8003">
        <v>5.5686070000000001</v>
      </c>
      <c r="AE8003">
        <v>0.24879860000000001</v>
      </c>
      <c r="AF8003">
        <v>549.38059999999996</v>
      </c>
      <c r="AG8003">
        <f>IFERROR(AH8003*0.1, "N/A")</f>
        <v>5.1000000000000005</v>
      </c>
      <c r="AH8003">
        <v>51</v>
      </c>
      <c r="AI8003">
        <v>218.80690000000001</v>
      </c>
      <c r="AJ8003">
        <v>32.546709999999997</v>
      </c>
      <c r="AK8003">
        <v>49.489620000000002</v>
      </c>
    </row>
    <row r="8004" spans="1:37" x14ac:dyDescent="0.3">
      <c r="A8004">
        <v>8003</v>
      </c>
      <c r="B8004">
        <v>0</v>
      </c>
      <c r="C8004">
        <v>-9.3836099999999991</v>
      </c>
      <c r="D8004">
        <v>8.5130599999999994</v>
      </c>
      <c r="E8004">
        <f>-9.38361-8.51306</f>
        <v>-17.89667</v>
      </c>
      <c r="F8004" t="s">
        <v>11976</v>
      </c>
      <c r="G8004" t="s">
        <v>37</v>
      </c>
      <c r="H8004">
        <v>1997</v>
      </c>
      <c r="I8004">
        <v>24</v>
      </c>
      <c r="J8004">
        <v>15.9</v>
      </c>
      <c r="K8004">
        <v>68.017300000000006</v>
      </c>
      <c r="L8004">
        <v>8.4449830000000006</v>
      </c>
      <c r="M8004">
        <v>34.700000000000003</v>
      </c>
      <c r="N8004">
        <v>11.60173</v>
      </c>
      <c r="O8004">
        <v>23.098269999999999</v>
      </c>
      <c r="P8004">
        <v>23.60173</v>
      </c>
      <c r="Q8004">
        <v>23.001729999999998</v>
      </c>
      <c r="R8004">
        <v>25</v>
      </c>
      <c r="S8004">
        <v>23</v>
      </c>
      <c r="T8004">
        <v>2694.81</v>
      </c>
      <c r="U8004">
        <v>488.98270000000002</v>
      </c>
      <c r="V8004">
        <v>15.982699999999999</v>
      </c>
      <c r="W8004">
        <v>67</v>
      </c>
      <c r="X8004">
        <v>1337.9480000000001</v>
      </c>
      <c r="Y8004">
        <v>123.9481</v>
      </c>
      <c r="Z8004">
        <v>528.96540000000005</v>
      </c>
      <c r="AA8004">
        <v>224.94810000000001</v>
      </c>
      <c r="AB8004">
        <v>21.942740000000001</v>
      </c>
      <c r="AC8004">
        <v>2.9609010000000002E-2</v>
      </c>
      <c r="AD8004">
        <v>5.5686070000000001</v>
      </c>
      <c r="AE8004">
        <v>0.24879860000000001</v>
      </c>
      <c r="AF8004">
        <v>549.38059999999996</v>
      </c>
      <c r="AG8004">
        <f>IFERROR(AH8004*0.1, "N/A")</f>
        <v>5.1000000000000005</v>
      </c>
      <c r="AH8004">
        <v>51</v>
      </c>
      <c r="AI8004">
        <v>218.80690000000001</v>
      </c>
      <c r="AJ8004">
        <v>32.546709999999997</v>
      </c>
      <c r="AK8004">
        <v>49.489620000000002</v>
      </c>
    </row>
    <row r="8005" spans="1:37" x14ac:dyDescent="0.3">
      <c r="A8005">
        <v>8004</v>
      </c>
      <c r="B8005">
        <v>0</v>
      </c>
      <c r="C8005">
        <v>-9.3966700000000003</v>
      </c>
      <c r="D8005">
        <v>8.5727799999999998</v>
      </c>
      <c r="E8005">
        <f>-9.39667-8.57278</f>
        <v>-17.969450000000002</v>
      </c>
      <c r="F8005" t="s">
        <v>11977</v>
      </c>
      <c r="G8005" t="s">
        <v>39</v>
      </c>
      <c r="H8005">
        <v>1997</v>
      </c>
      <c r="I8005">
        <v>24.1</v>
      </c>
      <c r="J8005">
        <v>16</v>
      </c>
      <c r="K8005">
        <v>68</v>
      </c>
      <c r="L8005">
        <v>8.7100000000000009</v>
      </c>
      <c r="M8005">
        <v>34.9</v>
      </c>
      <c r="N8005">
        <v>11.5</v>
      </c>
      <c r="O8005">
        <v>23.4</v>
      </c>
      <c r="P8005">
        <v>23.6</v>
      </c>
      <c r="Q8005">
        <v>23.2</v>
      </c>
      <c r="R8005">
        <v>25.2</v>
      </c>
      <c r="S8005">
        <v>23.1</v>
      </c>
      <c r="T8005">
        <v>2696</v>
      </c>
      <c r="U8005">
        <v>495</v>
      </c>
      <c r="V8005">
        <v>15</v>
      </c>
      <c r="W8005">
        <v>68</v>
      </c>
      <c r="X8005">
        <v>1350</v>
      </c>
      <c r="Y8005">
        <v>119</v>
      </c>
      <c r="Z8005">
        <v>524</v>
      </c>
      <c r="AA8005">
        <v>221</v>
      </c>
      <c r="AB8005">
        <v>5.1440590000000004</v>
      </c>
      <c r="AC8005">
        <v>0.40635320000000003</v>
      </c>
      <c r="AD8005">
        <v>3.1587049999999999</v>
      </c>
      <c r="AE8005">
        <v>0.42340270000000002</v>
      </c>
      <c r="AF8005">
        <v>532.23739999999998</v>
      </c>
      <c r="AG8005">
        <f>IFERROR(AH8005*0.1, "N/A")</f>
        <v>5</v>
      </c>
      <c r="AH8005">
        <v>50</v>
      </c>
      <c r="AI8005">
        <v>227.2698</v>
      </c>
      <c r="AJ8005">
        <v>30</v>
      </c>
      <c r="AK8005">
        <v>50</v>
      </c>
    </row>
    <row r="8006" spans="1:37" x14ac:dyDescent="0.3">
      <c r="A8006">
        <v>8005</v>
      </c>
      <c r="B8006">
        <v>0</v>
      </c>
      <c r="C8006">
        <v>-9.3966700000000003</v>
      </c>
      <c r="D8006">
        <v>8.5727799999999998</v>
      </c>
      <c r="E8006">
        <f>-9.39667-8.57278</f>
        <v>-17.969450000000002</v>
      </c>
      <c r="F8006" t="s">
        <v>11978</v>
      </c>
      <c r="G8006" t="s">
        <v>37</v>
      </c>
      <c r="H8006">
        <v>1997</v>
      </c>
      <c r="I8006">
        <v>24.1</v>
      </c>
      <c r="J8006">
        <v>16</v>
      </c>
      <c r="K8006">
        <v>68</v>
      </c>
      <c r="L8006">
        <v>8.7100000000000009</v>
      </c>
      <c r="M8006">
        <v>34.9</v>
      </c>
      <c r="N8006">
        <v>11.5</v>
      </c>
      <c r="O8006">
        <v>23.4</v>
      </c>
      <c r="P8006">
        <v>23.6</v>
      </c>
      <c r="Q8006">
        <v>23.2</v>
      </c>
      <c r="R8006">
        <v>25.2</v>
      </c>
      <c r="S8006">
        <v>23.1</v>
      </c>
      <c r="T8006">
        <v>2696</v>
      </c>
      <c r="U8006">
        <v>495</v>
      </c>
      <c r="V8006">
        <v>15</v>
      </c>
      <c r="W8006">
        <v>68</v>
      </c>
      <c r="X8006">
        <v>1350</v>
      </c>
      <c r="Y8006">
        <v>119</v>
      </c>
      <c r="Z8006">
        <v>524</v>
      </c>
      <c r="AA8006">
        <v>221</v>
      </c>
      <c r="AB8006">
        <v>5.1440590000000004</v>
      </c>
      <c r="AC8006">
        <v>0.40635320000000003</v>
      </c>
      <c r="AD8006">
        <v>3.1587049999999999</v>
      </c>
      <c r="AE8006">
        <v>0.42340270000000002</v>
      </c>
      <c r="AF8006">
        <v>532.23739999999998</v>
      </c>
      <c r="AG8006">
        <f>IFERROR(AH8006*0.1, "N/A")</f>
        <v>5</v>
      </c>
      <c r="AH8006">
        <v>50</v>
      </c>
      <c r="AI8006">
        <v>227.2698</v>
      </c>
      <c r="AJ8006">
        <v>30</v>
      </c>
      <c r="AK8006">
        <v>50</v>
      </c>
    </row>
    <row r="8007" spans="1:37" x14ac:dyDescent="0.3">
      <c r="A8007">
        <v>8006</v>
      </c>
      <c r="B8007">
        <v>0</v>
      </c>
      <c r="C8007">
        <v>-13.646100000000001</v>
      </c>
      <c r="D8007">
        <v>9.6116700000000002</v>
      </c>
      <c r="E8007">
        <f>-13.6461-9.61167</f>
        <v>-23.257770000000001</v>
      </c>
      <c r="F8007" t="s">
        <v>11979</v>
      </c>
      <c r="G8007" t="s">
        <v>39</v>
      </c>
      <c r="H8007">
        <v>1997</v>
      </c>
      <c r="I8007">
        <v>27.3</v>
      </c>
      <c r="J8007">
        <v>8</v>
      </c>
      <c r="K8007">
        <v>66</v>
      </c>
      <c r="L8007">
        <v>10.85</v>
      </c>
      <c r="M8007">
        <v>34</v>
      </c>
      <c r="N8007">
        <v>21.9</v>
      </c>
      <c r="O8007">
        <v>12.1</v>
      </c>
      <c r="P8007">
        <v>25.8</v>
      </c>
      <c r="Q8007">
        <v>27.7</v>
      </c>
      <c r="R8007">
        <v>28.7</v>
      </c>
      <c r="S8007">
        <v>25.8</v>
      </c>
      <c r="T8007">
        <v>3785</v>
      </c>
      <c r="U8007">
        <v>1107</v>
      </c>
      <c r="V8007">
        <v>1</v>
      </c>
      <c r="W8007">
        <v>125</v>
      </c>
      <c r="X8007">
        <v>2797</v>
      </c>
      <c r="Y8007">
        <v>6</v>
      </c>
      <c r="Z8007">
        <v>162</v>
      </c>
      <c r="AA8007">
        <v>2797</v>
      </c>
      <c r="AB8007">
        <v>14.663040000000001</v>
      </c>
      <c r="AC8007">
        <v>8.0809130000000007E-2</v>
      </c>
      <c r="AD8007">
        <v>1.279514</v>
      </c>
      <c r="AE8007">
        <v>0.92689429999999995</v>
      </c>
      <c r="AF8007">
        <v>15.91883</v>
      </c>
      <c r="AG8007">
        <f>IFERROR(AH8007*0.1, "N/A")</f>
        <v>5.3932640000000003</v>
      </c>
      <c r="AH8007">
        <v>53.932639999999999</v>
      </c>
      <c r="AI8007">
        <v>112.1337</v>
      </c>
      <c r="AJ8007">
        <v>34.051810000000003</v>
      </c>
      <c r="AK8007">
        <v>39.373060000000002</v>
      </c>
    </row>
    <row r="8008" spans="1:37" x14ac:dyDescent="0.3">
      <c r="A8008">
        <v>8007</v>
      </c>
      <c r="B8008">
        <v>0</v>
      </c>
      <c r="C8008">
        <v>-13.646100000000001</v>
      </c>
      <c r="D8008">
        <v>9.6116700000000002</v>
      </c>
      <c r="E8008">
        <f>-13.6461-9.61167</f>
        <v>-23.257770000000001</v>
      </c>
      <c r="F8008" t="s">
        <v>11980</v>
      </c>
      <c r="G8008" t="s">
        <v>37</v>
      </c>
      <c r="H8008">
        <v>1997</v>
      </c>
      <c r="I8008">
        <v>27.3</v>
      </c>
      <c r="J8008">
        <v>8</v>
      </c>
      <c r="K8008">
        <v>66</v>
      </c>
      <c r="L8008">
        <v>10.85</v>
      </c>
      <c r="M8008">
        <v>34</v>
      </c>
      <c r="N8008">
        <v>21.9</v>
      </c>
      <c r="O8008">
        <v>12.1</v>
      </c>
      <c r="P8008">
        <v>25.8</v>
      </c>
      <c r="Q8008">
        <v>27.7</v>
      </c>
      <c r="R8008">
        <v>28.7</v>
      </c>
      <c r="S8008">
        <v>25.8</v>
      </c>
      <c r="T8008">
        <v>3785</v>
      </c>
      <c r="U8008">
        <v>1107</v>
      </c>
      <c r="V8008">
        <v>1</v>
      </c>
      <c r="W8008">
        <v>125</v>
      </c>
      <c r="X8008">
        <v>2797</v>
      </c>
      <c r="Y8008">
        <v>6</v>
      </c>
      <c r="Z8008">
        <v>162</v>
      </c>
      <c r="AA8008">
        <v>2797</v>
      </c>
      <c r="AB8008">
        <v>14.663040000000001</v>
      </c>
      <c r="AC8008">
        <v>8.0809130000000007E-2</v>
      </c>
      <c r="AD8008">
        <v>1.279514</v>
      </c>
      <c r="AE8008">
        <v>0.92689429999999995</v>
      </c>
      <c r="AF8008">
        <v>15.91883</v>
      </c>
      <c r="AG8008">
        <f>IFERROR(AH8008*0.1, "N/A")</f>
        <v>5.3932640000000003</v>
      </c>
      <c r="AH8008">
        <v>53.932639999999999</v>
      </c>
      <c r="AI8008">
        <v>112.1337</v>
      </c>
      <c r="AJ8008">
        <v>34.051810000000003</v>
      </c>
      <c r="AK8008">
        <v>39.373060000000002</v>
      </c>
    </row>
    <row r="8009" spans="1:37" x14ac:dyDescent="0.3">
      <c r="A8009">
        <v>8008</v>
      </c>
      <c r="B8009">
        <v>0</v>
      </c>
      <c r="C8009">
        <v>-13.6333</v>
      </c>
      <c r="D8009">
        <v>9.6166699999999992</v>
      </c>
      <c r="E8009">
        <f>-13.6333-9.61667</f>
        <v>-23.249969999999998</v>
      </c>
      <c r="F8009" t="s">
        <v>11981</v>
      </c>
      <c r="G8009" t="s">
        <v>39</v>
      </c>
      <c r="H8009">
        <v>1997</v>
      </c>
      <c r="I8009">
        <v>27.223099999999999</v>
      </c>
      <c r="J8009">
        <v>8.0682759999999991</v>
      </c>
      <c r="K8009">
        <v>65.884479999999996</v>
      </c>
      <c r="L8009">
        <v>10.9884</v>
      </c>
      <c r="M8009">
        <v>33.962240000000001</v>
      </c>
      <c r="N8009">
        <v>21.87086</v>
      </c>
      <c r="O8009">
        <v>12.091379999999999</v>
      </c>
      <c r="P8009">
        <v>25.69397</v>
      </c>
      <c r="Q8009">
        <v>27.623100000000001</v>
      </c>
      <c r="R8009">
        <v>28.582409999999999</v>
      </c>
      <c r="S8009">
        <v>25.69397</v>
      </c>
      <c r="T8009">
        <v>3785.71</v>
      </c>
      <c r="U8009">
        <v>1113.941</v>
      </c>
      <c r="V8009">
        <v>1</v>
      </c>
      <c r="W8009">
        <v>125</v>
      </c>
      <c r="X8009">
        <v>2798.7840000000001</v>
      </c>
      <c r="Y8009">
        <v>6</v>
      </c>
      <c r="Z8009">
        <v>162.29140000000001</v>
      </c>
      <c r="AA8009">
        <v>2798.7840000000001</v>
      </c>
      <c r="AB8009">
        <v>21.502759999999999</v>
      </c>
      <c r="AC8009">
        <v>8.4301069999999992E-3</v>
      </c>
      <c r="AD8009">
        <v>1.8261130000000001</v>
      </c>
      <c r="AE8009">
        <v>0.91816410000000004</v>
      </c>
      <c r="AF8009">
        <v>25.613790000000002</v>
      </c>
      <c r="AG8009">
        <f>IFERROR(AH8009*0.1, "N/A")</f>
        <v>5</v>
      </c>
      <c r="AH8009">
        <v>50</v>
      </c>
      <c r="AI8009">
        <v>104.05240000000001</v>
      </c>
      <c r="AJ8009">
        <v>31.424140000000001</v>
      </c>
      <c r="AK8009">
        <v>45</v>
      </c>
    </row>
    <row r="8010" spans="1:37" x14ac:dyDescent="0.3">
      <c r="A8010">
        <v>8009</v>
      </c>
      <c r="B8010">
        <v>0</v>
      </c>
      <c r="C8010">
        <v>-13.6333</v>
      </c>
      <c r="D8010">
        <v>9.6166699999999992</v>
      </c>
      <c r="E8010">
        <f>-13.6333-9.61667</f>
        <v>-23.249969999999998</v>
      </c>
      <c r="F8010" t="s">
        <v>11982</v>
      </c>
      <c r="G8010" t="s">
        <v>37</v>
      </c>
      <c r="H8010">
        <v>1997</v>
      </c>
      <c r="I8010">
        <v>27.223099999999999</v>
      </c>
      <c r="J8010">
        <v>8.0682759999999991</v>
      </c>
      <c r="K8010">
        <v>65.884479999999996</v>
      </c>
      <c r="L8010">
        <v>10.9884</v>
      </c>
      <c r="M8010">
        <v>33.962240000000001</v>
      </c>
      <c r="N8010">
        <v>21.87086</v>
      </c>
      <c r="O8010">
        <v>12.091379999999999</v>
      </c>
      <c r="P8010">
        <v>25.69397</v>
      </c>
      <c r="Q8010">
        <v>27.623100000000001</v>
      </c>
      <c r="R8010">
        <v>28.582409999999999</v>
      </c>
      <c r="S8010">
        <v>25.69397</v>
      </c>
      <c r="T8010">
        <v>3785.71</v>
      </c>
      <c r="U8010">
        <v>1113.941</v>
      </c>
      <c r="V8010">
        <v>1</v>
      </c>
      <c r="W8010">
        <v>125</v>
      </c>
      <c r="X8010">
        <v>2798.7840000000001</v>
      </c>
      <c r="Y8010">
        <v>6</v>
      </c>
      <c r="Z8010">
        <v>162.29140000000001</v>
      </c>
      <c r="AA8010">
        <v>2798.7840000000001</v>
      </c>
      <c r="AB8010">
        <v>21.502759999999999</v>
      </c>
      <c r="AC8010">
        <v>8.4301069999999992E-3</v>
      </c>
      <c r="AD8010">
        <v>1.8261130000000001</v>
      </c>
      <c r="AE8010">
        <v>0.91816410000000004</v>
      </c>
      <c r="AF8010">
        <v>25.613790000000002</v>
      </c>
      <c r="AG8010">
        <f>IFERROR(AH8010*0.1, "N/A")</f>
        <v>5</v>
      </c>
      <c r="AH8010">
        <v>50</v>
      </c>
      <c r="AI8010">
        <v>104.05240000000001</v>
      </c>
      <c r="AJ8010">
        <v>31.424140000000001</v>
      </c>
      <c r="AK8010">
        <v>45</v>
      </c>
    </row>
    <row r="8011" spans="1:37" x14ac:dyDescent="0.3">
      <c r="A8011">
        <v>8010</v>
      </c>
      <c r="B8011">
        <v>20</v>
      </c>
      <c r="C8011">
        <v>-13.601900000000001</v>
      </c>
      <c r="D8011">
        <v>9.6602800000000002</v>
      </c>
      <c r="E8011">
        <f>-13.6019-9.66028</f>
        <v>-23.262180000000001</v>
      </c>
      <c r="F8011" t="s">
        <v>11983</v>
      </c>
      <c r="G8011" t="s">
        <v>39</v>
      </c>
      <c r="H8011">
        <v>1997</v>
      </c>
      <c r="I8011">
        <v>27.6</v>
      </c>
      <c r="J8011">
        <v>8.4</v>
      </c>
      <c r="K8011">
        <v>65</v>
      </c>
      <c r="L8011">
        <v>11.61</v>
      </c>
      <c r="M8011">
        <v>34.700000000000003</v>
      </c>
      <c r="N8011">
        <v>21.9</v>
      </c>
      <c r="O8011">
        <v>12.8</v>
      </c>
      <c r="P8011">
        <v>26</v>
      </c>
      <c r="Q8011">
        <v>28</v>
      </c>
      <c r="R8011">
        <v>29.1</v>
      </c>
      <c r="S8011">
        <v>26</v>
      </c>
      <c r="T8011">
        <v>3759</v>
      </c>
      <c r="U8011">
        <v>1130</v>
      </c>
      <c r="V8011">
        <v>1</v>
      </c>
      <c r="W8011">
        <v>125</v>
      </c>
      <c r="X8011">
        <v>2781</v>
      </c>
      <c r="Y8011">
        <v>6</v>
      </c>
      <c r="Z8011">
        <v>163</v>
      </c>
      <c r="AA8011">
        <v>2781</v>
      </c>
      <c r="AB8011">
        <v>6.6784109999999997</v>
      </c>
      <c r="AC8011">
        <v>5.0472580000000003E-2</v>
      </c>
      <c r="AD8011">
        <v>3.3170289999999998</v>
      </c>
      <c r="AE8011">
        <v>0.88953800000000005</v>
      </c>
      <c r="AF8011">
        <v>7.9499139999999997</v>
      </c>
      <c r="AG8011">
        <f>IFERROR(AH8011*0.1, "N/A")</f>
        <v>4.6148530000000001</v>
      </c>
      <c r="AH8011">
        <v>46.148530000000001</v>
      </c>
      <c r="AI8011">
        <v>306.29340000000002</v>
      </c>
      <c r="AJ8011">
        <v>28.488769999999999</v>
      </c>
      <c r="AK8011">
        <v>43.849739999999997</v>
      </c>
    </row>
    <row r="8012" spans="1:37" x14ac:dyDescent="0.3">
      <c r="A8012">
        <v>8011</v>
      </c>
      <c r="B8012">
        <v>0</v>
      </c>
      <c r="C8012">
        <v>-13.601900000000001</v>
      </c>
      <c r="D8012">
        <v>9.6602800000000002</v>
      </c>
      <c r="E8012">
        <f>-13.6019-9.66028</f>
        <v>-23.262180000000001</v>
      </c>
      <c r="F8012" t="s">
        <v>11984</v>
      </c>
      <c r="G8012" t="s">
        <v>37</v>
      </c>
      <c r="H8012">
        <v>1997</v>
      </c>
      <c r="I8012">
        <v>27.6</v>
      </c>
      <c r="J8012">
        <v>8.4</v>
      </c>
      <c r="K8012">
        <v>65</v>
      </c>
      <c r="L8012">
        <v>11.61</v>
      </c>
      <c r="M8012">
        <v>34.700000000000003</v>
      </c>
      <c r="N8012">
        <v>21.9</v>
      </c>
      <c r="O8012">
        <v>12.8</v>
      </c>
      <c r="P8012">
        <v>26</v>
      </c>
      <c r="Q8012">
        <v>28</v>
      </c>
      <c r="R8012">
        <v>29.1</v>
      </c>
      <c r="S8012">
        <v>26</v>
      </c>
      <c r="T8012">
        <v>3759</v>
      </c>
      <c r="U8012">
        <v>1130</v>
      </c>
      <c r="V8012">
        <v>1</v>
      </c>
      <c r="W8012">
        <v>125</v>
      </c>
      <c r="X8012">
        <v>2781</v>
      </c>
      <c r="Y8012">
        <v>6</v>
      </c>
      <c r="Z8012">
        <v>163</v>
      </c>
      <c r="AA8012">
        <v>2781</v>
      </c>
      <c r="AB8012">
        <v>6.6784109999999997</v>
      </c>
      <c r="AC8012">
        <v>5.0472580000000003E-2</v>
      </c>
      <c r="AD8012">
        <v>3.3170289999999998</v>
      </c>
      <c r="AE8012">
        <v>0.88953800000000005</v>
      </c>
      <c r="AF8012">
        <v>7.9499139999999997</v>
      </c>
      <c r="AG8012">
        <f>IFERROR(AH8012*0.1, "N/A")</f>
        <v>4.6148530000000001</v>
      </c>
      <c r="AH8012">
        <v>46.148530000000001</v>
      </c>
      <c r="AI8012">
        <v>306.29340000000002</v>
      </c>
      <c r="AJ8012">
        <v>28.488769999999999</v>
      </c>
      <c r="AK8012">
        <v>43.849739999999997</v>
      </c>
    </row>
    <row r="8013" spans="1:37" x14ac:dyDescent="0.3">
      <c r="A8013">
        <v>8012</v>
      </c>
      <c r="B8013">
        <v>0</v>
      </c>
      <c r="C8013">
        <v>-13.5931</v>
      </c>
      <c r="D8013">
        <v>9.6644400000000008</v>
      </c>
      <c r="E8013">
        <f>-13.5931-9.66444</f>
        <v>-23.257539999999999</v>
      </c>
      <c r="F8013" t="s">
        <v>11985</v>
      </c>
      <c r="G8013" t="s">
        <v>39</v>
      </c>
      <c r="H8013">
        <v>1997</v>
      </c>
      <c r="I8013">
        <v>27.5</v>
      </c>
      <c r="J8013">
        <v>8.4</v>
      </c>
      <c r="K8013">
        <v>66</v>
      </c>
      <c r="L8013">
        <v>11.65</v>
      </c>
      <c r="M8013">
        <v>34.6</v>
      </c>
      <c r="N8013">
        <v>21.9</v>
      </c>
      <c r="O8013">
        <v>12.7</v>
      </c>
      <c r="P8013">
        <v>25.9</v>
      </c>
      <c r="Q8013">
        <v>28</v>
      </c>
      <c r="R8013">
        <v>29</v>
      </c>
      <c r="S8013">
        <v>25.9</v>
      </c>
      <c r="T8013">
        <v>3760</v>
      </c>
      <c r="U8013">
        <v>1133</v>
      </c>
      <c r="V8013">
        <v>1</v>
      </c>
      <c r="W8013">
        <v>125</v>
      </c>
      <c r="X8013">
        <v>2782</v>
      </c>
      <c r="Y8013">
        <v>6</v>
      </c>
      <c r="Z8013">
        <v>163</v>
      </c>
      <c r="AA8013">
        <v>2782</v>
      </c>
      <c r="AB8013">
        <v>13.453810000000001</v>
      </c>
      <c r="AC8013">
        <v>0.1679708</v>
      </c>
      <c r="AD8013">
        <v>2.2033140000000002</v>
      </c>
      <c r="AE8013">
        <v>0.91156289999999995</v>
      </c>
      <c r="AF8013">
        <v>18.351209999999998</v>
      </c>
      <c r="AG8013">
        <f>IFERROR(AH8013*0.1, "N/A")</f>
        <v>4.6131489999999999</v>
      </c>
      <c r="AH8013">
        <v>46.131489999999999</v>
      </c>
      <c r="AI8013">
        <v>303.27089999999998</v>
      </c>
      <c r="AJ8013">
        <v>26.188580000000002</v>
      </c>
      <c r="AK8013">
        <v>46.188580000000002</v>
      </c>
    </row>
    <row r="8014" spans="1:37" x14ac:dyDescent="0.3">
      <c r="A8014">
        <v>8013</v>
      </c>
      <c r="B8014">
        <v>0</v>
      </c>
      <c r="C8014">
        <v>-13.5931</v>
      </c>
      <c r="D8014">
        <v>9.6644400000000008</v>
      </c>
      <c r="E8014">
        <f>-13.5931-9.66444</f>
        <v>-23.257539999999999</v>
      </c>
      <c r="F8014" t="s">
        <v>11986</v>
      </c>
      <c r="G8014" t="s">
        <v>37</v>
      </c>
      <c r="H8014">
        <v>1997</v>
      </c>
      <c r="I8014">
        <v>27.5</v>
      </c>
      <c r="J8014">
        <v>8.4</v>
      </c>
      <c r="K8014">
        <v>66</v>
      </c>
      <c r="L8014">
        <v>11.65</v>
      </c>
      <c r="M8014">
        <v>34.6</v>
      </c>
      <c r="N8014">
        <v>21.9</v>
      </c>
      <c r="O8014">
        <v>12.7</v>
      </c>
      <c r="P8014">
        <v>25.9</v>
      </c>
      <c r="Q8014">
        <v>28</v>
      </c>
      <c r="R8014">
        <v>29</v>
      </c>
      <c r="S8014">
        <v>25.9</v>
      </c>
      <c r="T8014">
        <v>3760</v>
      </c>
      <c r="U8014">
        <v>1133</v>
      </c>
      <c r="V8014">
        <v>1</v>
      </c>
      <c r="W8014">
        <v>125</v>
      </c>
      <c r="X8014">
        <v>2782</v>
      </c>
      <c r="Y8014">
        <v>6</v>
      </c>
      <c r="Z8014">
        <v>163</v>
      </c>
      <c r="AA8014">
        <v>2782</v>
      </c>
      <c r="AB8014">
        <v>13.453810000000001</v>
      </c>
      <c r="AC8014">
        <v>0.1679708</v>
      </c>
      <c r="AD8014">
        <v>2.2033140000000002</v>
      </c>
      <c r="AE8014">
        <v>0.91156289999999995</v>
      </c>
      <c r="AF8014">
        <v>18.351209999999998</v>
      </c>
      <c r="AG8014">
        <f>IFERROR(AH8014*0.1, "N/A")</f>
        <v>4.6131489999999999</v>
      </c>
      <c r="AH8014">
        <v>46.131489999999999</v>
      </c>
      <c r="AI8014">
        <v>303.27089999999998</v>
      </c>
      <c r="AJ8014">
        <v>26.188580000000002</v>
      </c>
      <c r="AK8014">
        <v>46.188580000000002</v>
      </c>
    </row>
    <row r="8015" spans="1:37" x14ac:dyDescent="0.3">
      <c r="A8015">
        <v>8014</v>
      </c>
      <c r="B8015">
        <v>0</v>
      </c>
      <c r="C8015">
        <v>-13.5558</v>
      </c>
      <c r="D8015">
        <v>9.6666699999999999</v>
      </c>
      <c r="E8015">
        <f>-13.5558-9.66667</f>
        <v>-23.222470000000001</v>
      </c>
      <c r="F8015" t="s">
        <v>11987</v>
      </c>
      <c r="G8015" t="s">
        <v>39</v>
      </c>
      <c r="H8015">
        <v>1997</v>
      </c>
      <c r="I8015">
        <v>27.1431</v>
      </c>
      <c r="J8015">
        <v>8.4</v>
      </c>
      <c r="K8015">
        <v>65.568969999999993</v>
      </c>
      <c r="L8015">
        <v>12.02345</v>
      </c>
      <c r="M8015">
        <v>34.286209999999997</v>
      </c>
      <c r="N8015">
        <v>21.5</v>
      </c>
      <c r="O8015">
        <v>12.786210000000001</v>
      </c>
      <c r="P8015">
        <v>25.5</v>
      </c>
      <c r="Q8015">
        <v>27.7</v>
      </c>
      <c r="R8015">
        <v>28.6431</v>
      </c>
      <c r="S8015">
        <v>25.5</v>
      </c>
      <c r="T8015">
        <v>3737.8449999999998</v>
      </c>
      <c r="U8015">
        <v>1139.431</v>
      </c>
      <c r="V8015">
        <v>1</v>
      </c>
      <c r="W8015">
        <v>124</v>
      </c>
      <c r="X8015">
        <v>2757.2759999999998</v>
      </c>
      <c r="Y8015">
        <v>7</v>
      </c>
      <c r="Z8015">
        <v>169</v>
      </c>
      <c r="AA8015">
        <v>2757.2759999999998</v>
      </c>
      <c r="AB8015">
        <v>55.151040000000002</v>
      </c>
      <c r="AC8015">
        <v>2.9181240000000001E-2</v>
      </c>
      <c r="AD8015">
        <v>1.014483</v>
      </c>
      <c r="AE8015">
        <v>0.93891760000000002</v>
      </c>
      <c r="AF8015">
        <v>94.575860000000006</v>
      </c>
      <c r="AG8015">
        <f>IFERROR(AH8015*0.1, "N/A")</f>
        <v>6.203793000000001</v>
      </c>
      <c r="AH8015">
        <v>62.037930000000003</v>
      </c>
      <c r="AI8015">
        <v>169.0324</v>
      </c>
      <c r="AJ8015">
        <v>31.031030000000001</v>
      </c>
      <c r="AK8015">
        <v>43.998280000000001</v>
      </c>
    </row>
    <row r="8016" spans="1:37" x14ac:dyDescent="0.3">
      <c r="A8016">
        <v>8015</v>
      </c>
      <c r="B8016">
        <v>0</v>
      </c>
      <c r="C8016">
        <v>-13.5558</v>
      </c>
      <c r="D8016">
        <v>9.6666699999999999</v>
      </c>
      <c r="E8016">
        <f>-13.5558-9.66667</f>
        <v>-23.222470000000001</v>
      </c>
      <c r="F8016" t="s">
        <v>11988</v>
      </c>
      <c r="G8016" t="s">
        <v>37</v>
      </c>
      <c r="H8016">
        <v>1997</v>
      </c>
      <c r="I8016">
        <v>27.1431</v>
      </c>
      <c r="J8016">
        <v>8.4</v>
      </c>
      <c r="K8016">
        <v>65.568969999999993</v>
      </c>
      <c r="L8016">
        <v>12.02345</v>
      </c>
      <c r="M8016">
        <v>34.286209999999997</v>
      </c>
      <c r="N8016">
        <v>21.5</v>
      </c>
      <c r="O8016">
        <v>12.786210000000001</v>
      </c>
      <c r="P8016">
        <v>25.5</v>
      </c>
      <c r="Q8016">
        <v>27.7</v>
      </c>
      <c r="R8016">
        <v>28.6431</v>
      </c>
      <c r="S8016">
        <v>25.5</v>
      </c>
      <c r="T8016">
        <v>3737.8449999999998</v>
      </c>
      <c r="U8016">
        <v>1139.431</v>
      </c>
      <c r="V8016">
        <v>1</v>
      </c>
      <c r="W8016">
        <v>124</v>
      </c>
      <c r="X8016">
        <v>2757.2759999999998</v>
      </c>
      <c r="Y8016">
        <v>7</v>
      </c>
      <c r="Z8016">
        <v>169</v>
      </c>
      <c r="AA8016">
        <v>2757.2759999999998</v>
      </c>
      <c r="AB8016">
        <v>55.151040000000002</v>
      </c>
      <c r="AC8016">
        <v>2.9181240000000001E-2</v>
      </c>
      <c r="AD8016">
        <v>1.014483</v>
      </c>
      <c r="AE8016">
        <v>0.93891760000000002</v>
      </c>
      <c r="AF8016">
        <v>94.575860000000006</v>
      </c>
      <c r="AG8016">
        <f>IFERROR(AH8016*0.1, "N/A")</f>
        <v>6.203793000000001</v>
      </c>
      <c r="AH8016">
        <v>62.037930000000003</v>
      </c>
      <c r="AI8016">
        <v>169.0324</v>
      </c>
      <c r="AJ8016">
        <v>31.031030000000001</v>
      </c>
      <c r="AK8016">
        <v>43.998280000000001</v>
      </c>
    </row>
    <row r="8017" spans="1:37" x14ac:dyDescent="0.3">
      <c r="A8017">
        <v>8016</v>
      </c>
      <c r="B8017">
        <v>0</v>
      </c>
      <c r="C8017">
        <v>-14.066700000000001</v>
      </c>
      <c r="D8017">
        <v>10.183299999999999</v>
      </c>
      <c r="E8017">
        <f>-14.0667-10.1833</f>
        <v>-24.25</v>
      </c>
      <c r="F8017" t="s">
        <v>11989</v>
      </c>
      <c r="G8017" t="s">
        <v>39</v>
      </c>
      <c r="H8017">
        <v>1997</v>
      </c>
      <c r="I8017">
        <v>30.427569999999999</v>
      </c>
      <c r="J8017">
        <v>11.476369999999999</v>
      </c>
      <c r="K8017">
        <v>55</v>
      </c>
      <c r="L8017">
        <v>19.470479999999998</v>
      </c>
      <c r="M8017">
        <v>41.152740000000001</v>
      </c>
      <c r="N8017">
        <v>20.5488</v>
      </c>
      <c r="O8017">
        <v>20.603940000000001</v>
      </c>
      <c r="P8017">
        <v>28.7</v>
      </c>
      <c r="Q8017">
        <v>30.752739999999999</v>
      </c>
      <c r="R8017">
        <v>33.4</v>
      </c>
      <c r="S8017">
        <v>28.7</v>
      </c>
      <c r="T8017">
        <v>3291.6280000000002</v>
      </c>
      <c r="U8017">
        <v>1049.9760000000001</v>
      </c>
      <c r="V8017">
        <v>0</v>
      </c>
      <c r="W8017">
        <v>128</v>
      </c>
      <c r="X8017">
        <v>2458.652</v>
      </c>
      <c r="Y8017">
        <v>3.4880140000000002</v>
      </c>
      <c r="Z8017">
        <v>114.488</v>
      </c>
      <c r="AA8017">
        <v>2458.652</v>
      </c>
      <c r="AB8017">
        <v>3.2563360000000001</v>
      </c>
      <c r="AC8017">
        <v>0.2057554</v>
      </c>
      <c r="AD8017">
        <v>2.2387079999999999</v>
      </c>
      <c r="AE8017">
        <v>0.2103979</v>
      </c>
      <c r="AF8017">
        <v>7.7311639999999997</v>
      </c>
      <c r="AG8017">
        <f>IFERROR(AH8017*0.1, "N/A")</f>
        <v>5.2109589999999999</v>
      </c>
      <c r="AH8017">
        <v>52.109589999999997</v>
      </c>
      <c r="AI8017">
        <v>279.7081</v>
      </c>
      <c r="AJ8017">
        <v>33.054789999999997</v>
      </c>
      <c r="AK8017">
        <v>48.945210000000003</v>
      </c>
    </row>
    <row r="8018" spans="1:37" x14ac:dyDescent="0.3">
      <c r="A8018">
        <v>8017</v>
      </c>
      <c r="B8018">
        <v>0</v>
      </c>
      <c r="C8018">
        <v>-14.066700000000001</v>
      </c>
      <c r="D8018">
        <v>10.183299999999999</v>
      </c>
      <c r="E8018">
        <f>-14.0667-10.1833</f>
        <v>-24.25</v>
      </c>
      <c r="F8018" t="s">
        <v>11990</v>
      </c>
      <c r="G8018" t="s">
        <v>37</v>
      </c>
      <c r="H8018">
        <v>1997</v>
      </c>
      <c r="I8018">
        <v>30.427569999999999</v>
      </c>
      <c r="J8018">
        <v>11.476369999999999</v>
      </c>
      <c r="K8018">
        <v>55</v>
      </c>
      <c r="L8018">
        <v>19.470479999999998</v>
      </c>
      <c r="M8018">
        <v>41.152740000000001</v>
      </c>
      <c r="N8018">
        <v>20.5488</v>
      </c>
      <c r="O8018">
        <v>20.603940000000001</v>
      </c>
      <c r="P8018">
        <v>28.7</v>
      </c>
      <c r="Q8018">
        <v>30.752739999999999</v>
      </c>
      <c r="R8018">
        <v>33.4</v>
      </c>
      <c r="S8018">
        <v>28.7</v>
      </c>
      <c r="T8018">
        <v>3291.6280000000002</v>
      </c>
      <c r="U8018">
        <v>1049.9760000000001</v>
      </c>
      <c r="V8018">
        <v>0</v>
      </c>
      <c r="W8018">
        <v>128</v>
      </c>
      <c r="X8018">
        <v>2458.652</v>
      </c>
      <c r="Y8018">
        <v>3.4880140000000002</v>
      </c>
      <c r="Z8018">
        <v>114.488</v>
      </c>
      <c r="AA8018">
        <v>2458.652</v>
      </c>
      <c r="AB8018">
        <v>3.2563360000000001</v>
      </c>
      <c r="AC8018">
        <v>0.2057554</v>
      </c>
      <c r="AD8018">
        <v>2.2387079999999999</v>
      </c>
      <c r="AE8018">
        <v>0.2103979</v>
      </c>
      <c r="AF8018">
        <v>7.7311639999999997</v>
      </c>
      <c r="AG8018">
        <f>IFERROR(AH8018*0.1, "N/A")</f>
        <v>5.2109589999999999</v>
      </c>
      <c r="AH8018">
        <v>52.109589999999997</v>
      </c>
      <c r="AI8018">
        <v>279.7081</v>
      </c>
      <c r="AJ8018">
        <v>33.054789999999997</v>
      </c>
      <c r="AK8018">
        <v>48.945210000000003</v>
      </c>
    </row>
    <row r="8019" spans="1:37" x14ac:dyDescent="0.3">
      <c r="A8019">
        <v>8018</v>
      </c>
      <c r="B8019">
        <v>0</v>
      </c>
      <c r="C8019">
        <v>-14.4505</v>
      </c>
      <c r="D8019">
        <v>10.391</v>
      </c>
      <c r="E8019">
        <f>-14.4505-10.391</f>
        <v>-24.8415</v>
      </c>
      <c r="F8019" t="s">
        <v>11991</v>
      </c>
      <c r="G8019" t="s">
        <v>39</v>
      </c>
      <c r="H8019">
        <v>1997</v>
      </c>
      <c r="I8019">
        <v>29.89846</v>
      </c>
      <c r="J8019">
        <v>12.30428</v>
      </c>
      <c r="K8019">
        <v>58</v>
      </c>
      <c r="L8019">
        <v>17.745480000000001</v>
      </c>
      <c r="M8019">
        <v>40.60154</v>
      </c>
      <c r="N8019">
        <v>19.5</v>
      </c>
      <c r="O8019">
        <v>21.10154</v>
      </c>
      <c r="P8019">
        <v>28.295719999999999</v>
      </c>
      <c r="Q8019">
        <v>30.1</v>
      </c>
      <c r="R8019">
        <v>32.59572</v>
      </c>
      <c r="S8019">
        <v>28.295719999999999</v>
      </c>
      <c r="T8019">
        <v>3165.4490000000001</v>
      </c>
      <c r="U8019">
        <v>1023.62</v>
      </c>
      <c r="V8019">
        <v>0</v>
      </c>
      <c r="W8019">
        <v>128.6353</v>
      </c>
      <c r="X8019">
        <v>2361.1109999999999</v>
      </c>
      <c r="Y8019">
        <v>1</v>
      </c>
      <c r="Z8019">
        <v>92.337329999999994</v>
      </c>
      <c r="AA8019">
        <v>2361.1109999999999</v>
      </c>
      <c r="AB8019">
        <v>0.35924660000000003</v>
      </c>
      <c r="AC8019">
        <v>0.44490879999999999</v>
      </c>
      <c r="AD8019">
        <v>2.6058509999999999</v>
      </c>
      <c r="AE8019">
        <v>0.54483749999999997</v>
      </c>
      <c r="AF8019">
        <v>2.1061640000000001</v>
      </c>
      <c r="AG8019">
        <f>IFERROR(AH8019*0.1, "N/A")</f>
        <v>5.355137</v>
      </c>
      <c r="AH8019">
        <v>53.551369999999999</v>
      </c>
      <c r="AI8019">
        <v>142.03729999999999</v>
      </c>
      <c r="AJ8019">
        <v>31.563359999999999</v>
      </c>
      <c r="AK8019">
        <v>45.549660000000003</v>
      </c>
    </row>
    <row r="8020" spans="1:37" x14ac:dyDescent="0.3">
      <c r="A8020">
        <v>8019</v>
      </c>
      <c r="B8020">
        <v>0</v>
      </c>
      <c r="C8020">
        <v>-14.4505</v>
      </c>
      <c r="D8020">
        <v>10.391</v>
      </c>
      <c r="E8020">
        <f>-14.4505-10.391</f>
        <v>-24.8415</v>
      </c>
      <c r="F8020" t="s">
        <v>11992</v>
      </c>
      <c r="G8020" t="s">
        <v>37</v>
      </c>
      <c r="H8020">
        <v>1997</v>
      </c>
      <c r="I8020">
        <v>29.89846</v>
      </c>
      <c r="J8020">
        <v>12.30428</v>
      </c>
      <c r="K8020">
        <v>58</v>
      </c>
      <c r="L8020">
        <v>17.745480000000001</v>
      </c>
      <c r="M8020">
        <v>40.60154</v>
      </c>
      <c r="N8020">
        <v>19.5</v>
      </c>
      <c r="O8020">
        <v>21.10154</v>
      </c>
      <c r="P8020">
        <v>28.295719999999999</v>
      </c>
      <c r="Q8020">
        <v>30.1</v>
      </c>
      <c r="R8020">
        <v>32.59572</v>
      </c>
      <c r="S8020">
        <v>28.295719999999999</v>
      </c>
      <c r="T8020">
        <v>3165.4490000000001</v>
      </c>
      <c r="U8020">
        <v>1023.62</v>
      </c>
      <c r="V8020">
        <v>0</v>
      </c>
      <c r="W8020">
        <v>128.6353</v>
      </c>
      <c r="X8020">
        <v>2361.1109999999999</v>
      </c>
      <c r="Y8020">
        <v>1</v>
      </c>
      <c r="Z8020">
        <v>92.337329999999994</v>
      </c>
      <c r="AA8020">
        <v>2361.1109999999999</v>
      </c>
      <c r="AB8020">
        <v>0.35924660000000003</v>
      </c>
      <c r="AC8020">
        <v>0.44490879999999999</v>
      </c>
      <c r="AD8020">
        <v>2.6058509999999999</v>
      </c>
      <c r="AE8020">
        <v>0.54483749999999997</v>
      </c>
      <c r="AF8020">
        <v>2.1061640000000001</v>
      </c>
      <c r="AG8020">
        <f>IFERROR(AH8020*0.1, "N/A")</f>
        <v>5.355137</v>
      </c>
      <c r="AH8020">
        <v>53.551369999999999</v>
      </c>
      <c r="AI8020">
        <v>142.03729999999999</v>
      </c>
      <c r="AJ8020">
        <v>31.563359999999999</v>
      </c>
      <c r="AK8020">
        <v>45.549660000000003</v>
      </c>
    </row>
    <row r="8021" spans="1:37" x14ac:dyDescent="0.3">
      <c r="A8021">
        <v>8020</v>
      </c>
      <c r="B8021">
        <v>6.8</v>
      </c>
      <c r="C8021">
        <v>-9.2666699999999995</v>
      </c>
      <c r="D8021">
        <v>10.416700000000001</v>
      </c>
      <c r="E8021">
        <f>-9.26667-10.4167</f>
        <v>-19.68337</v>
      </c>
      <c r="F8021" t="s">
        <v>11993</v>
      </c>
      <c r="G8021" t="s">
        <v>39</v>
      </c>
      <c r="H8021">
        <v>1997</v>
      </c>
      <c r="I8021">
        <v>26.056450000000002</v>
      </c>
      <c r="J8021">
        <v>17.168500000000002</v>
      </c>
      <c r="K8021">
        <v>64.624780000000001</v>
      </c>
      <c r="L8021">
        <v>17.703099999999999</v>
      </c>
      <c r="M8021">
        <v>38.393979999999999</v>
      </c>
      <c r="N8021">
        <v>11.98795</v>
      </c>
      <c r="O8021">
        <v>26.406020000000002</v>
      </c>
      <c r="P8021">
        <v>25.507919999999999</v>
      </c>
      <c r="Q8021">
        <v>24.19398</v>
      </c>
      <c r="R8021">
        <v>28.65645</v>
      </c>
      <c r="S8021">
        <v>23.856449999999999</v>
      </c>
      <c r="T8021">
        <v>1533.509</v>
      </c>
      <c r="U8021">
        <v>325.06020000000001</v>
      </c>
      <c r="V8021">
        <v>1</v>
      </c>
      <c r="W8021">
        <v>94.060239999999993</v>
      </c>
      <c r="X8021">
        <v>919.06020000000001</v>
      </c>
      <c r="Y8021">
        <v>9</v>
      </c>
      <c r="Z8021">
        <v>220.44919999999999</v>
      </c>
      <c r="AA8021">
        <v>34</v>
      </c>
      <c r="AB8021">
        <v>7.1175509999999997</v>
      </c>
      <c r="AC8021">
        <v>5.0544869999999999E-2</v>
      </c>
      <c r="AD8021">
        <v>3.4377219999999999</v>
      </c>
      <c r="AE8021">
        <v>0.48057630000000001</v>
      </c>
      <c r="AF8021">
        <v>366.71429999999998</v>
      </c>
      <c r="AG8021">
        <f>IFERROR(AH8021*0.1, "N/A")</f>
        <v>5.9776249999999997</v>
      </c>
      <c r="AH8021">
        <v>59.776249999999997</v>
      </c>
      <c r="AI8021">
        <v>150.6035</v>
      </c>
      <c r="AJ8021">
        <v>20.84854</v>
      </c>
      <c r="AK8021">
        <v>50.363169999999997</v>
      </c>
    </row>
    <row r="8022" spans="1:37" x14ac:dyDescent="0.3">
      <c r="A8022">
        <v>8021</v>
      </c>
      <c r="B8022">
        <v>9.1</v>
      </c>
      <c r="C8022">
        <v>-9.2666699999999995</v>
      </c>
      <c r="D8022">
        <v>10.416700000000001</v>
      </c>
      <c r="E8022">
        <f>-9.26667-10.4167</f>
        <v>-19.68337</v>
      </c>
      <c r="F8022" t="s">
        <v>11994</v>
      </c>
      <c r="G8022" t="s">
        <v>37</v>
      </c>
      <c r="H8022">
        <v>1997</v>
      </c>
      <c r="I8022">
        <v>26.056450000000002</v>
      </c>
      <c r="J8022">
        <v>17.168500000000002</v>
      </c>
      <c r="K8022">
        <v>64.624780000000001</v>
      </c>
      <c r="L8022">
        <v>17.703099999999999</v>
      </c>
      <c r="M8022">
        <v>38.393979999999999</v>
      </c>
      <c r="N8022">
        <v>11.98795</v>
      </c>
      <c r="O8022">
        <v>26.406020000000002</v>
      </c>
      <c r="P8022">
        <v>25.507919999999999</v>
      </c>
      <c r="Q8022">
        <v>24.19398</v>
      </c>
      <c r="R8022">
        <v>28.65645</v>
      </c>
      <c r="S8022">
        <v>23.856449999999999</v>
      </c>
      <c r="T8022">
        <v>1533.509</v>
      </c>
      <c r="U8022">
        <v>325.06020000000001</v>
      </c>
      <c r="V8022">
        <v>1</v>
      </c>
      <c r="W8022">
        <v>94.060239999999993</v>
      </c>
      <c r="X8022">
        <v>919.06020000000001</v>
      </c>
      <c r="Y8022">
        <v>9</v>
      </c>
      <c r="Z8022">
        <v>220.44919999999999</v>
      </c>
      <c r="AA8022">
        <v>34</v>
      </c>
      <c r="AB8022">
        <v>7.1175509999999997</v>
      </c>
      <c r="AC8022">
        <v>5.0544869999999999E-2</v>
      </c>
      <c r="AD8022">
        <v>3.4377219999999999</v>
      </c>
      <c r="AE8022">
        <v>0.48057630000000001</v>
      </c>
      <c r="AF8022">
        <v>366.71429999999998</v>
      </c>
      <c r="AG8022">
        <f>IFERROR(AH8022*0.1, "N/A")</f>
        <v>5.9776249999999997</v>
      </c>
      <c r="AH8022">
        <v>59.776249999999997</v>
      </c>
      <c r="AI8022">
        <v>150.6035</v>
      </c>
      <c r="AJ8022">
        <v>20.84854</v>
      </c>
      <c r="AK8022">
        <v>50.363169999999997</v>
      </c>
    </row>
    <row r="8023" spans="1:37" x14ac:dyDescent="0.3">
      <c r="A8023">
        <v>8022</v>
      </c>
      <c r="B8023">
        <v>0</v>
      </c>
      <c r="C8023">
        <v>-9.2515599999999996</v>
      </c>
      <c r="D8023">
        <v>10.435499999999999</v>
      </c>
      <c r="E8023">
        <f>-9.25156-10.4355</f>
        <v>-19.687059999999999</v>
      </c>
      <c r="F8023" t="s">
        <v>11995</v>
      </c>
      <c r="G8023" t="s">
        <v>39</v>
      </c>
      <c r="H8023">
        <v>1997</v>
      </c>
      <c r="I8023">
        <v>25.9</v>
      </c>
      <c r="J8023">
        <v>17</v>
      </c>
      <c r="K8023">
        <v>64</v>
      </c>
      <c r="L8023">
        <v>17.489999999999998</v>
      </c>
      <c r="M8023">
        <v>38.299999999999997</v>
      </c>
      <c r="N8023">
        <v>12.1</v>
      </c>
      <c r="O8023">
        <v>26.2</v>
      </c>
      <c r="P8023">
        <v>25.4</v>
      </c>
      <c r="Q8023">
        <v>24.1</v>
      </c>
      <c r="R8023">
        <v>28.5</v>
      </c>
      <c r="S8023">
        <v>23.8</v>
      </c>
      <c r="T8023">
        <v>1529</v>
      </c>
      <c r="U8023">
        <v>326</v>
      </c>
      <c r="V8023">
        <v>1</v>
      </c>
      <c r="W8023">
        <v>95</v>
      </c>
      <c r="X8023">
        <v>920</v>
      </c>
      <c r="Y8023">
        <v>9</v>
      </c>
      <c r="Z8023">
        <v>217</v>
      </c>
      <c r="AA8023">
        <v>33</v>
      </c>
      <c r="AB8023">
        <v>9.3858750000000004</v>
      </c>
      <c r="AC8023">
        <v>6.484181E-2</v>
      </c>
      <c r="AD8023">
        <v>2.0196480000000001</v>
      </c>
      <c r="AE8023">
        <v>0.34054820000000002</v>
      </c>
      <c r="AF8023">
        <v>375.91910000000001</v>
      </c>
      <c r="AG8023">
        <f>IFERROR(AH8023*0.1, "N/A")</f>
        <v>5.5354559999999999</v>
      </c>
      <c r="AH8023">
        <v>55.354559999999999</v>
      </c>
      <c r="AI8023">
        <v>152.52889999999999</v>
      </c>
      <c r="AJ8023">
        <v>20.027539999999998</v>
      </c>
      <c r="AK8023">
        <v>54.972459999999998</v>
      </c>
    </row>
    <row r="8024" spans="1:37" x14ac:dyDescent="0.3">
      <c r="A8024">
        <v>8023</v>
      </c>
      <c r="B8024">
        <v>4</v>
      </c>
      <c r="C8024">
        <v>-9.2515599999999996</v>
      </c>
      <c r="D8024">
        <v>10.435499999999999</v>
      </c>
      <c r="E8024">
        <f>-9.25156-10.4355</f>
        <v>-19.687059999999999</v>
      </c>
      <c r="F8024" t="s">
        <v>11996</v>
      </c>
      <c r="G8024" t="s">
        <v>37</v>
      </c>
      <c r="H8024">
        <v>1997</v>
      </c>
      <c r="I8024">
        <v>25.9</v>
      </c>
      <c r="J8024">
        <v>17</v>
      </c>
      <c r="K8024">
        <v>64</v>
      </c>
      <c r="L8024">
        <v>17.489999999999998</v>
      </c>
      <c r="M8024">
        <v>38.299999999999997</v>
      </c>
      <c r="N8024">
        <v>12.1</v>
      </c>
      <c r="O8024">
        <v>26.2</v>
      </c>
      <c r="P8024">
        <v>25.4</v>
      </c>
      <c r="Q8024">
        <v>24.1</v>
      </c>
      <c r="R8024">
        <v>28.5</v>
      </c>
      <c r="S8024">
        <v>23.8</v>
      </c>
      <c r="T8024">
        <v>1529</v>
      </c>
      <c r="U8024">
        <v>326</v>
      </c>
      <c r="V8024">
        <v>1</v>
      </c>
      <c r="W8024">
        <v>95</v>
      </c>
      <c r="X8024">
        <v>920</v>
      </c>
      <c r="Y8024">
        <v>9</v>
      </c>
      <c r="Z8024">
        <v>217</v>
      </c>
      <c r="AA8024">
        <v>33</v>
      </c>
      <c r="AB8024">
        <v>9.3858750000000004</v>
      </c>
      <c r="AC8024">
        <v>6.484181E-2</v>
      </c>
      <c r="AD8024">
        <v>2.0196480000000001</v>
      </c>
      <c r="AE8024">
        <v>0.34054820000000002</v>
      </c>
      <c r="AF8024">
        <v>375.91910000000001</v>
      </c>
      <c r="AG8024">
        <f>IFERROR(AH8024*0.1, "N/A")</f>
        <v>5.5354559999999999</v>
      </c>
      <c r="AH8024">
        <v>55.354559999999999</v>
      </c>
      <c r="AI8024">
        <v>152.52889999999999</v>
      </c>
      <c r="AJ8024">
        <v>20.027539999999998</v>
      </c>
      <c r="AK8024">
        <v>54.972459999999998</v>
      </c>
    </row>
    <row r="8025" spans="1:37" x14ac:dyDescent="0.3">
      <c r="A8025">
        <v>8024</v>
      </c>
      <c r="B8025">
        <v>8.3000000000000007</v>
      </c>
      <c r="C8025">
        <v>-9.2333300000000005</v>
      </c>
      <c r="D8025">
        <v>10.466699999999999</v>
      </c>
      <c r="E8025">
        <f>-9.23333-10.4667</f>
        <v>-19.700029999999998</v>
      </c>
      <c r="F8025" t="s">
        <v>11997</v>
      </c>
      <c r="G8025" t="s">
        <v>39</v>
      </c>
      <c r="H8025">
        <v>1997</v>
      </c>
      <c r="I8025">
        <v>26.014379999999999</v>
      </c>
      <c r="J8025">
        <v>16.8</v>
      </c>
      <c r="K8025">
        <v>64</v>
      </c>
      <c r="L8025">
        <v>17.323149999999998</v>
      </c>
      <c r="M8025">
        <v>38.342469999999999</v>
      </c>
      <c r="N8025">
        <v>12.3</v>
      </c>
      <c r="O8025">
        <v>26.042470000000002</v>
      </c>
      <c r="P8025">
        <v>25.414380000000001</v>
      </c>
      <c r="Q8025">
        <v>24.2</v>
      </c>
      <c r="R8025">
        <v>28.614380000000001</v>
      </c>
      <c r="S8025">
        <v>23.984929999999999</v>
      </c>
      <c r="T8025">
        <v>1517.2950000000001</v>
      </c>
      <c r="U8025">
        <v>326</v>
      </c>
      <c r="V8025">
        <v>1</v>
      </c>
      <c r="W8025">
        <v>95</v>
      </c>
      <c r="X8025">
        <v>918.0068</v>
      </c>
      <c r="Y8025">
        <v>9</v>
      </c>
      <c r="Z8025">
        <v>210.2877</v>
      </c>
      <c r="AA8025">
        <v>32</v>
      </c>
      <c r="AB8025">
        <v>2.4636990000000001</v>
      </c>
      <c r="AC8025">
        <v>24.039429999999999</v>
      </c>
      <c r="AD8025">
        <v>1.86972</v>
      </c>
      <c r="AE8025">
        <v>0.33479789999999998</v>
      </c>
      <c r="AF8025">
        <v>365.40750000000003</v>
      </c>
      <c r="AG8025">
        <f>IFERROR(AH8025*0.1, "N/A")</f>
        <v>5.8003420000000006</v>
      </c>
      <c r="AH8025">
        <v>58.003419999999998</v>
      </c>
      <c r="AI8025">
        <v>75.889290000000003</v>
      </c>
      <c r="AJ8025">
        <v>24.143840000000001</v>
      </c>
      <c r="AK8025">
        <v>44.731160000000003</v>
      </c>
    </row>
    <row r="8026" spans="1:37" x14ac:dyDescent="0.3">
      <c r="A8026">
        <v>8025</v>
      </c>
      <c r="B8026">
        <v>8.3000000000000007</v>
      </c>
      <c r="C8026">
        <v>-9.2333300000000005</v>
      </c>
      <c r="D8026">
        <v>10.466699999999999</v>
      </c>
      <c r="E8026">
        <f>-9.23333-10.4667</f>
        <v>-19.700029999999998</v>
      </c>
      <c r="F8026" t="s">
        <v>11998</v>
      </c>
      <c r="G8026" t="s">
        <v>37</v>
      </c>
      <c r="H8026">
        <v>1997</v>
      </c>
      <c r="I8026">
        <v>26.014379999999999</v>
      </c>
      <c r="J8026">
        <v>16.8</v>
      </c>
      <c r="K8026">
        <v>64</v>
      </c>
      <c r="L8026">
        <v>17.323149999999998</v>
      </c>
      <c r="M8026">
        <v>38.342469999999999</v>
      </c>
      <c r="N8026">
        <v>12.3</v>
      </c>
      <c r="O8026">
        <v>26.042470000000002</v>
      </c>
      <c r="P8026">
        <v>25.414380000000001</v>
      </c>
      <c r="Q8026">
        <v>24.2</v>
      </c>
      <c r="R8026">
        <v>28.614380000000001</v>
      </c>
      <c r="S8026">
        <v>23.984929999999999</v>
      </c>
      <c r="T8026">
        <v>1517.2950000000001</v>
      </c>
      <c r="U8026">
        <v>326</v>
      </c>
      <c r="V8026">
        <v>1</v>
      </c>
      <c r="W8026">
        <v>95</v>
      </c>
      <c r="X8026">
        <v>918.0068</v>
      </c>
      <c r="Y8026">
        <v>9</v>
      </c>
      <c r="Z8026">
        <v>210.2877</v>
      </c>
      <c r="AA8026">
        <v>32</v>
      </c>
      <c r="AB8026">
        <v>2.4636990000000001</v>
      </c>
      <c r="AC8026">
        <v>24.039429999999999</v>
      </c>
      <c r="AD8026">
        <v>1.86972</v>
      </c>
      <c r="AE8026">
        <v>0.33479789999999998</v>
      </c>
      <c r="AF8026">
        <v>365.40750000000003</v>
      </c>
      <c r="AG8026">
        <f>IFERROR(AH8026*0.1, "N/A")</f>
        <v>5.8003420000000006</v>
      </c>
      <c r="AH8026">
        <v>58.003419999999998</v>
      </c>
      <c r="AI8026">
        <v>75.889290000000003</v>
      </c>
      <c r="AJ8026">
        <v>24.143840000000001</v>
      </c>
      <c r="AK8026">
        <v>44.731160000000003</v>
      </c>
    </row>
    <row r="8027" spans="1:37" x14ac:dyDescent="0.3">
      <c r="A8027">
        <v>8026</v>
      </c>
      <c r="B8027">
        <v>28.6</v>
      </c>
      <c r="C8027">
        <v>-9.2333300000000005</v>
      </c>
      <c r="D8027">
        <v>10.6</v>
      </c>
      <c r="E8027">
        <f>-9.23333-10.6</f>
        <v>-19.83333</v>
      </c>
      <c r="F8027" t="s">
        <v>11999</v>
      </c>
      <c r="G8027" t="s">
        <v>39</v>
      </c>
      <c r="H8027">
        <v>1997</v>
      </c>
      <c r="I8027">
        <v>26.04692</v>
      </c>
      <c r="J8027">
        <v>15.9</v>
      </c>
      <c r="K8027">
        <v>62</v>
      </c>
      <c r="L8027">
        <v>17.52017</v>
      </c>
      <c r="M8027">
        <v>38.5</v>
      </c>
      <c r="N8027">
        <v>13.14692</v>
      </c>
      <c r="O8027">
        <v>25.353079999999999</v>
      </c>
      <c r="P8027">
        <v>25.346920000000001</v>
      </c>
      <c r="Q8027">
        <v>24.195209999999999</v>
      </c>
      <c r="R8027">
        <v>28.7</v>
      </c>
      <c r="S8027">
        <v>24.195209999999999</v>
      </c>
      <c r="T8027">
        <v>1490.4010000000001</v>
      </c>
      <c r="U8027">
        <v>327.89729999999997</v>
      </c>
      <c r="V8027">
        <v>0</v>
      </c>
      <c r="W8027">
        <v>97</v>
      </c>
      <c r="X8027">
        <v>918.38009999999997</v>
      </c>
      <c r="Y8027">
        <v>9</v>
      </c>
      <c r="Z8027">
        <v>189.5856</v>
      </c>
      <c r="AA8027">
        <v>22.154109999999999</v>
      </c>
      <c r="AB8027">
        <v>1.0027330000000001</v>
      </c>
      <c r="AC8027">
        <v>8.5775439999999994E-3</v>
      </c>
      <c r="AD8027">
        <v>1.209168</v>
      </c>
      <c r="AE8027">
        <v>0.24332200000000001</v>
      </c>
      <c r="AF8027">
        <v>358.39210000000003</v>
      </c>
      <c r="AG8027">
        <f>IFERROR(AH8027*0.1, "N/A")</f>
        <v>5.596203</v>
      </c>
      <c r="AH8027">
        <v>55.962029999999999</v>
      </c>
      <c r="AI8027">
        <v>77.870670000000004</v>
      </c>
      <c r="AJ8027">
        <v>26.075949999999999</v>
      </c>
      <c r="AK8027">
        <v>47.848100000000002</v>
      </c>
    </row>
    <row r="8028" spans="1:37" x14ac:dyDescent="0.3">
      <c r="A8028">
        <v>8027</v>
      </c>
      <c r="B8028">
        <v>14.3</v>
      </c>
      <c r="C8028">
        <v>-9.2333300000000005</v>
      </c>
      <c r="D8028">
        <v>10.6</v>
      </c>
      <c r="E8028">
        <f>-9.23333-10.6</f>
        <v>-19.83333</v>
      </c>
      <c r="F8028" t="s">
        <v>12000</v>
      </c>
      <c r="G8028" t="s">
        <v>37</v>
      </c>
      <c r="H8028">
        <v>1997</v>
      </c>
      <c r="I8028">
        <v>26.04692</v>
      </c>
      <c r="J8028">
        <v>15.9</v>
      </c>
      <c r="K8028">
        <v>62</v>
      </c>
      <c r="L8028">
        <v>17.52017</v>
      </c>
      <c r="M8028">
        <v>38.5</v>
      </c>
      <c r="N8028">
        <v>13.14692</v>
      </c>
      <c r="O8028">
        <v>25.353079999999999</v>
      </c>
      <c r="P8028">
        <v>25.346920000000001</v>
      </c>
      <c r="Q8028">
        <v>24.195209999999999</v>
      </c>
      <c r="R8028">
        <v>28.7</v>
      </c>
      <c r="S8028">
        <v>24.195209999999999</v>
      </c>
      <c r="T8028">
        <v>1490.4010000000001</v>
      </c>
      <c r="U8028">
        <v>327.89729999999997</v>
      </c>
      <c r="V8028">
        <v>0</v>
      </c>
      <c r="W8028">
        <v>97</v>
      </c>
      <c r="X8028">
        <v>918.38009999999997</v>
      </c>
      <c r="Y8028">
        <v>9</v>
      </c>
      <c r="Z8028">
        <v>189.5856</v>
      </c>
      <c r="AA8028">
        <v>22.154109999999999</v>
      </c>
      <c r="AB8028">
        <v>1.0027330000000001</v>
      </c>
      <c r="AC8028">
        <v>8.5775439999999994E-3</v>
      </c>
      <c r="AD8028">
        <v>1.209168</v>
      </c>
      <c r="AE8028">
        <v>0.24332200000000001</v>
      </c>
      <c r="AF8028">
        <v>358.39210000000003</v>
      </c>
      <c r="AG8028">
        <f>IFERROR(AH8028*0.1, "N/A")</f>
        <v>5.596203</v>
      </c>
      <c r="AH8028">
        <v>55.962029999999999</v>
      </c>
      <c r="AI8028">
        <v>77.870670000000004</v>
      </c>
      <c r="AJ8028">
        <v>26.075949999999999</v>
      </c>
      <c r="AK8028">
        <v>47.848100000000002</v>
      </c>
    </row>
    <row r="8029" spans="1:37" x14ac:dyDescent="0.3">
      <c r="A8029">
        <v>8028</v>
      </c>
      <c r="B8029">
        <v>0</v>
      </c>
      <c r="C8029">
        <v>-12.1167</v>
      </c>
      <c r="D8029">
        <v>10.8667</v>
      </c>
      <c r="E8029">
        <f>-12.1167-10.8667</f>
        <v>-22.9834</v>
      </c>
      <c r="F8029" t="s">
        <v>12001</v>
      </c>
      <c r="G8029" t="s">
        <v>39</v>
      </c>
      <c r="H8029">
        <v>1997</v>
      </c>
      <c r="I8029">
        <v>23.564730000000001</v>
      </c>
      <c r="J8029">
        <v>12.21045</v>
      </c>
      <c r="K8029">
        <v>62</v>
      </c>
      <c r="L8029">
        <v>15.10089</v>
      </c>
      <c r="M8029">
        <v>33.19623</v>
      </c>
      <c r="N8029">
        <v>13.64195</v>
      </c>
      <c r="O8029">
        <v>19.554279999999999</v>
      </c>
      <c r="P8029">
        <v>22.664729999999999</v>
      </c>
      <c r="Q8029">
        <v>22.175170000000001</v>
      </c>
      <c r="R8029">
        <v>25.796230000000001</v>
      </c>
      <c r="S8029">
        <v>22.04195</v>
      </c>
      <c r="T8029">
        <v>1764.818</v>
      </c>
      <c r="U8029">
        <v>418.9332</v>
      </c>
      <c r="V8029">
        <v>3</v>
      </c>
      <c r="W8029">
        <v>96</v>
      </c>
      <c r="X8029">
        <v>1070.866</v>
      </c>
      <c r="Y8029">
        <v>13.457190000000001</v>
      </c>
      <c r="Z8029">
        <v>235.8099</v>
      </c>
      <c r="AA8029">
        <v>54.457189999999997</v>
      </c>
      <c r="AB8029">
        <v>26.057189999999999</v>
      </c>
      <c r="AC8029">
        <v>2.7148200000000001E-2</v>
      </c>
      <c r="AD8029">
        <v>12.66958</v>
      </c>
      <c r="AE8029">
        <v>0.39724989999999999</v>
      </c>
      <c r="AF8029">
        <v>794.69860000000006</v>
      </c>
      <c r="AG8029">
        <f>IFERROR(AH8029*0.1, "N/A")</f>
        <v>5.5970890000000004</v>
      </c>
      <c r="AH8029">
        <v>55.970889999999997</v>
      </c>
      <c r="AI8029">
        <v>130.8905</v>
      </c>
      <c r="AJ8029">
        <v>29.7363</v>
      </c>
      <c r="AK8029">
        <v>41.311639999999997</v>
      </c>
    </row>
    <row r="8030" spans="1:37" x14ac:dyDescent="0.3">
      <c r="A8030">
        <v>8029</v>
      </c>
      <c r="B8030">
        <v>0</v>
      </c>
      <c r="C8030">
        <v>-12.1167</v>
      </c>
      <c r="D8030">
        <v>10.8667</v>
      </c>
      <c r="E8030">
        <f>-12.1167-10.8667</f>
        <v>-22.9834</v>
      </c>
      <c r="F8030" t="s">
        <v>12002</v>
      </c>
      <c r="G8030" t="s">
        <v>37</v>
      </c>
      <c r="H8030">
        <v>1997</v>
      </c>
      <c r="I8030">
        <v>23.564730000000001</v>
      </c>
      <c r="J8030">
        <v>12.21045</v>
      </c>
      <c r="K8030">
        <v>62</v>
      </c>
      <c r="L8030">
        <v>15.10089</v>
      </c>
      <c r="M8030">
        <v>33.19623</v>
      </c>
      <c r="N8030">
        <v>13.64195</v>
      </c>
      <c r="O8030">
        <v>19.554279999999999</v>
      </c>
      <c r="P8030">
        <v>22.664729999999999</v>
      </c>
      <c r="Q8030">
        <v>22.175170000000001</v>
      </c>
      <c r="R8030">
        <v>25.796230000000001</v>
      </c>
      <c r="S8030">
        <v>22.04195</v>
      </c>
      <c r="T8030">
        <v>1764.818</v>
      </c>
      <c r="U8030">
        <v>418.9332</v>
      </c>
      <c r="V8030">
        <v>3</v>
      </c>
      <c r="W8030">
        <v>96</v>
      </c>
      <c r="X8030">
        <v>1070.866</v>
      </c>
      <c r="Y8030">
        <v>13.457190000000001</v>
      </c>
      <c r="Z8030">
        <v>235.8099</v>
      </c>
      <c r="AA8030">
        <v>54.457189999999997</v>
      </c>
      <c r="AB8030">
        <v>26.057189999999999</v>
      </c>
      <c r="AC8030">
        <v>2.7148200000000001E-2</v>
      </c>
      <c r="AD8030">
        <v>12.66958</v>
      </c>
      <c r="AE8030">
        <v>0.39724989999999999</v>
      </c>
      <c r="AF8030">
        <v>794.69860000000006</v>
      </c>
      <c r="AG8030">
        <f>IFERROR(AH8030*0.1, "N/A")</f>
        <v>5.5970890000000004</v>
      </c>
      <c r="AH8030">
        <v>55.970889999999997</v>
      </c>
      <c r="AI8030">
        <v>130.8905</v>
      </c>
      <c r="AJ8030">
        <v>29.7363</v>
      </c>
      <c r="AK8030">
        <v>41.311639999999997</v>
      </c>
    </row>
    <row r="8031" spans="1:37" x14ac:dyDescent="0.3">
      <c r="A8031">
        <v>8030</v>
      </c>
      <c r="B8031">
        <v>0</v>
      </c>
      <c r="C8031">
        <v>-12.183299999999999</v>
      </c>
      <c r="D8031">
        <v>10.8833</v>
      </c>
      <c r="E8031">
        <f>-12.1833-10.8833</f>
        <v>-23.066600000000001</v>
      </c>
      <c r="F8031" t="s">
        <v>12003</v>
      </c>
      <c r="G8031" t="s">
        <v>39</v>
      </c>
      <c r="H8031">
        <v>1997</v>
      </c>
      <c r="I8031">
        <v>24.15333</v>
      </c>
      <c r="J8031">
        <v>12.35333</v>
      </c>
      <c r="K8031">
        <v>62</v>
      </c>
      <c r="L8031">
        <v>15.37932</v>
      </c>
      <c r="M8031">
        <v>33.884450000000001</v>
      </c>
      <c r="N8031">
        <v>14.18444</v>
      </c>
      <c r="O8031">
        <v>19.7</v>
      </c>
      <c r="P8031">
        <v>23.237780000000001</v>
      </c>
      <c r="Q8031">
        <v>22.78444</v>
      </c>
      <c r="R8031">
        <v>26.460170000000002</v>
      </c>
      <c r="S8031">
        <v>22.584440000000001</v>
      </c>
      <c r="T8031">
        <v>1771.68</v>
      </c>
      <c r="U8031">
        <v>418.24270000000001</v>
      </c>
      <c r="V8031">
        <v>2</v>
      </c>
      <c r="W8031">
        <v>95.757260000000002</v>
      </c>
      <c r="X8031">
        <v>1073.7280000000001</v>
      </c>
      <c r="Y8031">
        <v>12</v>
      </c>
      <c r="Z8031">
        <v>232.9333</v>
      </c>
      <c r="AA8031">
        <v>54.242739999999998</v>
      </c>
      <c r="AB8031">
        <v>2.1957279999999999</v>
      </c>
      <c r="AC8031">
        <v>27.93299</v>
      </c>
      <c r="AD8031">
        <v>2.0020829999999998</v>
      </c>
      <c r="AE8031">
        <v>0.3304068</v>
      </c>
      <c r="AF8031">
        <v>682.79319999999996</v>
      </c>
      <c r="AG8031">
        <f>IFERROR(AH8031*0.1, "N/A")</f>
        <v>6.0328210000000002</v>
      </c>
      <c r="AH8031">
        <v>60.328209999999999</v>
      </c>
      <c r="AI8031">
        <v>243.0087</v>
      </c>
      <c r="AJ8031">
        <v>25.671790000000001</v>
      </c>
      <c r="AK8031">
        <v>48.328209999999999</v>
      </c>
    </row>
    <row r="8032" spans="1:37" x14ac:dyDescent="0.3">
      <c r="A8032">
        <v>8031</v>
      </c>
      <c r="B8032">
        <v>12.5</v>
      </c>
      <c r="C8032">
        <v>-12.183299999999999</v>
      </c>
      <c r="D8032">
        <v>10.8833</v>
      </c>
      <c r="E8032">
        <f>-12.1833-10.8833</f>
        <v>-23.066600000000001</v>
      </c>
      <c r="F8032" t="s">
        <v>12004</v>
      </c>
      <c r="G8032" t="s">
        <v>37</v>
      </c>
      <c r="H8032">
        <v>1997</v>
      </c>
      <c r="I8032">
        <v>24.15333</v>
      </c>
      <c r="J8032">
        <v>12.35333</v>
      </c>
      <c r="K8032">
        <v>62</v>
      </c>
      <c r="L8032">
        <v>15.37932</v>
      </c>
      <c r="M8032">
        <v>33.884450000000001</v>
      </c>
      <c r="N8032">
        <v>14.18444</v>
      </c>
      <c r="O8032">
        <v>19.7</v>
      </c>
      <c r="P8032">
        <v>23.237780000000001</v>
      </c>
      <c r="Q8032">
        <v>22.78444</v>
      </c>
      <c r="R8032">
        <v>26.460170000000002</v>
      </c>
      <c r="S8032">
        <v>22.584440000000001</v>
      </c>
      <c r="T8032">
        <v>1771.68</v>
      </c>
      <c r="U8032">
        <v>418.24270000000001</v>
      </c>
      <c r="V8032">
        <v>2</v>
      </c>
      <c r="W8032">
        <v>95.757260000000002</v>
      </c>
      <c r="X8032">
        <v>1073.7280000000001</v>
      </c>
      <c r="Y8032">
        <v>12</v>
      </c>
      <c r="Z8032">
        <v>232.9333</v>
      </c>
      <c r="AA8032">
        <v>54.242739999999998</v>
      </c>
      <c r="AB8032">
        <v>2.1957279999999999</v>
      </c>
      <c r="AC8032">
        <v>27.93299</v>
      </c>
      <c r="AD8032">
        <v>2.0020829999999998</v>
      </c>
      <c r="AE8032">
        <v>0.3304068</v>
      </c>
      <c r="AF8032">
        <v>682.79319999999996</v>
      </c>
      <c r="AG8032">
        <f>IFERROR(AH8032*0.1, "N/A")</f>
        <v>6.0328210000000002</v>
      </c>
      <c r="AH8032">
        <v>60.328209999999999</v>
      </c>
      <c r="AI8032">
        <v>243.0087</v>
      </c>
      <c r="AJ8032">
        <v>25.671790000000001</v>
      </c>
      <c r="AK8032">
        <v>48.328209999999999</v>
      </c>
    </row>
    <row r="8033" spans="1:37" x14ac:dyDescent="0.3">
      <c r="A8033">
        <v>8032</v>
      </c>
      <c r="B8033">
        <v>0</v>
      </c>
      <c r="C8033">
        <v>-12.3</v>
      </c>
      <c r="D8033">
        <v>11.066700000000001</v>
      </c>
      <c r="E8033">
        <f>-12.3-11.0667</f>
        <v>-23.366700000000002</v>
      </c>
      <c r="F8033" t="s">
        <v>12005</v>
      </c>
      <c r="G8033" t="s">
        <v>39</v>
      </c>
      <c r="H8033">
        <v>1997</v>
      </c>
      <c r="I8033">
        <v>21.938700000000001</v>
      </c>
      <c r="J8033">
        <v>12.30908</v>
      </c>
      <c r="K8033">
        <v>63</v>
      </c>
      <c r="L8033">
        <v>15.15639</v>
      </c>
      <c r="M8033">
        <v>31.51079</v>
      </c>
      <c r="N8033">
        <v>12.129619999999999</v>
      </c>
      <c r="O8033">
        <v>19.381160000000001</v>
      </c>
      <c r="P8033">
        <v>21.462330000000001</v>
      </c>
      <c r="Q8033">
        <v>20.282360000000001</v>
      </c>
      <c r="R8033">
        <v>24.07808</v>
      </c>
      <c r="S8033">
        <v>20.238700000000001</v>
      </c>
      <c r="T8033">
        <v>1800.1949999999999</v>
      </c>
      <c r="U8033">
        <v>425.7226</v>
      </c>
      <c r="V8033">
        <v>2.7636989999999999</v>
      </c>
      <c r="W8033">
        <v>96.515410000000003</v>
      </c>
      <c r="X8033">
        <v>1098.057</v>
      </c>
      <c r="Y8033">
        <v>14.484590000000001</v>
      </c>
      <c r="Z8033">
        <v>235.6541</v>
      </c>
      <c r="AA8033">
        <v>56.04795</v>
      </c>
      <c r="AB8033">
        <v>69.735129999999998</v>
      </c>
      <c r="AC8033">
        <v>2.4299399999999999E-2</v>
      </c>
      <c r="AD8033">
        <v>13.353590000000001</v>
      </c>
      <c r="AE8033">
        <v>0.29246220000000001</v>
      </c>
      <c r="AF8033">
        <v>1066.479</v>
      </c>
      <c r="AG8033">
        <f>IFERROR(AH8033*0.1, "N/A")</f>
        <v>4.9000000000000004</v>
      </c>
      <c r="AH8033">
        <v>49</v>
      </c>
      <c r="AI8033">
        <v>201.91130000000001</v>
      </c>
      <c r="AJ8033">
        <v>34</v>
      </c>
      <c r="AK8033">
        <v>32.558219999999999</v>
      </c>
    </row>
    <row r="8034" spans="1:37" x14ac:dyDescent="0.3">
      <c r="A8034">
        <v>8033</v>
      </c>
      <c r="B8034">
        <v>0</v>
      </c>
      <c r="C8034">
        <v>-12.3</v>
      </c>
      <c r="D8034">
        <v>11.066700000000001</v>
      </c>
      <c r="E8034">
        <f>-12.3-11.0667</f>
        <v>-23.366700000000002</v>
      </c>
      <c r="F8034" t="s">
        <v>12006</v>
      </c>
      <c r="G8034" t="s">
        <v>37</v>
      </c>
      <c r="H8034">
        <v>1997</v>
      </c>
      <c r="I8034">
        <v>21.938700000000001</v>
      </c>
      <c r="J8034">
        <v>12.30908</v>
      </c>
      <c r="K8034">
        <v>63</v>
      </c>
      <c r="L8034">
        <v>15.15639</v>
      </c>
      <c r="M8034">
        <v>31.51079</v>
      </c>
      <c r="N8034">
        <v>12.129619999999999</v>
      </c>
      <c r="O8034">
        <v>19.381160000000001</v>
      </c>
      <c r="P8034">
        <v>21.462330000000001</v>
      </c>
      <c r="Q8034">
        <v>20.282360000000001</v>
      </c>
      <c r="R8034">
        <v>24.07808</v>
      </c>
      <c r="S8034">
        <v>20.238700000000001</v>
      </c>
      <c r="T8034">
        <v>1800.1949999999999</v>
      </c>
      <c r="U8034">
        <v>425.7226</v>
      </c>
      <c r="V8034">
        <v>2.7636989999999999</v>
      </c>
      <c r="W8034">
        <v>96.515410000000003</v>
      </c>
      <c r="X8034">
        <v>1098.057</v>
      </c>
      <c r="Y8034">
        <v>14.484590000000001</v>
      </c>
      <c r="Z8034">
        <v>235.6541</v>
      </c>
      <c r="AA8034">
        <v>56.04795</v>
      </c>
      <c r="AB8034">
        <v>69.735129999999998</v>
      </c>
      <c r="AC8034">
        <v>2.4299399999999999E-2</v>
      </c>
      <c r="AD8034">
        <v>13.353590000000001</v>
      </c>
      <c r="AE8034">
        <v>0.29246220000000001</v>
      </c>
      <c r="AF8034">
        <v>1066.479</v>
      </c>
      <c r="AG8034">
        <f>IFERROR(AH8034*0.1, "N/A")</f>
        <v>4.9000000000000004</v>
      </c>
      <c r="AH8034">
        <v>49</v>
      </c>
      <c r="AI8034">
        <v>201.91130000000001</v>
      </c>
      <c r="AJ8034">
        <v>34</v>
      </c>
      <c r="AK8034">
        <v>32.558219999999999</v>
      </c>
    </row>
    <row r="8035" spans="1:37" x14ac:dyDescent="0.3">
      <c r="A8035">
        <v>8034</v>
      </c>
      <c r="B8035">
        <v>0</v>
      </c>
      <c r="C8035">
        <v>-0.2</v>
      </c>
      <c r="D8035">
        <v>5.57</v>
      </c>
      <c r="E8035">
        <f>-0.2-5.57</f>
        <v>-5.7700000000000005</v>
      </c>
      <c r="F8035" t="s">
        <v>12007</v>
      </c>
      <c r="G8035" t="s">
        <v>39</v>
      </c>
      <c r="H8035">
        <v>2008</v>
      </c>
      <c r="I8035">
        <v>26.642029999999998</v>
      </c>
      <c r="J8035">
        <v>7.1</v>
      </c>
      <c r="K8035">
        <v>67</v>
      </c>
      <c r="L8035">
        <v>12.42637</v>
      </c>
      <c r="M8035">
        <v>31.942029999999999</v>
      </c>
      <c r="N8035">
        <v>21.442029999999999</v>
      </c>
      <c r="O8035">
        <v>10.5</v>
      </c>
      <c r="P8035">
        <v>27.121020000000001</v>
      </c>
      <c r="Q8035">
        <v>27.52102</v>
      </c>
      <c r="R8035">
        <v>28.02102</v>
      </c>
      <c r="S8035">
        <v>24.721019999999999</v>
      </c>
      <c r="T8035">
        <v>808.21019999999999</v>
      </c>
      <c r="U8035">
        <v>207</v>
      </c>
      <c r="V8035">
        <v>14</v>
      </c>
      <c r="W8035">
        <v>80</v>
      </c>
      <c r="X8035">
        <v>439</v>
      </c>
      <c r="Y8035">
        <v>66</v>
      </c>
      <c r="Z8035">
        <v>182</v>
      </c>
      <c r="AA8035">
        <v>128</v>
      </c>
      <c r="AB8035">
        <v>8.7728549999999998</v>
      </c>
      <c r="AC8035">
        <v>9.5662520000000008E-3</v>
      </c>
      <c r="AD8035">
        <v>1.3623369999999999</v>
      </c>
      <c r="AE8035">
        <v>0.93807200000000002</v>
      </c>
      <c r="AF8035">
        <v>28.106829999999999</v>
      </c>
      <c r="AG8035">
        <f>IFERROR(AH8035*0.1, "N/A")</f>
        <v>6.6322239999999999</v>
      </c>
      <c r="AH8035">
        <v>66.322239999999994</v>
      </c>
      <c r="AI8035">
        <v>265.06369999999998</v>
      </c>
      <c r="AJ8035">
        <v>27.593699999999998</v>
      </c>
      <c r="AK8035">
        <v>47.908929999999998</v>
      </c>
    </row>
    <row r="8036" spans="1:37" x14ac:dyDescent="0.3">
      <c r="A8036">
        <v>8035</v>
      </c>
      <c r="B8036">
        <v>0</v>
      </c>
      <c r="C8036">
        <v>-0.23333000000000001</v>
      </c>
      <c r="D8036">
        <v>5.6166700000000001</v>
      </c>
      <c r="E8036">
        <f>-0.23333-5.61667</f>
        <v>-5.85</v>
      </c>
      <c r="F8036" t="s">
        <v>12008</v>
      </c>
      <c r="G8036" t="s">
        <v>39</v>
      </c>
      <c r="H8036">
        <v>2008</v>
      </c>
      <c r="I8036">
        <v>26.808029999999999</v>
      </c>
      <c r="J8036">
        <v>7.2879579999999997</v>
      </c>
      <c r="K8036">
        <v>68.71902</v>
      </c>
      <c r="L8036">
        <v>12.03815</v>
      </c>
      <c r="M8036">
        <v>32.212040000000002</v>
      </c>
      <c r="N8036">
        <v>21.695989999999998</v>
      </c>
      <c r="O8036">
        <v>10.51606</v>
      </c>
      <c r="P8036">
        <v>27.2</v>
      </c>
      <c r="Q8036">
        <v>27.61204</v>
      </c>
      <c r="R8036">
        <v>28.108029999999999</v>
      </c>
      <c r="S8036">
        <v>24.9712</v>
      </c>
      <c r="T8036">
        <v>853.09950000000003</v>
      </c>
      <c r="U8036">
        <v>208.87960000000001</v>
      </c>
      <c r="V8036">
        <v>15.879580000000001</v>
      </c>
      <c r="W8036">
        <v>75.120419999999996</v>
      </c>
      <c r="X8036">
        <v>448.00700000000001</v>
      </c>
      <c r="Y8036">
        <v>73.455500000000001</v>
      </c>
      <c r="Z8036">
        <v>193.25479999999999</v>
      </c>
      <c r="AA8036">
        <v>136.62299999999999</v>
      </c>
      <c r="AB8036">
        <v>4.0553220000000003</v>
      </c>
      <c r="AC8036">
        <v>0.15555759999999999</v>
      </c>
      <c r="AD8036">
        <v>2.0382989999999999</v>
      </c>
      <c r="AE8036">
        <v>0.91901670000000002</v>
      </c>
      <c r="AF8036">
        <v>24.76614</v>
      </c>
      <c r="AG8036">
        <f>IFERROR(AH8036*0.1, "N/A")</f>
        <v>7.295986000000001</v>
      </c>
      <c r="AH8036">
        <v>72.959860000000006</v>
      </c>
      <c r="AI8036">
        <v>52.459380000000003</v>
      </c>
      <c r="AJ8036">
        <v>23.401399999999999</v>
      </c>
      <c r="AK8036">
        <v>56.022689999999997</v>
      </c>
    </row>
    <row r="8037" spans="1:37" x14ac:dyDescent="0.3">
      <c r="A8037">
        <v>8036</v>
      </c>
      <c r="B8037">
        <v>0</v>
      </c>
      <c r="C8037">
        <v>-0.22</v>
      </c>
      <c r="D8037">
        <v>5.63</v>
      </c>
      <c r="E8037">
        <f>-0.22-5.63</f>
        <v>-5.85</v>
      </c>
      <c r="F8037" t="s">
        <v>12009</v>
      </c>
      <c r="G8037" t="s">
        <v>39</v>
      </c>
      <c r="H8037">
        <v>2008</v>
      </c>
      <c r="I8037">
        <v>26.5</v>
      </c>
      <c r="J8037">
        <v>7.3</v>
      </c>
      <c r="K8037">
        <v>69</v>
      </c>
      <c r="L8037">
        <v>12.36</v>
      </c>
      <c r="M8037">
        <v>31.9</v>
      </c>
      <c r="N8037">
        <v>21.4</v>
      </c>
      <c r="O8037">
        <v>10.5</v>
      </c>
      <c r="P8037">
        <v>26.9</v>
      </c>
      <c r="Q8037">
        <v>27.4</v>
      </c>
      <c r="R8037">
        <v>27.8</v>
      </c>
      <c r="S8037">
        <v>24.6</v>
      </c>
      <c r="T8037">
        <v>868</v>
      </c>
      <c r="U8037">
        <v>208</v>
      </c>
      <c r="V8037">
        <v>16</v>
      </c>
      <c r="W8037">
        <v>74</v>
      </c>
      <c r="X8037">
        <v>448</v>
      </c>
      <c r="Y8037">
        <v>76</v>
      </c>
      <c r="Z8037">
        <v>197</v>
      </c>
      <c r="AA8037">
        <v>142</v>
      </c>
      <c r="AB8037">
        <v>32.284059999999997</v>
      </c>
      <c r="AC8037">
        <v>3.3955329999999999E-2</v>
      </c>
      <c r="AD8037">
        <v>3.362314</v>
      </c>
      <c r="AE8037">
        <v>0.80390240000000002</v>
      </c>
      <c r="AF8037">
        <v>59.474609999999998</v>
      </c>
      <c r="AG8037">
        <f>IFERROR(AH8037*0.1, "N/A")</f>
        <v>6.014011</v>
      </c>
      <c r="AH8037">
        <v>60.14011</v>
      </c>
      <c r="AI8037">
        <v>315.36369999999999</v>
      </c>
      <c r="AJ8037">
        <v>18.070049999999998</v>
      </c>
      <c r="AK8037">
        <v>66.859889999999993</v>
      </c>
    </row>
    <row r="8038" spans="1:37" x14ac:dyDescent="0.3">
      <c r="A8038">
        <v>8037</v>
      </c>
      <c r="B8038">
        <v>15.7</v>
      </c>
      <c r="C8038">
        <v>-0.21</v>
      </c>
      <c r="D8038">
        <v>5.63</v>
      </c>
      <c r="E8038">
        <f>-0.21-5.63</f>
        <v>-5.84</v>
      </c>
      <c r="F8038" t="s">
        <v>12010</v>
      </c>
      <c r="G8038" t="s">
        <v>39</v>
      </c>
      <c r="H8038">
        <v>2008</v>
      </c>
      <c r="I8038">
        <v>26.4</v>
      </c>
      <c r="J8038">
        <v>7.2</v>
      </c>
      <c r="K8038">
        <v>68</v>
      </c>
      <c r="L8038">
        <v>12.32</v>
      </c>
      <c r="M8038">
        <v>31.8</v>
      </c>
      <c r="N8038">
        <v>21.3</v>
      </c>
      <c r="O8038">
        <v>10.5</v>
      </c>
      <c r="P8038">
        <v>26.8</v>
      </c>
      <c r="Q8038">
        <v>27.2</v>
      </c>
      <c r="R8038">
        <v>27.8</v>
      </c>
      <c r="S8038">
        <v>24.5</v>
      </c>
      <c r="T8038">
        <v>872</v>
      </c>
      <c r="U8038">
        <v>208</v>
      </c>
      <c r="V8038">
        <v>16</v>
      </c>
      <c r="W8038">
        <v>74</v>
      </c>
      <c r="X8038">
        <v>449</v>
      </c>
      <c r="Y8038">
        <v>75</v>
      </c>
      <c r="Z8038">
        <v>199</v>
      </c>
      <c r="AA8038">
        <v>145</v>
      </c>
      <c r="AB8038">
        <v>19.715409999999999</v>
      </c>
      <c r="AC8038">
        <v>2.211045E-2</v>
      </c>
      <c r="AD8038">
        <v>1.4447380000000001</v>
      </c>
      <c r="AE8038">
        <v>0.70942369999999999</v>
      </c>
      <c r="AF8038">
        <v>79.439580000000007</v>
      </c>
      <c r="AG8038">
        <f>IFERROR(AH8038*0.1, "N/A")</f>
        <v>6.0378280000000002</v>
      </c>
      <c r="AH8038">
        <v>60.378279999999997</v>
      </c>
      <c r="AI8038">
        <v>66.301419999999993</v>
      </c>
      <c r="AJ8038">
        <v>19.619959999999999</v>
      </c>
      <c r="AK8038">
        <v>64.378280000000004</v>
      </c>
    </row>
    <row r="8039" spans="1:37" x14ac:dyDescent="0.3">
      <c r="A8039">
        <v>8038</v>
      </c>
      <c r="B8039">
        <v>0.7</v>
      </c>
      <c r="C8039">
        <v>-0.24</v>
      </c>
      <c r="D8039">
        <v>5.67</v>
      </c>
      <c r="E8039">
        <f>-0.24-5.67</f>
        <v>-5.91</v>
      </c>
      <c r="F8039" t="s">
        <v>12011</v>
      </c>
      <c r="G8039" t="s">
        <v>39</v>
      </c>
      <c r="H8039">
        <v>2008</v>
      </c>
      <c r="I8039">
        <v>26.7</v>
      </c>
      <c r="J8039">
        <v>7.5</v>
      </c>
      <c r="K8039">
        <v>70</v>
      </c>
      <c r="L8039">
        <v>11.93</v>
      </c>
      <c r="M8039">
        <v>32.200000000000003</v>
      </c>
      <c r="N8039">
        <v>21.5</v>
      </c>
      <c r="O8039">
        <v>10.7</v>
      </c>
      <c r="P8039">
        <v>27.1</v>
      </c>
      <c r="Q8039">
        <v>27.4</v>
      </c>
      <c r="R8039">
        <v>28</v>
      </c>
      <c r="S8039">
        <v>24.9</v>
      </c>
      <c r="T8039">
        <v>902</v>
      </c>
      <c r="U8039">
        <v>209</v>
      </c>
      <c r="V8039">
        <v>17</v>
      </c>
      <c r="W8039">
        <v>71</v>
      </c>
      <c r="X8039">
        <v>455</v>
      </c>
      <c r="Y8039">
        <v>80</v>
      </c>
      <c r="Z8039">
        <v>206</v>
      </c>
      <c r="AA8039">
        <v>152</v>
      </c>
      <c r="AB8039">
        <v>13.20908</v>
      </c>
      <c r="AC8039">
        <v>2.905394E-2</v>
      </c>
      <c r="AD8039">
        <v>1.2857229999999999</v>
      </c>
      <c r="AE8039">
        <v>0.86928530000000004</v>
      </c>
      <c r="AF8039">
        <v>55.58813</v>
      </c>
      <c r="AG8039">
        <f>IFERROR(AH8039*0.1, "N/A")</f>
        <v>6.741187</v>
      </c>
      <c r="AH8039">
        <v>67.411869999999993</v>
      </c>
      <c r="AI8039">
        <v>114.31010000000001</v>
      </c>
      <c r="AJ8039">
        <v>22.79232</v>
      </c>
      <c r="AK8039">
        <v>57.127400000000002</v>
      </c>
    </row>
    <row r="8040" spans="1:37" x14ac:dyDescent="0.3">
      <c r="A8040">
        <v>8039</v>
      </c>
      <c r="B8040">
        <v>0</v>
      </c>
      <c r="C8040">
        <v>-0.16</v>
      </c>
      <c r="D8040">
        <v>5.67</v>
      </c>
      <c r="E8040">
        <f>-0.16-5.67</f>
        <v>-5.83</v>
      </c>
      <c r="F8040" t="s">
        <v>12012</v>
      </c>
      <c r="G8040" t="s">
        <v>39</v>
      </c>
      <c r="H8040">
        <v>2008</v>
      </c>
      <c r="I8040">
        <v>26.4</v>
      </c>
      <c r="J8040">
        <v>7.4</v>
      </c>
      <c r="K8040">
        <v>69</v>
      </c>
      <c r="L8040">
        <v>12.08</v>
      </c>
      <c r="M8040">
        <v>31.9</v>
      </c>
      <c r="N8040">
        <v>21.2</v>
      </c>
      <c r="O8040">
        <v>10.7</v>
      </c>
      <c r="P8040">
        <v>26.8</v>
      </c>
      <c r="Q8040">
        <v>27.2</v>
      </c>
      <c r="R8040">
        <v>27.7</v>
      </c>
      <c r="S8040">
        <v>24.6</v>
      </c>
      <c r="T8040">
        <v>877</v>
      </c>
      <c r="U8040">
        <v>205</v>
      </c>
      <c r="V8040">
        <v>15</v>
      </c>
      <c r="W8040">
        <v>71</v>
      </c>
      <c r="X8040">
        <v>446</v>
      </c>
      <c r="Y8040">
        <v>73</v>
      </c>
      <c r="Z8040">
        <v>200</v>
      </c>
      <c r="AA8040">
        <v>154</v>
      </c>
      <c r="AB8040">
        <v>3.0346169999999999</v>
      </c>
      <c r="AC8040">
        <v>0.2494516</v>
      </c>
      <c r="AD8040">
        <v>1.6982759999999999</v>
      </c>
      <c r="AE8040">
        <v>0.93112950000000005</v>
      </c>
      <c r="AF8040">
        <v>67.965029999999999</v>
      </c>
      <c r="AG8040">
        <f>IFERROR(AH8040*0.1, "N/A")</f>
        <v>6.999301</v>
      </c>
      <c r="AH8040">
        <v>69.993009999999998</v>
      </c>
      <c r="AI8040">
        <v>115.1773</v>
      </c>
      <c r="AJ8040">
        <v>20.606639999999999</v>
      </c>
      <c r="AK8040">
        <v>61.765729999999998</v>
      </c>
    </row>
    <row r="8041" spans="1:37" x14ac:dyDescent="0.3">
      <c r="A8041">
        <v>8040</v>
      </c>
      <c r="B8041">
        <v>3.4</v>
      </c>
      <c r="C8041">
        <v>-0.2</v>
      </c>
      <c r="D8041">
        <v>5.72</v>
      </c>
      <c r="E8041">
        <f>-0.2-5.72</f>
        <v>-5.92</v>
      </c>
      <c r="F8041" t="s">
        <v>12013</v>
      </c>
      <c r="G8041" t="s">
        <v>39</v>
      </c>
      <c r="H8041">
        <v>2008</v>
      </c>
      <c r="I8041">
        <v>26.6</v>
      </c>
      <c r="J8041">
        <v>7.7211169999999996</v>
      </c>
      <c r="K8041">
        <v>70</v>
      </c>
      <c r="L8041">
        <v>11.700240000000001</v>
      </c>
      <c r="M8041">
        <v>32.299999999999997</v>
      </c>
      <c r="N8041">
        <v>21.3</v>
      </c>
      <c r="O8041">
        <v>11</v>
      </c>
      <c r="P8041">
        <v>26.97888</v>
      </c>
      <c r="Q8041">
        <v>27.3</v>
      </c>
      <c r="R8041">
        <v>27.9</v>
      </c>
      <c r="S8041">
        <v>24.878879999999999</v>
      </c>
      <c r="T8041">
        <v>927.47820000000002</v>
      </c>
      <c r="U8041">
        <v>207.21119999999999</v>
      </c>
      <c r="V8041">
        <v>17</v>
      </c>
      <c r="W8041">
        <v>67.211169999999996</v>
      </c>
      <c r="X8041">
        <v>455.42230000000001</v>
      </c>
      <c r="Y8041">
        <v>81.422340000000005</v>
      </c>
      <c r="Z8041">
        <v>213.42230000000001</v>
      </c>
      <c r="AA8041">
        <v>166</v>
      </c>
      <c r="AB8041">
        <v>3.444502</v>
      </c>
      <c r="AC8041">
        <v>2.516212E-2</v>
      </c>
      <c r="AD8041">
        <v>1.499112</v>
      </c>
      <c r="AE8041">
        <v>0.84445250000000005</v>
      </c>
      <c r="AF8041">
        <v>58.235599999999998</v>
      </c>
      <c r="AG8041">
        <f>IFERROR(AH8041*0.1, "N/A")</f>
        <v>6.3062830000000005</v>
      </c>
      <c r="AH8041">
        <v>63.062829999999998</v>
      </c>
      <c r="AI8041">
        <v>160.4761</v>
      </c>
      <c r="AJ8041">
        <v>14.13264</v>
      </c>
      <c r="AK8041">
        <v>67.835949999999997</v>
      </c>
    </row>
    <row r="8042" spans="1:37" x14ac:dyDescent="0.3">
      <c r="A8042">
        <v>8041</v>
      </c>
      <c r="B8042">
        <v>11.1</v>
      </c>
      <c r="C8042">
        <v>0.37</v>
      </c>
      <c r="D8042">
        <v>5.79</v>
      </c>
      <c r="E8042" t="s">
        <v>12014</v>
      </c>
      <c r="F8042" t="s">
        <v>12015</v>
      </c>
      <c r="G8042" t="s">
        <v>39</v>
      </c>
      <c r="H8042">
        <v>2008</v>
      </c>
      <c r="I8042">
        <v>27</v>
      </c>
      <c r="J8042">
        <v>7.1</v>
      </c>
      <c r="K8042">
        <v>67</v>
      </c>
      <c r="L8042">
        <v>11.88</v>
      </c>
      <c r="M8042">
        <v>32.299999999999997</v>
      </c>
      <c r="N8042">
        <v>21.8</v>
      </c>
      <c r="O8042">
        <v>10.5</v>
      </c>
      <c r="P8042">
        <v>27.4</v>
      </c>
      <c r="Q8042">
        <v>27.7</v>
      </c>
      <c r="R8042">
        <v>28.4</v>
      </c>
      <c r="S8042">
        <v>25.2</v>
      </c>
      <c r="T8042">
        <v>857</v>
      </c>
      <c r="U8042">
        <v>193</v>
      </c>
      <c r="V8042">
        <v>7</v>
      </c>
      <c r="W8042">
        <v>74</v>
      </c>
      <c r="X8042">
        <v>445</v>
      </c>
      <c r="Y8042">
        <v>49</v>
      </c>
      <c r="Z8042">
        <v>198</v>
      </c>
      <c r="AA8042">
        <v>156</v>
      </c>
      <c r="AB8042">
        <v>1.1698770000000001</v>
      </c>
      <c r="AC8042">
        <v>2.2372449999999999E-2</v>
      </c>
      <c r="AD8042">
        <v>0.92644249999999995</v>
      </c>
      <c r="AE8042">
        <v>0.58662069999999999</v>
      </c>
      <c r="AF8042">
        <v>-0.58318740000000002</v>
      </c>
      <c r="AG8042">
        <f>IFERROR(AH8042*0.1, "N/A")</f>
        <v>6.0285460000000004</v>
      </c>
      <c r="AH8042">
        <v>60.28546</v>
      </c>
      <c r="AI8042">
        <v>174.1028</v>
      </c>
      <c r="AJ8042">
        <v>25.11909</v>
      </c>
      <c r="AK8042">
        <v>48.23818</v>
      </c>
    </row>
    <row r="8043" spans="1:37" x14ac:dyDescent="0.3">
      <c r="A8043">
        <v>8042</v>
      </c>
      <c r="B8043">
        <v>19.8</v>
      </c>
      <c r="C8043">
        <v>0.42</v>
      </c>
      <c r="D8043">
        <v>5.79</v>
      </c>
      <c r="E8043" t="s">
        <v>12016</v>
      </c>
      <c r="F8043" t="s">
        <v>12017</v>
      </c>
      <c r="G8043" t="s">
        <v>39</v>
      </c>
      <c r="H8043">
        <v>2008</v>
      </c>
      <c r="I8043">
        <v>27.1</v>
      </c>
      <c r="J8043">
        <v>7</v>
      </c>
      <c r="K8043">
        <v>67</v>
      </c>
      <c r="L8043">
        <v>12.13</v>
      </c>
      <c r="M8043">
        <v>32.299999999999997</v>
      </c>
      <c r="N8043">
        <v>22</v>
      </c>
      <c r="O8043">
        <v>10.3</v>
      </c>
      <c r="P8043">
        <v>27.5</v>
      </c>
      <c r="Q8043">
        <v>27.8</v>
      </c>
      <c r="R8043">
        <v>28.4</v>
      </c>
      <c r="S8043">
        <v>25.2</v>
      </c>
      <c r="T8043">
        <v>852</v>
      </c>
      <c r="U8043">
        <v>194</v>
      </c>
      <c r="V8043">
        <v>6</v>
      </c>
      <c r="W8043">
        <v>75</v>
      </c>
      <c r="X8043">
        <v>447</v>
      </c>
      <c r="Y8043">
        <v>46</v>
      </c>
      <c r="Z8043">
        <v>196</v>
      </c>
      <c r="AA8043">
        <v>155</v>
      </c>
      <c r="AB8043">
        <v>4.7923210000000003</v>
      </c>
      <c r="AC8043">
        <v>1.022692E-2</v>
      </c>
      <c r="AD8043">
        <v>1.8646739999999999</v>
      </c>
      <c r="AE8043" t="s">
        <v>729</v>
      </c>
      <c r="AF8043">
        <v>6.0541010000000002</v>
      </c>
      <c r="AG8043">
        <f>IFERROR(AH8043*0.1, "N/A")</f>
        <v>6.4458990000000007</v>
      </c>
      <c r="AH8043">
        <v>64.45899</v>
      </c>
      <c r="AI8043">
        <v>119.4098</v>
      </c>
      <c r="AJ8043">
        <v>28.84817</v>
      </c>
      <c r="AK8043">
        <v>45.689349999999997</v>
      </c>
    </row>
    <row r="8044" spans="1:37" x14ac:dyDescent="0.3">
      <c r="A8044">
        <v>8043</v>
      </c>
      <c r="B8044">
        <v>6.5</v>
      </c>
      <c r="C8044">
        <v>0.39</v>
      </c>
      <c r="D8044">
        <v>5.84</v>
      </c>
      <c r="E8044" t="s">
        <v>12018</v>
      </c>
      <c r="F8044" t="s">
        <v>12019</v>
      </c>
      <c r="G8044" t="s">
        <v>39</v>
      </c>
      <c r="H8044">
        <v>2008</v>
      </c>
      <c r="I8044">
        <v>27</v>
      </c>
      <c r="J8044">
        <v>7.3</v>
      </c>
      <c r="K8044">
        <v>68</v>
      </c>
      <c r="L8044">
        <v>12.27</v>
      </c>
      <c r="M8044">
        <v>32.5</v>
      </c>
      <c r="N8044">
        <v>21.8</v>
      </c>
      <c r="O8044">
        <v>10.7</v>
      </c>
      <c r="P8044">
        <v>27.4</v>
      </c>
      <c r="Q8044">
        <v>27.8</v>
      </c>
      <c r="R8044">
        <v>28.4</v>
      </c>
      <c r="S8044">
        <v>25.2</v>
      </c>
      <c r="T8044">
        <v>879</v>
      </c>
      <c r="U8044">
        <v>192</v>
      </c>
      <c r="V8044">
        <v>8</v>
      </c>
      <c r="W8044">
        <v>71</v>
      </c>
      <c r="X8044">
        <v>448</v>
      </c>
      <c r="Y8044">
        <v>53</v>
      </c>
      <c r="Z8044">
        <v>205</v>
      </c>
      <c r="AA8044">
        <v>162</v>
      </c>
      <c r="AB8044">
        <v>1.5762240000000001</v>
      </c>
      <c r="AC8044">
        <v>1.3063279999999999</v>
      </c>
      <c r="AD8044">
        <v>2.2232370000000001</v>
      </c>
      <c r="AE8044">
        <v>0.62049639999999995</v>
      </c>
      <c r="AF8044">
        <v>3.4580419999999998</v>
      </c>
      <c r="AG8044">
        <f>IFERROR(AH8044*0.1, "N/A")</f>
        <v>5.776573</v>
      </c>
      <c r="AH8044">
        <v>57.765729999999998</v>
      </c>
      <c r="AI8044">
        <v>71.525800000000004</v>
      </c>
      <c r="AJ8044">
        <v>25.255240000000001</v>
      </c>
      <c r="AK8044">
        <v>51.62762</v>
      </c>
    </row>
    <row r="8045" spans="1:37" x14ac:dyDescent="0.3">
      <c r="A8045">
        <v>8044</v>
      </c>
      <c r="B8045">
        <v>5</v>
      </c>
      <c r="C8045">
        <v>0.42</v>
      </c>
      <c r="D8045">
        <v>5.86</v>
      </c>
      <c r="E8045" t="s">
        <v>12020</v>
      </c>
      <c r="F8045" t="s">
        <v>12021</v>
      </c>
      <c r="G8045" t="s">
        <v>39</v>
      </c>
      <c r="H8045">
        <v>2008</v>
      </c>
      <c r="I8045">
        <v>26.9</v>
      </c>
      <c r="J8045">
        <v>7.3</v>
      </c>
      <c r="K8045">
        <v>68</v>
      </c>
      <c r="L8045">
        <v>12.19</v>
      </c>
      <c r="M8045">
        <v>32.4</v>
      </c>
      <c r="N8045">
        <v>21.7</v>
      </c>
      <c r="O8045">
        <v>10.7</v>
      </c>
      <c r="P8045">
        <v>27.3</v>
      </c>
      <c r="Q8045">
        <v>27.6</v>
      </c>
      <c r="R8045">
        <v>28.3</v>
      </c>
      <c r="S8045">
        <v>25.1</v>
      </c>
      <c r="T8045">
        <v>891</v>
      </c>
      <c r="U8045">
        <v>191</v>
      </c>
      <c r="V8045">
        <v>8</v>
      </c>
      <c r="W8045">
        <v>71</v>
      </c>
      <c r="X8045">
        <v>450</v>
      </c>
      <c r="Y8045">
        <v>53</v>
      </c>
      <c r="Z8045">
        <v>209</v>
      </c>
      <c r="AA8045">
        <v>166</v>
      </c>
      <c r="AB8045">
        <v>7.2739130000000003</v>
      </c>
      <c r="AC8045">
        <v>4.5123330000000003E-2</v>
      </c>
      <c r="AD8045">
        <v>1.9454549999999999</v>
      </c>
      <c r="AE8045">
        <v>0.52549449999999998</v>
      </c>
      <c r="AF8045">
        <v>9.5634779999999999</v>
      </c>
      <c r="AG8045">
        <f>IFERROR(AH8045*0.1, "N/A")</f>
        <v>5.664174</v>
      </c>
      <c r="AH8045">
        <v>56.641739999999999</v>
      </c>
      <c r="AI8045">
        <v>200.6026</v>
      </c>
      <c r="AJ8045">
        <v>22.337389999999999</v>
      </c>
      <c r="AK8045">
        <v>52.66957</v>
      </c>
    </row>
    <row r="8046" spans="1:37" x14ac:dyDescent="0.3">
      <c r="A8046">
        <v>8045</v>
      </c>
      <c r="B8046">
        <v>7.6</v>
      </c>
      <c r="C8046">
        <v>0.43</v>
      </c>
      <c r="D8046">
        <v>5.88</v>
      </c>
      <c r="E8046" t="s">
        <v>12022</v>
      </c>
      <c r="F8046" t="s">
        <v>12023</v>
      </c>
      <c r="G8046" t="s">
        <v>39</v>
      </c>
      <c r="H8046">
        <v>2008</v>
      </c>
      <c r="I8046">
        <v>27</v>
      </c>
      <c r="J8046">
        <v>7.4</v>
      </c>
      <c r="K8046">
        <v>68</v>
      </c>
      <c r="L8046">
        <v>12.12</v>
      </c>
      <c r="M8046">
        <v>32.5</v>
      </c>
      <c r="N8046">
        <v>21.7</v>
      </c>
      <c r="O8046">
        <v>10.8</v>
      </c>
      <c r="P8046">
        <v>27.4</v>
      </c>
      <c r="Q8046">
        <v>27.7</v>
      </c>
      <c r="R8046">
        <v>28.4</v>
      </c>
      <c r="S8046">
        <v>25.2</v>
      </c>
      <c r="T8046">
        <v>897</v>
      </c>
      <c r="U8046">
        <v>191</v>
      </c>
      <c r="V8046">
        <v>8</v>
      </c>
      <c r="W8046">
        <v>71</v>
      </c>
      <c r="X8046">
        <v>451</v>
      </c>
      <c r="Y8046">
        <v>53</v>
      </c>
      <c r="Z8046">
        <v>210</v>
      </c>
      <c r="AA8046">
        <v>168</v>
      </c>
      <c r="AB8046">
        <v>0.86317639999999995</v>
      </c>
      <c r="AC8046">
        <v>8.0620510000000003</v>
      </c>
      <c r="AD8046">
        <v>2.1818080000000002</v>
      </c>
      <c r="AE8046">
        <v>0.60017330000000002</v>
      </c>
      <c r="AF8046">
        <v>12.104710000000001</v>
      </c>
      <c r="AG8046">
        <f>IFERROR(AH8046*0.1, "N/A")</f>
        <v>5.2944150000000008</v>
      </c>
      <c r="AH8046">
        <v>52.94415</v>
      </c>
      <c r="AI8046">
        <v>128.56190000000001</v>
      </c>
      <c r="AJ8046">
        <v>21.837700000000002</v>
      </c>
      <c r="AK8046">
        <v>57.274000000000001</v>
      </c>
    </row>
    <row r="8047" spans="1:37" x14ac:dyDescent="0.3">
      <c r="A8047">
        <v>8046</v>
      </c>
      <c r="B8047">
        <v>6.1</v>
      </c>
      <c r="C8047">
        <v>-1.6670000000000001E-2</v>
      </c>
      <c r="D8047">
        <v>5.9</v>
      </c>
      <c r="E8047">
        <f>-0.01667-5.9</f>
        <v>-5.9166700000000008</v>
      </c>
      <c r="F8047" t="s">
        <v>12024</v>
      </c>
      <c r="G8047" t="s">
        <v>39</v>
      </c>
      <c r="H8047">
        <v>2008</v>
      </c>
      <c r="I8047">
        <v>26.98949</v>
      </c>
      <c r="J8047">
        <v>8.8399300000000007</v>
      </c>
      <c r="K8047">
        <v>72</v>
      </c>
      <c r="L8047">
        <v>11.50093</v>
      </c>
      <c r="M8047">
        <v>33.5</v>
      </c>
      <c r="N8047">
        <v>21.260069999999999</v>
      </c>
      <c r="O8047">
        <v>12.239929999999999</v>
      </c>
      <c r="P8047">
        <v>27.34956</v>
      </c>
      <c r="Q8047">
        <v>27.6</v>
      </c>
      <c r="R8047">
        <v>28.4</v>
      </c>
      <c r="S8047">
        <v>25.384060000000002</v>
      </c>
      <c r="T8047">
        <v>984.62350000000004</v>
      </c>
      <c r="U8047">
        <v>196</v>
      </c>
      <c r="V8047">
        <v>16</v>
      </c>
      <c r="W8047">
        <v>60.894919999999999</v>
      </c>
      <c r="X8047">
        <v>455.39929999999998</v>
      </c>
      <c r="Y8047">
        <v>82.504379999999998</v>
      </c>
      <c r="Z8047">
        <v>230.90369999999999</v>
      </c>
      <c r="AA8047">
        <v>189.91239999999999</v>
      </c>
      <c r="AB8047">
        <v>1.0667230000000001</v>
      </c>
      <c r="AC8047">
        <v>0.1125994</v>
      </c>
      <c r="AD8047">
        <v>2.1679179999999998</v>
      </c>
      <c r="AE8047">
        <v>0.60971799999999998</v>
      </c>
      <c r="AF8047">
        <v>33.775829999999999</v>
      </c>
      <c r="AG8047">
        <f>IFERROR(AH8047*0.1, "N/A")</f>
        <v>6.4833630000000007</v>
      </c>
      <c r="AH8047">
        <v>64.833629999999999</v>
      </c>
      <c r="AI8047">
        <v>158.97309999999999</v>
      </c>
      <c r="AJ8047">
        <v>21</v>
      </c>
      <c r="AK8047">
        <v>56.812609999999999</v>
      </c>
    </row>
    <row r="8048" spans="1:37" x14ac:dyDescent="0.3">
      <c r="A8048">
        <v>8047</v>
      </c>
      <c r="B8048">
        <v>1.2</v>
      </c>
      <c r="C8048">
        <v>1.6667000000000001E-2</v>
      </c>
      <c r="D8048">
        <v>5.9833299999999996</v>
      </c>
      <c r="E8048" t="s">
        <v>12025</v>
      </c>
      <c r="F8048" t="s">
        <v>12026</v>
      </c>
      <c r="G8048" t="s">
        <v>39</v>
      </c>
      <c r="H8048">
        <v>2008</v>
      </c>
      <c r="I8048">
        <v>26.65577</v>
      </c>
      <c r="J8048">
        <v>9.3234270000000006</v>
      </c>
      <c r="K8048">
        <v>73.234269999999995</v>
      </c>
      <c r="L8048">
        <v>11.194900000000001</v>
      </c>
      <c r="M8048">
        <v>33.555770000000003</v>
      </c>
      <c r="N8048">
        <v>20.917660000000001</v>
      </c>
      <c r="O8048">
        <v>12.638109999999999</v>
      </c>
      <c r="P8048">
        <v>26.955770000000001</v>
      </c>
      <c r="Q8048">
        <v>27.332339999999999</v>
      </c>
      <c r="R8048">
        <v>28.117660000000001</v>
      </c>
      <c r="S8048">
        <v>25.117660000000001</v>
      </c>
      <c r="T8048">
        <v>1068.4970000000001</v>
      </c>
      <c r="U8048">
        <v>196.6189</v>
      </c>
      <c r="V8048">
        <v>18.823429999999998</v>
      </c>
      <c r="W8048">
        <v>56.176569999999998</v>
      </c>
      <c r="X8048">
        <v>468.47199999999998</v>
      </c>
      <c r="Y8048">
        <v>92.676569999999998</v>
      </c>
      <c r="Z8048">
        <v>252.76400000000001</v>
      </c>
      <c r="AA8048">
        <v>215.1748</v>
      </c>
      <c r="AB8048">
        <v>15.19056</v>
      </c>
      <c r="AC8048">
        <v>4.4473239999999997E-2</v>
      </c>
      <c r="AD8048">
        <v>2.9827210000000002</v>
      </c>
      <c r="AE8048">
        <v>0.69322280000000003</v>
      </c>
      <c r="AF8048">
        <v>76.444059999999993</v>
      </c>
      <c r="AG8048">
        <f>IFERROR(AH8048*0.1, "N/A")</f>
        <v>5.5430070000000002</v>
      </c>
      <c r="AH8048">
        <v>55.430070000000001</v>
      </c>
      <c r="AI8048">
        <v>64.965559999999996</v>
      </c>
      <c r="AJ8048">
        <v>18.370629999999998</v>
      </c>
      <c r="AK8048">
        <v>59.452800000000003</v>
      </c>
    </row>
    <row r="8049" spans="1:37" x14ac:dyDescent="0.3">
      <c r="A8049">
        <v>8048</v>
      </c>
      <c r="B8049">
        <v>23.2</v>
      </c>
      <c r="C8049">
        <v>-1.7833300000000001</v>
      </c>
      <c r="D8049">
        <v>6.7333299999999996</v>
      </c>
      <c r="E8049">
        <f>-1.78333-6.73333</f>
        <v>-8.5166599999999999</v>
      </c>
      <c r="F8049" t="s">
        <v>12027</v>
      </c>
      <c r="G8049" t="s">
        <v>39</v>
      </c>
      <c r="H8049">
        <v>2004</v>
      </c>
      <c r="I8049">
        <v>26.4178</v>
      </c>
      <c r="J8049">
        <v>9.4</v>
      </c>
      <c r="K8049">
        <v>71.602090000000004</v>
      </c>
      <c r="L8049">
        <v>10.474349999999999</v>
      </c>
      <c r="M8049">
        <v>33.828800000000001</v>
      </c>
      <c r="N8049">
        <v>20.789000000000001</v>
      </c>
      <c r="O8049">
        <v>13.03979</v>
      </c>
      <c r="P8049">
        <v>26.888999999999999</v>
      </c>
      <c r="Q8049">
        <v>26.7822</v>
      </c>
      <c r="R8049">
        <v>27.7288</v>
      </c>
      <c r="S8049">
        <v>24.98901</v>
      </c>
      <c r="T8049">
        <v>1395.5340000000001</v>
      </c>
      <c r="U8049">
        <v>211</v>
      </c>
      <c r="V8049">
        <v>15</v>
      </c>
      <c r="W8049">
        <v>52.465969999999999</v>
      </c>
      <c r="X8049">
        <v>531.89009999999996</v>
      </c>
      <c r="Y8049">
        <v>102.712</v>
      </c>
      <c r="Z8049">
        <v>342.60210000000001</v>
      </c>
      <c r="AA8049">
        <v>357.39789999999999</v>
      </c>
      <c r="AB8049">
        <v>3.5607329999999999</v>
      </c>
      <c r="AC8049">
        <v>0.40117049999999999</v>
      </c>
      <c r="AD8049">
        <v>4.4169150000000004</v>
      </c>
      <c r="AE8049">
        <v>0.79967580000000005</v>
      </c>
      <c r="AF8049">
        <v>207.267</v>
      </c>
      <c r="AG8049">
        <f>IFERROR(AH8049*0.1, "N/A")</f>
        <v>5.3668410000000009</v>
      </c>
      <c r="AH8049">
        <v>53.668410000000002</v>
      </c>
      <c r="AI8049">
        <v>114.99209999999999</v>
      </c>
      <c r="AJ8049">
        <v>19.881329999999998</v>
      </c>
      <c r="AK8049">
        <v>53.623040000000003</v>
      </c>
    </row>
    <row r="8050" spans="1:37" x14ac:dyDescent="0.3">
      <c r="A8050">
        <v>8049</v>
      </c>
      <c r="B8050">
        <v>8.5</v>
      </c>
      <c r="C8050">
        <v>-1.76667</v>
      </c>
      <c r="D8050">
        <v>6.8</v>
      </c>
      <c r="E8050">
        <f>-1.76667-6.8</f>
        <v>-8.5666700000000002</v>
      </c>
      <c r="F8050" t="s">
        <v>12028</v>
      </c>
      <c r="G8050" t="s">
        <v>39</v>
      </c>
      <c r="H8050">
        <v>2004</v>
      </c>
      <c r="I8050">
        <v>26.522089999999999</v>
      </c>
      <c r="J8050">
        <v>9.4</v>
      </c>
      <c r="K8050">
        <v>71</v>
      </c>
      <c r="L8050">
        <v>10.40962</v>
      </c>
      <c r="M8050">
        <v>33.995649999999998</v>
      </c>
      <c r="N8050">
        <v>20.89565</v>
      </c>
      <c r="O8050">
        <v>13.1</v>
      </c>
      <c r="P8050">
        <v>26.995650000000001</v>
      </c>
      <c r="Q8050">
        <v>26.891300000000001</v>
      </c>
      <c r="R8050">
        <v>27.89565</v>
      </c>
      <c r="S8050">
        <v>25.095649999999999</v>
      </c>
      <c r="T8050">
        <v>1378.6849999999999</v>
      </c>
      <c r="U8050">
        <v>209.51830000000001</v>
      </c>
      <c r="V8050">
        <v>15</v>
      </c>
      <c r="W8050">
        <v>53</v>
      </c>
      <c r="X8050">
        <v>526.16700000000003</v>
      </c>
      <c r="Y8050">
        <v>99</v>
      </c>
      <c r="Z8050">
        <v>336.95650000000001</v>
      </c>
      <c r="AA8050">
        <v>354</v>
      </c>
      <c r="AB8050">
        <v>1.69913</v>
      </c>
      <c r="AC8050">
        <v>50.946269999999998</v>
      </c>
      <c r="AD8050">
        <v>1.37941</v>
      </c>
      <c r="AE8050">
        <v>0.73808859999999998</v>
      </c>
      <c r="AF8050">
        <v>203.04519999999999</v>
      </c>
      <c r="AG8050">
        <f>IFERROR(AH8050*0.1, "N/A")</f>
        <v>5.2786090000000003</v>
      </c>
      <c r="AH8050">
        <v>52.786090000000002</v>
      </c>
      <c r="AI8050">
        <v>117.72790000000001</v>
      </c>
      <c r="AJ8050">
        <v>20.173909999999999</v>
      </c>
      <c r="AK8050">
        <v>58.645220000000002</v>
      </c>
    </row>
    <row r="8051" spans="1:37" x14ac:dyDescent="0.3">
      <c r="A8051">
        <v>8050</v>
      </c>
      <c r="B8051">
        <v>0</v>
      </c>
      <c r="C8051">
        <v>-1.73333</v>
      </c>
      <c r="D8051">
        <v>6.8</v>
      </c>
      <c r="E8051">
        <f>-1.73333-6.8</f>
        <v>-8.5333299999999994</v>
      </c>
      <c r="F8051" t="s">
        <v>12029</v>
      </c>
      <c r="G8051" t="s">
        <v>39</v>
      </c>
      <c r="H8051">
        <v>2004</v>
      </c>
      <c r="I8051">
        <v>26.221250000000001</v>
      </c>
      <c r="J8051">
        <v>9.4</v>
      </c>
      <c r="K8051">
        <v>71</v>
      </c>
      <c r="L8051">
        <v>10.375019999999999</v>
      </c>
      <c r="M8051">
        <v>33.637630000000001</v>
      </c>
      <c r="N8051">
        <v>20.48066</v>
      </c>
      <c r="O8051">
        <v>13.156969999999999</v>
      </c>
      <c r="P8051">
        <v>26.62125</v>
      </c>
      <c r="Q8051">
        <v>26.566030000000001</v>
      </c>
      <c r="R8051">
        <v>27.509060000000002</v>
      </c>
      <c r="S8051">
        <v>24.806619999999999</v>
      </c>
      <c r="T8051">
        <v>1394.2840000000001</v>
      </c>
      <c r="U8051">
        <v>211</v>
      </c>
      <c r="V8051">
        <v>15.97561</v>
      </c>
      <c r="W8051">
        <v>53</v>
      </c>
      <c r="X8051">
        <v>528.56970000000001</v>
      </c>
      <c r="Y8051">
        <v>102.9512</v>
      </c>
      <c r="Z8051">
        <v>341.0976</v>
      </c>
      <c r="AA8051">
        <v>358.78750000000002</v>
      </c>
      <c r="AB8051">
        <v>3.802438</v>
      </c>
      <c r="AC8051">
        <v>4.1110009999999999</v>
      </c>
      <c r="AD8051">
        <v>2.6626650000000001</v>
      </c>
      <c r="AE8051">
        <v>0.75371960000000005</v>
      </c>
      <c r="AF8051">
        <v>224.5505</v>
      </c>
      <c r="AG8051">
        <f>IFERROR(AH8051*0.1, "N/A")</f>
        <v>5.3146340000000007</v>
      </c>
      <c r="AH8051">
        <v>53.146340000000002</v>
      </c>
      <c r="AI8051">
        <v>196.05350000000001</v>
      </c>
      <c r="AJ8051">
        <v>17.818819999999999</v>
      </c>
      <c r="AK8051">
        <v>53.034840000000003</v>
      </c>
    </row>
    <row r="8052" spans="1:37" x14ac:dyDescent="0.3">
      <c r="A8052">
        <v>8051</v>
      </c>
      <c r="B8052">
        <v>20.8</v>
      </c>
      <c r="C8052">
        <v>-1.76667</v>
      </c>
      <c r="D8052">
        <v>6.8166700000000002</v>
      </c>
      <c r="E8052">
        <f>-1.76667-6.81667</f>
        <v>-8.5833399999999997</v>
      </c>
      <c r="F8052" t="s">
        <v>12030</v>
      </c>
      <c r="G8052" t="s">
        <v>39</v>
      </c>
      <c r="H8052">
        <v>2004</v>
      </c>
      <c r="I8052">
        <v>26.45148</v>
      </c>
      <c r="J8052">
        <v>9.4</v>
      </c>
      <c r="K8052">
        <v>71.825479999999999</v>
      </c>
      <c r="L8052">
        <v>10.31841</v>
      </c>
      <c r="M8052">
        <v>33.851480000000002</v>
      </c>
      <c r="N8052">
        <v>20.834029999999998</v>
      </c>
      <c r="O8052">
        <v>13.01745</v>
      </c>
      <c r="P8052">
        <v>26.93403</v>
      </c>
      <c r="Q8052">
        <v>26.77469</v>
      </c>
      <c r="R8052">
        <v>27.82949</v>
      </c>
      <c r="S8052">
        <v>25.05602</v>
      </c>
      <c r="T8052">
        <v>1374.086</v>
      </c>
      <c r="U8052">
        <v>209</v>
      </c>
      <c r="V8052">
        <v>15</v>
      </c>
      <c r="W8052">
        <v>53</v>
      </c>
      <c r="X8052">
        <v>523.82550000000003</v>
      </c>
      <c r="Y8052">
        <v>98.045379999999994</v>
      </c>
      <c r="Z8052">
        <v>335.3229</v>
      </c>
      <c r="AA8052">
        <v>354.43979999999999</v>
      </c>
      <c r="AB8052">
        <v>2.5239060000000002</v>
      </c>
      <c r="AC8052">
        <v>30.666979999999999</v>
      </c>
      <c r="AD8052">
        <v>3.174906</v>
      </c>
      <c r="AE8052">
        <v>0.72249890000000005</v>
      </c>
      <c r="AF8052">
        <v>209.2269</v>
      </c>
      <c r="AG8052">
        <f>IFERROR(AH8052*0.1, "N/A")</f>
        <v>5.2219900000000008</v>
      </c>
      <c r="AH8052">
        <v>52.219900000000003</v>
      </c>
      <c r="AI8052">
        <v>101.9153</v>
      </c>
      <c r="AJ8052">
        <v>15.319369999999999</v>
      </c>
      <c r="AK8052">
        <v>53.560209999999998</v>
      </c>
    </row>
    <row r="8053" spans="1:37" x14ac:dyDescent="0.3">
      <c r="A8053">
        <v>8052</v>
      </c>
      <c r="B8053">
        <v>0</v>
      </c>
      <c r="C8053">
        <v>-0.6</v>
      </c>
      <c r="D8053">
        <v>5.4166699999999999</v>
      </c>
      <c r="E8053">
        <f>-0.6-5.41667</f>
        <v>-6.0166699999999995</v>
      </c>
      <c r="F8053" t="s">
        <v>12031</v>
      </c>
      <c r="G8053" t="s">
        <v>37</v>
      </c>
      <c r="H8053">
        <v>2004</v>
      </c>
      <c r="I8053">
        <v>26.9</v>
      </c>
      <c r="J8053">
        <v>7.1367770000000004</v>
      </c>
      <c r="K8053">
        <v>71.884410000000003</v>
      </c>
      <c r="L8053">
        <v>10.17436</v>
      </c>
      <c r="M8053">
        <v>32.1</v>
      </c>
      <c r="N8053">
        <v>22.251660000000001</v>
      </c>
      <c r="O8053">
        <v>9.8483359999999998</v>
      </c>
      <c r="P8053">
        <v>27.286159999999999</v>
      </c>
      <c r="Q8053">
        <v>27.465499999999999</v>
      </c>
      <c r="R8053">
        <v>28</v>
      </c>
      <c r="S8053">
        <v>25.351659999999999</v>
      </c>
      <c r="T8053">
        <v>1002.821</v>
      </c>
      <c r="U8053">
        <v>222</v>
      </c>
      <c r="V8053">
        <v>21.138349999999999</v>
      </c>
      <c r="W8053">
        <v>67.861649999999997</v>
      </c>
      <c r="X8053">
        <v>493.90890000000002</v>
      </c>
      <c r="Y8053">
        <v>99.047290000000004</v>
      </c>
      <c r="Z8053">
        <v>224.9562</v>
      </c>
      <c r="AA8053">
        <v>152.90889999999999</v>
      </c>
      <c r="AB8053">
        <v>4.6085820000000002</v>
      </c>
      <c r="AC8053">
        <v>6.0659770000000002</v>
      </c>
      <c r="AD8053">
        <v>2.611729</v>
      </c>
      <c r="AE8053">
        <v>0.56363479999999999</v>
      </c>
      <c r="AF8053">
        <v>9.6900180000000002</v>
      </c>
      <c r="AG8053">
        <f>IFERROR(AH8053*0.1, "N/A")</f>
        <v>6.2884770000000003</v>
      </c>
      <c r="AH8053">
        <v>62.884770000000003</v>
      </c>
      <c r="AI8053">
        <v>179.78899999999999</v>
      </c>
      <c r="AJ8053">
        <v>21.05761</v>
      </c>
      <c r="AK8053">
        <v>58.855969999999999</v>
      </c>
    </row>
    <row r="8054" spans="1:37" x14ac:dyDescent="0.3">
      <c r="A8054">
        <v>8053</v>
      </c>
      <c r="B8054">
        <v>11.2</v>
      </c>
      <c r="C8054">
        <v>-0.6</v>
      </c>
      <c r="D8054">
        <v>5.4166699999999999</v>
      </c>
      <c r="E8054">
        <f>-0.6-5.41667</f>
        <v>-6.0166699999999995</v>
      </c>
      <c r="F8054" t="s">
        <v>12032</v>
      </c>
      <c r="G8054" t="s">
        <v>39</v>
      </c>
      <c r="H8054">
        <v>2004</v>
      </c>
      <c r="I8054">
        <v>26.9</v>
      </c>
      <c r="J8054">
        <v>7.1367770000000004</v>
      </c>
      <c r="K8054">
        <v>71.884410000000003</v>
      </c>
      <c r="L8054">
        <v>10.17436</v>
      </c>
      <c r="M8054">
        <v>32.1</v>
      </c>
      <c r="N8054">
        <v>22.251660000000001</v>
      </c>
      <c r="O8054">
        <v>9.8483359999999998</v>
      </c>
      <c r="P8054">
        <v>27.286159999999999</v>
      </c>
      <c r="Q8054">
        <v>27.465499999999999</v>
      </c>
      <c r="R8054">
        <v>28</v>
      </c>
      <c r="S8054">
        <v>25.351659999999999</v>
      </c>
      <c r="T8054">
        <v>1002.821</v>
      </c>
      <c r="U8054">
        <v>222</v>
      </c>
      <c r="V8054">
        <v>21.138349999999999</v>
      </c>
      <c r="W8054">
        <v>67.861649999999997</v>
      </c>
      <c r="X8054">
        <v>493.90890000000002</v>
      </c>
      <c r="Y8054">
        <v>99.047290000000004</v>
      </c>
      <c r="Z8054">
        <v>224.9562</v>
      </c>
      <c r="AA8054">
        <v>152.90889999999999</v>
      </c>
      <c r="AB8054">
        <v>4.6085820000000002</v>
      </c>
      <c r="AC8054">
        <v>6.0659770000000002</v>
      </c>
      <c r="AD8054">
        <v>2.611729</v>
      </c>
      <c r="AE8054">
        <v>0.56363479999999999</v>
      </c>
      <c r="AF8054">
        <v>9.6900180000000002</v>
      </c>
      <c r="AG8054">
        <f>IFERROR(AH8054*0.1, "N/A")</f>
        <v>6.2884770000000003</v>
      </c>
      <c r="AH8054">
        <v>62.884770000000003</v>
      </c>
      <c r="AI8054">
        <v>179.78899999999999</v>
      </c>
      <c r="AJ8054">
        <v>21.05761</v>
      </c>
      <c r="AK8054">
        <v>58.855969999999999</v>
      </c>
    </row>
    <row r="8055" spans="1:37" x14ac:dyDescent="0.3">
      <c r="A8055">
        <v>8054</v>
      </c>
      <c r="B8055">
        <v>60.1</v>
      </c>
      <c r="C8055">
        <v>-1.1499999999999999</v>
      </c>
      <c r="D8055">
        <v>10.8667</v>
      </c>
      <c r="E8055">
        <f>-1.15-10.8667</f>
        <v>-12.0167</v>
      </c>
      <c r="F8055" t="s">
        <v>12033</v>
      </c>
      <c r="G8055" t="s">
        <v>39</v>
      </c>
      <c r="H8055">
        <v>1994</v>
      </c>
      <c r="I8055">
        <v>28.3</v>
      </c>
      <c r="J8055">
        <v>12.1</v>
      </c>
      <c r="K8055">
        <v>62</v>
      </c>
      <c r="L8055">
        <v>18.783460000000002</v>
      </c>
      <c r="M8055">
        <v>38.437159999999999</v>
      </c>
      <c r="N8055">
        <v>18.937159999999999</v>
      </c>
      <c r="O8055">
        <v>19.5</v>
      </c>
      <c r="P8055">
        <v>26.137160000000002</v>
      </c>
      <c r="Q8055">
        <v>27.912839999999999</v>
      </c>
      <c r="R8055">
        <v>31</v>
      </c>
      <c r="S8055">
        <v>26.137160000000002</v>
      </c>
      <c r="T8055">
        <v>954.01710000000003</v>
      </c>
      <c r="U8055">
        <v>260</v>
      </c>
      <c r="V8055">
        <v>1</v>
      </c>
      <c r="W8055">
        <v>104</v>
      </c>
      <c r="X8055">
        <v>613.42470000000003</v>
      </c>
      <c r="Y8055">
        <v>6</v>
      </c>
      <c r="Z8055">
        <v>157.9247</v>
      </c>
      <c r="AA8055">
        <v>613.42470000000003</v>
      </c>
      <c r="AB8055">
        <v>1.384072</v>
      </c>
      <c r="AC8055">
        <v>1.0252509999999999E-2</v>
      </c>
      <c r="AD8055">
        <v>3.274985</v>
      </c>
      <c r="AE8055">
        <v>0.59153909999999998</v>
      </c>
      <c r="AF8055">
        <v>171.4658</v>
      </c>
      <c r="AG8055">
        <f>IFERROR(AH8055*0.1, "N/A")</f>
        <v>6.1064660000000011</v>
      </c>
      <c r="AH8055">
        <v>61.064660000000003</v>
      </c>
      <c r="AI8055">
        <v>131.42259999999999</v>
      </c>
      <c r="AJ8055">
        <v>29.06466</v>
      </c>
      <c r="AK8055">
        <v>44.064660000000003</v>
      </c>
    </row>
    <row r="8056" spans="1:37" x14ac:dyDescent="0.3">
      <c r="A8056">
        <v>8055</v>
      </c>
      <c r="B8056">
        <v>64</v>
      </c>
      <c r="C8056">
        <v>-1.1499999999999999</v>
      </c>
      <c r="D8056">
        <v>10.8667</v>
      </c>
      <c r="E8056">
        <f>-1.15-10.8667</f>
        <v>-12.0167</v>
      </c>
      <c r="F8056" t="s">
        <v>12034</v>
      </c>
      <c r="G8056" t="s">
        <v>37</v>
      </c>
      <c r="H8056">
        <v>1994</v>
      </c>
      <c r="I8056">
        <v>28.3</v>
      </c>
      <c r="J8056">
        <v>12.1</v>
      </c>
      <c r="K8056">
        <v>62</v>
      </c>
      <c r="L8056">
        <v>18.783460000000002</v>
      </c>
      <c r="M8056">
        <v>38.437159999999999</v>
      </c>
      <c r="N8056">
        <v>18.937159999999999</v>
      </c>
      <c r="O8056">
        <v>19.5</v>
      </c>
      <c r="P8056">
        <v>26.137160000000002</v>
      </c>
      <c r="Q8056">
        <v>27.912839999999999</v>
      </c>
      <c r="R8056">
        <v>31</v>
      </c>
      <c r="S8056">
        <v>26.137160000000002</v>
      </c>
      <c r="T8056">
        <v>954.01710000000003</v>
      </c>
      <c r="U8056">
        <v>260</v>
      </c>
      <c r="V8056">
        <v>1</v>
      </c>
      <c r="W8056">
        <v>104</v>
      </c>
      <c r="X8056">
        <v>613.42470000000003</v>
      </c>
      <c r="Y8056">
        <v>6</v>
      </c>
      <c r="Z8056">
        <v>157.9247</v>
      </c>
      <c r="AA8056">
        <v>613.42470000000003</v>
      </c>
      <c r="AB8056">
        <v>1.384072</v>
      </c>
      <c r="AC8056">
        <v>1.0252509999999999E-2</v>
      </c>
      <c r="AD8056">
        <v>3.274985</v>
      </c>
      <c r="AE8056">
        <v>0.59153909999999998</v>
      </c>
      <c r="AF8056">
        <v>171.4658</v>
      </c>
      <c r="AG8056">
        <f>IFERROR(AH8056*0.1, "N/A")</f>
        <v>6.1064660000000011</v>
      </c>
      <c r="AH8056">
        <v>61.064660000000003</v>
      </c>
      <c r="AI8056">
        <v>131.42259999999999</v>
      </c>
      <c r="AJ8056">
        <v>29.06466</v>
      </c>
      <c r="AK8056">
        <v>44.064660000000003</v>
      </c>
    </row>
    <row r="8057" spans="1:37" x14ac:dyDescent="0.3">
      <c r="A8057">
        <v>8056</v>
      </c>
      <c r="B8057">
        <v>0</v>
      </c>
      <c r="C8057">
        <v>-0.216667</v>
      </c>
      <c r="D8057">
        <v>5.55</v>
      </c>
      <c r="E8057">
        <f>-0.216667-5.55</f>
        <v>-5.766667</v>
      </c>
      <c r="F8057" t="s">
        <v>12035</v>
      </c>
      <c r="G8057" t="s">
        <v>39</v>
      </c>
      <c r="H8057">
        <v>1993</v>
      </c>
      <c r="I8057">
        <v>26.8</v>
      </c>
      <c r="J8057">
        <v>7.0684120000000004</v>
      </c>
      <c r="K8057">
        <v>66.792320000000004</v>
      </c>
      <c r="L8057">
        <v>12.435460000000001</v>
      </c>
      <c r="M8057">
        <v>32.164569999999998</v>
      </c>
      <c r="N8057">
        <v>21.67539</v>
      </c>
      <c r="O8057">
        <v>10.489179999999999</v>
      </c>
      <c r="P8057">
        <v>27.3</v>
      </c>
      <c r="Q8057">
        <v>27.67539</v>
      </c>
      <c r="R8057">
        <v>28.17539</v>
      </c>
      <c r="S8057">
        <v>24.875389999999999</v>
      </c>
      <c r="T8057">
        <v>806.55150000000003</v>
      </c>
      <c r="U8057">
        <v>208.20769999999999</v>
      </c>
      <c r="V8057">
        <v>14</v>
      </c>
      <c r="W8057">
        <v>80.315880000000007</v>
      </c>
      <c r="X8057">
        <v>439.85340000000002</v>
      </c>
      <c r="Y8057">
        <v>66.438050000000004</v>
      </c>
      <c r="Z8057">
        <v>180</v>
      </c>
      <c r="AA8057">
        <v>124.9302</v>
      </c>
      <c r="AB8057">
        <v>1.0345549999999999</v>
      </c>
      <c r="AC8057">
        <v>0.61812820000000002</v>
      </c>
      <c r="AD8057">
        <v>1.3242480000000001</v>
      </c>
      <c r="AE8057">
        <v>0.93730800000000003</v>
      </c>
      <c r="AF8057">
        <v>6.6910990000000004</v>
      </c>
      <c r="AG8057">
        <f>IFERROR(AH8057*0.1, "N/A")</f>
        <v>6.6228620000000014</v>
      </c>
      <c r="AH8057">
        <v>66.228620000000006</v>
      </c>
      <c r="AI8057">
        <v>154.2166</v>
      </c>
      <c r="AJ8057">
        <v>28.645720000000001</v>
      </c>
      <c r="AK8057">
        <v>48</v>
      </c>
    </row>
    <row r="8058" spans="1:37" x14ac:dyDescent="0.3">
      <c r="A8058">
        <v>8057</v>
      </c>
      <c r="B8058">
        <v>45.8</v>
      </c>
      <c r="C8058">
        <v>-0.35</v>
      </c>
      <c r="D8058">
        <v>5.6833299999999998</v>
      </c>
      <c r="E8058">
        <f>-0.35-5.68333</f>
        <v>-6.0333299999999994</v>
      </c>
      <c r="F8058" t="s">
        <v>12036</v>
      </c>
      <c r="G8058" t="s">
        <v>39</v>
      </c>
      <c r="H8058">
        <v>1993</v>
      </c>
      <c r="I8058">
        <v>26.876449999999998</v>
      </c>
      <c r="J8058">
        <v>7.8</v>
      </c>
      <c r="K8058">
        <v>70.739890000000003</v>
      </c>
      <c r="L8058">
        <v>11.679539999999999</v>
      </c>
      <c r="M8058">
        <v>32.57891</v>
      </c>
      <c r="N8058">
        <v>21.652899999999999</v>
      </c>
      <c r="O8058">
        <v>10.92601</v>
      </c>
      <c r="P8058">
        <v>27.21968</v>
      </c>
      <c r="Q8058">
        <v>27.676449999999999</v>
      </c>
      <c r="R8058">
        <v>28.178909999999998</v>
      </c>
      <c r="S8058">
        <v>25.152899999999999</v>
      </c>
      <c r="T8058">
        <v>989.29</v>
      </c>
      <c r="U8058">
        <v>218</v>
      </c>
      <c r="V8058">
        <v>20</v>
      </c>
      <c r="W8058">
        <v>65.739890000000003</v>
      </c>
      <c r="X8058">
        <v>478.86470000000003</v>
      </c>
      <c r="Y8058">
        <v>95.432339999999996</v>
      </c>
      <c r="Z8058">
        <v>229.12479999999999</v>
      </c>
      <c r="AA8058">
        <v>165.78030000000001</v>
      </c>
      <c r="AB8058">
        <v>13.378209999999999</v>
      </c>
      <c r="AC8058">
        <v>9.1196300000000001E-3</v>
      </c>
      <c r="AD8058">
        <v>1.037296</v>
      </c>
      <c r="AE8058">
        <v>0.6988202</v>
      </c>
      <c r="AF8058">
        <v>36.666080000000001</v>
      </c>
      <c r="AG8058">
        <f>IFERROR(AH8058*0.1, "N/A")</f>
        <v>5.9253080000000002</v>
      </c>
      <c r="AH8058">
        <v>59.253079999999997</v>
      </c>
      <c r="AI8058">
        <v>178.9341</v>
      </c>
      <c r="AJ8058">
        <v>15.550090000000001</v>
      </c>
      <c r="AK8058">
        <v>62.421790000000001</v>
      </c>
    </row>
    <row r="8059" spans="1:37" x14ac:dyDescent="0.3">
      <c r="A8059">
        <v>8058</v>
      </c>
      <c r="B8059">
        <v>1.6</v>
      </c>
      <c r="C8059">
        <v>-0.23296700000000001</v>
      </c>
      <c r="D8059">
        <v>11.05</v>
      </c>
      <c r="E8059">
        <f>-0.232967-11.05</f>
        <v>-11.282967000000001</v>
      </c>
      <c r="F8059" t="s">
        <v>12037</v>
      </c>
      <c r="G8059" t="s">
        <v>39</v>
      </c>
      <c r="H8059">
        <v>1992</v>
      </c>
      <c r="I8059">
        <v>27.964950000000002</v>
      </c>
      <c r="J8059">
        <v>12.6</v>
      </c>
      <c r="K8059">
        <v>64</v>
      </c>
      <c r="L8059">
        <v>18.199069999999999</v>
      </c>
      <c r="M8059">
        <v>38.264949999999999</v>
      </c>
      <c r="N8059">
        <v>18.764949999999999</v>
      </c>
      <c r="O8059">
        <v>19.5</v>
      </c>
      <c r="P8059">
        <v>25.863569999999999</v>
      </c>
      <c r="Q8059">
        <v>27.56495</v>
      </c>
      <c r="R8059">
        <v>30.604810000000001</v>
      </c>
      <c r="S8059">
        <v>25.863569999999999</v>
      </c>
      <c r="T8059">
        <v>921</v>
      </c>
      <c r="U8059">
        <v>244</v>
      </c>
      <c r="V8059">
        <v>0</v>
      </c>
      <c r="W8059">
        <v>106</v>
      </c>
      <c r="X8059">
        <v>599</v>
      </c>
      <c r="Y8059">
        <v>3</v>
      </c>
      <c r="Z8059">
        <v>138</v>
      </c>
      <c r="AA8059">
        <v>599</v>
      </c>
      <c r="AB8059">
        <v>12.95842</v>
      </c>
      <c r="AC8059">
        <v>3.7001659999999999E-2</v>
      </c>
      <c r="AD8059">
        <v>1.5742339999999999</v>
      </c>
      <c r="AE8059">
        <v>0.78874509999999998</v>
      </c>
      <c r="AF8059">
        <v>231.2577</v>
      </c>
      <c r="AG8059">
        <f>IFERROR(AH8059*0.1, "N/A")</f>
        <v>6.1938139999999997</v>
      </c>
      <c r="AH8059">
        <v>61.938139999999997</v>
      </c>
      <c r="AI8059">
        <v>222.75059999999999</v>
      </c>
      <c r="AJ8059">
        <v>22.061859999999999</v>
      </c>
      <c r="AK8059">
        <v>58.800690000000003</v>
      </c>
    </row>
    <row r="8060" spans="1:37" x14ac:dyDescent="0.3">
      <c r="A8060">
        <v>8059</v>
      </c>
      <c r="B8060">
        <v>0</v>
      </c>
      <c r="C8060">
        <v>0.3</v>
      </c>
      <c r="D8060">
        <v>7.0666700000000002</v>
      </c>
      <c r="E8060" t="s">
        <v>12038</v>
      </c>
      <c r="F8060" t="s">
        <v>12039</v>
      </c>
      <c r="G8060" t="s">
        <v>39</v>
      </c>
      <c r="H8060">
        <v>1987</v>
      </c>
      <c r="I8060">
        <v>27.232700000000001</v>
      </c>
      <c r="J8060">
        <v>10.6</v>
      </c>
      <c r="K8060">
        <v>73.429569999999998</v>
      </c>
      <c r="L8060">
        <v>10.81292</v>
      </c>
      <c r="M8060">
        <v>35.232700000000001</v>
      </c>
      <c r="N8060">
        <v>20.86365</v>
      </c>
      <c r="O8060">
        <v>14.36904</v>
      </c>
      <c r="P8060">
        <v>26.720700000000001</v>
      </c>
      <c r="Q8060">
        <v>27.732700000000001</v>
      </c>
      <c r="R8060">
        <v>28.642430000000001</v>
      </c>
      <c r="S8060">
        <v>25.720700000000001</v>
      </c>
      <c r="T8060">
        <v>1391.7840000000001</v>
      </c>
      <c r="U8060">
        <v>198.26609999999999</v>
      </c>
      <c r="V8060">
        <v>20</v>
      </c>
      <c r="W8060">
        <v>50.570430000000002</v>
      </c>
      <c r="X8060">
        <v>506.20519999999999</v>
      </c>
      <c r="Y8060">
        <v>92.619129999999998</v>
      </c>
      <c r="Z8060">
        <v>287.1026</v>
      </c>
      <c r="AA8060">
        <v>446.57389999999998</v>
      </c>
      <c r="AB8060">
        <v>56.730260000000001</v>
      </c>
      <c r="AC8060">
        <v>3.3021990000000001E-2</v>
      </c>
      <c r="AD8060">
        <v>25.067509999999999</v>
      </c>
      <c r="AE8060">
        <v>0.52544539999999995</v>
      </c>
      <c r="AF8060">
        <v>157.18090000000001</v>
      </c>
      <c r="AG8060">
        <f>IFERROR(AH8060*0.1, "N/A")</f>
        <v>5.8513039999999998</v>
      </c>
      <c r="AH8060">
        <v>58.513039999999997</v>
      </c>
      <c r="AI8060">
        <v>103.0033</v>
      </c>
      <c r="AJ8060">
        <v>20.935649999999999</v>
      </c>
      <c r="AK8060">
        <v>53.187829999999998</v>
      </c>
    </row>
    <row r="8061" spans="1:37" x14ac:dyDescent="0.3">
      <c r="A8061">
        <v>8060</v>
      </c>
      <c r="B8061">
        <v>54.2</v>
      </c>
      <c r="C8061">
        <v>0.48799199999999998</v>
      </c>
      <c r="D8061">
        <v>5.9407579999999998</v>
      </c>
      <c r="E8061" t="s">
        <v>12040</v>
      </c>
      <c r="F8061" t="s">
        <v>12041</v>
      </c>
      <c r="G8061" t="s">
        <v>39</v>
      </c>
      <c r="H8061">
        <v>1986</v>
      </c>
      <c r="I8061">
        <v>26.895130000000002</v>
      </c>
      <c r="J8061">
        <v>7.5</v>
      </c>
      <c r="K8061">
        <v>69.902609999999996</v>
      </c>
      <c r="L8061">
        <v>12.051460000000001</v>
      </c>
      <c r="M8061">
        <v>32.4</v>
      </c>
      <c r="N8061">
        <v>21.690259999999999</v>
      </c>
      <c r="O8061">
        <v>10.70974</v>
      </c>
      <c r="P8061">
        <v>27.29513</v>
      </c>
      <c r="Q8061">
        <v>27.595130000000001</v>
      </c>
      <c r="R8061">
        <v>28.29513</v>
      </c>
      <c r="S8061">
        <v>25.095130000000001</v>
      </c>
      <c r="T8061">
        <v>927.29219999999998</v>
      </c>
      <c r="U8061">
        <v>189</v>
      </c>
      <c r="V8061">
        <v>9</v>
      </c>
      <c r="W8061">
        <v>67.951300000000003</v>
      </c>
      <c r="X8061">
        <v>456</v>
      </c>
      <c r="Y8061">
        <v>57.048699999999997</v>
      </c>
      <c r="Z8061">
        <v>221.09739999999999</v>
      </c>
      <c r="AA8061">
        <v>176.14609999999999</v>
      </c>
      <c r="AB8061">
        <v>6.4080000000000004</v>
      </c>
      <c r="AC8061">
        <v>7.4337159999999999E-2</v>
      </c>
      <c r="AD8061">
        <v>2.1606109999999998</v>
      </c>
      <c r="AE8061">
        <v>0.36134110000000003</v>
      </c>
      <c r="AF8061">
        <v>37.205219999999997</v>
      </c>
      <c r="AG8061">
        <f>IFERROR(AH8061*0.1, "N/A")</f>
        <v>5.0297390000000002</v>
      </c>
      <c r="AH8061">
        <v>50.29739</v>
      </c>
      <c r="AI8061">
        <v>248.8176</v>
      </c>
      <c r="AJ8061">
        <v>24.556519999999999</v>
      </c>
      <c r="AK8061">
        <v>57.659129999999998</v>
      </c>
    </row>
    <row r="8062" spans="1:37" x14ac:dyDescent="0.3">
      <c r="A8062">
        <v>8061</v>
      </c>
      <c r="B8062">
        <v>36.4</v>
      </c>
      <c r="C8062">
        <v>-0.51666699999999999</v>
      </c>
      <c r="D8062">
        <v>6.7166699999999997</v>
      </c>
      <c r="E8062">
        <f>-0.516667-6.71667</f>
        <v>-7.2333369999999997</v>
      </c>
      <c r="F8062" t="s">
        <v>12042</v>
      </c>
      <c r="G8062" t="s">
        <v>39</v>
      </c>
      <c r="H8062">
        <v>1985</v>
      </c>
      <c r="I8062">
        <v>26.948519999999998</v>
      </c>
      <c r="J8062">
        <v>10.4</v>
      </c>
      <c r="K8062">
        <v>73</v>
      </c>
      <c r="L8062">
        <v>9.5541040000000006</v>
      </c>
      <c r="M8062">
        <v>34.516869999999997</v>
      </c>
      <c r="N8062">
        <v>20.37809</v>
      </c>
      <c r="O8062">
        <v>14.138780000000001</v>
      </c>
      <c r="P8062">
        <v>27.280169999999998</v>
      </c>
      <c r="Q8062">
        <v>27.248519999999999</v>
      </c>
      <c r="R8062">
        <v>28.148520000000001</v>
      </c>
      <c r="S8062">
        <v>25.648520000000001</v>
      </c>
      <c r="T8062">
        <v>1386.317</v>
      </c>
      <c r="U8062">
        <v>214.51480000000001</v>
      </c>
      <c r="V8062">
        <v>19.514779999999998</v>
      </c>
      <c r="W8062">
        <v>51</v>
      </c>
      <c r="X8062">
        <v>522.54430000000002</v>
      </c>
      <c r="Y8062">
        <v>104.0296</v>
      </c>
      <c r="Z8062">
        <v>318.54430000000002</v>
      </c>
      <c r="AA8062">
        <v>374.02960000000002</v>
      </c>
      <c r="AB8062">
        <v>4.1940879999999998</v>
      </c>
      <c r="AC8062">
        <v>1.302348E-2</v>
      </c>
      <c r="AD8062">
        <v>2.6077159999999999</v>
      </c>
      <c r="AE8062">
        <v>0.58366269999999998</v>
      </c>
      <c r="AF8062">
        <v>81.135649999999998</v>
      </c>
      <c r="AG8062">
        <f>IFERROR(AH8062*0.1, "N/A")</f>
        <v>6.2387830000000006</v>
      </c>
      <c r="AH8062">
        <v>62.387830000000001</v>
      </c>
      <c r="AI8062">
        <v>136.00489999999999</v>
      </c>
      <c r="AJ8062">
        <v>23.551300000000001</v>
      </c>
      <c r="AK8062">
        <v>51.224350000000001</v>
      </c>
    </row>
    <row r="8063" spans="1:37" x14ac:dyDescent="0.3">
      <c r="A8063">
        <v>8062</v>
      </c>
      <c r="B8063">
        <v>96.2</v>
      </c>
      <c r="C8063">
        <v>0.58333299999999999</v>
      </c>
      <c r="D8063">
        <v>5.9833299999999996</v>
      </c>
      <c r="E8063" t="s">
        <v>12043</v>
      </c>
      <c r="F8063" t="s">
        <v>12044</v>
      </c>
      <c r="G8063" t="s">
        <v>39</v>
      </c>
      <c r="H8063">
        <v>1984</v>
      </c>
      <c r="I8063">
        <v>27.1</v>
      </c>
      <c r="J8063">
        <v>7.4</v>
      </c>
      <c r="K8063">
        <v>68.978980000000007</v>
      </c>
      <c r="L8063">
        <v>11.710279999999999</v>
      </c>
      <c r="M8063">
        <v>32.700000000000003</v>
      </c>
      <c r="N8063">
        <v>21.997900000000001</v>
      </c>
      <c r="O8063">
        <v>10.7021</v>
      </c>
      <c r="P8063">
        <v>27.518740000000001</v>
      </c>
      <c r="Q8063">
        <v>27.879159999999999</v>
      </c>
      <c r="R8063">
        <v>28.5</v>
      </c>
      <c r="S8063">
        <v>25.4</v>
      </c>
      <c r="T8063">
        <v>922.08410000000003</v>
      </c>
      <c r="U8063">
        <v>188</v>
      </c>
      <c r="V8063">
        <v>9</v>
      </c>
      <c r="W8063">
        <v>68.978980000000007</v>
      </c>
      <c r="X8063">
        <v>456.79160000000002</v>
      </c>
      <c r="Y8063">
        <v>56</v>
      </c>
      <c r="Z8063">
        <v>221</v>
      </c>
      <c r="AA8063">
        <v>173.25040000000001</v>
      </c>
      <c r="AB8063">
        <v>2.892995</v>
      </c>
      <c r="AC8063">
        <v>1.24034E-2</v>
      </c>
      <c r="AD8063">
        <v>1.0481780000000001</v>
      </c>
      <c r="AE8063">
        <v>0.75660720000000004</v>
      </c>
      <c r="AF8063">
        <v>4.495622</v>
      </c>
      <c r="AG8063">
        <f>IFERROR(AH8063*0.1, "N/A")</f>
        <v>5.5523640000000007</v>
      </c>
      <c r="AH8063">
        <v>55.52364</v>
      </c>
      <c r="AI8063">
        <v>88.907489999999996</v>
      </c>
      <c r="AJ8063">
        <v>28.535900000000002</v>
      </c>
      <c r="AK8063">
        <v>48.837130000000002</v>
      </c>
    </row>
    <row r="8064" spans="1:37" x14ac:dyDescent="0.3">
      <c r="A8064">
        <v>8063</v>
      </c>
      <c r="B8064">
        <v>52.4</v>
      </c>
      <c r="C8064">
        <v>0.58333299999999999</v>
      </c>
      <c r="D8064">
        <v>5.9833299999999996</v>
      </c>
      <c r="E8064" t="s">
        <v>12043</v>
      </c>
      <c r="F8064" t="s">
        <v>12045</v>
      </c>
      <c r="G8064" t="s">
        <v>37</v>
      </c>
      <c r="H8064">
        <v>1984</v>
      </c>
      <c r="I8064">
        <v>27.1</v>
      </c>
      <c r="J8064">
        <v>7.4</v>
      </c>
      <c r="K8064">
        <v>68.978980000000007</v>
      </c>
      <c r="L8064">
        <v>11.710279999999999</v>
      </c>
      <c r="M8064">
        <v>32.700000000000003</v>
      </c>
      <c r="N8064">
        <v>21.997900000000001</v>
      </c>
      <c r="O8064">
        <v>10.7021</v>
      </c>
      <c r="P8064">
        <v>27.518740000000001</v>
      </c>
      <c r="Q8064">
        <v>27.879159999999999</v>
      </c>
      <c r="R8064">
        <v>28.5</v>
      </c>
      <c r="S8064">
        <v>25.4</v>
      </c>
      <c r="T8064">
        <v>922.08410000000003</v>
      </c>
      <c r="U8064">
        <v>188</v>
      </c>
      <c r="V8064">
        <v>9</v>
      </c>
      <c r="W8064">
        <v>68.978980000000007</v>
      </c>
      <c r="X8064">
        <v>456.79160000000002</v>
      </c>
      <c r="Y8064">
        <v>56</v>
      </c>
      <c r="Z8064">
        <v>221</v>
      </c>
      <c r="AA8064">
        <v>173.25040000000001</v>
      </c>
      <c r="AB8064">
        <v>2.892995</v>
      </c>
      <c r="AC8064">
        <v>1.24034E-2</v>
      </c>
      <c r="AD8064">
        <v>1.0481780000000001</v>
      </c>
      <c r="AE8064">
        <v>0.75660720000000004</v>
      </c>
      <c r="AF8064">
        <v>4.495622</v>
      </c>
      <c r="AG8064">
        <f>IFERROR(AH8064*0.1, "N/A")</f>
        <v>5.5523640000000007</v>
      </c>
      <c r="AH8064">
        <v>55.52364</v>
      </c>
      <c r="AI8064">
        <v>88.907489999999996</v>
      </c>
      <c r="AJ8064">
        <v>28.535900000000002</v>
      </c>
      <c r="AK8064">
        <v>48.837130000000002</v>
      </c>
    </row>
    <row r="8065" spans="1:37" x14ac:dyDescent="0.3">
      <c r="A8065">
        <v>8064</v>
      </c>
      <c r="B8065">
        <v>57.7</v>
      </c>
      <c r="C8065">
        <v>0.36666700000000002</v>
      </c>
      <c r="D8065">
        <v>6.05</v>
      </c>
      <c r="E8065" t="s">
        <v>12046</v>
      </c>
      <c r="F8065" t="s">
        <v>12047</v>
      </c>
      <c r="G8065" t="s">
        <v>39</v>
      </c>
      <c r="H8065">
        <v>1984</v>
      </c>
      <c r="I8065">
        <v>27.288309999999999</v>
      </c>
      <c r="J8065">
        <v>8.5619549999999993</v>
      </c>
      <c r="K8065">
        <v>71.647469999999998</v>
      </c>
      <c r="L8065">
        <v>11.47668</v>
      </c>
      <c r="M8065">
        <v>33.661949999999997</v>
      </c>
      <c r="N8065">
        <v>21.764749999999999</v>
      </c>
      <c r="O8065">
        <v>11.897209999999999</v>
      </c>
      <c r="P8065">
        <v>27.66161</v>
      </c>
      <c r="Q8065">
        <v>27.961950000000002</v>
      </c>
      <c r="R8065">
        <v>28.7</v>
      </c>
      <c r="S8065">
        <v>25.664750000000002</v>
      </c>
      <c r="T8065">
        <v>985.12570000000005</v>
      </c>
      <c r="U8065">
        <v>187.35249999999999</v>
      </c>
      <c r="V8065">
        <v>13</v>
      </c>
      <c r="W8065">
        <v>61.380450000000003</v>
      </c>
      <c r="X8065">
        <v>457.73649999999998</v>
      </c>
      <c r="Y8065">
        <v>72.116929999999996</v>
      </c>
      <c r="Z8065">
        <v>238.38390000000001</v>
      </c>
      <c r="AA8065">
        <v>189.38740000000001</v>
      </c>
      <c r="AB8065">
        <v>1.748866</v>
      </c>
      <c r="AC8065">
        <v>2.4123780000000001E-2</v>
      </c>
      <c r="AD8065">
        <v>1.2957939999999999</v>
      </c>
      <c r="AE8065">
        <v>0.57788349999999999</v>
      </c>
      <c r="AF8065">
        <v>2.3123909999999999</v>
      </c>
      <c r="AG8065">
        <f>IFERROR(AH8065*0.1, "N/A")</f>
        <v>5.6013960000000003</v>
      </c>
      <c r="AH8065">
        <v>56.013959999999997</v>
      </c>
      <c r="AI8065">
        <v>129.32320000000001</v>
      </c>
      <c r="AJ8065">
        <v>23.005240000000001</v>
      </c>
      <c r="AK8065">
        <v>52.357770000000002</v>
      </c>
    </row>
    <row r="8066" spans="1:37" x14ac:dyDescent="0.3">
      <c r="A8066">
        <v>8065</v>
      </c>
      <c r="B8066">
        <v>0</v>
      </c>
      <c r="C8066">
        <v>0.36666700000000002</v>
      </c>
      <c r="D8066">
        <v>6.05</v>
      </c>
      <c r="E8066" t="s">
        <v>12046</v>
      </c>
      <c r="F8066" t="s">
        <v>12048</v>
      </c>
      <c r="G8066" t="s">
        <v>37</v>
      </c>
      <c r="H8066">
        <v>1984</v>
      </c>
      <c r="I8066">
        <v>27.288309999999999</v>
      </c>
      <c r="J8066">
        <v>8.5619549999999993</v>
      </c>
      <c r="K8066">
        <v>71.647469999999998</v>
      </c>
      <c r="L8066">
        <v>11.47668</v>
      </c>
      <c r="M8066">
        <v>33.661949999999997</v>
      </c>
      <c r="N8066">
        <v>21.764749999999999</v>
      </c>
      <c r="O8066">
        <v>11.897209999999999</v>
      </c>
      <c r="P8066">
        <v>27.66161</v>
      </c>
      <c r="Q8066">
        <v>27.961950000000002</v>
      </c>
      <c r="R8066">
        <v>28.7</v>
      </c>
      <c r="S8066">
        <v>25.664750000000002</v>
      </c>
      <c r="T8066">
        <v>985.12570000000005</v>
      </c>
      <c r="U8066">
        <v>187.35249999999999</v>
      </c>
      <c r="V8066">
        <v>13</v>
      </c>
      <c r="W8066">
        <v>61.380450000000003</v>
      </c>
      <c r="X8066">
        <v>457.73649999999998</v>
      </c>
      <c r="Y8066">
        <v>72.116929999999996</v>
      </c>
      <c r="Z8066">
        <v>238.38390000000001</v>
      </c>
      <c r="AA8066">
        <v>189.38740000000001</v>
      </c>
      <c r="AB8066">
        <v>1.748866</v>
      </c>
      <c r="AC8066">
        <v>2.4123780000000001E-2</v>
      </c>
      <c r="AD8066">
        <v>1.2957939999999999</v>
      </c>
      <c r="AE8066">
        <v>0.57788349999999999</v>
      </c>
      <c r="AF8066">
        <v>2.3123909999999999</v>
      </c>
      <c r="AG8066">
        <f>IFERROR(AH8066*0.1, "N/A")</f>
        <v>5.6013960000000003</v>
      </c>
      <c r="AH8066">
        <v>56.013959999999997</v>
      </c>
      <c r="AI8066">
        <v>129.32320000000001</v>
      </c>
      <c r="AJ8066">
        <v>23.005240000000001</v>
      </c>
      <c r="AK8066">
        <v>52.357770000000002</v>
      </c>
    </row>
    <row r="8067" spans="1:37" x14ac:dyDescent="0.3">
      <c r="A8067">
        <v>8066</v>
      </c>
      <c r="B8067">
        <v>74.599999999999994</v>
      </c>
      <c r="C8067">
        <v>0.41666700000000001</v>
      </c>
      <c r="D8067">
        <v>6.0666700000000002</v>
      </c>
      <c r="E8067" t="s">
        <v>12049</v>
      </c>
      <c r="F8067" t="s">
        <v>12050</v>
      </c>
      <c r="G8067" t="s">
        <v>39</v>
      </c>
      <c r="H8067">
        <v>1984</v>
      </c>
      <c r="I8067">
        <v>27.3</v>
      </c>
      <c r="J8067">
        <v>8.4485159999999997</v>
      </c>
      <c r="K8067">
        <v>71.033159999999995</v>
      </c>
      <c r="L8067">
        <v>11.644119999999999</v>
      </c>
      <c r="M8067">
        <v>33.593719999999998</v>
      </c>
      <c r="N8067">
        <v>21.748519999999999</v>
      </c>
      <c r="O8067">
        <v>11.8452</v>
      </c>
      <c r="P8067">
        <v>27.6</v>
      </c>
      <c r="Q8067">
        <v>28</v>
      </c>
      <c r="R8067">
        <v>28.7</v>
      </c>
      <c r="S8067">
        <v>25.593720000000001</v>
      </c>
      <c r="T8067">
        <v>988.36300000000006</v>
      </c>
      <c r="U8067">
        <v>187</v>
      </c>
      <c r="V8067">
        <v>13</v>
      </c>
      <c r="W8067">
        <v>61.375219999999999</v>
      </c>
      <c r="X8067">
        <v>458</v>
      </c>
      <c r="Y8067">
        <v>71.937169999999995</v>
      </c>
      <c r="Z8067">
        <v>239.48519999999999</v>
      </c>
      <c r="AA8067">
        <v>191.65790000000001</v>
      </c>
      <c r="AB8067">
        <v>1.4225129999999999</v>
      </c>
      <c r="AC8067">
        <v>1.2061540000000001E-2</v>
      </c>
      <c r="AD8067">
        <v>1.12486</v>
      </c>
      <c r="AE8067">
        <v>0.53843730000000001</v>
      </c>
      <c r="AF8067">
        <v>6.7172770000000002</v>
      </c>
      <c r="AG8067">
        <f>IFERROR(AH8067*0.1, "N/A")</f>
        <v>5.7</v>
      </c>
      <c r="AH8067">
        <v>57</v>
      </c>
      <c r="AI8067">
        <v>165.74469999999999</v>
      </c>
      <c r="AJ8067">
        <v>22.876090000000001</v>
      </c>
      <c r="AK8067">
        <v>53.249560000000002</v>
      </c>
    </row>
    <row r="8068" spans="1:37" x14ac:dyDescent="0.3">
      <c r="A8068">
        <v>8067</v>
      </c>
      <c r="B8068">
        <v>6.7</v>
      </c>
      <c r="C8068">
        <v>0.41666700000000001</v>
      </c>
      <c r="D8068">
        <v>6.0666700000000002</v>
      </c>
      <c r="E8068" t="s">
        <v>12049</v>
      </c>
      <c r="F8068" t="s">
        <v>12051</v>
      </c>
      <c r="G8068" t="s">
        <v>37</v>
      </c>
      <c r="H8068">
        <v>1984</v>
      </c>
      <c r="I8068">
        <v>27.3</v>
      </c>
      <c r="J8068">
        <v>8.4485159999999997</v>
      </c>
      <c r="K8068">
        <v>71.033159999999995</v>
      </c>
      <c r="L8068">
        <v>11.644119999999999</v>
      </c>
      <c r="M8068">
        <v>33.593719999999998</v>
      </c>
      <c r="N8068">
        <v>21.748519999999999</v>
      </c>
      <c r="O8068">
        <v>11.8452</v>
      </c>
      <c r="P8068">
        <v>27.6</v>
      </c>
      <c r="Q8068">
        <v>28</v>
      </c>
      <c r="R8068">
        <v>28.7</v>
      </c>
      <c r="S8068">
        <v>25.593720000000001</v>
      </c>
      <c r="T8068">
        <v>988.36300000000006</v>
      </c>
      <c r="U8068">
        <v>187</v>
      </c>
      <c r="V8068">
        <v>13</v>
      </c>
      <c r="W8068">
        <v>61.375219999999999</v>
      </c>
      <c r="X8068">
        <v>458</v>
      </c>
      <c r="Y8068">
        <v>71.937169999999995</v>
      </c>
      <c r="Z8068">
        <v>239.48519999999999</v>
      </c>
      <c r="AA8068">
        <v>191.65790000000001</v>
      </c>
      <c r="AB8068">
        <v>1.4225129999999999</v>
      </c>
      <c r="AC8068">
        <v>1.2061540000000001E-2</v>
      </c>
      <c r="AD8068">
        <v>1.12486</v>
      </c>
      <c r="AE8068">
        <v>0.53843730000000001</v>
      </c>
      <c r="AF8068">
        <v>6.7172770000000002</v>
      </c>
      <c r="AG8068">
        <f>IFERROR(AH8068*0.1, "N/A")</f>
        <v>5.7</v>
      </c>
      <c r="AH8068">
        <v>57</v>
      </c>
      <c r="AI8068">
        <v>165.74469999999999</v>
      </c>
      <c r="AJ8068">
        <v>22.876090000000001</v>
      </c>
      <c r="AK8068">
        <v>53.249560000000002</v>
      </c>
    </row>
    <row r="8069" spans="1:37" x14ac:dyDescent="0.3">
      <c r="A8069">
        <v>8068</v>
      </c>
      <c r="B8069">
        <v>88</v>
      </c>
      <c r="C8069">
        <v>0.43333300000000002</v>
      </c>
      <c r="D8069">
        <v>6.0666700000000002</v>
      </c>
      <c r="E8069" t="s">
        <v>12052</v>
      </c>
      <c r="F8069" t="s">
        <v>12053</v>
      </c>
      <c r="G8069" t="s">
        <v>39</v>
      </c>
      <c r="H8069">
        <v>1984</v>
      </c>
      <c r="I8069">
        <v>27.3</v>
      </c>
      <c r="J8069">
        <v>8.3821359999999991</v>
      </c>
      <c r="K8069">
        <v>70.646230000000003</v>
      </c>
      <c r="L8069">
        <v>11.6373</v>
      </c>
      <c r="M8069">
        <v>33.517510000000001</v>
      </c>
      <c r="N8069">
        <v>21.717860000000002</v>
      </c>
      <c r="O8069">
        <v>11.79965</v>
      </c>
      <c r="P8069">
        <v>27.6</v>
      </c>
      <c r="Q8069">
        <v>28</v>
      </c>
      <c r="R8069">
        <v>28.637650000000001</v>
      </c>
      <c r="S8069">
        <v>25.6</v>
      </c>
      <c r="T8069">
        <v>983.61300000000006</v>
      </c>
      <c r="U8069">
        <v>186.02279999999999</v>
      </c>
      <c r="V8069">
        <v>13</v>
      </c>
      <c r="W8069">
        <v>61.2014</v>
      </c>
      <c r="X8069">
        <v>457.02280000000002</v>
      </c>
      <c r="Y8069">
        <v>71.175129999999996</v>
      </c>
      <c r="Z8069">
        <v>239</v>
      </c>
      <c r="AA8069">
        <v>190.79509999999999</v>
      </c>
      <c r="AB8069">
        <v>2.394396</v>
      </c>
      <c r="AC8069">
        <v>8.5009409999999997E-3</v>
      </c>
      <c r="AD8069">
        <v>1.6160939999999999</v>
      </c>
      <c r="AE8069">
        <v>0.72590699999999997</v>
      </c>
      <c r="AF8069">
        <v>7.5551659999999998</v>
      </c>
      <c r="AG8069">
        <f>IFERROR(AH8069*0.1, "N/A")</f>
        <v>6</v>
      </c>
      <c r="AH8069">
        <v>60</v>
      </c>
      <c r="AI8069">
        <v>124.3623</v>
      </c>
      <c r="AJ8069">
        <v>23.406300000000002</v>
      </c>
      <c r="AK8069">
        <v>52.791589999999999</v>
      </c>
    </row>
    <row r="8070" spans="1:37" x14ac:dyDescent="0.3">
      <c r="A8070">
        <v>8069</v>
      </c>
      <c r="B8070">
        <v>40</v>
      </c>
      <c r="C8070">
        <v>0.43333300000000002</v>
      </c>
      <c r="D8070">
        <v>6.0666700000000002</v>
      </c>
      <c r="E8070" t="s">
        <v>12052</v>
      </c>
      <c r="F8070" t="s">
        <v>12054</v>
      </c>
      <c r="G8070" t="s">
        <v>37</v>
      </c>
      <c r="H8070">
        <v>1984</v>
      </c>
      <c r="I8070">
        <v>27.3</v>
      </c>
      <c r="J8070">
        <v>8.3821359999999991</v>
      </c>
      <c r="K8070">
        <v>70.646230000000003</v>
      </c>
      <c r="L8070">
        <v>11.6373</v>
      </c>
      <c r="M8070">
        <v>33.517510000000001</v>
      </c>
      <c r="N8070">
        <v>21.717860000000002</v>
      </c>
      <c r="O8070">
        <v>11.79965</v>
      </c>
      <c r="P8070">
        <v>27.6</v>
      </c>
      <c r="Q8070">
        <v>28</v>
      </c>
      <c r="R8070">
        <v>28.637650000000001</v>
      </c>
      <c r="S8070">
        <v>25.6</v>
      </c>
      <c r="T8070">
        <v>983.61300000000006</v>
      </c>
      <c r="U8070">
        <v>186.02279999999999</v>
      </c>
      <c r="V8070">
        <v>13</v>
      </c>
      <c r="W8070">
        <v>61.2014</v>
      </c>
      <c r="X8070">
        <v>457.02280000000002</v>
      </c>
      <c r="Y8070">
        <v>71.175129999999996</v>
      </c>
      <c r="Z8070">
        <v>239</v>
      </c>
      <c r="AA8070">
        <v>190.79509999999999</v>
      </c>
      <c r="AB8070">
        <v>2.394396</v>
      </c>
      <c r="AC8070">
        <v>8.5009409999999997E-3</v>
      </c>
      <c r="AD8070">
        <v>1.6160939999999999</v>
      </c>
      <c r="AE8070">
        <v>0.72590699999999997</v>
      </c>
      <c r="AF8070">
        <v>7.5551659999999998</v>
      </c>
      <c r="AG8070">
        <f>IFERROR(AH8070*0.1, "N/A")</f>
        <v>6</v>
      </c>
      <c r="AH8070">
        <v>60</v>
      </c>
      <c r="AI8070">
        <v>124.3623</v>
      </c>
      <c r="AJ8070">
        <v>23.406300000000002</v>
      </c>
      <c r="AK8070">
        <v>52.791589999999999</v>
      </c>
    </row>
    <row r="8071" spans="1:37" x14ac:dyDescent="0.3">
      <c r="A8071">
        <v>8070</v>
      </c>
      <c r="B8071">
        <v>38.799999999999997</v>
      </c>
      <c r="C8071">
        <v>0.51666699999999999</v>
      </c>
      <c r="D8071">
        <v>6.0666700000000002</v>
      </c>
      <c r="E8071" t="s">
        <v>12055</v>
      </c>
      <c r="F8071" t="s">
        <v>12056</v>
      </c>
      <c r="G8071" t="s">
        <v>39</v>
      </c>
      <c r="H8071">
        <v>1984</v>
      </c>
      <c r="I8071">
        <v>27.229369999999999</v>
      </c>
      <c r="J8071">
        <v>8.0874129999999997</v>
      </c>
      <c r="K8071">
        <v>70.874129999999994</v>
      </c>
      <c r="L8071">
        <v>11.51699</v>
      </c>
      <c r="M8071">
        <v>33.229370000000003</v>
      </c>
      <c r="N8071">
        <v>21.892309999999998</v>
      </c>
      <c r="O8071">
        <v>11.337059999999999</v>
      </c>
      <c r="P8071">
        <v>27.579719999999998</v>
      </c>
      <c r="Q8071">
        <v>27.929369999999999</v>
      </c>
      <c r="R8071">
        <v>28.629370000000002</v>
      </c>
      <c r="S8071">
        <v>25.579719999999998</v>
      </c>
      <c r="T8071">
        <v>971.50350000000003</v>
      </c>
      <c r="U8071">
        <v>186</v>
      </c>
      <c r="V8071">
        <v>12</v>
      </c>
      <c r="W8071">
        <v>63.706290000000003</v>
      </c>
      <c r="X8071">
        <v>457.8741</v>
      </c>
      <c r="Y8071">
        <v>67.874129999999994</v>
      </c>
      <c r="Z8071">
        <v>236.8741</v>
      </c>
      <c r="AA8071">
        <v>187.4615</v>
      </c>
      <c r="AB8071">
        <v>4.0853149999999996</v>
      </c>
      <c r="AC8071">
        <v>1.5560299999999999E-2</v>
      </c>
      <c r="AD8071">
        <v>2.21672</v>
      </c>
      <c r="AE8071">
        <v>0.72184769999999998</v>
      </c>
      <c r="AF8071">
        <v>9.4685310000000005</v>
      </c>
      <c r="AG8071">
        <f>IFERROR(AH8071*0.1, "N/A")</f>
        <v>5.5629370000000007</v>
      </c>
      <c r="AH8071">
        <v>55.629370000000002</v>
      </c>
      <c r="AI8071">
        <v>203.38740000000001</v>
      </c>
      <c r="AJ8071">
        <v>23.482520000000001</v>
      </c>
      <c r="AK8071">
        <v>51.629370000000002</v>
      </c>
    </row>
    <row r="8072" spans="1:37" x14ac:dyDescent="0.3">
      <c r="A8072">
        <v>8071</v>
      </c>
      <c r="B8072">
        <v>11.8</v>
      </c>
      <c r="C8072">
        <v>0.51666699999999999</v>
      </c>
      <c r="D8072">
        <v>6.0666700000000002</v>
      </c>
      <c r="E8072" t="s">
        <v>12055</v>
      </c>
      <c r="F8072" t="s">
        <v>12057</v>
      </c>
      <c r="G8072" t="s">
        <v>37</v>
      </c>
      <c r="H8072">
        <v>1984</v>
      </c>
      <c r="I8072">
        <v>27.229369999999999</v>
      </c>
      <c r="J8072">
        <v>8.0874129999999997</v>
      </c>
      <c r="K8072">
        <v>70.874129999999994</v>
      </c>
      <c r="L8072">
        <v>11.51699</v>
      </c>
      <c r="M8072">
        <v>33.229370000000003</v>
      </c>
      <c r="N8072">
        <v>21.892309999999998</v>
      </c>
      <c r="O8072">
        <v>11.337059999999999</v>
      </c>
      <c r="P8072">
        <v>27.579719999999998</v>
      </c>
      <c r="Q8072">
        <v>27.929369999999999</v>
      </c>
      <c r="R8072">
        <v>28.629370000000002</v>
      </c>
      <c r="S8072">
        <v>25.579719999999998</v>
      </c>
      <c r="T8072">
        <v>971.50350000000003</v>
      </c>
      <c r="U8072">
        <v>186</v>
      </c>
      <c r="V8072">
        <v>12</v>
      </c>
      <c r="W8072">
        <v>63.706290000000003</v>
      </c>
      <c r="X8072">
        <v>457.8741</v>
      </c>
      <c r="Y8072">
        <v>67.874129999999994</v>
      </c>
      <c r="Z8072">
        <v>236.8741</v>
      </c>
      <c r="AA8072">
        <v>187.4615</v>
      </c>
      <c r="AB8072">
        <v>4.0853149999999996</v>
      </c>
      <c r="AC8072">
        <v>1.5560299999999999E-2</v>
      </c>
      <c r="AD8072">
        <v>2.21672</v>
      </c>
      <c r="AE8072">
        <v>0.72184769999999998</v>
      </c>
      <c r="AF8072">
        <v>9.4685310000000005</v>
      </c>
      <c r="AG8072">
        <f>IFERROR(AH8072*0.1, "N/A")</f>
        <v>5.5629370000000007</v>
      </c>
      <c r="AH8072">
        <v>55.629370000000002</v>
      </c>
      <c r="AI8072">
        <v>203.38740000000001</v>
      </c>
      <c r="AJ8072">
        <v>23.482520000000001</v>
      </c>
      <c r="AK8072">
        <v>51.629370000000002</v>
      </c>
    </row>
    <row r="8073" spans="1:37" x14ac:dyDescent="0.3">
      <c r="A8073">
        <v>8072</v>
      </c>
      <c r="B8073">
        <v>43.3</v>
      </c>
      <c r="C8073">
        <v>0.158333</v>
      </c>
      <c r="D8073">
        <v>6.0944399999999996</v>
      </c>
      <c r="E8073" t="s">
        <v>12058</v>
      </c>
      <c r="F8073" t="s">
        <v>12059</v>
      </c>
      <c r="G8073" t="s">
        <v>39</v>
      </c>
      <c r="H8073">
        <v>1984</v>
      </c>
      <c r="I8073">
        <v>27.328900000000001</v>
      </c>
      <c r="J8073">
        <v>9.8000000000000007</v>
      </c>
      <c r="K8073">
        <v>74</v>
      </c>
      <c r="L8073">
        <v>11.16666</v>
      </c>
      <c r="M8073">
        <v>34.5289</v>
      </c>
      <c r="N8073">
        <v>21.428899999999999</v>
      </c>
      <c r="O8073">
        <v>13.1</v>
      </c>
      <c r="P8073">
        <v>27.7</v>
      </c>
      <c r="Q8073">
        <v>28</v>
      </c>
      <c r="R8073">
        <v>28.8</v>
      </c>
      <c r="S8073">
        <v>25.9</v>
      </c>
      <c r="T8073">
        <v>1076.867</v>
      </c>
      <c r="U8073">
        <v>192</v>
      </c>
      <c r="V8073">
        <v>18</v>
      </c>
      <c r="W8073">
        <v>56</v>
      </c>
      <c r="X8073">
        <v>473</v>
      </c>
      <c r="Y8073">
        <v>92.288970000000006</v>
      </c>
      <c r="Z8073">
        <v>261</v>
      </c>
      <c r="AA8073">
        <v>279.10329999999999</v>
      </c>
      <c r="AB8073">
        <v>3.415762</v>
      </c>
      <c r="AC8073">
        <v>8.7684679999999997E-3</v>
      </c>
      <c r="AD8073">
        <v>1.317877</v>
      </c>
      <c r="AE8073">
        <v>0.61821740000000003</v>
      </c>
      <c r="AF8073">
        <v>10.138350000000001</v>
      </c>
      <c r="AG8073">
        <f>IFERROR(AH8073*0.1, "N/A")</f>
        <v>5.7138350000000004</v>
      </c>
      <c r="AH8073">
        <v>57.138350000000003</v>
      </c>
      <c r="AI8073">
        <v>253.4452</v>
      </c>
      <c r="AJ8073">
        <v>26.514890000000001</v>
      </c>
      <c r="AK8073">
        <v>41.711030000000001</v>
      </c>
    </row>
    <row r="8074" spans="1:37" x14ac:dyDescent="0.3">
      <c r="A8074">
        <v>8073</v>
      </c>
      <c r="B8074">
        <v>0</v>
      </c>
      <c r="C8074">
        <v>0.158333</v>
      </c>
      <c r="D8074">
        <v>6.0944399999999996</v>
      </c>
      <c r="E8074" t="s">
        <v>12058</v>
      </c>
      <c r="F8074" t="s">
        <v>12060</v>
      </c>
      <c r="G8074" t="s">
        <v>37</v>
      </c>
      <c r="H8074">
        <v>1984</v>
      </c>
      <c r="I8074">
        <v>27.328900000000001</v>
      </c>
      <c r="J8074">
        <v>9.8000000000000007</v>
      </c>
      <c r="K8074">
        <v>74</v>
      </c>
      <c r="L8074">
        <v>11.16666</v>
      </c>
      <c r="M8074">
        <v>34.5289</v>
      </c>
      <c r="N8074">
        <v>21.428899999999999</v>
      </c>
      <c r="O8074">
        <v>13.1</v>
      </c>
      <c r="P8074">
        <v>27.7</v>
      </c>
      <c r="Q8074">
        <v>28</v>
      </c>
      <c r="R8074">
        <v>28.8</v>
      </c>
      <c r="S8074">
        <v>25.9</v>
      </c>
      <c r="T8074">
        <v>1076.867</v>
      </c>
      <c r="U8074">
        <v>192</v>
      </c>
      <c r="V8074">
        <v>18</v>
      </c>
      <c r="W8074">
        <v>56</v>
      </c>
      <c r="X8074">
        <v>473</v>
      </c>
      <c r="Y8074">
        <v>92.288970000000006</v>
      </c>
      <c r="Z8074">
        <v>261</v>
      </c>
      <c r="AA8074">
        <v>279.10329999999999</v>
      </c>
      <c r="AB8074">
        <v>3.415762</v>
      </c>
      <c r="AC8074">
        <v>8.7684679999999997E-3</v>
      </c>
      <c r="AD8074">
        <v>1.317877</v>
      </c>
      <c r="AE8074">
        <v>0.61821740000000003</v>
      </c>
      <c r="AF8074">
        <v>10.138350000000001</v>
      </c>
      <c r="AG8074">
        <f>IFERROR(AH8074*0.1, "N/A")</f>
        <v>5.7138350000000004</v>
      </c>
      <c r="AH8074">
        <v>57.138350000000003</v>
      </c>
      <c r="AI8074">
        <v>253.4452</v>
      </c>
      <c r="AJ8074">
        <v>26.514890000000001</v>
      </c>
      <c r="AK8074">
        <v>41.711030000000001</v>
      </c>
    </row>
    <row r="8075" spans="1:37" x14ac:dyDescent="0.3">
      <c r="A8075">
        <v>8074</v>
      </c>
      <c r="B8075">
        <v>60</v>
      </c>
      <c r="C8075">
        <v>0.13333300000000001</v>
      </c>
      <c r="D8075">
        <v>6.125</v>
      </c>
      <c r="E8075" t="s">
        <v>12061</v>
      </c>
      <c r="F8075" t="s">
        <v>12062</v>
      </c>
      <c r="G8075" t="s">
        <v>39</v>
      </c>
      <c r="H8075">
        <v>1984</v>
      </c>
      <c r="I8075">
        <v>27.4</v>
      </c>
      <c r="J8075">
        <v>10</v>
      </c>
      <c r="K8075">
        <v>74</v>
      </c>
      <c r="L8075">
        <v>11.227180000000001</v>
      </c>
      <c r="M8075">
        <v>34.799999999999997</v>
      </c>
      <c r="N8075">
        <v>21.4</v>
      </c>
      <c r="O8075">
        <v>13.4</v>
      </c>
      <c r="P8075">
        <v>27.8</v>
      </c>
      <c r="Q8075">
        <v>28.062370000000001</v>
      </c>
      <c r="R8075">
        <v>28.885190000000001</v>
      </c>
      <c r="S8075">
        <v>25.922820000000002</v>
      </c>
      <c r="T8075">
        <v>1102.4829999999999</v>
      </c>
      <c r="U8075">
        <v>193</v>
      </c>
      <c r="V8075">
        <v>19.14808</v>
      </c>
      <c r="W8075">
        <v>55</v>
      </c>
      <c r="X8075">
        <v>477</v>
      </c>
      <c r="Y8075">
        <v>96.148079999999993</v>
      </c>
      <c r="Z8075">
        <v>266.1481</v>
      </c>
      <c r="AA8075">
        <v>215.4948</v>
      </c>
      <c r="AB8075">
        <v>0.1825782</v>
      </c>
      <c r="AC8075">
        <v>0.1075537</v>
      </c>
      <c r="AD8075">
        <v>1.8917299999999999</v>
      </c>
      <c r="AE8075">
        <v>0.66801169999999999</v>
      </c>
      <c r="AF8075">
        <v>9.5731710000000003</v>
      </c>
      <c r="AG8075">
        <f>IFERROR(AH8075*0.1, "N/A")</f>
        <v>6.2827530000000005</v>
      </c>
      <c r="AH8075">
        <v>62.827530000000003</v>
      </c>
      <c r="AI8075">
        <v>120.0386</v>
      </c>
      <c r="AJ8075">
        <v>23.344950000000001</v>
      </c>
      <c r="AK8075">
        <v>43</v>
      </c>
    </row>
    <row r="8076" spans="1:37" x14ac:dyDescent="0.3">
      <c r="A8076">
        <v>8075</v>
      </c>
      <c r="B8076">
        <v>0</v>
      </c>
      <c r="C8076">
        <v>0.13333300000000001</v>
      </c>
      <c r="D8076">
        <v>6.125</v>
      </c>
      <c r="E8076" t="s">
        <v>12061</v>
      </c>
      <c r="F8076" t="s">
        <v>12063</v>
      </c>
      <c r="G8076" t="s">
        <v>37</v>
      </c>
      <c r="H8076">
        <v>1984</v>
      </c>
      <c r="I8076">
        <v>27.4</v>
      </c>
      <c r="J8076">
        <v>10</v>
      </c>
      <c r="K8076">
        <v>74</v>
      </c>
      <c r="L8076">
        <v>11.227180000000001</v>
      </c>
      <c r="M8076">
        <v>34.799999999999997</v>
      </c>
      <c r="N8076">
        <v>21.4</v>
      </c>
      <c r="O8076">
        <v>13.4</v>
      </c>
      <c r="P8076">
        <v>27.8</v>
      </c>
      <c r="Q8076">
        <v>28.062370000000001</v>
      </c>
      <c r="R8076">
        <v>28.885190000000001</v>
      </c>
      <c r="S8076">
        <v>25.922820000000002</v>
      </c>
      <c r="T8076">
        <v>1102.4829999999999</v>
      </c>
      <c r="U8076">
        <v>193</v>
      </c>
      <c r="V8076">
        <v>19.14808</v>
      </c>
      <c r="W8076">
        <v>55</v>
      </c>
      <c r="X8076">
        <v>477</v>
      </c>
      <c r="Y8076">
        <v>96.148079999999993</v>
      </c>
      <c r="Z8076">
        <v>266.1481</v>
      </c>
      <c r="AA8076">
        <v>215.4948</v>
      </c>
      <c r="AB8076">
        <v>0.1825782</v>
      </c>
      <c r="AC8076">
        <v>0.1075537</v>
      </c>
      <c r="AD8076">
        <v>1.8917299999999999</v>
      </c>
      <c r="AE8076">
        <v>0.66801169999999999</v>
      </c>
      <c r="AF8076">
        <v>9.5731710000000003</v>
      </c>
      <c r="AG8076">
        <f>IFERROR(AH8076*0.1, "N/A")</f>
        <v>6.2827530000000005</v>
      </c>
      <c r="AH8076">
        <v>62.827530000000003</v>
      </c>
      <c r="AI8076">
        <v>120.0386</v>
      </c>
      <c r="AJ8076">
        <v>23.344950000000001</v>
      </c>
      <c r="AK8076">
        <v>43</v>
      </c>
    </row>
    <row r="8077" spans="1:37" x14ac:dyDescent="0.3">
      <c r="A8077">
        <v>8076</v>
      </c>
      <c r="B8077">
        <v>0.5</v>
      </c>
      <c r="C8077">
        <v>-1.6166700000000001</v>
      </c>
      <c r="D8077">
        <v>6.6833299999999998</v>
      </c>
      <c r="E8077">
        <f>-1.61667-6.68333</f>
        <v>-8.3000000000000007</v>
      </c>
      <c r="F8077" t="s">
        <v>12064</v>
      </c>
      <c r="G8077" t="s">
        <v>37</v>
      </c>
      <c r="H8077">
        <v>1983</v>
      </c>
      <c r="I8077">
        <v>26.229620000000001</v>
      </c>
      <c r="J8077">
        <v>9.4</v>
      </c>
      <c r="K8077">
        <v>71</v>
      </c>
      <c r="L8077">
        <v>10.697369999999999</v>
      </c>
      <c r="M8077">
        <v>33.54477</v>
      </c>
      <c r="N8077">
        <v>20.34477</v>
      </c>
      <c r="O8077">
        <v>13.2</v>
      </c>
      <c r="P8077">
        <v>26.721599999999999</v>
      </c>
      <c r="Q8077">
        <v>26.54477</v>
      </c>
      <c r="R8077">
        <v>27.489550000000001</v>
      </c>
      <c r="S8077">
        <v>24.729620000000001</v>
      </c>
      <c r="T8077">
        <v>1453.807</v>
      </c>
      <c r="U8077">
        <v>216.91990000000001</v>
      </c>
      <c r="V8077">
        <v>18</v>
      </c>
      <c r="W8077">
        <v>50.08014</v>
      </c>
      <c r="X8077">
        <v>543.91989999999998</v>
      </c>
      <c r="Y8077">
        <v>113.4477</v>
      </c>
      <c r="Z8077">
        <v>349.59930000000003</v>
      </c>
      <c r="AA8077">
        <v>384</v>
      </c>
      <c r="AB8077">
        <v>17.40644</v>
      </c>
      <c r="AC8077">
        <v>8.934694E-3</v>
      </c>
      <c r="AD8077">
        <v>3.7143269999999999</v>
      </c>
      <c r="AE8077">
        <v>0.92987319999999996</v>
      </c>
      <c r="AF8077">
        <v>266.79090000000002</v>
      </c>
      <c r="AG8077">
        <f>IFERROR(AH8077*0.1, "N/A")</f>
        <v>5.8536590000000004</v>
      </c>
      <c r="AH8077">
        <v>58.536589999999997</v>
      </c>
      <c r="AI8077">
        <v>106.0827</v>
      </c>
      <c r="AJ8077">
        <v>20.695119999999999</v>
      </c>
      <c r="AK8077">
        <v>60.052259999999997</v>
      </c>
    </row>
    <row r="8078" spans="1:37" x14ac:dyDescent="0.3">
      <c r="A8078">
        <v>8077</v>
      </c>
      <c r="B8078">
        <v>44</v>
      </c>
      <c r="C8078">
        <v>0.955453</v>
      </c>
      <c r="D8078">
        <v>6.1359700000000004</v>
      </c>
      <c r="E8078" t="s">
        <v>12065</v>
      </c>
      <c r="F8078" t="s">
        <v>12066</v>
      </c>
      <c r="G8078" t="s">
        <v>39</v>
      </c>
      <c r="H8078">
        <v>1989</v>
      </c>
      <c r="I8078">
        <v>27</v>
      </c>
      <c r="J8078">
        <v>7.7</v>
      </c>
      <c r="K8078">
        <v>73</v>
      </c>
      <c r="L8078">
        <v>10.87</v>
      </c>
      <c r="M8078">
        <v>32.6</v>
      </c>
      <c r="N8078">
        <v>22.1</v>
      </c>
      <c r="O8078">
        <v>10.5</v>
      </c>
      <c r="P8078">
        <v>27.3</v>
      </c>
      <c r="Q8078">
        <v>27.5</v>
      </c>
      <c r="R8078">
        <v>28.3</v>
      </c>
      <c r="S8078">
        <v>25.4</v>
      </c>
      <c r="T8078">
        <v>955</v>
      </c>
      <c r="U8078">
        <v>189</v>
      </c>
      <c r="V8078">
        <v>13</v>
      </c>
      <c r="W8078">
        <v>67</v>
      </c>
      <c r="X8078">
        <v>469</v>
      </c>
      <c r="Y8078">
        <v>68</v>
      </c>
      <c r="Z8078">
        <v>236</v>
      </c>
      <c r="AA8078">
        <v>180</v>
      </c>
      <c r="AB8078">
        <v>3.0573429999999999</v>
      </c>
      <c r="AC8078">
        <v>7.3972490000000002E-2</v>
      </c>
      <c r="AD8078">
        <v>3.6032479999999998</v>
      </c>
      <c r="AE8078">
        <v>0.47690129999999997</v>
      </c>
      <c r="AF8078">
        <v>12.3986</v>
      </c>
      <c r="AG8078">
        <f>IFERROR(AH8078*0.1, "N/A")</f>
        <v>5.783042</v>
      </c>
      <c r="AH8078">
        <v>57.830419999999997</v>
      </c>
      <c r="AI8078">
        <v>129.7911</v>
      </c>
      <c r="AJ8078">
        <v>19.959790000000002</v>
      </c>
      <c r="AK8078">
        <v>60.613639999999997</v>
      </c>
    </row>
    <row r="8079" spans="1:37" x14ac:dyDescent="0.3">
      <c r="A8079">
        <v>8078</v>
      </c>
      <c r="B8079">
        <v>23</v>
      </c>
      <c r="C8079">
        <v>1.0024999999999999</v>
      </c>
      <c r="D8079">
        <v>6.1455599999999997</v>
      </c>
      <c r="E8079" t="s">
        <v>12067</v>
      </c>
      <c r="F8079" t="s">
        <v>12068</v>
      </c>
      <c r="G8079" t="s">
        <v>39</v>
      </c>
      <c r="H8079">
        <v>1989</v>
      </c>
      <c r="I8079">
        <v>26.8</v>
      </c>
      <c r="J8079">
        <v>7.7</v>
      </c>
      <c r="K8079">
        <v>73</v>
      </c>
      <c r="L8079">
        <v>10.73</v>
      </c>
      <c r="M8079">
        <v>32.4</v>
      </c>
      <c r="N8079">
        <v>21.9</v>
      </c>
      <c r="O8079">
        <v>10.5</v>
      </c>
      <c r="P8079">
        <v>27.2</v>
      </c>
      <c r="Q8079">
        <v>27.3</v>
      </c>
      <c r="R8079">
        <v>28</v>
      </c>
      <c r="S8079">
        <v>25.2</v>
      </c>
      <c r="T8079">
        <v>958</v>
      </c>
      <c r="U8079">
        <v>190</v>
      </c>
      <c r="V8079">
        <v>12</v>
      </c>
      <c r="W8079">
        <v>67</v>
      </c>
      <c r="X8079">
        <v>472</v>
      </c>
      <c r="Y8079">
        <v>68</v>
      </c>
      <c r="Z8079">
        <v>238</v>
      </c>
      <c r="AA8079">
        <v>183</v>
      </c>
      <c r="AB8079">
        <v>6.8371719999999998</v>
      </c>
      <c r="AC8079">
        <v>0.26169520000000002</v>
      </c>
      <c r="AD8079">
        <v>2.4684849999999998</v>
      </c>
      <c r="AE8079">
        <v>0.58053189999999999</v>
      </c>
      <c r="AF8079">
        <v>24.319369999999999</v>
      </c>
      <c r="AG8079">
        <f>IFERROR(AH8079*0.1, "N/A")</f>
        <v>5.3666670000000005</v>
      </c>
      <c r="AH8079">
        <v>53.666670000000003</v>
      </c>
      <c r="AI8079">
        <v>198.15209999999999</v>
      </c>
      <c r="AJ8079">
        <v>24.33333</v>
      </c>
      <c r="AK8079">
        <v>54.333329999999997</v>
      </c>
    </row>
    <row r="8080" spans="1:37" x14ac:dyDescent="0.3">
      <c r="A8080">
        <v>8079</v>
      </c>
      <c r="B8080">
        <v>36.700000000000003</v>
      </c>
      <c r="C8080">
        <v>0.96666700000000005</v>
      </c>
      <c r="D8080">
        <v>6.15</v>
      </c>
      <c r="E8080" t="s">
        <v>12069</v>
      </c>
      <c r="F8080" t="s">
        <v>12070</v>
      </c>
      <c r="G8080" t="s">
        <v>39</v>
      </c>
      <c r="H8080">
        <v>1989</v>
      </c>
      <c r="I8080">
        <v>26.937239999999999</v>
      </c>
      <c r="J8080">
        <v>7.7</v>
      </c>
      <c r="K8080">
        <v>73.262240000000006</v>
      </c>
      <c r="L8080">
        <v>10.500679999999999</v>
      </c>
      <c r="M8080">
        <v>32.537239999999997</v>
      </c>
      <c r="N8080">
        <v>22.063459999999999</v>
      </c>
      <c r="O8080">
        <v>10.47378</v>
      </c>
      <c r="P8080">
        <v>27.337240000000001</v>
      </c>
      <c r="Q8080">
        <v>27.437239999999999</v>
      </c>
      <c r="R8080">
        <v>28.19528</v>
      </c>
      <c r="S8080">
        <v>25.4</v>
      </c>
      <c r="T8080">
        <v>962.43709999999999</v>
      </c>
      <c r="U8080">
        <v>188.3724</v>
      </c>
      <c r="V8080">
        <v>13</v>
      </c>
      <c r="W8080">
        <v>66.215029999999999</v>
      </c>
      <c r="X8080">
        <v>470.26220000000001</v>
      </c>
      <c r="Y8080">
        <v>68.889859999999999</v>
      </c>
      <c r="Z8080">
        <v>239.6678</v>
      </c>
      <c r="AA8080">
        <v>182.6748</v>
      </c>
      <c r="AB8080">
        <v>9.9701059999999995</v>
      </c>
      <c r="AC8080">
        <v>3.1680430000000002E-2</v>
      </c>
      <c r="AD8080">
        <v>1.5227630000000001</v>
      </c>
      <c r="AE8080">
        <v>0.40406049999999999</v>
      </c>
      <c r="AF8080">
        <v>21.998249999999999</v>
      </c>
      <c r="AG8080">
        <f>IFERROR(AH8080*0.1, "N/A")</f>
        <v>6.0160840000000002</v>
      </c>
      <c r="AH8080">
        <v>60.16084</v>
      </c>
      <c r="AI8080">
        <v>218.55369999999999</v>
      </c>
      <c r="AJ8080">
        <v>23.74126</v>
      </c>
      <c r="AK8080">
        <v>56.419580000000003</v>
      </c>
    </row>
    <row r="8081" spans="1:37" x14ac:dyDescent="0.3">
      <c r="A8081">
        <v>8080</v>
      </c>
      <c r="B8081">
        <v>39</v>
      </c>
      <c r="C8081">
        <v>0.99553599999999998</v>
      </c>
      <c r="D8081">
        <v>6.1718099999999998</v>
      </c>
      <c r="E8081" t="s">
        <v>12071</v>
      </c>
      <c r="F8081" t="s">
        <v>12072</v>
      </c>
      <c r="G8081" t="s">
        <v>39</v>
      </c>
      <c r="H8081">
        <v>1989</v>
      </c>
      <c r="I8081">
        <v>26.8</v>
      </c>
      <c r="J8081">
        <v>7.8</v>
      </c>
      <c r="K8081">
        <v>74</v>
      </c>
      <c r="L8081">
        <v>10.61</v>
      </c>
      <c r="M8081">
        <v>32.4</v>
      </c>
      <c r="N8081">
        <v>21.9</v>
      </c>
      <c r="O8081">
        <v>10.5</v>
      </c>
      <c r="P8081">
        <v>27.2</v>
      </c>
      <c r="Q8081">
        <v>27.4</v>
      </c>
      <c r="R8081">
        <v>28.1</v>
      </c>
      <c r="S8081">
        <v>25.3</v>
      </c>
      <c r="T8081">
        <v>970</v>
      </c>
      <c r="U8081">
        <v>187</v>
      </c>
      <c r="V8081">
        <v>13</v>
      </c>
      <c r="W8081">
        <v>66</v>
      </c>
      <c r="X8081">
        <v>471</v>
      </c>
      <c r="Y8081">
        <v>70</v>
      </c>
      <c r="Z8081">
        <v>244</v>
      </c>
      <c r="AA8081">
        <v>187</v>
      </c>
      <c r="AB8081">
        <v>14.294409999999999</v>
      </c>
      <c r="AC8081">
        <v>2.375942E-2</v>
      </c>
      <c r="AD8081">
        <v>3.1013419999999998</v>
      </c>
      <c r="AE8081">
        <v>0.70707129999999996</v>
      </c>
      <c r="AF8081">
        <v>28.987760000000002</v>
      </c>
      <c r="AG8081">
        <f>IFERROR(AH8081*0.1, "N/A")</f>
        <v>5.8017479999999999</v>
      </c>
      <c r="AH8081">
        <v>58.017479999999999</v>
      </c>
      <c r="AI8081">
        <v>250.31620000000001</v>
      </c>
      <c r="AJ8081">
        <v>21.045449999999999</v>
      </c>
      <c r="AK8081">
        <v>61.937060000000002</v>
      </c>
    </row>
    <row r="8082" spans="1:37" x14ac:dyDescent="0.3">
      <c r="A8082">
        <v>8081</v>
      </c>
      <c r="B8082">
        <v>25</v>
      </c>
      <c r="C8082">
        <v>0.91854599999999997</v>
      </c>
      <c r="D8082">
        <v>6.1736000000000004</v>
      </c>
      <c r="E8082" t="s">
        <v>12073</v>
      </c>
      <c r="F8082" t="s">
        <v>12074</v>
      </c>
      <c r="G8082" t="s">
        <v>39</v>
      </c>
      <c r="H8082">
        <v>1989</v>
      </c>
      <c r="I8082">
        <v>27</v>
      </c>
      <c r="J8082">
        <v>7.8</v>
      </c>
      <c r="K8082">
        <v>72</v>
      </c>
      <c r="L8082">
        <v>10.74</v>
      </c>
      <c r="M8082">
        <v>32.700000000000003</v>
      </c>
      <c r="N8082">
        <v>22</v>
      </c>
      <c r="O8082">
        <v>10.7</v>
      </c>
      <c r="P8082">
        <v>27.3</v>
      </c>
      <c r="Q8082">
        <v>27.5</v>
      </c>
      <c r="R8082">
        <v>28.2</v>
      </c>
      <c r="S8082">
        <v>25.4</v>
      </c>
      <c r="T8082">
        <v>983</v>
      </c>
      <c r="U8082">
        <v>186</v>
      </c>
      <c r="V8082">
        <v>14</v>
      </c>
      <c r="W8082">
        <v>65</v>
      </c>
      <c r="X8082">
        <v>470</v>
      </c>
      <c r="Y8082">
        <v>72</v>
      </c>
      <c r="Z8082">
        <v>247</v>
      </c>
      <c r="AA8082">
        <v>188</v>
      </c>
      <c r="AB8082">
        <v>11.60927</v>
      </c>
      <c r="AC8082">
        <v>0.13162009999999999</v>
      </c>
      <c r="AD8082">
        <v>1.426401</v>
      </c>
      <c r="AE8082">
        <v>0.41341450000000002</v>
      </c>
      <c r="AF8082">
        <v>37.157339999999998</v>
      </c>
      <c r="AG8082">
        <f>IFERROR(AH8082*0.1, "N/A")</f>
        <v>6.2</v>
      </c>
      <c r="AH8082">
        <v>62</v>
      </c>
      <c r="AI8082">
        <v>194.0307</v>
      </c>
      <c r="AJ8082">
        <v>14.828670000000001</v>
      </c>
      <c r="AK8082">
        <v>68.052449999999993</v>
      </c>
    </row>
    <row r="8083" spans="1:37" x14ac:dyDescent="0.3">
      <c r="A8083">
        <v>8082</v>
      </c>
      <c r="B8083">
        <v>47.8</v>
      </c>
      <c r="C8083">
        <v>0.89614400000000005</v>
      </c>
      <c r="D8083">
        <v>6.1908399999999997</v>
      </c>
      <c r="E8083" t="s">
        <v>12075</v>
      </c>
      <c r="F8083" t="s">
        <v>12076</v>
      </c>
      <c r="G8083" t="s">
        <v>39</v>
      </c>
      <c r="H8083">
        <v>1989</v>
      </c>
      <c r="I8083">
        <v>26.8</v>
      </c>
      <c r="J8083">
        <v>7.9</v>
      </c>
      <c r="K8083">
        <v>73</v>
      </c>
      <c r="L8083">
        <v>10.9</v>
      </c>
      <c r="M8083">
        <v>32.5</v>
      </c>
      <c r="N8083">
        <v>21.8</v>
      </c>
      <c r="O8083">
        <v>10.7</v>
      </c>
      <c r="P8083">
        <v>27.2</v>
      </c>
      <c r="Q8083">
        <v>27.4</v>
      </c>
      <c r="R8083">
        <v>28.1</v>
      </c>
      <c r="S8083">
        <v>25.2</v>
      </c>
      <c r="T8083">
        <v>1008</v>
      </c>
      <c r="U8083">
        <v>184</v>
      </c>
      <c r="V8083">
        <v>16</v>
      </c>
      <c r="W8083">
        <v>62</v>
      </c>
      <c r="X8083">
        <v>471</v>
      </c>
      <c r="Y8083">
        <v>77</v>
      </c>
      <c r="Z8083">
        <v>256</v>
      </c>
      <c r="AA8083">
        <v>196</v>
      </c>
      <c r="AB8083">
        <v>7.5052380000000003</v>
      </c>
      <c r="AC8083">
        <v>4.8457479999999997E-2</v>
      </c>
      <c r="AD8083">
        <v>2.2500810000000002</v>
      </c>
      <c r="AE8083">
        <v>0.67009399999999997</v>
      </c>
      <c r="AF8083">
        <v>47.558459999999997</v>
      </c>
      <c r="AG8083">
        <f>IFERROR(AH8083*0.1, "N/A")</f>
        <v>6.2823729999999998</v>
      </c>
      <c r="AH8083">
        <v>62.823729999999998</v>
      </c>
      <c r="AI8083">
        <v>262.18799999999999</v>
      </c>
      <c r="AJ8083">
        <v>14.321120000000001</v>
      </c>
      <c r="AK8083">
        <v>70.979060000000004</v>
      </c>
    </row>
    <row r="8084" spans="1:37" x14ac:dyDescent="0.3">
      <c r="A8084">
        <v>8083</v>
      </c>
      <c r="B8084">
        <v>9.6</v>
      </c>
      <c r="C8084">
        <v>0.96402200000000005</v>
      </c>
      <c r="D8084">
        <v>6.1933400000000001</v>
      </c>
      <c r="E8084" t="s">
        <v>12077</v>
      </c>
      <c r="F8084" t="s">
        <v>12078</v>
      </c>
      <c r="G8084" t="s">
        <v>39</v>
      </c>
      <c r="H8084">
        <v>1989</v>
      </c>
      <c r="I8084">
        <v>26.8</v>
      </c>
      <c r="J8084">
        <v>7.9</v>
      </c>
      <c r="K8084">
        <v>73</v>
      </c>
      <c r="L8084">
        <v>10.41</v>
      </c>
      <c r="M8084">
        <v>32.5</v>
      </c>
      <c r="N8084">
        <v>21.8</v>
      </c>
      <c r="O8084">
        <v>10.7</v>
      </c>
      <c r="P8084">
        <v>27.1</v>
      </c>
      <c r="Q8084">
        <v>27.3</v>
      </c>
      <c r="R8084">
        <v>28</v>
      </c>
      <c r="S8084">
        <v>25.3</v>
      </c>
      <c r="T8084">
        <v>998</v>
      </c>
      <c r="U8084">
        <v>184</v>
      </c>
      <c r="V8084">
        <v>15</v>
      </c>
      <c r="W8084">
        <v>63</v>
      </c>
      <c r="X8084">
        <v>471</v>
      </c>
      <c r="Y8084">
        <v>75</v>
      </c>
      <c r="Z8084">
        <v>254</v>
      </c>
      <c r="AA8084">
        <v>195</v>
      </c>
      <c r="AB8084">
        <v>16.21874</v>
      </c>
      <c r="AC8084">
        <v>2.0406440000000001E-2</v>
      </c>
      <c r="AD8084">
        <v>1.705071</v>
      </c>
      <c r="AE8084">
        <v>0.5258138</v>
      </c>
      <c r="AF8084">
        <v>45.21716</v>
      </c>
      <c r="AG8084">
        <f>IFERROR(AH8084*0.1, "N/A")</f>
        <v>6.2007010000000005</v>
      </c>
      <c r="AH8084">
        <v>62.007010000000001</v>
      </c>
      <c r="AI8084">
        <v>148.90860000000001</v>
      </c>
      <c r="AJ8084">
        <v>19.003499999999999</v>
      </c>
      <c r="AK8084">
        <v>64.607709999999997</v>
      </c>
    </row>
    <row r="8085" spans="1:37" x14ac:dyDescent="0.3">
      <c r="A8085">
        <v>8084</v>
      </c>
      <c r="B8085">
        <v>2.9</v>
      </c>
      <c r="C8085">
        <v>1.0011099999999999</v>
      </c>
      <c r="D8085">
        <v>6.2322199999999999</v>
      </c>
      <c r="E8085" t="s">
        <v>12079</v>
      </c>
      <c r="F8085" t="s">
        <v>12080</v>
      </c>
      <c r="G8085" t="s">
        <v>39</v>
      </c>
      <c r="H8085">
        <v>1989</v>
      </c>
      <c r="I8085">
        <v>26.7</v>
      </c>
      <c r="J8085">
        <v>8.1</v>
      </c>
      <c r="K8085">
        <v>75</v>
      </c>
      <c r="L8085">
        <v>10.63</v>
      </c>
      <c r="M8085">
        <v>32.5</v>
      </c>
      <c r="N8085">
        <v>21.8</v>
      </c>
      <c r="O8085">
        <v>10.7</v>
      </c>
      <c r="P8085">
        <v>27</v>
      </c>
      <c r="Q8085">
        <v>27.2</v>
      </c>
      <c r="R8085">
        <v>28</v>
      </c>
      <c r="S8085">
        <v>25.2</v>
      </c>
      <c r="T8085">
        <v>1005</v>
      </c>
      <c r="U8085">
        <v>182</v>
      </c>
      <c r="V8085">
        <v>15</v>
      </c>
      <c r="W8085">
        <v>62</v>
      </c>
      <c r="X8085">
        <v>469</v>
      </c>
      <c r="Y8085">
        <v>78</v>
      </c>
      <c r="Z8085">
        <v>259</v>
      </c>
      <c r="AA8085">
        <v>201</v>
      </c>
      <c r="AB8085">
        <v>20.108740000000001</v>
      </c>
      <c r="AC8085">
        <v>1.0518939999999999E-2</v>
      </c>
      <c r="AD8085">
        <v>1.7079279999999999</v>
      </c>
      <c r="AE8085">
        <v>0.78235010000000005</v>
      </c>
      <c r="AF8085">
        <v>55.867130000000003</v>
      </c>
      <c r="AG8085">
        <f>IFERROR(AH8085*0.1, "N/A")</f>
        <v>5.8391610000000007</v>
      </c>
      <c r="AH8085">
        <v>58.39161</v>
      </c>
      <c r="AI8085">
        <v>74.07808</v>
      </c>
      <c r="AJ8085">
        <v>14.706289999999999</v>
      </c>
      <c r="AK8085">
        <v>70.127619999999993</v>
      </c>
    </row>
    <row r="8086" spans="1:37" x14ac:dyDescent="0.3">
      <c r="A8086">
        <v>8085</v>
      </c>
      <c r="B8086">
        <v>34.200000000000003</v>
      </c>
      <c r="C8086">
        <v>0.85</v>
      </c>
      <c r="D8086">
        <v>6.2333299999999996</v>
      </c>
      <c r="E8086" t="s">
        <v>12081</v>
      </c>
      <c r="F8086" t="s">
        <v>12082</v>
      </c>
      <c r="G8086" t="s">
        <v>39</v>
      </c>
      <c r="H8086">
        <v>1989</v>
      </c>
      <c r="I8086">
        <v>26.768709999999999</v>
      </c>
      <c r="J8086">
        <v>8.1999999999999993</v>
      </c>
      <c r="K8086">
        <v>73.865380000000002</v>
      </c>
      <c r="L8086">
        <v>10.772640000000001</v>
      </c>
      <c r="M8086">
        <v>32.768709999999999</v>
      </c>
      <c r="N8086">
        <v>21.755240000000001</v>
      </c>
      <c r="O8086">
        <v>11.01346</v>
      </c>
      <c r="P8086">
        <v>27.1</v>
      </c>
      <c r="Q8086">
        <v>27.4</v>
      </c>
      <c r="R8086">
        <v>28.123950000000001</v>
      </c>
      <c r="S8086">
        <v>25.255240000000001</v>
      </c>
      <c r="T8086">
        <v>1041.2149999999999</v>
      </c>
      <c r="U8086">
        <v>182.55240000000001</v>
      </c>
      <c r="V8086">
        <v>17.44755</v>
      </c>
      <c r="W8086">
        <v>59.55245</v>
      </c>
      <c r="X8086">
        <v>471.44760000000002</v>
      </c>
      <c r="Y8086">
        <v>83.760490000000004</v>
      </c>
      <c r="Z8086">
        <v>268.84269999999998</v>
      </c>
      <c r="AA8086">
        <v>207.34270000000001</v>
      </c>
      <c r="AB8086">
        <v>4.5472029999999997</v>
      </c>
      <c r="AC8086">
        <v>4.4779489999999998E-2</v>
      </c>
      <c r="AD8086">
        <v>3.004467</v>
      </c>
      <c r="AE8086">
        <v>0.67189639999999995</v>
      </c>
      <c r="AF8086">
        <v>68.363640000000004</v>
      </c>
      <c r="AG8086">
        <f>IFERROR(AH8086*0.1, "N/A")</f>
        <v>6.0643360000000008</v>
      </c>
      <c r="AH8086">
        <v>60.643360000000001</v>
      </c>
      <c r="AI8086">
        <v>287.9753</v>
      </c>
      <c r="AJ8086">
        <v>16.356639999999999</v>
      </c>
      <c r="AK8086">
        <v>65.965029999999999</v>
      </c>
    </row>
    <row r="8087" spans="1:37" x14ac:dyDescent="0.3">
      <c r="A8087">
        <v>8086</v>
      </c>
      <c r="B8087">
        <v>2.2999999999999998</v>
      </c>
      <c r="C8087">
        <v>1.0175000000000001</v>
      </c>
      <c r="D8087">
        <v>6.2663900000000003</v>
      </c>
      <c r="E8087" t="s">
        <v>12083</v>
      </c>
      <c r="F8087" t="s">
        <v>12084</v>
      </c>
      <c r="G8087" t="s">
        <v>39</v>
      </c>
      <c r="H8087">
        <v>1989</v>
      </c>
      <c r="I8087">
        <v>26.724519999999998</v>
      </c>
      <c r="J8087">
        <v>8.1999999999999993</v>
      </c>
      <c r="K8087">
        <v>74.704350000000005</v>
      </c>
      <c r="L8087">
        <v>10.497809999999999</v>
      </c>
      <c r="M8087">
        <v>32.624519999999997</v>
      </c>
      <c r="N8087">
        <v>21.694959999999998</v>
      </c>
      <c r="O8087">
        <v>10.92956</v>
      </c>
      <c r="P8087">
        <v>27.089569999999998</v>
      </c>
      <c r="Q8087">
        <v>27.32452</v>
      </c>
      <c r="R8087">
        <v>28.024519999999999</v>
      </c>
      <c r="S8087">
        <v>25.289560000000002</v>
      </c>
      <c r="T8087">
        <v>995.68169999999998</v>
      </c>
      <c r="U8087">
        <v>179</v>
      </c>
      <c r="V8087">
        <v>15.34957</v>
      </c>
      <c r="W8087">
        <v>60.65043</v>
      </c>
      <c r="X8087">
        <v>459.85910000000001</v>
      </c>
      <c r="Y8087">
        <v>78.457390000000004</v>
      </c>
      <c r="Z8087">
        <v>257.26260000000002</v>
      </c>
      <c r="AA8087">
        <v>204.75299999999999</v>
      </c>
      <c r="AB8087">
        <v>2.1443469999999998</v>
      </c>
      <c r="AC8087">
        <v>8.5362519999999997E-2</v>
      </c>
      <c r="AD8087">
        <v>1.9469030000000001</v>
      </c>
      <c r="AE8087">
        <v>0.72631639999999997</v>
      </c>
      <c r="AF8087">
        <v>40.175649999999997</v>
      </c>
      <c r="AG8087">
        <f>IFERROR(AH8087*0.1, "N/A")</f>
        <v>6.4853909999999999</v>
      </c>
      <c r="AH8087">
        <v>64.853909999999999</v>
      </c>
      <c r="AI8087">
        <v>100.3156</v>
      </c>
      <c r="AJ8087">
        <v>14</v>
      </c>
      <c r="AK8087">
        <v>69.984350000000006</v>
      </c>
    </row>
    <row r="8088" spans="1:37" x14ac:dyDescent="0.3">
      <c r="A8088">
        <v>8087</v>
      </c>
      <c r="B8088">
        <v>16</v>
      </c>
      <c r="C8088">
        <v>0.90429800000000005</v>
      </c>
      <c r="D8088">
        <v>6.3019299999999996</v>
      </c>
      <c r="E8088" t="s">
        <v>12085</v>
      </c>
      <c r="F8088" t="s">
        <v>12086</v>
      </c>
      <c r="G8088" t="s">
        <v>39</v>
      </c>
      <c r="H8088">
        <v>1989</v>
      </c>
      <c r="I8088">
        <v>26.8</v>
      </c>
      <c r="J8088">
        <v>8.4</v>
      </c>
      <c r="K8088">
        <v>74</v>
      </c>
      <c r="L8088">
        <v>10.53</v>
      </c>
      <c r="M8088">
        <v>33</v>
      </c>
      <c r="N8088">
        <v>21.7</v>
      </c>
      <c r="O8088">
        <v>11.3</v>
      </c>
      <c r="P8088">
        <v>27.1</v>
      </c>
      <c r="Q8088">
        <v>27.4</v>
      </c>
      <c r="R8088">
        <v>28.1</v>
      </c>
      <c r="S8088">
        <v>25.3</v>
      </c>
      <c r="T8088">
        <v>1064</v>
      </c>
      <c r="U8088">
        <v>181</v>
      </c>
      <c r="V8088">
        <v>19</v>
      </c>
      <c r="W8088">
        <v>58</v>
      </c>
      <c r="X8088">
        <v>472</v>
      </c>
      <c r="Y8088">
        <v>89</v>
      </c>
      <c r="Z8088">
        <v>279</v>
      </c>
      <c r="AA8088">
        <v>218</v>
      </c>
      <c r="AB8088">
        <v>17.60735</v>
      </c>
      <c r="AC8088">
        <v>1.069966E-2</v>
      </c>
      <c r="AD8088">
        <v>3.3664130000000001</v>
      </c>
      <c r="AE8088">
        <v>0.7001153</v>
      </c>
      <c r="AF8088">
        <v>83.180390000000003</v>
      </c>
      <c r="AG8088">
        <f>IFERROR(AH8088*0.1, "N/A")</f>
        <v>6.1661999999999999</v>
      </c>
      <c r="AH8088">
        <v>61.661999999999999</v>
      </c>
      <c r="AI8088">
        <v>78.183369999999996</v>
      </c>
      <c r="AJ8088">
        <v>12.721539999999999</v>
      </c>
      <c r="AK8088">
        <v>74.278459999999995</v>
      </c>
    </row>
    <row r="8089" spans="1:37" x14ac:dyDescent="0.3">
      <c r="A8089">
        <v>8088</v>
      </c>
      <c r="B8089">
        <v>54.3</v>
      </c>
      <c r="C8089">
        <v>0.87871999999999995</v>
      </c>
      <c r="D8089">
        <v>6.3298300000000003</v>
      </c>
      <c r="E8089" t="s">
        <v>12087</v>
      </c>
      <c r="F8089" t="s">
        <v>12088</v>
      </c>
      <c r="G8089" t="s">
        <v>39</v>
      </c>
      <c r="H8089">
        <v>1989</v>
      </c>
      <c r="I8089">
        <v>26.8</v>
      </c>
      <c r="J8089">
        <v>8.6</v>
      </c>
      <c r="K8089">
        <v>74</v>
      </c>
      <c r="L8089">
        <v>10.84</v>
      </c>
      <c r="M8089">
        <v>33.200000000000003</v>
      </c>
      <c r="N8089">
        <v>21.7</v>
      </c>
      <c r="O8089">
        <v>11.5</v>
      </c>
      <c r="P8089">
        <v>27.2</v>
      </c>
      <c r="Q8089">
        <v>27.5</v>
      </c>
      <c r="R8089">
        <v>28.2</v>
      </c>
      <c r="S8089">
        <v>25.3</v>
      </c>
      <c r="T8089">
        <v>1079</v>
      </c>
      <c r="U8089">
        <v>181</v>
      </c>
      <c r="V8089">
        <v>20</v>
      </c>
      <c r="W8089">
        <v>57</v>
      </c>
      <c r="X8089">
        <v>473</v>
      </c>
      <c r="Y8089">
        <v>92</v>
      </c>
      <c r="Z8089">
        <v>284</v>
      </c>
      <c r="AA8089">
        <v>223</v>
      </c>
      <c r="AB8089">
        <v>20.113959999999999</v>
      </c>
      <c r="AC8089">
        <v>8.8230110000000004E-3</v>
      </c>
      <c r="AD8089">
        <v>2.5498479999999999</v>
      </c>
      <c r="AE8089">
        <v>0.69320760000000003</v>
      </c>
      <c r="AF8089">
        <v>79.439790000000002</v>
      </c>
      <c r="AG8089">
        <f>IFERROR(AH8089*0.1, "N/A")</f>
        <v>5.9</v>
      </c>
      <c r="AH8089">
        <v>59</v>
      </c>
      <c r="AI8089">
        <v>201.82669999999999</v>
      </c>
      <c r="AJ8089">
        <v>13.89878</v>
      </c>
      <c r="AK8089">
        <v>71.184989999999999</v>
      </c>
    </row>
    <row r="8090" spans="1:37" x14ac:dyDescent="0.3">
      <c r="A8090">
        <v>8089</v>
      </c>
      <c r="B8090">
        <v>15.6</v>
      </c>
      <c r="C8090">
        <v>0.755467</v>
      </c>
      <c r="D8090">
        <v>6.4144399999999999</v>
      </c>
      <c r="E8090" t="s">
        <v>12089</v>
      </c>
      <c r="F8090" t="s">
        <v>12090</v>
      </c>
      <c r="G8090" t="s">
        <v>39</v>
      </c>
      <c r="H8090">
        <v>1989</v>
      </c>
      <c r="I8090">
        <v>27.1</v>
      </c>
      <c r="J8090">
        <v>9</v>
      </c>
      <c r="K8090">
        <v>74</v>
      </c>
      <c r="L8090">
        <v>10.73</v>
      </c>
      <c r="M8090">
        <v>33.799999999999997</v>
      </c>
      <c r="N8090">
        <v>21.7</v>
      </c>
      <c r="O8090">
        <v>12.1</v>
      </c>
      <c r="P8090">
        <v>27.4</v>
      </c>
      <c r="Q8090">
        <v>27.7</v>
      </c>
      <c r="R8090">
        <v>28.4</v>
      </c>
      <c r="S8090">
        <v>25.6</v>
      </c>
      <c r="T8090">
        <v>1122</v>
      </c>
      <c r="U8090">
        <v>177</v>
      </c>
      <c r="V8090">
        <v>24</v>
      </c>
      <c r="W8090">
        <v>53</v>
      </c>
      <c r="X8090">
        <v>467</v>
      </c>
      <c r="Y8090">
        <v>104</v>
      </c>
      <c r="Z8090">
        <v>296</v>
      </c>
      <c r="AA8090">
        <v>242</v>
      </c>
      <c r="AB8090">
        <v>11.790050000000001</v>
      </c>
      <c r="AC8090">
        <v>9.4739449999999992E-3</v>
      </c>
      <c r="AD8090">
        <v>1.15171</v>
      </c>
      <c r="AE8090">
        <v>0.71850849999999999</v>
      </c>
      <c r="AF8090">
        <v>74.975570000000005</v>
      </c>
      <c r="AG8090">
        <f>IFERROR(AH8090*0.1, "N/A")</f>
        <v>6.3000000000000007</v>
      </c>
      <c r="AH8090">
        <v>63</v>
      </c>
      <c r="AI8090">
        <v>215.66759999999999</v>
      </c>
      <c r="AJ8090">
        <v>15.88133</v>
      </c>
      <c r="AK8090">
        <v>66.881330000000005</v>
      </c>
    </row>
    <row r="8091" spans="1:37" x14ac:dyDescent="0.3">
      <c r="A8091">
        <v>8090</v>
      </c>
      <c r="B8091">
        <v>47.6</v>
      </c>
      <c r="C8091">
        <v>-0.283333</v>
      </c>
      <c r="D8091">
        <v>5.6833299999999998</v>
      </c>
      <c r="E8091">
        <f>-0.283333-5.68333</f>
        <v>-5.9666629999999996</v>
      </c>
      <c r="F8091" t="s">
        <v>12091</v>
      </c>
      <c r="G8091" t="s">
        <v>39</v>
      </c>
      <c r="H8091">
        <v>1996</v>
      </c>
      <c r="I8091">
        <v>26.74316</v>
      </c>
      <c r="J8091">
        <v>7.683859</v>
      </c>
      <c r="K8091">
        <v>69.8386</v>
      </c>
      <c r="L8091">
        <v>12.16165</v>
      </c>
      <c r="M8091">
        <v>32.427019999999999</v>
      </c>
      <c r="N8091">
        <v>21.447369999999999</v>
      </c>
      <c r="O8091">
        <v>10.979649999999999</v>
      </c>
      <c r="P8091">
        <v>27.04316</v>
      </c>
      <c r="Q8091">
        <v>27.54316</v>
      </c>
      <c r="R8091">
        <v>28.04316</v>
      </c>
      <c r="S8091">
        <v>24.943159999999999</v>
      </c>
      <c r="T8091">
        <v>947.04909999999995</v>
      </c>
      <c r="U8091">
        <v>213</v>
      </c>
      <c r="V8091">
        <v>18.421050000000001</v>
      </c>
      <c r="W8091">
        <v>68.375439999999998</v>
      </c>
      <c r="X8091">
        <v>465.6386</v>
      </c>
      <c r="Y8091">
        <v>88.045609999999996</v>
      </c>
      <c r="Z8091">
        <v>218.2491</v>
      </c>
      <c r="AA8091">
        <v>160.2912</v>
      </c>
      <c r="AB8091">
        <v>4.7877210000000003</v>
      </c>
      <c r="AC8091">
        <v>3.4056620000000003E-2</v>
      </c>
      <c r="AD8091">
        <v>3.001665</v>
      </c>
      <c r="AE8091">
        <v>0.9138482</v>
      </c>
      <c r="AF8091">
        <v>42.950879999999998</v>
      </c>
      <c r="AG8091">
        <f>IFERROR(AH8091*0.1, "N/A")</f>
        <v>6.2610530000000004</v>
      </c>
      <c r="AH8091">
        <v>62.610529999999997</v>
      </c>
      <c r="AI8091">
        <v>316.38330000000002</v>
      </c>
      <c r="AJ8091">
        <v>17.463159999999998</v>
      </c>
      <c r="AK8091">
        <v>64.684209999999993</v>
      </c>
    </row>
    <row r="8092" spans="1:37" x14ac:dyDescent="0.3">
      <c r="A8092">
        <v>8091</v>
      </c>
      <c r="B8092">
        <v>0</v>
      </c>
      <c r="C8092">
        <v>-0.283333</v>
      </c>
      <c r="D8092">
        <v>5.6833299999999998</v>
      </c>
      <c r="E8092">
        <f>-0.283333-5.68333</f>
        <v>-5.9666629999999996</v>
      </c>
      <c r="F8092" t="s">
        <v>12092</v>
      </c>
      <c r="G8092" t="s">
        <v>37</v>
      </c>
      <c r="H8092">
        <v>1996</v>
      </c>
      <c r="I8092">
        <v>26.74316</v>
      </c>
      <c r="J8092">
        <v>7.683859</v>
      </c>
      <c r="K8092">
        <v>69.8386</v>
      </c>
      <c r="L8092">
        <v>12.16165</v>
      </c>
      <c r="M8092">
        <v>32.427019999999999</v>
      </c>
      <c r="N8092">
        <v>21.447369999999999</v>
      </c>
      <c r="O8092">
        <v>10.979649999999999</v>
      </c>
      <c r="P8092">
        <v>27.04316</v>
      </c>
      <c r="Q8092">
        <v>27.54316</v>
      </c>
      <c r="R8092">
        <v>28.04316</v>
      </c>
      <c r="S8092">
        <v>24.943159999999999</v>
      </c>
      <c r="T8092">
        <v>947.04909999999995</v>
      </c>
      <c r="U8092">
        <v>213</v>
      </c>
      <c r="V8092">
        <v>18.421050000000001</v>
      </c>
      <c r="W8092">
        <v>68.375439999999998</v>
      </c>
      <c r="X8092">
        <v>465.6386</v>
      </c>
      <c r="Y8092">
        <v>88.045609999999996</v>
      </c>
      <c r="Z8092">
        <v>218.2491</v>
      </c>
      <c r="AA8092">
        <v>160.2912</v>
      </c>
      <c r="AB8092">
        <v>4.7877210000000003</v>
      </c>
      <c r="AC8092">
        <v>3.4056620000000003E-2</v>
      </c>
      <c r="AD8092">
        <v>3.001665</v>
      </c>
      <c r="AE8092">
        <v>0.9138482</v>
      </c>
      <c r="AF8092">
        <v>42.950879999999998</v>
      </c>
      <c r="AG8092">
        <f>IFERROR(AH8092*0.1, "N/A")</f>
        <v>6.2610530000000004</v>
      </c>
      <c r="AH8092">
        <v>62.610529999999997</v>
      </c>
      <c r="AI8092">
        <v>316.38330000000002</v>
      </c>
      <c r="AJ8092">
        <v>17.463159999999998</v>
      </c>
      <c r="AK8092">
        <v>64.684209999999993</v>
      </c>
    </row>
    <row r="8093" spans="1:37" x14ac:dyDescent="0.3">
      <c r="A8093">
        <v>8092</v>
      </c>
      <c r="B8093">
        <v>36.4</v>
      </c>
      <c r="C8093">
        <v>-0.36666700000000002</v>
      </c>
      <c r="D8093">
        <v>5.6833299999999998</v>
      </c>
      <c r="E8093">
        <f>-0.366667-5.68333</f>
        <v>-6.0499969999999994</v>
      </c>
      <c r="F8093" t="s">
        <v>12093</v>
      </c>
      <c r="G8093" t="s">
        <v>39</v>
      </c>
      <c r="H8093">
        <v>2001</v>
      </c>
      <c r="I8093">
        <v>26.9</v>
      </c>
      <c r="J8093">
        <v>7.8</v>
      </c>
      <c r="K8093">
        <v>70.739050000000006</v>
      </c>
      <c r="L8093">
        <v>11.688969999999999</v>
      </c>
      <c r="M8093">
        <v>32.610329999999998</v>
      </c>
      <c r="N8093">
        <v>21.684239999999999</v>
      </c>
      <c r="O8093">
        <v>10.92609</v>
      </c>
      <c r="P8093">
        <v>27.28424</v>
      </c>
      <c r="Q8093">
        <v>27.684239999999999</v>
      </c>
      <c r="R8093">
        <v>28.184239999999999</v>
      </c>
      <c r="S8093">
        <v>25.184239999999999</v>
      </c>
      <c r="T8093">
        <v>1005.212</v>
      </c>
      <c r="U8093">
        <v>219.62870000000001</v>
      </c>
      <c r="V8093">
        <v>20.732050000000001</v>
      </c>
      <c r="W8093">
        <v>65.842380000000006</v>
      </c>
      <c r="X8093">
        <v>483.25040000000001</v>
      </c>
      <c r="Y8093">
        <v>98.621719999999996</v>
      </c>
      <c r="Z8093">
        <v>233.66900000000001</v>
      </c>
      <c r="AA8093">
        <v>168.1979</v>
      </c>
      <c r="AB8093">
        <v>10.125220000000001</v>
      </c>
      <c r="AC8093">
        <v>8.625855E-3</v>
      </c>
      <c r="AD8093">
        <v>1.509504</v>
      </c>
      <c r="AE8093">
        <v>0.67626609999999998</v>
      </c>
      <c r="AF8093">
        <v>29.583189999999998</v>
      </c>
      <c r="AG8093">
        <f>IFERROR(AH8093*0.1, "N/A")</f>
        <v>6.1000000000000005</v>
      </c>
      <c r="AH8093">
        <v>61</v>
      </c>
      <c r="AI8093">
        <v>220.1046</v>
      </c>
      <c r="AJ8093">
        <v>16.007010000000001</v>
      </c>
      <c r="AK8093">
        <v>62.572679999999998</v>
      </c>
    </row>
    <row r="8094" spans="1:37" x14ac:dyDescent="0.3">
      <c r="A8094">
        <v>8093</v>
      </c>
      <c r="B8094">
        <v>61.8</v>
      </c>
      <c r="C8094">
        <v>-0.38333299999999998</v>
      </c>
      <c r="D8094">
        <v>5.75</v>
      </c>
      <c r="E8094">
        <f>-0.383333-5.75</f>
        <v>-6.1333330000000004</v>
      </c>
      <c r="F8094" t="s">
        <v>12094</v>
      </c>
      <c r="G8094" t="s">
        <v>39</v>
      </c>
      <c r="H8094">
        <v>2001</v>
      </c>
      <c r="I8094">
        <v>26.817340000000002</v>
      </c>
      <c r="J8094">
        <v>8.1</v>
      </c>
      <c r="K8094">
        <v>71.413309999999996</v>
      </c>
      <c r="L8094">
        <v>11.63988</v>
      </c>
      <c r="M8094">
        <v>32.744480000000003</v>
      </c>
      <c r="N8094">
        <v>21.458670000000001</v>
      </c>
      <c r="O8094">
        <v>11.28581</v>
      </c>
      <c r="P8094">
        <v>27.175660000000001</v>
      </c>
      <c r="Q8094">
        <v>27.5275</v>
      </c>
      <c r="R8094">
        <v>28.117339999999999</v>
      </c>
      <c r="S8094">
        <v>25.09019</v>
      </c>
      <c r="T8094">
        <v>1087.21</v>
      </c>
      <c r="U8094">
        <v>223.10159999999999</v>
      </c>
      <c r="V8094">
        <v>22</v>
      </c>
      <c r="W8094">
        <v>61</v>
      </c>
      <c r="X8094">
        <v>499.0333</v>
      </c>
      <c r="Y8094">
        <v>108.5149</v>
      </c>
      <c r="Z8094">
        <v>256.58839999999998</v>
      </c>
      <c r="AA8094">
        <v>192.48689999999999</v>
      </c>
      <c r="AB8094">
        <v>6.7075310000000004</v>
      </c>
      <c r="AC8094">
        <v>3.1609569999999997E-2</v>
      </c>
      <c r="AD8094">
        <v>1.3454269999999999</v>
      </c>
      <c r="AE8094">
        <v>0.76850220000000002</v>
      </c>
      <c r="AF8094">
        <v>32.271450000000002</v>
      </c>
      <c r="AG8094">
        <f>IFERROR(AH8094*0.1, "N/A")</f>
        <v>6.0996500000000005</v>
      </c>
      <c r="AH8094">
        <v>60.996499999999997</v>
      </c>
      <c r="AI8094">
        <v>189.37090000000001</v>
      </c>
      <c r="AJ8094">
        <v>18.721540000000001</v>
      </c>
      <c r="AK8094">
        <v>63.003500000000003</v>
      </c>
    </row>
    <row r="8095" spans="1:37" x14ac:dyDescent="0.3">
      <c r="A8095">
        <v>8094</v>
      </c>
      <c r="B8095">
        <v>57.8</v>
      </c>
      <c r="C8095">
        <v>-0.38333299999999998</v>
      </c>
      <c r="D8095">
        <v>5.7666700000000004</v>
      </c>
      <c r="E8095">
        <f>-0.383333-5.76667</f>
        <v>-6.1500030000000008</v>
      </c>
      <c r="F8095" t="s">
        <v>12095</v>
      </c>
      <c r="G8095" t="s">
        <v>39</v>
      </c>
      <c r="H8095">
        <v>2001</v>
      </c>
      <c r="I8095">
        <v>26.84956</v>
      </c>
      <c r="J8095">
        <v>8.1826620000000005</v>
      </c>
      <c r="K8095">
        <v>71.232919999999993</v>
      </c>
      <c r="L8095">
        <v>11.34995</v>
      </c>
      <c r="M8095">
        <v>32.849559999999997</v>
      </c>
      <c r="N8095">
        <v>21.472850000000001</v>
      </c>
      <c r="O8095">
        <v>11.376709999999999</v>
      </c>
      <c r="P8095">
        <v>27.149560000000001</v>
      </c>
      <c r="Q8095">
        <v>27.54956</v>
      </c>
      <c r="R8095">
        <v>28.09019</v>
      </c>
      <c r="S8095">
        <v>25.159369999999999</v>
      </c>
      <c r="T8095">
        <v>1102.422</v>
      </c>
      <c r="U8095">
        <v>223.2715</v>
      </c>
      <c r="V8095">
        <v>22.271450000000002</v>
      </c>
      <c r="W8095">
        <v>59.90193</v>
      </c>
      <c r="X8095">
        <v>501.5061</v>
      </c>
      <c r="Y8095">
        <v>109.81440000000001</v>
      </c>
      <c r="Z8095">
        <v>260.24340000000001</v>
      </c>
      <c r="AA8095">
        <v>197.52709999999999</v>
      </c>
      <c r="AB8095">
        <v>6.3530660000000001</v>
      </c>
      <c r="AC8095">
        <v>8.8927490000000001E-3</v>
      </c>
      <c r="AD8095">
        <v>2.0168210000000002</v>
      </c>
      <c r="AE8095">
        <v>0.75974759999999997</v>
      </c>
      <c r="AF8095">
        <v>34.187390000000001</v>
      </c>
      <c r="AG8095">
        <f>IFERROR(AH8095*0.1, "N/A")</f>
        <v>6.28634</v>
      </c>
      <c r="AH8095">
        <v>62.863399999999999</v>
      </c>
      <c r="AI8095">
        <v>168.68440000000001</v>
      </c>
      <c r="AJ8095">
        <v>13.2697</v>
      </c>
      <c r="AK8095">
        <v>70.001750000000001</v>
      </c>
    </row>
    <row r="8096" spans="1:37" x14ac:dyDescent="0.3">
      <c r="A8096">
        <v>8095</v>
      </c>
      <c r="B8096">
        <v>41.7</v>
      </c>
      <c r="C8096">
        <v>-0.38444400000000001</v>
      </c>
      <c r="D8096">
        <v>5.7769399999999997</v>
      </c>
      <c r="E8096">
        <f>-0.384444-5.77694</f>
        <v>-6.161384</v>
      </c>
      <c r="F8096" t="s">
        <v>12096</v>
      </c>
      <c r="G8096" t="s">
        <v>39</v>
      </c>
      <c r="H8096">
        <v>2001</v>
      </c>
      <c r="I8096">
        <v>26.7</v>
      </c>
      <c r="J8096">
        <v>8.1999999999999993</v>
      </c>
      <c r="K8096">
        <v>71</v>
      </c>
      <c r="L8096">
        <v>11.29</v>
      </c>
      <c r="M8096">
        <v>32.799999999999997</v>
      </c>
      <c r="N8096">
        <v>21.4</v>
      </c>
      <c r="O8096">
        <v>11.4</v>
      </c>
      <c r="P8096">
        <v>27</v>
      </c>
      <c r="Q8096">
        <v>27.4</v>
      </c>
      <c r="R8096">
        <v>28</v>
      </c>
      <c r="S8096">
        <v>25.1</v>
      </c>
      <c r="T8096">
        <v>1126</v>
      </c>
      <c r="U8096">
        <v>224</v>
      </c>
      <c r="V8096">
        <v>23</v>
      </c>
      <c r="W8096">
        <v>59</v>
      </c>
      <c r="X8096">
        <v>505</v>
      </c>
      <c r="Y8096">
        <v>114</v>
      </c>
      <c r="Z8096">
        <v>267</v>
      </c>
      <c r="AA8096">
        <v>204</v>
      </c>
      <c r="AB8096">
        <v>2.20662</v>
      </c>
      <c r="AC8096">
        <v>0.4510786</v>
      </c>
      <c r="AD8096">
        <v>0.89665329999999999</v>
      </c>
      <c r="AE8096">
        <v>0.74920319999999996</v>
      </c>
      <c r="AF8096">
        <v>39.331009999999999</v>
      </c>
      <c r="AG8096">
        <f>IFERROR(AH8096*0.1, "N/A")</f>
        <v>6.1993030000000005</v>
      </c>
      <c r="AH8096">
        <v>61.993029999999997</v>
      </c>
      <c r="AI8096">
        <v>125.63979999999999</v>
      </c>
      <c r="AJ8096">
        <v>16.986059999999998</v>
      </c>
      <c r="AK8096">
        <v>66.013940000000005</v>
      </c>
    </row>
    <row r="8097" spans="1:37" x14ac:dyDescent="0.3">
      <c r="A8097">
        <v>8096</v>
      </c>
      <c r="B8097">
        <v>68.8</v>
      </c>
      <c r="C8097">
        <v>-0.38444400000000001</v>
      </c>
      <c r="D8097">
        <v>5.7908299999999997</v>
      </c>
      <c r="E8097">
        <f>-0.384444-5.79083</f>
        <v>-6.1752739999999999</v>
      </c>
      <c r="F8097" t="s">
        <v>12097</v>
      </c>
      <c r="G8097" t="s">
        <v>39</v>
      </c>
      <c r="H8097">
        <v>2001</v>
      </c>
      <c r="I8097">
        <v>26.6</v>
      </c>
      <c r="J8097">
        <v>8.3000000000000007</v>
      </c>
      <c r="K8097">
        <v>72</v>
      </c>
      <c r="L8097">
        <v>11.401450000000001</v>
      </c>
      <c r="M8097">
        <v>32.691450000000003</v>
      </c>
      <c r="N8097">
        <v>21.2</v>
      </c>
      <c r="O8097">
        <v>11.49145</v>
      </c>
      <c r="P8097">
        <v>27</v>
      </c>
      <c r="Q8097">
        <v>27.291450000000001</v>
      </c>
      <c r="R8097">
        <v>27.9</v>
      </c>
      <c r="S8097">
        <v>24.9</v>
      </c>
      <c r="T8097">
        <v>1145.77</v>
      </c>
      <c r="U8097">
        <v>225</v>
      </c>
      <c r="V8097">
        <v>24</v>
      </c>
      <c r="W8097">
        <v>57.914490000000001</v>
      </c>
      <c r="X8097">
        <v>508.17099999999999</v>
      </c>
      <c r="Y8097">
        <v>117</v>
      </c>
      <c r="Z8097">
        <v>272.17099999999999</v>
      </c>
      <c r="AA8097">
        <v>210.34209999999999</v>
      </c>
      <c r="AB8097">
        <v>1.518151</v>
      </c>
      <c r="AC8097">
        <v>0.62778769999999995</v>
      </c>
      <c r="AD8097">
        <v>1.541666</v>
      </c>
      <c r="AE8097">
        <v>0.74647169999999996</v>
      </c>
      <c r="AF8097">
        <v>54.839440000000003</v>
      </c>
      <c r="AG8097">
        <f>IFERROR(AH8097*0.1, "N/A")</f>
        <v>5.9249560000000008</v>
      </c>
      <c r="AH8097">
        <v>59.249560000000002</v>
      </c>
      <c r="AI8097">
        <v>87.080950000000001</v>
      </c>
      <c r="AJ8097">
        <v>25.25131</v>
      </c>
      <c r="AK8097">
        <v>56.247819999999997</v>
      </c>
    </row>
    <row r="8098" spans="1:37" x14ac:dyDescent="0.3">
      <c r="A8098">
        <v>8097</v>
      </c>
      <c r="B8098">
        <v>70.8</v>
      </c>
      <c r="C8098">
        <v>-0.36667</v>
      </c>
      <c r="D8098">
        <v>5.85</v>
      </c>
      <c r="E8098">
        <f>-0.36667-5.85</f>
        <v>-6.2166699999999997</v>
      </c>
      <c r="F8098" t="s">
        <v>12098</v>
      </c>
      <c r="G8098" t="s">
        <v>39</v>
      </c>
      <c r="H8098">
        <v>2001</v>
      </c>
      <c r="I8098">
        <v>26.622129999999999</v>
      </c>
      <c r="J8098">
        <v>8.5656800000000004</v>
      </c>
      <c r="K8098">
        <v>72.656790000000001</v>
      </c>
      <c r="L8098">
        <v>11.15775</v>
      </c>
      <c r="M8098">
        <v>32.856450000000002</v>
      </c>
      <c r="N8098">
        <v>21.134319999999999</v>
      </c>
      <c r="O8098">
        <v>11.72213</v>
      </c>
      <c r="P8098">
        <v>26.985189999999999</v>
      </c>
      <c r="Q8098">
        <v>27.268640000000001</v>
      </c>
      <c r="R8098">
        <v>27.909579999999998</v>
      </c>
      <c r="S8098">
        <v>25</v>
      </c>
      <c r="T8098">
        <v>1190.4739999999999</v>
      </c>
      <c r="U8098">
        <v>224.28749999999999</v>
      </c>
      <c r="V8098">
        <v>24</v>
      </c>
      <c r="W8098">
        <v>55.221249999999998</v>
      </c>
      <c r="X8098">
        <v>513.23170000000005</v>
      </c>
      <c r="Y8098">
        <v>119.723</v>
      </c>
      <c r="Z8098">
        <v>283.32400000000001</v>
      </c>
      <c r="AA8098">
        <v>229.88149999999999</v>
      </c>
      <c r="AB8098">
        <v>26.654879999999999</v>
      </c>
      <c r="AC8098">
        <v>4.0639500000000002E-2</v>
      </c>
      <c r="AD8098">
        <v>2.2568709999999998</v>
      </c>
      <c r="AE8098">
        <v>0.75379549999999995</v>
      </c>
      <c r="AF8098">
        <v>69.510450000000006</v>
      </c>
      <c r="AG8098">
        <f>IFERROR(AH8098*0.1, "N/A")</f>
        <v>6.7369339999999998</v>
      </c>
      <c r="AH8098">
        <v>67.369339999999994</v>
      </c>
      <c r="AI8098">
        <v>174.45070000000001</v>
      </c>
      <c r="AJ8098">
        <v>20</v>
      </c>
      <c r="AK8098">
        <v>62.261319999999998</v>
      </c>
    </row>
    <row r="8099" spans="1:37" x14ac:dyDescent="0.3">
      <c r="A8099">
        <v>8098</v>
      </c>
      <c r="B8099">
        <v>42.4</v>
      </c>
      <c r="C8099">
        <v>-0.35</v>
      </c>
      <c r="D8099">
        <v>5.85</v>
      </c>
      <c r="E8099">
        <f>-0.35-5.85</f>
        <v>-6.1999999999999993</v>
      </c>
      <c r="F8099" t="s">
        <v>12099</v>
      </c>
      <c r="G8099" t="s">
        <v>39</v>
      </c>
      <c r="H8099">
        <v>2001</v>
      </c>
      <c r="I8099">
        <v>26.821809999999999</v>
      </c>
      <c r="J8099">
        <v>8.5657940000000004</v>
      </c>
      <c r="K8099">
        <v>72.801050000000004</v>
      </c>
      <c r="L8099">
        <v>11.224970000000001</v>
      </c>
      <c r="M8099">
        <v>33.041710000000002</v>
      </c>
      <c r="N8099">
        <v>21.35079</v>
      </c>
      <c r="O8099">
        <v>11.69093</v>
      </c>
      <c r="P8099">
        <v>27.16545</v>
      </c>
      <c r="Q8099">
        <v>27.475919999999999</v>
      </c>
      <c r="R8099">
        <v>28.07592</v>
      </c>
      <c r="S8099">
        <v>25.16545</v>
      </c>
      <c r="T8099">
        <v>1154.2760000000001</v>
      </c>
      <c r="U8099">
        <v>221.34549999999999</v>
      </c>
      <c r="V8099">
        <v>23.146599999999999</v>
      </c>
      <c r="W8099">
        <v>56.14311</v>
      </c>
      <c r="X8099">
        <v>504.98430000000002</v>
      </c>
      <c r="Y8099">
        <v>114.8604</v>
      </c>
      <c r="Z8099">
        <v>273.59339999999997</v>
      </c>
      <c r="AA8099">
        <v>220.6876</v>
      </c>
      <c r="AB8099">
        <v>30.017800000000001</v>
      </c>
      <c r="AC8099">
        <v>1.1116350000000001E-2</v>
      </c>
      <c r="AD8099">
        <v>2.349119</v>
      </c>
      <c r="AE8099">
        <v>0.74842880000000001</v>
      </c>
      <c r="AF8099">
        <v>67.596860000000007</v>
      </c>
      <c r="AG8099">
        <f>IFERROR(AH8099*0.1, "N/A")</f>
        <v>6.1801050000000002</v>
      </c>
      <c r="AH8099">
        <v>61.801049999999996</v>
      </c>
      <c r="AI8099">
        <v>85.506820000000005</v>
      </c>
      <c r="AJ8099">
        <v>18.19895</v>
      </c>
      <c r="AK8099">
        <v>64.801050000000004</v>
      </c>
    </row>
    <row r="8100" spans="1:37" x14ac:dyDescent="0.3">
      <c r="A8100">
        <v>8099</v>
      </c>
      <c r="B8100">
        <v>20.3</v>
      </c>
      <c r="C8100">
        <v>0.35422199999999998</v>
      </c>
      <c r="D8100">
        <v>5.6097000000000001</v>
      </c>
      <c r="E8100" t="s">
        <v>12100</v>
      </c>
      <c r="F8100" t="s">
        <v>12101</v>
      </c>
      <c r="G8100" t="s">
        <v>39</v>
      </c>
      <c r="H8100">
        <v>2006</v>
      </c>
      <c r="I8100" t="s">
        <v>729</v>
      </c>
      <c r="J8100" t="s">
        <v>729</v>
      </c>
      <c r="K8100" t="s">
        <v>729</v>
      </c>
      <c r="L8100" t="s">
        <v>729</v>
      </c>
      <c r="M8100" t="s">
        <v>729</v>
      </c>
      <c r="N8100" t="s">
        <v>729</v>
      </c>
      <c r="O8100" t="s">
        <v>729</v>
      </c>
      <c r="P8100" t="s">
        <v>729</v>
      </c>
      <c r="Q8100" t="s">
        <v>729</v>
      </c>
      <c r="R8100" t="s">
        <v>729</v>
      </c>
      <c r="S8100" t="s">
        <v>729</v>
      </c>
      <c r="T8100" t="s">
        <v>729</v>
      </c>
      <c r="U8100" t="s">
        <v>729</v>
      </c>
      <c r="V8100" t="s">
        <v>729</v>
      </c>
      <c r="W8100" t="s">
        <v>729</v>
      </c>
      <c r="X8100" t="s">
        <v>729</v>
      </c>
      <c r="Y8100" t="s">
        <v>729</v>
      </c>
      <c r="Z8100" t="s">
        <v>729</v>
      </c>
      <c r="AA8100" t="s">
        <v>729</v>
      </c>
      <c r="AB8100" t="s">
        <v>729</v>
      </c>
      <c r="AC8100" t="s">
        <v>729</v>
      </c>
      <c r="AD8100" t="s">
        <v>729</v>
      </c>
      <c r="AE8100" t="s">
        <v>729</v>
      </c>
      <c r="AF8100" t="s">
        <v>729</v>
      </c>
      <c r="AG8100" t="str">
        <f>IFERROR(AH8100*0.1, "N/A")</f>
        <v>N/A</v>
      </c>
      <c r="AH8100" t="s">
        <v>729</v>
      </c>
      <c r="AI8100" t="s">
        <v>729</v>
      </c>
      <c r="AJ8100" t="s">
        <v>729</v>
      </c>
      <c r="AK8100" t="s">
        <v>729</v>
      </c>
    </row>
    <row r="8101" spans="1:37" x14ac:dyDescent="0.3">
      <c r="A8101">
        <v>8100</v>
      </c>
      <c r="B8101">
        <v>0</v>
      </c>
      <c r="C8101">
        <v>0.18696399999999999</v>
      </c>
      <c r="D8101">
        <v>7.1359000000000004</v>
      </c>
      <c r="E8101" t="s">
        <v>12102</v>
      </c>
      <c r="F8101" t="s">
        <v>12103</v>
      </c>
      <c r="G8101" t="s">
        <v>37</v>
      </c>
      <c r="H8101">
        <v>1982</v>
      </c>
      <c r="I8101">
        <v>27.6</v>
      </c>
      <c r="J8101">
        <v>10.7</v>
      </c>
      <c r="K8101">
        <v>73</v>
      </c>
      <c r="L8101">
        <v>10.73</v>
      </c>
      <c r="M8101">
        <v>35.6</v>
      </c>
      <c r="N8101">
        <v>21</v>
      </c>
      <c r="O8101">
        <v>14.6</v>
      </c>
      <c r="P8101">
        <v>27.1</v>
      </c>
      <c r="Q8101">
        <v>28.1</v>
      </c>
      <c r="R8101">
        <v>29</v>
      </c>
      <c r="S8101">
        <v>26.1</v>
      </c>
      <c r="T8101">
        <v>1364</v>
      </c>
      <c r="U8101">
        <v>196</v>
      </c>
      <c r="V8101">
        <v>18</v>
      </c>
      <c r="W8101">
        <v>52</v>
      </c>
      <c r="X8101">
        <v>502</v>
      </c>
      <c r="Y8101">
        <v>85</v>
      </c>
      <c r="Z8101">
        <v>276</v>
      </c>
      <c r="AA8101">
        <v>437</v>
      </c>
      <c r="AB8101">
        <v>0</v>
      </c>
      <c r="AC8101">
        <v>0.16204879999999999</v>
      </c>
      <c r="AD8101">
        <v>0</v>
      </c>
      <c r="AE8101" t="s">
        <v>729</v>
      </c>
      <c r="AF8101">
        <v>73</v>
      </c>
      <c r="AG8101" t="str">
        <f>IFERROR(AH8101*0.1, "N/A")</f>
        <v>N/A</v>
      </c>
      <c r="AH8101" t="s">
        <v>729</v>
      </c>
      <c r="AI8101">
        <v>0</v>
      </c>
      <c r="AJ8101" t="s">
        <v>729</v>
      </c>
      <c r="AK8101" t="s">
        <v>729</v>
      </c>
    </row>
    <row r="8102" spans="1:37" x14ac:dyDescent="0.3">
      <c r="A8102">
        <v>8101</v>
      </c>
      <c r="B8102">
        <v>50.6</v>
      </c>
      <c r="C8102">
        <v>0.20494200000000001</v>
      </c>
      <c r="D8102">
        <v>7.5439439999999998</v>
      </c>
      <c r="E8102" t="s">
        <v>12104</v>
      </c>
      <c r="F8102" t="s">
        <v>12105</v>
      </c>
      <c r="G8102" t="s">
        <v>39</v>
      </c>
      <c r="H8102">
        <v>1982</v>
      </c>
      <c r="I8102">
        <v>27.7</v>
      </c>
      <c r="J8102">
        <v>10.9</v>
      </c>
      <c r="K8102">
        <v>69</v>
      </c>
      <c r="L8102">
        <v>11.79</v>
      </c>
      <c r="M8102">
        <v>36</v>
      </c>
      <c r="N8102">
        <v>20.399999999999999</v>
      </c>
      <c r="O8102">
        <v>15.6</v>
      </c>
      <c r="P8102">
        <v>27.2</v>
      </c>
      <c r="Q8102">
        <v>28.1</v>
      </c>
      <c r="R8102">
        <v>29.3</v>
      </c>
      <c r="S8102">
        <v>26.1</v>
      </c>
      <c r="T8102">
        <v>1369</v>
      </c>
      <c r="U8102">
        <v>200</v>
      </c>
      <c r="V8102">
        <v>13</v>
      </c>
      <c r="W8102">
        <v>57</v>
      </c>
      <c r="X8102">
        <v>513</v>
      </c>
      <c r="Y8102">
        <v>65</v>
      </c>
      <c r="Z8102">
        <v>254</v>
      </c>
      <c r="AA8102">
        <v>483</v>
      </c>
      <c r="AB8102">
        <v>7.2634150000000002</v>
      </c>
      <c r="AC8102">
        <v>1.1443190000000001E-2</v>
      </c>
      <c r="AD8102">
        <v>1.627257</v>
      </c>
      <c r="AE8102">
        <v>0.3119054</v>
      </c>
      <c r="AF8102">
        <v>78.975610000000003</v>
      </c>
      <c r="AG8102">
        <f>IFERROR(AH8102*0.1, "N/A")</f>
        <v>6.1020910000000006</v>
      </c>
      <c r="AH8102">
        <v>61.020910000000001</v>
      </c>
      <c r="AI8102">
        <v>89.09308</v>
      </c>
      <c r="AJ8102">
        <v>22.013940000000002</v>
      </c>
      <c r="AK8102">
        <v>54.989550000000001</v>
      </c>
    </row>
    <row r="8103" spans="1:37" x14ac:dyDescent="0.3">
      <c r="A8103">
        <v>8102</v>
      </c>
      <c r="B8103">
        <v>50.6</v>
      </c>
      <c r="C8103">
        <v>0.180232</v>
      </c>
      <c r="D8103">
        <v>7.423521</v>
      </c>
      <c r="E8103" t="s">
        <v>12106</v>
      </c>
      <c r="F8103" t="s">
        <v>12107</v>
      </c>
      <c r="G8103" t="s">
        <v>39</v>
      </c>
      <c r="H8103">
        <v>1982</v>
      </c>
      <c r="I8103">
        <v>27.7</v>
      </c>
      <c r="J8103">
        <v>10.8</v>
      </c>
      <c r="K8103">
        <v>70</v>
      </c>
      <c r="L8103">
        <v>11.37</v>
      </c>
      <c r="M8103">
        <v>36</v>
      </c>
      <c r="N8103">
        <v>20.7</v>
      </c>
      <c r="O8103">
        <v>15.3</v>
      </c>
      <c r="P8103">
        <v>27.2</v>
      </c>
      <c r="Q8103">
        <v>28.2</v>
      </c>
      <c r="R8103">
        <v>29.3</v>
      </c>
      <c r="S8103">
        <v>26.2</v>
      </c>
      <c r="T8103">
        <v>1369</v>
      </c>
      <c r="U8103">
        <v>193</v>
      </c>
      <c r="V8103">
        <v>15</v>
      </c>
      <c r="W8103">
        <v>55</v>
      </c>
      <c r="X8103">
        <v>508</v>
      </c>
      <c r="Y8103">
        <v>71</v>
      </c>
      <c r="Z8103">
        <v>263</v>
      </c>
      <c r="AA8103">
        <v>463</v>
      </c>
      <c r="AB8103">
        <v>0</v>
      </c>
      <c r="AC8103">
        <v>0.1600753</v>
      </c>
      <c r="AD8103">
        <v>0</v>
      </c>
      <c r="AE8103" t="s">
        <v>729</v>
      </c>
      <c r="AF8103">
        <v>73</v>
      </c>
      <c r="AG8103" t="str">
        <f>IFERROR(AH8103*0.1, "N/A")</f>
        <v>N/A</v>
      </c>
      <c r="AH8103" t="s">
        <v>729</v>
      </c>
      <c r="AI8103">
        <v>0</v>
      </c>
      <c r="AJ8103" t="s">
        <v>729</v>
      </c>
      <c r="AK8103" t="s">
        <v>729</v>
      </c>
    </row>
    <row r="8104" spans="1:37" x14ac:dyDescent="0.3">
      <c r="A8104">
        <v>8103</v>
      </c>
      <c r="B8104">
        <v>85.4</v>
      </c>
      <c r="C8104">
        <v>0.123568</v>
      </c>
      <c r="D8104">
        <v>7.3925679999999998</v>
      </c>
      <c r="E8104" t="s">
        <v>12108</v>
      </c>
      <c r="F8104" t="s">
        <v>12109</v>
      </c>
      <c r="G8104" t="s">
        <v>39</v>
      </c>
      <c r="H8104">
        <v>1982</v>
      </c>
      <c r="I8104">
        <v>27.7</v>
      </c>
      <c r="J8104">
        <v>10.9</v>
      </c>
      <c r="K8104">
        <v>70</v>
      </c>
      <c r="L8104">
        <v>11.64</v>
      </c>
      <c r="M8104">
        <v>35.9</v>
      </c>
      <c r="N8104">
        <v>20.5</v>
      </c>
      <c r="O8104">
        <v>15.4</v>
      </c>
      <c r="P8104">
        <v>27.1</v>
      </c>
      <c r="Q8104">
        <v>28.1</v>
      </c>
      <c r="R8104">
        <v>29.2</v>
      </c>
      <c r="S8104">
        <v>26.1</v>
      </c>
      <c r="T8104">
        <v>1363</v>
      </c>
      <c r="U8104">
        <v>194</v>
      </c>
      <c r="V8104">
        <v>15</v>
      </c>
      <c r="W8104">
        <v>55</v>
      </c>
      <c r="X8104">
        <v>508</v>
      </c>
      <c r="Y8104">
        <v>70</v>
      </c>
      <c r="Z8104">
        <v>258</v>
      </c>
      <c r="AA8104">
        <v>464</v>
      </c>
      <c r="AB8104">
        <v>0</v>
      </c>
      <c r="AC8104">
        <v>1.838919E-2</v>
      </c>
      <c r="AD8104">
        <v>0</v>
      </c>
      <c r="AE8104" t="s">
        <v>729</v>
      </c>
      <c r="AF8104">
        <v>73</v>
      </c>
      <c r="AG8104" t="str">
        <f>IFERROR(AH8104*0.1, "N/A")</f>
        <v>N/A</v>
      </c>
      <c r="AH8104" t="s">
        <v>729</v>
      </c>
      <c r="AI8104">
        <v>0</v>
      </c>
      <c r="AJ8104" t="s">
        <v>729</v>
      </c>
      <c r="AK8104" t="s">
        <v>729</v>
      </c>
    </row>
    <row r="8105" spans="1:37" x14ac:dyDescent="0.3">
      <c r="A8105">
        <v>8104</v>
      </c>
      <c r="B8105">
        <v>92.5</v>
      </c>
      <c r="C8105">
        <v>0.14548900000000001</v>
      </c>
      <c r="D8105">
        <v>7.3865489999999996</v>
      </c>
      <c r="E8105" t="s">
        <v>12110</v>
      </c>
      <c r="F8105" t="s">
        <v>12111</v>
      </c>
      <c r="G8105" t="s">
        <v>39</v>
      </c>
      <c r="H8105">
        <v>1982</v>
      </c>
      <c r="I8105">
        <v>27.7</v>
      </c>
      <c r="J8105">
        <v>10.8</v>
      </c>
      <c r="K8105">
        <v>70</v>
      </c>
      <c r="L8105">
        <v>11.17</v>
      </c>
      <c r="M8105">
        <v>35.9</v>
      </c>
      <c r="N8105">
        <v>20.6</v>
      </c>
      <c r="O8105">
        <v>15.3</v>
      </c>
      <c r="P8105">
        <v>27.1</v>
      </c>
      <c r="Q8105">
        <v>28.1</v>
      </c>
      <c r="R8105">
        <v>29.2</v>
      </c>
      <c r="S8105">
        <v>26.2</v>
      </c>
      <c r="T8105">
        <v>1367</v>
      </c>
      <c r="U8105">
        <v>194</v>
      </c>
      <c r="V8105">
        <v>15</v>
      </c>
      <c r="W8105">
        <v>55</v>
      </c>
      <c r="X8105">
        <v>508</v>
      </c>
      <c r="Y8105">
        <v>71</v>
      </c>
      <c r="Z8105">
        <v>262</v>
      </c>
      <c r="AA8105">
        <v>461</v>
      </c>
      <c r="AB8105">
        <v>0</v>
      </c>
      <c r="AC8105">
        <v>0.1761838</v>
      </c>
      <c r="AD8105">
        <v>0</v>
      </c>
      <c r="AE8105" t="s">
        <v>729</v>
      </c>
      <c r="AF8105">
        <v>73</v>
      </c>
      <c r="AG8105" t="str">
        <f>IFERROR(AH8105*0.1, "N/A")</f>
        <v>N/A</v>
      </c>
      <c r="AH8105" t="s">
        <v>729</v>
      </c>
      <c r="AI8105">
        <v>0</v>
      </c>
      <c r="AJ8105" t="s">
        <v>729</v>
      </c>
      <c r="AK8105" t="s">
        <v>729</v>
      </c>
    </row>
    <row r="8106" spans="1:37" x14ac:dyDescent="0.3">
      <c r="A8106">
        <v>8105</v>
      </c>
      <c r="B8106">
        <v>79.400000000000006</v>
      </c>
      <c r="C8106">
        <v>0.15248900000000001</v>
      </c>
      <c r="D8106">
        <v>7.3648949999999997</v>
      </c>
      <c r="E8106" t="s">
        <v>12112</v>
      </c>
      <c r="F8106" t="s">
        <v>12113</v>
      </c>
      <c r="G8106" t="s">
        <v>39</v>
      </c>
      <c r="H8106">
        <v>1982</v>
      </c>
      <c r="I8106">
        <v>27.6</v>
      </c>
      <c r="J8106">
        <v>10.8</v>
      </c>
      <c r="K8106">
        <v>70</v>
      </c>
      <c r="L8106">
        <v>11.39</v>
      </c>
      <c r="M8106">
        <v>35.9</v>
      </c>
      <c r="N8106">
        <v>20.6</v>
      </c>
      <c r="O8106">
        <v>15.3</v>
      </c>
      <c r="P8106">
        <v>27.1</v>
      </c>
      <c r="Q8106">
        <v>28.1</v>
      </c>
      <c r="R8106">
        <v>29.2</v>
      </c>
      <c r="S8106">
        <v>26.1</v>
      </c>
      <c r="T8106">
        <v>1370</v>
      </c>
      <c r="U8106">
        <v>195</v>
      </c>
      <c r="V8106">
        <v>15</v>
      </c>
      <c r="W8106">
        <v>54</v>
      </c>
      <c r="X8106">
        <v>508</v>
      </c>
      <c r="Y8106">
        <v>73</v>
      </c>
      <c r="Z8106">
        <v>266</v>
      </c>
      <c r="AA8106">
        <v>457</v>
      </c>
      <c r="AB8106">
        <v>1.9272100000000001</v>
      </c>
      <c r="AC8106">
        <v>2.0542939999999999E-2</v>
      </c>
      <c r="AD8106">
        <v>2.2306020000000002</v>
      </c>
      <c r="AE8106">
        <v>0.2027176</v>
      </c>
      <c r="AF8106">
        <v>76.731369999999998</v>
      </c>
      <c r="AG8106" t="str">
        <f>IFERROR(AH8106*0.1, "N/A")</f>
        <v>N/A</v>
      </c>
      <c r="AH8106" t="s">
        <v>729</v>
      </c>
      <c r="AI8106">
        <v>37.821240000000003</v>
      </c>
      <c r="AJ8106" t="s">
        <v>729</v>
      </c>
      <c r="AK8106" t="s">
        <v>729</v>
      </c>
    </row>
    <row r="8107" spans="1:37" x14ac:dyDescent="0.3">
      <c r="A8107">
        <v>8106</v>
      </c>
      <c r="B8107">
        <v>67.5</v>
      </c>
      <c r="C8107">
        <v>0.14865900000000001</v>
      </c>
      <c r="D8107">
        <v>7.2486490000000003</v>
      </c>
      <c r="E8107" t="s">
        <v>12114</v>
      </c>
      <c r="F8107" t="s">
        <v>12115</v>
      </c>
      <c r="G8107" t="s">
        <v>39</v>
      </c>
      <c r="H8107">
        <v>1982</v>
      </c>
      <c r="I8107">
        <v>27.5</v>
      </c>
      <c r="J8107">
        <v>10.8</v>
      </c>
      <c r="K8107">
        <v>72</v>
      </c>
      <c r="L8107">
        <v>11.14</v>
      </c>
      <c r="M8107">
        <v>35.700000000000003</v>
      </c>
      <c r="N8107">
        <v>20.8</v>
      </c>
      <c r="O8107">
        <v>14.9</v>
      </c>
      <c r="P8107">
        <v>27</v>
      </c>
      <c r="Q8107">
        <v>28</v>
      </c>
      <c r="R8107">
        <v>29</v>
      </c>
      <c r="S8107">
        <v>26</v>
      </c>
      <c r="T8107">
        <v>1370</v>
      </c>
      <c r="U8107">
        <v>196</v>
      </c>
      <c r="V8107">
        <v>17</v>
      </c>
      <c r="W8107">
        <v>53</v>
      </c>
      <c r="X8107">
        <v>505</v>
      </c>
      <c r="Y8107">
        <v>79</v>
      </c>
      <c r="Z8107">
        <v>271</v>
      </c>
      <c r="AA8107">
        <v>447</v>
      </c>
      <c r="AB8107">
        <v>0</v>
      </c>
      <c r="AC8107">
        <v>0.1026861</v>
      </c>
      <c r="AD8107">
        <v>0</v>
      </c>
      <c r="AE8107">
        <v>0.1364281</v>
      </c>
      <c r="AF8107">
        <v>73</v>
      </c>
      <c r="AG8107" t="str">
        <f>IFERROR(AH8107*0.1, "N/A")</f>
        <v>N/A</v>
      </c>
      <c r="AH8107" t="s">
        <v>729</v>
      </c>
      <c r="AI8107">
        <v>0</v>
      </c>
      <c r="AJ8107" t="s">
        <v>729</v>
      </c>
      <c r="AK8107" t="s">
        <v>729</v>
      </c>
    </row>
    <row r="8108" spans="1:37" x14ac:dyDescent="0.3">
      <c r="A8108">
        <v>8107</v>
      </c>
      <c r="B8108">
        <v>67.5</v>
      </c>
      <c r="C8108">
        <v>0.28837200000000002</v>
      </c>
      <c r="D8108">
        <v>7.8830799999999996</v>
      </c>
      <c r="E8108" t="s">
        <v>12116</v>
      </c>
      <c r="F8108" t="s">
        <v>12117</v>
      </c>
      <c r="G8108" t="s">
        <v>39</v>
      </c>
      <c r="H8108">
        <v>1982</v>
      </c>
      <c r="I8108">
        <v>27.5</v>
      </c>
      <c r="J8108">
        <v>11.1</v>
      </c>
      <c r="K8108">
        <v>68</v>
      </c>
      <c r="L8108">
        <v>12.45889</v>
      </c>
      <c r="M8108">
        <v>36.1</v>
      </c>
      <c r="N8108">
        <v>19.899999999999999</v>
      </c>
      <c r="O8108">
        <v>16.2</v>
      </c>
      <c r="P8108">
        <v>25.812349999999999</v>
      </c>
      <c r="Q8108">
        <v>28</v>
      </c>
      <c r="R8108">
        <v>29.2</v>
      </c>
      <c r="S8108">
        <v>25.812349999999999</v>
      </c>
      <c r="T8108">
        <v>1339.63</v>
      </c>
      <c r="U8108">
        <v>218</v>
      </c>
      <c r="V8108">
        <v>8</v>
      </c>
      <c r="W8108">
        <v>64</v>
      </c>
      <c r="X8108">
        <v>536.24699999999996</v>
      </c>
      <c r="Y8108">
        <v>49.753039999999999</v>
      </c>
      <c r="Z8108">
        <v>222.75299999999999</v>
      </c>
      <c r="AA8108">
        <v>536.24699999999996</v>
      </c>
      <c r="AB8108">
        <v>3.6415670000000002</v>
      </c>
      <c r="AC8108">
        <v>1.7629579999999999E-2</v>
      </c>
      <c r="AD8108">
        <v>2.3365450000000001</v>
      </c>
      <c r="AE8108">
        <v>0.49828020000000001</v>
      </c>
      <c r="AF8108">
        <v>116.5478</v>
      </c>
      <c r="AG8108">
        <f>IFERROR(AH8108*0.1, "N/A")</f>
        <v>6.3000000000000007</v>
      </c>
      <c r="AH8108">
        <v>63</v>
      </c>
      <c r="AI8108">
        <v>172.5932</v>
      </c>
      <c r="AJ8108">
        <v>13.18957</v>
      </c>
      <c r="AK8108">
        <v>65.620869999999996</v>
      </c>
    </row>
    <row r="8109" spans="1:37" x14ac:dyDescent="0.3">
      <c r="A8109">
        <v>8108</v>
      </c>
      <c r="B8109">
        <v>60.7</v>
      </c>
      <c r="C8109">
        <v>0.324598</v>
      </c>
      <c r="D8109">
        <v>7.8261890000000003</v>
      </c>
      <c r="E8109" t="s">
        <v>12118</v>
      </c>
      <c r="F8109" t="s">
        <v>12119</v>
      </c>
      <c r="G8109" t="s">
        <v>39</v>
      </c>
      <c r="H8109">
        <v>1982</v>
      </c>
      <c r="I8109">
        <v>27.394449999999999</v>
      </c>
      <c r="J8109">
        <v>11</v>
      </c>
      <c r="K8109">
        <v>68</v>
      </c>
      <c r="L8109">
        <v>12.431660000000001</v>
      </c>
      <c r="M8109">
        <v>35.9</v>
      </c>
      <c r="N8109">
        <v>19.894449999999999</v>
      </c>
      <c r="O8109">
        <v>16.005549999999999</v>
      </c>
      <c r="P8109">
        <v>25.794450000000001</v>
      </c>
      <c r="Q8109">
        <v>27.894449999999999</v>
      </c>
      <c r="R8109">
        <v>29.094449999999998</v>
      </c>
      <c r="S8109">
        <v>25.794450000000001</v>
      </c>
      <c r="T8109">
        <v>1362.3879999999999</v>
      </c>
      <c r="U8109">
        <v>218.05549999999999</v>
      </c>
      <c r="V8109">
        <v>9</v>
      </c>
      <c r="W8109">
        <v>62</v>
      </c>
      <c r="X8109">
        <v>531.11090000000002</v>
      </c>
      <c r="Y8109">
        <v>54.055459999999997</v>
      </c>
      <c r="Z8109">
        <v>235.16640000000001</v>
      </c>
      <c r="AA8109">
        <v>531.11090000000002</v>
      </c>
      <c r="AB8109">
        <v>6.6663769999999998</v>
      </c>
      <c r="AC8109">
        <v>3.0018739999999999E-2</v>
      </c>
      <c r="AD8109">
        <v>2.4021699999999999</v>
      </c>
      <c r="AE8109">
        <v>0.54722179999999998</v>
      </c>
      <c r="AF8109">
        <v>133.97229999999999</v>
      </c>
      <c r="AG8109">
        <f>IFERROR(AH8109*0.1, "N/A")</f>
        <v>5.4982670000000002</v>
      </c>
      <c r="AH8109">
        <v>54.982669999999999</v>
      </c>
      <c r="AI8109">
        <v>232.88640000000001</v>
      </c>
      <c r="AJ8109">
        <v>21.14038</v>
      </c>
      <c r="AK8109">
        <v>61.429810000000003</v>
      </c>
    </row>
    <row r="8110" spans="1:37" x14ac:dyDescent="0.3">
      <c r="A8110">
        <v>8109</v>
      </c>
      <c r="B8110">
        <v>55.2</v>
      </c>
      <c r="C8110">
        <v>0.29893500000000001</v>
      </c>
      <c r="D8110">
        <v>7.851648</v>
      </c>
      <c r="E8110" t="s">
        <v>12120</v>
      </c>
      <c r="F8110" t="s">
        <v>12121</v>
      </c>
      <c r="G8110" t="s">
        <v>39</v>
      </c>
      <c r="H8110">
        <v>1982</v>
      </c>
      <c r="I8110">
        <v>27.5</v>
      </c>
      <c r="J8110">
        <v>11</v>
      </c>
      <c r="K8110">
        <v>68</v>
      </c>
      <c r="L8110">
        <v>12.57</v>
      </c>
      <c r="M8110">
        <v>36.1</v>
      </c>
      <c r="N8110">
        <v>20</v>
      </c>
      <c r="O8110">
        <v>16.100000000000001</v>
      </c>
      <c r="P8110">
        <v>25.9</v>
      </c>
      <c r="Q8110">
        <v>28</v>
      </c>
      <c r="R8110">
        <v>29.2</v>
      </c>
      <c r="S8110">
        <v>25.9</v>
      </c>
      <c r="T8110">
        <v>1350</v>
      </c>
      <c r="U8110">
        <v>218</v>
      </c>
      <c r="V8110">
        <v>9</v>
      </c>
      <c r="W8110">
        <v>63</v>
      </c>
      <c r="X8110">
        <v>535</v>
      </c>
      <c r="Y8110">
        <v>52</v>
      </c>
      <c r="Z8110">
        <v>228</v>
      </c>
      <c r="AA8110">
        <v>535</v>
      </c>
      <c r="AB8110">
        <v>7.7446979999999996</v>
      </c>
      <c r="AC8110">
        <v>0.18900539999999999</v>
      </c>
      <c r="AD8110">
        <v>3.7091379999999998</v>
      </c>
      <c r="AE8110">
        <v>0.59468290000000001</v>
      </c>
      <c r="AF8110">
        <v>121.673</v>
      </c>
      <c r="AG8110">
        <f>IFERROR(AH8110*0.1, "N/A")</f>
        <v>6.1787830000000001</v>
      </c>
      <c r="AH8110">
        <v>61.78783</v>
      </c>
      <c r="AI8110">
        <v>230.2627</v>
      </c>
      <c r="AJ8110">
        <v>13.78783</v>
      </c>
      <c r="AK8110">
        <v>69.184349999999995</v>
      </c>
    </row>
    <row r="8111" spans="1:37" x14ac:dyDescent="0.3">
      <c r="A8111">
        <v>8110</v>
      </c>
      <c r="B8111">
        <v>47.6</v>
      </c>
      <c r="C8111">
        <v>0.23458699999999999</v>
      </c>
      <c r="D8111">
        <v>7.9435120000000001</v>
      </c>
      <c r="E8111" t="s">
        <v>12122</v>
      </c>
      <c r="F8111" t="s">
        <v>12123</v>
      </c>
      <c r="G8111" t="s">
        <v>39</v>
      </c>
      <c r="H8111">
        <v>1982</v>
      </c>
      <c r="I8111">
        <v>27.6</v>
      </c>
      <c r="J8111">
        <v>11.1</v>
      </c>
      <c r="K8111">
        <v>67</v>
      </c>
      <c r="L8111">
        <v>12.93</v>
      </c>
      <c r="M8111">
        <v>36.200000000000003</v>
      </c>
      <c r="N8111">
        <v>19.8</v>
      </c>
      <c r="O8111">
        <v>16.399999999999999</v>
      </c>
      <c r="P8111">
        <v>25.9</v>
      </c>
      <c r="Q8111">
        <v>28</v>
      </c>
      <c r="R8111">
        <v>29.3</v>
      </c>
      <c r="S8111">
        <v>25.9</v>
      </c>
      <c r="T8111">
        <v>1316</v>
      </c>
      <c r="U8111">
        <v>220</v>
      </c>
      <c r="V8111">
        <v>7</v>
      </c>
      <c r="W8111">
        <v>66</v>
      </c>
      <c r="X8111">
        <v>546</v>
      </c>
      <c r="Y8111">
        <v>44</v>
      </c>
      <c r="Z8111">
        <v>209</v>
      </c>
      <c r="AA8111">
        <v>546</v>
      </c>
      <c r="AB8111">
        <v>17.193750000000001</v>
      </c>
      <c r="AC8111">
        <v>1.7875729999999999E-2</v>
      </c>
      <c r="AD8111">
        <v>1.5371319999999999</v>
      </c>
      <c r="AE8111">
        <v>0.61570769999999997</v>
      </c>
      <c r="AF8111">
        <v>117.70829999999999</v>
      </c>
      <c r="AG8111">
        <f>IFERROR(AH8111*0.1, "N/A")</f>
        <v>6.1000000000000005</v>
      </c>
      <c r="AH8111">
        <v>61</v>
      </c>
      <c r="AI8111">
        <v>176.7191</v>
      </c>
      <c r="AJ8111">
        <v>15</v>
      </c>
      <c r="AK8111">
        <v>65.005210000000005</v>
      </c>
    </row>
    <row r="8112" spans="1:37" x14ac:dyDescent="0.3">
      <c r="A8112">
        <v>8111</v>
      </c>
      <c r="B8112">
        <v>85.2</v>
      </c>
      <c r="C8112">
        <v>0.26549200000000001</v>
      </c>
      <c r="D8112">
        <v>7.906542</v>
      </c>
      <c r="E8112" t="s">
        <v>12124</v>
      </c>
      <c r="F8112" t="s">
        <v>12125</v>
      </c>
      <c r="G8112" t="s">
        <v>39</v>
      </c>
      <c r="H8112">
        <v>1982</v>
      </c>
      <c r="I8112">
        <v>27.7</v>
      </c>
      <c r="J8112">
        <v>11.1</v>
      </c>
      <c r="K8112">
        <v>68</v>
      </c>
      <c r="L8112">
        <v>12.66</v>
      </c>
      <c r="M8112">
        <v>36.299999999999997</v>
      </c>
      <c r="N8112">
        <v>20</v>
      </c>
      <c r="O8112">
        <v>16.3</v>
      </c>
      <c r="P8112">
        <v>26</v>
      </c>
      <c r="Q8112">
        <v>28.2</v>
      </c>
      <c r="R8112">
        <v>29.4</v>
      </c>
      <c r="S8112">
        <v>26</v>
      </c>
      <c r="T8112">
        <v>1321</v>
      </c>
      <c r="U8112">
        <v>217</v>
      </c>
      <c r="V8112">
        <v>8</v>
      </c>
      <c r="W8112">
        <v>64</v>
      </c>
      <c r="X8112">
        <v>537</v>
      </c>
      <c r="Y8112">
        <v>47</v>
      </c>
      <c r="Z8112">
        <v>213</v>
      </c>
      <c r="AA8112">
        <v>537</v>
      </c>
      <c r="AB8112">
        <v>7.6163460000000001</v>
      </c>
      <c r="AC8112">
        <v>2.7245510000000001E-2</v>
      </c>
      <c r="AD8112">
        <v>2.541099</v>
      </c>
      <c r="AE8112">
        <v>0.420456</v>
      </c>
      <c r="AF8112">
        <v>90.354780000000005</v>
      </c>
      <c r="AG8112">
        <f>IFERROR(AH8112*0.1, "N/A")</f>
        <v>6</v>
      </c>
      <c r="AH8112">
        <v>60</v>
      </c>
      <c r="AI8112">
        <v>176.08920000000001</v>
      </c>
      <c r="AJ8112">
        <v>14</v>
      </c>
      <c r="AK8112">
        <v>64.780869999999993</v>
      </c>
    </row>
    <row r="8113" spans="1:37" x14ac:dyDescent="0.3">
      <c r="A8113">
        <v>8112</v>
      </c>
      <c r="B8113">
        <v>85.2</v>
      </c>
      <c r="C8113">
        <v>0.270121</v>
      </c>
      <c r="D8113">
        <v>7.8912639999999996</v>
      </c>
      <c r="E8113" t="s">
        <v>12126</v>
      </c>
      <c r="F8113" t="s">
        <v>12127</v>
      </c>
      <c r="G8113" t="s">
        <v>39</v>
      </c>
      <c r="H8113">
        <v>1982</v>
      </c>
      <c r="I8113">
        <v>27.6</v>
      </c>
      <c r="J8113">
        <v>11.1</v>
      </c>
      <c r="K8113">
        <v>68</v>
      </c>
      <c r="L8113">
        <v>12.604329999999999</v>
      </c>
      <c r="M8113">
        <v>36.200000000000003</v>
      </c>
      <c r="N8113">
        <v>19.917909999999999</v>
      </c>
      <c r="O8113">
        <v>16.28209</v>
      </c>
      <c r="P8113">
        <v>25.917909999999999</v>
      </c>
      <c r="Q8113">
        <v>28.017910000000001</v>
      </c>
      <c r="R8113">
        <v>29.317910000000001</v>
      </c>
      <c r="S8113">
        <v>25.917909999999999</v>
      </c>
      <c r="T8113">
        <v>1332.463</v>
      </c>
      <c r="U8113">
        <v>218</v>
      </c>
      <c r="V8113">
        <v>8</v>
      </c>
      <c r="W8113">
        <v>64</v>
      </c>
      <c r="X8113">
        <v>538</v>
      </c>
      <c r="Y8113">
        <v>48</v>
      </c>
      <c r="Z8113">
        <v>218</v>
      </c>
      <c r="AA8113">
        <v>538</v>
      </c>
      <c r="AB8113">
        <v>13.322430000000001</v>
      </c>
      <c r="AC8113">
        <v>2.6554270000000001E-2</v>
      </c>
      <c r="AD8113">
        <v>1.847539</v>
      </c>
      <c r="AE8113">
        <v>0.53124470000000001</v>
      </c>
      <c r="AF8113">
        <v>105.1652</v>
      </c>
      <c r="AG8113">
        <f>IFERROR(AH8113*0.1, "N/A")</f>
        <v>6.186261</v>
      </c>
      <c r="AH8113">
        <v>61.862609999999997</v>
      </c>
      <c r="AI8113">
        <v>232.63239999999999</v>
      </c>
      <c r="AJ8113">
        <v>15.7287</v>
      </c>
      <c r="AK8113">
        <v>62.243479999999998</v>
      </c>
    </row>
    <row r="8114" spans="1:37" x14ac:dyDescent="0.3">
      <c r="A8114">
        <v>8113</v>
      </c>
      <c r="B8114">
        <v>94</v>
      </c>
      <c r="C8114">
        <v>0.16453100000000001</v>
      </c>
      <c r="D8114">
        <v>8.0020469999999992</v>
      </c>
      <c r="E8114" t="s">
        <v>12128</v>
      </c>
      <c r="F8114" t="s">
        <v>12129</v>
      </c>
      <c r="G8114" t="s">
        <v>39</v>
      </c>
      <c r="H8114">
        <v>1982</v>
      </c>
      <c r="I8114">
        <v>27.6</v>
      </c>
      <c r="J8114">
        <v>11.2</v>
      </c>
      <c r="K8114">
        <v>67</v>
      </c>
      <c r="L8114">
        <v>12.76</v>
      </c>
      <c r="M8114">
        <v>36.299999999999997</v>
      </c>
      <c r="N8114">
        <v>19.7</v>
      </c>
      <c r="O8114">
        <v>16.600000000000001</v>
      </c>
      <c r="P8114">
        <v>26</v>
      </c>
      <c r="Q8114">
        <v>28</v>
      </c>
      <c r="R8114">
        <v>29.4</v>
      </c>
      <c r="S8114">
        <v>26</v>
      </c>
      <c r="T8114">
        <v>1299</v>
      </c>
      <c r="U8114">
        <v>222</v>
      </c>
      <c r="V8114">
        <v>7</v>
      </c>
      <c r="W8114">
        <v>68</v>
      </c>
      <c r="X8114">
        <v>556</v>
      </c>
      <c r="Y8114">
        <v>40</v>
      </c>
      <c r="Z8114">
        <v>195</v>
      </c>
      <c r="AA8114">
        <v>556</v>
      </c>
      <c r="AB8114">
        <v>8.7003470000000007</v>
      </c>
      <c r="AC8114">
        <v>8.8771349999999999E-2</v>
      </c>
      <c r="AD8114">
        <v>2.1044890000000001</v>
      </c>
      <c r="AE8114">
        <v>0.62263749999999995</v>
      </c>
      <c r="AF8114">
        <v>100.1019</v>
      </c>
      <c r="AG8114">
        <f>IFERROR(AH8114*0.1, "N/A")</f>
        <v>5.9632120000000004</v>
      </c>
      <c r="AH8114">
        <v>59.63212</v>
      </c>
      <c r="AI8114">
        <v>281.10879999999997</v>
      </c>
      <c r="AJ8114">
        <v>16.28152</v>
      </c>
      <c r="AK8114">
        <v>62.35924</v>
      </c>
    </row>
    <row r="8115" spans="1:37" x14ac:dyDescent="0.3">
      <c r="A8115">
        <v>8114</v>
      </c>
      <c r="B8115">
        <v>81.400000000000006</v>
      </c>
      <c r="C8115">
        <v>3.1593999999999997E-2</v>
      </c>
      <c r="D8115">
        <v>8.5106479999999998</v>
      </c>
      <c r="E8115" t="s">
        <v>12130</v>
      </c>
      <c r="F8115" t="s">
        <v>12131</v>
      </c>
      <c r="G8115" t="s">
        <v>39</v>
      </c>
      <c r="H8115">
        <v>1982</v>
      </c>
      <c r="I8115">
        <v>27.1</v>
      </c>
      <c r="J8115">
        <v>11.4</v>
      </c>
      <c r="K8115">
        <v>67</v>
      </c>
      <c r="L8115">
        <v>14</v>
      </c>
      <c r="M8115">
        <v>36.1</v>
      </c>
      <c r="N8115">
        <v>19.100000000000001</v>
      </c>
      <c r="O8115">
        <v>17</v>
      </c>
      <c r="P8115">
        <v>25.3</v>
      </c>
      <c r="Q8115">
        <v>27.6</v>
      </c>
      <c r="R8115">
        <v>29</v>
      </c>
      <c r="S8115">
        <v>25.3</v>
      </c>
      <c r="T8115">
        <v>1256</v>
      </c>
      <c r="U8115">
        <v>242</v>
      </c>
      <c r="V8115">
        <v>5</v>
      </c>
      <c r="W8115">
        <v>74</v>
      </c>
      <c r="X8115">
        <v>590</v>
      </c>
      <c r="Y8115">
        <v>29</v>
      </c>
      <c r="Z8115">
        <v>171</v>
      </c>
      <c r="AA8115">
        <v>590</v>
      </c>
      <c r="AB8115">
        <v>22.382010000000001</v>
      </c>
      <c r="AC8115">
        <v>1.186416E-2</v>
      </c>
      <c r="AD8115">
        <v>0.71615879999999998</v>
      </c>
      <c r="AE8115">
        <v>0.28342240000000002</v>
      </c>
      <c r="AF8115">
        <v>211.35810000000001</v>
      </c>
      <c r="AG8115">
        <f>IFERROR(AH8115*0.1, "N/A")</f>
        <v>5.7074390000000008</v>
      </c>
      <c r="AH8115">
        <v>57.074390000000001</v>
      </c>
      <c r="AI8115">
        <v>102.4787</v>
      </c>
      <c r="AJ8115">
        <v>12</v>
      </c>
      <c r="AK8115">
        <v>73.641869999999997</v>
      </c>
    </row>
    <row r="8116" spans="1:37" x14ac:dyDescent="0.3">
      <c r="A8116">
        <v>8115</v>
      </c>
      <c r="B8116">
        <v>73.2</v>
      </c>
      <c r="C8116">
        <v>0.32159399999999999</v>
      </c>
      <c r="D8116">
        <v>8.6175909999999991</v>
      </c>
      <c r="E8116" t="s">
        <v>12132</v>
      </c>
      <c r="F8116" t="s">
        <v>12133</v>
      </c>
      <c r="G8116" t="s">
        <v>39</v>
      </c>
      <c r="H8116">
        <v>1982</v>
      </c>
      <c r="I8116">
        <v>27.3</v>
      </c>
      <c r="J8116">
        <v>11.6</v>
      </c>
      <c r="K8116">
        <v>67</v>
      </c>
      <c r="L8116">
        <v>13.69</v>
      </c>
      <c r="M8116">
        <v>36.4</v>
      </c>
      <c r="N8116">
        <v>19.3</v>
      </c>
      <c r="O8116">
        <v>17.100000000000001</v>
      </c>
      <c r="P8116">
        <v>25.5</v>
      </c>
      <c r="Q8116">
        <v>27.8</v>
      </c>
      <c r="R8116">
        <v>29.2</v>
      </c>
      <c r="S8116">
        <v>25.5</v>
      </c>
      <c r="T8116">
        <v>1234</v>
      </c>
      <c r="U8116">
        <v>238</v>
      </c>
      <c r="V8116">
        <v>5</v>
      </c>
      <c r="W8116">
        <v>75</v>
      </c>
      <c r="X8116">
        <v>588</v>
      </c>
      <c r="Y8116">
        <v>30</v>
      </c>
      <c r="Z8116">
        <v>166</v>
      </c>
      <c r="AA8116">
        <v>588</v>
      </c>
      <c r="AB8116">
        <v>16.447399999999998</v>
      </c>
      <c r="AC8116">
        <v>8.4532510000000002E-3</v>
      </c>
      <c r="AD8116">
        <v>4.2671619999999999</v>
      </c>
      <c r="AE8116">
        <v>0.1973114</v>
      </c>
      <c r="AF8116">
        <v>183.29239999999999</v>
      </c>
      <c r="AG8116">
        <f>IFERROR(AH8116*0.1, "N/A")</f>
        <v>6.3000000000000007</v>
      </c>
      <c r="AH8116">
        <v>63</v>
      </c>
      <c r="AI8116">
        <v>269.08100000000002</v>
      </c>
      <c r="AJ8116">
        <v>13.441179999999999</v>
      </c>
      <c r="AK8116">
        <v>65.558819999999997</v>
      </c>
    </row>
    <row r="8117" spans="1:37" x14ac:dyDescent="0.3">
      <c r="A8117">
        <v>8116</v>
      </c>
      <c r="B8117">
        <v>58.2</v>
      </c>
      <c r="C8117">
        <v>0.21654799999999999</v>
      </c>
      <c r="D8117">
        <v>7.619135</v>
      </c>
      <c r="E8117" t="s">
        <v>12134</v>
      </c>
      <c r="F8117" t="s">
        <v>12135</v>
      </c>
      <c r="G8117" t="s">
        <v>39</v>
      </c>
      <c r="H8117">
        <v>1982</v>
      </c>
      <c r="I8117">
        <v>27.744389999999999</v>
      </c>
      <c r="J8117">
        <v>10.9</v>
      </c>
      <c r="K8117">
        <v>68</v>
      </c>
      <c r="L8117">
        <v>11.96454</v>
      </c>
      <c r="M8117">
        <v>36.200000000000003</v>
      </c>
      <c r="N8117">
        <v>20.3</v>
      </c>
      <c r="O8117">
        <v>15.9</v>
      </c>
      <c r="P8117">
        <v>27.2</v>
      </c>
      <c r="Q8117">
        <v>28.2</v>
      </c>
      <c r="R8117">
        <v>29.4</v>
      </c>
      <c r="S8117">
        <v>26.144390000000001</v>
      </c>
      <c r="T8117">
        <v>1362.2249999999999</v>
      </c>
      <c r="U8117">
        <v>204</v>
      </c>
      <c r="V8117">
        <v>12</v>
      </c>
      <c r="W8117">
        <v>58</v>
      </c>
      <c r="X8117">
        <v>515.55610000000001</v>
      </c>
      <c r="Y8117">
        <v>61</v>
      </c>
      <c r="Z8117">
        <v>245.1123</v>
      </c>
      <c r="AA8117">
        <v>495</v>
      </c>
      <c r="AB8117">
        <v>0</v>
      </c>
      <c r="AC8117">
        <v>0.16226489999999999</v>
      </c>
      <c r="AD8117">
        <v>0</v>
      </c>
      <c r="AE8117">
        <v>0</v>
      </c>
      <c r="AF8117">
        <v>73</v>
      </c>
      <c r="AG8117" t="str">
        <f>IFERROR(AH8117*0.1, "N/A")</f>
        <v>N/A</v>
      </c>
      <c r="AH8117" t="s">
        <v>729</v>
      </c>
      <c r="AI8117">
        <v>0</v>
      </c>
      <c r="AJ8117" t="s">
        <v>729</v>
      </c>
      <c r="AK8117" t="s">
        <v>729</v>
      </c>
    </row>
    <row r="8118" spans="1:37" x14ac:dyDescent="0.3">
      <c r="A8118">
        <v>8117</v>
      </c>
      <c r="B8118">
        <v>58.2</v>
      </c>
      <c r="C8118">
        <v>0.18315400000000001</v>
      </c>
      <c r="D8118">
        <v>7.359426</v>
      </c>
      <c r="E8118" t="s">
        <v>12136</v>
      </c>
      <c r="F8118" t="s">
        <v>12137</v>
      </c>
      <c r="G8118" t="s">
        <v>39</v>
      </c>
      <c r="H8118">
        <v>1982</v>
      </c>
      <c r="I8118">
        <v>27.7</v>
      </c>
      <c r="J8118">
        <v>10.8</v>
      </c>
      <c r="K8118">
        <v>70.585790000000003</v>
      </c>
      <c r="L8118">
        <v>11.387280000000001</v>
      </c>
      <c r="M8118">
        <v>35.941420000000001</v>
      </c>
      <c r="N8118">
        <v>20.7</v>
      </c>
      <c r="O8118">
        <v>15.24142</v>
      </c>
      <c r="P8118">
        <v>27.1</v>
      </c>
      <c r="Q8118">
        <v>28.2</v>
      </c>
      <c r="R8118">
        <v>29.2</v>
      </c>
      <c r="S8118">
        <v>26.1</v>
      </c>
      <c r="T8118">
        <v>1374.828</v>
      </c>
      <c r="U8118">
        <v>195</v>
      </c>
      <c r="V8118">
        <v>16</v>
      </c>
      <c r="W8118">
        <v>54</v>
      </c>
      <c r="X8118">
        <v>507</v>
      </c>
      <c r="Y8118">
        <v>75</v>
      </c>
      <c r="Z8118">
        <v>269.41419999999999</v>
      </c>
      <c r="AA8118">
        <v>455.58580000000001</v>
      </c>
      <c r="AB8118">
        <v>0</v>
      </c>
      <c r="AC8118">
        <v>0.19931889999999999</v>
      </c>
      <c r="AD8118">
        <v>0</v>
      </c>
      <c r="AE8118" t="s">
        <v>729</v>
      </c>
      <c r="AF8118">
        <v>73</v>
      </c>
      <c r="AG8118" t="str">
        <f>IFERROR(AH8118*0.1, "N/A")</f>
        <v>N/A</v>
      </c>
      <c r="AH8118" t="s">
        <v>729</v>
      </c>
      <c r="AI8118">
        <v>0</v>
      </c>
      <c r="AJ8118" t="s">
        <v>729</v>
      </c>
      <c r="AK8118" t="s">
        <v>729</v>
      </c>
    </row>
    <row r="8119" spans="1:37" x14ac:dyDescent="0.3">
      <c r="A8119">
        <v>8118</v>
      </c>
      <c r="B8119">
        <v>57.9</v>
      </c>
      <c r="C8119">
        <v>8.6491999999999999E-2</v>
      </c>
      <c r="D8119">
        <v>8.9126449999999995</v>
      </c>
      <c r="E8119" t="s">
        <v>12138</v>
      </c>
      <c r="F8119" t="s">
        <v>12139</v>
      </c>
      <c r="G8119" t="s">
        <v>39</v>
      </c>
      <c r="H8119">
        <v>1982</v>
      </c>
      <c r="I8119">
        <v>27.6</v>
      </c>
      <c r="J8119">
        <v>11.5</v>
      </c>
      <c r="K8119">
        <v>66</v>
      </c>
      <c r="L8119">
        <v>14.81</v>
      </c>
      <c r="M8119">
        <v>36.799999999999997</v>
      </c>
      <c r="N8119">
        <v>19.399999999999999</v>
      </c>
      <c r="O8119">
        <v>17.399999999999999</v>
      </c>
      <c r="P8119">
        <v>25.7</v>
      </c>
      <c r="Q8119">
        <v>28.1</v>
      </c>
      <c r="R8119">
        <v>29.7</v>
      </c>
      <c r="S8119">
        <v>25.7</v>
      </c>
      <c r="T8119">
        <v>1223</v>
      </c>
      <c r="U8119">
        <v>246</v>
      </c>
      <c r="V8119">
        <v>4</v>
      </c>
      <c r="W8119">
        <v>78</v>
      </c>
      <c r="X8119">
        <v>604</v>
      </c>
      <c r="Y8119">
        <v>24</v>
      </c>
      <c r="Z8119">
        <v>150</v>
      </c>
      <c r="AA8119">
        <v>604</v>
      </c>
      <c r="AB8119">
        <v>17.006730000000001</v>
      </c>
      <c r="AC8119">
        <v>0.17021900000000001</v>
      </c>
      <c r="AD8119">
        <v>2.057185</v>
      </c>
      <c r="AE8119">
        <v>0.24423539999999999</v>
      </c>
      <c r="AF8119">
        <v>156.3005</v>
      </c>
      <c r="AG8119">
        <f>IFERROR(AH8119*0.1, "N/A")</f>
        <v>6.4</v>
      </c>
      <c r="AH8119">
        <v>64</v>
      </c>
      <c r="AI8119">
        <v>59.917110000000001</v>
      </c>
      <c r="AJ8119">
        <v>12.03627</v>
      </c>
      <c r="AK8119">
        <v>68.963729999999998</v>
      </c>
    </row>
    <row r="8120" spans="1:37" x14ac:dyDescent="0.3">
      <c r="A8120">
        <v>8119</v>
      </c>
      <c r="B8120">
        <v>1.8</v>
      </c>
      <c r="C8120">
        <v>-2.5</v>
      </c>
      <c r="D8120">
        <v>10.06667</v>
      </c>
      <c r="E8120">
        <f>-2.5-10.066667</f>
        <v>-12.566667000000001</v>
      </c>
      <c r="F8120" t="s">
        <v>12140</v>
      </c>
      <c r="G8120" t="s">
        <v>39</v>
      </c>
      <c r="H8120">
        <v>1974</v>
      </c>
      <c r="I8120">
        <v>27.281410000000001</v>
      </c>
      <c r="J8120">
        <v>11.382099999999999</v>
      </c>
      <c r="K8120">
        <v>67</v>
      </c>
      <c r="L8120">
        <v>15.1815</v>
      </c>
      <c r="M8120">
        <v>36.21463</v>
      </c>
      <c r="N8120">
        <v>19.381409999999999</v>
      </c>
      <c r="O8120">
        <v>16.833220000000001</v>
      </c>
      <c r="P8120">
        <v>25.344919999999998</v>
      </c>
      <c r="Q8120">
        <v>27.51463</v>
      </c>
      <c r="R8120">
        <v>29.414629999999999</v>
      </c>
      <c r="S8120">
        <v>25.344919999999998</v>
      </c>
      <c r="T8120">
        <v>1025.5899999999999</v>
      </c>
      <c r="U8120">
        <v>201.821</v>
      </c>
      <c r="V8120">
        <v>2</v>
      </c>
      <c r="W8120">
        <v>84</v>
      </c>
      <c r="X8120">
        <v>557.67470000000003</v>
      </c>
      <c r="Y8120">
        <v>13</v>
      </c>
      <c r="Z8120">
        <v>117.36490000000001</v>
      </c>
      <c r="AA8120">
        <v>557.67470000000003</v>
      </c>
      <c r="AB8120">
        <v>11.05939</v>
      </c>
      <c r="AC8120">
        <v>6.3685130000000006E-2</v>
      </c>
      <c r="AD8120">
        <v>2.4539719999999998</v>
      </c>
      <c r="AE8120">
        <v>0.77821799999999997</v>
      </c>
      <c r="AF8120">
        <v>316.32870000000003</v>
      </c>
      <c r="AG8120">
        <f>IFERROR(AH8120*0.1, "N/A")</f>
        <v>5.8409640000000005</v>
      </c>
      <c r="AH8120">
        <v>58.409640000000003</v>
      </c>
      <c r="AI8120">
        <v>41.932650000000002</v>
      </c>
      <c r="AJ8120">
        <v>18.445779999999999</v>
      </c>
      <c r="AK8120">
        <v>73.698800000000006</v>
      </c>
    </row>
    <row r="8121" spans="1:37" x14ac:dyDescent="0.3">
      <c r="A8121">
        <v>8120</v>
      </c>
      <c r="B8121">
        <v>9.4</v>
      </c>
      <c r="C8121">
        <v>-2.5</v>
      </c>
      <c r="D8121">
        <v>10.028169999999999</v>
      </c>
      <c r="E8121">
        <f>-2.5-10.028168</f>
        <v>-12.528168000000001</v>
      </c>
      <c r="F8121" t="s">
        <v>12141</v>
      </c>
      <c r="G8121" t="s">
        <v>39</v>
      </c>
      <c r="H8121">
        <v>1974</v>
      </c>
      <c r="I8121">
        <v>27.14828</v>
      </c>
      <c r="J8121">
        <v>11.3</v>
      </c>
      <c r="K8121">
        <v>67</v>
      </c>
      <c r="L8121">
        <v>15.09172</v>
      </c>
      <c r="M8121">
        <v>36.048279999999998</v>
      </c>
      <c r="N8121">
        <v>19.3</v>
      </c>
      <c r="O8121">
        <v>16.748280000000001</v>
      </c>
      <c r="P8121">
        <v>25.248280000000001</v>
      </c>
      <c r="Q8121">
        <v>27.4</v>
      </c>
      <c r="R8121">
        <v>29.348279999999999</v>
      </c>
      <c r="S8121">
        <v>25.248280000000001</v>
      </c>
      <c r="T8121">
        <v>1037.5519999999999</v>
      </c>
      <c r="U8121">
        <v>199.5172</v>
      </c>
      <c r="V8121">
        <v>3</v>
      </c>
      <c r="W8121">
        <v>83</v>
      </c>
      <c r="X8121">
        <v>558.5172</v>
      </c>
      <c r="Y8121">
        <v>15</v>
      </c>
      <c r="Z8121">
        <v>121.5172</v>
      </c>
      <c r="AA8121">
        <v>558.5172</v>
      </c>
      <c r="AB8121">
        <v>7.413964</v>
      </c>
      <c r="AC8121">
        <v>5.9054540000000003E-2</v>
      </c>
      <c r="AD8121">
        <v>1.5996140000000001</v>
      </c>
      <c r="AE8121">
        <v>0.77194859999999998</v>
      </c>
      <c r="AF8121">
        <v>325.83280000000002</v>
      </c>
      <c r="AG8121">
        <f>IFERROR(AH8121*0.1, "N/A")</f>
        <v>5.9462070000000002</v>
      </c>
      <c r="AH8121">
        <v>59.462069999999997</v>
      </c>
      <c r="AI8121">
        <v>211.31460000000001</v>
      </c>
      <c r="AJ8121">
        <v>14.31034</v>
      </c>
      <c r="AK8121">
        <v>62.710340000000002</v>
      </c>
    </row>
    <row r="8122" spans="1:37" x14ac:dyDescent="0.3">
      <c r="A8122">
        <v>8121</v>
      </c>
      <c r="B8122">
        <v>25.1</v>
      </c>
      <c r="C8122">
        <v>-2.623418</v>
      </c>
      <c r="D8122">
        <v>10.219530000000001</v>
      </c>
      <c r="E8122">
        <f>-2.623418-10.219531</f>
        <v>-12.842949000000001</v>
      </c>
      <c r="F8122" t="s">
        <v>12142</v>
      </c>
      <c r="G8122" t="s">
        <v>39</v>
      </c>
      <c r="H8122">
        <v>1974</v>
      </c>
      <c r="I8122">
        <v>27.5</v>
      </c>
      <c r="J8122">
        <v>11.7</v>
      </c>
      <c r="K8122">
        <v>66</v>
      </c>
      <c r="L8122">
        <v>15.72</v>
      </c>
      <c r="M8122">
        <v>36.700000000000003</v>
      </c>
      <c r="N8122">
        <v>19.2</v>
      </c>
      <c r="O8122">
        <v>17.5</v>
      </c>
      <c r="P8122">
        <v>25.5</v>
      </c>
      <c r="Q8122">
        <v>27.6</v>
      </c>
      <c r="R8122">
        <v>29.7</v>
      </c>
      <c r="S8122">
        <v>25.5</v>
      </c>
      <c r="T8122">
        <v>995</v>
      </c>
      <c r="U8122">
        <v>218</v>
      </c>
      <c r="V8122">
        <v>2</v>
      </c>
      <c r="W8122">
        <v>89</v>
      </c>
      <c r="X8122">
        <v>568</v>
      </c>
      <c r="Y8122">
        <v>13</v>
      </c>
      <c r="Z8122">
        <v>105</v>
      </c>
      <c r="AA8122">
        <v>568</v>
      </c>
      <c r="AB8122">
        <v>15.303100000000001</v>
      </c>
      <c r="AC8122">
        <v>2.372647E-2</v>
      </c>
      <c r="AD8122">
        <v>1.366822</v>
      </c>
      <c r="AE8122">
        <v>0.47087879999999999</v>
      </c>
      <c r="AF8122">
        <v>310.91579999999999</v>
      </c>
      <c r="AG8122">
        <f>IFERROR(AH8122*0.1, "N/A")</f>
        <v>6.0716490000000007</v>
      </c>
      <c r="AH8122">
        <v>60.71649</v>
      </c>
      <c r="AI8122">
        <v>203.33320000000001</v>
      </c>
      <c r="AJ8122">
        <v>15.750859999999999</v>
      </c>
      <c r="AK8122">
        <v>60.644329999999997</v>
      </c>
    </row>
    <row r="8123" spans="1:37" x14ac:dyDescent="0.3">
      <c r="A8123">
        <v>8122</v>
      </c>
      <c r="B8123">
        <v>30.8</v>
      </c>
      <c r="C8123">
        <v>-2.5168439999999999</v>
      </c>
      <c r="D8123">
        <v>10.01825</v>
      </c>
      <c r="E8123">
        <f>-2.516844-10.018246</f>
        <v>-12.53509</v>
      </c>
      <c r="F8123" t="s">
        <v>12143</v>
      </c>
      <c r="G8123" t="s">
        <v>39</v>
      </c>
      <c r="H8123">
        <v>1974</v>
      </c>
      <c r="I8123">
        <v>27.32892</v>
      </c>
      <c r="J8123">
        <v>11.32892</v>
      </c>
      <c r="K8123">
        <v>67</v>
      </c>
      <c r="L8123">
        <v>15.122170000000001</v>
      </c>
      <c r="M8123">
        <v>36.228920000000002</v>
      </c>
      <c r="N8123">
        <v>19.5</v>
      </c>
      <c r="O8123">
        <v>16.728919999999999</v>
      </c>
      <c r="P8123">
        <v>25.428920000000002</v>
      </c>
      <c r="Q8123">
        <v>27.6</v>
      </c>
      <c r="R8123">
        <v>29.5</v>
      </c>
      <c r="S8123">
        <v>25.428920000000002</v>
      </c>
      <c r="T8123">
        <v>1034.133</v>
      </c>
      <c r="U8123">
        <v>199</v>
      </c>
      <c r="V8123">
        <v>2</v>
      </c>
      <c r="W8123">
        <v>83</v>
      </c>
      <c r="X8123">
        <v>559</v>
      </c>
      <c r="Y8123">
        <v>14</v>
      </c>
      <c r="Z8123">
        <v>120.4217</v>
      </c>
      <c r="AA8123">
        <v>559</v>
      </c>
      <c r="AB8123">
        <v>0.93855040000000001</v>
      </c>
      <c r="AC8123">
        <v>2.5233059999999998</v>
      </c>
      <c r="AD8123">
        <v>2.0693290000000002</v>
      </c>
      <c r="AE8123">
        <v>0.74228550000000004</v>
      </c>
      <c r="AF8123">
        <v>303.57659999999998</v>
      </c>
      <c r="AG8123">
        <f>IFERROR(AH8123*0.1, "N/A")</f>
        <v>5.8865750000000006</v>
      </c>
      <c r="AH8123">
        <v>58.865749999999998</v>
      </c>
      <c r="AI8123">
        <v>200.02879999999999</v>
      </c>
      <c r="AJ8123">
        <v>13.500859999999999</v>
      </c>
      <c r="AK8123">
        <v>63.604129999999998</v>
      </c>
    </row>
    <row r="8124" spans="1:37" x14ac:dyDescent="0.3">
      <c r="A8124">
        <v>8123</v>
      </c>
      <c r="B8124">
        <v>24.8</v>
      </c>
      <c r="C8124">
        <v>-2.5913469999999998</v>
      </c>
      <c r="D8124">
        <v>10.062480000000001</v>
      </c>
      <c r="E8124">
        <f>-2.591347-10.062481</f>
        <v>-12.653828000000001</v>
      </c>
      <c r="F8124" t="s">
        <v>12144</v>
      </c>
      <c r="G8124" t="s">
        <v>39</v>
      </c>
      <c r="H8124">
        <v>1974</v>
      </c>
      <c r="I8124">
        <v>27.624140000000001</v>
      </c>
      <c r="J8124">
        <v>11.475860000000001</v>
      </c>
      <c r="K8124">
        <v>66.758619999999993</v>
      </c>
      <c r="L8124">
        <v>15.27345</v>
      </c>
      <c r="M8124">
        <v>36.700000000000003</v>
      </c>
      <c r="N8124">
        <v>19.600000000000001</v>
      </c>
      <c r="O8124">
        <v>17.100000000000001</v>
      </c>
      <c r="P8124">
        <v>25.724139999999998</v>
      </c>
      <c r="Q8124">
        <v>27.8</v>
      </c>
      <c r="R8124">
        <v>29.82414</v>
      </c>
      <c r="S8124">
        <v>25.724139999999998</v>
      </c>
      <c r="T8124">
        <v>1023.5170000000001</v>
      </c>
      <c r="U8124">
        <v>203</v>
      </c>
      <c r="V8124">
        <v>2</v>
      </c>
      <c r="W8124">
        <v>84.758619999999993</v>
      </c>
      <c r="X8124">
        <v>562.7586</v>
      </c>
      <c r="Y8124">
        <v>14</v>
      </c>
      <c r="Z8124">
        <v>115</v>
      </c>
      <c r="AA8124">
        <v>562.7586</v>
      </c>
      <c r="AB8124">
        <v>1.902077</v>
      </c>
      <c r="AC8124">
        <v>0.65090550000000003</v>
      </c>
      <c r="AD8124">
        <v>1.4020349999999999</v>
      </c>
      <c r="AE8124">
        <v>0.31113109999999999</v>
      </c>
      <c r="AF8124">
        <v>276.56380000000001</v>
      </c>
      <c r="AG8124">
        <f>IFERROR(AH8124*0.1, "N/A")</f>
        <v>6.0736210000000002</v>
      </c>
      <c r="AH8124">
        <v>60.73621</v>
      </c>
      <c r="AI8124">
        <v>257.51870000000002</v>
      </c>
      <c r="AJ8124">
        <v>16.110340000000001</v>
      </c>
      <c r="AK8124">
        <v>59.591380000000001</v>
      </c>
    </row>
    <row r="8125" spans="1:37" x14ac:dyDescent="0.3">
      <c r="A8125">
        <v>8124</v>
      </c>
      <c r="B8125">
        <v>24.8</v>
      </c>
      <c r="C8125">
        <v>-2.381694</v>
      </c>
      <c r="D8125">
        <v>9.9816470000000006</v>
      </c>
      <c r="E8125">
        <f>-2.381694-9.981647</f>
        <v>-12.363341</v>
      </c>
      <c r="F8125" t="s">
        <v>12145</v>
      </c>
      <c r="G8125" t="s">
        <v>39</v>
      </c>
      <c r="H8125">
        <v>1974</v>
      </c>
      <c r="I8125">
        <v>27.2</v>
      </c>
      <c r="J8125">
        <v>11.3</v>
      </c>
      <c r="K8125">
        <v>67</v>
      </c>
      <c r="L8125">
        <v>15.18</v>
      </c>
      <c r="M8125">
        <v>36.1</v>
      </c>
      <c r="N8125">
        <v>19.3</v>
      </c>
      <c r="O8125">
        <v>16.8</v>
      </c>
      <c r="P8125">
        <v>25.3</v>
      </c>
      <c r="Q8125">
        <v>27.4</v>
      </c>
      <c r="R8125">
        <v>29.3</v>
      </c>
      <c r="S8125">
        <v>25.3</v>
      </c>
      <c r="T8125">
        <v>1043</v>
      </c>
      <c r="U8125">
        <v>200</v>
      </c>
      <c r="V8125">
        <v>2</v>
      </c>
      <c r="W8125">
        <v>84</v>
      </c>
      <c r="X8125">
        <v>559</v>
      </c>
      <c r="Y8125">
        <v>14</v>
      </c>
      <c r="Z8125">
        <v>124</v>
      </c>
      <c r="AA8125">
        <v>559</v>
      </c>
      <c r="AB8125">
        <v>12.490869999999999</v>
      </c>
      <c r="AC8125">
        <v>1.843906E-2</v>
      </c>
      <c r="AD8125">
        <v>2.228383</v>
      </c>
      <c r="AE8125">
        <v>0.43461949999999999</v>
      </c>
      <c r="AF8125">
        <v>326.93790000000001</v>
      </c>
      <c r="AG8125">
        <f>IFERROR(AH8125*0.1, "N/A")</f>
        <v>6.0732759999999999</v>
      </c>
      <c r="AH8125">
        <v>60.732759999999999</v>
      </c>
      <c r="AI8125">
        <v>224.47239999999999</v>
      </c>
      <c r="AJ8125">
        <v>16.317240000000002</v>
      </c>
      <c r="AK8125">
        <v>59.45</v>
      </c>
    </row>
    <row r="8126" spans="1:37" x14ac:dyDescent="0.3">
      <c r="A8126">
        <v>8125</v>
      </c>
      <c r="B8126">
        <v>18.399999999999999</v>
      </c>
      <c r="C8126">
        <v>-2.453716</v>
      </c>
      <c r="D8126">
        <v>9.9926449999999996</v>
      </c>
      <c r="E8126">
        <f>-2.453716-9.992645</f>
        <v>-12.446361</v>
      </c>
      <c r="F8126" t="s">
        <v>12146</v>
      </c>
      <c r="G8126" t="s">
        <v>39</v>
      </c>
      <c r="H8126">
        <v>1974</v>
      </c>
      <c r="I8126">
        <v>27.40241</v>
      </c>
      <c r="J8126">
        <v>11.3</v>
      </c>
      <c r="K8126">
        <v>66.024050000000003</v>
      </c>
      <c r="L8126">
        <v>15.258319999999999</v>
      </c>
      <c r="M8126">
        <v>36.4</v>
      </c>
      <c r="N8126">
        <v>19.502410000000001</v>
      </c>
      <c r="O8126">
        <v>16.897590000000001</v>
      </c>
      <c r="P8126">
        <v>25.502410000000001</v>
      </c>
      <c r="Q8126">
        <v>27.602409999999999</v>
      </c>
      <c r="R8126">
        <v>29.602409999999999</v>
      </c>
      <c r="S8126">
        <v>25.502410000000001</v>
      </c>
      <c r="T8126">
        <v>1033.0239999999999</v>
      </c>
      <c r="U8126">
        <v>198</v>
      </c>
      <c r="V8126">
        <v>2</v>
      </c>
      <c r="W8126">
        <v>83</v>
      </c>
      <c r="X8126">
        <v>557</v>
      </c>
      <c r="Y8126">
        <v>14</v>
      </c>
      <c r="Z8126">
        <v>120</v>
      </c>
      <c r="AA8126">
        <v>557</v>
      </c>
      <c r="AB8126">
        <v>4.1563749999999997</v>
      </c>
      <c r="AC8126">
        <v>1.0977710000000001</v>
      </c>
      <c r="AD8126">
        <v>2.0249100000000002</v>
      </c>
      <c r="AE8126">
        <v>0.4826781</v>
      </c>
      <c r="AF8126">
        <v>278.23540000000003</v>
      </c>
      <c r="AG8126">
        <f>IFERROR(AH8126*0.1, "N/A")</f>
        <v>5.7948450000000005</v>
      </c>
      <c r="AH8126">
        <v>57.948450000000001</v>
      </c>
      <c r="AI8126">
        <v>150.45660000000001</v>
      </c>
      <c r="AJ8126">
        <v>25.204470000000001</v>
      </c>
      <c r="AK8126">
        <v>44.396909999999998</v>
      </c>
    </row>
    <row r="8127" spans="1:37" x14ac:dyDescent="0.3">
      <c r="A8127">
        <v>8126</v>
      </c>
      <c r="B8127">
        <v>9.6</v>
      </c>
      <c r="C8127">
        <v>-2.5534189999999999</v>
      </c>
      <c r="D8127">
        <v>10.11035</v>
      </c>
      <c r="E8127">
        <f>-2.553419-10.110348</f>
        <v>-12.663767</v>
      </c>
      <c r="F8127" t="s">
        <v>12147</v>
      </c>
      <c r="G8127" t="s">
        <v>39</v>
      </c>
      <c r="H8127">
        <v>1974</v>
      </c>
      <c r="I8127">
        <v>27.5</v>
      </c>
      <c r="J8127">
        <v>11.5</v>
      </c>
      <c r="K8127">
        <v>67</v>
      </c>
      <c r="L8127">
        <v>15.34</v>
      </c>
      <c r="M8127">
        <v>36.5</v>
      </c>
      <c r="N8127">
        <v>19.399999999999999</v>
      </c>
      <c r="O8127">
        <v>17.100000000000001</v>
      </c>
      <c r="P8127">
        <v>25.5</v>
      </c>
      <c r="Q8127">
        <v>27.7</v>
      </c>
      <c r="R8127">
        <v>29.6</v>
      </c>
      <c r="S8127">
        <v>25.5</v>
      </c>
      <c r="T8127">
        <v>1018</v>
      </c>
      <c r="U8127">
        <v>207</v>
      </c>
      <c r="V8127">
        <v>2</v>
      </c>
      <c r="W8127">
        <v>86</v>
      </c>
      <c r="X8127">
        <v>563</v>
      </c>
      <c r="Y8127">
        <v>13</v>
      </c>
      <c r="Z8127">
        <v>113</v>
      </c>
      <c r="AA8127">
        <v>563</v>
      </c>
      <c r="AB8127">
        <v>17.79571</v>
      </c>
      <c r="AC8127">
        <v>9.5478119999999993E-3</v>
      </c>
      <c r="AD8127">
        <v>1.50041</v>
      </c>
      <c r="AE8127">
        <v>0.59731279999999998</v>
      </c>
      <c r="AF8127">
        <v>304.9828</v>
      </c>
      <c r="AG8127">
        <f>IFERROR(AH8127*0.1, "N/A")</f>
        <v>6.292427</v>
      </c>
      <c r="AH8127">
        <v>62.92427</v>
      </c>
      <c r="AI8127">
        <v>111.0312</v>
      </c>
      <c r="AJ8127">
        <v>16.855419999999999</v>
      </c>
      <c r="AK8127">
        <v>58.796900000000001</v>
      </c>
    </row>
    <row r="8128" spans="1:37" x14ac:dyDescent="0.3">
      <c r="A8128">
        <v>8127</v>
      </c>
      <c r="B8128">
        <v>8.6</v>
      </c>
      <c r="C8128">
        <v>-2.4671289999999999</v>
      </c>
      <c r="D8128">
        <v>10.00065</v>
      </c>
      <c r="E8128">
        <f>-2.467129-10.000649</f>
        <v>-12.467777999999999</v>
      </c>
      <c r="F8128" t="s">
        <v>12148</v>
      </c>
      <c r="G8128" t="s">
        <v>39</v>
      </c>
      <c r="H8128">
        <v>1974</v>
      </c>
      <c r="I8128">
        <v>27.30517</v>
      </c>
      <c r="J8128">
        <v>11.3</v>
      </c>
      <c r="K8128">
        <v>67</v>
      </c>
      <c r="L8128">
        <v>15.165520000000001</v>
      </c>
      <c r="M8128">
        <v>36.205170000000003</v>
      </c>
      <c r="N8128">
        <v>19.478449999999999</v>
      </c>
      <c r="O8128">
        <v>16.72672</v>
      </c>
      <c r="P8128">
        <v>25.405169999999998</v>
      </c>
      <c r="Q8128">
        <v>27.57845</v>
      </c>
      <c r="R8128">
        <v>29.50517</v>
      </c>
      <c r="S8128">
        <v>25.405169999999998</v>
      </c>
      <c r="T8128">
        <v>1035.2159999999999</v>
      </c>
      <c r="U8128">
        <v>198.21549999999999</v>
      </c>
      <c r="V8128">
        <v>2</v>
      </c>
      <c r="W8128">
        <v>83</v>
      </c>
      <c r="X8128">
        <v>557.21550000000002</v>
      </c>
      <c r="Y8128">
        <v>14</v>
      </c>
      <c r="Z8128">
        <v>121</v>
      </c>
      <c r="AA8128">
        <v>557.21550000000002</v>
      </c>
      <c r="AB8128">
        <v>13.64447</v>
      </c>
      <c r="AC8128">
        <v>2.161745E-2</v>
      </c>
      <c r="AD8128">
        <v>1.3034809999999999</v>
      </c>
      <c r="AE8128">
        <v>0.65720029999999996</v>
      </c>
      <c r="AF8128">
        <v>299.24310000000003</v>
      </c>
      <c r="AG8128">
        <f>IFERROR(AH8128*0.1, "N/A")</f>
        <v>5.8993099999999998</v>
      </c>
      <c r="AH8128">
        <v>58.993099999999998</v>
      </c>
      <c r="AI8128">
        <v>205.67769999999999</v>
      </c>
      <c r="AJ8128">
        <v>13.43793</v>
      </c>
      <c r="AK8128">
        <v>66.529309999999995</v>
      </c>
    </row>
    <row r="8129" spans="1:37" x14ac:dyDescent="0.3">
      <c r="A8129">
        <v>8128</v>
      </c>
      <c r="B8129">
        <v>5.7</v>
      </c>
      <c r="C8129">
        <v>-2.3729429999999998</v>
      </c>
      <c r="D8129">
        <v>10.06223</v>
      </c>
      <c r="E8129">
        <f>-2.372943-10.062232</f>
        <v>-12.435174999999999</v>
      </c>
      <c r="F8129" t="s">
        <v>12149</v>
      </c>
      <c r="G8129" t="s">
        <v>39</v>
      </c>
      <c r="H8129">
        <v>1974</v>
      </c>
      <c r="I8129">
        <v>27.2</v>
      </c>
      <c r="J8129">
        <v>11.4</v>
      </c>
      <c r="K8129">
        <v>67</v>
      </c>
      <c r="L8129">
        <v>15.37</v>
      </c>
      <c r="M8129">
        <v>36.200000000000003</v>
      </c>
      <c r="N8129">
        <v>19.2</v>
      </c>
      <c r="O8129">
        <v>17</v>
      </c>
      <c r="P8129">
        <v>25.2</v>
      </c>
      <c r="Q8129">
        <v>27.4</v>
      </c>
      <c r="R8129">
        <v>29.4</v>
      </c>
      <c r="S8129">
        <v>25.2</v>
      </c>
      <c r="T8129">
        <v>1032</v>
      </c>
      <c r="U8129">
        <v>207</v>
      </c>
      <c r="V8129">
        <v>2</v>
      </c>
      <c r="W8129">
        <v>84</v>
      </c>
      <c r="X8129">
        <v>562</v>
      </c>
      <c r="Y8129">
        <v>12</v>
      </c>
      <c r="Z8129">
        <v>119</v>
      </c>
      <c r="AA8129">
        <v>562</v>
      </c>
      <c r="AB8129">
        <v>18.64931</v>
      </c>
      <c r="AC8129">
        <v>1.8602690000000002E-2</v>
      </c>
      <c r="AD8129">
        <v>1.8583190000000001</v>
      </c>
      <c r="AE8129">
        <v>0.31395709999999999</v>
      </c>
      <c r="AF8129">
        <v>329.0086</v>
      </c>
      <c r="AG8129">
        <f>IFERROR(AH8129*0.1, "N/A")</f>
        <v>5.928522000000001</v>
      </c>
      <c r="AH8129">
        <v>59.285220000000002</v>
      </c>
      <c r="AI8129">
        <v>154.8261</v>
      </c>
      <c r="AJ8129">
        <v>16.682130000000001</v>
      </c>
      <c r="AK8129">
        <v>60.87285</v>
      </c>
    </row>
    <row r="8130" spans="1:37" x14ac:dyDescent="0.3">
      <c r="A8130">
        <v>8129</v>
      </c>
      <c r="B8130">
        <v>4.8</v>
      </c>
      <c r="C8130">
        <v>-2.5219339999999999</v>
      </c>
      <c r="D8130">
        <v>10.064819999999999</v>
      </c>
      <c r="E8130">
        <f>-2.521934-10.064816</f>
        <v>-12.58675</v>
      </c>
      <c r="F8130" t="s">
        <v>12150</v>
      </c>
      <c r="G8130" t="s">
        <v>39</v>
      </c>
      <c r="H8130">
        <v>1974</v>
      </c>
      <c r="I8130">
        <v>27.5</v>
      </c>
      <c r="J8130">
        <v>11.4</v>
      </c>
      <c r="K8130">
        <v>67</v>
      </c>
      <c r="L8130">
        <v>15.17</v>
      </c>
      <c r="M8130">
        <v>36.5</v>
      </c>
      <c r="N8130">
        <v>19.600000000000001</v>
      </c>
      <c r="O8130">
        <v>16.899999999999999</v>
      </c>
      <c r="P8130">
        <v>25.6</v>
      </c>
      <c r="Q8130">
        <v>27.7</v>
      </c>
      <c r="R8130">
        <v>29.6</v>
      </c>
      <c r="S8130">
        <v>25.6</v>
      </c>
      <c r="T8130">
        <v>1021</v>
      </c>
      <c r="U8130">
        <v>201</v>
      </c>
      <c r="V8130">
        <v>2</v>
      </c>
      <c r="W8130">
        <v>84</v>
      </c>
      <c r="X8130">
        <v>557</v>
      </c>
      <c r="Y8130">
        <v>13</v>
      </c>
      <c r="Z8130">
        <v>116</v>
      </c>
      <c r="AA8130">
        <v>557</v>
      </c>
      <c r="AB8130">
        <v>1.671311</v>
      </c>
      <c r="AC8130">
        <v>9.7743319999999995E-2</v>
      </c>
      <c r="AD8130">
        <v>1.52535</v>
      </c>
      <c r="AE8130">
        <v>0.71682179999999995</v>
      </c>
      <c r="AF8130">
        <v>288.0206</v>
      </c>
      <c r="AG8130">
        <f>IFERROR(AH8130*0.1, "N/A")</f>
        <v>6.2</v>
      </c>
      <c r="AH8130">
        <v>62</v>
      </c>
      <c r="AI8130">
        <v>66.047619999999995</v>
      </c>
      <c r="AJ8130">
        <v>18.98969</v>
      </c>
      <c r="AK8130">
        <v>57.989690000000003</v>
      </c>
    </row>
    <row r="8131" spans="1:37" x14ac:dyDescent="0.3">
      <c r="A8131">
        <v>8130</v>
      </c>
      <c r="B8131">
        <v>3.6</v>
      </c>
      <c r="C8131">
        <v>-2.4816159999999998</v>
      </c>
      <c r="D8131">
        <v>10.03159</v>
      </c>
      <c r="E8131">
        <f>-2.481616-10.031594</f>
        <v>-12.513210000000001</v>
      </c>
      <c r="F8131" t="s">
        <v>12151</v>
      </c>
      <c r="G8131" t="s">
        <v>39</v>
      </c>
      <c r="H8131">
        <v>1974</v>
      </c>
      <c r="I8131">
        <v>27.1</v>
      </c>
      <c r="J8131">
        <v>11.3</v>
      </c>
      <c r="K8131">
        <v>67</v>
      </c>
      <c r="L8131">
        <v>15.25</v>
      </c>
      <c r="M8131">
        <v>36</v>
      </c>
      <c r="N8131">
        <v>19.3</v>
      </c>
      <c r="O8131">
        <v>16.7</v>
      </c>
      <c r="P8131">
        <v>25.2</v>
      </c>
      <c r="Q8131">
        <v>27.4</v>
      </c>
      <c r="R8131">
        <v>29.3</v>
      </c>
      <c r="S8131">
        <v>25.2</v>
      </c>
      <c r="T8131">
        <v>1038</v>
      </c>
      <c r="U8131">
        <v>200</v>
      </c>
      <c r="V8131">
        <v>2</v>
      </c>
      <c r="W8131">
        <v>83</v>
      </c>
      <c r="X8131">
        <v>559</v>
      </c>
      <c r="Y8131">
        <v>14</v>
      </c>
      <c r="Z8131">
        <v>122</v>
      </c>
      <c r="AA8131">
        <v>559</v>
      </c>
      <c r="AB8131">
        <v>8.5053289999999997</v>
      </c>
      <c r="AC8131">
        <v>4.7881380000000001E-2</v>
      </c>
      <c r="AD8131">
        <v>3.0621</v>
      </c>
      <c r="AE8131">
        <v>0.76195389999999996</v>
      </c>
      <c r="AF8131">
        <v>326.3408</v>
      </c>
      <c r="AG8131">
        <f>IFERROR(AH8131*0.1, "N/A")</f>
        <v>6</v>
      </c>
      <c r="AH8131">
        <v>60</v>
      </c>
      <c r="AI8131">
        <v>45.889249999999997</v>
      </c>
      <c r="AJ8131">
        <v>13.98451</v>
      </c>
      <c r="AK8131">
        <v>60.296039999999998</v>
      </c>
    </row>
    <row r="8132" spans="1:37" x14ac:dyDescent="0.3">
      <c r="A8132">
        <v>8131</v>
      </c>
      <c r="B8132">
        <v>0</v>
      </c>
      <c r="C8132">
        <v>-2.5213130000000001</v>
      </c>
      <c r="D8132">
        <v>10.10314</v>
      </c>
      <c r="E8132">
        <f>-2.521313-10.103145</f>
        <v>-12.624458000000001</v>
      </c>
      <c r="F8132" t="s">
        <v>12152</v>
      </c>
      <c r="G8132" t="s">
        <v>37</v>
      </c>
      <c r="H8132">
        <v>1974</v>
      </c>
      <c r="I8132">
        <v>27.6</v>
      </c>
      <c r="J8132">
        <v>11.4</v>
      </c>
      <c r="K8132">
        <v>66</v>
      </c>
      <c r="L8132">
        <v>15.26</v>
      </c>
      <c r="M8132">
        <v>36.6</v>
      </c>
      <c r="N8132">
        <v>19.5</v>
      </c>
      <c r="O8132">
        <v>17.100000000000001</v>
      </c>
      <c r="P8132">
        <v>25.7</v>
      </c>
      <c r="Q8132">
        <v>27.8</v>
      </c>
      <c r="R8132">
        <v>29.8</v>
      </c>
      <c r="S8132">
        <v>25.7</v>
      </c>
      <c r="T8132">
        <v>1014</v>
      </c>
      <c r="U8132">
        <v>205</v>
      </c>
      <c r="V8132">
        <v>2</v>
      </c>
      <c r="W8132">
        <v>85</v>
      </c>
      <c r="X8132">
        <v>558</v>
      </c>
      <c r="Y8132">
        <v>13</v>
      </c>
      <c r="Z8132">
        <v>113</v>
      </c>
      <c r="AA8132">
        <v>558</v>
      </c>
      <c r="AB8132">
        <v>7.3832719999999998</v>
      </c>
      <c r="AC8132">
        <v>2.5572979999999999E-2</v>
      </c>
      <c r="AD8132">
        <v>1.894557</v>
      </c>
      <c r="AE8132">
        <v>0.72841489999999998</v>
      </c>
      <c r="AF8132">
        <v>286.53280000000001</v>
      </c>
      <c r="AG8132">
        <f>IFERROR(AH8132*0.1, "N/A")</f>
        <v>6.1037930000000005</v>
      </c>
      <c r="AH8132">
        <v>61.037930000000003</v>
      </c>
      <c r="AI8132">
        <v>124.4204</v>
      </c>
      <c r="AJ8132">
        <v>17.389659999999999</v>
      </c>
      <c r="AK8132">
        <v>52.74483</v>
      </c>
    </row>
    <row r="8133" spans="1:37" x14ac:dyDescent="0.3">
      <c r="A8133">
        <v>8132</v>
      </c>
      <c r="B8133">
        <v>20</v>
      </c>
      <c r="C8133">
        <v>-2.7012909999999999</v>
      </c>
      <c r="D8133">
        <v>10.081630000000001</v>
      </c>
      <c r="E8133">
        <f>-2.701291-10.081634</f>
        <v>-12.782924999999999</v>
      </c>
      <c r="F8133" t="s">
        <v>12153</v>
      </c>
      <c r="G8133" t="s">
        <v>39</v>
      </c>
      <c r="H8133">
        <v>1974</v>
      </c>
      <c r="I8133">
        <v>27.9</v>
      </c>
      <c r="J8133">
        <v>11.6</v>
      </c>
      <c r="K8133">
        <v>66</v>
      </c>
      <c r="L8133">
        <v>15.49</v>
      </c>
      <c r="M8133">
        <v>37.1</v>
      </c>
      <c r="N8133">
        <v>19.7</v>
      </c>
      <c r="O8133">
        <v>17.399999999999999</v>
      </c>
      <c r="P8133">
        <v>26</v>
      </c>
      <c r="Q8133">
        <v>28</v>
      </c>
      <c r="R8133">
        <v>30.1</v>
      </c>
      <c r="S8133">
        <v>26</v>
      </c>
      <c r="T8133">
        <v>1023</v>
      </c>
      <c r="U8133">
        <v>207</v>
      </c>
      <c r="V8133">
        <v>2</v>
      </c>
      <c r="W8133">
        <v>86</v>
      </c>
      <c r="X8133">
        <v>572</v>
      </c>
      <c r="Y8133">
        <v>14</v>
      </c>
      <c r="Z8133">
        <v>112</v>
      </c>
      <c r="AA8133">
        <v>572</v>
      </c>
      <c r="AB8133">
        <v>1.7113339999999999</v>
      </c>
      <c r="AC8133">
        <v>2.5497200000000002</v>
      </c>
      <c r="AD8133">
        <v>1.7221109999999999</v>
      </c>
      <c r="AE8133">
        <v>0.26696940000000002</v>
      </c>
      <c r="AF8133">
        <v>253.17869999999999</v>
      </c>
      <c r="AG8133">
        <f>IFERROR(AH8133*0.1, "N/A")</f>
        <v>6.2</v>
      </c>
      <c r="AH8133">
        <v>62</v>
      </c>
      <c r="AI8133">
        <v>220.06129999999999</v>
      </c>
      <c r="AJ8133">
        <v>20</v>
      </c>
      <c r="AK8133">
        <v>51.998280000000001</v>
      </c>
    </row>
    <row r="8134" spans="1:37" x14ac:dyDescent="0.3">
      <c r="A8134">
        <v>8133</v>
      </c>
      <c r="B8134">
        <v>20.6</v>
      </c>
      <c r="C8134">
        <v>-2.731506</v>
      </c>
      <c r="D8134">
        <v>10.293810000000001</v>
      </c>
      <c r="E8134">
        <f>-2.731506-10.293812</f>
        <v>-13.025318</v>
      </c>
      <c r="F8134" t="s">
        <v>12154</v>
      </c>
      <c r="G8134" t="s">
        <v>39</v>
      </c>
      <c r="H8134">
        <v>1974</v>
      </c>
      <c r="I8134">
        <v>27.9</v>
      </c>
      <c r="J8134">
        <v>11.8</v>
      </c>
      <c r="K8134">
        <v>66</v>
      </c>
      <c r="L8134">
        <v>15.85</v>
      </c>
      <c r="M8134">
        <v>37.200000000000003</v>
      </c>
      <c r="N8134">
        <v>19.399999999999999</v>
      </c>
      <c r="O8134">
        <v>17.8</v>
      </c>
      <c r="P8134">
        <v>25.9</v>
      </c>
      <c r="Q8134">
        <v>27.8</v>
      </c>
      <c r="R8134">
        <v>30.1</v>
      </c>
      <c r="S8134">
        <v>25.9</v>
      </c>
      <c r="T8134">
        <v>965</v>
      </c>
      <c r="U8134">
        <v>225</v>
      </c>
      <c r="V8134">
        <v>1</v>
      </c>
      <c r="W8134">
        <v>92</v>
      </c>
      <c r="X8134">
        <v>570</v>
      </c>
      <c r="Y8134">
        <v>11</v>
      </c>
      <c r="Z8134">
        <v>93</v>
      </c>
      <c r="AA8134">
        <v>570</v>
      </c>
      <c r="AB8134">
        <v>8.094341</v>
      </c>
      <c r="AC8134">
        <v>2.5932650000000002E-2</v>
      </c>
      <c r="AD8134">
        <v>0.86312679999999997</v>
      </c>
      <c r="AE8134">
        <v>0.64939670000000005</v>
      </c>
      <c r="AF8134">
        <v>260.15809999999999</v>
      </c>
      <c r="AG8134">
        <f>IFERROR(AH8134*0.1, "N/A")</f>
        <v>6.2</v>
      </c>
      <c r="AH8134">
        <v>62</v>
      </c>
      <c r="AI8134">
        <v>126.7809</v>
      </c>
      <c r="AJ8134">
        <v>14.957039999999999</v>
      </c>
      <c r="AK8134">
        <v>60.042960000000001</v>
      </c>
    </row>
    <row r="8135" spans="1:37" x14ac:dyDescent="0.3">
      <c r="A8135">
        <v>8134</v>
      </c>
      <c r="B8135">
        <v>17.5</v>
      </c>
      <c r="C8135">
        <v>-2.5000149999999999</v>
      </c>
      <c r="D8135">
        <v>10.054690000000001</v>
      </c>
      <c r="E8135">
        <f>-2.500015-10.054687</f>
        <v>-12.554701999999999</v>
      </c>
      <c r="F8135" t="s">
        <v>12155</v>
      </c>
      <c r="G8135" t="s">
        <v>39</v>
      </c>
      <c r="H8135">
        <v>1974</v>
      </c>
      <c r="I8135">
        <v>27.249140000000001</v>
      </c>
      <c r="J8135">
        <v>11.3</v>
      </c>
      <c r="K8135">
        <v>67</v>
      </c>
      <c r="L8135">
        <v>15.225429999999999</v>
      </c>
      <c r="M8135">
        <v>36.149140000000003</v>
      </c>
      <c r="N8135">
        <v>19.399999999999999</v>
      </c>
      <c r="O8135">
        <v>16.749140000000001</v>
      </c>
      <c r="P8135">
        <v>25.349139999999998</v>
      </c>
      <c r="Q8135">
        <v>27.5</v>
      </c>
      <c r="R8135">
        <v>29.44914</v>
      </c>
      <c r="S8135">
        <v>25.349139999999998</v>
      </c>
      <c r="T8135">
        <v>1028</v>
      </c>
      <c r="U8135">
        <v>200</v>
      </c>
      <c r="V8135">
        <v>2</v>
      </c>
      <c r="W8135">
        <v>84</v>
      </c>
      <c r="X8135">
        <v>557</v>
      </c>
      <c r="Y8135">
        <v>13</v>
      </c>
      <c r="Z8135">
        <v>118</v>
      </c>
      <c r="AA8135">
        <v>557</v>
      </c>
      <c r="AB8135">
        <v>13.38711</v>
      </c>
      <c r="AC8135">
        <v>4.8706329999999999E-2</v>
      </c>
      <c r="AD8135">
        <v>1.9002650000000001</v>
      </c>
      <c r="AE8135">
        <v>0.81042119999999995</v>
      </c>
      <c r="AF8135">
        <v>320.42959999999999</v>
      </c>
      <c r="AG8135">
        <f>IFERROR(AH8135*0.1, "N/A")</f>
        <v>6</v>
      </c>
      <c r="AH8135">
        <v>60</v>
      </c>
      <c r="AI8135">
        <v>181.39439999999999</v>
      </c>
      <c r="AJ8135">
        <v>19</v>
      </c>
      <c r="AK8135">
        <v>64.525769999999994</v>
      </c>
    </row>
    <row r="8136" spans="1:37" x14ac:dyDescent="0.3">
      <c r="A8136">
        <v>8135</v>
      </c>
      <c r="B8136">
        <v>34.200000000000003</v>
      </c>
      <c r="C8136">
        <v>0.5333</v>
      </c>
      <c r="D8136">
        <v>5.9</v>
      </c>
      <c r="E8136" t="s">
        <v>12156</v>
      </c>
      <c r="F8136" t="s">
        <v>12157</v>
      </c>
      <c r="G8136" t="s">
        <v>39</v>
      </c>
      <c r="H8136">
        <v>1956</v>
      </c>
      <c r="I8136">
        <v>26.94003</v>
      </c>
      <c r="J8136">
        <v>7.0842660000000004</v>
      </c>
      <c r="K8136">
        <v>67.842659999999995</v>
      </c>
      <c r="L8136">
        <v>12.00615</v>
      </c>
      <c r="M8136">
        <v>32.27046</v>
      </c>
      <c r="N8136">
        <v>21.870450000000002</v>
      </c>
      <c r="O8136">
        <v>10.4</v>
      </c>
      <c r="P8136">
        <v>27.35577</v>
      </c>
      <c r="Q8136">
        <v>27.640039999999999</v>
      </c>
      <c r="R8136">
        <v>28.2958</v>
      </c>
      <c r="S8136">
        <v>25.140039999999999</v>
      </c>
      <c r="T8136">
        <v>895.48779999999999</v>
      </c>
      <c r="U8136">
        <v>191</v>
      </c>
      <c r="V8136">
        <v>7</v>
      </c>
      <c r="W8136">
        <v>72</v>
      </c>
      <c r="X8136">
        <v>454.25349999999997</v>
      </c>
      <c r="Y8136">
        <v>49</v>
      </c>
      <c r="Z8136">
        <v>210.69579999999999</v>
      </c>
      <c r="AA8136">
        <v>168.5385</v>
      </c>
      <c r="AB8136">
        <v>13.446680000000001</v>
      </c>
      <c r="AC8136">
        <v>9.42518E-3</v>
      </c>
      <c r="AD8136">
        <v>1.5999080000000001</v>
      </c>
      <c r="AE8136">
        <v>0.53527939999999996</v>
      </c>
      <c r="AF8136">
        <v>16.739509999999999</v>
      </c>
      <c r="AG8136">
        <f>IFERROR(AH8136*0.1, "N/A")</f>
        <v>5.9718530000000003</v>
      </c>
      <c r="AH8136">
        <v>59.718530000000001</v>
      </c>
      <c r="AI8136">
        <v>185.71809999999999</v>
      </c>
      <c r="AJ8136">
        <v>24.246500000000001</v>
      </c>
      <c r="AK8136">
        <v>53.993009999999998</v>
      </c>
    </row>
    <row r="8137" spans="1:37" x14ac:dyDescent="0.3">
      <c r="A8137">
        <v>8136</v>
      </c>
      <c r="B8137">
        <v>11.1</v>
      </c>
      <c r="C8137">
        <v>0.55000000000000004</v>
      </c>
      <c r="D8137">
        <v>5.9333</v>
      </c>
      <c r="E8137" t="s">
        <v>12158</v>
      </c>
      <c r="F8137" t="s">
        <v>12159</v>
      </c>
      <c r="G8137" t="s">
        <v>39</v>
      </c>
      <c r="H8137">
        <v>1956</v>
      </c>
      <c r="I8137">
        <v>27.071149999999999</v>
      </c>
      <c r="J8137">
        <v>7.2</v>
      </c>
      <c r="K8137">
        <v>67.875870000000006</v>
      </c>
      <c r="L8137">
        <v>12.13378</v>
      </c>
      <c r="M8137">
        <v>32.412410000000001</v>
      </c>
      <c r="N8137">
        <v>21.9</v>
      </c>
      <c r="O8137">
        <v>10.512409999999999</v>
      </c>
      <c r="P8137">
        <v>27.471150000000002</v>
      </c>
      <c r="Q8137">
        <v>27.787590000000002</v>
      </c>
      <c r="R8137">
        <v>28.4</v>
      </c>
      <c r="S8137">
        <v>25.216429999999999</v>
      </c>
      <c r="T8137">
        <v>905.02269999999999</v>
      </c>
      <c r="U8137">
        <v>190</v>
      </c>
      <c r="V8137">
        <v>8</v>
      </c>
      <c r="W8137">
        <v>70</v>
      </c>
      <c r="X8137">
        <v>455.1241</v>
      </c>
      <c r="Y8137">
        <v>52</v>
      </c>
      <c r="Z8137">
        <v>214.2483</v>
      </c>
      <c r="AA8137">
        <v>170.03149999999999</v>
      </c>
      <c r="AB8137">
        <v>0.1054196</v>
      </c>
      <c r="AC8137">
        <v>0.4272011</v>
      </c>
      <c r="AD8137">
        <v>1.7490399999999999</v>
      </c>
      <c r="AE8137">
        <v>0.40959390000000001</v>
      </c>
      <c r="AF8137">
        <v>1.2097899999999999</v>
      </c>
      <c r="AG8137">
        <f>IFERROR(AH8137*0.1, "N/A")</f>
        <v>6</v>
      </c>
      <c r="AH8137">
        <v>60</v>
      </c>
      <c r="AI8137">
        <v>275.67149999999998</v>
      </c>
      <c r="AJ8137">
        <v>25.288460000000001</v>
      </c>
      <c r="AK8137">
        <v>55.134619999999998</v>
      </c>
    </row>
    <row r="8138" spans="1:37" x14ac:dyDescent="0.3">
      <c r="A8138">
        <v>8137</v>
      </c>
      <c r="B8138">
        <v>14.9</v>
      </c>
      <c r="C8138">
        <v>0.58330000000000004</v>
      </c>
      <c r="D8138">
        <v>5.9832999999999998</v>
      </c>
      <c r="E8138" t="s">
        <v>12160</v>
      </c>
      <c r="F8138" t="s">
        <v>12161</v>
      </c>
      <c r="G8138" t="s">
        <v>39</v>
      </c>
      <c r="H8138">
        <v>1956</v>
      </c>
      <c r="I8138">
        <v>27.1</v>
      </c>
      <c r="J8138">
        <v>7.4</v>
      </c>
      <c r="K8138">
        <v>68.979089999999999</v>
      </c>
      <c r="L8138">
        <v>11.70768</v>
      </c>
      <c r="M8138">
        <v>32.700000000000003</v>
      </c>
      <c r="N8138">
        <v>21.997910000000001</v>
      </c>
      <c r="O8138">
        <v>10.70209</v>
      </c>
      <c r="P8138">
        <v>27.521429999999999</v>
      </c>
      <c r="Q8138">
        <v>27.876480000000001</v>
      </c>
      <c r="R8138">
        <v>28.5</v>
      </c>
      <c r="S8138">
        <v>25.4</v>
      </c>
      <c r="T8138">
        <v>922.08360000000005</v>
      </c>
      <c r="U8138">
        <v>188</v>
      </c>
      <c r="V8138">
        <v>9</v>
      </c>
      <c r="W8138">
        <v>68.979089999999999</v>
      </c>
      <c r="X8138">
        <v>456.76479999999998</v>
      </c>
      <c r="Y8138">
        <v>56</v>
      </c>
      <c r="Z8138">
        <v>221</v>
      </c>
      <c r="AA8138">
        <v>173.27699999999999</v>
      </c>
      <c r="AB8138">
        <v>2.8663759999999998</v>
      </c>
      <c r="AC8138">
        <v>1.173128E-2</v>
      </c>
      <c r="AD8138">
        <v>1.039957</v>
      </c>
      <c r="AE8138">
        <v>0.75660720000000004</v>
      </c>
      <c r="AF8138">
        <v>4.4721250000000001</v>
      </c>
      <c r="AG8138">
        <f>IFERROR(AH8138*0.1, "N/A")</f>
        <v>5.5477350000000003</v>
      </c>
      <c r="AH8138">
        <v>55.477350000000001</v>
      </c>
      <c r="AI8138">
        <v>87.586209999999994</v>
      </c>
      <c r="AJ8138">
        <v>28.574909999999999</v>
      </c>
      <c r="AK8138">
        <v>48.724739999999997</v>
      </c>
    </row>
    <row r="8139" spans="1:37" x14ac:dyDescent="0.3">
      <c r="A8139">
        <v>8138</v>
      </c>
      <c r="B8139">
        <v>69.8</v>
      </c>
      <c r="C8139">
        <v>0.5242</v>
      </c>
      <c r="D8139">
        <v>5.9881000000000002</v>
      </c>
      <c r="E8139" t="s">
        <v>12162</v>
      </c>
      <c r="F8139" t="s">
        <v>12163</v>
      </c>
      <c r="G8139" t="s">
        <v>39</v>
      </c>
      <c r="H8139">
        <v>1956</v>
      </c>
      <c r="I8139">
        <v>27.1</v>
      </c>
      <c r="J8139">
        <v>7.6</v>
      </c>
      <c r="K8139">
        <v>69</v>
      </c>
      <c r="L8139">
        <v>12.035220000000001</v>
      </c>
      <c r="M8139">
        <v>32.799999999999997</v>
      </c>
      <c r="N8139">
        <v>21.816109999999998</v>
      </c>
      <c r="O8139">
        <v>10.983890000000001</v>
      </c>
      <c r="P8139">
        <v>27.5</v>
      </c>
      <c r="Q8139">
        <v>27.8</v>
      </c>
      <c r="R8139">
        <v>28.5</v>
      </c>
      <c r="S8139">
        <v>25.316109999999998</v>
      </c>
      <c r="T8139">
        <v>933.51660000000004</v>
      </c>
      <c r="U8139">
        <v>188</v>
      </c>
      <c r="V8139">
        <v>10</v>
      </c>
      <c r="W8139">
        <v>67</v>
      </c>
      <c r="X8139">
        <v>456</v>
      </c>
      <c r="Y8139">
        <v>59</v>
      </c>
      <c r="Z8139">
        <v>224</v>
      </c>
      <c r="AA8139">
        <v>177.67779999999999</v>
      </c>
      <c r="AB8139">
        <v>6.5350260000000002</v>
      </c>
      <c r="AC8139">
        <v>1.1956609999999999E-2</v>
      </c>
      <c r="AD8139">
        <v>0.77788009999999996</v>
      </c>
      <c r="AE8139">
        <v>0.42033359999999997</v>
      </c>
      <c r="AF8139">
        <v>6.6672500000000001</v>
      </c>
      <c r="AG8139">
        <f>IFERROR(AH8139*0.1, "N/A")</f>
        <v>5.7</v>
      </c>
      <c r="AH8139">
        <v>57</v>
      </c>
      <c r="AI8139">
        <v>142.42359999999999</v>
      </c>
      <c r="AJ8139">
        <v>23.483360000000001</v>
      </c>
      <c r="AK8139">
        <v>50</v>
      </c>
    </row>
    <row r="8140" spans="1:37" x14ac:dyDescent="0.3">
      <c r="A8140">
        <v>8139</v>
      </c>
      <c r="B8140">
        <v>12.5</v>
      </c>
      <c r="C8140">
        <v>0.58760000000000001</v>
      </c>
      <c r="D8140">
        <v>5.9987000000000004</v>
      </c>
      <c r="E8140" t="s">
        <v>12164</v>
      </c>
      <c r="F8140" t="s">
        <v>12165</v>
      </c>
      <c r="G8140" t="s">
        <v>39</v>
      </c>
      <c r="H8140">
        <v>1956</v>
      </c>
      <c r="I8140">
        <v>27.1</v>
      </c>
      <c r="J8140">
        <v>7.5</v>
      </c>
      <c r="K8140">
        <v>70</v>
      </c>
      <c r="L8140">
        <v>12</v>
      </c>
      <c r="M8140">
        <v>32.700000000000003</v>
      </c>
      <c r="N8140">
        <v>22</v>
      </c>
      <c r="O8140">
        <v>10.7</v>
      </c>
      <c r="P8140">
        <v>27.5</v>
      </c>
      <c r="Q8140">
        <v>27.8</v>
      </c>
      <c r="R8140">
        <v>28.5</v>
      </c>
      <c r="S8140">
        <v>25.3</v>
      </c>
      <c r="T8140">
        <v>929</v>
      </c>
      <c r="U8140">
        <v>188</v>
      </c>
      <c r="V8140">
        <v>9</v>
      </c>
      <c r="W8140">
        <v>68</v>
      </c>
      <c r="X8140">
        <v>458</v>
      </c>
      <c r="Y8140">
        <v>57</v>
      </c>
      <c r="Z8140">
        <v>224</v>
      </c>
      <c r="AA8140">
        <v>175</v>
      </c>
      <c r="AB8140">
        <v>7.4408380000000003</v>
      </c>
      <c r="AC8140">
        <v>1.108373E-2</v>
      </c>
      <c r="AD8140">
        <v>2.6177199999999998</v>
      </c>
      <c r="AE8140">
        <v>0.7781865</v>
      </c>
      <c r="AF8140">
        <v>8.0174520000000005</v>
      </c>
      <c r="AG8140">
        <f>IFERROR(AH8140*0.1, "N/A")</f>
        <v>6.0233860000000004</v>
      </c>
      <c r="AH8140">
        <v>60.23386</v>
      </c>
      <c r="AI8140">
        <v>228.93459999999999</v>
      </c>
      <c r="AJ8140">
        <v>29.261780000000002</v>
      </c>
      <c r="AK8140">
        <v>45.837699999999998</v>
      </c>
    </row>
    <row r="8141" spans="1:37" x14ac:dyDescent="0.3">
      <c r="A8141">
        <v>8140</v>
      </c>
      <c r="B8141">
        <v>92.7</v>
      </c>
      <c r="C8141">
        <v>0.50270000000000004</v>
      </c>
      <c r="D8141">
        <v>6.0004999999999997</v>
      </c>
      <c r="E8141" t="s">
        <v>12166</v>
      </c>
      <c r="F8141" t="s">
        <v>12167</v>
      </c>
      <c r="G8141" t="s">
        <v>39</v>
      </c>
      <c r="H8141">
        <v>1956</v>
      </c>
      <c r="I8141">
        <v>27.19651</v>
      </c>
      <c r="J8141">
        <v>7.7965099999999996</v>
      </c>
      <c r="K8141">
        <v>70</v>
      </c>
      <c r="L8141">
        <v>11.6214</v>
      </c>
      <c r="M8141">
        <v>32.996510000000001</v>
      </c>
      <c r="N8141">
        <v>21.9</v>
      </c>
      <c r="O8141">
        <v>11.09651</v>
      </c>
      <c r="P8141">
        <v>27.5</v>
      </c>
      <c r="Q8141">
        <v>27.896509999999999</v>
      </c>
      <c r="R8141">
        <v>28.5</v>
      </c>
      <c r="S8141">
        <v>25.496510000000001</v>
      </c>
      <c r="T8141">
        <v>939.03489999999999</v>
      </c>
      <c r="U8141">
        <v>187.03489999999999</v>
      </c>
      <c r="V8141">
        <v>10</v>
      </c>
      <c r="W8141">
        <v>66</v>
      </c>
      <c r="X8141">
        <v>455.03489999999999</v>
      </c>
      <c r="Y8141">
        <v>61</v>
      </c>
      <c r="Z8141">
        <v>226</v>
      </c>
      <c r="AA8141">
        <v>178.03489999999999</v>
      </c>
      <c r="AB8141">
        <v>3.610995</v>
      </c>
      <c r="AC8141">
        <v>1.6573629999999999E-2</v>
      </c>
      <c r="AD8141">
        <v>2.146658</v>
      </c>
      <c r="AE8141">
        <v>0.56212859999999998</v>
      </c>
      <c r="AF8141">
        <v>4.7731240000000001</v>
      </c>
      <c r="AG8141">
        <f>IFERROR(AH8141*0.1, "N/A")</f>
        <v>5.3000000000000007</v>
      </c>
      <c r="AH8141">
        <v>53</v>
      </c>
      <c r="AI8141">
        <v>176.22030000000001</v>
      </c>
      <c r="AJ8141">
        <v>21.16056</v>
      </c>
      <c r="AK8141">
        <v>54</v>
      </c>
    </row>
    <row r="8142" spans="1:37" x14ac:dyDescent="0.3">
      <c r="A8142">
        <v>8141</v>
      </c>
      <c r="B8142">
        <v>29</v>
      </c>
      <c r="C8142">
        <v>0.55059999999999998</v>
      </c>
      <c r="D8142">
        <v>6.0084999999999997</v>
      </c>
      <c r="E8142" t="s">
        <v>12168</v>
      </c>
      <c r="F8142" t="s">
        <v>12169</v>
      </c>
      <c r="G8142" t="s">
        <v>39</v>
      </c>
      <c r="H8142">
        <v>1956</v>
      </c>
      <c r="I8142">
        <v>27.193359999999998</v>
      </c>
      <c r="J8142">
        <v>7.6933559999999996</v>
      </c>
      <c r="K8142">
        <v>69.001750000000001</v>
      </c>
      <c r="L8142">
        <v>11.87121</v>
      </c>
      <c r="M8142">
        <v>32.986710000000002</v>
      </c>
      <c r="N8142">
        <v>21.900169999999999</v>
      </c>
      <c r="O8142">
        <v>11.086539999999999</v>
      </c>
      <c r="P8142">
        <v>27.593360000000001</v>
      </c>
      <c r="Q8142">
        <v>27.893360000000001</v>
      </c>
      <c r="R8142">
        <v>28.593360000000001</v>
      </c>
      <c r="S8142">
        <v>25.493359999999999</v>
      </c>
      <c r="T8142">
        <v>937.80240000000003</v>
      </c>
      <c r="U8142">
        <v>187</v>
      </c>
      <c r="V8142">
        <v>10</v>
      </c>
      <c r="W8142">
        <v>66.066429999999997</v>
      </c>
      <c r="X8142">
        <v>456</v>
      </c>
      <c r="Y8142">
        <v>59.933570000000003</v>
      </c>
      <c r="Z8142">
        <v>225.93360000000001</v>
      </c>
      <c r="AA8142">
        <v>178.93360000000001</v>
      </c>
      <c r="AB8142">
        <v>4.7526229999999998</v>
      </c>
      <c r="AC8142">
        <v>5.914146E-2</v>
      </c>
      <c r="AD8142">
        <v>1.256829</v>
      </c>
      <c r="AE8142">
        <v>0.66253980000000001</v>
      </c>
      <c r="AF8142">
        <v>5.2587409999999997</v>
      </c>
      <c r="AG8142">
        <f>IFERROR(AH8142*0.1, "N/A")</f>
        <v>5.6051280000000006</v>
      </c>
      <c r="AH8142">
        <v>56.051279999999998</v>
      </c>
      <c r="AI8142">
        <v>240.22749999999999</v>
      </c>
      <c r="AJ8142">
        <v>30.025639999999999</v>
      </c>
      <c r="AK8142">
        <v>48</v>
      </c>
    </row>
    <row r="8143" spans="1:37" x14ac:dyDescent="0.3">
      <c r="A8143">
        <v>8142</v>
      </c>
      <c r="B8143">
        <v>73.3</v>
      </c>
      <c r="C8143">
        <v>0.48330000000000001</v>
      </c>
      <c r="D8143">
        <v>6.0332999999999997</v>
      </c>
      <c r="E8143" t="s">
        <v>12170</v>
      </c>
      <c r="F8143" t="s">
        <v>12171</v>
      </c>
      <c r="G8143" t="s">
        <v>39</v>
      </c>
      <c r="H8143">
        <v>1956</v>
      </c>
      <c r="I8143">
        <v>27.2</v>
      </c>
      <c r="J8143">
        <v>8</v>
      </c>
      <c r="K8143">
        <v>70</v>
      </c>
      <c r="L8143">
        <v>11.77209</v>
      </c>
      <c r="M8143">
        <v>33.200000000000003</v>
      </c>
      <c r="N8143">
        <v>21.815359999999998</v>
      </c>
      <c r="O8143">
        <v>11.384639999999999</v>
      </c>
      <c r="P8143">
        <v>27.515360000000001</v>
      </c>
      <c r="Q8143">
        <v>27.91536</v>
      </c>
      <c r="R8143">
        <v>28.6</v>
      </c>
      <c r="S8143">
        <v>25.5</v>
      </c>
      <c r="T8143">
        <v>959.46420000000001</v>
      </c>
      <c r="U8143">
        <v>187</v>
      </c>
      <c r="V8143">
        <v>11</v>
      </c>
      <c r="W8143">
        <v>64.307159999999996</v>
      </c>
      <c r="X8143">
        <v>456.69279999999998</v>
      </c>
      <c r="Y8143">
        <v>64.692840000000004</v>
      </c>
      <c r="Z8143">
        <v>232.38570000000001</v>
      </c>
      <c r="AA8143">
        <v>184.38570000000001</v>
      </c>
      <c r="AB8143">
        <v>1.0924959999999999</v>
      </c>
      <c r="AC8143">
        <v>3.3056229999999999E-2</v>
      </c>
      <c r="AD8143">
        <v>1.607931</v>
      </c>
      <c r="AE8143">
        <v>0.43736209999999998</v>
      </c>
      <c r="AF8143">
        <v>3.5130889999999999</v>
      </c>
      <c r="AG8143">
        <f>IFERROR(AH8143*0.1, "N/A")</f>
        <v>5.4</v>
      </c>
      <c r="AH8143">
        <v>54</v>
      </c>
      <c r="AI8143">
        <v>214.66730000000001</v>
      </c>
      <c r="AJ8143">
        <v>24.460730000000002</v>
      </c>
      <c r="AK8143">
        <v>51.05236</v>
      </c>
    </row>
    <row r="8144" spans="1:37" x14ac:dyDescent="0.3">
      <c r="A8144">
        <v>8143</v>
      </c>
      <c r="B8144">
        <v>21.8</v>
      </c>
      <c r="C8144">
        <v>0.40179999999999999</v>
      </c>
      <c r="D8144">
        <v>6.0678999999999998</v>
      </c>
      <c r="E8144" t="s">
        <v>12172</v>
      </c>
      <c r="F8144" t="s">
        <v>12173</v>
      </c>
      <c r="G8144" t="s">
        <v>39</v>
      </c>
      <c r="H8144">
        <v>1956</v>
      </c>
      <c r="I8144">
        <v>27.3</v>
      </c>
      <c r="J8144">
        <v>8.5</v>
      </c>
      <c r="K8144">
        <v>72</v>
      </c>
      <c r="L8144">
        <v>11.45</v>
      </c>
      <c r="M8144">
        <v>33.6</v>
      </c>
      <c r="N8144">
        <v>21.8</v>
      </c>
      <c r="O8144">
        <v>11.8</v>
      </c>
      <c r="P8144">
        <v>27.6</v>
      </c>
      <c r="Q8144">
        <v>28</v>
      </c>
      <c r="R8144">
        <v>28.7</v>
      </c>
      <c r="S8144">
        <v>25.7</v>
      </c>
      <c r="T8144">
        <v>991</v>
      </c>
      <c r="U8144">
        <v>187</v>
      </c>
      <c r="V8144">
        <v>13</v>
      </c>
      <c r="W8144">
        <v>61</v>
      </c>
      <c r="X8144">
        <v>458</v>
      </c>
      <c r="Y8144">
        <v>73</v>
      </c>
      <c r="Z8144">
        <v>241</v>
      </c>
      <c r="AA8144">
        <v>192</v>
      </c>
      <c r="AB8144">
        <v>7.9661999999999997</v>
      </c>
      <c r="AC8144">
        <v>8.5009260000000007E-3</v>
      </c>
      <c r="AD8144">
        <v>0.53744650000000005</v>
      </c>
      <c r="AE8144">
        <v>0.64930200000000005</v>
      </c>
      <c r="AF8144">
        <v>8.7267949999999992</v>
      </c>
      <c r="AG8144">
        <f>IFERROR(AH8144*0.1, "N/A")</f>
        <v>5.9397550000000008</v>
      </c>
      <c r="AH8144">
        <v>59.397550000000003</v>
      </c>
      <c r="AI8144">
        <v>158.75919999999999</v>
      </c>
      <c r="AJ8144">
        <v>33.833629999999999</v>
      </c>
      <c r="AK8144">
        <v>41.868650000000002</v>
      </c>
    </row>
    <row r="8145" spans="1:37" x14ac:dyDescent="0.3">
      <c r="A8145">
        <v>8144</v>
      </c>
      <c r="B8145">
        <v>2.1</v>
      </c>
      <c r="C8145">
        <v>-1.7166669999999999</v>
      </c>
      <c r="D8145">
        <v>8.0500000000000007</v>
      </c>
      <c r="E8145">
        <f>-1.716667-8.05</f>
        <v>-9.766667</v>
      </c>
      <c r="F8145" t="s">
        <v>12174</v>
      </c>
      <c r="G8145" t="s">
        <v>39</v>
      </c>
      <c r="H8145">
        <v>1966</v>
      </c>
      <c r="I8145">
        <v>26.40277</v>
      </c>
      <c r="J8145">
        <v>10.784079999999999</v>
      </c>
      <c r="K8145">
        <v>69</v>
      </c>
      <c r="L8145">
        <v>12.999599999999999</v>
      </c>
      <c r="M8145">
        <v>35.151380000000003</v>
      </c>
      <c r="N8145">
        <v>19.63495</v>
      </c>
      <c r="O8145">
        <v>15.516439999999999</v>
      </c>
      <c r="P8145">
        <v>26.767299999999999</v>
      </c>
      <c r="Q8145">
        <v>26.967300000000002</v>
      </c>
      <c r="R8145">
        <v>28.202770000000001</v>
      </c>
      <c r="S8145">
        <v>24.750869999999999</v>
      </c>
      <c r="T8145">
        <v>1320.8030000000001</v>
      </c>
      <c r="U8145">
        <v>220.97229999999999</v>
      </c>
      <c r="V8145">
        <v>7</v>
      </c>
      <c r="W8145">
        <v>64</v>
      </c>
      <c r="X8145">
        <v>501.59</v>
      </c>
      <c r="Y8145">
        <v>41.131489999999999</v>
      </c>
      <c r="Z8145">
        <v>258.13670000000002</v>
      </c>
      <c r="AA8145">
        <v>465.29930000000002</v>
      </c>
      <c r="AB8145">
        <v>0.86418980000000001</v>
      </c>
      <c r="AC8145">
        <v>16.977989999999998</v>
      </c>
      <c r="AD8145">
        <v>2.5478019999999999</v>
      </c>
      <c r="AE8145">
        <v>0.76348819999999995</v>
      </c>
      <c r="AF8145">
        <v>287.70589999999999</v>
      </c>
      <c r="AG8145">
        <f>IFERROR(AH8145*0.1, "N/A")</f>
        <v>5.8000000000000007</v>
      </c>
      <c r="AH8145">
        <v>58</v>
      </c>
      <c r="AI8145">
        <v>172.6977</v>
      </c>
      <c r="AJ8145">
        <v>19.480969999999999</v>
      </c>
      <c r="AK8145">
        <v>61.480969999999999</v>
      </c>
    </row>
    <row r="8146" spans="1:37" x14ac:dyDescent="0.3">
      <c r="A8146">
        <v>8145</v>
      </c>
      <c r="B8146">
        <v>1.4</v>
      </c>
      <c r="C8146">
        <v>-2.8833329999999999</v>
      </c>
      <c r="D8146">
        <v>7.2833329999999998</v>
      </c>
      <c r="E8146">
        <f>-2.883333-7.283333</f>
        <v>-10.166665999999999</v>
      </c>
      <c r="F8146" t="s">
        <v>12175</v>
      </c>
      <c r="G8146" t="s">
        <v>39</v>
      </c>
      <c r="H8146">
        <v>1966</v>
      </c>
      <c r="I8146">
        <v>26.266380000000002</v>
      </c>
      <c r="J8146">
        <v>9.6999999999999993</v>
      </c>
      <c r="K8146">
        <v>67.733450000000005</v>
      </c>
      <c r="L8146">
        <v>11.57019</v>
      </c>
      <c r="M8146">
        <v>34.227179999999997</v>
      </c>
      <c r="N8146">
        <v>20.046690000000002</v>
      </c>
      <c r="O8146">
        <v>14.180490000000001</v>
      </c>
      <c r="P8146">
        <v>26.673349999999999</v>
      </c>
      <c r="Q8146">
        <v>26.773340000000001</v>
      </c>
      <c r="R8146">
        <v>27.773340000000001</v>
      </c>
      <c r="S8146">
        <v>24.66638</v>
      </c>
      <c r="T8146">
        <v>1178.181</v>
      </c>
      <c r="U8146">
        <v>190</v>
      </c>
      <c r="V8146">
        <v>7.7282229999999998</v>
      </c>
      <c r="W8146">
        <v>60.27178</v>
      </c>
      <c r="X8146">
        <v>476.9948</v>
      </c>
      <c r="Y8146">
        <v>61.72822</v>
      </c>
      <c r="Z8146">
        <v>280.53309999999999</v>
      </c>
      <c r="AA8146">
        <v>321.80489999999998</v>
      </c>
      <c r="AB8146">
        <v>1.3287439999999999</v>
      </c>
      <c r="AC8146">
        <v>0.65279640000000005</v>
      </c>
      <c r="AD8146">
        <v>2.7743730000000002</v>
      </c>
      <c r="AE8146">
        <v>0.74947940000000002</v>
      </c>
      <c r="AF8146">
        <v>260.13940000000002</v>
      </c>
      <c r="AG8146">
        <f>IFERROR(AH8146*0.1, "N/A")</f>
        <v>6.0017420000000001</v>
      </c>
      <c r="AH8146">
        <v>60.017420000000001</v>
      </c>
      <c r="AI8146">
        <v>189.72800000000001</v>
      </c>
      <c r="AJ8146">
        <v>17.02439</v>
      </c>
      <c r="AK8146">
        <v>61.242159999999998</v>
      </c>
    </row>
    <row r="8147" spans="1:37" x14ac:dyDescent="0.3">
      <c r="A8147">
        <v>8146</v>
      </c>
      <c r="B8147">
        <v>8.3000000000000007</v>
      </c>
      <c r="C8147">
        <v>-2.0297670000000001</v>
      </c>
      <c r="D8147">
        <v>7.0857830000000002</v>
      </c>
      <c r="E8147">
        <f>-2.029767-7.085783</f>
        <v>-9.1155500000000007</v>
      </c>
      <c r="F8147" t="s">
        <v>12176</v>
      </c>
      <c r="G8147" t="s">
        <v>39</v>
      </c>
      <c r="H8147">
        <v>1966</v>
      </c>
      <c r="I8147">
        <v>25.5</v>
      </c>
      <c r="J8147">
        <v>9.4</v>
      </c>
      <c r="K8147">
        <v>70</v>
      </c>
      <c r="L8147">
        <v>10.75</v>
      </c>
      <c r="M8147">
        <v>33</v>
      </c>
      <c r="N8147">
        <v>19.7</v>
      </c>
      <c r="O8147">
        <v>13.3</v>
      </c>
      <c r="P8147">
        <v>26</v>
      </c>
      <c r="Q8147">
        <v>25.8</v>
      </c>
      <c r="R8147">
        <v>26.9</v>
      </c>
      <c r="S8147">
        <v>24.1</v>
      </c>
      <c r="T8147">
        <v>1273</v>
      </c>
      <c r="U8147">
        <v>189</v>
      </c>
      <c r="V8147">
        <v>11</v>
      </c>
      <c r="W8147">
        <v>57</v>
      </c>
      <c r="X8147">
        <v>483</v>
      </c>
      <c r="Y8147">
        <v>75</v>
      </c>
      <c r="Z8147">
        <v>303</v>
      </c>
      <c r="AA8147">
        <v>353</v>
      </c>
      <c r="AB8147">
        <v>27.34122</v>
      </c>
      <c r="AC8147">
        <v>1.5816859999999999E-2</v>
      </c>
      <c r="AD8147">
        <v>4.3229410000000001</v>
      </c>
      <c r="AE8147">
        <v>0.80608270000000004</v>
      </c>
      <c r="AF8147">
        <v>291.08699999999999</v>
      </c>
      <c r="AG8147">
        <f>IFERROR(AH8147*0.1, "N/A")</f>
        <v>5.5132170000000009</v>
      </c>
      <c r="AH8147">
        <v>55.132170000000002</v>
      </c>
      <c r="AI8147">
        <v>175.4289</v>
      </c>
      <c r="AJ8147">
        <v>17.763480000000001</v>
      </c>
      <c r="AK8147">
        <v>63.1113</v>
      </c>
    </row>
    <row r="8148" spans="1:37" x14ac:dyDescent="0.3">
      <c r="A8148">
        <v>8147</v>
      </c>
      <c r="B8148">
        <v>3.1</v>
      </c>
      <c r="C8148">
        <v>-2.09979</v>
      </c>
      <c r="D8148">
        <v>7.1666400000000001</v>
      </c>
      <c r="E8148">
        <f>-2.09979-7.16664</f>
        <v>-9.2664299999999997</v>
      </c>
      <c r="F8148" t="s">
        <v>12177</v>
      </c>
      <c r="G8148" t="s">
        <v>39</v>
      </c>
      <c r="H8148">
        <v>1966</v>
      </c>
      <c r="I8148">
        <v>25.344519999999999</v>
      </c>
      <c r="J8148">
        <v>9.4</v>
      </c>
      <c r="K8148">
        <v>69</v>
      </c>
      <c r="L8148">
        <v>10.78941</v>
      </c>
      <c r="M8148">
        <v>33</v>
      </c>
      <c r="N8148">
        <v>19.5</v>
      </c>
      <c r="O8148">
        <v>13.5</v>
      </c>
      <c r="P8148">
        <v>25.8</v>
      </c>
      <c r="Q8148">
        <v>25.744520000000001</v>
      </c>
      <c r="R8148">
        <v>26.807480000000002</v>
      </c>
      <c r="S8148">
        <v>23.995650000000001</v>
      </c>
      <c r="T8148">
        <v>1255.3620000000001</v>
      </c>
      <c r="U8148">
        <v>185</v>
      </c>
      <c r="V8148">
        <v>10</v>
      </c>
      <c r="W8148">
        <v>58</v>
      </c>
      <c r="X8148">
        <v>473.58609999999999</v>
      </c>
      <c r="Y8148">
        <v>72</v>
      </c>
      <c r="Z8148">
        <v>298</v>
      </c>
      <c r="AA8148">
        <v>353.85039999999998</v>
      </c>
      <c r="AB8148">
        <v>24.6419</v>
      </c>
      <c r="AC8148">
        <v>9.9723539999999992E-3</v>
      </c>
      <c r="AD8148">
        <v>2.8397890000000001</v>
      </c>
      <c r="AE8148">
        <v>0.73740119999999998</v>
      </c>
      <c r="AF8148">
        <v>318.68</v>
      </c>
      <c r="AG8148">
        <f>IFERROR(AH8148*0.1, "N/A")</f>
        <v>5.7005220000000003</v>
      </c>
      <c r="AH8148">
        <v>57.005220000000001</v>
      </c>
      <c r="AI8148">
        <v>231.72470000000001</v>
      </c>
      <c r="AJ8148">
        <v>18.36</v>
      </c>
      <c r="AK8148">
        <v>66.758260000000007</v>
      </c>
    </row>
    <row r="8149" spans="1:37" x14ac:dyDescent="0.3">
      <c r="A8149">
        <v>8148</v>
      </c>
      <c r="B8149">
        <v>3.1</v>
      </c>
      <c r="C8149">
        <v>-2.33325</v>
      </c>
      <c r="D8149">
        <v>7.33352</v>
      </c>
      <c r="E8149">
        <f>-2.33325-7.33352</f>
        <v>-9.6667699999999996</v>
      </c>
      <c r="F8149" t="s">
        <v>12178</v>
      </c>
      <c r="G8149" t="s">
        <v>39</v>
      </c>
      <c r="H8149">
        <v>1966</v>
      </c>
      <c r="I8149">
        <v>25.71322</v>
      </c>
      <c r="J8149">
        <v>9.4</v>
      </c>
      <c r="K8149">
        <v>67.066090000000003</v>
      </c>
      <c r="L8149">
        <v>11.391299999999999</v>
      </c>
      <c r="M8149">
        <v>33.513219999999997</v>
      </c>
      <c r="N8149">
        <v>19.61983</v>
      </c>
      <c r="O8149">
        <v>13.89339</v>
      </c>
      <c r="P8149">
        <v>26.11983</v>
      </c>
      <c r="Q8149">
        <v>25.65287</v>
      </c>
      <c r="R8149">
        <v>27.236350000000002</v>
      </c>
      <c r="S8149">
        <v>24.219830000000002</v>
      </c>
      <c r="T8149">
        <v>1188.7360000000001</v>
      </c>
      <c r="U8149">
        <v>177</v>
      </c>
      <c r="V8149">
        <v>7</v>
      </c>
      <c r="W8149">
        <v>59.066090000000003</v>
      </c>
      <c r="X8149">
        <v>445.13220000000001</v>
      </c>
      <c r="Y8149">
        <v>62.933909999999997</v>
      </c>
      <c r="Z8149">
        <v>281.93389999999999</v>
      </c>
      <c r="AA8149">
        <v>344.80169999999998</v>
      </c>
      <c r="AB8149">
        <v>17.751139999999999</v>
      </c>
      <c r="AC8149">
        <v>1.42895E-2</v>
      </c>
      <c r="AD8149">
        <v>2.2338469999999999</v>
      </c>
      <c r="AE8149">
        <v>0.84345369999999997</v>
      </c>
      <c r="AF8149">
        <v>293.52699999999999</v>
      </c>
      <c r="AG8149">
        <f>IFERROR(AH8149*0.1, "N/A")</f>
        <v>5.7</v>
      </c>
      <c r="AH8149">
        <v>57</v>
      </c>
      <c r="AI8149">
        <v>299.82679999999999</v>
      </c>
      <c r="AJ8149">
        <v>17</v>
      </c>
      <c r="AK8149">
        <v>67.768699999999995</v>
      </c>
    </row>
    <row r="8150" spans="1:37" x14ac:dyDescent="0.3">
      <c r="A8150">
        <v>8149</v>
      </c>
      <c r="B8150">
        <v>0.6</v>
      </c>
      <c r="C8150">
        <v>-1.92899</v>
      </c>
      <c r="D8150">
        <v>7.5774400000000002</v>
      </c>
      <c r="E8150">
        <f>-1.92899-7.57744</f>
        <v>-9.5064299999999999</v>
      </c>
      <c r="F8150" t="s">
        <v>12179</v>
      </c>
      <c r="G8150" t="s">
        <v>39</v>
      </c>
      <c r="H8150">
        <v>1966</v>
      </c>
      <c r="I8150">
        <v>24.5</v>
      </c>
      <c r="J8150">
        <v>9.5</v>
      </c>
      <c r="K8150">
        <v>69</v>
      </c>
      <c r="L8150">
        <v>12.54</v>
      </c>
      <c r="M8150">
        <v>32.5</v>
      </c>
      <c r="N8150">
        <v>18.8</v>
      </c>
      <c r="O8150">
        <v>13.7</v>
      </c>
      <c r="P8150">
        <v>25</v>
      </c>
      <c r="Q8150">
        <v>25.1</v>
      </c>
      <c r="R8150">
        <v>26.2</v>
      </c>
      <c r="S8150">
        <v>22.9</v>
      </c>
      <c r="T8150">
        <v>1284</v>
      </c>
      <c r="U8150">
        <v>189</v>
      </c>
      <c r="V8150">
        <v>8</v>
      </c>
      <c r="W8150">
        <v>60</v>
      </c>
      <c r="X8150">
        <v>483</v>
      </c>
      <c r="Y8150">
        <v>57</v>
      </c>
      <c r="Z8150">
        <v>287</v>
      </c>
      <c r="AA8150">
        <v>397</v>
      </c>
      <c r="AB8150">
        <v>15.6021</v>
      </c>
      <c r="AC8150">
        <v>2.3404879999999999E-2</v>
      </c>
      <c r="AD8150">
        <v>1.394601</v>
      </c>
      <c r="AE8150">
        <v>0.90990369999999998</v>
      </c>
      <c r="AF8150">
        <v>432.83300000000003</v>
      </c>
      <c r="AG8150">
        <f>IFERROR(AH8150*0.1, "N/A")</f>
        <v>5.8027830000000007</v>
      </c>
      <c r="AH8150">
        <v>58.027830000000002</v>
      </c>
      <c r="AI8150">
        <v>241.92760000000001</v>
      </c>
      <c r="AJ8150">
        <v>17.060870000000001</v>
      </c>
      <c r="AK8150">
        <v>66</v>
      </c>
    </row>
    <row r="8151" spans="1:37" x14ac:dyDescent="0.3">
      <c r="A8151">
        <v>8150</v>
      </c>
      <c r="B8151">
        <v>1.8</v>
      </c>
      <c r="C8151">
        <v>-2.7854800000000002</v>
      </c>
      <c r="D8151">
        <v>7.5838200000000002</v>
      </c>
      <c r="E8151">
        <f>-2.78548-7.58382</f>
        <v>-10.369300000000001</v>
      </c>
      <c r="F8151" t="s">
        <v>12180</v>
      </c>
      <c r="G8151" t="s">
        <v>39</v>
      </c>
      <c r="H8151">
        <v>1966</v>
      </c>
      <c r="I8151">
        <v>26.328399999999998</v>
      </c>
      <c r="J8151">
        <v>9.8000000000000007</v>
      </c>
      <c r="K8151">
        <v>67</v>
      </c>
      <c r="L8151">
        <v>12.29852</v>
      </c>
      <c r="M8151">
        <v>34.628399999999999</v>
      </c>
      <c r="N8151">
        <v>20.028400000000001</v>
      </c>
      <c r="O8151">
        <v>14.6</v>
      </c>
      <c r="P8151">
        <v>26.728400000000001</v>
      </c>
      <c r="Q8151">
        <v>26.828399999999998</v>
      </c>
      <c r="R8151">
        <v>28.028400000000001</v>
      </c>
      <c r="S8151">
        <v>24.656790000000001</v>
      </c>
      <c r="T8151">
        <v>1144.432</v>
      </c>
      <c r="U8151">
        <v>175.28399999999999</v>
      </c>
      <c r="V8151">
        <v>7</v>
      </c>
      <c r="W8151">
        <v>60.716030000000003</v>
      </c>
      <c r="X8151">
        <v>456.28399999999999</v>
      </c>
      <c r="Y8151">
        <v>56</v>
      </c>
      <c r="Z8151">
        <v>270.71600000000001</v>
      </c>
      <c r="AA8151">
        <v>333.71600000000001</v>
      </c>
      <c r="AB8151">
        <v>16.372309999999999</v>
      </c>
      <c r="AC8151">
        <v>1.448352E-2</v>
      </c>
      <c r="AD8151">
        <v>3.5018850000000001</v>
      </c>
      <c r="AE8151">
        <v>0.84930939999999999</v>
      </c>
      <c r="AF8151">
        <v>267.9547</v>
      </c>
      <c r="AG8151">
        <f>IFERROR(AH8151*0.1, "N/A")</f>
        <v>5.9871080000000001</v>
      </c>
      <c r="AH8151">
        <v>59.871079999999999</v>
      </c>
      <c r="AI8151">
        <v>167.74510000000001</v>
      </c>
      <c r="AJ8151">
        <v>18.616720000000001</v>
      </c>
      <c r="AK8151">
        <v>62.233449999999998</v>
      </c>
    </row>
    <row r="8152" spans="1:37" x14ac:dyDescent="0.3">
      <c r="A8152">
        <v>8151</v>
      </c>
      <c r="B8152">
        <v>6.7</v>
      </c>
      <c r="C8152">
        <v>-0.63320200000000004</v>
      </c>
      <c r="D8152">
        <v>7.68377</v>
      </c>
      <c r="E8152">
        <f>-0.633202-7.68377</f>
        <v>-8.3169719999999998</v>
      </c>
      <c r="F8152" t="s">
        <v>12181</v>
      </c>
      <c r="G8152" t="s">
        <v>39</v>
      </c>
      <c r="H8152">
        <v>1966</v>
      </c>
      <c r="I8152">
        <v>27.29496</v>
      </c>
      <c r="J8152">
        <v>10.85469</v>
      </c>
      <c r="K8152">
        <v>69</v>
      </c>
      <c r="L8152">
        <v>11.97682</v>
      </c>
      <c r="M8152">
        <v>35.68385</v>
      </c>
      <c r="N8152">
        <v>20.09497</v>
      </c>
      <c r="O8152">
        <v>15.588889999999999</v>
      </c>
      <c r="P8152">
        <v>26.694970000000001</v>
      </c>
      <c r="Q8152">
        <v>27.68993</v>
      </c>
      <c r="R8152">
        <v>28.929169999999999</v>
      </c>
      <c r="S8152">
        <v>25.749649999999999</v>
      </c>
      <c r="T8152">
        <v>1257.7760000000001</v>
      </c>
      <c r="U8152">
        <v>205.05029999999999</v>
      </c>
      <c r="V8152">
        <v>8</v>
      </c>
      <c r="W8152">
        <v>64.888890000000004</v>
      </c>
      <c r="X8152">
        <v>493.11110000000002</v>
      </c>
      <c r="Y8152">
        <v>40.111109999999996</v>
      </c>
      <c r="Z8152">
        <v>213.5035</v>
      </c>
      <c r="AA8152">
        <v>485.05029999999999</v>
      </c>
      <c r="AB8152">
        <v>7.1831579999999997</v>
      </c>
      <c r="AC8152">
        <v>1.127607</v>
      </c>
      <c r="AD8152">
        <v>3.7743060000000002</v>
      </c>
      <c r="AE8152">
        <v>0.19376869999999999</v>
      </c>
      <c r="AF8152">
        <v>122.3073</v>
      </c>
      <c r="AG8152">
        <f>IFERROR(AH8152*0.1, "N/A")</f>
        <v>6</v>
      </c>
      <c r="AH8152">
        <v>60</v>
      </c>
      <c r="AI8152">
        <v>181.50219999999999</v>
      </c>
      <c r="AJ8152">
        <v>11.04688</v>
      </c>
      <c r="AK8152">
        <v>69.68056</v>
      </c>
    </row>
    <row r="8153" spans="1:37" x14ac:dyDescent="0.3">
      <c r="A8153">
        <v>8152</v>
      </c>
      <c r="B8153">
        <v>1.5</v>
      </c>
      <c r="C8153">
        <v>-1.59897</v>
      </c>
      <c r="D8153">
        <v>7.7001099999999996</v>
      </c>
      <c r="E8153">
        <f>-1.59897-7.70011</f>
        <v>-9.29908</v>
      </c>
      <c r="F8153" t="s">
        <v>12182</v>
      </c>
      <c r="G8153" t="s">
        <v>39</v>
      </c>
      <c r="H8153">
        <v>1966</v>
      </c>
      <c r="I8153">
        <v>26</v>
      </c>
      <c r="J8153">
        <v>10.199999999999999</v>
      </c>
      <c r="K8153">
        <v>69.692710000000005</v>
      </c>
      <c r="L8153">
        <v>12.24385</v>
      </c>
      <c r="M8153">
        <v>34.200000000000003</v>
      </c>
      <c r="N8153">
        <v>19.669270000000001</v>
      </c>
      <c r="O8153">
        <v>14.53073</v>
      </c>
      <c r="P8153">
        <v>26.36927</v>
      </c>
      <c r="Q8153">
        <v>26.569269999999999</v>
      </c>
      <c r="R8153">
        <v>27.769269999999999</v>
      </c>
      <c r="S8153">
        <v>24.5</v>
      </c>
      <c r="T8153">
        <v>1267</v>
      </c>
      <c r="U8153">
        <v>199</v>
      </c>
      <c r="V8153">
        <v>7</v>
      </c>
      <c r="W8153">
        <v>62</v>
      </c>
      <c r="X8153">
        <v>478.6927</v>
      </c>
      <c r="Y8153">
        <v>43</v>
      </c>
      <c r="Z8153">
        <v>263</v>
      </c>
      <c r="AA8153">
        <v>423.3073</v>
      </c>
      <c r="AB8153">
        <v>18.17605</v>
      </c>
      <c r="AC8153">
        <v>2.6520100000000001E-2</v>
      </c>
      <c r="AD8153">
        <v>1.9733210000000001</v>
      </c>
      <c r="AE8153">
        <v>0.65397539999999998</v>
      </c>
      <c r="AF8153">
        <v>301.97050000000002</v>
      </c>
      <c r="AG8153">
        <f>IFERROR(AH8153*0.1, "N/A")</f>
        <v>6.4034719999999998</v>
      </c>
      <c r="AH8153">
        <v>64.034719999999993</v>
      </c>
      <c r="AI8153">
        <v>62.367449999999998</v>
      </c>
      <c r="AJ8153">
        <v>13.93056</v>
      </c>
      <c r="AK8153">
        <v>69.06944</v>
      </c>
    </row>
    <row r="8154" spans="1:37" x14ac:dyDescent="0.3">
      <c r="A8154">
        <v>8153</v>
      </c>
      <c r="B8154">
        <v>0.3</v>
      </c>
      <c r="C8154">
        <v>-2.1041099999999999</v>
      </c>
      <c r="D8154">
        <v>7.7382099999999996</v>
      </c>
      <c r="E8154">
        <f>-2.10411-7.73821</f>
        <v>-9.8423199999999991</v>
      </c>
      <c r="F8154" t="s">
        <v>12183</v>
      </c>
      <c r="G8154" t="s">
        <v>39</v>
      </c>
      <c r="H8154">
        <v>1966</v>
      </c>
      <c r="I8154">
        <v>25.5</v>
      </c>
      <c r="J8154">
        <v>9.1999999999999993</v>
      </c>
      <c r="K8154">
        <v>66</v>
      </c>
      <c r="L8154">
        <v>13.86</v>
      </c>
      <c r="M8154">
        <v>33.700000000000003</v>
      </c>
      <c r="N8154">
        <v>19.8</v>
      </c>
      <c r="O8154">
        <v>13.9</v>
      </c>
      <c r="P8154">
        <v>26.2</v>
      </c>
      <c r="Q8154">
        <v>26</v>
      </c>
      <c r="R8154">
        <v>27.4</v>
      </c>
      <c r="S8154">
        <v>23.8</v>
      </c>
      <c r="T8154">
        <v>1246</v>
      </c>
      <c r="U8154">
        <v>187</v>
      </c>
      <c r="V8154">
        <v>6</v>
      </c>
      <c r="W8154">
        <v>62</v>
      </c>
      <c r="X8154">
        <v>477</v>
      </c>
      <c r="Y8154">
        <v>50</v>
      </c>
      <c r="Z8154">
        <v>279</v>
      </c>
      <c r="AA8154">
        <v>385</v>
      </c>
      <c r="AB8154">
        <v>68.363900000000001</v>
      </c>
      <c r="AC8154">
        <v>2.9915110000000002E-2</v>
      </c>
      <c r="AD8154">
        <v>1.7121649999999999</v>
      </c>
      <c r="AE8154">
        <v>0.87922889999999998</v>
      </c>
      <c r="AF8154">
        <v>308.16149999999999</v>
      </c>
      <c r="AG8154">
        <f>IFERROR(AH8154*0.1, "N/A")</f>
        <v>6.3715280000000005</v>
      </c>
      <c r="AH8154">
        <v>63.71528</v>
      </c>
      <c r="AI8154">
        <v>196.18129999999999</v>
      </c>
      <c r="AJ8154">
        <v>15.43056</v>
      </c>
      <c r="AK8154">
        <v>61.854170000000003</v>
      </c>
    </row>
    <row r="8155" spans="1:37" x14ac:dyDescent="0.3">
      <c r="A8155">
        <v>8154</v>
      </c>
      <c r="B8155">
        <v>13.5</v>
      </c>
      <c r="C8155">
        <v>-0.98329100000000003</v>
      </c>
      <c r="D8155">
        <v>7.7502899999999997</v>
      </c>
      <c r="E8155">
        <f>-0.983291-7.75029</f>
        <v>-8.7335809999999992</v>
      </c>
      <c r="F8155" t="s">
        <v>12184</v>
      </c>
      <c r="G8155" t="s">
        <v>39</v>
      </c>
      <c r="H8155">
        <v>1966</v>
      </c>
      <c r="I8155">
        <v>27.3</v>
      </c>
      <c r="J8155">
        <v>10.7</v>
      </c>
      <c r="K8155">
        <v>69.086659999999995</v>
      </c>
      <c r="L8155">
        <v>12.234159999999999</v>
      </c>
      <c r="M8155">
        <v>35.691339999999997</v>
      </c>
      <c r="N8155">
        <v>20.399999999999999</v>
      </c>
      <c r="O8155">
        <v>15.29133</v>
      </c>
      <c r="P8155">
        <v>26.6</v>
      </c>
      <c r="Q8155">
        <v>27.7</v>
      </c>
      <c r="R8155">
        <v>28.991679999999999</v>
      </c>
      <c r="S8155">
        <v>25.791329999999999</v>
      </c>
      <c r="T8155">
        <v>1224.5229999999999</v>
      </c>
      <c r="U8155">
        <v>203</v>
      </c>
      <c r="V8155">
        <v>6</v>
      </c>
      <c r="W8155">
        <v>65</v>
      </c>
      <c r="X8155">
        <v>477.08670000000001</v>
      </c>
      <c r="Y8155">
        <v>34.083190000000002</v>
      </c>
      <c r="Z8155">
        <v>220.08670000000001</v>
      </c>
      <c r="AA8155">
        <v>460</v>
      </c>
      <c r="AB8155">
        <v>9.6532020000000003</v>
      </c>
      <c r="AC8155">
        <v>2.0113880000000001E-2</v>
      </c>
      <c r="AD8155">
        <v>1.288608</v>
      </c>
      <c r="AE8155">
        <v>0.8501301</v>
      </c>
      <c r="AF8155">
        <v>141.47489999999999</v>
      </c>
      <c r="AG8155">
        <f>IFERROR(AH8155*0.1, "N/A")</f>
        <v>6</v>
      </c>
      <c r="AH8155">
        <v>60</v>
      </c>
      <c r="AI8155">
        <v>140.39009999999999</v>
      </c>
      <c r="AJ8155">
        <v>17.265160000000002</v>
      </c>
      <c r="AK8155">
        <v>60.734839999999998</v>
      </c>
    </row>
    <row r="8156" spans="1:37" x14ac:dyDescent="0.3">
      <c r="A8156">
        <v>8155</v>
      </c>
      <c r="B8156">
        <v>0</v>
      </c>
      <c r="C8156">
        <v>-1.97102</v>
      </c>
      <c r="D8156">
        <v>7.7942900000000002</v>
      </c>
      <c r="E8156">
        <f>-1.97102-7.79429</f>
        <v>-9.7653099999999995</v>
      </c>
      <c r="F8156" t="s">
        <v>12185</v>
      </c>
      <c r="G8156" t="s">
        <v>39</v>
      </c>
      <c r="H8156">
        <v>1966</v>
      </c>
      <c r="I8156">
        <v>25</v>
      </c>
      <c r="J8156">
        <v>9.6</v>
      </c>
      <c r="K8156">
        <v>68</v>
      </c>
      <c r="L8156">
        <v>13.3</v>
      </c>
      <c r="M8156">
        <v>33.200000000000003</v>
      </c>
      <c r="N8156">
        <v>19.2</v>
      </c>
      <c r="O8156">
        <v>14</v>
      </c>
      <c r="P8156">
        <v>25.5</v>
      </c>
      <c r="Q8156">
        <v>25.6</v>
      </c>
      <c r="R8156">
        <v>26.9</v>
      </c>
      <c r="S8156">
        <v>23.4</v>
      </c>
      <c r="T8156">
        <v>1297</v>
      </c>
      <c r="U8156">
        <v>200</v>
      </c>
      <c r="V8156">
        <v>7</v>
      </c>
      <c r="W8156">
        <v>61</v>
      </c>
      <c r="X8156">
        <v>492</v>
      </c>
      <c r="Y8156">
        <v>52</v>
      </c>
      <c r="Z8156">
        <v>282</v>
      </c>
      <c r="AA8156">
        <v>415</v>
      </c>
      <c r="AB8156">
        <v>47.801909999999999</v>
      </c>
      <c r="AC8156">
        <v>8.470455E-3</v>
      </c>
      <c r="AD8156">
        <v>2.154938</v>
      </c>
      <c r="AE8156">
        <v>0.6606282</v>
      </c>
      <c r="AF8156">
        <v>403.875</v>
      </c>
      <c r="AG8156">
        <f>IFERROR(AH8156*0.1, "N/A")</f>
        <v>5.5968750000000007</v>
      </c>
      <c r="AH8156">
        <v>55.96875</v>
      </c>
      <c r="AI8156">
        <v>193.7353</v>
      </c>
      <c r="AJ8156">
        <v>21.78125</v>
      </c>
      <c r="AK8156">
        <v>62.689239999999998</v>
      </c>
    </row>
    <row r="8157" spans="1:37" x14ac:dyDescent="0.3">
      <c r="A8157">
        <v>8156</v>
      </c>
      <c r="B8157">
        <v>0.9</v>
      </c>
      <c r="C8157">
        <v>-1.18211</v>
      </c>
      <c r="D8157">
        <v>7.9590199999999998</v>
      </c>
      <c r="E8157">
        <f>-1.18211-7.95902</f>
        <v>-9.1411300000000004</v>
      </c>
      <c r="F8157" t="s">
        <v>12186</v>
      </c>
      <c r="G8157" t="s">
        <v>39</v>
      </c>
      <c r="H8157">
        <v>1966</v>
      </c>
      <c r="I8157">
        <v>27.5</v>
      </c>
      <c r="J8157">
        <v>10.8</v>
      </c>
      <c r="K8157">
        <v>70</v>
      </c>
      <c r="L8157">
        <v>12.5</v>
      </c>
      <c r="M8157">
        <v>36</v>
      </c>
      <c r="N8157">
        <v>20.6</v>
      </c>
      <c r="O8157">
        <v>15.4</v>
      </c>
      <c r="P8157">
        <v>26.3</v>
      </c>
      <c r="Q8157">
        <v>28</v>
      </c>
      <c r="R8157">
        <v>29.3</v>
      </c>
      <c r="S8157">
        <v>25.9</v>
      </c>
      <c r="T8157">
        <v>1211</v>
      </c>
      <c r="U8157">
        <v>208</v>
      </c>
      <c r="V8157">
        <v>6</v>
      </c>
      <c r="W8157">
        <v>67</v>
      </c>
      <c r="X8157">
        <v>474</v>
      </c>
      <c r="Y8157">
        <v>29</v>
      </c>
      <c r="Z8157">
        <v>215</v>
      </c>
      <c r="AA8157">
        <v>466</v>
      </c>
      <c r="AB8157">
        <v>6.2880339999999997</v>
      </c>
      <c r="AC8157">
        <v>3.0816400000000001E-2</v>
      </c>
      <c r="AD8157">
        <v>1.495509</v>
      </c>
      <c r="AE8157">
        <v>0.43516110000000002</v>
      </c>
      <c r="AF8157">
        <v>136.90809999999999</v>
      </c>
      <c r="AG8157">
        <f>IFERROR(AH8157*0.1, "N/A")</f>
        <v>6.1000000000000005</v>
      </c>
      <c r="AH8157">
        <v>61</v>
      </c>
      <c r="AI8157">
        <v>172.65180000000001</v>
      </c>
      <c r="AJ8157">
        <v>14</v>
      </c>
      <c r="AK8157">
        <v>64</v>
      </c>
    </row>
    <row r="8158" spans="1:37" x14ac:dyDescent="0.3">
      <c r="A8158">
        <v>8157</v>
      </c>
      <c r="B8158">
        <v>1.6</v>
      </c>
      <c r="C8158">
        <v>-0.64992399999999995</v>
      </c>
      <c r="D8158">
        <v>8.2167600000000007</v>
      </c>
      <c r="E8158">
        <f>-0.649924-8.21676</f>
        <v>-8.8666840000000011</v>
      </c>
      <c r="F8158" t="s">
        <v>12187</v>
      </c>
      <c r="G8158" t="s">
        <v>39</v>
      </c>
      <c r="H8158">
        <v>1966</v>
      </c>
      <c r="I8158">
        <v>27.735880000000002</v>
      </c>
      <c r="J8158">
        <v>11.1</v>
      </c>
      <c r="K8158">
        <v>68</v>
      </c>
      <c r="L8158">
        <v>13.095510000000001</v>
      </c>
      <c r="M8158">
        <v>36.5</v>
      </c>
      <c r="N8158">
        <v>20.2</v>
      </c>
      <c r="O8158">
        <v>16.3</v>
      </c>
      <c r="P8158">
        <v>26.13588</v>
      </c>
      <c r="Q8158">
        <v>28.2</v>
      </c>
      <c r="R8158">
        <v>29.6</v>
      </c>
      <c r="S8158">
        <v>26.13588</v>
      </c>
      <c r="T8158">
        <v>1210.1559999999999</v>
      </c>
      <c r="U8158">
        <v>225.5581</v>
      </c>
      <c r="V8158">
        <v>5</v>
      </c>
      <c r="W8158">
        <v>72.916809999999998</v>
      </c>
      <c r="X8158">
        <v>534.55809999999997</v>
      </c>
      <c r="Y8158">
        <v>24.597919999999998</v>
      </c>
      <c r="Z8158">
        <v>174.59790000000001</v>
      </c>
      <c r="AA8158">
        <v>534.55809999999997</v>
      </c>
      <c r="AB8158">
        <v>16.54194</v>
      </c>
      <c r="AC8158">
        <v>1.030967E-2</v>
      </c>
      <c r="AD8158">
        <v>1.6672659999999999</v>
      </c>
      <c r="AE8158">
        <v>0.81024609999999997</v>
      </c>
      <c r="AF8158">
        <v>103.7816</v>
      </c>
      <c r="AG8158">
        <f>IFERROR(AH8158*0.1, "N/A")</f>
        <v>6.0620450000000003</v>
      </c>
      <c r="AH8158">
        <v>60.620449999999998</v>
      </c>
      <c r="AI8158">
        <v>221.22649999999999</v>
      </c>
      <c r="AJ8158">
        <v>17.613520000000001</v>
      </c>
      <c r="AK8158">
        <v>56.993070000000003</v>
      </c>
    </row>
    <row r="8159" spans="1:37" x14ac:dyDescent="0.3">
      <c r="A8159">
        <v>8158</v>
      </c>
      <c r="B8159">
        <v>0</v>
      </c>
      <c r="C8159">
        <v>-1.56569</v>
      </c>
      <c r="D8159">
        <v>8.4497099999999996</v>
      </c>
      <c r="E8159">
        <f>-1.56569-8.44971</f>
        <v>-10.0154</v>
      </c>
      <c r="F8159" t="s">
        <v>12188</v>
      </c>
      <c r="G8159" t="s">
        <v>39</v>
      </c>
      <c r="H8159">
        <v>1966</v>
      </c>
      <c r="I8159">
        <v>27.7</v>
      </c>
      <c r="J8159">
        <v>11</v>
      </c>
      <c r="K8159">
        <v>68</v>
      </c>
      <c r="L8159">
        <v>13.783329999999999</v>
      </c>
      <c r="M8159">
        <v>36.6</v>
      </c>
      <c r="N8159">
        <v>20.5</v>
      </c>
      <c r="O8159">
        <v>16.100000000000001</v>
      </c>
      <c r="P8159">
        <v>26.3</v>
      </c>
      <c r="Q8159">
        <v>28.2</v>
      </c>
      <c r="R8159">
        <v>29.7</v>
      </c>
      <c r="S8159">
        <v>26</v>
      </c>
      <c r="T8159">
        <v>1162.4169999999999</v>
      </c>
      <c r="U8159">
        <v>213</v>
      </c>
      <c r="V8159">
        <v>3</v>
      </c>
      <c r="W8159">
        <v>70.645830000000004</v>
      </c>
      <c r="X8159">
        <v>479</v>
      </c>
      <c r="Y8159">
        <v>21</v>
      </c>
      <c r="Z8159">
        <v>195.70830000000001</v>
      </c>
      <c r="AA8159">
        <v>476.64580000000001</v>
      </c>
      <c r="AB8159">
        <v>7.5800400000000003</v>
      </c>
      <c r="AC8159">
        <v>1.151079E-2</v>
      </c>
      <c r="AD8159">
        <v>0.83102659999999995</v>
      </c>
      <c r="AE8159">
        <v>0.48735909999999999</v>
      </c>
      <c r="AF8159">
        <v>132.6267</v>
      </c>
      <c r="AG8159">
        <f>IFERROR(AH8159*0.1, "N/A")</f>
        <v>6.5354169999999998</v>
      </c>
      <c r="AH8159">
        <v>65.354169999999996</v>
      </c>
      <c r="AI8159">
        <v>107.4164</v>
      </c>
      <c r="AJ8159">
        <v>13</v>
      </c>
      <c r="AK8159">
        <v>63.645829999999997</v>
      </c>
    </row>
    <row r="8160" spans="1:37" x14ac:dyDescent="0.3">
      <c r="A8160">
        <v>8159</v>
      </c>
      <c r="B8160">
        <v>3.7</v>
      </c>
      <c r="C8160">
        <v>-1.8319540000000001</v>
      </c>
      <c r="D8160">
        <v>7.9506309999999996</v>
      </c>
      <c r="E8160">
        <f>-1.831954-7.950631</f>
        <v>-9.7825849999999992</v>
      </c>
      <c r="F8160" t="s">
        <v>12189</v>
      </c>
      <c r="G8160" t="s">
        <v>39</v>
      </c>
      <c r="H8160">
        <v>1966</v>
      </c>
      <c r="I8160">
        <v>26.7</v>
      </c>
      <c r="J8160">
        <v>10.3</v>
      </c>
      <c r="K8160">
        <v>68</v>
      </c>
      <c r="L8160">
        <v>13.04724</v>
      </c>
      <c r="M8160">
        <v>35.299999999999997</v>
      </c>
      <c r="N8160">
        <v>20.2</v>
      </c>
      <c r="O8160">
        <v>15.1</v>
      </c>
      <c r="P8160">
        <v>27.2</v>
      </c>
      <c r="Q8160">
        <v>27.107970000000002</v>
      </c>
      <c r="R8160">
        <v>28.6</v>
      </c>
      <c r="S8160">
        <v>25.107970000000002</v>
      </c>
      <c r="T8160">
        <v>1278.8409999999999</v>
      </c>
      <c r="U8160">
        <v>207.9203</v>
      </c>
      <c r="V8160">
        <v>6</v>
      </c>
      <c r="W8160">
        <v>63</v>
      </c>
      <c r="X8160">
        <v>490</v>
      </c>
      <c r="Y8160">
        <v>42</v>
      </c>
      <c r="Z8160">
        <v>259</v>
      </c>
      <c r="AA8160">
        <v>433.76080000000002</v>
      </c>
      <c r="AB8160">
        <v>2.9225279999999998</v>
      </c>
      <c r="AC8160">
        <v>25.544830000000001</v>
      </c>
      <c r="AD8160">
        <v>1.804575</v>
      </c>
      <c r="AE8160">
        <v>0.37679459999999998</v>
      </c>
      <c r="AF8160">
        <v>222.5754</v>
      </c>
      <c r="AG8160">
        <f>IFERROR(AH8160*0.1, "N/A")</f>
        <v>5.9771230000000006</v>
      </c>
      <c r="AH8160">
        <v>59.771230000000003</v>
      </c>
      <c r="AI8160">
        <v>83.633610000000004</v>
      </c>
      <c r="AJ8160">
        <v>14.738300000000001</v>
      </c>
      <c r="AK8160">
        <v>57.239170000000001</v>
      </c>
    </row>
    <row r="8161" spans="1:37" x14ac:dyDescent="0.3">
      <c r="A8161">
        <v>8160</v>
      </c>
      <c r="B8161">
        <v>9.8000000000000007</v>
      </c>
      <c r="C8161">
        <v>-1.5961369999999999</v>
      </c>
      <c r="D8161">
        <v>7.9476129999999996</v>
      </c>
      <c r="E8161">
        <f>-1.596137-7.947613</f>
        <v>-9.5437499999999993</v>
      </c>
      <c r="F8161" t="s">
        <v>12190</v>
      </c>
      <c r="G8161" t="s">
        <v>39</v>
      </c>
      <c r="H8161">
        <v>1966</v>
      </c>
      <c r="I8161">
        <v>26.1</v>
      </c>
      <c r="J8161">
        <v>10.6</v>
      </c>
      <c r="K8161">
        <v>70</v>
      </c>
      <c r="L8161">
        <v>13.1</v>
      </c>
      <c r="M8161">
        <v>34.700000000000003</v>
      </c>
      <c r="N8161">
        <v>19.600000000000001</v>
      </c>
      <c r="O8161">
        <v>15.1</v>
      </c>
      <c r="P8161">
        <v>24.9</v>
      </c>
      <c r="Q8161">
        <v>26.8</v>
      </c>
      <c r="R8161">
        <v>28</v>
      </c>
      <c r="S8161">
        <v>24.5</v>
      </c>
      <c r="T8161">
        <v>1288</v>
      </c>
      <c r="U8161">
        <v>213</v>
      </c>
      <c r="V8161">
        <v>7</v>
      </c>
      <c r="W8161">
        <v>63</v>
      </c>
      <c r="X8161">
        <v>486</v>
      </c>
      <c r="Y8161">
        <v>37</v>
      </c>
      <c r="Z8161">
        <v>257</v>
      </c>
      <c r="AA8161">
        <v>457</v>
      </c>
      <c r="AB8161">
        <v>21.411639999999998</v>
      </c>
      <c r="AC8161">
        <v>2.3814479999999999E-2</v>
      </c>
      <c r="AD8161">
        <v>2.252526</v>
      </c>
      <c r="AE8161">
        <v>0.26176240000000001</v>
      </c>
      <c r="AF8161">
        <v>320.80900000000003</v>
      </c>
      <c r="AG8161">
        <f>IFERROR(AH8161*0.1, "N/A")</f>
        <v>6.020486</v>
      </c>
      <c r="AH8161">
        <v>60.204859999999996</v>
      </c>
      <c r="AI8161">
        <v>225.63800000000001</v>
      </c>
      <c r="AJ8161">
        <v>16.36111</v>
      </c>
      <c r="AK8161">
        <v>63.536459999999998</v>
      </c>
    </row>
    <row r="8162" spans="1:37" x14ac:dyDescent="0.3">
      <c r="A8162">
        <v>8161</v>
      </c>
      <c r="B8162">
        <v>4.7</v>
      </c>
      <c r="C8162">
        <v>-1.7649809999999999</v>
      </c>
      <c r="D8162">
        <v>7.9592409999999996</v>
      </c>
      <c r="E8162">
        <f>-1.764981-7.959241</f>
        <v>-9.7242219999999993</v>
      </c>
      <c r="F8162" t="s">
        <v>12191</v>
      </c>
      <c r="G8162" t="s">
        <v>39</v>
      </c>
      <c r="H8162">
        <v>1966</v>
      </c>
      <c r="I8162">
        <v>26.2</v>
      </c>
      <c r="J8162">
        <v>10.5</v>
      </c>
      <c r="K8162">
        <v>69</v>
      </c>
      <c r="L8162">
        <v>12.75</v>
      </c>
      <c r="M8162">
        <v>34.799999999999997</v>
      </c>
      <c r="N8162">
        <v>19.600000000000001</v>
      </c>
      <c r="O8162">
        <v>15.2</v>
      </c>
      <c r="P8162">
        <v>26.6</v>
      </c>
      <c r="Q8162">
        <v>26.7</v>
      </c>
      <c r="R8162">
        <v>28</v>
      </c>
      <c r="S8162">
        <v>24.6</v>
      </c>
      <c r="T8162">
        <v>1319</v>
      </c>
      <c r="U8162">
        <v>216</v>
      </c>
      <c r="V8162">
        <v>7</v>
      </c>
      <c r="W8162">
        <v>63</v>
      </c>
      <c r="X8162">
        <v>503</v>
      </c>
      <c r="Y8162">
        <v>44</v>
      </c>
      <c r="Z8162">
        <v>264</v>
      </c>
      <c r="AA8162">
        <v>451</v>
      </c>
      <c r="AB8162">
        <v>27.884709999999998</v>
      </c>
      <c r="AC8162">
        <v>1.417071E-2</v>
      </c>
      <c r="AD8162">
        <v>3.5127609999999998</v>
      </c>
      <c r="AE8162">
        <v>0.48998760000000002</v>
      </c>
      <c r="AF8162">
        <v>298.52949999999998</v>
      </c>
      <c r="AG8162">
        <f>IFERROR(AH8162*0.1, "N/A")</f>
        <v>5.709549</v>
      </c>
      <c r="AH8162">
        <v>57.095489999999998</v>
      </c>
      <c r="AI8162">
        <v>148.4444</v>
      </c>
      <c r="AJ8162">
        <v>15.90104</v>
      </c>
      <c r="AK8162">
        <v>66.967010000000002</v>
      </c>
    </row>
    <row r="8163" spans="1:37" x14ac:dyDescent="0.3">
      <c r="A8163">
        <v>8162</v>
      </c>
      <c r="B8163">
        <v>17.399999999999999</v>
      </c>
      <c r="C8163">
        <v>-1.676096</v>
      </c>
      <c r="D8163">
        <v>7.9559249999999997</v>
      </c>
      <c r="E8163">
        <f>-1.676096-7.955925</f>
        <v>-9.6320209999999999</v>
      </c>
      <c r="F8163" t="s">
        <v>12192</v>
      </c>
      <c r="G8163" t="s">
        <v>39</v>
      </c>
      <c r="H8163">
        <v>1966</v>
      </c>
      <c r="I8163">
        <v>25.699310000000001</v>
      </c>
      <c r="J8163">
        <v>10.6</v>
      </c>
      <c r="K8163">
        <v>70</v>
      </c>
      <c r="L8163">
        <v>12.74042</v>
      </c>
      <c r="M8163">
        <v>34.199309999999997</v>
      </c>
      <c r="N8163">
        <v>19.099309999999999</v>
      </c>
      <c r="O8163">
        <v>15.1</v>
      </c>
      <c r="P8163">
        <v>26.087499999999999</v>
      </c>
      <c r="Q8163">
        <v>26.299299999999999</v>
      </c>
      <c r="R8163">
        <v>27.499310000000001</v>
      </c>
      <c r="S8163">
        <v>24.099309999999999</v>
      </c>
      <c r="T8163">
        <v>1329.9929999999999</v>
      </c>
      <c r="U8163">
        <v>219</v>
      </c>
      <c r="V8163">
        <v>8</v>
      </c>
      <c r="W8163">
        <v>63</v>
      </c>
      <c r="X8163">
        <v>500.99310000000003</v>
      </c>
      <c r="Y8163">
        <v>43</v>
      </c>
      <c r="Z8163">
        <v>267</v>
      </c>
      <c r="AA8163">
        <v>463.00689999999997</v>
      </c>
      <c r="AB8163">
        <v>12.687670000000001</v>
      </c>
      <c r="AC8163">
        <v>4.3188490000000003E-2</v>
      </c>
      <c r="AD8163">
        <v>3.748691</v>
      </c>
      <c r="AE8163">
        <v>0.1717071</v>
      </c>
      <c r="AF8163">
        <v>378.92880000000002</v>
      </c>
      <c r="AG8163">
        <f>IFERROR(AH8163*0.1, "N/A")</f>
        <v>5.7993060000000005</v>
      </c>
      <c r="AH8163">
        <v>57.99306</v>
      </c>
      <c r="AI8163">
        <v>247.53030000000001</v>
      </c>
      <c r="AJ8163">
        <v>18.01389</v>
      </c>
      <c r="AK8163">
        <v>63.25694</v>
      </c>
    </row>
    <row r="8164" spans="1:37" x14ac:dyDescent="0.3">
      <c r="A8164">
        <v>8163</v>
      </c>
      <c r="B8164">
        <v>28.5</v>
      </c>
      <c r="C8164">
        <v>-1.643572</v>
      </c>
      <c r="D8164">
        <v>7.9378510000000002</v>
      </c>
      <c r="E8164">
        <f>-1.643572-7.937851</f>
        <v>-9.5814230000000009</v>
      </c>
      <c r="F8164" t="s">
        <v>12193</v>
      </c>
      <c r="G8164" t="s">
        <v>39</v>
      </c>
      <c r="H8164">
        <v>1966</v>
      </c>
      <c r="I8164">
        <v>25.6</v>
      </c>
      <c r="J8164">
        <v>10.6</v>
      </c>
      <c r="K8164">
        <v>70</v>
      </c>
      <c r="L8164">
        <v>12.91</v>
      </c>
      <c r="M8164">
        <v>34.200000000000003</v>
      </c>
      <c r="N8164">
        <v>19.100000000000001</v>
      </c>
      <c r="O8164">
        <v>15.1</v>
      </c>
      <c r="P8164">
        <v>26</v>
      </c>
      <c r="Q8164">
        <v>26.3</v>
      </c>
      <c r="R8164">
        <v>27.5</v>
      </c>
      <c r="S8164">
        <v>24</v>
      </c>
      <c r="T8164">
        <v>1320</v>
      </c>
      <c r="U8164">
        <v>216</v>
      </c>
      <c r="V8164">
        <v>8</v>
      </c>
      <c r="W8164">
        <v>62</v>
      </c>
      <c r="X8164">
        <v>495</v>
      </c>
      <c r="Y8164">
        <v>42</v>
      </c>
      <c r="Z8164">
        <v>266</v>
      </c>
      <c r="AA8164">
        <v>461</v>
      </c>
      <c r="AB8164">
        <v>73.03201</v>
      </c>
      <c r="AC8164">
        <v>2.3326349999999999E-2</v>
      </c>
      <c r="AD8164">
        <v>2.5687120000000001</v>
      </c>
      <c r="AE8164">
        <v>0.23286689999999999</v>
      </c>
      <c r="AF8164">
        <v>377.29739999999998</v>
      </c>
      <c r="AG8164">
        <f>IFERROR(AH8164*0.1, "N/A")</f>
        <v>5.7913040000000002</v>
      </c>
      <c r="AH8164">
        <v>57.913040000000002</v>
      </c>
      <c r="AI8164">
        <v>63.632599999999996</v>
      </c>
      <c r="AJ8164">
        <v>13</v>
      </c>
      <c r="AK8164">
        <v>67.780869999999993</v>
      </c>
    </row>
    <row r="8165" spans="1:37" x14ac:dyDescent="0.3">
      <c r="A8165">
        <v>8164</v>
      </c>
      <c r="B8165">
        <v>5.7</v>
      </c>
      <c r="C8165">
        <v>-7.5116000000000002E-2</v>
      </c>
      <c r="D8165">
        <v>5.6006400000000003</v>
      </c>
      <c r="E8165">
        <f>-0.075116-5.60064</f>
        <v>-5.6757560000000007</v>
      </c>
      <c r="F8165" t="s">
        <v>12194</v>
      </c>
      <c r="G8165" t="s">
        <v>39</v>
      </c>
      <c r="H8165">
        <v>1955</v>
      </c>
      <c r="I8165">
        <v>26.70701</v>
      </c>
      <c r="J8165">
        <v>7.0851139999999999</v>
      </c>
      <c r="K8165">
        <v>67.851140000000001</v>
      </c>
      <c r="L8165">
        <v>11.86562</v>
      </c>
      <c r="M8165">
        <v>32</v>
      </c>
      <c r="N8165">
        <v>21.607009999999999</v>
      </c>
      <c r="O8165">
        <v>10.392989999999999</v>
      </c>
      <c r="P8165">
        <v>27.2</v>
      </c>
      <c r="Q8165">
        <v>27.41489</v>
      </c>
      <c r="R8165">
        <v>28.007010000000001</v>
      </c>
      <c r="S8165">
        <v>24.907</v>
      </c>
      <c r="T8165">
        <v>783.18560000000002</v>
      </c>
      <c r="U8165">
        <v>199.9299</v>
      </c>
      <c r="V8165">
        <v>11</v>
      </c>
      <c r="W8165">
        <v>80.148859999999999</v>
      </c>
      <c r="X8165">
        <v>426.78109999999998</v>
      </c>
      <c r="Y8165">
        <v>57.851140000000001</v>
      </c>
      <c r="Z8165">
        <v>176.55340000000001</v>
      </c>
      <c r="AA8165">
        <v>132.8511</v>
      </c>
      <c r="AB8165">
        <v>20.982659999999999</v>
      </c>
      <c r="AC8165">
        <v>1.5913139999999999E-2</v>
      </c>
      <c r="AD8165">
        <v>2.0626739999999999</v>
      </c>
      <c r="AE8165">
        <v>0.9257746</v>
      </c>
      <c r="AF8165">
        <v>33.23818</v>
      </c>
      <c r="AG8165">
        <f>IFERROR(AH8165*0.1, "N/A")</f>
        <v>6.7712779999999997</v>
      </c>
      <c r="AH8165">
        <v>67.712779999999995</v>
      </c>
      <c r="AI8165">
        <v>336.62090000000001</v>
      </c>
      <c r="AJ8165">
        <v>26.16112</v>
      </c>
      <c r="AK8165">
        <v>53.399299999999997</v>
      </c>
    </row>
    <row r="8166" spans="1:37" x14ac:dyDescent="0.3">
      <c r="A8166">
        <v>8165</v>
      </c>
      <c r="B8166">
        <v>5.8</v>
      </c>
      <c r="C8166">
        <v>6.3229999999999996E-3</v>
      </c>
      <c r="D8166">
        <v>5.6471299999999998</v>
      </c>
      <c r="E8166" t="s">
        <v>12195</v>
      </c>
      <c r="F8166" t="s">
        <v>12196</v>
      </c>
      <c r="G8166" t="s">
        <v>39</v>
      </c>
      <c r="H8166">
        <v>1955</v>
      </c>
      <c r="I8166">
        <v>26.9</v>
      </c>
      <c r="J8166">
        <v>7.3</v>
      </c>
      <c r="K8166">
        <v>68</v>
      </c>
      <c r="L8166">
        <v>12.2</v>
      </c>
      <c r="M8166">
        <v>32.299999999999997</v>
      </c>
      <c r="N8166">
        <v>21.6</v>
      </c>
      <c r="O8166">
        <v>10.7</v>
      </c>
      <c r="P8166">
        <v>27.3</v>
      </c>
      <c r="Q8166">
        <v>27.7</v>
      </c>
      <c r="R8166">
        <v>28.3</v>
      </c>
      <c r="S8166">
        <v>25</v>
      </c>
      <c r="T8166">
        <v>778</v>
      </c>
      <c r="U8166">
        <v>194</v>
      </c>
      <c r="V8166">
        <v>9</v>
      </c>
      <c r="W8166">
        <v>79</v>
      </c>
      <c r="X8166">
        <v>419</v>
      </c>
      <c r="Y8166">
        <v>56</v>
      </c>
      <c r="Z8166">
        <v>176</v>
      </c>
      <c r="AA8166">
        <v>138</v>
      </c>
      <c r="AB8166">
        <v>8.2078530000000001</v>
      </c>
      <c r="AC8166">
        <v>1.1951649999999999E-2</v>
      </c>
      <c r="AD8166">
        <v>1.3418749999999999</v>
      </c>
      <c r="AE8166">
        <v>0.93502010000000002</v>
      </c>
      <c r="AF8166">
        <v>9.6614310000000003</v>
      </c>
      <c r="AG8166">
        <f>IFERROR(AH8166*0.1, "N/A")</f>
        <v>6.6307159999999996</v>
      </c>
      <c r="AH8166">
        <v>66.307159999999996</v>
      </c>
      <c r="AI8166">
        <v>68.682869999999994</v>
      </c>
      <c r="AJ8166">
        <v>26.075040000000001</v>
      </c>
      <c r="AK8166">
        <v>51.495640000000002</v>
      </c>
    </row>
    <row r="8167" spans="1:37" x14ac:dyDescent="0.3">
      <c r="A8167">
        <v>8166</v>
      </c>
      <c r="B8167">
        <v>6.3</v>
      </c>
      <c r="C8167">
        <v>-5.4002000000000001E-2</v>
      </c>
      <c r="D8167">
        <v>5.6614500000000003</v>
      </c>
      <c r="E8167">
        <f>-0.054002-5.66145</f>
        <v>-5.715452</v>
      </c>
      <c r="F8167" t="s">
        <v>12197</v>
      </c>
      <c r="G8167" t="s">
        <v>39</v>
      </c>
      <c r="H8167">
        <v>1955</v>
      </c>
      <c r="I8167">
        <v>26.8</v>
      </c>
      <c r="J8167">
        <v>7.4</v>
      </c>
      <c r="K8167">
        <v>69</v>
      </c>
      <c r="L8167">
        <v>11.67</v>
      </c>
      <c r="M8167">
        <v>32.200000000000003</v>
      </c>
      <c r="N8167">
        <v>21.6</v>
      </c>
      <c r="O8167">
        <v>10.6</v>
      </c>
      <c r="P8167">
        <v>27.3</v>
      </c>
      <c r="Q8167">
        <v>27.6</v>
      </c>
      <c r="R8167">
        <v>28.1</v>
      </c>
      <c r="S8167">
        <v>25</v>
      </c>
      <c r="T8167">
        <v>802</v>
      </c>
      <c r="U8167">
        <v>197</v>
      </c>
      <c r="V8167">
        <v>11</v>
      </c>
      <c r="W8167">
        <v>77</v>
      </c>
      <c r="X8167">
        <v>426</v>
      </c>
      <c r="Y8167">
        <v>60</v>
      </c>
      <c r="Z8167">
        <v>182</v>
      </c>
      <c r="AA8167">
        <v>141</v>
      </c>
      <c r="AB8167">
        <v>17.931989999999999</v>
      </c>
      <c r="AC8167">
        <v>9.7265289999999994E-3</v>
      </c>
      <c r="AD8167">
        <v>1.3874219999999999</v>
      </c>
      <c r="AE8167">
        <v>0.906864</v>
      </c>
      <c r="AF8167">
        <v>21.37238</v>
      </c>
      <c r="AG8167">
        <f>IFERROR(AH8167*0.1, "N/A")</f>
        <v>6.3924830000000004</v>
      </c>
      <c r="AH8167">
        <v>63.92483</v>
      </c>
      <c r="AI8167">
        <v>190.601</v>
      </c>
      <c r="AJ8167">
        <v>18.531469999999999</v>
      </c>
      <c r="AK8167">
        <v>58.601399999999998</v>
      </c>
    </row>
    <row r="8168" spans="1:37" x14ac:dyDescent="0.3">
      <c r="A8168">
        <v>8167</v>
      </c>
      <c r="B8168">
        <v>0</v>
      </c>
      <c r="C8168">
        <v>5.6619999999999997E-2</v>
      </c>
      <c r="D8168">
        <v>5.6915399999999998</v>
      </c>
      <c r="E8168" t="s">
        <v>12198</v>
      </c>
      <c r="F8168" t="s">
        <v>12199</v>
      </c>
      <c r="G8168" t="s">
        <v>39</v>
      </c>
      <c r="H8168">
        <v>1955</v>
      </c>
      <c r="I8168">
        <v>26.9</v>
      </c>
      <c r="J8168">
        <v>7.4353769999999999</v>
      </c>
      <c r="K8168">
        <v>68</v>
      </c>
      <c r="L8168">
        <v>11.9468</v>
      </c>
      <c r="M8168">
        <v>32.435380000000002</v>
      </c>
      <c r="N8168">
        <v>21.6</v>
      </c>
      <c r="O8168">
        <v>10.835380000000001</v>
      </c>
      <c r="P8168">
        <v>27.3</v>
      </c>
      <c r="Q8168">
        <v>27.7</v>
      </c>
      <c r="R8168">
        <v>28.2</v>
      </c>
      <c r="S8168">
        <v>25.03538</v>
      </c>
      <c r="T8168">
        <v>806.12260000000003</v>
      </c>
      <c r="U8168">
        <v>194</v>
      </c>
      <c r="V8168">
        <v>10</v>
      </c>
      <c r="W8168">
        <v>75</v>
      </c>
      <c r="X8168">
        <v>425.35379999999998</v>
      </c>
      <c r="Y8168">
        <v>57.353769999999997</v>
      </c>
      <c r="Z8168">
        <v>183.35380000000001</v>
      </c>
      <c r="AA8168">
        <v>144.35380000000001</v>
      </c>
      <c r="AB8168">
        <v>13.43205</v>
      </c>
      <c r="AC8168">
        <v>2.6651919999999999E-2</v>
      </c>
      <c r="AD8168">
        <v>2.0320670000000001</v>
      </c>
      <c r="AE8168">
        <v>0.86430309999999999</v>
      </c>
      <c r="AF8168">
        <v>22.94746</v>
      </c>
      <c r="AG8168">
        <f>IFERROR(AH8168*0.1, "N/A")</f>
        <v>6.3628720000000003</v>
      </c>
      <c r="AH8168">
        <v>63.628720000000001</v>
      </c>
      <c r="AI8168">
        <v>311.75130000000001</v>
      </c>
      <c r="AJ8168">
        <v>27.96848</v>
      </c>
      <c r="AK8168">
        <v>50.483359999999998</v>
      </c>
    </row>
    <row r="8169" spans="1:37" x14ac:dyDescent="0.3">
      <c r="A8169">
        <v>8168</v>
      </c>
      <c r="B8169">
        <v>42.9</v>
      </c>
      <c r="C8169">
        <v>-1.7094999999999999E-2</v>
      </c>
      <c r="D8169">
        <v>5.6928000000000001</v>
      </c>
      <c r="E8169">
        <f>-0.017095-5.6928</f>
        <v>-5.7098950000000004</v>
      </c>
      <c r="F8169" t="s">
        <v>12200</v>
      </c>
      <c r="G8169" t="s">
        <v>39</v>
      </c>
      <c r="H8169">
        <v>1955</v>
      </c>
      <c r="I8169">
        <v>26.7</v>
      </c>
      <c r="J8169">
        <v>7.5</v>
      </c>
      <c r="K8169">
        <v>68.483419999999995</v>
      </c>
      <c r="L8169">
        <v>11.8</v>
      </c>
      <c r="M8169">
        <v>32.251660000000001</v>
      </c>
      <c r="N8169">
        <v>21.4</v>
      </c>
      <c r="O8169">
        <v>10.851660000000001</v>
      </c>
      <c r="P8169">
        <v>27.1</v>
      </c>
      <c r="Q8169">
        <v>27.4</v>
      </c>
      <c r="R8169">
        <v>28</v>
      </c>
      <c r="S8169">
        <v>24.9</v>
      </c>
      <c r="T8169">
        <v>828.51660000000004</v>
      </c>
      <c r="U8169">
        <v>196</v>
      </c>
      <c r="V8169">
        <v>11</v>
      </c>
      <c r="W8169">
        <v>73</v>
      </c>
      <c r="X8169">
        <v>429</v>
      </c>
      <c r="Y8169">
        <v>62</v>
      </c>
      <c r="Z8169">
        <v>189</v>
      </c>
      <c r="AA8169">
        <v>151</v>
      </c>
      <c r="AB8169">
        <v>20.706980000000001</v>
      </c>
      <c r="AC8169">
        <v>2.130342E-2</v>
      </c>
      <c r="AD8169">
        <v>1.875054</v>
      </c>
      <c r="AE8169">
        <v>0.9213633</v>
      </c>
      <c r="AF8169">
        <v>46.579410000000003</v>
      </c>
      <c r="AG8169">
        <f>IFERROR(AH8169*0.1, "N/A")</f>
        <v>6.5680629999999995</v>
      </c>
      <c r="AH8169">
        <v>65.680629999999994</v>
      </c>
      <c r="AI8169">
        <v>213.28380000000001</v>
      </c>
      <c r="AJ8169">
        <v>24.001750000000001</v>
      </c>
      <c r="AK8169">
        <v>56.696339999999999</v>
      </c>
    </row>
    <row r="8170" spans="1:37" x14ac:dyDescent="0.3">
      <c r="A8170">
        <v>8169</v>
      </c>
      <c r="B8170">
        <v>1.5</v>
      </c>
      <c r="C8170">
        <v>-3.3333000000000002E-2</v>
      </c>
      <c r="D8170">
        <v>7.8166669999999998</v>
      </c>
      <c r="E8170">
        <f>-0.033333-7.816667</f>
        <v>-7.85</v>
      </c>
      <c r="F8170" t="s">
        <v>12201</v>
      </c>
      <c r="G8170" t="s">
        <v>39</v>
      </c>
      <c r="H8170">
        <v>1963</v>
      </c>
      <c r="I8170">
        <v>27.39913</v>
      </c>
      <c r="J8170">
        <v>11</v>
      </c>
      <c r="K8170">
        <v>65.621110000000002</v>
      </c>
      <c r="L8170">
        <v>13.475860000000001</v>
      </c>
      <c r="M8170">
        <v>35.937019999999997</v>
      </c>
      <c r="N8170">
        <v>19.299140000000001</v>
      </c>
      <c r="O8170">
        <v>16.637889999999999</v>
      </c>
      <c r="P8170">
        <v>25.737020000000001</v>
      </c>
      <c r="Q8170">
        <v>27.747399999999999</v>
      </c>
      <c r="R8170">
        <v>29.294809999999998</v>
      </c>
      <c r="S8170">
        <v>25.737020000000001</v>
      </c>
      <c r="T8170">
        <v>1322.087</v>
      </c>
      <c r="U8170">
        <v>221.0087</v>
      </c>
      <c r="V8170">
        <v>8</v>
      </c>
      <c r="W8170">
        <v>68.378889999999998</v>
      </c>
      <c r="X8170">
        <v>572.78369999999995</v>
      </c>
      <c r="Y8170">
        <v>38.577849999999998</v>
      </c>
      <c r="Z8170">
        <v>185.10380000000001</v>
      </c>
      <c r="AA8170">
        <v>572.78369999999995</v>
      </c>
      <c r="AB8170">
        <v>29.682009999999998</v>
      </c>
      <c r="AC8170">
        <v>1.5723730000000002E-2</v>
      </c>
      <c r="AD8170">
        <v>4.3174039999999998</v>
      </c>
      <c r="AE8170">
        <v>0.68576619999999999</v>
      </c>
      <c r="AF8170">
        <v>121.3062</v>
      </c>
      <c r="AG8170">
        <f>IFERROR(AH8170*0.1, "N/A")</f>
        <v>5.7752600000000003</v>
      </c>
      <c r="AH8170">
        <v>57.752600000000001</v>
      </c>
      <c r="AI8170">
        <v>154.2698</v>
      </c>
      <c r="AJ8170">
        <v>14.828720000000001</v>
      </c>
      <c r="AK8170">
        <v>64.422150000000002</v>
      </c>
    </row>
    <row r="8171" spans="1:37" x14ac:dyDescent="0.3">
      <c r="A8171">
        <v>8170</v>
      </c>
      <c r="B8171">
        <v>1.6</v>
      </c>
      <c r="C8171">
        <v>0.45192199999999999</v>
      </c>
      <c r="D8171">
        <v>6.4778250000000002</v>
      </c>
      <c r="E8171" t="s">
        <v>12202</v>
      </c>
      <c r="F8171" t="s">
        <v>12203</v>
      </c>
      <c r="G8171" t="s">
        <v>39</v>
      </c>
      <c r="H8171">
        <v>1963</v>
      </c>
      <c r="I8171">
        <v>27.2</v>
      </c>
      <c r="J8171">
        <v>9.6999999999999993</v>
      </c>
      <c r="K8171">
        <v>72</v>
      </c>
      <c r="L8171">
        <v>11.15</v>
      </c>
      <c r="M8171">
        <v>34.700000000000003</v>
      </c>
      <c r="N8171">
        <v>21.4</v>
      </c>
      <c r="O8171">
        <v>13.3</v>
      </c>
      <c r="P8171">
        <v>27.5</v>
      </c>
      <c r="Q8171">
        <v>28</v>
      </c>
      <c r="R8171">
        <v>28.6</v>
      </c>
      <c r="S8171">
        <v>25.7</v>
      </c>
      <c r="T8171">
        <v>1215</v>
      </c>
      <c r="U8171">
        <v>185</v>
      </c>
      <c r="V8171">
        <v>23</v>
      </c>
      <c r="W8171">
        <v>49</v>
      </c>
      <c r="X8171">
        <v>478</v>
      </c>
      <c r="Y8171">
        <v>112</v>
      </c>
      <c r="Z8171">
        <v>299</v>
      </c>
      <c r="AA8171">
        <v>287</v>
      </c>
      <c r="AB8171">
        <v>2.356001</v>
      </c>
      <c r="AC8171">
        <v>1.125688E-2</v>
      </c>
      <c r="AD8171">
        <v>1.7455050000000001</v>
      </c>
      <c r="AE8171">
        <v>0.440971</v>
      </c>
      <c r="AF8171">
        <v>80.170429999999996</v>
      </c>
      <c r="AG8171">
        <f>IFERROR(AH8171*0.1, "N/A")</f>
        <v>6</v>
      </c>
      <c r="AH8171">
        <v>60</v>
      </c>
      <c r="AI8171">
        <v>107.2312</v>
      </c>
      <c r="AJ8171">
        <v>18.994779999999999</v>
      </c>
      <c r="AK8171">
        <v>60.015650000000001</v>
      </c>
    </row>
    <row r="8172" spans="1:37" x14ac:dyDescent="0.3">
      <c r="A8172">
        <v>8171</v>
      </c>
      <c r="B8172">
        <v>2.1</v>
      </c>
      <c r="C8172">
        <v>-5.1144000000000002E-2</v>
      </c>
      <c r="D8172">
        <v>7.8002140000000004</v>
      </c>
      <c r="E8172">
        <f>-0.051144-7.800214</f>
        <v>-7.8513580000000003</v>
      </c>
      <c r="F8172" t="s">
        <v>12204</v>
      </c>
      <c r="G8172" t="s">
        <v>39</v>
      </c>
      <c r="H8172">
        <v>1963</v>
      </c>
      <c r="I8172">
        <v>27.5</v>
      </c>
      <c r="J8172">
        <v>11</v>
      </c>
      <c r="K8172">
        <v>66</v>
      </c>
      <c r="L8172">
        <v>13.29106</v>
      </c>
      <c r="M8172">
        <v>36</v>
      </c>
      <c r="N8172">
        <v>19.399999999999999</v>
      </c>
      <c r="O8172">
        <v>16.600000000000001</v>
      </c>
      <c r="P8172">
        <v>25.836870000000001</v>
      </c>
      <c r="Q8172">
        <v>27.8</v>
      </c>
      <c r="R8172">
        <v>29.336870000000001</v>
      </c>
      <c r="S8172">
        <v>25.836870000000001</v>
      </c>
      <c r="T8172">
        <v>1314.6310000000001</v>
      </c>
      <c r="U8172">
        <v>218.63130000000001</v>
      </c>
      <c r="V8172">
        <v>8</v>
      </c>
      <c r="W8172">
        <v>68</v>
      </c>
      <c r="X8172">
        <v>565.52520000000004</v>
      </c>
      <c r="Y8172">
        <v>38.368699999999997</v>
      </c>
      <c r="Z8172">
        <v>184.73740000000001</v>
      </c>
      <c r="AA8172">
        <v>565.52520000000004</v>
      </c>
      <c r="AB8172">
        <v>21.439299999999999</v>
      </c>
      <c r="AC8172">
        <v>1.386187E-2</v>
      </c>
      <c r="AD8172">
        <v>2.8919899999999998</v>
      </c>
      <c r="AE8172">
        <v>0.72943619999999998</v>
      </c>
      <c r="AF8172">
        <v>117.3287</v>
      </c>
      <c r="AG8172">
        <f>IFERROR(AH8172*0.1, "N/A")</f>
        <v>5.8000000000000007</v>
      </c>
      <c r="AH8172">
        <v>58</v>
      </c>
      <c r="AI8172">
        <v>295.55720000000002</v>
      </c>
      <c r="AJ8172">
        <v>15</v>
      </c>
      <c r="AK8172">
        <v>62.975650000000002</v>
      </c>
    </row>
    <row r="8173" spans="1:37" x14ac:dyDescent="0.3">
      <c r="A8173">
        <v>8172</v>
      </c>
      <c r="B8173">
        <v>1.1000000000000001</v>
      </c>
      <c r="C8173">
        <v>-5.3143999999999997E-2</v>
      </c>
      <c r="D8173">
        <v>7.7864360000000001</v>
      </c>
      <c r="E8173">
        <f>-0.053144-7.786436</f>
        <v>-7.8395799999999998</v>
      </c>
      <c r="F8173" t="s">
        <v>12205</v>
      </c>
      <c r="G8173" t="s">
        <v>39</v>
      </c>
      <c r="H8173">
        <v>1963</v>
      </c>
      <c r="I8173">
        <v>27.5</v>
      </c>
      <c r="J8173">
        <v>11</v>
      </c>
      <c r="K8173">
        <v>66</v>
      </c>
      <c r="L8173">
        <v>13.06</v>
      </c>
      <c r="M8173">
        <v>36.1</v>
      </c>
      <c r="N8173">
        <v>19.5</v>
      </c>
      <c r="O8173">
        <v>16.600000000000001</v>
      </c>
      <c r="P8173">
        <v>25.9</v>
      </c>
      <c r="Q8173">
        <v>27.9</v>
      </c>
      <c r="R8173">
        <v>29.4</v>
      </c>
      <c r="S8173">
        <v>25.9</v>
      </c>
      <c r="T8173">
        <v>1315</v>
      </c>
      <c r="U8173">
        <v>218</v>
      </c>
      <c r="V8173">
        <v>8</v>
      </c>
      <c r="W8173">
        <v>68</v>
      </c>
      <c r="X8173">
        <v>562</v>
      </c>
      <c r="Y8173">
        <v>39</v>
      </c>
      <c r="Z8173">
        <v>187</v>
      </c>
      <c r="AA8173">
        <v>562</v>
      </c>
      <c r="AB8173">
        <v>28.52374</v>
      </c>
      <c r="AC8173">
        <v>1.0437790000000001E-2</v>
      </c>
      <c r="AD8173">
        <v>2.899975</v>
      </c>
      <c r="AE8173">
        <v>0.63044080000000002</v>
      </c>
      <c r="AF8173">
        <v>106.0312</v>
      </c>
      <c r="AG8173">
        <f>IFERROR(AH8173*0.1, "N/A")</f>
        <v>5.4315420000000003</v>
      </c>
      <c r="AH8173">
        <v>54.315420000000003</v>
      </c>
      <c r="AI8173">
        <v>190.93709999999999</v>
      </c>
      <c r="AJ8173">
        <v>24.87002</v>
      </c>
      <c r="AK8173">
        <v>52.75217</v>
      </c>
    </row>
    <row r="8174" spans="1:37" x14ac:dyDescent="0.3">
      <c r="A8174">
        <v>8173</v>
      </c>
      <c r="B8174">
        <v>7.9</v>
      </c>
      <c r="C8174">
        <v>0.60338899999999995</v>
      </c>
      <c r="D8174">
        <v>7.7039330000000001</v>
      </c>
      <c r="E8174" t="s">
        <v>12206</v>
      </c>
      <c r="F8174" t="s">
        <v>12207</v>
      </c>
      <c r="G8174" t="s">
        <v>39</v>
      </c>
      <c r="H8174">
        <v>1963</v>
      </c>
      <c r="I8174">
        <v>26.8</v>
      </c>
      <c r="J8174">
        <v>10.8</v>
      </c>
      <c r="K8174">
        <v>71</v>
      </c>
      <c r="L8174">
        <v>11.75</v>
      </c>
      <c r="M8174">
        <v>35.200000000000003</v>
      </c>
      <c r="N8174">
        <v>20.100000000000001</v>
      </c>
      <c r="O8174">
        <v>15.1</v>
      </c>
      <c r="P8174">
        <v>26.1</v>
      </c>
      <c r="Q8174">
        <v>27.4</v>
      </c>
      <c r="R8174">
        <v>28.3</v>
      </c>
      <c r="S8174">
        <v>25.1</v>
      </c>
      <c r="T8174">
        <v>1463</v>
      </c>
      <c r="U8174">
        <v>226</v>
      </c>
      <c r="V8174">
        <v>12</v>
      </c>
      <c r="W8174">
        <v>58</v>
      </c>
      <c r="X8174">
        <v>549</v>
      </c>
      <c r="Y8174">
        <v>74</v>
      </c>
      <c r="Z8174">
        <v>288</v>
      </c>
      <c r="AA8174">
        <v>541</v>
      </c>
      <c r="AB8174">
        <v>33.448529999999998</v>
      </c>
      <c r="AC8174">
        <v>7.0846790000000007E-2</v>
      </c>
      <c r="AD8174">
        <v>4.5508199999999999</v>
      </c>
      <c r="AE8174">
        <v>0.23625579999999999</v>
      </c>
      <c r="AF8174">
        <v>213.2097</v>
      </c>
      <c r="AG8174">
        <f>IFERROR(AH8174*0.1, "N/A")</f>
        <v>5.2</v>
      </c>
      <c r="AH8174">
        <v>52</v>
      </c>
      <c r="AI8174">
        <v>200.31989999999999</v>
      </c>
      <c r="AJ8174">
        <v>28</v>
      </c>
      <c r="AK8174">
        <v>54</v>
      </c>
    </row>
    <row r="8175" spans="1:37" x14ac:dyDescent="0.3">
      <c r="A8175">
        <v>8174</v>
      </c>
      <c r="B8175">
        <v>3.6</v>
      </c>
      <c r="C8175">
        <v>-0.14949999999999999</v>
      </c>
      <c r="D8175">
        <v>6.9208889999999998</v>
      </c>
      <c r="E8175">
        <f>-0.1495-6.920889</f>
        <v>-7.0703889999999996</v>
      </c>
      <c r="F8175" t="s">
        <v>12208</v>
      </c>
      <c r="G8175" t="s">
        <v>39</v>
      </c>
      <c r="H8175">
        <v>1963</v>
      </c>
      <c r="I8175">
        <v>26.890609999999999</v>
      </c>
      <c r="J8175">
        <v>10.7</v>
      </c>
      <c r="K8175">
        <v>74</v>
      </c>
      <c r="L8175">
        <v>10.26</v>
      </c>
      <c r="M8175">
        <v>34.790610000000001</v>
      </c>
      <c r="N8175">
        <v>20.390609999999999</v>
      </c>
      <c r="O8175">
        <v>14.4</v>
      </c>
      <c r="P8175">
        <v>26.4</v>
      </c>
      <c r="Q8175">
        <v>27.290610000000001</v>
      </c>
      <c r="R8175">
        <v>28.19061</v>
      </c>
      <c r="S8175">
        <v>25.49061</v>
      </c>
      <c r="T8175">
        <v>1369.376</v>
      </c>
      <c r="U8175">
        <v>204</v>
      </c>
      <c r="V8175">
        <v>19</v>
      </c>
      <c r="W8175">
        <v>51</v>
      </c>
      <c r="X8175">
        <v>506.09390000000002</v>
      </c>
      <c r="Y8175">
        <v>94</v>
      </c>
      <c r="Z8175">
        <v>288.18779999999998</v>
      </c>
      <c r="AA8175">
        <v>413</v>
      </c>
      <c r="AB8175">
        <v>2.70661</v>
      </c>
      <c r="AC8175">
        <v>7.4116980000000003</v>
      </c>
      <c r="AD8175">
        <v>1.3507</v>
      </c>
      <c r="AE8175">
        <v>0.63134129999999999</v>
      </c>
      <c r="AF8175">
        <v>125.1722</v>
      </c>
      <c r="AG8175">
        <f>IFERROR(AH8175*0.1, "N/A")</f>
        <v>5.9906090000000001</v>
      </c>
      <c r="AH8175">
        <v>59.906089999999999</v>
      </c>
      <c r="AI8175">
        <v>238.94460000000001</v>
      </c>
      <c r="AJ8175">
        <v>21.62435</v>
      </c>
      <c r="AK8175">
        <v>59.281739999999999</v>
      </c>
    </row>
    <row r="8176" spans="1:37" x14ac:dyDescent="0.3">
      <c r="A8176">
        <v>8175</v>
      </c>
      <c r="B8176">
        <v>4.7</v>
      </c>
      <c r="C8176">
        <v>0.3</v>
      </c>
      <c r="D8176">
        <v>7.2832999999999997</v>
      </c>
      <c r="E8176" t="s">
        <v>12209</v>
      </c>
      <c r="F8176" t="s">
        <v>12210</v>
      </c>
      <c r="G8176" t="s">
        <v>39</v>
      </c>
      <c r="H8176">
        <v>1963</v>
      </c>
      <c r="I8176">
        <v>27.54</v>
      </c>
      <c r="J8176">
        <v>10.7</v>
      </c>
      <c r="K8176">
        <v>71.848699999999994</v>
      </c>
      <c r="L8176">
        <v>11.340170000000001</v>
      </c>
      <c r="M8176">
        <v>35.709040000000002</v>
      </c>
      <c r="N8176">
        <v>20.893910000000002</v>
      </c>
      <c r="O8176">
        <v>14.81513</v>
      </c>
      <c r="P8176">
        <v>26.94</v>
      </c>
      <c r="Q8176">
        <v>28.092700000000001</v>
      </c>
      <c r="R8176">
        <v>29.009039999999999</v>
      </c>
      <c r="S8176">
        <v>25.95635</v>
      </c>
      <c r="T8176">
        <v>1407.548</v>
      </c>
      <c r="U8176">
        <v>198.2243</v>
      </c>
      <c r="V8176">
        <v>18.37565</v>
      </c>
      <c r="W8176">
        <v>52</v>
      </c>
      <c r="X8176">
        <v>508.13389999999998</v>
      </c>
      <c r="Y8176">
        <v>84.975650000000002</v>
      </c>
      <c r="Z8176">
        <v>290.81909999999999</v>
      </c>
      <c r="AA8176">
        <v>446.40699999999998</v>
      </c>
      <c r="AB8176">
        <v>20.625910000000001</v>
      </c>
      <c r="AC8176">
        <v>2.4718130000000001E-2</v>
      </c>
      <c r="AD8176">
        <v>2.6270959999999999</v>
      </c>
      <c r="AE8176">
        <v>0.65033909999999995</v>
      </c>
      <c r="AF8176">
        <v>99.892169999999993</v>
      </c>
      <c r="AG8176">
        <f>IFERROR(AH8176*0.1, "N/A")</f>
        <v>5.6000000000000005</v>
      </c>
      <c r="AH8176">
        <v>56</v>
      </c>
      <c r="AI8176">
        <v>80.502049999999997</v>
      </c>
      <c r="AJ8176">
        <v>19.97043</v>
      </c>
      <c r="AK8176">
        <v>56.02957</v>
      </c>
    </row>
    <row r="8177" spans="1:37" x14ac:dyDescent="0.3">
      <c r="A8177">
        <v>8176</v>
      </c>
      <c r="B8177">
        <v>10.6</v>
      </c>
      <c r="C8177">
        <v>-0.1</v>
      </c>
      <c r="D8177">
        <v>6.3966700000000003</v>
      </c>
      <c r="E8177">
        <f>-0.1-6.39667</f>
        <v>-6.4966699999999999</v>
      </c>
      <c r="F8177" t="s">
        <v>12211</v>
      </c>
      <c r="G8177" t="s">
        <v>39</v>
      </c>
      <c r="H8177">
        <v>1963</v>
      </c>
      <c r="I8177">
        <v>25.30471</v>
      </c>
      <c r="J8177">
        <v>10.226179999999999</v>
      </c>
      <c r="K8177">
        <v>76</v>
      </c>
      <c r="L8177">
        <v>9.7309420000000006</v>
      </c>
      <c r="M8177">
        <v>32.630890000000001</v>
      </c>
      <c r="N8177">
        <v>19.27853</v>
      </c>
      <c r="O8177">
        <v>13.352359999999999</v>
      </c>
      <c r="P8177">
        <v>25.604710000000001</v>
      </c>
      <c r="Q8177">
        <v>25.80471</v>
      </c>
      <c r="R8177">
        <v>26.504709999999999</v>
      </c>
      <c r="S8177">
        <v>23.904710000000001</v>
      </c>
      <c r="T8177">
        <v>1428.194</v>
      </c>
      <c r="U8177">
        <v>217.47640000000001</v>
      </c>
      <c r="V8177">
        <v>26.738219999999998</v>
      </c>
      <c r="W8177">
        <v>47</v>
      </c>
      <c r="X8177">
        <v>526.69110000000001</v>
      </c>
      <c r="Y8177">
        <v>130.47640000000001</v>
      </c>
      <c r="Z8177">
        <v>333.16750000000002</v>
      </c>
      <c r="AA8177">
        <v>366.85860000000002</v>
      </c>
      <c r="AB8177">
        <v>28.953240000000001</v>
      </c>
      <c r="AC8177">
        <v>2.732565E-2</v>
      </c>
      <c r="AD8177">
        <v>6.5404030000000004</v>
      </c>
      <c r="AE8177">
        <v>0.66347560000000005</v>
      </c>
      <c r="AF8177">
        <v>281.05579999999998</v>
      </c>
      <c r="AG8177">
        <f>IFERROR(AH8177*0.1, "N/A")</f>
        <v>5.6078530000000004</v>
      </c>
      <c r="AH8177">
        <v>56.078530000000001</v>
      </c>
      <c r="AI8177">
        <v>40.701520000000002</v>
      </c>
      <c r="AJ8177">
        <v>19.157070000000001</v>
      </c>
      <c r="AK8177">
        <v>61.605580000000003</v>
      </c>
    </row>
    <row r="8178" spans="1:37" x14ac:dyDescent="0.3">
      <c r="A8178">
        <v>8177</v>
      </c>
      <c r="B8178">
        <v>3.6</v>
      </c>
      <c r="C8178">
        <v>-0.1</v>
      </c>
      <c r="D8178">
        <v>6.3366699999999998</v>
      </c>
      <c r="E8178">
        <f>-0.1-6.33667</f>
        <v>-6.4366699999999994</v>
      </c>
      <c r="F8178" t="s">
        <v>12212</v>
      </c>
      <c r="G8178" t="s">
        <v>39</v>
      </c>
      <c r="H8178">
        <v>1963</v>
      </c>
      <c r="I8178">
        <v>25.780349999999999</v>
      </c>
      <c r="J8178">
        <v>10.22678</v>
      </c>
      <c r="K8178">
        <v>76</v>
      </c>
      <c r="L8178">
        <v>9.8744519999999998</v>
      </c>
      <c r="M8178">
        <v>33.180349999999997</v>
      </c>
      <c r="N8178">
        <v>19.853560000000002</v>
      </c>
      <c r="O8178">
        <v>13.326779999999999</v>
      </c>
      <c r="P8178">
        <v>26.153569999999998</v>
      </c>
      <c r="Q8178">
        <v>26.280349999999999</v>
      </c>
      <c r="R8178">
        <v>27.00713</v>
      </c>
      <c r="S8178">
        <v>24.453569999999999</v>
      </c>
      <c r="T8178">
        <v>1387.1790000000001</v>
      </c>
      <c r="U8178">
        <v>214.73220000000001</v>
      </c>
      <c r="V8178">
        <v>26</v>
      </c>
      <c r="W8178">
        <v>47.267829999999996</v>
      </c>
      <c r="X8178">
        <v>520.92870000000005</v>
      </c>
      <c r="Y8178">
        <v>128.73220000000001</v>
      </c>
      <c r="Z8178">
        <v>325.39299999999997</v>
      </c>
      <c r="AA8178">
        <v>342.58960000000002</v>
      </c>
      <c r="AB8178">
        <v>64.309399999999997</v>
      </c>
      <c r="AC8178">
        <v>5.8516110000000003E-2</v>
      </c>
      <c r="AD8178">
        <v>2.2355339999999999</v>
      </c>
      <c r="AE8178">
        <v>0.64112190000000002</v>
      </c>
      <c r="AF8178">
        <v>228.97389999999999</v>
      </c>
      <c r="AG8178">
        <f>IFERROR(AH8178*0.1, "N/A")</f>
        <v>5.6648700000000005</v>
      </c>
      <c r="AH8178">
        <v>56.648699999999998</v>
      </c>
      <c r="AI8178">
        <v>67.138249999999999</v>
      </c>
      <c r="AJ8178">
        <v>21.53565</v>
      </c>
      <c r="AK8178">
        <v>58.723480000000002</v>
      </c>
    </row>
    <row r="8179" spans="1:37" x14ac:dyDescent="0.3">
      <c r="A8179">
        <v>8178</v>
      </c>
      <c r="B8179">
        <v>1.3</v>
      </c>
      <c r="C8179">
        <v>0.28333000000000003</v>
      </c>
      <c r="D8179">
        <v>6.9</v>
      </c>
      <c r="E8179" t="s">
        <v>12213</v>
      </c>
      <c r="F8179" t="s">
        <v>12214</v>
      </c>
      <c r="G8179" t="s">
        <v>39</v>
      </c>
      <c r="H8179">
        <v>1963</v>
      </c>
      <c r="I8179">
        <v>26.95157</v>
      </c>
      <c r="J8179">
        <v>10.5</v>
      </c>
      <c r="K8179">
        <v>74.111500000000007</v>
      </c>
      <c r="L8179">
        <v>10.615819999999999</v>
      </c>
      <c r="M8179">
        <v>34.840420000000002</v>
      </c>
      <c r="N8179">
        <v>20.751570000000001</v>
      </c>
      <c r="O8179">
        <v>14.088850000000001</v>
      </c>
      <c r="P8179">
        <v>26.44042</v>
      </c>
      <c r="Q8179">
        <v>27.45157</v>
      </c>
      <c r="R8179">
        <v>28.347909999999999</v>
      </c>
      <c r="S8179">
        <v>25.496690000000001</v>
      </c>
      <c r="T8179">
        <v>1404.1410000000001</v>
      </c>
      <c r="U8179">
        <v>202.5958</v>
      </c>
      <c r="V8179">
        <v>22.186409999999999</v>
      </c>
      <c r="W8179">
        <v>48.813589999999998</v>
      </c>
      <c r="X8179">
        <v>515.41110000000003</v>
      </c>
      <c r="Y8179">
        <v>103.7822</v>
      </c>
      <c r="Z8179">
        <v>297.08010000000002</v>
      </c>
      <c r="AA8179">
        <v>434.97910000000002</v>
      </c>
      <c r="AB8179">
        <v>13.1317</v>
      </c>
      <c r="AC8179">
        <v>0.21040539999999999</v>
      </c>
      <c r="AD8179">
        <v>2.818085</v>
      </c>
      <c r="AE8179">
        <v>0.75454200000000005</v>
      </c>
      <c r="AF8179">
        <v>150.48949999999999</v>
      </c>
      <c r="AG8179">
        <f>IFERROR(AH8179*0.1, "N/A")</f>
        <v>5.8000000000000007</v>
      </c>
      <c r="AH8179">
        <v>58</v>
      </c>
      <c r="AI8179">
        <v>108.5167</v>
      </c>
      <c r="AJ8179">
        <v>17</v>
      </c>
      <c r="AK8179">
        <v>60.372819999999997</v>
      </c>
    </row>
    <row r="8180" spans="1:37" x14ac:dyDescent="0.3">
      <c r="A8180">
        <v>8179</v>
      </c>
      <c r="B8180">
        <v>2.9</v>
      </c>
      <c r="C8180">
        <v>0.43046899999999999</v>
      </c>
      <c r="D8180">
        <v>7.0445060000000002</v>
      </c>
      <c r="E8180" t="s">
        <v>12215</v>
      </c>
      <c r="F8180" t="s">
        <v>12216</v>
      </c>
      <c r="G8180" t="s">
        <v>39</v>
      </c>
      <c r="H8180">
        <v>1963</v>
      </c>
      <c r="I8180">
        <v>27.1</v>
      </c>
      <c r="J8180">
        <v>10.5</v>
      </c>
      <c r="K8180">
        <v>75</v>
      </c>
      <c r="L8180">
        <v>10.9</v>
      </c>
      <c r="M8180">
        <v>34.9</v>
      </c>
      <c r="N8180">
        <v>20.9</v>
      </c>
      <c r="O8180">
        <v>14</v>
      </c>
      <c r="P8180">
        <v>26.5</v>
      </c>
      <c r="Q8180">
        <v>27.6</v>
      </c>
      <c r="R8180">
        <v>28.5</v>
      </c>
      <c r="S8180">
        <v>25.5</v>
      </c>
      <c r="T8180">
        <v>1438</v>
      </c>
      <c r="U8180">
        <v>205</v>
      </c>
      <c r="V8180">
        <v>24</v>
      </c>
      <c r="W8180">
        <v>49</v>
      </c>
      <c r="X8180">
        <v>514</v>
      </c>
      <c r="Y8180">
        <v>105</v>
      </c>
      <c r="Z8180">
        <v>309</v>
      </c>
      <c r="AA8180">
        <v>447</v>
      </c>
      <c r="AB8180">
        <v>23.556719999999999</v>
      </c>
      <c r="AC8180">
        <v>8.4846100000000001E-3</v>
      </c>
      <c r="AD8180">
        <v>0.91394180000000003</v>
      </c>
      <c r="AE8180">
        <v>0.68405629999999995</v>
      </c>
      <c r="AF8180">
        <v>160.53399999999999</v>
      </c>
      <c r="AG8180">
        <f>IFERROR(AH8180*0.1, "N/A")</f>
        <v>5.9890050000000006</v>
      </c>
      <c r="AH8180">
        <v>59.890050000000002</v>
      </c>
      <c r="AI8180">
        <v>73.235429999999994</v>
      </c>
      <c r="AJ8180">
        <v>14.10995</v>
      </c>
      <c r="AK8180">
        <v>65.989530000000002</v>
      </c>
    </row>
    <row r="8181" spans="1:37" x14ac:dyDescent="0.3">
      <c r="A8181">
        <v>8180</v>
      </c>
      <c r="B8181">
        <v>5</v>
      </c>
      <c r="C8181">
        <v>0.24675</v>
      </c>
      <c r="D8181">
        <v>6.5342500000000001</v>
      </c>
      <c r="E8181" t="s">
        <v>12217</v>
      </c>
      <c r="F8181" t="s">
        <v>12218</v>
      </c>
      <c r="G8181" t="s">
        <v>39</v>
      </c>
      <c r="H8181">
        <v>1963</v>
      </c>
      <c r="I8181">
        <v>26.298780000000001</v>
      </c>
      <c r="J8181">
        <v>10.19965</v>
      </c>
      <c r="K8181">
        <v>74</v>
      </c>
      <c r="L8181">
        <v>10.95017</v>
      </c>
      <c r="M8181">
        <v>33.998429999999999</v>
      </c>
      <c r="N8181">
        <v>20.298780000000001</v>
      </c>
      <c r="O8181">
        <v>13.69965</v>
      </c>
      <c r="P8181">
        <v>26.498950000000001</v>
      </c>
      <c r="Q8181">
        <v>26.99878</v>
      </c>
      <c r="R8181">
        <v>27.698599999999999</v>
      </c>
      <c r="S8181">
        <v>24.7986</v>
      </c>
      <c r="T8181">
        <v>1318.115</v>
      </c>
      <c r="U8181">
        <v>205.00700000000001</v>
      </c>
      <c r="V8181">
        <v>23.003489999999999</v>
      </c>
      <c r="W8181">
        <v>47.998249999999999</v>
      </c>
      <c r="X8181">
        <v>494.02969999999999</v>
      </c>
      <c r="Y8181">
        <v>117.0157</v>
      </c>
      <c r="Z8181">
        <v>298.03320000000002</v>
      </c>
      <c r="AA8181">
        <v>337.04360000000003</v>
      </c>
      <c r="AB8181">
        <v>30.557590000000001</v>
      </c>
      <c r="AC8181">
        <v>1.8647029999999998E-2</v>
      </c>
      <c r="AD8181">
        <v>10.30411</v>
      </c>
      <c r="AE8181">
        <v>0.66185050000000001</v>
      </c>
      <c r="AF8181">
        <v>220.19550000000001</v>
      </c>
      <c r="AG8181">
        <f>IFERROR(AH8181*0.1, "N/A")</f>
        <v>5.8000000000000007</v>
      </c>
      <c r="AH8181">
        <v>58</v>
      </c>
      <c r="AI8181">
        <v>318.12689999999998</v>
      </c>
      <c r="AJ8181">
        <v>17.724260000000001</v>
      </c>
      <c r="AK8181">
        <v>61.394419999999997</v>
      </c>
    </row>
    <row r="8182" spans="1:37" x14ac:dyDescent="0.3">
      <c r="A8182">
        <v>8181</v>
      </c>
      <c r="B8182">
        <v>6.7</v>
      </c>
      <c r="C8182">
        <v>0.61878900000000003</v>
      </c>
      <c r="D8182">
        <v>6.6787000000000001</v>
      </c>
      <c r="E8182" t="s">
        <v>12219</v>
      </c>
      <c r="F8182" t="s">
        <v>12220</v>
      </c>
      <c r="G8182" t="s">
        <v>39</v>
      </c>
      <c r="H8182">
        <v>1963</v>
      </c>
      <c r="I8182">
        <v>26.5</v>
      </c>
      <c r="J8182">
        <v>9.9</v>
      </c>
      <c r="K8182">
        <v>75</v>
      </c>
      <c r="L8182">
        <v>10.83</v>
      </c>
      <c r="M8182">
        <v>34</v>
      </c>
      <c r="N8182">
        <v>20.8</v>
      </c>
      <c r="O8182">
        <v>13.2</v>
      </c>
      <c r="P8182">
        <v>26.9</v>
      </c>
      <c r="Q8182">
        <v>27.2</v>
      </c>
      <c r="R8182">
        <v>27.9</v>
      </c>
      <c r="S8182">
        <v>25</v>
      </c>
      <c r="T8182">
        <v>1322</v>
      </c>
      <c r="U8182">
        <v>192</v>
      </c>
      <c r="V8182">
        <v>28</v>
      </c>
      <c r="W8182">
        <v>48</v>
      </c>
      <c r="X8182">
        <v>501</v>
      </c>
      <c r="Y8182">
        <v>121</v>
      </c>
      <c r="Z8182">
        <v>323</v>
      </c>
      <c r="AA8182">
        <v>361</v>
      </c>
      <c r="AB8182">
        <v>109.2452</v>
      </c>
      <c r="AC8182">
        <v>1.173973E-2</v>
      </c>
      <c r="AD8182">
        <v>12.21991</v>
      </c>
      <c r="AE8182">
        <v>0.64903929999999999</v>
      </c>
      <c r="AF8182">
        <v>216.07650000000001</v>
      </c>
      <c r="AG8182">
        <f>IFERROR(AH8182*0.1, "N/A")</f>
        <v>5.882435000000001</v>
      </c>
      <c r="AH8182">
        <v>58.824350000000003</v>
      </c>
      <c r="AI8182">
        <v>240.35310000000001</v>
      </c>
      <c r="AJ8182">
        <v>14.37739</v>
      </c>
      <c r="AK8182">
        <v>65.867829999999998</v>
      </c>
    </row>
    <row r="8183" spans="1:37" x14ac:dyDescent="0.3">
      <c r="A8183">
        <v>8182</v>
      </c>
      <c r="B8183">
        <v>3.9</v>
      </c>
      <c r="C8183">
        <v>-0.23003599999999999</v>
      </c>
      <c r="D8183">
        <v>5.5580780000000001</v>
      </c>
      <c r="E8183">
        <f>-0.230036-5.558078</f>
        <v>-5.7881140000000002</v>
      </c>
      <c r="F8183" t="s">
        <v>12221</v>
      </c>
      <c r="G8183" t="s">
        <v>39</v>
      </c>
      <c r="H8183">
        <v>1963</v>
      </c>
      <c r="I8183">
        <v>26.80489</v>
      </c>
      <c r="J8183">
        <v>7.1</v>
      </c>
      <c r="K8183">
        <v>67</v>
      </c>
      <c r="L8183">
        <v>12.519019999999999</v>
      </c>
      <c r="M8183">
        <v>32.204889999999999</v>
      </c>
      <c r="N8183">
        <v>21.704889999999999</v>
      </c>
      <c r="O8183">
        <v>10.5</v>
      </c>
      <c r="P8183">
        <v>27.3</v>
      </c>
      <c r="Q8183">
        <v>27.704889999999999</v>
      </c>
      <c r="R8183">
        <v>28.204889999999999</v>
      </c>
      <c r="S8183">
        <v>24.904890000000002</v>
      </c>
      <c r="T8183">
        <v>813.19550000000004</v>
      </c>
      <c r="U8183">
        <v>209</v>
      </c>
      <c r="V8183">
        <v>14.048870000000001</v>
      </c>
      <c r="W8183">
        <v>80.902270000000001</v>
      </c>
      <c r="X8183">
        <v>442.0489</v>
      </c>
      <c r="Y8183">
        <v>67.097729999999999</v>
      </c>
      <c r="Z8183">
        <v>181.14660000000001</v>
      </c>
      <c r="AA8183">
        <v>126</v>
      </c>
      <c r="AB8183">
        <v>0.92129139999999998</v>
      </c>
      <c r="AC8183">
        <v>3.139964</v>
      </c>
      <c r="AD8183">
        <v>0.84478180000000003</v>
      </c>
      <c r="AE8183">
        <v>0.94204060000000001</v>
      </c>
      <c r="AF8183">
        <v>5.502618</v>
      </c>
      <c r="AG8183">
        <f>IFERROR(AH8183*0.1, "N/A")</f>
        <v>7.0399649999999996</v>
      </c>
      <c r="AH8183">
        <v>70.399649999999994</v>
      </c>
      <c r="AI8183">
        <v>221.78960000000001</v>
      </c>
      <c r="AJ8183">
        <v>29.03839</v>
      </c>
      <c r="AK8183">
        <v>46.605580000000003</v>
      </c>
    </row>
    <row r="8184" spans="1:37" x14ac:dyDescent="0.3">
      <c r="A8184">
        <v>8183</v>
      </c>
      <c r="B8184">
        <v>1.7</v>
      </c>
      <c r="C8184">
        <v>-0.23003599999999999</v>
      </c>
      <c r="D8184">
        <v>5.5462150000000001</v>
      </c>
      <c r="E8184">
        <f>-0.230036-5.546215</f>
        <v>-5.7762510000000002</v>
      </c>
      <c r="F8184" t="s">
        <v>12222</v>
      </c>
      <c r="G8184" t="s">
        <v>39</v>
      </c>
      <c r="H8184">
        <v>1963</v>
      </c>
      <c r="I8184">
        <v>26.8</v>
      </c>
      <c r="J8184">
        <v>7.1</v>
      </c>
      <c r="K8184">
        <v>67</v>
      </c>
      <c r="L8184">
        <v>12.34</v>
      </c>
      <c r="M8184">
        <v>32.200000000000003</v>
      </c>
      <c r="N8184">
        <v>21.7</v>
      </c>
      <c r="O8184">
        <v>10.5</v>
      </c>
      <c r="P8184">
        <v>27.2</v>
      </c>
      <c r="Q8184">
        <v>27.6</v>
      </c>
      <c r="R8184">
        <v>28.2</v>
      </c>
      <c r="S8184">
        <v>24.9</v>
      </c>
      <c r="T8184">
        <v>813</v>
      </c>
      <c r="U8184">
        <v>209</v>
      </c>
      <c r="V8184">
        <v>14</v>
      </c>
      <c r="W8184">
        <v>81</v>
      </c>
      <c r="X8184">
        <v>442</v>
      </c>
      <c r="Y8184">
        <v>67</v>
      </c>
      <c r="Z8184">
        <v>181</v>
      </c>
      <c r="AA8184">
        <v>126</v>
      </c>
      <c r="AB8184">
        <v>16.777619999999999</v>
      </c>
      <c r="AC8184">
        <v>1.7017290000000001E-2</v>
      </c>
      <c r="AD8184">
        <v>3.1470099999999999</v>
      </c>
      <c r="AE8184">
        <v>0.92831989999999998</v>
      </c>
      <c r="AF8184">
        <v>21</v>
      </c>
      <c r="AG8184">
        <f>IFERROR(AH8184*0.1, "N/A")</f>
        <v>6.5994760000000001</v>
      </c>
      <c r="AH8184">
        <v>65.994759999999999</v>
      </c>
      <c r="AI8184">
        <v>56.589709999999997</v>
      </c>
      <c r="AJ8184">
        <v>30.993010000000002</v>
      </c>
      <c r="AK8184">
        <v>44.006990000000002</v>
      </c>
    </row>
    <row r="8185" spans="1:37" x14ac:dyDescent="0.3">
      <c r="A8185">
        <v>8184</v>
      </c>
      <c r="B8185">
        <v>5.9</v>
      </c>
      <c r="C8185">
        <v>0.27766400000000002</v>
      </c>
      <c r="D8185">
        <v>6.2777060000000002</v>
      </c>
      <c r="E8185" t="s">
        <v>12223</v>
      </c>
      <c r="F8185" t="s">
        <v>12224</v>
      </c>
      <c r="G8185" t="s">
        <v>39</v>
      </c>
      <c r="H8185">
        <v>1963</v>
      </c>
      <c r="I8185">
        <v>27.1</v>
      </c>
      <c r="J8185">
        <v>9.6999999999999993</v>
      </c>
      <c r="K8185">
        <v>73</v>
      </c>
      <c r="L8185">
        <v>11.55</v>
      </c>
      <c r="M8185">
        <v>34.4</v>
      </c>
      <c r="N8185">
        <v>21.2</v>
      </c>
      <c r="O8185">
        <v>13.2</v>
      </c>
      <c r="P8185">
        <v>27.4</v>
      </c>
      <c r="Q8185">
        <v>27.9</v>
      </c>
      <c r="R8185">
        <v>28.6</v>
      </c>
      <c r="S8185">
        <v>25.5</v>
      </c>
      <c r="T8185">
        <v>1150</v>
      </c>
      <c r="U8185">
        <v>191</v>
      </c>
      <c r="V8185">
        <v>20</v>
      </c>
      <c r="W8185">
        <v>52</v>
      </c>
      <c r="X8185">
        <v>475</v>
      </c>
      <c r="Y8185">
        <v>101</v>
      </c>
      <c r="Z8185">
        <v>277</v>
      </c>
      <c r="AA8185">
        <v>248</v>
      </c>
      <c r="AB8185">
        <v>7.2328669999999997</v>
      </c>
      <c r="AC8185">
        <v>2.5359159999999999E-2</v>
      </c>
      <c r="AD8185">
        <v>1.3203659999999999</v>
      </c>
      <c r="AE8185">
        <v>0.6649427</v>
      </c>
      <c r="AF8185">
        <v>57.87762</v>
      </c>
      <c r="AG8185">
        <f>IFERROR(AH8185*0.1, "N/A")</f>
        <v>6.2157340000000003</v>
      </c>
      <c r="AH8185">
        <v>62.157339999999998</v>
      </c>
      <c r="AI8185">
        <v>155.73490000000001</v>
      </c>
      <c r="AJ8185">
        <v>25.157340000000001</v>
      </c>
      <c r="AK8185">
        <v>49.842660000000002</v>
      </c>
    </row>
    <row r="8186" spans="1:37" x14ac:dyDescent="0.3">
      <c r="A8186">
        <v>8185</v>
      </c>
      <c r="B8186">
        <v>3</v>
      </c>
      <c r="C8186">
        <v>0.48799199999999998</v>
      </c>
      <c r="D8186">
        <v>6.4501109999999997</v>
      </c>
      <c r="E8186" t="s">
        <v>12225</v>
      </c>
      <c r="F8186" t="s">
        <v>12226</v>
      </c>
      <c r="G8186" t="s">
        <v>39</v>
      </c>
      <c r="H8186">
        <v>1963</v>
      </c>
      <c r="I8186">
        <v>27.3</v>
      </c>
      <c r="J8186">
        <v>9.6</v>
      </c>
      <c r="K8186">
        <v>72.686959999999999</v>
      </c>
      <c r="L8186">
        <v>11.573219999999999</v>
      </c>
      <c r="M8186">
        <v>34.631300000000003</v>
      </c>
      <c r="N8186">
        <v>21.5</v>
      </c>
      <c r="O8186">
        <v>13.1313</v>
      </c>
      <c r="P8186">
        <v>27.6313</v>
      </c>
      <c r="Q8186">
        <v>28.1</v>
      </c>
      <c r="R8186">
        <v>28.731300000000001</v>
      </c>
      <c r="S8186">
        <v>25.7</v>
      </c>
      <c r="T8186">
        <v>1182.4960000000001</v>
      </c>
      <c r="U8186">
        <v>182</v>
      </c>
      <c r="V8186">
        <v>23</v>
      </c>
      <c r="W8186">
        <v>50</v>
      </c>
      <c r="X8186">
        <v>471.68700000000001</v>
      </c>
      <c r="Y8186">
        <v>108.687</v>
      </c>
      <c r="Z8186">
        <v>295.0609</v>
      </c>
      <c r="AA8186">
        <v>272.74779999999998</v>
      </c>
      <c r="AB8186">
        <v>2.7045210000000002</v>
      </c>
      <c r="AC8186">
        <v>1.267575E-2</v>
      </c>
      <c r="AD8186">
        <v>1.291579</v>
      </c>
      <c r="AE8186">
        <v>0.43945190000000001</v>
      </c>
      <c r="AF8186">
        <v>63.881740000000001</v>
      </c>
      <c r="AG8186">
        <f>IFERROR(AH8186*0.1, "N/A")</f>
        <v>6.2</v>
      </c>
      <c r="AH8186">
        <v>62</v>
      </c>
      <c r="AI8186">
        <v>212.6807</v>
      </c>
      <c r="AJ8186">
        <v>15.309570000000001</v>
      </c>
      <c r="AK8186">
        <v>63</v>
      </c>
    </row>
    <row r="8187" spans="1:37" x14ac:dyDescent="0.3">
      <c r="A8187">
        <v>8186</v>
      </c>
      <c r="B8187">
        <v>5.5</v>
      </c>
      <c r="C8187">
        <v>0.56935599999999997</v>
      </c>
      <c r="D8187">
        <v>6.2807579999999996</v>
      </c>
      <c r="E8187" t="s">
        <v>12227</v>
      </c>
      <c r="F8187" t="s">
        <v>12228</v>
      </c>
      <c r="G8187" t="s">
        <v>39</v>
      </c>
      <c r="H8187">
        <v>1963</v>
      </c>
      <c r="I8187">
        <v>26.9</v>
      </c>
      <c r="J8187">
        <v>8.9</v>
      </c>
      <c r="K8187">
        <v>72</v>
      </c>
      <c r="L8187">
        <v>11.26</v>
      </c>
      <c r="M8187">
        <v>33.6</v>
      </c>
      <c r="N8187">
        <v>21.4</v>
      </c>
      <c r="O8187">
        <v>12.2</v>
      </c>
      <c r="P8187">
        <v>27.3</v>
      </c>
      <c r="Q8187">
        <v>27.6</v>
      </c>
      <c r="R8187">
        <v>28.3</v>
      </c>
      <c r="S8187">
        <v>25.3</v>
      </c>
      <c r="T8187">
        <v>1106</v>
      </c>
      <c r="U8187">
        <v>182</v>
      </c>
      <c r="V8187">
        <v>20</v>
      </c>
      <c r="W8187">
        <v>54</v>
      </c>
      <c r="X8187">
        <v>469</v>
      </c>
      <c r="Y8187">
        <v>96</v>
      </c>
      <c r="Z8187">
        <v>280</v>
      </c>
      <c r="AA8187">
        <v>233</v>
      </c>
      <c r="AB8187">
        <v>14.29007</v>
      </c>
      <c r="AC8187">
        <v>8.6604170000000001E-3</v>
      </c>
      <c r="AD8187">
        <v>1.7845770000000001</v>
      </c>
      <c r="AE8187">
        <v>0.4126824</v>
      </c>
      <c r="AF8187">
        <v>87.519159999999999</v>
      </c>
      <c r="AG8187">
        <f>IFERROR(AH8187*0.1, "N/A")</f>
        <v>6.1038330000000007</v>
      </c>
      <c r="AH8187">
        <v>61.038330000000002</v>
      </c>
      <c r="AI8187">
        <v>146.62430000000001</v>
      </c>
      <c r="AJ8187">
        <v>14.900700000000001</v>
      </c>
      <c r="AK8187">
        <v>72.019159999999999</v>
      </c>
    </row>
    <row r="8188" spans="1:37" x14ac:dyDescent="0.3">
      <c r="A8188">
        <v>8187</v>
      </c>
      <c r="B8188">
        <v>23.5</v>
      </c>
      <c r="C8188">
        <v>0.56920800000000005</v>
      </c>
      <c r="D8188">
        <v>6.2674640000000004</v>
      </c>
      <c r="E8188" t="s">
        <v>12229</v>
      </c>
      <c r="F8188" t="s">
        <v>12230</v>
      </c>
      <c r="G8188" t="s">
        <v>39</v>
      </c>
      <c r="H8188">
        <v>1963</v>
      </c>
      <c r="I8188">
        <v>26.9</v>
      </c>
      <c r="J8188">
        <v>8.8000000000000007</v>
      </c>
      <c r="K8188">
        <v>72</v>
      </c>
      <c r="L8188">
        <v>10.95</v>
      </c>
      <c r="M8188">
        <v>33.5</v>
      </c>
      <c r="N8188">
        <v>21.4</v>
      </c>
      <c r="O8188">
        <v>12.1</v>
      </c>
      <c r="P8188">
        <v>27.2</v>
      </c>
      <c r="Q8188">
        <v>27.6</v>
      </c>
      <c r="R8188">
        <v>28.2</v>
      </c>
      <c r="S8188">
        <v>25.3</v>
      </c>
      <c r="T8188">
        <v>1103</v>
      </c>
      <c r="U8188">
        <v>182</v>
      </c>
      <c r="V8188">
        <v>19</v>
      </c>
      <c r="W8188">
        <v>55</v>
      </c>
      <c r="X8188">
        <v>469</v>
      </c>
      <c r="Y8188">
        <v>95</v>
      </c>
      <c r="Z8188">
        <v>280</v>
      </c>
      <c r="AA8188">
        <v>231</v>
      </c>
      <c r="AB8188">
        <v>13.55697</v>
      </c>
      <c r="AC8188">
        <v>4.1156360000000003E-2</v>
      </c>
      <c r="AD8188">
        <v>2.8009719999999998</v>
      </c>
      <c r="AE8188">
        <v>0.58138500000000004</v>
      </c>
      <c r="AF8188">
        <v>86.351920000000007</v>
      </c>
      <c r="AG8188">
        <f>IFERROR(AH8188*0.1, "N/A")</f>
        <v>6.1968640000000006</v>
      </c>
      <c r="AH8188">
        <v>61.968640000000001</v>
      </c>
      <c r="AI8188">
        <v>239.30369999999999</v>
      </c>
      <c r="AJ8188">
        <v>15.89373</v>
      </c>
      <c r="AK8188">
        <v>69.069689999999994</v>
      </c>
    </row>
    <row r="8189" spans="1:37" x14ac:dyDescent="0.3">
      <c r="A8189">
        <v>8188</v>
      </c>
      <c r="B8189">
        <v>23.9</v>
      </c>
      <c r="C8189">
        <v>0.63332999999999995</v>
      </c>
      <c r="D8189">
        <v>5.8833299999999999</v>
      </c>
      <c r="E8189" t="s">
        <v>12231</v>
      </c>
      <c r="F8189" t="s">
        <v>12232</v>
      </c>
      <c r="G8189" t="s">
        <v>39</v>
      </c>
      <c r="H8189">
        <v>1963</v>
      </c>
      <c r="I8189">
        <v>27</v>
      </c>
      <c r="J8189">
        <v>6.6864109999999997</v>
      </c>
      <c r="K8189">
        <v>65.729969999999994</v>
      </c>
      <c r="L8189">
        <v>12.4276</v>
      </c>
      <c r="M8189">
        <v>32.1</v>
      </c>
      <c r="N8189">
        <v>21.98659</v>
      </c>
      <c r="O8189">
        <v>10.11341</v>
      </c>
      <c r="P8189">
        <v>27.4</v>
      </c>
      <c r="Q8189">
        <v>27.7</v>
      </c>
      <c r="R8189">
        <v>28.373000000000001</v>
      </c>
      <c r="S8189">
        <v>25.134319999999999</v>
      </c>
      <c r="T8189">
        <v>879.59410000000003</v>
      </c>
      <c r="U8189">
        <v>193</v>
      </c>
      <c r="V8189">
        <v>6</v>
      </c>
      <c r="W8189">
        <v>75</v>
      </c>
      <c r="X8189">
        <v>458</v>
      </c>
      <c r="Y8189">
        <v>44</v>
      </c>
      <c r="Z8189">
        <v>204.73</v>
      </c>
      <c r="AA8189">
        <v>163.13409999999999</v>
      </c>
      <c r="AB8189">
        <v>0.69686409999999999</v>
      </c>
      <c r="AC8189">
        <v>0.10214819999999999</v>
      </c>
      <c r="AD8189">
        <v>1.7888740000000001</v>
      </c>
      <c r="AE8189">
        <v>0.65639769999999997</v>
      </c>
      <c r="AF8189">
        <v>1.155052</v>
      </c>
      <c r="AG8189">
        <f>IFERROR(AH8189*0.1, "N/A")</f>
        <v>5.0613239999999999</v>
      </c>
      <c r="AH8189">
        <v>50.613239999999998</v>
      </c>
      <c r="AI8189">
        <v>133.77199999999999</v>
      </c>
      <c r="AJ8189">
        <v>24.43206</v>
      </c>
      <c r="AK8189">
        <v>52.135890000000003</v>
      </c>
    </row>
    <row r="8190" spans="1:37" x14ac:dyDescent="0.3">
      <c r="A8190">
        <v>8189</v>
      </c>
      <c r="B8190">
        <v>1.2</v>
      </c>
      <c r="C8190">
        <v>0.82489400000000002</v>
      </c>
      <c r="D8190">
        <v>6.3414190000000001</v>
      </c>
      <c r="E8190" t="s">
        <v>12233</v>
      </c>
      <c r="F8190" t="s">
        <v>12234</v>
      </c>
      <c r="G8190" t="s">
        <v>39</v>
      </c>
      <c r="H8190">
        <v>1963</v>
      </c>
      <c r="I8190">
        <v>26.93328</v>
      </c>
      <c r="J8190">
        <v>8.6332749999999994</v>
      </c>
      <c r="K8190">
        <v>74</v>
      </c>
      <c r="L8190">
        <v>10.64669</v>
      </c>
      <c r="M8190">
        <v>33.361319999999999</v>
      </c>
      <c r="N8190">
        <v>21.79477</v>
      </c>
      <c r="O8190">
        <v>11.566549999999999</v>
      </c>
      <c r="P8190">
        <v>27.3</v>
      </c>
      <c r="Q8190">
        <v>27.561319999999998</v>
      </c>
      <c r="R8190">
        <v>28.3</v>
      </c>
      <c r="S8190">
        <v>25.5</v>
      </c>
      <c r="T8190">
        <v>1088.3150000000001</v>
      </c>
      <c r="U8190">
        <v>180</v>
      </c>
      <c r="V8190">
        <v>21</v>
      </c>
      <c r="W8190">
        <v>56</v>
      </c>
      <c r="X8190">
        <v>471</v>
      </c>
      <c r="Y8190">
        <v>94.052260000000004</v>
      </c>
      <c r="Z8190">
        <v>286.10449999999997</v>
      </c>
      <c r="AA8190">
        <v>225.4913</v>
      </c>
      <c r="AB8190">
        <v>2.3078409999999998</v>
      </c>
      <c r="AC8190">
        <v>9.1508149999999996E-2</v>
      </c>
      <c r="AD8190">
        <v>0.9972181</v>
      </c>
      <c r="AE8190">
        <v>0.67611909999999997</v>
      </c>
      <c r="AF8190">
        <v>62.278750000000002</v>
      </c>
      <c r="AG8190">
        <f>IFERROR(AH8190*0.1, "N/A")</f>
        <v>6.2797910000000003</v>
      </c>
      <c r="AH8190">
        <v>62.797910000000002</v>
      </c>
      <c r="AI8190">
        <v>123.98009999999999</v>
      </c>
      <c r="AJ8190">
        <v>18</v>
      </c>
      <c r="AK8190">
        <v>65.71951</v>
      </c>
    </row>
    <row r="8191" spans="1:37" x14ac:dyDescent="0.3">
      <c r="A8191">
        <v>8190</v>
      </c>
      <c r="B8191">
        <v>34.299999999999997</v>
      </c>
      <c r="C8191">
        <v>0.650231</v>
      </c>
      <c r="D8191">
        <v>5.8833299999999999</v>
      </c>
      <c r="E8191" t="s">
        <v>12235</v>
      </c>
      <c r="F8191" t="s">
        <v>12236</v>
      </c>
      <c r="G8191" t="s">
        <v>39</v>
      </c>
      <c r="H8191">
        <v>1963</v>
      </c>
      <c r="I8191">
        <v>27</v>
      </c>
      <c r="J8191">
        <v>6.6283219999999998</v>
      </c>
      <c r="K8191">
        <v>66.28322</v>
      </c>
      <c r="L8191">
        <v>11.958360000000001</v>
      </c>
      <c r="M8191">
        <v>32.037759999999999</v>
      </c>
      <c r="N8191">
        <v>22.1</v>
      </c>
      <c r="O8191">
        <v>9.9377619999999993</v>
      </c>
      <c r="P8191">
        <v>27.4</v>
      </c>
      <c r="Q8191">
        <v>27.7</v>
      </c>
      <c r="R8191">
        <v>28.328320000000001</v>
      </c>
      <c r="S8191">
        <v>25.190560000000001</v>
      </c>
      <c r="T8191">
        <v>878.65030000000002</v>
      </c>
      <c r="U8191">
        <v>193</v>
      </c>
      <c r="V8191">
        <v>6</v>
      </c>
      <c r="W8191">
        <v>75</v>
      </c>
      <c r="X8191">
        <v>458.28320000000002</v>
      </c>
      <c r="Y8191">
        <v>44</v>
      </c>
      <c r="Z8191">
        <v>204</v>
      </c>
      <c r="AA8191">
        <v>162.90559999999999</v>
      </c>
      <c r="AB8191">
        <v>0</v>
      </c>
      <c r="AC8191">
        <v>176686.7</v>
      </c>
      <c r="AD8191">
        <v>0</v>
      </c>
      <c r="AE8191">
        <v>0.52545039999999998</v>
      </c>
      <c r="AF8191">
        <v>0</v>
      </c>
      <c r="AG8191" t="str">
        <f>IFERROR(AH8191*0.1, "N/A")</f>
        <v>N/A</v>
      </c>
      <c r="AH8191" t="s">
        <v>729</v>
      </c>
      <c r="AI8191">
        <v>0</v>
      </c>
      <c r="AJ8191" t="s">
        <v>729</v>
      </c>
      <c r="AK8191" t="s">
        <v>729</v>
      </c>
    </row>
    <row r="8192" spans="1:37" x14ac:dyDescent="0.3">
      <c r="A8192">
        <v>8191</v>
      </c>
      <c r="B8192">
        <v>0</v>
      </c>
      <c r="C8192">
        <v>0.56915300000000002</v>
      </c>
      <c r="D8192">
        <v>6.2687330000000001</v>
      </c>
      <c r="E8192" t="s">
        <v>12237</v>
      </c>
      <c r="F8192" t="s">
        <v>12238</v>
      </c>
      <c r="G8192" t="s">
        <v>37</v>
      </c>
      <c r="H8192">
        <v>1963</v>
      </c>
      <c r="I8192">
        <v>26.9</v>
      </c>
      <c r="J8192">
        <v>8.8000000000000007</v>
      </c>
      <c r="K8192">
        <v>72</v>
      </c>
      <c r="L8192">
        <v>10.95</v>
      </c>
      <c r="M8192">
        <v>33.5</v>
      </c>
      <c r="N8192">
        <v>21.4</v>
      </c>
      <c r="O8192">
        <v>12.1</v>
      </c>
      <c r="P8192">
        <v>27.2</v>
      </c>
      <c r="Q8192">
        <v>27.6</v>
      </c>
      <c r="R8192">
        <v>28.2</v>
      </c>
      <c r="S8192">
        <v>25.3</v>
      </c>
      <c r="T8192">
        <v>1103</v>
      </c>
      <c r="U8192">
        <v>182</v>
      </c>
      <c r="V8192">
        <v>19</v>
      </c>
      <c r="W8192">
        <v>55</v>
      </c>
      <c r="X8192">
        <v>469</v>
      </c>
      <c r="Y8192">
        <v>95</v>
      </c>
      <c r="Z8192">
        <v>280</v>
      </c>
      <c r="AA8192">
        <v>231</v>
      </c>
      <c r="AB8192">
        <v>17.171600000000002</v>
      </c>
      <c r="AC8192">
        <v>5.0616330000000001E-2</v>
      </c>
      <c r="AD8192">
        <v>3.105702</v>
      </c>
      <c r="AE8192">
        <v>0.58138500000000004</v>
      </c>
      <c r="AF8192">
        <v>89.391990000000007</v>
      </c>
      <c r="AG8192">
        <f>IFERROR(AH8192*0.1, "N/A")</f>
        <v>6.1909410000000005</v>
      </c>
      <c r="AH8192">
        <v>61.909410000000001</v>
      </c>
      <c r="AI8192">
        <v>170.30289999999999</v>
      </c>
      <c r="AJ8192">
        <v>16.909410000000001</v>
      </c>
      <c r="AK8192">
        <v>68.090590000000006</v>
      </c>
    </row>
    <row r="8193" spans="1:37" x14ac:dyDescent="0.3">
      <c r="A8193">
        <v>8192</v>
      </c>
      <c r="B8193">
        <v>0</v>
      </c>
      <c r="C8193">
        <v>0.56538299999999997</v>
      </c>
      <c r="D8193">
        <v>6.2684889999999998</v>
      </c>
      <c r="E8193" t="s">
        <v>12239</v>
      </c>
      <c r="F8193" t="s">
        <v>12240</v>
      </c>
      <c r="G8193" t="s">
        <v>39</v>
      </c>
      <c r="H8193">
        <v>1963</v>
      </c>
      <c r="I8193">
        <v>26.9</v>
      </c>
      <c r="J8193">
        <v>8.9</v>
      </c>
      <c r="K8193">
        <v>72</v>
      </c>
      <c r="L8193">
        <v>11.22</v>
      </c>
      <c r="M8193">
        <v>33.5</v>
      </c>
      <c r="N8193">
        <v>21.3</v>
      </c>
      <c r="O8193">
        <v>12.2</v>
      </c>
      <c r="P8193">
        <v>27.2</v>
      </c>
      <c r="Q8193">
        <v>27.6</v>
      </c>
      <c r="R8193">
        <v>28.2</v>
      </c>
      <c r="S8193">
        <v>25.2</v>
      </c>
      <c r="T8193">
        <v>1104</v>
      </c>
      <c r="U8193">
        <v>182</v>
      </c>
      <c r="V8193">
        <v>19</v>
      </c>
      <c r="W8193">
        <v>54</v>
      </c>
      <c r="X8193">
        <v>469</v>
      </c>
      <c r="Y8193">
        <v>95</v>
      </c>
      <c r="Z8193">
        <v>280</v>
      </c>
      <c r="AA8193">
        <v>232</v>
      </c>
      <c r="AB8193">
        <v>15.160769999999999</v>
      </c>
      <c r="AC8193">
        <v>1.939155E-2</v>
      </c>
      <c r="AD8193">
        <v>1.7274769999999999</v>
      </c>
      <c r="AE8193">
        <v>0.58295330000000001</v>
      </c>
      <c r="AF8193">
        <v>88.364270000000005</v>
      </c>
      <c r="AG8193">
        <f>IFERROR(AH8193*0.1, "N/A")</f>
        <v>6.1000000000000005</v>
      </c>
      <c r="AH8193">
        <v>61</v>
      </c>
      <c r="AI8193">
        <v>156.38140000000001</v>
      </c>
      <c r="AJ8193">
        <v>17</v>
      </c>
      <c r="AK8193">
        <v>67</v>
      </c>
    </row>
    <row r="8194" spans="1:37" x14ac:dyDescent="0.3">
      <c r="A8194">
        <v>8193</v>
      </c>
      <c r="B8194">
        <v>0</v>
      </c>
      <c r="C8194">
        <v>0.173958</v>
      </c>
      <c r="D8194">
        <v>6.0251219999999996</v>
      </c>
      <c r="E8194" t="s">
        <v>12241</v>
      </c>
      <c r="F8194" t="s">
        <v>12242</v>
      </c>
      <c r="G8194" t="s">
        <v>37</v>
      </c>
      <c r="H8194">
        <v>1963</v>
      </c>
      <c r="I8194">
        <v>27.16189</v>
      </c>
      <c r="J8194">
        <v>9.3618880000000004</v>
      </c>
      <c r="K8194">
        <v>73.618880000000004</v>
      </c>
      <c r="L8194">
        <v>11.369440000000001</v>
      </c>
      <c r="M8194">
        <v>34.061889999999998</v>
      </c>
      <c r="N8194">
        <v>21.4</v>
      </c>
      <c r="O8194">
        <v>12.66189</v>
      </c>
      <c r="P8194">
        <v>27.561889999999998</v>
      </c>
      <c r="Q8194">
        <v>27.8</v>
      </c>
      <c r="R8194">
        <v>28.66189</v>
      </c>
      <c r="S8194">
        <v>25.6</v>
      </c>
      <c r="T8194">
        <v>1032.713</v>
      </c>
      <c r="U8194">
        <v>192</v>
      </c>
      <c r="V8194">
        <v>16.618880000000001</v>
      </c>
      <c r="W8194">
        <v>58.381120000000003</v>
      </c>
      <c r="X8194">
        <v>465.6189</v>
      </c>
      <c r="Y8194">
        <v>85.618880000000004</v>
      </c>
      <c r="Z8194">
        <v>248</v>
      </c>
      <c r="AA8194">
        <v>197.23779999999999</v>
      </c>
      <c r="AB8194">
        <v>2.486713</v>
      </c>
      <c r="AC8194">
        <v>2.974739</v>
      </c>
      <c r="AD8194">
        <v>1.652574</v>
      </c>
      <c r="AE8194">
        <v>0.49412119999999998</v>
      </c>
      <c r="AF8194">
        <v>22.895099999999999</v>
      </c>
      <c r="AG8194">
        <f>IFERROR(AH8194*0.1, "N/A")</f>
        <v>6.4020979999999996</v>
      </c>
      <c r="AH8194">
        <v>64.020979999999994</v>
      </c>
      <c r="AI8194">
        <v>90.991119999999995</v>
      </c>
      <c r="AJ8194">
        <v>26</v>
      </c>
      <c r="AK8194">
        <v>50</v>
      </c>
    </row>
    <row r="8195" spans="1:37" x14ac:dyDescent="0.3">
      <c r="A8195">
        <v>8194</v>
      </c>
      <c r="B8195">
        <v>0</v>
      </c>
      <c r="C8195">
        <v>0.154637</v>
      </c>
      <c r="D8195">
        <v>6.049137</v>
      </c>
      <c r="E8195" t="s">
        <v>12243</v>
      </c>
      <c r="F8195" t="s">
        <v>12244</v>
      </c>
      <c r="G8195" t="s">
        <v>39</v>
      </c>
      <c r="H8195">
        <v>1963</v>
      </c>
      <c r="I8195">
        <v>27.2</v>
      </c>
      <c r="J8195">
        <v>9.5</v>
      </c>
      <c r="K8195">
        <v>73</v>
      </c>
      <c r="L8195">
        <v>11.53</v>
      </c>
      <c r="M8195">
        <v>34.200000000000003</v>
      </c>
      <c r="N8195">
        <v>21.3</v>
      </c>
      <c r="O8195">
        <v>12.9</v>
      </c>
      <c r="P8195">
        <v>27.6</v>
      </c>
      <c r="Q8195">
        <v>27.8</v>
      </c>
      <c r="R8195">
        <v>28.7</v>
      </c>
      <c r="S8195">
        <v>25.6</v>
      </c>
      <c r="T8195">
        <v>1052</v>
      </c>
      <c r="U8195">
        <v>192</v>
      </c>
      <c r="V8195">
        <v>17</v>
      </c>
      <c r="W8195">
        <v>58</v>
      </c>
      <c r="X8195">
        <v>469</v>
      </c>
      <c r="Y8195">
        <v>88</v>
      </c>
      <c r="Z8195">
        <v>254</v>
      </c>
      <c r="AA8195">
        <v>202</v>
      </c>
      <c r="AB8195">
        <v>12.451309999999999</v>
      </c>
      <c r="AC8195">
        <v>8.5012079999999997E-3</v>
      </c>
      <c r="AD8195">
        <v>1.290036</v>
      </c>
      <c r="AE8195">
        <v>0.61585429999999997</v>
      </c>
      <c r="AF8195">
        <v>32.637</v>
      </c>
      <c r="AG8195">
        <f>IFERROR(AH8195*0.1, "N/A")</f>
        <v>6.8205929999999997</v>
      </c>
      <c r="AH8195">
        <v>68.205929999999995</v>
      </c>
      <c r="AI8195">
        <v>147.36859999999999</v>
      </c>
      <c r="AJ8195">
        <v>26.20768</v>
      </c>
      <c r="AK8195">
        <v>48.923209999999997</v>
      </c>
    </row>
    <row r="8196" spans="1:37" x14ac:dyDescent="0.3">
      <c r="A8196">
        <v>8195</v>
      </c>
      <c r="B8196">
        <v>0</v>
      </c>
      <c r="C8196">
        <v>0.17909600000000001</v>
      </c>
      <c r="D8196">
        <v>6.0735029999999997</v>
      </c>
      <c r="E8196" t="s">
        <v>12245</v>
      </c>
      <c r="F8196" t="s">
        <v>12246</v>
      </c>
      <c r="G8196" t="s">
        <v>37</v>
      </c>
      <c r="H8196">
        <v>1963</v>
      </c>
      <c r="I8196">
        <v>27.4</v>
      </c>
      <c r="J8196">
        <v>9.6</v>
      </c>
      <c r="K8196">
        <v>74</v>
      </c>
      <c r="L8196">
        <v>11.52</v>
      </c>
      <c r="M8196">
        <v>34.4</v>
      </c>
      <c r="N8196">
        <v>21.5</v>
      </c>
      <c r="O8196">
        <v>12.9</v>
      </c>
      <c r="P8196">
        <v>27.7</v>
      </c>
      <c r="Q8196">
        <v>28</v>
      </c>
      <c r="R8196">
        <v>28.9</v>
      </c>
      <c r="S8196">
        <v>25.8</v>
      </c>
      <c r="T8196">
        <v>1052</v>
      </c>
      <c r="U8196">
        <v>191</v>
      </c>
      <c r="V8196">
        <v>17</v>
      </c>
      <c r="W8196">
        <v>57</v>
      </c>
      <c r="X8196">
        <v>468</v>
      </c>
      <c r="Y8196">
        <v>88</v>
      </c>
      <c r="Z8196">
        <v>254</v>
      </c>
      <c r="AA8196">
        <v>305</v>
      </c>
      <c r="AB8196">
        <v>2.075393</v>
      </c>
      <c r="AC8196">
        <v>1.23581E-2</v>
      </c>
      <c r="AD8196">
        <v>0.9519109</v>
      </c>
      <c r="AE8196">
        <v>0.69177999999999995</v>
      </c>
      <c r="AF8196">
        <v>8.9877839999999996</v>
      </c>
      <c r="AG8196">
        <f>IFERROR(AH8196*0.1, "N/A")</f>
        <v>6.4</v>
      </c>
      <c r="AH8196">
        <v>64</v>
      </c>
      <c r="AI8196">
        <v>237.38910000000001</v>
      </c>
      <c r="AJ8196">
        <v>27.62304</v>
      </c>
      <c r="AK8196">
        <v>45.792319999999997</v>
      </c>
    </row>
    <row r="8197" spans="1:37" x14ac:dyDescent="0.3">
      <c r="A8197">
        <v>8196</v>
      </c>
      <c r="B8197">
        <v>0</v>
      </c>
      <c r="C8197">
        <v>0.18345700000000001</v>
      </c>
      <c r="D8197">
        <v>6.0773149999999996</v>
      </c>
      <c r="E8197" t="s">
        <v>12247</v>
      </c>
      <c r="F8197" t="s">
        <v>12248</v>
      </c>
      <c r="G8197" t="s">
        <v>39</v>
      </c>
      <c r="H8197">
        <v>1963</v>
      </c>
      <c r="I8197">
        <v>27.331469999999999</v>
      </c>
      <c r="J8197">
        <v>9.6</v>
      </c>
      <c r="K8197">
        <v>73.685310000000001</v>
      </c>
      <c r="L8197">
        <v>11.29336</v>
      </c>
      <c r="M8197">
        <v>34.431469999999997</v>
      </c>
      <c r="N8197">
        <v>21.5</v>
      </c>
      <c r="O8197">
        <v>12.931469999999999</v>
      </c>
      <c r="P8197">
        <v>27.7</v>
      </c>
      <c r="Q8197">
        <v>28</v>
      </c>
      <c r="R8197">
        <v>28.8</v>
      </c>
      <c r="S8197">
        <v>25.831469999999999</v>
      </c>
      <c r="T8197">
        <v>1055.5730000000001</v>
      </c>
      <c r="U8197">
        <v>191.31469999999999</v>
      </c>
      <c r="V8197">
        <v>17</v>
      </c>
      <c r="W8197">
        <v>57</v>
      </c>
      <c r="X8197">
        <v>468.62939999999998</v>
      </c>
      <c r="Y8197">
        <v>88</v>
      </c>
      <c r="Z8197">
        <v>254.31469999999999</v>
      </c>
      <c r="AA8197">
        <v>204</v>
      </c>
      <c r="AB8197">
        <v>0.4632868</v>
      </c>
      <c r="AC8197">
        <v>0.46869949999999999</v>
      </c>
      <c r="AD8197">
        <v>1.5697559999999999</v>
      </c>
      <c r="AE8197">
        <v>0.69100629999999996</v>
      </c>
      <c r="AF8197">
        <v>6.8076920000000003</v>
      </c>
      <c r="AG8197">
        <f>IFERROR(AH8197*0.1, "N/A")</f>
        <v>6.0895100000000006</v>
      </c>
      <c r="AH8197">
        <v>60.895099999999999</v>
      </c>
      <c r="AI8197">
        <v>98.253720000000001</v>
      </c>
      <c r="AJ8197">
        <v>28.681819999999998</v>
      </c>
      <c r="AK8197">
        <v>41.527970000000003</v>
      </c>
    </row>
    <row r="8198" spans="1:37" x14ac:dyDescent="0.3">
      <c r="A8198">
        <v>8197</v>
      </c>
      <c r="B8198">
        <v>1.7</v>
      </c>
      <c r="C8198">
        <v>0.98459200000000002</v>
      </c>
      <c r="D8198">
        <v>5.8967700000000001</v>
      </c>
      <c r="E8198" t="s">
        <v>12249</v>
      </c>
      <c r="F8198" t="s">
        <v>12250</v>
      </c>
      <c r="G8198" t="s">
        <v>39</v>
      </c>
      <c r="H8198">
        <v>1963</v>
      </c>
      <c r="I8198">
        <v>27</v>
      </c>
      <c r="J8198">
        <v>6.6</v>
      </c>
      <c r="K8198">
        <v>69</v>
      </c>
      <c r="L8198">
        <v>10.66</v>
      </c>
      <c r="M8198">
        <v>32.1</v>
      </c>
      <c r="N8198">
        <v>22.6</v>
      </c>
      <c r="O8198">
        <v>9.5</v>
      </c>
      <c r="P8198">
        <v>27.4</v>
      </c>
      <c r="Q8198">
        <v>27.6</v>
      </c>
      <c r="R8198">
        <v>28.3</v>
      </c>
      <c r="S8198">
        <v>25.5</v>
      </c>
      <c r="T8198">
        <v>878</v>
      </c>
      <c r="U8198">
        <v>208</v>
      </c>
      <c r="V8198">
        <v>11</v>
      </c>
      <c r="W8198">
        <v>80</v>
      </c>
      <c r="X8198">
        <v>480</v>
      </c>
      <c r="Y8198">
        <v>53</v>
      </c>
      <c r="Z8198">
        <v>193</v>
      </c>
      <c r="AA8198">
        <v>147</v>
      </c>
      <c r="AB8198">
        <v>4.6262239999999997</v>
      </c>
      <c r="AC8198">
        <v>1.1372739999999999E-2</v>
      </c>
      <c r="AD8198">
        <v>2.383343</v>
      </c>
      <c r="AE8198">
        <v>0.83374749999999997</v>
      </c>
      <c r="AF8198">
        <v>5.3076920000000003</v>
      </c>
      <c r="AG8198">
        <f>IFERROR(AH8198*0.1, "N/A")</f>
        <v>5.7115380000000009</v>
      </c>
      <c r="AH8198">
        <v>57.115380000000002</v>
      </c>
      <c r="AI8198">
        <v>155.73759999999999</v>
      </c>
      <c r="AJ8198">
        <v>22</v>
      </c>
      <c r="AK8198">
        <v>59.76923</v>
      </c>
    </row>
    <row r="8199" spans="1:37" x14ac:dyDescent="0.3">
      <c r="A8199">
        <v>8198</v>
      </c>
      <c r="B8199">
        <v>0</v>
      </c>
      <c r="C8199">
        <v>0.36666700000000002</v>
      </c>
      <c r="D8199">
        <v>6.0333300000000003</v>
      </c>
      <c r="E8199" t="s">
        <v>12251</v>
      </c>
      <c r="F8199" t="s">
        <v>12252</v>
      </c>
      <c r="G8199" t="s">
        <v>37</v>
      </c>
      <c r="H8199">
        <v>1963</v>
      </c>
      <c r="I8199">
        <v>27.27158</v>
      </c>
      <c r="J8199">
        <v>8.5</v>
      </c>
      <c r="K8199">
        <v>72</v>
      </c>
      <c r="L8199">
        <v>11.41653</v>
      </c>
      <c r="M8199">
        <v>33.571579999999997</v>
      </c>
      <c r="N8199">
        <v>21.77158</v>
      </c>
      <c r="O8199">
        <v>11.8</v>
      </c>
      <c r="P8199">
        <v>27.671579999999999</v>
      </c>
      <c r="Q8199">
        <v>27.945959999999999</v>
      </c>
      <c r="R8199">
        <v>28.6814</v>
      </c>
      <c r="S8199">
        <v>25.652979999999999</v>
      </c>
      <c r="T8199">
        <v>978.40700000000004</v>
      </c>
      <c r="U8199">
        <v>188</v>
      </c>
      <c r="V8199">
        <v>13</v>
      </c>
      <c r="W8199">
        <v>62</v>
      </c>
      <c r="X8199">
        <v>457</v>
      </c>
      <c r="Y8199">
        <v>71.354389999999995</v>
      </c>
      <c r="Z8199">
        <v>235.6105</v>
      </c>
      <c r="AA8199">
        <v>187.44210000000001</v>
      </c>
      <c r="AB8199">
        <v>0.72122819999999999</v>
      </c>
      <c r="AC8199">
        <v>0.34375729999999999</v>
      </c>
      <c r="AD8199">
        <v>1.024354</v>
      </c>
      <c r="AE8199">
        <v>0.50694419999999996</v>
      </c>
      <c r="AF8199">
        <v>6.8964910000000001</v>
      </c>
      <c r="AG8199">
        <f>IFERROR(AH8199*0.1, "N/A")</f>
        <v>6.4291230000000006</v>
      </c>
      <c r="AH8199">
        <v>64.291229999999999</v>
      </c>
      <c r="AI8199">
        <v>205.80070000000001</v>
      </c>
      <c r="AJ8199">
        <v>30.645610000000001</v>
      </c>
      <c r="AK8199">
        <v>42.708770000000001</v>
      </c>
    </row>
    <row r="8200" spans="1:37" x14ac:dyDescent="0.3">
      <c r="A8200">
        <v>8199</v>
      </c>
      <c r="B8200">
        <v>0</v>
      </c>
      <c r="C8200">
        <v>0.36666700000000002</v>
      </c>
      <c r="D8200">
        <v>6.0333300000000003</v>
      </c>
      <c r="E8200" t="s">
        <v>12251</v>
      </c>
      <c r="F8200" t="s">
        <v>12253</v>
      </c>
      <c r="G8200" t="s">
        <v>39</v>
      </c>
      <c r="H8200">
        <v>1963</v>
      </c>
      <c r="I8200">
        <v>27.27158</v>
      </c>
      <c r="J8200">
        <v>8.5</v>
      </c>
      <c r="K8200">
        <v>72</v>
      </c>
      <c r="L8200">
        <v>11.41653</v>
      </c>
      <c r="M8200">
        <v>33.571579999999997</v>
      </c>
      <c r="N8200">
        <v>21.77158</v>
      </c>
      <c r="O8200">
        <v>11.8</v>
      </c>
      <c r="P8200">
        <v>27.671579999999999</v>
      </c>
      <c r="Q8200">
        <v>27.945959999999999</v>
      </c>
      <c r="R8200">
        <v>28.6814</v>
      </c>
      <c r="S8200">
        <v>25.652979999999999</v>
      </c>
      <c r="T8200">
        <v>978.40700000000004</v>
      </c>
      <c r="U8200">
        <v>188</v>
      </c>
      <c r="V8200">
        <v>13</v>
      </c>
      <c r="W8200">
        <v>62</v>
      </c>
      <c r="X8200">
        <v>457</v>
      </c>
      <c r="Y8200">
        <v>71.354389999999995</v>
      </c>
      <c r="Z8200">
        <v>235.6105</v>
      </c>
      <c r="AA8200">
        <v>187.44210000000001</v>
      </c>
      <c r="AB8200">
        <v>0.72122819999999999</v>
      </c>
      <c r="AC8200">
        <v>0.34375729999999999</v>
      </c>
      <c r="AD8200">
        <v>1.024354</v>
      </c>
      <c r="AE8200">
        <v>0.50694419999999996</v>
      </c>
      <c r="AF8200">
        <v>6.8964910000000001</v>
      </c>
      <c r="AG8200">
        <f>IFERROR(AH8200*0.1, "N/A")</f>
        <v>6.4291230000000006</v>
      </c>
      <c r="AH8200">
        <v>64.291229999999999</v>
      </c>
      <c r="AI8200">
        <v>205.80070000000001</v>
      </c>
      <c r="AJ8200">
        <v>30.645610000000001</v>
      </c>
      <c r="AK8200">
        <v>42.708770000000001</v>
      </c>
    </row>
    <row r="8201" spans="1:37" x14ac:dyDescent="0.3">
      <c r="A8201">
        <v>8200</v>
      </c>
      <c r="B8201">
        <v>0</v>
      </c>
      <c r="C8201">
        <v>0.48333300000000001</v>
      </c>
      <c r="D8201">
        <v>6.0333300000000003</v>
      </c>
      <c r="E8201" t="s">
        <v>12254</v>
      </c>
      <c r="F8201" t="s">
        <v>12255</v>
      </c>
      <c r="G8201" t="s">
        <v>37</v>
      </c>
      <c r="H8201">
        <v>1963</v>
      </c>
      <c r="I8201">
        <v>27.2</v>
      </c>
      <c r="J8201">
        <v>8</v>
      </c>
      <c r="K8201">
        <v>70</v>
      </c>
      <c r="L8201">
        <v>11.773949999999999</v>
      </c>
      <c r="M8201">
        <v>33.200000000000003</v>
      </c>
      <c r="N8201">
        <v>21.81503</v>
      </c>
      <c r="O8201">
        <v>11.38496</v>
      </c>
      <c r="P8201">
        <v>27.515039999999999</v>
      </c>
      <c r="Q8201">
        <v>27.915030000000002</v>
      </c>
      <c r="R8201">
        <v>28.6</v>
      </c>
      <c r="S8201">
        <v>25.5</v>
      </c>
      <c r="T8201">
        <v>959.5752</v>
      </c>
      <c r="U8201">
        <v>187</v>
      </c>
      <c r="V8201">
        <v>11</v>
      </c>
      <c r="W8201">
        <v>64.284970000000001</v>
      </c>
      <c r="X8201">
        <v>456.71499999999997</v>
      </c>
      <c r="Y8201">
        <v>64.715029999999999</v>
      </c>
      <c r="Z8201">
        <v>232.43010000000001</v>
      </c>
      <c r="AA8201">
        <v>184.43010000000001</v>
      </c>
      <c r="AB8201">
        <v>1.102797</v>
      </c>
      <c r="AC8201">
        <v>3.3143739999999998E-2</v>
      </c>
      <c r="AD8201">
        <v>1.604244</v>
      </c>
      <c r="AE8201">
        <v>0.43736209999999998</v>
      </c>
      <c r="AF8201">
        <v>3.493007</v>
      </c>
      <c r="AG8201">
        <f>IFERROR(AH8201*0.1, "N/A")</f>
        <v>5.4</v>
      </c>
      <c r="AH8201">
        <v>54</v>
      </c>
      <c r="AI8201">
        <v>211.66499999999999</v>
      </c>
      <c r="AJ8201">
        <v>24.379370000000002</v>
      </c>
      <c r="AK8201">
        <v>51.16084</v>
      </c>
    </row>
    <row r="8202" spans="1:37" x14ac:dyDescent="0.3">
      <c r="A8202">
        <v>8201</v>
      </c>
      <c r="B8202">
        <v>8.8000000000000007</v>
      </c>
      <c r="C8202">
        <v>0.48333300000000001</v>
      </c>
      <c r="D8202">
        <v>6.0333300000000003</v>
      </c>
      <c r="E8202" t="s">
        <v>12254</v>
      </c>
      <c r="F8202" t="s">
        <v>12256</v>
      </c>
      <c r="G8202" t="s">
        <v>39</v>
      </c>
      <c r="H8202">
        <v>1963</v>
      </c>
      <c r="I8202">
        <v>27.2</v>
      </c>
      <c r="J8202">
        <v>8</v>
      </c>
      <c r="K8202">
        <v>70</v>
      </c>
      <c r="L8202">
        <v>11.773949999999999</v>
      </c>
      <c r="M8202">
        <v>33.200000000000003</v>
      </c>
      <c r="N8202">
        <v>21.81503</v>
      </c>
      <c r="O8202">
        <v>11.38496</v>
      </c>
      <c r="P8202">
        <v>27.515039999999999</v>
      </c>
      <c r="Q8202">
        <v>27.915030000000002</v>
      </c>
      <c r="R8202">
        <v>28.6</v>
      </c>
      <c r="S8202">
        <v>25.5</v>
      </c>
      <c r="T8202">
        <v>959.5752</v>
      </c>
      <c r="U8202">
        <v>187</v>
      </c>
      <c r="V8202">
        <v>11</v>
      </c>
      <c r="W8202">
        <v>64.284970000000001</v>
      </c>
      <c r="X8202">
        <v>456.71499999999997</v>
      </c>
      <c r="Y8202">
        <v>64.715029999999999</v>
      </c>
      <c r="Z8202">
        <v>232.43010000000001</v>
      </c>
      <c r="AA8202">
        <v>184.43010000000001</v>
      </c>
      <c r="AB8202">
        <v>1.102797</v>
      </c>
      <c r="AC8202">
        <v>3.3143739999999998E-2</v>
      </c>
      <c r="AD8202">
        <v>1.604244</v>
      </c>
      <c r="AE8202">
        <v>0.43736209999999998</v>
      </c>
      <c r="AF8202">
        <v>3.493007</v>
      </c>
      <c r="AG8202">
        <f>IFERROR(AH8202*0.1, "N/A")</f>
        <v>5.4</v>
      </c>
      <c r="AH8202">
        <v>54</v>
      </c>
      <c r="AI8202">
        <v>211.66499999999999</v>
      </c>
      <c r="AJ8202">
        <v>24.379370000000002</v>
      </c>
      <c r="AK8202">
        <v>51.16084</v>
      </c>
    </row>
    <row r="8203" spans="1:37" x14ac:dyDescent="0.3">
      <c r="A8203">
        <v>8202</v>
      </c>
      <c r="B8203">
        <v>0</v>
      </c>
      <c r="C8203">
        <v>0.45</v>
      </c>
      <c r="D8203">
        <v>6.0333300000000003</v>
      </c>
      <c r="E8203" t="s">
        <v>12257</v>
      </c>
      <c r="F8203" t="s">
        <v>12258</v>
      </c>
      <c r="G8203" t="s">
        <v>37</v>
      </c>
      <c r="H8203">
        <v>1963</v>
      </c>
      <c r="I8203">
        <v>27.2</v>
      </c>
      <c r="J8203">
        <v>8.1382200000000005</v>
      </c>
      <c r="K8203">
        <v>71</v>
      </c>
      <c r="L8203">
        <v>11.538220000000001</v>
      </c>
      <c r="M8203">
        <v>33.33822</v>
      </c>
      <c r="N8203">
        <v>21.9</v>
      </c>
      <c r="O8203">
        <v>11.438219999999999</v>
      </c>
      <c r="P8203">
        <v>27.6</v>
      </c>
      <c r="Q8203">
        <v>27.954280000000001</v>
      </c>
      <c r="R8203">
        <v>28.65061</v>
      </c>
      <c r="S8203">
        <v>25.6</v>
      </c>
      <c r="T8203">
        <v>963.4049</v>
      </c>
      <c r="U8203">
        <v>187</v>
      </c>
      <c r="V8203">
        <v>11.87609</v>
      </c>
      <c r="W8203">
        <v>63.839440000000003</v>
      </c>
      <c r="X8203">
        <v>456.71550000000002</v>
      </c>
      <c r="Y8203">
        <v>66.876090000000005</v>
      </c>
      <c r="Z8203">
        <v>232.71549999999999</v>
      </c>
      <c r="AA8203">
        <v>184.71549999999999</v>
      </c>
      <c r="AB8203">
        <v>0.19197210000000001</v>
      </c>
      <c r="AC8203">
        <v>3.7765399999999998</v>
      </c>
      <c r="AD8203">
        <v>1.686949</v>
      </c>
      <c r="AE8203">
        <v>0.55092830000000004</v>
      </c>
      <c r="AF8203">
        <v>-0.94240840000000003</v>
      </c>
      <c r="AG8203">
        <f>IFERROR(AH8203*0.1, "N/A")</f>
        <v>6.2085509999999999</v>
      </c>
      <c r="AH8203">
        <v>62.085509999999999</v>
      </c>
      <c r="AI8203">
        <v>173.67920000000001</v>
      </c>
      <c r="AJ8203">
        <v>27.457239999999999</v>
      </c>
      <c r="AK8203">
        <v>51</v>
      </c>
    </row>
    <row r="8204" spans="1:37" x14ac:dyDescent="0.3">
      <c r="A8204">
        <v>8203</v>
      </c>
      <c r="B8204">
        <v>21.4</v>
      </c>
      <c r="C8204">
        <v>0.45</v>
      </c>
      <c r="D8204">
        <v>6.0333300000000003</v>
      </c>
      <c r="E8204" t="s">
        <v>12257</v>
      </c>
      <c r="F8204" t="s">
        <v>12259</v>
      </c>
      <c r="G8204" t="s">
        <v>39</v>
      </c>
      <c r="H8204">
        <v>1963</v>
      </c>
      <c r="I8204">
        <v>27.2</v>
      </c>
      <c r="J8204">
        <v>8.1382200000000005</v>
      </c>
      <c r="K8204">
        <v>71</v>
      </c>
      <c r="L8204">
        <v>11.538220000000001</v>
      </c>
      <c r="M8204">
        <v>33.33822</v>
      </c>
      <c r="N8204">
        <v>21.9</v>
      </c>
      <c r="O8204">
        <v>11.438219999999999</v>
      </c>
      <c r="P8204">
        <v>27.6</v>
      </c>
      <c r="Q8204">
        <v>27.954280000000001</v>
      </c>
      <c r="R8204">
        <v>28.65061</v>
      </c>
      <c r="S8204">
        <v>25.6</v>
      </c>
      <c r="T8204">
        <v>963.4049</v>
      </c>
      <c r="U8204">
        <v>187</v>
      </c>
      <c r="V8204">
        <v>11.87609</v>
      </c>
      <c r="W8204">
        <v>63.839440000000003</v>
      </c>
      <c r="X8204">
        <v>456.71550000000002</v>
      </c>
      <c r="Y8204">
        <v>66.876090000000005</v>
      </c>
      <c r="Z8204">
        <v>232.71549999999999</v>
      </c>
      <c r="AA8204">
        <v>184.71549999999999</v>
      </c>
      <c r="AB8204">
        <v>0.19197210000000001</v>
      </c>
      <c r="AC8204">
        <v>3.7765399999999998</v>
      </c>
      <c r="AD8204">
        <v>1.686949</v>
      </c>
      <c r="AE8204">
        <v>0.55092830000000004</v>
      </c>
      <c r="AF8204">
        <v>-0.94240840000000003</v>
      </c>
      <c r="AG8204">
        <f>IFERROR(AH8204*0.1, "N/A")</f>
        <v>6.2085509999999999</v>
      </c>
      <c r="AH8204">
        <v>62.085509999999999</v>
      </c>
      <c r="AI8204">
        <v>173.67920000000001</v>
      </c>
      <c r="AJ8204">
        <v>27.457239999999999</v>
      </c>
      <c r="AK8204">
        <v>51</v>
      </c>
    </row>
    <row r="8205" spans="1:37" x14ac:dyDescent="0.3">
      <c r="A8205">
        <v>8204</v>
      </c>
      <c r="B8205">
        <v>18.399999999999999</v>
      </c>
      <c r="C8205">
        <v>0.86362099999999997</v>
      </c>
      <c r="D8205">
        <v>6.0609299999999999</v>
      </c>
      <c r="E8205" t="s">
        <v>12260</v>
      </c>
      <c r="F8205" t="s">
        <v>12261</v>
      </c>
      <c r="G8205" t="s">
        <v>39</v>
      </c>
      <c r="H8205">
        <v>1963</v>
      </c>
      <c r="I8205">
        <v>26.9</v>
      </c>
      <c r="J8205">
        <v>7.4</v>
      </c>
      <c r="K8205">
        <v>71</v>
      </c>
      <c r="L8205">
        <v>10.84</v>
      </c>
      <c r="M8205">
        <v>32.4</v>
      </c>
      <c r="N8205">
        <v>22.1</v>
      </c>
      <c r="O8205">
        <v>10.3</v>
      </c>
      <c r="P8205">
        <v>27.3</v>
      </c>
      <c r="Q8205">
        <v>27.5</v>
      </c>
      <c r="R8205">
        <v>28.2</v>
      </c>
      <c r="S8205">
        <v>25.3</v>
      </c>
      <c r="T8205">
        <v>943</v>
      </c>
      <c r="U8205">
        <v>190</v>
      </c>
      <c r="V8205">
        <v>12</v>
      </c>
      <c r="W8205">
        <v>69</v>
      </c>
      <c r="X8205">
        <v>469</v>
      </c>
      <c r="Y8205">
        <v>63</v>
      </c>
      <c r="Z8205">
        <v>229</v>
      </c>
      <c r="AA8205">
        <v>174</v>
      </c>
      <c r="AB8205">
        <v>3.7426569999999999</v>
      </c>
      <c r="AC8205">
        <v>5.2343840000000003E-2</v>
      </c>
      <c r="AD8205">
        <v>2.0032610000000002</v>
      </c>
      <c r="AE8205">
        <v>0.52843410000000002</v>
      </c>
      <c r="AF8205">
        <v>22.888110000000001</v>
      </c>
      <c r="AG8205">
        <f>IFERROR(AH8205*0.1, "N/A")</f>
        <v>5.5650350000000008</v>
      </c>
      <c r="AH8205">
        <v>55.650350000000003</v>
      </c>
      <c r="AI8205">
        <v>147.4289</v>
      </c>
      <c r="AJ8205">
        <v>23</v>
      </c>
      <c r="AK8205">
        <v>56.790210000000002</v>
      </c>
    </row>
    <row r="8206" spans="1:37" x14ac:dyDescent="0.3">
      <c r="A8206">
        <v>8205</v>
      </c>
      <c r="B8206">
        <v>27.8</v>
      </c>
      <c r="C8206">
        <v>0.41677999999999998</v>
      </c>
      <c r="D8206">
        <v>6.0667299999999997</v>
      </c>
      <c r="E8206" t="s">
        <v>12262</v>
      </c>
      <c r="F8206" t="s">
        <v>12263</v>
      </c>
      <c r="G8206" t="s">
        <v>39</v>
      </c>
      <c r="H8206">
        <v>1963</v>
      </c>
      <c r="I8206">
        <v>27.3</v>
      </c>
      <c r="J8206">
        <v>8.44313</v>
      </c>
      <c r="K8206">
        <v>70.92174</v>
      </c>
      <c r="L8206">
        <v>11.661390000000001</v>
      </c>
      <c r="M8206">
        <v>33.594090000000001</v>
      </c>
      <c r="N8206">
        <v>21.743130000000001</v>
      </c>
      <c r="O8206">
        <v>11.850960000000001</v>
      </c>
      <c r="P8206">
        <v>27.6</v>
      </c>
      <c r="Q8206">
        <v>28</v>
      </c>
      <c r="R8206">
        <v>28.7</v>
      </c>
      <c r="S8206">
        <v>25.594090000000001</v>
      </c>
      <c r="T8206">
        <v>988.39300000000003</v>
      </c>
      <c r="U8206">
        <v>187</v>
      </c>
      <c r="V8206">
        <v>13</v>
      </c>
      <c r="W8206">
        <v>61.471299999999999</v>
      </c>
      <c r="X8206">
        <v>458</v>
      </c>
      <c r="Y8206">
        <v>71.940870000000004</v>
      </c>
      <c r="Z8206">
        <v>239.43129999999999</v>
      </c>
      <c r="AA8206">
        <v>191.74610000000001</v>
      </c>
      <c r="AB8206">
        <v>1.406609</v>
      </c>
      <c r="AC8206">
        <v>1.098469E-2</v>
      </c>
      <c r="AD8206">
        <v>1.0599909999999999</v>
      </c>
      <c r="AE8206">
        <v>0.53843730000000001</v>
      </c>
      <c r="AF8206">
        <v>6.7791300000000003</v>
      </c>
      <c r="AG8206">
        <f>IFERROR(AH8206*0.1, "N/A")</f>
        <v>5.7</v>
      </c>
      <c r="AH8206">
        <v>57</v>
      </c>
      <c r="AI8206">
        <v>163.23079999999999</v>
      </c>
      <c r="AJ8206">
        <v>23.35652</v>
      </c>
      <c r="AK8206">
        <v>53.057389999999998</v>
      </c>
    </row>
    <row r="8207" spans="1:37" x14ac:dyDescent="0.3">
      <c r="A8207">
        <v>8206</v>
      </c>
      <c r="B8207">
        <v>18.5</v>
      </c>
      <c r="C8207">
        <v>0.42901800000000001</v>
      </c>
      <c r="D8207">
        <v>6.07578</v>
      </c>
      <c r="E8207" t="s">
        <v>12264</v>
      </c>
      <c r="F8207" t="s">
        <v>12265</v>
      </c>
      <c r="G8207" t="s">
        <v>39</v>
      </c>
      <c r="H8207">
        <v>1963</v>
      </c>
      <c r="I8207">
        <v>27.3</v>
      </c>
      <c r="J8207">
        <v>8.4884609999999991</v>
      </c>
      <c r="K8207">
        <v>71.769229999999993</v>
      </c>
      <c r="L8207">
        <v>11.610379999999999</v>
      </c>
      <c r="M8207">
        <v>33.6</v>
      </c>
      <c r="N8207">
        <v>21.788460000000001</v>
      </c>
      <c r="O8207">
        <v>11.811540000000001</v>
      </c>
      <c r="P8207">
        <v>27.688459999999999</v>
      </c>
      <c r="Q8207">
        <v>28</v>
      </c>
      <c r="R8207">
        <v>28.7</v>
      </c>
      <c r="S8207">
        <v>25.6</v>
      </c>
      <c r="T8207">
        <v>987.76919999999996</v>
      </c>
      <c r="U8207">
        <v>186</v>
      </c>
      <c r="V8207">
        <v>13</v>
      </c>
      <c r="W8207">
        <v>61</v>
      </c>
      <c r="X8207">
        <v>457</v>
      </c>
      <c r="Y8207">
        <v>72</v>
      </c>
      <c r="Z8207">
        <v>239.88460000000001</v>
      </c>
      <c r="AA8207">
        <v>192</v>
      </c>
      <c r="AB8207">
        <v>0.78304189999999996</v>
      </c>
      <c r="AC8207">
        <v>6.7605100000000001E-2</v>
      </c>
      <c r="AD8207">
        <v>1.6325210000000001</v>
      </c>
      <c r="AE8207">
        <v>0.78804249999999998</v>
      </c>
      <c r="AF8207">
        <v>3.1101399999999999</v>
      </c>
      <c r="AG8207">
        <f>IFERROR(AH8207*0.1, "N/A")</f>
        <v>5.8477269999999999</v>
      </c>
      <c r="AH8207">
        <v>58.477269999999997</v>
      </c>
      <c r="AI8207">
        <v>70.326319999999996</v>
      </c>
      <c r="AJ8207">
        <v>29.86713</v>
      </c>
      <c r="AK8207">
        <v>46.956290000000003</v>
      </c>
    </row>
    <row r="8208" spans="1:37" x14ac:dyDescent="0.3">
      <c r="A8208">
        <v>8207</v>
      </c>
      <c r="B8208">
        <v>0</v>
      </c>
      <c r="C8208">
        <v>0.13333300000000001</v>
      </c>
      <c r="D8208">
        <v>6.1</v>
      </c>
      <c r="E8208" t="s">
        <v>12266</v>
      </c>
      <c r="F8208" t="s">
        <v>12267</v>
      </c>
      <c r="G8208" t="s">
        <v>37</v>
      </c>
      <c r="H8208">
        <v>1963</v>
      </c>
      <c r="I8208">
        <v>27.387239999999998</v>
      </c>
      <c r="J8208">
        <v>9.9164329999999996</v>
      </c>
      <c r="K8208">
        <v>74.298950000000005</v>
      </c>
      <c r="L8208">
        <v>11.108650000000001</v>
      </c>
      <c r="M8208">
        <v>34.757339999999999</v>
      </c>
      <c r="N8208">
        <v>21.48357</v>
      </c>
      <c r="O8208">
        <v>13.27378</v>
      </c>
      <c r="P8208">
        <v>27.716429999999999</v>
      </c>
      <c r="Q8208">
        <v>27.98724</v>
      </c>
      <c r="R8208">
        <v>28.9</v>
      </c>
      <c r="S8208">
        <v>25.98724</v>
      </c>
      <c r="T8208">
        <v>1089.3040000000001</v>
      </c>
      <c r="U8208">
        <v>193</v>
      </c>
      <c r="V8208">
        <v>19</v>
      </c>
      <c r="W8208">
        <v>55.835659999999997</v>
      </c>
      <c r="X8208">
        <v>475.16430000000003</v>
      </c>
      <c r="Y8208">
        <v>95.036709999999999</v>
      </c>
      <c r="Z8208">
        <v>263.0367</v>
      </c>
      <c r="AA8208">
        <v>279.43360000000001</v>
      </c>
      <c r="AB8208">
        <v>3.6246510000000001</v>
      </c>
      <c r="AC8208">
        <v>1.1353709999999999E-2</v>
      </c>
      <c r="AD8208">
        <v>1.9822789999999999</v>
      </c>
      <c r="AE8208">
        <v>0.74678169999999999</v>
      </c>
      <c r="AF8208">
        <v>13.961539999999999</v>
      </c>
      <c r="AG8208">
        <f>IFERROR(AH8208*0.1, "N/A")</f>
        <v>5.9554200000000002</v>
      </c>
      <c r="AH8208">
        <v>59.554200000000002</v>
      </c>
      <c r="AI8208">
        <v>221.16399999999999</v>
      </c>
      <c r="AJ8208">
        <v>26.43881</v>
      </c>
      <c r="AK8208">
        <v>36.867130000000003</v>
      </c>
    </row>
    <row r="8209" spans="1:37" x14ac:dyDescent="0.3">
      <c r="A8209">
        <v>8208</v>
      </c>
      <c r="B8209">
        <v>0</v>
      </c>
      <c r="C8209">
        <v>0.13333300000000001</v>
      </c>
      <c r="D8209">
        <v>6.1</v>
      </c>
      <c r="E8209" t="s">
        <v>12266</v>
      </c>
      <c r="F8209" t="s">
        <v>12268</v>
      </c>
      <c r="G8209" t="s">
        <v>39</v>
      </c>
      <c r="H8209">
        <v>1963</v>
      </c>
      <c r="I8209">
        <v>27.387239999999998</v>
      </c>
      <c r="J8209">
        <v>9.9164329999999996</v>
      </c>
      <c r="K8209">
        <v>74.298950000000005</v>
      </c>
      <c r="L8209">
        <v>11.108650000000001</v>
      </c>
      <c r="M8209">
        <v>34.757339999999999</v>
      </c>
      <c r="N8209">
        <v>21.48357</v>
      </c>
      <c r="O8209">
        <v>13.27378</v>
      </c>
      <c r="P8209">
        <v>27.716429999999999</v>
      </c>
      <c r="Q8209">
        <v>27.98724</v>
      </c>
      <c r="R8209">
        <v>28.9</v>
      </c>
      <c r="S8209">
        <v>25.98724</v>
      </c>
      <c r="T8209">
        <v>1089.3040000000001</v>
      </c>
      <c r="U8209">
        <v>193</v>
      </c>
      <c r="V8209">
        <v>19</v>
      </c>
      <c r="W8209">
        <v>55.835659999999997</v>
      </c>
      <c r="X8209">
        <v>475.16430000000003</v>
      </c>
      <c r="Y8209">
        <v>95.036709999999999</v>
      </c>
      <c r="Z8209">
        <v>263.0367</v>
      </c>
      <c r="AA8209">
        <v>279.43360000000001</v>
      </c>
      <c r="AB8209">
        <v>3.6246510000000001</v>
      </c>
      <c r="AC8209">
        <v>1.1353709999999999E-2</v>
      </c>
      <c r="AD8209">
        <v>1.9822789999999999</v>
      </c>
      <c r="AE8209">
        <v>0.74678169999999999</v>
      </c>
      <c r="AF8209">
        <v>13.961539999999999</v>
      </c>
      <c r="AG8209">
        <f>IFERROR(AH8209*0.1, "N/A")</f>
        <v>5.9554200000000002</v>
      </c>
      <c r="AH8209">
        <v>59.554200000000002</v>
      </c>
      <c r="AI8209">
        <v>221.16399999999999</v>
      </c>
      <c r="AJ8209">
        <v>26.43881</v>
      </c>
      <c r="AK8209">
        <v>36.867130000000003</v>
      </c>
    </row>
    <row r="8210" spans="1:37" x14ac:dyDescent="0.3">
      <c r="A8210">
        <v>8209</v>
      </c>
      <c r="B8210">
        <v>8.5</v>
      </c>
      <c r="C8210">
        <v>0.99613700000000005</v>
      </c>
      <c r="D8210">
        <v>6.2370599999999996</v>
      </c>
      <c r="E8210" t="s">
        <v>12269</v>
      </c>
      <c r="F8210" t="s">
        <v>12270</v>
      </c>
      <c r="G8210" t="s">
        <v>39</v>
      </c>
      <c r="H8210">
        <v>1963</v>
      </c>
      <c r="I8210">
        <v>26.6</v>
      </c>
      <c r="J8210">
        <v>8.1</v>
      </c>
      <c r="K8210">
        <v>74</v>
      </c>
      <c r="L8210">
        <v>10.88</v>
      </c>
      <c r="M8210">
        <v>32.5</v>
      </c>
      <c r="N8210">
        <v>21.6</v>
      </c>
      <c r="O8210">
        <v>10.9</v>
      </c>
      <c r="P8210">
        <v>27</v>
      </c>
      <c r="Q8210">
        <v>27.3</v>
      </c>
      <c r="R8210">
        <v>27.9</v>
      </c>
      <c r="S8210">
        <v>25.1</v>
      </c>
      <c r="T8210">
        <v>1012</v>
      </c>
      <c r="U8210">
        <v>181</v>
      </c>
      <c r="V8210">
        <v>16</v>
      </c>
      <c r="W8210">
        <v>61</v>
      </c>
      <c r="X8210">
        <v>468</v>
      </c>
      <c r="Y8210">
        <v>80</v>
      </c>
      <c r="Z8210">
        <v>262</v>
      </c>
      <c r="AA8210">
        <v>203</v>
      </c>
      <c r="AB8210">
        <v>32.37021</v>
      </c>
      <c r="AC8210">
        <v>3.5295890000000003E-2</v>
      </c>
      <c r="AD8210">
        <v>2.0256620000000001</v>
      </c>
      <c r="AE8210">
        <v>0.84957039999999995</v>
      </c>
      <c r="AF8210">
        <v>55.470379999999999</v>
      </c>
      <c r="AG8210">
        <f>IFERROR(AH8210*0.1, "N/A")</f>
        <v>5.74878</v>
      </c>
      <c r="AH8210">
        <v>57.4878</v>
      </c>
      <c r="AI8210">
        <v>228.35810000000001</v>
      </c>
      <c r="AJ8210">
        <v>15.60976</v>
      </c>
      <c r="AK8210">
        <v>66.735190000000003</v>
      </c>
    </row>
    <row r="8211" spans="1:37" x14ac:dyDescent="0.3">
      <c r="A8211">
        <v>8210</v>
      </c>
      <c r="B8211">
        <v>11.4</v>
      </c>
      <c r="C8211">
        <v>0.6</v>
      </c>
      <c r="D8211">
        <v>6.75</v>
      </c>
      <c r="E8211" t="s">
        <v>12271</v>
      </c>
      <c r="F8211" t="s">
        <v>12272</v>
      </c>
      <c r="G8211" t="s">
        <v>37</v>
      </c>
      <c r="H8211">
        <v>1963</v>
      </c>
      <c r="I8211">
        <v>26.71913</v>
      </c>
      <c r="J8211">
        <v>10</v>
      </c>
      <c r="K8211">
        <v>74.808700000000002</v>
      </c>
      <c r="L8211">
        <v>10.19805</v>
      </c>
      <c r="M8211">
        <v>34.21913</v>
      </c>
      <c r="N8211">
        <v>20.9</v>
      </c>
      <c r="O8211">
        <v>13.319129999999999</v>
      </c>
      <c r="P8211">
        <v>27.088000000000001</v>
      </c>
      <c r="Q8211">
        <v>27.21913</v>
      </c>
      <c r="R8211">
        <v>28.019130000000001</v>
      </c>
      <c r="S8211">
        <v>25.26887</v>
      </c>
      <c r="T8211">
        <v>1340.077</v>
      </c>
      <c r="U8211">
        <v>196.12</v>
      </c>
      <c r="V8211">
        <v>27</v>
      </c>
      <c r="W8211">
        <v>49</v>
      </c>
      <c r="X8211">
        <v>508.23649999999998</v>
      </c>
      <c r="Y8211">
        <v>111.9965</v>
      </c>
      <c r="Z8211">
        <v>318.11649999999997</v>
      </c>
      <c r="AA8211">
        <v>383.1687</v>
      </c>
      <c r="AB8211">
        <v>17.242090000000001</v>
      </c>
      <c r="AC8211">
        <v>1.271253E-2</v>
      </c>
      <c r="AD8211">
        <v>3.2547619999999999</v>
      </c>
      <c r="AE8211">
        <v>0.68095289999999997</v>
      </c>
      <c r="AF8211">
        <v>149.98089999999999</v>
      </c>
      <c r="AG8211">
        <f>IFERROR(AH8211*0.1, "N/A")</f>
        <v>5.9441740000000003</v>
      </c>
      <c r="AH8211">
        <v>59.441740000000003</v>
      </c>
      <c r="AI8211">
        <v>89.756150000000005</v>
      </c>
      <c r="AJ8211">
        <v>14.441739999999999</v>
      </c>
      <c r="AK8211">
        <v>66.558260000000004</v>
      </c>
    </row>
    <row r="8212" spans="1:37" x14ac:dyDescent="0.3">
      <c r="A8212">
        <v>8211</v>
      </c>
      <c r="B8212">
        <v>45.8</v>
      </c>
      <c r="C8212">
        <v>0.63333300000000003</v>
      </c>
      <c r="D8212">
        <v>6.75</v>
      </c>
      <c r="E8212" t="s">
        <v>12273</v>
      </c>
      <c r="F8212" t="s">
        <v>12274</v>
      </c>
      <c r="G8212" t="s">
        <v>37</v>
      </c>
      <c r="H8212">
        <v>1963</v>
      </c>
      <c r="I8212">
        <v>26.81391</v>
      </c>
      <c r="J8212">
        <v>10</v>
      </c>
      <c r="K8212">
        <v>74.772170000000003</v>
      </c>
      <c r="L8212">
        <v>10.00038</v>
      </c>
      <c r="M8212">
        <v>34.292870000000001</v>
      </c>
      <c r="N8212">
        <v>20.991129999999998</v>
      </c>
      <c r="O8212">
        <v>13.301740000000001</v>
      </c>
      <c r="P8212">
        <v>27.113910000000001</v>
      </c>
      <c r="Q8212">
        <v>27.31391</v>
      </c>
      <c r="R8212">
        <v>28.064869999999999</v>
      </c>
      <c r="S8212">
        <v>25.366610000000001</v>
      </c>
      <c r="T8212">
        <v>1307.3030000000001</v>
      </c>
      <c r="U8212">
        <v>192.89570000000001</v>
      </c>
      <c r="V8212">
        <v>27</v>
      </c>
      <c r="W8212">
        <v>49.789569999999998</v>
      </c>
      <c r="X8212">
        <v>498.26429999999999</v>
      </c>
      <c r="Y8212">
        <v>108.7722</v>
      </c>
      <c r="Z8212">
        <v>310.36869999999999</v>
      </c>
      <c r="AA8212">
        <v>373.98610000000002</v>
      </c>
      <c r="AB8212">
        <v>3.1824370000000002</v>
      </c>
      <c r="AC8212">
        <v>4.4811169999999997E-2</v>
      </c>
      <c r="AD8212">
        <v>3.1538650000000001</v>
      </c>
      <c r="AE8212">
        <v>0.69112739999999995</v>
      </c>
      <c r="AF8212">
        <v>125.1617</v>
      </c>
      <c r="AG8212">
        <f>IFERROR(AH8212*0.1, "N/A")</f>
        <v>5.8000000000000007</v>
      </c>
      <c r="AH8212">
        <v>58</v>
      </c>
      <c r="AI8212">
        <v>194.2484</v>
      </c>
      <c r="AJ8212">
        <v>15.526960000000001</v>
      </c>
      <c r="AK8212">
        <v>66.580870000000004</v>
      </c>
    </row>
    <row r="8213" spans="1:37" x14ac:dyDescent="0.3">
      <c r="A8213">
        <v>8212</v>
      </c>
      <c r="B8213">
        <v>0.8</v>
      </c>
      <c r="C8213">
        <v>0.29505700000000001</v>
      </c>
      <c r="D8213">
        <v>6.9910100000000002</v>
      </c>
      <c r="E8213" t="s">
        <v>12275</v>
      </c>
      <c r="F8213" t="s">
        <v>12276</v>
      </c>
      <c r="G8213" t="s">
        <v>39</v>
      </c>
      <c r="H8213">
        <v>1963</v>
      </c>
      <c r="I8213">
        <v>27</v>
      </c>
      <c r="J8213">
        <v>10.5</v>
      </c>
      <c r="K8213">
        <v>73</v>
      </c>
      <c r="L8213">
        <v>10.614739999999999</v>
      </c>
      <c r="M8213">
        <v>34.9</v>
      </c>
      <c r="N8213">
        <v>20.7</v>
      </c>
      <c r="O8213">
        <v>14.2</v>
      </c>
      <c r="P8213">
        <v>26.5</v>
      </c>
      <c r="Q8213">
        <v>27.5</v>
      </c>
      <c r="R8213">
        <v>28.4</v>
      </c>
      <c r="S8213">
        <v>25.510100000000001</v>
      </c>
      <c r="T8213">
        <v>1390.1010000000001</v>
      </c>
      <c r="U8213">
        <v>198</v>
      </c>
      <c r="V8213">
        <v>20</v>
      </c>
      <c r="W8213">
        <v>50</v>
      </c>
      <c r="X8213">
        <v>511</v>
      </c>
      <c r="Y8213">
        <v>95</v>
      </c>
      <c r="Z8213">
        <v>284.899</v>
      </c>
      <c r="AA8213">
        <v>451.30309999999997</v>
      </c>
      <c r="AB8213">
        <v>4.1973880000000001</v>
      </c>
      <c r="AC8213">
        <v>0.1210455</v>
      </c>
      <c r="AD8213">
        <v>2.225492</v>
      </c>
      <c r="AE8213">
        <v>0.78406220000000004</v>
      </c>
      <c r="AF8213">
        <v>147.47739999999999</v>
      </c>
      <c r="AG8213">
        <f>IFERROR(AH8213*0.1, "N/A")</f>
        <v>6.009233</v>
      </c>
      <c r="AH8213">
        <v>60.092329999999997</v>
      </c>
      <c r="AI8213">
        <v>31.015709999999999</v>
      </c>
      <c r="AJ8213">
        <v>15.79443</v>
      </c>
      <c r="AK8213">
        <v>62.818820000000002</v>
      </c>
    </row>
    <row r="8214" spans="1:37" x14ac:dyDescent="0.3">
      <c r="A8214">
        <v>8213</v>
      </c>
      <c r="B8214">
        <v>0</v>
      </c>
      <c r="C8214">
        <v>0.466667</v>
      </c>
      <c r="D8214">
        <v>7.4</v>
      </c>
      <c r="E8214" t="s">
        <v>12277</v>
      </c>
      <c r="F8214" t="s">
        <v>12278</v>
      </c>
      <c r="G8214" t="s">
        <v>37</v>
      </c>
      <c r="H8214">
        <v>1963</v>
      </c>
      <c r="I8214">
        <v>26.91394</v>
      </c>
      <c r="J8214">
        <v>10.7</v>
      </c>
      <c r="K8214">
        <v>71.989549999999994</v>
      </c>
      <c r="L8214">
        <v>11.417199999999999</v>
      </c>
      <c r="M8214">
        <v>35.113939999999999</v>
      </c>
      <c r="N8214">
        <v>20.375260000000001</v>
      </c>
      <c r="O8214">
        <v>14.73868</v>
      </c>
      <c r="P8214">
        <v>26.251570000000001</v>
      </c>
      <c r="Q8214">
        <v>27.512889999999999</v>
      </c>
      <c r="R8214">
        <v>28.314979999999998</v>
      </c>
      <c r="S8214">
        <v>25.213940000000001</v>
      </c>
      <c r="T8214">
        <v>1504.056</v>
      </c>
      <c r="U8214">
        <v>211.108</v>
      </c>
      <c r="V8214">
        <v>19</v>
      </c>
      <c r="W8214">
        <v>52.010449999999999</v>
      </c>
      <c r="X8214">
        <v>538.35540000000003</v>
      </c>
      <c r="Y8214">
        <v>90.984319999999997</v>
      </c>
      <c r="Z8214">
        <v>321.23169999999999</v>
      </c>
      <c r="AA8214">
        <v>483.95819999999998</v>
      </c>
      <c r="AB8214">
        <v>24.438330000000001</v>
      </c>
      <c r="AC8214">
        <v>3.1416159999999999E-2</v>
      </c>
      <c r="AD8214">
        <v>2.0065520000000001</v>
      </c>
      <c r="AE8214">
        <v>0.67549539999999997</v>
      </c>
      <c r="AF8214">
        <v>189.7561</v>
      </c>
      <c r="AG8214">
        <f>IFERROR(AH8214*0.1, "N/A")</f>
        <v>5.4937280000000008</v>
      </c>
      <c r="AH8214">
        <v>54.937280000000001</v>
      </c>
      <c r="AI8214">
        <v>275.5231</v>
      </c>
      <c r="AJ8214">
        <v>23</v>
      </c>
      <c r="AK8214">
        <v>59.606270000000002</v>
      </c>
    </row>
    <row r="8215" spans="1:37" x14ac:dyDescent="0.3">
      <c r="A8215">
        <v>8214</v>
      </c>
      <c r="B8215">
        <v>2</v>
      </c>
      <c r="C8215">
        <v>0.466667</v>
      </c>
      <c r="D8215">
        <v>7.4</v>
      </c>
      <c r="E8215" t="s">
        <v>12277</v>
      </c>
      <c r="F8215" t="s">
        <v>12279</v>
      </c>
      <c r="G8215" t="s">
        <v>39</v>
      </c>
      <c r="H8215">
        <v>1963</v>
      </c>
      <c r="I8215">
        <v>26.91394</v>
      </c>
      <c r="J8215">
        <v>10.7</v>
      </c>
      <c r="K8215">
        <v>71.989549999999994</v>
      </c>
      <c r="L8215">
        <v>11.417199999999999</v>
      </c>
      <c r="M8215">
        <v>35.113939999999999</v>
      </c>
      <c r="N8215">
        <v>20.375260000000001</v>
      </c>
      <c r="O8215">
        <v>14.73868</v>
      </c>
      <c r="P8215">
        <v>26.251570000000001</v>
      </c>
      <c r="Q8215">
        <v>27.512889999999999</v>
      </c>
      <c r="R8215">
        <v>28.314979999999998</v>
      </c>
      <c r="S8215">
        <v>25.213940000000001</v>
      </c>
      <c r="T8215">
        <v>1504.056</v>
      </c>
      <c r="U8215">
        <v>211.108</v>
      </c>
      <c r="V8215">
        <v>19</v>
      </c>
      <c r="W8215">
        <v>52.010449999999999</v>
      </c>
      <c r="X8215">
        <v>538.35540000000003</v>
      </c>
      <c r="Y8215">
        <v>90.984319999999997</v>
      </c>
      <c r="Z8215">
        <v>321.23169999999999</v>
      </c>
      <c r="AA8215">
        <v>483.95819999999998</v>
      </c>
      <c r="AB8215">
        <v>24.438330000000001</v>
      </c>
      <c r="AC8215">
        <v>3.1416159999999999E-2</v>
      </c>
      <c r="AD8215">
        <v>2.0065520000000001</v>
      </c>
      <c r="AE8215">
        <v>0.67549539999999997</v>
      </c>
      <c r="AF8215">
        <v>189.7561</v>
      </c>
      <c r="AG8215">
        <f>IFERROR(AH8215*0.1, "N/A")</f>
        <v>5.4937280000000008</v>
      </c>
      <c r="AH8215">
        <v>54.937280000000001</v>
      </c>
      <c r="AI8215">
        <v>275.5231</v>
      </c>
      <c r="AJ8215">
        <v>23</v>
      </c>
      <c r="AK8215">
        <v>59.606270000000002</v>
      </c>
    </row>
    <row r="8216" spans="1:37" x14ac:dyDescent="0.3">
      <c r="A8216">
        <v>8215</v>
      </c>
      <c r="B8216">
        <v>10.3</v>
      </c>
      <c r="C8216">
        <v>0.475831</v>
      </c>
      <c r="D8216">
        <v>7.52766</v>
      </c>
      <c r="E8216" t="s">
        <v>12280</v>
      </c>
      <c r="F8216" t="s">
        <v>12281</v>
      </c>
      <c r="G8216" t="s">
        <v>39</v>
      </c>
      <c r="H8216">
        <v>1963</v>
      </c>
      <c r="I8216">
        <v>26.60971</v>
      </c>
      <c r="J8216">
        <v>10.70485</v>
      </c>
      <c r="K8216">
        <v>71.95147</v>
      </c>
      <c r="L8216">
        <v>11.496980000000001</v>
      </c>
      <c r="M8216">
        <v>34.819409999999998</v>
      </c>
      <c r="N8216">
        <v>20.004850000000001</v>
      </c>
      <c r="O8216">
        <v>14.81456</v>
      </c>
      <c r="P8216">
        <v>25.90971</v>
      </c>
      <c r="Q8216">
        <v>27.209710000000001</v>
      </c>
      <c r="R8216">
        <v>28.014559999999999</v>
      </c>
      <c r="S8216">
        <v>24.90971</v>
      </c>
      <c r="T8216">
        <v>1511.2239999999999</v>
      </c>
      <c r="U8216">
        <v>220.75739999999999</v>
      </c>
      <c r="V8216">
        <v>17</v>
      </c>
      <c r="W8216">
        <v>54</v>
      </c>
      <c r="X8216">
        <v>546.75739999999996</v>
      </c>
      <c r="Y8216">
        <v>85.95147</v>
      </c>
      <c r="Z8216">
        <v>310.90289999999999</v>
      </c>
      <c r="AA8216">
        <v>516.46619999999996</v>
      </c>
      <c r="AB8216">
        <v>39.413170000000001</v>
      </c>
      <c r="AC8216">
        <v>1.7362610000000001E-2</v>
      </c>
      <c r="AD8216">
        <v>2.8702830000000001</v>
      </c>
      <c r="AE8216">
        <v>0.73483849999999995</v>
      </c>
      <c r="AF8216">
        <v>231.04509999999999</v>
      </c>
      <c r="AG8216">
        <f>IFERROR(AH8216*0.1, "N/A")</f>
        <v>5.9951470000000002</v>
      </c>
      <c r="AH8216">
        <v>59.95147</v>
      </c>
      <c r="AI8216">
        <v>252.68940000000001</v>
      </c>
      <c r="AJ8216">
        <v>19</v>
      </c>
      <c r="AK8216">
        <v>62</v>
      </c>
    </row>
    <row r="8217" spans="1:37" x14ac:dyDescent="0.3">
      <c r="A8217">
        <v>8216</v>
      </c>
      <c r="B8217">
        <v>3.7</v>
      </c>
      <c r="C8217">
        <v>0.500193</v>
      </c>
      <c r="D8217">
        <v>7.8001199999999997</v>
      </c>
      <c r="E8217" t="s">
        <v>12282</v>
      </c>
      <c r="F8217" t="s">
        <v>12283</v>
      </c>
      <c r="G8217" t="s">
        <v>39</v>
      </c>
      <c r="H8217">
        <v>1963</v>
      </c>
      <c r="I8217">
        <v>26.783799999999999</v>
      </c>
      <c r="J8217">
        <v>10.93519</v>
      </c>
      <c r="K8217">
        <v>69.797910000000002</v>
      </c>
      <c r="L8217">
        <v>11.81847</v>
      </c>
      <c r="M8217">
        <v>35.239199999999997</v>
      </c>
      <c r="N8217">
        <v>19.7</v>
      </c>
      <c r="O8217">
        <v>15.539199999999999</v>
      </c>
      <c r="P8217">
        <v>25.567599999999999</v>
      </c>
      <c r="Q8217">
        <v>27.383800000000001</v>
      </c>
      <c r="R8217">
        <v>28.339200000000002</v>
      </c>
      <c r="S8217">
        <v>25.132400000000001</v>
      </c>
      <c r="T8217">
        <v>1432.1759999999999</v>
      </c>
      <c r="U8217">
        <v>225.77</v>
      </c>
      <c r="V8217">
        <v>10.44599</v>
      </c>
      <c r="W8217">
        <v>59.202089999999998</v>
      </c>
      <c r="X8217">
        <v>541.66200000000003</v>
      </c>
      <c r="Y8217">
        <v>66.891990000000007</v>
      </c>
      <c r="Z8217">
        <v>270.5</v>
      </c>
      <c r="AA8217">
        <v>539.74220000000003</v>
      </c>
      <c r="AB8217">
        <v>20.30697</v>
      </c>
      <c r="AC8217">
        <v>2.151523E-2</v>
      </c>
      <c r="AD8217">
        <v>3.6065040000000002</v>
      </c>
      <c r="AE8217">
        <v>0.19466649999999999</v>
      </c>
      <c r="AF8217">
        <v>230.28569999999999</v>
      </c>
      <c r="AG8217">
        <f>IFERROR(AH8217*0.1, "N/A")</f>
        <v>5.4</v>
      </c>
      <c r="AH8217">
        <v>54</v>
      </c>
      <c r="AI8217">
        <v>248.5761</v>
      </c>
      <c r="AJ8217">
        <v>25.72822</v>
      </c>
      <c r="AK8217">
        <v>57.27178</v>
      </c>
    </row>
    <row r="8218" spans="1:37" x14ac:dyDescent="0.3">
      <c r="A8218">
        <v>8217</v>
      </c>
      <c r="B8218">
        <v>18.5</v>
      </c>
      <c r="C8218">
        <v>-0.35</v>
      </c>
      <c r="D8218">
        <v>6.6166700000000001</v>
      </c>
      <c r="E8218">
        <f>-0.35-6.61667</f>
        <v>-6.9666699999999997</v>
      </c>
      <c r="F8218" t="s">
        <v>12284</v>
      </c>
      <c r="G8218" t="s">
        <v>39</v>
      </c>
      <c r="H8218">
        <v>1970</v>
      </c>
      <c r="I8218">
        <v>26.808060000000001</v>
      </c>
      <c r="J8218">
        <v>10.42539</v>
      </c>
      <c r="K8218">
        <v>73.681259999999995</v>
      </c>
      <c r="L8218">
        <v>9.4780909999999992</v>
      </c>
      <c r="M8218">
        <v>34.36533</v>
      </c>
      <c r="N8218">
        <v>20.308060000000001</v>
      </c>
      <c r="O8218">
        <v>14.057270000000001</v>
      </c>
      <c r="P8218">
        <v>27.182659999999998</v>
      </c>
      <c r="Q8218">
        <v>27.13345</v>
      </c>
      <c r="R8218">
        <v>28.039929999999998</v>
      </c>
      <c r="S8218">
        <v>25.49072</v>
      </c>
      <c r="T8218">
        <v>1406.7929999999999</v>
      </c>
      <c r="U8218">
        <v>217.94220000000001</v>
      </c>
      <c r="V8218">
        <v>22.173380000000002</v>
      </c>
      <c r="W8218">
        <v>49.826619999999998</v>
      </c>
      <c r="X8218">
        <v>526.63049999999998</v>
      </c>
      <c r="Y8218">
        <v>115.0928</v>
      </c>
      <c r="Z8218">
        <v>321.2312</v>
      </c>
      <c r="AA8218">
        <v>370.03500000000003</v>
      </c>
      <c r="AB8218">
        <v>13.92224</v>
      </c>
      <c r="AC8218">
        <v>4.281741E-2</v>
      </c>
      <c r="AD8218">
        <v>2.2414809999999998</v>
      </c>
      <c r="AE8218">
        <v>0.69173709999999999</v>
      </c>
      <c r="AF8218">
        <v>99.551659999999998</v>
      </c>
      <c r="AG8218">
        <f>IFERROR(AH8218*0.1, "N/A")</f>
        <v>6.0805600000000002</v>
      </c>
      <c r="AH8218">
        <v>60.805599999999998</v>
      </c>
      <c r="AI8218">
        <v>40.259709999999998</v>
      </c>
      <c r="AJ8218">
        <v>18.938700000000001</v>
      </c>
      <c r="AK8218">
        <v>64.059539999999998</v>
      </c>
    </row>
    <row r="8219" spans="1:37" x14ac:dyDescent="0.3">
      <c r="A8219">
        <v>8218</v>
      </c>
      <c r="B8219">
        <v>20</v>
      </c>
      <c r="C8219">
        <v>-5.0311000000000002E-2</v>
      </c>
      <c r="D8219">
        <v>7.7989499999999996</v>
      </c>
      <c r="E8219">
        <f>-0.050311-7.79895</f>
        <v>-7.8492609999999994</v>
      </c>
      <c r="F8219" t="s">
        <v>12285</v>
      </c>
      <c r="G8219" t="s">
        <v>39</v>
      </c>
      <c r="H8219">
        <v>1970</v>
      </c>
      <c r="I8219">
        <v>27.5</v>
      </c>
      <c r="J8219">
        <v>11</v>
      </c>
      <c r="K8219">
        <v>66</v>
      </c>
      <c r="L8219">
        <v>13.294969999999999</v>
      </c>
      <c r="M8219">
        <v>36</v>
      </c>
      <c r="N8219">
        <v>19.399999999999999</v>
      </c>
      <c r="O8219">
        <v>16.600000000000001</v>
      </c>
      <c r="P8219">
        <v>25.9</v>
      </c>
      <c r="Q8219">
        <v>27.850090000000002</v>
      </c>
      <c r="R8219">
        <v>29.4</v>
      </c>
      <c r="S8219">
        <v>25.9</v>
      </c>
      <c r="T8219">
        <v>1314.501</v>
      </c>
      <c r="U8219">
        <v>218</v>
      </c>
      <c r="V8219">
        <v>8</v>
      </c>
      <c r="W8219">
        <v>68</v>
      </c>
      <c r="X8219">
        <v>563.5009</v>
      </c>
      <c r="Y8219">
        <v>39</v>
      </c>
      <c r="Z8219">
        <v>186</v>
      </c>
      <c r="AA8219">
        <v>563.5009</v>
      </c>
      <c r="AB8219">
        <v>25.366720000000001</v>
      </c>
      <c r="AC8219">
        <v>1.399004E-2</v>
      </c>
      <c r="AD8219">
        <v>4.2912790000000003</v>
      </c>
      <c r="AE8219">
        <v>0.72943619999999998</v>
      </c>
      <c r="AF8219">
        <v>120.9948</v>
      </c>
      <c r="AG8219">
        <f>IFERROR(AH8219*0.1, "N/A")</f>
        <v>5.8892550000000004</v>
      </c>
      <c r="AH8219">
        <v>58.89255</v>
      </c>
      <c r="AI8219">
        <v>232.7801</v>
      </c>
      <c r="AJ8219">
        <v>15.0312</v>
      </c>
      <c r="AK8219">
        <v>63.008670000000002</v>
      </c>
    </row>
    <row r="8220" spans="1:37" x14ac:dyDescent="0.3">
      <c r="A8220">
        <v>8219</v>
      </c>
      <c r="B8220">
        <v>0</v>
      </c>
      <c r="C8220">
        <v>-0.41666999999999998</v>
      </c>
      <c r="D8220">
        <v>6.6166700000000001</v>
      </c>
      <c r="E8220">
        <f>-0.41667-6.61667</f>
        <v>-7.0333399999999999</v>
      </c>
      <c r="F8220" t="s">
        <v>12286</v>
      </c>
      <c r="G8220" t="s">
        <v>39</v>
      </c>
      <c r="H8220">
        <v>1970</v>
      </c>
      <c r="I8220">
        <v>24.63449</v>
      </c>
      <c r="J8220">
        <v>10.225440000000001</v>
      </c>
      <c r="K8220">
        <v>75.491290000000006</v>
      </c>
      <c r="L8220">
        <v>9.4989720000000002</v>
      </c>
      <c r="M8220">
        <v>31.978919999999999</v>
      </c>
      <c r="N8220">
        <v>18.477180000000001</v>
      </c>
      <c r="O8220">
        <v>13.50174</v>
      </c>
      <c r="P8220">
        <v>25.02805</v>
      </c>
      <c r="Q8220">
        <v>25.02805</v>
      </c>
      <c r="R8220">
        <v>25.828050000000001</v>
      </c>
      <c r="S8220">
        <v>23.328050000000001</v>
      </c>
      <c r="T8220">
        <v>1513.9490000000001</v>
      </c>
      <c r="U8220">
        <v>223.5557</v>
      </c>
      <c r="V8220">
        <v>24.55575</v>
      </c>
      <c r="W8220">
        <v>49</v>
      </c>
      <c r="X8220">
        <v>548.50350000000003</v>
      </c>
      <c r="Y8220">
        <v>123.9652</v>
      </c>
      <c r="Z8220">
        <v>352.83100000000002</v>
      </c>
      <c r="AA8220">
        <v>421.18819999999999</v>
      </c>
      <c r="AB8220">
        <v>199.2225</v>
      </c>
      <c r="AC8220">
        <v>3.1127729999999999E-2</v>
      </c>
      <c r="AD8220">
        <v>10.614229999999999</v>
      </c>
      <c r="AE8220">
        <v>0.66957069999999996</v>
      </c>
      <c r="AF8220">
        <v>368.1551</v>
      </c>
      <c r="AG8220">
        <f>IFERROR(AH8220*0.1, "N/A")</f>
        <v>5.573519000000001</v>
      </c>
      <c r="AH8220">
        <v>55.735190000000003</v>
      </c>
      <c r="AI8220">
        <v>347.47710000000001</v>
      </c>
      <c r="AJ8220">
        <v>31.853660000000001</v>
      </c>
      <c r="AK8220">
        <v>44.236930000000001</v>
      </c>
    </row>
    <row r="8221" spans="1:37" x14ac:dyDescent="0.3">
      <c r="A8221">
        <v>8220</v>
      </c>
      <c r="B8221">
        <v>20</v>
      </c>
      <c r="C8221">
        <v>-0.65165499999999998</v>
      </c>
      <c r="D8221">
        <v>8.2270000000000003</v>
      </c>
      <c r="E8221">
        <f>-0.651655-8.227</f>
        <v>-8.8786550000000002</v>
      </c>
      <c r="F8221" t="s">
        <v>12287</v>
      </c>
      <c r="G8221" t="s">
        <v>39</v>
      </c>
      <c r="H8221">
        <v>1970</v>
      </c>
      <c r="I8221">
        <v>27.7</v>
      </c>
      <c r="J8221">
        <v>11.1</v>
      </c>
      <c r="K8221">
        <v>68</v>
      </c>
      <c r="L8221">
        <v>13.38</v>
      </c>
      <c r="M8221">
        <v>36.5</v>
      </c>
      <c r="N8221">
        <v>20.2</v>
      </c>
      <c r="O8221">
        <v>16.3</v>
      </c>
      <c r="P8221">
        <v>26.1</v>
      </c>
      <c r="Q8221">
        <v>28.2</v>
      </c>
      <c r="R8221">
        <v>29.7</v>
      </c>
      <c r="S8221">
        <v>26.1</v>
      </c>
      <c r="T8221">
        <v>1209</v>
      </c>
      <c r="U8221">
        <v>226</v>
      </c>
      <c r="V8221">
        <v>5</v>
      </c>
      <c r="W8221">
        <v>73</v>
      </c>
      <c r="X8221">
        <v>535</v>
      </c>
      <c r="Y8221">
        <v>24</v>
      </c>
      <c r="Z8221">
        <v>174</v>
      </c>
      <c r="AA8221">
        <v>535</v>
      </c>
      <c r="AB8221">
        <v>20.945930000000001</v>
      </c>
      <c r="AC8221">
        <v>0.1046489</v>
      </c>
      <c r="AD8221">
        <v>0.74829199999999996</v>
      </c>
      <c r="AE8221">
        <v>0.80795220000000001</v>
      </c>
      <c r="AF8221">
        <v>100.74</v>
      </c>
      <c r="AG8221">
        <f>IFERROR(AH8221*0.1, "N/A")</f>
        <v>5.7091850000000006</v>
      </c>
      <c r="AH8221">
        <v>57.091850000000001</v>
      </c>
      <c r="AI8221">
        <v>138.4803</v>
      </c>
      <c r="AJ8221">
        <v>20.091850000000001</v>
      </c>
      <c r="AK8221">
        <v>59.183709999999998</v>
      </c>
    </row>
    <row r="8222" spans="1:37" x14ac:dyDescent="0.3">
      <c r="A8222">
        <v>8221</v>
      </c>
      <c r="B8222">
        <v>25</v>
      </c>
      <c r="C8222">
        <v>-0.48332999999999998</v>
      </c>
      <c r="D8222">
        <v>6.7</v>
      </c>
      <c r="E8222">
        <f>-0.48333-6.7</f>
        <v>-7.1833299999999998</v>
      </c>
      <c r="F8222" t="s">
        <v>12288</v>
      </c>
      <c r="G8222" t="s">
        <v>39</v>
      </c>
      <c r="H8222">
        <v>1970</v>
      </c>
      <c r="I8222">
        <v>26.673819999999999</v>
      </c>
      <c r="J8222">
        <v>10.4</v>
      </c>
      <c r="K8222">
        <v>73.188479999999998</v>
      </c>
      <c r="L8222">
        <v>9.6673650000000002</v>
      </c>
      <c r="M8222">
        <v>34.336120000000001</v>
      </c>
      <c r="N8222">
        <v>20.19267</v>
      </c>
      <c r="O8222">
        <v>14.143459999999999</v>
      </c>
      <c r="P8222">
        <v>27.073820000000001</v>
      </c>
      <c r="Q8222">
        <v>27.066140000000001</v>
      </c>
      <c r="R8222">
        <v>27.954969999999999</v>
      </c>
      <c r="S8222">
        <v>25.354970000000002</v>
      </c>
      <c r="T8222">
        <v>1400.14</v>
      </c>
      <c r="U8222">
        <v>215.75389999999999</v>
      </c>
      <c r="V8222">
        <v>20.37696</v>
      </c>
      <c r="W8222">
        <v>50.811520000000002</v>
      </c>
      <c r="X8222">
        <v>524.45029999999997</v>
      </c>
      <c r="Y8222">
        <v>107.3194</v>
      </c>
      <c r="Z8222">
        <v>321.20420000000001</v>
      </c>
      <c r="AA8222">
        <v>379.16579999999999</v>
      </c>
      <c r="AB8222">
        <v>23.97016</v>
      </c>
      <c r="AC8222">
        <v>3.7363650000000002</v>
      </c>
      <c r="AD8222">
        <v>10.37749</v>
      </c>
      <c r="AE8222">
        <v>0.64554940000000005</v>
      </c>
      <c r="AF8222">
        <v>154.5812</v>
      </c>
      <c r="AG8222">
        <f>IFERROR(AH8222*0.1, "N/A")</f>
        <v>5.6000000000000005</v>
      </c>
      <c r="AH8222">
        <v>56</v>
      </c>
      <c r="AI8222">
        <v>165.61689999999999</v>
      </c>
      <c r="AJ8222">
        <v>20.474689999999999</v>
      </c>
      <c r="AK8222">
        <v>58.525309999999998</v>
      </c>
    </row>
    <row r="8223" spans="1:37" x14ac:dyDescent="0.3">
      <c r="A8223">
        <v>8222</v>
      </c>
      <c r="B8223">
        <v>12.5</v>
      </c>
      <c r="C8223">
        <v>-0.51027800000000001</v>
      </c>
      <c r="D8223">
        <v>6.7133099999999999</v>
      </c>
      <c r="E8223">
        <f>-0.510278-6.71331</f>
        <v>-7.2235879999999995</v>
      </c>
      <c r="F8223" t="s">
        <v>12289</v>
      </c>
      <c r="G8223" t="s">
        <v>39</v>
      </c>
      <c r="H8223">
        <v>1970</v>
      </c>
      <c r="I8223">
        <v>26.9</v>
      </c>
      <c r="J8223">
        <v>10.4</v>
      </c>
      <c r="K8223">
        <v>73</v>
      </c>
      <c r="L8223">
        <v>9.4600000000000009</v>
      </c>
      <c r="M8223">
        <v>34.5</v>
      </c>
      <c r="N8223">
        <v>20.3</v>
      </c>
      <c r="O8223">
        <v>14.2</v>
      </c>
      <c r="P8223">
        <v>27.2</v>
      </c>
      <c r="Q8223">
        <v>27.2</v>
      </c>
      <c r="R8223">
        <v>28.1</v>
      </c>
      <c r="S8223">
        <v>25.6</v>
      </c>
      <c r="T8223">
        <v>1391</v>
      </c>
      <c r="U8223">
        <v>215</v>
      </c>
      <c r="V8223">
        <v>20</v>
      </c>
      <c r="W8223">
        <v>51</v>
      </c>
      <c r="X8223">
        <v>524</v>
      </c>
      <c r="Y8223">
        <v>105</v>
      </c>
      <c r="Z8223">
        <v>320</v>
      </c>
      <c r="AA8223">
        <v>375</v>
      </c>
      <c r="AB8223">
        <v>13.88045</v>
      </c>
      <c r="AC8223">
        <v>1.1276110000000001E-2</v>
      </c>
      <c r="AD8223">
        <v>1.720791</v>
      </c>
      <c r="AE8223">
        <v>0.60680069999999997</v>
      </c>
      <c r="AF8223">
        <v>92.418850000000006</v>
      </c>
      <c r="AG8223">
        <f>IFERROR(AH8223*0.1, "N/A")</f>
        <v>5.8062830000000005</v>
      </c>
      <c r="AH8223">
        <v>58.062829999999998</v>
      </c>
      <c r="AI8223">
        <v>41.203859999999999</v>
      </c>
      <c r="AJ8223">
        <v>22</v>
      </c>
      <c r="AK8223">
        <v>56.984290000000001</v>
      </c>
    </row>
    <row r="8224" spans="1:37" x14ac:dyDescent="0.3">
      <c r="A8224">
        <v>8223</v>
      </c>
      <c r="B8224">
        <v>0</v>
      </c>
      <c r="C8224">
        <v>-0.216667</v>
      </c>
      <c r="D8224">
        <v>5.55</v>
      </c>
      <c r="E8224">
        <f>-0.216667-5.55</f>
        <v>-5.766667</v>
      </c>
      <c r="F8224" t="s">
        <v>12290</v>
      </c>
      <c r="G8224" t="s">
        <v>37</v>
      </c>
      <c r="H8224">
        <v>1973</v>
      </c>
      <c r="I8224">
        <v>26.8</v>
      </c>
      <c r="J8224">
        <v>7.0684120000000004</v>
      </c>
      <c r="K8224">
        <v>66.792320000000004</v>
      </c>
      <c r="L8224">
        <v>12.435460000000001</v>
      </c>
      <c r="M8224">
        <v>32.164569999999998</v>
      </c>
      <c r="N8224">
        <v>21.67539</v>
      </c>
      <c r="O8224">
        <v>10.489179999999999</v>
      </c>
      <c r="P8224">
        <v>27.3</v>
      </c>
      <c r="Q8224">
        <v>27.67539</v>
      </c>
      <c r="R8224">
        <v>28.17539</v>
      </c>
      <c r="S8224">
        <v>24.875389999999999</v>
      </c>
      <c r="T8224">
        <v>806.55150000000003</v>
      </c>
      <c r="U8224">
        <v>208.20769999999999</v>
      </c>
      <c r="V8224">
        <v>14</v>
      </c>
      <c r="W8224">
        <v>80.315880000000007</v>
      </c>
      <c r="X8224">
        <v>439.85340000000002</v>
      </c>
      <c r="Y8224">
        <v>66.438050000000004</v>
      </c>
      <c r="Z8224">
        <v>180</v>
      </c>
      <c r="AA8224">
        <v>124.9302</v>
      </c>
      <c r="AB8224">
        <v>1.0345549999999999</v>
      </c>
      <c r="AC8224">
        <v>0.61812820000000002</v>
      </c>
      <c r="AD8224">
        <v>1.3242480000000001</v>
      </c>
      <c r="AE8224">
        <v>0.93730800000000003</v>
      </c>
      <c r="AF8224">
        <v>6.6910990000000004</v>
      </c>
      <c r="AG8224">
        <f>IFERROR(AH8224*0.1, "N/A")</f>
        <v>6.6228620000000014</v>
      </c>
      <c r="AH8224">
        <v>66.228620000000006</v>
      </c>
      <c r="AI8224">
        <v>154.2166</v>
      </c>
      <c r="AJ8224">
        <v>28.645720000000001</v>
      </c>
      <c r="AK8224">
        <v>48</v>
      </c>
    </row>
    <row r="8225" spans="1:37" x14ac:dyDescent="0.3">
      <c r="A8225">
        <v>8224</v>
      </c>
      <c r="B8225">
        <v>77.2</v>
      </c>
      <c r="C8225">
        <v>-0.63332999999999995</v>
      </c>
      <c r="D8225">
        <v>9.2666699999999995</v>
      </c>
      <c r="E8225">
        <f>-0.63333-9.26667</f>
        <v>-9.8999999999999986</v>
      </c>
      <c r="F8225" t="s">
        <v>12291</v>
      </c>
      <c r="G8225" t="s">
        <v>39</v>
      </c>
      <c r="H8225">
        <v>1962</v>
      </c>
      <c r="I8225">
        <v>28.2</v>
      </c>
      <c r="J8225">
        <v>11.3</v>
      </c>
      <c r="K8225">
        <v>64.86403</v>
      </c>
      <c r="L8225">
        <v>16.02272</v>
      </c>
      <c r="M8225">
        <v>37.5</v>
      </c>
      <c r="N8225">
        <v>20.186399999999999</v>
      </c>
      <c r="O8225">
        <v>17.313600000000001</v>
      </c>
      <c r="P8225">
        <v>26.3</v>
      </c>
      <c r="Q8225">
        <v>28.7864</v>
      </c>
      <c r="R8225">
        <v>30.5</v>
      </c>
      <c r="S8225">
        <v>26.3</v>
      </c>
      <c r="T8225">
        <v>1122.3910000000001</v>
      </c>
      <c r="U8225">
        <v>233.4923</v>
      </c>
      <c r="V8225">
        <v>2</v>
      </c>
      <c r="W8225">
        <v>81</v>
      </c>
      <c r="X8225">
        <v>578.62819999999999</v>
      </c>
      <c r="Y8225">
        <v>15</v>
      </c>
      <c r="Z8225">
        <v>137</v>
      </c>
      <c r="AA8225">
        <v>578.62819999999999</v>
      </c>
      <c r="AB8225">
        <v>0.84870679999999998</v>
      </c>
      <c r="AC8225">
        <v>0.38231910000000002</v>
      </c>
      <c r="AD8225">
        <v>0.69040840000000003</v>
      </c>
      <c r="AE8225">
        <v>0.30334050000000001</v>
      </c>
      <c r="AF8225">
        <v>101.8847</v>
      </c>
      <c r="AG8225">
        <f>IFERROR(AH8225*0.1, "N/A")</f>
        <v>5.7450950000000001</v>
      </c>
      <c r="AH8225">
        <v>57.450949999999999</v>
      </c>
      <c r="AI8225">
        <v>159.66329999999999</v>
      </c>
      <c r="AJ8225">
        <v>19.432009999999998</v>
      </c>
      <c r="AK8225">
        <v>50.356279999999998</v>
      </c>
    </row>
    <row r="8226" spans="1:37" x14ac:dyDescent="0.3">
      <c r="A8226">
        <v>8225</v>
      </c>
      <c r="B8226">
        <v>11.5</v>
      </c>
      <c r="C8226">
        <v>-0.83773600000000004</v>
      </c>
      <c r="D8226">
        <v>9.3945799999999995</v>
      </c>
      <c r="E8226">
        <f>-0.837736-9.39458</f>
        <v>-10.232315999999999</v>
      </c>
      <c r="F8226" t="s">
        <v>12292</v>
      </c>
      <c r="G8226" t="s">
        <v>39</v>
      </c>
      <c r="H8226">
        <v>1962</v>
      </c>
      <c r="I8226">
        <v>27.9</v>
      </c>
      <c r="J8226">
        <v>11.3</v>
      </c>
      <c r="K8226">
        <v>65</v>
      </c>
      <c r="L8226">
        <v>16.41</v>
      </c>
      <c r="M8226">
        <v>37.200000000000003</v>
      </c>
      <c r="N8226">
        <v>20</v>
      </c>
      <c r="O8226">
        <v>17.2</v>
      </c>
      <c r="P8226">
        <v>25.9</v>
      </c>
      <c r="Q8226">
        <v>28.5</v>
      </c>
      <c r="R8226">
        <v>30.3</v>
      </c>
      <c r="S8226">
        <v>25.9</v>
      </c>
      <c r="T8226">
        <v>1111</v>
      </c>
      <c r="U8226">
        <v>231</v>
      </c>
      <c r="V8226">
        <v>2</v>
      </c>
      <c r="W8226">
        <v>82</v>
      </c>
      <c r="X8226">
        <v>578</v>
      </c>
      <c r="Y8226">
        <v>15</v>
      </c>
      <c r="Z8226">
        <v>140</v>
      </c>
      <c r="AA8226">
        <v>578</v>
      </c>
      <c r="AB8226">
        <v>12.798109999999999</v>
      </c>
      <c r="AC8226">
        <v>0.17833470000000001</v>
      </c>
      <c r="AD8226">
        <v>1.489935</v>
      </c>
      <c r="AE8226">
        <v>0.86128459999999996</v>
      </c>
      <c r="AF8226">
        <v>183.07570000000001</v>
      </c>
      <c r="AG8226">
        <f>IFERROR(AH8226*0.1, "N/A")</f>
        <v>6.843718</v>
      </c>
      <c r="AH8226">
        <v>68.437179999999998</v>
      </c>
      <c r="AI8226">
        <v>101.001</v>
      </c>
      <c r="AJ8226">
        <v>24.554220000000001</v>
      </c>
      <c r="AK8226">
        <v>54.041310000000003</v>
      </c>
    </row>
    <row r="8227" spans="1:37" x14ac:dyDescent="0.3">
      <c r="A8227">
        <v>8226</v>
      </c>
      <c r="B8227">
        <v>2.7</v>
      </c>
      <c r="C8227">
        <v>-6.6669999999999993E-2</v>
      </c>
      <c r="D8227">
        <v>9.4166699999999999</v>
      </c>
      <c r="E8227">
        <f>-0.06667-9.41667</f>
        <v>-9.4833400000000001</v>
      </c>
      <c r="F8227" t="s">
        <v>12293</v>
      </c>
      <c r="G8227" t="s">
        <v>39</v>
      </c>
      <c r="H8227">
        <v>1962</v>
      </c>
      <c r="I8227">
        <v>27.434360000000002</v>
      </c>
      <c r="J8227">
        <v>11.5</v>
      </c>
      <c r="K8227">
        <v>64.656360000000006</v>
      </c>
      <c r="L8227">
        <v>15.924519999999999</v>
      </c>
      <c r="M8227">
        <v>36.734360000000002</v>
      </c>
      <c r="N8227">
        <v>19.100000000000001</v>
      </c>
      <c r="O8227">
        <v>17.634360000000001</v>
      </c>
      <c r="P8227">
        <v>25.526119999999999</v>
      </c>
      <c r="Q8227">
        <v>27.83436</v>
      </c>
      <c r="R8227">
        <v>29.734359999999999</v>
      </c>
      <c r="S8227">
        <v>25.526119999999999</v>
      </c>
      <c r="T8227">
        <v>1194.6030000000001</v>
      </c>
      <c r="U8227">
        <v>248</v>
      </c>
      <c r="V8227">
        <v>2.9175260000000001</v>
      </c>
      <c r="W8227">
        <v>82</v>
      </c>
      <c r="X8227">
        <v>627.79899999999998</v>
      </c>
      <c r="Y8227">
        <v>17.573879999999999</v>
      </c>
      <c r="Z8227">
        <v>133.9691</v>
      </c>
      <c r="AA8227">
        <v>627.79899999999998</v>
      </c>
      <c r="AB8227">
        <v>2.1635789999999999</v>
      </c>
      <c r="AC8227">
        <v>1.049663</v>
      </c>
      <c r="AD8227">
        <v>0.66082390000000002</v>
      </c>
      <c r="AE8227">
        <v>0.22767280000000001</v>
      </c>
      <c r="AF8227">
        <v>167.87799999999999</v>
      </c>
      <c r="AG8227">
        <f>IFERROR(AH8227*0.1, "N/A")</f>
        <v>5.9</v>
      </c>
      <c r="AH8227">
        <v>59</v>
      </c>
      <c r="AI8227">
        <v>141.61330000000001</v>
      </c>
      <c r="AJ8227">
        <v>14.58935</v>
      </c>
      <c r="AK8227">
        <v>61.393470000000001</v>
      </c>
    </row>
    <row r="8228" spans="1:37" x14ac:dyDescent="0.3">
      <c r="A8228">
        <v>8227</v>
      </c>
      <c r="B8228">
        <v>4</v>
      </c>
      <c r="C8228">
        <v>-1.0500000000000001E-2</v>
      </c>
      <c r="D8228">
        <v>9.4423399999999997</v>
      </c>
      <c r="E8228">
        <f>-0.0105-9.44234</f>
        <v>-9.4528400000000001</v>
      </c>
      <c r="F8228" t="s">
        <v>12294</v>
      </c>
      <c r="G8228" t="s">
        <v>39</v>
      </c>
      <c r="H8228">
        <v>1962</v>
      </c>
      <c r="I8228">
        <v>27.3</v>
      </c>
      <c r="J8228">
        <v>11.6</v>
      </c>
      <c r="K8228">
        <v>65</v>
      </c>
      <c r="L8228">
        <v>16.170000000000002</v>
      </c>
      <c r="M8228">
        <v>36.6</v>
      </c>
      <c r="N8228">
        <v>18.8</v>
      </c>
      <c r="O8228">
        <v>17.8</v>
      </c>
      <c r="P8228">
        <v>25.3</v>
      </c>
      <c r="Q8228">
        <v>27.7</v>
      </c>
      <c r="R8228">
        <v>29.6</v>
      </c>
      <c r="S8228">
        <v>25.3</v>
      </c>
      <c r="T8228">
        <v>1207</v>
      </c>
      <c r="U8228">
        <v>250</v>
      </c>
      <c r="V8228">
        <v>3</v>
      </c>
      <c r="W8228">
        <v>82</v>
      </c>
      <c r="X8228">
        <v>635</v>
      </c>
      <c r="Y8228">
        <v>18</v>
      </c>
      <c r="Z8228">
        <v>135</v>
      </c>
      <c r="AA8228">
        <v>635</v>
      </c>
      <c r="AB8228">
        <v>21.310359999999999</v>
      </c>
      <c r="AC8228">
        <v>1.152254E-2</v>
      </c>
      <c r="AD8228">
        <v>0.90373380000000003</v>
      </c>
      <c r="AE8228">
        <v>0.71302589999999999</v>
      </c>
      <c r="AF8228">
        <v>205.24870000000001</v>
      </c>
      <c r="AG8228">
        <f>IFERROR(AH8228*0.1, "N/A")</f>
        <v>5.9670120000000004</v>
      </c>
      <c r="AH8228">
        <v>59.670119999999997</v>
      </c>
      <c r="AI8228">
        <v>189.7466</v>
      </c>
      <c r="AJ8228">
        <v>18.02591</v>
      </c>
      <c r="AK8228">
        <v>60.252160000000003</v>
      </c>
    </row>
    <row r="8229" spans="1:37" x14ac:dyDescent="0.3">
      <c r="A8229">
        <v>8228</v>
      </c>
      <c r="B8229">
        <v>71.400000000000006</v>
      </c>
      <c r="C8229">
        <v>-0.84827900000000001</v>
      </c>
      <c r="D8229">
        <v>9.5842700000000001</v>
      </c>
      <c r="E8229">
        <f>-0.848279-9.58427</f>
        <v>-10.432549</v>
      </c>
      <c r="F8229" t="s">
        <v>12295</v>
      </c>
      <c r="G8229" t="s">
        <v>39</v>
      </c>
      <c r="H8229">
        <v>1962</v>
      </c>
      <c r="I8229">
        <v>27.9</v>
      </c>
      <c r="J8229">
        <v>11.3</v>
      </c>
      <c r="K8229">
        <v>65</v>
      </c>
      <c r="L8229">
        <v>16.45</v>
      </c>
      <c r="M8229">
        <v>37.200000000000003</v>
      </c>
      <c r="N8229">
        <v>19.899999999999999</v>
      </c>
      <c r="O8229">
        <v>17.3</v>
      </c>
      <c r="P8229">
        <v>25.9</v>
      </c>
      <c r="Q8229">
        <v>28.4</v>
      </c>
      <c r="R8229">
        <v>30.2</v>
      </c>
      <c r="S8229">
        <v>25.9</v>
      </c>
      <c r="T8229">
        <v>1082</v>
      </c>
      <c r="U8229">
        <v>227</v>
      </c>
      <c r="V8229">
        <v>2</v>
      </c>
      <c r="W8229">
        <v>83</v>
      </c>
      <c r="X8229">
        <v>580</v>
      </c>
      <c r="Y8229">
        <v>14</v>
      </c>
      <c r="Z8229">
        <v>126</v>
      </c>
      <c r="AA8229">
        <v>580</v>
      </c>
      <c r="AB8229">
        <v>7.1800069999999998</v>
      </c>
      <c r="AC8229">
        <v>4.8579240000000003E-2</v>
      </c>
      <c r="AD8229">
        <v>1.2581770000000001</v>
      </c>
      <c r="AE8229">
        <v>0.63702360000000002</v>
      </c>
      <c r="AF8229">
        <v>152.93100000000001</v>
      </c>
      <c r="AG8229">
        <f>IFERROR(AH8229*0.1, "N/A")</f>
        <v>5.7581030000000002</v>
      </c>
      <c r="AH8229">
        <v>57.581029999999998</v>
      </c>
      <c r="AI8229">
        <v>306.55619999999999</v>
      </c>
      <c r="AJ8229">
        <v>16.536210000000001</v>
      </c>
      <c r="AK8229">
        <v>59.017240000000001</v>
      </c>
    </row>
    <row r="8230" spans="1:37" x14ac:dyDescent="0.3">
      <c r="A8230">
        <v>8229</v>
      </c>
      <c r="B8230">
        <v>14.5</v>
      </c>
      <c r="C8230">
        <v>-0.36256300000000002</v>
      </c>
      <c r="D8230">
        <v>6.2271099999999997</v>
      </c>
      <c r="E8230">
        <f>-0.362563-6.22711</f>
        <v>-6.5896729999999994</v>
      </c>
      <c r="F8230" t="s">
        <v>12296</v>
      </c>
      <c r="G8230" t="s">
        <v>39</v>
      </c>
      <c r="H8230">
        <v>1966</v>
      </c>
      <c r="I8230">
        <v>25.8</v>
      </c>
      <c r="J8230">
        <v>9.9</v>
      </c>
      <c r="K8230">
        <v>77</v>
      </c>
      <c r="L8230">
        <v>8.33</v>
      </c>
      <c r="M8230">
        <v>32.6</v>
      </c>
      <c r="N8230">
        <v>19.8</v>
      </c>
      <c r="O8230">
        <v>12.8</v>
      </c>
      <c r="P8230">
        <v>26.1</v>
      </c>
      <c r="Q8230">
        <v>26.2</v>
      </c>
      <c r="R8230">
        <v>26.8</v>
      </c>
      <c r="S8230">
        <v>24.6</v>
      </c>
      <c r="T8230">
        <v>1562</v>
      </c>
      <c r="U8230">
        <v>242</v>
      </c>
      <c r="V8230">
        <v>31</v>
      </c>
      <c r="W8230">
        <v>46</v>
      </c>
      <c r="X8230">
        <v>579</v>
      </c>
      <c r="Y8230">
        <v>162</v>
      </c>
      <c r="Z8230">
        <v>379</v>
      </c>
      <c r="AA8230">
        <v>448</v>
      </c>
      <c r="AB8230">
        <v>9.2715479999999992</v>
      </c>
      <c r="AC8230">
        <v>1.097528E-2</v>
      </c>
      <c r="AD8230">
        <v>2.2453690000000002</v>
      </c>
      <c r="AE8230">
        <v>0.82135499999999995</v>
      </c>
      <c r="AF8230">
        <v>205.9546</v>
      </c>
      <c r="AG8230">
        <f>IFERROR(AH8230*0.1, "N/A")</f>
        <v>5.838045000000001</v>
      </c>
      <c r="AH8230">
        <v>58.380450000000003</v>
      </c>
      <c r="AI8230">
        <v>278.67540000000002</v>
      </c>
      <c r="AJ8230">
        <v>16</v>
      </c>
      <c r="AK8230">
        <v>66.380449999999996</v>
      </c>
    </row>
    <row r="8231" spans="1:37" x14ac:dyDescent="0.3">
      <c r="A8231">
        <v>8230</v>
      </c>
      <c r="B8231">
        <v>24.5</v>
      </c>
      <c r="C8231">
        <v>-0.36667</v>
      </c>
      <c r="D8231">
        <v>6.2166699999999997</v>
      </c>
      <c r="E8231">
        <f>-0.36667-6.21667</f>
        <v>-6.5833399999999997</v>
      </c>
      <c r="F8231" t="s">
        <v>12297</v>
      </c>
      <c r="G8231" t="s">
        <v>39</v>
      </c>
      <c r="H8231">
        <v>1966</v>
      </c>
      <c r="I8231">
        <v>25.878360000000001</v>
      </c>
      <c r="J8231">
        <v>9.8781850000000002</v>
      </c>
      <c r="K8231">
        <v>77</v>
      </c>
      <c r="L8231">
        <v>8.5991269999999993</v>
      </c>
      <c r="M8231">
        <v>32.663350000000001</v>
      </c>
      <c r="N8231">
        <v>19.885169999999999</v>
      </c>
      <c r="O8231">
        <v>12.77819</v>
      </c>
      <c r="P8231">
        <v>26.178360000000001</v>
      </c>
      <c r="Q8231">
        <v>26.215009999999999</v>
      </c>
      <c r="R8231">
        <v>26.863350000000001</v>
      </c>
      <c r="S8231">
        <v>24.656549999999999</v>
      </c>
      <c r="T8231">
        <v>1565.056</v>
      </c>
      <c r="U8231">
        <v>243</v>
      </c>
      <c r="V8231">
        <v>31.218150000000001</v>
      </c>
      <c r="W8231">
        <v>46</v>
      </c>
      <c r="X8231">
        <v>581.70159999999998</v>
      </c>
      <c r="Y8231">
        <v>162.43629999999999</v>
      </c>
      <c r="Z8231">
        <v>379.98779999999999</v>
      </c>
      <c r="AA8231">
        <v>366.21640000000002</v>
      </c>
      <c r="AB8231">
        <v>3.1003419999999999</v>
      </c>
      <c r="AC8231">
        <v>4.2299860000000002</v>
      </c>
      <c r="AD8231">
        <v>1.7463280000000001</v>
      </c>
      <c r="AE8231">
        <v>0.86014349999999995</v>
      </c>
      <c r="AF8231">
        <v>201.0489</v>
      </c>
      <c r="AG8231">
        <f>IFERROR(AH8231*0.1, "N/A")</f>
        <v>5.8633510000000006</v>
      </c>
      <c r="AH8231">
        <v>58.633510000000001</v>
      </c>
      <c r="AI8231">
        <v>165.24039999999999</v>
      </c>
      <c r="AJ8231">
        <v>20.633510000000001</v>
      </c>
      <c r="AK8231">
        <v>61.366489999999999</v>
      </c>
    </row>
    <row r="8232" spans="1:37" x14ac:dyDescent="0.3">
      <c r="A8232">
        <v>8231</v>
      </c>
      <c r="B8232">
        <v>44.2</v>
      </c>
      <c r="C8232">
        <v>0.5</v>
      </c>
      <c r="D8232">
        <v>6.8333300000000001</v>
      </c>
      <c r="E8232" t="s">
        <v>12298</v>
      </c>
      <c r="F8232" t="s">
        <v>12299</v>
      </c>
      <c r="G8232" t="s">
        <v>39</v>
      </c>
      <c r="H8232">
        <v>1956</v>
      </c>
      <c r="I8232">
        <v>26.2</v>
      </c>
      <c r="J8232">
        <v>10.199999999999999</v>
      </c>
      <c r="K8232">
        <v>75.135649999999998</v>
      </c>
      <c r="L8232">
        <v>10.54777</v>
      </c>
      <c r="M8232">
        <v>33.754959999999997</v>
      </c>
      <c r="N8232">
        <v>20.268519999999999</v>
      </c>
      <c r="O8232">
        <v>13.48643</v>
      </c>
      <c r="P8232">
        <v>26.613569999999999</v>
      </c>
      <c r="Q8232">
        <v>26.67548</v>
      </c>
      <c r="R8232">
        <v>27.547999999999998</v>
      </c>
      <c r="S8232">
        <v>24.668520000000001</v>
      </c>
      <c r="T8232">
        <v>1539.337</v>
      </c>
      <c r="U8232">
        <v>219.17910000000001</v>
      </c>
      <c r="V8232">
        <v>29.930430000000001</v>
      </c>
      <c r="W8232">
        <v>46.52</v>
      </c>
      <c r="X8232">
        <v>565.1096</v>
      </c>
      <c r="Y8232">
        <v>130.58959999999999</v>
      </c>
      <c r="Z8232">
        <v>357.20519999999999</v>
      </c>
      <c r="AA8232">
        <v>455.69040000000001</v>
      </c>
      <c r="AB8232">
        <v>5.3443500000000004</v>
      </c>
      <c r="AC8232">
        <v>8.8322629999999999E-2</v>
      </c>
      <c r="AD8232">
        <v>3.250092</v>
      </c>
      <c r="AE8232">
        <v>0.73110549999999996</v>
      </c>
      <c r="AF8232">
        <v>242.12</v>
      </c>
      <c r="AG8232">
        <f>IFERROR(AH8232*0.1, "N/A")</f>
        <v>5.3215649999999997</v>
      </c>
      <c r="AH8232">
        <v>53.215649999999997</v>
      </c>
      <c r="AI8232">
        <v>214.5805</v>
      </c>
      <c r="AJ8232">
        <v>23.205220000000001</v>
      </c>
      <c r="AK8232">
        <v>55.589570000000002</v>
      </c>
    </row>
    <row r="8233" spans="1:37" x14ac:dyDescent="0.3">
      <c r="A8233">
        <v>8232</v>
      </c>
      <c r="B8233">
        <v>9.1</v>
      </c>
      <c r="C8233">
        <v>-0.68332999999999999</v>
      </c>
      <c r="D8233">
        <v>5.55</v>
      </c>
      <c r="E8233">
        <f>-0.68333-5.55</f>
        <v>-6.2333299999999996</v>
      </c>
      <c r="F8233" t="s">
        <v>12300</v>
      </c>
      <c r="G8233" t="s">
        <v>39</v>
      </c>
      <c r="H8233">
        <v>1950</v>
      </c>
      <c r="I8233">
        <v>26.65804</v>
      </c>
      <c r="J8233">
        <v>7.6</v>
      </c>
      <c r="K8233">
        <v>73.821680000000001</v>
      </c>
      <c r="L8233">
        <v>9.9910490000000003</v>
      </c>
      <c r="M8233">
        <v>32.132869999999997</v>
      </c>
      <c r="N8233">
        <v>21.915030000000002</v>
      </c>
      <c r="O8233">
        <v>10.217829999999999</v>
      </c>
      <c r="P8233">
        <v>26.98217</v>
      </c>
      <c r="Q8233">
        <v>27.226569999999999</v>
      </c>
      <c r="R8233">
        <v>27.732869999999998</v>
      </c>
      <c r="S8233">
        <v>25.215029999999999</v>
      </c>
      <c r="T8233">
        <v>1218.99</v>
      </c>
      <c r="U8233">
        <v>233.7483</v>
      </c>
      <c r="V8233">
        <v>30.24126</v>
      </c>
      <c r="W8233">
        <v>55.821680000000001</v>
      </c>
      <c r="X8233">
        <v>535.70280000000002</v>
      </c>
      <c r="Y8233">
        <v>136.3322</v>
      </c>
      <c r="Z8233">
        <v>295.71679999999998</v>
      </c>
      <c r="AA8233">
        <v>201.13290000000001</v>
      </c>
      <c r="AB8233">
        <v>4.5146850000000001</v>
      </c>
      <c r="AC8233">
        <v>1.402726E-2</v>
      </c>
      <c r="AD8233">
        <v>2.2270720000000002</v>
      </c>
      <c r="AE8233">
        <v>0.81012899999999999</v>
      </c>
      <c r="AF8233">
        <v>56.739510000000003</v>
      </c>
      <c r="AG8233">
        <f>IFERROR(AH8233*0.1, "N/A")</f>
        <v>6.2</v>
      </c>
      <c r="AH8233">
        <v>62</v>
      </c>
      <c r="AI8233">
        <v>130.12909999999999</v>
      </c>
      <c r="AJ8233">
        <v>13.75874</v>
      </c>
      <c r="AK8233">
        <v>66.482519999999994</v>
      </c>
    </row>
    <row r="8234" spans="1:37" x14ac:dyDescent="0.3">
      <c r="A8234">
        <v>8233</v>
      </c>
      <c r="B8234">
        <v>56</v>
      </c>
      <c r="C8234">
        <v>-0.84158100000000002</v>
      </c>
      <c r="D8234">
        <v>10.772169999999999</v>
      </c>
      <c r="E8234">
        <f>-0.841581-10.772167</f>
        <v>-11.613747999999999</v>
      </c>
      <c r="F8234" t="s">
        <v>12301</v>
      </c>
      <c r="G8234" t="s">
        <v>39</v>
      </c>
      <c r="H8234">
        <v>2003</v>
      </c>
      <c r="I8234">
        <v>28.336600000000001</v>
      </c>
      <c r="J8234">
        <v>12.1</v>
      </c>
      <c r="K8234">
        <v>62.36598</v>
      </c>
      <c r="L8234">
        <v>18.1783</v>
      </c>
      <c r="M8234">
        <v>38.5</v>
      </c>
      <c r="N8234">
        <v>19.236599999999999</v>
      </c>
      <c r="O8234">
        <v>19.263400000000001</v>
      </c>
      <c r="P8234">
        <v>26.136600000000001</v>
      </c>
      <c r="Q8234">
        <v>28.136600000000001</v>
      </c>
      <c r="R8234">
        <v>30.936599999999999</v>
      </c>
      <c r="S8234">
        <v>26.136600000000001</v>
      </c>
      <c r="T8234">
        <v>962.53610000000003</v>
      </c>
      <c r="U8234">
        <v>246</v>
      </c>
      <c r="V8234">
        <v>1</v>
      </c>
      <c r="W8234">
        <v>102</v>
      </c>
      <c r="X8234">
        <v>612.63400000000001</v>
      </c>
      <c r="Y8234">
        <v>7</v>
      </c>
      <c r="Z8234">
        <v>152.268</v>
      </c>
      <c r="AA8234">
        <v>612.63400000000001</v>
      </c>
      <c r="AB8234">
        <v>2.2884799999999998</v>
      </c>
      <c r="AC8234">
        <v>0.22508810000000001</v>
      </c>
      <c r="AD8234">
        <v>1.8247549999999999</v>
      </c>
      <c r="AE8234">
        <v>0.78766599999999998</v>
      </c>
      <c r="AF8234">
        <v>167.0498</v>
      </c>
      <c r="AG8234">
        <f>IFERROR(AH8234*0.1, "N/A")</f>
        <v>6.1094499999999998</v>
      </c>
      <c r="AH8234">
        <v>61.094499999999996</v>
      </c>
      <c r="AI8234">
        <v>134.57990000000001</v>
      </c>
      <c r="AJ8234">
        <v>14.02234</v>
      </c>
      <c r="AK8234">
        <v>67.611680000000007</v>
      </c>
    </row>
    <row r="8235" spans="1:37" x14ac:dyDescent="0.3">
      <c r="A8235">
        <v>8234</v>
      </c>
      <c r="B8235">
        <v>28</v>
      </c>
      <c r="C8235">
        <v>-0.84983299999999995</v>
      </c>
      <c r="D8235">
        <v>10.78411</v>
      </c>
      <c r="E8235">
        <f>-0.849833-10.784108</f>
        <v>-11.633941</v>
      </c>
      <c r="F8235" t="s">
        <v>12302</v>
      </c>
      <c r="G8235" t="s">
        <v>39</v>
      </c>
      <c r="H8235">
        <v>2003</v>
      </c>
      <c r="I8235">
        <v>28.249569999999999</v>
      </c>
      <c r="J8235">
        <v>12.1</v>
      </c>
      <c r="K8235">
        <v>63</v>
      </c>
      <c r="L8235">
        <v>18.27206</v>
      </c>
      <c r="M8235">
        <v>38.398800000000001</v>
      </c>
      <c r="N8235">
        <v>19.2</v>
      </c>
      <c r="O8235">
        <v>19.198799999999999</v>
      </c>
      <c r="P8235">
        <v>26.1</v>
      </c>
      <c r="Q8235">
        <v>28.049569999999999</v>
      </c>
      <c r="R8235">
        <v>30.898800000000001</v>
      </c>
      <c r="S8235">
        <v>26.1</v>
      </c>
      <c r="T8235">
        <v>958.01199999999994</v>
      </c>
      <c r="U8235">
        <v>247</v>
      </c>
      <c r="V8235">
        <v>1</v>
      </c>
      <c r="W8235">
        <v>103</v>
      </c>
      <c r="X8235">
        <v>612</v>
      </c>
      <c r="Y8235">
        <v>7</v>
      </c>
      <c r="Z8235">
        <v>150.012</v>
      </c>
      <c r="AA8235">
        <v>612</v>
      </c>
      <c r="AB8235">
        <v>9.5372260000000004</v>
      </c>
      <c r="AC8235">
        <v>8.7571300000000005E-2</v>
      </c>
      <c r="AD8235">
        <v>2.5235280000000002</v>
      </c>
      <c r="AE8235">
        <v>0.89685300000000001</v>
      </c>
      <c r="AF8235">
        <v>177.88849999999999</v>
      </c>
      <c r="AG8235">
        <f>IFERROR(AH8235*0.1, "N/A")</f>
        <v>6.3099490000000005</v>
      </c>
      <c r="AH8235">
        <v>63.099490000000003</v>
      </c>
      <c r="AI8235">
        <v>104.9648</v>
      </c>
      <c r="AJ8235">
        <v>18.516300000000001</v>
      </c>
      <c r="AK8235">
        <v>62.327620000000003</v>
      </c>
    </row>
    <row r="8236" spans="1:37" x14ac:dyDescent="0.3">
      <c r="A8236">
        <v>8235</v>
      </c>
      <c r="B8236">
        <v>28</v>
      </c>
      <c r="C8236">
        <v>-0.84531599999999996</v>
      </c>
      <c r="D8236">
        <v>10.803430000000001</v>
      </c>
      <c r="E8236">
        <f>-0.845316-10.803429</f>
        <v>-11.648745</v>
      </c>
      <c r="F8236" t="s">
        <v>12303</v>
      </c>
      <c r="G8236" t="s">
        <v>39</v>
      </c>
      <c r="H8236">
        <v>2003</v>
      </c>
      <c r="I8236">
        <v>28.2</v>
      </c>
      <c r="J8236">
        <v>12.1</v>
      </c>
      <c r="K8236">
        <v>62</v>
      </c>
      <c r="L8236">
        <v>18.38</v>
      </c>
      <c r="M8236">
        <v>38.4</v>
      </c>
      <c r="N8236">
        <v>19.100000000000001</v>
      </c>
      <c r="O8236">
        <v>19.3</v>
      </c>
      <c r="P8236">
        <v>26.1</v>
      </c>
      <c r="Q8236">
        <v>27.6</v>
      </c>
      <c r="R8236">
        <v>30.9</v>
      </c>
      <c r="S8236">
        <v>26.1</v>
      </c>
      <c r="T8236">
        <v>952</v>
      </c>
      <c r="U8236">
        <v>247</v>
      </c>
      <c r="V8236">
        <v>1</v>
      </c>
      <c r="W8236">
        <v>103</v>
      </c>
      <c r="X8236">
        <v>610</v>
      </c>
      <c r="Y8236">
        <v>7</v>
      </c>
      <c r="Z8236">
        <v>148</v>
      </c>
      <c r="AA8236">
        <v>610</v>
      </c>
      <c r="AB8236">
        <v>15.19777</v>
      </c>
      <c r="AC8236">
        <v>1.7545209999999999E-2</v>
      </c>
      <c r="AD8236">
        <v>1.105783</v>
      </c>
      <c r="AE8236">
        <v>0.85025850000000003</v>
      </c>
      <c r="AF8236">
        <v>195.0735</v>
      </c>
      <c r="AG8236">
        <f>IFERROR(AH8236*0.1, "N/A")</f>
        <v>6</v>
      </c>
      <c r="AH8236">
        <v>60</v>
      </c>
      <c r="AI8236">
        <v>148.0206</v>
      </c>
      <c r="AJ8236">
        <v>16.748719999999999</v>
      </c>
      <c r="AK8236">
        <v>64</v>
      </c>
    </row>
    <row r="8237" spans="1:37" x14ac:dyDescent="0.3">
      <c r="A8237">
        <v>8236</v>
      </c>
      <c r="B8237">
        <v>56</v>
      </c>
      <c r="C8237">
        <v>-1.3652500000000001</v>
      </c>
      <c r="D8237">
        <v>10.5006</v>
      </c>
      <c r="E8237">
        <f>-1.36525-10.5006</f>
        <v>-11.86585</v>
      </c>
      <c r="F8237" t="s">
        <v>12304</v>
      </c>
      <c r="G8237" t="s">
        <v>39</v>
      </c>
      <c r="H8237">
        <v>2003</v>
      </c>
      <c r="I8237">
        <v>28.3</v>
      </c>
      <c r="J8237">
        <v>11.832879999999999</v>
      </c>
      <c r="K8237">
        <v>62.328769999999999</v>
      </c>
      <c r="L8237">
        <v>17.600000000000001</v>
      </c>
      <c r="M8237">
        <v>38.1</v>
      </c>
      <c r="N8237">
        <v>19.3</v>
      </c>
      <c r="O8237">
        <v>18.8</v>
      </c>
      <c r="P8237">
        <v>26.2</v>
      </c>
      <c r="Q8237">
        <v>28.2</v>
      </c>
      <c r="R8237">
        <v>30.8</v>
      </c>
      <c r="S8237">
        <v>26.2</v>
      </c>
      <c r="T8237">
        <v>1011</v>
      </c>
      <c r="U8237">
        <v>252.6712</v>
      </c>
      <c r="V8237">
        <v>1</v>
      </c>
      <c r="W8237">
        <v>96.671229999999994</v>
      </c>
      <c r="X8237">
        <v>608.6712</v>
      </c>
      <c r="Y8237">
        <v>6</v>
      </c>
      <c r="Z8237">
        <v>197</v>
      </c>
      <c r="AA8237">
        <v>608.6712</v>
      </c>
      <c r="AB8237">
        <v>1.692472</v>
      </c>
      <c r="AC8237">
        <v>2.3722759999999998</v>
      </c>
      <c r="AD8237">
        <v>1.0376700000000001</v>
      </c>
      <c r="AE8237">
        <v>0.61970289999999995</v>
      </c>
      <c r="AF8237">
        <v>150.1062</v>
      </c>
      <c r="AG8237">
        <f>IFERROR(AH8237*0.1, "N/A")</f>
        <v>6.5938360000000005</v>
      </c>
      <c r="AH8237">
        <v>65.938360000000003</v>
      </c>
      <c r="AI8237">
        <v>109.24209999999999</v>
      </c>
      <c r="AJ8237">
        <v>20.876709999999999</v>
      </c>
      <c r="AK8237">
        <v>59.123289999999997</v>
      </c>
    </row>
    <row r="8238" spans="1:37" x14ac:dyDescent="0.3">
      <c r="A8238">
        <v>8237</v>
      </c>
      <c r="B8238">
        <v>30</v>
      </c>
      <c r="C8238">
        <v>-1.25868</v>
      </c>
      <c r="D8238">
        <v>10.5023</v>
      </c>
      <c r="E8238">
        <f>-1.25868-10.5023</f>
        <v>-11.76098</v>
      </c>
      <c r="F8238" t="s">
        <v>12305</v>
      </c>
      <c r="G8238" t="s">
        <v>39</v>
      </c>
      <c r="H8238">
        <v>2003</v>
      </c>
      <c r="I8238">
        <v>28.2</v>
      </c>
      <c r="J8238">
        <v>11.861409999999999</v>
      </c>
      <c r="K8238">
        <v>62.614069999999998</v>
      </c>
      <c r="L8238">
        <v>17.74333</v>
      </c>
      <c r="M8238">
        <v>38</v>
      </c>
      <c r="N8238">
        <v>19.2</v>
      </c>
      <c r="O8238">
        <v>18.8</v>
      </c>
      <c r="P8238">
        <v>26.061409999999999</v>
      </c>
      <c r="Q8238">
        <v>28.1</v>
      </c>
      <c r="R8238">
        <v>30.66141</v>
      </c>
      <c r="S8238">
        <v>26.061409999999999</v>
      </c>
      <c r="T8238">
        <v>1011.386</v>
      </c>
      <c r="U8238">
        <v>251</v>
      </c>
      <c r="V8238">
        <v>1</v>
      </c>
      <c r="W8238">
        <v>97</v>
      </c>
      <c r="X8238">
        <v>612.38589999999999</v>
      </c>
      <c r="Y8238">
        <v>6</v>
      </c>
      <c r="Z8238">
        <v>151.5472</v>
      </c>
      <c r="AA8238">
        <v>612.38589999999999</v>
      </c>
      <c r="AB8238">
        <v>7.0828550000000003</v>
      </c>
      <c r="AC8238">
        <v>0.1218137</v>
      </c>
      <c r="AD8238">
        <v>1.866296</v>
      </c>
      <c r="AE8238">
        <v>0.2991917</v>
      </c>
      <c r="AF8238">
        <v>171.76329999999999</v>
      </c>
      <c r="AG8238">
        <f>IFERROR(AH8238*0.1, "N/A")</f>
        <v>6.3969130000000005</v>
      </c>
      <c r="AH8238">
        <v>63.96913</v>
      </c>
      <c r="AI8238">
        <v>244.85579999999999</v>
      </c>
      <c r="AJ8238">
        <v>18.989709999999999</v>
      </c>
      <c r="AK8238">
        <v>58.396230000000003</v>
      </c>
    </row>
    <row r="8239" spans="1:37" x14ac:dyDescent="0.3">
      <c r="A8239">
        <v>8238</v>
      </c>
      <c r="B8239">
        <v>73</v>
      </c>
      <c r="C8239">
        <v>-1.25024</v>
      </c>
      <c r="D8239">
        <v>10.6225</v>
      </c>
      <c r="E8239">
        <f>-1.25024-10.6225</f>
        <v>-11.87274</v>
      </c>
      <c r="F8239" t="s">
        <v>12306</v>
      </c>
      <c r="G8239" t="s">
        <v>39</v>
      </c>
      <c r="H8239">
        <v>2003</v>
      </c>
      <c r="I8239">
        <v>28.197769999999998</v>
      </c>
      <c r="J8239">
        <v>11.9</v>
      </c>
      <c r="K8239">
        <v>62</v>
      </c>
      <c r="L8239">
        <v>17.84844</v>
      </c>
      <c r="M8239">
        <v>38.097760000000001</v>
      </c>
      <c r="N8239">
        <v>19.100000000000001</v>
      </c>
      <c r="O8239">
        <v>18.997769999999999</v>
      </c>
      <c r="P8239">
        <v>26.1</v>
      </c>
      <c r="Q8239">
        <v>28</v>
      </c>
      <c r="R8239">
        <v>30.697769999999998</v>
      </c>
      <c r="S8239">
        <v>26.1</v>
      </c>
      <c r="T8239">
        <v>1003</v>
      </c>
      <c r="U8239">
        <v>257</v>
      </c>
      <c r="V8239">
        <v>1</v>
      </c>
      <c r="W8239">
        <v>99</v>
      </c>
      <c r="X8239">
        <v>617</v>
      </c>
      <c r="Y8239">
        <v>6</v>
      </c>
      <c r="Z8239">
        <v>186</v>
      </c>
      <c r="AA8239">
        <v>617</v>
      </c>
      <c r="AB8239">
        <v>7.0314480000000001</v>
      </c>
      <c r="AC8239">
        <v>3.8613189999999999E-2</v>
      </c>
      <c r="AD8239">
        <v>1.8239799999999999</v>
      </c>
      <c r="AE8239">
        <v>0.69482849999999996</v>
      </c>
      <c r="AF8239">
        <v>190.59280000000001</v>
      </c>
      <c r="AG8239">
        <f>IFERROR(AH8239*0.1, "N/A")</f>
        <v>6.1391750000000007</v>
      </c>
      <c r="AH8239">
        <v>61.391750000000002</v>
      </c>
      <c r="AI8239">
        <v>158.99109999999999</v>
      </c>
      <c r="AJ8239">
        <v>20</v>
      </c>
      <c r="AK8239">
        <v>62.695880000000002</v>
      </c>
    </row>
    <row r="8240" spans="1:37" x14ac:dyDescent="0.3">
      <c r="A8240">
        <v>8239</v>
      </c>
      <c r="B8240">
        <v>40</v>
      </c>
      <c r="C8240">
        <v>-1.3903099999999999</v>
      </c>
      <c r="D8240">
        <v>10.654500000000001</v>
      </c>
      <c r="E8240">
        <f>-1.39031-10.6545</f>
        <v>-12.04481</v>
      </c>
      <c r="F8240" t="s">
        <v>12307</v>
      </c>
      <c r="G8240" t="s">
        <v>39</v>
      </c>
      <c r="H8240">
        <v>2003</v>
      </c>
      <c r="I8240">
        <v>28.3</v>
      </c>
      <c r="J8240">
        <v>12</v>
      </c>
      <c r="K8240">
        <v>62</v>
      </c>
      <c r="L8240">
        <v>17.98</v>
      </c>
      <c r="M8240">
        <v>38.200000000000003</v>
      </c>
      <c r="N8240">
        <v>19.100000000000001</v>
      </c>
      <c r="O8240">
        <v>19.100000000000001</v>
      </c>
      <c r="P8240">
        <v>26.2</v>
      </c>
      <c r="Q8240">
        <v>28.1</v>
      </c>
      <c r="R8240">
        <v>30.8</v>
      </c>
      <c r="S8240">
        <v>26.2</v>
      </c>
      <c r="T8240">
        <v>998</v>
      </c>
      <c r="U8240">
        <v>262</v>
      </c>
      <c r="V8240">
        <v>1</v>
      </c>
      <c r="W8240">
        <v>99</v>
      </c>
      <c r="X8240">
        <v>614</v>
      </c>
      <c r="Y8240">
        <v>5</v>
      </c>
      <c r="Z8240">
        <v>188</v>
      </c>
      <c r="AA8240">
        <v>614</v>
      </c>
      <c r="AB8240">
        <v>3.0560870000000002</v>
      </c>
      <c r="AC8240">
        <v>30.203050000000001</v>
      </c>
      <c r="AD8240">
        <v>1.975911</v>
      </c>
      <c r="AE8240">
        <v>0.31746289999999999</v>
      </c>
      <c r="AF8240">
        <v>167.75989999999999</v>
      </c>
      <c r="AG8240">
        <f>IFERROR(AH8240*0.1, "N/A")</f>
        <v>6.3046310000000005</v>
      </c>
      <c r="AH8240">
        <v>63.046309999999998</v>
      </c>
      <c r="AI8240">
        <v>259.17720000000003</v>
      </c>
      <c r="AJ8240">
        <v>19.953690000000002</v>
      </c>
      <c r="AK8240">
        <v>55.138939999999998</v>
      </c>
    </row>
    <row r="8241" spans="1:37" x14ac:dyDescent="0.3">
      <c r="A8241">
        <v>8240</v>
      </c>
      <c r="B8241">
        <v>53</v>
      </c>
      <c r="C8241">
        <v>-0.79997099999999999</v>
      </c>
      <c r="D8241">
        <v>10.7163</v>
      </c>
      <c r="E8241">
        <f>-0.799971-10.7163</f>
        <v>-11.516271</v>
      </c>
      <c r="F8241" t="s">
        <v>12308</v>
      </c>
      <c r="G8241" t="s">
        <v>39</v>
      </c>
      <c r="H8241">
        <v>2003</v>
      </c>
      <c r="I8241">
        <v>28.1</v>
      </c>
      <c r="J8241">
        <v>12.085419999999999</v>
      </c>
      <c r="K8241">
        <v>62.854199999999999</v>
      </c>
      <c r="L8241">
        <v>17.976379999999999</v>
      </c>
      <c r="M8241">
        <v>38.200000000000003</v>
      </c>
      <c r="N8241">
        <v>19.185420000000001</v>
      </c>
      <c r="O8241">
        <v>19.014579999999999</v>
      </c>
      <c r="P8241">
        <v>25.914580000000001</v>
      </c>
      <c r="Q8241">
        <v>28.085419999999999</v>
      </c>
      <c r="R8241">
        <v>30.6235</v>
      </c>
      <c r="S8241">
        <v>25.914580000000001</v>
      </c>
      <c r="T8241">
        <v>993</v>
      </c>
      <c r="U8241">
        <v>245.23500000000001</v>
      </c>
      <c r="V8241">
        <v>1</v>
      </c>
      <c r="W8241">
        <v>101</v>
      </c>
      <c r="X8241">
        <v>622</v>
      </c>
      <c r="Y8241">
        <v>7</v>
      </c>
      <c r="Z8241">
        <v>165</v>
      </c>
      <c r="AA8241">
        <v>622</v>
      </c>
      <c r="AB8241">
        <v>1.425557</v>
      </c>
      <c r="AC8241">
        <v>0.44373590000000002</v>
      </c>
      <c r="AD8241">
        <v>1.3626780000000001</v>
      </c>
      <c r="AE8241">
        <v>0.71899679999999999</v>
      </c>
      <c r="AF8241">
        <v>188.65180000000001</v>
      </c>
      <c r="AG8241">
        <f>IFERROR(AH8241*0.1, "N/A")</f>
        <v>6.1245280000000006</v>
      </c>
      <c r="AH8241">
        <v>61.245280000000001</v>
      </c>
      <c r="AI8241">
        <v>151.84129999999999</v>
      </c>
      <c r="AJ8241">
        <v>17.494</v>
      </c>
      <c r="AK8241">
        <v>63.046309999999998</v>
      </c>
    </row>
    <row r="8242" spans="1:37" x14ac:dyDescent="0.3">
      <c r="A8242">
        <v>8241</v>
      </c>
      <c r="B8242">
        <v>35</v>
      </c>
      <c r="C8242">
        <v>-1.28335</v>
      </c>
      <c r="D8242">
        <v>10.7333</v>
      </c>
      <c r="E8242">
        <f>-1.28335-10.7333</f>
        <v>-12.01665</v>
      </c>
      <c r="F8242" t="s">
        <v>12309</v>
      </c>
      <c r="G8242" t="s">
        <v>39</v>
      </c>
      <c r="H8242">
        <v>2003</v>
      </c>
      <c r="I8242">
        <v>28.3</v>
      </c>
      <c r="J8242">
        <v>12</v>
      </c>
      <c r="K8242">
        <v>62</v>
      </c>
      <c r="L8242">
        <v>18.194130000000001</v>
      </c>
      <c r="M8242">
        <v>38.295549999999999</v>
      </c>
      <c r="N8242">
        <v>19.054449999999999</v>
      </c>
      <c r="O8242">
        <v>19.241099999999999</v>
      </c>
      <c r="P8242">
        <v>26.2</v>
      </c>
      <c r="Q8242">
        <v>28.054449999999999</v>
      </c>
      <c r="R8242">
        <v>30.95</v>
      </c>
      <c r="S8242">
        <v>26.2</v>
      </c>
      <c r="T8242">
        <v>982.93320000000006</v>
      </c>
      <c r="U8242">
        <v>261</v>
      </c>
      <c r="V8242">
        <v>1</v>
      </c>
      <c r="W8242">
        <v>101.7483</v>
      </c>
      <c r="X8242">
        <v>615.38530000000003</v>
      </c>
      <c r="Y8242">
        <v>5</v>
      </c>
      <c r="Z8242">
        <v>176.2962</v>
      </c>
      <c r="AA8242">
        <v>615.38530000000003</v>
      </c>
      <c r="AB8242">
        <v>6.3803179999999999</v>
      </c>
      <c r="AC8242">
        <v>1.870142E-2</v>
      </c>
      <c r="AD8242">
        <v>1.237018</v>
      </c>
      <c r="AE8242">
        <v>0.76406419999999997</v>
      </c>
      <c r="AF8242">
        <v>169.2432</v>
      </c>
      <c r="AG8242">
        <f>IFERROR(AH8242*0.1, "N/A")</f>
        <v>6.4796230000000001</v>
      </c>
      <c r="AH8242">
        <v>64.796229999999994</v>
      </c>
      <c r="AI8242">
        <v>186.10169999999999</v>
      </c>
      <c r="AJ8242">
        <v>16.203769999999999</v>
      </c>
      <c r="AK8242">
        <v>63.592469999999999</v>
      </c>
    </row>
    <row r="8243" spans="1:37" x14ac:dyDescent="0.3">
      <c r="A8243">
        <v>8242</v>
      </c>
      <c r="B8243">
        <v>70</v>
      </c>
      <c r="C8243">
        <v>-1.07843</v>
      </c>
      <c r="D8243">
        <v>10.7369</v>
      </c>
      <c r="E8243">
        <f>-1.07843-10.7369</f>
        <v>-11.815329999999999</v>
      </c>
      <c r="F8243" t="s">
        <v>12310</v>
      </c>
      <c r="G8243" t="s">
        <v>39</v>
      </c>
      <c r="H8243">
        <v>2003</v>
      </c>
      <c r="I8243">
        <v>28.3</v>
      </c>
      <c r="J8243">
        <v>12</v>
      </c>
      <c r="K8243">
        <v>62</v>
      </c>
      <c r="L8243">
        <v>18.14</v>
      </c>
      <c r="M8243">
        <v>38.299999999999997</v>
      </c>
      <c r="N8243">
        <v>19.2</v>
      </c>
      <c r="O8243">
        <v>19.100000000000001</v>
      </c>
      <c r="P8243">
        <v>26.2</v>
      </c>
      <c r="Q8243">
        <v>28.1</v>
      </c>
      <c r="R8243">
        <v>30.9</v>
      </c>
      <c r="S8243">
        <v>26.2</v>
      </c>
      <c r="T8243">
        <v>970</v>
      </c>
      <c r="U8243">
        <v>255</v>
      </c>
      <c r="V8243">
        <v>1</v>
      </c>
      <c r="W8243">
        <v>103</v>
      </c>
      <c r="X8243">
        <v>615</v>
      </c>
      <c r="Y8243">
        <v>5</v>
      </c>
      <c r="Z8243">
        <v>164</v>
      </c>
      <c r="AA8243">
        <v>615</v>
      </c>
      <c r="AB8243">
        <v>16.39433</v>
      </c>
      <c r="AC8243">
        <v>1.023437E-2</v>
      </c>
      <c r="AD8243">
        <v>2.0001280000000001</v>
      </c>
      <c r="AE8243">
        <v>0.71103380000000005</v>
      </c>
      <c r="AF8243">
        <v>167.37799999999999</v>
      </c>
      <c r="AG8243">
        <f>IFERROR(AH8243*0.1, "N/A")</f>
        <v>6.2707900000000008</v>
      </c>
      <c r="AH8243">
        <v>62.707900000000002</v>
      </c>
      <c r="AI8243">
        <v>210.36920000000001</v>
      </c>
      <c r="AJ8243">
        <v>16.230239999999998</v>
      </c>
      <c r="AK8243">
        <v>63.908929999999998</v>
      </c>
    </row>
    <row r="8244" spans="1:37" x14ac:dyDescent="0.3">
      <c r="A8244">
        <v>8243</v>
      </c>
      <c r="B8244">
        <v>43</v>
      </c>
      <c r="C8244">
        <v>-0.48763299999999998</v>
      </c>
      <c r="D8244">
        <v>10.755100000000001</v>
      </c>
      <c r="E8244">
        <f>-0.487633-10.7551</f>
        <v>-11.242733000000001</v>
      </c>
      <c r="F8244" t="s">
        <v>12311</v>
      </c>
      <c r="G8244" t="s">
        <v>39</v>
      </c>
      <c r="H8244">
        <v>2003</v>
      </c>
      <c r="I8244">
        <v>27.7</v>
      </c>
      <c r="J8244">
        <v>12.3</v>
      </c>
      <c r="K8244">
        <v>64</v>
      </c>
      <c r="L8244">
        <v>18.29</v>
      </c>
      <c r="M8244">
        <v>37.9</v>
      </c>
      <c r="N8244">
        <v>18.7</v>
      </c>
      <c r="O8244">
        <v>19.2</v>
      </c>
      <c r="P8244">
        <v>25.5</v>
      </c>
      <c r="Q8244">
        <v>27.6</v>
      </c>
      <c r="R8244">
        <v>30.3</v>
      </c>
      <c r="S8244">
        <v>25.5</v>
      </c>
      <c r="T8244">
        <v>990</v>
      </c>
      <c r="U8244">
        <v>241</v>
      </c>
      <c r="V8244">
        <v>1</v>
      </c>
      <c r="W8244">
        <v>99</v>
      </c>
      <c r="X8244">
        <v>618</v>
      </c>
      <c r="Y8244">
        <v>7</v>
      </c>
      <c r="Z8244">
        <v>168</v>
      </c>
      <c r="AA8244">
        <v>618</v>
      </c>
      <c r="AB8244">
        <v>24.542960000000001</v>
      </c>
      <c r="AC8244">
        <v>1.3135040000000001E-2</v>
      </c>
      <c r="AD8244">
        <v>1.881853</v>
      </c>
      <c r="AE8244">
        <v>0.70553189999999999</v>
      </c>
      <c r="AF8244">
        <v>237.7216</v>
      </c>
      <c r="AG8244">
        <f>IFERROR(AH8244*0.1, "N/A")</f>
        <v>5.8867700000000003</v>
      </c>
      <c r="AH8244">
        <v>58.867699999999999</v>
      </c>
      <c r="AI8244">
        <v>131.9725</v>
      </c>
      <c r="AJ8244">
        <v>17.680409999999998</v>
      </c>
      <c r="AK8244">
        <v>61.185569999999998</v>
      </c>
    </row>
    <row r="8245" spans="1:37" x14ac:dyDescent="0.3">
      <c r="A8245">
        <v>8244</v>
      </c>
      <c r="B8245">
        <v>65</v>
      </c>
      <c r="C8245">
        <v>-0.80793099999999995</v>
      </c>
      <c r="D8245">
        <v>10.796200000000001</v>
      </c>
      <c r="E8245">
        <f>-0.807931-10.7962</f>
        <v>-11.604131000000001</v>
      </c>
      <c r="F8245" t="s">
        <v>12312</v>
      </c>
      <c r="G8245" t="s">
        <v>39</v>
      </c>
      <c r="H8245">
        <v>2003</v>
      </c>
      <c r="I8245">
        <v>28.107900000000001</v>
      </c>
      <c r="J8245">
        <v>12.1</v>
      </c>
      <c r="K8245">
        <v>63</v>
      </c>
      <c r="L8245">
        <v>18.057110000000002</v>
      </c>
      <c r="M8245">
        <v>38.215809999999998</v>
      </c>
      <c r="N8245">
        <v>19.107900000000001</v>
      </c>
      <c r="O8245">
        <v>19.107900000000001</v>
      </c>
      <c r="P8245">
        <v>25.907900000000001</v>
      </c>
      <c r="Q8245">
        <v>28.007899999999999</v>
      </c>
      <c r="R8245">
        <v>30.61581</v>
      </c>
      <c r="S8245">
        <v>25.907900000000001</v>
      </c>
      <c r="T8245">
        <v>968.44669999999996</v>
      </c>
      <c r="U8245">
        <v>246</v>
      </c>
      <c r="V8245">
        <v>1</v>
      </c>
      <c r="W8245">
        <v>102</v>
      </c>
      <c r="X8245">
        <v>614.84190000000001</v>
      </c>
      <c r="Y8245">
        <v>7</v>
      </c>
      <c r="Z8245">
        <v>154.68379999999999</v>
      </c>
      <c r="AA8245">
        <v>614.84190000000001</v>
      </c>
      <c r="AB8245">
        <v>18.002410000000001</v>
      </c>
      <c r="AC8245">
        <v>1.082411E-2</v>
      </c>
      <c r="AD8245">
        <v>2.6227130000000001</v>
      </c>
      <c r="AE8245">
        <v>0.78379339999999997</v>
      </c>
      <c r="AF8245">
        <v>205.37970000000001</v>
      </c>
      <c r="AG8245">
        <f>IFERROR(AH8245*0.1, "N/A")</f>
        <v>6.2774910000000004</v>
      </c>
      <c r="AH8245">
        <v>62.774909999999998</v>
      </c>
      <c r="AI8245">
        <v>258.541</v>
      </c>
      <c r="AJ8245">
        <v>18.079039999999999</v>
      </c>
      <c r="AK8245">
        <v>65.786940000000001</v>
      </c>
    </row>
    <row r="8246" spans="1:37" x14ac:dyDescent="0.3">
      <c r="A8246">
        <v>8245</v>
      </c>
      <c r="B8246">
        <v>85</v>
      </c>
      <c r="C8246">
        <v>-1.1809099999999999</v>
      </c>
      <c r="D8246">
        <v>10.817600000000001</v>
      </c>
      <c r="E8246">
        <f>-1.18091-10.8176</f>
        <v>-11.99851</v>
      </c>
      <c r="F8246" t="s">
        <v>12313</v>
      </c>
      <c r="G8246" t="s">
        <v>39</v>
      </c>
      <c r="H8246">
        <v>2003</v>
      </c>
      <c r="I8246">
        <v>28.2</v>
      </c>
      <c r="J8246">
        <v>12</v>
      </c>
      <c r="K8246">
        <v>61</v>
      </c>
      <c r="L8246">
        <v>18.48</v>
      </c>
      <c r="M8246">
        <v>38.299999999999997</v>
      </c>
      <c r="N8246">
        <v>18.899999999999999</v>
      </c>
      <c r="O8246">
        <v>19.399999999999999</v>
      </c>
      <c r="P8246">
        <v>26.2</v>
      </c>
      <c r="Q8246">
        <v>27.9</v>
      </c>
      <c r="R8246">
        <v>30.9</v>
      </c>
      <c r="S8246">
        <v>26.2</v>
      </c>
      <c r="T8246">
        <v>970</v>
      </c>
      <c r="U8246">
        <v>261</v>
      </c>
      <c r="V8246">
        <v>1</v>
      </c>
      <c r="W8246">
        <v>103</v>
      </c>
      <c r="X8246">
        <v>616</v>
      </c>
      <c r="Y8246">
        <v>6</v>
      </c>
      <c r="Z8246">
        <v>166</v>
      </c>
      <c r="AA8246">
        <v>616</v>
      </c>
      <c r="AB8246">
        <v>4.1452999999999998</v>
      </c>
      <c r="AC8246">
        <v>0.22972970000000001</v>
      </c>
      <c r="AD8246">
        <v>3.4860859999999998</v>
      </c>
      <c r="AE8246">
        <v>0.70404040000000001</v>
      </c>
      <c r="AF8246">
        <v>187.80170000000001</v>
      </c>
      <c r="AG8246">
        <f>IFERROR(AH8246*0.1, "N/A")</f>
        <v>6.3938459999999999</v>
      </c>
      <c r="AH8246">
        <v>63.938459999999999</v>
      </c>
      <c r="AI8246">
        <v>185.43389999999999</v>
      </c>
      <c r="AJ8246">
        <v>13.358969999999999</v>
      </c>
      <c r="AK8246">
        <v>69.758970000000005</v>
      </c>
    </row>
    <row r="8247" spans="1:37" x14ac:dyDescent="0.3">
      <c r="A8247">
        <v>8246</v>
      </c>
      <c r="B8247">
        <v>58</v>
      </c>
      <c r="C8247">
        <v>-0.64207099999999995</v>
      </c>
      <c r="D8247">
        <v>10.831300000000001</v>
      </c>
      <c r="E8247">
        <f>-0.642071-10.8313</f>
        <v>-11.473371</v>
      </c>
      <c r="F8247" t="s">
        <v>12314</v>
      </c>
      <c r="G8247" t="s">
        <v>39</v>
      </c>
      <c r="H8247">
        <v>2003</v>
      </c>
      <c r="I8247">
        <v>27.9</v>
      </c>
      <c r="J8247">
        <v>12.2</v>
      </c>
      <c r="K8247">
        <v>63</v>
      </c>
      <c r="L8247">
        <v>18.249179999999999</v>
      </c>
      <c r="M8247">
        <v>38.1</v>
      </c>
      <c r="N8247">
        <v>18.899999999999999</v>
      </c>
      <c r="O8247">
        <v>19.2</v>
      </c>
      <c r="P8247">
        <v>25.7</v>
      </c>
      <c r="Q8247">
        <v>27.8</v>
      </c>
      <c r="R8247">
        <v>30.5</v>
      </c>
      <c r="S8247">
        <v>25.7</v>
      </c>
      <c r="T8247">
        <v>971</v>
      </c>
      <c r="U8247">
        <v>243</v>
      </c>
      <c r="V8247">
        <v>1</v>
      </c>
      <c r="W8247">
        <v>101</v>
      </c>
      <c r="X8247">
        <v>611</v>
      </c>
      <c r="Y8247">
        <v>7</v>
      </c>
      <c r="Z8247">
        <v>160</v>
      </c>
      <c r="AA8247">
        <v>611</v>
      </c>
      <c r="AB8247">
        <v>14.944610000000001</v>
      </c>
      <c r="AC8247">
        <v>1.24758E-2</v>
      </c>
      <c r="AD8247">
        <v>1.4364809999999999</v>
      </c>
      <c r="AE8247">
        <v>0.58088090000000003</v>
      </c>
      <c r="AF8247">
        <v>234.74359999999999</v>
      </c>
      <c r="AG8247">
        <f>IFERROR(AH8247*0.1, "N/A")</f>
        <v>6.2972650000000003</v>
      </c>
      <c r="AH8247">
        <v>62.972650000000002</v>
      </c>
      <c r="AI8247">
        <v>96.601410000000001</v>
      </c>
      <c r="AJ8247">
        <v>16.082049999999999</v>
      </c>
      <c r="AK8247">
        <v>59.945300000000003</v>
      </c>
    </row>
    <row r="8248" spans="1:37" x14ac:dyDescent="0.3">
      <c r="A8248">
        <v>8247</v>
      </c>
      <c r="B8248">
        <v>68</v>
      </c>
      <c r="C8248">
        <v>-1.0902700000000001</v>
      </c>
      <c r="D8248">
        <v>10.8848</v>
      </c>
      <c r="E8248">
        <f>-1.09027-10.8848</f>
        <v>-11.975070000000001</v>
      </c>
      <c r="F8248" t="s">
        <v>12315</v>
      </c>
      <c r="G8248" t="s">
        <v>39</v>
      </c>
      <c r="H8248">
        <v>2003</v>
      </c>
      <c r="I8248">
        <v>28.2</v>
      </c>
      <c r="J8248">
        <v>12.1</v>
      </c>
      <c r="K8248">
        <v>62</v>
      </c>
      <c r="L8248">
        <v>18.809999999999999</v>
      </c>
      <c r="M8248">
        <v>38.299999999999997</v>
      </c>
      <c r="N8248">
        <v>18.899999999999999</v>
      </c>
      <c r="O8248">
        <v>19.399999999999999</v>
      </c>
      <c r="P8248">
        <v>26</v>
      </c>
      <c r="Q8248">
        <v>27.9</v>
      </c>
      <c r="R8248">
        <v>30.9</v>
      </c>
      <c r="S8248">
        <v>26</v>
      </c>
      <c r="T8248">
        <v>944</v>
      </c>
      <c r="U8248">
        <v>259</v>
      </c>
      <c r="V8248">
        <v>1</v>
      </c>
      <c r="W8248">
        <v>106</v>
      </c>
      <c r="X8248">
        <v>613</v>
      </c>
      <c r="Y8248">
        <v>6</v>
      </c>
      <c r="Z8248">
        <v>151</v>
      </c>
      <c r="AA8248">
        <v>613</v>
      </c>
      <c r="AB8248">
        <v>8.0490539999999999</v>
      </c>
      <c r="AC8248">
        <v>1.6045239999999999E-2</v>
      </c>
      <c r="AD8248">
        <v>1.8104789999999999</v>
      </c>
      <c r="AE8248">
        <v>0.80023739999999999</v>
      </c>
      <c r="AF8248">
        <v>193.5883</v>
      </c>
      <c r="AG8248">
        <f>IFERROR(AH8248*0.1, "N/A")</f>
        <v>6.1905660000000005</v>
      </c>
      <c r="AH8248">
        <v>61.905659999999997</v>
      </c>
      <c r="AI8248">
        <v>193.86869999999999</v>
      </c>
      <c r="AJ8248">
        <v>16.348199999999999</v>
      </c>
      <c r="AK8248">
        <v>62.691249999999997</v>
      </c>
    </row>
    <row r="8249" spans="1:37" x14ac:dyDescent="0.3">
      <c r="A8249">
        <v>8248</v>
      </c>
      <c r="B8249">
        <v>37</v>
      </c>
      <c r="C8249">
        <v>-1.33799</v>
      </c>
      <c r="D8249">
        <v>10.886200000000001</v>
      </c>
      <c r="E8249">
        <f>-1.33799-10.8862</f>
        <v>-12.22419</v>
      </c>
      <c r="F8249" t="s">
        <v>12316</v>
      </c>
      <c r="G8249" t="s">
        <v>39</v>
      </c>
      <c r="H8249">
        <v>2003</v>
      </c>
      <c r="I8249">
        <v>27.7</v>
      </c>
      <c r="J8249">
        <v>12.1</v>
      </c>
      <c r="K8249">
        <v>62</v>
      </c>
      <c r="L8249">
        <v>18.239999999999998</v>
      </c>
      <c r="M8249">
        <v>37.700000000000003</v>
      </c>
      <c r="N8249">
        <v>18.3</v>
      </c>
      <c r="O8249">
        <v>19.399999999999999</v>
      </c>
      <c r="P8249">
        <v>25.6</v>
      </c>
      <c r="Q8249">
        <v>27.3</v>
      </c>
      <c r="R8249">
        <v>30.3</v>
      </c>
      <c r="S8249">
        <v>25.6</v>
      </c>
      <c r="T8249">
        <v>977</v>
      </c>
      <c r="U8249">
        <v>267</v>
      </c>
      <c r="V8249">
        <v>1</v>
      </c>
      <c r="W8249">
        <v>103</v>
      </c>
      <c r="X8249">
        <v>621</v>
      </c>
      <c r="Y8249">
        <v>5</v>
      </c>
      <c r="Z8249">
        <v>168</v>
      </c>
      <c r="AA8249">
        <v>621</v>
      </c>
      <c r="AB8249">
        <v>1.964097</v>
      </c>
      <c r="AC8249">
        <v>0.49822359999999999</v>
      </c>
      <c r="AD8249">
        <v>1.252013</v>
      </c>
      <c r="AE8249">
        <v>0.29211110000000001</v>
      </c>
      <c r="AF8249">
        <v>273.06150000000002</v>
      </c>
      <c r="AG8249">
        <f>IFERROR(AH8249*0.1, "N/A")</f>
        <v>6.3022220000000004</v>
      </c>
      <c r="AH8249">
        <v>63.022219999999997</v>
      </c>
      <c r="AI8249">
        <v>123.0258</v>
      </c>
      <c r="AJ8249">
        <v>18</v>
      </c>
      <c r="AK8249">
        <v>59.131619999999998</v>
      </c>
    </row>
    <row r="8250" spans="1:37" x14ac:dyDescent="0.3">
      <c r="A8250">
        <v>8249</v>
      </c>
      <c r="B8250">
        <v>49</v>
      </c>
      <c r="C8250">
        <v>-0.97779799999999994</v>
      </c>
      <c r="D8250">
        <v>10.9023</v>
      </c>
      <c r="E8250">
        <f>-0.977798-10.9023</f>
        <v>-11.880098</v>
      </c>
      <c r="F8250" t="s">
        <v>12317</v>
      </c>
      <c r="G8250" t="s">
        <v>39</v>
      </c>
      <c r="H8250">
        <v>2003</v>
      </c>
      <c r="I8250">
        <v>28.2</v>
      </c>
      <c r="J8250">
        <v>12.1</v>
      </c>
      <c r="K8250">
        <v>62</v>
      </c>
      <c r="L8250">
        <v>18.399999999999999</v>
      </c>
      <c r="M8250">
        <v>38.4</v>
      </c>
      <c r="N8250">
        <v>19</v>
      </c>
      <c r="O8250">
        <v>19.399999999999999</v>
      </c>
      <c r="P8250">
        <v>26.1</v>
      </c>
      <c r="Q8250">
        <v>27.8</v>
      </c>
      <c r="R8250">
        <v>30.9</v>
      </c>
      <c r="S8250">
        <v>26.1</v>
      </c>
      <c r="T8250">
        <v>886</v>
      </c>
      <c r="U8250">
        <v>250</v>
      </c>
      <c r="V8250">
        <v>1</v>
      </c>
      <c r="W8250">
        <v>110</v>
      </c>
      <c r="X8250">
        <v>594</v>
      </c>
      <c r="Y8250">
        <v>5</v>
      </c>
      <c r="Z8250">
        <v>118</v>
      </c>
      <c r="AA8250">
        <v>594</v>
      </c>
      <c r="AB8250">
        <v>8.7163249999999994</v>
      </c>
      <c r="AC8250">
        <v>2.6358409999999999E-2</v>
      </c>
      <c r="AD8250">
        <v>2.3476590000000002</v>
      </c>
      <c r="AE8250">
        <v>0.71406449999999999</v>
      </c>
      <c r="AF8250">
        <v>192.19069999999999</v>
      </c>
      <c r="AG8250">
        <f>IFERROR(AH8250*0.1, "N/A")</f>
        <v>6.3000000000000007</v>
      </c>
      <c r="AH8250">
        <v>63</v>
      </c>
      <c r="AI8250">
        <v>148.19200000000001</v>
      </c>
      <c r="AJ8250">
        <v>17</v>
      </c>
      <c r="AK8250">
        <v>65.161510000000007</v>
      </c>
    </row>
    <row r="8251" spans="1:37" x14ac:dyDescent="0.3">
      <c r="A8251">
        <v>8250</v>
      </c>
      <c r="B8251">
        <v>61</v>
      </c>
      <c r="C8251">
        <v>-0.80797399999999997</v>
      </c>
      <c r="D8251">
        <v>10.909000000000001</v>
      </c>
      <c r="E8251">
        <f>-0.807974-10.909</f>
        <v>-11.716974</v>
      </c>
      <c r="F8251" t="s">
        <v>12318</v>
      </c>
      <c r="G8251" t="s">
        <v>39</v>
      </c>
      <c r="H8251">
        <v>2003</v>
      </c>
      <c r="I8251">
        <v>28.109220000000001</v>
      </c>
      <c r="J8251">
        <v>12.2</v>
      </c>
      <c r="K8251">
        <v>63</v>
      </c>
      <c r="L8251">
        <v>18.517389999999999</v>
      </c>
      <c r="M8251">
        <v>38.210070000000002</v>
      </c>
      <c r="N8251">
        <v>19.009219999999999</v>
      </c>
      <c r="O8251">
        <v>19.200849999999999</v>
      </c>
      <c r="P8251">
        <v>25.909210000000002</v>
      </c>
      <c r="Q8251">
        <v>27.81007</v>
      </c>
      <c r="R8251">
        <v>30.710070000000002</v>
      </c>
      <c r="S8251">
        <v>25.909210000000002</v>
      </c>
      <c r="T8251">
        <v>916.43859999999995</v>
      </c>
      <c r="U8251">
        <v>244.0085</v>
      </c>
      <c r="V8251">
        <v>1</v>
      </c>
      <c r="W8251">
        <v>105.1007</v>
      </c>
      <c r="X8251">
        <v>594.81569999999999</v>
      </c>
      <c r="Y8251">
        <v>7</v>
      </c>
      <c r="Z8251">
        <v>135.715</v>
      </c>
      <c r="AA8251">
        <v>594.81569999999999</v>
      </c>
      <c r="AB8251">
        <v>21.765529999999998</v>
      </c>
      <c r="AC8251">
        <v>2.0575510000000002E-2</v>
      </c>
      <c r="AD8251">
        <v>1.865739</v>
      </c>
      <c r="AE8251">
        <v>0.78743890000000005</v>
      </c>
      <c r="AF8251">
        <v>222.57169999999999</v>
      </c>
      <c r="AG8251">
        <f>IFERROR(AH8251*0.1, "N/A")</f>
        <v>6.1000000000000005</v>
      </c>
      <c r="AH8251">
        <v>61</v>
      </c>
      <c r="AI8251">
        <v>201.1276</v>
      </c>
      <c r="AJ8251">
        <v>15.100680000000001</v>
      </c>
      <c r="AK8251">
        <v>65.100679999999997</v>
      </c>
    </row>
    <row r="8252" spans="1:37" x14ac:dyDescent="0.3">
      <c r="A8252">
        <v>8251</v>
      </c>
      <c r="B8252">
        <v>65</v>
      </c>
      <c r="C8252">
        <v>-1.0059899999999999</v>
      </c>
      <c r="D8252">
        <v>10.967499999999999</v>
      </c>
      <c r="E8252">
        <f>-1.00599-10.9675</f>
        <v>-11.97349</v>
      </c>
      <c r="F8252" t="s">
        <v>12319</v>
      </c>
      <c r="G8252" t="s">
        <v>39</v>
      </c>
      <c r="H8252">
        <v>2003</v>
      </c>
      <c r="I8252">
        <v>28.3</v>
      </c>
      <c r="J8252">
        <v>12.2</v>
      </c>
      <c r="K8252">
        <v>62</v>
      </c>
      <c r="L8252">
        <v>18.489999999999998</v>
      </c>
      <c r="M8252">
        <v>38.5</v>
      </c>
      <c r="N8252">
        <v>18.899999999999999</v>
      </c>
      <c r="O8252">
        <v>19.600000000000001</v>
      </c>
      <c r="P8252">
        <v>26.2</v>
      </c>
      <c r="Q8252">
        <v>27.9</v>
      </c>
      <c r="R8252">
        <v>31</v>
      </c>
      <c r="S8252">
        <v>26.2</v>
      </c>
      <c r="T8252">
        <v>839</v>
      </c>
      <c r="U8252">
        <v>247</v>
      </c>
      <c r="V8252">
        <v>1</v>
      </c>
      <c r="W8252">
        <v>115</v>
      </c>
      <c r="X8252">
        <v>578</v>
      </c>
      <c r="Y8252">
        <v>4</v>
      </c>
      <c r="Z8252">
        <v>97</v>
      </c>
      <c r="AA8252">
        <v>578</v>
      </c>
      <c r="AB8252">
        <v>0.6270869</v>
      </c>
      <c r="AC8252">
        <v>23.098140000000001</v>
      </c>
      <c r="AD8252">
        <v>1.5012259999999999</v>
      </c>
      <c r="AE8252">
        <v>0.7114779</v>
      </c>
      <c r="AF8252">
        <v>182.1738</v>
      </c>
      <c r="AG8252">
        <f>IFERROR(AH8252*0.1, "N/A")</f>
        <v>6.4693360000000002</v>
      </c>
      <c r="AH8252">
        <v>64.693359999999998</v>
      </c>
      <c r="AI8252">
        <v>140.15270000000001</v>
      </c>
      <c r="AJ8252">
        <v>16.821120000000001</v>
      </c>
      <c r="AK8252">
        <v>65.664400000000001</v>
      </c>
    </row>
    <row r="8253" spans="1:37" x14ac:dyDescent="0.3">
      <c r="A8253">
        <v>8252</v>
      </c>
      <c r="B8253">
        <v>0</v>
      </c>
      <c r="C8253">
        <v>-0.85321899999999995</v>
      </c>
      <c r="D8253">
        <v>10.793509999999999</v>
      </c>
      <c r="E8253">
        <f>-0.853219-10.793514</f>
        <v>-11.646732999999999</v>
      </c>
      <c r="F8253" t="s">
        <v>12320</v>
      </c>
      <c r="G8253" t="s">
        <v>39</v>
      </c>
      <c r="H8253">
        <v>2003</v>
      </c>
      <c r="I8253">
        <v>28.1</v>
      </c>
      <c r="J8253">
        <v>12.1</v>
      </c>
      <c r="K8253">
        <v>63</v>
      </c>
      <c r="L8253">
        <v>18.32</v>
      </c>
      <c r="M8253">
        <v>38.299999999999997</v>
      </c>
      <c r="N8253">
        <v>19.100000000000001</v>
      </c>
      <c r="O8253">
        <v>19.2</v>
      </c>
      <c r="P8253">
        <v>25.9</v>
      </c>
      <c r="Q8253">
        <v>28</v>
      </c>
      <c r="R8253">
        <v>30.7</v>
      </c>
      <c r="S8253">
        <v>25.9</v>
      </c>
      <c r="T8253">
        <v>957</v>
      </c>
      <c r="U8253">
        <v>247</v>
      </c>
      <c r="V8253">
        <v>1</v>
      </c>
      <c r="W8253">
        <v>103</v>
      </c>
      <c r="X8253">
        <v>611</v>
      </c>
      <c r="Y8253">
        <v>7</v>
      </c>
      <c r="Z8253">
        <v>150</v>
      </c>
      <c r="AA8253">
        <v>611</v>
      </c>
      <c r="AB8253">
        <v>29.242329999999999</v>
      </c>
      <c r="AC8253">
        <v>2.0167709999999998E-2</v>
      </c>
      <c r="AD8253">
        <v>2.2596810000000001</v>
      </c>
      <c r="AE8253">
        <v>0.87479010000000001</v>
      </c>
      <c r="AF8253">
        <v>202.1859</v>
      </c>
      <c r="AG8253">
        <f>IFERROR(AH8253*0.1, "N/A")</f>
        <v>6.0280550000000002</v>
      </c>
      <c r="AH8253">
        <v>60.280549999999998</v>
      </c>
      <c r="AI8253">
        <v>82.362080000000006</v>
      </c>
      <c r="AJ8253">
        <v>17.280550000000002</v>
      </c>
      <c r="AK8253">
        <v>62.454389999999997</v>
      </c>
    </row>
    <row r="8254" spans="1:37" x14ac:dyDescent="0.3">
      <c r="A8254">
        <v>8253</v>
      </c>
      <c r="B8254">
        <v>0</v>
      </c>
      <c r="C8254">
        <v>-0.83896400000000004</v>
      </c>
      <c r="D8254">
        <v>10.703519999999999</v>
      </c>
      <c r="E8254">
        <f>-0.838964-10.703519</f>
        <v>-11.542483000000001</v>
      </c>
      <c r="F8254" t="s">
        <v>12321</v>
      </c>
      <c r="G8254" t="s">
        <v>39</v>
      </c>
      <c r="H8254">
        <v>2003</v>
      </c>
      <c r="I8254">
        <v>28.2</v>
      </c>
      <c r="J8254">
        <v>12</v>
      </c>
      <c r="K8254">
        <v>63</v>
      </c>
      <c r="L8254">
        <v>18.14</v>
      </c>
      <c r="M8254">
        <v>38.200000000000003</v>
      </c>
      <c r="N8254">
        <v>19.2</v>
      </c>
      <c r="O8254">
        <v>19</v>
      </c>
      <c r="P8254">
        <v>26</v>
      </c>
      <c r="Q8254">
        <v>28.1</v>
      </c>
      <c r="R8254">
        <v>30.7</v>
      </c>
      <c r="S8254">
        <v>26</v>
      </c>
      <c r="T8254">
        <v>987</v>
      </c>
      <c r="U8254">
        <v>246</v>
      </c>
      <c r="V8254">
        <v>1</v>
      </c>
      <c r="W8254">
        <v>100</v>
      </c>
      <c r="X8254">
        <v>620</v>
      </c>
      <c r="Y8254">
        <v>7</v>
      </c>
      <c r="Z8254">
        <v>164</v>
      </c>
      <c r="AA8254">
        <v>620</v>
      </c>
      <c r="AB8254">
        <v>6.3735030000000004</v>
      </c>
      <c r="AC8254">
        <v>1.0527669999999999E-2</v>
      </c>
      <c r="AD8254">
        <v>2.5453429999999999</v>
      </c>
      <c r="AE8254">
        <v>0.77401629999999999</v>
      </c>
      <c r="AF8254">
        <v>186.31790000000001</v>
      </c>
      <c r="AG8254">
        <f>IFERROR(AH8254*0.1, "N/A")</f>
        <v>5.9</v>
      </c>
      <c r="AH8254">
        <v>59</v>
      </c>
      <c r="AI8254">
        <v>236.06870000000001</v>
      </c>
      <c r="AJ8254">
        <v>15.59145</v>
      </c>
      <c r="AK8254">
        <v>66.817089999999993</v>
      </c>
    </row>
    <row r="8255" spans="1:37" x14ac:dyDescent="0.3">
      <c r="A8255">
        <v>8254</v>
      </c>
      <c r="B8255">
        <v>0</v>
      </c>
      <c r="C8255">
        <v>-1.3833</v>
      </c>
      <c r="D8255">
        <v>10.55</v>
      </c>
      <c r="E8255">
        <f>-1.3833-10.55</f>
        <v>-11.933300000000001</v>
      </c>
      <c r="F8255" t="s">
        <v>12322</v>
      </c>
      <c r="G8255" t="s">
        <v>39</v>
      </c>
      <c r="H8255">
        <v>2003</v>
      </c>
      <c r="I8255">
        <v>28.159520000000001</v>
      </c>
      <c r="J8255">
        <v>11.9</v>
      </c>
      <c r="K8255">
        <v>62.595199999999998</v>
      </c>
      <c r="L8255">
        <v>17.784939999999999</v>
      </c>
      <c r="M8255">
        <v>38</v>
      </c>
      <c r="N8255">
        <v>19.159520000000001</v>
      </c>
      <c r="O8255">
        <v>18.840479999999999</v>
      </c>
      <c r="P8255">
        <v>26.1</v>
      </c>
      <c r="Q8255">
        <v>28</v>
      </c>
      <c r="R8255">
        <v>30.659520000000001</v>
      </c>
      <c r="S8255">
        <v>26.1</v>
      </c>
      <c r="T8255">
        <v>1012.87</v>
      </c>
      <c r="U8255">
        <v>257</v>
      </c>
      <c r="V8255">
        <v>1</v>
      </c>
      <c r="W8255">
        <v>97</v>
      </c>
      <c r="X8255">
        <v>612.73580000000004</v>
      </c>
      <c r="Y8255">
        <v>6</v>
      </c>
      <c r="Z8255">
        <v>196.13380000000001</v>
      </c>
      <c r="AA8255">
        <v>612.73580000000004</v>
      </c>
      <c r="AB8255">
        <v>11.5319</v>
      </c>
      <c r="AC8255">
        <v>9.4443540000000003E-3</v>
      </c>
      <c r="AD8255">
        <v>1.8519159999999999</v>
      </c>
      <c r="AE8255">
        <v>0.53766020000000003</v>
      </c>
      <c r="AF8255">
        <v>187.4957</v>
      </c>
      <c r="AG8255">
        <f>IFERROR(AH8255*0.1, "N/A")</f>
        <v>6.2193830000000005</v>
      </c>
      <c r="AH8255">
        <v>62.193829999999998</v>
      </c>
      <c r="AI8255">
        <v>166.7466</v>
      </c>
      <c r="AJ8255">
        <v>21.397939999999998</v>
      </c>
      <c r="AK8255">
        <v>55.602060000000002</v>
      </c>
    </row>
    <row r="8256" spans="1:37" x14ac:dyDescent="0.3">
      <c r="A8256">
        <v>8255</v>
      </c>
      <c r="B8256">
        <v>0</v>
      </c>
      <c r="C8256">
        <v>-1.3300529999999999</v>
      </c>
      <c r="D8256">
        <v>10.349869999999999</v>
      </c>
      <c r="E8256">
        <f>-1.330053-10.349867</f>
        <v>-11.679919999999999</v>
      </c>
      <c r="F8256" t="s">
        <v>12323</v>
      </c>
      <c r="G8256" t="s">
        <v>39</v>
      </c>
      <c r="H8256">
        <v>2003</v>
      </c>
      <c r="I8256">
        <v>28.4</v>
      </c>
      <c r="J8256">
        <v>11.71306</v>
      </c>
      <c r="K8256">
        <v>63.130580000000002</v>
      </c>
      <c r="L8256">
        <v>17.330860000000001</v>
      </c>
      <c r="M8256">
        <v>38</v>
      </c>
      <c r="N8256">
        <v>19.600000000000001</v>
      </c>
      <c r="O8256">
        <v>18.399999999999999</v>
      </c>
      <c r="P8256">
        <v>26.2</v>
      </c>
      <c r="Q8256">
        <v>28.4</v>
      </c>
      <c r="R8256">
        <v>30.786940000000001</v>
      </c>
      <c r="S8256">
        <v>26.2</v>
      </c>
      <c r="T8256">
        <v>1018.739</v>
      </c>
      <c r="U8256">
        <v>241.13059999999999</v>
      </c>
      <c r="V8256">
        <v>1</v>
      </c>
      <c r="W8256">
        <v>95</v>
      </c>
      <c r="X8256">
        <v>601</v>
      </c>
      <c r="Y8256">
        <v>6.8694160000000002</v>
      </c>
      <c r="Z8256">
        <v>91.738829999999993</v>
      </c>
      <c r="AA8256">
        <v>601</v>
      </c>
      <c r="AB8256">
        <v>2.515117</v>
      </c>
      <c r="AC8256">
        <v>4.4919059999999997E-2</v>
      </c>
      <c r="AD8256">
        <v>3.148228</v>
      </c>
      <c r="AE8256">
        <v>0.60614069999999998</v>
      </c>
      <c r="AF8256">
        <v>133.66669999999999</v>
      </c>
      <c r="AG8256">
        <f>IFERROR(AH8256*0.1, "N/A")</f>
        <v>6.2915810000000008</v>
      </c>
      <c r="AH8256">
        <v>62.91581</v>
      </c>
      <c r="AI8256">
        <v>209.8603</v>
      </c>
      <c r="AJ8256">
        <v>20.575600000000001</v>
      </c>
      <c r="AK8256">
        <v>55.26117</v>
      </c>
    </row>
    <row r="8257" spans="1:37" x14ac:dyDescent="0.3">
      <c r="A8257">
        <v>8256</v>
      </c>
      <c r="B8257">
        <v>0</v>
      </c>
      <c r="C8257">
        <v>-1.45</v>
      </c>
      <c r="D8257">
        <v>10.65</v>
      </c>
      <c r="E8257">
        <f>-1.45-10.65</f>
        <v>-12.1</v>
      </c>
      <c r="F8257" t="s">
        <v>12324</v>
      </c>
      <c r="G8257" t="s">
        <v>39</v>
      </c>
      <c r="H8257">
        <v>2003</v>
      </c>
      <c r="I8257">
        <v>28.15043</v>
      </c>
      <c r="J8257">
        <v>12</v>
      </c>
      <c r="K8257">
        <v>62.898800000000001</v>
      </c>
      <c r="L8257">
        <v>17.498200000000001</v>
      </c>
      <c r="M8257">
        <v>37.992280000000001</v>
      </c>
      <c r="N8257">
        <v>19.040310000000002</v>
      </c>
      <c r="O8257">
        <v>18.951969999999999</v>
      </c>
      <c r="P8257">
        <v>26.140309999999999</v>
      </c>
      <c r="Q8257">
        <v>27.989879999999999</v>
      </c>
      <c r="R8257">
        <v>30.65043</v>
      </c>
      <c r="S8257">
        <v>26.140309999999999</v>
      </c>
      <c r="T8257">
        <v>1005.324</v>
      </c>
      <c r="U8257">
        <v>264.10120000000001</v>
      </c>
      <c r="V8257">
        <v>1</v>
      </c>
      <c r="W8257">
        <v>100</v>
      </c>
      <c r="X8257">
        <v>614.91420000000005</v>
      </c>
      <c r="Y8257">
        <v>5</v>
      </c>
      <c r="Z8257">
        <v>192.40989999999999</v>
      </c>
      <c r="AA8257">
        <v>614.91420000000005</v>
      </c>
      <c r="AB8257">
        <v>13.84872</v>
      </c>
      <c r="AC8257">
        <v>1.89403E-2</v>
      </c>
      <c r="AD8257">
        <v>0.75248800000000005</v>
      </c>
      <c r="AE8257">
        <v>0.26700879999999999</v>
      </c>
      <c r="AF8257">
        <v>188.73410000000001</v>
      </c>
      <c r="AG8257">
        <f>IFERROR(AH8257*0.1, "N/A")</f>
        <v>6.3893650000000006</v>
      </c>
      <c r="AH8257">
        <v>63.893650000000001</v>
      </c>
      <c r="AI8257">
        <v>62.69699</v>
      </c>
      <c r="AJ8257">
        <v>22.286449999999999</v>
      </c>
      <c r="AK8257">
        <v>53.713549999999998</v>
      </c>
    </row>
    <row r="8258" spans="1:37" x14ac:dyDescent="0.3">
      <c r="A8258">
        <v>8257</v>
      </c>
      <c r="B8258">
        <v>0</v>
      </c>
      <c r="C8258">
        <v>-1.25</v>
      </c>
      <c r="D8258">
        <v>10.316700000000001</v>
      </c>
      <c r="E8258">
        <f>-1.25-10.3167</f>
        <v>-11.566700000000001</v>
      </c>
      <c r="F8258" t="s">
        <v>12325</v>
      </c>
      <c r="G8258" t="s">
        <v>39</v>
      </c>
      <c r="H8258">
        <v>2003</v>
      </c>
      <c r="I8258">
        <v>28.327269999999999</v>
      </c>
      <c r="J8258">
        <v>11.7</v>
      </c>
      <c r="K8258">
        <v>63</v>
      </c>
      <c r="L8258">
        <v>17.435590000000001</v>
      </c>
      <c r="M8258">
        <v>38.014580000000002</v>
      </c>
      <c r="N8258">
        <v>19.600000000000001</v>
      </c>
      <c r="O8258">
        <v>18.414580000000001</v>
      </c>
      <c r="P8258">
        <v>26.299479999999999</v>
      </c>
      <c r="Q8258">
        <v>28.4</v>
      </c>
      <c r="R8258">
        <v>30.8</v>
      </c>
      <c r="S8258">
        <v>26.299479999999999</v>
      </c>
      <c r="T8258">
        <v>1019.854</v>
      </c>
      <c r="U8258">
        <v>237.9949</v>
      </c>
      <c r="V8258">
        <v>1</v>
      </c>
      <c r="W8258">
        <v>93.145799999999994</v>
      </c>
      <c r="X8258">
        <v>601</v>
      </c>
      <c r="Y8258">
        <v>7</v>
      </c>
      <c r="Z8258">
        <v>90.854200000000006</v>
      </c>
      <c r="AA8258">
        <v>601</v>
      </c>
      <c r="AB8258">
        <v>0.31028460000000002</v>
      </c>
      <c r="AC8258">
        <v>0.1273405</v>
      </c>
      <c r="AD8258">
        <v>1.511118</v>
      </c>
      <c r="AE8258">
        <v>0.43989240000000002</v>
      </c>
      <c r="AF8258">
        <v>132.82499999999999</v>
      </c>
      <c r="AG8258">
        <f>IFERROR(AH8258*0.1, "N/A")</f>
        <v>6.1737560000000009</v>
      </c>
      <c r="AH8258">
        <v>61.737560000000002</v>
      </c>
      <c r="AI8258">
        <v>118.125</v>
      </c>
      <c r="AJ8258">
        <v>14.260719999999999</v>
      </c>
      <c r="AK8258">
        <v>58.740989999999996</v>
      </c>
    </row>
    <row r="8259" spans="1:37" x14ac:dyDescent="0.3">
      <c r="A8259">
        <v>8258</v>
      </c>
      <c r="B8259">
        <v>0</v>
      </c>
      <c r="C8259">
        <v>-1.248961</v>
      </c>
      <c r="D8259">
        <v>10.316079999999999</v>
      </c>
      <c r="E8259">
        <f>-1.248961-10.316078</f>
        <v>-11.565038999999999</v>
      </c>
      <c r="F8259" t="s">
        <v>12326</v>
      </c>
      <c r="G8259" t="s">
        <v>39</v>
      </c>
      <c r="H8259">
        <v>2003</v>
      </c>
      <c r="I8259">
        <v>28.339829999999999</v>
      </c>
      <c r="J8259">
        <v>11.7</v>
      </c>
      <c r="K8259">
        <v>63</v>
      </c>
      <c r="L8259">
        <v>17.496459999999999</v>
      </c>
      <c r="M8259">
        <v>38.034999999999997</v>
      </c>
      <c r="N8259">
        <v>19.600000000000001</v>
      </c>
      <c r="O8259">
        <v>18.434999999999999</v>
      </c>
      <c r="P8259">
        <v>26.241209999999999</v>
      </c>
      <c r="Q8259">
        <v>28.4</v>
      </c>
      <c r="R8259">
        <v>30.8</v>
      </c>
      <c r="S8259">
        <v>26.241209999999999</v>
      </c>
      <c r="T8259">
        <v>1019.65</v>
      </c>
      <c r="U8259">
        <v>237.41210000000001</v>
      </c>
      <c r="V8259">
        <v>1</v>
      </c>
      <c r="W8259">
        <v>93.35</v>
      </c>
      <c r="X8259">
        <v>601</v>
      </c>
      <c r="Y8259">
        <v>7</v>
      </c>
      <c r="Z8259">
        <v>90.65</v>
      </c>
      <c r="AA8259">
        <v>601</v>
      </c>
      <c r="AB8259">
        <v>0.5717236</v>
      </c>
      <c r="AC8259">
        <v>3.0255629999999999E-2</v>
      </c>
      <c r="AD8259">
        <v>1.9931589999999999</v>
      </c>
      <c r="AE8259">
        <v>0.4390616</v>
      </c>
      <c r="AF8259">
        <v>134.17410000000001</v>
      </c>
      <c r="AG8259">
        <f>IFERROR(AH8259*0.1, "N/A")</f>
        <v>6.1363790000000007</v>
      </c>
      <c r="AH8259">
        <v>61.363790000000002</v>
      </c>
      <c r="AI8259">
        <v>162.0849</v>
      </c>
      <c r="AJ8259">
        <v>14.63621</v>
      </c>
      <c r="AK8259">
        <v>58.363790000000002</v>
      </c>
    </row>
    <row r="8260" spans="1:37" x14ac:dyDescent="0.3">
      <c r="A8260">
        <v>8259</v>
      </c>
      <c r="B8260">
        <v>0</v>
      </c>
      <c r="C8260">
        <v>-1.3409249999999999</v>
      </c>
      <c r="D8260">
        <v>10.84036</v>
      </c>
      <c r="E8260">
        <f>-1.340925-10.84036</f>
        <v>-12.181285000000001</v>
      </c>
      <c r="F8260" t="s">
        <v>12327</v>
      </c>
      <c r="G8260" t="s">
        <v>39</v>
      </c>
      <c r="H8260">
        <v>2003</v>
      </c>
      <c r="I8260">
        <v>27.9</v>
      </c>
      <c r="J8260">
        <v>12.1</v>
      </c>
      <c r="K8260">
        <v>62</v>
      </c>
      <c r="L8260">
        <v>18.3</v>
      </c>
      <c r="M8260">
        <v>38</v>
      </c>
      <c r="N8260">
        <v>18.600000000000001</v>
      </c>
      <c r="O8260">
        <v>19.399999999999999</v>
      </c>
      <c r="P8260">
        <v>25.9</v>
      </c>
      <c r="Q8260">
        <v>27.6</v>
      </c>
      <c r="R8260">
        <v>30.6</v>
      </c>
      <c r="S8260">
        <v>25.9</v>
      </c>
      <c r="T8260">
        <v>980</v>
      </c>
      <c r="U8260">
        <v>266</v>
      </c>
      <c r="V8260">
        <v>1</v>
      </c>
      <c r="W8260">
        <v>103</v>
      </c>
      <c r="X8260">
        <v>619</v>
      </c>
      <c r="Y8260">
        <v>5</v>
      </c>
      <c r="Z8260">
        <v>172</v>
      </c>
      <c r="AA8260">
        <v>619</v>
      </c>
      <c r="AB8260">
        <v>9.7330469999999991</v>
      </c>
      <c r="AC8260">
        <v>1.029189E-2</v>
      </c>
      <c r="AD8260">
        <v>2.6184080000000001</v>
      </c>
      <c r="AE8260">
        <v>0.71145709999999995</v>
      </c>
      <c r="AF8260">
        <v>242.72290000000001</v>
      </c>
      <c r="AG8260">
        <f>IFERROR(AH8260*0.1, "N/A")</f>
        <v>6.7</v>
      </c>
      <c r="AH8260">
        <v>67</v>
      </c>
      <c r="AI8260">
        <v>178.0882</v>
      </c>
      <c r="AJ8260">
        <v>15.2685</v>
      </c>
      <c r="AK8260">
        <v>67.731499999999997</v>
      </c>
    </row>
    <row r="8261" spans="1:37" x14ac:dyDescent="0.3">
      <c r="A8261">
        <v>8260</v>
      </c>
      <c r="B8261">
        <v>0</v>
      </c>
      <c r="C8261">
        <v>-0.84831500000000004</v>
      </c>
      <c r="D8261">
        <v>10.786250000000001</v>
      </c>
      <c r="E8261">
        <f>-0.848315-10.786248</f>
        <v>-11.634563</v>
      </c>
      <c r="F8261" t="s">
        <v>12328</v>
      </c>
      <c r="G8261" t="s">
        <v>39</v>
      </c>
      <c r="H8261">
        <v>2003</v>
      </c>
      <c r="I8261">
        <v>28.3</v>
      </c>
      <c r="J8261">
        <v>12.1</v>
      </c>
      <c r="K8261">
        <v>63</v>
      </c>
      <c r="L8261">
        <v>18.309999999999999</v>
      </c>
      <c r="M8261">
        <v>38.4</v>
      </c>
      <c r="N8261">
        <v>19.2</v>
      </c>
      <c r="O8261">
        <v>19.2</v>
      </c>
      <c r="P8261">
        <v>26.1</v>
      </c>
      <c r="Q8261">
        <v>28.1</v>
      </c>
      <c r="R8261">
        <v>30.9</v>
      </c>
      <c r="S8261">
        <v>26.1</v>
      </c>
      <c r="T8261">
        <v>958</v>
      </c>
      <c r="U8261">
        <v>247</v>
      </c>
      <c r="V8261">
        <v>1</v>
      </c>
      <c r="W8261">
        <v>103</v>
      </c>
      <c r="X8261">
        <v>612</v>
      </c>
      <c r="Y8261">
        <v>7</v>
      </c>
      <c r="Z8261">
        <v>150</v>
      </c>
      <c r="AA8261">
        <v>612</v>
      </c>
      <c r="AB8261">
        <v>8.1857640000000007</v>
      </c>
      <c r="AC8261">
        <v>4.6421949999999997E-2</v>
      </c>
      <c r="AD8261">
        <v>1.7509159999999999</v>
      </c>
      <c r="AE8261">
        <v>0.89718569999999997</v>
      </c>
      <c r="AF8261">
        <v>177.13720000000001</v>
      </c>
      <c r="AG8261">
        <f>IFERROR(AH8261*0.1, "N/A")</f>
        <v>6.2531730000000003</v>
      </c>
      <c r="AH8261">
        <v>62.531730000000003</v>
      </c>
      <c r="AI8261">
        <v>112.5063</v>
      </c>
      <c r="AJ8261">
        <v>18.037739999999999</v>
      </c>
      <c r="AK8261">
        <v>63.463120000000004</v>
      </c>
    </row>
    <row r="8262" spans="1:37" x14ac:dyDescent="0.3">
      <c r="A8262">
        <v>8261</v>
      </c>
      <c r="B8262">
        <v>0</v>
      </c>
      <c r="C8262">
        <v>-1.30596</v>
      </c>
      <c r="D8262">
        <v>10.4512</v>
      </c>
      <c r="E8262">
        <f>-1.30596-10.4512</f>
        <v>-11.757160000000001</v>
      </c>
      <c r="F8262" t="s">
        <v>12329</v>
      </c>
      <c r="G8262" t="s">
        <v>39</v>
      </c>
      <c r="H8262">
        <v>2003</v>
      </c>
      <c r="I8262">
        <v>28.2</v>
      </c>
      <c r="J8262">
        <v>11.8</v>
      </c>
      <c r="K8262">
        <v>63</v>
      </c>
      <c r="L8262">
        <v>17.36</v>
      </c>
      <c r="M8262">
        <v>38</v>
      </c>
      <c r="N8262">
        <v>19.399999999999999</v>
      </c>
      <c r="O8262">
        <v>18.600000000000001</v>
      </c>
      <c r="P8262">
        <v>26.1</v>
      </c>
      <c r="Q8262">
        <v>28.1</v>
      </c>
      <c r="R8262">
        <v>30.6</v>
      </c>
      <c r="S8262">
        <v>26.1</v>
      </c>
      <c r="T8262">
        <v>1018</v>
      </c>
      <c r="U8262">
        <v>249</v>
      </c>
      <c r="V8262">
        <v>1</v>
      </c>
      <c r="W8262">
        <v>96</v>
      </c>
      <c r="X8262">
        <v>610</v>
      </c>
      <c r="Y8262">
        <v>6</v>
      </c>
      <c r="Z8262">
        <v>88</v>
      </c>
      <c r="AA8262">
        <v>610</v>
      </c>
      <c r="AB8262">
        <v>1.7799640000000001</v>
      </c>
      <c r="AC8262">
        <v>0.148895</v>
      </c>
      <c r="AD8262">
        <v>1.3039989999999999</v>
      </c>
      <c r="AE8262">
        <v>0.70582869999999998</v>
      </c>
      <c r="AF8262">
        <v>170.1027</v>
      </c>
      <c r="AG8262">
        <f>IFERROR(AH8262*0.1, "N/A")</f>
        <v>6.1556510000000006</v>
      </c>
      <c r="AH8262">
        <v>61.556510000000003</v>
      </c>
      <c r="AI8262">
        <v>211.06720000000001</v>
      </c>
      <c r="AJ8262">
        <v>18.224319999999999</v>
      </c>
      <c r="AK8262">
        <v>59.669519999999999</v>
      </c>
    </row>
    <row r="8263" spans="1:37" x14ac:dyDescent="0.3">
      <c r="A8263">
        <v>8262</v>
      </c>
      <c r="B8263">
        <v>0</v>
      </c>
      <c r="C8263">
        <v>-1.22417</v>
      </c>
      <c r="D8263">
        <v>10.5357</v>
      </c>
      <c r="E8263">
        <f>-1.22417-10.5357</f>
        <v>-11.759869999999999</v>
      </c>
      <c r="F8263" t="s">
        <v>12330</v>
      </c>
      <c r="G8263" t="s">
        <v>39</v>
      </c>
      <c r="H8263">
        <v>2003</v>
      </c>
      <c r="I8263">
        <v>28</v>
      </c>
      <c r="J8263">
        <v>11.9</v>
      </c>
      <c r="K8263">
        <v>63</v>
      </c>
      <c r="L8263">
        <v>17.87</v>
      </c>
      <c r="M8263">
        <v>37.9</v>
      </c>
      <c r="N8263">
        <v>19.100000000000001</v>
      </c>
      <c r="O8263">
        <v>18.8</v>
      </c>
      <c r="P8263">
        <v>25.9</v>
      </c>
      <c r="Q8263">
        <v>27.9</v>
      </c>
      <c r="R8263">
        <v>30.6</v>
      </c>
      <c r="S8263">
        <v>25.9</v>
      </c>
      <c r="T8263">
        <v>1013</v>
      </c>
      <c r="U8263">
        <v>253</v>
      </c>
      <c r="V8263">
        <v>1</v>
      </c>
      <c r="W8263">
        <v>97</v>
      </c>
      <c r="X8263">
        <v>617</v>
      </c>
      <c r="Y8263">
        <v>7</v>
      </c>
      <c r="Z8263">
        <v>191</v>
      </c>
      <c r="AA8263">
        <v>617</v>
      </c>
      <c r="AB8263">
        <v>14.24966</v>
      </c>
      <c r="AC8263">
        <v>2.0436639999999999E-2</v>
      </c>
      <c r="AD8263">
        <v>1.769064</v>
      </c>
      <c r="AE8263">
        <v>0.40796199999999999</v>
      </c>
      <c r="AF8263">
        <v>203.0069</v>
      </c>
      <c r="AG8263">
        <f>IFERROR(AH8263*0.1, "N/A")</f>
        <v>6.1929310000000006</v>
      </c>
      <c r="AH8263">
        <v>61.929310000000001</v>
      </c>
      <c r="AI8263">
        <v>120.943</v>
      </c>
      <c r="AJ8263">
        <v>16.858619999999998</v>
      </c>
      <c r="AK8263">
        <v>62.141379999999998</v>
      </c>
    </row>
    <row r="8264" spans="1:37" x14ac:dyDescent="0.3">
      <c r="A8264">
        <v>8263</v>
      </c>
      <c r="B8264">
        <v>0</v>
      </c>
      <c r="C8264">
        <v>-1.3204400000000001</v>
      </c>
      <c r="D8264">
        <v>10.569100000000001</v>
      </c>
      <c r="E8264">
        <f>-1.32044-10.5691</f>
        <v>-11.88954</v>
      </c>
      <c r="F8264" t="s">
        <v>12331</v>
      </c>
      <c r="G8264" t="s">
        <v>39</v>
      </c>
      <c r="H8264">
        <v>2003</v>
      </c>
      <c r="I8264">
        <v>28</v>
      </c>
      <c r="J8264">
        <v>11.9</v>
      </c>
      <c r="K8264">
        <v>62</v>
      </c>
      <c r="L8264">
        <v>18.010000000000002</v>
      </c>
      <c r="M8264">
        <v>37.9</v>
      </c>
      <c r="N8264">
        <v>19</v>
      </c>
      <c r="O8264">
        <v>18.899999999999999</v>
      </c>
      <c r="P8264">
        <v>26</v>
      </c>
      <c r="Q8264">
        <v>27.9</v>
      </c>
      <c r="R8264">
        <v>30.6</v>
      </c>
      <c r="S8264">
        <v>26</v>
      </c>
      <c r="T8264">
        <v>1014</v>
      </c>
      <c r="U8264">
        <v>257</v>
      </c>
      <c r="V8264">
        <v>1</v>
      </c>
      <c r="W8264">
        <v>98</v>
      </c>
      <c r="X8264">
        <v>616</v>
      </c>
      <c r="Y8264">
        <v>6</v>
      </c>
      <c r="Z8264">
        <v>85</v>
      </c>
      <c r="AA8264">
        <v>616</v>
      </c>
      <c r="AB8264">
        <v>7.3059880000000001</v>
      </c>
      <c r="AC8264">
        <v>3.1826399999999998E-2</v>
      </c>
      <c r="AD8264">
        <v>2.0694189999999999</v>
      </c>
      <c r="AE8264">
        <v>0.64571719999999999</v>
      </c>
      <c r="AF8264">
        <v>198.42910000000001</v>
      </c>
      <c r="AG8264">
        <f>IFERROR(AH8264*0.1, "N/A")</f>
        <v>6.0844440000000004</v>
      </c>
      <c r="AH8264">
        <v>60.844439999999999</v>
      </c>
      <c r="AI8264">
        <v>175.71690000000001</v>
      </c>
      <c r="AJ8264">
        <v>19.680340000000001</v>
      </c>
      <c r="AK8264">
        <v>59.55556</v>
      </c>
    </row>
    <row r="8265" spans="1:37" x14ac:dyDescent="0.3">
      <c r="A8265">
        <v>8264</v>
      </c>
      <c r="B8265">
        <v>0</v>
      </c>
      <c r="C8265">
        <v>-1.2289300000000001</v>
      </c>
      <c r="D8265">
        <v>10.5863</v>
      </c>
      <c r="E8265">
        <f>-1.22893-10.5863</f>
        <v>-11.81523</v>
      </c>
      <c r="F8265" t="s">
        <v>12332</v>
      </c>
      <c r="G8265" t="s">
        <v>39</v>
      </c>
      <c r="H8265">
        <v>2003</v>
      </c>
      <c r="I8265">
        <v>28.2</v>
      </c>
      <c r="J8265">
        <v>11.9</v>
      </c>
      <c r="K8265">
        <v>62</v>
      </c>
      <c r="L8265">
        <v>17.97</v>
      </c>
      <c r="M8265">
        <v>38.1</v>
      </c>
      <c r="N8265">
        <v>19.2</v>
      </c>
      <c r="O8265">
        <v>18.899999999999999</v>
      </c>
      <c r="P8265">
        <v>26.1</v>
      </c>
      <c r="Q8265">
        <v>28.1</v>
      </c>
      <c r="R8265">
        <v>30.8</v>
      </c>
      <c r="S8265">
        <v>26.1</v>
      </c>
      <c r="T8265">
        <v>1002</v>
      </c>
      <c r="U8265">
        <v>254</v>
      </c>
      <c r="V8265">
        <v>1</v>
      </c>
      <c r="W8265">
        <v>99</v>
      </c>
      <c r="X8265">
        <v>615</v>
      </c>
      <c r="Y8265">
        <v>6</v>
      </c>
      <c r="Z8265">
        <v>186</v>
      </c>
      <c r="AA8265">
        <v>615</v>
      </c>
      <c r="AB8265">
        <v>1.592813</v>
      </c>
      <c r="AC8265">
        <v>15.25257</v>
      </c>
      <c r="AD8265">
        <v>1.9174610000000001</v>
      </c>
      <c r="AE8265">
        <v>0.66058059999999996</v>
      </c>
      <c r="AF8265">
        <v>168.7894</v>
      </c>
      <c r="AG8265">
        <f>IFERROR(AH8265*0.1, "N/A")</f>
        <v>6.0761989999999999</v>
      </c>
      <c r="AH8265">
        <v>60.761989999999997</v>
      </c>
      <c r="AI8265">
        <v>198.7372</v>
      </c>
      <c r="AJ8265">
        <v>17.681509999999999</v>
      </c>
      <c r="AK8265">
        <v>61.106160000000003</v>
      </c>
    </row>
    <row r="8266" spans="1:37" x14ac:dyDescent="0.3">
      <c r="A8266">
        <v>8265</v>
      </c>
      <c r="B8266">
        <v>0</v>
      </c>
      <c r="C8266">
        <v>-1.0268999999999999</v>
      </c>
      <c r="D8266">
        <v>10.6004</v>
      </c>
      <c r="E8266">
        <f>-1.0269-10.6004</f>
        <v>-11.6273</v>
      </c>
      <c r="F8266" t="s">
        <v>12333</v>
      </c>
      <c r="G8266" t="s">
        <v>39</v>
      </c>
      <c r="H8266">
        <v>2003</v>
      </c>
      <c r="I8266">
        <v>28.3</v>
      </c>
      <c r="J8266">
        <v>11.9</v>
      </c>
      <c r="K8266">
        <v>62</v>
      </c>
      <c r="L8266">
        <v>18.033429999999999</v>
      </c>
      <c r="M8266">
        <v>38.299999999999997</v>
      </c>
      <c r="N8266">
        <v>19.3</v>
      </c>
      <c r="O8266">
        <v>19</v>
      </c>
      <c r="P8266">
        <v>26.173929999999999</v>
      </c>
      <c r="Q8266">
        <v>28.2</v>
      </c>
      <c r="R8266">
        <v>30.8</v>
      </c>
      <c r="S8266">
        <v>26.173929999999999</v>
      </c>
      <c r="T8266">
        <v>994</v>
      </c>
      <c r="U8266">
        <v>248.73929999999999</v>
      </c>
      <c r="V8266">
        <v>1</v>
      </c>
      <c r="W8266">
        <v>100</v>
      </c>
      <c r="X8266">
        <v>616.73929999999996</v>
      </c>
      <c r="Y8266">
        <v>6</v>
      </c>
      <c r="Z8266">
        <v>176</v>
      </c>
      <c r="AA8266">
        <v>616.73929999999996</v>
      </c>
      <c r="AB8266">
        <v>10.78473</v>
      </c>
      <c r="AC8266">
        <v>7.7705179999999999E-2</v>
      </c>
      <c r="AD8266">
        <v>2.6470449999999999</v>
      </c>
      <c r="AE8266">
        <v>0.70925380000000005</v>
      </c>
      <c r="AF8266">
        <v>160.79759999999999</v>
      </c>
      <c r="AG8266">
        <f>IFERROR(AH8266*0.1, "N/A")</f>
        <v>6.1319040000000005</v>
      </c>
      <c r="AH8266">
        <v>61.319040000000001</v>
      </c>
      <c r="AI8266">
        <v>66.021990000000002</v>
      </c>
      <c r="AJ8266">
        <v>15.63979</v>
      </c>
      <c r="AK8266">
        <v>63.559179999999998</v>
      </c>
    </row>
    <row r="8267" spans="1:37" x14ac:dyDescent="0.3">
      <c r="A8267">
        <v>8266</v>
      </c>
      <c r="B8267">
        <v>0</v>
      </c>
      <c r="C8267">
        <v>-1.4217</v>
      </c>
      <c r="D8267">
        <v>10.619300000000001</v>
      </c>
      <c r="E8267">
        <f>-1.4217-10.6193</f>
        <v>-12.041</v>
      </c>
      <c r="F8267" t="s">
        <v>12334</v>
      </c>
      <c r="G8267" t="s">
        <v>39</v>
      </c>
      <c r="H8267">
        <v>2003</v>
      </c>
      <c r="I8267">
        <v>28.3</v>
      </c>
      <c r="J8267">
        <v>11.9</v>
      </c>
      <c r="K8267">
        <v>62</v>
      </c>
      <c r="L8267">
        <v>17.52</v>
      </c>
      <c r="M8267">
        <v>38.1</v>
      </c>
      <c r="N8267">
        <v>19.2</v>
      </c>
      <c r="O8267">
        <v>18.899999999999999</v>
      </c>
      <c r="P8267">
        <v>26.2</v>
      </c>
      <c r="Q8267">
        <v>28.1</v>
      </c>
      <c r="R8267">
        <v>30.7</v>
      </c>
      <c r="S8267">
        <v>26.2</v>
      </c>
      <c r="T8267">
        <v>1002</v>
      </c>
      <c r="U8267">
        <v>261</v>
      </c>
      <c r="V8267">
        <v>1</v>
      </c>
      <c r="W8267">
        <v>99</v>
      </c>
      <c r="X8267">
        <v>612</v>
      </c>
      <c r="Y8267">
        <v>5</v>
      </c>
      <c r="Z8267">
        <v>191</v>
      </c>
      <c r="AA8267">
        <v>612</v>
      </c>
      <c r="AB8267">
        <v>3.8372639999999998</v>
      </c>
      <c r="AC8267">
        <v>3.0308950000000001</v>
      </c>
      <c r="AD8267">
        <v>0.95759329999999998</v>
      </c>
      <c r="AE8267">
        <v>0.54971440000000005</v>
      </c>
      <c r="AF8267">
        <v>167.09399999999999</v>
      </c>
      <c r="AG8267">
        <f>IFERROR(AH8267*0.1, "N/A")</f>
        <v>6.6683760000000012</v>
      </c>
      <c r="AH8267">
        <v>66.683760000000007</v>
      </c>
      <c r="AI8267">
        <v>271.80500000000001</v>
      </c>
      <c r="AJ8267">
        <v>16.899149999999999</v>
      </c>
      <c r="AK8267">
        <v>62.92821</v>
      </c>
    </row>
    <row r="8268" spans="1:37" x14ac:dyDescent="0.3">
      <c r="A8268">
        <v>8267</v>
      </c>
      <c r="B8268">
        <v>0</v>
      </c>
      <c r="C8268">
        <v>-1.26624</v>
      </c>
      <c r="D8268">
        <v>10.655099999999999</v>
      </c>
      <c r="E8268">
        <f>-1.26624-10.6551</f>
        <v>-11.921339999999999</v>
      </c>
      <c r="F8268" t="s">
        <v>12335</v>
      </c>
      <c r="G8268" t="s">
        <v>39</v>
      </c>
      <c r="H8268">
        <v>2003</v>
      </c>
      <c r="I8268">
        <v>28.082529999999998</v>
      </c>
      <c r="J8268">
        <v>11.982530000000001</v>
      </c>
      <c r="K8268">
        <v>62.825339999999997</v>
      </c>
      <c r="L8268">
        <v>17.881920000000001</v>
      </c>
      <c r="M8268">
        <v>38.065069999999999</v>
      </c>
      <c r="N8268">
        <v>19.082529999999998</v>
      </c>
      <c r="O8268">
        <v>18.982530000000001</v>
      </c>
      <c r="P8268">
        <v>26.065069999999999</v>
      </c>
      <c r="Q8268">
        <v>27.982530000000001</v>
      </c>
      <c r="R8268">
        <v>30.68253</v>
      </c>
      <c r="S8268">
        <v>26.065069999999999</v>
      </c>
      <c r="T8268">
        <v>1002.175</v>
      </c>
      <c r="U8268">
        <v>259.17469999999997</v>
      </c>
      <c r="V8268">
        <v>1</v>
      </c>
      <c r="W8268">
        <v>99.174660000000003</v>
      </c>
      <c r="X8268">
        <v>618.17470000000003</v>
      </c>
      <c r="Y8268">
        <v>6</v>
      </c>
      <c r="Z8268">
        <v>166.4863</v>
      </c>
      <c r="AA8268">
        <v>618.17470000000003</v>
      </c>
      <c r="AB8268">
        <v>7.2426339999999998</v>
      </c>
      <c r="AC8268">
        <v>1.2389209999999999E-2</v>
      </c>
      <c r="AD8268">
        <v>1.9070450000000001</v>
      </c>
      <c r="AE8268">
        <v>0.66717890000000002</v>
      </c>
      <c r="AF8268">
        <v>200.4726</v>
      </c>
      <c r="AG8268">
        <f>IFERROR(AH8268*0.1, "N/A")</f>
        <v>6.2785960000000003</v>
      </c>
      <c r="AH8268">
        <v>62.785960000000003</v>
      </c>
      <c r="AI8268">
        <v>92.239630000000005</v>
      </c>
      <c r="AJ8268">
        <v>15.174659999999999</v>
      </c>
      <c r="AK8268">
        <v>70.6113</v>
      </c>
    </row>
    <row r="8269" spans="1:37" x14ac:dyDescent="0.3">
      <c r="A8269">
        <v>8268</v>
      </c>
      <c r="B8269">
        <v>0</v>
      </c>
      <c r="C8269">
        <v>-1.35</v>
      </c>
      <c r="D8269">
        <v>10.6668</v>
      </c>
      <c r="E8269">
        <f>-1.35-10.6668</f>
        <v>-12.0168</v>
      </c>
      <c r="F8269" t="s">
        <v>12336</v>
      </c>
      <c r="G8269" t="s">
        <v>39</v>
      </c>
      <c r="H8269">
        <v>2003</v>
      </c>
      <c r="I8269">
        <v>28.155729999999998</v>
      </c>
      <c r="J8269">
        <v>12</v>
      </c>
      <c r="K8269">
        <v>62.319659999999999</v>
      </c>
      <c r="L8269">
        <v>17.805109999999999</v>
      </c>
      <c r="M8269">
        <v>38.091790000000003</v>
      </c>
      <c r="N8269">
        <v>19.055730000000001</v>
      </c>
      <c r="O8269">
        <v>19.036069999999999</v>
      </c>
      <c r="P8269">
        <v>26.090430000000001</v>
      </c>
      <c r="Q8269">
        <v>28</v>
      </c>
      <c r="R8269">
        <v>30.723759999999999</v>
      </c>
      <c r="S8269">
        <v>26.090430000000001</v>
      </c>
      <c r="T8269">
        <v>998.44269999999995</v>
      </c>
      <c r="U8269">
        <v>261.68029999999999</v>
      </c>
      <c r="V8269">
        <v>1</v>
      </c>
      <c r="W8269">
        <v>99.680340000000001</v>
      </c>
      <c r="X8269">
        <v>615.68029999999999</v>
      </c>
      <c r="Y8269">
        <v>5</v>
      </c>
      <c r="Z8269">
        <v>186</v>
      </c>
      <c r="AA8269">
        <v>615.68029999999999</v>
      </c>
      <c r="AB8269">
        <v>7.3871770000000003</v>
      </c>
      <c r="AC8269">
        <v>9.7389069999999998E-3</v>
      </c>
      <c r="AD8269">
        <v>2.6478739999999998</v>
      </c>
      <c r="AE8269">
        <v>0.63737719999999998</v>
      </c>
      <c r="AF8269">
        <v>187.18289999999999</v>
      </c>
      <c r="AG8269">
        <f>IFERROR(AH8269*0.1, "N/A")</f>
        <v>6.3347009999999999</v>
      </c>
      <c r="AH8269">
        <v>63.347009999999997</v>
      </c>
      <c r="AI8269">
        <v>225.6326</v>
      </c>
      <c r="AJ8269">
        <v>17.39658</v>
      </c>
      <c r="AK8269">
        <v>61.950429999999997</v>
      </c>
    </row>
    <row r="8270" spans="1:37" x14ac:dyDescent="0.3">
      <c r="A8270">
        <v>8269</v>
      </c>
      <c r="B8270">
        <v>0</v>
      </c>
      <c r="C8270">
        <v>-0.79997099999999999</v>
      </c>
      <c r="D8270">
        <v>10.7166</v>
      </c>
      <c r="E8270">
        <f>-0.799971-10.7166</f>
        <v>-11.516570999999999</v>
      </c>
      <c r="F8270" t="s">
        <v>12337</v>
      </c>
      <c r="G8270" t="s">
        <v>39</v>
      </c>
      <c r="H8270">
        <v>2003</v>
      </c>
      <c r="I8270">
        <v>28.10172</v>
      </c>
      <c r="J8270">
        <v>12.08694</v>
      </c>
      <c r="K8270">
        <v>62.869419999999998</v>
      </c>
      <c r="L8270">
        <v>17.99521</v>
      </c>
      <c r="M8270">
        <v>38.200000000000003</v>
      </c>
      <c r="N8270">
        <v>19.18694</v>
      </c>
      <c r="O8270">
        <v>19.013059999999999</v>
      </c>
      <c r="P8270">
        <v>25.91478</v>
      </c>
      <c r="Q8270">
        <v>28.086939999999998</v>
      </c>
      <c r="R8270">
        <v>30.640029999999999</v>
      </c>
      <c r="S8270">
        <v>25.91478</v>
      </c>
      <c r="T8270">
        <v>992.91409999999996</v>
      </c>
      <c r="U8270">
        <v>245.38319999999999</v>
      </c>
      <c r="V8270">
        <v>1</v>
      </c>
      <c r="W8270">
        <v>100.9828</v>
      </c>
      <c r="X8270">
        <v>621.96559999999999</v>
      </c>
      <c r="Y8270">
        <v>7</v>
      </c>
      <c r="Z8270">
        <v>164.9828</v>
      </c>
      <c r="AA8270">
        <v>621.96559999999999</v>
      </c>
      <c r="AB8270">
        <v>1.742612</v>
      </c>
      <c r="AC8270">
        <v>0.42515409999999998</v>
      </c>
      <c r="AD8270">
        <v>1.153187</v>
      </c>
      <c r="AE8270">
        <v>0.71899679999999999</v>
      </c>
      <c r="AF8270">
        <v>188.2216</v>
      </c>
      <c r="AG8270">
        <f>IFERROR(AH8270*0.1, "N/A")</f>
        <v>6.1053260000000007</v>
      </c>
      <c r="AH8270">
        <v>61.053260000000002</v>
      </c>
      <c r="AI8270">
        <v>175.69409999999999</v>
      </c>
      <c r="AJ8270">
        <v>17.651199999999999</v>
      </c>
      <c r="AK8270">
        <v>63.242269999999998</v>
      </c>
    </row>
    <row r="8271" spans="1:37" x14ac:dyDescent="0.3">
      <c r="A8271">
        <v>8270</v>
      </c>
      <c r="B8271">
        <v>0</v>
      </c>
      <c r="C8271">
        <v>-1.0783799999999999</v>
      </c>
      <c r="D8271">
        <v>10.736800000000001</v>
      </c>
      <c r="E8271">
        <f>-1.07838-10.7368</f>
        <v>-11.81518</v>
      </c>
      <c r="F8271" t="s">
        <v>12338</v>
      </c>
      <c r="G8271" t="s">
        <v>39</v>
      </c>
      <c r="H8271">
        <v>2003</v>
      </c>
      <c r="I8271">
        <v>28.3</v>
      </c>
      <c r="J8271">
        <v>12</v>
      </c>
      <c r="K8271">
        <v>62</v>
      </c>
      <c r="L8271">
        <v>18.14</v>
      </c>
      <c r="M8271">
        <v>38.299999999999997</v>
      </c>
      <c r="N8271">
        <v>19.2</v>
      </c>
      <c r="O8271">
        <v>19.100000000000001</v>
      </c>
      <c r="P8271">
        <v>26.2</v>
      </c>
      <c r="Q8271">
        <v>28.1</v>
      </c>
      <c r="R8271">
        <v>30.9</v>
      </c>
      <c r="S8271">
        <v>26.2</v>
      </c>
      <c r="T8271">
        <v>970</v>
      </c>
      <c r="U8271">
        <v>255</v>
      </c>
      <c r="V8271">
        <v>1</v>
      </c>
      <c r="W8271">
        <v>103</v>
      </c>
      <c r="X8271">
        <v>615</v>
      </c>
      <c r="Y8271">
        <v>5</v>
      </c>
      <c r="Z8271">
        <v>164</v>
      </c>
      <c r="AA8271">
        <v>615</v>
      </c>
      <c r="AB8271">
        <v>16.46855</v>
      </c>
      <c r="AC8271">
        <v>1.043646E-2</v>
      </c>
      <c r="AD8271">
        <v>1.9576340000000001</v>
      </c>
      <c r="AE8271">
        <v>0.71103380000000005</v>
      </c>
      <c r="AF8271">
        <v>167.62029999999999</v>
      </c>
      <c r="AG8271">
        <f>IFERROR(AH8271*0.1, "N/A")</f>
        <v>6.2630580000000009</v>
      </c>
      <c r="AH8271">
        <v>62.630580000000002</v>
      </c>
      <c r="AI8271">
        <v>210.51669999999999</v>
      </c>
      <c r="AJ8271">
        <v>16.168379999999999</v>
      </c>
      <c r="AK8271">
        <v>64.072159999999997</v>
      </c>
    </row>
    <row r="8272" spans="1:37" x14ac:dyDescent="0.3">
      <c r="A8272">
        <v>8271</v>
      </c>
      <c r="B8272">
        <v>0</v>
      </c>
      <c r="C8272">
        <v>-0.48774699999999999</v>
      </c>
      <c r="D8272">
        <v>10.7578</v>
      </c>
      <c r="E8272">
        <f>-0.487747-10.7578</f>
        <v>-11.245547</v>
      </c>
      <c r="F8272" t="s">
        <v>12339</v>
      </c>
      <c r="G8272" t="s">
        <v>39</v>
      </c>
      <c r="H8272">
        <v>2003</v>
      </c>
      <c r="I8272">
        <v>27.718730000000001</v>
      </c>
      <c r="J8272">
        <v>12.3</v>
      </c>
      <c r="K8272">
        <v>64</v>
      </c>
      <c r="L8272">
        <v>18.207599999999999</v>
      </c>
      <c r="M8272">
        <v>37.918729999999996</v>
      </c>
      <c r="N8272">
        <v>18.718730000000001</v>
      </c>
      <c r="O8272">
        <v>19.2</v>
      </c>
      <c r="P8272">
        <v>25.537459999999999</v>
      </c>
      <c r="Q8272">
        <v>27.618729999999999</v>
      </c>
      <c r="R8272">
        <v>30.318729999999999</v>
      </c>
      <c r="S8272">
        <v>25.537459999999999</v>
      </c>
      <c r="T8272">
        <v>988.87630000000001</v>
      </c>
      <c r="U8272">
        <v>241</v>
      </c>
      <c r="V8272">
        <v>1</v>
      </c>
      <c r="W8272">
        <v>99</v>
      </c>
      <c r="X8272">
        <v>617.62540000000001</v>
      </c>
      <c r="Y8272">
        <v>7</v>
      </c>
      <c r="Z8272">
        <v>167.43809999999999</v>
      </c>
      <c r="AA8272">
        <v>617.62540000000001</v>
      </c>
      <c r="AB8272">
        <v>18.508939999999999</v>
      </c>
      <c r="AC8272">
        <v>1.6137200000000001E-2</v>
      </c>
      <c r="AD8272">
        <v>1.6982809999999999</v>
      </c>
      <c r="AE8272">
        <v>0.72566770000000003</v>
      </c>
      <c r="AF8272">
        <v>233.65119999999999</v>
      </c>
      <c r="AG8272">
        <f>IFERROR(AH8272*0.1, "N/A")</f>
        <v>5.9950170000000007</v>
      </c>
      <c r="AH8272">
        <v>59.95017</v>
      </c>
      <c r="AI8272">
        <v>172.0583</v>
      </c>
      <c r="AJ8272">
        <v>16.180409999999998</v>
      </c>
      <c r="AK8272">
        <v>63.819589999999998</v>
      </c>
    </row>
    <row r="8273" spans="1:37" x14ac:dyDescent="0.3">
      <c r="A8273">
        <v>8272</v>
      </c>
      <c r="B8273">
        <v>0</v>
      </c>
      <c r="C8273">
        <v>-1.1083400000000001</v>
      </c>
      <c r="D8273">
        <v>10.774800000000001</v>
      </c>
      <c r="E8273">
        <f>-1.10834-10.7748</f>
        <v>-11.883140000000001</v>
      </c>
      <c r="F8273" t="s">
        <v>12340</v>
      </c>
      <c r="G8273" t="s">
        <v>39</v>
      </c>
      <c r="H8273">
        <v>2003</v>
      </c>
      <c r="I8273">
        <v>28.287330000000001</v>
      </c>
      <c r="J8273">
        <v>12</v>
      </c>
      <c r="K8273">
        <v>61.873289999999997</v>
      </c>
      <c r="L8273">
        <v>18.26558</v>
      </c>
      <c r="M8273">
        <v>38.312669999999997</v>
      </c>
      <c r="N8273">
        <v>19.087330000000001</v>
      </c>
      <c r="O8273">
        <v>19.225339999999999</v>
      </c>
      <c r="P8273">
        <v>26.187329999999999</v>
      </c>
      <c r="Q8273">
        <v>27.98733</v>
      </c>
      <c r="R8273">
        <v>30.9</v>
      </c>
      <c r="S8273">
        <v>26.187329999999999</v>
      </c>
      <c r="T8273">
        <v>967.12670000000003</v>
      </c>
      <c r="U8273">
        <v>257.12670000000003</v>
      </c>
      <c r="V8273">
        <v>1</v>
      </c>
      <c r="W8273">
        <v>103</v>
      </c>
      <c r="X8273">
        <v>615.66610000000003</v>
      </c>
      <c r="Y8273">
        <v>5</v>
      </c>
      <c r="Z8273">
        <v>163.4606</v>
      </c>
      <c r="AA8273">
        <v>615.66610000000003</v>
      </c>
      <c r="AB8273">
        <v>10.589040000000001</v>
      </c>
      <c r="AC8273">
        <v>9.9247610000000007E-3</v>
      </c>
      <c r="AD8273">
        <v>2.3838680000000001</v>
      </c>
      <c r="AE8273">
        <v>0.70168560000000002</v>
      </c>
      <c r="AF8273">
        <v>176.4127</v>
      </c>
      <c r="AG8273">
        <f>IFERROR(AH8273*0.1, "N/A")</f>
        <v>6.2</v>
      </c>
      <c r="AH8273">
        <v>62</v>
      </c>
      <c r="AI8273">
        <v>283.87180000000001</v>
      </c>
      <c r="AJ8273">
        <v>14.39555</v>
      </c>
      <c r="AK8273">
        <v>67.217470000000006</v>
      </c>
    </row>
    <row r="8274" spans="1:37" x14ac:dyDescent="0.3">
      <c r="A8274">
        <v>8273</v>
      </c>
      <c r="B8274">
        <v>0</v>
      </c>
      <c r="C8274">
        <v>-0.61923300000000003</v>
      </c>
      <c r="D8274">
        <v>10.795199999999999</v>
      </c>
      <c r="E8274">
        <f>-0.619233-10.7952</f>
        <v>-11.414432999999999</v>
      </c>
      <c r="F8274" t="s">
        <v>12341</v>
      </c>
      <c r="G8274" t="s">
        <v>39</v>
      </c>
      <c r="H8274">
        <v>2003</v>
      </c>
      <c r="I8274">
        <v>27.9</v>
      </c>
      <c r="J8274">
        <v>12.2</v>
      </c>
      <c r="K8274">
        <v>63</v>
      </c>
      <c r="L8274">
        <v>18.32</v>
      </c>
      <c r="M8274">
        <v>38</v>
      </c>
      <c r="N8274">
        <v>18.8</v>
      </c>
      <c r="O8274">
        <v>19.2</v>
      </c>
      <c r="P8274">
        <v>25.7</v>
      </c>
      <c r="Q8274">
        <v>27.6</v>
      </c>
      <c r="R8274">
        <v>30.5</v>
      </c>
      <c r="S8274">
        <v>25.7</v>
      </c>
      <c r="T8274">
        <v>982</v>
      </c>
      <c r="U8274">
        <v>243</v>
      </c>
      <c r="V8274">
        <v>1</v>
      </c>
      <c r="W8274">
        <v>101</v>
      </c>
      <c r="X8274">
        <v>616</v>
      </c>
      <c r="Y8274">
        <v>8</v>
      </c>
      <c r="Z8274">
        <v>163</v>
      </c>
      <c r="AA8274">
        <v>616</v>
      </c>
      <c r="AB8274">
        <v>9.5144760000000002</v>
      </c>
      <c r="AC8274">
        <v>0.13708780000000001</v>
      </c>
      <c r="AD8274">
        <v>1.666274</v>
      </c>
      <c r="AE8274">
        <v>0.71006340000000001</v>
      </c>
      <c r="AF8274">
        <v>235.44139999999999</v>
      </c>
      <c r="AG8274">
        <f>IFERROR(AH8274*0.1, "N/A")</f>
        <v>6.0086210000000007</v>
      </c>
      <c r="AH8274">
        <v>60.086210000000001</v>
      </c>
      <c r="AI8274">
        <v>150.50239999999999</v>
      </c>
      <c r="AJ8274">
        <v>14.62241</v>
      </c>
      <c r="AK8274">
        <v>68.377589999999998</v>
      </c>
    </row>
    <row r="8275" spans="1:37" x14ac:dyDescent="0.3">
      <c r="A8275">
        <v>8274</v>
      </c>
      <c r="B8275">
        <v>0</v>
      </c>
      <c r="C8275">
        <v>-0.80797399999999997</v>
      </c>
      <c r="D8275">
        <v>10.796200000000001</v>
      </c>
      <c r="E8275">
        <f>-0.807974-10.7962</f>
        <v>-11.604174</v>
      </c>
      <c r="F8275" t="s">
        <v>12342</v>
      </c>
      <c r="G8275" t="s">
        <v>39</v>
      </c>
      <c r="H8275">
        <v>2003</v>
      </c>
      <c r="I8275">
        <v>28.11016</v>
      </c>
      <c r="J8275">
        <v>12.1</v>
      </c>
      <c r="K8275">
        <v>63</v>
      </c>
      <c r="L8275">
        <v>18.059139999999999</v>
      </c>
      <c r="M8275">
        <v>38.220309999999998</v>
      </c>
      <c r="N8275">
        <v>19.11016</v>
      </c>
      <c r="O8275">
        <v>19.11016</v>
      </c>
      <c r="P8275">
        <v>25.910150000000002</v>
      </c>
      <c r="Q8275">
        <v>28.010149999999999</v>
      </c>
      <c r="R8275">
        <v>30.62031</v>
      </c>
      <c r="S8275">
        <v>25.910150000000002</v>
      </c>
      <c r="T8275">
        <v>968.28920000000005</v>
      </c>
      <c r="U8275">
        <v>246</v>
      </c>
      <c r="V8275">
        <v>1</v>
      </c>
      <c r="W8275">
        <v>102</v>
      </c>
      <c r="X8275">
        <v>614.79690000000005</v>
      </c>
      <c r="Y8275">
        <v>7</v>
      </c>
      <c r="Z8275">
        <v>154.59379999999999</v>
      </c>
      <c r="AA8275">
        <v>614.79690000000005</v>
      </c>
      <c r="AB8275">
        <v>17.853020000000001</v>
      </c>
      <c r="AC8275">
        <v>1.078491E-2</v>
      </c>
      <c r="AD8275">
        <v>2.6293470000000001</v>
      </c>
      <c r="AE8275">
        <v>0.78379339999999997</v>
      </c>
      <c r="AF8275">
        <v>205.21340000000001</v>
      </c>
      <c r="AG8275">
        <f>IFERROR(AH8275*0.1, "N/A")</f>
        <v>6.2729780000000002</v>
      </c>
      <c r="AH8275">
        <v>62.729779999999998</v>
      </c>
      <c r="AI8275">
        <v>258.22910000000002</v>
      </c>
      <c r="AJ8275">
        <v>18.10155</v>
      </c>
      <c r="AK8275">
        <v>65.764200000000002</v>
      </c>
    </row>
    <row r="8276" spans="1:37" x14ac:dyDescent="0.3">
      <c r="A8276">
        <v>8275</v>
      </c>
      <c r="B8276">
        <v>0</v>
      </c>
      <c r="C8276">
        <v>-1.4192199999999999</v>
      </c>
      <c r="D8276">
        <v>10.813800000000001</v>
      </c>
      <c r="E8276">
        <f>-1.41922-10.8138</f>
        <v>-12.23302</v>
      </c>
      <c r="F8276" t="s">
        <v>12343</v>
      </c>
      <c r="G8276" t="s">
        <v>39</v>
      </c>
      <c r="H8276">
        <v>2003</v>
      </c>
      <c r="I8276">
        <v>27.9</v>
      </c>
      <c r="J8276">
        <v>12.1</v>
      </c>
      <c r="K8276">
        <v>62</v>
      </c>
      <c r="L8276">
        <v>18.23</v>
      </c>
      <c r="M8276">
        <v>37.9</v>
      </c>
      <c r="N8276">
        <v>18.600000000000001</v>
      </c>
      <c r="O8276">
        <v>19.3</v>
      </c>
      <c r="P8276">
        <v>25.9</v>
      </c>
      <c r="Q8276">
        <v>27.6</v>
      </c>
      <c r="R8276">
        <v>30.5</v>
      </c>
      <c r="S8276">
        <v>25.9</v>
      </c>
      <c r="T8276">
        <v>993</v>
      </c>
      <c r="U8276">
        <v>270</v>
      </c>
      <c r="V8276">
        <v>1</v>
      </c>
      <c r="W8276">
        <v>102</v>
      </c>
      <c r="X8276">
        <v>621</v>
      </c>
      <c r="Y8276">
        <v>5</v>
      </c>
      <c r="Z8276">
        <v>179</v>
      </c>
      <c r="AA8276">
        <v>621</v>
      </c>
      <c r="AB8276">
        <v>3.548886</v>
      </c>
      <c r="AC8276">
        <v>0.13389580000000001</v>
      </c>
      <c r="AD8276">
        <v>1.371775</v>
      </c>
      <c r="AE8276">
        <v>0.68603689999999995</v>
      </c>
      <c r="AF8276">
        <v>238.453</v>
      </c>
      <c r="AG8276">
        <f>IFERROR(AH8276*0.1, "N/A")</f>
        <v>6.4584620000000008</v>
      </c>
      <c r="AH8276">
        <v>64.584620000000001</v>
      </c>
      <c r="AI8276">
        <v>162.1413</v>
      </c>
      <c r="AJ8276">
        <v>16.835899999999999</v>
      </c>
      <c r="AK8276">
        <v>64.582909999999998</v>
      </c>
    </row>
    <row r="8277" spans="1:37" x14ac:dyDescent="0.3">
      <c r="A8277">
        <v>8276</v>
      </c>
      <c r="B8277">
        <v>0</v>
      </c>
      <c r="C8277">
        <v>-1.1808700000000001</v>
      </c>
      <c r="D8277">
        <v>10.817500000000001</v>
      </c>
      <c r="E8277">
        <f>-1.18087-10.8175</f>
        <v>-11.998370000000001</v>
      </c>
      <c r="F8277" t="s">
        <v>12344</v>
      </c>
      <c r="G8277" t="s">
        <v>39</v>
      </c>
      <c r="H8277">
        <v>2003</v>
      </c>
      <c r="I8277">
        <v>28.2</v>
      </c>
      <c r="J8277">
        <v>12</v>
      </c>
      <c r="K8277">
        <v>61</v>
      </c>
      <c r="L8277">
        <v>18.48</v>
      </c>
      <c r="M8277">
        <v>38.299999999999997</v>
      </c>
      <c r="N8277">
        <v>18.899999999999999</v>
      </c>
      <c r="O8277">
        <v>19.399999999999999</v>
      </c>
      <c r="P8277">
        <v>26.2</v>
      </c>
      <c r="Q8277">
        <v>27.9</v>
      </c>
      <c r="R8277">
        <v>30.9</v>
      </c>
      <c r="S8277">
        <v>26.2</v>
      </c>
      <c r="T8277">
        <v>970</v>
      </c>
      <c r="U8277">
        <v>261</v>
      </c>
      <c r="V8277">
        <v>1</v>
      </c>
      <c r="W8277">
        <v>103</v>
      </c>
      <c r="X8277">
        <v>616</v>
      </c>
      <c r="Y8277">
        <v>6</v>
      </c>
      <c r="Z8277">
        <v>166</v>
      </c>
      <c r="AA8277">
        <v>616</v>
      </c>
      <c r="AB8277">
        <v>4.477398</v>
      </c>
      <c r="AC8277">
        <v>0.17367540000000001</v>
      </c>
      <c r="AD8277">
        <v>3.5116800000000001</v>
      </c>
      <c r="AE8277">
        <v>0.70404429999999996</v>
      </c>
      <c r="AF8277">
        <v>188.2757</v>
      </c>
      <c r="AG8277">
        <f>IFERROR(AH8277*0.1, "N/A")</f>
        <v>6.3929790000000004</v>
      </c>
      <c r="AH8277">
        <v>63.929789999999997</v>
      </c>
      <c r="AI8277">
        <v>181.10769999999999</v>
      </c>
      <c r="AJ8277">
        <v>13.304790000000001</v>
      </c>
      <c r="AK8277">
        <v>69.7774</v>
      </c>
    </row>
    <row r="8278" spans="1:37" x14ac:dyDescent="0.3">
      <c r="A8278">
        <v>8277</v>
      </c>
      <c r="B8278">
        <v>0</v>
      </c>
      <c r="C8278">
        <v>-0.67018</v>
      </c>
      <c r="D8278">
        <v>10.8529</v>
      </c>
      <c r="E8278">
        <f>-0.67018-10.8529</f>
        <v>-11.52308</v>
      </c>
      <c r="F8278" t="s">
        <v>12345</v>
      </c>
      <c r="G8278" t="s">
        <v>39</v>
      </c>
      <c r="H8278">
        <v>2003</v>
      </c>
      <c r="I8278">
        <v>27.9</v>
      </c>
      <c r="J8278">
        <v>12.2</v>
      </c>
      <c r="K8278">
        <v>63</v>
      </c>
      <c r="L8278">
        <v>18.07</v>
      </c>
      <c r="M8278">
        <v>38</v>
      </c>
      <c r="N8278">
        <v>18.8</v>
      </c>
      <c r="O8278">
        <v>19.2</v>
      </c>
      <c r="P8278">
        <v>25.7</v>
      </c>
      <c r="Q8278">
        <v>27.7</v>
      </c>
      <c r="R8278">
        <v>30.4</v>
      </c>
      <c r="S8278">
        <v>25.7</v>
      </c>
      <c r="T8278">
        <v>964</v>
      </c>
      <c r="U8278">
        <v>243</v>
      </c>
      <c r="V8278">
        <v>1</v>
      </c>
      <c r="W8278">
        <v>101</v>
      </c>
      <c r="X8278">
        <v>608</v>
      </c>
      <c r="Y8278">
        <v>8</v>
      </c>
      <c r="Z8278">
        <v>157</v>
      </c>
      <c r="AA8278">
        <v>608</v>
      </c>
      <c r="AB8278">
        <v>3.3897059999999999</v>
      </c>
      <c r="AC8278">
        <v>6.6333370000000003E-2</v>
      </c>
      <c r="AD8278">
        <v>1.345235</v>
      </c>
      <c r="AE8278">
        <v>0.71244569999999996</v>
      </c>
      <c r="AF8278">
        <v>248.73580000000001</v>
      </c>
      <c r="AG8278">
        <f>IFERROR(AH8278*0.1, "N/A")</f>
        <v>6.588165</v>
      </c>
      <c r="AH8278">
        <v>65.881649999999993</v>
      </c>
      <c r="AI8278">
        <v>141.04560000000001</v>
      </c>
      <c r="AJ8278">
        <v>14.11835</v>
      </c>
      <c r="AK8278">
        <v>70.881649999999993</v>
      </c>
    </row>
    <row r="8279" spans="1:37" x14ac:dyDescent="0.3">
      <c r="A8279">
        <v>8278</v>
      </c>
      <c r="B8279">
        <v>0</v>
      </c>
      <c r="C8279">
        <v>-1.26258</v>
      </c>
      <c r="D8279">
        <v>10.8567</v>
      </c>
      <c r="E8279">
        <f>-1.26258-10.8567</f>
        <v>-12.11928</v>
      </c>
      <c r="F8279" t="s">
        <v>12346</v>
      </c>
      <c r="G8279" t="s">
        <v>39</v>
      </c>
      <c r="H8279">
        <v>2003</v>
      </c>
      <c r="I8279">
        <v>27.8</v>
      </c>
      <c r="J8279">
        <v>12.1</v>
      </c>
      <c r="K8279">
        <v>62</v>
      </c>
      <c r="L8279">
        <v>18.59</v>
      </c>
      <c r="M8279">
        <v>37.9</v>
      </c>
      <c r="N8279">
        <v>18.600000000000001</v>
      </c>
      <c r="O8279">
        <v>19.3</v>
      </c>
      <c r="P8279">
        <v>25.7</v>
      </c>
      <c r="Q8279">
        <v>27.5</v>
      </c>
      <c r="R8279">
        <v>30.5</v>
      </c>
      <c r="S8279">
        <v>25.7</v>
      </c>
      <c r="T8279">
        <v>976</v>
      </c>
      <c r="U8279">
        <v>264</v>
      </c>
      <c r="V8279">
        <v>1</v>
      </c>
      <c r="W8279">
        <v>103</v>
      </c>
      <c r="X8279">
        <v>619</v>
      </c>
      <c r="Y8279">
        <v>6</v>
      </c>
      <c r="Z8279">
        <v>168</v>
      </c>
      <c r="AA8279">
        <v>619</v>
      </c>
      <c r="AB8279">
        <v>7.9604419999999996</v>
      </c>
      <c r="AC8279">
        <v>0.1830416</v>
      </c>
      <c r="AD8279">
        <v>2.2787069999999998</v>
      </c>
      <c r="AE8279">
        <v>0.70957040000000005</v>
      </c>
      <c r="AF8279">
        <v>237.5873</v>
      </c>
      <c r="AG8279">
        <f>IFERROR(AH8279*0.1, "N/A")</f>
        <v>6.7</v>
      </c>
      <c r="AH8279">
        <v>67</v>
      </c>
      <c r="AI8279">
        <v>191.78659999999999</v>
      </c>
      <c r="AJ8279">
        <v>17</v>
      </c>
      <c r="AK8279">
        <v>63.148969999999998</v>
      </c>
    </row>
    <row r="8280" spans="1:37" x14ac:dyDescent="0.3">
      <c r="A8280">
        <v>8279</v>
      </c>
      <c r="B8280">
        <v>0</v>
      </c>
      <c r="C8280">
        <v>-1.09032</v>
      </c>
      <c r="D8280">
        <v>10.8847</v>
      </c>
      <c r="E8280">
        <f>-1.09032-10.8847</f>
        <v>-11.975020000000001</v>
      </c>
      <c r="F8280" t="s">
        <v>12347</v>
      </c>
      <c r="G8280" t="s">
        <v>39</v>
      </c>
      <c r="H8280">
        <v>2003</v>
      </c>
      <c r="I8280">
        <v>28.2</v>
      </c>
      <c r="J8280">
        <v>12.1</v>
      </c>
      <c r="K8280">
        <v>62</v>
      </c>
      <c r="L8280">
        <v>18.809999999999999</v>
      </c>
      <c r="M8280">
        <v>38.299999999999997</v>
      </c>
      <c r="N8280">
        <v>18.899999999999999</v>
      </c>
      <c r="O8280">
        <v>19.399999999999999</v>
      </c>
      <c r="P8280">
        <v>26</v>
      </c>
      <c r="Q8280">
        <v>27.9</v>
      </c>
      <c r="R8280">
        <v>30.9</v>
      </c>
      <c r="S8280">
        <v>26</v>
      </c>
      <c r="T8280">
        <v>944</v>
      </c>
      <c r="U8280">
        <v>259</v>
      </c>
      <c r="V8280">
        <v>1</v>
      </c>
      <c r="W8280">
        <v>106</v>
      </c>
      <c r="X8280">
        <v>613</v>
      </c>
      <c r="Y8280">
        <v>6</v>
      </c>
      <c r="Z8280">
        <v>151</v>
      </c>
      <c r="AA8280">
        <v>613</v>
      </c>
      <c r="AB8280">
        <v>7.9162920000000003</v>
      </c>
      <c r="AC8280">
        <v>1.8940309999999998E-2</v>
      </c>
      <c r="AD8280">
        <v>1.855539</v>
      </c>
      <c r="AE8280">
        <v>0.79924680000000003</v>
      </c>
      <c r="AF8280">
        <v>193.69470000000001</v>
      </c>
      <c r="AG8280">
        <f>IFERROR(AH8280*0.1, "N/A")</f>
        <v>6.1945110000000003</v>
      </c>
      <c r="AH8280">
        <v>61.94511</v>
      </c>
      <c r="AI8280">
        <v>220.62530000000001</v>
      </c>
      <c r="AJ8280">
        <v>16.303599999999999</v>
      </c>
      <c r="AK8280">
        <v>62.723840000000003</v>
      </c>
    </row>
    <row r="8281" spans="1:37" x14ac:dyDescent="0.3">
      <c r="A8281">
        <v>8280</v>
      </c>
      <c r="B8281">
        <v>0</v>
      </c>
      <c r="C8281">
        <v>-0.961758</v>
      </c>
      <c r="D8281">
        <v>10.8988</v>
      </c>
      <c r="E8281">
        <f>-0.961758-10.8988</f>
        <v>-11.860557999999999</v>
      </c>
      <c r="F8281" t="s">
        <v>12348</v>
      </c>
      <c r="G8281" t="s">
        <v>39</v>
      </c>
      <c r="H8281">
        <v>2003</v>
      </c>
      <c r="I8281">
        <v>28.2</v>
      </c>
      <c r="J8281">
        <v>12.1</v>
      </c>
      <c r="K8281">
        <v>62</v>
      </c>
      <c r="L8281">
        <v>18.260000000000002</v>
      </c>
      <c r="M8281">
        <v>38.4</v>
      </c>
      <c r="N8281">
        <v>19</v>
      </c>
      <c r="O8281">
        <v>19.399999999999999</v>
      </c>
      <c r="P8281">
        <v>26.1</v>
      </c>
      <c r="Q8281">
        <v>27.8</v>
      </c>
      <c r="R8281">
        <v>30.8</v>
      </c>
      <c r="S8281">
        <v>26.1</v>
      </c>
      <c r="T8281">
        <v>888</v>
      </c>
      <c r="U8281">
        <v>249</v>
      </c>
      <c r="V8281">
        <v>1</v>
      </c>
      <c r="W8281">
        <v>109</v>
      </c>
      <c r="X8281">
        <v>593</v>
      </c>
      <c r="Y8281">
        <v>5</v>
      </c>
      <c r="Z8281">
        <v>120</v>
      </c>
      <c r="AA8281">
        <v>593</v>
      </c>
      <c r="AB8281">
        <v>7.0449640000000002</v>
      </c>
      <c r="AC8281">
        <v>3.362971E-2</v>
      </c>
      <c r="AD8281">
        <v>3.5895090000000001</v>
      </c>
      <c r="AE8281">
        <v>0.71499550000000001</v>
      </c>
      <c r="AF8281">
        <v>192.68719999999999</v>
      </c>
      <c r="AG8281">
        <f>IFERROR(AH8281*0.1, "N/A")</f>
        <v>6.5153850000000011</v>
      </c>
      <c r="AH8281">
        <v>65.153850000000006</v>
      </c>
      <c r="AI8281">
        <v>176.57579999999999</v>
      </c>
      <c r="AJ8281">
        <v>15.335039999999999</v>
      </c>
      <c r="AK8281">
        <v>68.063249999999996</v>
      </c>
    </row>
    <row r="8282" spans="1:37" x14ac:dyDescent="0.3">
      <c r="A8282">
        <v>8281</v>
      </c>
      <c r="B8282">
        <v>0</v>
      </c>
      <c r="C8282">
        <v>-0.99518899999999999</v>
      </c>
      <c r="D8282">
        <v>10.9071</v>
      </c>
      <c r="E8282">
        <f>-0.995189-10.9071</f>
        <v>-11.902289</v>
      </c>
      <c r="F8282" t="s">
        <v>12349</v>
      </c>
      <c r="G8282" t="s">
        <v>39</v>
      </c>
      <c r="H8282">
        <v>2003</v>
      </c>
      <c r="I8282">
        <v>28.2</v>
      </c>
      <c r="J8282">
        <v>12.1</v>
      </c>
      <c r="K8282">
        <v>62</v>
      </c>
      <c r="L8282">
        <v>18.11</v>
      </c>
      <c r="M8282">
        <v>38.4</v>
      </c>
      <c r="N8282">
        <v>19</v>
      </c>
      <c r="O8282">
        <v>19.399999999999999</v>
      </c>
      <c r="P8282">
        <v>26.2</v>
      </c>
      <c r="Q8282">
        <v>27.9</v>
      </c>
      <c r="R8282">
        <v>30.9</v>
      </c>
      <c r="S8282">
        <v>26.2</v>
      </c>
      <c r="T8282">
        <v>887</v>
      </c>
      <c r="U8282">
        <v>251</v>
      </c>
      <c r="V8282">
        <v>1</v>
      </c>
      <c r="W8282">
        <v>110</v>
      </c>
      <c r="X8282">
        <v>594</v>
      </c>
      <c r="Y8282">
        <v>5</v>
      </c>
      <c r="Z8282">
        <v>120</v>
      </c>
      <c r="AA8282">
        <v>594</v>
      </c>
      <c r="AB8282">
        <v>23.013660000000002</v>
      </c>
      <c r="AC8282">
        <v>1.402754E-2</v>
      </c>
      <c r="AD8282">
        <v>2.6865540000000001</v>
      </c>
      <c r="AE8282">
        <v>0.71134730000000002</v>
      </c>
      <c r="AF8282">
        <v>189.5222</v>
      </c>
      <c r="AG8282">
        <f>IFERROR(AH8282*0.1, "N/A")</f>
        <v>6.3686010000000008</v>
      </c>
      <c r="AH8282">
        <v>63.686010000000003</v>
      </c>
      <c r="AI8282">
        <v>299.17200000000003</v>
      </c>
      <c r="AJ8282">
        <v>18.31399</v>
      </c>
      <c r="AK8282">
        <v>63.686010000000003</v>
      </c>
    </row>
    <row r="8283" spans="1:37" x14ac:dyDescent="0.3">
      <c r="A8283">
        <v>8282</v>
      </c>
      <c r="B8283">
        <v>0</v>
      </c>
      <c r="C8283">
        <v>-0.77259100000000003</v>
      </c>
      <c r="D8283">
        <v>10.9122</v>
      </c>
      <c r="E8283">
        <f>-0.772591-10.9122</f>
        <v>-11.684791000000001</v>
      </c>
      <c r="F8283" t="s">
        <v>12350</v>
      </c>
      <c r="G8283" t="s">
        <v>39</v>
      </c>
      <c r="H8283">
        <v>2003</v>
      </c>
      <c r="I8283">
        <v>28</v>
      </c>
      <c r="J8283">
        <v>12.2</v>
      </c>
      <c r="K8283">
        <v>63</v>
      </c>
      <c r="L8283">
        <v>18.29</v>
      </c>
      <c r="M8283">
        <v>38.1</v>
      </c>
      <c r="N8283">
        <v>18.899999999999999</v>
      </c>
      <c r="O8283">
        <v>19.2</v>
      </c>
      <c r="P8283">
        <v>25.8</v>
      </c>
      <c r="Q8283">
        <v>27.8</v>
      </c>
      <c r="R8283">
        <v>30.6</v>
      </c>
      <c r="S8283">
        <v>25.8</v>
      </c>
      <c r="T8283">
        <v>926</v>
      </c>
      <c r="U8283">
        <v>244</v>
      </c>
      <c r="V8283">
        <v>1</v>
      </c>
      <c r="W8283">
        <v>104</v>
      </c>
      <c r="X8283">
        <v>597</v>
      </c>
      <c r="Y8283">
        <v>7</v>
      </c>
      <c r="Z8283">
        <v>141</v>
      </c>
      <c r="AA8283">
        <v>597</v>
      </c>
      <c r="AB8283">
        <v>6.8835300000000004</v>
      </c>
      <c r="AC8283">
        <v>7.5509229999999997E-2</v>
      </c>
      <c r="AD8283">
        <v>1.2050940000000001</v>
      </c>
      <c r="AE8283">
        <v>0.72731440000000003</v>
      </c>
      <c r="AF8283">
        <v>231.17320000000001</v>
      </c>
      <c r="AG8283">
        <f>IFERROR(AH8283*0.1, "N/A")</f>
        <v>5.9504289999999997</v>
      </c>
      <c r="AH8283">
        <v>59.504289999999997</v>
      </c>
      <c r="AI8283">
        <v>206.3973</v>
      </c>
      <c r="AJ8283">
        <v>16.662089999999999</v>
      </c>
      <c r="AK8283">
        <v>60.416809999999998</v>
      </c>
    </row>
    <row r="8284" spans="1:37" x14ac:dyDescent="0.3">
      <c r="A8284">
        <v>8283</v>
      </c>
      <c r="B8284">
        <v>0</v>
      </c>
      <c r="C8284">
        <v>-0.936635</v>
      </c>
      <c r="D8284">
        <v>10.9482</v>
      </c>
      <c r="E8284">
        <f>-0.936635-10.9482</f>
        <v>-11.884835000000001</v>
      </c>
      <c r="F8284" t="s">
        <v>12351</v>
      </c>
      <c r="G8284" t="s">
        <v>39</v>
      </c>
      <c r="H8284">
        <v>2003</v>
      </c>
      <c r="I8284">
        <v>28.2</v>
      </c>
      <c r="J8284">
        <v>12.2</v>
      </c>
      <c r="K8284">
        <v>62</v>
      </c>
      <c r="L8284">
        <v>18.489999999999998</v>
      </c>
      <c r="M8284">
        <v>38.4</v>
      </c>
      <c r="N8284">
        <v>19</v>
      </c>
      <c r="O8284">
        <v>19.399999999999999</v>
      </c>
      <c r="P8284">
        <v>26.1</v>
      </c>
      <c r="Q8284">
        <v>27.6</v>
      </c>
      <c r="R8284">
        <v>30.9</v>
      </c>
      <c r="S8284">
        <v>26.1</v>
      </c>
      <c r="T8284">
        <v>862</v>
      </c>
      <c r="U8284">
        <v>246</v>
      </c>
      <c r="V8284">
        <v>1</v>
      </c>
      <c r="W8284">
        <v>112</v>
      </c>
      <c r="X8284">
        <v>583</v>
      </c>
      <c r="Y8284">
        <v>5</v>
      </c>
      <c r="Z8284">
        <v>109</v>
      </c>
      <c r="AA8284">
        <v>583</v>
      </c>
      <c r="AB8284">
        <v>1.1699139999999999</v>
      </c>
      <c r="AC8284">
        <v>2.5008279999999998</v>
      </c>
      <c r="AD8284">
        <v>1.28864</v>
      </c>
      <c r="AE8284">
        <v>0.72605459999999999</v>
      </c>
      <c r="AF8284">
        <v>190.8974</v>
      </c>
      <c r="AG8284">
        <f>IFERROR(AH8284*0.1, "N/A")</f>
        <v>6.3000000000000007</v>
      </c>
      <c r="AH8284">
        <v>63</v>
      </c>
      <c r="AI8284">
        <v>223.1781</v>
      </c>
      <c r="AJ8284">
        <v>19</v>
      </c>
      <c r="AK8284">
        <v>63</v>
      </c>
    </row>
    <row r="8285" spans="1:37" x14ac:dyDescent="0.3">
      <c r="A8285">
        <v>8284</v>
      </c>
      <c r="B8285">
        <v>0</v>
      </c>
      <c r="C8285">
        <v>-1.3300399999999999</v>
      </c>
      <c r="D8285">
        <v>10.975</v>
      </c>
      <c r="E8285">
        <f>-1.33004-10.975</f>
        <v>-12.30504</v>
      </c>
      <c r="F8285" t="s">
        <v>12352</v>
      </c>
      <c r="G8285" t="s">
        <v>39</v>
      </c>
      <c r="H8285">
        <v>2003</v>
      </c>
      <c r="I8285">
        <v>27.7</v>
      </c>
      <c r="J8285">
        <v>12.2</v>
      </c>
      <c r="K8285">
        <v>62</v>
      </c>
      <c r="L8285">
        <v>18.48</v>
      </c>
      <c r="M8285">
        <v>37.725729999999999</v>
      </c>
      <c r="N8285">
        <v>18.274270000000001</v>
      </c>
      <c r="O8285">
        <v>19.451460000000001</v>
      </c>
      <c r="P8285">
        <v>25.625730000000001</v>
      </c>
      <c r="Q8285">
        <v>27.3</v>
      </c>
      <c r="R8285">
        <v>30.4</v>
      </c>
      <c r="S8285">
        <v>25.625730000000001</v>
      </c>
      <c r="T8285">
        <v>954.25729999999999</v>
      </c>
      <c r="U8285">
        <v>263</v>
      </c>
      <c r="V8285">
        <v>1</v>
      </c>
      <c r="W8285">
        <v>105</v>
      </c>
      <c r="X8285">
        <v>613</v>
      </c>
      <c r="Y8285">
        <v>5</v>
      </c>
      <c r="Z8285">
        <v>156.25729999999999</v>
      </c>
      <c r="AA8285">
        <v>613</v>
      </c>
      <c r="AB8285">
        <v>13.214589999999999</v>
      </c>
      <c r="AC8285">
        <v>6.3628729999999994E-2</v>
      </c>
      <c r="AD8285">
        <v>1.9443950000000001</v>
      </c>
      <c r="AE8285">
        <v>0.61191479999999998</v>
      </c>
      <c r="AF8285">
        <v>273.29500000000002</v>
      </c>
      <c r="AG8285">
        <f>IFERROR(AH8285*0.1, "N/A")</f>
        <v>6.7907380000000011</v>
      </c>
      <c r="AH8285">
        <v>67.907380000000003</v>
      </c>
      <c r="AI8285">
        <v>206.1122</v>
      </c>
      <c r="AJ8285">
        <v>15.72213</v>
      </c>
      <c r="AK8285">
        <v>66.277869999999993</v>
      </c>
    </row>
    <row r="8286" spans="1:37" x14ac:dyDescent="0.3">
      <c r="A8286">
        <v>8285</v>
      </c>
      <c r="B8286">
        <v>0</v>
      </c>
      <c r="C8286">
        <v>-1.1133200000000001</v>
      </c>
      <c r="D8286">
        <v>10.9924</v>
      </c>
      <c r="E8286">
        <f>-1.11332-10.9924</f>
        <v>-12.10572</v>
      </c>
      <c r="F8286" t="s">
        <v>12353</v>
      </c>
      <c r="G8286" t="s">
        <v>39</v>
      </c>
      <c r="H8286">
        <v>2003</v>
      </c>
      <c r="I8286">
        <v>28.1</v>
      </c>
      <c r="J8286">
        <v>12.104810000000001</v>
      </c>
      <c r="K8286">
        <v>62</v>
      </c>
      <c r="L8286">
        <v>18.55828</v>
      </c>
      <c r="M8286">
        <v>38.204810000000002</v>
      </c>
      <c r="N8286">
        <v>18.7</v>
      </c>
      <c r="O8286">
        <v>19.504809999999999</v>
      </c>
      <c r="P8286">
        <v>25.995190000000001</v>
      </c>
      <c r="Q8286">
        <v>27.7</v>
      </c>
      <c r="R8286">
        <v>30.80481</v>
      </c>
      <c r="S8286">
        <v>25.995190000000001</v>
      </c>
      <c r="T8286">
        <v>886.33680000000004</v>
      </c>
      <c r="U8286">
        <v>252.04810000000001</v>
      </c>
      <c r="V8286">
        <v>1</v>
      </c>
      <c r="W8286">
        <v>109.95189999999999</v>
      </c>
      <c r="X8286">
        <v>592.14430000000004</v>
      </c>
      <c r="Y8286">
        <v>6</v>
      </c>
      <c r="Z8286">
        <v>122.1443</v>
      </c>
      <c r="AA8286">
        <v>592.14430000000004</v>
      </c>
      <c r="AB8286">
        <v>1.290381</v>
      </c>
      <c r="AC8286">
        <v>0.74166330000000003</v>
      </c>
      <c r="AD8286">
        <v>1.7678199999999999</v>
      </c>
      <c r="AE8286">
        <v>0.73265579999999997</v>
      </c>
      <c r="AF8286">
        <v>207.4691</v>
      </c>
      <c r="AG8286">
        <f>IFERROR(AH8286*0.1, "N/A")</f>
        <v>6.5719930000000009</v>
      </c>
      <c r="AH8286">
        <v>65.719930000000005</v>
      </c>
      <c r="AI8286">
        <v>233.50450000000001</v>
      </c>
      <c r="AJ8286">
        <v>16</v>
      </c>
      <c r="AK8286">
        <v>64.280069999999995</v>
      </c>
    </row>
    <row r="8287" spans="1:37" x14ac:dyDescent="0.3">
      <c r="A8287">
        <v>8286</v>
      </c>
      <c r="B8287">
        <v>55.5</v>
      </c>
      <c r="C8287">
        <v>-14.89217</v>
      </c>
      <c r="D8287">
        <v>13.599449999999999</v>
      </c>
      <c r="E8287">
        <f>-14.892167-13.599447</f>
        <v>-28.491613999999998</v>
      </c>
      <c r="F8287" t="s">
        <v>12354</v>
      </c>
      <c r="G8287" t="s">
        <v>39</v>
      </c>
      <c r="H8287">
        <v>1979</v>
      </c>
      <c r="I8287">
        <v>27.721620000000001</v>
      </c>
      <c r="J8287">
        <v>14.8</v>
      </c>
      <c r="K8287">
        <v>60</v>
      </c>
      <c r="L8287">
        <v>19.794589999999999</v>
      </c>
      <c r="M8287">
        <v>39.521619999999999</v>
      </c>
      <c r="N8287">
        <v>15.021789999999999</v>
      </c>
      <c r="O8287">
        <v>24.499829999999999</v>
      </c>
      <c r="P8287">
        <v>27.221620000000001</v>
      </c>
      <c r="Q8287">
        <v>26.782430000000002</v>
      </c>
      <c r="R8287">
        <v>30.421620000000001</v>
      </c>
      <c r="S8287">
        <v>25.321619999999999</v>
      </c>
      <c r="T8287">
        <v>715.78210000000001</v>
      </c>
      <c r="U8287">
        <v>228.9983</v>
      </c>
      <c r="V8287">
        <v>0</v>
      </c>
      <c r="W8287">
        <v>133</v>
      </c>
      <c r="X8287">
        <v>566.39020000000005</v>
      </c>
      <c r="Y8287">
        <v>0</v>
      </c>
      <c r="Z8287">
        <v>88.391890000000004</v>
      </c>
      <c r="AA8287">
        <v>0</v>
      </c>
      <c r="AB8287">
        <v>3.9868250000000001</v>
      </c>
      <c r="AC8287">
        <v>1.342405E-2</v>
      </c>
      <c r="AD8287">
        <v>1.261892</v>
      </c>
      <c r="AE8287">
        <v>0.28024110000000002</v>
      </c>
      <c r="AF8287">
        <v>19.55068</v>
      </c>
      <c r="AG8287">
        <f>IFERROR(AH8287*0.1, "N/A")</f>
        <v>5.8395270000000004</v>
      </c>
      <c r="AH8287">
        <v>58.395269999999996</v>
      </c>
      <c r="AI8287">
        <v>119.46899999999999</v>
      </c>
      <c r="AJ8287">
        <v>23.81926</v>
      </c>
      <c r="AK8287">
        <v>53.39358</v>
      </c>
    </row>
    <row r="8288" spans="1:37" x14ac:dyDescent="0.3">
      <c r="A8288">
        <v>8287</v>
      </c>
      <c r="B8288">
        <v>4.4000000000000004</v>
      </c>
      <c r="C8288">
        <v>-16.7041</v>
      </c>
      <c r="D8288">
        <v>13.463699999999999</v>
      </c>
      <c r="E8288">
        <f>-16.7041-13.4637</f>
        <v>-30.1678</v>
      </c>
      <c r="F8288" t="s">
        <v>12355</v>
      </c>
      <c r="G8288" t="s">
        <v>39</v>
      </c>
      <c r="H8288">
        <v>1956</v>
      </c>
      <c r="I8288">
        <v>26.1</v>
      </c>
      <c r="J8288">
        <v>11.8</v>
      </c>
      <c r="K8288">
        <v>66</v>
      </c>
      <c r="L8288">
        <v>12</v>
      </c>
      <c r="M8288">
        <v>33.799999999999997</v>
      </c>
      <c r="N8288">
        <v>16</v>
      </c>
      <c r="O8288">
        <v>17.8</v>
      </c>
      <c r="P8288">
        <v>26.9</v>
      </c>
      <c r="Q8288">
        <v>25.5</v>
      </c>
      <c r="R8288">
        <v>27.1</v>
      </c>
      <c r="S8288">
        <v>24.3</v>
      </c>
      <c r="T8288">
        <v>906</v>
      </c>
      <c r="U8288">
        <v>337</v>
      </c>
      <c r="V8288">
        <v>0</v>
      </c>
      <c r="W8288">
        <v>147</v>
      </c>
      <c r="X8288">
        <v>776</v>
      </c>
      <c r="Y8288">
        <v>0</v>
      </c>
      <c r="Z8288">
        <v>599</v>
      </c>
      <c r="AA8288">
        <v>2</v>
      </c>
      <c r="AB8288">
        <v>4.8927610000000001</v>
      </c>
      <c r="AC8288">
        <v>11.31162</v>
      </c>
      <c r="AD8288">
        <v>1.367075</v>
      </c>
      <c r="AE8288">
        <v>0.68282770000000004</v>
      </c>
      <c r="AF8288">
        <v>8.3771039999999992</v>
      </c>
      <c r="AG8288">
        <f>IFERROR(AH8288*0.1, "N/A")</f>
        <v>6.2539020000000001</v>
      </c>
      <c r="AH8288">
        <v>62.539020000000001</v>
      </c>
      <c r="AI8288">
        <v>236.70500000000001</v>
      </c>
      <c r="AJ8288">
        <v>28.460979999999999</v>
      </c>
      <c r="AK8288">
        <v>52.617069999999998</v>
      </c>
    </row>
    <row r="8289" spans="1:37" x14ac:dyDescent="0.3">
      <c r="A8289">
        <v>8288</v>
      </c>
      <c r="B8289">
        <v>1.9</v>
      </c>
      <c r="C8289">
        <v>-16.239719999999998</v>
      </c>
      <c r="D8289">
        <v>13.28891</v>
      </c>
      <c r="E8289">
        <f>-16.239725-13.288914</f>
        <v>-29.528638999999998</v>
      </c>
      <c r="F8289" t="s">
        <v>12356</v>
      </c>
      <c r="G8289" t="s">
        <v>39</v>
      </c>
      <c r="H8289">
        <v>1956</v>
      </c>
      <c r="I8289">
        <v>26.9</v>
      </c>
      <c r="J8289">
        <v>13.1</v>
      </c>
      <c r="K8289">
        <v>65</v>
      </c>
      <c r="L8289">
        <v>13.11</v>
      </c>
      <c r="M8289">
        <v>36</v>
      </c>
      <c r="N8289">
        <v>15.9</v>
      </c>
      <c r="O8289">
        <v>20.100000000000001</v>
      </c>
      <c r="P8289">
        <v>27.4</v>
      </c>
      <c r="Q8289">
        <v>25.7</v>
      </c>
      <c r="R8289">
        <v>28.1</v>
      </c>
      <c r="S8289">
        <v>24.8</v>
      </c>
      <c r="T8289">
        <v>831</v>
      </c>
      <c r="U8289">
        <v>291</v>
      </c>
      <c r="V8289">
        <v>0</v>
      </c>
      <c r="W8289">
        <v>143</v>
      </c>
      <c r="X8289">
        <v>707</v>
      </c>
      <c r="Y8289">
        <v>0</v>
      </c>
      <c r="Z8289">
        <v>64</v>
      </c>
      <c r="AA8289">
        <v>1</v>
      </c>
      <c r="AB8289">
        <v>7.7676819999999998</v>
      </c>
      <c r="AC8289">
        <v>2.5364560000000001E-2</v>
      </c>
      <c r="AD8289">
        <v>2.6322960000000002</v>
      </c>
      <c r="AE8289">
        <v>0.36388779999999998</v>
      </c>
      <c r="AF8289">
        <v>15.2758</v>
      </c>
      <c r="AG8289">
        <f>IFERROR(AH8289*0.1, "N/A")</f>
        <v>5.8350250000000008</v>
      </c>
      <c r="AH8289">
        <v>58.350250000000003</v>
      </c>
      <c r="AI8289">
        <v>236.2715</v>
      </c>
      <c r="AJ8289">
        <v>24.313030000000001</v>
      </c>
      <c r="AK8289">
        <v>55.541460000000001</v>
      </c>
    </row>
    <row r="8290" spans="1:37" x14ac:dyDescent="0.3">
      <c r="A8290">
        <v>8289</v>
      </c>
      <c r="B8290">
        <v>1.9</v>
      </c>
      <c r="C8290">
        <v>-16.283719999999999</v>
      </c>
      <c r="D8290">
        <v>13.319839999999999</v>
      </c>
      <c r="E8290">
        <f>-16.283719-13.319839</f>
        <v>-29.603558</v>
      </c>
      <c r="F8290" t="s">
        <v>12357</v>
      </c>
      <c r="G8290" t="s">
        <v>39</v>
      </c>
      <c r="H8290">
        <v>1956</v>
      </c>
      <c r="I8290" t="s">
        <v>729</v>
      </c>
      <c r="J8290" t="s">
        <v>729</v>
      </c>
      <c r="K8290" t="s">
        <v>729</v>
      </c>
      <c r="L8290" t="s">
        <v>729</v>
      </c>
      <c r="M8290" t="s">
        <v>729</v>
      </c>
      <c r="N8290" t="s">
        <v>729</v>
      </c>
      <c r="O8290" t="s">
        <v>729</v>
      </c>
      <c r="P8290" t="s">
        <v>729</v>
      </c>
      <c r="Q8290" t="s">
        <v>729</v>
      </c>
      <c r="R8290" t="s">
        <v>729</v>
      </c>
      <c r="S8290" t="s">
        <v>729</v>
      </c>
      <c r="T8290" t="s">
        <v>729</v>
      </c>
      <c r="U8290" t="s">
        <v>729</v>
      </c>
      <c r="V8290" t="s">
        <v>729</v>
      </c>
      <c r="W8290" t="s">
        <v>729</v>
      </c>
      <c r="X8290" t="s">
        <v>729</v>
      </c>
      <c r="Y8290" t="s">
        <v>729</v>
      </c>
      <c r="Z8290" t="s">
        <v>729</v>
      </c>
      <c r="AA8290" t="s">
        <v>729</v>
      </c>
      <c r="AB8290" t="s">
        <v>729</v>
      </c>
      <c r="AC8290" t="s">
        <v>729</v>
      </c>
      <c r="AD8290" t="s">
        <v>729</v>
      </c>
      <c r="AE8290" t="s">
        <v>729</v>
      </c>
      <c r="AF8290" t="s">
        <v>729</v>
      </c>
      <c r="AG8290" t="str">
        <f>IFERROR(AH8290*0.1, "N/A")</f>
        <v>N/A</v>
      </c>
      <c r="AH8290" t="s">
        <v>729</v>
      </c>
      <c r="AI8290" t="s">
        <v>729</v>
      </c>
      <c r="AJ8290" t="s">
        <v>729</v>
      </c>
      <c r="AK8290" t="s">
        <v>729</v>
      </c>
    </row>
    <row r="8291" spans="1:37" x14ac:dyDescent="0.3">
      <c r="A8291">
        <v>8290</v>
      </c>
      <c r="B8291">
        <v>5.8</v>
      </c>
      <c r="C8291">
        <v>-16.016999999999999</v>
      </c>
      <c r="D8291">
        <v>13.52854</v>
      </c>
      <c r="E8291">
        <f>-16.016997-13.528544</f>
        <v>-29.545541</v>
      </c>
      <c r="F8291" t="s">
        <v>12358</v>
      </c>
      <c r="G8291" t="s">
        <v>39</v>
      </c>
      <c r="H8291">
        <v>1956</v>
      </c>
      <c r="I8291">
        <v>27.4</v>
      </c>
      <c r="J8291">
        <v>14.2</v>
      </c>
      <c r="K8291">
        <v>62</v>
      </c>
      <c r="L8291">
        <v>18.973020000000002</v>
      </c>
      <c r="M8291">
        <v>38.200000000000003</v>
      </c>
      <c r="N8291">
        <v>15.3</v>
      </c>
      <c r="O8291">
        <v>22.9</v>
      </c>
      <c r="P8291">
        <v>27.5</v>
      </c>
      <c r="Q8291">
        <v>27.8</v>
      </c>
      <c r="R8291">
        <v>29.7</v>
      </c>
      <c r="S8291">
        <v>24.7</v>
      </c>
      <c r="T8291">
        <v>824.56590000000006</v>
      </c>
      <c r="U8291">
        <v>291.04390000000001</v>
      </c>
      <c r="V8291">
        <v>0</v>
      </c>
      <c r="W8291">
        <v>140.52199999999999</v>
      </c>
      <c r="X8291">
        <v>682.56590000000006</v>
      </c>
      <c r="Y8291">
        <v>0</v>
      </c>
      <c r="Z8291">
        <v>74</v>
      </c>
      <c r="AA8291">
        <v>2</v>
      </c>
      <c r="AB8291">
        <v>9.7918920000000007</v>
      </c>
      <c r="AC8291">
        <v>8.3152490000000003E-3</v>
      </c>
      <c r="AD8291">
        <v>2.0671710000000001</v>
      </c>
      <c r="AE8291">
        <v>0.37993769999999999</v>
      </c>
      <c r="AF8291">
        <v>15.62331</v>
      </c>
      <c r="AG8291">
        <f>IFERROR(AH8291*0.1, "N/A")</f>
        <v>5.5478040000000002</v>
      </c>
      <c r="AH8291">
        <v>55.47804</v>
      </c>
      <c r="AI8291">
        <v>176.2457</v>
      </c>
      <c r="AJ8291">
        <v>16.43919</v>
      </c>
      <c r="AK8291">
        <v>71</v>
      </c>
    </row>
    <row r="8292" spans="1:37" x14ac:dyDescent="0.3">
      <c r="A8292">
        <v>8291</v>
      </c>
      <c r="B8292">
        <v>11.2</v>
      </c>
      <c r="C8292">
        <v>-14.766999999999999</v>
      </c>
      <c r="D8292">
        <v>13.532999999999999</v>
      </c>
      <c r="E8292">
        <f>-14.767-13.533</f>
        <v>-28.299999999999997</v>
      </c>
      <c r="F8292" t="s">
        <v>12359</v>
      </c>
      <c r="G8292" t="s">
        <v>39</v>
      </c>
      <c r="H8292">
        <v>1956</v>
      </c>
      <c r="I8292">
        <v>28</v>
      </c>
      <c r="J8292">
        <v>14.7</v>
      </c>
      <c r="K8292">
        <v>60</v>
      </c>
      <c r="L8292">
        <v>19.77929</v>
      </c>
      <c r="M8292">
        <v>39.700000000000003</v>
      </c>
      <c r="N8292">
        <v>15.3</v>
      </c>
      <c r="O8292">
        <v>24.4</v>
      </c>
      <c r="P8292">
        <v>27.3</v>
      </c>
      <c r="Q8292">
        <v>27.1</v>
      </c>
      <c r="R8292">
        <v>30.7</v>
      </c>
      <c r="S8292">
        <v>25.6</v>
      </c>
      <c r="T8292">
        <v>750.62630000000001</v>
      </c>
      <c r="U8292">
        <v>228</v>
      </c>
      <c r="V8292">
        <v>0</v>
      </c>
      <c r="W8292">
        <v>131.61949999999999</v>
      </c>
      <c r="X8292">
        <v>591.79459999999995</v>
      </c>
      <c r="Y8292">
        <v>0</v>
      </c>
      <c r="Z8292">
        <v>95.619529999999997</v>
      </c>
      <c r="AA8292">
        <v>2.087542</v>
      </c>
      <c r="AB8292">
        <v>2.223401</v>
      </c>
      <c r="AC8292">
        <v>1.9723850000000001E-2</v>
      </c>
      <c r="AD8292">
        <v>2.21692</v>
      </c>
      <c r="AE8292">
        <v>0.70064090000000001</v>
      </c>
      <c r="AF8292">
        <v>3.8164980000000002</v>
      </c>
      <c r="AG8292">
        <f>IFERROR(AH8292*0.1, "N/A")</f>
        <v>6.3996630000000003</v>
      </c>
      <c r="AH8292">
        <v>63.996630000000003</v>
      </c>
      <c r="AI8292">
        <v>196.08320000000001</v>
      </c>
      <c r="AJ8292">
        <v>28.117850000000001</v>
      </c>
      <c r="AK8292">
        <v>44.121209999999998</v>
      </c>
    </row>
    <row r="8293" spans="1:37" x14ac:dyDescent="0.3">
      <c r="A8293">
        <v>8292</v>
      </c>
      <c r="B8293">
        <v>33.9</v>
      </c>
      <c r="C8293">
        <v>-14.723610000000001</v>
      </c>
      <c r="D8293">
        <v>13.425739999999999</v>
      </c>
      <c r="E8293">
        <f>-14.723611-13.425736</f>
        <v>-28.149346999999999</v>
      </c>
      <c r="F8293" t="s">
        <v>12360</v>
      </c>
      <c r="G8293" t="s">
        <v>39</v>
      </c>
      <c r="H8293">
        <v>1956</v>
      </c>
      <c r="I8293">
        <v>27.584320000000002</v>
      </c>
      <c r="J8293">
        <v>14.6</v>
      </c>
      <c r="K8293">
        <v>59</v>
      </c>
      <c r="L8293">
        <v>20.47823</v>
      </c>
      <c r="M8293">
        <v>39.18432</v>
      </c>
      <c r="N8293">
        <v>14.5</v>
      </c>
      <c r="O8293">
        <v>24.68432</v>
      </c>
      <c r="P8293">
        <v>26.968630000000001</v>
      </c>
      <c r="Q8293">
        <v>26.6</v>
      </c>
      <c r="R8293">
        <v>30.3</v>
      </c>
      <c r="S8293">
        <v>25.084320000000002</v>
      </c>
      <c r="T8293">
        <v>785.78409999999997</v>
      </c>
      <c r="U8293">
        <v>236.1568</v>
      </c>
      <c r="V8293">
        <v>0</v>
      </c>
      <c r="W8293">
        <v>131</v>
      </c>
      <c r="X8293">
        <v>615.47050000000002</v>
      </c>
      <c r="Y8293">
        <v>0</v>
      </c>
      <c r="Z8293">
        <v>104.1568</v>
      </c>
      <c r="AA8293">
        <v>2</v>
      </c>
      <c r="AB8293">
        <v>4.6824620000000001</v>
      </c>
      <c r="AC8293">
        <v>0.1521912</v>
      </c>
      <c r="AD8293">
        <v>1.418131</v>
      </c>
      <c r="AE8293">
        <v>0.34206619999999999</v>
      </c>
      <c r="AF8293">
        <v>42.133220000000001</v>
      </c>
      <c r="AG8293">
        <f>IFERROR(AH8293*0.1, "N/A")</f>
        <v>5.4900510000000002</v>
      </c>
      <c r="AH8293">
        <v>54.900509999999997</v>
      </c>
      <c r="AI8293">
        <v>168.7808</v>
      </c>
      <c r="AJ8293">
        <v>23.801010000000002</v>
      </c>
      <c r="AK8293">
        <v>58.153460000000003</v>
      </c>
    </row>
    <row r="8294" spans="1:37" x14ac:dyDescent="0.3">
      <c r="A8294">
        <v>8293</v>
      </c>
      <c r="B8294">
        <v>34.700000000000003</v>
      </c>
      <c r="C8294">
        <v>-14.769600000000001</v>
      </c>
      <c r="D8294">
        <v>13.533620000000001</v>
      </c>
      <c r="E8294">
        <f>-14.769597-13.533622</f>
        <v>-28.303218999999999</v>
      </c>
      <c r="F8294" t="s">
        <v>12361</v>
      </c>
      <c r="G8294" t="s">
        <v>39</v>
      </c>
      <c r="H8294">
        <v>1956</v>
      </c>
      <c r="I8294">
        <v>28</v>
      </c>
      <c r="J8294">
        <v>14.7</v>
      </c>
      <c r="K8294">
        <v>60</v>
      </c>
      <c r="L8294">
        <v>19.68525</v>
      </c>
      <c r="M8294">
        <v>39.700000000000003</v>
      </c>
      <c r="N8294">
        <v>15.3</v>
      </c>
      <c r="O8294">
        <v>24.4</v>
      </c>
      <c r="P8294">
        <v>27.3</v>
      </c>
      <c r="Q8294">
        <v>27.1</v>
      </c>
      <c r="R8294">
        <v>30.7</v>
      </c>
      <c r="S8294">
        <v>25.6</v>
      </c>
      <c r="T8294">
        <v>749.20339999999999</v>
      </c>
      <c r="U8294">
        <v>228</v>
      </c>
      <c r="V8294">
        <v>0</v>
      </c>
      <c r="W8294">
        <v>131.10169999999999</v>
      </c>
      <c r="X8294">
        <v>591.10170000000005</v>
      </c>
      <c r="Y8294">
        <v>0</v>
      </c>
      <c r="Z8294">
        <v>95.101690000000005</v>
      </c>
      <c r="AA8294">
        <v>2</v>
      </c>
      <c r="AB8294">
        <v>2.8623729999999998</v>
      </c>
      <c r="AC8294">
        <v>9.6962309999999996E-3</v>
      </c>
      <c r="AD8294">
        <v>0.84166280000000004</v>
      </c>
      <c r="AE8294">
        <v>0.70064090000000001</v>
      </c>
      <c r="AF8294">
        <v>6.0135589999999999</v>
      </c>
      <c r="AG8294">
        <f>IFERROR(AH8294*0.1, "N/A")</f>
        <v>6.3189830000000002</v>
      </c>
      <c r="AH8294">
        <v>63.189830000000001</v>
      </c>
      <c r="AI8294">
        <v>131.35489999999999</v>
      </c>
      <c r="AJ8294">
        <v>28</v>
      </c>
      <c r="AK8294">
        <v>46.430509999999998</v>
      </c>
    </row>
    <row r="8295" spans="1:37" x14ac:dyDescent="0.3">
      <c r="A8295">
        <v>8294</v>
      </c>
      <c r="B8295">
        <v>35.9</v>
      </c>
      <c r="C8295">
        <v>-14.00854</v>
      </c>
      <c r="D8295">
        <v>13.425929999999999</v>
      </c>
      <c r="E8295">
        <f>-14.008544-13.425931</f>
        <v>-27.434474999999999</v>
      </c>
      <c r="F8295" t="s">
        <v>12362</v>
      </c>
      <c r="G8295" t="s">
        <v>39</v>
      </c>
      <c r="H8295">
        <v>1956</v>
      </c>
      <c r="I8295">
        <v>27.370950000000001</v>
      </c>
      <c r="J8295">
        <v>14.2</v>
      </c>
      <c r="K8295">
        <v>56.619929999999997</v>
      </c>
      <c r="L8295">
        <v>24.749659999999999</v>
      </c>
      <c r="M8295">
        <v>38.914020000000001</v>
      </c>
      <c r="N8295">
        <v>13.97095</v>
      </c>
      <c r="O8295">
        <v>24.943069999999999</v>
      </c>
      <c r="P8295">
        <v>26.870950000000001</v>
      </c>
      <c r="Q8295">
        <v>26.10895</v>
      </c>
      <c r="R8295">
        <v>30.57601</v>
      </c>
      <c r="S8295">
        <v>24.176010000000002</v>
      </c>
      <c r="T8295">
        <v>802.76009999999997</v>
      </c>
      <c r="U8295">
        <v>236.3801</v>
      </c>
      <c r="V8295">
        <v>0</v>
      </c>
      <c r="W8295">
        <v>128.23990000000001</v>
      </c>
      <c r="X8295">
        <v>616.76009999999997</v>
      </c>
      <c r="Y8295">
        <v>0</v>
      </c>
      <c r="Z8295">
        <v>121.3801</v>
      </c>
      <c r="AA8295">
        <v>3</v>
      </c>
      <c r="AB8295">
        <v>18.241379999999999</v>
      </c>
      <c r="AC8295">
        <v>8.2469819999999999E-2</v>
      </c>
      <c r="AD8295">
        <v>5.7937099999999999</v>
      </c>
      <c r="AE8295">
        <v>0.37595610000000002</v>
      </c>
      <c r="AF8295">
        <v>25.58108</v>
      </c>
      <c r="AG8295">
        <f>IFERROR(AH8295*0.1, "N/A")</f>
        <v>6.3582770000000002</v>
      </c>
      <c r="AH8295">
        <v>63.582769999999996</v>
      </c>
      <c r="AI8295">
        <v>69.460920000000002</v>
      </c>
      <c r="AJ8295">
        <v>22.51014</v>
      </c>
      <c r="AK8295">
        <v>51.66216</v>
      </c>
    </row>
    <row r="8296" spans="1:37" x14ac:dyDescent="0.3">
      <c r="A8296">
        <v>8295</v>
      </c>
      <c r="B8296">
        <v>57.9</v>
      </c>
      <c r="C8296">
        <v>-16.7546</v>
      </c>
      <c r="D8296">
        <v>13.0901</v>
      </c>
      <c r="E8296">
        <f>-16.754601-13.0901</f>
        <v>-29.844701000000001</v>
      </c>
      <c r="F8296" t="s">
        <v>12363</v>
      </c>
      <c r="G8296" t="s">
        <v>39</v>
      </c>
      <c r="H8296">
        <v>1956</v>
      </c>
      <c r="I8296">
        <v>25.7</v>
      </c>
      <c r="J8296">
        <v>11.9</v>
      </c>
      <c r="K8296">
        <v>65</v>
      </c>
      <c r="L8296">
        <v>11.65</v>
      </c>
      <c r="M8296">
        <v>33.799999999999997</v>
      </c>
      <c r="N8296">
        <v>15.5</v>
      </c>
      <c r="O8296">
        <v>18.3</v>
      </c>
      <c r="P8296">
        <v>26.5</v>
      </c>
      <c r="Q8296">
        <v>24.5</v>
      </c>
      <c r="R8296">
        <v>26.7</v>
      </c>
      <c r="S8296">
        <v>23.9</v>
      </c>
      <c r="T8296">
        <v>1043</v>
      </c>
      <c r="U8296">
        <v>391</v>
      </c>
      <c r="V8296">
        <v>0</v>
      </c>
      <c r="W8296">
        <v>148</v>
      </c>
      <c r="X8296">
        <v>895</v>
      </c>
      <c r="Y8296">
        <v>0</v>
      </c>
      <c r="Z8296">
        <v>697</v>
      </c>
      <c r="AA8296">
        <v>1</v>
      </c>
      <c r="AB8296">
        <v>4.6381360000000003</v>
      </c>
      <c r="AC8296">
        <v>9.5893430000000002E-2</v>
      </c>
      <c r="AD8296">
        <v>1.3562810000000001</v>
      </c>
      <c r="AE8296">
        <v>0.68200879999999997</v>
      </c>
      <c r="AF8296">
        <v>9.8288139999999995</v>
      </c>
      <c r="AG8296">
        <f>IFERROR(AH8296*0.1, "N/A")</f>
        <v>5.4596610000000005</v>
      </c>
      <c r="AH8296">
        <v>54.596609999999998</v>
      </c>
      <c r="AI8296">
        <v>246.64080000000001</v>
      </c>
      <c r="AJ8296">
        <v>23</v>
      </c>
      <c r="AK8296">
        <v>57.193219999999997</v>
      </c>
    </row>
    <row r="8297" spans="1:37" x14ac:dyDescent="0.3">
      <c r="A8297">
        <v>8296</v>
      </c>
      <c r="B8297">
        <v>4.5</v>
      </c>
      <c r="C8297">
        <v>-16.6572</v>
      </c>
      <c r="D8297">
        <v>13.173</v>
      </c>
      <c r="E8297">
        <f>-16.6572-13.173</f>
        <v>-29.830199999999998</v>
      </c>
      <c r="F8297" t="s">
        <v>12364</v>
      </c>
      <c r="G8297" t="s">
        <v>37</v>
      </c>
      <c r="H8297">
        <v>1957</v>
      </c>
      <c r="I8297">
        <v>25.8</v>
      </c>
      <c r="J8297">
        <v>12</v>
      </c>
      <c r="K8297">
        <v>64</v>
      </c>
      <c r="L8297">
        <v>12.16</v>
      </c>
      <c r="M8297">
        <v>34</v>
      </c>
      <c r="N8297">
        <v>15.4</v>
      </c>
      <c r="O8297">
        <v>18.600000000000001</v>
      </c>
      <c r="P8297">
        <v>26.7</v>
      </c>
      <c r="Q8297">
        <v>24.5</v>
      </c>
      <c r="R8297">
        <v>26.8</v>
      </c>
      <c r="S8297">
        <v>23.8</v>
      </c>
      <c r="T8297">
        <v>1013</v>
      </c>
      <c r="U8297">
        <v>379</v>
      </c>
      <c r="V8297">
        <v>0</v>
      </c>
      <c r="W8297">
        <v>147</v>
      </c>
      <c r="X8297">
        <v>867</v>
      </c>
      <c r="Y8297">
        <v>0</v>
      </c>
      <c r="Z8297">
        <v>675</v>
      </c>
      <c r="AA8297">
        <v>1</v>
      </c>
      <c r="AB8297">
        <v>6.7797299999999998</v>
      </c>
      <c r="AC8297">
        <v>1.054974E-2</v>
      </c>
      <c r="AD8297">
        <v>1.3699490000000001</v>
      </c>
      <c r="AE8297">
        <v>0.68317530000000004</v>
      </c>
      <c r="AF8297">
        <v>20.05405</v>
      </c>
      <c r="AG8297">
        <f>IFERROR(AH8297*0.1, "N/A")</f>
        <v>5.393243</v>
      </c>
      <c r="AH8297">
        <v>53.932429999999997</v>
      </c>
      <c r="AI8297">
        <v>252.982</v>
      </c>
      <c r="AJ8297">
        <v>21.02703</v>
      </c>
      <c r="AK8297">
        <v>56.013509999999997</v>
      </c>
    </row>
    <row r="8298" spans="1:37" x14ac:dyDescent="0.3">
      <c r="A8298">
        <v>8297</v>
      </c>
      <c r="B8298">
        <v>52.4</v>
      </c>
      <c r="C8298">
        <v>-16.571400000000001</v>
      </c>
      <c r="D8298">
        <v>13.181699999999999</v>
      </c>
      <c r="E8298">
        <f>-16.5714-13.1817</f>
        <v>-29.7531</v>
      </c>
      <c r="F8298" t="s">
        <v>12365</v>
      </c>
      <c r="G8298" t="s">
        <v>37</v>
      </c>
      <c r="H8298">
        <v>1957</v>
      </c>
      <c r="I8298">
        <v>25.9</v>
      </c>
      <c r="J8298">
        <v>12.2</v>
      </c>
      <c r="K8298">
        <v>64</v>
      </c>
      <c r="L8298">
        <v>11.79</v>
      </c>
      <c r="M8298">
        <v>34.200000000000003</v>
      </c>
      <c r="N8298">
        <v>15.4</v>
      </c>
      <c r="O8298">
        <v>18.8</v>
      </c>
      <c r="P8298">
        <v>26.7</v>
      </c>
      <c r="Q8298">
        <v>24.6</v>
      </c>
      <c r="R8298">
        <v>26.8</v>
      </c>
      <c r="S8298">
        <v>24</v>
      </c>
      <c r="T8298">
        <v>976</v>
      </c>
      <c r="U8298">
        <v>361</v>
      </c>
      <c r="V8298">
        <v>0</v>
      </c>
      <c r="W8298">
        <v>146</v>
      </c>
      <c r="X8298">
        <v>833</v>
      </c>
      <c r="Y8298">
        <v>0</v>
      </c>
      <c r="Z8298">
        <v>647</v>
      </c>
      <c r="AA8298">
        <v>1</v>
      </c>
      <c r="AB8298">
        <v>4.1507630000000004</v>
      </c>
      <c r="AC8298">
        <v>1.000932E-2</v>
      </c>
      <c r="AD8298">
        <v>2.7219730000000002</v>
      </c>
      <c r="AE8298">
        <v>0.67880430000000003</v>
      </c>
      <c r="AF8298">
        <v>23.36842</v>
      </c>
      <c r="AG8298">
        <f>IFERROR(AH8298*0.1, "N/A")</f>
        <v>4.4643459999999999</v>
      </c>
      <c r="AH8298">
        <v>44.643459999999997</v>
      </c>
      <c r="AI8298">
        <v>192.4838</v>
      </c>
      <c r="AJ8298">
        <v>19</v>
      </c>
      <c r="AK8298">
        <v>64.643460000000005</v>
      </c>
    </row>
    <row r="8299" spans="1:37" x14ac:dyDescent="0.3">
      <c r="A8299">
        <v>8298</v>
      </c>
      <c r="B8299">
        <v>0</v>
      </c>
      <c r="C8299">
        <v>-16.571400000000001</v>
      </c>
      <c r="D8299">
        <v>13.181699999999999</v>
      </c>
      <c r="E8299">
        <f>-16.5714-13.1817</f>
        <v>-29.7531</v>
      </c>
      <c r="F8299" t="s">
        <v>12366</v>
      </c>
      <c r="G8299" t="s">
        <v>39</v>
      </c>
      <c r="H8299">
        <v>1957</v>
      </c>
      <c r="I8299">
        <v>25.9</v>
      </c>
      <c r="J8299">
        <v>12.2</v>
      </c>
      <c r="K8299">
        <v>64</v>
      </c>
      <c r="L8299">
        <v>11.79</v>
      </c>
      <c r="M8299">
        <v>34.200000000000003</v>
      </c>
      <c r="N8299">
        <v>15.4</v>
      </c>
      <c r="O8299">
        <v>18.8</v>
      </c>
      <c r="P8299">
        <v>26.7</v>
      </c>
      <c r="Q8299">
        <v>24.6</v>
      </c>
      <c r="R8299">
        <v>26.8</v>
      </c>
      <c r="S8299">
        <v>24</v>
      </c>
      <c r="T8299">
        <v>976</v>
      </c>
      <c r="U8299">
        <v>361</v>
      </c>
      <c r="V8299">
        <v>0</v>
      </c>
      <c r="W8299">
        <v>146</v>
      </c>
      <c r="X8299">
        <v>833</v>
      </c>
      <c r="Y8299">
        <v>0</v>
      </c>
      <c r="Z8299">
        <v>647</v>
      </c>
      <c r="AA8299">
        <v>1</v>
      </c>
      <c r="AB8299">
        <v>4.1507630000000004</v>
      </c>
      <c r="AC8299">
        <v>1.000932E-2</v>
      </c>
      <c r="AD8299">
        <v>2.7219730000000002</v>
      </c>
      <c r="AE8299">
        <v>0.67880430000000003</v>
      </c>
      <c r="AF8299">
        <v>23.36842</v>
      </c>
      <c r="AG8299">
        <f>IFERROR(AH8299*0.1, "N/A")</f>
        <v>4.4643459999999999</v>
      </c>
      <c r="AH8299">
        <v>44.643459999999997</v>
      </c>
      <c r="AI8299">
        <v>192.4838</v>
      </c>
      <c r="AJ8299">
        <v>19</v>
      </c>
      <c r="AK8299">
        <v>64.643460000000005</v>
      </c>
    </row>
    <row r="8300" spans="1:37" x14ac:dyDescent="0.3">
      <c r="A8300">
        <v>8299</v>
      </c>
      <c r="B8300">
        <v>26.7</v>
      </c>
      <c r="C8300">
        <v>-16.630600000000001</v>
      </c>
      <c r="D8300">
        <v>13.1904</v>
      </c>
      <c r="E8300">
        <f>-16.6306-13.1904</f>
        <v>-29.821000000000002</v>
      </c>
      <c r="F8300" t="s">
        <v>12367</v>
      </c>
      <c r="G8300" t="s">
        <v>37</v>
      </c>
      <c r="H8300">
        <v>1957</v>
      </c>
      <c r="I8300">
        <v>25.8</v>
      </c>
      <c r="J8300">
        <v>12.1</v>
      </c>
      <c r="K8300">
        <v>65</v>
      </c>
      <c r="L8300">
        <v>12.01</v>
      </c>
      <c r="M8300">
        <v>34</v>
      </c>
      <c r="N8300">
        <v>15.4</v>
      </c>
      <c r="O8300">
        <v>18.600000000000001</v>
      </c>
      <c r="P8300">
        <v>26.7</v>
      </c>
      <c r="Q8300">
        <v>24.5</v>
      </c>
      <c r="R8300">
        <v>26.8</v>
      </c>
      <c r="S8300">
        <v>23.9</v>
      </c>
      <c r="T8300">
        <v>1001</v>
      </c>
      <c r="U8300">
        <v>374</v>
      </c>
      <c r="V8300">
        <v>0</v>
      </c>
      <c r="W8300">
        <v>147</v>
      </c>
      <c r="X8300">
        <v>856</v>
      </c>
      <c r="Y8300">
        <v>0</v>
      </c>
      <c r="Z8300">
        <v>666</v>
      </c>
      <c r="AA8300">
        <v>1</v>
      </c>
      <c r="AB8300">
        <v>10.839729999999999</v>
      </c>
      <c r="AC8300">
        <v>9.1117109999999998E-3</v>
      </c>
      <c r="AD8300">
        <v>1.0616540000000001</v>
      </c>
      <c r="AE8300">
        <v>0.67307810000000001</v>
      </c>
      <c r="AF8300">
        <v>20.97138</v>
      </c>
      <c r="AG8300">
        <f>IFERROR(AH8300*0.1, "N/A")</f>
        <v>5.501347</v>
      </c>
      <c r="AH8300">
        <v>55.013469999999998</v>
      </c>
      <c r="AI8300">
        <v>175.71860000000001</v>
      </c>
      <c r="AJ8300">
        <v>22.181819999999998</v>
      </c>
      <c r="AK8300">
        <v>57.973059999999997</v>
      </c>
    </row>
    <row r="8301" spans="1:37" x14ac:dyDescent="0.3">
      <c r="A8301">
        <v>8300</v>
      </c>
      <c r="B8301">
        <v>1.5</v>
      </c>
      <c r="C8301">
        <v>-16.649699999999999</v>
      </c>
      <c r="D8301">
        <v>13.2111</v>
      </c>
      <c r="E8301">
        <f>-16.6497-13.2111</f>
        <v>-29.860799999999998</v>
      </c>
      <c r="F8301" t="s">
        <v>12368</v>
      </c>
      <c r="G8301" t="s">
        <v>37</v>
      </c>
      <c r="H8301">
        <v>1995</v>
      </c>
      <c r="I8301">
        <v>25.792549999999999</v>
      </c>
      <c r="J8301">
        <v>12</v>
      </c>
      <c r="K8301">
        <v>64.074449999999999</v>
      </c>
      <c r="L8301">
        <v>11.679679999999999</v>
      </c>
      <c r="M8301">
        <v>33.985109999999999</v>
      </c>
      <c r="N8301">
        <v>15.49255</v>
      </c>
      <c r="O8301">
        <v>18.492550000000001</v>
      </c>
      <c r="P8301">
        <v>26.69256</v>
      </c>
      <c r="Q8301">
        <v>24.592559999999999</v>
      </c>
      <c r="R8301">
        <v>26.8</v>
      </c>
      <c r="S8301">
        <v>23.9</v>
      </c>
      <c r="T8301">
        <v>1003.298</v>
      </c>
      <c r="U8301">
        <v>375.14890000000003</v>
      </c>
      <c r="V8301">
        <v>0</v>
      </c>
      <c r="W8301">
        <v>147.0745</v>
      </c>
      <c r="X8301">
        <v>857.29780000000005</v>
      </c>
      <c r="Y8301">
        <v>0</v>
      </c>
      <c r="Z8301">
        <v>667.22339999999997</v>
      </c>
      <c r="AA8301">
        <v>1</v>
      </c>
      <c r="AB8301">
        <v>13.405749999999999</v>
      </c>
      <c r="AC8301">
        <v>9.030405E-3</v>
      </c>
      <c r="AD8301">
        <v>0.84748179999999995</v>
      </c>
      <c r="AE8301">
        <v>0.71183719999999995</v>
      </c>
      <c r="AF8301">
        <v>24.377330000000001</v>
      </c>
      <c r="AG8301">
        <f>IFERROR(AH8301*0.1, "N/A")</f>
        <v>5.1661590000000004</v>
      </c>
      <c r="AH8301">
        <v>51.661589999999997</v>
      </c>
      <c r="AI8301">
        <v>87.69256</v>
      </c>
      <c r="AJ8301">
        <v>21</v>
      </c>
      <c r="AK8301">
        <v>60.925550000000001</v>
      </c>
    </row>
    <row r="8302" spans="1:37" x14ac:dyDescent="0.3">
      <c r="A8302">
        <v>8301</v>
      </c>
      <c r="B8302">
        <v>40</v>
      </c>
      <c r="C8302">
        <v>-16.666699999999999</v>
      </c>
      <c r="D8302">
        <v>13.2311</v>
      </c>
      <c r="E8302">
        <f>-16.6667-13.2311</f>
        <v>-29.897799999999997</v>
      </c>
      <c r="F8302" t="s">
        <v>12369</v>
      </c>
      <c r="G8302" t="s">
        <v>37</v>
      </c>
      <c r="H8302">
        <v>1957</v>
      </c>
      <c r="I8302">
        <v>25.7</v>
      </c>
      <c r="J8302">
        <v>11.929270000000001</v>
      </c>
      <c r="K8302">
        <v>64</v>
      </c>
      <c r="L8302">
        <v>11.77951</v>
      </c>
      <c r="M8302">
        <v>33.829270000000001</v>
      </c>
      <c r="N8302">
        <v>15.4</v>
      </c>
      <c r="O8302">
        <v>18.429269999999999</v>
      </c>
      <c r="P8302">
        <v>26.5</v>
      </c>
      <c r="Q8302">
        <v>24.5</v>
      </c>
      <c r="R8302">
        <v>26.7</v>
      </c>
      <c r="S8302">
        <v>23.8</v>
      </c>
      <c r="T8302">
        <v>1010.122</v>
      </c>
      <c r="U8302">
        <v>378.70729999999998</v>
      </c>
      <c r="V8302">
        <v>0</v>
      </c>
      <c r="W8302">
        <v>146.7073</v>
      </c>
      <c r="X8302">
        <v>863.41459999999995</v>
      </c>
      <c r="Y8302">
        <v>0</v>
      </c>
      <c r="Z8302">
        <v>672.41459999999995</v>
      </c>
      <c r="AA8302">
        <v>1</v>
      </c>
      <c r="AB8302">
        <v>4.3233509999999997</v>
      </c>
      <c r="AC8302">
        <v>1.9355290000000001E-2</v>
      </c>
      <c r="AD8302">
        <v>1.1986079999999999</v>
      </c>
      <c r="AE8302">
        <v>0.56794809999999996</v>
      </c>
      <c r="AF8302">
        <v>22.786799999999999</v>
      </c>
      <c r="AG8302">
        <f>IFERROR(AH8302*0.1, "N/A")</f>
        <v>5.0707279999999999</v>
      </c>
      <c r="AH8302">
        <v>50.707279999999997</v>
      </c>
      <c r="AI8302">
        <v>251.62350000000001</v>
      </c>
      <c r="AJ8302">
        <v>18.707280000000001</v>
      </c>
      <c r="AK8302">
        <v>62.619289999999999</v>
      </c>
    </row>
    <row r="8303" spans="1:37" x14ac:dyDescent="0.3">
      <c r="A8303">
        <v>8302</v>
      </c>
      <c r="B8303">
        <v>100</v>
      </c>
      <c r="C8303">
        <v>-14.0609</v>
      </c>
      <c r="D8303">
        <v>13.2973</v>
      </c>
      <c r="E8303">
        <f>-14.0609-13.2973</f>
        <v>-27.3582</v>
      </c>
      <c r="F8303" t="s">
        <v>12370</v>
      </c>
      <c r="G8303" t="s">
        <v>39</v>
      </c>
      <c r="H8303">
        <v>1985</v>
      </c>
      <c r="I8303">
        <v>27.3</v>
      </c>
      <c r="J8303">
        <v>14.2</v>
      </c>
      <c r="K8303">
        <v>56</v>
      </c>
      <c r="L8303">
        <v>24.64</v>
      </c>
      <c r="M8303">
        <v>39</v>
      </c>
      <c r="N8303">
        <v>14</v>
      </c>
      <c r="O8303">
        <v>25</v>
      </c>
      <c r="P8303">
        <v>26.8</v>
      </c>
      <c r="Q8303">
        <v>26.1</v>
      </c>
      <c r="R8303">
        <v>30.5</v>
      </c>
      <c r="S8303">
        <v>24.2</v>
      </c>
      <c r="T8303">
        <v>824</v>
      </c>
      <c r="U8303">
        <v>244</v>
      </c>
      <c r="V8303">
        <v>0</v>
      </c>
      <c r="W8303">
        <v>130</v>
      </c>
      <c r="X8303">
        <v>641</v>
      </c>
      <c r="Y8303">
        <v>0</v>
      </c>
      <c r="Z8303">
        <v>120</v>
      </c>
      <c r="AA8303">
        <v>3</v>
      </c>
      <c r="AB8303">
        <v>3.8831370000000001</v>
      </c>
      <c r="AC8303">
        <v>1.186006E-2</v>
      </c>
      <c r="AD8303">
        <v>1.04789</v>
      </c>
      <c r="AE8303">
        <v>0.41586210000000001</v>
      </c>
      <c r="AF8303">
        <v>51.101179999999999</v>
      </c>
      <c r="AG8303">
        <f>IFERROR(AH8303*0.1, "N/A")</f>
        <v>5.4858350000000007</v>
      </c>
      <c r="AH8303">
        <v>54.858350000000002</v>
      </c>
      <c r="AI8303">
        <v>220.5472</v>
      </c>
      <c r="AJ8303">
        <v>15.605399999999999</v>
      </c>
      <c r="AK8303">
        <v>65.669479999999993</v>
      </c>
    </row>
    <row r="8304" spans="1:37" x14ac:dyDescent="0.3">
      <c r="A8304">
        <v>8303</v>
      </c>
      <c r="B8304">
        <v>35.4</v>
      </c>
      <c r="C8304">
        <v>-14.65</v>
      </c>
      <c r="D8304">
        <v>13.35</v>
      </c>
      <c r="E8304">
        <f>-14.65-13.35</f>
        <v>-28</v>
      </c>
      <c r="F8304" t="s">
        <v>12371</v>
      </c>
      <c r="G8304" t="s">
        <v>39</v>
      </c>
      <c r="H8304">
        <v>1984</v>
      </c>
      <c r="I8304">
        <v>27.3</v>
      </c>
      <c r="J8304">
        <v>14.6</v>
      </c>
      <c r="K8304">
        <v>58</v>
      </c>
      <c r="L8304">
        <v>21.13063</v>
      </c>
      <c r="M8304">
        <v>38.9</v>
      </c>
      <c r="N8304">
        <v>13.962770000000001</v>
      </c>
      <c r="O8304">
        <v>24.93722</v>
      </c>
      <c r="P8304">
        <v>26.7</v>
      </c>
      <c r="Q8304">
        <v>26.326730000000001</v>
      </c>
      <c r="R8304">
        <v>30.1</v>
      </c>
      <c r="S8304">
        <v>24.645520000000001</v>
      </c>
      <c r="T8304">
        <v>811.73429999999996</v>
      </c>
      <c r="U8304">
        <v>239.09479999999999</v>
      </c>
      <c r="V8304">
        <v>0</v>
      </c>
      <c r="W8304">
        <v>130.26730000000001</v>
      </c>
      <c r="X8304">
        <v>632.73429999999996</v>
      </c>
      <c r="Y8304">
        <v>0</v>
      </c>
      <c r="Z8304">
        <v>108</v>
      </c>
      <c r="AA8304">
        <v>3</v>
      </c>
      <c r="AB8304">
        <v>1.4467019999999999</v>
      </c>
      <c r="AC8304">
        <v>1.7262159999999999E-2</v>
      </c>
      <c r="AD8304">
        <v>2.3260670000000001</v>
      </c>
      <c r="AE8304">
        <v>0.60066750000000002</v>
      </c>
      <c r="AF8304">
        <v>49.329949999999997</v>
      </c>
      <c r="AG8304">
        <f>IFERROR(AH8304*0.1, "N/A")</f>
        <v>5.0445010000000003</v>
      </c>
      <c r="AH8304">
        <v>50.445010000000003</v>
      </c>
      <c r="AI8304">
        <v>147.33860000000001</v>
      </c>
      <c r="AJ8304">
        <v>16.2775</v>
      </c>
      <c r="AK8304">
        <v>69.167509999999993</v>
      </c>
    </row>
    <row r="8305" spans="1:37" x14ac:dyDescent="0.3">
      <c r="A8305">
        <v>8304</v>
      </c>
      <c r="B8305">
        <v>56.7</v>
      </c>
      <c r="C8305">
        <v>-14.6333</v>
      </c>
      <c r="D8305">
        <v>13.35</v>
      </c>
      <c r="E8305">
        <f>-14.6333-13.35</f>
        <v>-27.9833</v>
      </c>
      <c r="F8305" t="s">
        <v>12372</v>
      </c>
      <c r="G8305" t="s">
        <v>39</v>
      </c>
      <c r="H8305">
        <v>1984</v>
      </c>
      <c r="I8305">
        <v>27.262879999999999</v>
      </c>
      <c r="J8305">
        <v>14.6</v>
      </c>
      <c r="K8305">
        <v>58</v>
      </c>
      <c r="L8305">
        <v>21.273630000000001</v>
      </c>
      <c r="M8305">
        <v>38.9</v>
      </c>
      <c r="N8305">
        <v>13.908469999999999</v>
      </c>
      <c r="O8305">
        <v>24.991530000000001</v>
      </c>
      <c r="P8305">
        <v>26.7</v>
      </c>
      <c r="Q8305">
        <v>26.262879999999999</v>
      </c>
      <c r="R8305">
        <v>30.1</v>
      </c>
      <c r="S8305">
        <v>24.6</v>
      </c>
      <c r="T8305">
        <v>809.64580000000001</v>
      </c>
      <c r="U8305">
        <v>237.27459999999999</v>
      </c>
      <c r="V8305">
        <v>0</v>
      </c>
      <c r="W8305">
        <v>130</v>
      </c>
      <c r="X8305">
        <v>630.64580000000001</v>
      </c>
      <c r="Y8305">
        <v>0</v>
      </c>
      <c r="Z8305">
        <v>108</v>
      </c>
      <c r="AA8305">
        <v>3</v>
      </c>
      <c r="AB8305">
        <v>1.0328820000000001</v>
      </c>
      <c r="AC8305">
        <v>1.0479250000000001E-2</v>
      </c>
      <c r="AD8305">
        <v>2.3944230000000002</v>
      </c>
      <c r="AE8305">
        <v>0.36059219999999997</v>
      </c>
      <c r="AF8305">
        <v>49.367800000000003</v>
      </c>
      <c r="AG8305">
        <f>IFERROR(AH8305*0.1, "N/A")</f>
        <v>4.7823729999999998</v>
      </c>
      <c r="AH8305">
        <v>47.823729999999998</v>
      </c>
      <c r="AI8305">
        <v>210.023</v>
      </c>
      <c r="AJ8305">
        <v>13.549149999999999</v>
      </c>
      <c r="AK8305">
        <v>70.450850000000003</v>
      </c>
    </row>
    <row r="8306" spans="1:37" x14ac:dyDescent="0.3">
      <c r="A8306">
        <v>8305</v>
      </c>
      <c r="B8306">
        <v>37.6</v>
      </c>
      <c r="C8306">
        <v>-14.7</v>
      </c>
      <c r="D8306">
        <v>13.3667</v>
      </c>
      <c r="E8306">
        <f>-14.7-13.3667</f>
        <v>-28.066699999999997</v>
      </c>
      <c r="F8306" t="s">
        <v>12373</v>
      </c>
      <c r="G8306" t="s">
        <v>39</v>
      </c>
      <c r="H8306">
        <v>1984</v>
      </c>
      <c r="I8306">
        <v>27.4</v>
      </c>
      <c r="J8306">
        <v>14.6</v>
      </c>
      <c r="K8306">
        <v>59</v>
      </c>
      <c r="L8306">
        <v>20.709209999999999</v>
      </c>
      <c r="M8306">
        <v>38.9</v>
      </c>
      <c r="N8306">
        <v>14.2</v>
      </c>
      <c r="O8306">
        <v>24.7</v>
      </c>
      <c r="P8306">
        <v>26.8</v>
      </c>
      <c r="Q8306">
        <v>26.46566</v>
      </c>
      <c r="R8306">
        <v>30.1</v>
      </c>
      <c r="S8306">
        <v>24.8</v>
      </c>
      <c r="T8306">
        <v>809.22389999999996</v>
      </c>
      <c r="U8306">
        <v>241.67679999999999</v>
      </c>
      <c r="V8306">
        <v>0</v>
      </c>
      <c r="W8306">
        <v>130</v>
      </c>
      <c r="X8306">
        <v>632.22389999999996</v>
      </c>
      <c r="Y8306">
        <v>0</v>
      </c>
      <c r="Z8306">
        <v>108</v>
      </c>
      <c r="AA8306">
        <v>2</v>
      </c>
      <c r="AB8306">
        <v>0.98164969999999996</v>
      </c>
      <c r="AC8306">
        <v>5.079272E-2</v>
      </c>
      <c r="AD8306">
        <v>1.2459659999999999</v>
      </c>
      <c r="AE8306">
        <v>0.45050829999999997</v>
      </c>
      <c r="AF8306">
        <v>44.530299999999997</v>
      </c>
      <c r="AG8306">
        <f>IFERROR(AH8306*0.1, "N/A")</f>
        <v>5.5567340000000005</v>
      </c>
      <c r="AH8306">
        <v>55.567340000000002</v>
      </c>
      <c r="AI8306">
        <v>86.517480000000006</v>
      </c>
      <c r="AJ8306">
        <v>15.06902</v>
      </c>
      <c r="AK8306">
        <v>72.398989999999998</v>
      </c>
    </row>
    <row r="8307" spans="1:37" x14ac:dyDescent="0.3">
      <c r="A8307">
        <v>8306</v>
      </c>
      <c r="B8307">
        <v>42.2</v>
      </c>
      <c r="C8307">
        <v>-14.65</v>
      </c>
      <c r="D8307">
        <v>13.3667</v>
      </c>
      <c r="E8307">
        <f>-14.65-13.3667</f>
        <v>-28.0167</v>
      </c>
      <c r="F8307" t="s">
        <v>12374</v>
      </c>
      <c r="G8307" t="s">
        <v>39</v>
      </c>
      <c r="H8307">
        <v>1984</v>
      </c>
      <c r="I8307">
        <v>27.3</v>
      </c>
      <c r="J8307">
        <v>14.6</v>
      </c>
      <c r="K8307">
        <v>58</v>
      </c>
      <c r="L8307">
        <v>20.958950000000002</v>
      </c>
      <c r="M8307">
        <v>38.9</v>
      </c>
      <c r="N8307">
        <v>14.071669999999999</v>
      </c>
      <c r="O8307">
        <v>24.828330000000001</v>
      </c>
      <c r="P8307">
        <v>26.732379999999999</v>
      </c>
      <c r="Q8307">
        <v>26.371670000000002</v>
      </c>
      <c r="R8307">
        <v>30.1</v>
      </c>
      <c r="S8307">
        <v>24.7</v>
      </c>
      <c r="T8307">
        <v>808.83640000000003</v>
      </c>
      <c r="U8307">
        <v>238.3929</v>
      </c>
      <c r="V8307">
        <v>0</v>
      </c>
      <c r="W8307">
        <v>129.67619999999999</v>
      </c>
      <c r="X8307">
        <v>630.06910000000005</v>
      </c>
      <c r="Y8307">
        <v>0</v>
      </c>
      <c r="Z8307">
        <v>108</v>
      </c>
      <c r="AA8307">
        <v>3</v>
      </c>
      <c r="AB8307">
        <v>5.6236110000000004</v>
      </c>
      <c r="AC8307">
        <v>3.7029510000000002E-2</v>
      </c>
      <c r="AD8307">
        <v>0.8461592</v>
      </c>
      <c r="AE8307">
        <v>0.39844859999999999</v>
      </c>
      <c r="AF8307">
        <v>45.237769999999998</v>
      </c>
      <c r="AG8307">
        <f>IFERROR(AH8307*0.1, "N/A")</f>
        <v>6.2064079999999997</v>
      </c>
      <c r="AH8307">
        <v>62.064079999999997</v>
      </c>
      <c r="AI8307">
        <v>158.25360000000001</v>
      </c>
      <c r="AJ8307">
        <v>21.33052</v>
      </c>
      <c r="AK8307">
        <v>58.131529999999998</v>
      </c>
    </row>
    <row r="8308" spans="1:37" x14ac:dyDescent="0.3">
      <c r="A8308">
        <v>8307</v>
      </c>
      <c r="B8308">
        <v>63.5</v>
      </c>
      <c r="C8308">
        <v>-14.6167</v>
      </c>
      <c r="D8308">
        <v>13.3667</v>
      </c>
      <c r="E8308">
        <f>-14.6167-13.3667</f>
        <v>-27.9834</v>
      </c>
      <c r="F8308" t="s">
        <v>12375</v>
      </c>
      <c r="G8308" t="s">
        <v>39</v>
      </c>
      <c r="H8308">
        <v>1984</v>
      </c>
      <c r="I8308">
        <v>27.3</v>
      </c>
      <c r="J8308">
        <v>14.6</v>
      </c>
      <c r="K8308">
        <v>58</v>
      </c>
      <c r="L8308">
        <v>21.604869999999998</v>
      </c>
      <c r="M8308">
        <v>38.889040000000001</v>
      </c>
      <c r="N8308">
        <v>13.9</v>
      </c>
      <c r="O8308">
        <v>24.989039999999999</v>
      </c>
      <c r="P8308">
        <v>26.71096</v>
      </c>
      <c r="Q8308">
        <v>26.254639999999998</v>
      </c>
      <c r="R8308">
        <v>30.1</v>
      </c>
      <c r="S8308">
        <v>24.589040000000001</v>
      </c>
      <c r="T8308">
        <v>801.80100000000004</v>
      </c>
      <c r="U8308">
        <v>234.34399999999999</v>
      </c>
      <c r="V8308">
        <v>0</v>
      </c>
      <c r="W8308">
        <v>130.45359999999999</v>
      </c>
      <c r="X8308">
        <v>625.12480000000005</v>
      </c>
      <c r="Y8308">
        <v>0</v>
      </c>
      <c r="Z8308">
        <v>106</v>
      </c>
      <c r="AA8308">
        <v>3</v>
      </c>
      <c r="AB8308">
        <v>4.0806069999999997</v>
      </c>
      <c r="AC8308">
        <v>2.4218710000000001E-2</v>
      </c>
      <c r="AD8308">
        <v>1.227576</v>
      </c>
      <c r="AE8308">
        <v>0.3502055</v>
      </c>
      <c r="AF8308">
        <v>43.807760000000002</v>
      </c>
      <c r="AG8308">
        <f>IFERROR(AH8308*0.1, "N/A")</f>
        <v>4.8664420000000002</v>
      </c>
      <c r="AH8308">
        <v>48.66442</v>
      </c>
      <c r="AI8308">
        <v>171.97139999999999</v>
      </c>
      <c r="AJ8308">
        <v>16.05396</v>
      </c>
      <c r="AK8308">
        <v>62.917369999999998</v>
      </c>
    </row>
    <row r="8309" spans="1:37" x14ac:dyDescent="0.3">
      <c r="A8309">
        <v>8308</v>
      </c>
      <c r="B8309">
        <v>77.8</v>
      </c>
      <c r="C8309">
        <v>-14.566700000000001</v>
      </c>
      <c r="D8309">
        <v>13.3667</v>
      </c>
      <c r="E8309">
        <f>-14.5667-13.3667</f>
        <v>-27.933399999999999</v>
      </c>
      <c r="F8309" t="s">
        <v>12376</v>
      </c>
      <c r="G8309" t="s">
        <v>39</v>
      </c>
      <c r="H8309">
        <v>1954</v>
      </c>
      <c r="I8309">
        <v>27.24671</v>
      </c>
      <c r="J8309">
        <v>14.6</v>
      </c>
      <c r="K8309">
        <v>57.32546</v>
      </c>
      <c r="L8309">
        <v>22.10211</v>
      </c>
      <c r="M8309">
        <v>38.9</v>
      </c>
      <c r="N8309">
        <v>13.73255</v>
      </c>
      <c r="O8309">
        <v>25.167449999999999</v>
      </c>
      <c r="P8309">
        <v>26.728670000000001</v>
      </c>
      <c r="Q8309">
        <v>26.23255</v>
      </c>
      <c r="R8309">
        <v>30.118040000000001</v>
      </c>
      <c r="S8309">
        <v>24.432549999999999</v>
      </c>
      <c r="T8309">
        <v>783.81280000000004</v>
      </c>
      <c r="U8309">
        <v>225.85499999999999</v>
      </c>
      <c r="V8309">
        <v>0</v>
      </c>
      <c r="W8309">
        <v>130</v>
      </c>
      <c r="X8309">
        <v>612.6712</v>
      </c>
      <c r="Y8309">
        <v>0</v>
      </c>
      <c r="Z8309">
        <v>102.1417</v>
      </c>
      <c r="AA8309">
        <v>2</v>
      </c>
      <c r="AB8309">
        <v>2.6836419999999999</v>
      </c>
      <c r="AC8309">
        <v>5.240208</v>
      </c>
      <c r="AD8309">
        <v>1.504448</v>
      </c>
      <c r="AE8309">
        <v>0.4381718</v>
      </c>
      <c r="AF8309">
        <v>26.2715</v>
      </c>
      <c r="AG8309">
        <f>IFERROR(AH8309*0.1, "N/A")</f>
        <v>5.3258010000000002</v>
      </c>
      <c r="AH8309">
        <v>53.258009999999999</v>
      </c>
      <c r="AI8309">
        <v>43.709820000000001</v>
      </c>
      <c r="AJ8309">
        <v>13.02867</v>
      </c>
      <c r="AK8309">
        <v>68</v>
      </c>
    </row>
    <row r="8310" spans="1:37" x14ac:dyDescent="0.3">
      <c r="A8310">
        <v>8309</v>
      </c>
      <c r="B8310">
        <v>63.8</v>
      </c>
      <c r="C8310">
        <v>-14.7333</v>
      </c>
      <c r="D8310">
        <v>13.380599999999999</v>
      </c>
      <c r="E8310">
        <f>-14.7333-13.3806</f>
        <v>-28.113900000000001</v>
      </c>
      <c r="F8310" t="s">
        <v>12377</v>
      </c>
      <c r="G8310" t="s">
        <v>39</v>
      </c>
      <c r="H8310">
        <v>1984</v>
      </c>
      <c r="I8310">
        <v>27.451689999999999</v>
      </c>
      <c r="J8310">
        <v>14.6</v>
      </c>
      <c r="K8310">
        <v>58.483110000000003</v>
      </c>
      <c r="L8310">
        <v>20.587769999999999</v>
      </c>
      <c r="M8310">
        <v>39.051690000000001</v>
      </c>
      <c r="N8310">
        <v>14.3</v>
      </c>
      <c r="O8310">
        <v>24.75169</v>
      </c>
      <c r="P8310">
        <v>26.851690000000001</v>
      </c>
      <c r="Q8310">
        <v>26.5</v>
      </c>
      <c r="R8310">
        <v>30.203379999999999</v>
      </c>
      <c r="S8310">
        <v>24.9</v>
      </c>
      <c r="T8310">
        <v>800</v>
      </c>
      <c r="U8310">
        <v>241</v>
      </c>
      <c r="V8310">
        <v>0</v>
      </c>
      <c r="W8310">
        <v>131</v>
      </c>
      <c r="X8310">
        <v>626</v>
      </c>
      <c r="Y8310">
        <v>0</v>
      </c>
      <c r="Z8310">
        <v>106</v>
      </c>
      <c r="AA8310">
        <v>2</v>
      </c>
      <c r="AB8310">
        <v>5.6695929999999999</v>
      </c>
      <c r="AC8310">
        <v>7.2956690000000005E-2</v>
      </c>
      <c r="AD8310">
        <v>1.2867519999999999</v>
      </c>
      <c r="AE8310">
        <v>0.3765753</v>
      </c>
      <c r="AF8310">
        <v>47.56588</v>
      </c>
      <c r="AG8310">
        <f>IFERROR(AH8310*0.1, "N/A")</f>
        <v>5.5670610000000007</v>
      </c>
      <c r="AH8310">
        <v>55.670610000000003</v>
      </c>
      <c r="AI8310">
        <v>220.75819999999999</v>
      </c>
      <c r="AJ8310">
        <v>12.51858</v>
      </c>
      <c r="AK8310">
        <v>74.954390000000004</v>
      </c>
    </row>
    <row r="8311" spans="1:37" x14ac:dyDescent="0.3">
      <c r="A8311">
        <v>8310</v>
      </c>
      <c r="B8311">
        <v>60</v>
      </c>
      <c r="C8311">
        <v>-14.7</v>
      </c>
      <c r="D8311">
        <v>13.3833</v>
      </c>
      <c r="E8311">
        <f>-14.7-13.3833</f>
        <v>-28.083300000000001</v>
      </c>
      <c r="F8311" t="s">
        <v>12378</v>
      </c>
      <c r="G8311" t="s">
        <v>39</v>
      </c>
      <c r="H8311">
        <v>1984</v>
      </c>
      <c r="I8311">
        <v>27.4</v>
      </c>
      <c r="J8311">
        <v>14.6</v>
      </c>
      <c r="K8311">
        <v>58.84628</v>
      </c>
      <c r="L8311">
        <v>20.603280000000002</v>
      </c>
      <c r="M8311">
        <v>38.946449999999999</v>
      </c>
      <c r="N8311">
        <v>14.28463</v>
      </c>
      <c r="O8311">
        <v>24.661819999999999</v>
      </c>
      <c r="P8311">
        <v>26.8</v>
      </c>
      <c r="Q8311">
        <v>26.5</v>
      </c>
      <c r="R8311">
        <v>30.115369999999999</v>
      </c>
      <c r="S8311">
        <v>24.884630000000001</v>
      </c>
      <c r="T8311">
        <v>803.81420000000003</v>
      </c>
      <c r="U8311">
        <v>239.63339999999999</v>
      </c>
      <c r="V8311">
        <v>0</v>
      </c>
      <c r="W8311">
        <v>130.52359999999999</v>
      </c>
      <c r="X8311">
        <v>627.49159999999995</v>
      </c>
      <c r="Y8311">
        <v>0</v>
      </c>
      <c r="Z8311">
        <v>108</v>
      </c>
      <c r="AA8311">
        <v>2</v>
      </c>
      <c r="AB8311">
        <v>1.6395280000000001</v>
      </c>
      <c r="AC8311">
        <v>1.000673E-2</v>
      </c>
      <c r="AD8311">
        <v>1.6663589999999999</v>
      </c>
      <c r="AE8311">
        <v>0.4922762</v>
      </c>
      <c r="AF8311">
        <v>48.91554</v>
      </c>
      <c r="AG8311">
        <f>IFERROR(AH8311*0.1, "N/A")</f>
        <v>5.5070950000000005</v>
      </c>
      <c r="AH8311">
        <v>55.070950000000003</v>
      </c>
      <c r="AI8311">
        <v>243.43129999999999</v>
      </c>
      <c r="AJ8311">
        <v>12.53547</v>
      </c>
      <c r="AK8311">
        <v>75</v>
      </c>
    </row>
    <row r="8312" spans="1:37" x14ac:dyDescent="0.3">
      <c r="A8312">
        <v>8311</v>
      </c>
      <c r="B8312">
        <v>87.5</v>
      </c>
      <c r="C8312">
        <v>-14.683299999999999</v>
      </c>
      <c r="D8312">
        <v>13.3833</v>
      </c>
      <c r="E8312">
        <f>-14.6833-13.3833</f>
        <v>-28.066600000000001</v>
      </c>
      <c r="F8312" t="s">
        <v>12379</v>
      </c>
      <c r="G8312" t="s">
        <v>39</v>
      </c>
      <c r="H8312">
        <v>1954</v>
      </c>
      <c r="I8312">
        <v>27.4</v>
      </c>
      <c r="J8312">
        <v>14.6</v>
      </c>
      <c r="K8312">
        <v>59</v>
      </c>
      <c r="L8312">
        <v>20.648820000000001</v>
      </c>
      <c r="M8312">
        <v>38.9</v>
      </c>
      <c r="N8312">
        <v>14.251609999999999</v>
      </c>
      <c r="O8312">
        <v>24.648389999999999</v>
      </c>
      <c r="P8312">
        <v>26.8</v>
      </c>
      <c r="Q8312">
        <v>26.476310000000002</v>
      </c>
      <c r="R8312">
        <v>30.1</v>
      </c>
      <c r="S8312">
        <v>24.851610000000001</v>
      </c>
      <c r="T8312">
        <v>804.37390000000005</v>
      </c>
      <c r="U8312">
        <v>239.24700000000001</v>
      </c>
      <c r="V8312">
        <v>0</v>
      </c>
      <c r="W8312">
        <v>130.3536</v>
      </c>
      <c r="X8312">
        <v>627.64300000000003</v>
      </c>
      <c r="Y8312">
        <v>0</v>
      </c>
      <c r="Z8312">
        <v>107.73099999999999</v>
      </c>
      <c r="AA8312">
        <v>2</v>
      </c>
      <c r="AB8312">
        <v>0.59593879999999999</v>
      </c>
      <c r="AC8312">
        <v>0.14486599999999999</v>
      </c>
      <c r="AD8312">
        <v>1.5039359999999999</v>
      </c>
      <c r="AE8312">
        <v>0.43682330000000003</v>
      </c>
      <c r="AF8312">
        <v>47.319800000000001</v>
      </c>
      <c r="AG8312">
        <f>IFERROR(AH8312*0.1, "N/A")</f>
        <v>4.9000000000000004</v>
      </c>
      <c r="AH8312">
        <v>49</v>
      </c>
      <c r="AI8312">
        <v>136.32300000000001</v>
      </c>
      <c r="AJ8312">
        <v>13.763109999999999</v>
      </c>
      <c r="AK8312">
        <v>71.236890000000002</v>
      </c>
    </row>
    <row r="8313" spans="1:37" x14ac:dyDescent="0.3">
      <c r="A8313">
        <v>8312</v>
      </c>
      <c r="B8313">
        <v>77.400000000000006</v>
      </c>
      <c r="C8313">
        <v>-14.533300000000001</v>
      </c>
      <c r="D8313">
        <v>13.3833</v>
      </c>
      <c r="E8313">
        <f>-14.5333-13.3833</f>
        <v>-27.916600000000003</v>
      </c>
      <c r="F8313" t="s">
        <v>12380</v>
      </c>
      <c r="G8313" t="s">
        <v>39</v>
      </c>
      <c r="H8313">
        <v>1954</v>
      </c>
      <c r="I8313">
        <v>27.274789999999999</v>
      </c>
      <c r="J8313">
        <v>14.5595</v>
      </c>
      <c r="K8313">
        <v>57</v>
      </c>
      <c r="L8313">
        <v>22.644469999999998</v>
      </c>
      <c r="M8313">
        <v>38.974789999999999</v>
      </c>
      <c r="N8313">
        <v>13.67479</v>
      </c>
      <c r="O8313">
        <v>25.3</v>
      </c>
      <c r="P8313">
        <v>26.749580000000002</v>
      </c>
      <c r="Q8313">
        <v>26.181850000000001</v>
      </c>
      <c r="R8313">
        <v>30.222349999999999</v>
      </c>
      <c r="S8313">
        <v>24.374790000000001</v>
      </c>
      <c r="T8313">
        <v>766.96299999999997</v>
      </c>
      <c r="U8313">
        <v>219.0992</v>
      </c>
      <c r="V8313">
        <v>0</v>
      </c>
      <c r="W8313">
        <v>130.60669999999999</v>
      </c>
      <c r="X8313">
        <v>600.26890000000003</v>
      </c>
      <c r="Y8313">
        <v>0</v>
      </c>
      <c r="Z8313">
        <v>98.847059999999999</v>
      </c>
      <c r="AA8313">
        <v>2</v>
      </c>
      <c r="AB8313">
        <v>7.147227</v>
      </c>
      <c r="AC8313">
        <v>1.173221E-2</v>
      </c>
      <c r="AD8313">
        <v>3.0575130000000001</v>
      </c>
      <c r="AE8313">
        <v>0.40078809999999998</v>
      </c>
      <c r="AF8313">
        <v>17.361339999999998</v>
      </c>
      <c r="AG8313">
        <f>IFERROR(AH8313*0.1, "N/A")</f>
        <v>5.3000000000000007</v>
      </c>
      <c r="AH8313">
        <v>53</v>
      </c>
      <c r="AI8313">
        <v>42.869639999999997</v>
      </c>
      <c r="AJ8313">
        <v>11.22353</v>
      </c>
      <c r="AK8313">
        <v>73.105879999999999</v>
      </c>
    </row>
    <row r="8314" spans="1:37" x14ac:dyDescent="0.3">
      <c r="A8314">
        <v>8313</v>
      </c>
      <c r="B8314">
        <v>42.9</v>
      </c>
      <c r="C8314">
        <v>-14.55</v>
      </c>
      <c r="D8314">
        <v>13.3833</v>
      </c>
      <c r="E8314">
        <f>-14.55-13.3833</f>
        <v>-27.933300000000003</v>
      </c>
      <c r="F8314" t="s">
        <v>12381</v>
      </c>
      <c r="G8314" t="s">
        <v>39</v>
      </c>
      <c r="H8314">
        <v>1954</v>
      </c>
      <c r="I8314">
        <v>27.3</v>
      </c>
      <c r="J8314">
        <v>14.584149999999999</v>
      </c>
      <c r="K8314">
        <v>57</v>
      </c>
      <c r="L8314">
        <v>22.494700000000002</v>
      </c>
      <c r="M8314">
        <v>38.967790000000001</v>
      </c>
      <c r="N8314">
        <v>13.71585</v>
      </c>
      <c r="O8314">
        <v>25.251940000000001</v>
      </c>
      <c r="P8314">
        <v>26.767790000000002</v>
      </c>
      <c r="Q8314">
        <v>26.21585</v>
      </c>
      <c r="R8314">
        <v>30.2</v>
      </c>
      <c r="S8314">
        <v>24.415849999999999</v>
      </c>
      <c r="T8314">
        <v>771.76390000000004</v>
      </c>
      <c r="U8314">
        <v>221.80269999999999</v>
      </c>
      <c r="V8314">
        <v>0</v>
      </c>
      <c r="W8314">
        <v>130.1585</v>
      </c>
      <c r="X8314">
        <v>604.28330000000005</v>
      </c>
      <c r="Y8314">
        <v>0</v>
      </c>
      <c r="Z8314">
        <v>99.480609999999999</v>
      </c>
      <c r="AA8314">
        <v>2</v>
      </c>
      <c r="AB8314">
        <v>1.2585150000000001</v>
      </c>
      <c r="AC8314">
        <v>0.62755629999999996</v>
      </c>
      <c r="AD8314">
        <v>1.7889949999999999</v>
      </c>
      <c r="AE8314">
        <v>0.3758147</v>
      </c>
      <c r="AF8314">
        <v>19.696459999999998</v>
      </c>
      <c r="AG8314">
        <f>IFERROR(AH8314*0.1, "N/A")</f>
        <v>5.3000000000000007</v>
      </c>
      <c r="AH8314">
        <v>53</v>
      </c>
      <c r="AI8314">
        <v>151.3946</v>
      </c>
      <c r="AJ8314">
        <v>13</v>
      </c>
      <c r="AK8314">
        <v>71.038790000000006</v>
      </c>
    </row>
    <row r="8315" spans="1:37" x14ac:dyDescent="0.3">
      <c r="A8315">
        <v>8314</v>
      </c>
      <c r="B8315">
        <v>64.2</v>
      </c>
      <c r="C8315">
        <v>-14.7333</v>
      </c>
      <c r="D8315">
        <v>13.3942</v>
      </c>
      <c r="E8315">
        <f>-14.7333-13.3942</f>
        <v>-28.127499999999998</v>
      </c>
      <c r="F8315" t="s">
        <v>12382</v>
      </c>
      <c r="G8315" t="s">
        <v>39</v>
      </c>
      <c r="H8315">
        <v>1984</v>
      </c>
      <c r="I8315">
        <v>27.5</v>
      </c>
      <c r="J8315">
        <v>14.6</v>
      </c>
      <c r="K8315">
        <v>59</v>
      </c>
      <c r="L8315">
        <v>20.43121</v>
      </c>
      <c r="M8315">
        <v>39.05151</v>
      </c>
      <c r="N8315">
        <v>14.451510000000001</v>
      </c>
      <c r="O8315">
        <v>24.6</v>
      </c>
      <c r="P8315">
        <v>26.9</v>
      </c>
      <c r="Q8315">
        <v>26.55152</v>
      </c>
      <c r="R8315">
        <v>30.251519999999999</v>
      </c>
      <c r="S8315">
        <v>25</v>
      </c>
      <c r="T8315">
        <v>793.96969999999999</v>
      </c>
      <c r="U8315">
        <v>239</v>
      </c>
      <c r="V8315">
        <v>0</v>
      </c>
      <c r="W8315">
        <v>130</v>
      </c>
      <c r="X8315">
        <v>621.48479999999995</v>
      </c>
      <c r="Y8315">
        <v>0</v>
      </c>
      <c r="Z8315">
        <v>105.48480000000001</v>
      </c>
      <c r="AA8315">
        <v>2</v>
      </c>
      <c r="AB8315">
        <v>4.6739059999999997</v>
      </c>
      <c r="AC8315">
        <v>9.4080300000000006E-2</v>
      </c>
      <c r="AD8315">
        <v>1.634334</v>
      </c>
      <c r="AE8315">
        <v>0.55646410000000002</v>
      </c>
      <c r="AF8315">
        <v>48.217170000000003</v>
      </c>
      <c r="AG8315">
        <f>IFERROR(AH8315*0.1, "N/A")</f>
        <v>5.1765990000000004</v>
      </c>
      <c r="AH8315">
        <v>51.765990000000002</v>
      </c>
      <c r="AI8315">
        <v>167.80619999999999</v>
      </c>
      <c r="AJ8315">
        <v>14.04377</v>
      </c>
      <c r="AK8315">
        <v>71.956230000000005</v>
      </c>
    </row>
    <row r="8316" spans="1:37" x14ac:dyDescent="0.3">
      <c r="A8316">
        <v>8315</v>
      </c>
      <c r="B8316">
        <v>52</v>
      </c>
      <c r="C8316">
        <v>-14.75</v>
      </c>
      <c r="D8316">
        <v>13.4</v>
      </c>
      <c r="E8316">
        <f>-14.75-13.4</f>
        <v>-28.15</v>
      </c>
      <c r="F8316" t="s">
        <v>12383</v>
      </c>
      <c r="G8316" t="s">
        <v>39</v>
      </c>
      <c r="H8316">
        <v>1984</v>
      </c>
      <c r="I8316">
        <v>27.5</v>
      </c>
      <c r="J8316">
        <v>14.6</v>
      </c>
      <c r="K8316">
        <v>59</v>
      </c>
      <c r="L8316">
        <v>20.432200000000002</v>
      </c>
      <c r="M8316">
        <v>39.1</v>
      </c>
      <c r="N8316">
        <v>14.5</v>
      </c>
      <c r="O8316">
        <v>24.6</v>
      </c>
      <c r="P8316">
        <v>26.862880000000001</v>
      </c>
      <c r="Q8316">
        <v>26.6</v>
      </c>
      <c r="R8316">
        <v>30.214919999999999</v>
      </c>
      <c r="S8316">
        <v>24.962879999999998</v>
      </c>
      <c r="T8316">
        <v>789.93899999999996</v>
      </c>
      <c r="U8316">
        <v>238.62880000000001</v>
      </c>
      <c r="V8316">
        <v>0</v>
      </c>
      <c r="W8316">
        <v>130.52029999999999</v>
      </c>
      <c r="X8316">
        <v>618.97969999999998</v>
      </c>
      <c r="Y8316">
        <v>0</v>
      </c>
      <c r="Z8316">
        <v>104.47969999999999</v>
      </c>
      <c r="AA8316">
        <v>2</v>
      </c>
      <c r="AB8316">
        <v>0.95271249999999996</v>
      </c>
      <c r="AC8316">
        <v>5.5340809999999996</v>
      </c>
      <c r="AD8316">
        <v>1.5986199999999999</v>
      </c>
      <c r="AE8316">
        <v>0.49627640000000001</v>
      </c>
      <c r="AF8316">
        <v>42.874580000000002</v>
      </c>
      <c r="AG8316">
        <f>IFERROR(AH8316*0.1, "N/A")</f>
        <v>5.7332200000000002</v>
      </c>
      <c r="AH8316">
        <v>57.3322</v>
      </c>
      <c r="AI8316">
        <v>190.37139999999999</v>
      </c>
      <c r="AJ8316">
        <v>12.786440000000001</v>
      </c>
      <c r="AK8316">
        <v>73.972880000000004</v>
      </c>
    </row>
    <row r="8317" spans="1:37" x14ac:dyDescent="0.3">
      <c r="A8317">
        <v>8316</v>
      </c>
      <c r="B8317">
        <v>26.2</v>
      </c>
      <c r="C8317">
        <v>-14.7333</v>
      </c>
      <c r="D8317">
        <v>13.4</v>
      </c>
      <c r="E8317">
        <f>-14.7333-13.4</f>
        <v>-28.133299999999998</v>
      </c>
      <c r="F8317" t="s">
        <v>12384</v>
      </c>
      <c r="G8317" t="s">
        <v>39</v>
      </c>
      <c r="H8317">
        <v>1984</v>
      </c>
      <c r="I8317">
        <v>27.5</v>
      </c>
      <c r="J8317">
        <v>14.6</v>
      </c>
      <c r="K8317">
        <v>59</v>
      </c>
      <c r="L8317">
        <v>20.44276</v>
      </c>
      <c r="M8317">
        <v>39.070900000000002</v>
      </c>
      <c r="N8317">
        <v>14.451779999999999</v>
      </c>
      <c r="O8317">
        <v>24.619119999999999</v>
      </c>
      <c r="P8317">
        <v>26.9</v>
      </c>
      <c r="Q8317">
        <v>26.551780000000001</v>
      </c>
      <c r="R8317">
        <v>30.252960000000002</v>
      </c>
      <c r="S8317">
        <v>25</v>
      </c>
      <c r="T8317">
        <v>793.04399999999998</v>
      </c>
      <c r="U8317">
        <v>238.6294</v>
      </c>
      <c r="V8317">
        <v>0</v>
      </c>
      <c r="W8317">
        <v>130.17939999999999</v>
      </c>
      <c r="X8317">
        <v>620.56179999999995</v>
      </c>
      <c r="Y8317">
        <v>0</v>
      </c>
      <c r="Z8317">
        <v>105.48220000000001</v>
      </c>
      <c r="AA8317">
        <v>2</v>
      </c>
      <c r="AB8317">
        <v>1.6316390000000001</v>
      </c>
      <c r="AC8317">
        <v>1.4682499999999999E-2</v>
      </c>
      <c r="AD8317">
        <v>1.2247300000000001</v>
      </c>
      <c r="AE8317">
        <v>0.67122479999999995</v>
      </c>
      <c r="AF8317">
        <v>50.028759999999998</v>
      </c>
      <c r="AG8317">
        <f>IFERROR(AH8317*0.1, "N/A")</f>
        <v>5.1000000000000005</v>
      </c>
      <c r="AH8317">
        <v>51</v>
      </c>
      <c r="AI8317">
        <v>75.126729999999995</v>
      </c>
      <c r="AJ8317">
        <v>15.49577</v>
      </c>
      <c r="AK8317">
        <v>70.490690000000001</v>
      </c>
    </row>
    <row r="8318" spans="1:37" x14ac:dyDescent="0.3">
      <c r="A8318">
        <v>8317</v>
      </c>
      <c r="B8318">
        <v>9.1</v>
      </c>
      <c r="C8318">
        <v>-14.670199999999999</v>
      </c>
      <c r="D8318">
        <v>13.4025</v>
      </c>
      <c r="E8318">
        <f>-14.6702-13.4025</f>
        <v>-28.072699999999998</v>
      </c>
      <c r="F8318" t="s">
        <v>12385</v>
      </c>
      <c r="G8318" t="s">
        <v>39</v>
      </c>
      <c r="H8318">
        <v>1954</v>
      </c>
      <c r="I8318">
        <v>27.6</v>
      </c>
      <c r="J8318">
        <v>14.6</v>
      </c>
      <c r="K8318">
        <v>59</v>
      </c>
      <c r="L8318">
        <v>20.97</v>
      </c>
      <c r="M8318">
        <v>39.1</v>
      </c>
      <c r="N8318">
        <v>14.4</v>
      </c>
      <c r="O8318">
        <v>24.7</v>
      </c>
      <c r="P8318">
        <v>26.9</v>
      </c>
      <c r="Q8318">
        <v>26.6</v>
      </c>
      <c r="R8318">
        <v>30.4</v>
      </c>
      <c r="S8318">
        <v>25</v>
      </c>
      <c r="T8318">
        <v>800</v>
      </c>
      <c r="U8318">
        <v>237</v>
      </c>
      <c r="V8318">
        <v>0</v>
      </c>
      <c r="W8318">
        <v>130</v>
      </c>
      <c r="X8318">
        <v>624</v>
      </c>
      <c r="Y8318">
        <v>0</v>
      </c>
      <c r="Z8318">
        <v>108</v>
      </c>
      <c r="AA8318">
        <v>2</v>
      </c>
      <c r="AB8318">
        <v>6.3878779999999997</v>
      </c>
      <c r="AC8318">
        <v>8.8490869999999999E-2</v>
      </c>
      <c r="AD8318">
        <v>2.1060989999999999</v>
      </c>
      <c r="AE8318">
        <v>0.31458730000000001</v>
      </c>
      <c r="AF8318">
        <v>21.397310000000001</v>
      </c>
      <c r="AG8318">
        <f>IFERROR(AH8318*0.1, "N/A")</f>
        <v>4.8000000000000007</v>
      </c>
      <c r="AH8318">
        <v>48</v>
      </c>
      <c r="AI8318">
        <v>85.925799999999995</v>
      </c>
      <c r="AJ8318">
        <v>13</v>
      </c>
      <c r="AK8318">
        <v>71</v>
      </c>
    </row>
    <row r="8319" spans="1:37" x14ac:dyDescent="0.3">
      <c r="A8319">
        <v>8318</v>
      </c>
      <c r="B8319">
        <v>7.7</v>
      </c>
      <c r="C8319">
        <v>-14.6645</v>
      </c>
      <c r="D8319">
        <v>13.4071</v>
      </c>
      <c r="E8319">
        <f>-14.6645-13.4071</f>
        <v>-28.0716</v>
      </c>
      <c r="F8319" t="s">
        <v>12386</v>
      </c>
      <c r="G8319" t="s">
        <v>39</v>
      </c>
      <c r="H8319">
        <v>1954</v>
      </c>
      <c r="I8319">
        <v>27.4</v>
      </c>
      <c r="J8319">
        <v>14.6</v>
      </c>
      <c r="K8319">
        <v>59</v>
      </c>
      <c r="L8319">
        <v>21.18</v>
      </c>
      <c r="M8319">
        <v>39</v>
      </c>
      <c r="N8319">
        <v>14.3</v>
      </c>
      <c r="O8319">
        <v>24.7</v>
      </c>
      <c r="P8319">
        <v>26.8</v>
      </c>
      <c r="Q8319">
        <v>26.5</v>
      </c>
      <c r="R8319">
        <v>30.2</v>
      </c>
      <c r="S8319">
        <v>24.8</v>
      </c>
      <c r="T8319">
        <v>800</v>
      </c>
      <c r="U8319">
        <v>237</v>
      </c>
      <c r="V8319">
        <v>0</v>
      </c>
      <c r="W8319">
        <v>131</v>
      </c>
      <c r="X8319">
        <v>625</v>
      </c>
      <c r="Y8319">
        <v>0</v>
      </c>
      <c r="Z8319">
        <v>107</v>
      </c>
      <c r="AA8319">
        <v>2</v>
      </c>
      <c r="AB8319">
        <v>8.7839259999999992</v>
      </c>
      <c r="AC8319">
        <v>1.4273910000000001E-2</v>
      </c>
      <c r="AD8319">
        <v>1.871969</v>
      </c>
      <c r="AE8319">
        <v>0.47337960000000001</v>
      </c>
      <c r="AF8319">
        <v>20.306260000000002</v>
      </c>
      <c r="AG8319">
        <f>IFERROR(AH8319*0.1, "N/A")</f>
        <v>5.6211510000000002</v>
      </c>
      <c r="AH8319">
        <v>56.211509999999997</v>
      </c>
      <c r="AI8319">
        <v>297.32159999999999</v>
      </c>
      <c r="AJ8319">
        <v>17.56514</v>
      </c>
      <c r="AK8319">
        <v>63.412860000000002</v>
      </c>
    </row>
    <row r="8320" spans="1:37" x14ac:dyDescent="0.3">
      <c r="A8320">
        <v>8319</v>
      </c>
      <c r="B8320">
        <v>5.6</v>
      </c>
      <c r="C8320">
        <v>-14.6333</v>
      </c>
      <c r="D8320">
        <v>13.416700000000001</v>
      </c>
      <c r="E8320">
        <f>-14.6333-13.4167</f>
        <v>-28.05</v>
      </c>
      <c r="F8320" t="s">
        <v>12387</v>
      </c>
      <c r="G8320" t="s">
        <v>39</v>
      </c>
      <c r="H8320">
        <v>1954</v>
      </c>
      <c r="I8320">
        <v>27.384599999999999</v>
      </c>
      <c r="J8320">
        <v>14.6</v>
      </c>
      <c r="K8320">
        <v>58</v>
      </c>
      <c r="L8320">
        <v>21.241199999999999</v>
      </c>
      <c r="M8320">
        <v>39.069540000000003</v>
      </c>
      <c r="N8320">
        <v>14.16954</v>
      </c>
      <c r="O8320">
        <v>24.9</v>
      </c>
      <c r="P8320">
        <v>26.842300000000002</v>
      </c>
      <c r="Q8320">
        <v>26.442299999999999</v>
      </c>
      <c r="R8320">
        <v>30.1846</v>
      </c>
      <c r="S8320">
        <v>24.769539999999999</v>
      </c>
      <c r="T8320">
        <v>792.04570000000001</v>
      </c>
      <c r="U8320">
        <v>232.2724</v>
      </c>
      <c r="V8320">
        <v>0</v>
      </c>
      <c r="W8320">
        <v>129</v>
      </c>
      <c r="X8320">
        <v>617.46870000000001</v>
      </c>
      <c r="Y8320">
        <v>0</v>
      </c>
      <c r="Z8320">
        <v>105.0457</v>
      </c>
      <c r="AA8320">
        <v>3.5313029999999999</v>
      </c>
      <c r="AB8320">
        <v>19.45618</v>
      </c>
      <c r="AC8320">
        <v>9.3325560000000005E-3</v>
      </c>
      <c r="AD8320">
        <v>4.4787600000000003</v>
      </c>
      <c r="AE8320">
        <v>0.41915429999999998</v>
      </c>
      <c r="AF8320">
        <v>33.453470000000003</v>
      </c>
      <c r="AG8320">
        <f>IFERROR(AH8320*0.1, "N/A")</f>
        <v>5.9455160000000005</v>
      </c>
      <c r="AH8320">
        <v>59.455159999999999</v>
      </c>
      <c r="AI8320">
        <v>156.3031</v>
      </c>
      <c r="AJ8320">
        <v>25</v>
      </c>
      <c r="AK8320">
        <v>51.727580000000003</v>
      </c>
    </row>
    <row r="8321" spans="1:37" x14ac:dyDescent="0.3">
      <c r="A8321">
        <v>8320</v>
      </c>
      <c r="B8321">
        <v>0</v>
      </c>
      <c r="C8321">
        <v>-14.65</v>
      </c>
      <c r="D8321">
        <v>13.416700000000001</v>
      </c>
      <c r="E8321">
        <f>-14.65-13.4167</f>
        <v>-28.066700000000001</v>
      </c>
      <c r="F8321" t="s">
        <v>12388</v>
      </c>
      <c r="G8321" t="s">
        <v>39</v>
      </c>
      <c r="H8321">
        <v>1954</v>
      </c>
      <c r="I8321">
        <v>27.580410000000001</v>
      </c>
      <c r="J8321">
        <v>14.6</v>
      </c>
      <c r="K8321">
        <v>58</v>
      </c>
      <c r="L8321">
        <v>21.038460000000001</v>
      </c>
      <c r="M8321">
        <v>39.200000000000003</v>
      </c>
      <c r="N8321">
        <v>14.380409999999999</v>
      </c>
      <c r="O8321">
        <v>24.819590000000002</v>
      </c>
      <c r="P8321">
        <v>26.980409999999999</v>
      </c>
      <c r="Q8321">
        <v>26.680409999999998</v>
      </c>
      <c r="R8321">
        <v>30.380400000000002</v>
      </c>
      <c r="S8321">
        <v>24.980409999999999</v>
      </c>
      <c r="T8321">
        <v>794.63850000000002</v>
      </c>
      <c r="U8321">
        <v>234.15369999999999</v>
      </c>
      <c r="V8321">
        <v>0</v>
      </c>
      <c r="W8321">
        <v>129.19589999999999</v>
      </c>
      <c r="X8321">
        <v>619.91719999999998</v>
      </c>
      <c r="Y8321">
        <v>0</v>
      </c>
      <c r="Z8321">
        <v>106.1537</v>
      </c>
      <c r="AA8321">
        <v>2.5675680000000001</v>
      </c>
      <c r="AB8321">
        <v>8.9217910000000007</v>
      </c>
      <c r="AC8321">
        <v>1.0539369999999999E-2</v>
      </c>
      <c r="AD8321">
        <v>1.2257819999999999</v>
      </c>
      <c r="AE8321">
        <v>0.38040780000000002</v>
      </c>
      <c r="AF8321">
        <v>18.00338</v>
      </c>
      <c r="AG8321">
        <f>IFERROR(AH8321*0.1, "N/A")</f>
        <v>5.1114860000000002</v>
      </c>
      <c r="AH8321">
        <v>51.11486</v>
      </c>
      <c r="AI8321">
        <v>135.0257</v>
      </c>
      <c r="AJ8321">
        <v>13.72128</v>
      </c>
      <c r="AK8321">
        <v>66.721279999999993</v>
      </c>
    </row>
    <row r="8322" spans="1:37" x14ac:dyDescent="0.3">
      <c r="A8322">
        <v>8321</v>
      </c>
      <c r="B8322">
        <v>71.400000000000006</v>
      </c>
      <c r="C8322">
        <v>-14.7247</v>
      </c>
      <c r="D8322">
        <v>13.417199999999999</v>
      </c>
      <c r="E8322">
        <f>-14.7247-13.4172</f>
        <v>-28.1419</v>
      </c>
      <c r="F8322" t="s">
        <v>12389</v>
      </c>
      <c r="G8322" t="s">
        <v>39</v>
      </c>
      <c r="H8322">
        <v>1954</v>
      </c>
      <c r="I8322">
        <v>27.5</v>
      </c>
      <c r="J8322">
        <v>14.6</v>
      </c>
      <c r="K8322">
        <v>59</v>
      </c>
      <c r="L8322">
        <v>20.63</v>
      </c>
      <c r="M8322">
        <v>39.1</v>
      </c>
      <c r="N8322">
        <v>14.5</v>
      </c>
      <c r="O8322">
        <v>24.6</v>
      </c>
      <c r="P8322">
        <v>26.8</v>
      </c>
      <c r="Q8322">
        <v>26.6</v>
      </c>
      <c r="R8322">
        <v>30.3</v>
      </c>
      <c r="S8322">
        <v>25</v>
      </c>
      <c r="T8322">
        <v>789.41719999999998</v>
      </c>
      <c r="U8322">
        <v>236.88339999999999</v>
      </c>
      <c r="V8322">
        <v>0</v>
      </c>
      <c r="W8322">
        <v>131</v>
      </c>
      <c r="X8322">
        <v>617.65030000000002</v>
      </c>
      <c r="Y8322">
        <v>0</v>
      </c>
      <c r="Z8322">
        <v>104.88339999999999</v>
      </c>
      <c r="AA8322">
        <v>2</v>
      </c>
      <c r="AB8322">
        <v>2.5523660000000001</v>
      </c>
      <c r="AC8322">
        <v>0.1201781</v>
      </c>
      <c r="AD8322">
        <v>1.1791</v>
      </c>
      <c r="AE8322">
        <v>0.55044910000000002</v>
      </c>
      <c r="AF8322">
        <v>47.61318</v>
      </c>
      <c r="AG8322">
        <f>IFERROR(AH8322*0.1, "N/A")</f>
        <v>4.5</v>
      </c>
      <c r="AH8322">
        <v>45</v>
      </c>
      <c r="AI8322">
        <v>128.7621</v>
      </c>
      <c r="AJ8322">
        <v>13.88345</v>
      </c>
      <c r="AK8322">
        <v>71.34966</v>
      </c>
    </row>
    <row r="8323" spans="1:37" x14ac:dyDescent="0.3">
      <c r="A8323">
        <v>8322</v>
      </c>
      <c r="B8323">
        <v>8</v>
      </c>
      <c r="C8323">
        <v>-14.6638</v>
      </c>
      <c r="D8323">
        <v>13.419700000000001</v>
      </c>
      <c r="E8323">
        <f>-14.6638-13.4197</f>
        <v>-28.083500000000001</v>
      </c>
      <c r="F8323" t="s">
        <v>12390</v>
      </c>
      <c r="G8323" t="s">
        <v>39</v>
      </c>
      <c r="H8323">
        <v>1954</v>
      </c>
      <c r="I8323">
        <v>27.6</v>
      </c>
      <c r="J8323">
        <v>14.6</v>
      </c>
      <c r="K8323">
        <v>58</v>
      </c>
      <c r="L8323">
        <v>20.76</v>
      </c>
      <c r="M8323">
        <v>39.200000000000003</v>
      </c>
      <c r="N8323">
        <v>14.4</v>
      </c>
      <c r="O8323">
        <v>24.8</v>
      </c>
      <c r="P8323">
        <v>27.1</v>
      </c>
      <c r="Q8323">
        <v>26.6</v>
      </c>
      <c r="R8323">
        <v>30.4</v>
      </c>
      <c r="S8323">
        <v>25</v>
      </c>
      <c r="T8323">
        <v>796</v>
      </c>
      <c r="U8323">
        <v>235</v>
      </c>
      <c r="V8323">
        <v>0</v>
      </c>
      <c r="W8323">
        <v>130</v>
      </c>
      <c r="X8323">
        <v>621</v>
      </c>
      <c r="Y8323">
        <v>0</v>
      </c>
      <c r="Z8323">
        <v>106</v>
      </c>
      <c r="AA8323">
        <v>3</v>
      </c>
      <c r="AB8323">
        <v>9.8844860000000008</v>
      </c>
      <c r="AC8323">
        <v>8.3470260000000004E-3</v>
      </c>
      <c r="AD8323">
        <v>1.7967960000000001</v>
      </c>
      <c r="AE8323">
        <v>0.41522629999999999</v>
      </c>
      <c r="AF8323">
        <v>19.568300000000001</v>
      </c>
      <c r="AG8323">
        <f>IFERROR(AH8323*0.1, "N/A")</f>
        <v>5.261889</v>
      </c>
      <c r="AH8323">
        <v>52.61889</v>
      </c>
      <c r="AI8323">
        <v>96.473920000000007</v>
      </c>
      <c r="AJ8323">
        <v>18.676220000000001</v>
      </c>
      <c r="AK8323">
        <v>60.676220000000001</v>
      </c>
    </row>
    <row r="8324" spans="1:37" x14ac:dyDescent="0.3">
      <c r="A8324">
        <v>8323</v>
      </c>
      <c r="B8324">
        <v>11.1</v>
      </c>
      <c r="C8324">
        <v>-14.6</v>
      </c>
      <c r="D8324">
        <v>13.433299999999999</v>
      </c>
      <c r="E8324">
        <f>-14.6-13.4333</f>
        <v>-28.033299999999997</v>
      </c>
      <c r="F8324" t="s">
        <v>12391</v>
      </c>
      <c r="G8324" t="s">
        <v>39</v>
      </c>
      <c r="H8324">
        <v>1954</v>
      </c>
      <c r="I8324">
        <v>27.486170000000001</v>
      </c>
      <c r="J8324">
        <v>14.6</v>
      </c>
      <c r="K8324">
        <v>58</v>
      </c>
      <c r="L8324">
        <v>21.69821</v>
      </c>
      <c r="M8324">
        <v>39.186169999999997</v>
      </c>
      <c r="N8324">
        <v>14.14283</v>
      </c>
      <c r="O8324">
        <v>25.043340000000001</v>
      </c>
      <c r="P8324">
        <v>26.942830000000001</v>
      </c>
      <c r="Q8324">
        <v>26.486170000000001</v>
      </c>
      <c r="R8324">
        <v>30.38617</v>
      </c>
      <c r="S8324">
        <v>24.7516</v>
      </c>
      <c r="T8324">
        <v>775.35080000000005</v>
      </c>
      <c r="U8324">
        <v>226.36420000000001</v>
      </c>
      <c r="V8324">
        <v>0</v>
      </c>
      <c r="W8324">
        <v>130.7234</v>
      </c>
      <c r="X8324">
        <v>607.07420000000002</v>
      </c>
      <c r="Y8324">
        <v>0</v>
      </c>
      <c r="Z8324">
        <v>101.1383</v>
      </c>
      <c r="AA8324">
        <v>2</v>
      </c>
      <c r="AB8324">
        <v>2.0659360000000002</v>
      </c>
      <c r="AC8324">
        <v>0.40943079999999998</v>
      </c>
      <c r="AD8324">
        <v>0.47420060000000003</v>
      </c>
      <c r="AE8324">
        <v>0.33348290000000003</v>
      </c>
      <c r="AF8324">
        <v>10.52277</v>
      </c>
      <c r="AG8324">
        <f>IFERROR(AH8324*0.1, "N/A")</f>
        <v>5.621417000000001</v>
      </c>
      <c r="AH8324">
        <v>56.214170000000003</v>
      </c>
      <c r="AI8324">
        <v>7.4043320000000001</v>
      </c>
      <c r="AJ8324">
        <v>17.768969999999999</v>
      </c>
      <c r="AK8324">
        <v>59.234400000000001</v>
      </c>
    </row>
    <row r="8325" spans="1:37" x14ac:dyDescent="0.3">
      <c r="A8325">
        <v>8324</v>
      </c>
      <c r="B8325">
        <v>7.1</v>
      </c>
      <c r="C8325">
        <v>-14.666700000000001</v>
      </c>
      <c r="D8325">
        <v>13.45</v>
      </c>
      <c r="E8325">
        <f>-14.6667-13.45</f>
        <v>-28.116700000000002</v>
      </c>
      <c r="F8325" t="s">
        <v>12392</v>
      </c>
      <c r="G8325" t="s">
        <v>39</v>
      </c>
      <c r="H8325">
        <v>1954</v>
      </c>
      <c r="I8325">
        <v>27.7</v>
      </c>
      <c r="J8325">
        <v>14.63401</v>
      </c>
      <c r="K8325">
        <v>58.340069999999997</v>
      </c>
      <c r="L8325">
        <v>21.313700000000001</v>
      </c>
      <c r="M8325">
        <v>39.4</v>
      </c>
      <c r="N8325">
        <v>14.541079999999999</v>
      </c>
      <c r="O8325">
        <v>24.858920000000001</v>
      </c>
      <c r="P8325">
        <v>27.1</v>
      </c>
      <c r="Q8325">
        <v>26.74108</v>
      </c>
      <c r="R8325">
        <v>30.5</v>
      </c>
      <c r="S8325">
        <v>25.041080000000001</v>
      </c>
      <c r="T8325">
        <v>786.72050000000002</v>
      </c>
      <c r="U8325">
        <v>233.07069999999999</v>
      </c>
      <c r="V8325">
        <v>0</v>
      </c>
      <c r="W8325">
        <v>130</v>
      </c>
      <c r="X8325">
        <v>614.07069999999999</v>
      </c>
      <c r="Y8325">
        <v>0</v>
      </c>
      <c r="Z8325">
        <v>104.6498</v>
      </c>
      <c r="AA8325">
        <v>3</v>
      </c>
      <c r="AB8325">
        <v>4.3638050000000002</v>
      </c>
      <c r="AC8325">
        <v>1.0348410000000001E-2</v>
      </c>
      <c r="AD8325">
        <v>1.5337430000000001</v>
      </c>
      <c r="AE8325">
        <v>0.46088119999999999</v>
      </c>
      <c r="AF8325">
        <v>7.468013</v>
      </c>
      <c r="AG8325">
        <f>IFERROR(AH8325*0.1, "N/A")</f>
        <v>5.6471380000000009</v>
      </c>
      <c r="AH8325">
        <v>56.471380000000003</v>
      </c>
      <c r="AI8325">
        <v>71.682810000000003</v>
      </c>
      <c r="AJ8325">
        <v>25.215489999999999</v>
      </c>
      <c r="AK8325">
        <v>48.670029999999997</v>
      </c>
    </row>
    <row r="8326" spans="1:37" x14ac:dyDescent="0.3">
      <c r="A8326">
        <v>8325</v>
      </c>
      <c r="B8326">
        <v>18.2</v>
      </c>
      <c r="C8326">
        <v>-14.7</v>
      </c>
      <c r="D8326">
        <v>13.45</v>
      </c>
      <c r="E8326">
        <f>-14.7-13.45</f>
        <v>-28.15</v>
      </c>
      <c r="F8326" t="s">
        <v>12393</v>
      </c>
      <c r="G8326" t="s">
        <v>39</v>
      </c>
      <c r="H8326">
        <v>1954</v>
      </c>
      <c r="I8326">
        <v>27.66179</v>
      </c>
      <c r="J8326">
        <v>14.6</v>
      </c>
      <c r="K8326">
        <v>59</v>
      </c>
      <c r="L8326">
        <v>20.749040000000001</v>
      </c>
      <c r="M8326">
        <v>39.346629999999998</v>
      </c>
      <c r="N8326">
        <v>14.64663</v>
      </c>
      <c r="O8326">
        <v>24.7</v>
      </c>
      <c r="P8326">
        <v>27</v>
      </c>
      <c r="Q8326">
        <v>26.74663</v>
      </c>
      <c r="R8326">
        <v>30.461780000000001</v>
      </c>
      <c r="S8326">
        <v>25.1</v>
      </c>
      <c r="T8326">
        <v>784.7559</v>
      </c>
      <c r="U8326">
        <v>234</v>
      </c>
      <c r="V8326">
        <v>0</v>
      </c>
      <c r="W8326">
        <v>130</v>
      </c>
      <c r="X8326">
        <v>613.13800000000003</v>
      </c>
      <c r="Y8326">
        <v>0</v>
      </c>
      <c r="Z8326">
        <v>104.6178</v>
      </c>
      <c r="AA8326">
        <v>3</v>
      </c>
      <c r="AB8326">
        <v>1.19899</v>
      </c>
      <c r="AC8326">
        <v>8.5948250000000002</v>
      </c>
      <c r="AD8326">
        <v>1.427529</v>
      </c>
      <c r="AE8326">
        <v>0.41763159999999999</v>
      </c>
      <c r="AF8326">
        <v>14.020200000000001</v>
      </c>
      <c r="AG8326">
        <f>IFERROR(AH8326*0.1, "N/A")</f>
        <v>5.5</v>
      </c>
      <c r="AH8326">
        <v>55</v>
      </c>
      <c r="AI8326">
        <v>204.46559999999999</v>
      </c>
      <c r="AJ8326">
        <v>19.397310000000001</v>
      </c>
      <c r="AK8326">
        <v>61.151519999999998</v>
      </c>
    </row>
    <row r="8327" spans="1:37" x14ac:dyDescent="0.3">
      <c r="A8327">
        <v>8326</v>
      </c>
      <c r="B8327">
        <v>63.6</v>
      </c>
      <c r="C8327">
        <v>-14.55</v>
      </c>
      <c r="D8327">
        <v>13.45</v>
      </c>
      <c r="E8327">
        <f>-14.55-13.45</f>
        <v>-28</v>
      </c>
      <c r="F8327" t="s">
        <v>12394</v>
      </c>
      <c r="G8327" t="s">
        <v>39</v>
      </c>
      <c r="H8327">
        <v>1954</v>
      </c>
      <c r="I8327">
        <v>27.484850000000002</v>
      </c>
      <c r="J8327">
        <v>14.6</v>
      </c>
      <c r="K8327">
        <v>57.547139999999999</v>
      </c>
      <c r="L8327">
        <v>22.038049999999998</v>
      </c>
      <c r="M8327">
        <v>39.184849999999997</v>
      </c>
      <c r="N8327">
        <v>14.03956</v>
      </c>
      <c r="O8327">
        <v>25.145289999999999</v>
      </c>
      <c r="P8327">
        <v>26.9</v>
      </c>
      <c r="Q8327">
        <v>26.4</v>
      </c>
      <c r="R8327">
        <v>30.339559999999999</v>
      </c>
      <c r="S8327">
        <v>24.684850000000001</v>
      </c>
      <c r="T8327">
        <v>755.07740000000001</v>
      </c>
      <c r="U8327">
        <v>218.48150000000001</v>
      </c>
      <c r="V8327">
        <v>0</v>
      </c>
      <c r="W8327">
        <v>131.03700000000001</v>
      </c>
      <c r="X8327">
        <v>592.96299999999997</v>
      </c>
      <c r="Y8327">
        <v>0</v>
      </c>
      <c r="Z8327">
        <v>95.567340000000002</v>
      </c>
      <c r="AA8327">
        <v>2</v>
      </c>
      <c r="AB8327">
        <v>2.732996</v>
      </c>
      <c r="AC8327">
        <v>0.2143139</v>
      </c>
      <c r="AD8327">
        <v>2.2999049999999999</v>
      </c>
      <c r="AE8327">
        <v>0.40396110000000002</v>
      </c>
      <c r="AF8327">
        <v>13.8367</v>
      </c>
      <c r="AG8327">
        <f>IFERROR(AH8327*0.1, "N/A")</f>
        <v>5.6360270000000003</v>
      </c>
      <c r="AH8327">
        <v>56.36027</v>
      </c>
      <c r="AI8327">
        <v>282.8082</v>
      </c>
      <c r="AJ8327">
        <v>18.395620000000001</v>
      </c>
      <c r="AK8327">
        <v>62.452860000000001</v>
      </c>
    </row>
    <row r="8328" spans="1:37" x14ac:dyDescent="0.3">
      <c r="A8328">
        <v>8327</v>
      </c>
      <c r="B8328">
        <v>9.1</v>
      </c>
      <c r="C8328">
        <v>-14.85</v>
      </c>
      <c r="D8328">
        <v>13.466699999999999</v>
      </c>
      <c r="E8328">
        <f>-14.85-13.4667</f>
        <v>-28.316699999999997</v>
      </c>
      <c r="F8328" t="s">
        <v>12395</v>
      </c>
      <c r="G8328" t="s">
        <v>39</v>
      </c>
      <c r="H8328">
        <v>1954</v>
      </c>
      <c r="I8328">
        <v>27.724869999999999</v>
      </c>
      <c r="J8328">
        <v>14.7</v>
      </c>
      <c r="K8328">
        <v>60</v>
      </c>
      <c r="L8328">
        <v>19.703199999999999</v>
      </c>
      <c r="M8328">
        <v>39.356009999999998</v>
      </c>
      <c r="N8328">
        <v>14.956009999999999</v>
      </c>
      <c r="O8328">
        <v>24.4</v>
      </c>
      <c r="P8328">
        <v>27.1</v>
      </c>
      <c r="Q8328">
        <v>26.832319999999999</v>
      </c>
      <c r="R8328">
        <v>30.356010000000001</v>
      </c>
      <c r="S8328">
        <v>25.324870000000001</v>
      </c>
      <c r="T8328">
        <v>735.58040000000005</v>
      </c>
      <c r="U8328">
        <v>229.68870000000001</v>
      </c>
      <c r="V8328">
        <v>0</v>
      </c>
      <c r="W8328">
        <v>132</v>
      </c>
      <c r="X8328">
        <v>582.12860000000001</v>
      </c>
      <c r="Y8328">
        <v>0</v>
      </c>
      <c r="Z8328">
        <v>94</v>
      </c>
      <c r="AA8328">
        <v>0.76311340000000005</v>
      </c>
      <c r="AB8328">
        <v>6.9605750000000004</v>
      </c>
      <c r="AC8328">
        <v>2.1940439999999999E-2</v>
      </c>
      <c r="AD8328">
        <v>2.4697260000000001</v>
      </c>
      <c r="AE8328">
        <v>0.49862830000000002</v>
      </c>
      <c r="AF8328">
        <v>30.842639999999999</v>
      </c>
      <c r="AG8328">
        <f>IFERROR(AH8328*0.1, "N/A")</f>
        <v>5.3000000000000007</v>
      </c>
      <c r="AH8328">
        <v>53</v>
      </c>
      <c r="AI8328">
        <v>172.39500000000001</v>
      </c>
      <c r="AJ8328">
        <v>11.451779999999999</v>
      </c>
      <c r="AK8328">
        <v>76.096450000000004</v>
      </c>
    </row>
    <row r="8329" spans="1:37" x14ac:dyDescent="0.3">
      <c r="A8329">
        <v>8328</v>
      </c>
      <c r="B8329">
        <v>12.5</v>
      </c>
      <c r="C8329">
        <v>-14.8667</v>
      </c>
      <c r="D8329">
        <v>13.466699999999999</v>
      </c>
      <c r="E8329">
        <f>-14.8667-13.4667</f>
        <v>-28.333399999999997</v>
      </c>
      <c r="F8329" t="s">
        <v>12396</v>
      </c>
      <c r="G8329" t="s">
        <v>39</v>
      </c>
      <c r="H8329">
        <v>1954</v>
      </c>
      <c r="I8329">
        <v>27.7561</v>
      </c>
      <c r="J8329">
        <v>14.7</v>
      </c>
      <c r="K8329">
        <v>60</v>
      </c>
      <c r="L8329">
        <v>19.671659999999999</v>
      </c>
      <c r="M8329">
        <v>39.4</v>
      </c>
      <c r="N8329">
        <v>14.993220000000001</v>
      </c>
      <c r="O8329">
        <v>24.406780000000001</v>
      </c>
      <c r="P8329">
        <v>27.156099999999999</v>
      </c>
      <c r="Q8329">
        <v>26.849319999999999</v>
      </c>
      <c r="R8329">
        <v>30.4</v>
      </c>
      <c r="S8329">
        <v>25.349319999999999</v>
      </c>
      <c r="T8329">
        <v>738.68979999999999</v>
      </c>
      <c r="U8329">
        <v>231.30850000000001</v>
      </c>
      <c r="V8329">
        <v>0</v>
      </c>
      <c r="W8329">
        <v>132.37119999999999</v>
      </c>
      <c r="X8329">
        <v>584.68470000000002</v>
      </c>
      <c r="Y8329">
        <v>0</v>
      </c>
      <c r="Z8329">
        <v>94.005080000000007</v>
      </c>
      <c r="AA8329">
        <v>0</v>
      </c>
      <c r="AB8329">
        <v>2.0650840000000001</v>
      </c>
      <c r="AC8329">
        <v>5.4077069999999998E-2</v>
      </c>
      <c r="AD8329">
        <v>1.4020520000000001</v>
      </c>
      <c r="AE8329">
        <v>0.59670319999999999</v>
      </c>
      <c r="AF8329">
        <v>21.311859999999999</v>
      </c>
      <c r="AG8329">
        <f>IFERROR(AH8329*0.1, "N/A")</f>
        <v>5.6157630000000003</v>
      </c>
      <c r="AH8329">
        <v>56.157629999999997</v>
      </c>
      <c r="AI8329">
        <v>159.7449</v>
      </c>
      <c r="AJ8329">
        <v>9.7881359999999997</v>
      </c>
      <c r="AK8329">
        <v>77.369489999999999</v>
      </c>
    </row>
    <row r="8330" spans="1:37" x14ac:dyDescent="0.3">
      <c r="A8330">
        <v>8329</v>
      </c>
      <c r="B8330">
        <v>12.5</v>
      </c>
      <c r="C8330">
        <v>-14.833299999999999</v>
      </c>
      <c r="D8330">
        <v>13.466699999999999</v>
      </c>
      <c r="E8330">
        <f>-14.8333-13.4667</f>
        <v>-28.299999999999997</v>
      </c>
      <c r="F8330" t="s">
        <v>12397</v>
      </c>
      <c r="G8330" t="s">
        <v>39</v>
      </c>
      <c r="H8330">
        <v>1954</v>
      </c>
      <c r="I8330">
        <v>27.688659999999999</v>
      </c>
      <c r="J8330">
        <v>14.7</v>
      </c>
      <c r="K8330">
        <v>60</v>
      </c>
      <c r="L8330">
        <v>19.88195</v>
      </c>
      <c r="M8330">
        <v>39.356009999999998</v>
      </c>
      <c r="N8330">
        <v>14.9313</v>
      </c>
      <c r="O8330">
        <v>24.424700000000001</v>
      </c>
      <c r="P8330">
        <v>27.102029999999999</v>
      </c>
      <c r="Q8330">
        <v>26.823350000000001</v>
      </c>
      <c r="R8330">
        <v>30.388660000000002</v>
      </c>
      <c r="S8330">
        <v>25.25601</v>
      </c>
      <c r="T8330">
        <v>733.9932</v>
      </c>
      <c r="U8330">
        <v>228.43989999999999</v>
      </c>
      <c r="V8330">
        <v>0</v>
      </c>
      <c r="W8330">
        <v>131.43989999999999</v>
      </c>
      <c r="X8330">
        <v>580.9932</v>
      </c>
      <c r="Y8330">
        <v>0</v>
      </c>
      <c r="Z8330">
        <v>94</v>
      </c>
      <c r="AA8330">
        <v>0.67343489999999995</v>
      </c>
      <c r="AB8330">
        <v>4.5468700000000002</v>
      </c>
      <c r="AC8330">
        <v>5.629377E-2</v>
      </c>
      <c r="AD8330">
        <v>2.7320169999999999</v>
      </c>
      <c r="AE8330">
        <v>0.42819550000000001</v>
      </c>
      <c r="AF8330">
        <v>30.203050000000001</v>
      </c>
      <c r="AG8330">
        <f>IFERROR(AH8330*0.1, "N/A")</f>
        <v>5.3247040000000005</v>
      </c>
      <c r="AH8330">
        <v>53.247039999999998</v>
      </c>
      <c r="AI8330">
        <v>208.53630000000001</v>
      </c>
      <c r="AJ8330">
        <v>12.24704</v>
      </c>
      <c r="AK8330">
        <v>74.505920000000003</v>
      </c>
    </row>
    <row r="8331" spans="1:37" x14ac:dyDescent="0.3">
      <c r="A8331">
        <v>8330</v>
      </c>
      <c r="B8331">
        <v>50</v>
      </c>
      <c r="C8331">
        <v>-14.888500000000001</v>
      </c>
      <c r="D8331">
        <v>13.4765</v>
      </c>
      <c r="E8331">
        <f>-14.8885-13.4765</f>
        <v>-28.365000000000002</v>
      </c>
      <c r="F8331" t="s">
        <v>12398</v>
      </c>
      <c r="G8331" t="s">
        <v>39</v>
      </c>
      <c r="H8331">
        <v>1954</v>
      </c>
      <c r="I8331">
        <v>27.8</v>
      </c>
      <c r="J8331">
        <v>14.7</v>
      </c>
      <c r="K8331">
        <v>60</v>
      </c>
      <c r="L8331">
        <v>19.579999999999998</v>
      </c>
      <c r="M8331">
        <v>39.4</v>
      </c>
      <c r="N8331">
        <v>15</v>
      </c>
      <c r="O8331">
        <v>24.4</v>
      </c>
      <c r="P8331">
        <v>27.2</v>
      </c>
      <c r="Q8331">
        <v>26.8</v>
      </c>
      <c r="R8331">
        <v>30.4</v>
      </c>
      <c r="S8331">
        <v>25.3</v>
      </c>
      <c r="T8331">
        <v>739</v>
      </c>
      <c r="U8331">
        <v>232</v>
      </c>
      <c r="V8331">
        <v>0</v>
      </c>
      <c r="W8331">
        <v>132</v>
      </c>
      <c r="X8331">
        <v>584</v>
      </c>
      <c r="Y8331">
        <v>0</v>
      </c>
      <c r="Z8331">
        <v>94</v>
      </c>
      <c r="AA8331">
        <v>0</v>
      </c>
      <c r="AB8331">
        <v>3.5618889999999999</v>
      </c>
      <c r="AC8331">
        <v>9.8177569999999999E-3</v>
      </c>
      <c r="AD8331">
        <v>1.749215</v>
      </c>
      <c r="AE8331">
        <v>0.45236779999999999</v>
      </c>
      <c r="AF8331">
        <v>14.81282</v>
      </c>
      <c r="AG8331">
        <f>IFERROR(AH8331*0.1, "N/A")</f>
        <v>5.5504220000000002</v>
      </c>
      <c r="AH8331">
        <v>55.504219999999997</v>
      </c>
      <c r="AI8331">
        <v>87.537199999999999</v>
      </c>
      <c r="AJ8331">
        <v>9.0269809999999993</v>
      </c>
      <c r="AK8331">
        <v>76.986509999999996</v>
      </c>
    </row>
    <row r="8332" spans="1:37" x14ac:dyDescent="0.3">
      <c r="A8332">
        <v>8331</v>
      </c>
      <c r="B8332">
        <v>70.599999999999994</v>
      </c>
      <c r="C8332">
        <v>-14.9368</v>
      </c>
      <c r="D8332">
        <v>13.476599999999999</v>
      </c>
      <c r="E8332">
        <f>-14.9368-13.4766</f>
        <v>-28.413399999999999</v>
      </c>
      <c r="F8332" t="s">
        <v>12399</v>
      </c>
      <c r="G8332" t="s">
        <v>39</v>
      </c>
      <c r="H8332">
        <v>1954</v>
      </c>
      <c r="I8332">
        <v>27.7</v>
      </c>
      <c r="J8332">
        <v>14.7</v>
      </c>
      <c r="K8332">
        <v>60</v>
      </c>
      <c r="L8332">
        <v>19.8</v>
      </c>
      <c r="M8332">
        <v>39.5</v>
      </c>
      <c r="N8332">
        <v>15</v>
      </c>
      <c r="O8332">
        <v>24.5</v>
      </c>
      <c r="P8332">
        <v>27.2</v>
      </c>
      <c r="Q8332">
        <v>26.8</v>
      </c>
      <c r="R8332">
        <v>30.4</v>
      </c>
      <c r="S8332">
        <v>25.3</v>
      </c>
      <c r="T8332">
        <v>744</v>
      </c>
      <c r="U8332">
        <v>235</v>
      </c>
      <c r="V8332">
        <v>0</v>
      </c>
      <c r="W8332">
        <v>131</v>
      </c>
      <c r="X8332">
        <v>588</v>
      </c>
      <c r="Y8332">
        <v>0</v>
      </c>
      <c r="Z8332">
        <v>94</v>
      </c>
      <c r="AA8332">
        <v>0</v>
      </c>
      <c r="AB8332">
        <v>3.471622</v>
      </c>
      <c r="AC8332">
        <v>3.7919000000000001E-2</v>
      </c>
      <c r="AD8332">
        <v>1.0551740000000001</v>
      </c>
      <c r="AE8332">
        <v>0.51475629999999994</v>
      </c>
      <c r="AF8332">
        <v>19.6875</v>
      </c>
      <c r="AG8332">
        <f>IFERROR(AH8332*0.1, "N/A")</f>
        <v>5.4527030000000005</v>
      </c>
      <c r="AH8332">
        <v>54.527030000000003</v>
      </c>
      <c r="AI8332">
        <v>243.6439</v>
      </c>
      <c r="AJ8332">
        <v>11.58953</v>
      </c>
      <c r="AK8332">
        <v>76.347970000000004</v>
      </c>
    </row>
    <row r="8333" spans="1:37" x14ac:dyDescent="0.3">
      <c r="A8333">
        <v>8332</v>
      </c>
      <c r="B8333">
        <v>37.5</v>
      </c>
      <c r="C8333">
        <v>-14.816700000000001</v>
      </c>
      <c r="D8333">
        <v>13.4833</v>
      </c>
      <c r="E8333">
        <f>-14.8167-13.4833</f>
        <v>-28.3</v>
      </c>
      <c r="F8333" t="s">
        <v>12400</v>
      </c>
      <c r="G8333" t="s">
        <v>39</v>
      </c>
      <c r="H8333">
        <v>1954</v>
      </c>
      <c r="I8333">
        <v>27.7652</v>
      </c>
      <c r="J8333">
        <v>14.7</v>
      </c>
      <c r="K8333">
        <v>60</v>
      </c>
      <c r="L8333">
        <v>19.847470000000001</v>
      </c>
      <c r="M8333">
        <v>39.419600000000003</v>
      </c>
      <c r="N8333">
        <v>15</v>
      </c>
      <c r="O8333">
        <v>24.419589999999999</v>
      </c>
      <c r="P8333">
        <v>27.150510000000001</v>
      </c>
      <c r="Q8333">
        <v>26.885300000000001</v>
      </c>
      <c r="R8333">
        <v>30.424489999999999</v>
      </c>
      <c r="S8333">
        <v>25.319590000000002</v>
      </c>
      <c r="T8333">
        <v>736.75</v>
      </c>
      <c r="U8333">
        <v>228</v>
      </c>
      <c r="V8333">
        <v>0</v>
      </c>
      <c r="W8333">
        <v>132</v>
      </c>
      <c r="X8333">
        <v>582.75</v>
      </c>
      <c r="Y8333">
        <v>0</v>
      </c>
      <c r="Z8333">
        <v>94</v>
      </c>
      <c r="AA8333">
        <v>0.85304049999999998</v>
      </c>
      <c r="AB8333">
        <v>2.5672299999999999</v>
      </c>
      <c r="AC8333">
        <v>0.1672372</v>
      </c>
      <c r="AD8333">
        <v>1.580962</v>
      </c>
      <c r="AE8333">
        <v>0.47536729999999999</v>
      </c>
      <c r="AF8333">
        <v>22.43074</v>
      </c>
      <c r="AG8333">
        <f>IFERROR(AH8333*0.1, "N/A")</f>
        <v>5.2981420000000004</v>
      </c>
      <c r="AH8333">
        <v>52.98142</v>
      </c>
      <c r="AI8333">
        <v>214.17400000000001</v>
      </c>
      <c r="AJ8333">
        <v>11.26351</v>
      </c>
      <c r="AK8333">
        <v>74.483109999999996</v>
      </c>
    </row>
    <row r="8334" spans="1:37" x14ac:dyDescent="0.3">
      <c r="A8334">
        <v>8333</v>
      </c>
      <c r="B8334">
        <v>76.5</v>
      </c>
      <c r="C8334">
        <v>-14.906599999999999</v>
      </c>
      <c r="D8334">
        <v>13.483700000000001</v>
      </c>
      <c r="E8334">
        <f>-14.9066-13.4837</f>
        <v>-28.3903</v>
      </c>
      <c r="F8334" t="s">
        <v>12401</v>
      </c>
      <c r="G8334" t="s">
        <v>39</v>
      </c>
      <c r="H8334">
        <v>1954</v>
      </c>
      <c r="I8334">
        <v>27.74916</v>
      </c>
      <c r="J8334">
        <v>14.74916</v>
      </c>
      <c r="K8334">
        <v>60</v>
      </c>
      <c r="L8334">
        <v>19.664549999999998</v>
      </c>
      <c r="M8334">
        <v>39.450839999999999</v>
      </c>
      <c r="N8334">
        <v>15</v>
      </c>
      <c r="O8334">
        <v>24.450839999999999</v>
      </c>
      <c r="P8334">
        <v>27.2</v>
      </c>
      <c r="Q8334">
        <v>26.849160000000001</v>
      </c>
      <c r="R8334">
        <v>30.450839999999999</v>
      </c>
      <c r="S8334">
        <v>25.349160000000001</v>
      </c>
      <c r="T8334">
        <v>737.98320000000001</v>
      </c>
      <c r="U8334">
        <v>233</v>
      </c>
      <c r="V8334">
        <v>0</v>
      </c>
      <c r="W8334">
        <v>132.49160000000001</v>
      </c>
      <c r="X8334">
        <v>583.98320000000001</v>
      </c>
      <c r="Y8334">
        <v>0</v>
      </c>
      <c r="Z8334">
        <v>93</v>
      </c>
      <c r="AA8334">
        <v>0</v>
      </c>
      <c r="AB8334">
        <v>2.957576</v>
      </c>
      <c r="AC8334">
        <v>8.3167829999999995E-3</v>
      </c>
      <c r="AD8334">
        <v>0.46444990000000003</v>
      </c>
      <c r="AE8334">
        <v>0.39407700000000001</v>
      </c>
      <c r="AF8334">
        <v>14.47475</v>
      </c>
      <c r="AG8334">
        <f>IFERROR(AH8334*0.1, "N/A")</f>
        <v>5.3548819999999999</v>
      </c>
      <c r="AH8334">
        <v>53.548819999999999</v>
      </c>
      <c r="AI8334">
        <v>23.594270000000002</v>
      </c>
      <c r="AJ8334">
        <v>8.5488219999999995</v>
      </c>
      <c r="AK8334">
        <v>79.451179999999994</v>
      </c>
    </row>
    <row r="8335" spans="1:37" x14ac:dyDescent="0.3">
      <c r="A8335">
        <v>8334</v>
      </c>
      <c r="B8335">
        <v>10</v>
      </c>
      <c r="C8335">
        <v>-14.710699999999999</v>
      </c>
      <c r="D8335">
        <v>13.4993</v>
      </c>
      <c r="E8335">
        <f>-14.7107-13.4993</f>
        <v>-28.21</v>
      </c>
      <c r="F8335" t="s">
        <v>12402</v>
      </c>
      <c r="G8335" t="s">
        <v>39</v>
      </c>
      <c r="H8335">
        <v>1954</v>
      </c>
      <c r="I8335">
        <v>27.71012</v>
      </c>
      <c r="J8335">
        <v>14.61012</v>
      </c>
      <c r="K8335">
        <v>59.101179999999999</v>
      </c>
      <c r="L8335">
        <v>20.539760000000001</v>
      </c>
      <c r="M8335">
        <v>39.410119999999999</v>
      </c>
      <c r="N8335">
        <v>14.910119999999999</v>
      </c>
      <c r="O8335">
        <v>24.5</v>
      </c>
      <c r="P8335">
        <v>27.020240000000001</v>
      </c>
      <c r="Q8335">
        <v>26.810120000000001</v>
      </c>
      <c r="R8335">
        <v>30.5</v>
      </c>
      <c r="S8335">
        <v>25.21012</v>
      </c>
      <c r="T8335">
        <v>768.89880000000005</v>
      </c>
      <c r="U8335">
        <v>230.89879999999999</v>
      </c>
      <c r="V8335">
        <v>0</v>
      </c>
      <c r="W8335">
        <v>130</v>
      </c>
      <c r="X8335">
        <v>602.89880000000005</v>
      </c>
      <c r="Y8335">
        <v>0</v>
      </c>
      <c r="Z8335">
        <v>100</v>
      </c>
      <c r="AA8335">
        <v>3</v>
      </c>
      <c r="AB8335">
        <v>4.3854980000000001</v>
      </c>
      <c r="AC8335">
        <v>9.4190460000000004E-2</v>
      </c>
      <c r="AD8335">
        <v>2.6978300000000002</v>
      </c>
      <c r="AE8335">
        <v>0.48776530000000001</v>
      </c>
      <c r="AF8335">
        <v>12.21585</v>
      </c>
      <c r="AG8335">
        <f>IFERROR(AH8335*0.1, "N/A")</f>
        <v>5.4605400000000008</v>
      </c>
      <c r="AH8335">
        <v>54.605400000000003</v>
      </c>
      <c r="AI8335">
        <v>167.9889</v>
      </c>
      <c r="AJ8335">
        <v>21.032039999999999</v>
      </c>
      <c r="AK8335">
        <v>53.919060000000002</v>
      </c>
    </row>
    <row r="8336" spans="1:37" x14ac:dyDescent="0.3">
      <c r="A8336">
        <v>8335</v>
      </c>
      <c r="B8336">
        <v>23.8</v>
      </c>
      <c r="C8336">
        <v>-14.85</v>
      </c>
      <c r="D8336">
        <v>13.5</v>
      </c>
      <c r="E8336">
        <f>-14.85-13.5</f>
        <v>-28.35</v>
      </c>
      <c r="F8336" t="s">
        <v>12403</v>
      </c>
      <c r="G8336" t="s">
        <v>39</v>
      </c>
      <c r="H8336">
        <v>1954</v>
      </c>
      <c r="I8336">
        <v>27.9</v>
      </c>
      <c r="J8336">
        <v>14.7</v>
      </c>
      <c r="K8336">
        <v>60</v>
      </c>
      <c r="L8336">
        <v>19.79785</v>
      </c>
      <c r="M8336">
        <v>39.5</v>
      </c>
      <c r="N8336">
        <v>15.1</v>
      </c>
      <c r="O8336">
        <v>24.4</v>
      </c>
      <c r="P8336">
        <v>27.261320000000001</v>
      </c>
      <c r="Q8336">
        <v>26.972799999999999</v>
      </c>
      <c r="R8336">
        <v>30.517569999999999</v>
      </c>
      <c r="S8336">
        <v>25.45524</v>
      </c>
      <c r="T8336">
        <v>732.15030000000002</v>
      </c>
      <c r="U8336">
        <v>229</v>
      </c>
      <c r="V8336">
        <v>0</v>
      </c>
      <c r="W8336">
        <v>131.7551</v>
      </c>
      <c r="X8336">
        <v>579.76350000000002</v>
      </c>
      <c r="Y8336">
        <v>0</v>
      </c>
      <c r="Z8336">
        <v>92.38682</v>
      </c>
      <c r="AA8336">
        <v>1</v>
      </c>
      <c r="AB8336">
        <v>6.6780400000000002</v>
      </c>
      <c r="AC8336">
        <v>1.3261E-2</v>
      </c>
      <c r="AD8336">
        <v>1.9253100000000001</v>
      </c>
      <c r="AE8336">
        <v>0.3669519</v>
      </c>
      <c r="AF8336">
        <v>11.40878</v>
      </c>
      <c r="AG8336">
        <f>IFERROR(AH8336*0.1, "N/A")</f>
        <v>5.6552360000000004</v>
      </c>
      <c r="AH8336">
        <v>56.55236</v>
      </c>
      <c r="AI8336">
        <v>86.885959999999997</v>
      </c>
      <c r="AJ8336">
        <v>16.55236</v>
      </c>
      <c r="AK8336">
        <v>68.342910000000003</v>
      </c>
    </row>
    <row r="8337" spans="1:37" x14ac:dyDescent="0.3">
      <c r="A8337">
        <v>8336</v>
      </c>
      <c r="B8337">
        <v>5.6</v>
      </c>
      <c r="C8337">
        <v>-14.833299999999999</v>
      </c>
      <c r="D8337">
        <v>13.5</v>
      </c>
      <c r="E8337">
        <f>-14.8333-13.5</f>
        <v>-28.333300000000001</v>
      </c>
      <c r="F8337" t="s">
        <v>12404</v>
      </c>
      <c r="G8337" t="s">
        <v>39</v>
      </c>
      <c r="H8337">
        <v>1954</v>
      </c>
      <c r="I8337">
        <v>27.9</v>
      </c>
      <c r="J8337">
        <v>14.7</v>
      </c>
      <c r="K8337">
        <v>60</v>
      </c>
      <c r="L8337">
        <v>19.745830000000002</v>
      </c>
      <c r="M8337">
        <v>39.546300000000002</v>
      </c>
      <c r="N8337">
        <v>15.114979999999999</v>
      </c>
      <c r="O8337">
        <v>24.43131</v>
      </c>
      <c r="P8337">
        <v>27.214980000000001</v>
      </c>
      <c r="Q8337">
        <v>27</v>
      </c>
      <c r="R8337">
        <v>30.546299999999999</v>
      </c>
      <c r="S8337">
        <v>25.490069999999999</v>
      </c>
      <c r="T8337">
        <v>732.73569999999995</v>
      </c>
      <c r="U8337">
        <v>228</v>
      </c>
      <c r="V8337">
        <v>0</v>
      </c>
      <c r="W8337">
        <v>131.0993</v>
      </c>
      <c r="X8337">
        <v>580.09929999999997</v>
      </c>
      <c r="Y8337">
        <v>0</v>
      </c>
      <c r="Z8337">
        <v>92.636359999999996</v>
      </c>
      <c r="AA8337">
        <v>0.56228959999999995</v>
      </c>
      <c r="AB8337">
        <v>3.7104379999999999</v>
      </c>
      <c r="AC8337">
        <v>1.461644E-2</v>
      </c>
      <c r="AD8337">
        <v>1.6367750000000001</v>
      </c>
      <c r="AE8337">
        <v>0.44782359999999999</v>
      </c>
      <c r="AF8337">
        <v>10.44781</v>
      </c>
      <c r="AG8337">
        <f>IFERROR(AH8337*0.1, "N/A")</f>
        <v>5.500337</v>
      </c>
      <c r="AH8337">
        <v>55.003369999999997</v>
      </c>
      <c r="AI8337">
        <v>158.25129999999999</v>
      </c>
      <c r="AJ8337">
        <v>14.50168</v>
      </c>
      <c r="AK8337">
        <v>69.996629999999996</v>
      </c>
    </row>
    <row r="8338" spans="1:37" x14ac:dyDescent="0.3">
      <c r="A8338">
        <v>8337</v>
      </c>
      <c r="B8338">
        <v>33.299999999999997</v>
      </c>
      <c r="C8338">
        <v>-14.925700000000001</v>
      </c>
      <c r="D8338">
        <v>13.500299999999999</v>
      </c>
      <c r="E8338">
        <f>-14.9257-13.5003</f>
        <v>-28.426000000000002</v>
      </c>
      <c r="F8338" t="s">
        <v>12405</v>
      </c>
      <c r="G8338" t="s">
        <v>39</v>
      </c>
      <c r="H8338">
        <v>1954</v>
      </c>
      <c r="I8338">
        <v>27.8</v>
      </c>
      <c r="J8338">
        <v>14.8</v>
      </c>
      <c r="K8338">
        <v>60</v>
      </c>
      <c r="L8338">
        <v>19.86224</v>
      </c>
      <c r="M8338">
        <v>39.5</v>
      </c>
      <c r="N8338">
        <v>15</v>
      </c>
      <c r="O8338">
        <v>24.5</v>
      </c>
      <c r="P8338">
        <v>27.3</v>
      </c>
      <c r="Q8338">
        <v>26.8</v>
      </c>
      <c r="R8338">
        <v>30.4</v>
      </c>
      <c r="S8338">
        <v>25.3</v>
      </c>
      <c r="T8338">
        <v>735.62059999999997</v>
      </c>
      <c r="U8338">
        <v>233.1551</v>
      </c>
      <c r="V8338">
        <v>0</v>
      </c>
      <c r="W8338">
        <v>132.1551</v>
      </c>
      <c r="X8338">
        <v>582.31029999999998</v>
      </c>
      <c r="Y8338">
        <v>0</v>
      </c>
      <c r="Z8338">
        <v>92.155140000000003</v>
      </c>
      <c r="AA8338">
        <v>0</v>
      </c>
      <c r="AB8338">
        <v>5.4320409999999999</v>
      </c>
      <c r="AC8338">
        <v>1.0574099999999999E-2</v>
      </c>
      <c r="AD8338">
        <v>1.4992650000000001</v>
      </c>
      <c r="AE8338">
        <v>0.57234479999999999</v>
      </c>
      <c r="AF8338">
        <v>20.10793</v>
      </c>
      <c r="AG8338">
        <f>IFERROR(AH8338*0.1, "N/A")</f>
        <v>5.8000000000000007</v>
      </c>
      <c r="AH8338">
        <v>58</v>
      </c>
      <c r="AI8338">
        <v>63.65945</v>
      </c>
      <c r="AJ8338">
        <v>14</v>
      </c>
      <c r="AK8338">
        <v>73</v>
      </c>
    </row>
    <row r="8339" spans="1:37" x14ac:dyDescent="0.3">
      <c r="A8339">
        <v>8338</v>
      </c>
      <c r="B8339">
        <v>7.7</v>
      </c>
      <c r="C8339">
        <v>-14.8248</v>
      </c>
      <c r="D8339">
        <v>13.5113</v>
      </c>
      <c r="E8339">
        <f>-14.8248-13.5113</f>
        <v>-28.336100000000002</v>
      </c>
      <c r="F8339" t="s">
        <v>12406</v>
      </c>
      <c r="G8339" t="s">
        <v>39</v>
      </c>
      <c r="H8339">
        <v>1954</v>
      </c>
      <c r="I8339">
        <v>27.9</v>
      </c>
      <c r="J8339">
        <v>14.7</v>
      </c>
      <c r="K8339">
        <v>60</v>
      </c>
      <c r="L8339">
        <v>19.47963</v>
      </c>
      <c r="M8339">
        <v>39.54074</v>
      </c>
      <c r="N8339">
        <v>15.2</v>
      </c>
      <c r="O8339">
        <v>24.34074</v>
      </c>
      <c r="P8339">
        <v>27.259260000000001</v>
      </c>
      <c r="Q8339">
        <v>27</v>
      </c>
      <c r="R8339">
        <v>30.54074</v>
      </c>
      <c r="S8339">
        <v>25.5</v>
      </c>
      <c r="T8339">
        <v>734.59259999999995</v>
      </c>
      <c r="U8339">
        <v>228</v>
      </c>
      <c r="V8339">
        <v>0</v>
      </c>
      <c r="W8339">
        <v>132</v>
      </c>
      <c r="X8339">
        <v>581.59259999999995</v>
      </c>
      <c r="Y8339">
        <v>0</v>
      </c>
      <c r="Z8339">
        <v>93</v>
      </c>
      <c r="AA8339">
        <v>0</v>
      </c>
      <c r="AB8339">
        <v>3.2930980000000001</v>
      </c>
      <c r="AC8339">
        <v>0.51003270000000001</v>
      </c>
      <c r="AD8339">
        <v>1.59053</v>
      </c>
      <c r="AE8339">
        <v>0.37335699999999999</v>
      </c>
      <c r="AF8339">
        <v>10.828279999999999</v>
      </c>
      <c r="AG8339">
        <f>IFERROR(AH8339*0.1, "N/A")</f>
        <v>5.4185189999999999</v>
      </c>
      <c r="AH8339">
        <v>54.185189999999999</v>
      </c>
      <c r="AI8339">
        <v>273.09399999999999</v>
      </c>
      <c r="AJ8339">
        <v>13.90404</v>
      </c>
      <c r="AK8339">
        <v>67.813130000000001</v>
      </c>
    </row>
    <row r="8340" spans="1:37" x14ac:dyDescent="0.3">
      <c r="A8340">
        <v>8339</v>
      </c>
      <c r="B8340">
        <v>33.299999999999997</v>
      </c>
      <c r="C8340">
        <v>-14.933299999999999</v>
      </c>
      <c r="D8340">
        <v>13.533300000000001</v>
      </c>
      <c r="E8340">
        <f>-14.9333-13.5333</f>
        <v>-28.4666</v>
      </c>
      <c r="F8340" t="s">
        <v>12407</v>
      </c>
      <c r="G8340" t="s">
        <v>39</v>
      </c>
      <c r="H8340">
        <v>1954</v>
      </c>
      <c r="I8340">
        <v>27.8</v>
      </c>
      <c r="J8340">
        <v>14.8</v>
      </c>
      <c r="K8340">
        <v>60</v>
      </c>
      <c r="L8340">
        <v>19.68796</v>
      </c>
      <c r="M8340">
        <v>39.5</v>
      </c>
      <c r="N8340">
        <v>15.05118</v>
      </c>
      <c r="O8340">
        <v>24.448820000000001</v>
      </c>
      <c r="P8340">
        <v>27.292739999999998</v>
      </c>
      <c r="Q8340">
        <v>26.826519999999999</v>
      </c>
      <c r="R8340">
        <v>30.448820000000001</v>
      </c>
      <c r="S8340">
        <v>25.3</v>
      </c>
      <c r="T8340">
        <v>728.74829999999997</v>
      </c>
      <c r="U8340">
        <v>232.07259999999999</v>
      </c>
      <c r="V8340">
        <v>0</v>
      </c>
      <c r="W8340">
        <v>133.07259999999999</v>
      </c>
      <c r="X8340">
        <v>576.41049999999996</v>
      </c>
      <c r="Y8340">
        <v>0</v>
      </c>
      <c r="Z8340">
        <v>91.265199999999993</v>
      </c>
      <c r="AA8340">
        <v>0</v>
      </c>
      <c r="AB8340">
        <v>2.197635</v>
      </c>
      <c r="AC8340">
        <v>0.1175218</v>
      </c>
      <c r="AD8340">
        <v>0.8345378</v>
      </c>
      <c r="AE8340">
        <v>0.65100119999999995</v>
      </c>
      <c r="AF8340">
        <v>14.36824</v>
      </c>
      <c r="AG8340">
        <f>IFERROR(AH8340*0.1, "N/A")</f>
        <v>5.1246620000000007</v>
      </c>
      <c r="AH8340">
        <v>51.24662</v>
      </c>
      <c r="AI8340">
        <v>189.76650000000001</v>
      </c>
      <c r="AJ8340">
        <v>17.26014</v>
      </c>
      <c r="AK8340">
        <v>62.49324</v>
      </c>
    </row>
    <row r="8341" spans="1:37" x14ac:dyDescent="0.3">
      <c r="A8341">
        <v>8340</v>
      </c>
      <c r="B8341">
        <v>0</v>
      </c>
      <c r="C8341">
        <v>-15.0219</v>
      </c>
      <c r="D8341">
        <v>13.545299999999999</v>
      </c>
      <c r="E8341">
        <f>-15.0219-13.5453</f>
        <v>-28.5672</v>
      </c>
      <c r="F8341" t="s">
        <v>12408</v>
      </c>
      <c r="G8341" t="s">
        <v>39</v>
      </c>
      <c r="H8341">
        <v>1954</v>
      </c>
      <c r="I8341">
        <v>27.6</v>
      </c>
      <c r="J8341">
        <v>14.8</v>
      </c>
      <c r="K8341">
        <v>60</v>
      </c>
      <c r="L8341">
        <v>19.41</v>
      </c>
      <c r="M8341">
        <v>39.299999999999997</v>
      </c>
      <c r="N8341">
        <v>14.9</v>
      </c>
      <c r="O8341">
        <v>24.4</v>
      </c>
      <c r="P8341">
        <v>27.2</v>
      </c>
      <c r="Q8341">
        <v>26.6</v>
      </c>
      <c r="R8341">
        <v>30.2</v>
      </c>
      <c r="S8341">
        <v>25.1</v>
      </c>
      <c r="T8341">
        <v>733</v>
      </c>
      <c r="U8341">
        <v>236</v>
      </c>
      <c r="V8341">
        <v>0</v>
      </c>
      <c r="W8341">
        <v>133</v>
      </c>
      <c r="X8341">
        <v>579</v>
      </c>
      <c r="Y8341">
        <v>0</v>
      </c>
      <c r="Z8341">
        <v>92</v>
      </c>
      <c r="AA8341">
        <v>0</v>
      </c>
      <c r="AB8341">
        <v>5.3453470000000003</v>
      </c>
      <c r="AC8341">
        <v>1.1845949999999999E-2</v>
      </c>
      <c r="AD8341">
        <v>1.7761659999999999</v>
      </c>
      <c r="AE8341">
        <v>0.34067589999999998</v>
      </c>
      <c r="AF8341">
        <v>26.571909999999999</v>
      </c>
      <c r="AG8341">
        <f>IFERROR(AH8341*0.1, "N/A")</f>
        <v>5.105245</v>
      </c>
      <c r="AH8341">
        <v>51.05245</v>
      </c>
      <c r="AI8341">
        <v>228.25919999999999</v>
      </c>
      <c r="AJ8341">
        <v>11.898479999999999</v>
      </c>
      <c r="AK8341">
        <v>73.052449999999993</v>
      </c>
    </row>
    <row r="8342" spans="1:37" x14ac:dyDescent="0.3">
      <c r="A8342">
        <v>8341</v>
      </c>
      <c r="B8342">
        <v>3.3</v>
      </c>
      <c r="C8342">
        <v>-14.972200000000001</v>
      </c>
      <c r="D8342">
        <v>13.5473</v>
      </c>
      <c r="E8342">
        <f>-14.9722-13.5473</f>
        <v>-28.519500000000001</v>
      </c>
      <c r="F8342" t="s">
        <v>12409</v>
      </c>
      <c r="G8342" t="s">
        <v>39</v>
      </c>
      <c r="H8342">
        <v>1954</v>
      </c>
      <c r="I8342">
        <v>27.8</v>
      </c>
      <c r="J8342">
        <v>14.8</v>
      </c>
      <c r="K8342">
        <v>60</v>
      </c>
      <c r="L8342">
        <v>19.309999999999999</v>
      </c>
      <c r="M8342">
        <v>39.5</v>
      </c>
      <c r="N8342">
        <v>15.1</v>
      </c>
      <c r="O8342">
        <v>24.4</v>
      </c>
      <c r="P8342">
        <v>27.3</v>
      </c>
      <c r="Q8342">
        <v>26.8</v>
      </c>
      <c r="R8342">
        <v>30.4</v>
      </c>
      <c r="S8342">
        <v>25.3</v>
      </c>
      <c r="T8342">
        <v>727</v>
      </c>
      <c r="U8342">
        <v>233</v>
      </c>
      <c r="V8342">
        <v>0</v>
      </c>
      <c r="W8342">
        <v>133</v>
      </c>
      <c r="X8342">
        <v>575</v>
      </c>
      <c r="Y8342">
        <v>0</v>
      </c>
      <c r="Z8342">
        <v>91</v>
      </c>
      <c r="AA8342">
        <v>0</v>
      </c>
      <c r="AB8342">
        <v>6.5789210000000002</v>
      </c>
      <c r="AC8342">
        <v>8.3146060000000004E-3</v>
      </c>
      <c r="AD8342">
        <v>1.0018579999999999</v>
      </c>
      <c r="AE8342">
        <v>0.47994350000000002</v>
      </c>
      <c r="AF8342">
        <v>11.676220000000001</v>
      </c>
      <c r="AG8342">
        <f>IFERROR(AH8342*0.1, "N/A")</f>
        <v>5.3288359999999999</v>
      </c>
      <c r="AH8342">
        <v>53.288359999999997</v>
      </c>
      <c r="AI8342">
        <v>112.6157</v>
      </c>
      <c r="AJ8342">
        <v>12.35582</v>
      </c>
      <c r="AK8342">
        <v>69.355819999999994</v>
      </c>
    </row>
    <row r="8343" spans="1:37" x14ac:dyDescent="0.3">
      <c r="A8343">
        <v>8342</v>
      </c>
      <c r="B8343">
        <v>100</v>
      </c>
      <c r="C8343">
        <v>-14.916700000000001</v>
      </c>
      <c r="D8343">
        <v>13.55</v>
      </c>
      <c r="E8343">
        <f>-14.9167-13.55</f>
        <v>-28.466700000000003</v>
      </c>
      <c r="F8343" t="s">
        <v>12410</v>
      </c>
      <c r="G8343" t="s">
        <v>39</v>
      </c>
      <c r="H8343">
        <v>1986</v>
      </c>
      <c r="I8343">
        <v>27.835699999999999</v>
      </c>
      <c r="J8343">
        <v>14.8</v>
      </c>
      <c r="K8343">
        <v>60</v>
      </c>
      <c r="L8343">
        <v>19.655889999999999</v>
      </c>
      <c r="M8343">
        <v>39.535699999999999</v>
      </c>
      <c r="N8343">
        <v>15.1357</v>
      </c>
      <c r="O8343">
        <v>24.4</v>
      </c>
      <c r="P8343">
        <v>27.277329999999999</v>
      </c>
      <c r="Q8343">
        <v>26.894079999999999</v>
      </c>
      <c r="R8343">
        <v>30.435700000000001</v>
      </c>
      <c r="S8343">
        <v>25.335699999999999</v>
      </c>
      <c r="T8343">
        <v>724.60580000000004</v>
      </c>
      <c r="U8343">
        <v>230.8663</v>
      </c>
      <c r="V8343">
        <v>0</v>
      </c>
      <c r="W8343">
        <v>132.643</v>
      </c>
      <c r="X8343">
        <v>573.37900000000002</v>
      </c>
      <c r="Y8343">
        <v>0</v>
      </c>
      <c r="Z8343">
        <v>90.226730000000003</v>
      </c>
      <c r="AA8343">
        <v>0.2267343</v>
      </c>
      <c r="AB8343">
        <v>1.243317</v>
      </c>
      <c r="AC8343">
        <v>0.23515849999999999</v>
      </c>
      <c r="AD8343">
        <v>1.4216930000000001</v>
      </c>
      <c r="AE8343">
        <v>0.34489730000000002</v>
      </c>
      <c r="AF8343">
        <v>10.006769999999999</v>
      </c>
      <c r="AG8343">
        <f>IFERROR(AH8343*0.1, "N/A")</f>
        <v>5.6377330000000008</v>
      </c>
      <c r="AH8343">
        <v>56.377330000000001</v>
      </c>
      <c r="AI8343">
        <v>51.04318</v>
      </c>
      <c r="AJ8343">
        <v>19.60575</v>
      </c>
      <c r="AK8343">
        <v>55.411169999999998</v>
      </c>
    </row>
    <row r="8344" spans="1:37" x14ac:dyDescent="0.3">
      <c r="A8344">
        <v>8343</v>
      </c>
      <c r="B8344">
        <v>23</v>
      </c>
      <c r="C8344">
        <v>-15.7</v>
      </c>
      <c r="D8344">
        <v>13.55</v>
      </c>
      <c r="E8344">
        <f>-15.7-13.55</f>
        <v>-29.25</v>
      </c>
      <c r="F8344" t="s">
        <v>12411</v>
      </c>
      <c r="G8344" t="s">
        <v>39</v>
      </c>
      <c r="H8344">
        <v>1986</v>
      </c>
      <c r="I8344">
        <v>27.424109999999999</v>
      </c>
      <c r="J8344">
        <v>14.6</v>
      </c>
      <c r="K8344">
        <v>60.758850000000002</v>
      </c>
      <c r="L8344">
        <v>19.223949999999999</v>
      </c>
      <c r="M8344">
        <v>38.74823</v>
      </c>
      <c r="N8344">
        <v>14.8855</v>
      </c>
      <c r="O8344">
        <v>23.862729999999999</v>
      </c>
      <c r="P8344">
        <v>27.424109999999999</v>
      </c>
      <c r="Q8344">
        <v>26.02411</v>
      </c>
      <c r="R8344">
        <v>29.824110000000001</v>
      </c>
      <c r="S8344">
        <v>24.624120000000001</v>
      </c>
      <c r="T8344">
        <v>716.54639999999995</v>
      </c>
      <c r="U8344">
        <v>240.40129999999999</v>
      </c>
      <c r="V8344">
        <v>0</v>
      </c>
      <c r="W8344">
        <v>140.40129999999999</v>
      </c>
      <c r="X8344">
        <v>596.40129999999999</v>
      </c>
      <c r="Y8344">
        <v>0</v>
      </c>
      <c r="Z8344">
        <v>66.145030000000006</v>
      </c>
      <c r="AA8344">
        <v>1</v>
      </c>
      <c r="AB8344">
        <v>13.77572</v>
      </c>
      <c r="AC8344">
        <v>5.130299E-2</v>
      </c>
      <c r="AD8344">
        <v>2.3273389999999998</v>
      </c>
      <c r="AE8344">
        <v>0.31981090000000001</v>
      </c>
      <c r="AF8344">
        <v>31.45025</v>
      </c>
      <c r="AG8344">
        <f>IFERROR(AH8344*0.1, "N/A")</f>
        <v>4.638617</v>
      </c>
      <c r="AH8344">
        <v>46.38617</v>
      </c>
      <c r="AI8344">
        <v>145.89320000000001</v>
      </c>
      <c r="AJ8344">
        <v>15.4199</v>
      </c>
      <c r="AK8344">
        <v>71.774029999999996</v>
      </c>
    </row>
    <row r="8345" spans="1:37" x14ac:dyDescent="0.3">
      <c r="A8345">
        <v>8344</v>
      </c>
      <c r="B8345">
        <v>4.8</v>
      </c>
      <c r="C8345">
        <v>-14.933299999999999</v>
      </c>
      <c r="D8345">
        <v>13.55</v>
      </c>
      <c r="E8345">
        <f>-14.9333-13.55</f>
        <v>-28.4833</v>
      </c>
      <c r="F8345" t="s">
        <v>12412</v>
      </c>
      <c r="G8345" t="s">
        <v>39</v>
      </c>
      <c r="H8345">
        <v>1954</v>
      </c>
      <c r="I8345">
        <v>27.882200000000001</v>
      </c>
      <c r="J8345">
        <v>14.8</v>
      </c>
      <c r="K8345">
        <v>60</v>
      </c>
      <c r="L8345">
        <v>19.706810000000001</v>
      </c>
      <c r="M8345">
        <v>39.6</v>
      </c>
      <c r="N8345">
        <v>15.193049999999999</v>
      </c>
      <c r="O8345">
        <v>24.406949999999998</v>
      </c>
      <c r="P8345">
        <v>27.306950000000001</v>
      </c>
      <c r="Q8345">
        <v>26.9</v>
      </c>
      <c r="R8345">
        <v>30.5</v>
      </c>
      <c r="S8345">
        <v>25.4</v>
      </c>
      <c r="T8345">
        <v>725.17460000000005</v>
      </c>
      <c r="U8345">
        <v>231.178</v>
      </c>
      <c r="V8345">
        <v>0</v>
      </c>
      <c r="W8345">
        <v>132.71190000000001</v>
      </c>
      <c r="X8345">
        <v>573.53219999999999</v>
      </c>
      <c r="Y8345">
        <v>0</v>
      </c>
      <c r="Z8345">
        <v>90.711860000000001</v>
      </c>
      <c r="AA8345">
        <v>0.46440680000000001</v>
      </c>
      <c r="AB8345">
        <v>1.25322</v>
      </c>
      <c r="AC8345">
        <v>2.6402549999999998</v>
      </c>
      <c r="AD8345">
        <v>2.01674</v>
      </c>
      <c r="AE8345">
        <v>0.60722370000000003</v>
      </c>
      <c r="AF8345">
        <v>1.7813559999999999</v>
      </c>
      <c r="AG8345">
        <f>IFERROR(AH8345*0.1, "N/A")</f>
        <v>6.0520339999999999</v>
      </c>
      <c r="AH8345">
        <v>60.520339999999997</v>
      </c>
      <c r="AI8345">
        <v>227.63380000000001</v>
      </c>
      <c r="AJ8345">
        <v>31.927119999999999</v>
      </c>
      <c r="AK8345">
        <v>43.752540000000003</v>
      </c>
    </row>
    <row r="8346" spans="1:37" x14ac:dyDescent="0.3">
      <c r="A8346">
        <v>8345</v>
      </c>
      <c r="B8346">
        <v>36.4</v>
      </c>
      <c r="C8346">
        <v>35.108400000000003</v>
      </c>
      <c r="D8346">
        <v>9.7910000000000004</v>
      </c>
      <c r="E8346" t="s">
        <v>12413</v>
      </c>
      <c r="F8346" t="s">
        <v>12414</v>
      </c>
      <c r="G8346" t="s">
        <v>37</v>
      </c>
      <c r="H8346">
        <v>1990</v>
      </c>
      <c r="I8346">
        <v>20.265630000000002</v>
      </c>
      <c r="J8346">
        <v>12.38618</v>
      </c>
      <c r="K8346">
        <v>70</v>
      </c>
      <c r="L8346">
        <v>14.12739</v>
      </c>
      <c r="M8346">
        <v>30.35181</v>
      </c>
      <c r="N8346">
        <v>12.69326</v>
      </c>
      <c r="O8346">
        <v>17.658550000000002</v>
      </c>
      <c r="P8346">
        <v>18.75855</v>
      </c>
      <c r="Q8346">
        <v>20.779450000000001</v>
      </c>
      <c r="R8346">
        <v>22.365629999999999</v>
      </c>
      <c r="S8346">
        <v>18.75855</v>
      </c>
      <c r="T8346">
        <v>1594.0260000000001</v>
      </c>
      <c r="U8346">
        <v>302.41109999999998</v>
      </c>
      <c r="V8346">
        <v>1.138169</v>
      </c>
      <c r="W8346">
        <v>93</v>
      </c>
      <c r="X8346">
        <v>884.75130000000001</v>
      </c>
      <c r="Y8346">
        <v>9.2763390000000001</v>
      </c>
      <c r="Z8346">
        <v>86.690849999999998</v>
      </c>
      <c r="AA8346">
        <v>884.75130000000001</v>
      </c>
      <c r="AB8346">
        <v>27.75825</v>
      </c>
      <c r="AC8346">
        <v>9.2916910000000005E-2</v>
      </c>
      <c r="AD8346">
        <v>7.7362190000000002</v>
      </c>
      <c r="AE8346">
        <v>0.50081220000000004</v>
      </c>
      <c r="AF8346">
        <v>1647.1610000000001</v>
      </c>
      <c r="AG8346">
        <f>IFERROR(AH8346*0.1, "N/A")</f>
        <v>5.959067000000001</v>
      </c>
      <c r="AH8346">
        <v>59.590670000000003</v>
      </c>
      <c r="AI8346">
        <v>97.606380000000001</v>
      </c>
      <c r="AJ8346">
        <v>42.867010000000001</v>
      </c>
      <c r="AK8346">
        <v>32.253889999999998</v>
      </c>
    </row>
    <row r="8347" spans="1:37" x14ac:dyDescent="0.3">
      <c r="A8347">
        <v>8346</v>
      </c>
      <c r="B8347">
        <v>0</v>
      </c>
      <c r="C8347">
        <v>37.851199999999999</v>
      </c>
      <c r="D8347">
        <v>6.3346</v>
      </c>
      <c r="E8347" t="s">
        <v>12415</v>
      </c>
      <c r="F8347" t="s">
        <v>12416</v>
      </c>
      <c r="G8347" t="s">
        <v>37</v>
      </c>
      <c r="H8347">
        <v>1994</v>
      </c>
      <c r="I8347">
        <v>24.1</v>
      </c>
      <c r="J8347">
        <v>13.8</v>
      </c>
      <c r="K8347">
        <v>77</v>
      </c>
      <c r="L8347">
        <v>8.0399999999999991</v>
      </c>
      <c r="M8347">
        <v>33.700000000000003</v>
      </c>
      <c r="N8347">
        <v>15.8</v>
      </c>
      <c r="O8347">
        <v>17.899999999999999</v>
      </c>
      <c r="P8347">
        <v>24.4</v>
      </c>
      <c r="Q8347">
        <v>24.4</v>
      </c>
      <c r="R8347">
        <v>25.3</v>
      </c>
      <c r="S8347">
        <v>23.2</v>
      </c>
      <c r="T8347">
        <v>680</v>
      </c>
      <c r="U8347">
        <v>102</v>
      </c>
      <c r="V8347">
        <v>11</v>
      </c>
      <c r="W8347">
        <v>48</v>
      </c>
      <c r="X8347">
        <v>241</v>
      </c>
      <c r="Y8347">
        <v>52</v>
      </c>
      <c r="Z8347">
        <v>152</v>
      </c>
      <c r="AA8347">
        <v>209</v>
      </c>
      <c r="AB8347">
        <v>0</v>
      </c>
      <c r="AC8347">
        <v>0.19938359999999999</v>
      </c>
      <c r="AD8347">
        <v>0</v>
      </c>
      <c r="AE8347" t="s">
        <v>729</v>
      </c>
      <c r="AF8347">
        <v>1172</v>
      </c>
      <c r="AG8347" t="str">
        <f>IFERROR(AH8347*0.1, "N/A")</f>
        <v>N/A</v>
      </c>
      <c r="AH8347" t="s">
        <v>729</v>
      </c>
      <c r="AI8347">
        <v>0</v>
      </c>
      <c r="AJ8347" t="s">
        <v>729</v>
      </c>
      <c r="AK8347" t="s">
        <v>729</v>
      </c>
    </row>
    <row r="8348" spans="1:37" x14ac:dyDescent="0.3">
      <c r="A8348">
        <v>8347</v>
      </c>
      <c r="B8348">
        <v>90.6</v>
      </c>
      <c r="C8348">
        <v>39.866700000000002</v>
      </c>
      <c r="D8348">
        <v>10.716699999999999</v>
      </c>
      <c r="E8348" t="s">
        <v>12417</v>
      </c>
      <c r="F8348" t="s">
        <v>12418</v>
      </c>
      <c r="G8348" t="s">
        <v>37</v>
      </c>
      <c r="H8348">
        <v>2007</v>
      </c>
      <c r="I8348">
        <v>21.770099999999999</v>
      </c>
      <c r="J8348">
        <v>14.99536</v>
      </c>
      <c r="K8348">
        <v>64.953609999999998</v>
      </c>
      <c r="L8348">
        <v>18.955190000000002</v>
      </c>
      <c r="M8348">
        <v>33.170099999999998</v>
      </c>
      <c r="N8348">
        <v>10.165459999999999</v>
      </c>
      <c r="O8348">
        <v>23.004639999999998</v>
      </c>
      <c r="P8348">
        <v>22.470099999999999</v>
      </c>
      <c r="Q8348">
        <v>20.065460000000002</v>
      </c>
      <c r="R8348">
        <v>23.970099999999999</v>
      </c>
      <c r="S8348">
        <v>19.165459999999999</v>
      </c>
      <c r="T8348">
        <v>952.50340000000006</v>
      </c>
      <c r="U8348">
        <v>240.34540000000001</v>
      </c>
      <c r="V8348">
        <v>16</v>
      </c>
      <c r="W8348">
        <v>86</v>
      </c>
      <c r="X8348">
        <v>545.89520000000005</v>
      </c>
      <c r="Y8348">
        <v>75.345359999999999</v>
      </c>
      <c r="Z8348">
        <v>313</v>
      </c>
      <c r="AA8348">
        <v>75.345359999999999</v>
      </c>
      <c r="AB8348">
        <v>15.542260000000001</v>
      </c>
      <c r="AC8348">
        <v>1.667339E-2</v>
      </c>
      <c r="AD8348">
        <v>1.1786859999999999</v>
      </c>
      <c r="AE8348">
        <v>0.65051119999999996</v>
      </c>
      <c r="AF8348">
        <v>1436.316</v>
      </c>
      <c r="AG8348">
        <f>IFERROR(AH8348*0.1, "N/A")</f>
        <v>7.224399</v>
      </c>
      <c r="AH8348">
        <v>72.243989999999997</v>
      </c>
      <c r="AI8348">
        <v>265.1678</v>
      </c>
      <c r="AJ8348">
        <v>37.037799999999997</v>
      </c>
      <c r="AK8348">
        <v>33.962200000000003</v>
      </c>
    </row>
    <row r="8349" spans="1:37" x14ac:dyDescent="0.3">
      <c r="A8349">
        <v>8348</v>
      </c>
      <c r="B8349">
        <v>26.7</v>
      </c>
      <c r="C8349">
        <v>38.316600000000001</v>
      </c>
      <c r="D8349">
        <v>14.032400000000001</v>
      </c>
      <c r="E8349" t="s">
        <v>12419</v>
      </c>
      <c r="F8349" t="s">
        <v>12420</v>
      </c>
      <c r="G8349" t="s">
        <v>37</v>
      </c>
      <c r="H8349">
        <v>2002</v>
      </c>
      <c r="I8349">
        <v>21.047720000000002</v>
      </c>
      <c r="J8349">
        <v>16.05649</v>
      </c>
      <c r="K8349">
        <v>70</v>
      </c>
      <c r="L8349">
        <v>17.875969999999999</v>
      </c>
      <c r="M8349">
        <v>32.843339999999998</v>
      </c>
      <c r="N8349">
        <v>10.13035</v>
      </c>
      <c r="O8349">
        <v>22.712980000000002</v>
      </c>
      <c r="P8349">
        <v>20.086849999999998</v>
      </c>
      <c r="Q8349">
        <v>20.108599999999999</v>
      </c>
      <c r="R8349">
        <v>23.565090000000001</v>
      </c>
      <c r="S8349">
        <v>19.308599999999998</v>
      </c>
      <c r="T8349">
        <v>867.48059999999998</v>
      </c>
      <c r="U8349">
        <v>282.74029999999999</v>
      </c>
      <c r="V8349">
        <v>0.391231</v>
      </c>
      <c r="W8349">
        <v>134</v>
      </c>
      <c r="X8349">
        <v>662.04549999999995</v>
      </c>
      <c r="Y8349">
        <v>4.7824619999999998</v>
      </c>
      <c r="Z8349">
        <v>179.87020000000001</v>
      </c>
      <c r="AA8349">
        <v>650.65430000000003</v>
      </c>
      <c r="AB8349">
        <v>398.65719999999999</v>
      </c>
      <c r="AC8349">
        <v>1.5056150000000001E-2</v>
      </c>
      <c r="AD8349">
        <v>10.229710000000001</v>
      </c>
      <c r="AE8349">
        <v>0.33619080000000001</v>
      </c>
      <c r="AF8349">
        <v>1908.9880000000001</v>
      </c>
      <c r="AG8349">
        <f>IFERROR(AH8349*0.1, "N/A")</f>
        <v>5.9930860000000008</v>
      </c>
      <c r="AH8349">
        <v>59.930860000000003</v>
      </c>
      <c r="AI8349">
        <v>20.721509999999999</v>
      </c>
      <c r="AJ8349">
        <v>35.33052</v>
      </c>
      <c r="AK8349">
        <v>41.094439999999999</v>
      </c>
    </row>
    <row r="8350" spans="1:37" x14ac:dyDescent="0.3">
      <c r="A8350">
        <v>8349</v>
      </c>
      <c r="B8350">
        <v>0</v>
      </c>
      <c r="C8350">
        <v>35.966700000000003</v>
      </c>
      <c r="D8350">
        <v>4.8</v>
      </c>
      <c r="E8350" t="s">
        <v>12421</v>
      </c>
      <c r="F8350" t="s">
        <v>12422</v>
      </c>
      <c r="G8350" t="s">
        <v>37</v>
      </c>
      <c r="H8350">
        <v>1987</v>
      </c>
      <c r="I8350">
        <v>28.560310000000001</v>
      </c>
      <c r="J8350">
        <v>11.660310000000001</v>
      </c>
      <c r="K8350">
        <v>78.603149999999999</v>
      </c>
      <c r="L8350">
        <v>8.2523079999999993</v>
      </c>
      <c r="M8350">
        <v>36.860320000000002</v>
      </c>
      <c r="N8350">
        <v>22.060310000000001</v>
      </c>
      <c r="O8350">
        <v>14.8</v>
      </c>
      <c r="P8350">
        <v>28.810310000000001</v>
      </c>
      <c r="Q8350">
        <v>28.01031</v>
      </c>
      <c r="R8350">
        <v>29.8</v>
      </c>
      <c r="S8350">
        <v>27.6</v>
      </c>
      <c r="T8350">
        <v>408.5874</v>
      </c>
      <c r="U8350">
        <v>80.896850000000001</v>
      </c>
      <c r="V8350">
        <v>11</v>
      </c>
      <c r="W8350">
        <v>63.206290000000003</v>
      </c>
      <c r="X8350">
        <v>199.2937</v>
      </c>
      <c r="Y8350">
        <v>47</v>
      </c>
      <c r="Z8350">
        <v>93</v>
      </c>
      <c r="AA8350">
        <v>65.293710000000004</v>
      </c>
      <c r="AB8350">
        <v>3.9916109999999998</v>
      </c>
      <c r="AC8350">
        <v>2.417035E-2</v>
      </c>
      <c r="AD8350">
        <v>0.93765229999999999</v>
      </c>
      <c r="AE8350">
        <v>0.19181380000000001</v>
      </c>
      <c r="AF8350">
        <v>384.6189</v>
      </c>
      <c r="AG8350">
        <f>IFERROR(AH8350*0.1, "N/A")</f>
        <v>7.5</v>
      </c>
      <c r="AH8350">
        <v>75</v>
      </c>
      <c r="AI8350">
        <v>122.8858</v>
      </c>
      <c r="AJ8350">
        <v>29</v>
      </c>
      <c r="AK8350">
        <v>46.53322</v>
      </c>
    </row>
    <row r="8351" spans="1:37" x14ac:dyDescent="0.3">
      <c r="A8351">
        <v>8350</v>
      </c>
      <c r="B8351">
        <v>2.5</v>
      </c>
      <c r="C8351">
        <v>36.0501</v>
      </c>
      <c r="D8351">
        <v>4.80314</v>
      </c>
      <c r="E8351" t="s">
        <v>12423</v>
      </c>
      <c r="F8351" t="s">
        <v>12424</v>
      </c>
      <c r="G8351" t="s">
        <v>37</v>
      </c>
      <c r="H8351">
        <v>1994</v>
      </c>
      <c r="I8351">
        <v>28.6</v>
      </c>
      <c r="J8351">
        <v>11.7</v>
      </c>
      <c r="K8351">
        <v>79</v>
      </c>
      <c r="L8351">
        <v>7.9568060000000003</v>
      </c>
      <c r="M8351">
        <v>36.9</v>
      </c>
      <c r="N8351">
        <v>22.1</v>
      </c>
      <c r="O8351">
        <v>14.8</v>
      </c>
      <c r="P8351">
        <v>28.9</v>
      </c>
      <c r="Q8351">
        <v>28.06597</v>
      </c>
      <c r="R8351">
        <v>29.8</v>
      </c>
      <c r="S8351">
        <v>27.7</v>
      </c>
      <c r="T8351">
        <v>399.68060000000003</v>
      </c>
      <c r="U8351">
        <v>78</v>
      </c>
      <c r="V8351">
        <v>10</v>
      </c>
      <c r="W8351">
        <v>63.659689999999998</v>
      </c>
      <c r="X8351">
        <v>193.65969999999999</v>
      </c>
      <c r="Y8351">
        <v>45.340310000000002</v>
      </c>
      <c r="Z8351">
        <v>91</v>
      </c>
      <c r="AA8351">
        <v>62</v>
      </c>
      <c r="AB8351">
        <v>0.71116570000000001</v>
      </c>
      <c r="AC8351">
        <v>8.5184449999999995E-3</v>
      </c>
      <c r="AD8351">
        <v>1.400857</v>
      </c>
      <c r="AE8351">
        <v>0.20292940000000001</v>
      </c>
      <c r="AF8351">
        <v>370.56720000000001</v>
      </c>
      <c r="AG8351">
        <f>IFERROR(AH8351*0.1, "N/A")</f>
        <v>7.6000000000000005</v>
      </c>
      <c r="AH8351">
        <v>76</v>
      </c>
      <c r="AI8351">
        <v>151.0188</v>
      </c>
      <c r="AJ8351">
        <v>41.319369999999999</v>
      </c>
      <c r="AK8351">
        <v>23.581150000000001</v>
      </c>
    </row>
    <row r="8352" spans="1:37" x14ac:dyDescent="0.3">
      <c r="A8352">
        <v>8351</v>
      </c>
      <c r="B8352">
        <v>0</v>
      </c>
      <c r="C8352">
        <v>38.083300000000001</v>
      </c>
      <c r="D8352">
        <v>4.8833299999999999</v>
      </c>
      <c r="E8352" t="s">
        <v>12425</v>
      </c>
      <c r="F8352" t="s">
        <v>12426</v>
      </c>
      <c r="G8352" t="s">
        <v>37</v>
      </c>
      <c r="H8352">
        <v>1987</v>
      </c>
      <c r="I8352">
        <v>18.6267</v>
      </c>
      <c r="J8352">
        <v>12.341189999999999</v>
      </c>
      <c r="K8352">
        <v>71.160560000000004</v>
      </c>
      <c r="L8352">
        <v>11.67653</v>
      </c>
      <c r="M8352">
        <v>28.50628</v>
      </c>
      <c r="N8352">
        <v>11.25881</v>
      </c>
      <c r="O8352">
        <v>17.24747</v>
      </c>
      <c r="P8352">
        <v>18.94904</v>
      </c>
      <c r="Q8352">
        <v>17.185510000000001</v>
      </c>
      <c r="R8352">
        <v>20.349039999999999</v>
      </c>
      <c r="S8352">
        <v>17.185510000000001</v>
      </c>
      <c r="T8352">
        <v>637.70860000000005</v>
      </c>
      <c r="U8352">
        <v>160.57239999999999</v>
      </c>
      <c r="V8352">
        <v>7.411867</v>
      </c>
      <c r="W8352">
        <v>79.588130000000007</v>
      </c>
      <c r="X8352">
        <v>321.9092</v>
      </c>
      <c r="Y8352">
        <v>46.556719999999999</v>
      </c>
      <c r="Z8352">
        <v>148.7801</v>
      </c>
      <c r="AA8352">
        <v>46.556719999999999</v>
      </c>
      <c r="AB8352">
        <v>70.561229999999995</v>
      </c>
      <c r="AC8352">
        <v>9.9741889999999996E-3</v>
      </c>
      <c r="AD8352">
        <v>6.6803879999999998</v>
      </c>
      <c r="AE8352">
        <v>0.34725240000000002</v>
      </c>
      <c r="AF8352">
        <v>1900.5619999999999</v>
      </c>
      <c r="AG8352">
        <f>IFERROR(AH8352*0.1, "N/A")</f>
        <v>5.9464220000000001</v>
      </c>
      <c r="AH8352">
        <v>59.464219999999997</v>
      </c>
      <c r="AI8352">
        <v>223.15799999999999</v>
      </c>
      <c r="AJ8352">
        <v>29.15183</v>
      </c>
      <c r="AK8352">
        <v>53.848170000000003</v>
      </c>
    </row>
    <row r="8353" spans="1:37" x14ac:dyDescent="0.3">
      <c r="A8353">
        <v>8352</v>
      </c>
      <c r="B8353">
        <v>23.5</v>
      </c>
      <c r="C8353">
        <v>44.914299999999997</v>
      </c>
      <c r="D8353">
        <v>5.0724600000000004</v>
      </c>
      <c r="E8353" t="s">
        <v>12427</v>
      </c>
      <c r="F8353" t="s">
        <v>12428</v>
      </c>
      <c r="G8353" t="s">
        <v>39</v>
      </c>
      <c r="H8353">
        <v>1978</v>
      </c>
      <c r="I8353">
        <v>28.8</v>
      </c>
      <c r="J8353">
        <v>12.4</v>
      </c>
      <c r="K8353">
        <v>80</v>
      </c>
      <c r="L8353">
        <v>7.42</v>
      </c>
      <c r="M8353">
        <v>37.1</v>
      </c>
      <c r="N8353">
        <v>21.6</v>
      </c>
      <c r="O8353">
        <v>15.5</v>
      </c>
      <c r="P8353">
        <v>29.7</v>
      </c>
      <c r="Q8353">
        <v>28.1</v>
      </c>
      <c r="R8353">
        <v>29.8</v>
      </c>
      <c r="S8353">
        <v>28.1</v>
      </c>
      <c r="T8353">
        <v>249</v>
      </c>
      <c r="U8353">
        <v>74</v>
      </c>
      <c r="V8353">
        <v>0</v>
      </c>
      <c r="W8353">
        <v>126</v>
      </c>
      <c r="X8353">
        <v>139</v>
      </c>
      <c r="Y8353">
        <v>2</v>
      </c>
      <c r="Z8353">
        <v>85</v>
      </c>
      <c r="AA8353">
        <v>2</v>
      </c>
      <c r="AB8353">
        <v>6.1463200000000002</v>
      </c>
      <c r="AC8353">
        <v>8.1505229999999998E-2</v>
      </c>
      <c r="AD8353">
        <v>1.8096449999999999</v>
      </c>
      <c r="AE8353">
        <v>0.20023289999999999</v>
      </c>
      <c r="AF8353">
        <v>208.34389999999999</v>
      </c>
      <c r="AG8353">
        <f>IFERROR(AH8353*0.1, "N/A")</f>
        <v>7.6001750000000001</v>
      </c>
      <c r="AH8353">
        <v>76.001750000000001</v>
      </c>
      <c r="AI8353">
        <v>239.07300000000001</v>
      </c>
      <c r="AJ8353">
        <v>22.001750000000001</v>
      </c>
      <c r="AK8353">
        <v>53.064909999999998</v>
      </c>
    </row>
    <row r="8354" spans="1:37" x14ac:dyDescent="0.3">
      <c r="A8354">
        <v>8353</v>
      </c>
      <c r="B8354">
        <v>2.5</v>
      </c>
      <c r="C8354">
        <v>36.200000000000003</v>
      </c>
      <c r="D8354">
        <v>5.15</v>
      </c>
      <c r="E8354" t="s">
        <v>12429</v>
      </c>
      <c r="F8354" t="s">
        <v>12430</v>
      </c>
      <c r="G8354" t="s">
        <v>37</v>
      </c>
      <c r="H8354">
        <v>1987</v>
      </c>
      <c r="I8354">
        <v>27.98901</v>
      </c>
      <c r="J8354">
        <v>11.8</v>
      </c>
      <c r="K8354">
        <v>77.612570000000005</v>
      </c>
      <c r="L8354">
        <v>8.6562830000000002</v>
      </c>
      <c r="M8354">
        <v>36.427750000000003</v>
      </c>
      <c r="N8354">
        <v>21.289000000000001</v>
      </c>
      <c r="O8354">
        <v>15.13874</v>
      </c>
      <c r="P8354">
        <v>28.338740000000001</v>
      </c>
      <c r="Q8354">
        <v>28.764399999999998</v>
      </c>
      <c r="R8354">
        <v>29.264399999999998</v>
      </c>
      <c r="S8354">
        <v>26.98901</v>
      </c>
      <c r="T8354">
        <v>485.11520000000002</v>
      </c>
      <c r="U8354">
        <v>86.109949999999998</v>
      </c>
      <c r="V8354">
        <v>15</v>
      </c>
      <c r="W8354">
        <v>53</v>
      </c>
      <c r="X8354">
        <v>213.2199</v>
      </c>
      <c r="Y8354">
        <v>64.356020000000001</v>
      </c>
      <c r="Z8354">
        <v>95.109949999999998</v>
      </c>
      <c r="AA8354">
        <v>93.952879999999993</v>
      </c>
      <c r="AB8354">
        <v>10.21762</v>
      </c>
      <c r="AC8354">
        <v>5.2822569999999999E-2</v>
      </c>
      <c r="AD8354">
        <v>2.0391620000000001</v>
      </c>
      <c r="AE8354">
        <v>0.1388016</v>
      </c>
      <c r="AF8354">
        <v>408.80450000000002</v>
      </c>
      <c r="AG8354">
        <f>IFERROR(AH8354*0.1, "N/A")</f>
        <v>7.5507850000000012</v>
      </c>
      <c r="AH8354">
        <v>75.507850000000005</v>
      </c>
      <c r="AI8354">
        <v>271.93239999999997</v>
      </c>
      <c r="AJ8354">
        <v>20.75393</v>
      </c>
      <c r="AK8354">
        <v>61.246070000000003</v>
      </c>
    </row>
    <row r="8355" spans="1:37" x14ac:dyDescent="0.3">
      <c r="A8355">
        <v>8354</v>
      </c>
      <c r="B8355">
        <v>0</v>
      </c>
      <c r="C8355">
        <v>35.933300000000003</v>
      </c>
      <c r="D8355">
        <v>5.1666699999999999</v>
      </c>
      <c r="E8355" t="s">
        <v>12431</v>
      </c>
      <c r="F8355" t="s">
        <v>12432</v>
      </c>
      <c r="G8355" t="s">
        <v>37</v>
      </c>
      <c r="H8355">
        <v>1994</v>
      </c>
      <c r="I8355">
        <v>27.84421</v>
      </c>
      <c r="J8355">
        <v>11.81193</v>
      </c>
      <c r="K8355">
        <v>78</v>
      </c>
      <c r="L8355">
        <v>8.3221050000000005</v>
      </c>
      <c r="M8355">
        <v>36.232280000000003</v>
      </c>
      <c r="N8355">
        <v>21.18807</v>
      </c>
      <c r="O8355">
        <v>15.04421</v>
      </c>
      <c r="P8355">
        <v>28.232279999999999</v>
      </c>
      <c r="Q8355">
        <v>28.588069999999998</v>
      </c>
      <c r="R8355">
        <v>29.132280000000002</v>
      </c>
      <c r="S8355">
        <v>26.944210000000002</v>
      </c>
      <c r="T8355">
        <v>516.47540000000004</v>
      </c>
      <c r="U8355">
        <v>90.677189999999996</v>
      </c>
      <c r="V8355">
        <v>14</v>
      </c>
      <c r="W8355">
        <v>51.322809999999997</v>
      </c>
      <c r="X8355">
        <v>224.97020000000001</v>
      </c>
      <c r="Y8355">
        <v>65.677189999999996</v>
      </c>
      <c r="Z8355">
        <v>100.2351</v>
      </c>
      <c r="AA8355">
        <v>109.97369999999999</v>
      </c>
      <c r="AB8355">
        <v>12.14157</v>
      </c>
      <c r="AC8355">
        <v>1.735625E-2</v>
      </c>
      <c r="AD8355">
        <v>1.3225370000000001</v>
      </c>
      <c r="AE8355">
        <v>0.1356927</v>
      </c>
      <c r="AF8355">
        <v>426.44560000000001</v>
      </c>
      <c r="AG8355">
        <f>IFERROR(AH8355*0.1, "N/A")</f>
        <v>7.130351000000001</v>
      </c>
      <c r="AH8355">
        <v>71.303510000000003</v>
      </c>
      <c r="AI8355">
        <v>83.307190000000006</v>
      </c>
      <c r="AJ8355">
        <v>40.335090000000001</v>
      </c>
      <c r="AK8355">
        <v>34.89649</v>
      </c>
    </row>
    <row r="8356" spans="1:37" x14ac:dyDescent="0.3">
      <c r="A8356">
        <v>8355</v>
      </c>
      <c r="B8356">
        <v>0</v>
      </c>
      <c r="C8356">
        <v>35.833300000000001</v>
      </c>
      <c r="D8356">
        <v>5.2333299999999996</v>
      </c>
      <c r="E8356" t="s">
        <v>12433</v>
      </c>
      <c r="F8356" t="s">
        <v>12434</v>
      </c>
      <c r="G8356" t="s">
        <v>37</v>
      </c>
      <c r="H8356">
        <v>1994</v>
      </c>
      <c r="I8356">
        <v>27.897379999999998</v>
      </c>
      <c r="J8356">
        <v>11.9</v>
      </c>
      <c r="K8356">
        <v>78</v>
      </c>
      <c r="L8356">
        <v>8.2678709999999995</v>
      </c>
      <c r="M8356">
        <v>36.200000000000003</v>
      </c>
      <c r="N8356">
        <v>21.1</v>
      </c>
      <c r="O8356">
        <v>15.1</v>
      </c>
      <c r="P8356">
        <v>28.29738</v>
      </c>
      <c r="Q8356">
        <v>28.5</v>
      </c>
      <c r="R8356">
        <v>29.1</v>
      </c>
      <c r="S8356">
        <v>27</v>
      </c>
      <c r="T8356">
        <v>534.32460000000003</v>
      </c>
      <c r="U8356">
        <v>91.432810000000003</v>
      </c>
      <c r="V8356">
        <v>13</v>
      </c>
      <c r="W8356">
        <v>50</v>
      </c>
      <c r="X8356">
        <v>227.56370000000001</v>
      </c>
      <c r="Y8356">
        <v>64</v>
      </c>
      <c r="Z8356">
        <v>99.130889999999994</v>
      </c>
      <c r="AA8356">
        <v>122.459</v>
      </c>
      <c r="AB8356">
        <v>0.69911749999999995</v>
      </c>
      <c r="AC8356">
        <v>1.9982380000000001E-2</v>
      </c>
      <c r="AD8356">
        <v>0.97148690000000004</v>
      </c>
      <c r="AE8356">
        <v>0.13420389999999999</v>
      </c>
      <c r="AF8356">
        <v>405.91800000000001</v>
      </c>
      <c r="AG8356">
        <f>IFERROR(AH8356*0.1, "N/A")</f>
        <v>7.964747</v>
      </c>
      <c r="AH8356">
        <v>79.647469999999998</v>
      </c>
      <c r="AI8356">
        <v>121.5772</v>
      </c>
      <c r="AJ8356">
        <v>36.666670000000003</v>
      </c>
      <c r="AK8356">
        <v>36.490400000000001</v>
      </c>
    </row>
    <row r="8357" spans="1:37" x14ac:dyDescent="0.3">
      <c r="A8357">
        <v>8356</v>
      </c>
      <c r="B8357">
        <v>0</v>
      </c>
      <c r="C8357">
        <v>44.732500000000002</v>
      </c>
      <c r="D8357">
        <v>5.2450400000000004</v>
      </c>
      <c r="E8357" t="s">
        <v>12435</v>
      </c>
      <c r="F8357" t="s">
        <v>12436</v>
      </c>
      <c r="G8357" t="s">
        <v>39</v>
      </c>
      <c r="H8357">
        <v>1978</v>
      </c>
      <c r="I8357">
        <v>28.8</v>
      </c>
      <c r="J8357">
        <v>12.4</v>
      </c>
      <c r="K8357">
        <v>77</v>
      </c>
      <c r="L8357">
        <v>7.74</v>
      </c>
      <c r="M8357">
        <v>37.4</v>
      </c>
      <c r="N8357">
        <v>21.4</v>
      </c>
      <c r="O8357">
        <v>16</v>
      </c>
      <c r="P8357">
        <v>29.7</v>
      </c>
      <c r="Q8357">
        <v>28.3</v>
      </c>
      <c r="R8357">
        <v>29.9</v>
      </c>
      <c r="S8357">
        <v>28.2</v>
      </c>
      <c r="T8357">
        <v>246</v>
      </c>
      <c r="U8357">
        <v>78</v>
      </c>
      <c r="V8357">
        <v>0</v>
      </c>
      <c r="W8357">
        <v>125</v>
      </c>
      <c r="X8357">
        <v>141</v>
      </c>
      <c r="Y8357">
        <v>1</v>
      </c>
      <c r="Z8357">
        <v>92</v>
      </c>
      <c r="AA8357">
        <v>39</v>
      </c>
      <c r="AB8357">
        <v>3.9490349999999999</v>
      </c>
      <c r="AC8357">
        <v>3.7733530000000001E-2</v>
      </c>
      <c r="AD8357">
        <v>1.0228520000000001</v>
      </c>
      <c r="AE8357">
        <v>0.42985620000000002</v>
      </c>
      <c r="AF8357">
        <v>214.28020000000001</v>
      </c>
      <c r="AG8357">
        <f>IFERROR(AH8357*0.1, "N/A")</f>
        <v>7.8345010000000004</v>
      </c>
      <c r="AH8357">
        <v>78.345010000000002</v>
      </c>
      <c r="AI8357">
        <v>118.0193</v>
      </c>
      <c r="AJ8357">
        <v>30.345009999999998</v>
      </c>
      <c r="AK8357">
        <v>43.982489999999999</v>
      </c>
    </row>
    <row r="8358" spans="1:37" x14ac:dyDescent="0.3">
      <c r="A8358">
        <v>8357</v>
      </c>
      <c r="B8358">
        <v>0</v>
      </c>
      <c r="C8358">
        <v>37.4833</v>
      </c>
      <c r="D8358">
        <v>5.25</v>
      </c>
      <c r="E8358" t="s">
        <v>12437</v>
      </c>
      <c r="F8358" t="s">
        <v>12438</v>
      </c>
      <c r="G8358" t="s">
        <v>37</v>
      </c>
      <c r="H8358">
        <v>1987</v>
      </c>
      <c r="I8358">
        <v>24.088090000000001</v>
      </c>
      <c r="J8358">
        <v>11.231</v>
      </c>
      <c r="K8358">
        <v>75.914190000000005</v>
      </c>
      <c r="L8358">
        <v>11.367850000000001</v>
      </c>
      <c r="M8358">
        <v>32.596670000000003</v>
      </c>
      <c r="N8358">
        <v>17.848510000000001</v>
      </c>
      <c r="O8358">
        <v>14.74816</v>
      </c>
      <c r="P8358">
        <v>24.53135</v>
      </c>
      <c r="Q8358">
        <v>22.939579999999999</v>
      </c>
      <c r="R8358">
        <v>25.625039999999998</v>
      </c>
      <c r="S8358">
        <v>22.699300000000001</v>
      </c>
      <c r="T8358">
        <v>430.43430000000001</v>
      </c>
      <c r="U8358">
        <v>84</v>
      </c>
      <c r="V8358">
        <v>12.43257</v>
      </c>
      <c r="W8358">
        <v>61.679510000000001</v>
      </c>
      <c r="X8358">
        <v>189.01050000000001</v>
      </c>
      <c r="Y8358">
        <v>50.406300000000002</v>
      </c>
      <c r="Z8358">
        <v>78.690020000000004</v>
      </c>
      <c r="AA8358">
        <v>50.577930000000002</v>
      </c>
      <c r="AB8358">
        <v>63.963909999999998</v>
      </c>
      <c r="AC8358">
        <v>1.1240959999999999E-2</v>
      </c>
      <c r="AD8358">
        <v>19.771650000000001</v>
      </c>
      <c r="AE8358">
        <v>0.4546847</v>
      </c>
      <c r="AF8358">
        <v>1020.345</v>
      </c>
      <c r="AG8358">
        <f>IFERROR(AH8358*0.1, "N/A")</f>
        <v>7.4640979999999999</v>
      </c>
      <c r="AH8358">
        <v>74.640979999999999</v>
      </c>
      <c r="AI8358">
        <v>318.42930000000001</v>
      </c>
      <c r="AJ8358">
        <v>32.320489999999999</v>
      </c>
      <c r="AK8358">
        <v>42.038530000000002</v>
      </c>
    </row>
    <row r="8359" spans="1:37" x14ac:dyDescent="0.3">
      <c r="A8359">
        <v>8358</v>
      </c>
      <c r="B8359">
        <v>0</v>
      </c>
      <c r="C8359">
        <v>37.2667</v>
      </c>
      <c r="D8359">
        <v>5.25</v>
      </c>
      <c r="E8359" t="s">
        <v>12439</v>
      </c>
      <c r="F8359" t="s">
        <v>12440</v>
      </c>
      <c r="G8359" t="s">
        <v>37</v>
      </c>
      <c r="H8359">
        <v>1994</v>
      </c>
      <c r="I8359">
        <v>22.931229999999999</v>
      </c>
      <c r="J8359">
        <v>10.799300000000001</v>
      </c>
      <c r="K8359">
        <v>73.992980000000003</v>
      </c>
      <c r="L8359">
        <v>12.183439999999999</v>
      </c>
      <c r="M8359">
        <v>31.448599999999999</v>
      </c>
      <c r="N8359">
        <v>16.960349999999998</v>
      </c>
      <c r="O8359">
        <v>14.488250000000001</v>
      </c>
      <c r="P8359">
        <v>23.36035</v>
      </c>
      <c r="Q8359">
        <v>24.260349999999999</v>
      </c>
      <c r="R8359">
        <v>24.602810000000002</v>
      </c>
      <c r="S8359">
        <v>21.41947</v>
      </c>
      <c r="T8359">
        <v>546.45439999999996</v>
      </c>
      <c r="U8359">
        <v>96.256140000000002</v>
      </c>
      <c r="V8359">
        <v>14</v>
      </c>
      <c r="W8359">
        <v>56.284210000000002</v>
      </c>
      <c r="X8359">
        <v>229.76840000000001</v>
      </c>
      <c r="Y8359">
        <v>64.256140000000002</v>
      </c>
      <c r="Z8359">
        <v>102.22110000000001</v>
      </c>
      <c r="AA8359">
        <v>76.812280000000001</v>
      </c>
      <c r="AB8359">
        <v>70.296329999999998</v>
      </c>
      <c r="AC8359">
        <v>9.3639880000000002E-3</v>
      </c>
      <c r="AD8359">
        <v>28.58906</v>
      </c>
      <c r="AE8359">
        <v>0.34043960000000001</v>
      </c>
      <c r="AF8359">
        <v>1247.2840000000001</v>
      </c>
      <c r="AG8359">
        <f>IFERROR(AH8359*0.1, "N/A")</f>
        <v>6.1408769999999997</v>
      </c>
      <c r="AH8359">
        <v>61.408769999999997</v>
      </c>
      <c r="AI8359">
        <v>270.57190000000003</v>
      </c>
      <c r="AJ8359">
        <v>32</v>
      </c>
      <c r="AK8359">
        <v>47.591230000000003</v>
      </c>
    </row>
    <row r="8360" spans="1:37" x14ac:dyDescent="0.3">
      <c r="A8360">
        <v>8359</v>
      </c>
      <c r="B8360">
        <v>29</v>
      </c>
      <c r="C8360">
        <v>39.619999999999997</v>
      </c>
      <c r="D8360">
        <v>5.37</v>
      </c>
      <c r="E8360" t="s">
        <v>12441</v>
      </c>
      <c r="F8360" t="s">
        <v>12442</v>
      </c>
      <c r="G8360" t="s">
        <v>37</v>
      </c>
      <c r="H8360">
        <v>1987</v>
      </c>
      <c r="I8360">
        <v>19.100000000000001</v>
      </c>
      <c r="J8360">
        <v>13</v>
      </c>
      <c r="K8360">
        <v>74</v>
      </c>
      <c r="L8360">
        <v>9.02</v>
      </c>
      <c r="M8360">
        <v>28.5</v>
      </c>
      <c r="N8360">
        <v>11.1</v>
      </c>
      <c r="O8360">
        <v>17.399999999999999</v>
      </c>
      <c r="P8360">
        <v>19.600000000000001</v>
      </c>
      <c r="Q8360">
        <v>18.100000000000001</v>
      </c>
      <c r="R8360">
        <v>20.3</v>
      </c>
      <c r="S8360">
        <v>18.100000000000001</v>
      </c>
      <c r="T8360">
        <v>719</v>
      </c>
      <c r="U8360">
        <v>200</v>
      </c>
      <c r="V8360">
        <v>7</v>
      </c>
      <c r="W8360">
        <v>110</v>
      </c>
      <c r="X8360">
        <v>400</v>
      </c>
      <c r="Y8360">
        <v>30</v>
      </c>
      <c r="Z8360">
        <v>72</v>
      </c>
      <c r="AA8360">
        <v>30</v>
      </c>
      <c r="AB8360">
        <v>2.3553229999999998</v>
      </c>
      <c r="AC8360">
        <v>0.61527960000000004</v>
      </c>
      <c r="AD8360">
        <v>2.474631</v>
      </c>
      <c r="AE8360">
        <v>0.23681530000000001</v>
      </c>
      <c r="AF8360">
        <v>1492.0820000000001</v>
      </c>
      <c r="AG8360">
        <f>IFERROR(AH8360*0.1, "N/A")</f>
        <v>6.5</v>
      </c>
      <c r="AH8360">
        <v>65</v>
      </c>
      <c r="AI8360">
        <v>225.35900000000001</v>
      </c>
      <c r="AJ8360">
        <v>31.19023</v>
      </c>
      <c r="AK8360">
        <v>52.404890000000002</v>
      </c>
    </row>
    <row r="8361" spans="1:37" x14ac:dyDescent="0.3">
      <c r="A8361">
        <v>8360</v>
      </c>
      <c r="B8361">
        <v>0</v>
      </c>
      <c r="C8361">
        <v>36.966700000000003</v>
      </c>
      <c r="D8361">
        <v>5.4166699999999999</v>
      </c>
      <c r="E8361" t="s">
        <v>12443</v>
      </c>
      <c r="F8361" t="s">
        <v>12444</v>
      </c>
      <c r="G8361" t="s">
        <v>37</v>
      </c>
      <c r="H8361">
        <v>1994</v>
      </c>
      <c r="I8361">
        <v>26.73678</v>
      </c>
      <c r="J8361">
        <v>11.7</v>
      </c>
      <c r="K8361">
        <v>76.751310000000004</v>
      </c>
      <c r="L8361">
        <v>9.3280560000000001</v>
      </c>
      <c r="M8361">
        <v>35.224870000000003</v>
      </c>
      <c r="N8361">
        <v>20.100000000000001</v>
      </c>
      <c r="O8361">
        <v>15.12487</v>
      </c>
      <c r="P8361">
        <v>27.224869999999999</v>
      </c>
      <c r="Q8361">
        <v>27.624870000000001</v>
      </c>
      <c r="R8361">
        <v>28.124870000000001</v>
      </c>
      <c r="S8361">
        <v>25.7</v>
      </c>
      <c r="T8361">
        <v>489.86509999999998</v>
      </c>
      <c r="U8361">
        <v>87</v>
      </c>
      <c r="V8361">
        <v>17</v>
      </c>
      <c r="W8361">
        <v>51.88091</v>
      </c>
      <c r="X8361">
        <v>206</v>
      </c>
      <c r="Y8361">
        <v>59</v>
      </c>
      <c r="Z8361">
        <v>85</v>
      </c>
      <c r="AA8361">
        <v>86.369529999999997</v>
      </c>
      <c r="AB8361">
        <v>1.7203440000000001</v>
      </c>
      <c r="AC8361">
        <v>9.7326119999999999E-3</v>
      </c>
      <c r="AD8361">
        <v>1.2396100000000001</v>
      </c>
      <c r="AE8361">
        <v>0.18880330000000001</v>
      </c>
      <c r="AF8361">
        <v>544.12429999999995</v>
      </c>
      <c r="AG8361">
        <f>IFERROR(AH8361*0.1, "N/A")</f>
        <v>7.3380039999999997</v>
      </c>
      <c r="AH8361">
        <v>73.380039999999994</v>
      </c>
      <c r="AI8361">
        <v>102.4388</v>
      </c>
      <c r="AJ8361">
        <v>38.367780000000003</v>
      </c>
      <c r="AK8361">
        <v>40.008760000000002</v>
      </c>
    </row>
    <row r="8362" spans="1:37" x14ac:dyDescent="0.3">
      <c r="A8362">
        <v>8361</v>
      </c>
      <c r="B8362">
        <v>2</v>
      </c>
      <c r="C8362">
        <v>39.4</v>
      </c>
      <c r="D8362">
        <v>5.55</v>
      </c>
      <c r="E8362" t="s">
        <v>12445</v>
      </c>
      <c r="F8362" t="s">
        <v>12446</v>
      </c>
      <c r="G8362" t="s">
        <v>37</v>
      </c>
      <c r="H8362">
        <v>1987</v>
      </c>
      <c r="I8362">
        <v>19.229839999999999</v>
      </c>
      <c r="J8362">
        <v>13.63979</v>
      </c>
      <c r="K8362">
        <v>75</v>
      </c>
      <c r="L8362">
        <v>7.2722340000000001</v>
      </c>
      <c r="M8362">
        <v>28.817450000000001</v>
      </c>
      <c r="N8362">
        <v>10.770860000000001</v>
      </c>
      <c r="O8362">
        <v>18.046600000000002</v>
      </c>
      <c r="P8362">
        <v>19.717449999999999</v>
      </c>
      <c r="Q8362">
        <v>19.55846</v>
      </c>
      <c r="R8362">
        <v>20.158460000000002</v>
      </c>
      <c r="S8362">
        <v>18.458459999999999</v>
      </c>
      <c r="T8362">
        <v>774.71730000000002</v>
      </c>
      <c r="U8362">
        <v>197.8133</v>
      </c>
      <c r="V8362">
        <v>10.713789999999999</v>
      </c>
      <c r="W8362">
        <v>95.888310000000004</v>
      </c>
      <c r="X8362">
        <v>400.62650000000002</v>
      </c>
      <c r="Y8362">
        <v>43.937170000000002</v>
      </c>
      <c r="Z8362">
        <v>220.6771</v>
      </c>
      <c r="AA8362">
        <v>57.335079999999998</v>
      </c>
      <c r="AB8362">
        <v>86.957539999999995</v>
      </c>
      <c r="AC8362">
        <v>1.8234810000000001E-2</v>
      </c>
      <c r="AD8362">
        <v>7.503876</v>
      </c>
      <c r="AE8362">
        <v>0.30639240000000001</v>
      </c>
      <c r="AF8362">
        <v>1652.904</v>
      </c>
      <c r="AG8362">
        <f>IFERROR(AH8362*0.1, "N/A")</f>
        <v>6.0769630000000001</v>
      </c>
      <c r="AH8362">
        <v>60.769629999999999</v>
      </c>
      <c r="AI8362">
        <v>80.35566</v>
      </c>
      <c r="AJ8362">
        <v>29.410119999999999</v>
      </c>
      <c r="AK8362">
        <v>56</v>
      </c>
    </row>
    <row r="8363" spans="1:37" x14ac:dyDescent="0.3">
      <c r="A8363">
        <v>8362</v>
      </c>
      <c r="B8363">
        <v>0</v>
      </c>
      <c r="C8363">
        <v>44.134799999999998</v>
      </c>
      <c r="D8363">
        <v>5.6164300000000003</v>
      </c>
      <c r="E8363" t="s">
        <v>12447</v>
      </c>
      <c r="F8363" t="s">
        <v>12448</v>
      </c>
      <c r="G8363" t="s">
        <v>39</v>
      </c>
      <c r="H8363">
        <v>1978</v>
      </c>
      <c r="I8363">
        <v>28.8</v>
      </c>
      <c r="J8363">
        <v>12.76492</v>
      </c>
      <c r="K8363">
        <v>74.649209999999997</v>
      </c>
      <c r="L8363">
        <v>7.7415710000000004</v>
      </c>
      <c r="M8363">
        <v>37.6</v>
      </c>
      <c r="N8363">
        <v>20.6</v>
      </c>
      <c r="O8363">
        <v>17</v>
      </c>
      <c r="P8363">
        <v>29.7</v>
      </c>
      <c r="Q8363">
        <v>28.26492</v>
      </c>
      <c r="R8363">
        <v>29.8</v>
      </c>
      <c r="S8363">
        <v>28</v>
      </c>
      <c r="T8363">
        <v>295</v>
      </c>
      <c r="U8363">
        <v>98</v>
      </c>
      <c r="V8363">
        <v>0</v>
      </c>
      <c r="W8363">
        <v>130</v>
      </c>
      <c r="X8363">
        <v>169</v>
      </c>
      <c r="Y8363">
        <v>1</v>
      </c>
      <c r="Z8363">
        <v>114</v>
      </c>
      <c r="AA8363">
        <v>46</v>
      </c>
      <c r="AB8363">
        <v>0.78813979999999995</v>
      </c>
      <c r="AC8363">
        <v>6.2404399999999999E-2</v>
      </c>
      <c r="AD8363">
        <v>1.4651860000000001</v>
      </c>
      <c r="AE8363">
        <v>0.33526329999999999</v>
      </c>
      <c r="AF8363">
        <v>244.4607</v>
      </c>
      <c r="AG8363">
        <f>IFERROR(AH8363*0.1, "N/A")</f>
        <v>7.8464220000000005</v>
      </c>
      <c r="AH8363">
        <v>78.464219999999997</v>
      </c>
      <c r="AI8363">
        <v>124.0102</v>
      </c>
      <c r="AJ8363">
        <v>32.09948</v>
      </c>
      <c r="AK8363">
        <v>44.083770000000001</v>
      </c>
    </row>
    <row r="8364" spans="1:37" x14ac:dyDescent="0.3">
      <c r="A8364">
        <v>8363</v>
      </c>
      <c r="B8364">
        <v>46.6</v>
      </c>
      <c r="C8364">
        <v>37.467799999999997</v>
      </c>
      <c r="D8364">
        <v>5.8493000000000004</v>
      </c>
      <c r="E8364" t="s">
        <v>12449</v>
      </c>
      <c r="F8364" t="s">
        <v>12450</v>
      </c>
      <c r="G8364" t="s">
        <v>37</v>
      </c>
      <c r="H8364">
        <v>1994</v>
      </c>
      <c r="I8364">
        <v>23.3</v>
      </c>
      <c r="J8364">
        <v>11.7</v>
      </c>
      <c r="K8364">
        <v>77</v>
      </c>
      <c r="L8364">
        <v>7.9362940000000002</v>
      </c>
      <c r="M8364">
        <v>31.6</v>
      </c>
      <c r="N8364">
        <v>16.5</v>
      </c>
      <c r="O8364">
        <v>15.1</v>
      </c>
      <c r="P8364">
        <v>23.8</v>
      </c>
      <c r="Q8364">
        <v>23.9</v>
      </c>
      <c r="R8364">
        <v>24.4</v>
      </c>
      <c r="S8364">
        <v>22.4</v>
      </c>
      <c r="T8364">
        <v>687.62940000000003</v>
      </c>
      <c r="U8364">
        <v>113.1259</v>
      </c>
      <c r="V8364">
        <v>20.125869999999999</v>
      </c>
      <c r="W8364">
        <v>52</v>
      </c>
      <c r="X8364">
        <v>273.25170000000003</v>
      </c>
      <c r="Y8364">
        <v>68.125870000000006</v>
      </c>
      <c r="Z8364">
        <v>105</v>
      </c>
      <c r="AA8364">
        <v>125.1259</v>
      </c>
      <c r="AB8364">
        <v>2.7531530000000002</v>
      </c>
      <c r="AC8364">
        <v>1.2860430000000001E-2</v>
      </c>
      <c r="AD8364">
        <v>1.036027</v>
      </c>
      <c r="AE8364">
        <v>0.28016770000000002</v>
      </c>
      <c r="AF8364">
        <v>1125.9480000000001</v>
      </c>
      <c r="AG8364">
        <f>IFERROR(AH8364*0.1, "N/A")</f>
        <v>6.2367130000000008</v>
      </c>
      <c r="AH8364">
        <v>62.367130000000003</v>
      </c>
      <c r="AI8364">
        <v>126.4645</v>
      </c>
      <c r="AJ8364">
        <v>46.183570000000003</v>
      </c>
      <c r="AK8364">
        <v>28</v>
      </c>
    </row>
    <row r="8365" spans="1:37" x14ac:dyDescent="0.3">
      <c r="A8365">
        <v>8364</v>
      </c>
      <c r="B8365">
        <v>1.9</v>
      </c>
      <c r="C8365">
        <v>37.434100000000001</v>
      </c>
      <c r="D8365">
        <v>5.8569000000000004</v>
      </c>
      <c r="E8365" t="s">
        <v>12451</v>
      </c>
      <c r="F8365" t="s">
        <v>12452</v>
      </c>
      <c r="G8365" t="s">
        <v>37</v>
      </c>
      <c r="H8365">
        <v>1994</v>
      </c>
      <c r="I8365">
        <v>23.022069999999999</v>
      </c>
      <c r="J8365">
        <v>11.6</v>
      </c>
      <c r="K8365">
        <v>76.155869999999993</v>
      </c>
      <c r="L8365">
        <v>8.1668830000000003</v>
      </c>
      <c r="M8365">
        <v>31.306480000000001</v>
      </c>
      <c r="N8365">
        <v>16.237649999999999</v>
      </c>
      <c r="O8365">
        <v>15.06883</v>
      </c>
      <c r="P8365">
        <v>23.522069999999999</v>
      </c>
      <c r="Q8365">
        <v>23.637650000000001</v>
      </c>
      <c r="R8365">
        <v>24.206479999999999</v>
      </c>
      <c r="S8365">
        <v>22.106480000000001</v>
      </c>
      <c r="T8365">
        <v>716.45529999999997</v>
      </c>
      <c r="U8365">
        <v>116.77930000000001</v>
      </c>
      <c r="V8365">
        <v>21</v>
      </c>
      <c r="W8365">
        <v>51.15587</v>
      </c>
      <c r="X8365">
        <v>282.18209999999999</v>
      </c>
      <c r="Y8365">
        <v>71.155869999999993</v>
      </c>
      <c r="Z8365">
        <v>108.77930000000001</v>
      </c>
      <c r="AA8365">
        <v>133.09110000000001</v>
      </c>
      <c r="AB8365">
        <v>21.438320000000001</v>
      </c>
      <c r="AC8365">
        <v>5.4971270000000003E-2</v>
      </c>
      <c r="AD8365">
        <v>1.81945</v>
      </c>
      <c r="AE8365">
        <v>0.26508189999999998</v>
      </c>
      <c r="AF8365">
        <v>1160.6510000000001</v>
      </c>
      <c r="AG8365">
        <f>IFERROR(AH8365*0.1, "N/A")</f>
        <v>6.8155869999999998</v>
      </c>
      <c r="AH8365">
        <v>68.155869999999993</v>
      </c>
      <c r="AI8365">
        <v>156.85550000000001</v>
      </c>
      <c r="AJ8365">
        <v>41.688270000000003</v>
      </c>
      <c r="AK8365">
        <v>31.15587</v>
      </c>
    </row>
    <row r="8366" spans="1:37" x14ac:dyDescent="0.3">
      <c r="A8366">
        <v>8365</v>
      </c>
      <c r="B8366">
        <v>0</v>
      </c>
      <c r="C8366">
        <v>38.9833</v>
      </c>
      <c r="D8366">
        <v>5.8833299999999999</v>
      </c>
      <c r="E8366" t="s">
        <v>12453</v>
      </c>
      <c r="F8366" t="s">
        <v>12454</v>
      </c>
      <c r="G8366" t="s">
        <v>37</v>
      </c>
      <c r="H8366">
        <v>1987</v>
      </c>
      <c r="I8366">
        <v>19.961819999999999</v>
      </c>
      <c r="J8366">
        <v>14.5</v>
      </c>
      <c r="K8366">
        <v>76</v>
      </c>
      <c r="L8366">
        <v>6.0900179999999997</v>
      </c>
      <c r="M8366">
        <v>29.713660000000001</v>
      </c>
      <c r="N8366">
        <v>10.72697</v>
      </c>
      <c r="O8366">
        <v>18.986689999999999</v>
      </c>
      <c r="P8366">
        <v>20.613659999999999</v>
      </c>
      <c r="Q8366">
        <v>19.861820000000002</v>
      </c>
      <c r="R8366">
        <v>20.713660000000001</v>
      </c>
      <c r="S8366">
        <v>19.26182</v>
      </c>
      <c r="T8366">
        <v>918.88969999999995</v>
      </c>
      <c r="U8366">
        <v>194.59370000000001</v>
      </c>
      <c r="V8366">
        <v>17</v>
      </c>
      <c r="W8366">
        <v>74.136600000000001</v>
      </c>
      <c r="X8366">
        <v>417.91770000000002</v>
      </c>
      <c r="Y8366">
        <v>61</v>
      </c>
      <c r="Z8366">
        <v>293.18740000000003</v>
      </c>
      <c r="AA8366">
        <v>238.4571</v>
      </c>
      <c r="AB8366">
        <v>22.207170000000001</v>
      </c>
      <c r="AC8366">
        <v>2.6225999999999999E-2</v>
      </c>
      <c r="AD8366">
        <v>6.4420510000000002</v>
      </c>
      <c r="AE8366">
        <v>0.46482269999999998</v>
      </c>
      <c r="AF8366">
        <v>1686.4760000000001</v>
      </c>
      <c r="AG8366">
        <f>IFERROR(AH8366*0.1, "N/A")</f>
        <v>5.8514890000000008</v>
      </c>
      <c r="AH8366">
        <v>58.514890000000001</v>
      </c>
      <c r="AI8366">
        <v>215.42</v>
      </c>
      <c r="AJ8366">
        <v>42.029769999999999</v>
      </c>
      <c r="AK8366">
        <v>35.485109999999999</v>
      </c>
    </row>
    <row r="8367" spans="1:37" x14ac:dyDescent="0.3">
      <c r="A8367">
        <v>8366</v>
      </c>
      <c r="B8367">
        <v>6.1</v>
      </c>
      <c r="C8367">
        <v>37.448399999999999</v>
      </c>
      <c r="D8367">
        <v>5.8853600000000004</v>
      </c>
      <c r="E8367" t="s">
        <v>12455</v>
      </c>
      <c r="F8367" t="s">
        <v>12456</v>
      </c>
      <c r="G8367" t="s">
        <v>37</v>
      </c>
      <c r="H8367">
        <v>1994</v>
      </c>
      <c r="I8367">
        <v>23</v>
      </c>
      <c r="J8367">
        <v>11.7</v>
      </c>
      <c r="K8367">
        <v>77</v>
      </c>
      <c r="L8367">
        <v>8.18</v>
      </c>
      <c r="M8367">
        <v>31.3</v>
      </c>
      <c r="N8367">
        <v>16.2</v>
      </c>
      <c r="O8367">
        <v>15.1</v>
      </c>
      <c r="P8367">
        <v>23.5</v>
      </c>
      <c r="Q8367">
        <v>23.6</v>
      </c>
      <c r="R8367">
        <v>24.1</v>
      </c>
      <c r="S8367">
        <v>22</v>
      </c>
      <c r="T8367">
        <v>729</v>
      </c>
      <c r="U8367">
        <v>118</v>
      </c>
      <c r="V8367">
        <v>21</v>
      </c>
      <c r="W8367">
        <v>52</v>
      </c>
      <c r="X8367">
        <v>287</v>
      </c>
      <c r="Y8367">
        <v>71</v>
      </c>
      <c r="Z8367">
        <v>110</v>
      </c>
      <c r="AA8367">
        <v>137</v>
      </c>
      <c r="AB8367">
        <v>6.5367410000000001</v>
      </c>
      <c r="AC8367">
        <v>3.7484709999999997E-2</v>
      </c>
      <c r="AD8367">
        <v>0.86594210000000005</v>
      </c>
      <c r="AE8367">
        <v>0.26066889999999998</v>
      </c>
      <c r="AF8367">
        <v>1157.904</v>
      </c>
      <c r="AG8367">
        <f>IFERROR(AH8367*0.1, "N/A")</f>
        <v>6.820665</v>
      </c>
      <c r="AH8367">
        <v>68.206649999999996</v>
      </c>
      <c r="AI8367">
        <v>159.31970000000001</v>
      </c>
      <c r="AJ8367">
        <v>45.819609999999997</v>
      </c>
      <c r="AK8367">
        <v>28.879159999999999</v>
      </c>
    </row>
    <row r="8368" spans="1:37" x14ac:dyDescent="0.3">
      <c r="A8368">
        <v>8367</v>
      </c>
      <c r="B8368">
        <v>0.8</v>
      </c>
      <c r="C8368">
        <v>43.562800000000003</v>
      </c>
      <c r="D8368">
        <v>5.9487800000000002</v>
      </c>
      <c r="E8368" t="s">
        <v>12457</v>
      </c>
      <c r="F8368" t="s">
        <v>12458</v>
      </c>
      <c r="G8368" t="s">
        <v>39</v>
      </c>
      <c r="H8368">
        <v>1978</v>
      </c>
      <c r="I8368">
        <v>28.8</v>
      </c>
      <c r="J8368">
        <v>13</v>
      </c>
      <c r="K8368">
        <v>74</v>
      </c>
      <c r="L8368">
        <v>7.47</v>
      </c>
      <c r="M8368">
        <v>37.6</v>
      </c>
      <c r="N8368">
        <v>20.2</v>
      </c>
      <c r="O8368">
        <v>17.399999999999999</v>
      </c>
      <c r="P8368">
        <v>29.8</v>
      </c>
      <c r="Q8368">
        <v>28.3</v>
      </c>
      <c r="R8368">
        <v>29.8</v>
      </c>
      <c r="S8368">
        <v>28</v>
      </c>
      <c r="T8368">
        <v>325</v>
      </c>
      <c r="U8368">
        <v>102</v>
      </c>
      <c r="V8368">
        <v>0</v>
      </c>
      <c r="W8368">
        <v>123</v>
      </c>
      <c r="X8368">
        <v>186</v>
      </c>
      <c r="Y8368">
        <v>1</v>
      </c>
      <c r="Z8368">
        <v>186</v>
      </c>
      <c r="AA8368">
        <v>55</v>
      </c>
      <c r="AB8368">
        <v>5.11416</v>
      </c>
      <c r="AC8368">
        <v>3.8269669999999999E-2</v>
      </c>
      <c r="AD8368">
        <v>2.064225</v>
      </c>
      <c r="AE8368">
        <v>0.41157899999999997</v>
      </c>
      <c r="AF8368">
        <v>290.65100000000001</v>
      </c>
      <c r="AG8368">
        <f>IFERROR(AH8368*0.1, "N/A")</f>
        <v>7.9963350000000011</v>
      </c>
      <c r="AH8368">
        <v>79.963350000000005</v>
      </c>
      <c r="AI8368">
        <v>193.08680000000001</v>
      </c>
      <c r="AJ8368">
        <v>23.59337</v>
      </c>
      <c r="AK8368">
        <v>59.012219999999999</v>
      </c>
    </row>
    <row r="8369" spans="1:37" x14ac:dyDescent="0.3">
      <c r="A8369">
        <v>8368</v>
      </c>
      <c r="B8369">
        <v>18.8</v>
      </c>
      <c r="C8369">
        <v>35.833300000000001</v>
      </c>
      <c r="D8369">
        <v>6.00007</v>
      </c>
      <c r="E8369" t="s">
        <v>12459</v>
      </c>
      <c r="F8369" t="s">
        <v>12460</v>
      </c>
      <c r="G8369" t="s">
        <v>37</v>
      </c>
      <c r="H8369">
        <v>1979</v>
      </c>
      <c r="I8369">
        <v>26.584289999999999</v>
      </c>
      <c r="J8369">
        <v>12.8</v>
      </c>
      <c r="K8369">
        <v>78.724260000000001</v>
      </c>
      <c r="L8369">
        <v>7.9443630000000001</v>
      </c>
      <c r="M8369">
        <v>35.427579999999999</v>
      </c>
      <c r="N8369">
        <v>19.2</v>
      </c>
      <c r="O8369">
        <v>16.22757</v>
      </c>
      <c r="P8369">
        <v>26.38429</v>
      </c>
      <c r="Q8369">
        <v>27.184290000000001</v>
      </c>
      <c r="R8369">
        <v>27.784289999999999</v>
      </c>
      <c r="S8369">
        <v>25.781500000000001</v>
      </c>
      <c r="T8369">
        <v>845.57069999999999</v>
      </c>
      <c r="U8369">
        <v>119.7243</v>
      </c>
      <c r="V8369">
        <v>17</v>
      </c>
      <c r="W8369">
        <v>45.724260000000001</v>
      </c>
      <c r="X8369">
        <v>300.57769999999999</v>
      </c>
      <c r="Y8369">
        <v>73.157070000000004</v>
      </c>
      <c r="Z8369">
        <v>111.1571</v>
      </c>
      <c r="AA8369">
        <v>283.83600000000001</v>
      </c>
      <c r="AB8369">
        <v>5.1254720000000002</v>
      </c>
      <c r="AC8369">
        <v>0.11380469999999999</v>
      </c>
      <c r="AD8369">
        <v>3.024886</v>
      </c>
      <c r="AE8369">
        <v>9.9646189999999996E-2</v>
      </c>
      <c r="AF8369">
        <v>497.9948</v>
      </c>
      <c r="AG8369">
        <f>IFERROR(AH8369*0.1, "N/A")</f>
        <v>7.5157070000000008</v>
      </c>
      <c r="AH8369">
        <v>75.157070000000004</v>
      </c>
      <c r="AI8369">
        <v>168.16069999999999</v>
      </c>
      <c r="AJ8369">
        <v>36.842930000000003</v>
      </c>
      <c r="AK8369">
        <v>39</v>
      </c>
    </row>
    <row r="8370" spans="1:37" x14ac:dyDescent="0.3">
      <c r="A8370">
        <v>8369</v>
      </c>
      <c r="B8370">
        <v>33.299999999999997</v>
      </c>
      <c r="C8370">
        <v>35.832500000000003</v>
      </c>
      <c r="D8370">
        <v>6.0012699999999999</v>
      </c>
      <c r="E8370" t="s">
        <v>12461</v>
      </c>
      <c r="F8370" t="s">
        <v>12462</v>
      </c>
      <c r="G8370" t="s">
        <v>37</v>
      </c>
      <c r="H8370">
        <v>1978</v>
      </c>
      <c r="I8370">
        <v>26.517980000000001</v>
      </c>
      <c r="J8370">
        <v>12.8</v>
      </c>
      <c r="K8370">
        <v>79</v>
      </c>
      <c r="L8370">
        <v>7.9840489999999997</v>
      </c>
      <c r="M8370">
        <v>35.4</v>
      </c>
      <c r="N8370">
        <v>19.2</v>
      </c>
      <c r="O8370">
        <v>16.2</v>
      </c>
      <c r="P8370">
        <v>26.317969999999999</v>
      </c>
      <c r="Q8370">
        <v>27.117979999999999</v>
      </c>
      <c r="R8370">
        <v>27.717980000000001</v>
      </c>
      <c r="S8370">
        <v>25.717980000000001</v>
      </c>
      <c r="T8370">
        <v>850.10119999999995</v>
      </c>
      <c r="U8370">
        <v>120</v>
      </c>
      <c r="V8370">
        <v>17</v>
      </c>
      <c r="W8370">
        <v>46</v>
      </c>
      <c r="X8370">
        <v>301.8202</v>
      </c>
      <c r="Y8370">
        <v>73.820239999999998</v>
      </c>
      <c r="Z8370">
        <v>111.8202</v>
      </c>
      <c r="AA8370">
        <v>286.46069999999997</v>
      </c>
      <c r="AB8370">
        <v>7.949567</v>
      </c>
      <c r="AC8370">
        <v>0.24679219999999999</v>
      </c>
      <c r="AD8370">
        <v>2.0285199999999999</v>
      </c>
      <c r="AE8370">
        <v>9.9646189999999996E-2</v>
      </c>
      <c r="AF8370">
        <v>502.904</v>
      </c>
      <c r="AG8370">
        <f>IFERROR(AH8370*0.1, "N/A")</f>
        <v>7.5848170000000001</v>
      </c>
      <c r="AH8370">
        <v>75.848169999999996</v>
      </c>
      <c r="AI8370">
        <v>122.554</v>
      </c>
      <c r="AJ8370">
        <v>36.581150000000001</v>
      </c>
      <c r="AK8370">
        <v>38.81326</v>
      </c>
    </row>
    <row r="8371" spans="1:37" x14ac:dyDescent="0.3">
      <c r="A8371">
        <v>8370</v>
      </c>
      <c r="B8371">
        <v>1.4</v>
      </c>
      <c r="C8371">
        <v>37.549999999999997</v>
      </c>
      <c r="D8371">
        <v>6.0332999999999997</v>
      </c>
      <c r="E8371" t="s">
        <v>12463</v>
      </c>
      <c r="F8371" t="s">
        <v>12464</v>
      </c>
      <c r="G8371" t="s">
        <v>37</v>
      </c>
      <c r="H8371">
        <v>1987</v>
      </c>
      <c r="I8371">
        <v>22.2103</v>
      </c>
      <c r="J8371">
        <v>12.1</v>
      </c>
      <c r="K8371">
        <v>78</v>
      </c>
      <c r="L8371">
        <v>6.9398080000000002</v>
      </c>
      <c r="M8371">
        <v>30.372599999999998</v>
      </c>
      <c r="N8371">
        <v>14.8726</v>
      </c>
      <c r="O8371">
        <v>15.5</v>
      </c>
      <c r="P8371">
        <v>22.71274</v>
      </c>
      <c r="Q8371">
        <v>22.512740000000001</v>
      </c>
      <c r="R8371">
        <v>23.112739999999999</v>
      </c>
      <c r="S8371">
        <v>21.324780000000001</v>
      </c>
      <c r="T8371">
        <v>805.59339999999997</v>
      </c>
      <c r="U8371">
        <v>126.4468</v>
      </c>
      <c r="V8371">
        <v>23.855149999999998</v>
      </c>
      <c r="W8371">
        <v>51</v>
      </c>
      <c r="X8371">
        <v>314.48869999999999</v>
      </c>
      <c r="Y8371">
        <v>78.28098</v>
      </c>
      <c r="Z8371">
        <v>217.46770000000001</v>
      </c>
      <c r="AA8371">
        <v>158.76089999999999</v>
      </c>
      <c r="AB8371">
        <v>21.687429999999999</v>
      </c>
      <c r="AC8371">
        <v>0.56429439999999997</v>
      </c>
      <c r="AD8371">
        <v>2.8092280000000001</v>
      </c>
      <c r="AE8371">
        <v>0.60610450000000005</v>
      </c>
      <c r="AF8371">
        <v>1266.3820000000001</v>
      </c>
      <c r="AG8371">
        <f>IFERROR(AH8371*0.1, "N/A")</f>
        <v>7.6144850000000011</v>
      </c>
      <c r="AH8371">
        <v>76.144850000000005</v>
      </c>
      <c r="AI8371">
        <v>42.313139999999997</v>
      </c>
      <c r="AJ8371">
        <v>33.144849999999998</v>
      </c>
      <c r="AK8371">
        <v>39.565449999999998</v>
      </c>
    </row>
    <row r="8372" spans="1:37" x14ac:dyDescent="0.3">
      <c r="A8372">
        <v>8371</v>
      </c>
      <c r="B8372">
        <v>2</v>
      </c>
      <c r="C8372">
        <v>37.549999999999997</v>
      </c>
      <c r="D8372">
        <v>6.0333300000000003</v>
      </c>
      <c r="E8372" t="s">
        <v>12465</v>
      </c>
      <c r="F8372" t="s">
        <v>12466</v>
      </c>
      <c r="G8372" t="s">
        <v>37</v>
      </c>
      <c r="H8372">
        <v>1994</v>
      </c>
      <c r="I8372">
        <v>22.217130000000001</v>
      </c>
      <c r="J8372">
        <v>12.1</v>
      </c>
      <c r="K8372">
        <v>78</v>
      </c>
      <c r="L8372">
        <v>6.9419579999999996</v>
      </c>
      <c r="M8372">
        <v>30.380769999999998</v>
      </c>
      <c r="N8372">
        <v>14.88077</v>
      </c>
      <c r="O8372">
        <v>15.5</v>
      </c>
      <c r="P8372">
        <v>22.71941</v>
      </c>
      <c r="Q8372">
        <v>22.519410000000001</v>
      </c>
      <c r="R8372">
        <v>23.119399999999999</v>
      </c>
      <c r="S8372">
        <v>21.33182</v>
      </c>
      <c r="T8372">
        <v>805.31119999999999</v>
      </c>
      <c r="U8372">
        <v>126.3969</v>
      </c>
      <c r="V8372">
        <v>23.853149999999999</v>
      </c>
      <c r="W8372">
        <v>51</v>
      </c>
      <c r="X8372">
        <v>314.37240000000003</v>
      </c>
      <c r="Y8372">
        <v>78.262240000000006</v>
      </c>
      <c r="Z8372">
        <v>217.38460000000001</v>
      </c>
      <c r="AA8372">
        <v>158.7133</v>
      </c>
      <c r="AB8372">
        <v>20.75366</v>
      </c>
      <c r="AC8372">
        <v>0.6153246</v>
      </c>
      <c r="AD8372">
        <v>2.7509299999999999</v>
      </c>
      <c r="AE8372">
        <v>0.60603010000000002</v>
      </c>
      <c r="AF8372">
        <v>1266.2080000000001</v>
      </c>
      <c r="AG8372">
        <f>IFERROR(AH8372*0.1, "N/A")</f>
        <v>7.6146850000000006</v>
      </c>
      <c r="AH8372">
        <v>76.146850000000001</v>
      </c>
      <c r="AI8372">
        <v>42.079120000000003</v>
      </c>
      <c r="AJ8372">
        <v>33.146850000000001</v>
      </c>
      <c r="AK8372">
        <v>39.559440000000002</v>
      </c>
    </row>
    <row r="8373" spans="1:37" x14ac:dyDescent="0.3">
      <c r="A8373">
        <v>8372</v>
      </c>
      <c r="B8373">
        <v>54.3</v>
      </c>
      <c r="C8373">
        <v>35.549999999999997</v>
      </c>
      <c r="D8373">
        <v>6.05</v>
      </c>
      <c r="E8373" t="s">
        <v>12467</v>
      </c>
      <c r="F8373" t="s">
        <v>12468</v>
      </c>
      <c r="G8373" t="s">
        <v>37</v>
      </c>
      <c r="H8373">
        <v>1987</v>
      </c>
      <c r="I8373">
        <v>19.00244</v>
      </c>
      <c r="J8373">
        <v>11.21045</v>
      </c>
      <c r="K8373">
        <v>79.672470000000004</v>
      </c>
      <c r="L8373">
        <v>8.7014809999999994</v>
      </c>
      <c r="M8373">
        <v>26.826830000000001</v>
      </c>
      <c r="N8373">
        <v>12.85</v>
      </c>
      <c r="O8373">
        <v>13.97683</v>
      </c>
      <c r="P8373">
        <v>19.53049</v>
      </c>
      <c r="Q8373">
        <v>19.868819999999999</v>
      </c>
      <c r="R8373">
        <v>20.225960000000001</v>
      </c>
      <c r="S8373">
        <v>17.936060000000001</v>
      </c>
      <c r="T8373">
        <v>1458.3209999999999</v>
      </c>
      <c r="U8373">
        <v>189.79089999999999</v>
      </c>
      <c r="V8373">
        <v>43.79965</v>
      </c>
      <c r="W8373">
        <v>37.243899999999996</v>
      </c>
      <c r="X8373">
        <v>496.5052</v>
      </c>
      <c r="Y8373">
        <v>170.4913</v>
      </c>
      <c r="Z8373">
        <v>247.9547</v>
      </c>
      <c r="AA8373">
        <v>443.74220000000003</v>
      </c>
      <c r="AB8373">
        <v>347.4402</v>
      </c>
      <c r="AC8373">
        <v>1.5950840000000001E-2</v>
      </c>
      <c r="AD8373">
        <v>22.3127</v>
      </c>
      <c r="AE8373">
        <v>0.19227720000000001</v>
      </c>
      <c r="AF8373">
        <v>1902.627</v>
      </c>
      <c r="AG8373">
        <f>IFERROR(AH8373*0.1, "N/A")</f>
        <v>5.4571430000000003</v>
      </c>
      <c r="AH8373">
        <v>54.571429999999999</v>
      </c>
      <c r="AI8373">
        <v>99.024270000000001</v>
      </c>
      <c r="AJ8373">
        <v>38.264809999999997</v>
      </c>
      <c r="AK8373">
        <v>35.132399999999997</v>
      </c>
    </row>
    <row r="8374" spans="1:37" x14ac:dyDescent="0.3">
      <c r="A8374">
        <v>8373</v>
      </c>
      <c r="B8374">
        <v>63.2</v>
      </c>
      <c r="C8374">
        <v>35.668300000000002</v>
      </c>
      <c r="D8374">
        <v>6.0518000000000001</v>
      </c>
      <c r="E8374" t="s">
        <v>12469</v>
      </c>
      <c r="F8374" t="s">
        <v>12470</v>
      </c>
      <c r="G8374" t="s">
        <v>37</v>
      </c>
      <c r="H8374">
        <v>1994</v>
      </c>
      <c r="I8374">
        <v>23.3</v>
      </c>
      <c r="J8374">
        <v>12.5</v>
      </c>
      <c r="K8374">
        <v>80</v>
      </c>
      <c r="L8374">
        <v>8.09</v>
      </c>
      <c r="M8374">
        <v>31.8</v>
      </c>
      <c r="N8374">
        <v>16.3</v>
      </c>
      <c r="O8374">
        <v>15.5</v>
      </c>
      <c r="P8374">
        <v>22.7</v>
      </c>
      <c r="Q8374">
        <v>24</v>
      </c>
      <c r="R8374">
        <v>24.5</v>
      </c>
      <c r="S8374">
        <v>22.4</v>
      </c>
      <c r="T8374">
        <v>1132</v>
      </c>
      <c r="U8374">
        <v>155</v>
      </c>
      <c r="V8374">
        <v>25</v>
      </c>
      <c r="W8374">
        <v>43</v>
      </c>
      <c r="X8374">
        <v>393</v>
      </c>
      <c r="Y8374">
        <v>106</v>
      </c>
      <c r="Z8374">
        <v>158</v>
      </c>
      <c r="AA8374">
        <v>384</v>
      </c>
      <c r="AB8374">
        <v>102.8909</v>
      </c>
      <c r="AC8374">
        <v>9.1676310000000007E-3</v>
      </c>
      <c r="AD8374">
        <v>14.01718</v>
      </c>
      <c r="AE8374">
        <v>0.16042229999999999</v>
      </c>
      <c r="AF8374">
        <v>1033.7840000000001</v>
      </c>
      <c r="AG8374">
        <f>IFERROR(AH8374*0.1, "N/A")</f>
        <v>5.9327530000000008</v>
      </c>
      <c r="AH8374">
        <v>59.327530000000003</v>
      </c>
      <c r="AI8374">
        <v>221.62610000000001</v>
      </c>
      <c r="AJ8374">
        <v>35.67944</v>
      </c>
      <c r="AK8374">
        <v>37.672469999999997</v>
      </c>
    </row>
    <row r="8375" spans="1:37" x14ac:dyDescent="0.3">
      <c r="A8375">
        <v>8374</v>
      </c>
      <c r="B8375">
        <v>2.2000000000000002</v>
      </c>
      <c r="C8375">
        <v>35.85</v>
      </c>
      <c r="D8375">
        <v>6.11</v>
      </c>
      <c r="E8375" t="s">
        <v>12471</v>
      </c>
      <c r="F8375" t="s">
        <v>12472</v>
      </c>
      <c r="G8375" t="s">
        <v>37</v>
      </c>
      <c r="H8375">
        <v>1987</v>
      </c>
      <c r="I8375">
        <v>26.4</v>
      </c>
      <c r="J8375">
        <v>13</v>
      </c>
      <c r="K8375">
        <v>78</v>
      </c>
      <c r="L8375">
        <v>7.8668990000000001</v>
      </c>
      <c r="M8375">
        <v>35.453830000000004</v>
      </c>
      <c r="N8375">
        <v>18.95383</v>
      </c>
      <c r="O8375">
        <v>16.5</v>
      </c>
      <c r="P8375">
        <v>25.95383</v>
      </c>
      <c r="Q8375">
        <v>27</v>
      </c>
      <c r="R8375">
        <v>27.6</v>
      </c>
      <c r="S8375">
        <v>25.7</v>
      </c>
      <c r="T8375">
        <v>891.84670000000006</v>
      </c>
      <c r="U8375">
        <v>125.46169999999999</v>
      </c>
      <c r="V8375">
        <v>17</v>
      </c>
      <c r="W8375">
        <v>46.461669999999998</v>
      </c>
      <c r="X8375">
        <v>321.92329999999998</v>
      </c>
      <c r="Y8375">
        <v>75</v>
      </c>
      <c r="Z8375">
        <v>112</v>
      </c>
      <c r="AA8375">
        <v>310.46170000000001</v>
      </c>
      <c r="AB8375">
        <v>4.6524320000000001</v>
      </c>
      <c r="AC8375">
        <v>9.4850740000000003E-2</v>
      </c>
      <c r="AD8375">
        <v>0.57826960000000005</v>
      </c>
      <c r="AE8375">
        <v>9.9646189999999996E-2</v>
      </c>
      <c r="AF8375">
        <v>500.67250000000001</v>
      </c>
      <c r="AG8375">
        <f>IFERROR(AH8375*0.1, "N/A")</f>
        <v>6.7559230000000001</v>
      </c>
      <c r="AH8375">
        <v>67.559229999999999</v>
      </c>
      <c r="AI8375">
        <v>146.3212</v>
      </c>
      <c r="AJ8375">
        <v>35.926830000000002</v>
      </c>
      <c r="AK8375">
        <v>41.026130000000002</v>
      </c>
    </row>
    <row r="8376" spans="1:37" x14ac:dyDescent="0.3">
      <c r="A8376">
        <v>8375</v>
      </c>
      <c r="B8376">
        <v>3.7</v>
      </c>
      <c r="C8376">
        <v>37.6464</v>
      </c>
      <c r="D8376">
        <v>6.1366699999999996</v>
      </c>
      <c r="E8376" t="s">
        <v>12473</v>
      </c>
      <c r="F8376" t="s">
        <v>12474</v>
      </c>
      <c r="G8376" t="s">
        <v>37</v>
      </c>
      <c r="H8376">
        <v>1994</v>
      </c>
      <c r="I8376">
        <v>23.2</v>
      </c>
      <c r="J8376">
        <v>12.5</v>
      </c>
      <c r="K8376">
        <v>77</v>
      </c>
      <c r="L8376">
        <v>6.91</v>
      </c>
      <c r="M8376">
        <v>31.7</v>
      </c>
      <c r="N8376">
        <v>15.6</v>
      </c>
      <c r="O8376">
        <v>16.100000000000001</v>
      </c>
      <c r="P8376">
        <v>23.8</v>
      </c>
      <c r="Q8376">
        <v>23.4</v>
      </c>
      <c r="R8376">
        <v>24.2</v>
      </c>
      <c r="S8376">
        <v>22.5</v>
      </c>
      <c r="T8376">
        <v>777</v>
      </c>
      <c r="U8376">
        <v>121</v>
      </c>
      <c r="V8376">
        <v>21</v>
      </c>
      <c r="W8376">
        <v>50</v>
      </c>
      <c r="X8376">
        <v>296</v>
      </c>
      <c r="Y8376">
        <v>74</v>
      </c>
      <c r="Z8376">
        <v>200</v>
      </c>
      <c r="AA8376">
        <v>166</v>
      </c>
      <c r="AB8376">
        <v>6.1255139999999999</v>
      </c>
      <c r="AC8376">
        <v>3.2179950000000002</v>
      </c>
      <c r="AD8376">
        <v>1.2466839999999999</v>
      </c>
      <c r="AE8376">
        <v>0.28932400000000003</v>
      </c>
      <c r="AF8376">
        <v>1195.749</v>
      </c>
      <c r="AG8376">
        <f>IFERROR(AH8376*0.1, "N/A")</f>
        <v>6.5258290000000008</v>
      </c>
      <c r="AH8376">
        <v>65.258290000000002</v>
      </c>
      <c r="AI8376">
        <v>201.55269999999999</v>
      </c>
      <c r="AJ8376">
        <v>38.026179999999997</v>
      </c>
      <c r="AK8376">
        <v>30.741710000000001</v>
      </c>
    </row>
    <row r="8377" spans="1:37" x14ac:dyDescent="0.3">
      <c r="A8377">
        <v>8376</v>
      </c>
      <c r="B8377">
        <v>58.1</v>
      </c>
      <c r="C8377">
        <v>37.7667</v>
      </c>
      <c r="D8377">
        <v>6.1666699999999999</v>
      </c>
      <c r="E8377" t="s">
        <v>12475</v>
      </c>
      <c r="F8377" t="s">
        <v>12476</v>
      </c>
      <c r="G8377" t="s">
        <v>37</v>
      </c>
      <c r="H8377">
        <v>1994</v>
      </c>
      <c r="I8377">
        <v>23.780169999999998</v>
      </c>
      <c r="J8377">
        <v>13.007999999999999</v>
      </c>
      <c r="K8377">
        <v>77</v>
      </c>
      <c r="L8377">
        <v>7.1019480000000001</v>
      </c>
      <c r="M8377">
        <v>32.68817</v>
      </c>
      <c r="N8377">
        <v>15.88017</v>
      </c>
      <c r="O8377">
        <v>16.808</v>
      </c>
      <c r="P8377">
        <v>24.538959999999999</v>
      </c>
      <c r="Q8377">
        <v>24.001570000000001</v>
      </c>
      <c r="R8377">
        <v>24.88017</v>
      </c>
      <c r="S8377">
        <v>23.18017</v>
      </c>
      <c r="T8377">
        <v>717.36170000000004</v>
      </c>
      <c r="U8377">
        <v>111.90430000000001</v>
      </c>
      <c r="V8377">
        <v>16.920000000000002</v>
      </c>
      <c r="W8377">
        <v>49.786090000000002</v>
      </c>
      <c r="X8377">
        <v>268.80869999999999</v>
      </c>
      <c r="Y8377">
        <v>64.118260000000006</v>
      </c>
      <c r="Z8377">
        <v>178.90430000000001</v>
      </c>
      <c r="AA8377">
        <v>187.6104</v>
      </c>
      <c r="AB8377">
        <v>0</v>
      </c>
      <c r="AC8377">
        <v>3.0849109999999999E-2</v>
      </c>
      <c r="AD8377">
        <v>0</v>
      </c>
      <c r="AE8377">
        <v>0.22024360000000001</v>
      </c>
      <c r="AF8377">
        <v>1172</v>
      </c>
      <c r="AG8377" t="str">
        <f>IFERROR(AH8377*0.1, "N/A")</f>
        <v>N/A</v>
      </c>
      <c r="AH8377" t="s">
        <v>729</v>
      </c>
      <c r="AI8377">
        <v>0</v>
      </c>
      <c r="AJ8377" t="s">
        <v>729</v>
      </c>
      <c r="AK8377" t="s">
        <v>729</v>
      </c>
    </row>
    <row r="8378" spans="1:37" x14ac:dyDescent="0.3">
      <c r="A8378">
        <v>8377</v>
      </c>
      <c r="B8378">
        <v>6.1</v>
      </c>
      <c r="C8378">
        <v>35.583300000000001</v>
      </c>
      <c r="D8378">
        <v>6.2</v>
      </c>
      <c r="E8378" t="s">
        <v>12477</v>
      </c>
      <c r="F8378" t="s">
        <v>12478</v>
      </c>
      <c r="G8378" t="s">
        <v>37</v>
      </c>
      <c r="H8378">
        <v>1987</v>
      </c>
      <c r="I8378">
        <v>17.519760000000002</v>
      </c>
      <c r="J8378">
        <v>10.87185</v>
      </c>
      <c r="K8378">
        <v>79.494759999999999</v>
      </c>
      <c r="L8378">
        <v>8.8862760000000005</v>
      </c>
      <c r="M8378">
        <v>25.105419999999999</v>
      </c>
      <c r="N8378">
        <v>11.483040000000001</v>
      </c>
      <c r="O8378">
        <v>13.62238</v>
      </c>
      <c r="P8378">
        <v>18.119759999999999</v>
      </c>
      <c r="Q8378">
        <v>18.35699</v>
      </c>
      <c r="R8378">
        <v>18.719760000000001</v>
      </c>
      <c r="S8378">
        <v>16.35699</v>
      </c>
      <c r="T8378">
        <v>1623.6120000000001</v>
      </c>
      <c r="U8378">
        <v>207.02619999999999</v>
      </c>
      <c r="V8378">
        <v>54.541960000000003</v>
      </c>
      <c r="W8378">
        <v>35.117130000000003</v>
      </c>
      <c r="X8378">
        <v>553.79020000000003</v>
      </c>
      <c r="Y8378">
        <v>203.7483</v>
      </c>
      <c r="Z8378">
        <v>291.65730000000002</v>
      </c>
      <c r="AA8378">
        <v>486.26049999999998</v>
      </c>
      <c r="AB8378">
        <v>110.4813</v>
      </c>
      <c r="AC8378">
        <v>3.9641610000000001E-2</v>
      </c>
      <c r="AD8378">
        <v>12.102349999999999</v>
      </c>
      <c r="AE8378">
        <v>0.21499599999999999</v>
      </c>
      <c r="AF8378">
        <v>2045.2470000000001</v>
      </c>
      <c r="AG8378">
        <f>IFERROR(AH8378*0.1, "N/A")</f>
        <v>5.6012240000000002</v>
      </c>
      <c r="AH8378">
        <v>56.012239999999998</v>
      </c>
      <c r="AI8378">
        <v>324.39800000000002</v>
      </c>
      <c r="AJ8378">
        <v>37.475520000000003</v>
      </c>
      <c r="AK8378">
        <v>32.893360000000001</v>
      </c>
    </row>
    <row r="8379" spans="1:37" x14ac:dyDescent="0.3">
      <c r="A8379">
        <v>8378</v>
      </c>
      <c r="B8379">
        <v>0</v>
      </c>
      <c r="C8379">
        <v>38.700000000000003</v>
      </c>
      <c r="D8379">
        <v>6.2</v>
      </c>
      <c r="E8379" t="s">
        <v>12479</v>
      </c>
      <c r="F8379" t="s">
        <v>12480</v>
      </c>
      <c r="G8379" t="s">
        <v>37</v>
      </c>
      <c r="H8379">
        <v>1987</v>
      </c>
      <c r="I8379">
        <v>16.066199999999998</v>
      </c>
      <c r="J8379">
        <v>13.454879999999999</v>
      </c>
      <c r="K8379">
        <v>76.202089999999998</v>
      </c>
      <c r="L8379">
        <v>5.7849300000000001</v>
      </c>
      <c r="M8379">
        <v>24.962199999999999</v>
      </c>
      <c r="N8379">
        <v>7.4233450000000003</v>
      </c>
      <c r="O8379">
        <v>17.53885</v>
      </c>
      <c r="P8379">
        <v>16.705400000000001</v>
      </c>
      <c r="Q8379">
        <v>15.93066</v>
      </c>
      <c r="R8379">
        <v>16.782229999999998</v>
      </c>
      <c r="S8379">
        <v>15.486409999999999</v>
      </c>
      <c r="T8379">
        <v>1737.2940000000001</v>
      </c>
      <c r="U8379">
        <v>256.23520000000002</v>
      </c>
      <c r="V8379">
        <v>24</v>
      </c>
      <c r="W8379">
        <v>53.515680000000003</v>
      </c>
      <c r="X8379">
        <v>657.20029999999997</v>
      </c>
      <c r="Y8379">
        <v>109.46169999999999</v>
      </c>
      <c r="Z8379">
        <v>590.17070000000001</v>
      </c>
      <c r="AA8379">
        <v>400.17770000000002</v>
      </c>
      <c r="AB8379">
        <v>341.50569999999999</v>
      </c>
      <c r="AC8379">
        <v>1.9292699999999999E-2</v>
      </c>
      <c r="AD8379">
        <v>26.94218</v>
      </c>
      <c r="AE8379">
        <v>0.46744079999999999</v>
      </c>
      <c r="AF8379">
        <v>2449.181</v>
      </c>
      <c r="AG8379">
        <f>IFERROR(AH8379*0.1, "N/A")</f>
        <v>5.6000000000000005</v>
      </c>
      <c r="AH8379">
        <v>56</v>
      </c>
      <c r="AI8379">
        <v>282.01620000000003</v>
      </c>
      <c r="AJ8379">
        <v>34.25958</v>
      </c>
      <c r="AK8379">
        <v>36.256100000000004</v>
      </c>
    </row>
    <row r="8380" spans="1:37" x14ac:dyDescent="0.3">
      <c r="A8380">
        <v>8379</v>
      </c>
      <c r="B8380">
        <v>29.2</v>
      </c>
      <c r="C8380">
        <v>36.128599999999999</v>
      </c>
      <c r="D8380">
        <v>6.2237799999999996</v>
      </c>
      <c r="E8380" t="s">
        <v>12481</v>
      </c>
      <c r="F8380" t="s">
        <v>12482</v>
      </c>
      <c r="G8380" t="s">
        <v>37</v>
      </c>
      <c r="H8380">
        <v>1990</v>
      </c>
      <c r="I8380">
        <v>26</v>
      </c>
      <c r="J8380">
        <v>13</v>
      </c>
      <c r="K8380">
        <v>78</v>
      </c>
      <c r="L8380">
        <v>7.93</v>
      </c>
      <c r="M8380">
        <v>35</v>
      </c>
      <c r="N8380">
        <v>18.5</v>
      </c>
      <c r="O8380">
        <v>16.5</v>
      </c>
      <c r="P8380">
        <v>25.8</v>
      </c>
      <c r="Q8380">
        <v>26.6</v>
      </c>
      <c r="R8380">
        <v>27.2</v>
      </c>
      <c r="S8380">
        <v>25.2</v>
      </c>
      <c r="T8380">
        <v>972</v>
      </c>
      <c r="U8380">
        <v>136</v>
      </c>
      <c r="V8380">
        <v>20</v>
      </c>
      <c r="W8380">
        <v>46</v>
      </c>
      <c r="X8380">
        <v>351</v>
      </c>
      <c r="Y8380">
        <v>82</v>
      </c>
      <c r="Z8380">
        <v>119</v>
      </c>
      <c r="AA8380">
        <v>328</v>
      </c>
      <c r="AB8380">
        <v>12.121180000000001</v>
      </c>
      <c r="AC8380">
        <v>1.000171E-2</v>
      </c>
      <c r="AD8380">
        <v>1.6275869999999999</v>
      </c>
      <c r="AE8380">
        <v>0.18817909999999999</v>
      </c>
      <c r="AF8380">
        <v>586.08579999999995</v>
      </c>
      <c r="AG8380">
        <f>IFERROR(AH8380*0.1, "N/A")</f>
        <v>6.6992990000000008</v>
      </c>
      <c r="AH8380">
        <v>66.992990000000006</v>
      </c>
      <c r="AI8380">
        <v>141.63030000000001</v>
      </c>
      <c r="AJ8380">
        <v>32.985990000000001</v>
      </c>
      <c r="AK8380">
        <v>44.02102</v>
      </c>
    </row>
    <row r="8381" spans="1:37" x14ac:dyDescent="0.3">
      <c r="A8381">
        <v>8380</v>
      </c>
      <c r="B8381">
        <v>1</v>
      </c>
      <c r="C8381">
        <v>42.559399999999997</v>
      </c>
      <c r="D8381">
        <v>6.27339</v>
      </c>
      <c r="E8381" t="s">
        <v>12483</v>
      </c>
      <c r="F8381" t="s">
        <v>12484</v>
      </c>
      <c r="G8381" t="s">
        <v>39</v>
      </c>
      <c r="H8381">
        <v>1978</v>
      </c>
      <c r="I8381">
        <v>28.8</v>
      </c>
      <c r="J8381">
        <v>13.8</v>
      </c>
      <c r="K8381">
        <v>73</v>
      </c>
      <c r="L8381">
        <v>7.64</v>
      </c>
      <c r="M8381">
        <v>38</v>
      </c>
      <c r="N8381">
        <v>19.2</v>
      </c>
      <c r="O8381">
        <v>18.8</v>
      </c>
      <c r="P8381">
        <v>29.7</v>
      </c>
      <c r="Q8381">
        <v>28.4</v>
      </c>
      <c r="R8381">
        <v>29.7</v>
      </c>
      <c r="S8381">
        <v>27.9</v>
      </c>
      <c r="T8381">
        <v>301</v>
      </c>
      <c r="U8381">
        <v>96</v>
      </c>
      <c r="V8381">
        <v>0</v>
      </c>
      <c r="W8381">
        <v>123</v>
      </c>
      <c r="X8381">
        <v>190</v>
      </c>
      <c r="Y8381">
        <v>2</v>
      </c>
      <c r="Z8381">
        <v>121</v>
      </c>
      <c r="AA8381">
        <v>35</v>
      </c>
      <c r="AB8381">
        <v>0.60994680000000001</v>
      </c>
      <c r="AC8381">
        <v>1.007244E-2</v>
      </c>
      <c r="AD8381">
        <v>0.72042680000000003</v>
      </c>
      <c r="AE8381">
        <v>0.19071080000000001</v>
      </c>
      <c r="AF8381">
        <v>337.2045</v>
      </c>
      <c r="AG8381">
        <f>IFERROR(AH8381*0.1, "N/A")</f>
        <v>8.0349649999999997</v>
      </c>
      <c r="AH8381">
        <v>80.349649999999997</v>
      </c>
      <c r="AI8381">
        <v>174.3561</v>
      </c>
      <c r="AJ8381">
        <v>31.473780000000001</v>
      </c>
      <c r="AK8381">
        <v>43.006990000000002</v>
      </c>
    </row>
    <row r="8382" spans="1:37" x14ac:dyDescent="0.3">
      <c r="A8382">
        <v>8381</v>
      </c>
      <c r="B8382">
        <v>58.6</v>
      </c>
      <c r="C8382">
        <v>37.75</v>
      </c>
      <c r="D8382">
        <v>6.44</v>
      </c>
      <c r="E8382" t="s">
        <v>12485</v>
      </c>
      <c r="F8382" t="s">
        <v>12486</v>
      </c>
      <c r="G8382" t="s">
        <v>37</v>
      </c>
      <c r="H8382">
        <v>1987</v>
      </c>
      <c r="I8382">
        <v>23.55941</v>
      </c>
      <c r="J8382">
        <v>13.8</v>
      </c>
      <c r="K8382">
        <v>77</v>
      </c>
      <c r="L8382">
        <v>8.3974220000000006</v>
      </c>
      <c r="M8382">
        <v>33.159410000000001</v>
      </c>
      <c r="N8382">
        <v>15.41882</v>
      </c>
      <c r="O8382">
        <v>17.740590000000001</v>
      </c>
      <c r="P8382">
        <v>23.159410000000001</v>
      </c>
      <c r="Q8382">
        <v>24.018820000000002</v>
      </c>
      <c r="R8382">
        <v>24.7</v>
      </c>
      <c r="S8382">
        <v>22.55941</v>
      </c>
      <c r="T8382">
        <v>756.71249999999998</v>
      </c>
      <c r="U8382">
        <v>109.2178</v>
      </c>
      <c r="V8382">
        <v>11</v>
      </c>
      <c r="W8382">
        <v>48</v>
      </c>
      <c r="X8382">
        <v>275.24740000000003</v>
      </c>
      <c r="Y8382">
        <v>55.405920000000002</v>
      </c>
      <c r="Z8382">
        <v>161.81180000000001</v>
      </c>
      <c r="AA8382">
        <v>250.8415</v>
      </c>
      <c r="AB8382">
        <v>14.15385</v>
      </c>
      <c r="AC8382">
        <v>0.1004459</v>
      </c>
      <c r="AD8382">
        <v>2.1859440000000001</v>
      </c>
      <c r="AE8382">
        <v>0.26517659999999998</v>
      </c>
      <c r="AF8382">
        <v>1228.6079999999999</v>
      </c>
      <c r="AG8382">
        <f>IFERROR(AH8382*0.1, "N/A")</f>
        <v>6.8000000000000007</v>
      </c>
      <c r="AH8382">
        <v>68</v>
      </c>
      <c r="AI8382">
        <v>70.934629999999999</v>
      </c>
      <c r="AJ8382">
        <v>37.594079999999998</v>
      </c>
      <c r="AK8382">
        <v>32.405920000000002</v>
      </c>
    </row>
    <row r="8383" spans="1:37" x14ac:dyDescent="0.3">
      <c r="A8383">
        <v>8382</v>
      </c>
      <c r="B8383">
        <v>0</v>
      </c>
      <c r="C8383">
        <v>42.1387</v>
      </c>
      <c r="D8383">
        <v>6.4565200000000003</v>
      </c>
      <c r="E8383" t="s">
        <v>12487</v>
      </c>
      <c r="F8383" t="s">
        <v>12488</v>
      </c>
      <c r="G8383" t="s">
        <v>39</v>
      </c>
      <c r="H8383">
        <v>1978</v>
      </c>
      <c r="I8383">
        <v>28.5</v>
      </c>
      <c r="J8383">
        <v>13.9</v>
      </c>
      <c r="K8383">
        <v>72</v>
      </c>
      <c r="L8383">
        <v>7.96</v>
      </c>
      <c r="M8383">
        <v>37.700000000000003</v>
      </c>
      <c r="N8383">
        <v>18.600000000000001</v>
      </c>
      <c r="O8383">
        <v>19.100000000000001</v>
      </c>
      <c r="P8383">
        <v>29.3</v>
      </c>
      <c r="Q8383">
        <v>28.3</v>
      </c>
      <c r="R8383">
        <v>29.4</v>
      </c>
      <c r="S8383">
        <v>27.5</v>
      </c>
      <c r="T8383">
        <v>304</v>
      </c>
      <c r="U8383">
        <v>95</v>
      </c>
      <c r="V8383">
        <v>0</v>
      </c>
      <c r="W8383">
        <v>124</v>
      </c>
      <c r="X8383">
        <v>199</v>
      </c>
      <c r="Y8383">
        <v>3</v>
      </c>
      <c r="Z8383">
        <v>122</v>
      </c>
      <c r="AA8383">
        <v>29</v>
      </c>
      <c r="AB8383">
        <v>6.2776439999999996</v>
      </c>
      <c r="AC8383">
        <v>2.4550209999999999E-2</v>
      </c>
      <c r="AD8383">
        <v>2.3248639999999998</v>
      </c>
      <c r="AE8383">
        <v>0.22601750000000001</v>
      </c>
      <c r="AF8383">
        <v>374.80630000000002</v>
      </c>
      <c r="AG8383">
        <f>IFERROR(AH8383*0.1, "N/A")</f>
        <v>7.8104709999999997</v>
      </c>
      <c r="AH8383">
        <v>78.104709999999997</v>
      </c>
      <c r="AI8383">
        <v>103.98869999999999</v>
      </c>
      <c r="AJ8383">
        <v>27.314139999999998</v>
      </c>
      <c r="AK8383">
        <v>44</v>
      </c>
    </row>
    <row r="8384" spans="1:37" x14ac:dyDescent="0.3">
      <c r="A8384">
        <v>8383</v>
      </c>
      <c r="B8384">
        <v>0</v>
      </c>
      <c r="C8384">
        <v>38.416699999999999</v>
      </c>
      <c r="D8384">
        <v>6.75</v>
      </c>
      <c r="E8384" t="s">
        <v>12489</v>
      </c>
      <c r="F8384" t="s">
        <v>12490</v>
      </c>
      <c r="G8384" t="s">
        <v>37</v>
      </c>
      <c r="H8384">
        <v>1987</v>
      </c>
      <c r="I8384">
        <v>18.924219999999998</v>
      </c>
      <c r="J8384">
        <v>15.1</v>
      </c>
      <c r="K8384">
        <v>77.562719999999999</v>
      </c>
      <c r="L8384">
        <v>5.3173170000000001</v>
      </c>
      <c r="M8384">
        <v>28.724219999999999</v>
      </c>
      <c r="N8384">
        <v>9.3804879999999997</v>
      </c>
      <c r="O8384">
        <v>19.343730000000001</v>
      </c>
      <c r="P8384">
        <v>18.52422</v>
      </c>
      <c r="Q8384">
        <v>18.52422</v>
      </c>
      <c r="R8384">
        <v>19.712540000000001</v>
      </c>
      <c r="S8384">
        <v>18.52422</v>
      </c>
      <c r="T8384">
        <v>1220.2280000000001</v>
      </c>
      <c r="U8384">
        <v>160.63239999999999</v>
      </c>
      <c r="V8384">
        <v>28.437280000000001</v>
      </c>
      <c r="W8384">
        <v>44.562719999999999</v>
      </c>
      <c r="X8384">
        <v>429.42509999999999</v>
      </c>
      <c r="Y8384">
        <v>117.7927</v>
      </c>
      <c r="Z8384">
        <v>298.74560000000002</v>
      </c>
      <c r="AA8384">
        <v>247.1951</v>
      </c>
      <c r="AB8384">
        <v>59.649859999999997</v>
      </c>
      <c r="AC8384">
        <v>1.1211250000000001E-2</v>
      </c>
      <c r="AD8384">
        <v>5.0980499999999997</v>
      </c>
      <c r="AE8384">
        <v>0.66459639999999998</v>
      </c>
      <c r="AF8384">
        <v>1771.296</v>
      </c>
      <c r="AG8384">
        <f>IFERROR(AH8384*0.1, "N/A")</f>
        <v>5.4554010000000002</v>
      </c>
      <c r="AH8384">
        <v>54.554009999999998</v>
      </c>
      <c r="AI8384">
        <v>93.143349999999998</v>
      </c>
      <c r="AJ8384">
        <v>43</v>
      </c>
      <c r="AK8384">
        <v>30.722999999999999</v>
      </c>
    </row>
    <row r="8385" spans="1:37" x14ac:dyDescent="0.3">
      <c r="A8385">
        <v>8384</v>
      </c>
      <c r="B8385">
        <v>2.5</v>
      </c>
      <c r="C8385">
        <v>35.866700000000002</v>
      </c>
      <c r="D8385">
        <v>6.8333000000000004</v>
      </c>
      <c r="E8385" t="s">
        <v>12491</v>
      </c>
      <c r="F8385" t="s">
        <v>12492</v>
      </c>
      <c r="G8385" t="s">
        <v>37</v>
      </c>
      <c r="H8385">
        <v>1987</v>
      </c>
      <c r="I8385">
        <v>17.637699999999999</v>
      </c>
      <c r="J8385">
        <v>12.594939999999999</v>
      </c>
      <c r="K8385">
        <v>84.713790000000003</v>
      </c>
      <c r="L8385">
        <v>7.0748340000000001</v>
      </c>
      <c r="M8385">
        <v>25.644850000000002</v>
      </c>
      <c r="N8385">
        <v>10.836650000000001</v>
      </c>
      <c r="O8385">
        <v>14.808199999999999</v>
      </c>
      <c r="P8385">
        <v>17.173469999999998</v>
      </c>
      <c r="Q8385">
        <v>18.086559999999999</v>
      </c>
      <c r="R8385">
        <v>18.4377</v>
      </c>
      <c r="S8385">
        <v>16.637699999999999</v>
      </c>
      <c r="T8385">
        <v>1839.99</v>
      </c>
      <c r="U8385">
        <v>234.7749</v>
      </c>
      <c r="V8385">
        <v>50.061079999999997</v>
      </c>
      <c r="W8385">
        <v>39.713790000000003</v>
      </c>
      <c r="X8385">
        <v>624.06110000000001</v>
      </c>
      <c r="Y8385">
        <v>193.61080000000001</v>
      </c>
      <c r="Z8385">
        <v>355.93369999999999</v>
      </c>
      <c r="AA8385">
        <v>622.63350000000003</v>
      </c>
      <c r="AB8385">
        <v>151.9357</v>
      </c>
      <c r="AC8385">
        <v>4.9655900000000003E-2</v>
      </c>
      <c r="AD8385">
        <v>9.7705479999999998</v>
      </c>
      <c r="AE8385">
        <v>0.48144720000000002</v>
      </c>
      <c r="AF8385">
        <v>2040.827</v>
      </c>
      <c r="AG8385">
        <f>IFERROR(AH8385*0.1, "N/A")</f>
        <v>5.3984290000000001</v>
      </c>
      <c r="AH8385">
        <v>53.984290000000001</v>
      </c>
      <c r="AI8385">
        <v>108.2881</v>
      </c>
      <c r="AJ8385">
        <v>37.22513</v>
      </c>
      <c r="AK8385">
        <v>35.534030000000001</v>
      </c>
    </row>
    <row r="8386" spans="1:37" x14ac:dyDescent="0.3">
      <c r="A8386">
        <v>8385</v>
      </c>
      <c r="B8386">
        <v>0</v>
      </c>
      <c r="C8386">
        <v>37.83</v>
      </c>
      <c r="D8386">
        <v>6.8988699999999996</v>
      </c>
      <c r="E8386" t="s">
        <v>12493</v>
      </c>
      <c r="F8386" t="s">
        <v>12494</v>
      </c>
      <c r="G8386" t="s">
        <v>37</v>
      </c>
      <c r="H8386">
        <v>1980</v>
      </c>
      <c r="I8386">
        <v>18.3</v>
      </c>
      <c r="J8386">
        <v>13.9</v>
      </c>
      <c r="K8386">
        <v>79</v>
      </c>
      <c r="L8386">
        <v>12.17</v>
      </c>
      <c r="M8386">
        <v>28</v>
      </c>
      <c r="N8386">
        <v>10.5</v>
      </c>
      <c r="O8386">
        <v>17.5</v>
      </c>
      <c r="P8386">
        <v>16.600000000000001</v>
      </c>
      <c r="Q8386">
        <v>19.100000000000001</v>
      </c>
      <c r="R8386">
        <v>19.600000000000001</v>
      </c>
      <c r="S8386">
        <v>16.5</v>
      </c>
      <c r="T8386">
        <v>1450</v>
      </c>
      <c r="U8386">
        <v>207</v>
      </c>
      <c r="V8386">
        <v>22</v>
      </c>
      <c r="W8386">
        <v>51</v>
      </c>
      <c r="X8386">
        <v>569</v>
      </c>
      <c r="Y8386">
        <v>116</v>
      </c>
      <c r="Z8386">
        <v>208</v>
      </c>
      <c r="AA8386">
        <v>556</v>
      </c>
      <c r="AB8386">
        <v>45.785299999999999</v>
      </c>
      <c r="AC8386">
        <v>8.9019340000000002E-3</v>
      </c>
      <c r="AD8386">
        <v>2.0080460000000002</v>
      </c>
      <c r="AE8386">
        <v>0.75266599999999995</v>
      </c>
      <c r="AF8386">
        <v>2147.5479999999998</v>
      </c>
      <c r="AG8386">
        <f>IFERROR(AH8386*0.1, "N/A")</f>
        <v>6.0352530000000009</v>
      </c>
      <c r="AH8386">
        <v>60.352530000000002</v>
      </c>
      <c r="AI8386">
        <v>123.21720000000001</v>
      </c>
      <c r="AJ8386">
        <v>37</v>
      </c>
      <c r="AK8386">
        <v>32.352530000000002</v>
      </c>
    </row>
    <row r="8387" spans="1:37" x14ac:dyDescent="0.3">
      <c r="A8387">
        <v>8386</v>
      </c>
      <c r="B8387">
        <v>0</v>
      </c>
      <c r="C8387">
        <v>37.861499999999999</v>
      </c>
      <c r="D8387">
        <v>6.9588999999999999</v>
      </c>
      <c r="E8387" t="s">
        <v>12495</v>
      </c>
      <c r="F8387" t="s">
        <v>12496</v>
      </c>
      <c r="G8387" t="s">
        <v>37</v>
      </c>
      <c r="H8387">
        <v>1980</v>
      </c>
      <c r="I8387">
        <v>19</v>
      </c>
      <c r="J8387">
        <v>14.3</v>
      </c>
      <c r="K8387">
        <v>78.076520000000002</v>
      </c>
      <c r="L8387">
        <v>12.05158</v>
      </c>
      <c r="M8387">
        <v>28.992349999999998</v>
      </c>
      <c r="N8387">
        <v>10.8</v>
      </c>
      <c r="O8387">
        <v>18.192350000000001</v>
      </c>
      <c r="P8387">
        <v>17.399999999999999</v>
      </c>
      <c r="Q8387">
        <v>19.7</v>
      </c>
      <c r="R8387">
        <v>20.3</v>
      </c>
      <c r="S8387">
        <v>17.2</v>
      </c>
      <c r="T8387">
        <v>1412.23</v>
      </c>
      <c r="U8387">
        <v>204.07650000000001</v>
      </c>
      <c r="V8387">
        <v>22</v>
      </c>
      <c r="W8387">
        <v>51</v>
      </c>
      <c r="X8387">
        <v>563.07650000000001</v>
      </c>
      <c r="Y8387">
        <v>114</v>
      </c>
      <c r="Z8387">
        <v>212.92349999999999</v>
      </c>
      <c r="AA8387">
        <v>547.15300000000002</v>
      </c>
      <c r="AB8387">
        <v>91.162940000000006</v>
      </c>
      <c r="AC8387">
        <v>1.775448E-2</v>
      </c>
      <c r="AD8387">
        <v>2.9381710000000001</v>
      </c>
      <c r="AE8387">
        <v>0.77293999999999996</v>
      </c>
      <c r="AF8387">
        <v>2031.7170000000001</v>
      </c>
      <c r="AG8387">
        <f>IFERROR(AH8387*0.1, "N/A")</f>
        <v>6.0859130000000006</v>
      </c>
      <c r="AH8387">
        <v>60.85913</v>
      </c>
      <c r="AI8387">
        <v>59.226599999999998</v>
      </c>
      <c r="AJ8387">
        <v>38.74783</v>
      </c>
      <c r="AK8387">
        <v>33.290430000000001</v>
      </c>
    </row>
    <row r="8388" spans="1:37" x14ac:dyDescent="0.3">
      <c r="A8388">
        <v>8387</v>
      </c>
      <c r="B8388">
        <v>0</v>
      </c>
      <c r="C8388">
        <v>35.7667</v>
      </c>
      <c r="D8388">
        <v>6.9666699999999997</v>
      </c>
      <c r="E8388" t="s">
        <v>12497</v>
      </c>
      <c r="F8388" t="s">
        <v>12498</v>
      </c>
      <c r="G8388" t="s">
        <v>37</v>
      </c>
      <c r="H8388">
        <v>1987</v>
      </c>
      <c r="I8388">
        <v>17.75787</v>
      </c>
      <c r="J8388">
        <v>12.95787</v>
      </c>
      <c r="K8388">
        <v>85.059439999999995</v>
      </c>
      <c r="L8388">
        <v>6.5680240000000003</v>
      </c>
      <c r="M8388">
        <v>25.909790000000001</v>
      </c>
      <c r="N8388">
        <v>10.75787</v>
      </c>
      <c r="O8388">
        <v>15.15192</v>
      </c>
      <c r="P8388">
        <v>16.85192</v>
      </c>
      <c r="Q8388">
        <v>18.205939999999998</v>
      </c>
      <c r="R8388">
        <v>18.557870000000001</v>
      </c>
      <c r="S8388">
        <v>16.85192</v>
      </c>
      <c r="T8388">
        <v>1827.1559999999999</v>
      </c>
      <c r="U8388">
        <v>236.94059999999999</v>
      </c>
      <c r="V8388">
        <v>47.421329999999998</v>
      </c>
      <c r="W8388">
        <v>42.770980000000002</v>
      </c>
      <c r="X8388">
        <v>651.94060000000002</v>
      </c>
      <c r="Y8388">
        <v>181.8794</v>
      </c>
      <c r="Z8388">
        <v>398.78149999999999</v>
      </c>
      <c r="AA8388">
        <v>651.94060000000002</v>
      </c>
      <c r="AB8388">
        <v>16.23367</v>
      </c>
      <c r="AC8388">
        <v>2.6081159999999999E-2</v>
      </c>
      <c r="AD8388">
        <v>6.2949489999999999</v>
      </c>
      <c r="AE8388">
        <v>0.56074400000000002</v>
      </c>
      <c r="AF8388">
        <v>1994.9159999999999</v>
      </c>
      <c r="AG8388">
        <f>IFERROR(AH8388*0.1, "N/A")</f>
        <v>5.9</v>
      </c>
      <c r="AH8388">
        <v>59</v>
      </c>
      <c r="AI8388">
        <v>67.478909999999999</v>
      </c>
      <c r="AJ8388">
        <v>36.748249999999999</v>
      </c>
      <c r="AK8388">
        <v>33.251750000000001</v>
      </c>
    </row>
    <row r="8389" spans="1:37" x14ac:dyDescent="0.3">
      <c r="A8389">
        <v>8388</v>
      </c>
      <c r="B8389">
        <v>20</v>
      </c>
      <c r="C8389">
        <v>38.561700000000002</v>
      </c>
      <c r="D8389">
        <v>6.9751899999999996</v>
      </c>
      <c r="E8389" t="s">
        <v>12499</v>
      </c>
      <c r="F8389" t="s">
        <v>12500</v>
      </c>
      <c r="G8389" t="s">
        <v>37</v>
      </c>
      <c r="H8389">
        <v>2002</v>
      </c>
      <c r="I8389">
        <v>19.032229999999998</v>
      </c>
      <c r="J8389">
        <v>14.8</v>
      </c>
      <c r="K8389">
        <v>75</v>
      </c>
      <c r="L8389">
        <v>7.12446</v>
      </c>
      <c r="M8389">
        <v>28.664459999999998</v>
      </c>
      <c r="N8389">
        <v>9.1</v>
      </c>
      <c r="O8389">
        <v>19.56446</v>
      </c>
      <c r="P8389">
        <v>18.600000000000001</v>
      </c>
      <c r="Q8389">
        <v>18.3</v>
      </c>
      <c r="R8389">
        <v>20.032229999999998</v>
      </c>
      <c r="S8389">
        <v>18.3</v>
      </c>
      <c r="T8389">
        <v>1065.0989999999999</v>
      </c>
      <c r="U8389">
        <v>141.67769999999999</v>
      </c>
      <c r="V8389">
        <v>19</v>
      </c>
      <c r="W8389">
        <v>49</v>
      </c>
      <c r="X8389">
        <v>416.03309999999999</v>
      </c>
      <c r="Y8389">
        <v>86</v>
      </c>
      <c r="Z8389">
        <v>253.03309999999999</v>
      </c>
      <c r="AA8389">
        <v>104.6934</v>
      </c>
      <c r="AB8389">
        <v>15.253119999999999</v>
      </c>
      <c r="AC8389">
        <v>0.10462490000000001</v>
      </c>
      <c r="AD8389">
        <v>1.1696519999999999</v>
      </c>
      <c r="AE8389">
        <v>0.74980539999999996</v>
      </c>
      <c r="AF8389">
        <v>1714.7439999999999</v>
      </c>
      <c r="AG8389">
        <f>IFERROR(AH8389*0.1, "N/A")</f>
        <v>5.8000000000000007</v>
      </c>
      <c r="AH8389">
        <v>58</v>
      </c>
      <c r="AI8389">
        <v>294.77390000000003</v>
      </c>
      <c r="AJ8389">
        <v>38.970379999999999</v>
      </c>
      <c r="AK8389">
        <v>32.029620000000001</v>
      </c>
    </row>
    <row r="8390" spans="1:37" x14ac:dyDescent="0.3">
      <c r="A8390">
        <v>8389</v>
      </c>
      <c r="B8390">
        <v>27.8</v>
      </c>
      <c r="C8390">
        <v>38.542000000000002</v>
      </c>
      <c r="D8390">
        <v>6.9759099999999998</v>
      </c>
      <c r="E8390" t="s">
        <v>12501</v>
      </c>
      <c r="F8390" t="s">
        <v>12502</v>
      </c>
      <c r="G8390" t="s">
        <v>37</v>
      </c>
      <c r="H8390">
        <v>2002</v>
      </c>
      <c r="I8390">
        <v>19.100000000000001</v>
      </c>
      <c r="J8390">
        <v>14.8</v>
      </c>
      <c r="K8390">
        <v>75</v>
      </c>
      <c r="L8390">
        <v>6.8901909999999997</v>
      </c>
      <c r="M8390">
        <v>28.7</v>
      </c>
      <c r="N8390">
        <v>9.1999999999999993</v>
      </c>
      <c r="O8390">
        <v>19.5</v>
      </c>
      <c r="P8390">
        <v>18.68957</v>
      </c>
      <c r="Q8390">
        <v>18.399999999999999</v>
      </c>
      <c r="R8390">
        <v>20.100000000000001</v>
      </c>
      <c r="S8390">
        <v>18.386430000000001</v>
      </c>
      <c r="T8390">
        <v>1052.2</v>
      </c>
      <c r="U8390">
        <v>139.13570000000001</v>
      </c>
      <c r="V8390">
        <v>19.10435</v>
      </c>
      <c r="W8390">
        <v>48.864350000000002</v>
      </c>
      <c r="X8390">
        <v>410.24</v>
      </c>
      <c r="Y8390">
        <v>85.208699999999993</v>
      </c>
      <c r="Z8390">
        <v>248.37569999999999</v>
      </c>
      <c r="AA8390">
        <v>143.31299999999999</v>
      </c>
      <c r="AB8390">
        <v>3.7886850000000001</v>
      </c>
      <c r="AC8390">
        <v>1.2381959999999999E-2</v>
      </c>
      <c r="AD8390">
        <v>1.2312110000000001</v>
      </c>
      <c r="AE8390">
        <v>0.7497973</v>
      </c>
      <c r="AF8390">
        <v>1707.6489999999999</v>
      </c>
      <c r="AG8390">
        <f>IFERROR(AH8390*0.1, "N/A")</f>
        <v>5.719652</v>
      </c>
      <c r="AH8390">
        <v>57.19652</v>
      </c>
      <c r="AI8390">
        <v>175.98840000000001</v>
      </c>
      <c r="AJ8390">
        <v>38.227829999999997</v>
      </c>
      <c r="AK8390">
        <v>34.740870000000001</v>
      </c>
    </row>
    <row r="8391" spans="1:37" x14ac:dyDescent="0.3">
      <c r="A8391">
        <v>8390</v>
      </c>
      <c r="B8391">
        <v>0</v>
      </c>
      <c r="C8391">
        <v>35.583300000000001</v>
      </c>
      <c r="D8391">
        <v>6.9833299999999996</v>
      </c>
      <c r="E8391" t="s">
        <v>12503</v>
      </c>
      <c r="F8391" t="s">
        <v>12504</v>
      </c>
      <c r="G8391" t="s">
        <v>37</v>
      </c>
      <c r="H8391">
        <v>1987</v>
      </c>
      <c r="I8391">
        <v>20.310140000000001</v>
      </c>
      <c r="J8391">
        <v>14.09895</v>
      </c>
      <c r="K8391">
        <v>85.744759999999999</v>
      </c>
      <c r="L8391">
        <v>6.1332519999999997</v>
      </c>
      <c r="M8391">
        <v>29.122900000000001</v>
      </c>
      <c r="N8391">
        <v>12.773429999999999</v>
      </c>
      <c r="O8391">
        <v>16.34948</v>
      </c>
      <c r="P8391">
        <v>19.59843</v>
      </c>
      <c r="Q8391">
        <v>20.860659999999999</v>
      </c>
      <c r="R8391">
        <v>21.16066</v>
      </c>
      <c r="S8391">
        <v>19.59843</v>
      </c>
      <c r="T8391">
        <v>1561.019</v>
      </c>
      <c r="U8391">
        <v>233</v>
      </c>
      <c r="V8391">
        <v>29.638110000000001</v>
      </c>
      <c r="W8391">
        <v>56.361890000000002</v>
      </c>
      <c r="X8391">
        <v>656.99480000000005</v>
      </c>
      <c r="Y8391">
        <v>118.9196</v>
      </c>
      <c r="Z8391">
        <v>178.05240000000001</v>
      </c>
      <c r="AA8391">
        <v>656.99480000000005</v>
      </c>
      <c r="AB8391">
        <v>91.324529999999996</v>
      </c>
      <c r="AC8391">
        <v>1.4790640000000001E-2</v>
      </c>
      <c r="AD8391">
        <v>8.1395999999999997</v>
      </c>
      <c r="AE8391">
        <v>0.61130200000000001</v>
      </c>
      <c r="AF8391">
        <v>1481.7059999999999</v>
      </c>
      <c r="AG8391">
        <f>IFERROR(AH8391*0.1, "N/A")</f>
        <v>5.463636000000001</v>
      </c>
      <c r="AH8391">
        <v>54.636360000000003</v>
      </c>
      <c r="AI8391">
        <v>271.75439999999998</v>
      </c>
      <c r="AJ8391">
        <v>42.611890000000002</v>
      </c>
      <c r="AK8391">
        <v>31.384620000000002</v>
      </c>
    </row>
    <row r="8392" spans="1:37" x14ac:dyDescent="0.3">
      <c r="A8392">
        <v>8391</v>
      </c>
      <c r="B8392">
        <v>57.7</v>
      </c>
      <c r="C8392">
        <v>38.506700000000002</v>
      </c>
      <c r="D8392">
        <v>6.9843000000000002</v>
      </c>
      <c r="E8392" t="s">
        <v>12505</v>
      </c>
      <c r="F8392" t="s">
        <v>12506</v>
      </c>
      <c r="G8392" t="s">
        <v>37</v>
      </c>
      <c r="H8392">
        <v>2002</v>
      </c>
      <c r="I8392">
        <v>19.2</v>
      </c>
      <c r="J8392">
        <v>14.70017</v>
      </c>
      <c r="K8392">
        <v>75</v>
      </c>
      <c r="L8392">
        <v>7.1897380000000002</v>
      </c>
      <c r="M8392">
        <v>28.9</v>
      </c>
      <c r="N8392">
        <v>9.3998249999999999</v>
      </c>
      <c r="O8392">
        <v>19.500170000000001</v>
      </c>
      <c r="P8392">
        <v>18.600169999999999</v>
      </c>
      <c r="Q8392">
        <v>18.5</v>
      </c>
      <c r="R8392">
        <v>20.2</v>
      </c>
      <c r="S8392">
        <v>18.5</v>
      </c>
      <c r="T8392">
        <v>1047.0229999999999</v>
      </c>
      <c r="U8392">
        <v>138.0035</v>
      </c>
      <c r="V8392">
        <v>19.001750000000001</v>
      </c>
      <c r="W8392">
        <v>48.998249999999999</v>
      </c>
      <c r="X8392">
        <v>408.00869999999998</v>
      </c>
      <c r="Y8392">
        <v>85.003489999999999</v>
      </c>
      <c r="Z8392">
        <v>243.00700000000001</v>
      </c>
      <c r="AA8392">
        <v>141.0052</v>
      </c>
      <c r="AB8392">
        <v>22.648859999999999</v>
      </c>
      <c r="AC8392">
        <v>9.759284E-3</v>
      </c>
      <c r="AD8392">
        <v>5.7621019999999996</v>
      </c>
      <c r="AE8392">
        <v>0.73099550000000002</v>
      </c>
      <c r="AF8392">
        <v>1724.7539999999999</v>
      </c>
      <c r="AG8392">
        <f>IFERROR(AH8392*0.1, "N/A")</f>
        <v>5.8476439999999998</v>
      </c>
      <c r="AH8392">
        <v>58.476439999999997</v>
      </c>
      <c r="AI8392">
        <v>53.439880000000002</v>
      </c>
      <c r="AJ8392">
        <v>38.240839999999999</v>
      </c>
      <c r="AK8392">
        <v>33.336820000000003</v>
      </c>
    </row>
    <row r="8393" spans="1:37" x14ac:dyDescent="0.3">
      <c r="A8393">
        <v>8392</v>
      </c>
      <c r="B8393">
        <v>33.6</v>
      </c>
      <c r="C8393">
        <v>38.523200000000003</v>
      </c>
      <c r="D8393">
        <v>6.9877399999999996</v>
      </c>
      <c r="E8393" t="s">
        <v>12507</v>
      </c>
      <c r="F8393" t="s">
        <v>12508</v>
      </c>
      <c r="G8393" t="s">
        <v>37</v>
      </c>
      <c r="H8393">
        <v>2002</v>
      </c>
      <c r="I8393">
        <v>19.2</v>
      </c>
      <c r="J8393">
        <v>14.8</v>
      </c>
      <c r="K8393">
        <v>75</v>
      </c>
      <c r="L8393">
        <v>7.08</v>
      </c>
      <c r="M8393">
        <v>28.9</v>
      </c>
      <c r="N8393">
        <v>9.3000000000000007</v>
      </c>
      <c r="O8393">
        <v>19.600000000000001</v>
      </c>
      <c r="P8393">
        <v>18.600000000000001</v>
      </c>
      <c r="Q8393">
        <v>18.5</v>
      </c>
      <c r="R8393">
        <v>20.2</v>
      </c>
      <c r="S8393">
        <v>18.5</v>
      </c>
      <c r="T8393">
        <v>1047</v>
      </c>
      <c r="U8393">
        <v>138</v>
      </c>
      <c r="V8393">
        <v>19</v>
      </c>
      <c r="W8393">
        <v>49</v>
      </c>
      <c r="X8393">
        <v>408</v>
      </c>
      <c r="Y8393">
        <v>85</v>
      </c>
      <c r="Z8393">
        <v>245</v>
      </c>
      <c r="AA8393">
        <v>142</v>
      </c>
      <c r="AB8393">
        <v>3.9187789999999998</v>
      </c>
      <c r="AC8393">
        <v>3.378022E-2</v>
      </c>
      <c r="AD8393">
        <v>1.4495359999999999</v>
      </c>
      <c r="AE8393">
        <v>0.7823312</v>
      </c>
      <c r="AF8393">
        <v>1698.81</v>
      </c>
      <c r="AG8393">
        <f>IFERROR(AH8393*0.1, "N/A")</f>
        <v>5.8963479999999997</v>
      </c>
      <c r="AH8393">
        <v>58.963479999999997</v>
      </c>
      <c r="AI8393">
        <v>125.953</v>
      </c>
      <c r="AJ8393">
        <v>34.088700000000003</v>
      </c>
      <c r="AK8393">
        <v>36.963479999999997</v>
      </c>
    </row>
    <row r="8394" spans="1:37" x14ac:dyDescent="0.3">
      <c r="A8394">
        <v>8393</v>
      </c>
      <c r="B8394">
        <v>35.9</v>
      </c>
      <c r="C8394">
        <v>38.580800000000004</v>
      </c>
      <c r="D8394">
        <v>6.9895399999999999</v>
      </c>
      <c r="E8394" t="s">
        <v>12509</v>
      </c>
      <c r="F8394" t="s">
        <v>12510</v>
      </c>
      <c r="G8394" t="s">
        <v>37</v>
      </c>
      <c r="H8394">
        <v>2002</v>
      </c>
      <c r="I8394">
        <v>19</v>
      </c>
      <c r="J8394">
        <v>14.7</v>
      </c>
      <c r="K8394">
        <v>75</v>
      </c>
      <c r="L8394">
        <v>6.9</v>
      </c>
      <c r="M8394">
        <v>28.6</v>
      </c>
      <c r="N8394">
        <v>9.1</v>
      </c>
      <c r="O8394">
        <v>19.5</v>
      </c>
      <c r="P8394">
        <v>18.600000000000001</v>
      </c>
      <c r="Q8394">
        <v>18.3</v>
      </c>
      <c r="R8394">
        <v>20</v>
      </c>
      <c r="S8394">
        <v>18.3</v>
      </c>
      <c r="T8394">
        <v>1059</v>
      </c>
      <c r="U8394">
        <v>142</v>
      </c>
      <c r="V8394">
        <v>19</v>
      </c>
      <c r="W8394">
        <v>49</v>
      </c>
      <c r="X8394">
        <v>414</v>
      </c>
      <c r="Y8394">
        <v>86</v>
      </c>
      <c r="Z8394">
        <v>253</v>
      </c>
      <c r="AA8394">
        <v>144</v>
      </c>
      <c r="AB8394">
        <v>9.4641509999999993</v>
      </c>
      <c r="AC8394">
        <v>0.1460128</v>
      </c>
      <c r="AD8394">
        <v>3.533156</v>
      </c>
      <c r="AE8394">
        <v>0.69014679999999995</v>
      </c>
      <c r="AF8394">
        <v>1724.3340000000001</v>
      </c>
      <c r="AG8394">
        <f>IFERROR(AH8394*0.1, "N/A")</f>
        <v>5.8040000000000003</v>
      </c>
      <c r="AH8394">
        <v>58.04</v>
      </c>
      <c r="AI8394">
        <v>218.1354</v>
      </c>
      <c r="AJ8394">
        <v>36.46087</v>
      </c>
      <c r="AK8394">
        <v>37.03304</v>
      </c>
    </row>
    <row r="8395" spans="1:37" x14ac:dyDescent="0.3">
      <c r="A8395">
        <v>8394</v>
      </c>
      <c r="B8395">
        <v>44.5</v>
      </c>
      <c r="C8395">
        <v>38.5839</v>
      </c>
      <c r="D8395">
        <v>7.0151000000000003</v>
      </c>
      <c r="E8395" t="s">
        <v>12511</v>
      </c>
      <c r="F8395" t="s">
        <v>12512</v>
      </c>
      <c r="G8395" t="s">
        <v>37</v>
      </c>
      <c r="H8395">
        <v>2002</v>
      </c>
      <c r="I8395">
        <v>19.100000000000001</v>
      </c>
      <c r="J8395">
        <v>14.7</v>
      </c>
      <c r="K8395">
        <v>75</v>
      </c>
      <c r="L8395">
        <v>7.4795809999999996</v>
      </c>
      <c r="M8395">
        <v>28.7</v>
      </c>
      <c r="N8395">
        <v>9.1186740000000004</v>
      </c>
      <c r="O8395">
        <v>19.581330000000001</v>
      </c>
      <c r="P8395">
        <v>18.600000000000001</v>
      </c>
      <c r="Q8395">
        <v>18.318670000000001</v>
      </c>
      <c r="R8395">
        <v>20.100000000000001</v>
      </c>
      <c r="S8395">
        <v>18.3</v>
      </c>
      <c r="T8395">
        <v>1030.8130000000001</v>
      </c>
      <c r="U8395">
        <v>139.8133</v>
      </c>
      <c r="V8395">
        <v>19</v>
      </c>
      <c r="W8395">
        <v>49.81326</v>
      </c>
      <c r="X8395">
        <v>405.81330000000003</v>
      </c>
      <c r="Y8395">
        <v>83</v>
      </c>
      <c r="Z8395">
        <v>320</v>
      </c>
      <c r="AA8395">
        <v>139</v>
      </c>
      <c r="AB8395">
        <v>9.3574160000000006</v>
      </c>
      <c r="AC8395">
        <v>2.7647109999999999E-2</v>
      </c>
      <c r="AD8395">
        <v>2.3107410000000002</v>
      </c>
      <c r="AE8395">
        <v>0.77087910000000004</v>
      </c>
      <c r="AF8395">
        <v>1708.9269999999999</v>
      </c>
      <c r="AG8395">
        <f>IFERROR(AH8395*0.1, "N/A")</f>
        <v>5.6059340000000004</v>
      </c>
      <c r="AH8395">
        <v>56.059339999999999</v>
      </c>
      <c r="AI8395">
        <v>216.21639999999999</v>
      </c>
      <c r="AJ8395">
        <v>36.2164</v>
      </c>
      <c r="AK8395">
        <v>35.970329999999997</v>
      </c>
    </row>
    <row r="8396" spans="1:37" x14ac:dyDescent="0.3">
      <c r="A8396">
        <v>8395</v>
      </c>
      <c r="B8396">
        <v>1</v>
      </c>
      <c r="C8396">
        <v>39.9833</v>
      </c>
      <c r="D8396">
        <v>7.0167000000000002</v>
      </c>
      <c r="E8396" t="s">
        <v>12513</v>
      </c>
      <c r="F8396" t="s">
        <v>12514</v>
      </c>
      <c r="G8396" t="s">
        <v>37</v>
      </c>
      <c r="H8396">
        <v>1987</v>
      </c>
      <c r="I8396">
        <v>13.26319</v>
      </c>
      <c r="J8396">
        <v>13.632989999999999</v>
      </c>
      <c r="K8396">
        <v>78.329859999999996</v>
      </c>
      <c r="L8396">
        <v>8.5944789999999998</v>
      </c>
      <c r="M8396">
        <v>21.363189999999999</v>
      </c>
      <c r="N8396">
        <v>3.996181</v>
      </c>
      <c r="O8396">
        <v>17.367010000000001</v>
      </c>
      <c r="P8396">
        <v>13.195830000000001</v>
      </c>
      <c r="Q8396">
        <v>12.463190000000001</v>
      </c>
      <c r="R8396">
        <v>14.097569999999999</v>
      </c>
      <c r="S8396">
        <v>11.945489999999999</v>
      </c>
      <c r="T8396">
        <v>947.77430000000004</v>
      </c>
      <c r="U8396">
        <v>136.85069999999999</v>
      </c>
      <c r="V8396">
        <v>17.17708</v>
      </c>
      <c r="W8396">
        <v>49</v>
      </c>
      <c r="X8396">
        <v>345.86110000000002</v>
      </c>
      <c r="Y8396">
        <v>81.503469999999993</v>
      </c>
      <c r="Z8396">
        <v>304.7396</v>
      </c>
      <c r="AA8396">
        <v>94.21875</v>
      </c>
      <c r="AB8396">
        <v>71.258380000000002</v>
      </c>
      <c r="AC8396">
        <v>3.2570509999999997E-2</v>
      </c>
      <c r="AD8396">
        <v>2.7783180000000001</v>
      </c>
      <c r="AE8396">
        <v>0.6345925</v>
      </c>
      <c r="AF8396">
        <v>2679.873</v>
      </c>
      <c r="AG8396">
        <f>IFERROR(AH8396*0.1, "N/A")</f>
        <v>5.7326390000000007</v>
      </c>
      <c r="AH8396">
        <v>57.326390000000004</v>
      </c>
      <c r="AI8396">
        <v>16.336259999999999</v>
      </c>
      <c r="AJ8396">
        <v>33.673609999999996</v>
      </c>
      <c r="AK8396">
        <v>31.65278</v>
      </c>
    </row>
    <row r="8397" spans="1:37" x14ac:dyDescent="0.3">
      <c r="A8397">
        <v>8396</v>
      </c>
      <c r="B8397">
        <v>9</v>
      </c>
      <c r="C8397">
        <v>38.604999999999997</v>
      </c>
      <c r="D8397">
        <v>7.0228900000000003</v>
      </c>
      <c r="E8397" t="s">
        <v>12515</v>
      </c>
      <c r="F8397" t="s">
        <v>12516</v>
      </c>
      <c r="G8397" t="s">
        <v>37</v>
      </c>
      <c r="H8397">
        <v>2002</v>
      </c>
      <c r="I8397">
        <v>19.100000000000001</v>
      </c>
      <c r="J8397">
        <v>14.7</v>
      </c>
      <c r="K8397">
        <v>75</v>
      </c>
      <c r="L8397">
        <v>6.96</v>
      </c>
      <c r="M8397">
        <v>28.5</v>
      </c>
      <c r="N8397">
        <v>9.1</v>
      </c>
      <c r="O8397">
        <v>19.399999999999999</v>
      </c>
      <c r="P8397">
        <v>18.7</v>
      </c>
      <c r="Q8397">
        <v>18.3</v>
      </c>
      <c r="R8397">
        <v>20</v>
      </c>
      <c r="S8397">
        <v>18.3</v>
      </c>
      <c r="T8397">
        <v>1033</v>
      </c>
      <c r="U8397">
        <v>141</v>
      </c>
      <c r="V8397">
        <v>19</v>
      </c>
      <c r="W8397">
        <v>49</v>
      </c>
      <c r="X8397">
        <v>408</v>
      </c>
      <c r="Y8397">
        <v>83</v>
      </c>
      <c r="Z8397">
        <v>321</v>
      </c>
      <c r="AA8397">
        <v>83</v>
      </c>
      <c r="AB8397">
        <v>4.5627529999999998</v>
      </c>
      <c r="AC8397">
        <v>6.4035399999999996</v>
      </c>
      <c r="AD8397">
        <v>2.0474939999999999</v>
      </c>
      <c r="AE8397">
        <v>0.78349899999999995</v>
      </c>
      <c r="AF8397">
        <v>1717.9059999999999</v>
      </c>
      <c r="AG8397">
        <f>IFERROR(AH8397*0.1, "N/A")</f>
        <v>5.9026090000000009</v>
      </c>
      <c r="AH8397">
        <v>59.026090000000003</v>
      </c>
      <c r="AI8397">
        <v>180.25190000000001</v>
      </c>
      <c r="AJ8397">
        <v>37.972169999999998</v>
      </c>
      <c r="AK8397">
        <v>33.027830000000002</v>
      </c>
    </row>
    <row r="8398" spans="1:37" x14ac:dyDescent="0.3">
      <c r="A8398">
        <v>8397</v>
      </c>
      <c r="B8398">
        <v>1.9</v>
      </c>
      <c r="C8398">
        <v>38.6252</v>
      </c>
      <c r="D8398">
        <v>7.0292199999999996</v>
      </c>
      <c r="E8398" t="s">
        <v>12517</v>
      </c>
      <c r="F8398" t="s">
        <v>12518</v>
      </c>
      <c r="G8398" t="s">
        <v>37</v>
      </c>
      <c r="H8398">
        <v>2002</v>
      </c>
      <c r="I8398">
        <v>18.041119999999999</v>
      </c>
      <c r="J8398">
        <v>14.6</v>
      </c>
      <c r="K8398">
        <v>75.794430000000006</v>
      </c>
      <c r="L8398">
        <v>7.4702789999999997</v>
      </c>
      <c r="M8398">
        <v>27.182230000000001</v>
      </c>
      <c r="N8398">
        <v>7.9411149999999999</v>
      </c>
      <c r="O8398">
        <v>19.241119999999999</v>
      </c>
      <c r="P8398">
        <v>17.541119999999999</v>
      </c>
      <c r="Q8398">
        <v>17.241119999999999</v>
      </c>
      <c r="R8398">
        <v>19.041119999999999</v>
      </c>
      <c r="S8398">
        <v>17.241119999999999</v>
      </c>
      <c r="T8398">
        <v>1144.355</v>
      </c>
      <c r="U8398">
        <v>175.5889</v>
      </c>
      <c r="V8398">
        <v>18</v>
      </c>
      <c r="W8398">
        <v>52</v>
      </c>
      <c r="X8398">
        <v>469.17770000000002</v>
      </c>
      <c r="Y8398">
        <v>89.588849999999994</v>
      </c>
      <c r="Z8398">
        <v>344</v>
      </c>
      <c r="AA8398">
        <v>89.588849999999994</v>
      </c>
      <c r="AB8398">
        <v>68.599279999999993</v>
      </c>
      <c r="AC8398">
        <v>0.2594128</v>
      </c>
      <c r="AD8398">
        <v>9.1333710000000004</v>
      </c>
      <c r="AE8398">
        <v>0.68624600000000002</v>
      </c>
      <c r="AF8398">
        <v>1903.9670000000001</v>
      </c>
      <c r="AG8398">
        <f>IFERROR(AH8398*0.1, "N/A")</f>
        <v>5.9792680000000002</v>
      </c>
      <c r="AH8398">
        <v>59.792679999999997</v>
      </c>
      <c r="AI8398">
        <v>283.62900000000002</v>
      </c>
      <c r="AJ8398">
        <v>27.79617</v>
      </c>
      <c r="AK8398">
        <v>44.790939999999999</v>
      </c>
    </row>
    <row r="8399" spans="1:37" x14ac:dyDescent="0.3">
      <c r="A8399">
        <v>8398</v>
      </c>
      <c r="B8399">
        <v>35.200000000000003</v>
      </c>
      <c r="C8399">
        <v>38.609099999999998</v>
      </c>
      <c r="D8399">
        <v>7.0428499999999996</v>
      </c>
      <c r="E8399" t="s">
        <v>12519</v>
      </c>
      <c r="F8399" t="s">
        <v>12520</v>
      </c>
      <c r="G8399" t="s">
        <v>37</v>
      </c>
      <c r="H8399">
        <v>2002</v>
      </c>
      <c r="I8399">
        <v>18.846869999999999</v>
      </c>
      <c r="J8399">
        <v>14.6</v>
      </c>
      <c r="K8399">
        <v>74</v>
      </c>
      <c r="L8399">
        <v>7.3718750000000002</v>
      </c>
      <c r="M8399">
        <v>28.346869999999999</v>
      </c>
      <c r="N8399">
        <v>8.8468750000000007</v>
      </c>
      <c r="O8399">
        <v>19.5</v>
      </c>
      <c r="P8399">
        <v>18.431249999999999</v>
      </c>
      <c r="Q8399">
        <v>18.131250000000001</v>
      </c>
      <c r="R8399">
        <v>19.931249999999999</v>
      </c>
      <c r="S8399">
        <v>18.131250000000001</v>
      </c>
      <c r="T8399">
        <v>1048.9059999999999</v>
      </c>
      <c r="U8399">
        <v>150.125</v>
      </c>
      <c r="V8399">
        <v>18</v>
      </c>
      <c r="W8399">
        <v>50.84375</v>
      </c>
      <c r="X8399">
        <v>420.875</v>
      </c>
      <c r="Y8399">
        <v>82.53125</v>
      </c>
      <c r="Z8399">
        <v>311.1875</v>
      </c>
      <c r="AA8399">
        <v>139.21879999999999</v>
      </c>
      <c r="AB8399">
        <v>26.749649999999999</v>
      </c>
      <c r="AC8399">
        <v>1.529001E-2</v>
      </c>
      <c r="AD8399">
        <v>2.9969350000000001</v>
      </c>
      <c r="AE8399">
        <v>0.72559039999999997</v>
      </c>
      <c r="AF8399">
        <v>1733.6489999999999</v>
      </c>
      <c r="AG8399">
        <f>IFERROR(AH8399*0.1, "N/A")</f>
        <v>5.6413190000000002</v>
      </c>
      <c r="AH8399">
        <v>56.41319</v>
      </c>
      <c r="AI8399">
        <v>247.48759999999999</v>
      </c>
      <c r="AJ8399">
        <v>36.407989999999998</v>
      </c>
      <c r="AK8399">
        <v>37.234369999999998</v>
      </c>
    </row>
    <row r="8400" spans="1:37" x14ac:dyDescent="0.3">
      <c r="A8400">
        <v>8399</v>
      </c>
      <c r="B8400">
        <v>1.3</v>
      </c>
      <c r="C8400">
        <v>38.466700000000003</v>
      </c>
      <c r="D8400">
        <v>7.05</v>
      </c>
      <c r="E8400" t="s">
        <v>12521</v>
      </c>
      <c r="F8400" t="s">
        <v>12522</v>
      </c>
      <c r="G8400" t="s">
        <v>37</v>
      </c>
      <c r="H8400">
        <v>1987</v>
      </c>
      <c r="I8400">
        <v>19.278919999999999</v>
      </c>
      <c r="J8400">
        <v>14.7</v>
      </c>
      <c r="K8400">
        <v>75</v>
      </c>
      <c r="L8400">
        <v>7.2223519999999999</v>
      </c>
      <c r="M8400">
        <v>28.928570000000001</v>
      </c>
      <c r="N8400">
        <v>9.4789200000000005</v>
      </c>
      <c r="O8400">
        <v>19.449649999999998</v>
      </c>
      <c r="P8400">
        <v>18.7</v>
      </c>
      <c r="Q8400">
        <v>18.70749</v>
      </c>
      <c r="R8400">
        <v>20.328569999999999</v>
      </c>
      <c r="S8400">
        <v>18.653310000000001</v>
      </c>
      <c r="T8400">
        <v>1001.3</v>
      </c>
      <c r="U8400">
        <v>133.18119999999999</v>
      </c>
      <c r="V8400">
        <v>19</v>
      </c>
      <c r="W8400">
        <v>49</v>
      </c>
      <c r="X8400">
        <v>393.57319999999999</v>
      </c>
      <c r="Y8400">
        <v>80.466899999999995</v>
      </c>
      <c r="Z8400">
        <v>225.6028</v>
      </c>
      <c r="AA8400">
        <v>131.93379999999999</v>
      </c>
      <c r="AB8400">
        <v>4.4229909999999997</v>
      </c>
      <c r="AC8400">
        <v>1.357804</v>
      </c>
      <c r="AD8400">
        <v>1.7438640000000001</v>
      </c>
      <c r="AE8400">
        <v>0.71240150000000002</v>
      </c>
      <c r="AF8400">
        <v>1691.1310000000001</v>
      </c>
      <c r="AG8400">
        <f>IFERROR(AH8400*0.1, "N/A")</f>
        <v>6.429094000000001</v>
      </c>
      <c r="AH8400">
        <v>64.290940000000006</v>
      </c>
      <c r="AI8400">
        <v>213.41200000000001</v>
      </c>
      <c r="AJ8400">
        <v>40.916379999999997</v>
      </c>
      <c r="AK8400">
        <v>30.08362</v>
      </c>
    </row>
    <row r="8401" spans="1:37" x14ac:dyDescent="0.3">
      <c r="A8401">
        <v>8400</v>
      </c>
      <c r="B8401">
        <v>26.3</v>
      </c>
      <c r="C8401">
        <v>38.613500000000002</v>
      </c>
      <c r="D8401">
        <v>7.0627300000000002</v>
      </c>
      <c r="E8401" t="s">
        <v>12523</v>
      </c>
      <c r="F8401" t="s">
        <v>12524</v>
      </c>
      <c r="G8401" t="s">
        <v>37</v>
      </c>
      <c r="H8401">
        <v>2002</v>
      </c>
      <c r="I8401">
        <v>19</v>
      </c>
      <c r="J8401">
        <v>14.6</v>
      </c>
      <c r="K8401">
        <v>74</v>
      </c>
      <c r="L8401">
        <v>7.43</v>
      </c>
      <c r="M8401">
        <v>28.5</v>
      </c>
      <c r="N8401">
        <v>9</v>
      </c>
      <c r="O8401">
        <v>19.5</v>
      </c>
      <c r="P8401">
        <v>18.5</v>
      </c>
      <c r="Q8401">
        <v>18.3</v>
      </c>
      <c r="R8401">
        <v>20.100000000000001</v>
      </c>
      <c r="S8401">
        <v>18.3</v>
      </c>
      <c r="T8401">
        <v>1016</v>
      </c>
      <c r="U8401">
        <v>142</v>
      </c>
      <c r="V8401">
        <v>18</v>
      </c>
      <c r="W8401">
        <v>50</v>
      </c>
      <c r="X8401">
        <v>406</v>
      </c>
      <c r="Y8401">
        <v>80</v>
      </c>
      <c r="Z8401">
        <v>314</v>
      </c>
      <c r="AA8401">
        <v>80</v>
      </c>
      <c r="AB8401">
        <v>18.081810000000001</v>
      </c>
      <c r="AC8401">
        <v>2.392099E-2</v>
      </c>
      <c r="AD8401">
        <v>7.5063599999999999</v>
      </c>
      <c r="AE8401">
        <v>0.68548779999999998</v>
      </c>
      <c r="AF8401">
        <v>1728.356</v>
      </c>
      <c r="AG8401">
        <f>IFERROR(AH8401*0.1, "N/A")</f>
        <v>5.9</v>
      </c>
      <c r="AH8401">
        <v>59</v>
      </c>
      <c r="AI8401">
        <v>288.96859999999998</v>
      </c>
      <c r="AJ8401">
        <v>34.076390000000004</v>
      </c>
      <c r="AK8401">
        <v>37.96181</v>
      </c>
    </row>
    <row r="8402" spans="1:37" x14ac:dyDescent="0.3">
      <c r="A8402">
        <v>8401</v>
      </c>
      <c r="B8402">
        <v>35.5</v>
      </c>
      <c r="C8402">
        <v>38.618099999999998</v>
      </c>
      <c r="D8402">
        <v>7.0760800000000001</v>
      </c>
      <c r="E8402" t="s">
        <v>12525</v>
      </c>
      <c r="F8402" t="s">
        <v>12526</v>
      </c>
      <c r="G8402" t="s">
        <v>37</v>
      </c>
      <c r="H8402">
        <v>2002</v>
      </c>
      <c r="I8402">
        <v>18.899999999999999</v>
      </c>
      <c r="J8402">
        <v>14.6</v>
      </c>
      <c r="K8402">
        <v>75</v>
      </c>
      <c r="L8402">
        <v>6.97</v>
      </c>
      <c r="M8402">
        <v>28.3</v>
      </c>
      <c r="N8402">
        <v>8.9</v>
      </c>
      <c r="O8402">
        <v>19.399999999999999</v>
      </c>
      <c r="P8402">
        <v>18.5</v>
      </c>
      <c r="Q8402">
        <v>18.2</v>
      </c>
      <c r="R8402">
        <v>19.899999999999999</v>
      </c>
      <c r="S8402">
        <v>18.2</v>
      </c>
      <c r="T8402">
        <v>1027</v>
      </c>
      <c r="U8402">
        <v>147</v>
      </c>
      <c r="V8402">
        <v>18</v>
      </c>
      <c r="W8402">
        <v>51</v>
      </c>
      <c r="X8402">
        <v>413</v>
      </c>
      <c r="Y8402">
        <v>81</v>
      </c>
      <c r="Z8402">
        <v>315</v>
      </c>
      <c r="AA8402">
        <v>81</v>
      </c>
      <c r="AB8402">
        <v>25.564430000000002</v>
      </c>
      <c r="AC8402">
        <v>0.14650569999999999</v>
      </c>
      <c r="AD8402">
        <v>2.747754</v>
      </c>
      <c r="AE8402">
        <v>0.54940520000000004</v>
      </c>
      <c r="AF8402">
        <v>1739.066</v>
      </c>
      <c r="AG8402">
        <f>IFERROR(AH8402*0.1, "N/A")</f>
        <v>5.8430309999999999</v>
      </c>
      <c r="AH8402">
        <v>58.430309999999999</v>
      </c>
      <c r="AI8402">
        <v>277.16649999999998</v>
      </c>
      <c r="AJ8402">
        <v>31.0122</v>
      </c>
      <c r="AK8402">
        <v>38.91986</v>
      </c>
    </row>
    <row r="8403" spans="1:37" x14ac:dyDescent="0.3">
      <c r="A8403">
        <v>8402</v>
      </c>
      <c r="B8403">
        <v>17.399999999999999</v>
      </c>
      <c r="C8403">
        <v>38.618899999999996</v>
      </c>
      <c r="D8403">
        <v>7.0843299999999996</v>
      </c>
      <c r="E8403" t="s">
        <v>12527</v>
      </c>
      <c r="F8403" t="s">
        <v>12528</v>
      </c>
      <c r="G8403" t="s">
        <v>37</v>
      </c>
      <c r="H8403">
        <v>2003</v>
      </c>
      <c r="I8403">
        <v>18.899999999999999</v>
      </c>
      <c r="J8403">
        <v>14.6</v>
      </c>
      <c r="K8403">
        <v>75</v>
      </c>
      <c r="L8403">
        <v>7.1</v>
      </c>
      <c r="M8403">
        <v>28.2</v>
      </c>
      <c r="N8403">
        <v>8.9</v>
      </c>
      <c r="O8403">
        <v>19.3</v>
      </c>
      <c r="P8403">
        <v>18.399999999999999</v>
      </c>
      <c r="Q8403">
        <v>18.2</v>
      </c>
      <c r="R8403">
        <v>19.899999999999999</v>
      </c>
      <c r="S8403">
        <v>18.2</v>
      </c>
      <c r="T8403">
        <v>1027</v>
      </c>
      <c r="U8403">
        <v>149</v>
      </c>
      <c r="V8403">
        <v>18</v>
      </c>
      <c r="W8403">
        <v>51</v>
      </c>
      <c r="X8403">
        <v>415</v>
      </c>
      <c r="Y8403">
        <v>80</v>
      </c>
      <c r="Z8403">
        <v>248</v>
      </c>
      <c r="AA8403">
        <v>135</v>
      </c>
      <c r="AB8403">
        <v>16.413910000000001</v>
      </c>
      <c r="AC8403">
        <v>9.9003440000000002E-3</v>
      </c>
      <c r="AD8403">
        <v>2.2316739999999999</v>
      </c>
      <c r="AE8403">
        <v>0.56817680000000004</v>
      </c>
      <c r="AF8403">
        <v>1752.643</v>
      </c>
      <c r="AG8403">
        <f>IFERROR(AH8403*0.1, "N/A")</f>
        <v>6</v>
      </c>
      <c r="AH8403">
        <v>60</v>
      </c>
      <c r="AI8403">
        <v>200.0626</v>
      </c>
      <c r="AJ8403">
        <v>33.210430000000002</v>
      </c>
      <c r="AK8403">
        <v>37.166960000000003</v>
      </c>
    </row>
    <row r="8404" spans="1:37" x14ac:dyDescent="0.3">
      <c r="A8404">
        <v>8403</v>
      </c>
      <c r="B8404">
        <v>80.599999999999994</v>
      </c>
      <c r="C8404">
        <v>38.6126</v>
      </c>
      <c r="D8404">
        <v>7.0889100000000003</v>
      </c>
      <c r="E8404" t="s">
        <v>12529</v>
      </c>
      <c r="F8404" t="s">
        <v>12530</v>
      </c>
      <c r="G8404" t="s">
        <v>37</v>
      </c>
      <c r="H8404">
        <v>2002</v>
      </c>
      <c r="I8404">
        <v>19</v>
      </c>
      <c r="J8404">
        <v>14.6</v>
      </c>
      <c r="K8404">
        <v>75</v>
      </c>
      <c r="L8404">
        <v>6.85</v>
      </c>
      <c r="M8404">
        <v>28.4</v>
      </c>
      <c r="N8404">
        <v>9</v>
      </c>
      <c r="O8404">
        <v>19.399999999999999</v>
      </c>
      <c r="P8404">
        <v>18.600000000000001</v>
      </c>
      <c r="Q8404">
        <v>18.399999999999999</v>
      </c>
      <c r="R8404">
        <v>20</v>
      </c>
      <c r="S8404">
        <v>18.399999999999999</v>
      </c>
      <c r="T8404">
        <v>1008</v>
      </c>
      <c r="U8404">
        <v>142</v>
      </c>
      <c r="V8404">
        <v>18</v>
      </c>
      <c r="W8404">
        <v>50</v>
      </c>
      <c r="X8404">
        <v>404</v>
      </c>
      <c r="Y8404">
        <v>80</v>
      </c>
      <c r="Z8404">
        <v>309</v>
      </c>
      <c r="AA8404">
        <v>133</v>
      </c>
      <c r="AB8404">
        <v>14.327719999999999</v>
      </c>
      <c r="AC8404">
        <v>0.1047661</v>
      </c>
      <c r="AD8404">
        <v>1.237889</v>
      </c>
      <c r="AE8404">
        <v>0.57503800000000005</v>
      </c>
      <c r="AF8404">
        <v>1729.6859999999999</v>
      </c>
      <c r="AG8404">
        <f>IFERROR(AH8404*0.1, "N/A")</f>
        <v>5.8385420000000003</v>
      </c>
      <c r="AH8404">
        <v>58.385420000000003</v>
      </c>
      <c r="AI8404">
        <v>168.1756</v>
      </c>
      <c r="AJ8404">
        <v>35.19444</v>
      </c>
      <c r="AK8404">
        <v>34.980899999999998</v>
      </c>
    </row>
    <row r="8405" spans="1:37" x14ac:dyDescent="0.3">
      <c r="A8405">
        <v>8404</v>
      </c>
      <c r="B8405">
        <v>17.399999999999999</v>
      </c>
      <c r="C8405">
        <v>38.624699999999997</v>
      </c>
      <c r="D8405">
        <v>7.1036000000000001</v>
      </c>
      <c r="E8405" t="s">
        <v>12531</v>
      </c>
      <c r="F8405" t="s">
        <v>12532</v>
      </c>
      <c r="G8405" t="s">
        <v>37</v>
      </c>
      <c r="H8405">
        <v>2002</v>
      </c>
      <c r="I8405">
        <v>18.716840000000001</v>
      </c>
      <c r="J8405">
        <v>14.563370000000001</v>
      </c>
      <c r="K8405">
        <v>75</v>
      </c>
      <c r="L8405">
        <v>7.2682120000000001</v>
      </c>
      <c r="M8405">
        <v>27.98021</v>
      </c>
      <c r="N8405">
        <v>8.6168399999999998</v>
      </c>
      <c r="O8405">
        <v>19.36337</v>
      </c>
      <c r="P8405">
        <v>18.180209999999999</v>
      </c>
      <c r="Q8405">
        <v>18.016839999999998</v>
      </c>
      <c r="R8405">
        <v>19.75347</v>
      </c>
      <c r="S8405">
        <v>18.016839999999998</v>
      </c>
      <c r="T8405">
        <v>1051.444</v>
      </c>
      <c r="U8405">
        <v>160.79169999999999</v>
      </c>
      <c r="V8405">
        <v>18</v>
      </c>
      <c r="W8405">
        <v>52.732640000000004</v>
      </c>
      <c r="X8405">
        <v>431.1875</v>
      </c>
      <c r="Y8405">
        <v>81.831599999999995</v>
      </c>
      <c r="Z8405">
        <v>318.76220000000001</v>
      </c>
      <c r="AA8405">
        <v>116.05029999999999</v>
      </c>
      <c r="AB8405">
        <v>9.7291930000000004</v>
      </c>
      <c r="AC8405">
        <v>0.1345875</v>
      </c>
      <c r="AD8405">
        <v>3.5397889999999999</v>
      </c>
      <c r="AE8405">
        <v>0.64485380000000003</v>
      </c>
      <c r="AF8405">
        <v>1790.806</v>
      </c>
      <c r="AG8405">
        <f>IFERROR(AH8405*0.1, "N/A")</f>
        <v>5.8366320000000007</v>
      </c>
      <c r="AH8405">
        <v>58.366320000000002</v>
      </c>
      <c r="AI8405">
        <v>265.5772</v>
      </c>
      <c r="AJ8405">
        <v>32.991320000000002</v>
      </c>
      <c r="AK8405">
        <v>37.321179999999998</v>
      </c>
    </row>
    <row r="8406" spans="1:37" x14ac:dyDescent="0.3">
      <c r="A8406">
        <v>8405</v>
      </c>
      <c r="B8406">
        <v>29.2</v>
      </c>
      <c r="C8406">
        <v>38.608699999999999</v>
      </c>
      <c r="D8406">
        <v>7.1097400000000004</v>
      </c>
      <c r="E8406" t="s">
        <v>12533</v>
      </c>
      <c r="F8406" t="s">
        <v>12534</v>
      </c>
      <c r="G8406" t="s">
        <v>37</v>
      </c>
      <c r="H8406">
        <v>2002</v>
      </c>
      <c r="I8406">
        <v>18.848690000000001</v>
      </c>
      <c r="J8406">
        <v>14.548690000000001</v>
      </c>
      <c r="K8406">
        <v>74</v>
      </c>
      <c r="L8406">
        <v>7.3417279999999998</v>
      </c>
      <c r="M8406">
        <v>28.197379999999999</v>
      </c>
      <c r="N8406">
        <v>8.7486910000000009</v>
      </c>
      <c r="O8406">
        <v>19.448689999999999</v>
      </c>
      <c r="P8406">
        <v>18.29738</v>
      </c>
      <c r="Q8406">
        <v>18.148689999999998</v>
      </c>
      <c r="R8406">
        <v>19.897379999999998</v>
      </c>
      <c r="S8406">
        <v>18.148689999999998</v>
      </c>
      <c r="T8406">
        <v>1032.8530000000001</v>
      </c>
      <c r="U8406">
        <v>154.1309</v>
      </c>
      <c r="V8406">
        <v>18</v>
      </c>
      <c r="W8406">
        <v>52</v>
      </c>
      <c r="X8406">
        <v>420.69630000000001</v>
      </c>
      <c r="Y8406">
        <v>81.026179999999997</v>
      </c>
      <c r="Z8406">
        <v>249.61779999999999</v>
      </c>
      <c r="AA8406">
        <v>106.8325</v>
      </c>
      <c r="AB8406">
        <v>3.085823</v>
      </c>
      <c r="AC8406">
        <v>0.38848310000000003</v>
      </c>
      <c r="AD8406">
        <v>3.25007</v>
      </c>
      <c r="AE8406">
        <v>0.72032770000000002</v>
      </c>
      <c r="AF8406">
        <v>1740.079</v>
      </c>
      <c r="AG8406">
        <f>IFERROR(AH8406*0.1, "N/A")</f>
        <v>5.8701569999999998</v>
      </c>
      <c r="AH8406">
        <v>58.701569999999997</v>
      </c>
      <c r="AI8406">
        <v>177.21889999999999</v>
      </c>
      <c r="AJ8406">
        <v>36.954619999999998</v>
      </c>
      <c r="AK8406">
        <v>35.883069999999996</v>
      </c>
    </row>
    <row r="8407" spans="1:37" x14ac:dyDescent="0.3">
      <c r="A8407">
        <v>8406</v>
      </c>
      <c r="B8407">
        <v>1.2</v>
      </c>
      <c r="C8407">
        <v>38.69</v>
      </c>
      <c r="D8407">
        <v>7.13</v>
      </c>
      <c r="E8407" t="s">
        <v>12535</v>
      </c>
      <c r="F8407" t="s">
        <v>12536</v>
      </c>
      <c r="G8407" t="s">
        <v>37</v>
      </c>
      <c r="H8407">
        <v>1987</v>
      </c>
      <c r="I8407">
        <v>15.1</v>
      </c>
      <c r="J8407">
        <v>13.3</v>
      </c>
      <c r="K8407">
        <v>75</v>
      </c>
      <c r="L8407">
        <v>7.42</v>
      </c>
      <c r="M8407">
        <v>23.4</v>
      </c>
      <c r="N8407">
        <v>5.7</v>
      </c>
      <c r="O8407">
        <v>17.7</v>
      </c>
      <c r="P8407">
        <v>14.6</v>
      </c>
      <c r="Q8407">
        <v>14.3</v>
      </c>
      <c r="R8407">
        <v>16.100000000000001</v>
      </c>
      <c r="S8407">
        <v>14.3</v>
      </c>
      <c r="T8407">
        <v>1111</v>
      </c>
      <c r="U8407">
        <v>163</v>
      </c>
      <c r="V8407">
        <v>18</v>
      </c>
      <c r="W8407">
        <v>50</v>
      </c>
      <c r="X8407">
        <v>461</v>
      </c>
      <c r="Y8407">
        <v>88</v>
      </c>
      <c r="Z8407">
        <v>315</v>
      </c>
      <c r="AA8407">
        <v>88</v>
      </c>
      <c r="AB8407">
        <v>25.114470000000001</v>
      </c>
      <c r="AC8407">
        <v>9.8821970000000006E-3</v>
      </c>
      <c r="AD8407">
        <v>4.049836</v>
      </c>
      <c r="AE8407">
        <v>0.4602562</v>
      </c>
      <c r="AF8407">
        <v>2402.6909999999998</v>
      </c>
      <c r="AG8407">
        <f>IFERROR(AH8407*0.1, "N/A")</f>
        <v>5.7130210000000003</v>
      </c>
      <c r="AH8407">
        <v>57.130209999999998</v>
      </c>
      <c r="AI8407">
        <v>254.9161</v>
      </c>
      <c r="AJ8407">
        <v>37.130209999999998</v>
      </c>
      <c r="AK8407">
        <v>32.869790000000002</v>
      </c>
    </row>
    <row r="8408" spans="1:37" x14ac:dyDescent="0.3">
      <c r="A8408">
        <v>8407</v>
      </c>
      <c r="B8408">
        <v>0</v>
      </c>
      <c r="C8408">
        <v>40.700000000000003</v>
      </c>
      <c r="D8408">
        <v>7.1333299999999999</v>
      </c>
      <c r="E8408" t="s">
        <v>12537</v>
      </c>
      <c r="F8408" t="s">
        <v>12538</v>
      </c>
      <c r="G8408" t="s">
        <v>37</v>
      </c>
      <c r="H8408">
        <v>1987</v>
      </c>
      <c r="I8408">
        <v>18.044429999999998</v>
      </c>
      <c r="J8408">
        <v>14.1</v>
      </c>
      <c r="K8408">
        <v>77.327529999999996</v>
      </c>
      <c r="L8408">
        <v>7.5037279999999997</v>
      </c>
      <c r="M8408">
        <v>26.811669999999999</v>
      </c>
      <c r="N8408">
        <v>8.7240420000000007</v>
      </c>
      <c r="O8408">
        <v>18.087630000000001</v>
      </c>
      <c r="P8408">
        <v>18.811669999999999</v>
      </c>
      <c r="Q8408">
        <v>17.444420000000001</v>
      </c>
      <c r="R8408">
        <v>18.811669999999999</v>
      </c>
      <c r="S8408">
        <v>16.85923</v>
      </c>
      <c r="T8408">
        <v>1125.58</v>
      </c>
      <c r="U8408">
        <v>258.46859999999998</v>
      </c>
      <c r="V8408">
        <v>5.679443</v>
      </c>
      <c r="W8408">
        <v>89.116720000000001</v>
      </c>
      <c r="X8408">
        <v>583.73339999999996</v>
      </c>
      <c r="Y8408">
        <v>44.883279999999999</v>
      </c>
      <c r="Z8408">
        <v>583.73339999999996</v>
      </c>
      <c r="AA8408">
        <v>78.883279999999999</v>
      </c>
      <c r="AB8408">
        <v>64.099980000000002</v>
      </c>
      <c r="AC8408">
        <v>3.9414820000000003E-2</v>
      </c>
      <c r="AD8408">
        <v>1.8524499999999999</v>
      </c>
      <c r="AE8408">
        <v>0.54756590000000005</v>
      </c>
      <c r="AF8408">
        <v>1949.3589999999999</v>
      </c>
      <c r="AG8408">
        <f>IFERROR(AH8408*0.1, "N/A")</f>
        <v>6.5548779999999995</v>
      </c>
      <c r="AH8408">
        <v>65.548779999999994</v>
      </c>
      <c r="AI8408">
        <v>264.71339999999998</v>
      </c>
      <c r="AJ8408">
        <v>39.513939999999998</v>
      </c>
      <c r="AK8408">
        <v>36</v>
      </c>
    </row>
    <row r="8409" spans="1:37" x14ac:dyDescent="0.3">
      <c r="A8409">
        <v>8408</v>
      </c>
      <c r="B8409">
        <v>0</v>
      </c>
      <c r="C8409">
        <v>37.950000000000003</v>
      </c>
      <c r="D8409">
        <v>7.1333299999999999</v>
      </c>
      <c r="E8409" t="s">
        <v>12539</v>
      </c>
      <c r="F8409" t="s">
        <v>12540</v>
      </c>
      <c r="G8409" t="s">
        <v>37</v>
      </c>
      <c r="H8409">
        <v>1980</v>
      </c>
      <c r="I8409">
        <v>18.93356</v>
      </c>
      <c r="J8409">
        <v>14.64452</v>
      </c>
      <c r="K8409">
        <v>76</v>
      </c>
      <c r="L8409">
        <v>9.5220870000000009</v>
      </c>
      <c r="M8409">
        <v>28.833559999999999</v>
      </c>
      <c r="N8409">
        <v>9.7335650000000005</v>
      </c>
      <c r="O8409">
        <v>19.100000000000001</v>
      </c>
      <c r="P8409">
        <v>17.689039999999999</v>
      </c>
      <c r="Q8409">
        <v>19.06887</v>
      </c>
      <c r="R8409">
        <v>20.133569999999999</v>
      </c>
      <c r="S8409">
        <v>17.589040000000001</v>
      </c>
      <c r="T8409">
        <v>1298.643</v>
      </c>
      <c r="U8409">
        <v>186.3357</v>
      </c>
      <c r="V8409">
        <v>19</v>
      </c>
      <c r="W8409">
        <v>50</v>
      </c>
      <c r="X8409">
        <v>523.76350000000002</v>
      </c>
      <c r="Y8409">
        <v>107.8904</v>
      </c>
      <c r="Z8409">
        <v>290.00700000000001</v>
      </c>
      <c r="AA8409">
        <v>488.4522</v>
      </c>
      <c r="AB8409">
        <v>14.78786</v>
      </c>
      <c r="AC8409">
        <v>1.7157749999999999E-2</v>
      </c>
      <c r="AD8409">
        <v>2.3120799999999999</v>
      </c>
      <c r="AE8409">
        <v>0.64125840000000001</v>
      </c>
      <c r="AF8409">
        <v>1951.8889999999999</v>
      </c>
      <c r="AG8409">
        <f>IFERROR(AH8409*0.1, "N/A")</f>
        <v>5.8000000000000007</v>
      </c>
      <c r="AH8409">
        <v>58</v>
      </c>
      <c r="AI8409">
        <v>193.8734</v>
      </c>
      <c r="AJ8409">
        <v>37.346089999999997</v>
      </c>
      <c r="AK8409">
        <v>34.017389999999999</v>
      </c>
    </row>
    <row r="8410" spans="1:37" x14ac:dyDescent="0.3">
      <c r="A8410">
        <v>8409</v>
      </c>
      <c r="B8410">
        <v>1.9</v>
      </c>
      <c r="C8410">
        <v>35.450000000000003</v>
      </c>
      <c r="D8410">
        <v>7.2</v>
      </c>
      <c r="E8410" t="s">
        <v>12541</v>
      </c>
      <c r="F8410" t="s">
        <v>12542</v>
      </c>
      <c r="G8410" t="s">
        <v>37</v>
      </c>
      <c r="H8410">
        <v>1987</v>
      </c>
      <c r="I8410">
        <v>21.567530000000001</v>
      </c>
      <c r="J8410">
        <v>14.767530000000001</v>
      </c>
      <c r="K8410">
        <v>85.675349999999995</v>
      </c>
      <c r="L8410">
        <v>5.3667360000000004</v>
      </c>
      <c r="M8410">
        <v>30.767530000000001</v>
      </c>
      <c r="N8410">
        <v>13.667529999999999</v>
      </c>
      <c r="O8410">
        <v>17.100000000000001</v>
      </c>
      <c r="P8410">
        <v>21.067530000000001</v>
      </c>
      <c r="Q8410">
        <v>21.96753</v>
      </c>
      <c r="R8410">
        <v>22.267530000000001</v>
      </c>
      <c r="S8410">
        <v>20.96753</v>
      </c>
      <c r="T8410">
        <v>1414.8510000000001</v>
      </c>
      <c r="U8410">
        <v>244.84200000000001</v>
      </c>
      <c r="V8410">
        <v>19</v>
      </c>
      <c r="W8410">
        <v>71.355900000000005</v>
      </c>
      <c r="X8410">
        <v>687.3646</v>
      </c>
      <c r="Y8410">
        <v>76</v>
      </c>
      <c r="Z8410">
        <v>125.32470000000001</v>
      </c>
      <c r="AA8410">
        <v>324.84199999999998</v>
      </c>
      <c r="AB8410">
        <v>0.45556259999999998</v>
      </c>
      <c r="AC8410">
        <v>19.355869999999999</v>
      </c>
      <c r="AD8410">
        <v>1.470153</v>
      </c>
      <c r="AE8410">
        <v>0.42595460000000002</v>
      </c>
      <c r="AF8410">
        <v>1171.67</v>
      </c>
      <c r="AG8410">
        <f>IFERROR(AH8410*0.1, "N/A")</f>
        <v>5.7319440000000004</v>
      </c>
      <c r="AH8410">
        <v>57.31944</v>
      </c>
      <c r="AI8410">
        <v>132.5154</v>
      </c>
      <c r="AJ8410">
        <v>40.68056</v>
      </c>
      <c r="AK8410">
        <v>33</v>
      </c>
    </row>
    <row r="8411" spans="1:37" x14ac:dyDescent="0.3">
      <c r="A8411">
        <v>8410</v>
      </c>
      <c r="B8411">
        <v>6</v>
      </c>
      <c r="C8411">
        <v>37.775100000000002</v>
      </c>
      <c r="D8411">
        <v>7.2065400000000004</v>
      </c>
      <c r="E8411" t="s">
        <v>12543</v>
      </c>
      <c r="F8411" t="s">
        <v>12544</v>
      </c>
      <c r="G8411" t="s">
        <v>37</v>
      </c>
      <c r="H8411">
        <v>1980</v>
      </c>
      <c r="I8411">
        <v>19.590399999999999</v>
      </c>
      <c r="J8411">
        <v>14.8</v>
      </c>
      <c r="K8411">
        <v>76</v>
      </c>
      <c r="L8411">
        <v>9.9174000000000007</v>
      </c>
      <c r="M8411">
        <v>29.645199999999999</v>
      </c>
      <c r="N8411">
        <v>10.3452</v>
      </c>
      <c r="O8411">
        <v>19.3</v>
      </c>
      <c r="P8411">
        <v>18.290400000000002</v>
      </c>
      <c r="Q8411">
        <v>19.845199999999998</v>
      </c>
      <c r="R8411">
        <v>20.845199999999998</v>
      </c>
      <c r="S8411">
        <v>18.245200000000001</v>
      </c>
      <c r="T8411">
        <v>1263.288</v>
      </c>
      <c r="U8411">
        <v>189</v>
      </c>
      <c r="V8411">
        <v>19</v>
      </c>
      <c r="W8411">
        <v>54</v>
      </c>
      <c r="X8411">
        <v>524.64400000000001</v>
      </c>
      <c r="Y8411">
        <v>96.09599</v>
      </c>
      <c r="Z8411">
        <v>272.096</v>
      </c>
      <c r="AA8411">
        <v>511.452</v>
      </c>
      <c r="AB8411">
        <v>61.980939999999997</v>
      </c>
      <c r="AC8411">
        <v>2.1463179999999998E-2</v>
      </c>
      <c r="AD8411">
        <v>3.4750380000000001</v>
      </c>
      <c r="AE8411">
        <v>0.61232120000000001</v>
      </c>
      <c r="AF8411">
        <v>1859.8130000000001</v>
      </c>
      <c r="AG8411">
        <f>IFERROR(AH8411*0.1, "N/A")</f>
        <v>6.484642</v>
      </c>
      <c r="AH8411">
        <v>64.846419999999995</v>
      </c>
      <c r="AI8411">
        <v>240.59520000000001</v>
      </c>
      <c r="AJ8411">
        <v>33.81326</v>
      </c>
      <c r="AK8411">
        <v>36.394419999999997</v>
      </c>
    </row>
    <row r="8412" spans="1:37" x14ac:dyDescent="0.3">
      <c r="A8412">
        <v>8411</v>
      </c>
      <c r="B8412">
        <v>0</v>
      </c>
      <c r="C8412">
        <v>37.900799999999997</v>
      </c>
      <c r="D8412">
        <v>7.2427200000000003</v>
      </c>
      <c r="E8412" t="s">
        <v>12545</v>
      </c>
      <c r="F8412" t="s">
        <v>12546</v>
      </c>
      <c r="G8412" t="s">
        <v>37</v>
      </c>
      <c r="H8412">
        <v>1980</v>
      </c>
      <c r="I8412">
        <v>17.8</v>
      </c>
      <c r="J8412">
        <v>14.5</v>
      </c>
      <c r="K8412">
        <v>76</v>
      </c>
      <c r="L8412">
        <v>9.17</v>
      </c>
      <c r="M8412">
        <v>27.6</v>
      </c>
      <c r="N8412">
        <v>8.6</v>
      </c>
      <c r="O8412">
        <v>19</v>
      </c>
      <c r="P8412">
        <v>16.7</v>
      </c>
      <c r="Q8412">
        <v>17.8</v>
      </c>
      <c r="R8412">
        <v>19.100000000000001</v>
      </c>
      <c r="S8412">
        <v>16.600000000000001</v>
      </c>
      <c r="T8412">
        <v>1147</v>
      </c>
      <c r="U8412">
        <v>175</v>
      </c>
      <c r="V8412">
        <v>17</v>
      </c>
      <c r="W8412">
        <v>53</v>
      </c>
      <c r="X8412">
        <v>479</v>
      </c>
      <c r="Y8412">
        <v>92</v>
      </c>
      <c r="Z8412">
        <v>240</v>
      </c>
      <c r="AA8412">
        <v>440</v>
      </c>
      <c r="AB8412">
        <v>70.068650000000005</v>
      </c>
      <c r="AC8412">
        <v>2.1949949999999999E-2</v>
      </c>
      <c r="AD8412">
        <v>6.3287940000000003</v>
      </c>
      <c r="AE8412">
        <v>0.69283430000000001</v>
      </c>
      <c r="AF8412">
        <v>2113.7539999999999</v>
      </c>
      <c r="AG8412">
        <f>IFERROR(AH8412*0.1, "N/A")</f>
        <v>7.1795810000000007</v>
      </c>
      <c r="AH8412">
        <v>71.795810000000003</v>
      </c>
      <c r="AI8412">
        <v>233.6678</v>
      </c>
      <c r="AJ8412">
        <v>31.816749999999999</v>
      </c>
      <c r="AK8412">
        <v>35.183250000000001</v>
      </c>
    </row>
    <row r="8413" spans="1:37" x14ac:dyDescent="0.3">
      <c r="A8413">
        <v>8412</v>
      </c>
      <c r="B8413">
        <v>1.3</v>
      </c>
      <c r="C8413">
        <v>36.25</v>
      </c>
      <c r="D8413">
        <v>7.2667000000000002</v>
      </c>
      <c r="E8413" t="s">
        <v>12547</v>
      </c>
      <c r="F8413" t="s">
        <v>12548</v>
      </c>
      <c r="G8413" t="s">
        <v>37</v>
      </c>
      <c r="H8413">
        <v>1987</v>
      </c>
      <c r="I8413">
        <v>19.30903</v>
      </c>
      <c r="J8413">
        <v>15.37622</v>
      </c>
      <c r="K8413">
        <v>81</v>
      </c>
      <c r="L8413">
        <v>6.8950690000000003</v>
      </c>
      <c r="M8413">
        <v>28.90382</v>
      </c>
      <c r="N8413">
        <v>10.109030000000001</v>
      </c>
      <c r="O8413">
        <v>18.794789999999999</v>
      </c>
      <c r="P8413">
        <v>19.132809999999999</v>
      </c>
      <c r="Q8413">
        <v>19.38524</v>
      </c>
      <c r="R8413">
        <v>20.209029999999998</v>
      </c>
      <c r="S8413">
        <v>18.438890000000001</v>
      </c>
      <c r="T8413">
        <v>1788.7139999999999</v>
      </c>
      <c r="U8413">
        <v>218.41489999999999</v>
      </c>
      <c r="V8413">
        <v>41.814239999999998</v>
      </c>
      <c r="W8413">
        <v>42.185760000000002</v>
      </c>
      <c r="X8413">
        <v>636.17190000000005</v>
      </c>
      <c r="Y8413">
        <v>179.1319</v>
      </c>
      <c r="Z8413">
        <v>395.35239999999999</v>
      </c>
      <c r="AA8413">
        <v>618.65800000000002</v>
      </c>
      <c r="AB8413">
        <v>53.417200000000001</v>
      </c>
      <c r="AC8413">
        <v>1.9670239999999999E-2</v>
      </c>
      <c r="AD8413">
        <v>11.990919999999999</v>
      </c>
      <c r="AE8413">
        <v>0.66881020000000002</v>
      </c>
      <c r="AF8413">
        <v>1711.0640000000001</v>
      </c>
      <c r="AG8413">
        <f>IFERROR(AH8413*0.1, "N/A")</f>
        <v>5.6000000000000005</v>
      </c>
      <c r="AH8413">
        <v>56</v>
      </c>
      <c r="AI8413">
        <v>304.29289999999997</v>
      </c>
      <c r="AJ8413">
        <v>39</v>
      </c>
      <c r="AK8413">
        <v>31</v>
      </c>
    </row>
    <row r="8414" spans="1:37" x14ac:dyDescent="0.3">
      <c r="A8414">
        <v>8413</v>
      </c>
      <c r="B8414">
        <v>0</v>
      </c>
      <c r="C8414">
        <v>37.819200000000002</v>
      </c>
      <c r="D8414">
        <v>7.31128</v>
      </c>
      <c r="E8414" t="s">
        <v>12549</v>
      </c>
      <c r="F8414" t="s">
        <v>12550</v>
      </c>
      <c r="G8414" t="s">
        <v>37</v>
      </c>
      <c r="H8414">
        <v>1980</v>
      </c>
      <c r="I8414">
        <v>15.6</v>
      </c>
      <c r="J8414">
        <v>13.6</v>
      </c>
      <c r="K8414">
        <v>76</v>
      </c>
      <c r="L8414">
        <v>9.33</v>
      </c>
      <c r="M8414">
        <v>25</v>
      </c>
      <c r="N8414">
        <v>7.2</v>
      </c>
      <c r="O8414">
        <v>17.8</v>
      </c>
      <c r="P8414">
        <v>14.5</v>
      </c>
      <c r="Q8414">
        <v>15.7</v>
      </c>
      <c r="R8414">
        <v>16.899999999999999</v>
      </c>
      <c r="S8414">
        <v>14.4</v>
      </c>
      <c r="T8414">
        <v>1249</v>
      </c>
      <c r="U8414">
        <v>185</v>
      </c>
      <c r="V8414">
        <v>24</v>
      </c>
      <c r="W8414">
        <v>52</v>
      </c>
      <c r="X8414">
        <v>515</v>
      </c>
      <c r="Y8414">
        <v>92</v>
      </c>
      <c r="Z8414">
        <v>290</v>
      </c>
      <c r="AA8414">
        <v>481</v>
      </c>
      <c r="AB8414">
        <v>78.177059999999997</v>
      </c>
      <c r="AC8414">
        <v>1.4747359999999999E-2</v>
      </c>
      <c r="AD8414">
        <v>8.2166789999999992</v>
      </c>
      <c r="AE8414">
        <v>0.67636149999999995</v>
      </c>
      <c r="AF8414">
        <v>2499.6750000000002</v>
      </c>
      <c r="AG8414">
        <f>IFERROR(AH8414*0.1, "N/A")</f>
        <v>5.6177390000000003</v>
      </c>
      <c r="AH8414">
        <v>56.177390000000003</v>
      </c>
      <c r="AI8414">
        <v>87.684539999999998</v>
      </c>
      <c r="AJ8414">
        <v>36.930430000000001</v>
      </c>
      <c r="AK8414">
        <v>34.200000000000003</v>
      </c>
    </row>
    <row r="8415" spans="1:37" x14ac:dyDescent="0.3">
      <c r="A8415">
        <v>8414</v>
      </c>
      <c r="B8415">
        <v>0.6</v>
      </c>
      <c r="C8415">
        <v>36.380000000000003</v>
      </c>
      <c r="D8415">
        <v>7.33</v>
      </c>
      <c r="E8415" t="s">
        <v>12551</v>
      </c>
      <c r="F8415" t="s">
        <v>12552</v>
      </c>
      <c r="G8415" t="s">
        <v>37</v>
      </c>
      <c r="H8415">
        <v>1987</v>
      </c>
      <c r="I8415">
        <v>16</v>
      </c>
      <c r="J8415">
        <v>13.1</v>
      </c>
      <c r="K8415">
        <v>81</v>
      </c>
      <c r="L8415">
        <v>7.5</v>
      </c>
      <c r="M8415">
        <v>24.3</v>
      </c>
      <c r="N8415">
        <v>8.1999999999999993</v>
      </c>
      <c r="O8415">
        <v>16.100000000000001</v>
      </c>
      <c r="P8415">
        <v>15</v>
      </c>
      <c r="Q8415">
        <v>16.100000000000001</v>
      </c>
      <c r="R8415">
        <v>16.899999999999999</v>
      </c>
      <c r="S8415">
        <v>15</v>
      </c>
      <c r="T8415">
        <v>1894</v>
      </c>
      <c r="U8415">
        <v>243</v>
      </c>
      <c r="V8415">
        <v>45</v>
      </c>
      <c r="W8415">
        <v>47</v>
      </c>
      <c r="X8415">
        <v>720</v>
      </c>
      <c r="Y8415">
        <v>160</v>
      </c>
      <c r="Z8415">
        <v>554</v>
      </c>
      <c r="AA8415">
        <v>720</v>
      </c>
      <c r="AB8415">
        <v>43.206650000000003</v>
      </c>
      <c r="AC8415">
        <v>6.0091829999999999E-2</v>
      </c>
      <c r="AD8415">
        <v>16.249790000000001</v>
      </c>
      <c r="AE8415">
        <v>0.3433293</v>
      </c>
      <c r="AF8415">
        <v>2423.259</v>
      </c>
      <c r="AG8415">
        <f>IFERROR(AH8415*0.1, "N/A")</f>
        <v>5.1696179999999998</v>
      </c>
      <c r="AH8415">
        <v>51.696179999999998</v>
      </c>
      <c r="AI8415">
        <v>182.9299</v>
      </c>
      <c r="AJ8415">
        <v>36.303820000000002</v>
      </c>
      <c r="AK8415">
        <v>37</v>
      </c>
    </row>
    <row r="8416" spans="1:37" x14ac:dyDescent="0.3">
      <c r="A8416">
        <v>8415</v>
      </c>
      <c r="B8416">
        <v>0</v>
      </c>
      <c r="C8416">
        <v>40.216700000000003</v>
      </c>
      <c r="D8416">
        <v>7.3666700000000001</v>
      </c>
      <c r="E8416" t="s">
        <v>12553</v>
      </c>
      <c r="F8416" t="s">
        <v>12554</v>
      </c>
      <c r="G8416" t="s">
        <v>37</v>
      </c>
      <c r="H8416">
        <v>1987</v>
      </c>
      <c r="I8416">
        <v>15.327830000000001</v>
      </c>
      <c r="J8416">
        <v>14</v>
      </c>
      <c r="K8416">
        <v>80</v>
      </c>
      <c r="L8416">
        <v>7.796748</v>
      </c>
      <c r="M8416">
        <v>23.640350000000002</v>
      </c>
      <c r="N8416">
        <v>6.1806950000000001</v>
      </c>
      <c r="O8416">
        <v>17.45965</v>
      </c>
      <c r="P8416">
        <v>15.98748</v>
      </c>
      <c r="Q8416">
        <v>14.64035</v>
      </c>
      <c r="R8416">
        <v>15.98748</v>
      </c>
      <c r="S8416">
        <v>14.14035</v>
      </c>
      <c r="T8416">
        <v>1201.2159999999999</v>
      </c>
      <c r="U8416">
        <v>197.80699999999999</v>
      </c>
      <c r="V8416">
        <v>14</v>
      </c>
      <c r="W8416">
        <v>55</v>
      </c>
      <c r="X8416">
        <v>450.93220000000002</v>
      </c>
      <c r="Y8416">
        <v>77.386089999999996</v>
      </c>
      <c r="Z8416">
        <v>450.93220000000002</v>
      </c>
      <c r="AA8416">
        <v>149.3391</v>
      </c>
      <c r="AB8416">
        <v>5.7682120000000001</v>
      </c>
      <c r="AC8416">
        <v>0.1130977</v>
      </c>
      <c r="AD8416">
        <v>1.5144310000000001</v>
      </c>
      <c r="AE8416">
        <v>0.58857530000000002</v>
      </c>
      <c r="AF8416">
        <v>2371.6610000000001</v>
      </c>
      <c r="AG8416">
        <f>IFERROR(AH8416*0.1, "N/A")</f>
        <v>6.3916520000000006</v>
      </c>
      <c r="AH8416">
        <v>63.916519999999998</v>
      </c>
      <c r="AI8416">
        <v>175.3142</v>
      </c>
      <c r="AJ8416">
        <v>44.850430000000003</v>
      </c>
      <c r="AK8416">
        <v>28.89217</v>
      </c>
    </row>
    <row r="8417" spans="1:37" x14ac:dyDescent="0.3">
      <c r="A8417">
        <v>8416</v>
      </c>
      <c r="B8417">
        <v>0</v>
      </c>
      <c r="C8417">
        <v>39.25</v>
      </c>
      <c r="D8417">
        <v>7.4166699999999999</v>
      </c>
      <c r="E8417" t="s">
        <v>12555</v>
      </c>
      <c r="F8417" t="s">
        <v>12556</v>
      </c>
      <c r="G8417" t="s">
        <v>37</v>
      </c>
      <c r="H8417">
        <v>1987</v>
      </c>
      <c r="I8417">
        <v>12.08042</v>
      </c>
      <c r="J8417">
        <v>12.51421</v>
      </c>
      <c r="K8417">
        <v>76</v>
      </c>
      <c r="L8417">
        <v>8.7823740000000008</v>
      </c>
      <c r="M8417">
        <v>20.331890000000001</v>
      </c>
      <c r="N8417">
        <v>3.980416</v>
      </c>
      <c r="O8417">
        <v>16.351469999999999</v>
      </c>
      <c r="P8417">
        <v>11.255459999999999</v>
      </c>
      <c r="Q8417">
        <v>11.814209999999999</v>
      </c>
      <c r="R8417">
        <v>13.280419999999999</v>
      </c>
      <c r="S8417">
        <v>11.123570000000001</v>
      </c>
      <c r="T8417">
        <v>1039.9359999999999</v>
      </c>
      <c r="U8417">
        <v>186.66200000000001</v>
      </c>
      <c r="V8417">
        <v>15</v>
      </c>
      <c r="W8417">
        <v>59.857889999999998</v>
      </c>
      <c r="X8417">
        <v>470.57369999999997</v>
      </c>
      <c r="Y8417">
        <v>75.627380000000002</v>
      </c>
      <c r="Z8417">
        <v>219.05369999999999</v>
      </c>
      <c r="AA8417">
        <v>470.20100000000002</v>
      </c>
      <c r="AB8417">
        <v>14.169040000000001</v>
      </c>
      <c r="AC8417">
        <v>6.5104110000000007E-2</v>
      </c>
      <c r="AD8417">
        <v>2.0295719999999999</v>
      </c>
      <c r="AE8417">
        <v>0.66066150000000001</v>
      </c>
      <c r="AF8417">
        <v>2983.5680000000002</v>
      </c>
      <c r="AG8417">
        <f>IFERROR(AH8417*0.1, "N/A")</f>
        <v>6.1000000000000005</v>
      </c>
      <c r="AH8417">
        <v>61</v>
      </c>
      <c r="AI8417">
        <v>74.102590000000006</v>
      </c>
      <c r="AJ8417">
        <v>32</v>
      </c>
      <c r="AK8417">
        <v>35.431539999999998</v>
      </c>
    </row>
    <row r="8418" spans="1:37" x14ac:dyDescent="0.3">
      <c r="A8418">
        <v>8417</v>
      </c>
      <c r="B8418">
        <v>0</v>
      </c>
      <c r="C8418">
        <v>38.744399999999999</v>
      </c>
      <c r="D8418">
        <v>7.4888000000000003</v>
      </c>
      <c r="E8418" t="s">
        <v>12557</v>
      </c>
      <c r="F8418" t="s">
        <v>12558</v>
      </c>
      <c r="G8418" t="s">
        <v>37</v>
      </c>
      <c r="H8418">
        <v>2001</v>
      </c>
      <c r="I8418">
        <v>19.600000000000001</v>
      </c>
      <c r="J8418">
        <v>13.8</v>
      </c>
      <c r="K8418">
        <v>73</v>
      </c>
      <c r="L8418">
        <v>8.73</v>
      </c>
      <c r="M8418">
        <v>28.4</v>
      </c>
      <c r="N8418">
        <v>9.6999999999999993</v>
      </c>
      <c r="O8418">
        <v>18.7</v>
      </c>
      <c r="P8418">
        <v>19.399999999999999</v>
      </c>
      <c r="Q8418">
        <v>18.5</v>
      </c>
      <c r="R8418">
        <v>20.7</v>
      </c>
      <c r="S8418">
        <v>18.5</v>
      </c>
      <c r="T8418">
        <v>674</v>
      </c>
      <c r="U8418">
        <v>120</v>
      </c>
      <c r="V8418">
        <v>7</v>
      </c>
      <c r="W8418">
        <v>61</v>
      </c>
      <c r="X8418">
        <v>310</v>
      </c>
      <c r="Y8418">
        <v>46</v>
      </c>
      <c r="Z8418">
        <v>171</v>
      </c>
      <c r="AA8418">
        <v>60</v>
      </c>
      <c r="AB8418">
        <v>4.0455639999999997</v>
      </c>
      <c r="AC8418">
        <v>272.29939999999999</v>
      </c>
      <c r="AD8418">
        <v>1.9984040000000001</v>
      </c>
      <c r="AE8418">
        <v>0.66126359999999995</v>
      </c>
      <c r="AF8418">
        <v>1633.845</v>
      </c>
      <c r="AG8418">
        <f>IFERROR(AH8418*0.1, "N/A")</f>
        <v>7.1132170000000006</v>
      </c>
      <c r="AH8418">
        <v>71.132170000000002</v>
      </c>
      <c r="AI8418">
        <v>310.7679</v>
      </c>
      <c r="AJ8418">
        <v>33.867829999999998</v>
      </c>
      <c r="AK8418">
        <v>36</v>
      </c>
    </row>
    <row r="8419" spans="1:37" x14ac:dyDescent="0.3">
      <c r="A8419">
        <v>8418</v>
      </c>
      <c r="B8419">
        <v>1.4</v>
      </c>
      <c r="C8419">
        <v>38.7059</v>
      </c>
      <c r="D8419">
        <v>7.4943299999999997</v>
      </c>
      <c r="E8419" t="s">
        <v>12559</v>
      </c>
      <c r="F8419" t="s">
        <v>12560</v>
      </c>
      <c r="G8419" t="s">
        <v>37</v>
      </c>
      <c r="H8419">
        <v>2001</v>
      </c>
      <c r="I8419">
        <v>19.600000000000001</v>
      </c>
      <c r="J8419">
        <v>13.8</v>
      </c>
      <c r="K8419">
        <v>74</v>
      </c>
      <c r="L8419">
        <v>8.68</v>
      </c>
      <c r="M8419">
        <v>28.3</v>
      </c>
      <c r="N8419">
        <v>9.6999999999999993</v>
      </c>
      <c r="O8419">
        <v>18.600000000000001</v>
      </c>
      <c r="P8419">
        <v>19.399999999999999</v>
      </c>
      <c r="Q8419">
        <v>18.5</v>
      </c>
      <c r="R8419">
        <v>20.7</v>
      </c>
      <c r="S8419">
        <v>18.5</v>
      </c>
      <c r="T8419">
        <v>672</v>
      </c>
      <c r="U8419">
        <v>121</v>
      </c>
      <c r="V8419">
        <v>7</v>
      </c>
      <c r="W8419">
        <v>61</v>
      </c>
      <c r="X8419">
        <v>310</v>
      </c>
      <c r="Y8419">
        <v>47</v>
      </c>
      <c r="Z8419">
        <v>168</v>
      </c>
      <c r="AA8419">
        <v>59</v>
      </c>
      <c r="AB8419">
        <v>18.77488</v>
      </c>
      <c r="AC8419">
        <v>0.21723580000000001</v>
      </c>
      <c r="AD8419">
        <v>1.0932569999999999</v>
      </c>
      <c r="AE8419">
        <v>0.4508354</v>
      </c>
      <c r="AF8419">
        <v>1660.0509999999999</v>
      </c>
      <c r="AG8419">
        <f>IFERROR(AH8419*0.1, "N/A")</f>
        <v>7.4</v>
      </c>
      <c r="AH8419">
        <v>74</v>
      </c>
      <c r="AI8419">
        <v>96.305549999999997</v>
      </c>
      <c r="AJ8419">
        <v>30.72775</v>
      </c>
      <c r="AK8419">
        <v>40</v>
      </c>
    </row>
    <row r="8420" spans="1:37" x14ac:dyDescent="0.3">
      <c r="A8420">
        <v>8419</v>
      </c>
      <c r="B8420">
        <v>0</v>
      </c>
      <c r="C8420">
        <v>36.5167</v>
      </c>
      <c r="D8420">
        <v>7.5</v>
      </c>
      <c r="E8420" t="s">
        <v>12561</v>
      </c>
      <c r="F8420" t="s">
        <v>12562</v>
      </c>
      <c r="G8420" t="s">
        <v>37</v>
      </c>
      <c r="H8420">
        <v>1987</v>
      </c>
      <c r="I8420">
        <v>19.19135</v>
      </c>
      <c r="J8420">
        <v>15.418340000000001</v>
      </c>
      <c r="K8420">
        <v>79</v>
      </c>
      <c r="L8420">
        <v>7.7832179999999997</v>
      </c>
      <c r="M8420">
        <v>28.794460000000001</v>
      </c>
      <c r="N8420">
        <v>9.3245679999999993</v>
      </c>
      <c r="O8420">
        <v>19.469899999999999</v>
      </c>
      <c r="P8420">
        <v>18.74343</v>
      </c>
      <c r="Q8420">
        <v>18.958649999999999</v>
      </c>
      <c r="R8420">
        <v>20.325430000000001</v>
      </c>
      <c r="S8420">
        <v>18.491350000000001</v>
      </c>
      <c r="T8420">
        <v>1655.434</v>
      </c>
      <c r="U8420">
        <v>236.35120000000001</v>
      </c>
      <c r="V8420">
        <v>31.157440000000001</v>
      </c>
      <c r="W8420">
        <v>53.484430000000003</v>
      </c>
      <c r="X8420">
        <v>691.41700000000003</v>
      </c>
      <c r="Y8420">
        <v>121.94289999999999</v>
      </c>
      <c r="Z8420">
        <v>447.03980000000001</v>
      </c>
      <c r="AA8420">
        <v>299.3218</v>
      </c>
      <c r="AB8420">
        <v>15.363619999999999</v>
      </c>
      <c r="AC8420">
        <v>0.2921163</v>
      </c>
      <c r="AD8420">
        <v>7.8631650000000004</v>
      </c>
      <c r="AE8420">
        <v>0.41309279999999998</v>
      </c>
      <c r="AF8420">
        <v>1693.7249999999999</v>
      </c>
      <c r="AG8420">
        <f>IFERROR(AH8420*0.1, "N/A")</f>
        <v>5.4653980000000004</v>
      </c>
      <c r="AH8420">
        <v>54.653979999999997</v>
      </c>
      <c r="AI8420">
        <v>198.05930000000001</v>
      </c>
      <c r="AJ8420">
        <v>44</v>
      </c>
      <c r="AK8420">
        <v>30</v>
      </c>
    </row>
    <row r="8421" spans="1:37" x14ac:dyDescent="0.3">
      <c r="A8421">
        <v>8420</v>
      </c>
      <c r="B8421">
        <v>3</v>
      </c>
      <c r="C8421">
        <v>38.736699999999999</v>
      </c>
      <c r="D8421">
        <v>7.5089699999999997</v>
      </c>
      <c r="E8421" t="s">
        <v>12563</v>
      </c>
      <c r="F8421" t="s">
        <v>12564</v>
      </c>
      <c r="G8421" t="s">
        <v>37</v>
      </c>
      <c r="H8421">
        <v>2001</v>
      </c>
      <c r="I8421">
        <v>20</v>
      </c>
      <c r="J8421">
        <v>13.8</v>
      </c>
      <c r="K8421">
        <v>73</v>
      </c>
      <c r="L8421">
        <v>9.1199999999999992</v>
      </c>
      <c r="M8421">
        <v>28.8</v>
      </c>
      <c r="N8421">
        <v>10.1</v>
      </c>
      <c r="O8421">
        <v>18.7</v>
      </c>
      <c r="P8421">
        <v>19.8</v>
      </c>
      <c r="Q8421">
        <v>18.899999999999999</v>
      </c>
      <c r="R8421">
        <v>21.2</v>
      </c>
      <c r="S8421">
        <v>18.8</v>
      </c>
      <c r="T8421">
        <v>642</v>
      </c>
      <c r="U8421">
        <v>117</v>
      </c>
      <c r="V8421">
        <v>7</v>
      </c>
      <c r="W8421">
        <v>63</v>
      </c>
      <c r="X8421">
        <v>298</v>
      </c>
      <c r="Y8421">
        <v>45</v>
      </c>
      <c r="Z8421">
        <v>159</v>
      </c>
      <c r="AA8421">
        <v>56</v>
      </c>
      <c r="AB8421">
        <v>7.3023769999999999</v>
      </c>
      <c r="AC8421">
        <v>6.2363839999999997E-2</v>
      </c>
      <c r="AD8421">
        <v>1.166493</v>
      </c>
      <c r="AE8421">
        <v>0.50393730000000003</v>
      </c>
      <c r="AF8421">
        <v>1589.415</v>
      </c>
      <c r="AG8421">
        <f>IFERROR(AH8421*0.1, "N/A")</f>
        <v>6.9416669999999998</v>
      </c>
      <c r="AH8421">
        <v>69.416669999999996</v>
      </c>
      <c r="AI8421">
        <v>63.054949999999998</v>
      </c>
      <c r="AJ8421">
        <v>35</v>
      </c>
      <c r="AK8421">
        <v>35.72222</v>
      </c>
    </row>
    <row r="8422" spans="1:37" x14ac:dyDescent="0.3">
      <c r="A8422">
        <v>8421</v>
      </c>
      <c r="B8422">
        <v>1.5</v>
      </c>
      <c r="C8422">
        <v>38.682499999999997</v>
      </c>
      <c r="D8422">
        <v>7.5126099999999996</v>
      </c>
      <c r="E8422" t="s">
        <v>12565</v>
      </c>
      <c r="F8422" t="s">
        <v>12566</v>
      </c>
      <c r="G8422" t="s">
        <v>37</v>
      </c>
      <c r="H8422">
        <v>2001</v>
      </c>
      <c r="I8422">
        <v>19.8</v>
      </c>
      <c r="J8422">
        <v>13.8</v>
      </c>
      <c r="K8422">
        <v>73.994799999999998</v>
      </c>
      <c r="L8422">
        <v>8.4723919999999993</v>
      </c>
      <c r="M8422">
        <v>28.50104</v>
      </c>
      <c r="N8422">
        <v>10</v>
      </c>
      <c r="O8422">
        <v>18.50104</v>
      </c>
      <c r="P8422">
        <v>19.700520000000001</v>
      </c>
      <c r="Q8422">
        <v>18.799479999999999</v>
      </c>
      <c r="R8422">
        <v>20.9</v>
      </c>
      <c r="S8422">
        <v>18.7</v>
      </c>
      <c r="T8422">
        <v>649.97919999999999</v>
      </c>
      <c r="U8422">
        <v>119</v>
      </c>
      <c r="V8422">
        <v>7</v>
      </c>
      <c r="W8422">
        <v>63.005200000000002</v>
      </c>
      <c r="X8422">
        <v>301.9948</v>
      </c>
      <c r="Y8422">
        <v>46</v>
      </c>
      <c r="Z8422">
        <v>159</v>
      </c>
      <c r="AA8422">
        <v>55.994799999999998</v>
      </c>
      <c r="AB8422">
        <v>6.2984809999999998</v>
      </c>
      <c r="AC8422">
        <v>3.0790290000000001E-2</v>
      </c>
      <c r="AD8422">
        <v>1.58545</v>
      </c>
      <c r="AE8422">
        <v>0.35046699999999997</v>
      </c>
      <c r="AF8422">
        <v>1619.153</v>
      </c>
      <c r="AG8422">
        <f>IFERROR(AH8422*0.1, "N/A")</f>
        <v>7.9984399999999996</v>
      </c>
      <c r="AH8422">
        <v>79.984399999999994</v>
      </c>
      <c r="AI8422">
        <v>70.235110000000006</v>
      </c>
      <c r="AJ8422">
        <v>32.005200000000002</v>
      </c>
      <c r="AK8422">
        <v>40.984400000000001</v>
      </c>
    </row>
    <row r="8423" spans="1:37" x14ac:dyDescent="0.3">
      <c r="A8423">
        <v>8422</v>
      </c>
      <c r="B8423">
        <v>31.2</v>
      </c>
      <c r="C8423">
        <v>38.796599999999998</v>
      </c>
      <c r="D8423">
        <v>7.5141400000000003</v>
      </c>
      <c r="E8423" t="s">
        <v>12567</v>
      </c>
      <c r="F8423" t="s">
        <v>12568</v>
      </c>
      <c r="G8423" t="s">
        <v>37</v>
      </c>
      <c r="H8423">
        <v>2001</v>
      </c>
      <c r="I8423">
        <v>19.7</v>
      </c>
      <c r="J8423">
        <v>13.8</v>
      </c>
      <c r="K8423">
        <v>73</v>
      </c>
      <c r="L8423">
        <v>8.8699999999999992</v>
      </c>
      <c r="M8423">
        <v>28.5</v>
      </c>
      <c r="N8423">
        <v>9.8000000000000007</v>
      </c>
      <c r="O8423">
        <v>18.7</v>
      </c>
      <c r="P8423">
        <v>19.600000000000001</v>
      </c>
      <c r="Q8423">
        <v>18.600000000000001</v>
      </c>
      <c r="R8423">
        <v>20.8</v>
      </c>
      <c r="S8423">
        <v>18.600000000000001</v>
      </c>
      <c r="T8423">
        <v>670</v>
      </c>
      <c r="U8423">
        <v>120</v>
      </c>
      <c r="V8423">
        <v>6</v>
      </c>
      <c r="W8423">
        <v>62</v>
      </c>
      <c r="X8423">
        <v>310</v>
      </c>
      <c r="Y8423">
        <v>45</v>
      </c>
      <c r="Z8423">
        <v>169</v>
      </c>
      <c r="AA8423">
        <v>58</v>
      </c>
      <c r="AB8423">
        <v>11.24422</v>
      </c>
      <c r="AC8423">
        <v>5.7506969999999998E-2</v>
      </c>
      <c r="AD8423">
        <v>2.5444810000000002</v>
      </c>
      <c r="AE8423">
        <v>0.61648840000000005</v>
      </c>
      <c r="AF8423">
        <v>1625.7049999999999</v>
      </c>
      <c r="AG8423">
        <f>IFERROR(AH8423*0.1, "N/A")</f>
        <v>7.1958330000000004</v>
      </c>
      <c r="AH8423">
        <v>71.958330000000004</v>
      </c>
      <c r="AI8423">
        <v>329.32170000000002</v>
      </c>
      <c r="AJ8423">
        <v>36</v>
      </c>
      <c r="AK8423">
        <v>34</v>
      </c>
    </row>
    <row r="8424" spans="1:37" x14ac:dyDescent="0.3">
      <c r="A8424">
        <v>8423</v>
      </c>
      <c r="B8424">
        <v>4</v>
      </c>
      <c r="C8424">
        <v>36.866700000000002</v>
      </c>
      <c r="D8424">
        <v>7.5167000000000002</v>
      </c>
      <c r="E8424" t="s">
        <v>12569</v>
      </c>
      <c r="F8424" t="s">
        <v>12570</v>
      </c>
      <c r="G8424" t="s">
        <v>37</v>
      </c>
      <c r="H8424">
        <v>1987</v>
      </c>
      <c r="I8424">
        <v>17.82713</v>
      </c>
      <c r="J8424">
        <v>14.7593</v>
      </c>
      <c r="K8424">
        <v>76.633039999999994</v>
      </c>
      <c r="L8424">
        <v>7.9009390000000002</v>
      </c>
      <c r="M8424">
        <v>27.34713</v>
      </c>
      <c r="N8424">
        <v>8.1796520000000008</v>
      </c>
      <c r="O8424">
        <v>19.167480000000001</v>
      </c>
      <c r="P8424">
        <v>17.147130000000001</v>
      </c>
      <c r="Q8424">
        <v>17.818960000000001</v>
      </c>
      <c r="R8424">
        <v>18.947130000000001</v>
      </c>
      <c r="S8424">
        <v>16.947130000000001</v>
      </c>
      <c r="T8424">
        <v>1687.904</v>
      </c>
      <c r="U8424">
        <v>265.83300000000003</v>
      </c>
      <c r="V8424">
        <v>28.121739999999999</v>
      </c>
      <c r="W8424">
        <v>57.796520000000001</v>
      </c>
      <c r="X8424">
        <v>730.58429999999998</v>
      </c>
      <c r="Y8424">
        <v>114.5548</v>
      </c>
      <c r="Z8424">
        <v>451.12</v>
      </c>
      <c r="AA8424">
        <v>723.55650000000003</v>
      </c>
      <c r="AB8424">
        <v>104.81829999999999</v>
      </c>
      <c r="AC8424">
        <v>4.9661249999999997E-2</v>
      </c>
      <c r="AD8424">
        <v>16.155080000000002</v>
      </c>
      <c r="AE8424">
        <v>0.70887770000000005</v>
      </c>
      <c r="AF8424">
        <v>2092.4989999999998</v>
      </c>
      <c r="AG8424">
        <f>IFERROR(AH8424*0.1, "N/A")</f>
        <v>5.3366959999999999</v>
      </c>
      <c r="AH8424">
        <v>53.366959999999999</v>
      </c>
      <c r="AI8424">
        <v>65.501940000000005</v>
      </c>
      <c r="AJ8424">
        <v>43.547829999999998</v>
      </c>
      <c r="AK8424">
        <v>30.5687</v>
      </c>
    </row>
    <row r="8425" spans="1:37" x14ac:dyDescent="0.3">
      <c r="A8425">
        <v>8424</v>
      </c>
      <c r="B8425">
        <v>2.8</v>
      </c>
      <c r="C8425">
        <v>38.772199999999998</v>
      </c>
      <c r="D8425">
        <v>7.5201799999999999</v>
      </c>
      <c r="E8425" t="s">
        <v>12571</v>
      </c>
      <c r="F8425" t="s">
        <v>12572</v>
      </c>
      <c r="G8425" t="s">
        <v>37</v>
      </c>
      <c r="H8425">
        <v>2001</v>
      </c>
      <c r="I8425">
        <v>19.899999999999999</v>
      </c>
      <c r="J8425">
        <v>13.8</v>
      </c>
      <c r="K8425">
        <v>73</v>
      </c>
      <c r="L8425">
        <v>9.01</v>
      </c>
      <c r="M8425">
        <v>28.7</v>
      </c>
      <c r="N8425">
        <v>10</v>
      </c>
      <c r="O8425">
        <v>18.7</v>
      </c>
      <c r="P8425">
        <v>19.7</v>
      </c>
      <c r="Q8425">
        <v>18.8</v>
      </c>
      <c r="R8425">
        <v>21</v>
      </c>
      <c r="S8425">
        <v>18.7</v>
      </c>
      <c r="T8425">
        <v>649</v>
      </c>
      <c r="U8425">
        <v>118</v>
      </c>
      <c r="V8425">
        <v>6</v>
      </c>
      <c r="W8425">
        <v>62</v>
      </c>
      <c r="X8425">
        <v>302</v>
      </c>
      <c r="Y8425">
        <v>44</v>
      </c>
      <c r="Z8425">
        <v>162</v>
      </c>
      <c r="AA8425">
        <v>55</v>
      </c>
      <c r="AB8425">
        <v>1.334379</v>
      </c>
      <c r="AC8425">
        <v>91.124030000000005</v>
      </c>
      <c r="AD8425">
        <v>2.5167380000000001</v>
      </c>
      <c r="AE8425">
        <v>0.56417269999999997</v>
      </c>
      <c r="AF8425">
        <v>1596.953</v>
      </c>
      <c r="AG8425">
        <f>IFERROR(AH8425*0.1, "N/A")</f>
        <v>6.7175349999999998</v>
      </c>
      <c r="AH8425">
        <v>67.175349999999995</v>
      </c>
      <c r="AI8425">
        <v>111.563</v>
      </c>
      <c r="AJ8425">
        <v>39</v>
      </c>
      <c r="AK8425">
        <v>32</v>
      </c>
    </row>
    <row r="8426" spans="1:37" x14ac:dyDescent="0.3">
      <c r="A8426">
        <v>8425</v>
      </c>
      <c r="B8426">
        <v>1.9</v>
      </c>
      <c r="C8426">
        <v>38.789400000000001</v>
      </c>
      <c r="D8426">
        <v>7.5207800000000002</v>
      </c>
      <c r="E8426" t="s">
        <v>12573</v>
      </c>
      <c r="F8426" t="s">
        <v>12574</v>
      </c>
      <c r="G8426" t="s">
        <v>37</v>
      </c>
      <c r="H8426">
        <v>2001</v>
      </c>
      <c r="I8426">
        <v>19.7</v>
      </c>
      <c r="J8426">
        <v>13.8</v>
      </c>
      <c r="K8426">
        <v>73</v>
      </c>
      <c r="L8426">
        <v>9</v>
      </c>
      <c r="M8426">
        <v>28.6</v>
      </c>
      <c r="N8426">
        <v>9.9</v>
      </c>
      <c r="O8426">
        <v>18.7</v>
      </c>
      <c r="P8426">
        <v>19.7</v>
      </c>
      <c r="Q8426">
        <v>18.600000000000001</v>
      </c>
      <c r="R8426">
        <v>20.9</v>
      </c>
      <c r="S8426">
        <v>18.600000000000001</v>
      </c>
      <c r="T8426">
        <v>662</v>
      </c>
      <c r="U8426">
        <v>120</v>
      </c>
      <c r="V8426">
        <v>6</v>
      </c>
      <c r="W8426">
        <v>62</v>
      </c>
      <c r="X8426">
        <v>307</v>
      </c>
      <c r="Y8426">
        <v>45</v>
      </c>
      <c r="Z8426">
        <v>166</v>
      </c>
      <c r="AA8426">
        <v>57</v>
      </c>
      <c r="AB8426">
        <v>19.620989999999999</v>
      </c>
      <c r="AC8426">
        <v>8.4757889999999992E-3</v>
      </c>
      <c r="AD8426">
        <v>2.4962849999999999</v>
      </c>
      <c r="AE8426">
        <v>0.62680570000000002</v>
      </c>
      <c r="AF8426">
        <v>1621.9929999999999</v>
      </c>
      <c r="AG8426">
        <f>IFERROR(AH8426*0.1, "N/A")</f>
        <v>7.3088540000000002</v>
      </c>
      <c r="AH8426">
        <v>73.088539999999995</v>
      </c>
      <c r="AI8426">
        <v>131.47890000000001</v>
      </c>
      <c r="AJ8426">
        <v>35.637149999999998</v>
      </c>
      <c r="AK8426">
        <v>36</v>
      </c>
    </row>
    <row r="8427" spans="1:37" x14ac:dyDescent="0.3">
      <c r="A8427">
        <v>8426</v>
      </c>
      <c r="B8427">
        <v>0</v>
      </c>
      <c r="C8427">
        <v>38.674500000000002</v>
      </c>
      <c r="D8427">
        <v>7.5225999999999997</v>
      </c>
      <c r="E8427" t="s">
        <v>12575</v>
      </c>
      <c r="F8427" t="s">
        <v>12576</v>
      </c>
      <c r="G8427" t="s">
        <v>37</v>
      </c>
      <c r="H8427">
        <v>2001</v>
      </c>
      <c r="I8427">
        <v>19.70523</v>
      </c>
      <c r="J8427">
        <v>13.8</v>
      </c>
      <c r="K8427">
        <v>74</v>
      </c>
      <c r="L8427">
        <v>8.5733969999999999</v>
      </c>
      <c r="M8427">
        <v>28.40523</v>
      </c>
      <c r="N8427">
        <v>9.9052260000000008</v>
      </c>
      <c r="O8427">
        <v>18.5</v>
      </c>
      <c r="P8427">
        <v>19.607839999999999</v>
      </c>
      <c r="Q8427">
        <v>18.607839999999999</v>
      </c>
      <c r="R8427">
        <v>20.805230000000002</v>
      </c>
      <c r="S8427">
        <v>18.605229999999999</v>
      </c>
      <c r="T8427">
        <v>655.5557</v>
      </c>
      <c r="U8427">
        <v>119.9477</v>
      </c>
      <c r="V8427">
        <v>7</v>
      </c>
      <c r="W8427">
        <v>63</v>
      </c>
      <c r="X8427">
        <v>304.84320000000002</v>
      </c>
      <c r="Y8427">
        <v>46</v>
      </c>
      <c r="Z8427">
        <v>160.8432</v>
      </c>
      <c r="AA8427">
        <v>55.973869999999998</v>
      </c>
      <c r="AB8427">
        <v>21.767479999999999</v>
      </c>
      <c r="AC8427">
        <v>6.9637329999999997E-2</v>
      </c>
      <c r="AD8427">
        <v>3.5350410000000001</v>
      </c>
      <c r="AE8427">
        <v>0.33513320000000002</v>
      </c>
      <c r="AF8427">
        <v>1629.5239999999999</v>
      </c>
      <c r="AG8427">
        <f>IFERROR(AH8427*0.1, "N/A")</f>
        <v>7.9580140000000004</v>
      </c>
      <c r="AH8427">
        <v>79.58014</v>
      </c>
      <c r="AI8427">
        <v>173.75649999999999</v>
      </c>
      <c r="AJ8427">
        <v>31.994769999999999</v>
      </c>
      <c r="AK8427">
        <v>41.181179999999998</v>
      </c>
    </row>
    <row r="8428" spans="1:37" x14ac:dyDescent="0.3">
      <c r="A8428">
        <v>8427</v>
      </c>
      <c r="B8428">
        <v>3</v>
      </c>
      <c r="C8428">
        <v>36.383299999999998</v>
      </c>
      <c r="D8428">
        <v>7.5332999999999997</v>
      </c>
      <c r="E8428" t="s">
        <v>12577</v>
      </c>
      <c r="F8428" t="s">
        <v>12578</v>
      </c>
      <c r="G8428" t="s">
        <v>37</v>
      </c>
      <c r="H8428">
        <v>1987</v>
      </c>
      <c r="I8428">
        <v>19.736170000000001</v>
      </c>
      <c r="J8428">
        <v>15.5</v>
      </c>
      <c r="K8428">
        <v>79</v>
      </c>
      <c r="L8428">
        <v>7.9702609999999998</v>
      </c>
      <c r="M8428">
        <v>29.468869999999999</v>
      </c>
      <c r="N8428">
        <v>10.03617</v>
      </c>
      <c r="O8428">
        <v>19.432700000000001</v>
      </c>
      <c r="P8428">
        <v>19.17878</v>
      </c>
      <c r="Q8428">
        <v>19.536169999999998</v>
      </c>
      <c r="R8428">
        <v>20.868870000000001</v>
      </c>
      <c r="S8428">
        <v>18.964169999999999</v>
      </c>
      <c r="T8428">
        <v>1641.9770000000001</v>
      </c>
      <c r="U8428">
        <v>232.6696</v>
      </c>
      <c r="V8428">
        <v>34.72</v>
      </c>
      <c r="W8428">
        <v>53</v>
      </c>
      <c r="X8428">
        <v>680.55129999999997</v>
      </c>
      <c r="Y8428">
        <v>125</v>
      </c>
      <c r="Z8428">
        <v>443.98430000000002</v>
      </c>
      <c r="AA8428">
        <v>366.0557</v>
      </c>
      <c r="AB8428">
        <v>8.1935929999999999</v>
      </c>
      <c r="AC8428">
        <v>1.7169270000000001</v>
      </c>
      <c r="AD8428">
        <v>11.928800000000001</v>
      </c>
      <c r="AE8428">
        <v>0.42061120000000002</v>
      </c>
      <c r="AF8428">
        <v>1601.1079999999999</v>
      </c>
      <c r="AG8428">
        <f>IFERROR(AH8428*0.1, "N/A")</f>
        <v>5.5</v>
      </c>
      <c r="AH8428">
        <v>55</v>
      </c>
      <c r="AI8428">
        <v>156.2209</v>
      </c>
      <c r="AJ8428">
        <v>40.44</v>
      </c>
      <c r="AK8428">
        <v>35</v>
      </c>
    </row>
    <row r="8429" spans="1:37" x14ac:dyDescent="0.3">
      <c r="A8429">
        <v>8428</v>
      </c>
      <c r="B8429">
        <v>18.899999999999999</v>
      </c>
      <c r="C8429">
        <v>38.7971</v>
      </c>
      <c r="D8429">
        <v>7.5361599999999997</v>
      </c>
      <c r="E8429" t="s">
        <v>12579</v>
      </c>
      <c r="F8429" t="s">
        <v>12580</v>
      </c>
      <c r="G8429" t="s">
        <v>37</v>
      </c>
      <c r="H8429">
        <v>2001</v>
      </c>
      <c r="I8429">
        <v>20</v>
      </c>
      <c r="J8429">
        <v>13.8</v>
      </c>
      <c r="K8429">
        <v>73</v>
      </c>
      <c r="L8429">
        <v>9.15</v>
      </c>
      <c r="M8429">
        <v>28.8</v>
      </c>
      <c r="N8429">
        <v>10.1</v>
      </c>
      <c r="O8429">
        <v>18.7</v>
      </c>
      <c r="P8429">
        <v>19.899999999999999</v>
      </c>
      <c r="Q8429">
        <v>18.8</v>
      </c>
      <c r="R8429">
        <v>21.1</v>
      </c>
      <c r="S8429">
        <v>18.7</v>
      </c>
      <c r="T8429">
        <v>650</v>
      </c>
      <c r="U8429">
        <v>118</v>
      </c>
      <c r="V8429">
        <v>6</v>
      </c>
      <c r="W8429">
        <v>62</v>
      </c>
      <c r="X8429">
        <v>303</v>
      </c>
      <c r="Y8429">
        <v>43</v>
      </c>
      <c r="Z8429">
        <v>163</v>
      </c>
      <c r="AA8429">
        <v>55</v>
      </c>
      <c r="AB8429">
        <v>8.067126</v>
      </c>
      <c r="AC8429">
        <v>1.176579E-2</v>
      </c>
      <c r="AD8429">
        <v>2.3599220000000001</v>
      </c>
      <c r="AE8429">
        <v>0.36215829999999999</v>
      </c>
      <c r="AF8429">
        <v>1593.9359999999999</v>
      </c>
      <c r="AG8429">
        <f>IFERROR(AH8429*0.1, "N/A")</f>
        <v>6.709359000000001</v>
      </c>
      <c r="AH8429">
        <v>67.093590000000006</v>
      </c>
      <c r="AI8429">
        <v>116.9383</v>
      </c>
      <c r="AJ8429">
        <v>35.85962</v>
      </c>
      <c r="AK8429">
        <v>36.093589999999999</v>
      </c>
    </row>
    <row r="8430" spans="1:37" x14ac:dyDescent="0.3">
      <c r="A8430">
        <v>8429</v>
      </c>
      <c r="B8430">
        <v>1.1000000000000001</v>
      </c>
      <c r="C8430">
        <v>37.854500000000002</v>
      </c>
      <c r="D8430">
        <v>7.5541499999999999</v>
      </c>
      <c r="E8430" t="s">
        <v>12581</v>
      </c>
      <c r="F8430" t="s">
        <v>12582</v>
      </c>
      <c r="G8430" t="s">
        <v>37</v>
      </c>
      <c r="H8430">
        <v>1980</v>
      </c>
      <c r="I8430">
        <v>16.399999999999999</v>
      </c>
      <c r="J8430">
        <v>14.7</v>
      </c>
      <c r="K8430">
        <v>76</v>
      </c>
      <c r="L8430">
        <v>8.83</v>
      </c>
      <c r="M8430">
        <v>26.4</v>
      </c>
      <c r="N8430">
        <v>7.2</v>
      </c>
      <c r="O8430">
        <v>19.2</v>
      </c>
      <c r="P8430">
        <v>15.5</v>
      </c>
      <c r="Q8430">
        <v>16.3</v>
      </c>
      <c r="R8430">
        <v>17.7</v>
      </c>
      <c r="S8430">
        <v>15.5</v>
      </c>
      <c r="T8430">
        <v>1131</v>
      </c>
      <c r="U8430">
        <v>181</v>
      </c>
      <c r="V8430">
        <v>22</v>
      </c>
      <c r="W8430">
        <v>58</v>
      </c>
      <c r="X8430">
        <v>490</v>
      </c>
      <c r="Y8430">
        <v>66</v>
      </c>
      <c r="Z8430">
        <v>266</v>
      </c>
      <c r="AA8430">
        <v>454</v>
      </c>
      <c r="AB8430">
        <v>41.461359999999999</v>
      </c>
      <c r="AC8430">
        <v>1.6214579999999999E-2</v>
      </c>
      <c r="AD8430">
        <v>4.2174740000000002</v>
      </c>
      <c r="AE8430">
        <v>0.75555910000000004</v>
      </c>
      <c r="AF8430">
        <v>2327.9929999999999</v>
      </c>
      <c r="AG8430">
        <f>IFERROR(AH8430*0.1, "N/A")</f>
        <v>7</v>
      </c>
      <c r="AH8430">
        <v>70</v>
      </c>
      <c r="AI8430">
        <v>100.9838</v>
      </c>
      <c r="AJ8430">
        <v>38.166670000000003</v>
      </c>
      <c r="AK8430">
        <v>35.833329999999997</v>
      </c>
    </row>
    <row r="8431" spans="1:37" x14ac:dyDescent="0.3">
      <c r="A8431">
        <v>8430</v>
      </c>
      <c r="B8431">
        <v>42.9</v>
      </c>
      <c r="C8431">
        <v>38.831699999999998</v>
      </c>
      <c r="D8431">
        <v>7.5556999999999999</v>
      </c>
      <c r="E8431" t="s">
        <v>12583</v>
      </c>
      <c r="F8431" t="s">
        <v>12584</v>
      </c>
      <c r="G8431" t="s">
        <v>37</v>
      </c>
      <c r="H8431">
        <v>2001</v>
      </c>
      <c r="I8431">
        <v>19.600000000000001</v>
      </c>
      <c r="J8431">
        <v>13.8</v>
      </c>
      <c r="K8431">
        <v>73</v>
      </c>
      <c r="L8431">
        <v>9.1999999999999993</v>
      </c>
      <c r="M8431">
        <v>28.4</v>
      </c>
      <c r="N8431">
        <v>9.6999999999999993</v>
      </c>
      <c r="O8431">
        <v>18.7</v>
      </c>
      <c r="P8431">
        <v>19.5</v>
      </c>
      <c r="Q8431">
        <v>18.399999999999999</v>
      </c>
      <c r="R8431">
        <v>20.8</v>
      </c>
      <c r="S8431">
        <v>18.399999999999999</v>
      </c>
      <c r="T8431">
        <v>671</v>
      </c>
      <c r="U8431">
        <v>122</v>
      </c>
      <c r="V8431">
        <v>6</v>
      </c>
      <c r="W8431">
        <v>63</v>
      </c>
      <c r="X8431">
        <v>313</v>
      </c>
      <c r="Y8431">
        <v>44</v>
      </c>
      <c r="Z8431">
        <v>169</v>
      </c>
      <c r="AA8431">
        <v>57</v>
      </c>
      <c r="AB8431">
        <v>9.0910019999999996</v>
      </c>
      <c r="AC8431">
        <v>1.9716439999999998E-2</v>
      </c>
      <c r="AD8431">
        <v>2.7071519999999998</v>
      </c>
      <c r="AE8431">
        <v>0.54379940000000004</v>
      </c>
      <c r="AF8431">
        <v>1625.184</v>
      </c>
      <c r="AG8431">
        <f>IFERROR(AH8431*0.1, "N/A")</f>
        <v>6.5651039999999998</v>
      </c>
      <c r="AH8431">
        <v>65.651039999999995</v>
      </c>
      <c r="AI8431">
        <v>298.04669999999999</v>
      </c>
      <c r="AJ8431">
        <v>38.161459999999998</v>
      </c>
      <c r="AK8431">
        <v>32.838540000000002</v>
      </c>
    </row>
    <row r="8432" spans="1:37" x14ac:dyDescent="0.3">
      <c r="A8432">
        <v>8431</v>
      </c>
      <c r="B8432">
        <v>0</v>
      </c>
      <c r="C8432">
        <v>38.671300000000002</v>
      </c>
      <c r="D8432">
        <v>7.5870600000000001</v>
      </c>
      <c r="E8432" t="s">
        <v>12585</v>
      </c>
      <c r="F8432" t="s">
        <v>12586</v>
      </c>
      <c r="G8432" t="s">
        <v>37</v>
      </c>
      <c r="H8432">
        <v>2001</v>
      </c>
      <c r="I8432">
        <v>19.8</v>
      </c>
      <c r="J8432">
        <v>13.7</v>
      </c>
      <c r="K8432">
        <v>73</v>
      </c>
      <c r="L8432">
        <v>8.94</v>
      </c>
      <c r="M8432">
        <v>28.7</v>
      </c>
      <c r="N8432">
        <v>10.1</v>
      </c>
      <c r="O8432">
        <v>18.600000000000001</v>
      </c>
      <c r="P8432">
        <v>19.7</v>
      </c>
      <c r="Q8432">
        <v>18.7</v>
      </c>
      <c r="R8432">
        <v>20.9</v>
      </c>
      <c r="S8432">
        <v>18.7</v>
      </c>
      <c r="T8432">
        <v>624</v>
      </c>
      <c r="U8432">
        <v>121</v>
      </c>
      <c r="V8432">
        <v>6</v>
      </c>
      <c r="W8432">
        <v>66</v>
      </c>
      <c r="X8432">
        <v>303</v>
      </c>
      <c r="Y8432">
        <v>43</v>
      </c>
      <c r="Z8432">
        <v>146</v>
      </c>
      <c r="AA8432">
        <v>48</v>
      </c>
      <c r="AB8432">
        <v>10.700670000000001</v>
      </c>
      <c r="AC8432">
        <v>1.2476370000000001E-2</v>
      </c>
      <c r="AD8432">
        <v>1.1967410000000001</v>
      </c>
      <c r="AE8432">
        <v>0.35625990000000002</v>
      </c>
      <c r="AF8432">
        <v>1626.95</v>
      </c>
      <c r="AG8432">
        <f>IFERROR(AH8432*0.1, "N/A")</f>
        <v>7.8899310000000007</v>
      </c>
      <c r="AH8432">
        <v>78.89931</v>
      </c>
      <c r="AI8432">
        <v>179.2679</v>
      </c>
      <c r="AJ8432">
        <v>34.00347</v>
      </c>
      <c r="AK8432">
        <v>38.052079999999997</v>
      </c>
    </row>
    <row r="8433" spans="1:37" x14ac:dyDescent="0.3">
      <c r="A8433">
        <v>8432</v>
      </c>
      <c r="B8433">
        <v>0</v>
      </c>
      <c r="C8433">
        <v>34.255099999999999</v>
      </c>
      <c r="D8433">
        <v>7.6449100000000003</v>
      </c>
      <c r="E8433" t="s">
        <v>12587</v>
      </c>
      <c r="F8433" t="s">
        <v>12588</v>
      </c>
      <c r="G8433" t="s">
        <v>37</v>
      </c>
      <c r="H8433">
        <v>1987</v>
      </c>
      <c r="I8433">
        <v>26.2</v>
      </c>
      <c r="J8433">
        <v>14.8</v>
      </c>
      <c r="K8433">
        <v>74</v>
      </c>
      <c r="L8433">
        <v>11.3</v>
      </c>
      <c r="M8433">
        <v>37.4</v>
      </c>
      <c r="N8433">
        <v>17.5</v>
      </c>
      <c r="O8433">
        <v>19.899999999999999</v>
      </c>
      <c r="P8433">
        <v>25.4</v>
      </c>
      <c r="Q8433">
        <v>26</v>
      </c>
      <c r="R8433">
        <v>27.9</v>
      </c>
      <c r="S8433">
        <v>25.2</v>
      </c>
      <c r="T8433">
        <v>1272</v>
      </c>
      <c r="U8433">
        <v>266</v>
      </c>
      <c r="V8433">
        <v>4</v>
      </c>
      <c r="W8433">
        <v>76</v>
      </c>
      <c r="X8433">
        <v>661</v>
      </c>
      <c r="Y8433">
        <v>36</v>
      </c>
      <c r="Z8433">
        <v>153</v>
      </c>
      <c r="AA8433">
        <v>532</v>
      </c>
      <c r="AB8433">
        <v>17.03622</v>
      </c>
      <c r="AC8433">
        <v>0.1162942</v>
      </c>
      <c r="AD8433">
        <v>1.415349</v>
      </c>
      <c r="AE8433">
        <v>0.1176097</v>
      </c>
      <c r="AF8433">
        <v>452.45639999999997</v>
      </c>
      <c r="AG8433">
        <f>IFERROR(AH8433*0.1, "N/A")</f>
        <v>6.511324000000001</v>
      </c>
      <c r="AH8433">
        <v>65.113240000000005</v>
      </c>
      <c r="AI8433">
        <v>276.27999999999997</v>
      </c>
      <c r="AJ8433">
        <v>33.993029999999997</v>
      </c>
      <c r="AK8433">
        <v>37.883279999999999</v>
      </c>
    </row>
    <row r="8434" spans="1:37" x14ac:dyDescent="0.3">
      <c r="A8434">
        <v>8433</v>
      </c>
      <c r="B8434">
        <v>2.2000000000000002</v>
      </c>
      <c r="C8434">
        <v>37.889000000000003</v>
      </c>
      <c r="D8434">
        <v>7.649</v>
      </c>
      <c r="E8434" t="s">
        <v>12589</v>
      </c>
      <c r="F8434" t="s">
        <v>12590</v>
      </c>
      <c r="G8434" t="s">
        <v>37</v>
      </c>
      <c r="H8434">
        <v>1980</v>
      </c>
      <c r="I8434">
        <v>15.9</v>
      </c>
      <c r="J8434">
        <v>14.4</v>
      </c>
      <c r="K8434">
        <v>75</v>
      </c>
      <c r="L8434">
        <v>8.81</v>
      </c>
      <c r="M8434">
        <v>25.7</v>
      </c>
      <c r="N8434">
        <v>6.7</v>
      </c>
      <c r="O8434">
        <v>19</v>
      </c>
      <c r="P8434">
        <v>15</v>
      </c>
      <c r="Q8434">
        <v>15.7</v>
      </c>
      <c r="R8434">
        <v>17.2</v>
      </c>
      <c r="S8434">
        <v>15</v>
      </c>
      <c r="T8434">
        <v>1056</v>
      </c>
      <c r="U8434">
        <v>173</v>
      </c>
      <c r="V8434">
        <v>19</v>
      </c>
      <c r="W8434">
        <v>60</v>
      </c>
      <c r="X8434">
        <v>480</v>
      </c>
      <c r="Y8434">
        <v>59</v>
      </c>
      <c r="Z8434">
        <v>237</v>
      </c>
      <c r="AA8434">
        <v>436</v>
      </c>
      <c r="AB8434">
        <v>20.71529</v>
      </c>
      <c r="AC8434">
        <v>1.3195399999999999E-2</v>
      </c>
      <c r="AD8434">
        <v>2.2367140000000001</v>
      </c>
      <c r="AE8434">
        <v>0.76115880000000002</v>
      </c>
      <c r="AF8434">
        <v>2395.337</v>
      </c>
      <c r="AG8434">
        <f>IFERROR(AH8434*0.1, "N/A")</f>
        <v>5.8000000000000007</v>
      </c>
      <c r="AH8434">
        <v>58</v>
      </c>
      <c r="AI8434">
        <v>172.75470000000001</v>
      </c>
      <c r="AJ8434">
        <v>36.614579999999997</v>
      </c>
      <c r="AK8434">
        <v>33.84375</v>
      </c>
    </row>
    <row r="8435" spans="1:37" x14ac:dyDescent="0.3">
      <c r="A8435">
        <v>8434</v>
      </c>
      <c r="B8435">
        <v>1.7</v>
      </c>
      <c r="C8435">
        <v>38.682000000000002</v>
      </c>
      <c r="D8435">
        <v>7.6532499999999999</v>
      </c>
      <c r="E8435" t="s">
        <v>12591</v>
      </c>
      <c r="F8435" t="s">
        <v>12592</v>
      </c>
      <c r="G8435" t="s">
        <v>37</v>
      </c>
      <c r="H8435">
        <v>2001</v>
      </c>
      <c r="I8435">
        <v>19.899999999999999</v>
      </c>
      <c r="J8435">
        <v>13.6</v>
      </c>
      <c r="K8435">
        <v>73</v>
      </c>
      <c r="L8435">
        <v>8.7200000000000006</v>
      </c>
      <c r="M8435">
        <v>28.7</v>
      </c>
      <c r="N8435">
        <v>10.199999999999999</v>
      </c>
      <c r="O8435">
        <v>18.5</v>
      </c>
      <c r="P8435">
        <v>20</v>
      </c>
      <c r="Q8435">
        <v>18.8</v>
      </c>
      <c r="R8435">
        <v>21</v>
      </c>
      <c r="S8435">
        <v>18.7</v>
      </c>
      <c r="T8435">
        <v>644</v>
      </c>
      <c r="U8435">
        <v>124</v>
      </c>
      <c r="V8435">
        <v>5</v>
      </c>
      <c r="W8435">
        <v>67</v>
      </c>
      <c r="X8435">
        <v>310</v>
      </c>
      <c r="Y8435">
        <v>41</v>
      </c>
      <c r="Z8435">
        <v>156</v>
      </c>
      <c r="AA8435">
        <v>48</v>
      </c>
      <c r="AB8435">
        <v>12.92597</v>
      </c>
      <c r="AC8435">
        <v>9.4770189999999997E-3</v>
      </c>
      <c r="AD8435">
        <v>0.67183550000000003</v>
      </c>
      <c r="AE8435">
        <v>0.46229290000000001</v>
      </c>
      <c r="AF8435">
        <v>1602.692</v>
      </c>
      <c r="AG8435">
        <f>IFERROR(AH8435*0.1, "N/A")</f>
        <v>7.8916380000000004</v>
      </c>
      <c r="AH8435">
        <v>78.916380000000004</v>
      </c>
      <c r="AI8435">
        <v>67.648600000000002</v>
      </c>
      <c r="AJ8435">
        <v>35.916379999999997</v>
      </c>
      <c r="AK8435">
        <v>36.202089999999998</v>
      </c>
    </row>
    <row r="8436" spans="1:37" x14ac:dyDescent="0.3">
      <c r="A8436">
        <v>8435</v>
      </c>
      <c r="B8436">
        <v>0</v>
      </c>
      <c r="C8436">
        <v>36.833300000000001</v>
      </c>
      <c r="D8436">
        <v>7.6666699999999999</v>
      </c>
      <c r="E8436" t="s">
        <v>12593</v>
      </c>
      <c r="F8436" t="s">
        <v>12594</v>
      </c>
      <c r="G8436" t="s">
        <v>37</v>
      </c>
      <c r="H8436">
        <v>2005</v>
      </c>
      <c r="I8436">
        <v>18.935939999999999</v>
      </c>
      <c r="J8436">
        <v>15.5</v>
      </c>
      <c r="K8436">
        <v>74.880210000000005</v>
      </c>
      <c r="L8436">
        <v>8.774896</v>
      </c>
      <c r="M8436">
        <v>28.747920000000001</v>
      </c>
      <c r="N8436">
        <v>8.1999999999999993</v>
      </c>
      <c r="O8436">
        <v>20.547920000000001</v>
      </c>
      <c r="P8436">
        <v>18.65868</v>
      </c>
      <c r="Q8436">
        <v>18.313189999999999</v>
      </c>
      <c r="R8436">
        <v>20.211980000000001</v>
      </c>
      <c r="S8436">
        <v>17.91319</v>
      </c>
      <c r="T8436">
        <v>1632.877</v>
      </c>
      <c r="U8436">
        <v>260.32810000000001</v>
      </c>
      <c r="V8436">
        <v>28.13194</v>
      </c>
      <c r="W8436">
        <v>60.520829999999997</v>
      </c>
      <c r="X8436">
        <v>737.00350000000003</v>
      </c>
      <c r="Y8436">
        <v>111.2517</v>
      </c>
      <c r="Z8436">
        <v>414.3229</v>
      </c>
      <c r="AA8436">
        <v>117.3715</v>
      </c>
      <c r="AB8436">
        <v>10.17887</v>
      </c>
      <c r="AC8436">
        <v>0.1241081</v>
      </c>
      <c r="AD8436">
        <v>2.0691280000000001</v>
      </c>
      <c r="AE8436">
        <v>0.77552279999999996</v>
      </c>
      <c r="AF8436">
        <v>1711.462</v>
      </c>
      <c r="AG8436">
        <f>IFERROR(AH8436*0.1, "N/A")</f>
        <v>6.6861110000000004</v>
      </c>
      <c r="AH8436">
        <v>66.861109999999996</v>
      </c>
      <c r="AI8436">
        <v>101.8141</v>
      </c>
      <c r="AJ8436">
        <v>41.796869999999998</v>
      </c>
      <c r="AK8436">
        <v>28.855899999999998</v>
      </c>
    </row>
    <row r="8437" spans="1:37" x14ac:dyDescent="0.3">
      <c r="A8437">
        <v>8436</v>
      </c>
      <c r="B8437">
        <v>2.9</v>
      </c>
      <c r="C8437">
        <v>36.833300000000001</v>
      </c>
      <c r="D8437">
        <v>7.6666999999999996</v>
      </c>
      <c r="E8437" t="s">
        <v>12595</v>
      </c>
      <c r="F8437" t="s">
        <v>12596</v>
      </c>
      <c r="G8437" t="s">
        <v>37</v>
      </c>
      <c r="H8437">
        <v>1987</v>
      </c>
      <c r="I8437">
        <v>18.93403</v>
      </c>
      <c r="J8437">
        <v>15.5</v>
      </c>
      <c r="K8437">
        <v>74.897030000000001</v>
      </c>
      <c r="L8437">
        <v>8.7720769999999995</v>
      </c>
      <c r="M8437">
        <v>28.744330000000001</v>
      </c>
      <c r="N8437">
        <v>8.1999999999999993</v>
      </c>
      <c r="O8437">
        <v>20.544329999999999</v>
      </c>
      <c r="P8437">
        <v>18.657070000000001</v>
      </c>
      <c r="Q8437">
        <v>18.31099</v>
      </c>
      <c r="R8437">
        <v>20.2103</v>
      </c>
      <c r="S8437">
        <v>17.910990000000002</v>
      </c>
      <c r="T8437">
        <v>1633.511</v>
      </c>
      <c r="U8437">
        <v>260.55669999999998</v>
      </c>
      <c r="V8437">
        <v>28.109950000000001</v>
      </c>
      <c r="W8437">
        <v>60.556719999999999</v>
      </c>
      <c r="X8437">
        <v>737.44680000000005</v>
      </c>
      <c r="Y8437">
        <v>111.2129</v>
      </c>
      <c r="Z8437">
        <v>414.43279999999999</v>
      </c>
      <c r="AA8437">
        <v>117.3159</v>
      </c>
      <c r="AB8437">
        <v>10.262700000000001</v>
      </c>
      <c r="AC8437">
        <v>0.1211942</v>
      </c>
      <c r="AD8437">
        <v>2.0959539999999999</v>
      </c>
      <c r="AE8437">
        <v>0.77422080000000004</v>
      </c>
      <c r="AF8437">
        <v>1711.5619999999999</v>
      </c>
      <c r="AG8437">
        <f>IFERROR(AH8437*0.1, "N/A")</f>
        <v>6.6924960000000002</v>
      </c>
      <c r="AH8437">
        <v>66.924959999999999</v>
      </c>
      <c r="AI8437">
        <v>102.9542</v>
      </c>
      <c r="AJ8437">
        <v>41.752180000000003</v>
      </c>
      <c r="AK8437">
        <v>28.914490000000001</v>
      </c>
    </row>
    <row r="8438" spans="1:37" x14ac:dyDescent="0.3">
      <c r="A8438">
        <v>8437</v>
      </c>
      <c r="B8438">
        <v>3</v>
      </c>
      <c r="C8438">
        <v>36.9833</v>
      </c>
      <c r="D8438">
        <v>7.7167000000000003</v>
      </c>
      <c r="E8438" t="s">
        <v>12597</v>
      </c>
      <c r="F8438" t="s">
        <v>12598</v>
      </c>
      <c r="G8438" t="s">
        <v>37</v>
      </c>
      <c r="H8438">
        <v>1987</v>
      </c>
      <c r="I8438">
        <v>19.07348</v>
      </c>
      <c r="J8438">
        <v>15.6</v>
      </c>
      <c r="K8438">
        <v>73.92201</v>
      </c>
      <c r="L8438">
        <v>9.2001039999999996</v>
      </c>
      <c r="M8438">
        <v>29.13241</v>
      </c>
      <c r="N8438">
        <v>8.1511270000000007</v>
      </c>
      <c r="O8438">
        <v>20.981280000000002</v>
      </c>
      <c r="P8438">
        <v>18.839169999999999</v>
      </c>
      <c r="Q8438">
        <v>18.06568</v>
      </c>
      <c r="R8438">
        <v>20.38804</v>
      </c>
      <c r="S8438">
        <v>18.06568</v>
      </c>
      <c r="T8438">
        <v>1677.932</v>
      </c>
      <c r="U8438">
        <v>303.89600000000002</v>
      </c>
      <c r="V8438">
        <v>18.92201</v>
      </c>
      <c r="W8438">
        <v>68</v>
      </c>
      <c r="X8438">
        <v>806.27380000000005</v>
      </c>
      <c r="Y8438">
        <v>91.433279999999996</v>
      </c>
      <c r="Z8438">
        <v>415.89600000000002</v>
      </c>
      <c r="AA8438">
        <v>102.3518</v>
      </c>
      <c r="AB8438">
        <v>13.8468</v>
      </c>
      <c r="AC8438">
        <v>2.306675E-2</v>
      </c>
      <c r="AD8438">
        <v>4.7776860000000001</v>
      </c>
      <c r="AE8438">
        <v>0.76211839999999997</v>
      </c>
      <c r="AF8438">
        <v>1760.9860000000001</v>
      </c>
      <c r="AG8438">
        <f>IFERROR(AH8438*0.1, "N/A")</f>
        <v>5.6776429999999998</v>
      </c>
      <c r="AH8438">
        <v>56.776429999999998</v>
      </c>
      <c r="AI8438">
        <v>288.03750000000002</v>
      </c>
      <c r="AJ8438">
        <v>40</v>
      </c>
      <c r="AK8438">
        <v>31.223569999999999</v>
      </c>
    </row>
    <row r="8439" spans="1:37" x14ac:dyDescent="0.3">
      <c r="A8439">
        <v>8438</v>
      </c>
      <c r="B8439">
        <v>0</v>
      </c>
      <c r="C8439">
        <v>39.15</v>
      </c>
      <c r="D8439">
        <v>7.75</v>
      </c>
      <c r="E8439" t="s">
        <v>12599</v>
      </c>
      <c r="F8439" t="s">
        <v>12600</v>
      </c>
      <c r="G8439" t="s">
        <v>37</v>
      </c>
      <c r="H8439">
        <v>1987</v>
      </c>
      <c r="I8439">
        <v>13.87635</v>
      </c>
      <c r="J8439">
        <v>12.90574</v>
      </c>
      <c r="K8439">
        <v>73</v>
      </c>
      <c r="L8439">
        <v>8.6728170000000002</v>
      </c>
      <c r="M8439">
        <v>22.11148</v>
      </c>
      <c r="N8439">
        <v>4.5942610000000004</v>
      </c>
      <c r="O8439">
        <v>17.517219999999998</v>
      </c>
      <c r="P8439">
        <v>13.37635</v>
      </c>
      <c r="Q8439">
        <v>12.819649999999999</v>
      </c>
      <c r="R8439">
        <v>15.105740000000001</v>
      </c>
      <c r="S8439">
        <v>12.819649999999999</v>
      </c>
      <c r="T8439">
        <v>1148.845</v>
      </c>
      <c r="U8439">
        <v>194.70609999999999</v>
      </c>
      <c r="V8439">
        <v>10</v>
      </c>
      <c r="W8439">
        <v>61</v>
      </c>
      <c r="X8439">
        <v>527.70609999999999</v>
      </c>
      <c r="Y8439">
        <v>65</v>
      </c>
      <c r="Z8439">
        <v>315</v>
      </c>
      <c r="AA8439">
        <v>65</v>
      </c>
      <c r="AB8439">
        <v>6.7394400000000001</v>
      </c>
      <c r="AC8439">
        <v>9.8796560000000005E-2</v>
      </c>
      <c r="AD8439">
        <v>2.3227679999999999</v>
      </c>
      <c r="AE8439">
        <v>0.71573019999999998</v>
      </c>
      <c r="AF8439">
        <v>2508.3429999999998</v>
      </c>
      <c r="AG8439">
        <f>IFERROR(AH8439*0.1, "N/A")</f>
        <v>5.9786090000000005</v>
      </c>
      <c r="AH8439">
        <v>59.786090000000002</v>
      </c>
      <c r="AI8439">
        <v>92.50291</v>
      </c>
      <c r="AJ8439">
        <v>38.80348</v>
      </c>
      <c r="AK8439">
        <v>31.606960000000001</v>
      </c>
    </row>
    <row r="8440" spans="1:37" x14ac:dyDescent="0.3">
      <c r="A8440">
        <v>8439</v>
      </c>
      <c r="B8440">
        <v>1</v>
      </c>
      <c r="C8440">
        <v>37.366700000000002</v>
      </c>
      <c r="D8440">
        <v>7.8333000000000004</v>
      </c>
      <c r="E8440" t="s">
        <v>12601</v>
      </c>
      <c r="F8440" t="s">
        <v>12602</v>
      </c>
      <c r="G8440" t="s">
        <v>37</v>
      </c>
      <c r="H8440">
        <v>1987</v>
      </c>
      <c r="I8440">
        <v>19.668230000000001</v>
      </c>
      <c r="J8440">
        <v>15.6</v>
      </c>
      <c r="K8440">
        <v>73</v>
      </c>
      <c r="L8440">
        <v>10.0037</v>
      </c>
      <c r="M8440">
        <v>29.976389999999999</v>
      </c>
      <c r="N8440">
        <v>8.6857640000000007</v>
      </c>
      <c r="O8440">
        <v>21.290620000000001</v>
      </c>
      <c r="P8440">
        <v>19.14462</v>
      </c>
      <c r="Q8440">
        <v>18.826910000000002</v>
      </c>
      <c r="R8440">
        <v>21.027080000000002</v>
      </c>
      <c r="S8440">
        <v>18.676390000000001</v>
      </c>
      <c r="T8440">
        <v>1358.194</v>
      </c>
      <c r="U8440">
        <v>243.6823</v>
      </c>
      <c r="V8440">
        <v>17</v>
      </c>
      <c r="W8440">
        <v>70</v>
      </c>
      <c r="X8440">
        <v>675.39760000000001</v>
      </c>
      <c r="Y8440">
        <v>70.763890000000004</v>
      </c>
      <c r="Z8440">
        <v>221.82470000000001</v>
      </c>
      <c r="AA8440">
        <v>117.3507</v>
      </c>
      <c r="AB8440">
        <v>4.911651</v>
      </c>
      <c r="AC8440">
        <v>34.072049999999997</v>
      </c>
      <c r="AD8440">
        <v>6.4504739999999998</v>
      </c>
      <c r="AE8440">
        <v>0.42457450000000002</v>
      </c>
      <c r="AF8440">
        <v>1715.8420000000001</v>
      </c>
      <c r="AG8440">
        <f>IFERROR(AH8440*0.1, "N/A")</f>
        <v>5.8824649999999998</v>
      </c>
      <c r="AH8440">
        <v>58.824649999999998</v>
      </c>
      <c r="AI8440">
        <v>87.417869999999994</v>
      </c>
      <c r="AJ8440">
        <v>45</v>
      </c>
      <c r="AK8440">
        <v>27.824649999999998</v>
      </c>
    </row>
    <row r="8441" spans="1:37" x14ac:dyDescent="0.3">
      <c r="A8441">
        <v>8440</v>
      </c>
      <c r="B8441">
        <v>35.9</v>
      </c>
      <c r="C8441">
        <v>38.835999999999999</v>
      </c>
      <c r="D8441">
        <v>7.8447300000000002</v>
      </c>
      <c r="E8441" t="s">
        <v>12603</v>
      </c>
      <c r="F8441" t="s">
        <v>12604</v>
      </c>
      <c r="G8441" t="s">
        <v>37</v>
      </c>
      <c r="H8441">
        <v>1987</v>
      </c>
      <c r="I8441">
        <v>19.5</v>
      </c>
      <c r="J8441">
        <v>13.7</v>
      </c>
      <c r="K8441">
        <v>74</v>
      </c>
      <c r="L8441">
        <v>8.49</v>
      </c>
      <c r="M8441">
        <v>28.2</v>
      </c>
      <c r="N8441">
        <v>9.6999999999999993</v>
      </c>
      <c r="O8441">
        <v>18.5</v>
      </c>
      <c r="P8441">
        <v>19.399999999999999</v>
      </c>
      <c r="Q8441">
        <v>18.3</v>
      </c>
      <c r="R8441">
        <v>20.5</v>
      </c>
      <c r="S8441">
        <v>18.3</v>
      </c>
      <c r="T8441">
        <v>741</v>
      </c>
      <c r="U8441">
        <v>137</v>
      </c>
      <c r="V8441">
        <v>5</v>
      </c>
      <c r="W8441">
        <v>64</v>
      </c>
      <c r="X8441">
        <v>352</v>
      </c>
      <c r="Y8441">
        <v>38</v>
      </c>
      <c r="Z8441">
        <v>219</v>
      </c>
      <c r="AA8441">
        <v>38</v>
      </c>
      <c r="AB8441">
        <v>1.772715</v>
      </c>
      <c r="AC8441">
        <v>5.0784330000000004</v>
      </c>
      <c r="AD8441">
        <v>0.7794295</v>
      </c>
      <c r="AE8441">
        <v>0.69082390000000005</v>
      </c>
      <c r="AF8441">
        <v>1639.2829999999999</v>
      </c>
      <c r="AG8441">
        <f>IFERROR(AH8441*0.1, "N/A")</f>
        <v>7.9697750000000003</v>
      </c>
      <c r="AH8441">
        <v>79.697749999999999</v>
      </c>
      <c r="AI8441">
        <v>236.90799999999999</v>
      </c>
      <c r="AJ8441">
        <v>34.395510000000002</v>
      </c>
      <c r="AK8441">
        <v>37.302250000000001</v>
      </c>
    </row>
    <row r="8442" spans="1:37" x14ac:dyDescent="0.3">
      <c r="A8442">
        <v>8441</v>
      </c>
      <c r="B8442">
        <v>17.3</v>
      </c>
      <c r="C8442">
        <v>38.803100000000001</v>
      </c>
      <c r="D8442">
        <v>7.8480699999999999</v>
      </c>
      <c r="E8442" t="s">
        <v>12605</v>
      </c>
      <c r="F8442" t="s">
        <v>12606</v>
      </c>
      <c r="G8442" t="s">
        <v>37</v>
      </c>
      <c r="H8442">
        <v>1987</v>
      </c>
      <c r="I8442">
        <v>19.3</v>
      </c>
      <c r="J8442">
        <v>13.7</v>
      </c>
      <c r="K8442">
        <v>74</v>
      </c>
      <c r="L8442">
        <v>8.31</v>
      </c>
      <c r="M8442">
        <v>28</v>
      </c>
      <c r="N8442">
        <v>9.5</v>
      </c>
      <c r="O8442">
        <v>18.5</v>
      </c>
      <c r="P8442">
        <v>19.2</v>
      </c>
      <c r="Q8442">
        <v>18.2</v>
      </c>
      <c r="R8442">
        <v>20.3</v>
      </c>
      <c r="S8442">
        <v>18.2</v>
      </c>
      <c r="T8442">
        <v>756</v>
      </c>
      <c r="U8442">
        <v>138</v>
      </c>
      <c r="V8442">
        <v>5</v>
      </c>
      <c r="W8442">
        <v>63</v>
      </c>
      <c r="X8442">
        <v>356</v>
      </c>
      <c r="Y8442">
        <v>39</v>
      </c>
      <c r="Z8442">
        <v>201</v>
      </c>
      <c r="AA8442">
        <v>39</v>
      </c>
      <c r="AB8442">
        <v>3.6045069999999999</v>
      </c>
      <c r="AC8442">
        <v>3.2876040000000002E-2</v>
      </c>
      <c r="AD8442">
        <v>1.8943810000000001</v>
      </c>
      <c r="AE8442">
        <v>0.66781679999999999</v>
      </c>
      <c r="AF8442">
        <v>1657.854</v>
      </c>
      <c r="AG8442">
        <f>IFERROR(AH8442*0.1, "N/A")</f>
        <v>7.4</v>
      </c>
      <c r="AH8442">
        <v>74</v>
      </c>
      <c r="AI8442">
        <v>26.07263</v>
      </c>
      <c r="AJ8442">
        <v>35</v>
      </c>
      <c r="AK8442">
        <v>35</v>
      </c>
    </row>
    <row r="8443" spans="1:37" x14ac:dyDescent="0.3">
      <c r="A8443">
        <v>8442</v>
      </c>
      <c r="B8443">
        <v>34</v>
      </c>
      <c r="C8443">
        <v>36.65</v>
      </c>
      <c r="D8443">
        <v>7.85</v>
      </c>
      <c r="E8443" t="s">
        <v>12607</v>
      </c>
      <c r="F8443" t="s">
        <v>12608</v>
      </c>
      <c r="G8443" t="s">
        <v>37</v>
      </c>
      <c r="H8443">
        <v>1987</v>
      </c>
      <c r="I8443">
        <v>19.9436</v>
      </c>
      <c r="J8443">
        <v>15.7</v>
      </c>
      <c r="K8443">
        <v>76.612459999999999</v>
      </c>
      <c r="L8443">
        <v>10.33339</v>
      </c>
      <c r="M8443">
        <v>29.947399999999998</v>
      </c>
      <c r="N8443">
        <v>9.5916960000000007</v>
      </c>
      <c r="O8443">
        <v>20.355709999999998</v>
      </c>
      <c r="P8443">
        <v>19.5474</v>
      </c>
      <c r="Q8443">
        <v>19.587890000000002</v>
      </c>
      <c r="R8443">
        <v>21.4436</v>
      </c>
      <c r="S8443">
        <v>18.804839999999999</v>
      </c>
      <c r="T8443">
        <v>1714.242</v>
      </c>
      <c r="U8443">
        <v>282.48790000000002</v>
      </c>
      <c r="V8443">
        <v>29</v>
      </c>
      <c r="W8443">
        <v>62.34948</v>
      </c>
      <c r="X8443">
        <v>801.33910000000003</v>
      </c>
      <c r="Y8443">
        <v>105.7439</v>
      </c>
      <c r="Z8443">
        <v>402.5779</v>
      </c>
      <c r="AA8443">
        <v>222.96190000000001</v>
      </c>
      <c r="AB8443">
        <v>45.088200000000001</v>
      </c>
      <c r="AC8443">
        <v>9.2166339999999996E-3</v>
      </c>
      <c r="AD8443">
        <v>9.6943739999999998</v>
      </c>
      <c r="AE8443">
        <v>0.63204930000000004</v>
      </c>
      <c r="AF8443">
        <v>1596.05</v>
      </c>
      <c r="AG8443">
        <f>IFERROR(AH8443*0.1, "N/A")</f>
        <v>5.4295850000000003</v>
      </c>
      <c r="AH8443">
        <v>54.295850000000002</v>
      </c>
      <c r="AI8443">
        <v>102.14400000000001</v>
      </c>
      <c r="AJ8443">
        <v>44.615920000000003</v>
      </c>
      <c r="AK8443">
        <v>29.088239999999999</v>
      </c>
    </row>
    <row r="8444" spans="1:37" x14ac:dyDescent="0.3">
      <c r="A8444">
        <v>8443</v>
      </c>
      <c r="B8444">
        <v>24.1</v>
      </c>
      <c r="C8444">
        <v>38.776200000000003</v>
      </c>
      <c r="D8444">
        <v>7.8748800000000001</v>
      </c>
      <c r="E8444" t="s">
        <v>12609</v>
      </c>
      <c r="F8444" t="s">
        <v>12610</v>
      </c>
      <c r="G8444" t="s">
        <v>37</v>
      </c>
      <c r="H8444">
        <v>1987</v>
      </c>
      <c r="I8444">
        <v>19.315619999999999</v>
      </c>
      <c r="J8444">
        <v>13.7</v>
      </c>
      <c r="K8444">
        <v>74</v>
      </c>
      <c r="L8444">
        <v>7.9593749999999996</v>
      </c>
      <c r="M8444">
        <v>28.015630000000002</v>
      </c>
      <c r="N8444">
        <v>9.6156249999999996</v>
      </c>
      <c r="O8444">
        <v>18.399999999999999</v>
      </c>
      <c r="P8444">
        <v>19.1875</v>
      </c>
      <c r="Q8444">
        <v>18.215620000000001</v>
      </c>
      <c r="R8444">
        <v>20.215620000000001</v>
      </c>
      <c r="S8444">
        <v>18.215620000000001</v>
      </c>
      <c r="T8444">
        <v>776.9375</v>
      </c>
      <c r="U8444">
        <v>140.28120000000001</v>
      </c>
      <c r="V8444">
        <v>5.71875</v>
      </c>
      <c r="W8444">
        <v>63</v>
      </c>
      <c r="X8444">
        <v>362.6875</v>
      </c>
      <c r="Y8444">
        <v>41</v>
      </c>
      <c r="Z8444">
        <v>224.21879999999999</v>
      </c>
      <c r="AA8444">
        <v>41</v>
      </c>
      <c r="AB8444">
        <v>85.70729</v>
      </c>
      <c r="AC8444">
        <v>1.64084E-2</v>
      </c>
      <c r="AD8444">
        <v>7.2241540000000004</v>
      </c>
      <c r="AE8444">
        <v>0.48027740000000002</v>
      </c>
      <c r="AF8444">
        <v>1725.05</v>
      </c>
      <c r="AG8444">
        <f>IFERROR(AH8444*0.1, "N/A")</f>
        <v>7.2</v>
      </c>
      <c r="AH8444">
        <v>72</v>
      </c>
      <c r="AI8444">
        <v>50.43918</v>
      </c>
      <c r="AJ8444">
        <v>32.12153</v>
      </c>
      <c r="AK8444">
        <v>39.12153</v>
      </c>
    </row>
    <row r="8445" spans="1:37" x14ac:dyDescent="0.3">
      <c r="A8445">
        <v>8444</v>
      </c>
      <c r="B8445">
        <v>60.2</v>
      </c>
      <c r="C8445">
        <v>38.718899999999998</v>
      </c>
      <c r="D8445">
        <v>7.8753000000000002</v>
      </c>
      <c r="E8445" t="s">
        <v>12611</v>
      </c>
      <c r="F8445" t="s">
        <v>12612</v>
      </c>
      <c r="G8445" t="s">
        <v>37</v>
      </c>
      <c r="H8445">
        <v>2007</v>
      </c>
      <c r="I8445">
        <v>19.399999999999999</v>
      </c>
      <c r="J8445">
        <v>13.7</v>
      </c>
      <c r="K8445">
        <v>74</v>
      </c>
      <c r="L8445">
        <v>7.7514760000000003</v>
      </c>
      <c r="M8445">
        <v>28</v>
      </c>
      <c r="N8445">
        <v>9.6999999999999993</v>
      </c>
      <c r="O8445">
        <v>18.3</v>
      </c>
      <c r="P8445">
        <v>19.2</v>
      </c>
      <c r="Q8445">
        <v>18.3</v>
      </c>
      <c r="R8445">
        <v>20.2</v>
      </c>
      <c r="S8445">
        <v>18.3</v>
      </c>
      <c r="T8445">
        <v>801.79340000000002</v>
      </c>
      <c r="U8445">
        <v>142</v>
      </c>
      <c r="V8445">
        <v>5</v>
      </c>
      <c r="W8445">
        <v>62</v>
      </c>
      <c r="X8445">
        <v>368.97050000000002</v>
      </c>
      <c r="Y8445">
        <v>42.970489999999998</v>
      </c>
      <c r="Z8445">
        <v>222.8819</v>
      </c>
      <c r="AA8445">
        <v>42.970489999999998</v>
      </c>
      <c r="AB8445">
        <v>9.8314339999999998</v>
      </c>
      <c r="AC8445">
        <v>1.5217430000000001E-2</v>
      </c>
      <c r="AD8445">
        <v>1.5657220000000001</v>
      </c>
      <c r="AE8445">
        <v>0.69051459999999998</v>
      </c>
      <c r="AF8445">
        <v>1657.3130000000001</v>
      </c>
      <c r="AG8445">
        <f>IFERROR(AH8445*0.1, "N/A")</f>
        <v>7.5</v>
      </c>
      <c r="AH8445">
        <v>75</v>
      </c>
      <c r="AI8445">
        <v>269.28859999999997</v>
      </c>
      <c r="AJ8445">
        <v>33</v>
      </c>
      <c r="AK8445">
        <v>35.947920000000003</v>
      </c>
    </row>
    <row r="8446" spans="1:37" x14ac:dyDescent="0.3">
      <c r="A8446">
        <v>8445</v>
      </c>
      <c r="B8446">
        <v>41.3</v>
      </c>
      <c r="C8446">
        <v>38.755899999999997</v>
      </c>
      <c r="D8446">
        <v>7.8862399999999999</v>
      </c>
      <c r="E8446" t="s">
        <v>12613</v>
      </c>
      <c r="F8446" t="s">
        <v>12614</v>
      </c>
      <c r="G8446" t="s">
        <v>37</v>
      </c>
      <c r="H8446">
        <v>1987</v>
      </c>
      <c r="I8446">
        <v>19.399999999999999</v>
      </c>
      <c r="J8446">
        <v>13.7</v>
      </c>
      <c r="K8446">
        <v>74</v>
      </c>
      <c r="L8446">
        <v>8.16</v>
      </c>
      <c r="M8446">
        <v>28</v>
      </c>
      <c r="N8446">
        <v>9.6999999999999993</v>
      </c>
      <c r="O8446">
        <v>18.3</v>
      </c>
      <c r="P8446">
        <v>19.2</v>
      </c>
      <c r="Q8446">
        <v>18.3</v>
      </c>
      <c r="R8446">
        <v>20.3</v>
      </c>
      <c r="S8446">
        <v>18.3</v>
      </c>
      <c r="T8446">
        <v>792</v>
      </c>
      <c r="U8446">
        <v>142</v>
      </c>
      <c r="V8446">
        <v>6</v>
      </c>
      <c r="W8446">
        <v>62</v>
      </c>
      <c r="X8446">
        <v>367</v>
      </c>
      <c r="Y8446">
        <v>42</v>
      </c>
      <c r="Z8446">
        <v>217</v>
      </c>
      <c r="AA8446">
        <v>42</v>
      </c>
      <c r="AB8446">
        <v>11.85642</v>
      </c>
      <c r="AC8446">
        <v>0.2893039</v>
      </c>
      <c r="AD8446">
        <v>3.550935</v>
      </c>
      <c r="AE8446">
        <v>0.55029890000000004</v>
      </c>
      <c r="AF8446">
        <v>1658.616</v>
      </c>
      <c r="AG8446">
        <f>IFERROR(AH8446*0.1, "N/A")</f>
        <v>7.0732640000000009</v>
      </c>
      <c r="AH8446">
        <v>70.732640000000004</v>
      </c>
      <c r="AI8446">
        <v>318.12650000000002</v>
      </c>
      <c r="AJ8446">
        <v>36.810760000000002</v>
      </c>
      <c r="AK8446">
        <v>37.78125</v>
      </c>
    </row>
    <row r="8447" spans="1:37" x14ac:dyDescent="0.3">
      <c r="A8447">
        <v>8446</v>
      </c>
      <c r="B8447">
        <v>12.5</v>
      </c>
      <c r="C8447">
        <v>38.725499999999997</v>
      </c>
      <c r="D8447">
        <v>7.8897700000000004</v>
      </c>
      <c r="E8447" t="s">
        <v>12615</v>
      </c>
      <c r="F8447" t="s">
        <v>12616</v>
      </c>
      <c r="G8447" t="s">
        <v>37</v>
      </c>
      <c r="H8447">
        <v>1987</v>
      </c>
      <c r="I8447">
        <v>19.399999999999999</v>
      </c>
      <c r="J8447">
        <v>13.7</v>
      </c>
      <c r="K8447">
        <v>74</v>
      </c>
      <c r="L8447">
        <v>7.85</v>
      </c>
      <c r="M8447">
        <v>28</v>
      </c>
      <c r="N8447">
        <v>9.6999999999999993</v>
      </c>
      <c r="O8447">
        <v>18.3</v>
      </c>
      <c r="P8447">
        <v>19.2</v>
      </c>
      <c r="Q8447">
        <v>18.399999999999999</v>
      </c>
      <c r="R8447">
        <v>20.3</v>
      </c>
      <c r="S8447">
        <v>18.399999999999999</v>
      </c>
      <c r="T8447">
        <v>802</v>
      </c>
      <c r="U8447">
        <v>143</v>
      </c>
      <c r="V8447">
        <v>6</v>
      </c>
      <c r="W8447">
        <v>62</v>
      </c>
      <c r="X8447">
        <v>370</v>
      </c>
      <c r="Y8447">
        <v>43</v>
      </c>
      <c r="Z8447">
        <v>222</v>
      </c>
      <c r="AA8447">
        <v>43</v>
      </c>
      <c r="AB8447">
        <v>10.423220000000001</v>
      </c>
      <c r="AC8447">
        <v>1.513186E-2</v>
      </c>
      <c r="AD8447">
        <v>0.9365964</v>
      </c>
      <c r="AE8447">
        <v>0.68043149999999997</v>
      </c>
      <c r="AF8447">
        <v>1647.86</v>
      </c>
      <c r="AG8447">
        <f>IFERROR(AH8447*0.1, "N/A")</f>
        <v>7.1013859999999998</v>
      </c>
      <c r="AH8447">
        <v>71.013859999999994</v>
      </c>
      <c r="AI8447">
        <v>159.1293</v>
      </c>
      <c r="AJ8447">
        <v>33.006929999999997</v>
      </c>
      <c r="AK8447">
        <v>38.013860000000001</v>
      </c>
    </row>
    <row r="8448" spans="1:37" x14ac:dyDescent="0.3">
      <c r="A8448">
        <v>8447</v>
      </c>
      <c r="B8448">
        <v>0</v>
      </c>
      <c r="C8448">
        <v>34.538600000000002</v>
      </c>
      <c r="D8448">
        <v>7.8968100000000003</v>
      </c>
      <c r="E8448" t="s">
        <v>12617</v>
      </c>
      <c r="F8448" t="s">
        <v>12618</v>
      </c>
      <c r="G8448" t="s">
        <v>37</v>
      </c>
      <c r="H8448">
        <v>1987</v>
      </c>
      <c r="I8448">
        <v>26.4</v>
      </c>
      <c r="J8448">
        <v>15.2</v>
      </c>
      <c r="K8448">
        <v>73</v>
      </c>
      <c r="L8448">
        <v>11.89</v>
      </c>
      <c r="M8448">
        <v>37.9</v>
      </c>
      <c r="N8448">
        <v>17.2</v>
      </c>
      <c r="O8448">
        <v>20.7</v>
      </c>
      <c r="P8448">
        <v>25.6</v>
      </c>
      <c r="Q8448">
        <v>26.2</v>
      </c>
      <c r="R8448">
        <v>28.3</v>
      </c>
      <c r="S8448">
        <v>25.4</v>
      </c>
      <c r="T8448">
        <v>1285</v>
      </c>
      <c r="U8448">
        <v>273</v>
      </c>
      <c r="V8448">
        <v>6</v>
      </c>
      <c r="W8448">
        <v>77</v>
      </c>
      <c r="X8448">
        <v>669</v>
      </c>
      <c r="Y8448">
        <v>35</v>
      </c>
      <c r="Z8448">
        <v>145</v>
      </c>
      <c r="AA8448">
        <v>358</v>
      </c>
      <c r="AB8448">
        <v>4.5086830000000004</v>
      </c>
      <c r="AC8448">
        <v>2.4611270000000001E-2</v>
      </c>
      <c r="AD8448">
        <v>1.831626</v>
      </c>
      <c r="AE8448">
        <v>0.10283349999999999</v>
      </c>
      <c r="AF8448">
        <v>469.03649999999999</v>
      </c>
      <c r="AG8448">
        <f>IFERROR(AH8448*0.1, "N/A")</f>
        <v>6.5</v>
      </c>
      <c r="AH8448">
        <v>65</v>
      </c>
      <c r="AI8448">
        <v>164.9949</v>
      </c>
      <c r="AJ8448">
        <v>34.578119999999998</v>
      </c>
      <c r="AK8448">
        <v>35.704859999999996</v>
      </c>
    </row>
    <row r="8449" spans="1:37" x14ac:dyDescent="0.3">
      <c r="A8449">
        <v>8448</v>
      </c>
      <c r="B8449">
        <v>15.5</v>
      </c>
      <c r="C8449">
        <v>38.726500000000001</v>
      </c>
      <c r="D8449">
        <v>7.9057500000000003</v>
      </c>
      <c r="E8449" t="s">
        <v>12619</v>
      </c>
      <c r="F8449" t="s">
        <v>12620</v>
      </c>
      <c r="G8449" t="s">
        <v>37</v>
      </c>
      <c r="H8449">
        <v>1987</v>
      </c>
      <c r="I8449">
        <v>19.399999999999999</v>
      </c>
      <c r="J8449">
        <v>13.7</v>
      </c>
      <c r="K8449">
        <v>74</v>
      </c>
      <c r="L8449">
        <v>8.06</v>
      </c>
      <c r="M8449">
        <v>28</v>
      </c>
      <c r="N8449">
        <v>9.6999999999999993</v>
      </c>
      <c r="O8449">
        <v>18.3</v>
      </c>
      <c r="P8449">
        <v>19.2</v>
      </c>
      <c r="Q8449">
        <v>18.3</v>
      </c>
      <c r="R8449">
        <v>20.3</v>
      </c>
      <c r="S8449">
        <v>18.3</v>
      </c>
      <c r="T8449">
        <v>814</v>
      </c>
      <c r="U8449">
        <v>144</v>
      </c>
      <c r="V8449">
        <v>6</v>
      </c>
      <c r="W8449">
        <v>62</v>
      </c>
      <c r="X8449">
        <v>374</v>
      </c>
      <c r="Y8449">
        <v>43</v>
      </c>
      <c r="Z8449">
        <v>228</v>
      </c>
      <c r="AA8449">
        <v>43</v>
      </c>
      <c r="AB8449">
        <v>0.69098309999999996</v>
      </c>
      <c r="AC8449">
        <v>0.1133279</v>
      </c>
      <c r="AD8449">
        <v>1.1808970000000001</v>
      </c>
      <c r="AE8449">
        <v>0.61349109999999996</v>
      </c>
      <c r="AF8449">
        <v>1645.2829999999999</v>
      </c>
      <c r="AG8449">
        <f>IFERROR(AH8449*0.1, "N/A")</f>
        <v>6.9013910000000003</v>
      </c>
      <c r="AH8449">
        <v>69.013909999999996</v>
      </c>
      <c r="AI8449">
        <v>211.43770000000001</v>
      </c>
      <c r="AJ8449">
        <v>31.128699999999998</v>
      </c>
      <c r="AK8449">
        <v>40.937390000000001</v>
      </c>
    </row>
    <row r="8450" spans="1:37" x14ac:dyDescent="0.3">
      <c r="A8450">
        <v>8449</v>
      </c>
      <c r="B8450">
        <v>43</v>
      </c>
      <c r="C8450">
        <v>38.868299999999998</v>
      </c>
      <c r="D8450">
        <v>7.9378099999999998</v>
      </c>
      <c r="E8450" t="s">
        <v>12621</v>
      </c>
      <c r="F8450" t="s">
        <v>12622</v>
      </c>
      <c r="G8450" t="s">
        <v>37</v>
      </c>
      <c r="H8450">
        <v>1987</v>
      </c>
      <c r="I8450">
        <v>19.5</v>
      </c>
      <c r="J8450">
        <v>13.8</v>
      </c>
      <c r="K8450">
        <v>74</v>
      </c>
      <c r="L8450">
        <v>8.6</v>
      </c>
      <c r="M8450">
        <v>28.2</v>
      </c>
      <c r="N8450">
        <v>9.6999999999999993</v>
      </c>
      <c r="O8450">
        <v>18.5</v>
      </c>
      <c r="P8450">
        <v>19.5</v>
      </c>
      <c r="Q8450">
        <v>18.3</v>
      </c>
      <c r="R8450">
        <v>20.5</v>
      </c>
      <c r="S8450">
        <v>18.3</v>
      </c>
      <c r="T8450">
        <v>764</v>
      </c>
      <c r="U8450">
        <v>143</v>
      </c>
      <c r="V8450">
        <v>6</v>
      </c>
      <c r="W8450">
        <v>66</v>
      </c>
      <c r="X8450">
        <v>368</v>
      </c>
      <c r="Y8450">
        <v>37</v>
      </c>
      <c r="Z8450">
        <v>221</v>
      </c>
      <c r="AA8450">
        <v>37</v>
      </c>
      <c r="AB8450">
        <v>33.488909999999997</v>
      </c>
      <c r="AC8450">
        <v>3.7263049999999999E-2</v>
      </c>
      <c r="AD8450">
        <v>14.85765</v>
      </c>
      <c r="AE8450">
        <v>0.28656480000000001</v>
      </c>
      <c r="AF8450">
        <v>1662.181</v>
      </c>
      <c r="AG8450">
        <f>IFERROR(AH8450*0.1, "N/A")</f>
        <v>6.5055940000000012</v>
      </c>
      <c r="AH8450">
        <v>65.055940000000007</v>
      </c>
      <c r="AI8450">
        <v>116.1604</v>
      </c>
      <c r="AJ8450">
        <v>34</v>
      </c>
      <c r="AK8450">
        <v>40</v>
      </c>
    </row>
    <row r="8451" spans="1:37" x14ac:dyDescent="0.3">
      <c r="A8451">
        <v>8450</v>
      </c>
      <c r="B8451">
        <v>48.4</v>
      </c>
      <c r="C8451">
        <v>38.901400000000002</v>
      </c>
      <c r="D8451">
        <v>7.9588799999999997</v>
      </c>
      <c r="E8451" t="s">
        <v>12623</v>
      </c>
      <c r="F8451" t="s">
        <v>12624</v>
      </c>
      <c r="G8451" t="s">
        <v>37</v>
      </c>
      <c r="H8451">
        <v>1987</v>
      </c>
      <c r="I8451">
        <v>19.494779999999999</v>
      </c>
      <c r="J8451">
        <v>13.898260000000001</v>
      </c>
      <c r="K8451">
        <v>73</v>
      </c>
      <c r="L8451">
        <v>8.8596520000000005</v>
      </c>
      <c r="M8451">
        <v>28.294779999999999</v>
      </c>
      <c r="N8451">
        <v>9.4965220000000006</v>
      </c>
      <c r="O8451">
        <v>18.798259999999999</v>
      </c>
      <c r="P8451">
        <v>19.394780000000001</v>
      </c>
      <c r="Q8451">
        <v>18.194780000000002</v>
      </c>
      <c r="R8451">
        <v>20.494779999999999</v>
      </c>
      <c r="S8451">
        <v>18.194780000000002</v>
      </c>
      <c r="T8451">
        <v>764.13909999999998</v>
      </c>
      <c r="U8451">
        <v>144.98259999999999</v>
      </c>
      <c r="V8451">
        <v>6</v>
      </c>
      <c r="W8451">
        <v>66.982609999999994</v>
      </c>
      <c r="X8451">
        <v>374</v>
      </c>
      <c r="Y8451">
        <v>36.017389999999999</v>
      </c>
      <c r="Z8451">
        <v>195.06960000000001</v>
      </c>
      <c r="AA8451">
        <v>36.017389999999999</v>
      </c>
      <c r="AB8451">
        <v>12.69218</v>
      </c>
      <c r="AC8451">
        <v>5.1244909999999998E-2</v>
      </c>
      <c r="AD8451">
        <v>4.8911049999999996</v>
      </c>
      <c r="AE8451">
        <v>0.41323179999999998</v>
      </c>
      <c r="AF8451">
        <v>1655.616</v>
      </c>
      <c r="AG8451">
        <f>IFERROR(AH8451*0.1, "N/A")</f>
        <v>7</v>
      </c>
      <c r="AH8451">
        <v>70</v>
      </c>
      <c r="AI8451">
        <v>288.62479999999999</v>
      </c>
      <c r="AJ8451">
        <v>36</v>
      </c>
      <c r="AK8451">
        <v>34</v>
      </c>
    </row>
    <row r="8452" spans="1:37" x14ac:dyDescent="0.3">
      <c r="A8452">
        <v>8451</v>
      </c>
      <c r="B8452">
        <v>54.4</v>
      </c>
      <c r="C8452">
        <v>38.886899999999997</v>
      </c>
      <c r="D8452">
        <v>7.95967</v>
      </c>
      <c r="E8452" t="s">
        <v>12625</v>
      </c>
      <c r="F8452" t="s">
        <v>12626</v>
      </c>
      <c r="G8452" t="s">
        <v>37</v>
      </c>
      <c r="H8452">
        <v>1987</v>
      </c>
      <c r="I8452">
        <v>19.600000000000001</v>
      </c>
      <c r="J8452">
        <v>13.8</v>
      </c>
      <c r="K8452">
        <v>73</v>
      </c>
      <c r="L8452">
        <v>9.02</v>
      </c>
      <c r="M8452">
        <v>28.4</v>
      </c>
      <c r="N8452">
        <v>9.6999999999999993</v>
      </c>
      <c r="O8452">
        <v>18.7</v>
      </c>
      <c r="P8452">
        <v>19.5</v>
      </c>
      <c r="Q8452">
        <v>18.3</v>
      </c>
      <c r="R8452">
        <v>20.6</v>
      </c>
      <c r="S8452">
        <v>18.3</v>
      </c>
      <c r="T8452">
        <v>766</v>
      </c>
      <c r="U8452">
        <v>145</v>
      </c>
      <c r="V8452">
        <v>6</v>
      </c>
      <c r="W8452">
        <v>67</v>
      </c>
      <c r="X8452">
        <v>373</v>
      </c>
      <c r="Y8452">
        <v>37</v>
      </c>
      <c r="Z8452">
        <v>197</v>
      </c>
      <c r="AA8452">
        <v>37</v>
      </c>
      <c r="AB8452">
        <v>11.66133</v>
      </c>
      <c r="AC8452">
        <v>8.4671360000000001E-3</v>
      </c>
      <c r="AD8452">
        <v>6.0418099999999999</v>
      </c>
      <c r="AE8452">
        <v>0.25937739999999998</v>
      </c>
      <c r="AF8452">
        <v>1666.22</v>
      </c>
      <c r="AG8452">
        <f>IFERROR(AH8452*0.1, "N/A")</f>
        <v>6.4340280000000014</v>
      </c>
      <c r="AH8452">
        <v>64.340280000000007</v>
      </c>
      <c r="AI8452">
        <v>138.12530000000001</v>
      </c>
      <c r="AJ8452">
        <v>33.814239999999998</v>
      </c>
      <c r="AK8452">
        <v>38.854170000000003</v>
      </c>
    </row>
    <row r="8453" spans="1:37" x14ac:dyDescent="0.3">
      <c r="A8453">
        <v>8452</v>
      </c>
      <c r="B8453">
        <v>47</v>
      </c>
      <c r="C8453">
        <v>38.909599999999998</v>
      </c>
      <c r="D8453">
        <v>7.9615499999999999</v>
      </c>
      <c r="E8453" t="s">
        <v>12627</v>
      </c>
      <c r="F8453" t="s">
        <v>12628</v>
      </c>
      <c r="G8453" t="s">
        <v>37</v>
      </c>
      <c r="H8453">
        <v>1987</v>
      </c>
      <c r="I8453">
        <v>19.5</v>
      </c>
      <c r="J8453">
        <v>13.8</v>
      </c>
      <c r="K8453">
        <v>73</v>
      </c>
      <c r="L8453">
        <v>8.81</v>
      </c>
      <c r="M8453">
        <v>28.3</v>
      </c>
      <c r="N8453">
        <v>9.6</v>
      </c>
      <c r="O8453">
        <v>18.7</v>
      </c>
      <c r="P8453">
        <v>19.399999999999999</v>
      </c>
      <c r="Q8453">
        <v>18.2</v>
      </c>
      <c r="R8453">
        <v>20.399999999999999</v>
      </c>
      <c r="S8453">
        <v>18.2</v>
      </c>
      <c r="T8453">
        <v>764</v>
      </c>
      <c r="U8453">
        <v>145</v>
      </c>
      <c r="V8453">
        <v>6</v>
      </c>
      <c r="W8453">
        <v>67</v>
      </c>
      <c r="X8453">
        <v>374</v>
      </c>
      <c r="Y8453">
        <v>36</v>
      </c>
      <c r="Z8453">
        <v>195</v>
      </c>
      <c r="AA8453">
        <v>36</v>
      </c>
      <c r="AB8453">
        <v>45.004019999999997</v>
      </c>
      <c r="AC8453">
        <v>2.3796250000000001E-2</v>
      </c>
      <c r="AD8453">
        <v>4.5808689999999999</v>
      </c>
      <c r="AE8453">
        <v>0.43593009999999999</v>
      </c>
      <c r="AF8453">
        <v>1698.3009999999999</v>
      </c>
      <c r="AG8453">
        <f>IFERROR(AH8453*0.1, "N/A")</f>
        <v>7.3332170000000012</v>
      </c>
      <c r="AH8453">
        <v>73.332170000000005</v>
      </c>
      <c r="AI8453">
        <v>8.6550290000000007</v>
      </c>
      <c r="AJ8453">
        <v>32.335650000000001</v>
      </c>
      <c r="AK8453">
        <v>41</v>
      </c>
    </row>
    <row r="8454" spans="1:37" x14ac:dyDescent="0.3">
      <c r="A8454">
        <v>8453</v>
      </c>
      <c r="B8454">
        <v>63.4</v>
      </c>
      <c r="C8454">
        <v>38.907899999999998</v>
      </c>
      <c r="D8454">
        <v>7.9631600000000002</v>
      </c>
      <c r="E8454" t="s">
        <v>12629</v>
      </c>
      <c r="F8454" t="s">
        <v>12630</v>
      </c>
      <c r="G8454" t="s">
        <v>37</v>
      </c>
      <c r="H8454">
        <v>1987</v>
      </c>
      <c r="I8454">
        <v>19.5</v>
      </c>
      <c r="J8454">
        <v>13.9</v>
      </c>
      <c r="K8454">
        <v>73</v>
      </c>
      <c r="L8454">
        <v>8.86</v>
      </c>
      <c r="M8454">
        <v>28.3</v>
      </c>
      <c r="N8454">
        <v>9.5</v>
      </c>
      <c r="O8454">
        <v>18.8</v>
      </c>
      <c r="P8454">
        <v>19.399999999999999</v>
      </c>
      <c r="Q8454">
        <v>18.2</v>
      </c>
      <c r="R8454">
        <v>20.5</v>
      </c>
      <c r="S8454">
        <v>18.2</v>
      </c>
      <c r="T8454">
        <v>764</v>
      </c>
      <c r="U8454">
        <v>145</v>
      </c>
      <c r="V8454">
        <v>6</v>
      </c>
      <c r="W8454">
        <v>67</v>
      </c>
      <c r="X8454">
        <v>374</v>
      </c>
      <c r="Y8454">
        <v>36</v>
      </c>
      <c r="Z8454">
        <v>195</v>
      </c>
      <c r="AA8454">
        <v>36</v>
      </c>
      <c r="AB8454">
        <v>25.917349999999999</v>
      </c>
      <c r="AC8454">
        <v>1.24948E-2</v>
      </c>
      <c r="AD8454">
        <v>6.2800130000000003</v>
      </c>
      <c r="AE8454">
        <v>0.39870450000000002</v>
      </c>
      <c r="AF8454">
        <v>1684.373</v>
      </c>
      <c r="AG8454">
        <f>IFERROR(AH8454*0.1, "N/A")</f>
        <v>7.360417</v>
      </c>
      <c r="AH8454">
        <v>73.604169999999996</v>
      </c>
      <c r="AI8454">
        <v>138.86449999999999</v>
      </c>
      <c r="AJ8454">
        <v>31.80208</v>
      </c>
      <c r="AK8454">
        <v>39.802079999999997</v>
      </c>
    </row>
    <row r="8455" spans="1:37" x14ac:dyDescent="0.3">
      <c r="A8455">
        <v>8454</v>
      </c>
      <c r="B8455">
        <v>2</v>
      </c>
      <c r="C8455">
        <v>37.433300000000003</v>
      </c>
      <c r="D8455">
        <v>7.9667000000000003</v>
      </c>
      <c r="E8455" t="s">
        <v>12631</v>
      </c>
      <c r="F8455" t="s">
        <v>12632</v>
      </c>
      <c r="G8455" t="s">
        <v>37</v>
      </c>
      <c r="H8455">
        <v>1987</v>
      </c>
      <c r="I8455">
        <v>19.276990000000001</v>
      </c>
      <c r="J8455">
        <v>15.412800000000001</v>
      </c>
      <c r="K8455">
        <v>75</v>
      </c>
      <c r="L8455">
        <v>9.5402939999999994</v>
      </c>
      <c r="M8455">
        <v>29.376989999999999</v>
      </c>
      <c r="N8455">
        <v>8.8641869999999994</v>
      </c>
      <c r="O8455">
        <v>20.512799999999999</v>
      </c>
      <c r="P8455">
        <v>18.589790000000001</v>
      </c>
      <c r="Q8455">
        <v>18.76332</v>
      </c>
      <c r="R8455">
        <v>20.589790000000001</v>
      </c>
      <c r="S8455">
        <v>18.28979</v>
      </c>
      <c r="T8455">
        <v>1355.213</v>
      </c>
      <c r="U8455">
        <v>242.81659999999999</v>
      </c>
      <c r="V8455">
        <v>16.871970000000001</v>
      </c>
      <c r="W8455">
        <v>71</v>
      </c>
      <c r="X8455">
        <v>675.20240000000001</v>
      </c>
      <c r="Y8455">
        <v>65.82526</v>
      </c>
      <c r="Z8455">
        <v>221.68860000000001</v>
      </c>
      <c r="AA8455">
        <v>656.59</v>
      </c>
      <c r="AB8455">
        <v>144.01179999999999</v>
      </c>
      <c r="AC8455">
        <v>1.41507E-2</v>
      </c>
      <c r="AD8455">
        <v>6.6176050000000002</v>
      </c>
      <c r="AE8455">
        <v>0.37037179999999997</v>
      </c>
      <c r="AF8455">
        <v>1924.5219999999999</v>
      </c>
      <c r="AG8455">
        <f>IFERROR(AH8455*0.1, "N/A")</f>
        <v>5.6825260000000002</v>
      </c>
      <c r="AH8455">
        <v>56.82526</v>
      </c>
      <c r="AI8455">
        <v>217.6859</v>
      </c>
      <c r="AJ8455">
        <v>42.494810000000001</v>
      </c>
      <c r="AK8455">
        <v>31.505189999999999</v>
      </c>
    </row>
    <row r="8456" spans="1:37" x14ac:dyDescent="0.3">
      <c r="A8456">
        <v>8455</v>
      </c>
      <c r="B8456">
        <v>13</v>
      </c>
      <c r="C8456">
        <v>38.933399999999999</v>
      </c>
      <c r="D8456">
        <v>7.9690200000000004</v>
      </c>
      <c r="E8456" t="s">
        <v>12633</v>
      </c>
      <c r="F8456" t="s">
        <v>12634</v>
      </c>
      <c r="G8456" t="s">
        <v>37</v>
      </c>
      <c r="H8456">
        <v>1987</v>
      </c>
      <c r="I8456">
        <v>19.5</v>
      </c>
      <c r="J8456">
        <v>13.9</v>
      </c>
      <c r="K8456">
        <v>73</v>
      </c>
      <c r="L8456">
        <v>8.8066610000000001</v>
      </c>
      <c r="M8456">
        <v>28.3</v>
      </c>
      <c r="N8456">
        <v>9.5</v>
      </c>
      <c r="O8456">
        <v>18.8</v>
      </c>
      <c r="P8456">
        <v>19.399999999999999</v>
      </c>
      <c r="Q8456">
        <v>18.2</v>
      </c>
      <c r="R8456">
        <v>20.5</v>
      </c>
      <c r="S8456">
        <v>18.2</v>
      </c>
      <c r="T8456">
        <v>760.15049999999997</v>
      </c>
      <c r="U8456">
        <v>145</v>
      </c>
      <c r="V8456">
        <v>6</v>
      </c>
      <c r="W8456">
        <v>67</v>
      </c>
      <c r="X8456">
        <v>375</v>
      </c>
      <c r="Y8456">
        <v>36</v>
      </c>
      <c r="Z8456">
        <v>195.46190000000001</v>
      </c>
      <c r="AA8456">
        <v>36</v>
      </c>
      <c r="AB8456">
        <v>30.001200000000001</v>
      </c>
      <c r="AC8456">
        <v>1.281762E-2</v>
      </c>
      <c r="AD8456">
        <v>1.7725839999999999</v>
      </c>
      <c r="AE8456">
        <v>0.46516299999999999</v>
      </c>
      <c r="AF8456">
        <v>1680.0239999999999</v>
      </c>
      <c r="AG8456">
        <f>IFERROR(AH8456*0.1, "N/A")</f>
        <v>7.4544980000000001</v>
      </c>
      <c r="AH8456">
        <v>74.544979999999995</v>
      </c>
      <c r="AI8456">
        <v>240.572</v>
      </c>
      <c r="AJ8456">
        <v>32.30104</v>
      </c>
      <c r="AK8456">
        <v>38.003459999999997</v>
      </c>
    </row>
    <row r="8457" spans="1:37" x14ac:dyDescent="0.3">
      <c r="A8457">
        <v>8456</v>
      </c>
      <c r="B8457">
        <v>18.5</v>
      </c>
      <c r="C8457">
        <v>38.934600000000003</v>
      </c>
      <c r="D8457">
        <v>7.9827500000000002</v>
      </c>
      <c r="E8457" t="s">
        <v>12635</v>
      </c>
      <c r="F8457" t="s">
        <v>12636</v>
      </c>
      <c r="G8457" t="s">
        <v>37</v>
      </c>
      <c r="H8457">
        <v>1987</v>
      </c>
      <c r="I8457">
        <v>19.510210000000001</v>
      </c>
      <c r="J8457">
        <v>13.9</v>
      </c>
      <c r="K8457">
        <v>73</v>
      </c>
      <c r="L8457">
        <v>9.2359170000000006</v>
      </c>
      <c r="M8457">
        <v>28.4</v>
      </c>
      <c r="N8457">
        <v>9.5102080000000004</v>
      </c>
      <c r="O8457">
        <v>18.889790000000001</v>
      </c>
      <c r="P8457">
        <v>19.410209999999999</v>
      </c>
      <c r="Q8457">
        <v>18.21021</v>
      </c>
      <c r="R8457">
        <v>20.6</v>
      </c>
      <c r="S8457">
        <v>18.21021</v>
      </c>
      <c r="T8457">
        <v>761.89790000000005</v>
      </c>
      <c r="U8457">
        <v>146</v>
      </c>
      <c r="V8457">
        <v>6</v>
      </c>
      <c r="W8457">
        <v>68</v>
      </c>
      <c r="X8457">
        <v>377.10210000000001</v>
      </c>
      <c r="Y8457">
        <v>36</v>
      </c>
      <c r="Z8457">
        <v>191.89789999999999</v>
      </c>
      <c r="AA8457">
        <v>36</v>
      </c>
      <c r="AB8457">
        <v>15.86581</v>
      </c>
      <c r="AC8457">
        <v>1.3212710000000001E-2</v>
      </c>
      <c r="AD8457">
        <v>1.532006</v>
      </c>
      <c r="AE8457">
        <v>0.41106520000000002</v>
      </c>
      <c r="AF8457">
        <v>1666.7819999999999</v>
      </c>
      <c r="AG8457">
        <f>IFERROR(AH8457*0.1, "N/A")</f>
        <v>7.2550169999999996</v>
      </c>
      <c r="AH8457">
        <v>72.550169999999994</v>
      </c>
      <c r="AI8457">
        <v>193.44159999999999</v>
      </c>
      <c r="AJ8457">
        <v>37.550170000000001</v>
      </c>
      <c r="AK8457">
        <v>35.449829999999999</v>
      </c>
    </row>
    <row r="8458" spans="1:37" x14ac:dyDescent="0.3">
      <c r="A8458">
        <v>8457</v>
      </c>
      <c r="B8458">
        <v>48.2</v>
      </c>
      <c r="C8458">
        <v>38.894799999999996</v>
      </c>
      <c r="D8458">
        <v>7.9828599999999996</v>
      </c>
      <c r="E8458" t="s">
        <v>12637</v>
      </c>
      <c r="F8458" t="s">
        <v>12638</v>
      </c>
      <c r="G8458" t="s">
        <v>37</v>
      </c>
      <c r="H8458">
        <v>1987</v>
      </c>
      <c r="I8458">
        <v>19.600000000000001</v>
      </c>
      <c r="J8458">
        <v>13.9</v>
      </c>
      <c r="K8458">
        <v>74</v>
      </c>
      <c r="L8458">
        <v>8.7438819999999993</v>
      </c>
      <c r="M8458">
        <v>28.4</v>
      </c>
      <c r="N8458">
        <v>9.6999999999999993</v>
      </c>
      <c r="O8458">
        <v>18.7</v>
      </c>
      <c r="P8458">
        <v>19.600000000000001</v>
      </c>
      <c r="Q8458">
        <v>18.3</v>
      </c>
      <c r="R8458">
        <v>20.583880000000001</v>
      </c>
      <c r="S8458">
        <v>18.3</v>
      </c>
      <c r="T8458">
        <v>766.48350000000005</v>
      </c>
      <c r="U8458">
        <v>146.16120000000001</v>
      </c>
      <c r="V8458">
        <v>6</v>
      </c>
      <c r="W8458">
        <v>67.838819999999998</v>
      </c>
      <c r="X8458">
        <v>376.32240000000002</v>
      </c>
      <c r="Y8458">
        <v>36</v>
      </c>
      <c r="Z8458">
        <v>196.16120000000001</v>
      </c>
      <c r="AA8458">
        <v>36</v>
      </c>
      <c r="AB8458">
        <v>31.31766</v>
      </c>
      <c r="AC8458">
        <v>1.9501190000000002E-2</v>
      </c>
      <c r="AD8458">
        <v>3.590239</v>
      </c>
      <c r="AE8458" t="s">
        <v>729</v>
      </c>
      <c r="AF8458">
        <v>1668.3309999999999</v>
      </c>
      <c r="AG8458">
        <f>IFERROR(AH8458*0.1, "N/A")</f>
        <v>6.5284230000000001</v>
      </c>
      <c r="AH8458">
        <v>65.284229999999994</v>
      </c>
      <c r="AI8458">
        <v>103.0459</v>
      </c>
      <c r="AJ8458">
        <v>32.426340000000003</v>
      </c>
      <c r="AK8458">
        <v>38.715769999999999</v>
      </c>
    </row>
    <row r="8459" spans="1:37" x14ac:dyDescent="0.3">
      <c r="A8459">
        <v>8458</v>
      </c>
      <c r="B8459">
        <v>30.3</v>
      </c>
      <c r="C8459">
        <v>34.711500000000001</v>
      </c>
      <c r="D8459">
        <v>7.9923700000000002</v>
      </c>
      <c r="E8459" t="s">
        <v>12639</v>
      </c>
      <c r="F8459" t="s">
        <v>12640</v>
      </c>
      <c r="G8459" t="s">
        <v>37</v>
      </c>
      <c r="H8459">
        <v>1987</v>
      </c>
      <c r="I8459">
        <v>26.3</v>
      </c>
      <c r="J8459">
        <v>15</v>
      </c>
      <c r="K8459">
        <v>73</v>
      </c>
      <c r="L8459">
        <v>11.48</v>
      </c>
      <c r="M8459">
        <v>37.5</v>
      </c>
      <c r="N8459">
        <v>17.100000000000001</v>
      </c>
      <c r="O8459">
        <v>20.399999999999999</v>
      </c>
      <c r="P8459">
        <v>25.4</v>
      </c>
      <c r="Q8459">
        <v>26.3</v>
      </c>
      <c r="R8459">
        <v>28.1</v>
      </c>
      <c r="S8459">
        <v>25.3</v>
      </c>
      <c r="T8459">
        <v>1269</v>
      </c>
      <c r="U8459">
        <v>258</v>
      </c>
      <c r="V8459">
        <v>7</v>
      </c>
      <c r="W8459">
        <v>78</v>
      </c>
      <c r="X8459">
        <v>659</v>
      </c>
      <c r="Y8459">
        <v>35</v>
      </c>
      <c r="Z8459">
        <v>134</v>
      </c>
      <c r="AA8459">
        <v>343</v>
      </c>
      <c r="AB8459">
        <v>6.4708819999999996</v>
      </c>
      <c r="AC8459">
        <v>2.3638610000000001E-2</v>
      </c>
      <c r="AD8459">
        <v>2.3021690000000001</v>
      </c>
      <c r="AE8459">
        <v>0.11830060000000001</v>
      </c>
      <c r="AF8459">
        <v>537.10749999999996</v>
      </c>
      <c r="AG8459">
        <f>IFERROR(AH8459*0.1, "N/A")</f>
        <v>6.5</v>
      </c>
      <c r="AH8459">
        <v>65</v>
      </c>
      <c r="AI8459">
        <v>159.59690000000001</v>
      </c>
      <c r="AJ8459">
        <v>35</v>
      </c>
      <c r="AK8459">
        <v>41</v>
      </c>
    </row>
    <row r="8460" spans="1:37" x14ac:dyDescent="0.3">
      <c r="A8460">
        <v>8459</v>
      </c>
      <c r="B8460">
        <v>27.3</v>
      </c>
      <c r="C8460">
        <v>38.833300000000001</v>
      </c>
      <c r="D8460">
        <v>8</v>
      </c>
      <c r="E8460" t="s">
        <v>12641</v>
      </c>
      <c r="F8460" t="s">
        <v>12642</v>
      </c>
      <c r="G8460" t="s">
        <v>37</v>
      </c>
      <c r="H8460">
        <v>1987</v>
      </c>
      <c r="I8460">
        <v>19.5</v>
      </c>
      <c r="J8460">
        <v>13.8</v>
      </c>
      <c r="K8460">
        <v>74.465280000000007</v>
      </c>
      <c r="L8460">
        <v>8.0908680000000004</v>
      </c>
      <c r="M8460">
        <v>28.2</v>
      </c>
      <c r="N8460">
        <v>9.7465279999999996</v>
      </c>
      <c r="O8460">
        <v>18.453469999999999</v>
      </c>
      <c r="P8460">
        <v>19.399999999999999</v>
      </c>
      <c r="Q8460">
        <v>18.346530000000001</v>
      </c>
      <c r="R8460">
        <v>20.399999999999999</v>
      </c>
      <c r="S8460">
        <v>18.346530000000001</v>
      </c>
      <c r="T8460">
        <v>796.34720000000004</v>
      </c>
      <c r="U8460">
        <v>149.20310000000001</v>
      </c>
      <c r="V8460">
        <v>6</v>
      </c>
      <c r="W8460">
        <v>66</v>
      </c>
      <c r="X8460">
        <v>383.40620000000001</v>
      </c>
      <c r="Y8460">
        <v>37</v>
      </c>
      <c r="Z8460">
        <v>229.40450000000001</v>
      </c>
      <c r="AA8460">
        <v>37</v>
      </c>
      <c r="AB8460">
        <v>0</v>
      </c>
      <c r="AC8460">
        <v>0.11999990000000001</v>
      </c>
      <c r="AD8460">
        <v>0</v>
      </c>
      <c r="AE8460" t="s">
        <v>729</v>
      </c>
      <c r="AF8460">
        <v>1634</v>
      </c>
      <c r="AG8460" t="str">
        <f>IFERROR(AH8460*0.1, "N/A")</f>
        <v>N/A</v>
      </c>
      <c r="AH8460" t="s">
        <v>729</v>
      </c>
      <c r="AI8460">
        <v>0</v>
      </c>
      <c r="AJ8460" t="s">
        <v>729</v>
      </c>
      <c r="AK8460" t="s">
        <v>729</v>
      </c>
    </row>
    <row r="8461" spans="1:37" x14ac:dyDescent="0.3">
      <c r="A8461">
        <v>8460</v>
      </c>
      <c r="B8461">
        <v>27.4</v>
      </c>
      <c r="C8461">
        <v>38.944299999999998</v>
      </c>
      <c r="D8461">
        <v>8.0297699999999992</v>
      </c>
      <c r="E8461" t="s">
        <v>12643</v>
      </c>
      <c r="F8461" t="s">
        <v>12644</v>
      </c>
      <c r="G8461" t="s">
        <v>37</v>
      </c>
      <c r="H8461">
        <v>1987</v>
      </c>
      <c r="I8461">
        <v>19.7</v>
      </c>
      <c r="J8461">
        <v>14</v>
      </c>
      <c r="K8461">
        <v>74</v>
      </c>
      <c r="L8461">
        <v>9.64</v>
      </c>
      <c r="M8461">
        <v>28.6</v>
      </c>
      <c r="N8461">
        <v>9.6999999999999993</v>
      </c>
      <c r="O8461">
        <v>18.899999999999999</v>
      </c>
      <c r="P8461">
        <v>19.7</v>
      </c>
      <c r="Q8461">
        <v>18.3</v>
      </c>
      <c r="R8461">
        <v>20.8</v>
      </c>
      <c r="S8461">
        <v>18.3</v>
      </c>
      <c r="T8461">
        <v>765</v>
      </c>
      <c r="U8461">
        <v>151</v>
      </c>
      <c r="V8461">
        <v>6</v>
      </c>
      <c r="W8461">
        <v>71</v>
      </c>
      <c r="X8461">
        <v>388</v>
      </c>
      <c r="Y8461">
        <v>34</v>
      </c>
      <c r="Z8461">
        <v>211</v>
      </c>
      <c r="AA8461">
        <v>34</v>
      </c>
      <c r="AB8461">
        <v>1.88632</v>
      </c>
      <c r="AC8461">
        <v>4.4653360000000003E-2</v>
      </c>
      <c r="AD8461">
        <v>3.1256680000000001</v>
      </c>
      <c r="AE8461">
        <v>0.4840777</v>
      </c>
      <c r="AF8461">
        <v>1649.2660000000001</v>
      </c>
      <c r="AG8461">
        <f>IFERROR(AH8461*0.1, "N/A")</f>
        <v>6.2701210000000005</v>
      </c>
      <c r="AH8461">
        <v>62.701210000000003</v>
      </c>
      <c r="AI8461">
        <v>157.12809999999999</v>
      </c>
      <c r="AJ8461">
        <v>34.834200000000003</v>
      </c>
      <c r="AK8461">
        <v>37.873919999999998</v>
      </c>
    </row>
    <row r="8462" spans="1:37" x14ac:dyDescent="0.3">
      <c r="A8462">
        <v>8461</v>
      </c>
      <c r="B8462">
        <v>0</v>
      </c>
      <c r="C8462">
        <v>43.279400000000003</v>
      </c>
      <c r="D8462">
        <v>8.0658300000000001</v>
      </c>
      <c r="E8462" t="s">
        <v>12645</v>
      </c>
      <c r="F8462" t="s">
        <v>12646</v>
      </c>
      <c r="G8462" t="s">
        <v>37</v>
      </c>
      <c r="H8462">
        <v>1989</v>
      </c>
      <c r="I8462">
        <v>25.3</v>
      </c>
      <c r="J8462">
        <v>16.3</v>
      </c>
      <c r="K8462">
        <v>74</v>
      </c>
      <c r="L8462">
        <v>9.5</v>
      </c>
      <c r="M8462">
        <v>35.200000000000003</v>
      </c>
      <c r="N8462">
        <v>13.2</v>
      </c>
      <c r="O8462">
        <v>22</v>
      </c>
      <c r="P8462">
        <v>26.3</v>
      </c>
      <c r="Q8462">
        <v>24.3</v>
      </c>
      <c r="R8462">
        <v>26.3</v>
      </c>
      <c r="S8462">
        <v>24.1</v>
      </c>
      <c r="T8462">
        <v>366</v>
      </c>
      <c r="U8462">
        <v>81</v>
      </c>
      <c r="V8462">
        <v>2</v>
      </c>
      <c r="W8462">
        <v>87</v>
      </c>
      <c r="X8462">
        <v>189</v>
      </c>
      <c r="Y8462">
        <v>11</v>
      </c>
      <c r="Z8462">
        <v>189</v>
      </c>
      <c r="AA8462">
        <v>22</v>
      </c>
      <c r="AB8462">
        <v>30.225819999999999</v>
      </c>
      <c r="AC8462">
        <v>1.2822160000000001E-2</v>
      </c>
      <c r="AD8462">
        <v>4.6112399999999996</v>
      </c>
      <c r="AE8462">
        <v>0.13512879999999999</v>
      </c>
      <c r="AF8462">
        <v>995.48699999999997</v>
      </c>
      <c r="AG8462">
        <f>IFERROR(AH8462*0.1, "N/A")</f>
        <v>7.5880420000000006</v>
      </c>
      <c r="AH8462">
        <v>75.880420000000001</v>
      </c>
      <c r="AI8462">
        <v>290.6979</v>
      </c>
      <c r="AJ8462">
        <v>27.060659999999999</v>
      </c>
      <c r="AK8462">
        <v>54.454070000000002</v>
      </c>
    </row>
    <row r="8463" spans="1:37" x14ac:dyDescent="0.3">
      <c r="A8463">
        <v>8462</v>
      </c>
      <c r="B8463">
        <v>0</v>
      </c>
      <c r="C8463">
        <v>35.15</v>
      </c>
      <c r="D8463">
        <v>8.0666700000000002</v>
      </c>
      <c r="E8463" t="s">
        <v>12647</v>
      </c>
      <c r="F8463" t="s">
        <v>12648</v>
      </c>
      <c r="G8463" t="s">
        <v>37</v>
      </c>
      <c r="H8463">
        <v>1987</v>
      </c>
      <c r="I8463">
        <v>19.012519999999999</v>
      </c>
      <c r="J8463">
        <v>12.1</v>
      </c>
      <c r="K8463">
        <v>80.551299999999998</v>
      </c>
      <c r="L8463">
        <v>10.02431</v>
      </c>
      <c r="M8463">
        <v>27.357389999999999</v>
      </c>
      <c r="N8463">
        <v>12.412520000000001</v>
      </c>
      <c r="O8463">
        <v>14.94487</v>
      </c>
      <c r="P8463">
        <v>17.8</v>
      </c>
      <c r="Q8463">
        <v>19.812519999999999</v>
      </c>
      <c r="R8463">
        <v>20.212520000000001</v>
      </c>
      <c r="S8463">
        <v>17.61252</v>
      </c>
      <c r="T8463">
        <v>1685.3630000000001</v>
      </c>
      <c r="U8463">
        <v>255.2296</v>
      </c>
      <c r="V8463">
        <v>27.229569999999999</v>
      </c>
      <c r="W8463">
        <v>63.125219999999999</v>
      </c>
      <c r="X8463">
        <v>742.45910000000003</v>
      </c>
      <c r="Y8463">
        <v>95.104349999999997</v>
      </c>
      <c r="Z8463">
        <v>236.30090000000001</v>
      </c>
      <c r="AA8463">
        <v>736.45910000000003</v>
      </c>
      <c r="AB8463">
        <v>14.939450000000001</v>
      </c>
      <c r="AC8463">
        <v>3.9733749999999998E-2</v>
      </c>
      <c r="AD8463">
        <v>6.8980550000000003</v>
      </c>
      <c r="AE8463">
        <v>0.19321849999999999</v>
      </c>
      <c r="AF8463">
        <v>1896.096</v>
      </c>
      <c r="AG8463">
        <f>IFERROR(AH8463*0.1, "N/A")</f>
        <v>5</v>
      </c>
      <c r="AH8463">
        <v>50</v>
      </c>
      <c r="AI8463">
        <v>54.298830000000002</v>
      </c>
      <c r="AJ8463">
        <v>41.019129999999997</v>
      </c>
      <c r="AK8463">
        <v>29</v>
      </c>
    </row>
    <row r="8464" spans="1:37" x14ac:dyDescent="0.3">
      <c r="A8464">
        <v>8463</v>
      </c>
      <c r="B8464">
        <v>25</v>
      </c>
      <c r="C8464">
        <v>38.952599999999997</v>
      </c>
      <c r="D8464">
        <v>8.0698799999999995</v>
      </c>
      <c r="E8464" t="s">
        <v>12649</v>
      </c>
      <c r="F8464" t="s">
        <v>12650</v>
      </c>
      <c r="G8464" t="s">
        <v>37</v>
      </c>
      <c r="H8464">
        <v>1987</v>
      </c>
      <c r="I8464">
        <v>19.8</v>
      </c>
      <c r="J8464">
        <v>14</v>
      </c>
      <c r="K8464">
        <v>74</v>
      </c>
      <c r="L8464">
        <v>9.6199999999999992</v>
      </c>
      <c r="M8464">
        <v>28.7</v>
      </c>
      <c r="N8464">
        <v>9.8000000000000007</v>
      </c>
      <c r="O8464">
        <v>18.899999999999999</v>
      </c>
      <c r="P8464">
        <v>19.8</v>
      </c>
      <c r="Q8464">
        <v>18.399999999999999</v>
      </c>
      <c r="R8464">
        <v>21</v>
      </c>
      <c r="S8464">
        <v>18.399999999999999</v>
      </c>
      <c r="T8464">
        <v>771</v>
      </c>
      <c r="U8464">
        <v>156</v>
      </c>
      <c r="V8464">
        <v>7</v>
      </c>
      <c r="W8464">
        <v>72</v>
      </c>
      <c r="X8464">
        <v>398</v>
      </c>
      <c r="Y8464">
        <v>35</v>
      </c>
      <c r="Z8464">
        <v>208</v>
      </c>
      <c r="AA8464">
        <v>35</v>
      </c>
      <c r="AB8464">
        <v>1.1887369999999999</v>
      </c>
      <c r="AC8464">
        <v>1.241125E-2</v>
      </c>
      <c r="AD8464">
        <v>1.0429390000000001</v>
      </c>
      <c r="AE8464">
        <v>0.35571839999999999</v>
      </c>
      <c r="AF8464">
        <v>1640.596</v>
      </c>
      <c r="AG8464">
        <f>IFERROR(AH8464*0.1, "N/A")</f>
        <v>5.8188910000000007</v>
      </c>
      <c r="AH8464">
        <v>58.18891</v>
      </c>
      <c r="AI8464">
        <v>162.8305</v>
      </c>
      <c r="AJ8464">
        <v>35.769500000000001</v>
      </c>
      <c r="AK8464">
        <v>38.783360000000002</v>
      </c>
    </row>
    <row r="8465" spans="1:37" x14ac:dyDescent="0.3">
      <c r="A8465">
        <v>8464</v>
      </c>
      <c r="B8465">
        <v>37.9</v>
      </c>
      <c r="C8465">
        <v>38.86</v>
      </c>
      <c r="D8465">
        <v>8.0778499999999998</v>
      </c>
      <c r="E8465" t="s">
        <v>12651</v>
      </c>
      <c r="F8465" t="s">
        <v>12652</v>
      </c>
      <c r="G8465" t="s">
        <v>37</v>
      </c>
      <c r="H8465">
        <v>1987</v>
      </c>
      <c r="I8465">
        <v>19.600000000000001</v>
      </c>
      <c r="J8465">
        <v>14</v>
      </c>
      <c r="K8465">
        <v>75</v>
      </c>
      <c r="L8465">
        <v>8.7799999999999994</v>
      </c>
      <c r="M8465">
        <v>28.4</v>
      </c>
      <c r="N8465">
        <v>9.8000000000000007</v>
      </c>
      <c r="O8465">
        <v>18.600000000000001</v>
      </c>
      <c r="P8465">
        <v>19.5</v>
      </c>
      <c r="Q8465">
        <v>18.3</v>
      </c>
      <c r="R8465">
        <v>20.6</v>
      </c>
      <c r="S8465">
        <v>18.3</v>
      </c>
      <c r="T8465">
        <v>810</v>
      </c>
      <c r="U8465">
        <v>159</v>
      </c>
      <c r="V8465">
        <v>7</v>
      </c>
      <c r="W8465">
        <v>70</v>
      </c>
      <c r="X8465">
        <v>406</v>
      </c>
      <c r="Y8465">
        <v>37</v>
      </c>
      <c r="Z8465">
        <v>224</v>
      </c>
      <c r="AA8465">
        <v>37</v>
      </c>
      <c r="AB8465">
        <v>2.7031160000000001</v>
      </c>
      <c r="AC8465">
        <v>3.6256320000000002E-2</v>
      </c>
      <c r="AD8465">
        <v>1.594427</v>
      </c>
      <c r="AE8465">
        <v>0.50940319999999994</v>
      </c>
      <c r="AF8465">
        <v>1639.356</v>
      </c>
      <c r="AG8465">
        <f>IFERROR(AH8465*0.1, "N/A")</f>
        <v>6.0196890000000005</v>
      </c>
      <c r="AH8465">
        <v>60.196890000000003</v>
      </c>
      <c r="AI8465">
        <v>208.3546</v>
      </c>
      <c r="AJ8465">
        <v>33.065629999999999</v>
      </c>
      <c r="AK8465">
        <v>43.174439999999997</v>
      </c>
    </row>
    <row r="8466" spans="1:37" x14ac:dyDescent="0.3">
      <c r="A8466">
        <v>8465</v>
      </c>
      <c r="B8466">
        <v>8.3000000000000007</v>
      </c>
      <c r="C8466">
        <v>38.854900000000001</v>
      </c>
      <c r="D8466">
        <v>8.1179699999999997</v>
      </c>
      <c r="E8466" t="s">
        <v>12653</v>
      </c>
      <c r="F8466" t="s">
        <v>12654</v>
      </c>
      <c r="G8466" t="s">
        <v>37</v>
      </c>
      <c r="H8466">
        <v>1987</v>
      </c>
      <c r="I8466">
        <v>19.7</v>
      </c>
      <c r="J8466">
        <v>14</v>
      </c>
      <c r="K8466">
        <v>75</v>
      </c>
      <c r="L8466">
        <v>8.94</v>
      </c>
      <c r="M8466">
        <v>28.5</v>
      </c>
      <c r="N8466">
        <v>9.9</v>
      </c>
      <c r="O8466">
        <v>18.600000000000001</v>
      </c>
      <c r="P8466">
        <v>19.600000000000001</v>
      </c>
      <c r="Q8466">
        <v>18.399999999999999</v>
      </c>
      <c r="R8466">
        <v>20.8</v>
      </c>
      <c r="S8466">
        <v>18.399999999999999</v>
      </c>
      <c r="T8466">
        <v>825</v>
      </c>
      <c r="U8466">
        <v>165</v>
      </c>
      <c r="V8466">
        <v>7</v>
      </c>
      <c r="W8466">
        <v>72</v>
      </c>
      <c r="X8466">
        <v>420</v>
      </c>
      <c r="Y8466">
        <v>37</v>
      </c>
      <c r="Z8466">
        <v>225</v>
      </c>
      <c r="AA8466">
        <v>37</v>
      </c>
      <c r="AB8466">
        <v>1.847337</v>
      </c>
      <c r="AC8466">
        <v>8.5079070000000003E-3</v>
      </c>
      <c r="AD8466">
        <v>1.97434</v>
      </c>
      <c r="AE8466">
        <v>0.62830249999999999</v>
      </c>
      <c r="AF8466">
        <v>1645.5440000000001</v>
      </c>
      <c r="AG8466">
        <f>IFERROR(AH8466*0.1, "N/A")</f>
        <v>7.4</v>
      </c>
      <c r="AH8466">
        <v>74</v>
      </c>
      <c r="AI8466">
        <v>180.58969999999999</v>
      </c>
      <c r="AJ8466">
        <v>32.428080000000001</v>
      </c>
      <c r="AK8466">
        <v>39.14385</v>
      </c>
    </row>
    <row r="8467" spans="1:37" x14ac:dyDescent="0.3">
      <c r="A8467">
        <v>8466</v>
      </c>
      <c r="B8467">
        <v>0</v>
      </c>
      <c r="C8467">
        <v>38.377699999999997</v>
      </c>
      <c r="D8467">
        <v>8.1198399999999999</v>
      </c>
      <c r="E8467" t="s">
        <v>12655</v>
      </c>
      <c r="F8467" t="s">
        <v>12656</v>
      </c>
      <c r="G8467" t="s">
        <v>37</v>
      </c>
      <c r="H8467">
        <v>1980</v>
      </c>
      <c r="I8467">
        <v>17.5</v>
      </c>
      <c r="J8467">
        <v>13.9</v>
      </c>
      <c r="K8467">
        <v>78</v>
      </c>
      <c r="L8467">
        <v>8.68</v>
      </c>
      <c r="M8467">
        <v>26.2</v>
      </c>
      <c r="N8467">
        <v>8.4</v>
      </c>
      <c r="O8467">
        <v>17.8</v>
      </c>
      <c r="P8467">
        <v>16.7</v>
      </c>
      <c r="Q8467">
        <v>16.899999999999999</v>
      </c>
      <c r="R8467">
        <v>18.7</v>
      </c>
      <c r="S8467">
        <v>16.7</v>
      </c>
      <c r="T8467">
        <v>1055</v>
      </c>
      <c r="U8467">
        <v>179</v>
      </c>
      <c r="V8467">
        <v>11</v>
      </c>
      <c r="W8467">
        <v>64</v>
      </c>
      <c r="X8467">
        <v>490</v>
      </c>
      <c r="Y8467">
        <v>58</v>
      </c>
      <c r="Z8467">
        <v>315</v>
      </c>
      <c r="AA8467">
        <v>490</v>
      </c>
      <c r="AB8467">
        <v>7.8040890000000003</v>
      </c>
      <c r="AC8467">
        <v>4.4750280000000003E-2</v>
      </c>
      <c r="AD8467">
        <v>3.1298870000000001</v>
      </c>
      <c r="AE8467">
        <v>0.79564599999999996</v>
      </c>
      <c r="AF8467">
        <v>2069.8820000000001</v>
      </c>
      <c r="AG8467">
        <f>IFERROR(AH8467*0.1, "N/A")</f>
        <v>7.3491350000000004</v>
      </c>
      <c r="AH8467">
        <v>73.491349999999997</v>
      </c>
      <c r="AI8467">
        <v>336.73250000000002</v>
      </c>
      <c r="AJ8467">
        <v>44.467129999999997</v>
      </c>
      <c r="AK8467">
        <v>27.98789</v>
      </c>
    </row>
    <row r="8468" spans="1:37" x14ac:dyDescent="0.3">
      <c r="A8468">
        <v>8467</v>
      </c>
      <c r="B8468">
        <v>14.8</v>
      </c>
      <c r="C8468">
        <v>38.910499999999999</v>
      </c>
      <c r="D8468">
        <v>8.1203400000000006</v>
      </c>
      <c r="E8468" t="s">
        <v>12657</v>
      </c>
      <c r="F8468" t="s">
        <v>12658</v>
      </c>
      <c r="G8468" t="s">
        <v>37</v>
      </c>
      <c r="H8468">
        <v>1987</v>
      </c>
      <c r="I8468">
        <v>19.899999999999999</v>
      </c>
      <c r="J8468">
        <v>14.1</v>
      </c>
      <c r="K8468">
        <v>74</v>
      </c>
      <c r="L8468">
        <v>9.74</v>
      </c>
      <c r="M8468">
        <v>28.8</v>
      </c>
      <c r="N8468">
        <v>9.8000000000000007</v>
      </c>
      <c r="O8468">
        <v>19</v>
      </c>
      <c r="P8468">
        <v>19.8</v>
      </c>
      <c r="Q8468">
        <v>18.5</v>
      </c>
      <c r="R8468">
        <v>21</v>
      </c>
      <c r="S8468">
        <v>18.5</v>
      </c>
      <c r="T8468">
        <v>798</v>
      </c>
      <c r="U8468">
        <v>164</v>
      </c>
      <c r="V8468">
        <v>7</v>
      </c>
      <c r="W8468">
        <v>73</v>
      </c>
      <c r="X8468">
        <v>416</v>
      </c>
      <c r="Y8468">
        <v>36</v>
      </c>
      <c r="Z8468">
        <v>213</v>
      </c>
      <c r="AA8468">
        <v>36</v>
      </c>
      <c r="AB8468">
        <v>0.71614219999999995</v>
      </c>
      <c r="AC8468">
        <v>1.3061990000000001</v>
      </c>
      <c r="AD8468">
        <v>0.81630230000000004</v>
      </c>
      <c r="AE8468">
        <v>0.35347079999999997</v>
      </c>
      <c r="AF8468">
        <v>1638.559</v>
      </c>
      <c r="AG8468">
        <f>IFERROR(AH8468*0.1, "N/A")</f>
        <v>6.3052080000000004</v>
      </c>
      <c r="AH8468">
        <v>63.052079999999997</v>
      </c>
      <c r="AI8468">
        <v>229.42869999999999</v>
      </c>
      <c r="AJ8468">
        <v>39.24653</v>
      </c>
      <c r="AK8468">
        <v>36.314239999999998</v>
      </c>
    </row>
    <row r="8469" spans="1:37" x14ac:dyDescent="0.3">
      <c r="A8469">
        <v>8468</v>
      </c>
      <c r="B8469">
        <v>2</v>
      </c>
      <c r="C8469">
        <v>36.49</v>
      </c>
      <c r="D8469">
        <v>8.15</v>
      </c>
      <c r="E8469" t="s">
        <v>12659</v>
      </c>
      <c r="F8469" t="s">
        <v>12660</v>
      </c>
      <c r="G8469" t="s">
        <v>37</v>
      </c>
      <c r="H8469">
        <v>1987</v>
      </c>
      <c r="I8469">
        <v>18.257809999999999</v>
      </c>
      <c r="J8469">
        <v>14.819269999999999</v>
      </c>
      <c r="K8469">
        <v>75</v>
      </c>
      <c r="L8469">
        <v>9.1942190000000004</v>
      </c>
      <c r="M8469">
        <v>28.077079999999999</v>
      </c>
      <c r="N8469">
        <v>8.3578130000000002</v>
      </c>
      <c r="O8469">
        <v>19.719270000000002</v>
      </c>
      <c r="P8469">
        <v>17.67708</v>
      </c>
      <c r="Q8469">
        <v>18.138539999999999</v>
      </c>
      <c r="R8469">
        <v>19.55781</v>
      </c>
      <c r="S8469">
        <v>17.377079999999999</v>
      </c>
      <c r="T8469">
        <v>1929.385</v>
      </c>
      <c r="U8469">
        <v>324.77080000000001</v>
      </c>
      <c r="V8469">
        <v>19</v>
      </c>
      <c r="W8469">
        <v>71.192710000000005</v>
      </c>
      <c r="X8469">
        <v>936.9271</v>
      </c>
      <c r="Y8469">
        <v>86.807289999999995</v>
      </c>
      <c r="Z8469">
        <v>439.03649999999999</v>
      </c>
      <c r="AA8469">
        <v>925.15620000000001</v>
      </c>
      <c r="AB8469">
        <v>108.86020000000001</v>
      </c>
      <c r="AC8469">
        <v>1.9527159999999998E-2</v>
      </c>
      <c r="AD8469">
        <v>25.108519999999999</v>
      </c>
      <c r="AE8469">
        <v>0.54469780000000001</v>
      </c>
      <c r="AF8469">
        <v>2097.1860000000001</v>
      </c>
      <c r="AG8469">
        <f>IFERROR(AH8469*0.1, "N/A")</f>
        <v>5.0720489999999998</v>
      </c>
      <c r="AH8469">
        <v>50.720489999999998</v>
      </c>
      <c r="AI8469">
        <v>48.850619999999999</v>
      </c>
      <c r="AJ8469">
        <v>38.883679999999998</v>
      </c>
      <c r="AK8469">
        <v>32.72222</v>
      </c>
    </row>
    <row r="8470" spans="1:37" x14ac:dyDescent="0.3">
      <c r="A8470">
        <v>8469</v>
      </c>
      <c r="B8470">
        <v>1</v>
      </c>
      <c r="C8470">
        <v>35.533299999999997</v>
      </c>
      <c r="D8470">
        <v>8.15</v>
      </c>
      <c r="E8470" t="s">
        <v>12661</v>
      </c>
      <c r="F8470" t="s">
        <v>12662</v>
      </c>
      <c r="G8470" t="s">
        <v>37</v>
      </c>
      <c r="H8470">
        <v>1987</v>
      </c>
      <c r="I8470">
        <v>18.740449999999999</v>
      </c>
      <c r="J8470">
        <v>11.81615</v>
      </c>
      <c r="K8470">
        <v>78.6875</v>
      </c>
      <c r="L8470">
        <v>10.833069999999999</v>
      </c>
      <c r="M8470">
        <v>27.323260000000001</v>
      </c>
      <c r="N8470">
        <v>12.39184</v>
      </c>
      <c r="O8470">
        <v>14.931419999999999</v>
      </c>
      <c r="P8470">
        <v>17.40174</v>
      </c>
      <c r="Q8470">
        <v>19.35521</v>
      </c>
      <c r="R8470">
        <v>20.210419999999999</v>
      </c>
      <c r="S8470">
        <v>17.382470000000001</v>
      </c>
      <c r="T8470">
        <v>1920.92</v>
      </c>
      <c r="U8470">
        <v>297.3021</v>
      </c>
      <c r="V8470">
        <v>34.991320000000002</v>
      </c>
      <c r="W8470">
        <v>65.28819</v>
      </c>
      <c r="X8470">
        <v>881.1875</v>
      </c>
      <c r="Y8470">
        <v>110.29859999999999</v>
      </c>
      <c r="Z8470">
        <v>245.6181</v>
      </c>
      <c r="AA8470">
        <v>878.16489999999999</v>
      </c>
      <c r="AB8470">
        <v>224.6208</v>
      </c>
      <c r="AC8470">
        <v>9.4770519999999997E-3</v>
      </c>
      <c r="AD8470">
        <v>7.7696129999999997</v>
      </c>
      <c r="AE8470">
        <v>0.55383629999999995</v>
      </c>
      <c r="AF8470">
        <v>2040.288</v>
      </c>
      <c r="AG8470">
        <f>IFERROR(AH8470*0.1, "N/A")</f>
        <v>5.3861109999999996</v>
      </c>
      <c r="AH8470">
        <v>53.861109999999996</v>
      </c>
      <c r="AI8470">
        <v>176.85749999999999</v>
      </c>
      <c r="AJ8470">
        <v>40.692709999999998</v>
      </c>
      <c r="AK8470">
        <v>33.02778</v>
      </c>
    </row>
    <row r="8471" spans="1:37" x14ac:dyDescent="0.3">
      <c r="A8471">
        <v>8470</v>
      </c>
      <c r="B8471">
        <v>0</v>
      </c>
      <c r="C8471">
        <v>34.2667</v>
      </c>
      <c r="D8471">
        <v>8.1999999999999993</v>
      </c>
      <c r="E8471" t="s">
        <v>12663</v>
      </c>
      <c r="F8471" t="s">
        <v>12664</v>
      </c>
      <c r="G8471" t="s">
        <v>37</v>
      </c>
      <c r="H8471">
        <v>1987</v>
      </c>
      <c r="I8471">
        <v>27.4</v>
      </c>
      <c r="J8471">
        <v>14.7</v>
      </c>
      <c r="K8471">
        <v>73.022490000000005</v>
      </c>
      <c r="L8471">
        <v>14.41394</v>
      </c>
      <c r="M8471">
        <v>38.897750000000002</v>
      </c>
      <c r="N8471">
        <v>19</v>
      </c>
      <c r="O8471">
        <v>19.897749999999998</v>
      </c>
      <c r="P8471">
        <v>25.56626</v>
      </c>
      <c r="Q8471">
        <v>28.231490000000001</v>
      </c>
      <c r="R8471">
        <v>29.5</v>
      </c>
      <c r="S8471">
        <v>25.56626</v>
      </c>
      <c r="T8471">
        <v>929.49649999999997</v>
      </c>
      <c r="U8471">
        <v>202.3374</v>
      </c>
      <c r="V8471">
        <v>2</v>
      </c>
      <c r="W8471">
        <v>82.337370000000007</v>
      </c>
      <c r="X8471">
        <v>463.42910000000001</v>
      </c>
      <c r="Y8471">
        <v>12</v>
      </c>
      <c r="Z8471">
        <v>73</v>
      </c>
      <c r="AA8471">
        <v>463.42910000000001</v>
      </c>
      <c r="AB8471">
        <v>0.79791730000000005</v>
      </c>
      <c r="AC8471">
        <v>8.2045220000000002E-2</v>
      </c>
      <c r="AD8471">
        <v>2.5017719999999999</v>
      </c>
      <c r="AE8471">
        <v>0.27458399999999999</v>
      </c>
      <c r="AF8471">
        <v>423.44459999999998</v>
      </c>
      <c r="AG8471">
        <f>IFERROR(AH8471*0.1, "N/A")</f>
        <v>6.5</v>
      </c>
      <c r="AH8471">
        <v>65</v>
      </c>
      <c r="AI8471">
        <v>109.5655</v>
      </c>
      <c r="AJ8471">
        <v>37.754330000000003</v>
      </c>
      <c r="AK8471">
        <v>32.122839999999997</v>
      </c>
    </row>
    <row r="8472" spans="1:37" x14ac:dyDescent="0.3">
      <c r="A8472">
        <v>8471</v>
      </c>
      <c r="B8472">
        <v>0</v>
      </c>
      <c r="C8472">
        <v>34.2667</v>
      </c>
      <c r="D8472">
        <v>8.1999999999999993</v>
      </c>
      <c r="E8472" t="s">
        <v>12663</v>
      </c>
      <c r="F8472" t="s">
        <v>12665</v>
      </c>
      <c r="G8472" t="s">
        <v>39</v>
      </c>
      <c r="H8472">
        <v>1987</v>
      </c>
      <c r="I8472">
        <v>27.4</v>
      </c>
      <c r="J8472">
        <v>14.7</v>
      </c>
      <c r="K8472">
        <v>73.022490000000005</v>
      </c>
      <c r="L8472">
        <v>14.41394</v>
      </c>
      <c r="M8472">
        <v>38.897750000000002</v>
      </c>
      <c r="N8472">
        <v>19</v>
      </c>
      <c r="O8472">
        <v>19.897749999999998</v>
      </c>
      <c r="P8472">
        <v>25.56626</v>
      </c>
      <c r="Q8472">
        <v>28.231490000000001</v>
      </c>
      <c r="R8472">
        <v>29.5</v>
      </c>
      <c r="S8472">
        <v>25.56626</v>
      </c>
      <c r="T8472">
        <v>929.49649999999997</v>
      </c>
      <c r="U8472">
        <v>202.3374</v>
      </c>
      <c r="V8472">
        <v>2</v>
      </c>
      <c r="W8472">
        <v>82.337370000000007</v>
      </c>
      <c r="X8472">
        <v>463.42910000000001</v>
      </c>
      <c r="Y8472">
        <v>12</v>
      </c>
      <c r="Z8472">
        <v>73</v>
      </c>
      <c r="AA8472">
        <v>463.42910000000001</v>
      </c>
      <c r="AB8472">
        <v>0.79791730000000005</v>
      </c>
      <c r="AC8472">
        <v>8.2045220000000002E-2</v>
      </c>
      <c r="AD8472">
        <v>2.5017719999999999</v>
      </c>
      <c r="AE8472">
        <v>0.27458399999999999</v>
      </c>
      <c r="AF8472">
        <v>423.44459999999998</v>
      </c>
      <c r="AG8472">
        <f>IFERROR(AH8472*0.1, "N/A")</f>
        <v>6.5</v>
      </c>
      <c r="AH8472">
        <v>65</v>
      </c>
      <c r="AI8472">
        <v>109.5655</v>
      </c>
      <c r="AJ8472">
        <v>37.754330000000003</v>
      </c>
      <c r="AK8472">
        <v>32.122839999999997</v>
      </c>
    </row>
    <row r="8473" spans="1:37" x14ac:dyDescent="0.3">
      <c r="A8473">
        <v>8472</v>
      </c>
      <c r="B8473">
        <v>8.1999999999999993</v>
      </c>
      <c r="C8473">
        <v>34.583300000000001</v>
      </c>
      <c r="D8473">
        <v>8.25</v>
      </c>
      <c r="E8473" t="s">
        <v>12666</v>
      </c>
      <c r="F8473" t="s">
        <v>12667</v>
      </c>
      <c r="G8473" t="s">
        <v>37</v>
      </c>
      <c r="H8473">
        <v>1987</v>
      </c>
      <c r="I8473">
        <v>27.672879999999999</v>
      </c>
      <c r="J8473">
        <v>14.62712</v>
      </c>
      <c r="K8473">
        <v>70</v>
      </c>
      <c r="L8473">
        <v>13.46264</v>
      </c>
      <c r="M8473">
        <v>39.200000000000003</v>
      </c>
      <c r="N8473">
        <v>18.47288</v>
      </c>
      <c r="O8473">
        <v>20.727119999999999</v>
      </c>
      <c r="P8473">
        <v>26.6</v>
      </c>
      <c r="Q8473">
        <v>28.072880000000001</v>
      </c>
      <c r="R8473">
        <v>29.772880000000001</v>
      </c>
      <c r="S8473">
        <v>26.6</v>
      </c>
      <c r="T8473">
        <v>1144.4390000000001</v>
      </c>
      <c r="U8473">
        <v>228.06559999999999</v>
      </c>
      <c r="V8473">
        <v>5</v>
      </c>
      <c r="W8473">
        <v>79.473230000000001</v>
      </c>
      <c r="X8473">
        <v>592.48879999999997</v>
      </c>
      <c r="Y8473">
        <v>24</v>
      </c>
      <c r="Z8473">
        <v>99.271159999999995</v>
      </c>
      <c r="AA8473">
        <v>587.06560000000002</v>
      </c>
      <c r="AB8473">
        <v>0.50258950000000002</v>
      </c>
      <c r="AC8473">
        <v>1.2624439999999999</v>
      </c>
      <c r="AD8473">
        <v>0.61994760000000004</v>
      </c>
      <c r="AE8473">
        <v>0.59488669999999999</v>
      </c>
      <c r="AF8473">
        <v>433.22280000000001</v>
      </c>
      <c r="AG8473">
        <f>IFERROR(AH8473*0.1, "N/A")</f>
        <v>6.6993089999999995</v>
      </c>
      <c r="AH8473">
        <v>66.993089999999995</v>
      </c>
      <c r="AI8473">
        <v>96.819270000000003</v>
      </c>
      <c r="AJ8473">
        <v>32.013820000000003</v>
      </c>
      <c r="AK8473">
        <v>39</v>
      </c>
    </row>
    <row r="8474" spans="1:37" x14ac:dyDescent="0.3">
      <c r="A8474">
        <v>8473</v>
      </c>
      <c r="B8474">
        <v>0</v>
      </c>
      <c r="C8474">
        <v>39.853299999999997</v>
      </c>
      <c r="D8474">
        <v>8.2825600000000001</v>
      </c>
      <c r="E8474" t="s">
        <v>12668</v>
      </c>
      <c r="F8474" t="s">
        <v>12669</v>
      </c>
      <c r="G8474" t="s">
        <v>37</v>
      </c>
      <c r="H8474">
        <v>1977</v>
      </c>
      <c r="I8474">
        <v>14.503629999999999</v>
      </c>
      <c r="J8474">
        <v>13.60121</v>
      </c>
      <c r="K8474">
        <v>83.012110000000007</v>
      </c>
      <c r="L8474">
        <v>5.4709690000000002</v>
      </c>
      <c r="M8474">
        <v>22.302420000000001</v>
      </c>
      <c r="N8474">
        <v>6.1024219999999998</v>
      </c>
      <c r="O8474">
        <v>16.2</v>
      </c>
      <c r="P8474">
        <v>14.70242</v>
      </c>
      <c r="Q8474">
        <v>13.80242</v>
      </c>
      <c r="R8474">
        <v>15.003629999999999</v>
      </c>
      <c r="S8474">
        <v>13.70242</v>
      </c>
      <c r="T8474">
        <v>1122.9390000000001</v>
      </c>
      <c r="U8474">
        <v>203.97579999999999</v>
      </c>
      <c r="V8474">
        <v>16</v>
      </c>
      <c r="W8474">
        <v>61</v>
      </c>
      <c r="X8474">
        <v>534.97580000000005</v>
      </c>
      <c r="Y8474">
        <v>85</v>
      </c>
      <c r="Z8474">
        <v>292.98790000000002</v>
      </c>
      <c r="AA8474">
        <v>125.9879</v>
      </c>
      <c r="AB8474">
        <v>63.378439999999998</v>
      </c>
      <c r="AC8474">
        <v>1.0992750000000001E-2</v>
      </c>
      <c r="AD8474">
        <v>1.0683320000000001</v>
      </c>
      <c r="AE8474">
        <v>0.58364539999999998</v>
      </c>
      <c r="AF8474">
        <v>2845.1190000000001</v>
      </c>
      <c r="AG8474">
        <f>IFERROR(AH8474*0.1, "N/A")</f>
        <v>6.2934260000000002</v>
      </c>
      <c r="AH8474">
        <v>62.934260000000002</v>
      </c>
      <c r="AI8474">
        <v>184.22620000000001</v>
      </c>
      <c r="AJ8474">
        <v>34.707610000000003</v>
      </c>
      <c r="AK8474">
        <v>32.747399999999999</v>
      </c>
    </row>
    <row r="8475" spans="1:37" x14ac:dyDescent="0.3">
      <c r="A8475">
        <v>8474</v>
      </c>
      <c r="B8475">
        <v>0</v>
      </c>
      <c r="C8475">
        <v>35.583300000000001</v>
      </c>
      <c r="D8475">
        <v>8.3000000000000007</v>
      </c>
      <c r="E8475" t="s">
        <v>12670</v>
      </c>
      <c r="F8475" t="s">
        <v>12671</v>
      </c>
      <c r="G8475" t="s">
        <v>37</v>
      </c>
      <c r="H8475">
        <v>1987</v>
      </c>
      <c r="I8475">
        <v>19.769739999999999</v>
      </c>
      <c r="J8475">
        <v>13.466430000000001</v>
      </c>
      <c r="K8475">
        <v>75</v>
      </c>
      <c r="L8475">
        <v>9.9511310000000002</v>
      </c>
      <c r="M8475">
        <v>29.269739999999999</v>
      </c>
      <c r="N8475">
        <v>11.45548</v>
      </c>
      <c r="O8475">
        <v>17.814260000000001</v>
      </c>
      <c r="P8475">
        <v>18.72139</v>
      </c>
      <c r="Q8475">
        <v>19.773569999999999</v>
      </c>
      <c r="R8475">
        <v>21.21809</v>
      </c>
      <c r="S8475">
        <v>18.72139</v>
      </c>
      <c r="T8475">
        <v>1722.1669999999999</v>
      </c>
      <c r="U8475">
        <v>282.48349999999999</v>
      </c>
      <c r="V8475">
        <v>27.961739999999999</v>
      </c>
      <c r="W8475">
        <v>70.180869999999999</v>
      </c>
      <c r="X8475">
        <v>822.33219999999994</v>
      </c>
      <c r="Y8475">
        <v>85.264349999999993</v>
      </c>
      <c r="Z8475">
        <v>204.6052</v>
      </c>
      <c r="AA8475">
        <v>822.33219999999994</v>
      </c>
      <c r="AB8475">
        <v>36.15513</v>
      </c>
      <c r="AC8475">
        <v>5.0951969999999999E-2</v>
      </c>
      <c r="AD8475">
        <v>7.4697069999999997</v>
      </c>
      <c r="AE8475">
        <v>0.75796269999999999</v>
      </c>
      <c r="AF8475">
        <v>1695.5909999999999</v>
      </c>
      <c r="AG8475">
        <f>IFERROR(AH8475*0.1, "N/A")</f>
        <v>5.7880000000000003</v>
      </c>
      <c r="AH8475">
        <v>57.88</v>
      </c>
      <c r="AI8475">
        <v>155.4256</v>
      </c>
      <c r="AJ8475">
        <v>41.393039999999999</v>
      </c>
      <c r="AK8475">
        <v>30.746089999999999</v>
      </c>
    </row>
    <row r="8476" spans="1:37" x14ac:dyDescent="0.3">
      <c r="A8476">
        <v>8475</v>
      </c>
      <c r="B8476">
        <v>1.1000000000000001</v>
      </c>
      <c r="C8476">
        <v>35.133299999999998</v>
      </c>
      <c r="D8476">
        <v>8.3332999999999995</v>
      </c>
      <c r="E8476" t="s">
        <v>12672</v>
      </c>
      <c r="F8476" t="s">
        <v>12673</v>
      </c>
      <c r="G8476" t="s">
        <v>37</v>
      </c>
      <c r="H8476">
        <v>1987</v>
      </c>
      <c r="I8476">
        <v>20.34836</v>
      </c>
      <c r="J8476">
        <v>12.99396</v>
      </c>
      <c r="K8476">
        <v>80.504320000000007</v>
      </c>
      <c r="L8476">
        <v>10.21142</v>
      </c>
      <c r="M8476">
        <v>29.377890000000001</v>
      </c>
      <c r="N8476">
        <v>13.36252</v>
      </c>
      <c r="O8476">
        <v>16.015370000000001</v>
      </c>
      <c r="P8476">
        <v>18.992059999999999</v>
      </c>
      <c r="Q8476">
        <v>21.102070000000001</v>
      </c>
      <c r="R8476">
        <v>21.520209999999999</v>
      </c>
      <c r="S8476">
        <v>18.992059999999999</v>
      </c>
      <c r="T8476">
        <v>1485.44</v>
      </c>
      <c r="U8476">
        <v>236.13990000000001</v>
      </c>
      <c r="V8476">
        <v>18.960280000000001</v>
      </c>
      <c r="W8476">
        <v>69.899829999999994</v>
      </c>
      <c r="X8476">
        <v>687.25909999999999</v>
      </c>
      <c r="Y8476">
        <v>64.97927</v>
      </c>
      <c r="Z8476">
        <v>176.1174</v>
      </c>
      <c r="AA8476">
        <v>687.25909999999999</v>
      </c>
      <c r="AB8476">
        <v>142.9744</v>
      </c>
      <c r="AC8476">
        <v>2.0892839999999999E-2</v>
      </c>
      <c r="AD8476">
        <v>10.64087</v>
      </c>
      <c r="AE8476">
        <v>0.475267</v>
      </c>
      <c r="AF8476">
        <v>1603.883</v>
      </c>
      <c r="AG8476">
        <f>IFERROR(AH8476*0.1, "N/A")</f>
        <v>5.8438690000000006</v>
      </c>
      <c r="AH8476">
        <v>58.438690000000001</v>
      </c>
      <c r="AI8476">
        <v>43.068449999999999</v>
      </c>
      <c r="AJ8476">
        <v>39.671849999999999</v>
      </c>
      <c r="AK8476">
        <v>36.298789999999997</v>
      </c>
    </row>
    <row r="8477" spans="1:37" x14ac:dyDescent="0.3">
      <c r="A8477">
        <v>8476</v>
      </c>
      <c r="B8477">
        <v>1</v>
      </c>
      <c r="C8477">
        <v>39.316699999999997</v>
      </c>
      <c r="D8477">
        <v>8.3333300000000001</v>
      </c>
      <c r="E8477" t="s">
        <v>12674</v>
      </c>
      <c r="F8477" t="s">
        <v>12675</v>
      </c>
      <c r="G8477" t="s">
        <v>37</v>
      </c>
      <c r="H8477">
        <v>1987</v>
      </c>
      <c r="I8477">
        <v>20.224049999999998</v>
      </c>
      <c r="J8477">
        <v>14.4</v>
      </c>
      <c r="K8477">
        <v>71.371970000000005</v>
      </c>
      <c r="L8477">
        <v>15.02239</v>
      </c>
      <c r="M8477">
        <v>30.224049999999998</v>
      </c>
      <c r="N8477">
        <v>10.161250000000001</v>
      </c>
      <c r="O8477">
        <v>20.062799999999999</v>
      </c>
      <c r="P8477">
        <v>20.3673</v>
      </c>
      <c r="Q8477">
        <v>18.161249999999999</v>
      </c>
      <c r="R8477">
        <v>22.168859999999999</v>
      </c>
      <c r="S8477">
        <v>18.161249999999999</v>
      </c>
      <c r="T8477">
        <v>810.69719999999995</v>
      </c>
      <c r="U8477">
        <v>192.68860000000001</v>
      </c>
      <c r="V8477">
        <v>6</v>
      </c>
      <c r="W8477">
        <v>89.688580000000002</v>
      </c>
      <c r="X8477">
        <v>486.62799999999999</v>
      </c>
      <c r="Y8477">
        <v>32.551900000000003</v>
      </c>
      <c r="Z8477">
        <v>187.327</v>
      </c>
      <c r="AA8477">
        <v>32.551900000000003</v>
      </c>
      <c r="AB8477">
        <v>22.459900000000001</v>
      </c>
      <c r="AC8477">
        <v>6.0489420000000002E-2</v>
      </c>
      <c r="AD8477">
        <v>1.9933920000000001</v>
      </c>
      <c r="AE8477">
        <v>0.61606450000000001</v>
      </c>
      <c r="AF8477">
        <v>1656.81</v>
      </c>
      <c r="AG8477">
        <f>IFERROR(AH8477*0.1, "N/A")</f>
        <v>7.3410030000000006</v>
      </c>
      <c r="AH8477">
        <v>73.410030000000006</v>
      </c>
      <c r="AI8477">
        <v>316.49149999999997</v>
      </c>
      <c r="AJ8477">
        <v>32.038060000000002</v>
      </c>
      <c r="AK8477">
        <v>37.371969999999997</v>
      </c>
    </row>
    <row r="8478" spans="1:37" x14ac:dyDescent="0.3">
      <c r="A8478">
        <v>8477</v>
      </c>
      <c r="B8478">
        <v>0</v>
      </c>
      <c r="C8478">
        <v>35.716700000000003</v>
      </c>
      <c r="D8478">
        <v>8.3333300000000001</v>
      </c>
      <c r="E8478" t="s">
        <v>12676</v>
      </c>
      <c r="F8478" t="s">
        <v>12677</v>
      </c>
      <c r="G8478" t="s">
        <v>37</v>
      </c>
      <c r="H8478">
        <v>1987</v>
      </c>
      <c r="I8478">
        <v>19.475560000000002</v>
      </c>
      <c r="J8478">
        <v>13.7</v>
      </c>
      <c r="K8478">
        <v>74</v>
      </c>
      <c r="L8478">
        <v>10.18797</v>
      </c>
      <c r="M8478">
        <v>29.075220000000002</v>
      </c>
      <c r="N8478">
        <v>10.65113</v>
      </c>
      <c r="O8478">
        <v>18.42409</v>
      </c>
      <c r="P8478">
        <v>18.5</v>
      </c>
      <c r="Q8478">
        <v>19.294280000000001</v>
      </c>
      <c r="R8478">
        <v>20.899650000000001</v>
      </c>
      <c r="S8478">
        <v>18.5</v>
      </c>
      <c r="T8478">
        <v>1790.806</v>
      </c>
      <c r="U8478">
        <v>294.29809999999998</v>
      </c>
      <c r="V8478">
        <v>25.946269999999998</v>
      </c>
      <c r="W8478">
        <v>71.240899999999996</v>
      </c>
      <c r="X8478">
        <v>861.33280000000002</v>
      </c>
      <c r="Y8478">
        <v>83.946269999999998</v>
      </c>
      <c r="Z8478">
        <v>215.3449</v>
      </c>
      <c r="AA8478">
        <v>861.33280000000002</v>
      </c>
      <c r="AB8478">
        <v>12.873799999999999</v>
      </c>
      <c r="AC8478">
        <v>7.2161050000000004E-2</v>
      </c>
      <c r="AD8478">
        <v>11.26351</v>
      </c>
      <c r="AE8478">
        <v>0.514428</v>
      </c>
      <c r="AF8478">
        <v>1785.0989999999999</v>
      </c>
      <c r="AG8478">
        <f>IFERROR(AH8478*0.1, "N/A")</f>
        <v>5.6317160000000008</v>
      </c>
      <c r="AH8478">
        <v>56.317160000000001</v>
      </c>
      <c r="AI8478">
        <v>276.11149999999998</v>
      </c>
      <c r="AJ8478">
        <v>46</v>
      </c>
      <c r="AK8478">
        <v>29.24437</v>
      </c>
    </row>
    <row r="8479" spans="1:37" x14ac:dyDescent="0.3">
      <c r="A8479">
        <v>8478</v>
      </c>
      <c r="B8479">
        <v>10.6</v>
      </c>
      <c r="C8479">
        <v>39.236600000000003</v>
      </c>
      <c r="D8479">
        <v>8.3721999999999994</v>
      </c>
      <c r="E8479" t="s">
        <v>12678</v>
      </c>
      <c r="F8479" t="s">
        <v>12679</v>
      </c>
      <c r="G8479" t="s">
        <v>37</v>
      </c>
      <c r="H8479">
        <v>1978</v>
      </c>
      <c r="I8479">
        <v>20.8</v>
      </c>
      <c r="J8479">
        <v>14.2</v>
      </c>
      <c r="K8479">
        <v>71</v>
      </c>
      <c r="L8479">
        <v>15.15</v>
      </c>
      <c r="M8479">
        <v>30.6</v>
      </c>
      <c r="N8479">
        <v>10.7</v>
      </c>
      <c r="O8479">
        <v>19.899999999999999</v>
      </c>
      <c r="P8479">
        <v>21.1</v>
      </c>
      <c r="Q8479">
        <v>18.600000000000001</v>
      </c>
      <c r="R8479">
        <v>22.7</v>
      </c>
      <c r="S8479">
        <v>18.600000000000001</v>
      </c>
      <c r="T8479">
        <v>786</v>
      </c>
      <c r="U8479">
        <v>195</v>
      </c>
      <c r="V8479">
        <v>6</v>
      </c>
      <c r="W8479">
        <v>95</v>
      </c>
      <c r="X8479">
        <v>487</v>
      </c>
      <c r="Y8479">
        <v>31</v>
      </c>
      <c r="Z8479">
        <v>174</v>
      </c>
      <c r="AA8479">
        <v>31</v>
      </c>
      <c r="AB8479">
        <v>1.9437359999999999</v>
      </c>
      <c r="AC8479">
        <v>8.4732509999999994E-3</v>
      </c>
      <c r="AD8479">
        <v>0.63323110000000005</v>
      </c>
      <c r="AE8479">
        <v>0.39256419999999997</v>
      </c>
      <c r="AF8479">
        <v>1539.778</v>
      </c>
      <c r="AG8479">
        <f>IFERROR(AH8479*0.1, "N/A")</f>
        <v>6.3138890000000005</v>
      </c>
      <c r="AH8479">
        <v>63.138890000000004</v>
      </c>
      <c r="AI8479">
        <v>68.496840000000006</v>
      </c>
      <c r="AJ8479">
        <v>39</v>
      </c>
      <c r="AK8479">
        <v>35.56944</v>
      </c>
    </row>
    <row r="8480" spans="1:37" x14ac:dyDescent="0.3">
      <c r="A8480">
        <v>8479</v>
      </c>
      <c r="B8480">
        <v>7.1</v>
      </c>
      <c r="C8480">
        <v>39.256300000000003</v>
      </c>
      <c r="D8480">
        <v>8.3767099999999992</v>
      </c>
      <c r="E8480" t="s">
        <v>12680</v>
      </c>
      <c r="F8480" t="s">
        <v>12681</v>
      </c>
      <c r="G8480" t="s">
        <v>37</v>
      </c>
      <c r="H8480">
        <v>1978</v>
      </c>
      <c r="I8480">
        <v>20.8</v>
      </c>
      <c r="J8480">
        <v>14.1</v>
      </c>
      <c r="K8480">
        <v>70</v>
      </c>
      <c r="L8480">
        <v>15.29</v>
      </c>
      <c r="M8480">
        <v>30.6</v>
      </c>
      <c r="N8480">
        <v>10.7</v>
      </c>
      <c r="O8480">
        <v>19.899999999999999</v>
      </c>
      <c r="P8480">
        <v>21</v>
      </c>
      <c r="Q8480">
        <v>18.600000000000001</v>
      </c>
      <c r="R8480">
        <v>22.7</v>
      </c>
      <c r="S8480">
        <v>18.600000000000001</v>
      </c>
      <c r="T8480">
        <v>784</v>
      </c>
      <c r="U8480">
        <v>195</v>
      </c>
      <c r="V8480">
        <v>6</v>
      </c>
      <c r="W8480">
        <v>95</v>
      </c>
      <c r="X8480">
        <v>485</v>
      </c>
      <c r="Y8480">
        <v>31</v>
      </c>
      <c r="Z8480">
        <v>175</v>
      </c>
      <c r="AA8480">
        <v>31</v>
      </c>
      <c r="AB8480">
        <v>2.3101780000000001</v>
      </c>
      <c r="AC8480">
        <v>1.115579E-2</v>
      </c>
      <c r="AD8480">
        <v>1.432512</v>
      </c>
      <c r="AE8480">
        <v>0.39001279999999999</v>
      </c>
      <c r="AF8480">
        <v>1540.4380000000001</v>
      </c>
      <c r="AG8480">
        <f>IFERROR(AH8480*0.1, "N/A")</f>
        <v>6.6000000000000005</v>
      </c>
      <c r="AH8480">
        <v>66</v>
      </c>
      <c r="AI8480">
        <v>179.63939999999999</v>
      </c>
      <c r="AJ8480">
        <v>42.883879999999998</v>
      </c>
      <c r="AK8480">
        <v>32.116120000000002</v>
      </c>
    </row>
    <row r="8481" spans="1:37" x14ac:dyDescent="0.3">
      <c r="A8481">
        <v>8480</v>
      </c>
      <c r="B8481">
        <v>10.9</v>
      </c>
      <c r="C8481">
        <v>39.240200000000002</v>
      </c>
      <c r="D8481">
        <v>8.3856999999999999</v>
      </c>
      <c r="E8481" t="s">
        <v>12682</v>
      </c>
      <c r="F8481" t="s">
        <v>12683</v>
      </c>
      <c r="G8481" t="s">
        <v>37</v>
      </c>
      <c r="H8481">
        <v>1978</v>
      </c>
      <c r="I8481">
        <v>20.8</v>
      </c>
      <c r="J8481">
        <v>14.1</v>
      </c>
      <c r="K8481">
        <v>70</v>
      </c>
      <c r="L8481">
        <v>15.25</v>
      </c>
      <c r="M8481">
        <v>30.6</v>
      </c>
      <c r="N8481">
        <v>10.7</v>
      </c>
      <c r="O8481">
        <v>19.899999999999999</v>
      </c>
      <c r="P8481">
        <v>21.1</v>
      </c>
      <c r="Q8481">
        <v>18.600000000000001</v>
      </c>
      <c r="R8481">
        <v>22.7</v>
      </c>
      <c r="S8481">
        <v>18.600000000000001</v>
      </c>
      <c r="T8481">
        <v>786</v>
      </c>
      <c r="U8481">
        <v>196</v>
      </c>
      <c r="V8481">
        <v>6</v>
      </c>
      <c r="W8481">
        <v>96</v>
      </c>
      <c r="X8481">
        <v>489</v>
      </c>
      <c r="Y8481">
        <v>31</v>
      </c>
      <c r="Z8481">
        <v>173</v>
      </c>
      <c r="AA8481">
        <v>31</v>
      </c>
      <c r="AB8481">
        <v>2.2250239999999999</v>
      </c>
      <c r="AC8481">
        <v>8.4582790000000008E-3</v>
      </c>
      <c r="AD8481">
        <v>0.90091639999999995</v>
      </c>
      <c r="AE8481">
        <v>0.3881849</v>
      </c>
      <c r="AF8481">
        <v>1540.002</v>
      </c>
      <c r="AG8481">
        <f>IFERROR(AH8481*0.1, "N/A")</f>
        <v>6.4</v>
      </c>
      <c r="AH8481">
        <v>64</v>
      </c>
      <c r="AI8481">
        <v>298.19729999999998</v>
      </c>
      <c r="AJ8481">
        <v>40</v>
      </c>
      <c r="AK8481">
        <v>35</v>
      </c>
    </row>
    <row r="8482" spans="1:37" x14ac:dyDescent="0.3">
      <c r="A8482">
        <v>8481</v>
      </c>
      <c r="B8482">
        <v>16.7</v>
      </c>
      <c r="C8482">
        <v>39.303199999999997</v>
      </c>
      <c r="D8482">
        <v>8.3925999999999998</v>
      </c>
      <c r="E8482" t="s">
        <v>12684</v>
      </c>
      <c r="F8482" t="s">
        <v>12685</v>
      </c>
      <c r="G8482" t="s">
        <v>37</v>
      </c>
      <c r="H8482">
        <v>1978</v>
      </c>
      <c r="I8482">
        <v>20.8</v>
      </c>
      <c r="J8482">
        <v>14.1</v>
      </c>
      <c r="K8482">
        <v>71</v>
      </c>
      <c r="L8482">
        <v>15.3878</v>
      </c>
      <c r="M8482">
        <v>30.6</v>
      </c>
      <c r="N8482">
        <v>10.8</v>
      </c>
      <c r="O8482">
        <v>19.8</v>
      </c>
      <c r="P8482">
        <v>21</v>
      </c>
      <c r="Q8482">
        <v>18.600000000000001</v>
      </c>
      <c r="R8482">
        <v>22.7</v>
      </c>
      <c r="S8482">
        <v>18.600000000000001</v>
      </c>
      <c r="T8482">
        <v>782.75609999999995</v>
      </c>
      <c r="U8482">
        <v>193.9187</v>
      </c>
      <c r="V8482">
        <v>5.918685</v>
      </c>
      <c r="W8482">
        <v>93</v>
      </c>
      <c r="X8482">
        <v>480.8374</v>
      </c>
      <c r="Y8482">
        <v>30.918690000000002</v>
      </c>
      <c r="Z8482">
        <v>177</v>
      </c>
      <c r="AA8482">
        <v>30.918690000000002</v>
      </c>
      <c r="AB8482">
        <v>2.35568</v>
      </c>
      <c r="AC8482">
        <v>2.2067239999999998E-2</v>
      </c>
      <c r="AD8482">
        <v>1.851998</v>
      </c>
      <c r="AE8482">
        <v>0.58890659999999995</v>
      </c>
      <c r="AF8482">
        <v>1542.0360000000001</v>
      </c>
      <c r="AG8482">
        <f>IFERROR(AH8482*0.1, "N/A")</f>
        <v>6.5</v>
      </c>
      <c r="AH8482">
        <v>65</v>
      </c>
      <c r="AI8482">
        <v>188.2604</v>
      </c>
      <c r="AJ8482">
        <v>38</v>
      </c>
      <c r="AK8482">
        <v>34.228369999999998</v>
      </c>
    </row>
    <row r="8483" spans="1:37" x14ac:dyDescent="0.3">
      <c r="A8483">
        <v>8482</v>
      </c>
      <c r="B8483">
        <v>15.7</v>
      </c>
      <c r="C8483">
        <v>39.264099999999999</v>
      </c>
      <c r="D8483">
        <v>8.3933</v>
      </c>
      <c r="E8483" t="s">
        <v>12686</v>
      </c>
      <c r="F8483" t="s">
        <v>12687</v>
      </c>
      <c r="G8483" t="s">
        <v>37</v>
      </c>
      <c r="H8483">
        <v>1978</v>
      </c>
      <c r="I8483">
        <v>20.8</v>
      </c>
      <c r="J8483">
        <v>14.1</v>
      </c>
      <c r="K8483">
        <v>71</v>
      </c>
      <c r="L8483">
        <v>15.08</v>
      </c>
      <c r="M8483">
        <v>30.6</v>
      </c>
      <c r="N8483">
        <v>10.8</v>
      </c>
      <c r="O8483">
        <v>19.8</v>
      </c>
      <c r="P8483">
        <v>21</v>
      </c>
      <c r="Q8483">
        <v>18.600000000000001</v>
      </c>
      <c r="R8483">
        <v>22.6</v>
      </c>
      <c r="S8483">
        <v>18.600000000000001</v>
      </c>
      <c r="T8483">
        <v>785</v>
      </c>
      <c r="U8483">
        <v>196</v>
      </c>
      <c r="V8483">
        <v>6</v>
      </c>
      <c r="W8483">
        <v>95</v>
      </c>
      <c r="X8483">
        <v>486</v>
      </c>
      <c r="Y8483">
        <v>31</v>
      </c>
      <c r="Z8483">
        <v>175</v>
      </c>
      <c r="AA8483">
        <v>31</v>
      </c>
      <c r="AB8483">
        <v>0.97888609999999998</v>
      </c>
      <c r="AC8483">
        <v>0.24396689999999999</v>
      </c>
      <c r="AD8483">
        <v>0.72640229999999995</v>
      </c>
      <c r="AE8483">
        <v>0.40075919999999998</v>
      </c>
      <c r="AF8483">
        <v>1539.2909999999999</v>
      </c>
      <c r="AG8483">
        <f>IFERROR(AH8483*0.1, "N/A")</f>
        <v>6.6204150000000004</v>
      </c>
      <c r="AH8483">
        <v>66.204149999999998</v>
      </c>
      <c r="AI8483">
        <v>187.6028</v>
      </c>
      <c r="AJ8483">
        <v>43.633220000000001</v>
      </c>
      <c r="AK8483">
        <v>32.887540000000001</v>
      </c>
    </row>
    <row r="8484" spans="1:37" x14ac:dyDescent="0.3">
      <c r="A8484">
        <v>8483</v>
      </c>
      <c r="B8484">
        <v>16.899999999999999</v>
      </c>
      <c r="C8484">
        <v>39.241799999999998</v>
      </c>
      <c r="D8484">
        <v>8.3988999999999994</v>
      </c>
      <c r="E8484" t="s">
        <v>12688</v>
      </c>
      <c r="F8484" t="s">
        <v>12689</v>
      </c>
      <c r="G8484" t="s">
        <v>37</v>
      </c>
      <c r="H8484">
        <v>1978</v>
      </c>
      <c r="I8484">
        <v>20.8</v>
      </c>
      <c r="J8484">
        <v>14.1</v>
      </c>
      <c r="K8484">
        <v>70</v>
      </c>
      <c r="L8484">
        <v>15.286160000000001</v>
      </c>
      <c r="M8484">
        <v>30.6</v>
      </c>
      <c r="N8484">
        <v>10.7</v>
      </c>
      <c r="O8484">
        <v>19.899999999999999</v>
      </c>
      <c r="P8484">
        <v>21.067299999999999</v>
      </c>
      <c r="Q8484">
        <v>18.600000000000001</v>
      </c>
      <c r="R8484">
        <v>22.7</v>
      </c>
      <c r="S8484">
        <v>18.600000000000001</v>
      </c>
      <c r="T8484">
        <v>786.673</v>
      </c>
      <c r="U8484">
        <v>196.673</v>
      </c>
      <c r="V8484">
        <v>6</v>
      </c>
      <c r="W8484">
        <v>96</v>
      </c>
      <c r="X8484">
        <v>489.346</v>
      </c>
      <c r="Y8484">
        <v>31</v>
      </c>
      <c r="Z8484">
        <v>173.327</v>
      </c>
      <c r="AA8484">
        <v>31</v>
      </c>
      <c r="AB8484">
        <v>1.0873980000000001</v>
      </c>
      <c r="AC8484">
        <v>1.1618760000000001E-2</v>
      </c>
      <c r="AD8484">
        <v>0.24005000000000001</v>
      </c>
      <c r="AE8484">
        <v>0.42862020000000001</v>
      </c>
      <c r="AF8484">
        <v>1540.8510000000001</v>
      </c>
      <c r="AG8484">
        <f>IFERROR(AH8484*0.1, "N/A")</f>
        <v>6.4920419999999996</v>
      </c>
      <c r="AH8484">
        <v>64.920419999999993</v>
      </c>
      <c r="AI8484">
        <v>46.62726</v>
      </c>
      <c r="AJ8484">
        <v>40.937719999999999</v>
      </c>
      <c r="AK8484">
        <v>36.814880000000002</v>
      </c>
    </row>
    <row r="8485" spans="1:37" x14ac:dyDescent="0.3">
      <c r="A8485">
        <v>8484</v>
      </c>
      <c r="B8485">
        <v>2.2000000000000002</v>
      </c>
      <c r="C8485">
        <v>39.383299999999998</v>
      </c>
      <c r="D8485">
        <v>8.4</v>
      </c>
      <c r="E8485" t="s">
        <v>12690</v>
      </c>
      <c r="F8485" t="s">
        <v>12691</v>
      </c>
      <c r="G8485" t="s">
        <v>37</v>
      </c>
      <c r="H8485">
        <v>1987</v>
      </c>
      <c r="I8485">
        <v>21.499310000000001</v>
      </c>
      <c r="J8485">
        <v>14.28253</v>
      </c>
      <c r="K8485">
        <v>71</v>
      </c>
      <c r="L8485">
        <v>15.324579999999999</v>
      </c>
      <c r="M8485">
        <v>31.160209999999999</v>
      </c>
      <c r="N8485">
        <v>11.260210000000001</v>
      </c>
      <c r="O8485">
        <v>19.899999999999999</v>
      </c>
      <c r="P8485">
        <v>21.873010000000001</v>
      </c>
      <c r="Q8485">
        <v>19.34273</v>
      </c>
      <c r="R8485">
        <v>23.39048</v>
      </c>
      <c r="S8485">
        <v>19.34273</v>
      </c>
      <c r="T8485">
        <v>738.5675</v>
      </c>
      <c r="U8485">
        <v>179.18690000000001</v>
      </c>
      <c r="V8485">
        <v>4.6972319999999996</v>
      </c>
      <c r="W8485">
        <v>90.785470000000004</v>
      </c>
      <c r="X8485">
        <v>442.29410000000001</v>
      </c>
      <c r="Y8485">
        <v>29.697230000000001</v>
      </c>
      <c r="Z8485">
        <v>172.8356</v>
      </c>
      <c r="AA8485">
        <v>29.697230000000001</v>
      </c>
      <c r="AB8485">
        <v>16.903600000000001</v>
      </c>
      <c r="AC8485">
        <v>0.20556759999999999</v>
      </c>
      <c r="AD8485">
        <v>4.9018139999999999</v>
      </c>
      <c r="AE8485">
        <v>0.52152399999999999</v>
      </c>
      <c r="AF8485">
        <v>1390.9079999999999</v>
      </c>
      <c r="AG8485">
        <f>IFERROR(AH8485*0.1, "N/A")</f>
        <v>8.1465399999999999</v>
      </c>
      <c r="AH8485">
        <v>81.465400000000002</v>
      </c>
      <c r="AI8485">
        <v>266.98759999999999</v>
      </c>
      <c r="AJ8485">
        <v>28.728370000000002</v>
      </c>
      <c r="AK8485">
        <v>41.008650000000003</v>
      </c>
    </row>
    <row r="8486" spans="1:37" x14ac:dyDescent="0.3">
      <c r="A8486">
        <v>8485</v>
      </c>
      <c r="B8486">
        <v>0</v>
      </c>
      <c r="C8486">
        <v>39.383299999999998</v>
      </c>
      <c r="D8486">
        <v>8.4</v>
      </c>
      <c r="E8486" t="s">
        <v>12690</v>
      </c>
      <c r="F8486" t="s">
        <v>12692</v>
      </c>
      <c r="G8486" t="s">
        <v>39</v>
      </c>
      <c r="H8486">
        <v>1987</v>
      </c>
      <c r="I8486">
        <v>21.499310000000001</v>
      </c>
      <c r="J8486">
        <v>14.28253</v>
      </c>
      <c r="K8486">
        <v>71</v>
      </c>
      <c r="L8486">
        <v>15.324579999999999</v>
      </c>
      <c r="M8486">
        <v>31.160209999999999</v>
      </c>
      <c r="N8486">
        <v>11.260210000000001</v>
      </c>
      <c r="O8486">
        <v>19.899999999999999</v>
      </c>
      <c r="P8486">
        <v>21.873010000000001</v>
      </c>
      <c r="Q8486">
        <v>19.34273</v>
      </c>
      <c r="R8486">
        <v>23.39048</v>
      </c>
      <c r="S8486">
        <v>19.34273</v>
      </c>
      <c r="T8486">
        <v>738.5675</v>
      </c>
      <c r="U8486">
        <v>179.18690000000001</v>
      </c>
      <c r="V8486">
        <v>4.6972319999999996</v>
      </c>
      <c r="W8486">
        <v>90.785470000000004</v>
      </c>
      <c r="X8486">
        <v>442.29410000000001</v>
      </c>
      <c r="Y8486">
        <v>29.697230000000001</v>
      </c>
      <c r="Z8486">
        <v>172.8356</v>
      </c>
      <c r="AA8486">
        <v>29.697230000000001</v>
      </c>
      <c r="AB8486">
        <v>16.903600000000001</v>
      </c>
      <c r="AC8486">
        <v>0.20556759999999999</v>
      </c>
      <c r="AD8486">
        <v>4.9018139999999999</v>
      </c>
      <c r="AE8486">
        <v>0.52152399999999999</v>
      </c>
      <c r="AF8486">
        <v>1390.9079999999999</v>
      </c>
      <c r="AG8486">
        <f>IFERROR(AH8486*0.1, "N/A")</f>
        <v>8.1465399999999999</v>
      </c>
      <c r="AH8486">
        <v>81.465400000000002</v>
      </c>
      <c r="AI8486">
        <v>266.98759999999999</v>
      </c>
      <c r="AJ8486">
        <v>28.728370000000002</v>
      </c>
      <c r="AK8486">
        <v>41.008650000000003</v>
      </c>
    </row>
    <row r="8487" spans="1:37" x14ac:dyDescent="0.3">
      <c r="A8487">
        <v>8486</v>
      </c>
      <c r="B8487">
        <v>32.299999999999997</v>
      </c>
      <c r="C8487">
        <v>39.2303</v>
      </c>
      <c r="D8487">
        <v>8.4013000000000009</v>
      </c>
      <c r="E8487" t="s">
        <v>12693</v>
      </c>
      <c r="F8487" t="s">
        <v>12694</v>
      </c>
      <c r="G8487" t="s">
        <v>37</v>
      </c>
      <c r="H8487">
        <v>1978</v>
      </c>
      <c r="I8487">
        <v>20.8</v>
      </c>
      <c r="J8487">
        <v>14.1</v>
      </c>
      <c r="K8487">
        <v>70</v>
      </c>
      <c r="L8487">
        <v>15.26</v>
      </c>
      <c r="M8487">
        <v>30.6</v>
      </c>
      <c r="N8487">
        <v>10.7</v>
      </c>
      <c r="O8487">
        <v>19.899999999999999</v>
      </c>
      <c r="P8487">
        <v>21</v>
      </c>
      <c r="Q8487">
        <v>18.600000000000001</v>
      </c>
      <c r="R8487">
        <v>22.7</v>
      </c>
      <c r="S8487">
        <v>18.600000000000001</v>
      </c>
      <c r="T8487">
        <v>790</v>
      </c>
      <c r="U8487">
        <v>198</v>
      </c>
      <c r="V8487">
        <v>7</v>
      </c>
      <c r="W8487">
        <v>97</v>
      </c>
      <c r="X8487">
        <v>493</v>
      </c>
      <c r="Y8487">
        <v>32</v>
      </c>
      <c r="Z8487">
        <v>172</v>
      </c>
      <c r="AA8487">
        <v>32</v>
      </c>
      <c r="AB8487">
        <v>1.7328779999999999</v>
      </c>
      <c r="AC8487">
        <v>2.466894E-2</v>
      </c>
      <c r="AD8487">
        <v>0.78499030000000003</v>
      </c>
      <c r="AE8487">
        <v>0.44898650000000001</v>
      </c>
      <c r="AF8487">
        <v>1539.568</v>
      </c>
      <c r="AG8487">
        <f>IFERROR(AH8487*0.1, "N/A")</f>
        <v>6.3000000000000007</v>
      </c>
      <c r="AH8487">
        <v>63</v>
      </c>
      <c r="AI8487">
        <v>169.76400000000001</v>
      </c>
      <c r="AJ8487">
        <v>41.276040000000002</v>
      </c>
      <c r="AK8487">
        <v>36.447920000000003</v>
      </c>
    </row>
    <row r="8488" spans="1:37" x14ac:dyDescent="0.3">
      <c r="A8488">
        <v>8487</v>
      </c>
      <c r="B8488">
        <v>5.8</v>
      </c>
      <c r="C8488">
        <v>39.290700000000001</v>
      </c>
      <c r="D8488">
        <v>8.4027999999999992</v>
      </c>
      <c r="E8488" t="s">
        <v>12695</v>
      </c>
      <c r="F8488" t="s">
        <v>12696</v>
      </c>
      <c r="G8488" t="s">
        <v>37</v>
      </c>
      <c r="H8488">
        <v>1978</v>
      </c>
      <c r="I8488">
        <v>20.8</v>
      </c>
      <c r="J8488">
        <v>14.1</v>
      </c>
      <c r="K8488">
        <v>71</v>
      </c>
      <c r="L8488">
        <v>15.53689</v>
      </c>
      <c r="M8488">
        <v>30.6</v>
      </c>
      <c r="N8488">
        <v>10.8</v>
      </c>
      <c r="O8488">
        <v>19.8</v>
      </c>
      <c r="P8488">
        <v>21</v>
      </c>
      <c r="Q8488">
        <v>18.600000000000001</v>
      </c>
      <c r="R8488">
        <v>22.7</v>
      </c>
      <c r="S8488">
        <v>18.600000000000001</v>
      </c>
      <c r="T8488">
        <v>782.98440000000005</v>
      </c>
      <c r="U8488">
        <v>195</v>
      </c>
      <c r="V8488">
        <v>6</v>
      </c>
      <c r="W8488">
        <v>94</v>
      </c>
      <c r="X8488">
        <v>482.98439999999999</v>
      </c>
      <c r="Y8488">
        <v>31</v>
      </c>
      <c r="Z8488">
        <v>176</v>
      </c>
      <c r="AA8488">
        <v>31</v>
      </c>
      <c r="AB8488">
        <v>2.686909</v>
      </c>
      <c r="AC8488">
        <v>1.249664E-2</v>
      </c>
      <c r="AD8488">
        <v>0.41307070000000001</v>
      </c>
      <c r="AE8488">
        <v>0.47649989999999998</v>
      </c>
      <c r="AF8488">
        <v>1540.1510000000001</v>
      </c>
      <c r="AG8488">
        <f>IFERROR(AH8488*0.1, "N/A")</f>
        <v>6.4031139999999995</v>
      </c>
      <c r="AH8488">
        <v>64.031139999999994</v>
      </c>
      <c r="AI8488">
        <v>140.4811</v>
      </c>
      <c r="AJ8488">
        <v>41.015569999999997</v>
      </c>
      <c r="AK8488">
        <v>34.968859999999999</v>
      </c>
    </row>
    <row r="8489" spans="1:37" x14ac:dyDescent="0.3">
      <c r="A8489">
        <v>8488</v>
      </c>
      <c r="B8489">
        <v>17.100000000000001</v>
      </c>
      <c r="C8489">
        <v>39.218600000000002</v>
      </c>
      <c r="D8489">
        <v>8.4120000000000008</v>
      </c>
      <c r="E8489" t="s">
        <v>12697</v>
      </c>
      <c r="F8489" t="s">
        <v>12698</v>
      </c>
      <c r="G8489" t="s">
        <v>37</v>
      </c>
      <c r="H8489">
        <v>1978</v>
      </c>
      <c r="I8489">
        <v>20.8</v>
      </c>
      <c r="J8489">
        <v>14.2</v>
      </c>
      <c r="K8489">
        <v>71</v>
      </c>
      <c r="L8489">
        <v>15.19</v>
      </c>
      <c r="M8489">
        <v>30.6</v>
      </c>
      <c r="N8489">
        <v>10.8</v>
      </c>
      <c r="O8489">
        <v>19.8</v>
      </c>
      <c r="P8489">
        <v>21.1</v>
      </c>
      <c r="Q8489">
        <v>18.600000000000001</v>
      </c>
      <c r="R8489">
        <v>22.7</v>
      </c>
      <c r="S8489">
        <v>18.600000000000001</v>
      </c>
      <c r="T8489">
        <v>791</v>
      </c>
      <c r="U8489">
        <v>199</v>
      </c>
      <c r="V8489">
        <v>7</v>
      </c>
      <c r="W8489">
        <v>97</v>
      </c>
      <c r="X8489">
        <v>495</v>
      </c>
      <c r="Y8489">
        <v>32</v>
      </c>
      <c r="Z8489">
        <v>171</v>
      </c>
      <c r="AA8489">
        <v>32</v>
      </c>
      <c r="AB8489">
        <v>1.008421</v>
      </c>
      <c r="AC8489">
        <v>1.2393899999999999E-2</v>
      </c>
      <c r="AD8489">
        <v>0.76045910000000005</v>
      </c>
      <c r="AE8489">
        <v>0.46962920000000002</v>
      </c>
      <c r="AF8489">
        <v>1540.1869999999999</v>
      </c>
      <c r="AG8489">
        <f>IFERROR(AH8489*0.1, "N/A")</f>
        <v>6.7844290000000003</v>
      </c>
      <c r="AH8489">
        <v>67.844290000000001</v>
      </c>
      <c r="AI8489">
        <v>134.33750000000001</v>
      </c>
      <c r="AJ8489">
        <v>40.846020000000003</v>
      </c>
      <c r="AK8489">
        <v>33.844290000000001</v>
      </c>
    </row>
    <row r="8490" spans="1:37" x14ac:dyDescent="0.3">
      <c r="A8490">
        <v>8489</v>
      </c>
      <c r="B8490">
        <v>13.2</v>
      </c>
      <c r="C8490">
        <v>39.237000000000002</v>
      </c>
      <c r="D8490">
        <v>8.4152000000000005</v>
      </c>
      <c r="E8490" t="s">
        <v>12699</v>
      </c>
      <c r="F8490" t="s">
        <v>12700</v>
      </c>
      <c r="G8490" t="s">
        <v>37</v>
      </c>
      <c r="H8490">
        <v>1978</v>
      </c>
      <c r="I8490">
        <v>20.8</v>
      </c>
      <c r="J8490">
        <v>14.1</v>
      </c>
      <c r="K8490">
        <v>70</v>
      </c>
      <c r="L8490">
        <v>15.37</v>
      </c>
      <c r="M8490">
        <v>30.6</v>
      </c>
      <c r="N8490">
        <v>10.7</v>
      </c>
      <c r="O8490">
        <v>19.899999999999999</v>
      </c>
      <c r="P8490">
        <v>21</v>
      </c>
      <c r="Q8490">
        <v>18.600000000000001</v>
      </c>
      <c r="R8490">
        <v>22.7</v>
      </c>
      <c r="S8490">
        <v>18.600000000000001</v>
      </c>
      <c r="T8490">
        <v>786</v>
      </c>
      <c r="U8490">
        <v>198</v>
      </c>
      <c r="V8490">
        <v>6</v>
      </c>
      <c r="W8490">
        <v>97</v>
      </c>
      <c r="X8490">
        <v>491</v>
      </c>
      <c r="Y8490">
        <v>31</v>
      </c>
      <c r="Z8490">
        <v>173</v>
      </c>
      <c r="AA8490">
        <v>31</v>
      </c>
      <c r="AB8490">
        <v>1.374209</v>
      </c>
      <c r="AC8490">
        <v>9.8208340000000005E-3</v>
      </c>
      <c r="AD8490">
        <v>1.1677979999999999</v>
      </c>
      <c r="AE8490">
        <v>0.4705667</v>
      </c>
      <c r="AF8490">
        <v>1541.9380000000001</v>
      </c>
      <c r="AG8490">
        <f>IFERROR(AH8490*0.1, "N/A")</f>
        <v>6.4776430000000005</v>
      </c>
      <c r="AH8490">
        <v>64.776430000000005</v>
      </c>
      <c r="AI8490">
        <v>118.6564</v>
      </c>
      <c r="AJ8490">
        <v>39</v>
      </c>
      <c r="AK8490">
        <v>37.51473</v>
      </c>
    </row>
    <row r="8491" spans="1:37" x14ac:dyDescent="0.3">
      <c r="A8491">
        <v>8490</v>
      </c>
      <c r="B8491">
        <v>81.900000000000006</v>
      </c>
      <c r="C8491">
        <v>39.236800000000002</v>
      </c>
      <c r="D8491">
        <v>8.41568</v>
      </c>
      <c r="E8491" t="s">
        <v>12701</v>
      </c>
      <c r="F8491" t="s">
        <v>12702</v>
      </c>
      <c r="G8491" t="s">
        <v>37</v>
      </c>
      <c r="H8491">
        <v>1990</v>
      </c>
      <c r="I8491">
        <v>20.8</v>
      </c>
      <c r="J8491">
        <v>14.1</v>
      </c>
      <c r="K8491">
        <v>70.072789999999998</v>
      </c>
      <c r="L8491">
        <v>15.359080000000001</v>
      </c>
      <c r="M8491">
        <v>30.6</v>
      </c>
      <c r="N8491">
        <v>10.707280000000001</v>
      </c>
      <c r="O8491">
        <v>19.892720000000001</v>
      </c>
      <c r="P8491">
        <v>21</v>
      </c>
      <c r="Q8491">
        <v>18.600000000000001</v>
      </c>
      <c r="R8491">
        <v>22.7</v>
      </c>
      <c r="S8491">
        <v>18.600000000000001</v>
      </c>
      <c r="T8491">
        <v>786.07280000000003</v>
      </c>
      <c r="U8491">
        <v>198.0728</v>
      </c>
      <c r="V8491">
        <v>6</v>
      </c>
      <c r="W8491">
        <v>97</v>
      </c>
      <c r="X8491">
        <v>491.1456</v>
      </c>
      <c r="Y8491">
        <v>31</v>
      </c>
      <c r="Z8491">
        <v>172.9272</v>
      </c>
      <c r="AA8491">
        <v>31</v>
      </c>
      <c r="AB8491">
        <v>1.2868710000000001</v>
      </c>
      <c r="AC8491">
        <v>9.2784789999999992E-3</v>
      </c>
      <c r="AD8491">
        <v>0.97717039999999999</v>
      </c>
      <c r="AE8491">
        <v>0.46996579999999999</v>
      </c>
      <c r="AF8491">
        <v>1541.9059999999999</v>
      </c>
      <c r="AG8491">
        <f>IFERROR(AH8491*0.1, "N/A")</f>
        <v>6.4291160000000005</v>
      </c>
      <c r="AH8491">
        <v>64.291160000000005</v>
      </c>
      <c r="AI8491">
        <v>137.15119999999999</v>
      </c>
      <c r="AJ8491">
        <v>39</v>
      </c>
      <c r="AK8491">
        <v>37.750430000000001</v>
      </c>
    </row>
    <row r="8492" spans="1:37" x14ac:dyDescent="0.3">
      <c r="A8492">
        <v>8491</v>
      </c>
      <c r="B8492">
        <v>0</v>
      </c>
      <c r="C8492">
        <v>39.236800000000002</v>
      </c>
      <c r="D8492">
        <v>8.41568</v>
      </c>
      <c r="E8492" t="s">
        <v>12701</v>
      </c>
      <c r="F8492" t="s">
        <v>12703</v>
      </c>
      <c r="G8492" t="s">
        <v>39</v>
      </c>
      <c r="H8492">
        <v>1990</v>
      </c>
      <c r="I8492">
        <v>20.8</v>
      </c>
      <c r="J8492">
        <v>14.1</v>
      </c>
      <c r="K8492">
        <v>70.072789999999998</v>
      </c>
      <c r="L8492">
        <v>15.359080000000001</v>
      </c>
      <c r="M8492">
        <v>30.6</v>
      </c>
      <c r="N8492">
        <v>10.707280000000001</v>
      </c>
      <c r="O8492">
        <v>19.892720000000001</v>
      </c>
      <c r="P8492">
        <v>21</v>
      </c>
      <c r="Q8492">
        <v>18.600000000000001</v>
      </c>
      <c r="R8492">
        <v>22.7</v>
      </c>
      <c r="S8492">
        <v>18.600000000000001</v>
      </c>
      <c r="T8492">
        <v>786.07280000000003</v>
      </c>
      <c r="U8492">
        <v>198.0728</v>
      </c>
      <c r="V8492">
        <v>6</v>
      </c>
      <c r="W8492">
        <v>97</v>
      </c>
      <c r="X8492">
        <v>491.1456</v>
      </c>
      <c r="Y8492">
        <v>31</v>
      </c>
      <c r="Z8492">
        <v>172.9272</v>
      </c>
      <c r="AA8492">
        <v>31</v>
      </c>
      <c r="AB8492">
        <v>1.2868710000000001</v>
      </c>
      <c r="AC8492">
        <v>9.2784789999999992E-3</v>
      </c>
      <c r="AD8492">
        <v>0.97717039999999999</v>
      </c>
      <c r="AE8492">
        <v>0.46996579999999999</v>
      </c>
      <c r="AF8492">
        <v>1541.9059999999999</v>
      </c>
      <c r="AG8492">
        <f>IFERROR(AH8492*0.1, "N/A")</f>
        <v>6.4291160000000005</v>
      </c>
      <c r="AH8492">
        <v>64.291160000000005</v>
      </c>
      <c r="AI8492">
        <v>137.15119999999999</v>
      </c>
      <c r="AJ8492">
        <v>39</v>
      </c>
      <c r="AK8492">
        <v>37.750430000000001</v>
      </c>
    </row>
    <row r="8493" spans="1:37" x14ac:dyDescent="0.3">
      <c r="A8493">
        <v>8492</v>
      </c>
      <c r="B8493">
        <v>15.7</v>
      </c>
      <c r="C8493">
        <v>39.260300000000001</v>
      </c>
      <c r="D8493">
        <v>8.4166000000000007</v>
      </c>
      <c r="E8493" t="s">
        <v>12704</v>
      </c>
      <c r="F8493" t="s">
        <v>12705</v>
      </c>
      <c r="G8493" t="s">
        <v>37</v>
      </c>
      <c r="H8493">
        <v>1978</v>
      </c>
      <c r="I8493">
        <v>20.8</v>
      </c>
      <c r="J8493">
        <v>14</v>
      </c>
      <c r="K8493">
        <v>70</v>
      </c>
      <c r="L8493">
        <v>15.622199999999999</v>
      </c>
      <c r="M8493">
        <v>30.6</v>
      </c>
      <c r="N8493">
        <v>10.7</v>
      </c>
      <c r="O8493">
        <v>19.899999999999999</v>
      </c>
      <c r="P8493">
        <v>21</v>
      </c>
      <c r="Q8493">
        <v>18.600000000000001</v>
      </c>
      <c r="R8493">
        <v>22.7</v>
      </c>
      <c r="S8493">
        <v>18.600000000000001</v>
      </c>
      <c r="T8493">
        <v>783.76300000000003</v>
      </c>
      <c r="U8493">
        <v>197</v>
      </c>
      <c r="V8493">
        <v>6</v>
      </c>
      <c r="W8493">
        <v>96</v>
      </c>
      <c r="X8493">
        <v>487.2543</v>
      </c>
      <c r="Y8493">
        <v>31</v>
      </c>
      <c r="Z8493">
        <v>174.2543</v>
      </c>
      <c r="AA8493">
        <v>31</v>
      </c>
      <c r="AB8493">
        <v>0.388349</v>
      </c>
      <c r="AC8493">
        <v>0.14831359999999999</v>
      </c>
      <c r="AD8493">
        <v>1.3003709999999999</v>
      </c>
      <c r="AE8493">
        <v>0.3967233</v>
      </c>
      <c r="AF8493">
        <v>1540.8009999999999</v>
      </c>
      <c r="AG8493">
        <f>IFERROR(AH8493*0.1, "N/A")</f>
        <v>6.4429069999999999</v>
      </c>
      <c r="AH8493">
        <v>64.429069999999996</v>
      </c>
      <c r="AI8493">
        <v>124.50230000000001</v>
      </c>
      <c r="AJ8493">
        <v>40.214530000000003</v>
      </c>
      <c r="AK8493">
        <v>37.785469999999997</v>
      </c>
    </row>
    <row r="8494" spans="1:37" x14ac:dyDescent="0.3">
      <c r="A8494">
        <v>8493</v>
      </c>
      <c r="B8494">
        <v>3.3</v>
      </c>
      <c r="C8494">
        <v>39.03</v>
      </c>
      <c r="D8494">
        <v>8.43</v>
      </c>
      <c r="E8494" t="s">
        <v>12706</v>
      </c>
      <c r="F8494" t="s">
        <v>12707</v>
      </c>
      <c r="G8494" t="s">
        <v>39</v>
      </c>
      <c r="H8494">
        <v>1987</v>
      </c>
      <c r="I8494">
        <v>20.6</v>
      </c>
      <c r="J8494">
        <v>14.7</v>
      </c>
      <c r="K8494">
        <v>73</v>
      </c>
      <c r="L8494">
        <v>13.3</v>
      </c>
      <c r="M8494">
        <v>30.4</v>
      </c>
      <c r="N8494">
        <v>10.5</v>
      </c>
      <c r="O8494">
        <v>19.899999999999999</v>
      </c>
      <c r="P8494">
        <v>20.7</v>
      </c>
      <c r="Q8494">
        <v>18.7</v>
      </c>
      <c r="R8494">
        <v>22.2</v>
      </c>
      <c r="S8494">
        <v>18.7</v>
      </c>
      <c r="T8494">
        <v>831</v>
      </c>
      <c r="U8494">
        <v>211</v>
      </c>
      <c r="V8494">
        <v>9</v>
      </c>
      <c r="W8494">
        <v>96</v>
      </c>
      <c r="X8494">
        <v>516</v>
      </c>
      <c r="Y8494">
        <v>35</v>
      </c>
      <c r="Z8494">
        <v>176</v>
      </c>
      <c r="AA8494">
        <v>35</v>
      </c>
      <c r="AB8494">
        <v>0.1437061</v>
      </c>
      <c r="AC8494">
        <v>790.15039999999999</v>
      </c>
      <c r="AD8494">
        <v>0.9123829</v>
      </c>
      <c r="AE8494">
        <v>0.64661329999999995</v>
      </c>
      <c r="AF8494">
        <v>1598.7750000000001</v>
      </c>
      <c r="AG8494">
        <f>IFERROR(AH8494*0.1, "N/A")</f>
        <v>7.4051810000000007</v>
      </c>
      <c r="AH8494">
        <v>74.051810000000003</v>
      </c>
      <c r="AI8494">
        <v>127.27549999999999</v>
      </c>
      <c r="AJ8494">
        <v>33.948189999999997</v>
      </c>
      <c r="AK8494">
        <v>37</v>
      </c>
    </row>
    <row r="8495" spans="1:37" x14ac:dyDescent="0.3">
      <c r="A8495">
        <v>8494</v>
      </c>
      <c r="B8495">
        <v>3.3</v>
      </c>
      <c r="C8495">
        <v>39.033299999999997</v>
      </c>
      <c r="D8495">
        <v>8.4332999999999991</v>
      </c>
      <c r="E8495" t="s">
        <v>12708</v>
      </c>
      <c r="F8495" t="s">
        <v>12709</v>
      </c>
      <c r="G8495" t="s">
        <v>37</v>
      </c>
      <c r="H8495">
        <v>1987</v>
      </c>
      <c r="I8495">
        <v>20.6</v>
      </c>
      <c r="J8495">
        <v>14.7</v>
      </c>
      <c r="K8495">
        <v>73</v>
      </c>
      <c r="L8495">
        <v>13.493460000000001</v>
      </c>
      <c r="M8495">
        <v>30.41488</v>
      </c>
      <c r="N8495">
        <v>10.455360000000001</v>
      </c>
      <c r="O8495">
        <v>19.959520000000001</v>
      </c>
      <c r="P8495">
        <v>20.64048</v>
      </c>
      <c r="Q8495">
        <v>18.714880000000001</v>
      </c>
      <c r="R8495">
        <v>22.27439</v>
      </c>
      <c r="S8495">
        <v>18.714880000000001</v>
      </c>
      <c r="T8495">
        <v>831.93430000000001</v>
      </c>
      <c r="U8495">
        <v>211.44640000000001</v>
      </c>
      <c r="V8495">
        <v>9</v>
      </c>
      <c r="W8495">
        <v>96</v>
      </c>
      <c r="X8495">
        <v>516.89269999999999</v>
      </c>
      <c r="Y8495">
        <v>35</v>
      </c>
      <c r="Z8495">
        <v>176.29759999999999</v>
      </c>
      <c r="AA8495">
        <v>35</v>
      </c>
      <c r="AB8495">
        <v>4.7470829999999999</v>
      </c>
      <c r="AC8495">
        <v>2.5547250000000001E-2</v>
      </c>
      <c r="AD8495">
        <v>1.3923700000000001</v>
      </c>
      <c r="AE8495">
        <v>0.6917605</v>
      </c>
      <c r="AF8495">
        <v>1600.6469999999999</v>
      </c>
      <c r="AG8495">
        <f>IFERROR(AH8495*0.1, "N/A")</f>
        <v>7.6000000000000005</v>
      </c>
      <c r="AH8495">
        <v>76</v>
      </c>
      <c r="AI8495">
        <v>203.83619999999999</v>
      </c>
      <c r="AJ8495">
        <v>32.743940000000002</v>
      </c>
      <c r="AK8495">
        <v>37.768169999999998</v>
      </c>
    </row>
    <row r="8496" spans="1:37" x14ac:dyDescent="0.3">
      <c r="A8496">
        <v>8495</v>
      </c>
      <c r="B8496">
        <v>3.3</v>
      </c>
      <c r="C8496">
        <v>39.033299999999997</v>
      </c>
      <c r="D8496">
        <v>8.4332999999999991</v>
      </c>
      <c r="E8496" t="s">
        <v>12708</v>
      </c>
      <c r="F8496" t="s">
        <v>12710</v>
      </c>
      <c r="G8496" t="s">
        <v>39</v>
      </c>
      <c r="H8496">
        <v>1987</v>
      </c>
      <c r="I8496">
        <v>20.6</v>
      </c>
      <c r="J8496">
        <v>14.7</v>
      </c>
      <c r="K8496">
        <v>73</v>
      </c>
      <c r="L8496">
        <v>13.493460000000001</v>
      </c>
      <c r="M8496">
        <v>30.41488</v>
      </c>
      <c r="N8496">
        <v>10.455360000000001</v>
      </c>
      <c r="O8496">
        <v>19.959520000000001</v>
      </c>
      <c r="P8496">
        <v>20.64048</v>
      </c>
      <c r="Q8496">
        <v>18.714880000000001</v>
      </c>
      <c r="R8496">
        <v>22.27439</v>
      </c>
      <c r="S8496">
        <v>18.714880000000001</v>
      </c>
      <c r="T8496">
        <v>831.93430000000001</v>
      </c>
      <c r="U8496">
        <v>211.44640000000001</v>
      </c>
      <c r="V8496">
        <v>9</v>
      </c>
      <c r="W8496">
        <v>96</v>
      </c>
      <c r="X8496">
        <v>516.89269999999999</v>
      </c>
      <c r="Y8496">
        <v>35</v>
      </c>
      <c r="Z8496">
        <v>176.29759999999999</v>
      </c>
      <c r="AA8496">
        <v>35</v>
      </c>
      <c r="AB8496">
        <v>4.7470829999999999</v>
      </c>
      <c r="AC8496">
        <v>2.5547250000000001E-2</v>
      </c>
      <c r="AD8496">
        <v>1.3923700000000001</v>
      </c>
      <c r="AE8496">
        <v>0.6917605</v>
      </c>
      <c r="AF8496">
        <v>1600.6469999999999</v>
      </c>
      <c r="AG8496">
        <f>IFERROR(AH8496*0.1, "N/A")</f>
        <v>7.6000000000000005</v>
      </c>
      <c r="AH8496">
        <v>76</v>
      </c>
      <c r="AI8496">
        <v>203.83619999999999</v>
      </c>
      <c r="AJ8496">
        <v>32.743940000000002</v>
      </c>
      <c r="AK8496">
        <v>37.768169999999998</v>
      </c>
    </row>
    <row r="8497" spans="1:37" x14ac:dyDescent="0.3">
      <c r="A8497">
        <v>8496</v>
      </c>
      <c r="B8497">
        <v>0</v>
      </c>
      <c r="C8497">
        <v>39.030900000000003</v>
      </c>
      <c r="D8497">
        <v>8.4344199999999994</v>
      </c>
      <c r="E8497" t="s">
        <v>12711</v>
      </c>
      <c r="F8497" t="s">
        <v>12712</v>
      </c>
      <c r="G8497" t="s">
        <v>39</v>
      </c>
      <c r="H8497">
        <v>1994</v>
      </c>
      <c r="I8497">
        <v>20.6</v>
      </c>
      <c r="J8497">
        <v>14.7</v>
      </c>
      <c r="K8497">
        <v>73</v>
      </c>
      <c r="L8497">
        <v>13.61</v>
      </c>
      <c r="M8497">
        <v>30.4</v>
      </c>
      <c r="N8497">
        <v>10.4</v>
      </c>
      <c r="O8497">
        <v>20</v>
      </c>
      <c r="P8497">
        <v>20.6</v>
      </c>
      <c r="Q8497">
        <v>18.7</v>
      </c>
      <c r="R8497">
        <v>22.3</v>
      </c>
      <c r="S8497">
        <v>18.7</v>
      </c>
      <c r="T8497">
        <v>834</v>
      </c>
      <c r="U8497">
        <v>212</v>
      </c>
      <c r="V8497">
        <v>9</v>
      </c>
      <c r="W8497">
        <v>96</v>
      </c>
      <c r="X8497">
        <v>518</v>
      </c>
      <c r="Y8497">
        <v>35</v>
      </c>
      <c r="Z8497">
        <v>177</v>
      </c>
      <c r="AA8497">
        <v>35</v>
      </c>
      <c r="AB8497">
        <v>4.8877040000000003</v>
      </c>
      <c r="AC8497">
        <v>8.5729390000000003E-2</v>
      </c>
      <c r="AD8497">
        <v>2.0725829999999998</v>
      </c>
      <c r="AE8497">
        <v>0.6917605</v>
      </c>
      <c r="AF8497">
        <v>1601.3140000000001</v>
      </c>
      <c r="AG8497">
        <f>IFERROR(AH8497*0.1, "N/A")</f>
        <v>7.5012129999999999</v>
      </c>
      <c r="AH8497">
        <v>75.012129999999999</v>
      </c>
      <c r="AI8497">
        <v>196.18260000000001</v>
      </c>
      <c r="AJ8497">
        <v>31.675909999999998</v>
      </c>
      <c r="AK8497">
        <v>37.445410000000003</v>
      </c>
    </row>
    <row r="8498" spans="1:37" x14ac:dyDescent="0.3">
      <c r="A8498">
        <v>8497</v>
      </c>
      <c r="B8498">
        <v>19.7</v>
      </c>
      <c r="C8498">
        <v>39.2194</v>
      </c>
      <c r="D8498">
        <v>8.4352</v>
      </c>
      <c r="E8498" t="s">
        <v>12713</v>
      </c>
      <c r="F8498" t="s">
        <v>12714</v>
      </c>
      <c r="G8498" t="s">
        <v>37</v>
      </c>
      <c r="H8498">
        <v>1978</v>
      </c>
      <c r="I8498">
        <v>20.8</v>
      </c>
      <c r="J8498">
        <v>14.2</v>
      </c>
      <c r="K8498">
        <v>71</v>
      </c>
      <c r="L8498">
        <v>15.19</v>
      </c>
      <c r="M8498">
        <v>30.7</v>
      </c>
      <c r="N8498">
        <v>10.8</v>
      </c>
      <c r="O8498">
        <v>19.899999999999999</v>
      </c>
      <c r="P8498">
        <v>20.9</v>
      </c>
      <c r="Q8498">
        <v>18.7</v>
      </c>
      <c r="R8498">
        <v>22.7</v>
      </c>
      <c r="S8498">
        <v>18.7</v>
      </c>
      <c r="T8498">
        <v>793</v>
      </c>
      <c r="U8498">
        <v>201</v>
      </c>
      <c r="V8498">
        <v>7</v>
      </c>
      <c r="W8498">
        <v>97</v>
      </c>
      <c r="X8498">
        <v>498</v>
      </c>
      <c r="Y8498">
        <v>32</v>
      </c>
      <c r="Z8498">
        <v>171</v>
      </c>
      <c r="AA8498">
        <v>32</v>
      </c>
      <c r="AB8498">
        <v>2.8254229999999998</v>
      </c>
      <c r="AC8498">
        <v>1.0060400000000001E-2</v>
      </c>
      <c r="AD8498">
        <v>0.93824600000000002</v>
      </c>
      <c r="AE8498">
        <v>0.47752430000000001</v>
      </c>
      <c r="AF8498">
        <v>1542.9079999999999</v>
      </c>
      <c r="AG8498">
        <f>IFERROR(AH8498*0.1, "N/A")</f>
        <v>7.0963480000000008</v>
      </c>
      <c r="AH8498">
        <v>70.963480000000004</v>
      </c>
      <c r="AI8498">
        <v>80.500829999999993</v>
      </c>
      <c r="AJ8498">
        <v>39.012169999999998</v>
      </c>
      <c r="AK8498">
        <v>34.012169999999998</v>
      </c>
    </row>
    <row r="8499" spans="1:37" x14ac:dyDescent="0.3">
      <c r="A8499">
        <v>8498</v>
      </c>
      <c r="B8499">
        <v>12.7</v>
      </c>
      <c r="C8499">
        <v>39.259099999999997</v>
      </c>
      <c r="D8499">
        <v>8.4353999999999996</v>
      </c>
      <c r="E8499" t="s">
        <v>12715</v>
      </c>
      <c r="F8499" t="s">
        <v>12716</v>
      </c>
      <c r="G8499" t="s">
        <v>37</v>
      </c>
      <c r="H8499">
        <v>1978</v>
      </c>
      <c r="I8499">
        <v>20.8</v>
      </c>
      <c r="J8499">
        <v>14.1</v>
      </c>
      <c r="K8499">
        <v>71</v>
      </c>
      <c r="L8499">
        <v>15.38</v>
      </c>
      <c r="M8499">
        <v>30.6</v>
      </c>
      <c r="N8499">
        <v>10.8</v>
      </c>
      <c r="O8499">
        <v>19.8</v>
      </c>
      <c r="P8499">
        <v>21</v>
      </c>
      <c r="Q8499">
        <v>18.600000000000001</v>
      </c>
      <c r="R8499">
        <v>22.7</v>
      </c>
      <c r="S8499">
        <v>18.600000000000001</v>
      </c>
      <c r="T8499">
        <v>787</v>
      </c>
      <c r="U8499">
        <v>199</v>
      </c>
      <c r="V8499">
        <v>6</v>
      </c>
      <c r="W8499">
        <v>97</v>
      </c>
      <c r="X8499">
        <v>491</v>
      </c>
      <c r="Y8499">
        <v>31</v>
      </c>
      <c r="Z8499">
        <v>174</v>
      </c>
      <c r="AA8499">
        <v>31</v>
      </c>
      <c r="AB8499">
        <v>1.0537240000000001</v>
      </c>
      <c r="AC8499">
        <v>1.1696430000000001E-2</v>
      </c>
      <c r="AD8499">
        <v>1.0273829999999999</v>
      </c>
      <c r="AE8499">
        <v>0.38576939999999998</v>
      </c>
      <c r="AF8499">
        <v>1540.924</v>
      </c>
      <c r="AG8499">
        <f>IFERROR(AH8499*0.1, "N/A")</f>
        <v>6.5</v>
      </c>
      <c r="AH8499">
        <v>65</v>
      </c>
      <c r="AI8499">
        <v>157.57759999999999</v>
      </c>
      <c r="AJ8499">
        <v>42</v>
      </c>
      <c r="AK8499">
        <v>36</v>
      </c>
    </row>
    <row r="8500" spans="1:37" x14ac:dyDescent="0.3">
      <c r="A8500">
        <v>8499</v>
      </c>
      <c r="B8500">
        <v>6</v>
      </c>
      <c r="C8500">
        <v>39.235799999999998</v>
      </c>
      <c r="D8500">
        <v>8.4436999999999998</v>
      </c>
      <c r="E8500" t="s">
        <v>12717</v>
      </c>
      <c r="F8500" t="s">
        <v>12718</v>
      </c>
      <c r="G8500" t="s">
        <v>37</v>
      </c>
      <c r="H8500">
        <v>1978</v>
      </c>
      <c r="I8500">
        <v>20.8</v>
      </c>
      <c r="J8500">
        <v>14.2</v>
      </c>
      <c r="K8500">
        <v>71</v>
      </c>
      <c r="L8500">
        <v>15.01</v>
      </c>
      <c r="M8500">
        <v>30.6</v>
      </c>
      <c r="N8500">
        <v>10.8</v>
      </c>
      <c r="O8500">
        <v>19.8</v>
      </c>
      <c r="P8500">
        <v>20.9</v>
      </c>
      <c r="Q8500">
        <v>18.7</v>
      </c>
      <c r="R8500">
        <v>22.7</v>
      </c>
      <c r="S8500">
        <v>18.7</v>
      </c>
      <c r="T8500">
        <v>789</v>
      </c>
      <c r="U8500">
        <v>200</v>
      </c>
      <c r="V8500">
        <v>7</v>
      </c>
      <c r="W8500">
        <v>98</v>
      </c>
      <c r="X8500">
        <v>495</v>
      </c>
      <c r="Y8500">
        <v>32</v>
      </c>
      <c r="Z8500">
        <v>171</v>
      </c>
      <c r="AA8500">
        <v>32</v>
      </c>
      <c r="AB8500">
        <v>0.62867119999999999</v>
      </c>
      <c r="AC8500">
        <v>0.15247620000000001</v>
      </c>
      <c r="AD8500">
        <v>1.035266</v>
      </c>
      <c r="AE8500">
        <v>0.48307650000000002</v>
      </c>
      <c r="AF8500">
        <v>1541.972</v>
      </c>
      <c r="AG8500">
        <f>IFERROR(AH8500*0.1, "N/A")</f>
        <v>6.5</v>
      </c>
      <c r="AH8500">
        <v>65</v>
      </c>
      <c r="AI8500">
        <v>185.71979999999999</v>
      </c>
      <c r="AJ8500">
        <v>39.513840000000002</v>
      </c>
      <c r="AK8500">
        <v>37.140140000000002</v>
      </c>
    </row>
    <row r="8501" spans="1:37" x14ac:dyDescent="0.3">
      <c r="A8501">
        <v>8500</v>
      </c>
      <c r="B8501">
        <v>3</v>
      </c>
      <c r="C8501">
        <v>39.283299999999997</v>
      </c>
      <c r="D8501">
        <v>8.4499999999999993</v>
      </c>
      <c r="E8501" t="s">
        <v>12719</v>
      </c>
      <c r="F8501" t="s">
        <v>12720</v>
      </c>
      <c r="G8501" t="s">
        <v>37</v>
      </c>
      <c r="H8501">
        <v>1987</v>
      </c>
      <c r="I8501">
        <v>20.569839999999999</v>
      </c>
      <c r="J8501">
        <v>14.32166</v>
      </c>
      <c r="K8501">
        <v>71.348349999999996</v>
      </c>
      <c r="L8501">
        <v>15.48293</v>
      </c>
      <c r="M8501">
        <v>30.55199</v>
      </c>
      <c r="N8501">
        <v>10.613340000000001</v>
      </c>
      <c r="O8501">
        <v>19.938649999999999</v>
      </c>
      <c r="P8501">
        <v>20.53969</v>
      </c>
      <c r="Q8501">
        <v>18.513339999999999</v>
      </c>
      <c r="R8501">
        <v>22.613350000000001</v>
      </c>
      <c r="S8501">
        <v>18.513339999999999</v>
      </c>
      <c r="T8501">
        <v>798.77120000000002</v>
      </c>
      <c r="U8501">
        <v>202.03809999999999</v>
      </c>
      <c r="V8501">
        <v>6</v>
      </c>
      <c r="W8501">
        <v>96.131720000000001</v>
      </c>
      <c r="X8501">
        <v>499.2912</v>
      </c>
      <c r="Y8501">
        <v>30.91508</v>
      </c>
      <c r="Z8501">
        <v>175.3484</v>
      </c>
      <c r="AA8501">
        <v>30.91508</v>
      </c>
      <c r="AB8501">
        <v>44.70879</v>
      </c>
      <c r="AC8501">
        <v>3.1394499999999999E-2</v>
      </c>
      <c r="AD8501">
        <v>7.7056040000000001</v>
      </c>
      <c r="AE8501">
        <v>0.50098129999999996</v>
      </c>
      <c r="AF8501">
        <v>1585.86</v>
      </c>
      <c r="AG8501">
        <f>IFERROR(AH8501*0.1, "N/A")</f>
        <v>6.8129980000000003</v>
      </c>
      <c r="AH8501">
        <v>68.129980000000003</v>
      </c>
      <c r="AI8501">
        <v>184.77010000000001</v>
      </c>
      <c r="AJ8501">
        <v>31.604849999999999</v>
      </c>
      <c r="AK8501">
        <v>39.828420000000001</v>
      </c>
    </row>
    <row r="8502" spans="1:37" x14ac:dyDescent="0.3">
      <c r="A8502">
        <v>8501</v>
      </c>
      <c r="B8502">
        <v>78.3</v>
      </c>
      <c r="C8502">
        <v>39.280200000000001</v>
      </c>
      <c r="D8502">
        <v>8.4511099999999999</v>
      </c>
      <c r="E8502" t="s">
        <v>12721</v>
      </c>
      <c r="F8502" t="s">
        <v>12722</v>
      </c>
      <c r="G8502" t="s">
        <v>37</v>
      </c>
      <c r="H8502">
        <v>1983</v>
      </c>
      <c r="I8502">
        <v>20.6</v>
      </c>
      <c r="J8502">
        <v>14.3</v>
      </c>
      <c r="K8502">
        <v>71</v>
      </c>
      <c r="L8502">
        <v>15.5</v>
      </c>
      <c r="M8502">
        <v>30.6</v>
      </c>
      <c r="N8502">
        <v>10.7</v>
      </c>
      <c r="O8502">
        <v>19.899999999999999</v>
      </c>
      <c r="P8502">
        <v>20.6</v>
      </c>
      <c r="Q8502">
        <v>18.600000000000001</v>
      </c>
      <c r="R8502">
        <v>22.7</v>
      </c>
      <c r="S8502">
        <v>18.600000000000001</v>
      </c>
      <c r="T8502">
        <v>797</v>
      </c>
      <c r="U8502">
        <v>202</v>
      </c>
      <c r="V8502">
        <v>6</v>
      </c>
      <c r="W8502">
        <v>96</v>
      </c>
      <c r="X8502">
        <v>498</v>
      </c>
      <c r="Y8502">
        <v>31</v>
      </c>
      <c r="Z8502">
        <v>175</v>
      </c>
      <c r="AA8502">
        <v>31</v>
      </c>
      <c r="AB8502">
        <v>47.104289999999999</v>
      </c>
      <c r="AC8502">
        <v>3.4661360000000002E-2</v>
      </c>
      <c r="AD8502">
        <v>7.8554620000000002</v>
      </c>
      <c r="AE8502">
        <v>0.53509660000000003</v>
      </c>
      <c r="AF8502">
        <v>1587.78</v>
      </c>
      <c r="AG8502">
        <f>IFERROR(AH8502*0.1, "N/A")</f>
        <v>6.7314880000000006</v>
      </c>
      <c r="AH8502">
        <v>67.314880000000002</v>
      </c>
      <c r="AI8502">
        <v>211.1207</v>
      </c>
      <c r="AJ8502">
        <v>31.629760000000001</v>
      </c>
      <c r="AK8502">
        <v>40.685119999999998</v>
      </c>
    </row>
    <row r="8503" spans="1:37" x14ac:dyDescent="0.3">
      <c r="A8503">
        <v>8502</v>
      </c>
      <c r="B8503">
        <v>45.5</v>
      </c>
      <c r="C8503">
        <v>39.784700000000001</v>
      </c>
      <c r="D8503">
        <v>8.4523899999999994</v>
      </c>
      <c r="E8503" t="s">
        <v>12723</v>
      </c>
      <c r="F8503" t="s">
        <v>12724</v>
      </c>
      <c r="G8503" t="s">
        <v>37</v>
      </c>
      <c r="H8503">
        <v>1980</v>
      </c>
      <c r="I8503">
        <v>20.399999999999999</v>
      </c>
      <c r="J8503">
        <v>14.5</v>
      </c>
      <c r="K8503">
        <v>73</v>
      </c>
      <c r="L8503">
        <v>14.68</v>
      </c>
      <c r="M8503">
        <v>30.1</v>
      </c>
      <c r="N8503">
        <v>10.3</v>
      </c>
      <c r="O8503">
        <v>19.8</v>
      </c>
      <c r="P8503">
        <v>20.8</v>
      </c>
      <c r="Q8503">
        <v>18.3</v>
      </c>
      <c r="R8503">
        <v>22.2</v>
      </c>
      <c r="S8503">
        <v>18.3</v>
      </c>
      <c r="T8503">
        <v>880</v>
      </c>
      <c r="U8503">
        <v>176</v>
      </c>
      <c r="V8503">
        <v>5</v>
      </c>
      <c r="W8503">
        <v>74</v>
      </c>
      <c r="X8503">
        <v>467</v>
      </c>
      <c r="Y8503">
        <v>42</v>
      </c>
      <c r="Z8503">
        <v>240</v>
      </c>
      <c r="AA8503">
        <v>42</v>
      </c>
      <c r="AB8503">
        <v>72.948499999999996</v>
      </c>
      <c r="AC8503">
        <v>9.9957840000000006E-3</v>
      </c>
      <c r="AD8503">
        <v>5.6203029999999998</v>
      </c>
      <c r="AE8503">
        <v>0.53308109999999997</v>
      </c>
      <c r="AF8503">
        <v>1773.5509999999999</v>
      </c>
      <c r="AG8503">
        <f>IFERROR(AH8503*0.1, "N/A")</f>
        <v>7.5026000000000002</v>
      </c>
      <c r="AH8503">
        <v>75.025999999999996</v>
      </c>
      <c r="AI8503">
        <v>89.590149999999994</v>
      </c>
      <c r="AJ8503">
        <v>38.08146</v>
      </c>
      <c r="AK8503">
        <v>35.97054</v>
      </c>
    </row>
    <row r="8504" spans="1:37" x14ac:dyDescent="0.3">
      <c r="A8504">
        <v>8503</v>
      </c>
      <c r="B8504">
        <v>2.2999999999999998</v>
      </c>
      <c r="C8504">
        <v>39.450000000000003</v>
      </c>
      <c r="D8504">
        <v>8.4666700000000006</v>
      </c>
      <c r="E8504" t="s">
        <v>12725</v>
      </c>
      <c r="F8504" t="s">
        <v>12726</v>
      </c>
      <c r="G8504" t="s">
        <v>37</v>
      </c>
      <c r="H8504">
        <v>1980</v>
      </c>
      <c r="I8504">
        <v>21.64706</v>
      </c>
      <c r="J8504">
        <v>14.4</v>
      </c>
      <c r="K8504">
        <v>71.555359999999993</v>
      </c>
      <c r="L8504">
        <v>15.54701</v>
      </c>
      <c r="M8504">
        <v>31.4</v>
      </c>
      <c r="N8504">
        <v>11.35554</v>
      </c>
      <c r="O8504">
        <v>20.044460000000001</v>
      </c>
      <c r="P8504">
        <v>21.883220000000001</v>
      </c>
      <c r="Q8504">
        <v>19.44706</v>
      </c>
      <c r="R8504">
        <v>23.547059999999998</v>
      </c>
      <c r="S8504">
        <v>19.44706</v>
      </c>
      <c r="T8504">
        <v>737.00689999999997</v>
      </c>
      <c r="U8504">
        <v>178.44460000000001</v>
      </c>
      <c r="V8504">
        <v>4.8321800000000001</v>
      </c>
      <c r="W8504">
        <v>90.444640000000007</v>
      </c>
      <c r="X8504">
        <v>440.4187</v>
      </c>
      <c r="Y8504">
        <v>30.302769999999999</v>
      </c>
      <c r="Z8504">
        <v>172.22659999999999</v>
      </c>
      <c r="AA8504">
        <v>30.302769999999999</v>
      </c>
      <c r="AB8504">
        <v>2.5956760000000001</v>
      </c>
      <c r="AC8504">
        <v>2.9842590000000002</v>
      </c>
      <c r="AD8504">
        <v>1.0649010000000001</v>
      </c>
      <c r="AE8504">
        <v>0.67327510000000002</v>
      </c>
      <c r="AF8504">
        <v>1421.3409999999999</v>
      </c>
      <c r="AG8504">
        <f>IFERROR(AH8504*0.1, "N/A")</f>
        <v>7.7</v>
      </c>
      <c r="AH8504">
        <v>77</v>
      </c>
      <c r="AI8504">
        <v>260.85680000000002</v>
      </c>
      <c r="AJ8504">
        <v>32.832180000000001</v>
      </c>
      <c r="AK8504">
        <v>36.335639999999998</v>
      </c>
    </row>
    <row r="8505" spans="1:37" x14ac:dyDescent="0.3">
      <c r="A8505">
        <v>8504</v>
      </c>
      <c r="B8505">
        <v>51.2</v>
      </c>
      <c r="C8505">
        <v>39.832000000000001</v>
      </c>
      <c r="D8505">
        <v>8.4870800000000006</v>
      </c>
      <c r="E8505" t="s">
        <v>12727</v>
      </c>
      <c r="F8505" t="s">
        <v>12728</v>
      </c>
      <c r="G8505" t="s">
        <v>37</v>
      </c>
      <c r="H8505">
        <v>1993</v>
      </c>
      <c r="I8505">
        <v>21.3</v>
      </c>
      <c r="J8505">
        <v>14.6</v>
      </c>
      <c r="K8505">
        <v>73</v>
      </c>
      <c r="L8505">
        <v>15.2</v>
      </c>
      <c r="M8505">
        <v>31</v>
      </c>
      <c r="N8505">
        <v>11</v>
      </c>
      <c r="O8505">
        <v>20</v>
      </c>
      <c r="P8505">
        <v>21.7</v>
      </c>
      <c r="Q8505">
        <v>19</v>
      </c>
      <c r="R8505">
        <v>23.1</v>
      </c>
      <c r="S8505">
        <v>19</v>
      </c>
      <c r="T8505">
        <v>829</v>
      </c>
      <c r="U8505">
        <v>166</v>
      </c>
      <c r="V8505">
        <v>5</v>
      </c>
      <c r="W8505">
        <v>74</v>
      </c>
      <c r="X8505">
        <v>436</v>
      </c>
      <c r="Y8505">
        <v>41</v>
      </c>
      <c r="Z8505">
        <v>227</v>
      </c>
      <c r="AA8505">
        <v>41</v>
      </c>
      <c r="AB8505">
        <v>44.824719999999999</v>
      </c>
      <c r="AC8505">
        <v>8.4282410000000002E-2</v>
      </c>
      <c r="AD8505">
        <v>2.7377470000000002</v>
      </c>
      <c r="AE8505">
        <v>0.57041269999999999</v>
      </c>
      <c r="AF8505">
        <v>1585.654</v>
      </c>
      <c r="AG8505">
        <f>IFERROR(AH8505*0.1, "N/A")</f>
        <v>7.802435</v>
      </c>
      <c r="AH8505">
        <v>78.024349999999998</v>
      </c>
      <c r="AI8505">
        <v>324.6395</v>
      </c>
      <c r="AJ8505">
        <v>36.020870000000002</v>
      </c>
      <c r="AK8505">
        <v>33.04522</v>
      </c>
    </row>
    <row r="8506" spans="1:37" x14ac:dyDescent="0.3">
      <c r="A8506">
        <v>8505</v>
      </c>
      <c r="B8506">
        <v>0</v>
      </c>
      <c r="C8506">
        <v>39.333300000000001</v>
      </c>
      <c r="D8506">
        <v>8.5666700000000002</v>
      </c>
      <c r="E8506" t="s">
        <v>12729</v>
      </c>
      <c r="F8506" t="s">
        <v>12730</v>
      </c>
      <c r="G8506" t="s">
        <v>37</v>
      </c>
      <c r="H8506">
        <v>1987</v>
      </c>
      <c r="I8506">
        <v>21.1677</v>
      </c>
      <c r="J8506">
        <v>14.4</v>
      </c>
      <c r="K8506">
        <v>72</v>
      </c>
      <c r="L8506">
        <v>15.16014</v>
      </c>
      <c r="M8506">
        <v>30.963899999999999</v>
      </c>
      <c r="N8506">
        <v>11.14456</v>
      </c>
      <c r="O8506">
        <v>19.81934</v>
      </c>
      <c r="P8506">
        <v>21.048359999999999</v>
      </c>
      <c r="Q8506">
        <v>19.163900000000002</v>
      </c>
      <c r="R8506">
        <v>23.067699999999999</v>
      </c>
      <c r="S8506">
        <v>19.163900000000002</v>
      </c>
      <c r="T8506">
        <v>767.83770000000004</v>
      </c>
      <c r="U8506">
        <v>195.87739999999999</v>
      </c>
      <c r="V8506">
        <v>5.7685659999999999</v>
      </c>
      <c r="W8506">
        <v>96.962000000000003</v>
      </c>
      <c r="X8506">
        <v>479.1157</v>
      </c>
      <c r="Y8506">
        <v>29.398959999999999</v>
      </c>
      <c r="Z8506">
        <v>169.36099999999999</v>
      </c>
      <c r="AA8506">
        <v>29.398959999999999</v>
      </c>
      <c r="AB8506">
        <v>5.3319380000000001</v>
      </c>
      <c r="AC8506">
        <v>0.27879870000000001</v>
      </c>
      <c r="AD8506">
        <v>3.3771409999999999</v>
      </c>
      <c r="AE8506">
        <v>0.71292670000000002</v>
      </c>
      <c r="AF8506">
        <v>1479.9839999999999</v>
      </c>
      <c r="AG8506">
        <f>IFERROR(AH8506*0.1, "N/A")</f>
        <v>7.523143000000001</v>
      </c>
      <c r="AH8506">
        <v>75.231430000000003</v>
      </c>
      <c r="AI8506">
        <v>130.0668</v>
      </c>
      <c r="AJ8506">
        <v>32</v>
      </c>
      <c r="AK8506">
        <v>38</v>
      </c>
    </row>
    <row r="8507" spans="1:37" x14ac:dyDescent="0.3">
      <c r="A8507">
        <v>8506</v>
      </c>
      <c r="B8507">
        <v>0</v>
      </c>
      <c r="C8507">
        <v>41.466700000000003</v>
      </c>
      <c r="D8507">
        <v>8.5666700000000002</v>
      </c>
      <c r="E8507" t="s">
        <v>12731</v>
      </c>
      <c r="F8507" t="s">
        <v>12732</v>
      </c>
      <c r="G8507" t="s">
        <v>37</v>
      </c>
      <c r="H8507">
        <v>1987</v>
      </c>
      <c r="I8507">
        <v>21.520759999999999</v>
      </c>
      <c r="J8507">
        <v>13.60069</v>
      </c>
      <c r="K8507">
        <v>79.799310000000006</v>
      </c>
      <c r="L8507">
        <v>7.7035640000000001</v>
      </c>
      <c r="M8507">
        <v>29.520759999999999</v>
      </c>
      <c r="N8507">
        <v>12.57924</v>
      </c>
      <c r="O8507">
        <v>16.941520000000001</v>
      </c>
      <c r="P8507">
        <v>22.32076</v>
      </c>
      <c r="Q8507">
        <v>20.36713</v>
      </c>
      <c r="R8507">
        <v>22.332180000000001</v>
      </c>
      <c r="S8507">
        <v>20.36713</v>
      </c>
      <c r="T8507">
        <v>745.39790000000005</v>
      </c>
      <c r="U8507">
        <v>115.3287</v>
      </c>
      <c r="V8507">
        <v>5</v>
      </c>
      <c r="W8507">
        <v>57.121110000000002</v>
      </c>
      <c r="X8507">
        <v>281.6574</v>
      </c>
      <c r="Y8507">
        <v>44</v>
      </c>
      <c r="Z8507">
        <v>274.44979999999998</v>
      </c>
      <c r="AA8507">
        <v>44</v>
      </c>
      <c r="AB8507">
        <v>4.211411</v>
      </c>
      <c r="AC8507">
        <v>0.38499810000000001</v>
      </c>
      <c r="AD8507">
        <v>1.12185</v>
      </c>
      <c r="AE8507">
        <v>0.65696600000000005</v>
      </c>
      <c r="AF8507">
        <v>1451.2370000000001</v>
      </c>
      <c r="AG8507">
        <f>IFERROR(AH8507*0.1, "N/A")</f>
        <v>7.6757790000000004</v>
      </c>
      <c r="AH8507">
        <v>76.75779</v>
      </c>
      <c r="AI8507">
        <v>143.81630000000001</v>
      </c>
      <c r="AJ8507">
        <v>39.878889999999998</v>
      </c>
      <c r="AK8507">
        <v>36</v>
      </c>
    </row>
    <row r="8508" spans="1:37" x14ac:dyDescent="0.3">
      <c r="A8508">
        <v>8507</v>
      </c>
      <c r="B8508">
        <v>2.2000000000000002</v>
      </c>
      <c r="C8508">
        <v>39.724299999999999</v>
      </c>
      <c r="D8508">
        <v>8.6157000000000004</v>
      </c>
      <c r="E8508" t="s">
        <v>12733</v>
      </c>
      <c r="F8508" t="s">
        <v>12734</v>
      </c>
      <c r="G8508" t="s">
        <v>37</v>
      </c>
      <c r="H8508">
        <v>1980</v>
      </c>
      <c r="I8508">
        <v>23.8</v>
      </c>
      <c r="J8508">
        <v>15.1</v>
      </c>
      <c r="K8508">
        <v>70</v>
      </c>
      <c r="L8508">
        <v>17.53</v>
      </c>
      <c r="M8508">
        <v>34</v>
      </c>
      <c r="N8508">
        <v>12.6</v>
      </c>
      <c r="O8508">
        <v>21.4</v>
      </c>
      <c r="P8508">
        <v>24.6</v>
      </c>
      <c r="Q8508">
        <v>21.2</v>
      </c>
      <c r="R8508">
        <v>25.6</v>
      </c>
      <c r="S8508">
        <v>21.2</v>
      </c>
      <c r="T8508">
        <v>628</v>
      </c>
      <c r="U8508">
        <v>144</v>
      </c>
      <c r="V8508">
        <v>3</v>
      </c>
      <c r="W8508">
        <v>83</v>
      </c>
      <c r="X8508">
        <v>351</v>
      </c>
      <c r="Y8508">
        <v>28</v>
      </c>
      <c r="Z8508">
        <v>151</v>
      </c>
      <c r="AA8508">
        <v>28</v>
      </c>
      <c r="AB8508">
        <v>8.6932550000000006</v>
      </c>
      <c r="AC8508">
        <v>8.4970289999999997E-3</v>
      </c>
      <c r="AD8508">
        <v>2.2720310000000001</v>
      </c>
      <c r="AE8508">
        <v>0.35012490000000002</v>
      </c>
      <c r="AF8508">
        <v>1185.395</v>
      </c>
      <c r="AG8508">
        <f>IFERROR(AH8508*0.1, "N/A")</f>
        <v>7.7958619999999996</v>
      </c>
      <c r="AH8508">
        <v>77.958619999999996</v>
      </c>
      <c r="AI8508">
        <v>257.23259999999999</v>
      </c>
      <c r="AJ8508">
        <v>33</v>
      </c>
      <c r="AK8508">
        <v>35.520690000000002</v>
      </c>
    </row>
    <row r="8509" spans="1:37" x14ac:dyDescent="0.3">
      <c r="A8509">
        <v>8508</v>
      </c>
      <c r="B8509">
        <v>6.8</v>
      </c>
      <c r="C8509">
        <v>39.433300000000003</v>
      </c>
      <c r="D8509">
        <v>8.6666699999999999</v>
      </c>
      <c r="E8509" t="s">
        <v>12735</v>
      </c>
      <c r="F8509" t="s">
        <v>12736</v>
      </c>
      <c r="G8509" t="s">
        <v>37</v>
      </c>
      <c r="H8509">
        <v>1978</v>
      </c>
      <c r="I8509">
        <v>21.732009999999999</v>
      </c>
      <c r="J8509">
        <v>14.6</v>
      </c>
      <c r="K8509">
        <v>72</v>
      </c>
      <c r="L8509">
        <v>15.41554</v>
      </c>
      <c r="M8509">
        <v>31.546890000000001</v>
      </c>
      <c r="N8509">
        <v>11.4</v>
      </c>
      <c r="O8509">
        <v>20.146889999999999</v>
      </c>
      <c r="P8509">
        <v>21.733219999999999</v>
      </c>
      <c r="Q8509">
        <v>19.632010000000001</v>
      </c>
      <c r="R8509">
        <v>23.678889999999999</v>
      </c>
      <c r="S8509">
        <v>19.632010000000001</v>
      </c>
      <c r="T8509">
        <v>747.84429999999998</v>
      </c>
      <c r="U8509">
        <v>184.81659999999999</v>
      </c>
      <c r="V8509">
        <v>5</v>
      </c>
      <c r="W8509">
        <v>94.136679999999998</v>
      </c>
      <c r="X8509">
        <v>456.31310000000002</v>
      </c>
      <c r="Y8509">
        <v>29</v>
      </c>
      <c r="Z8509">
        <v>170.53110000000001</v>
      </c>
      <c r="AA8509">
        <v>29</v>
      </c>
      <c r="AB8509">
        <v>2.665235</v>
      </c>
      <c r="AC8509">
        <v>1.8180130000000001</v>
      </c>
      <c r="AD8509">
        <v>1.1954720000000001</v>
      </c>
      <c r="AE8509">
        <v>0.59633939999999996</v>
      </c>
      <c r="AF8509">
        <v>1459.529</v>
      </c>
      <c r="AG8509">
        <f>IFERROR(AH8509*0.1, "N/A")</f>
        <v>7.6482700000000001</v>
      </c>
      <c r="AH8509">
        <v>76.482699999999994</v>
      </c>
      <c r="AI8509">
        <v>100.7265</v>
      </c>
      <c r="AJ8509">
        <v>34.903109999999998</v>
      </c>
      <c r="AK8509">
        <v>36.527679999999997</v>
      </c>
    </row>
    <row r="8510" spans="1:37" x14ac:dyDescent="0.3">
      <c r="A8510">
        <v>8509</v>
      </c>
      <c r="B8510">
        <v>3.3</v>
      </c>
      <c r="C8510">
        <v>37.633299999999998</v>
      </c>
      <c r="D8510">
        <v>8.6833299999999998</v>
      </c>
      <c r="E8510" t="s">
        <v>12737</v>
      </c>
      <c r="F8510" t="s">
        <v>12738</v>
      </c>
      <c r="G8510" t="s">
        <v>37</v>
      </c>
      <c r="H8510">
        <v>1987</v>
      </c>
      <c r="I8510">
        <v>15.09516</v>
      </c>
      <c r="J8510">
        <v>14.020899999999999</v>
      </c>
      <c r="K8510">
        <v>79.233159999999998</v>
      </c>
      <c r="L8510">
        <v>7.7369599999999998</v>
      </c>
      <c r="M8510">
        <v>24.092749999999999</v>
      </c>
      <c r="N8510">
        <v>6.4951639999999999</v>
      </c>
      <c r="O8510">
        <v>17.597580000000001</v>
      </c>
      <c r="P8510">
        <v>14.139379999999999</v>
      </c>
      <c r="Q8510">
        <v>14.92625</v>
      </c>
      <c r="R8510">
        <v>16.071850000000001</v>
      </c>
      <c r="S8510">
        <v>14.139379999999999</v>
      </c>
      <c r="T8510">
        <v>1345.231</v>
      </c>
      <c r="U8510">
        <v>268.7133</v>
      </c>
      <c r="V8510">
        <v>13.79102</v>
      </c>
      <c r="W8510">
        <v>79.898099999999999</v>
      </c>
      <c r="X8510">
        <v>734.67880000000002</v>
      </c>
      <c r="Y8510">
        <v>51.582039999999999</v>
      </c>
      <c r="Z8510">
        <v>216.63210000000001</v>
      </c>
      <c r="AA8510">
        <v>734.67880000000002</v>
      </c>
      <c r="AB8510">
        <v>14.844239999999999</v>
      </c>
      <c r="AC8510">
        <v>0.42493370000000003</v>
      </c>
      <c r="AD8510">
        <v>9.8749909999999996</v>
      </c>
      <c r="AE8510">
        <v>0.66333140000000002</v>
      </c>
      <c r="AF8510">
        <v>2637.7840000000001</v>
      </c>
      <c r="AG8510">
        <f>IFERROR(AH8510*0.1, "N/A")</f>
        <v>5.4</v>
      </c>
      <c r="AH8510">
        <v>54</v>
      </c>
      <c r="AI8510">
        <v>237.40539999999999</v>
      </c>
      <c r="AJ8510">
        <v>35</v>
      </c>
      <c r="AK8510">
        <v>35</v>
      </c>
    </row>
    <row r="8511" spans="1:37" x14ac:dyDescent="0.3">
      <c r="A8511">
        <v>8510</v>
      </c>
      <c r="B8511">
        <v>0</v>
      </c>
      <c r="C8511">
        <v>37.633299999999998</v>
      </c>
      <c r="D8511">
        <v>8.6833299999999998</v>
      </c>
      <c r="E8511" t="s">
        <v>12737</v>
      </c>
      <c r="F8511" t="s">
        <v>12739</v>
      </c>
      <c r="G8511" t="s">
        <v>39</v>
      </c>
      <c r="H8511">
        <v>1987</v>
      </c>
      <c r="I8511">
        <v>15.09516</v>
      </c>
      <c r="J8511">
        <v>14.020899999999999</v>
      </c>
      <c r="K8511">
        <v>79.233159999999998</v>
      </c>
      <c r="L8511">
        <v>7.7369599999999998</v>
      </c>
      <c r="M8511">
        <v>24.092749999999999</v>
      </c>
      <c r="N8511">
        <v>6.4951639999999999</v>
      </c>
      <c r="O8511">
        <v>17.597580000000001</v>
      </c>
      <c r="P8511">
        <v>14.139379999999999</v>
      </c>
      <c r="Q8511">
        <v>14.92625</v>
      </c>
      <c r="R8511">
        <v>16.071850000000001</v>
      </c>
      <c r="S8511">
        <v>14.139379999999999</v>
      </c>
      <c r="T8511">
        <v>1345.231</v>
      </c>
      <c r="U8511">
        <v>268.7133</v>
      </c>
      <c r="V8511">
        <v>13.79102</v>
      </c>
      <c r="W8511">
        <v>79.898099999999999</v>
      </c>
      <c r="X8511">
        <v>734.67880000000002</v>
      </c>
      <c r="Y8511">
        <v>51.582039999999999</v>
      </c>
      <c r="Z8511">
        <v>216.63210000000001</v>
      </c>
      <c r="AA8511">
        <v>734.67880000000002</v>
      </c>
      <c r="AB8511">
        <v>14.844239999999999</v>
      </c>
      <c r="AC8511">
        <v>0.42493370000000003</v>
      </c>
      <c r="AD8511">
        <v>9.8749909999999996</v>
      </c>
      <c r="AE8511">
        <v>0.66333140000000002</v>
      </c>
      <c r="AF8511">
        <v>2637.7840000000001</v>
      </c>
      <c r="AG8511">
        <f>IFERROR(AH8511*0.1, "N/A")</f>
        <v>5.4</v>
      </c>
      <c r="AH8511">
        <v>54</v>
      </c>
      <c r="AI8511">
        <v>237.40539999999999</v>
      </c>
      <c r="AJ8511">
        <v>35</v>
      </c>
      <c r="AK8511">
        <v>35</v>
      </c>
    </row>
    <row r="8512" spans="1:37" x14ac:dyDescent="0.3">
      <c r="A8512">
        <v>8511</v>
      </c>
      <c r="B8512">
        <v>0</v>
      </c>
      <c r="C8512">
        <v>39.790900000000001</v>
      </c>
      <c r="D8512">
        <v>8.7002100000000002</v>
      </c>
      <c r="E8512" t="s">
        <v>12740</v>
      </c>
      <c r="F8512" t="s">
        <v>12741</v>
      </c>
      <c r="G8512" t="s">
        <v>37</v>
      </c>
      <c r="H8512">
        <v>1980</v>
      </c>
      <c r="I8512">
        <v>24.2</v>
      </c>
      <c r="J8512">
        <v>15.3</v>
      </c>
      <c r="K8512">
        <v>69.461010000000002</v>
      </c>
      <c r="L8512">
        <v>18.42475</v>
      </c>
      <c r="M8512">
        <v>34.707799999999999</v>
      </c>
      <c r="N8512">
        <v>12.8</v>
      </c>
      <c r="O8512">
        <v>21.907800000000002</v>
      </c>
      <c r="P8512">
        <v>25.2</v>
      </c>
      <c r="Q8512">
        <v>21.5</v>
      </c>
      <c r="R8512">
        <v>26.1539</v>
      </c>
      <c r="S8512">
        <v>21.5</v>
      </c>
      <c r="T8512">
        <v>607.53899999999999</v>
      </c>
      <c r="U8512">
        <v>139</v>
      </c>
      <c r="V8512">
        <v>3.5389949999999999</v>
      </c>
      <c r="W8512">
        <v>83</v>
      </c>
      <c r="X8512">
        <v>335</v>
      </c>
      <c r="Y8512">
        <v>28.538989999999998</v>
      </c>
      <c r="Z8512">
        <v>214</v>
      </c>
      <c r="AA8512">
        <v>28.538989999999998</v>
      </c>
      <c r="AB8512">
        <v>27.805700000000002</v>
      </c>
      <c r="AC8512">
        <v>8.4514299999999994E-3</v>
      </c>
      <c r="AD8512">
        <v>0.77673199999999998</v>
      </c>
      <c r="AE8512">
        <v>0.3636935</v>
      </c>
      <c r="AF8512">
        <v>1151.471</v>
      </c>
      <c r="AG8512">
        <f>IFERROR(AH8512*0.1, "N/A")</f>
        <v>7.7</v>
      </c>
      <c r="AH8512">
        <v>77</v>
      </c>
      <c r="AI8512">
        <v>60.901000000000003</v>
      </c>
      <c r="AJ8512">
        <v>32</v>
      </c>
      <c r="AK8512">
        <v>36</v>
      </c>
    </row>
    <row r="8513" spans="1:37" x14ac:dyDescent="0.3">
      <c r="A8513">
        <v>8512</v>
      </c>
      <c r="B8513">
        <v>0</v>
      </c>
      <c r="C8513">
        <v>38.97</v>
      </c>
      <c r="D8513">
        <v>8.7461699999999993</v>
      </c>
      <c r="E8513" t="s">
        <v>12742</v>
      </c>
      <c r="F8513" t="s">
        <v>12743</v>
      </c>
      <c r="G8513" t="s">
        <v>37</v>
      </c>
      <c r="H8513">
        <v>1956</v>
      </c>
      <c r="I8513">
        <v>18.8</v>
      </c>
      <c r="J8513">
        <v>14.9</v>
      </c>
      <c r="K8513">
        <v>75</v>
      </c>
      <c r="L8513">
        <v>11.63</v>
      </c>
      <c r="M8513">
        <v>28.3</v>
      </c>
      <c r="N8513">
        <v>8.5</v>
      </c>
      <c r="O8513">
        <v>19.8</v>
      </c>
      <c r="P8513">
        <v>18.399999999999999</v>
      </c>
      <c r="Q8513">
        <v>17.3</v>
      </c>
      <c r="R8513">
        <v>20.399999999999999</v>
      </c>
      <c r="S8513">
        <v>17.3</v>
      </c>
      <c r="T8513">
        <v>883</v>
      </c>
      <c r="U8513">
        <v>231</v>
      </c>
      <c r="V8513">
        <v>5</v>
      </c>
      <c r="W8513">
        <v>103</v>
      </c>
      <c r="X8513">
        <v>569</v>
      </c>
      <c r="Y8513">
        <v>23</v>
      </c>
      <c r="Z8513">
        <v>157</v>
      </c>
      <c r="AA8513">
        <v>23</v>
      </c>
      <c r="AB8513">
        <v>1.345418</v>
      </c>
      <c r="AC8513">
        <v>5.4779210000000003</v>
      </c>
      <c r="AD8513">
        <v>0.7490947</v>
      </c>
      <c r="AE8513">
        <v>0.85566540000000002</v>
      </c>
      <c r="AF8513">
        <v>1894.934</v>
      </c>
      <c r="AG8513">
        <f>IFERROR(AH8513*0.1, "N/A")</f>
        <v>6.9948189999999997</v>
      </c>
      <c r="AH8513">
        <v>69.948189999999997</v>
      </c>
      <c r="AI8513">
        <v>247.50309999999999</v>
      </c>
      <c r="AJ8513">
        <v>44.015540000000001</v>
      </c>
      <c r="AK8513">
        <v>25.94819</v>
      </c>
    </row>
    <row r="8514" spans="1:37" x14ac:dyDescent="0.3">
      <c r="A8514">
        <v>8513</v>
      </c>
      <c r="B8514">
        <v>0</v>
      </c>
      <c r="C8514">
        <v>38.97</v>
      </c>
      <c r="D8514">
        <v>8.7461699999999993</v>
      </c>
      <c r="E8514" t="s">
        <v>12742</v>
      </c>
      <c r="F8514" t="s">
        <v>12744</v>
      </c>
      <c r="G8514" t="s">
        <v>39</v>
      </c>
      <c r="H8514">
        <v>1956</v>
      </c>
      <c r="I8514">
        <v>18.8</v>
      </c>
      <c r="J8514">
        <v>14.9</v>
      </c>
      <c r="K8514">
        <v>75</v>
      </c>
      <c r="L8514">
        <v>11.63</v>
      </c>
      <c r="M8514">
        <v>28.3</v>
      </c>
      <c r="N8514">
        <v>8.5</v>
      </c>
      <c r="O8514">
        <v>19.8</v>
      </c>
      <c r="P8514">
        <v>18.399999999999999</v>
      </c>
      <c r="Q8514">
        <v>17.3</v>
      </c>
      <c r="R8514">
        <v>20.399999999999999</v>
      </c>
      <c r="S8514">
        <v>17.3</v>
      </c>
      <c r="T8514">
        <v>883</v>
      </c>
      <c r="U8514">
        <v>231</v>
      </c>
      <c r="V8514">
        <v>5</v>
      </c>
      <c r="W8514">
        <v>103</v>
      </c>
      <c r="X8514">
        <v>569</v>
      </c>
      <c r="Y8514">
        <v>23</v>
      </c>
      <c r="Z8514">
        <v>157</v>
      </c>
      <c r="AA8514">
        <v>23</v>
      </c>
      <c r="AB8514">
        <v>1.345418</v>
      </c>
      <c r="AC8514">
        <v>5.4779210000000003</v>
      </c>
      <c r="AD8514">
        <v>0.7490947</v>
      </c>
      <c r="AE8514">
        <v>0.85566540000000002</v>
      </c>
      <c r="AF8514">
        <v>1894.934</v>
      </c>
      <c r="AG8514">
        <f>IFERROR(AH8514*0.1, "N/A")</f>
        <v>6.9948189999999997</v>
      </c>
      <c r="AH8514">
        <v>69.948189999999997</v>
      </c>
      <c r="AI8514">
        <v>247.50309999999999</v>
      </c>
      <c r="AJ8514">
        <v>44.015540000000001</v>
      </c>
      <c r="AK8514">
        <v>25.94819</v>
      </c>
    </row>
    <row r="8515" spans="1:37" x14ac:dyDescent="0.3">
      <c r="A8515">
        <v>8514</v>
      </c>
      <c r="B8515">
        <v>0</v>
      </c>
      <c r="C8515">
        <v>38.9833</v>
      </c>
      <c r="D8515">
        <v>8.75</v>
      </c>
      <c r="E8515" t="s">
        <v>12745</v>
      </c>
      <c r="F8515" t="s">
        <v>12746</v>
      </c>
      <c r="G8515" t="s">
        <v>37</v>
      </c>
      <c r="H8515">
        <v>1978</v>
      </c>
      <c r="I8515">
        <v>18.751719999999999</v>
      </c>
      <c r="J8515">
        <v>14.9</v>
      </c>
      <c r="K8515">
        <v>74.931030000000007</v>
      </c>
      <c r="L8515">
        <v>11.578139999999999</v>
      </c>
      <c r="M8515">
        <v>28.306899999999999</v>
      </c>
      <c r="N8515">
        <v>8.5</v>
      </c>
      <c r="O8515">
        <v>19.806899999999999</v>
      </c>
      <c r="P8515">
        <v>18.35172</v>
      </c>
      <c r="Q8515">
        <v>17.253789999999999</v>
      </c>
      <c r="R8515">
        <v>20.360690000000002</v>
      </c>
      <c r="S8515">
        <v>17.253789999999999</v>
      </c>
      <c r="T8515">
        <v>890.51030000000003</v>
      </c>
      <c r="U8515">
        <v>231.93100000000001</v>
      </c>
      <c r="V8515">
        <v>5</v>
      </c>
      <c r="W8515">
        <v>102.069</v>
      </c>
      <c r="X8515">
        <v>571.86210000000005</v>
      </c>
      <c r="Y8515">
        <v>23.517240000000001</v>
      </c>
      <c r="Z8515">
        <v>160.64830000000001</v>
      </c>
      <c r="AA8515">
        <v>23.517240000000001</v>
      </c>
      <c r="AB8515">
        <v>26.150729999999999</v>
      </c>
      <c r="AC8515">
        <v>3.1863540000000003E-2</v>
      </c>
      <c r="AD8515">
        <v>4.3246510000000002</v>
      </c>
      <c r="AE8515">
        <v>0.80801699999999999</v>
      </c>
      <c r="AF8515">
        <v>1913.91</v>
      </c>
      <c r="AG8515">
        <f>IFERROR(AH8515*0.1, "N/A")</f>
        <v>6.4889660000000013</v>
      </c>
      <c r="AH8515">
        <v>64.889660000000006</v>
      </c>
      <c r="AI8515">
        <v>119.9654</v>
      </c>
      <c r="AJ8515">
        <v>43.944830000000003</v>
      </c>
      <c r="AK8515">
        <v>29.124140000000001</v>
      </c>
    </row>
    <row r="8516" spans="1:37" x14ac:dyDescent="0.3">
      <c r="A8516">
        <v>8515</v>
      </c>
      <c r="B8516">
        <v>0.5</v>
      </c>
      <c r="C8516">
        <v>39.864899999999999</v>
      </c>
      <c r="D8516">
        <v>8.7743599999999997</v>
      </c>
      <c r="E8516" t="s">
        <v>12747</v>
      </c>
      <c r="F8516" t="s">
        <v>12748</v>
      </c>
      <c r="G8516" t="s">
        <v>37</v>
      </c>
      <c r="H8516">
        <v>1980</v>
      </c>
      <c r="I8516">
        <v>25</v>
      </c>
      <c r="J8516">
        <v>15.37889</v>
      </c>
      <c r="K8516">
        <v>68</v>
      </c>
      <c r="L8516">
        <v>19.582660000000001</v>
      </c>
      <c r="M8516">
        <v>35.621110000000002</v>
      </c>
      <c r="N8516">
        <v>13.2</v>
      </c>
      <c r="O8516">
        <v>22.421109999999999</v>
      </c>
      <c r="P8516">
        <v>26.178889999999999</v>
      </c>
      <c r="Q8516">
        <v>22.1</v>
      </c>
      <c r="R8516">
        <v>27.1</v>
      </c>
      <c r="S8516">
        <v>22.1</v>
      </c>
      <c r="T8516">
        <v>538.36680000000001</v>
      </c>
      <c r="U8516">
        <v>129</v>
      </c>
      <c r="V8516">
        <v>3</v>
      </c>
      <c r="W8516">
        <v>84</v>
      </c>
      <c r="X8516">
        <v>296.78890000000001</v>
      </c>
      <c r="Y8516">
        <v>29</v>
      </c>
      <c r="Z8516">
        <v>185</v>
      </c>
      <c r="AA8516">
        <v>29</v>
      </c>
      <c r="AB8516">
        <v>5.839607</v>
      </c>
      <c r="AC8516">
        <v>3.1841510000000003E-2</v>
      </c>
      <c r="AD8516">
        <v>1.1274329999999999</v>
      </c>
      <c r="AE8516">
        <v>0.3769265</v>
      </c>
      <c r="AF8516">
        <v>992.37890000000004</v>
      </c>
      <c r="AG8516">
        <f>IFERROR(AH8516*0.1, "N/A")</f>
        <v>7.0198960000000001</v>
      </c>
      <c r="AH8516">
        <v>70.19896</v>
      </c>
      <c r="AI8516">
        <v>115.4769</v>
      </c>
      <c r="AJ8516">
        <v>33.179929999999999</v>
      </c>
      <c r="AK8516">
        <v>35.181660000000001</v>
      </c>
    </row>
    <row r="8517" spans="1:37" x14ac:dyDescent="0.3">
      <c r="A8517">
        <v>8516</v>
      </c>
      <c r="B8517">
        <v>0</v>
      </c>
      <c r="C8517">
        <v>39.864899999999999</v>
      </c>
      <c r="D8517">
        <v>8.7743599999999997</v>
      </c>
      <c r="E8517" t="s">
        <v>12747</v>
      </c>
      <c r="F8517" t="s">
        <v>12749</v>
      </c>
      <c r="G8517" t="s">
        <v>39</v>
      </c>
      <c r="H8517">
        <v>1977</v>
      </c>
      <c r="I8517">
        <v>25</v>
      </c>
      <c r="J8517">
        <v>15.37889</v>
      </c>
      <c r="K8517">
        <v>68</v>
      </c>
      <c r="L8517">
        <v>19.582660000000001</v>
      </c>
      <c r="M8517">
        <v>35.621110000000002</v>
      </c>
      <c r="N8517">
        <v>13.2</v>
      </c>
      <c r="O8517">
        <v>22.421109999999999</v>
      </c>
      <c r="P8517">
        <v>26.178889999999999</v>
      </c>
      <c r="Q8517">
        <v>22.1</v>
      </c>
      <c r="R8517">
        <v>27.1</v>
      </c>
      <c r="S8517">
        <v>22.1</v>
      </c>
      <c r="T8517">
        <v>538.36680000000001</v>
      </c>
      <c r="U8517">
        <v>129</v>
      </c>
      <c r="V8517">
        <v>3</v>
      </c>
      <c r="W8517">
        <v>84</v>
      </c>
      <c r="X8517">
        <v>296.78890000000001</v>
      </c>
      <c r="Y8517">
        <v>29</v>
      </c>
      <c r="Z8517">
        <v>185</v>
      </c>
      <c r="AA8517">
        <v>29</v>
      </c>
      <c r="AB8517">
        <v>5.839607</v>
      </c>
      <c r="AC8517">
        <v>3.1841510000000003E-2</v>
      </c>
      <c r="AD8517">
        <v>1.1274329999999999</v>
      </c>
      <c r="AE8517">
        <v>0.3769265</v>
      </c>
      <c r="AF8517">
        <v>992.37890000000004</v>
      </c>
      <c r="AG8517">
        <f>IFERROR(AH8517*0.1, "N/A")</f>
        <v>7.0198960000000001</v>
      </c>
      <c r="AH8517">
        <v>70.19896</v>
      </c>
      <c r="AI8517">
        <v>115.4769</v>
      </c>
      <c r="AJ8517">
        <v>33.179929999999999</v>
      </c>
      <c r="AK8517">
        <v>35.181660000000001</v>
      </c>
    </row>
    <row r="8518" spans="1:37" x14ac:dyDescent="0.3">
      <c r="A8518">
        <v>8517</v>
      </c>
      <c r="B8518">
        <v>18.399999999999999</v>
      </c>
      <c r="C8518">
        <v>40.5167</v>
      </c>
      <c r="D8518">
        <v>8.8166700000000002</v>
      </c>
      <c r="E8518" t="s">
        <v>12750</v>
      </c>
      <c r="F8518" t="s">
        <v>12751</v>
      </c>
      <c r="G8518" t="s">
        <v>37</v>
      </c>
      <c r="H8518">
        <v>1989</v>
      </c>
      <c r="I8518">
        <v>20.211089999999999</v>
      </c>
      <c r="J8518">
        <v>14.172790000000001</v>
      </c>
      <c r="K8518">
        <v>74.497399999999999</v>
      </c>
      <c r="L8518">
        <v>12.84248</v>
      </c>
      <c r="M8518">
        <v>29.549569999999999</v>
      </c>
      <c r="N8518">
        <v>10.588039999999999</v>
      </c>
      <c r="O8518">
        <v>18.96152</v>
      </c>
      <c r="P8518">
        <v>20.576779999999999</v>
      </c>
      <c r="Q8518">
        <v>18.42305</v>
      </c>
      <c r="R8518">
        <v>21.749569999999999</v>
      </c>
      <c r="S8518">
        <v>18.37678</v>
      </c>
      <c r="T8518">
        <v>1095.8910000000001</v>
      </c>
      <c r="U8518">
        <v>181.8596</v>
      </c>
      <c r="V8518">
        <v>6</v>
      </c>
      <c r="W8518">
        <v>62.272100000000002</v>
      </c>
      <c r="X8518">
        <v>487.0641</v>
      </c>
      <c r="Y8518">
        <v>65.845749999999995</v>
      </c>
      <c r="Z8518">
        <v>367.09190000000001</v>
      </c>
      <c r="AA8518">
        <v>66.154250000000005</v>
      </c>
      <c r="AB8518">
        <v>39.548760000000001</v>
      </c>
      <c r="AC8518">
        <v>2.8172470000000002E-2</v>
      </c>
      <c r="AD8518">
        <v>7.0992240000000004</v>
      </c>
      <c r="AE8518">
        <v>0.60285730000000004</v>
      </c>
      <c r="AF8518">
        <v>1797.336</v>
      </c>
      <c r="AG8518">
        <f>IFERROR(AH8518*0.1, "N/A")</f>
        <v>7.0003469999999997</v>
      </c>
      <c r="AH8518">
        <v>70.003469999999993</v>
      </c>
      <c r="AI8518">
        <v>168.70339999999999</v>
      </c>
      <c r="AJ8518">
        <v>40.121319999999997</v>
      </c>
      <c r="AK8518">
        <v>37.77816</v>
      </c>
    </row>
    <row r="8519" spans="1:37" x14ac:dyDescent="0.3">
      <c r="A8519">
        <v>8518</v>
      </c>
      <c r="B8519">
        <v>0</v>
      </c>
      <c r="C8519">
        <v>39.924399999999999</v>
      </c>
      <c r="D8519">
        <v>8.8377999999999997</v>
      </c>
      <c r="E8519" t="s">
        <v>12752</v>
      </c>
      <c r="F8519" t="s">
        <v>12753</v>
      </c>
      <c r="G8519" t="s">
        <v>37</v>
      </c>
      <c r="H8519">
        <v>1980</v>
      </c>
      <c r="I8519">
        <v>24.9</v>
      </c>
      <c r="J8519">
        <v>15.2</v>
      </c>
      <c r="K8519">
        <v>66</v>
      </c>
      <c r="L8519">
        <v>20.32657</v>
      </c>
      <c r="M8519">
        <v>35.700000000000003</v>
      </c>
      <c r="N8519">
        <v>12.975949999999999</v>
      </c>
      <c r="O8519">
        <v>22.724049999999998</v>
      </c>
      <c r="P8519">
        <v>26</v>
      </c>
      <c r="Q8519">
        <v>21.975950000000001</v>
      </c>
      <c r="R8519">
        <v>27.2</v>
      </c>
      <c r="S8519">
        <v>21.975950000000001</v>
      </c>
      <c r="T8519">
        <v>530.48099999999999</v>
      </c>
      <c r="U8519">
        <v>131</v>
      </c>
      <c r="V8519">
        <v>4</v>
      </c>
      <c r="W8519">
        <v>83.759519999999995</v>
      </c>
      <c r="X8519">
        <v>294</v>
      </c>
      <c r="Y8519">
        <v>32.240479999999998</v>
      </c>
      <c r="Z8519">
        <v>184</v>
      </c>
      <c r="AA8519">
        <v>32.240479999999998</v>
      </c>
      <c r="AB8519">
        <v>4.9041499999999996</v>
      </c>
      <c r="AC8519">
        <v>1.485043E-2</v>
      </c>
      <c r="AD8519">
        <v>1.402153</v>
      </c>
      <c r="AE8519">
        <v>0.49967099999999998</v>
      </c>
      <c r="AF8519">
        <v>963.71450000000004</v>
      </c>
      <c r="AG8519">
        <f>IFERROR(AH8519*0.1, "N/A")</f>
        <v>7.0942910000000001</v>
      </c>
      <c r="AH8519">
        <v>70.942909999999998</v>
      </c>
      <c r="AI8519">
        <v>205.74299999999999</v>
      </c>
      <c r="AJ8519">
        <v>37.737020000000001</v>
      </c>
      <c r="AK8519">
        <v>31.2699</v>
      </c>
    </row>
    <row r="8520" spans="1:37" x14ac:dyDescent="0.3">
      <c r="A8520">
        <v>8519</v>
      </c>
      <c r="B8520">
        <v>0</v>
      </c>
      <c r="C8520">
        <v>39.924399999999999</v>
      </c>
      <c r="D8520">
        <v>8.8377999999999997</v>
      </c>
      <c r="E8520" t="s">
        <v>12752</v>
      </c>
      <c r="F8520" t="s">
        <v>12754</v>
      </c>
      <c r="G8520" t="s">
        <v>39</v>
      </c>
      <c r="H8520">
        <v>1977</v>
      </c>
      <c r="I8520">
        <v>24.9</v>
      </c>
      <c r="J8520">
        <v>15.2</v>
      </c>
      <c r="K8520">
        <v>66</v>
      </c>
      <c r="L8520">
        <v>20.32657</v>
      </c>
      <c r="M8520">
        <v>35.700000000000003</v>
      </c>
      <c r="N8520">
        <v>12.975949999999999</v>
      </c>
      <c r="O8520">
        <v>22.724049999999998</v>
      </c>
      <c r="P8520">
        <v>26</v>
      </c>
      <c r="Q8520">
        <v>21.975950000000001</v>
      </c>
      <c r="R8520">
        <v>27.2</v>
      </c>
      <c r="S8520">
        <v>21.975950000000001</v>
      </c>
      <c r="T8520">
        <v>530.48099999999999</v>
      </c>
      <c r="U8520">
        <v>131</v>
      </c>
      <c r="V8520">
        <v>4</v>
      </c>
      <c r="W8520">
        <v>83.759519999999995</v>
      </c>
      <c r="X8520">
        <v>294</v>
      </c>
      <c r="Y8520">
        <v>32.240479999999998</v>
      </c>
      <c r="Z8520">
        <v>184</v>
      </c>
      <c r="AA8520">
        <v>32.240479999999998</v>
      </c>
      <c r="AB8520">
        <v>4.9041499999999996</v>
      </c>
      <c r="AC8520">
        <v>1.485043E-2</v>
      </c>
      <c r="AD8520">
        <v>1.402153</v>
      </c>
      <c r="AE8520">
        <v>0.49967099999999998</v>
      </c>
      <c r="AF8520">
        <v>963.71450000000004</v>
      </c>
      <c r="AG8520">
        <f>IFERROR(AH8520*0.1, "N/A")</f>
        <v>7.0942910000000001</v>
      </c>
      <c r="AH8520">
        <v>70.942909999999998</v>
      </c>
      <c r="AI8520">
        <v>205.74299999999999</v>
      </c>
      <c r="AJ8520">
        <v>37.737020000000001</v>
      </c>
      <c r="AK8520">
        <v>31.2699</v>
      </c>
    </row>
    <row r="8521" spans="1:37" x14ac:dyDescent="0.3">
      <c r="A8521">
        <v>8520</v>
      </c>
      <c r="B8521">
        <v>28.7</v>
      </c>
      <c r="C8521">
        <v>40.18</v>
      </c>
      <c r="D8521">
        <v>8.85</v>
      </c>
      <c r="E8521" t="s">
        <v>12755</v>
      </c>
      <c r="F8521" t="s">
        <v>12756</v>
      </c>
      <c r="G8521" t="s">
        <v>37</v>
      </c>
      <c r="H8521">
        <v>1987</v>
      </c>
      <c r="I8521">
        <v>24.665510000000001</v>
      </c>
      <c r="J8521">
        <v>15.1</v>
      </c>
      <c r="K8521">
        <v>68</v>
      </c>
      <c r="L8521">
        <v>18.448630000000001</v>
      </c>
      <c r="M8521">
        <v>35.200000000000003</v>
      </c>
      <c r="N8521">
        <v>13.265510000000001</v>
      </c>
      <c r="O8521">
        <v>21.93449</v>
      </c>
      <c r="P8521">
        <v>25.36551</v>
      </c>
      <c r="Q8521">
        <v>22.06551</v>
      </c>
      <c r="R8521">
        <v>26.765509999999999</v>
      </c>
      <c r="S8521">
        <v>22.06551</v>
      </c>
      <c r="T8521">
        <v>674.1386</v>
      </c>
      <c r="U8521">
        <v>136.68979999999999</v>
      </c>
      <c r="V8521">
        <v>8</v>
      </c>
      <c r="W8521">
        <v>68</v>
      </c>
      <c r="X8521">
        <v>327.7244</v>
      </c>
      <c r="Y8521">
        <v>46.344889999999999</v>
      </c>
      <c r="Z8521">
        <v>170.37950000000001</v>
      </c>
      <c r="AA8521">
        <v>46.344889999999999</v>
      </c>
      <c r="AB8521">
        <v>22.661390000000001</v>
      </c>
      <c r="AC8521">
        <v>0.1141585</v>
      </c>
      <c r="AD8521">
        <v>8.7160860000000007</v>
      </c>
      <c r="AE8521">
        <v>0.24685389999999999</v>
      </c>
      <c r="AF8521">
        <v>1100.671</v>
      </c>
      <c r="AG8521">
        <f>IFERROR(AH8521*0.1, "N/A")</f>
        <v>7.5057190000000009</v>
      </c>
      <c r="AH8521">
        <v>75.057190000000006</v>
      </c>
      <c r="AI8521">
        <v>107.3661</v>
      </c>
      <c r="AJ8521">
        <v>30</v>
      </c>
      <c r="AK8521">
        <v>41</v>
      </c>
    </row>
    <row r="8522" spans="1:37" x14ac:dyDescent="0.3">
      <c r="A8522">
        <v>8521</v>
      </c>
      <c r="B8522">
        <v>0</v>
      </c>
      <c r="C8522">
        <v>38.811500000000002</v>
      </c>
      <c r="D8522">
        <v>8.8512000000000004</v>
      </c>
      <c r="E8522" t="s">
        <v>12757</v>
      </c>
      <c r="F8522" t="s">
        <v>12758</v>
      </c>
      <c r="G8522" t="s">
        <v>37</v>
      </c>
      <c r="H8522">
        <v>1989</v>
      </c>
      <c r="I8522">
        <v>18.3</v>
      </c>
      <c r="J8522">
        <v>15.7</v>
      </c>
      <c r="K8522">
        <v>75</v>
      </c>
      <c r="L8522">
        <v>10.039999999999999</v>
      </c>
      <c r="M8522">
        <v>28.5</v>
      </c>
      <c r="N8522">
        <v>7.7</v>
      </c>
      <c r="O8522">
        <v>20.8</v>
      </c>
      <c r="P8522">
        <v>17.600000000000001</v>
      </c>
      <c r="Q8522">
        <v>17.3</v>
      </c>
      <c r="R8522">
        <v>19.899999999999999</v>
      </c>
      <c r="S8522">
        <v>17.3</v>
      </c>
      <c r="T8522">
        <v>977</v>
      </c>
      <c r="U8522">
        <v>244</v>
      </c>
      <c r="V8522">
        <v>5</v>
      </c>
      <c r="W8522">
        <v>97</v>
      </c>
      <c r="X8522">
        <v>606</v>
      </c>
      <c r="Y8522">
        <v>25</v>
      </c>
      <c r="Z8522">
        <v>200</v>
      </c>
      <c r="AA8522">
        <v>25</v>
      </c>
      <c r="AB8522">
        <v>47.217059999999996</v>
      </c>
      <c r="AC8522">
        <v>8.6961109999999994E-3</v>
      </c>
      <c r="AD8522">
        <v>8.3968220000000002</v>
      </c>
      <c r="AE8522">
        <v>0.75741340000000001</v>
      </c>
      <c r="AF8522">
        <v>2117.7429999999999</v>
      </c>
      <c r="AG8522">
        <f>IFERROR(AH8522*0.1, "N/A")</f>
        <v>6.814508</v>
      </c>
      <c r="AH8522">
        <v>68.145079999999993</v>
      </c>
      <c r="AI8522">
        <v>189.8647</v>
      </c>
      <c r="AJ8522">
        <v>45.713299999999997</v>
      </c>
      <c r="AK8522">
        <v>25.288430000000002</v>
      </c>
    </row>
    <row r="8523" spans="1:37" x14ac:dyDescent="0.3">
      <c r="A8523">
        <v>8522</v>
      </c>
      <c r="B8523">
        <v>1.7</v>
      </c>
      <c r="C8523">
        <v>38.792900000000003</v>
      </c>
      <c r="D8523">
        <v>8.8600300000000001</v>
      </c>
      <c r="E8523" t="s">
        <v>12759</v>
      </c>
      <c r="F8523" t="s">
        <v>12760</v>
      </c>
      <c r="G8523" t="s">
        <v>37</v>
      </c>
      <c r="H8523">
        <v>1989</v>
      </c>
      <c r="I8523">
        <v>18.7</v>
      </c>
      <c r="J8523">
        <v>16</v>
      </c>
      <c r="K8523">
        <v>75</v>
      </c>
      <c r="L8523">
        <v>10.19</v>
      </c>
      <c r="M8523">
        <v>29.1</v>
      </c>
      <c r="N8523">
        <v>7.8</v>
      </c>
      <c r="O8523">
        <v>21.3</v>
      </c>
      <c r="P8523">
        <v>17.899999999999999</v>
      </c>
      <c r="Q8523">
        <v>17.600000000000001</v>
      </c>
      <c r="R8523">
        <v>20.2</v>
      </c>
      <c r="S8523">
        <v>17.600000000000001</v>
      </c>
      <c r="T8523">
        <v>954</v>
      </c>
      <c r="U8523">
        <v>244</v>
      </c>
      <c r="V8523">
        <v>5</v>
      </c>
      <c r="W8523">
        <v>100</v>
      </c>
      <c r="X8523">
        <v>600</v>
      </c>
      <c r="Y8523">
        <v>23</v>
      </c>
      <c r="Z8523">
        <v>191</v>
      </c>
      <c r="AA8523">
        <v>23</v>
      </c>
      <c r="AB8523">
        <v>6.441338</v>
      </c>
      <c r="AC8523">
        <v>1.448414E-2</v>
      </c>
      <c r="AD8523">
        <v>1.540281</v>
      </c>
      <c r="AE8523">
        <v>0.8206812</v>
      </c>
      <c r="AF8523">
        <v>2072.6750000000002</v>
      </c>
      <c r="AG8523">
        <f>IFERROR(AH8523*0.1, "N/A")</f>
        <v>6.9</v>
      </c>
      <c r="AH8523">
        <v>69</v>
      </c>
      <c r="AI8523">
        <v>311.84930000000003</v>
      </c>
      <c r="AJ8523">
        <v>48</v>
      </c>
      <c r="AK8523">
        <v>23</v>
      </c>
    </row>
    <row r="8524" spans="1:37" x14ac:dyDescent="0.3">
      <c r="A8524">
        <v>8523</v>
      </c>
      <c r="B8524">
        <v>0</v>
      </c>
      <c r="C8524">
        <v>38.796900000000001</v>
      </c>
      <c r="D8524">
        <v>8.8633299999999995</v>
      </c>
      <c r="E8524" t="s">
        <v>12761</v>
      </c>
      <c r="F8524" t="s">
        <v>12762</v>
      </c>
      <c r="G8524" t="s">
        <v>37</v>
      </c>
      <c r="H8524">
        <v>1989</v>
      </c>
      <c r="I8524">
        <v>18.7</v>
      </c>
      <c r="J8524">
        <v>16</v>
      </c>
      <c r="K8524">
        <v>75</v>
      </c>
      <c r="L8524">
        <v>10.19</v>
      </c>
      <c r="M8524">
        <v>29.1</v>
      </c>
      <c r="N8524">
        <v>7.8</v>
      </c>
      <c r="O8524">
        <v>21.3</v>
      </c>
      <c r="P8524">
        <v>17.899999999999999</v>
      </c>
      <c r="Q8524">
        <v>17.600000000000001</v>
      </c>
      <c r="R8524">
        <v>20.2</v>
      </c>
      <c r="S8524">
        <v>17.600000000000001</v>
      </c>
      <c r="T8524">
        <v>954</v>
      </c>
      <c r="U8524">
        <v>244</v>
      </c>
      <c r="V8524">
        <v>5</v>
      </c>
      <c r="W8524">
        <v>100</v>
      </c>
      <c r="X8524">
        <v>600</v>
      </c>
      <c r="Y8524">
        <v>23</v>
      </c>
      <c r="Z8524">
        <v>191</v>
      </c>
      <c r="AA8524">
        <v>23</v>
      </c>
      <c r="AB8524">
        <v>16.154620000000001</v>
      </c>
      <c r="AC8524">
        <v>3.4053319999999998E-2</v>
      </c>
      <c r="AD8524">
        <v>1.865418</v>
      </c>
      <c r="AE8524">
        <v>0.82071050000000001</v>
      </c>
      <c r="AF8524">
        <v>2084.4140000000002</v>
      </c>
      <c r="AG8524">
        <f>IFERROR(AH8524*0.1, "N/A")</f>
        <v>6.8291380000000004</v>
      </c>
      <c r="AH8524">
        <v>68.291380000000004</v>
      </c>
      <c r="AI8524">
        <v>268.84930000000003</v>
      </c>
      <c r="AJ8524">
        <v>45.944830000000003</v>
      </c>
      <c r="AK8524">
        <v>25.05517</v>
      </c>
    </row>
    <row r="8525" spans="1:37" x14ac:dyDescent="0.3">
      <c r="A8525">
        <v>8524</v>
      </c>
      <c r="B8525">
        <v>5.6</v>
      </c>
      <c r="C8525">
        <v>38.786900000000003</v>
      </c>
      <c r="D8525">
        <v>8.8657500000000002</v>
      </c>
      <c r="E8525" t="s">
        <v>12763</v>
      </c>
      <c r="F8525" t="s">
        <v>12764</v>
      </c>
      <c r="G8525" t="s">
        <v>37</v>
      </c>
      <c r="H8525">
        <v>1989</v>
      </c>
      <c r="I8525">
        <v>18.7</v>
      </c>
      <c r="J8525">
        <v>16</v>
      </c>
      <c r="K8525">
        <v>75</v>
      </c>
      <c r="L8525">
        <v>10.308299999999999</v>
      </c>
      <c r="M8525">
        <v>29.1</v>
      </c>
      <c r="N8525">
        <v>7.9</v>
      </c>
      <c r="O8525">
        <v>21.2</v>
      </c>
      <c r="P8525">
        <v>17.899999999999999</v>
      </c>
      <c r="Q8525">
        <v>17.7</v>
      </c>
      <c r="R8525">
        <v>20.3</v>
      </c>
      <c r="S8525">
        <v>17.7</v>
      </c>
      <c r="T8525">
        <v>952.15599999999995</v>
      </c>
      <c r="U8525">
        <v>244</v>
      </c>
      <c r="V8525">
        <v>5</v>
      </c>
      <c r="W8525">
        <v>100</v>
      </c>
      <c r="X8525">
        <v>599.15599999999995</v>
      </c>
      <c r="Y8525">
        <v>23</v>
      </c>
      <c r="Z8525">
        <v>190</v>
      </c>
      <c r="AA8525">
        <v>23</v>
      </c>
      <c r="AB8525">
        <v>1.5883929999999999</v>
      </c>
      <c r="AC8525">
        <v>0.1098348</v>
      </c>
      <c r="AD8525">
        <v>1.073075</v>
      </c>
      <c r="AE8525">
        <v>0.83959300000000003</v>
      </c>
      <c r="AF8525">
        <v>2065.5680000000002</v>
      </c>
      <c r="AG8525">
        <f>IFERROR(AH8525*0.1, "N/A")</f>
        <v>7.192374</v>
      </c>
      <c r="AH8525">
        <v>71.923739999999995</v>
      </c>
      <c r="AI8525">
        <v>147.52260000000001</v>
      </c>
      <c r="AJ8525">
        <v>43.497399999999999</v>
      </c>
      <c r="AK8525">
        <v>27.16638</v>
      </c>
    </row>
    <row r="8526" spans="1:37" x14ac:dyDescent="0.3">
      <c r="A8526">
        <v>8525</v>
      </c>
      <c r="B8526">
        <v>0</v>
      </c>
      <c r="C8526">
        <v>43.15</v>
      </c>
      <c r="D8526">
        <v>8.8666999999999998</v>
      </c>
      <c r="E8526" t="s">
        <v>12765</v>
      </c>
      <c r="F8526" t="s">
        <v>12766</v>
      </c>
      <c r="G8526" t="s">
        <v>37</v>
      </c>
      <c r="H8526">
        <v>1989</v>
      </c>
      <c r="I8526">
        <v>21.740069999999999</v>
      </c>
      <c r="J8526">
        <v>14.963039999999999</v>
      </c>
      <c r="K8526">
        <v>71</v>
      </c>
      <c r="L8526">
        <v>12.475680000000001</v>
      </c>
      <c r="M8526">
        <v>30.903110000000002</v>
      </c>
      <c r="N8526">
        <v>9.9400689999999994</v>
      </c>
      <c r="O8526">
        <v>20.963039999999999</v>
      </c>
      <c r="P8526">
        <v>22.80311</v>
      </c>
      <c r="Q8526">
        <v>20.093779999999999</v>
      </c>
      <c r="R8526">
        <v>22.825040000000001</v>
      </c>
      <c r="S8526">
        <v>19.80311</v>
      </c>
      <c r="T8526">
        <v>528.43700000000001</v>
      </c>
      <c r="U8526">
        <v>89.968909999999994</v>
      </c>
      <c r="V8526">
        <v>3</v>
      </c>
      <c r="W8526">
        <v>66.18826</v>
      </c>
      <c r="X8526">
        <v>217.93780000000001</v>
      </c>
      <c r="Y8526">
        <v>22</v>
      </c>
      <c r="Z8526">
        <v>212.93780000000001</v>
      </c>
      <c r="AA8526">
        <v>22.968910000000001</v>
      </c>
      <c r="AB8526">
        <v>25.154050000000002</v>
      </c>
      <c r="AC8526">
        <v>2.7808820000000001E-2</v>
      </c>
      <c r="AD8526">
        <v>1.034289</v>
      </c>
      <c r="AE8526">
        <v>0.26604470000000002</v>
      </c>
      <c r="AF8526">
        <v>1393.8979999999999</v>
      </c>
      <c r="AG8526">
        <f>IFERROR(AH8526*0.1, "N/A")</f>
        <v>7.8212440000000001</v>
      </c>
      <c r="AH8526">
        <v>78.212440000000001</v>
      </c>
      <c r="AI8526">
        <v>135.74690000000001</v>
      </c>
      <c r="AJ8526">
        <v>26.787559999999999</v>
      </c>
      <c r="AK8526">
        <v>54</v>
      </c>
    </row>
    <row r="8527" spans="1:37" x14ac:dyDescent="0.3">
      <c r="A8527">
        <v>8526</v>
      </c>
      <c r="B8527">
        <v>0.5</v>
      </c>
      <c r="C8527">
        <v>38.7913</v>
      </c>
      <c r="D8527">
        <v>8.8688900000000004</v>
      </c>
      <c r="E8527" t="s">
        <v>12767</v>
      </c>
      <c r="F8527" t="s">
        <v>12768</v>
      </c>
      <c r="G8527" t="s">
        <v>37</v>
      </c>
      <c r="H8527">
        <v>1989</v>
      </c>
      <c r="I8527">
        <v>18.696709999999999</v>
      </c>
      <c r="J8527">
        <v>16</v>
      </c>
      <c r="K8527">
        <v>75</v>
      </c>
      <c r="L8527">
        <v>10.17066</v>
      </c>
      <c r="M8527">
        <v>29.1</v>
      </c>
      <c r="N8527">
        <v>7.8967130000000001</v>
      </c>
      <c r="O8527">
        <v>21.203289999999999</v>
      </c>
      <c r="P8527">
        <v>17.899999999999999</v>
      </c>
      <c r="Q8527">
        <v>17.696709999999999</v>
      </c>
      <c r="R8527">
        <v>20.296710000000001</v>
      </c>
      <c r="S8527">
        <v>17.696709999999999</v>
      </c>
      <c r="T8527">
        <v>954.23009999999999</v>
      </c>
      <c r="U8527">
        <v>244.03290000000001</v>
      </c>
      <c r="V8527">
        <v>5</v>
      </c>
      <c r="W8527">
        <v>99.967129999999997</v>
      </c>
      <c r="X8527">
        <v>601.06569999999999</v>
      </c>
      <c r="Y8527">
        <v>23</v>
      </c>
      <c r="Z8527">
        <v>190.13149999999999</v>
      </c>
      <c r="AA8527">
        <v>23</v>
      </c>
      <c r="AB8527">
        <v>44.366160000000001</v>
      </c>
      <c r="AC8527">
        <v>8.4476800000000008E-3</v>
      </c>
      <c r="AD8527">
        <v>6.1156269999999999</v>
      </c>
      <c r="AE8527">
        <v>0.83959300000000003</v>
      </c>
      <c r="AF8527">
        <v>2112.663</v>
      </c>
      <c r="AG8527">
        <f>IFERROR(AH8527*0.1, "N/A")</f>
        <v>6.3110730000000004</v>
      </c>
      <c r="AH8527">
        <v>63.110729999999997</v>
      </c>
      <c r="AI8527">
        <v>272.38459999999998</v>
      </c>
      <c r="AJ8527">
        <v>45.048439999999999</v>
      </c>
      <c r="AK8527">
        <v>25</v>
      </c>
    </row>
    <row r="8528" spans="1:37" x14ac:dyDescent="0.3">
      <c r="A8528">
        <v>8527</v>
      </c>
      <c r="B8528">
        <v>2.9</v>
      </c>
      <c r="C8528">
        <v>38.787199999999999</v>
      </c>
      <c r="D8528">
        <v>8.8716000000000008</v>
      </c>
      <c r="E8528" t="s">
        <v>12769</v>
      </c>
      <c r="F8528" t="s">
        <v>12770</v>
      </c>
      <c r="G8528" t="s">
        <v>37</v>
      </c>
      <c r="H8528">
        <v>1989</v>
      </c>
      <c r="I8528">
        <v>18.7</v>
      </c>
      <c r="J8528">
        <v>16</v>
      </c>
      <c r="K8528">
        <v>75</v>
      </c>
      <c r="L8528">
        <v>10.17</v>
      </c>
      <c r="M8528">
        <v>29.1</v>
      </c>
      <c r="N8528">
        <v>7.9</v>
      </c>
      <c r="O8528">
        <v>21.2</v>
      </c>
      <c r="P8528">
        <v>17.899999999999999</v>
      </c>
      <c r="Q8528">
        <v>17.7</v>
      </c>
      <c r="R8528">
        <v>20.3</v>
      </c>
      <c r="S8528">
        <v>17.7</v>
      </c>
      <c r="T8528">
        <v>954</v>
      </c>
      <c r="U8528">
        <v>244</v>
      </c>
      <c r="V8528">
        <v>5</v>
      </c>
      <c r="W8528">
        <v>100</v>
      </c>
      <c r="X8528">
        <v>601</v>
      </c>
      <c r="Y8528">
        <v>23</v>
      </c>
      <c r="Z8528">
        <v>190</v>
      </c>
      <c r="AA8528">
        <v>23</v>
      </c>
      <c r="AB8528">
        <v>6.4730160000000003</v>
      </c>
      <c r="AC8528">
        <v>1.7814389999999999E-2</v>
      </c>
      <c r="AD8528">
        <v>2.0692780000000002</v>
      </c>
      <c r="AE8528">
        <v>0.83959300000000003</v>
      </c>
      <c r="AF8528">
        <v>2063.9859999999999</v>
      </c>
      <c r="AG8528">
        <f>IFERROR(AH8528*0.1, "N/A")</f>
        <v>6.3514680000000006</v>
      </c>
      <c r="AH8528">
        <v>63.514679999999998</v>
      </c>
      <c r="AI8528">
        <v>193.8639</v>
      </c>
      <c r="AJ8528">
        <v>46.464590000000001</v>
      </c>
      <c r="AK8528">
        <v>23.680479999999999</v>
      </c>
    </row>
    <row r="8529" spans="1:37" x14ac:dyDescent="0.3">
      <c r="A8529">
        <v>8528</v>
      </c>
      <c r="B8529">
        <v>1.9</v>
      </c>
      <c r="C8529">
        <v>38.7986</v>
      </c>
      <c r="D8529">
        <v>8.8733699999999995</v>
      </c>
      <c r="E8529" t="s">
        <v>12771</v>
      </c>
      <c r="F8529" t="s">
        <v>12772</v>
      </c>
      <c r="G8529" t="s">
        <v>37</v>
      </c>
      <c r="H8529">
        <v>1989</v>
      </c>
      <c r="I8529">
        <v>18.600000000000001</v>
      </c>
      <c r="J8529">
        <v>16</v>
      </c>
      <c r="K8529">
        <v>75</v>
      </c>
      <c r="L8529">
        <v>10.19</v>
      </c>
      <c r="M8529">
        <v>29.1</v>
      </c>
      <c r="N8529">
        <v>7.8</v>
      </c>
      <c r="O8529">
        <v>21.3</v>
      </c>
      <c r="P8529">
        <v>17.899999999999999</v>
      </c>
      <c r="Q8529">
        <v>17.600000000000001</v>
      </c>
      <c r="R8529">
        <v>20.2</v>
      </c>
      <c r="S8529">
        <v>17.600000000000001</v>
      </c>
      <c r="T8529">
        <v>961</v>
      </c>
      <c r="U8529">
        <v>245</v>
      </c>
      <c r="V8529">
        <v>5</v>
      </c>
      <c r="W8529">
        <v>99</v>
      </c>
      <c r="X8529">
        <v>603</v>
      </c>
      <c r="Y8529">
        <v>23</v>
      </c>
      <c r="Z8529">
        <v>194</v>
      </c>
      <c r="AA8529">
        <v>23</v>
      </c>
      <c r="AB8529">
        <v>32.053109999999997</v>
      </c>
      <c r="AC8529">
        <v>8.593715E-3</v>
      </c>
      <c r="AD8529">
        <v>2.5996920000000001</v>
      </c>
      <c r="AE8529">
        <v>0.7727484</v>
      </c>
      <c r="AF8529">
        <v>2111.1559999999999</v>
      </c>
      <c r="AG8529">
        <f>IFERROR(AH8529*0.1, "N/A")</f>
        <v>6.6188580000000004</v>
      </c>
      <c r="AH8529">
        <v>66.188580000000002</v>
      </c>
      <c r="AI8529">
        <v>237.7432</v>
      </c>
      <c r="AJ8529">
        <v>45.811419999999998</v>
      </c>
      <c r="AK8529">
        <v>26.811419999999998</v>
      </c>
    </row>
    <row r="8530" spans="1:37" x14ac:dyDescent="0.3">
      <c r="A8530">
        <v>8529</v>
      </c>
      <c r="B8530">
        <v>1</v>
      </c>
      <c r="C8530">
        <v>38.776600000000002</v>
      </c>
      <c r="D8530">
        <v>8.8803800000000006</v>
      </c>
      <c r="E8530" t="s">
        <v>12773</v>
      </c>
      <c r="F8530" t="s">
        <v>12774</v>
      </c>
      <c r="G8530" t="s">
        <v>37</v>
      </c>
      <c r="H8530">
        <v>1989</v>
      </c>
      <c r="I8530">
        <v>18.600000000000001</v>
      </c>
      <c r="J8530">
        <v>16.100000000000001</v>
      </c>
      <c r="K8530">
        <v>74</v>
      </c>
      <c r="L8530">
        <v>10.53</v>
      </c>
      <c r="M8530">
        <v>29.2</v>
      </c>
      <c r="N8530">
        <v>7.7</v>
      </c>
      <c r="O8530">
        <v>21.5</v>
      </c>
      <c r="P8530">
        <v>17.8</v>
      </c>
      <c r="Q8530">
        <v>17.600000000000001</v>
      </c>
      <c r="R8530">
        <v>20.2</v>
      </c>
      <c r="S8530">
        <v>17.600000000000001</v>
      </c>
      <c r="T8530">
        <v>964</v>
      </c>
      <c r="U8530">
        <v>246</v>
      </c>
      <c r="V8530">
        <v>5</v>
      </c>
      <c r="W8530">
        <v>99</v>
      </c>
      <c r="X8530">
        <v>605</v>
      </c>
      <c r="Y8530">
        <v>23</v>
      </c>
      <c r="Z8530">
        <v>194</v>
      </c>
      <c r="AA8530">
        <v>23</v>
      </c>
      <c r="AB8530">
        <v>24.910520000000002</v>
      </c>
      <c r="AC8530">
        <v>1.3180880000000001E-2</v>
      </c>
      <c r="AD8530">
        <v>2.867766</v>
      </c>
      <c r="AE8530">
        <v>0.79687370000000002</v>
      </c>
      <c r="AF8530">
        <v>2102.9169999999999</v>
      </c>
      <c r="AG8530">
        <f>IFERROR(AH8530*0.1, "N/A")</f>
        <v>6.9424139999999994</v>
      </c>
      <c r="AH8530">
        <v>69.424139999999994</v>
      </c>
      <c r="AI8530">
        <v>171.9777</v>
      </c>
      <c r="AJ8530">
        <v>44.691380000000002</v>
      </c>
      <c r="AK8530">
        <v>27.422409999999999</v>
      </c>
    </row>
    <row r="8531" spans="1:37" x14ac:dyDescent="0.3">
      <c r="A8531">
        <v>8530</v>
      </c>
      <c r="B8531">
        <v>0</v>
      </c>
      <c r="C8531">
        <v>38.806100000000001</v>
      </c>
      <c r="D8531">
        <v>8.8831900000000008</v>
      </c>
      <c r="E8531" t="s">
        <v>12775</v>
      </c>
      <c r="F8531" t="s">
        <v>12776</v>
      </c>
      <c r="G8531" t="s">
        <v>37</v>
      </c>
      <c r="H8531">
        <v>1989</v>
      </c>
      <c r="I8531">
        <v>18.438859999999998</v>
      </c>
      <c r="J8531">
        <v>15.83886</v>
      </c>
      <c r="K8531">
        <v>74.694299999999998</v>
      </c>
      <c r="L8531">
        <v>10.025029999999999</v>
      </c>
      <c r="M8531">
        <v>28.76943</v>
      </c>
      <c r="N8531">
        <v>7.7694299999999998</v>
      </c>
      <c r="O8531">
        <v>21</v>
      </c>
      <c r="P8531">
        <v>17.669429999999998</v>
      </c>
      <c r="Q8531">
        <v>17.438859999999998</v>
      </c>
      <c r="R8531">
        <v>19.969429999999999</v>
      </c>
      <c r="S8531">
        <v>17.438859999999998</v>
      </c>
      <c r="T8531">
        <v>972.27980000000002</v>
      </c>
      <c r="U8531">
        <v>245</v>
      </c>
      <c r="V8531">
        <v>5</v>
      </c>
      <c r="W8531">
        <v>98.694299999999998</v>
      </c>
      <c r="X8531">
        <v>607.22280000000001</v>
      </c>
      <c r="Y8531">
        <v>23.6114</v>
      </c>
      <c r="Z8531">
        <v>197.22280000000001</v>
      </c>
      <c r="AA8531">
        <v>23.6114</v>
      </c>
      <c r="AB8531">
        <v>20.942029999999999</v>
      </c>
      <c r="AC8531">
        <v>7.6681780000000005E-2</v>
      </c>
      <c r="AD8531">
        <v>5.6055840000000003</v>
      </c>
      <c r="AE8531">
        <v>0.81069250000000004</v>
      </c>
      <c r="AF8531">
        <v>2121.7860000000001</v>
      </c>
      <c r="AG8531">
        <f>IFERROR(AH8531*0.1, "N/A")</f>
        <v>6.4</v>
      </c>
      <c r="AH8531">
        <v>64</v>
      </c>
      <c r="AI8531">
        <v>216.97200000000001</v>
      </c>
      <c r="AJ8531">
        <v>50.317790000000002</v>
      </c>
      <c r="AK8531">
        <v>21.64594</v>
      </c>
    </row>
    <row r="8532" spans="1:37" x14ac:dyDescent="0.3">
      <c r="A8532">
        <v>8531</v>
      </c>
      <c r="B8532">
        <v>0.4</v>
      </c>
      <c r="C8532">
        <v>38.786200000000001</v>
      </c>
      <c r="D8532">
        <v>8.8861899999999991</v>
      </c>
      <c r="E8532" t="s">
        <v>12777</v>
      </c>
      <c r="F8532" t="s">
        <v>12778</v>
      </c>
      <c r="G8532" t="s">
        <v>37</v>
      </c>
      <c r="H8532">
        <v>1989</v>
      </c>
      <c r="I8532">
        <v>18.600000000000001</v>
      </c>
      <c r="J8532">
        <v>16</v>
      </c>
      <c r="K8532">
        <v>75</v>
      </c>
      <c r="L8532">
        <v>10.220000000000001</v>
      </c>
      <c r="M8532">
        <v>29</v>
      </c>
      <c r="N8532">
        <v>7.8</v>
      </c>
      <c r="O8532">
        <v>21.2</v>
      </c>
      <c r="P8532">
        <v>17.8</v>
      </c>
      <c r="Q8532">
        <v>17.600000000000001</v>
      </c>
      <c r="R8532">
        <v>20.2</v>
      </c>
      <c r="S8532">
        <v>17.600000000000001</v>
      </c>
      <c r="T8532">
        <v>965</v>
      </c>
      <c r="U8532">
        <v>245</v>
      </c>
      <c r="V8532">
        <v>5</v>
      </c>
      <c r="W8532">
        <v>99</v>
      </c>
      <c r="X8532">
        <v>605</v>
      </c>
      <c r="Y8532">
        <v>23</v>
      </c>
      <c r="Z8532">
        <v>195</v>
      </c>
      <c r="AA8532">
        <v>23</v>
      </c>
      <c r="AB8532">
        <v>34.039169999999999</v>
      </c>
      <c r="AC8532">
        <v>2.2418879999999999E-2</v>
      </c>
      <c r="AD8532">
        <v>3.6642260000000002</v>
      </c>
      <c r="AE8532">
        <v>0.76901140000000001</v>
      </c>
      <c r="AF8532">
        <v>2093.5729999999999</v>
      </c>
      <c r="AG8532">
        <f>IFERROR(AH8532*0.1, "N/A")</f>
        <v>6.4</v>
      </c>
      <c r="AH8532">
        <v>64</v>
      </c>
      <c r="AI8532">
        <v>23.793199999999999</v>
      </c>
      <c r="AJ8532">
        <v>46.084780000000002</v>
      </c>
      <c r="AK8532">
        <v>22.169550000000001</v>
      </c>
    </row>
    <row r="8533" spans="1:37" x14ac:dyDescent="0.3">
      <c r="A8533">
        <v>8532</v>
      </c>
      <c r="B8533">
        <v>0.9</v>
      </c>
      <c r="C8533">
        <v>38.775500000000001</v>
      </c>
      <c r="D8533">
        <v>8.89663</v>
      </c>
      <c r="E8533" t="s">
        <v>12779</v>
      </c>
      <c r="F8533" t="s">
        <v>12780</v>
      </c>
      <c r="G8533" t="s">
        <v>37</v>
      </c>
      <c r="H8533">
        <v>1989</v>
      </c>
      <c r="I8533">
        <v>18.19481</v>
      </c>
      <c r="J8533">
        <v>15.594810000000001</v>
      </c>
      <c r="K8533">
        <v>75</v>
      </c>
      <c r="L8533">
        <v>10.540279999999999</v>
      </c>
      <c r="M8533">
        <v>28.39481</v>
      </c>
      <c r="N8533">
        <v>7.7</v>
      </c>
      <c r="O8533">
        <v>20.69481</v>
      </c>
      <c r="P8533">
        <v>17.39481</v>
      </c>
      <c r="Q8533">
        <v>17.10519</v>
      </c>
      <c r="R8533">
        <v>19.794809999999998</v>
      </c>
      <c r="S8533">
        <v>17.10519</v>
      </c>
      <c r="T8533">
        <v>1000.3630000000001</v>
      </c>
      <c r="U8533">
        <v>248.05189999999999</v>
      </c>
      <c r="V8533">
        <v>6</v>
      </c>
      <c r="W8533">
        <v>96</v>
      </c>
      <c r="X8533">
        <v>618.10379999999998</v>
      </c>
      <c r="Y8533">
        <v>26</v>
      </c>
      <c r="Z8533">
        <v>205.10380000000001</v>
      </c>
      <c r="AA8533">
        <v>26</v>
      </c>
      <c r="AB8533">
        <v>54.535620000000002</v>
      </c>
      <c r="AC8533">
        <v>1.414661E-2</v>
      </c>
      <c r="AD8533">
        <v>2.240472</v>
      </c>
      <c r="AE8533">
        <v>0.85601229999999995</v>
      </c>
      <c r="AF8533">
        <v>2155.6959999999999</v>
      </c>
      <c r="AG8533">
        <f>IFERROR(AH8533*0.1, "N/A")</f>
        <v>6.7278549999999999</v>
      </c>
      <c r="AH8533">
        <v>67.278549999999996</v>
      </c>
      <c r="AI8533">
        <v>161.2484</v>
      </c>
      <c r="AJ8533">
        <v>46.55536</v>
      </c>
      <c r="AK8533">
        <v>24.771629999999998</v>
      </c>
    </row>
    <row r="8534" spans="1:37" x14ac:dyDescent="0.3">
      <c r="A8534">
        <v>8533</v>
      </c>
      <c r="B8534">
        <v>2.9</v>
      </c>
      <c r="C8534">
        <v>36.4833</v>
      </c>
      <c r="D8534">
        <v>8.9</v>
      </c>
      <c r="E8534" t="s">
        <v>12781</v>
      </c>
      <c r="F8534" t="s">
        <v>12782</v>
      </c>
      <c r="G8534" t="s">
        <v>37</v>
      </c>
      <c r="H8534">
        <v>1987</v>
      </c>
      <c r="I8534">
        <v>17.678889999999999</v>
      </c>
      <c r="J8534">
        <v>13.4</v>
      </c>
      <c r="K8534">
        <v>78.922150000000002</v>
      </c>
      <c r="L8534">
        <v>10.56874</v>
      </c>
      <c r="M8534">
        <v>26.977340000000002</v>
      </c>
      <c r="N8534">
        <v>10.10779</v>
      </c>
      <c r="O8534">
        <v>16.86955</v>
      </c>
      <c r="P8534">
        <v>16.36955</v>
      </c>
      <c r="Q8534">
        <v>18.269549999999999</v>
      </c>
      <c r="R8534">
        <v>19.086680000000001</v>
      </c>
      <c r="S8534">
        <v>16.307780000000001</v>
      </c>
      <c r="T8534">
        <v>1996.664</v>
      </c>
      <c r="U8534">
        <v>371.21969999999999</v>
      </c>
      <c r="V8534">
        <v>12</v>
      </c>
      <c r="W8534">
        <v>82.077849999999998</v>
      </c>
      <c r="X8534">
        <v>1063.22</v>
      </c>
      <c r="Y8534">
        <v>48.922150000000002</v>
      </c>
      <c r="Z8534">
        <v>184.53110000000001</v>
      </c>
      <c r="AA8534">
        <v>1018.751</v>
      </c>
      <c r="AB8534">
        <v>30.156580000000002</v>
      </c>
      <c r="AC8534">
        <v>1.2875050000000001E-2</v>
      </c>
      <c r="AD8534">
        <v>8.7478169999999995</v>
      </c>
      <c r="AE8534">
        <v>0.66111160000000002</v>
      </c>
      <c r="AF8534">
        <v>2157.2939999999999</v>
      </c>
      <c r="AG8534">
        <f>IFERROR(AH8534*0.1, "N/A")</f>
        <v>5.331315</v>
      </c>
      <c r="AH8534">
        <v>53.31315</v>
      </c>
      <c r="AI8534">
        <v>140.3758</v>
      </c>
      <c r="AJ8534">
        <v>45.141869999999997</v>
      </c>
      <c r="AK8534">
        <v>30.828720000000001</v>
      </c>
    </row>
    <row r="8535" spans="1:37" x14ac:dyDescent="0.3">
      <c r="A8535">
        <v>8534</v>
      </c>
      <c r="B8535">
        <v>0</v>
      </c>
      <c r="C8535">
        <v>39.916699999999999</v>
      </c>
      <c r="D8535">
        <v>8.9000400000000006</v>
      </c>
      <c r="E8535" t="s">
        <v>12783</v>
      </c>
      <c r="F8535" t="s">
        <v>12784</v>
      </c>
      <c r="G8535" t="s">
        <v>39</v>
      </c>
      <c r="H8535">
        <v>1994</v>
      </c>
      <c r="I8535">
        <v>25</v>
      </c>
      <c r="J8535">
        <v>15.23638</v>
      </c>
      <c r="K8535">
        <v>66.363789999999995</v>
      </c>
      <c r="L8535">
        <v>20.346329999999998</v>
      </c>
      <c r="M8535">
        <v>35.799999999999997</v>
      </c>
      <c r="N8535">
        <v>13.04379</v>
      </c>
      <c r="O8535">
        <v>22.756209999999999</v>
      </c>
      <c r="P8535">
        <v>26.1</v>
      </c>
      <c r="Q8535">
        <v>22.743790000000001</v>
      </c>
      <c r="R8535">
        <v>27.23638</v>
      </c>
      <c r="S8535">
        <v>22.00741</v>
      </c>
      <c r="T8535">
        <v>536.57069999999999</v>
      </c>
      <c r="U8535">
        <v>133.8569</v>
      </c>
      <c r="V8535">
        <v>4</v>
      </c>
      <c r="W8535">
        <v>84.856899999999996</v>
      </c>
      <c r="X8535">
        <v>296.22070000000002</v>
      </c>
      <c r="Y8535">
        <v>32.636209999999998</v>
      </c>
      <c r="Z8535">
        <v>183.8569</v>
      </c>
      <c r="AA8535">
        <v>33</v>
      </c>
      <c r="AB8535">
        <v>4.4401489999999999</v>
      </c>
      <c r="AC8535">
        <v>2.1583399999999999E-2</v>
      </c>
      <c r="AD8535">
        <v>0.52411589999999997</v>
      </c>
      <c r="AE8535">
        <v>0.58354910000000004</v>
      </c>
      <c r="AF8535">
        <v>957.72590000000002</v>
      </c>
      <c r="AG8535">
        <f>IFERROR(AH8535*0.1, "N/A")</f>
        <v>7.7856899999999998</v>
      </c>
      <c r="AH8535">
        <v>77.856899999999996</v>
      </c>
      <c r="AI8535">
        <v>201.72730000000001</v>
      </c>
      <c r="AJ8535">
        <v>30.13448</v>
      </c>
      <c r="AK8535">
        <v>36.308619999999998</v>
      </c>
    </row>
    <row r="8536" spans="1:37" x14ac:dyDescent="0.3">
      <c r="A8536">
        <v>8535</v>
      </c>
      <c r="B8536">
        <v>0</v>
      </c>
      <c r="C8536">
        <v>38.766800000000003</v>
      </c>
      <c r="D8536">
        <v>8.9118399999999998</v>
      </c>
      <c r="E8536" t="s">
        <v>12785</v>
      </c>
      <c r="F8536" t="s">
        <v>12786</v>
      </c>
      <c r="G8536" t="s">
        <v>37</v>
      </c>
      <c r="H8536">
        <v>1989</v>
      </c>
      <c r="I8536">
        <v>18.15362</v>
      </c>
      <c r="J8536">
        <v>15.453620000000001</v>
      </c>
      <c r="K8536">
        <v>75</v>
      </c>
      <c r="L8536">
        <v>10.207100000000001</v>
      </c>
      <c r="M8536">
        <v>28.304829999999999</v>
      </c>
      <c r="N8536">
        <v>7.751207</v>
      </c>
      <c r="O8536">
        <v>20.553619999999999</v>
      </c>
      <c r="P8536">
        <v>17.40241</v>
      </c>
      <c r="Q8536">
        <v>17.15362</v>
      </c>
      <c r="R8536">
        <v>19.70241</v>
      </c>
      <c r="S8536">
        <v>17.15362</v>
      </c>
      <c r="T8536">
        <v>1007.222</v>
      </c>
      <c r="U8536">
        <v>248.9759</v>
      </c>
      <c r="V8536">
        <v>6</v>
      </c>
      <c r="W8536">
        <v>96</v>
      </c>
      <c r="X8536">
        <v>620.39139999999998</v>
      </c>
      <c r="Y8536">
        <v>26.975860000000001</v>
      </c>
      <c r="Z8536">
        <v>205.92760000000001</v>
      </c>
      <c r="AA8536">
        <v>26.975860000000001</v>
      </c>
      <c r="AB8536">
        <v>29.09695</v>
      </c>
      <c r="AC8536">
        <v>1.939832E-2</v>
      </c>
      <c r="AD8536">
        <v>2.7866330000000001</v>
      </c>
      <c r="AE8536">
        <v>0.83685509999999996</v>
      </c>
      <c r="AF8536">
        <v>2154.7220000000002</v>
      </c>
      <c r="AG8536">
        <f>IFERROR(AH8536*0.1, "N/A")</f>
        <v>6.7437930000000001</v>
      </c>
      <c r="AH8536">
        <v>67.437929999999994</v>
      </c>
      <c r="AI8536">
        <v>106.905</v>
      </c>
      <c r="AJ8536">
        <v>44.518970000000003</v>
      </c>
      <c r="AK8536">
        <v>24.531030000000001</v>
      </c>
    </row>
    <row r="8537" spans="1:37" x14ac:dyDescent="0.3">
      <c r="A8537">
        <v>8536</v>
      </c>
      <c r="B8537">
        <v>0.3</v>
      </c>
      <c r="C8537">
        <v>38.758000000000003</v>
      </c>
      <c r="D8537">
        <v>8.9813899999999993</v>
      </c>
      <c r="E8537" t="s">
        <v>12787</v>
      </c>
      <c r="F8537" t="s">
        <v>12788</v>
      </c>
      <c r="G8537" t="s">
        <v>37</v>
      </c>
      <c r="H8537">
        <v>1992</v>
      </c>
      <c r="I8537">
        <v>16.998619999999999</v>
      </c>
      <c r="J8537">
        <v>14.09862</v>
      </c>
      <c r="K8537">
        <v>74</v>
      </c>
      <c r="L8537">
        <v>10.053179999999999</v>
      </c>
      <c r="M8537">
        <v>26.2</v>
      </c>
      <c r="N8537">
        <v>7.3013820000000003</v>
      </c>
      <c r="O8537">
        <v>18.898620000000001</v>
      </c>
      <c r="P8537">
        <v>16.399999999999999</v>
      </c>
      <c r="Q8537">
        <v>15.898619999999999</v>
      </c>
      <c r="R8537">
        <v>18.5</v>
      </c>
      <c r="S8537">
        <v>15.898619999999999</v>
      </c>
      <c r="T8537">
        <v>1110.0830000000001</v>
      </c>
      <c r="U8537">
        <v>259</v>
      </c>
      <c r="V8537">
        <v>8</v>
      </c>
      <c r="W8537">
        <v>89.986180000000004</v>
      </c>
      <c r="X8537">
        <v>662.02760000000001</v>
      </c>
      <c r="Y8537">
        <v>34</v>
      </c>
      <c r="Z8537">
        <v>231.04150000000001</v>
      </c>
      <c r="AA8537">
        <v>34</v>
      </c>
      <c r="AB8537">
        <v>23.383510000000001</v>
      </c>
      <c r="AC8537">
        <v>9.8453369999999991E-3</v>
      </c>
      <c r="AD8537">
        <v>2.2618279999999999</v>
      </c>
      <c r="AE8537">
        <v>0.91217190000000004</v>
      </c>
      <c r="AF8537">
        <v>2293.96</v>
      </c>
      <c r="AG8537">
        <f>IFERROR(AH8537*0.1, "N/A")</f>
        <v>6.6986180000000006</v>
      </c>
      <c r="AH8537">
        <v>66.986180000000004</v>
      </c>
      <c r="AI8537">
        <v>191.58609999999999</v>
      </c>
      <c r="AJ8537">
        <v>41.958550000000002</v>
      </c>
      <c r="AK8537">
        <v>29.027629999999998</v>
      </c>
    </row>
    <row r="8538" spans="1:37" x14ac:dyDescent="0.3">
      <c r="A8538">
        <v>8537</v>
      </c>
      <c r="B8538">
        <v>2.5</v>
      </c>
      <c r="C8538">
        <v>40.166699999999999</v>
      </c>
      <c r="D8538">
        <v>8.9832999999999998</v>
      </c>
      <c r="E8538" t="s">
        <v>12789</v>
      </c>
      <c r="F8538" t="s">
        <v>12790</v>
      </c>
      <c r="G8538" t="s">
        <v>37</v>
      </c>
      <c r="H8538">
        <v>1987</v>
      </c>
      <c r="I8538">
        <v>25.857240000000001</v>
      </c>
      <c r="J8538">
        <v>15.2</v>
      </c>
      <c r="K8538">
        <v>66</v>
      </c>
      <c r="L8538">
        <v>20.33952</v>
      </c>
      <c r="M8538">
        <v>36.629829999999998</v>
      </c>
      <c r="N8538">
        <v>13.842409999999999</v>
      </c>
      <c r="O8538">
        <v>22.787410000000001</v>
      </c>
      <c r="P8538">
        <v>26.757239999999999</v>
      </c>
      <c r="Q8538">
        <v>23.141210000000001</v>
      </c>
      <c r="R8538">
        <v>28.138280000000002</v>
      </c>
      <c r="S8538">
        <v>22.942409999999999</v>
      </c>
      <c r="T8538">
        <v>551.78790000000004</v>
      </c>
      <c r="U8538">
        <v>126.5569</v>
      </c>
      <c r="V8538">
        <v>6.2137929999999999</v>
      </c>
      <c r="W8538">
        <v>71.637929999999997</v>
      </c>
      <c r="X8538">
        <v>273.28620000000001</v>
      </c>
      <c r="Y8538">
        <v>39.641379999999998</v>
      </c>
      <c r="Z8538">
        <v>127.7276</v>
      </c>
      <c r="AA8538">
        <v>39.641379999999998</v>
      </c>
      <c r="AB8538">
        <v>31.103619999999999</v>
      </c>
      <c r="AC8538">
        <v>6.715776</v>
      </c>
      <c r="AD8538">
        <v>14.38456</v>
      </c>
      <c r="AE8538">
        <v>0.4549686</v>
      </c>
      <c r="AF8538">
        <v>912.15340000000003</v>
      </c>
      <c r="AG8538">
        <f>IFERROR(AH8538*0.1, "N/A")</f>
        <v>7.9786210000000004</v>
      </c>
      <c r="AH8538">
        <v>79.786209999999997</v>
      </c>
      <c r="AI8538">
        <v>261.76609999999999</v>
      </c>
      <c r="AJ8538">
        <v>24.786210000000001</v>
      </c>
      <c r="AK8538">
        <v>43.427590000000002</v>
      </c>
    </row>
    <row r="8539" spans="1:37" x14ac:dyDescent="0.3">
      <c r="A8539">
        <v>8538</v>
      </c>
      <c r="B8539">
        <v>0</v>
      </c>
      <c r="C8539">
        <v>34.616700000000002</v>
      </c>
      <c r="D8539">
        <v>8.9833300000000005</v>
      </c>
      <c r="E8539" t="s">
        <v>12791</v>
      </c>
      <c r="F8539" t="s">
        <v>12792</v>
      </c>
      <c r="G8539" t="s">
        <v>37</v>
      </c>
      <c r="H8539">
        <v>1987</v>
      </c>
      <c r="I8539">
        <v>20.125689999999999</v>
      </c>
      <c r="J8539">
        <v>12.32052</v>
      </c>
      <c r="K8539">
        <v>77.410340000000005</v>
      </c>
      <c r="L8539">
        <v>11.22902</v>
      </c>
      <c r="M8539">
        <v>29.064139999999998</v>
      </c>
      <c r="N8539">
        <v>13.30517</v>
      </c>
      <c r="O8539">
        <v>15.75897</v>
      </c>
      <c r="P8539">
        <v>19.238969999999998</v>
      </c>
      <c r="Q8539">
        <v>20.830860000000001</v>
      </c>
      <c r="R8539">
        <v>21.610340000000001</v>
      </c>
      <c r="S8539">
        <v>18.764659999999999</v>
      </c>
      <c r="T8539">
        <v>1487.15</v>
      </c>
      <c r="U8539">
        <v>302.24829999999997</v>
      </c>
      <c r="V8539">
        <v>5</v>
      </c>
      <c r="W8539">
        <v>76.33793</v>
      </c>
      <c r="X8539">
        <v>732.44659999999999</v>
      </c>
      <c r="Y8539">
        <v>52.793100000000003</v>
      </c>
      <c r="Z8539">
        <v>134.02930000000001</v>
      </c>
      <c r="AA8539">
        <v>610.97760000000005</v>
      </c>
      <c r="AB8539">
        <v>16.080310000000001</v>
      </c>
      <c r="AC8539">
        <v>1.8666530000000001E-2</v>
      </c>
      <c r="AD8539">
        <v>4.0954750000000004</v>
      </c>
      <c r="AE8539">
        <v>0.42510999999999999</v>
      </c>
      <c r="AF8539">
        <v>1877.597</v>
      </c>
      <c r="AG8539">
        <f>IFERROR(AH8539*0.1, "N/A")</f>
        <v>5.8220689999999999</v>
      </c>
      <c r="AH8539">
        <v>58.220689999999998</v>
      </c>
      <c r="AI8539">
        <v>222.06229999999999</v>
      </c>
      <c r="AJ8539">
        <v>42.610340000000001</v>
      </c>
      <c r="AK8539">
        <v>29</v>
      </c>
    </row>
    <row r="8540" spans="1:37" x14ac:dyDescent="0.3">
      <c r="A8540">
        <v>8539</v>
      </c>
      <c r="B8540">
        <v>2.1</v>
      </c>
      <c r="C8540">
        <v>38.7273</v>
      </c>
      <c r="D8540">
        <v>8.9964700000000004</v>
      </c>
      <c r="E8540" t="s">
        <v>12793</v>
      </c>
      <c r="F8540" t="s">
        <v>12794</v>
      </c>
      <c r="G8540" t="s">
        <v>37</v>
      </c>
      <c r="H8540">
        <v>1996</v>
      </c>
      <c r="I8540">
        <v>16.5</v>
      </c>
      <c r="J8540">
        <v>13.9</v>
      </c>
      <c r="K8540">
        <v>72</v>
      </c>
      <c r="L8540">
        <v>10.95</v>
      </c>
      <c r="M8540">
        <v>25.8</v>
      </c>
      <c r="N8540">
        <v>6.7</v>
      </c>
      <c r="O8540">
        <v>19.100000000000001</v>
      </c>
      <c r="P8540">
        <v>16</v>
      </c>
      <c r="Q8540">
        <v>15.2</v>
      </c>
      <c r="R8540">
        <v>18.100000000000001</v>
      </c>
      <c r="S8540">
        <v>15.2</v>
      </c>
      <c r="T8540">
        <v>1135</v>
      </c>
      <c r="U8540">
        <v>264</v>
      </c>
      <c r="V8540">
        <v>8</v>
      </c>
      <c r="W8540">
        <v>90</v>
      </c>
      <c r="X8540">
        <v>677</v>
      </c>
      <c r="Y8540">
        <v>35</v>
      </c>
      <c r="Z8540">
        <v>234</v>
      </c>
      <c r="AA8540">
        <v>35</v>
      </c>
      <c r="AB8540">
        <v>16.446179999999998</v>
      </c>
      <c r="AC8540">
        <v>1.393896E-2</v>
      </c>
      <c r="AD8540">
        <v>2.4031199999999999</v>
      </c>
      <c r="AE8540">
        <v>0.78850330000000002</v>
      </c>
      <c r="AF8540">
        <v>2323.145</v>
      </c>
      <c r="AG8540">
        <f>IFERROR(AH8540*0.1, "N/A")</f>
        <v>6.6468160000000003</v>
      </c>
      <c r="AH8540">
        <v>66.468159999999997</v>
      </c>
      <c r="AI8540">
        <v>85.462810000000005</v>
      </c>
      <c r="AJ8540">
        <v>41.936320000000002</v>
      </c>
      <c r="AK8540">
        <v>26.531839999999999</v>
      </c>
    </row>
    <row r="8541" spans="1:37" x14ac:dyDescent="0.3">
      <c r="A8541">
        <v>8540</v>
      </c>
      <c r="B8541">
        <v>17.2</v>
      </c>
      <c r="C8541">
        <v>39</v>
      </c>
      <c r="D8541">
        <v>9</v>
      </c>
      <c r="E8541" t="s">
        <v>12795</v>
      </c>
      <c r="F8541" t="s">
        <v>12796</v>
      </c>
      <c r="G8541" t="s">
        <v>37</v>
      </c>
      <c r="H8541">
        <v>2000</v>
      </c>
      <c r="I8541">
        <v>16.256129999999999</v>
      </c>
      <c r="J8541">
        <v>13.55199</v>
      </c>
      <c r="K8541">
        <v>74</v>
      </c>
      <c r="L8541">
        <v>10.330859999999999</v>
      </c>
      <c r="M8541">
        <v>25.277200000000001</v>
      </c>
      <c r="N8541">
        <v>7.1041449999999999</v>
      </c>
      <c r="O8541">
        <v>18.17306</v>
      </c>
      <c r="P8541">
        <v>15.85613</v>
      </c>
      <c r="Q8541">
        <v>14.9772</v>
      </c>
      <c r="R8541">
        <v>17.677199999999999</v>
      </c>
      <c r="S8541">
        <v>14.9772</v>
      </c>
      <c r="T8541">
        <v>1043.2249999999999</v>
      </c>
      <c r="U8541">
        <v>254.74959999999999</v>
      </c>
      <c r="V8541">
        <v>8</v>
      </c>
      <c r="W8541">
        <v>89.73057</v>
      </c>
      <c r="X8541">
        <v>620.95680000000004</v>
      </c>
      <c r="Y8541">
        <v>35</v>
      </c>
      <c r="Z8541">
        <v>212.72880000000001</v>
      </c>
      <c r="AA8541">
        <v>35</v>
      </c>
      <c r="AB8541">
        <v>2.5525679999999999</v>
      </c>
      <c r="AC8541">
        <v>11.483919999999999</v>
      </c>
      <c r="AD8541">
        <v>3.1128559999999998</v>
      </c>
      <c r="AE8541">
        <v>0.60109049999999997</v>
      </c>
      <c r="AF8541">
        <v>2434.2559999999999</v>
      </c>
      <c r="AG8541">
        <f>IFERROR(AH8541*0.1, "N/A")</f>
        <v>6.7</v>
      </c>
      <c r="AH8541">
        <v>67</v>
      </c>
      <c r="AI8541">
        <v>165.7629</v>
      </c>
      <c r="AJ8541">
        <v>47.184800000000003</v>
      </c>
      <c r="AK8541">
        <v>24.763390000000001</v>
      </c>
    </row>
    <row r="8542" spans="1:37" x14ac:dyDescent="0.3">
      <c r="A8542">
        <v>8541</v>
      </c>
      <c r="B8542">
        <v>0</v>
      </c>
      <c r="C8542">
        <v>38.250999999999998</v>
      </c>
      <c r="D8542">
        <v>9.0038300000000007</v>
      </c>
      <c r="E8542" t="s">
        <v>12797</v>
      </c>
      <c r="F8542" t="s">
        <v>12798</v>
      </c>
      <c r="G8542" t="s">
        <v>37</v>
      </c>
      <c r="H8542">
        <v>1978</v>
      </c>
      <c r="I8542">
        <v>17.5</v>
      </c>
      <c r="J8542">
        <v>14.6</v>
      </c>
      <c r="K8542">
        <v>76</v>
      </c>
      <c r="L8542">
        <v>10.859830000000001</v>
      </c>
      <c r="M8542">
        <v>27.2</v>
      </c>
      <c r="N8542">
        <v>8</v>
      </c>
      <c r="O8542">
        <v>19.2</v>
      </c>
      <c r="P8542">
        <v>16.701730000000001</v>
      </c>
      <c r="Q8542">
        <v>16.8</v>
      </c>
      <c r="R8542">
        <v>19.100000000000001</v>
      </c>
      <c r="S8542">
        <v>16.401730000000001</v>
      </c>
      <c r="T8542">
        <v>1057.9480000000001</v>
      </c>
      <c r="U8542">
        <v>243.98269999999999</v>
      </c>
      <c r="V8542">
        <v>8</v>
      </c>
      <c r="W8542">
        <v>91.017300000000006</v>
      </c>
      <c r="X8542">
        <v>624.98270000000002</v>
      </c>
      <c r="Y8542">
        <v>31</v>
      </c>
      <c r="Z8542">
        <v>208.98269999999999</v>
      </c>
      <c r="AA8542">
        <v>619.96540000000005</v>
      </c>
      <c r="AB8542">
        <v>26.552579999999999</v>
      </c>
      <c r="AC8542">
        <v>1.444932E-2</v>
      </c>
      <c r="AD8542">
        <v>4.2948060000000003</v>
      </c>
      <c r="AE8542">
        <v>0.75941729999999996</v>
      </c>
      <c r="AF8542">
        <v>2154.2840000000001</v>
      </c>
      <c r="AG8542">
        <f>IFERROR(AH8542*0.1, "N/A")</f>
        <v>6.8965400000000008</v>
      </c>
      <c r="AH8542">
        <v>68.965400000000002</v>
      </c>
      <c r="AI8542">
        <v>181.94970000000001</v>
      </c>
      <c r="AJ8542">
        <v>45.086509999999997</v>
      </c>
      <c r="AK8542">
        <v>28.913489999999999</v>
      </c>
    </row>
    <row r="8543" spans="1:37" x14ac:dyDescent="0.3">
      <c r="A8543">
        <v>8542</v>
      </c>
      <c r="B8543">
        <v>0</v>
      </c>
      <c r="C8543">
        <v>38.802799999999998</v>
      </c>
      <c r="D8543">
        <v>9.01891</v>
      </c>
      <c r="E8543" t="s">
        <v>12799</v>
      </c>
      <c r="F8543" t="s">
        <v>12800</v>
      </c>
      <c r="G8543" t="s">
        <v>37</v>
      </c>
      <c r="H8543">
        <v>1996</v>
      </c>
      <c r="I8543">
        <v>16.3</v>
      </c>
      <c r="J8543">
        <v>13.5</v>
      </c>
      <c r="K8543">
        <v>74</v>
      </c>
      <c r="L8543">
        <v>10.41</v>
      </c>
      <c r="M8543">
        <v>25.2</v>
      </c>
      <c r="N8543">
        <v>7</v>
      </c>
      <c r="O8543">
        <v>18.2</v>
      </c>
      <c r="P8543">
        <v>15.8</v>
      </c>
      <c r="Q8543">
        <v>15.1</v>
      </c>
      <c r="R8543">
        <v>17.8</v>
      </c>
      <c r="S8543">
        <v>15.1</v>
      </c>
      <c r="T8543">
        <v>1134</v>
      </c>
      <c r="U8543">
        <v>257</v>
      </c>
      <c r="V8543">
        <v>9</v>
      </c>
      <c r="W8543">
        <v>89</v>
      </c>
      <c r="X8543">
        <v>673</v>
      </c>
      <c r="Y8543">
        <v>37</v>
      </c>
      <c r="Z8543">
        <v>234</v>
      </c>
      <c r="AA8543">
        <v>37</v>
      </c>
      <c r="AB8543">
        <v>16.82254</v>
      </c>
      <c r="AC8543">
        <v>4.1885169999999999E-2</v>
      </c>
      <c r="AD8543">
        <v>4.3074339999999998</v>
      </c>
      <c r="AE8543">
        <v>0.82828820000000003</v>
      </c>
      <c r="AF8543">
        <v>2376.201</v>
      </c>
      <c r="AG8543">
        <f>IFERROR(AH8543*0.1, "N/A")</f>
        <v>6.5</v>
      </c>
      <c r="AH8543">
        <v>65</v>
      </c>
      <c r="AI8543">
        <v>172.71029999999999</v>
      </c>
      <c r="AJ8543">
        <v>36.986159999999998</v>
      </c>
      <c r="AK8543">
        <v>32.972320000000003</v>
      </c>
    </row>
    <row r="8544" spans="1:37" x14ac:dyDescent="0.3">
      <c r="A8544">
        <v>8543</v>
      </c>
      <c r="B8544">
        <v>0.8</v>
      </c>
      <c r="C8544">
        <v>38.749200000000002</v>
      </c>
      <c r="D8544">
        <v>9.0243300000000009</v>
      </c>
      <c r="E8544" t="s">
        <v>12801</v>
      </c>
      <c r="F8544" t="s">
        <v>12802</v>
      </c>
      <c r="G8544" t="s">
        <v>37</v>
      </c>
      <c r="H8544">
        <v>1998</v>
      </c>
      <c r="I8544">
        <v>15.937239999999999</v>
      </c>
      <c r="J8544">
        <v>13.7</v>
      </c>
      <c r="K8544">
        <v>72</v>
      </c>
      <c r="L8544">
        <v>11.47321</v>
      </c>
      <c r="M8544">
        <v>25.027930000000001</v>
      </c>
      <c r="N8544">
        <v>6.0465520000000001</v>
      </c>
      <c r="O8544">
        <v>18.981380000000001</v>
      </c>
      <c r="P8544">
        <v>15.627929999999999</v>
      </c>
      <c r="Q8544">
        <v>14.537240000000001</v>
      </c>
      <c r="R8544">
        <v>17.527930000000001</v>
      </c>
      <c r="S8544">
        <v>14.537240000000001</v>
      </c>
      <c r="T8544">
        <v>1155.6030000000001</v>
      </c>
      <c r="U8544">
        <v>266.62759999999997</v>
      </c>
      <c r="V8544">
        <v>8.9068970000000007</v>
      </c>
      <c r="W8544">
        <v>89.906899999999993</v>
      </c>
      <c r="X8544">
        <v>690.06899999999996</v>
      </c>
      <c r="Y8544">
        <v>36.813789999999997</v>
      </c>
      <c r="Z8544">
        <v>234</v>
      </c>
      <c r="AA8544">
        <v>52.9069</v>
      </c>
      <c r="AB8544">
        <v>17.705400000000001</v>
      </c>
      <c r="AC8544">
        <v>1.19528E-2</v>
      </c>
      <c r="AD8544">
        <v>5.933427</v>
      </c>
      <c r="AE8544">
        <v>0.85345789999999999</v>
      </c>
      <c r="AF8544">
        <v>2388.6480000000001</v>
      </c>
      <c r="AG8544">
        <f>IFERROR(AH8544*0.1, "N/A")</f>
        <v>6.5075860000000008</v>
      </c>
      <c r="AH8544">
        <v>65.075860000000006</v>
      </c>
      <c r="AI8544">
        <v>112.7518</v>
      </c>
      <c r="AJ8544">
        <v>30.924140000000001</v>
      </c>
      <c r="AK8544">
        <v>36.941380000000002</v>
      </c>
    </row>
    <row r="8545" spans="1:37" x14ac:dyDescent="0.3">
      <c r="A8545">
        <v>8544</v>
      </c>
      <c r="B8545">
        <v>10</v>
      </c>
      <c r="C8545">
        <v>36.666699999999999</v>
      </c>
      <c r="D8545">
        <v>9.0333000000000006</v>
      </c>
      <c r="E8545" t="s">
        <v>12803</v>
      </c>
      <c r="F8545" t="s">
        <v>12804</v>
      </c>
      <c r="G8545" t="s">
        <v>37</v>
      </c>
      <c r="H8545">
        <v>1987</v>
      </c>
      <c r="I8545">
        <v>18.44276</v>
      </c>
      <c r="J8545">
        <v>13.21569</v>
      </c>
      <c r="K8545">
        <v>76.732759999999999</v>
      </c>
      <c r="L8545">
        <v>12.995139999999999</v>
      </c>
      <c r="M8545">
        <v>28.158100000000001</v>
      </c>
      <c r="N8545">
        <v>11.02707</v>
      </c>
      <c r="O8545">
        <v>17.131029999999999</v>
      </c>
      <c r="P8545">
        <v>16.931380000000001</v>
      </c>
      <c r="Q8545">
        <v>19.065519999999999</v>
      </c>
      <c r="R8545">
        <v>20.20431</v>
      </c>
      <c r="S8545">
        <v>16.831379999999999</v>
      </c>
      <c r="T8545">
        <v>1815.1859999999999</v>
      </c>
      <c r="U8545">
        <v>367.41719999999998</v>
      </c>
      <c r="V8545">
        <v>10</v>
      </c>
      <c r="W8545">
        <v>84.618970000000004</v>
      </c>
      <c r="X8545">
        <v>1005.79</v>
      </c>
      <c r="Y8545">
        <v>45.113790000000002</v>
      </c>
      <c r="Z8545">
        <v>158.68620000000001</v>
      </c>
      <c r="AA8545">
        <v>946.32759999999996</v>
      </c>
      <c r="AB8545">
        <v>49.230159999999998</v>
      </c>
      <c r="AC8545">
        <v>0.24203079999999999</v>
      </c>
      <c r="AD8545">
        <v>5.099818</v>
      </c>
      <c r="AE8545">
        <v>0.69850319999999999</v>
      </c>
      <c r="AF8545">
        <v>1884.402</v>
      </c>
      <c r="AG8545">
        <f>IFERROR(AH8545*0.1, "N/A")</f>
        <v>5.1689660000000011</v>
      </c>
      <c r="AH8545">
        <v>51.689660000000003</v>
      </c>
      <c r="AI8545">
        <v>142.97149999999999</v>
      </c>
      <c r="AJ8545">
        <v>51.993099999999998</v>
      </c>
      <c r="AK8545">
        <v>25.7</v>
      </c>
    </row>
    <row r="8546" spans="1:37" x14ac:dyDescent="0.3">
      <c r="A8546">
        <v>8545</v>
      </c>
      <c r="B8546">
        <v>0</v>
      </c>
      <c r="C8546">
        <v>38.763500000000001</v>
      </c>
      <c r="D8546">
        <v>9.0351900000000001</v>
      </c>
      <c r="E8546" t="s">
        <v>12805</v>
      </c>
      <c r="F8546" t="s">
        <v>12806</v>
      </c>
      <c r="G8546" t="s">
        <v>37</v>
      </c>
      <c r="H8546">
        <v>1956</v>
      </c>
      <c r="I8546">
        <v>15.5</v>
      </c>
      <c r="J8546">
        <v>13.6</v>
      </c>
      <c r="K8546">
        <v>73</v>
      </c>
      <c r="L8546">
        <v>11.28</v>
      </c>
      <c r="M8546">
        <v>24.5</v>
      </c>
      <c r="N8546">
        <v>5.9</v>
      </c>
      <c r="O8546">
        <v>18.600000000000001</v>
      </c>
      <c r="P8546">
        <v>15.1</v>
      </c>
      <c r="Q8546">
        <v>14.2</v>
      </c>
      <c r="R8546">
        <v>17.100000000000001</v>
      </c>
      <c r="S8546">
        <v>14.2</v>
      </c>
      <c r="T8546">
        <v>1152</v>
      </c>
      <c r="U8546">
        <v>263</v>
      </c>
      <c r="V8546">
        <v>9</v>
      </c>
      <c r="W8546">
        <v>89</v>
      </c>
      <c r="X8546">
        <v>689</v>
      </c>
      <c r="Y8546">
        <v>37</v>
      </c>
      <c r="Z8546">
        <v>232</v>
      </c>
      <c r="AA8546">
        <v>37</v>
      </c>
      <c r="AB8546">
        <v>58.415460000000003</v>
      </c>
      <c r="AC8546">
        <v>8.8829070000000006E-3</v>
      </c>
      <c r="AD8546">
        <v>3.2224560000000002</v>
      </c>
      <c r="AE8546">
        <v>0.84172849999999999</v>
      </c>
      <c r="AF8546">
        <v>2451.1460000000002</v>
      </c>
      <c r="AG8546">
        <f>IFERROR(AH8546*0.1, "N/A")</f>
        <v>6.194801</v>
      </c>
      <c r="AH8546">
        <v>61.948009999999996</v>
      </c>
      <c r="AI8546">
        <v>146.98859999999999</v>
      </c>
      <c r="AJ8546">
        <v>33.103990000000003</v>
      </c>
      <c r="AK8546">
        <v>34</v>
      </c>
    </row>
    <row r="8547" spans="1:37" x14ac:dyDescent="0.3">
      <c r="A8547">
        <v>8546</v>
      </c>
      <c r="B8547">
        <v>0</v>
      </c>
      <c r="C8547">
        <v>38.763500000000001</v>
      </c>
      <c r="D8547">
        <v>9.0351900000000001</v>
      </c>
      <c r="E8547" t="s">
        <v>12805</v>
      </c>
      <c r="F8547" t="s">
        <v>12807</v>
      </c>
      <c r="G8547" t="s">
        <v>39</v>
      </c>
      <c r="H8547">
        <v>1956</v>
      </c>
      <c r="I8547">
        <v>15.5</v>
      </c>
      <c r="J8547">
        <v>13.6</v>
      </c>
      <c r="K8547">
        <v>73</v>
      </c>
      <c r="L8547">
        <v>11.28</v>
      </c>
      <c r="M8547">
        <v>24.5</v>
      </c>
      <c r="N8547">
        <v>5.9</v>
      </c>
      <c r="O8547">
        <v>18.600000000000001</v>
      </c>
      <c r="P8547">
        <v>15.1</v>
      </c>
      <c r="Q8547">
        <v>14.2</v>
      </c>
      <c r="R8547">
        <v>17.100000000000001</v>
      </c>
      <c r="S8547">
        <v>14.2</v>
      </c>
      <c r="T8547">
        <v>1152</v>
      </c>
      <c r="U8547">
        <v>263</v>
      </c>
      <c r="V8547">
        <v>9</v>
      </c>
      <c r="W8547">
        <v>89</v>
      </c>
      <c r="X8547">
        <v>689</v>
      </c>
      <c r="Y8547">
        <v>37</v>
      </c>
      <c r="Z8547">
        <v>232</v>
      </c>
      <c r="AA8547">
        <v>37</v>
      </c>
      <c r="AB8547">
        <v>58.415460000000003</v>
      </c>
      <c r="AC8547">
        <v>8.8829070000000006E-3</v>
      </c>
      <c r="AD8547">
        <v>3.2224560000000002</v>
      </c>
      <c r="AE8547">
        <v>0.84172849999999999</v>
      </c>
      <c r="AF8547">
        <v>2451.1460000000002</v>
      </c>
      <c r="AG8547">
        <f>IFERROR(AH8547*0.1, "N/A")</f>
        <v>6.194801</v>
      </c>
      <c r="AH8547">
        <v>61.948009999999996</v>
      </c>
      <c r="AI8547">
        <v>146.98859999999999</v>
      </c>
      <c r="AJ8547">
        <v>33.103990000000003</v>
      </c>
      <c r="AK8547">
        <v>34</v>
      </c>
    </row>
    <row r="8548" spans="1:37" x14ac:dyDescent="0.3">
      <c r="A8548">
        <v>8547</v>
      </c>
      <c r="B8548">
        <v>0</v>
      </c>
      <c r="C8548">
        <v>38.854399999999998</v>
      </c>
      <c r="D8548">
        <v>9.0372599999999998</v>
      </c>
      <c r="E8548" t="s">
        <v>12808</v>
      </c>
      <c r="F8548" t="s">
        <v>12809</v>
      </c>
      <c r="G8548" t="s">
        <v>37</v>
      </c>
      <c r="H8548">
        <v>1996</v>
      </c>
      <c r="I8548">
        <v>15.6</v>
      </c>
      <c r="J8548">
        <v>13.5</v>
      </c>
      <c r="K8548">
        <v>75</v>
      </c>
      <c r="L8548">
        <v>10.65</v>
      </c>
      <c r="M8548">
        <v>24.6</v>
      </c>
      <c r="N8548">
        <v>6.6</v>
      </c>
      <c r="O8548">
        <v>18</v>
      </c>
      <c r="P8548">
        <v>15</v>
      </c>
      <c r="Q8548">
        <v>14.5</v>
      </c>
      <c r="R8548">
        <v>17.2</v>
      </c>
      <c r="S8548">
        <v>14.5</v>
      </c>
      <c r="T8548">
        <v>1113</v>
      </c>
      <c r="U8548">
        <v>260</v>
      </c>
      <c r="V8548">
        <v>9</v>
      </c>
      <c r="W8548">
        <v>90</v>
      </c>
      <c r="X8548">
        <v>664</v>
      </c>
      <c r="Y8548">
        <v>37</v>
      </c>
      <c r="Z8548">
        <v>225</v>
      </c>
      <c r="AA8548">
        <v>37</v>
      </c>
      <c r="AB8548">
        <v>64.549480000000003</v>
      </c>
      <c r="AC8548">
        <v>2.1691869999999999E-2</v>
      </c>
      <c r="AD8548">
        <v>3.8667310000000001</v>
      </c>
      <c r="AE8548">
        <v>0.83774230000000005</v>
      </c>
      <c r="AF8548">
        <v>2494.8780000000002</v>
      </c>
      <c r="AG8548">
        <f>IFERROR(AH8548*0.1, "N/A")</f>
        <v>5.8018970000000003</v>
      </c>
      <c r="AH8548">
        <v>58.018970000000003</v>
      </c>
      <c r="AI8548">
        <v>198.5087</v>
      </c>
      <c r="AJ8548">
        <v>40.391379999999998</v>
      </c>
      <c r="AK8548">
        <v>28.294830000000001</v>
      </c>
    </row>
    <row r="8549" spans="1:37" x14ac:dyDescent="0.3">
      <c r="A8549">
        <v>8548</v>
      </c>
      <c r="B8549">
        <v>0</v>
      </c>
      <c r="C8549">
        <v>38.760300000000001</v>
      </c>
      <c r="D8549">
        <v>9.0627099999999992</v>
      </c>
      <c r="E8549" t="s">
        <v>12810</v>
      </c>
      <c r="F8549" t="s">
        <v>12811</v>
      </c>
      <c r="G8549" t="s">
        <v>37</v>
      </c>
      <c r="H8549">
        <v>1956</v>
      </c>
      <c r="I8549">
        <v>15</v>
      </c>
      <c r="J8549">
        <v>13.5</v>
      </c>
      <c r="K8549">
        <v>75</v>
      </c>
      <c r="L8549">
        <v>10.92</v>
      </c>
      <c r="M8549">
        <v>24</v>
      </c>
      <c r="N8549">
        <v>6</v>
      </c>
      <c r="O8549">
        <v>18</v>
      </c>
      <c r="P8549">
        <v>14.3</v>
      </c>
      <c r="Q8549">
        <v>13.9</v>
      </c>
      <c r="R8549">
        <v>16.600000000000001</v>
      </c>
      <c r="S8549">
        <v>13.9</v>
      </c>
      <c r="T8549">
        <v>1141</v>
      </c>
      <c r="U8549">
        <v>264</v>
      </c>
      <c r="V8549">
        <v>9</v>
      </c>
      <c r="W8549">
        <v>90</v>
      </c>
      <c r="X8549">
        <v>685</v>
      </c>
      <c r="Y8549">
        <v>37</v>
      </c>
      <c r="Z8549">
        <v>228</v>
      </c>
      <c r="AA8549">
        <v>52</v>
      </c>
      <c r="AB8549">
        <v>39.523099999999999</v>
      </c>
      <c r="AC8549">
        <v>1.066363E-2</v>
      </c>
      <c r="AD8549">
        <v>4.4339219999999999</v>
      </c>
      <c r="AE8549">
        <v>0.8068689</v>
      </c>
      <c r="AF8549">
        <v>2574.6039999999998</v>
      </c>
      <c r="AG8549">
        <f>IFERROR(AH8549*0.1, "N/A")</f>
        <v>5.9</v>
      </c>
      <c r="AH8549">
        <v>59</v>
      </c>
      <c r="AI8549">
        <v>131.68199999999999</v>
      </c>
      <c r="AJ8549">
        <v>34.660899999999998</v>
      </c>
      <c r="AK8549">
        <v>34</v>
      </c>
    </row>
    <row r="8550" spans="1:37" x14ac:dyDescent="0.3">
      <c r="A8550">
        <v>8549</v>
      </c>
      <c r="B8550">
        <v>0</v>
      </c>
      <c r="C8550">
        <v>38.760300000000001</v>
      </c>
      <c r="D8550">
        <v>9.0627099999999992</v>
      </c>
      <c r="E8550" t="s">
        <v>12810</v>
      </c>
      <c r="F8550" t="s">
        <v>12812</v>
      </c>
      <c r="G8550" t="s">
        <v>39</v>
      </c>
      <c r="H8550">
        <v>1956</v>
      </c>
      <c r="I8550">
        <v>15</v>
      </c>
      <c r="J8550">
        <v>13.5</v>
      </c>
      <c r="K8550">
        <v>75</v>
      </c>
      <c r="L8550">
        <v>10.92</v>
      </c>
      <c r="M8550">
        <v>24</v>
      </c>
      <c r="N8550">
        <v>6</v>
      </c>
      <c r="O8550">
        <v>18</v>
      </c>
      <c r="P8550">
        <v>14.3</v>
      </c>
      <c r="Q8550">
        <v>13.9</v>
      </c>
      <c r="R8550">
        <v>16.600000000000001</v>
      </c>
      <c r="S8550">
        <v>13.9</v>
      </c>
      <c r="T8550">
        <v>1141</v>
      </c>
      <c r="U8550">
        <v>264</v>
      </c>
      <c r="V8550">
        <v>9</v>
      </c>
      <c r="W8550">
        <v>90</v>
      </c>
      <c r="X8550">
        <v>685</v>
      </c>
      <c r="Y8550">
        <v>37</v>
      </c>
      <c r="Z8550">
        <v>228</v>
      </c>
      <c r="AA8550">
        <v>52</v>
      </c>
      <c r="AB8550">
        <v>39.523099999999999</v>
      </c>
      <c r="AC8550">
        <v>1.066363E-2</v>
      </c>
      <c r="AD8550">
        <v>4.4339219999999999</v>
      </c>
      <c r="AE8550">
        <v>0.8068689</v>
      </c>
      <c r="AF8550">
        <v>2574.6039999999998</v>
      </c>
      <c r="AG8550">
        <f>IFERROR(AH8550*0.1, "N/A")</f>
        <v>5.9</v>
      </c>
      <c r="AH8550">
        <v>59</v>
      </c>
      <c r="AI8550">
        <v>131.68199999999999</v>
      </c>
      <c r="AJ8550">
        <v>34.660899999999998</v>
      </c>
      <c r="AK8550">
        <v>34</v>
      </c>
    </row>
    <row r="8551" spans="1:37" x14ac:dyDescent="0.3">
      <c r="A8551">
        <v>8550</v>
      </c>
      <c r="B8551">
        <v>0</v>
      </c>
      <c r="C8551">
        <v>38.883299999999998</v>
      </c>
      <c r="D8551">
        <v>9.0666700000000002</v>
      </c>
      <c r="E8551" t="s">
        <v>12813</v>
      </c>
      <c r="F8551" t="s">
        <v>12814</v>
      </c>
      <c r="G8551" t="s">
        <v>37</v>
      </c>
      <c r="H8551">
        <v>1976</v>
      </c>
      <c r="I8551">
        <v>15.80843</v>
      </c>
      <c r="J8551">
        <v>13.48537</v>
      </c>
      <c r="K8551">
        <v>74.495699999999999</v>
      </c>
      <c r="L8551">
        <v>10.90339</v>
      </c>
      <c r="M8551">
        <v>24.773489999999999</v>
      </c>
      <c r="N8551">
        <v>6.7230639999999999</v>
      </c>
      <c r="O8551">
        <v>18.050429999999999</v>
      </c>
      <c r="P8551">
        <v>15.24957</v>
      </c>
      <c r="Q8551">
        <v>14.523059999999999</v>
      </c>
      <c r="R8551">
        <v>17.372119999999999</v>
      </c>
      <c r="S8551">
        <v>14.523059999999999</v>
      </c>
      <c r="T8551">
        <v>1093.54</v>
      </c>
      <c r="U8551">
        <v>261.63679999999999</v>
      </c>
      <c r="V8551">
        <v>9</v>
      </c>
      <c r="W8551">
        <v>90.132530000000003</v>
      </c>
      <c r="X8551">
        <v>655.58860000000004</v>
      </c>
      <c r="Y8551">
        <v>35</v>
      </c>
      <c r="Z8551">
        <v>220.23060000000001</v>
      </c>
      <c r="AA8551">
        <v>35</v>
      </c>
      <c r="AB8551">
        <v>18.311070000000001</v>
      </c>
      <c r="AC8551">
        <v>0.15148039999999999</v>
      </c>
      <c r="AD8551">
        <v>4.9915750000000001</v>
      </c>
      <c r="AE8551">
        <v>0.7007082</v>
      </c>
      <c r="AF8551">
        <v>2456.1329999999998</v>
      </c>
      <c r="AG8551">
        <f>IFERROR(AH8551*0.1, "N/A")</f>
        <v>6.5</v>
      </c>
      <c r="AH8551">
        <v>65</v>
      </c>
      <c r="AI8551">
        <v>260.08569999999997</v>
      </c>
      <c r="AJ8551">
        <v>44.278829999999999</v>
      </c>
      <c r="AK8551">
        <v>25.278829999999999</v>
      </c>
    </row>
    <row r="8552" spans="1:37" x14ac:dyDescent="0.3">
      <c r="A8552">
        <v>8551</v>
      </c>
      <c r="B8552">
        <v>0</v>
      </c>
      <c r="C8552">
        <v>38.538499999999999</v>
      </c>
      <c r="D8552">
        <v>9.0694300000000005</v>
      </c>
      <c r="E8552" t="s">
        <v>12815</v>
      </c>
      <c r="F8552" t="s">
        <v>12816</v>
      </c>
      <c r="G8552" t="s">
        <v>37</v>
      </c>
      <c r="H8552">
        <v>2007</v>
      </c>
      <c r="I8552">
        <v>15.5</v>
      </c>
      <c r="J8552">
        <v>14</v>
      </c>
      <c r="K8552">
        <v>72</v>
      </c>
      <c r="L8552">
        <v>11.69</v>
      </c>
      <c r="M8552">
        <v>24.9</v>
      </c>
      <c r="N8552">
        <v>5.6</v>
      </c>
      <c r="O8552">
        <v>19.3</v>
      </c>
      <c r="P8552">
        <v>15</v>
      </c>
      <c r="Q8552">
        <v>14.2</v>
      </c>
      <c r="R8552">
        <v>17.2</v>
      </c>
      <c r="S8552">
        <v>14.2</v>
      </c>
      <c r="T8552">
        <v>1148</v>
      </c>
      <c r="U8552">
        <v>269</v>
      </c>
      <c r="V8552">
        <v>9</v>
      </c>
      <c r="W8552">
        <v>92</v>
      </c>
      <c r="X8552">
        <v>690</v>
      </c>
      <c r="Y8552">
        <v>34</v>
      </c>
      <c r="Z8552">
        <v>228</v>
      </c>
      <c r="AA8552">
        <v>50</v>
      </c>
      <c r="AB8552">
        <v>58.070749999999997</v>
      </c>
      <c r="AC8552">
        <v>1.8390779999999999E-2</v>
      </c>
      <c r="AD8552">
        <v>3.9067090000000002</v>
      </c>
      <c r="AE8552">
        <v>0.63162419999999997</v>
      </c>
      <c r="AF8552">
        <v>2472.2649999999999</v>
      </c>
      <c r="AG8552">
        <f>IFERROR(AH8552*0.1, "N/A")</f>
        <v>6.0020760000000006</v>
      </c>
      <c r="AH8552">
        <v>60.020760000000003</v>
      </c>
      <c r="AI8552">
        <v>276.41180000000003</v>
      </c>
      <c r="AJ8552">
        <v>42.031140000000001</v>
      </c>
      <c r="AK8552">
        <v>28.968859999999999</v>
      </c>
    </row>
    <row r="8553" spans="1:37" x14ac:dyDescent="0.3">
      <c r="A8553">
        <v>8552</v>
      </c>
      <c r="B8553">
        <v>2.2999999999999998</v>
      </c>
      <c r="C8553">
        <v>40.18</v>
      </c>
      <c r="D8553">
        <v>9.08</v>
      </c>
      <c r="E8553" t="s">
        <v>12817</v>
      </c>
      <c r="F8553" t="s">
        <v>12818</v>
      </c>
      <c r="G8553" t="s">
        <v>37</v>
      </c>
      <c r="H8553">
        <v>1987</v>
      </c>
      <c r="I8553">
        <v>26.1</v>
      </c>
      <c r="J8553">
        <v>15.3</v>
      </c>
      <c r="K8553">
        <v>65</v>
      </c>
      <c r="L8553">
        <v>20.97</v>
      </c>
      <c r="M8553">
        <v>37.1</v>
      </c>
      <c r="N8553">
        <v>13.9</v>
      </c>
      <c r="O8553">
        <v>23.2</v>
      </c>
      <c r="P8553">
        <v>27.1</v>
      </c>
      <c r="Q8553">
        <v>24</v>
      </c>
      <c r="R8553">
        <v>28.5</v>
      </c>
      <c r="S8553">
        <v>23.1</v>
      </c>
      <c r="T8553">
        <v>533</v>
      </c>
      <c r="U8553">
        <v>125</v>
      </c>
      <c r="V8553">
        <v>6</v>
      </c>
      <c r="W8553">
        <v>72</v>
      </c>
      <c r="X8553">
        <v>261</v>
      </c>
      <c r="Y8553">
        <v>38</v>
      </c>
      <c r="Z8553">
        <v>160</v>
      </c>
      <c r="AA8553">
        <v>38</v>
      </c>
      <c r="AB8553">
        <v>3.4255879999999999</v>
      </c>
      <c r="AC8553">
        <v>2.13741</v>
      </c>
      <c r="AD8553">
        <v>3.042888</v>
      </c>
      <c r="AE8553">
        <v>0.24192340000000001</v>
      </c>
      <c r="AF8553">
        <v>832.40480000000002</v>
      </c>
      <c r="AG8553">
        <f>IFERROR(AH8553*0.1, "N/A")</f>
        <v>7.9368510000000008</v>
      </c>
      <c r="AH8553">
        <v>79.368510000000001</v>
      </c>
      <c r="AI8553">
        <v>170.1172</v>
      </c>
      <c r="AJ8553">
        <v>36</v>
      </c>
      <c r="AK8553">
        <v>36.631489999999999</v>
      </c>
    </row>
    <row r="8554" spans="1:37" x14ac:dyDescent="0.3">
      <c r="A8554">
        <v>8553</v>
      </c>
      <c r="B8554">
        <v>0</v>
      </c>
      <c r="C8554">
        <v>40.18</v>
      </c>
      <c r="D8554">
        <v>9.08</v>
      </c>
      <c r="E8554" t="s">
        <v>12817</v>
      </c>
      <c r="F8554" t="s">
        <v>12819</v>
      </c>
      <c r="G8554" t="s">
        <v>39</v>
      </c>
      <c r="H8554">
        <v>1987</v>
      </c>
      <c r="I8554">
        <v>26.1</v>
      </c>
      <c r="J8554">
        <v>15.3</v>
      </c>
      <c r="K8554">
        <v>65</v>
      </c>
      <c r="L8554">
        <v>20.97</v>
      </c>
      <c r="M8554">
        <v>37.1</v>
      </c>
      <c r="N8554">
        <v>13.9</v>
      </c>
      <c r="O8554">
        <v>23.2</v>
      </c>
      <c r="P8554">
        <v>27.1</v>
      </c>
      <c r="Q8554">
        <v>24</v>
      </c>
      <c r="R8554">
        <v>28.5</v>
      </c>
      <c r="S8554">
        <v>23.1</v>
      </c>
      <c r="T8554">
        <v>533</v>
      </c>
      <c r="U8554">
        <v>125</v>
      </c>
      <c r="V8554">
        <v>6</v>
      </c>
      <c r="W8554">
        <v>72</v>
      </c>
      <c r="X8554">
        <v>261</v>
      </c>
      <c r="Y8554">
        <v>38</v>
      </c>
      <c r="Z8554">
        <v>160</v>
      </c>
      <c r="AA8554">
        <v>38</v>
      </c>
      <c r="AB8554">
        <v>3.4255879999999999</v>
      </c>
      <c r="AC8554">
        <v>2.13741</v>
      </c>
      <c r="AD8554">
        <v>3.042888</v>
      </c>
      <c r="AE8554">
        <v>0.24192340000000001</v>
      </c>
      <c r="AF8554">
        <v>832.40480000000002</v>
      </c>
      <c r="AG8554">
        <f>IFERROR(AH8554*0.1, "N/A")</f>
        <v>7.9368510000000008</v>
      </c>
      <c r="AH8554">
        <v>79.368510000000001</v>
      </c>
      <c r="AI8554">
        <v>170.1172</v>
      </c>
      <c r="AJ8554">
        <v>36</v>
      </c>
      <c r="AK8554">
        <v>36.631489999999999</v>
      </c>
    </row>
    <row r="8555" spans="1:37" x14ac:dyDescent="0.3">
      <c r="A8555">
        <v>8554</v>
      </c>
      <c r="B8555">
        <v>0.9</v>
      </c>
      <c r="C8555">
        <v>36.549999999999997</v>
      </c>
      <c r="D8555">
        <v>9.0832999999999995</v>
      </c>
      <c r="E8555" t="s">
        <v>12820</v>
      </c>
      <c r="F8555" t="s">
        <v>12821</v>
      </c>
      <c r="G8555" t="s">
        <v>37</v>
      </c>
      <c r="H8555">
        <v>1987</v>
      </c>
      <c r="I8555">
        <v>17.668849999999999</v>
      </c>
      <c r="J8555">
        <v>13.016349999999999</v>
      </c>
      <c r="K8555">
        <v>78.163510000000002</v>
      </c>
      <c r="L8555">
        <v>12.585559999999999</v>
      </c>
      <c r="M8555">
        <v>27.009979999999999</v>
      </c>
      <c r="N8555">
        <v>10.483650000000001</v>
      </c>
      <c r="O8555">
        <v>16.526330000000002</v>
      </c>
      <c r="P8555">
        <v>16.083649999999999</v>
      </c>
      <c r="Q8555">
        <v>18.3673</v>
      </c>
      <c r="R8555">
        <v>19.26885</v>
      </c>
      <c r="S8555">
        <v>15.985200000000001</v>
      </c>
      <c r="T8555">
        <v>1993.6369999999999</v>
      </c>
      <c r="U8555">
        <v>392.68849999999998</v>
      </c>
      <c r="V8555">
        <v>9.7366609999999998</v>
      </c>
      <c r="W8555">
        <v>85</v>
      </c>
      <c r="X8555">
        <v>1098.0830000000001</v>
      </c>
      <c r="Y8555">
        <v>44.309809999999999</v>
      </c>
      <c r="Z8555">
        <v>163.93289999999999</v>
      </c>
      <c r="AA8555">
        <v>1036.473</v>
      </c>
      <c r="AB8555">
        <v>47.205179999999999</v>
      </c>
      <c r="AC8555">
        <v>9.8232579999999996E-3</v>
      </c>
      <c r="AD8555">
        <v>6.6599740000000001</v>
      </c>
      <c r="AE8555">
        <v>0.83501970000000003</v>
      </c>
      <c r="AF8555">
        <v>2101.7249999999999</v>
      </c>
      <c r="AG8555">
        <f>IFERROR(AH8555*0.1, "N/A")</f>
        <v>5.6068850000000001</v>
      </c>
      <c r="AH8555">
        <v>56.068849999999998</v>
      </c>
      <c r="AI8555">
        <v>58.627380000000002</v>
      </c>
      <c r="AJ8555">
        <v>44.721170000000001</v>
      </c>
      <c r="AK8555">
        <v>29.20654</v>
      </c>
    </row>
    <row r="8556" spans="1:37" x14ac:dyDescent="0.3">
      <c r="A8556">
        <v>8555</v>
      </c>
      <c r="B8556">
        <v>3</v>
      </c>
      <c r="C8556">
        <v>40.866700000000002</v>
      </c>
      <c r="D8556">
        <v>9.0833300000000001</v>
      </c>
      <c r="E8556" t="s">
        <v>12822</v>
      </c>
      <c r="F8556" t="s">
        <v>12823</v>
      </c>
      <c r="G8556" t="s">
        <v>37</v>
      </c>
      <c r="H8556">
        <v>1989</v>
      </c>
      <c r="I8556">
        <v>19.862390000000001</v>
      </c>
      <c r="J8556">
        <v>13.7</v>
      </c>
      <c r="K8556">
        <v>75.457539999999995</v>
      </c>
      <c r="L8556">
        <v>11.695550000000001</v>
      </c>
      <c r="M8556">
        <v>28.801559999999998</v>
      </c>
      <c r="N8556">
        <v>10.711270000000001</v>
      </c>
      <c r="O8556">
        <v>18.09029</v>
      </c>
      <c r="P8556">
        <v>20.198440000000002</v>
      </c>
      <c r="Q8556">
        <v>18.147310000000001</v>
      </c>
      <c r="R8556">
        <v>21.201560000000001</v>
      </c>
      <c r="S8556">
        <v>18.147310000000001</v>
      </c>
      <c r="T8556">
        <v>1060.355</v>
      </c>
      <c r="U8556">
        <v>177.16640000000001</v>
      </c>
      <c r="V8556">
        <v>10</v>
      </c>
      <c r="W8556">
        <v>62.968800000000002</v>
      </c>
      <c r="X8556">
        <v>482.9255</v>
      </c>
      <c r="Y8556">
        <v>66.639510000000001</v>
      </c>
      <c r="Z8556">
        <v>338.51130000000001</v>
      </c>
      <c r="AA8556">
        <v>66.639510000000001</v>
      </c>
      <c r="AB8556">
        <v>30.594639999999998</v>
      </c>
      <c r="AC8556">
        <v>3.9828950000000002E-2</v>
      </c>
      <c r="AD8556">
        <v>2.8253919999999999</v>
      </c>
      <c r="AE8556">
        <v>0.62543079999999995</v>
      </c>
      <c r="AF8556">
        <v>1761.7829999999999</v>
      </c>
      <c r="AG8556">
        <f>IFERROR(AH8556*0.1, "N/A")</f>
        <v>7.2986140000000006</v>
      </c>
      <c r="AH8556">
        <v>72.986140000000006</v>
      </c>
      <c r="AI8556">
        <v>46.583889999999997</v>
      </c>
      <c r="AJ8556">
        <v>40.232239999999997</v>
      </c>
      <c r="AK8556">
        <v>30.774699999999999</v>
      </c>
    </row>
    <row r="8557" spans="1:37" x14ac:dyDescent="0.3">
      <c r="A8557">
        <v>8556</v>
      </c>
      <c r="B8557">
        <v>4.5</v>
      </c>
      <c r="C8557">
        <v>40.866599999999998</v>
      </c>
      <c r="D8557">
        <v>9.0838999999999999</v>
      </c>
      <c r="E8557" t="s">
        <v>12824</v>
      </c>
      <c r="F8557" t="s">
        <v>12825</v>
      </c>
      <c r="G8557" t="s">
        <v>37</v>
      </c>
      <c r="H8557">
        <v>1980</v>
      </c>
      <c r="I8557">
        <v>20.03668</v>
      </c>
      <c r="J8557">
        <v>13.7</v>
      </c>
      <c r="K8557">
        <v>74.688580000000002</v>
      </c>
      <c r="L8557">
        <v>12.065810000000001</v>
      </c>
      <c r="M8557">
        <v>29.01315</v>
      </c>
      <c r="N8557">
        <v>10.81349</v>
      </c>
      <c r="O8557">
        <v>18.199649999999998</v>
      </c>
      <c r="P8557">
        <v>20.405190000000001</v>
      </c>
      <c r="Q8557">
        <v>18.28201</v>
      </c>
      <c r="R8557">
        <v>21.413150000000002</v>
      </c>
      <c r="S8557">
        <v>18.28201</v>
      </c>
      <c r="T8557">
        <v>1050.087</v>
      </c>
      <c r="U8557">
        <v>175.4948</v>
      </c>
      <c r="V8557">
        <v>10</v>
      </c>
      <c r="W8557">
        <v>62.92042</v>
      </c>
      <c r="X8557">
        <v>477.09339999999997</v>
      </c>
      <c r="Y8557">
        <v>66.314880000000002</v>
      </c>
      <c r="Z8557">
        <v>335.04840000000002</v>
      </c>
      <c r="AA8557">
        <v>66.314880000000002</v>
      </c>
      <c r="AB8557">
        <v>29.5656</v>
      </c>
      <c r="AC8557">
        <v>3.772963E-2</v>
      </c>
      <c r="AD8557">
        <v>3.1900550000000001</v>
      </c>
      <c r="AE8557">
        <v>0.62543079999999995</v>
      </c>
      <c r="AF8557">
        <v>1760.8009999999999</v>
      </c>
      <c r="AG8557">
        <f>IFERROR(AH8557*0.1, "N/A")</f>
        <v>7.2977509999999999</v>
      </c>
      <c r="AH8557">
        <v>72.977509999999995</v>
      </c>
      <c r="AI8557">
        <v>50.015239999999999</v>
      </c>
      <c r="AJ8557">
        <v>40</v>
      </c>
      <c r="AK8557">
        <v>31</v>
      </c>
    </row>
    <row r="8558" spans="1:37" x14ac:dyDescent="0.3">
      <c r="A8558">
        <v>8557</v>
      </c>
      <c r="B8558">
        <v>0</v>
      </c>
      <c r="C8558">
        <v>39.954000000000001</v>
      </c>
      <c r="D8558">
        <v>9.14452</v>
      </c>
      <c r="E8558" t="s">
        <v>12826</v>
      </c>
      <c r="F8558" t="s">
        <v>12827</v>
      </c>
      <c r="G8558" t="s">
        <v>37</v>
      </c>
      <c r="H8558">
        <v>1977</v>
      </c>
      <c r="I8558">
        <v>26</v>
      </c>
      <c r="J8558">
        <v>15.4</v>
      </c>
      <c r="K8558">
        <v>66</v>
      </c>
      <c r="L8558">
        <v>20.95</v>
      </c>
      <c r="M8558">
        <v>37</v>
      </c>
      <c r="N8558">
        <v>13.8</v>
      </c>
      <c r="O8558">
        <v>23.2</v>
      </c>
      <c r="P8558">
        <v>27</v>
      </c>
      <c r="Q8558">
        <v>23.8</v>
      </c>
      <c r="R8558">
        <v>28.3</v>
      </c>
      <c r="S8558">
        <v>23</v>
      </c>
      <c r="T8558">
        <v>531</v>
      </c>
      <c r="U8558">
        <v>133</v>
      </c>
      <c r="V8558">
        <v>5</v>
      </c>
      <c r="W8558">
        <v>79</v>
      </c>
      <c r="X8558">
        <v>276</v>
      </c>
      <c r="Y8558">
        <v>33</v>
      </c>
      <c r="Z8558">
        <v>169</v>
      </c>
      <c r="AA8558">
        <v>35</v>
      </c>
      <c r="AB8558">
        <v>4.7702</v>
      </c>
      <c r="AC8558">
        <v>0.23195270000000001</v>
      </c>
      <c r="AD8558">
        <v>1.5873969999999999</v>
      </c>
      <c r="AE8558">
        <v>0.33867999999999998</v>
      </c>
      <c r="AF8558">
        <v>800.18889999999999</v>
      </c>
      <c r="AG8558">
        <f>IFERROR(AH8558*0.1, "N/A")</f>
        <v>7.922530000000001</v>
      </c>
      <c r="AH8558">
        <v>79.225300000000004</v>
      </c>
      <c r="AI8558">
        <v>153.84989999999999</v>
      </c>
      <c r="AJ8558">
        <v>26.005199999999999</v>
      </c>
      <c r="AK8558">
        <v>43.792029999999997</v>
      </c>
    </row>
    <row r="8559" spans="1:37" x14ac:dyDescent="0.3">
      <c r="A8559">
        <v>8558</v>
      </c>
      <c r="B8559">
        <v>1</v>
      </c>
      <c r="C8559">
        <v>39.966700000000003</v>
      </c>
      <c r="D8559">
        <v>9.15</v>
      </c>
      <c r="E8559" t="s">
        <v>12828</v>
      </c>
      <c r="F8559" t="s">
        <v>12829</v>
      </c>
      <c r="G8559" t="s">
        <v>37</v>
      </c>
      <c r="H8559">
        <v>1980</v>
      </c>
      <c r="I8559">
        <v>26.07789</v>
      </c>
      <c r="J8559">
        <v>15.4</v>
      </c>
      <c r="K8559">
        <v>66</v>
      </c>
      <c r="L8559">
        <v>20.745509999999999</v>
      </c>
      <c r="M8559">
        <v>37.1</v>
      </c>
      <c r="N8559">
        <v>13.8</v>
      </c>
      <c r="O8559">
        <v>23.3</v>
      </c>
      <c r="P8559">
        <v>27.07789</v>
      </c>
      <c r="Q8559">
        <v>23.9</v>
      </c>
      <c r="R8559">
        <v>28.429880000000001</v>
      </c>
      <c r="S8559">
        <v>23.1</v>
      </c>
      <c r="T8559">
        <v>526.62350000000004</v>
      </c>
      <c r="U8559">
        <v>132.7012</v>
      </c>
      <c r="V8559">
        <v>5</v>
      </c>
      <c r="W8559">
        <v>79.259069999999994</v>
      </c>
      <c r="X8559">
        <v>273.4024</v>
      </c>
      <c r="Y8559">
        <v>33</v>
      </c>
      <c r="Z8559">
        <v>165.7012</v>
      </c>
      <c r="AA8559">
        <v>35</v>
      </c>
      <c r="AB8559">
        <v>1.8830849999999999</v>
      </c>
      <c r="AC8559">
        <v>0.54942500000000005</v>
      </c>
      <c r="AD8559">
        <v>2.5255899999999998</v>
      </c>
      <c r="AE8559">
        <v>0.30651689999999998</v>
      </c>
      <c r="AF8559">
        <v>800.03279999999995</v>
      </c>
      <c r="AG8559">
        <f>IFERROR(AH8559*0.1, "N/A")</f>
        <v>7.7635580000000006</v>
      </c>
      <c r="AH8559">
        <v>77.635580000000004</v>
      </c>
      <c r="AI8559">
        <v>144.40989999999999</v>
      </c>
      <c r="AJ8559">
        <v>33.027630000000002</v>
      </c>
      <c r="AK8559">
        <v>33.336790000000001</v>
      </c>
    </row>
    <row r="8560" spans="1:37" x14ac:dyDescent="0.3">
      <c r="A8560">
        <v>8559</v>
      </c>
      <c r="B8560">
        <v>0</v>
      </c>
      <c r="C8560">
        <v>39.023899999999998</v>
      </c>
      <c r="D8560">
        <v>9.1500900000000005</v>
      </c>
      <c r="E8560" t="s">
        <v>12830</v>
      </c>
      <c r="F8560" t="s">
        <v>12831</v>
      </c>
      <c r="G8560" t="s">
        <v>37</v>
      </c>
      <c r="H8560">
        <v>1976</v>
      </c>
      <c r="I8560">
        <v>15.520860000000001</v>
      </c>
      <c r="J8560">
        <v>13.3</v>
      </c>
      <c r="K8560">
        <v>73</v>
      </c>
      <c r="L8560">
        <v>11.098140000000001</v>
      </c>
      <c r="M8560">
        <v>24.520859999999999</v>
      </c>
      <c r="N8560">
        <v>6.4208619999999996</v>
      </c>
      <c r="O8560">
        <v>18.100000000000001</v>
      </c>
      <c r="P8560">
        <v>15.18207</v>
      </c>
      <c r="Q8560">
        <v>14.18207</v>
      </c>
      <c r="R8560">
        <v>17.020859999999999</v>
      </c>
      <c r="S8560">
        <v>14.18207</v>
      </c>
      <c r="T8560">
        <v>1021.164</v>
      </c>
      <c r="U8560">
        <v>270.79140000000001</v>
      </c>
      <c r="V8560">
        <v>7</v>
      </c>
      <c r="W8560">
        <v>93.387929999999997</v>
      </c>
      <c r="X8560">
        <v>621.16380000000004</v>
      </c>
      <c r="Y8560">
        <v>33</v>
      </c>
      <c r="Z8560">
        <v>199</v>
      </c>
      <c r="AA8560">
        <v>33</v>
      </c>
      <c r="AB8560">
        <v>22.058340000000001</v>
      </c>
      <c r="AC8560">
        <v>5.1942410000000001E-2</v>
      </c>
      <c r="AD8560">
        <v>1.9089929999999999</v>
      </c>
      <c r="AE8560">
        <v>0.74524120000000005</v>
      </c>
      <c r="AF8560">
        <v>2551.174</v>
      </c>
      <c r="AG8560">
        <f>IFERROR(AH8560*0.1, "N/A")</f>
        <v>6.7</v>
      </c>
      <c r="AH8560">
        <v>67</v>
      </c>
      <c r="AI8560">
        <v>214.32130000000001</v>
      </c>
      <c r="AJ8560">
        <v>41</v>
      </c>
      <c r="AK8560">
        <v>27.991379999999999</v>
      </c>
    </row>
    <row r="8561" spans="1:37" x14ac:dyDescent="0.3">
      <c r="A8561">
        <v>8560</v>
      </c>
      <c r="B8561">
        <v>0</v>
      </c>
      <c r="C8561">
        <v>35.833300000000001</v>
      </c>
      <c r="D8561">
        <v>9.1666699999999999</v>
      </c>
      <c r="E8561" t="s">
        <v>12832</v>
      </c>
      <c r="F8561" t="s">
        <v>12833</v>
      </c>
      <c r="G8561" t="s">
        <v>37</v>
      </c>
      <c r="H8561">
        <v>1987</v>
      </c>
      <c r="I8561">
        <v>18.933910000000001</v>
      </c>
      <c r="J8561">
        <v>13.205539999999999</v>
      </c>
      <c r="K8561">
        <v>77.221450000000004</v>
      </c>
      <c r="L8561">
        <v>12.58024</v>
      </c>
      <c r="M8561">
        <v>28.41488</v>
      </c>
      <c r="N8561">
        <v>11.42595</v>
      </c>
      <c r="O8561">
        <v>16.98893</v>
      </c>
      <c r="P8561">
        <v>17.417649999999998</v>
      </c>
      <c r="Q8561">
        <v>19.40934</v>
      </c>
      <c r="R8561">
        <v>20.698619999999998</v>
      </c>
      <c r="S8561">
        <v>17.40381</v>
      </c>
      <c r="T8561">
        <v>1947.1489999999999</v>
      </c>
      <c r="U8561">
        <v>377.346</v>
      </c>
      <c r="V8561">
        <v>5.3287199999999997</v>
      </c>
      <c r="W8561">
        <v>90.401380000000003</v>
      </c>
      <c r="X8561">
        <v>1087.1869999999999</v>
      </c>
      <c r="Y8561">
        <v>25.093430000000001</v>
      </c>
      <c r="Z8561">
        <v>120.083</v>
      </c>
      <c r="AA8561">
        <v>1058.1210000000001</v>
      </c>
      <c r="AB8561">
        <v>168.1277</v>
      </c>
      <c r="AC8561">
        <v>8.4408499999999997E-3</v>
      </c>
      <c r="AD8561">
        <v>10.67624</v>
      </c>
      <c r="AE8561">
        <v>0.67469809999999997</v>
      </c>
      <c r="AF8561">
        <v>2024.0029999999999</v>
      </c>
      <c r="AG8561">
        <f>IFERROR(AH8561*0.1, "N/A")</f>
        <v>5.4</v>
      </c>
      <c r="AH8561">
        <v>54</v>
      </c>
      <c r="AI8561">
        <v>281.23349999999999</v>
      </c>
      <c r="AJ8561">
        <v>38.32526</v>
      </c>
      <c r="AK8561">
        <v>35.51211</v>
      </c>
    </row>
    <row r="8562" spans="1:37" x14ac:dyDescent="0.3">
      <c r="A8562">
        <v>8561</v>
      </c>
      <c r="B8562">
        <v>0</v>
      </c>
      <c r="C8562">
        <v>35.466700000000003</v>
      </c>
      <c r="D8562">
        <v>9.1666699999999999</v>
      </c>
      <c r="E8562" t="s">
        <v>12834</v>
      </c>
      <c r="F8562" t="s">
        <v>12835</v>
      </c>
      <c r="G8562" t="s">
        <v>37</v>
      </c>
      <c r="H8562">
        <v>1987</v>
      </c>
      <c r="I8562">
        <v>20.122450000000001</v>
      </c>
      <c r="J8562">
        <v>13.3</v>
      </c>
      <c r="K8562">
        <v>76</v>
      </c>
      <c r="L8562">
        <v>13.174200000000001</v>
      </c>
      <c r="M8562">
        <v>30.126940000000001</v>
      </c>
      <c r="N8562">
        <v>12.804489999999999</v>
      </c>
      <c r="O8562">
        <v>17.32245</v>
      </c>
      <c r="P8562">
        <v>18.744910000000001</v>
      </c>
      <c r="Q8562">
        <v>20.922450000000001</v>
      </c>
      <c r="R8562">
        <v>22.02694</v>
      </c>
      <c r="S8562">
        <v>18.522449999999999</v>
      </c>
      <c r="T8562">
        <v>1678.1949999999999</v>
      </c>
      <c r="U8562">
        <v>321.1019</v>
      </c>
      <c r="V8562">
        <v>5.4490499999999997</v>
      </c>
      <c r="W8562">
        <v>88.73057</v>
      </c>
      <c r="X8562">
        <v>910.31780000000003</v>
      </c>
      <c r="Y8562">
        <v>23.44905</v>
      </c>
      <c r="Z8562">
        <v>103.5509</v>
      </c>
      <c r="AA8562">
        <v>880.58720000000005</v>
      </c>
      <c r="AB8562">
        <v>21.418240000000001</v>
      </c>
      <c r="AC8562">
        <v>0.22949220000000001</v>
      </c>
      <c r="AD8562">
        <v>8.9874340000000004</v>
      </c>
      <c r="AE8562">
        <v>0.49382189999999998</v>
      </c>
      <c r="AF8562">
        <v>1574.729</v>
      </c>
      <c r="AG8562">
        <f>IFERROR(AH8562*0.1, "N/A")</f>
        <v>5.4224530000000009</v>
      </c>
      <c r="AH8562">
        <v>54.224530000000001</v>
      </c>
      <c r="AI8562">
        <v>135.3897</v>
      </c>
      <c r="AJ8562">
        <v>40.326419999999999</v>
      </c>
      <c r="AK8562">
        <v>32.44905</v>
      </c>
    </row>
    <row r="8563" spans="1:37" x14ac:dyDescent="0.3">
      <c r="A8563">
        <v>8562</v>
      </c>
      <c r="B8563">
        <v>20</v>
      </c>
      <c r="C8563">
        <v>40.166699999999999</v>
      </c>
      <c r="D8563">
        <v>9.1833299999999998</v>
      </c>
      <c r="E8563" t="s">
        <v>12836</v>
      </c>
      <c r="F8563" t="s">
        <v>12837</v>
      </c>
      <c r="G8563" t="s">
        <v>39</v>
      </c>
      <c r="H8563">
        <v>1994</v>
      </c>
      <c r="I8563">
        <v>26.1</v>
      </c>
      <c r="J8563">
        <v>15.4</v>
      </c>
      <c r="K8563">
        <v>65.931030000000007</v>
      </c>
      <c r="L8563">
        <v>20.874590000000001</v>
      </c>
      <c r="M8563">
        <v>37.106900000000003</v>
      </c>
      <c r="N8563">
        <v>13.8</v>
      </c>
      <c r="O8563">
        <v>23.306899999999999</v>
      </c>
      <c r="P8563">
        <v>27.1</v>
      </c>
      <c r="Q8563">
        <v>23.9069</v>
      </c>
      <c r="R8563">
        <v>28.453279999999999</v>
      </c>
      <c r="S8563">
        <v>23.1069</v>
      </c>
      <c r="T8563">
        <v>542.78790000000004</v>
      </c>
      <c r="U8563">
        <v>129</v>
      </c>
      <c r="V8563">
        <v>6</v>
      </c>
      <c r="W8563">
        <v>71.143100000000004</v>
      </c>
      <c r="X8563">
        <v>263.1431</v>
      </c>
      <c r="Y8563">
        <v>38</v>
      </c>
      <c r="Z8563">
        <v>159</v>
      </c>
      <c r="AA8563">
        <v>39</v>
      </c>
      <c r="AB8563">
        <v>1.055007</v>
      </c>
      <c r="AC8563">
        <v>0.77516969999999996</v>
      </c>
      <c r="AD8563">
        <v>0.7424077</v>
      </c>
      <c r="AE8563">
        <v>0.2457501</v>
      </c>
      <c r="AF8563">
        <v>824.28099999999995</v>
      </c>
      <c r="AG8563">
        <f>IFERROR(AH8563*0.1, "N/A")</f>
        <v>8.1008619999999993</v>
      </c>
      <c r="AH8563">
        <v>81.008619999999993</v>
      </c>
      <c r="AI8563">
        <v>133.8544</v>
      </c>
      <c r="AJ8563">
        <v>31.982759999999999</v>
      </c>
      <c r="AK8563">
        <v>38</v>
      </c>
    </row>
    <row r="8564" spans="1:37" x14ac:dyDescent="0.3">
      <c r="A8564">
        <v>8563</v>
      </c>
      <c r="B8564">
        <v>2.4</v>
      </c>
      <c r="C8564">
        <v>39.153700000000001</v>
      </c>
      <c r="D8564">
        <v>9.1957900000000006</v>
      </c>
      <c r="E8564" t="s">
        <v>12838</v>
      </c>
      <c r="F8564" t="s">
        <v>12839</v>
      </c>
      <c r="G8564" t="s">
        <v>37</v>
      </c>
      <c r="H8564">
        <v>1980</v>
      </c>
      <c r="I8564">
        <v>15.2</v>
      </c>
      <c r="J8564">
        <v>13.1</v>
      </c>
      <c r="K8564">
        <v>71</v>
      </c>
      <c r="L8564">
        <v>11.91</v>
      </c>
      <c r="M8564">
        <v>24.3</v>
      </c>
      <c r="N8564">
        <v>6.1</v>
      </c>
      <c r="O8564">
        <v>18.2</v>
      </c>
      <c r="P8564">
        <v>15.1</v>
      </c>
      <c r="Q8564">
        <v>13.7</v>
      </c>
      <c r="R8564">
        <v>16.8</v>
      </c>
      <c r="S8564">
        <v>13.7</v>
      </c>
      <c r="T8564">
        <v>972</v>
      </c>
      <c r="U8564">
        <v>279</v>
      </c>
      <c r="V8564">
        <v>6</v>
      </c>
      <c r="W8564">
        <v>97</v>
      </c>
      <c r="X8564">
        <v>601</v>
      </c>
      <c r="Y8564">
        <v>32</v>
      </c>
      <c r="Z8564">
        <v>218</v>
      </c>
      <c r="AA8564">
        <v>32</v>
      </c>
      <c r="AB8564">
        <v>24.47907</v>
      </c>
      <c r="AC8564">
        <v>1.5599729999999999E-2</v>
      </c>
      <c r="AD8564">
        <v>0.99147280000000004</v>
      </c>
      <c r="AE8564">
        <v>0.59172309999999995</v>
      </c>
      <c r="AF8564">
        <v>2641.7220000000002</v>
      </c>
      <c r="AG8564">
        <f>IFERROR(AH8564*0.1, "N/A")</f>
        <v>6.7713790000000005</v>
      </c>
      <c r="AH8564">
        <v>67.713790000000003</v>
      </c>
      <c r="AI8564">
        <v>251.92339999999999</v>
      </c>
      <c r="AJ8564">
        <v>45.467239999999997</v>
      </c>
      <c r="AK8564">
        <v>28.16724</v>
      </c>
    </row>
    <row r="8565" spans="1:37" x14ac:dyDescent="0.3">
      <c r="A8565">
        <v>8564</v>
      </c>
      <c r="B8565">
        <v>0</v>
      </c>
      <c r="C8565">
        <v>39.153199999999998</v>
      </c>
      <c r="D8565">
        <v>9.1958400000000005</v>
      </c>
      <c r="E8565" t="s">
        <v>12840</v>
      </c>
      <c r="F8565" t="s">
        <v>12841</v>
      </c>
      <c r="G8565" t="s">
        <v>37</v>
      </c>
      <c r="H8565">
        <v>1976</v>
      </c>
      <c r="I8565">
        <v>15.2</v>
      </c>
      <c r="J8565">
        <v>13.1</v>
      </c>
      <c r="K8565">
        <v>71</v>
      </c>
      <c r="L8565">
        <v>11.91</v>
      </c>
      <c r="M8565">
        <v>24.3</v>
      </c>
      <c r="N8565">
        <v>6.1</v>
      </c>
      <c r="O8565">
        <v>18.2</v>
      </c>
      <c r="P8565">
        <v>15.1</v>
      </c>
      <c r="Q8565">
        <v>13.7</v>
      </c>
      <c r="R8565">
        <v>16.8</v>
      </c>
      <c r="S8565">
        <v>13.7</v>
      </c>
      <c r="T8565">
        <v>972</v>
      </c>
      <c r="U8565">
        <v>279</v>
      </c>
      <c r="V8565">
        <v>6</v>
      </c>
      <c r="W8565">
        <v>97</v>
      </c>
      <c r="X8565">
        <v>601</v>
      </c>
      <c r="Y8565">
        <v>32</v>
      </c>
      <c r="Z8565">
        <v>218</v>
      </c>
      <c r="AA8565">
        <v>32</v>
      </c>
      <c r="AB8565">
        <v>22.045780000000001</v>
      </c>
      <c r="AC8565">
        <v>2.3305329999999999E-2</v>
      </c>
      <c r="AD8565">
        <v>1.4701949999999999</v>
      </c>
      <c r="AE8565">
        <v>0.57031080000000001</v>
      </c>
      <c r="AF8565">
        <v>2640.1089999999999</v>
      </c>
      <c r="AG8565">
        <f>IFERROR(AH8565*0.1, "N/A")</f>
        <v>6.7996540000000003</v>
      </c>
      <c r="AH8565">
        <v>67.996539999999996</v>
      </c>
      <c r="AI8565">
        <v>256.34140000000002</v>
      </c>
      <c r="AJ8565">
        <v>46.015569999999997</v>
      </c>
      <c r="AK8565">
        <v>27.93599</v>
      </c>
    </row>
    <row r="8566" spans="1:37" x14ac:dyDescent="0.3">
      <c r="A8566">
        <v>8565</v>
      </c>
      <c r="B8566">
        <v>39.799999999999997</v>
      </c>
      <c r="C8566">
        <v>41.1</v>
      </c>
      <c r="D8566">
        <v>9.2166700000000006</v>
      </c>
      <c r="E8566" t="s">
        <v>12842</v>
      </c>
      <c r="F8566" t="s">
        <v>12843</v>
      </c>
      <c r="G8566" t="s">
        <v>37</v>
      </c>
      <c r="H8566">
        <v>1989</v>
      </c>
      <c r="I8566">
        <v>19.57986</v>
      </c>
      <c r="J8566">
        <v>13.3</v>
      </c>
      <c r="K8566">
        <v>76</v>
      </c>
      <c r="L8566">
        <v>10.90404</v>
      </c>
      <c r="M8566">
        <v>28.191569999999999</v>
      </c>
      <c r="N8566">
        <v>10.866440000000001</v>
      </c>
      <c r="O8566">
        <v>17.325130000000001</v>
      </c>
      <c r="P8566">
        <v>19.79157</v>
      </c>
      <c r="Q8566">
        <v>17.979859999999999</v>
      </c>
      <c r="R8566">
        <v>20.879860000000001</v>
      </c>
      <c r="S8566">
        <v>17.979859999999999</v>
      </c>
      <c r="T8566">
        <v>1006.838</v>
      </c>
      <c r="U8566">
        <v>185.04130000000001</v>
      </c>
      <c r="V8566">
        <v>10</v>
      </c>
      <c r="W8566">
        <v>64.478489999999994</v>
      </c>
      <c r="X8566">
        <v>468.19099999999997</v>
      </c>
      <c r="Y8566">
        <v>62.361449999999998</v>
      </c>
      <c r="Z8566">
        <v>309.44580000000002</v>
      </c>
      <c r="AA8566">
        <v>62.361449999999998</v>
      </c>
      <c r="AB8566">
        <v>9.3183539999999994</v>
      </c>
      <c r="AC8566">
        <v>2.360483E-2</v>
      </c>
      <c r="AD8566">
        <v>4.7511049999999999</v>
      </c>
      <c r="AE8566">
        <v>0.58848069999999997</v>
      </c>
      <c r="AF8566">
        <v>1790.771</v>
      </c>
      <c r="AG8566">
        <f>IFERROR(AH8566*0.1, "N/A")</f>
        <v>7.274871000000001</v>
      </c>
      <c r="AH8566">
        <v>72.748710000000003</v>
      </c>
      <c r="AI8566">
        <v>171.10220000000001</v>
      </c>
      <c r="AJ8566">
        <v>37.256450000000001</v>
      </c>
      <c r="AK8566">
        <v>37.748710000000003</v>
      </c>
    </row>
    <row r="8567" spans="1:37" x14ac:dyDescent="0.3">
      <c r="A8567">
        <v>8566</v>
      </c>
      <c r="B8567">
        <v>17.2</v>
      </c>
      <c r="C8567">
        <v>42.216700000000003</v>
      </c>
      <c r="D8567">
        <v>9.2166700000000006</v>
      </c>
      <c r="E8567" t="s">
        <v>12844</v>
      </c>
      <c r="F8567" t="s">
        <v>12845</v>
      </c>
      <c r="G8567" t="s">
        <v>37</v>
      </c>
      <c r="H8567">
        <v>1989</v>
      </c>
      <c r="I8567">
        <v>22.1</v>
      </c>
      <c r="J8567">
        <v>13.182270000000001</v>
      </c>
      <c r="K8567">
        <v>76</v>
      </c>
      <c r="L8567">
        <v>10.589259999999999</v>
      </c>
      <c r="M8567">
        <v>29.991389999999999</v>
      </c>
      <c r="N8567">
        <v>12.70912</v>
      </c>
      <c r="O8567">
        <v>17.28227</v>
      </c>
      <c r="P8567">
        <v>22.508610000000001</v>
      </c>
      <c r="Q8567">
        <v>20.491389999999999</v>
      </c>
      <c r="R8567">
        <v>23.2</v>
      </c>
      <c r="S8567">
        <v>20.491389999999999</v>
      </c>
      <c r="T8567">
        <v>641.78489999999999</v>
      </c>
      <c r="U8567">
        <v>98.478489999999994</v>
      </c>
      <c r="V8567">
        <v>6</v>
      </c>
      <c r="W8567">
        <v>58.478490000000001</v>
      </c>
      <c r="X8567">
        <v>266.6558</v>
      </c>
      <c r="Y8567">
        <v>34</v>
      </c>
      <c r="Z8567">
        <v>221.60759999999999</v>
      </c>
      <c r="AA8567">
        <v>34</v>
      </c>
      <c r="AB8567">
        <v>8.5311360000000001</v>
      </c>
      <c r="AC8567">
        <v>2.5551460000000002E-2</v>
      </c>
      <c r="AD8567">
        <v>4.6836270000000004</v>
      </c>
      <c r="AE8567">
        <v>0.28730850000000002</v>
      </c>
      <c r="AF8567">
        <v>1375.472</v>
      </c>
      <c r="AG8567">
        <f>IFERROR(AH8567*0.1, "N/A")</f>
        <v>6.8531840000000006</v>
      </c>
      <c r="AH8567">
        <v>68.531840000000003</v>
      </c>
      <c r="AI8567">
        <v>80.018020000000007</v>
      </c>
      <c r="AJ8567">
        <v>27.82272</v>
      </c>
      <c r="AK8567">
        <v>52.177280000000003</v>
      </c>
    </row>
    <row r="8568" spans="1:37" x14ac:dyDescent="0.3">
      <c r="A8568">
        <v>8567</v>
      </c>
      <c r="B8568">
        <v>2.5</v>
      </c>
      <c r="C8568">
        <v>40.26</v>
      </c>
      <c r="D8568">
        <v>9.23</v>
      </c>
      <c r="E8568" t="s">
        <v>12846</v>
      </c>
      <c r="F8568" t="s">
        <v>12847</v>
      </c>
      <c r="G8568" t="s">
        <v>37</v>
      </c>
      <c r="H8568">
        <v>1987</v>
      </c>
      <c r="I8568">
        <v>26.1</v>
      </c>
      <c r="J8568">
        <v>15.4</v>
      </c>
      <c r="K8568">
        <v>65</v>
      </c>
      <c r="L8568">
        <v>21.27</v>
      </c>
      <c r="M8568">
        <v>37.200000000000003</v>
      </c>
      <c r="N8568">
        <v>13.8</v>
      </c>
      <c r="O8568">
        <v>23.4</v>
      </c>
      <c r="P8568">
        <v>27.1</v>
      </c>
      <c r="Q8568">
        <v>23.9</v>
      </c>
      <c r="R8568">
        <v>28.6</v>
      </c>
      <c r="S8568">
        <v>23.1</v>
      </c>
      <c r="T8568">
        <v>546</v>
      </c>
      <c r="U8568">
        <v>127</v>
      </c>
      <c r="V8568">
        <v>6</v>
      </c>
      <c r="W8568">
        <v>69</v>
      </c>
      <c r="X8568">
        <v>256</v>
      </c>
      <c r="Y8568">
        <v>40</v>
      </c>
      <c r="Z8568">
        <v>154</v>
      </c>
      <c r="AA8568">
        <v>41</v>
      </c>
      <c r="AB8568">
        <v>0.88047589999999998</v>
      </c>
      <c r="AC8568">
        <v>0.19404969999999999</v>
      </c>
      <c r="AD8568">
        <v>0.43601529999999999</v>
      </c>
      <c r="AE8568">
        <v>0.24627940000000001</v>
      </c>
      <c r="AF8568">
        <v>822.0104</v>
      </c>
      <c r="AG8568">
        <f>IFERROR(AH8568*0.1, "N/A")</f>
        <v>8.1</v>
      </c>
      <c r="AH8568">
        <v>81</v>
      </c>
      <c r="AI8568">
        <v>175.19130000000001</v>
      </c>
      <c r="AJ8568">
        <v>28.274609999999999</v>
      </c>
      <c r="AK8568">
        <v>43.37133</v>
      </c>
    </row>
    <row r="8569" spans="1:37" x14ac:dyDescent="0.3">
      <c r="A8569">
        <v>8568</v>
      </c>
      <c r="B8569">
        <v>21.3</v>
      </c>
      <c r="C8569">
        <v>40.26</v>
      </c>
      <c r="D8569">
        <v>9.23</v>
      </c>
      <c r="E8569" t="s">
        <v>12846</v>
      </c>
      <c r="F8569" t="s">
        <v>12848</v>
      </c>
      <c r="G8569" t="s">
        <v>39</v>
      </c>
      <c r="H8569">
        <v>1987</v>
      </c>
      <c r="I8569">
        <v>26.1</v>
      </c>
      <c r="J8569">
        <v>15.4</v>
      </c>
      <c r="K8569">
        <v>65</v>
      </c>
      <c r="L8569">
        <v>21.27</v>
      </c>
      <c r="M8569">
        <v>37.200000000000003</v>
      </c>
      <c r="N8569">
        <v>13.8</v>
      </c>
      <c r="O8569">
        <v>23.4</v>
      </c>
      <c r="P8569">
        <v>27.1</v>
      </c>
      <c r="Q8569">
        <v>23.9</v>
      </c>
      <c r="R8569">
        <v>28.6</v>
      </c>
      <c r="S8569">
        <v>23.1</v>
      </c>
      <c r="T8569">
        <v>546</v>
      </c>
      <c r="U8569">
        <v>127</v>
      </c>
      <c r="V8569">
        <v>6</v>
      </c>
      <c r="W8569">
        <v>69</v>
      </c>
      <c r="X8569">
        <v>256</v>
      </c>
      <c r="Y8569">
        <v>40</v>
      </c>
      <c r="Z8569">
        <v>154</v>
      </c>
      <c r="AA8569">
        <v>41</v>
      </c>
      <c r="AB8569">
        <v>0.88047589999999998</v>
      </c>
      <c r="AC8569">
        <v>0.19404969999999999</v>
      </c>
      <c r="AD8569">
        <v>0.43601529999999999</v>
      </c>
      <c r="AE8569">
        <v>0.24627940000000001</v>
      </c>
      <c r="AF8569">
        <v>822.0104</v>
      </c>
      <c r="AG8569">
        <f>IFERROR(AH8569*0.1, "N/A")</f>
        <v>8.1</v>
      </c>
      <c r="AH8569">
        <v>81</v>
      </c>
      <c r="AI8569">
        <v>175.19130000000001</v>
      </c>
      <c r="AJ8569">
        <v>28.274609999999999</v>
      </c>
      <c r="AK8569">
        <v>43.37133</v>
      </c>
    </row>
    <row r="8570" spans="1:37" x14ac:dyDescent="0.3">
      <c r="A8570">
        <v>8569</v>
      </c>
      <c r="B8570">
        <v>0</v>
      </c>
      <c r="C8570">
        <v>40.0944</v>
      </c>
      <c r="D8570">
        <v>9.2326999999999995</v>
      </c>
      <c r="E8570" t="s">
        <v>12849</v>
      </c>
      <c r="F8570" t="s">
        <v>12850</v>
      </c>
      <c r="G8570" t="s">
        <v>37</v>
      </c>
      <c r="H8570">
        <v>1977</v>
      </c>
      <c r="I8570">
        <v>26.3</v>
      </c>
      <c r="J8570">
        <v>15.4</v>
      </c>
      <c r="K8570">
        <v>65</v>
      </c>
      <c r="L8570">
        <v>21.222180000000002</v>
      </c>
      <c r="M8570">
        <v>37.4</v>
      </c>
      <c r="N8570">
        <v>14</v>
      </c>
      <c r="O8570">
        <v>23.4</v>
      </c>
      <c r="P8570">
        <v>27.335750000000001</v>
      </c>
      <c r="Q8570">
        <v>24.1</v>
      </c>
      <c r="R8570">
        <v>28.735749999999999</v>
      </c>
      <c r="S8570">
        <v>23.3</v>
      </c>
      <c r="T8570">
        <v>518</v>
      </c>
      <c r="U8570">
        <v>128.35749999999999</v>
      </c>
      <c r="V8570">
        <v>6</v>
      </c>
      <c r="W8570">
        <v>74</v>
      </c>
      <c r="X8570">
        <v>256</v>
      </c>
      <c r="Y8570">
        <v>35</v>
      </c>
      <c r="Z8570">
        <v>152.64250000000001</v>
      </c>
      <c r="AA8570">
        <v>37</v>
      </c>
      <c r="AB8570">
        <v>1.9801310000000001</v>
      </c>
      <c r="AC8570">
        <v>1.8277890000000001E-2</v>
      </c>
      <c r="AD8570">
        <v>1.72309</v>
      </c>
      <c r="AE8570">
        <v>0.26059860000000001</v>
      </c>
      <c r="AF8570">
        <v>753.11569999999995</v>
      </c>
      <c r="AG8570">
        <f>IFERROR(AH8570*0.1, "N/A")</f>
        <v>6.2659760000000002</v>
      </c>
      <c r="AH8570">
        <v>62.659759999999999</v>
      </c>
      <c r="AI8570">
        <v>75.938270000000003</v>
      </c>
      <c r="AJ8570">
        <v>37.616579999999999</v>
      </c>
      <c r="AK8570">
        <v>33.447319999999998</v>
      </c>
    </row>
    <row r="8571" spans="1:37" x14ac:dyDescent="0.3">
      <c r="A8571">
        <v>8570</v>
      </c>
      <c r="B8571">
        <v>4</v>
      </c>
      <c r="C8571">
        <v>40.75</v>
      </c>
      <c r="D8571">
        <v>9.2333300000000005</v>
      </c>
      <c r="E8571" t="s">
        <v>12851</v>
      </c>
      <c r="F8571" t="s">
        <v>12852</v>
      </c>
      <c r="G8571" t="s">
        <v>37</v>
      </c>
      <c r="H8571">
        <v>1989</v>
      </c>
      <c r="I8571">
        <v>22.979620000000001</v>
      </c>
      <c r="J8571">
        <v>14.3</v>
      </c>
      <c r="K8571">
        <v>69</v>
      </c>
      <c r="L8571">
        <v>16.8934</v>
      </c>
      <c r="M8571">
        <v>33.040590000000002</v>
      </c>
      <c r="N8571">
        <v>12.439030000000001</v>
      </c>
      <c r="O8571">
        <v>20.60155</v>
      </c>
      <c r="P8571">
        <v>23.67962</v>
      </c>
      <c r="Q8571">
        <v>20.64059</v>
      </c>
      <c r="R8571">
        <v>24.94059</v>
      </c>
      <c r="S8571">
        <v>20.64059</v>
      </c>
      <c r="T8571">
        <v>839.76340000000005</v>
      </c>
      <c r="U8571">
        <v>153.1883</v>
      </c>
      <c r="V8571">
        <v>9.9844559999999998</v>
      </c>
      <c r="W8571">
        <v>61</v>
      </c>
      <c r="X8571">
        <v>375.58030000000002</v>
      </c>
      <c r="Y8571">
        <v>58.711570000000002</v>
      </c>
      <c r="Z8571">
        <v>266.72879999999998</v>
      </c>
      <c r="AA8571">
        <v>58.711570000000002</v>
      </c>
      <c r="AB8571">
        <v>4.8871779999999996</v>
      </c>
      <c r="AC8571">
        <v>0.74797970000000003</v>
      </c>
      <c r="AD8571">
        <v>2.773609</v>
      </c>
      <c r="AE8571">
        <v>0.4541809</v>
      </c>
      <c r="AF8571">
        <v>1330.952</v>
      </c>
      <c r="AG8571">
        <f>IFERROR(AH8571*0.1, "N/A")</f>
        <v>7.8860100000000006</v>
      </c>
      <c r="AH8571">
        <v>78.860100000000003</v>
      </c>
      <c r="AI8571">
        <v>177.3981</v>
      </c>
      <c r="AJ8571">
        <v>33.576860000000003</v>
      </c>
      <c r="AK8571">
        <v>36.407600000000002</v>
      </c>
    </row>
    <row r="8572" spans="1:37" x14ac:dyDescent="0.3">
      <c r="A8572">
        <v>8571</v>
      </c>
      <c r="B8572">
        <v>0</v>
      </c>
      <c r="C8572">
        <v>40.755499999999998</v>
      </c>
      <c r="D8572">
        <v>9.2350600000000007</v>
      </c>
      <c r="E8572" t="s">
        <v>12853</v>
      </c>
      <c r="F8572" t="s">
        <v>12854</v>
      </c>
      <c r="G8572" t="s">
        <v>39</v>
      </c>
      <c r="H8572">
        <v>1977</v>
      </c>
      <c r="I8572">
        <v>23.1</v>
      </c>
      <c r="J8572">
        <v>14.3</v>
      </c>
      <c r="K8572">
        <v>69</v>
      </c>
      <c r="L8572">
        <v>16.95</v>
      </c>
      <c r="M8572">
        <v>33.1</v>
      </c>
      <c r="N8572">
        <v>12.5</v>
      </c>
      <c r="O8572">
        <v>20.6</v>
      </c>
      <c r="P8572">
        <v>23.8</v>
      </c>
      <c r="Q8572">
        <v>20.7</v>
      </c>
      <c r="R8572">
        <v>25</v>
      </c>
      <c r="S8572">
        <v>20.7</v>
      </c>
      <c r="T8572">
        <v>831</v>
      </c>
      <c r="U8572">
        <v>152</v>
      </c>
      <c r="V8572">
        <v>10</v>
      </c>
      <c r="W8572">
        <v>61</v>
      </c>
      <c r="X8572">
        <v>372</v>
      </c>
      <c r="Y8572">
        <v>58</v>
      </c>
      <c r="Z8572">
        <v>263</v>
      </c>
      <c r="AA8572">
        <v>58</v>
      </c>
      <c r="AB8572">
        <v>10.848420000000001</v>
      </c>
      <c r="AC8572">
        <v>3.0471600000000001E-2</v>
      </c>
      <c r="AD8572">
        <v>2.3151679999999999</v>
      </c>
      <c r="AE8572">
        <v>0.45404489999999997</v>
      </c>
      <c r="AF8572">
        <v>1322.317</v>
      </c>
      <c r="AG8572">
        <f>IFERROR(AH8572*0.1, "N/A")</f>
        <v>8.1465399999999999</v>
      </c>
      <c r="AH8572">
        <v>81.465400000000002</v>
      </c>
      <c r="AI8572">
        <v>126.39360000000001</v>
      </c>
      <c r="AJ8572">
        <v>32.247399999999999</v>
      </c>
      <c r="AK8572">
        <v>36.465400000000002</v>
      </c>
    </row>
    <row r="8573" spans="1:37" x14ac:dyDescent="0.3">
      <c r="A8573">
        <v>8572</v>
      </c>
      <c r="B8573">
        <v>32.1</v>
      </c>
      <c r="C8573">
        <v>42.255299999999998</v>
      </c>
      <c r="D8573">
        <v>9.2377800000000008</v>
      </c>
      <c r="E8573" t="s">
        <v>12855</v>
      </c>
      <c r="F8573" t="s">
        <v>12856</v>
      </c>
      <c r="G8573" t="s">
        <v>37</v>
      </c>
      <c r="H8573">
        <v>1989</v>
      </c>
      <c r="I8573">
        <v>22.6</v>
      </c>
      <c r="J8573">
        <v>13.3</v>
      </c>
      <c r="K8573">
        <v>76</v>
      </c>
      <c r="L8573">
        <v>12.07</v>
      </c>
      <c r="M8573">
        <v>30.3</v>
      </c>
      <c r="N8573">
        <v>12.8</v>
      </c>
      <c r="O8573">
        <v>17.5</v>
      </c>
      <c r="P8573">
        <v>23.2</v>
      </c>
      <c r="Q8573">
        <v>20.7</v>
      </c>
      <c r="R8573">
        <v>23.8</v>
      </c>
      <c r="S8573">
        <v>20.7</v>
      </c>
      <c r="T8573">
        <v>620</v>
      </c>
      <c r="U8573">
        <v>96</v>
      </c>
      <c r="V8573">
        <v>6</v>
      </c>
      <c r="W8573">
        <v>59</v>
      </c>
      <c r="X8573">
        <v>257</v>
      </c>
      <c r="Y8573">
        <v>33</v>
      </c>
      <c r="Z8573">
        <v>209</v>
      </c>
      <c r="AA8573">
        <v>33</v>
      </c>
      <c r="AB8573">
        <v>10.21313</v>
      </c>
      <c r="AC8573">
        <v>4.7069769999999997E-2</v>
      </c>
      <c r="AD8573">
        <v>3.2797290000000001</v>
      </c>
      <c r="AE8573">
        <v>0.32573560000000001</v>
      </c>
      <c r="AF8573">
        <v>1321.174</v>
      </c>
      <c r="AG8573">
        <f>IFERROR(AH8573*0.1, "N/A")</f>
        <v>7.6232760000000006</v>
      </c>
      <c r="AH8573">
        <v>76.232759999999999</v>
      </c>
      <c r="AI8573">
        <v>212.40199999999999</v>
      </c>
      <c r="AJ8573">
        <v>30.922409999999999</v>
      </c>
      <c r="AK8573">
        <v>47.232759999999999</v>
      </c>
    </row>
    <row r="8574" spans="1:37" x14ac:dyDescent="0.3">
      <c r="A8574">
        <v>8573</v>
      </c>
      <c r="B8574">
        <v>32.4</v>
      </c>
      <c r="C8574">
        <v>42.598100000000002</v>
      </c>
      <c r="D8574">
        <v>9.24</v>
      </c>
      <c r="E8574" t="s">
        <v>12857</v>
      </c>
      <c r="F8574" t="s">
        <v>12858</v>
      </c>
      <c r="G8574" t="s">
        <v>37</v>
      </c>
      <c r="H8574">
        <v>1989</v>
      </c>
      <c r="I8574">
        <v>20.9</v>
      </c>
      <c r="J8574">
        <v>13.9</v>
      </c>
      <c r="K8574">
        <v>70</v>
      </c>
      <c r="L8574">
        <v>13.04</v>
      </c>
      <c r="M8574">
        <v>29.5</v>
      </c>
      <c r="N8574">
        <v>9.8000000000000007</v>
      </c>
      <c r="O8574">
        <v>19.7</v>
      </c>
      <c r="P8574">
        <v>21.7</v>
      </c>
      <c r="Q8574">
        <v>18.899999999999999</v>
      </c>
      <c r="R8574">
        <v>22.2</v>
      </c>
      <c r="S8574">
        <v>18.899999999999999</v>
      </c>
      <c r="T8574">
        <v>650</v>
      </c>
      <c r="U8574">
        <v>104</v>
      </c>
      <c r="V8574">
        <v>7</v>
      </c>
      <c r="W8574">
        <v>61</v>
      </c>
      <c r="X8574">
        <v>269</v>
      </c>
      <c r="Y8574">
        <v>32</v>
      </c>
      <c r="Z8574">
        <v>219</v>
      </c>
      <c r="AA8574">
        <v>32</v>
      </c>
      <c r="AB8574">
        <v>15.55856</v>
      </c>
      <c r="AC8574">
        <v>9.3064179999999996E-2</v>
      </c>
      <c r="AD8574">
        <v>1.3110379999999999</v>
      </c>
      <c r="AE8574">
        <v>0.2587796</v>
      </c>
      <c r="AF8574">
        <v>1445.309</v>
      </c>
      <c r="AG8574">
        <f>IFERROR(AH8574*0.1, "N/A")</f>
        <v>7.5499140000000002</v>
      </c>
      <c r="AH8574">
        <v>75.499139999999997</v>
      </c>
      <c r="AI8574">
        <v>58.886290000000002</v>
      </c>
      <c r="AJ8574">
        <v>30.001729999999998</v>
      </c>
      <c r="AK8574">
        <v>48</v>
      </c>
    </row>
    <row r="8575" spans="1:37" x14ac:dyDescent="0.3">
      <c r="A8575">
        <v>8574</v>
      </c>
      <c r="B8575">
        <v>0</v>
      </c>
      <c r="C8575">
        <v>40.145499999999998</v>
      </c>
      <c r="D8575">
        <v>9.2411999999999992</v>
      </c>
      <c r="E8575" t="s">
        <v>12859</v>
      </c>
      <c r="F8575" t="s">
        <v>12860</v>
      </c>
      <c r="G8575" t="s">
        <v>37</v>
      </c>
      <c r="H8575">
        <v>1977</v>
      </c>
      <c r="I8575">
        <v>26.30622</v>
      </c>
      <c r="J8575">
        <v>15.4</v>
      </c>
      <c r="K8575">
        <v>65</v>
      </c>
      <c r="L8575">
        <v>21.508189999999999</v>
      </c>
      <c r="M8575">
        <v>37.406219999999998</v>
      </c>
      <c r="N8575">
        <v>13.906219999999999</v>
      </c>
      <c r="O8575">
        <v>23.5</v>
      </c>
      <c r="P8575">
        <v>27.4</v>
      </c>
      <c r="Q8575">
        <v>24.1</v>
      </c>
      <c r="R8575">
        <v>28.8</v>
      </c>
      <c r="S8575">
        <v>23.30622</v>
      </c>
      <c r="T8575">
        <v>517</v>
      </c>
      <c r="U8575">
        <v>127</v>
      </c>
      <c r="V8575">
        <v>6</v>
      </c>
      <c r="W8575">
        <v>73</v>
      </c>
      <c r="X8575">
        <v>252</v>
      </c>
      <c r="Y8575">
        <v>36</v>
      </c>
      <c r="Z8575">
        <v>149</v>
      </c>
      <c r="AA8575">
        <v>37</v>
      </c>
      <c r="AB8575">
        <v>1.236626</v>
      </c>
      <c r="AC8575">
        <v>0.51320790000000005</v>
      </c>
      <c r="AD8575">
        <v>1.726764</v>
      </c>
      <c r="AE8575">
        <v>0.24491280000000001</v>
      </c>
      <c r="AF8575">
        <v>750.399</v>
      </c>
      <c r="AG8575">
        <f>IFERROR(AH8575*0.1, "N/A")</f>
        <v>7.8202070000000008</v>
      </c>
      <c r="AH8575">
        <v>78.202070000000006</v>
      </c>
      <c r="AI8575">
        <v>223.19739999999999</v>
      </c>
      <c r="AJ8575">
        <v>33.678759999999997</v>
      </c>
      <c r="AK8575">
        <v>35.927460000000004</v>
      </c>
    </row>
    <row r="8576" spans="1:37" x14ac:dyDescent="0.3">
      <c r="A8576">
        <v>8575</v>
      </c>
      <c r="B8576">
        <v>73.099999999999994</v>
      </c>
      <c r="C8576">
        <v>40.5</v>
      </c>
      <c r="D8576">
        <v>9.2666699999999995</v>
      </c>
      <c r="E8576" t="s">
        <v>12861</v>
      </c>
      <c r="F8576" t="s">
        <v>12862</v>
      </c>
      <c r="G8576" t="s">
        <v>39</v>
      </c>
      <c r="H8576">
        <v>1995</v>
      </c>
      <c r="I8576">
        <v>24.67108</v>
      </c>
      <c r="J8576">
        <v>14.91738</v>
      </c>
      <c r="K8576">
        <v>66.218590000000006</v>
      </c>
      <c r="L8576">
        <v>19.696210000000001</v>
      </c>
      <c r="M8576">
        <v>35.447330000000001</v>
      </c>
      <c r="N8576">
        <v>13.056279999999999</v>
      </c>
      <c r="O8576">
        <v>22.39105</v>
      </c>
      <c r="P8576">
        <v>25.571079999999998</v>
      </c>
      <c r="Q8576">
        <v>21.929950000000002</v>
      </c>
      <c r="R8576">
        <v>27.008089999999999</v>
      </c>
      <c r="S8576">
        <v>21.929950000000002</v>
      </c>
      <c r="T8576">
        <v>701.92600000000004</v>
      </c>
      <c r="U8576">
        <v>141.9639</v>
      </c>
      <c r="V8576">
        <v>9.2185889999999997</v>
      </c>
      <c r="W8576">
        <v>62.588639999999998</v>
      </c>
      <c r="X8576">
        <v>315.1807</v>
      </c>
      <c r="Y8576">
        <v>52.500860000000003</v>
      </c>
      <c r="Z8576">
        <v>207.74350000000001</v>
      </c>
      <c r="AA8576">
        <v>52.500860000000003</v>
      </c>
      <c r="AB8576">
        <v>62.55518</v>
      </c>
      <c r="AC8576">
        <v>2.1829709999999999E-2</v>
      </c>
      <c r="AD8576">
        <v>15.84524</v>
      </c>
      <c r="AE8576">
        <v>0.28942390000000001</v>
      </c>
      <c r="AF8576">
        <v>1102.0239999999999</v>
      </c>
      <c r="AG8576">
        <f>IFERROR(AH8576*0.1, "N/A")</f>
        <v>7.4072290000000001</v>
      </c>
      <c r="AH8576">
        <v>74.072289999999995</v>
      </c>
      <c r="AI8576">
        <v>263.4588</v>
      </c>
      <c r="AJ8576">
        <v>32.192770000000003</v>
      </c>
      <c r="AK8576">
        <v>37.659210000000002</v>
      </c>
    </row>
    <row r="8577" spans="1:37" x14ac:dyDescent="0.3">
      <c r="A8577">
        <v>8576</v>
      </c>
      <c r="B8577">
        <v>8.4</v>
      </c>
      <c r="C8577">
        <v>40.142200000000003</v>
      </c>
      <c r="D8577">
        <v>9.2933299999999992</v>
      </c>
      <c r="E8577" t="s">
        <v>12863</v>
      </c>
      <c r="F8577" t="s">
        <v>12864</v>
      </c>
      <c r="G8577" t="s">
        <v>39</v>
      </c>
      <c r="H8577">
        <v>1996</v>
      </c>
      <c r="I8577">
        <v>26.4</v>
      </c>
      <c r="J8577">
        <v>15.4</v>
      </c>
      <c r="K8577">
        <v>65</v>
      </c>
      <c r="L8577">
        <v>21.49</v>
      </c>
      <c r="M8577">
        <v>37.5</v>
      </c>
      <c r="N8577">
        <v>13.9</v>
      </c>
      <c r="O8577">
        <v>23.6</v>
      </c>
      <c r="P8577">
        <v>27.4</v>
      </c>
      <c r="Q8577">
        <v>24.1</v>
      </c>
      <c r="R8577">
        <v>28.8</v>
      </c>
      <c r="S8577">
        <v>23.3</v>
      </c>
      <c r="T8577">
        <v>519</v>
      </c>
      <c r="U8577">
        <v>128</v>
      </c>
      <c r="V8577">
        <v>6</v>
      </c>
      <c r="W8577">
        <v>73</v>
      </c>
      <c r="X8577">
        <v>250</v>
      </c>
      <c r="Y8577">
        <v>36</v>
      </c>
      <c r="Z8577">
        <v>116</v>
      </c>
      <c r="AA8577">
        <v>38</v>
      </c>
      <c r="AB8577">
        <v>0.85397869999999998</v>
      </c>
      <c r="AC8577">
        <v>9.9269149999999997E-3</v>
      </c>
      <c r="AD8577">
        <v>1.2481409999999999</v>
      </c>
      <c r="AE8577">
        <v>0.56494849999999996</v>
      </c>
      <c r="AF8577">
        <v>741.17129999999997</v>
      </c>
      <c r="AG8577">
        <f>IFERROR(AH8577*0.1, "N/A")</f>
        <v>7.7</v>
      </c>
      <c r="AH8577">
        <v>77</v>
      </c>
      <c r="AI8577">
        <v>189.1833</v>
      </c>
      <c r="AJ8577">
        <v>41.453290000000003</v>
      </c>
      <c r="AK8577">
        <v>28.546710000000001</v>
      </c>
    </row>
    <row r="8578" spans="1:37" x14ac:dyDescent="0.3">
      <c r="A8578">
        <v>8577</v>
      </c>
      <c r="B8578">
        <v>1.9</v>
      </c>
      <c r="C8578">
        <v>40.142200000000003</v>
      </c>
      <c r="D8578">
        <v>9.2933299999999992</v>
      </c>
      <c r="E8578" t="s">
        <v>12863</v>
      </c>
      <c r="F8578" t="s">
        <v>12865</v>
      </c>
      <c r="G8578" t="s">
        <v>37</v>
      </c>
      <c r="H8578">
        <v>1992</v>
      </c>
      <c r="I8578">
        <v>26.4</v>
      </c>
      <c r="J8578">
        <v>15.4</v>
      </c>
      <c r="K8578">
        <v>65</v>
      </c>
      <c r="L8578">
        <v>21.49</v>
      </c>
      <c r="M8578">
        <v>37.5</v>
      </c>
      <c r="N8578">
        <v>13.9</v>
      </c>
      <c r="O8578">
        <v>23.6</v>
      </c>
      <c r="P8578">
        <v>27.4</v>
      </c>
      <c r="Q8578">
        <v>24.1</v>
      </c>
      <c r="R8578">
        <v>28.8</v>
      </c>
      <c r="S8578">
        <v>23.3</v>
      </c>
      <c r="T8578">
        <v>519</v>
      </c>
      <c r="U8578">
        <v>128</v>
      </c>
      <c r="V8578">
        <v>6</v>
      </c>
      <c r="W8578">
        <v>73</v>
      </c>
      <c r="X8578">
        <v>250</v>
      </c>
      <c r="Y8578">
        <v>36</v>
      </c>
      <c r="Z8578">
        <v>116</v>
      </c>
      <c r="AA8578">
        <v>38</v>
      </c>
      <c r="AB8578">
        <v>0.85397869999999998</v>
      </c>
      <c r="AC8578">
        <v>9.9269149999999997E-3</v>
      </c>
      <c r="AD8578">
        <v>1.2481409999999999</v>
      </c>
      <c r="AE8578">
        <v>0.56494849999999996</v>
      </c>
      <c r="AF8578">
        <v>741.17129999999997</v>
      </c>
      <c r="AG8578">
        <f>IFERROR(AH8578*0.1, "N/A")</f>
        <v>7.7</v>
      </c>
      <c r="AH8578">
        <v>77</v>
      </c>
      <c r="AI8578">
        <v>189.1833</v>
      </c>
      <c r="AJ8578">
        <v>41.453290000000003</v>
      </c>
      <c r="AK8578">
        <v>28.546710000000001</v>
      </c>
    </row>
    <row r="8579" spans="1:37" x14ac:dyDescent="0.3">
      <c r="A8579">
        <v>8578</v>
      </c>
      <c r="B8579">
        <v>0</v>
      </c>
      <c r="C8579">
        <v>38.753</v>
      </c>
      <c r="D8579">
        <v>9.3033999999999999</v>
      </c>
      <c r="E8579" t="s">
        <v>12866</v>
      </c>
      <c r="F8579" t="s">
        <v>12867</v>
      </c>
      <c r="G8579" t="s">
        <v>37</v>
      </c>
      <c r="H8579">
        <v>1978</v>
      </c>
      <c r="I8579">
        <v>14.6</v>
      </c>
      <c r="J8579">
        <v>13.5</v>
      </c>
      <c r="K8579">
        <v>74</v>
      </c>
      <c r="L8579">
        <v>11.86</v>
      </c>
      <c r="M8579">
        <v>23.6</v>
      </c>
      <c r="N8579">
        <v>5.4</v>
      </c>
      <c r="O8579">
        <v>18.2</v>
      </c>
      <c r="P8579">
        <v>13.9</v>
      </c>
      <c r="Q8579">
        <v>13.2</v>
      </c>
      <c r="R8579">
        <v>16.2</v>
      </c>
      <c r="S8579">
        <v>13.2</v>
      </c>
      <c r="T8579">
        <v>1098</v>
      </c>
      <c r="U8579">
        <v>280</v>
      </c>
      <c r="V8579">
        <v>8</v>
      </c>
      <c r="W8579">
        <v>96</v>
      </c>
      <c r="X8579">
        <v>681</v>
      </c>
      <c r="Y8579">
        <v>33</v>
      </c>
      <c r="Z8579">
        <v>209</v>
      </c>
      <c r="AA8579">
        <v>33</v>
      </c>
      <c r="AB8579">
        <v>69.673850000000002</v>
      </c>
      <c r="AC8579">
        <v>1.1017010000000001E-2</v>
      </c>
      <c r="AD8579">
        <v>9.1437860000000004</v>
      </c>
      <c r="AE8579">
        <v>0.6497716</v>
      </c>
      <c r="AF8579">
        <v>2632.9690000000001</v>
      </c>
      <c r="AG8579">
        <f>IFERROR(AH8579*0.1, "N/A")</f>
        <v>6.5</v>
      </c>
      <c r="AH8579">
        <v>65</v>
      </c>
      <c r="AI8579">
        <v>282.0729</v>
      </c>
      <c r="AJ8579">
        <v>39.868740000000003</v>
      </c>
      <c r="AK8579">
        <v>31.067360000000001</v>
      </c>
    </row>
    <row r="8580" spans="1:37" x14ac:dyDescent="0.3">
      <c r="A8580">
        <v>8579</v>
      </c>
      <c r="B8580">
        <v>0</v>
      </c>
      <c r="C8580">
        <v>38.752800000000001</v>
      </c>
      <c r="D8580">
        <v>9.3049999999999997</v>
      </c>
      <c r="E8580" t="s">
        <v>12868</v>
      </c>
      <c r="F8580" t="s">
        <v>12869</v>
      </c>
      <c r="G8580" t="s">
        <v>37</v>
      </c>
      <c r="H8580">
        <v>1976</v>
      </c>
      <c r="I8580">
        <v>14.6</v>
      </c>
      <c r="J8580">
        <v>13.5</v>
      </c>
      <c r="K8580">
        <v>74</v>
      </c>
      <c r="L8580">
        <v>11.86</v>
      </c>
      <c r="M8580">
        <v>23.6</v>
      </c>
      <c r="N8580">
        <v>5.4</v>
      </c>
      <c r="O8580">
        <v>18.2</v>
      </c>
      <c r="P8580">
        <v>13.9</v>
      </c>
      <c r="Q8580">
        <v>13.2</v>
      </c>
      <c r="R8580">
        <v>16.2</v>
      </c>
      <c r="S8580">
        <v>13.2</v>
      </c>
      <c r="T8580">
        <v>1098</v>
      </c>
      <c r="U8580">
        <v>280</v>
      </c>
      <c r="V8580">
        <v>8</v>
      </c>
      <c r="W8580">
        <v>96</v>
      </c>
      <c r="X8580">
        <v>681</v>
      </c>
      <c r="Y8580">
        <v>33</v>
      </c>
      <c r="Z8580">
        <v>209</v>
      </c>
      <c r="AA8580">
        <v>33</v>
      </c>
      <c r="AB8580">
        <v>42.259900000000002</v>
      </c>
      <c r="AC8580">
        <v>1.9250570000000002E-2</v>
      </c>
      <c r="AD8580">
        <v>4.3199839999999998</v>
      </c>
      <c r="AE8580">
        <v>0.6497716</v>
      </c>
      <c r="AF8580">
        <v>2622.953</v>
      </c>
      <c r="AG8580">
        <f>IFERROR(AH8580*0.1, "N/A")</f>
        <v>6.5</v>
      </c>
      <c r="AH8580">
        <v>65</v>
      </c>
      <c r="AI8580">
        <v>266.51670000000001</v>
      </c>
      <c r="AJ8580">
        <v>40.067360000000001</v>
      </c>
      <c r="AK8580">
        <v>31.112259999999999</v>
      </c>
    </row>
    <row r="8581" spans="1:37" x14ac:dyDescent="0.3">
      <c r="A8581">
        <v>8580</v>
      </c>
      <c r="B8581">
        <v>42.7</v>
      </c>
      <c r="C8581">
        <v>42.1389</v>
      </c>
      <c r="D8581">
        <v>9.3105899999999995</v>
      </c>
      <c r="E8581" t="s">
        <v>12870</v>
      </c>
      <c r="F8581" t="s">
        <v>12871</v>
      </c>
      <c r="G8581" t="s">
        <v>37</v>
      </c>
      <c r="H8581">
        <v>1989</v>
      </c>
      <c r="I8581">
        <v>19.5</v>
      </c>
      <c r="J8581">
        <v>12.2</v>
      </c>
      <c r="K8581">
        <v>79</v>
      </c>
      <c r="L8581">
        <v>8.4499999999999993</v>
      </c>
      <c r="M8581">
        <v>27.2</v>
      </c>
      <c r="N8581">
        <v>11.9</v>
      </c>
      <c r="O8581">
        <v>15.3</v>
      </c>
      <c r="P8581">
        <v>18.600000000000001</v>
      </c>
      <c r="Q8581">
        <v>18.899999999999999</v>
      </c>
      <c r="R8581">
        <v>20.7</v>
      </c>
      <c r="S8581">
        <v>18.600000000000001</v>
      </c>
      <c r="T8581">
        <v>723</v>
      </c>
      <c r="U8581">
        <v>125</v>
      </c>
      <c r="V8581">
        <v>6</v>
      </c>
      <c r="W8581">
        <v>62</v>
      </c>
      <c r="X8581">
        <v>318</v>
      </c>
      <c r="Y8581">
        <v>36</v>
      </c>
      <c r="Z8581">
        <v>231</v>
      </c>
      <c r="AA8581">
        <v>318</v>
      </c>
      <c r="AB8581">
        <v>106.7962</v>
      </c>
      <c r="AC8581">
        <v>8.6702159999999997E-3</v>
      </c>
      <c r="AD8581">
        <v>5.7406759999999997</v>
      </c>
      <c r="AE8581">
        <v>0.59272199999999997</v>
      </c>
      <c r="AF8581">
        <v>1845.9860000000001</v>
      </c>
      <c r="AG8581">
        <f>IFERROR(AH8581*0.1, "N/A")</f>
        <v>7.7</v>
      </c>
      <c r="AH8581">
        <v>77</v>
      </c>
      <c r="AI8581">
        <v>119.5912</v>
      </c>
      <c r="AJ8581">
        <v>32</v>
      </c>
      <c r="AK8581">
        <v>44</v>
      </c>
    </row>
    <row r="8582" spans="1:37" x14ac:dyDescent="0.3">
      <c r="A8582">
        <v>8581</v>
      </c>
      <c r="B8582">
        <v>32.4</v>
      </c>
      <c r="C8582">
        <v>42.116700000000002</v>
      </c>
      <c r="D8582">
        <v>9.3167000000000009</v>
      </c>
      <c r="E8582" t="s">
        <v>12872</v>
      </c>
      <c r="F8582" t="s">
        <v>12873</v>
      </c>
      <c r="G8582" t="s">
        <v>37</v>
      </c>
      <c r="H8582">
        <v>1987</v>
      </c>
      <c r="I8582">
        <v>18.93852</v>
      </c>
      <c r="J8582">
        <v>12.158200000000001</v>
      </c>
      <c r="K8582">
        <v>80.150260000000003</v>
      </c>
      <c r="L8582">
        <v>8.0881349999999994</v>
      </c>
      <c r="M8582">
        <v>26.538509999999999</v>
      </c>
      <c r="N8582">
        <v>11.452159999999999</v>
      </c>
      <c r="O8582">
        <v>15.086360000000001</v>
      </c>
      <c r="P8582">
        <v>18.180309999999999</v>
      </c>
      <c r="Q8582">
        <v>18.207940000000001</v>
      </c>
      <c r="R8582">
        <v>20.042310000000001</v>
      </c>
      <c r="S8582">
        <v>18.149740000000001</v>
      </c>
      <c r="T8582">
        <v>726.57339999999999</v>
      </c>
      <c r="U8582">
        <v>128.26769999999999</v>
      </c>
      <c r="V8582">
        <v>6</v>
      </c>
      <c r="W8582">
        <v>63</v>
      </c>
      <c r="X8582">
        <v>320.84969999999998</v>
      </c>
      <c r="Y8582">
        <v>35.737479999999998</v>
      </c>
      <c r="Z8582">
        <v>233.0984</v>
      </c>
      <c r="AA8582">
        <v>201.6183</v>
      </c>
      <c r="AB8582">
        <v>57.374580000000002</v>
      </c>
      <c r="AC8582">
        <v>1.326074E-2</v>
      </c>
      <c r="AD8582">
        <v>3.196526</v>
      </c>
      <c r="AE8582">
        <v>0.55105950000000004</v>
      </c>
      <c r="AF8582">
        <v>1934.183</v>
      </c>
      <c r="AG8582">
        <f>IFERROR(AH8582*0.1, "N/A")</f>
        <v>7.258204000000001</v>
      </c>
      <c r="AH8582">
        <v>72.582040000000006</v>
      </c>
      <c r="AI8582">
        <v>72.001480000000001</v>
      </c>
      <c r="AJ8582">
        <v>39</v>
      </c>
      <c r="AK8582">
        <v>41</v>
      </c>
    </row>
    <row r="8583" spans="1:37" x14ac:dyDescent="0.3">
      <c r="A8583">
        <v>8582</v>
      </c>
      <c r="B8583">
        <v>16</v>
      </c>
      <c r="C8583">
        <v>42.1252</v>
      </c>
      <c r="D8583">
        <v>9.3177900000000005</v>
      </c>
      <c r="E8583" t="s">
        <v>12874</v>
      </c>
      <c r="F8583" t="s">
        <v>12875</v>
      </c>
      <c r="G8583" t="s">
        <v>37</v>
      </c>
      <c r="H8583">
        <v>1989</v>
      </c>
      <c r="I8583">
        <v>19.55855</v>
      </c>
      <c r="J8583">
        <v>12.28964</v>
      </c>
      <c r="K8583">
        <v>80</v>
      </c>
      <c r="L8583">
        <v>8.31</v>
      </c>
      <c r="M8583">
        <v>27.248190000000001</v>
      </c>
      <c r="N8583">
        <v>11.958550000000001</v>
      </c>
      <c r="O8583">
        <v>15.28964</v>
      </c>
      <c r="P8583">
        <v>18.66891</v>
      </c>
      <c r="Q8583">
        <v>18.858550000000001</v>
      </c>
      <c r="R8583">
        <v>20.658550000000002</v>
      </c>
      <c r="S8583">
        <v>18.66891</v>
      </c>
      <c r="T8583">
        <v>726.89639999999997</v>
      </c>
      <c r="U8583">
        <v>126.2073</v>
      </c>
      <c r="V8583">
        <v>6</v>
      </c>
      <c r="W8583">
        <v>62.103630000000003</v>
      </c>
      <c r="X8583">
        <v>320.10359999999997</v>
      </c>
      <c r="Y8583">
        <v>36.896369999999997</v>
      </c>
      <c r="Z8583">
        <v>232.8964</v>
      </c>
      <c r="AA8583">
        <v>320.10359999999997</v>
      </c>
      <c r="AB8583">
        <v>53.843530000000001</v>
      </c>
      <c r="AC8583">
        <v>9.9673820000000003E-3</v>
      </c>
      <c r="AD8583">
        <v>4.6238650000000003</v>
      </c>
      <c r="AE8583">
        <v>0.55819560000000001</v>
      </c>
      <c r="AF8583">
        <v>1885.8510000000001</v>
      </c>
      <c r="AG8583">
        <f>IFERROR(AH8583*0.1, "N/A")</f>
        <v>7.3559590000000004</v>
      </c>
      <c r="AH8583">
        <v>73.55959</v>
      </c>
      <c r="AI8583">
        <v>51.90157</v>
      </c>
      <c r="AJ8583">
        <v>39.818649999999998</v>
      </c>
      <c r="AK8583">
        <v>38.818649999999998</v>
      </c>
    </row>
    <row r="8584" spans="1:37" x14ac:dyDescent="0.3">
      <c r="A8584">
        <v>8583</v>
      </c>
      <c r="B8584">
        <v>2.7</v>
      </c>
      <c r="C8584">
        <v>40.177599999999998</v>
      </c>
      <c r="D8584">
        <v>9.3178199999999993</v>
      </c>
      <c r="E8584" t="s">
        <v>12876</v>
      </c>
      <c r="F8584" t="s">
        <v>12877</v>
      </c>
      <c r="G8584" t="s">
        <v>39</v>
      </c>
      <c r="H8584">
        <v>1977</v>
      </c>
      <c r="I8584">
        <v>26.3</v>
      </c>
      <c r="J8584">
        <v>15.5</v>
      </c>
      <c r="K8584">
        <v>65</v>
      </c>
      <c r="L8584">
        <v>21.76</v>
      </c>
      <c r="M8584">
        <v>37.5</v>
      </c>
      <c r="N8584">
        <v>13.8</v>
      </c>
      <c r="O8584">
        <v>23.7</v>
      </c>
      <c r="P8584">
        <v>27.3</v>
      </c>
      <c r="Q8584">
        <v>24</v>
      </c>
      <c r="R8584">
        <v>28.8</v>
      </c>
      <c r="S8584">
        <v>23.2</v>
      </c>
      <c r="T8584">
        <v>522</v>
      </c>
      <c r="U8584">
        <v>128</v>
      </c>
      <c r="V8584">
        <v>6</v>
      </c>
      <c r="W8584">
        <v>72</v>
      </c>
      <c r="X8584">
        <v>249</v>
      </c>
      <c r="Y8584">
        <v>37</v>
      </c>
      <c r="Z8584">
        <v>145</v>
      </c>
      <c r="AA8584">
        <v>39</v>
      </c>
      <c r="AB8584">
        <v>6.9846709999999996</v>
      </c>
      <c r="AC8584">
        <v>9.3246720000000009E-3</v>
      </c>
      <c r="AD8584">
        <v>1.790699</v>
      </c>
      <c r="AE8584">
        <v>0.4497119</v>
      </c>
      <c r="AF8584">
        <v>746.89480000000003</v>
      </c>
      <c r="AG8584">
        <f>IFERROR(AH8584*0.1, "N/A")</f>
        <v>7.6853449999999999</v>
      </c>
      <c r="AH8584">
        <v>76.853449999999995</v>
      </c>
      <c r="AI8584">
        <v>256.5521</v>
      </c>
      <c r="AJ8584">
        <v>36.193100000000001</v>
      </c>
      <c r="AK8584">
        <v>33.867240000000002</v>
      </c>
    </row>
    <row r="8585" spans="1:37" x14ac:dyDescent="0.3">
      <c r="A8585">
        <v>8584</v>
      </c>
      <c r="B8585">
        <v>2</v>
      </c>
      <c r="C8585">
        <v>36.549999999999997</v>
      </c>
      <c r="D8585">
        <v>9.32</v>
      </c>
      <c r="E8585" t="s">
        <v>12878</v>
      </c>
      <c r="F8585" t="s">
        <v>12879</v>
      </c>
      <c r="G8585" t="s">
        <v>37</v>
      </c>
      <c r="H8585">
        <v>1987</v>
      </c>
      <c r="I8585">
        <v>20.92793</v>
      </c>
      <c r="J8585">
        <v>14.127929999999999</v>
      </c>
      <c r="K8585">
        <v>66.720690000000005</v>
      </c>
      <c r="L8585">
        <v>14.463789999999999</v>
      </c>
      <c r="M8585">
        <v>31.611719999999998</v>
      </c>
      <c r="N8585">
        <v>10.7</v>
      </c>
      <c r="O8585">
        <v>20.911719999999999</v>
      </c>
      <c r="P8585">
        <v>19.85586</v>
      </c>
      <c r="Q8585">
        <v>20.755859999999998</v>
      </c>
      <c r="R8585">
        <v>22.955860000000001</v>
      </c>
      <c r="S8585">
        <v>19.455860000000001</v>
      </c>
      <c r="T8585">
        <v>1419.693</v>
      </c>
      <c r="U8585">
        <v>302.16210000000001</v>
      </c>
      <c r="V8585">
        <v>7</v>
      </c>
      <c r="W8585">
        <v>93</v>
      </c>
      <c r="X8585">
        <v>819.48620000000005</v>
      </c>
      <c r="Y8585">
        <v>21.720690000000001</v>
      </c>
      <c r="Z8585">
        <v>203.03100000000001</v>
      </c>
      <c r="AA8585">
        <v>808.04480000000001</v>
      </c>
      <c r="AB8585">
        <v>7.863067</v>
      </c>
      <c r="AC8585">
        <v>2.454939</v>
      </c>
      <c r="AD8585">
        <v>4.7045029999999999</v>
      </c>
      <c r="AE8585">
        <v>0.694913</v>
      </c>
      <c r="AF8585">
        <v>1389.61</v>
      </c>
      <c r="AG8585">
        <f>IFERROR(AH8585*0.1, "N/A")</f>
        <v>6.0279310000000006</v>
      </c>
      <c r="AH8585">
        <v>60.279310000000002</v>
      </c>
      <c r="AI8585">
        <v>207.07169999999999</v>
      </c>
      <c r="AJ8585">
        <v>46.353450000000002</v>
      </c>
      <c r="AK8585">
        <v>30.639659999999999</v>
      </c>
    </row>
    <row r="8586" spans="1:37" x14ac:dyDescent="0.3">
      <c r="A8586">
        <v>8585</v>
      </c>
      <c r="B8586">
        <v>0</v>
      </c>
      <c r="C8586">
        <v>40.179600000000001</v>
      </c>
      <c r="D8586">
        <v>9.3226099999999992</v>
      </c>
      <c r="E8586" t="s">
        <v>12880</v>
      </c>
      <c r="F8586" t="s">
        <v>12881</v>
      </c>
      <c r="G8586" t="s">
        <v>39</v>
      </c>
      <c r="H8586">
        <v>1977</v>
      </c>
      <c r="I8586">
        <v>26.3</v>
      </c>
      <c r="J8586">
        <v>15.5</v>
      </c>
      <c r="K8586">
        <v>65</v>
      </c>
      <c r="L8586">
        <v>21.76</v>
      </c>
      <c r="M8586">
        <v>37.5</v>
      </c>
      <c r="N8586">
        <v>13.8</v>
      </c>
      <c r="O8586">
        <v>23.7</v>
      </c>
      <c r="P8586">
        <v>27.3</v>
      </c>
      <c r="Q8586">
        <v>24</v>
      </c>
      <c r="R8586">
        <v>28.8</v>
      </c>
      <c r="S8586">
        <v>23.2</v>
      </c>
      <c r="T8586">
        <v>522</v>
      </c>
      <c r="U8586">
        <v>128</v>
      </c>
      <c r="V8586">
        <v>6</v>
      </c>
      <c r="W8586">
        <v>72</v>
      </c>
      <c r="X8586">
        <v>249</v>
      </c>
      <c r="Y8586">
        <v>37</v>
      </c>
      <c r="Z8586">
        <v>145</v>
      </c>
      <c r="AA8586">
        <v>39</v>
      </c>
      <c r="AB8586">
        <v>8.6100069999999995</v>
      </c>
      <c r="AC8586">
        <v>8.4808920000000003E-3</v>
      </c>
      <c r="AD8586">
        <v>1.159432</v>
      </c>
      <c r="AE8586">
        <v>0.4840314</v>
      </c>
      <c r="AF8586">
        <v>747.05529999999999</v>
      </c>
      <c r="AG8586">
        <f>IFERROR(AH8586*0.1, "N/A")</f>
        <v>7.7998270000000005</v>
      </c>
      <c r="AH8586">
        <v>77.998270000000005</v>
      </c>
      <c r="AI8586">
        <v>147.8203</v>
      </c>
      <c r="AJ8586">
        <v>34.041449999999998</v>
      </c>
      <c r="AK8586">
        <v>32.998269999999998</v>
      </c>
    </row>
    <row r="8587" spans="1:37" x14ac:dyDescent="0.3">
      <c r="A8587">
        <v>8586</v>
      </c>
      <c r="B8587">
        <v>0</v>
      </c>
      <c r="C8587">
        <v>39.292400000000001</v>
      </c>
      <c r="D8587">
        <v>9.3270599999999995</v>
      </c>
      <c r="E8587" t="s">
        <v>12882</v>
      </c>
      <c r="F8587" t="s">
        <v>12883</v>
      </c>
      <c r="G8587" t="s">
        <v>37</v>
      </c>
      <c r="H8587">
        <v>2007</v>
      </c>
      <c r="I8587">
        <v>13.9</v>
      </c>
      <c r="J8587">
        <v>12.7</v>
      </c>
      <c r="K8587">
        <v>69</v>
      </c>
      <c r="L8587">
        <v>13.32</v>
      </c>
      <c r="M8587">
        <v>22.9</v>
      </c>
      <c r="N8587">
        <v>4.7</v>
      </c>
      <c r="O8587">
        <v>18.2</v>
      </c>
      <c r="P8587">
        <v>14.2</v>
      </c>
      <c r="Q8587">
        <v>12.2</v>
      </c>
      <c r="R8587">
        <v>15.7</v>
      </c>
      <c r="S8587">
        <v>12.2</v>
      </c>
      <c r="T8587">
        <v>988</v>
      </c>
      <c r="U8587">
        <v>298</v>
      </c>
      <c r="V8587">
        <v>5</v>
      </c>
      <c r="W8587">
        <v>107</v>
      </c>
      <c r="X8587">
        <v>649</v>
      </c>
      <c r="Y8587">
        <v>31</v>
      </c>
      <c r="Z8587">
        <v>189</v>
      </c>
      <c r="AA8587">
        <v>31</v>
      </c>
      <c r="AB8587">
        <v>27.728680000000001</v>
      </c>
      <c r="AC8587">
        <v>2.2886139999999999E-2</v>
      </c>
      <c r="AD8587">
        <v>7.4852379999999998</v>
      </c>
      <c r="AE8587">
        <v>0.58107699999999995</v>
      </c>
      <c r="AF8587">
        <v>2866.1219999999998</v>
      </c>
      <c r="AG8587">
        <f>IFERROR(AH8587*0.1, "N/A")</f>
        <v>6.5008610000000004</v>
      </c>
      <c r="AH8587">
        <v>65.008610000000004</v>
      </c>
      <c r="AI8587">
        <v>332.48160000000001</v>
      </c>
      <c r="AJ8587">
        <v>42.008609999999997</v>
      </c>
      <c r="AK8587">
        <v>27.991389999999999</v>
      </c>
    </row>
    <row r="8588" spans="1:37" x14ac:dyDescent="0.3">
      <c r="A8588">
        <v>8587</v>
      </c>
      <c r="B8588">
        <v>11.4</v>
      </c>
      <c r="C8588">
        <v>40.181100000000001</v>
      </c>
      <c r="D8588">
        <v>9.3289100000000005</v>
      </c>
      <c r="E8588" t="s">
        <v>12884</v>
      </c>
      <c r="F8588" t="s">
        <v>12885</v>
      </c>
      <c r="G8588" t="s">
        <v>39</v>
      </c>
      <c r="H8588">
        <v>1996</v>
      </c>
      <c r="I8588">
        <v>26.3</v>
      </c>
      <c r="J8588">
        <v>15.5</v>
      </c>
      <c r="K8588">
        <v>65</v>
      </c>
      <c r="L8588">
        <v>21.66</v>
      </c>
      <c r="M8588">
        <v>37.5</v>
      </c>
      <c r="N8588">
        <v>13.8</v>
      </c>
      <c r="O8588">
        <v>23.7</v>
      </c>
      <c r="P8588">
        <v>27.3</v>
      </c>
      <c r="Q8588">
        <v>24</v>
      </c>
      <c r="R8588">
        <v>28.8</v>
      </c>
      <c r="S8588">
        <v>23.3</v>
      </c>
      <c r="T8588">
        <v>522</v>
      </c>
      <c r="U8588">
        <v>128</v>
      </c>
      <c r="V8588">
        <v>6</v>
      </c>
      <c r="W8588">
        <v>72</v>
      </c>
      <c r="X8588">
        <v>249</v>
      </c>
      <c r="Y8588">
        <v>37</v>
      </c>
      <c r="Z8588">
        <v>145</v>
      </c>
      <c r="AA8588">
        <v>39</v>
      </c>
      <c r="AB8588">
        <v>7.0610010000000001</v>
      </c>
      <c r="AC8588">
        <v>8.9780539999999992E-3</v>
      </c>
      <c r="AD8588">
        <v>0.54229090000000002</v>
      </c>
      <c r="AE8588">
        <v>0.57711860000000004</v>
      </c>
      <c r="AF8588">
        <v>745.13</v>
      </c>
      <c r="AG8588">
        <f>IFERROR(AH8588*0.1, "N/A")</f>
        <v>7.7918539999999998</v>
      </c>
      <c r="AH8588">
        <v>77.918539999999993</v>
      </c>
      <c r="AI8588">
        <v>62.843290000000003</v>
      </c>
      <c r="AJ8588">
        <v>34.08146</v>
      </c>
      <c r="AK8588">
        <v>34</v>
      </c>
    </row>
    <row r="8589" spans="1:37" x14ac:dyDescent="0.3">
      <c r="A8589">
        <v>8588</v>
      </c>
      <c r="B8589">
        <v>0</v>
      </c>
      <c r="C8589">
        <v>39.299999999999997</v>
      </c>
      <c r="D8589">
        <v>9.3332999999999995</v>
      </c>
      <c r="E8589" t="s">
        <v>12886</v>
      </c>
      <c r="F8589" t="s">
        <v>12887</v>
      </c>
      <c r="G8589" t="s">
        <v>37</v>
      </c>
      <c r="H8589">
        <v>2009</v>
      </c>
      <c r="I8589">
        <v>13.995850000000001</v>
      </c>
      <c r="J8589">
        <v>12.7</v>
      </c>
      <c r="K8589">
        <v>69</v>
      </c>
      <c r="L8589">
        <v>13.415330000000001</v>
      </c>
      <c r="M8589">
        <v>22.995850000000001</v>
      </c>
      <c r="N8589">
        <v>4.7958480000000003</v>
      </c>
      <c r="O8589">
        <v>18.2</v>
      </c>
      <c r="P8589">
        <v>14.29585</v>
      </c>
      <c r="Q8589">
        <v>12.260899999999999</v>
      </c>
      <c r="R8589">
        <v>15.79585</v>
      </c>
      <c r="S8589">
        <v>12.260899999999999</v>
      </c>
      <c r="T8589">
        <v>981.69200000000001</v>
      </c>
      <c r="U8589">
        <v>297.87020000000001</v>
      </c>
      <c r="V8589">
        <v>5</v>
      </c>
      <c r="W8589">
        <v>107</v>
      </c>
      <c r="X8589">
        <v>644.12980000000005</v>
      </c>
      <c r="Y8589">
        <v>30.520759999999999</v>
      </c>
      <c r="Z8589">
        <v>188.52080000000001</v>
      </c>
      <c r="AA8589">
        <v>30.520759999999999</v>
      </c>
      <c r="AB8589">
        <v>2.7291050000000001</v>
      </c>
      <c r="AC8589">
        <v>0.1363038</v>
      </c>
      <c r="AD8589">
        <v>2.2263860000000002</v>
      </c>
      <c r="AE8589">
        <v>0.5617434</v>
      </c>
      <c r="AF8589">
        <v>2841.3389999999999</v>
      </c>
      <c r="AG8589">
        <f>IFERROR(AH8589*0.1, "N/A")</f>
        <v>6.5783740000000002</v>
      </c>
      <c r="AH8589">
        <v>65.783739999999995</v>
      </c>
      <c r="AI8589">
        <v>149.28210000000001</v>
      </c>
      <c r="AJ8589">
        <v>41.19896</v>
      </c>
      <c r="AK8589">
        <v>27.80104</v>
      </c>
    </row>
    <row r="8590" spans="1:37" x14ac:dyDescent="0.3">
      <c r="A8590">
        <v>8589</v>
      </c>
      <c r="B8590">
        <v>0</v>
      </c>
      <c r="C8590">
        <v>39.299999999999997</v>
      </c>
      <c r="D8590">
        <v>9.3333300000000001</v>
      </c>
      <c r="E8590" t="s">
        <v>12888</v>
      </c>
      <c r="F8590" t="s">
        <v>12889</v>
      </c>
      <c r="G8590" t="s">
        <v>37</v>
      </c>
      <c r="H8590">
        <v>1976</v>
      </c>
      <c r="I8590">
        <v>13.99966</v>
      </c>
      <c r="J8590">
        <v>12.7</v>
      </c>
      <c r="K8590">
        <v>69</v>
      </c>
      <c r="L8590">
        <v>13.419449999999999</v>
      </c>
      <c r="M8590">
        <v>22.999659999999999</v>
      </c>
      <c r="N8590">
        <v>4.7996549999999996</v>
      </c>
      <c r="O8590">
        <v>18.2</v>
      </c>
      <c r="P8590">
        <v>14.29965</v>
      </c>
      <c r="Q8590">
        <v>12.26224</v>
      </c>
      <c r="R8590">
        <v>15.79965</v>
      </c>
      <c r="S8590">
        <v>12.26224</v>
      </c>
      <c r="T8590">
        <v>981.45519999999999</v>
      </c>
      <c r="U8590">
        <v>297.8759</v>
      </c>
      <c r="V8590">
        <v>5</v>
      </c>
      <c r="W8590">
        <v>107</v>
      </c>
      <c r="X8590">
        <v>643.95000000000005</v>
      </c>
      <c r="Y8590">
        <v>30.501719999999999</v>
      </c>
      <c r="Z8590">
        <v>188.5017</v>
      </c>
      <c r="AA8590">
        <v>30.501719999999999</v>
      </c>
      <c r="AB8590">
        <v>2.6457280000000001</v>
      </c>
      <c r="AC8590">
        <v>0.14709269999999999</v>
      </c>
      <c r="AD8590">
        <v>2.1828509999999999</v>
      </c>
      <c r="AE8590">
        <v>0.56330530000000001</v>
      </c>
      <c r="AF8590">
        <v>2841.2640000000001</v>
      </c>
      <c r="AG8590">
        <f>IFERROR(AH8590*0.1, "N/A")</f>
        <v>6.5794830000000006</v>
      </c>
      <c r="AH8590">
        <v>65.794830000000005</v>
      </c>
      <c r="AI8590">
        <v>146.34399999999999</v>
      </c>
      <c r="AJ8590">
        <v>41.193100000000001</v>
      </c>
      <c r="AK8590">
        <v>27.806899999999999</v>
      </c>
    </row>
    <row r="8591" spans="1:37" x14ac:dyDescent="0.3">
      <c r="A8591">
        <v>8590</v>
      </c>
      <c r="B8591">
        <v>7.1</v>
      </c>
      <c r="C8591">
        <v>40.299999999999997</v>
      </c>
      <c r="D8591">
        <v>9.35</v>
      </c>
      <c r="E8591" t="s">
        <v>12890</v>
      </c>
      <c r="F8591" t="s">
        <v>12891</v>
      </c>
      <c r="G8591" t="s">
        <v>39</v>
      </c>
      <c r="H8591">
        <v>1994</v>
      </c>
      <c r="I8591">
        <v>26</v>
      </c>
      <c r="J8591">
        <v>15.4</v>
      </c>
      <c r="K8591">
        <v>64.215519999999998</v>
      </c>
      <c r="L8591">
        <v>21.88034</v>
      </c>
      <c r="M8591">
        <v>37.200000000000003</v>
      </c>
      <c r="N8591">
        <v>13.52155</v>
      </c>
      <c r="O8591">
        <v>23.678450000000002</v>
      </c>
      <c r="P8591">
        <v>27.052409999999998</v>
      </c>
      <c r="Q8591">
        <v>23.721550000000001</v>
      </c>
      <c r="R8591">
        <v>28.5</v>
      </c>
      <c r="S8591">
        <v>22.92155</v>
      </c>
      <c r="T8591">
        <v>547.72760000000005</v>
      </c>
      <c r="U8591">
        <v>128.94309999999999</v>
      </c>
      <c r="V8591">
        <v>6</v>
      </c>
      <c r="W8591">
        <v>68</v>
      </c>
      <c r="X8591">
        <v>251.7276</v>
      </c>
      <c r="Y8591">
        <v>41</v>
      </c>
      <c r="Z8591">
        <v>147</v>
      </c>
      <c r="AA8591">
        <v>42</v>
      </c>
      <c r="AB8591">
        <v>1.4643139999999999</v>
      </c>
      <c r="AC8591">
        <v>1.5389359999999999E-2</v>
      </c>
      <c r="AD8591">
        <v>0.99302869999999999</v>
      </c>
      <c r="AE8591">
        <v>0.25385360000000001</v>
      </c>
      <c r="AF8591">
        <v>814.03279999999995</v>
      </c>
      <c r="AG8591">
        <f>IFERROR(AH8591*0.1, "N/A")</f>
        <v>8.1634480000000007</v>
      </c>
      <c r="AH8591">
        <v>81.634479999999996</v>
      </c>
      <c r="AI8591">
        <v>202.84970000000001</v>
      </c>
      <c r="AJ8591">
        <v>32.317239999999998</v>
      </c>
      <c r="AK8591">
        <v>36</v>
      </c>
    </row>
    <row r="8592" spans="1:37" x14ac:dyDescent="0.3">
      <c r="A8592">
        <v>8591</v>
      </c>
      <c r="B8592">
        <v>0</v>
      </c>
      <c r="C8592">
        <v>38.85</v>
      </c>
      <c r="D8592">
        <v>9.35</v>
      </c>
      <c r="E8592" t="s">
        <v>12892</v>
      </c>
      <c r="F8592" t="s">
        <v>12893</v>
      </c>
      <c r="G8592" t="s">
        <v>37</v>
      </c>
      <c r="H8592">
        <v>1976</v>
      </c>
      <c r="I8592">
        <v>14.398099999999999</v>
      </c>
      <c r="J8592">
        <v>13.3</v>
      </c>
      <c r="K8592">
        <v>73</v>
      </c>
      <c r="L8592">
        <v>11.9709</v>
      </c>
      <c r="M8592">
        <v>23.394310000000001</v>
      </c>
      <c r="N8592">
        <v>5.2382759999999999</v>
      </c>
      <c r="O8592">
        <v>18.156040000000001</v>
      </c>
      <c r="P8592">
        <v>13.815860000000001</v>
      </c>
      <c r="Q8592">
        <v>13.01966</v>
      </c>
      <c r="R8592">
        <v>16.057929999999999</v>
      </c>
      <c r="S8592">
        <v>13.01966</v>
      </c>
      <c r="T8592">
        <v>1068.412</v>
      </c>
      <c r="U8592">
        <v>285.40170000000001</v>
      </c>
      <c r="V8592">
        <v>7</v>
      </c>
      <c r="W8592">
        <v>98.775859999999994</v>
      </c>
      <c r="X8592">
        <v>670.61720000000003</v>
      </c>
      <c r="Y8592">
        <v>31.215520000000001</v>
      </c>
      <c r="Z8592">
        <v>200.40170000000001</v>
      </c>
      <c r="AA8592">
        <v>31.215520000000001</v>
      </c>
      <c r="AB8592">
        <v>6.38368</v>
      </c>
      <c r="AC8592">
        <v>0.2154837</v>
      </c>
      <c r="AD8592">
        <v>2.7624599999999999</v>
      </c>
      <c r="AE8592">
        <v>0.56818420000000003</v>
      </c>
      <c r="AF8592">
        <v>2676.393</v>
      </c>
      <c r="AG8592">
        <f>IFERROR(AH8592*0.1, "N/A")</f>
        <v>6.2775860000000003</v>
      </c>
      <c r="AH8592">
        <v>62.775860000000002</v>
      </c>
      <c r="AI8592">
        <v>218.53319999999999</v>
      </c>
      <c r="AJ8592">
        <v>46.551720000000003</v>
      </c>
      <c r="AK8592">
        <v>24.224139999999998</v>
      </c>
    </row>
    <row r="8593" spans="1:37" x14ac:dyDescent="0.3">
      <c r="A8593">
        <v>8592</v>
      </c>
      <c r="B8593">
        <v>3</v>
      </c>
      <c r="C8593">
        <v>42.799500000000002</v>
      </c>
      <c r="D8593">
        <v>9.3529999999999998</v>
      </c>
      <c r="E8593" t="s">
        <v>12894</v>
      </c>
      <c r="F8593" t="s">
        <v>12895</v>
      </c>
      <c r="G8593" t="s">
        <v>37</v>
      </c>
      <c r="H8593">
        <v>1989</v>
      </c>
      <c r="I8593">
        <v>19.401199999999999</v>
      </c>
      <c r="J8593">
        <v>14.2</v>
      </c>
      <c r="K8593">
        <v>67</v>
      </c>
      <c r="L8593">
        <v>16.178920000000002</v>
      </c>
      <c r="M8593">
        <v>28.20121</v>
      </c>
      <c r="N8593">
        <v>7.1012050000000002</v>
      </c>
      <c r="O8593">
        <v>21.1</v>
      </c>
      <c r="P8593">
        <v>20.6</v>
      </c>
      <c r="Q8593">
        <v>16.901199999999999</v>
      </c>
      <c r="R8593">
        <v>20.801200000000001</v>
      </c>
      <c r="S8593">
        <v>16.901199999999999</v>
      </c>
      <c r="T8593">
        <v>711.92769999999996</v>
      </c>
      <c r="U8593">
        <v>126.988</v>
      </c>
      <c r="V8593">
        <v>6</v>
      </c>
      <c r="W8593">
        <v>66.012050000000002</v>
      </c>
      <c r="X8593">
        <v>311.96390000000002</v>
      </c>
      <c r="Y8593">
        <v>32.987949999999998</v>
      </c>
      <c r="Z8593">
        <v>232.9639</v>
      </c>
      <c r="AA8593">
        <v>32.987949999999998</v>
      </c>
      <c r="AB8593">
        <v>13.65629</v>
      </c>
      <c r="AC8593">
        <v>3.5720620000000002E-2</v>
      </c>
      <c r="AD8593">
        <v>1.0640019999999999</v>
      </c>
      <c r="AE8593">
        <v>0.64504839999999997</v>
      </c>
      <c r="AF8593">
        <v>1647.54</v>
      </c>
      <c r="AG8593">
        <f>IFERROR(AH8593*0.1, "N/A")</f>
        <v>8.2698800000000006</v>
      </c>
      <c r="AH8593">
        <v>82.698800000000006</v>
      </c>
      <c r="AI8593">
        <v>150.58009999999999</v>
      </c>
      <c r="AJ8593">
        <v>36.578310000000002</v>
      </c>
      <c r="AK8593">
        <v>39.759039999999999</v>
      </c>
    </row>
    <row r="8594" spans="1:37" x14ac:dyDescent="0.3">
      <c r="A8594">
        <v>8593</v>
      </c>
      <c r="B8594">
        <v>44.4</v>
      </c>
      <c r="C8594">
        <v>42.398099999999999</v>
      </c>
      <c r="D8594">
        <v>9.3556299999999997</v>
      </c>
      <c r="E8594" t="s">
        <v>12896</v>
      </c>
      <c r="F8594" t="s">
        <v>12897</v>
      </c>
      <c r="G8594" t="s">
        <v>37</v>
      </c>
      <c r="H8594">
        <v>1989</v>
      </c>
      <c r="I8594">
        <v>18.100000000000001</v>
      </c>
      <c r="J8594">
        <v>12.9</v>
      </c>
      <c r="K8594">
        <v>75</v>
      </c>
      <c r="L8594">
        <v>9.86</v>
      </c>
      <c r="M8594">
        <v>26.1</v>
      </c>
      <c r="N8594">
        <v>9</v>
      </c>
      <c r="O8594">
        <v>17.100000000000001</v>
      </c>
      <c r="P8594">
        <v>18.100000000000001</v>
      </c>
      <c r="Q8594">
        <v>16.7</v>
      </c>
      <c r="R8594">
        <v>19.3</v>
      </c>
      <c r="S8594">
        <v>16.7</v>
      </c>
      <c r="T8594">
        <v>737</v>
      </c>
      <c r="U8594">
        <v>131</v>
      </c>
      <c r="V8594">
        <v>2</v>
      </c>
      <c r="W8594">
        <v>65</v>
      </c>
      <c r="X8594">
        <v>338</v>
      </c>
      <c r="Y8594">
        <v>39</v>
      </c>
      <c r="Z8594">
        <v>246</v>
      </c>
      <c r="AA8594">
        <v>39</v>
      </c>
      <c r="AB8594">
        <v>115.9252</v>
      </c>
      <c r="AC8594">
        <v>1.0840539999999999E-2</v>
      </c>
      <c r="AD8594">
        <v>4.6482580000000002</v>
      </c>
      <c r="AE8594">
        <v>0.28886790000000001</v>
      </c>
      <c r="AF8594">
        <v>1963.287</v>
      </c>
      <c r="AG8594">
        <f>IFERROR(AH8594*0.1, "N/A")</f>
        <v>7.315544</v>
      </c>
      <c r="AH8594">
        <v>73.155439999999999</v>
      </c>
      <c r="AI8594">
        <v>82.91816</v>
      </c>
      <c r="AJ8594">
        <v>31.17098</v>
      </c>
      <c r="AK8594">
        <v>45.388599999999997</v>
      </c>
    </row>
    <row r="8595" spans="1:37" x14ac:dyDescent="0.3">
      <c r="A8595">
        <v>8594</v>
      </c>
      <c r="B8595">
        <v>21.6</v>
      </c>
      <c r="C8595">
        <v>40.1843</v>
      </c>
      <c r="D8595">
        <v>9.35642</v>
      </c>
      <c r="E8595" t="s">
        <v>12898</v>
      </c>
      <c r="F8595" t="s">
        <v>12899</v>
      </c>
      <c r="G8595" t="s">
        <v>39</v>
      </c>
      <c r="H8595">
        <v>1994</v>
      </c>
      <c r="I8595">
        <v>26.3</v>
      </c>
      <c r="J8595">
        <v>15.5</v>
      </c>
      <c r="K8595">
        <v>65</v>
      </c>
      <c r="L8595">
        <v>22.05</v>
      </c>
      <c r="M8595">
        <v>37.5</v>
      </c>
      <c r="N8595">
        <v>13.8</v>
      </c>
      <c r="O8595">
        <v>23.7</v>
      </c>
      <c r="P8595">
        <v>27.5</v>
      </c>
      <c r="Q8595">
        <v>24</v>
      </c>
      <c r="R8595">
        <v>28.9</v>
      </c>
      <c r="S8595">
        <v>23.2</v>
      </c>
      <c r="T8595">
        <v>520</v>
      </c>
      <c r="U8595">
        <v>128</v>
      </c>
      <c r="V8595">
        <v>6</v>
      </c>
      <c r="W8595">
        <v>72</v>
      </c>
      <c r="X8595">
        <v>247</v>
      </c>
      <c r="Y8595">
        <v>37</v>
      </c>
      <c r="Z8595">
        <v>143</v>
      </c>
      <c r="AA8595">
        <v>39</v>
      </c>
      <c r="AB8595">
        <v>1.780629</v>
      </c>
      <c r="AC8595">
        <v>1.287349E-2</v>
      </c>
      <c r="AD8595">
        <v>1.013498</v>
      </c>
      <c r="AE8595">
        <v>0.64722100000000005</v>
      </c>
      <c r="AF8595">
        <v>735.61590000000001</v>
      </c>
      <c r="AG8595">
        <f>IFERROR(AH8595*0.1, "N/A")</f>
        <v>7.7</v>
      </c>
      <c r="AH8595">
        <v>77</v>
      </c>
      <c r="AI8595">
        <v>95.652519999999996</v>
      </c>
      <c r="AJ8595">
        <v>37</v>
      </c>
      <c r="AK8595">
        <v>30</v>
      </c>
    </row>
    <row r="8596" spans="1:37" x14ac:dyDescent="0.3">
      <c r="A8596">
        <v>8595</v>
      </c>
      <c r="B8596">
        <v>2.6</v>
      </c>
      <c r="C8596">
        <v>40.1843</v>
      </c>
      <c r="D8596">
        <v>9.35642</v>
      </c>
      <c r="E8596" t="s">
        <v>12898</v>
      </c>
      <c r="F8596" t="s">
        <v>12900</v>
      </c>
      <c r="G8596" t="s">
        <v>37</v>
      </c>
      <c r="H8596">
        <v>1980</v>
      </c>
      <c r="I8596">
        <v>26.3</v>
      </c>
      <c r="J8596">
        <v>15.5</v>
      </c>
      <c r="K8596">
        <v>65</v>
      </c>
      <c r="L8596">
        <v>22.05</v>
      </c>
      <c r="M8596">
        <v>37.5</v>
      </c>
      <c r="N8596">
        <v>13.8</v>
      </c>
      <c r="O8596">
        <v>23.7</v>
      </c>
      <c r="P8596">
        <v>27.5</v>
      </c>
      <c r="Q8596">
        <v>24</v>
      </c>
      <c r="R8596">
        <v>28.9</v>
      </c>
      <c r="S8596">
        <v>23.2</v>
      </c>
      <c r="T8596">
        <v>520</v>
      </c>
      <c r="U8596">
        <v>128</v>
      </c>
      <c r="V8596">
        <v>6</v>
      </c>
      <c r="W8596">
        <v>72</v>
      </c>
      <c r="X8596">
        <v>247</v>
      </c>
      <c r="Y8596">
        <v>37</v>
      </c>
      <c r="Z8596">
        <v>143</v>
      </c>
      <c r="AA8596">
        <v>39</v>
      </c>
      <c r="AB8596">
        <v>1.780629</v>
      </c>
      <c r="AC8596">
        <v>1.287349E-2</v>
      </c>
      <c r="AD8596">
        <v>1.013498</v>
      </c>
      <c r="AE8596">
        <v>0.64722100000000005</v>
      </c>
      <c r="AF8596">
        <v>735.61590000000001</v>
      </c>
      <c r="AG8596">
        <f>IFERROR(AH8596*0.1, "N/A")</f>
        <v>7.7</v>
      </c>
      <c r="AH8596">
        <v>77</v>
      </c>
      <c r="AI8596">
        <v>95.652519999999996</v>
      </c>
      <c r="AJ8596">
        <v>37</v>
      </c>
      <c r="AK8596">
        <v>30</v>
      </c>
    </row>
    <row r="8597" spans="1:37" x14ac:dyDescent="0.3">
      <c r="A8597">
        <v>8596</v>
      </c>
      <c r="B8597">
        <v>9.8000000000000007</v>
      </c>
      <c r="C8597">
        <v>42.013100000000001</v>
      </c>
      <c r="D8597">
        <v>9.3947000000000003</v>
      </c>
      <c r="E8597" t="s">
        <v>12901</v>
      </c>
      <c r="F8597" t="s">
        <v>12902</v>
      </c>
      <c r="G8597" t="s">
        <v>37</v>
      </c>
      <c r="H8597">
        <v>1973</v>
      </c>
      <c r="I8597">
        <v>17.899999999999999</v>
      </c>
      <c r="J8597">
        <v>12.2</v>
      </c>
      <c r="K8597">
        <v>79</v>
      </c>
      <c r="L8597">
        <v>8.36</v>
      </c>
      <c r="M8597">
        <v>25.8</v>
      </c>
      <c r="N8597">
        <v>10.5</v>
      </c>
      <c r="O8597">
        <v>15.3</v>
      </c>
      <c r="P8597">
        <v>17.600000000000001</v>
      </c>
      <c r="Q8597">
        <v>16.899999999999999</v>
      </c>
      <c r="R8597">
        <v>19.100000000000001</v>
      </c>
      <c r="S8597">
        <v>16.899999999999999</v>
      </c>
      <c r="T8597">
        <v>799</v>
      </c>
      <c r="U8597">
        <v>158</v>
      </c>
      <c r="V8597">
        <v>7</v>
      </c>
      <c r="W8597">
        <v>66</v>
      </c>
      <c r="X8597">
        <v>364</v>
      </c>
      <c r="Y8597">
        <v>40</v>
      </c>
      <c r="Z8597">
        <v>257</v>
      </c>
      <c r="AA8597">
        <v>40</v>
      </c>
      <c r="AB8597">
        <v>35.779359999999997</v>
      </c>
      <c r="AC8597">
        <v>1.8877959999999999E-2</v>
      </c>
      <c r="AD8597">
        <v>7.1501279999999996</v>
      </c>
      <c r="AE8597">
        <v>0.44898470000000001</v>
      </c>
      <c r="AF8597">
        <v>2044.7139999999999</v>
      </c>
      <c r="AG8597">
        <f>IFERROR(AH8597*0.1, "N/A")</f>
        <v>7.4</v>
      </c>
      <c r="AH8597">
        <v>74</v>
      </c>
      <c r="AI8597">
        <v>228.298</v>
      </c>
      <c r="AJ8597">
        <v>39.58793</v>
      </c>
      <c r="AK8597">
        <v>40.384480000000003</v>
      </c>
    </row>
    <row r="8598" spans="1:37" x14ac:dyDescent="0.3">
      <c r="A8598">
        <v>8597</v>
      </c>
      <c r="B8598">
        <v>5.0999999999999996</v>
      </c>
      <c r="C8598">
        <v>42.013100000000001</v>
      </c>
      <c r="D8598">
        <v>9.3947199999999995</v>
      </c>
      <c r="E8598" t="s">
        <v>12903</v>
      </c>
      <c r="F8598" t="s">
        <v>12904</v>
      </c>
      <c r="G8598" t="s">
        <v>37</v>
      </c>
      <c r="H8598">
        <v>1989</v>
      </c>
      <c r="I8598">
        <v>17.899999999999999</v>
      </c>
      <c r="J8598">
        <v>12.2</v>
      </c>
      <c r="K8598">
        <v>79</v>
      </c>
      <c r="L8598">
        <v>8.36</v>
      </c>
      <c r="M8598">
        <v>25.8</v>
      </c>
      <c r="N8598">
        <v>10.5</v>
      </c>
      <c r="O8598">
        <v>15.3</v>
      </c>
      <c r="P8598">
        <v>17.600000000000001</v>
      </c>
      <c r="Q8598">
        <v>16.899999999999999</v>
      </c>
      <c r="R8598">
        <v>19.100000000000001</v>
      </c>
      <c r="S8598">
        <v>16.899999999999999</v>
      </c>
      <c r="T8598">
        <v>799</v>
      </c>
      <c r="U8598">
        <v>158</v>
      </c>
      <c r="V8598">
        <v>7</v>
      </c>
      <c r="W8598">
        <v>66</v>
      </c>
      <c r="X8598">
        <v>364</v>
      </c>
      <c r="Y8598">
        <v>40</v>
      </c>
      <c r="Z8598">
        <v>257</v>
      </c>
      <c r="AA8598">
        <v>40</v>
      </c>
      <c r="AB8598">
        <v>35.94088</v>
      </c>
      <c r="AC8598">
        <v>1.8782750000000001E-2</v>
      </c>
      <c r="AD8598">
        <v>7.1367929999999999</v>
      </c>
      <c r="AE8598">
        <v>0.44898470000000001</v>
      </c>
      <c r="AF8598">
        <v>2044.836</v>
      </c>
      <c r="AG8598">
        <f>IFERROR(AH8598*0.1, "N/A")</f>
        <v>7.4</v>
      </c>
      <c r="AH8598">
        <v>74</v>
      </c>
      <c r="AI8598">
        <v>228.36279999999999</v>
      </c>
      <c r="AJ8598">
        <v>39.602080000000001</v>
      </c>
      <c r="AK8598">
        <v>40.370240000000003</v>
      </c>
    </row>
    <row r="8599" spans="1:37" x14ac:dyDescent="0.3">
      <c r="A8599">
        <v>8598</v>
      </c>
      <c r="B8599">
        <v>27.3</v>
      </c>
      <c r="C8599">
        <v>42.043399999999998</v>
      </c>
      <c r="D8599">
        <v>9.4201499999999996</v>
      </c>
      <c r="E8599" t="s">
        <v>12905</v>
      </c>
      <c r="F8599" t="s">
        <v>12906</v>
      </c>
      <c r="G8599" t="s">
        <v>37</v>
      </c>
      <c r="H8599">
        <v>1989</v>
      </c>
      <c r="I8599">
        <v>17.600000000000001</v>
      </c>
      <c r="J8599">
        <v>12.2</v>
      </c>
      <c r="K8599">
        <v>79</v>
      </c>
      <c r="L8599">
        <v>8.99</v>
      </c>
      <c r="M8599">
        <v>25.5</v>
      </c>
      <c r="N8599">
        <v>10.1</v>
      </c>
      <c r="O8599">
        <v>15.4</v>
      </c>
      <c r="P8599">
        <v>17.399999999999999</v>
      </c>
      <c r="Q8599">
        <v>16.5</v>
      </c>
      <c r="R8599">
        <v>18.8</v>
      </c>
      <c r="S8599">
        <v>16.5</v>
      </c>
      <c r="T8599">
        <v>815</v>
      </c>
      <c r="U8599">
        <v>165</v>
      </c>
      <c r="V8599">
        <v>6</v>
      </c>
      <c r="W8599">
        <v>67</v>
      </c>
      <c r="X8599">
        <v>375</v>
      </c>
      <c r="Y8599">
        <v>40</v>
      </c>
      <c r="Z8599">
        <v>260</v>
      </c>
      <c r="AA8599">
        <v>40</v>
      </c>
      <c r="AB8599">
        <v>27.873640000000002</v>
      </c>
      <c r="AC8599">
        <v>9.5527249999999998E-3</v>
      </c>
      <c r="AD8599">
        <v>4.2310670000000004</v>
      </c>
      <c r="AE8599">
        <v>0.51902320000000002</v>
      </c>
      <c r="AF8599">
        <v>2054.759</v>
      </c>
      <c r="AG8599">
        <f>IFERROR(AH8599*0.1, "N/A")</f>
        <v>7.3709120000000006</v>
      </c>
      <c r="AH8599">
        <v>73.709119999999999</v>
      </c>
      <c r="AI8599">
        <v>218.17150000000001</v>
      </c>
      <c r="AJ8599">
        <v>42.846820000000001</v>
      </c>
      <c r="AK8599">
        <v>35.86403</v>
      </c>
    </row>
    <row r="8600" spans="1:37" x14ac:dyDescent="0.3">
      <c r="A8600">
        <v>8599</v>
      </c>
      <c r="B8600">
        <v>5.7</v>
      </c>
      <c r="C8600">
        <v>42.052100000000003</v>
      </c>
      <c r="D8600">
        <v>9.4232499999999995</v>
      </c>
      <c r="E8600" t="s">
        <v>12907</v>
      </c>
      <c r="F8600" t="s">
        <v>12908</v>
      </c>
      <c r="G8600" t="s">
        <v>37</v>
      </c>
      <c r="H8600">
        <v>1973</v>
      </c>
      <c r="I8600">
        <v>17.5</v>
      </c>
      <c r="J8600">
        <v>12.2</v>
      </c>
      <c r="K8600">
        <v>79</v>
      </c>
      <c r="L8600">
        <v>8.84</v>
      </c>
      <c r="M8600">
        <v>25.5</v>
      </c>
      <c r="N8600">
        <v>10.1</v>
      </c>
      <c r="O8600">
        <v>15.4</v>
      </c>
      <c r="P8600">
        <v>17.399999999999999</v>
      </c>
      <c r="Q8600">
        <v>16.5</v>
      </c>
      <c r="R8600">
        <v>18.8</v>
      </c>
      <c r="S8600">
        <v>16.5</v>
      </c>
      <c r="T8600">
        <v>814</v>
      </c>
      <c r="U8600">
        <v>165</v>
      </c>
      <c r="V8600">
        <v>6</v>
      </c>
      <c r="W8600">
        <v>67</v>
      </c>
      <c r="X8600">
        <v>374</v>
      </c>
      <c r="Y8600">
        <v>40</v>
      </c>
      <c r="Z8600">
        <v>260</v>
      </c>
      <c r="AA8600">
        <v>40</v>
      </c>
      <c r="AB8600">
        <v>17.923819999999999</v>
      </c>
      <c r="AC8600">
        <v>2.5289289999999999E-2</v>
      </c>
      <c r="AD8600">
        <v>6.9460899999999999</v>
      </c>
      <c r="AE8600">
        <v>0.49366640000000001</v>
      </c>
      <c r="AF8600">
        <v>2073.1039999999998</v>
      </c>
      <c r="AG8600">
        <f>IFERROR(AH8600*0.1, "N/A")</f>
        <v>7.07301</v>
      </c>
      <c r="AH8600">
        <v>70.730099999999993</v>
      </c>
      <c r="AI8600">
        <v>172.3443</v>
      </c>
      <c r="AJ8600">
        <v>42.307960000000001</v>
      </c>
      <c r="AK8600">
        <v>38.346020000000003</v>
      </c>
    </row>
    <row r="8601" spans="1:37" x14ac:dyDescent="0.3">
      <c r="A8601">
        <v>8600</v>
      </c>
      <c r="B8601">
        <v>8</v>
      </c>
      <c r="C8601">
        <v>36.32</v>
      </c>
      <c r="D8601">
        <v>9.4499999999999993</v>
      </c>
      <c r="E8601" t="s">
        <v>12909</v>
      </c>
      <c r="F8601" t="s">
        <v>12910</v>
      </c>
      <c r="G8601" t="s">
        <v>37</v>
      </c>
      <c r="H8601">
        <v>1987</v>
      </c>
      <c r="I8601">
        <v>22.6</v>
      </c>
      <c r="J8601">
        <v>14.3</v>
      </c>
      <c r="K8601">
        <v>63</v>
      </c>
      <c r="L8601">
        <v>16.404140000000002</v>
      </c>
      <c r="M8601">
        <v>33.799999999999997</v>
      </c>
      <c r="N8601">
        <v>11.3</v>
      </c>
      <c r="O8601">
        <v>22.5</v>
      </c>
      <c r="P8601">
        <v>21.228449999999999</v>
      </c>
      <c r="Q8601">
        <v>22.228449999999999</v>
      </c>
      <c r="R8601">
        <v>24.728449999999999</v>
      </c>
      <c r="S8601">
        <v>21.228449999999999</v>
      </c>
      <c r="T8601">
        <v>1341.578</v>
      </c>
      <c r="U8601">
        <v>285.71550000000002</v>
      </c>
      <c r="V8601">
        <v>4</v>
      </c>
      <c r="W8601">
        <v>96</v>
      </c>
      <c r="X8601">
        <v>781.43100000000004</v>
      </c>
      <c r="Y8601">
        <v>12</v>
      </c>
      <c r="Z8601">
        <v>106.52589999999999</v>
      </c>
      <c r="AA8601">
        <v>781.43100000000004</v>
      </c>
      <c r="AB8601">
        <v>1.632754</v>
      </c>
      <c r="AC8601">
        <v>0.7682928</v>
      </c>
      <c r="AD8601">
        <v>3.912846</v>
      </c>
      <c r="AE8601">
        <v>0.22106000000000001</v>
      </c>
      <c r="AF8601">
        <v>1127.848</v>
      </c>
      <c r="AG8601">
        <f>IFERROR(AH8601*0.1, "N/A")</f>
        <v>6.3000000000000007</v>
      </c>
      <c r="AH8601">
        <v>63</v>
      </c>
      <c r="AI8601">
        <v>296.42329999999998</v>
      </c>
      <c r="AJ8601">
        <v>41.044829999999997</v>
      </c>
      <c r="AK8601">
        <v>33.910339999999998</v>
      </c>
    </row>
    <row r="8602" spans="1:37" x14ac:dyDescent="0.3">
      <c r="A8602">
        <v>8601</v>
      </c>
      <c r="B8602">
        <v>1</v>
      </c>
      <c r="C8602">
        <v>41.866399999999999</v>
      </c>
      <c r="D8602">
        <v>9.4550000000000001</v>
      </c>
      <c r="E8602" t="s">
        <v>12911</v>
      </c>
      <c r="F8602" t="s">
        <v>12912</v>
      </c>
      <c r="G8602" t="s">
        <v>37</v>
      </c>
      <c r="H8602">
        <v>1989</v>
      </c>
      <c r="I8602">
        <v>17.987719999999999</v>
      </c>
      <c r="J8602">
        <v>12.28772</v>
      </c>
      <c r="K8602">
        <v>78.877160000000003</v>
      </c>
      <c r="L8602">
        <v>8.5338759999999994</v>
      </c>
      <c r="M8602">
        <v>25.9</v>
      </c>
      <c r="N8602">
        <v>10.4</v>
      </c>
      <c r="O8602">
        <v>15.5</v>
      </c>
      <c r="P8602">
        <v>17.8</v>
      </c>
      <c r="Q8602">
        <v>16.887720000000002</v>
      </c>
      <c r="R8602">
        <v>19.112279999999998</v>
      </c>
      <c r="S8602">
        <v>16.887720000000002</v>
      </c>
      <c r="T8602">
        <v>856.63149999999996</v>
      </c>
      <c r="U8602">
        <v>178</v>
      </c>
      <c r="V8602">
        <v>8</v>
      </c>
      <c r="W8602">
        <v>67</v>
      </c>
      <c r="X8602">
        <v>401.87720000000002</v>
      </c>
      <c r="Y8602">
        <v>45</v>
      </c>
      <c r="Z8602">
        <v>263.87720000000002</v>
      </c>
      <c r="AA8602">
        <v>45</v>
      </c>
      <c r="AB8602">
        <v>16.358170000000001</v>
      </c>
      <c r="AC8602">
        <v>0.23430970000000001</v>
      </c>
      <c r="AD8602">
        <v>1.8040069999999999</v>
      </c>
      <c r="AE8602">
        <v>0.51966730000000005</v>
      </c>
      <c r="AF8602">
        <v>1995.1510000000001</v>
      </c>
      <c r="AG8602">
        <f>IFERROR(AH8602*0.1, "N/A")</f>
        <v>7.4183390000000005</v>
      </c>
      <c r="AH8602">
        <v>74.183390000000003</v>
      </c>
      <c r="AI8602">
        <v>200.16640000000001</v>
      </c>
      <c r="AJ8602">
        <v>38.795850000000002</v>
      </c>
      <c r="AK8602">
        <v>38.754330000000003</v>
      </c>
    </row>
    <row r="8603" spans="1:37" x14ac:dyDescent="0.3">
      <c r="A8603">
        <v>8602</v>
      </c>
      <c r="B8603">
        <v>0</v>
      </c>
      <c r="C8603">
        <v>42.702500000000001</v>
      </c>
      <c r="D8603">
        <v>9.4700000000000006</v>
      </c>
      <c r="E8603" t="s">
        <v>12913</v>
      </c>
      <c r="F8603" t="s">
        <v>12914</v>
      </c>
      <c r="G8603" t="s">
        <v>37</v>
      </c>
      <c r="H8603">
        <v>1989</v>
      </c>
      <c r="I8603">
        <v>18.2</v>
      </c>
      <c r="J8603">
        <v>13.8</v>
      </c>
      <c r="K8603">
        <v>71</v>
      </c>
      <c r="L8603">
        <v>14.96</v>
      </c>
      <c r="M8603">
        <v>26.4</v>
      </c>
      <c r="N8603">
        <v>7</v>
      </c>
      <c r="O8603">
        <v>19.399999999999999</v>
      </c>
      <c r="P8603">
        <v>19.2</v>
      </c>
      <c r="Q8603">
        <v>16</v>
      </c>
      <c r="R8603">
        <v>19.7</v>
      </c>
      <c r="S8603">
        <v>16</v>
      </c>
      <c r="T8603">
        <v>778</v>
      </c>
      <c r="U8603">
        <v>145</v>
      </c>
      <c r="V8603">
        <v>5</v>
      </c>
      <c r="W8603">
        <v>68</v>
      </c>
      <c r="X8603">
        <v>355</v>
      </c>
      <c r="Y8603">
        <v>38</v>
      </c>
      <c r="Z8603">
        <v>266</v>
      </c>
      <c r="AA8603">
        <v>38</v>
      </c>
      <c r="AB8603">
        <v>58.895989999999998</v>
      </c>
      <c r="AC8603">
        <v>1.0984030000000001E-2</v>
      </c>
      <c r="AD8603">
        <v>2.4202650000000001</v>
      </c>
      <c r="AE8603">
        <v>0.39465129999999998</v>
      </c>
      <c r="AF8603">
        <v>1849.1220000000001</v>
      </c>
      <c r="AG8603">
        <f>IFERROR(AH8603*0.1, "N/A")</f>
        <v>7.5671819999999999</v>
      </c>
      <c r="AH8603">
        <v>75.671819999999997</v>
      </c>
      <c r="AI8603">
        <v>82.96463</v>
      </c>
      <c r="AJ8603">
        <v>28.957039999999999</v>
      </c>
      <c r="AK8603">
        <v>49.713059999999999</v>
      </c>
    </row>
    <row r="8604" spans="1:37" x14ac:dyDescent="0.3">
      <c r="A8604">
        <v>8603</v>
      </c>
      <c r="B8604">
        <v>6.1</v>
      </c>
      <c r="C8604">
        <v>40.198099999999997</v>
      </c>
      <c r="D8604">
        <v>9.4833200000000009</v>
      </c>
      <c r="E8604" t="s">
        <v>12915</v>
      </c>
      <c r="F8604" t="s">
        <v>12916</v>
      </c>
      <c r="G8604" t="s">
        <v>39</v>
      </c>
      <c r="H8604">
        <v>1977</v>
      </c>
      <c r="I8604">
        <v>26.2</v>
      </c>
      <c r="J8604">
        <v>15.5</v>
      </c>
      <c r="K8604">
        <v>64</v>
      </c>
      <c r="L8604">
        <v>22.19192</v>
      </c>
      <c r="M8604">
        <v>37.6</v>
      </c>
      <c r="N8604">
        <v>13.6</v>
      </c>
      <c r="O8604">
        <v>24</v>
      </c>
      <c r="P8604">
        <v>27.3</v>
      </c>
      <c r="Q8604">
        <v>23.8</v>
      </c>
      <c r="R8604">
        <v>28.8</v>
      </c>
      <c r="S8604">
        <v>23.1</v>
      </c>
      <c r="T8604">
        <v>537</v>
      </c>
      <c r="U8604">
        <v>134</v>
      </c>
      <c r="V8604">
        <v>6</v>
      </c>
      <c r="W8604">
        <v>73</v>
      </c>
      <c r="X8604">
        <v>253</v>
      </c>
      <c r="Y8604">
        <v>37</v>
      </c>
      <c r="Z8604">
        <v>146</v>
      </c>
      <c r="AA8604">
        <v>40</v>
      </c>
      <c r="AB8604">
        <v>1.0100169999999999</v>
      </c>
      <c r="AC8604">
        <v>8.4478999999999995E-3</v>
      </c>
      <c r="AD8604">
        <v>1.195211</v>
      </c>
      <c r="AE8604">
        <v>0.22800580000000001</v>
      </c>
      <c r="AF8604">
        <v>728.92920000000004</v>
      </c>
      <c r="AG8604">
        <f>IFERROR(AH8604*0.1, "N/A")</f>
        <v>7.1013820000000001</v>
      </c>
      <c r="AH8604">
        <v>71.013819999999996</v>
      </c>
      <c r="AI8604">
        <v>89.256960000000007</v>
      </c>
      <c r="AJ8604">
        <v>34.981000000000002</v>
      </c>
      <c r="AK8604">
        <v>34.032820000000001</v>
      </c>
    </row>
    <row r="8605" spans="1:37" x14ac:dyDescent="0.3">
      <c r="A8605">
        <v>8604</v>
      </c>
      <c r="B8605">
        <v>2</v>
      </c>
      <c r="C8605">
        <v>35.5</v>
      </c>
      <c r="D8605">
        <v>9.5</v>
      </c>
      <c r="E8605" t="s">
        <v>12917</v>
      </c>
      <c r="F8605" t="s">
        <v>12918</v>
      </c>
      <c r="G8605" t="s">
        <v>37</v>
      </c>
      <c r="H8605">
        <v>1987</v>
      </c>
      <c r="I8605">
        <v>19.07694</v>
      </c>
      <c r="J8605">
        <v>12.6</v>
      </c>
      <c r="K8605">
        <v>73.177279999999996</v>
      </c>
      <c r="L8605">
        <v>14.17356</v>
      </c>
      <c r="M8605">
        <v>28.874700000000001</v>
      </c>
      <c r="N8605">
        <v>11.79466</v>
      </c>
      <c r="O8605">
        <v>17.080030000000001</v>
      </c>
      <c r="P8605">
        <v>17.476939999999999</v>
      </c>
      <c r="Q8605">
        <v>19.694659999999999</v>
      </c>
      <c r="R8605">
        <v>21.09243</v>
      </c>
      <c r="S8605">
        <v>17.359210000000001</v>
      </c>
      <c r="T8605">
        <v>1819.4169999999999</v>
      </c>
      <c r="U8605">
        <v>350.05340000000001</v>
      </c>
      <c r="V8605">
        <v>5</v>
      </c>
      <c r="W8605">
        <v>91.614459999999994</v>
      </c>
      <c r="X8605">
        <v>1016.174</v>
      </c>
      <c r="Y8605">
        <v>23.022379999999998</v>
      </c>
      <c r="Z8605">
        <v>113.253</v>
      </c>
      <c r="AA8605">
        <v>993.94320000000005</v>
      </c>
      <c r="AB8605">
        <v>38.265729999999998</v>
      </c>
      <c r="AC8605">
        <v>1.618371E-2</v>
      </c>
      <c r="AD8605">
        <v>11.435409999999999</v>
      </c>
      <c r="AE8605">
        <v>0.49319170000000001</v>
      </c>
      <c r="AF8605">
        <v>1883.62</v>
      </c>
      <c r="AG8605">
        <f>IFERROR(AH8605*0.1, "N/A")</f>
        <v>5.1000000000000005</v>
      </c>
      <c r="AH8605">
        <v>51</v>
      </c>
      <c r="AI8605">
        <v>65.407219999999995</v>
      </c>
      <c r="AJ8605">
        <v>45</v>
      </c>
      <c r="AK8605">
        <v>28.17728</v>
      </c>
    </row>
    <row r="8606" spans="1:37" x14ac:dyDescent="0.3">
      <c r="A8606">
        <v>8605</v>
      </c>
      <c r="B8606">
        <v>5.6</v>
      </c>
      <c r="C8606">
        <v>42.6111</v>
      </c>
      <c r="D8606">
        <v>9.5052800000000008</v>
      </c>
      <c r="E8606" t="s">
        <v>12919</v>
      </c>
      <c r="F8606" t="s">
        <v>12920</v>
      </c>
      <c r="G8606" t="s">
        <v>37</v>
      </c>
      <c r="H8606">
        <v>1989</v>
      </c>
      <c r="I8606">
        <v>17.3</v>
      </c>
      <c r="J8606">
        <v>13.3</v>
      </c>
      <c r="K8606">
        <v>71</v>
      </c>
      <c r="L8606">
        <v>13.23</v>
      </c>
      <c r="M8606">
        <v>25.6</v>
      </c>
      <c r="N8606">
        <v>7</v>
      </c>
      <c r="O8606">
        <v>18.600000000000001</v>
      </c>
      <c r="P8606">
        <v>18</v>
      </c>
      <c r="Q8606">
        <v>15.4</v>
      </c>
      <c r="R8606">
        <v>18.8</v>
      </c>
      <c r="S8606">
        <v>15.4</v>
      </c>
      <c r="T8606">
        <v>792</v>
      </c>
      <c r="U8606">
        <v>152</v>
      </c>
      <c r="V8606">
        <v>3</v>
      </c>
      <c r="W8606">
        <v>68</v>
      </c>
      <c r="X8606">
        <v>373</v>
      </c>
      <c r="Y8606">
        <v>41</v>
      </c>
      <c r="Z8606">
        <v>261</v>
      </c>
      <c r="AA8606">
        <v>41</v>
      </c>
      <c r="AB8606">
        <v>78.442350000000005</v>
      </c>
      <c r="AC8606">
        <v>1.031967E-2</v>
      </c>
      <c r="AD8606">
        <v>4.6072980000000001</v>
      </c>
      <c r="AE8606">
        <v>0.38357150000000001</v>
      </c>
      <c r="AF8606">
        <v>2044.31</v>
      </c>
      <c r="AG8606">
        <f>IFERROR(AH8606*0.1, "N/A")</f>
        <v>7.668158</v>
      </c>
      <c r="AH8606">
        <v>76.681579999999997</v>
      </c>
      <c r="AI8606">
        <v>281.73230000000001</v>
      </c>
      <c r="AJ8606">
        <v>31.061959999999999</v>
      </c>
      <c r="AK8606">
        <v>47.24785</v>
      </c>
    </row>
    <row r="8607" spans="1:37" x14ac:dyDescent="0.3">
      <c r="A8607">
        <v>8606</v>
      </c>
      <c r="B8607">
        <v>14.3</v>
      </c>
      <c r="C8607">
        <v>40.300699999999999</v>
      </c>
      <c r="D8607">
        <v>9.5236999999999998</v>
      </c>
      <c r="E8607" t="s">
        <v>12921</v>
      </c>
      <c r="F8607" t="s">
        <v>12922</v>
      </c>
      <c r="G8607" t="s">
        <v>39</v>
      </c>
      <c r="H8607">
        <v>1977</v>
      </c>
      <c r="I8607">
        <v>26.188469999999999</v>
      </c>
      <c r="J8607">
        <v>15.4</v>
      </c>
      <c r="K8607">
        <v>64</v>
      </c>
      <c r="L8607">
        <v>22.443480000000001</v>
      </c>
      <c r="M8607">
        <v>37.48847</v>
      </c>
      <c r="N8607">
        <v>13.5</v>
      </c>
      <c r="O8607">
        <v>23.98847</v>
      </c>
      <c r="P8607">
        <v>27.388470000000002</v>
      </c>
      <c r="Q8607">
        <v>23.7</v>
      </c>
      <c r="R8607">
        <v>28.78847</v>
      </c>
      <c r="S8607">
        <v>23</v>
      </c>
      <c r="T8607">
        <v>520.23059999999998</v>
      </c>
      <c r="U8607">
        <v>130</v>
      </c>
      <c r="V8607">
        <v>6</v>
      </c>
      <c r="W8607">
        <v>71</v>
      </c>
      <c r="X8607">
        <v>241.11529999999999</v>
      </c>
      <c r="Y8607">
        <v>38</v>
      </c>
      <c r="Z8607">
        <v>133.23060000000001</v>
      </c>
      <c r="AA8607">
        <v>40</v>
      </c>
      <c r="AB8607">
        <v>0.3652205</v>
      </c>
      <c r="AC8607">
        <v>8.7313210000000002E-2</v>
      </c>
      <c r="AD8607">
        <v>0.9968072</v>
      </c>
      <c r="AE8607">
        <v>0.33657110000000001</v>
      </c>
      <c r="AF8607">
        <v>723.25130000000001</v>
      </c>
      <c r="AG8607">
        <f>IFERROR(AH8607*0.1, "N/A")</f>
        <v>7.828227</v>
      </c>
      <c r="AH8607">
        <v>78.282269999999997</v>
      </c>
      <c r="AI8607">
        <v>108.9969</v>
      </c>
      <c r="AJ8607">
        <v>34.115319999999997</v>
      </c>
      <c r="AK8607">
        <v>37.077449999999999</v>
      </c>
    </row>
    <row r="8608" spans="1:37" x14ac:dyDescent="0.3">
      <c r="A8608">
        <v>8607</v>
      </c>
      <c r="B8608">
        <v>0</v>
      </c>
      <c r="C8608">
        <v>39.456200000000003</v>
      </c>
      <c r="D8608">
        <v>9.5321400000000001</v>
      </c>
      <c r="E8608" t="s">
        <v>12923</v>
      </c>
      <c r="F8608" t="s">
        <v>12924</v>
      </c>
      <c r="G8608" t="s">
        <v>37</v>
      </c>
      <c r="H8608">
        <v>1976</v>
      </c>
      <c r="I8608">
        <v>14.7</v>
      </c>
      <c r="J8608">
        <v>12.5</v>
      </c>
      <c r="K8608">
        <v>66</v>
      </c>
      <c r="L8608">
        <v>15.78</v>
      </c>
      <c r="M8608">
        <v>24</v>
      </c>
      <c r="N8608">
        <v>5.3</v>
      </c>
      <c r="O8608">
        <v>18.7</v>
      </c>
      <c r="P8608">
        <v>15.3</v>
      </c>
      <c r="Q8608">
        <v>12.6</v>
      </c>
      <c r="R8608">
        <v>16.600000000000001</v>
      </c>
      <c r="S8608">
        <v>12.6</v>
      </c>
      <c r="T8608">
        <v>926</v>
      </c>
      <c r="U8608">
        <v>315</v>
      </c>
      <c r="V8608">
        <v>4</v>
      </c>
      <c r="W8608">
        <v>117</v>
      </c>
      <c r="X8608">
        <v>637.01729999999998</v>
      </c>
      <c r="Y8608">
        <v>27</v>
      </c>
      <c r="Z8608">
        <v>159.98269999999999</v>
      </c>
      <c r="AA8608">
        <v>27</v>
      </c>
      <c r="AB8608">
        <v>6.4981099999999996</v>
      </c>
      <c r="AC8608">
        <v>1.931097E-2</v>
      </c>
      <c r="AD8608">
        <v>0.94243330000000003</v>
      </c>
      <c r="AE8608">
        <v>0.59372009999999997</v>
      </c>
      <c r="AF8608">
        <v>2773.4650000000001</v>
      </c>
      <c r="AG8608">
        <f>IFERROR(AH8608*0.1, "N/A")</f>
        <v>6.8668390000000006</v>
      </c>
      <c r="AH8608">
        <v>68.668390000000002</v>
      </c>
      <c r="AI8608">
        <v>226.40289999999999</v>
      </c>
      <c r="AJ8608">
        <v>39.366149999999998</v>
      </c>
      <c r="AK8608">
        <v>28.816929999999999</v>
      </c>
    </row>
    <row r="8609" spans="1:37" x14ac:dyDescent="0.3">
      <c r="A8609">
        <v>8608</v>
      </c>
      <c r="B8609">
        <v>0</v>
      </c>
      <c r="C8609">
        <v>39.456200000000003</v>
      </c>
      <c r="D8609">
        <v>9.5321400000000001</v>
      </c>
      <c r="E8609" t="s">
        <v>12923</v>
      </c>
      <c r="F8609" t="s">
        <v>12925</v>
      </c>
      <c r="G8609" t="s">
        <v>39</v>
      </c>
      <c r="H8609">
        <v>1977</v>
      </c>
      <c r="I8609">
        <v>14.7</v>
      </c>
      <c r="J8609">
        <v>12.5</v>
      </c>
      <c r="K8609">
        <v>66</v>
      </c>
      <c r="L8609">
        <v>15.78</v>
      </c>
      <c r="M8609">
        <v>24</v>
      </c>
      <c r="N8609">
        <v>5.3</v>
      </c>
      <c r="O8609">
        <v>18.7</v>
      </c>
      <c r="P8609">
        <v>15.3</v>
      </c>
      <c r="Q8609">
        <v>12.6</v>
      </c>
      <c r="R8609">
        <v>16.600000000000001</v>
      </c>
      <c r="S8609">
        <v>12.6</v>
      </c>
      <c r="T8609">
        <v>926</v>
      </c>
      <c r="U8609">
        <v>315</v>
      </c>
      <c r="V8609">
        <v>4</v>
      </c>
      <c r="W8609">
        <v>117</v>
      </c>
      <c r="X8609">
        <v>637.01729999999998</v>
      </c>
      <c r="Y8609">
        <v>27</v>
      </c>
      <c r="Z8609">
        <v>159.98269999999999</v>
      </c>
      <c r="AA8609">
        <v>27</v>
      </c>
      <c r="AB8609">
        <v>6.4981099999999996</v>
      </c>
      <c r="AC8609">
        <v>1.931097E-2</v>
      </c>
      <c r="AD8609">
        <v>0.94243330000000003</v>
      </c>
      <c r="AE8609">
        <v>0.59372009999999997</v>
      </c>
      <c r="AF8609">
        <v>2773.4650000000001</v>
      </c>
      <c r="AG8609">
        <f>IFERROR(AH8609*0.1, "N/A")</f>
        <v>6.8668390000000006</v>
      </c>
      <c r="AH8609">
        <v>68.668390000000002</v>
      </c>
      <c r="AI8609">
        <v>226.40289999999999</v>
      </c>
      <c r="AJ8609">
        <v>39.366149999999998</v>
      </c>
      <c r="AK8609">
        <v>28.816929999999999</v>
      </c>
    </row>
    <row r="8610" spans="1:37" x14ac:dyDescent="0.3">
      <c r="A8610">
        <v>8609</v>
      </c>
      <c r="B8610">
        <v>0</v>
      </c>
      <c r="C8610">
        <v>40.340000000000003</v>
      </c>
      <c r="D8610">
        <v>9.5500000000000007</v>
      </c>
      <c r="E8610" t="s">
        <v>12926</v>
      </c>
      <c r="F8610" t="s">
        <v>12927</v>
      </c>
      <c r="G8610" t="s">
        <v>37</v>
      </c>
      <c r="H8610">
        <v>1987</v>
      </c>
      <c r="I8610">
        <v>26.1</v>
      </c>
      <c r="J8610">
        <v>15.4</v>
      </c>
      <c r="K8610">
        <v>64</v>
      </c>
      <c r="L8610">
        <v>22.456209999999999</v>
      </c>
      <c r="M8610">
        <v>37.4</v>
      </c>
      <c r="N8610">
        <v>13.44759</v>
      </c>
      <c r="O8610">
        <v>23.95241</v>
      </c>
      <c r="P8610">
        <v>27.3</v>
      </c>
      <c r="Q8610">
        <v>23.7</v>
      </c>
      <c r="R8610">
        <v>28.7</v>
      </c>
      <c r="S8610">
        <v>23</v>
      </c>
      <c r="T8610">
        <v>515.57240000000002</v>
      </c>
      <c r="U8610">
        <v>129.5241</v>
      </c>
      <c r="V8610">
        <v>6</v>
      </c>
      <c r="W8610">
        <v>72.475859999999997</v>
      </c>
      <c r="X8610">
        <v>240.04830000000001</v>
      </c>
      <c r="Y8610">
        <v>36</v>
      </c>
      <c r="Z8610">
        <v>132.04830000000001</v>
      </c>
      <c r="AA8610">
        <v>38</v>
      </c>
      <c r="AB8610">
        <v>3.086401</v>
      </c>
      <c r="AC8610">
        <v>57.371729999999999</v>
      </c>
      <c r="AD8610">
        <v>2.6342759999999998</v>
      </c>
      <c r="AE8610">
        <v>0.29018290000000002</v>
      </c>
      <c r="AF8610">
        <v>723.91899999999998</v>
      </c>
      <c r="AG8610">
        <f>IFERROR(AH8610*0.1, "N/A")</f>
        <v>7.9</v>
      </c>
      <c r="AH8610">
        <v>79</v>
      </c>
      <c r="AI8610">
        <v>140.0342</v>
      </c>
      <c r="AJ8610">
        <v>30.544830000000001</v>
      </c>
      <c r="AK8610">
        <v>37.727589999999999</v>
      </c>
    </row>
    <row r="8611" spans="1:37" x14ac:dyDescent="0.3">
      <c r="A8611">
        <v>8610</v>
      </c>
      <c r="B8611">
        <v>24.6</v>
      </c>
      <c r="C8611">
        <v>40.340000000000003</v>
      </c>
      <c r="D8611">
        <v>9.5500000000000007</v>
      </c>
      <c r="E8611" t="s">
        <v>12926</v>
      </c>
      <c r="F8611" t="s">
        <v>12928</v>
      </c>
      <c r="G8611" t="s">
        <v>39</v>
      </c>
      <c r="H8611">
        <v>1987</v>
      </c>
      <c r="I8611">
        <v>26.1</v>
      </c>
      <c r="J8611">
        <v>15.4</v>
      </c>
      <c r="K8611">
        <v>64</v>
      </c>
      <c r="L8611">
        <v>22.456209999999999</v>
      </c>
      <c r="M8611">
        <v>37.4</v>
      </c>
      <c r="N8611">
        <v>13.44759</v>
      </c>
      <c r="O8611">
        <v>23.95241</v>
      </c>
      <c r="P8611">
        <v>27.3</v>
      </c>
      <c r="Q8611">
        <v>23.7</v>
      </c>
      <c r="R8611">
        <v>28.7</v>
      </c>
      <c r="S8611">
        <v>23</v>
      </c>
      <c r="T8611">
        <v>515.57240000000002</v>
      </c>
      <c r="U8611">
        <v>129.5241</v>
      </c>
      <c r="V8611">
        <v>6</v>
      </c>
      <c r="W8611">
        <v>72.475859999999997</v>
      </c>
      <c r="X8611">
        <v>240.04830000000001</v>
      </c>
      <c r="Y8611">
        <v>36</v>
      </c>
      <c r="Z8611">
        <v>132.04830000000001</v>
      </c>
      <c r="AA8611">
        <v>38</v>
      </c>
      <c r="AB8611">
        <v>3.086401</v>
      </c>
      <c r="AC8611">
        <v>57.371729999999999</v>
      </c>
      <c r="AD8611">
        <v>2.6342759999999998</v>
      </c>
      <c r="AE8611">
        <v>0.29018290000000002</v>
      </c>
      <c r="AF8611">
        <v>723.91899999999998</v>
      </c>
      <c r="AG8611">
        <f>IFERROR(AH8611*0.1, "N/A")</f>
        <v>7.9</v>
      </c>
      <c r="AH8611">
        <v>79</v>
      </c>
      <c r="AI8611">
        <v>140.0342</v>
      </c>
      <c r="AJ8611">
        <v>30.544830000000001</v>
      </c>
      <c r="AK8611">
        <v>37.727589999999999</v>
      </c>
    </row>
    <row r="8612" spans="1:37" x14ac:dyDescent="0.3">
      <c r="A8612">
        <v>8611</v>
      </c>
      <c r="B8612">
        <v>0</v>
      </c>
      <c r="C8612">
        <v>38.866700000000002</v>
      </c>
      <c r="D8612">
        <v>9.5500000000000007</v>
      </c>
      <c r="E8612" t="s">
        <v>12929</v>
      </c>
      <c r="F8612" t="s">
        <v>12930</v>
      </c>
      <c r="G8612" t="s">
        <v>37</v>
      </c>
      <c r="H8612">
        <v>1976</v>
      </c>
      <c r="I8612">
        <v>14.435689999999999</v>
      </c>
      <c r="J8612">
        <v>13.4</v>
      </c>
      <c r="K8612">
        <v>72</v>
      </c>
      <c r="L8612">
        <v>12.769450000000001</v>
      </c>
      <c r="M8612">
        <v>23.83569</v>
      </c>
      <c r="N8612">
        <v>5.23569</v>
      </c>
      <c r="O8612">
        <v>18.600000000000001</v>
      </c>
      <c r="P8612">
        <v>13.73569</v>
      </c>
      <c r="Q8612">
        <v>13.035690000000001</v>
      </c>
      <c r="R8612">
        <v>16.15155</v>
      </c>
      <c r="S8612">
        <v>13.035690000000001</v>
      </c>
      <c r="T8612">
        <v>1038.7090000000001</v>
      </c>
      <c r="U8612">
        <v>294</v>
      </c>
      <c r="V8612">
        <v>6</v>
      </c>
      <c r="W8612">
        <v>102.6431</v>
      </c>
      <c r="X8612">
        <v>666.06550000000004</v>
      </c>
      <c r="Y8612">
        <v>29</v>
      </c>
      <c r="Z8612">
        <v>190.6431</v>
      </c>
      <c r="AA8612">
        <v>32.172409999999999</v>
      </c>
      <c r="AB8612">
        <v>0.77522440000000004</v>
      </c>
      <c r="AC8612">
        <v>2.473808</v>
      </c>
      <c r="AD8612">
        <v>2.1077330000000001</v>
      </c>
      <c r="AE8612">
        <v>0.67497059999999998</v>
      </c>
      <c r="AF8612">
        <v>2633.107</v>
      </c>
      <c r="AG8612">
        <f>IFERROR(AH8612*0.1, "N/A")</f>
        <v>6.4</v>
      </c>
      <c r="AH8612">
        <v>64</v>
      </c>
      <c r="AI8612">
        <v>128.4365</v>
      </c>
      <c r="AJ8612">
        <v>45.977589999999999</v>
      </c>
      <c r="AK8612">
        <v>29.022410000000001</v>
      </c>
    </row>
    <row r="8613" spans="1:37" x14ac:dyDescent="0.3">
      <c r="A8613">
        <v>8612</v>
      </c>
      <c r="B8613">
        <v>52</v>
      </c>
      <c r="C8613">
        <v>40.311500000000002</v>
      </c>
      <c r="D8613">
        <v>9.55091</v>
      </c>
      <c r="E8613" t="s">
        <v>12931</v>
      </c>
      <c r="F8613" t="s">
        <v>12932</v>
      </c>
      <c r="G8613" t="s">
        <v>39</v>
      </c>
      <c r="H8613">
        <v>1977</v>
      </c>
      <c r="I8613">
        <v>26.1</v>
      </c>
      <c r="J8613">
        <v>15.4</v>
      </c>
      <c r="K8613">
        <v>64</v>
      </c>
      <c r="L8613">
        <v>22.39</v>
      </c>
      <c r="M8613">
        <v>37.4</v>
      </c>
      <c r="N8613">
        <v>13.5</v>
      </c>
      <c r="O8613">
        <v>23.9</v>
      </c>
      <c r="P8613">
        <v>27.4</v>
      </c>
      <c r="Q8613">
        <v>23.7</v>
      </c>
      <c r="R8613">
        <v>28.7</v>
      </c>
      <c r="S8613">
        <v>23</v>
      </c>
      <c r="T8613">
        <v>521</v>
      </c>
      <c r="U8613">
        <v>131</v>
      </c>
      <c r="V8613">
        <v>6</v>
      </c>
      <c r="W8613">
        <v>73</v>
      </c>
      <c r="X8613">
        <v>243</v>
      </c>
      <c r="Y8613">
        <v>36</v>
      </c>
      <c r="Z8613">
        <v>135</v>
      </c>
      <c r="AA8613">
        <v>38</v>
      </c>
      <c r="AB8613">
        <v>1.7870250000000001</v>
      </c>
      <c r="AC8613">
        <v>5.0473990000000003E-2</v>
      </c>
      <c r="AD8613">
        <v>1.980836</v>
      </c>
      <c r="AE8613">
        <v>0.44502069999999999</v>
      </c>
      <c r="AF8613">
        <v>722.14189999999996</v>
      </c>
      <c r="AG8613">
        <f>IFERROR(AH8613*0.1, "N/A")</f>
        <v>7.8000000000000007</v>
      </c>
      <c r="AH8613">
        <v>78</v>
      </c>
      <c r="AI8613">
        <v>177.3091</v>
      </c>
      <c r="AJ8613">
        <v>29.59862</v>
      </c>
      <c r="AK8613">
        <v>40.467129999999997</v>
      </c>
    </row>
    <row r="8614" spans="1:37" x14ac:dyDescent="0.3">
      <c r="A8614">
        <v>8613</v>
      </c>
      <c r="B8614">
        <v>16.8</v>
      </c>
      <c r="C8614">
        <v>40.311700000000002</v>
      </c>
      <c r="D8614">
        <v>9.5512899999999998</v>
      </c>
      <c r="E8614" t="s">
        <v>12933</v>
      </c>
      <c r="F8614" t="s">
        <v>12934</v>
      </c>
      <c r="G8614" t="s">
        <v>39</v>
      </c>
      <c r="H8614">
        <v>1996</v>
      </c>
      <c r="I8614">
        <v>26.1</v>
      </c>
      <c r="J8614">
        <v>15.4</v>
      </c>
      <c r="K8614">
        <v>64</v>
      </c>
      <c r="L8614">
        <v>22.39</v>
      </c>
      <c r="M8614">
        <v>37.4</v>
      </c>
      <c r="N8614">
        <v>13.5</v>
      </c>
      <c r="O8614">
        <v>23.9</v>
      </c>
      <c r="P8614">
        <v>27.4</v>
      </c>
      <c r="Q8614">
        <v>23.7</v>
      </c>
      <c r="R8614">
        <v>28.7</v>
      </c>
      <c r="S8614">
        <v>23</v>
      </c>
      <c r="T8614">
        <v>521</v>
      </c>
      <c r="U8614">
        <v>131</v>
      </c>
      <c r="V8614">
        <v>6</v>
      </c>
      <c r="W8614">
        <v>73</v>
      </c>
      <c r="X8614">
        <v>243</v>
      </c>
      <c r="Y8614">
        <v>36</v>
      </c>
      <c r="Z8614">
        <v>135</v>
      </c>
      <c r="AA8614">
        <v>38</v>
      </c>
      <c r="AB8614">
        <v>1.3815470000000001</v>
      </c>
      <c r="AC8614">
        <v>5.6899499999999999E-2</v>
      </c>
      <c r="AD8614">
        <v>2.576972</v>
      </c>
      <c r="AE8614">
        <v>0.44502069999999999</v>
      </c>
      <c r="AF8614">
        <v>720.95690000000002</v>
      </c>
      <c r="AG8614">
        <f>IFERROR(AH8614*0.1, "N/A")</f>
        <v>7.8000000000000007</v>
      </c>
      <c r="AH8614">
        <v>78</v>
      </c>
      <c r="AI8614">
        <v>205.65559999999999</v>
      </c>
      <c r="AJ8614">
        <v>30.51379</v>
      </c>
      <c r="AK8614">
        <v>40.16207</v>
      </c>
    </row>
    <row r="8615" spans="1:37" x14ac:dyDescent="0.3">
      <c r="A8615">
        <v>8614</v>
      </c>
      <c r="B8615">
        <v>23.1</v>
      </c>
      <c r="C8615">
        <v>9.5618300000000005</v>
      </c>
      <c r="D8615">
        <v>9.5618300000000005</v>
      </c>
      <c r="E8615" t="s">
        <v>12935</v>
      </c>
      <c r="F8615" t="s">
        <v>12936</v>
      </c>
      <c r="G8615" t="s">
        <v>39</v>
      </c>
      <c r="H8615">
        <v>1977</v>
      </c>
      <c r="I8615">
        <v>25</v>
      </c>
      <c r="J8615">
        <v>12.5</v>
      </c>
      <c r="K8615">
        <v>61</v>
      </c>
      <c r="L8615">
        <v>17.100000000000001</v>
      </c>
      <c r="M8615">
        <v>34.9</v>
      </c>
      <c r="N8615">
        <v>14.7</v>
      </c>
      <c r="O8615">
        <v>20.2</v>
      </c>
      <c r="P8615">
        <v>23.6</v>
      </c>
      <c r="Q8615">
        <v>23.7</v>
      </c>
      <c r="R8615">
        <v>27.6</v>
      </c>
      <c r="S8615">
        <v>23.5</v>
      </c>
      <c r="T8615">
        <v>1146</v>
      </c>
      <c r="U8615">
        <v>272</v>
      </c>
      <c r="V8615">
        <v>0</v>
      </c>
      <c r="W8615">
        <v>102</v>
      </c>
      <c r="X8615">
        <v>725</v>
      </c>
      <c r="Y8615">
        <v>2</v>
      </c>
      <c r="Z8615">
        <v>186</v>
      </c>
      <c r="AA8615">
        <v>3</v>
      </c>
      <c r="AB8615">
        <v>11.24058</v>
      </c>
      <c r="AC8615">
        <v>2.3168299999999999E-2</v>
      </c>
      <c r="AD8615">
        <v>2.510678</v>
      </c>
      <c r="AE8615">
        <v>0.70942629999999995</v>
      </c>
      <c r="AF8615">
        <v>701.73230000000001</v>
      </c>
      <c r="AG8615">
        <f>IFERROR(AH8615*0.1, "N/A")</f>
        <v>6.4352330000000002</v>
      </c>
      <c r="AH8615">
        <v>64.352329999999995</v>
      </c>
      <c r="AI8615">
        <v>59.840809999999998</v>
      </c>
      <c r="AJ8615">
        <v>20.27807</v>
      </c>
      <c r="AK8615">
        <v>59.72193</v>
      </c>
    </row>
    <row r="8616" spans="1:37" x14ac:dyDescent="0.3">
      <c r="A8616">
        <v>8615</v>
      </c>
      <c r="B8616">
        <v>6</v>
      </c>
      <c r="C8616">
        <v>37.1</v>
      </c>
      <c r="D8616">
        <v>9.5667000000000009</v>
      </c>
      <c r="E8616" t="s">
        <v>12937</v>
      </c>
      <c r="F8616" t="s">
        <v>12938</v>
      </c>
      <c r="G8616" t="s">
        <v>37</v>
      </c>
      <c r="H8616">
        <v>1987</v>
      </c>
      <c r="I8616">
        <v>14.832990000000001</v>
      </c>
      <c r="J8616">
        <v>14.35069</v>
      </c>
      <c r="K8616">
        <v>77</v>
      </c>
      <c r="L8616">
        <v>7.4554299999999998</v>
      </c>
      <c r="M8616">
        <v>24.367180000000001</v>
      </c>
      <c r="N8616">
        <v>5.9</v>
      </c>
      <c r="O8616">
        <v>18.467179999999999</v>
      </c>
      <c r="P8616">
        <v>14.13935</v>
      </c>
      <c r="Q8616">
        <v>14.71649</v>
      </c>
      <c r="R8616">
        <v>15.93041</v>
      </c>
      <c r="S8616">
        <v>14.13935</v>
      </c>
      <c r="T8616">
        <v>1795.162</v>
      </c>
      <c r="U8616">
        <v>393.26799999999997</v>
      </c>
      <c r="V8616">
        <v>16.86082</v>
      </c>
      <c r="W8616">
        <v>88.139179999999996</v>
      </c>
      <c r="X8616">
        <v>1030.4949999999999</v>
      </c>
      <c r="Y8616">
        <v>67.328180000000003</v>
      </c>
      <c r="Z8616">
        <v>337.99829999999997</v>
      </c>
      <c r="AA8616">
        <v>1030.4949999999999</v>
      </c>
      <c r="AB8616">
        <v>95.446460000000002</v>
      </c>
      <c r="AC8616">
        <v>1.63266E-2</v>
      </c>
      <c r="AD8616">
        <v>5.9503500000000003</v>
      </c>
      <c r="AE8616">
        <v>0.61795199999999995</v>
      </c>
      <c r="AF8616">
        <v>2571.6439999999998</v>
      </c>
      <c r="AG8616">
        <f>IFERROR(AH8616*0.1, "N/A")</f>
        <v>5.7</v>
      </c>
      <c r="AH8616">
        <v>57</v>
      </c>
      <c r="AI8616">
        <v>160.98259999999999</v>
      </c>
      <c r="AJ8616">
        <v>40.16151</v>
      </c>
      <c r="AK8616">
        <v>31.037800000000001</v>
      </c>
    </row>
    <row r="8617" spans="1:37" x14ac:dyDescent="0.3">
      <c r="A8617">
        <v>8616</v>
      </c>
      <c r="B8617">
        <v>36.4</v>
      </c>
      <c r="C8617">
        <v>35.380000000000003</v>
      </c>
      <c r="D8617">
        <v>9.57</v>
      </c>
      <c r="E8617" t="s">
        <v>12939</v>
      </c>
      <c r="F8617" t="s">
        <v>12940</v>
      </c>
      <c r="G8617" t="s">
        <v>37</v>
      </c>
      <c r="H8617">
        <v>1987</v>
      </c>
      <c r="I8617">
        <v>19.8</v>
      </c>
      <c r="J8617">
        <v>12.6</v>
      </c>
      <c r="K8617">
        <v>72</v>
      </c>
      <c r="L8617">
        <v>13.89</v>
      </c>
      <c r="M8617">
        <v>29.8</v>
      </c>
      <c r="N8617">
        <v>12.4</v>
      </c>
      <c r="O8617">
        <v>17.399999999999999</v>
      </c>
      <c r="P8617">
        <v>18.3</v>
      </c>
      <c r="Q8617">
        <v>20.399999999999999</v>
      </c>
      <c r="R8617">
        <v>21.8</v>
      </c>
      <c r="S8617">
        <v>18.100000000000001</v>
      </c>
      <c r="T8617">
        <v>1705</v>
      </c>
      <c r="U8617">
        <v>328</v>
      </c>
      <c r="V8617">
        <v>4</v>
      </c>
      <c r="W8617">
        <v>92</v>
      </c>
      <c r="X8617">
        <v>948</v>
      </c>
      <c r="Y8617">
        <v>17</v>
      </c>
      <c r="Z8617">
        <v>99</v>
      </c>
      <c r="AA8617">
        <v>936</v>
      </c>
      <c r="AB8617">
        <v>36.765779999999999</v>
      </c>
      <c r="AC8617">
        <v>1.081936E-2</v>
      </c>
      <c r="AD8617">
        <v>6.8323910000000003</v>
      </c>
      <c r="AE8617">
        <v>0.49667929999999999</v>
      </c>
      <c r="AF8617">
        <v>1732.402</v>
      </c>
      <c r="AG8617">
        <f>IFERROR(AH8617*0.1, "N/A")</f>
        <v>5.0986180000000001</v>
      </c>
      <c r="AH8617">
        <v>50.986179999999997</v>
      </c>
      <c r="AI8617">
        <v>261.70089999999999</v>
      </c>
      <c r="AJ8617">
        <v>41.580309999999997</v>
      </c>
      <c r="AK8617">
        <v>31.027629999999998</v>
      </c>
    </row>
    <row r="8618" spans="1:37" x14ac:dyDescent="0.3">
      <c r="A8618">
        <v>8617</v>
      </c>
      <c r="B8618">
        <v>2.9</v>
      </c>
      <c r="C8618">
        <v>39.7333</v>
      </c>
      <c r="D8618">
        <v>9.5833300000000001</v>
      </c>
      <c r="E8618" t="s">
        <v>12941</v>
      </c>
      <c r="F8618" t="s">
        <v>12942</v>
      </c>
      <c r="G8618" t="s">
        <v>37</v>
      </c>
      <c r="H8618">
        <v>1976</v>
      </c>
      <c r="I8618">
        <v>15.22062</v>
      </c>
      <c r="J8618">
        <v>12.713749999999999</v>
      </c>
      <c r="K8618">
        <v>67.230239999999995</v>
      </c>
      <c r="L8618">
        <v>15.71945</v>
      </c>
      <c r="M8618">
        <v>24.614429999999999</v>
      </c>
      <c r="N8618">
        <v>5.8206189999999998</v>
      </c>
      <c r="O8618">
        <v>18.793810000000001</v>
      </c>
      <c r="P8618">
        <v>15.93746</v>
      </c>
      <c r="Q8618">
        <v>13.22062</v>
      </c>
      <c r="R8618">
        <v>17.114429999999999</v>
      </c>
      <c r="S8618">
        <v>13.22062</v>
      </c>
      <c r="T8618">
        <v>940.95529999999997</v>
      </c>
      <c r="U8618">
        <v>306.7285</v>
      </c>
      <c r="V8618">
        <v>5</v>
      </c>
      <c r="W8618">
        <v>107.5258</v>
      </c>
      <c r="X8618">
        <v>607.64949999999999</v>
      </c>
      <c r="Y8618">
        <v>35.735399999999998</v>
      </c>
      <c r="Z8618">
        <v>183.93809999999999</v>
      </c>
      <c r="AA8618">
        <v>35.735399999999998</v>
      </c>
      <c r="AB8618">
        <v>70.932450000000003</v>
      </c>
      <c r="AC8618">
        <v>8.5047319999999996E-2</v>
      </c>
      <c r="AD8618">
        <v>15.45551</v>
      </c>
      <c r="AE8618">
        <v>0.37270320000000001</v>
      </c>
      <c r="AF8618">
        <v>2648.1289999999999</v>
      </c>
      <c r="AG8618">
        <f>IFERROR(AH8618*0.1, "N/A")</f>
        <v>5.8000000000000007</v>
      </c>
      <c r="AH8618">
        <v>58</v>
      </c>
      <c r="AI8618">
        <v>155.91659999999999</v>
      </c>
      <c r="AJ8618">
        <v>35.859110000000001</v>
      </c>
      <c r="AK8618">
        <v>34.859110000000001</v>
      </c>
    </row>
    <row r="8619" spans="1:37" x14ac:dyDescent="0.3">
      <c r="A8619">
        <v>8618</v>
      </c>
      <c r="B8619">
        <v>5.0999999999999996</v>
      </c>
      <c r="C8619">
        <v>41.864600000000003</v>
      </c>
      <c r="D8619">
        <v>9.5866000000000007</v>
      </c>
      <c r="E8619" t="s">
        <v>12943</v>
      </c>
      <c r="F8619" t="s">
        <v>12944</v>
      </c>
      <c r="G8619" t="s">
        <v>37</v>
      </c>
      <c r="H8619">
        <v>1989</v>
      </c>
      <c r="I8619">
        <v>24.3</v>
      </c>
      <c r="J8619">
        <v>12.7</v>
      </c>
      <c r="K8619">
        <v>66</v>
      </c>
      <c r="L8619">
        <v>20.46</v>
      </c>
      <c r="M8619">
        <v>33.299999999999997</v>
      </c>
      <c r="N8619">
        <v>14.3</v>
      </c>
      <c r="O8619">
        <v>19</v>
      </c>
      <c r="P8619">
        <v>26</v>
      </c>
      <c r="Q8619">
        <v>21.5</v>
      </c>
      <c r="R8619">
        <v>26.5</v>
      </c>
      <c r="S8619">
        <v>21.4</v>
      </c>
      <c r="T8619">
        <v>645</v>
      </c>
      <c r="U8619">
        <v>126</v>
      </c>
      <c r="V8619">
        <v>6</v>
      </c>
      <c r="W8619">
        <v>68</v>
      </c>
      <c r="X8619">
        <v>292</v>
      </c>
      <c r="Y8619">
        <v>43</v>
      </c>
      <c r="Z8619">
        <v>179</v>
      </c>
      <c r="AA8619">
        <v>57</v>
      </c>
      <c r="AB8619">
        <v>6.5599059999999998</v>
      </c>
      <c r="AC8619">
        <v>2.5598309999999999E-2</v>
      </c>
      <c r="AD8619">
        <v>1.898868</v>
      </c>
      <c r="AE8619">
        <v>0.84451790000000004</v>
      </c>
      <c r="AF8619">
        <v>1225.701</v>
      </c>
      <c r="AG8619">
        <f>IFERROR(AH8619*0.1, "N/A")</f>
        <v>7.7702939999999998</v>
      </c>
      <c r="AH8619">
        <v>77.702939999999998</v>
      </c>
      <c r="AI8619">
        <v>61.318190000000001</v>
      </c>
      <c r="AJ8619">
        <v>28.428319999999999</v>
      </c>
      <c r="AK8619">
        <v>44.153709999999997</v>
      </c>
    </row>
    <row r="8620" spans="1:37" x14ac:dyDescent="0.3">
      <c r="A8620">
        <v>8619</v>
      </c>
      <c r="B8620">
        <v>2</v>
      </c>
      <c r="C8620">
        <v>41.639400000000002</v>
      </c>
      <c r="D8620">
        <v>9.6049900000000008</v>
      </c>
      <c r="E8620" t="s">
        <v>12945</v>
      </c>
      <c r="F8620" t="s">
        <v>12946</v>
      </c>
      <c r="G8620" t="s">
        <v>37</v>
      </c>
      <c r="H8620">
        <v>1989</v>
      </c>
      <c r="I8620">
        <v>24.7</v>
      </c>
      <c r="J8620">
        <v>12.9</v>
      </c>
      <c r="K8620">
        <v>65</v>
      </c>
      <c r="L8620">
        <v>20.65</v>
      </c>
      <c r="M8620">
        <v>34.1</v>
      </c>
      <c r="N8620">
        <v>14.5</v>
      </c>
      <c r="O8620">
        <v>19.600000000000001</v>
      </c>
      <c r="P8620">
        <v>26.4</v>
      </c>
      <c r="Q8620">
        <v>21.8</v>
      </c>
      <c r="R8620">
        <v>27</v>
      </c>
      <c r="S8620">
        <v>21.8</v>
      </c>
      <c r="T8620">
        <v>621</v>
      </c>
      <c r="U8620">
        <v>125</v>
      </c>
      <c r="V8620">
        <v>6</v>
      </c>
      <c r="W8620">
        <v>69</v>
      </c>
      <c r="X8620">
        <v>285</v>
      </c>
      <c r="Y8620">
        <v>41</v>
      </c>
      <c r="Z8620">
        <v>172</v>
      </c>
      <c r="AA8620">
        <v>41</v>
      </c>
      <c r="AB8620">
        <v>13.685219999999999</v>
      </c>
      <c r="AC8620">
        <v>2.6669740000000001E-2</v>
      </c>
      <c r="AD8620">
        <v>1.827221</v>
      </c>
      <c r="AE8620">
        <v>0.27063090000000001</v>
      </c>
      <c r="AF8620">
        <v>1125.181</v>
      </c>
      <c r="AG8620">
        <f>IFERROR(AH8620*0.1, "N/A")</f>
        <v>7.9984510000000002</v>
      </c>
      <c r="AH8620">
        <v>79.98451</v>
      </c>
      <c r="AI8620">
        <v>45.33014</v>
      </c>
      <c r="AJ8620">
        <v>25.296040000000001</v>
      </c>
      <c r="AK8620">
        <v>42.357999999999997</v>
      </c>
    </row>
    <row r="8621" spans="1:37" x14ac:dyDescent="0.3">
      <c r="A8621">
        <v>8620</v>
      </c>
      <c r="B8621">
        <v>36.299999999999997</v>
      </c>
      <c r="C8621">
        <v>35.825299999999999</v>
      </c>
      <c r="D8621">
        <v>9.6299600000000005</v>
      </c>
      <c r="E8621" t="s">
        <v>12947</v>
      </c>
      <c r="F8621" t="s">
        <v>12948</v>
      </c>
      <c r="G8621" t="s">
        <v>37</v>
      </c>
      <c r="H8621">
        <v>1990</v>
      </c>
      <c r="I8621">
        <v>23.111229999999999</v>
      </c>
      <c r="J8621">
        <v>13.9</v>
      </c>
      <c r="K8621">
        <v>64</v>
      </c>
      <c r="L8621">
        <v>15.276529999999999</v>
      </c>
      <c r="M8621">
        <v>34.222450000000002</v>
      </c>
      <c r="N8621">
        <v>12.82245</v>
      </c>
      <c r="O8621">
        <v>21.4</v>
      </c>
      <c r="P8621">
        <v>22.122450000000001</v>
      </c>
      <c r="Q8621">
        <v>23.122450000000001</v>
      </c>
      <c r="R8621">
        <v>25.222449999999998</v>
      </c>
      <c r="S8621">
        <v>21.622450000000001</v>
      </c>
      <c r="T8621">
        <v>1405.204</v>
      </c>
      <c r="U8621">
        <v>293.66320000000002</v>
      </c>
      <c r="V8621">
        <v>1.887737</v>
      </c>
      <c r="W8621">
        <v>95.112260000000006</v>
      </c>
      <c r="X8621">
        <v>804.1019</v>
      </c>
      <c r="Y8621">
        <v>8.8877369999999996</v>
      </c>
      <c r="Z8621">
        <v>58.775469999999999</v>
      </c>
      <c r="AA8621">
        <v>804.1019</v>
      </c>
      <c r="AB8621">
        <v>2.4649239999999999</v>
      </c>
      <c r="AC8621">
        <v>1.6458550000000001</v>
      </c>
      <c r="AD8621">
        <v>1.2453829999999999</v>
      </c>
      <c r="AE8621">
        <v>0.15591650000000001</v>
      </c>
      <c r="AF8621">
        <v>1029.7940000000001</v>
      </c>
      <c r="AG8621">
        <f>IFERROR(AH8621*0.1, "N/A")</f>
        <v>6.2</v>
      </c>
      <c r="AH8621">
        <v>62</v>
      </c>
      <c r="AI8621">
        <v>229.99590000000001</v>
      </c>
      <c r="AJ8621">
        <v>38</v>
      </c>
      <c r="AK8621">
        <v>39</v>
      </c>
    </row>
    <row r="8622" spans="1:37" x14ac:dyDescent="0.3">
      <c r="A8622">
        <v>8621</v>
      </c>
      <c r="B8622">
        <v>0</v>
      </c>
      <c r="C8622">
        <v>39.049999999999997</v>
      </c>
      <c r="D8622">
        <v>9.65</v>
      </c>
      <c r="E8622" t="s">
        <v>12949</v>
      </c>
      <c r="F8622" t="s">
        <v>12950</v>
      </c>
      <c r="G8622" t="s">
        <v>37</v>
      </c>
      <c r="H8622">
        <v>1976</v>
      </c>
      <c r="I8622">
        <v>14.667350000000001</v>
      </c>
      <c r="J8622">
        <v>13.2</v>
      </c>
      <c r="K8622">
        <v>72</v>
      </c>
      <c r="L8622">
        <v>12.78777</v>
      </c>
      <c r="M8622">
        <v>23.789860000000001</v>
      </c>
      <c r="N8622">
        <v>5.4898629999999997</v>
      </c>
      <c r="O8622">
        <v>18.3</v>
      </c>
      <c r="P8622">
        <v>14.26735</v>
      </c>
      <c r="Q8622">
        <v>13.136939999999999</v>
      </c>
      <c r="R8622">
        <v>16.46735</v>
      </c>
      <c r="S8622">
        <v>13.136939999999999</v>
      </c>
      <c r="T8622">
        <v>976.24570000000006</v>
      </c>
      <c r="U8622">
        <v>303.2835</v>
      </c>
      <c r="V8622">
        <v>4.817869</v>
      </c>
      <c r="W8622">
        <v>107.5292</v>
      </c>
      <c r="X8622">
        <v>636.13919999999996</v>
      </c>
      <c r="Y8622">
        <v>27.817869999999999</v>
      </c>
      <c r="Z8622">
        <v>199.53440000000001</v>
      </c>
      <c r="AA8622">
        <v>27.817869999999999</v>
      </c>
      <c r="AB8622">
        <v>54.746760000000002</v>
      </c>
      <c r="AC8622">
        <v>2.3231189999999999E-2</v>
      </c>
      <c r="AD8622">
        <v>7.1212530000000003</v>
      </c>
      <c r="AE8622">
        <v>0.56057520000000005</v>
      </c>
      <c r="AF8622">
        <v>2651.598</v>
      </c>
      <c r="AG8622">
        <f>IFERROR(AH8622*0.1, "N/A")</f>
        <v>6.2</v>
      </c>
      <c r="AH8622">
        <v>62</v>
      </c>
      <c r="AI8622">
        <v>172.22460000000001</v>
      </c>
      <c r="AJ8622">
        <v>45</v>
      </c>
      <c r="AK8622">
        <v>26</v>
      </c>
    </row>
    <row r="8623" spans="1:37" x14ac:dyDescent="0.3">
      <c r="A8623">
        <v>8622</v>
      </c>
      <c r="B8623">
        <v>0</v>
      </c>
      <c r="C8623">
        <v>38.85</v>
      </c>
      <c r="D8623">
        <v>9.65</v>
      </c>
      <c r="E8623" t="s">
        <v>12951</v>
      </c>
      <c r="F8623" t="s">
        <v>12952</v>
      </c>
      <c r="G8623" t="s">
        <v>39</v>
      </c>
      <c r="H8623">
        <v>1977</v>
      </c>
      <c r="I8623">
        <v>14.683160000000001</v>
      </c>
      <c r="J8623">
        <v>13.41976</v>
      </c>
      <c r="K8623">
        <v>71.197590000000005</v>
      </c>
      <c r="L8623">
        <v>12.94234</v>
      </c>
      <c r="M8623">
        <v>24.283159999999999</v>
      </c>
      <c r="N8623">
        <v>5.525601</v>
      </c>
      <c r="O8623">
        <v>18.757560000000002</v>
      </c>
      <c r="P8623">
        <v>13.8634</v>
      </c>
      <c r="Q8623">
        <v>13.3634</v>
      </c>
      <c r="R8623">
        <v>16.483160000000002</v>
      </c>
      <c r="S8623">
        <v>13.3634</v>
      </c>
      <c r="T8623">
        <v>1027.8420000000001</v>
      </c>
      <c r="U8623">
        <v>295.19760000000002</v>
      </c>
      <c r="V8623">
        <v>5</v>
      </c>
      <c r="W8623">
        <v>104</v>
      </c>
      <c r="X8623">
        <v>662.70270000000005</v>
      </c>
      <c r="Y8623">
        <v>27.197590000000002</v>
      </c>
      <c r="Z8623">
        <v>188.16839999999999</v>
      </c>
      <c r="AA8623">
        <v>32.953609999999998</v>
      </c>
      <c r="AB8623">
        <v>15.19449</v>
      </c>
      <c r="AC8623">
        <v>4.9229059999999998E-2</v>
      </c>
      <c r="AD8623">
        <v>2.2067610000000002</v>
      </c>
      <c r="AE8623">
        <v>0.56932590000000005</v>
      </c>
      <c r="AF8623">
        <v>2577.395</v>
      </c>
      <c r="AG8623">
        <f>IFERROR(AH8623*0.1, "N/A")</f>
        <v>6.4680409999999995</v>
      </c>
      <c r="AH8623">
        <v>64.680409999999995</v>
      </c>
      <c r="AI8623">
        <v>70.138379999999998</v>
      </c>
      <c r="AJ8623">
        <v>48</v>
      </c>
      <c r="AK8623">
        <v>25.226800000000001</v>
      </c>
    </row>
    <row r="8624" spans="1:37" x14ac:dyDescent="0.3">
      <c r="A8624">
        <v>8623</v>
      </c>
      <c r="B8624">
        <v>0</v>
      </c>
      <c r="C8624">
        <v>38.85</v>
      </c>
      <c r="D8624">
        <v>9.65</v>
      </c>
      <c r="E8624" t="s">
        <v>12951</v>
      </c>
      <c r="F8624" t="s">
        <v>12953</v>
      </c>
      <c r="G8624" t="s">
        <v>37</v>
      </c>
      <c r="H8624">
        <v>1978</v>
      </c>
      <c r="I8624">
        <v>14.683160000000001</v>
      </c>
      <c r="J8624">
        <v>13.41976</v>
      </c>
      <c r="K8624">
        <v>71.197590000000005</v>
      </c>
      <c r="L8624">
        <v>12.94234</v>
      </c>
      <c r="M8624">
        <v>24.283159999999999</v>
      </c>
      <c r="N8624">
        <v>5.525601</v>
      </c>
      <c r="O8624">
        <v>18.757560000000002</v>
      </c>
      <c r="P8624">
        <v>13.8634</v>
      </c>
      <c r="Q8624">
        <v>13.3634</v>
      </c>
      <c r="R8624">
        <v>16.483160000000002</v>
      </c>
      <c r="S8624">
        <v>13.3634</v>
      </c>
      <c r="T8624">
        <v>1027.8420000000001</v>
      </c>
      <c r="U8624">
        <v>295.19760000000002</v>
      </c>
      <c r="V8624">
        <v>5</v>
      </c>
      <c r="W8624">
        <v>104</v>
      </c>
      <c r="X8624">
        <v>662.70270000000005</v>
      </c>
      <c r="Y8624">
        <v>27.197590000000002</v>
      </c>
      <c r="Z8624">
        <v>188.16839999999999</v>
      </c>
      <c r="AA8624">
        <v>32.953609999999998</v>
      </c>
      <c r="AB8624">
        <v>15.19449</v>
      </c>
      <c r="AC8624">
        <v>4.9229059999999998E-2</v>
      </c>
      <c r="AD8624">
        <v>2.2067610000000002</v>
      </c>
      <c r="AE8624">
        <v>0.56932590000000005</v>
      </c>
      <c r="AF8624">
        <v>2577.395</v>
      </c>
      <c r="AG8624">
        <f>IFERROR(AH8624*0.1, "N/A")</f>
        <v>6.4680409999999995</v>
      </c>
      <c r="AH8624">
        <v>64.680409999999995</v>
      </c>
      <c r="AI8624">
        <v>70.138379999999998</v>
      </c>
      <c r="AJ8624">
        <v>48</v>
      </c>
      <c r="AK8624">
        <v>25.226800000000001</v>
      </c>
    </row>
    <row r="8625" spans="1:37" x14ac:dyDescent="0.3">
      <c r="A8625">
        <v>8624</v>
      </c>
      <c r="B8625">
        <v>10.9</v>
      </c>
      <c r="C8625">
        <v>39.446300000000001</v>
      </c>
      <c r="D8625">
        <v>9.6514399999999991</v>
      </c>
      <c r="E8625" t="s">
        <v>12954</v>
      </c>
      <c r="F8625" t="s">
        <v>12955</v>
      </c>
      <c r="G8625" t="s">
        <v>39</v>
      </c>
      <c r="H8625">
        <v>1994</v>
      </c>
      <c r="I8625">
        <v>14.5</v>
      </c>
      <c r="J8625">
        <v>12.5</v>
      </c>
      <c r="K8625">
        <v>66</v>
      </c>
      <c r="L8625">
        <v>15.94</v>
      </c>
      <c r="M8625">
        <v>23.8</v>
      </c>
      <c r="N8625">
        <v>5.0999999999999996</v>
      </c>
      <c r="O8625">
        <v>18.7</v>
      </c>
      <c r="P8625">
        <v>15.1</v>
      </c>
      <c r="Q8625">
        <v>12.4</v>
      </c>
      <c r="R8625">
        <v>16.5</v>
      </c>
      <c r="S8625">
        <v>12.4</v>
      </c>
      <c r="T8625">
        <v>946</v>
      </c>
      <c r="U8625">
        <v>318</v>
      </c>
      <c r="V8625">
        <v>4</v>
      </c>
      <c r="W8625">
        <v>119</v>
      </c>
      <c r="X8625">
        <v>658</v>
      </c>
      <c r="Y8625">
        <v>26</v>
      </c>
      <c r="Z8625">
        <v>158</v>
      </c>
      <c r="AA8625">
        <v>26</v>
      </c>
      <c r="AB8625">
        <v>20.108139999999999</v>
      </c>
      <c r="AC8625">
        <v>1.0623769999999999E-2</v>
      </c>
      <c r="AD8625">
        <v>4.555123</v>
      </c>
      <c r="AE8625">
        <v>0.65362920000000002</v>
      </c>
      <c r="AF8625">
        <v>2789.7640000000001</v>
      </c>
      <c r="AG8625">
        <f>IFERROR(AH8625*0.1, "N/A")</f>
        <v>6.3463790000000007</v>
      </c>
      <c r="AH8625">
        <v>63.463790000000003</v>
      </c>
      <c r="AI8625">
        <v>253.44059999999999</v>
      </c>
      <c r="AJ8625">
        <v>43.18103</v>
      </c>
      <c r="AK8625">
        <v>21.901720000000001</v>
      </c>
    </row>
    <row r="8626" spans="1:37" x14ac:dyDescent="0.3">
      <c r="A8626">
        <v>8625</v>
      </c>
      <c r="B8626">
        <v>0</v>
      </c>
      <c r="C8626">
        <v>39.315899999999999</v>
      </c>
      <c r="D8626">
        <v>9.6566600000000005</v>
      </c>
      <c r="E8626" t="s">
        <v>12956</v>
      </c>
      <c r="F8626" t="s">
        <v>12957</v>
      </c>
      <c r="G8626" t="s">
        <v>37</v>
      </c>
      <c r="H8626">
        <v>1976</v>
      </c>
      <c r="I8626">
        <v>14.2</v>
      </c>
      <c r="J8626">
        <v>12.7</v>
      </c>
      <c r="K8626">
        <v>69</v>
      </c>
      <c r="L8626">
        <v>14.30606</v>
      </c>
      <c r="M8626">
        <v>23.3</v>
      </c>
      <c r="N8626">
        <v>4.9000000000000004</v>
      </c>
      <c r="O8626">
        <v>18.399999999999999</v>
      </c>
      <c r="P8626">
        <v>14.5</v>
      </c>
      <c r="Q8626">
        <v>12.39725</v>
      </c>
      <c r="R8626">
        <v>16.100000000000001</v>
      </c>
      <c r="S8626">
        <v>12.39725</v>
      </c>
      <c r="T8626">
        <v>958.08259999999996</v>
      </c>
      <c r="U8626">
        <v>316</v>
      </c>
      <c r="V8626">
        <v>4</v>
      </c>
      <c r="W8626">
        <v>115.9725</v>
      </c>
      <c r="X8626">
        <v>654.11019999999996</v>
      </c>
      <c r="Y8626">
        <v>26</v>
      </c>
      <c r="Z8626">
        <v>169</v>
      </c>
      <c r="AA8626">
        <v>26</v>
      </c>
      <c r="AB8626">
        <v>109.8188</v>
      </c>
      <c r="AC8626">
        <v>1.2955599999999999E-2</v>
      </c>
      <c r="AD8626">
        <v>1.45282</v>
      </c>
      <c r="AE8626">
        <v>0.52352659999999995</v>
      </c>
      <c r="AF8626">
        <v>2792.7280000000001</v>
      </c>
      <c r="AG8626">
        <f>IFERROR(AH8626*0.1, "N/A")</f>
        <v>6.6000000000000005</v>
      </c>
      <c r="AH8626">
        <v>66</v>
      </c>
      <c r="AI8626">
        <v>175.48490000000001</v>
      </c>
      <c r="AJ8626">
        <v>39.082619999999999</v>
      </c>
      <c r="AK8626">
        <v>32.917380000000001</v>
      </c>
    </row>
    <row r="8627" spans="1:37" x14ac:dyDescent="0.3">
      <c r="A8627">
        <v>8626</v>
      </c>
      <c r="B8627">
        <v>32.9</v>
      </c>
      <c r="C8627">
        <v>35.758800000000001</v>
      </c>
      <c r="D8627">
        <v>9.6727299999999996</v>
      </c>
      <c r="E8627" t="s">
        <v>12958</v>
      </c>
      <c r="F8627" t="s">
        <v>12959</v>
      </c>
      <c r="G8627" t="s">
        <v>37</v>
      </c>
      <c r="H8627">
        <v>1990</v>
      </c>
      <c r="I8627">
        <v>23.812390000000001</v>
      </c>
      <c r="J8627">
        <v>14</v>
      </c>
      <c r="K8627">
        <v>64.876080000000002</v>
      </c>
      <c r="L8627">
        <v>15.34435</v>
      </c>
      <c r="M8627">
        <v>35.037179999999999</v>
      </c>
      <c r="N8627">
        <v>13.61239</v>
      </c>
      <c r="O8627">
        <v>21.424779999999998</v>
      </c>
      <c r="P8627">
        <v>22.37435</v>
      </c>
      <c r="Q8627">
        <v>23.824780000000001</v>
      </c>
      <c r="R8627">
        <v>26.02478</v>
      </c>
      <c r="S8627">
        <v>22.312390000000001</v>
      </c>
      <c r="T8627">
        <v>1342.3889999999999</v>
      </c>
      <c r="U8627">
        <v>281.75220000000002</v>
      </c>
      <c r="V8627">
        <v>1</v>
      </c>
      <c r="W8627">
        <v>95.123919999999998</v>
      </c>
      <c r="X8627">
        <v>771.13250000000005</v>
      </c>
      <c r="Y8627">
        <v>7</v>
      </c>
      <c r="Z8627">
        <v>53.876080000000002</v>
      </c>
      <c r="AA8627">
        <v>771.13250000000005</v>
      </c>
      <c r="AB8627">
        <v>49.163679999999999</v>
      </c>
      <c r="AC8627">
        <v>1.9062610000000001E-2</v>
      </c>
      <c r="AD8627">
        <v>9.7871009999999998</v>
      </c>
      <c r="AE8627">
        <v>0.1614226</v>
      </c>
      <c r="AF8627">
        <v>935.24779999999998</v>
      </c>
      <c r="AG8627">
        <f>IFERROR(AH8627*0.1, "N/A")</f>
        <v>6.1000000000000005</v>
      </c>
      <c r="AH8627">
        <v>61</v>
      </c>
      <c r="AI8627">
        <v>282.88749999999999</v>
      </c>
      <c r="AJ8627">
        <v>38.941479999999999</v>
      </c>
      <c r="AK8627">
        <v>34.123919999999998</v>
      </c>
    </row>
    <row r="8628" spans="1:37" x14ac:dyDescent="0.3">
      <c r="A8628">
        <v>8627</v>
      </c>
      <c r="B8628">
        <v>0</v>
      </c>
      <c r="C8628">
        <v>39.533299999999997</v>
      </c>
      <c r="D8628">
        <v>9.6833299999999998</v>
      </c>
      <c r="E8628" t="s">
        <v>12960</v>
      </c>
      <c r="F8628" t="s">
        <v>12961</v>
      </c>
      <c r="G8628" t="s">
        <v>37</v>
      </c>
      <c r="H8628">
        <v>1983</v>
      </c>
      <c r="I8628">
        <v>14.507070000000001</v>
      </c>
      <c r="J8628">
        <v>12.52431</v>
      </c>
      <c r="K8628">
        <v>66.827590000000001</v>
      </c>
      <c r="L8628">
        <v>15.87866</v>
      </c>
      <c r="M8628">
        <v>23.752929999999999</v>
      </c>
      <c r="N8628">
        <v>5.1113790000000003</v>
      </c>
      <c r="O8628">
        <v>18.641549999999999</v>
      </c>
      <c r="P8628">
        <v>15.20707</v>
      </c>
      <c r="Q8628">
        <v>12.42431</v>
      </c>
      <c r="R8628">
        <v>16.435690000000001</v>
      </c>
      <c r="S8628">
        <v>12.42431</v>
      </c>
      <c r="T8628">
        <v>961.34140000000002</v>
      </c>
      <c r="U8628">
        <v>318.17239999999998</v>
      </c>
      <c r="V8628">
        <v>4.7137929999999999</v>
      </c>
      <c r="W8628">
        <v>117.9293</v>
      </c>
      <c r="X8628">
        <v>666.84310000000005</v>
      </c>
      <c r="Y8628">
        <v>28.713789999999999</v>
      </c>
      <c r="Z8628">
        <v>159.31379999999999</v>
      </c>
      <c r="AA8628">
        <v>28.713789999999999</v>
      </c>
      <c r="AB8628">
        <v>28.901700000000002</v>
      </c>
      <c r="AC8628">
        <v>2.7915760000000001E-2</v>
      </c>
      <c r="AD8628">
        <v>7.6866079999999997</v>
      </c>
      <c r="AE8628">
        <v>0.74492139999999996</v>
      </c>
      <c r="AF8628">
        <v>2789.1</v>
      </c>
      <c r="AG8628">
        <f>IFERROR(AH8628*0.1, "N/A")</f>
        <v>6.5070690000000004</v>
      </c>
      <c r="AH8628">
        <v>65.070689999999999</v>
      </c>
      <c r="AI8628">
        <v>302.69349999999997</v>
      </c>
      <c r="AJ8628">
        <v>39.113790000000002</v>
      </c>
      <c r="AK8628">
        <v>29.313790000000001</v>
      </c>
    </row>
    <row r="8629" spans="1:37" x14ac:dyDescent="0.3">
      <c r="A8629">
        <v>8628</v>
      </c>
      <c r="B8629">
        <v>77.8</v>
      </c>
      <c r="C8629">
        <v>37.403300000000002</v>
      </c>
      <c r="D8629">
        <v>9.7016600000000004</v>
      </c>
      <c r="E8629" t="s">
        <v>12962</v>
      </c>
      <c r="F8629" t="s">
        <v>12963</v>
      </c>
      <c r="G8629" t="s">
        <v>37</v>
      </c>
      <c r="H8629">
        <v>2003</v>
      </c>
      <c r="I8629">
        <v>20.100000000000001</v>
      </c>
      <c r="J8629">
        <v>15.1</v>
      </c>
      <c r="K8629">
        <v>73</v>
      </c>
      <c r="L8629">
        <v>13.09</v>
      </c>
      <c r="M8629">
        <v>30.7</v>
      </c>
      <c r="N8629">
        <v>10.1</v>
      </c>
      <c r="O8629">
        <v>20.6</v>
      </c>
      <c r="P8629">
        <v>19.2</v>
      </c>
      <c r="Q8629">
        <v>20</v>
      </c>
      <c r="R8629">
        <v>22.1</v>
      </c>
      <c r="S8629">
        <v>18.8</v>
      </c>
      <c r="T8629">
        <v>1118</v>
      </c>
      <c r="U8629">
        <v>286</v>
      </c>
      <c r="V8629">
        <v>4</v>
      </c>
      <c r="W8629">
        <v>99</v>
      </c>
      <c r="X8629">
        <v>694</v>
      </c>
      <c r="Y8629">
        <v>19</v>
      </c>
      <c r="Z8629">
        <v>184</v>
      </c>
      <c r="AA8629">
        <v>676</v>
      </c>
      <c r="AB8629">
        <v>46.220950000000002</v>
      </c>
      <c r="AC8629">
        <v>9.5411379999999994E-3</v>
      </c>
      <c r="AD8629">
        <v>2.5785130000000001</v>
      </c>
      <c r="AE8629">
        <v>0.27868330000000002</v>
      </c>
      <c r="AF8629">
        <v>1592.9369999999999</v>
      </c>
      <c r="AG8629">
        <f>IFERROR(AH8629*0.1, "N/A")</f>
        <v>5.9025730000000003</v>
      </c>
      <c r="AH8629">
        <v>59.025730000000003</v>
      </c>
      <c r="AI8629">
        <v>63.84928</v>
      </c>
      <c r="AJ8629">
        <v>37</v>
      </c>
      <c r="AK8629">
        <v>38.008580000000002</v>
      </c>
    </row>
    <row r="8630" spans="1:37" x14ac:dyDescent="0.3">
      <c r="A8630">
        <v>8629</v>
      </c>
      <c r="B8630">
        <v>45.3</v>
      </c>
      <c r="C8630">
        <v>35.732999999999997</v>
      </c>
      <c r="D8630">
        <v>9.7166899999999998</v>
      </c>
      <c r="E8630" t="s">
        <v>12964</v>
      </c>
      <c r="F8630" t="s">
        <v>12965</v>
      </c>
      <c r="G8630" t="s">
        <v>37</v>
      </c>
      <c r="H8630">
        <v>1990</v>
      </c>
      <c r="I8630">
        <v>24.187090000000001</v>
      </c>
      <c r="J8630">
        <v>14</v>
      </c>
      <c r="K8630">
        <v>64.729780000000005</v>
      </c>
      <c r="L8630">
        <v>15.43215</v>
      </c>
      <c r="M8630">
        <v>35.5</v>
      </c>
      <c r="N8630">
        <v>14.033049999999999</v>
      </c>
      <c r="O8630">
        <v>21.466950000000001</v>
      </c>
      <c r="P8630">
        <v>22.822199999999999</v>
      </c>
      <c r="Q8630">
        <v>24.25198</v>
      </c>
      <c r="R8630">
        <v>26.4</v>
      </c>
      <c r="S8630">
        <v>22.687090000000001</v>
      </c>
      <c r="T8630">
        <v>1313.377</v>
      </c>
      <c r="U8630">
        <v>277.6902</v>
      </c>
      <c r="V8630">
        <v>1</v>
      </c>
      <c r="W8630">
        <v>96</v>
      </c>
      <c r="X8630">
        <v>757.5095</v>
      </c>
      <c r="Y8630">
        <v>6</v>
      </c>
      <c r="Z8630">
        <v>52.129089999999998</v>
      </c>
      <c r="AA8630">
        <v>757.5095</v>
      </c>
      <c r="AB8630">
        <v>15.260590000000001</v>
      </c>
      <c r="AC8630">
        <v>0.15362509999999999</v>
      </c>
      <c r="AD8630">
        <v>3.773085</v>
      </c>
      <c r="AE8630">
        <v>0.1533552</v>
      </c>
      <c r="AF8630">
        <v>868.52840000000003</v>
      </c>
      <c r="AG8630">
        <f>IFERROR(AH8630*0.1, "N/A")</f>
        <v>6.1678139999999999</v>
      </c>
      <c r="AH8630">
        <v>61.678139999999999</v>
      </c>
      <c r="AI8630">
        <v>217.61269999999999</v>
      </c>
      <c r="AJ8630">
        <v>36.66093</v>
      </c>
      <c r="AK8630">
        <v>39.760759999999998</v>
      </c>
    </row>
    <row r="8631" spans="1:37" x14ac:dyDescent="0.3">
      <c r="A8631">
        <v>8630</v>
      </c>
      <c r="B8631">
        <v>67.900000000000006</v>
      </c>
      <c r="C8631">
        <v>40.31</v>
      </c>
      <c r="D8631">
        <v>9.7200000000000006</v>
      </c>
      <c r="E8631" t="s">
        <v>12966</v>
      </c>
      <c r="F8631" t="s">
        <v>12967</v>
      </c>
      <c r="G8631" t="s">
        <v>39</v>
      </c>
      <c r="H8631">
        <v>1987</v>
      </c>
      <c r="I8631">
        <v>25.2</v>
      </c>
      <c r="J8631">
        <v>15.1</v>
      </c>
      <c r="K8631">
        <v>63</v>
      </c>
      <c r="L8631">
        <v>22.25</v>
      </c>
      <c r="M8631">
        <v>36.799999999999997</v>
      </c>
      <c r="N8631">
        <v>12.9</v>
      </c>
      <c r="O8631">
        <v>23.9</v>
      </c>
      <c r="P8631">
        <v>26.4</v>
      </c>
      <c r="Q8631">
        <v>22.9</v>
      </c>
      <c r="R8631">
        <v>27.9</v>
      </c>
      <c r="S8631">
        <v>22.1</v>
      </c>
      <c r="T8631">
        <v>626</v>
      </c>
      <c r="U8631">
        <v>155</v>
      </c>
      <c r="V8631">
        <v>9</v>
      </c>
      <c r="W8631">
        <v>72</v>
      </c>
      <c r="X8631">
        <v>295</v>
      </c>
      <c r="Y8631">
        <v>41</v>
      </c>
      <c r="Z8631">
        <v>175</v>
      </c>
      <c r="AA8631">
        <v>45</v>
      </c>
      <c r="AB8631">
        <v>22.951460000000001</v>
      </c>
      <c r="AC8631">
        <v>1.3954060000000001E-2</v>
      </c>
      <c r="AD8631">
        <v>2.047431</v>
      </c>
      <c r="AE8631">
        <v>0.23819960000000001</v>
      </c>
      <c r="AF8631">
        <v>817.68669999999997</v>
      </c>
      <c r="AG8631">
        <f>IFERROR(AH8631*0.1, "N/A")</f>
        <v>7.5822720000000006</v>
      </c>
      <c r="AH8631">
        <v>75.822720000000004</v>
      </c>
      <c r="AI8631">
        <v>238.06229999999999</v>
      </c>
      <c r="AJ8631">
        <v>33.022379999999998</v>
      </c>
      <c r="AK8631">
        <v>40</v>
      </c>
    </row>
    <row r="8632" spans="1:37" x14ac:dyDescent="0.3">
      <c r="A8632">
        <v>8631</v>
      </c>
      <c r="B8632">
        <v>46.1</v>
      </c>
      <c r="C8632">
        <v>35.862299999999998</v>
      </c>
      <c r="D8632">
        <v>9.7206100000000006</v>
      </c>
      <c r="E8632" t="s">
        <v>12968</v>
      </c>
      <c r="F8632" t="s">
        <v>12969</v>
      </c>
      <c r="G8632" t="s">
        <v>37</v>
      </c>
      <c r="H8632">
        <v>1990</v>
      </c>
      <c r="I8632">
        <v>22.4</v>
      </c>
      <c r="J8632">
        <v>13.8</v>
      </c>
      <c r="K8632">
        <v>66</v>
      </c>
      <c r="L8632">
        <v>14.71</v>
      </c>
      <c r="M8632">
        <v>33.4</v>
      </c>
      <c r="N8632">
        <v>12.5</v>
      </c>
      <c r="O8632">
        <v>20.9</v>
      </c>
      <c r="P8632">
        <v>21</v>
      </c>
      <c r="Q8632">
        <v>22.5</v>
      </c>
      <c r="R8632">
        <v>24.5</v>
      </c>
      <c r="S8632">
        <v>21</v>
      </c>
      <c r="T8632">
        <v>1472</v>
      </c>
      <c r="U8632">
        <v>312</v>
      </c>
      <c r="V8632">
        <v>2</v>
      </c>
      <c r="W8632">
        <v>96</v>
      </c>
      <c r="X8632">
        <v>852</v>
      </c>
      <c r="Y8632">
        <v>9</v>
      </c>
      <c r="Z8632">
        <v>60</v>
      </c>
      <c r="AA8632">
        <v>852</v>
      </c>
      <c r="AB8632">
        <v>67.026200000000003</v>
      </c>
      <c r="AC8632">
        <v>8.4275510000000001E-3</v>
      </c>
      <c r="AD8632">
        <v>8.5007739999999998</v>
      </c>
      <c r="AE8632">
        <v>0.1732495</v>
      </c>
      <c r="AF8632">
        <v>1218.848</v>
      </c>
      <c r="AG8632">
        <f>IFERROR(AH8632*0.1, "N/A")</f>
        <v>6.0694830000000008</v>
      </c>
      <c r="AH8632">
        <v>60.694830000000003</v>
      </c>
      <c r="AI8632">
        <v>209.2621</v>
      </c>
      <c r="AJ8632">
        <v>38</v>
      </c>
      <c r="AK8632">
        <v>37.305169999999997</v>
      </c>
    </row>
    <row r="8633" spans="1:37" x14ac:dyDescent="0.3">
      <c r="A8633">
        <v>8632</v>
      </c>
      <c r="B8633">
        <v>1</v>
      </c>
      <c r="C8633">
        <v>34.7333</v>
      </c>
      <c r="D8633">
        <v>9.75</v>
      </c>
      <c r="E8633" t="s">
        <v>12970</v>
      </c>
      <c r="F8633" t="s">
        <v>12971</v>
      </c>
      <c r="G8633" t="s">
        <v>37</v>
      </c>
      <c r="H8633">
        <v>1987</v>
      </c>
      <c r="I8633">
        <v>20.832070000000002</v>
      </c>
      <c r="J8633">
        <v>12.2</v>
      </c>
      <c r="K8633">
        <v>67</v>
      </c>
      <c r="L8633">
        <v>15.00836</v>
      </c>
      <c r="M8633">
        <v>30.945340000000002</v>
      </c>
      <c r="N8633">
        <v>12.93207</v>
      </c>
      <c r="O8633">
        <v>18.013280000000002</v>
      </c>
      <c r="P8633">
        <v>20.019480000000001</v>
      </c>
      <c r="Q8633">
        <v>21.69</v>
      </c>
      <c r="R8633">
        <v>22.745339999999999</v>
      </c>
      <c r="S8633">
        <v>19.23207</v>
      </c>
      <c r="T8633">
        <v>1221.5719999999999</v>
      </c>
      <c r="U8633">
        <v>229.79830000000001</v>
      </c>
      <c r="V8633">
        <v>0</v>
      </c>
      <c r="W8633">
        <v>89.874139999999997</v>
      </c>
      <c r="X8633">
        <v>644.69309999999996</v>
      </c>
      <c r="Y8633">
        <v>8</v>
      </c>
      <c r="Z8633">
        <v>12.80517</v>
      </c>
      <c r="AA8633">
        <v>344.27589999999998</v>
      </c>
      <c r="AB8633">
        <v>34.629150000000003</v>
      </c>
      <c r="AC8633">
        <v>9.7489429999999995E-3</v>
      </c>
      <c r="AD8633">
        <v>2.7249099999999999</v>
      </c>
      <c r="AE8633">
        <v>0.38650580000000001</v>
      </c>
      <c r="AF8633">
        <v>1461.462</v>
      </c>
      <c r="AG8633">
        <f>IFERROR(AH8633*0.1, "N/A")</f>
        <v>5.8020690000000004</v>
      </c>
      <c r="AH8633">
        <v>58.020690000000002</v>
      </c>
      <c r="AI8633">
        <v>145.42910000000001</v>
      </c>
      <c r="AJ8633">
        <v>36.962069999999997</v>
      </c>
      <c r="AK8633">
        <v>39.034480000000002</v>
      </c>
    </row>
    <row r="8634" spans="1:37" x14ac:dyDescent="0.3">
      <c r="A8634">
        <v>8633</v>
      </c>
      <c r="B8634">
        <v>51.9</v>
      </c>
      <c r="C8634">
        <v>35.848700000000001</v>
      </c>
      <c r="D8634">
        <v>9.7766599999999997</v>
      </c>
      <c r="E8634" t="s">
        <v>12972</v>
      </c>
      <c r="F8634" t="s">
        <v>12973</v>
      </c>
      <c r="G8634" t="s">
        <v>37</v>
      </c>
      <c r="H8634">
        <v>1990</v>
      </c>
      <c r="I8634">
        <v>24.2</v>
      </c>
      <c r="J8634">
        <v>14.1</v>
      </c>
      <c r="K8634">
        <v>64</v>
      </c>
      <c r="L8634">
        <v>15.45</v>
      </c>
      <c r="M8634">
        <v>35.6</v>
      </c>
      <c r="N8634">
        <v>13.9</v>
      </c>
      <c r="O8634">
        <v>21.7</v>
      </c>
      <c r="P8634">
        <v>22.8</v>
      </c>
      <c r="Q8634">
        <v>24.2</v>
      </c>
      <c r="R8634">
        <v>26.4</v>
      </c>
      <c r="S8634">
        <v>22.8</v>
      </c>
      <c r="T8634">
        <v>1315</v>
      </c>
      <c r="U8634">
        <v>283</v>
      </c>
      <c r="V8634">
        <v>1</v>
      </c>
      <c r="W8634">
        <v>97</v>
      </c>
      <c r="X8634">
        <v>769</v>
      </c>
      <c r="Y8634">
        <v>6</v>
      </c>
      <c r="Z8634">
        <v>51</v>
      </c>
      <c r="AA8634">
        <v>769</v>
      </c>
      <c r="AB8634">
        <v>28.517189999999999</v>
      </c>
      <c r="AC8634">
        <v>0.40199889999999999</v>
      </c>
      <c r="AD8634">
        <v>22.024480000000001</v>
      </c>
      <c r="AE8634">
        <v>0.17027510000000001</v>
      </c>
      <c r="AF8634">
        <v>889.86059999999998</v>
      </c>
      <c r="AG8634">
        <f>IFERROR(AH8634*0.1, "N/A")</f>
        <v>6.1664370000000002</v>
      </c>
      <c r="AH8634">
        <v>61.664369999999998</v>
      </c>
      <c r="AI8634">
        <v>280.20580000000001</v>
      </c>
      <c r="AJ8634">
        <v>37.504300000000001</v>
      </c>
      <c r="AK8634">
        <v>37.244410000000002</v>
      </c>
    </row>
    <row r="8635" spans="1:37" x14ac:dyDescent="0.3">
      <c r="A8635">
        <v>8634</v>
      </c>
      <c r="B8635">
        <v>60.7</v>
      </c>
      <c r="C8635">
        <v>35.771799999999999</v>
      </c>
      <c r="D8635">
        <v>9.7823600000000006</v>
      </c>
      <c r="E8635" t="s">
        <v>12974</v>
      </c>
      <c r="F8635" t="s">
        <v>12975</v>
      </c>
      <c r="G8635" t="s">
        <v>37</v>
      </c>
      <c r="H8635">
        <v>1990</v>
      </c>
      <c r="I8635">
        <v>23.9</v>
      </c>
      <c r="J8635">
        <v>14</v>
      </c>
      <c r="K8635">
        <v>65</v>
      </c>
      <c r="L8635">
        <v>15.38</v>
      </c>
      <c r="M8635">
        <v>35.200000000000003</v>
      </c>
      <c r="N8635">
        <v>13.9</v>
      </c>
      <c r="O8635">
        <v>21.3</v>
      </c>
      <c r="P8635">
        <v>22.4</v>
      </c>
      <c r="Q8635">
        <v>24</v>
      </c>
      <c r="R8635">
        <v>26.1</v>
      </c>
      <c r="S8635">
        <v>22.4</v>
      </c>
      <c r="T8635">
        <v>1342</v>
      </c>
      <c r="U8635">
        <v>287</v>
      </c>
      <c r="V8635">
        <v>1</v>
      </c>
      <c r="W8635">
        <v>97</v>
      </c>
      <c r="X8635">
        <v>781</v>
      </c>
      <c r="Y8635">
        <v>6</v>
      </c>
      <c r="Z8635">
        <v>52</v>
      </c>
      <c r="AA8635">
        <v>781</v>
      </c>
      <c r="AB8635">
        <v>34.8399</v>
      </c>
      <c r="AC8635">
        <v>1.1016379999999999E-2</v>
      </c>
      <c r="AD8635">
        <v>2.3341120000000002</v>
      </c>
      <c r="AE8635">
        <v>0.15956600000000001</v>
      </c>
      <c r="AF8635">
        <v>929.21590000000003</v>
      </c>
      <c r="AG8635">
        <f>IFERROR(AH8635*0.1, "N/A")</f>
        <v>5.9727120000000005</v>
      </c>
      <c r="AH8635">
        <v>59.727119999999999</v>
      </c>
      <c r="AI8635">
        <v>131.19069999999999</v>
      </c>
      <c r="AJ8635">
        <v>35</v>
      </c>
      <c r="AK8635">
        <v>39.272880000000001</v>
      </c>
    </row>
    <row r="8636" spans="1:37" x14ac:dyDescent="0.3">
      <c r="A8636">
        <v>8635</v>
      </c>
      <c r="B8636">
        <v>0</v>
      </c>
      <c r="C8636">
        <v>38.724600000000002</v>
      </c>
      <c r="D8636">
        <v>9.7911000000000001</v>
      </c>
      <c r="E8636" t="s">
        <v>12976</v>
      </c>
      <c r="F8636" t="s">
        <v>12977</v>
      </c>
      <c r="G8636" t="s">
        <v>37</v>
      </c>
      <c r="H8636">
        <v>1976</v>
      </c>
      <c r="I8636">
        <v>12.653359999999999</v>
      </c>
      <c r="J8636">
        <v>13.656969999999999</v>
      </c>
      <c r="K8636">
        <v>70</v>
      </c>
      <c r="L8636">
        <v>13.80212</v>
      </c>
      <c r="M8636">
        <v>22.951460000000001</v>
      </c>
      <c r="N8636">
        <v>3.4981070000000001</v>
      </c>
      <c r="O8636">
        <v>19.45336</v>
      </c>
      <c r="P8636">
        <v>11.85336</v>
      </c>
      <c r="Q8636">
        <v>11.398110000000001</v>
      </c>
      <c r="R8636">
        <v>14.59811</v>
      </c>
      <c r="S8636">
        <v>11.31033</v>
      </c>
      <c r="T8636">
        <v>1152.3720000000001</v>
      </c>
      <c r="U8636">
        <v>314.95179999999999</v>
      </c>
      <c r="V8636">
        <v>7</v>
      </c>
      <c r="W8636">
        <v>106</v>
      </c>
      <c r="X8636">
        <v>751.90359999999998</v>
      </c>
      <c r="Y8636">
        <v>32.430289999999999</v>
      </c>
      <c r="Z8636">
        <v>211.55250000000001</v>
      </c>
      <c r="AA8636">
        <v>40.485370000000003</v>
      </c>
      <c r="AB8636">
        <v>18.4361</v>
      </c>
      <c r="AC8636">
        <v>2.2115969999999999E-2</v>
      </c>
      <c r="AD8636">
        <v>3.637982</v>
      </c>
      <c r="AE8636">
        <v>0.63383020000000001</v>
      </c>
      <c r="AF8636">
        <v>2856.9879999999998</v>
      </c>
      <c r="AG8636">
        <f>IFERROR(AH8636*0.1, "N/A")</f>
        <v>6.138382</v>
      </c>
      <c r="AH8636">
        <v>61.38382</v>
      </c>
      <c r="AI8636">
        <v>49.884950000000003</v>
      </c>
      <c r="AJ8636">
        <v>43.099829999999997</v>
      </c>
      <c r="AK8636">
        <v>31.461269999999999</v>
      </c>
    </row>
    <row r="8637" spans="1:37" x14ac:dyDescent="0.3">
      <c r="A8637">
        <v>8636</v>
      </c>
      <c r="B8637">
        <v>1</v>
      </c>
      <c r="C8637">
        <v>35.1</v>
      </c>
      <c r="D8637">
        <v>9.8000000000000007</v>
      </c>
      <c r="E8637" t="s">
        <v>12978</v>
      </c>
      <c r="F8637" t="s">
        <v>12979</v>
      </c>
      <c r="G8637" t="s">
        <v>37</v>
      </c>
      <c r="H8637">
        <v>1987</v>
      </c>
      <c r="I8637">
        <v>20.091570000000001</v>
      </c>
      <c r="J8637">
        <v>12.3</v>
      </c>
      <c r="K8637">
        <v>69.160070000000005</v>
      </c>
      <c r="L8637">
        <v>14.0085</v>
      </c>
      <c r="M8637">
        <v>30.075559999999999</v>
      </c>
      <c r="N8637">
        <v>12.491569999999999</v>
      </c>
      <c r="O8637">
        <v>17.58399</v>
      </c>
      <c r="P8637">
        <v>18.565580000000001</v>
      </c>
      <c r="Q8637">
        <v>20.591570000000001</v>
      </c>
      <c r="R8637">
        <v>22.191569999999999</v>
      </c>
      <c r="S8637">
        <v>18.565580000000001</v>
      </c>
      <c r="T8637">
        <v>1612.952</v>
      </c>
      <c r="U8637">
        <v>305.41649999999998</v>
      </c>
      <c r="V8637">
        <v>1.900172</v>
      </c>
      <c r="W8637">
        <v>93</v>
      </c>
      <c r="X8637">
        <v>891.53359999999998</v>
      </c>
      <c r="Y8637">
        <v>10.80034</v>
      </c>
      <c r="Z8637">
        <v>90.144580000000005</v>
      </c>
      <c r="AA8637">
        <v>891.53359999999998</v>
      </c>
      <c r="AB8637">
        <v>26.590039999999998</v>
      </c>
      <c r="AC8637">
        <v>6.8549869999999999E-2</v>
      </c>
      <c r="AD8637">
        <v>8.1892040000000001</v>
      </c>
      <c r="AE8637">
        <v>0.5301169</v>
      </c>
      <c r="AF8637">
        <v>1664.528</v>
      </c>
      <c r="AG8637">
        <f>IFERROR(AH8637*0.1, "N/A")</f>
        <v>5.5616180000000002</v>
      </c>
      <c r="AH8637">
        <v>55.61618</v>
      </c>
      <c r="AI8637">
        <v>197.38929999999999</v>
      </c>
      <c r="AJ8637">
        <v>45.61618</v>
      </c>
      <c r="AK8637">
        <v>27.38382</v>
      </c>
    </row>
    <row r="8638" spans="1:37" x14ac:dyDescent="0.3">
      <c r="A8638">
        <v>8637</v>
      </c>
      <c r="B8638">
        <v>0</v>
      </c>
      <c r="C8638">
        <v>38.7333</v>
      </c>
      <c r="D8638">
        <v>9.8000000000000007</v>
      </c>
      <c r="E8638" t="s">
        <v>12980</v>
      </c>
      <c r="F8638" t="s">
        <v>12981</v>
      </c>
      <c r="G8638" t="s">
        <v>37</v>
      </c>
      <c r="H8638">
        <v>1980</v>
      </c>
      <c r="I8638">
        <v>12.912929999999999</v>
      </c>
      <c r="J8638">
        <v>13.758620000000001</v>
      </c>
      <c r="K8638">
        <v>69.777590000000004</v>
      </c>
      <c r="L8638">
        <v>14.28581</v>
      </c>
      <c r="M8638">
        <v>23.300519999999999</v>
      </c>
      <c r="N8638">
        <v>3.69069</v>
      </c>
      <c r="O8638">
        <v>19.609829999999999</v>
      </c>
      <c r="P8638">
        <v>11.97345</v>
      </c>
      <c r="Q8638">
        <v>11.59069</v>
      </c>
      <c r="R8638">
        <v>14.83517</v>
      </c>
      <c r="S8638">
        <v>11.59069</v>
      </c>
      <c r="T8638">
        <v>1140.614</v>
      </c>
      <c r="U8638">
        <v>311.29140000000001</v>
      </c>
      <c r="V8638">
        <v>6.1913790000000004</v>
      </c>
      <c r="W8638">
        <v>106</v>
      </c>
      <c r="X8638">
        <v>745.09479999999996</v>
      </c>
      <c r="Y8638">
        <v>30.968969999999999</v>
      </c>
      <c r="Z8638">
        <v>210.7466</v>
      </c>
      <c r="AA8638">
        <v>38.0931</v>
      </c>
      <c r="AB8638">
        <v>21.935839999999999</v>
      </c>
      <c r="AC8638">
        <v>5.0117740000000001E-2</v>
      </c>
      <c r="AD8638">
        <v>8.3126719999999992</v>
      </c>
      <c r="AE8638">
        <v>0.62979189999999996</v>
      </c>
      <c r="AF8638">
        <v>2789.3090000000002</v>
      </c>
      <c r="AG8638">
        <f>IFERROR(AH8638*0.1, "N/A")</f>
        <v>6.2289659999999998</v>
      </c>
      <c r="AH8638">
        <v>62.289659999999998</v>
      </c>
      <c r="AI8638">
        <v>48.82076</v>
      </c>
      <c r="AJ8638">
        <v>44.710340000000002</v>
      </c>
      <c r="AK8638">
        <v>30</v>
      </c>
    </row>
    <row r="8639" spans="1:37" x14ac:dyDescent="0.3">
      <c r="A8639">
        <v>8638</v>
      </c>
      <c r="B8639">
        <v>0</v>
      </c>
      <c r="C8639">
        <v>38.4238</v>
      </c>
      <c r="D8639">
        <v>9.8002599999999997</v>
      </c>
      <c r="E8639" t="s">
        <v>12982</v>
      </c>
      <c r="F8639" t="s">
        <v>12983</v>
      </c>
      <c r="G8639" t="s">
        <v>37</v>
      </c>
      <c r="H8639">
        <v>1976</v>
      </c>
      <c r="I8639">
        <v>15.291919999999999</v>
      </c>
      <c r="J8639">
        <v>13.3</v>
      </c>
      <c r="K8639">
        <v>70.919240000000002</v>
      </c>
      <c r="L8639">
        <v>14.15081</v>
      </c>
      <c r="M8639">
        <v>25.1</v>
      </c>
      <c r="N8639">
        <v>6.3919249999999996</v>
      </c>
      <c r="O8639">
        <v>18.708079999999999</v>
      </c>
      <c r="P8639">
        <v>13.8</v>
      </c>
      <c r="Q8639">
        <v>14.3</v>
      </c>
      <c r="R8639">
        <v>17.2</v>
      </c>
      <c r="S8639">
        <v>13.8</v>
      </c>
      <c r="T8639">
        <v>1090.838</v>
      </c>
      <c r="U8639">
        <v>292.91919999999999</v>
      </c>
      <c r="V8639">
        <v>6</v>
      </c>
      <c r="W8639">
        <v>104</v>
      </c>
      <c r="X8639">
        <v>697.91920000000005</v>
      </c>
      <c r="Y8639">
        <v>25</v>
      </c>
      <c r="Z8639">
        <v>196</v>
      </c>
      <c r="AA8639">
        <v>697.91920000000005</v>
      </c>
      <c r="AB8639">
        <v>24.31775</v>
      </c>
      <c r="AC8639">
        <v>9.1059859999999999E-3</v>
      </c>
      <c r="AD8639">
        <v>1.077283</v>
      </c>
      <c r="AE8639">
        <v>0.75452300000000005</v>
      </c>
      <c r="AF8639">
        <v>2572.1129999999998</v>
      </c>
      <c r="AG8639">
        <f>IFERROR(AH8639*0.1, "N/A")</f>
        <v>6.1969070000000004</v>
      </c>
      <c r="AH8639">
        <v>61.969070000000002</v>
      </c>
      <c r="AI8639">
        <v>293.37259999999998</v>
      </c>
      <c r="AJ8639">
        <v>42.020620000000001</v>
      </c>
      <c r="AK8639">
        <v>29.98969</v>
      </c>
    </row>
    <row r="8640" spans="1:37" x14ac:dyDescent="0.3">
      <c r="A8640">
        <v>8639</v>
      </c>
      <c r="B8640">
        <v>37.299999999999997</v>
      </c>
      <c r="C8640">
        <v>35.841900000000003</v>
      </c>
      <c r="D8640">
        <v>9.8186199999999992</v>
      </c>
      <c r="E8640" t="s">
        <v>12984</v>
      </c>
      <c r="F8640" t="s">
        <v>12985</v>
      </c>
      <c r="G8640" t="s">
        <v>37</v>
      </c>
      <c r="H8640">
        <v>1990</v>
      </c>
      <c r="I8640">
        <v>25.15241</v>
      </c>
      <c r="J8640">
        <v>14.252409999999999</v>
      </c>
      <c r="K8640">
        <v>64.524140000000003</v>
      </c>
      <c r="L8640">
        <v>15.29724</v>
      </c>
      <c r="M8640">
        <v>36.60483</v>
      </c>
      <c r="N8640">
        <v>14.704829999999999</v>
      </c>
      <c r="O8640">
        <v>21.9</v>
      </c>
      <c r="P8640">
        <v>23.752410000000001</v>
      </c>
      <c r="Q8640">
        <v>25.004829999999998</v>
      </c>
      <c r="R8640">
        <v>27.304829999999999</v>
      </c>
      <c r="S8640">
        <v>23.752410000000001</v>
      </c>
      <c r="T8640">
        <v>1243.71</v>
      </c>
      <c r="U8640">
        <v>270.95170000000002</v>
      </c>
      <c r="V8640">
        <v>1</v>
      </c>
      <c r="W8640">
        <v>98</v>
      </c>
      <c r="X8640">
        <v>732.33100000000002</v>
      </c>
      <c r="Y8640">
        <v>5</v>
      </c>
      <c r="Z8640">
        <v>46</v>
      </c>
      <c r="AA8640">
        <v>732.33100000000002</v>
      </c>
      <c r="AB8640">
        <v>4.6206810000000003</v>
      </c>
      <c r="AC8640">
        <v>0.60789000000000004</v>
      </c>
      <c r="AD8640">
        <v>3.625372</v>
      </c>
      <c r="AE8640">
        <v>0.1831276</v>
      </c>
      <c r="AF8640">
        <v>706.75170000000003</v>
      </c>
      <c r="AG8640">
        <f>IFERROR(AH8640*0.1, "N/A")</f>
        <v>6.2</v>
      </c>
      <c r="AH8640">
        <v>62</v>
      </c>
      <c r="AI8640">
        <v>63.741329999999998</v>
      </c>
      <c r="AJ8640">
        <v>34.048279999999998</v>
      </c>
      <c r="AK8640">
        <v>41.427590000000002</v>
      </c>
    </row>
    <row r="8641" spans="1:37" x14ac:dyDescent="0.3">
      <c r="A8641">
        <v>8640</v>
      </c>
      <c r="B8641">
        <v>64.400000000000006</v>
      </c>
      <c r="C8641">
        <v>35.7333</v>
      </c>
      <c r="D8641">
        <v>9.8264300000000002</v>
      </c>
      <c r="E8641" t="s">
        <v>12986</v>
      </c>
      <c r="F8641" t="s">
        <v>12987</v>
      </c>
      <c r="G8641" t="s">
        <v>37</v>
      </c>
      <c r="H8641">
        <v>1990</v>
      </c>
      <c r="I8641">
        <v>24.621860000000002</v>
      </c>
      <c r="J8641">
        <v>14.060930000000001</v>
      </c>
      <c r="K8641">
        <v>65</v>
      </c>
      <c r="L8641">
        <v>15.44251</v>
      </c>
      <c r="M8641">
        <v>36.021859999999997</v>
      </c>
      <c r="N8641">
        <v>14.560930000000001</v>
      </c>
      <c r="O8641">
        <v>21.460930000000001</v>
      </c>
      <c r="P8641">
        <v>23.121860000000002</v>
      </c>
      <c r="Q8641">
        <v>24.66093</v>
      </c>
      <c r="R8641">
        <v>26.86093</v>
      </c>
      <c r="S8641">
        <v>23.121860000000002</v>
      </c>
      <c r="T8641">
        <v>1285.6420000000001</v>
      </c>
      <c r="U8641">
        <v>277.1721</v>
      </c>
      <c r="V8641">
        <v>1</v>
      </c>
      <c r="W8641">
        <v>97</v>
      </c>
      <c r="X8641">
        <v>751.51639999999998</v>
      </c>
      <c r="Y8641">
        <v>5</v>
      </c>
      <c r="Z8641">
        <v>48.781410000000001</v>
      </c>
      <c r="AA8641">
        <v>751.51639999999998</v>
      </c>
      <c r="AB8641">
        <v>39.94012</v>
      </c>
      <c r="AC8641">
        <v>5.9656019999999997E-2</v>
      </c>
      <c r="AD8641">
        <v>7.3159150000000004</v>
      </c>
      <c r="AE8641">
        <v>0.15409619999999999</v>
      </c>
      <c r="AF8641">
        <v>809.00689999999997</v>
      </c>
      <c r="AG8641">
        <f>IFERROR(AH8641*0.1, "N/A")</f>
        <v>6.217384</v>
      </c>
      <c r="AH8641">
        <v>62.173839999999998</v>
      </c>
      <c r="AI8641">
        <v>125.30329999999999</v>
      </c>
      <c r="AJ8641">
        <v>35.101550000000003</v>
      </c>
      <c r="AK8641">
        <v>40.332189999999997</v>
      </c>
    </row>
    <row r="8642" spans="1:37" x14ac:dyDescent="0.3">
      <c r="A8642">
        <v>8641</v>
      </c>
      <c r="B8642">
        <v>66.7</v>
      </c>
      <c r="C8642">
        <v>43.021900000000002</v>
      </c>
      <c r="D8642">
        <v>9.84694</v>
      </c>
      <c r="E8642" t="s">
        <v>12988</v>
      </c>
      <c r="F8642" t="s">
        <v>12989</v>
      </c>
      <c r="G8642" t="s">
        <v>37</v>
      </c>
      <c r="H8642">
        <v>1987</v>
      </c>
      <c r="I8642">
        <v>21.3</v>
      </c>
      <c r="J8642">
        <v>13.1</v>
      </c>
      <c r="K8642">
        <v>64</v>
      </c>
      <c r="L8642">
        <v>23.21</v>
      </c>
      <c r="M8642">
        <v>30.2</v>
      </c>
      <c r="N8642">
        <v>9.9</v>
      </c>
      <c r="O8642">
        <v>20.3</v>
      </c>
      <c r="P8642">
        <v>23.4</v>
      </c>
      <c r="Q8642">
        <v>18.100000000000001</v>
      </c>
      <c r="R8642">
        <v>23.7</v>
      </c>
      <c r="S8642">
        <v>18.100000000000001</v>
      </c>
      <c r="T8642">
        <v>562</v>
      </c>
      <c r="U8642">
        <v>113</v>
      </c>
      <c r="V8642">
        <v>2</v>
      </c>
      <c r="W8642">
        <v>76</v>
      </c>
      <c r="X8642">
        <v>276</v>
      </c>
      <c r="Y8642">
        <v>20</v>
      </c>
      <c r="Z8642">
        <v>175</v>
      </c>
      <c r="AA8642">
        <v>20</v>
      </c>
      <c r="AB8642">
        <v>0.90086710000000003</v>
      </c>
      <c r="AC8642">
        <v>72.000360000000001</v>
      </c>
      <c r="AD8642">
        <v>1.6526590000000001</v>
      </c>
      <c r="AE8642">
        <v>0.3177278</v>
      </c>
      <c r="AF8642">
        <v>1399.9970000000001</v>
      </c>
      <c r="AG8642">
        <f>IFERROR(AH8642*0.1, "N/A")</f>
        <v>8.1794830000000012</v>
      </c>
      <c r="AH8642">
        <v>81.794830000000005</v>
      </c>
      <c r="AI8642">
        <v>240.78479999999999</v>
      </c>
      <c r="AJ8642">
        <v>27.205169999999999</v>
      </c>
      <c r="AK8642">
        <v>48.76379</v>
      </c>
    </row>
    <row r="8643" spans="1:37" x14ac:dyDescent="0.3">
      <c r="A8643">
        <v>8642</v>
      </c>
      <c r="B8643">
        <v>0</v>
      </c>
      <c r="C8643">
        <v>39.7667</v>
      </c>
      <c r="D8643">
        <v>9.85</v>
      </c>
      <c r="E8643" t="s">
        <v>12990</v>
      </c>
      <c r="F8643" t="s">
        <v>12991</v>
      </c>
      <c r="G8643" t="s">
        <v>37</v>
      </c>
      <c r="H8643">
        <v>1976</v>
      </c>
      <c r="I8643">
        <v>15.32985</v>
      </c>
      <c r="J8643">
        <v>12.92916</v>
      </c>
      <c r="K8643">
        <v>68.490570000000005</v>
      </c>
      <c r="L8643">
        <v>14.72499</v>
      </c>
      <c r="M8643">
        <v>24.687650000000001</v>
      </c>
      <c r="N8643">
        <v>6.0075469999999997</v>
      </c>
      <c r="O8643">
        <v>18.680099999999999</v>
      </c>
      <c r="P8643">
        <v>15.920579999999999</v>
      </c>
      <c r="Q8643">
        <v>13.42985</v>
      </c>
      <c r="R8643">
        <v>17.229849999999999</v>
      </c>
      <c r="S8643">
        <v>13.42985</v>
      </c>
      <c r="T8643">
        <v>985.02919999999995</v>
      </c>
      <c r="U8643">
        <v>305.59519999999998</v>
      </c>
      <c r="V8643">
        <v>7</v>
      </c>
      <c r="W8643">
        <v>103.7513</v>
      </c>
      <c r="X8643">
        <v>627.65520000000004</v>
      </c>
      <c r="Y8643">
        <v>41.161230000000003</v>
      </c>
      <c r="Z8643">
        <v>193.9451</v>
      </c>
      <c r="AA8643">
        <v>41.161230000000003</v>
      </c>
      <c r="AB8643">
        <v>94.74203</v>
      </c>
      <c r="AC8643">
        <v>1.010052E-2</v>
      </c>
      <c r="AD8643">
        <v>9.7575760000000002</v>
      </c>
      <c r="AE8643">
        <v>0.47937269999999998</v>
      </c>
      <c r="AF8643">
        <v>2631.3879999999999</v>
      </c>
      <c r="AG8643">
        <f>IFERROR(AH8643*0.1, "N/A")</f>
        <v>5.7421959999999999</v>
      </c>
      <c r="AH8643">
        <v>57.421959999999999</v>
      </c>
      <c r="AI8643">
        <v>100.4678</v>
      </c>
      <c r="AJ8643">
        <v>33.578040000000001</v>
      </c>
      <c r="AK8643">
        <v>36.843910000000001</v>
      </c>
    </row>
    <row r="8644" spans="1:37" x14ac:dyDescent="0.3">
      <c r="A8644">
        <v>8643</v>
      </c>
      <c r="B8644">
        <v>72.099999999999994</v>
      </c>
      <c r="C8644">
        <v>35.704799999999999</v>
      </c>
      <c r="D8644">
        <v>9.8689699999999991</v>
      </c>
      <c r="E8644" t="s">
        <v>12992</v>
      </c>
      <c r="F8644" t="s">
        <v>12993</v>
      </c>
      <c r="G8644" t="s">
        <v>37</v>
      </c>
      <c r="H8644">
        <v>1990</v>
      </c>
      <c r="I8644">
        <v>24.3</v>
      </c>
      <c r="J8644">
        <v>14</v>
      </c>
      <c r="K8644">
        <v>66</v>
      </c>
      <c r="L8644">
        <v>15.37</v>
      </c>
      <c r="M8644">
        <v>35.6</v>
      </c>
      <c r="N8644">
        <v>14.5</v>
      </c>
      <c r="O8644">
        <v>21.1</v>
      </c>
      <c r="P8644">
        <v>22.8</v>
      </c>
      <c r="Q8644">
        <v>24.4</v>
      </c>
      <c r="R8644">
        <v>26.5</v>
      </c>
      <c r="S8644">
        <v>22.8</v>
      </c>
      <c r="T8644">
        <v>1320</v>
      </c>
      <c r="U8644">
        <v>285</v>
      </c>
      <c r="V8644">
        <v>1</v>
      </c>
      <c r="W8644">
        <v>97</v>
      </c>
      <c r="X8644">
        <v>772</v>
      </c>
      <c r="Y8644">
        <v>6</v>
      </c>
      <c r="Z8644">
        <v>51</v>
      </c>
      <c r="AA8644">
        <v>772</v>
      </c>
      <c r="AB8644">
        <v>21.551349999999999</v>
      </c>
      <c r="AC8644">
        <v>3.8920620000000003E-2</v>
      </c>
      <c r="AD8644">
        <v>8.6462769999999995</v>
      </c>
      <c r="AE8644">
        <v>0.16168179999999999</v>
      </c>
      <c r="AF8644">
        <v>888.5498</v>
      </c>
      <c r="AG8644">
        <f>IFERROR(AH8644*0.1, "N/A")</f>
        <v>6.2611680000000005</v>
      </c>
      <c r="AH8644">
        <v>62.61168</v>
      </c>
      <c r="AI8644">
        <v>282.75229999999999</v>
      </c>
      <c r="AJ8644">
        <v>33.190719999999999</v>
      </c>
      <c r="AK8644">
        <v>41</v>
      </c>
    </row>
    <row r="8645" spans="1:37" x14ac:dyDescent="0.3">
      <c r="A8645">
        <v>8644</v>
      </c>
      <c r="B8645">
        <v>79.3</v>
      </c>
      <c r="C8645">
        <v>35.638399999999997</v>
      </c>
      <c r="D8645">
        <v>9.8692799999999998</v>
      </c>
      <c r="E8645" t="s">
        <v>12994</v>
      </c>
      <c r="F8645" t="s">
        <v>12995</v>
      </c>
      <c r="G8645" t="s">
        <v>37</v>
      </c>
      <c r="H8645">
        <v>1990</v>
      </c>
      <c r="I8645">
        <v>24.1</v>
      </c>
      <c r="J8645">
        <v>13.9</v>
      </c>
      <c r="K8645">
        <v>66</v>
      </c>
      <c r="L8645">
        <v>15.04</v>
      </c>
      <c r="M8645">
        <v>35.299999999999997</v>
      </c>
      <c r="N8645">
        <v>14.4</v>
      </c>
      <c r="O8645">
        <v>20.9</v>
      </c>
      <c r="P8645">
        <v>22.6</v>
      </c>
      <c r="Q8645">
        <v>24.2</v>
      </c>
      <c r="R8645">
        <v>26.3</v>
      </c>
      <c r="S8645">
        <v>22.6</v>
      </c>
      <c r="T8645">
        <v>1333</v>
      </c>
      <c r="U8645">
        <v>286</v>
      </c>
      <c r="V8645">
        <v>1</v>
      </c>
      <c r="W8645">
        <v>96</v>
      </c>
      <c r="X8645">
        <v>776</v>
      </c>
      <c r="Y8645">
        <v>6</v>
      </c>
      <c r="Z8645">
        <v>52</v>
      </c>
      <c r="AA8645">
        <v>776</v>
      </c>
      <c r="AB8645">
        <v>17.180859999999999</v>
      </c>
      <c r="AC8645">
        <v>9.4986210000000005E-3</v>
      </c>
      <c r="AD8645">
        <v>2.6322619999999999</v>
      </c>
      <c r="AE8645">
        <v>0.1537568</v>
      </c>
      <c r="AF8645">
        <v>917.88279999999997</v>
      </c>
      <c r="AG8645">
        <f>IFERROR(AH8645*0.1, "N/A")</f>
        <v>6.1731030000000002</v>
      </c>
      <c r="AH8645">
        <v>61.731029999999997</v>
      </c>
      <c r="AI8645">
        <v>72.898499999999999</v>
      </c>
      <c r="AJ8645">
        <v>35</v>
      </c>
      <c r="AK8645">
        <v>39.134480000000003</v>
      </c>
    </row>
    <row r="8646" spans="1:37" x14ac:dyDescent="0.3">
      <c r="A8646">
        <v>8645</v>
      </c>
      <c r="B8646">
        <v>1</v>
      </c>
      <c r="C8646">
        <v>35.116700000000002</v>
      </c>
      <c r="D8646">
        <v>9.8833300000000008</v>
      </c>
      <c r="E8646" t="s">
        <v>12996</v>
      </c>
      <c r="F8646" t="s">
        <v>12997</v>
      </c>
      <c r="G8646" t="s">
        <v>37</v>
      </c>
      <c r="H8646">
        <v>1988</v>
      </c>
      <c r="I8646">
        <v>20.44699</v>
      </c>
      <c r="J8646">
        <v>12.48657</v>
      </c>
      <c r="K8646">
        <v>69.865750000000006</v>
      </c>
      <c r="L8646">
        <v>14.139900000000001</v>
      </c>
      <c r="M8646">
        <v>30.560410000000001</v>
      </c>
      <c r="N8646">
        <v>12.76041</v>
      </c>
      <c r="O8646">
        <v>17.8</v>
      </c>
      <c r="P8646">
        <v>18.846990000000002</v>
      </c>
      <c r="Q8646">
        <v>20.929780000000001</v>
      </c>
      <c r="R8646">
        <v>22.5</v>
      </c>
      <c r="S8646">
        <v>18.846990000000002</v>
      </c>
      <c r="T8646">
        <v>1577.912</v>
      </c>
      <c r="U8646">
        <v>301.40449999999998</v>
      </c>
      <c r="V8646">
        <v>1</v>
      </c>
      <c r="W8646">
        <v>94</v>
      </c>
      <c r="X8646">
        <v>882.60929999999996</v>
      </c>
      <c r="Y8646">
        <v>9</v>
      </c>
      <c r="Z8646">
        <v>84.098110000000005</v>
      </c>
      <c r="AA8646">
        <v>882.60929999999996</v>
      </c>
      <c r="AB8646">
        <v>10.144579999999999</v>
      </c>
      <c r="AC8646">
        <v>0.31515549999999998</v>
      </c>
      <c r="AD8646">
        <v>5.818562</v>
      </c>
      <c r="AE8646">
        <v>0.51184640000000003</v>
      </c>
      <c r="AF8646">
        <v>1621.652</v>
      </c>
      <c r="AG8646">
        <f>IFERROR(AH8646*0.1, "N/A")</f>
        <v>5.5302930000000003</v>
      </c>
      <c r="AH8646">
        <v>55.302930000000003</v>
      </c>
      <c r="AI8646">
        <v>127.4556</v>
      </c>
      <c r="AJ8646">
        <v>40</v>
      </c>
      <c r="AK8646">
        <v>34.998280000000001</v>
      </c>
    </row>
    <row r="8647" spans="1:37" x14ac:dyDescent="0.3">
      <c r="A8647">
        <v>8646</v>
      </c>
      <c r="B8647">
        <v>0</v>
      </c>
      <c r="C8647">
        <v>39.146099999999997</v>
      </c>
      <c r="D8647">
        <v>9.8931100000000001</v>
      </c>
      <c r="E8647" t="s">
        <v>12998</v>
      </c>
      <c r="F8647" t="s">
        <v>12999</v>
      </c>
      <c r="G8647" t="s">
        <v>37</v>
      </c>
      <c r="H8647">
        <v>1976</v>
      </c>
      <c r="I8647">
        <v>14.6</v>
      </c>
      <c r="J8647">
        <v>13.1</v>
      </c>
      <c r="K8647">
        <v>71</v>
      </c>
      <c r="L8647">
        <v>12.8</v>
      </c>
      <c r="M8647">
        <v>23.7</v>
      </c>
      <c r="N8647">
        <v>5.5</v>
      </c>
      <c r="O8647">
        <v>18.2</v>
      </c>
      <c r="P8647">
        <v>14.2</v>
      </c>
      <c r="Q8647">
        <v>13.1</v>
      </c>
      <c r="R8647">
        <v>16.399999999999999</v>
      </c>
      <c r="S8647">
        <v>13.1</v>
      </c>
      <c r="T8647">
        <v>990</v>
      </c>
      <c r="U8647">
        <v>310</v>
      </c>
      <c r="V8647">
        <v>5</v>
      </c>
      <c r="W8647">
        <v>110</v>
      </c>
      <c r="X8647">
        <v>656</v>
      </c>
      <c r="Y8647">
        <v>29</v>
      </c>
      <c r="Z8647">
        <v>191</v>
      </c>
      <c r="AA8647">
        <v>29</v>
      </c>
      <c r="AB8647">
        <v>12.21153</v>
      </c>
      <c r="AC8647">
        <v>0.13857130000000001</v>
      </c>
      <c r="AD8647">
        <v>1.4428110000000001</v>
      </c>
      <c r="AE8647">
        <v>0.53023140000000002</v>
      </c>
      <c r="AF8647">
        <v>2648.319</v>
      </c>
      <c r="AG8647">
        <f>IFERROR(AH8647*0.1, "N/A")</f>
        <v>6.6933100000000003</v>
      </c>
      <c r="AH8647">
        <v>66.933099999999996</v>
      </c>
      <c r="AI8647">
        <v>195.34889999999999</v>
      </c>
      <c r="AJ8647">
        <v>41.305320000000002</v>
      </c>
      <c r="AK8647">
        <v>29.71012</v>
      </c>
    </row>
    <row r="8648" spans="1:37" x14ac:dyDescent="0.3">
      <c r="A8648">
        <v>8647</v>
      </c>
      <c r="B8648">
        <v>33</v>
      </c>
      <c r="C8648">
        <v>37.450000000000003</v>
      </c>
      <c r="D8648">
        <v>9.9</v>
      </c>
      <c r="E8648" t="s">
        <v>13000</v>
      </c>
      <c r="F8648" t="s">
        <v>13001</v>
      </c>
      <c r="G8648" t="s">
        <v>37</v>
      </c>
      <c r="H8648">
        <v>1987</v>
      </c>
      <c r="I8648">
        <v>21.29363</v>
      </c>
      <c r="J8648">
        <v>15.03098</v>
      </c>
      <c r="K8648">
        <v>72</v>
      </c>
      <c r="L8648">
        <v>13.952629999999999</v>
      </c>
      <c r="M8648">
        <v>32.024610000000003</v>
      </c>
      <c r="N8648">
        <v>11.369020000000001</v>
      </c>
      <c r="O8648">
        <v>20.65559</v>
      </c>
      <c r="P8648">
        <v>20.399999999999999</v>
      </c>
      <c r="Q8648">
        <v>21.069019999999998</v>
      </c>
      <c r="R8648">
        <v>23.380210000000002</v>
      </c>
      <c r="S8648">
        <v>19.869019999999999</v>
      </c>
      <c r="T8648">
        <v>1094.7139999999999</v>
      </c>
      <c r="U8648">
        <v>282.75389999999999</v>
      </c>
      <c r="V8648">
        <v>3</v>
      </c>
      <c r="W8648">
        <v>102.1824</v>
      </c>
      <c r="X8648">
        <v>691.81759999999997</v>
      </c>
      <c r="Y8648">
        <v>16</v>
      </c>
      <c r="Z8648">
        <v>169.26159999999999</v>
      </c>
      <c r="AA8648">
        <v>678.63509999999997</v>
      </c>
      <c r="AB8648">
        <v>11.179690000000001</v>
      </c>
      <c r="AC8648">
        <v>7.3705919999999994E-2</v>
      </c>
      <c r="AD8648">
        <v>2.6549010000000002</v>
      </c>
      <c r="AE8648">
        <v>0.4025939</v>
      </c>
      <c r="AF8648">
        <v>1378.943</v>
      </c>
      <c r="AG8648">
        <f>IFERROR(AH8648*0.1, "N/A")</f>
        <v>6.0036140000000007</v>
      </c>
      <c r="AH8648">
        <v>60.036140000000003</v>
      </c>
      <c r="AI8648">
        <v>270.44040000000001</v>
      </c>
      <c r="AJ8648">
        <v>40.373489999999997</v>
      </c>
      <c r="AK8648">
        <v>33.036140000000003</v>
      </c>
    </row>
    <row r="8649" spans="1:37" x14ac:dyDescent="0.3">
      <c r="A8649">
        <v>8648</v>
      </c>
      <c r="B8649">
        <v>41.2</v>
      </c>
      <c r="C8649">
        <v>40.380000000000003</v>
      </c>
      <c r="D8649">
        <v>9.9</v>
      </c>
      <c r="E8649" t="s">
        <v>13002</v>
      </c>
      <c r="F8649" t="s">
        <v>13003</v>
      </c>
      <c r="G8649" t="s">
        <v>39</v>
      </c>
      <c r="H8649">
        <v>1987</v>
      </c>
      <c r="I8649">
        <v>25.8</v>
      </c>
      <c r="J8649">
        <v>14.7</v>
      </c>
      <c r="K8649">
        <v>62</v>
      </c>
      <c r="L8649">
        <v>23.195150000000002</v>
      </c>
      <c r="M8649">
        <v>37.4</v>
      </c>
      <c r="N8649">
        <v>13.7</v>
      </c>
      <c r="O8649">
        <v>23.7</v>
      </c>
      <c r="P8649">
        <v>27.2</v>
      </c>
      <c r="Q8649">
        <v>23.4</v>
      </c>
      <c r="R8649">
        <v>28.524740000000001</v>
      </c>
      <c r="S8649">
        <v>22.6</v>
      </c>
      <c r="T8649">
        <v>495.24740000000003</v>
      </c>
      <c r="U8649">
        <v>139</v>
      </c>
      <c r="V8649">
        <v>7</v>
      </c>
      <c r="W8649">
        <v>84</v>
      </c>
      <c r="X8649">
        <v>258.24740000000003</v>
      </c>
      <c r="Y8649">
        <v>27</v>
      </c>
      <c r="Z8649">
        <v>137.2474</v>
      </c>
      <c r="AA8649">
        <v>30</v>
      </c>
      <c r="AB8649">
        <v>0</v>
      </c>
      <c r="AC8649">
        <v>14.76505</v>
      </c>
      <c r="AD8649">
        <v>0</v>
      </c>
      <c r="AE8649">
        <v>0.22444339999999999</v>
      </c>
      <c r="AF8649">
        <v>577</v>
      </c>
      <c r="AG8649" t="str">
        <f>IFERROR(AH8649*0.1, "N/A")</f>
        <v>N/A</v>
      </c>
      <c r="AH8649" t="s">
        <v>729</v>
      </c>
      <c r="AI8649">
        <v>0</v>
      </c>
      <c r="AJ8649" t="s">
        <v>729</v>
      </c>
      <c r="AK8649" t="s">
        <v>729</v>
      </c>
    </row>
    <row r="8650" spans="1:37" x14ac:dyDescent="0.3">
      <c r="A8650">
        <v>8649</v>
      </c>
      <c r="B8650">
        <v>75.2</v>
      </c>
      <c r="C8650">
        <v>35.621600000000001</v>
      </c>
      <c r="D8650">
        <v>9.9130699999999994</v>
      </c>
      <c r="E8650" t="s">
        <v>13004</v>
      </c>
      <c r="F8650" t="s">
        <v>13005</v>
      </c>
      <c r="G8650" t="s">
        <v>37</v>
      </c>
      <c r="H8650">
        <v>1990</v>
      </c>
      <c r="I8650">
        <v>24.4</v>
      </c>
      <c r="J8650">
        <v>13.9</v>
      </c>
      <c r="K8650">
        <v>66</v>
      </c>
      <c r="L8650">
        <v>15.25</v>
      </c>
      <c r="M8650">
        <v>35.700000000000003</v>
      </c>
      <c r="N8650">
        <v>14.8</v>
      </c>
      <c r="O8650">
        <v>20.9</v>
      </c>
      <c r="P8650">
        <v>22.8</v>
      </c>
      <c r="Q8650">
        <v>24.5</v>
      </c>
      <c r="R8650">
        <v>26.6</v>
      </c>
      <c r="S8650">
        <v>22.8</v>
      </c>
      <c r="T8650">
        <v>1308</v>
      </c>
      <c r="U8650">
        <v>282</v>
      </c>
      <c r="V8650">
        <v>0</v>
      </c>
      <c r="W8650">
        <v>97</v>
      </c>
      <c r="X8650">
        <v>765</v>
      </c>
      <c r="Y8650">
        <v>4</v>
      </c>
      <c r="Z8650">
        <v>50</v>
      </c>
      <c r="AA8650">
        <v>765</v>
      </c>
      <c r="AB8650">
        <v>35.718089999999997</v>
      </c>
      <c r="AC8650">
        <v>8.4227390000000003E-3</v>
      </c>
      <c r="AD8650">
        <v>7.5505449999999996</v>
      </c>
      <c r="AE8650">
        <v>0.17035690000000001</v>
      </c>
      <c r="AF8650">
        <v>860.80029999999999</v>
      </c>
      <c r="AG8650">
        <f>IFERROR(AH8650*0.1, "N/A")</f>
        <v>6.1000000000000005</v>
      </c>
      <c r="AH8650">
        <v>61</v>
      </c>
      <c r="AI8650">
        <v>235.85130000000001</v>
      </c>
      <c r="AJ8650">
        <v>34.910499999999999</v>
      </c>
      <c r="AK8650">
        <v>42.003439999999998</v>
      </c>
    </row>
    <row r="8651" spans="1:37" x14ac:dyDescent="0.3">
      <c r="A8651">
        <v>8650</v>
      </c>
      <c r="B8651">
        <v>13.9</v>
      </c>
      <c r="C8651">
        <v>40.659999999999997</v>
      </c>
      <c r="D8651">
        <v>9.92</v>
      </c>
      <c r="E8651" t="s">
        <v>13006</v>
      </c>
      <c r="F8651" t="s">
        <v>13007</v>
      </c>
      <c r="G8651" t="s">
        <v>39</v>
      </c>
      <c r="H8651">
        <v>1987</v>
      </c>
      <c r="I8651">
        <v>24.5</v>
      </c>
      <c r="J8651">
        <v>14.2</v>
      </c>
      <c r="K8651">
        <v>61</v>
      </c>
      <c r="L8651">
        <v>22.89</v>
      </c>
      <c r="M8651">
        <v>35.9</v>
      </c>
      <c r="N8651">
        <v>12.8</v>
      </c>
      <c r="O8651">
        <v>23.1</v>
      </c>
      <c r="P8651">
        <v>26</v>
      </c>
      <c r="Q8651">
        <v>22.2</v>
      </c>
      <c r="R8651">
        <v>27.2</v>
      </c>
      <c r="S8651">
        <v>21.4</v>
      </c>
      <c r="T8651">
        <v>579</v>
      </c>
      <c r="U8651">
        <v>150</v>
      </c>
      <c r="V8651">
        <v>8</v>
      </c>
      <c r="W8651">
        <v>78</v>
      </c>
      <c r="X8651">
        <v>295</v>
      </c>
      <c r="Y8651">
        <v>33</v>
      </c>
      <c r="Z8651">
        <v>162</v>
      </c>
      <c r="AA8651">
        <v>36</v>
      </c>
      <c r="AB8651">
        <v>31.93291</v>
      </c>
      <c r="AC8651">
        <v>3.1834719999999997E-2</v>
      </c>
      <c r="AD8651">
        <v>2.2791070000000002</v>
      </c>
      <c r="AE8651">
        <v>9.2609650000000002E-2</v>
      </c>
      <c r="AF8651">
        <v>834.89329999999995</v>
      </c>
      <c r="AG8651">
        <f>IFERROR(AH8651*0.1, "N/A")</f>
        <v>8.0567989999999998</v>
      </c>
      <c r="AH8651">
        <v>80.567989999999995</v>
      </c>
      <c r="AI8651">
        <v>66.041749999999993</v>
      </c>
      <c r="AJ8651">
        <v>30.872630000000001</v>
      </c>
      <c r="AK8651">
        <v>41.760759999999998</v>
      </c>
    </row>
    <row r="8652" spans="1:37" x14ac:dyDescent="0.3">
      <c r="A8652">
        <v>8651</v>
      </c>
      <c r="B8652">
        <v>31.8</v>
      </c>
      <c r="C8652">
        <v>40.376399999999997</v>
      </c>
      <c r="D8652">
        <v>9.9251100000000001</v>
      </c>
      <c r="E8652" t="s">
        <v>13008</v>
      </c>
      <c r="F8652" t="s">
        <v>13009</v>
      </c>
      <c r="G8652" t="s">
        <v>39</v>
      </c>
      <c r="H8652">
        <v>1977</v>
      </c>
      <c r="I8652">
        <v>25.8</v>
      </c>
      <c r="J8652">
        <v>14.7</v>
      </c>
      <c r="K8652">
        <v>62</v>
      </c>
      <c r="L8652">
        <v>23.26</v>
      </c>
      <c r="M8652">
        <v>37.308759999999999</v>
      </c>
      <c r="N8652">
        <v>13.60876</v>
      </c>
      <c r="O8652">
        <v>23.7</v>
      </c>
      <c r="P8652">
        <v>27.2</v>
      </c>
      <c r="Q8652">
        <v>23.4</v>
      </c>
      <c r="R8652">
        <v>28.508759999999999</v>
      </c>
      <c r="S8652">
        <v>22.6</v>
      </c>
      <c r="T8652">
        <v>497.82470000000001</v>
      </c>
      <c r="U8652">
        <v>139.91239999999999</v>
      </c>
      <c r="V8652">
        <v>7</v>
      </c>
      <c r="W8652">
        <v>84.912369999999996</v>
      </c>
      <c r="X8652">
        <v>260.82470000000001</v>
      </c>
      <c r="Y8652">
        <v>27</v>
      </c>
      <c r="Z8652">
        <v>139.91239999999999</v>
      </c>
      <c r="AA8652">
        <v>29</v>
      </c>
      <c r="AB8652">
        <v>0.86874910000000005</v>
      </c>
      <c r="AC8652">
        <v>8.0114749999999998E-2</v>
      </c>
      <c r="AD8652">
        <v>0.96002790000000005</v>
      </c>
      <c r="AE8652">
        <v>0.1935945</v>
      </c>
      <c r="AF8652">
        <v>578.42269999999996</v>
      </c>
      <c r="AG8652">
        <f>IFERROR(AH8652*0.1, "N/A")</f>
        <v>6.508763000000001</v>
      </c>
      <c r="AH8652">
        <v>65.087630000000004</v>
      </c>
      <c r="AI8652">
        <v>150.6293</v>
      </c>
      <c r="AJ8652">
        <v>36.175260000000002</v>
      </c>
      <c r="AK8652">
        <v>32</v>
      </c>
    </row>
    <row r="8653" spans="1:37" x14ac:dyDescent="0.3">
      <c r="A8653">
        <v>8652</v>
      </c>
      <c r="B8653">
        <v>0</v>
      </c>
      <c r="C8653">
        <v>39.630400000000002</v>
      </c>
      <c r="D8653">
        <v>9.9543599999999994</v>
      </c>
      <c r="E8653" t="s">
        <v>13010</v>
      </c>
      <c r="F8653" t="s">
        <v>13011</v>
      </c>
      <c r="G8653" t="s">
        <v>37</v>
      </c>
      <c r="H8653">
        <v>1976</v>
      </c>
      <c r="I8653">
        <v>13.8</v>
      </c>
      <c r="J8653">
        <v>12.9</v>
      </c>
      <c r="K8653">
        <v>69</v>
      </c>
      <c r="L8653">
        <v>13.9</v>
      </c>
      <c r="M8653">
        <v>22.9</v>
      </c>
      <c r="N8653">
        <v>4.4000000000000004</v>
      </c>
      <c r="O8653">
        <v>18.5</v>
      </c>
      <c r="P8653">
        <v>14.3</v>
      </c>
      <c r="Q8653">
        <v>11.9</v>
      </c>
      <c r="R8653">
        <v>15.5</v>
      </c>
      <c r="S8653">
        <v>11.9</v>
      </c>
      <c r="T8653">
        <v>1043</v>
      </c>
      <c r="U8653">
        <v>317</v>
      </c>
      <c r="V8653">
        <v>7</v>
      </c>
      <c r="W8653">
        <v>111</v>
      </c>
      <c r="X8653">
        <v>701</v>
      </c>
      <c r="Y8653">
        <v>37</v>
      </c>
      <c r="Z8653">
        <v>180</v>
      </c>
      <c r="AA8653">
        <v>37</v>
      </c>
      <c r="AB8653">
        <v>110.7521</v>
      </c>
      <c r="AC8653">
        <v>1.176134E-2</v>
      </c>
      <c r="AD8653">
        <v>4.0783699999999996</v>
      </c>
      <c r="AE8653">
        <v>0.57909580000000005</v>
      </c>
      <c r="AF8653">
        <v>2861.2310000000002</v>
      </c>
      <c r="AG8653">
        <f>IFERROR(AH8653*0.1, "N/A")</f>
        <v>6.6000000000000005</v>
      </c>
      <c r="AH8653">
        <v>66</v>
      </c>
      <c r="AI8653">
        <v>165.3947</v>
      </c>
      <c r="AJ8653">
        <v>38.110340000000001</v>
      </c>
      <c r="AK8653">
        <v>33.06897</v>
      </c>
    </row>
    <row r="8654" spans="1:37" x14ac:dyDescent="0.3">
      <c r="A8654">
        <v>8653</v>
      </c>
      <c r="B8654">
        <v>3</v>
      </c>
      <c r="C8654">
        <v>34.549999999999997</v>
      </c>
      <c r="D8654">
        <v>9.99</v>
      </c>
      <c r="E8654" t="s">
        <v>13012</v>
      </c>
      <c r="F8654" t="s">
        <v>13013</v>
      </c>
      <c r="G8654" t="s">
        <v>37</v>
      </c>
      <c r="H8654">
        <v>1987</v>
      </c>
      <c r="I8654">
        <v>21.9</v>
      </c>
      <c r="J8654">
        <v>12.4</v>
      </c>
      <c r="K8654">
        <v>68.416520000000006</v>
      </c>
      <c r="L8654">
        <v>15.7967</v>
      </c>
      <c r="M8654">
        <v>32.25835</v>
      </c>
      <c r="N8654">
        <v>14.3</v>
      </c>
      <c r="O8654">
        <v>17.958349999999999</v>
      </c>
      <c r="P8654">
        <v>20.399999999999999</v>
      </c>
      <c r="Q8654">
        <v>22.858350000000002</v>
      </c>
      <c r="R8654">
        <v>24.158349999999999</v>
      </c>
      <c r="S8654">
        <v>20.358350000000002</v>
      </c>
      <c r="T8654">
        <v>1191.0830000000001</v>
      </c>
      <c r="U8654">
        <v>219.41650000000001</v>
      </c>
      <c r="V8654">
        <v>0</v>
      </c>
      <c r="W8654">
        <v>87.416520000000006</v>
      </c>
      <c r="X8654">
        <v>634.24959999999999</v>
      </c>
      <c r="Y8654">
        <v>6</v>
      </c>
      <c r="Z8654">
        <v>78</v>
      </c>
      <c r="AA8654">
        <v>628.66610000000003</v>
      </c>
      <c r="AB8654">
        <v>21.320160000000001</v>
      </c>
      <c r="AC8654">
        <v>2.7842140000000001E-2</v>
      </c>
      <c r="AD8654">
        <v>4.3274910000000002</v>
      </c>
      <c r="AE8654">
        <v>0.47118870000000002</v>
      </c>
      <c r="AF8654">
        <v>1483.396</v>
      </c>
      <c r="AG8654">
        <f>IFERROR(AH8654*0.1, "N/A")</f>
        <v>6.2</v>
      </c>
      <c r="AH8654">
        <v>62</v>
      </c>
      <c r="AI8654">
        <v>221.9521</v>
      </c>
      <c r="AJ8654">
        <v>41.583480000000002</v>
      </c>
      <c r="AK8654">
        <v>32.583480000000002</v>
      </c>
    </row>
    <row r="8655" spans="1:37" x14ac:dyDescent="0.3">
      <c r="A8655">
        <v>8654</v>
      </c>
      <c r="B8655">
        <v>9.6999999999999993</v>
      </c>
      <c r="C8655">
        <v>39.9</v>
      </c>
      <c r="D8655">
        <v>10</v>
      </c>
      <c r="E8655" t="s">
        <v>13014</v>
      </c>
      <c r="F8655" t="s">
        <v>13015</v>
      </c>
      <c r="G8655" t="s">
        <v>37</v>
      </c>
      <c r="H8655">
        <v>1976</v>
      </c>
      <c r="I8655">
        <v>22.99296</v>
      </c>
      <c r="J8655">
        <v>14.9</v>
      </c>
      <c r="K8655">
        <v>62.144329999999997</v>
      </c>
      <c r="L8655">
        <v>19.725210000000001</v>
      </c>
      <c r="M8655">
        <v>34.92595</v>
      </c>
      <c r="N8655">
        <v>11.247769999999999</v>
      </c>
      <c r="O8655">
        <v>23.678180000000001</v>
      </c>
      <c r="P8655">
        <v>24.838139999999999</v>
      </c>
      <c r="Q8655">
        <v>21.092960000000001</v>
      </c>
      <c r="R8655">
        <v>25.385570000000001</v>
      </c>
      <c r="S8655">
        <v>20.34038</v>
      </c>
      <c r="T8655">
        <v>1200.933</v>
      </c>
      <c r="U8655">
        <v>249.4742</v>
      </c>
      <c r="V8655">
        <v>26</v>
      </c>
      <c r="W8655">
        <v>65</v>
      </c>
      <c r="X8655">
        <v>558.38490000000002</v>
      </c>
      <c r="Y8655">
        <v>88</v>
      </c>
      <c r="Z8655">
        <v>411.4588</v>
      </c>
      <c r="AA8655">
        <v>100</v>
      </c>
      <c r="AB8655">
        <v>7.1795359999999997</v>
      </c>
      <c r="AC8655">
        <v>2.5579890000000001E-2</v>
      </c>
      <c r="AD8655">
        <v>1.2402960000000001</v>
      </c>
      <c r="AE8655">
        <v>0.53581230000000002</v>
      </c>
      <c r="AF8655">
        <v>1269.8520000000001</v>
      </c>
      <c r="AG8655">
        <f>IFERROR(AH8655*0.1, "N/A")</f>
        <v>7.4855670000000005</v>
      </c>
      <c r="AH8655">
        <v>74.855670000000003</v>
      </c>
      <c r="AI8655">
        <v>170.57679999999999</v>
      </c>
      <c r="AJ8655">
        <v>36</v>
      </c>
      <c r="AK8655">
        <v>33.144329999999997</v>
      </c>
    </row>
    <row r="8656" spans="1:37" x14ac:dyDescent="0.3">
      <c r="A8656">
        <v>8655</v>
      </c>
      <c r="B8656">
        <v>0</v>
      </c>
      <c r="C8656">
        <v>39.25</v>
      </c>
      <c r="D8656">
        <v>10.0167</v>
      </c>
      <c r="E8656" t="s">
        <v>13016</v>
      </c>
      <c r="F8656" t="s">
        <v>13017</v>
      </c>
      <c r="G8656" t="s">
        <v>37</v>
      </c>
      <c r="H8656">
        <v>1976</v>
      </c>
      <c r="I8656">
        <v>14.809810000000001</v>
      </c>
      <c r="J8656">
        <v>13.1</v>
      </c>
      <c r="K8656">
        <v>72.569710000000001</v>
      </c>
      <c r="L8656">
        <v>12.23251</v>
      </c>
      <c r="M8656">
        <v>23.58623</v>
      </c>
      <c r="N8656">
        <v>5.6432010000000004</v>
      </c>
      <c r="O8656">
        <v>17.94303</v>
      </c>
      <c r="P8656">
        <v>14.4864</v>
      </c>
      <c r="Q8656">
        <v>13.309810000000001</v>
      </c>
      <c r="R8656">
        <v>16.543199999999999</v>
      </c>
      <c r="S8656">
        <v>13.309810000000001</v>
      </c>
      <c r="T8656">
        <v>995.13430000000005</v>
      </c>
      <c r="U8656">
        <v>310.47160000000002</v>
      </c>
      <c r="V8656">
        <v>6</v>
      </c>
      <c r="W8656">
        <v>108.9036</v>
      </c>
      <c r="X8656">
        <v>658.93979999999999</v>
      </c>
      <c r="Y8656">
        <v>32</v>
      </c>
      <c r="Z8656">
        <v>189.19450000000001</v>
      </c>
      <c r="AA8656">
        <v>32</v>
      </c>
      <c r="AB8656">
        <v>3.100171</v>
      </c>
      <c r="AC8656">
        <v>7.4056300000000005E-2</v>
      </c>
      <c r="AD8656">
        <v>1.60514</v>
      </c>
      <c r="AE8656">
        <v>0.68123310000000004</v>
      </c>
      <c r="AF8656">
        <v>2632.0909999999999</v>
      </c>
      <c r="AG8656">
        <f>IFERROR(AH8656*0.1, "N/A")</f>
        <v>7.1757310000000007</v>
      </c>
      <c r="AH8656">
        <v>71.757310000000004</v>
      </c>
      <c r="AI8656">
        <v>99.011080000000007</v>
      </c>
      <c r="AJ8656">
        <v>49.784849999999999</v>
      </c>
      <c r="AK8656">
        <v>25.24269</v>
      </c>
    </row>
    <row r="8657" spans="1:37" x14ac:dyDescent="0.3">
      <c r="A8657">
        <v>8656</v>
      </c>
      <c r="B8657">
        <v>8.6</v>
      </c>
      <c r="C8657">
        <v>35.210599999999999</v>
      </c>
      <c r="D8657">
        <v>10.0184</v>
      </c>
      <c r="E8657" t="s">
        <v>13018</v>
      </c>
      <c r="F8657" t="s">
        <v>13019</v>
      </c>
      <c r="G8657" t="s">
        <v>37</v>
      </c>
      <c r="H8657">
        <v>1988</v>
      </c>
      <c r="I8657">
        <v>22.9</v>
      </c>
      <c r="J8657">
        <v>13.2</v>
      </c>
      <c r="K8657">
        <v>69</v>
      </c>
      <c r="L8657">
        <v>14.97</v>
      </c>
      <c r="M8657">
        <v>33.799999999999997</v>
      </c>
      <c r="N8657">
        <v>14.8</v>
      </c>
      <c r="O8657">
        <v>19</v>
      </c>
      <c r="P8657">
        <v>21.4</v>
      </c>
      <c r="Q8657">
        <v>23.5</v>
      </c>
      <c r="R8657">
        <v>25.2</v>
      </c>
      <c r="S8657">
        <v>21.4</v>
      </c>
      <c r="T8657">
        <v>1355</v>
      </c>
      <c r="U8657">
        <v>281</v>
      </c>
      <c r="V8657">
        <v>0</v>
      </c>
      <c r="W8657">
        <v>96</v>
      </c>
      <c r="X8657">
        <v>776</v>
      </c>
      <c r="Y8657">
        <v>5</v>
      </c>
      <c r="Z8657">
        <v>59</v>
      </c>
      <c r="AA8657">
        <v>776</v>
      </c>
      <c r="AB8657">
        <v>26.6465</v>
      </c>
      <c r="AC8657">
        <v>1.6260489999999999E-2</v>
      </c>
      <c r="AD8657">
        <v>1.7317340000000001</v>
      </c>
      <c r="AE8657">
        <v>0.23231180000000001</v>
      </c>
      <c r="AF8657">
        <v>1170.855</v>
      </c>
      <c r="AG8657">
        <f>IFERROR(AH8657*0.1, "N/A")</f>
        <v>5.7247850000000007</v>
      </c>
      <c r="AH8657">
        <v>57.24785</v>
      </c>
      <c r="AI8657">
        <v>253.46729999999999</v>
      </c>
      <c r="AJ8657">
        <v>35.373489999999997</v>
      </c>
      <c r="AK8657">
        <v>40.129089999999998</v>
      </c>
    </row>
    <row r="8658" spans="1:37" x14ac:dyDescent="0.3">
      <c r="A8658">
        <v>8657</v>
      </c>
      <c r="B8658">
        <v>68.3</v>
      </c>
      <c r="C8658">
        <v>40.590000000000003</v>
      </c>
      <c r="D8658">
        <v>10.042999999999999</v>
      </c>
      <c r="E8658" t="s">
        <v>13020</v>
      </c>
      <c r="F8658" t="s">
        <v>13021</v>
      </c>
      <c r="G8658" t="s">
        <v>39</v>
      </c>
      <c r="H8658">
        <v>1996</v>
      </c>
      <c r="I8658">
        <v>25.2</v>
      </c>
      <c r="J8658">
        <v>14.1</v>
      </c>
      <c r="K8658">
        <v>60</v>
      </c>
      <c r="L8658">
        <v>23.8</v>
      </c>
      <c r="M8658">
        <v>36.799999999999997</v>
      </c>
      <c r="N8658">
        <v>13.5</v>
      </c>
      <c r="O8658">
        <v>23.3</v>
      </c>
      <c r="P8658">
        <v>26.9</v>
      </c>
      <c r="Q8658">
        <v>22.8</v>
      </c>
      <c r="R8658">
        <v>28.1</v>
      </c>
      <c r="S8658">
        <v>22</v>
      </c>
      <c r="T8658">
        <v>450</v>
      </c>
      <c r="U8658">
        <v>134</v>
      </c>
      <c r="V8658">
        <v>6</v>
      </c>
      <c r="W8658">
        <v>92</v>
      </c>
      <c r="X8658">
        <v>254</v>
      </c>
      <c r="Y8658">
        <v>20</v>
      </c>
      <c r="Z8658">
        <v>126</v>
      </c>
      <c r="AA8658">
        <v>22</v>
      </c>
      <c r="AB8658">
        <v>0.70892940000000004</v>
      </c>
      <c r="AC8658">
        <v>1.1752469999999999E-2</v>
      </c>
      <c r="AD8658">
        <v>0.85850309999999996</v>
      </c>
      <c r="AE8658">
        <v>0.29972720000000003</v>
      </c>
      <c r="AF8658">
        <v>568.37350000000004</v>
      </c>
      <c r="AG8658">
        <f>IFERROR(AH8658*0.1, "N/A")</f>
        <v>7.258864</v>
      </c>
      <c r="AH8658">
        <v>72.588639999999998</v>
      </c>
      <c r="AI8658">
        <v>93.784120000000001</v>
      </c>
      <c r="AJ8658">
        <v>29.97418</v>
      </c>
      <c r="AK8658">
        <v>39.18244</v>
      </c>
    </row>
    <row r="8659" spans="1:37" x14ac:dyDescent="0.3">
      <c r="A8659">
        <v>8658</v>
      </c>
      <c r="B8659">
        <v>8.6</v>
      </c>
      <c r="C8659">
        <v>38.216700000000003</v>
      </c>
      <c r="D8659">
        <v>10.050000000000001</v>
      </c>
      <c r="E8659" t="s">
        <v>13022</v>
      </c>
      <c r="F8659" t="s">
        <v>13023</v>
      </c>
      <c r="G8659" t="s">
        <v>37</v>
      </c>
      <c r="H8659">
        <v>1976</v>
      </c>
      <c r="I8659">
        <v>21.233789999999999</v>
      </c>
      <c r="J8659">
        <v>14.633279999999999</v>
      </c>
      <c r="K8659">
        <v>74.423670000000001</v>
      </c>
      <c r="L8659">
        <v>16.8231</v>
      </c>
      <c r="M8659">
        <v>31.733789999999999</v>
      </c>
      <c r="N8659">
        <v>12.1669</v>
      </c>
      <c r="O8659">
        <v>19.5669</v>
      </c>
      <c r="P8659">
        <v>19.961749999999999</v>
      </c>
      <c r="Q8659">
        <v>21.400510000000001</v>
      </c>
      <c r="R8659">
        <v>23.552489999999999</v>
      </c>
      <c r="S8659">
        <v>19.143049999999999</v>
      </c>
      <c r="T8659">
        <v>928.44600000000003</v>
      </c>
      <c r="U8659">
        <v>261.80619999999999</v>
      </c>
      <c r="V8659">
        <v>1</v>
      </c>
      <c r="W8659">
        <v>108.813</v>
      </c>
      <c r="X8659">
        <v>612.31899999999996</v>
      </c>
      <c r="Y8659">
        <v>15.75986</v>
      </c>
      <c r="Z8659">
        <v>151.32929999999999</v>
      </c>
      <c r="AA8659">
        <v>600.31899999999996</v>
      </c>
      <c r="AB8659">
        <v>197.54640000000001</v>
      </c>
      <c r="AC8659">
        <v>7.41705E-2</v>
      </c>
      <c r="AD8659">
        <v>11.64193</v>
      </c>
      <c r="AE8659">
        <v>0.52355410000000002</v>
      </c>
      <c r="AF8659">
        <v>1632.588</v>
      </c>
      <c r="AG8659">
        <f>IFERROR(AH8659*0.1, "N/A")</f>
        <v>6.2391080000000008</v>
      </c>
      <c r="AH8659">
        <v>62.391080000000002</v>
      </c>
      <c r="AI8659">
        <v>265.21609999999998</v>
      </c>
      <c r="AJ8659">
        <v>37.293309999999998</v>
      </c>
      <c r="AK8659">
        <v>39.391080000000002</v>
      </c>
    </row>
    <row r="8660" spans="1:37" x14ac:dyDescent="0.3">
      <c r="A8660">
        <v>8659</v>
      </c>
      <c r="B8660">
        <v>18</v>
      </c>
      <c r="C8660">
        <v>35.270000000000003</v>
      </c>
      <c r="D8660">
        <v>10.07</v>
      </c>
      <c r="E8660" t="s">
        <v>13024</v>
      </c>
      <c r="F8660" t="s">
        <v>13025</v>
      </c>
      <c r="G8660" t="s">
        <v>37</v>
      </c>
      <c r="H8660">
        <v>1987</v>
      </c>
      <c r="I8660">
        <v>24.7</v>
      </c>
      <c r="J8660">
        <v>13.6</v>
      </c>
      <c r="K8660">
        <v>68</v>
      </c>
      <c r="L8660">
        <v>15.48</v>
      </c>
      <c r="M8660">
        <v>36</v>
      </c>
      <c r="N8660">
        <v>16</v>
      </c>
      <c r="O8660">
        <v>20</v>
      </c>
      <c r="P8660">
        <v>23.1</v>
      </c>
      <c r="Q8660">
        <v>25.1</v>
      </c>
      <c r="R8660">
        <v>27</v>
      </c>
      <c r="S8660">
        <v>23.1</v>
      </c>
      <c r="T8660">
        <v>1239</v>
      </c>
      <c r="U8660">
        <v>266</v>
      </c>
      <c r="V8660">
        <v>0</v>
      </c>
      <c r="W8660">
        <v>97</v>
      </c>
      <c r="X8660">
        <v>720</v>
      </c>
      <c r="Y8660">
        <v>3</v>
      </c>
      <c r="Z8660">
        <v>49</v>
      </c>
      <c r="AA8660">
        <v>720</v>
      </c>
      <c r="AB8660">
        <v>0.67141729999999999</v>
      </c>
      <c r="AC8660">
        <v>0.46156069999999999</v>
      </c>
      <c r="AD8660">
        <v>1.0528690000000001</v>
      </c>
      <c r="AE8660">
        <v>0.20721629999999999</v>
      </c>
      <c r="AF8660">
        <v>857.65229999999997</v>
      </c>
      <c r="AG8660">
        <f>IFERROR(AH8660*0.1, "N/A")</f>
        <v>6.2733220000000003</v>
      </c>
      <c r="AH8660">
        <v>62.733220000000003</v>
      </c>
      <c r="AI8660">
        <v>37.267440000000001</v>
      </c>
      <c r="AJ8660">
        <v>35.483649999999997</v>
      </c>
      <c r="AK8660">
        <v>40.406199999999998</v>
      </c>
    </row>
    <row r="8661" spans="1:37" x14ac:dyDescent="0.3">
      <c r="A8661">
        <v>8660</v>
      </c>
      <c r="B8661">
        <v>14.2</v>
      </c>
      <c r="C8661">
        <v>40.596899999999998</v>
      </c>
      <c r="D8661">
        <v>10.085699999999999</v>
      </c>
      <c r="E8661" t="s">
        <v>13026</v>
      </c>
      <c r="F8661" t="s">
        <v>13027</v>
      </c>
      <c r="G8661" t="s">
        <v>39</v>
      </c>
      <c r="H8661">
        <v>1977</v>
      </c>
      <c r="I8661">
        <v>25.2</v>
      </c>
      <c r="J8661">
        <v>14</v>
      </c>
      <c r="K8661">
        <v>60</v>
      </c>
      <c r="L8661">
        <v>23.58</v>
      </c>
      <c r="M8661">
        <v>36.700000000000003</v>
      </c>
      <c r="N8661">
        <v>13.5</v>
      </c>
      <c r="O8661">
        <v>23.2</v>
      </c>
      <c r="P8661">
        <v>26.8</v>
      </c>
      <c r="Q8661">
        <v>22.8</v>
      </c>
      <c r="R8661">
        <v>28</v>
      </c>
      <c r="S8661">
        <v>22</v>
      </c>
      <c r="T8661">
        <v>450</v>
      </c>
      <c r="U8661">
        <v>134</v>
      </c>
      <c r="V8661">
        <v>6</v>
      </c>
      <c r="W8661">
        <v>93</v>
      </c>
      <c r="X8661">
        <v>255</v>
      </c>
      <c r="Y8661">
        <v>20</v>
      </c>
      <c r="Z8661">
        <v>127</v>
      </c>
      <c r="AA8661">
        <v>21</v>
      </c>
      <c r="AB8661">
        <v>1.8501570000000001</v>
      </c>
      <c r="AC8661">
        <v>8.4472829999999999E-3</v>
      </c>
      <c r="AD8661">
        <v>1.136026</v>
      </c>
      <c r="AE8661">
        <v>0.30135699999999999</v>
      </c>
      <c r="AF8661">
        <v>565.59450000000004</v>
      </c>
      <c r="AG8661">
        <f>IFERROR(AH8661*0.1, "N/A")</f>
        <v>7.3883160000000005</v>
      </c>
      <c r="AH8661">
        <v>73.883160000000004</v>
      </c>
      <c r="AI8661">
        <v>110.1437</v>
      </c>
      <c r="AJ8661">
        <v>37.542960000000001</v>
      </c>
      <c r="AK8661">
        <v>34.21649</v>
      </c>
    </row>
    <row r="8662" spans="1:37" x14ac:dyDescent="0.3">
      <c r="A8662">
        <v>8661</v>
      </c>
      <c r="B8662">
        <v>16.100000000000001</v>
      </c>
      <c r="C8662">
        <v>39.972799999999999</v>
      </c>
      <c r="D8662">
        <v>10.1059</v>
      </c>
      <c r="E8662" t="s">
        <v>13028</v>
      </c>
      <c r="F8662" t="s">
        <v>13029</v>
      </c>
      <c r="G8662" t="s">
        <v>37</v>
      </c>
      <c r="H8662">
        <v>1976</v>
      </c>
      <c r="I8662">
        <v>23.5</v>
      </c>
      <c r="J8662">
        <v>15</v>
      </c>
      <c r="K8662">
        <v>62</v>
      </c>
      <c r="L8662">
        <v>20.55</v>
      </c>
      <c r="M8662">
        <v>35.5</v>
      </c>
      <c r="N8662">
        <v>11.6</v>
      </c>
      <c r="O8662">
        <v>23.9</v>
      </c>
      <c r="P8662">
        <v>25.5</v>
      </c>
      <c r="Q8662">
        <v>21.5</v>
      </c>
      <c r="R8662">
        <v>26</v>
      </c>
      <c r="S8662">
        <v>20.7</v>
      </c>
      <c r="T8662">
        <v>1072</v>
      </c>
      <c r="U8662">
        <v>237</v>
      </c>
      <c r="V8662">
        <v>23</v>
      </c>
      <c r="W8662">
        <v>67</v>
      </c>
      <c r="X8662">
        <v>503</v>
      </c>
      <c r="Y8662">
        <v>77</v>
      </c>
      <c r="Z8662">
        <v>354</v>
      </c>
      <c r="AA8662">
        <v>88</v>
      </c>
      <c r="AB8662">
        <v>12.80486</v>
      </c>
      <c r="AC8662">
        <v>2.7404850000000001E-2</v>
      </c>
      <c r="AD8662">
        <v>4.0620409999999998</v>
      </c>
      <c r="AE8662">
        <v>0.3804553</v>
      </c>
      <c r="AF8662">
        <v>1150.0940000000001</v>
      </c>
      <c r="AG8662">
        <f>IFERROR(AH8662*0.1, "N/A")</f>
        <v>7.6831900000000006</v>
      </c>
      <c r="AH8662">
        <v>76.831900000000005</v>
      </c>
      <c r="AI8662">
        <v>258.64060000000001</v>
      </c>
      <c r="AJ8662">
        <v>36.831899999999997</v>
      </c>
      <c r="AK8662">
        <v>29.008579999999998</v>
      </c>
    </row>
    <row r="8663" spans="1:37" x14ac:dyDescent="0.3">
      <c r="A8663">
        <v>8662</v>
      </c>
      <c r="B8663">
        <v>32.799999999999997</v>
      </c>
      <c r="C8663">
        <v>40.592700000000001</v>
      </c>
      <c r="D8663">
        <v>10.1175</v>
      </c>
      <c r="E8663" t="s">
        <v>13030</v>
      </c>
      <c r="F8663" t="s">
        <v>13031</v>
      </c>
      <c r="G8663" t="s">
        <v>39</v>
      </c>
      <c r="H8663">
        <v>1995</v>
      </c>
      <c r="I8663">
        <v>25.10275</v>
      </c>
      <c r="J8663">
        <v>14</v>
      </c>
      <c r="K8663">
        <v>60</v>
      </c>
      <c r="L8663">
        <v>23.715050000000002</v>
      </c>
      <c r="M8663">
        <v>36.700000000000003</v>
      </c>
      <c r="N8663">
        <v>13.5</v>
      </c>
      <c r="O8663">
        <v>23.2</v>
      </c>
      <c r="P8663">
        <v>26.8</v>
      </c>
      <c r="Q8663">
        <v>22.8</v>
      </c>
      <c r="R8663">
        <v>27.9</v>
      </c>
      <c r="S8663">
        <v>21.902750000000001</v>
      </c>
      <c r="T8663">
        <v>450.02749999999997</v>
      </c>
      <c r="U8663">
        <v>134</v>
      </c>
      <c r="V8663">
        <v>6</v>
      </c>
      <c r="W8663">
        <v>93</v>
      </c>
      <c r="X8663">
        <v>256</v>
      </c>
      <c r="Y8663">
        <v>20</v>
      </c>
      <c r="Z8663">
        <v>128</v>
      </c>
      <c r="AA8663">
        <v>21</v>
      </c>
      <c r="AB8663">
        <v>0.2653027</v>
      </c>
      <c r="AC8663">
        <v>15776.11</v>
      </c>
      <c r="AD8663">
        <v>0.77189010000000002</v>
      </c>
      <c r="AE8663">
        <v>0.34230870000000002</v>
      </c>
      <c r="AF8663">
        <v>565.81960000000004</v>
      </c>
      <c r="AG8663">
        <f>IFERROR(AH8663*0.1, "N/A")</f>
        <v>7.1343639999999997</v>
      </c>
      <c r="AH8663">
        <v>71.343639999999994</v>
      </c>
      <c r="AI8663">
        <v>57.11506</v>
      </c>
      <c r="AJ8663">
        <v>37.671819999999997</v>
      </c>
      <c r="AK8663">
        <v>35.671819999999997</v>
      </c>
    </row>
    <row r="8664" spans="1:37" x14ac:dyDescent="0.3">
      <c r="A8664">
        <v>8663</v>
      </c>
      <c r="B8664">
        <v>63.4</v>
      </c>
      <c r="C8664">
        <v>35.378399999999999</v>
      </c>
      <c r="D8664">
        <v>10.1257</v>
      </c>
      <c r="E8664" t="s">
        <v>13032</v>
      </c>
      <c r="F8664" t="s">
        <v>13033</v>
      </c>
      <c r="G8664" t="s">
        <v>37</v>
      </c>
      <c r="H8664">
        <v>1998</v>
      </c>
      <c r="I8664">
        <v>26.199660000000002</v>
      </c>
      <c r="J8664">
        <v>14</v>
      </c>
      <c r="K8664">
        <v>67</v>
      </c>
      <c r="L8664">
        <v>15.56959</v>
      </c>
      <c r="M8664">
        <v>37.799309999999998</v>
      </c>
      <c r="N8664">
        <v>16.999659999999999</v>
      </c>
      <c r="O8664">
        <v>20.799659999999999</v>
      </c>
      <c r="P8664">
        <v>24.59966</v>
      </c>
      <c r="Q8664">
        <v>26.499659999999999</v>
      </c>
      <c r="R8664">
        <v>28.499659999999999</v>
      </c>
      <c r="S8664">
        <v>24.59966</v>
      </c>
      <c r="T8664">
        <v>1155.0139999999999</v>
      </c>
      <c r="U8664">
        <v>256.0034</v>
      </c>
      <c r="V8664">
        <v>0</v>
      </c>
      <c r="W8664">
        <v>98</v>
      </c>
      <c r="X8664">
        <v>683.00689999999997</v>
      </c>
      <c r="Y8664">
        <v>2</v>
      </c>
      <c r="Z8664">
        <v>42</v>
      </c>
      <c r="AA8664">
        <v>683.00689999999997</v>
      </c>
      <c r="AB8664">
        <v>5.9366950000000003</v>
      </c>
      <c r="AC8664">
        <v>0.28464990000000001</v>
      </c>
      <c r="AD8664">
        <v>2.2738610000000001</v>
      </c>
      <c r="AE8664">
        <v>0.1167889</v>
      </c>
      <c r="AF8664">
        <v>608.37049999999999</v>
      </c>
      <c r="AG8664">
        <f>IFERROR(AH8664*0.1, "N/A")</f>
        <v>6.9</v>
      </c>
      <c r="AH8664">
        <v>69</v>
      </c>
      <c r="AI8664">
        <v>141.44990000000001</v>
      </c>
      <c r="AJ8664">
        <v>36</v>
      </c>
      <c r="AK8664">
        <v>36</v>
      </c>
    </row>
    <row r="8665" spans="1:37" x14ac:dyDescent="0.3">
      <c r="A8665">
        <v>8664</v>
      </c>
      <c r="B8665">
        <v>23.3</v>
      </c>
      <c r="C8665">
        <v>40.655200000000001</v>
      </c>
      <c r="D8665">
        <v>10.1564</v>
      </c>
      <c r="E8665" t="s">
        <v>13034</v>
      </c>
      <c r="F8665" t="s">
        <v>13035</v>
      </c>
      <c r="G8665" t="s">
        <v>39</v>
      </c>
      <c r="H8665">
        <v>1996</v>
      </c>
      <c r="I8665">
        <v>24.9</v>
      </c>
      <c r="J8665">
        <v>13.9</v>
      </c>
      <c r="K8665">
        <v>60</v>
      </c>
      <c r="L8665">
        <v>23.68</v>
      </c>
      <c r="M8665">
        <v>36.4</v>
      </c>
      <c r="N8665">
        <v>13.4</v>
      </c>
      <c r="O8665">
        <v>23</v>
      </c>
      <c r="P8665">
        <v>26.6</v>
      </c>
      <c r="Q8665">
        <v>22.6</v>
      </c>
      <c r="R8665">
        <v>27.7</v>
      </c>
      <c r="S8665">
        <v>21.7</v>
      </c>
      <c r="T8665">
        <v>461</v>
      </c>
      <c r="U8665">
        <v>136</v>
      </c>
      <c r="V8665">
        <v>6</v>
      </c>
      <c r="W8665">
        <v>92</v>
      </c>
      <c r="X8665">
        <v>261</v>
      </c>
      <c r="Y8665">
        <v>20</v>
      </c>
      <c r="Z8665">
        <v>131</v>
      </c>
      <c r="AA8665">
        <v>22</v>
      </c>
      <c r="AB8665">
        <v>6.3483340000000004</v>
      </c>
      <c r="AC8665">
        <v>1.215401E-2</v>
      </c>
      <c r="AD8665">
        <v>1.2676780000000001</v>
      </c>
      <c r="AE8665">
        <v>0.1144945</v>
      </c>
      <c r="AF8665">
        <v>615.04300000000001</v>
      </c>
      <c r="AG8665">
        <f>IFERROR(AH8665*0.1, "N/A")</f>
        <v>7.9993120000000006</v>
      </c>
      <c r="AH8665">
        <v>79.993120000000005</v>
      </c>
      <c r="AI8665">
        <v>239.51429999999999</v>
      </c>
      <c r="AJ8665">
        <v>24</v>
      </c>
      <c r="AK8665">
        <v>43.993119999999998</v>
      </c>
    </row>
    <row r="8666" spans="1:37" x14ac:dyDescent="0.3">
      <c r="A8666">
        <v>8665</v>
      </c>
      <c r="B8666">
        <v>26.9</v>
      </c>
      <c r="C8666">
        <v>40.563499999999998</v>
      </c>
      <c r="D8666">
        <v>10.1614</v>
      </c>
      <c r="E8666" t="s">
        <v>13036</v>
      </c>
      <c r="F8666" t="s">
        <v>13037</v>
      </c>
      <c r="G8666" t="s">
        <v>39</v>
      </c>
      <c r="H8666">
        <v>1977</v>
      </c>
      <c r="I8666">
        <v>25.2</v>
      </c>
      <c r="J8666">
        <v>14</v>
      </c>
      <c r="K8666">
        <v>60</v>
      </c>
      <c r="L8666">
        <v>23.74</v>
      </c>
      <c r="M8666">
        <v>36.799999999999997</v>
      </c>
      <c r="N8666">
        <v>13.6</v>
      </c>
      <c r="O8666">
        <v>23.2</v>
      </c>
      <c r="P8666">
        <v>26.9</v>
      </c>
      <c r="Q8666">
        <v>22.9</v>
      </c>
      <c r="R8666">
        <v>28.1</v>
      </c>
      <c r="S8666">
        <v>22</v>
      </c>
      <c r="T8666">
        <v>457</v>
      </c>
      <c r="U8666">
        <v>136</v>
      </c>
      <c r="V8666">
        <v>6</v>
      </c>
      <c r="W8666">
        <v>92</v>
      </c>
      <c r="X8666">
        <v>259</v>
      </c>
      <c r="Y8666">
        <v>20</v>
      </c>
      <c r="Z8666">
        <v>130</v>
      </c>
      <c r="AA8666">
        <v>22</v>
      </c>
      <c r="AB8666">
        <v>1.499844</v>
      </c>
      <c r="AC8666">
        <v>1.0163200000000001E-2</v>
      </c>
      <c r="AD8666">
        <v>1.104654</v>
      </c>
      <c r="AE8666">
        <v>0.39007599999999998</v>
      </c>
      <c r="AF8666">
        <v>564.61749999999995</v>
      </c>
      <c r="AG8666">
        <f>IFERROR(AH8666*0.1, "N/A")</f>
        <v>7.6758150000000001</v>
      </c>
      <c r="AH8666">
        <v>76.758150000000001</v>
      </c>
      <c r="AI8666">
        <v>84.713560000000001</v>
      </c>
      <c r="AJ8666">
        <v>34</v>
      </c>
      <c r="AK8666">
        <v>36.758150000000001</v>
      </c>
    </row>
    <row r="8667" spans="1:37" x14ac:dyDescent="0.3">
      <c r="A8667">
        <v>8666</v>
      </c>
      <c r="B8667">
        <v>0</v>
      </c>
      <c r="C8667">
        <v>40.563499999999998</v>
      </c>
      <c r="D8667">
        <v>10.1614</v>
      </c>
      <c r="E8667" t="s">
        <v>13036</v>
      </c>
      <c r="F8667" t="s">
        <v>13038</v>
      </c>
      <c r="G8667" t="s">
        <v>37</v>
      </c>
      <c r="H8667">
        <v>1977</v>
      </c>
      <c r="I8667">
        <v>25.2</v>
      </c>
      <c r="J8667">
        <v>14</v>
      </c>
      <c r="K8667">
        <v>60</v>
      </c>
      <c r="L8667">
        <v>23.74</v>
      </c>
      <c r="M8667">
        <v>36.799999999999997</v>
      </c>
      <c r="N8667">
        <v>13.6</v>
      </c>
      <c r="O8667">
        <v>23.2</v>
      </c>
      <c r="P8667">
        <v>26.9</v>
      </c>
      <c r="Q8667">
        <v>22.9</v>
      </c>
      <c r="R8667">
        <v>28.1</v>
      </c>
      <c r="S8667">
        <v>22</v>
      </c>
      <c r="T8667">
        <v>457</v>
      </c>
      <c r="U8667">
        <v>136</v>
      </c>
      <c r="V8667">
        <v>6</v>
      </c>
      <c r="W8667">
        <v>92</v>
      </c>
      <c r="X8667">
        <v>259</v>
      </c>
      <c r="Y8667">
        <v>20</v>
      </c>
      <c r="Z8667">
        <v>130</v>
      </c>
      <c r="AA8667">
        <v>22</v>
      </c>
      <c r="AB8667">
        <v>1.499844</v>
      </c>
      <c r="AC8667">
        <v>1.0163200000000001E-2</v>
      </c>
      <c r="AD8667">
        <v>1.104654</v>
      </c>
      <c r="AE8667">
        <v>0.39007599999999998</v>
      </c>
      <c r="AF8667">
        <v>564.61749999999995</v>
      </c>
      <c r="AG8667">
        <f>IFERROR(AH8667*0.1, "N/A")</f>
        <v>7.6758150000000001</v>
      </c>
      <c r="AH8667">
        <v>76.758150000000001</v>
      </c>
      <c r="AI8667">
        <v>84.713560000000001</v>
      </c>
      <c r="AJ8667">
        <v>34</v>
      </c>
      <c r="AK8667">
        <v>36.758150000000001</v>
      </c>
    </row>
    <row r="8668" spans="1:37" x14ac:dyDescent="0.3">
      <c r="A8668">
        <v>8667</v>
      </c>
      <c r="B8668">
        <v>23.3</v>
      </c>
      <c r="C8668">
        <v>40.563299999999998</v>
      </c>
      <c r="D8668">
        <v>10.1617</v>
      </c>
      <c r="E8668" t="s">
        <v>13039</v>
      </c>
      <c r="F8668" t="s">
        <v>13040</v>
      </c>
      <c r="G8668" t="s">
        <v>37</v>
      </c>
      <c r="H8668">
        <v>1980</v>
      </c>
      <c r="I8668">
        <v>25.2</v>
      </c>
      <c r="J8668">
        <v>14</v>
      </c>
      <c r="K8668">
        <v>60</v>
      </c>
      <c r="L8668">
        <v>23.74</v>
      </c>
      <c r="M8668">
        <v>36.799999999999997</v>
      </c>
      <c r="N8668">
        <v>13.6</v>
      </c>
      <c r="O8668">
        <v>23.2</v>
      </c>
      <c r="P8668">
        <v>26.9</v>
      </c>
      <c r="Q8668">
        <v>22.9</v>
      </c>
      <c r="R8668">
        <v>28.1</v>
      </c>
      <c r="S8668">
        <v>22</v>
      </c>
      <c r="T8668">
        <v>457</v>
      </c>
      <c r="U8668">
        <v>136</v>
      </c>
      <c r="V8668">
        <v>6</v>
      </c>
      <c r="W8668">
        <v>92</v>
      </c>
      <c r="X8668">
        <v>259</v>
      </c>
      <c r="Y8668">
        <v>20</v>
      </c>
      <c r="Z8668">
        <v>130</v>
      </c>
      <c r="AA8668">
        <v>22</v>
      </c>
      <c r="AB8668">
        <v>1.2962400000000001</v>
      </c>
      <c r="AC8668">
        <v>281.40539999999999</v>
      </c>
      <c r="AD8668">
        <v>1.0499069999999999</v>
      </c>
      <c r="AE8668">
        <v>0.39011079999999998</v>
      </c>
      <c r="AF8668">
        <v>564.71180000000004</v>
      </c>
      <c r="AG8668">
        <f>IFERROR(AH8668*0.1, "N/A")</f>
        <v>7.6502570000000008</v>
      </c>
      <c r="AH8668">
        <v>76.502570000000006</v>
      </c>
      <c r="AI8668">
        <v>87.030479999999997</v>
      </c>
      <c r="AJ8668">
        <v>33.970840000000003</v>
      </c>
      <c r="AK8668">
        <v>36.540309999999998</v>
      </c>
    </row>
    <row r="8669" spans="1:37" x14ac:dyDescent="0.3">
      <c r="A8669">
        <v>8668</v>
      </c>
      <c r="B8669">
        <v>3.7</v>
      </c>
      <c r="C8669">
        <v>40.645299999999999</v>
      </c>
      <c r="D8669">
        <v>10.166399999999999</v>
      </c>
      <c r="E8669" t="s">
        <v>13041</v>
      </c>
      <c r="F8669" t="s">
        <v>13042</v>
      </c>
      <c r="G8669" t="s">
        <v>39</v>
      </c>
      <c r="H8669">
        <v>1994</v>
      </c>
      <c r="I8669">
        <v>24.9</v>
      </c>
      <c r="J8669">
        <v>13.9</v>
      </c>
      <c r="K8669">
        <v>60</v>
      </c>
      <c r="L8669">
        <v>23.780840000000001</v>
      </c>
      <c r="M8669">
        <v>36.5</v>
      </c>
      <c r="N8669">
        <v>13.4</v>
      </c>
      <c r="O8669">
        <v>23.1</v>
      </c>
      <c r="P8669">
        <v>26.6</v>
      </c>
      <c r="Q8669">
        <v>22.6</v>
      </c>
      <c r="R8669">
        <v>27.764890000000001</v>
      </c>
      <c r="S8669">
        <v>21.7</v>
      </c>
      <c r="T8669">
        <v>463.7022</v>
      </c>
      <c r="U8669">
        <v>137</v>
      </c>
      <c r="V8669">
        <v>6</v>
      </c>
      <c r="W8669">
        <v>93</v>
      </c>
      <c r="X8669">
        <v>263.35109999999997</v>
      </c>
      <c r="Y8669">
        <v>20</v>
      </c>
      <c r="Z8669">
        <v>132</v>
      </c>
      <c r="AA8669">
        <v>22</v>
      </c>
      <c r="AB8669">
        <v>33.211370000000002</v>
      </c>
      <c r="AC8669">
        <v>1.0487750000000001E-2</v>
      </c>
      <c r="AD8669">
        <v>1.024078</v>
      </c>
      <c r="AE8669">
        <v>0.101468</v>
      </c>
      <c r="AF8669">
        <v>615.97249999999997</v>
      </c>
      <c r="AG8669">
        <f>IFERROR(AH8669*0.1, "N/A")</f>
        <v>8.0351119999999998</v>
      </c>
      <c r="AH8669">
        <v>80.351119999999995</v>
      </c>
      <c r="AI8669">
        <v>268.76560000000001</v>
      </c>
      <c r="AJ8669">
        <v>24.643719999999998</v>
      </c>
      <c r="AK8669">
        <v>44.356279999999998</v>
      </c>
    </row>
    <row r="8670" spans="1:37" x14ac:dyDescent="0.3">
      <c r="A8670">
        <v>8669</v>
      </c>
      <c r="B8670">
        <v>47.9</v>
      </c>
      <c r="C8670">
        <v>40.646999999999998</v>
      </c>
      <c r="D8670">
        <v>10.166600000000001</v>
      </c>
      <c r="E8670" t="s">
        <v>13043</v>
      </c>
      <c r="F8670" t="s">
        <v>13044</v>
      </c>
      <c r="G8670" t="s">
        <v>39</v>
      </c>
      <c r="H8670">
        <v>1983</v>
      </c>
      <c r="I8670">
        <v>24.9</v>
      </c>
      <c r="J8670">
        <v>13.9</v>
      </c>
      <c r="K8670">
        <v>60</v>
      </c>
      <c r="L8670">
        <v>23.8034</v>
      </c>
      <c r="M8670">
        <v>36.5</v>
      </c>
      <c r="N8670">
        <v>13.4</v>
      </c>
      <c r="O8670">
        <v>23.1</v>
      </c>
      <c r="P8670">
        <v>26.6</v>
      </c>
      <c r="Q8670">
        <v>22.6</v>
      </c>
      <c r="R8670">
        <v>27.780999999999999</v>
      </c>
      <c r="S8670">
        <v>21.7</v>
      </c>
      <c r="T8670">
        <v>463.38</v>
      </c>
      <c r="U8670">
        <v>137</v>
      </c>
      <c r="V8670">
        <v>6</v>
      </c>
      <c r="W8670">
        <v>93</v>
      </c>
      <c r="X8670">
        <v>263.19</v>
      </c>
      <c r="Y8670">
        <v>20</v>
      </c>
      <c r="Z8670">
        <v>132</v>
      </c>
      <c r="AA8670">
        <v>22</v>
      </c>
      <c r="AB8670">
        <v>18.807780000000001</v>
      </c>
      <c r="AC8670">
        <v>8.7215279999999992E-3</v>
      </c>
      <c r="AD8670">
        <v>0.68289069999999996</v>
      </c>
      <c r="AE8670">
        <v>0.101468</v>
      </c>
      <c r="AF8670">
        <v>618.18309999999997</v>
      </c>
      <c r="AG8670">
        <f>IFERROR(AH8670*0.1, "N/A")</f>
        <v>8.1</v>
      </c>
      <c r="AH8670">
        <v>81</v>
      </c>
      <c r="AI8670">
        <v>207.79069999999999</v>
      </c>
      <c r="AJ8670">
        <v>23</v>
      </c>
      <c r="AK8670">
        <v>46</v>
      </c>
    </row>
    <row r="8671" spans="1:37" x14ac:dyDescent="0.3">
      <c r="A8671">
        <v>8670</v>
      </c>
      <c r="B8671">
        <v>14.2</v>
      </c>
      <c r="C8671">
        <v>40.65</v>
      </c>
      <c r="D8671">
        <v>10.17</v>
      </c>
      <c r="E8671" t="s">
        <v>13045</v>
      </c>
      <c r="F8671" t="s">
        <v>13046</v>
      </c>
      <c r="G8671" t="s">
        <v>39</v>
      </c>
      <c r="H8671">
        <v>1987</v>
      </c>
      <c r="I8671">
        <v>24.979379999999999</v>
      </c>
      <c r="J8671">
        <v>13.9</v>
      </c>
      <c r="K8671">
        <v>60</v>
      </c>
      <c r="L8671">
        <v>23.814119999999999</v>
      </c>
      <c r="M8671">
        <v>36.5</v>
      </c>
      <c r="N8671">
        <v>13.479380000000001</v>
      </c>
      <c r="O8671">
        <v>23.020620000000001</v>
      </c>
      <c r="P8671">
        <v>26.679379999999998</v>
      </c>
      <c r="Q8671">
        <v>22.679379999999998</v>
      </c>
      <c r="R8671">
        <v>27.8</v>
      </c>
      <c r="S8671">
        <v>21.77938</v>
      </c>
      <c r="T8671">
        <v>457.44330000000002</v>
      </c>
      <c r="U8671">
        <v>135.41239999999999</v>
      </c>
      <c r="V8671">
        <v>6</v>
      </c>
      <c r="W8671">
        <v>92.206190000000007</v>
      </c>
      <c r="X8671">
        <v>259.82470000000001</v>
      </c>
      <c r="Y8671">
        <v>20</v>
      </c>
      <c r="Z8671">
        <v>128.82470000000001</v>
      </c>
      <c r="AA8671">
        <v>22</v>
      </c>
      <c r="AB8671">
        <v>14.73109</v>
      </c>
      <c r="AC8671">
        <v>1.564662E-2</v>
      </c>
      <c r="AD8671">
        <v>0.60396320000000003</v>
      </c>
      <c r="AE8671">
        <v>0.1036132</v>
      </c>
      <c r="AF8671">
        <v>612.52409999999998</v>
      </c>
      <c r="AG8671">
        <f>IFERROR(AH8671*0.1, "N/A")</f>
        <v>8.0438140000000011</v>
      </c>
      <c r="AH8671">
        <v>80.438140000000004</v>
      </c>
      <c r="AI8671">
        <v>136.6326</v>
      </c>
      <c r="AJ8671">
        <v>23.109970000000001</v>
      </c>
      <c r="AK8671">
        <v>46.206189999999999</v>
      </c>
    </row>
    <row r="8672" spans="1:37" x14ac:dyDescent="0.3">
      <c r="A8672">
        <v>8671</v>
      </c>
      <c r="B8672">
        <v>17.600000000000001</v>
      </c>
      <c r="C8672">
        <v>34.97</v>
      </c>
      <c r="D8672">
        <v>10.19</v>
      </c>
      <c r="E8672" t="s">
        <v>13047</v>
      </c>
      <c r="F8672" t="s">
        <v>13048</v>
      </c>
      <c r="G8672" t="s">
        <v>37</v>
      </c>
      <c r="H8672">
        <v>1987</v>
      </c>
      <c r="I8672">
        <v>24.4</v>
      </c>
      <c r="J8672">
        <v>13.3</v>
      </c>
      <c r="K8672">
        <v>68</v>
      </c>
      <c r="L8672">
        <v>16.260000000000002</v>
      </c>
      <c r="M8672">
        <v>35.5</v>
      </c>
      <c r="N8672">
        <v>16.2</v>
      </c>
      <c r="O8672">
        <v>19.3</v>
      </c>
      <c r="P8672">
        <v>22.6</v>
      </c>
      <c r="Q8672">
        <v>25.2</v>
      </c>
      <c r="R8672">
        <v>26.8</v>
      </c>
      <c r="S8672">
        <v>22.6</v>
      </c>
      <c r="T8672">
        <v>1200</v>
      </c>
      <c r="U8672">
        <v>253</v>
      </c>
      <c r="V8672">
        <v>0</v>
      </c>
      <c r="W8672">
        <v>94</v>
      </c>
      <c r="X8672">
        <v>685</v>
      </c>
      <c r="Y8672">
        <v>3</v>
      </c>
      <c r="Z8672">
        <v>53</v>
      </c>
      <c r="AA8672">
        <v>685</v>
      </c>
      <c r="AB8672">
        <v>13.130409999999999</v>
      </c>
      <c r="AC8672">
        <v>1.1857110000000001E-2</v>
      </c>
      <c r="AD8672">
        <v>1.9736929999999999</v>
      </c>
      <c r="AE8672">
        <v>0.32234170000000001</v>
      </c>
      <c r="AF8672">
        <v>988.79549999999995</v>
      </c>
      <c r="AG8672">
        <f>IFERROR(AH8672*0.1, "N/A")</f>
        <v>6.1204470000000004</v>
      </c>
      <c r="AH8672">
        <v>61.204470000000001</v>
      </c>
      <c r="AI8672">
        <v>234.08529999999999</v>
      </c>
      <c r="AJ8672">
        <v>40.898629999999997</v>
      </c>
      <c r="AK8672">
        <v>34.90034</v>
      </c>
    </row>
    <row r="8673" spans="1:37" x14ac:dyDescent="0.3">
      <c r="A8673">
        <v>8672</v>
      </c>
      <c r="B8673">
        <v>0</v>
      </c>
      <c r="C8673">
        <v>38.033299999999997</v>
      </c>
      <c r="D8673">
        <v>10.2333</v>
      </c>
      <c r="E8673" t="s">
        <v>13049</v>
      </c>
      <c r="F8673" t="s">
        <v>13050</v>
      </c>
      <c r="G8673" t="s">
        <v>37</v>
      </c>
      <c r="H8673">
        <v>1976</v>
      </c>
      <c r="I8673">
        <v>16.600000000000001</v>
      </c>
      <c r="J8673">
        <v>12.91086</v>
      </c>
      <c r="K8673">
        <v>73</v>
      </c>
      <c r="L8673">
        <v>13.61552</v>
      </c>
      <c r="M8673">
        <v>25.837070000000001</v>
      </c>
      <c r="N8673">
        <v>8.237069</v>
      </c>
      <c r="O8673">
        <v>17.600000000000001</v>
      </c>
      <c r="P8673">
        <v>14.91086</v>
      </c>
      <c r="Q8673">
        <v>16.010860000000001</v>
      </c>
      <c r="R8673">
        <v>18.437069999999999</v>
      </c>
      <c r="S8673">
        <v>14.91086</v>
      </c>
      <c r="T8673">
        <v>1184.655</v>
      </c>
      <c r="U8673">
        <v>313</v>
      </c>
      <c r="V8673">
        <v>6</v>
      </c>
      <c r="W8673">
        <v>101</v>
      </c>
      <c r="X8673">
        <v>747.76379999999995</v>
      </c>
      <c r="Y8673">
        <v>26</v>
      </c>
      <c r="Z8673">
        <v>197</v>
      </c>
      <c r="AA8673">
        <v>747.76379999999995</v>
      </c>
      <c r="AB8673">
        <v>0.75669450000000005</v>
      </c>
      <c r="AC8673">
        <v>14.91996</v>
      </c>
      <c r="AD8673">
        <v>0.75516369999999999</v>
      </c>
      <c r="AE8673">
        <v>0.64531139999999998</v>
      </c>
      <c r="AF8673">
        <v>2410.5529999999999</v>
      </c>
      <c r="AG8673">
        <f>IFERROR(AH8673*0.1, "N/A")</f>
        <v>6.3851720000000007</v>
      </c>
      <c r="AH8673">
        <v>63.85172</v>
      </c>
      <c r="AI8673">
        <v>166.9109</v>
      </c>
      <c r="AJ8673">
        <v>52.943100000000001</v>
      </c>
      <c r="AK8673">
        <v>21.262070000000001</v>
      </c>
    </row>
    <row r="8674" spans="1:37" x14ac:dyDescent="0.3">
      <c r="A8674">
        <v>8673</v>
      </c>
      <c r="B8674">
        <v>2.9</v>
      </c>
      <c r="C8674">
        <v>37.938800000000001</v>
      </c>
      <c r="D8674">
        <v>10.2498</v>
      </c>
      <c r="E8674" t="s">
        <v>13051</v>
      </c>
      <c r="F8674" t="s">
        <v>13052</v>
      </c>
      <c r="G8674" t="s">
        <v>37</v>
      </c>
      <c r="H8674">
        <v>1976</v>
      </c>
      <c r="I8674">
        <v>16.053699999999999</v>
      </c>
      <c r="J8674">
        <v>12.9</v>
      </c>
      <c r="K8674">
        <v>74</v>
      </c>
      <c r="L8674">
        <v>12.984080000000001</v>
      </c>
      <c r="M8674">
        <v>25.253699999999998</v>
      </c>
      <c r="N8674">
        <v>7.853701</v>
      </c>
      <c r="O8674">
        <v>17.399999999999999</v>
      </c>
      <c r="P8674">
        <v>14.553699999999999</v>
      </c>
      <c r="Q8674">
        <v>15.553699999999999</v>
      </c>
      <c r="R8674">
        <v>17.907399999999999</v>
      </c>
      <c r="S8674">
        <v>14.553699999999999</v>
      </c>
      <c r="T8674">
        <v>1233.9259999999999</v>
      </c>
      <c r="U8674">
        <v>313</v>
      </c>
      <c r="V8674">
        <v>8</v>
      </c>
      <c r="W8674">
        <v>99</v>
      </c>
      <c r="X8674">
        <v>771.46299999999997</v>
      </c>
      <c r="Y8674">
        <v>33</v>
      </c>
      <c r="Z8674">
        <v>202.46299999999999</v>
      </c>
      <c r="AA8674">
        <v>771.46299999999997</v>
      </c>
      <c r="AB8674">
        <v>22.351379999999999</v>
      </c>
      <c r="AC8674">
        <v>1.1658150000000001E-2</v>
      </c>
      <c r="AD8674">
        <v>4.753285</v>
      </c>
      <c r="AE8674">
        <v>0.57331010000000004</v>
      </c>
      <c r="AF8674">
        <v>2489.5230000000001</v>
      </c>
      <c r="AG8674">
        <f>IFERROR(AH8674*0.1, "N/A")</f>
        <v>6.5965580000000008</v>
      </c>
      <c r="AH8674">
        <v>65.965580000000003</v>
      </c>
      <c r="AI8674">
        <v>71.738799999999998</v>
      </c>
      <c r="AJ8674">
        <v>46.896729999999998</v>
      </c>
      <c r="AK8674">
        <v>24.068850000000001</v>
      </c>
    </row>
    <row r="8675" spans="1:37" x14ac:dyDescent="0.3">
      <c r="A8675">
        <v>8674</v>
      </c>
      <c r="B8675">
        <v>74.3</v>
      </c>
      <c r="C8675">
        <v>39.9833</v>
      </c>
      <c r="D8675">
        <v>10.3</v>
      </c>
      <c r="E8675" t="s">
        <v>13053</v>
      </c>
      <c r="F8675" t="s">
        <v>13054</v>
      </c>
      <c r="G8675" t="s">
        <v>37</v>
      </c>
      <c r="H8675">
        <v>1987</v>
      </c>
      <c r="I8675">
        <v>21.757729999999999</v>
      </c>
      <c r="J8675">
        <v>14.632989999999999</v>
      </c>
      <c r="K8675">
        <v>63.360819999999997</v>
      </c>
      <c r="L8675">
        <v>18.724710000000002</v>
      </c>
      <c r="M8675">
        <v>33.321649999999998</v>
      </c>
      <c r="N8675">
        <v>10.49691</v>
      </c>
      <c r="O8675">
        <v>22.824739999999998</v>
      </c>
      <c r="P8675">
        <v>22.488659999999999</v>
      </c>
      <c r="Q8675">
        <v>20.024740000000001</v>
      </c>
      <c r="R8675">
        <v>24.038489999999999</v>
      </c>
      <c r="S8675">
        <v>19.260819999999999</v>
      </c>
      <c r="T8675">
        <v>1110.1990000000001</v>
      </c>
      <c r="U8675">
        <v>245.63919999999999</v>
      </c>
      <c r="V8675">
        <v>22.63918</v>
      </c>
      <c r="W8675">
        <v>70.137460000000004</v>
      </c>
      <c r="X8675">
        <v>545.12030000000004</v>
      </c>
      <c r="Y8675">
        <v>86.340209999999999</v>
      </c>
      <c r="Z8675">
        <v>377.11340000000001</v>
      </c>
      <c r="AA8675">
        <v>92.309280000000001</v>
      </c>
      <c r="AB8675">
        <v>24.05125</v>
      </c>
      <c r="AC8675">
        <v>3.9462209999999998E-2</v>
      </c>
      <c r="AD8675">
        <v>5.6710760000000002</v>
      </c>
      <c r="AE8675">
        <v>0.38603209999999999</v>
      </c>
      <c r="AF8675">
        <v>1433.729</v>
      </c>
      <c r="AG8675">
        <f>IFERROR(AH8675*0.1, "N/A")</f>
        <v>7.4</v>
      </c>
      <c r="AH8675">
        <v>74</v>
      </c>
      <c r="AI8675">
        <v>292.78480000000002</v>
      </c>
      <c r="AJ8675">
        <v>40.659790000000001</v>
      </c>
      <c r="AK8675">
        <v>27.01031</v>
      </c>
    </row>
    <row r="8676" spans="1:37" x14ac:dyDescent="0.3">
      <c r="A8676">
        <v>8675</v>
      </c>
      <c r="B8676">
        <v>0</v>
      </c>
      <c r="C8676">
        <v>38.133299999999998</v>
      </c>
      <c r="D8676">
        <v>10.333299999999999</v>
      </c>
      <c r="E8676" t="s">
        <v>13055</v>
      </c>
      <c r="F8676" t="s">
        <v>13056</v>
      </c>
      <c r="G8676" t="s">
        <v>37</v>
      </c>
      <c r="H8676">
        <v>1976</v>
      </c>
      <c r="I8676">
        <v>16.682680000000001</v>
      </c>
      <c r="J8676">
        <v>13</v>
      </c>
      <c r="K8676">
        <v>73</v>
      </c>
      <c r="L8676">
        <v>13.88364</v>
      </c>
      <c r="M8676">
        <v>26</v>
      </c>
      <c r="N8676">
        <v>8.3000000000000007</v>
      </c>
      <c r="O8676">
        <v>17.7</v>
      </c>
      <c r="P8676">
        <v>14.967409999999999</v>
      </c>
      <c r="Q8676">
        <v>16.032589999999999</v>
      </c>
      <c r="R8676">
        <v>18.532589999999999</v>
      </c>
      <c r="S8676">
        <v>14.967409999999999</v>
      </c>
      <c r="T8676">
        <v>1173.115</v>
      </c>
      <c r="U8676">
        <v>315</v>
      </c>
      <c r="V8676">
        <v>6</v>
      </c>
      <c r="W8676">
        <v>103</v>
      </c>
      <c r="X8676">
        <v>748.81820000000005</v>
      </c>
      <c r="Y8676">
        <v>27</v>
      </c>
      <c r="Z8676">
        <v>192.64840000000001</v>
      </c>
      <c r="AA8676">
        <v>748.81820000000005</v>
      </c>
      <c r="AB8676">
        <v>0.67202450000000002</v>
      </c>
      <c r="AC8676">
        <v>0.80377679999999996</v>
      </c>
      <c r="AD8676">
        <v>1.049053</v>
      </c>
      <c r="AE8676">
        <v>0.59998589999999996</v>
      </c>
      <c r="AF8676">
        <v>2406.5329999999999</v>
      </c>
      <c r="AG8676">
        <f>IFERROR(AH8676*0.1, "N/A")</f>
        <v>6.7</v>
      </c>
      <c r="AH8676">
        <v>67</v>
      </c>
      <c r="AI8676">
        <v>237.84450000000001</v>
      </c>
      <c r="AJ8676">
        <v>49.64837</v>
      </c>
      <c r="AK8676">
        <v>23</v>
      </c>
    </row>
    <row r="8677" spans="1:37" x14ac:dyDescent="0.3">
      <c r="A8677">
        <v>8676</v>
      </c>
      <c r="B8677">
        <v>33.299999999999997</v>
      </c>
      <c r="C8677">
        <v>39.933300000000003</v>
      </c>
      <c r="D8677">
        <v>10.35</v>
      </c>
      <c r="E8677" t="s">
        <v>13057</v>
      </c>
      <c r="F8677" t="s">
        <v>13058</v>
      </c>
      <c r="G8677" t="s">
        <v>37</v>
      </c>
      <c r="H8677">
        <v>1987</v>
      </c>
      <c r="I8677">
        <v>21.50722</v>
      </c>
      <c r="J8677">
        <v>14.59742</v>
      </c>
      <c r="K8677">
        <v>64.025769999999994</v>
      </c>
      <c r="L8677">
        <v>18.318300000000001</v>
      </c>
      <c r="M8677">
        <v>32.886429999999997</v>
      </c>
      <c r="N8677">
        <v>10.31237</v>
      </c>
      <c r="O8677">
        <v>22.574059999999999</v>
      </c>
      <c r="P8677">
        <v>22.103950000000001</v>
      </c>
      <c r="Q8677">
        <v>19.794840000000001</v>
      </c>
      <c r="R8677">
        <v>23.689</v>
      </c>
      <c r="S8677">
        <v>19.009789999999999</v>
      </c>
      <c r="T8677">
        <v>1085.1489999999999</v>
      </c>
      <c r="U8677">
        <v>242.9742</v>
      </c>
      <c r="V8677">
        <v>21</v>
      </c>
      <c r="W8677">
        <v>72.850520000000003</v>
      </c>
      <c r="X8677">
        <v>550.24570000000006</v>
      </c>
      <c r="Y8677">
        <v>85.233680000000007</v>
      </c>
      <c r="Z8677">
        <v>288.95530000000002</v>
      </c>
      <c r="AA8677">
        <v>89.182130000000001</v>
      </c>
      <c r="AB8677">
        <v>10.734059999999999</v>
      </c>
      <c r="AC8677">
        <v>20.098330000000001</v>
      </c>
      <c r="AD8677">
        <v>9.8163149999999995</v>
      </c>
      <c r="AE8677">
        <v>0.4409554</v>
      </c>
      <c r="AF8677">
        <v>1494.3810000000001</v>
      </c>
      <c r="AG8677">
        <f>IFERROR(AH8677*0.1, "N/A")</f>
        <v>6.8079040000000006</v>
      </c>
      <c r="AH8677">
        <v>68.079040000000006</v>
      </c>
      <c r="AI8677">
        <v>215.72620000000001</v>
      </c>
      <c r="AJ8677">
        <v>41.903779999999998</v>
      </c>
      <c r="AK8677">
        <v>26.893470000000001</v>
      </c>
    </row>
    <row r="8678" spans="1:37" x14ac:dyDescent="0.3">
      <c r="A8678">
        <v>8677</v>
      </c>
      <c r="B8678">
        <v>41.3</v>
      </c>
      <c r="C8678">
        <v>39.966700000000003</v>
      </c>
      <c r="D8678">
        <v>10.35</v>
      </c>
      <c r="E8678" t="s">
        <v>13059</v>
      </c>
      <c r="F8678" t="s">
        <v>13060</v>
      </c>
      <c r="G8678" t="s">
        <v>37</v>
      </c>
      <c r="H8678">
        <v>1976</v>
      </c>
      <c r="I8678">
        <v>21.496390000000002</v>
      </c>
      <c r="J8678">
        <v>14.579000000000001</v>
      </c>
      <c r="K8678">
        <v>64.209980000000002</v>
      </c>
      <c r="L8678">
        <v>18.35127</v>
      </c>
      <c r="M8678">
        <v>32.854390000000002</v>
      </c>
      <c r="N8678">
        <v>10.24492</v>
      </c>
      <c r="O8678">
        <v>22.609470000000002</v>
      </c>
      <c r="P8678">
        <v>22.151810000000001</v>
      </c>
      <c r="Q8678">
        <v>19.796389999999999</v>
      </c>
      <c r="R8678">
        <v>23.67539</v>
      </c>
      <c r="S8678">
        <v>19.002929999999999</v>
      </c>
      <c r="T8678">
        <v>1090.921</v>
      </c>
      <c r="U8678">
        <v>243.72460000000001</v>
      </c>
      <c r="V8678">
        <v>21.724609999999998</v>
      </c>
      <c r="W8678">
        <v>72.974180000000004</v>
      </c>
      <c r="X8678">
        <v>552.25649999999996</v>
      </c>
      <c r="Y8678">
        <v>87</v>
      </c>
      <c r="Z8678">
        <v>372.6558</v>
      </c>
      <c r="AA8678">
        <v>90.659210000000002</v>
      </c>
      <c r="AB8678">
        <v>14.023250000000001</v>
      </c>
      <c r="AC8678">
        <v>9.374151E-2</v>
      </c>
      <c r="AD8678">
        <v>4.6879160000000004</v>
      </c>
      <c r="AE8678">
        <v>0.44635760000000002</v>
      </c>
      <c r="AF8678">
        <v>1496.2550000000001</v>
      </c>
      <c r="AG8678">
        <f>IFERROR(AH8678*0.1, "N/A")</f>
        <v>7.2820999999999998</v>
      </c>
      <c r="AH8678">
        <v>72.820999999999998</v>
      </c>
      <c r="AI8678">
        <v>149.477</v>
      </c>
      <c r="AJ8678">
        <v>37.44923</v>
      </c>
      <c r="AK8678">
        <v>37.266779999999997</v>
      </c>
    </row>
    <row r="8679" spans="1:37" x14ac:dyDescent="0.3">
      <c r="A8679">
        <v>8678</v>
      </c>
      <c r="B8679">
        <v>3</v>
      </c>
      <c r="C8679">
        <v>39.933300000000003</v>
      </c>
      <c r="D8679">
        <v>10.416700000000001</v>
      </c>
      <c r="E8679" t="s">
        <v>13061</v>
      </c>
      <c r="F8679" t="s">
        <v>13062</v>
      </c>
      <c r="G8679" t="s">
        <v>37</v>
      </c>
      <c r="H8679">
        <v>1987</v>
      </c>
      <c r="I8679">
        <v>20.504809999999999</v>
      </c>
      <c r="J8679">
        <v>14.46306</v>
      </c>
      <c r="K8679">
        <v>65.817869999999999</v>
      </c>
      <c r="L8679">
        <v>16.966989999999999</v>
      </c>
      <c r="M8679">
        <v>31.486080000000001</v>
      </c>
      <c r="N8679">
        <v>9.6556700000000006</v>
      </c>
      <c r="O8679">
        <v>21.830410000000001</v>
      </c>
      <c r="P8679">
        <v>21.055150000000001</v>
      </c>
      <c r="Q8679">
        <v>18.621479999999998</v>
      </c>
      <c r="R8679">
        <v>22.573370000000001</v>
      </c>
      <c r="S8679">
        <v>18.218730000000001</v>
      </c>
      <c r="T8679">
        <v>1070.615</v>
      </c>
      <c r="U8679">
        <v>239.8058</v>
      </c>
      <c r="V8679">
        <v>19.182130000000001</v>
      </c>
      <c r="W8679">
        <v>77.194159999999997</v>
      </c>
      <c r="X8679">
        <v>572.24739999999997</v>
      </c>
      <c r="Y8679">
        <v>85.484539999999996</v>
      </c>
      <c r="Z8679">
        <v>306.03440000000001</v>
      </c>
      <c r="AA8679">
        <v>85.987970000000004</v>
      </c>
      <c r="AB8679">
        <v>27.053290000000001</v>
      </c>
      <c r="AC8679">
        <v>0.1446972</v>
      </c>
      <c r="AD8679">
        <v>8.8054959999999998</v>
      </c>
      <c r="AE8679">
        <v>0.41864639999999997</v>
      </c>
      <c r="AF8679">
        <v>1666.057</v>
      </c>
      <c r="AG8679">
        <f>IFERROR(AH8679*0.1, "N/A")</f>
        <v>6.1386600000000007</v>
      </c>
      <c r="AH8679">
        <v>61.386600000000001</v>
      </c>
      <c r="AI8679">
        <v>218.14519999999999</v>
      </c>
      <c r="AJ8679">
        <v>36.975949999999997</v>
      </c>
      <c r="AK8679">
        <v>36.987969999999997</v>
      </c>
    </row>
    <row r="8680" spans="1:37" x14ac:dyDescent="0.3">
      <c r="A8680">
        <v>8679</v>
      </c>
      <c r="B8680">
        <v>7</v>
      </c>
      <c r="C8680">
        <v>39.933999999999997</v>
      </c>
      <c r="D8680">
        <v>10.4252</v>
      </c>
      <c r="E8680" t="s">
        <v>13063</v>
      </c>
      <c r="F8680" t="s">
        <v>13064</v>
      </c>
      <c r="G8680" t="s">
        <v>37</v>
      </c>
      <c r="H8680">
        <v>1976</v>
      </c>
      <c r="I8680">
        <v>19.7148</v>
      </c>
      <c r="J8680">
        <v>14.265750000000001</v>
      </c>
      <c r="K8680">
        <v>66.586920000000006</v>
      </c>
      <c r="L8680">
        <v>16.07461</v>
      </c>
      <c r="M8680">
        <v>30.421859999999999</v>
      </c>
      <c r="N8680">
        <v>9.2196210000000001</v>
      </c>
      <c r="O8680">
        <v>21.20224</v>
      </c>
      <c r="P8680">
        <v>20.195869999999999</v>
      </c>
      <c r="Q8680">
        <v>17.513249999999999</v>
      </c>
      <c r="R8680">
        <v>21.656110000000002</v>
      </c>
      <c r="S8680">
        <v>17.513249999999999</v>
      </c>
      <c r="T8680">
        <v>1075.1379999999999</v>
      </c>
      <c r="U8680">
        <v>241.26159999999999</v>
      </c>
      <c r="V8680">
        <v>17.881239999999998</v>
      </c>
      <c r="W8680">
        <v>79.650599999999997</v>
      </c>
      <c r="X8680">
        <v>589.71939999999995</v>
      </c>
      <c r="Y8680">
        <v>82.419970000000006</v>
      </c>
      <c r="Z8680">
        <v>240.06200000000001</v>
      </c>
      <c r="AA8680">
        <v>82.419970000000006</v>
      </c>
      <c r="AB8680">
        <v>77.863680000000002</v>
      </c>
      <c r="AC8680">
        <v>9.6310850000000003E-2</v>
      </c>
      <c r="AD8680">
        <v>9.1542499999999993</v>
      </c>
      <c r="AE8680">
        <v>0.47408050000000002</v>
      </c>
      <c r="AF8680">
        <v>1766.423</v>
      </c>
      <c r="AG8680">
        <f>IFERROR(AH8680*0.1, "N/A")</f>
        <v>6.1373490000000004</v>
      </c>
      <c r="AH8680">
        <v>61.373489999999997</v>
      </c>
      <c r="AI8680">
        <v>136.08510000000001</v>
      </c>
      <c r="AJ8680">
        <v>36.244410000000002</v>
      </c>
      <c r="AK8680">
        <v>35.580030000000001</v>
      </c>
    </row>
    <row r="8681" spans="1:37" x14ac:dyDescent="0.3">
      <c r="A8681">
        <v>8680</v>
      </c>
      <c r="B8681">
        <v>44</v>
      </c>
      <c r="C8681">
        <v>34.79</v>
      </c>
      <c r="D8681">
        <v>10.45</v>
      </c>
      <c r="E8681" t="s">
        <v>13065</v>
      </c>
      <c r="F8681" t="s">
        <v>13066</v>
      </c>
      <c r="G8681" t="s">
        <v>37</v>
      </c>
      <c r="H8681">
        <v>1987</v>
      </c>
      <c r="I8681">
        <v>25.3</v>
      </c>
      <c r="J8681">
        <v>13.44313</v>
      </c>
      <c r="K8681">
        <v>68.431269999999998</v>
      </c>
      <c r="L8681">
        <v>17.490189999999998</v>
      </c>
      <c r="M8681">
        <v>36.543129999999998</v>
      </c>
      <c r="N8681">
        <v>17.043130000000001</v>
      </c>
      <c r="O8681">
        <v>19.5</v>
      </c>
      <c r="P8681">
        <v>23.243130000000001</v>
      </c>
      <c r="Q8681">
        <v>26.243130000000001</v>
      </c>
      <c r="R8681">
        <v>27.843129999999999</v>
      </c>
      <c r="S8681">
        <v>23.243130000000001</v>
      </c>
      <c r="T8681">
        <v>1129.7059999999999</v>
      </c>
      <c r="U8681">
        <v>247</v>
      </c>
      <c r="V8681">
        <v>0</v>
      </c>
      <c r="W8681">
        <v>95</v>
      </c>
      <c r="X8681">
        <v>650.56870000000004</v>
      </c>
      <c r="Y8681">
        <v>3</v>
      </c>
      <c r="Z8681">
        <v>49</v>
      </c>
      <c r="AA8681">
        <v>650.56870000000004</v>
      </c>
      <c r="AB8681">
        <v>4.208736</v>
      </c>
      <c r="AC8681">
        <v>2.528057</v>
      </c>
      <c r="AD8681">
        <v>1.5975109999999999</v>
      </c>
      <c r="AE8681">
        <v>0.19162119999999999</v>
      </c>
      <c r="AF8681">
        <v>915.73879999999997</v>
      </c>
      <c r="AG8681">
        <f>IFERROR(AH8681*0.1, "N/A")</f>
        <v>6.6549830000000005</v>
      </c>
      <c r="AH8681">
        <v>66.54983</v>
      </c>
      <c r="AI8681">
        <v>106.9126</v>
      </c>
      <c r="AJ8681">
        <v>38.448450000000001</v>
      </c>
      <c r="AK8681">
        <v>37</v>
      </c>
    </row>
    <row r="8682" spans="1:37" x14ac:dyDescent="0.3">
      <c r="A8682">
        <v>8681</v>
      </c>
      <c r="B8682">
        <v>2.9</v>
      </c>
      <c r="C8682">
        <v>37.566699999999997</v>
      </c>
      <c r="D8682">
        <v>10.45</v>
      </c>
      <c r="E8682" t="s">
        <v>13067</v>
      </c>
      <c r="F8682" t="s">
        <v>13068</v>
      </c>
      <c r="G8682" t="s">
        <v>37</v>
      </c>
      <c r="H8682">
        <v>1976</v>
      </c>
      <c r="I8682">
        <v>16.174910000000001</v>
      </c>
      <c r="J8682">
        <v>13.3</v>
      </c>
      <c r="K8682">
        <v>74.695880000000002</v>
      </c>
      <c r="L8682">
        <v>11.196440000000001</v>
      </c>
      <c r="M8682">
        <v>25.449829999999999</v>
      </c>
      <c r="N8682">
        <v>7.7194159999999998</v>
      </c>
      <c r="O8682">
        <v>17.730409999999999</v>
      </c>
      <c r="P8682">
        <v>14.94983</v>
      </c>
      <c r="Q8682">
        <v>16.149830000000001</v>
      </c>
      <c r="R8682">
        <v>17.87491</v>
      </c>
      <c r="S8682">
        <v>14.94983</v>
      </c>
      <c r="T8682">
        <v>1418.2349999999999</v>
      </c>
      <c r="U8682">
        <v>327.18040000000002</v>
      </c>
      <c r="V8682">
        <v>12.250859999999999</v>
      </c>
      <c r="W8682">
        <v>93.304119999999998</v>
      </c>
      <c r="X8682">
        <v>864.07389999999998</v>
      </c>
      <c r="Y8682">
        <v>48.752580000000002</v>
      </c>
      <c r="Z8682">
        <v>214.7663</v>
      </c>
      <c r="AA8682">
        <v>864.07389999999998</v>
      </c>
      <c r="AB8682">
        <v>25.46236</v>
      </c>
      <c r="AC8682">
        <v>1.3090050000000001E-2</v>
      </c>
      <c r="AD8682">
        <v>5.8630940000000002</v>
      </c>
      <c r="AE8682">
        <v>0.57590969999999997</v>
      </c>
      <c r="AF8682">
        <v>2387.9209999999998</v>
      </c>
      <c r="AG8682">
        <f>IFERROR(AH8682*0.1, "N/A")</f>
        <v>5.7331620000000001</v>
      </c>
      <c r="AH8682">
        <v>57.331620000000001</v>
      </c>
      <c r="AI8682">
        <v>186.71109999999999</v>
      </c>
      <c r="AJ8682">
        <v>47</v>
      </c>
      <c r="AK8682">
        <v>25.558420000000002</v>
      </c>
    </row>
    <row r="8683" spans="1:37" x14ac:dyDescent="0.3">
      <c r="A8683">
        <v>8682</v>
      </c>
      <c r="B8683">
        <v>11.7</v>
      </c>
      <c r="C8683">
        <v>39.947299999999998</v>
      </c>
      <c r="D8683">
        <v>10.5113</v>
      </c>
      <c r="E8683" t="s">
        <v>13069</v>
      </c>
      <c r="F8683" t="s">
        <v>13070</v>
      </c>
      <c r="G8683" t="s">
        <v>37</v>
      </c>
      <c r="H8683">
        <v>1986</v>
      </c>
      <c r="I8683">
        <v>21.6</v>
      </c>
      <c r="J8683">
        <v>14.7</v>
      </c>
      <c r="K8683">
        <v>64</v>
      </c>
      <c r="L8683">
        <v>18.37</v>
      </c>
      <c r="M8683">
        <v>33</v>
      </c>
      <c r="N8683">
        <v>10.3</v>
      </c>
      <c r="O8683">
        <v>22.7</v>
      </c>
      <c r="P8683">
        <v>22.3</v>
      </c>
      <c r="Q8683">
        <v>19.899999999999999</v>
      </c>
      <c r="R8683">
        <v>23.8</v>
      </c>
      <c r="S8683">
        <v>19.100000000000001</v>
      </c>
      <c r="T8683">
        <v>1015</v>
      </c>
      <c r="U8683">
        <v>241</v>
      </c>
      <c r="V8683">
        <v>19</v>
      </c>
      <c r="W8683">
        <v>79</v>
      </c>
      <c r="X8683">
        <v>545</v>
      </c>
      <c r="Y8683">
        <v>82</v>
      </c>
      <c r="Z8683">
        <v>339</v>
      </c>
      <c r="AA8683">
        <v>84</v>
      </c>
      <c r="AB8683">
        <v>61.930520000000001</v>
      </c>
      <c r="AC8683">
        <v>9.6906570000000001E-3</v>
      </c>
      <c r="AD8683">
        <v>8.7138240000000007</v>
      </c>
      <c r="AE8683">
        <v>0.51317639999999998</v>
      </c>
      <c r="AF8683">
        <v>1505.7840000000001</v>
      </c>
      <c r="AG8683">
        <f>IFERROR(AH8683*0.1, "N/A")</f>
        <v>6.9998279999999999</v>
      </c>
      <c r="AH8683">
        <v>69.998279999999994</v>
      </c>
      <c r="AI8683">
        <v>218.49889999999999</v>
      </c>
      <c r="AJ8683">
        <v>37.982849999999999</v>
      </c>
      <c r="AK8683">
        <v>33.986280000000001</v>
      </c>
    </row>
    <row r="8684" spans="1:37" x14ac:dyDescent="0.3">
      <c r="A8684">
        <v>8683</v>
      </c>
      <c r="B8684">
        <v>4</v>
      </c>
      <c r="C8684">
        <v>34.283299999999997</v>
      </c>
      <c r="D8684">
        <v>10.533300000000001</v>
      </c>
      <c r="E8684" t="s">
        <v>13071</v>
      </c>
      <c r="F8684" t="s">
        <v>13072</v>
      </c>
      <c r="G8684" t="s">
        <v>37</v>
      </c>
      <c r="H8684">
        <v>1987</v>
      </c>
      <c r="I8684">
        <v>27.5</v>
      </c>
      <c r="J8684">
        <v>13.4</v>
      </c>
      <c r="K8684">
        <v>68</v>
      </c>
      <c r="L8684">
        <v>20.58935</v>
      </c>
      <c r="M8684">
        <v>38.924190000000003</v>
      </c>
      <c r="N8684">
        <v>19.22419</v>
      </c>
      <c r="O8684">
        <v>19.7</v>
      </c>
      <c r="P8684">
        <v>24.92418</v>
      </c>
      <c r="Q8684">
        <v>28.8</v>
      </c>
      <c r="R8684">
        <v>30.324179999999998</v>
      </c>
      <c r="S8684">
        <v>24.92418</v>
      </c>
      <c r="T8684">
        <v>928.95029999999997</v>
      </c>
      <c r="U8684">
        <v>207.5043</v>
      </c>
      <c r="V8684">
        <v>0</v>
      </c>
      <c r="W8684">
        <v>93</v>
      </c>
      <c r="X8684">
        <v>522.66719999999998</v>
      </c>
      <c r="Y8684">
        <v>2</v>
      </c>
      <c r="Z8684">
        <v>44.120069999999998</v>
      </c>
      <c r="AA8684">
        <v>522.66719999999998</v>
      </c>
      <c r="AB8684">
        <v>6.0351720000000002</v>
      </c>
      <c r="AC8684">
        <v>1.4506140000000001E-2</v>
      </c>
      <c r="AD8684">
        <v>2.3651010000000001</v>
      </c>
      <c r="AE8684">
        <v>0.46834690000000001</v>
      </c>
      <c r="AF8684">
        <v>641.37559999999996</v>
      </c>
      <c r="AG8684">
        <f>IFERROR(AH8684*0.1, "N/A")</f>
        <v>7.0504290000000003</v>
      </c>
      <c r="AH8684">
        <v>70.504289999999997</v>
      </c>
      <c r="AI8684">
        <v>59.428240000000002</v>
      </c>
      <c r="AJ8684">
        <v>38.072040000000001</v>
      </c>
      <c r="AK8684">
        <v>38.391080000000002</v>
      </c>
    </row>
    <row r="8685" spans="1:37" x14ac:dyDescent="0.3">
      <c r="A8685">
        <v>8684</v>
      </c>
      <c r="B8685">
        <v>35</v>
      </c>
      <c r="C8685">
        <v>34.283299999999997</v>
      </c>
      <c r="D8685">
        <v>10.533300000000001</v>
      </c>
      <c r="E8685" t="s">
        <v>13071</v>
      </c>
      <c r="F8685" t="s">
        <v>13073</v>
      </c>
      <c r="G8685" t="s">
        <v>39</v>
      </c>
      <c r="H8685">
        <v>1987</v>
      </c>
      <c r="I8685">
        <v>27.5</v>
      </c>
      <c r="J8685">
        <v>13.4</v>
      </c>
      <c r="K8685">
        <v>68</v>
      </c>
      <c r="L8685">
        <v>20.58935</v>
      </c>
      <c r="M8685">
        <v>38.924190000000003</v>
      </c>
      <c r="N8685">
        <v>19.22419</v>
      </c>
      <c r="O8685">
        <v>19.7</v>
      </c>
      <c r="P8685">
        <v>24.92418</v>
      </c>
      <c r="Q8685">
        <v>28.8</v>
      </c>
      <c r="R8685">
        <v>30.324179999999998</v>
      </c>
      <c r="S8685">
        <v>24.92418</v>
      </c>
      <c r="T8685">
        <v>928.95029999999997</v>
      </c>
      <c r="U8685">
        <v>207.5043</v>
      </c>
      <c r="V8685">
        <v>0</v>
      </c>
      <c r="W8685">
        <v>93</v>
      </c>
      <c r="X8685">
        <v>522.66719999999998</v>
      </c>
      <c r="Y8685">
        <v>2</v>
      </c>
      <c r="Z8685">
        <v>44.120069999999998</v>
      </c>
      <c r="AA8685">
        <v>522.66719999999998</v>
      </c>
      <c r="AB8685">
        <v>6.0351720000000002</v>
      </c>
      <c r="AC8685">
        <v>1.4506140000000001E-2</v>
      </c>
      <c r="AD8685">
        <v>2.3651010000000001</v>
      </c>
      <c r="AE8685">
        <v>0.46834690000000001</v>
      </c>
      <c r="AF8685">
        <v>641.37559999999996</v>
      </c>
      <c r="AG8685">
        <f>IFERROR(AH8685*0.1, "N/A")</f>
        <v>7.0504290000000003</v>
      </c>
      <c r="AH8685">
        <v>70.504289999999997</v>
      </c>
      <c r="AI8685">
        <v>59.428240000000002</v>
      </c>
      <c r="AJ8685">
        <v>38.072040000000001</v>
      </c>
      <c r="AK8685">
        <v>38.391080000000002</v>
      </c>
    </row>
    <row r="8686" spans="1:37" x14ac:dyDescent="0.3">
      <c r="A8686">
        <v>8685</v>
      </c>
      <c r="B8686">
        <v>5.7</v>
      </c>
      <c r="C8686">
        <v>34.284999999999997</v>
      </c>
      <c r="D8686">
        <v>10.5566</v>
      </c>
      <c r="E8686" t="s">
        <v>13074</v>
      </c>
      <c r="F8686" t="s">
        <v>13075</v>
      </c>
      <c r="G8686" t="s">
        <v>39</v>
      </c>
      <c r="H8686">
        <v>1996</v>
      </c>
      <c r="I8686">
        <v>27.5</v>
      </c>
      <c r="J8686">
        <v>13.4</v>
      </c>
      <c r="K8686">
        <v>67</v>
      </c>
      <c r="L8686">
        <v>20.71</v>
      </c>
      <c r="M8686">
        <v>38.9</v>
      </c>
      <c r="N8686">
        <v>19.100000000000001</v>
      </c>
      <c r="O8686">
        <v>19.8</v>
      </c>
      <c r="P8686">
        <v>24.9</v>
      </c>
      <c r="Q8686">
        <v>28.8</v>
      </c>
      <c r="R8686">
        <v>30.4</v>
      </c>
      <c r="S8686">
        <v>24.9</v>
      </c>
      <c r="T8686">
        <v>933</v>
      </c>
      <c r="U8686">
        <v>210</v>
      </c>
      <c r="V8686">
        <v>0</v>
      </c>
      <c r="W8686">
        <v>94</v>
      </c>
      <c r="X8686">
        <v>527</v>
      </c>
      <c r="Y8686">
        <v>2</v>
      </c>
      <c r="Z8686">
        <v>43</v>
      </c>
      <c r="AA8686">
        <v>527</v>
      </c>
      <c r="AB8686">
        <v>18.511690000000002</v>
      </c>
      <c r="AC8686">
        <v>3.542928E-2</v>
      </c>
      <c r="AD8686">
        <v>2.9590329999999998</v>
      </c>
      <c r="AE8686">
        <v>0.68099160000000003</v>
      </c>
      <c r="AF8686">
        <v>662.05499999999995</v>
      </c>
      <c r="AG8686">
        <f>IFERROR(AH8686*0.1, "N/A")</f>
        <v>6.7</v>
      </c>
      <c r="AH8686">
        <v>67</v>
      </c>
      <c r="AI8686">
        <v>159.82810000000001</v>
      </c>
      <c r="AJ8686">
        <v>26.419239999999999</v>
      </c>
      <c r="AK8686">
        <v>51</v>
      </c>
    </row>
    <row r="8687" spans="1:37" x14ac:dyDescent="0.3">
      <c r="A8687">
        <v>8686</v>
      </c>
      <c r="B8687">
        <v>22.2</v>
      </c>
      <c r="C8687">
        <v>34.2851</v>
      </c>
      <c r="D8687">
        <v>10.557399999999999</v>
      </c>
      <c r="E8687" t="s">
        <v>13076</v>
      </c>
      <c r="F8687" t="s">
        <v>13077</v>
      </c>
      <c r="G8687" t="s">
        <v>39</v>
      </c>
      <c r="H8687">
        <v>1986</v>
      </c>
      <c r="I8687">
        <v>27.429549999999999</v>
      </c>
      <c r="J8687">
        <v>13.4</v>
      </c>
      <c r="K8687">
        <v>67.140889999999999</v>
      </c>
      <c r="L8687">
        <v>20.690270000000002</v>
      </c>
      <c r="M8687">
        <v>38.829549999999998</v>
      </c>
      <c r="N8687">
        <v>19.057729999999999</v>
      </c>
      <c r="O8687">
        <v>19.771820000000002</v>
      </c>
      <c r="P8687">
        <v>24.843640000000001</v>
      </c>
      <c r="Q8687">
        <v>28.72955</v>
      </c>
      <c r="R8687">
        <v>30.315460000000002</v>
      </c>
      <c r="S8687">
        <v>24.843640000000001</v>
      </c>
      <c r="T8687">
        <v>936.94500000000005</v>
      </c>
      <c r="U8687">
        <v>210.56360000000001</v>
      </c>
      <c r="V8687">
        <v>0</v>
      </c>
      <c r="W8687">
        <v>93.718209999999999</v>
      </c>
      <c r="X8687">
        <v>528.83159999999998</v>
      </c>
      <c r="Y8687">
        <v>2</v>
      </c>
      <c r="Z8687">
        <v>43.42268</v>
      </c>
      <c r="AA8687">
        <v>528.83159999999998</v>
      </c>
      <c r="AB8687">
        <v>23.869050000000001</v>
      </c>
      <c r="AC8687">
        <v>2.897311E-2</v>
      </c>
      <c r="AD8687">
        <v>2.8965830000000001</v>
      </c>
      <c r="AE8687">
        <v>0.68099160000000003</v>
      </c>
      <c r="AF8687">
        <v>665.16319999999996</v>
      </c>
      <c r="AG8687">
        <f>IFERROR(AH8687*0.1, "N/A")</f>
        <v>6.6991410000000009</v>
      </c>
      <c r="AH8687">
        <v>66.991410000000002</v>
      </c>
      <c r="AI8687">
        <v>143.72550000000001</v>
      </c>
      <c r="AJ8687">
        <v>26.46564</v>
      </c>
      <c r="AK8687">
        <v>50.95017</v>
      </c>
    </row>
    <row r="8688" spans="1:37" x14ac:dyDescent="0.3">
      <c r="A8688">
        <v>8687</v>
      </c>
      <c r="B8688">
        <v>0</v>
      </c>
      <c r="C8688">
        <v>37.489100000000001</v>
      </c>
      <c r="D8688">
        <v>10.5665</v>
      </c>
      <c r="E8688" t="s">
        <v>13078</v>
      </c>
      <c r="F8688" t="s">
        <v>13079</v>
      </c>
      <c r="G8688" t="s">
        <v>37</v>
      </c>
      <c r="H8688">
        <v>1976</v>
      </c>
      <c r="I8688">
        <v>17.657389999999999</v>
      </c>
      <c r="J8688">
        <v>13.97869</v>
      </c>
      <c r="K8688">
        <v>74.213059999999999</v>
      </c>
      <c r="L8688">
        <v>11.062340000000001</v>
      </c>
      <c r="M8688">
        <v>27.236080000000001</v>
      </c>
      <c r="N8688">
        <v>8.5</v>
      </c>
      <c r="O8688">
        <v>18.736080000000001</v>
      </c>
      <c r="P8688">
        <v>16.47869</v>
      </c>
      <c r="Q8688">
        <v>17.378689999999999</v>
      </c>
      <c r="R8688">
        <v>19.336079999999999</v>
      </c>
      <c r="S8688">
        <v>16.47869</v>
      </c>
      <c r="T8688">
        <v>1402.557</v>
      </c>
      <c r="U8688">
        <v>339.2131</v>
      </c>
      <c r="V8688">
        <v>8</v>
      </c>
      <c r="W8688">
        <v>98</v>
      </c>
      <c r="X8688">
        <v>875.06529999999998</v>
      </c>
      <c r="Y8688">
        <v>35.426119999999997</v>
      </c>
      <c r="Z8688">
        <v>194.42609999999999</v>
      </c>
      <c r="AA8688">
        <v>875.06529999999998</v>
      </c>
      <c r="AB8688">
        <v>23.394670000000001</v>
      </c>
      <c r="AC8688">
        <v>9.4325389999999995E-2</v>
      </c>
      <c r="AD8688">
        <v>3.1268630000000002</v>
      </c>
      <c r="AE8688">
        <v>0.52107440000000005</v>
      </c>
      <c r="AF8688">
        <v>2101.77</v>
      </c>
      <c r="AG8688">
        <f>IFERROR(AH8688*0.1, "N/A")</f>
        <v>5.8118560000000006</v>
      </c>
      <c r="AH8688">
        <v>58.118560000000002</v>
      </c>
      <c r="AI8688">
        <v>94.414190000000005</v>
      </c>
      <c r="AJ8688">
        <v>49.721649999999997</v>
      </c>
      <c r="AK8688">
        <v>24.01031</v>
      </c>
    </row>
    <row r="8689" spans="1:37" x14ac:dyDescent="0.3">
      <c r="A8689">
        <v>8688</v>
      </c>
      <c r="B8689">
        <v>85</v>
      </c>
      <c r="C8689">
        <v>39.885800000000003</v>
      </c>
      <c r="D8689">
        <v>10.583299999999999</v>
      </c>
      <c r="E8689" t="s">
        <v>13080</v>
      </c>
      <c r="F8689" t="s">
        <v>13081</v>
      </c>
      <c r="G8689" t="s">
        <v>37</v>
      </c>
      <c r="H8689">
        <v>2007</v>
      </c>
      <c r="I8689">
        <v>21.787590000000002</v>
      </c>
      <c r="J8689">
        <v>14.8</v>
      </c>
      <c r="K8689">
        <v>64.281030000000001</v>
      </c>
      <c r="L8689">
        <v>18.664639999999999</v>
      </c>
      <c r="M8689">
        <v>33.087589999999999</v>
      </c>
      <c r="N8689">
        <v>10.31569</v>
      </c>
      <c r="O8689">
        <v>22.771899999999999</v>
      </c>
      <c r="P8689">
        <v>22.415690000000001</v>
      </c>
      <c r="Q8689">
        <v>19.987590000000001</v>
      </c>
      <c r="R8689">
        <v>23.987590000000001</v>
      </c>
      <c r="S8689">
        <v>19.18759</v>
      </c>
      <c r="T8689">
        <v>982.21550000000002</v>
      </c>
      <c r="U8689">
        <v>239.56209999999999</v>
      </c>
      <c r="V8689">
        <v>17.281030000000001</v>
      </c>
      <c r="W8689">
        <v>81.281030000000001</v>
      </c>
      <c r="X8689">
        <v>541.65340000000003</v>
      </c>
      <c r="Y8689">
        <v>78.843100000000007</v>
      </c>
      <c r="Z8689">
        <v>327.96719999999999</v>
      </c>
      <c r="AA8689">
        <v>79.562070000000006</v>
      </c>
      <c r="AB8689">
        <v>4.9291729999999996</v>
      </c>
      <c r="AC8689">
        <v>0.16587569999999999</v>
      </c>
      <c r="AD8689">
        <v>3.8672520000000001</v>
      </c>
      <c r="AE8689">
        <v>0.54462410000000006</v>
      </c>
      <c r="AF8689">
        <v>1428.36</v>
      </c>
      <c r="AG8689">
        <f>IFERROR(AH8689*0.1, "N/A")</f>
        <v>6.9882760000000008</v>
      </c>
      <c r="AH8689">
        <v>69.882760000000005</v>
      </c>
      <c r="AI8689">
        <v>264.70089999999999</v>
      </c>
      <c r="AJ8689">
        <v>39.117240000000002</v>
      </c>
      <c r="AK8689">
        <v>31.941379999999999</v>
      </c>
    </row>
    <row r="8690" spans="1:37" x14ac:dyDescent="0.3">
      <c r="A8690">
        <v>8689</v>
      </c>
      <c r="B8690">
        <v>50.2</v>
      </c>
      <c r="C8690">
        <v>39.921399999999998</v>
      </c>
      <c r="D8690">
        <v>10.6</v>
      </c>
      <c r="E8690" t="s">
        <v>13082</v>
      </c>
      <c r="F8690" t="s">
        <v>13083</v>
      </c>
      <c r="G8690" t="s">
        <v>37</v>
      </c>
      <c r="H8690">
        <v>2007</v>
      </c>
      <c r="I8690">
        <v>21.8</v>
      </c>
      <c r="J8690">
        <v>14.8</v>
      </c>
      <c r="K8690">
        <v>64</v>
      </c>
      <c r="L8690">
        <v>18.96698</v>
      </c>
      <c r="M8690">
        <v>33.299999999999997</v>
      </c>
      <c r="N8690">
        <v>10.4</v>
      </c>
      <c r="O8690">
        <v>22.9</v>
      </c>
      <c r="P8690">
        <v>22.5</v>
      </c>
      <c r="Q8690">
        <v>20.100000000000001</v>
      </c>
      <c r="R8690">
        <v>24.1</v>
      </c>
      <c r="S8690">
        <v>19.2</v>
      </c>
      <c r="T8690">
        <v>979.50940000000003</v>
      </c>
      <c r="U8690">
        <v>239.5849</v>
      </c>
      <c r="V8690">
        <v>17</v>
      </c>
      <c r="W8690">
        <v>82</v>
      </c>
      <c r="X8690">
        <v>540.75469999999996</v>
      </c>
      <c r="Y8690">
        <v>78</v>
      </c>
      <c r="Z8690">
        <v>323.75470000000001</v>
      </c>
      <c r="AA8690">
        <v>79.584909999999994</v>
      </c>
      <c r="AB8690">
        <v>19.353300000000001</v>
      </c>
      <c r="AC8690">
        <v>4.8540560000000003E-2</v>
      </c>
      <c r="AD8690">
        <v>2.291185</v>
      </c>
      <c r="AE8690">
        <v>0.54371449999999999</v>
      </c>
      <c r="AF8690">
        <v>1424.587</v>
      </c>
      <c r="AG8690">
        <f>IFERROR(AH8690*0.1, "N/A")</f>
        <v>7.0264150000000001</v>
      </c>
      <c r="AH8690">
        <v>70.264150000000001</v>
      </c>
      <c r="AI8690">
        <v>242.83779999999999</v>
      </c>
      <c r="AJ8690">
        <v>39.792450000000002</v>
      </c>
      <c r="AK8690">
        <v>30.730699999999999</v>
      </c>
    </row>
    <row r="8691" spans="1:37" x14ac:dyDescent="0.3">
      <c r="A8691">
        <v>8690</v>
      </c>
      <c r="B8691">
        <v>80.7</v>
      </c>
      <c r="C8691">
        <v>37.366700000000002</v>
      </c>
      <c r="D8691">
        <v>10.666700000000001</v>
      </c>
      <c r="E8691" t="s">
        <v>13084</v>
      </c>
      <c r="F8691" t="s">
        <v>13085</v>
      </c>
      <c r="G8691" t="s">
        <v>37</v>
      </c>
      <c r="H8691">
        <v>1987</v>
      </c>
      <c r="I8691">
        <v>19.105820000000001</v>
      </c>
      <c r="J8691">
        <v>14.5</v>
      </c>
      <c r="K8691">
        <v>72.941779999999994</v>
      </c>
      <c r="L8691">
        <v>11.09911</v>
      </c>
      <c r="M8691">
        <v>29.145720000000001</v>
      </c>
      <c r="N8691">
        <v>9.3398970000000006</v>
      </c>
      <c r="O8691">
        <v>19.805820000000001</v>
      </c>
      <c r="P8691">
        <v>18.039899999999999</v>
      </c>
      <c r="Q8691">
        <v>18.573969999999999</v>
      </c>
      <c r="R8691">
        <v>20.805820000000001</v>
      </c>
      <c r="S8691">
        <v>18.039899999999999</v>
      </c>
      <c r="T8691">
        <v>1388.7639999999999</v>
      </c>
      <c r="U8691">
        <v>345.601</v>
      </c>
      <c r="V8691">
        <v>5</v>
      </c>
      <c r="W8691">
        <v>102.8801</v>
      </c>
      <c r="X8691">
        <v>886.80309999999997</v>
      </c>
      <c r="Y8691">
        <v>23.941780000000001</v>
      </c>
      <c r="Z8691">
        <v>173.1781</v>
      </c>
      <c r="AA8691">
        <v>886.80309999999997</v>
      </c>
      <c r="AB8691">
        <v>4.880973</v>
      </c>
      <c r="AC8691">
        <v>1.247507E-2</v>
      </c>
      <c r="AD8691">
        <v>1.3886620000000001</v>
      </c>
      <c r="AE8691">
        <v>0.44673049999999997</v>
      </c>
      <c r="AF8691">
        <v>1800.7650000000001</v>
      </c>
      <c r="AG8691">
        <f>IFERROR(AH8691*0.1, "N/A")</f>
        <v>6.4630140000000003</v>
      </c>
      <c r="AH8691">
        <v>64.630139999999997</v>
      </c>
      <c r="AI8691">
        <v>190.50389999999999</v>
      </c>
      <c r="AJ8691">
        <v>55.397260000000003</v>
      </c>
      <c r="AK8691">
        <v>21.164380000000001</v>
      </c>
    </row>
    <row r="8692" spans="1:37" x14ac:dyDescent="0.3">
      <c r="A8692">
        <v>8691</v>
      </c>
      <c r="B8692">
        <v>55</v>
      </c>
      <c r="C8692">
        <v>37.377000000000002</v>
      </c>
      <c r="D8692">
        <v>10.6736</v>
      </c>
      <c r="E8692" t="s">
        <v>13086</v>
      </c>
      <c r="F8692" t="s">
        <v>13087</v>
      </c>
      <c r="G8692" t="s">
        <v>37</v>
      </c>
      <c r="H8692">
        <v>1976</v>
      </c>
      <c r="I8692">
        <v>19</v>
      </c>
      <c r="J8692">
        <v>14.5</v>
      </c>
      <c r="K8692">
        <v>73</v>
      </c>
      <c r="L8692">
        <v>11.29</v>
      </c>
      <c r="M8692">
        <v>29</v>
      </c>
      <c r="N8692">
        <v>9.1999999999999993</v>
      </c>
      <c r="O8692">
        <v>19.8</v>
      </c>
      <c r="P8692">
        <v>17.899999999999999</v>
      </c>
      <c r="Q8692">
        <v>18.399999999999999</v>
      </c>
      <c r="R8692">
        <v>20.7</v>
      </c>
      <c r="S8692">
        <v>17.899999999999999</v>
      </c>
      <c r="T8692">
        <v>1390</v>
      </c>
      <c r="U8692">
        <v>346</v>
      </c>
      <c r="V8692">
        <v>5</v>
      </c>
      <c r="W8692">
        <v>103</v>
      </c>
      <c r="X8692">
        <v>887</v>
      </c>
      <c r="Y8692">
        <v>24</v>
      </c>
      <c r="Z8692">
        <v>175</v>
      </c>
      <c r="AA8692">
        <v>887</v>
      </c>
      <c r="AB8692">
        <v>1.8988259999999999</v>
      </c>
      <c r="AC8692">
        <v>0.96310450000000003</v>
      </c>
      <c r="AD8692">
        <v>2.7757290000000001</v>
      </c>
      <c r="AE8692">
        <v>0.43315409999999999</v>
      </c>
      <c r="AF8692">
        <v>1831.289</v>
      </c>
      <c r="AG8692">
        <f>IFERROR(AH8692*0.1, "N/A")</f>
        <v>6.3319590000000003</v>
      </c>
      <c r="AH8692">
        <v>63.319589999999998</v>
      </c>
      <c r="AI8692">
        <v>253.6651</v>
      </c>
      <c r="AJ8692">
        <v>57.59966</v>
      </c>
      <c r="AK8692">
        <v>19.13918</v>
      </c>
    </row>
    <row r="8693" spans="1:37" x14ac:dyDescent="0.3">
      <c r="A8693">
        <v>8692</v>
      </c>
      <c r="B8693">
        <v>0</v>
      </c>
      <c r="C8693">
        <v>37.2333</v>
      </c>
      <c r="D8693">
        <v>10.683299999999999</v>
      </c>
      <c r="E8693" t="s">
        <v>13088</v>
      </c>
      <c r="F8693" t="s">
        <v>13089</v>
      </c>
      <c r="G8693" t="s">
        <v>37</v>
      </c>
      <c r="H8693">
        <v>1976</v>
      </c>
      <c r="I8693">
        <v>18.421399999999998</v>
      </c>
      <c r="J8693">
        <v>14.47723</v>
      </c>
      <c r="K8693">
        <v>72.227739999999997</v>
      </c>
      <c r="L8693">
        <v>10.32558</v>
      </c>
      <c r="M8693">
        <v>28.443149999999999</v>
      </c>
      <c r="N8693">
        <v>8.5886990000000001</v>
      </c>
      <c r="O8693">
        <v>19.85445</v>
      </c>
      <c r="P8693">
        <v>17.465920000000001</v>
      </c>
      <c r="Q8693">
        <v>17.921399999999998</v>
      </c>
      <c r="R8693">
        <v>19.965920000000001</v>
      </c>
      <c r="S8693">
        <v>17.465920000000001</v>
      </c>
      <c r="T8693">
        <v>1484.63</v>
      </c>
      <c r="U8693">
        <v>351.786</v>
      </c>
      <c r="V8693">
        <v>6.6729450000000003</v>
      </c>
      <c r="W8693">
        <v>99.445210000000003</v>
      </c>
      <c r="X8693">
        <v>927.02909999999997</v>
      </c>
      <c r="Y8693">
        <v>30.785959999999999</v>
      </c>
      <c r="Z8693">
        <v>188.1301</v>
      </c>
      <c r="AA8693">
        <v>927.02909999999997</v>
      </c>
      <c r="AB8693">
        <v>26.917120000000001</v>
      </c>
      <c r="AC8693">
        <v>0.63596609999999998</v>
      </c>
      <c r="AD8693">
        <v>1.614436</v>
      </c>
      <c r="AE8693">
        <v>0.64717020000000003</v>
      </c>
      <c r="AF8693">
        <v>1919.8130000000001</v>
      </c>
      <c r="AG8693">
        <f>IFERROR(AH8693*0.1, "N/A")</f>
        <v>5.7589040000000002</v>
      </c>
      <c r="AH8693">
        <v>57.589039999999997</v>
      </c>
      <c r="AI8693">
        <v>143.70079999999999</v>
      </c>
      <c r="AJ8693">
        <v>54.969180000000001</v>
      </c>
      <c r="AK8693">
        <v>19.030819999999999</v>
      </c>
    </row>
    <row r="8694" spans="1:37" x14ac:dyDescent="0.3">
      <c r="A8694">
        <v>8693</v>
      </c>
      <c r="B8694">
        <v>5</v>
      </c>
      <c r="C8694">
        <v>37.261699999999998</v>
      </c>
      <c r="D8694">
        <v>10.6858</v>
      </c>
      <c r="E8694" t="s">
        <v>13090</v>
      </c>
      <c r="F8694" t="s">
        <v>13091</v>
      </c>
      <c r="G8694" t="s">
        <v>37</v>
      </c>
      <c r="H8694">
        <v>1976</v>
      </c>
      <c r="I8694">
        <v>18.600000000000001</v>
      </c>
      <c r="J8694">
        <v>14.5</v>
      </c>
      <c r="K8694">
        <v>72</v>
      </c>
      <c r="L8694">
        <v>10.64</v>
      </c>
      <c r="M8694">
        <v>28.7</v>
      </c>
      <c r="N8694">
        <v>8.8000000000000007</v>
      </c>
      <c r="O8694">
        <v>19.899999999999999</v>
      </c>
      <c r="P8694">
        <v>17.7</v>
      </c>
      <c r="Q8694">
        <v>18.100000000000001</v>
      </c>
      <c r="R8694">
        <v>20.3</v>
      </c>
      <c r="S8694">
        <v>17.7</v>
      </c>
      <c r="T8694">
        <v>1462</v>
      </c>
      <c r="U8694">
        <v>351</v>
      </c>
      <c r="V8694">
        <v>6</v>
      </c>
      <c r="W8694">
        <v>101</v>
      </c>
      <c r="X8694">
        <v>919</v>
      </c>
      <c r="Y8694">
        <v>28</v>
      </c>
      <c r="Z8694">
        <v>184</v>
      </c>
      <c r="AA8694">
        <v>919</v>
      </c>
      <c r="AB8694">
        <v>35.69999</v>
      </c>
      <c r="AC8694">
        <v>8.7439950000000002E-2</v>
      </c>
      <c r="AD8694">
        <v>3.4386519999999998</v>
      </c>
      <c r="AE8694">
        <v>0.64800809999999998</v>
      </c>
      <c r="AF8694">
        <v>1877.473</v>
      </c>
      <c r="AG8694">
        <f>IFERROR(AH8694*0.1, "N/A")</f>
        <v>6.293997000000001</v>
      </c>
      <c r="AH8694">
        <v>62.939970000000002</v>
      </c>
      <c r="AI8694">
        <v>114.3544</v>
      </c>
      <c r="AJ8694">
        <v>47.494</v>
      </c>
      <c r="AK8694">
        <v>26.825040000000001</v>
      </c>
    </row>
    <row r="8695" spans="1:37" x14ac:dyDescent="0.3">
      <c r="A8695">
        <v>8694</v>
      </c>
      <c r="B8695">
        <v>3.8</v>
      </c>
      <c r="C8695">
        <v>37.2667</v>
      </c>
      <c r="D8695">
        <v>10.7</v>
      </c>
      <c r="E8695" t="s">
        <v>13092</v>
      </c>
      <c r="F8695" t="s">
        <v>13093</v>
      </c>
      <c r="G8695" t="s">
        <v>37</v>
      </c>
      <c r="H8695">
        <v>1987</v>
      </c>
      <c r="I8695">
        <v>18.39329</v>
      </c>
      <c r="J8695">
        <v>14.5</v>
      </c>
      <c r="K8695">
        <v>73</v>
      </c>
      <c r="L8695">
        <v>10.29707</v>
      </c>
      <c r="M8695">
        <v>28.39329</v>
      </c>
      <c r="N8695">
        <v>8.6201380000000007</v>
      </c>
      <c r="O8695">
        <v>19.773150000000001</v>
      </c>
      <c r="P8695">
        <v>17.407920000000001</v>
      </c>
      <c r="Q8695">
        <v>17.89329</v>
      </c>
      <c r="R8695">
        <v>19.993289999999998</v>
      </c>
      <c r="S8695">
        <v>17.407920000000001</v>
      </c>
      <c r="T8695">
        <v>1472.146</v>
      </c>
      <c r="U8695">
        <v>352.65230000000003</v>
      </c>
      <c r="V8695">
        <v>6.6523240000000001</v>
      </c>
      <c r="W8695">
        <v>99.731499999999997</v>
      </c>
      <c r="X8695">
        <v>923.64030000000002</v>
      </c>
      <c r="Y8695">
        <v>30.450949999999999</v>
      </c>
      <c r="Z8695">
        <v>184.92080000000001</v>
      </c>
      <c r="AA8695">
        <v>923.64030000000002</v>
      </c>
      <c r="AB8695">
        <v>24.856649999999998</v>
      </c>
      <c r="AC8695">
        <v>2.6189759999999999E-2</v>
      </c>
      <c r="AD8695">
        <v>4.7146540000000003</v>
      </c>
      <c r="AE8695">
        <v>0.60146250000000001</v>
      </c>
      <c r="AF8695">
        <v>1908.1030000000001</v>
      </c>
      <c r="AG8695">
        <f>IFERROR(AH8695*0.1, "N/A")</f>
        <v>5.8585200000000004</v>
      </c>
      <c r="AH8695">
        <v>58.5852</v>
      </c>
      <c r="AI8695">
        <v>224.37610000000001</v>
      </c>
      <c r="AJ8695">
        <v>52.170400000000001</v>
      </c>
      <c r="AK8695">
        <v>22.829599999999999</v>
      </c>
    </row>
    <row r="8696" spans="1:37" x14ac:dyDescent="0.3">
      <c r="A8696">
        <v>8695</v>
      </c>
      <c r="B8696">
        <v>2.4</v>
      </c>
      <c r="C8696">
        <v>37.066699999999997</v>
      </c>
      <c r="D8696">
        <v>10.7</v>
      </c>
      <c r="E8696" t="s">
        <v>13094</v>
      </c>
      <c r="F8696" t="s">
        <v>13095</v>
      </c>
      <c r="G8696" t="s">
        <v>37</v>
      </c>
      <c r="H8696">
        <v>1976</v>
      </c>
      <c r="I8696">
        <v>17.350339999999999</v>
      </c>
      <c r="J8696">
        <v>14.431100000000001</v>
      </c>
      <c r="K8696">
        <v>72</v>
      </c>
      <c r="L8696">
        <v>9.4950860000000006</v>
      </c>
      <c r="M8696">
        <v>27.285049999999998</v>
      </c>
      <c r="N8696">
        <v>7.4503440000000003</v>
      </c>
      <c r="O8696">
        <v>19.834710000000001</v>
      </c>
      <c r="P8696">
        <v>16.51924</v>
      </c>
      <c r="Q8696">
        <v>16.850339999999999</v>
      </c>
      <c r="R8696">
        <v>18.785049999999998</v>
      </c>
      <c r="S8696">
        <v>16.51924</v>
      </c>
      <c r="T8696">
        <v>1622.6769999999999</v>
      </c>
      <c r="U8696">
        <v>367.14949999999999</v>
      </c>
      <c r="V8696">
        <v>10.65292</v>
      </c>
      <c r="W8696">
        <v>93.881439999999998</v>
      </c>
      <c r="X8696">
        <v>977.29899999999998</v>
      </c>
      <c r="Y8696">
        <v>45.460479999999997</v>
      </c>
      <c r="Z8696">
        <v>213.30410000000001</v>
      </c>
      <c r="AA8696">
        <v>977.29899999999998</v>
      </c>
      <c r="AB8696">
        <v>8.1505759999999992</v>
      </c>
      <c r="AC8696">
        <v>2.1032999999999999</v>
      </c>
      <c r="AD8696">
        <v>5.1354819999999997</v>
      </c>
      <c r="AE8696">
        <v>0.62801019999999996</v>
      </c>
      <c r="AF8696">
        <v>2056.56</v>
      </c>
      <c r="AG8696">
        <f>IFERROR(AH8696*0.1, "N/A")</f>
        <v>5.7463920000000002</v>
      </c>
      <c r="AH8696">
        <v>57.463920000000002</v>
      </c>
      <c r="AI8696">
        <v>76.914450000000002</v>
      </c>
      <c r="AJ8696">
        <v>50.154640000000001</v>
      </c>
      <c r="AK8696">
        <v>26</v>
      </c>
    </row>
    <row r="8697" spans="1:37" x14ac:dyDescent="0.3">
      <c r="A8697">
        <v>8696</v>
      </c>
      <c r="B8697">
        <v>43.5</v>
      </c>
      <c r="C8697">
        <v>39.866700000000002</v>
      </c>
      <c r="D8697">
        <v>10.716699999999999</v>
      </c>
      <c r="E8697" t="s">
        <v>13096</v>
      </c>
      <c r="F8697" t="s">
        <v>13097</v>
      </c>
      <c r="G8697" t="s">
        <v>37</v>
      </c>
      <c r="H8697">
        <v>1987</v>
      </c>
      <c r="I8697">
        <v>21.770099999999999</v>
      </c>
      <c r="J8697">
        <v>14.99536</v>
      </c>
      <c r="K8697">
        <v>64.953609999999998</v>
      </c>
      <c r="L8697">
        <v>18.955190000000002</v>
      </c>
      <c r="M8697">
        <v>33.170099999999998</v>
      </c>
      <c r="N8697">
        <v>10.165459999999999</v>
      </c>
      <c r="O8697">
        <v>23.004639999999998</v>
      </c>
      <c r="P8697">
        <v>22.470099999999999</v>
      </c>
      <c r="Q8697">
        <v>20.065460000000002</v>
      </c>
      <c r="R8697">
        <v>23.970099999999999</v>
      </c>
      <c r="S8697">
        <v>19.165459999999999</v>
      </c>
      <c r="T8697">
        <v>952.50340000000006</v>
      </c>
      <c r="U8697">
        <v>240.34540000000001</v>
      </c>
      <c r="V8697">
        <v>16</v>
      </c>
      <c r="W8697">
        <v>86</v>
      </c>
      <c r="X8697">
        <v>545.89520000000005</v>
      </c>
      <c r="Y8697">
        <v>75.345359999999999</v>
      </c>
      <c r="Z8697">
        <v>313</v>
      </c>
      <c r="AA8697">
        <v>75.345359999999999</v>
      </c>
      <c r="AB8697">
        <v>15.542260000000001</v>
      </c>
      <c r="AC8697">
        <v>1.667339E-2</v>
      </c>
      <c r="AD8697">
        <v>1.1786859999999999</v>
      </c>
      <c r="AE8697">
        <v>0.65051119999999996</v>
      </c>
      <c r="AF8697">
        <v>1436.316</v>
      </c>
      <c r="AG8697">
        <f>IFERROR(AH8697*0.1, "N/A")</f>
        <v>7.224399</v>
      </c>
      <c r="AH8697">
        <v>72.243989999999997</v>
      </c>
      <c r="AI8697">
        <v>265.1678</v>
      </c>
      <c r="AJ8697">
        <v>37.037799999999997</v>
      </c>
      <c r="AK8697">
        <v>33.962200000000003</v>
      </c>
    </row>
    <row r="8698" spans="1:37" x14ac:dyDescent="0.3">
      <c r="A8698">
        <v>8697</v>
      </c>
      <c r="B8698">
        <v>0.6</v>
      </c>
      <c r="C8698">
        <v>36.49</v>
      </c>
      <c r="D8698">
        <v>10.73</v>
      </c>
      <c r="E8698" t="s">
        <v>13098</v>
      </c>
      <c r="F8698" t="s">
        <v>13099</v>
      </c>
      <c r="G8698" t="s">
        <v>37</v>
      </c>
      <c r="H8698">
        <v>1987</v>
      </c>
      <c r="I8698">
        <v>18.8</v>
      </c>
      <c r="J8698">
        <v>14.6</v>
      </c>
      <c r="K8698">
        <v>67</v>
      </c>
      <c r="L8698">
        <v>10.8</v>
      </c>
      <c r="M8698">
        <v>29.8</v>
      </c>
      <c r="N8698">
        <v>8.1999999999999993</v>
      </c>
      <c r="O8698">
        <v>21.6</v>
      </c>
      <c r="P8698">
        <v>17.899999999999999</v>
      </c>
      <c r="Q8698">
        <v>18.5</v>
      </c>
      <c r="R8698">
        <v>20.5</v>
      </c>
      <c r="S8698">
        <v>17.899999999999999</v>
      </c>
      <c r="T8698">
        <v>1787</v>
      </c>
      <c r="U8698">
        <v>410</v>
      </c>
      <c r="V8698">
        <v>7</v>
      </c>
      <c r="W8698">
        <v>98</v>
      </c>
      <c r="X8698">
        <v>1070</v>
      </c>
      <c r="Y8698">
        <v>38</v>
      </c>
      <c r="Z8698">
        <v>207</v>
      </c>
      <c r="AA8698">
        <v>1070</v>
      </c>
      <c r="AB8698">
        <v>102.45869999999999</v>
      </c>
      <c r="AC8698">
        <v>1.124001E-2</v>
      </c>
      <c r="AD8698">
        <v>6.672517</v>
      </c>
      <c r="AE8698">
        <v>0.63922979999999996</v>
      </c>
      <c r="AF8698">
        <v>1834.0260000000001</v>
      </c>
      <c r="AG8698">
        <f>IFERROR(AH8698*0.1, "N/A")</f>
        <v>5.3914679999999997</v>
      </c>
      <c r="AH8698">
        <v>53.914679999999997</v>
      </c>
      <c r="AI8698">
        <v>302.35410000000002</v>
      </c>
      <c r="AJ8698">
        <v>51.858359999999998</v>
      </c>
      <c r="AK8698">
        <v>23.708189999999998</v>
      </c>
    </row>
    <row r="8699" spans="1:37" x14ac:dyDescent="0.3">
      <c r="A8699">
        <v>8698</v>
      </c>
      <c r="B8699">
        <v>2.1</v>
      </c>
      <c r="C8699">
        <v>39.908799999999999</v>
      </c>
      <c r="D8699">
        <v>10.753500000000001</v>
      </c>
      <c r="E8699" t="s">
        <v>13100</v>
      </c>
      <c r="F8699" t="s">
        <v>13101</v>
      </c>
      <c r="G8699" t="s">
        <v>37</v>
      </c>
      <c r="H8699">
        <v>1986</v>
      </c>
      <c r="I8699">
        <v>20.11233</v>
      </c>
      <c r="J8699">
        <v>14.628080000000001</v>
      </c>
      <c r="K8699">
        <v>65.719179999999994</v>
      </c>
      <c r="L8699">
        <v>17.4511</v>
      </c>
      <c r="M8699">
        <v>31.140409999999999</v>
      </c>
      <c r="N8699">
        <v>9.0561640000000008</v>
      </c>
      <c r="O8699">
        <v>22.084250000000001</v>
      </c>
      <c r="P8699">
        <v>20.812329999999999</v>
      </c>
      <c r="Q8699">
        <v>17.684249999999999</v>
      </c>
      <c r="R8699">
        <v>22.212330000000001</v>
      </c>
      <c r="S8699">
        <v>17.684249999999999</v>
      </c>
      <c r="T8699">
        <v>1028.9449999999999</v>
      </c>
      <c r="U8699">
        <v>247.2808</v>
      </c>
      <c r="V8699">
        <v>16.719180000000001</v>
      </c>
      <c r="W8699">
        <v>86.561639999999997</v>
      </c>
      <c r="X8699">
        <v>596.59590000000003</v>
      </c>
      <c r="Y8699">
        <v>82</v>
      </c>
      <c r="Z8699">
        <v>344.4726</v>
      </c>
      <c r="AA8699">
        <v>82</v>
      </c>
      <c r="AB8699">
        <v>102.93519999999999</v>
      </c>
      <c r="AC8699">
        <v>3.6191849999999998E-2</v>
      </c>
      <c r="AD8699">
        <v>13.00759</v>
      </c>
      <c r="AE8699">
        <v>0.43977309999999997</v>
      </c>
      <c r="AF8699">
        <v>1760.88</v>
      </c>
      <c r="AG8699">
        <f>IFERROR(AH8699*0.1, "N/A")</f>
        <v>6.1719180000000007</v>
      </c>
      <c r="AH8699">
        <v>61.719180000000001</v>
      </c>
      <c r="AI8699">
        <v>181.85390000000001</v>
      </c>
      <c r="AJ8699">
        <v>39.794519999999999</v>
      </c>
      <c r="AK8699">
        <v>34.4863</v>
      </c>
    </row>
    <row r="8700" spans="1:37" x14ac:dyDescent="0.3">
      <c r="A8700">
        <v>8699</v>
      </c>
      <c r="B8700">
        <v>6.9</v>
      </c>
      <c r="C8700">
        <v>39.814599999999999</v>
      </c>
      <c r="D8700">
        <v>10.8592</v>
      </c>
      <c r="E8700" t="s">
        <v>13102</v>
      </c>
      <c r="F8700" t="s">
        <v>13103</v>
      </c>
      <c r="G8700" t="s">
        <v>37</v>
      </c>
      <c r="H8700">
        <v>1986</v>
      </c>
      <c r="I8700">
        <v>21.7</v>
      </c>
      <c r="J8700">
        <v>15.1</v>
      </c>
      <c r="K8700">
        <v>64</v>
      </c>
      <c r="L8700">
        <v>18.95</v>
      </c>
      <c r="M8700">
        <v>33.1</v>
      </c>
      <c r="N8700">
        <v>9.8000000000000007</v>
      </c>
      <c r="O8700">
        <v>23.3</v>
      </c>
      <c r="P8700">
        <v>22.3</v>
      </c>
      <c r="Q8700">
        <v>19.100000000000001</v>
      </c>
      <c r="R8700">
        <v>23.9</v>
      </c>
      <c r="S8700">
        <v>19.100000000000001</v>
      </c>
      <c r="T8700">
        <v>949</v>
      </c>
      <c r="U8700">
        <v>243</v>
      </c>
      <c r="V8700">
        <v>16</v>
      </c>
      <c r="W8700">
        <v>88</v>
      </c>
      <c r="X8700">
        <v>550</v>
      </c>
      <c r="Y8700">
        <v>74</v>
      </c>
      <c r="Z8700">
        <v>308</v>
      </c>
      <c r="AA8700">
        <v>74</v>
      </c>
      <c r="AB8700">
        <v>6.354749</v>
      </c>
      <c r="AC8700">
        <v>0.14407410000000001</v>
      </c>
      <c r="AD8700">
        <v>2.2836240000000001</v>
      </c>
      <c r="AE8700">
        <v>0.7041731</v>
      </c>
      <c r="AF8700">
        <v>1483.473</v>
      </c>
      <c r="AG8700">
        <f>IFERROR(AH8700*0.1, "N/A")</f>
        <v>7.2185570000000006</v>
      </c>
      <c r="AH8700">
        <v>72.185569999999998</v>
      </c>
      <c r="AI8700">
        <v>249.1267</v>
      </c>
      <c r="AJ8700">
        <v>30.381440000000001</v>
      </c>
      <c r="AK8700">
        <v>41.185569999999998</v>
      </c>
    </row>
    <row r="8701" spans="1:37" x14ac:dyDescent="0.3">
      <c r="A8701">
        <v>8700</v>
      </c>
      <c r="B8701">
        <v>33.700000000000003</v>
      </c>
      <c r="C8701">
        <v>39.773899999999998</v>
      </c>
      <c r="D8701">
        <v>10.896599999999999</v>
      </c>
      <c r="E8701" t="s">
        <v>13104</v>
      </c>
      <c r="F8701" t="s">
        <v>13105</v>
      </c>
      <c r="G8701" t="s">
        <v>37</v>
      </c>
      <c r="H8701">
        <v>1986</v>
      </c>
      <c r="I8701">
        <v>21.7</v>
      </c>
      <c r="J8701">
        <v>15.1</v>
      </c>
      <c r="K8701">
        <v>65</v>
      </c>
      <c r="L8701">
        <v>18.54</v>
      </c>
      <c r="M8701">
        <v>33</v>
      </c>
      <c r="N8701">
        <v>9.9</v>
      </c>
      <c r="O8701">
        <v>23.1</v>
      </c>
      <c r="P8701">
        <v>22.3</v>
      </c>
      <c r="Q8701">
        <v>19.100000000000001</v>
      </c>
      <c r="R8701">
        <v>23.8</v>
      </c>
      <c r="S8701">
        <v>19.100000000000001</v>
      </c>
      <c r="T8701">
        <v>943</v>
      </c>
      <c r="U8701">
        <v>242</v>
      </c>
      <c r="V8701">
        <v>16</v>
      </c>
      <c r="W8701">
        <v>88</v>
      </c>
      <c r="X8701">
        <v>546</v>
      </c>
      <c r="Y8701">
        <v>72</v>
      </c>
      <c r="Z8701">
        <v>306</v>
      </c>
      <c r="AA8701">
        <v>72</v>
      </c>
      <c r="AB8701">
        <v>4.7662170000000001</v>
      </c>
      <c r="AC8701">
        <v>8.3967599999999996E-3</v>
      </c>
      <c r="AD8701">
        <v>2.1326960000000001</v>
      </c>
      <c r="AE8701">
        <v>0.50307270000000004</v>
      </c>
      <c r="AF8701">
        <v>1467.3219999999999</v>
      </c>
      <c r="AG8701">
        <f>IFERROR(AH8701*0.1, "N/A")</f>
        <v>6.8000000000000007</v>
      </c>
      <c r="AH8701">
        <v>68</v>
      </c>
      <c r="AI8701">
        <v>81.383849999999995</v>
      </c>
      <c r="AJ8701">
        <v>39</v>
      </c>
      <c r="AK8701">
        <v>32</v>
      </c>
    </row>
    <row r="8702" spans="1:37" x14ac:dyDescent="0.3">
      <c r="A8702">
        <v>8701</v>
      </c>
      <c r="B8702">
        <v>6</v>
      </c>
      <c r="C8702">
        <v>39.754300000000001</v>
      </c>
      <c r="D8702">
        <v>10.907</v>
      </c>
      <c r="E8702" t="s">
        <v>13106</v>
      </c>
      <c r="F8702" t="s">
        <v>13107</v>
      </c>
      <c r="G8702" t="s">
        <v>37</v>
      </c>
      <c r="H8702">
        <v>1986</v>
      </c>
      <c r="I8702">
        <v>21.5</v>
      </c>
      <c r="J8702">
        <v>15.1</v>
      </c>
      <c r="K8702">
        <v>65</v>
      </c>
      <c r="L8702">
        <v>18.77</v>
      </c>
      <c r="M8702">
        <v>32.9</v>
      </c>
      <c r="N8702">
        <v>9.6999999999999993</v>
      </c>
      <c r="O8702">
        <v>23.2</v>
      </c>
      <c r="P8702">
        <v>22.2</v>
      </c>
      <c r="Q8702">
        <v>18.899999999999999</v>
      </c>
      <c r="R8702">
        <v>23.7</v>
      </c>
      <c r="S8702">
        <v>18.899999999999999</v>
      </c>
      <c r="T8702">
        <v>956</v>
      </c>
      <c r="U8702">
        <v>244</v>
      </c>
      <c r="V8702">
        <v>16</v>
      </c>
      <c r="W8702">
        <v>88</v>
      </c>
      <c r="X8702">
        <v>553</v>
      </c>
      <c r="Y8702">
        <v>72</v>
      </c>
      <c r="Z8702">
        <v>311</v>
      </c>
      <c r="AA8702">
        <v>72</v>
      </c>
      <c r="AB8702">
        <v>5.6912399999999996</v>
      </c>
      <c r="AC8702">
        <v>2.1896930000000001</v>
      </c>
      <c r="AD8702">
        <v>3.5528659999999999</v>
      </c>
      <c r="AE8702">
        <v>0.59550230000000004</v>
      </c>
      <c r="AF8702">
        <v>1496.8009999999999</v>
      </c>
      <c r="AG8702">
        <f>IFERROR(AH8702*0.1, "N/A")</f>
        <v>7.3000000000000007</v>
      </c>
      <c r="AH8702">
        <v>73</v>
      </c>
      <c r="AI8702">
        <v>89.830309999999997</v>
      </c>
      <c r="AJ8702">
        <v>38.453769999999999</v>
      </c>
      <c r="AK8702">
        <v>31.751709999999999</v>
      </c>
    </row>
    <row r="8703" spans="1:37" x14ac:dyDescent="0.3">
      <c r="A8703">
        <v>8702</v>
      </c>
      <c r="B8703">
        <v>0.7</v>
      </c>
      <c r="C8703">
        <v>36.42</v>
      </c>
      <c r="D8703">
        <v>10.91</v>
      </c>
      <c r="E8703" t="s">
        <v>13108</v>
      </c>
      <c r="F8703" t="s">
        <v>13109</v>
      </c>
      <c r="G8703" t="s">
        <v>37</v>
      </c>
      <c r="H8703">
        <v>1987</v>
      </c>
      <c r="I8703">
        <v>20.5</v>
      </c>
      <c r="J8703">
        <v>14.8</v>
      </c>
      <c r="K8703">
        <v>66</v>
      </c>
      <c r="L8703">
        <v>11.54</v>
      </c>
      <c r="M8703">
        <v>31.8</v>
      </c>
      <c r="N8703">
        <v>9.6</v>
      </c>
      <c r="O8703">
        <v>22.2</v>
      </c>
      <c r="P8703">
        <v>19.600000000000001</v>
      </c>
      <c r="Q8703">
        <v>20.100000000000001</v>
      </c>
      <c r="R8703">
        <v>22.3</v>
      </c>
      <c r="S8703">
        <v>19.600000000000001</v>
      </c>
      <c r="T8703">
        <v>1781</v>
      </c>
      <c r="U8703">
        <v>417</v>
      </c>
      <c r="V8703">
        <v>3</v>
      </c>
      <c r="W8703">
        <v>102</v>
      </c>
      <c r="X8703">
        <v>1104</v>
      </c>
      <c r="Y8703">
        <v>19</v>
      </c>
      <c r="Z8703">
        <v>197</v>
      </c>
      <c r="AA8703">
        <v>1104</v>
      </c>
      <c r="AB8703">
        <v>29.802710000000001</v>
      </c>
      <c r="AC8703">
        <v>2.07397E-2</v>
      </c>
      <c r="AD8703">
        <v>10.694129999999999</v>
      </c>
      <c r="AE8703">
        <v>0.56371859999999996</v>
      </c>
      <c r="AF8703">
        <v>1548.4939999999999</v>
      </c>
      <c r="AG8703">
        <f>IFERROR(AH8703*0.1, "N/A")</f>
        <v>5.6319660000000002</v>
      </c>
      <c r="AH8703">
        <v>56.319659999999999</v>
      </c>
      <c r="AI8703">
        <v>117.93980000000001</v>
      </c>
      <c r="AJ8703">
        <v>43.18974</v>
      </c>
      <c r="AK8703">
        <v>31.519659999999998</v>
      </c>
    </row>
    <row r="8704" spans="1:37" x14ac:dyDescent="0.3">
      <c r="A8704">
        <v>8703</v>
      </c>
      <c r="B8704">
        <v>4.5999999999999996</v>
      </c>
      <c r="C8704">
        <v>36.64</v>
      </c>
      <c r="D8704">
        <v>10.91</v>
      </c>
      <c r="E8704" t="s">
        <v>13110</v>
      </c>
      <c r="F8704" t="s">
        <v>13111</v>
      </c>
      <c r="G8704" t="s">
        <v>37</v>
      </c>
      <c r="H8704">
        <v>1987</v>
      </c>
      <c r="I8704">
        <v>18.2</v>
      </c>
      <c r="J8704">
        <v>14.7</v>
      </c>
      <c r="K8704">
        <v>69</v>
      </c>
      <c r="L8704">
        <v>9.57</v>
      </c>
      <c r="M8704">
        <v>28.8</v>
      </c>
      <c r="N8704">
        <v>7.5</v>
      </c>
      <c r="O8704">
        <v>21.3</v>
      </c>
      <c r="P8704">
        <v>17.399999999999999</v>
      </c>
      <c r="Q8704">
        <v>17.7</v>
      </c>
      <c r="R8704">
        <v>19.600000000000001</v>
      </c>
      <c r="S8704">
        <v>17.399999999999999</v>
      </c>
      <c r="T8704">
        <v>1724</v>
      </c>
      <c r="U8704">
        <v>399</v>
      </c>
      <c r="V8704">
        <v>8</v>
      </c>
      <c r="W8704">
        <v>98</v>
      </c>
      <c r="X8704">
        <v>1046</v>
      </c>
      <c r="Y8704">
        <v>39</v>
      </c>
      <c r="Z8704">
        <v>190</v>
      </c>
      <c r="AA8704">
        <v>1046</v>
      </c>
      <c r="AB8704">
        <v>27.910070000000001</v>
      </c>
      <c r="AC8704">
        <v>2.524645E-2</v>
      </c>
      <c r="AD8704">
        <v>11.41586</v>
      </c>
      <c r="AE8704">
        <v>0.51445640000000004</v>
      </c>
      <c r="AF8704">
        <v>1866.383</v>
      </c>
      <c r="AG8704">
        <f>IFERROR(AH8704*0.1, "N/A")</f>
        <v>5.2</v>
      </c>
      <c r="AH8704">
        <v>52</v>
      </c>
      <c r="AI8704">
        <v>166.07579999999999</v>
      </c>
      <c r="AJ8704">
        <v>45.191450000000003</v>
      </c>
      <c r="AK8704">
        <v>28.403420000000001</v>
      </c>
    </row>
    <row r="8705" spans="1:37" x14ac:dyDescent="0.3">
      <c r="A8705">
        <v>8704</v>
      </c>
      <c r="B8705">
        <v>21</v>
      </c>
      <c r="C8705">
        <v>39.768999999999998</v>
      </c>
      <c r="D8705">
        <v>10.9131</v>
      </c>
      <c r="E8705" t="s">
        <v>13112</v>
      </c>
      <c r="F8705" t="s">
        <v>13113</v>
      </c>
      <c r="G8705" t="s">
        <v>37</v>
      </c>
      <c r="H8705">
        <v>1986</v>
      </c>
      <c r="I8705">
        <v>21.6</v>
      </c>
      <c r="J8705">
        <v>15.1</v>
      </c>
      <c r="K8705">
        <v>65</v>
      </c>
      <c r="L8705">
        <v>19.05</v>
      </c>
      <c r="M8705">
        <v>33</v>
      </c>
      <c r="N8705">
        <v>9.8000000000000007</v>
      </c>
      <c r="O8705">
        <v>23.2</v>
      </c>
      <c r="P8705">
        <v>22.3</v>
      </c>
      <c r="Q8705">
        <v>19</v>
      </c>
      <c r="R8705">
        <v>23.8</v>
      </c>
      <c r="S8705">
        <v>19</v>
      </c>
      <c r="T8705">
        <v>948</v>
      </c>
      <c r="U8705">
        <v>243</v>
      </c>
      <c r="V8705">
        <v>16</v>
      </c>
      <c r="W8705">
        <v>87</v>
      </c>
      <c r="X8705">
        <v>547</v>
      </c>
      <c r="Y8705">
        <v>72</v>
      </c>
      <c r="Z8705">
        <v>307</v>
      </c>
      <c r="AA8705">
        <v>72</v>
      </c>
      <c r="AB8705">
        <v>0.91802499999999998</v>
      </c>
      <c r="AC8705">
        <v>1.11486</v>
      </c>
      <c r="AD8705">
        <v>1.7877959999999999</v>
      </c>
      <c r="AE8705">
        <v>0.4829504</v>
      </c>
      <c r="AF8705">
        <v>1472.232</v>
      </c>
      <c r="AG8705">
        <f>IFERROR(AH8705*0.1, "N/A")</f>
        <v>6.7259450000000003</v>
      </c>
      <c r="AH8705">
        <v>67.259450000000001</v>
      </c>
      <c r="AI8705">
        <v>245.2824</v>
      </c>
      <c r="AJ8705">
        <v>43.125430000000001</v>
      </c>
      <c r="AK8705">
        <v>26</v>
      </c>
    </row>
    <row r="8706" spans="1:37" x14ac:dyDescent="0.3">
      <c r="A8706">
        <v>8705</v>
      </c>
      <c r="B8706">
        <v>15</v>
      </c>
      <c r="C8706">
        <v>39.783299999999997</v>
      </c>
      <c r="D8706">
        <v>10.916700000000001</v>
      </c>
      <c r="E8706" t="s">
        <v>13114</v>
      </c>
      <c r="F8706" t="s">
        <v>13115</v>
      </c>
      <c r="G8706" t="s">
        <v>37</v>
      </c>
      <c r="H8706">
        <v>1987</v>
      </c>
      <c r="I8706">
        <v>21.6</v>
      </c>
      <c r="J8706">
        <v>15.1</v>
      </c>
      <c r="K8706">
        <v>65</v>
      </c>
      <c r="L8706">
        <v>18.632760000000001</v>
      </c>
      <c r="M8706">
        <v>32.983530000000002</v>
      </c>
      <c r="N8706">
        <v>9.7857629999999993</v>
      </c>
      <c r="O8706">
        <v>23.197769999999998</v>
      </c>
      <c r="P8706">
        <v>22.23499</v>
      </c>
      <c r="Q8706">
        <v>19.0199</v>
      </c>
      <c r="R8706">
        <v>23.718530000000001</v>
      </c>
      <c r="S8706">
        <v>18.999829999999999</v>
      </c>
      <c r="T8706">
        <v>949.35680000000002</v>
      </c>
      <c r="U8706">
        <v>243.16470000000001</v>
      </c>
      <c r="V8706">
        <v>16</v>
      </c>
      <c r="W8706">
        <v>87.327619999999996</v>
      </c>
      <c r="X8706">
        <v>548.00340000000006</v>
      </c>
      <c r="Y8706">
        <v>72.859350000000006</v>
      </c>
      <c r="Z8706">
        <v>306.32929999999999</v>
      </c>
      <c r="AA8706">
        <v>72.859350000000006</v>
      </c>
      <c r="AB8706">
        <v>13.272500000000001</v>
      </c>
      <c r="AC8706">
        <v>4.8821339999999998E-2</v>
      </c>
      <c r="AD8706">
        <v>1.6953590000000001</v>
      </c>
      <c r="AE8706">
        <v>0.49420150000000002</v>
      </c>
      <c r="AF8706">
        <v>1482.902</v>
      </c>
      <c r="AG8706">
        <f>IFERROR(AH8706*0.1, "N/A")</f>
        <v>7.0813040000000003</v>
      </c>
      <c r="AH8706">
        <v>70.813040000000001</v>
      </c>
      <c r="AI8706">
        <v>216.53200000000001</v>
      </c>
      <c r="AJ8706">
        <v>40.439109999999999</v>
      </c>
      <c r="AK8706">
        <v>29.560890000000001</v>
      </c>
    </row>
    <row r="8707" spans="1:37" x14ac:dyDescent="0.3">
      <c r="A8707">
        <v>8706</v>
      </c>
      <c r="B8707">
        <v>25</v>
      </c>
      <c r="C8707">
        <v>39.785499999999999</v>
      </c>
      <c r="D8707">
        <v>10.9221</v>
      </c>
      <c r="E8707" t="s">
        <v>13116</v>
      </c>
      <c r="F8707" t="s">
        <v>13117</v>
      </c>
      <c r="G8707" t="s">
        <v>37</v>
      </c>
      <c r="H8707">
        <v>1976</v>
      </c>
      <c r="I8707">
        <v>21.6</v>
      </c>
      <c r="J8707">
        <v>15.1</v>
      </c>
      <c r="K8707">
        <v>65</v>
      </c>
      <c r="L8707">
        <v>18.84</v>
      </c>
      <c r="M8707">
        <v>32.9</v>
      </c>
      <c r="N8707">
        <v>9.6999999999999993</v>
      </c>
      <c r="O8707">
        <v>23.2</v>
      </c>
      <c r="P8707">
        <v>22.3</v>
      </c>
      <c r="Q8707">
        <v>18.899999999999999</v>
      </c>
      <c r="R8707">
        <v>23.7</v>
      </c>
      <c r="S8707">
        <v>18.899999999999999</v>
      </c>
      <c r="T8707">
        <v>954</v>
      </c>
      <c r="U8707">
        <v>244</v>
      </c>
      <c r="V8707">
        <v>16</v>
      </c>
      <c r="W8707">
        <v>88</v>
      </c>
      <c r="X8707">
        <v>550</v>
      </c>
      <c r="Y8707">
        <v>73</v>
      </c>
      <c r="Z8707">
        <v>308</v>
      </c>
      <c r="AA8707">
        <v>73</v>
      </c>
      <c r="AB8707">
        <v>16.68469</v>
      </c>
      <c r="AC8707">
        <v>3.5211319999999997E-2</v>
      </c>
      <c r="AD8707">
        <v>2.5743480000000001</v>
      </c>
      <c r="AE8707">
        <v>0.55046079999999997</v>
      </c>
      <c r="AF8707">
        <v>1493.4390000000001</v>
      </c>
      <c r="AG8707">
        <f>IFERROR(AH8707*0.1, "N/A")</f>
        <v>7.2092619999999998</v>
      </c>
      <c r="AH8707">
        <v>72.092619999999997</v>
      </c>
      <c r="AI8707">
        <v>277.54489999999998</v>
      </c>
      <c r="AJ8707">
        <v>38.725560000000002</v>
      </c>
      <c r="AK8707">
        <v>32.327620000000003</v>
      </c>
    </row>
    <row r="8708" spans="1:37" x14ac:dyDescent="0.3">
      <c r="A8708">
        <v>8707</v>
      </c>
      <c r="B8708">
        <v>15</v>
      </c>
      <c r="C8708">
        <v>39.785800000000002</v>
      </c>
      <c r="D8708">
        <v>10.9222</v>
      </c>
      <c r="E8708" t="s">
        <v>13118</v>
      </c>
      <c r="F8708" t="s">
        <v>13119</v>
      </c>
      <c r="G8708" t="s">
        <v>37</v>
      </c>
      <c r="H8708">
        <v>1986</v>
      </c>
      <c r="I8708">
        <v>21.6</v>
      </c>
      <c r="J8708">
        <v>15.1</v>
      </c>
      <c r="K8708">
        <v>65</v>
      </c>
      <c r="L8708">
        <v>18.84</v>
      </c>
      <c r="M8708">
        <v>32.9</v>
      </c>
      <c r="N8708">
        <v>9.6999999999999993</v>
      </c>
      <c r="O8708">
        <v>23.2</v>
      </c>
      <c r="P8708">
        <v>22.3</v>
      </c>
      <c r="Q8708">
        <v>18.899999999999999</v>
      </c>
      <c r="R8708">
        <v>23.7</v>
      </c>
      <c r="S8708">
        <v>18.899999999999999</v>
      </c>
      <c r="T8708">
        <v>954</v>
      </c>
      <c r="U8708">
        <v>244</v>
      </c>
      <c r="V8708">
        <v>16</v>
      </c>
      <c r="W8708">
        <v>88</v>
      </c>
      <c r="X8708">
        <v>550</v>
      </c>
      <c r="Y8708">
        <v>73</v>
      </c>
      <c r="Z8708">
        <v>308</v>
      </c>
      <c r="AA8708">
        <v>73</v>
      </c>
      <c r="AB8708">
        <v>17.423459999999999</v>
      </c>
      <c r="AC8708">
        <v>5.0476630000000001E-2</v>
      </c>
      <c r="AD8708">
        <v>2.8970829999999999</v>
      </c>
      <c r="AE8708">
        <v>0.55046079999999997</v>
      </c>
      <c r="AF8708">
        <v>1494.847</v>
      </c>
      <c r="AG8708">
        <f>IFERROR(AH8708*0.1, "N/A")</f>
        <v>7.3024010000000006</v>
      </c>
      <c r="AH8708">
        <v>73.024010000000004</v>
      </c>
      <c r="AI8708">
        <v>271.45530000000002</v>
      </c>
      <c r="AJ8708">
        <v>38.874789999999997</v>
      </c>
      <c r="AK8708">
        <v>32.595199999999998</v>
      </c>
    </row>
    <row r="8709" spans="1:37" x14ac:dyDescent="0.3">
      <c r="A8709">
        <v>8708</v>
      </c>
      <c r="B8709">
        <v>1.2</v>
      </c>
      <c r="C8709">
        <v>39.632599999999996</v>
      </c>
      <c r="D8709">
        <v>10.933199999999999</v>
      </c>
      <c r="E8709" t="s">
        <v>13120</v>
      </c>
      <c r="F8709" t="s">
        <v>13121</v>
      </c>
      <c r="G8709" t="s">
        <v>37</v>
      </c>
      <c r="H8709">
        <v>1986</v>
      </c>
      <c r="I8709">
        <v>14.690720000000001</v>
      </c>
      <c r="J8709">
        <v>15.134880000000001</v>
      </c>
      <c r="K8709">
        <v>73.348799999999997</v>
      </c>
      <c r="L8709">
        <v>12.913019999999999</v>
      </c>
      <c r="M8709">
        <v>24.55584</v>
      </c>
      <c r="N8709">
        <v>4.0558420000000002</v>
      </c>
      <c r="O8709">
        <v>20.5</v>
      </c>
      <c r="P8709">
        <v>15.65584</v>
      </c>
      <c r="Q8709">
        <v>12.89072</v>
      </c>
      <c r="R8709">
        <v>16.190719999999999</v>
      </c>
      <c r="S8709">
        <v>12.89072</v>
      </c>
      <c r="T8709">
        <v>1145.6980000000001</v>
      </c>
      <c r="U8709">
        <v>287.44159999999999</v>
      </c>
      <c r="V8709">
        <v>18.651199999999999</v>
      </c>
      <c r="W8709">
        <v>95.697590000000005</v>
      </c>
      <c r="X8709">
        <v>715.79039999999998</v>
      </c>
      <c r="Y8709">
        <v>59.953609999999998</v>
      </c>
      <c r="Z8709">
        <v>407.04640000000001</v>
      </c>
      <c r="AA8709">
        <v>59.953609999999998</v>
      </c>
      <c r="AB8709">
        <v>179.0078</v>
      </c>
      <c r="AC8709">
        <v>1.230506E-2</v>
      </c>
      <c r="AD8709">
        <v>23.930479999999999</v>
      </c>
      <c r="AE8709">
        <v>0.52120449999999996</v>
      </c>
      <c r="AF8709">
        <v>2627.1860000000001</v>
      </c>
      <c r="AG8709">
        <f>IFERROR(AH8709*0.1, "N/A")</f>
        <v>6.2018900000000006</v>
      </c>
      <c r="AH8709">
        <v>62.018900000000002</v>
      </c>
      <c r="AI8709">
        <v>180.78399999999999</v>
      </c>
      <c r="AJ8709">
        <v>38.962200000000003</v>
      </c>
      <c r="AK8709">
        <v>32.018900000000002</v>
      </c>
    </row>
    <row r="8710" spans="1:37" x14ac:dyDescent="0.3">
      <c r="A8710">
        <v>8709</v>
      </c>
      <c r="B8710">
        <v>4.8</v>
      </c>
      <c r="C8710">
        <v>36.5</v>
      </c>
      <c r="D8710">
        <v>10.95</v>
      </c>
      <c r="E8710" t="s">
        <v>13122</v>
      </c>
      <c r="F8710" t="s">
        <v>13123</v>
      </c>
      <c r="G8710" t="s">
        <v>37</v>
      </c>
      <c r="H8710">
        <v>1990</v>
      </c>
      <c r="I8710">
        <v>20.171970000000002</v>
      </c>
      <c r="J8710">
        <v>14.8</v>
      </c>
      <c r="K8710">
        <v>66</v>
      </c>
      <c r="L8710">
        <v>11.229369999999999</v>
      </c>
      <c r="M8710">
        <v>31.436920000000001</v>
      </c>
      <c r="N8710">
        <v>9.2369230000000009</v>
      </c>
      <c r="O8710">
        <v>22.2</v>
      </c>
      <c r="P8710">
        <v>19.27197</v>
      </c>
      <c r="Q8710">
        <v>19.650939999999999</v>
      </c>
      <c r="R8710">
        <v>21.950939999999999</v>
      </c>
      <c r="S8710">
        <v>19.27197</v>
      </c>
      <c r="T8710">
        <v>1750.4739999999999</v>
      </c>
      <c r="U8710">
        <v>406.05810000000002</v>
      </c>
      <c r="V8710">
        <v>3.859829</v>
      </c>
      <c r="W8710">
        <v>102</v>
      </c>
      <c r="X8710">
        <v>1082.135</v>
      </c>
      <c r="Y8710">
        <v>21.350429999999999</v>
      </c>
      <c r="Z8710">
        <v>190.29910000000001</v>
      </c>
      <c r="AA8710">
        <v>370.31970000000001</v>
      </c>
      <c r="AB8710">
        <v>108.0993</v>
      </c>
      <c r="AC8710">
        <v>9.0697580000000007E-3</v>
      </c>
      <c r="AD8710">
        <v>10.88607</v>
      </c>
      <c r="AE8710">
        <v>0.61805639999999995</v>
      </c>
      <c r="AF8710">
        <v>1645.2840000000001</v>
      </c>
      <c r="AG8710">
        <f>IFERROR(AH8710*0.1, "N/A")</f>
        <v>5.4158970000000002</v>
      </c>
      <c r="AH8710">
        <v>54.158969999999997</v>
      </c>
      <c r="AI8710">
        <v>169.53139999999999</v>
      </c>
      <c r="AJ8710">
        <v>47.835900000000002</v>
      </c>
      <c r="AK8710">
        <v>28.11795</v>
      </c>
    </row>
    <row r="8711" spans="1:37" x14ac:dyDescent="0.3">
      <c r="A8711">
        <v>8710</v>
      </c>
      <c r="B8711">
        <v>4.4000000000000004</v>
      </c>
      <c r="C8711">
        <v>39.634700000000002</v>
      </c>
      <c r="D8711">
        <v>10.9574</v>
      </c>
      <c r="E8711" t="s">
        <v>13124</v>
      </c>
      <c r="F8711" t="s">
        <v>13125</v>
      </c>
      <c r="G8711" t="s">
        <v>37</v>
      </c>
      <c r="H8711">
        <v>1986</v>
      </c>
      <c r="I8711">
        <v>16.600000000000001</v>
      </c>
      <c r="J8711">
        <v>14.9</v>
      </c>
      <c r="K8711">
        <v>72</v>
      </c>
      <c r="L8711">
        <v>13.99</v>
      </c>
      <c r="M8711">
        <v>26.7</v>
      </c>
      <c r="N8711">
        <v>6.1</v>
      </c>
      <c r="O8711">
        <v>20.6</v>
      </c>
      <c r="P8711">
        <v>17.5</v>
      </c>
      <c r="Q8711">
        <v>14.6</v>
      </c>
      <c r="R8711">
        <v>18.3</v>
      </c>
      <c r="S8711">
        <v>14.6</v>
      </c>
      <c r="T8711">
        <v>1131</v>
      </c>
      <c r="U8711">
        <v>273</v>
      </c>
      <c r="V8711">
        <v>21</v>
      </c>
      <c r="W8711">
        <v>91</v>
      </c>
      <c r="X8711">
        <v>686</v>
      </c>
      <c r="Y8711">
        <v>72</v>
      </c>
      <c r="Z8711">
        <v>388</v>
      </c>
      <c r="AA8711">
        <v>72</v>
      </c>
      <c r="AB8711">
        <v>28.694849999999999</v>
      </c>
      <c r="AC8711">
        <v>0.1138947</v>
      </c>
      <c r="AD8711">
        <v>2.272723</v>
      </c>
      <c r="AE8711">
        <v>0.52049420000000002</v>
      </c>
      <c r="AF8711">
        <v>2316.52</v>
      </c>
      <c r="AG8711">
        <f>IFERROR(AH8711*0.1, "N/A")</f>
        <v>6.3627989999999999</v>
      </c>
      <c r="AH8711">
        <v>63.627989999999997</v>
      </c>
      <c r="AI8711">
        <v>77.041489999999996</v>
      </c>
      <c r="AJ8711">
        <v>37.063139999999997</v>
      </c>
      <c r="AK8711">
        <v>32.936860000000003</v>
      </c>
    </row>
    <row r="8712" spans="1:37" x14ac:dyDescent="0.3">
      <c r="A8712">
        <v>8711</v>
      </c>
      <c r="B8712">
        <v>15</v>
      </c>
      <c r="C8712">
        <v>37.473399999999998</v>
      </c>
      <c r="D8712">
        <v>10.978899999999999</v>
      </c>
      <c r="E8712" t="s">
        <v>13126</v>
      </c>
      <c r="F8712" t="s">
        <v>13127</v>
      </c>
      <c r="G8712" t="s">
        <v>37</v>
      </c>
      <c r="H8712">
        <v>1995</v>
      </c>
      <c r="I8712">
        <v>16.100000000000001</v>
      </c>
      <c r="J8712">
        <v>14.2</v>
      </c>
      <c r="K8712">
        <v>75</v>
      </c>
      <c r="L8712">
        <v>9.17</v>
      </c>
      <c r="M8712">
        <v>25.4</v>
      </c>
      <c r="N8712">
        <v>6.7</v>
      </c>
      <c r="O8712">
        <v>18.7</v>
      </c>
      <c r="P8712">
        <v>15.2</v>
      </c>
      <c r="Q8712">
        <v>15.6</v>
      </c>
      <c r="R8712">
        <v>17.399999999999999</v>
      </c>
      <c r="S8712">
        <v>15.2</v>
      </c>
      <c r="T8712">
        <v>1579</v>
      </c>
      <c r="U8712">
        <v>381</v>
      </c>
      <c r="V8712">
        <v>13</v>
      </c>
      <c r="W8712">
        <v>97</v>
      </c>
      <c r="X8712">
        <v>983</v>
      </c>
      <c r="Y8712">
        <v>54</v>
      </c>
      <c r="Z8712">
        <v>202</v>
      </c>
      <c r="AA8712">
        <v>983</v>
      </c>
      <c r="AB8712">
        <v>69.67407</v>
      </c>
      <c r="AC8712">
        <v>0.15281239999999999</v>
      </c>
      <c r="AD8712">
        <v>18.774719999999999</v>
      </c>
      <c r="AE8712">
        <v>0.41753240000000003</v>
      </c>
      <c r="AF8712">
        <v>2400.7089999999998</v>
      </c>
      <c r="AG8712">
        <f>IFERROR(AH8712*0.1, "N/A")</f>
        <v>6.0626710000000008</v>
      </c>
      <c r="AH8712">
        <v>60.626710000000003</v>
      </c>
      <c r="AI8712">
        <v>329.67790000000002</v>
      </c>
      <c r="AJ8712">
        <v>39.655819999999999</v>
      </c>
      <c r="AK8712">
        <v>32.344180000000001</v>
      </c>
    </row>
    <row r="8713" spans="1:37" x14ac:dyDescent="0.3">
      <c r="A8713">
        <v>8712</v>
      </c>
      <c r="B8713">
        <v>0</v>
      </c>
      <c r="C8713">
        <v>39.648299999999999</v>
      </c>
      <c r="D8713">
        <v>10.9879</v>
      </c>
      <c r="E8713" t="s">
        <v>13128</v>
      </c>
      <c r="F8713" t="s">
        <v>13129</v>
      </c>
      <c r="G8713" t="s">
        <v>37</v>
      </c>
      <c r="H8713">
        <v>1986</v>
      </c>
      <c r="I8713">
        <v>14.9</v>
      </c>
      <c r="J8713">
        <v>15.3</v>
      </c>
      <c r="K8713">
        <v>73</v>
      </c>
      <c r="L8713">
        <v>13.32</v>
      </c>
      <c r="M8713">
        <v>24.8</v>
      </c>
      <c r="N8713">
        <v>4</v>
      </c>
      <c r="O8713">
        <v>20.8</v>
      </c>
      <c r="P8713">
        <v>15.9</v>
      </c>
      <c r="Q8713">
        <v>13</v>
      </c>
      <c r="R8713">
        <v>16.399999999999999</v>
      </c>
      <c r="S8713">
        <v>13</v>
      </c>
      <c r="T8713">
        <v>1147</v>
      </c>
      <c r="U8713">
        <v>286</v>
      </c>
      <c r="V8713">
        <v>20</v>
      </c>
      <c r="W8713">
        <v>95</v>
      </c>
      <c r="X8713">
        <v>711</v>
      </c>
      <c r="Y8713">
        <v>62</v>
      </c>
      <c r="Z8713">
        <v>401</v>
      </c>
      <c r="AA8713">
        <v>62</v>
      </c>
      <c r="AB8713">
        <v>163.27260000000001</v>
      </c>
      <c r="AC8713">
        <v>8.3942189999999996E-3</v>
      </c>
      <c r="AD8713">
        <v>11.663589999999999</v>
      </c>
      <c r="AE8713">
        <v>0.48608630000000003</v>
      </c>
      <c r="AF8713">
        <v>2566.5329999999999</v>
      </c>
      <c r="AG8713">
        <f>IFERROR(AH8713*0.1, "N/A")</f>
        <v>6</v>
      </c>
      <c r="AH8713">
        <v>60</v>
      </c>
      <c r="AI8713">
        <v>238.51589999999999</v>
      </c>
      <c r="AJ8713">
        <v>39.730699999999999</v>
      </c>
      <c r="AK8713">
        <v>30.538589999999999</v>
      </c>
    </row>
    <row r="8714" spans="1:37" x14ac:dyDescent="0.3">
      <c r="A8714">
        <v>8713</v>
      </c>
      <c r="B8714">
        <v>14.2</v>
      </c>
      <c r="C8714">
        <v>39.75</v>
      </c>
      <c r="D8714">
        <v>11.04</v>
      </c>
      <c r="E8714" t="s">
        <v>13130</v>
      </c>
      <c r="F8714" t="s">
        <v>13131</v>
      </c>
      <c r="G8714" t="s">
        <v>37</v>
      </c>
      <c r="H8714">
        <v>1987</v>
      </c>
      <c r="I8714">
        <v>19.84065</v>
      </c>
      <c r="J8714">
        <v>14.51355</v>
      </c>
      <c r="K8714">
        <v>68</v>
      </c>
      <c r="L8714">
        <v>16.722570000000001</v>
      </c>
      <c r="M8714">
        <v>30.827100000000002</v>
      </c>
      <c r="N8714">
        <v>9.6999999999999993</v>
      </c>
      <c r="O8714">
        <v>21.127099999999999</v>
      </c>
      <c r="P8714">
        <v>20.7271</v>
      </c>
      <c r="Q8714">
        <v>17.540649999999999</v>
      </c>
      <c r="R8714">
        <v>22.013549999999999</v>
      </c>
      <c r="S8714">
        <v>17.540649999999999</v>
      </c>
      <c r="T8714">
        <v>1034.509</v>
      </c>
      <c r="U8714">
        <v>249.86449999999999</v>
      </c>
      <c r="V8714">
        <v>18</v>
      </c>
      <c r="W8714">
        <v>87</v>
      </c>
      <c r="X8714">
        <v>601.64490000000001</v>
      </c>
      <c r="Y8714">
        <v>77</v>
      </c>
      <c r="Z8714">
        <v>335.32249999999999</v>
      </c>
      <c r="AA8714">
        <v>77</v>
      </c>
      <c r="AB8714">
        <v>0.5612355</v>
      </c>
      <c r="AC8714">
        <v>0.6288532</v>
      </c>
      <c r="AD8714">
        <v>2.069963</v>
      </c>
      <c r="AE8714">
        <v>0.66310729999999996</v>
      </c>
      <c r="AF8714">
        <v>1792.624</v>
      </c>
      <c r="AG8714">
        <f>IFERROR(AH8714*0.1, "N/A")</f>
        <v>6.7</v>
      </c>
      <c r="AH8714">
        <v>67</v>
      </c>
      <c r="AI8714">
        <v>261.80849999999998</v>
      </c>
      <c r="AJ8714">
        <v>42</v>
      </c>
      <c r="AK8714">
        <v>29</v>
      </c>
    </row>
    <row r="8715" spans="1:37" x14ac:dyDescent="0.3">
      <c r="A8715">
        <v>8714</v>
      </c>
      <c r="B8715">
        <v>0.5</v>
      </c>
      <c r="C8715">
        <v>37.866700000000002</v>
      </c>
      <c r="D8715">
        <v>11.083299999999999</v>
      </c>
      <c r="E8715" t="s">
        <v>13132</v>
      </c>
      <c r="F8715" t="s">
        <v>13133</v>
      </c>
      <c r="G8715" t="s">
        <v>37</v>
      </c>
      <c r="H8715">
        <v>1987</v>
      </c>
      <c r="I8715">
        <v>16.711449999999999</v>
      </c>
      <c r="J8715">
        <v>14.328889999999999</v>
      </c>
      <c r="K8715">
        <v>77.521370000000005</v>
      </c>
      <c r="L8715">
        <v>10.44885</v>
      </c>
      <c r="M8715">
        <v>25.85932</v>
      </c>
      <c r="N8715">
        <v>7.5056409999999998</v>
      </c>
      <c r="O8715">
        <v>18.353680000000001</v>
      </c>
      <c r="P8715">
        <v>15.482390000000001</v>
      </c>
      <c r="Q8715">
        <v>16.324619999999999</v>
      </c>
      <c r="R8715">
        <v>18.211449999999999</v>
      </c>
      <c r="S8715">
        <v>15.482390000000001</v>
      </c>
      <c r="T8715">
        <v>1419.2</v>
      </c>
      <c r="U8715">
        <v>377.36410000000001</v>
      </c>
      <c r="V8715">
        <v>10.521369999999999</v>
      </c>
      <c r="W8715">
        <v>106.2889</v>
      </c>
      <c r="X8715">
        <v>936.90430000000003</v>
      </c>
      <c r="Y8715">
        <v>39.232480000000002</v>
      </c>
      <c r="Z8715">
        <v>293.88720000000001</v>
      </c>
      <c r="AA8715">
        <v>936.90430000000003</v>
      </c>
      <c r="AB8715">
        <v>44.93694</v>
      </c>
      <c r="AC8715">
        <v>2.7627410000000002E-2</v>
      </c>
      <c r="AD8715">
        <v>4.5532000000000004</v>
      </c>
      <c r="AE8715">
        <v>0.75084189999999995</v>
      </c>
      <c r="AF8715">
        <v>2410.6309999999999</v>
      </c>
      <c r="AG8715">
        <f>IFERROR(AH8715*0.1, "N/A")</f>
        <v>6.0914530000000005</v>
      </c>
      <c r="AH8715">
        <v>60.914529999999999</v>
      </c>
      <c r="AI8715">
        <v>249.8878</v>
      </c>
      <c r="AJ8715">
        <v>51.528210000000001</v>
      </c>
      <c r="AK8715">
        <v>24.996580000000002</v>
      </c>
    </row>
    <row r="8716" spans="1:37" x14ac:dyDescent="0.3">
      <c r="A8716">
        <v>8715</v>
      </c>
      <c r="B8716">
        <v>16</v>
      </c>
      <c r="C8716">
        <v>39.7333</v>
      </c>
      <c r="D8716">
        <v>11.083299999999999</v>
      </c>
      <c r="E8716" t="s">
        <v>13134</v>
      </c>
      <c r="F8716" t="s">
        <v>13135</v>
      </c>
      <c r="G8716" t="s">
        <v>37</v>
      </c>
      <c r="H8716">
        <v>1986</v>
      </c>
      <c r="I8716">
        <v>19.7</v>
      </c>
      <c r="J8716">
        <v>14.48113</v>
      </c>
      <c r="K8716">
        <v>69</v>
      </c>
      <c r="L8716">
        <v>16.38242</v>
      </c>
      <c r="M8716">
        <v>30.581130000000002</v>
      </c>
      <c r="N8716">
        <v>9.6999999999999993</v>
      </c>
      <c r="O8716">
        <v>20.881129999999999</v>
      </c>
      <c r="P8716">
        <v>20.724530000000001</v>
      </c>
      <c r="Q8716">
        <v>17.48113</v>
      </c>
      <c r="R8716">
        <v>21.8</v>
      </c>
      <c r="S8716">
        <v>17.48113</v>
      </c>
      <c r="T8716">
        <v>1040.42</v>
      </c>
      <c r="U8716">
        <v>250</v>
      </c>
      <c r="V8716">
        <v>19</v>
      </c>
      <c r="W8716">
        <v>88</v>
      </c>
      <c r="X8716">
        <v>606.18870000000004</v>
      </c>
      <c r="Y8716">
        <v>78</v>
      </c>
      <c r="Z8716">
        <v>336.18869999999998</v>
      </c>
      <c r="AA8716">
        <v>78</v>
      </c>
      <c r="AB8716">
        <v>1.123178</v>
      </c>
      <c r="AC8716">
        <v>112.8634</v>
      </c>
      <c r="AD8716">
        <v>1.792062</v>
      </c>
      <c r="AE8716">
        <v>0.66250260000000005</v>
      </c>
      <c r="AF8716">
        <v>1814.528</v>
      </c>
      <c r="AG8716">
        <f>IFERROR(AH8716*0.1, "N/A")</f>
        <v>7.030189</v>
      </c>
      <c r="AH8716">
        <v>70.30189</v>
      </c>
      <c r="AI8716">
        <v>151.3194</v>
      </c>
      <c r="AJ8716">
        <v>43.566040000000001</v>
      </c>
      <c r="AK8716">
        <v>25.433959999999999</v>
      </c>
    </row>
    <row r="8717" spans="1:37" x14ac:dyDescent="0.3">
      <c r="A8717">
        <v>8716</v>
      </c>
      <c r="B8717">
        <v>2.4</v>
      </c>
      <c r="C8717">
        <v>36.402999999999999</v>
      </c>
      <c r="D8717">
        <v>11.1097</v>
      </c>
      <c r="E8717" t="s">
        <v>13136</v>
      </c>
      <c r="F8717" t="s">
        <v>13137</v>
      </c>
      <c r="G8717" t="s">
        <v>37</v>
      </c>
      <c r="H8717">
        <v>1990</v>
      </c>
      <c r="I8717">
        <v>22.2</v>
      </c>
      <c r="J8717">
        <v>14.9</v>
      </c>
      <c r="K8717">
        <v>67</v>
      </c>
      <c r="L8717">
        <v>12.13</v>
      </c>
      <c r="M8717">
        <v>33.5</v>
      </c>
      <c r="N8717">
        <v>11.5</v>
      </c>
      <c r="O8717">
        <v>22</v>
      </c>
      <c r="P8717">
        <v>21.1</v>
      </c>
      <c r="Q8717">
        <v>21.7</v>
      </c>
      <c r="R8717">
        <v>24.1</v>
      </c>
      <c r="S8717">
        <v>21.1</v>
      </c>
      <c r="T8717">
        <v>1851</v>
      </c>
      <c r="U8717">
        <v>457</v>
      </c>
      <c r="V8717">
        <v>1</v>
      </c>
      <c r="W8717">
        <v>109</v>
      </c>
      <c r="X8717">
        <v>1209</v>
      </c>
      <c r="Y8717">
        <v>6</v>
      </c>
      <c r="Z8717">
        <v>211</v>
      </c>
      <c r="AA8717">
        <v>1209</v>
      </c>
      <c r="AB8717">
        <v>48.836820000000003</v>
      </c>
      <c r="AC8717">
        <v>2.2970419999999998E-2</v>
      </c>
      <c r="AD8717">
        <v>4.1869059999999996</v>
      </c>
      <c r="AE8717">
        <v>0.50724020000000003</v>
      </c>
      <c r="AF8717">
        <v>1317.136</v>
      </c>
      <c r="AG8717">
        <f>IFERROR(AH8717*0.1, "N/A")</f>
        <v>5.1931390000000004</v>
      </c>
      <c r="AH8717">
        <v>51.93139</v>
      </c>
      <c r="AI8717">
        <v>193.66650000000001</v>
      </c>
      <c r="AJ8717">
        <v>40.445970000000003</v>
      </c>
      <c r="AK8717">
        <v>35.264150000000001</v>
      </c>
    </row>
    <row r="8718" spans="1:37" x14ac:dyDescent="0.3">
      <c r="A8718">
        <v>8717</v>
      </c>
      <c r="B8718">
        <v>6.8</v>
      </c>
      <c r="C8718">
        <v>39.633299999999998</v>
      </c>
      <c r="D8718">
        <v>11.1333</v>
      </c>
      <c r="E8718" t="s">
        <v>13138</v>
      </c>
      <c r="F8718" t="s">
        <v>13139</v>
      </c>
      <c r="G8718" t="s">
        <v>37</v>
      </c>
      <c r="H8718">
        <v>1987</v>
      </c>
      <c r="I8718">
        <v>15.059519999999999</v>
      </c>
      <c r="J8718">
        <v>15.70172</v>
      </c>
      <c r="K8718">
        <v>73.795879999999997</v>
      </c>
      <c r="L8718">
        <v>13.76182</v>
      </c>
      <c r="M8718">
        <v>25.162610000000001</v>
      </c>
      <c r="N8718">
        <v>3.94048</v>
      </c>
      <c r="O8718">
        <v>21.22213</v>
      </c>
      <c r="P8718">
        <v>16.23911</v>
      </c>
      <c r="Q8718">
        <v>13.22316</v>
      </c>
      <c r="R8718">
        <v>16.7422</v>
      </c>
      <c r="S8718">
        <v>13.22316</v>
      </c>
      <c r="T8718">
        <v>1138.82</v>
      </c>
      <c r="U8718">
        <v>283.41849999999999</v>
      </c>
      <c r="V8718">
        <v>19.20412</v>
      </c>
      <c r="W8718">
        <v>93.622640000000004</v>
      </c>
      <c r="X8718">
        <v>699.85080000000005</v>
      </c>
      <c r="Y8718">
        <v>65.391080000000002</v>
      </c>
      <c r="Z8718">
        <v>598.63289999999995</v>
      </c>
      <c r="AA8718">
        <v>65.391080000000002</v>
      </c>
      <c r="AB8718">
        <v>12.967280000000001</v>
      </c>
      <c r="AC8718">
        <v>0.44876329999999998</v>
      </c>
      <c r="AD8718">
        <v>8.2333010000000009</v>
      </c>
      <c r="AE8718">
        <v>0.63861619999999997</v>
      </c>
      <c r="AF8718">
        <v>2490.7150000000001</v>
      </c>
      <c r="AG8718">
        <f>IFERROR(AH8718*0.1, "N/A")</f>
        <v>6.3806170000000009</v>
      </c>
      <c r="AH8718">
        <v>63.806170000000002</v>
      </c>
      <c r="AI8718">
        <v>93.628680000000003</v>
      </c>
      <c r="AJ8718">
        <v>39.29674</v>
      </c>
      <c r="AK8718">
        <v>31.79074</v>
      </c>
    </row>
    <row r="8719" spans="1:37" x14ac:dyDescent="0.3">
      <c r="A8719">
        <v>8718</v>
      </c>
      <c r="B8719">
        <v>3.1</v>
      </c>
      <c r="C8719">
        <v>39.641399999999997</v>
      </c>
      <c r="D8719">
        <v>11.1419</v>
      </c>
      <c r="E8719" t="s">
        <v>13140</v>
      </c>
      <c r="F8719" t="s">
        <v>13141</v>
      </c>
      <c r="G8719" t="s">
        <v>37</v>
      </c>
      <c r="H8719">
        <v>1986</v>
      </c>
      <c r="I8719">
        <v>15.106479999999999</v>
      </c>
      <c r="J8719">
        <v>15.81246</v>
      </c>
      <c r="K8719">
        <v>73.218429999999998</v>
      </c>
      <c r="L8719">
        <v>14.00526</v>
      </c>
      <c r="M8719">
        <v>25.294029999999999</v>
      </c>
      <c r="N8719">
        <v>3.903413</v>
      </c>
      <c r="O8719">
        <v>21.390609999999999</v>
      </c>
      <c r="P8719">
        <v>16.275079999999999</v>
      </c>
      <c r="Q8719">
        <v>13.19403</v>
      </c>
      <c r="R8719">
        <v>16.85324</v>
      </c>
      <c r="S8719">
        <v>13.19403</v>
      </c>
      <c r="T8719">
        <v>1136.5650000000001</v>
      </c>
      <c r="U8719">
        <v>282.2491</v>
      </c>
      <c r="V8719">
        <v>19.875430000000001</v>
      </c>
      <c r="W8719">
        <v>93.030720000000002</v>
      </c>
      <c r="X8719">
        <v>696.78160000000003</v>
      </c>
      <c r="Y8719">
        <v>65.75085</v>
      </c>
      <c r="Z8719">
        <v>595.49829999999997</v>
      </c>
      <c r="AA8719">
        <v>65.75085</v>
      </c>
      <c r="AB8719">
        <v>1.7116100000000001</v>
      </c>
      <c r="AC8719">
        <v>0.50791470000000005</v>
      </c>
      <c r="AD8719">
        <v>2.8048600000000001</v>
      </c>
      <c r="AE8719">
        <v>0.6267933</v>
      </c>
      <c r="AF8719">
        <v>2498.8359999999998</v>
      </c>
      <c r="AG8719">
        <f>IFERROR(AH8719*0.1, "N/A")</f>
        <v>6.3436860000000008</v>
      </c>
      <c r="AH8719">
        <v>63.436860000000003</v>
      </c>
      <c r="AI8719">
        <v>208.77539999999999</v>
      </c>
      <c r="AJ8719">
        <v>45.552900000000001</v>
      </c>
      <c r="AK8719">
        <v>26.238910000000001</v>
      </c>
    </row>
    <row r="8720" spans="1:37" x14ac:dyDescent="0.3">
      <c r="A8720">
        <v>8719</v>
      </c>
      <c r="B8720">
        <v>36.799999999999997</v>
      </c>
      <c r="C8720">
        <v>40.450000000000003</v>
      </c>
      <c r="D8720">
        <v>11.15</v>
      </c>
      <c r="E8720" t="s">
        <v>13142</v>
      </c>
      <c r="F8720" t="s">
        <v>13143</v>
      </c>
      <c r="G8720" t="s">
        <v>37</v>
      </c>
      <c r="H8720">
        <v>1987</v>
      </c>
      <c r="I8720">
        <v>26.11214</v>
      </c>
      <c r="J8720">
        <v>13.82718</v>
      </c>
      <c r="K8720">
        <v>62.694020000000002</v>
      </c>
      <c r="L8720">
        <v>22.100149999999999</v>
      </c>
      <c r="M8720">
        <v>37.830599999999997</v>
      </c>
      <c r="N8720">
        <v>15.872820000000001</v>
      </c>
      <c r="O8720">
        <v>21.95778</v>
      </c>
      <c r="P8720">
        <v>27.6</v>
      </c>
      <c r="Q8720">
        <v>24.4</v>
      </c>
      <c r="R8720">
        <v>28.8306</v>
      </c>
      <c r="S8720">
        <v>23.2</v>
      </c>
      <c r="T8720">
        <v>431.77609999999999</v>
      </c>
      <c r="U8720">
        <v>118.694</v>
      </c>
      <c r="V8720">
        <v>6</v>
      </c>
      <c r="W8720">
        <v>89.611969999999999</v>
      </c>
      <c r="X8720">
        <v>241.0821</v>
      </c>
      <c r="Y8720">
        <v>26</v>
      </c>
      <c r="Z8720">
        <v>127.694</v>
      </c>
      <c r="AA8720">
        <v>44</v>
      </c>
      <c r="AB8720">
        <v>5.0235700000000003</v>
      </c>
      <c r="AC8720">
        <v>1.148739E-2</v>
      </c>
      <c r="AD8720">
        <v>1.3563430000000001</v>
      </c>
      <c r="AE8720">
        <v>0.29625970000000001</v>
      </c>
      <c r="AF8720">
        <v>623.4855</v>
      </c>
      <c r="AG8720">
        <f>IFERROR(AH8720*0.1, "N/A")</f>
        <v>8.2305980000000005</v>
      </c>
      <c r="AH8720">
        <v>82.305980000000005</v>
      </c>
      <c r="AI8720">
        <v>164.13800000000001</v>
      </c>
      <c r="AJ8720">
        <v>17.694019999999998</v>
      </c>
      <c r="AK8720">
        <v>54.917949999999998</v>
      </c>
    </row>
    <row r="8721" spans="1:37" x14ac:dyDescent="0.3">
      <c r="A8721">
        <v>8720</v>
      </c>
      <c r="B8721">
        <v>0</v>
      </c>
      <c r="C8721">
        <v>39.666699999999999</v>
      </c>
      <c r="D8721">
        <v>11.15</v>
      </c>
      <c r="E8721" t="s">
        <v>13144</v>
      </c>
      <c r="F8721" t="s">
        <v>13145</v>
      </c>
      <c r="G8721" t="s">
        <v>37</v>
      </c>
      <c r="H8721">
        <v>1986</v>
      </c>
      <c r="I8721">
        <v>15.30137</v>
      </c>
      <c r="J8721">
        <v>15.765639999999999</v>
      </c>
      <c r="K8721">
        <v>73.393159999999995</v>
      </c>
      <c r="L8721">
        <v>14.082549999999999</v>
      </c>
      <c r="M8721">
        <v>25.535730000000001</v>
      </c>
      <c r="N8721">
        <v>4.1487179999999997</v>
      </c>
      <c r="O8721">
        <v>21.38701</v>
      </c>
      <c r="P8721">
        <v>16.51436</v>
      </c>
      <c r="Q8721">
        <v>13.38171</v>
      </c>
      <c r="R8721">
        <v>17.075040000000001</v>
      </c>
      <c r="S8721">
        <v>13.38171</v>
      </c>
      <c r="T8721">
        <v>1137.537</v>
      </c>
      <c r="U8721">
        <v>280.32990000000001</v>
      </c>
      <c r="V8721">
        <v>19.933330000000002</v>
      </c>
      <c r="W8721">
        <v>92.263249999999999</v>
      </c>
      <c r="X8721">
        <v>692.053</v>
      </c>
      <c r="Y8721">
        <v>68.210260000000005</v>
      </c>
      <c r="Z8721">
        <v>589.98969999999997</v>
      </c>
      <c r="AA8721">
        <v>68.210260000000005</v>
      </c>
      <c r="AB8721">
        <v>55.137450000000001</v>
      </c>
      <c r="AC8721">
        <v>8.8916180000000004E-3</v>
      </c>
      <c r="AD8721">
        <v>14.279210000000001</v>
      </c>
      <c r="AE8721">
        <v>0.52445660000000005</v>
      </c>
      <c r="AF8721">
        <v>2513.779</v>
      </c>
      <c r="AG8721">
        <f>IFERROR(AH8721*0.1, "N/A")</f>
        <v>6.1326500000000008</v>
      </c>
      <c r="AH8721">
        <v>61.326500000000003</v>
      </c>
      <c r="AI8721">
        <v>62.226979999999998</v>
      </c>
      <c r="AJ8721">
        <v>41.652990000000003</v>
      </c>
      <c r="AK8721">
        <v>30</v>
      </c>
    </row>
    <row r="8722" spans="1:37" x14ac:dyDescent="0.3">
      <c r="A8722">
        <v>8721</v>
      </c>
      <c r="B8722">
        <v>1.9</v>
      </c>
      <c r="C8722">
        <v>39.633600000000001</v>
      </c>
      <c r="D8722">
        <v>11.153499999999999</v>
      </c>
      <c r="E8722" t="s">
        <v>13146</v>
      </c>
      <c r="F8722" t="s">
        <v>13147</v>
      </c>
      <c r="G8722" t="s">
        <v>37</v>
      </c>
      <c r="H8722">
        <v>1986</v>
      </c>
      <c r="I8722">
        <v>14.7</v>
      </c>
      <c r="J8722">
        <v>15.84435</v>
      </c>
      <c r="K8722">
        <v>73</v>
      </c>
      <c r="L8722">
        <v>14.08426</v>
      </c>
      <c r="M8722">
        <v>24.9</v>
      </c>
      <c r="N8722">
        <v>3.455651</v>
      </c>
      <c r="O8722">
        <v>21.44435</v>
      </c>
      <c r="P8722">
        <v>15.9</v>
      </c>
      <c r="Q8722">
        <v>12.8</v>
      </c>
      <c r="R8722">
        <v>16.455649999999999</v>
      </c>
      <c r="S8722">
        <v>12.8</v>
      </c>
      <c r="T8722">
        <v>1129.443</v>
      </c>
      <c r="U8722">
        <v>285</v>
      </c>
      <c r="V8722">
        <v>19</v>
      </c>
      <c r="W8722">
        <v>94</v>
      </c>
      <c r="X8722">
        <v>698</v>
      </c>
      <c r="Y8722">
        <v>63</v>
      </c>
      <c r="Z8722">
        <v>600</v>
      </c>
      <c r="AA8722">
        <v>63</v>
      </c>
      <c r="AB8722">
        <v>38.071269999999998</v>
      </c>
      <c r="AC8722">
        <v>6.3467289999999996E-2</v>
      </c>
      <c r="AD8722">
        <v>10.054119999999999</v>
      </c>
      <c r="AE8722">
        <v>0.62573800000000002</v>
      </c>
      <c r="AF8722">
        <v>2557.6930000000002</v>
      </c>
      <c r="AG8722">
        <f>IFERROR(AH8722*0.1, "N/A")</f>
        <v>6.227055</v>
      </c>
      <c r="AH8722">
        <v>62.27055</v>
      </c>
      <c r="AI8722">
        <v>287.45690000000002</v>
      </c>
      <c r="AJ8722">
        <v>42.681510000000003</v>
      </c>
      <c r="AK8722">
        <v>28.025680000000001</v>
      </c>
    </row>
    <row r="8723" spans="1:37" x14ac:dyDescent="0.3">
      <c r="A8723">
        <v>8722</v>
      </c>
      <c r="B8723">
        <v>0</v>
      </c>
      <c r="C8723">
        <v>36.342799999999997</v>
      </c>
      <c r="D8723">
        <v>11.1578</v>
      </c>
      <c r="E8723" t="s">
        <v>13148</v>
      </c>
      <c r="F8723" t="s">
        <v>13149</v>
      </c>
      <c r="G8723" t="s">
        <v>37</v>
      </c>
      <c r="H8723">
        <v>1990</v>
      </c>
      <c r="I8723">
        <v>23.93647</v>
      </c>
      <c r="J8723">
        <v>15</v>
      </c>
      <c r="K8723">
        <v>68</v>
      </c>
      <c r="L8723">
        <v>12.54471</v>
      </c>
      <c r="M8723">
        <v>35.236469999999997</v>
      </c>
      <c r="N8723">
        <v>13.43647</v>
      </c>
      <c r="O8723">
        <v>21.8</v>
      </c>
      <c r="P8723">
        <v>22.736470000000001</v>
      </c>
      <c r="Q8723">
        <v>23.43647</v>
      </c>
      <c r="R8723">
        <v>25.836469999999998</v>
      </c>
      <c r="S8723">
        <v>22.736470000000001</v>
      </c>
      <c r="T8723">
        <v>1627.259</v>
      </c>
      <c r="U8723">
        <v>405.27050000000003</v>
      </c>
      <c r="V8723">
        <v>1</v>
      </c>
      <c r="W8723">
        <v>110.3647</v>
      </c>
      <c r="X8723">
        <v>1071.4469999999999</v>
      </c>
      <c r="Y8723">
        <v>4</v>
      </c>
      <c r="Z8723">
        <v>180.2705</v>
      </c>
      <c r="AA8723">
        <v>1071.4469999999999</v>
      </c>
      <c r="AB8723">
        <v>7.2386840000000001</v>
      </c>
      <c r="AC8723">
        <v>4.2909940000000001E-2</v>
      </c>
      <c r="AD8723">
        <v>2.1099239999999999</v>
      </c>
      <c r="AE8723">
        <v>0.49220530000000001</v>
      </c>
      <c r="AF8723">
        <v>1028.0550000000001</v>
      </c>
      <c r="AG8723">
        <f>IFERROR(AH8723*0.1, "N/A")</f>
        <v>5.9027400000000005</v>
      </c>
      <c r="AH8723">
        <v>59.0274</v>
      </c>
      <c r="AI8723">
        <v>174.5292</v>
      </c>
      <c r="AJ8723">
        <v>40</v>
      </c>
      <c r="AK8723">
        <v>32.0137</v>
      </c>
    </row>
    <row r="8724" spans="1:37" x14ac:dyDescent="0.3">
      <c r="A8724">
        <v>8723</v>
      </c>
      <c r="B8724">
        <v>50.5</v>
      </c>
      <c r="C8724">
        <v>40.0167</v>
      </c>
      <c r="D8724">
        <v>11.183299999999999</v>
      </c>
      <c r="E8724" t="s">
        <v>13150</v>
      </c>
      <c r="F8724" t="s">
        <v>13151</v>
      </c>
      <c r="G8724" t="s">
        <v>37</v>
      </c>
      <c r="H8724">
        <v>1987</v>
      </c>
      <c r="I8724">
        <v>20.52974</v>
      </c>
      <c r="J8724">
        <v>14.87983</v>
      </c>
      <c r="K8724">
        <v>71.711110000000005</v>
      </c>
      <c r="L8724">
        <v>12.79921</v>
      </c>
      <c r="M8724">
        <v>31.95316</v>
      </c>
      <c r="N8724">
        <v>11.35778</v>
      </c>
      <c r="O8724">
        <v>20.595379999999999</v>
      </c>
      <c r="P8724">
        <v>20.573329999999999</v>
      </c>
      <c r="Q8724">
        <v>20.066500000000001</v>
      </c>
      <c r="R8724">
        <v>22.073329999999999</v>
      </c>
      <c r="S8724">
        <v>19.166499999999999</v>
      </c>
      <c r="T8724">
        <v>924.31619999999998</v>
      </c>
      <c r="U8724">
        <v>214.0581</v>
      </c>
      <c r="V8724">
        <v>12.64615</v>
      </c>
      <c r="W8724">
        <v>83</v>
      </c>
      <c r="X8724">
        <v>500.92649999999998</v>
      </c>
      <c r="Y8724">
        <v>68.834190000000007</v>
      </c>
      <c r="Z8724">
        <v>287.60169999999999</v>
      </c>
      <c r="AA8724">
        <v>77.935040000000001</v>
      </c>
      <c r="AB8724">
        <v>118.9186</v>
      </c>
      <c r="AC8724">
        <v>9.3208040000000002E-3</v>
      </c>
      <c r="AD8724">
        <v>15.827489999999999</v>
      </c>
      <c r="AE8724">
        <v>0.4467236</v>
      </c>
      <c r="AF8724">
        <v>1662.21</v>
      </c>
      <c r="AG8724">
        <f>IFERROR(AH8724*0.1, "N/A")</f>
        <v>7.1798289999999998</v>
      </c>
      <c r="AH8724">
        <v>71.798289999999994</v>
      </c>
      <c r="AI8724">
        <v>75.403210000000001</v>
      </c>
      <c r="AJ8724">
        <v>39.201709999999999</v>
      </c>
      <c r="AK8724">
        <v>32.798290000000001</v>
      </c>
    </row>
    <row r="8725" spans="1:37" x14ac:dyDescent="0.3">
      <c r="A8725">
        <v>8724</v>
      </c>
      <c r="B8725">
        <v>51</v>
      </c>
      <c r="C8725">
        <v>40.017699999999998</v>
      </c>
      <c r="D8725">
        <v>11.192500000000001</v>
      </c>
      <c r="E8725" t="s">
        <v>13152</v>
      </c>
      <c r="F8725" t="s">
        <v>13153</v>
      </c>
      <c r="G8725" t="s">
        <v>37</v>
      </c>
      <c r="H8725">
        <v>1976</v>
      </c>
      <c r="I8725">
        <v>20.399999999999999</v>
      </c>
      <c r="J8725">
        <v>14.81732</v>
      </c>
      <c r="K8725">
        <v>72</v>
      </c>
      <c r="L8725">
        <v>12.571730000000001</v>
      </c>
      <c r="M8725">
        <v>31.882680000000001</v>
      </c>
      <c r="N8725">
        <v>11.382680000000001</v>
      </c>
      <c r="O8725">
        <v>20.5</v>
      </c>
      <c r="P8725">
        <v>20.399999999999999</v>
      </c>
      <c r="Q8725">
        <v>20.08268</v>
      </c>
      <c r="R8725">
        <v>21.982679999999998</v>
      </c>
      <c r="S8725">
        <v>19.100000000000001</v>
      </c>
      <c r="T8725">
        <v>925.17319999999995</v>
      </c>
      <c r="U8725">
        <v>211</v>
      </c>
      <c r="V8725">
        <v>11.82676</v>
      </c>
      <c r="W8725">
        <v>82.173240000000007</v>
      </c>
      <c r="X8725">
        <v>499.5197</v>
      </c>
      <c r="Y8725">
        <v>68.826759999999993</v>
      </c>
      <c r="Z8725">
        <v>289.17320000000001</v>
      </c>
      <c r="AA8725">
        <v>92.535160000000005</v>
      </c>
      <c r="AB8725">
        <v>23.186050000000002</v>
      </c>
      <c r="AC8725">
        <v>3.6805740000000003E-2</v>
      </c>
      <c r="AD8725">
        <v>4.3413130000000004</v>
      </c>
      <c r="AE8725">
        <v>0.4919075</v>
      </c>
      <c r="AF8725">
        <v>1644.8779999999999</v>
      </c>
      <c r="AG8725">
        <f>IFERROR(AH8725*0.1, "N/A")</f>
        <v>7.2728989999999998</v>
      </c>
      <c r="AH8725">
        <v>72.728989999999996</v>
      </c>
      <c r="AI8725">
        <v>102.79389999999999</v>
      </c>
      <c r="AJ8725">
        <v>38</v>
      </c>
      <c r="AK8725">
        <v>33.728990000000003</v>
      </c>
    </row>
    <row r="8726" spans="1:37" x14ac:dyDescent="0.3">
      <c r="A8726">
        <v>8725</v>
      </c>
      <c r="B8726">
        <v>0</v>
      </c>
      <c r="C8726">
        <v>40.017699999999998</v>
      </c>
      <c r="D8726">
        <v>11.192500000000001</v>
      </c>
      <c r="E8726" t="s">
        <v>13152</v>
      </c>
      <c r="F8726" t="s">
        <v>13154</v>
      </c>
      <c r="G8726" t="s">
        <v>39</v>
      </c>
      <c r="H8726">
        <v>1977</v>
      </c>
      <c r="I8726">
        <v>20.399999999999999</v>
      </c>
      <c r="J8726">
        <v>14.81732</v>
      </c>
      <c r="K8726">
        <v>72</v>
      </c>
      <c r="L8726">
        <v>12.571730000000001</v>
      </c>
      <c r="M8726">
        <v>31.882680000000001</v>
      </c>
      <c r="N8726">
        <v>11.382680000000001</v>
      </c>
      <c r="O8726">
        <v>20.5</v>
      </c>
      <c r="P8726">
        <v>20.399999999999999</v>
      </c>
      <c r="Q8726">
        <v>20.08268</v>
      </c>
      <c r="R8726">
        <v>21.982679999999998</v>
      </c>
      <c r="S8726">
        <v>19.100000000000001</v>
      </c>
      <c r="T8726">
        <v>925.17319999999995</v>
      </c>
      <c r="U8726">
        <v>211</v>
      </c>
      <c r="V8726">
        <v>11.82676</v>
      </c>
      <c r="W8726">
        <v>82.173240000000007</v>
      </c>
      <c r="X8726">
        <v>499.5197</v>
      </c>
      <c r="Y8726">
        <v>68.826759999999993</v>
      </c>
      <c r="Z8726">
        <v>289.17320000000001</v>
      </c>
      <c r="AA8726">
        <v>92.535160000000005</v>
      </c>
      <c r="AB8726">
        <v>23.186050000000002</v>
      </c>
      <c r="AC8726">
        <v>3.6805740000000003E-2</v>
      </c>
      <c r="AD8726">
        <v>4.3413130000000004</v>
      </c>
      <c r="AE8726">
        <v>0.4919075</v>
      </c>
      <c r="AF8726">
        <v>1644.8779999999999</v>
      </c>
      <c r="AG8726">
        <f>IFERROR(AH8726*0.1, "N/A")</f>
        <v>7.2728989999999998</v>
      </c>
      <c r="AH8726">
        <v>72.728989999999996</v>
      </c>
      <c r="AI8726">
        <v>102.79389999999999</v>
      </c>
      <c r="AJ8726">
        <v>38</v>
      </c>
      <c r="AK8726">
        <v>33.728990000000003</v>
      </c>
    </row>
    <row r="8727" spans="1:37" x14ac:dyDescent="0.3">
      <c r="A8727">
        <v>8726</v>
      </c>
      <c r="B8727">
        <v>0</v>
      </c>
      <c r="C8727">
        <v>39.590699999999998</v>
      </c>
      <c r="D8727">
        <v>11.2341</v>
      </c>
      <c r="E8727" t="s">
        <v>13155</v>
      </c>
      <c r="F8727" t="s">
        <v>13156</v>
      </c>
      <c r="G8727" t="s">
        <v>37</v>
      </c>
      <c r="H8727">
        <v>1986</v>
      </c>
      <c r="I8727">
        <v>14.27675</v>
      </c>
      <c r="J8727">
        <v>15.79419</v>
      </c>
      <c r="K8727">
        <v>74</v>
      </c>
      <c r="L8727">
        <v>13.347149999999999</v>
      </c>
      <c r="M8727">
        <v>24.37744</v>
      </c>
      <c r="N8727">
        <v>3.1825640000000002</v>
      </c>
      <c r="O8727">
        <v>21.194870000000002</v>
      </c>
      <c r="P8727">
        <v>15.37744</v>
      </c>
      <c r="Q8727">
        <v>12.476749999999999</v>
      </c>
      <c r="R8727">
        <v>15.87744</v>
      </c>
      <c r="S8727">
        <v>12.476749999999999</v>
      </c>
      <c r="T8727">
        <v>1097.0719999999999</v>
      </c>
      <c r="U8727">
        <v>289.29059999999998</v>
      </c>
      <c r="V8727">
        <v>16.970939999999999</v>
      </c>
      <c r="W8727">
        <v>98.087180000000004</v>
      </c>
      <c r="X8727">
        <v>690.34870000000001</v>
      </c>
      <c r="Y8727">
        <v>56.854700000000001</v>
      </c>
      <c r="Z8727">
        <v>604.5231</v>
      </c>
      <c r="AA8727">
        <v>56.854700000000001</v>
      </c>
      <c r="AB8727">
        <v>39.745109999999997</v>
      </c>
      <c r="AC8727">
        <v>2.7011360000000002E-2</v>
      </c>
      <c r="AD8727">
        <v>10.63364</v>
      </c>
      <c r="AE8727">
        <v>0.56139209999999995</v>
      </c>
      <c r="AF8727">
        <v>2681.2069999999999</v>
      </c>
      <c r="AG8727">
        <f>IFERROR(AH8727*0.1, "N/A")</f>
        <v>5.8976070000000007</v>
      </c>
      <c r="AH8727">
        <v>58.97607</v>
      </c>
      <c r="AI8727">
        <v>31.580200000000001</v>
      </c>
      <c r="AJ8727">
        <v>36.670090000000002</v>
      </c>
      <c r="AK8727">
        <v>34.037610000000001</v>
      </c>
    </row>
    <row r="8728" spans="1:37" x14ac:dyDescent="0.3">
      <c r="A8728">
        <v>8727</v>
      </c>
      <c r="B8728">
        <v>40</v>
      </c>
      <c r="C8728">
        <v>41.32</v>
      </c>
      <c r="D8728">
        <v>11.24</v>
      </c>
      <c r="E8728" t="s">
        <v>13157</v>
      </c>
      <c r="F8728" t="s">
        <v>13158</v>
      </c>
      <c r="G8728" t="s">
        <v>39</v>
      </c>
      <c r="H8728">
        <v>1987</v>
      </c>
      <c r="I8728">
        <v>28.5</v>
      </c>
      <c r="J8728">
        <v>11.8</v>
      </c>
      <c r="K8728">
        <v>56</v>
      </c>
      <c r="L8728">
        <v>28.61</v>
      </c>
      <c r="M8728">
        <v>39.5</v>
      </c>
      <c r="N8728">
        <v>18.600000000000001</v>
      </c>
      <c r="O8728">
        <v>20.9</v>
      </c>
      <c r="P8728">
        <v>31</v>
      </c>
      <c r="Q8728">
        <v>26.3</v>
      </c>
      <c r="R8728">
        <v>31.9</v>
      </c>
      <c r="S8728">
        <v>24.7</v>
      </c>
      <c r="T8728">
        <v>190</v>
      </c>
      <c r="U8728">
        <v>54</v>
      </c>
      <c r="V8728">
        <v>1</v>
      </c>
      <c r="W8728">
        <v>93</v>
      </c>
      <c r="X8728">
        <v>109</v>
      </c>
      <c r="Y8728">
        <v>11</v>
      </c>
      <c r="Z8728">
        <v>48</v>
      </c>
      <c r="AA8728">
        <v>15</v>
      </c>
      <c r="AB8728">
        <v>6.1417549999999999</v>
      </c>
      <c r="AC8728">
        <v>4.6791810000000003E-2</v>
      </c>
      <c r="AD8728">
        <v>1.1068439999999999</v>
      </c>
      <c r="AE8728">
        <v>0.14993680000000001</v>
      </c>
      <c r="AF8728">
        <v>369.17529999999999</v>
      </c>
      <c r="AG8728">
        <f>IFERROR(AH8728*0.1, "N/A")</f>
        <v>8.0015460000000012</v>
      </c>
      <c r="AH8728">
        <v>80.015460000000004</v>
      </c>
      <c r="AI8728">
        <v>208.82839999999999</v>
      </c>
      <c r="AJ8728">
        <v>9.9845360000000003</v>
      </c>
      <c r="AK8728">
        <v>76.170100000000005</v>
      </c>
    </row>
    <row r="8729" spans="1:37" x14ac:dyDescent="0.3">
      <c r="A8729">
        <v>8728</v>
      </c>
      <c r="B8729">
        <v>11.9</v>
      </c>
      <c r="C8729">
        <v>36.843400000000003</v>
      </c>
      <c r="D8729">
        <v>11.259499999999999</v>
      </c>
      <c r="E8729" t="s">
        <v>13159</v>
      </c>
      <c r="F8729" t="s">
        <v>13160</v>
      </c>
      <c r="G8729" t="s">
        <v>37</v>
      </c>
      <c r="H8729">
        <v>1976</v>
      </c>
      <c r="I8729">
        <v>16.899999999999999</v>
      </c>
      <c r="J8729">
        <v>15</v>
      </c>
      <c r="K8729">
        <v>74</v>
      </c>
      <c r="L8729">
        <v>7.4</v>
      </c>
      <c r="M8729">
        <v>26.7</v>
      </c>
      <c r="N8729">
        <v>6.5</v>
      </c>
      <c r="O8729">
        <v>20.2</v>
      </c>
      <c r="P8729">
        <v>16.5</v>
      </c>
      <c r="Q8729">
        <v>16.3</v>
      </c>
      <c r="R8729">
        <v>17.899999999999999</v>
      </c>
      <c r="S8729">
        <v>16.2</v>
      </c>
      <c r="T8729">
        <v>1542</v>
      </c>
      <c r="U8729">
        <v>362</v>
      </c>
      <c r="V8729">
        <v>5</v>
      </c>
      <c r="W8729">
        <v>100</v>
      </c>
      <c r="X8729">
        <v>962</v>
      </c>
      <c r="Y8729">
        <v>32</v>
      </c>
      <c r="Z8729">
        <v>156</v>
      </c>
      <c r="AA8729">
        <v>72</v>
      </c>
      <c r="AB8729">
        <v>8.2189969999999999</v>
      </c>
      <c r="AC8729">
        <v>3.0415709999999999E-2</v>
      </c>
      <c r="AD8729">
        <v>1.893278</v>
      </c>
      <c r="AE8729">
        <v>0.59997639999999997</v>
      </c>
      <c r="AF8729">
        <v>2111.0650000000001</v>
      </c>
      <c r="AG8729">
        <f>IFERROR(AH8729*0.1, "N/A")</f>
        <v>5.5856160000000008</v>
      </c>
      <c r="AH8729">
        <v>55.856160000000003</v>
      </c>
      <c r="AI8729">
        <v>29.938359999999999</v>
      </c>
      <c r="AJ8729">
        <v>50.448630000000001</v>
      </c>
      <c r="AK8729">
        <v>22.582190000000001</v>
      </c>
    </row>
    <row r="8730" spans="1:37" x14ac:dyDescent="0.3">
      <c r="A8730">
        <v>8729</v>
      </c>
      <c r="B8730">
        <v>0</v>
      </c>
      <c r="C8730">
        <v>39.533299999999997</v>
      </c>
      <c r="D8730">
        <v>11.2667</v>
      </c>
      <c r="E8730" t="s">
        <v>13161</v>
      </c>
      <c r="F8730" t="s">
        <v>13162</v>
      </c>
      <c r="G8730" t="s">
        <v>37</v>
      </c>
      <c r="H8730">
        <v>1987</v>
      </c>
      <c r="I8730">
        <v>12.52791</v>
      </c>
      <c r="J8730">
        <v>15.411300000000001</v>
      </c>
      <c r="K8730">
        <v>74</v>
      </c>
      <c r="L8730">
        <v>12.769729999999999</v>
      </c>
      <c r="M8730">
        <v>22.543489999999998</v>
      </c>
      <c r="N8730">
        <v>1.7780819999999999</v>
      </c>
      <c r="O8730">
        <v>20.765409999999999</v>
      </c>
      <c r="P8730">
        <v>13.443490000000001</v>
      </c>
      <c r="Q8730">
        <v>10.80668</v>
      </c>
      <c r="R8730">
        <v>13.989380000000001</v>
      </c>
      <c r="S8730">
        <v>10.80668</v>
      </c>
      <c r="T8730">
        <v>1105.373</v>
      </c>
      <c r="U8730">
        <v>314.45209999999997</v>
      </c>
      <c r="V8730">
        <v>13.44178</v>
      </c>
      <c r="W8730">
        <v>105.1729</v>
      </c>
      <c r="X8730">
        <v>720.85789999999997</v>
      </c>
      <c r="Y8730">
        <v>45.883560000000003</v>
      </c>
      <c r="Z8730">
        <v>402.137</v>
      </c>
      <c r="AA8730">
        <v>55.061639999999997</v>
      </c>
      <c r="AB8730">
        <v>408.94830000000002</v>
      </c>
      <c r="AC8730">
        <v>1.2019459999999999E-2</v>
      </c>
      <c r="AD8730">
        <v>17.488379999999999</v>
      </c>
      <c r="AE8730">
        <v>0.4082346</v>
      </c>
      <c r="AF8730">
        <v>3043.663</v>
      </c>
      <c r="AG8730">
        <f>IFERROR(AH8730*0.1, "N/A")</f>
        <v>5.828596000000001</v>
      </c>
      <c r="AH8730">
        <v>58.285960000000003</v>
      </c>
      <c r="AI8730">
        <v>270.28500000000003</v>
      </c>
      <c r="AJ8730">
        <v>43.285960000000003</v>
      </c>
      <c r="AK8730">
        <v>29.142119999999998</v>
      </c>
    </row>
    <row r="8731" spans="1:37" x14ac:dyDescent="0.3">
      <c r="A8731">
        <v>8730</v>
      </c>
      <c r="B8731">
        <v>0</v>
      </c>
      <c r="C8731">
        <v>39.546700000000001</v>
      </c>
      <c r="D8731">
        <v>11.2736</v>
      </c>
      <c r="E8731" t="s">
        <v>13163</v>
      </c>
      <c r="F8731" t="s">
        <v>13164</v>
      </c>
      <c r="G8731" t="s">
        <v>37</v>
      </c>
      <c r="H8731">
        <v>1986</v>
      </c>
      <c r="I8731">
        <v>14.1</v>
      </c>
      <c r="J8731">
        <v>15.8</v>
      </c>
      <c r="K8731">
        <v>74</v>
      </c>
      <c r="L8731">
        <v>12.92</v>
      </c>
      <c r="M8731">
        <v>24.2</v>
      </c>
      <c r="N8731">
        <v>3.1</v>
      </c>
      <c r="O8731">
        <v>21.1</v>
      </c>
      <c r="P8731">
        <v>15.2</v>
      </c>
      <c r="Q8731">
        <v>12.4</v>
      </c>
      <c r="R8731">
        <v>15.6</v>
      </c>
      <c r="S8731">
        <v>12.4</v>
      </c>
      <c r="T8731">
        <v>1084</v>
      </c>
      <c r="U8731">
        <v>293</v>
      </c>
      <c r="V8731">
        <v>16</v>
      </c>
      <c r="W8731">
        <v>100</v>
      </c>
      <c r="X8731">
        <v>690</v>
      </c>
      <c r="Y8731">
        <v>53</v>
      </c>
      <c r="Z8731">
        <v>610</v>
      </c>
      <c r="AA8731">
        <v>53</v>
      </c>
      <c r="AB8731">
        <v>62.790889999999997</v>
      </c>
      <c r="AC8731">
        <v>3.3101129999999999E-2</v>
      </c>
      <c r="AD8731">
        <v>6.747846</v>
      </c>
      <c r="AE8731">
        <v>0.480433</v>
      </c>
      <c r="AF8731">
        <v>2733.8739999999998</v>
      </c>
      <c r="AG8731">
        <f>IFERROR(AH8731*0.1, "N/A")</f>
        <v>6</v>
      </c>
      <c r="AH8731">
        <v>60</v>
      </c>
      <c r="AI8731">
        <v>89.402519999999996</v>
      </c>
      <c r="AJ8731">
        <v>41</v>
      </c>
      <c r="AK8731">
        <v>30.38908</v>
      </c>
    </row>
    <row r="8732" spans="1:37" x14ac:dyDescent="0.3">
      <c r="A8732">
        <v>8731</v>
      </c>
      <c r="B8732">
        <v>50</v>
      </c>
      <c r="C8732">
        <v>36.216700000000003</v>
      </c>
      <c r="D8732">
        <v>11.283300000000001</v>
      </c>
      <c r="E8732" t="s">
        <v>13165</v>
      </c>
      <c r="F8732" t="s">
        <v>13166</v>
      </c>
      <c r="G8732" t="s">
        <v>37</v>
      </c>
      <c r="H8732">
        <v>1990</v>
      </c>
      <c r="I8732">
        <v>23.179829999999999</v>
      </c>
      <c r="J8732">
        <v>14.997780000000001</v>
      </c>
      <c r="K8732">
        <v>68</v>
      </c>
      <c r="L8732">
        <v>12.425230000000001</v>
      </c>
      <c r="M8732">
        <v>34.579830000000001</v>
      </c>
      <c r="N8732">
        <v>12.77983</v>
      </c>
      <c r="O8732">
        <v>21.8</v>
      </c>
      <c r="P8732">
        <v>21.954360000000001</v>
      </c>
      <c r="Q8732">
        <v>22.80752</v>
      </c>
      <c r="R8732">
        <v>25.052140000000001</v>
      </c>
      <c r="S8732">
        <v>21.954360000000001</v>
      </c>
      <c r="T8732">
        <v>1667.8240000000001</v>
      </c>
      <c r="U8732">
        <v>413.5009</v>
      </c>
      <c r="V8732">
        <v>1</v>
      </c>
      <c r="W8732">
        <v>110</v>
      </c>
      <c r="X8732">
        <v>1094.8440000000001</v>
      </c>
      <c r="Y8732">
        <v>5</v>
      </c>
      <c r="Z8732">
        <v>179</v>
      </c>
      <c r="AA8732">
        <v>1094.8440000000001</v>
      </c>
      <c r="AB8732">
        <v>30.131689999999999</v>
      </c>
      <c r="AC8732">
        <v>1.242827E-2</v>
      </c>
      <c r="AD8732">
        <v>1.738988</v>
      </c>
      <c r="AE8732">
        <v>0.34315200000000001</v>
      </c>
      <c r="AF8732">
        <v>1205.162</v>
      </c>
      <c r="AG8732">
        <f>IFERROR(AH8732*0.1, "N/A")</f>
        <v>6.2035900000000002</v>
      </c>
      <c r="AH8732">
        <v>62.035899999999998</v>
      </c>
      <c r="AI8732">
        <v>237.029</v>
      </c>
      <c r="AJ8732">
        <v>42</v>
      </c>
      <c r="AK8732">
        <v>32.576070000000001</v>
      </c>
    </row>
    <row r="8733" spans="1:37" x14ac:dyDescent="0.3">
      <c r="A8733">
        <v>8732</v>
      </c>
      <c r="B8733">
        <v>76.5</v>
      </c>
      <c r="C8733">
        <v>40.18</v>
      </c>
      <c r="D8733">
        <v>11.29</v>
      </c>
      <c r="E8733" t="s">
        <v>13167</v>
      </c>
      <c r="F8733" t="s">
        <v>13168</v>
      </c>
      <c r="G8733" t="s">
        <v>37</v>
      </c>
      <c r="H8733">
        <v>1987</v>
      </c>
      <c r="I8733">
        <v>24</v>
      </c>
      <c r="J8733">
        <v>14.5</v>
      </c>
      <c r="K8733">
        <v>66</v>
      </c>
      <c r="L8733">
        <v>18.440000000000001</v>
      </c>
      <c r="M8733">
        <v>35.799999999999997</v>
      </c>
      <c r="N8733">
        <v>13.9</v>
      </c>
      <c r="O8733">
        <v>21.9</v>
      </c>
      <c r="P8733">
        <v>25</v>
      </c>
      <c r="Q8733">
        <v>22.7</v>
      </c>
      <c r="R8733">
        <v>26.3</v>
      </c>
      <c r="S8733">
        <v>21.6</v>
      </c>
      <c r="T8733">
        <v>643</v>
      </c>
      <c r="U8733">
        <v>164</v>
      </c>
      <c r="V8733">
        <v>13</v>
      </c>
      <c r="W8733">
        <v>85</v>
      </c>
      <c r="X8733">
        <v>345</v>
      </c>
      <c r="Y8733">
        <v>47</v>
      </c>
      <c r="Z8733">
        <v>190</v>
      </c>
      <c r="AA8733">
        <v>73</v>
      </c>
      <c r="AB8733">
        <v>21.41039</v>
      </c>
      <c r="AC8733">
        <v>1.9114200000000001E-2</v>
      </c>
      <c r="AD8733">
        <v>2.7353139999999998</v>
      </c>
      <c r="AE8733">
        <v>0.28099869999999999</v>
      </c>
      <c r="AF8733">
        <v>1013.33</v>
      </c>
      <c r="AG8733">
        <f>IFERROR(AH8733*0.1, "N/A")</f>
        <v>7.5</v>
      </c>
      <c r="AH8733">
        <v>75</v>
      </c>
      <c r="AI8733">
        <v>225.61789999999999</v>
      </c>
      <c r="AJ8733">
        <v>32</v>
      </c>
      <c r="AK8733">
        <v>40</v>
      </c>
    </row>
    <row r="8734" spans="1:37" x14ac:dyDescent="0.3">
      <c r="A8734">
        <v>8733</v>
      </c>
      <c r="B8734">
        <v>15.8</v>
      </c>
      <c r="C8734">
        <v>40.44</v>
      </c>
      <c r="D8734">
        <v>11.35</v>
      </c>
      <c r="E8734" t="s">
        <v>13169</v>
      </c>
      <c r="F8734" t="s">
        <v>13170</v>
      </c>
      <c r="G8734" t="s">
        <v>37</v>
      </c>
      <c r="H8734">
        <v>1987</v>
      </c>
      <c r="I8734">
        <v>26.06644</v>
      </c>
      <c r="J8734">
        <v>13.83356</v>
      </c>
      <c r="K8734">
        <v>63</v>
      </c>
      <c r="L8734">
        <v>21.86918</v>
      </c>
      <c r="M8734">
        <v>37.799999999999997</v>
      </c>
      <c r="N8734">
        <v>15.9</v>
      </c>
      <c r="O8734">
        <v>21.9</v>
      </c>
      <c r="P8734">
        <v>27.466439999999999</v>
      </c>
      <c r="Q8734">
        <v>24.4</v>
      </c>
      <c r="R8734">
        <v>28.766439999999999</v>
      </c>
      <c r="S8734">
        <v>23.133559999999999</v>
      </c>
      <c r="T8734">
        <v>429.3356</v>
      </c>
      <c r="U8734">
        <v>114</v>
      </c>
      <c r="V8734">
        <v>7</v>
      </c>
      <c r="W8734">
        <v>89</v>
      </c>
      <c r="X8734">
        <v>235</v>
      </c>
      <c r="Y8734">
        <v>28</v>
      </c>
      <c r="Z8734">
        <v>126</v>
      </c>
      <c r="AA8734">
        <v>44</v>
      </c>
      <c r="AB8734">
        <v>19.067630000000001</v>
      </c>
      <c r="AC8734">
        <v>1.6495099999999999E-2</v>
      </c>
      <c r="AD8734">
        <v>1.5035099999999999</v>
      </c>
      <c r="AE8734">
        <v>0.26007400000000003</v>
      </c>
      <c r="AF8734">
        <v>674.07360000000006</v>
      </c>
      <c r="AG8734">
        <f>IFERROR(AH8734*0.1, "N/A")</f>
        <v>8.0976029999999994</v>
      </c>
      <c r="AH8734">
        <v>80.976029999999994</v>
      </c>
      <c r="AI8734">
        <v>87.035399999999996</v>
      </c>
      <c r="AJ8734">
        <v>16.95205</v>
      </c>
      <c r="AK8734">
        <v>55.938360000000003</v>
      </c>
    </row>
    <row r="8735" spans="1:37" x14ac:dyDescent="0.3">
      <c r="A8735">
        <v>8734</v>
      </c>
      <c r="B8735">
        <v>5.3</v>
      </c>
      <c r="C8735">
        <v>39.819400000000002</v>
      </c>
      <c r="D8735">
        <v>11.362</v>
      </c>
      <c r="E8735" t="s">
        <v>13171</v>
      </c>
      <c r="F8735" t="s">
        <v>13172</v>
      </c>
      <c r="G8735" t="s">
        <v>37</v>
      </c>
      <c r="H8735">
        <v>1976</v>
      </c>
      <c r="I8735">
        <v>16.600000000000001</v>
      </c>
      <c r="J8735">
        <v>15.4</v>
      </c>
      <c r="K8735">
        <v>72</v>
      </c>
      <c r="L8735">
        <v>14.6</v>
      </c>
      <c r="M8735">
        <v>27.4</v>
      </c>
      <c r="N8735">
        <v>6.1</v>
      </c>
      <c r="O8735">
        <v>21.3</v>
      </c>
      <c r="P8735">
        <v>17.899999999999999</v>
      </c>
      <c r="Q8735">
        <v>14.6</v>
      </c>
      <c r="R8735">
        <v>18.399999999999999</v>
      </c>
      <c r="S8735">
        <v>14.6</v>
      </c>
      <c r="T8735">
        <v>1082</v>
      </c>
      <c r="U8735">
        <v>258</v>
      </c>
      <c r="V8735">
        <v>24</v>
      </c>
      <c r="W8735">
        <v>87</v>
      </c>
      <c r="X8735">
        <v>621</v>
      </c>
      <c r="Y8735">
        <v>84</v>
      </c>
      <c r="Z8735">
        <v>530</v>
      </c>
      <c r="AA8735">
        <v>84</v>
      </c>
      <c r="AB8735">
        <v>135.5814</v>
      </c>
      <c r="AC8735">
        <v>5.4881409999999999E-2</v>
      </c>
      <c r="AD8735">
        <v>20.186160000000001</v>
      </c>
      <c r="AE8735">
        <v>0.39767269999999999</v>
      </c>
      <c r="AF8735">
        <v>2378.1759999999999</v>
      </c>
      <c r="AG8735">
        <f>IFERROR(AH8735*0.1, "N/A")</f>
        <v>5.9428080000000003</v>
      </c>
      <c r="AH8735">
        <v>59.428080000000001</v>
      </c>
      <c r="AI8735">
        <v>41.030650000000001</v>
      </c>
      <c r="AJ8735">
        <v>39.364730000000002</v>
      </c>
      <c r="AK8735">
        <v>33.998289999999997</v>
      </c>
    </row>
    <row r="8736" spans="1:37" x14ac:dyDescent="0.3">
      <c r="A8736">
        <v>8735</v>
      </c>
      <c r="B8736">
        <v>0</v>
      </c>
      <c r="C8736">
        <v>37.033299999999997</v>
      </c>
      <c r="D8736">
        <v>11.3667</v>
      </c>
      <c r="E8736" t="s">
        <v>13173</v>
      </c>
      <c r="F8736" t="s">
        <v>13174</v>
      </c>
      <c r="G8736" t="s">
        <v>37</v>
      </c>
      <c r="H8736">
        <v>1976</v>
      </c>
      <c r="I8736">
        <v>18.293690000000002</v>
      </c>
      <c r="J8736">
        <v>14.8</v>
      </c>
      <c r="K8736">
        <v>72</v>
      </c>
      <c r="L8736">
        <v>9.6642659999999996</v>
      </c>
      <c r="M8736">
        <v>28.238910000000001</v>
      </c>
      <c r="N8736">
        <v>7.8484639999999999</v>
      </c>
      <c r="O8736">
        <v>20.390440000000002</v>
      </c>
      <c r="P8736">
        <v>17.853919999999999</v>
      </c>
      <c r="Q8736">
        <v>17.32133</v>
      </c>
      <c r="R8736">
        <v>19.69369</v>
      </c>
      <c r="S8736">
        <v>17.19369</v>
      </c>
      <c r="T8736">
        <v>1488.913</v>
      </c>
      <c r="U8736">
        <v>392.26280000000003</v>
      </c>
      <c r="V8736">
        <v>4</v>
      </c>
      <c r="W8736">
        <v>109.7696</v>
      </c>
      <c r="X8736">
        <v>994.9778</v>
      </c>
      <c r="Y8736">
        <v>19.460750000000001</v>
      </c>
      <c r="Z8736">
        <v>127.7372</v>
      </c>
      <c r="AA8736">
        <v>48.515360000000001</v>
      </c>
      <c r="AB8736">
        <v>19.699850000000001</v>
      </c>
      <c r="AC8736">
        <v>1.3004399999999999E-2</v>
      </c>
      <c r="AD8736">
        <v>3.5305569999999999</v>
      </c>
      <c r="AE8736">
        <v>0.69281440000000005</v>
      </c>
      <c r="AF8736">
        <v>1901.0719999999999</v>
      </c>
      <c r="AG8736">
        <f>IFERROR(AH8736*0.1, "N/A")</f>
        <v>6.1723550000000005</v>
      </c>
      <c r="AH8736">
        <v>61.723550000000003</v>
      </c>
      <c r="AI8736">
        <v>52.01493</v>
      </c>
      <c r="AJ8736">
        <v>55.552900000000001</v>
      </c>
      <c r="AK8736">
        <v>17.447099999999999</v>
      </c>
    </row>
    <row r="8737" spans="1:37" x14ac:dyDescent="0.3">
      <c r="A8737">
        <v>8736</v>
      </c>
      <c r="B8737">
        <v>5.2</v>
      </c>
      <c r="C8737">
        <v>41.46</v>
      </c>
      <c r="D8737">
        <v>11.39</v>
      </c>
      <c r="E8737" t="s">
        <v>13175</v>
      </c>
      <c r="F8737" t="s">
        <v>13176</v>
      </c>
      <c r="G8737" t="s">
        <v>37</v>
      </c>
      <c r="H8737">
        <v>1987</v>
      </c>
      <c r="I8737">
        <v>28.7</v>
      </c>
      <c r="J8737">
        <v>11.4</v>
      </c>
      <c r="K8737">
        <v>54</v>
      </c>
      <c r="L8737">
        <v>29.88</v>
      </c>
      <c r="M8737">
        <v>39.700000000000003</v>
      </c>
      <c r="N8737">
        <v>18.899999999999999</v>
      </c>
      <c r="O8737">
        <v>20.8</v>
      </c>
      <c r="P8737">
        <v>31.4</v>
      </c>
      <c r="Q8737">
        <v>25</v>
      </c>
      <c r="R8737">
        <v>32.200000000000003</v>
      </c>
      <c r="S8737">
        <v>24.8</v>
      </c>
      <c r="T8737">
        <v>162</v>
      </c>
      <c r="U8737">
        <v>45</v>
      </c>
      <c r="V8737">
        <v>1</v>
      </c>
      <c r="W8737">
        <v>87</v>
      </c>
      <c r="X8737">
        <v>92</v>
      </c>
      <c r="Y8737">
        <v>12</v>
      </c>
      <c r="Z8737">
        <v>76</v>
      </c>
      <c r="AA8737">
        <v>13</v>
      </c>
      <c r="AB8737">
        <v>2.5710549999999999</v>
      </c>
      <c r="AC8737">
        <v>1.425054</v>
      </c>
      <c r="AD8737">
        <v>4.4711650000000001</v>
      </c>
      <c r="AE8737">
        <v>0.26953719999999998</v>
      </c>
      <c r="AF8737">
        <v>359.75510000000003</v>
      </c>
      <c r="AG8737">
        <f>IFERROR(AH8737*0.1, "N/A")</f>
        <v>7.5926370000000007</v>
      </c>
      <c r="AH8737">
        <v>75.926370000000006</v>
      </c>
      <c r="AI8737">
        <v>206.90299999999999</v>
      </c>
      <c r="AJ8737">
        <v>21.553080000000001</v>
      </c>
      <c r="AK8737">
        <v>57.621580000000002</v>
      </c>
    </row>
    <row r="8738" spans="1:37" x14ac:dyDescent="0.3">
      <c r="A8738">
        <v>8737</v>
      </c>
      <c r="B8738">
        <v>33.299999999999997</v>
      </c>
      <c r="C8738">
        <v>37.158099999999997</v>
      </c>
      <c r="D8738">
        <v>11.414099999999999</v>
      </c>
      <c r="E8738" t="s">
        <v>13177</v>
      </c>
      <c r="F8738" t="s">
        <v>13178</v>
      </c>
      <c r="G8738" t="s">
        <v>37</v>
      </c>
      <c r="H8738">
        <v>1976</v>
      </c>
      <c r="I8738">
        <v>17.8</v>
      </c>
      <c r="J8738">
        <v>14.7</v>
      </c>
      <c r="K8738">
        <v>72</v>
      </c>
      <c r="L8738">
        <v>9.9701360000000001</v>
      </c>
      <c r="M8738">
        <v>27.6</v>
      </c>
      <c r="N8738">
        <v>7.3</v>
      </c>
      <c r="O8738">
        <v>20.3</v>
      </c>
      <c r="P8738">
        <v>17.3</v>
      </c>
      <c r="Q8738">
        <v>16.76689</v>
      </c>
      <c r="R8738">
        <v>19.2</v>
      </c>
      <c r="S8738">
        <v>16.666889999999999</v>
      </c>
      <c r="T8738">
        <v>1487.3309999999999</v>
      </c>
      <c r="U8738">
        <v>399.66890000000001</v>
      </c>
      <c r="V8738">
        <v>5</v>
      </c>
      <c r="W8738">
        <v>110.66889999999999</v>
      </c>
      <c r="X8738">
        <v>1001</v>
      </c>
      <c r="Y8738">
        <v>23</v>
      </c>
      <c r="Z8738">
        <v>127</v>
      </c>
      <c r="AA8738">
        <v>52</v>
      </c>
      <c r="AB8738">
        <v>14.74981</v>
      </c>
      <c r="AC8738">
        <v>0.18259259999999999</v>
      </c>
      <c r="AD8738">
        <v>1.2782770000000001</v>
      </c>
      <c r="AE8738">
        <v>0.60250970000000004</v>
      </c>
      <c r="AF8738">
        <v>2004.0730000000001</v>
      </c>
      <c r="AG8738">
        <f>IFERROR(AH8738*0.1, "N/A")</f>
        <v>6.180034</v>
      </c>
      <c r="AH8738">
        <v>61.800339999999998</v>
      </c>
      <c r="AI8738">
        <v>210.84360000000001</v>
      </c>
      <c r="AJ8738">
        <v>46.532420000000002</v>
      </c>
      <c r="AK8738">
        <v>25.998290000000001</v>
      </c>
    </row>
    <row r="8739" spans="1:37" x14ac:dyDescent="0.3">
      <c r="A8739">
        <v>8738</v>
      </c>
      <c r="B8739">
        <v>19.2</v>
      </c>
      <c r="C8739">
        <v>37.966700000000003</v>
      </c>
      <c r="D8739">
        <v>11.416700000000001</v>
      </c>
      <c r="E8739" t="s">
        <v>13179</v>
      </c>
      <c r="F8739" t="s">
        <v>13180</v>
      </c>
      <c r="G8739" t="s">
        <v>37</v>
      </c>
      <c r="H8739">
        <v>2000</v>
      </c>
      <c r="I8739">
        <v>17.159559999999999</v>
      </c>
      <c r="J8739">
        <v>15.17679</v>
      </c>
      <c r="K8739">
        <v>78.875429999999994</v>
      </c>
      <c r="L8739">
        <v>10.78862</v>
      </c>
      <c r="M8739">
        <v>26.81194</v>
      </c>
      <c r="N8739">
        <v>7.6595560000000003</v>
      </c>
      <c r="O8739">
        <v>19.15239</v>
      </c>
      <c r="P8739">
        <v>15.99949</v>
      </c>
      <c r="Q8739">
        <v>16.911950000000001</v>
      </c>
      <c r="R8739">
        <v>18.559560000000001</v>
      </c>
      <c r="S8739">
        <v>15.99949</v>
      </c>
      <c r="T8739">
        <v>1364.0650000000001</v>
      </c>
      <c r="U8739">
        <v>391.2679</v>
      </c>
      <c r="V8739">
        <v>9</v>
      </c>
      <c r="W8739">
        <v>115.7679</v>
      </c>
      <c r="X8739">
        <v>945.17240000000004</v>
      </c>
      <c r="Y8739">
        <v>29.23208</v>
      </c>
      <c r="Z8739">
        <v>262.02390000000003</v>
      </c>
      <c r="AA8739">
        <v>945.17240000000004</v>
      </c>
      <c r="AB8739">
        <v>81.545389999999998</v>
      </c>
      <c r="AC8739">
        <v>1.8938190000000001E-2</v>
      </c>
      <c r="AD8739">
        <v>12.21069</v>
      </c>
      <c r="AE8739">
        <v>0.64705849999999998</v>
      </c>
      <c r="AF8739">
        <v>2350.8670000000002</v>
      </c>
      <c r="AG8739">
        <f>IFERROR(AH8739*0.1, "N/A")</f>
        <v>6</v>
      </c>
      <c r="AH8739">
        <v>60</v>
      </c>
      <c r="AI8739">
        <v>144.4041</v>
      </c>
      <c r="AJ8739">
        <v>51.767919999999997</v>
      </c>
      <c r="AK8739">
        <v>23</v>
      </c>
    </row>
    <row r="8740" spans="1:37" x14ac:dyDescent="0.3">
      <c r="A8740">
        <v>8739</v>
      </c>
      <c r="B8740">
        <v>19.100000000000001</v>
      </c>
      <c r="C8740">
        <v>40.762799999999999</v>
      </c>
      <c r="D8740">
        <v>11.420999999999999</v>
      </c>
      <c r="E8740" t="s">
        <v>13181</v>
      </c>
      <c r="F8740" t="s">
        <v>13182</v>
      </c>
      <c r="G8740" t="s">
        <v>39</v>
      </c>
      <c r="H8740">
        <v>1993</v>
      </c>
      <c r="I8740">
        <v>27.3</v>
      </c>
      <c r="J8740">
        <v>13</v>
      </c>
      <c r="K8740">
        <v>60</v>
      </c>
      <c r="L8740">
        <v>24.56</v>
      </c>
      <c r="M8740">
        <v>38.799999999999997</v>
      </c>
      <c r="N8740">
        <v>17.3</v>
      </c>
      <c r="O8740">
        <v>21.5</v>
      </c>
      <c r="P8740">
        <v>29.2</v>
      </c>
      <c r="Q8740">
        <v>25.5</v>
      </c>
      <c r="R8740">
        <v>30.3</v>
      </c>
      <c r="S8740">
        <v>24.1</v>
      </c>
      <c r="T8740">
        <v>287</v>
      </c>
      <c r="U8740">
        <v>78</v>
      </c>
      <c r="V8740">
        <v>3</v>
      </c>
      <c r="W8740">
        <v>92</v>
      </c>
      <c r="X8740">
        <v>159</v>
      </c>
      <c r="Y8740">
        <v>18</v>
      </c>
      <c r="Z8740">
        <v>82</v>
      </c>
      <c r="AA8740">
        <v>25</v>
      </c>
      <c r="AB8740">
        <v>3.9517000000000002</v>
      </c>
      <c r="AC8740">
        <v>0.15649669999999999</v>
      </c>
      <c r="AD8740">
        <v>0.92598709999999995</v>
      </c>
      <c r="AE8740">
        <v>0.36041889999999999</v>
      </c>
      <c r="AF8740">
        <v>489.2226</v>
      </c>
      <c r="AG8740">
        <f>IFERROR(AH8740*0.1, "N/A")</f>
        <v>8.1148970000000009</v>
      </c>
      <c r="AH8740">
        <v>81.148970000000006</v>
      </c>
      <c r="AI8740">
        <v>204.2089</v>
      </c>
      <c r="AJ8740">
        <v>11.57192</v>
      </c>
      <c r="AK8740">
        <v>68.428079999999994</v>
      </c>
    </row>
    <row r="8741" spans="1:37" x14ac:dyDescent="0.3">
      <c r="A8741">
        <v>8740</v>
      </c>
      <c r="B8741">
        <v>0</v>
      </c>
      <c r="C8741">
        <v>40.763100000000001</v>
      </c>
      <c r="D8741">
        <v>11.4214</v>
      </c>
      <c r="E8741" t="s">
        <v>13183</v>
      </c>
      <c r="F8741" t="s">
        <v>13184</v>
      </c>
      <c r="G8741" t="s">
        <v>39</v>
      </c>
      <c r="H8741">
        <v>1977</v>
      </c>
      <c r="I8741">
        <v>27.3</v>
      </c>
      <c r="J8741">
        <v>13</v>
      </c>
      <c r="K8741">
        <v>60</v>
      </c>
      <c r="L8741">
        <v>24.56</v>
      </c>
      <c r="M8741">
        <v>38.799999999999997</v>
      </c>
      <c r="N8741">
        <v>17.3</v>
      </c>
      <c r="O8741">
        <v>21.5</v>
      </c>
      <c r="P8741">
        <v>29.2</v>
      </c>
      <c r="Q8741">
        <v>25.5</v>
      </c>
      <c r="R8741">
        <v>30.3</v>
      </c>
      <c r="S8741">
        <v>24.1</v>
      </c>
      <c r="T8741">
        <v>287</v>
      </c>
      <c r="U8741">
        <v>78</v>
      </c>
      <c r="V8741">
        <v>3</v>
      </c>
      <c r="W8741">
        <v>92</v>
      </c>
      <c r="X8741">
        <v>159</v>
      </c>
      <c r="Y8741">
        <v>18</v>
      </c>
      <c r="Z8741">
        <v>82</v>
      </c>
      <c r="AA8741">
        <v>25</v>
      </c>
      <c r="AB8741">
        <v>4.3129530000000003</v>
      </c>
      <c r="AC8741">
        <v>0.20721100000000001</v>
      </c>
      <c r="AD8741">
        <v>1.132682</v>
      </c>
      <c r="AE8741">
        <v>0.36041889999999999</v>
      </c>
      <c r="AF8741">
        <v>489.15870000000001</v>
      </c>
      <c r="AG8741">
        <f>IFERROR(AH8741*0.1, "N/A")</f>
        <v>8.0112629999999996</v>
      </c>
      <c r="AH8741">
        <v>80.112629999999996</v>
      </c>
      <c r="AI8741">
        <v>201.52770000000001</v>
      </c>
      <c r="AJ8741">
        <v>11.33447</v>
      </c>
      <c r="AK8741">
        <v>68.609219999999993</v>
      </c>
    </row>
    <row r="8742" spans="1:37" x14ac:dyDescent="0.3">
      <c r="A8742">
        <v>8741</v>
      </c>
      <c r="B8742">
        <v>0</v>
      </c>
      <c r="C8742">
        <v>37.285299999999999</v>
      </c>
      <c r="D8742">
        <v>11.473699999999999</v>
      </c>
      <c r="E8742" t="s">
        <v>13185</v>
      </c>
      <c r="F8742" t="s">
        <v>13186</v>
      </c>
      <c r="G8742" t="s">
        <v>37</v>
      </c>
      <c r="H8742">
        <v>1976</v>
      </c>
      <c r="I8742">
        <v>18.3</v>
      </c>
      <c r="J8742">
        <v>14.6</v>
      </c>
      <c r="K8742">
        <v>71</v>
      </c>
      <c r="L8742">
        <v>11.61</v>
      </c>
      <c r="M8742">
        <v>28.1</v>
      </c>
      <c r="N8742">
        <v>7.6</v>
      </c>
      <c r="O8742">
        <v>20.5</v>
      </c>
      <c r="P8742">
        <v>17.7</v>
      </c>
      <c r="Q8742">
        <v>17</v>
      </c>
      <c r="R8742">
        <v>19.899999999999999</v>
      </c>
      <c r="S8742">
        <v>16.899999999999999</v>
      </c>
      <c r="T8742">
        <v>1464</v>
      </c>
      <c r="U8742">
        <v>414</v>
      </c>
      <c r="V8742">
        <v>5</v>
      </c>
      <c r="W8742">
        <v>115</v>
      </c>
      <c r="X8742">
        <v>1015</v>
      </c>
      <c r="Y8742">
        <v>20</v>
      </c>
      <c r="Z8742">
        <v>115</v>
      </c>
      <c r="AA8742">
        <v>44</v>
      </c>
      <c r="AB8742">
        <v>34.683050000000001</v>
      </c>
      <c r="AC8742">
        <v>2.000157E-2</v>
      </c>
      <c r="AD8742">
        <v>2.1185179999999999</v>
      </c>
      <c r="AE8742">
        <v>0.56395810000000002</v>
      </c>
      <c r="AF8742">
        <v>1965.521</v>
      </c>
      <c r="AG8742">
        <f>IFERROR(AH8742*0.1, "N/A")</f>
        <v>5.6567290000000003</v>
      </c>
      <c r="AH8742">
        <v>56.56729</v>
      </c>
      <c r="AI8742">
        <v>77.909199999999998</v>
      </c>
      <c r="AJ8742">
        <v>52.587730000000001</v>
      </c>
      <c r="AK8742">
        <v>20.56729</v>
      </c>
    </row>
    <row r="8743" spans="1:37" x14ac:dyDescent="0.3">
      <c r="A8743">
        <v>8742</v>
      </c>
      <c r="B8743">
        <v>0</v>
      </c>
      <c r="C8743">
        <v>41.679699999999997</v>
      </c>
      <c r="D8743">
        <v>11.474399999999999</v>
      </c>
      <c r="E8743" t="s">
        <v>13187</v>
      </c>
      <c r="F8743" t="s">
        <v>13188</v>
      </c>
      <c r="G8743" t="s">
        <v>39</v>
      </c>
      <c r="H8743">
        <v>1995</v>
      </c>
      <c r="I8743">
        <v>28.6</v>
      </c>
      <c r="J8743">
        <v>10.9</v>
      </c>
      <c r="K8743">
        <v>52</v>
      </c>
      <c r="L8743">
        <v>31.274619999999999</v>
      </c>
      <c r="M8743">
        <v>39.5</v>
      </c>
      <c r="N8743">
        <v>18.899999999999999</v>
      </c>
      <c r="O8743">
        <v>20.6</v>
      </c>
      <c r="P8743">
        <v>31.6</v>
      </c>
      <c r="Q8743">
        <v>26.3</v>
      </c>
      <c r="R8743">
        <v>32.305619999999998</v>
      </c>
      <c r="S8743">
        <v>24.6</v>
      </c>
      <c r="T8743">
        <v>159.94380000000001</v>
      </c>
      <c r="U8743">
        <v>44</v>
      </c>
      <c r="V8743">
        <v>1</v>
      </c>
      <c r="W8743">
        <v>86</v>
      </c>
      <c r="X8743">
        <v>94</v>
      </c>
      <c r="Y8743">
        <v>13</v>
      </c>
      <c r="Z8743">
        <v>76</v>
      </c>
      <c r="AA8743">
        <v>14.94378</v>
      </c>
      <c r="AB8743">
        <v>108.9765</v>
      </c>
      <c r="AC8743">
        <v>9.0513390000000003E-3</v>
      </c>
      <c r="AD8743">
        <v>12.66798</v>
      </c>
      <c r="AE8743">
        <v>0.1426877</v>
      </c>
      <c r="AF8743">
        <v>437.88760000000002</v>
      </c>
      <c r="AG8743">
        <f>IFERROR(AH8743*0.1, "N/A")</f>
        <v>7.3000000000000007</v>
      </c>
      <c r="AH8743">
        <v>73</v>
      </c>
      <c r="AI8743">
        <v>249.58279999999999</v>
      </c>
      <c r="AJ8743">
        <v>17.306640000000002</v>
      </c>
      <c r="AK8743">
        <v>53.69847</v>
      </c>
    </row>
    <row r="8744" spans="1:37" x14ac:dyDescent="0.3">
      <c r="A8744">
        <v>8743</v>
      </c>
      <c r="B8744">
        <v>3.8</v>
      </c>
      <c r="C8744">
        <v>37.583300000000001</v>
      </c>
      <c r="D8744">
        <v>11.4833</v>
      </c>
      <c r="E8744" t="s">
        <v>13189</v>
      </c>
      <c r="F8744" t="s">
        <v>13190</v>
      </c>
      <c r="G8744" t="s">
        <v>37</v>
      </c>
      <c r="H8744">
        <v>1993</v>
      </c>
      <c r="I8744">
        <v>20.6</v>
      </c>
      <c r="J8744">
        <v>14.9</v>
      </c>
      <c r="K8744">
        <v>70.698629999999994</v>
      </c>
      <c r="L8744">
        <v>12.93928</v>
      </c>
      <c r="M8744">
        <v>30.7</v>
      </c>
      <c r="N8744">
        <v>9.7698630000000009</v>
      </c>
      <c r="O8744">
        <v>20.930140000000002</v>
      </c>
      <c r="P8744">
        <v>19.899999999999999</v>
      </c>
      <c r="Q8744">
        <v>19.369859999999999</v>
      </c>
      <c r="R8744">
        <v>22.447600000000001</v>
      </c>
      <c r="S8744">
        <v>19.16986</v>
      </c>
      <c r="T8744">
        <v>1296.1010000000001</v>
      </c>
      <c r="U8744">
        <v>390.65069999999997</v>
      </c>
      <c r="V8744">
        <v>3</v>
      </c>
      <c r="W8744">
        <v>121.1747</v>
      </c>
      <c r="X8744">
        <v>928.30139999999994</v>
      </c>
      <c r="Y8744">
        <v>11</v>
      </c>
      <c r="Z8744">
        <v>105.3014</v>
      </c>
      <c r="AA8744">
        <v>26</v>
      </c>
      <c r="AB8744">
        <v>0.74539789999999995</v>
      </c>
      <c r="AC8744">
        <v>0.77883760000000002</v>
      </c>
      <c r="AD8744">
        <v>1.4707440000000001</v>
      </c>
      <c r="AE8744">
        <v>0.56060759999999998</v>
      </c>
      <c r="AF8744">
        <v>1640.4079999999999</v>
      </c>
      <c r="AG8744">
        <f>IFERROR(AH8744*0.1, "N/A")</f>
        <v>6.917466000000001</v>
      </c>
      <c r="AH8744">
        <v>69.174660000000003</v>
      </c>
      <c r="AI8744">
        <v>120.2799</v>
      </c>
      <c r="AJ8744">
        <v>49</v>
      </c>
      <c r="AK8744">
        <v>24</v>
      </c>
    </row>
    <row r="8745" spans="1:37" x14ac:dyDescent="0.3">
      <c r="A8745">
        <v>8744</v>
      </c>
      <c r="B8745">
        <v>2.4</v>
      </c>
      <c r="C8745">
        <v>41.471299999999999</v>
      </c>
      <c r="D8745">
        <v>11.5162</v>
      </c>
      <c r="E8745" t="s">
        <v>13191</v>
      </c>
      <c r="F8745" t="s">
        <v>13192</v>
      </c>
      <c r="G8745" t="s">
        <v>39</v>
      </c>
      <c r="H8745">
        <v>1977</v>
      </c>
      <c r="I8745">
        <v>28.8</v>
      </c>
      <c r="J8745">
        <v>11.3</v>
      </c>
      <c r="K8745">
        <v>54</v>
      </c>
      <c r="L8745">
        <v>30.02</v>
      </c>
      <c r="M8745">
        <v>39.700000000000003</v>
      </c>
      <c r="N8745">
        <v>19.100000000000001</v>
      </c>
      <c r="O8745">
        <v>20.6</v>
      </c>
      <c r="P8745">
        <v>31.7</v>
      </c>
      <c r="Q8745">
        <v>25.2</v>
      </c>
      <c r="R8745">
        <v>32.4</v>
      </c>
      <c r="S8745">
        <v>24.9</v>
      </c>
      <c r="T8745">
        <v>147.3082</v>
      </c>
      <c r="U8745">
        <v>39.654110000000003</v>
      </c>
      <c r="V8745">
        <v>0</v>
      </c>
      <c r="W8745">
        <v>82.308220000000006</v>
      </c>
      <c r="X8745">
        <v>81.308220000000006</v>
      </c>
      <c r="Y8745">
        <v>11</v>
      </c>
      <c r="Z8745">
        <v>66.308220000000006</v>
      </c>
      <c r="AA8745">
        <v>11</v>
      </c>
      <c r="AB8745">
        <v>0.20102639999999999</v>
      </c>
      <c r="AC8745">
        <v>26985.14</v>
      </c>
      <c r="AD8745">
        <v>1.1466460000000001</v>
      </c>
      <c r="AE8745">
        <v>0.4851413</v>
      </c>
      <c r="AF8745">
        <v>351.9058</v>
      </c>
      <c r="AG8745">
        <f>IFERROR(AH8745*0.1, "N/A")</f>
        <v>8.0708900000000003</v>
      </c>
      <c r="AH8745">
        <v>80.7089</v>
      </c>
      <c r="AI8745">
        <v>180.0813</v>
      </c>
      <c r="AJ8745">
        <v>38</v>
      </c>
      <c r="AK8745">
        <v>34.09075</v>
      </c>
    </row>
    <row r="8746" spans="1:37" x14ac:dyDescent="0.3">
      <c r="A8746">
        <v>8745</v>
      </c>
      <c r="B8746">
        <v>0.9</v>
      </c>
      <c r="C8746">
        <v>41.273699999999998</v>
      </c>
      <c r="D8746">
        <v>11.5364</v>
      </c>
      <c r="E8746" t="s">
        <v>13193</v>
      </c>
      <c r="F8746" t="s">
        <v>13194</v>
      </c>
      <c r="G8746" t="s">
        <v>39</v>
      </c>
      <c r="H8746">
        <v>1993</v>
      </c>
      <c r="I8746">
        <v>28.5</v>
      </c>
      <c r="J8746">
        <v>11.7</v>
      </c>
      <c r="K8746">
        <v>56</v>
      </c>
      <c r="L8746">
        <v>28.5</v>
      </c>
      <c r="M8746">
        <v>39.6</v>
      </c>
      <c r="N8746">
        <v>18.8</v>
      </c>
      <c r="O8746">
        <v>20.8</v>
      </c>
      <c r="P8746">
        <v>31.1</v>
      </c>
      <c r="Q8746">
        <v>25.1</v>
      </c>
      <c r="R8746">
        <v>31.9</v>
      </c>
      <c r="S8746">
        <v>24.8</v>
      </c>
      <c r="T8746">
        <v>161</v>
      </c>
      <c r="U8746">
        <v>43</v>
      </c>
      <c r="V8746">
        <v>1</v>
      </c>
      <c r="W8746">
        <v>84</v>
      </c>
      <c r="X8746">
        <v>87</v>
      </c>
      <c r="Y8746">
        <v>12</v>
      </c>
      <c r="Z8746">
        <v>39</v>
      </c>
      <c r="AA8746">
        <v>12</v>
      </c>
      <c r="AB8746">
        <v>2.8704719999999999</v>
      </c>
      <c r="AC8746">
        <v>1.135248E-2</v>
      </c>
      <c r="AD8746">
        <v>1.136846</v>
      </c>
      <c r="AE8746">
        <v>0.54054709999999995</v>
      </c>
      <c r="AF8746">
        <v>359.42829999999998</v>
      </c>
      <c r="AG8746">
        <f>IFERROR(AH8746*0.1, "N/A")</f>
        <v>7.8938570000000006</v>
      </c>
      <c r="AH8746">
        <v>78.938569999999999</v>
      </c>
      <c r="AI8746">
        <v>129.74090000000001</v>
      </c>
      <c r="AJ8746">
        <v>34.003410000000002</v>
      </c>
      <c r="AK8746">
        <v>39.877130000000001</v>
      </c>
    </row>
    <row r="8747" spans="1:37" x14ac:dyDescent="0.3">
      <c r="A8747">
        <v>8746</v>
      </c>
      <c r="B8747">
        <v>18.3</v>
      </c>
      <c r="C8747">
        <v>41.272799999999997</v>
      </c>
      <c r="D8747">
        <v>11.5365</v>
      </c>
      <c r="E8747" t="s">
        <v>13195</v>
      </c>
      <c r="F8747" t="s">
        <v>13196</v>
      </c>
      <c r="G8747" t="s">
        <v>39</v>
      </c>
      <c r="H8747">
        <v>1996</v>
      </c>
      <c r="I8747">
        <v>28.5</v>
      </c>
      <c r="J8747">
        <v>11.7</v>
      </c>
      <c r="K8747">
        <v>56</v>
      </c>
      <c r="L8747">
        <v>28.5</v>
      </c>
      <c r="M8747">
        <v>39.6</v>
      </c>
      <c r="N8747">
        <v>18.8</v>
      </c>
      <c r="O8747">
        <v>20.8</v>
      </c>
      <c r="P8747">
        <v>31.1</v>
      </c>
      <c r="Q8747">
        <v>25.1</v>
      </c>
      <c r="R8747">
        <v>31.9</v>
      </c>
      <c r="S8747">
        <v>24.8</v>
      </c>
      <c r="T8747">
        <v>161</v>
      </c>
      <c r="U8747">
        <v>43</v>
      </c>
      <c r="V8747">
        <v>1</v>
      </c>
      <c r="W8747">
        <v>84</v>
      </c>
      <c r="X8747">
        <v>87</v>
      </c>
      <c r="Y8747">
        <v>12</v>
      </c>
      <c r="Z8747">
        <v>39</v>
      </c>
      <c r="AA8747">
        <v>12</v>
      </c>
      <c r="AB8747">
        <v>2.8075109999999999</v>
      </c>
      <c r="AC8747">
        <v>8.3785279999999997E-3</v>
      </c>
      <c r="AD8747">
        <v>1.4781329999999999</v>
      </c>
      <c r="AE8747">
        <v>0.54054709999999995</v>
      </c>
      <c r="AF8747">
        <v>359.79520000000002</v>
      </c>
      <c r="AG8747">
        <f>IFERROR(AH8747*0.1, "N/A")</f>
        <v>7.8972700000000007</v>
      </c>
      <c r="AH8747">
        <v>78.972700000000003</v>
      </c>
      <c r="AI8747">
        <v>196.5214</v>
      </c>
      <c r="AJ8747">
        <v>33.373719999999999</v>
      </c>
      <c r="AK8747">
        <v>39.86177</v>
      </c>
    </row>
    <row r="8748" spans="1:37" x14ac:dyDescent="0.3">
      <c r="A8748">
        <v>8747</v>
      </c>
      <c r="B8748">
        <v>3.5</v>
      </c>
      <c r="C8748">
        <v>41.439399999999999</v>
      </c>
      <c r="D8748">
        <v>11.563599999999999</v>
      </c>
      <c r="E8748" t="s">
        <v>13197</v>
      </c>
      <c r="F8748" t="s">
        <v>13198</v>
      </c>
      <c r="G8748" t="s">
        <v>39</v>
      </c>
      <c r="H8748">
        <v>1970</v>
      </c>
      <c r="I8748">
        <v>28.7</v>
      </c>
      <c r="J8748">
        <v>11.3</v>
      </c>
      <c r="K8748">
        <v>54</v>
      </c>
      <c r="L8748">
        <v>29.49</v>
      </c>
      <c r="M8748">
        <v>39.6</v>
      </c>
      <c r="N8748">
        <v>19</v>
      </c>
      <c r="O8748">
        <v>20.6</v>
      </c>
      <c r="P8748">
        <v>31.5</v>
      </c>
      <c r="Q8748">
        <v>24.9</v>
      </c>
      <c r="R8748">
        <v>32.200000000000003</v>
      </c>
      <c r="S8748">
        <v>24.9</v>
      </c>
      <c r="T8748">
        <v>144</v>
      </c>
      <c r="U8748">
        <v>38</v>
      </c>
      <c r="V8748">
        <v>0</v>
      </c>
      <c r="W8748">
        <v>78</v>
      </c>
      <c r="X8748">
        <v>77</v>
      </c>
      <c r="Y8748">
        <v>11</v>
      </c>
      <c r="Z8748">
        <v>63</v>
      </c>
      <c r="AA8748">
        <v>11</v>
      </c>
      <c r="AB8748">
        <v>18.978470000000002</v>
      </c>
      <c r="AC8748">
        <v>8.3777480000000008E-3</v>
      </c>
      <c r="AD8748">
        <v>1.792286</v>
      </c>
      <c r="AE8748">
        <v>0.54388709999999996</v>
      </c>
      <c r="AF8748">
        <v>374.10599999999999</v>
      </c>
      <c r="AG8748">
        <f>IFERROR(AH8748*0.1, "N/A")</f>
        <v>7.7042739999999998</v>
      </c>
      <c r="AH8748">
        <v>77.042739999999995</v>
      </c>
      <c r="AI8748">
        <v>143.46299999999999</v>
      </c>
      <c r="AJ8748">
        <v>31.239319999999999</v>
      </c>
      <c r="AK8748">
        <v>42.646149999999999</v>
      </c>
    </row>
    <row r="8749" spans="1:37" x14ac:dyDescent="0.3">
      <c r="A8749">
        <v>8748</v>
      </c>
      <c r="B8749">
        <v>0</v>
      </c>
      <c r="C8749">
        <v>41.439399999999999</v>
      </c>
      <c r="D8749">
        <v>11.563599999999999</v>
      </c>
      <c r="E8749" t="s">
        <v>13197</v>
      </c>
      <c r="F8749" t="s">
        <v>13199</v>
      </c>
      <c r="G8749" t="s">
        <v>37</v>
      </c>
      <c r="H8749">
        <v>1977</v>
      </c>
      <c r="I8749">
        <v>28.7</v>
      </c>
      <c r="J8749">
        <v>11.3</v>
      </c>
      <c r="K8749">
        <v>54</v>
      </c>
      <c r="L8749">
        <v>29.49</v>
      </c>
      <c r="M8749">
        <v>39.6</v>
      </c>
      <c r="N8749">
        <v>19</v>
      </c>
      <c r="O8749">
        <v>20.6</v>
      </c>
      <c r="P8749">
        <v>31.5</v>
      </c>
      <c r="Q8749">
        <v>24.9</v>
      </c>
      <c r="R8749">
        <v>32.200000000000003</v>
      </c>
      <c r="S8749">
        <v>24.9</v>
      </c>
      <c r="T8749">
        <v>144</v>
      </c>
      <c r="U8749">
        <v>38</v>
      </c>
      <c r="V8749">
        <v>0</v>
      </c>
      <c r="W8749">
        <v>78</v>
      </c>
      <c r="X8749">
        <v>77</v>
      </c>
      <c r="Y8749">
        <v>11</v>
      </c>
      <c r="Z8749">
        <v>63</v>
      </c>
      <c r="AA8749">
        <v>11</v>
      </c>
      <c r="AB8749">
        <v>18.978470000000002</v>
      </c>
      <c r="AC8749">
        <v>8.3777480000000008E-3</v>
      </c>
      <c r="AD8749">
        <v>1.792286</v>
      </c>
      <c r="AE8749">
        <v>0.54388709999999996</v>
      </c>
      <c r="AF8749">
        <v>374.10599999999999</v>
      </c>
      <c r="AG8749">
        <f>IFERROR(AH8749*0.1, "N/A")</f>
        <v>7.7042739999999998</v>
      </c>
      <c r="AH8749">
        <v>77.042739999999995</v>
      </c>
      <c r="AI8749">
        <v>143.46299999999999</v>
      </c>
      <c r="AJ8749">
        <v>31.239319999999999</v>
      </c>
      <c r="AK8749">
        <v>42.646149999999999</v>
      </c>
    </row>
    <row r="8750" spans="1:37" x14ac:dyDescent="0.3">
      <c r="A8750">
        <v>8749</v>
      </c>
      <c r="B8750">
        <v>8.4</v>
      </c>
      <c r="C8750">
        <v>41.438600000000001</v>
      </c>
      <c r="D8750">
        <v>11.566700000000001</v>
      </c>
      <c r="E8750" t="s">
        <v>13200</v>
      </c>
      <c r="F8750" t="s">
        <v>13201</v>
      </c>
      <c r="G8750" t="s">
        <v>39</v>
      </c>
      <c r="H8750">
        <v>1993</v>
      </c>
      <c r="I8750">
        <v>28.649229999999999</v>
      </c>
      <c r="J8750">
        <v>11.3</v>
      </c>
      <c r="K8750">
        <v>54</v>
      </c>
      <c r="L8750">
        <v>29.49</v>
      </c>
      <c r="M8750">
        <v>39.549230000000001</v>
      </c>
      <c r="N8750">
        <v>18.94923</v>
      </c>
      <c r="O8750">
        <v>20.6</v>
      </c>
      <c r="P8750">
        <v>31.44923</v>
      </c>
      <c r="Q8750">
        <v>24.849229999999999</v>
      </c>
      <c r="R8750">
        <v>32.149230000000003</v>
      </c>
      <c r="S8750">
        <v>24.849229999999999</v>
      </c>
      <c r="T8750">
        <v>145.523</v>
      </c>
      <c r="U8750">
        <v>38</v>
      </c>
      <c r="V8750">
        <v>0</v>
      </c>
      <c r="W8750">
        <v>78</v>
      </c>
      <c r="X8750">
        <v>77.507670000000005</v>
      </c>
      <c r="Y8750">
        <v>11</v>
      </c>
      <c r="Z8750">
        <v>63</v>
      </c>
      <c r="AA8750">
        <v>11</v>
      </c>
      <c r="AB8750">
        <v>15.8995</v>
      </c>
      <c r="AC8750">
        <v>9.5478690000000005E-2</v>
      </c>
      <c r="AD8750">
        <v>1.8494379999999999</v>
      </c>
      <c r="AE8750">
        <v>0.54388709999999996</v>
      </c>
      <c r="AF8750">
        <v>370.1755</v>
      </c>
      <c r="AG8750">
        <f>IFERROR(AH8750*0.1, "N/A")</f>
        <v>8</v>
      </c>
      <c r="AH8750">
        <v>80</v>
      </c>
      <c r="AI8750">
        <v>171.57329999999999</v>
      </c>
      <c r="AJ8750">
        <v>26.023849999999999</v>
      </c>
      <c r="AK8750">
        <v>49.023850000000003</v>
      </c>
    </row>
    <row r="8751" spans="1:37" x14ac:dyDescent="0.3">
      <c r="A8751">
        <v>8750</v>
      </c>
      <c r="B8751">
        <v>1.5</v>
      </c>
      <c r="C8751">
        <v>41.4358</v>
      </c>
      <c r="D8751">
        <v>11.569699999999999</v>
      </c>
      <c r="E8751" t="s">
        <v>13202</v>
      </c>
      <c r="F8751" t="s">
        <v>13203</v>
      </c>
      <c r="G8751" t="s">
        <v>39</v>
      </c>
      <c r="H8751">
        <v>1977</v>
      </c>
      <c r="I8751">
        <v>28.6</v>
      </c>
      <c r="J8751">
        <v>11.3</v>
      </c>
      <c r="K8751">
        <v>54</v>
      </c>
      <c r="L8751">
        <v>29.49</v>
      </c>
      <c r="M8751">
        <v>39.5</v>
      </c>
      <c r="N8751">
        <v>18.899999999999999</v>
      </c>
      <c r="O8751">
        <v>20.6</v>
      </c>
      <c r="P8751">
        <v>31.4</v>
      </c>
      <c r="Q8751">
        <v>24.8</v>
      </c>
      <c r="R8751">
        <v>32.1</v>
      </c>
      <c r="S8751">
        <v>24.8</v>
      </c>
      <c r="T8751">
        <v>147</v>
      </c>
      <c r="U8751">
        <v>38</v>
      </c>
      <c r="V8751">
        <v>0</v>
      </c>
      <c r="W8751">
        <v>78</v>
      </c>
      <c r="X8751">
        <v>78</v>
      </c>
      <c r="Y8751">
        <v>11</v>
      </c>
      <c r="Z8751">
        <v>63</v>
      </c>
      <c r="AA8751">
        <v>11</v>
      </c>
      <c r="AB8751">
        <v>18.256740000000001</v>
      </c>
      <c r="AC8751">
        <v>1.4057729999999999E-2</v>
      </c>
      <c r="AD8751">
        <v>2.0340569999999998</v>
      </c>
      <c r="AE8751">
        <v>0.44429150000000001</v>
      </c>
      <c r="AF8751">
        <v>373.11239999999998</v>
      </c>
      <c r="AG8751">
        <f>IFERROR(AH8751*0.1, "N/A")</f>
        <v>7.9614990000000008</v>
      </c>
      <c r="AH8751">
        <v>79.614990000000006</v>
      </c>
      <c r="AI8751">
        <v>106.2439</v>
      </c>
      <c r="AJ8751">
        <v>24.58944</v>
      </c>
      <c r="AK8751">
        <v>50.088590000000003</v>
      </c>
    </row>
    <row r="8752" spans="1:37" x14ac:dyDescent="0.3">
      <c r="A8752">
        <v>8751</v>
      </c>
      <c r="B8752">
        <v>6.9</v>
      </c>
      <c r="C8752">
        <v>41.266199999999998</v>
      </c>
      <c r="D8752">
        <v>11.571300000000001</v>
      </c>
      <c r="E8752" t="s">
        <v>13204</v>
      </c>
      <c r="F8752" t="s">
        <v>13205</v>
      </c>
      <c r="G8752" t="s">
        <v>39</v>
      </c>
      <c r="H8752">
        <v>1993</v>
      </c>
      <c r="I8752">
        <v>28.5</v>
      </c>
      <c r="J8752">
        <v>11.7</v>
      </c>
      <c r="K8752">
        <v>56</v>
      </c>
      <c r="L8752">
        <v>28.4406</v>
      </c>
      <c r="M8752">
        <v>39.505299999999998</v>
      </c>
      <c r="N8752">
        <v>18.8</v>
      </c>
      <c r="O8752">
        <v>20.705300000000001</v>
      </c>
      <c r="P8752">
        <v>31.1053</v>
      </c>
      <c r="Q8752">
        <v>24.8</v>
      </c>
      <c r="R8752">
        <v>31.9</v>
      </c>
      <c r="S8752">
        <v>24.8</v>
      </c>
      <c r="T8752">
        <v>160</v>
      </c>
      <c r="U8752">
        <v>42</v>
      </c>
      <c r="V8752">
        <v>1</v>
      </c>
      <c r="W8752">
        <v>81</v>
      </c>
      <c r="X8752">
        <v>85</v>
      </c>
      <c r="Y8752">
        <v>12</v>
      </c>
      <c r="Z8752">
        <v>38</v>
      </c>
      <c r="AA8752">
        <v>12</v>
      </c>
      <c r="AB8752">
        <v>1.284794</v>
      </c>
      <c r="AC8752">
        <v>8.6639200000000003E-3</v>
      </c>
      <c r="AD8752">
        <v>2.1076000000000001</v>
      </c>
      <c r="AE8752">
        <v>0.3110252</v>
      </c>
      <c r="AF8752">
        <v>363.012</v>
      </c>
      <c r="AG8752">
        <f>IFERROR(AH8752*0.1, "N/A")</f>
        <v>8.186496</v>
      </c>
      <c r="AH8752">
        <v>81.864959999999996</v>
      </c>
      <c r="AI8752">
        <v>310.3546</v>
      </c>
      <c r="AJ8752">
        <v>34.064959999999999</v>
      </c>
      <c r="AK8752">
        <v>41.740169999999999</v>
      </c>
    </row>
    <row r="8753" spans="1:37" x14ac:dyDescent="0.3">
      <c r="A8753">
        <v>8752</v>
      </c>
      <c r="B8753">
        <v>0</v>
      </c>
      <c r="C8753">
        <v>37.403500000000001</v>
      </c>
      <c r="D8753">
        <v>11.586600000000001</v>
      </c>
      <c r="E8753" t="s">
        <v>13206</v>
      </c>
      <c r="F8753" t="s">
        <v>13207</v>
      </c>
      <c r="G8753" t="s">
        <v>37</v>
      </c>
      <c r="H8753">
        <v>1991</v>
      </c>
      <c r="I8753">
        <v>19.600000000000001</v>
      </c>
      <c r="J8753">
        <v>14.5</v>
      </c>
      <c r="K8753">
        <v>67</v>
      </c>
      <c r="L8753">
        <v>14.52</v>
      </c>
      <c r="M8753">
        <v>29.7</v>
      </c>
      <c r="N8753">
        <v>8.3000000000000007</v>
      </c>
      <c r="O8753">
        <v>21.4</v>
      </c>
      <c r="P8753">
        <v>19.2</v>
      </c>
      <c r="Q8753">
        <v>17.899999999999999</v>
      </c>
      <c r="R8753">
        <v>21.6</v>
      </c>
      <c r="S8753">
        <v>17.8</v>
      </c>
      <c r="T8753">
        <v>1415</v>
      </c>
      <c r="U8753">
        <v>428</v>
      </c>
      <c r="V8753">
        <v>2</v>
      </c>
      <c r="W8753">
        <v>123</v>
      </c>
      <c r="X8753">
        <v>1017</v>
      </c>
      <c r="Y8753">
        <v>11</v>
      </c>
      <c r="Z8753">
        <v>103</v>
      </c>
      <c r="AA8753">
        <v>30</v>
      </c>
      <c r="AB8753">
        <v>3.7836370000000001</v>
      </c>
      <c r="AC8753">
        <v>0.95677409999999996</v>
      </c>
      <c r="AD8753">
        <v>1.624582</v>
      </c>
      <c r="AE8753">
        <v>0.73430930000000005</v>
      </c>
      <c r="AF8753">
        <v>1787.162</v>
      </c>
      <c r="AG8753">
        <f>IFERROR(AH8753*0.1, "N/A")</f>
        <v>6.5001720000000009</v>
      </c>
      <c r="AH8753">
        <v>65.001720000000006</v>
      </c>
      <c r="AI8753">
        <v>156.68360000000001</v>
      </c>
      <c r="AJ8753">
        <v>48.958759999999998</v>
      </c>
      <c r="AK8753">
        <v>22.664950000000001</v>
      </c>
    </row>
    <row r="8754" spans="1:37" x14ac:dyDescent="0.3">
      <c r="A8754">
        <v>8753</v>
      </c>
      <c r="B8754">
        <v>1.8</v>
      </c>
      <c r="C8754">
        <v>37.3855</v>
      </c>
      <c r="D8754">
        <v>11.5892</v>
      </c>
      <c r="E8754" t="s">
        <v>13208</v>
      </c>
      <c r="F8754" t="s">
        <v>13209</v>
      </c>
      <c r="G8754" t="s">
        <v>37</v>
      </c>
      <c r="H8754">
        <v>2010</v>
      </c>
      <c r="I8754">
        <v>19.600000000000001</v>
      </c>
      <c r="J8754">
        <v>14.5</v>
      </c>
      <c r="K8754">
        <v>68</v>
      </c>
      <c r="L8754">
        <v>14.43</v>
      </c>
      <c r="M8754">
        <v>29.6</v>
      </c>
      <c r="N8754">
        <v>8.3000000000000007</v>
      </c>
      <c r="O8754">
        <v>21.3</v>
      </c>
      <c r="P8754">
        <v>19.100000000000001</v>
      </c>
      <c r="Q8754">
        <v>17.899999999999999</v>
      </c>
      <c r="R8754">
        <v>21.6</v>
      </c>
      <c r="S8754">
        <v>17.8</v>
      </c>
      <c r="T8754">
        <v>1419</v>
      </c>
      <c r="U8754">
        <v>428</v>
      </c>
      <c r="V8754">
        <v>2</v>
      </c>
      <c r="W8754">
        <v>122</v>
      </c>
      <c r="X8754">
        <v>1020</v>
      </c>
      <c r="Y8754">
        <v>12</v>
      </c>
      <c r="Z8754">
        <v>102</v>
      </c>
      <c r="AA8754">
        <v>31</v>
      </c>
      <c r="AB8754">
        <v>1.073145</v>
      </c>
      <c r="AC8754">
        <v>0.2663451</v>
      </c>
      <c r="AD8754">
        <v>1.0291189999999999</v>
      </c>
      <c r="AE8754">
        <v>0.77370349999999999</v>
      </c>
      <c r="AF8754">
        <v>1793.848</v>
      </c>
      <c r="AG8754">
        <f>IFERROR(AH8754*0.1, "N/A")</f>
        <v>7.3764099999999999</v>
      </c>
      <c r="AH8754">
        <v>73.764099999999999</v>
      </c>
      <c r="AI8754">
        <v>200.67679999999999</v>
      </c>
      <c r="AJ8754">
        <v>43.779490000000003</v>
      </c>
      <c r="AK8754">
        <v>26.72991</v>
      </c>
    </row>
    <row r="8755" spans="1:37" x14ac:dyDescent="0.3">
      <c r="A8755">
        <v>8754</v>
      </c>
      <c r="B8755">
        <v>0</v>
      </c>
      <c r="C8755">
        <v>37.401600000000002</v>
      </c>
      <c r="D8755">
        <v>11.5898</v>
      </c>
      <c r="E8755" t="s">
        <v>13210</v>
      </c>
      <c r="F8755" t="s">
        <v>13211</v>
      </c>
      <c r="G8755" t="s">
        <v>37</v>
      </c>
      <c r="H8755">
        <v>1991</v>
      </c>
      <c r="I8755">
        <v>19.600000000000001</v>
      </c>
      <c r="J8755">
        <v>14.5</v>
      </c>
      <c r="K8755">
        <v>67</v>
      </c>
      <c r="L8755">
        <v>14.52</v>
      </c>
      <c r="M8755">
        <v>29.7</v>
      </c>
      <c r="N8755">
        <v>8.3000000000000007</v>
      </c>
      <c r="O8755">
        <v>21.4</v>
      </c>
      <c r="P8755">
        <v>19.2</v>
      </c>
      <c r="Q8755">
        <v>17.899999999999999</v>
      </c>
      <c r="R8755">
        <v>21.6</v>
      </c>
      <c r="S8755">
        <v>17.8</v>
      </c>
      <c r="T8755">
        <v>1415</v>
      </c>
      <c r="U8755">
        <v>428</v>
      </c>
      <c r="V8755">
        <v>2</v>
      </c>
      <c r="W8755">
        <v>123</v>
      </c>
      <c r="X8755">
        <v>1017</v>
      </c>
      <c r="Y8755">
        <v>11</v>
      </c>
      <c r="Z8755">
        <v>103</v>
      </c>
      <c r="AA8755">
        <v>30</v>
      </c>
      <c r="AB8755">
        <v>4.7238660000000001</v>
      </c>
      <c r="AC8755">
        <v>2.5987130000000001E-2</v>
      </c>
      <c r="AD8755">
        <v>0.65352160000000004</v>
      </c>
      <c r="AE8755">
        <v>0.73430930000000005</v>
      </c>
      <c r="AF8755">
        <v>1793.039</v>
      </c>
      <c r="AG8755">
        <f>IFERROR(AH8755*0.1, "N/A")</f>
        <v>6.6926750000000004</v>
      </c>
      <c r="AH8755">
        <v>66.926749999999998</v>
      </c>
      <c r="AI8755">
        <v>206.35910000000001</v>
      </c>
      <c r="AJ8755">
        <v>48.897790000000001</v>
      </c>
      <c r="AK8755">
        <v>22.107330000000001</v>
      </c>
    </row>
    <row r="8756" spans="1:37" x14ac:dyDescent="0.3">
      <c r="A8756">
        <v>8755</v>
      </c>
      <c r="B8756">
        <v>57.1</v>
      </c>
      <c r="C8756">
        <v>37.381399999999999</v>
      </c>
      <c r="D8756">
        <v>11.5975</v>
      </c>
      <c r="E8756" t="s">
        <v>13212</v>
      </c>
      <c r="F8756" t="s">
        <v>13213</v>
      </c>
      <c r="G8756" t="s">
        <v>37</v>
      </c>
      <c r="H8756">
        <v>1956</v>
      </c>
      <c r="I8756">
        <v>19.5</v>
      </c>
      <c r="J8756">
        <v>14.5</v>
      </c>
      <c r="K8756">
        <v>68</v>
      </c>
      <c r="L8756">
        <v>14.42</v>
      </c>
      <c r="M8756">
        <v>29.6</v>
      </c>
      <c r="N8756">
        <v>8.3000000000000007</v>
      </c>
      <c r="O8756">
        <v>21.3</v>
      </c>
      <c r="P8756">
        <v>19.100000000000001</v>
      </c>
      <c r="Q8756">
        <v>17.8</v>
      </c>
      <c r="R8756">
        <v>21.6</v>
      </c>
      <c r="S8756">
        <v>17.8</v>
      </c>
      <c r="T8756">
        <v>1420</v>
      </c>
      <c r="U8756">
        <v>429</v>
      </c>
      <c r="V8756">
        <v>2</v>
      </c>
      <c r="W8756">
        <v>122</v>
      </c>
      <c r="X8756">
        <v>1022</v>
      </c>
      <c r="Y8756">
        <v>12</v>
      </c>
      <c r="Z8756">
        <v>100</v>
      </c>
      <c r="AA8756">
        <v>31</v>
      </c>
      <c r="AB8756">
        <v>2.6483560000000002</v>
      </c>
      <c r="AC8756">
        <v>1.6366869999999999E-2</v>
      </c>
      <c r="AD8756">
        <v>1.237503</v>
      </c>
      <c r="AE8756">
        <v>0.70075710000000002</v>
      </c>
      <c r="AF8756">
        <v>1795.1030000000001</v>
      </c>
      <c r="AG8756">
        <f>IFERROR(AH8756*0.1, "N/A")</f>
        <v>7.1070089999999997</v>
      </c>
      <c r="AH8756">
        <v>71.070089999999993</v>
      </c>
      <c r="AI8756">
        <v>104.9953</v>
      </c>
      <c r="AJ8756">
        <v>46.748719999999999</v>
      </c>
      <c r="AK8756">
        <v>23.259830000000001</v>
      </c>
    </row>
    <row r="8757" spans="1:37" x14ac:dyDescent="0.3">
      <c r="A8757">
        <v>8756</v>
      </c>
      <c r="B8757">
        <v>0</v>
      </c>
      <c r="C8757">
        <v>37.381399999999999</v>
      </c>
      <c r="D8757">
        <v>11.5975</v>
      </c>
      <c r="E8757" t="s">
        <v>13212</v>
      </c>
      <c r="F8757" t="s">
        <v>13214</v>
      </c>
      <c r="G8757" t="s">
        <v>39</v>
      </c>
      <c r="H8757">
        <v>1956</v>
      </c>
      <c r="I8757">
        <v>19.5</v>
      </c>
      <c r="J8757">
        <v>14.5</v>
      </c>
      <c r="K8757">
        <v>68</v>
      </c>
      <c r="L8757">
        <v>14.42</v>
      </c>
      <c r="M8757">
        <v>29.6</v>
      </c>
      <c r="N8757">
        <v>8.3000000000000007</v>
      </c>
      <c r="O8757">
        <v>21.3</v>
      </c>
      <c r="P8757">
        <v>19.100000000000001</v>
      </c>
      <c r="Q8757">
        <v>17.8</v>
      </c>
      <c r="R8757">
        <v>21.6</v>
      </c>
      <c r="S8757">
        <v>17.8</v>
      </c>
      <c r="T8757">
        <v>1420</v>
      </c>
      <c r="U8757">
        <v>429</v>
      </c>
      <c r="V8757">
        <v>2</v>
      </c>
      <c r="W8757">
        <v>122</v>
      </c>
      <c r="X8757">
        <v>1022</v>
      </c>
      <c r="Y8757">
        <v>12</v>
      </c>
      <c r="Z8757">
        <v>100</v>
      </c>
      <c r="AA8757">
        <v>31</v>
      </c>
      <c r="AB8757">
        <v>2.6483560000000002</v>
      </c>
      <c r="AC8757">
        <v>1.6366869999999999E-2</v>
      </c>
      <c r="AD8757">
        <v>1.237503</v>
      </c>
      <c r="AE8757">
        <v>0.70075710000000002</v>
      </c>
      <c r="AF8757">
        <v>1795.1030000000001</v>
      </c>
      <c r="AG8757">
        <f>IFERROR(AH8757*0.1, "N/A")</f>
        <v>7.1070089999999997</v>
      </c>
      <c r="AH8757">
        <v>71.070089999999993</v>
      </c>
      <c r="AI8757">
        <v>104.9953</v>
      </c>
      <c r="AJ8757">
        <v>46.748719999999999</v>
      </c>
      <c r="AK8757">
        <v>23.259830000000001</v>
      </c>
    </row>
    <row r="8758" spans="1:37" x14ac:dyDescent="0.3">
      <c r="A8758">
        <v>8757</v>
      </c>
      <c r="B8758">
        <v>26.7</v>
      </c>
      <c r="C8758">
        <v>37.401800000000001</v>
      </c>
      <c r="D8758">
        <v>11.5982</v>
      </c>
      <c r="E8758" t="s">
        <v>13215</v>
      </c>
      <c r="F8758" t="s">
        <v>13216</v>
      </c>
      <c r="G8758" t="s">
        <v>37</v>
      </c>
      <c r="H8758">
        <v>1991</v>
      </c>
      <c r="I8758">
        <v>19.600000000000001</v>
      </c>
      <c r="J8758">
        <v>14.5</v>
      </c>
      <c r="K8758">
        <v>67</v>
      </c>
      <c r="L8758">
        <v>14.63</v>
      </c>
      <c r="M8758">
        <v>29.7</v>
      </c>
      <c r="N8758">
        <v>8.3000000000000007</v>
      </c>
      <c r="O8758">
        <v>21.4</v>
      </c>
      <c r="P8758">
        <v>19.2</v>
      </c>
      <c r="Q8758">
        <v>17.8</v>
      </c>
      <c r="R8758">
        <v>21.6</v>
      </c>
      <c r="S8758">
        <v>17.8</v>
      </c>
      <c r="T8758">
        <v>1414</v>
      </c>
      <c r="U8758">
        <v>428</v>
      </c>
      <c r="V8758">
        <v>2</v>
      </c>
      <c r="W8758">
        <v>123</v>
      </c>
      <c r="X8758">
        <v>1017</v>
      </c>
      <c r="Y8758">
        <v>11</v>
      </c>
      <c r="Z8758">
        <v>103</v>
      </c>
      <c r="AA8758">
        <v>30</v>
      </c>
      <c r="AB8758">
        <v>5.4094129999999998</v>
      </c>
      <c r="AC8758">
        <v>8.3767270000000005E-3</v>
      </c>
      <c r="AD8758">
        <v>1.999717</v>
      </c>
      <c r="AE8758">
        <v>0.67540679999999997</v>
      </c>
      <c r="AF8758">
        <v>1793.182</v>
      </c>
      <c r="AG8758">
        <f>IFERROR(AH8758*0.1, "N/A")</f>
        <v>6.3000000000000007</v>
      </c>
      <c r="AH8758">
        <v>63</v>
      </c>
      <c r="AI8758">
        <v>137.58320000000001</v>
      </c>
      <c r="AJ8758">
        <v>46.857880000000002</v>
      </c>
      <c r="AK8758">
        <v>24</v>
      </c>
    </row>
    <row r="8759" spans="1:37" x14ac:dyDescent="0.3">
      <c r="A8759">
        <v>8758</v>
      </c>
      <c r="B8759">
        <v>31.6</v>
      </c>
      <c r="C8759">
        <v>37.381900000000002</v>
      </c>
      <c r="D8759">
        <v>11.5985</v>
      </c>
      <c r="E8759" t="s">
        <v>13217</v>
      </c>
      <c r="F8759" t="s">
        <v>13218</v>
      </c>
      <c r="G8759" t="s">
        <v>37</v>
      </c>
      <c r="H8759">
        <v>1991</v>
      </c>
      <c r="I8759">
        <v>19.5</v>
      </c>
      <c r="J8759">
        <v>14.5</v>
      </c>
      <c r="K8759">
        <v>68</v>
      </c>
      <c r="L8759">
        <v>14.42</v>
      </c>
      <c r="M8759">
        <v>29.6</v>
      </c>
      <c r="N8759">
        <v>8.3000000000000007</v>
      </c>
      <c r="O8759">
        <v>21.3</v>
      </c>
      <c r="P8759">
        <v>19.100000000000001</v>
      </c>
      <c r="Q8759">
        <v>17.8</v>
      </c>
      <c r="R8759">
        <v>21.6</v>
      </c>
      <c r="S8759">
        <v>17.8</v>
      </c>
      <c r="T8759">
        <v>1420</v>
      </c>
      <c r="U8759">
        <v>429</v>
      </c>
      <c r="V8759">
        <v>2</v>
      </c>
      <c r="W8759">
        <v>122</v>
      </c>
      <c r="X8759">
        <v>1022</v>
      </c>
      <c r="Y8759">
        <v>12</v>
      </c>
      <c r="Z8759">
        <v>100</v>
      </c>
      <c r="AA8759">
        <v>31</v>
      </c>
      <c r="AB8759">
        <v>3.6847859999999999</v>
      </c>
      <c r="AC8759">
        <v>9.696339E-3</v>
      </c>
      <c r="AD8759">
        <v>0.78763479999999997</v>
      </c>
      <c r="AE8759">
        <v>0.70075710000000002</v>
      </c>
      <c r="AF8759">
        <v>1794.9259999999999</v>
      </c>
      <c r="AG8759">
        <f>IFERROR(AH8759*0.1, "N/A")</f>
        <v>7.1474810000000009</v>
      </c>
      <c r="AH8759">
        <v>71.474810000000005</v>
      </c>
      <c r="AI8759">
        <v>155.3623</v>
      </c>
      <c r="AJ8759">
        <v>46.517440000000001</v>
      </c>
      <c r="AK8759">
        <v>23.484500000000001</v>
      </c>
    </row>
    <row r="8760" spans="1:37" x14ac:dyDescent="0.3">
      <c r="A8760">
        <v>8759</v>
      </c>
      <c r="B8760">
        <v>2.4</v>
      </c>
      <c r="C8760">
        <v>40.0167</v>
      </c>
      <c r="D8760">
        <v>11.6</v>
      </c>
      <c r="E8760" t="s">
        <v>13219</v>
      </c>
      <c r="F8760" t="s">
        <v>13220</v>
      </c>
      <c r="G8760" t="s">
        <v>37</v>
      </c>
      <c r="H8760">
        <v>1987</v>
      </c>
      <c r="I8760">
        <v>24.64359</v>
      </c>
      <c r="J8760">
        <v>14.71231</v>
      </c>
      <c r="K8760">
        <v>66.564099999999996</v>
      </c>
      <c r="L8760">
        <v>18.20214</v>
      </c>
      <c r="M8760">
        <v>36.44359</v>
      </c>
      <c r="N8760">
        <v>14.5</v>
      </c>
      <c r="O8760">
        <v>21.94359</v>
      </c>
      <c r="P8760">
        <v>25.59197</v>
      </c>
      <c r="Q8760">
        <v>23.379660000000001</v>
      </c>
      <c r="R8760">
        <v>26.935559999999999</v>
      </c>
      <c r="S8760">
        <v>22.243590000000001</v>
      </c>
      <c r="T8760">
        <v>601.14189999999996</v>
      </c>
      <c r="U8760">
        <v>151.64439999999999</v>
      </c>
      <c r="V8760">
        <v>14</v>
      </c>
      <c r="W8760">
        <v>85.435900000000004</v>
      </c>
      <c r="X8760">
        <v>318.85300000000001</v>
      </c>
      <c r="Y8760">
        <v>46.564100000000003</v>
      </c>
      <c r="Z8760">
        <v>176.72479999999999</v>
      </c>
      <c r="AA8760">
        <v>67.564099999999996</v>
      </c>
      <c r="AB8760">
        <v>4.0447899999999999</v>
      </c>
      <c r="AC8760">
        <v>2.377599</v>
      </c>
      <c r="AD8760">
        <v>1.335896</v>
      </c>
      <c r="AE8760">
        <v>0.32624769999999997</v>
      </c>
      <c r="AF8760">
        <v>940.18629999999996</v>
      </c>
      <c r="AG8760">
        <f>IFERROR(AH8760*0.1, "N/A")</f>
        <v>7.5203419999999994</v>
      </c>
      <c r="AH8760">
        <v>75.203419999999994</v>
      </c>
      <c r="AI8760">
        <v>152.44239999999999</v>
      </c>
      <c r="AJ8760">
        <v>31</v>
      </c>
      <c r="AK8760">
        <v>39</v>
      </c>
    </row>
    <row r="8761" spans="1:37" x14ac:dyDescent="0.3">
      <c r="A8761">
        <v>8760</v>
      </c>
      <c r="B8761">
        <v>54.5</v>
      </c>
      <c r="C8761">
        <v>37.383299999999998</v>
      </c>
      <c r="D8761">
        <v>11.6</v>
      </c>
      <c r="E8761" t="s">
        <v>13221</v>
      </c>
      <c r="F8761" t="s">
        <v>13222</v>
      </c>
      <c r="G8761" t="s">
        <v>37</v>
      </c>
      <c r="H8761">
        <v>1987</v>
      </c>
      <c r="I8761">
        <v>19.574739999999998</v>
      </c>
      <c r="J8761">
        <v>14.5</v>
      </c>
      <c r="K8761">
        <v>68</v>
      </c>
      <c r="L8761">
        <v>14.27449</v>
      </c>
      <c r="M8761">
        <v>29.568429999999999</v>
      </c>
      <c r="N8761">
        <v>8.3747439999999997</v>
      </c>
      <c r="O8761">
        <v>21.19369</v>
      </c>
      <c r="P8761">
        <v>19.100000000000001</v>
      </c>
      <c r="Q8761">
        <v>17.930720000000001</v>
      </c>
      <c r="R8761">
        <v>21.6</v>
      </c>
      <c r="S8761">
        <v>17.874739999999999</v>
      </c>
      <c r="T8761">
        <v>1417.8889999999999</v>
      </c>
      <c r="U8761">
        <v>429</v>
      </c>
      <c r="V8761">
        <v>2</v>
      </c>
      <c r="W8761">
        <v>122.31570000000001</v>
      </c>
      <c r="X8761">
        <v>1021.568</v>
      </c>
      <c r="Y8761">
        <v>11.44027</v>
      </c>
      <c r="Z8761">
        <v>100.43170000000001</v>
      </c>
      <c r="AA8761">
        <v>29.880549999999999</v>
      </c>
      <c r="AB8761">
        <v>6.512804</v>
      </c>
      <c r="AC8761">
        <v>1.8740360000000001E-2</v>
      </c>
      <c r="AD8761">
        <v>3.6792899999999999</v>
      </c>
      <c r="AE8761">
        <v>0.70075710000000002</v>
      </c>
      <c r="AF8761">
        <v>1790.8409999999999</v>
      </c>
      <c r="AG8761" t="str">
        <f>IFERROR(AH8761*0.1, "N/A")</f>
        <v>N/A</v>
      </c>
      <c r="AH8761" t="s">
        <v>729</v>
      </c>
      <c r="AI8761">
        <v>108.00320000000001</v>
      </c>
      <c r="AJ8761" t="s">
        <v>729</v>
      </c>
      <c r="AK8761" t="s">
        <v>729</v>
      </c>
    </row>
    <row r="8762" spans="1:37" x14ac:dyDescent="0.3">
      <c r="A8762">
        <v>8761</v>
      </c>
      <c r="B8762">
        <v>0</v>
      </c>
      <c r="C8762">
        <v>37.398299999999999</v>
      </c>
      <c r="D8762">
        <v>11.601599999999999</v>
      </c>
      <c r="E8762" t="s">
        <v>13223</v>
      </c>
      <c r="F8762" t="s">
        <v>13224</v>
      </c>
      <c r="G8762" t="s">
        <v>37</v>
      </c>
      <c r="H8762">
        <v>1991</v>
      </c>
      <c r="I8762">
        <v>19.600000000000001</v>
      </c>
      <c r="J8762">
        <v>14.5</v>
      </c>
      <c r="K8762">
        <v>67</v>
      </c>
      <c r="L8762">
        <v>14.79</v>
      </c>
      <c r="M8762">
        <v>29.7</v>
      </c>
      <c r="N8762">
        <v>8.3000000000000007</v>
      </c>
      <c r="O8762">
        <v>21.4</v>
      </c>
      <c r="P8762">
        <v>19.100000000000001</v>
      </c>
      <c r="Q8762">
        <v>17.899999999999999</v>
      </c>
      <c r="R8762">
        <v>21.7</v>
      </c>
      <c r="S8762">
        <v>17.8</v>
      </c>
      <c r="T8762">
        <v>1414</v>
      </c>
      <c r="U8762">
        <v>429</v>
      </c>
      <c r="V8762">
        <v>2</v>
      </c>
      <c r="W8762">
        <v>123</v>
      </c>
      <c r="X8762">
        <v>1020</v>
      </c>
      <c r="Y8762">
        <v>10</v>
      </c>
      <c r="Z8762">
        <v>101</v>
      </c>
      <c r="AA8762">
        <v>28</v>
      </c>
      <c r="AB8762">
        <v>6.49831</v>
      </c>
      <c r="AC8762">
        <v>9.7037430000000008E-3</v>
      </c>
      <c r="AD8762">
        <v>1.754653</v>
      </c>
      <c r="AE8762">
        <v>0.67540679999999997</v>
      </c>
      <c r="AF8762">
        <v>1792.433</v>
      </c>
      <c r="AG8762">
        <f>IFERROR(AH8762*0.1, "N/A")</f>
        <v>6.60954</v>
      </c>
      <c r="AH8762">
        <v>66.095399999999998</v>
      </c>
      <c r="AI8762">
        <v>112.59350000000001</v>
      </c>
      <c r="AJ8762">
        <v>44.008519999999997</v>
      </c>
      <c r="AK8762">
        <v>24.913119999999999</v>
      </c>
    </row>
    <row r="8763" spans="1:37" x14ac:dyDescent="0.3">
      <c r="A8763">
        <v>8762</v>
      </c>
      <c r="B8763">
        <v>22.2</v>
      </c>
      <c r="C8763">
        <v>41.143099999999997</v>
      </c>
      <c r="D8763">
        <v>11.6928</v>
      </c>
      <c r="E8763" t="s">
        <v>13225</v>
      </c>
      <c r="F8763" t="s">
        <v>13226</v>
      </c>
      <c r="G8763" t="s">
        <v>39</v>
      </c>
      <c r="H8763">
        <v>1996</v>
      </c>
      <c r="I8763">
        <v>28.4</v>
      </c>
      <c r="J8763">
        <v>12</v>
      </c>
      <c r="K8763">
        <v>57</v>
      </c>
      <c r="L8763">
        <v>27.21</v>
      </c>
      <c r="M8763">
        <v>39.5</v>
      </c>
      <c r="N8763">
        <v>18.7</v>
      </c>
      <c r="O8763">
        <v>20.8</v>
      </c>
      <c r="P8763">
        <v>30.9</v>
      </c>
      <c r="Q8763">
        <v>24.8</v>
      </c>
      <c r="R8763">
        <v>31.6</v>
      </c>
      <c r="S8763">
        <v>24.8</v>
      </c>
      <c r="T8763">
        <v>174</v>
      </c>
      <c r="U8763">
        <v>45</v>
      </c>
      <c r="V8763">
        <v>1</v>
      </c>
      <c r="W8763">
        <v>85</v>
      </c>
      <c r="X8763">
        <v>93</v>
      </c>
      <c r="Y8763">
        <v>13</v>
      </c>
      <c r="Z8763">
        <v>45</v>
      </c>
      <c r="AA8763">
        <v>13</v>
      </c>
      <c r="AB8763">
        <v>2.823331</v>
      </c>
      <c r="AC8763">
        <v>1.383767E-2</v>
      </c>
      <c r="AD8763">
        <v>0.91747230000000002</v>
      </c>
      <c r="AE8763">
        <v>0.36811120000000003</v>
      </c>
      <c r="AF8763">
        <v>375.78190000000001</v>
      </c>
      <c r="AG8763">
        <f>IFERROR(AH8763*0.1, "N/A")</f>
        <v>7.6000000000000005</v>
      </c>
      <c r="AH8763">
        <v>76</v>
      </c>
      <c r="AI8763">
        <v>268.26420000000002</v>
      </c>
      <c r="AJ8763">
        <v>32.93356</v>
      </c>
      <c r="AK8763">
        <v>37.255540000000003</v>
      </c>
    </row>
    <row r="8764" spans="1:37" x14ac:dyDescent="0.3">
      <c r="A8764">
        <v>8763</v>
      </c>
      <c r="B8764">
        <v>24.7</v>
      </c>
      <c r="C8764">
        <v>37.633299999999998</v>
      </c>
      <c r="D8764">
        <v>11.716699999999999</v>
      </c>
      <c r="E8764" t="s">
        <v>13227</v>
      </c>
      <c r="F8764" t="s">
        <v>13228</v>
      </c>
      <c r="G8764" t="s">
        <v>37</v>
      </c>
      <c r="H8764">
        <v>2000</v>
      </c>
      <c r="I8764">
        <v>18.666889999999999</v>
      </c>
      <c r="J8764">
        <v>15</v>
      </c>
      <c r="K8764">
        <v>73.334469999999996</v>
      </c>
      <c r="L8764">
        <v>11.586349999999999</v>
      </c>
      <c r="M8764">
        <v>28.833449999999999</v>
      </c>
      <c r="N8764">
        <v>8.5490659999999998</v>
      </c>
      <c r="O8764">
        <v>20.284379999999999</v>
      </c>
      <c r="P8764">
        <v>17.733450000000001</v>
      </c>
      <c r="Q8764">
        <v>17.949069999999999</v>
      </c>
      <c r="R8764">
        <v>20.433450000000001</v>
      </c>
      <c r="S8764">
        <v>17.649069999999998</v>
      </c>
      <c r="T8764">
        <v>1308.547</v>
      </c>
      <c r="U8764">
        <v>399.5093</v>
      </c>
      <c r="V8764">
        <v>4</v>
      </c>
      <c r="W8764">
        <v>123.33450000000001</v>
      </c>
      <c r="X8764">
        <v>942.86249999999995</v>
      </c>
      <c r="Y8764">
        <v>16</v>
      </c>
      <c r="Z8764">
        <v>93.509339999999995</v>
      </c>
      <c r="AA8764">
        <v>34.665529999999997</v>
      </c>
      <c r="AB8764">
        <v>27.769739999999999</v>
      </c>
      <c r="AC8764">
        <v>5.5442310000000002E-2</v>
      </c>
      <c r="AD8764">
        <v>3.5452530000000002</v>
      </c>
      <c r="AE8764">
        <v>0.53825339999999999</v>
      </c>
      <c r="AF8764">
        <v>2028.8</v>
      </c>
      <c r="AG8764">
        <f>IFERROR(AH8764*0.1, "N/A")</f>
        <v>5.4336160000000007</v>
      </c>
      <c r="AH8764">
        <v>54.33616</v>
      </c>
      <c r="AI8764">
        <v>38.521230000000003</v>
      </c>
      <c r="AJ8764">
        <v>54.66384</v>
      </c>
      <c r="AK8764">
        <v>20</v>
      </c>
    </row>
    <row r="8765" spans="1:37" x14ac:dyDescent="0.3">
      <c r="A8765">
        <v>8764</v>
      </c>
      <c r="B8765">
        <v>42.2</v>
      </c>
      <c r="C8765">
        <v>37.916699999999999</v>
      </c>
      <c r="D8765">
        <v>11.716699999999999</v>
      </c>
      <c r="E8765" t="s">
        <v>13229</v>
      </c>
      <c r="F8765" t="s">
        <v>13230</v>
      </c>
      <c r="G8765" t="s">
        <v>37</v>
      </c>
      <c r="H8765">
        <v>2000</v>
      </c>
      <c r="I8765">
        <v>17.320409999999999</v>
      </c>
      <c r="J8765">
        <v>15.685879999999999</v>
      </c>
      <c r="K8765">
        <v>77.221090000000004</v>
      </c>
      <c r="L8765">
        <v>12.114179999999999</v>
      </c>
      <c r="M8765">
        <v>27.798300000000001</v>
      </c>
      <c r="N8765">
        <v>7.5566329999999997</v>
      </c>
      <c r="O8765">
        <v>20.241669999999999</v>
      </c>
      <c r="P8765">
        <v>15.970750000000001</v>
      </c>
      <c r="Q8765">
        <v>17.347449999999998</v>
      </c>
      <c r="R8765">
        <v>18.92041</v>
      </c>
      <c r="S8765">
        <v>15.970750000000001</v>
      </c>
      <c r="T8765">
        <v>1343.192</v>
      </c>
      <c r="U8765">
        <v>401.10539999999997</v>
      </c>
      <c r="V8765">
        <v>5.6377550000000003</v>
      </c>
      <c r="W8765">
        <v>120.8537</v>
      </c>
      <c r="X8765">
        <v>953.80269999999996</v>
      </c>
      <c r="Y8765">
        <v>22.913270000000001</v>
      </c>
      <c r="Z8765">
        <v>116.8622</v>
      </c>
      <c r="AA8765">
        <v>953.80269999999996</v>
      </c>
      <c r="AB8765">
        <v>36.825530000000001</v>
      </c>
      <c r="AC8765">
        <v>6.126152E-2</v>
      </c>
      <c r="AD8765">
        <v>12.863250000000001</v>
      </c>
      <c r="AE8765">
        <v>0.54715029999999998</v>
      </c>
      <c r="AF8765">
        <v>2289.915</v>
      </c>
      <c r="AG8765">
        <f>IFERROR(AH8765*0.1, "N/A")</f>
        <v>5.3270410000000004</v>
      </c>
      <c r="AH8765">
        <v>53.270409999999998</v>
      </c>
      <c r="AI8765">
        <v>41.29363</v>
      </c>
      <c r="AJ8765">
        <v>52</v>
      </c>
      <c r="AK8765">
        <v>24</v>
      </c>
    </row>
    <row r="8766" spans="1:37" x14ac:dyDescent="0.3">
      <c r="A8766">
        <v>8765</v>
      </c>
      <c r="B8766">
        <v>24.2</v>
      </c>
      <c r="C8766">
        <v>40.982199999999999</v>
      </c>
      <c r="D8766">
        <v>11.726800000000001</v>
      </c>
      <c r="E8766" t="s">
        <v>13231</v>
      </c>
      <c r="F8766" t="s">
        <v>13232</v>
      </c>
      <c r="G8766" t="s">
        <v>39</v>
      </c>
      <c r="H8766">
        <v>1993</v>
      </c>
      <c r="I8766">
        <v>28.101019999999998</v>
      </c>
      <c r="J8766">
        <v>12.3</v>
      </c>
      <c r="K8766">
        <v>58</v>
      </c>
      <c r="L8766">
        <v>26.212859999999999</v>
      </c>
      <c r="M8766">
        <v>39.4</v>
      </c>
      <c r="N8766">
        <v>18.399999999999999</v>
      </c>
      <c r="O8766">
        <v>21</v>
      </c>
      <c r="P8766">
        <v>30.40204</v>
      </c>
      <c r="Q8766">
        <v>26.20102</v>
      </c>
      <c r="R8766">
        <v>31.20102</v>
      </c>
      <c r="S8766">
        <v>24.7</v>
      </c>
      <c r="T8766">
        <v>203.93870000000001</v>
      </c>
      <c r="U8766">
        <v>52.989780000000003</v>
      </c>
      <c r="V8766">
        <v>2</v>
      </c>
      <c r="W8766">
        <v>86.030659999999997</v>
      </c>
      <c r="X8766">
        <v>109.9796</v>
      </c>
      <c r="Y8766">
        <v>14.98978</v>
      </c>
      <c r="Z8766">
        <v>56.979559999999999</v>
      </c>
      <c r="AA8766">
        <v>16</v>
      </c>
      <c r="AB8766">
        <v>8.4067980000000002</v>
      </c>
      <c r="AC8766">
        <v>8.5583599999999992E-3</v>
      </c>
      <c r="AD8766">
        <v>1.1653100000000001</v>
      </c>
      <c r="AE8766">
        <v>0.40426380000000001</v>
      </c>
      <c r="AF8766">
        <v>398.0204</v>
      </c>
      <c r="AG8766">
        <f>IFERROR(AH8766*0.1, "N/A")</f>
        <v>7.9659279999999999</v>
      </c>
      <c r="AH8766">
        <v>79.659279999999995</v>
      </c>
      <c r="AI8766">
        <v>143.07730000000001</v>
      </c>
      <c r="AJ8766">
        <v>9.6541739999999994</v>
      </c>
      <c r="AK8766">
        <v>79.325379999999996</v>
      </c>
    </row>
    <row r="8767" spans="1:37" x14ac:dyDescent="0.3">
      <c r="A8767">
        <v>8766</v>
      </c>
      <c r="B8767">
        <v>0</v>
      </c>
      <c r="C8767">
        <v>38.466700000000003</v>
      </c>
      <c r="D8767">
        <v>11.7333</v>
      </c>
      <c r="E8767" t="s">
        <v>13233</v>
      </c>
      <c r="F8767" t="s">
        <v>13234</v>
      </c>
      <c r="G8767" t="s">
        <v>37</v>
      </c>
      <c r="H8767">
        <v>2000</v>
      </c>
      <c r="I8767">
        <v>12.128550000000001</v>
      </c>
      <c r="J8767">
        <v>15.1</v>
      </c>
      <c r="K8767">
        <v>77</v>
      </c>
      <c r="L8767">
        <v>9.941846</v>
      </c>
      <c r="M8767">
        <v>21.732309999999998</v>
      </c>
      <c r="N8767">
        <v>2.2285469999999998</v>
      </c>
      <c r="O8767">
        <v>19.50376</v>
      </c>
      <c r="P8767">
        <v>11.77453</v>
      </c>
      <c r="Q8767">
        <v>11.87829</v>
      </c>
      <c r="R8767">
        <v>13.418290000000001</v>
      </c>
      <c r="S8767">
        <v>10.72855</v>
      </c>
      <c r="T8767">
        <v>1288.3150000000001</v>
      </c>
      <c r="U8767">
        <v>386.8974</v>
      </c>
      <c r="V8767">
        <v>10</v>
      </c>
      <c r="W8767">
        <v>116.5402</v>
      </c>
      <c r="X8767">
        <v>888.43759999999997</v>
      </c>
      <c r="Y8767">
        <v>35.459829999999997</v>
      </c>
      <c r="Z8767">
        <v>242.35730000000001</v>
      </c>
      <c r="AA8767">
        <v>85.6</v>
      </c>
      <c r="AB8767">
        <v>49.055309999999999</v>
      </c>
      <c r="AC8767">
        <v>6.0455370000000001E-2</v>
      </c>
      <c r="AD8767">
        <v>6.987336</v>
      </c>
      <c r="AE8767">
        <v>0.63779549999999996</v>
      </c>
      <c r="AF8767">
        <v>3081.6260000000002</v>
      </c>
      <c r="AG8767">
        <f>IFERROR(AH8767*0.1, "N/A")</f>
        <v>5.7459829999999998</v>
      </c>
      <c r="AH8767">
        <v>57.459829999999997</v>
      </c>
      <c r="AI8767">
        <v>292.8811</v>
      </c>
      <c r="AJ8767">
        <v>37.77778</v>
      </c>
      <c r="AK8767">
        <v>34.4</v>
      </c>
    </row>
    <row r="8768" spans="1:37" x14ac:dyDescent="0.3">
      <c r="A8768">
        <v>8767</v>
      </c>
      <c r="B8768">
        <v>4.5</v>
      </c>
      <c r="C8768">
        <v>41.082799999999999</v>
      </c>
      <c r="D8768">
        <v>11.7379</v>
      </c>
      <c r="E8768" t="s">
        <v>13235</v>
      </c>
      <c r="F8768" t="s">
        <v>13236</v>
      </c>
      <c r="G8768" t="s">
        <v>39</v>
      </c>
      <c r="H8768">
        <v>1993</v>
      </c>
      <c r="I8768">
        <v>28.3</v>
      </c>
      <c r="J8768">
        <v>12.09915</v>
      </c>
      <c r="K8768">
        <v>57</v>
      </c>
      <c r="L8768">
        <v>27.141020000000001</v>
      </c>
      <c r="M8768">
        <v>39.5</v>
      </c>
      <c r="N8768">
        <v>18.600000000000001</v>
      </c>
      <c r="O8768">
        <v>20.9</v>
      </c>
      <c r="P8768">
        <v>30.700849999999999</v>
      </c>
      <c r="Q8768">
        <v>26.3</v>
      </c>
      <c r="R8768">
        <v>31.50085</v>
      </c>
      <c r="S8768">
        <v>24.8</v>
      </c>
      <c r="T8768">
        <v>184.9915</v>
      </c>
      <c r="U8768">
        <v>47</v>
      </c>
      <c r="V8768">
        <v>2</v>
      </c>
      <c r="W8768">
        <v>84</v>
      </c>
      <c r="X8768">
        <v>98</v>
      </c>
      <c r="Y8768">
        <v>15</v>
      </c>
      <c r="Z8768">
        <v>49</v>
      </c>
      <c r="AA8768">
        <v>15</v>
      </c>
      <c r="AB8768">
        <v>4.7397609999999997</v>
      </c>
      <c r="AC8768">
        <v>8.4440390000000004E-3</v>
      </c>
      <c r="AD8768">
        <v>0.73853519999999995</v>
      </c>
      <c r="AE8768">
        <v>0.42707329999999999</v>
      </c>
      <c r="AF8768">
        <v>381.85840000000002</v>
      </c>
      <c r="AG8768">
        <f>IFERROR(AH8768*0.1, "N/A")</f>
        <v>8.2991470000000014</v>
      </c>
      <c r="AH8768">
        <v>82.991470000000007</v>
      </c>
      <c r="AI8768">
        <v>146.75550000000001</v>
      </c>
      <c r="AJ8768">
        <v>24</v>
      </c>
      <c r="AK8768">
        <v>51.99147</v>
      </c>
    </row>
    <row r="8769" spans="1:37" x14ac:dyDescent="0.3">
      <c r="A8769">
        <v>8768</v>
      </c>
      <c r="B8769">
        <v>11.7</v>
      </c>
      <c r="C8769">
        <v>41.093600000000002</v>
      </c>
      <c r="D8769">
        <v>11.7758</v>
      </c>
      <c r="E8769" t="s">
        <v>13237</v>
      </c>
      <c r="F8769" t="s">
        <v>13238</v>
      </c>
      <c r="G8769" t="s">
        <v>39</v>
      </c>
      <c r="H8769">
        <v>1996</v>
      </c>
      <c r="I8769">
        <v>28.4</v>
      </c>
      <c r="J8769">
        <v>12</v>
      </c>
      <c r="K8769">
        <v>57</v>
      </c>
      <c r="L8769">
        <v>27.37913</v>
      </c>
      <c r="M8769">
        <v>39.4</v>
      </c>
      <c r="N8769">
        <v>18.7</v>
      </c>
      <c r="O8769">
        <v>20.7</v>
      </c>
      <c r="P8769">
        <v>30.897780000000001</v>
      </c>
      <c r="Q8769">
        <v>26.40222</v>
      </c>
      <c r="R8769">
        <v>31.6</v>
      </c>
      <c r="S8769">
        <v>24.802219999999998</v>
      </c>
      <c r="T8769">
        <v>179</v>
      </c>
      <c r="U8769">
        <v>46</v>
      </c>
      <c r="V8769">
        <v>2</v>
      </c>
      <c r="W8769">
        <v>87</v>
      </c>
      <c r="X8769">
        <v>95</v>
      </c>
      <c r="Y8769">
        <v>15</v>
      </c>
      <c r="Z8769">
        <v>47</v>
      </c>
      <c r="AA8769">
        <v>15</v>
      </c>
      <c r="AB8769">
        <v>4.2057929999999999</v>
      </c>
      <c r="AC8769">
        <v>8.4714490000000007E-3</v>
      </c>
      <c r="AD8769">
        <v>0.80467820000000001</v>
      </c>
      <c r="AE8769">
        <v>0.60216309999999995</v>
      </c>
      <c r="AF8769">
        <v>373.7577</v>
      </c>
      <c r="AG8769">
        <f>IFERROR(AH8769*0.1, "N/A")</f>
        <v>7.9</v>
      </c>
      <c r="AH8769">
        <v>79</v>
      </c>
      <c r="AI8769">
        <v>188.23150000000001</v>
      </c>
      <c r="AJ8769">
        <v>37.979520000000001</v>
      </c>
      <c r="AK8769">
        <v>39.373719999999999</v>
      </c>
    </row>
    <row r="8770" spans="1:37" x14ac:dyDescent="0.3">
      <c r="A8770">
        <v>8769</v>
      </c>
      <c r="B8770">
        <v>40.799999999999997</v>
      </c>
      <c r="C8770">
        <v>37.566699999999997</v>
      </c>
      <c r="D8770">
        <v>11.783300000000001</v>
      </c>
      <c r="E8770" t="s">
        <v>13239</v>
      </c>
      <c r="F8770" t="s">
        <v>13240</v>
      </c>
      <c r="G8770" t="s">
        <v>37</v>
      </c>
      <c r="H8770">
        <v>2000</v>
      </c>
      <c r="I8770">
        <v>19.159520000000001</v>
      </c>
      <c r="J8770">
        <v>14.9</v>
      </c>
      <c r="K8770">
        <v>72.482990000000001</v>
      </c>
      <c r="L8770">
        <v>11.895799999999999</v>
      </c>
      <c r="M8770">
        <v>29.311219999999999</v>
      </c>
      <c r="N8770">
        <v>8.8595240000000004</v>
      </c>
      <c r="O8770">
        <v>20.451699999999999</v>
      </c>
      <c r="P8770">
        <v>18.311219999999999</v>
      </c>
      <c r="Q8770">
        <v>18.910540000000001</v>
      </c>
      <c r="R8770">
        <v>20.959520000000001</v>
      </c>
      <c r="S8770">
        <v>17.977720000000001</v>
      </c>
      <c r="T8770">
        <v>1285.117</v>
      </c>
      <c r="U8770">
        <v>397.06970000000001</v>
      </c>
      <c r="V8770">
        <v>3</v>
      </c>
      <c r="W8770">
        <v>125.33499999999999</v>
      </c>
      <c r="X8770">
        <v>932.9864</v>
      </c>
      <c r="Y8770">
        <v>13.40476</v>
      </c>
      <c r="Z8770">
        <v>85.809520000000006</v>
      </c>
      <c r="AA8770">
        <v>30.06973</v>
      </c>
      <c r="AB8770">
        <v>22.739850000000001</v>
      </c>
      <c r="AC8770">
        <v>4.3123639999999998E-2</v>
      </c>
      <c r="AD8770">
        <v>1.0930899999999999</v>
      </c>
      <c r="AE8770">
        <v>0.51089019999999996</v>
      </c>
      <c r="AF8770">
        <v>1952.182</v>
      </c>
      <c r="AG8770">
        <f>IFERROR(AH8770*0.1, "N/A")</f>
        <v>5.5557820000000007</v>
      </c>
      <c r="AH8770">
        <v>55.55782</v>
      </c>
      <c r="AI8770">
        <v>287.02569999999997</v>
      </c>
      <c r="AJ8770">
        <v>50.673470000000002</v>
      </c>
      <c r="AK8770">
        <v>22.326530000000002</v>
      </c>
    </row>
    <row r="8771" spans="1:37" x14ac:dyDescent="0.3">
      <c r="A8771">
        <v>8770</v>
      </c>
      <c r="B8771">
        <v>32.5</v>
      </c>
      <c r="C8771">
        <v>41.11</v>
      </c>
      <c r="D8771">
        <v>11.7942</v>
      </c>
      <c r="E8771" t="s">
        <v>13241</v>
      </c>
      <c r="F8771" t="s">
        <v>13242</v>
      </c>
      <c r="G8771" t="s">
        <v>39</v>
      </c>
      <c r="H8771">
        <v>1996</v>
      </c>
      <c r="I8771">
        <v>28.4</v>
      </c>
      <c r="J8771">
        <v>12</v>
      </c>
      <c r="K8771">
        <v>57</v>
      </c>
      <c r="L8771">
        <v>27.08</v>
      </c>
      <c r="M8771">
        <v>39.5</v>
      </c>
      <c r="N8771">
        <v>18.7</v>
      </c>
      <c r="O8771">
        <v>20.8</v>
      </c>
      <c r="P8771">
        <v>30.9</v>
      </c>
      <c r="Q8771">
        <v>26.5</v>
      </c>
      <c r="R8771">
        <v>31.6</v>
      </c>
      <c r="S8771">
        <v>24.9</v>
      </c>
      <c r="T8771">
        <v>177</v>
      </c>
      <c r="U8771">
        <v>45</v>
      </c>
      <c r="V8771">
        <v>2</v>
      </c>
      <c r="W8771">
        <v>85</v>
      </c>
      <c r="X8771">
        <v>93</v>
      </c>
      <c r="Y8771">
        <v>15</v>
      </c>
      <c r="Z8771">
        <v>46</v>
      </c>
      <c r="AA8771">
        <v>15</v>
      </c>
      <c r="AB8771">
        <v>0.78516960000000002</v>
      </c>
      <c r="AC8771">
        <v>105.5419</v>
      </c>
      <c r="AD8771">
        <v>0.83980500000000002</v>
      </c>
      <c r="AE8771">
        <v>0.65832939999999995</v>
      </c>
      <c r="AF8771">
        <v>367.49059999999997</v>
      </c>
      <c r="AG8771">
        <f>IFERROR(AH8771*0.1, "N/A")</f>
        <v>7.4114140000000006</v>
      </c>
      <c r="AH8771">
        <v>74.114140000000006</v>
      </c>
      <c r="AI8771">
        <v>151.36490000000001</v>
      </c>
      <c r="AJ8771">
        <v>37.603070000000002</v>
      </c>
      <c r="AK8771">
        <v>38.112439999999999</v>
      </c>
    </row>
    <row r="8772" spans="1:37" x14ac:dyDescent="0.3">
      <c r="A8772">
        <v>8771</v>
      </c>
      <c r="B8772">
        <v>0</v>
      </c>
      <c r="C8772">
        <v>39.592399999999998</v>
      </c>
      <c r="D8772">
        <v>11.830399999999999</v>
      </c>
      <c r="E8772" t="s">
        <v>13243</v>
      </c>
      <c r="F8772" t="s">
        <v>13244</v>
      </c>
      <c r="G8772" t="s">
        <v>37</v>
      </c>
      <c r="H8772">
        <v>1994</v>
      </c>
      <c r="I8772">
        <v>18.5</v>
      </c>
      <c r="J8772">
        <v>15.5</v>
      </c>
      <c r="K8772">
        <v>73</v>
      </c>
      <c r="L8772">
        <v>14.55</v>
      </c>
      <c r="M8772">
        <v>29.5</v>
      </c>
      <c r="N8772">
        <v>8.5</v>
      </c>
      <c r="O8772">
        <v>21</v>
      </c>
      <c r="P8772">
        <v>20</v>
      </c>
      <c r="Q8772">
        <v>17</v>
      </c>
      <c r="R8772">
        <v>20.2</v>
      </c>
      <c r="S8772">
        <v>16.600000000000001</v>
      </c>
      <c r="T8772">
        <v>994</v>
      </c>
      <c r="U8772">
        <v>238</v>
      </c>
      <c r="V8772">
        <v>24</v>
      </c>
      <c r="W8772">
        <v>82</v>
      </c>
      <c r="X8772">
        <v>522</v>
      </c>
      <c r="Y8772">
        <v>94</v>
      </c>
      <c r="Z8772">
        <v>471</v>
      </c>
      <c r="AA8772">
        <v>97</v>
      </c>
      <c r="AB8772">
        <v>2.1803409999999999</v>
      </c>
      <c r="AC8772">
        <v>2.2528009999999998</v>
      </c>
      <c r="AD8772">
        <v>3.7549670000000002</v>
      </c>
      <c r="AE8772">
        <v>0.65089059999999999</v>
      </c>
      <c r="AF8772">
        <v>1901.422</v>
      </c>
      <c r="AG8772">
        <f>IFERROR(AH8772*0.1, "N/A")</f>
        <v>6.6194869999999995</v>
      </c>
      <c r="AH8772">
        <v>66.194869999999995</v>
      </c>
      <c r="AI8772">
        <v>207.56659999999999</v>
      </c>
      <c r="AJ8772">
        <v>40.610259999999997</v>
      </c>
      <c r="AK8772">
        <v>29.38974</v>
      </c>
    </row>
    <row r="8773" spans="1:37" x14ac:dyDescent="0.3">
      <c r="A8773">
        <v>8772</v>
      </c>
      <c r="B8773">
        <v>1</v>
      </c>
      <c r="C8773">
        <v>37.633299999999998</v>
      </c>
      <c r="D8773">
        <v>11.833299999999999</v>
      </c>
      <c r="E8773" t="s">
        <v>13245</v>
      </c>
      <c r="F8773" t="s">
        <v>13246</v>
      </c>
      <c r="G8773" t="s">
        <v>37</v>
      </c>
      <c r="H8773">
        <v>1989</v>
      </c>
      <c r="I8773">
        <v>20.224920000000001</v>
      </c>
      <c r="J8773">
        <v>15.1</v>
      </c>
      <c r="K8773">
        <v>73.658699999999996</v>
      </c>
      <c r="L8773">
        <v>11.650309999999999</v>
      </c>
      <c r="M8773">
        <v>30.334129999999998</v>
      </c>
      <c r="N8773">
        <v>9.9</v>
      </c>
      <c r="O8773">
        <v>20.43413</v>
      </c>
      <c r="P8773">
        <v>19.324909999999999</v>
      </c>
      <c r="Q8773">
        <v>19.349319999999999</v>
      </c>
      <c r="R8773">
        <v>21.95853</v>
      </c>
      <c r="S8773">
        <v>19.100000000000001</v>
      </c>
      <c r="T8773">
        <v>1197.7349999999999</v>
      </c>
      <c r="U8773">
        <v>376.99489999999997</v>
      </c>
      <c r="V8773">
        <v>2</v>
      </c>
      <c r="W8773">
        <v>127.756</v>
      </c>
      <c r="X8773">
        <v>879.74059999999997</v>
      </c>
      <c r="Y8773">
        <v>9</v>
      </c>
      <c r="Z8773">
        <v>79</v>
      </c>
      <c r="AA8773">
        <v>23</v>
      </c>
      <c r="AB8773">
        <v>1.1770259999999999</v>
      </c>
      <c r="AC8773">
        <v>2.9636780000000001E-2</v>
      </c>
      <c r="AD8773">
        <v>1.0778970000000001</v>
      </c>
      <c r="AE8773">
        <v>0.61463590000000001</v>
      </c>
      <c r="AF8773">
        <v>1794.6880000000001</v>
      </c>
      <c r="AG8773">
        <f>IFERROR(AH8773*0.1, "N/A")</f>
        <v>6.3622870000000002</v>
      </c>
      <c r="AH8773">
        <v>63.622869999999999</v>
      </c>
      <c r="AI8773">
        <v>273.00200000000001</v>
      </c>
      <c r="AJ8773">
        <v>52.317410000000002</v>
      </c>
      <c r="AK8773">
        <v>17</v>
      </c>
    </row>
    <row r="8774" spans="1:37" x14ac:dyDescent="0.3">
      <c r="A8774">
        <v>8773</v>
      </c>
      <c r="B8774">
        <v>4.5</v>
      </c>
      <c r="C8774">
        <v>38.0167</v>
      </c>
      <c r="D8774">
        <v>11.85</v>
      </c>
      <c r="E8774" t="s">
        <v>13247</v>
      </c>
      <c r="F8774" t="s">
        <v>13248</v>
      </c>
      <c r="G8774" t="s">
        <v>37</v>
      </c>
      <c r="H8774">
        <v>1987</v>
      </c>
      <c r="I8774">
        <v>14.974320000000001</v>
      </c>
      <c r="J8774">
        <v>15.52262</v>
      </c>
      <c r="K8774">
        <v>74</v>
      </c>
      <c r="L8774">
        <v>12.647790000000001</v>
      </c>
      <c r="M8774">
        <v>25.985029999999998</v>
      </c>
      <c r="N8774">
        <v>5.1624150000000002</v>
      </c>
      <c r="O8774">
        <v>20.822620000000001</v>
      </c>
      <c r="P8774">
        <v>13.762420000000001</v>
      </c>
      <c r="Q8774">
        <v>15.262420000000001</v>
      </c>
      <c r="R8774">
        <v>16.485029999999998</v>
      </c>
      <c r="S8774">
        <v>13.662409999999999</v>
      </c>
      <c r="T8774">
        <v>1495.787</v>
      </c>
      <c r="U8774">
        <v>433.34519999999998</v>
      </c>
      <c r="V8774">
        <v>8</v>
      </c>
      <c r="W8774">
        <v>118</v>
      </c>
      <c r="X8774">
        <v>1039.2929999999999</v>
      </c>
      <c r="Y8774">
        <v>29</v>
      </c>
      <c r="Z8774">
        <v>151.3759</v>
      </c>
      <c r="AA8774">
        <v>124</v>
      </c>
      <c r="AB8774">
        <v>47.280749999999998</v>
      </c>
      <c r="AC8774">
        <v>1.296663E-2</v>
      </c>
      <c r="AD8774">
        <v>5.6190429999999996</v>
      </c>
      <c r="AE8774">
        <v>0.70538529999999999</v>
      </c>
      <c r="AF8774">
        <v>2691.4340000000002</v>
      </c>
      <c r="AG8774">
        <f>IFERROR(AH8774*0.1, "N/A")</f>
        <v>5.4</v>
      </c>
      <c r="AH8774">
        <v>54</v>
      </c>
      <c r="AI8774">
        <v>34.755299999999998</v>
      </c>
      <c r="AJ8774">
        <v>44</v>
      </c>
      <c r="AK8774">
        <v>25.989799999999999</v>
      </c>
    </row>
    <row r="8775" spans="1:37" x14ac:dyDescent="0.3">
      <c r="A8775">
        <v>8774</v>
      </c>
      <c r="B8775">
        <v>2.9</v>
      </c>
      <c r="C8775">
        <v>39.6</v>
      </c>
      <c r="D8775">
        <v>11.85</v>
      </c>
      <c r="E8775" t="s">
        <v>13249</v>
      </c>
      <c r="F8775" t="s">
        <v>13250</v>
      </c>
      <c r="G8775" t="s">
        <v>37</v>
      </c>
      <c r="H8775">
        <v>1987</v>
      </c>
      <c r="I8775">
        <v>17.342079999999999</v>
      </c>
      <c r="J8775">
        <v>15.690289999999999</v>
      </c>
      <c r="K8775">
        <v>72.870530000000002</v>
      </c>
      <c r="L8775">
        <v>14.454510000000001</v>
      </c>
      <c r="M8775">
        <v>28.432369999999999</v>
      </c>
      <c r="N8775">
        <v>6.9550260000000002</v>
      </c>
      <c r="O8775">
        <v>21.477340000000002</v>
      </c>
      <c r="P8775">
        <v>18.848549999999999</v>
      </c>
      <c r="Q8775">
        <v>15.90971</v>
      </c>
      <c r="R8775">
        <v>19.15503</v>
      </c>
      <c r="S8775">
        <v>15.52589</v>
      </c>
      <c r="T8775">
        <v>913.83989999999994</v>
      </c>
      <c r="U8775">
        <v>237.03579999999999</v>
      </c>
      <c r="V8775">
        <v>20.38842</v>
      </c>
      <c r="W8775">
        <v>91.190799999999996</v>
      </c>
      <c r="X8775">
        <v>514.36289999999997</v>
      </c>
      <c r="Y8775">
        <v>73.459969999999998</v>
      </c>
      <c r="Z8775">
        <v>445.4753</v>
      </c>
      <c r="AA8775">
        <v>75.136290000000002</v>
      </c>
      <c r="AB8775">
        <v>239.17019999999999</v>
      </c>
      <c r="AC8775">
        <v>5.127015E-2</v>
      </c>
      <c r="AD8775">
        <v>28.23245</v>
      </c>
      <c r="AE8775">
        <v>0.57999520000000004</v>
      </c>
      <c r="AF8775">
        <v>2227.4</v>
      </c>
      <c r="AG8775">
        <f>IFERROR(AH8775*0.1, "N/A")</f>
        <v>6.4</v>
      </c>
      <c r="AH8775">
        <v>64</v>
      </c>
      <c r="AI8775">
        <v>259.7235</v>
      </c>
      <c r="AJ8775">
        <v>42.747869999999999</v>
      </c>
      <c r="AK8775">
        <v>32.252130000000001</v>
      </c>
    </row>
    <row r="8776" spans="1:37" x14ac:dyDescent="0.3">
      <c r="A8776">
        <v>8775</v>
      </c>
      <c r="B8776">
        <v>0</v>
      </c>
      <c r="C8776">
        <v>38.069899999999997</v>
      </c>
      <c r="D8776">
        <v>11.8726</v>
      </c>
      <c r="E8776" t="s">
        <v>13251</v>
      </c>
      <c r="F8776" t="s">
        <v>13252</v>
      </c>
      <c r="G8776" t="s">
        <v>37</v>
      </c>
      <c r="H8776">
        <v>2000</v>
      </c>
      <c r="I8776">
        <v>16.100000000000001</v>
      </c>
      <c r="J8776">
        <v>16</v>
      </c>
      <c r="K8776">
        <v>74</v>
      </c>
      <c r="L8776">
        <v>13.89</v>
      </c>
      <c r="M8776">
        <v>27.7</v>
      </c>
      <c r="N8776">
        <v>6.1</v>
      </c>
      <c r="O8776">
        <v>21.6</v>
      </c>
      <c r="P8776">
        <v>14.7</v>
      </c>
      <c r="Q8776">
        <v>16.5</v>
      </c>
      <c r="R8776">
        <v>17.7</v>
      </c>
      <c r="S8776">
        <v>14.7</v>
      </c>
      <c r="T8776">
        <v>1423</v>
      </c>
      <c r="U8776">
        <v>422</v>
      </c>
      <c r="V8776">
        <v>6</v>
      </c>
      <c r="W8776">
        <v>121</v>
      </c>
      <c r="X8776">
        <v>1004</v>
      </c>
      <c r="Y8776">
        <v>25</v>
      </c>
      <c r="Z8776">
        <v>137</v>
      </c>
      <c r="AA8776">
        <v>1004</v>
      </c>
      <c r="AB8776">
        <v>24.595659999999999</v>
      </c>
      <c r="AC8776">
        <v>1.659383E-2</v>
      </c>
      <c r="AD8776">
        <v>5.405729</v>
      </c>
      <c r="AE8776">
        <v>0.65595579999999998</v>
      </c>
      <c r="AF8776">
        <v>2509.884</v>
      </c>
      <c r="AG8776">
        <f>IFERROR(AH8776*0.1, "N/A")</f>
        <v>6.0503420000000006</v>
      </c>
      <c r="AH8776">
        <v>60.503419999999998</v>
      </c>
      <c r="AI8776">
        <v>284.96710000000002</v>
      </c>
      <c r="AJ8776">
        <v>44.051369999999999</v>
      </c>
      <c r="AK8776">
        <v>26.931509999999999</v>
      </c>
    </row>
    <row r="8777" spans="1:37" x14ac:dyDescent="0.3">
      <c r="A8777">
        <v>8776</v>
      </c>
      <c r="B8777">
        <v>0</v>
      </c>
      <c r="C8777">
        <v>37.631399999999999</v>
      </c>
      <c r="D8777">
        <v>11.8736</v>
      </c>
      <c r="E8777" t="s">
        <v>13253</v>
      </c>
      <c r="F8777" t="s">
        <v>13254</v>
      </c>
      <c r="G8777" t="s">
        <v>37</v>
      </c>
      <c r="H8777">
        <v>1989</v>
      </c>
      <c r="I8777">
        <v>20.3</v>
      </c>
      <c r="J8777">
        <v>15.1</v>
      </c>
      <c r="K8777">
        <v>74</v>
      </c>
      <c r="L8777">
        <v>12.04</v>
      </c>
      <c r="M8777">
        <v>30.4</v>
      </c>
      <c r="N8777">
        <v>10</v>
      </c>
      <c r="O8777">
        <v>20.399999999999999</v>
      </c>
      <c r="P8777">
        <v>19.3</v>
      </c>
      <c r="Q8777">
        <v>20.399999999999999</v>
      </c>
      <c r="R8777">
        <v>22.1</v>
      </c>
      <c r="S8777">
        <v>19.2</v>
      </c>
      <c r="T8777">
        <v>1180</v>
      </c>
      <c r="U8777">
        <v>372</v>
      </c>
      <c r="V8777">
        <v>2</v>
      </c>
      <c r="W8777">
        <v>128</v>
      </c>
      <c r="X8777">
        <v>867</v>
      </c>
      <c r="Y8777">
        <v>9</v>
      </c>
      <c r="Z8777">
        <v>77</v>
      </c>
      <c r="AA8777">
        <v>22</v>
      </c>
      <c r="AB8777">
        <v>1.7317260000000001</v>
      </c>
      <c r="AC8777">
        <v>9.0385810000000004E-3</v>
      </c>
      <c r="AD8777">
        <v>1.2992729999999999</v>
      </c>
      <c r="AE8777">
        <v>0.63537350000000004</v>
      </c>
      <c r="AF8777">
        <v>1792.288</v>
      </c>
      <c r="AG8777">
        <f>IFERROR(AH8777*0.1, "N/A")</f>
        <v>6.235945000000001</v>
      </c>
      <c r="AH8777">
        <v>62.359450000000002</v>
      </c>
      <c r="AI8777">
        <v>196.55889999999999</v>
      </c>
      <c r="AJ8777">
        <v>51.909709999999997</v>
      </c>
      <c r="AK8777">
        <v>17.613289999999999</v>
      </c>
    </row>
    <row r="8778" spans="1:37" x14ac:dyDescent="0.3">
      <c r="A8778">
        <v>8777</v>
      </c>
      <c r="B8778">
        <v>45.8</v>
      </c>
      <c r="C8778">
        <v>37.0319</v>
      </c>
      <c r="D8778">
        <v>11.878</v>
      </c>
      <c r="E8778" t="s">
        <v>13255</v>
      </c>
      <c r="F8778" t="s">
        <v>13256</v>
      </c>
      <c r="G8778" t="s">
        <v>37</v>
      </c>
      <c r="H8778">
        <v>1974</v>
      </c>
      <c r="I8778">
        <v>19.5</v>
      </c>
      <c r="J8778">
        <v>14.4</v>
      </c>
      <c r="K8778">
        <v>72</v>
      </c>
      <c r="L8778">
        <v>11.72</v>
      </c>
      <c r="M8778">
        <v>29.5</v>
      </c>
      <c r="N8778">
        <v>9.5</v>
      </c>
      <c r="O8778">
        <v>20</v>
      </c>
      <c r="P8778">
        <v>18.8</v>
      </c>
      <c r="Q8778">
        <v>18.7</v>
      </c>
      <c r="R8778">
        <v>21.3</v>
      </c>
      <c r="S8778">
        <v>18.399999999999999</v>
      </c>
      <c r="T8778">
        <v>1349</v>
      </c>
      <c r="U8778">
        <v>384</v>
      </c>
      <c r="V8778">
        <v>3</v>
      </c>
      <c r="W8778">
        <v>120</v>
      </c>
      <c r="X8778">
        <v>958</v>
      </c>
      <c r="Y8778">
        <v>11</v>
      </c>
      <c r="Z8778">
        <v>95</v>
      </c>
      <c r="AA8778">
        <v>27</v>
      </c>
      <c r="AB8778">
        <v>13.217890000000001</v>
      </c>
      <c r="AC8778">
        <v>1.7465109999999999E-2</v>
      </c>
      <c r="AD8778">
        <v>0.67972469999999996</v>
      </c>
      <c r="AE8778">
        <v>0.47701850000000001</v>
      </c>
      <c r="AF8778">
        <v>1800.539</v>
      </c>
      <c r="AG8778">
        <f>IFERROR(AH8778*0.1, "N/A")</f>
        <v>5.9080200000000005</v>
      </c>
      <c r="AH8778">
        <v>59.080199999999998</v>
      </c>
      <c r="AI8778">
        <v>98.542749999999998</v>
      </c>
      <c r="AJ8778">
        <v>46.757680000000001</v>
      </c>
      <c r="AK8778">
        <v>27.387370000000001</v>
      </c>
    </row>
    <row r="8779" spans="1:37" x14ac:dyDescent="0.3">
      <c r="A8779">
        <v>8778</v>
      </c>
      <c r="B8779">
        <v>0</v>
      </c>
      <c r="C8779">
        <v>37.669199999999996</v>
      </c>
      <c r="D8779">
        <v>11.893599999999999</v>
      </c>
      <c r="E8779" t="s">
        <v>13257</v>
      </c>
      <c r="F8779" t="s">
        <v>13258</v>
      </c>
      <c r="G8779" t="s">
        <v>37</v>
      </c>
      <c r="H8779">
        <v>1989</v>
      </c>
      <c r="I8779">
        <v>20.399999999999999</v>
      </c>
      <c r="J8779">
        <v>15.2</v>
      </c>
      <c r="K8779">
        <v>74</v>
      </c>
      <c r="L8779">
        <v>11.58</v>
      </c>
      <c r="M8779">
        <v>30.5</v>
      </c>
      <c r="N8779">
        <v>10.199999999999999</v>
      </c>
      <c r="O8779">
        <v>20.3</v>
      </c>
      <c r="P8779">
        <v>19.399999999999999</v>
      </c>
      <c r="Q8779">
        <v>20.5</v>
      </c>
      <c r="R8779">
        <v>22.1</v>
      </c>
      <c r="S8779">
        <v>19.3</v>
      </c>
      <c r="T8779">
        <v>1152</v>
      </c>
      <c r="U8779">
        <v>365</v>
      </c>
      <c r="V8779">
        <v>2</v>
      </c>
      <c r="W8779">
        <v>128</v>
      </c>
      <c r="X8779">
        <v>849</v>
      </c>
      <c r="Y8779">
        <v>9</v>
      </c>
      <c r="Z8779">
        <v>75</v>
      </c>
      <c r="AA8779">
        <v>22</v>
      </c>
      <c r="AB8779">
        <v>11.363770000000001</v>
      </c>
      <c r="AC8779">
        <v>4.2168320000000002E-2</v>
      </c>
      <c r="AD8779">
        <v>3.9714990000000001</v>
      </c>
      <c r="AE8779">
        <v>0.65472509999999995</v>
      </c>
      <c r="AF8779">
        <v>1802.981</v>
      </c>
      <c r="AG8779">
        <f>IFERROR(AH8779*0.1, "N/A")</f>
        <v>5.9636519999999997</v>
      </c>
      <c r="AH8779">
        <v>59.636519999999997</v>
      </c>
      <c r="AI8779">
        <v>214.08969999999999</v>
      </c>
      <c r="AJ8779">
        <v>56.636519999999997</v>
      </c>
      <c r="AK8779">
        <v>16.726959999999998</v>
      </c>
    </row>
    <row r="8780" spans="1:37" x14ac:dyDescent="0.3">
      <c r="A8780">
        <v>8779</v>
      </c>
      <c r="B8780">
        <v>0.7</v>
      </c>
      <c r="C8780">
        <v>37.583300000000001</v>
      </c>
      <c r="D8780">
        <v>11.9</v>
      </c>
      <c r="E8780" t="s">
        <v>13259</v>
      </c>
      <c r="F8780" t="s">
        <v>13260</v>
      </c>
      <c r="G8780" t="s">
        <v>37</v>
      </c>
      <c r="H8780">
        <v>1987</v>
      </c>
      <c r="I8780">
        <v>20.353069999999999</v>
      </c>
      <c r="J8780">
        <v>15</v>
      </c>
      <c r="K8780">
        <v>73</v>
      </c>
      <c r="L8780">
        <v>11.688700000000001</v>
      </c>
      <c r="M8780">
        <v>30.4</v>
      </c>
      <c r="N8780">
        <v>10.00836</v>
      </c>
      <c r="O8780">
        <v>20.391639999999999</v>
      </c>
      <c r="P8780">
        <v>19.753070000000001</v>
      </c>
      <c r="Q8780">
        <v>20.399999999999999</v>
      </c>
      <c r="R8780">
        <v>22.1</v>
      </c>
      <c r="S8780">
        <v>19.3</v>
      </c>
      <c r="T8780">
        <v>1186.7049999999999</v>
      </c>
      <c r="U8780">
        <v>372.29349999999999</v>
      </c>
      <c r="V8780">
        <v>2</v>
      </c>
      <c r="W8780">
        <v>127.6229</v>
      </c>
      <c r="X8780">
        <v>872.41129999999998</v>
      </c>
      <c r="Y8780">
        <v>9</v>
      </c>
      <c r="Z8780">
        <v>77</v>
      </c>
      <c r="AA8780">
        <v>22</v>
      </c>
      <c r="AB8780">
        <v>0.73665349999999996</v>
      </c>
      <c r="AC8780">
        <v>2.833024E-2</v>
      </c>
      <c r="AD8780">
        <v>0.95990010000000003</v>
      </c>
      <c r="AE8780">
        <v>0.58121129999999999</v>
      </c>
      <c r="AF8780">
        <v>1789.7539999999999</v>
      </c>
      <c r="AG8780">
        <f>IFERROR(AH8780*0.1, "N/A")</f>
        <v>6.5527300000000004</v>
      </c>
      <c r="AH8780">
        <v>65.527299999999997</v>
      </c>
      <c r="AI8780">
        <v>49.808059999999998</v>
      </c>
      <c r="AJ8780">
        <v>50.17577</v>
      </c>
      <c r="AK8780">
        <v>19.82423</v>
      </c>
    </row>
    <row r="8781" spans="1:37" x14ac:dyDescent="0.3">
      <c r="A8781">
        <v>8780</v>
      </c>
      <c r="B8781">
        <v>14</v>
      </c>
      <c r="C8781">
        <v>41.583599999999997</v>
      </c>
      <c r="D8781">
        <v>11.910399999999999</v>
      </c>
      <c r="E8781" t="s">
        <v>13261</v>
      </c>
      <c r="F8781" t="s">
        <v>13262</v>
      </c>
      <c r="G8781" t="s">
        <v>39</v>
      </c>
      <c r="H8781">
        <v>1996</v>
      </c>
      <c r="I8781">
        <v>27.9</v>
      </c>
      <c r="J8781">
        <v>11.006460000000001</v>
      </c>
      <c r="K8781">
        <v>53.064630000000001</v>
      </c>
      <c r="L8781">
        <v>30.702210000000001</v>
      </c>
      <c r="M8781">
        <v>38.700000000000003</v>
      </c>
      <c r="N8781">
        <v>18.3</v>
      </c>
      <c r="O8781">
        <v>20.399999999999999</v>
      </c>
      <c r="P8781">
        <v>30.9</v>
      </c>
      <c r="Q8781">
        <v>25.7</v>
      </c>
      <c r="R8781">
        <v>31.593540000000001</v>
      </c>
      <c r="S8781">
        <v>23.9</v>
      </c>
      <c r="T8781">
        <v>171.8707</v>
      </c>
      <c r="U8781">
        <v>40.935369999999999</v>
      </c>
      <c r="V8781">
        <v>3</v>
      </c>
      <c r="W8781">
        <v>71.870750000000001</v>
      </c>
      <c r="X8781">
        <v>88.870750000000001</v>
      </c>
      <c r="Y8781">
        <v>20</v>
      </c>
      <c r="Z8781">
        <v>71.870750000000001</v>
      </c>
      <c r="AA8781">
        <v>20</v>
      </c>
      <c r="AB8781">
        <v>68.356970000000004</v>
      </c>
      <c r="AC8781">
        <v>1.714748E-2</v>
      </c>
      <c r="AD8781">
        <v>1.2367870000000001</v>
      </c>
      <c r="AE8781">
        <v>0.1663616</v>
      </c>
      <c r="AF8781">
        <v>495.40649999999999</v>
      </c>
      <c r="AG8781">
        <f>IFERROR(AH8781*0.1, "N/A")</f>
        <v>8.7000000000000011</v>
      </c>
      <c r="AH8781">
        <v>87</v>
      </c>
      <c r="AI8781">
        <v>198.99780000000001</v>
      </c>
      <c r="AJ8781">
        <v>8.5204079999999998</v>
      </c>
      <c r="AK8781">
        <v>73.62585</v>
      </c>
    </row>
    <row r="8782" spans="1:37" x14ac:dyDescent="0.3">
      <c r="A8782">
        <v>8781</v>
      </c>
      <c r="B8782">
        <v>25.8</v>
      </c>
      <c r="C8782">
        <v>41.5837</v>
      </c>
      <c r="D8782">
        <v>11.910500000000001</v>
      </c>
      <c r="E8782" t="s">
        <v>13263</v>
      </c>
      <c r="F8782" t="s">
        <v>13264</v>
      </c>
      <c r="G8782" t="s">
        <v>39</v>
      </c>
      <c r="H8782">
        <v>1993</v>
      </c>
      <c r="I8782">
        <v>27.9</v>
      </c>
      <c r="J8782">
        <v>11.00306</v>
      </c>
      <c r="K8782">
        <v>53.030610000000003</v>
      </c>
      <c r="L8782">
        <v>30.716840000000001</v>
      </c>
      <c r="M8782">
        <v>38.700000000000003</v>
      </c>
      <c r="N8782">
        <v>18.3</v>
      </c>
      <c r="O8782">
        <v>20.399999999999999</v>
      </c>
      <c r="P8782">
        <v>30.9</v>
      </c>
      <c r="Q8782">
        <v>25.7</v>
      </c>
      <c r="R8782">
        <v>31.59694</v>
      </c>
      <c r="S8782">
        <v>23.9</v>
      </c>
      <c r="T8782">
        <v>171.93879999999999</v>
      </c>
      <c r="U8782">
        <v>40.969389999999997</v>
      </c>
      <c r="V8782">
        <v>3</v>
      </c>
      <c r="W8782">
        <v>71.938779999999994</v>
      </c>
      <c r="X8782">
        <v>88.938779999999994</v>
      </c>
      <c r="Y8782">
        <v>20</v>
      </c>
      <c r="Z8782">
        <v>71.938779999999994</v>
      </c>
      <c r="AA8782">
        <v>20</v>
      </c>
      <c r="AB8782">
        <v>68.662750000000003</v>
      </c>
      <c r="AC8782">
        <v>1.6122890000000001E-2</v>
      </c>
      <c r="AD8782">
        <v>1.184871</v>
      </c>
      <c r="AE8782">
        <v>0.1668857</v>
      </c>
      <c r="AF8782">
        <v>495.72280000000001</v>
      </c>
      <c r="AG8782">
        <f>IFERROR(AH8782*0.1, "N/A")</f>
        <v>8.7000000000000011</v>
      </c>
      <c r="AH8782">
        <v>87</v>
      </c>
      <c r="AI8782">
        <v>193.8802</v>
      </c>
      <c r="AJ8782">
        <v>8.2551020000000008</v>
      </c>
      <c r="AK8782">
        <v>73.816329999999994</v>
      </c>
    </row>
    <row r="8783" spans="1:37" x14ac:dyDescent="0.3">
      <c r="A8783">
        <v>8782</v>
      </c>
      <c r="B8783">
        <v>9.5</v>
      </c>
      <c r="C8783">
        <v>37.8842</v>
      </c>
      <c r="D8783">
        <v>11.9125</v>
      </c>
      <c r="E8783" t="s">
        <v>13265</v>
      </c>
      <c r="F8783" t="s">
        <v>13266</v>
      </c>
      <c r="G8783" t="s">
        <v>37</v>
      </c>
      <c r="H8783">
        <v>2000</v>
      </c>
      <c r="I8783">
        <v>18.913650000000001</v>
      </c>
      <c r="J8783">
        <v>15.786350000000001</v>
      </c>
      <c r="K8783">
        <v>78.863479999999996</v>
      </c>
      <c r="L8783">
        <v>11.160439999999999</v>
      </c>
      <c r="M8783">
        <v>29.313649999999999</v>
      </c>
      <c r="N8783">
        <v>9.3136519999999994</v>
      </c>
      <c r="O8783">
        <v>20</v>
      </c>
      <c r="P8783">
        <v>17.627300000000002</v>
      </c>
      <c r="Q8783">
        <v>19.513649999999998</v>
      </c>
      <c r="R8783">
        <v>20.513649999999998</v>
      </c>
      <c r="S8783">
        <v>17.627300000000002</v>
      </c>
      <c r="T8783">
        <v>1119.181</v>
      </c>
      <c r="U8783">
        <v>355.86349999999999</v>
      </c>
      <c r="V8783">
        <v>3</v>
      </c>
      <c r="W8783">
        <v>128.13650000000001</v>
      </c>
      <c r="X8783">
        <v>824.72699999999998</v>
      </c>
      <c r="Y8783">
        <v>14.863479999999999</v>
      </c>
      <c r="Z8783">
        <v>77.726960000000005</v>
      </c>
      <c r="AA8783">
        <v>824.72699999999998</v>
      </c>
      <c r="AB8783">
        <v>40.62041</v>
      </c>
      <c r="AC8783">
        <v>1.47928E-2</v>
      </c>
      <c r="AD8783">
        <v>3.2514129999999999</v>
      </c>
      <c r="AE8783">
        <v>0.6157878</v>
      </c>
      <c r="AF8783">
        <v>2055.8530000000001</v>
      </c>
      <c r="AG8783">
        <f>IFERROR(AH8783*0.1, "N/A")</f>
        <v>6</v>
      </c>
      <c r="AH8783">
        <v>60</v>
      </c>
      <c r="AI8783">
        <v>205.32130000000001</v>
      </c>
      <c r="AJ8783">
        <v>51</v>
      </c>
      <c r="AK8783">
        <v>25</v>
      </c>
    </row>
    <row r="8784" spans="1:37" x14ac:dyDescent="0.3">
      <c r="A8784">
        <v>8783</v>
      </c>
      <c r="B8784">
        <v>26.7</v>
      </c>
      <c r="C8784">
        <v>37.695900000000002</v>
      </c>
      <c r="D8784">
        <v>11.9254</v>
      </c>
      <c r="E8784" t="s">
        <v>13267</v>
      </c>
      <c r="F8784" t="s">
        <v>13268</v>
      </c>
      <c r="G8784" t="s">
        <v>37</v>
      </c>
      <c r="H8784">
        <v>2000</v>
      </c>
      <c r="I8784">
        <v>20.44632</v>
      </c>
      <c r="J8784">
        <v>15.3</v>
      </c>
      <c r="K8784">
        <v>75</v>
      </c>
      <c r="L8784">
        <v>11.091469999999999</v>
      </c>
      <c r="M8784">
        <v>30.573160000000001</v>
      </c>
      <c r="N8784">
        <v>10.37316</v>
      </c>
      <c r="O8784">
        <v>20.2</v>
      </c>
      <c r="P8784">
        <v>19.773160000000001</v>
      </c>
      <c r="Q8784">
        <v>20.673159999999999</v>
      </c>
      <c r="R8784">
        <v>22.073160000000001</v>
      </c>
      <c r="S8784">
        <v>19.47316</v>
      </c>
      <c r="T8784">
        <v>1127.6099999999999</v>
      </c>
      <c r="U8784">
        <v>358.53680000000003</v>
      </c>
      <c r="V8784">
        <v>2</v>
      </c>
      <c r="W8784">
        <v>129</v>
      </c>
      <c r="X8784">
        <v>832.07349999999997</v>
      </c>
      <c r="Y8784">
        <v>9</v>
      </c>
      <c r="Z8784">
        <v>73.268379999999993</v>
      </c>
      <c r="AA8784">
        <v>831.34190000000001</v>
      </c>
      <c r="AB8784">
        <v>27.83099</v>
      </c>
      <c r="AC8784">
        <v>1.4359709999999999E-2</v>
      </c>
      <c r="AD8784">
        <v>2.465071</v>
      </c>
      <c r="AE8784">
        <v>0.66825190000000001</v>
      </c>
      <c r="AF8784">
        <v>1823.588</v>
      </c>
      <c r="AG8784">
        <f>IFERROR(AH8784*0.1, "N/A")</f>
        <v>6.6917950000000008</v>
      </c>
      <c r="AH8784">
        <v>66.917950000000005</v>
      </c>
      <c r="AI8784">
        <v>247.32259999999999</v>
      </c>
      <c r="AJ8784">
        <v>49.353850000000001</v>
      </c>
      <c r="AK8784">
        <v>25.95214</v>
      </c>
    </row>
    <row r="8785" spans="1:37" x14ac:dyDescent="0.3">
      <c r="A8785">
        <v>8784</v>
      </c>
      <c r="B8785">
        <v>0</v>
      </c>
      <c r="C8785">
        <v>37.950000000000003</v>
      </c>
      <c r="D8785">
        <v>11.933299999999999</v>
      </c>
      <c r="E8785" t="s">
        <v>13269</v>
      </c>
      <c r="F8785" t="s">
        <v>13270</v>
      </c>
      <c r="G8785" t="s">
        <v>37</v>
      </c>
      <c r="H8785">
        <v>2000</v>
      </c>
      <c r="I8785">
        <v>17.262650000000001</v>
      </c>
      <c r="J8785">
        <v>15.913410000000001</v>
      </c>
      <c r="K8785">
        <v>76.035650000000004</v>
      </c>
      <c r="L8785">
        <v>13.151020000000001</v>
      </c>
      <c r="M8785">
        <v>28.30866</v>
      </c>
      <c r="N8785">
        <v>7.452801</v>
      </c>
      <c r="O8785">
        <v>20.85586</v>
      </c>
      <c r="P8785">
        <v>15.86265</v>
      </c>
      <c r="Q8785">
        <v>17.572500000000002</v>
      </c>
      <c r="R8785">
        <v>18.96265</v>
      </c>
      <c r="S8785">
        <v>15.86265</v>
      </c>
      <c r="T8785">
        <v>1275.82</v>
      </c>
      <c r="U8785">
        <v>387.6995</v>
      </c>
      <c r="V8785">
        <v>4.283531</v>
      </c>
      <c r="W8785">
        <v>122.9015</v>
      </c>
      <c r="X8785">
        <v>910.64179999999999</v>
      </c>
      <c r="Y8785">
        <v>20.567060000000001</v>
      </c>
      <c r="Z8785">
        <v>111.03060000000001</v>
      </c>
      <c r="AA8785">
        <v>910.64179999999999</v>
      </c>
      <c r="AB8785">
        <v>103.1579</v>
      </c>
      <c r="AC8785">
        <v>1.6648260000000002E-2</v>
      </c>
      <c r="AD8785">
        <v>9.0714269999999999</v>
      </c>
      <c r="AE8785">
        <v>0.61931159999999996</v>
      </c>
      <c r="AF8785">
        <v>2351.6320000000001</v>
      </c>
      <c r="AG8785">
        <f>IFERROR(AH8785*0.1, "N/A")</f>
        <v>5.5638370000000004</v>
      </c>
      <c r="AH8785">
        <v>55.638370000000002</v>
      </c>
      <c r="AI8785">
        <v>60.878529999999998</v>
      </c>
      <c r="AJ8785">
        <v>42.319189999999999</v>
      </c>
      <c r="AK8785">
        <v>30.319189999999999</v>
      </c>
    </row>
    <row r="8786" spans="1:37" x14ac:dyDescent="0.3">
      <c r="A8786">
        <v>8785</v>
      </c>
      <c r="B8786">
        <v>0</v>
      </c>
      <c r="C8786">
        <v>36.872700000000002</v>
      </c>
      <c r="D8786">
        <v>11.9343</v>
      </c>
      <c r="E8786" t="s">
        <v>13271</v>
      </c>
      <c r="F8786" t="s">
        <v>13272</v>
      </c>
      <c r="G8786" t="s">
        <v>37</v>
      </c>
      <c r="H8786">
        <v>1974</v>
      </c>
      <c r="I8786">
        <v>17.100000000000001</v>
      </c>
      <c r="J8786">
        <v>13.9</v>
      </c>
      <c r="K8786">
        <v>71</v>
      </c>
      <c r="L8786">
        <v>11.42</v>
      </c>
      <c r="M8786">
        <v>27.1</v>
      </c>
      <c r="N8786">
        <v>7.6</v>
      </c>
      <c r="O8786">
        <v>19.5</v>
      </c>
      <c r="P8786">
        <v>16.2</v>
      </c>
      <c r="Q8786">
        <v>16.7</v>
      </c>
      <c r="R8786">
        <v>18.8</v>
      </c>
      <c r="S8786">
        <v>16.100000000000001</v>
      </c>
      <c r="T8786">
        <v>1429</v>
      </c>
      <c r="U8786">
        <v>375</v>
      </c>
      <c r="V8786">
        <v>5</v>
      </c>
      <c r="W8786">
        <v>110</v>
      </c>
      <c r="X8786">
        <v>963</v>
      </c>
      <c r="Y8786">
        <v>23</v>
      </c>
      <c r="Z8786">
        <v>130</v>
      </c>
      <c r="AA8786">
        <v>936</v>
      </c>
      <c r="AB8786">
        <v>59.48507</v>
      </c>
      <c r="AC8786">
        <v>1.1298600000000001E-2</v>
      </c>
      <c r="AD8786">
        <v>3.7208800000000002</v>
      </c>
      <c r="AE8786">
        <v>0.64238430000000002</v>
      </c>
      <c r="AF8786">
        <v>2228.3539999999998</v>
      </c>
      <c r="AG8786">
        <f>IFERROR(AH8786*0.1, "N/A")</f>
        <v>5.6218800000000009</v>
      </c>
      <c r="AH8786">
        <v>56.218800000000002</v>
      </c>
      <c r="AI8786">
        <v>146.39230000000001</v>
      </c>
      <c r="AJ8786">
        <v>51.227350000000001</v>
      </c>
      <c r="AK8786">
        <v>23.733329999999999</v>
      </c>
    </row>
    <row r="8787" spans="1:37" x14ac:dyDescent="0.3">
      <c r="A8787">
        <v>8786</v>
      </c>
      <c r="B8787">
        <v>0</v>
      </c>
      <c r="C8787">
        <v>37</v>
      </c>
      <c r="D8787">
        <v>11.95</v>
      </c>
      <c r="E8787" t="s">
        <v>13273</v>
      </c>
      <c r="F8787" t="s">
        <v>13274</v>
      </c>
      <c r="G8787" t="s">
        <v>37</v>
      </c>
      <c r="H8787">
        <v>1974</v>
      </c>
      <c r="I8787">
        <v>19.76735</v>
      </c>
      <c r="J8787">
        <v>14.3</v>
      </c>
      <c r="K8787">
        <v>72</v>
      </c>
      <c r="L8787">
        <v>11.74648</v>
      </c>
      <c r="M8787">
        <v>29.667349999999999</v>
      </c>
      <c r="N8787">
        <v>9.9063239999999997</v>
      </c>
      <c r="O8787">
        <v>19.761030000000002</v>
      </c>
      <c r="P8787">
        <v>18.867349999999998</v>
      </c>
      <c r="Q8787">
        <v>18.973680000000002</v>
      </c>
      <c r="R8787">
        <v>21.54598</v>
      </c>
      <c r="S8787">
        <v>18.72137</v>
      </c>
      <c r="T8787">
        <v>1322.721</v>
      </c>
      <c r="U8787">
        <v>372.72309999999999</v>
      </c>
      <c r="V8787">
        <v>2</v>
      </c>
      <c r="W8787">
        <v>119.1504</v>
      </c>
      <c r="X8787">
        <v>939.49570000000006</v>
      </c>
      <c r="Y8787">
        <v>10.326499999999999</v>
      </c>
      <c r="Z8787">
        <v>98.063249999999996</v>
      </c>
      <c r="AA8787">
        <v>315.065</v>
      </c>
      <c r="AB8787">
        <v>3.798092</v>
      </c>
      <c r="AC8787">
        <v>3.7741080000000003E-2</v>
      </c>
      <c r="AD8787">
        <v>2.0821960000000002</v>
      </c>
      <c r="AE8787">
        <v>0.49585129999999999</v>
      </c>
      <c r="AF8787">
        <v>1810.711</v>
      </c>
      <c r="AG8787">
        <f>IFERROR(AH8787*0.1, "N/A")</f>
        <v>6.2307690000000004</v>
      </c>
      <c r="AH8787">
        <v>62.307690000000001</v>
      </c>
      <c r="AI8787">
        <v>191.92400000000001</v>
      </c>
      <c r="AJ8787">
        <v>51.345300000000002</v>
      </c>
      <c r="AK8787">
        <v>21.685469999999999</v>
      </c>
    </row>
    <row r="8788" spans="1:37" x14ac:dyDescent="0.3">
      <c r="A8788">
        <v>8787</v>
      </c>
      <c r="B8788">
        <v>6.2</v>
      </c>
      <c r="C8788">
        <v>37.604100000000003</v>
      </c>
      <c r="D8788">
        <v>11.950100000000001</v>
      </c>
      <c r="E8788" t="s">
        <v>13275</v>
      </c>
      <c r="F8788" t="s">
        <v>13276</v>
      </c>
      <c r="G8788" t="s">
        <v>37</v>
      </c>
      <c r="H8788">
        <v>1989</v>
      </c>
      <c r="I8788">
        <v>20.5</v>
      </c>
      <c r="J8788">
        <v>15.1</v>
      </c>
      <c r="K8788">
        <v>74.356660000000005</v>
      </c>
      <c r="L8788">
        <v>11.29147</v>
      </c>
      <c r="M8788">
        <v>30.564330000000002</v>
      </c>
      <c r="N8788">
        <v>10.4</v>
      </c>
      <c r="O8788">
        <v>20.164339999999999</v>
      </c>
      <c r="P8788">
        <v>19.735669999999999</v>
      </c>
      <c r="Q8788">
        <v>20.7</v>
      </c>
      <c r="R8788">
        <v>22.2</v>
      </c>
      <c r="S8788">
        <v>19.5</v>
      </c>
      <c r="T8788">
        <v>1153.2170000000001</v>
      </c>
      <c r="U8788">
        <v>362.64330000000001</v>
      </c>
      <c r="V8788">
        <v>2</v>
      </c>
      <c r="W8788">
        <v>128</v>
      </c>
      <c r="X8788">
        <v>850.93</v>
      </c>
      <c r="Y8788">
        <v>8</v>
      </c>
      <c r="Z8788">
        <v>75</v>
      </c>
      <c r="AA8788">
        <v>843.57339999999999</v>
      </c>
      <c r="AB8788">
        <v>0.27573639999999999</v>
      </c>
      <c r="AC8788">
        <v>1.0349680000000001</v>
      </c>
      <c r="AD8788">
        <v>1.162031</v>
      </c>
      <c r="AE8788">
        <v>0.61257649999999997</v>
      </c>
      <c r="AF8788">
        <v>1788.0050000000001</v>
      </c>
      <c r="AG8788">
        <f>IFERROR(AH8788*0.1, "N/A")</f>
        <v>6.610239</v>
      </c>
      <c r="AH8788">
        <v>66.10239</v>
      </c>
      <c r="AI8788">
        <v>296.89260000000002</v>
      </c>
      <c r="AJ8788">
        <v>58.723550000000003</v>
      </c>
      <c r="AK8788">
        <v>17</v>
      </c>
    </row>
    <row r="8789" spans="1:37" x14ac:dyDescent="0.3">
      <c r="A8789">
        <v>8788</v>
      </c>
      <c r="B8789">
        <v>0</v>
      </c>
      <c r="C8789">
        <v>37.650500000000001</v>
      </c>
      <c r="D8789">
        <v>11.9618</v>
      </c>
      <c r="E8789" t="s">
        <v>13277</v>
      </c>
      <c r="F8789" t="s">
        <v>13278</v>
      </c>
      <c r="G8789" t="s">
        <v>37</v>
      </c>
      <c r="H8789">
        <v>1989</v>
      </c>
      <c r="I8789">
        <v>20.5</v>
      </c>
      <c r="J8789">
        <v>15.2</v>
      </c>
      <c r="K8789">
        <v>75</v>
      </c>
      <c r="L8789">
        <v>11.24259</v>
      </c>
      <c r="M8789">
        <v>30.6</v>
      </c>
      <c r="N8789">
        <v>10.477130000000001</v>
      </c>
      <c r="O8789">
        <v>20.122869999999999</v>
      </c>
      <c r="P8789">
        <v>19.8</v>
      </c>
      <c r="Q8789">
        <v>20.7</v>
      </c>
      <c r="R8789">
        <v>22.2</v>
      </c>
      <c r="S8789">
        <v>19.5</v>
      </c>
      <c r="T8789">
        <v>1127.6859999999999</v>
      </c>
      <c r="U8789">
        <v>357</v>
      </c>
      <c r="V8789">
        <v>2</v>
      </c>
      <c r="W8789">
        <v>128.7713</v>
      </c>
      <c r="X8789">
        <v>833.45730000000003</v>
      </c>
      <c r="Y8789">
        <v>8</v>
      </c>
      <c r="Z8789">
        <v>73</v>
      </c>
      <c r="AA8789">
        <v>828.2287</v>
      </c>
      <c r="AB8789">
        <v>0.87874209999999997</v>
      </c>
      <c r="AC8789">
        <v>2.2327940000000001E-2</v>
      </c>
      <c r="AD8789">
        <v>0.89468110000000001</v>
      </c>
      <c r="AE8789">
        <v>0.64386290000000002</v>
      </c>
      <c r="AF8789">
        <v>1788.2180000000001</v>
      </c>
      <c r="AG8789">
        <f>IFERROR(AH8789*0.1, "N/A")</f>
        <v>6.9</v>
      </c>
      <c r="AH8789">
        <v>69</v>
      </c>
      <c r="AI8789">
        <v>141.87970000000001</v>
      </c>
      <c r="AJ8789">
        <v>48.626280000000001</v>
      </c>
      <c r="AK8789">
        <v>19.998290000000001</v>
      </c>
    </row>
    <row r="8790" spans="1:37" x14ac:dyDescent="0.3">
      <c r="A8790">
        <v>8789</v>
      </c>
      <c r="B8790">
        <v>0</v>
      </c>
      <c r="C8790">
        <v>38.183300000000003</v>
      </c>
      <c r="D8790">
        <v>11.966699999999999</v>
      </c>
      <c r="E8790" t="s">
        <v>13279</v>
      </c>
      <c r="F8790" t="s">
        <v>13280</v>
      </c>
      <c r="G8790" t="s">
        <v>37</v>
      </c>
      <c r="H8790">
        <v>2000</v>
      </c>
      <c r="I8790">
        <v>15.35956</v>
      </c>
      <c r="J8790">
        <v>15.8186</v>
      </c>
      <c r="K8790">
        <v>75</v>
      </c>
      <c r="L8790">
        <v>12.218120000000001</v>
      </c>
      <c r="M8790">
        <v>26.305119999999999</v>
      </c>
      <c r="N8790">
        <v>5.3595560000000004</v>
      </c>
      <c r="O8790">
        <v>20.94556</v>
      </c>
      <c r="P8790">
        <v>14.24352</v>
      </c>
      <c r="Q8790">
        <v>15.48908</v>
      </c>
      <c r="R8790">
        <v>16.775600000000001</v>
      </c>
      <c r="S8790">
        <v>13.973039999999999</v>
      </c>
      <c r="T8790">
        <v>1326.973</v>
      </c>
      <c r="U8790">
        <v>394.56479999999999</v>
      </c>
      <c r="V8790">
        <v>6.8395900000000003</v>
      </c>
      <c r="W8790">
        <v>121</v>
      </c>
      <c r="X8790">
        <v>935.11260000000004</v>
      </c>
      <c r="Y8790">
        <v>24.839590000000001</v>
      </c>
      <c r="Z8790">
        <v>140.40440000000001</v>
      </c>
      <c r="AA8790">
        <v>99.679180000000002</v>
      </c>
      <c r="AB8790">
        <v>164.36150000000001</v>
      </c>
      <c r="AC8790">
        <v>8.9224739999999997E-3</v>
      </c>
      <c r="AD8790">
        <v>10.82578</v>
      </c>
      <c r="AE8790">
        <v>0.60147810000000002</v>
      </c>
      <c r="AF8790">
        <v>2607.4450000000002</v>
      </c>
      <c r="AG8790">
        <f>IFERROR(AH8790*0.1, "N/A")</f>
        <v>6.2160410000000006</v>
      </c>
      <c r="AH8790">
        <v>62.160409999999999</v>
      </c>
      <c r="AI8790">
        <v>301.2389</v>
      </c>
      <c r="AJ8790">
        <v>46.160409999999999</v>
      </c>
      <c r="AK8790">
        <v>27</v>
      </c>
    </row>
    <row r="8791" spans="1:37" x14ac:dyDescent="0.3">
      <c r="A8791">
        <v>8790</v>
      </c>
      <c r="B8791">
        <v>0</v>
      </c>
      <c r="C8791">
        <v>37.679099999999998</v>
      </c>
      <c r="D8791">
        <v>11.978899999999999</v>
      </c>
      <c r="E8791" t="s">
        <v>13281</v>
      </c>
      <c r="F8791" t="s">
        <v>13282</v>
      </c>
      <c r="G8791" t="s">
        <v>37</v>
      </c>
      <c r="H8791">
        <v>1989</v>
      </c>
      <c r="I8791">
        <v>20.5</v>
      </c>
      <c r="J8791">
        <v>15.3</v>
      </c>
      <c r="K8791">
        <v>76</v>
      </c>
      <c r="L8791">
        <v>11.37</v>
      </c>
      <c r="M8791">
        <v>30.6</v>
      </c>
      <c r="N8791">
        <v>10.5</v>
      </c>
      <c r="O8791">
        <v>20.100000000000001</v>
      </c>
      <c r="P8791">
        <v>19.8</v>
      </c>
      <c r="Q8791">
        <v>20.8</v>
      </c>
      <c r="R8791">
        <v>22.2</v>
      </c>
      <c r="S8791">
        <v>19.399999999999999</v>
      </c>
      <c r="T8791">
        <v>1110</v>
      </c>
      <c r="U8791">
        <v>352</v>
      </c>
      <c r="V8791">
        <v>2</v>
      </c>
      <c r="W8791">
        <v>129</v>
      </c>
      <c r="X8791">
        <v>821</v>
      </c>
      <c r="Y8791">
        <v>8</v>
      </c>
      <c r="Z8791">
        <v>72</v>
      </c>
      <c r="AA8791">
        <v>816</v>
      </c>
      <c r="AB8791">
        <v>0.30457139999999999</v>
      </c>
      <c r="AC8791">
        <v>0.22591810000000001</v>
      </c>
      <c r="AD8791">
        <v>1.094973</v>
      </c>
      <c r="AE8791">
        <v>0.72228749999999997</v>
      </c>
      <c r="AF8791">
        <v>1790.0219999999999</v>
      </c>
      <c r="AG8791">
        <f>IFERROR(AH8791*0.1, "N/A")</f>
        <v>7</v>
      </c>
      <c r="AH8791">
        <v>70</v>
      </c>
      <c r="AI8791">
        <v>269.78300000000002</v>
      </c>
      <c r="AJ8791">
        <v>47.006790000000002</v>
      </c>
      <c r="AK8791">
        <v>19.993210000000001</v>
      </c>
    </row>
    <row r="8792" spans="1:37" x14ac:dyDescent="0.3">
      <c r="A8792">
        <v>8791</v>
      </c>
      <c r="B8792">
        <v>27.1</v>
      </c>
      <c r="C8792">
        <v>37.799999999999997</v>
      </c>
      <c r="D8792">
        <v>11.9833</v>
      </c>
      <c r="E8792" t="s">
        <v>13283</v>
      </c>
      <c r="F8792" t="s">
        <v>13284</v>
      </c>
      <c r="G8792" t="s">
        <v>37</v>
      </c>
      <c r="H8792">
        <v>2000</v>
      </c>
      <c r="I8792">
        <v>20.321770000000001</v>
      </c>
      <c r="J8792">
        <v>15.5</v>
      </c>
      <c r="K8792">
        <v>76.326530000000005</v>
      </c>
      <c r="L8792">
        <v>10.91963</v>
      </c>
      <c r="M8792">
        <v>30.589120000000001</v>
      </c>
      <c r="N8792">
        <v>10.42177</v>
      </c>
      <c r="O8792">
        <v>20.167349999999999</v>
      </c>
      <c r="P8792">
        <v>19.221769999999999</v>
      </c>
      <c r="Q8792">
        <v>20.621770000000001</v>
      </c>
      <c r="R8792">
        <v>21.98912</v>
      </c>
      <c r="S8792">
        <v>19.221769999999999</v>
      </c>
      <c r="T8792">
        <v>1065.4829999999999</v>
      </c>
      <c r="U8792">
        <v>343.34350000000001</v>
      </c>
      <c r="V8792">
        <v>2</v>
      </c>
      <c r="W8792">
        <v>130.54759999999999</v>
      </c>
      <c r="X8792">
        <v>792.24829999999997</v>
      </c>
      <c r="Y8792">
        <v>9</v>
      </c>
      <c r="Z8792">
        <v>68</v>
      </c>
      <c r="AA8792">
        <v>792.24829999999997</v>
      </c>
      <c r="AB8792">
        <v>1.119041</v>
      </c>
      <c r="AC8792">
        <v>4.2865450000000003</v>
      </c>
      <c r="AD8792">
        <v>1.0088790000000001</v>
      </c>
      <c r="AE8792">
        <v>0.6843051</v>
      </c>
      <c r="AF8792">
        <v>1817.847</v>
      </c>
      <c r="AG8792">
        <f>IFERROR(AH8792*0.1, "N/A")</f>
        <v>6.8945580000000009</v>
      </c>
      <c r="AH8792">
        <v>68.945580000000007</v>
      </c>
      <c r="AI8792">
        <v>144.2276</v>
      </c>
      <c r="AJ8792">
        <v>51.027209999999997</v>
      </c>
      <c r="AK8792">
        <v>20.659859999999998</v>
      </c>
    </row>
    <row r="8793" spans="1:37" x14ac:dyDescent="0.3">
      <c r="A8793">
        <v>8792</v>
      </c>
      <c r="B8793">
        <v>1.5</v>
      </c>
      <c r="C8793">
        <v>37.616700000000002</v>
      </c>
      <c r="D8793">
        <v>11.9833</v>
      </c>
      <c r="E8793" t="s">
        <v>13285</v>
      </c>
      <c r="F8793" t="s">
        <v>13286</v>
      </c>
      <c r="G8793" t="s">
        <v>37</v>
      </c>
      <c r="H8793">
        <v>1989</v>
      </c>
      <c r="I8793">
        <v>20.532769999999999</v>
      </c>
      <c r="J8793">
        <v>15.1</v>
      </c>
      <c r="K8793">
        <v>75</v>
      </c>
      <c r="L8793">
        <v>11.49455</v>
      </c>
      <c r="M8793">
        <v>30.6</v>
      </c>
      <c r="N8793">
        <v>10.532769999999999</v>
      </c>
      <c r="O8793">
        <v>20.067229999999999</v>
      </c>
      <c r="P8793">
        <v>19.8</v>
      </c>
      <c r="Q8793">
        <v>20.732769999999999</v>
      </c>
      <c r="R8793">
        <v>22.276910000000001</v>
      </c>
      <c r="S8793">
        <v>19.5</v>
      </c>
      <c r="T8793">
        <v>1133.732</v>
      </c>
      <c r="U8793">
        <v>356.67230000000001</v>
      </c>
      <c r="V8793">
        <v>2</v>
      </c>
      <c r="W8793">
        <v>128</v>
      </c>
      <c r="X8793">
        <v>837.75040000000001</v>
      </c>
      <c r="Y8793">
        <v>8</v>
      </c>
      <c r="Z8793">
        <v>74.606110000000001</v>
      </c>
      <c r="AA8793">
        <v>828.42280000000005</v>
      </c>
      <c r="AB8793">
        <v>0.97225919999999999</v>
      </c>
      <c r="AC8793">
        <v>1.336447E-2</v>
      </c>
      <c r="AD8793">
        <v>0.69620079999999995</v>
      </c>
      <c r="AE8793">
        <v>0.52242390000000005</v>
      </c>
      <c r="AF8793">
        <v>1787.5519999999999</v>
      </c>
      <c r="AG8793">
        <f>IFERROR(AH8793*0.1, "N/A")</f>
        <v>6.770289</v>
      </c>
      <c r="AH8793">
        <v>67.702889999999996</v>
      </c>
      <c r="AI8793">
        <v>162.0908</v>
      </c>
      <c r="AJ8793">
        <v>57.10866</v>
      </c>
      <c r="AK8793">
        <v>19.59423</v>
      </c>
    </row>
    <row r="8794" spans="1:37" x14ac:dyDescent="0.3">
      <c r="A8794">
        <v>8793</v>
      </c>
      <c r="B8794">
        <v>1</v>
      </c>
      <c r="C8794">
        <v>37.636000000000003</v>
      </c>
      <c r="D8794">
        <v>11.9937</v>
      </c>
      <c r="E8794" t="s">
        <v>13287</v>
      </c>
      <c r="F8794" t="s">
        <v>13288</v>
      </c>
      <c r="G8794" t="s">
        <v>37</v>
      </c>
      <c r="H8794">
        <v>1989</v>
      </c>
      <c r="I8794">
        <v>20.6</v>
      </c>
      <c r="J8794">
        <v>15.2</v>
      </c>
      <c r="K8794">
        <v>75</v>
      </c>
      <c r="L8794">
        <v>11.63</v>
      </c>
      <c r="M8794">
        <v>30.7</v>
      </c>
      <c r="N8794">
        <v>10.6</v>
      </c>
      <c r="O8794">
        <v>20.100000000000001</v>
      </c>
      <c r="P8794">
        <v>19.8</v>
      </c>
      <c r="Q8794">
        <v>20.9</v>
      </c>
      <c r="R8794">
        <v>22.3</v>
      </c>
      <c r="S8794">
        <v>19.5</v>
      </c>
      <c r="T8794">
        <v>1117</v>
      </c>
      <c r="U8794">
        <v>353</v>
      </c>
      <c r="V8794">
        <v>2</v>
      </c>
      <c r="W8794">
        <v>128</v>
      </c>
      <c r="X8794">
        <v>828</v>
      </c>
      <c r="Y8794">
        <v>8</v>
      </c>
      <c r="Z8794">
        <v>73</v>
      </c>
      <c r="AA8794">
        <v>819</v>
      </c>
      <c r="AB8794">
        <v>0.2862112</v>
      </c>
      <c r="AC8794">
        <v>0.45765850000000002</v>
      </c>
      <c r="AD8794">
        <v>0.94298090000000001</v>
      </c>
      <c r="AE8794">
        <v>0.64942100000000003</v>
      </c>
      <c r="AF8794">
        <v>1788.973</v>
      </c>
      <c r="AG8794">
        <f>IFERROR(AH8794*0.1, "N/A")</f>
        <v>6.8000000000000007</v>
      </c>
      <c r="AH8794">
        <v>68</v>
      </c>
      <c r="AI8794">
        <v>191.80170000000001</v>
      </c>
      <c r="AJ8794">
        <v>46.660989999999998</v>
      </c>
      <c r="AK8794">
        <v>20</v>
      </c>
    </row>
    <row r="8795" spans="1:37" x14ac:dyDescent="0.3">
      <c r="A8795">
        <v>8794</v>
      </c>
      <c r="B8795">
        <v>0</v>
      </c>
      <c r="C8795">
        <v>37.618499999999997</v>
      </c>
      <c r="D8795">
        <v>12.004300000000001</v>
      </c>
      <c r="E8795" t="s">
        <v>13289</v>
      </c>
      <c r="F8795" t="s">
        <v>13290</v>
      </c>
      <c r="G8795" t="s">
        <v>37</v>
      </c>
      <c r="H8795">
        <v>1989</v>
      </c>
      <c r="I8795">
        <v>20.6</v>
      </c>
      <c r="J8795">
        <v>15.1</v>
      </c>
      <c r="K8795">
        <v>75</v>
      </c>
      <c r="L8795">
        <v>11.47</v>
      </c>
      <c r="M8795">
        <v>30.7</v>
      </c>
      <c r="N8795">
        <v>10.6</v>
      </c>
      <c r="O8795">
        <v>20.100000000000001</v>
      </c>
      <c r="P8795">
        <v>19.8</v>
      </c>
      <c r="Q8795">
        <v>20.8</v>
      </c>
      <c r="R8795">
        <v>22.3</v>
      </c>
      <c r="S8795">
        <v>19.5</v>
      </c>
      <c r="T8795">
        <v>1120</v>
      </c>
      <c r="U8795">
        <v>353</v>
      </c>
      <c r="V8795">
        <v>2</v>
      </c>
      <c r="W8795">
        <v>128</v>
      </c>
      <c r="X8795">
        <v>829</v>
      </c>
      <c r="Y8795">
        <v>8</v>
      </c>
      <c r="Z8795">
        <v>74</v>
      </c>
      <c r="AA8795">
        <v>819</v>
      </c>
      <c r="AB8795">
        <v>0.21259600000000001</v>
      </c>
      <c r="AC8795">
        <v>3.1719249999999999</v>
      </c>
      <c r="AD8795">
        <v>0.8848992</v>
      </c>
      <c r="AE8795">
        <v>0.61409950000000002</v>
      </c>
      <c r="AF8795">
        <v>1787.7650000000001</v>
      </c>
      <c r="AG8795">
        <f>IFERROR(AH8795*0.1, "N/A")</f>
        <v>6.4199320000000002</v>
      </c>
      <c r="AH8795">
        <v>64.19932</v>
      </c>
      <c r="AI8795">
        <v>91.347499999999997</v>
      </c>
      <c r="AJ8795">
        <v>51.982959999999999</v>
      </c>
      <c r="AK8795">
        <v>18.017040000000001</v>
      </c>
    </row>
    <row r="8796" spans="1:37" x14ac:dyDescent="0.3">
      <c r="A8796">
        <v>8795</v>
      </c>
      <c r="B8796">
        <v>8.3000000000000007</v>
      </c>
      <c r="C8796">
        <v>36.985799999999998</v>
      </c>
      <c r="D8796">
        <v>12.0327</v>
      </c>
      <c r="E8796" t="s">
        <v>13291</v>
      </c>
      <c r="F8796" t="s">
        <v>13292</v>
      </c>
      <c r="G8796" t="s">
        <v>37</v>
      </c>
      <c r="H8796">
        <v>1974</v>
      </c>
      <c r="I8796">
        <v>19.532260000000001</v>
      </c>
      <c r="J8796">
        <v>14.1</v>
      </c>
      <c r="K8796">
        <v>73</v>
      </c>
      <c r="L8796">
        <v>11.55484</v>
      </c>
      <c r="M8796">
        <v>29.432259999999999</v>
      </c>
      <c r="N8796">
        <v>10.13226</v>
      </c>
      <c r="O8796">
        <v>19.3</v>
      </c>
      <c r="P8796">
        <v>18.564520000000002</v>
      </c>
      <c r="Q8796">
        <v>19.032260000000001</v>
      </c>
      <c r="R8796">
        <v>21.3</v>
      </c>
      <c r="S8796">
        <v>18.532260000000001</v>
      </c>
      <c r="T8796">
        <v>1296.4190000000001</v>
      </c>
      <c r="U8796">
        <v>362.35480000000001</v>
      </c>
      <c r="V8796">
        <v>2.677419</v>
      </c>
      <c r="W8796">
        <v>118</v>
      </c>
      <c r="X8796">
        <v>919.03229999999996</v>
      </c>
      <c r="Y8796">
        <v>11.354839999999999</v>
      </c>
      <c r="Z8796">
        <v>101</v>
      </c>
      <c r="AA8796">
        <v>883.7097</v>
      </c>
      <c r="AB8796">
        <v>9.763852</v>
      </c>
      <c r="AC8796">
        <v>4.5553339999999998E-2</v>
      </c>
      <c r="AD8796">
        <v>4.8458360000000003</v>
      </c>
      <c r="AE8796">
        <v>0.36831609999999998</v>
      </c>
      <c r="AF8796">
        <v>1874.2650000000001</v>
      </c>
      <c r="AG8796">
        <f>IFERROR(AH8796*0.1, "N/A")</f>
        <v>6.438200000000001</v>
      </c>
      <c r="AH8796">
        <v>64.382000000000005</v>
      </c>
      <c r="AI8796">
        <v>337.53910000000002</v>
      </c>
      <c r="AJ8796">
        <v>51.490659999999998</v>
      </c>
      <c r="AK8796">
        <v>19.804749999999999</v>
      </c>
    </row>
    <row r="8797" spans="1:37" x14ac:dyDescent="0.3">
      <c r="A8797">
        <v>8796</v>
      </c>
      <c r="B8797">
        <v>31.6</v>
      </c>
      <c r="C8797">
        <v>37.7273</v>
      </c>
      <c r="D8797">
        <v>12.081899999999999</v>
      </c>
      <c r="E8797" t="s">
        <v>13293</v>
      </c>
      <c r="F8797" t="s">
        <v>13294</v>
      </c>
      <c r="G8797" t="s">
        <v>37</v>
      </c>
      <c r="H8797">
        <v>2000</v>
      </c>
      <c r="I8797">
        <v>20.3</v>
      </c>
      <c r="J8797">
        <v>15.4</v>
      </c>
      <c r="K8797">
        <v>77</v>
      </c>
      <c r="L8797">
        <v>10.95</v>
      </c>
      <c r="M8797">
        <v>30.5</v>
      </c>
      <c r="N8797">
        <v>10.7</v>
      </c>
      <c r="O8797">
        <v>19.8</v>
      </c>
      <c r="P8797">
        <v>19.5</v>
      </c>
      <c r="Q8797">
        <v>20.8</v>
      </c>
      <c r="R8797">
        <v>22</v>
      </c>
      <c r="S8797">
        <v>19.2</v>
      </c>
      <c r="T8797">
        <v>1059</v>
      </c>
      <c r="U8797">
        <v>340</v>
      </c>
      <c r="V8797">
        <v>2</v>
      </c>
      <c r="W8797">
        <v>130</v>
      </c>
      <c r="X8797">
        <v>789</v>
      </c>
      <c r="Y8797">
        <v>7</v>
      </c>
      <c r="Z8797">
        <v>68</v>
      </c>
      <c r="AA8797">
        <v>782</v>
      </c>
      <c r="AB8797">
        <v>41.14902</v>
      </c>
      <c r="AC8797">
        <v>1.467654E-2</v>
      </c>
      <c r="AD8797">
        <v>3.3547359999999999</v>
      </c>
      <c r="AE8797">
        <v>0.55493630000000005</v>
      </c>
      <c r="AF8797">
        <v>1865.2809999999999</v>
      </c>
      <c r="AG8797">
        <f>IFERROR(AH8797*0.1, "N/A")</f>
        <v>6.8229590000000009</v>
      </c>
      <c r="AH8797">
        <v>68.229590000000002</v>
      </c>
      <c r="AI8797">
        <v>104.9045</v>
      </c>
      <c r="AJ8797">
        <v>46.311219999999999</v>
      </c>
      <c r="AK8797">
        <v>26.918369999999999</v>
      </c>
    </row>
    <row r="8798" spans="1:37" x14ac:dyDescent="0.3">
      <c r="A8798">
        <v>8797</v>
      </c>
      <c r="B8798">
        <v>17.8</v>
      </c>
      <c r="C8798">
        <v>37.716700000000003</v>
      </c>
      <c r="D8798">
        <v>12.083299999999999</v>
      </c>
      <c r="E8798" t="s">
        <v>13295</v>
      </c>
      <c r="F8798" t="s">
        <v>13296</v>
      </c>
      <c r="G8798" t="s">
        <v>37</v>
      </c>
      <c r="H8798">
        <v>1987</v>
      </c>
      <c r="I8798">
        <v>20.24361</v>
      </c>
      <c r="J8798">
        <v>15.35366</v>
      </c>
      <c r="K8798">
        <v>76.536630000000002</v>
      </c>
      <c r="L8798">
        <v>11.11295</v>
      </c>
      <c r="M8798">
        <v>30.44361</v>
      </c>
      <c r="N8798">
        <v>10.543609999999999</v>
      </c>
      <c r="O8798">
        <v>19.899999999999999</v>
      </c>
      <c r="P8798">
        <v>19.307839999999999</v>
      </c>
      <c r="Q8798">
        <v>20.643609999999999</v>
      </c>
      <c r="R8798">
        <v>21.887219999999999</v>
      </c>
      <c r="S8798">
        <v>19.038499999999999</v>
      </c>
      <c r="T8798">
        <v>1063.6220000000001</v>
      </c>
      <c r="U8798">
        <v>341.25720000000001</v>
      </c>
      <c r="V8798">
        <v>2</v>
      </c>
      <c r="W8798">
        <v>130.25720000000001</v>
      </c>
      <c r="X8798">
        <v>792.97789999999998</v>
      </c>
      <c r="Y8798">
        <v>7</v>
      </c>
      <c r="Z8798">
        <v>67.693359999999998</v>
      </c>
      <c r="AA8798">
        <v>785.20780000000002</v>
      </c>
      <c r="AB8798">
        <v>8.2006599999999992</v>
      </c>
      <c r="AC8798">
        <v>5.4546129999999998E-2</v>
      </c>
      <c r="AD8798">
        <v>3.6133289999999998</v>
      </c>
      <c r="AE8798">
        <v>0.6561148</v>
      </c>
      <c r="AF8798">
        <v>1854.952</v>
      </c>
      <c r="AG8798">
        <f>IFERROR(AH8798*0.1, "N/A")</f>
        <v>6.5536630000000002</v>
      </c>
      <c r="AH8798">
        <v>65.536630000000002</v>
      </c>
      <c r="AI8798">
        <v>180.8629</v>
      </c>
      <c r="AJ8798">
        <v>48.463369999999998</v>
      </c>
      <c r="AK8798">
        <v>25</v>
      </c>
    </row>
    <row r="8799" spans="1:37" x14ac:dyDescent="0.3">
      <c r="A8799">
        <v>8798</v>
      </c>
      <c r="B8799">
        <v>6.7</v>
      </c>
      <c r="C8799">
        <v>37.888500000000001</v>
      </c>
      <c r="D8799">
        <v>12.112500000000001</v>
      </c>
      <c r="E8799" t="s">
        <v>13297</v>
      </c>
      <c r="F8799" t="s">
        <v>13298</v>
      </c>
      <c r="G8799" t="s">
        <v>37</v>
      </c>
      <c r="H8799">
        <v>2000</v>
      </c>
      <c r="I8799">
        <v>19.2</v>
      </c>
      <c r="J8799">
        <v>15.8</v>
      </c>
      <c r="K8799">
        <v>79</v>
      </c>
      <c r="L8799">
        <v>10.55</v>
      </c>
      <c r="M8799">
        <v>29.6</v>
      </c>
      <c r="N8799">
        <v>9.6999999999999993</v>
      </c>
      <c r="O8799">
        <v>19.899999999999999</v>
      </c>
      <c r="P8799">
        <v>18</v>
      </c>
      <c r="Q8799">
        <v>19.8</v>
      </c>
      <c r="R8799">
        <v>20.7</v>
      </c>
      <c r="S8799">
        <v>18</v>
      </c>
      <c r="T8799">
        <v>1010</v>
      </c>
      <c r="U8799">
        <v>333</v>
      </c>
      <c r="V8799">
        <v>2</v>
      </c>
      <c r="W8799">
        <v>132</v>
      </c>
      <c r="X8799">
        <v>760</v>
      </c>
      <c r="Y8799">
        <v>10</v>
      </c>
      <c r="Z8799">
        <v>60</v>
      </c>
      <c r="AA8799">
        <v>760</v>
      </c>
      <c r="AB8799">
        <v>26.088039999999999</v>
      </c>
      <c r="AC8799">
        <v>3.3487660000000002E-2</v>
      </c>
      <c r="AD8799">
        <v>5.3864169999999998</v>
      </c>
      <c r="AE8799">
        <v>0.66798840000000004</v>
      </c>
      <c r="AF8799">
        <v>2025.232</v>
      </c>
      <c r="AG8799">
        <f>IFERROR(AH8799*0.1, "N/A")</f>
        <v>5.8943690000000002</v>
      </c>
      <c r="AH8799">
        <v>58.943689999999997</v>
      </c>
      <c r="AI8799">
        <v>197.4247</v>
      </c>
      <c r="AJ8799">
        <v>53.018770000000004</v>
      </c>
      <c r="AK8799">
        <v>22.94369</v>
      </c>
    </row>
    <row r="8800" spans="1:37" x14ac:dyDescent="0.3">
      <c r="A8800">
        <v>8799</v>
      </c>
      <c r="B8800">
        <v>33.6</v>
      </c>
      <c r="C8800">
        <v>37.783299999999997</v>
      </c>
      <c r="D8800">
        <v>12.1167</v>
      </c>
      <c r="E8800" t="s">
        <v>13299</v>
      </c>
      <c r="F8800" t="s">
        <v>13300</v>
      </c>
      <c r="G8800" t="s">
        <v>37</v>
      </c>
      <c r="H8800">
        <v>1987</v>
      </c>
      <c r="I8800">
        <v>19.535540000000001</v>
      </c>
      <c r="J8800">
        <v>15.5</v>
      </c>
      <c r="K8800">
        <v>77.75</v>
      </c>
      <c r="L8800">
        <v>10.852869999999999</v>
      </c>
      <c r="M8800">
        <v>29.88044</v>
      </c>
      <c r="N8800">
        <v>10.055440000000001</v>
      </c>
      <c r="O8800">
        <v>19.824999999999999</v>
      </c>
      <c r="P8800">
        <v>18.54609</v>
      </c>
      <c r="Q8800">
        <v>20.155439999999999</v>
      </c>
      <c r="R8800">
        <v>21.090990000000001</v>
      </c>
      <c r="S8800">
        <v>18.246089999999999</v>
      </c>
      <c r="T8800">
        <v>1048.9929999999999</v>
      </c>
      <c r="U8800">
        <v>341.94560000000001</v>
      </c>
      <c r="V8800">
        <v>2</v>
      </c>
      <c r="W8800">
        <v>132</v>
      </c>
      <c r="X8800">
        <v>783.49659999999994</v>
      </c>
      <c r="Y8800">
        <v>8.75</v>
      </c>
      <c r="Z8800">
        <v>62.44558</v>
      </c>
      <c r="AA8800">
        <v>782.19219999999996</v>
      </c>
      <c r="AB8800">
        <v>101.16119999999999</v>
      </c>
      <c r="AC8800">
        <v>2.4002800000000001E-2</v>
      </c>
      <c r="AD8800">
        <v>11.99837</v>
      </c>
      <c r="AE8800">
        <v>0.58334330000000001</v>
      </c>
      <c r="AF8800">
        <v>2015.0029999999999</v>
      </c>
      <c r="AG8800">
        <f>IFERROR(AH8800*0.1, "N/A")</f>
        <v>6.1066330000000004</v>
      </c>
      <c r="AH8800">
        <v>61.066330000000001</v>
      </c>
      <c r="AI8800">
        <v>197.1396</v>
      </c>
      <c r="AJ8800">
        <v>50.289119999999997</v>
      </c>
      <c r="AK8800">
        <v>23.355440000000002</v>
      </c>
    </row>
    <row r="8801" spans="1:37" x14ac:dyDescent="0.3">
      <c r="A8801">
        <v>8800</v>
      </c>
      <c r="B8801">
        <v>51.3</v>
      </c>
      <c r="C8801">
        <v>37.778799999999997</v>
      </c>
      <c r="D8801">
        <v>12.1251</v>
      </c>
      <c r="E8801" t="s">
        <v>13301</v>
      </c>
      <c r="F8801" t="s">
        <v>13302</v>
      </c>
      <c r="G8801" t="s">
        <v>37</v>
      </c>
      <c r="H8801">
        <v>2000</v>
      </c>
      <c r="I8801">
        <v>19.808129999999998</v>
      </c>
      <c r="J8801">
        <v>15.5</v>
      </c>
      <c r="K8801">
        <v>77</v>
      </c>
      <c r="L8801">
        <v>11.01698</v>
      </c>
      <c r="M8801">
        <v>30.108139999999999</v>
      </c>
      <c r="N8801">
        <v>10.20814</v>
      </c>
      <c r="O8801">
        <v>19.899999999999999</v>
      </c>
      <c r="P8801">
        <v>18.899999999999999</v>
      </c>
      <c r="Q8801">
        <v>20.308129999999998</v>
      </c>
      <c r="R8801">
        <v>21.4</v>
      </c>
      <c r="S8801">
        <v>18.600000000000001</v>
      </c>
      <c r="T8801">
        <v>1038.0809999999999</v>
      </c>
      <c r="U8801">
        <v>338</v>
      </c>
      <c r="V8801">
        <v>2</v>
      </c>
      <c r="W8801">
        <v>132</v>
      </c>
      <c r="X8801">
        <v>777</v>
      </c>
      <c r="Y8801">
        <v>8</v>
      </c>
      <c r="Z8801">
        <v>63</v>
      </c>
      <c r="AA8801">
        <v>773.08140000000003</v>
      </c>
      <c r="AB8801">
        <v>1.2518819999999999</v>
      </c>
      <c r="AC8801">
        <v>33.61712</v>
      </c>
      <c r="AD8801">
        <v>2.9606590000000002</v>
      </c>
      <c r="AE8801">
        <v>0.66666820000000004</v>
      </c>
      <c r="AF8801">
        <v>1937.588</v>
      </c>
      <c r="AG8801">
        <f>IFERROR(AH8801*0.1, "N/A")</f>
        <v>6.2010170000000002</v>
      </c>
      <c r="AH8801">
        <v>62.010170000000002</v>
      </c>
      <c r="AI8801">
        <v>216.9982</v>
      </c>
      <c r="AJ8801">
        <v>49.061019999999999</v>
      </c>
      <c r="AK8801">
        <v>26.755929999999999</v>
      </c>
    </row>
    <row r="8802" spans="1:37" x14ac:dyDescent="0.3">
      <c r="A8802">
        <v>8801</v>
      </c>
      <c r="B8802">
        <v>16.7</v>
      </c>
      <c r="C8802">
        <v>37.734400000000001</v>
      </c>
      <c r="D8802">
        <v>12.133900000000001</v>
      </c>
      <c r="E8802" t="s">
        <v>13303</v>
      </c>
      <c r="F8802" t="s">
        <v>13304</v>
      </c>
      <c r="G8802" t="s">
        <v>37</v>
      </c>
      <c r="H8802">
        <v>2000</v>
      </c>
      <c r="I8802">
        <v>18.698979999999999</v>
      </c>
      <c r="J8802">
        <v>15.319800000000001</v>
      </c>
      <c r="K8802">
        <v>76.197950000000006</v>
      </c>
      <c r="L8802">
        <v>12.083069999999999</v>
      </c>
      <c r="M8802">
        <v>29.25563</v>
      </c>
      <c r="N8802">
        <v>9.2952220000000008</v>
      </c>
      <c r="O8802">
        <v>19.96041</v>
      </c>
      <c r="P8802">
        <v>17.695219999999999</v>
      </c>
      <c r="Q8802">
        <v>19.555630000000001</v>
      </c>
      <c r="R8802">
        <v>20.475429999999999</v>
      </c>
      <c r="S8802">
        <v>17.315020000000001</v>
      </c>
      <c r="T8802">
        <v>1114.71</v>
      </c>
      <c r="U8802">
        <v>352.2833</v>
      </c>
      <c r="V8802">
        <v>3</v>
      </c>
      <c r="W8802">
        <v>127.3584</v>
      </c>
      <c r="X8802">
        <v>816.45389999999998</v>
      </c>
      <c r="Y8802">
        <v>12.604100000000001</v>
      </c>
      <c r="Z8802">
        <v>79.331059999999994</v>
      </c>
      <c r="AA8802">
        <v>808.81230000000005</v>
      </c>
      <c r="AB8802">
        <v>51.725850000000001</v>
      </c>
      <c r="AC8802">
        <v>9.3592970000000008E-3</v>
      </c>
      <c r="AD8802">
        <v>10.54369</v>
      </c>
      <c r="AE8802">
        <v>0.62883160000000005</v>
      </c>
      <c r="AF8802">
        <v>2119.5729999999999</v>
      </c>
      <c r="AG8802">
        <f>IFERROR(AH8802*0.1, "N/A")</f>
        <v>6.0880550000000007</v>
      </c>
      <c r="AH8802">
        <v>60.880549999999999</v>
      </c>
      <c r="AI8802">
        <v>83.507540000000006</v>
      </c>
      <c r="AJ8802">
        <v>49.238909999999997</v>
      </c>
      <c r="AK8802">
        <v>24.03754</v>
      </c>
    </row>
    <row r="8803" spans="1:37" x14ac:dyDescent="0.3">
      <c r="A8803">
        <v>8802</v>
      </c>
      <c r="B8803">
        <v>14.3</v>
      </c>
      <c r="C8803">
        <v>42.150599999999997</v>
      </c>
      <c r="D8803">
        <v>12.137</v>
      </c>
      <c r="E8803" t="s">
        <v>13305</v>
      </c>
      <c r="F8803" t="s">
        <v>13306</v>
      </c>
      <c r="G8803" t="s">
        <v>39</v>
      </c>
      <c r="H8803">
        <v>1995</v>
      </c>
      <c r="I8803">
        <v>28.798300000000001</v>
      </c>
      <c r="J8803">
        <v>9.5016949999999998</v>
      </c>
      <c r="K8803">
        <v>48</v>
      </c>
      <c r="L8803">
        <v>34.967970000000001</v>
      </c>
      <c r="M8803">
        <v>39.098300000000002</v>
      </c>
      <c r="N8803">
        <v>19.596609999999998</v>
      </c>
      <c r="O8803">
        <v>19.50169</v>
      </c>
      <c r="P8803">
        <v>32.69661</v>
      </c>
      <c r="Q8803">
        <v>30.99831</v>
      </c>
      <c r="R8803">
        <v>33.296610000000001</v>
      </c>
      <c r="S8803">
        <v>24.398299999999999</v>
      </c>
      <c r="T8803">
        <v>151.06780000000001</v>
      </c>
      <c r="U8803">
        <v>33</v>
      </c>
      <c r="V8803">
        <v>4</v>
      </c>
      <c r="W8803">
        <v>62</v>
      </c>
      <c r="X8803">
        <v>75.016949999999994</v>
      </c>
      <c r="Y8803">
        <v>23.016950000000001</v>
      </c>
      <c r="Z8803">
        <v>61</v>
      </c>
      <c r="AA8803">
        <v>23.033899999999999</v>
      </c>
      <c r="AB8803">
        <v>30.222380000000001</v>
      </c>
      <c r="AC8803">
        <v>8.5290939999999996E-2</v>
      </c>
      <c r="AD8803">
        <v>3.3747509999999998</v>
      </c>
      <c r="AE8803">
        <v>0.1517741</v>
      </c>
      <c r="AF8803">
        <v>353.02710000000002</v>
      </c>
      <c r="AG8803">
        <f>IFERROR(AH8803*0.1, "N/A")</f>
        <v>8.0983050000000016</v>
      </c>
      <c r="AH8803">
        <v>80.983050000000006</v>
      </c>
      <c r="AI8803">
        <v>113.86499999999999</v>
      </c>
      <c r="AJ8803">
        <v>21.010169999999999</v>
      </c>
      <c r="AK8803">
        <v>64.013559999999998</v>
      </c>
    </row>
    <row r="8804" spans="1:37" x14ac:dyDescent="0.3">
      <c r="A8804">
        <v>8803</v>
      </c>
      <c r="B8804">
        <v>3.9</v>
      </c>
      <c r="C8804">
        <v>39.633299999999998</v>
      </c>
      <c r="D8804">
        <v>12.15</v>
      </c>
      <c r="E8804" t="s">
        <v>13307</v>
      </c>
      <c r="F8804" t="s">
        <v>13308</v>
      </c>
      <c r="G8804" t="s">
        <v>37</v>
      </c>
      <c r="H8804">
        <v>1994</v>
      </c>
      <c r="I8804">
        <v>22.020820000000001</v>
      </c>
      <c r="J8804">
        <v>15.87918</v>
      </c>
      <c r="K8804">
        <v>70</v>
      </c>
      <c r="L8804">
        <v>16.542629999999999</v>
      </c>
      <c r="M8804">
        <v>34.341639999999998</v>
      </c>
      <c r="N8804">
        <v>11.920820000000001</v>
      </c>
      <c r="O8804">
        <v>22.420819999999999</v>
      </c>
      <c r="P8804">
        <v>23.025600000000001</v>
      </c>
      <c r="Q8804">
        <v>20.72082</v>
      </c>
      <c r="R8804">
        <v>24.2</v>
      </c>
      <c r="S8804">
        <v>19.925599999999999</v>
      </c>
      <c r="T8804">
        <v>813.03070000000002</v>
      </c>
      <c r="U8804">
        <v>185.79179999999999</v>
      </c>
      <c r="V8804">
        <v>15</v>
      </c>
      <c r="W8804">
        <v>84</v>
      </c>
      <c r="X8804">
        <v>395.37540000000001</v>
      </c>
      <c r="Y8804">
        <v>69.952219999999997</v>
      </c>
      <c r="Z8804">
        <v>224.37540000000001</v>
      </c>
      <c r="AA8804">
        <v>92.829350000000005</v>
      </c>
      <c r="AB8804">
        <v>21.398009999999999</v>
      </c>
      <c r="AC8804">
        <v>2.9445720000000002E-2</v>
      </c>
      <c r="AD8804">
        <v>1.3140309999999999</v>
      </c>
      <c r="AE8804">
        <v>0.5422032</v>
      </c>
      <c r="AF8804">
        <v>1498.9849999999999</v>
      </c>
      <c r="AG8804">
        <f>IFERROR(AH8804*0.1, "N/A")</f>
        <v>7.5208190000000004</v>
      </c>
      <c r="AH8804">
        <v>75.208190000000002</v>
      </c>
      <c r="AI8804">
        <v>86.314350000000005</v>
      </c>
      <c r="AJ8804">
        <v>31.791810000000002</v>
      </c>
      <c r="AK8804">
        <v>32.208190000000002</v>
      </c>
    </row>
    <row r="8805" spans="1:37" x14ac:dyDescent="0.3">
      <c r="A8805">
        <v>8804</v>
      </c>
      <c r="B8805">
        <v>1.2</v>
      </c>
      <c r="C8805">
        <v>40</v>
      </c>
      <c r="D8805">
        <v>12.166700000000001</v>
      </c>
      <c r="E8805" t="s">
        <v>13309</v>
      </c>
      <c r="F8805" t="s">
        <v>13310</v>
      </c>
      <c r="G8805" t="s">
        <v>37</v>
      </c>
      <c r="H8805">
        <v>1987</v>
      </c>
      <c r="I8805">
        <v>25.7</v>
      </c>
      <c r="J8805">
        <v>14.8</v>
      </c>
      <c r="K8805">
        <v>67</v>
      </c>
      <c r="L8805">
        <v>18.866759999999999</v>
      </c>
      <c r="M8805">
        <v>37.564329999999998</v>
      </c>
      <c r="N8805">
        <v>15.56433</v>
      </c>
      <c r="O8805">
        <v>22</v>
      </c>
      <c r="P8805">
        <v>26.8</v>
      </c>
      <c r="Q8805">
        <v>24.260750000000002</v>
      </c>
      <c r="R8805">
        <v>28.044879999999999</v>
      </c>
      <c r="S8805">
        <v>23.144880000000001</v>
      </c>
      <c r="T8805">
        <v>510.52390000000003</v>
      </c>
      <c r="U8805">
        <v>122.8413</v>
      </c>
      <c r="V8805">
        <v>12</v>
      </c>
      <c r="W8805">
        <v>83.841300000000004</v>
      </c>
      <c r="X8805">
        <v>255.68260000000001</v>
      </c>
      <c r="Y8805">
        <v>45</v>
      </c>
      <c r="Z8805">
        <v>141.68260000000001</v>
      </c>
      <c r="AA8805">
        <v>64</v>
      </c>
      <c r="AB8805">
        <v>5.1008649999999998</v>
      </c>
      <c r="AC8805">
        <v>1.908727E-2</v>
      </c>
      <c r="AD8805">
        <v>1.9061250000000001</v>
      </c>
      <c r="AE8805">
        <v>0.31564239999999999</v>
      </c>
      <c r="AF8805">
        <v>833.06830000000002</v>
      </c>
      <c r="AG8805">
        <f>IFERROR(AH8805*0.1, "N/A")</f>
        <v>8.5</v>
      </c>
      <c r="AH8805">
        <v>85</v>
      </c>
      <c r="AI8805">
        <v>122.31010000000001</v>
      </c>
      <c r="AJ8805">
        <v>33</v>
      </c>
      <c r="AK8805">
        <v>37</v>
      </c>
    </row>
    <row r="8806" spans="1:37" x14ac:dyDescent="0.3">
      <c r="A8806">
        <v>8805</v>
      </c>
      <c r="B8806">
        <v>7.1</v>
      </c>
      <c r="C8806">
        <v>37.048699999999997</v>
      </c>
      <c r="D8806">
        <v>12.1934</v>
      </c>
      <c r="E8806" t="s">
        <v>13311</v>
      </c>
      <c r="F8806" t="s">
        <v>13312</v>
      </c>
      <c r="G8806" t="s">
        <v>37</v>
      </c>
      <c r="H8806">
        <v>1974</v>
      </c>
      <c r="I8806">
        <v>20.5</v>
      </c>
      <c r="J8806">
        <v>14.1</v>
      </c>
      <c r="K8806">
        <v>75</v>
      </c>
      <c r="L8806">
        <v>11.77</v>
      </c>
      <c r="M8806">
        <v>30.2</v>
      </c>
      <c r="N8806">
        <v>11.6</v>
      </c>
      <c r="O8806">
        <v>18.600000000000001</v>
      </c>
      <c r="P8806">
        <v>19.2</v>
      </c>
      <c r="Q8806">
        <v>20.3</v>
      </c>
      <c r="R8806">
        <v>22.1</v>
      </c>
      <c r="S8806">
        <v>19.2</v>
      </c>
      <c r="T8806">
        <v>1200</v>
      </c>
      <c r="U8806">
        <v>337</v>
      </c>
      <c r="V8806">
        <v>2</v>
      </c>
      <c r="W8806">
        <v>118</v>
      </c>
      <c r="X8806">
        <v>862</v>
      </c>
      <c r="Y8806">
        <v>9</v>
      </c>
      <c r="Z8806">
        <v>100</v>
      </c>
      <c r="AA8806">
        <v>862</v>
      </c>
      <c r="AB8806">
        <v>17.30237</v>
      </c>
      <c r="AC8806">
        <v>9.2116950000000006E-3</v>
      </c>
      <c r="AD8806">
        <v>1.3256079999999999</v>
      </c>
      <c r="AE8806">
        <v>0.42967689999999997</v>
      </c>
      <c r="AF8806">
        <v>1803.241</v>
      </c>
      <c r="AG8806">
        <f>IFERROR(AH8806*0.1, "N/A")</f>
        <v>6.6000000000000005</v>
      </c>
      <c r="AH8806">
        <v>66</v>
      </c>
      <c r="AI8806">
        <v>104.3096</v>
      </c>
      <c r="AJ8806">
        <v>50.178570000000001</v>
      </c>
      <c r="AK8806">
        <v>22.88946</v>
      </c>
    </row>
    <row r="8807" spans="1:37" x14ac:dyDescent="0.3">
      <c r="A8807">
        <v>8806</v>
      </c>
      <c r="B8807">
        <v>27.7</v>
      </c>
      <c r="C8807">
        <v>39.7667</v>
      </c>
      <c r="D8807">
        <v>12.2</v>
      </c>
      <c r="E8807" t="s">
        <v>13313</v>
      </c>
      <c r="F8807" t="s">
        <v>13314</v>
      </c>
      <c r="G8807" t="s">
        <v>37</v>
      </c>
      <c r="H8807">
        <v>1987</v>
      </c>
      <c r="I8807">
        <v>21.33689</v>
      </c>
      <c r="J8807">
        <v>15.770390000000001</v>
      </c>
      <c r="K8807">
        <v>69.703890000000001</v>
      </c>
      <c r="L8807">
        <v>17.27871</v>
      </c>
      <c r="M8807">
        <v>33.772759999999998</v>
      </c>
      <c r="N8807">
        <v>11.294750000000001</v>
      </c>
      <c r="O8807">
        <v>22.478000000000002</v>
      </c>
      <c r="P8807">
        <v>22.607279999999999</v>
      </c>
      <c r="Q8807">
        <v>19.99475</v>
      </c>
      <c r="R8807">
        <v>23.614889999999999</v>
      </c>
      <c r="S8807">
        <v>19.136890000000001</v>
      </c>
      <c r="T8807">
        <v>842.46699999999998</v>
      </c>
      <c r="U8807">
        <v>184.97630000000001</v>
      </c>
      <c r="V8807">
        <v>12</v>
      </c>
      <c r="W8807">
        <v>82</v>
      </c>
      <c r="X8807">
        <v>392.7817</v>
      </c>
      <c r="Y8807">
        <v>73.155670000000001</v>
      </c>
      <c r="Z8807">
        <v>220.72929999999999</v>
      </c>
      <c r="AA8807">
        <v>104.1421</v>
      </c>
      <c r="AB8807">
        <v>87.799499999999995</v>
      </c>
      <c r="AC8807">
        <v>2.839939E-2</v>
      </c>
      <c r="AD8807">
        <v>19.57291</v>
      </c>
      <c r="AE8807">
        <v>0.34648430000000002</v>
      </c>
      <c r="AF8807">
        <v>1719.4349999999999</v>
      </c>
      <c r="AG8807">
        <f>IFERROR(AH8807*0.1, "N/A")</f>
        <v>6.6000000000000005</v>
      </c>
      <c r="AH8807">
        <v>66</v>
      </c>
      <c r="AI8807">
        <v>45.594239999999999</v>
      </c>
      <c r="AJ8807">
        <v>36</v>
      </c>
      <c r="AK8807">
        <v>37.578679999999999</v>
      </c>
    </row>
    <row r="8808" spans="1:37" x14ac:dyDescent="0.3">
      <c r="A8808">
        <v>8807</v>
      </c>
      <c r="B8808">
        <v>9.1</v>
      </c>
      <c r="C8808">
        <v>37.215400000000002</v>
      </c>
      <c r="D8808">
        <v>12.2216</v>
      </c>
      <c r="E8808" t="s">
        <v>13315</v>
      </c>
      <c r="F8808" t="s">
        <v>13316</v>
      </c>
      <c r="G8808" t="s">
        <v>37</v>
      </c>
      <c r="H8808">
        <v>1974</v>
      </c>
      <c r="I8808">
        <v>20.8</v>
      </c>
      <c r="J8808">
        <v>14.2</v>
      </c>
      <c r="K8808">
        <v>77</v>
      </c>
      <c r="L8808">
        <v>11.95</v>
      </c>
      <c r="M8808">
        <v>30.3</v>
      </c>
      <c r="N8808">
        <v>12</v>
      </c>
      <c r="O8808">
        <v>18.3</v>
      </c>
      <c r="P8808">
        <v>19.399999999999999</v>
      </c>
      <c r="Q8808">
        <v>20.7</v>
      </c>
      <c r="R8808">
        <v>22.3</v>
      </c>
      <c r="S8808">
        <v>19.399999999999999</v>
      </c>
      <c r="T8808">
        <v>1134</v>
      </c>
      <c r="U8808">
        <v>325</v>
      </c>
      <c r="V8808">
        <v>2</v>
      </c>
      <c r="W8808">
        <v>120</v>
      </c>
      <c r="X8808">
        <v>826</v>
      </c>
      <c r="Y8808">
        <v>9</v>
      </c>
      <c r="Z8808">
        <v>97</v>
      </c>
      <c r="AA8808">
        <v>826</v>
      </c>
      <c r="AB8808">
        <v>16.747140000000002</v>
      </c>
      <c r="AC8808">
        <v>2.2785150000000001E-2</v>
      </c>
      <c r="AD8808">
        <v>6.5446359999999997</v>
      </c>
      <c r="AE8808">
        <v>0.52492000000000005</v>
      </c>
      <c r="AF8808">
        <v>1831.194</v>
      </c>
      <c r="AG8808">
        <f>IFERROR(AH8808*0.1, "N/A")</f>
        <v>6.4</v>
      </c>
      <c r="AH8808">
        <v>64</v>
      </c>
      <c r="AI8808">
        <v>185.874</v>
      </c>
      <c r="AJ8808">
        <v>46</v>
      </c>
      <c r="AK8808">
        <v>28</v>
      </c>
    </row>
    <row r="8809" spans="1:37" x14ac:dyDescent="0.3">
      <c r="A8809">
        <v>8808</v>
      </c>
      <c r="B8809">
        <v>22.8</v>
      </c>
      <c r="C8809">
        <v>37.296500000000002</v>
      </c>
      <c r="D8809">
        <v>12.2379</v>
      </c>
      <c r="E8809" t="s">
        <v>13317</v>
      </c>
      <c r="F8809" t="s">
        <v>13318</v>
      </c>
      <c r="G8809" t="s">
        <v>37</v>
      </c>
      <c r="H8809">
        <v>1987</v>
      </c>
      <c r="I8809">
        <v>21.4</v>
      </c>
      <c r="J8809">
        <v>14.4</v>
      </c>
      <c r="K8809">
        <v>79</v>
      </c>
      <c r="L8809">
        <v>11.69</v>
      </c>
      <c r="M8809">
        <v>30.7</v>
      </c>
      <c r="N8809">
        <v>12.6</v>
      </c>
      <c r="O8809">
        <v>18.100000000000001</v>
      </c>
      <c r="P8809">
        <v>19.899999999999999</v>
      </c>
      <c r="Q8809">
        <v>21.4</v>
      </c>
      <c r="R8809">
        <v>22.8</v>
      </c>
      <c r="S8809">
        <v>19.899999999999999</v>
      </c>
      <c r="T8809">
        <v>1100</v>
      </c>
      <c r="U8809">
        <v>318</v>
      </c>
      <c r="V8809">
        <v>2</v>
      </c>
      <c r="W8809">
        <v>122</v>
      </c>
      <c r="X8809">
        <v>809</v>
      </c>
      <c r="Y8809">
        <v>9</v>
      </c>
      <c r="Z8809">
        <v>93</v>
      </c>
      <c r="AA8809">
        <v>809</v>
      </c>
      <c r="AB8809">
        <v>25.002569999999999</v>
      </c>
      <c r="AC8809">
        <v>0.12271360000000001</v>
      </c>
      <c r="AD8809">
        <v>4.2787610000000003</v>
      </c>
      <c r="AE8809">
        <v>0.62194090000000002</v>
      </c>
      <c r="AF8809">
        <v>1814.383</v>
      </c>
      <c r="AG8809">
        <f>IFERROR(AH8809*0.1, "N/A")</f>
        <v>6.2945489999999999</v>
      </c>
      <c r="AH8809">
        <v>62.945489999999999</v>
      </c>
      <c r="AI8809">
        <v>254.2407</v>
      </c>
      <c r="AJ8809">
        <v>43</v>
      </c>
      <c r="AK8809">
        <v>30.918230000000001</v>
      </c>
    </row>
    <row r="8810" spans="1:37" x14ac:dyDescent="0.3">
      <c r="A8810">
        <v>8809</v>
      </c>
      <c r="B8810">
        <v>31.6</v>
      </c>
      <c r="C8810">
        <v>37.296500000000002</v>
      </c>
      <c r="D8810">
        <v>12.2379</v>
      </c>
      <c r="E8810" t="s">
        <v>13317</v>
      </c>
      <c r="F8810" t="s">
        <v>13319</v>
      </c>
      <c r="G8810" t="s">
        <v>39</v>
      </c>
      <c r="H8810">
        <v>1989</v>
      </c>
      <c r="I8810">
        <v>21.4</v>
      </c>
      <c r="J8810">
        <v>14.4</v>
      </c>
      <c r="K8810">
        <v>79</v>
      </c>
      <c r="L8810">
        <v>11.69</v>
      </c>
      <c r="M8810">
        <v>30.7</v>
      </c>
      <c r="N8810">
        <v>12.6</v>
      </c>
      <c r="O8810">
        <v>18.100000000000001</v>
      </c>
      <c r="P8810">
        <v>19.899999999999999</v>
      </c>
      <c r="Q8810">
        <v>21.4</v>
      </c>
      <c r="R8810">
        <v>22.8</v>
      </c>
      <c r="S8810">
        <v>19.899999999999999</v>
      </c>
      <c r="T8810">
        <v>1100</v>
      </c>
      <c r="U8810">
        <v>318</v>
      </c>
      <c r="V8810">
        <v>2</v>
      </c>
      <c r="W8810">
        <v>122</v>
      </c>
      <c r="X8810">
        <v>809</v>
      </c>
      <c r="Y8810">
        <v>9</v>
      </c>
      <c r="Z8810">
        <v>93</v>
      </c>
      <c r="AA8810">
        <v>809</v>
      </c>
      <c r="AB8810">
        <v>25.002569999999999</v>
      </c>
      <c r="AC8810">
        <v>0.12271360000000001</v>
      </c>
      <c r="AD8810">
        <v>4.2787610000000003</v>
      </c>
      <c r="AE8810">
        <v>0.62194090000000002</v>
      </c>
      <c r="AF8810">
        <v>1814.383</v>
      </c>
      <c r="AG8810">
        <f>IFERROR(AH8810*0.1, "N/A")</f>
        <v>6.2945489999999999</v>
      </c>
      <c r="AH8810">
        <v>62.945489999999999</v>
      </c>
      <c r="AI8810">
        <v>254.2407</v>
      </c>
      <c r="AJ8810">
        <v>43</v>
      </c>
      <c r="AK8810">
        <v>30.918230000000001</v>
      </c>
    </row>
    <row r="8811" spans="1:37" x14ac:dyDescent="0.3">
      <c r="A8811">
        <v>8810</v>
      </c>
      <c r="B8811">
        <v>77.2</v>
      </c>
      <c r="C8811">
        <v>37.300800000000002</v>
      </c>
      <c r="D8811">
        <v>12.2403</v>
      </c>
      <c r="E8811" t="s">
        <v>13320</v>
      </c>
      <c r="F8811" t="s">
        <v>13321</v>
      </c>
      <c r="G8811" t="s">
        <v>37</v>
      </c>
      <c r="H8811">
        <v>1974</v>
      </c>
      <c r="I8811">
        <v>21.4</v>
      </c>
      <c r="J8811">
        <v>14.4</v>
      </c>
      <c r="K8811">
        <v>79</v>
      </c>
      <c r="L8811">
        <v>11.74</v>
      </c>
      <c r="M8811">
        <v>30.7</v>
      </c>
      <c r="N8811">
        <v>12.6</v>
      </c>
      <c r="O8811">
        <v>18.100000000000001</v>
      </c>
      <c r="P8811">
        <v>20</v>
      </c>
      <c r="Q8811">
        <v>21.4</v>
      </c>
      <c r="R8811">
        <v>22.9</v>
      </c>
      <c r="S8811">
        <v>20</v>
      </c>
      <c r="T8811">
        <v>1099</v>
      </c>
      <c r="U8811">
        <v>318</v>
      </c>
      <c r="V8811">
        <v>2</v>
      </c>
      <c r="W8811">
        <v>122</v>
      </c>
      <c r="X8811">
        <v>808</v>
      </c>
      <c r="Y8811">
        <v>9</v>
      </c>
      <c r="Z8811">
        <v>93</v>
      </c>
      <c r="AA8811">
        <v>808</v>
      </c>
      <c r="AB8811">
        <v>13.18749</v>
      </c>
      <c r="AC8811">
        <v>2.0114239999999999E-2</v>
      </c>
      <c r="AD8811">
        <v>4.316465</v>
      </c>
      <c r="AE8811">
        <v>0.54302669999999997</v>
      </c>
      <c r="AF8811">
        <v>1796.425</v>
      </c>
      <c r="AG8811">
        <f>IFERROR(AH8811*0.1, "N/A")</f>
        <v>5.8000000000000007</v>
      </c>
      <c r="AH8811">
        <v>58</v>
      </c>
      <c r="AI8811">
        <v>107.55410000000001</v>
      </c>
      <c r="AJ8811">
        <v>42</v>
      </c>
      <c r="AK8811">
        <v>32</v>
      </c>
    </row>
    <row r="8812" spans="1:37" x14ac:dyDescent="0.3">
      <c r="A8812">
        <v>8811</v>
      </c>
      <c r="B8812">
        <v>62.9</v>
      </c>
      <c r="C8812">
        <v>37.6297</v>
      </c>
      <c r="D8812">
        <v>12.257199999999999</v>
      </c>
      <c r="E8812" t="s">
        <v>13322</v>
      </c>
      <c r="F8812" t="s">
        <v>13323</v>
      </c>
      <c r="G8812" t="s">
        <v>37</v>
      </c>
      <c r="H8812">
        <v>1974</v>
      </c>
      <c r="I8812">
        <v>20.2</v>
      </c>
      <c r="J8812">
        <v>14.9</v>
      </c>
      <c r="K8812">
        <v>77</v>
      </c>
      <c r="L8812">
        <v>12.04</v>
      </c>
      <c r="M8812">
        <v>30.2</v>
      </c>
      <c r="N8812">
        <v>10.9</v>
      </c>
      <c r="O8812">
        <v>19.3</v>
      </c>
      <c r="P8812">
        <v>19</v>
      </c>
      <c r="Q8812">
        <v>20.7</v>
      </c>
      <c r="R8812">
        <v>21.9</v>
      </c>
      <c r="S8812">
        <v>18.8</v>
      </c>
      <c r="T8812">
        <v>1055</v>
      </c>
      <c r="U8812">
        <v>327</v>
      </c>
      <c r="V8812">
        <v>3</v>
      </c>
      <c r="W8812">
        <v>126</v>
      </c>
      <c r="X8812">
        <v>778</v>
      </c>
      <c r="Y8812">
        <v>10</v>
      </c>
      <c r="Z8812">
        <v>83</v>
      </c>
      <c r="AA8812">
        <v>752</v>
      </c>
      <c r="AB8812">
        <v>39.418799999999997</v>
      </c>
      <c r="AC8812">
        <v>9.2522460000000001E-2</v>
      </c>
      <c r="AD8812">
        <v>4.0525969999999996</v>
      </c>
      <c r="AE8812">
        <v>0.65606869999999995</v>
      </c>
      <c r="AF8812">
        <v>1931.9860000000001</v>
      </c>
      <c r="AG8812">
        <f>IFERROR(AH8812*0.1, "N/A")</f>
        <v>6.3672910000000007</v>
      </c>
      <c r="AH8812">
        <v>63.672910000000002</v>
      </c>
      <c r="AI8812">
        <v>144.7937</v>
      </c>
      <c r="AJ8812">
        <v>49</v>
      </c>
      <c r="AK8812">
        <v>26.1431</v>
      </c>
    </row>
    <row r="8813" spans="1:37" x14ac:dyDescent="0.3">
      <c r="A8813">
        <v>8812</v>
      </c>
      <c r="B8813">
        <v>80</v>
      </c>
      <c r="C8813">
        <v>37.238</v>
      </c>
      <c r="D8813">
        <v>12.2674</v>
      </c>
      <c r="E8813" t="s">
        <v>13324</v>
      </c>
      <c r="F8813" t="s">
        <v>13325</v>
      </c>
      <c r="G8813" t="s">
        <v>37</v>
      </c>
      <c r="H8813">
        <v>1974</v>
      </c>
      <c r="I8813">
        <v>20.9</v>
      </c>
      <c r="J8813">
        <v>14.1</v>
      </c>
      <c r="K8813">
        <v>78</v>
      </c>
      <c r="L8813">
        <v>12.03</v>
      </c>
      <c r="M8813">
        <v>30.3</v>
      </c>
      <c r="N8813">
        <v>12.3</v>
      </c>
      <c r="O8813">
        <v>18</v>
      </c>
      <c r="P8813">
        <v>19.399999999999999</v>
      </c>
      <c r="Q8813">
        <v>21</v>
      </c>
      <c r="R8813">
        <v>22.4</v>
      </c>
      <c r="S8813">
        <v>19.399999999999999</v>
      </c>
      <c r="T8813">
        <v>1103</v>
      </c>
      <c r="U8813">
        <v>315</v>
      </c>
      <c r="V8813">
        <v>2</v>
      </c>
      <c r="W8813">
        <v>120</v>
      </c>
      <c r="X8813">
        <v>804</v>
      </c>
      <c r="Y8813">
        <v>9</v>
      </c>
      <c r="Z8813">
        <v>99</v>
      </c>
      <c r="AA8813">
        <v>804</v>
      </c>
      <c r="AB8813">
        <v>21.997669999999999</v>
      </c>
      <c r="AC8813">
        <v>8.3849040000000003E-3</v>
      </c>
      <c r="AD8813">
        <v>3.0446309999999999</v>
      </c>
      <c r="AE8813">
        <v>0.69324699999999995</v>
      </c>
      <c r="AF8813">
        <v>1864.34</v>
      </c>
      <c r="AG8813">
        <f>IFERROR(AH8813*0.1, "N/A")</f>
        <v>6.4625850000000007</v>
      </c>
      <c r="AH8813">
        <v>64.62585</v>
      </c>
      <c r="AI8813">
        <v>134.79939999999999</v>
      </c>
      <c r="AJ8813">
        <v>52</v>
      </c>
      <c r="AK8813">
        <v>22.2517</v>
      </c>
    </row>
    <row r="8814" spans="1:37" x14ac:dyDescent="0.3">
      <c r="A8814">
        <v>8813</v>
      </c>
      <c r="B8814">
        <v>17.600000000000001</v>
      </c>
      <c r="C8814">
        <v>37.103400000000001</v>
      </c>
      <c r="D8814">
        <v>12.273400000000001</v>
      </c>
      <c r="E8814" t="s">
        <v>13326</v>
      </c>
      <c r="F8814" t="s">
        <v>13327</v>
      </c>
      <c r="G8814" t="s">
        <v>37</v>
      </c>
      <c r="H8814">
        <v>1974</v>
      </c>
      <c r="I8814">
        <v>20.5</v>
      </c>
      <c r="J8814">
        <v>13.9</v>
      </c>
      <c r="K8814">
        <v>75</v>
      </c>
      <c r="L8814">
        <v>11.97</v>
      </c>
      <c r="M8814">
        <v>30.1</v>
      </c>
      <c r="N8814">
        <v>11.8</v>
      </c>
      <c r="O8814">
        <v>18.3</v>
      </c>
      <c r="P8814">
        <v>19.100000000000001</v>
      </c>
      <c r="Q8814">
        <v>20.399999999999999</v>
      </c>
      <c r="R8814">
        <v>22.1</v>
      </c>
      <c r="S8814">
        <v>19</v>
      </c>
      <c r="T8814">
        <v>1161</v>
      </c>
      <c r="U8814">
        <v>326</v>
      </c>
      <c r="V8814">
        <v>2</v>
      </c>
      <c r="W8814">
        <v>119</v>
      </c>
      <c r="X8814">
        <v>835</v>
      </c>
      <c r="Y8814">
        <v>10</v>
      </c>
      <c r="Z8814">
        <v>103</v>
      </c>
      <c r="AA8814">
        <v>777</v>
      </c>
      <c r="AB8814">
        <v>42.82873</v>
      </c>
      <c r="AC8814">
        <v>8.7276720000000006E-3</v>
      </c>
      <c r="AD8814">
        <v>0.90484679999999995</v>
      </c>
      <c r="AE8814">
        <v>0.53969080000000003</v>
      </c>
      <c r="AF8814">
        <v>1853.0719999999999</v>
      </c>
      <c r="AG8814">
        <f>IFERROR(AH8814*0.1, "N/A")</f>
        <v>6.5900850000000011</v>
      </c>
      <c r="AH8814">
        <v>65.900850000000005</v>
      </c>
      <c r="AI8814">
        <v>153.7576</v>
      </c>
      <c r="AJ8814">
        <v>50.049570000000003</v>
      </c>
      <c r="AK8814">
        <v>23.049569999999999</v>
      </c>
    </row>
    <row r="8815" spans="1:37" x14ac:dyDescent="0.3">
      <c r="A8815">
        <v>8814</v>
      </c>
      <c r="B8815">
        <v>27.2</v>
      </c>
      <c r="C8815">
        <v>39.602200000000003</v>
      </c>
      <c r="D8815">
        <v>12.285</v>
      </c>
      <c r="E8815" t="s">
        <v>13328</v>
      </c>
      <c r="F8815" t="s">
        <v>13329</v>
      </c>
      <c r="G8815" t="s">
        <v>37</v>
      </c>
      <c r="H8815">
        <v>2009</v>
      </c>
      <c r="I8815">
        <v>22.6</v>
      </c>
      <c r="J8815">
        <v>16</v>
      </c>
      <c r="K8815">
        <v>70</v>
      </c>
      <c r="L8815">
        <v>17.309999999999999</v>
      </c>
      <c r="M8815">
        <v>35.1</v>
      </c>
      <c r="N8815">
        <v>12.3</v>
      </c>
      <c r="O8815">
        <v>22.8</v>
      </c>
      <c r="P8815">
        <v>23.5</v>
      </c>
      <c r="Q8815">
        <v>21.2</v>
      </c>
      <c r="R8815">
        <v>24.9</v>
      </c>
      <c r="S8815">
        <v>20.3</v>
      </c>
      <c r="T8815">
        <v>782</v>
      </c>
      <c r="U8815">
        <v>179</v>
      </c>
      <c r="V8815">
        <v>14</v>
      </c>
      <c r="W8815">
        <v>86</v>
      </c>
      <c r="X8815">
        <v>377</v>
      </c>
      <c r="Y8815">
        <v>66</v>
      </c>
      <c r="Z8815">
        <v>211</v>
      </c>
      <c r="AA8815">
        <v>93</v>
      </c>
      <c r="AB8815">
        <v>18.862069999999999</v>
      </c>
      <c r="AC8815">
        <v>2.4261919999999999E-2</v>
      </c>
      <c r="AD8815">
        <v>0.91077680000000005</v>
      </c>
      <c r="AE8815">
        <v>0.39538420000000002</v>
      </c>
      <c r="AF8815">
        <v>1465.308</v>
      </c>
      <c r="AG8815">
        <f>IFERROR(AH8815*0.1, "N/A")</f>
        <v>7.5977999999999994</v>
      </c>
      <c r="AH8815">
        <v>75.977999999999994</v>
      </c>
      <c r="AI8815">
        <v>35.840130000000002</v>
      </c>
      <c r="AJ8815">
        <v>38.081220000000002</v>
      </c>
      <c r="AK8815">
        <v>32.059220000000003</v>
      </c>
    </row>
    <row r="8816" spans="1:37" x14ac:dyDescent="0.3">
      <c r="A8816">
        <v>8815</v>
      </c>
      <c r="B8816">
        <v>8</v>
      </c>
      <c r="C8816">
        <v>37.366700000000002</v>
      </c>
      <c r="D8816">
        <v>12.3</v>
      </c>
      <c r="E8816" t="s">
        <v>13330</v>
      </c>
      <c r="F8816" t="s">
        <v>13331</v>
      </c>
      <c r="G8816" t="s">
        <v>37</v>
      </c>
      <c r="H8816">
        <v>1974</v>
      </c>
      <c r="I8816">
        <v>21.3</v>
      </c>
      <c r="J8816">
        <v>14.42658</v>
      </c>
      <c r="K8816">
        <v>78</v>
      </c>
      <c r="L8816">
        <v>11.897790000000001</v>
      </c>
      <c r="M8816">
        <v>30.8</v>
      </c>
      <c r="N8816">
        <v>12.473420000000001</v>
      </c>
      <c r="O8816">
        <v>18.32658</v>
      </c>
      <c r="P8816">
        <v>19.899999999999999</v>
      </c>
      <c r="Q8816">
        <v>21.3</v>
      </c>
      <c r="R8816">
        <v>22.87632</v>
      </c>
      <c r="S8816">
        <v>19.899999999999999</v>
      </c>
      <c r="T8816">
        <v>1065.9490000000001</v>
      </c>
      <c r="U8816">
        <v>311.23680000000002</v>
      </c>
      <c r="V8816">
        <v>1</v>
      </c>
      <c r="W8816">
        <v>121.7342</v>
      </c>
      <c r="X8816">
        <v>782.68309999999997</v>
      </c>
      <c r="Y8816">
        <v>7</v>
      </c>
      <c r="Z8816">
        <v>96</v>
      </c>
      <c r="AA8816">
        <v>782.68309999999997</v>
      </c>
      <c r="AB8816">
        <v>1.918229</v>
      </c>
      <c r="AC8816">
        <v>2.7016370000000001E-2</v>
      </c>
      <c r="AD8816">
        <v>0.56961229999999996</v>
      </c>
      <c r="AE8816">
        <v>0.72287610000000002</v>
      </c>
      <c r="AF8816">
        <v>1788.806</v>
      </c>
      <c r="AG8816">
        <f>IFERROR(AH8816*0.1, "N/A")</f>
        <v>6.718058000000001</v>
      </c>
      <c r="AH8816">
        <v>67.180580000000006</v>
      </c>
      <c r="AI8816">
        <v>85.793729999999996</v>
      </c>
      <c r="AJ8816">
        <v>50.819420000000001</v>
      </c>
      <c r="AK8816">
        <v>16.361160000000002</v>
      </c>
    </row>
    <row r="8817" spans="1:37" x14ac:dyDescent="0.3">
      <c r="A8817">
        <v>8816</v>
      </c>
      <c r="B8817">
        <v>0</v>
      </c>
      <c r="C8817">
        <v>36.216700000000003</v>
      </c>
      <c r="D8817">
        <v>12.3</v>
      </c>
      <c r="E8817" t="s">
        <v>13332</v>
      </c>
      <c r="F8817" t="s">
        <v>13333</v>
      </c>
      <c r="G8817" t="s">
        <v>37</v>
      </c>
      <c r="H8817">
        <v>1974</v>
      </c>
      <c r="I8817">
        <v>21.05911</v>
      </c>
      <c r="J8817">
        <v>14.4506</v>
      </c>
      <c r="K8817">
        <v>72</v>
      </c>
      <c r="L8817">
        <v>12.09693</v>
      </c>
      <c r="M8817">
        <v>32.017040000000001</v>
      </c>
      <c r="N8817">
        <v>12.15911</v>
      </c>
      <c r="O8817">
        <v>19.85792</v>
      </c>
      <c r="P8817">
        <v>19.817039999999999</v>
      </c>
      <c r="Q8817">
        <v>21.10971</v>
      </c>
      <c r="R8817">
        <v>22.717040000000001</v>
      </c>
      <c r="S8817">
        <v>19.517040000000001</v>
      </c>
      <c r="T8817">
        <v>1298.9559999999999</v>
      </c>
      <c r="U8817">
        <v>324.1823</v>
      </c>
      <c r="V8817">
        <v>2</v>
      </c>
      <c r="W8817">
        <v>113.506</v>
      </c>
      <c r="X8817">
        <v>878.05280000000005</v>
      </c>
      <c r="Y8817">
        <v>7</v>
      </c>
      <c r="Z8817">
        <v>115.4089</v>
      </c>
      <c r="AA8817">
        <v>861.3646</v>
      </c>
      <c r="AB8817">
        <v>32.040320000000001</v>
      </c>
      <c r="AC8817">
        <v>2.3884949999999999E-2</v>
      </c>
      <c r="AD8817">
        <v>2.813323</v>
      </c>
      <c r="AE8817">
        <v>0.46654669999999998</v>
      </c>
      <c r="AF8817">
        <v>1707.944</v>
      </c>
      <c r="AG8817">
        <f>IFERROR(AH8817*0.1, "N/A")</f>
        <v>5.1700170000000005</v>
      </c>
      <c r="AH8817">
        <v>51.70017</v>
      </c>
      <c r="AI8817">
        <v>204.27090000000001</v>
      </c>
      <c r="AJ8817">
        <v>42.29983</v>
      </c>
      <c r="AK8817">
        <v>31.70017</v>
      </c>
    </row>
    <row r="8818" spans="1:37" x14ac:dyDescent="0.3">
      <c r="A8818">
        <v>8817</v>
      </c>
      <c r="B8818">
        <v>17.399999999999999</v>
      </c>
      <c r="C8818">
        <v>37.080399999999997</v>
      </c>
      <c r="D8818">
        <v>12.303699999999999</v>
      </c>
      <c r="E8818" t="s">
        <v>13334</v>
      </c>
      <c r="F8818" t="s">
        <v>13335</v>
      </c>
      <c r="G8818" t="s">
        <v>37</v>
      </c>
      <c r="H8818">
        <v>1974</v>
      </c>
      <c r="I8818">
        <v>20.2</v>
      </c>
      <c r="J8818">
        <v>13.8</v>
      </c>
      <c r="K8818">
        <v>75</v>
      </c>
      <c r="L8818">
        <v>12.15</v>
      </c>
      <c r="M8818">
        <v>29.9</v>
      </c>
      <c r="N8818">
        <v>11.7</v>
      </c>
      <c r="O8818">
        <v>18.2</v>
      </c>
      <c r="P8818">
        <v>18.8</v>
      </c>
      <c r="Q8818">
        <v>20.2</v>
      </c>
      <c r="R8818">
        <v>21.8</v>
      </c>
      <c r="S8818">
        <v>18.7</v>
      </c>
      <c r="T8818">
        <v>1164</v>
      </c>
      <c r="U8818">
        <v>325</v>
      </c>
      <c r="V8818">
        <v>2</v>
      </c>
      <c r="W8818">
        <v>117</v>
      </c>
      <c r="X8818">
        <v>833</v>
      </c>
      <c r="Y8818">
        <v>10</v>
      </c>
      <c r="Z8818">
        <v>107</v>
      </c>
      <c r="AA8818">
        <v>776</v>
      </c>
      <c r="AB8818">
        <v>46.20899</v>
      </c>
      <c r="AC8818">
        <v>9.9780059999999993E-3</v>
      </c>
      <c r="AD8818">
        <v>2.0145369999999998</v>
      </c>
      <c r="AE8818">
        <v>0.58669079999999996</v>
      </c>
      <c r="AF8818">
        <v>1881.7159999999999</v>
      </c>
      <c r="AG8818">
        <f>IFERROR(AH8818*0.1, "N/A")</f>
        <v>6.2814310000000004</v>
      </c>
      <c r="AH8818">
        <v>62.814309999999999</v>
      </c>
      <c r="AI8818">
        <v>179.70249999999999</v>
      </c>
      <c r="AJ8818">
        <v>52.628619999999998</v>
      </c>
      <c r="AK8818">
        <v>25.185690000000001</v>
      </c>
    </row>
    <row r="8819" spans="1:37" x14ac:dyDescent="0.3">
      <c r="A8819">
        <v>8818</v>
      </c>
      <c r="B8819">
        <v>10</v>
      </c>
      <c r="C8819">
        <v>37.256300000000003</v>
      </c>
      <c r="D8819">
        <v>12.3146</v>
      </c>
      <c r="E8819" t="s">
        <v>13336</v>
      </c>
      <c r="F8819" t="s">
        <v>13337</v>
      </c>
      <c r="G8819" t="s">
        <v>37</v>
      </c>
      <c r="H8819">
        <v>1976</v>
      </c>
      <c r="I8819">
        <v>21</v>
      </c>
      <c r="J8819">
        <v>14.1</v>
      </c>
      <c r="K8819">
        <v>78</v>
      </c>
      <c r="L8819">
        <v>12.33</v>
      </c>
      <c r="M8819">
        <v>30.4</v>
      </c>
      <c r="N8819">
        <v>12.4</v>
      </c>
      <c r="O8819">
        <v>18</v>
      </c>
      <c r="P8819">
        <v>19.5</v>
      </c>
      <c r="Q8819">
        <v>21</v>
      </c>
      <c r="R8819">
        <v>22.6</v>
      </c>
      <c r="S8819">
        <v>19.5</v>
      </c>
      <c r="T8819">
        <v>1086</v>
      </c>
      <c r="U8819">
        <v>310</v>
      </c>
      <c r="V8819">
        <v>2</v>
      </c>
      <c r="W8819">
        <v>120</v>
      </c>
      <c r="X8819">
        <v>790</v>
      </c>
      <c r="Y8819">
        <v>9</v>
      </c>
      <c r="Z8819">
        <v>101</v>
      </c>
      <c r="AA8819">
        <v>790</v>
      </c>
      <c r="AB8819">
        <v>27.754049999999999</v>
      </c>
      <c r="AC8819">
        <v>1.0162640000000001E-2</v>
      </c>
      <c r="AD8819">
        <v>1.938887</v>
      </c>
      <c r="AE8819">
        <v>0.68562699999999999</v>
      </c>
      <c r="AF8819">
        <v>1833.0889999999999</v>
      </c>
      <c r="AG8819">
        <f>IFERROR(AH8819*0.1, "N/A")</f>
        <v>6.2122660000000005</v>
      </c>
      <c r="AH8819">
        <v>62.122660000000003</v>
      </c>
      <c r="AI8819">
        <v>84.500609999999995</v>
      </c>
      <c r="AJ8819">
        <v>52.330489999999998</v>
      </c>
      <c r="AK8819">
        <v>19.43441</v>
      </c>
    </row>
    <row r="8820" spans="1:37" x14ac:dyDescent="0.3">
      <c r="A8820">
        <v>8819</v>
      </c>
      <c r="B8820">
        <v>63.3</v>
      </c>
      <c r="C8820">
        <v>39.599400000000003</v>
      </c>
      <c r="D8820">
        <v>12.315899999999999</v>
      </c>
      <c r="E8820" t="s">
        <v>13338</v>
      </c>
      <c r="F8820" t="s">
        <v>13339</v>
      </c>
      <c r="G8820" t="s">
        <v>37</v>
      </c>
      <c r="H8820">
        <v>2010</v>
      </c>
      <c r="I8820">
        <v>22.6</v>
      </c>
      <c r="J8820">
        <v>16</v>
      </c>
      <c r="K8820">
        <v>69</v>
      </c>
      <c r="L8820">
        <v>17.190000000000001</v>
      </c>
      <c r="M8820">
        <v>35.200000000000003</v>
      </c>
      <c r="N8820">
        <v>12.3</v>
      </c>
      <c r="O8820">
        <v>22.9</v>
      </c>
      <c r="P8820">
        <v>23.5</v>
      </c>
      <c r="Q8820">
        <v>21.2</v>
      </c>
      <c r="R8820">
        <v>24.9</v>
      </c>
      <c r="S8820">
        <v>20.399999999999999</v>
      </c>
      <c r="T8820">
        <v>771</v>
      </c>
      <c r="U8820">
        <v>177</v>
      </c>
      <c r="V8820">
        <v>14</v>
      </c>
      <c r="W8820">
        <v>87</v>
      </c>
      <c r="X8820">
        <v>373</v>
      </c>
      <c r="Y8820">
        <v>64</v>
      </c>
      <c r="Z8820">
        <v>209</v>
      </c>
      <c r="AA8820">
        <v>91</v>
      </c>
      <c r="AB8820">
        <v>21.162849999999999</v>
      </c>
      <c r="AC8820">
        <v>3.0700729999999999E-2</v>
      </c>
      <c r="AD8820">
        <v>0.80719819999999998</v>
      </c>
      <c r="AE8820">
        <v>0.39957140000000002</v>
      </c>
      <c r="AF8820">
        <v>1460.114</v>
      </c>
      <c r="AG8820">
        <f>IFERROR(AH8820*0.1, "N/A")</f>
        <v>7.3391530000000005</v>
      </c>
      <c r="AH8820">
        <v>73.391530000000003</v>
      </c>
      <c r="AI8820">
        <v>127.69370000000001</v>
      </c>
      <c r="AJ8820">
        <v>34.608469999999997</v>
      </c>
      <c r="AK8820">
        <v>31.97288</v>
      </c>
    </row>
    <row r="8821" spans="1:37" x14ac:dyDescent="0.3">
      <c r="A8821">
        <v>8820</v>
      </c>
      <c r="B8821">
        <v>65.400000000000006</v>
      </c>
      <c r="C8821">
        <v>37.2667</v>
      </c>
      <c r="D8821">
        <v>12.316700000000001</v>
      </c>
      <c r="E8821" t="s">
        <v>13340</v>
      </c>
      <c r="F8821" t="s">
        <v>13341</v>
      </c>
      <c r="G8821" t="s">
        <v>37</v>
      </c>
      <c r="H8821">
        <v>1974</v>
      </c>
      <c r="I8821">
        <v>21.188780000000001</v>
      </c>
      <c r="J8821">
        <v>14.232139999999999</v>
      </c>
      <c r="K8821">
        <v>78.321430000000007</v>
      </c>
      <c r="L8821">
        <v>12.08405</v>
      </c>
      <c r="M8821">
        <v>30.6784</v>
      </c>
      <c r="N8821">
        <v>12.58878</v>
      </c>
      <c r="O8821">
        <v>18.08963</v>
      </c>
      <c r="P8821">
        <v>19.688780000000001</v>
      </c>
      <c r="Q8821">
        <v>21.22092</v>
      </c>
      <c r="R8821">
        <v>22.729759999999999</v>
      </c>
      <c r="S8821">
        <v>19.688780000000001</v>
      </c>
      <c r="T8821">
        <v>1083.684</v>
      </c>
      <c r="U8821">
        <v>309.56630000000001</v>
      </c>
      <c r="V8821">
        <v>1.678571</v>
      </c>
      <c r="W8821">
        <v>119.5663</v>
      </c>
      <c r="X8821">
        <v>789.84010000000001</v>
      </c>
      <c r="Y8821">
        <v>8.6785709999999998</v>
      </c>
      <c r="Z8821">
        <v>99.867350000000002</v>
      </c>
      <c r="AA8821">
        <v>789.84010000000001</v>
      </c>
      <c r="AB8821">
        <v>1.1542680000000001</v>
      </c>
      <c r="AC8821">
        <v>7.0851660000000001</v>
      </c>
      <c r="AD8821">
        <v>1.2937879999999999</v>
      </c>
      <c r="AE8821">
        <v>0.70315709999999998</v>
      </c>
      <c r="AF8821">
        <v>1804.1890000000001</v>
      </c>
      <c r="AG8821">
        <f>IFERROR(AH8821*0.1, "N/A")</f>
        <v>6.536054</v>
      </c>
      <c r="AH8821">
        <v>65.36054</v>
      </c>
      <c r="AI8821">
        <v>226.31360000000001</v>
      </c>
      <c r="AJ8821">
        <v>54.81973</v>
      </c>
      <c r="AK8821">
        <v>19.590140000000002</v>
      </c>
    </row>
    <row r="8822" spans="1:37" x14ac:dyDescent="0.3">
      <c r="A8822">
        <v>8821</v>
      </c>
      <c r="B8822">
        <v>20.6</v>
      </c>
      <c r="C8822">
        <v>37.226399999999998</v>
      </c>
      <c r="D8822">
        <v>12.3344</v>
      </c>
      <c r="E8822" t="s">
        <v>13342</v>
      </c>
      <c r="F8822" t="s">
        <v>13343</v>
      </c>
      <c r="G8822" t="s">
        <v>37</v>
      </c>
      <c r="H8822">
        <v>1989</v>
      </c>
      <c r="I8822">
        <v>20.3</v>
      </c>
      <c r="J8822">
        <v>13.9</v>
      </c>
      <c r="K8822">
        <v>76</v>
      </c>
      <c r="L8822">
        <v>12.6</v>
      </c>
      <c r="M8822">
        <v>29.9</v>
      </c>
      <c r="N8822">
        <v>11.8</v>
      </c>
      <c r="O8822">
        <v>18.100000000000001</v>
      </c>
      <c r="P8822">
        <v>18.899999999999999</v>
      </c>
      <c r="Q8822">
        <v>20.3</v>
      </c>
      <c r="R8822">
        <v>22</v>
      </c>
      <c r="S8822">
        <v>18.899999999999999</v>
      </c>
      <c r="T8822">
        <v>1102</v>
      </c>
      <c r="U8822">
        <v>313</v>
      </c>
      <c r="V8822">
        <v>2</v>
      </c>
      <c r="W8822">
        <v>118</v>
      </c>
      <c r="X8822">
        <v>793</v>
      </c>
      <c r="Y8822">
        <v>10</v>
      </c>
      <c r="Z8822">
        <v>108</v>
      </c>
      <c r="AA8822">
        <v>793</v>
      </c>
      <c r="AB8822">
        <v>38.518799999999999</v>
      </c>
      <c r="AC8822">
        <v>1.175854E-2</v>
      </c>
      <c r="AD8822">
        <v>1.136663</v>
      </c>
      <c r="AE8822">
        <v>0.62470939999999997</v>
      </c>
      <c r="AF8822">
        <v>1921.616</v>
      </c>
      <c r="AG8822">
        <f>IFERROR(AH8822*0.1, "N/A")</f>
        <v>6.2952460000000006</v>
      </c>
      <c r="AH8822">
        <v>62.952460000000002</v>
      </c>
      <c r="AI8822">
        <v>255.41290000000001</v>
      </c>
      <c r="AJ8822">
        <v>48.524619999999999</v>
      </c>
      <c r="AK8822">
        <v>25.225809999999999</v>
      </c>
    </row>
    <row r="8823" spans="1:37" x14ac:dyDescent="0.3">
      <c r="A8823">
        <v>8822</v>
      </c>
      <c r="B8823">
        <v>0</v>
      </c>
      <c r="C8823">
        <v>37.226399999999998</v>
      </c>
      <c r="D8823">
        <v>12.3344</v>
      </c>
      <c r="E8823" t="s">
        <v>13342</v>
      </c>
      <c r="F8823" t="s">
        <v>13344</v>
      </c>
      <c r="G8823" t="s">
        <v>39</v>
      </c>
      <c r="H8823">
        <v>1977</v>
      </c>
      <c r="I8823">
        <v>20.3</v>
      </c>
      <c r="J8823">
        <v>13.9</v>
      </c>
      <c r="K8823">
        <v>76</v>
      </c>
      <c r="L8823">
        <v>12.6</v>
      </c>
      <c r="M8823">
        <v>29.9</v>
      </c>
      <c r="N8823">
        <v>11.8</v>
      </c>
      <c r="O8823">
        <v>18.100000000000001</v>
      </c>
      <c r="P8823">
        <v>18.899999999999999</v>
      </c>
      <c r="Q8823">
        <v>20.3</v>
      </c>
      <c r="R8823">
        <v>22</v>
      </c>
      <c r="S8823">
        <v>18.899999999999999</v>
      </c>
      <c r="T8823">
        <v>1102</v>
      </c>
      <c r="U8823">
        <v>313</v>
      </c>
      <c r="V8823">
        <v>2</v>
      </c>
      <c r="W8823">
        <v>118</v>
      </c>
      <c r="X8823">
        <v>793</v>
      </c>
      <c r="Y8823">
        <v>10</v>
      </c>
      <c r="Z8823">
        <v>108</v>
      </c>
      <c r="AA8823">
        <v>793</v>
      </c>
      <c r="AB8823">
        <v>38.518799999999999</v>
      </c>
      <c r="AC8823">
        <v>1.175854E-2</v>
      </c>
      <c r="AD8823">
        <v>1.136663</v>
      </c>
      <c r="AE8823">
        <v>0.62470939999999997</v>
      </c>
      <c r="AF8823">
        <v>1921.616</v>
      </c>
      <c r="AG8823">
        <f>IFERROR(AH8823*0.1, "N/A")</f>
        <v>6.2952460000000006</v>
      </c>
      <c r="AH8823">
        <v>62.952460000000002</v>
      </c>
      <c r="AI8823">
        <v>255.41290000000001</v>
      </c>
      <c r="AJ8823">
        <v>48.524619999999999</v>
      </c>
      <c r="AK8823">
        <v>25.225809999999999</v>
      </c>
    </row>
    <row r="8824" spans="1:37" x14ac:dyDescent="0.3">
      <c r="A8824">
        <v>8823</v>
      </c>
      <c r="B8824">
        <v>14.3</v>
      </c>
      <c r="C8824">
        <v>37.337499999999999</v>
      </c>
      <c r="D8824">
        <v>12.347899999999999</v>
      </c>
      <c r="E8824" t="s">
        <v>13345</v>
      </c>
      <c r="F8824" t="s">
        <v>13346</v>
      </c>
      <c r="G8824" t="s">
        <v>37</v>
      </c>
      <c r="H8824">
        <v>1974</v>
      </c>
      <c r="I8824">
        <v>21.2</v>
      </c>
      <c r="J8824">
        <v>14.3</v>
      </c>
      <c r="K8824">
        <v>78</v>
      </c>
      <c r="L8824">
        <v>12.48</v>
      </c>
      <c r="M8824">
        <v>30.8</v>
      </c>
      <c r="N8824">
        <v>12.6</v>
      </c>
      <c r="O8824">
        <v>18.2</v>
      </c>
      <c r="P8824">
        <v>19.7</v>
      </c>
      <c r="Q8824">
        <v>21.2</v>
      </c>
      <c r="R8824">
        <v>22.9</v>
      </c>
      <c r="S8824">
        <v>19.7</v>
      </c>
      <c r="T8824">
        <v>1065</v>
      </c>
      <c r="U8824">
        <v>308</v>
      </c>
      <c r="V8824">
        <v>1</v>
      </c>
      <c r="W8824">
        <v>121</v>
      </c>
      <c r="X8824">
        <v>778</v>
      </c>
      <c r="Y8824">
        <v>7</v>
      </c>
      <c r="Z8824">
        <v>101</v>
      </c>
      <c r="AA8824">
        <v>778</v>
      </c>
      <c r="AB8824">
        <v>2.6898300000000002</v>
      </c>
      <c r="AC8824">
        <v>8.8361849999999999E-3</v>
      </c>
      <c r="AD8824">
        <v>0.64718120000000001</v>
      </c>
      <c r="AE8824">
        <v>0.72773149999999998</v>
      </c>
      <c r="AF8824">
        <v>1794.876</v>
      </c>
      <c r="AG8824">
        <f>IFERROR(AH8824*0.1, "N/A")</f>
        <v>7.0499150000000004</v>
      </c>
      <c r="AH8824">
        <v>70.49915</v>
      </c>
      <c r="AI8824">
        <v>141.23179999999999</v>
      </c>
      <c r="AJ8824">
        <v>52.487270000000002</v>
      </c>
      <c r="AK8824">
        <v>17.930389999999999</v>
      </c>
    </row>
    <row r="8825" spans="1:37" x14ac:dyDescent="0.3">
      <c r="A8825">
        <v>8824</v>
      </c>
      <c r="B8825">
        <v>0</v>
      </c>
      <c r="C8825">
        <v>37.366700000000002</v>
      </c>
      <c r="D8825">
        <v>12.3667</v>
      </c>
      <c r="E8825" t="s">
        <v>13347</v>
      </c>
      <c r="F8825" t="s">
        <v>13348</v>
      </c>
      <c r="G8825" t="s">
        <v>37</v>
      </c>
      <c r="H8825">
        <v>1989</v>
      </c>
      <c r="I8825">
        <v>21.18092</v>
      </c>
      <c r="J8825">
        <v>14.3</v>
      </c>
      <c r="K8825">
        <v>77</v>
      </c>
      <c r="L8825">
        <v>12.46284</v>
      </c>
      <c r="M8825">
        <v>30.8</v>
      </c>
      <c r="N8825">
        <v>12.4</v>
      </c>
      <c r="O8825">
        <v>18.399999999999999</v>
      </c>
      <c r="P8825">
        <v>19.76099</v>
      </c>
      <c r="Q8825">
        <v>21.1</v>
      </c>
      <c r="R8825">
        <v>22.88007</v>
      </c>
      <c r="S8825">
        <v>19.68092</v>
      </c>
      <c r="T8825">
        <v>1060.9880000000001</v>
      </c>
      <c r="U8825">
        <v>307</v>
      </c>
      <c r="V8825">
        <v>1</v>
      </c>
      <c r="W8825">
        <v>120</v>
      </c>
      <c r="X8825">
        <v>772.9796</v>
      </c>
      <c r="Y8825">
        <v>8</v>
      </c>
      <c r="Z8825">
        <v>102.19929999999999</v>
      </c>
      <c r="AA8825">
        <v>727.17039999999997</v>
      </c>
      <c r="AB8825">
        <v>0.36028480000000002</v>
      </c>
      <c r="AC8825">
        <v>4.082039</v>
      </c>
      <c r="AD8825">
        <v>1.176528</v>
      </c>
      <c r="AE8825">
        <v>0.71547159999999999</v>
      </c>
      <c r="AF8825">
        <v>1795.4860000000001</v>
      </c>
      <c r="AG8825">
        <f>IFERROR(AH8825*0.1, "N/A")</f>
        <v>7.0720609999999997</v>
      </c>
      <c r="AH8825">
        <v>70.720609999999994</v>
      </c>
      <c r="AI8825">
        <v>149.02789999999999</v>
      </c>
      <c r="AJ8825">
        <v>53.614989999999999</v>
      </c>
      <c r="AK8825">
        <v>18.89949</v>
      </c>
    </row>
    <row r="8826" spans="1:37" x14ac:dyDescent="0.3">
      <c r="A8826">
        <v>8825</v>
      </c>
      <c r="B8826">
        <v>25.6</v>
      </c>
      <c r="C8826">
        <v>37.183700000000002</v>
      </c>
      <c r="D8826">
        <v>12.3714</v>
      </c>
      <c r="E8826" t="s">
        <v>13349</v>
      </c>
      <c r="F8826" t="s">
        <v>13350</v>
      </c>
      <c r="G8826" t="s">
        <v>37</v>
      </c>
      <c r="H8826">
        <v>1989</v>
      </c>
      <c r="I8826">
        <v>20.690460000000002</v>
      </c>
      <c r="J8826">
        <v>13.89523</v>
      </c>
      <c r="K8826">
        <v>76</v>
      </c>
      <c r="L8826">
        <v>12.25146</v>
      </c>
      <c r="M8826">
        <v>30.29523</v>
      </c>
      <c r="N8826">
        <v>12.19523</v>
      </c>
      <c r="O8826">
        <v>18.100000000000001</v>
      </c>
      <c r="P8826">
        <v>19.190460000000002</v>
      </c>
      <c r="Q8826">
        <v>20.790459999999999</v>
      </c>
      <c r="R8826">
        <v>22.29523</v>
      </c>
      <c r="S8826">
        <v>19.190460000000002</v>
      </c>
      <c r="T8826">
        <v>1107.2860000000001</v>
      </c>
      <c r="U8826">
        <v>312.04770000000002</v>
      </c>
      <c r="V8826">
        <v>2</v>
      </c>
      <c r="W8826">
        <v>118</v>
      </c>
      <c r="X8826">
        <v>797.1431</v>
      </c>
      <c r="Y8826">
        <v>10</v>
      </c>
      <c r="Z8826">
        <v>108</v>
      </c>
      <c r="AA8826">
        <v>739.05280000000005</v>
      </c>
      <c r="AB8826">
        <v>44.922139999999999</v>
      </c>
      <c r="AC8826">
        <v>3.1377969999999998E-2</v>
      </c>
      <c r="AD8826">
        <v>2.9839190000000002</v>
      </c>
      <c r="AE8826">
        <v>0.64609939999999999</v>
      </c>
      <c r="AF8826">
        <v>1855.896</v>
      </c>
      <c r="AG8826">
        <f>IFERROR(AH8826*0.1, "N/A")</f>
        <v>6.1000000000000005</v>
      </c>
      <c r="AH8826">
        <v>61</v>
      </c>
      <c r="AI8826">
        <v>109.1687</v>
      </c>
      <c r="AJ8826">
        <v>56.047699999999999</v>
      </c>
      <c r="AK8826">
        <v>18</v>
      </c>
    </row>
    <row r="8827" spans="1:37" x14ac:dyDescent="0.3">
      <c r="A8827">
        <v>8826</v>
      </c>
      <c r="B8827">
        <v>0</v>
      </c>
      <c r="C8827">
        <v>39.557200000000002</v>
      </c>
      <c r="D8827">
        <v>12.4169</v>
      </c>
      <c r="E8827" t="s">
        <v>13351</v>
      </c>
      <c r="F8827" t="s">
        <v>13352</v>
      </c>
      <c r="G8827" t="s">
        <v>37</v>
      </c>
      <c r="H8827">
        <v>2009</v>
      </c>
      <c r="I8827">
        <v>22.135090000000002</v>
      </c>
      <c r="J8827">
        <v>16.282450000000001</v>
      </c>
      <c r="K8827">
        <v>69</v>
      </c>
      <c r="L8827">
        <v>17.604019999999998</v>
      </c>
      <c r="M8827">
        <v>35.01755</v>
      </c>
      <c r="N8827">
        <v>11.65264</v>
      </c>
      <c r="O8827">
        <v>23.364909999999998</v>
      </c>
      <c r="P8827">
        <v>23.03509</v>
      </c>
      <c r="Q8827">
        <v>20.73509</v>
      </c>
      <c r="R8827">
        <v>24.51755</v>
      </c>
      <c r="S8827">
        <v>19.852640000000001</v>
      </c>
      <c r="T8827">
        <v>803.1925</v>
      </c>
      <c r="U8827">
        <v>180.8245</v>
      </c>
      <c r="V8827">
        <v>12</v>
      </c>
      <c r="W8827">
        <v>90</v>
      </c>
      <c r="X8827">
        <v>378.8245</v>
      </c>
      <c r="Y8827">
        <v>63.824530000000003</v>
      </c>
      <c r="Z8827">
        <v>208.8245</v>
      </c>
      <c r="AA8827">
        <v>94.473590000000002</v>
      </c>
      <c r="AB8827">
        <v>23.80799</v>
      </c>
      <c r="AC8827">
        <v>0.2264583</v>
      </c>
      <c r="AD8827">
        <v>2.6342669999999999</v>
      </c>
      <c r="AE8827">
        <v>0.61274790000000001</v>
      </c>
      <c r="AF8827">
        <v>1561.1189999999999</v>
      </c>
      <c r="AG8827">
        <f>IFERROR(AH8827*0.1, "N/A")</f>
        <v>7.3000000000000007</v>
      </c>
      <c r="AH8827">
        <v>73</v>
      </c>
      <c r="AI8827">
        <v>143.0342</v>
      </c>
      <c r="AJ8827">
        <v>29.051110000000001</v>
      </c>
      <c r="AK8827">
        <v>37.979559999999999</v>
      </c>
    </row>
    <row r="8828" spans="1:37" x14ac:dyDescent="0.3">
      <c r="A8828">
        <v>8827</v>
      </c>
      <c r="B8828">
        <v>55.4</v>
      </c>
      <c r="C8828">
        <v>37.325000000000003</v>
      </c>
      <c r="D8828">
        <v>12.424200000000001</v>
      </c>
      <c r="E8828" t="s">
        <v>13353</v>
      </c>
      <c r="F8828" t="s">
        <v>13354</v>
      </c>
      <c r="G8828" t="s">
        <v>37</v>
      </c>
      <c r="H8828">
        <v>1974</v>
      </c>
      <c r="I8828">
        <v>20.8414</v>
      </c>
      <c r="J8828">
        <v>14.1</v>
      </c>
      <c r="K8828">
        <v>77</v>
      </c>
      <c r="L8828">
        <v>12.954359999999999</v>
      </c>
      <c r="M8828">
        <v>30.5</v>
      </c>
      <c r="N8828">
        <v>12.279730000000001</v>
      </c>
      <c r="O8828">
        <v>18.220269999999999</v>
      </c>
      <c r="P8828">
        <v>19.321120000000001</v>
      </c>
      <c r="Q8828">
        <v>20.8414</v>
      </c>
      <c r="R8828">
        <v>22.587730000000001</v>
      </c>
      <c r="S8828">
        <v>19.279730000000001</v>
      </c>
      <c r="T8828">
        <v>1072.194</v>
      </c>
      <c r="U8828">
        <v>306.58600000000001</v>
      </c>
      <c r="V8828">
        <v>2</v>
      </c>
      <c r="W8828">
        <v>118.586</v>
      </c>
      <c r="X8828">
        <v>773.58600000000001</v>
      </c>
      <c r="Y8828">
        <v>9.1226579999999995</v>
      </c>
      <c r="Z8828">
        <v>109.6082</v>
      </c>
      <c r="AA8828">
        <v>716.58600000000001</v>
      </c>
      <c r="AB8828">
        <v>4.3011819999999998</v>
      </c>
      <c r="AC8828">
        <v>82.014380000000003</v>
      </c>
      <c r="AD8828">
        <v>2.7061920000000002</v>
      </c>
      <c r="AE8828">
        <v>0.61827379999999998</v>
      </c>
      <c r="AF8828">
        <v>1826.097</v>
      </c>
      <c r="AG8828">
        <f>IFERROR(AH8828*0.1, "N/A")</f>
        <v>6.7374790000000004</v>
      </c>
      <c r="AH8828">
        <v>67.374790000000004</v>
      </c>
      <c r="AI8828">
        <v>118.5736</v>
      </c>
      <c r="AJ8828">
        <v>50.655880000000003</v>
      </c>
      <c r="AK8828">
        <v>21.393529999999998</v>
      </c>
    </row>
    <row r="8829" spans="1:37" x14ac:dyDescent="0.3">
      <c r="A8829">
        <v>8828</v>
      </c>
      <c r="B8829">
        <v>65.7</v>
      </c>
      <c r="C8829">
        <v>37.160899999999998</v>
      </c>
      <c r="D8829">
        <v>12.472799999999999</v>
      </c>
      <c r="E8829" t="s">
        <v>13355</v>
      </c>
      <c r="F8829" t="s">
        <v>13356</v>
      </c>
      <c r="G8829" t="s">
        <v>37</v>
      </c>
      <c r="H8829">
        <v>1974</v>
      </c>
      <c r="I8829">
        <v>20.100000000000001</v>
      </c>
      <c r="J8829">
        <v>13.6</v>
      </c>
      <c r="K8829">
        <v>75</v>
      </c>
      <c r="L8829">
        <v>13.06</v>
      </c>
      <c r="M8829">
        <v>29.9</v>
      </c>
      <c r="N8829">
        <v>11.8</v>
      </c>
      <c r="O8829">
        <v>18.100000000000001</v>
      </c>
      <c r="P8829">
        <v>18.600000000000001</v>
      </c>
      <c r="Q8829">
        <v>20.2</v>
      </c>
      <c r="R8829">
        <v>21.9</v>
      </c>
      <c r="S8829">
        <v>18.5</v>
      </c>
      <c r="T8829">
        <v>1123</v>
      </c>
      <c r="U8829">
        <v>313</v>
      </c>
      <c r="V8829">
        <v>2</v>
      </c>
      <c r="W8829">
        <v>116</v>
      </c>
      <c r="X8829">
        <v>798</v>
      </c>
      <c r="Y8829">
        <v>11</v>
      </c>
      <c r="Z8829">
        <v>117</v>
      </c>
      <c r="AA8829">
        <v>742</v>
      </c>
      <c r="AB8829">
        <v>87.889399999999995</v>
      </c>
      <c r="AC8829">
        <v>1.117136E-2</v>
      </c>
      <c r="AD8829">
        <v>2.494297</v>
      </c>
      <c r="AE8829">
        <v>0.70036419999999999</v>
      </c>
      <c r="AF8829">
        <v>1892.3520000000001</v>
      </c>
      <c r="AG8829">
        <f>IFERROR(AH8829*0.1, "N/A")</f>
        <v>5.8245730000000009</v>
      </c>
      <c r="AH8829">
        <v>58.245730000000002</v>
      </c>
      <c r="AI8829">
        <v>52.627360000000003</v>
      </c>
      <c r="AJ8829">
        <v>53.291809999999998</v>
      </c>
      <c r="AK8829">
        <v>23.754270000000002</v>
      </c>
    </row>
    <row r="8830" spans="1:37" x14ac:dyDescent="0.3">
      <c r="A8830">
        <v>8829</v>
      </c>
      <c r="B8830">
        <v>0</v>
      </c>
      <c r="C8830">
        <v>39.610500000000002</v>
      </c>
      <c r="D8830">
        <v>12.483499999999999</v>
      </c>
      <c r="E8830" t="s">
        <v>13357</v>
      </c>
      <c r="F8830" t="s">
        <v>13358</v>
      </c>
      <c r="G8830" t="s">
        <v>37</v>
      </c>
      <c r="H8830">
        <v>2009</v>
      </c>
      <c r="I8830">
        <v>22.809729999999998</v>
      </c>
      <c r="J8830">
        <v>16.100000000000001</v>
      </c>
      <c r="K8830">
        <v>69.097269999999995</v>
      </c>
      <c r="L8830">
        <v>17.705680000000001</v>
      </c>
      <c r="M8830">
        <v>35.5</v>
      </c>
      <c r="N8830">
        <v>12.31945</v>
      </c>
      <c r="O8830">
        <v>23.18055</v>
      </c>
      <c r="P8830">
        <v>23.7</v>
      </c>
      <c r="Q8830">
        <v>21.31945</v>
      </c>
      <c r="R8830">
        <v>25.109729999999999</v>
      </c>
      <c r="S8830">
        <v>20.419450000000001</v>
      </c>
      <c r="T8830">
        <v>743.31910000000005</v>
      </c>
      <c r="U8830">
        <v>170.90270000000001</v>
      </c>
      <c r="V8830">
        <v>13</v>
      </c>
      <c r="W8830">
        <v>89</v>
      </c>
      <c r="X8830">
        <v>357.80549999999999</v>
      </c>
      <c r="Y8830">
        <v>61</v>
      </c>
      <c r="Z8830">
        <v>198.90270000000001</v>
      </c>
      <c r="AA8830">
        <v>88</v>
      </c>
      <c r="AB8830">
        <v>19.740100000000002</v>
      </c>
      <c r="AC8830">
        <v>3.4923170000000003E-2</v>
      </c>
      <c r="AD8830">
        <v>3.2521620000000002</v>
      </c>
      <c r="AE8830">
        <v>0.45863870000000001</v>
      </c>
      <c r="AF8830">
        <v>1466.904</v>
      </c>
      <c r="AG8830">
        <f>IFERROR(AH8830*0.1, "N/A")</f>
        <v>7.7</v>
      </c>
      <c r="AH8830">
        <v>77</v>
      </c>
      <c r="AI8830">
        <v>144.18510000000001</v>
      </c>
      <c r="AJ8830">
        <v>31.331060000000001</v>
      </c>
      <c r="AK8830">
        <v>34.331060000000001</v>
      </c>
    </row>
    <row r="8831" spans="1:37" x14ac:dyDescent="0.3">
      <c r="A8831">
        <v>8830</v>
      </c>
      <c r="B8831">
        <v>60</v>
      </c>
      <c r="C8831">
        <v>37.128399999999999</v>
      </c>
      <c r="D8831">
        <v>12.496499999999999</v>
      </c>
      <c r="E8831" t="s">
        <v>13359</v>
      </c>
      <c r="F8831" t="s">
        <v>13360</v>
      </c>
      <c r="G8831" t="s">
        <v>37</v>
      </c>
      <c r="H8831">
        <v>1974</v>
      </c>
      <c r="I8831">
        <v>19.7</v>
      </c>
      <c r="J8831">
        <v>13.4</v>
      </c>
      <c r="K8831">
        <v>74</v>
      </c>
      <c r="L8831">
        <v>13.24</v>
      </c>
      <c r="M8831">
        <v>29.5</v>
      </c>
      <c r="N8831">
        <v>11.5</v>
      </c>
      <c r="O8831">
        <v>18</v>
      </c>
      <c r="P8831">
        <v>18.2</v>
      </c>
      <c r="Q8831">
        <v>19.7</v>
      </c>
      <c r="R8831">
        <v>21.5</v>
      </c>
      <c r="S8831">
        <v>18</v>
      </c>
      <c r="T8831">
        <v>1143</v>
      </c>
      <c r="U8831">
        <v>317</v>
      </c>
      <c r="V8831">
        <v>2</v>
      </c>
      <c r="W8831">
        <v>115</v>
      </c>
      <c r="X8831">
        <v>807</v>
      </c>
      <c r="Y8831">
        <v>12</v>
      </c>
      <c r="Z8831">
        <v>122</v>
      </c>
      <c r="AA8831">
        <v>752</v>
      </c>
      <c r="AB8831">
        <v>97.753190000000004</v>
      </c>
      <c r="AC8831">
        <v>1.007035E-2</v>
      </c>
      <c r="AD8831">
        <v>3.6762860000000002</v>
      </c>
      <c r="AE8831">
        <v>0.68758200000000003</v>
      </c>
      <c r="AF8831">
        <v>1945.02</v>
      </c>
      <c r="AG8831">
        <f>IFERROR(AH8831*0.1, "N/A")</f>
        <v>5.8003410000000004</v>
      </c>
      <c r="AH8831">
        <v>58.003410000000002</v>
      </c>
      <c r="AI8831">
        <v>255.4101</v>
      </c>
      <c r="AJ8831">
        <v>55.006810000000002</v>
      </c>
      <c r="AK8831">
        <v>21.996590000000001</v>
      </c>
    </row>
    <row r="8832" spans="1:37" x14ac:dyDescent="0.3">
      <c r="A8832">
        <v>8831</v>
      </c>
      <c r="B8832">
        <v>58.5</v>
      </c>
      <c r="C8832">
        <v>37.5</v>
      </c>
      <c r="D8832">
        <v>12.5</v>
      </c>
      <c r="E8832" t="s">
        <v>13361</v>
      </c>
      <c r="F8832" t="s">
        <v>13362</v>
      </c>
      <c r="G8832" t="s">
        <v>37</v>
      </c>
      <c r="H8832">
        <v>1974</v>
      </c>
      <c r="I8832">
        <v>19.368259999999999</v>
      </c>
      <c r="J8832">
        <v>14.13635</v>
      </c>
      <c r="K8832">
        <v>73.046080000000003</v>
      </c>
      <c r="L8832">
        <v>14.46326</v>
      </c>
      <c r="M8832">
        <v>29.534130000000001</v>
      </c>
      <c r="N8832">
        <v>10.27065</v>
      </c>
      <c r="O8832">
        <v>19.263480000000001</v>
      </c>
      <c r="P8832">
        <v>18.115020000000001</v>
      </c>
      <c r="Q8832">
        <v>19.138739999999999</v>
      </c>
      <c r="R8832">
        <v>21.534130000000001</v>
      </c>
      <c r="S8832">
        <v>17.834129999999998</v>
      </c>
      <c r="T8832">
        <v>1127.326</v>
      </c>
      <c r="U8832">
        <v>325.63479999999998</v>
      </c>
      <c r="V8832">
        <v>3.658703</v>
      </c>
      <c r="W8832">
        <v>115.3413</v>
      </c>
      <c r="X8832">
        <v>789.58870000000002</v>
      </c>
      <c r="Y8832">
        <v>18.976109999999998</v>
      </c>
      <c r="Z8832">
        <v>131.785</v>
      </c>
      <c r="AA8832">
        <v>749.61090000000002</v>
      </c>
      <c r="AB8832">
        <v>16.656680000000001</v>
      </c>
      <c r="AC8832">
        <v>5.1881519999999997</v>
      </c>
      <c r="AD8832">
        <v>18.111719999999998</v>
      </c>
      <c r="AE8832">
        <v>0.67849800000000005</v>
      </c>
      <c r="AF8832">
        <v>2086.2460000000001</v>
      </c>
      <c r="AG8832">
        <f>IFERROR(AH8832*0.1, "N/A")</f>
        <v>6</v>
      </c>
      <c r="AH8832">
        <v>60</v>
      </c>
      <c r="AI8832">
        <v>121.1279</v>
      </c>
      <c r="AJ8832">
        <v>49.363480000000003</v>
      </c>
      <c r="AK8832">
        <v>24</v>
      </c>
    </row>
    <row r="8833" spans="1:37" x14ac:dyDescent="0.3">
      <c r="A8833">
        <v>8832</v>
      </c>
      <c r="B8833">
        <v>18.2</v>
      </c>
      <c r="C8833">
        <v>37.248100000000001</v>
      </c>
      <c r="D8833">
        <v>12.5252</v>
      </c>
      <c r="E8833" t="s">
        <v>13363</v>
      </c>
      <c r="F8833" t="s">
        <v>13364</v>
      </c>
      <c r="G8833" t="s">
        <v>37</v>
      </c>
      <c r="H8833">
        <v>1974</v>
      </c>
      <c r="I8833">
        <v>19.649239999999999</v>
      </c>
      <c r="J8833">
        <v>13.549239999999999</v>
      </c>
      <c r="K8833">
        <v>74</v>
      </c>
      <c r="L8833">
        <v>13.809240000000001</v>
      </c>
      <c r="M8833">
        <v>29.549240000000001</v>
      </c>
      <c r="N8833">
        <v>11.34924</v>
      </c>
      <c r="O8833">
        <v>18.2</v>
      </c>
      <c r="P8833">
        <v>18.2</v>
      </c>
      <c r="Q8833">
        <v>19.649239999999999</v>
      </c>
      <c r="R8833">
        <v>21.649239999999999</v>
      </c>
      <c r="S8833">
        <v>18.049240000000001</v>
      </c>
      <c r="T8833">
        <v>1130.046</v>
      </c>
      <c r="U8833">
        <v>316.50760000000002</v>
      </c>
      <c r="V8833">
        <v>2</v>
      </c>
      <c r="W8833">
        <v>115.4924</v>
      </c>
      <c r="X8833">
        <v>796.01530000000002</v>
      </c>
      <c r="Y8833">
        <v>13.50764</v>
      </c>
      <c r="Z8833">
        <v>128.0153</v>
      </c>
      <c r="AA8833">
        <v>743.01530000000002</v>
      </c>
      <c r="AB8833">
        <v>10.5852</v>
      </c>
      <c r="AC8833">
        <v>1.9857409999999999E-2</v>
      </c>
      <c r="AD8833">
        <v>2.4060739999999998</v>
      </c>
      <c r="AE8833">
        <v>0.55275090000000004</v>
      </c>
      <c r="AF8833">
        <v>1947.9829999999999</v>
      </c>
      <c r="AG8833">
        <f>IFERROR(AH8833*0.1, "N/A")</f>
        <v>6.3612900000000003</v>
      </c>
      <c r="AH8833">
        <v>63.612900000000003</v>
      </c>
      <c r="AI8833">
        <v>158.20840000000001</v>
      </c>
      <c r="AJ8833">
        <v>51</v>
      </c>
      <c r="AK8833">
        <v>26</v>
      </c>
    </row>
    <row r="8834" spans="1:37" x14ac:dyDescent="0.3">
      <c r="A8834">
        <v>8833</v>
      </c>
      <c r="B8834">
        <v>38.9</v>
      </c>
      <c r="C8834">
        <v>37.347799999999999</v>
      </c>
      <c r="D8834">
        <v>12.5342</v>
      </c>
      <c r="E8834" t="s">
        <v>13365</v>
      </c>
      <c r="F8834" t="s">
        <v>13366</v>
      </c>
      <c r="G8834" t="s">
        <v>37</v>
      </c>
      <c r="H8834">
        <v>1974</v>
      </c>
      <c r="I8834">
        <v>19.100000000000001</v>
      </c>
      <c r="J8834">
        <v>13.6</v>
      </c>
      <c r="K8834">
        <v>72</v>
      </c>
      <c r="L8834">
        <v>14.77</v>
      </c>
      <c r="M8834">
        <v>29.2</v>
      </c>
      <c r="N8834">
        <v>10.4</v>
      </c>
      <c r="O8834">
        <v>18.8</v>
      </c>
      <c r="P8834">
        <v>17.7</v>
      </c>
      <c r="Q8834">
        <v>19</v>
      </c>
      <c r="R8834">
        <v>21.3</v>
      </c>
      <c r="S8834">
        <v>17.5</v>
      </c>
      <c r="T8834">
        <v>1163</v>
      </c>
      <c r="U8834">
        <v>326</v>
      </c>
      <c r="V8834">
        <v>4</v>
      </c>
      <c r="W8834">
        <v>114</v>
      </c>
      <c r="X8834">
        <v>806</v>
      </c>
      <c r="Y8834">
        <v>20</v>
      </c>
      <c r="Z8834">
        <v>141</v>
      </c>
      <c r="AA8834">
        <v>759</v>
      </c>
      <c r="AB8834">
        <v>22.93974</v>
      </c>
      <c r="AC8834">
        <v>0.36844009999999999</v>
      </c>
      <c r="AD8834">
        <v>4.6033689999999998</v>
      </c>
      <c r="AE8834">
        <v>0.6984148</v>
      </c>
      <c r="AF8834">
        <v>2070.9349999999999</v>
      </c>
      <c r="AG8834">
        <f>IFERROR(AH8834*0.1, "N/A")</f>
        <v>6.0631580000000005</v>
      </c>
      <c r="AH8834">
        <v>60.63158</v>
      </c>
      <c r="AI8834">
        <v>153.94999999999999</v>
      </c>
      <c r="AJ8834">
        <v>52.18676</v>
      </c>
      <c r="AK8834">
        <v>21.81324</v>
      </c>
    </row>
    <row r="8835" spans="1:37" x14ac:dyDescent="0.3">
      <c r="A8835">
        <v>8834</v>
      </c>
      <c r="B8835">
        <v>64.099999999999994</v>
      </c>
      <c r="C8835">
        <v>37.433300000000003</v>
      </c>
      <c r="D8835">
        <v>12.55</v>
      </c>
      <c r="E8835" t="s">
        <v>13367</v>
      </c>
      <c r="F8835" t="s">
        <v>13368</v>
      </c>
      <c r="G8835" t="s">
        <v>37</v>
      </c>
      <c r="H8835">
        <v>1974</v>
      </c>
      <c r="I8835">
        <v>19.315539999999999</v>
      </c>
      <c r="J8835">
        <v>13.8</v>
      </c>
      <c r="K8835">
        <v>71.96284</v>
      </c>
      <c r="L8835">
        <v>14.694660000000001</v>
      </c>
      <c r="M8835">
        <v>29.41554</v>
      </c>
      <c r="N8835">
        <v>10.392569999999999</v>
      </c>
      <c r="O8835">
        <v>19.022970000000001</v>
      </c>
      <c r="P8835">
        <v>17.934799999999999</v>
      </c>
      <c r="Q8835">
        <v>19.034800000000001</v>
      </c>
      <c r="R8835">
        <v>21.515540000000001</v>
      </c>
      <c r="S8835">
        <v>17.634799999999998</v>
      </c>
      <c r="T8835">
        <v>1147.03</v>
      </c>
      <c r="U8835">
        <v>325.26690000000002</v>
      </c>
      <c r="V8835">
        <v>3.1925680000000001</v>
      </c>
      <c r="W8835">
        <v>113.8074</v>
      </c>
      <c r="X8835">
        <v>797.49659999999994</v>
      </c>
      <c r="Y8835">
        <v>19.65203</v>
      </c>
      <c r="Z8835">
        <v>140.38509999999999</v>
      </c>
      <c r="AA8835">
        <v>754.30409999999995</v>
      </c>
      <c r="AB8835">
        <v>19.183309999999999</v>
      </c>
      <c r="AC8835">
        <v>3.3939950000000003E-2</v>
      </c>
      <c r="AD8835">
        <v>4.1713870000000002</v>
      </c>
      <c r="AE8835">
        <v>0.65200740000000001</v>
      </c>
      <c r="AF8835">
        <v>2025.2260000000001</v>
      </c>
      <c r="AG8835">
        <f>IFERROR(AH8835*0.1, "N/A")</f>
        <v>6.3751690000000005</v>
      </c>
      <c r="AH8835">
        <v>63.751690000000004</v>
      </c>
      <c r="AI8835">
        <v>145.0531</v>
      </c>
      <c r="AJ8835">
        <v>48.248309999999996</v>
      </c>
      <c r="AK8835">
        <v>25.55912</v>
      </c>
    </row>
    <row r="8836" spans="1:37" x14ac:dyDescent="0.3">
      <c r="A8836">
        <v>8835</v>
      </c>
      <c r="B8836">
        <v>8.1</v>
      </c>
      <c r="C8836">
        <v>37.066699999999997</v>
      </c>
      <c r="D8836">
        <v>12.55</v>
      </c>
      <c r="E8836" t="s">
        <v>13369</v>
      </c>
      <c r="F8836" t="s">
        <v>13370</v>
      </c>
      <c r="G8836" t="s">
        <v>37</v>
      </c>
      <c r="H8836">
        <v>1974</v>
      </c>
      <c r="I8836">
        <v>17.710470000000001</v>
      </c>
      <c r="J8836">
        <v>12.737500000000001</v>
      </c>
      <c r="K8836">
        <v>71.625</v>
      </c>
      <c r="L8836">
        <v>13.48902</v>
      </c>
      <c r="M8836">
        <v>27.648990000000001</v>
      </c>
      <c r="N8836">
        <v>9.9584460000000004</v>
      </c>
      <c r="O8836">
        <v>17.690539999999999</v>
      </c>
      <c r="P8836">
        <v>16.34797</v>
      </c>
      <c r="Q8836">
        <v>17.858450000000001</v>
      </c>
      <c r="R8836">
        <v>19.533449999999998</v>
      </c>
      <c r="S8836">
        <v>15.995950000000001</v>
      </c>
      <c r="T8836">
        <v>1211.7570000000001</v>
      </c>
      <c r="U8836">
        <v>332.26010000000002</v>
      </c>
      <c r="V8836">
        <v>4</v>
      </c>
      <c r="W8836">
        <v>112.47969999999999</v>
      </c>
      <c r="X8836">
        <v>837.08109999999999</v>
      </c>
      <c r="Y8836">
        <v>17.14527</v>
      </c>
      <c r="Z8836">
        <v>136.48990000000001</v>
      </c>
      <c r="AA8836">
        <v>789.45609999999999</v>
      </c>
      <c r="AB8836">
        <v>53.474870000000003</v>
      </c>
      <c r="AC8836">
        <v>1.5891430000000002E-2</v>
      </c>
      <c r="AD8836">
        <v>3.9584280000000001</v>
      </c>
      <c r="AE8836">
        <v>0.63201549999999995</v>
      </c>
      <c r="AF8836">
        <v>2246.9560000000001</v>
      </c>
      <c r="AG8836">
        <f>IFERROR(AH8836*0.1, "N/A")</f>
        <v>5.6922300000000003</v>
      </c>
      <c r="AH8836">
        <v>56.9223</v>
      </c>
      <c r="AI8836">
        <v>51.143929999999997</v>
      </c>
      <c r="AJ8836">
        <v>52.844589999999997</v>
      </c>
      <c r="AK8836">
        <v>20.91892</v>
      </c>
    </row>
    <row r="8837" spans="1:37" x14ac:dyDescent="0.3">
      <c r="A8837">
        <v>8836</v>
      </c>
      <c r="B8837">
        <v>79.400000000000006</v>
      </c>
      <c r="C8837">
        <v>37.451599999999999</v>
      </c>
      <c r="D8837">
        <v>12.5947</v>
      </c>
      <c r="E8837" t="s">
        <v>13371</v>
      </c>
      <c r="F8837" t="s">
        <v>13372</v>
      </c>
      <c r="G8837" t="s">
        <v>37</v>
      </c>
      <c r="H8837">
        <v>1974</v>
      </c>
      <c r="I8837">
        <v>19.3</v>
      </c>
      <c r="J8837">
        <v>13.9</v>
      </c>
      <c r="K8837">
        <v>72</v>
      </c>
      <c r="L8837">
        <v>14.98</v>
      </c>
      <c r="M8837">
        <v>29.5</v>
      </c>
      <c r="N8837">
        <v>10.199999999999999</v>
      </c>
      <c r="O8837">
        <v>19.3</v>
      </c>
      <c r="P8837">
        <v>18</v>
      </c>
      <c r="Q8837">
        <v>19</v>
      </c>
      <c r="R8837">
        <v>21.6</v>
      </c>
      <c r="S8837">
        <v>17.7</v>
      </c>
      <c r="T8837">
        <v>1147</v>
      </c>
      <c r="U8837">
        <v>326</v>
      </c>
      <c r="V8837">
        <v>4</v>
      </c>
      <c r="W8837">
        <v>114</v>
      </c>
      <c r="X8837">
        <v>795</v>
      </c>
      <c r="Y8837">
        <v>22</v>
      </c>
      <c r="Z8837">
        <v>142</v>
      </c>
      <c r="AA8837">
        <v>753</v>
      </c>
      <c r="AB8837">
        <v>32.409799999999997</v>
      </c>
      <c r="AC8837">
        <v>7.4282870000000001E-2</v>
      </c>
      <c r="AD8837">
        <v>4.0056120000000002</v>
      </c>
      <c r="AE8837">
        <v>0.76224219999999998</v>
      </c>
      <c r="AF8837">
        <v>2090.6819999999998</v>
      </c>
      <c r="AG8837">
        <f>IFERROR(AH8837*0.1, "N/A")</f>
        <v>6.7391890000000005</v>
      </c>
      <c r="AH8837">
        <v>67.391890000000004</v>
      </c>
      <c r="AI8837">
        <v>122.5629</v>
      </c>
      <c r="AJ8837">
        <v>44.432429999999997</v>
      </c>
      <c r="AK8837">
        <v>28.84291</v>
      </c>
    </row>
    <row r="8838" spans="1:37" x14ac:dyDescent="0.3">
      <c r="A8838">
        <v>8837</v>
      </c>
      <c r="B8838">
        <v>0.8</v>
      </c>
      <c r="C8838">
        <v>37.466700000000003</v>
      </c>
      <c r="D8838">
        <v>12.6</v>
      </c>
      <c r="E8838" t="s">
        <v>13373</v>
      </c>
      <c r="F8838" t="s">
        <v>13374</v>
      </c>
      <c r="G8838" t="s">
        <v>37</v>
      </c>
      <c r="H8838">
        <v>2008</v>
      </c>
      <c r="I8838">
        <v>19.3</v>
      </c>
      <c r="J8838">
        <v>14.07034</v>
      </c>
      <c r="K8838">
        <v>71.088139999999996</v>
      </c>
      <c r="L8838">
        <v>14.64649</v>
      </c>
      <c r="M8838">
        <v>29.618480000000002</v>
      </c>
      <c r="N8838">
        <v>9.9472880000000004</v>
      </c>
      <c r="O8838">
        <v>19.671189999999999</v>
      </c>
      <c r="P8838">
        <v>18.09254</v>
      </c>
      <c r="Q8838">
        <v>18.95186</v>
      </c>
      <c r="R8838">
        <v>21.50881</v>
      </c>
      <c r="S8838">
        <v>17.770340000000001</v>
      </c>
      <c r="T8838">
        <v>1150.1969999999999</v>
      </c>
      <c r="U8838">
        <v>327.61529999999999</v>
      </c>
      <c r="V8838">
        <v>4</v>
      </c>
      <c r="W8838">
        <v>113.0746</v>
      </c>
      <c r="X8838">
        <v>794.37969999999996</v>
      </c>
      <c r="Y8838">
        <v>21.22203</v>
      </c>
      <c r="Z8838">
        <v>144.23050000000001</v>
      </c>
      <c r="AA8838">
        <v>753.30510000000004</v>
      </c>
      <c r="AB8838">
        <v>102.96339999999999</v>
      </c>
      <c r="AC8838">
        <v>8.9966920000000006E-3</v>
      </c>
      <c r="AD8838">
        <v>2.8348110000000002</v>
      </c>
      <c r="AE8838">
        <v>0.76447620000000005</v>
      </c>
      <c r="AF8838">
        <v>2197.6289999999999</v>
      </c>
      <c r="AG8838">
        <f>IFERROR(AH8838*0.1, "N/A")</f>
        <v>6.7689830000000004</v>
      </c>
      <c r="AH8838">
        <v>67.689830000000001</v>
      </c>
      <c r="AI8838">
        <v>210.02099999999999</v>
      </c>
      <c r="AJ8838">
        <v>38.620339999999999</v>
      </c>
      <c r="AK8838">
        <v>34</v>
      </c>
    </row>
    <row r="8839" spans="1:37" x14ac:dyDescent="0.3">
      <c r="A8839">
        <v>8838</v>
      </c>
      <c r="B8839">
        <v>2.5</v>
      </c>
      <c r="C8839">
        <v>37.467300000000002</v>
      </c>
      <c r="D8839">
        <v>12.6134</v>
      </c>
      <c r="E8839" t="s">
        <v>13375</v>
      </c>
      <c r="F8839" t="s">
        <v>13376</v>
      </c>
      <c r="G8839" t="s">
        <v>37</v>
      </c>
      <c r="H8839">
        <v>2009</v>
      </c>
      <c r="I8839">
        <v>19.3</v>
      </c>
      <c r="J8839">
        <v>14.1</v>
      </c>
      <c r="K8839">
        <v>70.384349999999998</v>
      </c>
      <c r="L8839">
        <v>14.52619</v>
      </c>
      <c r="M8839">
        <v>29.661570000000001</v>
      </c>
      <c r="N8839">
        <v>9.8384359999999997</v>
      </c>
      <c r="O8839">
        <v>19.823129999999999</v>
      </c>
      <c r="P8839">
        <v>18.180779999999999</v>
      </c>
      <c r="Q8839">
        <v>18.919219999999999</v>
      </c>
      <c r="R8839">
        <v>21.5</v>
      </c>
      <c r="S8839">
        <v>17.8</v>
      </c>
      <c r="T8839">
        <v>1150.231</v>
      </c>
      <c r="U8839">
        <v>327.80779999999999</v>
      </c>
      <c r="V8839">
        <v>4</v>
      </c>
      <c r="W8839">
        <v>114</v>
      </c>
      <c r="X8839">
        <v>793</v>
      </c>
      <c r="Y8839">
        <v>21.80782</v>
      </c>
      <c r="Z8839">
        <v>145.6156</v>
      </c>
      <c r="AA8839">
        <v>752</v>
      </c>
      <c r="AB8839">
        <v>31.752849999999999</v>
      </c>
      <c r="AC8839">
        <v>4.5560169999999997E-2</v>
      </c>
      <c r="AD8839">
        <v>5.5088920000000003</v>
      </c>
      <c r="AE8839">
        <v>0.73959580000000003</v>
      </c>
      <c r="AF8839">
        <v>2188.9</v>
      </c>
      <c r="AG8839">
        <f>IFERROR(AH8839*0.1, "N/A")</f>
        <v>6.2561220000000004</v>
      </c>
      <c r="AH8839">
        <v>62.561219999999999</v>
      </c>
      <c r="AI8839">
        <v>277.39409999999998</v>
      </c>
      <c r="AJ8839">
        <v>38.465989999999998</v>
      </c>
      <c r="AK8839">
        <v>34.314630000000001</v>
      </c>
    </row>
    <row r="8840" spans="1:37" x14ac:dyDescent="0.3">
      <c r="A8840">
        <v>8839</v>
      </c>
      <c r="B8840">
        <v>3.2</v>
      </c>
      <c r="C8840">
        <v>37.468200000000003</v>
      </c>
      <c r="D8840">
        <v>12.613799999999999</v>
      </c>
      <c r="E8840" t="s">
        <v>13377</v>
      </c>
      <c r="F8840" t="s">
        <v>13378</v>
      </c>
      <c r="G8840" t="s">
        <v>37</v>
      </c>
      <c r="H8840">
        <v>2006</v>
      </c>
      <c r="I8840">
        <v>19.3</v>
      </c>
      <c r="J8840">
        <v>14.1</v>
      </c>
      <c r="K8840">
        <v>70</v>
      </c>
      <c r="L8840">
        <v>14.58</v>
      </c>
      <c r="M8840">
        <v>29.7</v>
      </c>
      <c r="N8840">
        <v>9.8000000000000007</v>
      </c>
      <c r="O8840">
        <v>19.899999999999999</v>
      </c>
      <c r="P8840">
        <v>18.2</v>
      </c>
      <c r="Q8840">
        <v>18.899999999999999</v>
      </c>
      <c r="R8840">
        <v>21.5</v>
      </c>
      <c r="S8840">
        <v>17.8</v>
      </c>
      <c r="T8840">
        <v>1151</v>
      </c>
      <c r="U8840">
        <v>328</v>
      </c>
      <c r="V8840">
        <v>4</v>
      </c>
      <c r="W8840">
        <v>114</v>
      </c>
      <c r="X8840">
        <v>793</v>
      </c>
      <c r="Y8840">
        <v>22</v>
      </c>
      <c r="Z8840">
        <v>146</v>
      </c>
      <c r="AA8840">
        <v>752</v>
      </c>
      <c r="AB8840">
        <v>39.310940000000002</v>
      </c>
      <c r="AC8840">
        <v>2.8166190000000001E-2</v>
      </c>
      <c r="AD8840">
        <v>5.0928290000000001</v>
      </c>
      <c r="AE8840">
        <v>0.7386876</v>
      </c>
      <c r="AF8840">
        <v>2197.819</v>
      </c>
      <c r="AG8840">
        <f>IFERROR(AH8840*0.1, "N/A")</f>
        <v>6.233784</v>
      </c>
      <c r="AH8840">
        <v>62.33784</v>
      </c>
      <c r="AI8840">
        <v>272.58100000000002</v>
      </c>
      <c r="AJ8840">
        <v>39.001690000000004</v>
      </c>
      <c r="AK8840">
        <v>33.75676</v>
      </c>
    </row>
    <row r="8841" spans="1:37" x14ac:dyDescent="0.3">
      <c r="A8841">
        <v>8840</v>
      </c>
      <c r="B8841">
        <v>15</v>
      </c>
      <c r="C8841">
        <v>37.450000000000003</v>
      </c>
      <c r="D8841">
        <v>12.616899999999999</v>
      </c>
      <c r="E8841" t="s">
        <v>13379</v>
      </c>
      <c r="F8841" t="s">
        <v>13380</v>
      </c>
      <c r="G8841" t="s">
        <v>37</v>
      </c>
      <c r="H8841">
        <v>1984</v>
      </c>
      <c r="I8841">
        <v>19.262409999999999</v>
      </c>
      <c r="J8841">
        <v>14.0733</v>
      </c>
      <c r="K8841">
        <v>70.981290000000001</v>
      </c>
      <c r="L8841">
        <v>14.613110000000001</v>
      </c>
      <c r="M8841">
        <v>29.57517</v>
      </c>
      <c r="N8841">
        <v>9.9037410000000001</v>
      </c>
      <c r="O8841">
        <v>19.671430000000001</v>
      </c>
      <c r="P8841">
        <v>18.100000000000001</v>
      </c>
      <c r="Q8841">
        <v>18.905609999999999</v>
      </c>
      <c r="R8841">
        <v>21.478909999999999</v>
      </c>
      <c r="S8841">
        <v>17.737590000000001</v>
      </c>
      <c r="T8841">
        <v>1152.491</v>
      </c>
      <c r="U8841">
        <v>327.75170000000003</v>
      </c>
      <c r="V8841">
        <v>4.2108840000000001</v>
      </c>
      <c r="W8841">
        <v>113.6241</v>
      </c>
      <c r="X8841">
        <v>794.91669999999999</v>
      </c>
      <c r="Y8841">
        <v>21.7517</v>
      </c>
      <c r="Z8841">
        <v>145.31970000000001</v>
      </c>
      <c r="AA8841">
        <v>753.29250000000002</v>
      </c>
      <c r="AB8841">
        <v>39.55256</v>
      </c>
      <c r="AC8841">
        <v>4.1216269999999999E-2</v>
      </c>
      <c r="AD8841">
        <v>4.8108579999999996</v>
      </c>
      <c r="AE8841">
        <v>0.68962040000000002</v>
      </c>
      <c r="AF8841">
        <v>2174.6089999999999</v>
      </c>
      <c r="AG8841">
        <f>IFERROR(AH8841*0.1, "N/A")</f>
        <v>5.9505100000000004</v>
      </c>
      <c r="AH8841">
        <v>59.505099999999999</v>
      </c>
      <c r="AI8841">
        <v>111.6109</v>
      </c>
      <c r="AJ8841">
        <v>45.622450000000001</v>
      </c>
      <c r="AK8841">
        <v>27.506799999999998</v>
      </c>
    </row>
    <row r="8842" spans="1:37" x14ac:dyDescent="0.3">
      <c r="A8842">
        <v>8841</v>
      </c>
      <c r="B8842">
        <v>0</v>
      </c>
      <c r="C8842">
        <v>39.767400000000002</v>
      </c>
      <c r="D8842">
        <v>12.629300000000001</v>
      </c>
      <c r="E8842" t="s">
        <v>13381</v>
      </c>
      <c r="F8842" t="s">
        <v>13382</v>
      </c>
      <c r="G8842" t="s">
        <v>37</v>
      </c>
      <c r="H8842">
        <v>1976</v>
      </c>
      <c r="I8842">
        <v>22.6</v>
      </c>
      <c r="J8842">
        <v>15.9</v>
      </c>
      <c r="K8842">
        <v>68</v>
      </c>
      <c r="L8842">
        <v>18.152539999999998</v>
      </c>
      <c r="M8842">
        <v>35.20102</v>
      </c>
      <c r="N8842">
        <v>12.098979999999999</v>
      </c>
      <c r="O8842">
        <v>23.102029999999999</v>
      </c>
      <c r="P8842">
        <v>23.5</v>
      </c>
      <c r="Q8842">
        <v>21.198979999999999</v>
      </c>
      <c r="R8842">
        <v>24.901019999999999</v>
      </c>
      <c r="S8842">
        <v>20.2</v>
      </c>
      <c r="T8842">
        <v>708</v>
      </c>
      <c r="U8842">
        <v>162</v>
      </c>
      <c r="V8842">
        <v>11</v>
      </c>
      <c r="W8842">
        <v>88</v>
      </c>
      <c r="X8842">
        <v>338.0102</v>
      </c>
      <c r="Y8842">
        <v>58</v>
      </c>
      <c r="Z8842">
        <v>185.0102</v>
      </c>
      <c r="AA8842">
        <v>88</v>
      </c>
      <c r="AB8842">
        <v>60.287260000000003</v>
      </c>
      <c r="AC8842">
        <v>2.113143E-2</v>
      </c>
      <c r="AD8842">
        <v>2.8778589999999999</v>
      </c>
      <c r="AE8842">
        <v>0.4429554</v>
      </c>
      <c r="AF8842">
        <v>1608.671</v>
      </c>
      <c r="AG8842">
        <f>IFERROR(AH8842*0.1, "N/A")</f>
        <v>7.4</v>
      </c>
      <c r="AH8842">
        <v>74</v>
      </c>
      <c r="AI8842">
        <v>183.3604</v>
      </c>
      <c r="AJ8842">
        <v>30.00339</v>
      </c>
      <c r="AK8842">
        <v>37.986440000000002</v>
      </c>
    </row>
    <row r="8843" spans="1:37" x14ac:dyDescent="0.3">
      <c r="A8843">
        <v>8842</v>
      </c>
      <c r="B8843">
        <v>0</v>
      </c>
      <c r="C8843">
        <v>39.502899999999997</v>
      </c>
      <c r="D8843">
        <v>12.722899999999999</v>
      </c>
      <c r="E8843" t="s">
        <v>13383</v>
      </c>
      <c r="F8843" t="s">
        <v>13384</v>
      </c>
      <c r="G8843" t="s">
        <v>37</v>
      </c>
      <c r="H8843">
        <v>2009</v>
      </c>
      <c r="I8843">
        <v>15.6</v>
      </c>
      <c r="J8843">
        <v>16.2</v>
      </c>
      <c r="K8843">
        <v>69</v>
      </c>
      <c r="L8843">
        <v>16.88</v>
      </c>
      <c r="M8843">
        <v>27.7</v>
      </c>
      <c r="N8843">
        <v>4.5</v>
      </c>
      <c r="O8843">
        <v>23.2</v>
      </c>
      <c r="P8843">
        <v>16.600000000000001</v>
      </c>
      <c r="Q8843">
        <v>13.7</v>
      </c>
      <c r="R8843">
        <v>17.8</v>
      </c>
      <c r="S8843">
        <v>13.7</v>
      </c>
      <c r="T8843">
        <v>728</v>
      </c>
      <c r="U8843">
        <v>222</v>
      </c>
      <c r="V8843">
        <v>9</v>
      </c>
      <c r="W8843">
        <v>116</v>
      </c>
      <c r="X8843">
        <v>487</v>
      </c>
      <c r="Y8843">
        <v>32</v>
      </c>
      <c r="Z8843">
        <v>268</v>
      </c>
      <c r="AA8843">
        <v>37</v>
      </c>
      <c r="AB8843">
        <v>23.62134</v>
      </c>
      <c r="AC8843">
        <v>0.38917620000000003</v>
      </c>
      <c r="AD8843">
        <v>12.065440000000001</v>
      </c>
      <c r="AE8843">
        <v>0.57189710000000005</v>
      </c>
      <c r="AF8843">
        <v>2611.0509999999999</v>
      </c>
      <c r="AG8843">
        <f>IFERROR(AH8843*0.1, "N/A")</f>
        <v>6.6000000000000005</v>
      </c>
      <c r="AH8843">
        <v>66</v>
      </c>
      <c r="AI8843">
        <v>298.1223</v>
      </c>
      <c r="AJ8843">
        <v>47</v>
      </c>
      <c r="AK8843">
        <v>31</v>
      </c>
    </row>
    <row r="8844" spans="1:37" x14ac:dyDescent="0.3">
      <c r="A8844">
        <v>8843</v>
      </c>
      <c r="B8844">
        <v>0</v>
      </c>
      <c r="C8844">
        <v>39.6023</v>
      </c>
      <c r="D8844">
        <v>12.732699999999999</v>
      </c>
      <c r="E8844" t="s">
        <v>13385</v>
      </c>
      <c r="F8844" t="s">
        <v>13386</v>
      </c>
      <c r="G8844" t="s">
        <v>37</v>
      </c>
      <c r="H8844">
        <v>2009</v>
      </c>
      <c r="I8844">
        <v>21.6</v>
      </c>
      <c r="J8844">
        <v>16.2</v>
      </c>
      <c r="K8844">
        <v>69</v>
      </c>
      <c r="L8844">
        <v>17.16</v>
      </c>
      <c r="M8844">
        <v>34.200000000000003</v>
      </c>
      <c r="N8844">
        <v>10.8</v>
      </c>
      <c r="O8844">
        <v>23.4</v>
      </c>
      <c r="P8844">
        <v>22.3</v>
      </c>
      <c r="Q8844">
        <v>20.2</v>
      </c>
      <c r="R8844">
        <v>23.9</v>
      </c>
      <c r="S8844">
        <v>19.399999999999999</v>
      </c>
      <c r="T8844">
        <v>693</v>
      </c>
      <c r="U8844">
        <v>178</v>
      </c>
      <c r="V8844">
        <v>14</v>
      </c>
      <c r="W8844">
        <v>97</v>
      </c>
      <c r="X8844">
        <v>374</v>
      </c>
      <c r="Y8844">
        <v>49</v>
      </c>
      <c r="Z8844">
        <v>207</v>
      </c>
      <c r="AA8844">
        <v>67</v>
      </c>
      <c r="AB8844">
        <v>38.692259999999997</v>
      </c>
      <c r="AC8844">
        <v>3.1633559999999998E-2</v>
      </c>
      <c r="AD8844">
        <v>6.229476</v>
      </c>
      <c r="AE8844">
        <v>0.32958290000000001</v>
      </c>
      <c r="AF8844">
        <v>1856.6</v>
      </c>
      <c r="AG8844">
        <f>IFERROR(AH8844*0.1, "N/A")</f>
        <v>6.9277030000000002</v>
      </c>
      <c r="AH8844">
        <v>69.277029999999996</v>
      </c>
      <c r="AI8844">
        <v>118.0699</v>
      </c>
      <c r="AJ8844">
        <v>37.777030000000003</v>
      </c>
      <c r="AK8844">
        <v>34.222969999999997</v>
      </c>
    </row>
    <row r="8845" spans="1:37" x14ac:dyDescent="0.3">
      <c r="A8845">
        <v>8844</v>
      </c>
      <c r="B8845">
        <v>0</v>
      </c>
      <c r="C8845">
        <v>39.526299999999999</v>
      </c>
      <c r="D8845">
        <v>12.758100000000001</v>
      </c>
      <c r="E8845" t="s">
        <v>13387</v>
      </c>
      <c r="F8845" t="s">
        <v>13388</v>
      </c>
      <c r="G8845" t="s">
        <v>37</v>
      </c>
      <c r="H8845">
        <v>2009</v>
      </c>
      <c r="I8845">
        <v>16.688479999999998</v>
      </c>
      <c r="J8845">
        <v>16.399999999999999</v>
      </c>
      <c r="K8845">
        <v>68</v>
      </c>
      <c r="L8845">
        <v>18.297149999999998</v>
      </c>
      <c r="M8845">
        <v>29.282710000000002</v>
      </c>
      <c r="N8845">
        <v>5.3884749999999997</v>
      </c>
      <c r="O8845">
        <v>23.89424</v>
      </c>
      <c r="P8845">
        <v>17.78847</v>
      </c>
      <c r="Q8845">
        <v>14.694240000000001</v>
      </c>
      <c r="R8845">
        <v>19.082709999999999</v>
      </c>
      <c r="S8845">
        <v>14.49424</v>
      </c>
      <c r="T8845">
        <v>763.07799999999997</v>
      </c>
      <c r="U8845">
        <v>207.11529999999999</v>
      </c>
      <c r="V8845">
        <v>10.94237</v>
      </c>
      <c r="W8845">
        <v>99.230509999999995</v>
      </c>
      <c r="X8845">
        <v>457.17290000000003</v>
      </c>
      <c r="Y8845">
        <v>46.711860000000001</v>
      </c>
      <c r="Z8845">
        <v>260</v>
      </c>
      <c r="AA8845">
        <v>50.769489999999998</v>
      </c>
      <c r="AB8845">
        <v>42.092129999999997</v>
      </c>
      <c r="AC8845">
        <v>0.10574359999999999</v>
      </c>
      <c r="AD8845">
        <v>3.8993060000000002</v>
      </c>
      <c r="AE8845">
        <v>0.58916579999999996</v>
      </c>
      <c r="AF8845">
        <v>2455.3710000000001</v>
      </c>
      <c r="AG8845">
        <f>IFERROR(AH8845*0.1, "N/A")</f>
        <v>6.9093220000000004</v>
      </c>
      <c r="AH8845">
        <v>69.093220000000002</v>
      </c>
      <c r="AI8845">
        <v>146.50479999999999</v>
      </c>
      <c r="AJ8845">
        <v>50.328809999999997</v>
      </c>
      <c r="AK8845">
        <v>23.97288</v>
      </c>
    </row>
    <row r="8846" spans="1:37" x14ac:dyDescent="0.3">
      <c r="A8846">
        <v>8845</v>
      </c>
      <c r="B8846">
        <v>0</v>
      </c>
      <c r="C8846">
        <v>39.7667</v>
      </c>
      <c r="D8846">
        <v>12.783300000000001</v>
      </c>
      <c r="E8846" t="s">
        <v>13389</v>
      </c>
      <c r="F8846" t="s">
        <v>13390</v>
      </c>
      <c r="G8846" t="s">
        <v>37</v>
      </c>
      <c r="H8846">
        <v>1998</v>
      </c>
      <c r="I8846">
        <v>22.7</v>
      </c>
      <c r="J8846">
        <v>15.9</v>
      </c>
      <c r="K8846">
        <v>69</v>
      </c>
      <c r="L8846">
        <v>17.643750000000001</v>
      </c>
      <c r="M8846">
        <v>35.068989999999999</v>
      </c>
      <c r="N8846">
        <v>12.1</v>
      </c>
      <c r="O8846">
        <v>22.968990000000002</v>
      </c>
      <c r="P8846">
        <v>23.51465</v>
      </c>
      <c r="Q8846">
        <v>21.3</v>
      </c>
      <c r="R8846">
        <v>24.968990000000002</v>
      </c>
      <c r="S8846">
        <v>20.31465</v>
      </c>
      <c r="T8846">
        <v>652.21289999999999</v>
      </c>
      <c r="U8846">
        <v>158.42590000000001</v>
      </c>
      <c r="V8846">
        <v>13</v>
      </c>
      <c r="W8846">
        <v>90</v>
      </c>
      <c r="X8846">
        <v>329.42419999999998</v>
      </c>
      <c r="Y8846">
        <v>53.689950000000003</v>
      </c>
      <c r="Z8846">
        <v>182.42590000000001</v>
      </c>
      <c r="AA8846">
        <v>78.836460000000002</v>
      </c>
      <c r="AB8846">
        <v>6.9917860000000003</v>
      </c>
      <c r="AC8846">
        <v>0.20320379999999999</v>
      </c>
      <c r="AD8846">
        <v>1.364114</v>
      </c>
      <c r="AE8846">
        <v>0.47411189999999998</v>
      </c>
      <c r="AF8846">
        <v>1584.434</v>
      </c>
      <c r="AG8846">
        <f>IFERROR(AH8846*0.1, "N/A")</f>
        <v>7.8574110000000008</v>
      </c>
      <c r="AH8846">
        <v>78.574110000000005</v>
      </c>
      <c r="AI8846">
        <v>128.22909999999999</v>
      </c>
      <c r="AJ8846">
        <v>37.425890000000003</v>
      </c>
      <c r="AK8846">
        <v>33.574109999999997</v>
      </c>
    </row>
    <row r="8847" spans="1:37" x14ac:dyDescent="0.3">
      <c r="A8847">
        <v>8846</v>
      </c>
      <c r="B8847">
        <v>0</v>
      </c>
      <c r="C8847">
        <v>39.539299999999997</v>
      </c>
      <c r="D8847">
        <v>12.7842</v>
      </c>
      <c r="E8847" t="s">
        <v>13391</v>
      </c>
      <c r="F8847" t="s">
        <v>13392</v>
      </c>
      <c r="G8847" t="s">
        <v>37</v>
      </c>
      <c r="H8847">
        <v>1996</v>
      </c>
      <c r="I8847">
        <v>16.7</v>
      </c>
      <c r="J8847">
        <v>16.399999999999999</v>
      </c>
      <c r="K8847">
        <v>68</v>
      </c>
      <c r="L8847">
        <v>18.29</v>
      </c>
      <c r="M8847">
        <v>29.3</v>
      </c>
      <c r="N8847">
        <v>5.4</v>
      </c>
      <c r="O8847">
        <v>23.9</v>
      </c>
      <c r="P8847">
        <v>17.8</v>
      </c>
      <c r="Q8847">
        <v>14.7</v>
      </c>
      <c r="R8847">
        <v>19.100000000000001</v>
      </c>
      <c r="S8847">
        <v>14.6</v>
      </c>
      <c r="T8847">
        <v>753</v>
      </c>
      <c r="U8847">
        <v>204</v>
      </c>
      <c r="V8847">
        <v>10</v>
      </c>
      <c r="W8847">
        <v>99</v>
      </c>
      <c r="X8847">
        <v>448</v>
      </c>
      <c r="Y8847">
        <v>46</v>
      </c>
      <c r="Z8847">
        <v>259</v>
      </c>
      <c r="AA8847">
        <v>50</v>
      </c>
      <c r="AB8847">
        <v>12.186590000000001</v>
      </c>
      <c r="AC8847">
        <v>4.7761369999999997E-2</v>
      </c>
      <c r="AD8847">
        <v>2.8793160000000002</v>
      </c>
      <c r="AE8847">
        <v>0.60130410000000001</v>
      </c>
      <c r="AF8847">
        <v>2415.703</v>
      </c>
      <c r="AG8847">
        <f>IFERROR(AH8847*0.1, "N/A")</f>
        <v>6.9543290000000004</v>
      </c>
      <c r="AH8847">
        <v>69.543289999999999</v>
      </c>
      <c r="AI8847">
        <v>59.876739999999998</v>
      </c>
      <c r="AJ8847">
        <v>42.066209999999998</v>
      </c>
      <c r="AK8847">
        <v>32.886249999999997</v>
      </c>
    </row>
    <row r="8848" spans="1:37" x14ac:dyDescent="0.3">
      <c r="A8848">
        <v>8847</v>
      </c>
      <c r="B8848">
        <v>47.6</v>
      </c>
      <c r="C8848">
        <v>39.542200000000001</v>
      </c>
      <c r="D8848">
        <v>12.7875</v>
      </c>
      <c r="E8848" t="s">
        <v>13393</v>
      </c>
      <c r="F8848" t="s">
        <v>13394</v>
      </c>
      <c r="G8848" t="s">
        <v>37</v>
      </c>
      <c r="H8848">
        <v>1998</v>
      </c>
      <c r="I8848">
        <v>16.893070000000002</v>
      </c>
      <c r="J8848">
        <v>16.399999999999999</v>
      </c>
      <c r="K8848">
        <v>68</v>
      </c>
      <c r="L8848">
        <v>18.367229999999999</v>
      </c>
      <c r="M8848">
        <v>29.493069999999999</v>
      </c>
      <c r="N8848">
        <v>5.5287160000000002</v>
      </c>
      <c r="O8848">
        <v>23.964359999999999</v>
      </c>
      <c r="P8848">
        <v>17.993069999999999</v>
      </c>
      <c r="Q8848">
        <v>14.828720000000001</v>
      </c>
      <c r="R8848">
        <v>19.29307</v>
      </c>
      <c r="S8848">
        <v>14.66436</v>
      </c>
      <c r="T8848">
        <v>752.35640000000001</v>
      </c>
      <c r="U8848">
        <v>202.71279999999999</v>
      </c>
      <c r="V8848">
        <v>10</v>
      </c>
      <c r="W8848">
        <v>98.35642</v>
      </c>
      <c r="X8848">
        <v>445.42570000000001</v>
      </c>
      <c r="Y8848">
        <v>46</v>
      </c>
      <c r="Z8848">
        <v>257.0693</v>
      </c>
      <c r="AA8848">
        <v>50.64358</v>
      </c>
      <c r="AB8848">
        <v>5.625</v>
      </c>
      <c r="AC8848">
        <v>0.89140949999999997</v>
      </c>
      <c r="AD8848">
        <v>6.7427669999999997</v>
      </c>
      <c r="AE8848">
        <v>0.61968480000000004</v>
      </c>
      <c r="AF8848">
        <v>2392.2060000000001</v>
      </c>
      <c r="AG8848">
        <f>IFERROR(AH8848*0.1, "N/A")</f>
        <v>6.7782090000000004</v>
      </c>
      <c r="AH8848">
        <v>67.782089999999997</v>
      </c>
      <c r="AI8848">
        <v>278.51280000000003</v>
      </c>
      <c r="AJ8848">
        <v>43</v>
      </c>
      <c r="AK8848">
        <v>29.71284</v>
      </c>
    </row>
    <row r="8849" spans="1:37" x14ac:dyDescent="0.3">
      <c r="A8849">
        <v>8848</v>
      </c>
      <c r="B8849">
        <v>0</v>
      </c>
      <c r="C8849">
        <v>39.5488</v>
      </c>
      <c r="D8849">
        <v>12.797800000000001</v>
      </c>
      <c r="E8849" t="s">
        <v>13395</v>
      </c>
      <c r="F8849" t="s">
        <v>13396</v>
      </c>
      <c r="G8849" t="s">
        <v>37</v>
      </c>
      <c r="H8849">
        <v>2009</v>
      </c>
      <c r="I8849">
        <v>16.8</v>
      </c>
      <c r="J8849">
        <v>16.399999999999999</v>
      </c>
      <c r="K8849">
        <v>68</v>
      </c>
      <c r="L8849">
        <v>18.559999999999999</v>
      </c>
      <c r="M8849">
        <v>29.5</v>
      </c>
      <c r="N8849">
        <v>5.5</v>
      </c>
      <c r="O8849">
        <v>24</v>
      </c>
      <c r="P8849">
        <v>17.899999999999999</v>
      </c>
      <c r="Q8849">
        <v>14.8</v>
      </c>
      <c r="R8849">
        <v>19.3</v>
      </c>
      <c r="S8849">
        <v>14.6</v>
      </c>
      <c r="T8849">
        <v>750</v>
      </c>
      <c r="U8849">
        <v>203</v>
      </c>
      <c r="V8849">
        <v>10</v>
      </c>
      <c r="W8849">
        <v>98</v>
      </c>
      <c r="X8849">
        <v>445</v>
      </c>
      <c r="Y8849">
        <v>46</v>
      </c>
      <c r="Z8849">
        <v>257</v>
      </c>
      <c r="AA8849">
        <v>50</v>
      </c>
      <c r="AB8849">
        <v>12.347939999999999</v>
      </c>
      <c r="AC8849">
        <v>2.8194270000000001</v>
      </c>
      <c r="AD8849">
        <v>8.3150069999999996</v>
      </c>
      <c r="AE8849">
        <v>0.61151679999999997</v>
      </c>
      <c r="AF8849">
        <v>2372.973</v>
      </c>
      <c r="AG8849">
        <f>IFERROR(AH8849*0.1, "N/A")</f>
        <v>6.9413270000000002</v>
      </c>
      <c r="AH8849">
        <v>69.413269999999997</v>
      </c>
      <c r="AI8849">
        <v>90.165989999999994</v>
      </c>
      <c r="AJ8849">
        <v>47.714289999999998</v>
      </c>
      <c r="AK8849">
        <v>28.28912</v>
      </c>
    </row>
    <row r="8850" spans="1:37" x14ac:dyDescent="0.3">
      <c r="A8850">
        <v>8849</v>
      </c>
      <c r="B8850">
        <v>0</v>
      </c>
      <c r="C8850">
        <v>41.4</v>
      </c>
      <c r="D8850">
        <v>12.8</v>
      </c>
      <c r="E8850" t="s">
        <v>13397</v>
      </c>
      <c r="F8850" t="s">
        <v>13398</v>
      </c>
      <c r="G8850" t="s">
        <v>37</v>
      </c>
      <c r="H8850">
        <v>1987</v>
      </c>
      <c r="I8850">
        <v>29.956199999999999</v>
      </c>
      <c r="J8850">
        <v>10.7</v>
      </c>
      <c r="K8850">
        <v>56</v>
      </c>
      <c r="L8850">
        <v>28.182780000000001</v>
      </c>
      <c r="M8850">
        <v>39.799999999999997</v>
      </c>
      <c r="N8850">
        <v>20.767569999999999</v>
      </c>
      <c r="O8850">
        <v>19.032430000000002</v>
      </c>
      <c r="P8850">
        <v>32.9</v>
      </c>
      <c r="Q8850">
        <v>31.867570000000001</v>
      </c>
      <c r="R8850">
        <v>33.4</v>
      </c>
      <c r="S8850">
        <v>26.2</v>
      </c>
      <c r="T8850">
        <v>133</v>
      </c>
      <c r="U8850">
        <v>27</v>
      </c>
      <c r="V8850">
        <v>2</v>
      </c>
      <c r="W8850">
        <v>57</v>
      </c>
      <c r="X8850">
        <v>57</v>
      </c>
      <c r="Y8850">
        <v>14</v>
      </c>
      <c r="Z8850">
        <v>50</v>
      </c>
      <c r="AA8850">
        <v>30</v>
      </c>
      <c r="AB8850">
        <v>5.1061129999999997</v>
      </c>
      <c r="AC8850">
        <v>4.7687130000000001E-2</v>
      </c>
      <c r="AD8850">
        <v>1.724283</v>
      </c>
      <c r="AE8850">
        <v>0.1227019</v>
      </c>
      <c r="AF8850">
        <v>114.82680000000001</v>
      </c>
      <c r="AG8850">
        <f>IFERROR(AH8850*0.1, "N/A")</f>
        <v>8.028353000000001</v>
      </c>
      <c r="AH8850">
        <v>80.283529999999999</v>
      </c>
      <c r="AI8850">
        <v>215.57730000000001</v>
      </c>
      <c r="AJ8850">
        <v>10.283530000000001</v>
      </c>
      <c r="AK8850">
        <v>80.716470000000001</v>
      </c>
    </row>
    <row r="8851" spans="1:37" x14ac:dyDescent="0.3">
      <c r="A8851">
        <v>8850</v>
      </c>
      <c r="B8851">
        <v>8.5</v>
      </c>
      <c r="C8851">
        <v>39.631599999999999</v>
      </c>
      <c r="D8851">
        <v>12.8127</v>
      </c>
      <c r="E8851" t="s">
        <v>13399</v>
      </c>
      <c r="F8851" t="s">
        <v>13400</v>
      </c>
      <c r="G8851" t="s">
        <v>37</v>
      </c>
      <c r="H8851">
        <v>1996</v>
      </c>
      <c r="I8851">
        <v>21.7</v>
      </c>
      <c r="J8851">
        <v>16.100000000000001</v>
      </c>
      <c r="K8851">
        <v>69</v>
      </c>
      <c r="L8851">
        <v>17.149999999999999</v>
      </c>
      <c r="M8851">
        <v>34</v>
      </c>
      <c r="N8851">
        <v>10.8</v>
      </c>
      <c r="O8851">
        <v>23.2</v>
      </c>
      <c r="P8851">
        <v>22.4</v>
      </c>
      <c r="Q8851">
        <v>20.3</v>
      </c>
      <c r="R8851">
        <v>23.9</v>
      </c>
      <c r="S8851">
        <v>19.399999999999999</v>
      </c>
      <c r="T8851">
        <v>656</v>
      </c>
      <c r="U8851">
        <v>175</v>
      </c>
      <c r="V8851">
        <v>13</v>
      </c>
      <c r="W8851">
        <v>99</v>
      </c>
      <c r="X8851">
        <v>367</v>
      </c>
      <c r="Y8851">
        <v>45</v>
      </c>
      <c r="Z8851">
        <v>203</v>
      </c>
      <c r="AA8851">
        <v>62</v>
      </c>
      <c r="AB8851">
        <v>14.960750000000001</v>
      </c>
      <c r="AC8851">
        <v>2.3247540000000001E-2</v>
      </c>
      <c r="AD8851">
        <v>1.8434699999999999</v>
      </c>
      <c r="AE8851">
        <v>0.50460000000000005</v>
      </c>
      <c r="AF8851">
        <v>1822.518</v>
      </c>
      <c r="AG8851">
        <f>IFERROR(AH8851*0.1, "N/A")</f>
        <v>7.6000000000000005</v>
      </c>
      <c r="AH8851">
        <v>76</v>
      </c>
      <c r="AI8851">
        <v>109.7919</v>
      </c>
      <c r="AJ8851">
        <v>42</v>
      </c>
      <c r="AK8851">
        <v>33.052630000000001</v>
      </c>
    </row>
    <row r="8852" spans="1:37" x14ac:dyDescent="0.3">
      <c r="A8852">
        <v>8851</v>
      </c>
      <c r="B8852">
        <v>8.3000000000000007</v>
      </c>
      <c r="C8852">
        <v>36.155200000000001</v>
      </c>
      <c r="D8852">
        <v>12.953799999999999</v>
      </c>
      <c r="E8852" t="s">
        <v>13401</v>
      </c>
      <c r="F8852" t="s">
        <v>13402</v>
      </c>
      <c r="G8852" t="s">
        <v>37</v>
      </c>
      <c r="H8852">
        <v>1974</v>
      </c>
      <c r="I8852">
        <v>28.2</v>
      </c>
      <c r="J8852">
        <v>16.3</v>
      </c>
      <c r="K8852">
        <v>75</v>
      </c>
      <c r="L8852">
        <v>13.55</v>
      </c>
      <c r="M8852">
        <v>40.299999999999997</v>
      </c>
      <c r="N8852">
        <v>18.7</v>
      </c>
      <c r="O8852">
        <v>21.6</v>
      </c>
      <c r="P8852">
        <v>26.4</v>
      </c>
      <c r="Q8852">
        <v>28.4</v>
      </c>
      <c r="R8852">
        <v>30</v>
      </c>
      <c r="S8852">
        <v>26.4</v>
      </c>
      <c r="T8852">
        <v>896</v>
      </c>
      <c r="U8852">
        <v>233</v>
      </c>
      <c r="V8852">
        <v>0</v>
      </c>
      <c r="W8852">
        <v>116</v>
      </c>
      <c r="X8852">
        <v>609</v>
      </c>
      <c r="Y8852">
        <v>0</v>
      </c>
      <c r="Z8852">
        <v>12</v>
      </c>
      <c r="AA8852">
        <v>609</v>
      </c>
      <c r="AB8852">
        <v>7.6160870000000003</v>
      </c>
      <c r="AC8852">
        <v>1.559729E-2</v>
      </c>
      <c r="AD8852">
        <v>1.927146</v>
      </c>
      <c r="AE8852">
        <v>0.30902469999999999</v>
      </c>
      <c r="AF8852">
        <v>714.80709999999999</v>
      </c>
      <c r="AG8852">
        <f>IFERROR(AH8852*0.1, "N/A")</f>
        <v>7.4593910000000001</v>
      </c>
      <c r="AH8852">
        <v>74.593909999999994</v>
      </c>
      <c r="AI8852">
        <v>138.85720000000001</v>
      </c>
      <c r="AJ8852">
        <v>43.429780000000001</v>
      </c>
      <c r="AK8852">
        <v>29.140440000000002</v>
      </c>
    </row>
    <row r="8853" spans="1:37" x14ac:dyDescent="0.3">
      <c r="A8853">
        <v>8852</v>
      </c>
      <c r="B8853">
        <v>3.8</v>
      </c>
      <c r="C8853">
        <v>39.4</v>
      </c>
      <c r="D8853">
        <v>12.966699999999999</v>
      </c>
      <c r="E8853" t="s">
        <v>13403</v>
      </c>
      <c r="F8853" t="s">
        <v>13404</v>
      </c>
      <c r="G8853" t="s">
        <v>37</v>
      </c>
      <c r="H8853">
        <v>1996</v>
      </c>
      <c r="I8853">
        <v>17.15279</v>
      </c>
      <c r="J8853">
        <v>16.11083</v>
      </c>
      <c r="K8853">
        <v>70.475470000000001</v>
      </c>
      <c r="L8853">
        <v>15.35594</v>
      </c>
      <c r="M8853">
        <v>28.852789999999999</v>
      </c>
      <c r="N8853">
        <v>6.1786799999999999</v>
      </c>
      <c r="O8853">
        <v>22.674109999999999</v>
      </c>
      <c r="P8853">
        <v>17.668019999999999</v>
      </c>
      <c r="Q8853">
        <v>15.33723</v>
      </c>
      <c r="R8853">
        <v>19.15279</v>
      </c>
      <c r="S8853">
        <v>15.33723</v>
      </c>
      <c r="T8853">
        <v>639.87649999999996</v>
      </c>
      <c r="U8853">
        <v>207.96449999999999</v>
      </c>
      <c r="V8853">
        <v>4.3248730000000002</v>
      </c>
      <c r="W8853">
        <v>125.0474</v>
      </c>
      <c r="X8853">
        <v>449.69040000000001</v>
      </c>
      <c r="Y8853">
        <v>19.21658</v>
      </c>
      <c r="Z8853">
        <v>107.3993</v>
      </c>
      <c r="AA8853">
        <v>19.758040000000001</v>
      </c>
      <c r="AB8853">
        <v>251.05529999999999</v>
      </c>
      <c r="AC8853">
        <v>0.1018416</v>
      </c>
      <c r="AD8853">
        <v>47.419609999999999</v>
      </c>
      <c r="AE8853">
        <v>0.47392600000000001</v>
      </c>
      <c r="AF8853">
        <v>2318.8969999999999</v>
      </c>
      <c r="AG8853">
        <f>IFERROR(AH8853*0.1, "N/A")</f>
        <v>6.5060910000000014</v>
      </c>
      <c r="AH8853">
        <v>65.060910000000007</v>
      </c>
      <c r="AI8853">
        <v>254.02789999999999</v>
      </c>
      <c r="AJ8853">
        <v>36.631129999999999</v>
      </c>
      <c r="AK8853">
        <v>32.170900000000003</v>
      </c>
    </row>
    <row r="8854" spans="1:37" x14ac:dyDescent="0.3">
      <c r="A8854">
        <v>8853</v>
      </c>
      <c r="B8854">
        <v>0</v>
      </c>
      <c r="C8854">
        <v>39.526800000000001</v>
      </c>
      <c r="D8854">
        <v>12.9781</v>
      </c>
      <c r="E8854" t="s">
        <v>13405</v>
      </c>
      <c r="F8854" t="s">
        <v>13406</v>
      </c>
      <c r="G8854" t="s">
        <v>37</v>
      </c>
      <c r="H8854">
        <v>1996</v>
      </c>
      <c r="I8854">
        <v>12.2</v>
      </c>
      <c r="J8854">
        <v>15.5</v>
      </c>
      <c r="K8854">
        <v>71</v>
      </c>
      <c r="L8854">
        <v>14.94</v>
      </c>
      <c r="M8854">
        <v>23.2</v>
      </c>
      <c r="N8854">
        <v>1.5</v>
      </c>
      <c r="O8854">
        <v>21.7</v>
      </c>
      <c r="P8854">
        <v>13</v>
      </c>
      <c r="Q8854">
        <v>10.3</v>
      </c>
      <c r="R8854">
        <v>14</v>
      </c>
      <c r="S8854">
        <v>10.3</v>
      </c>
      <c r="T8854">
        <v>746</v>
      </c>
      <c r="U8854">
        <v>235</v>
      </c>
      <c r="V8854">
        <v>5</v>
      </c>
      <c r="W8854">
        <v>122</v>
      </c>
      <c r="X8854">
        <v>522</v>
      </c>
      <c r="Y8854">
        <v>19</v>
      </c>
      <c r="Z8854">
        <v>301</v>
      </c>
      <c r="AA8854">
        <v>19</v>
      </c>
      <c r="AB8854">
        <v>337.56959999999998</v>
      </c>
      <c r="AC8854">
        <v>8.4893750000000004E-3</v>
      </c>
      <c r="AD8854">
        <v>9.6894380000000009</v>
      </c>
      <c r="AE8854">
        <v>0.49497360000000001</v>
      </c>
      <c r="AF8854">
        <v>3181.4259999999999</v>
      </c>
      <c r="AG8854">
        <f>IFERROR(AH8854*0.1, "N/A")</f>
        <v>6.401358000000001</v>
      </c>
      <c r="AH8854">
        <v>64.013580000000005</v>
      </c>
      <c r="AI8854">
        <v>199.1129</v>
      </c>
      <c r="AJ8854">
        <v>39.823430000000002</v>
      </c>
      <c r="AK8854">
        <v>32.353140000000003</v>
      </c>
    </row>
    <row r="8855" spans="1:37" x14ac:dyDescent="0.3">
      <c r="A8855">
        <v>8854</v>
      </c>
      <c r="B8855">
        <v>2</v>
      </c>
      <c r="C8855">
        <v>40.06</v>
      </c>
      <c r="D8855">
        <v>13.18</v>
      </c>
      <c r="E8855" t="s">
        <v>13407</v>
      </c>
      <c r="F8855" t="s">
        <v>13408</v>
      </c>
      <c r="G8855" t="s">
        <v>37</v>
      </c>
      <c r="H8855">
        <v>1987</v>
      </c>
      <c r="I8855">
        <v>26.6</v>
      </c>
      <c r="J8855">
        <v>14.5</v>
      </c>
      <c r="K8855">
        <v>68</v>
      </c>
      <c r="L8855">
        <v>18.850000000000001</v>
      </c>
      <c r="M8855">
        <v>37.6</v>
      </c>
      <c r="N8855">
        <v>16.399999999999999</v>
      </c>
      <c r="O8855">
        <v>21.2</v>
      </c>
      <c r="P8855">
        <v>27.6</v>
      </c>
      <c r="Q8855">
        <v>26.3</v>
      </c>
      <c r="R8855">
        <v>28.8</v>
      </c>
      <c r="S8855">
        <v>24</v>
      </c>
      <c r="T8855">
        <v>429</v>
      </c>
      <c r="U8855">
        <v>89</v>
      </c>
      <c r="V8855">
        <v>11</v>
      </c>
      <c r="W8855">
        <v>67</v>
      </c>
      <c r="X8855">
        <v>184</v>
      </c>
      <c r="Y8855">
        <v>54</v>
      </c>
      <c r="Z8855">
        <v>107</v>
      </c>
      <c r="AA8855">
        <v>91</v>
      </c>
      <c r="AB8855">
        <v>5.3270359999999997</v>
      </c>
      <c r="AC8855">
        <v>14.6622</v>
      </c>
      <c r="AD8855">
        <v>2.1641110000000001</v>
      </c>
      <c r="AE8855">
        <v>0.2230366</v>
      </c>
      <c r="AF8855">
        <v>747.125</v>
      </c>
      <c r="AG8855">
        <f>IFERROR(AH8855*0.1, "N/A")</f>
        <v>8.0339530000000003</v>
      </c>
      <c r="AH8855">
        <v>80.339529999999996</v>
      </c>
      <c r="AI8855">
        <v>88.897840000000002</v>
      </c>
      <c r="AJ8855">
        <v>10.67568</v>
      </c>
      <c r="AK8855">
        <v>69.625</v>
      </c>
    </row>
    <row r="8856" spans="1:37" x14ac:dyDescent="0.3">
      <c r="A8856">
        <v>8855</v>
      </c>
      <c r="B8856">
        <v>0</v>
      </c>
      <c r="C8856">
        <v>39.207999999999998</v>
      </c>
      <c r="D8856">
        <v>13.1845</v>
      </c>
      <c r="E8856" t="s">
        <v>13409</v>
      </c>
      <c r="F8856" t="s">
        <v>13410</v>
      </c>
      <c r="G8856" t="s">
        <v>37</v>
      </c>
      <c r="H8856">
        <v>1996</v>
      </c>
      <c r="I8856">
        <v>20.203060000000001</v>
      </c>
      <c r="J8856">
        <v>16.200340000000001</v>
      </c>
      <c r="K8856">
        <v>74</v>
      </c>
      <c r="L8856">
        <v>13.45054</v>
      </c>
      <c r="M8856">
        <v>30.903400000000001</v>
      </c>
      <c r="N8856">
        <v>9.2030560000000001</v>
      </c>
      <c r="O8856">
        <v>21.700340000000001</v>
      </c>
      <c r="P8856">
        <v>20.602720000000001</v>
      </c>
      <c r="Q8856">
        <v>18.703060000000001</v>
      </c>
      <c r="R8856">
        <v>22.203060000000001</v>
      </c>
      <c r="S8856">
        <v>18.703060000000001</v>
      </c>
      <c r="T8856">
        <v>624.9932</v>
      </c>
      <c r="U8856">
        <v>224.9966</v>
      </c>
      <c r="V8856">
        <v>4.0033960000000004</v>
      </c>
      <c r="W8856">
        <v>140</v>
      </c>
      <c r="X8856">
        <v>477.9796</v>
      </c>
      <c r="Y8856">
        <v>13.013579999999999</v>
      </c>
      <c r="Z8856">
        <v>105.9966</v>
      </c>
      <c r="AA8856">
        <v>13.013579999999999</v>
      </c>
      <c r="AB8856">
        <v>144.61240000000001</v>
      </c>
      <c r="AC8856">
        <v>8.3268909999999995E-3</v>
      </c>
      <c r="AD8856">
        <v>5.9205719999999999</v>
      </c>
      <c r="AE8856">
        <v>0.49551709999999999</v>
      </c>
      <c r="AF8856">
        <v>2048.1289999999999</v>
      </c>
      <c r="AG8856">
        <f>IFERROR(AH8856*0.1, "N/A")</f>
        <v>7.0161289999999994</v>
      </c>
      <c r="AH8856">
        <v>70.161289999999994</v>
      </c>
      <c r="AI8856">
        <v>270.8784</v>
      </c>
      <c r="AJ8856">
        <v>31.169779999999999</v>
      </c>
      <c r="AK8856">
        <v>43.242780000000003</v>
      </c>
    </row>
    <row r="8857" spans="1:37" x14ac:dyDescent="0.3">
      <c r="A8857">
        <v>8856</v>
      </c>
      <c r="B8857">
        <v>0</v>
      </c>
      <c r="C8857">
        <v>39.525300000000001</v>
      </c>
      <c r="D8857">
        <v>13.190099999999999</v>
      </c>
      <c r="E8857" t="s">
        <v>13411</v>
      </c>
      <c r="F8857" t="s">
        <v>13412</v>
      </c>
      <c r="G8857" t="s">
        <v>37</v>
      </c>
      <c r="H8857">
        <v>2009</v>
      </c>
      <c r="I8857">
        <v>18.64414</v>
      </c>
      <c r="J8857">
        <v>15.7</v>
      </c>
      <c r="K8857">
        <v>71</v>
      </c>
      <c r="L8857">
        <v>15.24104</v>
      </c>
      <c r="M8857">
        <v>29.82207</v>
      </c>
      <c r="N8857">
        <v>7.7220709999999997</v>
      </c>
      <c r="O8857">
        <v>22.1</v>
      </c>
      <c r="P8857">
        <v>19.022069999999999</v>
      </c>
      <c r="Q8857">
        <v>16.722069999999999</v>
      </c>
      <c r="R8857">
        <v>20.622070000000001</v>
      </c>
      <c r="S8857">
        <v>16.722069999999999</v>
      </c>
      <c r="T8857">
        <v>525.89639999999997</v>
      </c>
      <c r="U8857">
        <v>187.77930000000001</v>
      </c>
      <c r="V8857">
        <v>2</v>
      </c>
      <c r="W8857">
        <v>143</v>
      </c>
      <c r="X8857">
        <v>405.77929999999998</v>
      </c>
      <c r="Y8857">
        <v>8</v>
      </c>
      <c r="Z8857">
        <v>82.558570000000003</v>
      </c>
      <c r="AA8857">
        <v>8.6621389999999998</v>
      </c>
      <c r="AB8857">
        <v>10.76708</v>
      </c>
      <c r="AC8857">
        <v>1.239818E-2</v>
      </c>
      <c r="AD8857">
        <v>4.3162669999999999</v>
      </c>
      <c r="AE8857">
        <v>0.41175200000000001</v>
      </c>
      <c r="AF8857">
        <v>2153.886</v>
      </c>
      <c r="AG8857">
        <f>IFERROR(AH8857*0.1, "N/A")</f>
        <v>7.3779290000000008</v>
      </c>
      <c r="AH8857">
        <v>73.779290000000003</v>
      </c>
      <c r="AI8857">
        <v>313.63330000000002</v>
      </c>
      <c r="AJ8857">
        <v>32.264859999999999</v>
      </c>
      <c r="AK8857">
        <v>35.757219999999997</v>
      </c>
    </row>
    <row r="8858" spans="1:37" x14ac:dyDescent="0.3">
      <c r="A8858">
        <v>8857</v>
      </c>
      <c r="B8858">
        <v>2</v>
      </c>
      <c r="C8858">
        <v>39.443600000000004</v>
      </c>
      <c r="D8858">
        <v>13.1907</v>
      </c>
      <c r="E8858" t="s">
        <v>13413</v>
      </c>
      <c r="F8858" t="s">
        <v>13414</v>
      </c>
      <c r="G8858" t="s">
        <v>37</v>
      </c>
      <c r="H8858">
        <v>2009</v>
      </c>
      <c r="I8858">
        <v>18.600000000000001</v>
      </c>
      <c r="J8858">
        <v>15.7</v>
      </c>
      <c r="K8858">
        <v>71</v>
      </c>
      <c r="L8858">
        <v>14.63</v>
      </c>
      <c r="M8858">
        <v>29.6</v>
      </c>
      <c r="N8858">
        <v>7.7</v>
      </c>
      <c r="O8858">
        <v>21.9</v>
      </c>
      <c r="P8858">
        <v>18.899999999999999</v>
      </c>
      <c r="Q8858">
        <v>16.7</v>
      </c>
      <c r="R8858">
        <v>20.6</v>
      </c>
      <c r="S8858">
        <v>16.7</v>
      </c>
      <c r="T8858">
        <v>543</v>
      </c>
      <c r="U8858">
        <v>195</v>
      </c>
      <c r="V8858">
        <v>2</v>
      </c>
      <c r="W8858">
        <v>143</v>
      </c>
      <c r="X8858">
        <v>421</v>
      </c>
      <c r="Y8858">
        <v>7</v>
      </c>
      <c r="Z8858">
        <v>86</v>
      </c>
      <c r="AA8858">
        <v>7</v>
      </c>
      <c r="AB8858">
        <v>127.43170000000001</v>
      </c>
      <c r="AC8858">
        <v>9.3162799999999997E-3</v>
      </c>
      <c r="AD8858">
        <v>3.4517259999999998</v>
      </c>
      <c r="AE8858">
        <v>0.3629308</v>
      </c>
      <c r="AF8858">
        <v>2177.3009999999999</v>
      </c>
      <c r="AG8858">
        <f>IFERROR(AH8858*0.1, "N/A")</f>
        <v>7.2344650000000001</v>
      </c>
      <c r="AH8858">
        <v>72.344650000000001</v>
      </c>
      <c r="AI8858">
        <v>43.68385</v>
      </c>
      <c r="AJ8858">
        <v>35.623089999999998</v>
      </c>
      <c r="AK8858">
        <v>37.11036</v>
      </c>
    </row>
    <row r="8859" spans="1:37" x14ac:dyDescent="0.3">
      <c r="A8859">
        <v>8858</v>
      </c>
      <c r="B8859">
        <v>19</v>
      </c>
      <c r="C8859">
        <v>39.460999999999999</v>
      </c>
      <c r="D8859">
        <v>13.2064</v>
      </c>
      <c r="E8859" t="s">
        <v>13415</v>
      </c>
      <c r="F8859" t="s">
        <v>13416</v>
      </c>
      <c r="G8859" t="s">
        <v>37</v>
      </c>
      <c r="H8859">
        <v>2009</v>
      </c>
      <c r="I8859">
        <v>19.3</v>
      </c>
      <c r="J8859">
        <v>15.7</v>
      </c>
      <c r="K8859">
        <v>71</v>
      </c>
      <c r="L8859">
        <v>14.67</v>
      </c>
      <c r="M8859">
        <v>30.3</v>
      </c>
      <c r="N8859">
        <v>8.4</v>
      </c>
      <c r="O8859">
        <v>21.9</v>
      </c>
      <c r="P8859">
        <v>19.5</v>
      </c>
      <c r="Q8859">
        <v>17.399999999999999</v>
      </c>
      <c r="R8859">
        <v>21.3</v>
      </c>
      <c r="S8859">
        <v>17.399999999999999</v>
      </c>
      <c r="T8859">
        <v>526</v>
      </c>
      <c r="U8859">
        <v>191</v>
      </c>
      <c r="V8859">
        <v>1</v>
      </c>
      <c r="W8859">
        <v>146</v>
      </c>
      <c r="X8859">
        <v>410</v>
      </c>
      <c r="Y8859">
        <v>6</v>
      </c>
      <c r="Z8859">
        <v>84</v>
      </c>
      <c r="AA8859">
        <v>6</v>
      </c>
      <c r="AB8859">
        <v>61.361919999999998</v>
      </c>
      <c r="AC8859">
        <v>1.123325E-2</v>
      </c>
      <c r="AD8859">
        <v>4.5875260000000004</v>
      </c>
      <c r="AE8859">
        <v>0.40283150000000001</v>
      </c>
      <c r="AF8859">
        <v>2078.654</v>
      </c>
      <c r="AG8859">
        <f>IFERROR(AH8859*0.1, "N/A")</f>
        <v>7.4</v>
      </c>
      <c r="AH8859">
        <v>74</v>
      </c>
      <c r="AI8859">
        <v>280.74560000000002</v>
      </c>
      <c r="AJ8859">
        <v>33</v>
      </c>
      <c r="AK8859">
        <v>37.02881</v>
      </c>
    </row>
    <row r="8860" spans="1:37" x14ac:dyDescent="0.3">
      <c r="A8860">
        <v>8859</v>
      </c>
      <c r="B8860">
        <v>1</v>
      </c>
      <c r="C8860">
        <v>39.515000000000001</v>
      </c>
      <c r="D8860">
        <v>13.249499999999999</v>
      </c>
      <c r="E8860" t="s">
        <v>13417</v>
      </c>
      <c r="F8860" t="s">
        <v>13418</v>
      </c>
      <c r="G8860" t="s">
        <v>37</v>
      </c>
      <c r="H8860">
        <v>1996</v>
      </c>
      <c r="I8860">
        <v>19.100000000000001</v>
      </c>
      <c r="J8860">
        <v>15.6</v>
      </c>
      <c r="K8860">
        <v>71</v>
      </c>
      <c r="L8860">
        <v>14.846030000000001</v>
      </c>
      <c r="M8860">
        <v>30.086760000000002</v>
      </c>
      <c r="N8860">
        <v>8.2933789999999998</v>
      </c>
      <c r="O8860">
        <v>21.793379999999999</v>
      </c>
      <c r="P8860">
        <v>19.393380000000001</v>
      </c>
      <c r="Q8860">
        <v>17.193380000000001</v>
      </c>
      <c r="R8860">
        <v>21.09338</v>
      </c>
      <c r="S8860">
        <v>17.193380000000001</v>
      </c>
      <c r="T8860">
        <v>520.06619999999998</v>
      </c>
      <c r="U8860">
        <v>188.06620000000001</v>
      </c>
      <c r="V8860">
        <v>1.933786</v>
      </c>
      <c r="W8860">
        <v>144.06620000000001</v>
      </c>
      <c r="X8860">
        <v>404.13240000000002</v>
      </c>
      <c r="Y8860">
        <v>7.9337859999999996</v>
      </c>
      <c r="Z8860">
        <v>82</v>
      </c>
      <c r="AA8860">
        <v>7.9337859999999996</v>
      </c>
      <c r="AB8860">
        <v>10.969110000000001</v>
      </c>
      <c r="AC8860">
        <v>9.3564440000000002E-3</v>
      </c>
      <c r="AD8860">
        <v>2.4859110000000002</v>
      </c>
      <c r="AE8860">
        <v>0.52954429999999997</v>
      </c>
      <c r="AF8860">
        <v>2099.9560000000001</v>
      </c>
      <c r="AG8860">
        <f>IFERROR(AH8860*0.1, "N/A")</f>
        <v>7.4563670000000002</v>
      </c>
      <c r="AH8860">
        <v>74.563670000000002</v>
      </c>
      <c r="AI8860">
        <v>192.10980000000001</v>
      </c>
      <c r="AJ8860">
        <v>33.273339999999997</v>
      </c>
      <c r="AK8860">
        <v>36</v>
      </c>
    </row>
    <row r="8861" spans="1:37" x14ac:dyDescent="0.3">
      <c r="A8861">
        <v>8860</v>
      </c>
      <c r="B8861">
        <v>0</v>
      </c>
      <c r="C8861">
        <v>39.455399999999997</v>
      </c>
      <c r="D8861">
        <v>13.3</v>
      </c>
      <c r="E8861" t="s">
        <v>13419</v>
      </c>
      <c r="F8861" t="s">
        <v>13420</v>
      </c>
      <c r="G8861" t="s">
        <v>37</v>
      </c>
      <c r="H8861">
        <v>2010</v>
      </c>
      <c r="I8861">
        <v>18.272680000000001</v>
      </c>
      <c r="J8861">
        <v>15.4</v>
      </c>
      <c r="K8861">
        <v>71</v>
      </c>
      <c r="L8861">
        <v>14.472239999999999</v>
      </c>
      <c r="M8861">
        <v>28.872679999999999</v>
      </c>
      <c r="N8861">
        <v>7.4726809999999997</v>
      </c>
      <c r="O8861">
        <v>21.4</v>
      </c>
      <c r="P8861">
        <v>18.486339999999998</v>
      </c>
      <c r="Q8861">
        <v>16.372679999999999</v>
      </c>
      <c r="R8861">
        <v>20.25902</v>
      </c>
      <c r="S8861">
        <v>16.372679999999999</v>
      </c>
      <c r="T8861">
        <v>557.27319999999997</v>
      </c>
      <c r="U8861">
        <v>201</v>
      </c>
      <c r="V8861">
        <v>2</v>
      </c>
      <c r="W8861">
        <v>144.13659999999999</v>
      </c>
      <c r="X8861">
        <v>432.13659999999999</v>
      </c>
      <c r="Y8861">
        <v>7</v>
      </c>
      <c r="Z8861">
        <v>90.136589999999998</v>
      </c>
      <c r="AA8861">
        <v>7</v>
      </c>
      <c r="AB8861">
        <v>39.98733</v>
      </c>
      <c r="AC8861">
        <v>1.7010979999999998E-2</v>
      </c>
      <c r="AD8861">
        <v>7.6917879999999998</v>
      </c>
      <c r="AE8861">
        <v>0.43286760000000002</v>
      </c>
      <c r="AF8861">
        <v>2187.2310000000002</v>
      </c>
      <c r="AG8861">
        <f>IFERROR(AH8861*0.1, "N/A")</f>
        <v>7.3853290000000005</v>
      </c>
      <c r="AH8861">
        <v>73.853290000000001</v>
      </c>
      <c r="AI8861">
        <v>30.934190000000001</v>
      </c>
      <c r="AJ8861">
        <v>36.225969999999997</v>
      </c>
      <c r="AK8861">
        <v>37.490729999999999</v>
      </c>
    </row>
    <row r="8862" spans="1:37" x14ac:dyDescent="0.3">
      <c r="A8862">
        <v>8861</v>
      </c>
      <c r="B8862">
        <v>0</v>
      </c>
      <c r="C8862">
        <v>39.458500000000001</v>
      </c>
      <c r="D8862">
        <v>13.3171</v>
      </c>
      <c r="E8862" t="s">
        <v>13421</v>
      </c>
      <c r="F8862" t="s">
        <v>13422</v>
      </c>
      <c r="G8862" t="s">
        <v>37</v>
      </c>
      <c r="H8862">
        <v>1996</v>
      </c>
      <c r="I8862">
        <v>18.117629999999998</v>
      </c>
      <c r="J8862">
        <v>15.4</v>
      </c>
      <c r="K8862">
        <v>71</v>
      </c>
      <c r="L8862">
        <v>14.53912</v>
      </c>
      <c r="M8862">
        <v>28.664069999999999</v>
      </c>
      <c r="N8862">
        <v>7.2596610000000004</v>
      </c>
      <c r="O8862">
        <v>21.404409999999999</v>
      </c>
      <c r="P8862">
        <v>18.359660000000002</v>
      </c>
      <c r="Q8862">
        <v>16.164069999999999</v>
      </c>
      <c r="R8862">
        <v>20.0061</v>
      </c>
      <c r="S8862">
        <v>16.164069999999999</v>
      </c>
      <c r="T8862">
        <v>561.6576</v>
      </c>
      <c r="U8862">
        <v>201.86779999999999</v>
      </c>
      <c r="V8862">
        <v>2</v>
      </c>
      <c r="W8862">
        <v>143.43729999999999</v>
      </c>
      <c r="X8862">
        <v>433.7627</v>
      </c>
      <c r="Y8862">
        <v>7</v>
      </c>
      <c r="Z8862">
        <v>92.403390000000002</v>
      </c>
      <c r="AA8862">
        <v>7</v>
      </c>
      <c r="AB8862">
        <v>57.005749999999999</v>
      </c>
      <c r="AC8862">
        <v>2.427615E-2</v>
      </c>
      <c r="AD8862">
        <v>7.2412809999999999</v>
      </c>
      <c r="AE8862">
        <v>0.40931200000000001</v>
      </c>
      <c r="AF8862">
        <v>2207.0610000000001</v>
      </c>
      <c r="AG8862">
        <f>IFERROR(AH8862*0.1, "N/A")</f>
        <v>7.3059320000000003</v>
      </c>
      <c r="AH8862">
        <v>73.05932</v>
      </c>
      <c r="AI8862">
        <v>58.340899999999998</v>
      </c>
      <c r="AJ8862">
        <v>34.928809999999999</v>
      </c>
      <c r="AK8862">
        <v>39.508470000000003</v>
      </c>
    </row>
    <row r="8863" spans="1:37" x14ac:dyDescent="0.3">
      <c r="A8863">
        <v>8862</v>
      </c>
      <c r="B8863">
        <v>48</v>
      </c>
      <c r="C8863">
        <v>37.882399999999997</v>
      </c>
      <c r="D8863">
        <v>13.3406</v>
      </c>
      <c r="E8863" t="s">
        <v>13423</v>
      </c>
      <c r="F8863" t="s">
        <v>13424</v>
      </c>
      <c r="G8863" t="s">
        <v>37</v>
      </c>
      <c r="H8863">
        <v>1989</v>
      </c>
      <c r="I8863">
        <v>24.7</v>
      </c>
      <c r="J8863">
        <v>17.100000000000001</v>
      </c>
      <c r="K8863">
        <v>71</v>
      </c>
      <c r="L8863">
        <v>19.510000000000002</v>
      </c>
      <c r="M8863">
        <v>37.5</v>
      </c>
      <c r="N8863">
        <v>13.6</v>
      </c>
      <c r="O8863">
        <v>23.9</v>
      </c>
      <c r="P8863">
        <v>23.6</v>
      </c>
      <c r="Q8863">
        <v>24</v>
      </c>
      <c r="R8863">
        <v>27.6</v>
      </c>
      <c r="S8863">
        <v>22.7</v>
      </c>
      <c r="T8863">
        <v>814</v>
      </c>
      <c r="U8863">
        <v>247</v>
      </c>
      <c r="V8863">
        <v>2</v>
      </c>
      <c r="W8863">
        <v>129</v>
      </c>
      <c r="X8863">
        <v>607</v>
      </c>
      <c r="Y8863">
        <v>7</v>
      </c>
      <c r="Z8863">
        <v>77</v>
      </c>
      <c r="AA8863">
        <v>586</v>
      </c>
      <c r="AB8863">
        <v>28.068719999999999</v>
      </c>
      <c r="AC8863">
        <v>5.177702E-2</v>
      </c>
      <c r="AD8863">
        <v>6.6865709999999998</v>
      </c>
      <c r="AE8863">
        <v>0.39540249999999999</v>
      </c>
      <c r="AF8863">
        <v>1239.8409999999999</v>
      </c>
      <c r="AG8863">
        <f>IFERROR(AH8863*0.1, "N/A")</f>
        <v>6.7030510000000012</v>
      </c>
      <c r="AH8863">
        <v>67.030510000000007</v>
      </c>
      <c r="AI8863">
        <v>209.93350000000001</v>
      </c>
      <c r="AJ8863">
        <v>37.55424</v>
      </c>
      <c r="AK8863">
        <v>36.105080000000001</v>
      </c>
    </row>
    <row r="8864" spans="1:37" x14ac:dyDescent="0.3">
      <c r="A8864">
        <v>8863</v>
      </c>
      <c r="B8864">
        <v>94.1</v>
      </c>
      <c r="C8864">
        <v>37.8827</v>
      </c>
      <c r="D8864">
        <v>13.3407</v>
      </c>
      <c r="E8864" t="s">
        <v>13425</v>
      </c>
      <c r="F8864" t="s">
        <v>13426</v>
      </c>
      <c r="G8864" t="s">
        <v>37</v>
      </c>
      <c r="H8864">
        <v>1976</v>
      </c>
      <c r="I8864">
        <v>24.7</v>
      </c>
      <c r="J8864">
        <v>17.100000000000001</v>
      </c>
      <c r="K8864">
        <v>71</v>
      </c>
      <c r="L8864">
        <v>19.510000000000002</v>
      </c>
      <c r="M8864">
        <v>37.5</v>
      </c>
      <c r="N8864">
        <v>13.6</v>
      </c>
      <c r="O8864">
        <v>23.9</v>
      </c>
      <c r="P8864">
        <v>23.6</v>
      </c>
      <c r="Q8864">
        <v>24</v>
      </c>
      <c r="R8864">
        <v>27.6</v>
      </c>
      <c r="S8864">
        <v>22.7</v>
      </c>
      <c r="T8864">
        <v>814</v>
      </c>
      <c r="U8864">
        <v>247</v>
      </c>
      <c r="V8864">
        <v>2</v>
      </c>
      <c r="W8864">
        <v>129</v>
      </c>
      <c r="X8864">
        <v>607</v>
      </c>
      <c r="Y8864">
        <v>7</v>
      </c>
      <c r="Z8864">
        <v>77</v>
      </c>
      <c r="AA8864">
        <v>586</v>
      </c>
      <c r="AB8864">
        <v>31.032499999999999</v>
      </c>
      <c r="AC8864">
        <v>4.5846310000000001E-2</v>
      </c>
      <c r="AD8864">
        <v>6.7199229999999996</v>
      </c>
      <c r="AE8864">
        <v>0.4031594</v>
      </c>
      <c r="AF8864">
        <v>1242.9970000000001</v>
      </c>
      <c r="AG8864">
        <f>IFERROR(AH8864*0.1, "N/A")</f>
        <v>6.7144310000000011</v>
      </c>
      <c r="AH8864">
        <v>67.144310000000004</v>
      </c>
      <c r="AI8864">
        <v>204.16759999999999</v>
      </c>
      <c r="AJ8864">
        <v>38.319189999999999</v>
      </c>
      <c r="AK8864">
        <v>35.37182</v>
      </c>
    </row>
    <row r="8865" spans="1:37" x14ac:dyDescent="0.3">
      <c r="A8865">
        <v>8864</v>
      </c>
      <c r="B8865">
        <v>42</v>
      </c>
      <c r="C8865">
        <v>39.5276</v>
      </c>
      <c r="D8865">
        <v>13.3605</v>
      </c>
      <c r="E8865" t="s">
        <v>13427</v>
      </c>
      <c r="F8865" t="s">
        <v>13428</v>
      </c>
      <c r="G8865" t="s">
        <v>37</v>
      </c>
      <c r="H8865">
        <v>2010</v>
      </c>
      <c r="I8865">
        <v>17.8</v>
      </c>
      <c r="J8865">
        <v>15.2</v>
      </c>
      <c r="K8865">
        <v>71</v>
      </c>
      <c r="L8865">
        <v>14.85</v>
      </c>
      <c r="M8865">
        <v>28.2</v>
      </c>
      <c r="N8865">
        <v>6.9</v>
      </c>
      <c r="O8865">
        <v>21.3</v>
      </c>
      <c r="P8865">
        <v>18.2</v>
      </c>
      <c r="Q8865">
        <v>15.7</v>
      </c>
      <c r="R8865">
        <v>19.600000000000001</v>
      </c>
      <c r="S8865">
        <v>15.7</v>
      </c>
      <c r="T8865">
        <v>562</v>
      </c>
      <c r="U8865">
        <v>198</v>
      </c>
      <c r="V8865">
        <v>2</v>
      </c>
      <c r="W8865">
        <v>142</v>
      </c>
      <c r="X8865">
        <v>426</v>
      </c>
      <c r="Y8865">
        <v>9</v>
      </c>
      <c r="Z8865">
        <v>94</v>
      </c>
      <c r="AA8865">
        <v>9</v>
      </c>
      <c r="AB8865">
        <v>71.778009999999995</v>
      </c>
      <c r="AC8865">
        <v>1.379349E-2</v>
      </c>
      <c r="AD8865">
        <v>5.0290540000000004</v>
      </c>
      <c r="AE8865">
        <v>0.49044529999999997</v>
      </c>
      <c r="AF8865">
        <v>2270.1689999999999</v>
      </c>
      <c r="AG8865">
        <f>IFERROR(AH8865*0.1, "N/A")</f>
        <v>7.2021920000000001</v>
      </c>
      <c r="AH8865">
        <v>72.021919999999994</v>
      </c>
      <c r="AI8865">
        <v>54.256729999999997</v>
      </c>
      <c r="AJ8865">
        <v>37.003369999999997</v>
      </c>
      <c r="AK8865">
        <v>36</v>
      </c>
    </row>
    <row r="8866" spans="1:37" x14ac:dyDescent="0.3">
      <c r="A8866">
        <v>8865</v>
      </c>
      <c r="B8866">
        <v>8.1</v>
      </c>
      <c r="C8866">
        <v>39.541499999999999</v>
      </c>
      <c r="D8866">
        <v>13.3658</v>
      </c>
      <c r="E8866" t="s">
        <v>13429</v>
      </c>
      <c r="F8866" t="s">
        <v>13430</v>
      </c>
      <c r="G8866" t="s">
        <v>37</v>
      </c>
      <c r="H8866">
        <v>1998</v>
      </c>
      <c r="I8866">
        <v>17.8</v>
      </c>
      <c r="J8866">
        <v>15.2</v>
      </c>
      <c r="K8866">
        <v>71</v>
      </c>
      <c r="L8866">
        <v>15.056889999999999</v>
      </c>
      <c r="M8866">
        <v>28.3</v>
      </c>
      <c r="N8866">
        <v>6.9092440000000002</v>
      </c>
      <c r="O8866">
        <v>21.39076</v>
      </c>
      <c r="P8866">
        <v>18.2</v>
      </c>
      <c r="Q8866">
        <v>15.709239999999999</v>
      </c>
      <c r="R8866">
        <v>19.600000000000001</v>
      </c>
      <c r="S8866">
        <v>15.709239999999999</v>
      </c>
      <c r="T8866">
        <v>562.72270000000003</v>
      </c>
      <c r="U8866">
        <v>197.9076</v>
      </c>
      <c r="V8866">
        <v>2</v>
      </c>
      <c r="W8866">
        <v>141</v>
      </c>
      <c r="X8866">
        <v>424.81509999999997</v>
      </c>
      <c r="Y8866">
        <v>9</v>
      </c>
      <c r="Z8866">
        <v>93.907560000000004</v>
      </c>
      <c r="AA8866">
        <v>9</v>
      </c>
      <c r="AB8866">
        <v>2.867143</v>
      </c>
      <c r="AC8866">
        <v>14.810129999999999</v>
      </c>
      <c r="AD8866">
        <v>2.1090740000000001</v>
      </c>
      <c r="AE8866">
        <v>0.4722151</v>
      </c>
      <c r="AF8866">
        <v>2222.8000000000002</v>
      </c>
      <c r="AG8866">
        <f>IFERROR(AH8866*0.1, "N/A")</f>
        <v>7.0394160000000001</v>
      </c>
      <c r="AH8866">
        <v>70.394159999999999</v>
      </c>
      <c r="AI8866">
        <v>269.47050000000002</v>
      </c>
      <c r="AJ8866">
        <v>38.890509999999999</v>
      </c>
      <c r="AK8866">
        <v>34.394159999999999</v>
      </c>
    </row>
    <row r="8867" spans="1:37" x14ac:dyDescent="0.3">
      <c r="A8867">
        <v>8866</v>
      </c>
      <c r="B8867">
        <v>24</v>
      </c>
      <c r="C8867">
        <v>38.060600000000001</v>
      </c>
      <c r="D8867">
        <v>13.448600000000001</v>
      </c>
      <c r="E8867" t="s">
        <v>13431</v>
      </c>
      <c r="F8867" t="s">
        <v>13432</v>
      </c>
      <c r="G8867" t="s">
        <v>37</v>
      </c>
      <c r="H8867">
        <v>1976</v>
      </c>
      <c r="I8867">
        <v>22.9</v>
      </c>
      <c r="J8867">
        <v>16.7</v>
      </c>
      <c r="K8867">
        <v>71</v>
      </c>
      <c r="L8867">
        <v>19.12</v>
      </c>
      <c r="M8867">
        <v>35.4</v>
      </c>
      <c r="N8867">
        <v>12</v>
      </c>
      <c r="O8867">
        <v>23.4</v>
      </c>
      <c r="P8867">
        <v>21.8</v>
      </c>
      <c r="Q8867">
        <v>22.3</v>
      </c>
      <c r="R8867">
        <v>25.7</v>
      </c>
      <c r="S8867">
        <v>20.9</v>
      </c>
      <c r="T8867">
        <v>845</v>
      </c>
      <c r="U8867">
        <v>265</v>
      </c>
      <c r="V8867">
        <v>2</v>
      </c>
      <c r="W8867">
        <v>131</v>
      </c>
      <c r="X8867">
        <v>640</v>
      </c>
      <c r="Y8867">
        <v>7</v>
      </c>
      <c r="Z8867">
        <v>81</v>
      </c>
      <c r="AA8867">
        <v>614</v>
      </c>
      <c r="AB8867">
        <v>221.7517</v>
      </c>
      <c r="AC8867">
        <v>1.197115E-2</v>
      </c>
      <c r="AD8867">
        <v>2.9497580000000001</v>
      </c>
      <c r="AE8867">
        <v>0.40207929999999997</v>
      </c>
      <c r="AF8867">
        <v>1558.91</v>
      </c>
      <c r="AG8867">
        <f>IFERROR(AH8867*0.1, "N/A")</f>
        <v>6.7</v>
      </c>
      <c r="AH8867">
        <v>67</v>
      </c>
      <c r="AI8867">
        <v>115.4198</v>
      </c>
      <c r="AJ8867">
        <v>37.594589999999997</v>
      </c>
      <c r="AK8867">
        <v>37.405410000000003</v>
      </c>
    </row>
    <row r="8868" spans="1:37" x14ac:dyDescent="0.3">
      <c r="A8868">
        <v>8867</v>
      </c>
      <c r="B8868">
        <v>0</v>
      </c>
      <c r="C8868">
        <v>39.488900000000001</v>
      </c>
      <c r="D8868">
        <v>13.456200000000001</v>
      </c>
      <c r="E8868" t="s">
        <v>13433</v>
      </c>
      <c r="F8868" t="s">
        <v>13434</v>
      </c>
      <c r="G8868" t="s">
        <v>37</v>
      </c>
      <c r="H8868">
        <v>1996</v>
      </c>
      <c r="I8868">
        <v>18</v>
      </c>
      <c r="J8868">
        <v>15</v>
      </c>
      <c r="K8868">
        <v>71</v>
      </c>
      <c r="L8868">
        <v>14.67</v>
      </c>
      <c r="M8868">
        <v>28.1</v>
      </c>
      <c r="N8868">
        <v>7.2</v>
      </c>
      <c r="O8868">
        <v>20.9</v>
      </c>
      <c r="P8868">
        <v>18.899999999999999</v>
      </c>
      <c r="Q8868">
        <v>16</v>
      </c>
      <c r="R8868">
        <v>19.899999999999999</v>
      </c>
      <c r="S8868">
        <v>16</v>
      </c>
      <c r="T8868">
        <v>586</v>
      </c>
      <c r="U8868">
        <v>206</v>
      </c>
      <c r="V8868">
        <v>3</v>
      </c>
      <c r="W8868">
        <v>141</v>
      </c>
      <c r="X8868">
        <v>439</v>
      </c>
      <c r="Y8868">
        <v>11</v>
      </c>
      <c r="Z8868">
        <v>102</v>
      </c>
      <c r="AA8868">
        <v>11</v>
      </c>
      <c r="AB8868">
        <v>26.34103</v>
      </c>
      <c r="AC8868">
        <v>9.5099739999999992E-3</v>
      </c>
      <c r="AD8868">
        <v>0.70335789999999998</v>
      </c>
      <c r="AE8868">
        <v>0.55950560000000005</v>
      </c>
      <c r="AF8868">
        <v>2183.8029999999999</v>
      </c>
      <c r="AG8868">
        <f>IFERROR(AH8868*0.1, "N/A")</f>
        <v>7.5</v>
      </c>
      <c r="AH8868">
        <v>75</v>
      </c>
      <c r="AI8868">
        <v>118.94289999999999</v>
      </c>
      <c r="AJ8868">
        <v>34.561549999999997</v>
      </c>
      <c r="AK8868">
        <v>36.21922</v>
      </c>
    </row>
    <row r="8869" spans="1:37" x14ac:dyDescent="0.3">
      <c r="A8869">
        <v>8868</v>
      </c>
      <c r="B8869">
        <v>27.8</v>
      </c>
      <c r="C8869">
        <v>39.543900000000001</v>
      </c>
      <c r="D8869">
        <v>13.476900000000001</v>
      </c>
      <c r="E8869" t="s">
        <v>13435</v>
      </c>
      <c r="F8869" t="s">
        <v>13436</v>
      </c>
      <c r="G8869" t="s">
        <v>37</v>
      </c>
      <c r="H8869">
        <v>1987</v>
      </c>
      <c r="I8869">
        <v>17.5</v>
      </c>
      <c r="J8869">
        <v>15</v>
      </c>
      <c r="K8869">
        <v>71</v>
      </c>
      <c r="L8869">
        <v>14.55</v>
      </c>
      <c r="M8869">
        <v>27.6</v>
      </c>
      <c r="N8869">
        <v>6.7</v>
      </c>
      <c r="O8869">
        <v>20.9</v>
      </c>
      <c r="P8869">
        <v>17.899999999999999</v>
      </c>
      <c r="Q8869">
        <v>15.5</v>
      </c>
      <c r="R8869">
        <v>19.3</v>
      </c>
      <c r="S8869">
        <v>15.5</v>
      </c>
      <c r="T8869">
        <v>586</v>
      </c>
      <c r="U8869">
        <v>201</v>
      </c>
      <c r="V8869">
        <v>3</v>
      </c>
      <c r="W8869">
        <v>137</v>
      </c>
      <c r="X8869">
        <v>430</v>
      </c>
      <c r="Y8869">
        <v>12</v>
      </c>
      <c r="Z8869">
        <v>105</v>
      </c>
      <c r="AA8869">
        <v>12</v>
      </c>
      <c r="AB8869">
        <v>18.563300000000002</v>
      </c>
      <c r="AC8869">
        <v>3.3675730000000001E-2</v>
      </c>
      <c r="AD8869">
        <v>2.8348749999999998</v>
      </c>
      <c r="AE8869">
        <v>0.64751049999999999</v>
      </c>
      <c r="AF8869">
        <v>2244.37</v>
      </c>
      <c r="AG8869">
        <f>IFERROR(AH8869*0.1, "N/A")</f>
        <v>7.188682</v>
      </c>
      <c r="AH8869">
        <v>71.88682</v>
      </c>
      <c r="AI8869">
        <v>47.637140000000002</v>
      </c>
      <c r="AJ8869">
        <v>34.92736</v>
      </c>
      <c r="AK8869">
        <v>37.101349999999996</v>
      </c>
    </row>
    <row r="8870" spans="1:37" x14ac:dyDescent="0.3">
      <c r="A8870">
        <v>8869</v>
      </c>
      <c r="B8870">
        <v>5.4</v>
      </c>
      <c r="C8870">
        <v>39.545499999999997</v>
      </c>
      <c r="D8870">
        <v>13.479100000000001</v>
      </c>
      <c r="E8870" t="s">
        <v>13437</v>
      </c>
      <c r="F8870" t="s">
        <v>13438</v>
      </c>
      <c r="G8870" t="s">
        <v>37</v>
      </c>
      <c r="H8870">
        <v>1996</v>
      </c>
      <c r="I8870">
        <v>17.5</v>
      </c>
      <c r="J8870">
        <v>15</v>
      </c>
      <c r="K8870">
        <v>71</v>
      </c>
      <c r="L8870">
        <v>14.55</v>
      </c>
      <c r="M8870">
        <v>27.6</v>
      </c>
      <c r="N8870">
        <v>6.7</v>
      </c>
      <c r="O8870">
        <v>20.9</v>
      </c>
      <c r="P8870">
        <v>17.899999999999999</v>
      </c>
      <c r="Q8870">
        <v>15.5</v>
      </c>
      <c r="R8870">
        <v>19.3</v>
      </c>
      <c r="S8870">
        <v>15.5</v>
      </c>
      <c r="T8870">
        <v>586</v>
      </c>
      <c r="U8870">
        <v>201</v>
      </c>
      <c r="V8870">
        <v>3</v>
      </c>
      <c r="W8870">
        <v>137</v>
      </c>
      <c r="X8870">
        <v>430</v>
      </c>
      <c r="Y8870">
        <v>12</v>
      </c>
      <c r="Z8870">
        <v>105</v>
      </c>
      <c r="AA8870">
        <v>12</v>
      </c>
      <c r="AB8870">
        <v>19.644929999999999</v>
      </c>
      <c r="AC8870">
        <v>9.7147359999999999E-3</v>
      </c>
      <c r="AD8870">
        <v>5.1493250000000002</v>
      </c>
      <c r="AE8870">
        <v>0.6671087</v>
      </c>
      <c r="AF8870">
        <v>2239.1880000000001</v>
      </c>
      <c r="AG8870">
        <f>IFERROR(AH8870*0.1, "N/A")</f>
        <v>7.16</v>
      </c>
      <c r="AH8870">
        <v>71.599999999999994</v>
      </c>
      <c r="AI8870">
        <v>82.769369999999995</v>
      </c>
      <c r="AJ8870">
        <v>37.384869999999999</v>
      </c>
      <c r="AK8870">
        <v>35.615130000000001</v>
      </c>
    </row>
    <row r="8871" spans="1:37" x14ac:dyDescent="0.3">
      <c r="A8871">
        <v>8870</v>
      </c>
      <c r="B8871">
        <v>1.9</v>
      </c>
      <c r="C8871">
        <v>39.649500000000003</v>
      </c>
      <c r="D8871">
        <v>13.4872</v>
      </c>
      <c r="E8871" t="s">
        <v>13439</v>
      </c>
      <c r="F8871" t="s">
        <v>13440</v>
      </c>
      <c r="G8871" t="s">
        <v>37</v>
      </c>
      <c r="H8871">
        <v>1998</v>
      </c>
      <c r="I8871">
        <v>16.600000000000001</v>
      </c>
      <c r="J8871">
        <v>15.1</v>
      </c>
      <c r="K8871">
        <v>70</v>
      </c>
      <c r="L8871">
        <v>15.58591</v>
      </c>
      <c r="M8871">
        <v>27.023479999999999</v>
      </c>
      <c r="N8871">
        <v>5.7</v>
      </c>
      <c r="O8871">
        <v>21.32348</v>
      </c>
      <c r="P8871">
        <v>17.2</v>
      </c>
      <c r="Q8871">
        <v>14.42348</v>
      </c>
      <c r="R8871">
        <v>18.423480000000001</v>
      </c>
      <c r="S8871">
        <v>14.42348</v>
      </c>
      <c r="T8871">
        <v>581.53039999999999</v>
      </c>
      <c r="U8871">
        <v>187</v>
      </c>
      <c r="V8871">
        <v>5</v>
      </c>
      <c r="W8871">
        <v>126</v>
      </c>
      <c r="X8871">
        <v>404.76519999999999</v>
      </c>
      <c r="Y8871">
        <v>16</v>
      </c>
      <c r="Z8871">
        <v>106.76519999999999</v>
      </c>
      <c r="AA8871">
        <v>16</v>
      </c>
      <c r="AB8871">
        <v>15.48634</v>
      </c>
      <c r="AC8871">
        <v>7.1816829999999998E-2</v>
      </c>
      <c r="AD8871">
        <v>3.8427989999999999</v>
      </c>
      <c r="AE8871">
        <v>0.3296037</v>
      </c>
      <c r="AF8871">
        <v>2413.9270000000001</v>
      </c>
      <c r="AG8871">
        <f>IFERROR(AH8871*0.1, "N/A")</f>
        <v>6.8233110000000003</v>
      </c>
      <c r="AH8871">
        <v>68.233109999999996</v>
      </c>
      <c r="AI8871">
        <v>279.39330000000001</v>
      </c>
      <c r="AJ8871">
        <v>37.998309999999996</v>
      </c>
      <c r="AK8871">
        <v>35.763509999999997</v>
      </c>
    </row>
    <row r="8872" spans="1:37" x14ac:dyDescent="0.3">
      <c r="A8872">
        <v>8871</v>
      </c>
      <c r="B8872">
        <v>8.3000000000000007</v>
      </c>
      <c r="C8872">
        <v>39.475299999999997</v>
      </c>
      <c r="D8872">
        <v>13.496700000000001</v>
      </c>
      <c r="E8872" t="s">
        <v>13441</v>
      </c>
      <c r="F8872" t="s">
        <v>13442</v>
      </c>
      <c r="G8872" t="s">
        <v>37</v>
      </c>
      <c r="H8872">
        <v>1987</v>
      </c>
      <c r="I8872">
        <v>18.910450000000001</v>
      </c>
      <c r="J8872">
        <v>15.2</v>
      </c>
      <c r="K8872">
        <v>72</v>
      </c>
      <c r="L8872">
        <v>14.43202</v>
      </c>
      <c r="M8872">
        <v>29.010459999999998</v>
      </c>
      <c r="N8872">
        <v>8.0052280000000007</v>
      </c>
      <c r="O8872">
        <v>21.005230000000001</v>
      </c>
      <c r="P8872">
        <v>19.61046</v>
      </c>
      <c r="Q8872">
        <v>17.005230000000001</v>
      </c>
      <c r="R8872">
        <v>20.810449999999999</v>
      </c>
      <c r="S8872">
        <v>17.005230000000001</v>
      </c>
      <c r="T8872">
        <v>583.05229999999995</v>
      </c>
      <c r="U8872">
        <v>203</v>
      </c>
      <c r="V8872">
        <v>4.0522770000000001</v>
      </c>
      <c r="W8872">
        <v>136</v>
      </c>
      <c r="X8872">
        <v>431.0523</v>
      </c>
      <c r="Y8872">
        <v>15.05228</v>
      </c>
      <c r="Z8872">
        <v>104</v>
      </c>
      <c r="AA8872">
        <v>15.05228</v>
      </c>
      <c r="AB8872">
        <v>7.8138449999999997</v>
      </c>
      <c r="AC8872">
        <v>2.6449730000000001E-2</v>
      </c>
      <c r="AD8872">
        <v>1.5474859999999999</v>
      </c>
      <c r="AE8872">
        <v>0.76784969999999997</v>
      </c>
      <c r="AF8872">
        <v>2065.9560000000001</v>
      </c>
      <c r="AG8872">
        <f>IFERROR(AH8872*0.1, "N/A")</f>
        <v>7.0005060000000006</v>
      </c>
      <c r="AH8872">
        <v>70.00506</v>
      </c>
      <c r="AI8872">
        <v>149.48429999999999</v>
      </c>
      <c r="AJ8872">
        <v>32.094439999999999</v>
      </c>
      <c r="AK8872">
        <v>38.214170000000003</v>
      </c>
    </row>
    <row r="8873" spans="1:37" x14ac:dyDescent="0.3">
      <c r="A8873">
        <v>8872</v>
      </c>
      <c r="B8873">
        <v>10</v>
      </c>
      <c r="C8873">
        <v>39.480400000000003</v>
      </c>
      <c r="D8873">
        <v>13.514200000000001</v>
      </c>
      <c r="E8873" t="s">
        <v>13443</v>
      </c>
      <c r="F8873" t="s">
        <v>13444</v>
      </c>
      <c r="G8873" t="s">
        <v>37</v>
      </c>
      <c r="H8873">
        <v>1998</v>
      </c>
      <c r="I8873">
        <v>19.3</v>
      </c>
      <c r="J8873">
        <v>15.3</v>
      </c>
      <c r="K8873">
        <v>72</v>
      </c>
      <c r="L8873">
        <v>14.28</v>
      </c>
      <c r="M8873">
        <v>29.5</v>
      </c>
      <c r="N8873">
        <v>8.4</v>
      </c>
      <c r="O8873">
        <v>21.1</v>
      </c>
      <c r="P8873">
        <v>20</v>
      </c>
      <c r="Q8873">
        <v>17.5</v>
      </c>
      <c r="R8873">
        <v>21.3</v>
      </c>
      <c r="S8873">
        <v>17.5</v>
      </c>
      <c r="T8873">
        <v>581</v>
      </c>
      <c r="U8873">
        <v>201</v>
      </c>
      <c r="V8873">
        <v>6</v>
      </c>
      <c r="W8873">
        <v>134</v>
      </c>
      <c r="X8873">
        <v>425</v>
      </c>
      <c r="Y8873">
        <v>18</v>
      </c>
      <c r="Z8873">
        <v>103</v>
      </c>
      <c r="AA8873">
        <v>18</v>
      </c>
      <c r="AB8873">
        <v>6.2060719999999998</v>
      </c>
      <c r="AC8873">
        <v>0.65914669999999997</v>
      </c>
      <c r="AD8873">
        <v>1.9042209999999999</v>
      </c>
      <c r="AE8873">
        <v>0.6877065</v>
      </c>
      <c r="AF8873">
        <v>2015.895</v>
      </c>
      <c r="AG8873">
        <f>IFERROR(AH8873*0.1, "N/A")</f>
        <v>7.4</v>
      </c>
      <c r="AH8873">
        <v>74</v>
      </c>
      <c r="AI8873">
        <v>289.8682</v>
      </c>
      <c r="AJ8873">
        <v>35.674579999999999</v>
      </c>
      <c r="AK8873">
        <v>34</v>
      </c>
    </row>
    <row r="8874" spans="1:37" x14ac:dyDescent="0.3">
      <c r="A8874">
        <v>8873</v>
      </c>
      <c r="B8874">
        <v>37.200000000000003</v>
      </c>
      <c r="C8874">
        <v>39.463200000000001</v>
      </c>
      <c r="D8874">
        <v>13.5182</v>
      </c>
      <c r="E8874" t="s">
        <v>13445</v>
      </c>
      <c r="F8874" t="s">
        <v>13446</v>
      </c>
      <c r="G8874" t="s">
        <v>37</v>
      </c>
      <c r="H8874">
        <v>1998</v>
      </c>
      <c r="I8874">
        <v>19.600000000000001</v>
      </c>
      <c r="J8874">
        <v>15.4</v>
      </c>
      <c r="K8874">
        <v>72</v>
      </c>
      <c r="L8874">
        <v>14.53</v>
      </c>
      <c r="M8874">
        <v>29.7</v>
      </c>
      <c r="N8874">
        <v>8.6</v>
      </c>
      <c r="O8874">
        <v>21.1</v>
      </c>
      <c r="P8874">
        <v>20.2</v>
      </c>
      <c r="Q8874">
        <v>17.600000000000001</v>
      </c>
      <c r="R8874">
        <v>21.5</v>
      </c>
      <c r="S8874">
        <v>17.600000000000001</v>
      </c>
      <c r="T8874">
        <v>587</v>
      </c>
      <c r="U8874">
        <v>202</v>
      </c>
      <c r="V8874">
        <v>6</v>
      </c>
      <c r="W8874">
        <v>134</v>
      </c>
      <c r="X8874">
        <v>428</v>
      </c>
      <c r="Y8874">
        <v>20</v>
      </c>
      <c r="Z8874">
        <v>105</v>
      </c>
      <c r="AA8874">
        <v>20</v>
      </c>
      <c r="AB8874">
        <v>2.4104869999999998</v>
      </c>
      <c r="AC8874">
        <v>10.308719999999999</v>
      </c>
      <c r="AD8874">
        <v>1.561882</v>
      </c>
      <c r="AE8874">
        <v>0.70776939999999999</v>
      </c>
      <c r="AF8874">
        <v>2001.798</v>
      </c>
      <c r="AG8874">
        <f>IFERROR(AH8874*0.1, "N/A")</f>
        <v>7.5400000000000009</v>
      </c>
      <c r="AH8874">
        <v>75.400000000000006</v>
      </c>
      <c r="AI8874">
        <v>58.680770000000003</v>
      </c>
      <c r="AJ8874">
        <v>33.200000000000003</v>
      </c>
      <c r="AK8874">
        <v>36</v>
      </c>
    </row>
    <row r="8875" spans="1:37" x14ac:dyDescent="0.3">
      <c r="A8875">
        <v>8874</v>
      </c>
      <c r="B8875">
        <v>12.5</v>
      </c>
      <c r="C8875">
        <v>39.0563</v>
      </c>
      <c r="D8875">
        <v>13.5509</v>
      </c>
      <c r="E8875" t="s">
        <v>13447</v>
      </c>
      <c r="F8875" t="s">
        <v>13448</v>
      </c>
      <c r="G8875" t="s">
        <v>37</v>
      </c>
      <c r="H8875">
        <v>1996</v>
      </c>
      <c r="I8875">
        <v>22.606760000000001</v>
      </c>
      <c r="J8875">
        <v>16.601690000000001</v>
      </c>
      <c r="K8875">
        <v>73</v>
      </c>
      <c r="L8875">
        <v>15.52524</v>
      </c>
      <c r="M8875">
        <v>33.808450000000001</v>
      </c>
      <c r="N8875">
        <v>11.305070000000001</v>
      </c>
      <c r="O8875">
        <v>22.50338</v>
      </c>
      <c r="P8875">
        <v>21.910129999999999</v>
      </c>
      <c r="Q8875">
        <v>21.605070000000001</v>
      </c>
      <c r="R8875">
        <v>24.708449999999999</v>
      </c>
      <c r="S8875">
        <v>21.108450000000001</v>
      </c>
      <c r="T8875">
        <v>688.76350000000002</v>
      </c>
      <c r="U8875">
        <v>248.8142</v>
      </c>
      <c r="V8875">
        <v>5.0168920000000004</v>
      </c>
      <c r="W8875">
        <v>136.9324</v>
      </c>
      <c r="X8875">
        <v>532.61149999999998</v>
      </c>
      <c r="Y8875">
        <v>22.06757</v>
      </c>
      <c r="Z8875">
        <v>77.777029999999996</v>
      </c>
      <c r="AA8875">
        <v>494.69589999999999</v>
      </c>
      <c r="AB8875">
        <v>127.5861</v>
      </c>
      <c r="AC8875">
        <v>1.856708E-2</v>
      </c>
      <c r="AD8875">
        <v>6.1091090000000001</v>
      </c>
      <c r="AE8875">
        <v>0.33805200000000002</v>
      </c>
      <c r="AF8875">
        <v>1691.135</v>
      </c>
      <c r="AG8875">
        <f>IFERROR(AH8875*0.1, "N/A")</f>
        <v>7.4</v>
      </c>
      <c r="AH8875">
        <v>74</v>
      </c>
      <c r="AI8875">
        <v>207.18989999999999</v>
      </c>
      <c r="AJ8875">
        <v>32.44088</v>
      </c>
      <c r="AK8875">
        <v>42.39696</v>
      </c>
    </row>
    <row r="8876" spans="1:37" x14ac:dyDescent="0.3">
      <c r="A8876">
        <v>8875</v>
      </c>
      <c r="B8876">
        <v>39.6</v>
      </c>
      <c r="C8876">
        <v>38.1325</v>
      </c>
      <c r="D8876">
        <v>13.561400000000001</v>
      </c>
      <c r="E8876" t="s">
        <v>13449</v>
      </c>
      <c r="F8876" t="s">
        <v>13450</v>
      </c>
      <c r="G8876" t="s">
        <v>37</v>
      </c>
      <c r="H8876">
        <v>1976</v>
      </c>
      <c r="I8876">
        <v>24.1</v>
      </c>
      <c r="J8876">
        <v>17.3</v>
      </c>
      <c r="K8876">
        <v>70</v>
      </c>
      <c r="L8876">
        <v>20.83</v>
      </c>
      <c r="M8876">
        <v>37.200000000000003</v>
      </c>
      <c r="N8876">
        <v>12.6</v>
      </c>
      <c r="O8876">
        <v>24.6</v>
      </c>
      <c r="P8876">
        <v>23.1</v>
      </c>
      <c r="Q8876">
        <v>23.3</v>
      </c>
      <c r="R8876">
        <v>27.1</v>
      </c>
      <c r="S8876">
        <v>22</v>
      </c>
      <c r="T8876">
        <v>801</v>
      </c>
      <c r="U8876">
        <v>250</v>
      </c>
      <c r="V8876">
        <v>2</v>
      </c>
      <c r="W8876">
        <v>131</v>
      </c>
      <c r="X8876">
        <v>605</v>
      </c>
      <c r="Y8876">
        <v>8</v>
      </c>
      <c r="Z8876">
        <v>74</v>
      </c>
      <c r="AA8876">
        <v>584</v>
      </c>
      <c r="AB8876">
        <v>18.933509999999998</v>
      </c>
      <c r="AC8876">
        <v>2.2828890000000001E-2</v>
      </c>
      <c r="AD8876">
        <v>3.780567</v>
      </c>
      <c r="AE8876">
        <v>0.34490920000000003</v>
      </c>
      <c r="AF8876">
        <v>1404.184</v>
      </c>
      <c r="AG8876">
        <f>IFERROR(AH8876*0.1, "N/A")</f>
        <v>6.9835020000000005</v>
      </c>
      <c r="AH8876">
        <v>69.83502</v>
      </c>
      <c r="AI8876">
        <v>17.329360000000001</v>
      </c>
      <c r="AJ8876">
        <v>39.16498</v>
      </c>
      <c r="AK8876">
        <v>37.670029999999997</v>
      </c>
    </row>
    <row r="8877" spans="1:37" x14ac:dyDescent="0.3">
      <c r="A8877">
        <v>8876</v>
      </c>
      <c r="B8877">
        <v>0</v>
      </c>
      <c r="C8877">
        <v>39.378</v>
      </c>
      <c r="D8877">
        <v>13.591200000000001</v>
      </c>
      <c r="E8877" t="s">
        <v>13451</v>
      </c>
      <c r="F8877" t="s">
        <v>13452</v>
      </c>
      <c r="G8877" t="s">
        <v>37</v>
      </c>
      <c r="H8877">
        <v>1998</v>
      </c>
      <c r="I8877">
        <v>21.6</v>
      </c>
      <c r="J8877">
        <v>15.9</v>
      </c>
      <c r="K8877">
        <v>73</v>
      </c>
      <c r="L8877">
        <v>14.360469999999999</v>
      </c>
      <c r="M8877">
        <v>31.9</v>
      </c>
      <c r="N8877">
        <v>10.373430000000001</v>
      </c>
      <c r="O8877">
        <v>21.52657</v>
      </c>
      <c r="P8877">
        <v>21.8</v>
      </c>
      <c r="Q8877">
        <v>19.873429999999999</v>
      </c>
      <c r="R8877">
        <v>23.6</v>
      </c>
      <c r="S8877">
        <v>19.873429999999999</v>
      </c>
      <c r="T8877">
        <v>611.26570000000004</v>
      </c>
      <c r="U8877">
        <v>201.73429999999999</v>
      </c>
      <c r="V8877">
        <v>10.265650000000001</v>
      </c>
      <c r="W8877">
        <v>122.203</v>
      </c>
      <c r="X8877">
        <v>425.46870000000001</v>
      </c>
      <c r="Y8877">
        <v>36.531300000000002</v>
      </c>
      <c r="Z8877">
        <v>108.2657</v>
      </c>
      <c r="AA8877">
        <v>36.531300000000002</v>
      </c>
      <c r="AB8877">
        <v>0.8966073</v>
      </c>
      <c r="AC8877">
        <v>225.9716</v>
      </c>
      <c r="AD8877">
        <v>2.1667079999999999</v>
      </c>
      <c r="AE8877">
        <v>0.32520320000000003</v>
      </c>
      <c r="AF8877">
        <v>1739.1489999999999</v>
      </c>
      <c r="AG8877">
        <f>IFERROR(AH8877*0.1, "N/A")</f>
        <v>7.1055840000000003</v>
      </c>
      <c r="AH8877">
        <v>71.055840000000003</v>
      </c>
      <c r="AI8877">
        <v>160.8844</v>
      </c>
      <c r="AJ8877">
        <v>32.88832</v>
      </c>
      <c r="AK8877">
        <v>40.944159999999997</v>
      </c>
    </row>
    <row r="8878" spans="1:37" x14ac:dyDescent="0.3">
      <c r="A8878">
        <v>8877</v>
      </c>
      <c r="B8878">
        <v>2</v>
      </c>
      <c r="C8878">
        <v>39.160699999999999</v>
      </c>
      <c r="D8878">
        <v>13.6128</v>
      </c>
      <c r="E8878" t="s">
        <v>13453</v>
      </c>
      <c r="F8878" t="s">
        <v>13454</v>
      </c>
      <c r="G8878" t="s">
        <v>37</v>
      </c>
      <c r="H8878">
        <v>2009</v>
      </c>
      <c r="I8878">
        <v>14</v>
      </c>
      <c r="J8878">
        <v>15.3</v>
      </c>
      <c r="K8878">
        <v>73</v>
      </c>
      <c r="L8878">
        <v>14</v>
      </c>
      <c r="M8878">
        <v>24</v>
      </c>
      <c r="N8878">
        <v>3.1</v>
      </c>
      <c r="O8878">
        <v>20.9</v>
      </c>
      <c r="P8878">
        <v>14.2</v>
      </c>
      <c r="Q8878">
        <v>12.2</v>
      </c>
      <c r="R8878">
        <v>16</v>
      </c>
      <c r="S8878">
        <v>12.2</v>
      </c>
      <c r="T8878">
        <v>694</v>
      </c>
      <c r="U8878">
        <v>220</v>
      </c>
      <c r="V8878">
        <v>2</v>
      </c>
      <c r="W8878">
        <v>122</v>
      </c>
      <c r="X8878">
        <v>484</v>
      </c>
      <c r="Y8878">
        <v>9</v>
      </c>
      <c r="Z8878">
        <v>144</v>
      </c>
      <c r="AA8878">
        <v>9</v>
      </c>
      <c r="AB8878">
        <v>249.4699</v>
      </c>
      <c r="AC8878">
        <v>1.17442E-2</v>
      </c>
      <c r="AD8878">
        <v>5.8865480000000003</v>
      </c>
      <c r="AE8878">
        <v>0.37052249999999998</v>
      </c>
      <c r="AF8878">
        <v>2788.5410000000002</v>
      </c>
      <c r="AG8878">
        <f>IFERROR(AH8878*0.1, "N/A")</f>
        <v>6.7387480000000002</v>
      </c>
      <c r="AH8878">
        <v>67.387479999999996</v>
      </c>
      <c r="AI8878">
        <v>316.71550000000002</v>
      </c>
      <c r="AJ8878">
        <v>37.554989999999997</v>
      </c>
      <c r="AK8878">
        <v>35</v>
      </c>
    </row>
    <row r="8879" spans="1:37" x14ac:dyDescent="0.3">
      <c r="A8879">
        <v>8878</v>
      </c>
      <c r="B8879">
        <v>23.9</v>
      </c>
      <c r="C8879">
        <v>39.002099999999999</v>
      </c>
      <c r="D8879">
        <v>13.623200000000001</v>
      </c>
      <c r="E8879" t="s">
        <v>13455</v>
      </c>
      <c r="F8879" t="s">
        <v>13456</v>
      </c>
      <c r="G8879" t="s">
        <v>37</v>
      </c>
      <c r="H8879">
        <v>1996</v>
      </c>
      <c r="I8879">
        <v>21.9</v>
      </c>
      <c r="J8879">
        <v>16.5</v>
      </c>
      <c r="K8879">
        <v>72</v>
      </c>
      <c r="L8879">
        <v>15.52</v>
      </c>
      <c r="M8879">
        <v>33.200000000000003</v>
      </c>
      <c r="N8879">
        <v>10.5</v>
      </c>
      <c r="O8879">
        <v>22.7</v>
      </c>
      <c r="P8879">
        <v>21.1</v>
      </c>
      <c r="Q8879">
        <v>21</v>
      </c>
      <c r="R8879">
        <v>24</v>
      </c>
      <c r="S8879">
        <v>20.3</v>
      </c>
      <c r="T8879">
        <v>708</v>
      </c>
      <c r="U8879">
        <v>258</v>
      </c>
      <c r="V8879">
        <v>3</v>
      </c>
      <c r="W8879">
        <v>140</v>
      </c>
      <c r="X8879">
        <v>560</v>
      </c>
      <c r="Y8879">
        <v>16</v>
      </c>
      <c r="Z8879">
        <v>75</v>
      </c>
      <c r="AA8879">
        <v>517</v>
      </c>
      <c r="AB8879">
        <v>12.40438</v>
      </c>
      <c r="AC8879">
        <v>0.34710039999999998</v>
      </c>
      <c r="AD8879">
        <v>2.8890729999999998</v>
      </c>
      <c r="AE8879">
        <v>0.55912340000000005</v>
      </c>
      <c r="AF8879">
        <v>1847.067</v>
      </c>
      <c r="AG8879">
        <f>IFERROR(AH8879*0.1, "N/A")</f>
        <v>7.2552190000000003</v>
      </c>
      <c r="AH8879">
        <v>72.552189999999996</v>
      </c>
      <c r="AI8879">
        <v>201.36779999999999</v>
      </c>
      <c r="AJ8879">
        <v>35.405720000000002</v>
      </c>
      <c r="AK8879">
        <v>38.478110000000001</v>
      </c>
    </row>
    <row r="8880" spans="1:37" x14ac:dyDescent="0.3">
      <c r="A8880">
        <v>8879</v>
      </c>
      <c r="B8880">
        <v>20.8</v>
      </c>
      <c r="C8880">
        <v>38.353200000000001</v>
      </c>
      <c r="D8880">
        <v>13.6447</v>
      </c>
      <c r="E8880" t="s">
        <v>13457</v>
      </c>
      <c r="F8880" t="s">
        <v>13458</v>
      </c>
      <c r="G8880" t="s">
        <v>37</v>
      </c>
      <c r="H8880">
        <v>1998</v>
      </c>
      <c r="I8880">
        <v>22.6</v>
      </c>
      <c r="J8880">
        <v>16.8</v>
      </c>
      <c r="K8880">
        <v>70</v>
      </c>
      <c r="L8880">
        <v>19.170000000000002</v>
      </c>
      <c r="M8880">
        <v>35</v>
      </c>
      <c r="N8880">
        <v>11.3</v>
      </c>
      <c r="O8880">
        <v>23.7</v>
      </c>
      <c r="P8880">
        <v>21.6</v>
      </c>
      <c r="Q8880">
        <v>21.8</v>
      </c>
      <c r="R8880">
        <v>25.3</v>
      </c>
      <c r="S8880">
        <v>20.7</v>
      </c>
      <c r="T8880">
        <v>808</v>
      </c>
      <c r="U8880">
        <v>260</v>
      </c>
      <c r="V8880">
        <v>2</v>
      </c>
      <c r="W8880">
        <v>134</v>
      </c>
      <c r="X8880">
        <v>621</v>
      </c>
      <c r="Y8880">
        <v>8</v>
      </c>
      <c r="Z8880">
        <v>74</v>
      </c>
      <c r="AA8880">
        <v>595</v>
      </c>
      <c r="AB8880">
        <v>8.5744179999999997</v>
      </c>
      <c r="AC8880">
        <v>2.7800820000000002</v>
      </c>
      <c r="AD8880">
        <v>3.1717200000000001</v>
      </c>
      <c r="AE8880">
        <v>0.42641069999999998</v>
      </c>
      <c r="AF8880">
        <v>1610.3820000000001</v>
      </c>
      <c r="AG8880">
        <f>IFERROR(AH8880*0.1, "N/A")</f>
        <v>7</v>
      </c>
      <c r="AH8880">
        <v>70</v>
      </c>
      <c r="AI8880">
        <v>290.6302</v>
      </c>
      <c r="AJ8880">
        <v>35.956229999999998</v>
      </c>
      <c r="AK8880">
        <v>40</v>
      </c>
    </row>
    <row r="8881" spans="1:37" x14ac:dyDescent="0.3">
      <c r="A8881">
        <v>8880</v>
      </c>
      <c r="B8881">
        <v>32</v>
      </c>
      <c r="C8881">
        <v>38.944099999999999</v>
      </c>
      <c r="D8881">
        <v>13.6591</v>
      </c>
      <c r="E8881" t="s">
        <v>13459</v>
      </c>
      <c r="F8881" t="s">
        <v>13460</v>
      </c>
      <c r="G8881" t="s">
        <v>37</v>
      </c>
      <c r="H8881">
        <v>2009</v>
      </c>
      <c r="I8881">
        <v>22</v>
      </c>
      <c r="J8881">
        <v>16.5</v>
      </c>
      <c r="K8881">
        <v>72</v>
      </c>
      <c r="L8881">
        <v>15.76</v>
      </c>
      <c r="M8881">
        <v>33.4</v>
      </c>
      <c r="N8881">
        <v>10.5</v>
      </c>
      <c r="O8881">
        <v>22.9</v>
      </c>
      <c r="P8881">
        <v>21.2</v>
      </c>
      <c r="Q8881">
        <v>21.1</v>
      </c>
      <c r="R8881">
        <v>24.1</v>
      </c>
      <c r="S8881">
        <v>20.399999999999999</v>
      </c>
      <c r="T8881">
        <v>711</v>
      </c>
      <c r="U8881">
        <v>253</v>
      </c>
      <c r="V8881">
        <v>3</v>
      </c>
      <c r="W8881">
        <v>138</v>
      </c>
      <c r="X8881">
        <v>556</v>
      </c>
      <c r="Y8881">
        <v>17</v>
      </c>
      <c r="Z8881">
        <v>74</v>
      </c>
      <c r="AA8881">
        <v>517</v>
      </c>
      <c r="AB8881">
        <v>26.454550000000001</v>
      </c>
      <c r="AC8881">
        <v>1.087115E-2</v>
      </c>
      <c r="AD8881">
        <v>14.00539</v>
      </c>
      <c r="AE8881">
        <v>0.33792870000000003</v>
      </c>
      <c r="AF8881">
        <v>1766.874</v>
      </c>
      <c r="AG8881">
        <f>IFERROR(AH8881*0.1, "N/A")</f>
        <v>7.0070710000000007</v>
      </c>
      <c r="AH8881">
        <v>70.070710000000005</v>
      </c>
      <c r="AI8881">
        <v>250.37289999999999</v>
      </c>
      <c r="AJ8881">
        <v>32.94444</v>
      </c>
      <c r="AK8881">
        <v>39.843429999999998</v>
      </c>
    </row>
    <row r="8882" spans="1:37" x14ac:dyDescent="0.3">
      <c r="A8882">
        <v>8881</v>
      </c>
      <c r="B8882">
        <v>0</v>
      </c>
      <c r="C8882">
        <v>39.243200000000002</v>
      </c>
      <c r="D8882">
        <v>13.6637</v>
      </c>
      <c r="E8882" t="s">
        <v>13461</v>
      </c>
      <c r="F8882" t="s">
        <v>13462</v>
      </c>
      <c r="G8882" t="s">
        <v>37</v>
      </c>
      <c r="H8882">
        <v>2009</v>
      </c>
      <c r="I8882">
        <v>17.100000000000001</v>
      </c>
      <c r="J8882">
        <v>15.4</v>
      </c>
      <c r="K8882">
        <v>72</v>
      </c>
      <c r="L8882">
        <v>13.99</v>
      </c>
      <c r="M8882">
        <v>27</v>
      </c>
      <c r="N8882">
        <v>5.9</v>
      </c>
      <c r="O8882">
        <v>21.1</v>
      </c>
      <c r="P8882">
        <v>17.600000000000001</v>
      </c>
      <c r="Q8882">
        <v>15.3</v>
      </c>
      <c r="R8882">
        <v>19</v>
      </c>
      <c r="S8882">
        <v>15.3</v>
      </c>
      <c r="T8882">
        <v>646</v>
      </c>
      <c r="U8882">
        <v>206</v>
      </c>
      <c r="V8882">
        <v>2</v>
      </c>
      <c r="W8882">
        <v>129</v>
      </c>
      <c r="X8882">
        <v>466</v>
      </c>
      <c r="Y8882">
        <v>10</v>
      </c>
      <c r="Z8882">
        <v>132</v>
      </c>
      <c r="AA8882">
        <v>10</v>
      </c>
      <c r="AB8882">
        <v>45.883000000000003</v>
      </c>
      <c r="AC8882">
        <v>8.2476090000000002E-2</v>
      </c>
      <c r="AD8882">
        <v>13.62097</v>
      </c>
      <c r="AE8882">
        <v>0.34346339999999997</v>
      </c>
      <c r="AF8882">
        <v>2322.9630000000002</v>
      </c>
      <c r="AG8882">
        <f>IFERROR(AH8882*0.1, "N/A")</f>
        <v>7.1146220000000007</v>
      </c>
      <c r="AH8882">
        <v>71.14622</v>
      </c>
      <c r="AI8882">
        <v>154.0008</v>
      </c>
      <c r="AJ8882">
        <v>33.751260000000002</v>
      </c>
      <c r="AK8882">
        <v>38.786549999999998</v>
      </c>
    </row>
    <row r="8883" spans="1:37" x14ac:dyDescent="0.3">
      <c r="A8883">
        <v>8882</v>
      </c>
      <c r="B8883">
        <v>0</v>
      </c>
      <c r="C8883">
        <v>39.593899999999998</v>
      </c>
      <c r="D8883">
        <v>13.693099999999999</v>
      </c>
      <c r="E8883" t="s">
        <v>13463</v>
      </c>
      <c r="F8883" t="s">
        <v>13464</v>
      </c>
      <c r="G8883" t="s">
        <v>37</v>
      </c>
      <c r="H8883">
        <v>1994</v>
      </c>
      <c r="I8883">
        <v>18.8</v>
      </c>
      <c r="J8883">
        <v>15.2</v>
      </c>
      <c r="K8883">
        <v>72</v>
      </c>
      <c r="L8883">
        <v>14.99</v>
      </c>
      <c r="M8883">
        <v>28.8</v>
      </c>
      <c r="N8883">
        <v>7.7</v>
      </c>
      <c r="O8883">
        <v>21.1</v>
      </c>
      <c r="P8883">
        <v>19.7</v>
      </c>
      <c r="Q8883">
        <v>16.7</v>
      </c>
      <c r="R8883">
        <v>20.7</v>
      </c>
      <c r="S8883">
        <v>16.7</v>
      </c>
      <c r="T8883">
        <v>592</v>
      </c>
      <c r="U8883">
        <v>180</v>
      </c>
      <c r="V8883">
        <v>12</v>
      </c>
      <c r="W8883">
        <v>113</v>
      </c>
      <c r="X8883">
        <v>381</v>
      </c>
      <c r="Y8883">
        <v>36</v>
      </c>
      <c r="Z8883">
        <v>115</v>
      </c>
      <c r="AA8883">
        <v>36</v>
      </c>
      <c r="AB8883">
        <v>23.432040000000001</v>
      </c>
      <c r="AC8883">
        <v>7.3818330000000001E-2</v>
      </c>
      <c r="AD8883">
        <v>4.7538559999999999</v>
      </c>
      <c r="AE8883">
        <v>0.4833094</v>
      </c>
      <c r="AF8883">
        <v>2019.6579999999999</v>
      </c>
      <c r="AG8883">
        <f>IFERROR(AH8883*0.1, "N/A")</f>
        <v>7.4237770000000003</v>
      </c>
      <c r="AH8883">
        <v>74.237769999999998</v>
      </c>
      <c r="AI8883">
        <v>185.0736</v>
      </c>
      <c r="AJ8883">
        <v>30.465430000000001</v>
      </c>
      <c r="AK8883">
        <v>41.156829999999999</v>
      </c>
    </row>
    <row r="8884" spans="1:37" x14ac:dyDescent="0.3">
      <c r="A8884">
        <v>8883</v>
      </c>
      <c r="B8884">
        <v>7</v>
      </c>
      <c r="C8884">
        <v>38.988100000000003</v>
      </c>
      <c r="D8884">
        <v>13.705500000000001</v>
      </c>
      <c r="E8884" t="s">
        <v>13465</v>
      </c>
      <c r="F8884" t="s">
        <v>13466</v>
      </c>
      <c r="G8884" t="s">
        <v>37</v>
      </c>
      <c r="H8884">
        <v>2009</v>
      </c>
      <c r="I8884">
        <v>20.7</v>
      </c>
      <c r="J8884">
        <v>16.2</v>
      </c>
      <c r="K8884">
        <v>71</v>
      </c>
      <c r="L8884">
        <v>15.05</v>
      </c>
      <c r="M8884">
        <v>31.8</v>
      </c>
      <c r="N8884">
        <v>9.1999999999999993</v>
      </c>
      <c r="O8884">
        <v>22.6</v>
      </c>
      <c r="P8884">
        <v>20.100000000000001</v>
      </c>
      <c r="Q8884">
        <v>19.600000000000001</v>
      </c>
      <c r="R8884">
        <v>22.8</v>
      </c>
      <c r="S8884">
        <v>19.399999999999999</v>
      </c>
      <c r="T8884">
        <v>694</v>
      </c>
      <c r="U8884">
        <v>244</v>
      </c>
      <c r="V8884">
        <v>3</v>
      </c>
      <c r="W8884">
        <v>139</v>
      </c>
      <c r="X8884">
        <v>541</v>
      </c>
      <c r="Y8884">
        <v>13</v>
      </c>
      <c r="Z8884">
        <v>75</v>
      </c>
      <c r="AA8884">
        <v>508</v>
      </c>
      <c r="AB8884">
        <v>71.571550000000002</v>
      </c>
      <c r="AC8884">
        <v>1.6618270000000001E-2</v>
      </c>
      <c r="AD8884">
        <v>11.65291</v>
      </c>
      <c r="AE8884">
        <v>0.34207019999999999</v>
      </c>
      <c r="AF8884">
        <v>1975.1949999999999</v>
      </c>
      <c r="AG8884">
        <f>IFERROR(AH8884*0.1, "N/A")</f>
        <v>6.9433160000000003</v>
      </c>
      <c r="AH8884">
        <v>69.433160000000001</v>
      </c>
      <c r="AI8884">
        <v>249.1463</v>
      </c>
      <c r="AJ8884">
        <v>33.511000000000003</v>
      </c>
      <c r="AK8884">
        <v>40.834180000000003</v>
      </c>
    </row>
    <row r="8885" spans="1:37" x14ac:dyDescent="0.3">
      <c r="A8885">
        <v>8884</v>
      </c>
      <c r="B8885">
        <v>30</v>
      </c>
      <c r="C8885">
        <v>39</v>
      </c>
      <c r="D8885">
        <v>13.7333</v>
      </c>
      <c r="E8885" t="s">
        <v>13467</v>
      </c>
      <c r="F8885" t="s">
        <v>13468</v>
      </c>
      <c r="G8885" t="s">
        <v>37</v>
      </c>
      <c r="H8885">
        <v>1996</v>
      </c>
      <c r="I8885">
        <v>21.14377</v>
      </c>
      <c r="J8885">
        <v>16.313800000000001</v>
      </c>
      <c r="K8885">
        <v>71</v>
      </c>
      <c r="L8885">
        <v>15.396089999999999</v>
      </c>
      <c r="M8885">
        <v>32.421889999999998</v>
      </c>
      <c r="N8885">
        <v>9.6299670000000006</v>
      </c>
      <c r="O8885">
        <v>22.791920000000001</v>
      </c>
      <c r="P8885">
        <v>20.543769999999999</v>
      </c>
      <c r="Q8885">
        <v>20.029969999999999</v>
      </c>
      <c r="R8885">
        <v>23.32188</v>
      </c>
      <c r="S8885">
        <v>19.82188</v>
      </c>
      <c r="T8885">
        <v>691.29459999999995</v>
      </c>
      <c r="U8885">
        <v>241.52359999999999</v>
      </c>
      <c r="V8885">
        <v>4</v>
      </c>
      <c r="W8885">
        <v>136.52359999999999</v>
      </c>
      <c r="X8885">
        <v>532.82830000000001</v>
      </c>
      <c r="Y8885">
        <v>16</v>
      </c>
      <c r="Z8885">
        <v>75.604380000000006</v>
      </c>
      <c r="AA8885">
        <v>395.96300000000002</v>
      </c>
      <c r="AB8885">
        <v>19.084409999999998</v>
      </c>
      <c r="AC8885">
        <v>9.0494719999999994E-3</v>
      </c>
      <c r="AD8885">
        <v>5.1472220000000002</v>
      </c>
      <c r="AE8885">
        <v>0.34903089999999998</v>
      </c>
      <c r="AF8885">
        <v>1887.306</v>
      </c>
      <c r="AG8885">
        <f>IFERROR(AH8885*0.1, "N/A")</f>
        <v>7.2437709999999997</v>
      </c>
      <c r="AH8885">
        <v>72.437709999999996</v>
      </c>
      <c r="AI8885">
        <v>143.68270000000001</v>
      </c>
      <c r="AJ8885">
        <v>28.781140000000001</v>
      </c>
      <c r="AK8885">
        <v>45.008420000000001</v>
      </c>
    </row>
    <row r="8886" spans="1:37" x14ac:dyDescent="0.3">
      <c r="A8886">
        <v>8885</v>
      </c>
      <c r="B8886">
        <v>5.3</v>
      </c>
      <c r="C8886">
        <v>39.066699999999997</v>
      </c>
      <c r="D8886">
        <v>13.75</v>
      </c>
      <c r="E8886" t="s">
        <v>13469</v>
      </c>
      <c r="F8886" t="s">
        <v>13470</v>
      </c>
      <c r="G8886" t="s">
        <v>37</v>
      </c>
      <c r="H8886">
        <v>1998</v>
      </c>
      <c r="I8886">
        <v>21.909289999999999</v>
      </c>
      <c r="J8886">
        <v>16.399999999999999</v>
      </c>
      <c r="K8886">
        <v>71.339529999999996</v>
      </c>
      <c r="L8886">
        <v>15.63208</v>
      </c>
      <c r="M8886">
        <v>33.175339999999998</v>
      </c>
      <c r="N8886">
        <v>10.34324</v>
      </c>
      <c r="O8886">
        <v>22.832090000000001</v>
      </c>
      <c r="P8886">
        <v>21.496960000000001</v>
      </c>
      <c r="Q8886">
        <v>20.709289999999999</v>
      </c>
      <c r="R8886">
        <v>24.075340000000001</v>
      </c>
      <c r="S8886">
        <v>20.448820000000001</v>
      </c>
      <c r="T8886">
        <v>675.88850000000002</v>
      </c>
      <c r="U8886">
        <v>230.20949999999999</v>
      </c>
      <c r="V8886">
        <v>7</v>
      </c>
      <c r="W8886">
        <v>129.20949999999999</v>
      </c>
      <c r="X8886">
        <v>501.84460000000001</v>
      </c>
      <c r="Y8886">
        <v>25.91385</v>
      </c>
      <c r="Z8886">
        <v>80.395269999999996</v>
      </c>
      <c r="AA8886">
        <v>29.30912</v>
      </c>
      <c r="AB8886">
        <v>3.3937349999999999</v>
      </c>
      <c r="AC8886">
        <v>1.3696029999999999</v>
      </c>
      <c r="AD8886">
        <v>7.3188599999999999</v>
      </c>
      <c r="AE8886">
        <v>0.32921600000000001</v>
      </c>
      <c r="AF8886">
        <v>1734.596</v>
      </c>
      <c r="AG8886">
        <f>IFERROR(AH8886*0.1, "N/A")</f>
        <v>7.1376689999999998</v>
      </c>
      <c r="AH8886">
        <v>71.376689999999996</v>
      </c>
      <c r="AI8886">
        <v>102.97329999999999</v>
      </c>
      <c r="AJ8886">
        <v>31.57432</v>
      </c>
      <c r="AK8886">
        <v>45.548990000000003</v>
      </c>
    </row>
    <row r="8887" spans="1:37" x14ac:dyDescent="0.3">
      <c r="A8887">
        <v>8886</v>
      </c>
      <c r="B8887">
        <v>0</v>
      </c>
      <c r="C8887">
        <v>39.616700000000002</v>
      </c>
      <c r="D8887">
        <v>13.772399999999999</v>
      </c>
      <c r="E8887" t="s">
        <v>13471</v>
      </c>
      <c r="F8887" t="s">
        <v>13472</v>
      </c>
      <c r="G8887" t="s">
        <v>37</v>
      </c>
      <c r="H8887">
        <v>2010</v>
      </c>
      <c r="I8887">
        <v>18.702359999999999</v>
      </c>
      <c r="J8887">
        <v>15.2</v>
      </c>
      <c r="K8887">
        <v>71</v>
      </c>
      <c r="L8887">
        <v>15.3131</v>
      </c>
      <c r="M8887">
        <v>28.702359999999999</v>
      </c>
      <c r="N8887">
        <v>7.5023609999999996</v>
      </c>
      <c r="O8887">
        <v>21.2</v>
      </c>
      <c r="P8887">
        <v>19.561889999999998</v>
      </c>
      <c r="Q8887">
        <v>16.80472</v>
      </c>
      <c r="R8887">
        <v>20.66189</v>
      </c>
      <c r="S8887">
        <v>16.602360000000001</v>
      </c>
      <c r="T8887">
        <v>603.40470000000005</v>
      </c>
      <c r="U8887">
        <v>173</v>
      </c>
      <c r="V8887">
        <v>14.404719999999999</v>
      </c>
      <c r="W8887">
        <v>104.59529999999999</v>
      </c>
      <c r="X8887">
        <v>367.59530000000001</v>
      </c>
      <c r="Y8887">
        <v>44.61889</v>
      </c>
      <c r="Z8887">
        <v>122.1906</v>
      </c>
      <c r="AA8887">
        <v>44.61889</v>
      </c>
      <c r="AB8887">
        <v>1.631013</v>
      </c>
      <c r="AC8887">
        <v>1.419951</v>
      </c>
      <c r="AD8887">
        <v>2.9264239999999999</v>
      </c>
      <c r="AE8887">
        <v>0.44942159999999998</v>
      </c>
      <c r="AF8887">
        <v>2032.8309999999999</v>
      </c>
      <c r="AG8887">
        <f>IFERROR(AH8887*0.1, "N/A")</f>
        <v>7.2128160000000001</v>
      </c>
      <c r="AH8887">
        <v>72.128159999999994</v>
      </c>
      <c r="AI8887">
        <v>284.58420000000001</v>
      </c>
      <c r="AJ8887">
        <v>31.898820000000001</v>
      </c>
      <c r="AK8887">
        <v>43.942659999999997</v>
      </c>
    </row>
    <row r="8888" spans="1:37" x14ac:dyDescent="0.3">
      <c r="A8888">
        <v>8887</v>
      </c>
      <c r="B8888">
        <v>25</v>
      </c>
      <c r="C8888">
        <v>39.044499999999999</v>
      </c>
      <c r="D8888">
        <v>13.782299999999999</v>
      </c>
      <c r="E8888" t="s">
        <v>13473</v>
      </c>
      <c r="F8888" t="s">
        <v>13474</v>
      </c>
      <c r="G8888" t="s">
        <v>37</v>
      </c>
      <c r="H8888">
        <v>2009</v>
      </c>
      <c r="I8888">
        <v>21.8</v>
      </c>
      <c r="J8888">
        <v>16.399999999999999</v>
      </c>
      <c r="K8888">
        <v>71</v>
      </c>
      <c r="L8888">
        <v>15.68</v>
      </c>
      <c r="M8888">
        <v>33.1</v>
      </c>
      <c r="N8888">
        <v>10.199999999999999</v>
      </c>
      <c r="O8888">
        <v>22.9</v>
      </c>
      <c r="P8888">
        <v>21.3</v>
      </c>
      <c r="Q8888">
        <v>20.6</v>
      </c>
      <c r="R8888">
        <v>24</v>
      </c>
      <c r="S8888">
        <v>20.399999999999999</v>
      </c>
      <c r="T8888">
        <v>677</v>
      </c>
      <c r="U8888">
        <v>229</v>
      </c>
      <c r="V8888">
        <v>7</v>
      </c>
      <c r="W8888">
        <v>129</v>
      </c>
      <c r="X8888">
        <v>501</v>
      </c>
      <c r="Y8888">
        <v>25</v>
      </c>
      <c r="Z8888">
        <v>80</v>
      </c>
      <c r="AA8888">
        <v>29</v>
      </c>
      <c r="AB8888">
        <v>237.7593</v>
      </c>
      <c r="AC8888">
        <v>1.7103230000000001E-2</v>
      </c>
      <c r="AD8888">
        <v>7.4063429999999997</v>
      </c>
      <c r="AE8888">
        <v>0.34392040000000001</v>
      </c>
      <c r="AF8888">
        <v>1808.2729999999999</v>
      </c>
      <c r="AG8888">
        <f>IFERROR(AH8888*0.1, "N/A")</f>
        <v>7.3883640000000002</v>
      </c>
      <c r="AH8888">
        <v>73.88364</v>
      </c>
      <c r="AI8888">
        <v>202.7182</v>
      </c>
      <c r="AJ8888">
        <v>33.88364</v>
      </c>
      <c r="AK8888">
        <v>41.11636</v>
      </c>
    </row>
    <row r="8889" spans="1:37" x14ac:dyDescent="0.3">
      <c r="A8889">
        <v>8888</v>
      </c>
      <c r="B8889">
        <v>37.9</v>
      </c>
      <c r="C8889">
        <v>38.700000000000003</v>
      </c>
      <c r="D8889">
        <v>13.783300000000001</v>
      </c>
      <c r="E8889" t="s">
        <v>13475</v>
      </c>
      <c r="F8889" t="s">
        <v>13476</v>
      </c>
      <c r="G8889" t="s">
        <v>37</v>
      </c>
      <c r="H8889">
        <v>1996</v>
      </c>
      <c r="I8889">
        <v>24.40521</v>
      </c>
      <c r="J8889">
        <v>17.275289999999998</v>
      </c>
      <c r="K8889">
        <v>69.339500000000001</v>
      </c>
      <c r="L8889">
        <v>19.799849999999999</v>
      </c>
      <c r="M8889">
        <v>37.025880000000001</v>
      </c>
      <c r="N8889">
        <v>12.36387</v>
      </c>
      <c r="O8889">
        <v>24.662019999999998</v>
      </c>
      <c r="P8889">
        <v>23.739159999999998</v>
      </c>
      <c r="Q8889">
        <v>23.163869999999999</v>
      </c>
      <c r="R8889">
        <v>27.205210000000001</v>
      </c>
      <c r="S8889">
        <v>22.650590000000001</v>
      </c>
      <c r="T8889">
        <v>683.79660000000001</v>
      </c>
      <c r="U8889">
        <v>215.51429999999999</v>
      </c>
      <c r="V8889">
        <v>8.5462179999999996</v>
      </c>
      <c r="W8889">
        <v>123.6588</v>
      </c>
      <c r="X8889">
        <v>491.9529</v>
      </c>
      <c r="Y8889">
        <v>27.638660000000002</v>
      </c>
      <c r="Z8889">
        <v>73.957980000000006</v>
      </c>
      <c r="AA8889">
        <v>312.03030000000001</v>
      </c>
      <c r="AB8889">
        <v>66.556820000000002</v>
      </c>
      <c r="AC8889">
        <v>0.1108166</v>
      </c>
      <c r="AD8889">
        <v>12.984719999999999</v>
      </c>
      <c r="AE8889">
        <v>0.3559272</v>
      </c>
      <c r="AF8889">
        <v>1279.6990000000001</v>
      </c>
      <c r="AG8889">
        <f>IFERROR(AH8889*0.1, "N/A")</f>
        <v>7.2294120000000008</v>
      </c>
      <c r="AH8889">
        <v>72.294120000000007</v>
      </c>
      <c r="AI8889">
        <v>192.13040000000001</v>
      </c>
      <c r="AJ8889">
        <v>29.354620000000001</v>
      </c>
      <c r="AK8889">
        <v>44.265549999999998</v>
      </c>
    </row>
    <row r="8890" spans="1:37" x14ac:dyDescent="0.3">
      <c r="A8890">
        <v>8889</v>
      </c>
      <c r="B8890">
        <v>3.5</v>
      </c>
      <c r="C8890">
        <v>39.600299999999997</v>
      </c>
      <c r="D8890">
        <v>13.7895</v>
      </c>
      <c r="E8890" t="s">
        <v>13477</v>
      </c>
      <c r="F8890" t="s">
        <v>13478</v>
      </c>
      <c r="G8890" t="s">
        <v>37</v>
      </c>
      <c r="H8890">
        <v>1996</v>
      </c>
      <c r="I8890">
        <v>19.260200000000001</v>
      </c>
      <c r="J8890">
        <v>15.3</v>
      </c>
      <c r="K8890">
        <v>72</v>
      </c>
      <c r="L8890">
        <v>14.94693</v>
      </c>
      <c r="M8890">
        <v>29.1602</v>
      </c>
      <c r="N8890">
        <v>8.160202</v>
      </c>
      <c r="O8890">
        <v>21</v>
      </c>
      <c r="P8890">
        <v>20.060199999999998</v>
      </c>
      <c r="Q8890">
        <v>17.521419999999999</v>
      </c>
      <c r="R8890">
        <v>21.220400000000001</v>
      </c>
      <c r="S8890">
        <v>17.1602</v>
      </c>
      <c r="T8890">
        <v>610</v>
      </c>
      <c r="U8890">
        <v>172</v>
      </c>
      <c r="V8890">
        <v>16</v>
      </c>
      <c r="W8890">
        <v>102</v>
      </c>
      <c r="X8890">
        <v>365</v>
      </c>
      <c r="Y8890">
        <v>51.602020000000003</v>
      </c>
      <c r="Z8890">
        <v>120.398</v>
      </c>
      <c r="AA8890">
        <v>51.602020000000003</v>
      </c>
      <c r="AB8890">
        <v>13.079140000000001</v>
      </c>
      <c r="AC8890">
        <v>0.1025459</v>
      </c>
      <c r="AD8890">
        <v>1.5894969999999999</v>
      </c>
      <c r="AE8890">
        <v>0.65132190000000001</v>
      </c>
      <c r="AF8890">
        <v>1988</v>
      </c>
      <c r="AG8890">
        <f>IFERROR(AH8890*0.1, "N/A")</f>
        <v>7.5</v>
      </c>
      <c r="AH8890">
        <v>75</v>
      </c>
      <c r="AI8890">
        <v>270.1404</v>
      </c>
      <c r="AJ8890">
        <v>32.210790000000003</v>
      </c>
      <c r="AK8890">
        <v>38.013489999999997</v>
      </c>
    </row>
    <row r="8891" spans="1:37" x14ac:dyDescent="0.3">
      <c r="A8891">
        <v>8890</v>
      </c>
      <c r="B8891">
        <v>46.9</v>
      </c>
      <c r="C8891">
        <v>39.603000000000002</v>
      </c>
      <c r="D8891">
        <v>13.795299999999999</v>
      </c>
      <c r="E8891" t="s">
        <v>13479</v>
      </c>
      <c r="F8891" t="s">
        <v>13480</v>
      </c>
      <c r="G8891" t="s">
        <v>37</v>
      </c>
      <c r="H8891">
        <v>1976</v>
      </c>
      <c r="I8891">
        <v>19.100000000000001</v>
      </c>
      <c r="J8891">
        <v>15.3</v>
      </c>
      <c r="K8891">
        <v>72</v>
      </c>
      <c r="L8891">
        <v>14.96</v>
      </c>
      <c r="M8891">
        <v>29</v>
      </c>
      <c r="N8891">
        <v>8</v>
      </c>
      <c r="O8891">
        <v>21</v>
      </c>
      <c r="P8891">
        <v>19.899999999999999</v>
      </c>
      <c r="Q8891">
        <v>17</v>
      </c>
      <c r="R8891">
        <v>21</v>
      </c>
      <c r="S8891">
        <v>17</v>
      </c>
      <c r="T8891">
        <v>610</v>
      </c>
      <c r="U8891">
        <v>171</v>
      </c>
      <c r="V8891">
        <v>16</v>
      </c>
      <c r="W8891">
        <v>102</v>
      </c>
      <c r="X8891">
        <v>364</v>
      </c>
      <c r="Y8891">
        <v>51</v>
      </c>
      <c r="Z8891">
        <v>122</v>
      </c>
      <c r="AA8891">
        <v>51</v>
      </c>
      <c r="AB8891">
        <v>3.7626819999999999</v>
      </c>
      <c r="AC8891">
        <v>3.5314560000000002E-2</v>
      </c>
      <c r="AD8891">
        <v>1.67845</v>
      </c>
      <c r="AE8891">
        <v>0.61427030000000005</v>
      </c>
      <c r="AF8891">
        <v>1998.943</v>
      </c>
      <c r="AG8891">
        <f>IFERROR(AH8891*0.1, "N/A")</f>
        <v>7.441275000000001</v>
      </c>
      <c r="AH8891">
        <v>74.412750000000003</v>
      </c>
      <c r="AI8891">
        <v>230.85249999999999</v>
      </c>
      <c r="AJ8891">
        <v>31.81711</v>
      </c>
      <c r="AK8891">
        <v>40.005029999999998</v>
      </c>
    </row>
    <row r="8892" spans="1:37" x14ac:dyDescent="0.3">
      <c r="A8892">
        <v>8891</v>
      </c>
      <c r="B8892">
        <v>26</v>
      </c>
      <c r="C8892">
        <v>39.585099999999997</v>
      </c>
      <c r="D8892">
        <v>13.8005</v>
      </c>
      <c r="E8892" t="s">
        <v>13481</v>
      </c>
      <c r="F8892" t="s">
        <v>13482</v>
      </c>
      <c r="G8892" t="s">
        <v>37</v>
      </c>
      <c r="H8892">
        <v>2010</v>
      </c>
      <c r="I8892">
        <v>18.736360000000001</v>
      </c>
      <c r="J8892">
        <v>15.3</v>
      </c>
      <c r="K8892">
        <v>72</v>
      </c>
      <c r="L8892">
        <v>15.000909999999999</v>
      </c>
      <c r="M8892">
        <v>28.630299999999998</v>
      </c>
      <c r="N8892">
        <v>7.4363640000000002</v>
      </c>
      <c r="O8892">
        <v>21.193940000000001</v>
      </c>
      <c r="P8892">
        <v>19.5303</v>
      </c>
      <c r="Q8892">
        <v>16.63636</v>
      </c>
      <c r="R8892">
        <v>20.63636</v>
      </c>
      <c r="S8892">
        <v>16.63636</v>
      </c>
      <c r="T8892">
        <v>609.18179999999995</v>
      </c>
      <c r="U8892">
        <v>173</v>
      </c>
      <c r="V8892">
        <v>15.06061</v>
      </c>
      <c r="W8892">
        <v>103.8182</v>
      </c>
      <c r="X8892">
        <v>368.87880000000001</v>
      </c>
      <c r="Y8892">
        <v>46.30303</v>
      </c>
      <c r="Z8892">
        <v>124.8182</v>
      </c>
      <c r="AA8892">
        <v>46.30303</v>
      </c>
      <c r="AB8892">
        <v>21.872669999999999</v>
      </c>
      <c r="AC8892">
        <v>8.3338140000000002E-3</v>
      </c>
      <c r="AD8892">
        <v>8.7705819999999992</v>
      </c>
      <c r="AE8892">
        <v>0.51489119999999999</v>
      </c>
      <c r="AF8892">
        <v>2011.769</v>
      </c>
      <c r="AG8892">
        <f>IFERROR(AH8892*0.1, "N/A")</f>
        <v>7.2082490000000012</v>
      </c>
      <c r="AH8892">
        <v>72.082490000000007</v>
      </c>
      <c r="AI8892">
        <v>198.34370000000001</v>
      </c>
      <c r="AJ8892">
        <v>27.813130000000001</v>
      </c>
      <c r="AK8892">
        <v>45.321550000000002</v>
      </c>
    </row>
    <row r="8893" spans="1:37" x14ac:dyDescent="0.3">
      <c r="A8893">
        <v>8892</v>
      </c>
      <c r="B8893">
        <v>15.2</v>
      </c>
      <c r="C8893">
        <v>38.816699999999997</v>
      </c>
      <c r="D8893">
        <v>13.816700000000001</v>
      </c>
      <c r="E8893" t="s">
        <v>13483</v>
      </c>
      <c r="F8893" t="s">
        <v>13484</v>
      </c>
      <c r="G8893" t="s">
        <v>37</v>
      </c>
      <c r="H8893">
        <v>1996</v>
      </c>
      <c r="I8893">
        <v>22.794930000000001</v>
      </c>
      <c r="J8893">
        <v>16.76098</v>
      </c>
      <c r="K8893">
        <v>70.577699999999993</v>
      </c>
      <c r="L8893">
        <v>17.387720000000002</v>
      </c>
      <c r="M8893">
        <v>34.741549999999997</v>
      </c>
      <c r="N8893">
        <v>11.096120000000001</v>
      </c>
      <c r="O8893">
        <v>23.645440000000001</v>
      </c>
      <c r="P8893">
        <v>22.099319999999999</v>
      </c>
      <c r="Q8893">
        <v>21.661819999999999</v>
      </c>
      <c r="R8893">
        <v>25.299320000000002</v>
      </c>
      <c r="S8893">
        <v>21.280570000000001</v>
      </c>
      <c r="T8893">
        <v>701.3682</v>
      </c>
      <c r="U8893">
        <v>230.2534</v>
      </c>
      <c r="V8893">
        <v>6.7972970000000004</v>
      </c>
      <c r="W8893">
        <v>127.6926</v>
      </c>
      <c r="X8893">
        <v>520.57770000000005</v>
      </c>
      <c r="Y8893">
        <v>22.14865</v>
      </c>
      <c r="Z8893">
        <v>73.032089999999997</v>
      </c>
      <c r="AA8893">
        <v>306.99160000000001</v>
      </c>
      <c r="AB8893">
        <v>228.78299999999999</v>
      </c>
      <c r="AC8893">
        <v>1.113918E-2</v>
      </c>
      <c r="AD8893">
        <v>12.067500000000001</v>
      </c>
      <c r="AE8893">
        <v>0.35269200000000001</v>
      </c>
      <c r="AF8893">
        <v>1603.0509999999999</v>
      </c>
      <c r="AG8893">
        <f>IFERROR(AH8893*0.1, "N/A")</f>
        <v>7.351858</v>
      </c>
      <c r="AH8893">
        <v>73.51858</v>
      </c>
      <c r="AI8893">
        <v>151.17420000000001</v>
      </c>
      <c r="AJ8893">
        <v>33.236490000000003</v>
      </c>
      <c r="AK8893">
        <v>42.714530000000003</v>
      </c>
    </row>
    <row r="8894" spans="1:37" x14ac:dyDescent="0.3">
      <c r="A8894">
        <v>8893</v>
      </c>
      <c r="B8894">
        <v>0</v>
      </c>
      <c r="C8894">
        <v>39.737400000000001</v>
      </c>
      <c r="D8894">
        <v>13.871600000000001</v>
      </c>
      <c r="E8894" t="s">
        <v>13485</v>
      </c>
      <c r="F8894" t="s">
        <v>13486</v>
      </c>
      <c r="G8894" t="s">
        <v>37</v>
      </c>
      <c r="H8894">
        <v>1996</v>
      </c>
      <c r="I8894">
        <v>14.8</v>
      </c>
      <c r="J8894">
        <v>15.2</v>
      </c>
      <c r="K8894">
        <v>70</v>
      </c>
      <c r="L8894">
        <v>16.21</v>
      </c>
      <c r="M8894">
        <v>25.3</v>
      </c>
      <c r="N8894">
        <v>3.6</v>
      </c>
      <c r="O8894">
        <v>21.7</v>
      </c>
      <c r="P8894">
        <v>16.100000000000001</v>
      </c>
      <c r="Q8894">
        <v>12.5</v>
      </c>
      <c r="R8894">
        <v>16.7</v>
      </c>
      <c r="S8894">
        <v>12.5</v>
      </c>
      <c r="T8894">
        <v>602</v>
      </c>
      <c r="U8894">
        <v>163</v>
      </c>
      <c r="V8894">
        <v>8</v>
      </c>
      <c r="W8894">
        <v>102</v>
      </c>
      <c r="X8894">
        <v>358</v>
      </c>
      <c r="Y8894">
        <v>31</v>
      </c>
      <c r="Z8894">
        <v>136</v>
      </c>
      <c r="AA8894">
        <v>31</v>
      </c>
      <c r="AB8894">
        <v>3.6055220000000001</v>
      </c>
      <c r="AC8894">
        <v>0.34508080000000002</v>
      </c>
      <c r="AD8894">
        <v>2.2956409999999998</v>
      </c>
      <c r="AE8894">
        <v>0.37501060000000003</v>
      </c>
      <c r="AF8894">
        <v>2670.0050000000001</v>
      </c>
      <c r="AG8894">
        <f>IFERROR(AH8894*0.1, "N/A")</f>
        <v>7.5</v>
      </c>
      <c r="AH8894">
        <v>75</v>
      </c>
      <c r="AI8894">
        <v>189.27549999999999</v>
      </c>
      <c r="AJ8894">
        <v>31</v>
      </c>
      <c r="AK8894">
        <v>42.421320000000001</v>
      </c>
    </row>
    <row r="8895" spans="1:37" x14ac:dyDescent="0.3">
      <c r="A8895">
        <v>8894</v>
      </c>
      <c r="B8895">
        <v>4.5</v>
      </c>
      <c r="C8895">
        <v>39.738300000000002</v>
      </c>
      <c r="D8895">
        <v>13.8719</v>
      </c>
      <c r="E8895" t="s">
        <v>13487</v>
      </c>
      <c r="F8895" t="s">
        <v>13488</v>
      </c>
      <c r="G8895" t="s">
        <v>37</v>
      </c>
      <c r="H8895">
        <v>1987</v>
      </c>
      <c r="I8895">
        <v>14.8</v>
      </c>
      <c r="J8895">
        <v>15.2</v>
      </c>
      <c r="K8895">
        <v>70</v>
      </c>
      <c r="L8895">
        <v>16.21</v>
      </c>
      <c r="M8895">
        <v>25.3</v>
      </c>
      <c r="N8895">
        <v>3.6</v>
      </c>
      <c r="O8895">
        <v>21.7</v>
      </c>
      <c r="P8895">
        <v>16.100000000000001</v>
      </c>
      <c r="Q8895">
        <v>12.5</v>
      </c>
      <c r="R8895">
        <v>16.7</v>
      </c>
      <c r="S8895">
        <v>12.5</v>
      </c>
      <c r="T8895">
        <v>602</v>
      </c>
      <c r="U8895">
        <v>163</v>
      </c>
      <c r="V8895">
        <v>8</v>
      </c>
      <c r="W8895">
        <v>102</v>
      </c>
      <c r="X8895">
        <v>358</v>
      </c>
      <c r="Y8895">
        <v>31</v>
      </c>
      <c r="Z8895">
        <v>136</v>
      </c>
      <c r="AA8895">
        <v>31</v>
      </c>
      <c r="AB8895">
        <v>6.0732049999999997</v>
      </c>
      <c r="AC8895">
        <v>7.7692140000000007E-2</v>
      </c>
      <c r="AD8895">
        <v>2.0693609999999998</v>
      </c>
      <c r="AE8895">
        <v>0.37881910000000002</v>
      </c>
      <c r="AF8895">
        <v>2672.433</v>
      </c>
      <c r="AG8895">
        <f>IFERROR(AH8895*0.1, "N/A")</f>
        <v>7.5</v>
      </c>
      <c r="AH8895">
        <v>75</v>
      </c>
      <c r="AI8895">
        <v>207.39680000000001</v>
      </c>
      <c r="AJ8895">
        <v>31</v>
      </c>
      <c r="AK8895">
        <v>42.451180000000001</v>
      </c>
    </row>
    <row r="8896" spans="1:37" x14ac:dyDescent="0.3">
      <c r="A8896">
        <v>8895</v>
      </c>
      <c r="B8896">
        <v>63.5</v>
      </c>
      <c r="C8896">
        <v>38.988199999999999</v>
      </c>
      <c r="D8896">
        <v>13.9445</v>
      </c>
      <c r="E8896" t="s">
        <v>13489</v>
      </c>
      <c r="F8896" t="s">
        <v>13490</v>
      </c>
      <c r="G8896" t="s">
        <v>37</v>
      </c>
      <c r="H8896">
        <v>1996</v>
      </c>
      <c r="I8896">
        <v>20.5</v>
      </c>
      <c r="J8896">
        <v>16.2</v>
      </c>
      <c r="K8896">
        <v>70</v>
      </c>
      <c r="L8896">
        <v>15.71</v>
      </c>
      <c r="M8896">
        <v>31.7</v>
      </c>
      <c r="N8896">
        <v>8.6</v>
      </c>
      <c r="O8896">
        <v>23.1</v>
      </c>
      <c r="P8896">
        <v>20.2</v>
      </c>
      <c r="Q8896">
        <v>19</v>
      </c>
      <c r="R8896">
        <v>22.7</v>
      </c>
      <c r="S8896">
        <v>18.899999999999999</v>
      </c>
      <c r="T8896">
        <v>666</v>
      </c>
      <c r="U8896">
        <v>215</v>
      </c>
      <c r="V8896">
        <v>5</v>
      </c>
      <c r="W8896">
        <v>127</v>
      </c>
      <c r="X8896">
        <v>486</v>
      </c>
      <c r="Y8896">
        <v>17</v>
      </c>
      <c r="Z8896">
        <v>77</v>
      </c>
      <c r="AA8896">
        <v>23</v>
      </c>
      <c r="AB8896">
        <v>7.3764390000000004</v>
      </c>
      <c r="AC8896">
        <v>0.28199849999999999</v>
      </c>
      <c r="AD8896">
        <v>2.7358359999999999</v>
      </c>
      <c r="AE8896">
        <v>0.34355380000000002</v>
      </c>
      <c r="AF8896">
        <v>1809.16</v>
      </c>
      <c r="AG8896">
        <f>IFERROR(AH8896*0.1, "N/A")</f>
        <v>7.3843430000000003</v>
      </c>
      <c r="AH8896">
        <v>73.843429999999998</v>
      </c>
      <c r="AI8896">
        <v>101.3038</v>
      </c>
      <c r="AJ8896">
        <v>30.313130000000001</v>
      </c>
      <c r="AK8896">
        <v>44.686869999999999</v>
      </c>
    </row>
    <row r="8897" spans="1:37" x14ac:dyDescent="0.3">
      <c r="A8897">
        <v>8896</v>
      </c>
      <c r="B8897">
        <v>0</v>
      </c>
      <c r="C8897">
        <v>39.5899</v>
      </c>
      <c r="D8897">
        <v>13.946300000000001</v>
      </c>
      <c r="E8897" t="s">
        <v>13491</v>
      </c>
      <c r="F8897" t="s">
        <v>13492</v>
      </c>
      <c r="G8897" t="s">
        <v>37</v>
      </c>
      <c r="H8897">
        <v>1998</v>
      </c>
      <c r="I8897">
        <v>16.2</v>
      </c>
      <c r="J8897">
        <v>15.3</v>
      </c>
      <c r="K8897">
        <v>70</v>
      </c>
      <c r="L8897">
        <v>15.95</v>
      </c>
      <c r="M8897">
        <v>26.4</v>
      </c>
      <c r="N8897">
        <v>4.7</v>
      </c>
      <c r="O8897">
        <v>21.7</v>
      </c>
      <c r="P8897">
        <v>17.3</v>
      </c>
      <c r="Q8897">
        <v>14.3</v>
      </c>
      <c r="R8897">
        <v>18.2</v>
      </c>
      <c r="S8897">
        <v>14</v>
      </c>
      <c r="T8897">
        <v>599</v>
      </c>
      <c r="U8897">
        <v>161</v>
      </c>
      <c r="V8897">
        <v>9</v>
      </c>
      <c r="W8897">
        <v>103</v>
      </c>
      <c r="X8897">
        <v>355</v>
      </c>
      <c r="Y8897">
        <v>32</v>
      </c>
      <c r="Z8897">
        <v>143</v>
      </c>
      <c r="AA8897">
        <v>35</v>
      </c>
      <c r="AB8897">
        <v>43.200249999999997</v>
      </c>
      <c r="AC8897">
        <v>8.3287220000000002E-3</v>
      </c>
      <c r="AD8897">
        <v>2.0877919999999999</v>
      </c>
      <c r="AE8897">
        <v>0.34692709999999999</v>
      </c>
      <c r="AF8897">
        <v>2446.364</v>
      </c>
      <c r="AG8897">
        <f>IFERROR(AH8897*0.1, "N/A")</f>
        <v>6.7281620000000011</v>
      </c>
      <c r="AH8897">
        <v>67.281620000000004</v>
      </c>
      <c r="AI8897">
        <v>165.18340000000001</v>
      </c>
      <c r="AJ8897">
        <v>26</v>
      </c>
      <c r="AK8897">
        <v>36.718380000000003</v>
      </c>
    </row>
    <row r="8898" spans="1:37" x14ac:dyDescent="0.3">
      <c r="A8898">
        <v>8897</v>
      </c>
      <c r="B8898">
        <v>20.5</v>
      </c>
      <c r="C8898">
        <v>38.184199999999997</v>
      </c>
      <c r="D8898">
        <v>13.949400000000001</v>
      </c>
      <c r="E8898" t="s">
        <v>13493</v>
      </c>
      <c r="F8898" t="s">
        <v>13494</v>
      </c>
      <c r="G8898" t="s">
        <v>37</v>
      </c>
      <c r="H8898">
        <v>1996</v>
      </c>
      <c r="I8898">
        <v>21.68769</v>
      </c>
      <c r="J8898">
        <v>16.18769</v>
      </c>
      <c r="K8898">
        <v>70</v>
      </c>
      <c r="L8898">
        <v>18.81061</v>
      </c>
      <c r="M8898">
        <v>33.687690000000003</v>
      </c>
      <c r="N8898">
        <v>10.8</v>
      </c>
      <c r="O8898">
        <v>22.887689999999999</v>
      </c>
      <c r="P8898">
        <v>20.68769</v>
      </c>
      <c r="Q8898">
        <v>20.8</v>
      </c>
      <c r="R8898">
        <v>24.287690000000001</v>
      </c>
      <c r="S8898">
        <v>19.787690000000001</v>
      </c>
      <c r="T8898">
        <v>887.24620000000004</v>
      </c>
      <c r="U8898">
        <v>286.12310000000002</v>
      </c>
      <c r="V8898">
        <v>1</v>
      </c>
      <c r="W8898">
        <v>133.87690000000001</v>
      </c>
      <c r="X8898">
        <v>677.12310000000002</v>
      </c>
      <c r="Y8898">
        <v>4</v>
      </c>
      <c r="Z8898">
        <v>189</v>
      </c>
      <c r="AA8898">
        <v>661.24620000000004</v>
      </c>
      <c r="AB8898">
        <v>36.599640000000001</v>
      </c>
      <c r="AC8898">
        <v>1.360572E-2</v>
      </c>
      <c r="AD8898">
        <v>1.2302740000000001</v>
      </c>
      <c r="AE8898">
        <v>0.44101980000000002</v>
      </c>
      <c r="AF8898">
        <v>1766.2090000000001</v>
      </c>
      <c r="AG8898">
        <f>IFERROR(AH8898*0.1, "N/A")</f>
        <v>6.9</v>
      </c>
      <c r="AH8898">
        <v>69</v>
      </c>
      <c r="AI8898">
        <v>194.78819999999999</v>
      </c>
      <c r="AJ8898">
        <v>38.195619999999998</v>
      </c>
      <c r="AK8898">
        <v>35.804380000000002</v>
      </c>
    </row>
    <row r="8899" spans="1:37" x14ac:dyDescent="0.3">
      <c r="A8899">
        <v>8898</v>
      </c>
      <c r="B8899">
        <v>35.799999999999997</v>
      </c>
      <c r="C8899">
        <v>38.454700000000003</v>
      </c>
      <c r="D8899">
        <v>13.9514</v>
      </c>
      <c r="E8899" t="s">
        <v>13495</v>
      </c>
      <c r="F8899" t="s">
        <v>13496</v>
      </c>
      <c r="G8899" t="s">
        <v>37</v>
      </c>
      <c r="H8899">
        <v>1996</v>
      </c>
      <c r="I8899">
        <v>19.899999999999999</v>
      </c>
      <c r="J8899">
        <v>15.9</v>
      </c>
      <c r="K8899">
        <v>70</v>
      </c>
      <c r="L8899">
        <v>16.32</v>
      </c>
      <c r="M8899">
        <v>31.4</v>
      </c>
      <c r="N8899">
        <v>8.9</v>
      </c>
      <c r="O8899">
        <v>22.5</v>
      </c>
      <c r="P8899">
        <v>19.100000000000001</v>
      </c>
      <c r="Q8899">
        <v>18.899999999999999</v>
      </c>
      <c r="R8899">
        <v>22.2</v>
      </c>
      <c r="S8899">
        <v>18.5</v>
      </c>
      <c r="T8899">
        <v>808</v>
      </c>
      <c r="U8899">
        <v>267</v>
      </c>
      <c r="V8899">
        <v>1</v>
      </c>
      <c r="W8899">
        <v>135</v>
      </c>
      <c r="X8899">
        <v>619</v>
      </c>
      <c r="Y8899">
        <v>6</v>
      </c>
      <c r="Z8899">
        <v>163</v>
      </c>
      <c r="AA8899">
        <v>607</v>
      </c>
      <c r="AB8899">
        <v>25.020499999999998</v>
      </c>
      <c r="AC8899">
        <v>2.1748679999999999E-2</v>
      </c>
      <c r="AD8899">
        <v>1.9372069999999999</v>
      </c>
      <c r="AE8899">
        <v>0.4424806</v>
      </c>
      <c r="AF8899">
        <v>1942.867</v>
      </c>
      <c r="AG8899">
        <f>IFERROR(AH8899*0.1, "N/A")</f>
        <v>6.9238660000000003</v>
      </c>
      <c r="AH8899">
        <v>69.238659999999996</v>
      </c>
      <c r="AI8899">
        <v>200.23400000000001</v>
      </c>
      <c r="AJ8899">
        <v>39.137819999999998</v>
      </c>
      <c r="AK8899">
        <v>34.830249999999999</v>
      </c>
    </row>
    <row r="8900" spans="1:37" x14ac:dyDescent="0.3">
      <c r="A8900">
        <v>8899</v>
      </c>
      <c r="B8900">
        <v>1.3</v>
      </c>
      <c r="C8900">
        <v>39.019199999999998</v>
      </c>
      <c r="D8900">
        <v>13.9666</v>
      </c>
      <c r="E8900" t="s">
        <v>13497</v>
      </c>
      <c r="F8900" t="s">
        <v>13498</v>
      </c>
      <c r="G8900" t="s">
        <v>37</v>
      </c>
      <c r="H8900">
        <v>1998</v>
      </c>
      <c r="I8900">
        <v>20.320399999999999</v>
      </c>
      <c r="J8900">
        <v>16.100000000000001</v>
      </c>
      <c r="K8900">
        <v>69.801010000000005</v>
      </c>
      <c r="L8900">
        <v>15.427960000000001</v>
      </c>
      <c r="M8900">
        <v>31.440300000000001</v>
      </c>
      <c r="N8900">
        <v>8.4204050000000006</v>
      </c>
      <c r="O8900">
        <v>23.0199</v>
      </c>
      <c r="P8900">
        <v>20.040299999999998</v>
      </c>
      <c r="Q8900">
        <v>18.720400000000001</v>
      </c>
      <c r="R8900">
        <v>22.440300000000001</v>
      </c>
      <c r="S8900">
        <v>18.62041</v>
      </c>
      <c r="T8900">
        <v>660.20399999999995</v>
      </c>
      <c r="U8900">
        <v>211.602</v>
      </c>
      <c r="V8900">
        <v>5.8010120000000001</v>
      </c>
      <c r="W8900">
        <v>124.398</v>
      </c>
      <c r="X8900">
        <v>476.60199999999998</v>
      </c>
      <c r="Y8900">
        <v>18.60202</v>
      </c>
      <c r="Z8900">
        <v>80</v>
      </c>
      <c r="AA8900">
        <v>23.60202</v>
      </c>
      <c r="AB8900">
        <v>120.59610000000001</v>
      </c>
      <c r="AC8900">
        <v>8.6499149999999993E-3</v>
      </c>
      <c r="AD8900">
        <v>4.1971319999999999</v>
      </c>
      <c r="AE8900">
        <v>0.36704809999999999</v>
      </c>
      <c r="AF8900">
        <v>1918.7660000000001</v>
      </c>
      <c r="AG8900">
        <f>IFERROR(AH8900*0.1, "N/A")</f>
        <v>7.3998310000000007</v>
      </c>
      <c r="AH8900">
        <v>73.998310000000004</v>
      </c>
      <c r="AI8900">
        <v>201.17429999999999</v>
      </c>
      <c r="AJ8900">
        <v>37.897129999999997</v>
      </c>
      <c r="AK8900">
        <v>35.209110000000003</v>
      </c>
    </row>
    <row r="8901" spans="1:37" x14ac:dyDescent="0.3">
      <c r="A8901">
        <v>8900</v>
      </c>
      <c r="B8901">
        <v>0</v>
      </c>
      <c r="C8901">
        <v>39.429699999999997</v>
      </c>
      <c r="D8901">
        <v>13.978400000000001</v>
      </c>
      <c r="E8901" t="s">
        <v>13499</v>
      </c>
      <c r="F8901" t="s">
        <v>13500</v>
      </c>
      <c r="G8901" t="s">
        <v>37</v>
      </c>
      <c r="H8901">
        <v>1996</v>
      </c>
      <c r="I8901">
        <v>17.399999999999999</v>
      </c>
      <c r="J8901">
        <v>15.5</v>
      </c>
      <c r="K8901">
        <v>70</v>
      </c>
      <c r="L8901">
        <v>15.17</v>
      </c>
      <c r="M8901">
        <v>27.7</v>
      </c>
      <c r="N8901">
        <v>5.8</v>
      </c>
      <c r="O8901">
        <v>21.9</v>
      </c>
      <c r="P8901">
        <v>18.2</v>
      </c>
      <c r="Q8901">
        <v>15.7</v>
      </c>
      <c r="R8901">
        <v>19.399999999999999</v>
      </c>
      <c r="S8901">
        <v>15.4</v>
      </c>
      <c r="T8901">
        <v>611</v>
      </c>
      <c r="U8901">
        <v>167</v>
      </c>
      <c r="V8901">
        <v>9</v>
      </c>
      <c r="W8901">
        <v>105</v>
      </c>
      <c r="X8901">
        <v>369</v>
      </c>
      <c r="Y8901">
        <v>33</v>
      </c>
      <c r="Z8901">
        <v>148</v>
      </c>
      <c r="AA8901">
        <v>35</v>
      </c>
      <c r="AB8901">
        <v>16.55922</v>
      </c>
      <c r="AC8901">
        <v>8.2995729999999993E-3</v>
      </c>
      <c r="AD8901">
        <v>1.110941</v>
      </c>
      <c r="AE8901">
        <v>0.47900900000000002</v>
      </c>
      <c r="AF8901">
        <v>2250.0100000000002</v>
      </c>
      <c r="AG8901">
        <f>IFERROR(AH8901*0.1, "N/A")</f>
        <v>7.1869709999999998</v>
      </c>
      <c r="AH8901">
        <v>71.869709999999998</v>
      </c>
      <c r="AI8901">
        <v>205.0231</v>
      </c>
      <c r="AJ8901">
        <v>30.126899999999999</v>
      </c>
      <c r="AK8901">
        <v>41.157359999999997</v>
      </c>
    </row>
    <row r="8902" spans="1:37" x14ac:dyDescent="0.3">
      <c r="A8902">
        <v>8901</v>
      </c>
      <c r="B8902">
        <v>1.5</v>
      </c>
      <c r="C8902">
        <v>39.587000000000003</v>
      </c>
      <c r="D8902">
        <v>14.0229</v>
      </c>
      <c r="E8902" t="s">
        <v>13501</v>
      </c>
      <c r="F8902" t="s">
        <v>13502</v>
      </c>
      <c r="G8902" t="s">
        <v>37</v>
      </c>
      <c r="H8902">
        <v>2010</v>
      </c>
      <c r="I8902">
        <v>16.3</v>
      </c>
      <c r="J8902">
        <v>15.4</v>
      </c>
      <c r="K8902">
        <v>70</v>
      </c>
      <c r="L8902">
        <v>15.8</v>
      </c>
      <c r="M8902">
        <v>26.6</v>
      </c>
      <c r="N8902">
        <v>4.8</v>
      </c>
      <c r="O8902">
        <v>21.8</v>
      </c>
      <c r="P8902">
        <v>17.399999999999999</v>
      </c>
      <c r="Q8902">
        <v>14.5</v>
      </c>
      <c r="R8902">
        <v>18.3</v>
      </c>
      <c r="S8902">
        <v>14.1</v>
      </c>
      <c r="T8902">
        <v>597</v>
      </c>
      <c r="U8902">
        <v>156</v>
      </c>
      <c r="V8902">
        <v>10</v>
      </c>
      <c r="W8902">
        <v>98</v>
      </c>
      <c r="X8902">
        <v>343</v>
      </c>
      <c r="Y8902">
        <v>36</v>
      </c>
      <c r="Z8902">
        <v>146</v>
      </c>
      <c r="AA8902">
        <v>41</v>
      </c>
      <c r="AB8902">
        <v>2.9730379999999998</v>
      </c>
      <c r="AC8902">
        <v>0.61486850000000004</v>
      </c>
      <c r="AD8902">
        <v>2.1694089999999999</v>
      </c>
      <c r="AE8902">
        <v>0.35575970000000001</v>
      </c>
      <c r="AF8902">
        <v>2402.7979999999998</v>
      </c>
      <c r="AG8902">
        <f>IFERROR(AH8902*0.1, "N/A")</f>
        <v>6.9</v>
      </c>
      <c r="AH8902">
        <v>69</v>
      </c>
      <c r="AI8902">
        <v>200.84719999999999</v>
      </c>
      <c r="AJ8902">
        <v>29</v>
      </c>
      <c r="AK8902">
        <v>43</v>
      </c>
    </row>
    <row r="8903" spans="1:37" x14ac:dyDescent="0.3">
      <c r="A8903">
        <v>8902</v>
      </c>
      <c r="B8903">
        <v>8</v>
      </c>
      <c r="C8903">
        <v>39.070799999999998</v>
      </c>
      <c r="D8903">
        <v>14.0395</v>
      </c>
      <c r="E8903" t="s">
        <v>13503</v>
      </c>
      <c r="F8903" t="s">
        <v>13504</v>
      </c>
      <c r="G8903" t="s">
        <v>37</v>
      </c>
      <c r="H8903">
        <v>1996</v>
      </c>
      <c r="I8903">
        <v>19.3</v>
      </c>
      <c r="J8903">
        <v>16</v>
      </c>
      <c r="K8903">
        <v>69</v>
      </c>
      <c r="L8903">
        <v>15.28</v>
      </c>
      <c r="M8903">
        <v>30.3</v>
      </c>
      <c r="N8903">
        <v>7.4</v>
      </c>
      <c r="O8903">
        <v>22.9</v>
      </c>
      <c r="P8903">
        <v>19.399999999999999</v>
      </c>
      <c r="Q8903">
        <v>17.600000000000001</v>
      </c>
      <c r="R8903">
        <v>21.4</v>
      </c>
      <c r="S8903">
        <v>17.600000000000001</v>
      </c>
      <c r="T8903">
        <v>644</v>
      </c>
      <c r="U8903">
        <v>199</v>
      </c>
      <c r="V8903">
        <v>5</v>
      </c>
      <c r="W8903">
        <v>122</v>
      </c>
      <c r="X8903">
        <v>454</v>
      </c>
      <c r="Y8903">
        <v>17</v>
      </c>
      <c r="Z8903">
        <v>129</v>
      </c>
      <c r="AA8903">
        <v>22</v>
      </c>
      <c r="AB8903">
        <v>34.16977</v>
      </c>
      <c r="AC8903">
        <v>9.152393E-3</v>
      </c>
      <c r="AD8903">
        <v>3.3327300000000002</v>
      </c>
      <c r="AE8903">
        <v>0.3884457</v>
      </c>
      <c r="AF8903">
        <v>1995.441</v>
      </c>
      <c r="AG8903">
        <f>IFERROR(AH8903*0.1, "N/A")</f>
        <v>7.137162</v>
      </c>
      <c r="AH8903">
        <v>71.371619999999993</v>
      </c>
      <c r="AI8903">
        <v>105.6831</v>
      </c>
      <c r="AJ8903">
        <v>34</v>
      </c>
      <c r="AK8903">
        <v>40.04054</v>
      </c>
    </row>
    <row r="8904" spans="1:37" x14ac:dyDescent="0.3">
      <c r="A8904">
        <v>8903</v>
      </c>
      <c r="B8904">
        <v>9.1999999999999993</v>
      </c>
      <c r="C8904">
        <v>39.029600000000002</v>
      </c>
      <c r="D8904">
        <v>14.0436</v>
      </c>
      <c r="E8904" t="s">
        <v>13505</v>
      </c>
      <c r="F8904" t="s">
        <v>13506</v>
      </c>
      <c r="G8904" t="s">
        <v>37</v>
      </c>
      <c r="H8904">
        <v>1996</v>
      </c>
      <c r="I8904">
        <v>18.899999999999999</v>
      </c>
      <c r="J8904">
        <v>15.9</v>
      </c>
      <c r="K8904">
        <v>69</v>
      </c>
      <c r="L8904">
        <v>14.96</v>
      </c>
      <c r="M8904">
        <v>29.8</v>
      </c>
      <c r="N8904">
        <v>7</v>
      </c>
      <c r="O8904">
        <v>22.8</v>
      </c>
      <c r="P8904">
        <v>18.899999999999999</v>
      </c>
      <c r="Q8904">
        <v>17.2</v>
      </c>
      <c r="R8904">
        <v>20.9</v>
      </c>
      <c r="S8904">
        <v>17.100000000000001</v>
      </c>
      <c r="T8904">
        <v>640</v>
      </c>
      <c r="U8904">
        <v>198</v>
      </c>
      <c r="V8904">
        <v>3</v>
      </c>
      <c r="W8904">
        <v>124</v>
      </c>
      <c r="X8904">
        <v>458</v>
      </c>
      <c r="Y8904">
        <v>13</v>
      </c>
      <c r="Z8904">
        <v>83</v>
      </c>
      <c r="AA8904">
        <v>18</v>
      </c>
      <c r="AB8904">
        <v>46.455120000000001</v>
      </c>
      <c r="AC8904">
        <v>1.471196E-2</v>
      </c>
      <c r="AD8904">
        <v>6.8667860000000003</v>
      </c>
      <c r="AE8904">
        <v>0.38052069999999999</v>
      </c>
      <c r="AF8904">
        <v>2047.529</v>
      </c>
      <c r="AG8904">
        <f>IFERROR(AH8904*0.1, "N/A")</f>
        <v>6.7198320000000002</v>
      </c>
      <c r="AH8904">
        <v>67.198319999999995</v>
      </c>
      <c r="AI8904">
        <v>239.26939999999999</v>
      </c>
      <c r="AJ8904">
        <v>36.694119999999998</v>
      </c>
      <c r="AK8904">
        <v>36.89076</v>
      </c>
    </row>
    <row r="8905" spans="1:37" x14ac:dyDescent="0.3">
      <c r="A8905">
        <v>8904</v>
      </c>
      <c r="B8905">
        <v>3.5</v>
      </c>
      <c r="C8905">
        <v>39.577199999999998</v>
      </c>
      <c r="D8905">
        <v>14.0547</v>
      </c>
      <c r="E8905" t="s">
        <v>13507</v>
      </c>
      <c r="F8905" t="s">
        <v>13508</v>
      </c>
      <c r="G8905" t="s">
        <v>37</v>
      </c>
      <c r="H8905">
        <v>1996</v>
      </c>
      <c r="I8905">
        <v>15.8</v>
      </c>
      <c r="J8905">
        <v>15.5</v>
      </c>
      <c r="K8905">
        <v>71</v>
      </c>
      <c r="L8905">
        <v>16.2</v>
      </c>
      <c r="M8905">
        <v>26.1</v>
      </c>
      <c r="N8905">
        <v>4.3</v>
      </c>
      <c r="O8905">
        <v>21.8</v>
      </c>
      <c r="P8905">
        <v>17</v>
      </c>
      <c r="Q8905">
        <v>14</v>
      </c>
      <c r="R8905">
        <v>17.8</v>
      </c>
      <c r="S8905">
        <v>13.6</v>
      </c>
      <c r="T8905">
        <v>592</v>
      </c>
      <c r="U8905">
        <v>155</v>
      </c>
      <c r="V8905">
        <v>9</v>
      </c>
      <c r="W8905">
        <v>98</v>
      </c>
      <c r="X8905">
        <v>343</v>
      </c>
      <c r="Y8905">
        <v>33</v>
      </c>
      <c r="Z8905">
        <v>145</v>
      </c>
      <c r="AA8905">
        <v>39</v>
      </c>
      <c r="AB8905">
        <v>34.985599999999998</v>
      </c>
      <c r="AC8905">
        <v>3.2601989999999997E-2</v>
      </c>
      <c r="AD8905">
        <v>3.9483619999999999</v>
      </c>
      <c r="AE8905">
        <v>0.46651009999999998</v>
      </c>
      <c r="AF8905">
        <v>2478.1089999999999</v>
      </c>
      <c r="AG8905">
        <f>IFERROR(AH8905*0.1, "N/A")</f>
        <v>7.531765</v>
      </c>
      <c r="AH8905">
        <v>75.31765</v>
      </c>
      <c r="AI8905">
        <v>327.29489999999998</v>
      </c>
      <c r="AJ8905">
        <v>28.771429999999999</v>
      </c>
      <c r="AK8905">
        <v>41.672269999999997</v>
      </c>
    </row>
    <row r="8906" spans="1:37" x14ac:dyDescent="0.3">
      <c r="A8906">
        <v>8905</v>
      </c>
      <c r="B8906">
        <v>3.7</v>
      </c>
      <c r="C8906">
        <v>39.563099999999999</v>
      </c>
      <c r="D8906">
        <v>14.077199999999999</v>
      </c>
      <c r="E8906" t="s">
        <v>13509</v>
      </c>
      <c r="F8906" t="s">
        <v>13510</v>
      </c>
      <c r="G8906" t="s">
        <v>37</v>
      </c>
      <c r="H8906">
        <v>1998</v>
      </c>
      <c r="I8906">
        <v>16.2</v>
      </c>
      <c r="J8906">
        <v>15.5</v>
      </c>
      <c r="K8906">
        <v>71</v>
      </c>
      <c r="L8906">
        <v>15.96</v>
      </c>
      <c r="M8906">
        <v>26.5</v>
      </c>
      <c r="N8906">
        <v>4.7</v>
      </c>
      <c r="O8906">
        <v>21.8</v>
      </c>
      <c r="P8906">
        <v>17.3</v>
      </c>
      <c r="Q8906">
        <v>14.4</v>
      </c>
      <c r="R8906">
        <v>18.3</v>
      </c>
      <c r="S8906">
        <v>14.1</v>
      </c>
      <c r="T8906">
        <v>594</v>
      </c>
      <c r="U8906">
        <v>154</v>
      </c>
      <c r="V8906">
        <v>10</v>
      </c>
      <c r="W8906">
        <v>97</v>
      </c>
      <c r="X8906">
        <v>339</v>
      </c>
      <c r="Y8906">
        <v>36</v>
      </c>
      <c r="Z8906">
        <v>147</v>
      </c>
      <c r="AA8906">
        <v>43</v>
      </c>
      <c r="AB8906">
        <v>19.28406</v>
      </c>
      <c r="AC8906">
        <v>0.1697101</v>
      </c>
      <c r="AD8906">
        <v>1.4599709999999999</v>
      </c>
      <c r="AE8906">
        <v>0.40868330000000003</v>
      </c>
      <c r="AF8906">
        <v>2415.2190000000001</v>
      </c>
      <c r="AG8906">
        <f>IFERROR(AH8906*0.1, "N/A")</f>
        <v>7.310455000000001</v>
      </c>
      <c r="AH8906">
        <v>73.104550000000003</v>
      </c>
      <c r="AI8906">
        <v>140.9025</v>
      </c>
      <c r="AJ8906">
        <v>26.880269999999999</v>
      </c>
      <c r="AK8906">
        <v>47</v>
      </c>
    </row>
    <row r="8907" spans="1:37" x14ac:dyDescent="0.3">
      <c r="A8907">
        <v>8906</v>
      </c>
      <c r="B8907">
        <v>2</v>
      </c>
      <c r="C8907">
        <v>39.565300000000001</v>
      </c>
      <c r="D8907">
        <v>14.091699999999999</v>
      </c>
      <c r="E8907" t="s">
        <v>13511</v>
      </c>
      <c r="F8907" t="s">
        <v>13512</v>
      </c>
      <c r="G8907" t="s">
        <v>37</v>
      </c>
      <c r="H8907">
        <v>2010</v>
      </c>
      <c r="I8907">
        <v>16.052029999999998</v>
      </c>
      <c r="J8907">
        <v>15.5</v>
      </c>
      <c r="K8907">
        <v>70.630070000000003</v>
      </c>
      <c r="L8907">
        <v>16.213180000000001</v>
      </c>
      <c r="M8907">
        <v>26.289020000000001</v>
      </c>
      <c r="N8907">
        <v>4.4520270000000002</v>
      </c>
      <c r="O8907">
        <v>21.83699</v>
      </c>
      <c r="P8907">
        <v>17.15203</v>
      </c>
      <c r="Q8907">
        <v>14.25203</v>
      </c>
      <c r="R8907">
        <v>18.089020000000001</v>
      </c>
      <c r="S8907">
        <v>13.75203</v>
      </c>
      <c r="T8907">
        <v>590.41049999999996</v>
      </c>
      <c r="U8907">
        <v>154</v>
      </c>
      <c r="V8907">
        <v>9.260135</v>
      </c>
      <c r="W8907">
        <v>97.739859999999993</v>
      </c>
      <c r="X8907">
        <v>339.73989999999998</v>
      </c>
      <c r="Y8907">
        <v>33.520269999999996</v>
      </c>
      <c r="Z8907">
        <v>146.26009999999999</v>
      </c>
      <c r="AA8907">
        <v>41.520269999999996</v>
      </c>
      <c r="AB8907">
        <v>107.4636</v>
      </c>
      <c r="AC8907">
        <v>3.0225390000000001E-2</v>
      </c>
      <c r="AD8907">
        <v>6.6858649999999997</v>
      </c>
      <c r="AE8907">
        <v>0.36973909999999999</v>
      </c>
      <c r="AF8907">
        <v>2502.2669999999998</v>
      </c>
      <c r="AG8907">
        <f>IFERROR(AH8907*0.1, "N/A")</f>
        <v>7.2013509999999998</v>
      </c>
      <c r="AH8907">
        <v>72.013509999999997</v>
      </c>
      <c r="AI8907">
        <v>250.3674</v>
      </c>
      <c r="AJ8907">
        <v>32.994929999999997</v>
      </c>
      <c r="AK8907">
        <v>41</v>
      </c>
    </row>
    <row r="8908" spans="1:37" x14ac:dyDescent="0.3">
      <c r="A8908">
        <v>8907</v>
      </c>
      <c r="B8908">
        <v>0</v>
      </c>
      <c r="C8908">
        <v>38.658000000000001</v>
      </c>
      <c r="D8908">
        <v>14.0953</v>
      </c>
      <c r="E8908" t="s">
        <v>13513</v>
      </c>
      <c r="F8908" t="s">
        <v>13514</v>
      </c>
      <c r="G8908" t="s">
        <v>37</v>
      </c>
      <c r="H8908">
        <v>2009</v>
      </c>
      <c r="I8908">
        <v>18.927700000000002</v>
      </c>
      <c r="J8908">
        <v>15.94257</v>
      </c>
      <c r="K8908">
        <v>70</v>
      </c>
      <c r="L8908">
        <v>15.571759999999999</v>
      </c>
      <c r="M8908">
        <v>30.170269999999999</v>
      </c>
      <c r="N8908">
        <v>7.4277030000000002</v>
      </c>
      <c r="O8908">
        <v>22.742570000000001</v>
      </c>
      <c r="P8908">
        <v>18.527699999999999</v>
      </c>
      <c r="Q8908">
        <v>17.527699999999999</v>
      </c>
      <c r="R8908">
        <v>21.170269999999999</v>
      </c>
      <c r="S8908">
        <v>17.427700000000002</v>
      </c>
      <c r="T8908">
        <v>685.85140000000001</v>
      </c>
      <c r="U8908">
        <v>230.14859999999999</v>
      </c>
      <c r="V8908">
        <v>1</v>
      </c>
      <c r="W8908">
        <v>133</v>
      </c>
      <c r="X8908">
        <v>516.42570000000001</v>
      </c>
      <c r="Y8908">
        <v>5</v>
      </c>
      <c r="Z8908">
        <v>64.57432</v>
      </c>
      <c r="AA8908">
        <v>17</v>
      </c>
      <c r="AB8908">
        <v>35.988729999999997</v>
      </c>
      <c r="AC8908">
        <v>2.415759E-2</v>
      </c>
      <c r="AD8908">
        <v>8.4277069999999998</v>
      </c>
      <c r="AE8908">
        <v>0.57402529999999996</v>
      </c>
      <c r="AF8908">
        <v>2058.6770000000001</v>
      </c>
      <c r="AG8908">
        <f>IFERROR(AH8908*0.1, "N/A")</f>
        <v>7.1136820000000007</v>
      </c>
      <c r="AH8908">
        <v>71.13682</v>
      </c>
      <c r="AI8908">
        <v>179.70359999999999</v>
      </c>
      <c r="AJ8908">
        <v>41.148650000000004</v>
      </c>
      <c r="AK8908">
        <v>31.42568</v>
      </c>
    </row>
    <row r="8909" spans="1:37" x14ac:dyDescent="0.3">
      <c r="A8909">
        <v>8908</v>
      </c>
      <c r="B8909">
        <v>22.1</v>
      </c>
      <c r="C8909">
        <v>38.282899999999998</v>
      </c>
      <c r="D8909">
        <v>14.1027</v>
      </c>
      <c r="E8909" t="s">
        <v>13515</v>
      </c>
      <c r="F8909" t="s">
        <v>13516</v>
      </c>
      <c r="G8909" t="s">
        <v>37</v>
      </c>
      <c r="H8909">
        <v>1996</v>
      </c>
      <c r="I8909">
        <v>20.3</v>
      </c>
      <c r="J8909">
        <v>15.8</v>
      </c>
      <c r="K8909">
        <v>70.941079999999999</v>
      </c>
      <c r="L8909">
        <v>17.217659999999999</v>
      </c>
      <c r="M8909">
        <v>31.805890000000002</v>
      </c>
      <c r="N8909">
        <v>9.6941079999999999</v>
      </c>
      <c r="O8909">
        <v>22.11178</v>
      </c>
      <c r="P8909">
        <v>19.394110000000001</v>
      </c>
      <c r="Q8909">
        <v>19.494109999999999</v>
      </c>
      <c r="R8909">
        <v>22.7</v>
      </c>
      <c r="S8909">
        <v>18.600000000000001</v>
      </c>
      <c r="T8909">
        <v>904.70540000000005</v>
      </c>
      <c r="U8909">
        <v>296.88220000000001</v>
      </c>
      <c r="V8909">
        <v>0</v>
      </c>
      <c r="W8909">
        <v>133.94110000000001</v>
      </c>
      <c r="X8909">
        <v>689.76430000000005</v>
      </c>
      <c r="Y8909">
        <v>3</v>
      </c>
      <c r="Z8909">
        <v>188.94110000000001</v>
      </c>
      <c r="AA8909">
        <v>680.76430000000005</v>
      </c>
      <c r="AB8909">
        <v>14.788679999999999</v>
      </c>
      <c r="AC8909">
        <v>4.0288259999999999E-2</v>
      </c>
      <c r="AD8909">
        <v>0.98275159999999995</v>
      </c>
      <c r="AE8909">
        <v>0.68887759999999998</v>
      </c>
      <c r="AF8909">
        <v>1910.2950000000001</v>
      </c>
      <c r="AG8909">
        <f>IFERROR(AH8909*0.1, "N/A")</f>
        <v>6.8941080000000001</v>
      </c>
      <c r="AH8909">
        <v>68.941079999999999</v>
      </c>
      <c r="AI8909">
        <v>240.56360000000001</v>
      </c>
      <c r="AJ8909">
        <v>36.941079999999999</v>
      </c>
      <c r="AK8909">
        <v>36</v>
      </c>
    </row>
    <row r="8910" spans="1:37" x14ac:dyDescent="0.3">
      <c r="A8910">
        <v>8909</v>
      </c>
      <c r="B8910">
        <v>1</v>
      </c>
      <c r="C8910">
        <v>38.692599999999999</v>
      </c>
      <c r="D8910">
        <v>14.103899999999999</v>
      </c>
      <c r="E8910" t="s">
        <v>13517</v>
      </c>
      <c r="F8910" t="s">
        <v>13518</v>
      </c>
      <c r="G8910" t="s">
        <v>37</v>
      </c>
      <c r="H8910">
        <v>2009</v>
      </c>
      <c r="I8910">
        <v>18.7</v>
      </c>
      <c r="J8910">
        <v>15.9</v>
      </c>
      <c r="K8910">
        <v>70</v>
      </c>
      <c r="L8910">
        <v>15.23</v>
      </c>
      <c r="M8910">
        <v>29.9</v>
      </c>
      <c r="N8910">
        <v>7.2</v>
      </c>
      <c r="O8910">
        <v>22.7</v>
      </c>
      <c r="P8910">
        <v>18.399999999999999</v>
      </c>
      <c r="Q8910">
        <v>17.3</v>
      </c>
      <c r="R8910">
        <v>20.9</v>
      </c>
      <c r="S8910">
        <v>17.2</v>
      </c>
      <c r="T8910">
        <v>665</v>
      </c>
      <c r="U8910">
        <v>224</v>
      </c>
      <c r="V8910">
        <v>1</v>
      </c>
      <c r="W8910">
        <v>134</v>
      </c>
      <c r="X8910">
        <v>499</v>
      </c>
      <c r="Y8910">
        <v>5</v>
      </c>
      <c r="Z8910">
        <v>65</v>
      </c>
      <c r="AA8910">
        <v>17</v>
      </c>
      <c r="AB8910">
        <v>19.056560000000001</v>
      </c>
      <c r="AC8910">
        <v>0.13539129999999999</v>
      </c>
      <c r="AD8910">
        <v>7.2593540000000001</v>
      </c>
      <c r="AE8910">
        <v>0.61286419999999997</v>
      </c>
      <c r="AF8910">
        <v>2100.375</v>
      </c>
      <c r="AG8910">
        <f>IFERROR(AH8910*0.1, "N/A")</f>
        <v>7.2</v>
      </c>
      <c r="AH8910">
        <v>72</v>
      </c>
      <c r="AI8910">
        <v>126.82470000000001</v>
      </c>
      <c r="AJ8910">
        <v>43.205390000000001</v>
      </c>
      <c r="AK8910">
        <v>30</v>
      </c>
    </row>
    <row r="8911" spans="1:37" x14ac:dyDescent="0.3">
      <c r="A8911">
        <v>8910</v>
      </c>
      <c r="B8911">
        <v>42.4</v>
      </c>
      <c r="C8911">
        <v>38.4756</v>
      </c>
      <c r="D8911">
        <v>14.113899999999999</v>
      </c>
      <c r="E8911" t="s">
        <v>13519</v>
      </c>
      <c r="F8911" t="s">
        <v>13520</v>
      </c>
      <c r="G8911" t="s">
        <v>37</v>
      </c>
      <c r="H8911">
        <v>1996</v>
      </c>
      <c r="I8911">
        <v>19.501519999999999</v>
      </c>
      <c r="J8911">
        <v>15.9</v>
      </c>
      <c r="K8911">
        <v>70</v>
      </c>
      <c r="L8911">
        <v>16.311060000000001</v>
      </c>
      <c r="M8911">
        <v>30.804549999999999</v>
      </c>
      <c r="N8911">
        <v>8.3030360000000005</v>
      </c>
      <c r="O8911">
        <v>22.501519999999999</v>
      </c>
      <c r="P8911">
        <v>18.80152</v>
      </c>
      <c r="Q8911">
        <v>18.30303</v>
      </c>
      <c r="R8911">
        <v>21.80152</v>
      </c>
      <c r="S8911">
        <v>18.003039999999999</v>
      </c>
      <c r="T8911">
        <v>784.09109999999998</v>
      </c>
      <c r="U8911">
        <v>262.01519999999999</v>
      </c>
      <c r="V8911">
        <v>1</v>
      </c>
      <c r="W8911">
        <v>135.01519999999999</v>
      </c>
      <c r="X8911">
        <v>597.07590000000005</v>
      </c>
      <c r="Y8911">
        <v>5</v>
      </c>
      <c r="Z8911">
        <v>154.64920000000001</v>
      </c>
      <c r="AA8911">
        <v>16</v>
      </c>
      <c r="AB8911">
        <v>13.284280000000001</v>
      </c>
      <c r="AC8911">
        <v>4.4397640000000002E-2</v>
      </c>
      <c r="AD8911">
        <v>6.1651410000000002</v>
      </c>
      <c r="AE8911">
        <v>0.51987000000000005</v>
      </c>
      <c r="AF8911">
        <v>1993.9929999999999</v>
      </c>
      <c r="AG8911">
        <f>IFERROR(AH8911*0.1, "N/A")</f>
        <v>6.5866780000000009</v>
      </c>
      <c r="AH8911">
        <v>65.866780000000006</v>
      </c>
      <c r="AI8911">
        <v>275.53280000000001</v>
      </c>
      <c r="AJ8911">
        <v>45.748739999999998</v>
      </c>
      <c r="AK8911">
        <v>28</v>
      </c>
    </row>
    <row r="8912" spans="1:37" x14ac:dyDescent="0.3">
      <c r="A8912">
        <v>8911</v>
      </c>
      <c r="B8912">
        <v>0</v>
      </c>
      <c r="C8912">
        <v>39.636600000000001</v>
      </c>
      <c r="D8912">
        <v>14.119400000000001</v>
      </c>
      <c r="E8912" t="s">
        <v>13521</v>
      </c>
      <c r="F8912" t="s">
        <v>13522</v>
      </c>
      <c r="G8912" t="s">
        <v>37</v>
      </c>
      <c r="H8912">
        <v>1998</v>
      </c>
      <c r="I8912">
        <v>14.1</v>
      </c>
      <c r="J8912">
        <v>15.2</v>
      </c>
      <c r="K8912">
        <v>70</v>
      </c>
      <c r="L8912">
        <v>15.78</v>
      </c>
      <c r="M8912">
        <v>24.4</v>
      </c>
      <c r="N8912">
        <v>2.9</v>
      </c>
      <c r="O8912">
        <v>21.5</v>
      </c>
      <c r="P8912">
        <v>15.3</v>
      </c>
      <c r="Q8912">
        <v>12.4</v>
      </c>
      <c r="R8912">
        <v>16</v>
      </c>
      <c r="S8912">
        <v>11.9</v>
      </c>
      <c r="T8912">
        <v>588</v>
      </c>
      <c r="U8912">
        <v>155</v>
      </c>
      <c r="V8912">
        <v>6</v>
      </c>
      <c r="W8912">
        <v>100</v>
      </c>
      <c r="X8912">
        <v>350</v>
      </c>
      <c r="Y8912">
        <v>25</v>
      </c>
      <c r="Z8912">
        <v>145</v>
      </c>
      <c r="AA8912">
        <v>32</v>
      </c>
      <c r="AB8912">
        <v>16.953279999999999</v>
      </c>
      <c r="AC8912">
        <v>1.1939180000000001E-2</v>
      </c>
      <c r="AD8912">
        <v>1.9542949999999999</v>
      </c>
      <c r="AE8912">
        <v>0.34643639999999998</v>
      </c>
      <c r="AF8912">
        <v>2792.5189999999998</v>
      </c>
      <c r="AG8912">
        <f>IFERROR(AH8912*0.1, "N/A")</f>
        <v>7.4707070000000009</v>
      </c>
      <c r="AH8912">
        <v>74.707070000000002</v>
      </c>
      <c r="AI8912">
        <v>100.8019</v>
      </c>
      <c r="AJ8912">
        <v>30.259260000000001</v>
      </c>
      <c r="AK8912">
        <v>42.033670000000001</v>
      </c>
    </row>
    <row r="8913" spans="1:37" x14ac:dyDescent="0.3">
      <c r="A8913">
        <v>8912</v>
      </c>
      <c r="B8913">
        <v>22.2</v>
      </c>
      <c r="C8913">
        <v>38.594799999999999</v>
      </c>
      <c r="D8913">
        <v>14.123100000000001</v>
      </c>
      <c r="E8913" t="s">
        <v>13523</v>
      </c>
      <c r="F8913" t="s">
        <v>13524</v>
      </c>
      <c r="G8913" t="s">
        <v>37</v>
      </c>
      <c r="H8913">
        <v>1996</v>
      </c>
      <c r="I8913">
        <v>17.5</v>
      </c>
      <c r="J8913">
        <v>15.7</v>
      </c>
      <c r="K8913">
        <v>71</v>
      </c>
      <c r="L8913">
        <v>14.78</v>
      </c>
      <c r="M8913">
        <v>28.5</v>
      </c>
      <c r="N8913">
        <v>6.4</v>
      </c>
      <c r="O8913">
        <v>22.1</v>
      </c>
      <c r="P8913">
        <v>17.100000000000001</v>
      </c>
      <c r="Q8913">
        <v>16.3</v>
      </c>
      <c r="R8913">
        <v>19.600000000000001</v>
      </c>
      <c r="S8913">
        <v>16</v>
      </c>
      <c r="T8913">
        <v>707</v>
      </c>
      <c r="U8913">
        <v>244</v>
      </c>
      <c r="V8913">
        <v>1</v>
      </c>
      <c r="W8913">
        <v>136</v>
      </c>
      <c r="X8913">
        <v>536</v>
      </c>
      <c r="Y8913">
        <v>4</v>
      </c>
      <c r="Z8913">
        <v>143</v>
      </c>
      <c r="AA8913">
        <v>14</v>
      </c>
      <c r="AB8913">
        <v>6.9642280000000003</v>
      </c>
      <c r="AC8913">
        <v>0.29970020000000003</v>
      </c>
      <c r="AD8913">
        <v>1.966502</v>
      </c>
      <c r="AE8913">
        <v>0.55637910000000002</v>
      </c>
      <c r="AF8913">
        <v>2258.558</v>
      </c>
      <c r="AG8913">
        <f>IFERROR(AH8913*0.1, "N/A")</f>
        <v>6.9021850000000002</v>
      </c>
      <c r="AH8913">
        <v>69.021850000000001</v>
      </c>
      <c r="AI8913">
        <v>254.38159999999999</v>
      </c>
      <c r="AJ8913">
        <v>37</v>
      </c>
      <c r="AK8913">
        <v>36.043700000000001</v>
      </c>
    </row>
    <row r="8914" spans="1:37" x14ac:dyDescent="0.3">
      <c r="A8914">
        <v>8913</v>
      </c>
      <c r="B8914">
        <v>9</v>
      </c>
      <c r="C8914">
        <v>38.775700000000001</v>
      </c>
      <c r="D8914">
        <v>14.1241</v>
      </c>
      <c r="E8914" t="s">
        <v>13525</v>
      </c>
      <c r="F8914" t="s">
        <v>13526</v>
      </c>
      <c r="G8914" t="s">
        <v>37</v>
      </c>
      <c r="H8914">
        <v>2009</v>
      </c>
      <c r="I8914">
        <v>18.401009999999999</v>
      </c>
      <c r="J8914">
        <v>15.9</v>
      </c>
      <c r="K8914">
        <v>69.005039999999994</v>
      </c>
      <c r="L8914">
        <v>15.35849</v>
      </c>
      <c r="M8914">
        <v>29.500499999999999</v>
      </c>
      <c r="N8914">
        <v>6.7010079999999999</v>
      </c>
      <c r="O8914">
        <v>22.799499999999998</v>
      </c>
      <c r="P8914">
        <v>17.8005</v>
      </c>
      <c r="Q8914">
        <v>16.801010000000002</v>
      </c>
      <c r="R8914">
        <v>20.6005</v>
      </c>
      <c r="S8914">
        <v>16.70101</v>
      </c>
      <c r="T8914">
        <v>640.995</v>
      </c>
      <c r="U8914">
        <v>212.995</v>
      </c>
      <c r="V8914">
        <v>1</v>
      </c>
      <c r="W8914">
        <v>132</v>
      </c>
      <c r="X8914">
        <v>477</v>
      </c>
      <c r="Y8914">
        <v>6</v>
      </c>
      <c r="Z8914">
        <v>65.994960000000006</v>
      </c>
      <c r="AA8914">
        <v>16</v>
      </c>
      <c r="AB8914">
        <v>5.9007779999999999</v>
      </c>
      <c r="AC8914">
        <v>1.293645E-2</v>
      </c>
      <c r="AD8914">
        <v>2.2917160000000001</v>
      </c>
      <c r="AE8914">
        <v>0.42063070000000002</v>
      </c>
      <c r="AF8914">
        <v>2096.5819999999999</v>
      </c>
      <c r="AG8914">
        <f>IFERROR(AH8914*0.1, "N/A")</f>
        <v>7.3428569999999995</v>
      </c>
      <c r="AH8914">
        <v>73.428569999999993</v>
      </c>
      <c r="AI8914">
        <v>198.7885</v>
      </c>
      <c r="AJ8914">
        <v>44.421849999999999</v>
      </c>
      <c r="AK8914">
        <v>29.569749999999999</v>
      </c>
    </row>
    <row r="8915" spans="1:37" x14ac:dyDescent="0.3">
      <c r="A8915">
        <v>8914</v>
      </c>
      <c r="B8915">
        <v>2.4</v>
      </c>
      <c r="C8915">
        <v>38.724400000000003</v>
      </c>
      <c r="D8915">
        <v>14.124499999999999</v>
      </c>
      <c r="E8915" t="s">
        <v>13527</v>
      </c>
      <c r="F8915" t="s">
        <v>13528</v>
      </c>
      <c r="G8915" t="s">
        <v>37</v>
      </c>
      <c r="H8915">
        <v>1996</v>
      </c>
      <c r="I8915">
        <v>18.332879999999999</v>
      </c>
      <c r="J8915">
        <v>15.896459999999999</v>
      </c>
      <c r="K8915">
        <v>70</v>
      </c>
      <c r="L8915">
        <v>15.210990000000001</v>
      </c>
      <c r="M8915">
        <v>29.48836</v>
      </c>
      <c r="N8915">
        <v>6.8003369999999999</v>
      </c>
      <c r="O8915">
        <v>22.688030000000001</v>
      </c>
      <c r="P8915">
        <v>18.06897</v>
      </c>
      <c r="Q8915">
        <v>16.932880000000001</v>
      </c>
      <c r="R8915">
        <v>20.532879999999999</v>
      </c>
      <c r="S8915">
        <v>16.796800000000001</v>
      </c>
      <c r="T8915">
        <v>653.57500000000005</v>
      </c>
      <c r="U8915">
        <v>221.19059999999999</v>
      </c>
      <c r="V8915">
        <v>1</v>
      </c>
      <c r="W8915">
        <v>133.03540000000001</v>
      </c>
      <c r="X8915">
        <v>488.4907</v>
      </c>
      <c r="Y8915">
        <v>5.3743679999999996</v>
      </c>
      <c r="Z8915">
        <v>101.9646</v>
      </c>
      <c r="AA8915">
        <v>16.929169999999999</v>
      </c>
      <c r="AB8915">
        <v>26.149280000000001</v>
      </c>
      <c r="AC8915">
        <v>3.342908E-2</v>
      </c>
      <c r="AD8915">
        <v>2.8985599999999998</v>
      </c>
      <c r="AE8915">
        <v>0.67793079999999994</v>
      </c>
      <c r="AF8915">
        <v>2142.6610000000001</v>
      </c>
      <c r="AG8915">
        <f>IFERROR(AH8915*0.1, "N/A")</f>
        <v>7.136088</v>
      </c>
      <c r="AH8915">
        <v>71.360879999999995</v>
      </c>
      <c r="AI8915">
        <v>192.14570000000001</v>
      </c>
      <c r="AJ8915">
        <v>38.473860000000002</v>
      </c>
      <c r="AK8915">
        <v>34.443510000000003</v>
      </c>
    </row>
    <row r="8916" spans="1:37" x14ac:dyDescent="0.3">
      <c r="A8916">
        <v>8915</v>
      </c>
      <c r="B8916">
        <v>0</v>
      </c>
      <c r="C8916">
        <v>39.5625</v>
      </c>
      <c r="D8916">
        <v>14.144600000000001</v>
      </c>
      <c r="E8916" t="s">
        <v>13529</v>
      </c>
      <c r="F8916" t="s">
        <v>13530</v>
      </c>
      <c r="G8916" t="s">
        <v>37</v>
      </c>
      <c r="H8916">
        <v>2010</v>
      </c>
      <c r="I8916">
        <v>15.4</v>
      </c>
      <c r="J8916">
        <v>15.5</v>
      </c>
      <c r="K8916">
        <v>70</v>
      </c>
      <c r="L8916">
        <v>16.23</v>
      </c>
      <c r="M8916">
        <v>25.8</v>
      </c>
      <c r="N8916">
        <v>3.8</v>
      </c>
      <c r="O8916">
        <v>22</v>
      </c>
      <c r="P8916">
        <v>16.5</v>
      </c>
      <c r="Q8916">
        <v>13.6</v>
      </c>
      <c r="R8916">
        <v>17.399999999999999</v>
      </c>
      <c r="S8916">
        <v>13.1</v>
      </c>
      <c r="T8916">
        <v>579</v>
      </c>
      <c r="U8916">
        <v>152</v>
      </c>
      <c r="V8916">
        <v>8</v>
      </c>
      <c r="W8916">
        <v>98</v>
      </c>
      <c r="X8916">
        <v>339</v>
      </c>
      <c r="Y8916">
        <v>29</v>
      </c>
      <c r="Z8916">
        <v>144</v>
      </c>
      <c r="AA8916">
        <v>38</v>
      </c>
      <c r="AB8916">
        <v>22.87443</v>
      </c>
      <c r="AC8916">
        <v>1.034615E-2</v>
      </c>
      <c r="AD8916">
        <v>2.5080629999999999</v>
      </c>
      <c r="AE8916">
        <v>0.36553069999999999</v>
      </c>
      <c r="AF8916">
        <v>2564.9459999999999</v>
      </c>
      <c r="AG8916">
        <f>IFERROR(AH8916*0.1, "N/A")</f>
        <v>7.3000000000000007</v>
      </c>
      <c r="AH8916">
        <v>73</v>
      </c>
      <c r="AI8916">
        <v>242.0856</v>
      </c>
      <c r="AJ8916">
        <v>30.577439999999999</v>
      </c>
      <c r="AK8916">
        <v>40.235689999999998</v>
      </c>
    </row>
    <row r="8917" spans="1:37" x14ac:dyDescent="0.3">
      <c r="A8917">
        <v>8916</v>
      </c>
      <c r="B8917">
        <v>61.8</v>
      </c>
      <c r="C8917">
        <v>38.898099999999999</v>
      </c>
      <c r="D8917">
        <v>14.1569</v>
      </c>
      <c r="E8917" t="s">
        <v>13531</v>
      </c>
      <c r="F8917" t="s">
        <v>13532</v>
      </c>
      <c r="G8917" t="s">
        <v>37</v>
      </c>
      <c r="H8917">
        <v>1983</v>
      </c>
      <c r="I8917">
        <v>19.5</v>
      </c>
      <c r="J8917">
        <v>16.100000000000001</v>
      </c>
      <c r="K8917">
        <v>69</v>
      </c>
      <c r="L8917">
        <v>16.16</v>
      </c>
      <c r="M8917">
        <v>30.7</v>
      </c>
      <c r="N8917">
        <v>7.5</v>
      </c>
      <c r="O8917">
        <v>23.2</v>
      </c>
      <c r="P8917">
        <v>18.899999999999999</v>
      </c>
      <c r="Q8917">
        <v>17.7</v>
      </c>
      <c r="R8917">
        <v>21.8</v>
      </c>
      <c r="S8917">
        <v>17.7</v>
      </c>
      <c r="T8917">
        <v>669</v>
      </c>
      <c r="U8917">
        <v>207</v>
      </c>
      <c r="V8917">
        <v>2</v>
      </c>
      <c r="W8917">
        <v>127</v>
      </c>
      <c r="X8917">
        <v>488</v>
      </c>
      <c r="Y8917">
        <v>9</v>
      </c>
      <c r="Z8917">
        <v>70</v>
      </c>
      <c r="AA8917">
        <v>9</v>
      </c>
      <c r="AB8917">
        <v>32.152239999999999</v>
      </c>
      <c r="AC8917">
        <v>6.09851E-2</v>
      </c>
      <c r="AD8917">
        <v>4.0597770000000004</v>
      </c>
      <c r="AE8917">
        <v>0.60759569999999996</v>
      </c>
      <c r="AF8917">
        <v>1912.354</v>
      </c>
      <c r="AG8917">
        <f>IFERROR(AH8917*0.1, "N/A")</f>
        <v>6.7133000000000003</v>
      </c>
      <c r="AH8917">
        <v>67.132999999999996</v>
      </c>
      <c r="AI8917">
        <v>9.3006430000000009</v>
      </c>
      <c r="AJ8917">
        <v>33.594279999999998</v>
      </c>
      <c r="AK8917">
        <v>36.686869999999999</v>
      </c>
    </row>
    <row r="8918" spans="1:37" x14ac:dyDescent="0.3">
      <c r="A8918">
        <v>8917</v>
      </c>
      <c r="B8918">
        <v>57.6</v>
      </c>
      <c r="C8918">
        <v>38.904699999999998</v>
      </c>
      <c r="D8918">
        <v>14.1609</v>
      </c>
      <c r="E8918" t="s">
        <v>13533</v>
      </c>
      <c r="F8918" t="s">
        <v>13534</v>
      </c>
      <c r="G8918" t="s">
        <v>37</v>
      </c>
      <c r="H8918">
        <v>1983</v>
      </c>
      <c r="I8918">
        <v>19.600000000000001</v>
      </c>
      <c r="J8918">
        <v>16.100000000000001</v>
      </c>
      <c r="K8918">
        <v>69</v>
      </c>
      <c r="L8918">
        <v>16.25</v>
      </c>
      <c r="M8918">
        <v>30.8</v>
      </c>
      <c r="N8918">
        <v>7.6</v>
      </c>
      <c r="O8918">
        <v>23.2</v>
      </c>
      <c r="P8918">
        <v>19</v>
      </c>
      <c r="Q8918">
        <v>17.8</v>
      </c>
      <c r="R8918">
        <v>21.9</v>
      </c>
      <c r="S8918">
        <v>17.8</v>
      </c>
      <c r="T8918">
        <v>668</v>
      </c>
      <c r="U8918">
        <v>206</v>
      </c>
      <c r="V8918">
        <v>2</v>
      </c>
      <c r="W8918">
        <v>126</v>
      </c>
      <c r="X8918">
        <v>485</v>
      </c>
      <c r="Y8918">
        <v>11</v>
      </c>
      <c r="Z8918">
        <v>71</v>
      </c>
      <c r="AA8918">
        <v>11</v>
      </c>
      <c r="AB8918">
        <v>19.486879999999999</v>
      </c>
      <c r="AC8918">
        <v>1.6891799999999998E-2</v>
      </c>
      <c r="AD8918">
        <v>7.7349370000000004</v>
      </c>
      <c r="AE8918">
        <v>0.58372469999999999</v>
      </c>
      <c r="AF8918">
        <v>1928.31</v>
      </c>
      <c r="AG8918">
        <f>IFERROR(AH8918*0.1, "N/A")</f>
        <v>6.7</v>
      </c>
      <c r="AH8918">
        <v>67</v>
      </c>
      <c r="AI8918">
        <v>59.60886</v>
      </c>
      <c r="AJ8918">
        <v>36</v>
      </c>
      <c r="AK8918">
        <v>36.871020000000001</v>
      </c>
    </row>
    <row r="8919" spans="1:37" x14ac:dyDescent="0.3">
      <c r="A8919">
        <v>8918</v>
      </c>
      <c r="B8919">
        <v>52.5</v>
      </c>
      <c r="C8919">
        <v>38.907699999999998</v>
      </c>
      <c r="D8919">
        <v>14.1615</v>
      </c>
      <c r="E8919" t="s">
        <v>13535</v>
      </c>
      <c r="F8919" t="s">
        <v>13536</v>
      </c>
      <c r="G8919" t="s">
        <v>37</v>
      </c>
      <c r="H8919">
        <v>1983</v>
      </c>
      <c r="I8919">
        <v>19.600000000000001</v>
      </c>
      <c r="J8919">
        <v>16.100000000000001</v>
      </c>
      <c r="K8919">
        <v>69</v>
      </c>
      <c r="L8919">
        <v>16.25</v>
      </c>
      <c r="M8919">
        <v>30.8</v>
      </c>
      <c r="N8919">
        <v>7.6</v>
      </c>
      <c r="O8919">
        <v>23.2</v>
      </c>
      <c r="P8919">
        <v>19</v>
      </c>
      <c r="Q8919">
        <v>17.8</v>
      </c>
      <c r="R8919">
        <v>21.9</v>
      </c>
      <c r="S8919">
        <v>17.8</v>
      </c>
      <c r="T8919">
        <v>668</v>
      </c>
      <c r="U8919">
        <v>206</v>
      </c>
      <c r="V8919">
        <v>2</v>
      </c>
      <c r="W8919">
        <v>126</v>
      </c>
      <c r="X8919">
        <v>485</v>
      </c>
      <c r="Y8919">
        <v>11</v>
      </c>
      <c r="Z8919">
        <v>71</v>
      </c>
      <c r="AA8919">
        <v>11</v>
      </c>
      <c r="AB8919">
        <v>0.84579029999999999</v>
      </c>
      <c r="AC8919">
        <v>1.0770310000000001</v>
      </c>
      <c r="AD8919">
        <v>2.8200379999999998</v>
      </c>
      <c r="AE8919">
        <v>0.58879559999999997</v>
      </c>
      <c r="AF8919">
        <v>1907.8589999999999</v>
      </c>
      <c r="AG8919">
        <f>IFERROR(AH8919*0.1, "N/A")</f>
        <v>6.9</v>
      </c>
      <c r="AH8919">
        <v>69</v>
      </c>
      <c r="AI8919">
        <v>154.0703</v>
      </c>
      <c r="AJ8919">
        <v>34.643099999999997</v>
      </c>
      <c r="AK8919">
        <v>38.821550000000002</v>
      </c>
    </row>
    <row r="8920" spans="1:37" x14ac:dyDescent="0.3">
      <c r="A8920">
        <v>8919</v>
      </c>
      <c r="B8920">
        <v>67.599999999999994</v>
      </c>
      <c r="C8920">
        <v>38.901299999999999</v>
      </c>
      <c r="D8920">
        <v>14.162000000000001</v>
      </c>
      <c r="E8920" t="s">
        <v>13537</v>
      </c>
      <c r="F8920" t="s">
        <v>13538</v>
      </c>
      <c r="G8920" t="s">
        <v>37</v>
      </c>
      <c r="H8920">
        <v>1983</v>
      </c>
      <c r="I8920">
        <v>19.600000000000001</v>
      </c>
      <c r="J8920">
        <v>16.100000000000001</v>
      </c>
      <c r="K8920">
        <v>69</v>
      </c>
      <c r="L8920">
        <v>16.25</v>
      </c>
      <c r="M8920">
        <v>30.8</v>
      </c>
      <c r="N8920">
        <v>7.6</v>
      </c>
      <c r="O8920">
        <v>23.2</v>
      </c>
      <c r="P8920">
        <v>19</v>
      </c>
      <c r="Q8920">
        <v>17.8</v>
      </c>
      <c r="R8920">
        <v>21.9</v>
      </c>
      <c r="S8920">
        <v>17.8</v>
      </c>
      <c r="T8920">
        <v>668</v>
      </c>
      <c r="U8920">
        <v>206</v>
      </c>
      <c r="V8920">
        <v>2</v>
      </c>
      <c r="W8920">
        <v>126</v>
      </c>
      <c r="X8920">
        <v>485</v>
      </c>
      <c r="Y8920">
        <v>11</v>
      </c>
      <c r="Z8920">
        <v>71</v>
      </c>
      <c r="AA8920">
        <v>11</v>
      </c>
      <c r="AB8920">
        <v>8.9407870000000003</v>
      </c>
      <c r="AC8920">
        <v>3.3816789999999999E-2</v>
      </c>
      <c r="AD8920">
        <v>4.7001569999999999</v>
      </c>
      <c r="AE8920">
        <v>0.6013771</v>
      </c>
      <c r="AF8920">
        <v>1897.0519999999999</v>
      </c>
      <c r="AG8920">
        <f>IFERROR(AH8920*0.1, "N/A")</f>
        <v>7.2250000000000005</v>
      </c>
      <c r="AH8920">
        <v>72.25</v>
      </c>
      <c r="AI8920">
        <v>295.48779999999999</v>
      </c>
      <c r="AJ8920">
        <v>34</v>
      </c>
      <c r="AK8920">
        <v>37.4375</v>
      </c>
    </row>
    <row r="8921" spans="1:37" x14ac:dyDescent="0.3">
      <c r="A8921">
        <v>8920</v>
      </c>
      <c r="B8921">
        <v>56</v>
      </c>
      <c r="C8921">
        <v>38.8992</v>
      </c>
      <c r="D8921">
        <v>14.163500000000001</v>
      </c>
      <c r="E8921" t="s">
        <v>13539</v>
      </c>
      <c r="F8921" t="s">
        <v>13540</v>
      </c>
      <c r="G8921" t="s">
        <v>37</v>
      </c>
      <c r="H8921">
        <v>1978</v>
      </c>
      <c r="I8921">
        <v>19.782240000000002</v>
      </c>
      <c r="J8921">
        <v>16.100000000000001</v>
      </c>
      <c r="K8921">
        <v>69</v>
      </c>
      <c r="L8921">
        <v>16.213550000000001</v>
      </c>
      <c r="M8921">
        <v>31.073370000000001</v>
      </c>
      <c r="N8921">
        <v>7.7822449999999996</v>
      </c>
      <c r="O8921">
        <v>23.291119999999999</v>
      </c>
      <c r="P8921">
        <v>19.18225</v>
      </c>
      <c r="Q8921">
        <v>17.982240000000001</v>
      </c>
      <c r="R8921">
        <v>22.082239999999999</v>
      </c>
      <c r="S8921">
        <v>17.982240000000001</v>
      </c>
      <c r="T8921">
        <v>669.82240000000002</v>
      </c>
      <c r="U8921">
        <v>206.91120000000001</v>
      </c>
      <c r="V8921">
        <v>2</v>
      </c>
      <c r="W8921">
        <v>126</v>
      </c>
      <c r="X8921">
        <v>485</v>
      </c>
      <c r="Y8921">
        <v>11</v>
      </c>
      <c r="Z8921">
        <v>71.91122</v>
      </c>
      <c r="AA8921">
        <v>11</v>
      </c>
      <c r="AB8921">
        <v>7.0671720000000002</v>
      </c>
      <c r="AC8921">
        <v>1.260067</v>
      </c>
      <c r="AD8921">
        <v>3.8305359999999999</v>
      </c>
      <c r="AE8921">
        <v>0.65462589999999998</v>
      </c>
      <c r="AF8921">
        <v>1889.34</v>
      </c>
      <c r="AG8921">
        <f>IFERROR(AH8921*0.1, "N/A")</f>
        <v>7.3976550000000003</v>
      </c>
      <c r="AH8921">
        <v>73.976550000000003</v>
      </c>
      <c r="AI8921">
        <v>169.8117</v>
      </c>
      <c r="AJ8921">
        <v>32.142380000000003</v>
      </c>
      <c r="AK8921">
        <v>38.815750000000001</v>
      </c>
    </row>
    <row r="8922" spans="1:37" x14ac:dyDescent="0.3">
      <c r="A8922">
        <v>8921</v>
      </c>
      <c r="B8922">
        <v>61.4</v>
      </c>
      <c r="C8922">
        <v>38.904400000000003</v>
      </c>
      <c r="D8922">
        <v>14.163600000000001</v>
      </c>
      <c r="E8922" t="s">
        <v>13541</v>
      </c>
      <c r="F8922" t="s">
        <v>13542</v>
      </c>
      <c r="G8922" t="s">
        <v>37</v>
      </c>
      <c r="H8922">
        <v>1983</v>
      </c>
      <c r="I8922">
        <v>19.600000000000001</v>
      </c>
      <c r="J8922">
        <v>16.100000000000001</v>
      </c>
      <c r="K8922">
        <v>69</v>
      </c>
      <c r="L8922">
        <v>16.25</v>
      </c>
      <c r="M8922">
        <v>30.8</v>
      </c>
      <c r="N8922">
        <v>7.6</v>
      </c>
      <c r="O8922">
        <v>23.2</v>
      </c>
      <c r="P8922">
        <v>19</v>
      </c>
      <c r="Q8922">
        <v>17.8</v>
      </c>
      <c r="R8922">
        <v>21.9</v>
      </c>
      <c r="S8922">
        <v>17.8</v>
      </c>
      <c r="T8922">
        <v>668</v>
      </c>
      <c r="U8922">
        <v>206</v>
      </c>
      <c r="V8922">
        <v>2</v>
      </c>
      <c r="W8922">
        <v>126</v>
      </c>
      <c r="X8922">
        <v>485</v>
      </c>
      <c r="Y8922">
        <v>11</v>
      </c>
      <c r="Z8922">
        <v>71</v>
      </c>
      <c r="AA8922">
        <v>11</v>
      </c>
      <c r="AB8922">
        <v>9.6382469999999998</v>
      </c>
      <c r="AC8922">
        <v>0.42251300000000003</v>
      </c>
      <c r="AD8922">
        <v>6.5630519999999999</v>
      </c>
      <c r="AE8922">
        <v>0.61214080000000004</v>
      </c>
      <c r="AF8922">
        <v>1904.2429999999999</v>
      </c>
      <c r="AG8922">
        <f>IFERROR(AH8922*0.1, "N/A")</f>
        <v>7.0399330000000013</v>
      </c>
      <c r="AH8922">
        <v>70.399330000000006</v>
      </c>
      <c r="AI8922">
        <v>143.53370000000001</v>
      </c>
      <c r="AJ8922">
        <v>32.949660000000002</v>
      </c>
      <c r="AK8922">
        <v>37.295299999999997</v>
      </c>
    </row>
    <row r="8923" spans="1:37" x14ac:dyDescent="0.3">
      <c r="A8923">
        <v>8922</v>
      </c>
      <c r="B8923">
        <v>33.299999999999997</v>
      </c>
      <c r="C8923">
        <v>38.8996</v>
      </c>
      <c r="D8923">
        <v>14.164</v>
      </c>
      <c r="E8923" t="s">
        <v>13543</v>
      </c>
      <c r="F8923" t="s">
        <v>13544</v>
      </c>
      <c r="G8923" t="s">
        <v>37</v>
      </c>
      <c r="H8923">
        <v>1994</v>
      </c>
      <c r="I8923">
        <v>19.722560000000001</v>
      </c>
      <c r="J8923">
        <v>16.100000000000001</v>
      </c>
      <c r="K8923">
        <v>69</v>
      </c>
      <c r="L8923">
        <v>16.225490000000001</v>
      </c>
      <c r="M8923">
        <v>30.983840000000001</v>
      </c>
      <c r="N8923">
        <v>7.7225590000000004</v>
      </c>
      <c r="O8923">
        <v>23.261279999999999</v>
      </c>
      <c r="P8923">
        <v>19.12256</v>
      </c>
      <c r="Q8923">
        <v>17.922560000000001</v>
      </c>
      <c r="R8923">
        <v>22.022559999999999</v>
      </c>
      <c r="S8923">
        <v>17.922560000000001</v>
      </c>
      <c r="T8923">
        <v>669.22559999999999</v>
      </c>
      <c r="U8923">
        <v>206.61279999999999</v>
      </c>
      <c r="V8923">
        <v>2</v>
      </c>
      <c r="W8923">
        <v>126</v>
      </c>
      <c r="X8923">
        <v>485</v>
      </c>
      <c r="Y8923">
        <v>11</v>
      </c>
      <c r="Z8923">
        <v>71.612790000000004</v>
      </c>
      <c r="AA8923">
        <v>11</v>
      </c>
      <c r="AB8923">
        <v>2.8951210000000001</v>
      </c>
      <c r="AC8923">
        <v>6.5300909999999996</v>
      </c>
      <c r="AD8923">
        <v>3.5076070000000001</v>
      </c>
      <c r="AE8923">
        <v>0.65462589999999998</v>
      </c>
      <c r="AF8923">
        <v>1886.0350000000001</v>
      </c>
      <c r="AG8923">
        <f>IFERROR(AH8923*0.1, "N/A")</f>
        <v>7.3424240000000003</v>
      </c>
      <c r="AH8923">
        <v>73.424239999999998</v>
      </c>
      <c r="AI8923">
        <v>150.37960000000001</v>
      </c>
      <c r="AJ8923">
        <v>31.910769999999999</v>
      </c>
      <c r="AK8923">
        <v>37.808079999999997</v>
      </c>
    </row>
    <row r="8924" spans="1:37" x14ac:dyDescent="0.3">
      <c r="A8924">
        <v>8923</v>
      </c>
      <c r="B8924">
        <v>7.5</v>
      </c>
      <c r="C8924">
        <v>38.9</v>
      </c>
      <c r="D8924">
        <v>14.166700000000001</v>
      </c>
      <c r="E8924" t="s">
        <v>13545</v>
      </c>
      <c r="F8924" t="s">
        <v>13546</v>
      </c>
      <c r="G8924" t="s">
        <v>37</v>
      </c>
      <c r="H8924">
        <v>1987</v>
      </c>
      <c r="I8924">
        <v>19.58229</v>
      </c>
      <c r="J8924">
        <v>16.04806</v>
      </c>
      <c r="K8924">
        <v>68.480609999999999</v>
      </c>
      <c r="L8924">
        <v>16.300439999999998</v>
      </c>
      <c r="M8924">
        <v>30.788869999999999</v>
      </c>
      <c r="N8924">
        <v>7.5092749999999997</v>
      </c>
      <c r="O8924">
        <v>23.279589999999999</v>
      </c>
      <c r="P8924">
        <v>18.982289999999999</v>
      </c>
      <c r="Q8924">
        <v>17.730350000000001</v>
      </c>
      <c r="R8924">
        <v>21.882290000000001</v>
      </c>
      <c r="S8924">
        <v>17.730350000000001</v>
      </c>
      <c r="T8924">
        <v>667.8229</v>
      </c>
      <c r="U8924">
        <v>206.0658</v>
      </c>
      <c r="V8924">
        <v>2</v>
      </c>
      <c r="W8924">
        <v>126</v>
      </c>
      <c r="X8924">
        <v>485.73020000000002</v>
      </c>
      <c r="Y8924">
        <v>9.961214</v>
      </c>
      <c r="Z8924">
        <v>70.854969999999994</v>
      </c>
      <c r="AA8924">
        <v>9.961214</v>
      </c>
      <c r="AB8924">
        <v>5.3118400000000001</v>
      </c>
      <c r="AC8924">
        <v>0.12664349999999999</v>
      </c>
      <c r="AD8924">
        <v>2.6121759999999998</v>
      </c>
      <c r="AE8924">
        <v>0.65297810000000001</v>
      </c>
      <c r="AF8924">
        <v>1891.201</v>
      </c>
      <c r="AG8924">
        <f>IFERROR(AH8924*0.1, "N/A")</f>
        <v>7.1723439999999998</v>
      </c>
      <c r="AH8924">
        <v>71.723439999999997</v>
      </c>
      <c r="AI8924">
        <v>208.17760000000001</v>
      </c>
      <c r="AJ8924">
        <v>31.55312</v>
      </c>
      <c r="AK8924">
        <v>38</v>
      </c>
    </row>
    <row r="8925" spans="1:37" x14ac:dyDescent="0.3">
      <c r="A8925">
        <v>8924</v>
      </c>
      <c r="B8925">
        <v>65.7</v>
      </c>
      <c r="C8925">
        <v>38.898299999999999</v>
      </c>
      <c r="D8925">
        <v>14.167</v>
      </c>
      <c r="E8925" t="s">
        <v>13547</v>
      </c>
      <c r="F8925" t="s">
        <v>13548</v>
      </c>
      <c r="G8925" t="s">
        <v>37</v>
      </c>
      <c r="H8925">
        <v>1983</v>
      </c>
      <c r="I8925">
        <v>19.70654</v>
      </c>
      <c r="J8925">
        <v>16.100000000000001</v>
      </c>
      <c r="K8925">
        <v>69</v>
      </c>
      <c r="L8925">
        <v>16.27542</v>
      </c>
      <c r="M8925">
        <v>30.91309</v>
      </c>
      <c r="N8925">
        <v>7.6130870000000002</v>
      </c>
      <c r="O8925">
        <v>23.3</v>
      </c>
      <c r="P8925">
        <v>19.106539999999999</v>
      </c>
      <c r="Q8925">
        <v>17.90654</v>
      </c>
      <c r="R8925">
        <v>22.006540000000001</v>
      </c>
      <c r="S8925">
        <v>17.90654</v>
      </c>
      <c r="T8925">
        <v>669.06539999999995</v>
      </c>
      <c r="U8925">
        <v>206.06540000000001</v>
      </c>
      <c r="V8925">
        <v>2</v>
      </c>
      <c r="W8925">
        <v>126</v>
      </c>
      <c r="X8925">
        <v>485.93459999999999</v>
      </c>
      <c r="Y8925">
        <v>11</v>
      </c>
      <c r="Z8925">
        <v>70.130870000000002</v>
      </c>
      <c r="AA8925">
        <v>11</v>
      </c>
      <c r="AB8925">
        <v>5.7919939999999999</v>
      </c>
      <c r="AC8925">
        <v>0.25880649999999999</v>
      </c>
      <c r="AD8925">
        <v>2.7923079999999998</v>
      </c>
      <c r="AE8925">
        <v>0.65462589999999998</v>
      </c>
      <c r="AF8925">
        <v>1894.0820000000001</v>
      </c>
      <c r="AG8925">
        <f>IFERROR(AH8925*0.1, "N/A")</f>
        <v>7.1203019999999997</v>
      </c>
      <c r="AH8925">
        <v>71.203019999999995</v>
      </c>
      <c r="AI8925">
        <v>173.90369999999999</v>
      </c>
      <c r="AJ8925">
        <v>32.796979999999998</v>
      </c>
      <c r="AK8925">
        <v>37.593960000000003</v>
      </c>
    </row>
    <row r="8926" spans="1:37" x14ac:dyDescent="0.3">
      <c r="A8926">
        <v>8925</v>
      </c>
      <c r="B8926">
        <v>62.7</v>
      </c>
      <c r="C8926">
        <v>38.875599999999999</v>
      </c>
      <c r="D8926">
        <v>14.1816</v>
      </c>
      <c r="E8926" t="s">
        <v>13549</v>
      </c>
      <c r="F8926" t="s">
        <v>13550</v>
      </c>
      <c r="G8926" t="s">
        <v>37</v>
      </c>
      <c r="H8926">
        <v>1983</v>
      </c>
      <c r="I8926">
        <v>19.600000000000001</v>
      </c>
      <c r="J8926">
        <v>16.100000000000001</v>
      </c>
      <c r="K8926">
        <v>69</v>
      </c>
      <c r="L8926">
        <v>16.239999999999998</v>
      </c>
      <c r="M8926">
        <v>30.9</v>
      </c>
      <c r="N8926">
        <v>7.6</v>
      </c>
      <c r="O8926">
        <v>23.3</v>
      </c>
      <c r="P8926">
        <v>19.100000000000001</v>
      </c>
      <c r="Q8926">
        <v>17.8</v>
      </c>
      <c r="R8926">
        <v>21.9</v>
      </c>
      <c r="S8926">
        <v>17.8</v>
      </c>
      <c r="T8926">
        <v>671</v>
      </c>
      <c r="U8926">
        <v>206</v>
      </c>
      <c r="V8926">
        <v>2</v>
      </c>
      <c r="W8926">
        <v>127</v>
      </c>
      <c r="X8926">
        <v>488</v>
      </c>
      <c r="Y8926">
        <v>10</v>
      </c>
      <c r="Z8926">
        <v>70</v>
      </c>
      <c r="AA8926">
        <v>10</v>
      </c>
      <c r="AB8926">
        <v>9.5537290000000006</v>
      </c>
      <c r="AC8926">
        <v>8.8988419999999999E-2</v>
      </c>
      <c r="AD8926">
        <v>3.7191749999999999</v>
      </c>
      <c r="AE8926">
        <v>0.62787780000000004</v>
      </c>
      <c r="AF8926">
        <v>1919.1659999999999</v>
      </c>
      <c r="AG8926">
        <f>IFERROR(AH8926*0.1, "N/A")</f>
        <v>7.0986580000000004</v>
      </c>
      <c r="AH8926">
        <v>70.986580000000004</v>
      </c>
      <c r="AI8926">
        <v>245.779</v>
      </c>
      <c r="AJ8926">
        <v>31</v>
      </c>
      <c r="AK8926">
        <v>42.00168</v>
      </c>
    </row>
    <row r="8927" spans="1:37" x14ac:dyDescent="0.3">
      <c r="A8927">
        <v>8926</v>
      </c>
      <c r="B8927">
        <v>55.8</v>
      </c>
      <c r="C8927">
        <v>38.8825</v>
      </c>
      <c r="D8927">
        <v>14.182399999999999</v>
      </c>
      <c r="E8927" t="s">
        <v>13551</v>
      </c>
      <c r="F8927" t="s">
        <v>13552</v>
      </c>
      <c r="G8927" t="s">
        <v>37</v>
      </c>
      <c r="H8927">
        <v>1983</v>
      </c>
      <c r="I8927">
        <v>19.600000000000001</v>
      </c>
      <c r="J8927">
        <v>16.100000000000001</v>
      </c>
      <c r="K8927">
        <v>69</v>
      </c>
      <c r="L8927">
        <v>16.239999999999998</v>
      </c>
      <c r="M8927">
        <v>30.9</v>
      </c>
      <c r="N8927">
        <v>7.6</v>
      </c>
      <c r="O8927">
        <v>23.3</v>
      </c>
      <c r="P8927">
        <v>19.100000000000001</v>
      </c>
      <c r="Q8927">
        <v>17.8</v>
      </c>
      <c r="R8927">
        <v>21.9</v>
      </c>
      <c r="S8927">
        <v>17.8</v>
      </c>
      <c r="T8927">
        <v>671</v>
      </c>
      <c r="U8927">
        <v>206</v>
      </c>
      <c r="V8927">
        <v>2</v>
      </c>
      <c r="W8927">
        <v>127</v>
      </c>
      <c r="X8927">
        <v>488</v>
      </c>
      <c r="Y8927">
        <v>10</v>
      </c>
      <c r="Z8927">
        <v>70</v>
      </c>
      <c r="AA8927">
        <v>10</v>
      </c>
      <c r="AB8927">
        <v>7.9580929999999999</v>
      </c>
      <c r="AC8927">
        <v>3.0111829999999999E-2</v>
      </c>
      <c r="AD8927">
        <v>3.1337039999999998</v>
      </c>
      <c r="AE8927">
        <v>0.63229639999999998</v>
      </c>
      <c r="AF8927">
        <v>1904.7929999999999</v>
      </c>
      <c r="AG8927">
        <f>IFERROR(AH8927*0.1, "N/A")</f>
        <v>6.8653200000000005</v>
      </c>
      <c r="AH8927">
        <v>68.653199999999998</v>
      </c>
      <c r="AI8927">
        <v>126.05070000000001</v>
      </c>
      <c r="AJ8927">
        <v>34</v>
      </c>
      <c r="AK8927">
        <v>39.653199999999998</v>
      </c>
    </row>
    <row r="8928" spans="1:37" x14ac:dyDescent="0.3">
      <c r="A8928">
        <v>8927</v>
      </c>
      <c r="B8928">
        <v>54.2</v>
      </c>
      <c r="C8928">
        <v>38.887500000000003</v>
      </c>
      <c r="D8928">
        <v>14.1835</v>
      </c>
      <c r="E8928" t="s">
        <v>13553</v>
      </c>
      <c r="F8928" t="s">
        <v>13554</v>
      </c>
      <c r="G8928" t="s">
        <v>37</v>
      </c>
      <c r="H8928">
        <v>1983</v>
      </c>
      <c r="I8928">
        <v>19.448319999999999</v>
      </c>
      <c r="J8928">
        <v>16.04832</v>
      </c>
      <c r="K8928">
        <v>68.483220000000003</v>
      </c>
      <c r="L8928">
        <v>16.280940000000001</v>
      </c>
      <c r="M8928">
        <v>30.644970000000001</v>
      </c>
      <c r="N8928">
        <v>7.3966440000000002</v>
      </c>
      <c r="O8928">
        <v>23.24832</v>
      </c>
      <c r="P8928">
        <v>18.899999999999999</v>
      </c>
      <c r="Q8928">
        <v>17.596640000000001</v>
      </c>
      <c r="R8928">
        <v>21.744969999999999</v>
      </c>
      <c r="S8928">
        <v>17.596640000000001</v>
      </c>
      <c r="T8928">
        <v>670.03359999999998</v>
      </c>
      <c r="U8928">
        <v>206</v>
      </c>
      <c r="V8928">
        <v>2</v>
      </c>
      <c r="W8928">
        <v>127</v>
      </c>
      <c r="X8928">
        <v>488.51679999999999</v>
      </c>
      <c r="Y8928">
        <v>9</v>
      </c>
      <c r="Z8928">
        <v>70.516779999999997</v>
      </c>
      <c r="AA8928">
        <v>9</v>
      </c>
      <c r="AB8928">
        <v>19.561769999999999</v>
      </c>
      <c r="AC8928">
        <v>8.4870599999999994E-3</v>
      </c>
      <c r="AD8928">
        <v>4.6364080000000003</v>
      </c>
      <c r="AE8928">
        <v>0.64014269999999995</v>
      </c>
      <c r="AF8928">
        <v>1918.614</v>
      </c>
      <c r="AG8928">
        <f>IFERROR(AH8928*0.1, "N/A")</f>
        <v>6.8432890000000004</v>
      </c>
      <c r="AH8928">
        <v>68.43289</v>
      </c>
      <c r="AI8928">
        <v>251.5916</v>
      </c>
      <c r="AJ8928">
        <v>34</v>
      </c>
      <c r="AK8928">
        <v>37.43289</v>
      </c>
    </row>
    <row r="8929" spans="1:37" x14ac:dyDescent="0.3">
      <c r="A8929">
        <v>8928</v>
      </c>
      <c r="B8929">
        <v>50.9</v>
      </c>
      <c r="C8929">
        <v>38.883600000000001</v>
      </c>
      <c r="D8929">
        <v>14.187200000000001</v>
      </c>
      <c r="E8929" t="s">
        <v>13555</v>
      </c>
      <c r="F8929" t="s">
        <v>13556</v>
      </c>
      <c r="G8929" t="s">
        <v>37</v>
      </c>
      <c r="H8929">
        <v>1996</v>
      </c>
      <c r="I8929">
        <v>19.352930000000001</v>
      </c>
      <c r="J8929">
        <v>16</v>
      </c>
      <c r="K8929">
        <v>68</v>
      </c>
      <c r="L8929">
        <v>16.13767</v>
      </c>
      <c r="M8929">
        <v>30.5</v>
      </c>
      <c r="N8929">
        <v>7.3</v>
      </c>
      <c r="O8929">
        <v>23.2</v>
      </c>
      <c r="P8929">
        <v>18.852930000000001</v>
      </c>
      <c r="Q8929">
        <v>17.5</v>
      </c>
      <c r="R8929">
        <v>21.6</v>
      </c>
      <c r="S8929">
        <v>17.5</v>
      </c>
      <c r="T8929">
        <v>670.05859999999996</v>
      </c>
      <c r="U8929">
        <v>206.47069999999999</v>
      </c>
      <c r="V8929">
        <v>1.5293129999999999</v>
      </c>
      <c r="W8929">
        <v>127.47069999999999</v>
      </c>
      <c r="X8929">
        <v>489.94139999999999</v>
      </c>
      <c r="Y8929">
        <v>8.5293130000000001</v>
      </c>
      <c r="Z8929">
        <v>70.058629999999994</v>
      </c>
      <c r="AA8929">
        <v>8.5293130000000001</v>
      </c>
      <c r="AB8929">
        <v>12.748250000000001</v>
      </c>
      <c r="AC8929">
        <v>2.9265449999999998E-2</v>
      </c>
      <c r="AD8929">
        <v>3.639907</v>
      </c>
      <c r="AE8929">
        <v>0.64014269999999995</v>
      </c>
      <c r="AF8929">
        <v>1916.722</v>
      </c>
      <c r="AG8929">
        <f>IFERROR(AH8929*0.1, "N/A")</f>
        <v>6.771859000000001</v>
      </c>
      <c r="AH8929">
        <v>67.718590000000006</v>
      </c>
      <c r="AI8929">
        <v>144.7878</v>
      </c>
      <c r="AJ8929">
        <v>34.041879999999999</v>
      </c>
      <c r="AK8929">
        <v>40.752090000000003</v>
      </c>
    </row>
    <row r="8930" spans="1:37" x14ac:dyDescent="0.3">
      <c r="A8930">
        <v>8929</v>
      </c>
      <c r="B8930">
        <v>63.1</v>
      </c>
      <c r="C8930">
        <v>38.884500000000003</v>
      </c>
      <c r="D8930">
        <v>14.188800000000001</v>
      </c>
      <c r="E8930" t="s">
        <v>13557</v>
      </c>
      <c r="F8930" t="s">
        <v>13558</v>
      </c>
      <c r="G8930" t="s">
        <v>37</v>
      </c>
      <c r="H8930">
        <v>1983</v>
      </c>
      <c r="I8930">
        <v>19.399999999999999</v>
      </c>
      <c r="J8930">
        <v>16</v>
      </c>
      <c r="K8930">
        <v>68</v>
      </c>
      <c r="L8930">
        <v>16.02</v>
      </c>
      <c r="M8930">
        <v>30.5</v>
      </c>
      <c r="N8930">
        <v>7.3</v>
      </c>
      <c r="O8930">
        <v>23.2</v>
      </c>
      <c r="P8930">
        <v>18.899999999999999</v>
      </c>
      <c r="Q8930">
        <v>17.5</v>
      </c>
      <c r="R8930">
        <v>21.6</v>
      </c>
      <c r="S8930">
        <v>17.5</v>
      </c>
      <c r="T8930">
        <v>671</v>
      </c>
      <c r="U8930">
        <v>206</v>
      </c>
      <c r="V8930">
        <v>2</v>
      </c>
      <c r="W8930">
        <v>127</v>
      </c>
      <c r="X8930">
        <v>489</v>
      </c>
      <c r="Y8930">
        <v>9</v>
      </c>
      <c r="Z8930">
        <v>71</v>
      </c>
      <c r="AA8930">
        <v>9</v>
      </c>
      <c r="AB8930">
        <v>20.284479999999999</v>
      </c>
      <c r="AC8930">
        <v>1.063338E-2</v>
      </c>
      <c r="AD8930">
        <v>3.5610439999999999</v>
      </c>
      <c r="AE8930">
        <v>0.61166549999999997</v>
      </c>
      <c r="AF8930">
        <v>1923.538</v>
      </c>
      <c r="AG8930">
        <f>IFERROR(AH8930*0.1, "N/A")</f>
        <v>6.8000000000000007</v>
      </c>
      <c r="AH8930">
        <v>68</v>
      </c>
      <c r="AI8930">
        <v>157.88409999999999</v>
      </c>
      <c r="AJ8930">
        <v>34.5563</v>
      </c>
      <c r="AK8930">
        <v>40.4437</v>
      </c>
    </row>
    <row r="8931" spans="1:37" x14ac:dyDescent="0.3">
      <c r="A8931">
        <v>8930</v>
      </c>
      <c r="B8931">
        <v>0</v>
      </c>
      <c r="C8931">
        <v>39.533000000000001</v>
      </c>
      <c r="D8931">
        <v>14.189</v>
      </c>
      <c r="E8931" t="s">
        <v>13559</v>
      </c>
      <c r="F8931" t="s">
        <v>13560</v>
      </c>
      <c r="G8931" t="s">
        <v>37</v>
      </c>
      <c r="H8931">
        <v>1998</v>
      </c>
      <c r="I8931">
        <v>13.661809999999999</v>
      </c>
      <c r="J8931">
        <v>15.15394</v>
      </c>
      <c r="K8931">
        <v>70.539360000000002</v>
      </c>
      <c r="L8931">
        <v>15.44271</v>
      </c>
      <c r="M8931">
        <v>23.907869999999999</v>
      </c>
      <c r="N8931">
        <v>2.5539360000000002</v>
      </c>
      <c r="O8931">
        <v>21.353940000000001</v>
      </c>
      <c r="P8931">
        <v>14.761810000000001</v>
      </c>
      <c r="Q8931">
        <v>11.96181</v>
      </c>
      <c r="R8931">
        <v>15.561809999999999</v>
      </c>
      <c r="S8931">
        <v>11.50787</v>
      </c>
      <c r="T8931">
        <v>578.84249999999997</v>
      </c>
      <c r="U8931">
        <v>160.9213</v>
      </c>
      <c r="V8931">
        <v>4</v>
      </c>
      <c r="W8931">
        <v>106.4606</v>
      </c>
      <c r="X8931">
        <v>360.38189999999997</v>
      </c>
      <c r="Y8931">
        <v>18</v>
      </c>
      <c r="Z8931">
        <v>143</v>
      </c>
      <c r="AA8931">
        <v>25</v>
      </c>
      <c r="AB8931">
        <v>223.50739999999999</v>
      </c>
      <c r="AC8931">
        <v>1.419515E-2</v>
      </c>
      <c r="AD8931">
        <v>32.912419999999997</v>
      </c>
      <c r="AE8931">
        <v>0.51285000000000003</v>
      </c>
      <c r="AF8931">
        <v>2950.7020000000002</v>
      </c>
      <c r="AG8931">
        <f>IFERROR(AH8931*0.1, "N/A")</f>
        <v>7.3425460000000005</v>
      </c>
      <c r="AH8931">
        <v>73.425460000000001</v>
      </c>
      <c r="AI8931">
        <v>208.90270000000001</v>
      </c>
      <c r="AJ8931">
        <v>37.065330000000003</v>
      </c>
      <c r="AK8931">
        <v>35.718589999999999</v>
      </c>
    </row>
    <row r="8932" spans="1:37" x14ac:dyDescent="0.3">
      <c r="A8932">
        <v>8931</v>
      </c>
      <c r="B8932">
        <v>59.8</v>
      </c>
      <c r="C8932">
        <v>38.343299999999999</v>
      </c>
      <c r="D8932">
        <v>14.1943</v>
      </c>
      <c r="E8932" t="s">
        <v>13561</v>
      </c>
      <c r="F8932" t="s">
        <v>13562</v>
      </c>
      <c r="G8932" t="s">
        <v>37</v>
      </c>
      <c r="H8932">
        <v>1996</v>
      </c>
      <c r="I8932">
        <v>20.100000000000001</v>
      </c>
      <c r="J8932">
        <v>15.9</v>
      </c>
      <c r="K8932">
        <v>70</v>
      </c>
      <c r="L8932">
        <v>17.18</v>
      </c>
      <c r="M8932">
        <v>31.6</v>
      </c>
      <c r="N8932">
        <v>9.1999999999999993</v>
      </c>
      <c r="O8932">
        <v>22.4</v>
      </c>
      <c r="P8932">
        <v>19.3</v>
      </c>
      <c r="Q8932">
        <v>19</v>
      </c>
      <c r="R8932">
        <v>22.5</v>
      </c>
      <c r="S8932">
        <v>18.600000000000001</v>
      </c>
      <c r="T8932">
        <v>846</v>
      </c>
      <c r="U8932">
        <v>280</v>
      </c>
      <c r="V8932">
        <v>0</v>
      </c>
      <c r="W8932">
        <v>135</v>
      </c>
      <c r="X8932">
        <v>646</v>
      </c>
      <c r="Y8932">
        <v>3</v>
      </c>
      <c r="Z8932">
        <v>174</v>
      </c>
      <c r="AA8932">
        <v>639</v>
      </c>
      <c r="AB8932">
        <v>17.021660000000001</v>
      </c>
      <c r="AC8932">
        <v>1.7308460000000001E-2</v>
      </c>
      <c r="AD8932">
        <v>2.7141950000000001</v>
      </c>
      <c r="AE8932">
        <v>0.45056819999999997</v>
      </c>
      <c r="AF8932">
        <v>1946.578</v>
      </c>
      <c r="AG8932">
        <f>IFERROR(AH8932*0.1, "N/A")</f>
        <v>6.6000000000000005</v>
      </c>
      <c r="AH8932">
        <v>66</v>
      </c>
      <c r="AI8932">
        <v>76.724509999999995</v>
      </c>
      <c r="AJ8932">
        <v>38</v>
      </c>
      <c r="AK8932">
        <v>33.799999999999997</v>
      </c>
    </row>
    <row r="8933" spans="1:37" x14ac:dyDescent="0.3">
      <c r="A8933">
        <v>8932</v>
      </c>
      <c r="B8933">
        <v>0</v>
      </c>
      <c r="C8933">
        <v>39.572499999999998</v>
      </c>
      <c r="D8933">
        <v>14.1973</v>
      </c>
      <c r="E8933" t="s">
        <v>13563</v>
      </c>
      <c r="F8933" t="s">
        <v>13564</v>
      </c>
      <c r="G8933" t="s">
        <v>37</v>
      </c>
      <c r="H8933">
        <v>1998</v>
      </c>
      <c r="I8933">
        <v>14.8</v>
      </c>
      <c r="J8933">
        <v>15.4</v>
      </c>
      <c r="K8933">
        <v>70</v>
      </c>
      <c r="L8933">
        <v>16.07</v>
      </c>
      <c r="M8933">
        <v>25.1</v>
      </c>
      <c r="N8933">
        <v>3.4</v>
      </c>
      <c r="O8933">
        <v>21.7</v>
      </c>
      <c r="P8933">
        <v>15.9</v>
      </c>
      <c r="Q8933">
        <v>13</v>
      </c>
      <c r="R8933">
        <v>16.8</v>
      </c>
      <c r="S8933">
        <v>12.6</v>
      </c>
      <c r="T8933">
        <v>573</v>
      </c>
      <c r="U8933">
        <v>150</v>
      </c>
      <c r="V8933">
        <v>6</v>
      </c>
      <c r="W8933">
        <v>101</v>
      </c>
      <c r="X8933">
        <v>339</v>
      </c>
      <c r="Y8933">
        <v>25</v>
      </c>
      <c r="Z8933">
        <v>145</v>
      </c>
      <c r="AA8933">
        <v>35</v>
      </c>
      <c r="AB8933">
        <v>2.2763339999999999</v>
      </c>
      <c r="AC8933">
        <v>0.27764230000000001</v>
      </c>
      <c r="AD8933">
        <v>1.4934540000000001</v>
      </c>
      <c r="AE8933">
        <v>0.4771666</v>
      </c>
      <c r="AF8933">
        <v>2666.9580000000001</v>
      </c>
      <c r="AG8933">
        <f>IFERROR(AH8933*0.1, "N/A")</f>
        <v>7.2947990000000011</v>
      </c>
      <c r="AH8933">
        <v>72.947990000000004</v>
      </c>
      <c r="AI8933">
        <v>131.4744</v>
      </c>
      <c r="AJ8933">
        <v>30.565439999999999</v>
      </c>
      <c r="AK8933">
        <v>40.177849999999999</v>
      </c>
    </row>
    <row r="8934" spans="1:37" x14ac:dyDescent="0.3">
      <c r="A8934">
        <v>8933</v>
      </c>
      <c r="B8934">
        <v>23</v>
      </c>
      <c r="C8934">
        <v>38.974800000000002</v>
      </c>
      <c r="D8934">
        <v>14.2126</v>
      </c>
      <c r="E8934" t="s">
        <v>13565</v>
      </c>
      <c r="F8934" t="s">
        <v>13566</v>
      </c>
      <c r="G8934" t="s">
        <v>37</v>
      </c>
      <c r="H8934">
        <v>2009</v>
      </c>
      <c r="I8934">
        <v>17.556470000000001</v>
      </c>
      <c r="J8934">
        <v>15.9</v>
      </c>
      <c r="K8934">
        <v>70</v>
      </c>
      <c r="L8934">
        <v>14.89941</v>
      </c>
      <c r="M8934">
        <v>28.356470000000002</v>
      </c>
      <c r="N8934">
        <v>5.8188240000000002</v>
      </c>
      <c r="O8934">
        <v>22.537649999999999</v>
      </c>
      <c r="P8934">
        <v>17.737649999999999</v>
      </c>
      <c r="Q8934">
        <v>15.91882</v>
      </c>
      <c r="R8934">
        <v>19.637650000000001</v>
      </c>
      <c r="S8934">
        <v>15.75647</v>
      </c>
      <c r="T8934">
        <v>620.75289999999995</v>
      </c>
      <c r="U8934">
        <v>201.81180000000001</v>
      </c>
      <c r="V8934">
        <v>2</v>
      </c>
      <c r="W8934">
        <v>127.4353</v>
      </c>
      <c r="X8934">
        <v>448</v>
      </c>
      <c r="Y8934">
        <v>7.1882349999999997</v>
      </c>
      <c r="Z8934">
        <v>93.470590000000001</v>
      </c>
      <c r="AA8934">
        <v>15.18824</v>
      </c>
      <c r="AB8934">
        <v>105.7394</v>
      </c>
      <c r="AC8934">
        <v>2.257439E-2</v>
      </c>
      <c r="AD8934">
        <v>23.96406</v>
      </c>
      <c r="AE8934">
        <v>0.42177330000000002</v>
      </c>
      <c r="AF8934">
        <v>2209.2719999999999</v>
      </c>
      <c r="AG8934">
        <f>IFERROR(AH8934*0.1, "N/A")</f>
        <v>6.5623530000000008</v>
      </c>
      <c r="AH8934">
        <v>65.623530000000002</v>
      </c>
      <c r="AI8934">
        <v>219.3142</v>
      </c>
      <c r="AJ8934">
        <v>42</v>
      </c>
      <c r="AK8934">
        <v>32</v>
      </c>
    </row>
    <row r="8935" spans="1:37" x14ac:dyDescent="0.3">
      <c r="A8935">
        <v>8934</v>
      </c>
      <c r="B8935">
        <v>41</v>
      </c>
      <c r="C8935">
        <v>39.006999999999998</v>
      </c>
      <c r="D8935">
        <v>14.2211</v>
      </c>
      <c r="E8935" t="s">
        <v>13567</v>
      </c>
      <c r="F8935" t="s">
        <v>13568</v>
      </c>
      <c r="G8935" t="s">
        <v>37</v>
      </c>
      <c r="H8935">
        <v>2009</v>
      </c>
      <c r="I8935">
        <v>16.8</v>
      </c>
      <c r="J8935">
        <v>15.8</v>
      </c>
      <c r="K8935">
        <v>70</v>
      </c>
      <c r="L8935">
        <v>14.7</v>
      </c>
      <c r="M8935">
        <v>27.6</v>
      </c>
      <c r="N8935">
        <v>5.2</v>
      </c>
      <c r="O8935">
        <v>22.4</v>
      </c>
      <c r="P8935">
        <v>17</v>
      </c>
      <c r="Q8935">
        <v>15.3</v>
      </c>
      <c r="R8935">
        <v>18.899999999999999</v>
      </c>
      <c r="S8935">
        <v>15</v>
      </c>
      <c r="T8935">
        <v>608</v>
      </c>
      <c r="U8935">
        <v>200</v>
      </c>
      <c r="V8935">
        <v>1</v>
      </c>
      <c r="W8935">
        <v>127</v>
      </c>
      <c r="X8935">
        <v>437</v>
      </c>
      <c r="Y8935">
        <v>6</v>
      </c>
      <c r="Z8935">
        <v>134</v>
      </c>
      <c r="AA8935">
        <v>14</v>
      </c>
      <c r="AB8935">
        <v>99.785880000000006</v>
      </c>
      <c r="AC8935">
        <v>3.0646050000000001E-2</v>
      </c>
      <c r="AD8935">
        <v>22.706479999999999</v>
      </c>
      <c r="AE8935">
        <v>0.38094749999999999</v>
      </c>
      <c r="AF8935">
        <v>2302.5070000000001</v>
      </c>
      <c r="AG8935">
        <f>IFERROR(AH8935*0.1, "N/A")</f>
        <v>6.8000000000000007</v>
      </c>
      <c r="AH8935">
        <v>68</v>
      </c>
      <c r="AI8935">
        <v>83.370570000000001</v>
      </c>
      <c r="AJ8935">
        <v>37.010069999999999</v>
      </c>
      <c r="AK8935">
        <v>36.795299999999997</v>
      </c>
    </row>
    <row r="8936" spans="1:37" x14ac:dyDescent="0.3">
      <c r="A8936">
        <v>8935</v>
      </c>
      <c r="B8936">
        <v>16.7</v>
      </c>
      <c r="C8936">
        <v>39.15</v>
      </c>
      <c r="D8936">
        <v>14.2789</v>
      </c>
      <c r="E8936" t="s">
        <v>13569</v>
      </c>
      <c r="F8936" t="s">
        <v>13570</v>
      </c>
      <c r="G8936" t="s">
        <v>37</v>
      </c>
      <c r="H8936">
        <v>1987</v>
      </c>
      <c r="I8936">
        <v>18.920570000000001</v>
      </c>
      <c r="J8936">
        <v>15.9</v>
      </c>
      <c r="K8936">
        <v>70</v>
      </c>
      <c r="L8936">
        <v>15.192920000000001</v>
      </c>
      <c r="M8936">
        <v>29.720569999999999</v>
      </c>
      <c r="N8936">
        <v>7.1205730000000003</v>
      </c>
      <c r="O8936">
        <v>22.6</v>
      </c>
      <c r="P8936">
        <v>19.120570000000001</v>
      </c>
      <c r="Q8936">
        <v>17.220569999999999</v>
      </c>
      <c r="R8936">
        <v>21.020569999999999</v>
      </c>
      <c r="S8936">
        <v>17.120570000000001</v>
      </c>
      <c r="T8936">
        <v>631.8229</v>
      </c>
      <c r="U8936">
        <v>180.79429999999999</v>
      </c>
      <c r="V8936">
        <v>8.2057339999999996</v>
      </c>
      <c r="W8936">
        <v>110.5885</v>
      </c>
      <c r="X8936">
        <v>412.58850000000001</v>
      </c>
      <c r="Y8936">
        <v>28.6172</v>
      </c>
      <c r="Z8936">
        <v>109.3777</v>
      </c>
      <c r="AA8936">
        <v>33.617199999999997</v>
      </c>
      <c r="AB8936">
        <v>5.9649029999999996</v>
      </c>
      <c r="AC8936">
        <v>1.1392640000000001</v>
      </c>
      <c r="AD8936">
        <v>4.2524499999999996</v>
      </c>
      <c r="AE8936">
        <v>0.61192939999999996</v>
      </c>
      <c r="AF8936">
        <v>1993.85</v>
      </c>
      <c r="AG8936">
        <f>IFERROR(AH8936*0.1, "N/A")</f>
        <v>7.3524450000000003</v>
      </c>
      <c r="AH8936">
        <v>73.524450000000002</v>
      </c>
      <c r="AI8936">
        <v>141.73580000000001</v>
      </c>
      <c r="AJ8936">
        <v>32.738619999999997</v>
      </c>
      <c r="AK8936">
        <v>37.39629</v>
      </c>
    </row>
    <row r="8937" spans="1:37" x14ac:dyDescent="0.3">
      <c r="A8937">
        <v>8936</v>
      </c>
      <c r="B8937">
        <v>0</v>
      </c>
      <c r="C8937">
        <v>39.017800000000001</v>
      </c>
      <c r="D8937">
        <v>14.2836</v>
      </c>
      <c r="E8937" t="s">
        <v>13571</v>
      </c>
      <c r="F8937" t="s">
        <v>13572</v>
      </c>
      <c r="G8937" t="s">
        <v>37</v>
      </c>
      <c r="H8937">
        <v>1998</v>
      </c>
      <c r="I8937">
        <v>18.164870000000001</v>
      </c>
      <c r="J8937">
        <v>15.9</v>
      </c>
      <c r="K8937">
        <v>70</v>
      </c>
      <c r="L8937">
        <v>15.23108</v>
      </c>
      <c r="M8937">
        <v>28.964860000000002</v>
      </c>
      <c r="N8937">
        <v>6.2824330000000002</v>
      </c>
      <c r="O8937">
        <v>22.68243</v>
      </c>
      <c r="P8937">
        <v>18.282430000000002</v>
      </c>
      <c r="Q8937">
        <v>16.382429999999999</v>
      </c>
      <c r="R8937">
        <v>20.18243</v>
      </c>
      <c r="S8937">
        <v>16.264859999999999</v>
      </c>
      <c r="T8937">
        <v>625.47299999999996</v>
      </c>
      <c r="U8937">
        <v>197</v>
      </c>
      <c r="V8937">
        <v>2.8243239999999998</v>
      </c>
      <c r="W8937">
        <v>122.3514</v>
      </c>
      <c r="X8937">
        <v>441.82429999999999</v>
      </c>
      <c r="Y8937">
        <v>10.82432</v>
      </c>
      <c r="Z8937">
        <v>95.729730000000004</v>
      </c>
      <c r="AA8937">
        <v>18.82432</v>
      </c>
      <c r="AB8937">
        <v>3.0846279999999999</v>
      </c>
      <c r="AC8937">
        <v>4.6666860000000003</v>
      </c>
      <c r="AD8937">
        <v>2.3937560000000002</v>
      </c>
      <c r="AE8937">
        <v>0.4194331</v>
      </c>
      <c r="AF8937">
        <v>2117.7869999999998</v>
      </c>
      <c r="AG8937">
        <f>IFERROR(AH8937*0.1, "N/A")</f>
        <v>6.9412160000000007</v>
      </c>
      <c r="AH8937">
        <v>69.41216</v>
      </c>
      <c r="AI8937">
        <v>72.926829999999995</v>
      </c>
      <c r="AJ8937">
        <v>36.20608</v>
      </c>
      <c r="AK8937">
        <v>37.89696</v>
      </c>
    </row>
    <row r="8938" spans="1:37" x14ac:dyDescent="0.3">
      <c r="A8938">
        <v>8937</v>
      </c>
      <c r="B8938">
        <v>0</v>
      </c>
      <c r="C8938">
        <v>39.4696</v>
      </c>
      <c r="D8938">
        <v>14.2843</v>
      </c>
      <c r="E8938" t="s">
        <v>13573</v>
      </c>
      <c r="F8938" t="s">
        <v>13574</v>
      </c>
      <c r="G8938" t="s">
        <v>37</v>
      </c>
      <c r="H8938">
        <v>1996</v>
      </c>
      <c r="I8938">
        <v>16</v>
      </c>
      <c r="J8938">
        <v>15.8</v>
      </c>
      <c r="K8938">
        <v>70</v>
      </c>
      <c r="L8938">
        <v>16.309999999999999</v>
      </c>
      <c r="M8938">
        <v>26.6</v>
      </c>
      <c r="N8938">
        <v>4.2</v>
      </c>
      <c r="O8938">
        <v>22.4</v>
      </c>
      <c r="P8938">
        <v>17.100000000000001</v>
      </c>
      <c r="Q8938">
        <v>14.3</v>
      </c>
      <c r="R8938">
        <v>18.100000000000001</v>
      </c>
      <c r="S8938">
        <v>13.8</v>
      </c>
      <c r="T8938">
        <v>557</v>
      </c>
      <c r="U8938">
        <v>148</v>
      </c>
      <c r="V8938">
        <v>7</v>
      </c>
      <c r="W8938">
        <v>101</v>
      </c>
      <c r="X8938">
        <v>332</v>
      </c>
      <c r="Y8938">
        <v>26</v>
      </c>
      <c r="Z8938">
        <v>139</v>
      </c>
      <c r="AA8938">
        <v>41</v>
      </c>
      <c r="AB8938">
        <v>5.6870019999999997</v>
      </c>
      <c r="AC8938">
        <v>0.1070682</v>
      </c>
      <c r="AD8938">
        <v>3.4335710000000002</v>
      </c>
      <c r="AE8938">
        <v>0.63281799999999999</v>
      </c>
      <c r="AF8938">
        <v>2434.6840000000002</v>
      </c>
      <c r="AG8938">
        <f>IFERROR(AH8938*0.1, "N/A")</f>
        <v>7.7912610000000004</v>
      </c>
      <c r="AH8938">
        <v>77.912610000000001</v>
      </c>
      <c r="AI8938">
        <v>209.6114</v>
      </c>
      <c r="AJ8938">
        <v>32</v>
      </c>
      <c r="AK8938">
        <v>36.043700000000001</v>
      </c>
    </row>
    <row r="8939" spans="1:37" x14ac:dyDescent="0.3">
      <c r="A8939">
        <v>8938</v>
      </c>
      <c r="B8939">
        <v>0</v>
      </c>
      <c r="C8939">
        <v>36.6081</v>
      </c>
      <c r="D8939">
        <v>14.2859</v>
      </c>
      <c r="E8939" t="s">
        <v>13575</v>
      </c>
      <c r="F8939" t="s">
        <v>13576</v>
      </c>
      <c r="G8939" t="s">
        <v>37</v>
      </c>
      <c r="H8939">
        <v>1974</v>
      </c>
      <c r="I8939">
        <v>27.7</v>
      </c>
      <c r="J8939">
        <v>16.899999999999999</v>
      </c>
      <c r="K8939">
        <v>66</v>
      </c>
      <c r="L8939">
        <v>20.605309999999999</v>
      </c>
      <c r="M8939">
        <v>40.252929999999999</v>
      </c>
      <c r="N8939">
        <v>14.95293</v>
      </c>
      <c r="O8939">
        <v>25.3</v>
      </c>
      <c r="P8939">
        <v>27.2</v>
      </c>
      <c r="Q8939">
        <v>26.05293</v>
      </c>
      <c r="R8939">
        <v>30.6</v>
      </c>
      <c r="S8939">
        <v>24.952929999999999</v>
      </c>
      <c r="T8939">
        <v>609.94140000000004</v>
      </c>
      <c r="U8939">
        <v>188.47069999999999</v>
      </c>
      <c r="V8939">
        <v>0</v>
      </c>
      <c r="W8939">
        <v>133</v>
      </c>
      <c r="X8939">
        <v>469.94139999999999</v>
      </c>
      <c r="Y8939">
        <v>0</v>
      </c>
      <c r="Z8939">
        <v>128</v>
      </c>
      <c r="AA8939">
        <v>0</v>
      </c>
      <c r="AB8939">
        <v>24.911049999999999</v>
      </c>
      <c r="AC8939">
        <v>7.1487880000000004E-2</v>
      </c>
      <c r="AD8939">
        <v>1.9691639999999999</v>
      </c>
      <c r="AE8939">
        <v>0.57680279999999995</v>
      </c>
      <c r="AF8939">
        <v>591.44889999999998</v>
      </c>
      <c r="AG8939">
        <f>IFERROR(AH8939*0.1, "N/A")</f>
        <v>8.1</v>
      </c>
      <c r="AH8939">
        <v>81</v>
      </c>
      <c r="AI8939">
        <v>136.7893</v>
      </c>
      <c r="AJ8939">
        <v>37.470689999999998</v>
      </c>
      <c r="AK8939">
        <v>31.470690000000001</v>
      </c>
    </row>
    <row r="8940" spans="1:37" x14ac:dyDescent="0.3">
      <c r="A8940">
        <v>8939</v>
      </c>
      <c r="B8940">
        <v>45.9</v>
      </c>
      <c r="C8940">
        <v>38.170900000000003</v>
      </c>
      <c r="D8940">
        <v>14.3156</v>
      </c>
      <c r="E8940" t="s">
        <v>13577</v>
      </c>
      <c r="F8940" t="s">
        <v>13578</v>
      </c>
      <c r="G8940" t="s">
        <v>37</v>
      </c>
      <c r="H8940">
        <v>1996</v>
      </c>
      <c r="I8940">
        <v>21.7</v>
      </c>
      <c r="J8940">
        <v>16.100000000000001</v>
      </c>
      <c r="K8940">
        <v>70</v>
      </c>
      <c r="L8940">
        <v>19.12</v>
      </c>
      <c r="M8940">
        <v>33.6</v>
      </c>
      <c r="N8940">
        <v>10.9</v>
      </c>
      <c r="O8940">
        <v>22.7</v>
      </c>
      <c r="P8940">
        <v>20.9</v>
      </c>
      <c r="Q8940">
        <v>20.6</v>
      </c>
      <c r="R8940">
        <v>24.4</v>
      </c>
      <c r="S8940">
        <v>19.899999999999999</v>
      </c>
      <c r="T8940">
        <v>853</v>
      </c>
      <c r="U8940">
        <v>277</v>
      </c>
      <c r="V8940">
        <v>0</v>
      </c>
      <c r="W8940">
        <v>133</v>
      </c>
      <c r="X8940">
        <v>650</v>
      </c>
      <c r="Y8940">
        <v>2</v>
      </c>
      <c r="Z8940">
        <v>179</v>
      </c>
      <c r="AA8940">
        <v>643</v>
      </c>
      <c r="AB8940">
        <v>21.710609999999999</v>
      </c>
      <c r="AC8940">
        <v>3.9320710000000002E-2</v>
      </c>
      <c r="AD8940">
        <v>2.5075280000000002</v>
      </c>
      <c r="AE8940">
        <v>0.41326580000000002</v>
      </c>
      <c r="AF8940">
        <v>1816.713</v>
      </c>
      <c r="AG8940">
        <f>IFERROR(AH8940*0.1, "N/A")</f>
        <v>6.9184870000000007</v>
      </c>
      <c r="AH8940">
        <v>69.184870000000004</v>
      </c>
      <c r="AI8940">
        <v>52.108919999999998</v>
      </c>
      <c r="AJ8940">
        <v>40.117649999999998</v>
      </c>
      <c r="AK8940">
        <v>34.01849</v>
      </c>
    </row>
    <row r="8941" spans="1:37" x14ac:dyDescent="0.3">
      <c r="A8941">
        <v>8940</v>
      </c>
      <c r="B8941">
        <v>21.6</v>
      </c>
      <c r="C8941">
        <v>38.162999999999997</v>
      </c>
      <c r="D8941">
        <v>14.324999999999999</v>
      </c>
      <c r="E8941" t="s">
        <v>13579</v>
      </c>
      <c r="F8941" t="s">
        <v>13580</v>
      </c>
      <c r="G8941" t="s">
        <v>37</v>
      </c>
      <c r="H8941">
        <v>1998</v>
      </c>
      <c r="I8941">
        <v>21.68168</v>
      </c>
      <c r="J8941">
        <v>16.100000000000001</v>
      </c>
      <c r="K8941">
        <v>70</v>
      </c>
      <c r="L8941">
        <v>19.189550000000001</v>
      </c>
      <c r="M8941">
        <v>33.581679999999999</v>
      </c>
      <c r="N8941">
        <v>10.881679999999999</v>
      </c>
      <c r="O8941">
        <v>22.7</v>
      </c>
      <c r="P8941">
        <v>20.981680000000001</v>
      </c>
      <c r="Q8941">
        <v>20.663360000000001</v>
      </c>
      <c r="R8941">
        <v>24.463360000000002</v>
      </c>
      <c r="S8941">
        <v>19.899999999999999</v>
      </c>
      <c r="T8941">
        <v>853</v>
      </c>
      <c r="U8941">
        <v>277</v>
      </c>
      <c r="V8941">
        <v>0</v>
      </c>
      <c r="W8941">
        <v>133</v>
      </c>
      <c r="X8941">
        <v>650</v>
      </c>
      <c r="Y8941">
        <v>2</v>
      </c>
      <c r="Z8941">
        <v>179</v>
      </c>
      <c r="AA8941">
        <v>643</v>
      </c>
      <c r="AB8941">
        <v>1.5428569999999999</v>
      </c>
      <c r="AC8941">
        <v>0.71829480000000001</v>
      </c>
      <c r="AD8941">
        <v>4.1275760000000004</v>
      </c>
      <c r="AE8941">
        <v>0.43486279999999999</v>
      </c>
      <c r="AF8941">
        <v>1820.452</v>
      </c>
      <c r="AG8941">
        <f>IFERROR(AH8941*0.1, "N/A")</f>
        <v>6.901345000000001</v>
      </c>
      <c r="AH8941">
        <v>69.013450000000006</v>
      </c>
      <c r="AI8941">
        <v>76.748480000000001</v>
      </c>
      <c r="AJ8941">
        <v>48.578150000000001</v>
      </c>
      <c r="AK8941">
        <v>26.013449999999999</v>
      </c>
    </row>
    <row r="8942" spans="1:37" x14ac:dyDescent="0.3">
      <c r="A8942">
        <v>8941</v>
      </c>
      <c r="B8942">
        <v>13.9</v>
      </c>
      <c r="C8942">
        <v>37.933300000000003</v>
      </c>
      <c r="D8942">
        <v>14.4</v>
      </c>
      <c r="E8942" t="s">
        <v>13581</v>
      </c>
      <c r="F8942" t="s">
        <v>13582</v>
      </c>
      <c r="G8942" t="s">
        <v>37</v>
      </c>
      <c r="H8942">
        <v>1996</v>
      </c>
      <c r="I8942">
        <v>26.136959999999998</v>
      </c>
      <c r="J8942">
        <v>17.100000000000001</v>
      </c>
      <c r="K8942">
        <v>68</v>
      </c>
      <c r="L8942">
        <v>22.00376</v>
      </c>
      <c r="M8942">
        <v>39.088459999999998</v>
      </c>
      <c r="N8942">
        <v>14.2</v>
      </c>
      <c r="O8942">
        <v>24.888459999999998</v>
      </c>
      <c r="P8942">
        <v>25.6</v>
      </c>
      <c r="Q8942">
        <v>24.73696</v>
      </c>
      <c r="R8942">
        <v>29.31823</v>
      </c>
      <c r="S8942">
        <v>24.23696</v>
      </c>
      <c r="T8942">
        <v>716.16719999999998</v>
      </c>
      <c r="U8942">
        <v>224.23079999999999</v>
      </c>
      <c r="V8942">
        <v>1</v>
      </c>
      <c r="W8942">
        <v>131.005</v>
      </c>
      <c r="X8942">
        <v>538.05690000000004</v>
      </c>
      <c r="Y8942">
        <v>3.51505</v>
      </c>
      <c r="Z8942">
        <v>147.59530000000001</v>
      </c>
      <c r="AA8942">
        <v>536.05690000000004</v>
      </c>
      <c r="AB8942">
        <v>8.6182320000000008</v>
      </c>
      <c r="AC8942">
        <v>15.92037</v>
      </c>
      <c r="AD8942">
        <v>7.232253</v>
      </c>
      <c r="AE8942">
        <v>0.26741310000000001</v>
      </c>
      <c r="AF8942">
        <v>1167.893</v>
      </c>
      <c r="AG8942">
        <f>IFERROR(AH8942*0.1, "N/A")</f>
        <v>6.9739130000000005</v>
      </c>
      <c r="AH8942">
        <v>69.739130000000003</v>
      </c>
      <c r="AI8942">
        <v>313.86450000000002</v>
      </c>
      <c r="AJ8942">
        <v>31.63043</v>
      </c>
      <c r="AK8942">
        <v>43</v>
      </c>
    </row>
    <row r="8943" spans="1:37" x14ac:dyDescent="0.3">
      <c r="A8943">
        <v>8942</v>
      </c>
      <c r="B8943">
        <v>14.5</v>
      </c>
      <c r="C8943">
        <v>38.784700000000001</v>
      </c>
      <c r="D8943">
        <v>14.4133</v>
      </c>
      <c r="E8943" t="s">
        <v>13583</v>
      </c>
      <c r="F8943" t="s">
        <v>13584</v>
      </c>
      <c r="G8943" t="s">
        <v>37</v>
      </c>
      <c r="H8943">
        <v>1996</v>
      </c>
      <c r="I8943">
        <v>23.3</v>
      </c>
      <c r="J8943">
        <v>16.600000000000001</v>
      </c>
      <c r="K8943">
        <v>71</v>
      </c>
      <c r="L8943">
        <v>17.5</v>
      </c>
      <c r="M8943">
        <v>34.9</v>
      </c>
      <c r="N8943">
        <v>11.6</v>
      </c>
      <c r="O8943">
        <v>23.3</v>
      </c>
      <c r="P8943">
        <v>23.1</v>
      </c>
      <c r="Q8943">
        <v>21.7</v>
      </c>
      <c r="R8943">
        <v>25.8</v>
      </c>
      <c r="S8943">
        <v>21.4</v>
      </c>
      <c r="T8943">
        <v>666</v>
      </c>
      <c r="U8943">
        <v>181</v>
      </c>
      <c r="V8943">
        <v>15</v>
      </c>
      <c r="W8943">
        <v>103</v>
      </c>
      <c r="X8943">
        <v>422</v>
      </c>
      <c r="Y8943">
        <v>50</v>
      </c>
      <c r="Z8943">
        <v>129</v>
      </c>
      <c r="AA8943">
        <v>52</v>
      </c>
      <c r="AB8943">
        <v>35.013150000000003</v>
      </c>
      <c r="AC8943">
        <v>1.953848E-2</v>
      </c>
      <c r="AD8943">
        <v>2.3115030000000001</v>
      </c>
      <c r="AE8943">
        <v>0.43205690000000002</v>
      </c>
      <c r="AF8943">
        <v>1385.155</v>
      </c>
      <c r="AG8943">
        <f>IFERROR(AH8943*0.1, "N/A")</f>
        <v>7.5</v>
      </c>
      <c r="AH8943">
        <v>75</v>
      </c>
      <c r="AI8943">
        <v>87.876859999999994</v>
      </c>
      <c r="AJ8943">
        <v>29.627949999999998</v>
      </c>
      <c r="AK8943">
        <v>47.372050000000002</v>
      </c>
    </row>
    <row r="8944" spans="1:37" x14ac:dyDescent="0.3">
      <c r="A8944">
        <v>8943</v>
      </c>
      <c r="B8944">
        <v>66.400000000000006</v>
      </c>
      <c r="C8944">
        <v>38.176099999999998</v>
      </c>
      <c r="D8944">
        <v>14.456099999999999</v>
      </c>
      <c r="E8944" t="s">
        <v>13585</v>
      </c>
      <c r="F8944" t="s">
        <v>13586</v>
      </c>
      <c r="G8944" t="s">
        <v>37</v>
      </c>
      <c r="H8944">
        <v>1996</v>
      </c>
      <c r="I8944">
        <v>22.7</v>
      </c>
      <c r="J8944">
        <v>16.399999999999999</v>
      </c>
      <c r="K8944">
        <v>70</v>
      </c>
      <c r="L8944">
        <v>20.14</v>
      </c>
      <c r="M8944">
        <v>34.799999999999997</v>
      </c>
      <c r="N8944">
        <v>11.6</v>
      </c>
      <c r="O8944">
        <v>23.2</v>
      </c>
      <c r="P8944">
        <v>22.1</v>
      </c>
      <c r="Q8944">
        <v>21.5</v>
      </c>
      <c r="R8944">
        <v>25.6</v>
      </c>
      <c r="S8944">
        <v>21</v>
      </c>
      <c r="T8944">
        <v>802</v>
      </c>
      <c r="U8944">
        <v>257</v>
      </c>
      <c r="V8944">
        <v>0</v>
      </c>
      <c r="W8944">
        <v>134</v>
      </c>
      <c r="X8944">
        <v>608</v>
      </c>
      <c r="Y8944">
        <v>2</v>
      </c>
      <c r="Z8944">
        <v>167</v>
      </c>
      <c r="AA8944">
        <v>603</v>
      </c>
      <c r="AB8944">
        <v>47.833550000000002</v>
      </c>
      <c r="AC8944">
        <v>2.259218E-2</v>
      </c>
      <c r="AD8944">
        <v>6.3775170000000001</v>
      </c>
      <c r="AE8944">
        <v>0.32109120000000002</v>
      </c>
      <c r="AF8944">
        <v>1717.066</v>
      </c>
      <c r="AG8944">
        <f>IFERROR(AH8944*0.1, "N/A")</f>
        <v>6.5736130000000008</v>
      </c>
      <c r="AH8944">
        <v>65.736130000000003</v>
      </c>
      <c r="AI8944">
        <v>307.13740000000001</v>
      </c>
      <c r="AJ8944">
        <v>31.726050000000001</v>
      </c>
      <c r="AK8944">
        <v>44.547899999999998</v>
      </c>
    </row>
    <row r="8945" spans="1:37" x14ac:dyDescent="0.3">
      <c r="A8945">
        <v>8944</v>
      </c>
      <c r="B8945">
        <v>45.6</v>
      </c>
      <c r="C8945">
        <v>38.058599999999998</v>
      </c>
      <c r="D8945">
        <v>14.515599999999999</v>
      </c>
      <c r="E8945" t="s">
        <v>13587</v>
      </c>
      <c r="F8945" t="s">
        <v>13588</v>
      </c>
      <c r="G8945" t="s">
        <v>37</v>
      </c>
      <c r="H8945">
        <v>1996</v>
      </c>
      <c r="I8945">
        <v>25.5</v>
      </c>
      <c r="J8945">
        <v>16.8</v>
      </c>
      <c r="K8945">
        <v>68</v>
      </c>
      <c r="L8945">
        <v>22.000350000000001</v>
      </c>
      <c r="M8945">
        <v>38.1</v>
      </c>
      <c r="N8945">
        <v>13.692769999999999</v>
      </c>
      <c r="O8945">
        <v>24.407229999999998</v>
      </c>
      <c r="P8945">
        <v>25.00723</v>
      </c>
      <c r="Q8945">
        <v>24.192769999999999</v>
      </c>
      <c r="R8945">
        <v>28.7</v>
      </c>
      <c r="S8945">
        <v>23.6</v>
      </c>
      <c r="T8945">
        <v>731.14449999999999</v>
      </c>
      <c r="U8945">
        <v>228.07230000000001</v>
      </c>
      <c r="V8945">
        <v>1</v>
      </c>
      <c r="W8945">
        <v>130.92769999999999</v>
      </c>
      <c r="X8945">
        <v>546.21680000000003</v>
      </c>
      <c r="Y8945">
        <v>4</v>
      </c>
      <c r="Z8945">
        <v>151.07230000000001</v>
      </c>
      <c r="AA8945">
        <v>505.62520000000001</v>
      </c>
      <c r="AB8945">
        <v>21.353829999999999</v>
      </c>
      <c r="AC8945">
        <v>1.629597E-2</v>
      </c>
      <c r="AD8945">
        <v>2.4229560000000001</v>
      </c>
      <c r="AE8945">
        <v>0.2713468</v>
      </c>
      <c r="AF8945">
        <v>1368.7829999999999</v>
      </c>
      <c r="AG8945">
        <f>IFERROR(AH8945*0.1, "N/A")</f>
        <v>7.6994960000000008</v>
      </c>
      <c r="AH8945">
        <v>76.994960000000006</v>
      </c>
      <c r="AI8945">
        <v>194.8639</v>
      </c>
      <c r="AJ8945">
        <v>32.228569999999998</v>
      </c>
      <c r="AK8945">
        <v>42</v>
      </c>
    </row>
    <row r="8946" spans="1:37" x14ac:dyDescent="0.3">
      <c r="A8946">
        <v>8945</v>
      </c>
      <c r="B8946">
        <v>1.2</v>
      </c>
      <c r="C8946">
        <v>39.382100000000001</v>
      </c>
      <c r="D8946">
        <v>14.519399999999999</v>
      </c>
      <c r="E8946" t="s">
        <v>13589</v>
      </c>
      <c r="F8946" t="s">
        <v>13590</v>
      </c>
      <c r="G8946" t="s">
        <v>37</v>
      </c>
      <c r="H8946">
        <v>1996</v>
      </c>
      <c r="I8946">
        <v>17.3</v>
      </c>
      <c r="J8946">
        <v>15.4</v>
      </c>
      <c r="K8946">
        <v>72</v>
      </c>
      <c r="L8946">
        <v>14.37</v>
      </c>
      <c r="M8946">
        <v>27.4</v>
      </c>
      <c r="N8946">
        <v>6.2</v>
      </c>
      <c r="O8946">
        <v>21.2</v>
      </c>
      <c r="P8946">
        <v>17.8</v>
      </c>
      <c r="Q8946">
        <v>15.7</v>
      </c>
      <c r="R8946">
        <v>19.2</v>
      </c>
      <c r="S8946">
        <v>15.4</v>
      </c>
      <c r="T8946">
        <v>550</v>
      </c>
      <c r="U8946">
        <v>159</v>
      </c>
      <c r="V8946">
        <v>6</v>
      </c>
      <c r="W8946">
        <v>107</v>
      </c>
      <c r="X8946">
        <v>339</v>
      </c>
      <c r="Y8946">
        <v>23</v>
      </c>
      <c r="Z8946">
        <v>138</v>
      </c>
      <c r="AA8946">
        <v>36</v>
      </c>
      <c r="AB8946">
        <v>158.1336</v>
      </c>
      <c r="AC8946">
        <v>1.0743229999999999E-2</v>
      </c>
      <c r="AD8946">
        <v>3.1436060000000001</v>
      </c>
      <c r="AE8946">
        <v>0.449963</v>
      </c>
      <c r="AF8946">
        <v>2338.5410000000002</v>
      </c>
      <c r="AG8946">
        <f>IFERROR(AH8946*0.1, "N/A")</f>
        <v>7.0993279999999999</v>
      </c>
      <c r="AH8946">
        <v>70.993279999999999</v>
      </c>
      <c r="AI8946">
        <v>258.26929999999999</v>
      </c>
      <c r="AJ8946">
        <v>33.003360000000001</v>
      </c>
      <c r="AK8946">
        <v>39</v>
      </c>
    </row>
    <row r="8947" spans="1:37" x14ac:dyDescent="0.3">
      <c r="A8947">
        <v>8946</v>
      </c>
      <c r="B8947">
        <v>48</v>
      </c>
      <c r="C8947">
        <v>38.087800000000001</v>
      </c>
      <c r="D8947">
        <v>14.5753</v>
      </c>
      <c r="E8947" t="s">
        <v>13591</v>
      </c>
      <c r="F8947" t="s">
        <v>13592</v>
      </c>
      <c r="G8947" t="s">
        <v>37</v>
      </c>
      <c r="H8947">
        <v>1996</v>
      </c>
      <c r="I8947">
        <v>24.9</v>
      </c>
      <c r="J8947">
        <v>16.7</v>
      </c>
      <c r="K8947">
        <v>68.626890000000003</v>
      </c>
      <c r="L8947">
        <v>21.44388</v>
      </c>
      <c r="M8947">
        <v>37.274619999999999</v>
      </c>
      <c r="N8947">
        <v>13.1</v>
      </c>
      <c r="O8947">
        <v>24.174620000000001</v>
      </c>
      <c r="P8947">
        <v>24.43731</v>
      </c>
      <c r="Q8947">
        <v>23.5</v>
      </c>
      <c r="R8947">
        <v>28</v>
      </c>
      <c r="S8947">
        <v>23.037310000000002</v>
      </c>
      <c r="T8947">
        <v>735.37310000000002</v>
      </c>
      <c r="U8947">
        <v>229.37309999999999</v>
      </c>
      <c r="V8947">
        <v>1</v>
      </c>
      <c r="W8947">
        <v>130.37309999999999</v>
      </c>
      <c r="X8947">
        <v>550.37310000000002</v>
      </c>
      <c r="Y8947">
        <v>4</v>
      </c>
      <c r="Z8947">
        <v>152</v>
      </c>
      <c r="AA8947">
        <v>548.37310000000002</v>
      </c>
      <c r="AB8947">
        <v>51.565330000000003</v>
      </c>
      <c r="AC8947">
        <v>8.3058479999999994E-3</v>
      </c>
      <c r="AD8947">
        <v>4.9654170000000004</v>
      </c>
      <c r="AE8947">
        <v>0.27773009999999998</v>
      </c>
      <c r="AF8947">
        <v>1454.758</v>
      </c>
      <c r="AG8947">
        <f>IFERROR(AH8947*0.1, "N/A")</f>
        <v>7.1379830000000002</v>
      </c>
      <c r="AH8947">
        <v>71.379829999999998</v>
      </c>
      <c r="AI8947">
        <v>174.39259999999999</v>
      </c>
      <c r="AJ8947">
        <v>32.379829999999998</v>
      </c>
      <c r="AK8947">
        <v>42.640340000000002</v>
      </c>
    </row>
    <row r="8948" spans="1:37" x14ac:dyDescent="0.3">
      <c r="A8948">
        <v>8947</v>
      </c>
      <c r="B8948">
        <v>6</v>
      </c>
      <c r="C8948">
        <v>40.759500000000003</v>
      </c>
      <c r="D8948">
        <v>11.4117</v>
      </c>
      <c r="E8948" t="s">
        <v>13593</v>
      </c>
      <c r="F8948" t="s">
        <v>13594</v>
      </c>
      <c r="G8948" t="s">
        <v>39</v>
      </c>
      <c r="H8948">
        <v>1993</v>
      </c>
      <c r="I8948">
        <v>27.3</v>
      </c>
      <c r="J8948">
        <v>13</v>
      </c>
      <c r="K8948">
        <v>60</v>
      </c>
      <c r="L8948">
        <v>24.58</v>
      </c>
      <c r="M8948">
        <v>38.799999999999997</v>
      </c>
      <c r="N8948">
        <v>17.399999999999999</v>
      </c>
      <c r="O8948">
        <v>21.4</v>
      </c>
      <c r="P8948">
        <v>29.2</v>
      </c>
      <c r="Q8948">
        <v>25.5</v>
      </c>
      <c r="R8948">
        <v>30.3</v>
      </c>
      <c r="S8948">
        <v>24.1</v>
      </c>
      <c r="T8948">
        <v>286</v>
      </c>
      <c r="U8948">
        <v>78</v>
      </c>
      <c r="V8948">
        <v>3</v>
      </c>
      <c r="W8948">
        <v>92</v>
      </c>
      <c r="X8948">
        <v>159</v>
      </c>
      <c r="Y8948">
        <v>18</v>
      </c>
      <c r="Z8948">
        <v>82</v>
      </c>
      <c r="AA8948">
        <v>25</v>
      </c>
      <c r="AB8948">
        <v>4.2471730000000001</v>
      </c>
      <c r="AC8948">
        <v>1.0029939999999999E-2</v>
      </c>
      <c r="AD8948">
        <v>4.423705</v>
      </c>
      <c r="AE8948">
        <v>0.35638560000000002</v>
      </c>
      <c r="AF8948">
        <v>482.31450000000001</v>
      </c>
      <c r="AG8948">
        <f>IFERROR(AH8948*0.1, "N/A")</f>
        <v>8.1331620000000004</v>
      </c>
      <c r="AH8948">
        <v>81.331620000000001</v>
      </c>
      <c r="AI8948">
        <v>133.7627</v>
      </c>
      <c r="AJ8948">
        <v>14.196580000000001</v>
      </c>
      <c r="AK8948">
        <v>65.637609999999995</v>
      </c>
    </row>
    <row r="8949" spans="1:37" x14ac:dyDescent="0.3">
      <c r="A8949">
        <v>8948</v>
      </c>
      <c r="B8949">
        <v>57</v>
      </c>
      <c r="C8949">
        <v>41.601199999999999</v>
      </c>
      <c r="D8949">
        <v>8.8079999999999998</v>
      </c>
      <c r="E8949" t="s">
        <v>13595</v>
      </c>
      <c r="F8949" t="s">
        <v>13596</v>
      </c>
      <c r="G8949" t="s">
        <v>37</v>
      </c>
      <c r="H8949">
        <v>1989</v>
      </c>
      <c r="I8949">
        <v>18.600000000000001</v>
      </c>
      <c r="J8949">
        <v>13</v>
      </c>
      <c r="K8949">
        <v>82.531139999999994</v>
      </c>
      <c r="L8949">
        <v>6.6809510000000003</v>
      </c>
      <c r="M8949">
        <v>26.546890000000001</v>
      </c>
      <c r="N8949">
        <v>10.9</v>
      </c>
      <c r="O8949">
        <v>15.646890000000001</v>
      </c>
      <c r="P8949">
        <v>18.100000000000001</v>
      </c>
      <c r="Q8949">
        <v>17.853110000000001</v>
      </c>
      <c r="R8949">
        <v>19.44689</v>
      </c>
      <c r="S8949">
        <v>17.853110000000001</v>
      </c>
      <c r="T8949">
        <v>874.06230000000005</v>
      </c>
      <c r="U8949">
        <v>135.53110000000001</v>
      </c>
      <c r="V8949">
        <v>7</v>
      </c>
      <c r="W8949">
        <v>60</v>
      </c>
      <c r="X8949">
        <v>356.06229999999999</v>
      </c>
      <c r="Y8949">
        <v>50</v>
      </c>
      <c r="Z8949">
        <v>297</v>
      </c>
      <c r="AA8949">
        <v>50</v>
      </c>
      <c r="AB8949">
        <v>198.50129999999999</v>
      </c>
      <c r="AC8949">
        <v>2.1254180000000001E-2</v>
      </c>
      <c r="AD8949">
        <v>20.020530000000001</v>
      </c>
      <c r="AE8949">
        <v>0.32323809999999997</v>
      </c>
      <c r="AF8949">
        <v>1839.903</v>
      </c>
      <c r="AG8949">
        <f>IFERROR(AH8949*0.1, "N/A")</f>
        <v>6.9977510000000001</v>
      </c>
      <c r="AH8949">
        <v>69.977509999999995</v>
      </c>
      <c r="AI8949">
        <v>293.49939999999998</v>
      </c>
      <c r="AJ8949">
        <v>42.022489999999998</v>
      </c>
      <c r="AK8949">
        <v>34.977510000000002</v>
      </c>
    </row>
    <row r="8950" spans="1:37" x14ac:dyDescent="0.3">
      <c r="A8950">
        <v>8949</v>
      </c>
      <c r="B8950">
        <v>0</v>
      </c>
      <c r="C8950">
        <v>43.5655</v>
      </c>
      <c r="D8950">
        <v>8.2241999999999997</v>
      </c>
      <c r="E8950" t="s">
        <v>13597</v>
      </c>
      <c r="F8950" t="s">
        <v>13598</v>
      </c>
      <c r="G8950" t="s">
        <v>37</v>
      </c>
      <c r="H8950">
        <v>1989</v>
      </c>
      <c r="I8950">
        <v>24.998090000000001</v>
      </c>
      <c r="J8950">
        <v>16.8</v>
      </c>
      <c r="K8950">
        <v>73</v>
      </c>
      <c r="L8950">
        <v>10.89847</v>
      </c>
      <c r="M8950">
        <v>35.098089999999999</v>
      </c>
      <c r="N8950">
        <v>12.198090000000001</v>
      </c>
      <c r="O8950">
        <v>22.9</v>
      </c>
      <c r="P8950">
        <v>26.196179999999998</v>
      </c>
      <c r="Q8950">
        <v>23.798089999999998</v>
      </c>
      <c r="R8950">
        <v>26.196179999999998</v>
      </c>
      <c r="S8950">
        <v>23.696179999999998</v>
      </c>
      <c r="T8950">
        <v>366.0573</v>
      </c>
      <c r="U8950">
        <v>81</v>
      </c>
      <c r="V8950">
        <v>1</v>
      </c>
      <c r="W8950">
        <v>85.980900000000005</v>
      </c>
      <c r="X8950">
        <v>186</v>
      </c>
      <c r="Y8950">
        <v>9</v>
      </c>
      <c r="Z8950">
        <v>186</v>
      </c>
      <c r="AA8950">
        <v>20</v>
      </c>
      <c r="AB8950">
        <v>25.39536</v>
      </c>
      <c r="AC8950">
        <v>0.68216679999999996</v>
      </c>
      <c r="AD8950">
        <v>1.020197</v>
      </c>
      <c r="AE8950">
        <v>0.29397689999999999</v>
      </c>
      <c r="AF8950">
        <v>1063.96</v>
      </c>
      <c r="AG8950">
        <f>IFERROR(AH8950*0.1, "N/A")</f>
        <v>8.0005210000000009</v>
      </c>
      <c r="AH8950">
        <v>80.005210000000005</v>
      </c>
      <c r="AI8950">
        <v>201.1335</v>
      </c>
      <c r="AJ8950">
        <v>28.779509999999998</v>
      </c>
      <c r="AK8950">
        <v>50.602429999999998</v>
      </c>
    </row>
    <row r="8951" spans="1:37" x14ac:dyDescent="0.3">
      <c r="A8951">
        <v>8950</v>
      </c>
      <c r="B8951">
        <v>1.3</v>
      </c>
      <c r="C8951">
        <v>37.766300000000001</v>
      </c>
      <c r="D8951">
        <v>7.3235000000000001</v>
      </c>
      <c r="E8951" t="s">
        <v>13599</v>
      </c>
      <c r="F8951" t="s">
        <v>13600</v>
      </c>
      <c r="G8951" t="s">
        <v>37</v>
      </c>
      <c r="H8951">
        <v>1977</v>
      </c>
      <c r="I8951">
        <v>16.768750000000001</v>
      </c>
      <c r="J8951">
        <v>14.18177</v>
      </c>
      <c r="K8951">
        <v>76.973960000000005</v>
      </c>
      <c r="L8951">
        <v>9.58</v>
      </c>
      <c r="M8951">
        <v>26.360939999999999</v>
      </c>
      <c r="N8951">
        <v>7.9817710000000002</v>
      </c>
      <c r="O8951">
        <v>18.379169999999998</v>
      </c>
      <c r="P8951">
        <v>15.46875</v>
      </c>
      <c r="Q8951">
        <v>16.87135</v>
      </c>
      <c r="R8951">
        <v>17.96875</v>
      </c>
      <c r="S8951">
        <v>15.46875</v>
      </c>
      <c r="T8951">
        <v>1239.703</v>
      </c>
      <c r="U8951">
        <v>189.9479</v>
      </c>
      <c r="V8951">
        <v>23.026039999999998</v>
      </c>
      <c r="W8951">
        <v>53.973959999999998</v>
      </c>
      <c r="X8951">
        <v>519.15620000000001</v>
      </c>
      <c r="Y8951">
        <v>89.078119999999998</v>
      </c>
      <c r="Z8951">
        <v>279.33850000000001</v>
      </c>
      <c r="AA8951">
        <v>489.0521</v>
      </c>
      <c r="AB8951">
        <v>30.606259999999999</v>
      </c>
      <c r="AC8951">
        <v>6.8086590000000002E-2</v>
      </c>
      <c r="AD8951">
        <v>6.6672159999999998</v>
      </c>
      <c r="AE8951">
        <v>0.55901829999999997</v>
      </c>
      <c r="AF8951">
        <v>2344.5709999999999</v>
      </c>
      <c r="AG8951">
        <f>IFERROR(AH8951*0.1, "N/A")</f>
        <v>5.6838540000000002</v>
      </c>
      <c r="AH8951">
        <v>56.838540000000002</v>
      </c>
      <c r="AI8951">
        <v>264.75240000000002</v>
      </c>
      <c r="AJ8951">
        <v>38</v>
      </c>
      <c r="AK8951">
        <v>34.1875</v>
      </c>
    </row>
    <row r="8952" spans="1:37" x14ac:dyDescent="0.3">
      <c r="A8952">
        <v>8951</v>
      </c>
      <c r="B8952">
        <v>0</v>
      </c>
      <c r="C8952">
        <v>38.063099999999999</v>
      </c>
      <c r="D8952">
        <v>8.1822999999999997</v>
      </c>
      <c r="E8952" t="s">
        <v>13601</v>
      </c>
      <c r="F8952" t="s">
        <v>13602</v>
      </c>
      <c r="G8952" t="s">
        <v>37</v>
      </c>
      <c r="H8952">
        <v>1977</v>
      </c>
      <c r="I8952">
        <v>15.2</v>
      </c>
      <c r="J8952">
        <v>13.7</v>
      </c>
      <c r="K8952">
        <v>76</v>
      </c>
      <c r="L8952">
        <v>8.85</v>
      </c>
      <c r="M8952">
        <v>24.2</v>
      </c>
      <c r="N8952">
        <v>6.4</v>
      </c>
      <c r="O8952">
        <v>17.8</v>
      </c>
      <c r="P8952">
        <v>14.2</v>
      </c>
      <c r="Q8952">
        <v>14.8</v>
      </c>
      <c r="R8952">
        <v>16.5</v>
      </c>
      <c r="S8952">
        <v>14.2</v>
      </c>
      <c r="T8952">
        <v>1106</v>
      </c>
      <c r="U8952">
        <v>209</v>
      </c>
      <c r="V8952">
        <v>13</v>
      </c>
      <c r="W8952">
        <v>72</v>
      </c>
      <c r="X8952">
        <v>576</v>
      </c>
      <c r="Y8952">
        <v>49</v>
      </c>
      <c r="Z8952">
        <v>269</v>
      </c>
      <c r="AA8952">
        <v>576</v>
      </c>
      <c r="AB8952">
        <v>17.486270000000001</v>
      </c>
      <c r="AC8952">
        <v>1.6929700000000001</v>
      </c>
      <c r="AD8952">
        <v>10.8017</v>
      </c>
      <c r="AE8952">
        <v>0.67006540000000003</v>
      </c>
      <c r="AF8952">
        <v>2542.5569999999998</v>
      </c>
      <c r="AG8952">
        <f>IFERROR(AH8952*0.1, "N/A")</f>
        <v>5.2064240000000002</v>
      </c>
      <c r="AH8952">
        <v>52.064239999999998</v>
      </c>
      <c r="AI8952">
        <v>281.11099999999999</v>
      </c>
      <c r="AJ8952">
        <v>36</v>
      </c>
      <c r="AK8952">
        <v>37.33681</v>
      </c>
    </row>
    <row r="8953" spans="1:37" x14ac:dyDescent="0.3">
      <c r="A8953">
        <v>8952</v>
      </c>
      <c r="B8953">
        <v>91</v>
      </c>
      <c r="C8953">
        <v>38.834200000000003</v>
      </c>
      <c r="D8953">
        <v>14.635300000000001</v>
      </c>
      <c r="E8953" t="s">
        <v>13603</v>
      </c>
      <c r="F8953" t="s">
        <v>13604</v>
      </c>
      <c r="G8953" t="s">
        <v>37</v>
      </c>
      <c r="H8953">
        <v>1987</v>
      </c>
      <c r="I8953">
        <v>18.3</v>
      </c>
      <c r="J8953">
        <v>16.399999999999999</v>
      </c>
      <c r="K8953">
        <v>73</v>
      </c>
      <c r="L8953">
        <v>14.27</v>
      </c>
      <c r="M8953">
        <v>29.3</v>
      </c>
      <c r="N8953">
        <v>6.9</v>
      </c>
      <c r="O8953">
        <v>22.4</v>
      </c>
      <c r="P8953">
        <v>18.100000000000001</v>
      </c>
      <c r="Q8953">
        <v>16.899999999999999</v>
      </c>
      <c r="R8953">
        <v>20.2</v>
      </c>
      <c r="S8953">
        <v>16.600000000000001</v>
      </c>
      <c r="T8953">
        <v>652</v>
      </c>
      <c r="U8953">
        <v>224</v>
      </c>
      <c r="V8953">
        <v>0</v>
      </c>
      <c r="W8953">
        <v>133</v>
      </c>
      <c r="X8953">
        <v>490</v>
      </c>
      <c r="Y8953">
        <v>5</v>
      </c>
      <c r="Z8953">
        <v>77</v>
      </c>
      <c r="AA8953">
        <v>14</v>
      </c>
      <c r="AB8953">
        <v>24.221019999999999</v>
      </c>
      <c r="AC8953">
        <v>1.8398439999999999E-2</v>
      </c>
      <c r="AD8953">
        <v>2.3265419999999999</v>
      </c>
      <c r="AE8953">
        <v>0.44981929999999998</v>
      </c>
      <c r="AF8953">
        <v>2045.248</v>
      </c>
      <c r="AG8953">
        <f>IFERROR(AH8953*0.1, "N/A")</f>
        <v>7.2</v>
      </c>
      <c r="AH8953">
        <v>72</v>
      </c>
      <c r="AI8953">
        <v>307.70190000000002</v>
      </c>
      <c r="AJ8953">
        <v>39</v>
      </c>
      <c r="AK8953">
        <v>37</v>
      </c>
    </row>
    <row r="8954" spans="1:37" x14ac:dyDescent="0.3">
      <c r="A8954">
        <v>8953</v>
      </c>
      <c r="B8954">
        <v>82.9</v>
      </c>
      <c r="C8954">
        <v>38.834499999999998</v>
      </c>
      <c r="D8954">
        <v>14.636200000000001</v>
      </c>
      <c r="E8954" t="s">
        <v>13605</v>
      </c>
      <c r="F8954" t="s">
        <v>13606</v>
      </c>
      <c r="G8954" t="s">
        <v>37</v>
      </c>
      <c r="H8954">
        <v>1976</v>
      </c>
      <c r="I8954">
        <v>18.3</v>
      </c>
      <c r="J8954">
        <v>16.399999999999999</v>
      </c>
      <c r="K8954">
        <v>73</v>
      </c>
      <c r="L8954">
        <v>14.27</v>
      </c>
      <c r="M8954">
        <v>29.3</v>
      </c>
      <c r="N8954">
        <v>6.9</v>
      </c>
      <c r="O8954">
        <v>22.4</v>
      </c>
      <c r="P8954">
        <v>18.100000000000001</v>
      </c>
      <c r="Q8954">
        <v>16.899999999999999</v>
      </c>
      <c r="R8954">
        <v>20.2</v>
      </c>
      <c r="S8954">
        <v>16.600000000000001</v>
      </c>
      <c r="T8954">
        <v>652</v>
      </c>
      <c r="U8954">
        <v>224</v>
      </c>
      <c r="V8954">
        <v>0</v>
      </c>
      <c r="W8954">
        <v>133</v>
      </c>
      <c r="X8954">
        <v>490</v>
      </c>
      <c r="Y8954">
        <v>5</v>
      </c>
      <c r="Z8954">
        <v>77</v>
      </c>
      <c r="AA8954">
        <v>14</v>
      </c>
      <c r="AB8954">
        <v>32.823909999999998</v>
      </c>
      <c r="AC8954">
        <v>1.496598E-2</v>
      </c>
      <c r="AD8954">
        <v>2.1382439999999998</v>
      </c>
      <c r="AE8954">
        <v>0.44981929999999998</v>
      </c>
      <c r="AF8954">
        <v>2044.383</v>
      </c>
      <c r="AG8954">
        <f>IFERROR(AH8954*0.1, "N/A")</f>
        <v>7.2453779999999997</v>
      </c>
      <c r="AH8954">
        <v>72.453779999999995</v>
      </c>
      <c r="AI8954">
        <v>276.16070000000002</v>
      </c>
      <c r="AJ8954">
        <v>37.618490000000001</v>
      </c>
      <c r="AK8954">
        <v>37.509239999999998</v>
      </c>
    </row>
    <row r="8955" spans="1:37" x14ac:dyDescent="0.3">
      <c r="A8955">
        <v>8954</v>
      </c>
      <c r="B8955">
        <v>66.7</v>
      </c>
      <c r="C8955">
        <v>38.8489</v>
      </c>
      <c r="D8955">
        <v>14.869199999999999</v>
      </c>
      <c r="E8955" t="s">
        <v>13607</v>
      </c>
      <c r="F8955" t="s">
        <v>13608</v>
      </c>
      <c r="G8955" t="s">
        <v>37</v>
      </c>
      <c r="H8955">
        <v>1956</v>
      </c>
      <c r="I8955">
        <v>19.100000000000001</v>
      </c>
      <c r="J8955">
        <v>16.600000000000001</v>
      </c>
      <c r="K8955">
        <v>75</v>
      </c>
      <c r="L8955">
        <v>14.08</v>
      </c>
      <c r="M8955">
        <v>30</v>
      </c>
      <c r="N8955">
        <v>8.1</v>
      </c>
      <c r="O8955">
        <v>21.9</v>
      </c>
      <c r="P8955">
        <v>18.600000000000001</v>
      </c>
      <c r="Q8955">
        <v>18</v>
      </c>
      <c r="R8955">
        <v>20.9</v>
      </c>
      <c r="S8955">
        <v>17.600000000000001</v>
      </c>
      <c r="T8955">
        <v>606</v>
      </c>
      <c r="U8955">
        <v>189</v>
      </c>
      <c r="V8955">
        <v>1</v>
      </c>
      <c r="W8955">
        <v>125</v>
      </c>
      <c r="X8955">
        <v>432</v>
      </c>
      <c r="Y8955">
        <v>11</v>
      </c>
      <c r="Z8955">
        <v>86</v>
      </c>
      <c r="AA8955">
        <v>22</v>
      </c>
      <c r="AB8955">
        <v>14.22193</v>
      </c>
      <c r="AC8955">
        <v>8.4751559999999993E-3</v>
      </c>
      <c r="AD8955">
        <v>1.0599460000000001</v>
      </c>
      <c r="AE8955">
        <v>0.31845839999999997</v>
      </c>
      <c r="AF8955">
        <v>1951.4949999999999</v>
      </c>
      <c r="AG8955">
        <f>IFERROR(AH8955*0.1, "N/A")</f>
        <v>7.4919460000000004</v>
      </c>
      <c r="AH8955">
        <v>74.919460000000001</v>
      </c>
      <c r="AI8955">
        <v>82.229100000000003</v>
      </c>
      <c r="AJ8955">
        <v>37.758389999999999</v>
      </c>
      <c r="AK8955">
        <v>37.080539999999999</v>
      </c>
    </row>
    <row r="8956" spans="1:37" x14ac:dyDescent="0.3">
      <c r="A8956">
        <v>8955</v>
      </c>
      <c r="B8956">
        <v>0</v>
      </c>
      <c r="C8956">
        <v>38.8489</v>
      </c>
      <c r="D8956">
        <v>14.869199999999999</v>
      </c>
      <c r="E8956" t="s">
        <v>13607</v>
      </c>
      <c r="F8956" t="s">
        <v>13609</v>
      </c>
      <c r="G8956" t="s">
        <v>39</v>
      </c>
      <c r="H8956">
        <v>1956</v>
      </c>
      <c r="I8956">
        <v>19.100000000000001</v>
      </c>
      <c r="J8956">
        <v>16.600000000000001</v>
      </c>
      <c r="K8956">
        <v>75</v>
      </c>
      <c r="L8956">
        <v>14.08</v>
      </c>
      <c r="M8956">
        <v>30</v>
      </c>
      <c r="N8956">
        <v>8.1</v>
      </c>
      <c r="O8956">
        <v>21.9</v>
      </c>
      <c r="P8956">
        <v>18.600000000000001</v>
      </c>
      <c r="Q8956">
        <v>18</v>
      </c>
      <c r="R8956">
        <v>20.9</v>
      </c>
      <c r="S8956">
        <v>17.600000000000001</v>
      </c>
      <c r="T8956">
        <v>606</v>
      </c>
      <c r="U8956">
        <v>189</v>
      </c>
      <c r="V8956">
        <v>1</v>
      </c>
      <c r="W8956">
        <v>125</v>
      </c>
      <c r="X8956">
        <v>432</v>
      </c>
      <c r="Y8956">
        <v>11</v>
      </c>
      <c r="Z8956">
        <v>86</v>
      </c>
      <c r="AA8956">
        <v>22</v>
      </c>
      <c r="AB8956">
        <v>14.22193</v>
      </c>
      <c r="AC8956">
        <v>8.4751559999999993E-3</v>
      </c>
      <c r="AD8956">
        <v>1.0599460000000001</v>
      </c>
      <c r="AE8956">
        <v>0.31845839999999997</v>
      </c>
      <c r="AF8956">
        <v>1951.4949999999999</v>
      </c>
      <c r="AG8956">
        <f>IFERROR(AH8956*0.1, "N/A")</f>
        <v>7.4919460000000004</v>
      </c>
      <c r="AH8956">
        <v>74.919460000000001</v>
      </c>
      <c r="AI8956">
        <v>82.229100000000003</v>
      </c>
      <c r="AJ8956">
        <v>37.758389999999999</v>
      </c>
      <c r="AK8956">
        <v>37.080539999999999</v>
      </c>
    </row>
    <row r="8957" spans="1:37" x14ac:dyDescent="0.3">
      <c r="A8957">
        <v>8956</v>
      </c>
      <c r="B8957">
        <v>0</v>
      </c>
      <c r="C8957">
        <v>38.815300000000001</v>
      </c>
      <c r="D8957">
        <v>14.8872</v>
      </c>
      <c r="E8957" t="s">
        <v>13610</v>
      </c>
      <c r="F8957" t="s">
        <v>13611</v>
      </c>
      <c r="G8957" t="s">
        <v>37</v>
      </c>
      <c r="H8957">
        <v>1956</v>
      </c>
      <c r="I8957">
        <v>19</v>
      </c>
      <c r="J8957">
        <v>16.7</v>
      </c>
      <c r="K8957">
        <v>75</v>
      </c>
      <c r="L8957">
        <v>14.24</v>
      </c>
      <c r="M8957">
        <v>30</v>
      </c>
      <c r="N8957">
        <v>8</v>
      </c>
      <c r="O8957">
        <v>22</v>
      </c>
      <c r="P8957">
        <v>18.399999999999999</v>
      </c>
      <c r="Q8957">
        <v>18</v>
      </c>
      <c r="R8957">
        <v>20.8</v>
      </c>
      <c r="S8957">
        <v>17.600000000000001</v>
      </c>
      <c r="T8957">
        <v>602</v>
      </c>
      <c r="U8957">
        <v>190</v>
      </c>
      <c r="V8957">
        <v>0</v>
      </c>
      <c r="W8957">
        <v>127</v>
      </c>
      <c r="X8957">
        <v>436</v>
      </c>
      <c r="Y8957">
        <v>8</v>
      </c>
      <c r="Z8957">
        <v>81</v>
      </c>
      <c r="AA8957">
        <v>20</v>
      </c>
      <c r="AB8957">
        <v>10.221310000000001</v>
      </c>
      <c r="AC8957">
        <v>1.7305649999999999E-2</v>
      </c>
      <c r="AD8957">
        <v>3.5517530000000002</v>
      </c>
      <c r="AE8957">
        <v>0.5080557</v>
      </c>
      <c r="AF8957">
        <v>1976.1849999999999</v>
      </c>
      <c r="AG8957">
        <f>IFERROR(AH8957*0.1, "N/A")</f>
        <v>7.5</v>
      </c>
      <c r="AH8957">
        <v>75</v>
      </c>
      <c r="AI8957">
        <v>326.8168</v>
      </c>
      <c r="AJ8957">
        <v>35.460769999999997</v>
      </c>
      <c r="AK8957">
        <v>40.07846</v>
      </c>
    </row>
    <row r="8958" spans="1:37" x14ac:dyDescent="0.3">
      <c r="A8958">
        <v>8957</v>
      </c>
      <c r="B8958">
        <v>0</v>
      </c>
      <c r="C8958">
        <v>38.815300000000001</v>
      </c>
      <c r="D8958">
        <v>14.8872</v>
      </c>
      <c r="E8958" t="s">
        <v>13610</v>
      </c>
      <c r="F8958" t="s">
        <v>13612</v>
      </c>
      <c r="G8958" t="s">
        <v>39</v>
      </c>
      <c r="H8958">
        <v>1956</v>
      </c>
      <c r="I8958">
        <v>19</v>
      </c>
      <c r="J8958">
        <v>16.7</v>
      </c>
      <c r="K8958">
        <v>75</v>
      </c>
      <c r="L8958">
        <v>14.24</v>
      </c>
      <c r="M8958">
        <v>30</v>
      </c>
      <c r="N8958">
        <v>8</v>
      </c>
      <c r="O8958">
        <v>22</v>
      </c>
      <c r="P8958">
        <v>18.399999999999999</v>
      </c>
      <c r="Q8958">
        <v>18</v>
      </c>
      <c r="R8958">
        <v>20.8</v>
      </c>
      <c r="S8958">
        <v>17.600000000000001</v>
      </c>
      <c r="T8958">
        <v>602</v>
      </c>
      <c r="U8958">
        <v>190</v>
      </c>
      <c r="V8958">
        <v>0</v>
      </c>
      <c r="W8958">
        <v>127</v>
      </c>
      <c r="X8958">
        <v>436</v>
      </c>
      <c r="Y8958">
        <v>8</v>
      </c>
      <c r="Z8958">
        <v>81</v>
      </c>
      <c r="AA8958">
        <v>20</v>
      </c>
      <c r="AB8958">
        <v>10.221310000000001</v>
      </c>
      <c r="AC8958">
        <v>1.7305649999999999E-2</v>
      </c>
      <c r="AD8958">
        <v>3.5517530000000002</v>
      </c>
      <c r="AE8958">
        <v>0.5080557</v>
      </c>
      <c r="AF8958">
        <v>1976.1849999999999</v>
      </c>
      <c r="AG8958">
        <f>IFERROR(AH8958*0.1, "N/A")</f>
        <v>7.5</v>
      </c>
      <c r="AH8958">
        <v>75</v>
      </c>
      <c r="AI8958">
        <v>326.8168</v>
      </c>
      <c r="AJ8958">
        <v>35.460769999999997</v>
      </c>
      <c r="AK8958">
        <v>40.07846</v>
      </c>
    </row>
    <row r="8959" spans="1:37" x14ac:dyDescent="0.3">
      <c r="A8959">
        <v>8958</v>
      </c>
      <c r="B8959">
        <v>16.7</v>
      </c>
      <c r="C8959">
        <v>39.148299999999999</v>
      </c>
      <c r="D8959">
        <v>15.0372</v>
      </c>
      <c r="E8959" t="s">
        <v>13613</v>
      </c>
      <c r="F8959" t="s">
        <v>13614</v>
      </c>
      <c r="G8959" t="s">
        <v>37</v>
      </c>
      <c r="H8959">
        <v>1956</v>
      </c>
      <c r="I8959">
        <v>18.100000000000001</v>
      </c>
      <c r="J8959">
        <v>15.1</v>
      </c>
      <c r="K8959">
        <v>74</v>
      </c>
      <c r="L8959">
        <v>13.72</v>
      </c>
      <c r="M8959">
        <v>27.8</v>
      </c>
      <c r="N8959">
        <v>7.6</v>
      </c>
      <c r="O8959">
        <v>20.2</v>
      </c>
      <c r="P8959">
        <v>18.8</v>
      </c>
      <c r="Q8959">
        <v>16.399999999999999</v>
      </c>
      <c r="R8959">
        <v>19.8</v>
      </c>
      <c r="S8959">
        <v>16.2</v>
      </c>
      <c r="T8959">
        <v>535</v>
      </c>
      <c r="U8959">
        <v>167</v>
      </c>
      <c r="V8959">
        <v>7</v>
      </c>
      <c r="W8959">
        <v>116</v>
      </c>
      <c r="X8959">
        <v>350</v>
      </c>
      <c r="Y8959">
        <v>26</v>
      </c>
      <c r="Z8959">
        <v>128</v>
      </c>
      <c r="AA8959">
        <v>32</v>
      </c>
      <c r="AB8959">
        <v>26.261590000000002</v>
      </c>
      <c r="AC8959">
        <v>8.3728189999999994E-2</v>
      </c>
      <c r="AD8959">
        <v>6.0411489999999999</v>
      </c>
      <c r="AE8959">
        <v>0.31047989999999998</v>
      </c>
      <c r="AF8959">
        <v>2082.9009999999998</v>
      </c>
      <c r="AG8959">
        <f>IFERROR(AH8959*0.1, "N/A")</f>
        <v>7.5</v>
      </c>
      <c r="AH8959">
        <v>75</v>
      </c>
      <c r="AI8959">
        <v>133.6857</v>
      </c>
      <c r="AJ8959">
        <v>28.246230000000001</v>
      </c>
      <c r="AK8959">
        <v>46.056950000000001</v>
      </c>
    </row>
    <row r="8960" spans="1:37" x14ac:dyDescent="0.3">
      <c r="A8960">
        <v>8959</v>
      </c>
      <c r="B8960">
        <v>0</v>
      </c>
      <c r="C8960">
        <v>39.148299999999999</v>
      </c>
      <c r="D8960">
        <v>15.0372</v>
      </c>
      <c r="E8960" t="s">
        <v>13613</v>
      </c>
      <c r="F8960" t="s">
        <v>13615</v>
      </c>
      <c r="G8960" t="s">
        <v>39</v>
      </c>
      <c r="H8960">
        <v>1956</v>
      </c>
      <c r="I8960">
        <v>18.100000000000001</v>
      </c>
      <c r="J8960">
        <v>15.1</v>
      </c>
      <c r="K8960">
        <v>74</v>
      </c>
      <c r="L8960">
        <v>13.72</v>
      </c>
      <c r="M8960">
        <v>27.8</v>
      </c>
      <c r="N8960">
        <v>7.6</v>
      </c>
      <c r="O8960">
        <v>20.2</v>
      </c>
      <c r="P8960">
        <v>18.8</v>
      </c>
      <c r="Q8960">
        <v>16.399999999999999</v>
      </c>
      <c r="R8960">
        <v>19.8</v>
      </c>
      <c r="S8960">
        <v>16.2</v>
      </c>
      <c r="T8960">
        <v>535</v>
      </c>
      <c r="U8960">
        <v>167</v>
      </c>
      <c r="V8960">
        <v>7</v>
      </c>
      <c r="W8960">
        <v>116</v>
      </c>
      <c r="X8960">
        <v>350</v>
      </c>
      <c r="Y8960">
        <v>26</v>
      </c>
      <c r="Z8960">
        <v>128</v>
      </c>
      <c r="AA8960">
        <v>32</v>
      </c>
      <c r="AB8960">
        <v>26.261590000000002</v>
      </c>
      <c r="AC8960">
        <v>8.3728189999999994E-2</v>
      </c>
      <c r="AD8960">
        <v>6.0411489999999999</v>
      </c>
      <c r="AE8960">
        <v>0.31047989999999998</v>
      </c>
      <c r="AF8960">
        <v>2082.9009999999998</v>
      </c>
      <c r="AG8960">
        <f>IFERROR(AH8960*0.1, "N/A")</f>
        <v>7.5</v>
      </c>
      <c r="AH8960">
        <v>75</v>
      </c>
      <c r="AI8960">
        <v>133.6857</v>
      </c>
      <c r="AJ8960">
        <v>28.246230000000001</v>
      </c>
      <c r="AK8960">
        <v>46.056950000000001</v>
      </c>
    </row>
    <row r="8961" spans="1:37" x14ac:dyDescent="0.3">
      <c r="A8961">
        <v>8960</v>
      </c>
      <c r="B8961">
        <v>50</v>
      </c>
      <c r="C8961">
        <v>39.187199999999997</v>
      </c>
      <c r="D8961">
        <v>15.0528</v>
      </c>
      <c r="E8961" t="s">
        <v>13616</v>
      </c>
      <c r="F8961" t="s">
        <v>13617</v>
      </c>
      <c r="G8961" t="s">
        <v>37</v>
      </c>
      <c r="H8961">
        <v>1956</v>
      </c>
      <c r="I8961">
        <v>17.899999999999999</v>
      </c>
      <c r="J8961">
        <v>14.9</v>
      </c>
      <c r="K8961">
        <v>74</v>
      </c>
      <c r="L8961">
        <v>13.8</v>
      </c>
      <c r="M8961">
        <v>27.5</v>
      </c>
      <c r="N8961">
        <v>7.5</v>
      </c>
      <c r="O8961">
        <v>20</v>
      </c>
      <c r="P8961">
        <v>18.600000000000001</v>
      </c>
      <c r="Q8961">
        <v>16.2</v>
      </c>
      <c r="R8961">
        <v>19.600000000000001</v>
      </c>
      <c r="S8961">
        <v>16</v>
      </c>
      <c r="T8961">
        <v>523</v>
      </c>
      <c r="U8961">
        <v>164</v>
      </c>
      <c r="V8961">
        <v>5</v>
      </c>
      <c r="W8961">
        <v>117</v>
      </c>
      <c r="X8961">
        <v>340</v>
      </c>
      <c r="Y8961">
        <v>21</v>
      </c>
      <c r="Z8961">
        <v>135</v>
      </c>
      <c r="AA8961">
        <v>28</v>
      </c>
      <c r="AB8961">
        <v>19.16797</v>
      </c>
      <c r="AC8961">
        <v>1.540971E-2</v>
      </c>
      <c r="AD8961">
        <v>4.7083060000000003</v>
      </c>
      <c r="AE8961">
        <v>0.42226819999999998</v>
      </c>
      <c r="AF8961">
        <v>2182.1480000000001</v>
      </c>
      <c r="AG8961">
        <f>IFERROR(AH8961*0.1, "N/A")</f>
        <v>7.7500840000000002</v>
      </c>
      <c r="AH8961">
        <v>77.500839999999997</v>
      </c>
      <c r="AI8961">
        <v>221.4032</v>
      </c>
      <c r="AJ8961">
        <v>33.667230000000004</v>
      </c>
      <c r="AK8961">
        <v>38.462179999999996</v>
      </c>
    </row>
    <row r="8962" spans="1:37" x14ac:dyDescent="0.3">
      <c r="A8962">
        <v>8961</v>
      </c>
      <c r="B8962">
        <v>0</v>
      </c>
      <c r="C8962">
        <v>39.187199999999997</v>
      </c>
      <c r="D8962">
        <v>15.0528</v>
      </c>
      <c r="E8962" t="s">
        <v>13616</v>
      </c>
      <c r="F8962" t="s">
        <v>13618</v>
      </c>
      <c r="G8962" t="s">
        <v>39</v>
      </c>
      <c r="H8962">
        <v>1956</v>
      </c>
      <c r="I8962">
        <v>17.899999999999999</v>
      </c>
      <c r="J8962">
        <v>14.9</v>
      </c>
      <c r="K8962">
        <v>74</v>
      </c>
      <c r="L8962">
        <v>13.8</v>
      </c>
      <c r="M8962">
        <v>27.5</v>
      </c>
      <c r="N8962">
        <v>7.5</v>
      </c>
      <c r="O8962">
        <v>20</v>
      </c>
      <c r="P8962">
        <v>18.600000000000001</v>
      </c>
      <c r="Q8962">
        <v>16.2</v>
      </c>
      <c r="R8962">
        <v>19.600000000000001</v>
      </c>
      <c r="S8962">
        <v>16</v>
      </c>
      <c r="T8962">
        <v>523</v>
      </c>
      <c r="U8962">
        <v>164</v>
      </c>
      <c r="V8962">
        <v>5</v>
      </c>
      <c r="W8962">
        <v>117</v>
      </c>
      <c r="X8962">
        <v>340</v>
      </c>
      <c r="Y8962">
        <v>21</v>
      </c>
      <c r="Z8962">
        <v>135</v>
      </c>
      <c r="AA8962">
        <v>28</v>
      </c>
      <c r="AB8962">
        <v>19.16797</v>
      </c>
      <c r="AC8962">
        <v>1.540971E-2</v>
      </c>
      <c r="AD8962">
        <v>4.7083060000000003</v>
      </c>
      <c r="AE8962">
        <v>0.42226819999999998</v>
      </c>
      <c r="AF8962">
        <v>2182.1480000000001</v>
      </c>
      <c r="AG8962">
        <f>IFERROR(AH8962*0.1, "N/A")</f>
        <v>7.7500840000000002</v>
      </c>
      <c r="AH8962">
        <v>77.500839999999997</v>
      </c>
      <c r="AI8962">
        <v>221.4032</v>
      </c>
      <c r="AJ8962">
        <v>33.667230000000004</v>
      </c>
      <c r="AK8962">
        <v>38.462179999999996</v>
      </c>
    </row>
    <row r="8963" spans="1:37" x14ac:dyDescent="0.3">
      <c r="A8963">
        <v>8962</v>
      </c>
      <c r="B8963">
        <v>0</v>
      </c>
      <c r="C8963">
        <v>39.047499999999999</v>
      </c>
      <c r="D8963">
        <v>15.07</v>
      </c>
      <c r="E8963" t="s">
        <v>13619</v>
      </c>
      <c r="F8963" t="s">
        <v>13620</v>
      </c>
      <c r="G8963" t="s">
        <v>37</v>
      </c>
      <c r="H8963">
        <v>1956</v>
      </c>
      <c r="I8963">
        <v>18.3</v>
      </c>
      <c r="J8963">
        <v>15.3</v>
      </c>
      <c r="K8963">
        <v>74</v>
      </c>
      <c r="L8963">
        <v>13.68</v>
      </c>
      <c r="M8963">
        <v>28.1</v>
      </c>
      <c r="N8963">
        <v>7.6</v>
      </c>
      <c r="O8963">
        <v>20.5</v>
      </c>
      <c r="P8963">
        <v>18.899999999999999</v>
      </c>
      <c r="Q8963">
        <v>16.7</v>
      </c>
      <c r="R8963">
        <v>20.100000000000001</v>
      </c>
      <c r="S8963">
        <v>16.399999999999999</v>
      </c>
      <c r="T8963">
        <v>556</v>
      </c>
      <c r="U8963">
        <v>168</v>
      </c>
      <c r="V8963">
        <v>9</v>
      </c>
      <c r="W8963">
        <v>114</v>
      </c>
      <c r="X8963">
        <v>365</v>
      </c>
      <c r="Y8963">
        <v>30</v>
      </c>
      <c r="Z8963">
        <v>121</v>
      </c>
      <c r="AA8963">
        <v>35</v>
      </c>
      <c r="AB8963">
        <v>19.585039999999999</v>
      </c>
      <c r="AC8963">
        <v>0.12127</v>
      </c>
      <c r="AD8963">
        <v>2.3948860000000001</v>
      </c>
      <c r="AE8963">
        <v>0.41870970000000002</v>
      </c>
      <c r="AF8963">
        <v>2016.4670000000001</v>
      </c>
      <c r="AG8963">
        <f>IFERROR(AH8963*0.1, "N/A")</f>
        <v>7.8096829999999997</v>
      </c>
      <c r="AH8963">
        <v>78.096829999999997</v>
      </c>
      <c r="AI8963">
        <v>74.694389999999999</v>
      </c>
      <c r="AJ8963">
        <v>28.838059999999999</v>
      </c>
      <c r="AK8963">
        <v>46.04674</v>
      </c>
    </row>
    <row r="8964" spans="1:37" x14ac:dyDescent="0.3">
      <c r="A8964">
        <v>8963</v>
      </c>
      <c r="B8964">
        <v>0</v>
      </c>
      <c r="C8964">
        <v>39.047499999999999</v>
      </c>
      <c r="D8964">
        <v>15.07</v>
      </c>
      <c r="E8964" t="s">
        <v>13619</v>
      </c>
      <c r="F8964" t="s">
        <v>13621</v>
      </c>
      <c r="G8964" t="s">
        <v>39</v>
      </c>
      <c r="H8964">
        <v>1956</v>
      </c>
      <c r="I8964">
        <v>18.3</v>
      </c>
      <c r="J8964">
        <v>15.3</v>
      </c>
      <c r="K8964">
        <v>74</v>
      </c>
      <c r="L8964">
        <v>13.68</v>
      </c>
      <c r="M8964">
        <v>28.1</v>
      </c>
      <c r="N8964">
        <v>7.6</v>
      </c>
      <c r="O8964">
        <v>20.5</v>
      </c>
      <c r="P8964">
        <v>18.899999999999999</v>
      </c>
      <c r="Q8964">
        <v>16.7</v>
      </c>
      <c r="R8964">
        <v>20.100000000000001</v>
      </c>
      <c r="S8964">
        <v>16.399999999999999</v>
      </c>
      <c r="T8964">
        <v>556</v>
      </c>
      <c r="U8964">
        <v>168</v>
      </c>
      <c r="V8964">
        <v>9</v>
      </c>
      <c r="W8964">
        <v>114</v>
      </c>
      <c r="X8964">
        <v>365</v>
      </c>
      <c r="Y8964">
        <v>30</v>
      </c>
      <c r="Z8964">
        <v>121</v>
      </c>
      <c r="AA8964">
        <v>35</v>
      </c>
      <c r="AB8964">
        <v>19.585039999999999</v>
      </c>
      <c r="AC8964">
        <v>0.12127</v>
      </c>
      <c r="AD8964">
        <v>2.3948860000000001</v>
      </c>
      <c r="AE8964">
        <v>0.41870970000000002</v>
      </c>
      <c r="AF8964">
        <v>2016.4670000000001</v>
      </c>
      <c r="AG8964">
        <f>IFERROR(AH8964*0.1, "N/A")</f>
        <v>7.8096829999999997</v>
      </c>
      <c r="AH8964">
        <v>78.096829999999997</v>
      </c>
      <c r="AI8964">
        <v>74.694389999999999</v>
      </c>
      <c r="AJ8964">
        <v>28.838059999999999</v>
      </c>
      <c r="AK8964">
        <v>46.04674</v>
      </c>
    </row>
    <row r="8965" spans="1:37" x14ac:dyDescent="0.3">
      <c r="A8965">
        <v>8964</v>
      </c>
      <c r="B8965">
        <v>0</v>
      </c>
      <c r="C8965">
        <v>38.933300000000003</v>
      </c>
      <c r="D8965">
        <v>15.333299999999999</v>
      </c>
      <c r="E8965" t="s">
        <v>13622</v>
      </c>
      <c r="F8965" t="s">
        <v>13623</v>
      </c>
      <c r="G8965" t="s">
        <v>37</v>
      </c>
      <c r="H8965">
        <v>1956</v>
      </c>
      <c r="I8965">
        <v>16.600000000000001</v>
      </c>
      <c r="J8965">
        <v>14.210850000000001</v>
      </c>
      <c r="K8965">
        <v>72</v>
      </c>
      <c r="L8965">
        <v>13.90564</v>
      </c>
      <c r="M8965">
        <v>25.823039999999999</v>
      </c>
      <c r="N8965">
        <v>6.3</v>
      </c>
      <c r="O8965">
        <v>19.523040000000002</v>
      </c>
      <c r="P8965">
        <v>17.483309999999999</v>
      </c>
      <c r="Q8965">
        <v>15</v>
      </c>
      <c r="R8965">
        <v>18.399999999999999</v>
      </c>
      <c r="S8965">
        <v>14.7</v>
      </c>
      <c r="T8965">
        <v>464.51089999999999</v>
      </c>
      <c r="U8965">
        <v>152.74959999999999</v>
      </c>
      <c r="V8965">
        <v>1.480801</v>
      </c>
      <c r="W8965">
        <v>131.31549999999999</v>
      </c>
      <c r="X8965">
        <v>333.60770000000002</v>
      </c>
      <c r="Y8965">
        <v>7.0701169999999998</v>
      </c>
      <c r="Z8965">
        <v>90.749579999999995</v>
      </c>
      <c r="AA8965">
        <v>17.191990000000001</v>
      </c>
      <c r="AB8965">
        <v>5.7005860000000004</v>
      </c>
      <c r="AC8965">
        <v>3.0656220000000001E-2</v>
      </c>
      <c r="AD8965">
        <v>2.1114329999999999</v>
      </c>
      <c r="AE8965">
        <v>0.61996490000000004</v>
      </c>
      <c r="AF8965">
        <v>2336.2669999999998</v>
      </c>
      <c r="AG8965">
        <f>IFERROR(AH8965*0.1, "N/A")</f>
        <v>8</v>
      </c>
      <c r="AH8965">
        <v>80</v>
      </c>
      <c r="AI8965">
        <v>259.5883</v>
      </c>
      <c r="AJ8965">
        <v>35</v>
      </c>
      <c r="AK8965">
        <v>36</v>
      </c>
    </row>
    <row r="8966" spans="1:37" x14ac:dyDescent="0.3">
      <c r="A8966">
        <v>8965</v>
      </c>
      <c r="B8966">
        <v>0</v>
      </c>
      <c r="C8966">
        <v>38.933300000000003</v>
      </c>
      <c r="D8966">
        <v>15.333299999999999</v>
      </c>
      <c r="E8966" t="s">
        <v>13622</v>
      </c>
      <c r="F8966" t="s">
        <v>13624</v>
      </c>
      <c r="G8966" t="s">
        <v>39</v>
      </c>
      <c r="H8966">
        <v>1956</v>
      </c>
      <c r="I8966">
        <v>16.600000000000001</v>
      </c>
      <c r="J8966">
        <v>14.210850000000001</v>
      </c>
      <c r="K8966">
        <v>72</v>
      </c>
      <c r="L8966">
        <v>13.90564</v>
      </c>
      <c r="M8966">
        <v>25.823039999999999</v>
      </c>
      <c r="N8966">
        <v>6.3</v>
      </c>
      <c r="O8966">
        <v>19.523040000000002</v>
      </c>
      <c r="P8966">
        <v>17.483309999999999</v>
      </c>
      <c r="Q8966">
        <v>15</v>
      </c>
      <c r="R8966">
        <v>18.399999999999999</v>
      </c>
      <c r="S8966">
        <v>14.7</v>
      </c>
      <c r="T8966">
        <v>464.51089999999999</v>
      </c>
      <c r="U8966">
        <v>152.74959999999999</v>
      </c>
      <c r="V8966">
        <v>1.480801</v>
      </c>
      <c r="W8966">
        <v>131.31549999999999</v>
      </c>
      <c r="X8966">
        <v>333.60770000000002</v>
      </c>
      <c r="Y8966">
        <v>7.0701169999999998</v>
      </c>
      <c r="Z8966">
        <v>90.749579999999995</v>
      </c>
      <c r="AA8966">
        <v>17.191990000000001</v>
      </c>
      <c r="AB8966">
        <v>5.7005860000000004</v>
      </c>
      <c r="AC8966">
        <v>3.0656220000000001E-2</v>
      </c>
      <c r="AD8966">
        <v>2.1114329999999999</v>
      </c>
      <c r="AE8966">
        <v>0.61996490000000004</v>
      </c>
      <c r="AF8966">
        <v>2336.2669999999998</v>
      </c>
      <c r="AG8966">
        <f>IFERROR(AH8966*0.1, "N/A")</f>
        <v>8</v>
      </c>
      <c r="AH8966">
        <v>80</v>
      </c>
      <c r="AI8966">
        <v>259.5883</v>
      </c>
      <c r="AJ8966">
        <v>35</v>
      </c>
      <c r="AK8966">
        <v>36</v>
      </c>
    </row>
    <row r="8967" spans="1:37" x14ac:dyDescent="0.3">
      <c r="A8967">
        <v>8966</v>
      </c>
      <c r="B8967">
        <v>0</v>
      </c>
      <c r="C8967">
        <v>39.450000000000003</v>
      </c>
      <c r="D8967">
        <v>15.6097</v>
      </c>
      <c r="E8967" t="s">
        <v>13625</v>
      </c>
      <c r="F8967" t="s">
        <v>13626</v>
      </c>
      <c r="G8967" t="s">
        <v>37</v>
      </c>
      <c r="H8967">
        <v>1956</v>
      </c>
      <c r="I8967">
        <v>28.8</v>
      </c>
      <c r="J8967">
        <v>11.481199999999999</v>
      </c>
      <c r="K8967">
        <v>55</v>
      </c>
      <c r="L8967">
        <v>33.411450000000002</v>
      </c>
      <c r="M8967">
        <v>40.218800000000002</v>
      </c>
      <c r="N8967">
        <v>19.600000000000001</v>
      </c>
      <c r="O8967">
        <v>20.6188</v>
      </c>
      <c r="P8967">
        <v>24.8</v>
      </c>
      <c r="Q8967">
        <v>31.8</v>
      </c>
      <c r="R8967">
        <v>33.218800000000002</v>
      </c>
      <c r="S8967">
        <v>24.8</v>
      </c>
      <c r="T8967">
        <v>190.4359</v>
      </c>
      <c r="U8967">
        <v>40</v>
      </c>
      <c r="V8967">
        <v>1</v>
      </c>
      <c r="W8967">
        <v>74.811980000000005</v>
      </c>
      <c r="X8967">
        <v>97.623959999999997</v>
      </c>
      <c r="Y8967">
        <v>14</v>
      </c>
      <c r="Z8967">
        <v>17</v>
      </c>
      <c r="AA8967">
        <v>74.076539999999994</v>
      </c>
      <c r="AB8967">
        <v>5.8056570000000001</v>
      </c>
      <c r="AC8967">
        <v>0.1146674</v>
      </c>
      <c r="AD8967">
        <v>0.72379450000000001</v>
      </c>
      <c r="AE8967">
        <v>0.4541306</v>
      </c>
      <c r="AF8967">
        <v>2.8452579999999998</v>
      </c>
      <c r="AG8967">
        <f>IFERROR(AH8967*0.1, "N/A")</f>
        <v>7.9188019999999995</v>
      </c>
      <c r="AH8967">
        <v>79.188019999999995</v>
      </c>
      <c r="AI8967">
        <v>151.7587</v>
      </c>
      <c r="AJ8967">
        <v>15.402659999999999</v>
      </c>
      <c r="AK8967">
        <v>58.08652</v>
      </c>
    </row>
    <row r="8968" spans="1:37" x14ac:dyDescent="0.3">
      <c r="A8968">
        <v>8967</v>
      </c>
      <c r="B8968">
        <v>0</v>
      </c>
      <c r="C8968">
        <v>39.450000000000003</v>
      </c>
      <c r="D8968">
        <v>15.6097</v>
      </c>
      <c r="E8968" t="s">
        <v>13625</v>
      </c>
      <c r="F8968" t="s">
        <v>13627</v>
      </c>
      <c r="G8968" t="s">
        <v>39</v>
      </c>
      <c r="H8968">
        <v>1956</v>
      </c>
      <c r="I8968">
        <v>28.8</v>
      </c>
      <c r="J8968">
        <v>11.481199999999999</v>
      </c>
      <c r="K8968">
        <v>55</v>
      </c>
      <c r="L8968">
        <v>33.411450000000002</v>
      </c>
      <c r="M8968">
        <v>40.218800000000002</v>
      </c>
      <c r="N8968">
        <v>19.600000000000001</v>
      </c>
      <c r="O8968">
        <v>20.6188</v>
      </c>
      <c r="P8968">
        <v>24.8</v>
      </c>
      <c r="Q8968">
        <v>31.8</v>
      </c>
      <c r="R8968">
        <v>33.218800000000002</v>
      </c>
      <c r="S8968">
        <v>24.8</v>
      </c>
      <c r="T8968">
        <v>190.4359</v>
      </c>
      <c r="U8968">
        <v>40</v>
      </c>
      <c r="V8968">
        <v>1</v>
      </c>
      <c r="W8968">
        <v>74.811980000000005</v>
      </c>
      <c r="X8968">
        <v>97.623959999999997</v>
      </c>
      <c r="Y8968">
        <v>14</v>
      </c>
      <c r="Z8968">
        <v>17</v>
      </c>
      <c r="AA8968">
        <v>74.076539999999994</v>
      </c>
      <c r="AB8968">
        <v>5.8056570000000001</v>
      </c>
      <c r="AC8968">
        <v>0.1146674</v>
      </c>
      <c r="AD8968">
        <v>0.72379450000000001</v>
      </c>
      <c r="AE8968">
        <v>0.4541306</v>
      </c>
      <c r="AF8968">
        <v>2.8452579999999998</v>
      </c>
      <c r="AG8968">
        <f>IFERROR(AH8968*0.1, "N/A")</f>
        <v>7.9188019999999995</v>
      </c>
      <c r="AH8968">
        <v>79.188019999999995</v>
      </c>
      <c r="AI8968">
        <v>151.7587</v>
      </c>
      <c r="AJ8968">
        <v>15.402659999999999</v>
      </c>
      <c r="AK8968">
        <v>58.08652</v>
      </c>
    </row>
    <row r="8969" spans="1:37" x14ac:dyDescent="0.3">
      <c r="A8969">
        <v>8968</v>
      </c>
      <c r="B8969">
        <v>18.600000000000001</v>
      </c>
      <c r="C8969">
        <v>9.7650699999999997</v>
      </c>
      <c r="D8969">
        <v>1.8632299999999999</v>
      </c>
      <c r="E8969" t="s">
        <v>13628</v>
      </c>
      <c r="F8969" t="s">
        <v>13629</v>
      </c>
      <c r="G8969" t="s">
        <v>37</v>
      </c>
      <c r="H8969">
        <v>1992</v>
      </c>
      <c r="I8969" t="s">
        <v>729</v>
      </c>
      <c r="J8969" t="s">
        <v>729</v>
      </c>
      <c r="K8969" t="s">
        <v>729</v>
      </c>
      <c r="L8969" t="s">
        <v>729</v>
      </c>
      <c r="M8969" t="s">
        <v>729</v>
      </c>
      <c r="N8969" t="s">
        <v>729</v>
      </c>
      <c r="O8969" t="s">
        <v>729</v>
      </c>
      <c r="P8969" t="s">
        <v>729</v>
      </c>
      <c r="Q8969" t="s">
        <v>729</v>
      </c>
      <c r="R8969" t="s">
        <v>729</v>
      </c>
      <c r="S8969" t="s">
        <v>729</v>
      </c>
      <c r="T8969" t="s">
        <v>729</v>
      </c>
      <c r="U8969" t="s">
        <v>729</v>
      </c>
      <c r="V8969" t="s">
        <v>729</v>
      </c>
      <c r="W8969" t="s">
        <v>729</v>
      </c>
      <c r="X8969" t="s">
        <v>729</v>
      </c>
      <c r="Y8969" t="s">
        <v>729</v>
      </c>
      <c r="Z8969" t="s">
        <v>729</v>
      </c>
      <c r="AA8969" t="s">
        <v>729</v>
      </c>
      <c r="AB8969">
        <v>9.8141099999999994</v>
      </c>
      <c r="AC8969">
        <v>0.30168729999999999</v>
      </c>
      <c r="AD8969">
        <v>2.6226150000000001</v>
      </c>
      <c r="AE8969">
        <v>0.76625469999999996</v>
      </c>
      <c r="AF8969">
        <v>10.451499999999999</v>
      </c>
      <c r="AG8969">
        <f>IFERROR(AH8969*0.1, "N/A")</f>
        <v>6.2380950000000004</v>
      </c>
      <c r="AH8969">
        <v>62.380949999999999</v>
      </c>
      <c r="AI8969">
        <v>150.1729</v>
      </c>
      <c r="AJ8969">
        <v>27.190480000000001</v>
      </c>
      <c r="AK8969">
        <v>49.640210000000003</v>
      </c>
    </row>
    <row r="8970" spans="1:37" x14ac:dyDescent="0.3">
      <c r="A8970">
        <v>8969</v>
      </c>
      <c r="B8970">
        <v>74.3</v>
      </c>
      <c r="C8970">
        <v>42.660600000000002</v>
      </c>
      <c r="D8970">
        <v>11.8469</v>
      </c>
      <c r="E8970" t="s">
        <v>13630</v>
      </c>
      <c r="F8970" t="s">
        <v>13631</v>
      </c>
      <c r="G8970" t="s">
        <v>37</v>
      </c>
      <c r="H8970">
        <v>1999</v>
      </c>
      <c r="I8970">
        <v>24</v>
      </c>
      <c r="J8970">
        <v>10.1</v>
      </c>
      <c r="K8970">
        <v>48</v>
      </c>
      <c r="L8970">
        <v>38.119999999999997</v>
      </c>
      <c r="M8970">
        <v>35</v>
      </c>
      <c r="N8970">
        <v>14.1</v>
      </c>
      <c r="O8970">
        <v>20.9</v>
      </c>
      <c r="P8970">
        <v>19.8</v>
      </c>
      <c r="Q8970">
        <v>28.2</v>
      </c>
      <c r="R8970">
        <v>29</v>
      </c>
      <c r="S8970">
        <v>19.3</v>
      </c>
      <c r="T8970">
        <v>315</v>
      </c>
      <c r="U8970">
        <v>40</v>
      </c>
      <c r="V8970">
        <v>6</v>
      </c>
      <c r="W8970">
        <v>42</v>
      </c>
      <c r="X8970">
        <v>110</v>
      </c>
      <c r="Y8970">
        <v>39</v>
      </c>
      <c r="Z8970">
        <v>63</v>
      </c>
      <c r="AA8970">
        <v>107</v>
      </c>
      <c r="AB8970">
        <v>3.8192849999999998</v>
      </c>
      <c r="AC8970">
        <v>8.1025170000000006</v>
      </c>
      <c r="AD8970">
        <v>5.6414549999999997</v>
      </c>
      <c r="AE8970">
        <v>0.21042620000000001</v>
      </c>
      <c r="AF8970">
        <v>898.02560000000005</v>
      </c>
      <c r="AG8970">
        <f>IFERROR(AH8970*0.1, "N/A")</f>
        <v>8.0952219999999997</v>
      </c>
      <c r="AH8970">
        <v>80.952219999999997</v>
      </c>
      <c r="AI8970">
        <v>133.14750000000001</v>
      </c>
      <c r="AJ8970">
        <v>13.955629999999999</v>
      </c>
      <c r="AK8970">
        <v>59.385669999999998</v>
      </c>
    </row>
    <row r="8971" spans="1:37" x14ac:dyDescent="0.3">
      <c r="A8971">
        <v>8970</v>
      </c>
      <c r="B8971">
        <v>16.100000000000001</v>
      </c>
      <c r="C8971">
        <v>30.342099999999999</v>
      </c>
      <c r="D8971">
        <v>3.4409800000000001</v>
      </c>
      <c r="E8971" t="s">
        <v>13632</v>
      </c>
      <c r="F8971" t="s">
        <v>13633</v>
      </c>
      <c r="G8971" t="s">
        <v>37</v>
      </c>
      <c r="H8971">
        <v>1986</v>
      </c>
      <c r="I8971">
        <v>23.88383</v>
      </c>
      <c r="J8971">
        <v>12</v>
      </c>
      <c r="K8971">
        <v>77.838310000000007</v>
      </c>
      <c r="L8971">
        <v>9.7961510000000001</v>
      </c>
      <c r="M8971">
        <v>32.4</v>
      </c>
      <c r="N8971">
        <v>17.083829999999999</v>
      </c>
      <c r="O8971">
        <v>15.31617</v>
      </c>
      <c r="P8971">
        <v>22.87838</v>
      </c>
      <c r="Q8971">
        <v>24.68383</v>
      </c>
      <c r="R8971">
        <v>25.18383</v>
      </c>
      <c r="S8971">
        <v>22.68383</v>
      </c>
      <c r="T8971">
        <v>1525.5640000000001</v>
      </c>
      <c r="U8971">
        <v>215.1617</v>
      </c>
      <c r="V8971">
        <v>21</v>
      </c>
      <c r="W8971">
        <v>52</v>
      </c>
      <c r="X8971">
        <v>595.48509999999999</v>
      </c>
      <c r="Y8971">
        <v>87</v>
      </c>
      <c r="Z8971">
        <v>151.1617</v>
      </c>
      <c r="AA8971">
        <v>577.70119999999997</v>
      </c>
      <c r="AB8971">
        <v>23.893999999999998</v>
      </c>
      <c r="AC8971">
        <v>2.505839E-2</v>
      </c>
      <c r="AD8971">
        <v>3.1845629999999998</v>
      </c>
      <c r="AE8971">
        <v>0.1513361</v>
      </c>
      <c r="AF8971">
        <v>1005.5359999999999</v>
      </c>
      <c r="AG8971">
        <f>IFERROR(AH8971*0.1, "N/A")</f>
        <v>5.5891039999999998</v>
      </c>
      <c r="AH8971">
        <v>55.891039999999997</v>
      </c>
      <c r="AI8971">
        <v>213.18539999999999</v>
      </c>
      <c r="AJ8971">
        <v>42.697719999999997</v>
      </c>
      <c r="AK8971">
        <v>37.718800000000002</v>
      </c>
    </row>
    <row r="8972" spans="1:37" x14ac:dyDescent="0.3">
      <c r="A8972">
        <v>8971</v>
      </c>
      <c r="B8972">
        <v>10.8</v>
      </c>
      <c r="C8972">
        <v>30.219200000000001</v>
      </c>
      <c r="D8972">
        <v>2.9542199999999998</v>
      </c>
      <c r="E8972" t="s">
        <v>13634</v>
      </c>
      <c r="F8972" t="s">
        <v>13635</v>
      </c>
      <c r="G8972" t="s">
        <v>37</v>
      </c>
      <c r="H8972">
        <v>1986</v>
      </c>
      <c r="I8972">
        <v>23.3</v>
      </c>
      <c r="J8972">
        <v>11.5</v>
      </c>
      <c r="K8972">
        <v>79</v>
      </c>
      <c r="L8972">
        <v>8.9</v>
      </c>
      <c r="M8972">
        <v>31.4</v>
      </c>
      <c r="N8972">
        <v>16.899999999999999</v>
      </c>
      <c r="O8972">
        <v>14.5</v>
      </c>
      <c r="P8972">
        <v>22.3</v>
      </c>
      <c r="Q8972">
        <v>24.1</v>
      </c>
      <c r="R8972">
        <v>24.4</v>
      </c>
      <c r="S8972">
        <v>22.1</v>
      </c>
      <c r="T8972">
        <v>1506</v>
      </c>
      <c r="U8972">
        <v>207</v>
      </c>
      <c r="V8972">
        <v>29</v>
      </c>
      <c r="W8972">
        <v>46</v>
      </c>
      <c r="X8972">
        <v>575</v>
      </c>
      <c r="Y8972">
        <v>113</v>
      </c>
      <c r="Z8972">
        <v>170</v>
      </c>
      <c r="AA8972">
        <v>554</v>
      </c>
      <c r="AB8972">
        <v>12.212490000000001</v>
      </c>
      <c r="AC8972">
        <v>7.5377659999999999E-2</v>
      </c>
      <c r="AD8972">
        <v>3.5463939999999998</v>
      </c>
      <c r="AE8972">
        <v>0.2026087</v>
      </c>
      <c r="AF8972">
        <v>1062.414</v>
      </c>
      <c r="AG8972">
        <f>IFERROR(AH8972*0.1, "N/A")</f>
        <v>5.5070180000000004</v>
      </c>
      <c r="AH8972">
        <v>55.070180000000001</v>
      </c>
      <c r="AI8972">
        <v>149.15199999999999</v>
      </c>
      <c r="AJ8972">
        <v>38</v>
      </c>
      <c r="AK8972">
        <v>42</v>
      </c>
    </row>
    <row r="8973" spans="1:37" x14ac:dyDescent="0.3">
      <c r="A8973">
        <v>8972</v>
      </c>
      <c r="B8973">
        <v>12.4</v>
      </c>
      <c r="C8973">
        <v>30.837499999999999</v>
      </c>
      <c r="D8973">
        <v>2.8682300000000001</v>
      </c>
      <c r="E8973" t="s">
        <v>13636</v>
      </c>
      <c r="F8973" t="s">
        <v>13637</v>
      </c>
      <c r="G8973" t="s">
        <v>37</v>
      </c>
      <c r="H8973">
        <v>1986</v>
      </c>
      <c r="I8973">
        <v>22.2</v>
      </c>
      <c r="J8973">
        <v>11.2</v>
      </c>
      <c r="K8973">
        <v>76</v>
      </c>
      <c r="L8973">
        <v>10.54</v>
      </c>
      <c r="M8973">
        <v>30.5</v>
      </c>
      <c r="N8973">
        <v>15.8</v>
      </c>
      <c r="O8973">
        <v>14.7</v>
      </c>
      <c r="P8973">
        <v>21.2</v>
      </c>
      <c r="Q8973">
        <v>23.3</v>
      </c>
      <c r="R8973">
        <v>23.7</v>
      </c>
      <c r="S8973">
        <v>20.9</v>
      </c>
      <c r="T8973">
        <v>1443</v>
      </c>
      <c r="U8973">
        <v>208</v>
      </c>
      <c r="V8973">
        <v>23</v>
      </c>
      <c r="W8973">
        <v>49</v>
      </c>
      <c r="X8973">
        <v>586</v>
      </c>
      <c r="Y8973">
        <v>105</v>
      </c>
      <c r="Z8973">
        <v>149</v>
      </c>
      <c r="AA8973">
        <v>488</v>
      </c>
      <c r="AB8973">
        <v>15.223649999999999</v>
      </c>
      <c r="AC8973">
        <v>1.914894E-2</v>
      </c>
      <c r="AD8973">
        <v>1.847872</v>
      </c>
      <c r="AE8973">
        <v>0.82802439999999999</v>
      </c>
      <c r="AF8973">
        <v>1337.2360000000001</v>
      </c>
      <c r="AG8973">
        <f>IFERROR(AH8973*0.1, "N/A")</f>
        <v>5.5808100000000005</v>
      </c>
      <c r="AH8973">
        <v>55.808100000000003</v>
      </c>
      <c r="AI8973">
        <v>147.6977</v>
      </c>
      <c r="AJ8973">
        <v>39.040489999999998</v>
      </c>
      <c r="AK8973">
        <v>41.808100000000003</v>
      </c>
    </row>
    <row r="8974" spans="1:37" x14ac:dyDescent="0.3">
      <c r="A8974">
        <v>8973</v>
      </c>
      <c r="B8974">
        <v>4</v>
      </c>
      <c r="C8974">
        <v>30.128399999999999</v>
      </c>
      <c r="D8974">
        <v>1.8193600000000001</v>
      </c>
      <c r="E8974" t="s">
        <v>13638</v>
      </c>
      <c r="F8974" t="s">
        <v>13639</v>
      </c>
      <c r="G8974" t="s">
        <v>37</v>
      </c>
      <c r="H8974">
        <v>1963</v>
      </c>
      <c r="I8974">
        <v>22.1</v>
      </c>
      <c r="J8974">
        <v>11.9</v>
      </c>
      <c r="K8974">
        <v>84</v>
      </c>
      <c r="L8974">
        <v>6.18</v>
      </c>
      <c r="M8974">
        <v>29.7</v>
      </c>
      <c r="N8974">
        <v>15.6</v>
      </c>
      <c r="O8974">
        <v>14.1</v>
      </c>
      <c r="P8974">
        <v>21.5</v>
      </c>
      <c r="Q8974">
        <v>22.4</v>
      </c>
      <c r="R8974">
        <v>22.9</v>
      </c>
      <c r="S8974">
        <v>21.2</v>
      </c>
      <c r="T8974">
        <v>1290</v>
      </c>
      <c r="U8974">
        <v>151</v>
      </c>
      <c r="V8974">
        <v>48</v>
      </c>
      <c r="W8974">
        <v>31</v>
      </c>
      <c r="X8974">
        <v>436</v>
      </c>
      <c r="Y8974">
        <v>170</v>
      </c>
      <c r="Z8974">
        <v>288</v>
      </c>
      <c r="AA8974">
        <v>396</v>
      </c>
      <c r="AB8974">
        <v>45.740099999999998</v>
      </c>
      <c r="AC8974">
        <v>1.307822E-2</v>
      </c>
      <c r="AD8974">
        <v>8.2818100000000001</v>
      </c>
      <c r="AE8974">
        <v>0.26467239999999997</v>
      </c>
      <c r="AF8974">
        <v>1162.54</v>
      </c>
      <c r="AG8974">
        <f>IFERROR(AH8974*0.1, "N/A")</f>
        <v>5.4075570000000006</v>
      </c>
      <c r="AH8974">
        <v>54.075569999999999</v>
      </c>
      <c r="AI8974">
        <v>200.4128</v>
      </c>
      <c r="AJ8974">
        <v>41.075569999999999</v>
      </c>
      <c r="AK8974">
        <v>39.848860000000002</v>
      </c>
    </row>
    <row r="8975" spans="1:37" x14ac:dyDescent="0.3">
      <c r="A8975">
        <v>8974</v>
      </c>
      <c r="B8975">
        <v>11.7</v>
      </c>
      <c r="C8975">
        <v>29.692299999999999</v>
      </c>
      <c r="D8975">
        <v>1.20062</v>
      </c>
      <c r="E8975" t="s">
        <v>13640</v>
      </c>
      <c r="F8975" t="s">
        <v>13641</v>
      </c>
      <c r="G8975" t="s">
        <v>37</v>
      </c>
      <c r="H8975">
        <v>1963</v>
      </c>
      <c r="I8975">
        <v>23.046479999999999</v>
      </c>
      <c r="J8975">
        <v>12</v>
      </c>
      <c r="K8975">
        <v>84.661969999999997</v>
      </c>
      <c r="L8975">
        <v>4.4897539999999996</v>
      </c>
      <c r="M8975">
        <v>30.446480000000001</v>
      </c>
      <c r="N8975">
        <v>16.31268</v>
      </c>
      <c r="O8975">
        <v>14.133800000000001</v>
      </c>
      <c r="P8975">
        <v>22.446480000000001</v>
      </c>
      <c r="Q8975">
        <v>23.224119999999999</v>
      </c>
      <c r="R8975">
        <v>23.64648</v>
      </c>
      <c r="S8975">
        <v>22.446480000000001</v>
      </c>
      <c r="T8975">
        <v>1445.623</v>
      </c>
      <c r="U8975">
        <v>165</v>
      </c>
      <c r="V8975">
        <v>60.776409999999998</v>
      </c>
      <c r="W8975">
        <v>26</v>
      </c>
      <c r="X8975">
        <v>448.90320000000003</v>
      </c>
      <c r="Y8975">
        <v>216.55279999999999</v>
      </c>
      <c r="Z8975">
        <v>355.77640000000002</v>
      </c>
      <c r="AA8975">
        <v>421.80810000000002</v>
      </c>
      <c r="AB8975">
        <v>58.564770000000003</v>
      </c>
      <c r="AC8975">
        <v>1.190123E-2</v>
      </c>
      <c r="AD8975">
        <v>4.3489209999999998</v>
      </c>
      <c r="AE8975">
        <v>0.2212672</v>
      </c>
      <c r="AF8975">
        <v>984.10739999999998</v>
      </c>
      <c r="AG8975">
        <f>IFERROR(AH8975*0.1, "N/A")</f>
        <v>5.3420769999999997</v>
      </c>
      <c r="AH8975">
        <v>53.420769999999997</v>
      </c>
      <c r="AI8975">
        <v>266.44940000000003</v>
      </c>
      <c r="AJ8975">
        <v>39.938380000000002</v>
      </c>
      <c r="AK8975">
        <v>43.117959999999997</v>
      </c>
    </row>
    <row r="8976" spans="1:37" x14ac:dyDescent="0.3">
      <c r="A8976">
        <v>8975</v>
      </c>
      <c r="B8976">
        <v>53.3</v>
      </c>
      <c r="C8976">
        <v>25.029599999999999</v>
      </c>
      <c r="D8976">
        <v>0.57244099999999998</v>
      </c>
      <c r="E8976" t="s">
        <v>13642</v>
      </c>
      <c r="F8976" t="s">
        <v>13643</v>
      </c>
      <c r="G8976" t="s">
        <v>2420</v>
      </c>
      <c r="H8976">
        <v>1934</v>
      </c>
      <c r="I8976">
        <v>25.3</v>
      </c>
      <c r="J8976">
        <v>9.6999999999999993</v>
      </c>
      <c r="K8976">
        <v>85</v>
      </c>
      <c r="L8976">
        <v>4.97</v>
      </c>
      <c r="M8976">
        <v>31.4</v>
      </c>
      <c r="N8976">
        <v>20</v>
      </c>
      <c r="O8976">
        <v>11.4</v>
      </c>
      <c r="P8976">
        <v>25.1</v>
      </c>
      <c r="Q8976">
        <v>25.5</v>
      </c>
      <c r="R8976">
        <v>25.9</v>
      </c>
      <c r="S8976">
        <v>24.6</v>
      </c>
      <c r="T8976">
        <v>1779</v>
      </c>
      <c r="U8976">
        <v>231</v>
      </c>
      <c r="V8976">
        <v>76</v>
      </c>
      <c r="W8976">
        <v>28</v>
      </c>
      <c r="X8976">
        <v>596</v>
      </c>
      <c r="Y8976">
        <v>287</v>
      </c>
      <c r="Z8976">
        <v>443</v>
      </c>
      <c r="AA8976">
        <v>458</v>
      </c>
      <c r="AB8976">
        <v>5.4116350000000004</v>
      </c>
      <c r="AC8976">
        <v>2.3595749999999999E-2</v>
      </c>
      <c r="AD8976">
        <v>1.5455760000000001</v>
      </c>
      <c r="AE8976">
        <v>0.27638649999999998</v>
      </c>
      <c r="AF8976">
        <v>380.79579999999999</v>
      </c>
      <c r="AG8976">
        <f>IFERROR(AH8976*0.1, "N/A")</f>
        <v>4.8632040000000005</v>
      </c>
      <c r="AH8976">
        <v>48.632040000000003</v>
      </c>
      <c r="AI8976">
        <v>154.27279999999999</v>
      </c>
      <c r="AJ8976">
        <v>29</v>
      </c>
      <c r="AK8976">
        <v>53</v>
      </c>
    </row>
    <row r="8977" spans="1:37" x14ac:dyDescent="0.3">
      <c r="A8977">
        <v>8976</v>
      </c>
      <c r="B8977">
        <v>55.3</v>
      </c>
      <c r="C8977">
        <v>25.024999999999999</v>
      </c>
      <c r="D8977">
        <v>0.57189299999999998</v>
      </c>
      <c r="E8977" t="s">
        <v>13644</v>
      </c>
      <c r="F8977" t="s">
        <v>13645</v>
      </c>
      <c r="G8977" t="s">
        <v>2420</v>
      </c>
      <c r="H8977">
        <v>1934</v>
      </c>
      <c r="I8977">
        <v>25.3</v>
      </c>
      <c r="J8977">
        <v>9.6999999999999993</v>
      </c>
      <c r="K8977">
        <v>85.725830000000002</v>
      </c>
      <c r="L8977">
        <v>4.999034</v>
      </c>
      <c r="M8977">
        <v>31.254829999999998</v>
      </c>
      <c r="N8977">
        <v>20</v>
      </c>
      <c r="O8977">
        <v>11.25483</v>
      </c>
      <c r="P8977">
        <v>25.1</v>
      </c>
      <c r="Q8977">
        <v>25.427420000000001</v>
      </c>
      <c r="R8977">
        <v>25.9</v>
      </c>
      <c r="S8977">
        <v>24.6</v>
      </c>
      <c r="T8977">
        <v>1779</v>
      </c>
      <c r="U8977">
        <v>231</v>
      </c>
      <c r="V8977">
        <v>76</v>
      </c>
      <c r="W8977">
        <v>28</v>
      </c>
      <c r="X8977">
        <v>596.72580000000005</v>
      </c>
      <c r="Y8977">
        <v>287</v>
      </c>
      <c r="Z8977">
        <v>443</v>
      </c>
      <c r="AA8977">
        <v>458</v>
      </c>
      <c r="AB8977">
        <v>5.5757539999999999</v>
      </c>
      <c r="AC8977">
        <v>2.5477070000000001E-2</v>
      </c>
      <c r="AD8977">
        <v>2.8168299999999999</v>
      </c>
      <c r="AE8977">
        <v>0.29348069999999998</v>
      </c>
      <c r="AF8977">
        <v>380.0949</v>
      </c>
      <c r="AG8977">
        <f>IFERROR(AH8977*0.1, "N/A")</f>
        <v>5.0511420000000005</v>
      </c>
      <c r="AH8977">
        <v>50.511420000000001</v>
      </c>
      <c r="AI8977">
        <v>214.8716</v>
      </c>
      <c r="AJ8977">
        <v>31.300529999999998</v>
      </c>
      <c r="AK8977">
        <v>51.488579999999999</v>
      </c>
    </row>
    <row r="8978" spans="1:37" x14ac:dyDescent="0.3">
      <c r="A8978">
        <v>8977</v>
      </c>
      <c r="B8978">
        <v>95.2</v>
      </c>
      <c r="C8978">
        <v>28.616700000000002</v>
      </c>
      <c r="D8978">
        <v>-1.18333</v>
      </c>
      <c r="E8978" t="s">
        <v>13646</v>
      </c>
      <c r="F8978" t="s">
        <v>13647</v>
      </c>
      <c r="G8978" t="s">
        <v>37</v>
      </c>
      <c r="H8978">
        <v>1998</v>
      </c>
      <c r="I8978">
        <v>18.61037</v>
      </c>
      <c r="J8978">
        <v>10.954129999999999</v>
      </c>
      <c r="K8978">
        <v>89.843590000000006</v>
      </c>
      <c r="L8978">
        <v>3.1528999999999998</v>
      </c>
      <c r="M8978">
        <v>24.69473</v>
      </c>
      <c r="N8978">
        <v>12.52496</v>
      </c>
      <c r="O8978">
        <v>12.16977</v>
      </c>
      <c r="P8978">
        <v>18.393319999999999</v>
      </c>
      <c r="Q8978">
        <v>18.22636</v>
      </c>
      <c r="R8978">
        <v>18.96274</v>
      </c>
      <c r="S8978">
        <v>18.22636</v>
      </c>
      <c r="T8978">
        <v>1663.731</v>
      </c>
      <c r="U8978">
        <v>182.4376</v>
      </c>
      <c r="V8978">
        <v>66.840069999999997</v>
      </c>
      <c r="W8978">
        <v>25.156410000000001</v>
      </c>
      <c r="X8978">
        <v>512.32339999999999</v>
      </c>
      <c r="Y8978">
        <v>268.98239999999998</v>
      </c>
      <c r="Z8978">
        <v>479.81549999999999</v>
      </c>
      <c r="AA8978">
        <v>268.98239999999998</v>
      </c>
      <c r="AB8978">
        <v>262.50920000000002</v>
      </c>
      <c r="AC8978">
        <v>1.8158520000000001E-2</v>
      </c>
      <c r="AD8978">
        <v>24.820409999999999</v>
      </c>
      <c r="AE8978">
        <v>0.12945860000000001</v>
      </c>
      <c r="AF8978">
        <v>1709.5609999999999</v>
      </c>
      <c r="AG8978">
        <f>IFERROR(AH8978*0.1, "N/A")</f>
        <v>4.7014060000000004</v>
      </c>
      <c r="AH8978">
        <v>47.014060000000001</v>
      </c>
      <c r="AI8978">
        <v>21.84844</v>
      </c>
      <c r="AJ8978">
        <v>34.05097</v>
      </c>
      <c r="AK8978">
        <v>37.945520000000002</v>
      </c>
    </row>
    <row r="8979" spans="1:37" x14ac:dyDescent="0.3">
      <c r="A8979">
        <v>8978</v>
      </c>
      <c r="B8979">
        <v>96</v>
      </c>
      <c r="C8979">
        <v>26.7577</v>
      </c>
      <c r="D8979">
        <v>-2.4091900000000002</v>
      </c>
      <c r="E8979" t="s">
        <v>13648</v>
      </c>
      <c r="F8979" t="s">
        <v>13649</v>
      </c>
      <c r="G8979" t="s">
        <v>37</v>
      </c>
      <c r="H8979">
        <v>1987</v>
      </c>
      <c r="I8979">
        <v>24.2</v>
      </c>
      <c r="J8979">
        <v>10.3</v>
      </c>
      <c r="K8979">
        <v>89</v>
      </c>
      <c r="L8979">
        <v>3.0062039999999999</v>
      </c>
      <c r="M8979">
        <v>29.8</v>
      </c>
      <c r="N8979">
        <v>18.3</v>
      </c>
      <c r="O8979">
        <v>11.5</v>
      </c>
      <c r="P8979">
        <v>24.1</v>
      </c>
      <c r="Q8979">
        <v>23.7</v>
      </c>
      <c r="R8979">
        <v>24.4</v>
      </c>
      <c r="S8979">
        <v>23.7</v>
      </c>
      <c r="T8979">
        <v>2121.527</v>
      </c>
      <c r="U8979">
        <v>282</v>
      </c>
      <c r="V8979">
        <v>67.172229999999999</v>
      </c>
      <c r="W8979">
        <v>40</v>
      </c>
      <c r="X8979">
        <v>780</v>
      </c>
      <c r="Y8979">
        <v>233.51669999999999</v>
      </c>
      <c r="Z8979">
        <v>620.8383</v>
      </c>
      <c r="AA8979">
        <v>233.51669999999999</v>
      </c>
      <c r="AB8979">
        <v>40.405999999999999</v>
      </c>
      <c r="AC8979">
        <v>7.4702690000000002E-2</v>
      </c>
      <c r="AD8979">
        <v>5.6042490000000003</v>
      </c>
      <c r="AE8979">
        <v>0.1829395</v>
      </c>
      <c r="AF8979">
        <v>567.04039999999998</v>
      </c>
      <c r="AG8979">
        <f>IFERROR(AH8979*0.1, "N/A")</f>
        <v>5.1495610000000003</v>
      </c>
      <c r="AH8979">
        <v>51.495609999999999</v>
      </c>
      <c r="AI8979">
        <v>245.46549999999999</v>
      </c>
      <c r="AJ8979">
        <v>37.913879999999999</v>
      </c>
      <c r="AK8979">
        <v>46.342709999999997</v>
      </c>
    </row>
    <row r="8980" spans="1:37" x14ac:dyDescent="0.3">
      <c r="A8980">
        <v>8979</v>
      </c>
      <c r="B8980">
        <v>19</v>
      </c>
      <c r="C8980">
        <v>26.526299999999999</v>
      </c>
      <c r="D8980">
        <v>-2.5537899999999998</v>
      </c>
      <c r="E8980" t="s">
        <v>13650</v>
      </c>
      <c r="F8980" t="s">
        <v>13651</v>
      </c>
      <c r="G8980" t="s">
        <v>37</v>
      </c>
      <c r="H8980">
        <v>1987</v>
      </c>
      <c r="I8980">
        <v>23.9</v>
      </c>
      <c r="J8980">
        <v>10.1</v>
      </c>
      <c r="K8980">
        <v>90</v>
      </c>
      <c r="L8980">
        <v>2.82</v>
      </c>
      <c r="M8980">
        <v>29.3</v>
      </c>
      <c r="N8980">
        <v>18.100000000000001</v>
      </c>
      <c r="O8980">
        <v>11.2</v>
      </c>
      <c r="P8980">
        <v>23.9</v>
      </c>
      <c r="Q8980">
        <v>23.4</v>
      </c>
      <c r="R8980">
        <v>24.1</v>
      </c>
      <c r="S8980">
        <v>23.4</v>
      </c>
      <c r="T8980">
        <v>2103</v>
      </c>
      <c r="U8980">
        <v>291</v>
      </c>
      <c r="V8980">
        <v>55</v>
      </c>
      <c r="W8980">
        <v>44</v>
      </c>
      <c r="X8980">
        <v>784</v>
      </c>
      <c r="Y8980">
        <v>205</v>
      </c>
      <c r="Z8980">
        <v>636</v>
      </c>
      <c r="AA8980">
        <v>205</v>
      </c>
      <c r="AB8980">
        <v>32.497520000000002</v>
      </c>
      <c r="AC8980">
        <v>8.8547060000000004E-3</v>
      </c>
      <c r="AD8980">
        <v>3.2121909999999998</v>
      </c>
      <c r="AE8980">
        <v>0.13980970000000001</v>
      </c>
      <c r="AF8980">
        <v>647.29349999999999</v>
      </c>
      <c r="AG8980">
        <f>IFERROR(AH8980*0.1, "N/A")</f>
        <v>5.1980670000000009</v>
      </c>
      <c r="AH8980">
        <v>51.980670000000003</v>
      </c>
      <c r="AI8980">
        <v>178.71789999999999</v>
      </c>
      <c r="AJ8980">
        <v>36.03866</v>
      </c>
      <c r="AK8980">
        <v>47.980670000000003</v>
      </c>
    </row>
    <row r="8981" spans="1:37" x14ac:dyDescent="0.3">
      <c r="A8981">
        <v>8980</v>
      </c>
      <c r="B8981">
        <v>33.299999999999997</v>
      </c>
      <c r="C8981">
        <v>25.920200000000001</v>
      </c>
      <c r="D8981">
        <v>-2.9475600000000002</v>
      </c>
      <c r="E8981" t="s">
        <v>13652</v>
      </c>
      <c r="F8981" t="s">
        <v>13653</v>
      </c>
      <c r="G8981" t="s">
        <v>39</v>
      </c>
      <c r="H8981">
        <v>1980</v>
      </c>
      <c r="I8981">
        <v>25.4</v>
      </c>
      <c r="J8981">
        <v>9.8000000000000007</v>
      </c>
      <c r="K8981">
        <v>85</v>
      </c>
      <c r="L8981">
        <v>4.5</v>
      </c>
      <c r="M8981">
        <v>30.9</v>
      </c>
      <c r="N8981">
        <v>19.5</v>
      </c>
      <c r="O8981">
        <v>11.4</v>
      </c>
      <c r="P8981">
        <v>25.3</v>
      </c>
      <c r="Q8981">
        <v>24.7</v>
      </c>
      <c r="R8981">
        <v>25.9</v>
      </c>
      <c r="S8981">
        <v>24.7</v>
      </c>
      <c r="T8981">
        <v>1652</v>
      </c>
      <c r="U8981">
        <v>222</v>
      </c>
      <c r="V8981">
        <v>30</v>
      </c>
      <c r="W8981">
        <v>44</v>
      </c>
      <c r="X8981">
        <v>611</v>
      </c>
      <c r="Y8981">
        <v>151</v>
      </c>
      <c r="Z8981">
        <v>467</v>
      </c>
      <c r="AA8981">
        <v>151</v>
      </c>
      <c r="AB8981">
        <v>6.6239350000000004</v>
      </c>
      <c r="AC8981">
        <v>3.3891579999999998E-2</v>
      </c>
      <c r="AD8981">
        <v>1.36067</v>
      </c>
      <c r="AE8981">
        <v>0.77545399999999998</v>
      </c>
      <c r="AF8981">
        <v>460.67250000000001</v>
      </c>
      <c r="AG8981">
        <f>IFERROR(AH8981*0.1, "N/A")</f>
        <v>5.7957749999999999</v>
      </c>
      <c r="AH8981">
        <v>57.957749999999997</v>
      </c>
      <c r="AI8981">
        <v>82.884839999999997</v>
      </c>
      <c r="AJ8981">
        <v>21.021129999999999</v>
      </c>
      <c r="AK8981">
        <v>55</v>
      </c>
    </row>
    <row r="8982" spans="1:37" x14ac:dyDescent="0.3">
      <c r="A8982">
        <v>8981</v>
      </c>
      <c r="B8982">
        <v>0</v>
      </c>
      <c r="C8982">
        <v>25.920200000000001</v>
      </c>
      <c r="D8982">
        <v>-2.9475600000000002</v>
      </c>
      <c r="E8982" t="s">
        <v>13652</v>
      </c>
      <c r="F8982" t="s">
        <v>13654</v>
      </c>
      <c r="G8982" t="s">
        <v>37</v>
      </c>
      <c r="H8982">
        <v>1980</v>
      </c>
      <c r="I8982">
        <v>25.4</v>
      </c>
      <c r="J8982">
        <v>9.8000000000000007</v>
      </c>
      <c r="K8982">
        <v>85</v>
      </c>
      <c r="L8982">
        <v>4.5</v>
      </c>
      <c r="M8982">
        <v>30.9</v>
      </c>
      <c r="N8982">
        <v>19.5</v>
      </c>
      <c r="O8982">
        <v>11.4</v>
      </c>
      <c r="P8982">
        <v>25.3</v>
      </c>
      <c r="Q8982">
        <v>24.7</v>
      </c>
      <c r="R8982">
        <v>25.9</v>
      </c>
      <c r="S8982">
        <v>24.7</v>
      </c>
      <c r="T8982">
        <v>1652</v>
      </c>
      <c r="U8982">
        <v>222</v>
      </c>
      <c r="V8982">
        <v>30</v>
      </c>
      <c r="W8982">
        <v>44</v>
      </c>
      <c r="X8982">
        <v>611</v>
      </c>
      <c r="Y8982">
        <v>151</v>
      </c>
      <c r="Z8982">
        <v>467</v>
      </c>
      <c r="AA8982">
        <v>151</v>
      </c>
      <c r="AB8982">
        <v>6.6239350000000004</v>
      </c>
      <c r="AC8982">
        <v>3.3891579999999998E-2</v>
      </c>
      <c r="AD8982">
        <v>1.36067</v>
      </c>
      <c r="AE8982">
        <v>0.77545399999999998</v>
      </c>
      <c r="AF8982">
        <v>460.67250000000001</v>
      </c>
      <c r="AG8982">
        <f>IFERROR(AH8982*0.1, "N/A")</f>
        <v>5.7957749999999999</v>
      </c>
      <c r="AH8982">
        <v>57.957749999999997</v>
      </c>
      <c r="AI8982">
        <v>82.884839999999997</v>
      </c>
      <c r="AJ8982">
        <v>21.021129999999999</v>
      </c>
      <c r="AK8982">
        <v>55</v>
      </c>
    </row>
    <row r="8983" spans="1:37" x14ac:dyDescent="0.3">
      <c r="A8983">
        <v>8982</v>
      </c>
      <c r="B8983">
        <v>21</v>
      </c>
      <c r="C8983">
        <v>15.2743</v>
      </c>
      <c r="D8983">
        <v>-4.33805</v>
      </c>
      <c r="E8983" t="s">
        <v>13655</v>
      </c>
      <c r="F8983" t="s">
        <v>13656</v>
      </c>
      <c r="G8983" t="s">
        <v>37</v>
      </c>
      <c r="H8983">
        <v>1977</v>
      </c>
      <c r="I8983">
        <v>25.402809999999999</v>
      </c>
      <c r="J8983">
        <v>9.6999999999999993</v>
      </c>
      <c r="K8983">
        <v>67.97193</v>
      </c>
      <c r="L8983">
        <v>13.32944</v>
      </c>
      <c r="M8983">
        <v>31.902809999999999</v>
      </c>
      <c r="N8983">
        <v>17.7</v>
      </c>
      <c r="O8983">
        <v>14.202809999999999</v>
      </c>
      <c r="P8983">
        <v>25.8</v>
      </c>
      <c r="Q8983">
        <v>23.3</v>
      </c>
      <c r="R8983">
        <v>26.6</v>
      </c>
      <c r="S8983">
        <v>23.3</v>
      </c>
      <c r="T8983">
        <v>1358.056</v>
      </c>
      <c r="U8983">
        <v>250</v>
      </c>
      <c r="V8983">
        <v>2</v>
      </c>
      <c r="W8983">
        <v>70</v>
      </c>
      <c r="X8983">
        <v>564.02809999999999</v>
      </c>
      <c r="Y8983">
        <v>11</v>
      </c>
      <c r="Z8983">
        <v>499.05610000000001</v>
      </c>
      <c r="AA8983">
        <v>11</v>
      </c>
      <c r="AB8983">
        <v>1.1057939999999999</v>
      </c>
      <c r="AC8983">
        <v>4.9072420000000001</v>
      </c>
      <c r="AD8983">
        <v>2.5530499999999998</v>
      </c>
      <c r="AE8983">
        <v>0.94568739999999996</v>
      </c>
      <c r="AF8983">
        <v>282.19119999999998</v>
      </c>
      <c r="AG8983">
        <f>IFERROR(AH8983*0.1, "N/A")</f>
        <v>6.4385960000000004</v>
      </c>
      <c r="AH8983">
        <v>64.385959999999997</v>
      </c>
      <c r="AI8983">
        <v>268.75310000000002</v>
      </c>
      <c r="AJ8983">
        <v>31.41404</v>
      </c>
      <c r="AK8983">
        <v>47.056139999999999</v>
      </c>
    </row>
    <row r="8984" spans="1:37" x14ac:dyDescent="0.3">
      <c r="A8984">
        <v>8983</v>
      </c>
      <c r="B8984">
        <v>28.6</v>
      </c>
      <c r="C8984">
        <v>15.216699999999999</v>
      </c>
      <c r="D8984">
        <v>-4.3384400000000003</v>
      </c>
      <c r="E8984" t="s">
        <v>13657</v>
      </c>
      <c r="F8984" t="s">
        <v>13658</v>
      </c>
      <c r="G8984" t="s">
        <v>2420</v>
      </c>
      <c r="H8984">
        <v>1987</v>
      </c>
      <c r="I8984">
        <v>25.57404</v>
      </c>
      <c r="J8984">
        <v>9.8000000000000007</v>
      </c>
      <c r="K8984">
        <v>67.629819999999995</v>
      </c>
      <c r="L8984">
        <v>13.657400000000001</v>
      </c>
      <c r="M8984">
        <v>32.174030000000002</v>
      </c>
      <c r="N8984">
        <v>17.737020000000001</v>
      </c>
      <c r="O8984">
        <v>14.43702</v>
      </c>
      <c r="P8984">
        <v>25.93702</v>
      </c>
      <c r="Q8984">
        <v>23.337019999999999</v>
      </c>
      <c r="R8984">
        <v>26.774039999999999</v>
      </c>
      <c r="S8984">
        <v>23.337019999999999</v>
      </c>
      <c r="T8984">
        <v>1345.039</v>
      </c>
      <c r="U8984">
        <v>250.62979999999999</v>
      </c>
      <c r="V8984">
        <v>2</v>
      </c>
      <c r="W8984">
        <v>71.370180000000005</v>
      </c>
      <c r="X8984">
        <v>561.8895</v>
      </c>
      <c r="Y8984">
        <v>10.62982</v>
      </c>
      <c r="Z8984">
        <v>495.48070000000001</v>
      </c>
      <c r="AA8984">
        <v>10.62982</v>
      </c>
      <c r="AB8984">
        <v>4.1586049999999997</v>
      </c>
      <c r="AC8984">
        <v>9.4390399999999999E-2</v>
      </c>
      <c r="AD8984">
        <v>1.5039340000000001</v>
      </c>
      <c r="AE8984">
        <v>0.8946347</v>
      </c>
      <c r="AF8984">
        <v>268.90699999999998</v>
      </c>
      <c r="AG8984">
        <f>IFERROR(AH8984*0.1, "N/A")</f>
        <v>6.0401750000000005</v>
      </c>
      <c r="AH8984">
        <v>60.40175</v>
      </c>
      <c r="AI8984">
        <v>131.35239999999999</v>
      </c>
      <c r="AJ8984">
        <v>32.426319999999997</v>
      </c>
      <c r="AK8984">
        <v>46.543860000000002</v>
      </c>
    </row>
    <row r="8985" spans="1:37" x14ac:dyDescent="0.3">
      <c r="A8985">
        <v>8984</v>
      </c>
      <c r="B8985">
        <v>19.3</v>
      </c>
      <c r="C8985">
        <v>15.270200000000001</v>
      </c>
      <c r="D8985">
        <v>-4.3384799999999997</v>
      </c>
      <c r="E8985" t="s">
        <v>13659</v>
      </c>
      <c r="F8985" t="s">
        <v>13660</v>
      </c>
      <c r="G8985" t="s">
        <v>37</v>
      </c>
      <c r="H8985">
        <v>1977</v>
      </c>
      <c r="I8985">
        <v>25.4</v>
      </c>
      <c r="J8985">
        <v>9.6999999999999993</v>
      </c>
      <c r="K8985">
        <v>68</v>
      </c>
      <c r="L8985">
        <v>13.33</v>
      </c>
      <c r="M8985">
        <v>31.9</v>
      </c>
      <c r="N8985">
        <v>17.7</v>
      </c>
      <c r="O8985">
        <v>14.2</v>
      </c>
      <c r="P8985">
        <v>25.8</v>
      </c>
      <c r="Q8985">
        <v>23.3</v>
      </c>
      <c r="R8985">
        <v>26.6</v>
      </c>
      <c r="S8985">
        <v>23.3</v>
      </c>
      <c r="T8985">
        <v>1358</v>
      </c>
      <c r="U8985">
        <v>250</v>
      </c>
      <c r="V8985">
        <v>2</v>
      </c>
      <c r="W8985">
        <v>70</v>
      </c>
      <c r="X8985">
        <v>564</v>
      </c>
      <c r="Y8985">
        <v>11</v>
      </c>
      <c r="Z8985">
        <v>499</v>
      </c>
      <c r="AA8985">
        <v>11</v>
      </c>
      <c r="AB8985">
        <v>8.0147150000000007</v>
      </c>
      <c r="AC8985">
        <v>1.921225E-2</v>
      </c>
      <c r="AD8985">
        <v>0.70003780000000004</v>
      </c>
      <c r="AE8985">
        <v>0.93762160000000005</v>
      </c>
      <c r="AF8985">
        <v>288.4991</v>
      </c>
      <c r="AG8985">
        <f>IFERROR(AH8985*0.1, "N/A")</f>
        <v>6.3304730000000005</v>
      </c>
      <c r="AH8985">
        <v>63.304729999999999</v>
      </c>
      <c r="AI8985">
        <v>125.5107</v>
      </c>
      <c r="AJ8985">
        <v>27.837129999999998</v>
      </c>
      <c r="AK8985">
        <v>50.879159999999999</v>
      </c>
    </row>
    <row r="8986" spans="1:37" x14ac:dyDescent="0.3">
      <c r="A8986">
        <v>8985</v>
      </c>
      <c r="B8986">
        <v>4.0999999999999996</v>
      </c>
      <c r="C8986">
        <v>15.268000000000001</v>
      </c>
      <c r="D8986">
        <v>-4.3408600000000002</v>
      </c>
      <c r="E8986" t="s">
        <v>13661</v>
      </c>
      <c r="F8986" t="s">
        <v>13662</v>
      </c>
      <c r="G8986" t="s">
        <v>37</v>
      </c>
      <c r="H8986">
        <v>1976</v>
      </c>
      <c r="I8986">
        <v>25.4</v>
      </c>
      <c r="J8986">
        <v>9.6999999999999993</v>
      </c>
      <c r="K8986">
        <v>68</v>
      </c>
      <c r="L8986">
        <v>13.32701</v>
      </c>
      <c r="M8986">
        <v>31.9</v>
      </c>
      <c r="N8986">
        <v>17.7</v>
      </c>
      <c r="O8986">
        <v>14.2</v>
      </c>
      <c r="P8986">
        <v>25.8</v>
      </c>
      <c r="Q8986">
        <v>23.3</v>
      </c>
      <c r="R8986">
        <v>26.6</v>
      </c>
      <c r="S8986">
        <v>23.3</v>
      </c>
      <c r="T8986">
        <v>1358</v>
      </c>
      <c r="U8986">
        <v>250</v>
      </c>
      <c r="V8986">
        <v>2</v>
      </c>
      <c r="W8986">
        <v>70</v>
      </c>
      <c r="X8986">
        <v>564</v>
      </c>
      <c r="Y8986">
        <v>11</v>
      </c>
      <c r="Z8986">
        <v>499.01760000000002</v>
      </c>
      <c r="AA8986">
        <v>11</v>
      </c>
      <c r="AB8986">
        <v>5.5464799999999999</v>
      </c>
      <c r="AC8986">
        <v>1.542692E-2</v>
      </c>
      <c r="AD8986">
        <v>1.02197</v>
      </c>
      <c r="AE8986">
        <v>0.93439919999999999</v>
      </c>
      <c r="AF8986">
        <v>290.38200000000001</v>
      </c>
      <c r="AG8986">
        <f>IFERROR(AH8986*0.1, "N/A")</f>
        <v>6.1026410000000002</v>
      </c>
      <c r="AH8986">
        <v>61.026409999999998</v>
      </c>
      <c r="AI8986">
        <v>94.668260000000004</v>
      </c>
      <c r="AJ8986">
        <v>26.327459999999999</v>
      </c>
      <c r="AK8986">
        <v>56.61092</v>
      </c>
    </row>
    <row r="8987" spans="1:37" x14ac:dyDescent="0.3">
      <c r="A8987">
        <v>8986</v>
      </c>
      <c r="B8987">
        <v>0</v>
      </c>
      <c r="C8987">
        <v>15.268000000000001</v>
      </c>
      <c r="D8987">
        <v>-4.3408600000000002</v>
      </c>
      <c r="E8987" t="s">
        <v>13661</v>
      </c>
      <c r="F8987" t="s">
        <v>13663</v>
      </c>
      <c r="G8987" t="s">
        <v>39</v>
      </c>
      <c r="H8987">
        <v>1976</v>
      </c>
      <c r="I8987">
        <v>25.4</v>
      </c>
      <c r="J8987">
        <v>9.6999999999999993</v>
      </c>
      <c r="K8987">
        <v>68</v>
      </c>
      <c r="L8987">
        <v>13.32701</v>
      </c>
      <c r="M8987">
        <v>31.9</v>
      </c>
      <c r="N8987">
        <v>17.7</v>
      </c>
      <c r="O8987">
        <v>14.2</v>
      </c>
      <c r="P8987">
        <v>25.8</v>
      </c>
      <c r="Q8987">
        <v>23.3</v>
      </c>
      <c r="R8987">
        <v>26.6</v>
      </c>
      <c r="S8987">
        <v>23.3</v>
      </c>
      <c r="T8987">
        <v>1358</v>
      </c>
      <c r="U8987">
        <v>250</v>
      </c>
      <c r="V8987">
        <v>2</v>
      </c>
      <c r="W8987">
        <v>70</v>
      </c>
      <c r="X8987">
        <v>564</v>
      </c>
      <c r="Y8987">
        <v>11</v>
      </c>
      <c r="Z8987">
        <v>499.01760000000002</v>
      </c>
      <c r="AA8987">
        <v>11</v>
      </c>
      <c r="AB8987">
        <v>5.5464799999999999</v>
      </c>
      <c r="AC8987">
        <v>1.542692E-2</v>
      </c>
      <c r="AD8987">
        <v>1.02197</v>
      </c>
      <c r="AE8987">
        <v>0.93439919999999999</v>
      </c>
      <c r="AF8987">
        <v>290.38200000000001</v>
      </c>
      <c r="AG8987">
        <f>IFERROR(AH8987*0.1, "N/A")</f>
        <v>6.1026410000000002</v>
      </c>
      <c r="AH8987">
        <v>61.026409999999998</v>
      </c>
      <c r="AI8987">
        <v>94.668260000000004</v>
      </c>
      <c r="AJ8987">
        <v>26.327459999999999</v>
      </c>
      <c r="AK8987">
        <v>56.61092</v>
      </c>
    </row>
    <row r="8988" spans="1:37" x14ac:dyDescent="0.3">
      <c r="A8988">
        <v>8987</v>
      </c>
      <c r="B8988">
        <v>4</v>
      </c>
      <c r="C8988">
        <v>15.2758</v>
      </c>
      <c r="D8988">
        <v>-4.3423299999999996</v>
      </c>
      <c r="E8988" t="s">
        <v>13664</v>
      </c>
      <c r="F8988" t="s">
        <v>13665</v>
      </c>
      <c r="G8988" t="s">
        <v>37</v>
      </c>
      <c r="H8988">
        <v>1976</v>
      </c>
      <c r="I8988">
        <v>25.402100000000001</v>
      </c>
      <c r="J8988">
        <v>9.6999999999999993</v>
      </c>
      <c r="K8988">
        <v>67</v>
      </c>
      <c r="L8988">
        <v>13.447050000000001</v>
      </c>
      <c r="M8988">
        <v>31.902100000000001</v>
      </c>
      <c r="N8988">
        <v>17.60211</v>
      </c>
      <c r="O8988">
        <v>14.3</v>
      </c>
      <c r="P8988">
        <v>25.702110000000001</v>
      </c>
      <c r="Q8988">
        <v>23.202110000000001</v>
      </c>
      <c r="R8988">
        <v>26.6</v>
      </c>
      <c r="S8988">
        <v>23.202110000000001</v>
      </c>
      <c r="T8988">
        <v>1360.979</v>
      </c>
      <c r="U8988">
        <v>250</v>
      </c>
      <c r="V8988">
        <v>2</v>
      </c>
      <c r="W8988">
        <v>70</v>
      </c>
      <c r="X8988">
        <v>564.02110000000005</v>
      </c>
      <c r="Y8988">
        <v>11</v>
      </c>
      <c r="Z8988">
        <v>501</v>
      </c>
      <c r="AA8988">
        <v>11</v>
      </c>
      <c r="AB8988">
        <v>8.029833</v>
      </c>
      <c r="AC8988">
        <v>2.9205200000000001E-2</v>
      </c>
      <c r="AD8988">
        <v>0.9507485</v>
      </c>
      <c r="AE8988">
        <v>0.941743</v>
      </c>
      <c r="AF8988">
        <v>288.54559999999998</v>
      </c>
      <c r="AG8988">
        <f>IFERROR(AH8988*0.1, "N/A")</f>
        <v>6.5238600000000009</v>
      </c>
      <c r="AH8988">
        <v>65.238600000000005</v>
      </c>
      <c r="AI8988">
        <v>107.5415</v>
      </c>
      <c r="AJ8988">
        <v>28</v>
      </c>
      <c r="AK8988">
        <v>49.142110000000002</v>
      </c>
    </row>
    <row r="8989" spans="1:37" x14ac:dyDescent="0.3">
      <c r="A8989">
        <v>8988</v>
      </c>
      <c r="B8989">
        <v>7.3</v>
      </c>
      <c r="C8989">
        <v>15.276899999999999</v>
      </c>
      <c r="D8989">
        <v>-4.35243</v>
      </c>
      <c r="E8989" t="s">
        <v>13666</v>
      </c>
      <c r="F8989" t="s">
        <v>13667</v>
      </c>
      <c r="G8989" t="s">
        <v>37</v>
      </c>
      <c r="H8989">
        <v>1977</v>
      </c>
      <c r="I8989">
        <v>25.4</v>
      </c>
      <c r="J8989">
        <v>9.6999999999999993</v>
      </c>
      <c r="K8989">
        <v>67</v>
      </c>
      <c r="L8989">
        <v>13.28</v>
      </c>
      <c r="M8989">
        <v>31.9</v>
      </c>
      <c r="N8989">
        <v>17.600000000000001</v>
      </c>
      <c r="O8989">
        <v>14.3</v>
      </c>
      <c r="P8989">
        <v>25.8</v>
      </c>
      <c r="Q8989">
        <v>23.2</v>
      </c>
      <c r="R8989">
        <v>26.5</v>
      </c>
      <c r="S8989">
        <v>23.2</v>
      </c>
      <c r="T8989">
        <v>1360</v>
      </c>
      <c r="U8989">
        <v>250</v>
      </c>
      <c r="V8989">
        <v>2</v>
      </c>
      <c r="W8989">
        <v>71</v>
      </c>
      <c r="X8989">
        <v>564</v>
      </c>
      <c r="Y8989">
        <v>11</v>
      </c>
      <c r="Z8989">
        <v>501</v>
      </c>
      <c r="AA8989">
        <v>11</v>
      </c>
      <c r="AB8989">
        <v>5.5771430000000004</v>
      </c>
      <c r="AC8989">
        <v>8.5237019999999993E-3</v>
      </c>
      <c r="AD8989">
        <v>1.2056849999999999</v>
      </c>
      <c r="AE8989">
        <v>0.92147780000000001</v>
      </c>
      <c r="AF8989">
        <v>294.49380000000002</v>
      </c>
      <c r="AG8989">
        <f>IFERROR(AH8989*0.1, "N/A")</f>
        <v>6.2355010000000002</v>
      </c>
      <c r="AH8989">
        <v>62.35501</v>
      </c>
      <c r="AI8989">
        <v>284.24110000000002</v>
      </c>
      <c r="AJ8989">
        <v>25.996490000000001</v>
      </c>
      <c r="AK8989">
        <v>59.64499</v>
      </c>
    </row>
    <row r="8990" spans="1:37" x14ac:dyDescent="0.3">
      <c r="A8990">
        <v>8989</v>
      </c>
      <c r="B8990">
        <v>0</v>
      </c>
      <c r="C8990">
        <v>26.5794</v>
      </c>
      <c r="D8990">
        <v>-4.5291699999999997</v>
      </c>
      <c r="E8990" t="s">
        <v>13668</v>
      </c>
      <c r="F8990" t="s">
        <v>13669</v>
      </c>
      <c r="G8990" t="s">
        <v>39</v>
      </c>
      <c r="H8990">
        <v>1980</v>
      </c>
      <c r="I8990">
        <v>25.7</v>
      </c>
      <c r="J8990">
        <v>11.4</v>
      </c>
      <c r="K8990">
        <v>79</v>
      </c>
      <c r="L8990">
        <v>3.72</v>
      </c>
      <c r="M8990">
        <v>32.6</v>
      </c>
      <c r="N8990">
        <v>18.3</v>
      </c>
      <c r="O8990">
        <v>14.3</v>
      </c>
      <c r="P8990">
        <v>25.3</v>
      </c>
      <c r="Q8990">
        <v>25.5</v>
      </c>
      <c r="R8990">
        <v>26.2</v>
      </c>
      <c r="S8990">
        <v>25.3</v>
      </c>
      <c r="T8990">
        <v>1377</v>
      </c>
      <c r="U8990">
        <v>191</v>
      </c>
      <c r="V8990">
        <v>8</v>
      </c>
      <c r="W8990">
        <v>56</v>
      </c>
      <c r="X8990">
        <v>554</v>
      </c>
      <c r="Y8990">
        <v>71</v>
      </c>
      <c r="Z8990">
        <v>382</v>
      </c>
      <c r="AA8990">
        <v>554</v>
      </c>
      <c r="AB8990">
        <v>14.450530000000001</v>
      </c>
      <c r="AC8990">
        <v>3.1126640000000001E-2</v>
      </c>
      <c r="AD8990">
        <v>2.6699459999999999</v>
      </c>
      <c r="AE8990">
        <v>0.17702799999999999</v>
      </c>
      <c r="AF8990">
        <v>485.44040000000001</v>
      </c>
      <c r="AG8990">
        <f>IFERROR(AH8990*0.1, "N/A")</f>
        <v>5.310175000000001</v>
      </c>
      <c r="AH8990">
        <v>53.101750000000003</v>
      </c>
      <c r="AI8990">
        <v>275.61200000000002</v>
      </c>
      <c r="AJ8990">
        <v>24.347370000000002</v>
      </c>
      <c r="AK8990">
        <v>58.101750000000003</v>
      </c>
    </row>
    <row r="8991" spans="1:37" x14ac:dyDescent="0.3">
      <c r="A8991">
        <v>8990</v>
      </c>
      <c r="B8991">
        <v>0</v>
      </c>
      <c r="C8991">
        <v>26.5794</v>
      </c>
      <c r="D8991">
        <v>-4.5291699999999997</v>
      </c>
      <c r="E8991" t="s">
        <v>13668</v>
      </c>
      <c r="F8991" t="s">
        <v>13670</v>
      </c>
      <c r="G8991" t="s">
        <v>37</v>
      </c>
      <c r="H8991">
        <v>1980</v>
      </c>
      <c r="I8991">
        <v>25.7</v>
      </c>
      <c r="J8991">
        <v>11.4</v>
      </c>
      <c r="K8991">
        <v>79</v>
      </c>
      <c r="L8991">
        <v>3.72</v>
      </c>
      <c r="M8991">
        <v>32.6</v>
      </c>
      <c r="N8991">
        <v>18.3</v>
      </c>
      <c r="O8991">
        <v>14.3</v>
      </c>
      <c r="P8991">
        <v>25.3</v>
      </c>
      <c r="Q8991">
        <v>25.5</v>
      </c>
      <c r="R8991">
        <v>26.2</v>
      </c>
      <c r="S8991">
        <v>25.3</v>
      </c>
      <c r="T8991">
        <v>1377</v>
      </c>
      <c r="U8991">
        <v>191</v>
      </c>
      <c r="V8991">
        <v>8</v>
      </c>
      <c r="W8991">
        <v>56</v>
      </c>
      <c r="X8991">
        <v>554</v>
      </c>
      <c r="Y8991">
        <v>71</v>
      </c>
      <c r="Z8991">
        <v>382</v>
      </c>
      <c r="AA8991">
        <v>554</v>
      </c>
      <c r="AB8991">
        <v>14.450530000000001</v>
      </c>
      <c r="AC8991">
        <v>3.1126640000000001E-2</v>
      </c>
      <c r="AD8991">
        <v>2.6699459999999999</v>
      </c>
      <c r="AE8991">
        <v>0.17702799999999999</v>
      </c>
      <c r="AF8991">
        <v>485.44040000000001</v>
      </c>
      <c r="AG8991">
        <f>IFERROR(AH8991*0.1, "N/A")</f>
        <v>5.310175000000001</v>
      </c>
      <c r="AH8991">
        <v>53.101750000000003</v>
      </c>
      <c r="AI8991">
        <v>275.61200000000002</v>
      </c>
      <c r="AJ8991">
        <v>24.347370000000002</v>
      </c>
      <c r="AK8991">
        <v>58.101750000000003</v>
      </c>
    </row>
    <row r="8992" spans="1:37" x14ac:dyDescent="0.3">
      <c r="A8992">
        <v>8991</v>
      </c>
      <c r="B8992">
        <v>0</v>
      </c>
      <c r="C8992">
        <v>13.1</v>
      </c>
      <c r="D8992">
        <v>-4.9166699999999999</v>
      </c>
      <c r="E8992" t="s">
        <v>13671</v>
      </c>
      <c r="F8992" t="s">
        <v>13672</v>
      </c>
      <c r="G8992" t="s">
        <v>37</v>
      </c>
      <c r="H8992">
        <v>1996</v>
      </c>
      <c r="I8992">
        <v>24.411380000000001</v>
      </c>
      <c r="J8992">
        <v>7.9</v>
      </c>
      <c r="K8992">
        <v>58</v>
      </c>
      <c r="L8992">
        <v>18.309930000000001</v>
      </c>
      <c r="M8992">
        <v>30.671279999999999</v>
      </c>
      <c r="N8992">
        <v>17.110510000000001</v>
      </c>
      <c r="O8992">
        <v>13.56077</v>
      </c>
      <c r="P8992">
        <v>26.071280000000002</v>
      </c>
      <c r="Q8992">
        <v>21.571280000000002</v>
      </c>
      <c r="R8992">
        <v>26.071280000000002</v>
      </c>
      <c r="S8992">
        <v>21.571280000000002</v>
      </c>
      <c r="T8992">
        <v>1259.828</v>
      </c>
      <c r="U8992">
        <v>217.5359</v>
      </c>
      <c r="V8992">
        <v>1</v>
      </c>
      <c r="W8992">
        <v>77.455340000000007</v>
      </c>
      <c r="X8992">
        <v>544.31700000000001</v>
      </c>
      <c r="Y8992">
        <v>6</v>
      </c>
      <c r="Z8992">
        <v>544.31700000000001</v>
      </c>
      <c r="AA8992">
        <v>6</v>
      </c>
      <c r="AB8992">
        <v>11.13592</v>
      </c>
      <c r="AC8992">
        <v>1.4155269999999999E-2</v>
      </c>
      <c r="AD8992">
        <v>5.1141069999999997</v>
      </c>
      <c r="AE8992">
        <v>0.2088719</v>
      </c>
      <c r="AF8992">
        <v>296.26089999999999</v>
      </c>
      <c r="AG8992">
        <f>IFERROR(AH8992*0.1, "N/A")</f>
        <v>5.0823120000000008</v>
      </c>
      <c r="AH8992">
        <v>50.823120000000003</v>
      </c>
      <c r="AI8992">
        <v>93.846649999999997</v>
      </c>
      <c r="AJ8992">
        <v>30.700530000000001</v>
      </c>
      <c r="AK8992">
        <v>44.872149999999998</v>
      </c>
    </row>
    <row r="8993" spans="1:37" x14ac:dyDescent="0.3">
      <c r="A8993">
        <v>8992</v>
      </c>
      <c r="B8993">
        <v>2.9</v>
      </c>
      <c r="C8993">
        <v>13.1</v>
      </c>
      <c r="D8993">
        <v>-4.9166699999999999</v>
      </c>
      <c r="E8993" t="s">
        <v>13671</v>
      </c>
      <c r="F8993" t="s">
        <v>13673</v>
      </c>
      <c r="G8993" t="s">
        <v>39</v>
      </c>
      <c r="H8993">
        <v>1996</v>
      </c>
      <c r="I8993">
        <v>24.411380000000001</v>
      </c>
      <c r="J8993">
        <v>7.9</v>
      </c>
      <c r="K8993">
        <v>58</v>
      </c>
      <c r="L8993">
        <v>18.309930000000001</v>
      </c>
      <c r="M8993">
        <v>30.671279999999999</v>
      </c>
      <c r="N8993">
        <v>17.110510000000001</v>
      </c>
      <c r="O8993">
        <v>13.56077</v>
      </c>
      <c r="P8993">
        <v>26.071280000000002</v>
      </c>
      <c r="Q8993">
        <v>21.571280000000002</v>
      </c>
      <c r="R8993">
        <v>26.071280000000002</v>
      </c>
      <c r="S8993">
        <v>21.571280000000002</v>
      </c>
      <c r="T8993">
        <v>1259.828</v>
      </c>
      <c r="U8993">
        <v>217.5359</v>
      </c>
      <c r="V8993">
        <v>1</v>
      </c>
      <c r="W8993">
        <v>77.455340000000007</v>
      </c>
      <c r="X8993">
        <v>544.31700000000001</v>
      </c>
      <c r="Y8993">
        <v>6</v>
      </c>
      <c r="Z8993">
        <v>544.31700000000001</v>
      </c>
      <c r="AA8993">
        <v>6</v>
      </c>
      <c r="AB8993">
        <v>11.13592</v>
      </c>
      <c r="AC8993">
        <v>1.4155269999999999E-2</v>
      </c>
      <c r="AD8993">
        <v>5.1141069999999997</v>
      </c>
      <c r="AE8993">
        <v>0.2088719</v>
      </c>
      <c r="AF8993">
        <v>296.26089999999999</v>
      </c>
      <c r="AG8993">
        <f>IFERROR(AH8993*0.1, "N/A")</f>
        <v>5.0823120000000008</v>
      </c>
      <c r="AH8993">
        <v>50.823120000000003</v>
      </c>
      <c r="AI8993">
        <v>93.846649999999997</v>
      </c>
      <c r="AJ8993">
        <v>30.700530000000001</v>
      </c>
      <c r="AK8993">
        <v>44.872149999999998</v>
      </c>
    </row>
    <row r="8994" spans="1:37" x14ac:dyDescent="0.3">
      <c r="A8994">
        <v>8993</v>
      </c>
      <c r="B8994">
        <v>0</v>
      </c>
      <c r="C8994">
        <v>12.8667</v>
      </c>
      <c r="D8994">
        <v>-4.9333299999999998</v>
      </c>
      <c r="E8994" t="s">
        <v>13674</v>
      </c>
      <c r="F8994" t="s">
        <v>13675</v>
      </c>
      <c r="G8994" t="s">
        <v>37</v>
      </c>
      <c r="H8994">
        <v>1996</v>
      </c>
      <c r="I8994">
        <v>24.54974</v>
      </c>
      <c r="J8994">
        <v>7.8</v>
      </c>
      <c r="K8994">
        <v>57</v>
      </c>
      <c r="L8994">
        <v>18.500509999999998</v>
      </c>
      <c r="M8994">
        <v>30.849740000000001</v>
      </c>
      <c r="N8994">
        <v>17.29299</v>
      </c>
      <c r="O8994">
        <v>13.55674</v>
      </c>
      <c r="P8994">
        <v>26.249739999999999</v>
      </c>
      <c r="Q8994">
        <v>21.661300000000001</v>
      </c>
      <c r="R8994">
        <v>26.249739999999999</v>
      </c>
      <c r="S8994">
        <v>21.661300000000001</v>
      </c>
      <c r="T8994">
        <v>1276.1369999999999</v>
      </c>
      <c r="U8994">
        <v>218.1961</v>
      </c>
      <c r="V8994">
        <v>1</v>
      </c>
      <c r="W8994">
        <v>77</v>
      </c>
      <c r="X8994">
        <v>558.27670000000001</v>
      </c>
      <c r="Y8994">
        <v>6.6935200000000004</v>
      </c>
      <c r="Z8994">
        <v>558.27670000000001</v>
      </c>
      <c r="AA8994">
        <v>6.6935200000000004</v>
      </c>
      <c r="AB8994">
        <v>2.2042009999999999</v>
      </c>
      <c r="AC8994">
        <v>0.1182067</v>
      </c>
      <c r="AD8994">
        <v>2.5321910000000001</v>
      </c>
      <c r="AE8994">
        <v>0.2124355</v>
      </c>
      <c r="AF8994">
        <v>235.72499999999999</v>
      </c>
      <c r="AG8994">
        <f>IFERROR(AH8994*0.1, "N/A")</f>
        <v>5.1376530000000002</v>
      </c>
      <c r="AH8994">
        <v>51.376530000000002</v>
      </c>
      <c r="AI8994">
        <v>175.29089999999999</v>
      </c>
      <c r="AJ8994">
        <v>25.1296</v>
      </c>
      <c r="AK8994">
        <v>49.870399999999997</v>
      </c>
    </row>
    <row r="8995" spans="1:37" x14ac:dyDescent="0.3">
      <c r="A8995">
        <v>8994</v>
      </c>
      <c r="B8995">
        <v>14</v>
      </c>
      <c r="C8995">
        <v>12.8667</v>
      </c>
      <c r="D8995">
        <v>-4.9333299999999998</v>
      </c>
      <c r="E8995" t="s">
        <v>13674</v>
      </c>
      <c r="F8995" t="s">
        <v>13676</v>
      </c>
      <c r="G8995" t="s">
        <v>39</v>
      </c>
      <c r="H8995">
        <v>1996</v>
      </c>
      <c r="I8995">
        <v>24.54974</v>
      </c>
      <c r="J8995">
        <v>7.8</v>
      </c>
      <c r="K8995">
        <v>57</v>
      </c>
      <c r="L8995">
        <v>18.500509999999998</v>
      </c>
      <c r="M8995">
        <v>30.849740000000001</v>
      </c>
      <c r="N8995">
        <v>17.29299</v>
      </c>
      <c r="O8995">
        <v>13.55674</v>
      </c>
      <c r="P8995">
        <v>26.249739999999999</v>
      </c>
      <c r="Q8995">
        <v>21.661300000000001</v>
      </c>
      <c r="R8995">
        <v>26.249739999999999</v>
      </c>
      <c r="S8995">
        <v>21.661300000000001</v>
      </c>
      <c r="T8995">
        <v>1276.1369999999999</v>
      </c>
      <c r="U8995">
        <v>218.1961</v>
      </c>
      <c r="V8995">
        <v>1</v>
      </c>
      <c r="W8995">
        <v>77</v>
      </c>
      <c r="X8995">
        <v>558.27670000000001</v>
      </c>
      <c r="Y8995">
        <v>6.6935200000000004</v>
      </c>
      <c r="Z8995">
        <v>558.27670000000001</v>
      </c>
      <c r="AA8995">
        <v>6.6935200000000004</v>
      </c>
      <c r="AB8995">
        <v>2.2042009999999999</v>
      </c>
      <c r="AC8995">
        <v>0.1182067</v>
      </c>
      <c r="AD8995">
        <v>2.5321910000000001</v>
      </c>
      <c r="AE8995">
        <v>0.2124355</v>
      </c>
      <c r="AF8995">
        <v>235.72499999999999</v>
      </c>
      <c r="AG8995">
        <f>IFERROR(AH8995*0.1, "N/A")</f>
        <v>5.1376530000000002</v>
      </c>
      <c r="AH8995">
        <v>51.376530000000002</v>
      </c>
      <c r="AI8995">
        <v>175.29089999999999</v>
      </c>
      <c r="AJ8995">
        <v>25.1296</v>
      </c>
      <c r="AK8995">
        <v>49.870399999999997</v>
      </c>
    </row>
    <row r="8996" spans="1:37" x14ac:dyDescent="0.3">
      <c r="A8996">
        <v>8995</v>
      </c>
      <c r="B8996">
        <v>0.9</v>
      </c>
      <c r="C8996">
        <v>13.0167</v>
      </c>
      <c r="D8996">
        <v>-4.95</v>
      </c>
      <c r="E8996" t="s">
        <v>13677</v>
      </c>
      <c r="F8996" t="s">
        <v>13678</v>
      </c>
      <c r="G8996" t="s">
        <v>37</v>
      </c>
      <c r="H8996">
        <v>1996</v>
      </c>
      <c r="I8996">
        <v>24.54956</v>
      </c>
      <c r="J8996">
        <v>7.8084059999999997</v>
      </c>
      <c r="K8996">
        <v>57.084060000000001</v>
      </c>
      <c r="L8996">
        <v>18.371700000000001</v>
      </c>
      <c r="M8996">
        <v>30.84956</v>
      </c>
      <c r="N8996">
        <v>17.3</v>
      </c>
      <c r="O8996">
        <v>13.54956</v>
      </c>
      <c r="P8996">
        <v>26.249559999999999</v>
      </c>
      <c r="Q8996">
        <v>21.7</v>
      </c>
      <c r="R8996">
        <v>26.249559999999999</v>
      </c>
      <c r="S8996">
        <v>21.7</v>
      </c>
      <c r="T8996">
        <v>1263.287</v>
      </c>
      <c r="U8996">
        <v>217.09280000000001</v>
      </c>
      <c r="V8996">
        <v>1</v>
      </c>
      <c r="W8996">
        <v>77</v>
      </c>
      <c r="X8996">
        <v>549.29769999999996</v>
      </c>
      <c r="Y8996">
        <v>6</v>
      </c>
      <c r="Z8996">
        <v>549.29769999999996</v>
      </c>
      <c r="AA8996">
        <v>6</v>
      </c>
      <c r="AB8996">
        <v>8.4122599999999998</v>
      </c>
      <c r="AC8996">
        <v>9.2325510000000003E-3</v>
      </c>
      <c r="AD8996">
        <v>5.1093339999999996</v>
      </c>
      <c r="AE8996">
        <v>0.215311</v>
      </c>
      <c r="AF8996">
        <v>252.33269999999999</v>
      </c>
      <c r="AG8996">
        <f>IFERROR(AH8996*0.1, "N/A")</f>
        <v>5.1595450000000005</v>
      </c>
      <c r="AH8996">
        <v>51.59545</v>
      </c>
      <c r="AI8996">
        <v>305.4461</v>
      </c>
      <c r="AJ8996">
        <v>33.366019999999999</v>
      </c>
      <c r="AK8996">
        <v>43.856389999999998</v>
      </c>
    </row>
    <row r="8997" spans="1:37" x14ac:dyDescent="0.3">
      <c r="A8997">
        <v>8996</v>
      </c>
      <c r="B8997">
        <v>1.7</v>
      </c>
      <c r="C8997">
        <v>13.0167</v>
      </c>
      <c r="D8997">
        <v>-4.95</v>
      </c>
      <c r="E8997" t="s">
        <v>13677</v>
      </c>
      <c r="F8997" t="s">
        <v>13679</v>
      </c>
      <c r="G8997" t="s">
        <v>39</v>
      </c>
      <c r="H8997">
        <v>1996</v>
      </c>
      <c r="I8997">
        <v>24.54956</v>
      </c>
      <c r="J8997">
        <v>7.8084059999999997</v>
      </c>
      <c r="K8997">
        <v>57.084060000000001</v>
      </c>
      <c r="L8997">
        <v>18.371700000000001</v>
      </c>
      <c r="M8997">
        <v>30.84956</v>
      </c>
      <c r="N8997">
        <v>17.3</v>
      </c>
      <c r="O8997">
        <v>13.54956</v>
      </c>
      <c r="P8997">
        <v>26.249559999999999</v>
      </c>
      <c r="Q8997">
        <v>21.7</v>
      </c>
      <c r="R8997">
        <v>26.249559999999999</v>
      </c>
      <c r="S8997">
        <v>21.7</v>
      </c>
      <c r="T8997">
        <v>1263.287</v>
      </c>
      <c r="U8997">
        <v>217.09280000000001</v>
      </c>
      <c r="V8997">
        <v>1</v>
      </c>
      <c r="W8997">
        <v>77</v>
      </c>
      <c r="X8997">
        <v>549.29769999999996</v>
      </c>
      <c r="Y8997">
        <v>6</v>
      </c>
      <c r="Z8997">
        <v>549.29769999999996</v>
      </c>
      <c r="AA8997">
        <v>6</v>
      </c>
      <c r="AB8997">
        <v>8.4122599999999998</v>
      </c>
      <c r="AC8997">
        <v>9.2325510000000003E-3</v>
      </c>
      <c r="AD8997">
        <v>5.1093339999999996</v>
      </c>
      <c r="AE8997">
        <v>0.215311</v>
      </c>
      <c r="AF8997">
        <v>252.33269999999999</v>
      </c>
      <c r="AG8997">
        <f>IFERROR(AH8997*0.1, "N/A")</f>
        <v>5.1595450000000005</v>
      </c>
      <c r="AH8997">
        <v>51.59545</v>
      </c>
      <c r="AI8997">
        <v>305.4461</v>
      </c>
      <c r="AJ8997">
        <v>33.366019999999999</v>
      </c>
      <c r="AK8997">
        <v>43.856389999999998</v>
      </c>
    </row>
    <row r="8998" spans="1:37" x14ac:dyDescent="0.3">
      <c r="A8998">
        <v>8997</v>
      </c>
      <c r="B8998">
        <v>1.5</v>
      </c>
      <c r="C8998">
        <v>12.7217</v>
      </c>
      <c r="D8998">
        <v>-4.9558299999999997</v>
      </c>
      <c r="E8998" t="s">
        <v>13680</v>
      </c>
      <c r="F8998" t="s">
        <v>13681</v>
      </c>
      <c r="G8998" t="s">
        <v>37</v>
      </c>
      <c r="H8998">
        <v>1996</v>
      </c>
      <c r="I8998">
        <v>25.6</v>
      </c>
      <c r="J8998">
        <v>7.5</v>
      </c>
      <c r="K8998">
        <v>55</v>
      </c>
      <c r="L8998">
        <v>18.579999999999998</v>
      </c>
      <c r="M8998">
        <v>31.8</v>
      </c>
      <c r="N8998">
        <v>18.3</v>
      </c>
      <c r="O8998">
        <v>13.5</v>
      </c>
      <c r="P8998">
        <v>27.3</v>
      </c>
      <c r="Q8998">
        <v>22.7</v>
      </c>
      <c r="R8998">
        <v>27.3</v>
      </c>
      <c r="S8998">
        <v>22.7</v>
      </c>
      <c r="T8998">
        <v>1146</v>
      </c>
      <c r="U8998">
        <v>197</v>
      </c>
      <c r="V8998">
        <v>0</v>
      </c>
      <c r="W8998">
        <v>78</v>
      </c>
      <c r="X8998">
        <v>515</v>
      </c>
      <c r="Y8998">
        <v>3</v>
      </c>
      <c r="Z8998">
        <v>515</v>
      </c>
      <c r="AA8998">
        <v>3</v>
      </c>
      <c r="AB8998">
        <v>12.70928</v>
      </c>
      <c r="AC8998">
        <v>4.329856E-2</v>
      </c>
      <c r="AD8998">
        <v>8.2783709999999999</v>
      </c>
      <c r="AE8998">
        <v>0.19803970000000001</v>
      </c>
      <c r="AF8998">
        <v>70.091070000000002</v>
      </c>
      <c r="AG8998">
        <f>IFERROR(AH8998*0.1, "N/A")</f>
        <v>5.2110330000000005</v>
      </c>
      <c r="AH8998">
        <v>52.110329999999998</v>
      </c>
      <c r="AI8998">
        <v>74.683959999999999</v>
      </c>
      <c r="AJ8998">
        <v>25.147110000000001</v>
      </c>
      <c r="AK8998">
        <v>58.03678</v>
      </c>
    </row>
    <row r="8999" spans="1:37" x14ac:dyDescent="0.3">
      <c r="A8999">
        <v>8998</v>
      </c>
      <c r="B8999">
        <v>6.1</v>
      </c>
      <c r="C8999">
        <v>12.7217</v>
      </c>
      <c r="D8999">
        <v>-4.9558299999999997</v>
      </c>
      <c r="E8999" t="s">
        <v>13680</v>
      </c>
      <c r="F8999" t="s">
        <v>13682</v>
      </c>
      <c r="G8999" t="s">
        <v>39</v>
      </c>
      <c r="H8999">
        <v>1996</v>
      </c>
      <c r="I8999">
        <v>25.6</v>
      </c>
      <c r="J8999">
        <v>7.5</v>
      </c>
      <c r="K8999">
        <v>55</v>
      </c>
      <c r="L8999">
        <v>18.579999999999998</v>
      </c>
      <c r="M8999">
        <v>31.8</v>
      </c>
      <c r="N8999">
        <v>18.3</v>
      </c>
      <c r="O8999">
        <v>13.5</v>
      </c>
      <c r="P8999">
        <v>27.3</v>
      </c>
      <c r="Q8999">
        <v>22.7</v>
      </c>
      <c r="R8999">
        <v>27.3</v>
      </c>
      <c r="S8999">
        <v>22.7</v>
      </c>
      <c r="T8999">
        <v>1146</v>
      </c>
      <c r="U8999">
        <v>197</v>
      </c>
      <c r="V8999">
        <v>0</v>
      </c>
      <c r="W8999">
        <v>78</v>
      </c>
      <c r="X8999">
        <v>515</v>
      </c>
      <c r="Y8999">
        <v>3</v>
      </c>
      <c r="Z8999">
        <v>515</v>
      </c>
      <c r="AA8999">
        <v>3</v>
      </c>
      <c r="AB8999">
        <v>12.70928</v>
      </c>
      <c r="AC8999">
        <v>4.329856E-2</v>
      </c>
      <c r="AD8999">
        <v>8.2783709999999999</v>
      </c>
      <c r="AE8999">
        <v>0.19803970000000001</v>
      </c>
      <c r="AF8999">
        <v>70.091070000000002</v>
      </c>
      <c r="AG8999">
        <f>IFERROR(AH8999*0.1, "N/A")</f>
        <v>5.2110330000000005</v>
      </c>
      <c r="AH8999">
        <v>52.110329999999998</v>
      </c>
      <c r="AI8999">
        <v>74.683959999999999</v>
      </c>
      <c r="AJ8999">
        <v>25.147110000000001</v>
      </c>
      <c r="AK8999">
        <v>58.03678</v>
      </c>
    </row>
    <row r="9000" spans="1:37" x14ac:dyDescent="0.3">
      <c r="A9000">
        <v>8999</v>
      </c>
      <c r="B9000">
        <v>1</v>
      </c>
      <c r="C9000">
        <v>13</v>
      </c>
      <c r="D9000">
        <v>-4.9833299999999996</v>
      </c>
      <c r="E9000" t="s">
        <v>13683</v>
      </c>
      <c r="F9000" t="s">
        <v>13684</v>
      </c>
      <c r="G9000" t="s">
        <v>37</v>
      </c>
      <c r="H9000">
        <v>1996</v>
      </c>
      <c r="I9000">
        <v>24.995460000000001</v>
      </c>
      <c r="J9000">
        <v>7.8</v>
      </c>
      <c r="K9000">
        <v>56.837699999999998</v>
      </c>
      <c r="L9000">
        <v>18.312010000000001</v>
      </c>
      <c r="M9000">
        <v>31.295459999999999</v>
      </c>
      <c r="N9000">
        <v>17.698599999999999</v>
      </c>
      <c r="O9000">
        <v>13.59686</v>
      </c>
      <c r="P9000">
        <v>26.67923</v>
      </c>
      <c r="Q9000">
        <v>22.114830000000001</v>
      </c>
      <c r="R9000">
        <v>26.67923</v>
      </c>
      <c r="S9000">
        <v>22.114830000000001</v>
      </c>
      <c r="T9000">
        <v>1232.038</v>
      </c>
      <c r="U9000">
        <v>211.85169999999999</v>
      </c>
      <c r="V9000">
        <v>1</v>
      </c>
      <c r="W9000">
        <v>77.139619999999994</v>
      </c>
      <c r="X9000">
        <v>537.88829999999996</v>
      </c>
      <c r="Y9000">
        <v>6</v>
      </c>
      <c r="Z9000">
        <v>537.88829999999996</v>
      </c>
      <c r="AA9000">
        <v>6</v>
      </c>
      <c r="AB9000">
        <v>31.373480000000001</v>
      </c>
      <c r="AC9000">
        <v>2.9264209999999999E-2</v>
      </c>
      <c r="AD9000">
        <v>6.9610099999999999</v>
      </c>
      <c r="AE9000">
        <v>0.1926177</v>
      </c>
      <c r="AF9000">
        <v>202.53399999999999</v>
      </c>
      <c r="AG9000">
        <f>IFERROR(AH9000*0.1, "N/A")</f>
        <v>5.2113440000000004</v>
      </c>
      <c r="AH9000">
        <v>52.113439999999997</v>
      </c>
      <c r="AI9000">
        <v>247.46119999999999</v>
      </c>
      <c r="AJ9000">
        <v>34.481679999999997</v>
      </c>
      <c r="AK9000">
        <v>43.453749999999999</v>
      </c>
    </row>
    <row r="9001" spans="1:37" x14ac:dyDescent="0.3">
      <c r="A9001">
        <v>9000</v>
      </c>
      <c r="B9001">
        <v>2</v>
      </c>
      <c r="C9001">
        <v>13</v>
      </c>
      <c r="D9001">
        <v>-4.9833299999999996</v>
      </c>
      <c r="E9001" t="s">
        <v>13683</v>
      </c>
      <c r="F9001" t="s">
        <v>13685</v>
      </c>
      <c r="G9001" t="s">
        <v>39</v>
      </c>
      <c r="H9001">
        <v>1996</v>
      </c>
      <c r="I9001">
        <v>24.995460000000001</v>
      </c>
      <c r="J9001">
        <v>7.8</v>
      </c>
      <c r="K9001">
        <v>56.837699999999998</v>
      </c>
      <c r="L9001">
        <v>18.312010000000001</v>
      </c>
      <c r="M9001">
        <v>31.295459999999999</v>
      </c>
      <c r="N9001">
        <v>17.698599999999999</v>
      </c>
      <c r="O9001">
        <v>13.59686</v>
      </c>
      <c r="P9001">
        <v>26.67923</v>
      </c>
      <c r="Q9001">
        <v>22.114830000000001</v>
      </c>
      <c r="R9001">
        <v>26.67923</v>
      </c>
      <c r="S9001">
        <v>22.114830000000001</v>
      </c>
      <c r="T9001">
        <v>1232.038</v>
      </c>
      <c r="U9001">
        <v>211.85169999999999</v>
      </c>
      <c r="V9001">
        <v>1</v>
      </c>
      <c r="W9001">
        <v>77.139619999999994</v>
      </c>
      <c r="X9001">
        <v>537.88829999999996</v>
      </c>
      <c r="Y9001">
        <v>6</v>
      </c>
      <c r="Z9001">
        <v>537.88829999999996</v>
      </c>
      <c r="AA9001">
        <v>6</v>
      </c>
      <c r="AB9001">
        <v>31.373480000000001</v>
      </c>
      <c r="AC9001">
        <v>2.9264209999999999E-2</v>
      </c>
      <c r="AD9001">
        <v>6.9610099999999999</v>
      </c>
      <c r="AE9001">
        <v>0.1926177</v>
      </c>
      <c r="AF9001">
        <v>202.53399999999999</v>
      </c>
      <c r="AG9001">
        <f>IFERROR(AH9001*0.1, "N/A")</f>
        <v>5.2113440000000004</v>
      </c>
      <c r="AH9001">
        <v>52.113439999999997</v>
      </c>
      <c r="AI9001">
        <v>247.46119999999999</v>
      </c>
      <c r="AJ9001">
        <v>34.481679999999997</v>
      </c>
      <c r="AK9001">
        <v>43.453749999999999</v>
      </c>
    </row>
    <row r="9002" spans="1:37" x14ac:dyDescent="0.3">
      <c r="A9002">
        <v>9001</v>
      </c>
      <c r="B9002">
        <v>0</v>
      </c>
      <c r="C9002">
        <v>12.6333</v>
      </c>
      <c r="D9002">
        <v>-5</v>
      </c>
      <c r="E9002" t="s">
        <v>13686</v>
      </c>
      <c r="F9002" t="s">
        <v>13687</v>
      </c>
      <c r="G9002" t="s">
        <v>37</v>
      </c>
      <c r="H9002">
        <v>1996</v>
      </c>
      <c r="I9002">
        <v>25.289280000000002</v>
      </c>
      <c r="J9002">
        <v>7.5</v>
      </c>
      <c r="K9002">
        <v>55</v>
      </c>
      <c r="L9002">
        <v>18.687719999999999</v>
      </c>
      <c r="M9002">
        <v>31.4297</v>
      </c>
      <c r="N9002">
        <v>17.989280000000001</v>
      </c>
      <c r="O9002">
        <v>13.44042</v>
      </c>
      <c r="P9002">
        <v>26.989280000000001</v>
      </c>
      <c r="Q9002">
        <v>22.389279999999999</v>
      </c>
      <c r="R9002">
        <v>26.989280000000001</v>
      </c>
      <c r="S9002">
        <v>22.389279999999999</v>
      </c>
      <c r="T9002">
        <v>1131.3620000000001</v>
      </c>
      <c r="U9002">
        <v>194.40600000000001</v>
      </c>
      <c r="V9002">
        <v>0</v>
      </c>
      <c r="W9002">
        <v>79</v>
      </c>
      <c r="X9002">
        <v>519.14940000000001</v>
      </c>
      <c r="Y9002">
        <v>3</v>
      </c>
      <c r="Z9002">
        <v>519.14940000000001</v>
      </c>
      <c r="AA9002">
        <v>3</v>
      </c>
      <c r="AB9002">
        <v>115.52460000000001</v>
      </c>
      <c r="AC9002">
        <v>1.857352E-2</v>
      </c>
      <c r="AD9002">
        <v>6.5248489999999997</v>
      </c>
      <c r="AE9002">
        <v>0.56927249999999996</v>
      </c>
      <c r="AF9002">
        <v>142.98419999999999</v>
      </c>
      <c r="AG9002">
        <f>IFERROR(AH9002*0.1, "N/A")</f>
        <v>5.2235500000000004</v>
      </c>
      <c r="AH9002">
        <v>52.235500000000002</v>
      </c>
      <c r="AI9002">
        <v>234.0889</v>
      </c>
      <c r="AJ9002">
        <v>20</v>
      </c>
      <c r="AK9002">
        <v>69.528999999999996</v>
      </c>
    </row>
    <row r="9003" spans="1:37" x14ac:dyDescent="0.3">
      <c r="A9003">
        <v>9002</v>
      </c>
      <c r="B9003">
        <v>2.1</v>
      </c>
      <c r="C9003">
        <v>12.6333</v>
      </c>
      <c r="D9003">
        <v>-5</v>
      </c>
      <c r="E9003" t="s">
        <v>13686</v>
      </c>
      <c r="F9003" t="s">
        <v>13688</v>
      </c>
      <c r="G9003" t="s">
        <v>39</v>
      </c>
      <c r="H9003">
        <v>1996</v>
      </c>
      <c r="I9003">
        <v>25.289280000000002</v>
      </c>
      <c r="J9003">
        <v>7.5</v>
      </c>
      <c r="K9003">
        <v>55</v>
      </c>
      <c r="L9003">
        <v>18.687719999999999</v>
      </c>
      <c r="M9003">
        <v>31.4297</v>
      </c>
      <c r="N9003">
        <v>17.989280000000001</v>
      </c>
      <c r="O9003">
        <v>13.44042</v>
      </c>
      <c r="P9003">
        <v>26.989280000000001</v>
      </c>
      <c r="Q9003">
        <v>22.389279999999999</v>
      </c>
      <c r="R9003">
        <v>26.989280000000001</v>
      </c>
      <c r="S9003">
        <v>22.389279999999999</v>
      </c>
      <c r="T9003">
        <v>1131.3620000000001</v>
      </c>
      <c r="U9003">
        <v>194.40600000000001</v>
      </c>
      <c r="V9003">
        <v>0</v>
      </c>
      <c r="W9003">
        <v>79</v>
      </c>
      <c r="X9003">
        <v>519.14940000000001</v>
      </c>
      <c r="Y9003">
        <v>3</v>
      </c>
      <c r="Z9003">
        <v>519.14940000000001</v>
      </c>
      <c r="AA9003">
        <v>3</v>
      </c>
      <c r="AB9003">
        <v>115.52460000000001</v>
      </c>
      <c r="AC9003">
        <v>1.857352E-2</v>
      </c>
      <c r="AD9003">
        <v>6.5248489999999997</v>
      </c>
      <c r="AE9003">
        <v>0.56927249999999996</v>
      </c>
      <c r="AF9003">
        <v>142.98419999999999</v>
      </c>
      <c r="AG9003">
        <f>IFERROR(AH9003*0.1, "N/A")</f>
        <v>5.2235500000000004</v>
      </c>
      <c r="AH9003">
        <v>52.235500000000002</v>
      </c>
      <c r="AI9003">
        <v>234.0889</v>
      </c>
      <c r="AJ9003">
        <v>20</v>
      </c>
      <c r="AK9003">
        <v>69.528999999999996</v>
      </c>
    </row>
    <row r="9004" spans="1:37" x14ac:dyDescent="0.3">
      <c r="A9004">
        <v>9003</v>
      </c>
      <c r="B9004">
        <v>0</v>
      </c>
      <c r="C9004">
        <v>12.9556</v>
      </c>
      <c r="D9004">
        <v>-5.0067599999999999</v>
      </c>
      <c r="E9004" t="s">
        <v>13689</v>
      </c>
      <c r="F9004" t="s">
        <v>13690</v>
      </c>
      <c r="G9004" t="s">
        <v>37</v>
      </c>
      <c r="H9004">
        <v>1996</v>
      </c>
      <c r="I9004">
        <v>25.3</v>
      </c>
      <c r="J9004">
        <v>7.8</v>
      </c>
      <c r="K9004">
        <v>57</v>
      </c>
      <c r="L9004">
        <v>18.440000000000001</v>
      </c>
      <c r="M9004">
        <v>31.6</v>
      </c>
      <c r="N9004">
        <v>18</v>
      </c>
      <c r="O9004">
        <v>13.6</v>
      </c>
      <c r="P9004">
        <v>27</v>
      </c>
      <c r="Q9004">
        <v>22.4</v>
      </c>
      <c r="R9004">
        <v>27</v>
      </c>
      <c r="S9004">
        <v>22.4</v>
      </c>
      <c r="T9004">
        <v>1209</v>
      </c>
      <c r="U9004">
        <v>207</v>
      </c>
      <c r="V9004">
        <v>1</v>
      </c>
      <c r="W9004">
        <v>77</v>
      </c>
      <c r="X9004">
        <v>530</v>
      </c>
      <c r="Y9004">
        <v>6</v>
      </c>
      <c r="Z9004">
        <v>530</v>
      </c>
      <c r="AA9004">
        <v>6</v>
      </c>
      <c r="AB9004">
        <v>9.4729290000000006</v>
      </c>
      <c r="AC9004">
        <v>3.8194359999999997E-2</v>
      </c>
      <c r="AD9004">
        <v>1.573863</v>
      </c>
      <c r="AE9004">
        <v>0.39230910000000002</v>
      </c>
      <c r="AF9004">
        <v>147.45339999999999</v>
      </c>
      <c r="AG9004">
        <f>IFERROR(AH9004*0.1, "N/A")</f>
        <v>5.4615110000000007</v>
      </c>
      <c r="AH9004">
        <v>54.615110000000001</v>
      </c>
      <c r="AI9004">
        <v>237.00579999999999</v>
      </c>
      <c r="AJ9004">
        <v>29</v>
      </c>
      <c r="AK9004">
        <v>48.871699999999997</v>
      </c>
    </row>
    <row r="9005" spans="1:37" x14ac:dyDescent="0.3">
      <c r="A9005">
        <v>9004</v>
      </c>
      <c r="B9005">
        <v>2.1</v>
      </c>
      <c r="C9005">
        <v>12.9556</v>
      </c>
      <c r="D9005">
        <v>-5.0067599999999999</v>
      </c>
      <c r="E9005" t="s">
        <v>13689</v>
      </c>
      <c r="F9005" t="s">
        <v>13691</v>
      </c>
      <c r="G9005" t="s">
        <v>39</v>
      </c>
      <c r="H9005">
        <v>1996</v>
      </c>
      <c r="I9005">
        <v>25.3</v>
      </c>
      <c r="J9005">
        <v>7.8</v>
      </c>
      <c r="K9005">
        <v>57</v>
      </c>
      <c r="L9005">
        <v>18.440000000000001</v>
      </c>
      <c r="M9005">
        <v>31.6</v>
      </c>
      <c r="N9005">
        <v>18</v>
      </c>
      <c r="O9005">
        <v>13.6</v>
      </c>
      <c r="P9005">
        <v>27</v>
      </c>
      <c r="Q9005">
        <v>22.4</v>
      </c>
      <c r="R9005">
        <v>27</v>
      </c>
      <c r="S9005">
        <v>22.4</v>
      </c>
      <c r="T9005">
        <v>1209</v>
      </c>
      <c r="U9005">
        <v>207</v>
      </c>
      <c r="V9005">
        <v>1</v>
      </c>
      <c r="W9005">
        <v>77</v>
      </c>
      <c r="X9005">
        <v>530</v>
      </c>
      <c r="Y9005">
        <v>6</v>
      </c>
      <c r="Z9005">
        <v>530</v>
      </c>
      <c r="AA9005">
        <v>6</v>
      </c>
      <c r="AB9005">
        <v>9.4729290000000006</v>
      </c>
      <c r="AC9005">
        <v>3.8194359999999997E-2</v>
      </c>
      <c r="AD9005">
        <v>1.573863</v>
      </c>
      <c r="AE9005">
        <v>0.39230910000000002</v>
      </c>
      <c r="AF9005">
        <v>147.45339999999999</v>
      </c>
      <c r="AG9005">
        <f>IFERROR(AH9005*0.1, "N/A")</f>
        <v>5.4615110000000007</v>
      </c>
      <c r="AH9005">
        <v>54.615110000000001</v>
      </c>
      <c r="AI9005">
        <v>237.00579999999999</v>
      </c>
      <c r="AJ9005">
        <v>29</v>
      </c>
      <c r="AK9005">
        <v>48.871699999999997</v>
      </c>
    </row>
    <row r="9006" spans="1:37" x14ac:dyDescent="0.3">
      <c r="A9006">
        <v>9005</v>
      </c>
      <c r="B9006">
        <v>0</v>
      </c>
      <c r="C9006">
        <v>12.85</v>
      </c>
      <c r="D9006">
        <v>-5.0166700000000004</v>
      </c>
      <c r="E9006" t="s">
        <v>13692</v>
      </c>
      <c r="F9006" t="s">
        <v>13693</v>
      </c>
      <c r="G9006" t="s">
        <v>37</v>
      </c>
      <c r="H9006">
        <v>1996</v>
      </c>
      <c r="I9006">
        <v>24.62762</v>
      </c>
      <c r="J9006">
        <v>7.7</v>
      </c>
      <c r="K9006">
        <v>56.176569999999998</v>
      </c>
      <c r="L9006">
        <v>18.586310000000001</v>
      </c>
      <c r="M9006">
        <v>30.909960000000002</v>
      </c>
      <c r="N9006">
        <v>17.328669999999999</v>
      </c>
      <c r="O9006">
        <v>13.581289999999999</v>
      </c>
      <c r="P9006">
        <v>26.379370000000002</v>
      </c>
      <c r="Q9006">
        <v>21.797029999999999</v>
      </c>
      <c r="R9006">
        <v>26.379370000000002</v>
      </c>
      <c r="S9006">
        <v>21.797029999999999</v>
      </c>
      <c r="T9006">
        <v>1246.451</v>
      </c>
      <c r="U9006">
        <v>212.57339999999999</v>
      </c>
      <c r="V9006">
        <v>1</v>
      </c>
      <c r="W9006">
        <v>77</v>
      </c>
      <c r="X9006">
        <v>554.32690000000002</v>
      </c>
      <c r="Y9006">
        <v>6.6835659999999999</v>
      </c>
      <c r="Z9006">
        <v>554.32690000000002</v>
      </c>
      <c r="AA9006">
        <v>6.6835659999999999</v>
      </c>
      <c r="AB9006">
        <v>86.141090000000005</v>
      </c>
      <c r="AC9006">
        <v>1.6197820000000002E-2</v>
      </c>
      <c r="AD9006">
        <v>12.65067</v>
      </c>
      <c r="AE9006">
        <v>0.20546739999999999</v>
      </c>
      <c r="AF9006">
        <v>222.57339999999999</v>
      </c>
      <c r="AG9006">
        <f>IFERROR(AH9006*0.1, "N/A")</f>
        <v>5.3823430000000005</v>
      </c>
      <c r="AH9006">
        <v>53.823430000000002</v>
      </c>
      <c r="AI9006">
        <v>188.4213</v>
      </c>
      <c r="AJ9006">
        <v>25.979019999999998</v>
      </c>
      <c r="AK9006">
        <v>59.010489999999997</v>
      </c>
    </row>
    <row r="9007" spans="1:37" x14ac:dyDescent="0.3">
      <c r="A9007">
        <v>9006</v>
      </c>
      <c r="B9007">
        <v>5.6</v>
      </c>
      <c r="C9007">
        <v>12.85</v>
      </c>
      <c r="D9007">
        <v>-5.0166700000000004</v>
      </c>
      <c r="E9007" t="s">
        <v>13692</v>
      </c>
      <c r="F9007" t="s">
        <v>13694</v>
      </c>
      <c r="G9007" t="s">
        <v>39</v>
      </c>
      <c r="H9007">
        <v>1996</v>
      </c>
      <c r="I9007">
        <v>24.62762</v>
      </c>
      <c r="J9007">
        <v>7.7</v>
      </c>
      <c r="K9007">
        <v>56.176569999999998</v>
      </c>
      <c r="L9007">
        <v>18.586310000000001</v>
      </c>
      <c r="M9007">
        <v>30.909960000000002</v>
      </c>
      <c r="N9007">
        <v>17.328669999999999</v>
      </c>
      <c r="O9007">
        <v>13.581289999999999</v>
      </c>
      <c r="P9007">
        <v>26.379370000000002</v>
      </c>
      <c r="Q9007">
        <v>21.797029999999999</v>
      </c>
      <c r="R9007">
        <v>26.379370000000002</v>
      </c>
      <c r="S9007">
        <v>21.797029999999999</v>
      </c>
      <c r="T9007">
        <v>1246.451</v>
      </c>
      <c r="U9007">
        <v>212.57339999999999</v>
      </c>
      <c r="V9007">
        <v>1</v>
      </c>
      <c r="W9007">
        <v>77</v>
      </c>
      <c r="X9007">
        <v>554.32690000000002</v>
      </c>
      <c r="Y9007">
        <v>6.6835659999999999</v>
      </c>
      <c r="Z9007">
        <v>554.32690000000002</v>
      </c>
      <c r="AA9007">
        <v>6.6835659999999999</v>
      </c>
      <c r="AB9007">
        <v>86.141090000000005</v>
      </c>
      <c r="AC9007">
        <v>1.6197820000000002E-2</v>
      </c>
      <c r="AD9007">
        <v>12.65067</v>
      </c>
      <c r="AE9007">
        <v>0.20546739999999999</v>
      </c>
      <c r="AF9007">
        <v>222.57339999999999</v>
      </c>
      <c r="AG9007">
        <f>IFERROR(AH9007*0.1, "N/A")</f>
        <v>5.3823430000000005</v>
      </c>
      <c r="AH9007">
        <v>53.823430000000002</v>
      </c>
      <c r="AI9007">
        <v>188.4213</v>
      </c>
      <c r="AJ9007">
        <v>25.979019999999998</v>
      </c>
      <c r="AK9007">
        <v>59.010489999999997</v>
      </c>
    </row>
    <row r="9008" spans="1:37" x14ac:dyDescent="0.3">
      <c r="A9008">
        <v>9007</v>
      </c>
      <c r="B9008">
        <v>1.6</v>
      </c>
      <c r="C9008">
        <v>12.7415</v>
      </c>
      <c r="D9008">
        <v>-5.0503099999999996</v>
      </c>
      <c r="E9008" t="s">
        <v>13695</v>
      </c>
      <c r="F9008" t="s">
        <v>13696</v>
      </c>
      <c r="G9008" t="s">
        <v>37</v>
      </c>
      <c r="H9008">
        <v>1996</v>
      </c>
      <c r="I9008">
        <v>24.351579999999998</v>
      </c>
      <c r="J9008">
        <v>7.7</v>
      </c>
      <c r="K9008">
        <v>56.829819999999998</v>
      </c>
      <c r="L9008">
        <v>18.746980000000001</v>
      </c>
      <c r="M9008">
        <v>30.5686</v>
      </c>
      <c r="N9008">
        <v>17.051580000000001</v>
      </c>
      <c r="O9008">
        <v>13.51702</v>
      </c>
      <c r="P9008">
        <v>26.051580000000001</v>
      </c>
      <c r="Q9008">
        <v>21.45158</v>
      </c>
      <c r="R9008">
        <v>26.051580000000001</v>
      </c>
      <c r="S9008">
        <v>21.45158</v>
      </c>
      <c r="T9008">
        <v>1233.626</v>
      </c>
      <c r="U9008">
        <v>210.32810000000001</v>
      </c>
      <c r="V9008">
        <v>1</v>
      </c>
      <c r="W9008">
        <v>78</v>
      </c>
      <c r="X9008">
        <v>562.97019999999998</v>
      </c>
      <c r="Y9008">
        <v>5.8438600000000003</v>
      </c>
      <c r="Z9008">
        <v>562.97019999999998</v>
      </c>
      <c r="AA9008">
        <v>5.8438600000000003</v>
      </c>
      <c r="AB9008">
        <v>40.221589999999999</v>
      </c>
      <c r="AC9008">
        <v>1.2279989999999999E-2</v>
      </c>
      <c r="AD9008">
        <v>4.4376420000000003</v>
      </c>
      <c r="AE9008">
        <v>0.28723910000000002</v>
      </c>
      <c r="AF9008">
        <v>264.83679999999998</v>
      </c>
      <c r="AG9008">
        <f>IFERROR(AH9008*0.1, "N/A")</f>
        <v>5.2</v>
      </c>
      <c r="AH9008">
        <v>52</v>
      </c>
      <c r="AI9008">
        <v>294.0675</v>
      </c>
      <c r="AJ9008">
        <v>31.652629999999998</v>
      </c>
      <c r="AK9008">
        <v>52.326320000000003</v>
      </c>
    </row>
    <row r="9009" spans="1:37" x14ac:dyDescent="0.3">
      <c r="A9009">
        <v>9008</v>
      </c>
      <c r="B9009">
        <v>4.8</v>
      </c>
      <c r="C9009">
        <v>12.7415</v>
      </c>
      <c r="D9009">
        <v>-5.0503099999999996</v>
      </c>
      <c r="E9009" t="s">
        <v>13695</v>
      </c>
      <c r="F9009" t="s">
        <v>13697</v>
      </c>
      <c r="G9009" t="s">
        <v>39</v>
      </c>
      <c r="H9009">
        <v>1996</v>
      </c>
      <c r="I9009">
        <v>24.351579999999998</v>
      </c>
      <c r="J9009">
        <v>7.7</v>
      </c>
      <c r="K9009">
        <v>56.829819999999998</v>
      </c>
      <c r="L9009">
        <v>18.746980000000001</v>
      </c>
      <c r="M9009">
        <v>30.5686</v>
      </c>
      <c r="N9009">
        <v>17.051580000000001</v>
      </c>
      <c r="O9009">
        <v>13.51702</v>
      </c>
      <c r="P9009">
        <v>26.051580000000001</v>
      </c>
      <c r="Q9009">
        <v>21.45158</v>
      </c>
      <c r="R9009">
        <v>26.051580000000001</v>
      </c>
      <c r="S9009">
        <v>21.45158</v>
      </c>
      <c r="T9009">
        <v>1233.626</v>
      </c>
      <c r="U9009">
        <v>210.32810000000001</v>
      </c>
      <c r="V9009">
        <v>1</v>
      </c>
      <c r="W9009">
        <v>78</v>
      </c>
      <c r="X9009">
        <v>562.97019999999998</v>
      </c>
      <c r="Y9009">
        <v>5.8438600000000003</v>
      </c>
      <c r="Z9009">
        <v>562.97019999999998</v>
      </c>
      <c r="AA9009">
        <v>5.8438600000000003</v>
      </c>
      <c r="AB9009">
        <v>40.221589999999999</v>
      </c>
      <c r="AC9009">
        <v>1.2279989999999999E-2</v>
      </c>
      <c r="AD9009">
        <v>4.4376420000000003</v>
      </c>
      <c r="AE9009">
        <v>0.28723910000000002</v>
      </c>
      <c r="AF9009">
        <v>264.83679999999998</v>
      </c>
      <c r="AG9009">
        <f>IFERROR(AH9009*0.1, "N/A")</f>
        <v>5.2</v>
      </c>
      <c r="AH9009">
        <v>52</v>
      </c>
      <c r="AI9009">
        <v>294.0675</v>
      </c>
      <c r="AJ9009">
        <v>31.652629999999998</v>
      </c>
      <c r="AK9009">
        <v>52.326320000000003</v>
      </c>
    </row>
    <row r="9010" spans="1:37" x14ac:dyDescent="0.3">
      <c r="A9010">
        <v>9009</v>
      </c>
      <c r="B9010">
        <v>0</v>
      </c>
      <c r="C9010">
        <v>12.85</v>
      </c>
      <c r="D9010">
        <v>-5.0666700000000002</v>
      </c>
      <c r="E9010" t="s">
        <v>13698</v>
      </c>
      <c r="F9010" t="s">
        <v>13699</v>
      </c>
      <c r="G9010" t="s">
        <v>37</v>
      </c>
      <c r="H9010">
        <v>1996</v>
      </c>
      <c r="I9010">
        <v>24.9</v>
      </c>
      <c r="J9010">
        <v>7.7</v>
      </c>
      <c r="K9010">
        <v>56.124130000000001</v>
      </c>
      <c r="L9010">
        <v>18.731100000000001</v>
      </c>
      <c r="M9010">
        <v>31.24371</v>
      </c>
      <c r="N9010">
        <v>17.600000000000001</v>
      </c>
      <c r="O9010">
        <v>13.64371</v>
      </c>
      <c r="P9010">
        <v>26.656120000000001</v>
      </c>
      <c r="Q9010">
        <v>22</v>
      </c>
      <c r="R9010">
        <v>26.656120000000001</v>
      </c>
      <c r="S9010">
        <v>22</v>
      </c>
      <c r="T9010">
        <v>1215.0840000000001</v>
      </c>
      <c r="U9010">
        <v>207.43879999999999</v>
      </c>
      <c r="V9010">
        <v>1</v>
      </c>
      <c r="W9010">
        <v>77.438810000000004</v>
      </c>
      <c r="X9010">
        <v>545.05240000000003</v>
      </c>
      <c r="Y9010">
        <v>6</v>
      </c>
      <c r="Z9010">
        <v>545.05240000000003</v>
      </c>
      <c r="AA9010">
        <v>6</v>
      </c>
      <c r="AB9010">
        <v>13.084429999999999</v>
      </c>
      <c r="AC9010">
        <v>6.0543649999999997E-2</v>
      </c>
      <c r="AD9010">
        <v>5.0573829999999997</v>
      </c>
      <c r="AE9010">
        <v>0.19850970000000001</v>
      </c>
      <c r="AF9010">
        <v>195.69929999999999</v>
      </c>
      <c r="AG9010">
        <f>IFERROR(AH9010*0.1, "N/A")</f>
        <v>5.0825170000000002</v>
      </c>
      <c r="AH9010">
        <v>50.82517</v>
      </c>
      <c r="AI9010">
        <v>190.5814</v>
      </c>
      <c r="AJ9010">
        <v>28.17483</v>
      </c>
      <c r="AK9010">
        <v>59.853149999999999</v>
      </c>
    </row>
    <row r="9011" spans="1:37" x14ac:dyDescent="0.3">
      <c r="A9011">
        <v>9010</v>
      </c>
      <c r="B9011">
        <v>7.8</v>
      </c>
      <c r="C9011">
        <v>12.85</v>
      </c>
      <c r="D9011">
        <v>-5.0666700000000002</v>
      </c>
      <c r="E9011" t="s">
        <v>13698</v>
      </c>
      <c r="F9011" t="s">
        <v>13700</v>
      </c>
      <c r="G9011" t="s">
        <v>39</v>
      </c>
      <c r="H9011">
        <v>1996</v>
      </c>
      <c r="I9011">
        <v>24.9</v>
      </c>
      <c r="J9011">
        <v>7.7</v>
      </c>
      <c r="K9011">
        <v>56.124130000000001</v>
      </c>
      <c r="L9011">
        <v>18.731100000000001</v>
      </c>
      <c r="M9011">
        <v>31.24371</v>
      </c>
      <c r="N9011">
        <v>17.600000000000001</v>
      </c>
      <c r="O9011">
        <v>13.64371</v>
      </c>
      <c r="P9011">
        <v>26.656120000000001</v>
      </c>
      <c r="Q9011">
        <v>22</v>
      </c>
      <c r="R9011">
        <v>26.656120000000001</v>
      </c>
      <c r="S9011">
        <v>22</v>
      </c>
      <c r="T9011">
        <v>1215.0840000000001</v>
      </c>
      <c r="U9011">
        <v>207.43879999999999</v>
      </c>
      <c r="V9011">
        <v>1</v>
      </c>
      <c r="W9011">
        <v>77.438810000000004</v>
      </c>
      <c r="X9011">
        <v>545.05240000000003</v>
      </c>
      <c r="Y9011">
        <v>6</v>
      </c>
      <c r="Z9011">
        <v>545.05240000000003</v>
      </c>
      <c r="AA9011">
        <v>6</v>
      </c>
      <c r="AB9011">
        <v>13.084429999999999</v>
      </c>
      <c r="AC9011">
        <v>6.0543649999999997E-2</v>
      </c>
      <c r="AD9011">
        <v>5.0573829999999997</v>
      </c>
      <c r="AE9011">
        <v>0.19850970000000001</v>
      </c>
      <c r="AF9011">
        <v>195.69929999999999</v>
      </c>
      <c r="AG9011">
        <f>IFERROR(AH9011*0.1, "N/A")</f>
        <v>5.0825170000000002</v>
      </c>
      <c r="AH9011">
        <v>50.82517</v>
      </c>
      <c r="AI9011">
        <v>190.5814</v>
      </c>
      <c r="AJ9011">
        <v>28.17483</v>
      </c>
      <c r="AK9011">
        <v>59.853149999999999</v>
      </c>
    </row>
    <row r="9012" spans="1:37" x14ac:dyDescent="0.3">
      <c r="A9012">
        <v>9011</v>
      </c>
      <c r="B9012">
        <v>46.3</v>
      </c>
      <c r="C9012">
        <v>14.2811</v>
      </c>
      <c r="D9012">
        <v>-5.0755100000000004</v>
      </c>
      <c r="E9012" t="s">
        <v>13701</v>
      </c>
      <c r="F9012" t="s">
        <v>13702</v>
      </c>
      <c r="G9012" t="s">
        <v>39</v>
      </c>
      <c r="H9012">
        <v>1995</v>
      </c>
      <c r="I9012">
        <v>24.9</v>
      </c>
      <c r="J9012">
        <v>8.5</v>
      </c>
      <c r="K9012">
        <v>61</v>
      </c>
      <c r="L9012">
        <v>16.87</v>
      </c>
      <c r="M9012">
        <v>31.2</v>
      </c>
      <c r="N9012">
        <v>17.3</v>
      </c>
      <c r="O9012">
        <v>13.9</v>
      </c>
      <c r="P9012">
        <v>26.2</v>
      </c>
      <c r="Q9012">
        <v>22.2</v>
      </c>
      <c r="R9012">
        <v>26.4</v>
      </c>
      <c r="S9012">
        <v>22.2</v>
      </c>
      <c r="T9012">
        <v>1176</v>
      </c>
      <c r="U9012">
        <v>223</v>
      </c>
      <c r="V9012">
        <v>0</v>
      </c>
      <c r="W9012">
        <v>81</v>
      </c>
      <c r="X9012">
        <v>501</v>
      </c>
      <c r="Y9012">
        <v>3</v>
      </c>
      <c r="Z9012">
        <v>467</v>
      </c>
      <c r="AA9012">
        <v>3</v>
      </c>
      <c r="AB9012">
        <v>69.899299999999997</v>
      </c>
      <c r="AC9012">
        <v>8.5150109999999994E-3</v>
      </c>
      <c r="AD9012">
        <v>4.5204959999999996</v>
      </c>
      <c r="AE9012">
        <v>0.18552560000000001</v>
      </c>
      <c r="AF9012">
        <v>322.98779999999999</v>
      </c>
      <c r="AG9012">
        <f>IFERROR(AH9012*0.1, "N/A")</f>
        <v>5.5902099999999999</v>
      </c>
      <c r="AH9012">
        <v>55.902099999999997</v>
      </c>
      <c r="AI9012">
        <v>206.99979999999999</v>
      </c>
      <c r="AJ9012">
        <v>30.60839</v>
      </c>
      <c r="AK9012">
        <v>43.62762</v>
      </c>
    </row>
    <row r="9013" spans="1:37" x14ac:dyDescent="0.3">
      <c r="A9013">
        <v>9012</v>
      </c>
      <c r="B9013">
        <v>22.8</v>
      </c>
      <c r="C9013">
        <v>14.2811</v>
      </c>
      <c r="D9013">
        <v>-5.0755100000000004</v>
      </c>
      <c r="E9013" t="s">
        <v>13701</v>
      </c>
      <c r="F9013" t="s">
        <v>13703</v>
      </c>
      <c r="G9013" t="s">
        <v>37</v>
      </c>
      <c r="H9013">
        <v>1995</v>
      </c>
      <c r="I9013">
        <v>24.9</v>
      </c>
      <c r="J9013">
        <v>8.5</v>
      </c>
      <c r="K9013">
        <v>61</v>
      </c>
      <c r="L9013">
        <v>16.87</v>
      </c>
      <c r="M9013">
        <v>31.2</v>
      </c>
      <c r="N9013">
        <v>17.3</v>
      </c>
      <c r="O9013">
        <v>13.9</v>
      </c>
      <c r="P9013">
        <v>26.2</v>
      </c>
      <c r="Q9013">
        <v>22.2</v>
      </c>
      <c r="R9013">
        <v>26.4</v>
      </c>
      <c r="S9013">
        <v>22.2</v>
      </c>
      <c r="T9013">
        <v>1176</v>
      </c>
      <c r="U9013">
        <v>223</v>
      </c>
      <c r="V9013">
        <v>0</v>
      </c>
      <c r="W9013">
        <v>81</v>
      </c>
      <c r="X9013">
        <v>501</v>
      </c>
      <c r="Y9013">
        <v>3</v>
      </c>
      <c r="Z9013">
        <v>467</v>
      </c>
      <c r="AA9013">
        <v>3</v>
      </c>
      <c r="AB9013">
        <v>69.899299999999997</v>
      </c>
      <c r="AC9013">
        <v>8.5150109999999994E-3</v>
      </c>
      <c r="AD9013">
        <v>4.5204959999999996</v>
      </c>
      <c r="AE9013">
        <v>0.18552560000000001</v>
      </c>
      <c r="AF9013">
        <v>322.98779999999999</v>
      </c>
      <c r="AG9013">
        <f>IFERROR(AH9013*0.1, "N/A")</f>
        <v>5.5902099999999999</v>
      </c>
      <c r="AH9013">
        <v>55.902099999999997</v>
      </c>
      <c r="AI9013">
        <v>206.99979999999999</v>
      </c>
      <c r="AJ9013">
        <v>30.60839</v>
      </c>
      <c r="AK9013">
        <v>43.62762</v>
      </c>
    </row>
    <row r="9014" spans="1:37" x14ac:dyDescent="0.3">
      <c r="A9014">
        <v>9013</v>
      </c>
      <c r="B9014">
        <v>43.7</v>
      </c>
      <c r="C9014">
        <v>12.757999999999999</v>
      </c>
      <c r="D9014">
        <v>-5.0766999999999998</v>
      </c>
      <c r="E9014" t="s">
        <v>13704</v>
      </c>
      <c r="F9014" t="s">
        <v>13705</v>
      </c>
      <c r="G9014" t="s">
        <v>37</v>
      </c>
      <c r="H9014">
        <v>1985</v>
      </c>
      <c r="I9014">
        <v>24.600349999999999</v>
      </c>
      <c r="J9014">
        <v>7.7</v>
      </c>
      <c r="K9014">
        <v>56</v>
      </c>
      <c r="L9014">
        <v>18.890029999999999</v>
      </c>
      <c r="M9014">
        <v>30.80105</v>
      </c>
      <c r="N9014">
        <v>17.200700000000001</v>
      </c>
      <c r="O9014">
        <v>13.600350000000001</v>
      </c>
      <c r="P9014">
        <v>26.300699999999999</v>
      </c>
      <c r="Q9014">
        <v>21.6007</v>
      </c>
      <c r="R9014">
        <v>26.300699999999999</v>
      </c>
      <c r="S9014">
        <v>21.6007</v>
      </c>
      <c r="T9014">
        <v>1214.961</v>
      </c>
      <c r="U9014">
        <v>206.99299999999999</v>
      </c>
      <c r="V9014">
        <v>1</v>
      </c>
      <c r="W9014">
        <v>78</v>
      </c>
      <c r="X9014">
        <v>553.97889999999995</v>
      </c>
      <c r="Y9014">
        <v>5</v>
      </c>
      <c r="Z9014">
        <v>553.97889999999995</v>
      </c>
      <c r="AA9014">
        <v>5</v>
      </c>
      <c r="AB9014">
        <v>32.381059999999998</v>
      </c>
      <c r="AC9014">
        <v>9.0976019999999998E-3</v>
      </c>
      <c r="AD9014">
        <v>8.9257659999999994</v>
      </c>
      <c r="AE9014">
        <v>0.20718719999999999</v>
      </c>
      <c r="AF9014">
        <v>218.72810000000001</v>
      </c>
      <c r="AG9014">
        <f>IFERROR(AH9014*0.1, "N/A")</f>
        <v>5.2754390000000004</v>
      </c>
      <c r="AH9014">
        <v>52.754390000000001</v>
      </c>
      <c r="AI9014">
        <v>295.6293</v>
      </c>
      <c r="AJ9014">
        <v>32</v>
      </c>
      <c r="AK9014">
        <v>57.377189999999999</v>
      </c>
    </row>
    <row r="9015" spans="1:37" x14ac:dyDescent="0.3">
      <c r="A9015">
        <v>9014</v>
      </c>
      <c r="B9015">
        <v>15</v>
      </c>
      <c r="C9015">
        <v>12.6333</v>
      </c>
      <c r="D9015">
        <v>-5.0833300000000001</v>
      </c>
      <c r="E9015" t="s">
        <v>13706</v>
      </c>
      <c r="F9015" t="s">
        <v>13707</v>
      </c>
      <c r="G9015" t="s">
        <v>37</v>
      </c>
      <c r="H9015">
        <v>1996</v>
      </c>
      <c r="I9015">
        <v>25.458320000000001</v>
      </c>
      <c r="J9015">
        <v>7.5</v>
      </c>
      <c r="K9015">
        <v>55.5289</v>
      </c>
      <c r="L9015">
        <v>18.685030000000001</v>
      </c>
      <c r="M9015">
        <v>31.6</v>
      </c>
      <c r="N9015">
        <v>18.205780000000001</v>
      </c>
      <c r="O9015">
        <v>13.394220000000001</v>
      </c>
      <c r="P9015">
        <v>27.2</v>
      </c>
      <c r="Q9015">
        <v>22.552890000000001</v>
      </c>
      <c r="R9015">
        <v>27.2</v>
      </c>
      <c r="S9015">
        <v>22.552890000000001</v>
      </c>
      <c r="T9015">
        <v>1099.6579999999999</v>
      </c>
      <c r="U9015">
        <v>188.94569999999999</v>
      </c>
      <c r="V9015">
        <v>0</v>
      </c>
      <c r="W9015">
        <v>79</v>
      </c>
      <c r="X9015">
        <v>509.2364</v>
      </c>
      <c r="Y9015">
        <v>3</v>
      </c>
      <c r="Z9015">
        <v>509.2364</v>
      </c>
      <c r="AA9015">
        <v>3</v>
      </c>
      <c r="AB9015">
        <v>30.627490000000002</v>
      </c>
      <c r="AC9015">
        <v>1.2228060000000001E-2</v>
      </c>
      <c r="AD9015">
        <v>3.5488409999999999</v>
      </c>
      <c r="AE9015">
        <v>0.21875629999999999</v>
      </c>
      <c r="AF9015">
        <v>80.676010000000005</v>
      </c>
      <c r="AG9015">
        <f>IFERROR(AH9015*0.1, "N/A")</f>
        <v>5.0765320000000003</v>
      </c>
      <c r="AH9015">
        <v>50.765320000000003</v>
      </c>
      <c r="AI9015">
        <v>214.45910000000001</v>
      </c>
      <c r="AJ9015">
        <v>18.234680000000001</v>
      </c>
      <c r="AK9015">
        <v>78.295969999999997</v>
      </c>
    </row>
    <row r="9016" spans="1:37" x14ac:dyDescent="0.3">
      <c r="A9016">
        <v>9015</v>
      </c>
      <c r="B9016">
        <v>8</v>
      </c>
      <c r="C9016">
        <v>12.6333</v>
      </c>
      <c r="D9016">
        <v>-5.0833300000000001</v>
      </c>
      <c r="E9016" t="s">
        <v>13706</v>
      </c>
      <c r="F9016" t="s">
        <v>13708</v>
      </c>
      <c r="G9016" t="s">
        <v>39</v>
      </c>
      <c r="H9016">
        <v>1996</v>
      </c>
      <c r="I9016">
        <v>25.458320000000001</v>
      </c>
      <c r="J9016">
        <v>7.5</v>
      </c>
      <c r="K9016">
        <v>55.5289</v>
      </c>
      <c r="L9016">
        <v>18.685030000000001</v>
      </c>
      <c r="M9016">
        <v>31.6</v>
      </c>
      <c r="N9016">
        <v>18.205780000000001</v>
      </c>
      <c r="O9016">
        <v>13.394220000000001</v>
      </c>
      <c r="P9016">
        <v>27.2</v>
      </c>
      <c r="Q9016">
        <v>22.552890000000001</v>
      </c>
      <c r="R9016">
        <v>27.2</v>
      </c>
      <c r="S9016">
        <v>22.552890000000001</v>
      </c>
      <c r="T9016">
        <v>1099.6579999999999</v>
      </c>
      <c r="U9016">
        <v>188.94569999999999</v>
      </c>
      <c r="V9016">
        <v>0</v>
      </c>
      <c r="W9016">
        <v>79</v>
      </c>
      <c r="X9016">
        <v>509.2364</v>
      </c>
      <c r="Y9016">
        <v>3</v>
      </c>
      <c r="Z9016">
        <v>509.2364</v>
      </c>
      <c r="AA9016">
        <v>3</v>
      </c>
      <c r="AB9016">
        <v>30.627490000000002</v>
      </c>
      <c r="AC9016">
        <v>1.2228060000000001E-2</v>
      </c>
      <c r="AD9016">
        <v>3.5488409999999999</v>
      </c>
      <c r="AE9016">
        <v>0.21875629999999999</v>
      </c>
      <c r="AF9016">
        <v>80.676010000000005</v>
      </c>
      <c r="AG9016">
        <f>IFERROR(AH9016*0.1, "N/A")</f>
        <v>5.0765320000000003</v>
      </c>
      <c r="AH9016">
        <v>50.765320000000003</v>
      </c>
      <c r="AI9016">
        <v>214.45910000000001</v>
      </c>
      <c r="AJ9016">
        <v>18.234680000000001</v>
      </c>
      <c r="AK9016">
        <v>78.295969999999997</v>
      </c>
    </row>
    <row r="9017" spans="1:37" x14ac:dyDescent="0.3">
      <c r="A9017">
        <v>9016</v>
      </c>
      <c r="B9017">
        <v>2.5</v>
      </c>
      <c r="C9017">
        <v>12.9833</v>
      </c>
      <c r="D9017">
        <v>-5.0833300000000001</v>
      </c>
      <c r="E9017" t="s">
        <v>13709</v>
      </c>
      <c r="F9017" t="s">
        <v>13710</v>
      </c>
      <c r="G9017" t="s">
        <v>37</v>
      </c>
      <c r="H9017">
        <v>1996</v>
      </c>
      <c r="I9017">
        <v>24.924689999999998</v>
      </c>
      <c r="J9017">
        <v>7.8</v>
      </c>
      <c r="K9017">
        <v>56.837130000000002</v>
      </c>
      <c r="L9017">
        <v>18.39546</v>
      </c>
      <c r="M9017">
        <v>31.32469</v>
      </c>
      <c r="N9017">
        <v>17.708410000000001</v>
      </c>
      <c r="O9017">
        <v>13.616289999999999</v>
      </c>
      <c r="P9017">
        <v>26.624690000000001</v>
      </c>
      <c r="Q9017">
        <v>22.108409999999999</v>
      </c>
      <c r="R9017">
        <v>26.624690000000001</v>
      </c>
      <c r="S9017">
        <v>22.108409999999999</v>
      </c>
      <c r="T9017">
        <v>1222.769</v>
      </c>
      <c r="U9017">
        <v>210.75309999999999</v>
      </c>
      <c r="V9017">
        <v>1</v>
      </c>
      <c r="W9017">
        <v>77.127849999999995</v>
      </c>
      <c r="X9017">
        <v>541.88440000000003</v>
      </c>
      <c r="Y9017">
        <v>6</v>
      </c>
      <c r="Z9017">
        <v>541.88440000000003</v>
      </c>
      <c r="AA9017">
        <v>6</v>
      </c>
      <c r="AB9017">
        <v>26.780729999999998</v>
      </c>
      <c r="AC9017">
        <v>1.8998210000000001E-2</v>
      </c>
      <c r="AD9017">
        <v>6.4898819999999997</v>
      </c>
      <c r="AE9017">
        <v>0.1984735</v>
      </c>
      <c r="AF9017">
        <v>209.52189999999999</v>
      </c>
      <c r="AG9017">
        <f>IFERROR(AH9017*0.1, "N/A")</f>
        <v>5.3462350000000001</v>
      </c>
      <c r="AH9017">
        <v>53.462350000000001</v>
      </c>
      <c r="AI9017">
        <v>116.67619999999999</v>
      </c>
      <c r="AJ9017">
        <v>31.387039999999999</v>
      </c>
      <c r="AK9017">
        <v>49.612960000000001</v>
      </c>
    </row>
    <row r="9018" spans="1:37" x14ac:dyDescent="0.3">
      <c r="A9018">
        <v>9017</v>
      </c>
      <c r="B9018">
        <v>3.7</v>
      </c>
      <c r="C9018">
        <v>12.9833</v>
      </c>
      <c r="D9018">
        <v>-5.0833300000000001</v>
      </c>
      <c r="E9018" t="s">
        <v>13709</v>
      </c>
      <c r="F9018" t="s">
        <v>13711</v>
      </c>
      <c r="G9018" t="s">
        <v>39</v>
      </c>
      <c r="H9018">
        <v>1996</v>
      </c>
      <c r="I9018">
        <v>24.924689999999998</v>
      </c>
      <c r="J9018">
        <v>7.8</v>
      </c>
      <c r="K9018">
        <v>56.837130000000002</v>
      </c>
      <c r="L9018">
        <v>18.39546</v>
      </c>
      <c r="M9018">
        <v>31.32469</v>
      </c>
      <c r="N9018">
        <v>17.708410000000001</v>
      </c>
      <c r="O9018">
        <v>13.616289999999999</v>
      </c>
      <c r="P9018">
        <v>26.624690000000001</v>
      </c>
      <c r="Q9018">
        <v>22.108409999999999</v>
      </c>
      <c r="R9018">
        <v>26.624690000000001</v>
      </c>
      <c r="S9018">
        <v>22.108409999999999</v>
      </c>
      <c r="T9018">
        <v>1222.769</v>
      </c>
      <c r="U9018">
        <v>210.75309999999999</v>
      </c>
      <c r="V9018">
        <v>1</v>
      </c>
      <c r="W9018">
        <v>77.127849999999995</v>
      </c>
      <c r="X9018">
        <v>541.88440000000003</v>
      </c>
      <c r="Y9018">
        <v>6</v>
      </c>
      <c r="Z9018">
        <v>541.88440000000003</v>
      </c>
      <c r="AA9018">
        <v>6</v>
      </c>
      <c r="AB9018">
        <v>26.780729999999998</v>
      </c>
      <c r="AC9018">
        <v>1.8998210000000001E-2</v>
      </c>
      <c r="AD9018">
        <v>6.4898819999999997</v>
      </c>
      <c r="AE9018">
        <v>0.1984735</v>
      </c>
      <c r="AF9018">
        <v>209.52189999999999</v>
      </c>
      <c r="AG9018">
        <f>IFERROR(AH9018*0.1, "N/A")</f>
        <v>5.3462350000000001</v>
      </c>
      <c r="AH9018">
        <v>53.462350000000001</v>
      </c>
      <c r="AI9018">
        <v>116.67619999999999</v>
      </c>
      <c r="AJ9018">
        <v>31.387039999999999</v>
      </c>
      <c r="AK9018">
        <v>49.612960000000001</v>
      </c>
    </row>
    <row r="9019" spans="1:37" x14ac:dyDescent="0.3">
      <c r="A9019">
        <v>9018</v>
      </c>
      <c r="B9019">
        <v>3.1</v>
      </c>
      <c r="C9019">
        <v>12.7333</v>
      </c>
      <c r="D9019">
        <v>-5.0999999999999996</v>
      </c>
      <c r="E9019" t="s">
        <v>13712</v>
      </c>
      <c r="F9019" t="s">
        <v>13713</v>
      </c>
      <c r="G9019" t="s">
        <v>37</v>
      </c>
      <c r="H9019">
        <v>1996</v>
      </c>
      <c r="I9019">
        <v>24.66544</v>
      </c>
      <c r="J9019">
        <v>7.6528790000000004</v>
      </c>
      <c r="K9019">
        <v>56.057589999999998</v>
      </c>
      <c r="L9019">
        <v>18.7699</v>
      </c>
      <c r="M9019">
        <v>30.888480000000001</v>
      </c>
      <c r="N9019">
        <v>17.341360000000002</v>
      </c>
      <c r="O9019">
        <v>13.54712</v>
      </c>
      <c r="P9019">
        <v>26.341360000000002</v>
      </c>
      <c r="Q9019">
        <v>21.765450000000001</v>
      </c>
      <c r="R9019">
        <v>26.341360000000002</v>
      </c>
      <c r="S9019">
        <v>21.765450000000001</v>
      </c>
      <c r="T9019">
        <v>1193.5830000000001</v>
      </c>
      <c r="U9019">
        <v>204.64400000000001</v>
      </c>
      <c r="V9019">
        <v>1</v>
      </c>
      <c r="W9019">
        <v>78</v>
      </c>
      <c r="X9019">
        <v>548.34550000000002</v>
      </c>
      <c r="Y9019">
        <v>5</v>
      </c>
      <c r="Z9019">
        <v>548.34550000000002</v>
      </c>
      <c r="AA9019">
        <v>5</v>
      </c>
      <c r="AB9019">
        <v>11.080629999999999</v>
      </c>
      <c r="AC9019">
        <v>1.047619E-2</v>
      </c>
      <c r="AD9019">
        <v>2.9387699999999999</v>
      </c>
      <c r="AE9019">
        <v>0.21138680000000001</v>
      </c>
      <c r="AF9019">
        <v>181.02789999999999</v>
      </c>
      <c r="AG9019">
        <f>IFERROR(AH9019*0.1, "N/A")</f>
        <v>4.9518320000000005</v>
      </c>
      <c r="AH9019">
        <v>49.518320000000003</v>
      </c>
      <c r="AI9019">
        <v>73.588300000000004</v>
      </c>
      <c r="AJ9019">
        <v>33.28098</v>
      </c>
      <c r="AK9019">
        <v>51.237349999999999</v>
      </c>
    </row>
    <row r="9020" spans="1:37" x14ac:dyDescent="0.3">
      <c r="A9020">
        <v>9019</v>
      </c>
      <c r="B9020">
        <v>6.1</v>
      </c>
      <c r="C9020">
        <v>12.7333</v>
      </c>
      <c r="D9020">
        <v>-5.0999999999999996</v>
      </c>
      <c r="E9020" t="s">
        <v>13712</v>
      </c>
      <c r="F9020" t="s">
        <v>13714</v>
      </c>
      <c r="G9020" t="s">
        <v>39</v>
      </c>
      <c r="H9020">
        <v>1996</v>
      </c>
      <c r="I9020">
        <v>24.66544</v>
      </c>
      <c r="J9020">
        <v>7.6528790000000004</v>
      </c>
      <c r="K9020">
        <v>56.057589999999998</v>
      </c>
      <c r="L9020">
        <v>18.7699</v>
      </c>
      <c r="M9020">
        <v>30.888480000000001</v>
      </c>
      <c r="N9020">
        <v>17.341360000000002</v>
      </c>
      <c r="O9020">
        <v>13.54712</v>
      </c>
      <c r="P9020">
        <v>26.341360000000002</v>
      </c>
      <c r="Q9020">
        <v>21.765450000000001</v>
      </c>
      <c r="R9020">
        <v>26.341360000000002</v>
      </c>
      <c r="S9020">
        <v>21.765450000000001</v>
      </c>
      <c r="T9020">
        <v>1193.5830000000001</v>
      </c>
      <c r="U9020">
        <v>204.64400000000001</v>
      </c>
      <c r="V9020">
        <v>1</v>
      </c>
      <c r="W9020">
        <v>78</v>
      </c>
      <c r="X9020">
        <v>548.34550000000002</v>
      </c>
      <c r="Y9020">
        <v>5</v>
      </c>
      <c r="Z9020">
        <v>548.34550000000002</v>
      </c>
      <c r="AA9020">
        <v>5</v>
      </c>
      <c r="AB9020">
        <v>11.080629999999999</v>
      </c>
      <c r="AC9020">
        <v>1.047619E-2</v>
      </c>
      <c r="AD9020">
        <v>2.9387699999999999</v>
      </c>
      <c r="AE9020">
        <v>0.21138680000000001</v>
      </c>
      <c r="AF9020">
        <v>181.02789999999999</v>
      </c>
      <c r="AG9020">
        <f>IFERROR(AH9020*0.1, "N/A")</f>
        <v>4.9518320000000005</v>
      </c>
      <c r="AH9020">
        <v>49.518320000000003</v>
      </c>
      <c r="AI9020">
        <v>73.588300000000004</v>
      </c>
      <c r="AJ9020">
        <v>33.28098</v>
      </c>
      <c r="AK9020">
        <v>51.237349999999999</v>
      </c>
    </row>
    <row r="9021" spans="1:37" x14ac:dyDescent="0.3">
      <c r="A9021">
        <v>9020</v>
      </c>
      <c r="B9021">
        <v>1</v>
      </c>
      <c r="C9021">
        <v>12.65</v>
      </c>
      <c r="D9021">
        <v>-5.1166700000000001</v>
      </c>
      <c r="E9021" t="s">
        <v>13715</v>
      </c>
      <c r="F9021" t="s">
        <v>13716</v>
      </c>
      <c r="G9021" t="s">
        <v>37</v>
      </c>
      <c r="H9021">
        <v>1996</v>
      </c>
      <c r="I9021">
        <v>25.60942</v>
      </c>
      <c r="J9021">
        <v>7.5</v>
      </c>
      <c r="K9021">
        <v>55.162300000000002</v>
      </c>
      <c r="L9021">
        <v>18.682179999999999</v>
      </c>
      <c r="M9021">
        <v>31.793189999999999</v>
      </c>
      <c r="N9021">
        <v>18.346769999999999</v>
      </c>
      <c r="O9021">
        <v>13.44642</v>
      </c>
      <c r="P9021">
        <v>27.344149999999999</v>
      </c>
      <c r="Q9021">
        <v>22.6815</v>
      </c>
      <c r="R9021">
        <v>27.344149999999999</v>
      </c>
      <c r="S9021">
        <v>22.6815</v>
      </c>
      <c r="T9021">
        <v>1081.914</v>
      </c>
      <c r="U9021">
        <v>185.62649999999999</v>
      </c>
      <c r="V9021">
        <v>0</v>
      </c>
      <c r="W9021">
        <v>79</v>
      </c>
      <c r="X9021">
        <v>501.94760000000002</v>
      </c>
      <c r="Y9021">
        <v>3</v>
      </c>
      <c r="Z9021">
        <v>501.94760000000002</v>
      </c>
      <c r="AA9021">
        <v>3</v>
      </c>
      <c r="AB9021">
        <v>16.137</v>
      </c>
      <c r="AC9021">
        <v>0.12477580000000001</v>
      </c>
      <c r="AD9021">
        <v>5.2181340000000001</v>
      </c>
      <c r="AE9021">
        <v>0.2105532</v>
      </c>
      <c r="AF9021">
        <v>42.226880000000001</v>
      </c>
      <c r="AG9021">
        <f>IFERROR(AH9021*0.1, "N/A")</f>
        <v>5.2441540000000009</v>
      </c>
      <c r="AH9021">
        <v>52.441540000000003</v>
      </c>
      <c r="AI9021">
        <v>232.25479999999999</v>
      </c>
      <c r="AJ9021">
        <v>21.11693</v>
      </c>
      <c r="AK9021">
        <v>74.324610000000007</v>
      </c>
    </row>
    <row r="9022" spans="1:37" x14ac:dyDescent="0.3">
      <c r="A9022">
        <v>9021</v>
      </c>
      <c r="B9022">
        <v>6.9</v>
      </c>
      <c r="C9022">
        <v>12.65</v>
      </c>
      <c r="D9022">
        <v>-5.1166700000000001</v>
      </c>
      <c r="E9022" t="s">
        <v>13715</v>
      </c>
      <c r="F9022" t="s">
        <v>13717</v>
      </c>
      <c r="G9022" t="s">
        <v>39</v>
      </c>
      <c r="H9022">
        <v>1996</v>
      </c>
      <c r="I9022">
        <v>25.60942</v>
      </c>
      <c r="J9022">
        <v>7.5</v>
      </c>
      <c r="K9022">
        <v>55.162300000000002</v>
      </c>
      <c r="L9022">
        <v>18.682179999999999</v>
      </c>
      <c r="M9022">
        <v>31.793189999999999</v>
      </c>
      <c r="N9022">
        <v>18.346769999999999</v>
      </c>
      <c r="O9022">
        <v>13.44642</v>
      </c>
      <c r="P9022">
        <v>27.344149999999999</v>
      </c>
      <c r="Q9022">
        <v>22.6815</v>
      </c>
      <c r="R9022">
        <v>27.344149999999999</v>
      </c>
      <c r="S9022">
        <v>22.6815</v>
      </c>
      <c r="T9022">
        <v>1081.914</v>
      </c>
      <c r="U9022">
        <v>185.62649999999999</v>
      </c>
      <c r="V9022">
        <v>0</v>
      </c>
      <c r="W9022">
        <v>79</v>
      </c>
      <c r="X9022">
        <v>501.94760000000002</v>
      </c>
      <c r="Y9022">
        <v>3</v>
      </c>
      <c r="Z9022">
        <v>501.94760000000002</v>
      </c>
      <c r="AA9022">
        <v>3</v>
      </c>
      <c r="AB9022">
        <v>16.137</v>
      </c>
      <c r="AC9022">
        <v>0.12477580000000001</v>
      </c>
      <c r="AD9022">
        <v>5.2181340000000001</v>
      </c>
      <c r="AE9022">
        <v>0.2105532</v>
      </c>
      <c r="AF9022">
        <v>42.226880000000001</v>
      </c>
      <c r="AG9022">
        <f>IFERROR(AH9022*0.1, "N/A")</f>
        <v>5.2441540000000009</v>
      </c>
      <c r="AH9022">
        <v>52.441540000000003</v>
      </c>
      <c r="AI9022">
        <v>232.25479999999999</v>
      </c>
      <c r="AJ9022">
        <v>21.11693</v>
      </c>
      <c r="AK9022">
        <v>74.324610000000007</v>
      </c>
    </row>
    <row r="9023" spans="1:37" x14ac:dyDescent="0.3">
      <c r="A9023">
        <v>9022</v>
      </c>
      <c r="B9023">
        <v>0</v>
      </c>
      <c r="C9023">
        <v>12.535600000000001</v>
      </c>
      <c r="D9023">
        <v>-5.1216100000000004</v>
      </c>
      <c r="E9023" t="s">
        <v>13718</v>
      </c>
      <c r="F9023" t="s">
        <v>13719</v>
      </c>
      <c r="G9023" t="s">
        <v>37</v>
      </c>
      <c r="H9023">
        <v>1996</v>
      </c>
      <c r="I9023">
        <v>25.2</v>
      </c>
      <c r="J9023">
        <v>7.4</v>
      </c>
      <c r="K9023">
        <v>55</v>
      </c>
      <c r="L9023">
        <v>18.940000000000001</v>
      </c>
      <c r="M9023">
        <v>31.3</v>
      </c>
      <c r="N9023">
        <v>17.899999999999999</v>
      </c>
      <c r="O9023">
        <v>13.4</v>
      </c>
      <c r="P9023">
        <v>26.9</v>
      </c>
      <c r="Q9023">
        <v>22.2</v>
      </c>
      <c r="R9023">
        <v>26.9</v>
      </c>
      <c r="S9023">
        <v>22.2</v>
      </c>
      <c r="T9023">
        <v>1072</v>
      </c>
      <c r="U9023">
        <v>184</v>
      </c>
      <c r="V9023">
        <v>0</v>
      </c>
      <c r="W9023">
        <v>80</v>
      </c>
      <c r="X9023">
        <v>508</v>
      </c>
      <c r="Y9023">
        <v>3</v>
      </c>
      <c r="Z9023">
        <v>508</v>
      </c>
      <c r="AA9023">
        <v>3</v>
      </c>
      <c r="AB9023">
        <v>72.934389999999993</v>
      </c>
      <c r="AC9023">
        <v>5.2326440000000002E-2</v>
      </c>
      <c r="AD9023">
        <v>1.5843419999999999</v>
      </c>
      <c r="AE9023">
        <v>0.2293954</v>
      </c>
      <c r="AF9023">
        <v>88.514039999999994</v>
      </c>
      <c r="AG9023">
        <f>IFERROR(AH9023*0.1, "N/A")</f>
        <v>5.2803510000000005</v>
      </c>
      <c r="AH9023">
        <v>52.803510000000003</v>
      </c>
      <c r="AI9023">
        <v>199.46170000000001</v>
      </c>
      <c r="AJ9023">
        <v>16.226320000000001</v>
      </c>
      <c r="AK9023">
        <v>75.517539999999997</v>
      </c>
    </row>
    <row r="9024" spans="1:37" x14ac:dyDescent="0.3">
      <c r="A9024">
        <v>9023</v>
      </c>
      <c r="B9024">
        <v>28.3</v>
      </c>
      <c r="C9024">
        <v>12.535600000000001</v>
      </c>
      <c r="D9024">
        <v>-5.1216100000000004</v>
      </c>
      <c r="E9024" t="s">
        <v>13718</v>
      </c>
      <c r="F9024" t="s">
        <v>13720</v>
      </c>
      <c r="G9024" t="s">
        <v>39</v>
      </c>
      <c r="H9024">
        <v>1996</v>
      </c>
      <c r="I9024">
        <v>25.2</v>
      </c>
      <c r="J9024">
        <v>7.4</v>
      </c>
      <c r="K9024">
        <v>55</v>
      </c>
      <c r="L9024">
        <v>18.940000000000001</v>
      </c>
      <c r="M9024">
        <v>31.3</v>
      </c>
      <c r="N9024">
        <v>17.899999999999999</v>
      </c>
      <c r="O9024">
        <v>13.4</v>
      </c>
      <c r="P9024">
        <v>26.9</v>
      </c>
      <c r="Q9024">
        <v>22.2</v>
      </c>
      <c r="R9024">
        <v>26.9</v>
      </c>
      <c r="S9024">
        <v>22.2</v>
      </c>
      <c r="T9024">
        <v>1072</v>
      </c>
      <c r="U9024">
        <v>184</v>
      </c>
      <c r="V9024">
        <v>0</v>
      </c>
      <c r="W9024">
        <v>80</v>
      </c>
      <c r="X9024">
        <v>508</v>
      </c>
      <c r="Y9024">
        <v>3</v>
      </c>
      <c r="Z9024">
        <v>508</v>
      </c>
      <c r="AA9024">
        <v>3</v>
      </c>
      <c r="AB9024">
        <v>72.934389999999993</v>
      </c>
      <c r="AC9024">
        <v>5.2326440000000002E-2</v>
      </c>
      <c r="AD9024">
        <v>1.5843419999999999</v>
      </c>
      <c r="AE9024">
        <v>0.2293954</v>
      </c>
      <c r="AF9024">
        <v>88.514039999999994</v>
      </c>
      <c r="AG9024">
        <f>IFERROR(AH9024*0.1, "N/A")</f>
        <v>5.2803510000000005</v>
      </c>
      <c r="AH9024">
        <v>52.803510000000003</v>
      </c>
      <c r="AI9024">
        <v>199.46170000000001</v>
      </c>
      <c r="AJ9024">
        <v>16.226320000000001</v>
      </c>
      <c r="AK9024">
        <v>75.517539999999997</v>
      </c>
    </row>
    <row r="9025" spans="1:37" x14ac:dyDescent="0.3">
      <c r="A9025">
        <v>9024</v>
      </c>
      <c r="B9025">
        <v>1</v>
      </c>
      <c r="C9025">
        <v>13.083299999999999</v>
      </c>
      <c r="D9025">
        <v>-5.15</v>
      </c>
      <c r="E9025" t="s">
        <v>13721</v>
      </c>
      <c r="F9025" t="s">
        <v>13722</v>
      </c>
      <c r="G9025" t="s">
        <v>37</v>
      </c>
      <c r="H9025">
        <v>1996</v>
      </c>
      <c r="I9025">
        <v>24.1648</v>
      </c>
      <c r="J9025">
        <v>7.8157620000000003</v>
      </c>
      <c r="K9025">
        <v>56.157620000000001</v>
      </c>
      <c r="L9025">
        <v>19.116689999999998</v>
      </c>
      <c r="M9025">
        <v>30.636600000000001</v>
      </c>
      <c r="N9025">
        <v>16.864799999999999</v>
      </c>
      <c r="O9025">
        <v>13.771800000000001</v>
      </c>
      <c r="P9025">
        <v>25.94904</v>
      </c>
      <c r="Q9025">
        <v>21.249040000000001</v>
      </c>
      <c r="R9025">
        <v>25.94904</v>
      </c>
      <c r="S9025">
        <v>21.249040000000001</v>
      </c>
      <c r="T9025">
        <v>1250.229</v>
      </c>
      <c r="U9025">
        <v>219.58670000000001</v>
      </c>
      <c r="V9025">
        <v>1</v>
      </c>
      <c r="W9025">
        <v>78</v>
      </c>
      <c r="X9025">
        <v>556.81790000000001</v>
      </c>
      <c r="Y9025">
        <v>6.1576180000000003</v>
      </c>
      <c r="Z9025">
        <v>556.81790000000001</v>
      </c>
      <c r="AA9025">
        <v>6.1576180000000003</v>
      </c>
      <c r="AB9025">
        <v>131.7758</v>
      </c>
      <c r="AC9025">
        <v>1.5462450000000001E-2</v>
      </c>
      <c r="AD9025">
        <v>15.52768</v>
      </c>
      <c r="AE9025">
        <v>0.1984291</v>
      </c>
      <c r="AF9025">
        <v>390.42910000000001</v>
      </c>
      <c r="AG9025">
        <f>IFERROR(AH9025*0.1, "N/A")</f>
        <v>5.2</v>
      </c>
      <c r="AH9025">
        <v>52</v>
      </c>
      <c r="AI9025">
        <v>113.3022</v>
      </c>
      <c r="AJ9025">
        <v>34.563920000000003</v>
      </c>
      <c r="AK9025">
        <v>44.436079999999997</v>
      </c>
    </row>
    <row r="9026" spans="1:37" x14ac:dyDescent="0.3">
      <c r="A9026">
        <v>9025</v>
      </c>
      <c r="B9026">
        <v>2.9</v>
      </c>
      <c r="C9026">
        <v>13.083299999999999</v>
      </c>
      <c r="D9026">
        <v>-5.15</v>
      </c>
      <c r="E9026" t="s">
        <v>13721</v>
      </c>
      <c r="F9026" t="s">
        <v>13723</v>
      </c>
      <c r="G9026" t="s">
        <v>39</v>
      </c>
      <c r="H9026">
        <v>1996</v>
      </c>
      <c r="I9026">
        <v>24.1648</v>
      </c>
      <c r="J9026">
        <v>7.8157620000000003</v>
      </c>
      <c r="K9026">
        <v>56.157620000000001</v>
      </c>
      <c r="L9026">
        <v>19.116689999999998</v>
      </c>
      <c r="M9026">
        <v>30.636600000000001</v>
      </c>
      <c r="N9026">
        <v>16.864799999999999</v>
      </c>
      <c r="O9026">
        <v>13.771800000000001</v>
      </c>
      <c r="P9026">
        <v>25.94904</v>
      </c>
      <c r="Q9026">
        <v>21.249040000000001</v>
      </c>
      <c r="R9026">
        <v>25.94904</v>
      </c>
      <c r="S9026">
        <v>21.249040000000001</v>
      </c>
      <c r="T9026">
        <v>1250.229</v>
      </c>
      <c r="U9026">
        <v>219.58670000000001</v>
      </c>
      <c r="V9026">
        <v>1</v>
      </c>
      <c r="W9026">
        <v>78</v>
      </c>
      <c r="X9026">
        <v>556.81790000000001</v>
      </c>
      <c r="Y9026">
        <v>6.1576180000000003</v>
      </c>
      <c r="Z9026">
        <v>556.81790000000001</v>
      </c>
      <c r="AA9026">
        <v>6.1576180000000003</v>
      </c>
      <c r="AB9026">
        <v>131.7758</v>
      </c>
      <c r="AC9026">
        <v>1.5462450000000001E-2</v>
      </c>
      <c r="AD9026">
        <v>15.52768</v>
      </c>
      <c r="AE9026">
        <v>0.1984291</v>
      </c>
      <c r="AF9026">
        <v>390.42910000000001</v>
      </c>
      <c r="AG9026">
        <f>IFERROR(AH9026*0.1, "N/A")</f>
        <v>5.2</v>
      </c>
      <c r="AH9026">
        <v>52</v>
      </c>
      <c r="AI9026">
        <v>113.3022</v>
      </c>
      <c r="AJ9026">
        <v>34.563920000000003</v>
      </c>
      <c r="AK9026">
        <v>44.436079999999997</v>
      </c>
    </row>
    <row r="9027" spans="1:37" x14ac:dyDescent="0.3">
      <c r="A9027">
        <v>9026</v>
      </c>
      <c r="B9027">
        <v>0</v>
      </c>
      <c r="C9027">
        <v>12.7667</v>
      </c>
      <c r="D9027">
        <v>-5.1666699999999999</v>
      </c>
      <c r="E9027" t="s">
        <v>13724</v>
      </c>
      <c r="F9027" t="s">
        <v>13725</v>
      </c>
      <c r="G9027" t="s">
        <v>37</v>
      </c>
      <c r="H9027">
        <v>1996</v>
      </c>
      <c r="I9027">
        <v>24.510660000000001</v>
      </c>
      <c r="J9027">
        <v>7.7</v>
      </c>
      <c r="K9027">
        <v>56</v>
      </c>
      <c r="L9027">
        <v>19.166699999999999</v>
      </c>
      <c r="M9027">
        <v>30.896850000000001</v>
      </c>
      <c r="N9027">
        <v>17.2</v>
      </c>
      <c r="O9027">
        <v>13.69685</v>
      </c>
      <c r="P9027">
        <v>26.296849999999999</v>
      </c>
      <c r="Q9027">
        <v>21.59685</v>
      </c>
      <c r="R9027">
        <v>26.296849999999999</v>
      </c>
      <c r="S9027">
        <v>21.59685</v>
      </c>
      <c r="T9027">
        <v>1199.5999999999999</v>
      </c>
      <c r="U9027">
        <v>208.26050000000001</v>
      </c>
      <c r="V9027">
        <v>1</v>
      </c>
      <c r="W9027">
        <v>78.632869999999997</v>
      </c>
      <c r="X9027">
        <v>553.18529999999998</v>
      </c>
      <c r="Y9027">
        <v>5</v>
      </c>
      <c r="Z9027">
        <v>553.18529999999998</v>
      </c>
      <c r="AA9027">
        <v>5</v>
      </c>
      <c r="AB9027">
        <v>9.7361810000000002</v>
      </c>
      <c r="AC9027">
        <v>8.0657980000000004E-2</v>
      </c>
      <c r="AD9027">
        <v>1.933403</v>
      </c>
      <c r="AE9027">
        <v>0.19409999999999999</v>
      </c>
      <c r="AF9027">
        <v>229.4213</v>
      </c>
      <c r="AG9027">
        <f>IFERROR(AH9027*0.1, "N/A")</f>
        <v>5.1106639999999999</v>
      </c>
      <c r="AH9027">
        <v>51.106639999999999</v>
      </c>
      <c r="AI9027">
        <v>127.0933</v>
      </c>
      <c r="AJ9027">
        <v>31.833919999999999</v>
      </c>
      <c r="AK9027">
        <v>54.629370000000002</v>
      </c>
    </row>
    <row r="9028" spans="1:37" x14ac:dyDescent="0.3">
      <c r="A9028">
        <v>9027</v>
      </c>
      <c r="B9028">
        <v>1</v>
      </c>
      <c r="C9028">
        <v>12.7667</v>
      </c>
      <c r="D9028">
        <v>-5.1666699999999999</v>
      </c>
      <c r="E9028" t="s">
        <v>13724</v>
      </c>
      <c r="F9028" t="s">
        <v>13726</v>
      </c>
      <c r="G9028" t="s">
        <v>39</v>
      </c>
      <c r="H9028">
        <v>1996</v>
      </c>
      <c r="I9028">
        <v>24.510660000000001</v>
      </c>
      <c r="J9028">
        <v>7.7</v>
      </c>
      <c r="K9028">
        <v>56</v>
      </c>
      <c r="L9028">
        <v>19.166699999999999</v>
      </c>
      <c r="M9028">
        <v>30.896850000000001</v>
      </c>
      <c r="N9028">
        <v>17.2</v>
      </c>
      <c r="O9028">
        <v>13.69685</v>
      </c>
      <c r="P9028">
        <v>26.296849999999999</v>
      </c>
      <c r="Q9028">
        <v>21.59685</v>
      </c>
      <c r="R9028">
        <v>26.296849999999999</v>
      </c>
      <c r="S9028">
        <v>21.59685</v>
      </c>
      <c r="T9028">
        <v>1199.5999999999999</v>
      </c>
      <c r="U9028">
        <v>208.26050000000001</v>
      </c>
      <c r="V9028">
        <v>1</v>
      </c>
      <c r="W9028">
        <v>78.632869999999997</v>
      </c>
      <c r="X9028">
        <v>553.18529999999998</v>
      </c>
      <c r="Y9028">
        <v>5</v>
      </c>
      <c r="Z9028">
        <v>553.18529999999998</v>
      </c>
      <c r="AA9028">
        <v>5</v>
      </c>
      <c r="AB9028">
        <v>9.7361810000000002</v>
      </c>
      <c r="AC9028">
        <v>8.0657980000000004E-2</v>
      </c>
      <c r="AD9028">
        <v>1.933403</v>
      </c>
      <c r="AE9028">
        <v>0.19409999999999999</v>
      </c>
      <c r="AF9028">
        <v>229.4213</v>
      </c>
      <c r="AG9028">
        <f>IFERROR(AH9028*0.1, "N/A")</f>
        <v>5.1106639999999999</v>
      </c>
      <c r="AH9028">
        <v>51.106639999999999</v>
      </c>
      <c r="AI9028">
        <v>127.0933</v>
      </c>
      <c r="AJ9028">
        <v>31.833919999999999</v>
      </c>
      <c r="AK9028">
        <v>54.629370000000002</v>
      </c>
    </row>
    <row r="9029" spans="1:37" x14ac:dyDescent="0.3">
      <c r="A9029">
        <v>9028</v>
      </c>
      <c r="B9029">
        <v>2</v>
      </c>
      <c r="C9029">
        <v>12.974399999999999</v>
      </c>
      <c r="D9029">
        <v>-5.1699900000000003</v>
      </c>
      <c r="E9029" t="s">
        <v>13727</v>
      </c>
      <c r="F9029" t="s">
        <v>13728</v>
      </c>
      <c r="G9029" t="s">
        <v>37</v>
      </c>
      <c r="H9029">
        <v>1996</v>
      </c>
      <c r="I9029">
        <v>24.6</v>
      </c>
      <c r="J9029">
        <v>7.8</v>
      </c>
      <c r="K9029">
        <v>56</v>
      </c>
      <c r="L9029">
        <v>18.91</v>
      </c>
      <c r="M9029">
        <v>31</v>
      </c>
      <c r="N9029">
        <v>17.3</v>
      </c>
      <c r="O9029">
        <v>13.7</v>
      </c>
      <c r="P9029">
        <v>26.3</v>
      </c>
      <c r="Q9029">
        <v>21.6</v>
      </c>
      <c r="R9029">
        <v>26.3</v>
      </c>
      <c r="S9029">
        <v>21.6</v>
      </c>
      <c r="T9029">
        <v>1236</v>
      </c>
      <c r="U9029">
        <v>216</v>
      </c>
      <c r="V9029">
        <v>1</v>
      </c>
      <c r="W9029">
        <v>78</v>
      </c>
      <c r="X9029">
        <v>556</v>
      </c>
      <c r="Y9029">
        <v>6</v>
      </c>
      <c r="Z9029">
        <v>556</v>
      </c>
      <c r="AA9029">
        <v>6</v>
      </c>
      <c r="AB9029">
        <v>1.0433520000000001</v>
      </c>
      <c r="AC9029">
        <v>0.63343590000000005</v>
      </c>
      <c r="AD9029">
        <v>2.2950050000000002</v>
      </c>
      <c r="AE9029">
        <v>0.24631800000000001</v>
      </c>
      <c r="AF9029">
        <v>243.93530000000001</v>
      </c>
      <c r="AG9029">
        <f>IFERROR(AH9029*0.1, "N/A")</f>
        <v>5.0713290000000004</v>
      </c>
      <c r="AH9029">
        <v>50.713290000000001</v>
      </c>
      <c r="AI9029">
        <v>122.6125</v>
      </c>
      <c r="AJ9029">
        <v>35.356639999999999</v>
      </c>
      <c r="AK9029">
        <v>45.286709999999999</v>
      </c>
    </row>
    <row r="9030" spans="1:37" x14ac:dyDescent="0.3">
      <c r="A9030">
        <v>9029</v>
      </c>
      <c r="B9030">
        <v>2.9</v>
      </c>
      <c r="C9030">
        <v>12.974399999999999</v>
      </c>
      <c r="D9030">
        <v>-5.1699900000000003</v>
      </c>
      <c r="E9030" t="s">
        <v>13727</v>
      </c>
      <c r="F9030" t="s">
        <v>13729</v>
      </c>
      <c r="G9030" t="s">
        <v>39</v>
      </c>
      <c r="H9030">
        <v>1996</v>
      </c>
      <c r="I9030">
        <v>24.6</v>
      </c>
      <c r="J9030">
        <v>7.8</v>
      </c>
      <c r="K9030">
        <v>56</v>
      </c>
      <c r="L9030">
        <v>18.91</v>
      </c>
      <c r="M9030">
        <v>31</v>
      </c>
      <c r="N9030">
        <v>17.3</v>
      </c>
      <c r="O9030">
        <v>13.7</v>
      </c>
      <c r="P9030">
        <v>26.3</v>
      </c>
      <c r="Q9030">
        <v>21.6</v>
      </c>
      <c r="R9030">
        <v>26.3</v>
      </c>
      <c r="S9030">
        <v>21.6</v>
      </c>
      <c r="T9030">
        <v>1236</v>
      </c>
      <c r="U9030">
        <v>216</v>
      </c>
      <c r="V9030">
        <v>1</v>
      </c>
      <c r="W9030">
        <v>78</v>
      </c>
      <c r="X9030">
        <v>556</v>
      </c>
      <c r="Y9030">
        <v>6</v>
      </c>
      <c r="Z9030">
        <v>556</v>
      </c>
      <c r="AA9030">
        <v>6</v>
      </c>
      <c r="AB9030">
        <v>1.0433520000000001</v>
      </c>
      <c r="AC9030">
        <v>0.63343590000000005</v>
      </c>
      <c r="AD9030">
        <v>2.2950050000000002</v>
      </c>
      <c r="AE9030">
        <v>0.24631800000000001</v>
      </c>
      <c r="AF9030">
        <v>243.93530000000001</v>
      </c>
      <c r="AG9030">
        <f>IFERROR(AH9030*0.1, "N/A")</f>
        <v>5.0713290000000004</v>
      </c>
      <c r="AH9030">
        <v>50.713290000000001</v>
      </c>
      <c r="AI9030">
        <v>122.6125</v>
      </c>
      <c r="AJ9030">
        <v>35.356639999999999</v>
      </c>
      <c r="AK9030">
        <v>45.286709999999999</v>
      </c>
    </row>
    <row r="9031" spans="1:37" x14ac:dyDescent="0.3">
      <c r="A9031">
        <v>9030</v>
      </c>
      <c r="B9031">
        <v>0</v>
      </c>
      <c r="C9031">
        <v>12.9842</v>
      </c>
      <c r="D9031">
        <v>-5.1969799999999999</v>
      </c>
      <c r="E9031" t="s">
        <v>13730</v>
      </c>
      <c r="F9031" t="s">
        <v>13731</v>
      </c>
      <c r="G9031" t="s">
        <v>37</v>
      </c>
      <c r="H9031">
        <v>1996</v>
      </c>
      <c r="I9031">
        <v>24.9</v>
      </c>
      <c r="J9031">
        <v>7.8</v>
      </c>
      <c r="K9031">
        <v>56</v>
      </c>
      <c r="L9031">
        <v>18.88</v>
      </c>
      <c r="M9031">
        <v>31.2</v>
      </c>
      <c r="N9031">
        <v>17.5</v>
      </c>
      <c r="O9031">
        <v>13.7</v>
      </c>
      <c r="P9031">
        <v>26.6</v>
      </c>
      <c r="Q9031">
        <v>22</v>
      </c>
      <c r="R9031">
        <v>26.6</v>
      </c>
      <c r="S9031">
        <v>22</v>
      </c>
      <c r="T9031">
        <v>1216</v>
      </c>
      <c r="U9031">
        <v>214</v>
      </c>
      <c r="V9031">
        <v>1</v>
      </c>
      <c r="W9031">
        <v>78</v>
      </c>
      <c r="X9031">
        <v>548</v>
      </c>
      <c r="Y9031">
        <v>6</v>
      </c>
      <c r="Z9031">
        <v>548</v>
      </c>
      <c r="AA9031">
        <v>6</v>
      </c>
      <c r="AB9031">
        <v>21.720109999999998</v>
      </c>
      <c r="AC9031">
        <v>1.3380349999999999E-2</v>
      </c>
      <c r="AD9031">
        <v>3.5089570000000001</v>
      </c>
      <c r="AE9031">
        <v>0.22901850000000001</v>
      </c>
      <c r="AF9031">
        <v>215.19579999999999</v>
      </c>
      <c r="AG9031">
        <f>IFERROR(AH9031*0.1, "N/A")</f>
        <v>5.3000000000000007</v>
      </c>
      <c r="AH9031">
        <v>53</v>
      </c>
      <c r="AI9031">
        <v>101.2295</v>
      </c>
      <c r="AJ9031">
        <v>35.67483</v>
      </c>
      <c r="AK9031">
        <v>46.650350000000003</v>
      </c>
    </row>
    <row r="9032" spans="1:37" x14ac:dyDescent="0.3">
      <c r="A9032">
        <v>9031</v>
      </c>
      <c r="B9032">
        <v>2.4</v>
      </c>
      <c r="C9032">
        <v>12.9842</v>
      </c>
      <c r="D9032">
        <v>-5.1969799999999999</v>
      </c>
      <c r="E9032" t="s">
        <v>13730</v>
      </c>
      <c r="F9032" t="s">
        <v>13732</v>
      </c>
      <c r="G9032" t="s">
        <v>39</v>
      </c>
      <c r="H9032">
        <v>1996</v>
      </c>
      <c r="I9032">
        <v>24.9</v>
      </c>
      <c r="J9032">
        <v>7.8</v>
      </c>
      <c r="K9032">
        <v>56</v>
      </c>
      <c r="L9032">
        <v>18.88</v>
      </c>
      <c r="M9032">
        <v>31.2</v>
      </c>
      <c r="N9032">
        <v>17.5</v>
      </c>
      <c r="O9032">
        <v>13.7</v>
      </c>
      <c r="P9032">
        <v>26.6</v>
      </c>
      <c r="Q9032">
        <v>22</v>
      </c>
      <c r="R9032">
        <v>26.6</v>
      </c>
      <c r="S9032">
        <v>22</v>
      </c>
      <c r="T9032">
        <v>1216</v>
      </c>
      <c r="U9032">
        <v>214</v>
      </c>
      <c r="V9032">
        <v>1</v>
      </c>
      <c r="W9032">
        <v>78</v>
      </c>
      <c r="X9032">
        <v>548</v>
      </c>
      <c r="Y9032">
        <v>6</v>
      </c>
      <c r="Z9032">
        <v>548</v>
      </c>
      <c r="AA9032">
        <v>6</v>
      </c>
      <c r="AB9032">
        <v>21.720109999999998</v>
      </c>
      <c r="AC9032">
        <v>1.3380349999999999E-2</v>
      </c>
      <c r="AD9032">
        <v>3.5089570000000001</v>
      </c>
      <c r="AE9032">
        <v>0.22901850000000001</v>
      </c>
      <c r="AF9032">
        <v>215.19579999999999</v>
      </c>
      <c r="AG9032">
        <f>IFERROR(AH9032*0.1, "N/A")</f>
        <v>5.3000000000000007</v>
      </c>
      <c r="AH9032">
        <v>53</v>
      </c>
      <c r="AI9032">
        <v>101.2295</v>
      </c>
      <c r="AJ9032">
        <v>35.67483</v>
      </c>
      <c r="AK9032">
        <v>46.650350000000003</v>
      </c>
    </row>
    <row r="9033" spans="1:37" x14ac:dyDescent="0.3">
      <c r="A9033">
        <v>9032</v>
      </c>
      <c r="B9033">
        <v>4.7</v>
      </c>
      <c r="C9033">
        <v>12.6869</v>
      </c>
      <c r="D9033">
        <v>-5.2125599999999999</v>
      </c>
      <c r="E9033" t="s">
        <v>13733</v>
      </c>
      <c r="F9033" t="s">
        <v>13734</v>
      </c>
      <c r="G9033" t="s">
        <v>37</v>
      </c>
      <c r="H9033">
        <v>1996</v>
      </c>
      <c r="I9033">
        <v>25.2</v>
      </c>
      <c r="J9033">
        <v>7.6</v>
      </c>
      <c r="K9033">
        <v>55</v>
      </c>
      <c r="L9033">
        <v>18.96</v>
      </c>
      <c r="M9033">
        <v>31.5</v>
      </c>
      <c r="N9033">
        <v>17.899999999999999</v>
      </c>
      <c r="O9033">
        <v>13.6</v>
      </c>
      <c r="P9033">
        <v>27</v>
      </c>
      <c r="Q9033">
        <v>22.3</v>
      </c>
      <c r="R9033">
        <v>27</v>
      </c>
      <c r="S9033">
        <v>22.3</v>
      </c>
      <c r="T9033">
        <v>1109</v>
      </c>
      <c r="U9033">
        <v>193</v>
      </c>
      <c r="V9033">
        <v>0</v>
      </c>
      <c r="W9033">
        <v>79</v>
      </c>
      <c r="X9033">
        <v>519</v>
      </c>
      <c r="Y9033">
        <v>4</v>
      </c>
      <c r="Z9033">
        <v>519</v>
      </c>
      <c r="AA9033">
        <v>4</v>
      </c>
      <c r="AB9033">
        <v>23.567019999999999</v>
      </c>
      <c r="AC9033">
        <v>1.011131E-2</v>
      </c>
      <c r="AD9033">
        <v>3.4743789999999999</v>
      </c>
      <c r="AE9033">
        <v>0.3084519</v>
      </c>
      <c r="AF9033">
        <v>106.50530000000001</v>
      </c>
      <c r="AG9033">
        <f>IFERROR(AH9033*0.1, "N/A")</f>
        <v>5.3375440000000003</v>
      </c>
      <c r="AH9033">
        <v>53.375439999999998</v>
      </c>
      <c r="AI9033">
        <v>237.85319999999999</v>
      </c>
      <c r="AJ9033">
        <v>17.624559999999999</v>
      </c>
      <c r="AK9033">
        <v>74.375439999999998</v>
      </c>
    </row>
    <row r="9034" spans="1:37" x14ac:dyDescent="0.3">
      <c r="A9034">
        <v>9033</v>
      </c>
      <c r="B9034">
        <v>0</v>
      </c>
      <c r="C9034">
        <v>12.6869</v>
      </c>
      <c r="D9034">
        <v>-5.2125599999999999</v>
      </c>
      <c r="E9034" t="s">
        <v>13733</v>
      </c>
      <c r="F9034" t="s">
        <v>13735</v>
      </c>
      <c r="G9034" t="s">
        <v>39</v>
      </c>
      <c r="H9034">
        <v>1996</v>
      </c>
      <c r="I9034">
        <v>25.2</v>
      </c>
      <c r="J9034">
        <v>7.6</v>
      </c>
      <c r="K9034">
        <v>55</v>
      </c>
      <c r="L9034">
        <v>18.96</v>
      </c>
      <c r="M9034">
        <v>31.5</v>
      </c>
      <c r="N9034">
        <v>17.899999999999999</v>
      </c>
      <c r="O9034">
        <v>13.6</v>
      </c>
      <c r="P9034">
        <v>27</v>
      </c>
      <c r="Q9034">
        <v>22.3</v>
      </c>
      <c r="R9034">
        <v>27</v>
      </c>
      <c r="S9034">
        <v>22.3</v>
      </c>
      <c r="T9034">
        <v>1109</v>
      </c>
      <c r="U9034">
        <v>193</v>
      </c>
      <c r="V9034">
        <v>0</v>
      </c>
      <c r="W9034">
        <v>79</v>
      </c>
      <c r="X9034">
        <v>519</v>
      </c>
      <c r="Y9034">
        <v>4</v>
      </c>
      <c r="Z9034">
        <v>519</v>
      </c>
      <c r="AA9034">
        <v>4</v>
      </c>
      <c r="AB9034">
        <v>23.567019999999999</v>
      </c>
      <c r="AC9034">
        <v>1.011131E-2</v>
      </c>
      <c r="AD9034">
        <v>3.4743789999999999</v>
      </c>
      <c r="AE9034">
        <v>0.3084519</v>
      </c>
      <c r="AF9034">
        <v>106.50530000000001</v>
      </c>
      <c r="AG9034">
        <f>IFERROR(AH9034*0.1, "N/A")</f>
        <v>5.3375440000000003</v>
      </c>
      <c r="AH9034">
        <v>53.375439999999998</v>
      </c>
      <c r="AI9034">
        <v>237.85319999999999</v>
      </c>
      <c r="AJ9034">
        <v>17.624559999999999</v>
      </c>
      <c r="AK9034">
        <v>74.375439999999998</v>
      </c>
    </row>
    <row r="9035" spans="1:37" x14ac:dyDescent="0.3">
      <c r="A9035">
        <v>9034</v>
      </c>
      <c r="B9035">
        <v>11.8</v>
      </c>
      <c r="C9035">
        <v>14.183299999999999</v>
      </c>
      <c r="D9035">
        <v>-5.2333299999999996</v>
      </c>
      <c r="E9035" t="s">
        <v>13736</v>
      </c>
      <c r="F9035" t="s">
        <v>13737</v>
      </c>
      <c r="G9035" t="s">
        <v>39</v>
      </c>
      <c r="H9035">
        <v>1995</v>
      </c>
      <c r="I9035">
        <v>23.693359999999998</v>
      </c>
      <c r="J9035">
        <v>8.4</v>
      </c>
      <c r="K9035">
        <v>60.248249999999999</v>
      </c>
      <c r="L9035">
        <v>16.984760000000001</v>
      </c>
      <c r="M9035">
        <v>29.993359999999999</v>
      </c>
      <c r="N9035">
        <v>16.21818</v>
      </c>
      <c r="O9035">
        <v>13.775169999999999</v>
      </c>
      <c r="P9035">
        <v>25.012409999999999</v>
      </c>
      <c r="Q9035">
        <v>20.993359999999999</v>
      </c>
      <c r="R9035">
        <v>25.212409999999998</v>
      </c>
      <c r="S9035">
        <v>20.993359999999999</v>
      </c>
      <c r="T9035">
        <v>1232.0999999999999</v>
      </c>
      <c r="U9035">
        <v>230.38990000000001</v>
      </c>
      <c r="V9035">
        <v>0</v>
      </c>
      <c r="W9035">
        <v>79.667829999999995</v>
      </c>
      <c r="X9035">
        <v>516.97900000000004</v>
      </c>
      <c r="Y9035">
        <v>4.3321680000000002</v>
      </c>
      <c r="Z9035">
        <v>504.79719999999998</v>
      </c>
      <c r="AA9035">
        <v>4.3321680000000002</v>
      </c>
      <c r="AB9035">
        <v>52.891959999999997</v>
      </c>
      <c r="AC9035">
        <v>3.068829E-2</v>
      </c>
      <c r="AD9035">
        <v>15.38363</v>
      </c>
      <c r="AE9035">
        <v>0.16975290000000001</v>
      </c>
      <c r="AF9035">
        <v>492.37759999999997</v>
      </c>
      <c r="AG9035">
        <f>IFERROR(AH9035*0.1, "N/A")</f>
        <v>5.2</v>
      </c>
      <c r="AH9035">
        <v>52</v>
      </c>
      <c r="AI9035">
        <v>188.13239999999999</v>
      </c>
      <c r="AJ9035">
        <v>45</v>
      </c>
      <c r="AK9035">
        <v>36.332169999999998</v>
      </c>
    </row>
    <row r="9036" spans="1:37" x14ac:dyDescent="0.3">
      <c r="A9036">
        <v>9035</v>
      </c>
      <c r="B9036">
        <v>6.7</v>
      </c>
      <c r="C9036">
        <v>14.183299999999999</v>
      </c>
      <c r="D9036">
        <v>-5.2333299999999996</v>
      </c>
      <c r="E9036" t="s">
        <v>13736</v>
      </c>
      <c r="F9036" t="s">
        <v>13738</v>
      </c>
      <c r="G9036" t="s">
        <v>37</v>
      </c>
      <c r="H9036">
        <v>1995</v>
      </c>
      <c r="I9036">
        <v>23.693359999999998</v>
      </c>
      <c r="J9036">
        <v>8.4</v>
      </c>
      <c r="K9036">
        <v>60.248249999999999</v>
      </c>
      <c r="L9036">
        <v>16.984760000000001</v>
      </c>
      <c r="M9036">
        <v>29.993359999999999</v>
      </c>
      <c r="N9036">
        <v>16.21818</v>
      </c>
      <c r="O9036">
        <v>13.775169999999999</v>
      </c>
      <c r="P9036">
        <v>25.012409999999999</v>
      </c>
      <c r="Q9036">
        <v>20.993359999999999</v>
      </c>
      <c r="R9036">
        <v>25.212409999999998</v>
      </c>
      <c r="S9036">
        <v>20.993359999999999</v>
      </c>
      <c r="T9036">
        <v>1232.0999999999999</v>
      </c>
      <c r="U9036">
        <v>230.38990000000001</v>
      </c>
      <c r="V9036">
        <v>0</v>
      </c>
      <c r="W9036">
        <v>79.667829999999995</v>
      </c>
      <c r="X9036">
        <v>516.97900000000004</v>
      </c>
      <c r="Y9036">
        <v>4.3321680000000002</v>
      </c>
      <c r="Z9036">
        <v>504.79719999999998</v>
      </c>
      <c r="AA9036">
        <v>4.3321680000000002</v>
      </c>
      <c r="AB9036">
        <v>52.891959999999997</v>
      </c>
      <c r="AC9036">
        <v>3.068829E-2</v>
      </c>
      <c r="AD9036">
        <v>15.38363</v>
      </c>
      <c r="AE9036">
        <v>0.16975290000000001</v>
      </c>
      <c r="AF9036">
        <v>492.37759999999997</v>
      </c>
      <c r="AG9036">
        <f>IFERROR(AH9036*0.1, "N/A")</f>
        <v>5.2</v>
      </c>
      <c r="AH9036">
        <v>52</v>
      </c>
      <c r="AI9036">
        <v>188.13239999999999</v>
      </c>
      <c r="AJ9036">
        <v>45</v>
      </c>
      <c r="AK9036">
        <v>36.332169999999998</v>
      </c>
    </row>
    <row r="9037" spans="1:37" x14ac:dyDescent="0.3">
      <c r="A9037">
        <v>9036</v>
      </c>
      <c r="B9037">
        <v>3.6</v>
      </c>
      <c r="C9037">
        <v>12.726000000000001</v>
      </c>
      <c r="D9037">
        <v>-5.2490600000000001</v>
      </c>
      <c r="E9037" t="s">
        <v>13739</v>
      </c>
      <c r="F9037" t="s">
        <v>13740</v>
      </c>
      <c r="G9037" t="s">
        <v>37</v>
      </c>
      <c r="H9037">
        <v>1996</v>
      </c>
      <c r="I9037">
        <v>25.3</v>
      </c>
      <c r="J9037">
        <v>7.7</v>
      </c>
      <c r="K9037">
        <v>56</v>
      </c>
      <c r="L9037">
        <v>18.977260000000001</v>
      </c>
      <c r="M9037">
        <v>31.59789</v>
      </c>
      <c r="N9037">
        <v>17.997890000000002</v>
      </c>
      <c r="O9037">
        <v>13.6</v>
      </c>
      <c r="P9037">
        <v>27</v>
      </c>
      <c r="Q9037">
        <v>22.302109999999999</v>
      </c>
      <c r="R9037">
        <v>27</v>
      </c>
      <c r="S9037">
        <v>22.302109999999999</v>
      </c>
      <c r="T9037">
        <v>1113.9159999999999</v>
      </c>
      <c r="U9037">
        <v>196</v>
      </c>
      <c r="V9037">
        <v>0</v>
      </c>
      <c r="W9037">
        <v>79.978909999999999</v>
      </c>
      <c r="X9037">
        <v>520.97889999999995</v>
      </c>
      <c r="Y9037">
        <v>4</v>
      </c>
      <c r="Z9037">
        <v>520.97889999999995</v>
      </c>
      <c r="AA9037">
        <v>4</v>
      </c>
      <c r="AB9037">
        <v>41.372579999999999</v>
      </c>
      <c r="AC9037">
        <v>8.5127310000000008E-3</v>
      </c>
      <c r="AD9037">
        <v>1.720118</v>
      </c>
      <c r="AE9037">
        <v>0.21684349999999999</v>
      </c>
      <c r="AF9037">
        <v>115.239</v>
      </c>
      <c r="AG9037">
        <f>IFERROR(AH9037*0.1, "N/A")</f>
        <v>5.2321620000000006</v>
      </c>
      <c r="AH9037">
        <v>52.321620000000003</v>
      </c>
      <c r="AI9037">
        <v>98.164649999999995</v>
      </c>
      <c r="AJ9037">
        <v>21.695959999999999</v>
      </c>
      <c r="AK9037">
        <v>67.964849999999998</v>
      </c>
    </row>
    <row r="9038" spans="1:37" x14ac:dyDescent="0.3">
      <c r="A9038">
        <v>9037</v>
      </c>
      <c r="B9038">
        <v>0</v>
      </c>
      <c r="C9038">
        <v>12.726000000000001</v>
      </c>
      <c r="D9038">
        <v>-5.2490600000000001</v>
      </c>
      <c r="E9038" t="s">
        <v>13739</v>
      </c>
      <c r="F9038" t="s">
        <v>13741</v>
      </c>
      <c r="G9038" t="s">
        <v>39</v>
      </c>
      <c r="H9038">
        <v>1996</v>
      </c>
      <c r="I9038">
        <v>25.3</v>
      </c>
      <c r="J9038">
        <v>7.7</v>
      </c>
      <c r="K9038">
        <v>56</v>
      </c>
      <c r="L9038">
        <v>18.977260000000001</v>
      </c>
      <c r="M9038">
        <v>31.59789</v>
      </c>
      <c r="N9038">
        <v>17.997890000000002</v>
      </c>
      <c r="O9038">
        <v>13.6</v>
      </c>
      <c r="P9038">
        <v>27</v>
      </c>
      <c r="Q9038">
        <v>22.302109999999999</v>
      </c>
      <c r="R9038">
        <v>27</v>
      </c>
      <c r="S9038">
        <v>22.302109999999999</v>
      </c>
      <c r="T9038">
        <v>1113.9159999999999</v>
      </c>
      <c r="U9038">
        <v>196</v>
      </c>
      <c r="V9038">
        <v>0</v>
      </c>
      <c r="W9038">
        <v>79.978909999999999</v>
      </c>
      <c r="X9038">
        <v>520.97889999999995</v>
      </c>
      <c r="Y9038">
        <v>4</v>
      </c>
      <c r="Z9038">
        <v>520.97889999999995</v>
      </c>
      <c r="AA9038">
        <v>4</v>
      </c>
      <c r="AB9038">
        <v>41.372579999999999</v>
      </c>
      <c r="AC9038">
        <v>8.5127310000000008E-3</v>
      </c>
      <c r="AD9038">
        <v>1.720118</v>
      </c>
      <c r="AE9038">
        <v>0.21684349999999999</v>
      </c>
      <c r="AF9038">
        <v>115.239</v>
      </c>
      <c r="AG9038">
        <f>IFERROR(AH9038*0.1, "N/A")</f>
        <v>5.2321620000000006</v>
      </c>
      <c r="AH9038">
        <v>52.321620000000003</v>
      </c>
      <c r="AI9038">
        <v>98.164649999999995</v>
      </c>
      <c r="AJ9038">
        <v>21.695959999999999</v>
      </c>
      <c r="AK9038">
        <v>67.964849999999998</v>
      </c>
    </row>
    <row r="9039" spans="1:37" x14ac:dyDescent="0.3">
      <c r="A9039">
        <v>9038</v>
      </c>
      <c r="B9039">
        <v>7.7</v>
      </c>
      <c r="C9039">
        <v>14.15</v>
      </c>
      <c r="D9039">
        <v>-5.25</v>
      </c>
      <c r="E9039" t="s">
        <v>13742</v>
      </c>
      <c r="F9039" t="s">
        <v>13743</v>
      </c>
      <c r="G9039" t="s">
        <v>39</v>
      </c>
      <c r="H9039">
        <v>1995</v>
      </c>
      <c r="I9039">
        <v>23.888269999999999</v>
      </c>
      <c r="J9039">
        <v>8.3000000000000007</v>
      </c>
      <c r="K9039">
        <v>59.772329999999997</v>
      </c>
      <c r="L9039">
        <v>17.2941</v>
      </c>
      <c r="M9039">
        <v>30.160250000000001</v>
      </c>
      <c r="N9039">
        <v>16.337479999999999</v>
      </c>
      <c r="O9039">
        <v>13.82277</v>
      </c>
      <c r="P9039">
        <v>25.16865</v>
      </c>
      <c r="Q9039">
        <v>21.179860000000001</v>
      </c>
      <c r="R9039">
        <v>25.46865</v>
      </c>
      <c r="S9039">
        <v>21.179860000000001</v>
      </c>
      <c r="T9039">
        <v>1218.338</v>
      </c>
      <c r="U9039">
        <v>229.16460000000001</v>
      </c>
      <c r="V9039">
        <v>0</v>
      </c>
      <c r="W9039">
        <v>80</v>
      </c>
      <c r="X9039">
        <v>513.10159999999996</v>
      </c>
      <c r="Y9039">
        <v>4</v>
      </c>
      <c r="Z9039">
        <v>502.13490000000002</v>
      </c>
      <c r="AA9039">
        <v>4</v>
      </c>
      <c r="AB9039">
        <v>55.92259</v>
      </c>
      <c r="AC9039">
        <v>2.7804200000000001E-2</v>
      </c>
      <c r="AD9039">
        <v>4.415527</v>
      </c>
      <c r="AE9039">
        <v>0.16027069999999999</v>
      </c>
      <c r="AF9039">
        <v>486.84589999999997</v>
      </c>
      <c r="AG9039">
        <f>IFERROR(AH9039*0.1, "N/A")</f>
        <v>5.2900179999999999</v>
      </c>
      <c r="AH9039">
        <v>52.900179999999999</v>
      </c>
      <c r="AI9039">
        <v>255.89949999999999</v>
      </c>
      <c r="AJ9039">
        <v>36.686509999999998</v>
      </c>
      <c r="AK9039">
        <v>44.406300000000002</v>
      </c>
    </row>
    <row r="9040" spans="1:37" x14ac:dyDescent="0.3">
      <c r="A9040">
        <v>9039</v>
      </c>
      <c r="B9040">
        <v>2.9</v>
      </c>
      <c r="C9040">
        <v>14.15</v>
      </c>
      <c r="D9040">
        <v>-5.25</v>
      </c>
      <c r="E9040" t="s">
        <v>13742</v>
      </c>
      <c r="F9040" t="s">
        <v>13744</v>
      </c>
      <c r="G9040" t="s">
        <v>37</v>
      </c>
      <c r="H9040">
        <v>1995</v>
      </c>
      <c r="I9040">
        <v>23.888269999999999</v>
      </c>
      <c r="J9040">
        <v>8.3000000000000007</v>
      </c>
      <c r="K9040">
        <v>59.772329999999997</v>
      </c>
      <c r="L9040">
        <v>17.2941</v>
      </c>
      <c r="M9040">
        <v>30.160250000000001</v>
      </c>
      <c r="N9040">
        <v>16.337479999999999</v>
      </c>
      <c r="O9040">
        <v>13.82277</v>
      </c>
      <c r="P9040">
        <v>25.16865</v>
      </c>
      <c r="Q9040">
        <v>21.179860000000001</v>
      </c>
      <c r="R9040">
        <v>25.46865</v>
      </c>
      <c r="S9040">
        <v>21.179860000000001</v>
      </c>
      <c r="T9040">
        <v>1218.338</v>
      </c>
      <c r="U9040">
        <v>229.16460000000001</v>
      </c>
      <c r="V9040">
        <v>0</v>
      </c>
      <c r="W9040">
        <v>80</v>
      </c>
      <c r="X9040">
        <v>513.10159999999996</v>
      </c>
      <c r="Y9040">
        <v>4</v>
      </c>
      <c r="Z9040">
        <v>502.13490000000002</v>
      </c>
      <c r="AA9040">
        <v>4</v>
      </c>
      <c r="AB9040">
        <v>55.92259</v>
      </c>
      <c r="AC9040">
        <v>2.7804200000000001E-2</v>
      </c>
      <c r="AD9040">
        <v>4.415527</v>
      </c>
      <c r="AE9040">
        <v>0.16027069999999999</v>
      </c>
      <c r="AF9040">
        <v>486.84589999999997</v>
      </c>
      <c r="AG9040">
        <f>IFERROR(AH9040*0.1, "N/A")</f>
        <v>5.2900179999999999</v>
      </c>
      <c r="AH9040">
        <v>52.900179999999999</v>
      </c>
      <c r="AI9040">
        <v>255.89949999999999</v>
      </c>
      <c r="AJ9040">
        <v>36.686509999999998</v>
      </c>
      <c r="AK9040">
        <v>44.406300000000002</v>
      </c>
    </row>
    <row r="9041" spans="1:37" x14ac:dyDescent="0.3">
      <c r="A9041">
        <v>9040</v>
      </c>
      <c r="B9041">
        <v>51</v>
      </c>
      <c r="C9041">
        <v>12.968500000000001</v>
      </c>
      <c r="D9041">
        <v>-5.2558699999999998</v>
      </c>
      <c r="E9041" t="s">
        <v>13745</v>
      </c>
      <c r="F9041" t="s">
        <v>13746</v>
      </c>
      <c r="G9041" t="s">
        <v>37</v>
      </c>
      <c r="H9041">
        <v>1996</v>
      </c>
      <c r="I9041">
        <v>25.1</v>
      </c>
      <c r="J9041">
        <v>7.8</v>
      </c>
      <c r="K9041">
        <v>56</v>
      </c>
      <c r="L9041">
        <v>19.22</v>
      </c>
      <c r="M9041">
        <v>31.4</v>
      </c>
      <c r="N9041">
        <v>17.7</v>
      </c>
      <c r="O9041">
        <v>13.7</v>
      </c>
      <c r="P9041">
        <v>26.8</v>
      </c>
      <c r="Q9041">
        <v>22.1</v>
      </c>
      <c r="R9041">
        <v>26.8</v>
      </c>
      <c r="S9041">
        <v>22.1</v>
      </c>
      <c r="T9041">
        <v>1199</v>
      </c>
      <c r="U9041">
        <v>213</v>
      </c>
      <c r="V9041">
        <v>1</v>
      </c>
      <c r="W9041">
        <v>79</v>
      </c>
      <c r="X9041">
        <v>544</v>
      </c>
      <c r="Y9041">
        <v>6</v>
      </c>
      <c r="Z9041">
        <v>544</v>
      </c>
      <c r="AA9041">
        <v>6</v>
      </c>
      <c r="AB9041">
        <v>20.52495</v>
      </c>
      <c r="AC9041">
        <v>1.371233E-2</v>
      </c>
      <c r="AD9041">
        <v>9.8401879999999995</v>
      </c>
      <c r="AE9041">
        <v>0.20507120000000001</v>
      </c>
      <c r="AF9041">
        <v>182.69980000000001</v>
      </c>
      <c r="AG9041">
        <f>IFERROR(AH9041*0.1, "N/A")</f>
        <v>5.1000000000000005</v>
      </c>
      <c r="AH9041">
        <v>51</v>
      </c>
      <c r="AI9041">
        <v>221.07749999999999</v>
      </c>
      <c r="AJ9041">
        <v>30.877839999999999</v>
      </c>
      <c r="AK9041">
        <v>55.171030000000002</v>
      </c>
    </row>
    <row r="9042" spans="1:37" x14ac:dyDescent="0.3">
      <c r="A9042">
        <v>9041</v>
      </c>
      <c r="B9042">
        <v>3</v>
      </c>
      <c r="C9042">
        <v>12.968500000000001</v>
      </c>
      <c r="D9042">
        <v>-5.2558699999999998</v>
      </c>
      <c r="E9042" t="s">
        <v>13745</v>
      </c>
      <c r="F9042" t="s">
        <v>13747</v>
      </c>
      <c r="G9042" t="s">
        <v>39</v>
      </c>
      <c r="H9042">
        <v>1996</v>
      </c>
      <c r="I9042">
        <v>25.1</v>
      </c>
      <c r="J9042">
        <v>7.8</v>
      </c>
      <c r="K9042">
        <v>56</v>
      </c>
      <c r="L9042">
        <v>19.22</v>
      </c>
      <c r="M9042">
        <v>31.4</v>
      </c>
      <c r="N9042">
        <v>17.7</v>
      </c>
      <c r="O9042">
        <v>13.7</v>
      </c>
      <c r="P9042">
        <v>26.8</v>
      </c>
      <c r="Q9042">
        <v>22.1</v>
      </c>
      <c r="R9042">
        <v>26.8</v>
      </c>
      <c r="S9042">
        <v>22.1</v>
      </c>
      <c r="T9042">
        <v>1199</v>
      </c>
      <c r="U9042">
        <v>213</v>
      </c>
      <c r="V9042">
        <v>1</v>
      </c>
      <c r="W9042">
        <v>79</v>
      </c>
      <c r="X9042">
        <v>544</v>
      </c>
      <c r="Y9042">
        <v>6</v>
      </c>
      <c r="Z9042">
        <v>544</v>
      </c>
      <c r="AA9042">
        <v>6</v>
      </c>
      <c r="AB9042">
        <v>20.52495</v>
      </c>
      <c r="AC9042">
        <v>1.371233E-2</v>
      </c>
      <c r="AD9042">
        <v>9.8401879999999995</v>
      </c>
      <c r="AE9042">
        <v>0.20507120000000001</v>
      </c>
      <c r="AF9042">
        <v>182.69980000000001</v>
      </c>
      <c r="AG9042">
        <f>IFERROR(AH9042*0.1, "N/A")</f>
        <v>5.1000000000000005</v>
      </c>
      <c r="AH9042">
        <v>51</v>
      </c>
      <c r="AI9042">
        <v>221.07749999999999</v>
      </c>
      <c r="AJ9042">
        <v>30.877839999999999</v>
      </c>
      <c r="AK9042">
        <v>55.171030000000002</v>
      </c>
    </row>
    <row r="9043" spans="1:37" x14ac:dyDescent="0.3">
      <c r="A9043">
        <v>9042</v>
      </c>
      <c r="B9043">
        <v>7.1</v>
      </c>
      <c r="C9043">
        <v>14.3</v>
      </c>
      <c r="D9043">
        <v>-5.2666700000000004</v>
      </c>
      <c r="E9043" t="s">
        <v>13748</v>
      </c>
      <c r="F9043" t="s">
        <v>13749</v>
      </c>
      <c r="G9043" t="s">
        <v>39</v>
      </c>
      <c r="H9043">
        <v>1995</v>
      </c>
      <c r="I9043">
        <v>25.066020000000002</v>
      </c>
      <c r="J9043">
        <v>8.4737299999999998</v>
      </c>
      <c r="K9043">
        <v>60</v>
      </c>
      <c r="L9043">
        <v>17.34151</v>
      </c>
      <c r="M9043">
        <v>31.41348</v>
      </c>
      <c r="N9043">
        <v>17.339749999999999</v>
      </c>
      <c r="O9043">
        <v>14.073729999999999</v>
      </c>
      <c r="P9043">
        <v>26.3965</v>
      </c>
      <c r="Q9043">
        <v>22.339749999999999</v>
      </c>
      <c r="R9043">
        <v>26.639759999999999</v>
      </c>
      <c r="S9043">
        <v>22.339749999999999</v>
      </c>
      <c r="T9043">
        <v>1177.2819999999999</v>
      </c>
      <c r="U9043">
        <v>227.69880000000001</v>
      </c>
      <c r="V9043">
        <v>0</v>
      </c>
      <c r="W9043">
        <v>80.640979999999999</v>
      </c>
      <c r="X9043">
        <v>505.30119999999999</v>
      </c>
      <c r="Y9043">
        <v>3</v>
      </c>
      <c r="Z9043">
        <v>476.83010000000002</v>
      </c>
      <c r="AA9043">
        <v>3</v>
      </c>
      <c r="AB9043">
        <v>20.143249999999998</v>
      </c>
      <c r="AC9043">
        <v>1.6831200000000001E-2</v>
      </c>
      <c r="AD9043">
        <v>4.8748019999999999</v>
      </c>
      <c r="AE9043">
        <v>0.17123940000000001</v>
      </c>
      <c r="AF9043">
        <v>299.10509999999999</v>
      </c>
      <c r="AG9043">
        <f>IFERROR(AH9043*0.1, "N/A")</f>
        <v>5.1000000000000005</v>
      </c>
      <c r="AH9043">
        <v>51</v>
      </c>
      <c r="AI9043">
        <v>230.10169999999999</v>
      </c>
      <c r="AJ9043">
        <v>32.7986</v>
      </c>
      <c r="AK9043">
        <v>39</v>
      </c>
    </row>
    <row r="9044" spans="1:37" x14ac:dyDescent="0.3">
      <c r="A9044">
        <v>9043</v>
      </c>
      <c r="B9044">
        <v>1</v>
      </c>
      <c r="C9044">
        <v>14.3</v>
      </c>
      <c r="D9044">
        <v>-5.2666700000000004</v>
      </c>
      <c r="E9044" t="s">
        <v>13748</v>
      </c>
      <c r="F9044" t="s">
        <v>13750</v>
      </c>
      <c r="G9044" t="s">
        <v>37</v>
      </c>
      <c r="H9044">
        <v>1995</v>
      </c>
      <c r="I9044">
        <v>25.066020000000002</v>
      </c>
      <c r="J9044">
        <v>8.4737299999999998</v>
      </c>
      <c r="K9044">
        <v>60</v>
      </c>
      <c r="L9044">
        <v>17.34151</v>
      </c>
      <c r="M9044">
        <v>31.41348</v>
      </c>
      <c r="N9044">
        <v>17.339749999999999</v>
      </c>
      <c r="O9044">
        <v>14.073729999999999</v>
      </c>
      <c r="P9044">
        <v>26.3965</v>
      </c>
      <c r="Q9044">
        <v>22.339749999999999</v>
      </c>
      <c r="R9044">
        <v>26.639759999999999</v>
      </c>
      <c r="S9044">
        <v>22.339749999999999</v>
      </c>
      <c r="T9044">
        <v>1177.2819999999999</v>
      </c>
      <c r="U9044">
        <v>227.69880000000001</v>
      </c>
      <c r="V9044">
        <v>0</v>
      </c>
      <c r="W9044">
        <v>80.640979999999999</v>
      </c>
      <c r="X9044">
        <v>505.30119999999999</v>
      </c>
      <c r="Y9044">
        <v>3</v>
      </c>
      <c r="Z9044">
        <v>476.83010000000002</v>
      </c>
      <c r="AA9044">
        <v>3</v>
      </c>
      <c r="AB9044">
        <v>20.143249999999998</v>
      </c>
      <c r="AC9044">
        <v>1.6831200000000001E-2</v>
      </c>
      <c r="AD9044">
        <v>4.8748019999999999</v>
      </c>
      <c r="AE9044">
        <v>0.17123940000000001</v>
      </c>
      <c r="AF9044">
        <v>299.10509999999999</v>
      </c>
      <c r="AG9044">
        <f>IFERROR(AH9044*0.1, "N/A")</f>
        <v>5.1000000000000005</v>
      </c>
      <c r="AH9044">
        <v>51</v>
      </c>
      <c r="AI9044">
        <v>230.10169999999999</v>
      </c>
      <c r="AJ9044">
        <v>32.7986</v>
      </c>
      <c r="AK9044">
        <v>39</v>
      </c>
    </row>
    <row r="9045" spans="1:37" x14ac:dyDescent="0.3">
      <c r="A9045">
        <v>9044</v>
      </c>
      <c r="B9045">
        <v>2.9</v>
      </c>
      <c r="C9045">
        <v>12.816700000000001</v>
      </c>
      <c r="D9045">
        <v>-5.2666700000000004</v>
      </c>
      <c r="E9045" t="s">
        <v>13751</v>
      </c>
      <c r="F9045" t="s">
        <v>13752</v>
      </c>
      <c r="G9045" t="s">
        <v>37</v>
      </c>
      <c r="H9045">
        <v>1996</v>
      </c>
      <c r="I9045">
        <v>25.472329999999999</v>
      </c>
      <c r="J9045">
        <v>7.7031520000000002</v>
      </c>
      <c r="K9045">
        <v>55.565669999999997</v>
      </c>
      <c r="L9045">
        <v>19.067530000000001</v>
      </c>
      <c r="M9045">
        <v>31.818909999999999</v>
      </c>
      <c r="N9045">
        <v>18.072330000000001</v>
      </c>
      <c r="O9045">
        <v>13.74658</v>
      </c>
      <c r="P9045">
        <v>27.218910000000001</v>
      </c>
      <c r="Q9045">
        <v>22.572330000000001</v>
      </c>
      <c r="R9045">
        <v>27.218910000000001</v>
      </c>
      <c r="S9045">
        <v>22.572330000000001</v>
      </c>
      <c r="T9045">
        <v>1131.047</v>
      </c>
      <c r="U9045">
        <v>201.13839999999999</v>
      </c>
      <c r="V9045">
        <v>0</v>
      </c>
      <c r="W9045">
        <v>79</v>
      </c>
      <c r="X9045">
        <v>523.86689999999999</v>
      </c>
      <c r="Y9045">
        <v>4</v>
      </c>
      <c r="Z9045">
        <v>523.86689999999999</v>
      </c>
      <c r="AA9045">
        <v>4</v>
      </c>
      <c r="AB9045">
        <v>50.865850000000002</v>
      </c>
      <c r="AC9045">
        <v>1.6115589999999999E-2</v>
      </c>
      <c r="AD9045">
        <v>10.46716</v>
      </c>
      <c r="AE9045">
        <v>0.2119316</v>
      </c>
      <c r="AF9045">
        <v>128.05600000000001</v>
      </c>
      <c r="AG9045">
        <f>IFERROR(AH9045*0.1, "N/A")</f>
        <v>5.2861650000000004</v>
      </c>
      <c r="AH9045">
        <v>52.861649999999997</v>
      </c>
      <c r="AI9045">
        <v>124.15300000000001</v>
      </c>
      <c r="AJ9045">
        <v>27.138349999999999</v>
      </c>
      <c r="AK9045">
        <v>59.138350000000003</v>
      </c>
    </row>
    <row r="9046" spans="1:37" x14ac:dyDescent="0.3">
      <c r="A9046">
        <v>9045</v>
      </c>
      <c r="B9046">
        <v>2.9</v>
      </c>
      <c r="C9046">
        <v>12.816700000000001</v>
      </c>
      <c r="D9046">
        <v>-5.2666700000000004</v>
      </c>
      <c r="E9046" t="s">
        <v>13751</v>
      </c>
      <c r="F9046" t="s">
        <v>13753</v>
      </c>
      <c r="G9046" t="s">
        <v>39</v>
      </c>
      <c r="H9046">
        <v>1996</v>
      </c>
      <c r="I9046">
        <v>25.472329999999999</v>
      </c>
      <c r="J9046">
        <v>7.7031520000000002</v>
      </c>
      <c r="K9046">
        <v>55.565669999999997</v>
      </c>
      <c r="L9046">
        <v>19.067530000000001</v>
      </c>
      <c r="M9046">
        <v>31.818909999999999</v>
      </c>
      <c r="N9046">
        <v>18.072330000000001</v>
      </c>
      <c r="O9046">
        <v>13.74658</v>
      </c>
      <c r="P9046">
        <v>27.218910000000001</v>
      </c>
      <c r="Q9046">
        <v>22.572330000000001</v>
      </c>
      <c r="R9046">
        <v>27.218910000000001</v>
      </c>
      <c r="S9046">
        <v>22.572330000000001</v>
      </c>
      <c r="T9046">
        <v>1131.047</v>
      </c>
      <c r="U9046">
        <v>201.13839999999999</v>
      </c>
      <c r="V9046">
        <v>0</v>
      </c>
      <c r="W9046">
        <v>79</v>
      </c>
      <c r="X9046">
        <v>523.86689999999999</v>
      </c>
      <c r="Y9046">
        <v>4</v>
      </c>
      <c r="Z9046">
        <v>523.86689999999999</v>
      </c>
      <c r="AA9046">
        <v>4</v>
      </c>
      <c r="AB9046">
        <v>50.865850000000002</v>
      </c>
      <c r="AC9046">
        <v>1.6115589999999999E-2</v>
      </c>
      <c r="AD9046">
        <v>10.46716</v>
      </c>
      <c r="AE9046">
        <v>0.2119316</v>
      </c>
      <c r="AF9046">
        <v>128.05600000000001</v>
      </c>
      <c r="AG9046">
        <f>IFERROR(AH9046*0.1, "N/A")</f>
        <v>5.2861650000000004</v>
      </c>
      <c r="AH9046">
        <v>52.861649999999997</v>
      </c>
      <c r="AI9046">
        <v>124.15300000000001</v>
      </c>
      <c r="AJ9046">
        <v>27.138349999999999</v>
      </c>
      <c r="AK9046">
        <v>59.138350000000003</v>
      </c>
    </row>
    <row r="9047" spans="1:37" x14ac:dyDescent="0.3">
      <c r="A9047">
        <v>9046</v>
      </c>
      <c r="B9047">
        <v>40.4</v>
      </c>
      <c r="C9047">
        <v>12.9488</v>
      </c>
      <c r="D9047">
        <v>-5.26675</v>
      </c>
      <c r="E9047" t="s">
        <v>13754</v>
      </c>
      <c r="F9047" t="s">
        <v>13755</v>
      </c>
      <c r="G9047" t="s">
        <v>37</v>
      </c>
      <c r="H9047">
        <v>1996</v>
      </c>
      <c r="I9047">
        <v>25.242660000000001</v>
      </c>
      <c r="J9047">
        <v>7.8</v>
      </c>
      <c r="K9047">
        <v>56</v>
      </c>
      <c r="L9047">
        <v>19.061959999999999</v>
      </c>
      <c r="M9047">
        <v>31.642659999999999</v>
      </c>
      <c r="N9047">
        <v>17.94266</v>
      </c>
      <c r="O9047">
        <v>13.7</v>
      </c>
      <c r="P9047">
        <v>26.985309999999998</v>
      </c>
      <c r="Q9047">
        <v>22.342659999999999</v>
      </c>
      <c r="R9047">
        <v>26.985309999999998</v>
      </c>
      <c r="S9047">
        <v>22.342659999999999</v>
      </c>
      <c r="T9047">
        <v>1180.7339999999999</v>
      </c>
      <c r="U9047">
        <v>210.57339999999999</v>
      </c>
      <c r="V9047">
        <v>0.57342660000000001</v>
      </c>
      <c r="W9047">
        <v>79</v>
      </c>
      <c r="X9047">
        <v>538.29369999999994</v>
      </c>
      <c r="Y9047">
        <v>5.1468530000000001</v>
      </c>
      <c r="Z9047">
        <v>538.29369999999994</v>
      </c>
      <c r="AA9047">
        <v>5.1468530000000001</v>
      </c>
      <c r="AB9047">
        <v>10.662599999999999</v>
      </c>
      <c r="AC9047">
        <v>0.35842160000000001</v>
      </c>
      <c r="AD9047">
        <v>4.3599160000000001</v>
      </c>
      <c r="AE9047">
        <v>0.44230019999999998</v>
      </c>
      <c r="AF9047">
        <v>162.05590000000001</v>
      </c>
      <c r="AG9047">
        <f>IFERROR(AH9047*0.1, "N/A")</f>
        <v>5.3889860000000001</v>
      </c>
      <c r="AH9047">
        <v>53.889859999999999</v>
      </c>
      <c r="AI9047">
        <v>255.5301</v>
      </c>
      <c r="AJ9047">
        <v>27.889859999999999</v>
      </c>
      <c r="AK9047">
        <v>59.220280000000002</v>
      </c>
    </row>
    <row r="9048" spans="1:37" x14ac:dyDescent="0.3">
      <c r="A9048">
        <v>9047</v>
      </c>
      <c r="B9048">
        <v>7.1</v>
      </c>
      <c r="C9048">
        <v>12.9488</v>
      </c>
      <c r="D9048">
        <v>-5.26675</v>
      </c>
      <c r="E9048" t="s">
        <v>13754</v>
      </c>
      <c r="F9048" t="s">
        <v>13756</v>
      </c>
      <c r="G9048" t="s">
        <v>39</v>
      </c>
      <c r="H9048">
        <v>1996</v>
      </c>
      <c r="I9048">
        <v>25.242660000000001</v>
      </c>
      <c r="J9048">
        <v>7.8</v>
      </c>
      <c r="K9048">
        <v>56</v>
      </c>
      <c r="L9048">
        <v>19.061959999999999</v>
      </c>
      <c r="M9048">
        <v>31.642659999999999</v>
      </c>
      <c r="N9048">
        <v>17.94266</v>
      </c>
      <c r="O9048">
        <v>13.7</v>
      </c>
      <c r="P9048">
        <v>26.985309999999998</v>
      </c>
      <c r="Q9048">
        <v>22.342659999999999</v>
      </c>
      <c r="R9048">
        <v>26.985309999999998</v>
      </c>
      <c r="S9048">
        <v>22.342659999999999</v>
      </c>
      <c r="T9048">
        <v>1180.7339999999999</v>
      </c>
      <c r="U9048">
        <v>210.57339999999999</v>
      </c>
      <c r="V9048">
        <v>0.57342660000000001</v>
      </c>
      <c r="W9048">
        <v>79</v>
      </c>
      <c r="X9048">
        <v>538.29369999999994</v>
      </c>
      <c r="Y9048">
        <v>5.1468530000000001</v>
      </c>
      <c r="Z9048">
        <v>538.29369999999994</v>
      </c>
      <c r="AA9048">
        <v>5.1468530000000001</v>
      </c>
      <c r="AB9048">
        <v>10.662599999999999</v>
      </c>
      <c r="AC9048">
        <v>0.35842160000000001</v>
      </c>
      <c r="AD9048">
        <v>4.3599160000000001</v>
      </c>
      <c r="AE9048">
        <v>0.44230019999999998</v>
      </c>
      <c r="AF9048">
        <v>162.05590000000001</v>
      </c>
      <c r="AG9048">
        <f>IFERROR(AH9048*0.1, "N/A")</f>
        <v>5.3889860000000001</v>
      </c>
      <c r="AH9048">
        <v>53.889859999999999</v>
      </c>
      <c r="AI9048">
        <v>255.5301</v>
      </c>
      <c r="AJ9048">
        <v>27.889859999999999</v>
      </c>
      <c r="AK9048">
        <v>59.220280000000002</v>
      </c>
    </row>
    <row r="9049" spans="1:37" x14ac:dyDescent="0.3">
      <c r="A9049">
        <v>9048</v>
      </c>
      <c r="B9049">
        <v>23.3</v>
      </c>
      <c r="C9049">
        <v>12.9268</v>
      </c>
      <c r="D9049">
        <v>-5.3312499999999998</v>
      </c>
      <c r="E9049" t="s">
        <v>13757</v>
      </c>
      <c r="F9049" t="s">
        <v>13758</v>
      </c>
      <c r="G9049" t="s">
        <v>37</v>
      </c>
      <c r="H9049">
        <v>1996</v>
      </c>
      <c r="I9049">
        <v>25.5</v>
      </c>
      <c r="J9049">
        <v>7.8</v>
      </c>
      <c r="K9049">
        <v>56</v>
      </c>
      <c r="L9049">
        <v>18.91</v>
      </c>
      <c r="M9049">
        <v>31.8</v>
      </c>
      <c r="N9049">
        <v>18.100000000000001</v>
      </c>
      <c r="O9049">
        <v>13.7</v>
      </c>
      <c r="P9049">
        <v>27.2</v>
      </c>
      <c r="Q9049">
        <v>22.6</v>
      </c>
      <c r="R9049">
        <v>27.2</v>
      </c>
      <c r="S9049">
        <v>22.6</v>
      </c>
      <c r="T9049">
        <v>1158</v>
      </c>
      <c r="U9049">
        <v>210</v>
      </c>
      <c r="V9049">
        <v>0</v>
      </c>
      <c r="W9049">
        <v>79</v>
      </c>
      <c r="X9049">
        <v>534</v>
      </c>
      <c r="Y9049">
        <v>4</v>
      </c>
      <c r="Z9049">
        <v>534</v>
      </c>
      <c r="AA9049">
        <v>4</v>
      </c>
      <c r="AB9049">
        <v>40.308230000000002</v>
      </c>
      <c r="AC9049">
        <v>9.778676E-3</v>
      </c>
      <c r="AD9049">
        <v>9.3363200000000006</v>
      </c>
      <c r="AE9049">
        <v>0.21585499999999999</v>
      </c>
      <c r="AF9049">
        <v>147.9299</v>
      </c>
      <c r="AG9049">
        <f>IFERROR(AH9049*0.1, "N/A")</f>
        <v>5.5092820000000007</v>
      </c>
      <c r="AH9049">
        <v>55.092820000000003</v>
      </c>
      <c r="AI9049">
        <v>156.46340000000001</v>
      </c>
      <c r="AJ9049">
        <v>30</v>
      </c>
      <c r="AK9049">
        <v>56</v>
      </c>
    </row>
    <row r="9050" spans="1:37" x14ac:dyDescent="0.3">
      <c r="A9050">
        <v>9049</v>
      </c>
      <c r="B9050">
        <v>1.9</v>
      </c>
      <c r="C9050">
        <v>12.9268</v>
      </c>
      <c r="D9050">
        <v>-5.3312499999999998</v>
      </c>
      <c r="E9050" t="s">
        <v>13757</v>
      </c>
      <c r="F9050" t="s">
        <v>13759</v>
      </c>
      <c r="G9050" t="s">
        <v>39</v>
      </c>
      <c r="H9050">
        <v>1996</v>
      </c>
      <c r="I9050">
        <v>25.5</v>
      </c>
      <c r="J9050">
        <v>7.8</v>
      </c>
      <c r="K9050">
        <v>56</v>
      </c>
      <c r="L9050">
        <v>18.91</v>
      </c>
      <c r="M9050">
        <v>31.8</v>
      </c>
      <c r="N9050">
        <v>18.100000000000001</v>
      </c>
      <c r="O9050">
        <v>13.7</v>
      </c>
      <c r="P9050">
        <v>27.2</v>
      </c>
      <c r="Q9050">
        <v>22.6</v>
      </c>
      <c r="R9050">
        <v>27.2</v>
      </c>
      <c r="S9050">
        <v>22.6</v>
      </c>
      <c r="T9050">
        <v>1158</v>
      </c>
      <c r="U9050">
        <v>210</v>
      </c>
      <c r="V9050">
        <v>0</v>
      </c>
      <c r="W9050">
        <v>79</v>
      </c>
      <c r="X9050">
        <v>534</v>
      </c>
      <c r="Y9050">
        <v>4</v>
      </c>
      <c r="Z9050">
        <v>534</v>
      </c>
      <c r="AA9050">
        <v>4</v>
      </c>
      <c r="AB9050">
        <v>40.308230000000002</v>
      </c>
      <c r="AC9050">
        <v>9.778676E-3</v>
      </c>
      <c r="AD9050">
        <v>9.3363200000000006</v>
      </c>
      <c r="AE9050">
        <v>0.21585499999999999</v>
      </c>
      <c r="AF9050">
        <v>147.9299</v>
      </c>
      <c r="AG9050">
        <f>IFERROR(AH9050*0.1, "N/A")</f>
        <v>5.5092820000000007</v>
      </c>
      <c r="AH9050">
        <v>55.092820000000003</v>
      </c>
      <c r="AI9050">
        <v>156.46340000000001</v>
      </c>
      <c r="AJ9050">
        <v>30</v>
      </c>
      <c r="AK9050">
        <v>56</v>
      </c>
    </row>
    <row r="9051" spans="1:37" x14ac:dyDescent="0.3">
      <c r="A9051">
        <v>9050</v>
      </c>
      <c r="B9051">
        <v>57.1</v>
      </c>
      <c r="C9051">
        <v>14.1333</v>
      </c>
      <c r="D9051">
        <v>-5.3333300000000001</v>
      </c>
      <c r="E9051" t="s">
        <v>13760</v>
      </c>
      <c r="F9051" t="s">
        <v>13761</v>
      </c>
      <c r="G9051" t="s">
        <v>39</v>
      </c>
      <c r="H9051">
        <v>1995</v>
      </c>
      <c r="I9051">
        <v>25.24991</v>
      </c>
      <c r="J9051">
        <v>8.1999999999999993</v>
      </c>
      <c r="K9051">
        <v>58</v>
      </c>
      <c r="L9051">
        <v>17.68599</v>
      </c>
      <c r="M9051">
        <v>31.571200000000001</v>
      </c>
      <c r="N9051">
        <v>17.649909999999998</v>
      </c>
      <c r="O9051">
        <v>13.921290000000001</v>
      </c>
      <c r="P9051">
        <v>26.619890000000002</v>
      </c>
      <c r="Q9051">
        <v>22.47993</v>
      </c>
      <c r="R9051">
        <v>26.841190000000001</v>
      </c>
      <c r="S9051">
        <v>22.47993</v>
      </c>
      <c r="T9051">
        <v>1152.1189999999999</v>
      </c>
      <c r="U9051">
        <v>223.5009</v>
      </c>
      <c r="V9051">
        <v>0</v>
      </c>
      <c r="W9051">
        <v>80.300169999999994</v>
      </c>
      <c r="X9051">
        <v>495.00170000000003</v>
      </c>
      <c r="Y9051">
        <v>3</v>
      </c>
      <c r="Z9051">
        <v>477.41539999999998</v>
      </c>
      <c r="AA9051">
        <v>3</v>
      </c>
      <c r="AB9051">
        <v>32.137869999999999</v>
      </c>
      <c r="AC9051">
        <v>2.2682730000000002E-2</v>
      </c>
      <c r="AD9051">
        <v>10.620950000000001</v>
      </c>
      <c r="AE9051">
        <v>0.16503670000000001</v>
      </c>
      <c r="AF9051">
        <v>260.43279999999999</v>
      </c>
      <c r="AG9051">
        <f>IFERROR(AH9051*0.1, "N/A")</f>
        <v>5.4600350000000004</v>
      </c>
      <c r="AH9051">
        <v>54.600349999999999</v>
      </c>
      <c r="AI9051">
        <v>226.2731</v>
      </c>
      <c r="AJ9051">
        <v>36.600349999999999</v>
      </c>
      <c r="AK9051">
        <v>43.399650000000001</v>
      </c>
    </row>
    <row r="9052" spans="1:37" x14ac:dyDescent="0.3">
      <c r="A9052">
        <v>9051</v>
      </c>
      <c r="B9052">
        <v>34</v>
      </c>
      <c r="C9052">
        <v>14.1333</v>
      </c>
      <c r="D9052">
        <v>-5.3333300000000001</v>
      </c>
      <c r="E9052" t="s">
        <v>13760</v>
      </c>
      <c r="F9052" t="s">
        <v>13762</v>
      </c>
      <c r="G9052" t="s">
        <v>37</v>
      </c>
      <c r="H9052">
        <v>1995</v>
      </c>
      <c r="I9052">
        <v>25.24991</v>
      </c>
      <c r="J9052">
        <v>8.1999999999999993</v>
      </c>
      <c r="K9052">
        <v>58</v>
      </c>
      <c r="L9052">
        <v>17.68599</v>
      </c>
      <c r="M9052">
        <v>31.571200000000001</v>
      </c>
      <c r="N9052">
        <v>17.649909999999998</v>
      </c>
      <c r="O9052">
        <v>13.921290000000001</v>
      </c>
      <c r="P9052">
        <v>26.619890000000002</v>
      </c>
      <c r="Q9052">
        <v>22.47993</v>
      </c>
      <c r="R9052">
        <v>26.841190000000001</v>
      </c>
      <c r="S9052">
        <v>22.47993</v>
      </c>
      <c r="T9052">
        <v>1152.1189999999999</v>
      </c>
      <c r="U9052">
        <v>223.5009</v>
      </c>
      <c r="V9052">
        <v>0</v>
      </c>
      <c r="W9052">
        <v>80.300169999999994</v>
      </c>
      <c r="X9052">
        <v>495.00170000000003</v>
      </c>
      <c r="Y9052">
        <v>3</v>
      </c>
      <c r="Z9052">
        <v>477.41539999999998</v>
      </c>
      <c r="AA9052">
        <v>3</v>
      </c>
      <c r="AB9052">
        <v>32.137869999999999</v>
      </c>
      <c r="AC9052">
        <v>2.2682730000000002E-2</v>
      </c>
      <c r="AD9052">
        <v>10.620950000000001</v>
      </c>
      <c r="AE9052">
        <v>0.16503670000000001</v>
      </c>
      <c r="AF9052">
        <v>260.43279999999999</v>
      </c>
      <c r="AG9052">
        <f>IFERROR(AH9052*0.1, "N/A")</f>
        <v>5.4600350000000004</v>
      </c>
      <c r="AH9052">
        <v>54.600349999999999</v>
      </c>
      <c r="AI9052">
        <v>226.2731</v>
      </c>
      <c r="AJ9052">
        <v>36.600349999999999</v>
      </c>
      <c r="AK9052">
        <v>43.399650000000001</v>
      </c>
    </row>
    <row r="9053" spans="1:37" x14ac:dyDescent="0.3">
      <c r="A9053">
        <v>9052</v>
      </c>
      <c r="B9053">
        <v>0.9</v>
      </c>
      <c r="C9053">
        <v>12.85</v>
      </c>
      <c r="D9053">
        <v>-5.3333300000000001</v>
      </c>
      <c r="E9053" t="s">
        <v>13763</v>
      </c>
      <c r="F9053" t="s">
        <v>13764</v>
      </c>
      <c r="G9053" t="s">
        <v>37</v>
      </c>
      <c r="H9053">
        <v>1996</v>
      </c>
      <c r="I9053">
        <v>25.066320000000001</v>
      </c>
      <c r="J9053">
        <v>7.8</v>
      </c>
      <c r="K9053">
        <v>56.413609999999998</v>
      </c>
      <c r="L9053">
        <v>19.22785</v>
      </c>
      <c r="M9053">
        <v>31.424959999999999</v>
      </c>
      <c r="N9053">
        <v>17.76632</v>
      </c>
      <c r="O9053">
        <v>13.65864</v>
      </c>
      <c r="P9053">
        <v>26.817630000000001</v>
      </c>
      <c r="Q9053">
        <v>22.083939999999998</v>
      </c>
      <c r="R9053">
        <v>26.817630000000001</v>
      </c>
      <c r="S9053">
        <v>22.083939999999998</v>
      </c>
      <c r="T9053">
        <v>1158.895</v>
      </c>
      <c r="U9053">
        <v>208.33680000000001</v>
      </c>
      <c r="V9053">
        <v>1</v>
      </c>
      <c r="W9053">
        <v>79.410120000000006</v>
      </c>
      <c r="X9053">
        <v>539.3211</v>
      </c>
      <c r="Y9053">
        <v>5</v>
      </c>
      <c r="Z9053">
        <v>539.3211</v>
      </c>
      <c r="AA9053">
        <v>5</v>
      </c>
      <c r="AB9053">
        <v>17.964400000000001</v>
      </c>
      <c r="AC9053">
        <v>2.5995299999999999E-2</v>
      </c>
      <c r="AD9053">
        <v>7.2308589999999997</v>
      </c>
      <c r="AE9053">
        <v>0.18820970000000001</v>
      </c>
      <c r="AF9053">
        <v>161.0401</v>
      </c>
      <c r="AG9053">
        <f>IFERROR(AH9053*0.1, "N/A")</f>
        <v>5.2</v>
      </c>
      <c r="AH9053">
        <v>52</v>
      </c>
      <c r="AI9053">
        <v>214.82769999999999</v>
      </c>
      <c r="AJ9053">
        <v>26</v>
      </c>
      <c r="AK9053">
        <v>58.647469999999998</v>
      </c>
    </row>
    <row r="9054" spans="1:37" x14ac:dyDescent="0.3">
      <c r="A9054">
        <v>9053</v>
      </c>
      <c r="B9054">
        <v>2.8</v>
      </c>
      <c r="C9054">
        <v>12.85</v>
      </c>
      <c r="D9054">
        <v>-5.3333300000000001</v>
      </c>
      <c r="E9054" t="s">
        <v>13763</v>
      </c>
      <c r="F9054" t="s">
        <v>13765</v>
      </c>
      <c r="G9054" t="s">
        <v>39</v>
      </c>
      <c r="H9054">
        <v>1996</v>
      </c>
      <c r="I9054">
        <v>25.066320000000001</v>
      </c>
      <c r="J9054">
        <v>7.8</v>
      </c>
      <c r="K9054">
        <v>56.413609999999998</v>
      </c>
      <c r="L9054">
        <v>19.22785</v>
      </c>
      <c r="M9054">
        <v>31.424959999999999</v>
      </c>
      <c r="N9054">
        <v>17.76632</v>
      </c>
      <c r="O9054">
        <v>13.65864</v>
      </c>
      <c r="P9054">
        <v>26.817630000000001</v>
      </c>
      <c r="Q9054">
        <v>22.083939999999998</v>
      </c>
      <c r="R9054">
        <v>26.817630000000001</v>
      </c>
      <c r="S9054">
        <v>22.083939999999998</v>
      </c>
      <c r="T9054">
        <v>1158.895</v>
      </c>
      <c r="U9054">
        <v>208.33680000000001</v>
      </c>
      <c r="V9054">
        <v>1</v>
      </c>
      <c r="W9054">
        <v>79.410120000000006</v>
      </c>
      <c r="X9054">
        <v>539.3211</v>
      </c>
      <c r="Y9054">
        <v>5</v>
      </c>
      <c r="Z9054">
        <v>539.3211</v>
      </c>
      <c r="AA9054">
        <v>5</v>
      </c>
      <c r="AB9054">
        <v>17.964400000000001</v>
      </c>
      <c r="AC9054">
        <v>2.5995299999999999E-2</v>
      </c>
      <c r="AD9054">
        <v>7.2308589999999997</v>
      </c>
      <c r="AE9054">
        <v>0.18820970000000001</v>
      </c>
      <c r="AF9054">
        <v>161.0401</v>
      </c>
      <c r="AG9054">
        <f>IFERROR(AH9054*0.1, "N/A")</f>
        <v>5.2</v>
      </c>
      <c r="AH9054">
        <v>52</v>
      </c>
      <c r="AI9054">
        <v>214.82769999999999</v>
      </c>
      <c r="AJ9054">
        <v>26</v>
      </c>
      <c r="AK9054">
        <v>58.647469999999998</v>
      </c>
    </row>
    <row r="9055" spans="1:37" x14ac:dyDescent="0.3">
      <c r="A9055">
        <v>9054</v>
      </c>
      <c r="B9055">
        <v>6.5</v>
      </c>
      <c r="C9055">
        <v>14.5167</v>
      </c>
      <c r="D9055">
        <v>-5.3666700000000001</v>
      </c>
      <c r="E9055" t="s">
        <v>13766</v>
      </c>
      <c r="F9055" t="s">
        <v>13767</v>
      </c>
      <c r="G9055" t="s">
        <v>39</v>
      </c>
      <c r="H9055">
        <v>1995</v>
      </c>
      <c r="I9055">
        <v>22.995979999999999</v>
      </c>
      <c r="J9055">
        <v>8.8655589999999993</v>
      </c>
      <c r="K9055">
        <v>62.398600000000002</v>
      </c>
      <c r="L9055">
        <v>16.146989999999999</v>
      </c>
      <c r="M9055">
        <v>29.29598</v>
      </c>
      <c r="N9055">
        <v>15.19196</v>
      </c>
      <c r="O9055">
        <v>14.10402</v>
      </c>
      <c r="P9055">
        <v>24.065380000000001</v>
      </c>
      <c r="Q9055">
        <v>20.391960000000001</v>
      </c>
      <c r="R9055">
        <v>24.395980000000002</v>
      </c>
      <c r="S9055">
        <v>20.391960000000001</v>
      </c>
      <c r="T9055">
        <v>1325.152</v>
      </c>
      <c r="U9055">
        <v>245.7028</v>
      </c>
      <c r="V9055">
        <v>0</v>
      </c>
      <c r="W9055">
        <v>78</v>
      </c>
      <c r="X9055">
        <v>547.60839999999996</v>
      </c>
      <c r="Y9055">
        <v>5.9597899999999999</v>
      </c>
      <c r="Z9055">
        <v>540.26220000000001</v>
      </c>
      <c r="AA9055">
        <v>5.9597899999999999</v>
      </c>
      <c r="AB9055">
        <v>198.06219999999999</v>
      </c>
      <c r="AC9055">
        <v>1.1606089999999999E-2</v>
      </c>
      <c r="AD9055">
        <v>9.9357930000000003</v>
      </c>
      <c r="AE9055">
        <v>0.1775013</v>
      </c>
      <c r="AF9055">
        <v>714.57339999999999</v>
      </c>
      <c r="AG9055">
        <f>IFERROR(AH9055*0.1, "N/A")</f>
        <v>5.243881</v>
      </c>
      <c r="AH9055">
        <v>52.438809999999997</v>
      </c>
      <c r="AI9055">
        <v>240.30539999999999</v>
      </c>
      <c r="AJ9055">
        <v>37.44755</v>
      </c>
      <c r="AK9055">
        <v>43.438809999999997</v>
      </c>
    </row>
    <row r="9056" spans="1:37" x14ac:dyDescent="0.3">
      <c r="A9056">
        <v>9055</v>
      </c>
      <c r="B9056">
        <v>45.5</v>
      </c>
      <c r="C9056">
        <v>14.5167</v>
      </c>
      <c r="D9056">
        <v>-5.3666700000000001</v>
      </c>
      <c r="E9056" t="s">
        <v>13766</v>
      </c>
      <c r="F9056" t="s">
        <v>13768</v>
      </c>
      <c r="G9056" t="s">
        <v>37</v>
      </c>
      <c r="H9056">
        <v>1995</v>
      </c>
      <c r="I9056">
        <v>22.995979999999999</v>
      </c>
      <c r="J9056">
        <v>8.8655589999999993</v>
      </c>
      <c r="K9056">
        <v>62.398600000000002</v>
      </c>
      <c r="L9056">
        <v>16.146989999999999</v>
      </c>
      <c r="M9056">
        <v>29.29598</v>
      </c>
      <c r="N9056">
        <v>15.19196</v>
      </c>
      <c r="O9056">
        <v>14.10402</v>
      </c>
      <c r="P9056">
        <v>24.065380000000001</v>
      </c>
      <c r="Q9056">
        <v>20.391960000000001</v>
      </c>
      <c r="R9056">
        <v>24.395980000000002</v>
      </c>
      <c r="S9056">
        <v>20.391960000000001</v>
      </c>
      <c r="T9056">
        <v>1325.152</v>
      </c>
      <c r="U9056">
        <v>245.7028</v>
      </c>
      <c r="V9056">
        <v>0</v>
      </c>
      <c r="W9056">
        <v>78</v>
      </c>
      <c r="X9056">
        <v>547.60839999999996</v>
      </c>
      <c r="Y9056">
        <v>5.9597899999999999</v>
      </c>
      <c r="Z9056">
        <v>540.26220000000001</v>
      </c>
      <c r="AA9056">
        <v>5.9597899999999999</v>
      </c>
      <c r="AB9056">
        <v>198.06219999999999</v>
      </c>
      <c r="AC9056">
        <v>1.1606089999999999E-2</v>
      </c>
      <c r="AD9056">
        <v>9.9357930000000003</v>
      </c>
      <c r="AE9056">
        <v>0.1775013</v>
      </c>
      <c r="AF9056">
        <v>714.57339999999999</v>
      </c>
      <c r="AG9056">
        <f>IFERROR(AH9056*0.1, "N/A")</f>
        <v>5.243881</v>
      </c>
      <c r="AH9056">
        <v>52.438809999999997</v>
      </c>
      <c r="AI9056">
        <v>240.30539999999999</v>
      </c>
      <c r="AJ9056">
        <v>37.44755</v>
      </c>
      <c r="AK9056">
        <v>43.438809999999997</v>
      </c>
    </row>
    <row r="9057" spans="1:37" x14ac:dyDescent="0.3">
      <c r="A9057">
        <v>9056</v>
      </c>
      <c r="B9057">
        <v>20.3</v>
      </c>
      <c r="C9057">
        <v>12.9473</v>
      </c>
      <c r="D9057">
        <v>-5.3937400000000002</v>
      </c>
      <c r="E9057" t="s">
        <v>13769</v>
      </c>
      <c r="F9057" t="s">
        <v>13770</v>
      </c>
      <c r="G9057" t="s">
        <v>37</v>
      </c>
      <c r="H9057">
        <v>1996</v>
      </c>
      <c r="I9057">
        <v>25.9</v>
      </c>
      <c r="J9057">
        <v>7.8</v>
      </c>
      <c r="K9057">
        <v>56</v>
      </c>
      <c r="L9057">
        <v>18.95</v>
      </c>
      <c r="M9057">
        <v>32.200000000000003</v>
      </c>
      <c r="N9057">
        <v>18.5</v>
      </c>
      <c r="O9057">
        <v>13.7</v>
      </c>
      <c r="P9057">
        <v>27.6</v>
      </c>
      <c r="Q9057">
        <v>23</v>
      </c>
      <c r="R9057">
        <v>27.6</v>
      </c>
      <c r="S9057">
        <v>23</v>
      </c>
      <c r="T9057">
        <v>1129</v>
      </c>
      <c r="U9057">
        <v>208</v>
      </c>
      <c r="V9057">
        <v>0</v>
      </c>
      <c r="W9057">
        <v>79</v>
      </c>
      <c r="X9057">
        <v>523</v>
      </c>
      <c r="Y9057">
        <v>3</v>
      </c>
      <c r="Z9057">
        <v>523</v>
      </c>
      <c r="AA9057">
        <v>3</v>
      </c>
      <c r="AB9057">
        <v>6.9688119999999998</v>
      </c>
      <c r="AC9057">
        <v>1.0245529999999999E-2</v>
      </c>
      <c r="AD9057">
        <v>4.1210680000000002</v>
      </c>
      <c r="AE9057">
        <v>0.69160840000000001</v>
      </c>
      <c r="AF9057">
        <v>98.625439999999998</v>
      </c>
      <c r="AG9057">
        <f>IFERROR(AH9057*0.1, "N/A")</f>
        <v>5.7</v>
      </c>
      <c r="AH9057">
        <v>57</v>
      </c>
      <c r="AI9057">
        <v>296.24810000000002</v>
      </c>
      <c r="AJ9057">
        <v>24</v>
      </c>
      <c r="AK9057">
        <v>59</v>
      </c>
    </row>
    <row r="9058" spans="1:37" x14ac:dyDescent="0.3">
      <c r="A9058">
        <v>9057</v>
      </c>
      <c r="B9058">
        <v>29.7</v>
      </c>
      <c r="C9058">
        <v>12.9473</v>
      </c>
      <c r="D9058">
        <v>-5.3937400000000002</v>
      </c>
      <c r="E9058" t="s">
        <v>13769</v>
      </c>
      <c r="F9058" t="s">
        <v>13771</v>
      </c>
      <c r="G9058" t="s">
        <v>39</v>
      </c>
      <c r="H9058">
        <v>1996</v>
      </c>
      <c r="I9058">
        <v>25.9</v>
      </c>
      <c r="J9058">
        <v>7.8</v>
      </c>
      <c r="K9058">
        <v>56</v>
      </c>
      <c r="L9058">
        <v>18.95</v>
      </c>
      <c r="M9058">
        <v>32.200000000000003</v>
      </c>
      <c r="N9058">
        <v>18.5</v>
      </c>
      <c r="O9058">
        <v>13.7</v>
      </c>
      <c r="P9058">
        <v>27.6</v>
      </c>
      <c r="Q9058">
        <v>23</v>
      </c>
      <c r="R9058">
        <v>27.6</v>
      </c>
      <c r="S9058">
        <v>23</v>
      </c>
      <c r="T9058">
        <v>1129</v>
      </c>
      <c r="U9058">
        <v>208</v>
      </c>
      <c r="V9058">
        <v>0</v>
      </c>
      <c r="W9058">
        <v>79</v>
      </c>
      <c r="X9058">
        <v>523</v>
      </c>
      <c r="Y9058">
        <v>3</v>
      </c>
      <c r="Z9058">
        <v>523</v>
      </c>
      <c r="AA9058">
        <v>3</v>
      </c>
      <c r="AB9058">
        <v>6.9688119999999998</v>
      </c>
      <c r="AC9058">
        <v>1.0245529999999999E-2</v>
      </c>
      <c r="AD9058">
        <v>4.1210680000000002</v>
      </c>
      <c r="AE9058">
        <v>0.69160840000000001</v>
      </c>
      <c r="AF9058">
        <v>98.625439999999998</v>
      </c>
      <c r="AG9058">
        <f>IFERROR(AH9058*0.1, "N/A")</f>
        <v>5.7</v>
      </c>
      <c r="AH9058">
        <v>57</v>
      </c>
      <c r="AI9058">
        <v>296.24810000000002</v>
      </c>
      <c r="AJ9058">
        <v>24</v>
      </c>
      <c r="AK9058">
        <v>59</v>
      </c>
    </row>
    <row r="9059" spans="1:37" x14ac:dyDescent="0.3">
      <c r="A9059">
        <v>9058</v>
      </c>
      <c r="B9059">
        <v>2</v>
      </c>
      <c r="C9059">
        <v>12.665800000000001</v>
      </c>
      <c r="D9059">
        <v>-5.4011500000000003</v>
      </c>
      <c r="E9059" t="s">
        <v>13772</v>
      </c>
      <c r="F9059" t="s">
        <v>13773</v>
      </c>
      <c r="G9059" t="s">
        <v>37</v>
      </c>
      <c r="H9059">
        <v>1996</v>
      </c>
      <c r="I9059">
        <v>24.985810000000001</v>
      </c>
      <c r="J9059">
        <v>7.7141859999999998</v>
      </c>
      <c r="K9059">
        <v>56</v>
      </c>
      <c r="L9059">
        <v>19.328720000000001</v>
      </c>
      <c r="M9059">
        <v>31.385809999999999</v>
      </c>
      <c r="N9059">
        <v>17.68582</v>
      </c>
      <c r="O9059">
        <v>13.7</v>
      </c>
      <c r="P9059">
        <v>26.785810000000001</v>
      </c>
      <c r="Q9059">
        <v>22</v>
      </c>
      <c r="R9059">
        <v>26.785810000000001</v>
      </c>
      <c r="S9059">
        <v>22</v>
      </c>
      <c r="T9059">
        <v>1069.702</v>
      </c>
      <c r="U9059">
        <v>193.28370000000001</v>
      </c>
      <c r="V9059">
        <v>0</v>
      </c>
      <c r="W9059">
        <v>80</v>
      </c>
      <c r="X9059">
        <v>514.70929999999998</v>
      </c>
      <c r="Y9059">
        <v>4</v>
      </c>
      <c r="Z9059">
        <v>514.70929999999998</v>
      </c>
      <c r="AA9059">
        <v>4</v>
      </c>
      <c r="AB9059">
        <v>65.250789999999995</v>
      </c>
      <c r="AC9059">
        <v>9.5838160000000002E-3</v>
      </c>
      <c r="AD9059">
        <v>8.4628350000000001</v>
      </c>
      <c r="AE9059">
        <v>0.20771590000000001</v>
      </c>
      <c r="AF9059">
        <v>131.28899999999999</v>
      </c>
      <c r="AG9059">
        <f>IFERROR(AH9059*0.1, "N/A")</f>
        <v>5.3607709999999997</v>
      </c>
      <c r="AH9059">
        <v>53.607709999999997</v>
      </c>
      <c r="AI9059">
        <v>270.07940000000002</v>
      </c>
      <c r="AJ9059">
        <v>18.458839999999999</v>
      </c>
      <c r="AK9059">
        <v>74.115589999999997</v>
      </c>
    </row>
    <row r="9060" spans="1:37" x14ac:dyDescent="0.3">
      <c r="A9060">
        <v>9059</v>
      </c>
      <c r="B9060">
        <v>2.9</v>
      </c>
      <c r="C9060">
        <v>12.665800000000001</v>
      </c>
      <c r="D9060">
        <v>-5.4011500000000003</v>
      </c>
      <c r="E9060" t="s">
        <v>13772</v>
      </c>
      <c r="F9060" t="s">
        <v>13774</v>
      </c>
      <c r="G9060" t="s">
        <v>39</v>
      </c>
      <c r="H9060">
        <v>1996</v>
      </c>
      <c r="I9060">
        <v>24.985810000000001</v>
      </c>
      <c r="J9060">
        <v>7.7141859999999998</v>
      </c>
      <c r="K9060">
        <v>56</v>
      </c>
      <c r="L9060">
        <v>19.328720000000001</v>
      </c>
      <c r="M9060">
        <v>31.385809999999999</v>
      </c>
      <c r="N9060">
        <v>17.68582</v>
      </c>
      <c r="O9060">
        <v>13.7</v>
      </c>
      <c r="P9060">
        <v>26.785810000000001</v>
      </c>
      <c r="Q9060">
        <v>22</v>
      </c>
      <c r="R9060">
        <v>26.785810000000001</v>
      </c>
      <c r="S9060">
        <v>22</v>
      </c>
      <c r="T9060">
        <v>1069.702</v>
      </c>
      <c r="U9060">
        <v>193.28370000000001</v>
      </c>
      <c r="V9060">
        <v>0</v>
      </c>
      <c r="W9060">
        <v>80</v>
      </c>
      <c r="X9060">
        <v>514.70929999999998</v>
      </c>
      <c r="Y9060">
        <v>4</v>
      </c>
      <c r="Z9060">
        <v>514.70929999999998</v>
      </c>
      <c r="AA9060">
        <v>4</v>
      </c>
      <c r="AB9060">
        <v>65.250789999999995</v>
      </c>
      <c r="AC9060">
        <v>9.5838160000000002E-3</v>
      </c>
      <c r="AD9060">
        <v>8.4628350000000001</v>
      </c>
      <c r="AE9060">
        <v>0.20771590000000001</v>
      </c>
      <c r="AF9060">
        <v>131.28899999999999</v>
      </c>
      <c r="AG9060">
        <f>IFERROR(AH9060*0.1, "N/A")</f>
        <v>5.3607709999999997</v>
      </c>
      <c r="AH9060">
        <v>53.607709999999997</v>
      </c>
      <c r="AI9060">
        <v>270.07940000000002</v>
      </c>
      <c r="AJ9060">
        <v>18.458839999999999</v>
      </c>
      <c r="AK9060">
        <v>74.115589999999997</v>
      </c>
    </row>
    <row r="9061" spans="1:37" x14ac:dyDescent="0.3">
      <c r="A9061">
        <v>9060</v>
      </c>
      <c r="B9061">
        <v>64</v>
      </c>
      <c r="C9061">
        <v>14.320600000000001</v>
      </c>
      <c r="D9061">
        <v>-5.4288600000000002</v>
      </c>
      <c r="E9061" t="s">
        <v>13775</v>
      </c>
      <c r="F9061" t="s">
        <v>13776</v>
      </c>
      <c r="G9061" t="s">
        <v>39</v>
      </c>
      <c r="H9061">
        <v>1995</v>
      </c>
      <c r="I9061">
        <v>25.3</v>
      </c>
      <c r="J9061">
        <v>8.4</v>
      </c>
      <c r="K9061">
        <v>59</v>
      </c>
      <c r="L9061">
        <v>17.940000000000001</v>
      </c>
      <c r="M9061">
        <v>31.6</v>
      </c>
      <c r="N9061">
        <v>17.399999999999999</v>
      </c>
      <c r="O9061">
        <v>14.2</v>
      </c>
      <c r="P9061">
        <v>26.6</v>
      </c>
      <c r="Q9061">
        <v>22.4</v>
      </c>
      <c r="R9061">
        <v>26.9</v>
      </c>
      <c r="S9061">
        <v>22.4</v>
      </c>
      <c r="T9061">
        <v>1183</v>
      </c>
      <c r="U9061">
        <v>232</v>
      </c>
      <c r="V9061">
        <v>0</v>
      </c>
      <c r="W9061">
        <v>80</v>
      </c>
      <c r="X9061">
        <v>509</v>
      </c>
      <c r="Y9061">
        <v>3</v>
      </c>
      <c r="Z9061">
        <v>488</v>
      </c>
      <c r="AA9061">
        <v>3</v>
      </c>
      <c r="AB9061">
        <v>27.788979999999999</v>
      </c>
      <c r="AC9061">
        <v>1.0790620000000001E-2</v>
      </c>
      <c r="AD9061">
        <v>4.6282240000000003</v>
      </c>
      <c r="AE9061">
        <v>0.21596019999999999</v>
      </c>
      <c r="AF9061">
        <v>284.303</v>
      </c>
      <c r="AG9061">
        <f>IFERROR(AH9061*0.1, "N/A")</f>
        <v>5.8000000000000007</v>
      </c>
      <c r="AH9061">
        <v>58</v>
      </c>
      <c r="AI9061">
        <v>293.06779999999998</v>
      </c>
      <c r="AJ9061">
        <v>34.781089999999999</v>
      </c>
      <c r="AK9061">
        <v>44.437829999999998</v>
      </c>
    </row>
    <row r="9062" spans="1:37" x14ac:dyDescent="0.3">
      <c r="A9062">
        <v>9061</v>
      </c>
      <c r="B9062">
        <v>80</v>
      </c>
      <c r="C9062">
        <v>14.320600000000001</v>
      </c>
      <c r="D9062">
        <v>-5.4288600000000002</v>
      </c>
      <c r="E9062" t="s">
        <v>13775</v>
      </c>
      <c r="F9062" t="s">
        <v>13777</v>
      </c>
      <c r="G9062" t="s">
        <v>37</v>
      </c>
      <c r="H9062">
        <v>1995</v>
      </c>
      <c r="I9062">
        <v>25.3</v>
      </c>
      <c r="J9062">
        <v>8.4</v>
      </c>
      <c r="K9062">
        <v>59</v>
      </c>
      <c r="L9062">
        <v>17.940000000000001</v>
      </c>
      <c r="M9062">
        <v>31.6</v>
      </c>
      <c r="N9062">
        <v>17.399999999999999</v>
      </c>
      <c r="O9062">
        <v>14.2</v>
      </c>
      <c r="P9062">
        <v>26.6</v>
      </c>
      <c r="Q9062">
        <v>22.4</v>
      </c>
      <c r="R9062">
        <v>26.9</v>
      </c>
      <c r="S9062">
        <v>22.4</v>
      </c>
      <c r="T9062">
        <v>1183</v>
      </c>
      <c r="U9062">
        <v>232</v>
      </c>
      <c r="V9062">
        <v>0</v>
      </c>
      <c r="W9062">
        <v>80</v>
      </c>
      <c r="X9062">
        <v>509</v>
      </c>
      <c r="Y9062">
        <v>3</v>
      </c>
      <c r="Z9062">
        <v>488</v>
      </c>
      <c r="AA9062">
        <v>3</v>
      </c>
      <c r="AB9062">
        <v>27.788979999999999</v>
      </c>
      <c r="AC9062">
        <v>1.0790620000000001E-2</v>
      </c>
      <c r="AD9062">
        <v>4.6282240000000003</v>
      </c>
      <c r="AE9062">
        <v>0.21596019999999999</v>
      </c>
      <c r="AF9062">
        <v>284.303</v>
      </c>
      <c r="AG9062">
        <f>IFERROR(AH9062*0.1, "N/A")</f>
        <v>5.8000000000000007</v>
      </c>
      <c r="AH9062">
        <v>58</v>
      </c>
      <c r="AI9062">
        <v>293.06779999999998</v>
      </c>
      <c r="AJ9062">
        <v>34.781089999999999</v>
      </c>
      <c r="AK9062">
        <v>44.437829999999998</v>
      </c>
    </row>
    <row r="9063" spans="1:37" x14ac:dyDescent="0.3">
      <c r="A9063">
        <v>9062</v>
      </c>
      <c r="B9063">
        <v>1.9</v>
      </c>
      <c r="C9063">
        <v>12.783300000000001</v>
      </c>
      <c r="D9063">
        <v>-5.4333299999999998</v>
      </c>
      <c r="E9063" t="s">
        <v>13778</v>
      </c>
      <c r="F9063" t="s">
        <v>13779</v>
      </c>
      <c r="G9063" t="s">
        <v>37</v>
      </c>
      <c r="H9063">
        <v>1996</v>
      </c>
      <c r="I9063">
        <v>24.597719999999999</v>
      </c>
      <c r="J9063">
        <v>7.852983</v>
      </c>
      <c r="K9063">
        <v>56</v>
      </c>
      <c r="L9063">
        <v>19.54533</v>
      </c>
      <c r="M9063">
        <v>31.04702</v>
      </c>
      <c r="N9063">
        <v>17.19772</v>
      </c>
      <c r="O9063">
        <v>13.849299999999999</v>
      </c>
      <c r="P9063">
        <v>26.394030000000001</v>
      </c>
      <c r="Q9063">
        <v>21.597719999999999</v>
      </c>
      <c r="R9063">
        <v>26.394030000000001</v>
      </c>
      <c r="S9063">
        <v>21.597719999999999</v>
      </c>
      <c r="T9063">
        <v>1140.67</v>
      </c>
      <c r="U9063">
        <v>207.27889999999999</v>
      </c>
      <c r="V9063">
        <v>1</v>
      </c>
      <c r="W9063">
        <v>80</v>
      </c>
      <c r="X9063">
        <v>540.92809999999997</v>
      </c>
      <c r="Y9063">
        <v>5</v>
      </c>
      <c r="Z9063">
        <v>540.92809999999997</v>
      </c>
      <c r="AA9063">
        <v>5</v>
      </c>
      <c r="AB9063">
        <v>96.466139999999996</v>
      </c>
      <c r="AC9063">
        <v>2.0872410000000001E-2</v>
      </c>
      <c r="AD9063">
        <v>6.5747119999999999</v>
      </c>
      <c r="AE9063">
        <v>0.20563780000000001</v>
      </c>
      <c r="AF9063">
        <v>234.45959999999999</v>
      </c>
      <c r="AG9063">
        <f>IFERROR(AH9063*0.1, "N/A")</f>
        <v>5.1301750000000004</v>
      </c>
      <c r="AH9063">
        <v>51.301749999999998</v>
      </c>
      <c r="AI9063">
        <v>326.74</v>
      </c>
      <c r="AJ9063">
        <v>21.83333</v>
      </c>
      <c r="AK9063">
        <v>69.563159999999996</v>
      </c>
    </row>
    <row r="9064" spans="1:37" x14ac:dyDescent="0.3">
      <c r="A9064">
        <v>9063</v>
      </c>
      <c r="B9064">
        <v>6.8</v>
      </c>
      <c r="C9064">
        <v>12.783300000000001</v>
      </c>
      <c r="D9064">
        <v>-5.4333299999999998</v>
      </c>
      <c r="E9064" t="s">
        <v>13778</v>
      </c>
      <c r="F9064" t="s">
        <v>13780</v>
      </c>
      <c r="G9064" t="s">
        <v>39</v>
      </c>
      <c r="H9064">
        <v>1996</v>
      </c>
      <c r="I9064">
        <v>24.597719999999999</v>
      </c>
      <c r="J9064">
        <v>7.852983</v>
      </c>
      <c r="K9064">
        <v>56</v>
      </c>
      <c r="L9064">
        <v>19.54533</v>
      </c>
      <c r="M9064">
        <v>31.04702</v>
      </c>
      <c r="N9064">
        <v>17.19772</v>
      </c>
      <c r="O9064">
        <v>13.849299999999999</v>
      </c>
      <c r="P9064">
        <v>26.394030000000001</v>
      </c>
      <c r="Q9064">
        <v>21.597719999999999</v>
      </c>
      <c r="R9064">
        <v>26.394030000000001</v>
      </c>
      <c r="S9064">
        <v>21.597719999999999</v>
      </c>
      <c r="T9064">
        <v>1140.67</v>
      </c>
      <c r="U9064">
        <v>207.27889999999999</v>
      </c>
      <c r="V9064">
        <v>1</v>
      </c>
      <c r="W9064">
        <v>80</v>
      </c>
      <c r="X9064">
        <v>540.92809999999997</v>
      </c>
      <c r="Y9064">
        <v>5</v>
      </c>
      <c r="Z9064">
        <v>540.92809999999997</v>
      </c>
      <c r="AA9064">
        <v>5</v>
      </c>
      <c r="AB9064">
        <v>96.466139999999996</v>
      </c>
      <c r="AC9064">
        <v>2.0872410000000001E-2</v>
      </c>
      <c r="AD9064">
        <v>6.5747119999999999</v>
      </c>
      <c r="AE9064">
        <v>0.20563780000000001</v>
      </c>
      <c r="AF9064">
        <v>234.45959999999999</v>
      </c>
      <c r="AG9064">
        <f>IFERROR(AH9064*0.1, "N/A")</f>
        <v>5.1301750000000004</v>
      </c>
      <c r="AH9064">
        <v>51.301749999999998</v>
      </c>
      <c r="AI9064">
        <v>326.74</v>
      </c>
      <c r="AJ9064">
        <v>21.83333</v>
      </c>
      <c r="AK9064">
        <v>69.563159999999996</v>
      </c>
    </row>
    <row r="9065" spans="1:37" x14ac:dyDescent="0.3">
      <c r="A9065">
        <v>9064</v>
      </c>
      <c r="B9065">
        <v>2.8</v>
      </c>
      <c r="C9065">
        <v>12.933299999999999</v>
      </c>
      <c r="D9065">
        <v>-5.4333299999999998</v>
      </c>
      <c r="E9065" t="s">
        <v>13781</v>
      </c>
      <c r="F9065" t="s">
        <v>13782</v>
      </c>
      <c r="G9065" t="s">
        <v>37</v>
      </c>
      <c r="H9065">
        <v>1996</v>
      </c>
      <c r="I9065">
        <v>25.1965</v>
      </c>
      <c r="J9065">
        <v>7.9</v>
      </c>
      <c r="K9065">
        <v>56.227269999999997</v>
      </c>
      <c r="L9065">
        <v>19.602309999999999</v>
      </c>
      <c r="M9065">
        <v>31.673780000000001</v>
      </c>
      <c r="N9065">
        <v>17.796500000000002</v>
      </c>
      <c r="O9065">
        <v>13.877269999999999</v>
      </c>
      <c r="P9065">
        <v>26.973780000000001</v>
      </c>
      <c r="Q9065">
        <v>22.1965</v>
      </c>
      <c r="R9065">
        <v>26.973780000000001</v>
      </c>
      <c r="S9065">
        <v>22.1965</v>
      </c>
      <c r="T9065">
        <v>1169.049</v>
      </c>
      <c r="U9065">
        <v>214.9948</v>
      </c>
      <c r="V9065">
        <v>1</v>
      </c>
      <c r="W9065">
        <v>80</v>
      </c>
      <c r="X9065">
        <v>544.29200000000003</v>
      </c>
      <c r="Y9065">
        <v>5</v>
      </c>
      <c r="Z9065">
        <v>544.29200000000003</v>
      </c>
      <c r="AA9065">
        <v>5</v>
      </c>
      <c r="AB9065">
        <v>46.017139999999998</v>
      </c>
      <c r="AC9065">
        <v>9.8641149999999997E-3</v>
      </c>
      <c r="AD9065">
        <v>7.7879319999999996</v>
      </c>
      <c r="AE9065">
        <v>0.2017815</v>
      </c>
      <c r="AF9065">
        <v>189.01050000000001</v>
      </c>
      <c r="AG9065">
        <f>IFERROR(AH9065*0.1, "N/A")</f>
        <v>5.4416080000000004</v>
      </c>
      <c r="AH9065">
        <v>54.416080000000001</v>
      </c>
      <c r="AI9065">
        <v>199.34780000000001</v>
      </c>
      <c r="AJ9065">
        <v>27.22203</v>
      </c>
      <c r="AK9065">
        <v>59.304200000000002</v>
      </c>
    </row>
    <row r="9066" spans="1:37" x14ac:dyDescent="0.3">
      <c r="A9066">
        <v>9065</v>
      </c>
      <c r="B9066">
        <v>3.8</v>
      </c>
      <c r="C9066">
        <v>12.933299999999999</v>
      </c>
      <c r="D9066">
        <v>-5.4333299999999998</v>
      </c>
      <c r="E9066" t="s">
        <v>13781</v>
      </c>
      <c r="F9066" t="s">
        <v>13783</v>
      </c>
      <c r="G9066" t="s">
        <v>39</v>
      </c>
      <c r="H9066">
        <v>1996</v>
      </c>
      <c r="I9066">
        <v>25.1965</v>
      </c>
      <c r="J9066">
        <v>7.9</v>
      </c>
      <c r="K9066">
        <v>56.227269999999997</v>
      </c>
      <c r="L9066">
        <v>19.602309999999999</v>
      </c>
      <c r="M9066">
        <v>31.673780000000001</v>
      </c>
      <c r="N9066">
        <v>17.796500000000002</v>
      </c>
      <c r="O9066">
        <v>13.877269999999999</v>
      </c>
      <c r="P9066">
        <v>26.973780000000001</v>
      </c>
      <c r="Q9066">
        <v>22.1965</v>
      </c>
      <c r="R9066">
        <v>26.973780000000001</v>
      </c>
      <c r="S9066">
        <v>22.1965</v>
      </c>
      <c r="T9066">
        <v>1169.049</v>
      </c>
      <c r="U9066">
        <v>214.9948</v>
      </c>
      <c r="V9066">
        <v>1</v>
      </c>
      <c r="W9066">
        <v>80</v>
      </c>
      <c r="X9066">
        <v>544.29200000000003</v>
      </c>
      <c r="Y9066">
        <v>5</v>
      </c>
      <c r="Z9066">
        <v>544.29200000000003</v>
      </c>
      <c r="AA9066">
        <v>5</v>
      </c>
      <c r="AB9066">
        <v>46.017139999999998</v>
      </c>
      <c r="AC9066">
        <v>9.8641149999999997E-3</v>
      </c>
      <c r="AD9066">
        <v>7.7879319999999996</v>
      </c>
      <c r="AE9066">
        <v>0.2017815</v>
      </c>
      <c r="AF9066">
        <v>189.01050000000001</v>
      </c>
      <c r="AG9066">
        <f>IFERROR(AH9066*0.1, "N/A")</f>
        <v>5.4416080000000004</v>
      </c>
      <c r="AH9066">
        <v>54.416080000000001</v>
      </c>
      <c r="AI9066">
        <v>199.34780000000001</v>
      </c>
      <c r="AJ9066">
        <v>27.22203</v>
      </c>
      <c r="AK9066">
        <v>59.304200000000002</v>
      </c>
    </row>
    <row r="9067" spans="1:37" x14ac:dyDescent="0.3">
      <c r="A9067">
        <v>9066</v>
      </c>
      <c r="B9067">
        <v>21.4</v>
      </c>
      <c r="C9067">
        <v>14.215199999999999</v>
      </c>
      <c r="D9067">
        <v>-5.46279</v>
      </c>
      <c r="E9067" t="s">
        <v>13784</v>
      </c>
      <c r="F9067" t="s">
        <v>13785</v>
      </c>
      <c r="G9067" t="s">
        <v>39</v>
      </c>
      <c r="H9067">
        <v>1995</v>
      </c>
      <c r="I9067">
        <v>24.9</v>
      </c>
      <c r="J9067">
        <v>8.1999999999999993</v>
      </c>
      <c r="K9067">
        <v>58</v>
      </c>
      <c r="L9067">
        <v>17.600000000000001</v>
      </c>
      <c r="M9067">
        <v>31.1</v>
      </c>
      <c r="N9067">
        <v>17.2</v>
      </c>
      <c r="O9067">
        <v>13.9</v>
      </c>
      <c r="P9067">
        <v>26.2</v>
      </c>
      <c r="Q9067">
        <v>22.1</v>
      </c>
      <c r="R9067">
        <v>26.5</v>
      </c>
      <c r="S9067">
        <v>22.1</v>
      </c>
      <c r="T9067">
        <v>1184</v>
      </c>
      <c r="U9067">
        <v>231</v>
      </c>
      <c r="V9067">
        <v>0</v>
      </c>
      <c r="W9067">
        <v>80</v>
      </c>
      <c r="X9067">
        <v>507</v>
      </c>
      <c r="Y9067">
        <v>3</v>
      </c>
      <c r="Z9067">
        <v>495</v>
      </c>
      <c r="AA9067">
        <v>3</v>
      </c>
      <c r="AB9067">
        <v>43.12032</v>
      </c>
      <c r="AC9067">
        <v>1.189286E-2</v>
      </c>
      <c r="AD9067">
        <v>4.0488900000000001</v>
      </c>
      <c r="AE9067">
        <v>0.18080389999999999</v>
      </c>
      <c r="AF9067">
        <v>337.21890000000002</v>
      </c>
      <c r="AG9067">
        <f>IFERROR(AH9067*0.1, "N/A")</f>
        <v>5.6677759999999999</v>
      </c>
      <c r="AH9067">
        <v>56.677759999999999</v>
      </c>
      <c r="AI9067">
        <v>296.4554</v>
      </c>
      <c r="AJ9067">
        <v>32.264449999999997</v>
      </c>
      <c r="AK9067">
        <v>44.735550000000003</v>
      </c>
    </row>
    <row r="9068" spans="1:37" x14ac:dyDescent="0.3">
      <c r="A9068">
        <v>9067</v>
      </c>
      <c r="B9068">
        <v>79</v>
      </c>
      <c r="C9068">
        <v>14.215199999999999</v>
      </c>
      <c r="D9068">
        <v>-5.46279</v>
      </c>
      <c r="E9068" t="s">
        <v>13784</v>
      </c>
      <c r="F9068" t="s">
        <v>13786</v>
      </c>
      <c r="G9068" t="s">
        <v>37</v>
      </c>
      <c r="H9068">
        <v>1995</v>
      </c>
      <c r="I9068">
        <v>24.9</v>
      </c>
      <c r="J9068">
        <v>8.1999999999999993</v>
      </c>
      <c r="K9068">
        <v>58</v>
      </c>
      <c r="L9068">
        <v>17.600000000000001</v>
      </c>
      <c r="M9068">
        <v>31.1</v>
      </c>
      <c r="N9068">
        <v>17.2</v>
      </c>
      <c r="O9068">
        <v>13.9</v>
      </c>
      <c r="P9068">
        <v>26.2</v>
      </c>
      <c r="Q9068">
        <v>22.1</v>
      </c>
      <c r="R9068">
        <v>26.5</v>
      </c>
      <c r="S9068">
        <v>22.1</v>
      </c>
      <c r="T9068">
        <v>1184</v>
      </c>
      <c r="U9068">
        <v>231</v>
      </c>
      <c r="V9068">
        <v>0</v>
      </c>
      <c r="W9068">
        <v>80</v>
      </c>
      <c r="X9068">
        <v>507</v>
      </c>
      <c r="Y9068">
        <v>3</v>
      </c>
      <c r="Z9068">
        <v>495</v>
      </c>
      <c r="AA9068">
        <v>3</v>
      </c>
      <c r="AB9068">
        <v>43.12032</v>
      </c>
      <c r="AC9068">
        <v>1.189286E-2</v>
      </c>
      <c r="AD9068">
        <v>4.0488900000000001</v>
      </c>
      <c r="AE9068">
        <v>0.18080389999999999</v>
      </c>
      <c r="AF9068">
        <v>337.21890000000002</v>
      </c>
      <c r="AG9068">
        <f>IFERROR(AH9068*0.1, "N/A")</f>
        <v>5.6677759999999999</v>
      </c>
      <c r="AH9068">
        <v>56.677759999999999</v>
      </c>
      <c r="AI9068">
        <v>296.4554</v>
      </c>
      <c r="AJ9068">
        <v>32.264449999999997</v>
      </c>
      <c r="AK9068">
        <v>44.735550000000003</v>
      </c>
    </row>
    <row r="9069" spans="1:37" x14ac:dyDescent="0.3">
      <c r="A9069">
        <v>9068</v>
      </c>
      <c r="B9069">
        <v>12</v>
      </c>
      <c r="C9069">
        <v>13.9581</v>
      </c>
      <c r="D9069">
        <v>-5.4652399999999997</v>
      </c>
      <c r="E9069" t="s">
        <v>13787</v>
      </c>
      <c r="F9069" t="s">
        <v>13788</v>
      </c>
      <c r="G9069" t="s">
        <v>39</v>
      </c>
      <c r="H9069">
        <v>1995</v>
      </c>
      <c r="I9069">
        <v>25.1736</v>
      </c>
      <c r="J9069">
        <v>7.8</v>
      </c>
      <c r="K9069">
        <v>56.421329999999998</v>
      </c>
      <c r="L9069">
        <v>18.38944</v>
      </c>
      <c r="M9069">
        <v>31.3736</v>
      </c>
      <c r="N9069">
        <v>17.715730000000001</v>
      </c>
      <c r="O9069">
        <v>13.657870000000001</v>
      </c>
      <c r="P9069">
        <v>26.573599999999999</v>
      </c>
      <c r="Q9069">
        <v>22.315729999999999</v>
      </c>
      <c r="R9069">
        <v>26.8736</v>
      </c>
      <c r="S9069">
        <v>22.315729999999999</v>
      </c>
      <c r="T9069">
        <v>1128.213</v>
      </c>
      <c r="U9069">
        <v>220.4213</v>
      </c>
      <c r="V9069">
        <v>0</v>
      </c>
      <c r="W9069">
        <v>80.578670000000002</v>
      </c>
      <c r="X9069">
        <v>484.26400000000001</v>
      </c>
      <c r="Y9069">
        <v>2</v>
      </c>
      <c r="Z9069">
        <v>482.10660000000001</v>
      </c>
      <c r="AA9069">
        <v>2</v>
      </c>
      <c r="AB9069">
        <v>41.2577</v>
      </c>
      <c r="AC9069">
        <v>2.1943939999999999E-2</v>
      </c>
      <c r="AD9069">
        <v>2.329402</v>
      </c>
      <c r="AE9069">
        <v>0.16535739999999999</v>
      </c>
      <c r="AF9069">
        <v>276.32339999999999</v>
      </c>
      <c r="AG9069">
        <f>IFERROR(AH9069*0.1, "N/A")</f>
        <v>5.6211540000000007</v>
      </c>
      <c r="AH9069">
        <v>56.211539999999999</v>
      </c>
      <c r="AI9069">
        <v>111.00060000000001</v>
      </c>
      <c r="AJ9069">
        <v>28.215029999999999</v>
      </c>
      <c r="AK9069">
        <v>55.603149999999999</v>
      </c>
    </row>
    <row r="9070" spans="1:37" x14ac:dyDescent="0.3">
      <c r="A9070">
        <v>9069</v>
      </c>
      <c r="B9070">
        <v>2</v>
      </c>
      <c r="C9070">
        <v>13.9581</v>
      </c>
      <c r="D9070">
        <v>-5.4652399999999997</v>
      </c>
      <c r="E9070" t="s">
        <v>13787</v>
      </c>
      <c r="F9070" t="s">
        <v>13789</v>
      </c>
      <c r="G9070" t="s">
        <v>37</v>
      </c>
      <c r="H9070">
        <v>1995</v>
      </c>
      <c r="I9070">
        <v>25.1736</v>
      </c>
      <c r="J9070">
        <v>7.8</v>
      </c>
      <c r="K9070">
        <v>56.421329999999998</v>
      </c>
      <c r="L9070">
        <v>18.38944</v>
      </c>
      <c r="M9070">
        <v>31.3736</v>
      </c>
      <c r="N9070">
        <v>17.715730000000001</v>
      </c>
      <c r="O9070">
        <v>13.657870000000001</v>
      </c>
      <c r="P9070">
        <v>26.573599999999999</v>
      </c>
      <c r="Q9070">
        <v>22.315729999999999</v>
      </c>
      <c r="R9070">
        <v>26.8736</v>
      </c>
      <c r="S9070">
        <v>22.315729999999999</v>
      </c>
      <c r="T9070">
        <v>1128.213</v>
      </c>
      <c r="U9070">
        <v>220.4213</v>
      </c>
      <c r="V9070">
        <v>0</v>
      </c>
      <c r="W9070">
        <v>80.578670000000002</v>
      </c>
      <c r="X9070">
        <v>484.26400000000001</v>
      </c>
      <c r="Y9070">
        <v>2</v>
      </c>
      <c r="Z9070">
        <v>482.10660000000001</v>
      </c>
      <c r="AA9070">
        <v>2</v>
      </c>
      <c r="AB9070">
        <v>41.2577</v>
      </c>
      <c r="AC9070">
        <v>2.1943939999999999E-2</v>
      </c>
      <c r="AD9070">
        <v>2.329402</v>
      </c>
      <c r="AE9070">
        <v>0.16535739999999999</v>
      </c>
      <c r="AF9070">
        <v>276.32339999999999</v>
      </c>
      <c r="AG9070">
        <f>IFERROR(AH9070*0.1, "N/A")</f>
        <v>5.6211540000000007</v>
      </c>
      <c r="AH9070">
        <v>56.211539999999999</v>
      </c>
      <c r="AI9070">
        <v>111.00060000000001</v>
      </c>
      <c r="AJ9070">
        <v>28.215029999999999</v>
      </c>
      <c r="AK9070">
        <v>55.603149999999999</v>
      </c>
    </row>
    <row r="9071" spans="1:37" x14ac:dyDescent="0.3">
      <c r="A9071">
        <v>9070</v>
      </c>
      <c r="B9071">
        <v>11.4</v>
      </c>
      <c r="C9071">
        <v>13.783300000000001</v>
      </c>
      <c r="D9071">
        <v>-5.4666699999999997</v>
      </c>
      <c r="E9071" t="s">
        <v>13790</v>
      </c>
      <c r="F9071" t="s">
        <v>13791</v>
      </c>
      <c r="G9071" t="s">
        <v>39</v>
      </c>
      <c r="H9071">
        <v>1995</v>
      </c>
      <c r="I9071">
        <v>23.905950000000001</v>
      </c>
      <c r="J9071">
        <v>7.6301220000000001</v>
      </c>
      <c r="K9071">
        <v>56.301229999999997</v>
      </c>
      <c r="L9071">
        <v>18.198630000000001</v>
      </c>
      <c r="M9071">
        <v>30.10595</v>
      </c>
      <c r="N9071">
        <v>16.723469999999999</v>
      </c>
      <c r="O9071">
        <v>13.382490000000001</v>
      </c>
      <c r="P9071">
        <v>25.60595</v>
      </c>
      <c r="Q9071">
        <v>21.02347</v>
      </c>
      <c r="R9071">
        <v>25.60595</v>
      </c>
      <c r="S9071">
        <v>21.02347</v>
      </c>
      <c r="T9071">
        <v>1160.249</v>
      </c>
      <c r="U9071">
        <v>220.30119999999999</v>
      </c>
      <c r="V9071">
        <v>0</v>
      </c>
      <c r="W9071">
        <v>79.873909999999995</v>
      </c>
      <c r="X9071">
        <v>506.40460000000002</v>
      </c>
      <c r="Y9071">
        <v>3</v>
      </c>
      <c r="Z9071">
        <v>506.40460000000002</v>
      </c>
      <c r="AA9071">
        <v>3</v>
      </c>
      <c r="AB9071">
        <v>31.407730000000001</v>
      </c>
      <c r="AC9071">
        <v>6.8703970000000003E-2</v>
      </c>
      <c r="AD9071">
        <v>6.0777809999999999</v>
      </c>
      <c r="AE9071">
        <v>0.1951782</v>
      </c>
      <c r="AF9071">
        <v>404.81439999999998</v>
      </c>
      <c r="AG9071">
        <f>IFERROR(AH9071*0.1, "N/A")</f>
        <v>5.097373000000001</v>
      </c>
      <c r="AH9071">
        <v>50.973730000000003</v>
      </c>
      <c r="AI9071">
        <v>123.2679</v>
      </c>
      <c r="AJ9071">
        <v>21.639230000000001</v>
      </c>
      <c r="AK9071">
        <v>60.026269999999997</v>
      </c>
    </row>
    <row r="9072" spans="1:37" x14ac:dyDescent="0.3">
      <c r="A9072">
        <v>9071</v>
      </c>
      <c r="B9072">
        <v>4</v>
      </c>
      <c r="C9072">
        <v>13.783300000000001</v>
      </c>
      <c r="D9072">
        <v>-5.4666699999999997</v>
      </c>
      <c r="E9072" t="s">
        <v>13790</v>
      </c>
      <c r="F9072" t="s">
        <v>13792</v>
      </c>
      <c r="G9072" t="s">
        <v>37</v>
      </c>
      <c r="H9072">
        <v>1995</v>
      </c>
      <c r="I9072">
        <v>23.905950000000001</v>
      </c>
      <c r="J9072">
        <v>7.6301220000000001</v>
      </c>
      <c r="K9072">
        <v>56.301229999999997</v>
      </c>
      <c r="L9072">
        <v>18.198630000000001</v>
      </c>
      <c r="M9072">
        <v>30.10595</v>
      </c>
      <c r="N9072">
        <v>16.723469999999999</v>
      </c>
      <c r="O9072">
        <v>13.382490000000001</v>
      </c>
      <c r="P9072">
        <v>25.60595</v>
      </c>
      <c r="Q9072">
        <v>21.02347</v>
      </c>
      <c r="R9072">
        <v>25.60595</v>
      </c>
      <c r="S9072">
        <v>21.02347</v>
      </c>
      <c r="T9072">
        <v>1160.249</v>
      </c>
      <c r="U9072">
        <v>220.30119999999999</v>
      </c>
      <c r="V9072">
        <v>0</v>
      </c>
      <c r="W9072">
        <v>79.873909999999995</v>
      </c>
      <c r="X9072">
        <v>506.40460000000002</v>
      </c>
      <c r="Y9072">
        <v>3</v>
      </c>
      <c r="Z9072">
        <v>506.40460000000002</v>
      </c>
      <c r="AA9072">
        <v>3</v>
      </c>
      <c r="AB9072">
        <v>31.407730000000001</v>
      </c>
      <c r="AC9072">
        <v>6.8703970000000003E-2</v>
      </c>
      <c r="AD9072">
        <v>6.0777809999999999</v>
      </c>
      <c r="AE9072">
        <v>0.1951782</v>
      </c>
      <c r="AF9072">
        <v>404.81439999999998</v>
      </c>
      <c r="AG9072">
        <f>IFERROR(AH9072*0.1, "N/A")</f>
        <v>5.097373000000001</v>
      </c>
      <c r="AH9072">
        <v>50.973730000000003</v>
      </c>
      <c r="AI9072">
        <v>123.2679</v>
      </c>
      <c r="AJ9072">
        <v>21.639230000000001</v>
      </c>
      <c r="AK9072">
        <v>60.026269999999997</v>
      </c>
    </row>
    <row r="9073" spans="1:37" x14ac:dyDescent="0.3">
      <c r="A9073">
        <v>9072</v>
      </c>
      <c r="B9073">
        <v>2.9</v>
      </c>
      <c r="C9073">
        <v>14.45</v>
      </c>
      <c r="D9073">
        <v>-5.4833299999999996</v>
      </c>
      <c r="E9073" t="s">
        <v>13793</v>
      </c>
      <c r="F9073" t="s">
        <v>13794</v>
      </c>
      <c r="G9073" t="s">
        <v>39</v>
      </c>
      <c r="H9073">
        <v>1995</v>
      </c>
      <c r="I9073">
        <v>25.062999999999999</v>
      </c>
      <c r="J9073">
        <v>8.6249570000000002</v>
      </c>
      <c r="K9073">
        <v>59.249560000000002</v>
      </c>
      <c r="L9073">
        <v>17.748799999999999</v>
      </c>
      <c r="M9073">
        <v>31.463000000000001</v>
      </c>
      <c r="N9073">
        <v>17.024609999999999</v>
      </c>
      <c r="O9073">
        <v>14.43839</v>
      </c>
      <c r="P9073">
        <v>26.363</v>
      </c>
      <c r="Q9073">
        <v>22.263000000000002</v>
      </c>
      <c r="R9073">
        <v>26.663</v>
      </c>
      <c r="S9073">
        <v>22.263000000000002</v>
      </c>
      <c r="T9073">
        <v>1221.7629999999999</v>
      </c>
      <c r="U9073">
        <v>239.24959999999999</v>
      </c>
      <c r="V9073">
        <v>0</v>
      </c>
      <c r="W9073">
        <v>79</v>
      </c>
      <c r="X9073">
        <v>522.87779999999998</v>
      </c>
      <c r="Y9073">
        <v>4</v>
      </c>
      <c r="Z9073">
        <v>503.24779999999998</v>
      </c>
      <c r="AA9073">
        <v>4</v>
      </c>
      <c r="AB9073">
        <v>22.86439</v>
      </c>
      <c r="AC9073">
        <v>1.2875660000000001E-2</v>
      </c>
      <c r="AD9073">
        <v>2.006856</v>
      </c>
      <c r="AE9073">
        <v>0.17446449999999999</v>
      </c>
      <c r="AF9073">
        <v>345.99829999999997</v>
      </c>
      <c r="AG9073">
        <f>IFERROR(AH9073*0.1, "N/A")</f>
        <v>5.1000000000000005</v>
      </c>
      <c r="AH9073">
        <v>51</v>
      </c>
      <c r="AI9073">
        <v>301.65359999999998</v>
      </c>
      <c r="AJ9073">
        <v>31.25131</v>
      </c>
      <c r="AK9073">
        <v>48.748690000000003</v>
      </c>
    </row>
    <row r="9074" spans="1:37" x14ac:dyDescent="0.3">
      <c r="A9074">
        <v>9073</v>
      </c>
      <c r="B9074">
        <v>89.7</v>
      </c>
      <c r="C9074">
        <v>14.45</v>
      </c>
      <c r="D9074">
        <v>-5.4833299999999996</v>
      </c>
      <c r="E9074" t="s">
        <v>13793</v>
      </c>
      <c r="F9074" t="s">
        <v>13795</v>
      </c>
      <c r="G9074" t="s">
        <v>37</v>
      </c>
      <c r="H9074">
        <v>1995</v>
      </c>
      <c r="I9074">
        <v>25.062999999999999</v>
      </c>
      <c r="J9074">
        <v>8.6249570000000002</v>
      </c>
      <c r="K9074">
        <v>59.249560000000002</v>
      </c>
      <c r="L9074">
        <v>17.748799999999999</v>
      </c>
      <c r="M9074">
        <v>31.463000000000001</v>
      </c>
      <c r="N9074">
        <v>17.024609999999999</v>
      </c>
      <c r="O9074">
        <v>14.43839</v>
      </c>
      <c r="P9074">
        <v>26.363</v>
      </c>
      <c r="Q9074">
        <v>22.263000000000002</v>
      </c>
      <c r="R9074">
        <v>26.663</v>
      </c>
      <c r="S9074">
        <v>22.263000000000002</v>
      </c>
      <c r="T9074">
        <v>1221.7629999999999</v>
      </c>
      <c r="U9074">
        <v>239.24959999999999</v>
      </c>
      <c r="V9074">
        <v>0</v>
      </c>
      <c r="W9074">
        <v>79</v>
      </c>
      <c r="X9074">
        <v>522.87779999999998</v>
      </c>
      <c r="Y9074">
        <v>4</v>
      </c>
      <c r="Z9074">
        <v>503.24779999999998</v>
      </c>
      <c r="AA9074">
        <v>4</v>
      </c>
      <c r="AB9074">
        <v>22.86439</v>
      </c>
      <c r="AC9074">
        <v>1.2875660000000001E-2</v>
      </c>
      <c r="AD9074">
        <v>2.006856</v>
      </c>
      <c r="AE9074">
        <v>0.17446449999999999</v>
      </c>
      <c r="AF9074">
        <v>345.99829999999997</v>
      </c>
      <c r="AG9074">
        <f>IFERROR(AH9074*0.1, "N/A")</f>
        <v>5.1000000000000005</v>
      </c>
      <c r="AH9074">
        <v>51</v>
      </c>
      <c r="AI9074">
        <v>301.65359999999998</v>
      </c>
      <c r="AJ9074">
        <v>31.25131</v>
      </c>
      <c r="AK9074">
        <v>48.748690000000003</v>
      </c>
    </row>
    <row r="9075" spans="1:37" x14ac:dyDescent="0.3">
      <c r="A9075">
        <v>9074</v>
      </c>
      <c r="B9075">
        <v>3</v>
      </c>
      <c r="C9075">
        <v>13.8</v>
      </c>
      <c r="D9075">
        <v>-5.5</v>
      </c>
      <c r="E9075" t="s">
        <v>13796</v>
      </c>
      <c r="F9075" t="s">
        <v>13797</v>
      </c>
      <c r="G9075" t="s">
        <v>39</v>
      </c>
      <c r="H9075">
        <v>1995</v>
      </c>
      <c r="I9075">
        <v>23.915759999999999</v>
      </c>
      <c r="J9075">
        <v>7.6</v>
      </c>
      <c r="K9075">
        <v>57</v>
      </c>
      <c r="L9075">
        <v>18.289090000000002</v>
      </c>
      <c r="M9075">
        <v>30.106660000000002</v>
      </c>
      <c r="N9075">
        <v>16.806650000000001</v>
      </c>
      <c r="O9075">
        <v>13.3</v>
      </c>
      <c r="P9075">
        <v>25.615760000000002</v>
      </c>
      <c r="Q9075">
        <v>21.114709999999999</v>
      </c>
      <c r="R9075">
        <v>25.615760000000002</v>
      </c>
      <c r="S9075">
        <v>21.114709999999999</v>
      </c>
      <c r="T9075">
        <v>1157.8230000000001</v>
      </c>
      <c r="U9075">
        <v>221.16990000000001</v>
      </c>
      <c r="V9075">
        <v>0</v>
      </c>
      <c r="W9075">
        <v>79.65849</v>
      </c>
      <c r="X9075">
        <v>505.38</v>
      </c>
      <c r="Y9075">
        <v>2.9089320000000001</v>
      </c>
      <c r="Z9075">
        <v>505.38</v>
      </c>
      <c r="AA9075">
        <v>2.9089320000000001</v>
      </c>
      <c r="AB9075">
        <v>93.886690000000002</v>
      </c>
      <c r="AC9075">
        <v>8.5092889999999997E-3</v>
      </c>
      <c r="AD9075">
        <v>8.0309519999999992</v>
      </c>
      <c r="AE9075">
        <v>0.1725698</v>
      </c>
      <c r="AF9075">
        <v>476.3818</v>
      </c>
      <c r="AG9075">
        <f>IFERROR(AH9075*0.1, "N/A")</f>
        <v>5.3406300000000009</v>
      </c>
      <c r="AH9075">
        <v>53.406300000000002</v>
      </c>
      <c r="AI9075">
        <v>132.1207</v>
      </c>
      <c r="AJ9075">
        <v>35.506129999999999</v>
      </c>
      <c r="AK9075">
        <v>44.035029999999999</v>
      </c>
    </row>
    <row r="9076" spans="1:37" x14ac:dyDescent="0.3">
      <c r="A9076">
        <v>9075</v>
      </c>
      <c r="B9076">
        <v>1</v>
      </c>
      <c r="C9076">
        <v>13.8</v>
      </c>
      <c r="D9076">
        <v>-5.5</v>
      </c>
      <c r="E9076" t="s">
        <v>13796</v>
      </c>
      <c r="F9076" t="s">
        <v>13798</v>
      </c>
      <c r="G9076" t="s">
        <v>37</v>
      </c>
      <c r="H9076">
        <v>1995</v>
      </c>
      <c r="I9076">
        <v>23.915759999999999</v>
      </c>
      <c r="J9076">
        <v>7.6</v>
      </c>
      <c r="K9076">
        <v>57</v>
      </c>
      <c r="L9076">
        <v>18.289090000000002</v>
      </c>
      <c r="M9076">
        <v>30.106660000000002</v>
      </c>
      <c r="N9076">
        <v>16.806650000000001</v>
      </c>
      <c r="O9076">
        <v>13.3</v>
      </c>
      <c r="P9076">
        <v>25.615760000000002</v>
      </c>
      <c r="Q9076">
        <v>21.114709999999999</v>
      </c>
      <c r="R9076">
        <v>25.615760000000002</v>
      </c>
      <c r="S9076">
        <v>21.114709999999999</v>
      </c>
      <c r="T9076">
        <v>1157.8230000000001</v>
      </c>
      <c r="U9076">
        <v>221.16990000000001</v>
      </c>
      <c r="V9076">
        <v>0</v>
      </c>
      <c r="W9076">
        <v>79.65849</v>
      </c>
      <c r="X9076">
        <v>505.38</v>
      </c>
      <c r="Y9076">
        <v>2.9089320000000001</v>
      </c>
      <c r="Z9076">
        <v>505.38</v>
      </c>
      <c r="AA9076">
        <v>2.9089320000000001</v>
      </c>
      <c r="AB9076">
        <v>93.886690000000002</v>
      </c>
      <c r="AC9076">
        <v>8.5092889999999997E-3</v>
      </c>
      <c r="AD9076">
        <v>8.0309519999999992</v>
      </c>
      <c r="AE9076">
        <v>0.1725698</v>
      </c>
      <c r="AF9076">
        <v>476.3818</v>
      </c>
      <c r="AG9076">
        <f>IFERROR(AH9076*0.1, "N/A")</f>
        <v>5.3406300000000009</v>
      </c>
      <c r="AH9076">
        <v>53.406300000000002</v>
      </c>
      <c r="AI9076">
        <v>132.1207</v>
      </c>
      <c r="AJ9076">
        <v>35.506129999999999</v>
      </c>
      <c r="AK9076">
        <v>44.035029999999999</v>
      </c>
    </row>
    <row r="9077" spans="1:37" x14ac:dyDescent="0.3">
      <c r="A9077">
        <v>9076</v>
      </c>
      <c r="B9077">
        <v>65</v>
      </c>
      <c r="C9077">
        <v>12.716200000000001</v>
      </c>
      <c r="D9077">
        <v>-5.5346399999999996</v>
      </c>
      <c r="E9077" t="s">
        <v>13799</v>
      </c>
      <c r="F9077" t="s">
        <v>13800</v>
      </c>
      <c r="G9077" t="s">
        <v>37</v>
      </c>
      <c r="H9077">
        <v>1996</v>
      </c>
      <c r="I9077">
        <v>24.77853</v>
      </c>
      <c r="J9077">
        <v>7.8</v>
      </c>
      <c r="K9077">
        <v>56</v>
      </c>
      <c r="L9077">
        <v>19.68937</v>
      </c>
      <c r="M9077">
        <v>31.2</v>
      </c>
      <c r="N9077">
        <v>17.478529999999999</v>
      </c>
      <c r="O9077">
        <v>13.72147</v>
      </c>
      <c r="P9077">
        <v>26.6</v>
      </c>
      <c r="Q9077">
        <v>21.77853</v>
      </c>
      <c r="R9077">
        <v>26.6</v>
      </c>
      <c r="S9077">
        <v>21.77853</v>
      </c>
      <c r="T9077">
        <v>1067.932</v>
      </c>
      <c r="U9077">
        <v>197.21469999999999</v>
      </c>
      <c r="V9077">
        <v>1</v>
      </c>
      <c r="W9077">
        <v>80.785340000000005</v>
      </c>
      <c r="X9077">
        <v>515.64400000000001</v>
      </c>
      <c r="Y9077">
        <v>5</v>
      </c>
      <c r="Z9077">
        <v>515.64400000000001</v>
      </c>
      <c r="AA9077">
        <v>5</v>
      </c>
      <c r="AB9077">
        <v>61.394590000000001</v>
      </c>
      <c r="AC9077">
        <v>8.9691349999999996E-3</v>
      </c>
      <c r="AD9077">
        <v>2.515053</v>
      </c>
      <c r="AE9077">
        <v>0.21130579999999999</v>
      </c>
      <c r="AF9077">
        <v>185.11689999999999</v>
      </c>
      <c r="AG9077">
        <f>IFERROR(AH9077*0.1, "N/A")</f>
        <v>5.4118670000000009</v>
      </c>
      <c r="AH9077">
        <v>54.118670000000002</v>
      </c>
      <c r="AI9077">
        <v>246.89060000000001</v>
      </c>
      <c r="AJ9077">
        <v>21.254799999999999</v>
      </c>
      <c r="AK9077">
        <v>65.547989999999999</v>
      </c>
    </row>
    <row r="9078" spans="1:37" x14ac:dyDescent="0.3">
      <c r="A9078">
        <v>9077</v>
      </c>
      <c r="B9078">
        <v>4</v>
      </c>
      <c r="C9078">
        <v>12.716200000000001</v>
      </c>
      <c r="D9078">
        <v>-5.5346399999999996</v>
      </c>
      <c r="E9078" t="s">
        <v>13799</v>
      </c>
      <c r="F9078" t="s">
        <v>13801</v>
      </c>
      <c r="G9078" t="s">
        <v>39</v>
      </c>
      <c r="H9078">
        <v>1996</v>
      </c>
      <c r="I9078">
        <v>24.77853</v>
      </c>
      <c r="J9078">
        <v>7.8</v>
      </c>
      <c r="K9078">
        <v>56</v>
      </c>
      <c r="L9078">
        <v>19.68937</v>
      </c>
      <c r="M9078">
        <v>31.2</v>
      </c>
      <c r="N9078">
        <v>17.478529999999999</v>
      </c>
      <c r="O9078">
        <v>13.72147</v>
      </c>
      <c r="P9078">
        <v>26.6</v>
      </c>
      <c r="Q9078">
        <v>21.77853</v>
      </c>
      <c r="R9078">
        <v>26.6</v>
      </c>
      <c r="S9078">
        <v>21.77853</v>
      </c>
      <c r="T9078">
        <v>1067.932</v>
      </c>
      <c r="U9078">
        <v>197.21469999999999</v>
      </c>
      <c r="V9078">
        <v>1</v>
      </c>
      <c r="W9078">
        <v>80.785340000000005</v>
      </c>
      <c r="X9078">
        <v>515.64400000000001</v>
      </c>
      <c r="Y9078">
        <v>5</v>
      </c>
      <c r="Z9078">
        <v>515.64400000000001</v>
      </c>
      <c r="AA9078">
        <v>5</v>
      </c>
      <c r="AB9078">
        <v>61.394590000000001</v>
      </c>
      <c r="AC9078">
        <v>8.9691349999999996E-3</v>
      </c>
      <c r="AD9078">
        <v>2.515053</v>
      </c>
      <c r="AE9078">
        <v>0.21130579999999999</v>
      </c>
      <c r="AF9078">
        <v>185.11689999999999</v>
      </c>
      <c r="AG9078">
        <f>IFERROR(AH9078*0.1, "N/A")</f>
        <v>5.4118670000000009</v>
      </c>
      <c r="AH9078">
        <v>54.118670000000002</v>
      </c>
      <c r="AI9078">
        <v>246.89060000000001</v>
      </c>
      <c r="AJ9078">
        <v>21.254799999999999</v>
      </c>
      <c r="AK9078">
        <v>65.547989999999999</v>
      </c>
    </row>
    <row r="9079" spans="1:37" x14ac:dyDescent="0.3">
      <c r="A9079">
        <v>9078</v>
      </c>
      <c r="B9079">
        <v>23.5</v>
      </c>
      <c r="C9079">
        <v>14.3531</v>
      </c>
      <c r="D9079">
        <v>-5.5568200000000001</v>
      </c>
      <c r="E9079" t="s">
        <v>13802</v>
      </c>
      <c r="F9079" t="s">
        <v>13803</v>
      </c>
      <c r="G9079" t="s">
        <v>39</v>
      </c>
      <c r="H9079">
        <v>1995</v>
      </c>
      <c r="I9079">
        <v>25</v>
      </c>
      <c r="J9079">
        <v>8.4</v>
      </c>
      <c r="K9079">
        <v>59</v>
      </c>
      <c r="L9079">
        <v>17.66</v>
      </c>
      <c r="M9079">
        <v>31.3</v>
      </c>
      <c r="N9079">
        <v>17.2</v>
      </c>
      <c r="O9079">
        <v>14.1</v>
      </c>
      <c r="P9079">
        <v>26.3</v>
      </c>
      <c r="Q9079">
        <v>22.2</v>
      </c>
      <c r="R9079">
        <v>26.6</v>
      </c>
      <c r="S9079">
        <v>22.2</v>
      </c>
      <c r="T9079">
        <v>1206</v>
      </c>
      <c r="U9079">
        <v>238</v>
      </c>
      <c r="V9079">
        <v>0</v>
      </c>
      <c r="W9079">
        <v>79</v>
      </c>
      <c r="X9079">
        <v>517</v>
      </c>
      <c r="Y9079">
        <v>3</v>
      </c>
      <c r="Z9079">
        <v>504</v>
      </c>
      <c r="AA9079">
        <v>3</v>
      </c>
      <c r="AB9079">
        <v>35.117910000000002</v>
      </c>
      <c r="AC9079">
        <v>1.221042E-2</v>
      </c>
      <c r="AD9079">
        <v>4.6299099999999997</v>
      </c>
      <c r="AE9079">
        <v>0.27144679999999999</v>
      </c>
      <c r="AF9079">
        <v>330.32979999999998</v>
      </c>
      <c r="AG9079">
        <f>IFERROR(AH9079*0.1, "N/A")</f>
        <v>5.7270180000000011</v>
      </c>
      <c r="AH9079">
        <v>57.270180000000003</v>
      </c>
      <c r="AI9079">
        <v>90.044370000000001</v>
      </c>
      <c r="AJ9079">
        <v>31.72982</v>
      </c>
      <c r="AK9079">
        <v>47.270180000000003</v>
      </c>
    </row>
    <row r="9080" spans="1:37" x14ac:dyDescent="0.3">
      <c r="A9080">
        <v>9079</v>
      </c>
      <c r="B9080">
        <v>43.8</v>
      </c>
      <c r="C9080">
        <v>14.3531</v>
      </c>
      <c r="D9080">
        <v>-5.5568200000000001</v>
      </c>
      <c r="E9080" t="s">
        <v>13802</v>
      </c>
      <c r="F9080" t="s">
        <v>13804</v>
      </c>
      <c r="G9080" t="s">
        <v>37</v>
      </c>
      <c r="H9080">
        <v>1995</v>
      </c>
      <c r="I9080">
        <v>25</v>
      </c>
      <c r="J9080">
        <v>8.4</v>
      </c>
      <c r="K9080">
        <v>59</v>
      </c>
      <c r="L9080">
        <v>17.66</v>
      </c>
      <c r="M9080">
        <v>31.3</v>
      </c>
      <c r="N9080">
        <v>17.2</v>
      </c>
      <c r="O9080">
        <v>14.1</v>
      </c>
      <c r="P9080">
        <v>26.3</v>
      </c>
      <c r="Q9080">
        <v>22.2</v>
      </c>
      <c r="R9080">
        <v>26.6</v>
      </c>
      <c r="S9080">
        <v>22.2</v>
      </c>
      <c r="T9080">
        <v>1206</v>
      </c>
      <c r="U9080">
        <v>238</v>
      </c>
      <c r="V9080">
        <v>0</v>
      </c>
      <c r="W9080">
        <v>79</v>
      </c>
      <c r="X9080">
        <v>517</v>
      </c>
      <c r="Y9080">
        <v>3</v>
      </c>
      <c r="Z9080">
        <v>504</v>
      </c>
      <c r="AA9080">
        <v>3</v>
      </c>
      <c r="AB9080">
        <v>35.117910000000002</v>
      </c>
      <c r="AC9080">
        <v>1.221042E-2</v>
      </c>
      <c r="AD9080">
        <v>4.6299099999999997</v>
      </c>
      <c r="AE9080">
        <v>0.27144679999999999</v>
      </c>
      <c r="AF9080">
        <v>330.32979999999998</v>
      </c>
      <c r="AG9080">
        <f>IFERROR(AH9080*0.1, "N/A")</f>
        <v>5.7270180000000011</v>
      </c>
      <c r="AH9080">
        <v>57.270180000000003</v>
      </c>
      <c r="AI9080">
        <v>90.044370000000001</v>
      </c>
      <c r="AJ9080">
        <v>31.72982</v>
      </c>
      <c r="AK9080">
        <v>47.270180000000003</v>
      </c>
    </row>
    <row r="9081" spans="1:37" x14ac:dyDescent="0.3">
      <c r="A9081">
        <v>9080</v>
      </c>
      <c r="B9081">
        <v>2.7</v>
      </c>
      <c r="C9081">
        <v>13.0435</v>
      </c>
      <c r="D9081">
        <v>-5.5584699999999998</v>
      </c>
      <c r="E9081" t="s">
        <v>13805</v>
      </c>
      <c r="F9081" t="s">
        <v>13806</v>
      </c>
      <c r="G9081" t="s">
        <v>37</v>
      </c>
      <c r="H9081">
        <v>1996</v>
      </c>
      <c r="I9081">
        <v>25.429320000000001</v>
      </c>
      <c r="J9081">
        <v>7.8</v>
      </c>
      <c r="K9081">
        <v>56</v>
      </c>
      <c r="L9081">
        <v>20.086549999999999</v>
      </c>
      <c r="M9081">
        <v>31.95288</v>
      </c>
      <c r="N9081">
        <v>18.052879999999998</v>
      </c>
      <c r="O9081">
        <v>13.9</v>
      </c>
      <c r="P9081">
        <v>27.252880000000001</v>
      </c>
      <c r="Q9081">
        <v>22.329319999999999</v>
      </c>
      <c r="R9081">
        <v>27.252880000000001</v>
      </c>
      <c r="S9081">
        <v>22.329319999999999</v>
      </c>
      <c r="T9081">
        <v>1130.414</v>
      </c>
      <c r="U9081">
        <v>210</v>
      </c>
      <c r="V9081">
        <v>1</v>
      </c>
      <c r="W9081">
        <v>80</v>
      </c>
      <c r="X9081">
        <v>523.47119999999995</v>
      </c>
      <c r="Y9081">
        <v>5</v>
      </c>
      <c r="Z9081">
        <v>523.47119999999995</v>
      </c>
      <c r="AA9081">
        <v>5</v>
      </c>
      <c r="AB9081">
        <v>2.4610829999999999</v>
      </c>
      <c r="AC9081">
        <v>0.76663680000000001</v>
      </c>
      <c r="AD9081">
        <v>5.3641649999999998</v>
      </c>
      <c r="AE9081">
        <v>0.33544230000000003</v>
      </c>
      <c r="AF9081">
        <v>196.11689999999999</v>
      </c>
      <c r="AG9081">
        <f>IFERROR(AH9081*0.1, "N/A")</f>
        <v>4.9340310000000009</v>
      </c>
      <c r="AH9081">
        <v>49.340310000000002</v>
      </c>
      <c r="AI9081">
        <v>147.47309999999999</v>
      </c>
      <c r="AJ9081">
        <v>33.157069999999997</v>
      </c>
      <c r="AK9081">
        <v>51.369979999999998</v>
      </c>
    </row>
    <row r="9082" spans="1:37" x14ac:dyDescent="0.3">
      <c r="A9082">
        <v>9081</v>
      </c>
      <c r="B9082">
        <v>3.6</v>
      </c>
      <c r="C9082">
        <v>13.0435</v>
      </c>
      <c r="D9082">
        <v>-5.5584699999999998</v>
      </c>
      <c r="E9082" t="s">
        <v>13805</v>
      </c>
      <c r="F9082" t="s">
        <v>13807</v>
      </c>
      <c r="G9082" t="s">
        <v>39</v>
      </c>
      <c r="H9082">
        <v>1996</v>
      </c>
      <c r="I9082">
        <v>25.429320000000001</v>
      </c>
      <c r="J9082">
        <v>7.8</v>
      </c>
      <c r="K9082">
        <v>56</v>
      </c>
      <c r="L9082">
        <v>20.086549999999999</v>
      </c>
      <c r="M9082">
        <v>31.95288</v>
      </c>
      <c r="N9082">
        <v>18.052879999999998</v>
      </c>
      <c r="O9082">
        <v>13.9</v>
      </c>
      <c r="P9082">
        <v>27.252880000000001</v>
      </c>
      <c r="Q9082">
        <v>22.329319999999999</v>
      </c>
      <c r="R9082">
        <v>27.252880000000001</v>
      </c>
      <c r="S9082">
        <v>22.329319999999999</v>
      </c>
      <c r="T9082">
        <v>1130.414</v>
      </c>
      <c r="U9082">
        <v>210</v>
      </c>
      <c r="V9082">
        <v>1</v>
      </c>
      <c r="W9082">
        <v>80</v>
      </c>
      <c r="X9082">
        <v>523.47119999999995</v>
      </c>
      <c r="Y9082">
        <v>5</v>
      </c>
      <c r="Z9082">
        <v>523.47119999999995</v>
      </c>
      <c r="AA9082">
        <v>5</v>
      </c>
      <c r="AB9082">
        <v>2.4610829999999999</v>
      </c>
      <c r="AC9082">
        <v>0.76663680000000001</v>
      </c>
      <c r="AD9082">
        <v>5.3641649999999998</v>
      </c>
      <c r="AE9082">
        <v>0.33544230000000003</v>
      </c>
      <c r="AF9082">
        <v>196.11689999999999</v>
      </c>
      <c r="AG9082">
        <f>IFERROR(AH9082*0.1, "N/A")</f>
        <v>4.9340310000000009</v>
      </c>
      <c r="AH9082">
        <v>49.340310000000002</v>
      </c>
      <c r="AI9082">
        <v>147.47309999999999</v>
      </c>
      <c r="AJ9082">
        <v>33.157069999999997</v>
      </c>
      <c r="AK9082">
        <v>51.369979999999998</v>
      </c>
    </row>
    <row r="9083" spans="1:37" x14ac:dyDescent="0.3">
      <c r="A9083">
        <v>9082</v>
      </c>
      <c r="B9083">
        <v>31.6</v>
      </c>
      <c r="C9083">
        <v>14.432600000000001</v>
      </c>
      <c r="D9083">
        <v>-5.5612000000000004</v>
      </c>
      <c r="E9083" t="s">
        <v>13808</v>
      </c>
      <c r="F9083" t="s">
        <v>13809</v>
      </c>
      <c r="G9083" t="s">
        <v>39</v>
      </c>
      <c r="H9083">
        <v>1995</v>
      </c>
      <c r="I9083">
        <v>25.1</v>
      </c>
      <c r="J9083">
        <v>8.6</v>
      </c>
      <c r="K9083">
        <v>59</v>
      </c>
      <c r="L9083">
        <v>17.605049999999999</v>
      </c>
      <c r="M9083">
        <v>31.5</v>
      </c>
      <c r="N9083">
        <v>17.096329999999998</v>
      </c>
      <c r="O9083">
        <v>14.40367</v>
      </c>
      <c r="P9083">
        <v>26.4</v>
      </c>
      <c r="Q9083">
        <v>22.296330000000001</v>
      </c>
      <c r="R9083">
        <v>26.603670000000001</v>
      </c>
      <c r="S9083">
        <v>22.296330000000001</v>
      </c>
      <c r="T9083">
        <v>1220.037</v>
      </c>
      <c r="U9083">
        <v>240</v>
      </c>
      <c r="V9083">
        <v>0</v>
      </c>
      <c r="W9083">
        <v>79</v>
      </c>
      <c r="X9083">
        <v>523</v>
      </c>
      <c r="Y9083">
        <v>3.0367130000000002</v>
      </c>
      <c r="Z9083">
        <v>508</v>
      </c>
      <c r="AA9083">
        <v>3.0367130000000002</v>
      </c>
      <c r="AB9083">
        <v>10.39649</v>
      </c>
      <c r="AC9083">
        <v>1.79986E-2</v>
      </c>
      <c r="AD9083">
        <v>0.91260509999999995</v>
      </c>
      <c r="AE9083">
        <v>0.73200710000000002</v>
      </c>
      <c r="AF9083">
        <v>324.9633</v>
      </c>
      <c r="AG9083">
        <f>IFERROR(AH9083*0.1, "N/A")</f>
        <v>5.6798950000000001</v>
      </c>
      <c r="AH9083">
        <v>56.798949999999998</v>
      </c>
      <c r="AI9083">
        <v>92.051770000000005</v>
      </c>
      <c r="AJ9083">
        <v>32.585659999999997</v>
      </c>
      <c r="AK9083">
        <v>49.87762</v>
      </c>
    </row>
    <row r="9084" spans="1:37" x14ac:dyDescent="0.3">
      <c r="A9084">
        <v>9083</v>
      </c>
      <c r="B9084">
        <v>56.1</v>
      </c>
      <c r="C9084">
        <v>14.432600000000001</v>
      </c>
      <c r="D9084">
        <v>-5.5612000000000004</v>
      </c>
      <c r="E9084" t="s">
        <v>13808</v>
      </c>
      <c r="F9084" t="s">
        <v>13810</v>
      </c>
      <c r="G9084" t="s">
        <v>37</v>
      </c>
      <c r="H9084">
        <v>1995</v>
      </c>
      <c r="I9084">
        <v>25.1</v>
      </c>
      <c r="J9084">
        <v>8.6</v>
      </c>
      <c r="K9084">
        <v>59</v>
      </c>
      <c r="L9084">
        <v>17.605049999999999</v>
      </c>
      <c r="M9084">
        <v>31.5</v>
      </c>
      <c r="N9084">
        <v>17.096329999999998</v>
      </c>
      <c r="O9084">
        <v>14.40367</v>
      </c>
      <c r="P9084">
        <v>26.4</v>
      </c>
      <c r="Q9084">
        <v>22.296330000000001</v>
      </c>
      <c r="R9084">
        <v>26.603670000000001</v>
      </c>
      <c r="S9084">
        <v>22.296330000000001</v>
      </c>
      <c r="T9084">
        <v>1220.037</v>
      </c>
      <c r="U9084">
        <v>240</v>
      </c>
      <c r="V9084">
        <v>0</v>
      </c>
      <c r="W9084">
        <v>79</v>
      </c>
      <c r="X9084">
        <v>523</v>
      </c>
      <c r="Y9084">
        <v>3.0367130000000002</v>
      </c>
      <c r="Z9084">
        <v>508</v>
      </c>
      <c r="AA9084">
        <v>3.0367130000000002</v>
      </c>
      <c r="AB9084">
        <v>10.39649</v>
      </c>
      <c r="AC9084">
        <v>1.79986E-2</v>
      </c>
      <c r="AD9084">
        <v>0.91260509999999995</v>
      </c>
      <c r="AE9084">
        <v>0.73200710000000002</v>
      </c>
      <c r="AF9084">
        <v>324.9633</v>
      </c>
      <c r="AG9084">
        <f>IFERROR(AH9084*0.1, "N/A")</f>
        <v>5.6798950000000001</v>
      </c>
      <c r="AH9084">
        <v>56.798949999999998</v>
      </c>
      <c r="AI9084">
        <v>92.051770000000005</v>
      </c>
      <c r="AJ9084">
        <v>32.585659999999997</v>
      </c>
      <c r="AK9084">
        <v>49.87762</v>
      </c>
    </row>
    <row r="9085" spans="1:37" x14ac:dyDescent="0.3">
      <c r="A9085">
        <v>9084</v>
      </c>
      <c r="B9085">
        <v>36</v>
      </c>
      <c r="C9085">
        <v>14.4329</v>
      </c>
      <c r="D9085">
        <v>-5.5643399999999996</v>
      </c>
      <c r="E9085" t="s">
        <v>13811</v>
      </c>
      <c r="F9085" t="s">
        <v>13812</v>
      </c>
      <c r="G9085" t="s">
        <v>39</v>
      </c>
      <c r="H9085">
        <v>1995</v>
      </c>
      <c r="I9085">
        <v>25.1</v>
      </c>
      <c r="J9085">
        <v>8.6</v>
      </c>
      <c r="K9085">
        <v>59</v>
      </c>
      <c r="L9085">
        <v>17.68478</v>
      </c>
      <c r="M9085">
        <v>31.5</v>
      </c>
      <c r="N9085">
        <v>17.076879999999999</v>
      </c>
      <c r="O9085">
        <v>14.423120000000001</v>
      </c>
      <c r="P9085">
        <v>26.4</v>
      </c>
      <c r="Q9085">
        <v>22.276879999999998</v>
      </c>
      <c r="R9085">
        <v>26.62312</v>
      </c>
      <c r="S9085">
        <v>22.276879999999998</v>
      </c>
      <c r="T9085">
        <v>1220.231</v>
      </c>
      <c r="U9085">
        <v>240</v>
      </c>
      <c r="V9085">
        <v>0</v>
      </c>
      <c r="W9085">
        <v>79</v>
      </c>
      <c r="X9085">
        <v>523</v>
      </c>
      <c r="Y9085">
        <v>3.2311730000000001</v>
      </c>
      <c r="Z9085">
        <v>508</v>
      </c>
      <c r="AA9085">
        <v>3.2311730000000001</v>
      </c>
      <c r="AB9085">
        <v>4.7082369999999996</v>
      </c>
      <c r="AC9085">
        <v>4.7533400000000003E-2</v>
      </c>
      <c r="AD9085">
        <v>1.5275879999999999</v>
      </c>
      <c r="AE9085">
        <v>0.73538820000000005</v>
      </c>
      <c r="AF9085">
        <v>328.9667</v>
      </c>
      <c r="AG9085">
        <f>IFERROR(AH9085*0.1, "N/A")</f>
        <v>5.8014010000000003</v>
      </c>
      <c r="AH9085">
        <v>58.014009999999999</v>
      </c>
      <c r="AI9085">
        <v>253.54</v>
      </c>
      <c r="AJ9085">
        <v>31.712779999999999</v>
      </c>
      <c r="AK9085">
        <v>52.315240000000003</v>
      </c>
    </row>
    <row r="9086" spans="1:37" x14ac:dyDescent="0.3">
      <c r="A9086">
        <v>9085</v>
      </c>
      <c r="B9086">
        <v>68</v>
      </c>
      <c r="C9086">
        <v>14.4329</v>
      </c>
      <c r="D9086">
        <v>-5.5643399999999996</v>
      </c>
      <c r="E9086" t="s">
        <v>13811</v>
      </c>
      <c r="F9086" t="s">
        <v>13813</v>
      </c>
      <c r="G9086" t="s">
        <v>37</v>
      </c>
      <c r="H9086">
        <v>1995</v>
      </c>
      <c r="I9086">
        <v>25.1</v>
      </c>
      <c r="J9086">
        <v>8.6</v>
      </c>
      <c r="K9086">
        <v>59</v>
      </c>
      <c r="L9086">
        <v>17.68478</v>
      </c>
      <c r="M9086">
        <v>31.5</v>
      </c>
      <c r="N9086">
        <v>17.076879999999999</v>
      </c>
      <c r="O9086">
        <v>14.423120000000001</v>
      </c>
      <c r="P9086">
        <v>26.4</v>
      </c>
      <c r="Q9086">
        <v>22.276879999999998</v>
      </c>
      <c r="R9086">
        <v>26.62312</v>
      </c>
      <c r="S9086">
        <v>22.276879999999998</v>
      </c>
      <c r="T9086">
        <v>1220.231</v>
      </c>
      <c r="U9086">
        <v>240</v>
      </c>
      <c r="V9086">
        <v>0</v>
      </c>
      <c r="W9086">
        <v>79</v>
      </c>
      <c r="X9086">
        <v>523</v>
      </c>
      <c r="Y9086">
        <v>3.2311730000000001</v>
      </c>
      <c r="Z9086">
        <v>508</v>
      </c>
      <c r="AA9086">
        <v>3.2311730000000001</v>
      </c>
      <c r="AB9086">
        <v>4.7082369999999996</v>
      </c>
      <c r="AC9086">
        <v>4.7533400000000003E-2</v>
      </c>
      <c r="AD9086">
        <v>1.5275879999999999</v>
      </c>
      <c r="AE9086">
        <v>0.73538820000000005</v>
      </c>
      <c r="AF9086">
        <v>328.9667</v>
      </c>
      <c r="AG9086">
        <f>IFERROR(AH9086*0.1, "N/A")</f>
        <v>5.8014010000000003</v>
      </c>
      <c r="AH9086">
        <v>58.014009999999999</v>
      </c>
      <c r="AI9086">
        <v>253.54</v>
      </c>
      <c r="AJ9086">
        <v>31.712779999999999</v>
      </c>
      <c r="AK9086">
        <v>52.315240000000003</v>
      </c>
    </row>
    <row r="9087" spans="1:37" x14ac:dyDescent="0.3">
      <c r="A9087">
        <v>9086</v>
      </c>
      <c r="B9087">
        <v>31.6</v>
      </c>
      <c r="C9087">
        <v>13.929500000000001</v>
      </c>
      <c r="D9087">
        <v>-5.5709400000000002</v>
      </c>
      <c r="E9087" t="s">
        <v>13814</v>
      </c>
      <c r="F9087" t="s">
        <v>13815</v>
      </c>
      <c r="G9087" t="s">
        <v>39</v>
      </c>
      <c r="H9087">
        <v>1995</v>
      </c>
      <c r="I9087">
        <v>25.3</v>
      </c>
      <c r="J9087">
        <v>7.7</v>
      </c>
      <c r="K9087">
        <v>57</v>
      </c>
      <c r="L9087">
        <v>17.989999999999998</v>
      </c>
      <c r="M9087">
        <v>31.5</v>
      </c>
      <c r="N9087">
        <v>18</v>
      </c>
      <c r="O9087">
        <v>13.5</v>
      </c>
      <c r="P9087">
        <v>27</v>
      </c>
      <c r="Q9087">
        <v>22.5</v>
      </c>
      <c r="R9087">
        <v>27</v>
      </c>
      <c r="S9087">
        <v>22.5</v>
      </c>
      <c r="T9087">
        <v>1113</v>
      </c>
      <c r="U9087">
        <v>220</v>
      </c>
      <c r="V9087">
        <v>0</v>
      </c>
      <c r="W9087">
        <v>81</v>
      </c>
      <c r="X9087">
        <v>482</v>
      </c>
      <c r="Y9087">
        <v>2</v>
      </c>
      <c r="Z9087">
        <v>482</v>
      </c>
      <c r="AA9087">
        <v>2</v>
      </c>
      <c r="AB9087">
        <v>0.55148569999999997</v>
      </c>
      <c r="AC9087">
        <v>5.6048309999999999</v>
      </c>
      <c r="AD9087">
        <v>1.3741890000000001</v>
      </c>
      <c r="AE9087">
        <v>0.17525930000000001</v>
      </c>
      <c r="AF9087">
        <v>243.80099999999999</v>
      </c>
      <c r="AG9087">
        <f>IFERROR(AH9087*0.1, "N/A")</f>
        <v>5.9916230000000006</v>
      </c>
      <c r="AH9087">
        <v>59.916229999999999</v>
      </c>
      <c r="AI9087">
        <v>61.54345</v>
      </c>
      <c r="AJ9087">
        <v>33.696339999999999</v>
      </c>
      <c r="AK9087">
        <v>48.019199999999998</v>
      </c>
    </row>
    <row r="9088" spans="1:37" x14ac:dyDescent="0.3">
      <c r="A9088">
        <v>9087</v>
      </c>
      <c r="B9088">
        <v>11.1</v>
      </c>
      <c r="C9088">
        <v>13.929500000000001</v>
      </c>
      <c r="D9088">
        <v>-5.5709400000000002</v>
      </c>
      <c r="E9088" t="s">
        <v>13814</v>
      </c>
      <c r="F9088" t="s">
        <v>13816</v>
      </c>
      <c r="G9088" t="s">
        <v>37</v>
      </c>
      <c r="H9088">
        <v>1995</v>
      </c>
      <c r="I9088">
        <v>25.3</v>
      </c>
      <c r="J9088">
        <v>7.7</v>
      </c>
      <c r="K9088">
        <v>57</v>
      </c>
      <c r="L9088">
        <v>17.989999999999998</v>
      </c>
      <c r="M9088">
        <v>31.5</v>
      </c>
      <c r="N9088">
        <v>18</v>
      </c>
      <c r="O9088">
        <v>13.5</v>
      </c>
      <c r="P9088">
        <v>27</v>
      </c>
      <c r="Q9088">
        <v>22.5</v>
      </c>
      <c r="R9088">
        <v>27</v>
      </c>
      <c r="S9088">
        <v>22.5</v>
      </c>
      <c r="T9088">
        <v>1113</v>
      </c>
      <c r="U9088">
        <v>220</v>
      </c>
      <c r="V9088">
        <v>0</v>
      </c>
      <c r="W9088">
        <v>81</v>
      </c>
      <c r="X9088">
        <v>482</v>
      </c>
      <c r="Y9088">
        <v>2</v>
      </c>
      <c r="Z9088">
        <v>482</v>
      </c>
      <c r="AA9088">
        <v>2</v>
      </c>
      <c r="AB9088">
        <v>0.55148569999999997</v>
      </c>
      <c r="AC9088">
        <v>5.6048309999999999</v>
      </c>
      <c r="AD9088">
        <v>1.3741890000000001</v>
      </c>
      <c r="AE9088">
        <v>0.17525930000000001</v>
      </c>
      <c r="AF9088">
        <v>243.80099999999999</v>
      </c>
      <c r="AG9088">
        <f>IFERROR(AH9088*0.1, "N/A")</f>
        <v>5.9916230000000006</v>
      </c>
      <c r="AH9088">
        <v>59.916229999999999</v>
      </c>
      <c r="AI9088">
        <v>61.54345</v>
      </c>
      <c r="AJ9088">
        <v>33.696339999999999</v>
      </c>
      <c r="AK9088">
        <v>48.019199999999998</v>
      </c>
    </row>
    <row r="9089" spans="1:37" x14ac:dyDescent="0.3">
      <c r="A9089">
        <v>9088</v>
      </c>
      <c r="B9089">
        <v>22.6</v>
      </c>
      <c r="C9089">
        <v>13.916700000000001</v>
      </c>
      <c r="D9089">
        <v>-5.5833300000000001</v>
      </c>
      <c r="E9089" t="s">
        <v>13817</v>
      </c>
      <c r="F9089" t="s">
        <v>13818</v>
      </c>
      <c r="G9089" t="s">
        <v>39</v>
      </c>
      <c r="H9089">
        <v>1995</v>
      </c>
      <c r="I9089">
        <v>25.050439999999998</v>
      </c>
      <c r="J9089">
        <v>7.664974</v>
      </c>
      <c r="K9089">
        <v>56.649740000000001</v>
      </c>
      <c r="L9089">
        <v>18.099070000000001</v>
      </c>
      <c r="M9089">
        <v>31.15044</v>
      </c>
      <c r="N9089">
        <v>17.750440000000001</v>
      </c>
      <c r="O9089">
        <v>13.4</v>
      </c>
      <c r="P9089">
        <v>26.750440000000001</v>
      </c>
      <c r="Q9089">
        <v>22.250440000000001</v>
      </c>
      <c r="R9089">
        <v>26.750440000000001</v>
      </c>
      <c r="S9089">
        <v>22.250440000000001</v>
      </c>
      <c r="T9089">
        <v>1121.21</v>
      </c>
      <c r="U9089">
        <v>221.4956</v>
      </c>
      <c r="V9089">
        <v>0</v>
      </c>
      <c r="W9089">
        <v>80.495620000000002</v>
      </c>
      <c r="X9089">
        <v>487.48689999999999</v>
      </c>
      <c r="Y9089">
        <v>2</v>
      </c>
      <c r="Z9089">
        <v>487.48689999999999</v>
      </c>
      <c r="AA9089">
        <v>2</v>
      </c>
      <c r="AB9089">
        <v>11.64554</v>
      </c>
      <c r="AC9089">
        <v>2.4108790000000001E-2</v>
      </c>
      <c r="AD9089">
        <v>4.8931950000000004</v>
      </c>
      <c r="AE9089">
        <v>0.18332670000000001</v>
      </c>
      <c r="AF9089">
        <v>288.64449999999999</v>
      </c>
      <c r="AG9089">
        <f>IFERROR(AH9089*0.1, "N/A")</f>
        <v>5.9056040000000003</v>
      </c>
      <c r="AH9089">
        <v>59.056040000000003</v>
      </c>
      <c r="AI9089">
        <v>73.808980000000005</v>
      </c>
      <c r="AJ9089">
        <v>27.560420000000001</v>
      </c>
      <c r="AK9089">
        <v>54.842379999999999</v>
      </c>
    </row>
    <row r="9090" spans="1:37" x14ac:dyDescent="0.3">
      <c r="A9090">
        <v>9089</v>
      </c>
      <c r="B9090">
        <v>9.9</v>
      </c>
      <c r="C9090">
        <v>13.916700000000001</v>
      </c>
      <c r="D9090">
        <v>-5.5833300000000001</v>
      </c>
      <c r="E9090" t="s">
        <v>13817</v>
      </c>
      <c r="F9090" t="s">
        <v>13819</v>
      </c>
      <c r="G9090" t="s">
        <v>37</v>
      </c>
      <c r="H9090">
        <v>1995</v>
      </c>
      <c r="I9090">
        <v>25.050439999999998</v>
      </c>
      <c r="J9090">
        <v>7.664974</v>
      </c>
      <c r="K9090">
        <v>56.649740000000001</v>
      </c>
      <c r="L9090">
        <v>18.099070000000001</v>
      </c>
      <c r="M9090">
        <v>31.15044</v>
      </c>
      <c r="N9090">
        <v>17.750440000000001</v>
      </c>
      <c r="O9090">
        <v>13.4</v>
      </c>
      <c r="P9090">
        <v>26.750440000000001</v>
      </c>
      <c r="Q9090">
        <v>22.250440000000001</v>
      </c>
      <c r="R9090">
        <v>26.750440000000001</v>
      </c>
      <c r="S9090">
        <v>22.250440000000001</v>
      </c>
      <c r="T9090">
        <v>1121.21</v>
      </c>
      <c r="U9090">
        <v>221.4956</v>
      </c>
      <c r="V9090">
        <v>0</v>
      </c>
      <c r="W9090">
        <v>80.495620000000002</v>
      </c>
      <c r="X9090">
        <v>487.48689999999999</v>
      </c>
      <c r="Y9090">
        <v>2</v>
      </c>
      <c r="Z9090">
        <v>487.48689999999999</v>
      </c>
      <c r="AA9090">
        <v>2</v>
      </c>
      <c r="AB9090">
        <v>11.64554</v>
      </c>
      <c r="AC9090">
        <v>2.4108790000000001E-2</v>
      </c>
      <c r="AD9090">
        <v>4.8931950000000004</v>
      </c>
      <c r="AE9090">
        <v>0.18332670000000001</v>
      </c>
      <c r="AF9090">
        <v>288.64449999999999</v>
      </c>
      <c r="AG9090">
        <f>IFERROR(AH9090*0.1, "N/A")</f>
        <v>5.9056040000000003</v>
      </c>
      <c r="AH9090">
        <v>59.056040000000003</v>
      </c>
      <c r="AI9090">
        <v>73.808980000000005</v>
      </c>
      <c r="AJ9090">
        <v>27.560420000000001</v>
      </c>
      <c r="AK9090">
        <v>54.842379999999999</v>
      </c>
    </row>
    <row r="9091" spans="1:37" x14ac:dyDescent="0.3">
      <c r="A9091">
        <v>9090</v>
      </c>
      <c r="B9091">
        <v>17.5</v>
      </c>
      <c r="C9091">
        <v>13.019600000000001</v>
      </c>
      <c r="D9091">
        <v>-5.5855499999999996</v>
      </c>
      <c r="E9091" t="s">
        <v>13820</v>
      </c>
      <c r="F9091" t="s">
        <v>13821</v>
      </c>
      <c r="G9091" t="s">
        <v>37</v>
      </c>
      <c r="H9091">
        <v>1996</v>
      </c>
      <c r="I9091">
        <v>25.4</v>
      </c>
      <c r="J9091">
        <v>7.8</v>
      </c>
      <c r="K9091">
        <v>56</v>
      </c>
      <c r="L9091">
        <v>20.079999999999998</v>
      </c>
      <c r="M9091">
        <v>31.9</v>
      </c>
      <c r="N9091">
        <v>18</v>
      </c>
      <c r="O9091">
        <v>13.9</v>
      </c>
      <c r="P9091">
        <v>27.3</v>
      </c>
      <c r="Q9091">
        <v>22.4</v>
      </c>
      <c r="R9091">
        <v>27.3</v>
      </c>
      <c r="S9091">
        <v>22.4</v>
      </c>
      <c r="T9091">
        <v>1111</v>
      </c>
      <c r="U9091">
        <v>207</v>
      </c>
      <c r="V9091">
        <v>1</v>
      </c>
      <c r="W9091">
        <v>80</v>
      </c>
      <c r="X9091">
        <v>516</v>
      </c>
      <c r="Y9091">
        <v>5</v>
      </c>
      <c r="Z9091">
        <v>516</v>
      </c>
      <c r="AA9091">
        <v>5</v>
      </c>
      <c r="AB9091">
        <v>15.09896</v>
      </c>
      <c r="AC9091">
        <v>8.5080869999999992E-3</v>
      </c>
      <c r="AD9091">
        <v>6.127955</v>
      </c>
      <c r="AE9091">
        <v>0.2954001</v>
      </c>
      <c r="AF9091">
        <v>188.48079999999999</v>
      </c>
      <c r="AG9091">
        <f>IFERROR(AH9091*0.1, "N/A")</f>
        <v>5.2</v>
      </c>
      <c r="AH9091">
        <v>52</v>
      </c>
      <c r="AI9091">
        <v>243.73830000000001</v>
      </c>
      <c r="AJ9091">
        <v>36</v>
      </c>
      <c r="AK9091">
        <v>51</v>
      </c>
    </row>
    <row r="9092" spans="1:37" x14ac:dyDescent="0.3">
      <c r="A9092">
        <v>9091</v>
      </c>
      <c r="B9092">
        <v>14.2</v>
      </c>
      <c r="C9092">
        <v>13.019600000000001</v>
      </c>
      <c r="D9092">
        <v>-5.5855499999999996</v>
      </c>
      <c r="E9092" t="s">
        <v>13820</v>
      </c>
      <c r="F9092" t="s">
        <v>13822</v>
      </c>
      <c r="G9092" t="s">
        <v>39</v>
      </c>
      <c r="H9092">
        <v>1996</v>
      </c>
      <c r="I9092">
        <v>25.4</v>
      </c>
      <c r="J9092">
        <v>7.8</v>
      </c>
      <c r="K9092">
        <v>56</v>
      </c>
      <c r="L9092">
        <v>20.079999999999998</v>
      </c>
      <c r="M9092">
        <v>31.9</v>
      </c>
      <c r="N9092">
        <v>18</v>
      </c>
      <c r="O9092">
        <v>13.9</v>
      </c>
      <c r="P9092">
        <v>27.3</v>
      </c>
      <c r="Q9092">
        <v>22.4</v>
      </c>
      <c r="R9092">
        <v>27.3</v>
      </c>
      <c r="S9092">
        <v>22.4</v>
      </c>
      <c r="T9092">
        <v>1111</v>
      </c>
      <c r="U9092">
        <v>207</v>
      </c>
      <c r="V9092">
        <v>1</v>
      </c>
      <c r="W9092">
        <v>80</v>
      </c>
      <c r="X9092">
        <v>516</v>
      </c>
      <c r="Y9092">
        <v>5</v>
      </c>
      <c r="Z9092">
        <v>516</v>
      </c>
      <c r="AA9092">
        <v>5</v>
      </c>
      <c r="AB9092">
        <v>15.09896</v>
      </c>
      <c r="AC9092">
        <v>8.5080869999999992E-3</v>
      </c>
      <c r="AD9092">
        <v>6.127955</v>
      </c>
      <c r="AE9092">
        <v>0.2954001</v>
      </c>
      <c r="AF9092">
        <v>188.48079999999999</v>
      </c>
      <c r="AG9092">
        <f>IFERROR(AH9092*0.1, "N/A")</f>
        <v>5.2</v>
      </c>
      <c r="AH9092">
        <v>52</v>
      </c>
      <c r="AI9092">
        <v>243.73830000000001</v>
      </c>
      <c r="AJ9092">
        <v>36</v>
      </c>
      <c r="AK9092">
        <v>51</v>
      </c>
    </row>
    <row r="9093" spans="1:37" x14ac:dyDescent="0.3">
      <c r="A9093">
        <v>9092</v>
      </c>
      <c r="B9093">
        <v>7.4</v>
      </c>
      <c r="C9093">
        <v>14.298299999999999</v>
      </c>
      <c r="D9093">
        <v>-5.5983200000000002</v>
      </c>
      <c r="E9093" t="s">
        <v>13823</v>
      </c>
      <c r="F9093" t="s">
        <v>13824</v>
      </c>
      <c r="G9093" t="s">
        <v>39</v>
      </c>
      <c r="H9093">
        <v>1995</v>
      </c>
      <c r="I9093">
        <v>24.8</v>
      </c>
      <c r="J9093">
        <v>8.3000000000000007</v>
      </c>
      <c r="K9093">
        <v>58</v>
      </c>
      <c r="L9093">
        <v>17.75</v>
      </c>
      <c r="M9093">
        <v>31.2</v>
      </c>
      <c r="N9093">
        <v>17.100000000000001</v>
      </c>
      <c r="O9093">
        <v>14.1</v>
      </c>
      <c r="P9093">
        <v>26.2</v>
      </c>
      <c r="Q9093">
        <v>22.1</v>
      </c>
      <c r="R9093">
        <v>26.5</v>
      </c>
      <c r="S9093">
        <v>22.1</v>
      </c>
      <c r="T9093">
        <v>1203</v>
      </c>
      <c r="U9093">
        <v>238</v>
      </c>
      <c r="V9093">
        <v>0</v>
      </c>
      <c r="W9093">
        <v>79</v>
      </c>
      <c r="X9093">
        <v>515</v>
      </c>
      <c r="Y9093">
        <v>3</v>
      </c>
      <c r="Z9093">
        <v>508</v>
      </c>
      <c r="AA9093">
        <v>3</v>
      </c>
      <c r="AB9093">
        <v>19.837409999999998</v>
      </c>
      <c r="AC9093">
        <v>1.140832E-2</v>
      </c>
      <c r="AD9093">
        <v>5.820786</v>
      </c>
      <c r="AE9093">
        <v>0.15219189999999999</v>
      </c>
      <c r="AF9093">
        <v>352.16079999999999</v>
      </c>
      <c r="AG9093">
        <f>IFERROR(AH9093*0.1, "N/A")</f>
        <v>5.9991260000000004</v>
      </c>
      <c r="AH9093">
        <v>59.991259999999997</v>
      </c>
      <c r="AI9093">
        <v>161.30279999999999</v>
      </c>
      <c r="AJ9093">
        <v>33.51923</v>
      </c>
      <c r="AK9093">
        <v>43.935310000000001</v>
      </c>
    </row>
    <row r="9094" spans="1:37" x14ac:dyDescent="0.3">
      <c r="A9094">
        <v>9093</v>
      </c>
      <c r="B9094">
        <v>60.9</v>
      </c>
      <c r="C9094">
        <v>14.298299999999999</v>
      </c>
      <c r="D9094">
        <v>-5.5983200000000002</v>
      </c>
      <c r="E9094" t="s">
        <v>13823</v>
      </c>
      <c r="F9094" t="s">
        <v>13825</v>
      </c>
      <c r="G9094" t="s">
        <v>37</v>
      </c>
      <c r="H9094">
        <v>1995</v>
      </c>
      <c r="I9094">
        <v>24.8</v>
      </c>
      <c r="J9094">
        <v>8.3000000000000007</v>
      </c>
      <c r="K9094">
        <v>58</v>
      </c>
      <c r="L9094">
        <v>17.75</v>
      </c>
      <c r="M9094">
        <v>31.2</v>
      </c>
      <c r="N9094">
        <v>17.100000000000001</v>
      </c>
      <c r="O9094">
        <v>14.1</v>
      </c>
      <c r="P9094">
        <v>26.2</v>
      </c>
      <c r="Q9094">
        <v>22.1</v>
      </c>
      <c r="R9094">
        <v>26.5</v>
      </c>
      <c r="S9094">
        <v>22.1</v>
      </c>
      <c r="T9094">
        <v>1203</v>
      </c>
      <c r="U9094">
        <v>238</v>
      </c>
      <c r="V9094">
        <v>0</v>
      </c>
      <c r="W9094">
        <v>79</v>
      </c>
      <c r="X9094">
        <v>515</v>
      </c>
      <c r="Y9094">
        <v>3</v>
      </c>
      <c r="Z9094">
        <v>508</v>
      </c>
      <c r="AA9094">
        <v>3</v>
      </c>
      <c r="AB9094">
        <v>19.837409999999998</v>
      </c>
      <c r="AC9094">
        <v>1.140832E-2</v>
      </c>
      <c r="AD9094">
        <v>5.820786</v>
      </c>
      <c r="AE9094">
        <v>0.15219189999999999</v>
      </c>
      <c r="AF9094">
        <v>352.16079999999999</v>
      </c>
      <c r="AG9094">
        <f>IFERROR(AH9094*0.1, "N/A")</f>
        <v>5.9991260000000004</v>
      </c>
      <c r="AH9094">
        <v>59.991259999999997</v>
      </c>
      <c r="AI9094">
        <v>161.30279999999999</v>
      </c>
      <c r="AJ9094">
        <v>33.51923</v>
      </c>
      <c r="AK9094">
        <v>43.935310000000001</v>
      </c>
    </row>
    <row r="9095" spans="1:37" x14ac:dyDescent="0.3">
      <c r="A9095">
        <v>9094</v>
      </c>
      <c r="B9095">
        <v>39.1</v>
      </c>
      <c r="C9095">
        <v>14.2667</v>
      </c>
      <c r="D9095">
        <v>-5.6166700000000001</v>
      </c>
      <c r="E9095" t="s">
        <v>13826</v>
      </c>
      <c r="F9095" t="s">
        <v>13827</v>
      </c>
      <c r="G9095" t="s">
        <v>39</v>
      </c>
      <c r="H9095">
        <v>1995</v>
      </c>
      <c r="I9095">
        <v>24.739509999999999</v>
      </c>
      <c r="J9095">
        <v>8.3000000000000007</v>
      </c>
      <c r="K9095">
        <v>58.655589999999997</v>
      </c>
      <c r="L9095">
        <v>17.836030000000001</v>
      </c>
      <c r="M9095">
        <v>31.008389999999999</v>
      </c>
      <c r="N9095">
        <v>16.973949999999999</v>
      </c>
      <c r="O9095">
        <v>14.03444</v>
      </c>
      <c r="P9095">
        <v>26.090039999999998</v>
      </c>
      <c r="Q9095">
        <v>21.951920000000001</v>
      </c>
      <c r="R9095">
        <v>26.373950000000001</v>
      </c>
      <c r="S9095">
        <v>21.951920000000001</v>
      </c>
      <c r="T9095">
        <v>1202.0509999999999</v>
      </c>
      <c r="U9095">
        <v>237.64160000000001</v>
      </c>
      <c r="V9095">
        <v>0</v>
      </c>
      <c r="W9095">
        <v>79.816429999999997</v>
      </c>
      <c r="X9095">
        <v>514.28319999999997</v>
      </c>
      <c r="Y9095">
        <v>3</v>
      </c>
      <c r="Z9095">
        <v>509.50700000000001</v>
      </c>
      <c r="AA9095">
        <v>3</v>
      </c>
      <c r="AB9095">
        <v>15.15631</v>
      </c>
      <c r="AC9095">
        <v>6.495252E-2</v>
      </c>
      <c r="AD9095">
        <v>6.8234009999999996</v>
      </c>
      <c r="AE9095">
        <v>0.18923580000000001</v>
      </c>
      <c r="AF9095">
        <v>341.30239999999998</v>
      </c>
      <c r="AG9095">
        <f>IFERROR(AH9095*0.1, "N/A")</f>
        <v>5.5893360000000003</v>
      </c>
      <c r="AH9095">
        <v>55.893360000000001</v>
      </c>
      <c r="AI9095">
        <v>288.6182</v>
      </c>
      <c r="AJ9095">
        <v>36.374130000000001</v>
      </c>
      <c r="AK9095">
        <v>43.12762</v>
      </c>
    </row>
    <row r="9096" spans="1:37" x14ac:dyDescent="0.3">
      <c r="A9096">
        <v>9095</v>
      </c>
      <c r="B9096">
        <v>31.8</v>
      </c>
      <c r="C9096">
        <v>14.2667</v>
      </c>
      <c r="D9096">
        <v>-5.6166700000000001</v>
      </c>
      <c r="E9096" t="s">
        <v>13826</v>
      </c>
      <c r="F9096" t="s">
        <v>13828</v>
      </c>
      <c r="G9096" t="s">
        <v>37</v>
      </c>
      <c r="H9096">
        <v>1995</v>
      </c>
      <c r="I9096">
        <v>24.739509999999999</v>
      </c>
      <c r="J9096">
        <v>8.3000000000000007</v>
      </c>
      <c r="K9096">
        <v>58.655589999999997</v>
      </c>
      <c r="L9096">
        <v>17.836030000000001</v>
      </c>
      <c r="M9096">
        <v>31.008389999999999</v>
      </c>
      <c r="N9096">
        <v>16.973949999999999</v>
      </c>
      <c r="O9096">
        <v>14.03444</v>
      </c>
      <c r="P9096">
        <v>26.090039999999998</v>
      </c>
      <c r="Q9096">
        <v>21.951920000000001</v>
      </c>
      <c r="R9096">
        <v>26.373950000000001</v>
      </c>
      <c r="S9096">
        <v>21.951920000000001</v>
      </c>
      <c r="T9096">
        <v>1202.0509999999999</v>
      </c>
      <c r="U9096">
        <v>237.64160000000001</v>
      </c>
      <c r="V9096">
        <v>0</v>
      </c>
      <c r="W9096">
        <v>79.816429999999997</v>
      </c>
      <c r="X9096">
        <v>514.28319999999997</v>
      </c>
      <c r="Y9096">
        <v>3</v>
      </c>
      <c r="Z9096">
        <v>509.50700000000001</v>
      </c>
      <c r="AA9096">
        <v>3</v>
      </c>
      <c r="AB9096">
        <v>15.15631</v>
      </c>
      <c r="AC9096">
        <v>6.495252E-2</v>
      </c>
      <c r="AD9096">
        <v>6.8234009999999996</v>
      </c>
      <c r="AE9096">
        <v>0.18923580000000001</v>
      </c>
      <c r="AF9096">
        <v>341.30239999999998</v>
      </c>
      <c r="AG9096">
        <f>IFERROR(AH9096*0.1, "N/A")</f>
        <v>5.5893360000000003</v>
      </c>
      <c r="AH9096">
        <v>55.893360000000001</v>
      </c>
      <c r="AI9096">
        <v>288.6182</v>
      </c>
      <c r="AJ9096">
        <v>36.374130000000001</v>
      </c>
      <c r="AK9096">
        <v>43.12762</v>
      </c>
    </row>
    <row r="9097" spans="1:37" x14ac:dyDescent="0.3">
      <c r="A9097">
        <v>9096</v>
      </c>
      <c r="B9097">
        <v>3.6</v>
      </c>
      <c r="C9097">
        <v>13.991199999999999</v>
      </c>
      <c r="D9097">
        <v>-5.6595000000000004</v>
      </c>
      <c r="E9097" t="s">
        <v>13829</v>
      </c>
      <c r="F9097" t="s">
        <v>13830</v>
      </c>
      <c r="G9097" t="s">
        <v>39</v>
      </c>
      <c r="H9097">
        <v>1995</v>
      </c>
      <c r="I9097">
        <v>24.754740000000002</v>
      </c>
      <c r="J9097">
        <v>7.7452629999999996</v>
      </c>
      <c r="K9097">
        <v>56.452629999999999</v>
      </c>
      <c r="L9097">
        <v>18.272110000000001</v>
      </c>
      <c r="M9097">
        <v>30.954740000000001</v>
      </c>
      <c r="N9097">
        <v>17.35474</v>
      </c>
      <c r="O9097">
        <v>13.6</v>
      </c>
      <c r="P9097">
        <v>26.454740000000001</v>
      </c>
      <c r="Q9097">
        <v>21.954740000000001</v>
      </c>
      <c r="R9097">
        <v>26.454740000000001</v>
      </c>
      <c r="S9097">
        <v>21.954740000000001</v>
      </c>
      <c r="T9097">
        <v>1147.3579999999999</v>
      </c>
      <c r="U9097">
        <v>227.45259999999999</v>
      </c>
      <c r="V9097">
        <v>0</v>
      </c>
      <c r="W9097">
        <v>80.452629999999999</v>
      </c>
      <c r="X9097">
        <v>499.45260000000002</v>
      </c>
      <c r="Y9097">
        <v>2</v>
      </c>
      <c r="Z9097">
        <v>499.45260000000002</v>
      </c>
      <c r="AA9097">
        <v>2</v>
      </c>
      <c r="AB9097">
        <v>15.183870000000001</v>
      </c>
      <c r="AC9097">
        <v>0.1058456</v>
      </c>
      <c r="AD9097">
        <v>6.1761400000000002</v>
      </c>
      <c r="AE9097">
        <v>0.16821559999999999</v>
      </c>
      <c r="AF9097">
        <v>341.87020000000001</v>
      </c>
      <c r="AG9097">
        <f>IFERROR(AH9097*0.1, "N/A")</f>
        <v>5.9582459999999999</v>
      </c>
      <c r="AH9097">
        <v>59.582459999999998</v>
      </c>
      <c r="AI9097">
        <v>161.6224</v>
      </c>
      <c r="AJ9097">
        <v>30.673680000000001</v>
      </c>
      <c r="AK9097">
        <v>49.533329999999999</v>
      </c>
    </row>
    <row r="9098" spans="1:37" x14ac:dyDescent="0.3">
      <c r="A9098">
        <v>9097</v>
      </c>
      <c r="B9098">
        <v>51</v>
      </c>
      <c r="C9098">
        <v>13.991199999999999</v>
      </c>
      <c r="D9098">
        <v>-5.6595000000000004</v>
      </c>
      <c r="E9098" t="s">
        <v>13829</v>
      </c>
      <c r="F9098" t="s">
        <v>13831</v>
      </c>
      <c r="G9098" t="s">
        <v>37</v>
      </c>
      <c r="H9098">
        <v>1995</v>
      </c>
      <c r="I9098">
        <v>24.754740000000002</v>
      </c>
      <c r="J9098">
        <v>7.7452629999999996</v>
      </c>
      <c r="K9098">
        <v>56.452629999999999</v>
      </c>
      <c r="L9098">
        <v>18.272110000000001</v>
      </c>
      <c r="M9098">
        <v>30.954740000000001</v>
      </c>
      <c r="N9098">
        <v>17.35474</v>
      </c>
      <c r="O9098">
        <v>13.6</v>
      </c>
      <c r="P9098">
        <v>26.454740000000001</v>
      </c>
      <c r="Q9098">
        <v>21.954740000000001</v>
      </c>
      <c r="R9098">
        <v>26.454740000000001</v>
      </c>
      <c r="S9098">
        <v>21.954740000000001</v>
      </c>
      <c r="T9098">
        <v>1147.3579999999999</v>
      </c>
      <c r="U9098">
        <v>227.45259999999999</v>
      </c>
      <c r="V9098">
        <v>0</v>
      </c>
      <c r="W9098">
        <v>80.452629999999999</v>
      </c>
      <c r="X9098">
        <v>499.45260000000002</v>
      </c>
      <c r="Y9098">
        <v>2</v>
      </c>
      <c r="Z9098">
        <v>499.45260000000002</v>
      </c>
      <c r="AA9098">
        <v>2</v>
      </c>
      <c r="AB9098">
        <v>15.183870000000001</v>
      </c>
      <c r="AC9098">
        <v>0.1058456</v>
      </c>
      <c r="AD9098">
        <v>6.1761400000000002</v>
      </c>
      <c r="AE9098">
        <v>0.16821559999999999</v>
      </c>
      <c r="AF9098">
        <v>341.87020000000001</v>
      </c>
      <c r="AG9098">
        <f>IFERROR(AH9098*0.1, "N/A")</f>
        <v>5.9582459999999999</v>
      </c>
      <c r="AH9098">
        <v>59.582459999999998</v>
      </c>
      <c r="AI9098">
        <v>161.6224</v>
      </c>
      <c r="AJ9098">
        <v>30.673680000000001</v>
      </c>
      <c r="AK9098">
        <v>49.533329999999999</v>
      </c>
    </row>
    <row r="9099" spans="1:37" x14ac:dyDescent="0.3">
      <c r="A9099">
        <v>9098</v>
      </c>
      <c r="B9099">
        <v>12.2</v>
      </c>
      <c r="C9099">
        <v>14.039899999999999</v>
      </c>
      <c r="D9099">
        <v>-5.6989000000000001</v>
      </c>
      <c r="E9099" t="s">
        <v>13832</v>
      </c>
      <c r="F9099" t="s">
        <v>13833</v>
      </c>
      <c r="G9099" t="s">
        <v>39</v>
      </c>
      <c r="H9099">
        <v>1995</v>
      </c>
      <c r="I9099">
        <v>24.8</v>
      </c>
      <c r="J9099">
        <v>7.8</v>
      </c>
      <c r="K9099">
        <v>56</v>
      </c>
      <c r="L9099">
        <v>18.22</v>
      </c>
      <c r="M9099">
        <v>31.1</v>
      </c>
      <c r="N9099">
        <v>17.399999999999999</v>
      </c>
      <c r="O9099">
        <v>13.7</v>
      </c>
      <c r="P9099">
        <v>26.6</v>
      </c>
      <c r="Q9099">
        <v>22.1</v>
      </c>
      <c r="R9099">
        <v>26.6</v>
      </c>
      <c r="S9099">
        <v>22.1</v>
      </c>
      <c r="T9099">
        <v>1148</v>
      </c>
      <c r="U9099">
        <v>230</v>
      </c>
      <c r="V9099">
        <v>0</v>
      </c>
      <c r="W9099">
        <v>81</v>
      </c>
      <c r="X9099">
        <v>499</v>
      </c>
      <c r="Y9099">
        <v>2</v>
      </c>
      <c r="Z9099">
        <v>499</v>
      </c>
      <c r="AA9099">
        <v>2</v>
      </c>
      <c r="AB9099">
        <v>24.826219999999999</v>
      </c>
      <c r="AC9099">
        <v>2.813676E-2</v>
      </c>
      <c r="AD9099">
        <v>1.3562069999999999</v>
      </c>
      <c r="AE9099">
        <v>0.21043329999999999</v>
      </c>
      <c r="AF9099">
        <v>332.6241</v>
      </c>
      <c r="AG9099">
        <f>IFERROR(AH9099*0.1, "N/A")</f>
        <v>5.8708039999999997</v>
      </c>
      <c r="AH9099">
        <v>58.708039999999997</v>
      </c>
      <c r="AI9099">
        <v>223.3785</v>
      </c>
      <c r="AJ9099">
        <v>28.935310000000001</v>
      </c>
      <c r="AK9099">
        <v>51.064689999999999</v>
      </c>
    </row>
    <row r="9100" spans="1:37" x14ac:dyDescent="0.3">
      <c r="A9100">
        <v>9099</v>
      </c>
      <c r="B9100">
        <v>32</v>
      </c>
      <c r="C9100">
        <v>14.039899999999999</v>
      </c>
      <c r="D9100">
        <v>-5.6989000000000001</v>
      </c>
      <c r="E9100" t="s">
        <v>13832</v>
      </c>
      <c r="F9100" t="s">
        <v>13834</v>
      </c>
      <c r="G9100" t="s">
        <v>37</v>
      </c>
      <c r="H9100">
        <v>1995</v>
      </c>
      <c r="I9100">
        <v>24.8</v>
      </c>
      <c r="J9100">
        <v>7.8</v>
      </c>
      <c r="K9100">
        <v>56</v>
      </c>
      <c r="L9100">
        <v>18.22</v>
      </c>
      <c r="M9100">
        <v>31.1</v>
      </c>
      <c r="N9100">
        <v>17.399999999999999</v>
      </c>
      <c r="O9100">
        <v>13.7</v>
      </c>
      <c r="P9100">
        <v>26.6</v>
      </c>
      <c r="Q9100">
        <v>22.1</v>
      </c>
      <c r="R9100">
        <v>26.6</v>
      </c>
      <c r="S9100">
        <v>22.1</v>
      </c>
      <c r="T9100">
        <v>1148</v>
      </c>
      <c r="U9100">
        <v>230</v>
      </c>
      <c r="V9100">
        <v>0</v>
      </c>
      <c r="W9100">
        <v>81</v>
      </c>
      <c r="X9100">
        <v>499</v>
      </c>
      <c r="Y9100">
        <v>2</v>
      </c>
      <c r="Z9100">
        <v>499</v>
      </c>
      <c r="AA9100">
        <v>2</v>
      </c>
      <c r="AB9100">
        <v>24.826219999999999</v>
      </c>
      <c r="AC9100">
        <v>2.813676E-2</v>
      </c>
      <c r="AD9100">
        <v>1.3562069999999999</v>
      </c>
      <c r="AE9100">
        <v>0.21043329999999999</v>
      </c>
      <c r="AF9100">
        <v>332.6241</v>
      </c>
      <c r="AG9100">
        <f>IFERROR(AH9100*0.1, "N/A")</f>
        <v>5.8708039999999997</v>
      </c>
      <c r="AH9100">
        <v>58.708039999999997</v>
      </c>
      <c r="AI9100">
        <v>223.3785</v>
      </c>
      <c r="AJ9100">
        <v>28.935310000000001</v>
      </c>
      <c r="AK9100">
        <v>51.064689999999999</v>
      </c>
    </row>
    <row r="9101" spans="1:37" x14ac:dyDescent="0.3">
      <c r="A9101">
        <v>9100</v>
      </c>
      <c r="B9101">
        <v>4</v>
      </c>
      <c r="C9101">
        <v>14.25</v>
      </c>
      <c r="D9101">
        <v>-5.7166699999999997</v>
      </c>
      <c r="E9101" t="s">
        <v>13835</v>
      </c>
      <c r="F9101" t="s">
        <v>13836</v>
      </c>
      <c r="G9101" t="s">
        <v>39</v>
      </c>
      <c r="H9101">
        <v>1995</v>
      </c>
      <c r="I9101">
        <v>24.743459999999999</v>
      </c>
      <c r="J9101">
        <v>8.2151829999999997</v>
      </c>
      <c r="K9101">
        <v>58.151829999999997</v>
      </c>
      <c r="L9101">
        <v>17.728639999999999</v>
      </c>
      <c r="M9101">
        <v>30.991620000000001</v>
      </c>
      <c r="N9101">
        <v>17.05969</v>
      </c>
      <c r="O9101">
        <v>13.931940000000001</v>
      </c>
      <c r="P9101">
        <v>26.169630000000002</v>
      </c>
      <c r="Q9101">
        <v>21.974869999999999</v>
      </c>
      <c r="R9101">
        <v>26.375389999999999</v>
      </c>
      <c r="S9101">
        <v>21.974869999999999</v>
      </c>
      <c r="T9101">
        <v>1193.7539999999999</v>
      </c>
      <c r="U9101">
        <v>238.46600000000001</v>
      </c>
      <c r="V9101">
        <v>0</v>
      </c>
      <c r="W9101">
        <v>79.633510000000001</v>
      </c>
      <c r="X9101">
        <v>512.17280000000005</v>
      </c>
      <c r="Y9101">
        <v>3</v>
      </c>
      <c r="Z9101">
        <v>511.12040000000002</v>
      </c>
      <c r="AA9101">
        <v>3</v>
      </c>
      <c r="AB9101">
        <v>63.129309999999997</v>
      </c>
      <c r="AC9101">
        <v>1.1623639999999999E-2</v>
      </c>
      <c r="AD9101">
        <v>16.174189999999999</v>
      </c>
      <c r="AE9101">
        <v>0.1643329</v>
      </c>
      <c r="AF9101">
        <v>395.84989999999999</v>
      </c>
      <c r="AG9101">
        <f>IFERROR(AH9101*0.1, "N/A")</f>
        <v>5.1528799999999997</v>
      </c>
      <c r="AH9101">
        <v>51.528799999999997</v>
      </c>
      <c r="AI9101">
        <v>154.9102</v>
      </c>
      <c r="AJ9101">
        <v>38.471200000000003</v>
      </c>
      <c r="AK9101">
        <v>45.413609999999998</v>
      </c>
    </row>
    <row r="9102" spans="1:37" x14ac:dyDescent="0.3">
      <c r="A9102">
        <v>9101</v>
      </c>
      <c r="B9102">
        <v>78.2</v>
      </c>
      <c r="C9102">
        <v>14.25</v>
      </c>
      <c r="D9102">
        <v>-5.7166699999999997</v>
      </c>
      <c r="E9102" t="s">
        <v>13835</v>
      </c>
      <c r="F9102" t="s">
        <v>13837</v>
      </c>
      <c r="G9102" t="s">
        <v>37</v>
      </c>
      <c r="H9102">
        <v>1995</v>
      </c>
      <c r="I9102">
        <v>24.743459999999999</v>
      </c>
      <c r="J9102">
        <v>8.2151829999999997</v>
      </c>
      <c r="K9102">
        <v>58.151829999999997</v>
      </c>
      <c r="L9102">
        <v>17.728639999999999</v>
      </c>
      <c r="M9102">
        <v>30.991620000000001</v>
      </c>
      <c r="N9102">
        <v>17.05969</v>
      </c>
      <c r="O9102">
        <v>13.931940000000001</v>
      </c>
      <c r="P9102">
        <v>26.169630000000002</v>
      </c>
      <c r="Q9102">
        <v>21.974869999999999</v>
      </c>
      <c r="R9102">
        <v>26.375389999999999</v>
      </c>
      <c r="S9102">
        <v>21.974869999999999</v>
      </c>
      <c r="T9102">
        <v>1193.7539999999999</v>
      </c>
      <c r="U9102">
        <v>238.46600000000001</v>
      </c>
      <c r="V9102">
        <v>0</v>
      </c>
      <c r="W9102">
        <v>79.633510000000001</v>
      </c>
      <c r="X9102">
        <v>512.17280000000005</v>
      </c>
      <c r="Y9102">
        <v>3</v>
      </c>
      <c r="Z9102">
        <v>511.12040000000002</v>
      </c>
      <c r="AA9102">
        <v>3</v>
      </c>
      <c r="AB9102">
        <v>63.129309999999997</v>
      </c>
      <c r="AC9102">
        <v>1.1623639999999999E-2</v>
      </c>
      <c r="AD9102">
        <v>16.174189999999999</v>
      </c>
      <c r="AE9102">
        <v>0.1643329</v>
      </c>
      <c r="AF9102">
        <v>395.84989999999999</v>
      </c>
      <c r="AG9102">
        <f>IFERROR(AH9102*0.1, "N/A")</f>
        <v>5.1528799999999997</v>
      </c>
      <c r="AH9102">
        <v>51.528799999999997</v>
      </c>
      <c r="AI9102">
        <v>154.9102</v>
      </c>
      <c r="AJ9102">
        <v>38.471200000000003</v>
      </c>
      <c r="AK9102">
        <v>45.413609999999998</v>
      </c>
    </row>
    <row r="9103" spans="1:37" x14ac:dyDescent="0.3">
      <c r="A9103">
        <v>9102</v>
      </c>
      <c r="B9103">
        <v>7.7</v>
      </c>
      <c r="C9103">
        <v>13.661899999999999</v>
      </c>
      <c r="D9103">
        <v>-5.7661100000000003</v>
      </c>
      <c r="E9103" t="s">
        <v>13838</v>
      </c>
      <c r="F9103" t="s">
        <v>13839</v>
      </c>
      <c r="G9103" t="s">
        <v>39</v>
      </c>
      <c r="H9103">
        <v>1995</v>
      </c>
      <c r="I9103">
        <v>25.5</v>
      </c>
      <c r="J9103">
        <v>7</v>
      </c>
      <c r="K9103">
        <v>53.661430000000003</v>
      </c>
      <c r="L9103">
        <v>18.507090000000002</v>
      </c>
      <c r="M9103">
        <v>31.433859999999999</v>
      </c>
      <c r="N9103">
        <v>18.5</v>
      </c>
      <c r="O9103">
        <v>12.933859999999999</v>
      </c>
      <c r="P9103">
        <v>27.3</v>
      </c>
      <c r="Q9103">
        <v>22.7</v>
      </c>
      <c r="R9103">
        <v>27.3</v>
      </c>
      <c r="S9103">
        <v>22.7</v>
      </c>
      <c r="T9103">
        <v>1055</v>
      </c>
      <c r="U9103">
        <v>211</v>
      </c>
      <c r="V9103">
        <v>0</v>
      </c>
      <c r="W9103">
        <v>82</v>
      </c>
      <c r="X9103">
        <v>477</v>
      </c>
      <c r="Y9103">
        <v>2</v>
      </c>
      <c r="Z9103">
        <v>477</v>
      </c>
      <c r="AA9103">
        <v>2</v>
      </c>
      <c r="AB9103">
        <v>1.3485119999999999</v>
      </c>
      <c r="AC9103">
        <v>1.9190700000000001</v>
      </c>
      <c r="AD9103">
        <v>1.700383</v>
      </c>
      <c r="AE9103">
        <v>0.21772059999999999</v>
      </c>
      <c r="AF9103">
        <v>239.51480000000001</v>
      </c>
      <c r="AG9103">
        <f>IFERROR(AH9103*0.1, "N/A")</f>
        <v>5.5898780000000006</v>
      </c>
      <c r="AH9103">
        <v>55.898780000000002</v>
      </c>
      <c r="AI9103">
        <v>68.946839999999995</v>
      </c>
      <c r="AJ9103">
        <v>26.1815</v>
      </c>
      <c r="AK9103">
        <v>57.757420000000003</v>
      </c>
    </row>
    <row r="9104" spans="1:37" x14ac:dyDescent="0.3">
      <c r="A9104">
        <v>9103</v>
      </c>
      <c r="B9104">
        <v>6.7</v>
      </c>
      <c r="C9104">
        <v>13.661899999999999</v>
      </c>
      <c r="D9104">
        <v>-5.7661100000000003</v>
      </c>
      <c r="E9104" t="s">
        <v>13838</v>
      </c>
      <c r="F9104" t="s">
        <v>13840</v>
      </c>
      <c r="G9104" t="s">
        <v>37</v>
      </c>
      <c r="H9104">
        <v>1995</v>
      </c>
      <c r="I9104">
        <v>25.5</v>
      </c>
      <c r="J9104">
        <v>7</v>
      </c>
      <c r="K9104">
        <v>53.661430000000003</v>
      </c>
      <c r="L9104">
        <v>18.507090000000002</v>
      </c>
      <c r="M9104">
        <v>31.433859999999999</v>
      </c>
      <c r="N9104">
        <v>18.5</v>
      </c>
      <c r="O9104">
        <v>12.933859999999999</v>
      </c>
      <c r="P9104">
        <v>27.3</v>
      </c>
      <c r="Q9104">
        <v>22.7</v>
      </c>
      <c r="R9104">
        <v>27.3</v>
      </c>
      <c r="S9104">
        <v>22.7</v>
      </c>
      <c r="T9104">
        <v>1055</v>
      </c>
      <c r="U9104">
        <v>211</v>
      </c>
      <c r="V9104">
        <v>0</v>
      </c>
      <c r="W9104">
        <v>82</v>
      </c>
      <c r="X9104">
        <v>477</v>
      </c>
      <c r="Y9104">
        <v>2</v>
      </c>
      <c r="Z9104">
        <v>477</v>
      </c>
      <c r="AA9104">
        <v>2</v>
      </c>
      <c r="AB9104">
        <v>1.3485119999999999</v>
      </c>
      <c r="AC9104">
        <v>1.9190700000000001</v>
      </c>
      <c r="AD9104">
        <v>1.700383</v>
      </c>
      <c r="AE9104">
        <v>0.21772059999999999</v>
      </c>
      <c r="AF9104">
        <v>239.51480000000001</v>
      </c>
      <c r="AG9104">
        <f>IFERROR(AH9104*0.1, "N/A")</f>
        <v>5.5898780000000006</v>
      </c>
      <c r="AH9104">
        <v>55.898780000000002</v>
      </c>
      <c r="AI9104">
        <v>68.946839999999995</v>
      </c>
      <c r="AJ9104">
        <v>26.1815</v>
      </c>
      <c r="AK9104">
        <v>57.757420000000003</v>
      </c>
    </row>
    <row r="9105" spans="1:37" x14ac:dyDescent="0.3">
      <c r="A9105">
        <v>9104</v>
      </c>
      <c r="B9105">
        <v>6.3</v>
      </c>
      <c r="C9105">
        <v>14.1112</v>
      </c>
      <c r="D9105">
        <v>-5.7675700000000001</v>
      </c>
      <c r="E9105" t="s">
        <v>13841</v>
      </c>
      <c r="F9105" t="s">
        <v>13842</v>
      </c>
      <c r="G9105" t="s">
        <v>39</v>
      </c>
      <c r="H9105">
        <v>1995</v>
      </c>
      <c r="I9105">
        <v>25</v>
      </c>
      <c r="J9105">
        <v>7.9</v>
      </c>
      <c r="K9105">
        <v>57</v>
      </c>
      <c r="L9105">
        <v>18.23</v>
      </c>
      <c r="M9105">
        <v>31.2</v>
      </c>
      <c r="N9105">
        <v>17.399999999999999</v>
      </c>
      <c r="O9105">
        <v>13.8</v>
      </c>
      <c r="P9105">
        <v>26.7</v>
      </c>
      <c r="Q9105">
        <v>22.2</v>
      </c>
      <c r="R9105">
        <v>26.7</v>
      </c>
      <c r="S9105">
        <v>22.2</v>
      </c>
      <c r="T9105">
        <v>1151</v>
      </c>
      <c r="U9105">
        <v>233</v>
      </c>
      <c r="V9105">
        <v>0</v>
      </c>
      <c r="W9105">
        <v>81</v>
      </c>
      <c r="X9105">
        <v>501</v>
      </c>
      <c r="Y9105">
        <v>2</v>
      </c>
      <c r="Z9105">
        <v>501</v>
      </c>
      <c r="AA9105">
        <v>2</v>
      </c>
      <c r="AB9105">
        <v>7.1930110000000003</v>
      </c>
      <c r="AC9105">
        <v>1.0852010000000001</v>
      </c>
      <c r="AD9105">
        <v>3.7793429999999999</v>
      </c>
      <c r="AE9105">
        <v>0.1579025</v>
      </c>
      <c r="AF9105">
        <v>314.25650000000002</v>
      </c>
      <c r="AG9105">
        <f>IFERROR(AH9105*0.1, "N/A")</f>
        <v>5.5209420000000007</v>
      </c>
      <c r="AH9105">
        <v>55.209420000000001</v>
      </c>
      <c r="AI9105">
        <v>140.9068</v>
      </c>
      <c r="AJ9105">
        <v>35.462479999999999</v>
      </c>
      <c r="AK9105">
        <v>49.534030000000001</v>
      </c>
    </row>
    <row r="9106" spans="1:37" x14ac:dyDescent="0.3">
      <c r="A9106">
        <v>9105</v>
      </c>
      <c r="B9106">
        <v>23.4</v>
      </c>
      <c r="C9106">
        <v>14.1112</v>
      </c>
      <c r="D9106">
        <v>-5.7675700000000001</v>
      </c>
      <c r="E9106" t="s">
        <v>13841</v>
      </c>
      <c r="F9106" t="s">
        <v>13843</v>
      </c>
      <c r="G9106" t="s">
        <v>37</v>
      </c>
      <c r="H9106">
        <v>1995</v>
      </c>
      <c r="I9106">
        <v>25</v>
      </c>
      <c r="J9106">
        <v>7.9</v>
      </c>
      <c r="K9106">
        <v>57</v>
      </c>
      <c r="L9106">
        <v>18.23</v>
      </c>
      <c r="M9106">
        <v>31.2</v>
      </c>
      <c r="N9106">
        <v>17.399999999999999</v>
      </c>
      <c r="O9106">
        <v>13.8</v>
      </c>
      <c r="P9106">
        <v>26.7</v>
      </c>
      <c r="Q9106">
        <v>22.2</v>
      </c>
      <c r="R9106">
        <v>26.7</v>
      </c>
      <c r="S9106">
        <v>22.2</v>
      </c>
      <c r="T9106">
        <v>1151</v>
      </c>
      <c r="U9106">
        <v>233</v>
      </c>
      <c r="V9106">
        <v>0</v>
      </c>
      <c r="W9106">
        <v>81</v>
      </c>
      <c r="X9106">
        <v>501</v>
      </c>
      <c r="Y9106">
        <v>2</v>
      </c>
      <c r="Z9106">
        <v>501</v>
      </c>
      <c r="AA9106">
        <v>2</v>
      </c>
      <c r="AB9106">
        <v>7.1930110000000003</v>
      </c>
      <c r="AC9106">
        <v>1.0852010000000001</v>
      </c>
      <c r="AD9106">
        <v>3.7793429999999999</v>
      </c>
      <c r="AE9106">
        <v>0.1579025</v>
      </c>
      <c r="AF9106">
        <v>314.25650000000002</v>
      </c>
      <c r="AG9106">
        <f>IFERROR(AH9106*0.1, "N/A")</f>
        <v>5.5209420000000007</v>
      </c>
      <c r="AH9106">
        <v>55.209420000000001</v>
      </c>
      <c r="AI9106">
        <v>140.9068</v>
      </c>
      <c r="AJ9106">
        <v>35.462479999999999</v>
      </c>
      <c r="AK9106">
        <v>49.534030000000001</v>
      </c>
    </row>
    <row r="9107" spans="1:37" x14ac:dyDescent="0.3">
      <c r="A9107">
        <v>9106</v>
      </c>
      <c r="B9107">
        <v>21.1</v>
      </c>
      <c r="C9107">
        <v>13.9184</v>
      </c>
      <c r="D9107">
        <v>-5.76762</v>
      </c>
      <c r="E9107" t="s">
        <v>13844</v>
      </c>
      <c r="F9107" t="s">
        <v>13845</v>
      </c>
      <c r="G9107" t="s">
        <v>39</v>
      </c>
      <c r="H9107">
        <v>1995</v>
      </c>
      <c r="I9107">
        <v>25.2</v>
      </c>
      <c r="J9107">
        <v>7.5</v>
      </c>
      <c r="K9107">
        <v>55</v>
      </c>
      <c r="L9107">
        <v>18.22</v>
      </c>
      <c r="M9107">
        <v>31.3</v>
      </c>
      <c r="N9107">
        <v>17.899999999999999</v>
      </c>
      <c r="O9107">
        <v>13.4</v>
      </c>
      <c r="P9107">
        <v>27</v>
      </c>
      <c r="Q9107">
        <v>22.4</v>
      </c>
      <c r="R9107">
        <v>27</v>
      </c>
      <c r="S9107">
        <v>22.4</v>
      </c>
      <c r="T9107">
        <v>1109</v>
      </c>
      <c r="U9107">
        <v>224</v>
      </c>
      <c r="V9107">
        <v>0</v>
      </c>
      <c r="W9107">
        <v>81</v>
      </c>
      <c r="X9107">
        <v>490</v>
      </c>
      <c r="Y9107">
        <v>2</v>
      </c>
      <c r="Z9107">
        <v>490</v>
      </c>
      <c r="AA9107">
        <v>2</v>
      </c>
      <c r="AB9107">
        <v>9.6408760000000004</v>
      </c>
      <c r="AC9107">
        <v>7.0878839999999999E-2</v>
      </c>
      <c r="AD9107">
        <v>1.623769</v>
      </c>
      <c r="AE9107">
        <v>0.193552</v>
      </c>
      <c r="AF9107">
        <v>287.58069999999998</v>
      </c>
      <c r="AG9107">
        <f>IFERROR(AH9107*0.1, "N/A")</f>
        <v>5.7577190000000007</v>
      </c>
      <c r="AH9107">
        <v>57.577190000000002</v>
      </c>
      <c r="AI9107">
        <v>63.658099999999997</v>
      </c>
      <c r="AJ9107">
        <v>34.301749999999998</v>
      </c>
      <c r="AK9107">
        <v>46.271929999999998</v>
      </c>
    </row>
    <row r="9108" spans="1:37" x14ac:dyDescent="0.3">
      <c r="A9108">
        <v>9107</v>
      </c>
      <c r="B9108">
        <v>4.9000000000000004</v>
      </c>
      <c r="C9108">
        <v>13.9184</v>
      </c>
      <c r="D9108">
        <v>-5.76762</v>
      </c>
      <c r="E9108" t="s">
        <v>13844</v>
      </c>
      <c r="F9108" t="s">
        <v>13846</v>
      </c>
      <c r="G9108" t="s">
        <v>37</v>
      </c>
      <c r="H9108">
        <v>1995</v>
      </c>
      <c r="I9108">
        <v>25.2</v>
      </c>
      <c r="J9108">
        <v>7.5</v>
      </c>
      <c r="K9108">
        <v>55</v>
      </c>
      <c r="L9108">
        <v>18.22</v>
      </c>
      <c r="M9108">
        <v>31.3</v>
      </c>
      <c r="N9108">
        <v>17.899999999999999</v>
      </c>
      <c r="O9108">
        <v>13.4</v>
      </c>
      <c r="P9108">
        <v>27</v>
      </c>
      <c r="Q9108">
        <v>22.4</v>
      </c>
      <c r="R9108">
        <v>27</v>
      </c>
      <c r="S9108">
        <v>22.4</v>
      </c>
      <c r="T9108">
        <v>1109</v>
      </c>
      <c r="U9108">
        <v>224</v>
      </c>
      <c r="V9108">
        <v>0</v>
      </c>
      <c r="W9108">
        <v>81</v>
      </c>
      <c r="X9108">
        <v>490</v>
      </c>
      <c r="Y9108">
        <v>2</v>
      </c>
      <c r="Z9108">
        <v>490</v>
      </c>
      <c r="AA9108">
        <v>2</v>
      </c>
      <c r="AB9108">
        <v>9.6408760000000004</v>
      </c>
      <c r="AC9108">
        <v>7.0878839999999999E-2</v>
      </c>
      <c r="AD9108">
        <v>1.623769</v>
      </c>
      <c r="AE9108">
        <v>0.193552</v>
      </c>
      <c r="AF9108">
        <v>287.58069999999998</v>
      </c>
      <c r="AG9108">
        <f>IFERROR(AH9108*0.1, "N/A")</f>
        <v>5.7577190000000007</v>
      </c>
      <c r="AH9108">
        <v>57.577190000000002</v>
      </c>
      <c r="AI9108">
        <v>63.658099999999997</v>
      </c>
      <c r="AJ9108">
        <v>34.301749999999998</v>
      </c>
      <c r="AK9108">
        <v>46.271929999999998</v>
      </c>
    </row>
    <row r="9109" spans="1:37" x14ac:dyDescent="0.3">
      <c r="A9109">
        <v>9108</v>
      </c>
      <c r="B9109">
        <v>36.4</v>
      </c>
      <c r="C9109">
        <v>14.501099999999999</v>
      </c>
      <c r="D9109">
        <v>-5.7982100000000001</v>
      </c>
      <c r="E9109" t="s">
        <v>13847</v>
      </c>
      <c r="F9109" t="s">
        <v>13848</v>
      </c>
      <c r="G9109" t="s">
        <v>37</v>
      </c>
      <c r="H9109">
        <v>1995</v>
      </c>
      <c r="I9109">
        <v>24.1</v>
      </c>
      <c r="J9109">
        <v>8.8000000000000007</v>
      </c>
      <c r="K9109">
        <v>61</v>
      </c>
      <c r="L9109">
        <v>16.920000000000002</v>
      </c>
      <c r="M9109">
        <v>30.4</v>
      </c>
      <c r="N9109">
        <v>16.100000000000001</v>
      </c>
      <c r="O9109">
        <v>14.3</v>
      </c>
      <c r="P9109">
        <v>25.6</v>
      </c>
      <c r="Q9109">
        <v>21.4</v>
      </c>
      <c r="R9109">
        <v>25.6</v>
      </c>
      <c r="S9109">
        <v>21.4</v>
      </c>
      <c r="T9109">
        <v>1268</v>
      </c>
      <c r="U9109">
        <v>249</v>
      </c>
      <c r="V9109">
        <v>0</v>
      </c>
      <c r="W9109">
        <v>79</v>
      </c>
      <c r="X9109">
        <v>540</v>
      </c>
      <c r="Y9109">
        <v>4</v>
      </c>
      <c r="Z9109">
        <v>540</v>
      </c>
      <c r="AA9109">
        <v>4</v>
      </c>
      <c r="AB9109">
        <v>4.9575969999999998</v>
      </c>
      <c r="AC9109">
        <v>1.295787E-2</v>
      </c>
      <c r="AD9109">
        <v>1.5125759999999999</v>
      </c>
      <c r="AE9109">
        <v>0.1560086</v>
      </c>
      <c r="AF9109">
        <v>472.18150000000003</v>
      </c>
      <c r="AG9109">
        <f>IFERROR(AH9109*0.1, "N/A")</f>
        <v>5.3848170000000009</v>
      </c>
      <c r="AH9109">
        <v>53.848170000000003</v>
      </c>
      <c r="AI9109">
        <v>123.4213</v>
      </c>
      <c r="AJ9109">
        <v>37</v>
      </c>
      <c r="AK9109">
        <v>49.151829999999997</v>
      </c>
    </row>
    <row r="9110" spans="1:37" x14ac:dyDescent="0.3">
      <c r="A9110">
        <v>9109</v>
      </c>
      <c r="B9110">
        <v>45</v>
      </c>
      <c r="C9110">
        <v>14.416700000000001</v>
      </c>
      <c r="D9110">
        <v>-5.8</v>
      </c>
      <c r="E9110" t="s">
        <v>13849</v>
      </c>
      <c r="F9110" t="s">
        <v>13850</v>
      </c>
      <c r="G9110" t="s">
        <v>39</v>
      </c>
      <c r="H9110">
        <v>1995</v>
      </c>
      <c r="I9110">
        <v>23.9</v>
      </c>
      <c r="J9110">
        <v>8.6</v>
      </c>
      <c r="K9110">
        <v>60</v>
      </c>
      <c r="L9110">
        <v>17.00122</v>
      </c>
      <c r="M9110">
        <v>30.219339999999999</v>
      </c>
      <c r="N9110">
        <v>16.100000000000001</v>
      </c>
      <c r="O9110">
        <v>14.119339999999999</v>
      </c>
      <c r="P9110">
        <v>25.5</v>
      </c>
      <c r="Q9110">
        <v>21.280660000000001</v>
      </c>
      <c r="R9110">
        <v>25.5</v>
      </c>
      <c r="S9110">
        <v>21.280660000000001</v>
      </c>
      <c r="T9110">
        <v>1260.549</v>
      </c>
      <c r="U9110">
        <v>248</v>
      </c>
      <c r="V9110">
        <v>0</v>
      </c>
      <c r="W9110">
        <v>78</v>
      </c>
      <c r="X9110">
        <v>539.34320000000002</v>
      </c>
      <c r="Y9110">
        <v>4</v>
      </c>
      <c r="Z9110">
        <v>539.34320000000002</v>
      </c>
      <c r="AA9110">
        <v>4</v>
      </c>
      <c r="AB9110">
        <v>10.23554</v>
      </c>
      <c r="AC9110">
        <v>9.6755109999999995E-3</v>
      </c>
      <c r="AD9110">
        <v>1.3489880000000001</v>
      </c>
      <c r="AE9110">
        <v>0.14542569999999999</v>
      </c>
      <c r="AF9110">
        <v>493.18290000000002</v>
      </c>
      <c r="AG9110">
        <f>IFERROR(AH9110*0.1, "N/A")</f>
        <v>5.3000000000000007</v>
      </c>
      <c r="AH9110">
        <v>53</v>
      </c>
      <c r="AI9110">
        <v>214.63120000000001</v>
      </c>
      <c r="AJ9110">
        <v>40.043550000000003</v>
      </c>
      <c r="AK9110">
        <v>43.162019999999998</v>
      </c>
    </row>
    <row r="9111" spans="1:37" x14ac:dyDescent="0.3">
      <c r="A9111">
        <v>9110</v>
      </c>
      <c r="B9111">
        <v>52.8</v>
      </c>
      <c r="C9111">
        <v>14.416700000000001</v>
      </c>
      <c r="D9111">
        <v>-5.8</v>
      </c>
      <c r="E9111" t="s">
        <v>13849</v>
      </c>
      <c r="F9111" t="s">
        <v>13851</v>
      </c>
      <c r="G9111" t="s">
        <v>37</v>
      </c>
      <c r="H9111">
        <v>1995</v>
      </c>
      <c r="I9111">
        <v>23.9</v>
      </c>
      <c r="J9111">
        <v>8.6</v>
      </c>
      <c r="K9111">
        <v>60</v>
      </c>
      <c r="L9111">
        <v>17.00122</v>
      </c>
      <c r="M9111">
        <v>30.219339999999999</v>
      </c>
      <c r="N9111">
        <v>16.100000000000001</v>
      </c>
      <c r="O9111">
        <v>14.119339999999999</v>
      </c>
      <c r="P9111">
        <v>25.5</v>
      </c>
      <c r="Q9111">
        <v>21.280660000000001</v>
      </c>
      <c r="R9111">
        <v>25.5</v>
      </c>
      <c r="S9111">
        <v>21.280660000000001</v>
      </c>
      <c r="T9111">
        <v>1260.549</v>
      </c>
      <c r="U9111">
        <v>248</v>
      </c>
      <c r="V9111">
        <v>0</v>
      </c>
      <c r="W9111">
        <v>78</v>
      </c>
      <c r="X9111">
        <v>539.34320000000002</v>
      </c>
      <c r="Y9111">
        <v>4</v>
      </c>
      <c r="Z9111">
        <v>539.34320000000002</v>
      </c>
      <c r="AA9111">
        <v>4</v>
      </c>
      <c r="AB9111">
        <v>10.23554</v>
      </c>
      <c r="AC9111">
        <v>9.6755109999999995E-3</v>
      </c>
      <c r="AD9111">
        <v>1.3489880000000001</v>
      </c>
      <c r="AE9111">
        <v>0.14542569999999999</v>
      </c>
      <c r="AF9111">
        <v>493.18290000000002</v>
      </c>
      <c r="AG9111">
        <f>IFERROR(AH9111*0.1, "N/A")</f>
        <v>5.3000000000000007</v>
      </c>
      <c r="AH9111">
        <v>53</v>
      </c>
      <c r="AI9111">
        <v>214.63120000000001</v>
      </c>
      <c r="AJ9111">
        <v>40.043550000000003</v>
      </c>
      <c r="AK9111">
        <v>43.162019999999998</v>
      </c>
    </row>
    <row r="9112" spans="1:37" x14ac:dyDescent="0.3">
      <c r="A9112">
        <v>9111</v>
      </c>
      <c r="B9112">
        <v>0</v>
      </c>
      <c r="C9112">
        <v>13.4573</v>
      </c>
      <c r="D9112">
        <v>-5.8001899999999997</v>
      </c>
      <c r="E9112" t="s">
        <v>13852</v>
      </c>
      <c r="F9112" t="s">
        <v>13853</v>
      </c>
      <c r="G9112" t="s">
        <v>39</v>
      </c>
      <c r="H9112">
        <v>1995</v>
      </c>
      <c r="I9112">
        <v>27.616990000000001</v>
      </c>
      <c r="J9112">
        <v>6.8292469999999996</v>
      </c>
      <c r="K9112">
        <v>50.292470000000002</v>
      </c>
      <c r="L9112">
        <v>19.89264</v>
      </c>
      <c r="M9112">
        <v>33.616990000000001</v>
      </c>
      <c r="N9112">
        <v>20.187740000000002</v>
      </c>
      <c r="O9112">
        <v>13.42925</v>
      </c>
      <c r="P9112">
        <v>29.51699</v>
      </c>
      <c r="Q9112">
        <v>24.616990000000001</v>
      </c>
      <c r="R9112">
        <v>29.51699</v>
      </c>
      <c r="S9112">
        <v>24.616990000000001</v>
      </c>
      <c r="T9112">
        <v>972.98069999999996</v>
      </c>
      <c r="U9112">
        <v>196.12260000000001</v>
      </c>
      <c r="V9112">
        <v>0</v>
      </c>
      <c r="W9112">
        <v>82</v>
      </c>
      <c r="X9112">
        <v>441.78280000000001</v>
      </c>
      <c r="Y9112">
        <v>0</v>
      </c>
      <c r="Z9112">
        <v>441.78280000000001</v>
      </c>
      <c r="AA9112">
        <v>0</v>
      </c>
      <c r="AB9112">
        <v>9.4430820000000004</v>
      </c>
      <c r="AC9112">
        <v>24.108080000000001</v>
      </c>
      <c r="AD9112">
        <v>10.24898</v>
      </c>
      <c r="AE9112">
        <v>0.54318069999999996</v>
      </c>
      <c r="AF9112">
        <v>20.84939</v>
      </c>
      <c r="AG9112">
        <f>IFERROR(AH9112*0.1, "N/A")</f>
        <v>5.9830120000000004</v>
      </c>
      <c r="AH9112">
        <v>59.830120000000001</v>
      </c>
      <c r="AI9112">
        <v>133.43469999999999</v>
      </c>
      <c r="AJ9112">
        <v>24.58494</v>
      </c>
      <c r="AK9112">
        <v>52.245179999999998</v>
      </c>
    </row>
    <row r="9113" spans="1:37" x14ac:dyDescent="0.3">
      <c r="A9113">
        <v>9112</v>
      </c>
      <c r="B9113">
        <v>0.9</v>
      </c>
      <c r="C9113">
        <v>13.4573</v>
      </c>
      <c r="D9113">
        <v>-5.8001899999999997</v>
      </c>
      <c r="E9113" t="s">
        <v>13852</v>
      </c>
      <c r="F9113" t="s">
        <v>13854</v>
      </c>
      <c r="G9113" t="s">
        <v>37</v>
      </c>
      <c r="H9113">
        <v>1995</v>
      </c>
      <c r="I9113">
        <v>27.616990000000001</v>
      </c>
      <c r="J9113">
        <v>6.8292469999999996</v>
      </c>
      <c r="K9113">
        <v>50.292470000000002</v>
      </c>
      <c r="L9113">
        <v>19.89264</v>
      </c>
      <c r="M9113">
        <v>33.616990000000001</v>
      </c>
      <c r="N9113">
        <v>20.187740000000002</v>
      </c>
      <c r="O9113">
        <v>13.42925</v>
      </c>
      <c r="P9113">
        <v>29.51699</v>
      </c>
      <c r="Q9113">
        <v>24.616990000000001</v>
      </c>
      <c r="R9113">
        <v>29.51699</v>
      </c>
      <c r="S9113">
        <v>24.616990000000001</v>
      </c>
      <c r="T9113">
        <v>972.98069999999996</v>
      </c>
      <c r="U9113">
        <v>196.12260000000001</v>
      </c>
      <c r="V9113">
        <v>0</v>
      </c>
      <c r="W9113">
        <v>82</v>
      </c>
      <c r="X9113">
        <v>441.78280000000001</v>
      </c>
      <c r="Y9113">
        <v>0</v>
      </c>
      <c r="Z9113">
        <v>441.78280000000001</v>
      </c>
      <c r="AA9113">
        <v>0</v>
      </c>
      <c r="AB9113">
        <v>9.4430820000000004</v>
      </c>
      <c r="AC9113">
        <v>24.108080000000001</v>
      </c>
      <c r="AD9113">
        <v>10.24898</v>
      </c>
      <c r="AE9113">
        <v>0.54318069999999996</v>
      </c>
      <c r="AF9113">
        <v>20.84939</v>
      </c>
      <c r="AG9113">
        <f>IFERROR(AH9113*0.1, "N/A")</f>
        <v>5.9830120000000004</v>
      </c>
      <c r="AH9113">
        <v>59.830120000000001</v>
      </c>
      <c r="AI9113">
        <v>133.43469999999999</v>
      </c>
      <c r="AJ9113">
        <v>24.58494</v>
      </c>
      <c r="AK9113">
        <v>52.245179999999998</v>
      </c>
    </row>
    <row r="9114" spans="1:37" x14ac:dyDescent="0.3">
      <c r="A9114">
        <v>9113</v>
      </c>
      <c r="B9114">
        <v>1.4</v>
      </c>
      <c r="C9114">
        <v>13.461600000000001</v>
      </c>
      <c r="D9114">
        <v>-5.8311099999999998</v>
      </c>
      <c r="E9114" t="s">
        <v>13855</v>
      </c>
      <c r="F9114" t="s">
        <v>13856</v>
      </c>
      <c r="G9114" t="s">
        <v>39</v>
      </c>
      <c r="H9114">
        <v>1995</v>
      </c>
      <c r="I9114">
        <v>27.5</v>
      </c>
      <c r="J9114">
        <v>6.7</v>
      </c>
      <c r="K9114">
        <v>50</v>
      </c>
      <c r="L9114">
        <v>19.489999999999998</v>
      </c>
      <c r="M9114">
        <v>33.4</v>
      </c>
      <c r="N9114">
        <v>20.100000000000001</v>
      </c>
      <c r="O9114">
        <v>13.3</v>
      </c>
      <c r="P9114">
        <v>29.3</v>
      </c>
      <c r="Q9114">
        <v>24.5</v>
      </c>
      <c r="R9114">
        <v>29.3</v>
      </c>
      <c r="S9114">
        <v>24.5</v>
      </c>
      <c r="T9114">
        <v>981</v>
      </c>
      <c r="U9114">
        <v>198</v>
      </c>
      <c r="V9114">
        <v>0</v>
      </c>
      <c r="W9114">
        <v>83</v>
      </c>
      <c r="X9114">
        <v>447</v>
      </c>
      <c r="Y9114">
        <v>0</v>
      </c>
      <c r="Z9114">
        <v>447</v>
      </c>
      <c r="AA9114">
        <v>0</v>
      </c>
      <c r="AB9114">
        <v>113.6276</v>
      </c>
      <c r="AC9114">
        <v>2.668599E-2</v>
      </c>
      <c r="AD9114">
        <v>4.8432409999999999</v>
      </c>
      <c r="AE9114">
        <v>0.87992689999999996</v>
      </c>
      <c r="AF9114">
        <v>125.7557</v>
      </c>
      <c r="AG9114">
        <f>IFERROR(AH9114*0.1, "N/A")</f>
        <v>6.2853400000000006</v>
      </c>
      <c r="AH9114">
        <v>62.853400000000001</v>
      </c>
      <c r="AI9114">
        <v>341.78699999999998</v>
      </c>
      <c r="AJ9114">
        <v>27.04712</v>
      </c>
      <c r="AK9114">
        <v>55.935429999999997</v>
      </c>
    </row>
    <row r="9115" spans="1:37" x14ac:dyDescent="0.3">
      <c r="A9115">
        <v>9114</v>
      </c>
      <c r="B9115">
        <v>4</v>
      </c>
      <c r="C9115">
        <v>13.461600000000001</v>
      </c>
      <c r="D9115">
        <v>-5.8311099999999998</v>
      </c>
      <c r="E9115" t="s">
        <v>13855</v>
      </c>
      <c r="F9115" t="s">
        <v>13857</v>
      </c>
      <c r="G9115" t="s">
        <v>37</v>
      </c>
      <c r="H9115">
        <v>1995</v>
      </c>
      <c r="I9115">
        <v>27.5</v>
      </c>
      <c r="J9115">
        <v>6.7</v>
      </c>
      <c r="K9115">
        <v>50</v>
      </c>
      <c r="L9115">
        <v>19.489999999999998</v>
      </c>
      <c r="M9115">
        <v>33.4</v>
      </c>
      <c r="N9115">
        <v>20.100000000000001</v>
      </c>
      <c r="O9115">
        <v>13.3</v>
      </c>
      <c r="P9115">
        <v>29.3</v>
      </c>
      <c r="Q9115">
        <v>24.5</v>
      </c>
      <c r="R9115">
        <v>29.3</v>
      </c>
      <c r="S9115">
        <v>24.5</v>
      </c>
      <c r="T9115">
        <v>981</v>
      </c>
      <c r="U9115">
        <v>198</v>
      </c>
      <c r="V9115">
        <v>0</v>
      </c>
      <c r="W9115">
        <v>83</v>
      </c>
      <c r="X9115">
        <v>447</v>
      </c>
      <c r="Y9115">
        <v>0</v>
      </c>
      <c r="Z9115">
        <v>447</v>
      </c>
      <c r="AA9115">
        <v>0</v>
      </c>
      <c r="AB9115">
        <v>113.6276</v>
      </c>
      <c r="AC9115">
        <v>2.668599E-2</v>
      </c>
      <c r="AD9115">
        <v>4.8432409999999999</v>
      </c>
      <c r="AE9115">
        <v>0.87992689999999996</v>
      </c>
      <c r="AF9115">
        <v>125.7557</v>
      </c>
      <c r="AG9115">
        <f>IFERROR(AH9115*0.1, "N/A")</f>
        <v>6.2853400000000006</v>
      </c>
      <c r="AH9115">
        <v>62.853400000000001</v>
      </c>
      <c r="AI9115">
        <v>341.78699999999998</v>
      </c>
      <c r="AJ9115">
        <v>27.04712</v>
      </c>
      <c r="AK9115">
        <v>55.935429999999997</v>
      </c>
    </row>
    <row r="9116" spans="1:37" x14ac:dyDescent="0.3">
      <c r="A9116">
        <v>9115</v>
      </c>
      <c r="B9116">
        <v>5.9</v>
      </c>
      <c r="C9116">
        <v>14.3667</v>
      </c>
      <c r="D9116">
        <v>-5.8333300000000001</v>
      </c>
      <c r="E9116" t="s">
        <v>13858</v>
      </c>
      <c r="F9116" t="s">
        <v>13859</v>
      </c>
      <c r="G9116" t="s">
        <v>39</v>
      </c>
      <c r="H9116">
        <v>1995</v>
      </c>
      <c r="I9116">
        <v>23.678360000000001</v>
      </c>
      <c r="J9116">
        <v>8.5087259999999993</v>
      </c>
      <c r="K9116">
        <v>60.087260000000001</v>
      </c>
      <c r="L9116">
        <v>17.151309999999999</v>
      </c>
      <c r="M9116">
        <v>29.969629999999999</v>
      </c>
      <c r="N9116">
        <v>15.932639999999999</v>
      </c>
      <c r="O9116">
        <v>14.037000000000001</v>
      </c>
      <c r="P9116">
        <v>25.228269999999998</v>
      </c>
      <c r="Q9116">
        <v>20.99127</v>
      </c>
      <c r="R9116">
        <v>25.228269999999998</v>
      </c>
      <c r="S9116">
        <v>20.99127</v>
      </c>
      <c r="T9116">
        <v>1259.7819999999999</v>
      </c>
      <c r="U9116">
        <v>248</v>
      </c>
      <c r="V9116">
        <v>0</v>
      </c>
      <c r="W9116">
        <v>79</v>
      </c>
      <c r="X9116">
        <v>542.30370000000005</v>
      </c>
      <c r="Y9116">
        <v>4</v>
      </c>
      <c r="Z9116">
        <v>542.30370000000005</v>
      </c>
      <c r="AA9116">
        <v>4</v>
      </c>
      <c r="AB9116">
        <v>3.761609</v>
      </c>
      <c r="AC9116">
        <v>0.73236109999999999</v>
      </c>
      <c r="AD9116">
        <v>4.7399529999999999</v>
      </c>
      <c r="AE9116">
        <v>0.14701429999999999</v>
      </c>
      <c r="AF9116">
        <v>524.12570000000005</v>
      </c>
      <c r="AG9116">
        <f>IFERROR(AH9116*0.1, "N/A")</f>
        <v>5.1457240000000004</v>
      </c>
      <c r="AH9116">
        <v>51.457239999999999</v>
      </c>
      <c r="AI9116">
        <v>261.68360000000001</v>
      </c>
      <c r="AJ9116">
        <v>41.457239999999999</v>
      </c>
      <c r="AK9116">
        <v>39.085509999999999</v>
      </c>
    </row>
    <row r="9117" spans="1:37" x14ac:dyDescent="0.3">
      <c r="A9117">
        <v>9116</v>
      </c>
      <c r="B9117">
        <v>33.299999999999997</v>
      </c>
      <c r="C9117">
        <v>14.3667</v>
      </c>
      <c r="D9117">
        <v>-5.8333300000000001</v>
      </c>
      <c r="E9117" t="s">
        <v>13858</v>
      </c>
      <c r="F9117" t="s">
        <v>13860</v>
      </c>
      <c r="G9117" t="s">
        <v>37</v>
      </c>
      <c r="H9117">
        <v>1995</v>
      </c>
      <c r="I9117">
        <v>23.678360000000001</v>
      </c>
      <c r="J9117">
        <v>8.5087259999999993</v>
      </c>
      <c r="K9117">
        <v>60.087260000000001</v>
      </c>
      <c r="L9117">
        <v>17.151309999999999</v>
      </c>
      <c r="M9117">
        <v>29.969629999999999</v>
      </c>
      <c r="N9117">
        <v>15.932639999999999</v>
      </c>
      <c r="O9117">
        <v>14.037000000000001</v>
      </c>
      <c r="P9117">
        <v>25.228269999999998</v>
      </c>
      <c r="Q9117">
        <v>20.99127</v>
      </c>
      <c r="R9117">
        <v>25.228269999999998</v>
      </c>
      <c r="S9117">
        <v>20.99127</v>
      </c>
      <c r="T9117">
        <v>1259.7819999999999</v>
      </c>
      <c r="U9117">
        <v>248</v>
      </c>
      <c r="V9117">
        <v>0</v>
      </c>
      <c r="W9117">
        <v>79</v>
      </c>
      <c r="X9117">
        <v>542.30370000000005</v>
      </c>
      <c r="Y9117">
        <v>4</v>
      </c>
      <c r="Z9117">
        <v>542.30370000000005</v>
      </c>
      <c r="AA9117">
        <v>4</v>
      </c>
      <c r="AB9117">
        <v>3.761609</v>
      </c>
      <c r="AC9117">
        <v>0.73236109999999999</v>
      </c>
      <c r="AD9117">
        <v>4.7399529999999999</v>
      </c>
      <c r="AE9117">
        <v>0.14701429999999999</v>
      </c>
      <c r="AF9117">
        <v>524.12570000000005</v>
      </c>
      <c r="AG9117">
        <f>IFERROR(AH9117*0.1, "N/A")</f>
        <v>5.1457240000000004</v>
      </c>
      <c r="AH9117">
        <v>51.457239999999999</v>
      </c>
      <c r="AI9117">
        <v>261.68360000000001</v>
      </c>
      <c r="AJ9117">
        <v>41.457239999999999</v>
      </c>
      <c r="AK9117">
        <v>39.085509999999999</v>
      </c>
    </row>
    <row r="9118" spans="1:37" x14ac:dyDescent="0.3">
      <c r="A9118">
        <v>9117</v>
      </c>
      <c r="B9118">
        <v>6.9</v>
      </c>
      <c r="C9118">
        <v>13.4931</v>
      </c>
      <c r="D9118">
        <v>-5.8364399999999996</v>
      </c>
      <c r="E9118" t="s">
        <v>13861</v>
      </c>
      <c r="F9118" t="s">
        <v>13862</v>
      </c>
      <c r="G9118" t="s">
        <v>39</v>
      </c>
      <c r="H9118">
        <v>1995</v>
      </c>
      <c r="I9118">
        <v>27.7</v>
      </c>
      <c r="J9118">
        <v>6.8</v>
      </c>
      <c r="K9118">
        <v>51</v>
      </c>
      <c r="L9118">
        <v>19.809999999999999</v>
      </c>
      <c r="M9118">
        <v>33.5</v>
      </c>
      <c r="N9118">
        <v>20.2</v>
      </c>
      <c r="O9118">
        <v>13.3</v>
      </c>
      <c r="P9118">
        <v>29.5</v>
      </c>
      <c r="Q9118">
        <v>24.6</v>
      </c>
      <c r="R9118">
        <v>29.5</v>
      </c>
      <c r="S9118">
        <v>24.6</v>
      </c>
      <c r="T9118">
        <v>971</v>
      </c>
      <c r="U9118">
        <v>198</v>
      </c>
      <c r="V9118">
        <v>0</v>
      </c>
      <c r="W9118">
        <v>83</v>
      </c>
      <c r="X9118">
        <v>442</v>
      </c>
      <c r="Y9118">
        <v>0</v>
      </c>
      <c r="Z9118">
        <v>442</v>
      </c>
      <c r="AA9118">
        <v>0</v>
      </c>
      <c r="AB9118">
        <v>9.5690580000000001</v>
      </c>
      <c r="AC9118">
        <v>0.49328889999999997</v>
      </c>
      <c r="AD9118">
        <v>5.3431800000000003</v>
      </c>
      <c r="AE9118">
        <v>0.53555209999999998</v>
      </c>
      <c r="AF9118">
        <v>56.984270000000002</v>
      </c>
      <c r="AG9118">
        <f>IFERROR(AH9118*0.1, "N/A")</f>
        <v>6.1687060000000002</v>
      </c>
      <c r="AH9118">
        <v>61.687060000000002</v>
      </c>
      <c r="AI9118">
        <v>73.34281</v>
      </c>
      <c r="AJ9118">
        <v>35.386360000000003</v>
      </c>
      <c r="AK9118">
        <v>44.022730000000003</v>
      </c>
    </row>
    <row r="9119" spans="1:37" x14ac:dyDescent="0.3">
      <c r="A9119">
        <v>9118</v>
      </c>
      <c r="B9119">
        <v>1</v>
      </c>
      <c r="C9119">
        <v>13.4931</v>
      </c>
      <c r="D9119">
        <v>-5.8364399999999996</v>
      </c>
      <c r="E9119" t="s">
        <v>13861</v>
      </c>
      <c r="F9119" t="s">
        <v>13863</v>
      </c>
      <c r="G9119" t="s">
        <v>37</v>
      </c>
      <c r="H9119">
        <v>1995</v>
      </c>
      <c r="I9119">
        <v>27.7</v>
      </c>
      <c r="J9119">
        <v>6.8</v>
      </c>
      <c r="K9119">
        <v>51</v>
      </c>
      <c r="L9119">
        <v>19.809999999999999</v>
      </c>
      <c r="M9119">
        <v>33.5</v>
      </c>
      <c r="N9119">
        <v>20.2</v>
      </c>
      <c r="O9119">
        <v>13.3</v>
      </c>
      <c r="P9119">
        <v>29.5</v>
      </c>
      <c r="Q9119">
        <v>24.6</v>
      </c>
      <c r="R9119">
        <v>29.5</v>
      </c>
      <c r="S9119">
        <v>24.6</v>
      </c>
      <c r="T9119">
        <v>971</v>
      </c>
      <c r="U9119">
        <v>198</v>
      </c>
      <c r="V9119">
        <v>0</v>
      </c>
      <c r="W9119">
        <v>83</v>
      </c>
      <c r="X9119">
        <v>442</v>
      </c>
      <c r="Y9119">
        <v>0</v>
      </c>
      <c r="Z9119">
        <v>442</v>
      </c>
      <c r="AA9119">
        <v>0</v>
      </c>
      <c r="AB9119">
        <v>9.5690580000000001</v>
      </c>
      <c r="AC9119">
        <v>0.49328889999999997</v>
      </c>
      <c r="AD9119">
        <v>5.3431800000000003</v>
      </c>
      <c r="AE9119">
        <v>0.53555209999999998</v>
      </c>
      <c r="AF9119">
        <v>56.984270000000002</v>
      </c>
      <c r="AG9119">
        <f>IFERROR(AH9119*0.1, "N/A")</f>
        <v>6.1687060000000002</v>
      </c>
      <c r="AH9119">
        <v>61.687060000000002</v>
      </c>
      <c r="AI9119">
        <v>73.34281</v>
      </c>
      <c r="AJ9119">
        <v>35.386360000000003</v>
      </c>
      <c r="AK9119">
        <v>44.022730000000003</v>
      </c>
    </row>
    <row r="9120" spans="1:37" x14ac:dyDescent="0.3">
      <c r="A9120">
        <v>9119</v>
      </c>
      <c r="B9120">
        <v>76.2</v>
      </c>
      <c r="C9120">
        <v>13.604699999999999</v>
      </c>
      <c r="D9120">
        <v>-5.83718</v>
      </c>
      <c r="E9120" t="s">
        <v>13864</v>
      </c>
      <c r="F9120" t="s">
        <v>13865</v>
      </c>
      <c r="G9120" t="s">
        <v>39</v>
      </c>
      <c r="H9120">
        <v>1995</v>
      </c>
      <c r="I9120">
        <v>26.4</v>
      </c>
      <c r="J9120">
        <v>6.8</v>
      </c>
      <c r="K9120">
        <v>51</v>
      </c>
      <c r="L9120">
        <v>18.86</v>
      </c>
      <c r="M9120">
        <v>32.299999999999997</v>
      </c>
      <c r="N9120">
        <v>19.2</v>
      </c>
      <c r="O9120">
        <v>13.1</v>
      </c>
      <c r="P9120">
        <v>28.2</v>
      </c>
      <c r="Q9120">
        <v>23.5</v>
      </c>
      <c r="R9120">
        <v>28.2</v>
      </c>
      <c r="S9120">
        <v>23.5</v>
      </c>
      <c r="T9120">
        <v>1017</v>
      </c>
      <c r="U9120">
        <v>207</v>
      </c>
      <c r="V9120">
        <v>0</v>
      </c>
      <c r="W9120">
        <v>83</v>
      </c>
      <c r="X9120">
        <v>466</v>
      </c>
      <c r="Y9120">
        <v>0</v>
      </c>
      <c r="Z9120">
        <v>466</v>
      </c>
      <c r="AA9120">
        <v>0</v>
      </c>
      <c r="AB9120">
        <v>46.241300000000003</v>
      </c>
      <c r="AC9120">
        <v>8.9044529999999997E-3</v>
      </c>
      <c r="AD9120">
        <v>3.1451600000000002</v>
      </c>
      <c r="AE9120">
        <v>0.2087676</v>
      </c>
      <c r="AF9120">
        <v>222.7491</v>
      </c>
      <c r="AG9120">
        <f>IFERROR(AH9120*0.1, "N/A")</f>
        <v>6.1000000000000005</v>
      </c>
      <c r="AH9120">
        <v>61</v>
      </c>
      <c r="AI9120">
        <v>224.1283</v>
      </c>
      <c r="AJ9120">
        <v>28.06794</v>
      </c>
      <c r="AK9120">
        <v>59.874560000000002</v>
      </c>
    </row>
    <row r="9121" spans="1:37" x14ac:dyDescent="0.3">
      <c r="A9121">
        <v>9120</v>
      </c>
      <c r="B9121">
        <v>1</v>
      </c>
      <c r="C9121">
        <v>13.604699999999999</v>
      </c>
      <c r="D9121">
        <v>-5.83718</v>
      </c>
      <c r="E9121" t="s">
        <v>13864</v>
      </c>
      <c r="F9121" t="s">
        <v>13866</v>
      </c>
      <c r="G9121" t="s">
        <v>37</v>
      </c>
      <c r="H9121">
        <v>1995</v>
      </c>
      <c r="I9121">
        <v>26.4</v>
      </c>
      <c r="J9121">
        <v>6.8</v>
      </c>
      <c r="K9121">
        <v>51</v>
      </c>
      <c r="L9121">
        <v>18.86</v>
      </c>
      <c r="M9121">
        <v>32.299999999999997</v>
      </c>
      <c r="N9121">
        <v>19.2</v>
      </c>
      <c r="O9121">
        <v>13.1</v>
      </c>
      <c r="P9121">
        <v>28.2</v>
      </c>
      <c r="Q9121">
        <v>23.5</v>
      </c>
      <c r="R9121">
        <v>28.2</v>
      </c>
      <c r="S9121">
        <v>23.5</v>
      </c>
      <c r="T9121">
        <v>1017</v>
      </c>
      <c r="U9121">
        <v>207</v>
      </c>
      <c r="V9121">
        <v>0</v>
      </c>
      <c r="W9121">
        <v>83</v>
      </c>
      <c r="X9121">
        <v>466</v>
      </c>
      <c r="Y9121">
        <v>0</v>
      </c>
      <c r="Z9121">
        <v>466</v>
      </c>
      <c r="AA9121">
        <v>0</v>
      </c>
      <c r="AB9121">
        <v>46.241300000000003</v>
      </c>
      <c r="AC9121">
        <v>8.9044529999999997E-3</v>
      </c>
      <c r="AD9121">
        <v>3.1451600000000002</v>
      </c>
      <c r="AE9121">
        <v>0.2087676</v>
      </c>
      <c r="AF9121">
        <v>222.7491</v>
      </c>
      <c r="AG9121">
        <f>IFERROR(AH9121*0.1, "N/A")</f>
        <v>6.1000000000000005</v>
      </c>
      <c r="AH9121">
        <v>61</v>
      </c>
      <c r="AI9121">
        <v>224.1283</v>
      </c>
      <c r="AJ9121">
        <v>28.06794</v>
      </c>
      <c r="AK9121">
        <v>59.874560000000002</v>
      </c>
    </row>
    <row r="9122" spans="1:37" x14ac:dyDescent="0.3">
      <c r="A9122">
        <v>9121</v>
      </c>
      <c r="B9122">
        <v>2.4</v>
      </c>
      <c r="C9122">
        <v>13.500500000000001</v>
      </c>
      <c r="D9122">
        <v>-5.8373100000000004</v>
      </c>
      <c r="E9122" t="s">
        <v>13867</v>
      </c>
      <c r="F9122" t="s">
        <v>13868</v>
      </c>
      <c r="G9122" t="s">
        <v>39</v>
      </c>
      <c r="H9122">
        <v>1995</v>
      </c>
      <c r="I9122">
        <v>27.415179999999999</v>
      </c>
      <c r="J9122">
        <v>6.8</v>
      </c>
      <c r="K9122">
        <v>51</v>
      </c>
      <c r="L9122">
        <v>19.62012</v>
      </c>
      <c r="M9122">
        <v>33.310119999999998</v>
      </c>
      <c r="N9122">
        <v>20.105060000000002</v>
      </c>
      <c r="O9122">
        <v>13.20506</v>
      </c>
      <c r="P9122">
        <v>29.310120000000001</v>
      </c>
      <c r="Q9122">
        <v>24.50506</v>
      </c>
      <c r="R9122">
        <v>29.310120000000001</v>
      </c>
      <c r="S9122">
        <v>24.50506</v>
      </c>
      <c r="T9122">
        <v>981.44330000000002</v>
      </c>
      <c r="U9122">
        <v>199.89879999999999</v>
      </c>
      <c r="V9122">
        <v>0</v>
      </c>
      <c r="W9122">
        <v>83</v>
      </c>
      <c r="X9122">
        <v>448.64569999999998</v>
      </c>
      <c r="Y9122">
        <v>0</v>
      </c>
      <c r="Z9122">
        <v>448.64569999999998</v>
      </c>
      <c r="AA9122">
        <v>0</v>
      </c>
      <c r="AB9122">
        <v>21.63298</v>
      </c>
      <c r="AC9122">
        <v>1.1428270000000001E-2</v>
      </c>
      <c r="AD9122">
        <v>6.3031779999999999</v>
      </c>
      <c r="AE9122">
        <v>0.39306380000000002</v>
      </c>
      <c r="AF9122">
        <v>77.28098</v>
      </c>
      <c r="AG9122">
        <f>IFERROR(AH9122*0.1, "N/A")</f>
        <v>5.7</v>
      </c>
      <c r="AH9122">
        <v>57</v>
      </c>
      <c r="AI9122">
        <v>244.89330000000001</v>
      </c>
      <c r="AJ9122">
        <v>32.050609999999999</v>
      </c>
      <c r="AK9122">
        <v>48.898780000000002</v>
      </c>
    </row>
    <row r="9123" spans="1:37" x14ac:dyDescent="0.3">
      <c r="A9123">
        <v>9122</v>
      </c>
      <c r="B9123">
        <v>1</v>
      </c>
      <c r="C9123">
        <v>13.500500000000001</v>
      </c>
      <c r="D9123">
        <v>-5.8373100000000004</v>
      </c>
      <c r="E9123" t="s">
        <v>13867</v>
      </c>
      <c r="F9123" t="s">
        <v>13869</v>
      </c>
      <c r="G9123" t="s">
        <v>37</v>
      </c>
      <c r="H9123">
        <v>1995</v>
      </c>
      <c r="I9123">
        <v>27.415179999999999</v>
      </c>
      <c r="J9123">
        <v>6.8</v>
      </c>
      <c r="K9123">
        <v>51</v>
      </c>
      <c r="L9123">
        <v>19.62012</v>
      </c>
      <c r="M9123">
        <v>33.310119999999998</v>
      </c>
      <c r="N9123">
        <v>20.105060000000002</v>
      </c>
      <c r="O9123">
        <v>13.20506</v>
      </c>
      <c r="P9123">
        <v>29.310120000000001</v>
      </c>
      <c r="Q9123">
        <v>24.50506</v>
      </c>
      <c r="R9123">
        <v>29.310120000000001</v>
      </c>
      <c r="S9123">
        <v>24.50506</v>
      </c>
      <c r="T9123">
        <v>981.44330000000002</v>
      </c>
      <c r="U9123">
        <v>199.89879999999999</v>
      </c>
      <c r="V9123">
        <v>0</v>
      </c>
      <c r="W9123">
        <v>83</v>
      </c>
      <c r="X9123">
        <v>448.64569999999998</v>
      </c>
      <c r="Y9123">
        <v>0</v>
      </c>
      <c r="Z9123">
        <v>448.64569999999998</v>
      </c>
      <c r="AA9123">
        <v>0</v>
      </c>
      <c r="AB9123">
        <v>21.63298</v>
      </c>
      <c r="AC9123">
        <v>1.1428270000000001E-2</v>
      </c>
      <c r="AD9123">
        <v>6.3031779999999999</v>
      </c>
      <c r="AE9123">
        <v>0.39306380000000002</v>
      </c>
      <c r="AF9123">
        <v>77.28098</v>
      </c>
      <c r="AG9123">
        <f>IFERROR(AH9123*0.1, "N/A")</f>
        <v>5.7</v>
      </c>
      <c r="AH9123">
        <v>57</v>
      </c>
      <c r="AI9123">
        <v>244.89330000000001</v>
      </c>
      <c r="AJ9123">
        <v>32.050609999999999</v>
      </c>
      <c r="AK9123">
        <v>48.898780000000002</v>
      </c>
    </row>
    <row r="9124" spans="1:37" x14ac:dyDescent="0.3">
      <c r="A9124">
        <v>9123</v>
      </c>
      <c r="B9124">
        <v>9.5</v>
      </c>
      <c r="C9124">
        <v>14.216699999999999</v>
      </c>
      <c r="D9124">
        <v>-5.85</v>
      </c>
      <c r="E9124" t="s">
        <v>13870</v>
      </c>
      <c r="F9124" t="s">
        <v>13871</v>
      </c>
      <c r="G9124" t="s">
        <v>39</v>
      </c>
      <c r="H9124">
        <v>1995</v>
      </c>
      <c r="I9124">
        <v>24.298079999999999</v>
      </c>
      <c r="J9124">
        <v>8.1475530000000003</v>
      </c>
      <c r="K9124">
        <v>58.110140000000001</v>
      </c>
      <c r="L9124">
        <v>17.79383</v>
      </c>
      <c r="M9124">
        <v>30.534610000000001</v>
      </c>
      <c r="N9124">
        <v>16.680070000000001</v>
      </c>
      <c r="O9124">
        <v>13.85455</v>
      </c>
      <c r="P9124">
        <v>25.950520000000001</v>
      </c>
      <c r="Q9124">
        <v>21.59808</v>
      </c>
      <c r="R9124">
        <v>25.950520000000001</v>
      </c>
      <c r="S9124">
        <v>21.59808</v>
      </c>
      <c r="T9124">
        <v>1200.876</v>
      </c>
      <c r="U9124">
        <v>241.9563</v>
      </c>
      <c r="V9124">
        <v>0</v>
      </c>
      <c r="W9124">
        <v>80.159090000000006</v>
      </c>
      <c r="X9124">
        <v>522.77800000000002</v>
      </c>
      <c r="Y9124">
        <v>2.1853150000000001</v>
      </c>
      <c r="Z9124">
        <v>522.77800000000002</v>
      </c>
      <c r="AA9124">
        <v>2.1853150000000001</v>
      </c>
      <c r="AB9124">
        <v>14.984780000000001</v>
      </c>
      <c r="AC9124">
        <v>4.4320169999999999E-2</v>
      </c>
      <c r="AD9124">
        <v>2.5063719999999998</v>
      </c>
      <c r="AE9124">
        <v>0.1518255</v>
      </c>
      <c r="AF9124">
        <v>361.46679999999998</v>
      </c>
      <c r="AG9124">
        <f>IFERROR(AH9124*0.1, "N/A")</f>
        <v>5.4461539999999999</v>
      </c>
      <c r="AH9124">
        <v>54.461539999999999</v>
      </c>
      <c r="AI9124">
        <v>163.143</v>
      </c>
      <c r="AJ9124">
        <v>31.524480000000001</v>
      </c>
      <c r="AK9124">
        <v>49.027970000000003</v>
      </c>
    </row>
    <row r="9125" spans="1:37" x14ac:dyDescent="0.3">
      <c r="A9125">
        <v>9124</v>
      </c>
      <c r="B9125">
        <v>21.5</v>
      </c>
      <c r="C9125">
        <v>14.216699999999999</v>
      </c>
      <c r="D9125">
        <v>-5.85</v>
      </c>
      <c r="E9125" t="s">
        <v>13870</v>
      </c>
      <c r="F9125" t="s">
        <v>13872</v>
      </c>
      <c r="G9125" t="s">
        <v>37</v>
      </c>
      <c r="H9125">
        <v>1995</v>
      </c>
      <c r="I9125">
        <v>24.298079999999999</v>
      </c>
      <c r="J9125">
        <v>8.1475530000000003</v>
      </c>
      <c r="K9125">
        <v>58.110140000000001</v>
      </c>
      <c r="L9125">
        <v>17.79383</v>
      </c>
      <c r="M9125">
        <v>30.534610000000001</v>
      </c>
      <c r="N9125">
        <v>16.680070000000001</v>
      </c>
      <c r="O9125">
        <v>13.85455</v>
      </c>
      <c r="P9125">
        <v>25.950520000000001</v>
      </c>
      <c r="Q9125">
        <v>21.59808</v>
      </c>
      <c r="R9125">
        <v>25.950520000000001</v>
      </c>
      <c r="S9125">
        <v>21.59808</v>
      </c>
      <c r="T9125">
        <v>1200.876</v>
      </c>
      <c r="U9125">
        <v>241.9563</v>
      </c>
      <c r="V9125">
        <v>0</v>
      </c>
      <c r="W9125">
        <v>80.159090000000006</v>
      </c>
      <c r="X9125">
        <v>522.77800000000002</v>
      </c>
      <c r="Y9125">
        <v>2.1853150000000001</v>
      </c>
      <c r="Z9125">
        <v>522.77800000000002</v>
      </c>
      <c r="AA9125">
        <v>2.1853150000000001</v>
      </c>
      <c r="AB9125">
        <v>14.984780000000001</v>
      </c>
      <c r="AC9125">
        <v>4.4320169999999999E-2</v>
      </c>
      <c r="AD9125">
        <v>2.5063719999999998</v>
      </c>
      <c r="AE9125">
        <v>0.1518255</v>
      </c>
      <c r="AF9125">
        <v>361.46679999999998</v>
      </c>
      <c r="AG9125">
        <f>IFERROR(AH9125*0.1, "N/A")</f>
        <v>5.4461539999999999</v>
      </c>
      <c r="AH9125">
        <v>54.461539999999999</v>
      </c>
      <c r="AI9125">
        <v>163.143</v>
      </c>
      <c r="AJ9125">
        <v>31.524480000000001</v>
      </c>
      <c r="AK9125">
        <v>49.027970000000003</v>
      </c>
    </row>
    <row r="9126" spans="1:37" x14ac:dyDescent="0.3">
      <c r="A9126">
        <v>9125</v>
      </c>
      <c r="B9126">
        <v>3.6</v>
      </c>
      <c r="C9126">
        <v>14.5715</v>
      </c>
      <c r="D9126">
        <v>-5.8589200000000003</v>
      </c>
      <c r="E9126" t="s">
        <v>13873</v>
      </c>
      <c r="F9126" t="s">
        <v>13874</v>
      </c>
      <c r="G9126" t="s">
        <v>39</v>
      </c>
      <c r="H9126">
        <v>1995</v>
      </c>
      <c r="I9126">
        <v>24.2</v>
      </c>
      <c r="J9126">
        <v>8.9</v>
      </c>
      <c r="K9126">
        <v>62</v>
      </c>
      <c r="L9126">
        <v>16.559999999999999</v>
      </c>
      <c r="M9126">
        <v>30.5</v>
      </c>
      <c r="N9126">
        <v>16.2</v>
      </c>
      <c r="O9126">
        <v>14.3</v>
      </c>
      <c r="P9126">
        <v>25.7</v>
      </c>
      <c r="Q9126">
        <v>21.6</v>
      </c>
      <c r="R9126">
        <v>25.7</v>
      </c>
      <c r="S9126">
        <v>21.6</v>
      </c>
      <c r="T9126">
        <v>1265</v>
      </c>
      <c r="U9126">
        <v>250</v>
      </c>
      <c r="V9126">
        <v>0</v>
      </c>
      <c r="W9126">
        <v>78</v>
      </c>
      <c r="X9126">
        <v>540</v>
      </c>
      <c r="Y9126">
        <v>4</v>
      </c>
      <c r="Z9126">
        <v>540</v>
      </c>
      <c r="AA9126">
        <v>4</v>
      </c>
      <c r="AB9126">
        <v>27.117000000000001</v>
      </c>
      <c r="AC9126">
        <v>8.5338830000000008E-3</v>
      </c>
      <c r="AD9126">
        <v>3.587135</v>
      </c>
      <c r="AE9126">
        <v>0.1499385</v>
      </c>
      <c r="AF9126">
        <v>482.32400000000001</v>
      </c>
      <c r="AG9126">
        <f>IFERROR(AH9126*0.1, "N/A")</f>
        <v>5.1572680000000002</v>
      </c>
      <c r="AH9126">
        <v>51.572679999999998</v>
      </c>
      <c r="AI9126">
        <v>107.65519999999999</v>
      </c>
      <c r="AJ9126">
        <v>35.001750000000001</v>
      </c>
      <c r="AK9126">
        <v>49.576180000000001</v>
      </c>
    </row>
    <row r="9127" spans="1:37" x14ac:dyDescent="0.3">
      <c r="A9127">
        <v>9126</v>
      </c>
      <c r="B9127">
        <v>89.1</v>
      </c>
      <c r="C9127">
        <v>14.5715</v>
      </c>
      <c r="D9127">
        <v>-5.8589200000000003</v>
      </c>
      <c r="E9127" t="s">
        <v>13873</v>
      </c>
      <c r="F9127" t="s">
        <v>13875</v>
      </c>
      <c r="G9127" t="s">
        <v>37</v>
      </c>
      <c r="H9127">
        <v>1995</v>
      </c>
      <c r="I9127">
        <v>24.2</v>
      </c>
      <c r="J9127">
        <v>8.9</v>
      </c>
      <c r="K9127">
        <v>62</v>
      </c>
      <c r="L9127">
        <v>16.559999999999999</v>
      </c>
      <c r="M9127">
        <v>30.5</v>
      </c>
      <c r="N9127">
        <v>16.2</v>
      </c>
      <c r="O9127">
        <v>14.3</v>
      </c>
      <c r="P9127">
        <v>25.7</v>
      </c>
      <c r="Q9127">
        <v>21.6</v>
      </c>
      <c r="R9127">
        <v>25.7</v>
      </c>
      <c r="S9127">
        <v>21.6</v>
      </c>
      <c r="T9127">
        <v>1265</v>
      </c>
      <c r="U9127">
        <v>250</v>
      </c>
      <c r="V9127">
        <v>0</v>
      </c>
      <c r="W9127">
        <v>78</v>
      </c>
      <c r="X9127">
        <v>540</v>
      </c>
      <c r="Y9127">
        <v>4</v>
      </c>
      <c r="Z9127">
        <v>540</v>
      </c>
      <c r="AA9127">
        <v>4</v>
      </c>
      <c r="AB9127">
        <v>27.117000000000001</v>
      </c>
      <c r="AC9127">
        <v>8.5338830000000008E-3</v>
      </c>
      <c r="AD9127">
        <v>3.587135</v>
      </c>
      <c r="AE9127">
        <v>0.1499385</v>
      </c>
      <c r="AF9127">
        <v>482.32400000000001</v>
      </c>
      <c r="AG9127">
        <f>IFERROR(AH9127*0.1, "N/A")</f>
        <v>5.1572680000000002</v>
      </c>
      <c r="AH9127">
        <v>51.572679999999998</v>
      </c>
      <c r="AI9127">
        <v>107.65519999999999</v>
      </c>
      <c r="AJ9127">
        <v>35.001750000000001</v>
      </c>
      <c r="AK9127">
        <v>49.576180000000001</v>
      </c>
    </row>
    <row r="9128" spans="1:37" x14ac:dyDescent="0.3">
      <c r="A9128">
        <v>9127</v>
      </c>
      <c r="B9128">
        <v>7.7</v>
      </c>
      <c r="C9128">
        <v>14.533300000000001</v>
      </c>
      <c r="D9128">
        <v>-5.8666700000000001</v>
      </c>
      <c r="E9128" t="s">
        <v>13876</v>
      </c>
      <c r="F9128" t="s">
        <v>13877</v>
      </c>
      <c r="G9128" t="s">
        <v>39</v>
      </c>
      <c r="H9128">
        <v>1995</v>
      </c>
      <c r="I9128">
        <v>23.71463</v>
      </c>
      <c r="J9128">
        <v>8.8808360000000004</v>
      </c>
      <c r="K9128">
        <v>61.80836</v>
      </c>
      <c r="L9128">
        <v>16.450109999999999</v>
      </c>
      <c r="M9128">
        <v>30.073689999999999</v>
      </c>
      <c r="N9128">
        <v>15.81864</v>
      </c>
      <c r="O9128">
        <v>14.255050000000001</v>
      </c>
      <c r="P9128">
        <v>25.21463</v>
      </c>
      <c r="Q9128">
        <v>21.173690000000001</v>
      </c>
      <c r="R9128">
        <v>25.21463</v>
      </c>
      <c r="S9128">
        <v>21.173690000000001</v>
      </c>
      <c r="T9128">
        <v>1278.481</v>
      </c>
      <c r="U9128">
        <v>249.7422</v>
      </c>
      <c r="V9128">
        <v>0</v>
      </c>
      <c r="W9128">
        <v>78</v>
      </c>
      <c r="X9128">
        <v>547.11149999999998</v>
      </c>
      <c r="Y9128">
        <v>4</v>
      </c>
      <c r="Z9128">
        <v>547.11149999999998</v>
      </c>
      <c r="AA9128">
        <v>4</v>
      </c>
      <c r="AB9128">
        <v>32.878019999999999</v>
      </c>
      <c r="AC9128">
        <v>1.2089280000000001E-2</v>
      </c>
      <c r="AD9128">
        <v>7.742998</v>
      </c>
      <c r="AE9128">
        <v>0.14760219999999999</v>
      </c>
      <c r="AF9128">
        <v>560.94770000000005</v>
      </c>
      <c r="AG9128">
        <f>IFERROR(AH9128*0.1, "N/A")</f>
        <v>5.3000000000000007</v>
      </c>
      <c r="AH9128">
        <v>53</v>
      </c>
      <c r="AI9128">
        <v>209.2208</v>
      </c>
      <c r="AJ9128">
        <v>32.574910000000003</v>
      </c>
      <c r="AK9128">
        <v>53.616720000000001</v>
      </c>
    </row>
    <row r="9129" spans="1:37" x14ac:dyDescent="0.3">
      <c r="A9129">
        <v>9128</v>
      </c>
      <c r="B9129">
        <v>52.9</v>
      </c>
      <c r="C9129">
        <v>14.533300000000001</v>
      </c>
      <c r="D9129">
        <v>-5.8666700000000001</v>
      </c>
      <c r="E9129" t="s">
        <v>13876</v>
      </c>
      <c r="F9129" t="s">
        <v>13878</v>
      </c>
      <c r="G9129" t="s">
        <v>37</v>
      </c>
      <c r="H9129">
        <v>1995</v>
      </c>
      <c r="I9129">
        <v>23.71463</v>
      </c>
      <c r="J9129">
        <v>8.8808360000000004</v>
      </c>
      <c r="K9129">
        <v>61.80836</v>
      </c>
      <c r="L9129">
        <v>16.450109999999999</v>
      </c>
      <c r="M9129">
        <v>30.073689999999999</v>
      </c>
      <c r="N9129">
        <v>15.81864</v>
      </c>
      <c r="O9129">
        <v>14.255050000000001</v>
      </c>
      <c r="P9129">
        <v>25.21463</v>
      </c>
      <c r="Q9129">
        <v>21.173690000000001</v>
      </c>
      <c r="R9129">
        <v>25.21463</v>
      </c>
      <c r="S9129">
        <v>21.173690000000001</v>
      </c>
      <c r="T9129">
        <v>1278.481</v>
      </c>
      <c r="U9129">
        <v>249.7422</v>
      </c>
      <c r="V9129">
        <v>0</v>
      </c>
      <c r="W9129">
        <v>78</v>
      </c>
      <c r="X9129">
        <v>547.11149999999998</v>
      </c>
      <c r="Y9129">
        <v>4</v>
      </c>
      <c r="Z9129">
        <v>547.11149999999998</v>
      </c>
      <c r="AA9129">
        <v>4</v>
      </c>
      <c r="AB9129">
        <v>32.878019999999999</v>
      </c>
      <c r="AC9129">
        <v>1.2089280000000001E-2</v>
      </c>
      <c r="AD9129">
        <v>7.742998</v>
      </c>
      <c r="AE9129">
        <v>0.14760219999999999</v>
      </c>
      <c r="AF9129">
        <v>560.94770000000005</v>
      </c>
      <c r="AG9129">
        <f>IFERROR(AH9129*0.1, "N/A")</f>
        <v>5.3000000000000007</v>
      </c>
      <c r="AH9129">
        <v>53</v>
      </c>
      <c r="AI9129">
        <v>209.2208</v>
      </c>
      <c r="AJ9129">
        <v>32.574910000000003</v>
      </c>
      <c r="AK9129">
        <v>53.616720000000001</v>
      </c>
    </row>
    <row r="9130" spans="1:37" x14ac:dyDescent="0.3">
      <c r="A9130">
        <v>9129</v>
      </c>
      <c r="B9130">
        <v>46</v>
      </c>
      <c r="C9130">
        <v>26.9392</v>
      </c>
      <c r="D9130">
        <v>-10.9056</v>
      </c>
      <c r="E9130" t="s">
        <v>13879</v>
      </c>
      <c r="F9130" t="s">
        <v>13880</v>
      </c>
      <c r="G9130" t="s">
        <v>39</v>
      </c>
      <c r="H9130">
        <v>1969</v>
      </c>
      <c r="I9130">
        <v>20.9</v>
      </c>
      <c r="J9130">
        <v>14.2</v>
      </c>
      <c r="K9130">
        <v>58</v>
      </c>
      <c r="L9130">
        <v>22.69</v>
      </c>
      <c r="M9130">
        <v>31.8</v>
      </c>
      <c r="N9130">
        <v>7.4</v>
      </c>
      <c r="O9130">
        <v>24.4</v>
      </c>
      <c r="P9130">
        <v>22.2</v>
      </c>
      <c r="Q9130">
        <v>17.399999999999999</v>
      </c>
      <c r="R9130">
        <v>23</v>
      </c>
      <c r="S9130">
        <v>17.399999999999999</v>
      </c>
      <c r="T9130">
        <v>1141</v>
      </c>
      <c r="U9130">
        <v>220</v>
      </c>
      <c r="V9130">
        <v>0</v>
      </c>
      <c r="W9130">
        <v>97</v>
      </c>
      <c r="X9130">
        <v>632</v>
      </c>
      <c r="Y9130">
        <v>0</v>
      </c>
      <c r="Z9130">
        <v>451</v>
      </c>
      <c r="AA9130">
        <v>0</v>
      </c>
      <c r="AB9130">
        <v>2.0475249999999998</v>
      </c>
      <c r="AC9130">
        <v>0.39847399999999999</v>
      </c>
      <c r="AD9130">
        <v>1.828892</v>
      </c>
      <c r="AE9130">
        <v>0.53344619999999998</v>
      </c>
      <c r="AF9130">
        <v>1142.0809999999999</v>
      </c>
      <c r="AG9130">
        <f>IFERROR(AH9130*0.1, "N/A")</f>
        <v>5.6397940000000002</v>
      </c>
      <c r="AH9130">
        <v>56.397939999999998</v>
      </c>
      <c r="AI9130">
        <v>142.17490000000001</v>
      </c>
      <c r="AJ9130">
        <v>27</v>
      </c>
      <c r="AK9130">
        <v>58.801029999999997</v>
      </c>
    </row>
    <row r="9131" spans="1:37" x14ac:dyDescent="0.3">
      <c r="A9131">
        <v>9130</v>
      </c>
      <c r="B9131">
        <v>7</v>
      </c>
      <c r="C9131">
        <v>26.953700000000001</v>
      </c>
      <c r="D9131">
        <v>-10.9399</v>
      </c>
      <c r="E9131" t="s">
        <v>13881</v>
      </c>
      <c r="F9131" t="s">
        <v>13882</v>
      </c>
      <c r="G9131" t="s">
        <v>39</v>
      </c>
      <c r="H9131">
        <v>1969</v>
      </c>
      <c r="I9131">
        <v>20.9</v>
      </c>
      <c r="J9131">
        <v>14.2</v>
      </c>
      <c r="K9131">
        <v>57</v>
      </c>
      <c r="L9131">
        <v>23.04</v>
      </c>
      <c r="M9131">
        <v>31.8</v>
      </c>
      <c r="N9131">
        <v>7.3</v>
      </c>
      <c r="O9131">
        <v>24.5</v>
      </c>
      <c r="P9131">
        <v>22.2</v>
      </c>
      <c r="Q9131">
        <v>17.3</v>
      </c>
      <c r="R9131">
        <v>23</v>
      </c>
      <c r="S9131">
        <v>17.3</v>
      </c>
      <c r="T9131">
        <v>1146</v>
      </c>
      <c r="U9131">
        <v>222</v>
      </c>
      <c r="V9131">
        <v>0</v>
      </c>
      <c r="W9131">
        <v>98</v>
      </c>
      <c r="X9131">
        <v>638</v>
      </c>
      <c r="Y9131">
        <v>0</v>
      </c>
      <c r="Z9131">
        <v>452</v>
      </c>
      <c r="AA9131">
        <v>0</v>
      </c>
      <c r="AB9131">
        <v>28.971039999999999</v>
      </c>
      <c r="AC9131">
        <v>8.9130830000000005E-3</v>
      </c>
      <c r="AD9131">
        <v>1.9204319999999999</v>
      </c>
      <c r="AE9131">
        <v>0.78758790000000001</v>
      </c>
      <c r="AF9131">
        <v>1159.979</v>
      </c>
      <c r="AG9131">
        <f>IFERROR(AH9131*0.1, "N/A")</f>
        <v>6.1320210000000008</v>
      </c>
      <c r="AH9131">
        <v>61.320210000000003</v>
      </c>
      <c r="AI9131">
        <v>144.58269999999999</v>
      </c>
      <c r="AJ9131">
        <v>26.679790000000001</v>
      </c>
      <c r="AK9131">
        <v>59.320210000000003</v>
      </c>
    </row>
    <row r="9132" spans="1:37" x14ac:dyDescent="0.3">
      <c r="A9132">
        <v>9131</v>
      </c>
      <c r="B9132">
        <v>59</v>
      </c>
      <c r="C9132">
        <v>26.949100000000001</v>
      </c>
      <c r="D9132">
        <v>-10.962</v>
      </c>
      <c r="E9132" t="s">
        <v>13883</v>
      </c>
      <c r="F9132" t="s">
        <v>13884</v>
      </c>
      <c r="G9132" t="s">
        <v>39</v>
      </c>
      <c r="H9132">
        <v>1969</v>
      </c>
      <c r="I9132">
        <v>20.8</v>
      </c>
      <c r="J9132">
        <v>14.2</v>
      </c>
      <c r="K9132">
        <v>57</v>
      </c>
      <c r="L9132">
        <v>23.11</v>
      </c>
      <c r="M9132">
        <v>31.7</v>
      </c>
      <c r="N9132">
        <v>7.2</v>
      </c>
      <c r="O9132">
        <v>24.5</v>
      </c>
      <c r="P9132">
        <v>22.1</v>
      </c>
      <c r="Q9132">
        <v>17.2</v>
      </c>
      <c r="R9132">
        <v>22.9</v>
      </c>
      <c r="S9132">
        <v>17.2</v>
      </c>
      <c r="T9132">
        <v>1153</v>
      </c>
      <c r="U9132">
        <v>224</v>
      </c>
      <c r="V9132">
        <v>0</v>
      </c>
      <c r="W9132">
        <v>97</v>
      </c>
      <c r="X9132">
        <v>643</v>
      </c>
      <c r="Y9132">
        <v>0</v>
      </c>
      <c r="Z9132">
        <v>455</v>
      </c>
      <c r="AA9132">
        <v>0</v>
      </c>
      <c r="AB9132">
        <v>22.820979999999999</v>
      </c>
      <c r="AC9132">
        <v>6.127407E-2</v>
      </c>
      <c r="AD9132">
        <v>1.4812129999999999</v>
      </c>
      <c r="AE9132">
        <v>0.63447719999999996</v>
      </c>
      <c r="AF9132">
        <v>1157.77</v>
      </c>
      <c r="AG9132">
        <f>IFERROR(AH9132*0.1, "N/A")</f>
        <v>5.5975950000000001</v>
      </c>
      <c r="AH9132">
        <v>55.975949999999997</v>
      </c>
      <c r="AI9132">
        <v>66.267560000000003</v>
      </c>
      <c r="AJ9132">
        <v>30</v>
      </c>
      <c r="AK9132">
        <v>51.048110000000001</v>
      </c>
    </row>
    <row r="9133" spans="1:37" x14ac:dyDescent="0.3">
      <c r="A9133">
        <v>9132</v>
      </c>
      <c r="B9133">
        <v>5.3</v>
      </c>
      <c r="C9133">
        <v>26.954799999999999</v>
      </c>
      <c r="D9133">
        <v>-10.9864</v>
      </c>
      <c r="E9133" t="s">
        <v>13885</v>
      </c>
      <c r="F9133" t="s">
        <v>13886</v>
      </c>
      <c r="G9133" t="s">
        <v>39</v>
      </c>
      <c r="H9133">
        <v>1970</v>
      </c>
      <c r="I9133">
        <v>21</v>
      </c>
      <c r="J9133">
        <v>14.3</v>
      </c>
      <c r="K9133">
        <v>58</v>
      </c>
      <c r="L9133">
        <v>23.14</v>
      </c>
      <c r="M9133">
        <v>31.9</v>
      </c>
      <c r="N9133">
        <v>7.3</v>
      </c>
      <c r="O9133">
        <v>24.6</v>
      </c>
      <c r="P9133">
        <v>22.3</v>
      </c>
      <c r="Q9133">
        <v>17.399999999999999</v>
      </c>
      <c r="R9133">
        <v>23.1</v>
      </c>
      <c r="S9133">
        <v>17.399999999999999</v>
      </c>
      <c r="T9133">
        <v>1147</v>
      </c>
      <c r="U9133">
        <v>223</v>
      </c>
      <c r="V9133">
        <v>0</v>
      </c>
      <c r="W9133">
        <v>98</v>
      </c>
      <c r="X9133">
        <v>642</v>
      </c>
      <c r="Y9133">
        <v>0</v>
      </c>
      <c r="Z9133">
        <v>451</v>
      </c>
      <c r="AA9133">
        <v>0</v>
      </c>
      <c r="AB9133">
        <v>3.7998829999999999</v>
      </c>
      <c r="AC9133">
        <v>8.3942589999999994E-3</v>
      </c>
      <c r="AD9133">
        <v>1.0711349999999999</v>
      </c>
      <c r="AE9133">
        <v>0.40633190000000002</v>
      </c>
      <c r="AF9133">
        <v>1132.509</v>
      </c>
      <c r="AG9133">
        <f>IFERROR(AH9133*0.1, "N/A")</f>
        <v>5.7512819999999998</v>
      </c>
      <c r="AH9133">
        <v>57.512819999999998</v>
      </c>
      <c r="AI9133">
        <v>108.96299999999999</v>
      </c>
      <c r="AJ9133">
        <v>26.538460000000001</v>
      </c>
      <c r="AK9133">
        <v>57.487180000000002</v>
      </c>
    </row>
    <row r="9134" spans="1:37" x14ac:dyDescent="0.3">
      <c r="A9134">
        <v>9133</v>
      </c>
      <c r="B9134">
        <v>6.2</v>
      </c>
      <c r="C9134">
        <v>26.954799999999999</v>
      </c>
      <c r="D9134">
        <v>-10.9864</v>
      </c>
      <c r="E9134" t="s">
        <v>13885</v>
      </c>
      <c r="F9134" t="s">
        <v>13887</v>
      </c>
      <c r="G9134" t="s">
        <v>37</v>
      </c>
      <c r="H9134">
        <v>1970</v>
      </c>
      <c r="I9134">
        <v>21</v>
      </c>
      <c r="J9134">
        <v>14.3</v>
      </c>
      <c r="K9134">
        <v>58</v>
      </c>
      <c r="L9134">
        <v>23.14</v>
      </c>
      <c r="M9134">
        <v>31.9</v>
      </c>
      <c r="N9134">
        <v>7.3</v>
      </c>
      <c r="O9134">
        <v>24.6</v>
      </c>
      <c r="P9134">
        <v>22.3</v>
      </c>
      <c r="Q9134">
        <v>17.399999999999999</v>
      </c>
      <c r="R9134">
        <v>23.1</v>
      </c>
      <c r="S9134">
        <v>17.399999999999999</v>
      </c>
      <c r="T9134">
        <v>1147</v>
      </c>
      <c r="U9134">
        <v>223</v>
      </c>
      <c r="V9134">
        <v>0</v>
      </c>
      <c r="W9134">
        <v>98</v>
      </c>
      <c r="X9134">
        <v>642</v>
      </c>
      <c r="Y9134">
        <v>0</v>
      </c>
      <c r="Z9134">
        <v>451</v>
      </c>
      <c r="AA9134">
        <v>0</v>
      </c>
      <c r="AB9134">
        <v>3.7998829999999999</v>
      </c>
      <c r="AC9134">
        <v>8.3942589999999994E-3</v>
      </c>
      <c r="AD9134">
        <v>1.0711349999999999</v>
      </c>
      <c r="AE9134">
        <v>0.40633190000000002</v>
      </c>
      <c r="AF9134">
        <v>1132.509</v>
      </c>
      <c r="AG9134">
        <f>IFERROR(AH9134*0.1, "N/A")</f>
        <v>5.7512819999999998</v>
      </c>
      <c r="AH9134">
        <v>57.512819999999998</v>
      </c>
      <c r="AI9134">
        <v>108.96299999999999</v>
      </c>
      <c r="AJ9134">
        <v>26.538460000000001</v>
      </c>
      <c r="AK9134">
        <v>57.487180000000002</v>
      </c>
    </row>
    <row r="9135" spans="1:37" x14ac:dyDescent="0.3">
      <c r="A9135">
        <v>9134</v>
      </c>
      <c r="B9135">
        <v>0.6</v>
      </c>
      <c r="C9135">
        <v>12.7279</v>
      </c>
      <c r="D9135">
        <v>-2.9655</v>
      </c>
      <c r="E9135" t="s">
        <v>13888</v>
      </c>
      <c r="F9135" t="s">
        <v>13889</v>
      </c>
      <c r="G9135" t="s">
        <v>39</v>
      </c>
      <c r="H9135">
        <v>1964</v>
      </c>
      <c r="I9135">
        <v>23.002459999999999</v>
      </c>
      <c r="J9135">
        <v>9.0987720000000003</v>
      </c>
      <c r="K9135">
        <v>66</v>
      </c>
      <c r="L9135">
        <v>13.917299999999999</v>
      </c>
      <c r="M9135">
        <v>29.50123</v>
      </c>
      <c r="N9135">
        <v>15.80246</v>
      </c>
      <c r="O9135">
        <v>13.69877</v>
      </c>
      <c r="P9135">
        <v>23.603680000000001</v>
      </c>
      <c r="Q9135">
        <v>20.80368</v>
      </c>
      <c r="R9135">
        <v>24.30246</v>
      </c>
      <c r="S9135">
        <v>20.80368</v>
      </c>
      <c r="T9135">
        <v>1696.779</v>
      </c>
      <c r="U9135">
        <v>330.97539999999998</v>
      </c>
      <c r="V9135">
        <v>0</v>
      </c>
      <c r="W9135">
        <v>76</v>
      </c>
      <c r="X9135">
        <v>728.93859999999995</v>
      </c>
      <c r="Y9135">
        <v>4</v>
      </c>
      <c r="Z9135">
        <v>651.90179999999998</v>
      </c>
      <c r="AA9135">
        <v>4</v>
      </c>
      <c r="AB9135">
        <v>59.451560000000001</v>
      </c>
      <c r="AC9135">
        <v>8.5366379999999992E-3</v>
      </c>
      <c r="AD9135">
        <v>2.9258829999999998</v>
      </c>
      <c r="AE9135">
        <v>0.60726139999999995</v>
      </c>
      <c r="AF9135">
        <v>499.04039999999998</v>
      </c>
      <c r="AG9135">
        <f>IFERROR(AH9135*0.1, "N/A")</f>
        <v>5.0085960000000007</v>
      </c>
      <c r="AH9135">
        <v>50.08596</v>
      </c>
      <c r="AI9135">
        <v>166.73249999999999</v>
      </c>
      <c r="AJ9135">
        <v>32.426319999999997</v>
      </c>
      <c r="AK9135">
        <v>51.675440000000002</v>
      </c>
    </row>
    <row r="9136" spans="1:37" x14ac:dyDescent="0.3">
      <c r="A9136">
        <v>9135</v>
      </c>
      <c r="B9136">
        <v>40</v>
      </c>
      <c r="C9136">
        <v>12.3065</v>
      </c>
      <c r="D9136">
        <v>-3.4766400000000002</v>
      </c>
      <c r="E9136" t="s">
        <v>13890</v>
      </c>
      <c r="F9136" t="s">
        <v>13891</v>
      </c>
      <c r="G9136" t="s">
        <v>39</v>
      </c>
      <c r="H9136">
        <v>1964</v>
      </c>
      <c r="I9136">
        <v>25.6</v>
      </c>
      <c r="J9136">
        <v>8.6</v>
      </c>
      <c r="K9136">
        <v>63</v>
      </c>
      <c r="L9136">
        <v>15.35</v>
      </c>
      <c r="M9136">
        <v>32</v>
      </c>
      <c r="N9136">
        <v>18.399999999999999</v>
      </c>
      <c r="O9136">
        <v>13.6</v>
      </c>
      <c r="P9136">
        <v>26.3</v>
      </c>
      <c r="Q9136">
        <v>23.2</v>
      </c>
      <c r="R9136">
        <v>27.1</v>
      </c>
      <c r="S9136">
        <v>23.2</v>
      </c>
      <c r="T9136">
        <v>1210</v>
      </c>
      <c r="U9136">
        <v>241</v>
      </c>
      <c r="V9136">
        <v>0</v>
      </c>
      <c r="W9136">
        <v>80</v>
      </c>
      <c r="X9136">
        <v>535</v>
      </c>
      <c r="Y9136">
        <v>0</v>
      </c>
      <c r="Z9136">
        <v>506</v>
      </c>
      <c r="AA9136">
        <v>0</v>
      </c>
      <c r="AB9136">
        <v>5.3625720000000001</v>
      </c>
      <c r="AC9136">
        <v>0.107458</v>
      </c>
      <c r="AD9136">
        <v>0.67463240000000002</v>
      </c>
      <c r="AE9136">
        <v>0.31459690000000001</v>
      </c>
      <c r="AF9136">
        <v>132.67490000000001</v>
      </c>
      <c r="AG9136">
        <f>IFERROR(AH9136*0.1, "N/A")</f>
        <v>5.7887520000000006</v>
      </c>
      <c r="AH9136">
        <v>57.887520000000002</v>
      </c>
      <c r="AI9136">
        <v>151.48259999999999</v>
      </c>
      <c r="AJ9136">
        <v>23.887519999999999</v>
      </c>
      <c r="AK9136">
        <v>59</v>
      </c>
    </row>
    <row r="9137" spans="1:37" x14ac:dyDescent="0.3">
      <c r="A9137">
        <v>9136</v>
      </c>
      <c r="B9137">
        <v>60</v>
      </c>
      <c r="C9137">
        <v>12.3383</v>
      </c>
      <c r="D9137">
        <v>-3.5536099999999999</v>
      </c>
      <c r="E9137" t="s">
        <v>13892</v>
      </c>
      <c r="F9137" t="s">
        <v>13893</v>
      </c>
      <c r="G9137" t="s">
        <v>39</v>
      </c>
      <c r="H9137">
        <v>1964</v>
      </c>
      <c r="I9137">
        <v>26</v>
      </c>
      <c r="J9137">
        <v>8.5</v>
      </c>
      <c r="K9137">
        <v>62</v>
      </c>
      <c r="L9137">
        <v>15.07</v>
      </c>
      <c r="M9137">
        <v>32.4</v>
      </c>
      <c r="N9137">
        <v>18.8</v>
      </c>
      <c r="O9137">
        <v>13.6</v>
      </c>
      <c r="P9137">
        <v>26.7</v>
      </c>
      <c r="Q9137">
        <v>23.6</v>
      </c>
      <c r="R9137">
        <v>27.4</v>
      </c>
      <c r="S9137">
        <v>23.6</v>
      </c>
      <c r="T9137">
        <v>1199</v>
      </c>
      <c r="U9137">
        <v>238</v>
      </c>
      <c r="V9137">
        <v>0</v>
      </c>
      <c r="W9137">
        <v>80</v>
      </c>
      <c r="X9137">
        <v>534</v>
      </c>
      <c r="Y9137">
        <v>1</v>
      </c>
      <c r="Z9137">
        <v>498</v>
      </c>
      <c r="AA9137">
        <v>1</v>
      </c>
      <c r="AB9137">
        <v>11.52782</v>
      </c>
      <c r="AC9137">
        <v>1.5816779999999999E-2</v>
      </c>
      <c r="AD9137">
        <v>2.2954750000000002</v>
      </c>
      <c r="AE9137">
        <v>0.1825621</v>
      </c>
      <c r="AF9137">
        <v>75.366200000000006</v>
      </c>
      <c r="AG9137">
        <f>IFERROR(AH9137*0.1, "N/A")</f>
        <v>5.8000000000000007</v>
      </c>
      <c r="AH9137">
        <v>58</v>
      </c>
      <c r="AI9137">
        <v>83.301069999999996</v>
      </c>
      <c r="AJ9137">
        <v>28</v>
      </c>
      <c r="AK9137">
        <v>48.021129999999999</v>
      </c>
    </row>
    <row r="9138" spans="1:37" x14ac:dyDescent="0.3">
      <c r="A9138">
        <v>9137</v>
      </c>
      <c r="B9138">
        <v>6.7</v>
      </c>
      <c r="C9138">
        <v>14.1431</v>
      </c>
      <c r="D9138">
        <v>-3.7319399999999998</v>
      </c>
      <c r="E9138" t="s">
        <v>13894</v>
      </c>
      <c r="F9138" t="s">
        <v>13895</v>
      </c>
      <c r="G9138" t="s">
        <v>39</v>
      </c>
      <c r="H9138">
        <v>1995</v>
      </c>
      <c r="I9138">
        <v>23.9</v>
      </c>
      <c r="J9138">
        <v>9</v>
      </c>
      <c r="K9138">
        <v>67</v>
      </c>
      <c r="L9138">
        <v>12.73</v>
      </c>
      <c r="M9138">
        <v>30.1</v>
      </c>
      <c r="N9138">
        <v>16.7</v>
      </c>
      <c r="O9138">
        <v>13.4</v>
      </c>
      <c r="P9138">
        <v>24.2</v>
      </c>
      <c r="Q9138">
        <v>21.8</v>
      </c>
      <c r="R9138">
        <v>25</v>
      </c>
      <c r="S9138">
        <v>21.8</v>
      </c>
      <c r="T9138">
        <v>1546</v>
      </c>
      <c r="U9138">
        <v>274</v>
      </c>
      <c r="V9138">
        <v>1</v>
      </c>
      <c r="W9138">
        <v>71</v>
      </c>
      <c r="X9138">
        <v>645</v>
      </c>
      <c r="Y9138">
        <v>6</v>
      </c>
      <c r="Z9138">
        <v>577</v>
      </c>
      <c r="AA9138">
        <v>6</v>
      </c>
      <c r="AB9138">
        <v>21.6616</v>
      </c>
      <c r="AC9138">
        <v>2.9092119999999999E-2</v>
      </c>
      <c r="AD9138">
        <v>3.7920289999999999</v>
      </c>
      <c r="AE9138">
        <v>0.43170550000000002</v>
      </c>
      <c r="AF9138">
        <v>470.91230000000002</v>
      </c>
      <c r="AG9138">
        <f>IFERROR(AH9138*0.1, "N/A")</f>
        <v>5.1928070000000002</v>
      </c>
      <c r="AH9138">
        <v>51.928069999999998</v>
      </c>
      <c r="AI9138">
        <v>192.25739999999999</v>
      </c>
      <c r="AJ9138">
        <v>34</v>
      </c>
      <c r="AK9138">
        <v>49.928069999999998</v>
      </c>
    </row>
    <row r="9139" spans="1:37" x14ac:dyDescent="0.3">
      <c r="A9139">
        <v>9138</v>
      </c>
      <c r="B9139">
        <v>15</v>
      </c>
      <c r="C9139">
        <v>12.465299999999999</v>
      </c>
      <c r="D9139">
        <v>-3.7455599999999998</v>
      </c>
      <c r="E9139" t="s">
        <v>13896</v>
      </c>
      <c r="F9139" t="s">
        <v>13897</v>
      </c>
      <c r="G9139" t="s">
        <v>39</v>
      </c>
      <c r="H9139">
        <v>1964</v>
      </c>
      <c r="I9139">
        <v>25.6</v>
      </c>
      <c r="J9139">
        <v>8.3000000000000007</v>
      </c>
      <c r="K9139">
        <v>61</v>
      </c>
      <c r="L9139">
        <v>15.33</v>
      </c>
      <c r="M9139">
        <v>32</v>
      </c>
      <c r="N9139">
        <v>18.600000000000001</v>
      </c>
      <c r="O9139">
        <v>13.4</v>
      </c>
      <c r="P9139">
        <v>26.3</v>
      </c>
      <c r="Q9139">
        <v>23.2</v>
      </c>
      <c r="R9139">
        <v>27.2</v>
      </c>
      <c r="S9139">
        <v>23.2</v>
      </c>
      <c r="T9139">
        <v>1239</v>
      </c>
      <c r="U9139">
        <v>244</v>
      </c>
      <c r="V9139">
        <v>0</v>
      </c>
      <c r="W9139">
        <v>79</v>
      </c>
      <c r="X9139">
        <v>556</v>
      </c>
      <c r="Y9139">
        <v>4</v>
      </c>
      <c r="Z9139">
        <v>511</v>
      </c>
      <c r="AA9139">
        <v>4</v>
      </c>
      <c r="AB9139">
        <v>9.0668980000000001</v>
      </c>
      <c r="AC9139">
        <v>1.8030930000000001E-2</v>
      </c>
      <c r="AD9139">
        <v>2.2273689999999999</v>
      </c>
      <c r="AE9139">
        <v>0.38146960000000002</v>
      </c>
      <c r="AF9139">
        <v>128.40280000000001</v>
      </c>
      <c r="AG9139">
        <f>IFERROR(AH9139*0.1, "N/A")</f>
        <v>5.8000000000000007</v>
      </c>
      <c r="AH9139">
        <v>58</v>
      </c>
      <c r="AI9139">
        <v>36.859610000000004</v>
      </c>
      <c r="AJ9139">
        <v>27</v>
      </c>
      <c r="AK9139">
        <v>54</v>
      </c>
    </row>
    <row r="9140" spans="1:37" x14ac:dyDescent="0.3">
      <c r="A9140">
        <v>9139</v>
      </c>
      <c r="B9140">
        <v>3.4</v>
      </c>
      <c r="C9140">
        <v>13.8483</v>
      </c>
      <c r="D9140">
        <v>-3.7976000000000001</v>
      </c>
      <c r="E9140" t="s">
        <v>13898</v>
      </c>
      <c r="F9140" t="s">
        <v>13899</v>
      </c>
      <c r="G9140" t="s">
        <v>39</v>
      </c>
      <c r="H9140">
        <v>1995</v>
      </c>
      <c r="I9140">
        <v>23.1</v>
      </c>
      <c r="J9140">
        <v>8.8000000000000007</v>
      </c>
      <c r="K9140">
        <v>66</v>
      </c>
      <c r="L9140">
        <v>13.24</v>
      </c>
      <c r="M9140">
        <v>29.3</v>
      </c>
      <c r="N9140">
        <v>16.100000000000001</v>
      </c>
      <c r="O9140">
        <v>13.2</v>
      </c>
      <c r="P9140">
        <v>23.5</v>
      </c>
      <c r="Q9140">
        <v>21</v>
      </c>
      <c r="R9140">
        <v>24.3</v>
      </c>
      <c r="S9140">
        <v>21</v>
      </c>
      <c r="T9140">
        <v>1491</v>
      </c>
      <c r="U9140">
        <v>272</v>
      </c>
      <c r="V9140">
        <v>1</v>
      </c>
      <c r="W9140">
        <v>72</v>
      </c>
      <c r="X9140">
        <v>636</v>
      </c>
      <c r="Y9140">
        <v>5</v>
      </c>
      <c r="Z9140">
        <v>562</v>
      </c>
      <c r="AA9140">
        <v>5</v>
      </c>
      <c r="AB9140">
        <v>28.992419999999999</v>
      </c>
      <c r="AC9140">
        <v>2.1233579999999998E-2</v>
      </c>
      <c r="AD9140">
        <v>1.502761</v>
      </c>
      <c r="AE9140">
        <v>0.65312939999999997</v>
      </c>
      <c r="AF9140">
        <v>539.83270000000005</v>
      </c>
      <c r="AG9140">
        <f>IFERROR(AH9140*0.1, "N/A")</f>
        <v>5.3000000000000007</v>
      </c>
      <c r="AH9140">
        <v>53</v>
      </c>
      <c r="AI9140">
        <v>154.30500000000001</v>
      </c>
      <c r="AJ9140">
        <v>36.017609999999998</v>
      </c>
      <c r="AK9140">
        <v>46.991199999999999</v>
      </c>
    </row>
    <row r="9141" spans="1:37" x14ac:dyDescent="0.3">
      <c r="A9141">
        <v>9140</v>
      </c>
      <c r="B9141">
        <v>10.7</v>
      </c>
      <c r="C9141">
        <v>14.0997</v>
      </c>
      <c r="D9141">
        <v>-3.80722</v>
      </c>
      <c r="E9141" t="s">
        <v>13900</v>
      </c>
      <c r="F9141" t="s">
        <v>13901</v>
      </c>
      <c r="G9141" t="s">
        <v>39</v>
      </c>
      <c r="H9141">
        <v>1995</v>
      </c>
      <c r="I9141">
        <v>23.55902</v>
      </c>
      <c r="J9141">
        <v>8.9</v>
      </c>
      <c r="K9141">
        <v>66</v>
      </c>
      <c r="L9141">
        <v>12.82419</v>
      </c>
      <c r="M9141">
        <v>29.859020000000001</v>
      </c>
      <c r="N9141">
        <v>16.53012</v>
      </c>
      <c r="O9141">
        <v>13.328900000000001</v>
      </c>
      <c r="P9141">
        <v>23.830120000000001</v>
      </c>
      <c r="Q9141">
        <v>21.460249999999998</v>
      </c>
      <c r="R9141">
        <v>24.75902</v>
      </c>
      <c r="S9141">
        <v>21.460249999999998</v>
      </c>
      <c r="T9141">
        <v>1516.625</v>
      </c>
      <c r="U9141">
        <v>271.39749999999998</v>
      </c>
      <c r="V9141">
        <v>1</v>
      </c>
      <c r="W9141">
        <v>71.987740000000002</v>
      </c>
      <c r="X9141">
        <v>636.48159999999996</v>
      </c>
      <c r="Y9141">
        <v>5</v>
      </c>
      <c r="Z9141">
        <v>568.46939999999995</v>
      </c>
      <c r="AA9141">
        <v>5</v>
      </c>
      <c r="AB9141">
        <v>68.298599999999993</v>
      </c>
      <c r="AC9141">
        <v>1.0082880000000001E-2</v>
      </c>
      <c r="AD9141">
        <v>1.8405469999999999</v>
      </c>
      <c r="AE9141">
        <v>0.55019439999999997</v>
      </c>
      <c r="AF9141">
        <v>519.63400000000001</v>
      </c>
      <c r="AG9141">
        <f>IFERROR(AH9141*0.1, "N/A")</f>
        <v>5.1000000000000005</v>
      </c>
      <c r="AH9141">
        <v>51</v>
      </c>
      <c r="AI9141">
        <v>64.350759999999994</v>
      </c>
      <c r="AJ9141">
        <v>30.795100000000001</v>
      </c>
      <c r="AK9141">
        <v>52.7986</v>
      </c>
    </row>
    <row r="9142" spans="1:37" x14ac:dyDescent="0.3">
      <c r="A9142">
        <v>9141</v>
      </c>
      <c r="B9142">
        <v>9.1999999999999993</v>
      </c>
      <c r="C9142">
        <v>14.064399999999999</v>
      </c>
      <c r="D9142">
        <v>-3.81833</v>
      </c>
      <c r="E9142" t="s">
        <v>13902</v>
      </c>
      <c r="F9142" t="s">
        <v>13903</v>
      </c>
      <c r="G9142" t="s">
        <v>39</v>
      </c>
      <c r="H9142">
        <v>1995</v>
      </c>
      <c r="I9142">
        <v>23.5</v>
      </c>
      <c r="J9142">
        <v>8.9</v>
      </c>
      <c r="K9142">
        <v>66</v>
      </c>
      <c r="L9142">
        <v>12.69</v>
      </c>
      <c r="M9142">
        <v>29.8</v>
      </c>
      <c r="N9142">
        <v>16.5</v>
      </c>
      <c r="O9142">
        <v>13.3</v>
      </c>
      <c r="P9142">
        <v>23.8</v>
      </c>
      <c r="Q9142">
        <v>21.5</v>
      </c>
      <c r="R9142">
        <v>24.7</v>
      </c>
      <c r="S9142">
        <v>21.5</v>
      </c>
      <c r="T9142">
        <v>1500</v>
      </c>
      <c r="U9142">
        <v>270</v>
      </c>
      <c r="V9142">
        <v>1</v>
      </c>
      <c r="W9142">
        <v>71</v>
      </c>
      <c r="X9142">
        <v>632</v>
      </c>
      <c r="Y9142">
        <v>5</v>
      </c>
      <c r="Z9142">
        <v>562</v>
      </c>
      <c r="AA9142">
        <v>5</v>
      </c>
      <c r="AB9142">
        <v>63.765610000000002</v>
      </c>
      <c r="AC9142">
        <v>1.3631860000000001E-2</v>
      </c>
      <c r="AD9142">
        <v>1.581834</v>
      </c>
      <c r="AE9142">
        <v>0.6332101</v>
      </c>
      <c r="AF9142">
        <v>508.33679999999998</v>
      </c>
      <c r="AG9142">
        <f>IFERROR(AH9142*0.1, "N/A")</f>
        <v>5.1056140000000001</v>
      </c>
      <c r="AH9142">
        <v>51.056139999999999</v>
      </c>
      <c r="AI9142">
        <v>170.88980000000001</v>
      </c>
      <c r="AJ9142">
        <v>27.740349999999999</v>
      </c>
      <c r="AK9142">
        <v>53.8386</v>
      </c>
    </row>
    <row r="9143" spans="1:37" x14ac:dyDescent="0.3">
      <c r="A9143">
        <v>9142</v>
      </c>
      <c r="B9143">
        <v>0</v>
      </c>
      <c r="C9143">
        <v>13.7883</v>
      </c>
      <c r="D9143">
        <v>-3.8966699999999999</v>
      </c>
      <c r="E9143" t="s">
        <v>13904</v>
      </c>
      <c r="F9143" t="s">
        <v>13905</v>
      </c>
      <c r="G9143" t="s">
        <v>39</v>
      </c>
      <c r="H9143">
        <v>1995</v>
      </c>
      <c r="I9143">
        <v>23.6</v>
      </c>
      <c r="J9143">
        <v>8.6999999999999993</v>
      </c>
      <c r="K9143">
        <v>65</v>
      </c>
      <c r="L9143">
        <v>13.75</v>
      </c>
      <c r="M9143">
        <v>29.9</v>
      </c>
      <c r="N9143">
        <v>16.600000000000001</v>
      </c>
      <c r="O9143">
        <v>13.3</v>
      </c>
      <c r="P9143">
        <v>24.1</v>
      </c>
      <c r="Q9143">
        <v>21.4</v>
      </c>
      <c r="R9143">
        <v>24.9</v>
      </c>
      <c r="S9143">
        <v>21.4</v>
      </c>
      <c r="T9143">
        <v>1394</v>
      </c>
      <c r="U9143">
        <v>257</v>
      </c>
      <c r="V9143">
        <v>1</v>
      </c>
      <c r="W9143">
        <v>73</v>
      </c>
      <c r="X9143">
        <v>597</v>
      </c>
      <c r="Y9143">
        <v>4</v>
      </c>
      <c r="Z9143">
        <v>527</v>
      </c>
      <c r="AA9143">
        <v>4</v>
      </c>
      <c r="AB9143">
        <v>130.57210000000001</v>
      </c>
      <c r="AC9143">
        <v>1.4707909999999999E-2</v>
      </c>
      <c r="AD9143">
        <v>13.104509999999999</v>
      </c>
      <c r="AE9143">
        <v>0.66272810000000004</v>
      </c>
      <c r="AF9143">
        <v>463.42809999999997</v>
      </c>
      <c r="AG9143">
        <f>IFERROR(AH9143*0.1, "N/A")</f>
        <v>5.1301750000000004</v>
      </c>
      <c r="AH9143">
        <v>51.301749999999998</v>
      </c>
      <c r="AI9143">
        <v>198.6987</v>
      </c>
      <c r="AJ9143">
        <v>37</v>
      </c>
      <c r="AK9143">
        <v>50.301749999999998</v>
      </c>
    </row>
    <row r="9144" spans="1:37" x14ac:dyDescent="0.3">
      <c r="A9144">
        <v>9143</v>
      </c>
      <c r="B9144">
        <v>16.7</v>
      </c>
      <c r="C9144">
        <v>14.128299999999999</v>
      </c>
      <c r="D9144">
        <v>-3.9338899999999999</v>
      </c>
      <c r="E9144" t="s">
        <v>13906</v>
      </c>
      <c r="F9144" t="s">
        <v>13907</v>
      </c>
      <c r="G9144" t="s">
        <v>39</v>
      </c>
      <c r="H9144">
        <v>1995</v>
      </c>
      <c r="I9144">
        <v>24.110330000000001</v>
      </c>
      <c r="J9144">
        <v>8.9</v>
      </c>
      <c r="K9144">
        <v>66</v>
      </c>
      <c r="L9144">
        <v>13.053100000000001</v>
      </c>
      <c r="M9144">
        <v>30.473559999999999</v>
      </c>
      <c r="N9144">
        <v>17.110330000000001</v>
      </c>
      <c r="O9144">
        <v>13.36322</v>
      </c>
      <c r="P9144">
        <v>24.473559999999999</v>
      </c>
      <c r="Q9144">
        <v>22.01033</v>
      </c>
      <c r="R9144">
        <v>25.373550000000002</v>
      </c>
      <c r="S9144">
        <v>22.01033</v>
      </c>
      <c r="T9144">
        <v>1427.587</v>
      </c>
      <c r="U9144">
        <v>258.26440000000002</v>
      </c>
      <c r="V9144">
        <v>0.63222420000000001</v>
      </c>
      <c r="W9144">
        <v>72</v>
      </c>
      <c r="X9144">
        <v>599.52890000000002</v>
      </c>
      <c r="Y9144">
        <v>4.2644479999999998</v>
      </c>
      <c r="Z9144">
        <v>538.16110000000003</v>
      </c>
      <c r="AA9144">
        <v>4.2644479999999998</v>
      </c>
      <c r="AB9144">
        <v>48.203159999999997</v>
      </c>
      <c r="AC9144">
        <v>1.000672E-2</v>
      </c>
      <c r="AD9144">
        <v>9.0180120000000006</v>
      </c>
      <c r="AE9144">
        <v>0.59722569999999997</v>
      </c>
      <c r="AF9144">
        <v>427.94569999999999</v>
      </c>
      <c r="AG9144">
        <f>IFERROR(AH9144*0.1, "N/A")</f>
        <v>5.1124340000000004</v>
      </c>
      <c r="AH9144">
        <v>51.124339999999997</v>
      </c>
      <c r="AI9144">
        <v>59.097340000000003</v>
      </c>
      <c r="AJ9144">
        <v>32.17163</v>
      </c>
      <c r="AK9144">
        <v>48.583190000000002</v>
      </c>
    </row>
    <row r="9145" spans="1:37" x14ac:dyDescent="0.3">
      <c r="A9145">
        <v>9144</v>
      </c>
      <c r="B9145">
        <v>13.5</v>
      </c>
      <c r="C9145">
        <v>12.8231</v>
      </c>
      <c r="D9145">
        <v>-3.9355600000000002</v>
      </c>
      <c r="E9145" t="s">
        <v>13908</v>
      </c>
      <c r="F9145" t="s">
        <v>13909</v>
      </c>
      <c r="G9145" t="s">
        <v>39</v>
      </c>
      <c r="H9145">
        <v>1995</v>
      </c>
      <c r="I9145">
        <v>25.7</v>
      </c>
      <c r="J9145">
        <v>8.3000000000000007</v>
      </c>
      <c r="K9145">
        <v>62</v>
      </c>
      <c r="L9145">
        <v>15.29</v>
      </c>
      <c r="M9145">
        <v>32</v>
      </c>
      <c r="N9145">
        <v>18.8</v>
      </c>
      <c r="O9145">
        <v>13.2</v>
      </c>
      <c r="P9145">
        <v>26.4</v>
      </c>
      <c r="Q9145">
        <v>23.3</v>
      </c>
      <c r="R9145">
        <v>27.2</v>
      </c>
      <c r="S9145">
        <v>23.3</v>
      </c>
      <c r="T9145">
        <v>1167</v>
      </c>
      <c r="U9145">
        <v>231</v>
      </c>
      <c r="V9145">
        <v>0</v>
      </c>
      <c r="W9145">
        <v>78</v>
      </c>
      <c r="X9145">
        <v>518</v>
      </c>
      <c r="Y9145">
        <v>3</v>
      </c>
      <c r="Z9145">
        <v>464</v>
      </c>
      <c r="AA9145">
        <v>3</v>
      </c>
      <c r="AB9145">
        <v>2.3203200000000002</v>
      </c>
      <c r="AC9145">
        <v>3.1513619999999999E-2</v>
      </c>
      <c r="AD9145">
        <v>0.91658649999999997</v>
      </c>
      <c r="AE9145">
        <v>0.60405279999999995</v>
      </c>
      <c r="AF9145">
        <v>142.60419999999999</v>
      </c>
      <c r="AG9145">
        <f>IFERROR(AH9145*0.1, "N/A")</f>
        <v>5.8845880000000008</v>
      </c>
      <c r="AH9145">
        <v>58.845880000000001</v>
      </c>
      <c r="AI9145">
        <v>56.151539999999997</v>
      </c>
      <c r="AJ9145">
        <v>24.154119999999999</v>
      </c>
      <c r="AK9145">
        <v>56.845880000000001</v>
      </c>
    </row>
    <row r="9146" spans="1:37" x14ac:dyDescent="0.3">
      <c r="A9146">
        <v>9145</v>
      </c>
      <c r="B9146">
        <v>7.1</v>
      </c>
      <c r="C9146">
        <v>13.89</v>
      </c>
      <c r="D9146">
        <v>-3.9527800000000002</v>
      </c>
      <c r="E9146" t="s">
        <v>13910</v>
      </c>
      <c r="F9146" t="s">
        <v>13911</v>
      </c>
      <c r="G9146" t="s">
        <v>39</v>
      </c>
      <c r="H9146">
        <v>1995</v>
      </c>
      <c r="I9146">
        <v>23.4</v>
      </c>
      <c r="J9146">
        <v>8.6999999999999993</v>
      </c>
      <c r="K9146">
        <v>66</v>
      </c>
      <c r="L9146">
        <v>13.17</v>
      </c>
      <c r="M9146">
        <v>29.7</v>
      </c>
      <c r="N9146">
        <v>16.600000000000001</v>
      </c>
      <c r="O9146">
        <v>13.1</v>
      </c>
      <c r="P9146">
        <v>23.7</v>
      </c>
      <c r="Q9146">
        <v>21.3</v>
      </c>
      <c r="R9146">
        <v>24.7</v>
      </c>
      <c r="S9146">
        <v>21.3</v>
      </c>
      <c r="T9146">
        <v>1386</v>
      </c>
      <c r="U9146">
        <v>256</v>
      </c>
      <c r="V9146">
        <v>1</v>
      </c>
      <c r="W9146">
        <v>73</v>
      </c>
      <c r="X9146">
        <v>595</v>
      </c>
      <c r="Y9146">
        <v>4</v>
      </c>
      <c r="Z9146">
        <v>519</v>
      </c>
      <c r="AA9146">
        <v>4</v>
      </c>
      <c r="AB9146">
        <v>70.87012</v>
      </c>
      <c r="AC9146">
        <v>1.0326429999999999E-2</v>
      </c>
      <c r="AD9146">
        <v>2.6604109999999999</v>
      </c>
      <c r="AE9146">
        <v>0.547597</v>
      </c>
      <c r="AF9146">
        <v>509.42529999999999</v>
      </c>
      <c r="AG9146">
        <f>IFERROR(AH9146*0.1, "N/A")</f>
        <v>5.301933</v>
      </c>
      <c r="AH9146">
        <v>53.019329999999997</v>
      </c>
      <c r="AI9146">
        <v>262.2312</v>
      </c>
      <c r="AJ9146">
        <v>40.221440000000001</v>
      </c>
      <c r="AK9146">
        <v>38.123019999999997</v>
      </c>
    </row>
    <row r="9147" spans="1:37" x14ac:dyDescent="0.3">
      <c r="A9147">
        <v>9146</v>
      </c>
      <c r="B9147">
        <v>0</v>
      </c>
      <c r="C9147">
        <v>13.964399999999999</v>
      </c>
      <c r="D9147">
        <v>-3.9558300000000002</v>
      </c>
      <c r="E9147" t="s">
        <v>13912</v>
      </c>
      <c r="F9147" t="s">
        <v>13913</v>
      </c>
      <c r="G9147" t="s">
        <v>39</v>
      </c>
      <c r="H9147">
        <v>1995</v>
      </c>
      <c r="I9147">
        <v>23.3</v>
      </c>
      <c r="J9147">
        <v>8.8000000000000007</v>
      </c>
      <c r="K9147">
        <v>66</v>
      </c>
      <c r="L9147">
        <v>12.88</v>
      </c>
      <c r="M9147">
        <v>29.6</v>
      </c>
      <c r="N9147">
        <v>16.399999999999999</v>
      </c>
      <c r="O9147">
        <v>13.2</v>
      </c>
      <c r="P9147">
        <v>23.6</v>
      </c>
      <c r="Q9147">
        <v>21.2</v>
      </c>
      <c r="R9147">
        <v>24.5</v>
      </c>
      <c r="S9147">
        <v>21.2</v>
      </c>
      <c r="T9147">
        <v>1416</v>
      </c>
      <c r="U9147">
        <v>260</v>
      </c>
      <c r="V9147">
        <v>1</v>
      </c>
      <c r="W9147">
        <v>72</v>
      </c>
      <c r="X9147">
        <v>604</v>
      </c>
      <c r="Y9147">
        <v>5</v>
      </c>
      <c r="Z9147">
        <v>531</v>
      </c>
      <c r="AA9147">
        <v>5</v>
      </c>
      <c r="AB9147">
        <v>58.853099999999998</v>
      </c>
      <c r="AC9147">
        <v>1.107578E-2</v>
      </c>
      <c r="AD9147">
        <v>1.6648540000000001</v>
      </c>
      <c r="AE9147">
        <v>0.58687959999999995</v>
      </c>
      <c r="AF9147">
        <v>528.97720000000004</v>
      </c>
      <c r="AG9147">
        <f>IFERROR(AH9147*0.1, "N/A")</f>
        <v>5.3977150000000007</v>
      </c>
      <c r="AH9147">
        <v>53.977150000000002</v>
      </c>
      <c r="AI9147">
        <v>174.1251</v>
      </c>
      <c r="AJ9147">
        <v>38.249560000000002</v>
      </c>
      <c r="AK9147">
        <v>40.38664</v>
      </c>
    </row>
    <row r="9148" spans="1:37" x14ac:dyDescent="0.3">
      <c r="A9148">
        <v>9147</v>
      </c>
      <c r="B9148">
        <v>3.9</v>
      </c>
      <c r="C9148">
        <v>13.851699999999999</v>
      </c>
      <c r="D9148">
        <v>-4.0011099999999997</v>
      </c>
      <c r="E9148" t="s">
        <v>13914</v>
      </c>
      <c r="F9148" t="s">
        <v>13915</v>
      </c>
      <c r="G9148" t="s">
        <v>39</v>
      </c>
      <c r="H9148">
        <v>1995</v>
      </c>
      <c r="I9148">
        <v>23.4</v>
      </c>
      <c r="J9148">
        <v>8.6999999999999993</v>
      </c>
      <c r="K9148">
        <v>65</v>
      </c>
      <c r="L9148">
        <v>13.31</v>
      </c>
      <c r="M9148">
        <v>29.7</v>
      </c>
      <c r="N9148">
        <v>16.5</v>
      </c>
      <c r="O9148">
        <v>13.2</v>
      </c>
      <c r="P9148">
        <v>23.7</v>
      </c>
      <c r="Q9148">
        <v>21.3</v>
      </c>
      <c r="R9148">
        <v>24.7</v>
      </c>
      <c r="S9148">
        <v>21.3</v>
      </c>
      <c r="T9148">
        <v>1363</v>
      </c>
      <c r="U9148">
        <v>252</v>
      </c>
      <c r="V9148">
        <v>1</v>
      </c>
      <c r="W9148">
        <v>74</v>
      </c>
      <c r="X9148">
        <v>585</v>
      </c>
      <c r="Y9148">
        <v>3</v>
      </c>
      <c r="Z9148">
        <v>514</v>
      </c>
      <c r="AA9148">
        <v>3</v>
      </c>
      <c r="AB9148">
        <v>149.82839999999999</v>
      </c>
      <c r="AC9148">
        <v>2.296426E-2</v>
      </c>
      <c r="AD9148">
        <v>3.1114350000000002</v>
      </c>
      <c r="AE9148">
        <v>0.63611910000000005</v>
      </c>
      <c r="AF9148">
        <v>517.33680000000004</v>
      </c>
      <c r="AG9148">
        <f>IFERROR(AH9148*0.1, "N/A")</f>
        <v>5.0108770000000007</v>
      </c>
      <c r="AH9148">
        <v>50.10877</v>
      </c>
      <c r="AI9148">
        <v>121.2222</v>
      </c>
      <c r="AJ9148">
        <v>38.129820000000002</v>
      </c>
      <c r="AK9148">
        <v>47.866669999999999</v>
      </c>
    </row>
    <row r="9149" spans="1:37" x14ac:dyDescent="0.3">
      <c r="A9149">
        <v>9148</v>
      </c>
      <c r="B9149">
        <v>5.8</v>
      </c>
      <c r="C9149">
        <v>13.935600000000001</v>
      </c>
      <c r="D9149">
        <v>-4.0350000000000001</v>
      </c>
      <c r="E9149" t="s">
        <v>13916</v>
      </c>
      <c r="F9149" t="s">
        <v>13917</v>
      </c>
      <c r="G9149" t="s">
        <v>39</v>
      </c>
      <c r="H9149">
        <v>1995</v>
      </c>
      <c r="I9149">
        <v>23.6</v>
      </c>
      <c r="J9149">
        <v>8.6999999999999993</v>
      </c>
      <c r="K9149">
        <v>66</v>
      </c>
      <c r="L9149">
        <v>13.11</v>
      </c>
      <c r="M9149">
        <v>29.9</v>
      </c>
      <c r="N9149">
        <v>16.8</v>
      </c>
      <c r="O9149">
        <v>13.1</v>
      </c>
      <c r="P9149">
        <v>23.9</v>
      </c>
      <c r="Q9149">
        <v>21.5</v>
      </c>
      <c r="R9149">
        <v>24.9</v>
      </c>
      <c r="S9149">
        <v>21.5</v>
      </c>
      <c r="T9149">
        <v>1356</v>
      </c>
      <c r="U9149">
        <v>250</v>
      </c>
      <c r="V9149">
        <v>1</v>
      </c>
      <c r="W9149">
        <v>73</v>
      </c>
      <c r="X9149">
        <v>580</v>
      </c>
      <c r="Y9149">
        <v>3</v>
      </c>
      <c r="Z9149">
        <v>512</v>
      </c>
      <c r="AA9149">
        <v>3</v>
      </c>
      <c r="AB9149">
        <v>12.013339999999999</v>
      </c>
      <c r="AC9149">
        <v>0.4482738</v>
      </c>
      <c r="AD9149">
        <v>6.7631189999999997</v>
      </c>
      <c r="AE9149">
        <v>0.66518200000000005</v>
      </c>
      <c r="AF9149">
        <v>445.32979999999998</v>
      </c>
      <c r="AG9149">
        <f>IFERROR(AH9149*0.1, "N/A")</f>
        <v>5.254035</v>
      </c>
      <c r="AH9149">
        <v>52.540349999999997</v>
      </c>
      <c r="AI9149">
        <v>151.13890000000001</v>
      </c>
      <c r="AJ9149">
        <v>44.791229999999999</v>
      </c>
      <c r="AK9149">
        <v>34.668419999999998</v>
      </c>
    </row>
    <row r="9150" spans="1:37" x14ac:dyDescent="0.3">
      <c r="A9150">
        <v>9149</v>
      </c>
      <c r="B9150">
        <v>5.8</v>
      </c>
      <c r="C9150">
        <v>13.0932</v>
      </c>
      <c r="D9150">
        <v>-4.0557499999999997</v>
      </c>
      <c r="E9150" t="s">
        <v>13918</v>
      </c>
      <c r="F9150" t="s">
        <v>13919</v>
      </c>
      <c r="G9150" t="s">
        <v>39</v>
      </c>
      <c r="H9150">
        <v>1995</v>
      </c>
      <c r="I9150">
        <v>25.1</v>
      </c>
      <c r="J9150">
        <v>8.4</v>
      </c>
      <c r="K9150">
        <v>62</v>
      </c>
      <c r="L9150">
        <v>15.97</v>
      </c>
      <c r="M9150">
        <v>31.4</v>
      </c>
      <c r="N9150">
        <v>17.899999999999999</v>
      </c>
      <c r="O9150">
        <v>13.5</v>
      </c>
      <c r="P9150">
        <v>25.9</v>
      </c>
      <c r="Q9150">
        <v>22.6</v>
      </c>
      <c r="R9150">
        <v>26.6</v>
      </c>
      <c r="S9150">
        <v>22.6</v>
      </c>
      <c r="T9150">
        <v>1147</v>
      </c>
      <c r="U9150">
        <v>220</v>
      </c>
      <c r="V9150">
        <v>0</v>
      </c>
      <c r="W9150">
        <v>78</v>
      </c>
      <c r="X9150">
        <v>492</v>
      </c>
      <c r="Y9150">
        <v>1</v>
      </c>
      <c r="Z9150">
        <v>451</v>
      </c>
      <c r="AA9150">
        <v>1</v>
      </c>
      <c r="AB9150">
        <v>51.787019999999998</v>
      </c>
      <c r="AC9150">
        <v>8.7662269999999997E-3</v>
      </c>
      <c r="AD9150">
        <v>1.6557269999999999</v>
      </c>
      <c r="AE9150">
        <v>0.3385147</v>
      </c>
      <c r="AF9150">
        <v>252.22460000000001</v>
      </c>
      <c r="AG9150">
        <f>IFERROR(AH9150*0.1, "N/A")</f>
        <v>5.693333</v>
      </c>
      <c r="AH9150">
        <v>56.933329999999998</v>
      </c>
      <c r="AI9150">
        <v>118.94580000000001</v>
      </c>
      <c r="AJ9150">
        <v>30.97193</v>
      </c>
      <c r="AK9150">
        <v>49.843859999999999</v>
      </c>
    </row>
    <row r="9151" spans="1:37" x14ac:dyDescent="0.3">
      <c r="A9151">
        <v>9150</v>
      </c>
      <c r="B9151">
        <v>10</v>
      </c>
      <c r="C9151">
        <v>12.8825</v>
      </c>
      <c r="D9151">
        <v>-4.07</v>
      </c>
      <c r="E9151" t="s">
        <v>13920</v>
      </c>
      <c r="F9151" t="s">
        <v>13921</v>
      </c>
      <c r="G9151" t="s">
        <v>39</v>
      </c>
      <c r="H9151">
        <v>1964</v>
      </c>
      <c r="I9151">
        <v>25.6</v>
      </c>
      <c r="J9151">
        <v>8.3000000000000007</v>
      </c>
      <c r="K9151">
        <v>62</v>
      </c>
      <c r="L9151">
        <v>15.62</v>
      </c>
      <c r="M9151">
        <v>31.9</v>
      </c>
      <c r="N9151">
        <v>18.600000000000001</v>
      </c>
      <c r="O9151">
        <v>13.3</v>
      </c>
      <c r="P9151">
        <v>26.3</v>
      </c>
      <c r="Q9151">
        <v>23.2</v>
      </c>
      <c r="R9151">
        <v>27.1</v>
      </c>
      <c r="S9151">
        <v>23.2</v>
      </c>
      <c r="T9151">
        <v>1123</v>
      </c>
      <c r="U9151">
        <v>219</v>
      </c>
      <c r="V9151">
        <v>0</v>
      </c>
      <c r="W9151">
        <v>78</v>
      </c>
      <c r="X9151">
        <v>491</v>
      </c>
      <c r="Y9151">
        <v>1</v>
      </c>
      <c r="Z9151">
        <v>451</v>
      </c>
      <c r="AA9151">
        <v>1</v>
      </c>
      <c r="AB9151">
        <v>6.7687099999999996</v>
      </c>
      <c r="AC9151">
        <v>1.284253E-2</v>
      </c>
      <c r="AD9151">
        <v>3.106233</v>
      </c>
      <c r="AE9151">
        <v>0.51318330000000001</v>
      </c>
      <c r="AF9151">
        <v>169.68539999999999</v>
      </c>
      <c r="AG9151">
        <f>IFERROR(AH9151*0.1, "N/A")</f>
        <v>4.8147630000000001</v>
      </c>
      <c r="AH9151">
        <v>48.147629999999999</v>
      </c>
      <c r="AI9151">
        <v>258.61279999999999</v>
      </c>
      <c r="AJ9151">
        <v>33.778559999999999</v>
      </c>
      <c r="AK9151">
        <v>35.295250000000003</v>
      </c>
    </row>
    <row r="9152" spans="1:37" x14ac:dyDescent="0.3">
      <c r="A9152">
        <v>9151</v>
      </c>
      <c r="B9152">
        <v>3.4</v>
      </c>
      <c r="C9152">
        <v>13.922800000000001</v>
      </c>
      <c r="D9152">
        <v>-4.0913899999999996</v>
      </c>
      <c r="E9152" t="s">
        <v>13922</v>
      </c>
      <c r="F9152" t="s">
        <v>13923</v>
      </c>
      <c r="G9152" t="s">
        <v>39</v>
      </c>
      <c r="H9152">
        <v>1995</v>
      </c>
      <c r="I9152">
        <v>24.585989999999999</v>
      </c>
      <c r="J9152">
        <v>8.6999999999999993</v>
      </c>
      <c r="K9152">
        <v>65</v>
      </c>
      <c r="L9152">
        <v>13.837389999999999</v>
      </c>
      <c r="M9152">
        <v>30.88599</v>
      </c>
      <c r="N9152">
        <v>17.585989999999999</v>
      </c>
      <c r="O9152">
        <v>13.3</v>
      </c>
      <c r="P9152">
        <v>25.085989999999999</v>
      </c>
      <c r="Q9152">
        <v>22.38599</v>
      </c>
      <c r="R9152">
        <v>25.971979999999999</v>
      </c>
      <c r="S9152">
        <v>22.38599</v>
      </c>
      <c r="T9152">
        <v>1291.42</v>
      </c>
      <c r="U9152">
        <v>236.14009999999999</v>
      </c>
      <c r="V9152">
        <v>0</v>
      </c>
      <c r="W9152">
        <v>74.140110000000007</v>
      </c>
      <c r="X9152">
        <v>546.28020000000004</v>
      </c>
      <c r="Y9152">
        <v>2</v>
      </c>
      <c r="Z9152">
        <v>494.14010000000002</v>
      </c>
      <c r="AA9152">
        <v>2</v>
      </c>
      <c r="AB9152">
        <v>36.586509999999997</v>
      </c>
      <c r="AC9152">
        <v>0.1907036</v>
      </c>
      <c r="AD9152">
        <v>4.8540299999999998</v>
      </c>
      <c r="AE9152">
        <v>0.64466809999999997</v>
      </c>
      <c r="AF9152">
        <v>325.39929999999998</v>
      </c>
      <c r="AG9152">
        <f>IFERROR(AH9152*0.1, "N/A")</f>
        <v>5.5985990000000001</v>
      </c>
      <c r="AH9152">
        <v>55.985990000000001</v>
      </c>
      <c r="AI9152">
        <v>250.37639999999999</v>
      </c>
      <c r="AJ9152">
        <v>33.985990000000001</v>
      </c>
      <c r="AK9152">
        <v>43.014009999999999</v>
      </c>
    </row>
    <row r="9153" spans="1:37" x14ac:dyDescent="0.3">
      <c r="A9153">
        <v>9152</v>
      </c>
      <c r="B9153">
        <v>9</v>
      </c>
      <c r="C9153">
        <v>13.0602</v>
      </c>
      <c r="D9153">
        <v>-4.1104599999999998</v>
      </c>
      <c r="E9153" t="s">
        <v>13924</v>
      </c>
      <c r="F9153" t="s">
        <v>13925</v>
      </c>
      <c r="G9153" t="s">
        <v>39</v>
      </c>
      <c r="H9153">
        <v>1964</v>
      </c>
      <c r="I9153">
        <v>25.7</v>
      </c>
      <c r="J9153">
        <v>8.3000000000000007</v>
      </c>
      <c r="K9153">
        <v>61</v>
      </c>
      <c r="L9153">
        <v>16.12</v>
      </c>
      <c r="M9153">
        <v>31.9</v>
      </c>
      <c r="N9153">
        <v>18.399999999999999</v>
      </c>
      <c r="O9153">
        <v>13.5</v>
      </c>
      <c r="P9153">
        <v>26.6</v>
      </c>
      <c r="Q9153">
        <v>23.1</v>
      </c>
      <c r="R9153">
        <v>27.1</v>
      </c>
      <c r="S9153">
        <v>23.1</v>
      </c>
      <c r="T9153">
        <v>1072</v>
      </c>
      <c r="U9153">
        <v>208</v>
      </c>
      <c r="V9153">
        <v>0</v>
      </c>
      <c r="W9153">
        <v>78</v>
      </c>
      <c r="X9153">
        <v>461</v>
      </c>
      <c r="Y9153">
        <v>1</v>
      </c>
      <c r="Z9153">
        <v>416</v>
      </c>
      <c r="AA9153">
        <v>1</v>
      </c>
      <c r="AB9153">
        <v>50.016170000000002</v>
      </c>
      <c r="AC9153">
        <v>1.3561180000000001E-2</v>
      </c>
      <c r="AD9153">
        <v>1.8865460000000001</v>
      </c>
      <c r="AE9153">
        <v>0.63320639999999995</v>
      </c>
      <c r="AF9153">
        <v>162.25659999999999</v>
      </c>
      <c r="AG9153">
        <f>IFERROR(AH9153*0.1, "N/A")</f>
        <v>5.4</v>
      </c>
      <c r="AH9153">
        <v>54</v>
      </c>
      <c r="AI9153">
        <v>182.12309999999999</v>
      </c>
      <c r="AJ9153">
        <v>24.83128</v>
      </c>
      <c r="AK9153">
        <v>57.506149999999998</v>
      </c>
    </row>
    <row r="9154" spans="1:37" x14ac:dyDescent="0.3">
      <c r="A9154">
        <v>9153</v>
      </c>
      <c r="B9154">
        <v>9.1</v>
      </c>
      <c r="C9154">
        <v>12.832700000000001</v>
      </c>
      <c r="D9154">
        <v>-4.1167899999999999</v>
      </c>
      <c r="E9154" t="s">
        <v>13926</v>
      </c>
      <c r="F9154" t="s">
        <v>13927</v>
      </c>
      <c r="G9154" t="s">
        <v>39</v>
      </c>
      <c r="H9154">
        <v>1995</v>
      </c>
      <c r="I9154">
        <v>25.09825</v>
      </c>
      <c r="J9154">
        <v>8.1999999999999993</v>
      </c>
      <c r="K9154">
        <v>62</v>
      </c>
      <c r="L9154">
        <v>15.84337</v>
      </c>
      <c r="M9154">
        <v>31.398250000000001</v>
      </c>
      <c r="N9154">
        <v>18.198250000000002</v>
      </c>
      <c r="O9154">
        <v>13.2</v>
      </c>
      <c r="P9154">
        <v>25.79824</v>
      </c>
      <c r="Q9154">
        <v>22.59825</v>
      </c>
      <c r="R9154">
        <v>26.663679999999999</v>
      </c>
      <c r="S9154">
        <v>22.59825</v>
      </c>
      <c r="T9154">
        <v>1166.0070000000001</v>
      </c>
      <c r="U9154">
        <v>223.68950000000001</v>
      </c>
      <c r="V9154">
        <v>0</v>
      </c>
      <c r="W9154">
        <v>79</v>
      </c>
      <c r="X9154">
        <v>505.34039999999999</v>
      </c>
      <c r="Y9154">
        <v>1</v>
      </c>
      <c r="Z9154">
        <v>482.62810000000002</v>
      </c>
      <c r="AA9154">
        <v>1</v>
      </c>
      <c r="AB9154">
        <v>16.130880000000001</v>
      </c>
      <c r="AC9154">
        <v>3.2354880000000003E-2</v>
      </c>
      <c r="AD9154">
        <v>2.405411</v>
      </c>
      <c r="AE9154">
        <v>0.4299077</v>
      </c>
      <c r="AF9154">
        <v>264.23160000000001</v>
      </c>
      <c r="AG9154">
        <f>IFERROR(AH9154*0.1, "N/A")</f>
        <v>5.4922810000000002</v>
      </c>
      <c r="AH9154">
        <v>54.922809999999998</v>
      </c>
      <c r="AI9154">
        <v>171.31880000000001</v>
      </c>
      <c r="AJ9154">
        <v>35</v>
      </c>
      <c r="AK9154">
        <v>35.077190000000002</v>
      </c>
    </row>
    <row r="9155" spans="1:37" x14ac:dyDescent="0.3">
      <c r="A9155">
        <v>9154</v>
      </c>
      <c r="B9155">
        <v>26.4</v>
      </c>
      <c r="C9155">
        <v>13.8528</v>
      </c>
      <c r="D9155">
        <v>-4.1202800000000002</v>
      </c>
      <c r="E9155" t="s">
        <v>13928</v>
      </c>
      <c r="F9155" t="s">
        <v>13929</v>
      </c>
      <c r="G9155" t="s">
        <v>39</v>
      </c>
      <c r="H9155">
        <v>1995</v>
      </c>
      <c r="I9155">
        <v>25.4</v>
      </c>
      <c r="J9155">
        <v>8.6</v>
      </c>
      <c r="K9155">
        <v>63</v>
      </c>
      <c r="L9155">
        <v>14.34</v>
      </c>
      <c r="M9155">
        <v>31.6</v>
      </c>
      <c r="N9155">
        <v>18.100000000000001</v>
      </c>
      <c r="O9155">
        <v>13.5</v>
      </c>
      <c r="P9155">
        <v>25.9</v>
      </c>
      <c r="Q9155">
        <v>23.1</v>
      </c>
      <c r="R9155">
        <v>26.7</v>
      </c>
      <c r="S9155">
        <v>23.1</v>
      </c>
      <c r="T9155">
        <v>1237</v>
      </c>
      <c r="U9155">
        <v>225</v>
      </c>
      <c r="V9155">
        <v>0</v>
      </c>
      <c r="W9155">
        <v>75</v>
      </c>
      <c r="X9155">
        <v>520</v>
      </c>
      <c r="Y9155">
        <v>1</v>
      </c>
      <c r="Z9155">
        <v>478</v>
      </c>
      <c r="AA9155">
        <v>1</v>
      </c>
      <c r="AB9155">
        <v>20.989840000000001</v>
      </c>
      <c r="AC9155">
        <v>1.6843380000000002E-2</v>
      </c>
      <c r="AD9155">
        <v>6.1969849999999997</v>
      </c>
      <c r="AE9155">
        <v>0.54683320000000002</v>
      </c>
      <c r="AF9155">
        <v>214.33449999999999</v>
      </c>
      <c r="AG9155">
        <f>IFERROR(AH9155*0.1, "N/A")</f>
        <v>5.8000000000000007</v>
      </c>
      <c r="AH9155">
        <v>58</v>
      </c>
      <c r="AI9155">
        <v>221.14940000000001</v>
      </c>
      <c r="AJ9155">
        <v>37.922939999999997</v>
      </c>
      <c r="AK9155">
        <v>41.441330000000001</v>
      </c>
    </row>
    <row r="9156" spans="1:37" x14ac:dyDescent="0.3">
      <c r="A9156">
        <v>9155</v>
      </c>
      <c r="B9156">
        <v>5</v>
      </c>
      <c r="C9156">
        <v>12.913600000000001</v>
      </c>
      <c r="D9156">
        <v>-4.1427800000000001</v>
      </c>
      <c r="E9156" t="s">
        <v>13930</v>
      </c>
      <c r="F9156" t="s">
        <v>13931</v>
      </c>
      <c r="G9156" t="s">
        <v>39</v>
      </c>
      <c r="H9156">
        <v>1995</v>
      </c>
      <c r="I9156">
        <v>25.3</v>
      </c>
      <c r="J9156">
        <v>8.1999999999999993</v>
      </c>
      <c r="K9156">
        <v>61</v>
      </c>
      <c r="L9156">
        <v>16.02</v>
      </c>
      <c r="M9156">
        <v>31.6</v>
      </c>
      <c r="N9156">
        <v>18.3</v>
      </c>
      <c r="O9156">
        <v>13.3</v>
      </c>
      <c r="P9156">
        <v>26.1</v>
      </c>
      <c r="Q9156">
        <v>22.8</v>
      </c>
      <c r="R9156">
        <v>26.8</v>
      </c>
      <c r="S9156">
        <v>22.8</v>
      </c>
      <c r="T9156">
        <v>1120</v>
      </c>
      <c r="U9156">
        <v>216</v>
      </c>
      <c r="V9156">
        <v>0</v>
      </c>
      <c r="W9156">
        <v>78</v>
      </c>
      <c r="X9156">
        <v>485</v>
      </c>
      <c r="Y9156">
        <v>1</v>
      </c>
      <c r="Z9156">
        <v>454</v>
      </c>
      <c r="AA9156">
        <v>1</v>
      </c>
      <c r="AB9156">
        <v>8.4910499999999995</v>
      </c>
      <c r="AC9156">
        <v>4.7864999999999998E-2</v>
      </c>
      <c r="AD9156">
        <v>1.980372</v>
      </c>
      <c r="AE9156">
        <v>0.6636978</v>
      </c>
      <c r="AF9156">
        <v>209.76140000000001</v>
      </c>
      <c r="AG9156">
        <f>IFERROR(AH9156*0.1, "N/A")</f>
        <v>5.2129820000000002</v>
      </c>
      <c r="AH9156">
        <v>52.129820000000002</v>
      </c>
      <c r="AI9156">
        <v>36.715539999999997</v>
      </c>
      <c r="AJ9156">
        <v>29.945609999999999</v>
      </c>
      <c r="AK9156">
        <v>48.794739999999997</v>
      </c>
    </row>
    <row r="9157" spans="1:37" x14ac:dyDescent="0.3">
      <c r="A9157">
        <v>9156</v>
      </c>
      <c r="B9157">
        <v>95.3</v>
      </c>
      <c r="C9157">
        <v>13.046900000000001</v>
      </c>
      <c r="D9157">
        <v>-4.1574999999999998</v>
      </c>
      <c r="E9157" t="s">
        <v>13932</v>
      </c>
      <c r="F9157" t="s">
        <v>13933</v>
      </c>
      <c r="G9157" t="s">
        <v>39</v>
      </c>
      <c r="H9157">
        <v>1966</v>
      </c>
      <c r="I9157">
        <v>25.899819999999998</v>
      </c>
      <c r="J9157">
        <v>8.1999999999999993</v>
      </c>
      <c r="K9157">
        <v>60</v>
      </c>
      <c r="L9157">
        <v>16.349910000000001</v>
      </c>
      <c r="M9157">
        <v>32.099820000000001</v>
      </c>
      <c r="N9157">
        <v>18.599820000000001</v>
      </c>
      <c r="O9157">
        <v>13.5</v>
      </c>
      <c r="P9157">
        <v>26.699819999999999</v>
      </c>
      <c r="Q9157">
        <v>23.29982</v>
      </c>
      <c r="R9157">
        <v>27.399819999999998</v>
      </c>
      <c r="S9157">
        <v>23.29982</v>
      </c>
      <c r="T9157">
        <v>1077.0039999999999</v>
      </c>
      <c r="U9157">
        <v>206</v>
      </c>
      <c r="V9157">
        <v>0</v>
      </c>
      <c r="W9157">
        <v>78.001760000000004</v>
      </c>
      <c r="X9157">
        <v>461</v>
      </c>
      <c r="Y9157">
        <v>1</v>
      </c>
      <c r="Z9157">
        <v>425.00349999999997</v>
      </c>
      <c r="AA9157">
        <v>1</v>
      </c>
      <c r="AB9157">
        <v>6.7669040000000003</v>
      </c>
      <c r="AC9157">
        <v>139.3622</v>
      </c>
      <c r="AD9157">
        <v>2.8336220000000001</v>
      </c>
      <c r="AE9157">
        <v>0.66247389999999995</v>
      </c>
      <c r="AF9157">
        <v>132.67429999999999</v>
      </c>
      <c r="AG9157">
        <f>IFERROR(AH9157*0.1, "N/A")</f>
        <v>5.9985920000000004</v>
      </c>
      <c r="AH9157">
        <v>59.98592</v>
      </c>
      <c r="AI9157">
        <v>228.9693</v>
      </c>
      <c r="AJ9157">
        <v>24.572179999999999</v>
      </c>
      <c r="AK9157">
        <v>53.26408</v>
      </c>
    </row>
    <row r="9158" spans="1:37" x14ac:dyDescent="0.3">
      <c r="A9158">
        <v>9157</v>
      </c>
      <c r="B9158">
        <v>8.3000000000000007</v>
      </c>
      <c r="C9158">
        <v>13.6289</v>
      </c>
      <c r="D9158">
        <v>-4.1627799999999997</v>
      </c>
      <c r="E9158" t="s">
        <v>13934</v>
      </c>
      <c r="F9158" t="s">
        <v>13935</v>
      </c>
      <c r="G9158" t="s">
        <v>39</v>
      </c>
      <c r="H9158">
        <v>1995</v>
      </c>
      <c r="I9158">
        <v>25.7</v>
      </c>
      <c r="J9158">
        <v>8.5</v>
      </c>
      <c r="K9158">
        <v>62</v>
      </c>
      <c r="L9158">
        <v>15.21</v>
      </c>
      <c r="M9158">
        <v>32</v>
      </c>
      <c r="N9158">
        <v>18.399999999999999</v>
      </c>
      <c r="O9158">
        <v>13.6</v>
      </c>
      <c r="P9158">
        <v>26.3</v>
      </c>
      <c r="Q9158">
        <v>23.2</v>
      </c>
      <c r="R9158">
        <v>27</v>
      </c>
      <c r="S9158">
        <v>23.2</v>
      </c>
      <c r="T9158">
        <v>1185</v>
      </c>
      <c r="U9158">
        <v>212</v>
      </c>
      <c r="V9158">
        <v>0</v>
      </c>
      <c r="W9158">
        <v>78</v>
      </c>
      <c r="X9158">
        <v>490</v>
      </c>
      <c r="Y9158">
        <v>0</v>
      </c>
      <c r="Z9158">
        <v>473</v>
      </c>
      <c r="AA9158">
        <v>0</v>
      </c>
      <c r="AB9158">
        <v>2.9028139999999998</v>
      </c>
      <c r="AC9158">
        <v>1956.451</v>
      </c>
      <c r="AD9158">
        <v>4.1968649999999998</v>
      </c>
      <c r="AE9158">
        <v>0.65635310000000002</v>
      </c>
      <c r="AF9158">
        <v>142.0685</v>
      </c>
      <c r="AG9158" t="str">
        <f>IFERROR(AH9158*0.1, "N/A")</f>
        <v>N/A</v>
      </c>
      <c r="AH9158" t="s">
        <v>729</v>
      </c>
      <c r="AI9158">
        <v>115.6597</v>
      </c>
      <c r="AJ9158" t="s">
        <v>729</v>
      </c>
      <c r="AK9158" t="s">
        <v>729</v>
      </c>
    </row>
    <row r="9159" spans="1:37" x14ac:dyDescent="0.3">
      <c r="A9159">
        <v>9158</v>
      </c>
      <c r="B9159">
        <v>9.1</v>
      </c>
      <c r="C9159">
        <v>13.5528</v>
      </c>
      <c r="D9159">
        <v>-4.1643400000000002</v>
      </c>
      <c r="E9159" t="s">
        <v>13936</v>
      </c>
      <c r="F9159" t="s">
        <v>13937</v>
      </c>
      <c r="G9159" t="s">
        <v>39</v>
      </c>
      <c r="H9159">
        <v>1964</v>
      </c>
      <c r="I9159">
        <v>25.2</v>
      </c>
      <c r="J9159">
        <v>8.4</v>
      </c>
      <c r="K9159">
        <v>61</v>
      </c>
      <c r="L9159">
        <v>15.34</v>
      </c>
      <c r="M9159">
        <v>31.5</v>
      </c>
      <c r="N9159">
        <v>17.899999999999999</v>
      </c>
      <c r="O9159">
        <v>13.6</v>
      </c>
      <c r="P9159">
        <v>25.9</v>
      </c>
      <c r="Q9159">
        <v>22.7</v>
      </c>
      <c r="R9159">
        <v>26.6</v>
      </c>
      <c r="S9159">
        <v>22.7</v>
      </c>
      <c r="T9159">
        <v>1207</v>
      </c>
      <c r="U9159">
        <v>216</v>
      </c>
      <c r="V9159">
        <v>0</v>
      </c>
      <c r="W9159">
        <v>77</v>
      </c>
      <c r="X9159">
        <v>499</v>
      </c>
      <c r="Y9159">
        <v>1</v>
      </c>
      <c r="Z9159">
        <v>485</v>
      </c>
      <c r="AA9159">
        <v>1</v>
      </c>
      <c r="AB9159">
        <v>31.566839999999999</v>
      </c>
      <c r="AC9159">
        <v>9.1988299999999999E-3</v>
      </c>
      <c r="AD9159">
        <v>1.442752</v>
      </c>
      <c r="AE9159">
        <v>0.69001170000000001</v>
      </c>
      <c r="AF9159">
        <v>216.34039999999999</v>
      </c>
      <c r="AG9159">
        <f>IFERROR(AH9159*0.1, "N/A")</f>
        <v>6.2064909999999998</v>
      </c>
      <c r="AH9159">
        <v>62.064909999999998</v>
      </c>
      <c r="AI9159">
        <v>173.5967</v>
      </c>
      <c r="AJ9159">
        <v>26.064910000000001</v>
      </c>
      <c r="AK9159">
        <v>54.136839999999999</v>
      </c>
    </row>
    <row r="9160" spans="1:37" x14ac:dyDescent="0.3">
      <c r="A9160">
        <v>9159</v>
      </c>
      <c r="B9160">
        <v>99.2</v>
      </c>
      <c r="C9160">
        <v>13.2928</v>
      </c>
      <c r="D9160">
        <v>-4.1655600000000002</v>
      </c>
      <c r="E9160" t="s">
        <v>13938</v>
      </c>
      <c r="F9160" t="s">
        <v>13939</v>
      </c>
      <c r="G9160" t="s">
        <v>39</v>
      </c>
      <c r="H9160">
        <v>1966</v>
      </c>
      <c r="I9160">
        <v>25.7</v>
      </c>
      <c r="J9160">
        <v>8.3000000000000007</v>
      </c>
      <c r="K9160">
        <v>61</v>
      </c>
      <c r="L9160">
        <v>15.84</v>
      </c>
      <c r="M9160">
        <v>32</v>
      </c>
      <c r="N9160">
        <v>18.5</v>
      </c>
      <c r="O9160">
        <v>13.5</v>
      </c>
      <c r="P9160">
        <v>27</v>
      </c>
      <c r="Q9160">
        <v>23.2</v>
      </c>
      <c r="R9160">
        <v>27.2</v>
      </c>
      <c r="S9160">
        <v>23.2</v>
      </c>
      <c r="T9160">
        <v>1173</v>
      </c>
      <c r="U9160">
        <v>210</v>
      </c>
      <c r="V9160">
        <v>0</v>
      </c>
      <c r="W9160">
        <v>79</v>
      </c>
      <c r="X9160">
        <v>485</v>
      </c>
      <c r="Y9160">
        <v>2</v>
      </c>
      <c r="Z9160">
        <v>479</v>
      </c>
      <c r="AA9160">
        <v>2</v>
      </c>
      <c r="AB9160">
        <v>22.87895</v>
      </c>
      <c r="AC9160">
        <v>2.3513039999999999E-2</v>
      </c>
      <c r="AD9160">
        <v>8.2933509999999995</v>
      </c>
      <c r="AE9160">
        <v>0.70481309999999997</v>
      </c>
      <c r="AF9160">
        <v>141.20529999999999</v>
      </c>
      <c r="AG9160">
        <f>IFERROR(AH9160*0.1, "N/A")</f>
        <v>5.7454390000000002</v>
      </c>
      <c r="AH9160">
        <v>57.454389999999997</v>
      </c>
      <c r="AI9160">
        <v>22.783750000000001</v>
      </c>
      <c r="AJ9160">
        <v>30.817540000000001</v>
      </c>
      <c r="AK9160">
        <v>44.910530000000001</v>
      </c>
    </row>
    <row r="9161" spans="1:37" x14ac:dyDescent="0.3">
      <c r="A9161">
        <v>9160</v>
      </c>
      <c r="B9161">
        <v>0</v>
      </c>
      <c r="C9161">
        <v>13.2928</v>
      </c>
      <c r="D9161">
        <v>-4.1655600000000002</v>
      </c>
      <c r="E9161" t="s">
        <v>13938</v>
      </c>
      <c r="F9161" t="s">
        <v>13940</v>
      </c>
      <c r="G9161" t="s">
        <v>37</v>
      </c>
      <c r="H9161">
        <v>1966</v>
      </c>
      <c r="I9161">
        <v>25.7</v>
      </c>
      <c r="J9161">
        <v>8.3000000000000007</v>
      </c>
      <c r="K9161">
        <v>61</v>
      </c>
      <c r="L9161">
        <v>15.84</v>
      </c>
      <c r="M9161">
        <v>32</v>
      </c>
      <c r="N9161">
        <v>18.5</v>
      </c>
      <c r="O9161">
        <v>13.5</v>
      </c>
      <c r="P9161">
        <v>27</v>
      </c>
      <c r="Q9161">
        <v>23.2</v>
      </c>
      <c r="R9161">
        <v>27.2</v>
      </c>
      <c r="S9161">
        <v>23.2</v>
      </c>
      <c r="T9161">
        <v>1173</v>
      </c>
      <c r="U9161">
        <v>210</v>
      </c>
      <c r="V9161">
        <v>0</v>
      </c>
      <c r="W9161">
        <v>79</v>
      </c>
      <c r="X9161">
        <v>485</v>
      </c>
      <c r="Y9161">
        <v>2</v>
      </c>
      <c r="Z9161">
        <v>479</v>
      </c>
      <c r="AA9161">
        <v>2</v>
      </c>
      <c r="AB9161">
        <v>22.87895</v>
      </c>
      <c r="AC9161">
        <v>2.3513039999999999E-2</v>
      </c>
      <c r="AD9161">
        <v>8.2933509999999995</v>
      </c>
      <c r="AE9161">
        <v>0.70481309999999997</v>
      </c>
      <c r="AF9161">
        <v>141.20529999999999</v>
      </c>
      <c r="AG9161">
        <f>IFERROR(AH9161*0.1, "N/A")</f>
        <v>5.7454390000000002</v>
      </c>
      <c r="AH9161">
        <v>57.454389999999997</v>
      </c>
      <c r="AI9161">
        <v>22.783750000000001</v>
      </c>
      <c r="AJ9161">
        <v>30.817540000000001</v>
      </c>
      <c r="AK9161">
        <v>44.910530000000001</v>
      </c>
    </row>
    <row r="9162" spans="1:37" x14ac:dyDescent="0.3">
      <c r="A9162">
        <v>9161</v>
      </c>
      <c r="B9162">
        <v>20</v>
      </c>
      <c r="C9162">
        <v>13.2934</v>
      </c>
      <c r="D9162">
        <v>-4.1687799999999999</v>
      </c>
      <c r="E9162" t="s">
        <v>13941</v>
      </c>
      <c r="F9162" t="s">
        <v>13942</v>
      </c>
      <c r="G9162" t="s">
        <v>39</v>
      </c>
      <c r="H9162">
        <v>1995</v>
      </c>
      <c r="I9162">
        <v>25.7</v>
      </c>
      <c r="J9162">
        <v>8.3000000000000007</v>
      </c>
      <c r="K9162">
        <v>61</v>
      </c>
      <c r="L9162">
        <v>15.68</v>
      </c>
      <c r="M9162">
        <v>31.9</v>
      </c>
      <c r="N9162">
        <v>18.399999999999999</v>
      </c>
      <c r="O9162">
        <v>13.5</v>
      </c>
      <c r="P9162">
        <v>27</v>
      </c>
      <c r="Q9162">
        <v>23.2</v>
      </c>
      <c r="R9162">
        <v>27.1</v>
      </c>
      <c r="S9162">
        <v>23.2</v>
      </c>
      <c r="T9162">
        <v>1176</v>
      </c>
      <c r="U9162">
        <v>212</v>
      </c>
      <c r="V9162">
        <v>0</v>
      </c>
      <c r="W9162">
        <v>78</v>
      </c>
      <c r="X9162">
        <v>488</v>
      </c>
      <c r="Y9162">
        <v>2</v>
      </c>
      <c r="Z9162">
        <v>482</v>
      </c>
      <c r="AA9162">
        <v>2</v>
      </c>
      <c r="AB9162">
        <v>34.664859999999997</v>
      </c>
      <c r="AC9162">
        <v>1.095522E-2</v>
      </c>
      <c r="AD9162">
        <v>1.068872</v>
      </c>
      <c r="AE9162">
        <v>0.70481309999999997</v>
      </c>
      <c r="AF9162">
        <v>155.84440000000001</v>
      </c>
      <c r="AG9162">
        <f>IFERROR(AH9162*0.1, "N/A")</f>
        <v>5.7993009999999998</v>
      </c>
      <c r="AH9162">
        <v>57.993009999999998</v>
      </c>
      <c r="AI9162">
        <v>96.607020000000006</v>
      </c>
      <c r="AJ9162">
        <v>28.006989999999998</v>
      </c>
      <c r="AK9162">
        <v>50.989510000000003</v>
      </c>
    </row>
    <row r="9163" spans="1:37" x14ac:dyDescent="0.3">
      <c r="A9163">
        <v>9162</v>
      </c>
      <c r="B9163">
        <v>22</v>
      </c>
      <c r="C9163">
        <v>13.2934</v>
      </c>
      <c r="D9163">
        <v>-4.1691799999999999</v>
      </c>
      <c r="E9163" t="s">
        <v>13943</v>
      </c>
      <c r="F9163" t="s">
        <v>13944</v>
      </c>
      <c r="G9163" t="s">
        <v>39</v>
      </c>
      <c r="H9163">
        <v>1964</v>
      </c>
      <c r="I9163">
        <v>25.7</v>
      </c>
      <c r="J9163">
        <v>8.3000000000000007</v>
      </c>
      <c r="K9163">
        <v>61</v>
      </c>
      <c r="L9163">
        <v>15.68</v>
      </c>
      <c r="M9163">
        <v>31.9</v>
      </c>
      <c r="N9163">
        <v>18.399999999999999</v>
      </c>
      <c r="O9163">
        <v>13.5</v>
      </c>
      <c r="P9163">
        <v>27</v>
      </c>
      <c r="Q9163">
        <v>23.2</v>
      </c>
      <c r="R9163">
        <v>27.1</v>
      </c>
      <c r="S9163">
        <v>23.2</v>
      </c>
      <c r="T9163">
        <v>1176</v>
      </c>
      <c r="U9163">
        <v>212</v>
      </c>
      <c r="V9163">
        <v>0</v>
      </c>
      <c r="W9163">
        <v>78</v>
      </c>
      <c r="X9163">
        <v>488</v>
      </c>
      <c r="Y9163">
        <v>2</v>
      </c>
      <c r="Z9163">
        <v>482</v>
      </c>
      <c r="AA9163">
        <v>2</v>
      </c>
      <c r="AB9163">
        <v>34.234909999999999</v>
      </c>
      <c r="AC9163">
        <v>9.8120280000000004E-3</v>
      </c>
      <c r="AD9163">
        <v>1.284375</v>
      </c>
      <c r="AE9163">
        <v>0.70481309999999997</v>
      </c>
      <c r="AF9163">
        <v>155.65090000000001</v>
      </c>
      <c r="AG9163">
        <f>IFERROR(AH9163*0.1, "N/A")</f>
        <v>5.7991230000000007</v>
      </c>
      <c r="AH9163">
        <v>57.991230000000002</v>
      </c>
      <c r="AI9163">
        <v>94.555449999999993</v>
      </c>
      <c r="AJ9163">
        <v>28.010529999999999</v>
      </c>
      <c r="AK9163">
        <v>50.987720000000003</v>
      </c>
    </row>
    <row r="9164" spans="1:37" x14ac:dyDescent="0.3">
      <c r="A9164">
        <v>9163</v>
      </c>
      <c r="B9164">
        <v>40</v>
      </c>
      <c r="C9164">
        <v>13.7181</v>
      </c>
      <c r="D9164">
        <v>-4.17</v>
      </c>
      <c r="E9164" t="s">
        <v>13945</v>
      </c>
      <c r="F9164" t="s">
        <v>13946</v>
      </c>
      <c r="G9164" t="s">
        <v>39</v>
      </c>
      <c r="H9164">
        <v>1964</v>
      </c>
      <c r="I9164">
        <v>25.5</v>
      </c>
      <c r="J9164">
        <v>8.5</v>
      </c>
      <c r="K9164">
        <v>62</v>
      </c>
      <c r="L9164">
        <v>14.9</v>
      </c>
      <c r="M9164">
        <v>31.8</v>
      </c>
      <c r="N9164">
        <v>18.3</v>
      </c>
      <c r="O9164">
        <v>13.5</v>
      </c>
      <c r="P9164">
        <v>26.1</v>
      </c>
      <c r="Q9164">
        <v>23.1</v>
      </c>
      <c r="R9164">
        <v>26.9</v>
      </c>
      <c r="S9164">
        <v>23.1</v>
      </c>
      <c r="T9164">
        <v>1200</v>
      </c>
      <c r="U9164">
        <v>217</v>
      </c>
      <c r="V9164">
        <v>0</v>
      </c>
      <c r="W9164">
        <v>76</v>
      </c>
      <c r="X9164">
        <v>500</v>
      </c>
      <c r="Y9164">
        <v>0</v>
      </c>
      <c r="Z9164">
        <v>474</v>
      </c>
      <c r="AA9164">
        <v>0</v>
      </c>
      <c r="AB9164">
        <v>6.7212310000000004</v>
      </c>
      <c r="AC9164">
        <v>0.16435069999999999</v>
      </c>
      <c r="AD9164">
        <v>1.455694</v>
      </c>
      <c r="AE9164">
        <v>0.64391140000000002</v>
      </c>
      <c r="AF9164">
        <v>166.73159999999999</v>
      </c>
      <c r="AG9164">
        <f>IFERROR(AH9164*0.1, "N/A")</f>
        <v>5.7</v>
      </c>
      <c r="AH9164">
        <v>57</v>
      </c>
      <c r="AI9164">
        <v>320.65089999999998</v>
      </c>
      <c r="AJ9164">
        <v>32.503509999999999</v>
      </c>
      <c r="AK9164">
        <v>42</v>
      </c>
    </row>
    <row r="9165" spans="1:37" x14ac:dyDescent="0.3">
      <c r="A9165">
        <v>9164</v>
      </c>
      <c r="B9165">
        <v>0</v>
      </c>
      <c r="C9165">
        <v>13.4091</v>
      </c>
      <c r="D9165">
        <v>-4.1734</v>
      </c>
      <c r="E9165" t="s">
        <v>13947</v>
      </c>
      <c r="F9165" t="s">
        <v>13948</v>
      </c>
      <c r="G9165" t="s">
        <v>39</v>
      </c>
      <c r="H9165">
        <v>1964</v>
      </c>
      <c r="I9165">
        <v>25.4</v>
      </c>
      <c r="J9165">
        <v>8.3998240000000006</v>
      </c>
      <c r="K9165">
        <v>61.998249999999999</v>
      </c>
      <c r="L9165">
        <v>15.43037</v>
      </c>
      <c r="M9165">
        <v>31.6</v>
      </c>
      <c r="N9165">
        <v>18.2</v>
      </c>
      <c r="O9165">
        <v>13.4</v>
      </c>
      <c r="P9165">
        <v>26.7</v>
      </c>
      <c r="Q9165">
        <v>23</v>
      </c>
      <c r="R9165">
        <v>26.8</v>
      </c>
      <c r="S9165">
        <v>23</v>
      </c>
      <c r="T9165">
        <v>1193.998</v>
      </c>
      <c r="U9165">
        <v>212</v>
      </c>
      <c r="V9165">
        <v>0</v>
      </c>
      <c r="W9165">
        <v>78</v>
      </c>
      <c r="X9165">
        <v>491.9982</v>
      </c>
      <c r="Y9165">
        <v>1</v>
      </c>
      <c r="Z9165">
        <v>485.9982</v>
      </c>
      <c r="AA9165">
        <v>1</v>
      </c>
      <c r="AB9165">
        <v>12.277760000000001</v>
      </c>
      <c r="AC9165">
        <v>9.2572650000000006E-3</v>
      </c>
      <c r="AD9165">
        <v>2.3700730000000001</v>
      </c>
      <c r="AE9165">
        <v>0.4813578</v>
      </c>
      <c r="AF9165">
        <v>190.03149999999999</v>
      </c>
      <c r="AG9165">
        <f>IFERROR(AH9165*0.1, "N/A")</f>
        <v>5.7346760000000003</v>
      </c>
      <c r="AH9165">
        <v>57.346760000000003</v>
      </c>
      <c r="AI9165">
        <v>206.0513</v>
      </c>
      <c r="AJ9165">
        <v>24.038530000000002</v>
      </c>
      <c r="AK9165">
        <v>54.653239999999997</v>
      </c>
    </row>
    <row r="9166" spans="1:37" x14ac:dyDescent="0.3">
      <c r="A9166">
        <v>9165</v>
      </c>
      <c r="B9166">
        <v>17.399999999999999</v>
      </c>
      <c r="C9166">
        <v>12.663399999999999</v>
      </c>
      <c r="D9166">
        <v>-4.1781100000000002</v>
      </c>
      <c r="E9166" t="s">
        <v>13949</v>
      </c>
      <c r="F9166" t="s">
        <v>13950</v>
      </c>
      <c r="G9166" t="s">
        <v>39</v>
      </c>
      <c r="H9166">
        <v>1995</v>
      </c>
      <c r="I9166">
        <v>24.5</v>
      </c>
      <c r="J9166">
        <v>8.1</v>
      </c>
      <c r="K9166">
        <v>61</v>
      </c>
      <c r="L9166">
        <v>15.87</v>
      </c>
      <c r="M9166">
        <v>30.8</v>
      </c>
      <c r="N9166">
        <v>17.600000000000001</v>
      </c>
      <c r="O9166">
        <v>13.2</v>
      </c>
      <c r="P9166">
        <v>26.1</v>
      </c>
      <c r="Q9166">
        <v>22</v>
      </c>
      <c r="R9166">
        <v>26.1</v>
      </c>
      <c r="S9166">
        <v>22</v>
      </c>
      <c r="T9166">
        <v>1262</v>
      </c>
      <c r="U9166">
        <v>229</v>
      </c>
      <c r="V9166">
        <v>0</v>
      </c>
      <c r="W9166">
        <v>79</v>
      </c>
      <c r="X9166">
        <v>555</v>
      </c>
      <c r="Y9166">
        <v>1</v>
      </c>
      <c r="Z9166">
        <v>555</v>
      </c>
      <c r="AA9166">
        <v>1</v>
      </c>
      <c r="AB9166">
        <v>21.027080000000002</v>
      </c>
      <c r="AC9166">
        <v>3.958743E-2</v>
      </c>
      <c r="AD9166">
        <v>1.2579849999999999</v>
      </c>
      <c r="AE9166">
        <v>0.55412410000000001</v>
      </c>
      <c r="AF9166">
        <v>347.52449999999999</v>
      </c>
      <c r="AG9166">
        <f>IFERROR(AH9166*0.1, "N/A")</f>
        <v>5.2013990000000003</v>
      </c>
      <c r="AH9166">
        <v>52.01399</v>
      </c>
      <c r="AI9166">
        <v>191.97280000000001</v>
      </c>
      <c r="AJ9166">
        <v>25.937059999999999</v>
      </c>
      <c r="AK9166">
        <v>54.034970000000001</v>
      </c>
    </row>
    <row r="9167" spans="1:37" x14ac:dyDescent="0.3">
      <c r="A9167">
        <v>9166</v>
      </c>
      <c r="B9167">
        <v>97.1</v>
      </c>
      <c r="C9167">
        <v>13.281599999999999</v>
      </c>
      <c r="D9167">
        <v>-4.1833299999999998</v>
      </c>
      <c r="E9167" t="s">
        <v>13951</v>
      </c>
      <c r="F9167" t="s">
        <v>13952</v>
      </c>
      <c r="G9167" t="s">
        <v>39</v>
      </c>
      <c r="H9167">
        <v>1966</v>
      </c>
      <c r="I9167">
        <v>25.537960000000002</v>
      </c>
      <c r="J9167">
        <v>8.3000000000000007</v>
      </c>
      <c r="K9167">
        <v>61</v>
      </c>
      <c r="L9167">
        <v>15.795920000000001</v>
      </c>
      <c r="M9167">
        <v>31.737960000000001</v>
      </c>
      <c r="N9167">
        <v>18.3</v>
      </c>
      <c r="O9167">
        <v>13.43796</v>
      </c>
      <c r="P9167">
        <v>26.8</v>
      </c>
      <c r="Q9167">
        <v>23</v>
      </c>
      <c r="R9167">
        <v>26.93796</v>
      </c>
      <c r="S9167">
        <v>23</v>
      </c>
      <c r="T9167">
        <v>1180.241</v>
      </c>
      <c r="U9167">
        <v>214</v>
      </c>
      <c r="V9167">
        <v>0</v>
      </c>
      <c r="W9167">
        <v>79</v>
      </c>
      <c r="X9167">
        <v>490.62040000000002</v>
      </c>
      <c r="Y9167">
        <v>2</v>
      </c>
      <c r="Z9167">
        <v>485.62040000000002</v>
      </c>
      <c r="AA9167">
        <v>2</v>
      </c>
      <c r="AB9167">
        <v>7.9579899999999997</v>
      </c>
      <c r="AC9167">
        <v>1.7440649999999999E-2</v>
      </c>
      <c r="AD9167">
        <v>1.403583</v>
      </c>
      <c r="AE9167">
        <v>0.84908399999999995</v>
      </c>
      <c r="AF9167">
        <v>176.6011</v>
      </c>
      <c r="AG9167">
        <f>IFERROR(AH9167*0.1, "N/A")</f>
        <v>6.0516700000000005</v>
      </c>
      <c r="AH9167">
        <v>60.5167</v>
      </c>
      <c r="AI9167">
        <v>186.0136</v>
      </c>
      <c r="AJ9167">
        <v>23.066780000000001</v>
      </c>
      <c r="AK9167">
        <v>60.899819999999998</v>
      </c>
    </row>
    <row r="9168" spans="1:37" x14ac:dyDescent="0.3">
      <c r="A9168">
        <v>9167</v>
      </c>
      <c r="B9168">
        <v>88</v>
      </c>
      <c r="C9168">
        <v>13.287800000000001</v>
      </c>
      <c r="D9168">
        <v>-4.1840999999999999</v>
      </c>
      <c r="E9168" t="s">
        <v>13953</v>
      </c>
      <c r="F9168" t="s">
        <v>13954</v>
      </c>
      <c r="G9168" t="s">
        <v>39</v>
      </c>
      <c r="H9168">
        <v>1983</v>
      </c>
      <c r="I9168">
        <v>25.5</v>
      </c>
      <c r="J9168">
        <v>8.3000000000000007</v>
      </c>
      <c r="K9168">
        <v>61</v>
      </c>
      <c r="L9168">
        <v>15.675079999999999</v>
      </c>
      <c r="M9168">
        <v>31.7</v>
      </c>
      <c r="N9168">
        <v>18.3</v>
      </c>
      <c r="O9168">
        <v>13.4</v>
      </c>
      <c r="P9168">
        <v>26.8</v>
      </c>
      <c r="Q9168">
        <v>23.1</v>
      </c>
      <c r="R9168">
        <v>26.99297</v>
      </c>
      <c r="S9168">
        <v>23.1</v>
      </c>
      <c r="T9168">
        <v>1183.07</v>
      </c>
      <c r="U9168">
        <v>214</v>
      </c>
      <c r="V9168">
        <v>0</v>
      </c>
      <c r="W9168">
        <v>79</v>
      </c>
      <c r="X9168">
        <v>492</v>
      </c>
      <c r="Y9168">
        <v>2</v>
      </c>
      <c r="Z9168">
        <v>487</v>
      </c>
      <c r="AA9168">
        <v>2</v>
      </c>
      <c r="AB9168">
        <v>17.790690000000001</v>
      </c>
      <c r="AC9168">
        <v>3.587021E-2</v>
      </c>
      <c r="AD9168">
        <v>1.1606639999999999</v>
      </c>
      <c r="AE9168">
        <v>0.84938809999999998</v>
      </c>
      <c r="AF9168">
        <v>178.529</v>
      </c>
      <c r="AG9168">
        <f>IFERROR(AH9168*0.1, "N/A")</f>
        <v>5.8390160000000009</v>
      </c>
      <c r="AH9168">
        <v>58.390160000000002</v>
      </c>
      <c r="AI9168">
        <v>203.29650000000001</v>
      </c>
      <c r="AJ9168">
        <v>26.551850000000002</v>
      </c>
      <c r="AK9168">
        <v>53.448149999999998</v>
      </c>
    </row>
    <row r="9169" spans="1:37" x14ac:dyDescent="0.3">
      <c r="A9169">
        <v>9168</v>
      </c>
      <c r="B9169">
        <v>35.799999999999997</v>
      </c>
      <c r="C9169">
        <v>13.3003</v>
      </c>
      <c r="D9169">
        <v>-4.1844200000000003</v>
      </c>
      <c r="E9169" t="s">
        <v>13955</v>
      </c>
      <c r="F9169" t="s">
        <v>13956</v>
      </c>
      <c r="G9169" t="s">
        <v>39</v>
      </c>
      <c r="H9169">
        <v>1995</v>
      </c>
      <c r="I9169">
        <v>25.7</v>
      </c>
      <c r="J9169">
        <v>8.3000000000000007</v>
      </c>
      <c r="K9169">
        <v>61</v>
      </c>
      <c r="L9169">
        <v>15.688739999999999</v>
      </c>
      <c r="M9169">
        <v>31.898599999999998</v>
      </c>
      <c r="N9169">
        <v>18.4986</v>
      </c>
      <c r="O9169">
        <v>13.4</v>
      </c>
      <c r="P9169">
        <v>26.9986</v>
      </c>
      <c r="Q9169">
        <v>23.2</v>
      </c>
      <c r="R9169">
        <v>27.098600000000001</v>
      </c>
      <c r="S9169">
        <v>23.2</v>
      </c>
      <c r="T9169">
        <v>1168.098</v>
      </c>
      <c r="U9169">
        <v>209.0421</v>
      </c>
      <c r="V9169">
        <v>0</v>
      </c>
      <c r="W9169">
        <v>79</v>
      </c>
      <c r="X9169">
        <v>484.05610000000001</v>
      </c>
      <c r="Y9169">
        <v>1.014035</v>
      </c>
      <c r="Z9169">
        <v>478.0702</v>
      </c>
      <c r="AA9169">
        <v>1.014035</v>
      </c>
      <c r="AB9169">
        <v>3.4431569999999998</v>
      </c>
      <c r="AC9169">
        <v>4.6572129999999996</v>
      </c>
      <c r="AD9169">
        <v>1.7451410000000001</v>
      </c>
      <c r="AE9169">
        <v>0.75807500000000005</v>
      </c>
      <c r="AF9169">
        <v>136.1123</v>
      </c>
      <c r="AG9169">
        <f>IFERROR(AH9169*0.1, "N/A")</f>
        <v>5.8603510000000005</v>
      </c>
      <c r="AH9169">
        <v>58.60351</v>
      </c>
      <c r="AI9169">
        <v>185.2473</v>
      </c>
      <c r="AJ9169">
        <v>26.761399999999998</v>
      </c>
      <c r="AK9169">
        <v>54.363160000000001</v>
      </c>
    </row>
    <row r="9170" spans="1:37" x14ac:dyDescent="0.3">
      <c r="A9170">
        <v>9169</v>
      </c>
      <c r="B9170">
        <v>52.5</v>
      </c>
      <c r="C9170">
        <v>13.2851</v>
      </c>
      <c r="D9170">
        <v>-4.1867599999999996</v>
      </c>
      <c r="E9170" t="s">
        <v>13957</v>
      </c>
      <c r="F9170" t="s">
        <v>13958</v>
      </c>
      <c r="G9170" t="s">
        <v>39</v>
      </c>
      <c r="H9170">
        <v>1995</v>
      </c>
      <c r="I9170">
        <v>25.5</v>
      </c>
      <c r="J9170">
        <v>8.3000000000000007</v>
      </c>
      <c r="K9170">
        <v>61</v>
      </c>
      <c r="L9170">
        <v>15.68</v>
      </c>
      <c r="M9170">
        <v>31.7</v>
      </c>
      <c r="N9170">
        <v>18.3</v>
      </c>
      <c r="O9170">
        <v>13.4</v>
      </c>
      <c r="P9170">
        <v>26.8</v>
      </c>
      <c r="Q9170">
        <v>23.1</v>
      </c>
      <c r="R9170">
        <v>27</v>
      </c>
      <c r="S9170">
        <v>23.1</v>
      </c>
      <c r="T9170">
        <v>1183</v>
      </c>
      <c r="U9170">
        <v>214</v>
      </c>
      <c r="V9170">
        <v>0</v>
      </c>
      <c r="W9170">
        <v>79</v>
      </c>
      <c r="X9170">
        <v>492</v>
      </c>
      <c r="Y9170">
        <v>2</v>
      </c>
      <c r="Z9170">
        <v>487</v>
      </c>
      <c r="AA9170">
        <v>2</v>
      </c>
      <c r="AB9170">
        <v>9.3790530000000008</v>
      </c>
      <c r="AC9170">
        <v>1.2453499999999999E-2</v>
      </c>
      <c r="AD9170">
        <v>1.120474</v>
      </c>
      <c r="AE9170">
        <v>0.84908399999999995</v>
      </c>
      <c r="AF9170">
        <v>174.32640000000001</v>
      </c>
      <c r="AG9170">
        <f>IFERROR(AH9170*0.1, "N/A")</f>
        <v>5.7898780000000007</v>
      </c>
      <c r="AH9170">
        <v>57.898780000000002</v>
      </c>
      <c r="AI9170">
        <v>157.5147</v>
      </c>
      <c r="AJ9170">
        <v>27.26876</v>
      </c>
      <c r="AK9170">
        <v>52.841189999999997</v>
      </c>
    </row>
    <row r="9171" spans="1:37" x14ac:dyDescent="0.3">
      <c r="A9171">
        <v>9170</v>
      </c>
      <c r="B9171">
        <v>5</v>
      </c>
      <c r="C9171">
        <v>13.731999999999999</v>
      </c>
      <c r="D9171">
        <v>-4.1875</v>
      </c>
      <c r="E9171" t="s">
        <v>13959</v>
      </c>
      <c r="F9171" t="s">
        <v>13960</v>
      </c>
      <c r="G9171" t="s">
        <v>39</v>
      </c>
      <c r="H9171">
        <v>1995</v>
      </c>
      <c r="I9171">
        <v>25.5</v>
      </c>
      <c r="J9171">
        <v>8.5</v>
      </c>
      <c r="K9171">
        <v>62</v>
      </c>
      <c r="L9171">
        <v>15</v>
      </c>
      <c r="M9171">
        <v>31.8</v>
      </c>
      <c r="N9171">
        <v>18.3</v>
      </c>
      <c r="O9171">
        <v>13.5</v>
      </c>
      <c r="P9171">
        <v>26.1</v>
      </c>
      <c r="Q9171">
        <v>23.1</v>
      </c>
      <c r="R9171">
        <v>26.9</v>
      </c>
      <c r="S9171">
        <v>23.1</v>
      </c>
      <c r="T9171">
        <v>1197</v>
      </c>
      <c r="U9171">
        <v>216</v>
      </c>
      <c r="V9171">
        <v>0</v>
      </c>
      <c r="W9171">
        <v>77</v>
      </c>
      <c r="X9171">
        <v>498</v>
      </c>
      <c r="Y9171">
        <v>0</v>
      </c>
      <c r="Z9171">
        <v>473</v>
      </c>
      <c r="AA9171">
        <v>0</v>
      </c>
      <c r="AB9171">
        <v>16.058420000000002</v>
      </c>
      <c r="AC9171">
        <v>1.437368E-2</v>
      </c>
      <c r="AD9171">
        <v>1.6256550000000001</v>
      </c>
      <c r="AE9171">
        <v>0.67482500000000001</v>
      </c>
      <c r="AF9171">
        <v>180.114</v>
      </c>
      <c r="AG9171">
        <f>IFERROR(AH9171*0.1, "N/A")</f>
        <v>5.7238600000000002</v>
      </c>
      <c r="AH9171">
        <v>57.238599999999998</v>
      </c>
      <c r="AI9171">
        <v>45.07508</v>
      </c>
      <c r="AJ9171">
        <v>30.685960000000001</v>
      </c>
      <c r="AK9171">
        <v>44.08596</v>
      </c>
    </row>
    <row r="9172" spans="1:37" x14ac:dyDescent="0.3">
      <c r="A9172">
        <v>9171</v>
      </c>
      <c r="B9172">
        <v>15.4</v>
      </c>
      <c r="C9172">
        <v>13.5326</v>
      </c>
      <c r="D9172">
        <v>-4.1917799999999996</v>
      </c>
      <c r="E9172" t="s">
        <v>13961</v>
      </c>
      <c r="F9172" t="s">
        <v>13962</v>
      </c>
      <c r="G9172" t="s">
        <v>39</v>
      </c>
      <c r="H9172">
        <v>1995</v>
      </c>
      <c r="I9172">
        <v>25.391929999999999</v>
      </c>
      <c r="J9172">
        <v>8.4</v>
      </c>
      <c r="K9172">
        <v>61.908769999999997</v>
      </c>
      <c r="L9172">
        <v>15.17775</v>
      </c>
      <c r="M9172">
        <v>31.601050000000001</v>
      </c>
      <c r="N9172">
        <v>18.18281</v>
      </c>
      <c r="O9172">
        <v>13.41825</v>
      </c>
      <c r="P9172">
        <v>26.06982</v>
      </c>
      <c r="Q9172">
        <v>22.990880000000001</v>
      </c>
      <c r="R9172">
        <v>26.731400000000001</v>
      </c>
      <c r="S9172">
        <v>22.990880000000001</v>
      </c>
      <c r="T9172">
        <v>1192.788</v>
      </c>
      <c r="U9172">
        <v>212.09119999999999</v>
      </c>
      <c r="V9172">
        <v>0</v>
      </c>
      <c r="W9172">
        <v>77.696489999999997</v>
      </c>
      <c r="X9172">
        <v>491.09120000000001</v>
      </c>
      <c r="Y9172">
        <v>1</v>
      </c>
      <c r="Z9172">
        <v>481.69650000000001</v>
      </c>
      <c r="AA9172">
        <v>1</v>
      </c>
      <c r="AB9172">
        <v>16.909130000000001</v>
      </c>
      <c r="AC9172">
        <v>7.3184100000000002E-2</v>
      </c>
      <c r="AD9172">
        <v>1.6906939999999999</v>
      </c>
      <c r="AE9172">
        <v>0.60848990000000003</v>
      </c>
      <c r="AF9172">
        <v>188.77369999999999</v>
      </c>
      <c r="AG9172">
        <f>IFERROR(AH9172*0.1, "N/A")</f>
        <v>5.91</v>
      </c>
      <c r="AH9172">
        <v>59.1</v>
      </c>
      <c r="AI9172">
        <v>241.19749999999999</v>
      </c>
      <c r="AJ9172">
        <v>21.340350000000001</v>
      </c>
      <c r="AK9172">
        <v>55.543860000000002</v>
      </c>
    </row>
    <row r="9173" spans="1:37" x14ac:dyDescent="0.3">
      <c r="A9173">
        <v>9172</v>
      </c>
      <c r="B9173">
        <v>76.5</v>
      </c>
      <c r="C9173">
        <v>12.671799999999999</v>
      </c>
      <c r="D9173">
        <v>-4.1959999999999997</v>
      </c>
      <c r="E9173" t="s">
        <v>13963</v>
      </c>
      <c r="F9173" t="s">
        <v>13964</v>
      </c>
      <c r="G9173" t="s">
        <v>39</v>
      </c>
      <c r="H9173">
        <v>1966</v>
      </c>
      <c r="I9173">
        <v>24.4</v>
      </c>
      <c r="J9173">
        <v>8.1999999999999993</v>
      </c>
      <c r="K9173">
        <v>62</v>
      </c>
      <c r="L9173">
        <v>15.83</v>
      </c>
      <c r="M9173">
        <v>30.7</v>
      </c>
      <c r="N9173">
        <v>17.600000000000001</v>
      </c>
      <c r="O9173">
        <v>13.1</v>
      </c>
      <c r="P9173">
        <v>26</v>
      </c>
      <c r="Q9173">
        <v>22</v>
      </c>
      <c r="R9173">
        <v>26</v>
      </c>
      <c r="S9173">
        <v>22</v>
      </c>
      <c r="T9173">
        <v>1262</v>
      </c>
      <c r="U9173">
        <v>229</v>
      </c>
      <c r="V9173">
        <v>0</v>
      </c>
      <c r="W9173">
        <v>79</v>
      </c>
      <c r="X9173">
        <v>556</v>
      </c>
      <c r="Y9173">
        <v>1</v>
      </c>
      <c r="Z9173">
        <v>556</v>
      </c>
      <c r="AA9173">
        <v>1</v>
      </c>
      <c r="AB9173">
        <v>40.189489999999999</v>
      </c>
      <c r="AC9173">
        <v>1.009587E-2</v>
      </c>
      <c r="AD9173">
        <v>2.053931</v>
      </c>
      <c r="AE9173">
        <v>0.59724650000000001</v>
      </c>
      <c r="AF9173">
        <v>354.98250000000002</v>
      </c>
      <c r="AG9173">
        <f>IFERROR(AH9173*0.1, "N/A")</f>
        <v>5.5</v>
      </c>
      <c r="AH9173">
        <v>55</v>
      </c>
      <c r="AI9173">
        <v>245.38919999999999</v>
      </c>
      <c r="AJ9173">
        <v>24.978950000000001</v>
      </c>
      <c r="AK9173">
        <v>56.021050000000002</v>
      </c>
    </row>
    <row r="9174" spans="1:37" x14ac:dyDescent="0.3">
      <c r="A9174">
        <v>9173</v>
      </c>
      <c r="B9174">
        <v>0</v>
      </c>
      <c r="C9174">
        <v>12.671799999999999</v>
      </c>
      <c r="D9174">
        <v>-4.1959999999999997</v>
      </c>
      <c r="E9174" t="s">
        <v>13963</v>
      </c>
      <c r="F9174" t="s">
        <v>13965</v>
      </c>
      <c r="G9174" t="s">
        <v>37</v>
      </c>
      <c r="H9174">
        <v>1966</v>
      </c>
      <c r="I9174">
        <v>24.4</v>
      </c>
      <c r="J9174">
        <v>8.1999999999999993</v>
      </c>
      <c r="K9174">
        <v>62</v>
      </c>
      <c r="L9174">
        <v>15.83</v>
      </c>
      <c r="M9174">
        <v>30.7</v>
      </c>
      <c r="N9174">
        <v>17.600000000000001</v>
      </c>
      <c r="O9174">
        <v>13.1</v>
      </c>
      <c r="P9174">
        <v>26</v>
      </c>
      <c r="Q9174">
        <v>22</v>
      </c>
      <c r="R9174">
        <v>26</v>
      </c>
      <c r="S9174">
        <v>22</v>
      </c>
      <c r="T9174">
        <v>1262</v>
      </c>
      <c r="U9174">
        <v>229</v>
      </c>
      <c r="V9174">
        <v>0</v>
      </c>
      <c r="W9174">
        <v>79</v>
      </c>
      <c r="X9174">
        <v>556</v>
      </c>
      <c r="Y9174">
        <v>1</v>
      </c>
      <c r="Z9174">
        <v>556</v>
      </c>
      <c r="AA9174">
        <v>1</v>
      </c>
      <c r="AB9174">
        <v>40.189489999999999</v>
      </c>
      <c r="AC9174">
        <v>1.009587E-2</v>
      </c>
      <c r="AD9174">
        <v>2.053931</v>
      </c>
      <c r="AE9174">
        <v>0.59724650000000001</v>
      </c>
      <c r="AF9174">
        <v>354.98250000000002</v>
      </c>
      <c r="AG9174">
        <f>IFERROR(AH9174*0.1, "N/A")</f>
        <v>5.5</v>
      </c>
      <c r="AH9174">
        <v>55</v>
      </c>
      <c r="AI9174">
        <v>245.38919999999999</v>
      </c>
      <c r="AJ9174">
        <v>24.978950000000001</v>
      </c>
      <c r="AK9174">
        <v>56.021050000000002</v>
      </c>
    </row>
    <row r="9175" spans="1:37" x14ac:dyDescent="0.3">
      <c r="A9175">
        <v>9174</v>
      </c>
      <c r="B9175">
        <v>23.8</v>
      </c>
      <c r="C9175">
        <v>13.3133</v>
      </c>
      <c r="D9175">
        <v>-4.2008299999999998</v>
      </c>
      <c r="E9175" t="s">
        <v>13966</v>
      </c>
      <c r="F9175" t="s">
        <v>13967</v>
      </c>
      <c r="G9175" t="s">
        <v>39</v>
      </c>
      <c r="H9175">
        <v>1964</v>
      </c>
      <c r="I9175">
        <v>25.6</v>
      </c>
      <c r="J9175">
        <v>8.3000000000000007</v>
      </c>
      <c r="K9175">
        <v>61</v>
      </c>
      <c r="L9175">
        <v>15.79</v>
      </c>
      <c r="M9175">
        <v>31.8</v>
      </c>
      <c r="N9175">
        <v>18.399999999999999</v>
      </c>
      <c r="O9175">
        <v>13.4</v>
      </c>
      <c r="P9175">
        <v>26.9</v>
      </c>
      <c r="Q9175">
        <v>23.1</v>
      </c>
      <c r="R9175">
        <v>27</v>
      </c>
      <c r="S9175">
        <v>23.1</v>
      </c>
      <c r="T9175">
        <v>1174</v>
      </c>
      <c r="U9175">
        <v>211</v>
      </c>
      <c r="V9175">
        <v>0</v>
      </c>
      <c r="W9175">
        <v>79</v>
      </c>
      <c r="X9175">
        <v>488</v>
      </c>
      <c r="Y9175">
        <v>1</v>
      </c>
      <c r="Z9175">
        <v>483</v>
      </c>
      <c r="AA9175">
        <v>1</v>
      </c>
      <c r="AB9175">
        <v>7.7509680000000003</v>
      </c>
      <c r="AC9175">
        <v>7.4540439999999999E-2</v>
      </c>
      <c r="AD9175">
        <v>4.0902399999999997</v>
      </c>
      <c r="AE9175">
        <v>0.60441990000000001</v>
      </c>
      <c r="AF9175">
        <v>143.7715</v>
      </c>
      <c r="AG9175">
        <f>IFERROR(AH9175*0.1, "N/A")</f>
        <v>5.9736380000000002</v>
      </c>
      <c r="AH9175">
        <v>59.736379999999997</v>
      </c>
      <c r="AI9175">
        <v>318.16000000000003</v>
      </c>
      <c r="AJ9175">
        <v>26.73638</v>
      </c>
      <c r="AK9175">
        <v>50.263620000000003</v>
      </c>
    </row>
    <row r="9176" spans="1:37" x14ac:dyDescent="0.3">
      <c r="A9176">
        <v>9175</v>
      </c>
      <c r="B9176">
        <v>7.7</v>
      </c>
      <c r="C9176">
        <v>13.3497</v>
      </c>
      <c r="D9176">
        <v>-4.2044499999999996</v>
      </c>
      <c r="E9176" t="s">
        <v>13968</v>
      </c>
      <c r="F9176" t="s">
        <v>13969</v>
      </c>
      <c r="G9176" t="s">
        <v>39</v>
      </c>
      <c r="H9176">
        <v>1964</v>
      </c>
      <c r="I9176">
        <v>25.6</v>
      </c>
      <c r="J9176">
        <v>8.3000000000000007</v>
      </c>
      <c r="K9176">
        <v>61</v>
      </c>
      <c r="L9176">
        <v>15.74732</v>
      </c>
      <c r="M9176">
        <v>31.8</v>
      </c>
      <c r="N9176">
        <v>18.399999999999999</v>
      </c>
      <c r="O9176">
        <v>13.4</v>
      </c>
      <c r="P9176">
        <v>26.9</v>
      </c>
      <c r="Q9176">
        <v>23.1</v>
      </c>
      <c r="R9176">
        <v>27</v>
      </c>
      <c r="S9176">
        <v>23.1</v>
      </c>
      <c r="T9176">
        <v>1174.7260000000001</v>
      </c>
      <c r="U9176">
        <v>209</v>
      </c>
      <c r="V9176">
        <v>0</v>
      </c>
      <c r="W9176">
        <v>78.636840000000007</v>
      </c>
      <c r="X9176">
        <v>487.36320000000001</v>
      </c>
      <c r="Y9176">
        <v>1</v>
      </c>
      <c r="Z9176">
        <v>480.36320000000001</v>
      </c>
      <c r="AA9176">
        <v>1</v>
      </c>
      <c r="AB9176">
        <v>1.3005260000000001</v>
      </c>
      <c r="AC9176">
        <v>27.90428</v>
      </c>
      <c r="AD9176">
        <v>1.2267539999999999</v>
      </c>
      <c r="AE9176">
        <v>0.46960030000000003</v>
      </c>
      <c r="AF9176">
        <v>152.2561</v>
      </c>
      <c r="AG9176">
        <f>IFERROR(AH9176*0.1, "N/A")</f>
        <v>6.0424560000000005</v>
      </c>
      <c r="AH9176">
        <v>60.42456</v>
      </c>
      <c r="AI9176">
        <v>188.5128</v>
      </c>
      <c r="AJ9176">
        <v>27.698250000000002</v>
      </c>
      <c r="AK9176">
        <v>47.650880000000001</v>
      </c>
    </row>
    <row r="9177" spans="1:37" x14ac:dyDescent="0.3">
      <c r="A9177">
        <v>9176</v>
      </c>
      <c r="B9177">
        <v>5.3</v>
      </c>
      <c r="C9177">
        <v>13.760400000000001</v>
      </c>
      <c r="D9177">
        <v>-4.2173100000000003</v>
      </c>
      <c r="E9177" t="s">
        <v>13970</v>
      </c>
      <c r="F9177" t="s">
        <v>13971</v>
      </c>
      <c r="G9177" t="s">
        <v>39</v>
      </c>
      <c r="H9177">
        <v>1964</v>
      </c>
      <c r="I9177">
        <v>25.4</v>
      </c>
      <c r="J9177">
        <v>8.5</v>
      </c>
      <c r="K9177">
        <v>62</v>
      </c>
      <c r="L9177">
        <v>14.524929999999999</v>
      </c>
      <c r="M9177">
        <v>31.7</v>
      </c>
      <c r="N9177">
        <v>18.2</v>
      </c>
      <c r="O9177">
        <v>13.5</v>
      </c>
      <c r="P9177">
        <v>26</v>
      </c>
      <c r="Q9177">
        <v>23.1</v>
      </c>
      <c r="R9177">
        <v>26.70804</v>
      </c>
      <c r="S9177">
        <v>23.1</v>
      </c>
      <c r="T9177">
        <v>1204</v>
      </c>
      <c r="U9177">
        <v>218</v>
      </c>
      <c r="V9177">
        <v>0</v>
      </c>
      <c r="W9177">
        <v>77</v>
      </c>
      <c r="X9177">
        <v>503</v>
      </c>
      <c r="Y9177">
        <v>0</v>
      </c>
      <c r="Z9177">
        <v>475</v>
      </c>
      <c r="AA9177">
        <v>0</v>
      </c>
      <c r="AB9177">
        <v>8.7998270000000005</v>
      </c>
      <c r="AC9177">
        <v>2.536683E-2</v>
      </c>
      <c r="AD9177">
        <v>0.52079719999999996</v>
      </c>
      <c r="AE9177">
        <v>0.59434989999999999</v>
      </c>
      <c r="AF9177">
        <v>196.9196</v>
      </c>
      <c r="AG9177">
        <f>IFERROR(AH9177*0.1, "N/A")</f>
        <v>5.5131120000000005</v>
      </c>
      <c r="AH9177">
        <v>55.131120000000003</v>
      </c>
      <c r="AI9177">
        <v>170.14009999999999</v>
      </c>
      <c r="AJ9177">
        <v>27.23077</v>
      </c>
      <c r="AK9177">
        <v>52.994759999999999</v>
      </c>
    </row>
    <row r="9178" spans="1:37" x14ac:dyDescent="0.3">
      <c r="A9178">
        <v>9177</v>
      </c>
      <c r="B9178">
        <v>10</v>
      </c>
      <c r="C9178">
        <v>13.761699999999999</v>
      </c>
      <c r="D9178">
        <v>-4.21861</v>
      </c>
      <c r="E9178" t="s">
        <v>13972</v>
      </c>
      <c r="F9178" t="s">
        <v>13973</v>
      </c>
      <c r="G9178" t="s">
        <v>39</v>
      </c>
      <c r="H9178">
        <v>1985</v>
      </c>
      <c r="I9178">
        <v>25.4</v>
      </c>
      <c r="J9178">
        <v>8.5</v>
      </c>
      <c r="K9178">
        <v>62</v>
      </c>
      <c r="L9178">
        <v>14.5</v>
      </c>
      <c r="M9178">
        <v>31.7</v>
      </c>
      <c r="N9178">
        <v>18.2</v>
      </c>
      <c r="O9178">
        <v>13.5</v>
      </c>
      <c r="P9178">
        <v>26</v>
      </c>
      <c r="Q9178">
        <v>23.1</v>
      </c>
      <c r="R9178">
        <v>26.7</v>
      </c>
      <c r="S9178">
        <v>23.1</v>
      </c>
      <c r="T9178">
        <v>1204</v>
      </c>
      <c r="U9178">
        <v>218</v>
      </c>
      <c r="V9178">
        <v>0</v>
      </c>
      <c r="W9178">
        <v>77</v>
      </c>
      <c r="X9178">
        <v>503</v>
      </c>
      <c r="Y9178">
        <v>0</v>
      </c>
      <c r="Z9178">
        <v>475</v>
      </c>
      <c r="AA9178">
        <v>0</v>
      </c>
      <c r="AB9178">
        <v>10.03223</v>
      </c>
      <c r="AC9178">
        <v>1.3481989999999999E-2</v>
      </c>
      <c r="AD9178">
        <v>1.2182249999999999</v>
      </c>
      <c r="AE9178">
        <v>0.59434989999999999</v>
      </c>
      <c r="AF9178">
        <v>198.2294</v>
      </c>
      <c r="AG9178">
        <f>IFERROR(AH9178*0.1, "N/A")</f>
        <v>5.5336250000000007</v>
      </c>
      <c r="AH9178">
        <v>55.33625</v>
      </c>
      <c r="AI9178">
        <v>245.21449999999999</v>
      </c>
      <c r="AJ9178">
        <v>26</v>
      </c>
      <c r="AK9178">
        <v>54</v>
      </c>
    </row>
    <row r="9179" spans="1:37" x14ac:dyDescent="0.3">
      <c r="A9179">
        <v>9178</v>
      </c>
      <c r="B9179">
        <v>6.6</v>
      </c>
      <c r="C9179">
        <v>14.074999999999999</v>
      </c>
      <c r="D9179">
        <v>-4.2244200000000003</v>
      </c>
      <c r="E9179" t="s">
        <v>13974</v>
      </c>
      <c r="F9179" t="s">
        <v>13975</v>
      </c>
      <c r="G9179" t="s">
        <v>39</v>
      </c>
      <c r="H9179">
        <v>1988</v>
      </c>
      <c r="I9179">
        <v>25.482659999999999</v>
      </c>
      <c r="J9179">
        <v>8.6999999999999993</v>
      </c>
      <c r="K9179">
        <v>63.683010000000003</v>
      </c>
      <c r="L9179">
        <v>14.18075</v>
      </c>
      <c r="M9179">
        <v>31.788440000000001</v>
      </c>
      <c r="N9179">
        <v>18.250959999999999</v>
      </c>
      <c r="O9179">
        <v>13.53748</v>
      </c>
      <c r="P9179">
        <v>25.969180000000001</v>
      </c>
      <c r="Q9179">
        <v>23.196149999999999</v>
      </c>
      <c r="R9179">
        <v>26.78266</v>
      </c>
      <c r="S9179">
        <v>23.196149999999999</v>
      </c>
      <c r="T9179">
        <v>1250.366</v>
      </c>
      <c r="U9179">
        <v>228.17339999999999</v>
      </c>
      <c r="V9179">
        <v>0</v>
      </c>
      <c r="W9179">
        <v>75</v>
      </c>
      <c r="X9179">
        <v>523.83709999999996</v>
      </c>
      <c r="Y9179">
        <v>2</v>
      </c>
      <c r="Z9179">
        <v>483.09629999999999</v>
      </c>
      <c r="AA9179">
        <v>2</v>
      </c>
      <c r="AB9179">
        <v>34.430289999999999</v>
      </c>
      <c r="AC9179">
        <v>8.5251040000000004E-3</v>
      </c>
      <c r="AD9179">
        <v>2.1954180000000001</v>
      </c>
      <c r="AE9179">
        <v>0.1324524</v>
      </c>
      <c r="AF9179">
        <v>229.79329999999999</v>
      </c>
      <c r="AG9179">
        <f>IFERROR(AH9179*0.1, "N/A")</f>
        <v>5.6455340000000005</v>
      </c>
      <c r="AH9179">
        <v>56.45534</v>
      </c>
      <c r="AI9179">
        <v>144.21619999999999</v>
      </c>
      <c r="AJ9179">
        <v>33.436079999999997</v>
      </c>
      <c r="AK9179">
        <v>39.96848</v>
      </c>
    </row>
    <row r="9180" spans="1:37" x14ac:dyDescent="0.3">
      <c r="A9180">
        <v>9179</v>
      </c>
      <c r="B9180">
        <v>31.4</v>
      </c>
      <c r="C9180">
        <v>14.0863</v>
      </c>
      <c r="D9180">
        <v>-4.2496700000000001</v>
      </c>
      <c r="E9180" t="s">
        <v>13976</v>
      </c>
      <c r="F9180" t="s">
        <v>13977</v>
      </c>
      <c r="G9180" t="s">
        <v>39</v>
      </c>
      <c r="H9180">
        <v>1988</v>
      </c>
      <c r="I9180">
        <v>25.527069999999998</v>
      </c>
      <c r="J9180">
        <v>8.6999999999999993</v>
      </c>
      <c r="K9180">
        <v>63.729349999999997</v>
      </c>
      <c r="L9180">
        <v>14.26624</v>
      </c>
      <c r="M9180">
        <v>31.827059999999999</v>
      </c>
      <c r="N9180">
        <v>18.3</v>
      </c>
      <c r="O9180">
        <v>13.52707</v>
      </c>
      <c r="P9180">
        <v>26.1</v>
      </c>
      <c r="Q9180">
        <v>23.227070000000001</v>
      </c>
      <c r="R9180">
        <v>26.827059999999999</v>
      </c>
      <c r="S9180">
        <v>23.227070000000001</v>
      </c>
      <c r="T9180">
        <v>1244.376</v>
      </c>
      <c r="U9180">
        <v>227.72929999999999</v>
      </c>
      <c r="V9180">
        <v>0</v>
      </c>
      <c r="W9180">
        <v>75</v>
      </c>
      <c r="X9180">
        <v>521.45870000000002</v>
      </c>
      <c r="Y9180">
        <v>2</v>
      </c>
      <c r="Z9180">
        <v>481.18799999999999</v>
      </c>
      <c r="AA9180">
        <v>2</v>
      </c>
      <c r="AB9180">
        <v>26.877859999999998</v>
      </c>
      <c r="AC9180">
        <v>1.168605E-2</v>
      </c>
      <c r="AD9180">
        <v>2.826883</v>
      </c>
      <c r="AE9180">
        <v>0.37991439999999999</v>
      </c>
      <c r="AF9180">
        <v>213.8647</v>
      </c>
      <c r="AG9180">
        <f>IFERROR(AH9180*0.1, "N/A")</f>
        <v>5.7834800000000008</v>
      </c>
      <c r="AH9180">
        <v>57.834800000000001</v>
      </c>
      <c r="AI9180">
        <v>206.36699999999999</v>
      </c>
      <c r="AJ9180">
        <v>29.07206</v>
      </c>
      <c r="AK9180">
        <v>45.093150000000001</v>
      </c>
    </row>
    <row r="9181" spans="1:37" x14ac:dyDescent="0.3">
      <c r="A9181">
        <v>9180</v>
      </c>
      <c r="B9181">
        <v>11.4</v>
      </c>
      <c r="C9181">
        <v>13.540800000000001</v>
      </c>
      <c r="D9181">
        <v>-4.26248</v>
      </c>
      <c r="E9181" t="s">
        <v>13978</v>
      </c>
      <c r="F9181" t="s">
        <v>13979</v>
      </c>
      <c r="G9181" t="s">
        <v>39</v>
      </c>
      <c r="H9181">
        <v>1995</v>
      </c>
      <c r="I9181">
        <v>24.3</v>
      </c>
      <c r="J9181">
        <v>8.4</v>
      </c>
      <c r="K9181">
        <v>62</v>
      </c>
      <c r="L9181">
        <v>15.68</v>
      </c>
      <c r="M9181">
        <v>30.5</v>
      </c>
      <c r="N9181">
        <v>17.100000000000001</v>
      </c>
      <c r="O9181">
        <v>13.4</v>
      </c>
      <c r="P9181">
        <v>25</v>
      </c>
      <c r="Q9181">
        <v>21.7</v>
      </c>
      <c r="R9181">
        <v>25.6</v>
      </c>
      <c r="S9181">
        <v>21.7</v>
      </c>
      <c r="T9181">
        <v>1243</v>
      </c>
      <c r="U9181">
        <v>223</v>
      </c>
      <c r="V9181">
        <v>0</v>
      </c>
      <c r="W9181">
        <v>77</v>
      </c>
      <c r="X9181">
        <v>517</v>
      </c>
      <c r="Y9181">
        <v>1</v>
      </c>
      <c r="Z9181">
        <v>505</v>
      </c>
      <c r="AA9181">
        <v>1</v>
      </c>
      <c r="AB9181">
        <v>24.608059999999998</v>
      </c>
      <c r="AC9181">
        <v>9.0780419999999997E-3</v>
      </c>
      <c r="AD9181">
        <v>3.503336</v>
      </c>
      <c r="AE9181">
        <v>0.36289670000000002</v>
      </c>
      <c r="AF9181">
        <v>361.22629999999998</v>
      </c>
      <c r="AG9181">
        <f>IFERROR(AH9181*0.1, "N/A")</f>
        <v>5</v>
      </c>
      <c r="AH9181">
        <v>50</v>
      </c>
      <c r="AI9181">
        <v>272.5668</v>
      </c>
      <c r="AJ9181">
        <v>34.656140000000001</v>
      </c>
      <c r="AK9181">
        <v>45.031579999999998</v>
      </c>
    </row>
    <row r="9182" spans="1:37" x14ac:dyDescent="0.3">
      <c r="A9182">
        <v>9181</v>
      </c>
      <c r="B9182">
        <v>20</v>
      </c>
      <c r="C9182">
        <v>13.789400000000001</v>
      </c>
      <c r="D9182">
        <v>-4.2630600000000003</v>
      </c>
      <c r="E9182" t="s">
        <v>13980</v>
      </c>
      <c r="F9182" t="s">
        <v>13981</v>
      </c>
      <c r="G9182" t="s">
        <v>39</v>
      </c>
      <c r="H9182">
        <v>1964</v>
      </c>
      <c r="I9182">
        <v>25.2</v>
      </c>
      <c r="J9182">
        <v>8.5</v>
      </c>
      <c r="K9182">
        <v>62</v>
      </c>
      <c r="L9182">
        <v>15.03</v>
      </c>
      <c r="M9182">
        <v>31.5</v>
      </c>
      <c r="N9182">
        <v>18</v>
      </c>
      <c r="O9182">
        <v>13.5</v>
      </c>
      <c r="P9182">
        <v>25.9</v>
      </c>
      <c r="Q9182">
        <v>22.8</v>
      </c>
      <c r="R9182">
        <v>26.6</v>
      </c>
      <c r="S9182">
        <v>22.8</v>
      </c>
      <c r="T9182">
        <v>1207</v>
      </c>
      <c r="U9182">
        <v>219</v>
      </c>
      <c r="V9182">
        <v>0</v>
      </c>
      <c r="W9182">
        <v>77</v>
      </c>
      <c r="X9182">
        <v>504</v>
      </c>
      <c r="Y9182">
        <v>1</v>
      </c>
      <c r="Z9182">
        <v>477</v>
      </c>
      <c r="AA9182">
        <v>1</v>
      </c>
      <c r="AB9182">
        <v>6.1611560000000001</v>
      </c>
      <c r="AC9182">
        <v>2.961913E-2</v>
      </c>
      <c r="AD9182">
        <v>3.2983549999999999</v>
      </c>
      <c r="AE9182">
        <v>0.66535809999999995</v>
      </c>
      <c r="AF9182">
        <v>217.1353</v>
      </c>
      <c r="AG9182">
        <f>IFERROR(AH9182*0.1, "N/A")</f>
        <v>5.5446400000000002</v>
      </c>
      <c r="AH9182">
        <v>55.446399999999997</v>
      </c>
      <c r="AI9182">
        <v>94.229389999999995</v>
      </c>
      <c r="AJ9182">
        <v>30.801410000000001</v>
      </c>
      <c r="AK9182">
        <v>48.277679999999997</v>
      </c>
    </row>
    <row r="9183" spans="1:37" x14ac:dyDescent="0.3">
      <c r="A9183">
        <v>9182</v>
      </c>
      <c r="B9183">
        <v>17.100000000000001</v>
      </c>
      <c r="C9183">
        <v>13.853400000000001</v>
      </c>
      <c r="D9183">
        <v>-4.2856300000000003</v>
      </c>
      <c r="E9183" t="s">
        <v>13982</v>
      </c>
      <c r="F9183" t="s">
        <v>13983</v>
      </c>
      <c r="G9183" t="s">
        <v>39</v>
      </c>
      <c r="H9183">
        <v>1995</v>
      </c>
      <c r="I9183">
        <v>25.4</v>
      </c>
      <c r="J9183">
        <v>8.5</v>
      </c>
      <c r="K9183">
        <v>62</v>
      </c>
      <c r="L9183">
        <v>14.83</v>
      </c>
      <c r="M9183">
        <v>31.7</v>
      </c>
      <c r="N9183">
        <v>18.2</v>
      </c>
      <c r="O9183">
        <v>13.5</v>
      </c>
      <c r="P9183">
        <v>26</v>
      </c>
      <c r="Q9183">
        <v>23.1</v>
      </c>
      <c r="R9183">
        <v>26.8</v>
      </c>
      <c r="S9183">
        <v>23.1</v>
      </c>
      <c r="T9183">
        <v>1205</v>
      </c>
      <c r="U9183">
        <v>219</v>
      </c>
      <c r="V9183">
        <v>0</v>
      </c>
      <c r="W9183">
        <v>76</v>
      </c>
      <c r="X9183">
        <v>504</v>
      </c>
      <c r="Y9183">
        <v>2</v>
      </c>
      <c r="Z9183">
        <v>473</v>
      </c>
      <c r="AA9183">
        <v>2</v>
      </c>
      <c r="AB9183">
        <v>6.5376580000000004</v>
      </c>
      <c r="AC9183">
        <v>1.407801E-2</v>
      </c>
      <c r="AD9183">
        <v>2.1897180000000001</v>
      </c>
      <c r="AE9183">
        <v>0.69754780000000005</v>
      </c>
      <c r="AF9183">
        <v>198.91239999999999</v>
      </c>
      <c r="AG9183">
        <f>IFERROR(AH9183*0.1, "N/A")</f>
        <v>5.9415060000000004</v>
      </c>
      <c r="AH9183">
        <v>59.415059999999997</v>
      </c>
      <c r="AI9183">
        <v>77.782169999999994</v>
      </c>
      <c r="AJ9183">
        <v>33.169879999999999</v>
      </c>
      <c r="AK9183">
        <v>35.698770000000003</v>
      </c>
    </row>
    <row r="9184" spans="1:37" x14ac:dyDescent="0.3">
      <c r="A9184">
        <v>9183</v>
      </c>
      <c r="B9184">
        <v>7.5</v>
      </c>
      <c r="C9184">
        <v>13.8553</v>
      </c>
      <c r="D9184">
        <v>-4.2947499999999996</v>
      </c>
      <c r="E9184" t="s">
        <v>13984</v>
      </c>
      <c r="F9184" t="s">
        <v>13985</v>
      </c>
      <c r="G9184" t="s">
        <v>39</v>
      </c>
      <c r="H9184">
        <v>1995</v>
      </c>
      <c r="I9184">
        <v>25.3</v>
      </c>
      <c r="J9184">
        <v>8.5</v>
      </c>
      <c r="K9184">
        <v>62</v>
      </c>
      <c r="L9184">
        <v>14.99</v>
      </c>
      <c r="M9184">
        <v>31.7</v>
      </c>
      <c r="N9184">
        <v>18.100000000000001</v>
      </c>
      <c r="O9184">
        <v>13.6</v>
      </c>
      <c r="P9184">
        <v>25.9</v>
      </c>
      <c r="Q9184">
        <v>23</v>
      </c>
      <c r="R9184">
        <v>26.7</v>
      </c>
      <c r="S9184">
        <v>23</v>
      </c>
      <c r="T9184">
        <v>1206</v>
      </c>
      <c r="U9184">
        <v>219</v>
      </c>
      <c r="V9184">
        <v>0</v>
      </c>
      <c r="W9184">
        <v>76</v>
      </c>
      <c r="X9184">
        <v>504</v>
      </c>
      <c r="Y9184">
        <v>2</v>
      </c>
      <c r="Z9184">
        <v>475</v>
      </c>
      <c r="AA9184">
        <v>2</v>
      </c>
      <c r="AB9184">
        <v>8.5393399999999993</v>
      </c>
      <c r="AC9184">
        <v>8.6286560000000002E-3</v>
      </c>
      <c r="AD9184">
        <v>5.1146520000000004</v>
      </c>
      <c r="AE9184">
        <v>0.62929939999999995</v>
      </c>
      <c r="AF9184">
        <v>210.0752</v>
      </c>
      <c r="AG9184">
        <f>IFERROR(AH9184*0.1, "N/A")</f>
        <v>5.7592660000000002</v>
      </c>
      <c r="AH9184">
        <v>57.592660000000002</v>
      </c>
      <c r="AI9184">
        <v>138.9674</v>
      </c>
      <c r="AJ9184">
        <v>32.185310000000001</v>
      </c>
      <c r="AK9184">
        <v>39.222029999999997</v>
      </c>
    </row>
    <row r="9185" spans="1:37" x14ac:dyDescent="0.3">
      <c r="A9185">
        <v>9184</v>
      </c>
      <c r="B9185">
        <v>7.5</v>
      </c>
      <c r="C9185">
        <v>13.8559</v>
      </c>
      <c r="D9185">
        <v>-4.2999700000000001</v>
      </c>
      <c r="E9185" t="s">
        <v>13986</v>
      </c>
      <c r="F9185" t="s">
        <v>13987</v>
      </c>
      <c r="G9185" t="s">
        <v>39</v>
      </c>
      <c r="H9185">
        <v>1995</v>
      </c>
      <c r="I9185">
        <v>25.326540000000001</v>
      </c>
      <c r="J9185">
        <v>8.5</v>
      </c>
      <c r="K9185">
        <v>62</v>
      </c>
      <c r="L9185">
        <v>15.016540000000001</v>
      </c>
      <c r="M9185">
        <v>31.7</v>
      </c>
      <c r="N9185">
        <v>18.100000000000001</v>
      </c>
      <c r="O9185">
        <v>13.6</v>
      </c>
      <c r="P9185">
        <v>25.9</v>
      </c>
      <c r="Q9185">
        <v>23</v>
      </c>
      <c r="R9185">
        <v>26.72654</v>
      </c>
      <c r="S9185">
        <v>23</v>
      </c>
      <c r="T9185">
        <v>1205.7349999999999</v>
      </c>
      <c r="U9185">
        <v>219</v>
      </c>
      <c r="V9185">
        <v>0</v>
      </c>
      <c r="W9185">
        <v>76</v>
      </c>
      <c r="X9185">
        <v>504</v>
      </c>
      <c r="Y9185">
        <v>2</v>
      </c>
      <c r="Z9185">
        <v>474.7346</v>
      </c>
      <c r="AA9185">
        <v>2</v>
      </c>
      <c r="AB9185">
        <v>1.4780340000000001</v>
      </c>
      <c r="AC9185">
        <v>0.1817221</v>
      </c>
      <c r="AD9185">
        <v>1.52623</v>
      </c>
      <c r="AE9185">
        <v>0.55594370000000004</v>
      </c>
      <c r="AF9185">
        <v>207.4271</v>
      </c>
      <c r="AG9185">
        <f>IFERROR(AH9185*0.1, "N/A")</f>
        <v>5.7956060000000003</v>
      </c>
      <c r="AH9185">
        <v>57.956060000000001</v>
      </c>
      <c r="AI9185">
        <v>199.83760000000001</v>
      </c>
      <c r="AJ9185">
        <v>29.175750000000001</v>
      </c>
      <c r="AK9185">
        <v>51.780320000000003</v>
      </c>
    </row>
    <row r="9186" spans="1:37" x14ac:dyDescent="0.3">
      <c r="A9186">
        <v>9185</v>
      </c>
      <c r="B9186">
        <v>0</v>
      </c>
      <c r="C9186">
        <v>13.781700000000001</v>
      </c>
      <c r="D9186">
        <v>-4.3002799999999999</v>
      </c>
      <c r="E9186" t="s">
        <v>13988</v>
      </c>
      <c r="F9186" t="s">
        <v>13989</v>
      </c>
      <c r="G9186" t="s">
        <v>39</v>
      </c>
      <c r="H9186">
        <v>1964</v>
      </c>
      <c r="I9186">
        <v>24.5</v>
      </c>
      <c r="J9186">
        <v>8.5</v>
      </c>
      <c r="K9186">
        <v>62</v>
      </c>
      <c r="L9186">
        <v>14.97916</v>
      </c>
      <c r="M9186">
        <v>30.8</v>
      </c>
      <c r="N9186">
        <v>17.3</v>
      </c>
      <c r="O9186">
        <v>13.5</v>
      </c>
      <c r="P9186">
        <v>25.1</v>
      </c>
      <c r="Q9186">
        <v>22.1</v>
      </c>
      <c r="R9186">
        <v>25.9</v>
      </c>
      <c r="S9186">
        <v>22.1</v>
      </c>
      <c r="T9186">
        <v>1240.6220000000001</v>
      </c>
      <c r="U9186">
        <v>225.52449999999999</v>
      </c>
      <c r="V9186">
        <v>0</v>
      </c>
      <c r="W9186">
        <v>76</v>
      </c>
      <c r="X9186">
        <v>520.04899999999998</v>
      </c>
      <c r="Y9186">
        <v>2</v>
      </c>
      <c r="Z9186">
        <v>492.57339999999999</v>
      </c>
      <c r="AA9186">
        <v>2</v>
      </c>
      <c r="AB9186">
        <v>37.82396</v>
      </c>
      <c r="AC9186">
        <v>0.17793680000000001</v>
      </c>
      <c r="AD9186">
        <v>5.1739509999999997</v>
      </c>
      <c r="AE9186">
        <v>0.62190769999999995</v>
      </c>
      <c r="AF9186">
        <v>328.48779999999999</v>
      </c>
      <c r="AG9186">
        <f>IFERROR(AH9186*0.1, "N/A")</f>
        <v>5.5</v>
      </c>
      <c r="AH9186">
        <v>55</v>
      </c>
      <c r="AI9186">
        <v>115.23990000000001</v>
      </c>
      <c r="AJ9186">
        <v>32.16084</v>
      </c>
      <c r="AK9186">
        <v>43.879370000000002</v>
      </c>
    </row>
    <row r="9187" spans="1:37" x14ac:dyDescent="0.3">
      <c r="A9187">
        <v>9186</v>
      </c>
      <c r="B9187">
        <v>11.2</v>
      </c>
      <c r="C9187">
        <v>14.090299999999999</v>
      </c>
      <c r="D9187">
        <v>-4.3040799999999999</v>
      </c>
      <c r="E9187" t="s">
        <v>13990</v>
      </c>
      <c r="F9187" t="s">
        <v>13991</v>
      </c>
      <c r="G9187" t="s">
        <v>39</v>
      </c>
      <c r="H9187">
        <v>1988</v>
      </c>
      <c r="I9187">
        <v>25</v>
      </c>
      <c r="J9187">
        <v>8.6999999999999993</v>
      </c>
      <c r="K9187">
        <v>64</v>
      </c>
      <c r="L9187">
        <v>14.25</v>
      </c>
      <c r="M9187">
        <v>31.3</v>
      </c>
      <c r="N9187">
        <v>17.8</v>
      </c>
      <c r="O9187">
        <v>13.5</v>
      </c>
      <c r="P9187">
        <v>25.6</v>
      </c>
      <c r="Q9187">
        <v>22.7</v>
      </c>
      <c r="R9187">
        <v>26.3</v>
      </c>
      <c r="S9187">
        <v>22.7</v>
      </c>
      <c r="T9187">
        <v>1260</v>
      </c>
      <c r="U9187">
        <v>231</v>
      </c>
      <c r="V9187">
        <v>0</v>
      </c>
      <c r="W9187">
        <v>75</v>
      </c>
      <c r="X9187">
        <v>528</v>
      </c>
      <c r="Y9187">
        <v>2</v>
      </c>
      <c r="Z9187">
        <v>492</v>
      </c>
      <c r="AA9187">
        <v>2</v>
      </c>
      <c r="AB9187">
        <v>1.2271879999999999</v>
      </c>
      <c r="AC9187">
        <v>0.7685497</v>
      </c>
      <c r="AD9187">
        <v>1.285731</v>
      </c>
      <c r="AE9187">
        <v>0.1203259</v>
      </c>
      <c r="AF9187">
        <v>293.99119999999999</v>
      </c>
      <c r="AG9187">
        <f>IFERROR(AH9187*0.1, "N/A")</f>
        <v>5.5964910000000003</v>
      </c>
      <c r="AH9187">
        <v>55.964910000000003</v>
      </c>
      <c r="AI9187">
        <v>226.66079999999999</v>
      </c>
      <c r="AJ9187">
        <v>36.929819999999999</v>
      </c>
      <c r="AK9187">
        <v>39.070180000000001</v>
      </c>
    </row>
    <row r="9188" spans="1:37" x14ac:dyDescent="0.3">
      <c r="A9188">
        <v>9187</v>
      </c>
      <c r="B9188">
        <v>39.200000000000003</v>
      </c>
      <c r="C9188">
        <v>13.8614</v>
      </c>
      <c r="D9188">
        <v>-4.3044500000000001</v>
      </c>
      <c r="E9188" t="s">
        <v>13992</v>
      </c>
      <c r="F9188" t="s">
        <v>13993</v>
      </c>
      <c r="G9188" t="s">
        <v>39</v>
      </c>
      <c r="H9188">
        <v>1995</v>
      </c>
      <c r="I9188">
        <v>25.4</v>
      </c>
      <c r="J9188">
        <v>8.5</v>
      </c>
      <c r="K9188">
        <v>62</v>
      </c>
      <c r="L9188">
        <v>14.81</v>
      </c>
      <c r="M9188">
        <v>31.7</v>
      </c>
      <c r="N9188">
        <v>18.2</v>
      </c>
      <c r="O9188">
        <v>13.5</v>
      </c>
      <c r="P9188">
        <v>26</v>
      </c>
      <c r="Q9188">
        <v>23</v>
      </c>
      <c r="R9188">
        <v>26.8</v>
      </c>
      <c r="S9188">
        <v>23</v>
      </c>
      <c r="T9188">
        <v>1204</v>
      </c>
      <c r="U9188">
        <v>219</v>
      </c>
      <c r="V9188">
        <v>0</v>
      </c>
      <c r="W9188">
        <v>76</v>
      </c>
      <c r="X9188">
        <v>504</v>
      </c>
      <c r="Y9188">
        <v>2</v>
      </c>
      <c r="Z9188">
        <v>473</v>
      </c>
      <c r="AA9188">
        <v>2</v>
      </c>
      <c r="AB9188">
        <v>8.8597230000000007</v>
      </c>
      <c r="AC9188">
        <v>1.077845E-2</v>
      </c>
      <c r="AD9188">
        <v>1.480351</v>
      </c>
      <c r="AE9188">
        <v>0.54132219999999998</v>
      </c>
      <c r="AF9188">
        <v>205.94220000000001</v>
      </c>
      <c r="AG9188">
        <f>IFERROR(AH9188*0.1, "N/A")</f>
        <v>5.7222420000000005</v>
      </c>
      <c r="AH9188">
        <v>57.22242</v>
      </c>
      <c r="AI9188">
        <v>149.78440000000001</v>
      </c>
      <c r="AJ9188">
        <v>35.03678</v>
      </c>
      <c r="AK9188">
        <v>38.667250000000003</v>
      </c>
    </row>
    <row r="9189" spans="1:37" x14ac:dyDescent="0.3">
      <c r="A9189">
        <v>9188</v>
      </c>
      <c r="B9189">
        <v>7.5</v>
      </c>
      <c r="C9189">
        <v>13.608599999999999</v>
      </c>
      <c r="D9189">
        <v>-4.3241699999999996</v>
      </c>
      <c r="E9189" t="s">
        <v>13994</v>
      </c>
      <c r="F9189" t="s">
        <v>13995</v>
      </c>
      <c r="G9189" t="s">
        <v>39</v>
      </c>
      <c r="H9189">
        <v>1995</v>
      </c>
      <c r="I9189">
        <v>24.552890000000001</v>
      </c>
      <c r="J9189">
        <v>8.4</v>
      </c>
      <c r="K9189">
        <v>62</v>
      </c>
      <c r="L9189">
        <v>15.104710000000001</v>
      </c>
      <c r="M9189">
        <v>30.752890000000001</v>
      </c>
      <c r="N9189">
        <v>17.352889999999999</v>
      </c>
      <c r="O9189">
        <v>13.4</v>
      </c>
      <c r="P9189">
        <v>25.252890000000001</v>
      </c>
      <c r="Q9189">
        <v>22.152889999999999</v>
      </c>
      <c r="R9189">
        <v>25.95289</v>
      </c>
      <c r="S9189">
        <v>22.152889999999999</v>
      </c>
      <c r="T9189">
        <v>1224.24</v>
      </c>
      <c r="U9189">
        <v>219.94220000000001</v>
      </c>
      <c r="V9189">
        <v>0</v>
      </c>
      <c r="W9189">
        <v>77.528899999999993</v>
      </c>
      <c r="X9189">
        <v>508.88440000000003</v>
      </c>
      <c r="Y9189">
        <v>1</v>
      </c>
      <c r="Z9189">
        <v>495.88440000000003</v>
      </c>
      <c r="AA9189">
        <v>1</v>
      </c>
      <c r="AB9189">
        <v>1.0767089999999999</v>
      </c>
      <c r="AC9189">
        <v>1.3279909999999999</v>
      </c>
      <c r="AD9189">
        <v>4.3565820000000004</v>
      </c>
      <c r="AE9189">
        <v>0.32463160000000002</v>
      </c>
      <c r="AF9189">
        <v>313.45179999999999</v>
      </c>
      <c r="AG9189">
        <f>IFERROR(AH9189*0.1, "N/A")</f>
        <v>5</v>
      </c>
      <c r="AH9189">
        <v>50</v>
      </c>
      <c r="AI9189">
        <v>129.33019999999999</v>
      </c>
      <c r="AJ9189">
        <v>37.5289</v>
      </c>
      <c r="AK9189">
        <v>40.061300000000003</v>
      </c>
    </row>
    <row r="9190" spans="1:37" x14ac:dyDescent="0.3">
      <c r="A9190">
        <v>9189</v>
      </c>
      <c r="B9190">
        <v>0</v>
      </c>
      <c r="C9190">
        <v>13.813800000000001</v>
      </c>
      <c r="D9190">
        <v>-4.3972300000000004</v>
      </c>
      <c r="E9190" t="s">
        <v>13996</v>
      </c>
      <c r="F9190" t="s">
        <v>13997</v>
      </c>
      <c r="G9190" t="s">
        <v>39</v>
      </c>
      <c r="H9190">
        <v>1964</v>
      </c>
      <c r="I9190">
        <v>24.5</v>
      </c>
      <c r="J9190">
        <v>8.5</v>
      </c>
      <c r="K9190">
        <v>63</v>
      </c>
      <c r="L9190">
        <v>14.96</v>
      </c>
      <c r="M9190">
        <v>30.7</v>
      </c>
      <c r="N9190">
        <v>17.3</v>
      </c>
      <c r="O9190">
        <v>13.4</v>
      </c>
      <c r="P9190">
        <v>25.1</v>
      </c>
      <c r="Q9190">
        <v>22.1</v>
      </c>
      <c r="R9190">
        <v>25.8</v>
      </c>
      <c r="S9190">
        <v>22.1</v>
      </c>
      <c r="T9190">
        <v>1233</v>
      </c>
      <c r="U9190">
        <v>225</v>
      </c>
      <c r="V9190">
        <v>0</v>
      </c>
      <c r="W9190">
        <v>77</v>
      </c>
      <c r="X9190">
        <v>517</v>
      </c>
      <c r="Y9190">
        <v>2</v>
      </c>
      <c r="Z9190">
        <v>493</v>
      </c>
      <c r="AA9190">
        <v>2</v>
      </c>
      <c r="AB9190">
        <v>16.11233</v>
      </c>
      <c r="AC9190">
        <v>1.7196449999999999E-2</v>
      </c>
      <c r="AD9190">
        <v>6.3464559999999999</v>
      </c>
      <c r="AE9190">
        <v>0.39553270000000001</v>
      </c>
      <c r="AF9190">
        <v>348.66899999999998</v>
      </c>
      <c r="AG9190">
        <f>IFERROR(AH9190*0.1, "N/A")</f>
        <v>5.3000000000000007</v>
      </c>
      <c r="AH9190">
        <v>53</v>
      </c>
      <c r="AI9190">
        <v>89.278809999999993</v>
      </c>
      <c r="AJ9190">
        <v>31</v>
      </c>
      <c r="AK9190">
        <v>51</v>
      </c>
    </row>
    <row r="9191" spans="1:37" x14ac:dyDescent="0.3">
      <c r="A9191">
        <v>9190</v>
      </c>
      <c r="B9191">
        <v>17.100000000000001</v>
      </c>
      <c r="C9191">
        <v>13.619899999999999</v>
      </c>
      <c r="D9191">
        <v>-4.44095</v>
      </c>
      <c r="E9191" t="s">
        <v>13998</v>
      </c>
      <c r="F9191" t="s">
        <v>13999</v>
      </c>
      <c r="G9191" t="s">
        <v>39</v>
      </c>
      <c r="H9191">
        <v>1995</v>
      </c>
      <c r="I9191">
        <v>24.3</v>
      </c>
      <c r="J9191">
        <v>8.3221050000000005</v>
      </c>
      <c r="K9191">
        <v>61.221049999999998</v>
      </c>
      <c r="L9191">
        <v>15.83558</v>
      </c>
      <c r="M9191">
        <v>30.5779</v>
      </c>
      <c r="N9191">
        <v>17.15579</v>
      </c>
      <c r="O9191">
        <v>13.4221</v>
      </c>
      <c r="P9191">
        <v>25.0779</v>
      </c>
      <c r="Q9191">
        <v>21.8</v>
      </c>
      <c r="R9191">
        <v>25.777889999999999</v>
      </c>
      <c r="S9191">
        <v>21.8</v>
      </c>
      <c r="T9191">
        <v>1225.221</v>
      </c>
      <c r="U9191">
        <v>221</v>
      </c>
      <c r="V9191">
        <v>0</v>
      </c>
      <c r="W9191">
        <v>77</v>
      </c>
      <c r="X9191">
        <v>510</v>
      </c>
      <c r="Y9191">
        <v>2</v>
      </c>
      <c r="Z9191">
        <v>500.22109999999998</v>
      </c>
      <c r="AA9191">
        <v>2</v>
      </c>
      <c r="AB9191">
        <v>19.162800000000001</v>
      </c>
      <c r="AC9191">
        <v>8.5227069999999992E-3</v>
      </c>
      <c r="AD9191">
        <v>4.2788490000000001</v>
      </c>
      <c r="AE9191">
        <v>0.62019639999999998</v>
      </c>
      <c r="AF9191">
        <v>360.13510000000002</v>
      </c>
      <c r="AG9191">
        <f>IFERROR(AH9191*0.1, "N/A")</f>
        <v>4.6101750000000008</v>
      </c>
      <c r="AH9191">
        <v>46.101750000000003</v>
      </c>
      <c r="AI9191">
        <v>214.12649999999999</v>
      </c>
      <c r="AJ9191">
        <v>31.407019999999999</v>
      </c>
      <c r="AK9191">
        <v>48.898249999999997</v>
      </c>
    </row>
    <row r="9192" spans="1:37" x14ac:dyDescent="0.3">
      <c r="A9192">
        <v>9191</v>
      </c>
      <c r="B9192">
        <v>10</v>
      </c>
      <c r="C9192">
        <v>12.947699999999999</v>
      </c>
      <c r="D9192">
        <v>-4.4844200000000001</v>
      </c>
      <c r="E9192" t="s">
        <v>14000</v>
      </c>
      <c r="F9192" t="s">
        <v>14001</v>
      </c>
      <c r="G9192" t="s">
        <v>39</v>
      </c>
      <c r="H9192">
        <v>1964</v>
      </c>
      <c r="I9192">
        <v>23.4</v>
      </c>
      <c r="J9192">
        <v>8.1</v>
      </c>
      <c r="K9192">
        <v>60</v>
      </c>
      <c r="L9192">
        <v>16.809999999999999</v>
      </c>
      <c r="M9192">
        <v>29.5</v>
      </c>
      <c r="N9192">
        <v>16.2</v>
      </c>
      <c r="O9192">
        <v>13.3</v>
      </c>
      <c r="P9192">
        <v>24.9</v>
      </c>
      <c r="Q9192">
        <v>20.7</v>
      </c>
      <c r="R9192">
        <v>24.9</v>
      </c>
      <c r="S9192">
        <v>20.7</v>
      </c>
      <c r="T9192">
        <v>1223</v>
      </c>
      <c r="U9192">
        <v>222</v>
      </c>
      <c r="V9192">
        <v>0</v>
      </c>
      <c r="W9192">
        <v>80</v>
      </c>
      <c r="X9192">
        <v>528</v>
      </c>
      <c r="Y9192">
        <v>2</v>
      </c>
      <c r="Z9192">
        <v>528</v>
      </c>
      <c r="AA9192">
        <v>2</v>
      </c>
      <c r="AB9192">
        <v>32.273910000000001</v>
      </c>
      <c r="AC9192">
        <v>1.823841E-2</v>
      </c>
      <c r="AD9192">
        <v>1.779749</v>
      </c>
      <c r="AE9192">
        <v>0.29121770000000002</v>
      </c>
      <c r="AF9192">
        <v>403.78809999999999</v>
      </c>
      <c r="AG9192">
        <f>IFERROR(AH9192*0.1, "N/A")</f>
        <v>4.9994750000000003</v>
      </c>
      <c r="AH9192">
        <v>49.994750000000003</v>
      </c>
      <c r="AI9192">
        <v>118.86450000000001</v>
      </c>
      <c r="AJ9192">
        <v>31.02102</v>
      </c>
      <c r="AK9192">
        <v>47.989490000000004</v>
      </c>
    </row>
    <row r="9193" spans="1:37" x14ac:dyDescent="0.3">
      <c r="A9193">
        <v>9192</v>
      </c>
      <c r="B9193">
        <v>1.2</v>
      </c>
      <c r="C9193">
        <v>11.8666</v>
      </c>
      <c r="D9193">
        <v>-4.7683900000000001</v>
      </c>
      <c r="E9193" t="s">
        <v>14002</v>
      </c>
      <c r="F9193" t="s">
        <v>14003</v>
      </c>
      <c r="G9193" t="s">
        <v>39</v>
      </c>
      <c r="H9193">
        <v>1964</v>
      </c>
      <c r="I9193">
        <v>24.9</v>
      </c>
      <c r="J9193">
        <v>6.6</v>
      </c>
      <c r="K9193">
        <v>51</v>
      </c>
      <c r="L9193">
        <v>19.477409999999999</v>
      </c>
      <c r="M9193">
        <v>30.8</v>
      </c>
      <c r="N9193">
        <v>18.100000000000001</v>
      </c>
      <c r="O9193">
        <v>12.7</v>
      </c>
      <c r="P9193">
        <v>26.9</v>
      </c>
      <c r="Q9193">
        <v>21.9</v>
      </c>
      <c r="R9193">
        <v>26.9</v>
      </c>
      <c r="S9193">
        <v>21.9</v>
      </c>
      <c r="T9193">
        <v>1210.4939999999999</v>
      </c>
      <c r="U9193">
        <v>212.62350000000001</v>
      </c>
      <c r="V9193">
        <v>0</v>
      </c>
      <c r="W9193">
        <v>81</v>
      </c>
      <c r="X9193">
        <v>571.87040000000002</v>
      </c>
      <c r="Y9193">
        <v>2</v>
      </c>
      <c r="Z9193">
        <v>571.87040000000002</v>
      </c>
      <c r="AA9193">
        <v>2</v>
      </c>
      <c r="AB9193">
        <v>0.84973719999999997</v>
      </c>
      <c r="AC9193">
        <v>7.007301</v>
      </c>
      <c r="AD9193">
        <v>2.423308</v>
      </c>
      <c r="AE9193">
        <v>0.87534979999999996</v>
      </c>
      <c r="AF9193">
        <v>6.9509629999999998</v>
      </c>
      <c r="AG9193">
        <f>IFERROR(AH9193*0.1, "N/A")</f>
        <v>6.3595450000000007</v>
      </c>
      <c r="AH9193">
        <v>63.59545</v>
      </c>
      <c r="AI9193">
        <v>87.712220000000002</v>
      </c>
      <c r="AJ9193">
        <v>27.623470000000001</v>
      </c>
      <c r="AK9193">
        <v>55.246940000000002</v>
      </c>
    </row>
    <row r="9194" spans="1:37" x14ac:dyDescent="0.3">
      <c r="A9194">
        <v>9193</v>
      </c>
      <c r="B9194">
        <v>0.8</v>
      </c>
      <c r="C9194">
        <v>11.8674</v>
      </c>
      <c r="D9194">
        <v>-4.7803100000000001</v>
      </c>
      <c r="E9194" t="s">
        <v>14004</v>
      </c>
      <c r="F9194" t="s">
        <v>14005</v>
      </c>
      <c r="G9194" t="s">
        <v>39</v>
      </c>
      <c r="H9194">
        <v>1986</v>
      </c>
      <c r="I9194">
        <v>24.9</v>
      </c>
      <c r="J9194">
        <v>6.6</v>
      </c>
      <c r="K9194">
        <v>51.96322</v>
      </c>
      <c r="L9194">
        <v>19.121770000000001</v>
      </c>
      <c r="M9194">
        <v>30.703679999999999</v>
      </c>
      <c r="N9194">
        <v>18.100000000000001</v>
      </c>
      <c r="O9194">
        <v>12.603680000000001</v>
      </c>
      <c r="P9194">
        <v>26.8</v>
      </c>
      <c r="Q9194">
        <v>21.9</v>
      </c>
      <c r="R9194">
        <v>26.8</v>
      </c>
      <c r="S9194">
        <v>21.9</v>
      </c>
      <c r="T9194">
        <v>1209</v>
      </c>
      <c r="U9194">
        <v>213</v>
      </c>
      <c r="V9194">
        <v>0</v>
      </c>
      <c r="W9194">
        <v>82</v>
      </c>
      <c r="X9194">
        <v>572</v>
      </c>
      <c r="Y9194">
        <v>2</v>
      </c>
      <c r="Z9194">
        <v>572</v>
      </c>
      <c r="AA9194">
        <v>2</v>
      </c>
      <c r="AB9194">
        <v>12.438179999999999</v>
      </c>
      <c r="AC9194">
        <v>2.7241979999999999E-2</v>
      </c>
      <c r="AD9194">
        <v>2.0797439999999998</v>
      </c>
      <c r="AE9194">
        <v>0.90989540000000002</v>
      </c>
      <c r="AF9194">
        <v>16.910679999999999</v>
      </c>
      <c r="AG9194">
        <f>IFERROR(AH9194*0.1, "N/A")</f>
        <v>6.5182140000000004</v>
      </c>
      <c r="AH9194">
        <v>65.182140000000004</v>
      </c>
      <c r="AI9194">
        <v>234.23689999999999</v>
      </c>
      <c r="AJ9194">
        <v>23.292470000000002</v>
      </c>
      <c r="AK9194">
        <v>60.488619999999997</v>
      </c>
    </row>
    <row r="9195" spans="1:37" x14ac:dyDescent="0.3">
      <c r="A9195">
        <v>9194</v>
      </c>
      <c r="B9195">
        <v>55.5</v>
      </c>
      <c r="C9195">
        <v>13.9328</v>
      </c>
      <c r="D9195">
        <v>8.5753000000000004</v>
      </c>
      <c r="E9195" t="s">
        <v>14006</v>
      </c>
      <c r="F9195" t="s">
        <v>14007</v>
      </c>
      <c r="G9195" t="s">
        <v>39</v>
      </c>
      <c r="H9195">
        <v>2007</v>
      </c>
      <c r="I9195">
        <v>27.1</v>
      </c>
      <c r="J9195">
        <v>12.7</v>
      </c>
      <c r="K9195">
        <v>59.499139999999997</v>
      </c>
      <c r="L9195">
        <v>19.030259999999998</v>
      </c>
      <c r="M9195">
        <v>37.700000000000003</v>
      </c>
      <c r="N9195">
        <v>16.549910000000001</v>
      </c>
      <c r="O9195">
        <v>21.150089999999999</v>
      </c>
      <c r="P9195">
        <v>25.649909999999998</v>
      </c>
      <c r="Q9195">
        <v>25.9</v>
      </c>
      <c r="R9195">
        <v>30.1</v>
      </c>
      <c r="S9195">
        <v>25.649909999999998</v>
      </c>
      <c r="T9195">
        <v>1168</v>
      </c>
      <c r="U9195">
        <v>258</v>
      </c>
      <c r="V9195">
        <v>0</v>
      </c>
      <c r="W9195">
        <v>100</v>
      </c>
      <c r="X9195">
        <v>724</v>
      </c>
      <c r="Y9195">
        <v>0</v>
      </c>
      <c r="Z9195">
        <v>192</v>
      </c>
      <c r="AA9195">
        <v>362.87740000000002</v>
      </c>
      <c r="AB9195">
        <v>4.5885980000000002</v>
      </c>
      <c r="AC9195">
        <v>1.553585E-2</v>
      </c>
      <c r="AD9195">
        <v>1.1454340000000001</v>
      </c>
      <c r="AE9195">
        <v>0.13702539999999999</v>
      </c>
      <c r="AF9195">
        <v>248.1174</v>
      </c>
      <c r="AG9195">
        <f>IFERROR(AH9195*0.1, "N/A")</f>
        <v>6.855613</v>
      </c>
      <c r="AH9195">
        <v>68.556129999999996</v>
      </c>
      <c r="AI9195">
        <v>210.3467</v>
      </c>
      <c r="AJ9195">
        <v>20</v>
      </c>
      <c r="AK9195">
        <v>53.556130000000003</v>
      </c>
    </row>
    <row r="9196" spans="1:37" x14ac:dyDescent="0.3">
      <c r="A9196">
        <v>9195</v>
      </c>
      <c r="B9196">
        <v>25.7</v>
      </c>
      <c r="C9196">
        <v>13.9328</v>
      </c>
      <c r="D9196">
        <v>8.5753000000000004</v>
      </c>
      <c r="E9196" t="s">
        <v>14006</v>
      </c>
      <c r="F9196" t="s">
        <v>14008</v>
      </c>
      <c r="G9196" t="s">
        <v>37</v>
      </c>
      <c r="H9196">
        <v>2003</v>
      </c>
      <c r="I9196">
        <v>27.1</v>
      </c>
      <c r="J9196">
        <v>12.7</v>
      </c>
      <c r="K9196">
        <v>59.499139999999997</v>
      </c>
      <c r="L9196">
        <v>19.030259999999998</v>
      </c>
      <c r="M9196">
        <v>37.700000000000003</v>
      </c>
      <c r="N9196">
        <v>16.549910000000001</v>
      </c>
      <c r="O9196">
        <v>21.150089999999999</v>
      </c>
      <c r="P9196">
        <v>25.649909999999998</v>
      </c>
      <c r="Q9196">
        <v>25.9</v>
      </c>
      <c r="R9196">
        <v>30.1</v>
      </c>
      <c r="S9196">
        <v>25.649909999999998</v>
      </c>
      <c r="T9196">
        <v>1168</v>
      </c>
      <c r="U9196">
        <v>258</v>
      </c>
      <c r="V9196">
        <v>0</v>
      </c>
      <c r="W9196">
        <v>100</v>
      </c>
      <c r="X9196">
        <v>724</v>
      </c>
      <c r="Y9196">
        <v>0</v>
      </c>
      <c r="Z9196">
        <v>192</v>
      </c>
      <c r="AA9196">
        <v>362.87740000000002</v>
      </c>
      <c r="AB9196">
        <v>4.5885980000000002</v>
      </c>
      <c r="AC9196">
        <v>1.553585E-2</v>
      </c>
      <c r="AD9196">
        <v>1.1454340000000001</v>
      </c>
      <c r="AE9196">
        <v>0.13702539999999999</v>
      </c>
      <c r="AF9196">
        <v>248.1174</v>
      </c>
      <c r="AG9196">
        <f>IFERROR(AH9196*0.1, "N/A")</f>
        <v>6.855613</v>
      </c>
      <c r="AH9196">
        <v>68.556129999999996</v>
      </c>
      <c r="AI9196">
        <v>210.3467</v>
      </c>
      <c r="AJ9196">
        <v>20</v>
      </c>
      <c r="AK9196">
        <v>53.556130000000003</v>
      </c>
    </row>
    <row r="9197" spans="1:37" x14ac:dyDescent="0.3">
      <c r="A9197">
        <v>9196</v>
      </c>
      <c r="B9197">
        <v>2.1</v>
      </c>
      <c r="C9197">
        <v>15.216699999999999</v>
      </c>
      <c r="D9197">
        <v>2.0416699999999999</v>
      </c>
      <c r="E9197" t="s">
        <v>14009</v>
      </c>
      <c r="F9197" t="s">
        <v>14010</v>
      </c>
      <c r="G9197" t="s">
        <v>39</v>
      </c>
      <c r="H9197">
        <v>1990</v>
      </c>
      <c r="I9197">
        <v>25.230989999999998</v>
      </c>
      <c r="J9197">
        <v>10.199999999999999</v>
      </c>
      <c r="K9197">
        <v>80</v>
      </c>
      <c r="L9197">
        <v>7.1615489999999999</v>
      </c>
      <c r="M9197">
        <v>31.857040000000001</v>
      </c>
      <c r="N9197">
        <v>19.230989999999998</v>
      </c>
      <c r="O9197">
        <v>12.626060000000001</v>
      </c>
      <c r="P9197">
        <v>25.004930000000002</v>
      </c>
      <c r="Q9197">
        <v>25.357040000000001</v>
      </c>
      <c r="R9197">
        <v>26.030989999999999</v>
      </c>
      <c r="S9197">
        <v>24.26549</v>
      </c>
      <c r="T9197">
        <v>1540.4649999999999</v>
      </c>
      <c r="U9197">
        <v>223.3451</v>
      </c>
      <c r="V9197">
        <v>57</v>
      </c>
      <c r="W9197">
        <v>42</v>
      </c>
      <c r="X9197">
        <v>580.69010000000003</v>
      </c>
      <c r="Y9197">
        <v>208</v>
      </c>
      <c r="Z9197">
        <v>402.29579999999999</v>
      </c>
      <c r="AA9197">
        <v>400.82389999999998</v>
      </c>
      <c r="AB9197">
        <v>13.99948</v>
      </c>
      <c r="AC9197">
        <v>8.6327769999999995E-3</v>
      </c>
      <c r="AD9197">
        <v>2.9429949999999998</v>
      </c>
      <c r="AE9197">
        <v>0.38335629999999998</v>
      </c>
      <c r="AF9197">
        <v>346.2165</v>
      </c>
      <c r="AG9197">
        <f>IFERROR(AH9197*0.1, "N/A")</f>
        <v>5.0644370000000007</v>
      </c>
      <c r="AH9197">
        <v>50.644370000000002</v>
      </c>
      <c r="AI9197">
        <v>111.53319999999999</v>
      </c>
      <c r="AJ9197">
        <v>28.883800000000001</v>
      </c>
      <c r="AK9197">
        <v>51.75</v>
      </c>
    </row>
    <row r="9198" spans="1:37" x14ac:dyDescent="0.3">
      <c r="A9198">
        <v>9197</v>
      </c>
      <c r="B9198">
        <v>2.5</v>
      </c>
      <c r="C9198">
        <v>15.216699999999999</v>
      </c>
      <c r="D9198">
        <v>2.0416699999999999</v>
      </c>
      <c r="E9198" t="s">
        <v>14009</v>
      </c>
      <c r="F9198" t="s">
        <v>14011</v>
      </c>
      <c r="G9198" t="s">
        <v>37</v>
      </c>
      <c r="H9198">
        <v>1990</v>
      </c>
      <c r="I9198">
        <v>25.230989999999998</v>
      </c>
      <c r="J9198">
        <v>10.199999999999999</v>
      </c>
      <c r="K9198">
        <v>80</v>
      </c>
      <c r="L9198">
        <v>7.1615489999999999</v>
      </c>
      <c r="M9198">
        <v>31.857040000000001</v>
      </c>
      <c r="N9198">
        <v>19.230989999999998</v>
      </c>
      <c r="O9198">
        <v>12.626060000000001</v>
      </c>
      <c r="P9198">
        <v>25.004930000000002</v>
      </c>
      <c r="Q9198">
        <v>25.357040000000001</v>
      </c>
      <c r="R9198">
        <v>26.030989999999999</v>
      </c>
      <c r="S9198">
        <v>24.26549</v>
      </c>
      <c r="T9198">
        <v>1540.4649999999999</v>
      </c>
      <c r="U9198">
        <v>223.3451</v>
      </c>
      <c r="V9198">
        <v>57</v>
      </c>
      <c r="W9198">
        <v>42</v>
      </c>
      <c r="X9198">
        <v>580.69010000000003</v>
      </c>
      <c r="Y9198">
        <v>208</v>
      </c>
      <c r="Z9198">
        <v>402.29579999999999</v>
      </c>
      <c r="AA9198">
        <v>400.82389999999998</v>
      </c>
      <c r="AB9198">
        <v>13.99948</v>
      </c>
      <c r="AC9198">
        <v>8.6327769999999995E-3</v>
      </c>
      <c r="AD9198">
        <v>2.9429949999999998</v>
      </c>
      <c r="AE9198">
        <v>0.38335629999999998</v>
      </c>
      <c r="AF9198">
        <v>346.2165</v>
      </c>
      <c r="AG9198">
        <f>IFERROR(AH9198*0.1, "N/A")</f>
        <v>5.0644370000000007</v>
      </c>
      <c r="AH9198">
        <v>50.644370000000002</v>
      </c>
      <c r="AI9198">
        <v>111.53319999999999</v>
      </c>
      <c r="AJ9198">
        <v>28.883800000000001</v>
      </c>
      <c r="AK9198">
        <v>51.75</v>
      </c>
    </row>
    <row r="9199" spans="1:37" x14ac:dyDescent="0.3">
      <c r="A9199">
        <v>9198</v>
      </c>
      <c r="B9199">
        <v>0</v>
      </c>
      <c r="C9199">
        <v>15.216699999999999</v>
      </c>
      <c r="D9199">
        <v>2.0416699999999999</v>
      </c>
      <c r="E9199" t="s">
        <v>14009</v>
      </c>
      <c r="F9199" t="s">
        <v>14012</v>
      </c>
      <c r="G9199" t="s">
        <v>2420</v>
      </c>
      <c r="H9199">
        <v>1990</v>
      </c>
      <c r="I9199">
        <v>25.230989999999998</v>
      </c>
      <c r="J9199">
        <v>10.199999999999999</v>
      </c>
      <c r="K9199">
        <v>80</v>
      </c>
      <c r="L9199">
        <v>7.1615489999999999</v>
      </c>
      <c r="M9199">
        <v>31.857040000000001</v>
      </c>
      <c r="N9199">
        <v>19.230989999999998</v>
      </c>
      <c r="O9199">
        <v>12.626060000000001</v>
      </c>
      <c r="P9199">
        <v>25.004930000000002</v>
      </c>
      <c r="Q9199">
        <v>25.357040000000001</v>
      </c>
      <c r="R9199">
        <v>26.030989999999999</v>
      </c>
      <c r="S9199">
        <v>24.26549</v>
      </c>
      <c r="T9199">
        <v>1540.4649999999999</v>
      </c>
      <c r="U9199">
        <v>223.3451</v>
      </c>
      <c r="V9199">
        <v>57</v>
      </c>
      <c r="W9199">
        <v>42</v>
      </c>
      <c r="X9199">
        <v>580.69010000000003</v>
      </c>
      <c r="Y9199">
        <v>208</v>
      </c>
      <c r="Z9199">
        <v>402.29579999999999</v>
      </c>
      <c r="AA9199">
        <v>400.82389999999998</v>
      </c>
      <c r="AB9199">
        <v>13.99948</v>
      </c>
      <c r="AC9199">
        <v>8.6327769999999995E-3</v>
      </c>
      <c r="AD9199">
        <v>2.9429949999999998</v>
      </c>
      <c r="AE9199">
        <v>0.38335629999999998</v>
      </c>
      <c r="AF9199">
        <v>346.2165</v>
      </c>
      <c r="AG9199">
        <f>IFERROR(AH9199*0.1, "N/A")</f>
        <v>5.0644370000000007</v>
      </c>
      <c r="AH9199">
        <v>50.644370000000002</v>
      </c>
      <c r="AI9199">
        <v>111.53319999999999</v>
      </c>
      <c r="AJ9199">
        <v>28.883800000000001</v>
      </c>
      <c r="AK9199">
        <v>51.75</v>
      </c>
    </row>
    <row r="9200" spans="1:37" x14ac:dyDescent="0.3">
      <c r="A9200">
        <v>9199</v>
      </c>
      <c r="B9200">
        <v>0</v>
      </c>
      <c r="C9200">
        <v>15.333299999999999</v>
      </c>
      <c r="D9200">
        <v>2.12222</v>
      </c>
      <c r="E9200" t="s">
        <v>14013</v>
      </c>
      <c r="F9200" t="s">
        <v>14014</v>
      </c>
      <c r="G9200" t="s">
        <v>39</v>
      </c>
      <c r="H9200">
        <v>1990</v>
      </c>
      <c r="I9200">
        <v>24.646840000000001</v>
      </c>
      <c r="J9200">
        <v>10.3</v>
      </c>
      <c r="K9200">
        <v>80.531580000000005</v>
      </c>
      <c r="L9200">
        <v>6.5750529999999996</v>
      </c>
      <c r="M9200">
        <v>31.34684</v>
      </c>
      <c r="N9200">
        <v>18.600000000000001</v>
      </c>
      <c r="O9200">
        <v>12.746840000000001</v>
      </c>
      <c r="P9200">
        <v>24.4</v>
      </c>
      <c r="Q9200">
        <v>24.8</v>
      </c>
      <c r="R9200">
        <v>25.5</v>
      </c>
      <c r="S9200">
        <v>23.8</v>
      </c>
      <c r="T9200">
        <v>1575</v>
      </c>
      <c r="U9200">
        <v>226</v>
      </c>
      <c r="V9200">
        <v>54</v>
      </c>
      <c r="W9200">
        <v>41</v>
      </c>
      <c r="X9200">
        <v>588</v>
      </c>
      <c r="Y9200">
        <v>203</v>
      </c>
      <c r="Z9200">
        <v>399.53160000000003</v>
      </c>
      <c r="AA9200">
        <v>423</v>
      </c>
      <c r="AB9200">
        <v>41.401229999999998</v>
      </c>
      <c r="AC9200">
        <v>1.2408539999999999E-2</v>
      </c>
      <c r="AD9200">
        <v>5.0677989999999999</v>
      </c>
      <c r="AE9200">
        <v>0.1220646</v>
      </c>
      <c r="AF9200">
        <v>447.47719999999998</v>
      </c>
      <c r="AG9200">
        <f>IFERROR(AH9200*0.1, "N/A")</f>
        <v>5.4101750000000006</v>
      </c>
      <c r="AH9200">
        <v>54.101750000000003</v>
      </c>
      <c r="AI9200">
        <v>252.7379</v>
      </c>
      <c r="AJ9200">
        <v>32.898249999999997</v>
      </c>
      <c r="AK9200">
        <v>54.959650000000003</v>
      </c>
    </row>
    <row r="9201" spans="1:37" x14ac:dyDescent="0.3">
      <c r="A9201">
        <v>9200</v>
      </c>
      <c r="B9201">
        <v>0</v>
      </c>
      <c r="C9201">
        <v>15.333299999999999</v>
      </c>
      <c r="D9201">
        <v>2.12222</v>
      </c>
      <c r="E9201" t="s">
        <v>14013</v>
      </c>
      <c r="F9201" t="s">
        <v>14015</v>
      </c>
      <c r="G9201" t="s">
        <v>37</v>
      </c>
      <c r="H9201">
        <v>1990</v>
      </c>
      <c r="I9201">
        <v>24.646840000000001</v>
      </c>
      <c r="J9201">
        <v>10.3</v>
      </c>
      <c r="K9201">
        <v>80.531580000000005</v>
      </c>
      <c r="L9201">
        <v>6.5750529999999996</v>
      </c>
      <c r="M9201">
        <v>31.34684</v>
      </c>
      <c r="N9201">
        <v>18.600000000000001</v>
      </c>
      <c r="O9201">
        <v>12.746840000000001</v>
      </c>
      <c r="P9201">
        <v>24.4</v>
      </c>
      <c r="Q9201">
        <v>24.8</v>
      </c>
      <c r="R9201">
        <v>25.5</v>
      </c>
      <c r="S9201">
        <v>23.8</v>
      </c>
      <c r="T9201">
        <v>1575</v>
      </c>
      <c r="U9201">
        <v>226</v>
      </c>
      <c r="V9201">
        <v>54</v>
      </c>
      <c r="W9201">
        <v>41</v>
      </c>
      <c r="X9201">
        <v>588</v>
      </c>
      <c r="Y9201">
        <v>203</v>
      </c>
      <c r="Z9201">
        <v>399.53160000000003</v>
      </c>
      <c r="AA9201">
        <v>423</v>
      </c>
      <c r="AB9201">
        <v>41.401229999999998</v>
      </c>
      <c r="AC9201">
        <v>1.2408539999999999E-2</v>
      </c>
      <c r="AD9201">
        <v>5.0677989999999999</v>
      </c>
      <c r="AE9201">
        <v>0.1220646</v>
      </c>
      <c r="AF9201">
        <v>447.47719999999998</v>
      </c>
      <c r="AG9201">
        <f>IFERROR(AH9201*0.1, "N/A")</f>
        <v>5.4101750000000006</v>
      </c>
      <c r="AH9201">
        <v>54.101750000000003</v>
      </c>
      <c r="AI9201">
        <v>252.7379</v>
      </c>
      <c r="AJ9201">
        <v>32.898249999999997</v>
      </c>
      <c r="AK9201">
        <v>54.959650000000003</v>
      </c>
    </row>
    <row r="9202" spans="1:37" x14ac:dyDescent="0.3">
      <c r="A9202">
        <v>9201</v>
      </c>
      <c r="B9202">
        <v>0</v>
      </c>
      <c r="C9202">
        <v>15.333299999999999</v>
      </c>
      <c r="D9202">
        <v>2.12222</v>
      </c>
      <c r="E9202" t="s">
        <v>14013</v>
      </c>
      <c r="F9202" t="s">
        <v>14016</v>
      </c>
      <c r="G9202" t="s">
        <v>2420</v>
      </c>
      <c r="H9202">
        <v>1990</v>
      </c>
      <c r="I9202">
        <v>24.646840000000001</v>
      </c>
      <c r="J9202">
        <v>10.3</v>
      </c>
      <c r="K9202">
        <v>80.531580000000005</v>
      </c>
      <c r="L9202">
        <v>6.5750529999999996</v>
      </c>
      <c r="M9202">
        <v>31.34684</v>
      </c>
      <c r="N9202">
        <v>18.600000000000001</v>
      </c>
      <c r="O9202">
        <v>12.746840000000001</v>
      </c>
      <c r="P9202">
        <v>24.4</v>
      </c>
      <c r="Q9202">
        <v>24.8</v>
      </c>
      <c r="R9202">
        <v>25.5</v>
      </c>
      <c r="S9202">
        <v>23.8</v>
      </c>
      <c r="T9202">
        <v>1575</v>
      </c>
      <c r="U9202">
        <v>226</v>
      </c>
      <c r="V9202">
        <v>54</v>
      </c>
      <c r="W9202">
        <v>41</v>
      </c>
      <c r="X9202">
        <v>588</v>
      </c>
      <c r="Y9202">
        <v>203</v>
      </c>
      <c r="Z9202">
        <v>399.53160000000003</v>
      </c>
      <c r="AA9202">
        <v>423</v>
      </c>
      <c r="AB9202">
        <v>41.401229999999998</v>
      </c>
      <c r="AC9202">
        <v>1.2408539999999999E-2</v>
      </c>
      <c r="AD9202">
        <v>5.0677989999999999</v>
      </c>
      <c r="AE9202">
        <v>0.1220646</v>
      </c>
      <c r="AF9202">
        <v>447.47719999999998</v>
      </c>
      <c r="AG9202">
        <f>IFERROR(AH9202*0.1, "N/A")</f>
        <v>5.4101750000000006</v>
      </c>
      <c r="AH9202">
        <v>54.101750000000003</v>
      </c>
      <c r="AI9202">
        <v>252.7379</v>
      </c>
      <c r="AJ9202">
        <v>32.898249999999997</v>
      </c>
      <c r="AK9202">
        <v>54.959650000000003</v>
      </c>
    </row>
    <row r="9203" spans="1:37" x14ac:dyDescent="0.3">
      <c r="A9203">
        <v>9202</v>
      </c>
      <c r="B9203">
        <v>0</v>
      </c>
      <c r="C9203">
        <v>11.125</v>
      </c>
      <c r="D9203">
        <v>2.1749999999999998</v>
      </c>
      <c r="E9203" t="s">
        <v>14017</v>
      </c>
      <c r="F9203" t="s">
        <v>14018</v>
      </c>
      <c r="G9203" t="s">
        <v>39</v>
      </c>
      <c r="H9203">
        <v>1990</v>
      </c>
      <c r="I9203">
        <v>23.355709999999998</v>
      </c>
      <c r="J9203">
        <v>8.9</v>
      </c>
      <c r="K9203">
        <v>80</v>
      </c>
      <c r="L9203">
        <v>7.2517750000000003</v>
      </c>
      <c r="M9203">
        <v>29.17399</v>
      </c>
      <c r="N9203">
        <v>18.10791</v>
      </c>
      <c r="O9203">
        <v>11.066079999999999</v>
      </c>
      <c r="P9203">
        <v>22.973990000000001</v>
      </c>
      <c r="Q9203">
        <v>23.855709999999998</v>
      </c>
      <c r="R9203">
        <v>24.081720000000001</v>
      </c>
      <c r="S9203">
        <v>22.30791</v>
      </c>
      <c r="T9203">
        <v>1799.6379999999999</v>
      </c>
      <c r="U9203">
        <v>319.52199999999999</v>
      </c>
      <c r="V9203">
        <v>37.660809999999998</v>
      </c>
      <c r="W9203">
        <v>57.739890000000003</v>
      </c>
      <c r="X9203">
        <v>747.85940000000005</v>
      </c>
      <c r="Y9203">
        <v>208.3374</v>
      </c>
      <c r="Z9203">
        <v>494.11950000000002</v>
      </c>
      <c r="AA9203">
        <v>321.1037</v>
      </c>
      <c r="AB9203">
        <v>38.454689999999999</v>
      </c>
      <c r="AC9203">
        <v>1.0778609999999999E-2</v>
      </c>
      <c r="AD9203">
        <v>5.077814</v>
      </c>
      <c r="AE9203">
        <v>0.16153799999999999</v>
      </c>
      <c r="AF9203">
        <v>599.1318</v>
      </c>
      <c r="AG9203">
        <f>IFERROR(AH9203*0.1, "N/A")</f>
        <v>4.8000000000000007</v>
      </c>
      <c r="AH9203">
        <v>48</v>
      </c>
      <c r="AI9203">
        <v>85.004679999999993</v>
      </c>
      <c r="AJ9203">
        <v>35</v>
      </c>
      <c r="AK9203">
        <v>51.520209999999999</v>
      </c>
    </row>
    <row r="9204" spans="1:37" x14ac:dyDescent="0.3">
      <c r="A9204">
        <v>9203</v>
      </c>
      <c r="B9204">
        <v>0</v>
      </c>
      <c r="C9204">
        <v>11.125</v>
      </c>
      <c r="D9204">
        <v>2.1749999999999998</v>
      </c>
      <c r="E9204" t="s">
        <v>14017</v>
      </c>
      <c r="F9204" t="s">
        <v>14019</v>
      </c>
      <c r="G9204" t="s">
        <v>37</v>
      </c>
      <c r="H9204">
        <v>1990</v>
      </c>
      <c r="I9204">
        <v>23.355709999999998</v>
      </c>
      <c r="J9204">
        <v>8.9</v>
      </c>
      <c r="K9204">
        <v>80</v>
      </c>
      <c r="L9204">
        <v>7.2517750000000003</v>
      </c>
      <c r="M9204">
        <v>29.17399</v>
      </c>
      <c r="N9204">
        <v>18.10791</v>
      </c>
      <c r="O9204">
        <v>11.066079999999999</v>
      </c>
      <c r="P9204">
        <v>22.973990000000001</v>
      </c>
      <c r="Q9204">
        <v>23.855709999999998</v>
      </c>
      <c r="R9204">
        <v>24.081720000000001</v>
      </c>
      <c r="S9204">
        <v>22.30791</v>
      </c>
      <c r="T9204">
        <v>1799.6379999999999</v>
      </c>
      <c r="U9204">
        <v>319.52199999999999</v>
      </c>
      <c r="V9204">
        <v>37.660809999999998</v>
      </c>
      <c r="W9204">
        <v>57.739890000000003</v>
      </c>
      <c r="X9204">
        <v>747.85940000000005</v>
      </c>
      <c r="Y9204">
        <v>208.3374</v>
      </c>
      <c r="Z9204">
        <v>494.11950000000002</v>
      </c>
      <c r="AA9204">
        <v>321.1037</v>
      </c>
      <c r="AB9204">
        <v>38.454689999999999</v>
      </c>
      <c r="AC9204">
        <v>1.0778609999999999E-2</v>
      </c>
      <c r="AD9204">
        <v>5.077814</v>
      </c>
      <c r="AE9204">
        <v>0.16153799999999999</v>
      </c>
      <c r="AF9204">
        <v>599.1318</v>
      </c>
      <c r="AG9204">
        <f>IFERROR(AH9204*0.1, "N/A")</f>
        <v>4.8000000000000007</v>
      </c>
      <c r="AH9204">
        <v>48</v>
      </c>
      <c r="AI9204">
        <v>85.004679999999993</v>
      </c>
      <c r="AJ9204">
        <v>35</v>
      </c>
      <c r="AK9204">
        <v>51.520209999999999</v>
      </c>
    </row>
    <row r="9205" spans="1:37" x14ac:dyDescent="0.3">
      <c r="A9205">
        <v>9204</v>
      </c>
      <c r="B9205">
        <v>0</v>
      </c>
      <c r="C9205">
        <v>11.125</v>
      </c>
      <c r="D9205">
        <v>2.1749999999999998</v>
      </c>
      <c r="E9205" t="s">
        <v>14017</v>
      </c>
      <c r="F9205" t="s">
        <v>14020</v>
      </c>
      <c r="G9205" t="s">
        <v>2420</v>
      </c>
      <c r="H9205">
        <v>1990</v>
      </c>
      <c r="I9205">
        <v>23.355709999999998</v>
      </c>
      <c r="J9205">
        <v>8.9</v>
      </c>
      <c r="K9205">
        <v>80</v>
      </c>
      <c r="L9205">
        <v>7.2517750000000003</v>
      </c>
      <c r="M9205">
        <v>29.17399</v>
      </c>
      <c r="N9205">
        <v>18.10791</v>
      </c>
      <c r="O9205">
        <v>11.066079999999999</v>
      </c>
      <c r="P9205">
        <v>22.973990000000001</v>
      </c>
      <c r="Q9205">
        <v>23.855709999999998</v>
      </c>
      <c r="R9205">
        <v>24.081720000000001</v>
      </c>
      <c r="S9205">
        <v>22.30791</v>
      </c>
      <c r="T9205">
        <v>1799.6379999999999</v>
      </c>
      <c r="U9205">
        <v>319.52199999999999</v>
      </c>
      <c r="V9205">
        <v>37.660809999999998</v>
      </c>
      <c r="W9205">
        <v>57.739890000000003</v>
      </c>
      <c r="X9205">
        <v>747.85940000000005</v>
      </c>
      <c r="Y9205">
        <v>208.3374</v>
      </c>
      <c r="Z9205">
        <v>494.11950000000002</v>
      </c>
      <c r="AA9205">
        <v>321.1037</v>
      </c>
      <c r="AB9205">
        <v>38.454689999999999</v>
      </c>
      <c r="AC9205">
        <v>1.0778609999999999E-2</v>
      </c>
      <c r="AD9205">
        <v>5.077814</v>
      </c>
      <c r="AE9205">
        <v>0.16153799999999999</v>
      </c>
      <c r="AF9205">
        <v>599.1318</v>
      </c>
      <c r="AG9205">
        <f>IFERROR(AH9205*0.1, "N/A")</f>
        <v>4.8000000000000007</v>
      </c>
      <c r="AH9205">
        <v>48</v>
      </c>
      <c r="AI9205">
        <v>85.004679999999993</v>
      </c>
      <c r="AJ9205">
        <v>35</v>
      </c>
      <c r="AK9205">
        <v>51.520209999999999</v>
      </c>
    </row>
    <row r="9206" spans="1:37" x14ac:dyDescent="0.3">
      <c r="A9206">
        <v>9205</v>
      </c>
      <c r="B9206">
        <v>0</v>
      </c>
      <c r="C9206">
        <v>11.166700000000001</v>
      </c>
      <c r="D9206">
        <v>2.2055600000000002</v>
      </c>
      <c r="E9206" t="s">
        <v>14021</v>
      </c>
      <c r="F9206" t="s">
        <v>14022</v>
      </c>
      <c r="G9206" t="s">
        <v>39</v>
      </c>
      <c r="H9206">
        <v>1990</v>
      </c>
      <c r="I9206">
        <v>23.3</v>
      </c>
      <c r="J9206">
        <v>8.9</v>
      </c>
      <c r="K9206">
        <v>80</v>
      </c>
      <c r="L9206">
        <v>7.459174</v>
      </c>
      <c r="M9206">
        <v>29.12847</v>
      </c>
      <c r="N9206">
        <v>18.028469999999999</v>
      </c>
      <c r="O9206">
        <v>11.1</v>
      </c>
      <c r="P9206">
        <v>22.928470000000001</v>
      </c>
      <c r="Q9206">
        <v>23.8</v>
      </c>
      <c r="R9206">
        <v>24.1</v>
      </c>
      <c r="S9206">
        <v>22.228470000000002</v>
      </c>
      <c r="T9206">
        <v>1772.8610000000001</v>
      </c>
      <c r="U9206">
        <v>315.71530000000001</v>
      </c>
      <c r="V9206">
        <v>39</v>
      </c>
      <c r="W9206">
        <v>58</v>
      </c>
      <c r="X9206">
        <v>736.71529999999996</v>
      </c>
      <c r="Y9206">
        <v>200.71530000000001</v>
      </c>
      <c r="Z9206">
        <v>484.43060000000003</v>
      </c>
      <c r="AA9206">
        <v>320</v>
      </c>
      <c r="AB9206">
        <v>20.410550000000001</v>
      </c>
      <c r="AC9206">
        <v>1.071834E-2</v>
      </c>
      <c r="AD9206">
        <v>5.5645420000000003</v>
      </c>
      <c r="AE9206">
        <v>0.1278733</v>
      </c>
      <c r="AF9206">
        <v>585.61509999999998</v>
      </c>
      <c r="AG9206">
        <f>IFERROR(AH9206*0.1, "N/A")</f>
        <v>4.5272410000000001</v>
      </c>
      <c r="AH9206">
        <v>45.272410000000001</v>
      </c>
      <c r="AI9206">
        <v>224.7253</v>
      </c>
      <c r="AJ9206">
        <v>35.950789999999998</v>
      </c>
      <c r="AK9206">
        <v>54.335680000000004</v>
      </c>
    </row>
    <row r="9207" spans="1:37" x14ac:dyDescent="0.3">
      <c r="A9207">
        <v>9206</v>
      </c>
      <c r="B9207">
        <v>0</v>
      </c>
      <c r="C9207">
        <v>11.166700000000001</v>
      </c>
      <c r="D9207">
        <v>2.2055600000000002</v>
      </c>
      <c r="E9207" t="s">
        <v>14021</v>
      </c>
      <c r="F9207" t="s">
        <v>14023</v>
      </c>
      <c r="G9207" t="s">
        <v>37</v>
      </c>
      <c r="H9207">
        <v>1990</v>
      </c>
      <c r="I9207">
        <v>23.3</v>
      </c>
      <c r="J9207">
        <v>8.9</v>
      </c>
      <c r="K9207">
        <v>80</v>
      </c>
      <c r="L9207">
        <v>7.459174</v>
      </c>
      <c r="M9207">
        <v>29.12847</v>
      </c>
      <c r="N9207">
        <v>18.028469999999999</v>
      </c>
      <c r="O9207">
        <v>11.1</v>
      </c>
      <c r="P9207">
        <v>22.928470000000001</v>
      </c>
      <c r="Q9207">
        <v>23.8</v>
      </c>
      <c r="R9207">
        <v>24.1</v>
      </c>
      <c r="S9207">
        <v>22.228470000000002</v>
      </c>
      <c r="T9207">
        <v>1772.8610000000001</v>
      </c>
      <c r="U9207">
        <v>315.71530000000001</v>
      </c>
      <c r="V9207">
        <v>39</v>
      </c>
      <c r="W9207">
        <v>58</v>
      </c>
      <c r="X9207">
        <v>736.71529999999996</v>
      </c>
      <c r="Y9207">
        <v>200.71530000000001</v>
      </c>
      <c r="Z9207">
        <v>484.43060000000003</v>
      </c>
      <c r="AA9207">
        <v>320</v>
      </c>
      <c r="AB9207">
        <v>20.410550000000001</v>
      </c>
      <c r="AC9207">
        <v>1.071834E-2</v>
      </c>
      <c r="AD9207">
        <v>5.5645420000000003</v>
      </c>
      <c r="AE9207">
        <v>0.1278733</v>
      </c>
      <c r="AF9207">
        <v>585.61509999999998</v>
      </c>
      <c r="AG9207">
        <f>IFERROR(AH9207*0.1, "N/A")</f>
        <v>4.5272410000000001</v>
      </c>
      <c r="AH9207">
        <v>45.272410000000001</v>
      </c>
      <c r="AI9207">
        <v>224.7253</v>
      </c>
      <c r="AJ9207">
        <v>35.950789999999998</v>
      </c>
      <c r="AK9207">
        <v>54.335680000000004</v>
      </c>
    </row>
    <row r="9208" spans="1:37" x14ac:dyDescent="0.3">
      <c r="A9208">
        <v>9207</v>
      </c>
      <c r="B9208">
        <v>0</v>
      </c>
      <c r="C9208">
        <v>11.166700000000001</v>
      </c>
      <c r="D9208">
        <v>2.2055600000000002</v>
      </c>
      <c r="E9208" t="s">
        <v>14021</v>
      </c>
      <c r="F9208" t="s">
        <v>14024</v>
      </c>
      <c r="G9208" t="s">
        <v>2420</v>
      </c>
      <c r="H9208">
        <v>1990</v>
      </c>
      <c r="I9208">
        <v>23.3</v>
      </c>
      <c r="J9208">
        <v>8.9</v>
      </c>
      <c r="K9208">
        <v>80</v>
      </c>
      <c r="L9208">
        <v>7.459174</v>
      </c>
      <c r="M9208">
        <v>29.12847</v>
      </c>
      <c r="N9208">
        <v>18.028469999999999</v>
      </c>
      <c r="O9208">
        <v>11.1</v>
      </c>
      <c r="P9208">
        <v>22.928470000000001</v>
      </c>
      <c r="Q9208">
        <v>23.8</v>
      </c>
      <c r="R9208">
        <v>24.1</v>
      </c>
      <c r="S9208">
        <v>22.228470000000002</v>
      </c>
      <c r="T9208">
        <v>1772.8610000000001</v>
      </c>
      <c r="U9208">
        <v>315.71530000000001</v>
      </c>
      <c r="V9208">
        <v>39</v>
      </c>
      <c r="W9208">
        <v>58</v>
      </c>
      <c r="X9208">
        <v>736.71529999999996</v>
      </c>
      <c r="Y9208">
        <v>200.71530000000001</v>
      </c>
      <c r="Z9208">
        <v>484.43060000000003</v>
      </c>
      <c r="AA9208">
        <v>320</v>
      </c>
      <c r="AB9208">
        <v>20.410550000000001</v>
      </c>
      <c r="AC9208">
        <v>1.071834E-2</v>
      </c>
      <c r="AD9208">
        <v>5.5645420000000003</v>
      </c>
      <c r="AE9208">
        <v>0.1278733</v>
      </c>
      <c r="AF9208">
        <v>585.61509999999998</v>
      </c>
      <c r="AG9208">
        <f>IFERROR(AH9208*0.1, "N/A")</f>
        <v>4.5272410000000001</v>
      </c>
      <c r="AH9208">
        <v>45.272410000000001</v>
      </c>
      <c r="AI9208">
        <v>224.7253</v>
      </c>
      <c r="AJ9208">
        <v>35.950789999999998</v>
      </c>
      <c r="AK9208">
        <v>54.335680000000004</v>
      </c>
    </row>
    <row r="9209" spans="1:37" x14ac:dyDescent="0.3">
      <c r="A9209">
        <v>9208</v>
      </c>
      <c r="B9209">
        <v>0</v>
      </c>
      <c r="C9209">
        <v>11.0778</v>
      </c>
      <c r="D9209">
        <v>2.23333</v>
      </c>
      <c r="E9209" t="s">
        <v>14025</v>
      </c>
      <c r="F9209" t="s">
        <v>14026</v>
      </c>
      <c r="G9209" t="s">
        <v>39</v>
      </c>
      <c r="H9209">
        <v>1990</v>
      </c>
      <c r="I9209">
        <v>23.177109999999999</v>
      </c>
      <c r="J9209">
        <v>8.8000000000000007</v>
      </c>
      <c r="K9209">
        <v>79.385559999999998</v>
      </c>
      <c r="L9209">
        <v>7.2437319999999996</v>
      </c>
      <c r="M9209">
        <v>29.03856</v>
      </c>
      <c r="N9209">
        <v>17.97711</v>
      </c>
      <c r="O9209">
        <v>11.061439999999999</v>
      </c>
      <c r="P9209">
        <v>22.815670000000001</v>
      </c>
      <c r="Q9209">
        <v>23.73856</v>
      </c>
      <c r="R9209">
        <v>23.97711</v>
      </c>
      <c r="S9209">
        <v>22.177109999999999</v>
      </c>
      <c r="T9209">
        <v>1812.386</v>
      </c>
      <c r="U9209">
        <v>322</v>
      </c>
      <c r="V9209">
        <v>39.614440000000002</v>
      </c>
      <c r="W9209">
        <v>57</v>
      </c>
      <c r="X9209">
        <v>752.38559999999995</v>
      </c>
      <c r="Y9209">
        <v>207</v>
      </c>
      <c r="Z9209">
        <v>495</v>
      </c>
      <c r="AA9209">
        <v>327</v>
      </c>
      <c r="AB9209">
        <v>7.5183299999999997</v>
      </c>
      <c r="AC9209">
        <v>0.2006645</v>
      </c>
      <c r="AD9209">
        <v>2.8724099999999999</v>
      </c>
      <c r="AE9209">
        <v>0.138381</v>
      </c>
      <c r="AF9209">
        <v>569.01229999999998</v>
      </c>
      <c r="AG9209">
        <f>IFERROR(AH9209*0.1, "N/A")</f>
        <v>5.1000000000000005</v>
      </c>
      <c r="AH9209">
        <v>51</v>
      </c>
      <c r="AI9209">
        <v>122.8565</v>
      </c>
      <c r="AJ9209">
        <v>33.031689999999998</v>
      </c>
      <c r="AK9209">
        <v>57.968310000000002</v>
      </c>
    </row>
    <row r="9210" spans="1:37" x14ac:dyDescent="0.3">
      <c r="A9210">
        <v>9209</v>
      </c>
      <c r="B9210">
        <v>0</v>
      </c>
      <c r="C9210">
        <v>11.0778</v>
      </c>
      <c r="D9210">
        <v>2.23333</v>
      </c>
      <c r="E9210" t="s">
        <v>14025</v>
      </c>
      <c r="F9210" t="s">
        <v>14027</v>
      </c>
      <c r="G9210" t="s">
        <v>37</v>
      </c>
      <c r="H9210">
        <v>1990</v>
      </c>
      <c r="I9210">
        <v>23.177109999999999</v>
      </c>
      <c r="J9210">
        <v>8.8000000000000007</v>
      </c>
      <c r="K9210">
        <v>79.385559999999998</v>
      </c>
      <c r="L9210">
        <v>7.2437319999999996</v>
      </c>
      <c r="M9210">
        <v>29.03856</v>
      </c>
      <c r="N9210">
        <v>17.97711</v>
      </c>
      <c r="O9210">
        <v>11.061439999999999</v>
      </c>
      <c r="P9210">
        <v>22.815670000000001</v>
      </c>
      <c r="Q9210">
        <v>23.73856</v>
      </c>
      <c r="R9210">
        <v>23.97711</v>
      </c>
      <c r="S9210">
        <v>22.177109999999999</v>
      </c>
      <c r="T9210">
        <v>1812.386</v>
      </c>
      <c r="U9210">
        <v>322</v>
      </c>
      <c r="V9210">
        <v>39.614440000000002</v>
      </c>
      <c r="W9210">
        <v>57</v>
      </c>
      <c r="X9210">
        <v>752.38559999999995</v>
      </c>
      <c r="Y9210">
        <v>207</v>
      </c>
      <c r="Z9210">
        <v>495</v>
      </c>
      <c r="AA9210">
        <v>327</v>
      </c>
      <c r="AB9210">
        <v>7.5183299999999997</v>
      </c>
      <c r="AC9210">
        <v>0.2006645</v>
      </c>
      <c r="AD9210">
        <v>2.8724099999999999</v>
      </c>
      <c r="AE9210">
        <v>0.138381</v>
      </c>
      <c r="AF9210">
        <v>569.01229999999998</v>
      </c>
      <c r="AG9210">
        <f>IFERROR(AH9210*0.1, "N/A")</f>
        <v>5.1000000000000005</v>
      </c>
      <c r="AH9210">
        <v>51</v>
      </c>
      <c r="AI9210">
        <v>122.8565</v>
      </c>
      <c r="AJ9210">
        <v>33.031689999999998</v>
      </c>
      <c r="AK9210">
        <v>57.968310000000002</v>
      </c>
    </row>
    <row r="9211" spans="1:37" x14ac:dyDescent="0.3">
      <c r="A9211">
        <v>9210</v>
      </c>
      <c r="B9211">
        <v>0</v>
      </c>
      <c r="C9211">
        <v>11.0778</v>
      </c>
      <c r="D9211">
        <v>2.23333</v>
      </c>
      <c r="E9211" t="s">
        <v>14025</v>
      </c>
      <c r="F9211" t="s">
        <v>14028</v>
      </c>
      <c r="G9211" t="s">
        <v>2420</v>
      </c>
      <c r="H9211">
        <v>1990</v>
      </c>
      <c r="I9211">
        <v>23.177109999999999</v>
      </c>
      <c r="J9211">
        <v>8.8000000000000007</v>
      </c>
      <c r="K9211">
        <v>79.385559999999998</v>
      </c>
      <c r="L9211">
        <v>7.2437319999999996</v>
      </c>
      <c r="M9211">
        <v>29.03856</v>
      </c>
      <c r="N9211">
        <v>17.97711</v>
      </c>
      <c r="O9211">
        <v>11.061439999999999</v>
      </c>
      <c r="P9211">
        <v>22.815670000000001</v>
      </c>
      <c r="Q9211">
        <v>23.73856</v>
      </c>
      <c r="R9211">
        <v>23.97711</v>
      </c>
      <c r="S9211">
        <v>22.177109999999999</v>
      </c>
      <c r="T9211">
        <v>1812.386</v>
      </c>
      <c r="U9211">
        <v>322</v>
      </c>
      <c r="V9211">
        <v>39.614440000000002</v>
      </c>
      <c r="W9211">
        <v>57</v>
      </c>
      <c r="X9211">
        <v>752.38559999999995</v>
      </c>
      <c r="Y9211">
        <v>207</v>
      </c>
      <c r="Z9211">
        <v>495</v>
      </c>
      <c r="AA9211">
        <v>327</v>
      </c>
      <c r="AB9211">
        <v>7.5183299999999997</v>
      </c>
      <c r="AC9211">
        <v>0.2006645</v>
      </c>
      <c r="AD9211">
        <v>2.8724099999999999</v>
      </c>
      <c r="AE9211">
        <v>0.138381</v>
      </c>
      <c r="AF9211">
        <v>569.01229999999998</v>
      </c>
      <c r="AG9211">
        <f>IFERROR(AH9211*0.1, "N/A")</f>
        <v>5.1000000000000005</v>
      </c>
      <c r="AH9211">
        <v>51</v>
      </c>
      <c r="AI9211">
        <v>122.8565</v>
      </c>
      <c r="AJ9211">
        <v>33.031689999999998</v>
      </c>
      <c r="AK9211">
        <v>57.968310000000002</v>
      </c>
    </row>
    <row r="9212" spans="1:37" x14ac:dyDescent="0.3">
      <c r="A9212">
        <v>9211</v>
      </c>
      <c r="B9212">
        <v>0</v>
      </c>
      <c r="C9212">
        <v>15.35</v>
      </c>
      <c r="D9212">
        <v>2.2999999999999998</v>
      </c>
      <c r="E9212" t="s">
        <v>14029</v>
      </c>
      <c r="F9212" t="s">
        <v>14030</v>
      </c>
      <c r="G9212" t="s">
        <v>39</v>
      </c>
      <c r="H9212">
        <v>1990</v>
      </c>
      <c r="I9212">
        <v>23.8</v>
      </c>
      <c r="J9212">
        <v>10.5</v>
      </c>
      <c r="K9212">
        <v>81.635559999999998</v>
      </c>
      <c r="L9212">
        <v>6.022799</v>
      </c>
      <c r="M9212">
        <v>30.5</v>
      </c>
      <c r="N9212">
        <v>17.66356</v>
      </c>
      <c r="O9212">
        <v>12.83644</v>
      </c>
      <c r="P9212">
        <v>23.58644</v>
      </c>
      <c r="Q9212">
        <v>23.86356</v>
      </c>
      <c r="R9212">
        <v>24.566549999999999</v>
      </c>
      <c r="S9212">
        <v>23.066549999999999</v>
      </c>
      <c r="T9212">
        <v>1616.0119999999999</v>
      </c>
      <c r="U9212">
        <v>227</v>
      </c>
      <c r="V9212">
        <v>50</v>
      </c>
      <c r="W9212">
        <v>41</v>
      </c>
      <c r="X9212">
        <v>597.4701</v>
      </c>
      <c r="Y9212">
        <v>195</v>
      </c>
      <c r="Z9212">
        <v>404</v>
      </c>
      <c r="AA9212">
        <v>443.27109999999999</v>
      </c>
      <c r="AB9212">
        <v>16.490169999999999</v>
      </c>
      <c r="AC9212">
        <v>1.419509E-2</v>
      </c>
      <c r="AD9212">
        <v>2.3129719999999998</v>
      </c>
      <c r="AE9212">
        <v>0.1137671</v>
      </c>
      <c r="AF9212">
        <v>592.05629999999996</v>
      </c>
      <c r="AG9212">
        <f>IFERROR(AH9212*0.1, "N/A")</f>
        <v>5.2834510000000003</v>
      </c>
      <c r="AH9212">
        <v>52.834510000000002</v>
      </c>
      <c r="AI9212">
        <v>141.79730000000001</v>
      </c>
      <c r="AJ9212">
        <v>34.834510000000002</v>
      </c>
      <c r="AK9212">
        <v>53.165489999999998</v>
      </c>
    </row>
    <row r="9213" spans="1:37" x14ac:dyDescent="0.3">
      <c r="A9213">
        <v>9212</v>
      </c>
      <c r="B9213">
        <v>3.6</v>
      </c>
      <c r="C9213">
        <v>15.35</v>
      </c>
      <c r="D9213">
        <v>2.2999999999999998</v>
      </c>
      <c r="E9213" t="s">
        <v>14029</v>
      </c>
      <c r="F9213" t="s">
        <v>14031</v>
      </c>
      <c r="G9213" t="s">
        <v>37</v>
      </c>
      <c r="H9213">
        <v>1990</v>
      </c>
      <c r="I9213">
        <v>23.8</v>
      </c>
      <c r="J9213">
        <v>10.5</v>
      </c>
      <c r="K9213">
        <v>81.635559999999998</v>
      </c>
      <c r="L9213">
        <v>6.022799</v>
      </c>
      <c r="M9213">
        <v>30.5</v>
      </c>
      <c r="N9213">
        <v>17.66356</v>
      </c>
      <c r="O9213">
        <v>12.83644</v>
      </c>
      <c r="P9213">
        <v>23.58644</v>
      </c>
      <c r="Q9213">
        <v>23.86356</v>
      </c>
      <c r="R9213">
        <v>24.566549999999999</v>
      </c>
      <c r="S9213">
        <v>23.066549999999999</v>
      </c>
      <c r="T9213">
        <v>1616.0119999999999</v>
      </c>
      <c r="U9213">
        <v>227</v>
      </c>
      <c r="V9213">
        <v>50</v>
      </c>
      <c r="W9213">
        <v>41</v>
      </c>
      <c r="X9213">
        <v>597.4701</v>
      </c>
      <c r="Y9213">
        <v>195</v>
      </c>
      <c r="Z9213">
        <v>404</v>
      </c>
      <c r="AA9213">
        <v>443.27109999999999</v>
      </c>
      <c r="AB9213">
        <v>16.490169999999999</v>
      </c>
      <c r="AC9213">
        <v>1.419509E-2</v>
      </c>
      <c r="AD9213">
        <v>2.3129719999999998</v>
      </c>
      <c r="AE9213">
        <v>0.1137671</v>
      </c>
      <c r="AF9213">
        <v>592.05629999999996</v>
      </c>
      <c r="AG9213">
        <f>IFERROR(AH9213*0.1, "N/A")</f>
        <v>5.2834510000000003</v>
      </c>
      <c r="AH9213">
        <v>52.834510000000002</v>
      </c>
      <c r="AI9213">
        <v>141.79730000000001</v>
      </c>
      <c r="AJ9213">
        <v>34.834510000000002</v>
      </c>
      <c r="AK9213">
        <v>53.165489999999998</v>
      </c>
    </row>
    <row r="9214" spans="1:37" x14ac:dyDescent="0.3">
      <c r="A9214">
        <v>9213</v>
      </c>
      <c r="B9214">
        <v>0</v>
      </c>
      <c r="C9214">
        <v>15.35</v>
      </c>
      <c r="D9214">
        <v>2.2999999999999998</v>
      </c>
      <c r="E9214" t="s">
        <v>14029</v>
      </c>
      <c r="F9214" t="s">
        <v>14032</v>
      </c>
      <c r="G9214" t="s">
        <v>2420</v>
      </c>
      <c r="H9214">
        <v>1990</v>
      </c>
      <c r="I9214">
        <v>23.8</v>
      </c>
      <c r="J9214">
        <v>10.5</v>
      </c>
      <c r="K9214">
        <v>81.635559999999998</v>
      </c>
      <c r="L9214">
        <v>6.022799</v>
      </c>
      <c r="M9214">
        <v>30.5</v>
      </c>
      <c r="N9214">
        <v>17.66356</v>
      </c>
      <c r="O9214">
        <v>12.83644</v>
      </c>
      <c r="P9214">
        <v>23.58644</v>
      </c>
      <c r="Q9214">
        <v>23.86356</v>
      </c>
      <c r="R9214">
        <v>24.566549999999999</v>
      </c>
      <c r="S9214">
        <v>23.066549999999999</v>
      </c>
      <c r="T9214">
        <v>1616.0119999999999</v>
      </c>
      <c r="U9214">
        <v>227</v>
      </c>
      <c r="V9214">
        <v>50</v>
      </c>
      <c r="W9214">
        <v>41</v>
      </c>
      <c r="X9214">
        <v>597.4701</v>
      </c>
      <c r="Y9214">
        <v>195</v>
      </c>
      <c r="Z9214">
        <v>404</v>
      </c>
      <c r="AA9214">
        <v>443.27109999999999</v>
      </c>
      <c r="AB9214">
        <v>16.490169999999999</v>
      </c>
      <c r="AC9214">
        <v>1.419509E-2</v>
      </c>
      <c r="AD9214">
        <v>2.3129719999999998</v>
      </c>
      <c r="AE9214">
        <v>0.1137671</v>
      </c>
      <c r="AF9214">
        <v>592.05629999999996</v>
      </c>
      <c r="AG9214">
        <f>IFERROR(AH9214*0.1, "N/A")</f>
        <v>5.2834510000000003</v>
      </c>
      <c r="AH9214">
        <v>52.834510000000002</v>
      </c>
      <c r="AI9214">
        <v>141.79730000000001</v>
      </c>
      <c r="AJ9214">
        <v>34.834510000000002</v>
      </c>
      <c r="AK9214">
        <v>53.165489999999998</v>
      </c>
    </row>
    <row r="9215" spans="1:37" x14ac:dyDescent="0.3">
      <c r="A9215">
        <v>9214</v>
      </c>
      <c r="B9215">
        <v>0</v>
      </c>
      <c r="C9215">
        <v>11.166700000000001</v>
      </c>
      <c r="D9215">
        <v>2.3166699999999998</v>
      </c>
      <c r="E9215" t="s">
        <v>14033</v>
      </c>
      <c r="F9215" t="s">
        <v>14034</v>
      </c>
      <c r="G9215" t="s">
        <v>39</v>
      </c>
      <c r="H9215">
        <v>1990</v>
      </c>
      <c r="I9215">
        <v>23.351579999999998</v>
      </c>
      <c r="J9215">
        <v>8.8000000000000007</v>
      </c>
      <c r="K9215">
        <v>80</v>
      </c>
      <c r="L9215">
        <v>7.3839790000000001</v>
      </c>
      <c r="M9215">
        <v>29.128350000000001</v>
      </c>
      <c r="N9215">
        <v>18.167960000000001</v>
      </c>
      <c r="O9215">
        <v>10.96039</v>
      </c>
      <c r="P9215">
        <v>22.983630000000002</v>
      </c>
      <c r="Q9215">
        <v>23.88363</v>
      </c>
      <c r="R9215">
        <v>24.128350000000001</v>
      </c>
      <c r="S9215">
        <v>22.351579999999998</v>
      </c>
      <c r="T9215">
        <v>1742.4259999999999</v>
      </c>
      <c r="U9215">
        <v>313.7165</v>
      </c>
      <c r="V9215">
        <v>42</v>
      </c>
      <c r="W9215">
        <v>58</v>
      </c>
      <c r="X9215">
        <v>725.43309999999997</v>
      </c>
      <c r="Y9215">
        <v>186.88030000000001</v>
      </c>
      <c r="Z9215">
        <v>468.1567</v>
      </c>
      <c r="AA9215">
        <v>321.1567</v>
      </c>
      <c r="AB9215">
        <v>24.989419999999999</v>
      </c>
      <c r="AC9215">
        <v>1.1473219999999999E-2</v>
      </c>
      <c r="AD9215">
        <v>3.6207739999999999</v>
      </c>
      <c r="AE9215">
        <v>0.1193444</v>
      </c>
      <c r="AF9215">
        <v>560.83979999999997</v>
      </c>
      <c r="AG9215">
        <f>IFERROR(AH9215*0.1, "N/A")</f>
        <v>5</v>
      </c>
      <c r="AH9215">
        <v>50</v>
      </c>
      <c r="AI9215">
        <v>238.66470000000001</v>
      </c>
      <c r="AJ9215">
        <v>35.283450000000002</v>
      </c>
      <c r="AK9215">
        <v>52</v>
      </c>
    </row>
    <row r="9216" spans="1:37" x14ac:dyDescent="0.3">
      <c r="A9216">
        <v>9215</v>
      </c>
      <c r="B9216">
        <v>0</v>
      </c>
      <c r="C9216">
        <v>11.166700000000001</v>
      </c>
      <c r="D9216">
        <v>2.3166699999999998</v>
      </c>
      <c r="E9216" t="s">
        <v>14033</v>
      </c>
      <c r="F9216" t="s">
        <v>14035</v>
      </c>
      <c r="G9216" t="s">
        <v>37</v>
      </c>
      <c r="H9216">
        <v>1990</v>
      </c>
      <c r="I9216">
        <v>23.351579999999998</v>
      </c>
      <c r="J9216">
        <v>8.8000000000000007</v>
      </c>
      <c r="K9216">
        <v>80</v>
      </c>
      <c r="L9216">
        <v>7.3839790000000001</v>
      </c>
      <c r="M9216">
        <v>29.128350000000001</v>
      </c>
      <c r="N9216">
        <v>18.167960000000001</v>
      </c>
      <c r="O9216">
        <v>10.96039</v>
      </c>
      <c r="P9216">
        <v>22.983630000000002</v>
      </c>
      <c r="Q9216">
        <v>23.88363</v>
      </c>
      <c r="R9216">
        <v>24.128350000000001</v>
      </c>
      <c r="S9216">
        <v>22.351579999999998</v>
      </c>
      <c r="T9216">
        <v>1742.4259999999999</v>
      </c>
      <c r="U9216">
        <v>313.7165</v>
      </c>
      <c r="V9216">
        <v>42</v>
      </c>
      <c r="W9216">
        <v>58</v>
      </c>
      <c r="X9216">
        <v>725.43309999999997</v>
      </c>
      <c r="Y9216">
        <v>186.88030000000001</v>
      </c>
      <c r="Z9216">
        <v>468.1567</v>
      </c>
      <c r="AA9216">
        <v>321.1567</v>
      </c>
      <c r="AB9216">
        <v>24.989419999999999</v>
      </c>
      <c r="AC9216">
        <v>1.1473219999999999E-2</v>
      </c>
      <c r="AD9216">
        <v>3.6207739999999999</v>
      </c>
      <c r="AE9216">
        <v>0.1193444</v>
      </c>
      <c r="AF9216">
        <v>560.83979999999997</v>
      </c>
      <c r="AG9216">
        <f>IFERROR(AH9216*0.1, "N/A")</f>
        <v>5</v>
      </c>
      <c r="AH9216">
        <v>50</v>
      </c>
      <c r="AI9216">
        <v>238.66470000000001</v>
      </c>
      <c r="AJ9216">
        <v>35.283450000000002</v>
      </c>
      <c r="AK9216">
        <v>52</v>
      </c>
    </row>
    <row r="9217" spans="1:37" x14ac:dyDescent="0.3">
      <c r="A9217">
        <v>9216</v>
      </c>
      <c r="B9217">
        <v>0</v>
      </c>
      <c r="C9217">
        <v>11.166700000000001</v>
      </c>
      <c r="D9217">
        <v>2.3166699999999998</v>
      </c>
      <c r="E9217" t="s">
        <v>14033</v>
      </c>
      <c r="F9217" t="s">
        <v>14036</v>
      </c>
      <c r="G9217" t="s">
        <v>2420</v>
      </c>
      <c r="H9217">
        <v>1990</v>
      </c>
      <c r="I9217">
        <v>23.351579999999998</v>
      </c>
      <c r="J9217">
        <v>8.8000000000000007</v>
      </c>
      <c r="K9217">
        <v>80</v>
      </c>
      <c r="L9217">
        <v>7.3839790000000001</v>
      </c>
      <c r="M9217">
        <v>29.128350000000001</v>
      </c>
      <c r="N9217">
        <v>18.167960000000001</v>
      </c>
      <c r="O9217">
        <v>10.96039</v>
      </c>
      <c r="P9217">
        <v>22.983630000000002</v>
      </c>
      <c r="Q9217">
        <v>23.88363</v>
      </c>
      <c r="R9217">
        <v>24.128350000000001</v>
      </c>
      <c r="S9217">
        <v>22.351579999999998</v>
      </c>
      <c r="T9217">
        <v>1742.4259999999999</v>
      </c>
      <c r="U9217">
        <v>313.7165</v>
      </c>
      <c r="V9217">
        <v>42</v>
      </c>
      <c r="W9217">
        <v>58</v>
      </c>
      <c r="X9217">
        <v>725.43309999999997</v>
      </c>
      <c r="Y9217">
        <v>186.88030000000001</v>
      </c>
      <c r="Z9217">
        <v>468.1567</v>
      </c>
      <c r="AA9217">
        <v>321.1567</v>
      </c>
      <c r="AB9217">
        <v>24.989419999999999</v>
      </c>
      <c r="AC9217">
        <v>1.1473219999999999E-2</v>
      </c>
      <c r="AD9217">
        <v>3.6207739999999999</v>
      </c>
      <c r="AE9217">
        <v>0.1193444</v>
      </c>
      <c r="AF9217">
        <v>560.83979999999997</v>
      </c>
      <c r="AG9217">
        <f>IFERROR(AH9217*0.1, "N/A")</f>
        <v>5</v>
      </c>
      <c r="AH9217">
        <v>50</v>
      </c>
      <c r="AI9217">
        <v>238.66470000000001</v>
      </c>
      <c r="AJ9217">
        <v>35.283450000000002</v>
      </c>
      <c r="AK9217">
        <v>52</v>
      </c>
    </row>
    <row r="9218" spans="1:37" x14ac:dyDescent="0.3">
      <c r="A9218">
        <v>9217</v>
      </c>
      <c r="B9218">
        <v>6.2</v>
      </c>
      <c r="C9218">
        <v>11.2667</v>
      </c>
      <c r="D9218">
        <v>2.3833299999999999</v>
      </c>
      <c r="E9218" t="s">
        <v>14037</v>
      </c>
      <c r="F9218" t="s">
        <v>14038</v>
      </c>
      <c r="G9218" t="s">
        <v>39</v>
      </c>
      <c r="H9218">
        <v>1990</v>
      </c>
      <c r="I9218">
        <v>23.17905</v>
      </c>
      <c r="J9218">
        <v>8.8677810000000008</v>
      </c>
      <c r="K9218">
        <v>80</v>
      </c>
      <c r="L9218">
        <v>7.6375349999999997</v>
      </c>
      <c r="M9218">
        <v>29.060040000000001</v>
      </c>
      <c r="N9218">
        <v>18.032389999999999</v>
      </c>
      <c r="O9218">
        <v>11.02764</v>
      </c>
      <c r="P9218">
        <v>22.76004</v>
      </c>
      <c r="Q9218">
        <v>23.779050000000002</v>
      </c>
      <c r="R9218">
        <v>24.060040000000001</v>
      </c>
      <c r="S9218">
        <v>22.17905</v>
      </c>
      <c r="T9218">
        <v>1678.54</v>
      </c>
      <c r="U9218">
        <v>304.80990000000003</v>
      </c>
      <c r="V9218">
        <v>39</v>
      </c>
      <c r="W9218">
        <v>58</v>
      </c>
      <c r="X9218">
        <v>698.3433</v>
      </c>
      <c r="Y9218">
        <v>171.4665</v>
      </c>
      <c r="Z9218">
        <v>446.08629999999999</v>
      </c>
      <c r="AA9218">
        <v>314.78870000000001</v>
      </c>
      <c r="AB9218">
        <v>55.56955</v>
      </c>
      <c r="AC9218">
        <v>1.037504E-2</v>
      </c>
      <c r="AD9218">
        <v>1.7500530000000001</v>
      </c>
      <c r="AE9218">
        <v>0.50787090000000001</v>
      </c>
      <c r="AF9218">
        <v>603.60919999999999</v>
      </c>
      <c r="AG9218">
        <f>IFERROR(AH9218*0.1, "N/A")</f>
        <v>5.4466549999999998</v>
      </c>
      <c r="AH9218">
        <v>54.466549999999998</v>
      </c>
      <c r="AI9218">
        <v>147.64259999999999</v>
      </c>
      <c r="AJ9218">
        <v>24</v>
      </c>
      <c r="AK9218">
        <v>61</v>
      </c>
    </row>
    <row r="9219" spans="1:37" x14ac:dyDescent="0.3">
      <c r="A9219">
        <v>9218</v>
      </c>
      <c r="B9219">
        <v>0</v>
      </c>
      <c r="C9219">
        <v>11.2667</v>
      </c>
      <c r="D9219">
        <v>2.3833299999999999</v>
      </c>
      <c r="E9219" t="s">
        <v>14037</v>
      </c>
      <c r="F9219" t="s">
        <v>14039</v>
      </c>
      <c r="G9219" t="s">
        <v>37</v>
      </c>
      <c r="H9219">
        <v>1990</v>
      </c>
      <c r="I9219">
        <v>23.17905</v>
      </c>
      <c r="J9219">
        <v>8.8677810000000008</v>
      </c>
      <c r="K9219">
        <v>80</v>
      </c>
      <c r="L9219">
        <v>7.6375349999999997</v>
      </c>
      <c r="M9219">
        <v>29.060040000000001</v>
      </c>
      <c r="N9219">
        <v>18.032389999999999</v>
      </c>
      <c r="O9219">
        <v>11.02764</v>
      </c>
      <c r="P9219">
        <v>22.76004</v>
      </c>
      <c r="Q9219">
        <v>23.779050000000002</v>
      </c>
      <c r="R9219">
        <v>24.060040000000001</v>
      </c>
      <c r="S9219">
        <v>22.17905</v>
      </c>
      <c r="T9219">
        <v>1678.54</v>
      </c>
      <c r="U9219">
        <v>304.80990000000003</v>
      </c>
      <c r="V9219">
        <v>39</v>
      </c>
      <c r="W9219">
        <v>58</v>
      </c>
      <c r="X9219">
        <v>698.3433</v>
      </c>
      <c r="Y9219">
        <v>171.4665</v>
      </c>
      <c r="Z9219">
        <v>446.08629999999999</v>
      </c>
      <c r="AA9219">
        <v>314.78870000000001</v>
      </c>
      <c r="AB9219">
        <v>55.56955</v>
      </c>
      <c r="AC9219">
        <v>1.037504E-2</v>
      </c>
      <c r="AD9219">
        <v>1.7500530000000001</v>
      </c>
      <c r="AE9219">
        <v>0.50787090000000001</v>
      </c>
      <c r="AF9219">
        <v>603.60919999999999</v>
      </c>
      <c r="AG9219">
        <f>IFERROR(AH9219*0.1, "N/A")</f>
        <v>5.4466549999999998</v>
      </c>
      <c r="AH9219">
        <v>54.466549999999998</v>
      </c>
      <c r="AI9219">
        <v>147.64259999999999</v>
      </c>
      <c r="AJ9219">
        <v>24</v>
      </c>
      <c r="AK9219">
        <v>61</v>
      </c>
    </row>
    <row r="9220" spans="1:37" x14ac:dyDescent="0.3">
      <c r="A9220">
        <v>9219</v>
      </c>
      <c r="B9220">
        <v>2.2999999999999998</v>
      </c>
      <c r="C9220">
        <v>11.2667</v>
      </c>
      <c r="D9220">
        <v>2.3833299999999999</v>
      </c>
      <c r="E9220" t="s">
        <v>14037</v>
      </c>
      <c r="F9220" t="s">
        <v>14040</v>
      </c>
      <c r="G9220" t="s">
        <v>2420</v>
      </c>
      <c r="H9220">
        <v>1990</v>
      </c>
      <c r="I9220">
        <v>23.17905</v>
      </c>
      <c r="J9220">
        <v>8.8677810000000008</v>
      </c>
      <c r="K9220">
        <v>80</v>
      </c>
      <c r="L9220">
        <v>7.6375349999999997</v>
      </c>
      <c r="M9220">
        <v>29.060040000000001</v>
      </c>
      <c r="N9220">
        <v>18.032389999999999</v>
      </c>
      <c r="O9220">
        <v>11.02764</v>
      </c>
      <c r="P9220">
        <v>22.76004</v>
      </c>
      <c r="Q9220">
        <v>23.779050000000002</v>
      </c>
      <c r="R9220">
        <v>24.060040000000001</v>
      </c>
      <c r="S9220">
        <v>22.17905</v>
      </c>
      <c r="T9220">
        <v>1678.54</v>
      </c>
      <c r="U9220">
        <v>304.80990000000003</v>
      </c>
      <c r="V9220">
        <v>39</v>
      </c>
      <c r="W9220">
        <v>58</v>
      </c>
      <c r="X9220">
        <v>698.3433</v>
      </c>
      <c r="Y9220">
        <v>171.4665</v>
      </c>
      <c r="Z9220">
        <v>446.08629999999999</v>
      </c>
      <c r="AA9220">
        <v>314.78870000000001</v>
      </c>
      <c r="AB9220">
        <v>55.56955</v>
      </c>
      <c r="AC9220">
        <v>1.037504E-2</v>
      </c>
      <c r="AD9220">
        <v>1.7500530000000001</v>
      </c>
      <c r="AE9220">
        <v>0.50787090000000001</v>
      </c>
      <c r="AF9220">
        <v>603.60919999999999</v>
      </c>
      <c r="AG9220">
        <f>IFERROR(AH9220*0.1, "N/A")</f>
        <v>5.4466549999999998</v>
      </c>
      <c r="AH9220">
        <v>54.466549999999998</v>
      </c>
      <c r="AI9220">
        <v>147.64259999999999</v>
      </c>
      <c r="AJ9220">
        <v>24</v>
      </c>
      <c r="AK9220">
        <v>61</v>
      </c>
    </row>
    <row r="9221" spans="1:37" x14ac:dyDescent="0.3">
      <c r="A9221">
        <v>9220</v>
      </c>
      <c r="B9221">
        <v>0</v>
      </c>
      <c r="C9221">
        <v>15.3833</v>
      </c>
      <c r="D9221">
        <v>2.4444400000000002</v>
      </c>
      <c r="E9221" t="s">
        <v>14041</v>
      </c>
      <c r="F9221" t="s">
        <v>14042</v>
      </c>
      <c r="G9221" t="s">
        <v>39</v>
      </c>
      <c r="H9221">
        <v>1990</v>
      </c>
      <c r="I9221">
        <v>24.3</v>
      </c>
      <c r="J9221">
        <v>10.5</v>
      </c>
      <c r="K9221">
        <v>80.212649999999996</v>
      </c>
      <c r="L9221">
        <v>6.0687350000000002</v>
      </c>
      <c r="M9221">
        <v>31</v>
      </c>
      <c r="N9221">
        <v>18.021270000000001</v>
      </c>
      <c r="O9221">
        <v>12.978730000000001</v>
      </c>
      <c r="P9221">
        <v>24.1</v>
      </c>
      <c r="Q9221">
        <v>24.3</v>
      </c>
      <c r="R9221">
        <v>25.1</v>
      </c>
      <c r="S9221">
        <v>23.6</v>
      </c>
      <c r="T9221">
        <v>1599.787</v>
      </c>
      <c r="U9221">
        <v>225</v>
      </c>
      <c r="V9221">
        <v>44</v>
      </c>
      <c r="W9221">
        <v>41.787350000000004</v>
      </c>
      <c r="X9221">
        <v>590</v>
      </c>
      <c r="Y9221">
        <v>177</v>
      </c>
      <c r="Z9221">
        <v>387.57470000000001</v>
      </c>
      <c r="AA9221">
        <v>454</v>
      </c>
      <c r="AB9221">
        <v>11.25325</v>
      </c>
      <c r="AC9221">
        <v>0.2406886</v>
      </c>
      <c r="AD9221">
        <v>5.0777869999999998</v>
      </c>
      <c r="AE9221">
        <v>7.8105599999999997E-2</v>
      </c>
      <c r="AF9221">
        <v>483.67660000000001</v>
      </c>
      <c r="AG9221">
        <f>IFERROR(AH9221*0.1, "N/A")</f>
        <v>5.3000000000000007</v>
      </c>
      <c r="AH9221">
        <v>53</v>
      </c>
      <c r="AI9221">
        <v>65.7851</v>
      </c>
      <c r="AJ9221">
        <v>36.680140000000002</v>
      </c>
      <c r="AK9221">
        <v>52.340949999999999</v>
      </c>
    </row>
    <row r="9222" spans="1:37" x14ac:dyDescent="0.3">
      <c r="A9222">
        <v>9221</v>
      </c>
      <c r="B9222">
        <v>0</v>
      </c>
      <c r="C9222">
        <v>15.3833</v>
      </c>
      <c r="D9222">
        <v>2.4444400000000002</v>
      </c>
      <c r="E9222" t="s">
        <v>14041</v>
      </c>
      <c r="F9222" t="s">
        <v>14043</v>
      </c>
      <c r="G9222" t="s">
        <v>37</v>
      </c>
      <c r="H9222">
        <v>1990</v>
      </c>
      <c r="I9222">
        <v>24.3</v>
      </c>
      <c r="J9222">
        <v>10.5</v>
      </c>
      <c r="K9222">
        <v>80.212649999999996</v>
      </c>
      <c r="L9222">
        <v>6.0687350000000002</v>
      </c>
      <c r="M9222">
        <v>31</v>
      </c>
      <c r="N9222">
        <v>18.021270000000001</v>
      </c>
      <c r="O9222">
        <v>12.978730000000001</v>
      </c>
      <c r="P9222">
        <v>24.1</v>
      </c>
      <c r="Q9222">
        <v>24.3</v>
      </c>
      <c r="R9222">
        <v>25.1</v>
      </c>
      <c r="S9222">
        <v>23.6</v>
      </c>
      <c r="T9222">
        <v>1599.787</v>
      </c>
      <c r="U9222">
        <v>225</v>
      </c>
      <c r="V9222">
        <v>44</v>
      </c>
      <c r="W9222">
        <v>41.787350000000004</v>
      </c>
      <c r="X9222">
        <v>590</v>
      </c>
      <c r="Y9222">
        <v>177</v>
      </c>
      <c r="Z9222">
        <v>387.57470000000001</v>
      </c>
      <c r="AA9222">
        <v>454</v>
      </c>
      <c r="AB9222">
        <v>11.25325</v>
      </c>
      <c r="AC9222">
        <v>0.2406886</v>
      </c>
      <c r="AD9222">
        <v>5.0777869999999998</v>
      </c>
      <c r="AE9222">
        <v>7.8105599999999997E-2</v>
      </c>
      <c r="AF9222">
        <v>483.67660000000001</v>
      </c>
      <c r="AG9222">
        <f>IFERROR(AH9222*0.1, "N/A")</f>
        <v>5.3000000000000007</v>
      </c>
      <c r="AH9222">
        <v>53</v>
      </c>
      <c r="AI9222">
        <v>65.7851</v>
      </c>
      <c r="AJ9222">
        <v>36.680140000000002</v>
      </c>
      <c r="AK9222">
        <v>52.340949999999999</v>
      </c>
    </row>
    <row r="9223" spans="1:37" x14ac:dyDescent="0.3">
      <c r="A9223">
        <v>9222</v>
      </c>
      <c r="B9223">
        <v>0</v>
      </c>
      <c r="C9223">
        <v>15.3833</v>
      </c>
      <c r="D9223">
        <v>2.4444400000000002</v>
      </c>
      <c r="E9223" t="s">
        <v>14041</v>
      </c>
      <c r="F9223" t="s">
        <v>14044</v>
      </c>
      <c r="G9223" t="s">
        <v>2420</v>
      </c>
      <c r="H9223">
        <v>1990</v>
      </c>
      <c r="I9223">
        <v>24.3</v>
      </c>
      <c r="J9223">
        <v>10.5</v>
      </c>
      <c r="K9223">
        <v>80.212649999999996</v>
      </c>
      <c r="L9223">
        <v>6.0687350000000002</v>
      </c>
      <c r="M9223">
        <v>31</v>
      </c>
      <c r="N9223">
        <v>18.021270000000001</v>
      </c>
      <c r="O9223">
        <v>12.978730000000001</v>
      </c>
      <c r="P9223">
        <v>24.1</v>
      </c>
      <c r="Q9223">
        <v>24.3</v>
      </c>
      <c r="R9223">
        <v>25.1</v>
      </c>
      <c r="S9223">
        <v>23.6</v>
      </c>
      <c r="T9223">
        <v>1599.787</v>
      </c>
      <c r="U9223">
        <v>225</v>
      </c>
      <c r="V9223">
        <v>44</v>
      </c>
      <c r="W9223">
        <v>41.787350000000004</v>
      </c>
      <c r="X9223">
        <v>590</v>
      </c>
      <c r="Y9223">
        <v>177</v>
      </c>
      <c r="Z9223">
        <v>387.57470000000001</v>
      </c>
      <c r="AA9223">
        <v>454</v>
      </c>
      <c r="AB9223">
        <v>11.25325</v>
      </c>
      <c r="AC9223">
        <v>0.2406886</v>
      </c>
      <c r="AD9223">
        <v>5.0777869999999998</v>
      </c>
      <c r="AE9223">
        <v>7.8105599999999997E-2</v>
      </c>
      <c r="AF9223">
        <v>483.67660000000001</v>
      </c>
      <c r="AG9223">
        <f>IFERROR(AH9223*0.1, "N/A")</f>
        <v>5.3000000000000007</v>
      </c>
      <c r="AH9223">
        <v>53</v>
      </c>
      <c r="AI9223">
        <v>65.7851</v>
      </c>
      <c r="AJ9223">
        <v>36.680140000000002</v>
      </c>
      <c r="AK9223">
        <v>52.340949999999999</v>
      </c>
    </row>
    <row r="9224" spans="1:37" x14ac:dyDescent="0.3">
      <c r="A9224">
        <v>9223</v>
      </c>
      <c r="B9224">
        <v>0</v>
      </c>
      <c r="C9224">
        <v>9.8333300000000001</v>
      </c>
      <c r="D9224">
        <v>2.51111</v>
      </c>
      <c r="E9224" t="s">
        <v>14045</v>
      </c>
      <c r="F9224" t="s">
        <v>14046</v>
      </c>
      <c r="G9224" t="s">
        <v>39</v>
      </c>
      <c r="H9224">
        <v>1990</v>
      </c>
      <c r="I9224">
        <v>25.5</v>
      </c>
      <c r="J9224">
        <v>7.4</v>
      </c>
      <c r="K9224">
        <v>74.177189999999996</v>
      </c>
      <c r="L9224">
        <v>7.8245610000000001</v>
      </c>
      <c r="M9224">
        <v>30.682279999999999</v>
      </c>
      <c r="N9224">
        <v>20.8</v>
      </c>
      <c r="O9224">
        <v>9.8822799999999997</v>
      </c>
      <c r="P9224">
        <v>25</v>
      </c>
      <c r="Q9224">
        <v>26.1</v>
      </c>
      <c r="R9224">
        <v>26.3</v>
      </c>
      <c r="S9224">
        <v>24.317720000000001</v>
      </c>
      <c r="T9224">
        <v>2690.3539999999998</v>
      </c>
      <c r="U9224">
        <v>476.17720000000003</v>
      </c>
      <c r="V9224">
        <v>81</v>
      </c>
      <c r="W9224">
        <v>57</v>
      </c>
      <c r="X9224">
        <v>1145.1769999999999</v>
      </c>
      <c r="Y9224">
        <v>299</v>
      </c>
      <c r="Z9224">
        <v>573</v>
      </c>
      <c r="AA9224">
        <v>706</v>
      </c>
      <c r="AB9224">
        <v>1.724737</v>
      </c>
      <c r="AC9224">
        <v>0.6953975</v>
      </c>
      <c r="AD9224">
        <v>4.155735</v>
      </c>
      <c r="AE9224">
        <v>0.1792039</v>
      </c>
      <c r="AF9224">
        <v>23.082460000000001</v>
      </c>
      <c r="AG9224">
        <f>IFERROR(AH9224*0.1, "N/A")</f>
        <v>5.0721050000000005</v>
      </c>
      <c r="AH9224">
        <v>50.721049999999998</v>
      </c>
      <c r="AI9224">
        <v>237.5692</v>
      </c>
      <c r="AJ9224">
        <v>29.898250000000001</v>
      </c>
      <c r="AK9224">
        <v>48.747369999999997</v>
      </c>
    </row>
    <row r="9225" spans="1:37" x14ac:dyDescent="0.3">
      <c r="A9225">
        <v>9224</v>
      </c>
      <c r="B9225">
        <v>0</v>
      </c>
      <c r="C9225">
        <v>9.8333300000000001</v>
      </c>
      <c r="D9225">
        <v>2.51111</v>
      </c>
      <c r="E9225" t="s">
        <v>14045</v>
      </c>
      <c r="F9225" t="s">
        <v>14047</v>
      </c>
      <c r="G9225" t="s">
        <v>37</v>
      </c>
      <c r="H9225">
        <v>1990</v>
      </c>
      <c r="I9225">
        <v>25.5</v>
      </c>
      <c r="J9225">
        <v>7.4</v>
      </c>
      <c r="K9225">
        <v>74.177189999999996</v>
      </c>
      <c r="L9225">
        <v>7.8245610000000001</v>
      </c>
      <c r="M9225">
        <v>30.682279999999999</v>
      </c>
      <c r="N9225">
        <v>20.8</v>
      </c>
      <c r="O9225">
        <v>9.8822799999999997</v>
      </c>
      <c r="P9225">
        <v>25</v>
      </c>
      <c r="Q9225">
        <v>26.1</v>
      </c>
      <c r="R9225">
        <v>26.3</v>
      </c>
      <c r="S9225">
        <v>24.317720000000001</v>
      </c>
      <c r="T9225">
        <v>2690.3539999999998</v>
      </c>
      <c r="U9225">
        <v>476.17720000000003</v>
      </c>
      <c r="V9225">
        <v>81</v>
      </c>
      <c r="W9225">
        <v>57</v>
      </c>
      <c r="X9225">
        <v>1145.1769999999999</v>
      </c>
      <c r="Y9225">
        <v>299</v>
      </c>
      <c r="Z9225">
        <v>573</v>
      </c>
      <c r="AA9225">
        <v>706</v>
      </c>
      <c r="AB9225">
        <v>1.724737</v>
      </c>
      <c r="AC9225">
        <v>0.6953975</v>
      </c>
      <c r="AD9225">
        <v>4.155735</v>
      </c>
      <c r="AE9225">
        <v>0.1792039</v>
      </c>
      <c r="AF9225">
        <v>23.082460000000001</v>
      </c>
      <c r="AG9225">
        <f>IFERROR(AH9225*0.1, "N/A")</f>
        <v>5.0721050000000005</v>
      </c>
      <c r="AH9225">
        <v>50.721049999999998</v>
      </c>
      <c r="AI9225">
        <v>237.5692</v>
      </c>
      <c r="AJ9225">
        <v>29.898250000000001</v>
      </c>
      <c r="AK9225">
        <v>48.747369999999997</v>
      </c>
    </row>
    <row r="9226" spans="1:37" x14ac:dyDescent="0.3">
      <c r="A9226">
        <v>9225</v>
      </c>
      <c r="B9226">
        <v>0</v>
      </c>
      <c r="C9226">
        <v>9.8333300000000001</v>
      </c>
      <c r="D9226">
        <v>2.51111</v>
      </c>
      <c r="E9226" t="s">
        <v>14045</v>
      </c>
      <c r="F9226" t="s">
        <v>14048</v>
      </c>
      <c r="G9226" t="s">
        <v>2420</v>
      </c>
      <c r="H9226">
        <v>1990</v>
      </c>
      <c r="I9226">
        <v>25.5</v>
      </c>
      <c r="J9226">
        <v>7.4</v>
      </c>
      <c r="K9226">
        <v>74.177189999999996</v>
      </c>
      <c r="L9226">
        <v>7.8245610000000001</v>
      </c>
      <c r="M9226">
        <v>30.682279999999999</v>
      </c>
      <c r="N9226">
        <v>20.8</v>
      </c>
      <c r="O9226">
        <v>9.8822799999999997</v>
      </c>
      <c r="P9226">
        <v>25</v>
      </c>
      <c r="Q9226">
        <v>26.1</v>
      </c>
      <c r="R9226">
        <v>26.3</v>
      </c>
      <c r="S9226">
        <v>24.317720000000001</v>
      </c>
      <c r="T9226">
        <v>2690.3539999999998</v>
      </c>
      <c r="U9226">
        <v>476.17720000000003</v>
      </c>
      <c r="V9226">
        <v>81</v>
      </c>
      <c r="W9226">
        <v>57</v>
      </c>
      <c r="X9226">
        <v>1145.1769999999999</v>
      </c>
      <c r="Y9226">
        <v>299</v>
      </c>
      <c r="Z9226">
        <v>573</v>
      </c>
      <c r="AA9226">
        <v>706</v>
      </c>
      <c r="AB9226">
        <v>1.724737</v>
      </c>
      <c r="AC9226">
        <v>0.6953975</v>
      </c>
      <c r="AD9226">
        <v>4.155735</v>
      </c>
      <c r="AE9226">
        <v>0.1792039</v>
      </c>
      <c r="AF9226">
        <v>23.082460000000001</v>
      </c>
      <c r="AG9226">
        <f>IFERROR(AH9226*0.1, "N/A")</f>
        <v>5.0721050000000005</v>
      </c>
      <c r="AH9226">
        <v>50.721049999999998</v>
      </c>
      <c r="AI9226">
        <v>237.5692</v>
      </c>
      <c r="AJ9226">
        <v>29.898250000000001</v>
      </c>
      <c r="AK9226">
        <v>48.747369999999997</v>
      </c>
    </row>
    <row r="9227" spans="1:37" x14ac:dyDescent="0.3">
      <c r="A9227">
        <v>9226</v>
      </c>
      <c r="B9227">
        <v>0</v>
      </c>
      <c r="C9227">
        <v>11.902799999999999</v>
      </c>
      <c r="D9227">
        <v>2.51389</v>
      </c>
      <c r="E9227" t="s">
        <v>14049</v>
      </c>
      <c r="F9227" t="s">
        <v>14050</v>
      </c>
      <c r="G9227" t="s">
        <v>39</v>
      </c>
      <c r="H9227">
        <v>1990</v>
      </c>
      <c r="I9227">
        <v>23.8</v>
      </c>
      <c r="J9227">
        <v>9.3000000000000007</v>
      </c>
      <c r="K9227">
        <v>82</v>
      </c>
      <c r="L9227">
        <v>6.36</v>
      </c>
      <c r="M9227">
        <v>29.8</v>
      </c>
      <c r="N9227">
        <v>18.5</v>
      </c>
      <c r="O9227">
        <v>11.3</v>
      </c>
      <c r="P9227">
        <v>23.5</v>
      </c>
      <c r="Q9227">
        <v>24.1</v>
      </c>
      <c r="R9227">
        <v>24.5</v>
      </c>
      <c r="S9227">
        <v>22.8</v>
      </c>
      <c r="T9227">
        <v>1670</v>
      </c>
      <c r="U9227">
        <v>288</v>
      </c>
      <c r="V9227">
        <v>44</v>
      </c>
      <c r="W9227">
        <v>55</v>
      </c>
      <c r="X9227">
        <v>675</v>
      </c>
      <c r="Y9227">
        <v>154</v>
      </c>
      <c r="Z9227">
        <v>425</v>
      </c>
      <c r="AA9227">
        <v>356</v>
      </c>
      <c r="AB9227">
        <v>33.055520000000001</v>
      </c>
      <c r="AC9227">
        <v>3.6005189999999999E-2</v>
      </c>
      <c r="AD9227">
        <v>3.9163670000000002</v>
      </c>
      <c r="AE9227">
        <v>0.16082299999999999</v>
      </c>
      <c r="AF9227">
        <v>643.17399999999998</v>
      </c>
      <c r="AG9227">
        <f>IFERROR(AH9227*0.1, "N/A")</f>
        <v>5.2840069999999999</v>
      </c>
      <c r="AH9227">
        <v>52.840069999999997</v>
      </c>
      <c r="AI9227">
        <v>266.37810000000002</v>
      </c>
      <c r="AJ9227">
        <v>38.680140000000002</v>
      </c>
      <c r="AK9227">
        <v>51.479790000000001</v>
      </c>
    </row>
    <row r="9228" spans="1:37" x14ac:dyDescent="0.3">
      <c r="A9228">
        <v>9227</v>
      </c>
      <c r="B9228">
        <v>0</v>
      </c>
      <c r="C9228">
        <v>11.902799999999999</v>
      </c>
      <c r="D9228">
        <v>2.51389</v>
      </c>
      <c r="E9228" t="s">
        <v>14049</v>
      </c>
      <c r="F9228" t="s">
        <v>14051</v>
      </c>
      <c r="G9228" t="s">
        <v>37</v>
      </c>
      <c r="H9228">
        <v>1990</v>
      </c>
      <c r="I9228">
        <v>23.8</v>
      </c>
      <c r="J9228">
        <v>9.3000000000000007</v>
      </c>
      <c r="K9228">
        <v>82</v>
      </c>
      <c r="L9228">
        <v>6.36</v>
      </c>
      <c r="M9228">
        <v>29.8</v>
      </c>
      <c r="N9228">
        <v>18.5</v>
      </c>
      <c r="O9228">
        <v>11.3</v>
      </c>
      <c r="P9228">
        <v>23.5</v>
      </c>
      <c r="Q9228">
        <v>24.1</v>
      </c>
      <c r="R9228">
        <v>24.5</v>
      </c>
      <c r="S9228">
        <v>22.8</v>
      </c>
      <c r="T9228">
        <v>1670</v>
      </c>
      <c r="U9228">
        <v>288</v>
      </c>
      <c r="V9228">
        <v>44</v>
      </c>
      <c r="W9228">
        <v>55</v>
      </c>
      <c r="X9228">
        <v>675</v>
      </c>
      <c r="Y9228">
        <v>154</v>
      </c>
      <c r="Z9228">
        <v>425</v>
      </c>
      <c r="AA9228">
        <v>356</v>
      </c>
      <c r="AB9228">
        <v>33.055520000000001</v>
      </c>
      <c r="AC9228">
        <v>3.6005189999999999E-2</v>
      </c>
      <c r="AD9228">
        <v>3.9163670000000002</v>
      </c>
      <c r="AE9228">
        <v>0.16082299999999999</v>
      </c>
      <c r="AF9228">
        <v>643.17399999999998</v>
      </c>
      <c r="AG9228">
        <f>IFERROR(AH9228*0.1, "N/A")</f>
        <v>5.2840069999999999</v>
      </c>
      <c r="AH9228">
        <v>52.840069999999997</v>
      </c>
      <c r="AI9228">
        <v>266.37810000000002</v>
      </c>
      <c r="AJ9228">
        <v>38.680140000000002</v>
      </c>
      <c r="AK9228">
        <v>51.479790000000001</v>
      </c>
    </row>
    <row r="9229" spans="1:37" x14ac:dyDescent="0.3">
      <c r="A9229">
        <v>9228</v>
      </c>
      <c r="B9229">
        <v>0</v>
      </c>
      <c r="C9229">
        <v>11.902799999999999</v>
      </c>
      <c r="D9229">
        <v>2.51389</v>
      </c>
      <c r="E9229" t="s">
        <v>14049</v>
      </c>
      <c r="F9229" t="s">
        <v>14052</v>
      </c>
      <c r="G9229" t="s">
        <v>2420</v>
      </c>
      <c r="H9229">
        <v>1990</v>
      </c>
      <c r="I9229">
        <v>23.8</v>
      </c>
      <c r="J9229">
        <v>9.3000000000000007</v>
      </c>
      <c r="K9229">
        <v>82</v>
      </c>
      <c r="L9229">
        <v>6.36</v>
      </c>
      <c r="M9229">
        <v>29.8</v>
      </c>
      <c r="N9229">
        <v>18.5</v>
      </c>
      <c r="O9229">
        <v>11.3</v>
      </c>
      <c r="P9229">
        <v>23.5</v>
      </c>
      <c r="Q9229">
        <v>24.1</v>
      </c>
      <c r="R9229">
        <v>24.5</v>
      </c>
      <c r="S9229">
        <v>22.8</v>
      </c>
      <c r="T9229">
        <v>1670</v>
      </c>
      <c r="U9229">
        <v>288</v>
      </c>
      <c r="V9229">
        <v>44</v>
      </c>
      <c r="W9229">
        <v>55</v>
      </c>
      <c r="X9229">
        <v>675</v>
      </c>
      <c r="Y9229">
        <v>154</v>
      </c>
      <c r="Z9229">
        <v>425</v>
      </c>
      <c r="AA9229">
        <v>356</v>
      </c>
      <c r="AB9229">
        <v>33.055520000000001</v>
      </c>
      <c r="AC9229">
        <v>3.6005189999999999E-2</v>
      </c>
      <c r="AD9229">
        <v>3.9163670000000002</v>
      </c>
      <c r="AE9229">
        <v>0.16082299999999999</v>
      </c>
      <c r="AF9229">
        <v>643.17399999999998</v>
      </c>
      <c r="AG9229">
        <f>IFERROR(AH9229*0.1, "N/A")</f>
        <v>5.2840069999999999</v>
      </c>
      <c r="AH9229">
        <v>52.840069999999997</v>
      </c>
      <c r="AI9229">
        <v>266.37810000000002</v>
      </c>
      <c r="AJ9229">
        <v>38.680140000000002</v>
      </c>
      <c r="AK9229">
        <v>51.479790000000001</v>
      </c>
    </row>
    <row r="9230" spans="1:37" x14ac:dyDescent="0.3">
      <c r="A9230">
        <v>9229</v>
      </c>
      <c r="B9230">
        <v>0</v>
      </c>
      <c r="C9230">
        <v>9.8277800000000006</v>
      </c>
      <c r="D9230">
        <v>2.51667</v>
      </c>
      <c r="E9230" t="s">
        <v>14053</v>
      </c>
      <c r="F9230" t="s">
        <v>14054</v>
      </c>
      <c r="G9230" t="s">
        <v>39</v>
      </c>
      <c r="H9230">
        <v>1990</v>
      </c>
      <c r="I9230">
        <v>25.5</v>
      </c>
      <c r="J9230">
        <v>7.4</v>
      </c>
      <c r="K9230">
        <v>75</v>
      </c>
      <c r="L9230">
        <v>7.66</v>
      </c>
      <c r="M9230">
        <v>30.6</v>
      </c>
      <c r="N9230">
        <v>20.8</v>
      </c>
      <c r="O9230">
        <v>9.8000000000000007</v>
      </c>
      <c r="P9230">
        <v>25</v>
      </c>
      <c r="Q9230">
        <v>26.1</v>
      </c>
      <c r="R9230">
        <v>26.3</v>
      </c>
      <c r="S9230">
        <v>24.4</v>
      </c>
      <c r="T9230">
        <v>2692</v>
      </c>
      <c r="U9230">
        <v>477</v>
      </c>
      <c r="V9230">
        <v>81</v>
      </c>
      <c r="W9230">
        <v>57</v>
      </c>
      <c r="X9230">
        <v>1146</v>
      </c>
      <c r="Y9230">
        <v>299</v>
      </c>
      <c r="Z9230">
        <v>573</v>
      </c>
      <c r="AA9230">
        <v>706</v>
      </c>
      <c r="AB9230">
        <v>1.61283</v>
      </c>
      <c r="AC9230">
        <v>1.299491</v>
      </c>
      <c r="AD9230">
        <v>3.2327979999999998</v>
      </c>
      <c r="AE9230">
        <v>0.2894736</v>
      </c>
      <c r="AF9230">
        <v>15.333920000000001</v>
      </c>
      <c r="AG9230">
        <f>IFERROR(AH9230*0.1, "N/A")</f>
        <v>5.4</v>
      </c>
      <c r="AH9230">
        <v>54</v>
      </c>
      <c r="AI9230">
        <v>93.72354</v>
      </c>
      <c r="AJ9230">
        <v>31</v>
      </c>
      <c r="AK9230">
        <v>46.105449999999998</v>
      </c>
    </row>
    <row r="9231" spans="1:37" x14ac:dyDescent="0.3">
      <c r="A9231">
        <v>9230</v>
      </c>
      <c r="B9231">
        <v>0</v>
      </c>
      <c r="C9231">
        <v>9.8277800000000006</v>
      </c>
      <c r="D9231">
        <v>2.51667</v>
      </c>
      <c r="E9231" t="s">
        <v>14053</v>
      </c>
      <c r="F9231" t="s">
        <v>14055</v>
      </c>
      <c r="G9231" t="s">
        <v>37</v>
      </c>
      <c r="H9231">
        <v>1990</v>
      </c>
      <c r="I9231">
        <v>25.5</v>
      </c>
      <c r="J9231">
        <v>7.4</v>
      </c>
      <c r="K9231">
        <v>75</v>
      </c>
      <c r="L9231">
        <v>7.66</v>
      </c>
      <c r="M9231">
        <v>30.6</v>
      </c>
      <c r="N9231">
        <v>20.8</v>
      </c>
      <c r="O9231">
        <v>9.8000000000000007</v>
      </c>
      <c r="P9231">
        <v>25</v>
      </c>
      <c r="Q9231">
        <v>26.1</v>
      </c>
      <c r="R9231">
        <v>26.3</v>
      </c>
      <c r="S9231">
        <v>24.4</v>
      </c>
      <c r="T9231">
        <v>2692</v>
      </c>
      <c r="U9231">
        <v>477</v>
      </c>
      <c r="V9231">
        <v>81</v>
      </c>
      <c r="W9231">
        <v>57</v>
      </c>
      <c r="X9231">
        <v>1146</v>
      </c>
      <c r="Y9231">
        <v>299</v>
      </c>
      <c r="Z9231">
        <v>573</v>
      </c>
      <c r="AA9231">
        <v>706</v>
      </c>
      <c r="AB9231">
        <v>1.61283</v>
      </c>
      <c r="AC9231">
        <v>1.299491</v>
      </c>
      <c r="AD9231">
        <v>3.2327979999999998</v>
      </c>
      <c r="AE9231">
        <v>0.2894736</v>
      </c>
      <c r="AF9231">
        <v>15.333920000000001</v>
      </c>
      <c r="AG9231">
        <f>IFERROR(AH9231*0.1, "N/A")</f>
        <v>5.4</v>
      </c>
      <c r="AH9231">
        <v>54</v>
      </c>
      <c r="AI9231">
        <v>93.72354</v>
      </c>
      <c r="AJ9231">
        <v>31</v>
      </c>
      <c r="AK9231">
        <v>46.105449999999998</v>
      </c>
    </row>
    <row r="9232" spans="1:37" x14ac:dyDescent="0.3">
      <c r="A9232">
        <v>9231</v>
      </c>
      <c r="B9232">
        <v>0</v>
      </c>
      <c r="C9232">
        <v>9.8277800000000006</v>
      </c>
      <c r="D9232">
        <v>2.51667</v>
      </c>
      <c r="E9232" t="s">
        <v>14053</v>
      </c>
      <c r="F9232" t="s">
        <v>14056</v>
      </c>
      <c r="G9232" t="s">
        <v>2420</v>
      </c>
      <c r="H9232">
        <v>1990</v>
      </c>
      <c r="I9232">
        <v>25.5</v>
      </c>
      <c r="J9232">
        <v>7.4</v>
      </c>
      <c r="K9232">
        <v>75</v>
      </c>
      <c r="L9232">
        <v>7.66</v>
      </c>
      <c r="M9232">
        <v>30.6</v>
      </c>
      <c r="N9232">
        <v>20.8</v>
      </c>
      <c r="O9232">
        <v>9.8000000000000007</v>
      </c>
      <c r="P9232">
        <v>25</v>
      </c>
      <c r="Q9232">
        <v>26.1</v>
      </c>
      <c r="R9232">
        <v>26.3</v>
      </c>
      <c r="S9232">
        <v>24.4</v>
      </c>
      <c r="T9232">
        <v>2692</v>
      </c>
      <c r="U9232">
        <v>477</v>
      </c>
      <c r="V9232">
        <v>81</v>
      </c>
      <c r="W9232">
        <v>57</v>
      </c>
      <c r="X9232">
        <v>1146</v>
      </c>
      <c r="Y9232">
        <v>299</v>
      </c>
      <c r="Z9232">
        <v>573</v>
      </c>
      <c r="AA9232">
        <v>706</v>
      </c>
      <c r="AB9232">
        <v>1.61283</v>
      </c>
      <c r="AC9232">
        <v>1.299491</v>
      </c>
      <c r="AD9232">
        <v>3.2327979999999998</v>
      </c>
      <c r="AE9232">
        <v>0.2894736</v>
      </c>
      <c r="AF9232">
        <v>15.333920000000001</v>
      </c>
      <c r="AG9232">
        <f>IFERROR(AH9232*0.1, "N/A")</f>
        <v>5.4</v>
      </c>
      <c r="AH9232">
        <v>54</v>
      </c>
      <c r="AI9232">
        <v>93.72354</v>
      </c>
      <c r="AJ9232">
        <v>31</v>
      </c>
      <c r="AK9232">
        <v>46.105449999999998</v>
      </c>
    </row>
    <row r="9233" spans="1:37" x14ac:dyDescent="0.3">
      <c r="A9233">
        <v>9232</v>
      </c>
      <c r="B9233">
        <v>0</v>
      </c>
      <c r="C9233">
        <v>11.45</v>
      </c>
      <c r="D9233">
        <v>2.5888900000000001</v>
      </c>
      <c r="E9233" t="s">
        <v>14057</v>
      </c>
      <c r="F9233" t="s">
        <v>14058</v>
      </c>
      <c r="G9233" t="s">
        <v>39</v>
      </c>
      <c r="H9233">
        <v>1990</v>
      </c>
      <c r="I9233">
        <v>23.6</v>
      </c>
      <c r="J9233">
        <v>8.9</v>
      </c>
      <c r="K9233">
        <v>79.571680000000001</v>
      </c>
      <c r="L9233">
        <v>7.1913460000000002</v>
      </c>
      <c r="M9233">
        <v>29.5</v>
      </c>
      <c r="N9233">
        <v>18.414339999999999</v>
      </c>
      <c r="O9233">
        <v>11.085660000000001</v>
      </c>
      <c r="P9233">
        <v>23.3</v>
      </c>
      <c r="Q9233">
        <v>24.157170000000001</v>
      </c>
      <c r="R9233">
        <v>24.4</v>
      </c>
      <c r="S9233">
        <v>22.6</v>
      </c>
      <c r="T9233">
        <v>1699.857</v>
      </c>
      <c r="U9233">
        <v>299.42829999999998</v>
      </c>
      <c r="V9233">
        <v>39</v>
      </c>
      <c r="W9233">
        <v>57</v>
      </c>
      <c r="X9233">
        <v>691.42830000000004</v>
      </c>
      <c r="Y9233">
        <v>161.42830000000001</v>
      </c>
      <c r="Z9233">
        <v>446.42829999999998</v>
      </c>
      <c r="AA9233">
        <v>337</v>
      </c>
      <c r="AB9233">
        <v>16.645620000000001</v>
      </c>
      <c r="AC9233">
        <v>8.5393090000000001E-3</v>
      </c>
      <c r="AD9233">
        <v>3.9414289999999998</v>
      </c>
      <c r="AE9233">
        <v>0.1233964</v>
      </c>
      <c r="AF9233">
        <v>595.20100000000002</v>
      </c>
      <c r="AG9233">
        <f>IFERROR(AH9233*0.1, "N/A")</f>
        <v>4.8335660000000003</v>
      </c>
      <c r="AH9233">
        <v>48.335659999999997</v>
      </c>
      <c r="AI9233">
        <v>86.267319999999998</v>
      </c>
      <c r="AJ9233">
        <v>39.807690000000001</v>
      </c>
      <c r="AK9233">
        <v>51.896850000000001</v>
      </c>
    </row>
    <row r="9234" spans="1:37" x14ac:dyDescent="0.3">
      <c r="A9234">
        <v>9233</v>
      </c>
      <c r="B9234">
        <v>0</v>
      </c>
      <c r="C9234">
        <v>11.45</v>
      </c>
      <c r="D9234">
        <v>2.5888900000000001</v>
      </c>
      <c r="E9234" t="s">
        <v>14057</v>
      </c>
      <c r="F9234" t="s">
        <v>14059</v>
      </c>
      <c r="G9234" t="s">
        <v>37</v>
      </c>
      <c r="H9234">
        <v>1990</v>
      </c>
      <c r="I9234">
        <v>23.6</v>
      </c>
      <c r="J9234">
        <v>8.9</v>
      </c>
      <c r="K9234">
        <v>79.571680000000001</v>
      </c>
      <c r="L9234">
        <v>7.1913460000000002</v>
      </c>
      <c r="M9234">
        <v>29.5</v>
      </c>
      <c r="N9234">
        <v>18.414339999999999</v>
      </c>
      <c r="O9234">
        <v>11.085660000000001</v>
      </c>
      <c r="P9234">
        <v>23.3</v>
      </c>
      <c r="Q9234">
        <v>24.157170000000001</v>
      </c>
      <c r="R9234">
        <v>24.4</v>
      </c>
      <c r="S9234">
        <v>22.6</v>
      </c>
      <c r="T9234">
        <v>1699.857</v>
      </c>
      <c r="U9234">
        <v>299.42829999999998</v>
      </c>
      <c r="V9234">
        <v>39</v>
      </c>
      <c r="W9234">
        <v>57</v>
      </c>
      <c r="X9234">
        <v>691.42830000000004</v>
      </c>
      <c r="Y9234">
        <v>161.42830000000001</v>
      </c>
      <c r="Z9234">
        <v>446.42829999999998</v>
      </c>
      <c r="AA9234">
        <v>337</v>
      </c>
      <c r="AB9234">
        <v>16.645620000000001</v>
      </c>
      <c r="AC9234">
        <v>8.5393090000000001E-3</v>
      </c>
      <c r="AD9234">
        <v>3.9414289999999998</v>
      </c>
      <c r="AE9234">
        <v>0.1233964</v>
      </c>
      <c r="AF9234">
        <v>595.20100000000002</v>
      </c>
      <c r="AG9234">
        <f>IFERROR(AH9234*0.1, "N/A")</f>
        <v>4.8335660000000003</v>
      </c>
      <c r="AH9234">
        <v>48.335659999999997</v>
      </c>
      <c r="AI9234">
        <v>86.267319999999998</v>
      </c>
      <c r="AJ9234">
        <v>39.807690000000001</v>
      </c>
      <c r="AK9234">
        <v>51.896850000000001</v>
      </c>
    </row>
    <row r="9235" spans="1:37" x14ac:dyDescent="0.3">
      <c r="A9235">
        <v>9234</v>
      </c>
      <c r="B9235">
        <v>0</v>
      </c>
      <c r="C9235">
        <v>11.45</v>
      </c>
      <c r="D9235">
        <v>2.5888900000000001</v>
      </c>
      <c r="E9235" t="s">
        <v>14057</v>
      </c>
      <c r="F9235" t="s">
        <v>14060</v>
      </c>
      <c r="G9235" t="s">
        <v>2420</v>
      </c>
      <c r="H9235">
        <v>1990</v>
      </c>
      <c r="I9235">
        <v>23.6</v>
      </c>
      <c r="J9235">
        <v>8.9</v>
      </c>
      <c r="K9235">
        <v>79.571680000000001</v>
      </c>
      <c r="L9235">
        <v>7.1913460000000002</v>
      </c>
      <c r="M9235">
        <v>29.5</v>
      </c>
      <c r="N9235">
        <v>18.414339999999999</v>
      </c>
      <c r="O9235">
        <v>11.085660000000001</v>
      </c>
      <c r="P9235">
        <v>23.3</v>
      </c>
      <c r="Q9235">
        <v>24.157170000000001</v>
      </c>
      <c r="R9235">
        <v>24.4</v>
      </c>
      <c r="S9235">
        <v>22.6</v>
      </c>
      <c r="T9235">
        <v>1699.857</v>
      </c>
      <c r="U9235">
        <v>299.42829999999998</v>
      </c>
      <c r="V9235">
        <v>39</v>
      </c>
      <c r="W9235">
        <v>57</v>
      </c>
      <c r="X9235">
        <v>691.42830000000004</v>
      </c>
      <c r="Y9235">
        <v>161.42830000000001</v>
      </c>
      <c r="Z9235">
        <v>446.42829999999998</v>
      </c>
      <c r="AA9235">
        <v>337</v>
      </c>
      <c r="AB9235">
        <v>16.645620000000001</v>
      </c>
      <c r="AC9235">
        <v>8.5393090000000001E-3</v>
      </c>
      <c r="AD9235">
        <v>3.9414289999999998</v>
      </c>
      <c r="AE9235">
        <v>0.1233964</v>
      </c>
      <c r="AF9235">
        <v>595.20100000000002</v>
      </c>
      <c r="AG9235">
        <f>IFERROR(AH9235*0.1, "N/A")</f>
        <v>4.8335660000000003</v>
      </c>
      <c r="AH9235">
        <v>48.335659999999997</v>
      </c>
      <c r="AI9235">
        <v>86.267319999999998</v>
      </c>
      <c r="AJ9235">
        <v>39.807690000000001</v>
      </c>
      <c r="AK9235">
        <v>51.896850000000001</v>
      </c>
    </row>
    <row r="9236" spans="1:37" x14ac:dyDescent="0.3">
      <c r="A9236">
        <v>9235</v>
      </c>
      <c r="B9236">
        <v>0</v>
      </c>
      <c r="C9236">
        <v>12.683299999999999</v>
      </c>
      <c r="D9236">
        <v>2.6694399999999998</v>
      </c>
      <c r="E9236" t="s">
        <v>14061</v>
      </c>
      <c r="F9236" t="s">
        <v>14062</v>
      </c>
      <c r="G9236" t="s">
        <v>39</v>
      </c>
      <c r="H9236">
        <v>1990</v>
      </c>
      <c r="I9236">
        <v>23.3</v>
      </c>
      <c r="J9236">
        <v>9.8000000000000007</v>
      </c>
      <c r="K9236">
        <v>83</v>
      </c>
      <c r="L9236">
        <v>5.8088069999999998</v>
      </c>
      <c r="M9236">
        <v>29.7</v>
      </c>
      <c r="N9236">
        <v>17.899999999999999</v>
      </c>
      <c r="O9236">
        <v>11.8</v>
      </c>
      <c r="P9236">
        <v>23.15035</v>
      </c>
      <c r="Q9236">
        <v>23.4</v>
      </c>
      <c r="R9236">
        <v>23.9</v>
      </c>
      <c r="S9236">
        <v>22.45035</v>
      </c>
      <c r="T9236">
        <v>1641.489</v>
      </c>
      <c r="U9236">
        <v>285</v>
      </c>
      <c r="V9236">
        <v>42</v>
      </c>
      <c r="W9236">
        <v>54</v>
      </c>
      <c r="X9236">
        <v>658</v>
      </c>
      <c r="Y9236">
        <v>143</v>
      </c>
      <c r="Z9236">
        <v>466.50529999999998</v>
      </c>
      <c r="AA9236">
        <v>301.99299999999999</v>
      </c>
      <c r="AB9236">
        <v>5.3394820000000003</v>
      </c>
      <c r="AC9236">
        <v>0.32394810000000002</v>
      </c>
      <c r="AD9236">
        <v>2.912112</v>
      </c>
      <c r="AE9236">
        <v>0.66360830000000004</v>
      </c>
      <c r="AF9236">
        <v>649.19650000000001</v>
      </c>
      <c r="AG9236">
        <f>IFERROR(AH9236*0.1, "N/A")</f>
        <v>4.932982</v>
      </c>
      <c r="AH9236">
        <v>49.329819999999998</v>
      </c>
      <c r="AI9236">
        <v>202.31899999999999</v>
      </c>
      <c r="AJ9236">
        <v>34.940350000000002</v>
      </c>
      <c r="AK9236">
        <v>53.82105</v>
      </c>
    </row>
    <row r="9237" spans="1:37" x14ac:dyDescent="0.3">
      <c r="A9237">
        <v>9236</v>
      </c>
      <c r="B9237">
        <v>0</v>
      </c>
      <c r="C9237">
        <v>12.683299999999999</v>
      </c>
      <c r="D9237">
        <v>2.6694399999999998</v>
      </c>
      <c r="E9237" t="s">
        <v>14061</v>
      </c>
      <c r="F9237" t="s">
        <v>14063</v>
      </c>
      <c r="G9237" t="s">
        <v>37</v>
      </c>
      <c r="H9237">
        <v>1990</v>
      </c>
      <c r="I9237">
        <v>23.3</v>
      </c>
      <c r="J9237">
        <v>9.8000000000000007</v>
      </c>
      <c r="K9237">
        <v>83</v>
      </c>
      <c r="L9237">
        <v>5.8088069999999998</v>
      </c>
      <c r="M9237">
        <v>29.7</v>
      </c>
      <c r="N9237">
        <v>17.899999999999999</v>
      </c>
      <c r="O9237">
        <v>11.8</v>
      </c>
      <c r="P9237">
        <v>23.15035</v>
      </c>
      <c r="Q9237">
        <v>23.4</v>
      </c>
      <c r="R9237">
        <v>23.9</v>
      </c>
      <c r="S9237">
        <v>22.45035</v>
      </c>
      <c r="T9237">
        <v>1641.489</v>
      </c>
      <c r="U9237">
        <v>285</v>
      </c>
      <c r="V9237">
        <v>42</v>
      </c>
      <c r="W9237">
        <v>54</v>
      </c>
      <c r="X9237">
        <v>658</v>
      </c>
      <c r="Y9237">
        <v>143</v>
      </c>
      <c r="Z9237">
        <v>466.50529999999998</v>
      </c>
      <c r="AA9237">
        <v>301.99299999999999</v>
      </c>
      <c r="AB9237">
        <v>5.3394820000000003</v>
      </c>
      <c r="AC9237">
        <v>0.32394810000000002</v>
      </c>
      <c r="AD9237">
        <v>2.912112</v>
      </c>
      <c r="AE9237">
        <v>0.66360830000000004</v>
      </c>
      <c r="AF9237">
        <v>649.19650000000001</v>
      </c>
      <c r="AG9237">
        <f>IFERROR(AH9237*0.1, "N/A")</f>
        <v>4.932982</v>
      </c>
      <c r="AH9237">
        <v>49.329819999999998</v>
      </c>
      <c r="AI9237">
        <v>202.31899999999999</v>
      </c>
      <c r="AJ9237">
        <v>34.940350000000002</v>
      </c>
      <c r="AK9237">
        <v>53.82105</v>
      </c>
    </row>
    <row r="9238" spans="1:37" x14ac:dyDescent="0.3">
      <c r="A9238">
        <v>9237</v>
      </c>
      <c r="B9238">
        <v>0</v>
      </c>
      <c r="C9238">
        <v>12.683299999999999</v>
      </c>
      <c r="D9238">
        <v>2.6694399999999998</v>
      </c>
      <c r="E9238" t="s">
        <v>14061</v>
      </c>
      <c r="F9238" t="s">
        <v>14064</v>
      </c>
      <c r="G9238" t="s">
        <v>2420</v>
      </c>
      <c r="H9238">
        <v>1990</v>
      </c>
      <c r="I9238">
        <v>23.3</v>
      </c>
      <c r="J9238">
        <v>9.8000000000000007</v>
      </c>
      <c r="K9238">
        <v>83</v>
      </c>
      <c r="L9238">
        <v>5.8088069999999998</v>
      </c>
      <c r="M9238">
        <v>29.7</v>
      </c>
      <c r="N9238">
        <v>17.899999999999999</v>
      </c>
      <c r="O9238">
        <v>11.8</v>
      </c>
      <c r="P9238">
        <v>23.15035</v>
      </c>
      <c r="Q9238">
        <v>23.4</v>
      </c>
      <c r="R9238">
        <v>23.9</v>
      </c>
      <c r="S9238">
        <v>22.45035</v>
      </c>
      <c r="T9238">
        <v>1641.489</v>
      </c>
      <c r="U9238">
        <v>285</v>
      </c>
      <c r="V9238">
        <v>42</v>
      </c>
      <c r="W9238">
        <v>54</v>
      </c>
      <c r="X9238">
        <v>658</v>
      </c>
      <c r="Y9238">
        <v>143</v>
      </c>
      <c r="Z9238">
        <v>466.50529999999998</v>
      </c>
      <c r="AA9238">
        <v>301.99299999999999</v>
      </c>
      <c r="AB9238">
        <v>5.3394820000000003</v>
      </c>
      <c r="AC9238">
        <v>0.32394810000000002</v>
      </c>
      <c r="AD9238">
        <v>2.912112</v>
      </c>
      <c r="AE9238">
        <v>0.66360830000000004</v>
      </c>
      <c r="AF9238">
        <v>649.19650000000001</v>
      </c>
      <c r="AG9238">
        <f>IFERROR(AH9238*0.1, "N/A")</f>
        <v>4.932982</v>
      </c>
      <c r="AH9238">
        <v>49.329819999999998</v>
      </c>
      <c r="AI9238">
        <v>202.31899999999999</v>
      </c>
      <c r="AJ9238">
        <v>34.940350000000002</v>
      </c>
      <c r="AK9238">
        <v>53.82105</v>
      </c>
    </row>
    <row r="9239" spans="1:37" x14ac:dyDescent="0.3">
      <c r="A9239">
        <v>9238</v>
      </c>
      <c r="B9239">
        <v>0</v>
      </c>
      <c r="C9239">
        <v>12.605600000000001</v>
      </c>
      <c r="D9239">
        <v>2.75</v>
      </c>
      <c r="E9239" t="s">
        <v>14065</v>
      </c>
      <c r="F9239" t="s">
        <v>14066</v>
      </c>
      <c r="G9239" t="s">
        <v>39</v>
      </c>
      <c r="H9239">
        <v>1990</v>
      </c>
      <c r="I9239">
        <v>23.32734</v>
      </c>
      <c r="J9239">
        <v>9.6999999999999993</v>
      </c>
      <c r="K9239">
        <v>82</v>
      </c>
      <c r="L9239">
        <v>5.9027339999999997</v>
      </c>
      <c r="M9239">
        <v>29.727340000000002</v>
      </c>
      <c r="N9239">
        <v>18.027339999999999</v>
      </c>
      <c r="O9239">
        <v>11.7</v>
      </c>
      <c r="P9239">
        <v>23.227340000000002</v>
      </c>
      <c r="Q9239">
        <v>23.427340000000001</v>
      </c>
      <c r="R9239">
        <v>24.027339999999999</v>
      </c>
      <c r="S9239">
        <v>22.554670000000002</v>
      </c>
      <c r="T9239">
        <v>1640.453</v>
      </c>
      <c r="U9239">
        <v>285</v>
      </c>
      <c r="V9239">
        <v>40</v>
      </c>
      <c r="W9239">
        <v>55</v>
      </c>
      <c r="X9239">
        <v>657.72659999999996</v>
      </c>
      <c r="Y9239">
        <v>137</v>
      </c>
      <c r="Z9239">
        <v>497.54140000000001</v>
      </c>
      <c r="AA9239">
        <v>370.9436</v>
      </c>
      <c r="AB9239">
        <v>28.13278</v>
      </c>
      <c r="AC9239">
        <v>3.2059669999999998E-2</v>
      </c>
      <c r="AD9239">
        <v>5.9288540000000003</v>
      </c>
      <c r="AE9239">
        <v>0.16396469999999999</v>
      </c>
      <c r="AF9239">
        <v>673.67370000000005</v>
      </c>
      <c r="AG9239">
        <f>IFERROR(AH9239*0.1, "N/A")</f>
        <v>4.7869489999999999</v>
      </c>
      <c r="AH9239">
        <v>47.869489999999999</v>
      </c>
      <c r="AI9239">
        <v>177.14760000000001</v>
      </c>
      <c r="AJ9239">
        <v>45.130510000000001</v>
      </c>
      <c r="AK9239">
        <v>48</v>
      </c>
    </row>
    <row r="9240" spans="1:37" x14ac:dyDescent="0.3">
      <c r="A9240">
        <v>9239</v>
      </c>
      <c r="B9240">
        <v>0</v>
      </c>
      <c r="C9240">
        <v>12.605600000000001</v>
      </c>
      <c r="D9240">
        <v>2.75</v>
      </c>
      <c r="E9240" t="s">
        <v>14065</v>
      </c>
      <c r="F9240" t="s">
        <v>14067</v>
      </c>
      <c r="G9240" t="s">
        <v>37</v>
      </c>
      <c r="H9240">
        <v>1990</v>
      </c>
      <c r="I9240">
        <v>23.32734</v>
      </c>
      <c r="J9240">
        <v>9.6999999999999993</v>
      </c>
      <c r="K9240">
        <v>82</v>
      </c>
      <c r="L9240">
        <v>5.9027339999999997</v>
      </c>
      <c r="M9240">
        <v>29.727340000000002</v>
      </c>
      <c r="N9240">
        <v>18.027339999999999</v>
      </c>
      <c r="O9240">
        <v>11.7</v>
      </c>
      <c r="P9240">
        <v>23.227340000000002</v>
      </c>
      <c r="Q9240">
        <v>23.427340000000001</v>
      </c>
      <c r="R9240">
        <v>24.027339999999999</v>
      </c>
      <c r="S9240">
        <v>22.554670000000002</v>
      </c>
      <c r="T9240">
        <v>1640.453</v>
      </c>
      <c r="U9240">
        <v>285</v>
      </c>
      <c r="V9240">
        <v>40</v>
      </c>
      <c r="W9240">
        <v>55</v>
      </c>
      <c r="X9240">
        <v>657.72659999999996</v>
      </c>
      <c r="Y9240">
        <v>137</v>
      </c>
      <c r="Z9240">
        <v>497.54140000000001</v>
      </c>
      <c r="AA9240">
        <v>370.9436</v>
      </c>
      <c r="AB9240">
        <v>28.13278</v>
      </c>
      <c r="AC9240">
        <v>3.2059669999999998E-2</v>
      </c>
      <c r="AD9240">
        <v>5.9288540000000003</v>
      </c>
      <c r="AE9240">
        <v>0.16396469999999999</v>
      </c>
      <c r="AF9240">
        <v>673.67370000000005</v>
      </c>
      <c r="AG9240">
        <f>IFERROR(AH9240*0.1, "N/A")</f>
        <v>4.7869489999999999</v>
      </c>
      <c r="AH9240">
        <v>47.869489999999999</v>
      </c>
      <c r="AI9240">
        <v>177.14760000000001</v>
      </c>
      <c r="AJ9240">
        <v>45.130510000000001</v>
      </c>
      <c r="AK9240">
        <v>48</v>
      </c>
    </row>
    <row r="9241" spans="1:37" x14ac:dyDescent="0.3">
      <c r="A9241">
        <v>9240</v>
      </c>
      <c r="B9241">
        <v>0</v>
      </c>
      <c r="C9241">
        <v>12.605600000000001</v>
      </c>
      <c r="D9241">
        <v>2.75</v>
      </c>
      <c r="E9241" t="s">
        <v>14065</v>
      </c>
      <c r="F9241" t="s">
        <v>14068</v>
      </c>
      <c r="G9241" t="s">
        <v>2420</v>
      </c>
      <c r="H9241">
        <v>1990</v>
      </c>
      <c r="I9241">
        <v>23.32734</v>
      </c>
      <c r="J9241">
        <v>9.6999999999999993</v>
      </c>
      <c r="K9241">
        <v>82</v>
      </c>
      <c r="L9241">
        <v>5.9027339999999997</v>
      </c>
      <c r="M9241">
        <v>29.727340000000002</v>
      </c>
      <c r="N9241">
        <v>18.027339999999999</v>
      </c>
      <c r="O9241">
        <v>11.7</v>
      </c>
      <c r="P9241">
        <v>23.227340000000002</v>
      </c>
      <c r="Q9241">
        <v>23.427340000000001</v>
      </c>
      <c r="R9241">
        <v>24.027339999999999</v>
      </c>
      <c r="S9241">
        <v>22.554670000000002</v>
      </c>
      <c r="T9241">
        <v>1640.453</v>
      </c>
      <c r="U9241">
        <v>285</v>
      </c>
      <c r="V9241">
        <v>40</v>
      </c>
      <c r="W9241">
        <v>55</v>
      </c>
      <c r="X9241">
        <v>657.72659999999996</v>
      </c>
      <c r="Y9241">
        <v>137</v>
      </c>
      <c r="Z9241">
        <v>497.54140000000001</v>
      </c>
      <c r="AA9241">
        <v>370.9436</v>
      </c>
      <c r="AB9241">
        <v>28.13278</v>
      </c>
      <c r="AC9241">
        <v>3.2059669999999998E-2</v>
      </c>
      <c r="AD9241">
        <v>5.9288540000000003</v>
      </c>
      <c r="AE9241">
        <v>0.16396469999999999</v>
      </c>
      <c r="AF9241">
        <v>673.67370000000005</v>
      </c>
      <c r="AG9241">
        <f>IFERROR(AH9241*0.1, "N/A")</f>
        <v>4.7869489999999999</v>
      </c>
      <c r="AH9241">
        <v>47.869489999999999</v>
      </c>
      <c r="AI9241">
        <v>177.14760000000001</v>
      </c>
      <c r="AJ9241">
        <v>45.130510000000001</v>
      </c>
      <c r="AK9241">
        <v>48</v>
      </c>
    </row>
    <row r="9242" spans="1:37" x14ac:dyDescent="0.3">
      <c r="A9242">
        <v>9241</v>
      </c>
      <c r="B9242">
        <v>53</v>
      </c>
      <c r="C9242">
        <v>11.118</v>
      </c>
      <c r="D9242">
        <v>2.7829999999999999</v>
      </c>
      <c r="E9242" t="s">
        <v>14069</v>
      </c>
      <c r="F9242" t="s">
        <v>14070</v>
      </c>
      <c r="G9242" t="s">
        <v>39</v>
      </c>
      <c r="H9242">
        <v>1987</v>
      </c>
      <c r="I9242">
        <v>24</v>
      </c>
      <c r="J9242">
        <v>8.5467370000000003</v>
      </c>
      <c r="K9242">
        <v>77.467370000000003</v>
      </c>
      <c r="L9242">
        <v>7.8269659999999996</v>
      </c>
      <c r="M9242">
        <v>29.7</v>
      </c>
      <c r="N9242">
        <v>18.7</v>
      </c>
      <c r="O9242">
        <v>11</v>
      </c>
      <c r="P9242">
        <v>23.6</v>
      </c>
      <c r="Q9242">
        <v>24.553260000000002</v>
      </c>
      <c r="R9242">
        <v>24.753260000000001</v>
      </c>
      <c r="S9242">
        <v>22.8</v>
      </c>
      <c r="T9242">
        <v>1852.5329999999999</v>
      </c>
      <c r="U9242">
        <v>325</v>
      </c>
      <c r="V9242">
        <v>38</v>
      </c>
      <c r="W9242">
        <v>57</v>
      </c>
      <c r="X9242">
        <v>747</v>
      </c>
      <c r="Y9242">
        <v>176</v>
      </c>
      <c r="Z9242">
        <v>492</v>
      </c>
      <c r="AA9242">
        <v>363.5326</v>
      </c>
      <c r="AB9242">
        <v>32.623620000000003</v>
      </c>
      <c r="AC9242">
        <v>2.4755630000000001E-2</v>
      </c>
      <c r="AD9242">
        <v>8.8131039999999992</v>
      </c>
      <c r="AE9242">
        <v>0.12478019999999999</v>
      </c>
      <c r="AF9242">
        <v>592.95590000000004</v>
      </c>
      <c r="AG9242">
        <f>IFERROR(AH9242*0.1, "N/A")</f>
        <v>4.6000000000000005</v>
      </c>
      <c r="AH9242">
        <v>46</v>
      </c>
      <c r="AI9242">
        <v>301.54910000000001</v>
      </c>
      <c r="AJ9242">
        <v>38.275129999999997</v>
      </c>
      <c r="AK9242">
        <v>53.587299999999999</v>
      </c>
    </row>
    <row r="9243" spans="1:37" x14ac:dyDescent="0.3">
      <c r="A9243">
        <v>9242</v>
      </c>
      <c r="B9243">
        <v>0</v>
      </c>
      <c r="C9243">
        <v>10.55</v>
      </c>
      <c r="D9243">
        <v>2.8166699999999998</v>
      </c>
      <c r="E9243" t="s">
        <v>14071</v>
      </c>
      <c r="F9243" t="s">
        <v>14072</v>
      </c>
      <c r="G9243" t="s">
        <v>39</v>
      </c>
      <c r="H9243">
        <v>1990</v>
      </c>
      <c r="I9243">
        <v>24.291550000000001</v>
      </c>
      <c r="J9243">
        <v>7.8</v>
      </c>
      <c r="K9243">
        <v>75.084509999999995</v>
      </c>
      <c r="L9243">
        <v>8.2894889999999997</v>
      </c>
      <c r="M9243">
        <v>29.691549999999999</v>
      </c>
      <c r="N9243">
        <v>19.34102</v>
      </c>
      <c r="O9243">
        <v>10.350529999999999</v>
      </c>
      <c r="P9243">
        <v>23.8</v>
      </c>
      <c r="Q9243">
        <v>24.891549999999999</v>
      </c>
      <c r="R9243">
        <v>25.091550000000002</v>
      </c>
      <c r="S9243">
        <v>23</v>
      </c>
      <c r="T9243">
        <v>2184.4369999999999</v>
      </c>
      <c r="U9243">
        <v>386.32569999999998</v>
      </c>
      <c r="V9243">
        <v>50.325699999999998</v>
      </c>
      <c r="W9243">
        <v>58.957749999999997</v>
      </c>
      <c r="X9243">
        <v>909.97709999999995</v>
      </c>
      <c r="Y9243">
        <v>202.73589999999999</v>
      </c>
      <c r="Z9243">
        <v>517.32569999999998</v>
      </c>
      <c r="AA9243">
        <v>495.89260000000002</v>
      </c>
      <c r="AB9243">
        <v>5.0549280000000003</v>
      </c>
      <c r="AC9243">
        <v>34.500779999999999</v>
      </c>
      <c r="AD9243">
        <v>2.2107250000000001</v>
      </c>
      <c r="AE9243">
        <v>0.25759480000000001</v>
      </c>
      <c r="AF9243">
        <v>404.7201</v>
      </c>
      <c r="AG9243">
        <f>IFERROR(AH9243*0.1, "N/A")</f>
        <v>4.8801060000000005</v>
      </c>
      <c r="AH9243">
        <v>48.80106</v>
      </c>
      <c r="AI9243">
        <v>138.6028</v>
      </c>
      <c r="AJ9243">
        <v>30.651409999999998</v>
      </c>
      <c r="AK9243">
        <v>49.632040000000003</v>
      </c>
    </row>
    <row r="9244" spans="1:37" x14ac:dyDescent="0.3">
      <c r="A9244">
        <v>9243</v>
      </c>
      <c r="B9244">
        <v>0</v>
      </c>
      <c r="C9244">
        <v>10.55</v>
      </c>
      <c r="D9244">
        <v>2.8166699999999998</v>
      </c>
      <c r="E9244" t="s">
        <v>14071</v>
      </c>
      <c r="F9244" t="s">
        <v>14073</v>
      </c>
      <c r="G9244" t="s">
        <v>37</v>
      </c>
      <c r="H9244">
        <v>1990</v>
      </c>
      <c r="I9244">
        <v>24.291550000000001</v>
      </c>
      <c r="J9244">
        <v>7.8</v>
      </c>
      <c r="K9244">
        <v>75.084509999999995</v>
      </c>
      <c r="L9244">
        <v>8.2894889999999997</v>
      </c>
      <c r="M9244">
        <v>29.691549999999999</v>
      </c>
      <c r="N9244">
        <v>19.34102</v>
      </c>
      <c r="O9244">
        <v>10.350529999999999</v>
      </c>
      <c r="P9244">
        <v>23.8</v>
      </c>
      <c r="Q9244">
        <v>24.891549999999999</v>
      </c>
      <c r="R9244">
        <v>25.091550000000002</v>
      </c>
      <c r="S9244">
        <v>23</v>
      </c>
      <c r="T9244">
        <v>2184.4369999999999</v>
      </c>
      <c r="U9244">
        <v>386.32569999999998</v>
      </c>
      <c r="V9244">
        <v>50.325699999999998</v>
      </c>
      <c r="W9244">
        <v>58.957749999999997</v>
      </c>
      <c r="X9244">
        <v>909.97709999999995</v>
      </c>
      <c r="Y9244">
        <v>202.73589999999999</v>
      </c>
      <c r="Z9244">
        <v>517.32569999999998</v>
      </c>
      <c r="AA9244">
        <v>495.89260000000002</v>
      </c>
      <c r="AB9244">
        <v>5.0549280000000003</v>
      </c>
      <c r="AC9244">
        <v>34.500779999999999</v>
      </c>
      <c r="AD9244">
        <v>2.2107250000000001</v>
      </c>
      <c r="AE9244">
        <v>0.25759480000000001</v>
      </c>
      <c r="AF9244">
        <v>404.7201</v>
      </c>
      <c r="AG9244">
        <f>IFERROR(AH9244*0.1, "N/A")</f>
        <v>4.8801060000000005</v>
      </c>
      <c r="AH9244">
        <v>48.80106</v>
      </c>
      <c r="AI9244">
        <v>138.6028</v>
      </c>
      <c r="AJ9244">
        <v>30.651409999999998</v>
      </c>
      <c r="AK9244">
        <v>49.632040000000003</v>
      </c>
    </row>
    <row r="9245" spans="1:37" x14ac:dyDescent="0.3">
      <c r="A9245">
        <v>9244</v>
      </c>
      <c r="B9245">
        <v>0</v>
      </c>
      <c r="C9245">
        <v>10.55</v>
      </c>
      <c r="D9245">
        <v>2.8166699999999998</v>
      </c>
      <c r="E9245" t="s">
        <v>14071</v>
      </c>
      <c r="F9245" t="s">
        <v>14074</v>
      </c>
      <c r="G9245" t="s">
        <v>2420</v>
      </c>
      <c r="H9245">
        <v>1990</v>
      </c>
      <c r="I9245">
        <v>24.291550000000001</v>
      </c>
      <c r="J9245">
        <v>7.8</v>
      </c>
      <c r="K9245">
        <v>75.084509999999995</v>
      </c>
      <c r="L9245">
        <v>8.2894889999999997</v>
      </c>
      <c r="M9245">
        <v>29.691549999999999</v>
      </c>
      <c r="N9245">
        <v>19.34102</v>
      </c>
      <c r="O9245">
        <v>10.350529999999999</v>
      </c>
      <c r="P9245">
        <v>23.8</v>
      </c>
      <c r="Q9245">
        <v>24.891549999999999</v>
      </c>
      <c r="R9245">
        <v>25.091550000000002</v>
      </c>
      <c r="S9245">
        <v>23</v>
      </c>
      <c r="T9245">
        <v>2184.4369999999999</v>
      </c>
      <c r="U9245">
        <v>386.32569999999998</v>
      </c>
      <c r="V9245">
        <v>50.325699999999998</v>
      </c>
      <c r="W9245">
        <v>58.957749999999997</v>
      </c>
      <c r="X9245">
        <v>909.97709999999995</v>
      </c>
      <c r="Y9245">
        <v>202.73589999999999</v>
      </c>
      <c r="Z9245">
        <v>517.32569999999998</v>
      </c>
      <c r="AA9245">
        <v>495.89260000000002</v>
      </c>
      <c r="AB9245">
        <v>5.0549280000000003</v>
      </c>
      <c r="AC9245">
        <v>34.500779999999999</v>
      </c>
      <c r="AD9245">
        <v>2.2107250000000001</v>
      </c>
      <c r="AE9245">
        <v>0.25759480000000001</v>
      </c>
      <c r="AF9245">
        <v>404.7201</v>
      </c>
      <c r="AG9245">
        <f>IFERROR(AH9245*0.1, "N/A")</f>
        <v>4.8801060000000005</v>
      </c>
      <c r="AH9245">
        <v>48.80106</v>
      </c>
      <c r="AI9245">
        <v>138.6028</v>
      </c>
      <c r="AJ9245">
        <v>30.651409999999998</v>
      </c>
      <c r="AK9245">
        <v>49.632040000000003</v>
      </c>
    </row>
    <row r="9246" spans="1:37" x14ac:dyDescent="0.3">
      <c r="A9246">
        <v>9245</v>
      </c>
      <c r="B9246">
        <v>0</v>
      </c>
      <c r="C9246">
        <v>15.2333</v>
      </c>
      <c r="D9246">
        <v>2.8222200000000002</v>
      </c>
      <c r="E9246" t="s">
        <v>14075</v>
      </c>
      <c r="F9246" t="s">
        <v>14076</v>
      </c>
      <c r="G9246" t="s">
        <v>39</v>
      </c>
      <c r="H9246">
        <v>1990</v>
      </c>
      <c r="I9246">
        <v>24.3</v>
      </c>
      <c r="J9246">
        <v>10.7</v>
      </c>
      <c r="K9246">
        <v>81</v>
      </c>
      <c r="L9246">
        <v>5.519209</v>
      </c>
      <c r="M9246">
        <v>31.076979999999999</v>
      </c>
      <c r="N9246">
        <v>17.899999999999999</v>
      </c>
      <c r="O9246">
        <v>13.17698</v>
      </c>
      <c r="P9246">
        <v>24.1</v>
      </c>
      <c r="Q9246">
        <v>24.2</v>
      </c>
      <c r="R9246">
        <v>24.976980000000001</v>
      </c>
      <c r="S9246">
        <v>23.576979999999999</v>
      </c>
      <c r="T9246">
        <v>1603.1510000000001</v>
      </c>
      <c r="U9246">
        <v>229</v>
      </c>
      <c r="V9246">
        <v>34</v>
      </c>
      <c r="W9246">
        <v>44</v>
      </c>
      <c r="X9246">
        <v>590.23019999999997</v>
      </c>
      <c r="Y9246">
        <v>151.4605</v>
      </c>
      <c r="Z9246">
        <v>480.23020000000002</v>
      </c>
      <c r="AA9246">
        <v>467.23020000000002</v>
      </c>
      <c r="AB9246">
        <v>24.305630000000001</v>
      </c>
      <c r="AC9246">
        <v>4.6199619999999997E-2</v>
      </c>
      <c r="AD9246">
        <v>6.7247969999999997</v>
      </c>
      <c r="AE9246">
        <v>0.1377824</v>
      </c>
      <c r="AF9246">
        <v>484.18279999999999</v>
      </c>
      <c r="AG9246">
        <f>IFERROR(AH9246*0.1, "N/A")</f>
        <v>5.1010540000000004</v>
      </c>
      <c r="AH9246">
        <v>51.010539999999999</v>
      </c>
      <c r="AI9246">
        <v>256.20330000000001</v>
      </c>
      <c r="AJ9246">
        <v>35.173990000000003</v>
      </c>
      <c r="AK9246">
        <v>52.304040000000001</v>
      </c>
    </row>
    <row r="9247" spans="1:37" x14ac:dyDescent="0.3">
      <c r="A9247">
        <v>9246</v>
      </c>
      <c r="B9247">
        <v>0</v>
      </c>
      <c r="C9247">
        <v>15.2333</v>
      </c>
      <c r="D9247">
        <v>2.8222200000000002</v>
      </c>
      <c r="E9247" t="s">
        <v>14075</v>
      </c>
      <c r="F9247" t="s">
        <v>14077</v>
      </c>
      <c r="G9247" t="s">
        <v>37</v>
      </c>
      <c r="H9247">
        <v>1990</v>
      </c>
      <c r="I9247">
        <v>24.3</v>
      </c>
      <c r="J9247">
        <v>10.7</v>
      </c>
      <c r="K9247">
        <v>81</v>
      </c>
      <c r="L9247">
        <v>5.519209</v>
      </c>
      <c r="M9247">
        <v>31.076979999999999</v>
      </c>
      <c r="N9247">
        <v>17.899999999999999</v>
      </c>
      <c r="O9247">
        <v>13.17698</v>
      </c>
      <c r="P9247">
        <v>24.1</v>
      </c>
      <c r="Q9247">
        <v>24.2</v>
      </c>
      <c r="R9247">
        <v>24.976980000000001</v>
      </c>
      <c r="S9247">
        <v>23.576979999999999</v>
      </c>
      <c r="T9247">
        <v>1603.1510000000001</v>
      </c>
      <c r="U9247">
        <v>229</v>
      </c>
      <c r="V9247">
        <v>34</v>
      </c>
      <c r="W9247">
        <v>44</v>
      </c>
      <c r="X9247">
        <v>590.23019999999997</v>
      </c>
      <c r="Y9247">
        <v>151.4605</v>
      </c>
      <c r="Z9247">
        <v>480.23020000000002</v>
      </c>
      <c r="AA9247">
        <v>467.23020000000002</v>
      </c>
      <c r="AB9247">
        <v>24.305630000000001</v>
      </c>
      <c r="AC9247">
        <v>4.6199619999999997E-2</v>
      </c>
      <c r="AD9247">
        <v>6.7247969999999997</v>
      </c>
      <c r="AE9247">
        <v>0.1377824</v>
      </c>
      <c r="AF9247">
        <v>484.18279999999999</v>
      </c>
      <c r="AG9247">
        <f>IFERROR(AH9247*0.1, "N/A")</f>
        <v>5.1010540000000004</v>
      </c>
      <c r="AH9247">
        <v>51.010539999999999</v>
      </c>
      <c r="AI9247">
        <v>256.20330000000001</v>
      </c>
      <c r="AJ9247">
        <v>35.173990000000003</v>
      </c>
      <c r="AK9247">
        <v>52.304040000000001</v>
      </c>
    </row>
    <row r="9248" spans="1:37" x14ac:dyDescent="0.3">
      <c r="A9248">
        <v>9247</v>
      </c>
      <c r="B9248">
        <v>0</v>
      </c>
      <c r="C9248">
        <v>15.2333</v>
      </c>
      <c r="D9248">
        <v>2.8222200000000002</v>
      </c>
      <c r="E9248" t="s">
        <v>14075</v>
      </c>
      <c r="F9248" t="s">
        <v>14078</v>
      </c>
      <c r="G9248" t="s">
        <v>2420</v>
      </c>
      <c r="H9248">
        <v>1990</v>
      </c>
      <c r="I9248">
        <v>24.3</v>
      </c>
      <c r="J9248">
        <v>10.7</v>
      </c>
      <c r="K9248">
        <v>81</v>
      </c>
      <c r="L9248">
        <v>5.519209</v>
      </c>
      <c r="M9248">
        <v>31.076979999999999</v>
      </c>
      <c r="N9248">
        <v>17.899999999999999</v>
      </c>
      <c r="O9248">
        <v>13.17698</v>
      </c>
      <c r="P9248">
        <v>24.1</v>
      </c>
      <c r="Q9248">
        <v>24.2</v>
      </c>
      <c r="R9248">
        <v>24.976980000000001</v>
      </c>
      <c r="S9248">
        <v>23.576979999999999</v>
      </c>
      <c r="T9248">
        <v>1603.1510000000001</v>
      </c>
      <c r="U9248">
        <v>229</v>
      </c>
      <c r="V9248">
        <v>34</v>
      </c>
      <c r="W9248">
        <v>44</v>
      </c>
      <c r="X9248">
        <v>590.23019999999997</v>
      </c>
      <c r="Y9248">
        <v>151.4605</v>
      </c>
      <c r="Z9248">
        <v>480.23020000000002</v>
      </c>
      <c r="AA9248">
        <v>467.23020000000002</v>
      </c>
      <c r="AB9248">
        <v>24.305630000000001</v>
      </c>
      <c r="AC9248">
        <v>4.6199619999999997E-2</v>
      </c>
      <c r="AD9248">
        <v>6.7247969999999997</v>
      </c>
      <c r="AE9248">
        <v>0.1377824</v>
      </c>
      <c r="AF9248">
        <v>484.18279999999999</v>
      </c>
      <c r="AG9248">
        <f>IFERROR(AH9248*0.1, "N/A")</f>
        <v>5.1010540000000004</v>
      </c>
      <c r="AH9248">
        <v>51.010539999999999</v>
      </c>
      <c r="AI9248">
        <v>256.20330000000001</v>
      </c>
      <c r="AJ9248">
        <v>35.173990000000003</v>
      </c>
      <c r="AK9248">
        <v>52.304040000000001</v>
      </c>
    </row>
    <row r="9249" spans="1:37" x14ac:dyDescent="0.3">
      <c r="A9249">
        <v>9248</v>
      </c>
      <c r="B9249">
        <v>0</v>
      </c>
      <c r="C9249">
        <v>11.316700000000001</v>
      </c>
      <c r="D9249">
        <v>2.86389</v>
      </c>
      <c r="E9249" t="s">
        <v>14079</v>
      </c>
      <c r="F9249" t="s">
        <v>14080</v>
      </c>
      <c r="G9249" t="s">
        <v>39</v>
      </c>
      <c r="H9249">
        <v>1990</v>
      </c>
      <c r="I9249">
        <v>23.3</v>
      </c>
      <c r="J9249">
        <v>8.8000000000000007</v>
      </c>
      <c r="K9249">
        <v>78</v>
      </c>
      <c r="L9249">
        <v>7.5575789999999996</v>
      </c>
      <c r="M9249">
        <v>29.172630000000002</v>
      </c>
      <c r="N9249">
        <v>17.972629999999999</v>
      </c>
      <c r="O9249">
        <v>11.2</v>
      </c>
      <c r="P9249">
        <v>22.9</v>
      </c>
      <c r="Q9249">
        <v>23.8</v>
      </c>
      <c r="R9249">
        <v>24.172630000000002</v>
      </c>
      <c r="S9249">
        <v>22.172630000000002</v>
      </c>
      <c r="T9249">
        <v>1799.7260000000001</v>
      </c>
      <c r="U9249">
        <v>311</v>
      </c>
      <c r="V9249">
        <v>37</v>
      </c>
      <c r="W9249">
        <v>56</v>
      </c>
      <c r="X9249">
        <v>716</v>
      </c>
      <c r="Y9249">
        <v>166</v>
      </c>
      <c r="Z9249">
        <v>475.72629999999998</v>
      </c>
      <c r="AA9249">
        <v>368.27370000000002</v>
      </c>
      <c r="AB9249">
        <v>109.4472</v>
      </c>
      <c r="AC9249">
        <v>2.312587E-2</v>
      </c>
      <c r="AD9249">
        <v>14.696249999999999</v>
      </c>
      <c r="AE9249">
        <v>0.1558638</v>
      </c>
      <c r="AF9249">
        <v>710.33330000000001</v>
      </c>
      <c r="AG9249">
        <f>IFERROR(AH9249*0.1, "N/A")</f>
        <v>4.781053</v>
      </c>
      <c r="AH9249">
        <v>47.81053</v>
      </c>
      <c r="AI9249">
        <v>198.86359999999999</v>
      </c>
      <c r="AJ9249">
        <v>43.877189999999999</v>
      </c>
      <c r="AK9249">
        <v>46.101750000000003</v>
      </c>
    </row>
    <row r="9250" spans="1:37" x14ac:dyDescent="0.3">
      <c r="A9250">
        <v>9249</v>
      </c>
      <c r="B9250">
        <v>0</v>
      </c>
      <c r="C9250">
        <v>11.316700000000001</v>
      </c>
      <c r="D9250">
        <v>2.86389</v>
      </c>
      <c r="E9250" t="s">
        <v>14079</v>
      </c>
      <c r="F9250" t="s">
        <v>14081</v>
      </c>
      <c r="G9250" t="s">
        <v>37</v>
      </c>
      <c r="H9250">
        <v>1990</v>
      </c>
      <c r="I9250">
        <v>23.3</v>
      </c>
      <c r="J9250">
        <v>8.8000000000000007</v>
      </c>
      <c r="K9250">
        <v>78</v>
      </c>
      <c r="L9250">
        <v>7.5575789999999996</v>
      </c>
      <c r="M9250">
        <v>29.172630000000002</v>
      </c>
      <c r="N9250">
        <v>17.972629999999999</v>
      </c>
      <c r="O9250">
        <v>11.2</v>
      </c>
      <c r="P9250">
        <v>22.9</v>
      </c>
      <c r="Q9250">
        <v>23.8</v>
      </c>
      <c r="R9250">
        <v>24.172630000000002</v>
      </c>
      <c r="S9250">
        <v>22.172630000000002</v>
      </c>
      <c r="T9250">
        <v>1799.7260000000001</v>
      </c>
      <c r="U9250">
        <v>311</v>
      </c>
      <c r="V9250">
        <v>37</v>
      </c>
      <c r="W9250">
        <v>56</v>
      </c>
      <c r="X9250">
        <v>716</v>
      </c>
      <c r="Y9250">
        <v>166</v>
      </c>
      <c r="Z9250">
        <v>475.72629999999998</v>
      </c>
      <c r="AA9250">
        <v>368.27370000000002</v>
      </c>
      <c r="AB9250">
        <v>109.4472</v>
      </c>
      <c r="AC9250">
        <v>2.312587E-2</v>
      </c>
      <c r="AD9250">
        <v>14.696249999999999</v>
      </c>
      <c r="AE9250">
        <v>0.1558638</v>
      </c>
      <c r="AF9250">
        <v>710.33330000000001</v>
      </c>
      <c r="AG9250">
        <f>IFERROR(AH9250*0.1, "N/A")</f>
        <v>4.781053</v>
      </c>
      <c r="AH9250">
        <v>47.81053</v>
      </c>
      <c r="AI9250">
        <v>198.86359999999999</v>
      </c>
      <c r="AJ9250">
        <v>43.877189999999999</v>
      </c>
      <c r="AK9250">
        <v>46.101750000000003</v>
      </c>
    </row>
    <row r="9251" spans="1:37" x14ac:dyDescent="0.3">
      <c r="A9251">
        <v>9250</v>
      </c>
      <c r="B9251">
        <v>0</v>
      </c>
      <c r="C9251">
        <v>11.316700000000001</v>
      </c>
      <c r="D9251">
        <v>2.86389</v>
      </c>
      <c r="E9251" t="s">
        <v>14079</v>
      </c>
      <c r="F9251" t="s">
        <v>14082</v>
      </c>
      <c r="G9251" t="s">
        <v>2420</v>
      </c>
      <c r="H9251">
        <v>1990</v>
      </c>
      <c r="I9251">
        <v>23.3</v>
      </c>
      <c r="J9251">
        <v>8.8000000000000007</v>
      </c>
      <c r="K9251">
        <v>78</v>
      </c>
      <c r="L9251">
        <v>7.5575789999999996</v>
      </c>
      <c r="M9251">
        <v>29.172630000000002</v>
      </c>
      <c r="N9251">
        <v>17.972629999999999</v>
      </c>
      <c r="O9251">
        <v>11.2</v>
      </c>
      <c r="P9251">
        <v>22.9</v>
      </c>
      <c r="Q9251">
        <v>23.8</v>
      </c>
      <c r="R9251">
        <v>24.172630000000002</v>
      </c>
      <c r="S9251">
        <v>22.172630000000002</v>
      </c>
      <c r="T9251">
        <v>1799.7260000000001</v>
      </c>
      <c r="U9251">
        <v>311</v>
      </c>
      <c r="V9251">
        <v>37</v>
      </c>
      <c r="W9251">
        <v>56</v>
      </c>
      <c r="X9251">
        <v>716</v>
      </c>
      <c r="Y9251">
        <v>166</v>
      </c>
      <c r="Z9251">
        <v>475.72629999999998</v>
      </c>
      <c r="AA9251">
        <v>368.27370000000002</v>
      </c>
      <c r="AB9251">
        <v>109.4472</v>
      </c>
      <c r="AC9251">
        <v>2.312587E-2</v>
      </c>
      <c r="AD9251">
        <v>14.696249999999999</v>
      </c>
      <c r="AE9251">
        <v>0.1558638</v>
      </c>
      <c r="AF9251">
        <v>710.33330000000001</v>
      </c>
      <c r="AG9251">
        <f>IFERROR(AH9251*0.1, "N/A")</f>
        <v>4.781053</v>
      </c>
      <c r="AH9251">
        <v>47.81053</v>
      </c>
      <c r="AI9251">
        <v>198.86359999999999</v>
      </c>
      <c r="AJ9251">
        <v>43.877189999999999</v>
      </c>
      <c r="AK9251">
        <v>46.101750000000003</v>
      </c>
    </row>
    <row r="9252" spans="1:37" x14ac:dyDescent="0.3">
      <c r="A9252">
        <v>9251</v>
      </c>
      <c r="B9252">
        <v>0</v>
      </c>
      <c r="C9252">
        <v>9.91</v>
      </c>
      <c r="D9252">
        <v>2.9329999999999998</v>
      </c>
      <c r="E9252" t="s">
        <v>14083</v>
      </c>
      <c r="F9252" t="s">
        <v>14084</v>
      </c>
      <c r="G9252" t="s">
        <v>39</v>
      </c>
      <c r="H9252">
        <v>1987</v>
      </c>
      <c r="I9252">
        <v>25.7</v>
      </c>
      <c r="J9252">
        <v>6.4</v>
      </c>
      <c r="K9252">
        <v>74.031580000000005</v>
      </c>
      <c r="L9252">
        <v>8.2024209999999993</v>
      </c>
      <c r="M9252">
        <v>30.3</v>
      </c>
      <c r="N9252">
        <v>21.70316</v>
      </c>
      <c r="O9252">
        <v>8.5968420000000005</v>
      </c>
      <c r="P9252">
        <v>24.70316</v>
      </c>
      <c r="Q9252">
        <v>26.4</v>
      </c>
      <c r="R9252">
        <v>26.6</v>
      </c>
      <c r="S9252">
        <v>24.551580000000001</v>
      </c>
      <c r="T9252">
        <v>2719.5790000000002</v>
      </c>
      <c r="U9252">
        <v>484.51580000000001</v>
      </c>
      <c r="V9252">
        <v>68</v>
      </c>
      <c r="W9252">
        <v>59.515790000000003</v>
      </c>
      <c r="X9252">
        <v>1172.547</v>
      </c>
      <c r="Y9252">
        <v>234</v>
      </c>
      <c r="Z9252">
        <v>349</v>
      </c>
      <c r="AA9252">
        <v>819.54740000000004</v>
      </c>
      <c r="AB9252">
        <v>12.8186</v>
      </c>
      <c r="AC9252">
        <v>9.8997919999999993E-3</v>
      </c>
      <c r="AD9252">
        <v>1.612258</v>
      </c>
      <c r="AE9252">
        <v>0.69365429999999995</v>
      </c>
      <c r="AF9252">
        <v>21.908770000000001</v>
      </c>
      <c r="AG9252">
        <f>IFERROR(AH9252*0.1, "N/A")</f>
        <v>5.4</v>
      </c>
      <c r="AH9252">
        <v>54</v>
      </c>
      <c r="AI9252">
        <v>312.71890000000002</v>
      </c>
      <c r="AJ9252">
        <v>29.364909999999998</v>
      </c>
      <c r="AK9252">
        <v>48.317540000000001</v>
      </c>
    </row>
    <row r="9253" spans="1:37" x14ac:dyDescent="0.3">
      <c r="A9253">
        <v>9252</v>
      </c>
      <c r="B9253">
        <v>0</v>
      </c>
      <c r="C9253">
        <v>9.91</v>
      </c>
      <c r="D9253">
        <v>2.9329999999999998</v>
      </c>
      <c r="E9253" t="s">
        <v>14083</v>
      </c>
      <c r="F9253" t="s">
        <v>14085</v>
      </c>
      <c r="G9253" t="s">
        <v>37</v>
      </c>
      <c r="H9253">
        <v>1987</v>
      </c>
      <c r="I9253">
        <v>25.7</v>
      </c>
      <c r="J9253">
        <v>6.4</v>
      </c>
      <c r="K9253">
        <v>74.031580000000005</v>
      </c>
      <c r="L9253">
        <v>8.2024209999999993</v>
      </c>
      <c r="M9253">
        <v>30.3</v>
      </c>
      <c r="N9253">
        <v>21.70316</v>
      </c>
      <c r="O9253">
        <v>8.5968420000000005</v>
      </c>
      <c r="P9253">
        <v>24.70316</v>
      </c>
      <c r="Q9253">
        <v>26.4</v>
      </c>
      <c r="R9253">
        <v>26.6</v>
      </c>
      <c r="S9253">
        <v>24.551580000000001</v>
      </c>
      <c r="T9253">
        <v>2719.5790000000002</v>
      </c>
      <c r="U9253">
        <v>484.51580000000001</v>
      </c>
      <c r="V9253">
        <v>68</v>
      </c>
      <c r="W9253">
        <v>59.515790000000003</v>
      </c>
      <c r="X9253">
        <v>1172.547</v>
      </c>
      <c r="Y9253">
        <v>234</v>
      </c>
      <c r="Z9253">
        <v>349</v>
      </c>
      <c r="AA9253">
        <v>819.54740000000004</v>
      </c>
      <c r="AB9253">
        <v>12.8186</v>
      </c>
      <c r="AC9253">
        <v>9.8997919999999993E-3</v>
      </c>
      <c r="AD9253">
        <v>1.612258</v>
      </c>
      <c r="AE9253">
        <v>0.69365429999999995</v>
      </c>
      <c r="AF9253">
        <v>21.908770000000001</v>
      </c>
      <c r="AG9253">
        <f>IFERROR(AH9253*0.1, "N/A")</f>
        <v>5.4</v>
      </c>
      <c r="AH9253">
        <v>54</v>
      </c>
      <c r="AI9253">
        <v>312.71890000000002</v>
      </c>
      <c r="AJ9253">
        <v>29.364909999999998</v>
      </c>
      <c r="AK9253">
        <v>48.317540000000001</v>
      </c>
    </row>
    <row r="9254" spans="1:37" x14ac:dyDescent="0.3">
      <c r="A9254">
        <v>9253</v>
      </c>
      <c r="B9254">
        <v>0</v>
      </c>
      <c r="C9254">
        <v>11.9778</v>
      </c>
      <c r="D9254">
        <v>2.9333300000000002</v>
      </c>
      <c r="E9254" t="s">
        <v>14086</v>
      </c>
      <c r="F9254" t="s">
        <v>14087</v>
      </c>
      <c r="G9254" t="s">
        <v>39</v>
      </c>
      <c r="H9254">
        <v>1990</v>
      </c>
      <c r="I9254">
        <v>23.678560000000001</v>
      </c>
      <c r="J9254">
        <v>9.1999999999999993</v>
      </c>
      <c r="K9254">
        <v>81.785589999999999</v>
      </c>
      <c r="L9254">
        <v>6.3428120000000003</v>
      </c>
      <c r="M9254">
        <v>29.678560000000001</v>
      </c>
      <c r="N9254">
        <v>18.45712</v>
      </c>
      <c r="O9254">
        <v>11.221439999999999</v>
      </c>
      <c r="P9254">
        <v>23.37856</v>
      </c>
      <c r="Q9254">
        <v>24.057120000000001</v>
      </c>
      <c r="R9254">
        <v>24.45712</v>
      </c>
      <c r="S9254">
        <v>22.778559999999999</v>
      </c>
      <c r="T9254">
        <v>1680.0719999999999</v>
      </c>
      <c r="U9254">
        <v>280</v>
      </c>
      <c r="V9254">
        <v>39.214410000000001</v>
      </c>
      <c r="W9254">
        <v>53.785589999999999</v>
      </c>
      <c r="X9254">
        <v>660</v>
      </c>
      <c r="Y9254">
        <v>139.4288</v>
      </c>
      <c r="Z9254">
        <v>404.21440000000001</v>
      </c>
      <c r="AA9254">
        <v>326.64319999999998</v>
      </c>
      <c r="AB9254">
        <v>33.431280000000001</v>
      </c>
      <c r="AC9254">
        <v>1.117747E-2</v>
      </c>
      <c r="AD9254">
        <v>8.0975809999999999</v>
      </c>
      <c r="AE9254">
        <v>0.67173780000000005</v>
      </c>
      <c r="AF9254">
        <v>670.94380000000001</v>
      </c>
      <c r="AG9254">
        <f>IFERROR(AH9254*0.1, "N/A")</f>
        <v>5.2140599999999999</v>
      </c>
      <c r="AH9254">
        <v>52.140599999999999</v>
      </c>
      <c r="AI9254">
        <v>63.360520000000001</v>
      </c>
      <c r="AJ9254">
        <v>27.859400000000001</v>
      </c>
      <c r="AK9254">
        <v>59</v>
      </c>
    </row>
    <row r="9255" spans="1:37" x14ac:dyDescent="0.3">
      <c r="A9255">
        <v>9254</v>
      </c>
      <c r="B9255">
        <v>0</v>
      </c>
      <c r="C9255">
        <v>11.9778</v>
      </c>
      <c r="D9255">
        <v>2.9333300000000002</v>
      </c>
      <c r="E9255" t="s">
        <v>14086</v>
      </c>
      <c r="F9255" t="s">
        <v>14088</v>
      </c>
      <c r="G9255" t="s">
        <v>37</v>
      </c>
      <c r="H9255">
        <v>1990</v>
      </c>
      <c r="I9255">
        <v>23.678560000000001</v>
      </c>
      <c r="J9255">
        <v>9.1999999999999993</v>
      </c>
      <c r="K9255">
        <v>81.785589999999999</v>
      </c>
      <c r="L9255">
        <v>6.3428120000000003</v>
      </c>
      <c r="M9255">
        <v>29.678560000000001</v>
      </c>
      <c r="N9255">
        <v>18.45712</v>
      </c>
      <c r="O9255">
        <v>11.221439999999999</v>
      </c>
      <c r="P9255">
        <v>23.37856</v>
      </c>
      <c r="Q9255">
        <v>24.057120000000001</v>
      </c>
      <c r="R9255">
        <v>24.45712</v>
      </c>
      <c r="S9255">
        <v>22.778559999999999</v>
      </c>
      <c r="T9255">
        <v>1680.0719999999999</v>
      </c>
      <c r="U9255">
        <v>280</v>
      </c>
      <c r="V9255">
        <v>39.214410000000001</v>
      </c>
      <c r="W9255">
        <v>53.785589999999999</v>
      </c>
      <c r="X9255">
        <v>660</v>
      </c>
      <c r="Y9255">
        <v>139.4288</v>
      </c>
      <c r="Z9255">
        <v>404.21440000000001</v>
      </c>
      <c r="AA9255">
        <v>326.64319999999998</v>
      </c>
      <c r="AB9255">
        <v>33.431280000000001</v>
      </c>
      <c r="AC9255">
        <v>1.117747E-2</v>
      </c>
      <c r="AD9255">
        <v>8.0975809999999999</v>
      </c>
      <c r="AE9255">
        <v>0.67173780000000005</v>
      </c>
      <c r="AF9255">
        <v>670.94380000000001</v>
      </c>
      <c r="AG9255">
        <f>IFERROR(AH9255*0.1, "N/A")</f>
        <v>5.2140599999999999</v>
      </c>
      <c r="AH9255">
        <v>52.140599999999999</v>
      </c>
      <c r="AI9255">
        <v>63.360520000000001</v>
      </c>
      <c r="AJ9255">
        <v>27.859400000000001</v>
      </c>
      <c r="AK9255">
        <v>59</v>
      </c>
    </row>
    <row r="9256" spans="1:37" x14ac:dyDescent="0.3">
      <c r="A9256">
        <v>9255</v>
      </c>
      <c r="B9256">
        <v>0</v>
      </c>
      <c r="C9256">
        <v>11.9778</v>
      </c>
      <c r="D9256">
        <v>2.9333300000000002</v>
      </c>
      <c r="E9256" t="s">
        <v>14086</v>
      </c>
      <c r="F9256" t="s">
        <v>14089</v>
      </c>
      <c r="G9256" t="s">
        <v>2420</v>
      </c>
      <c r="H9256">
        <v>1990</v>
      </c>
      <c r="I9256">
        <v>23.678560000000001</v>
      </c>
      <c r="J9256">
        <v>9.1999999999999993</v>
      </c>
      <c r="K9256">
        <v>81.785589999999999</v>
      </c>
      <c r="L9256">
        <v>6.3428120000000003</v>
      </c>
      <c r="M9256">
        <v>29.678560000000001</v>
      </c>
      <c r="N9256">
        <v>18.45712</v>
      </c>
      <c r="O9256">
        <v>11.221439999999999</v>
      </c>
      <c r="P9256">
        <v>23.37856</v>
      </c>
      <c r="Q9256">
        <v>24.057120000000001</v>
      </c>
      <c r="R9256">
        <v>24.45712</v>
      </c>
      <c r="S9256">
        <v>22.778559999999999</v>
      </c>
      <c r="T9256">
        <v>1680.0719999999999</v>
      </c>
      <c r="U9256">
        <v>280</v>
      </c>
      <c r="V9256">
        <v>39.214410000000001</v>
      </c>
      <c r="W9256">
        <v>53.785589999999999</v>
      </c>
      <c r="X9256">
        <v>660</v>
      </c>
      <c r="Y9256">
        <v>139.4288</v>
      </c>
      <c r="Z9256">
        <v>404.21440000000001</v>
      </c>
      <c r="AA9256">
        <v>326.64319999999998</v>
      </c>
      <c r="AB9256">
        <v>33.431280000000001</v>
      </c>
      <c r="AC9256">
        <v>1.117747E-2</v>
      </c>
      <c r="AD9256">
        <v>8.0975809999999999</v>
      </c>
      <c r="AE9256">
        <v>0.67173780000000005</v>
      </c>
      <c r="AF9256">
        <v>670.94380000000001</v>
      </c>
      <c r="AG9256">
        <f>IFERROR(AH9256*0.1, "N/A")</f>
        <v>5.2140599999999999</v>
      </c>
      <c r="AH9256">
        <v>52.140599999999999</v>
      </c>
      <c r="AI9256">
        <v>63.360520000000001</v>
      </c>
      <c r="AJ9256">
        <v>27.859400000000001</v>
      </c>
      <c r="AK9256">
        <v>59</v>
      </c>
    </row>
    <row r="9257" spans="1:37" x14ac:dyDescent="0.3">
      <c r="A9257">
        <v>9256</v>
      </c>
      <c r="B9257">
        <v>0</v>
      </c>
      <c r="C9257">
        <v>11.708299999999999</v>
      </c>
      <c r="D9257">
        <v>2.9333300000000002</v>
      </c>
      <c r="E9257" t="s">
        <v>14090</v>
      </c>
      <c r="F9257" t="s">
        <v>14091</v>
      </c>
      <c r="G9257" t="s">
        <v>39</v>
      </c>
      <c r="H9257">
        <v>1990</v>
      </c>
      <c r="I9257">
        <v>23.378599999999999</v>
      </c>
      <c r="J9257">
        <v>9.0398250000000004</v>
      </c>
      <c r="K9257">
        <v>80.785960000000003</v>
      </c>
      <c r="L9257">
        <v>6.5150699999999997</v>
      </c>
      <c r="M9257">
        <v>29.31842</v>
      </c>
      <c r="N9257">
        <v>18.15719</v>
      </c>
      <c r="O9257">
        <v>11.16123</v>
      </c>
      <c r="P9257">
        <v>23.018419999999999</v>
      </c>
      <c r="Q9257">
        <v>23.778600000000001</v>
      </c>
      <c r="R9257">
        <v>24.11842</v>
      </c>
      <c r="S9257">
        <v>22.418420000000001</v>
      </c>
      <c r="T9257">
        <v>1715.049</v>
      </c>
      <c r="U9257">
        <v>290</v>
      </c>
      <c r="V9257">
        <v>40</v>
      </c>
      <c r="W9257">
        <v>54.398249999999997</v>
      </c>
      <c r="X9257">
        <v>677.81579999999997</v>
      </c>
      <c r="Y9257">
        <v>147.8158</v>
      </c>
      <c r="Z9257">
        <v>428.63159999999999</v>
      </c>
      <c r="AA9257">
        <v>383</v>
      </c>
      <c r="AB9257">
        <v>19.22616</v>
      </c>
      <c r="AC9257">
        <v>2.5925179999999999E-2</v>
      </c>
      <c r="AD9257">
        <v>4.6769600000000002</v>
      </c>
      <c r="AE9257">
        <v>0.14414950000000001</v>
      </c>
      <c r="AF9257">
        <v>720.3596</v>
      </c>
      <c r="AG9257">
        <f>IFERROR(AH9257*0.1, "N/A")</f>
        <v>4.7219299999999995</v>
      </c>
      <c r="AH9257">
        <v>47.219299999999997</v>
      </c>
      <c r="AI9257">
        <v>67.897509999999997</v>
      </c>
      <c r="AJ9257">
        <v>43</v>
      </c>
      <c r="AK9257">
        <v>47.219299999999997</v>
      </c>
    </row>
    <row r="9258" spans="1:37" x14ac:dyDescent="0.3">
      <c r="A9258">
        <v>9257</v>
      </c>
      <c r="B9258">
        <v>0</v>
      </c>
      <c r="C9258">
        <v>11.708299999999999</v>
      </c>
      <c r="D9258">
        <v>2.9333300000000002</v>
      </c>
      <c r="E9258" t="s">
        <v>14090</v>
      </c>
      <c r="F9258" t="s">
        <v>14092</v>
      </c>
      <c r="G9258" t="s">
        <v>37</v>
      </c>
      <c r="H9258">
        <v>1990</v>
      </c>
      <c r="I9258">
        <v>23.378599999999999</v>
      </c>
      <c r="J9258">
        <v>9.0398250000000004</v>
      </c>
      <c r="K9258">
        <v>80.785960000000003</v>
      </c>
      <c r="L9258">
        <v>6.5150699999999997</v>
      </c>
      <c r="M9258">
        <v>29.31842</v>
      </c>
      <c r="N9258">
        <v>18.15719</v>
      </c>
      <c r="O9258">
        <v>11.16123</v>
      </c>
      <c r="P9258">
        <v>23.018419999999999</v>
      </c>
      <c r="Q9258">
        <v>23.778600000000001</v>
      </c>
      <c r="R9258">
        <v>24.11842</v>
      </c>
      <c r="S9258">
        <v>22.418420000000001</v>
      </c>
      <c r="T9258">
        <v>1715.049</v>
      </c>
      <c r="U9258">
        <v>290</v>
      </c>
      <c r="V9258">
        <v>40</v>
      </c>
      <c r="W9258">
        <v>54.398249999999997</v>
      </c>
      <c r="X9258">
        <v>677.81579999999997</v>
      </c>
      <c r="Y9258">
        <v>147.8158</v>
      </c>
      <c r="Z9258">
        <v>428.63159999999999</v>
      </c>
      <c r="AA9258">
        <v>383</v>
      </c>
      <c r="AB9258">
        <v>19.22616</v>
      </c>
      <c r="AC9258">
        <v>2.5925179999999999E-2</v>
      </c>
      <c r="AD9258">
        <v>4.6769600000000002</v>
      </c>
      <c r="AE9258">
        <v>0.14414950000000001</v>
      </c>
      <c r="AF9258">
        <v>720.3596</v>
      </c>
      <c r="AG9258">
        <f>IFERROR(AH9258*0.1, "N/A")</f>
        <v>4.7219299999999995</v>
      </c>
      <c r="AH9258">
        <v>47.219299999999997</v>
      </c>
      <c r="AI9258">
        <v>67.897509999999997</v>
      </c>
      <c r="AJ9258">
        <v>43</v>
      </c>
      <c r="AK9258">
        <v>47.219299999999997</v>
      </c>
    </row>
    <row r="9259" spans="1:37" x14ac:dyDescent="0.3">
      <c r="A9259">
        <v>9258</v>
      </c>
      <c r="B9259">
        <v>0</v>
      </c>
      <c r="C9259">
        <v>11.708299999999999</v>
      </c>
      <c r="D9259">
        <v>2.9333300000000002</v>
      </c>
      <c r="E9259" t="s">
        <v>14090</v>
      </c>
      <c r="F9259" t="s">
        <v>14093</v>
      </c>
      <c r="G9259" t="s">
        <v>2420</v>
      </c>
      <c r="H9259">
        <v>1990</v>
      </c>
      <c r="I9259">
        <v>23.378599999999999</v>
      </c>
      <c r="J9259">
        <v>9.0398250000000004</v>
      </c>
      <c r="K9259">
        <v>80.785960000000003</v>
      </c>
      <c r="L9259">
        <v>6.5150699999999997</v>
      </c>
      <c r="M9259">
        <v>29.31842</v>
      </c>
      <c r="N9259">
        <v>18.15719</v>
      </c>
      <c r="O9259">
        <v>11.16123</v>
      </c>
      <c r="P9259">
        <v>23.018419999999999</v>
      </c>
      <c r="Q9259">
        <v>23.778600000000001</v>
      </c>
      <c r="R9259">
        <v>24.11842</v>
      </c>
      <c r="S9259">
        <v>22.418420000000001</v>
      </c>
      <c r="T9259">
        <v>1715.049</v>
      </c>
      <c r="U9259">
        <v>290</v>
      </c>
      <c r="V9259">
        <v>40</v>
      </c>
      <c r="W9259">
        <v>54.398249999999997</v>
      </c>
      <c r="X9259">
        <v>677.81579999999997</v>
      </c>
      <c r="Y9259">
        <v>147.8158</v>
      </c>
      <c r="Z9259">
        <v>428.63159999999999</v>
      </c>
      <c r="AA9259">
        <v>383</v>
      </c>
      <c r="AB9259">
        <v>19.22616</v>
      </c>
      <c r="AC9259">
        <v>2.5925179999999999E-2</v>
      </c>
      <c r="AD9259">
        <v>4.6769600000000002</v>
      </c>
      <c r="AE9259">
        <v>0.14414950000000001</v>
      </c>
      <c r="AF9259">
        <v>720.3596</v>
      </c>
      <c r="AG9259">
        <f>IFERROR(AH9259*0.1, "N/A")</f>
        <v>4.7219299999999995</v>
      </c>
      <c r="AH9259">
        <v>47.219299999999997</v>
      </c>
      <c r="AI9259">
        <v>67.897509999999997</v>
      </c>
      <c r="AJ9259">
        <v>43</v>
      </c>
      <c r="AK9259">
        <v>47.219299999999997</v>
      </c>
    </row>
    <row r="9260" spans="1:37" x14ac:dyDescent="0.3">
      <c r="A9260">
        <v>9259</v>
      </c>
      <c r="B9260">
        <v>0</v>
      </c>
      <c r="C9260">
        <v>11.166700000000001</v>
      </c>
      <c r="D9260">
        <v>2.9388899999999998</v>
      </c>
      <c r="E9260" t="s">
        <v>14094</v>
      </c>
      <c r="F9260" t="s">
        <v>14095</v>
      </c>
      <c r="G9260" t="s">
        <v>39</v>
      </c>
      <c r="H9260">
        <v>1990</v>
      </c>
      <c r="I9260">
        <v>24.128820000000001</v>
      </c>
      <c r="J9260">
        <v>8.6</v>
      </c>
      <c r="K9260">
        <v>76.711780000000005</v>
      </c>
      <c r="L9260">
        <v>7.9862919999999997</v>
      </c>
      <c r="M9260">
        <v>29.928820000000002</v>
      </c>
      <c r="N9260">
        <v>18.8</v>
      </c>
      <c r="O9260">
        <v>11.128819999999999</v>
      </c>
      <c r="P9260">
        <v>23.8</v>
      </c>
      <c r="Q9260">
        <v>24.7</v>
      </c>
      <c r="R9260">
        <v>25</v>
      </c>
      <c r="S9260">
        <v>22.928820000000002</v>
      </c>
      <c r="T9260">
        <v>1864.135</v>
      </c>
      <c r="U9260">
        <v>324</v>
      </c>
      <c r="V9260">
        <v>37</v>
      </c>
      <c r="W9260">
        <v>57</v>
      </c>
      <c r="X9260">
        <v>741.71180000000004</v>
      </c>
      <c r="Y9260">
        <v>170.71180000000001</v>
      </c>
      <c r="Z9260">
        <v>494.42360000000002</v>
      </c>
      <c r="AA9260">
        <v>374.71179999999998</v>
      </c>
      <c r="AB9260">
        <v>5.9905439999999999</v>
      </c>
      <c r="AC9260">
        <v>0.16024939999999999</v>
      </c>
      <c r="AD9260">
        <v>4.0477059999999998</v>
      </c>
      <c r="AE9260">
        <v>0.52085780000000004</v>
      </c>
      <c r="AF9260">
        <v>583.4692</v>
      </c>
      <c r="AG9260">
        <f>IFERROR(AH9260*0.1, "N/A")</f>
        <v>5.0615110000000003</v>
      </c>
      <c r="AH9260">
        <v>50.615110000000001</v>
      </c>
      <c r="AI9260">
        <v>50.07837</v>
      </c>
      <c r="AJ9260">
        <v>36.834800000000001</v>
      </c>
      <c r="AK9260">
        <v>52.544820000000001</v>
      </c>
    </row>
    <row r="9261" spans="1:37" x14ac:dyDescent="0.3">
      <c r="A9261">
        <v>9260</v>
      </c>
      <c r="B9261">
        <v>0</v>
      </c>
      <c r="C9261">
        <v>11.166700000000001</v>
      </c>
      <c r="D9261">
        <v>2.9388899999999998</v>
      </c>
      <c r="E9261" t="s">
        <v>14094</v>
      </c>
      <c r="F9261" t="s">
        <v>14096</v>
      </c>
      <c r="G9261" t="s">
        <v>37</v>
      </c>
      <c r="H9261">
        <v>1990</v>
      </c>
      <c r="I9261">
        <v>24.128820000000001</v>
      </c>
      <c r="J9261">
        <v>8.6</v>
      </c>
      <c r="K9261">
        <v>76.711780000000005</v>
      </c>
      <c r="L9261">
        <v>7.9862919999999997</v>
      </c>
      <c r="M9261">
        <v>29.928820000000002</v>
      </c>
      <c r="N9261">
        <v>18.8</v>
      </c>
      <c r="O9261">
        <v>11.128819999999999</v>
      </c>
      <c r="P9261">
        <v>23.8</v>
      </c>
      <c r="Q9261">
        <v>24.7</v>
      </c>
      <c r="R9261">
        <v>25</v>
      </c>
      <c r="S9261">
        <v>22.928820000000002</v>
      </c>
      <c r="T9261">
        <v>1864.135</v>
      </c>
      <c r="U9261">
        <v>324</v>
      </c>
      <c r="V9261">
        <v>37</v>
      </c>
      <c r="W9261">
        <v>57</v>
      </c>
      <c r="X9261">
        <v>741.71180000000004</v>
      </c>
      <c r="Y9261">
        <v>170.71180000000001</v>
      </c>
      <c r="Z9261">
        <v>494.42360000000002</v>
      </c>
      <c r="AA9261">
        <v>374.71179999999998</v>
      </c>
      <c r="AB9261">
        <v>5.9905439999999999</v>
      </c>
      <c r="AC9261">
        <v>0.16024939999999999</v>
      </c>
      <c r="AD9261">
        <v>4.0477059999999998</v>
      </c>
      <c r="AE9261">
        <v>0.52085780000000004</v>
      </c>
      <c r="AF9261">
        <v>583.4692</v>
      </c>
      <c r="AG9261">
        <f>IFERROR(AH9261*0.1, "N/A")</f>
        <v>5.0615110000000003</v>
      </c>
      <c r="AH9261">
        <v>50.615110000000001</v>
      </c>
      <c r="AI9261">
        <v>50.07837</v>
      </c>
      <c r="AJ9261">
        <v>36.834800000000001</v>
      </c>
      <c r="AK9261">
        <v>52.544820000000001</v>
      </c>
    </row>
    <row r="9262" spans="1:37" x14ac:dyDescent="0.3">
      <c r="A9262">
        <v>9261</v>
      </c>
      <c r="B9262">
        <v>8</v>
      </c>
      <c r="C9262">
        <v>11.166700000000001</v>
      </c>
      <c r="D9262">
        <v>2.9388899999999998</v>
      </c>
      <c r="E9262" t="s">
        <v>14094</v>
      </c>
      <c r="F9262" t="s">
        <v>14097</v>
      </c>
      <c r="G9262" t="s">
        <v>2420</v>
      </c>
      <c r="H9262">
        <v>1990</v>
      </c>
      <c r="I9262">
        <v>24.128820000000001</v>
      </c>
      <c r="J9262">
        <v>8.6</v>
      </c>
      <c r="K9262">
        <v>76.711780000000005</v>
      </c>
      <c r="L9262">
        <v>7.9862919999999997</v>
      </c>
      <c r="M9262">
        <v>29.928820000000002</v>
      </c>
      <c r="N9262">
        <v>18.8</v>
      </c>
      <c r="O9262">
        <v>11.128819999999999</v>
      </c>
      <c r="P9262">
        <v>23.8</v>
      </c>
      <c r="Q9262">
        <v>24.7</v>
      </c>
      <c r="R9262">
        <v>25</v>
      </c>
      <c r="S9262">
        <v>22.928820000000002</v>
      </c>
      <c r="T9262">
        <v>1864.135</v>
      </c>
      <c r="U9262">
        <v>324</v>
      </c>
      <c r="V9262">
        <v>37</v>
      </c>
      <c r="W9262">
        <v>57</v>
      </c>
      <c r="X9262">
        <v>741.71180000000004</v>
      </c>
      <c r="Y9262">
        <v>170.71180000000001</v>
      </c>
      <c r="Z9262">
        <v>494.42360000000002</v>
      </c>
      <c r="AA9262">
        <v>374.71179999999998</v>
      </c>
      <c r="AB9262">
        <v>5.9905439999999999</v>
      </c>
      <c r="AC9262">
        <v>0.16024939999999999</v>
      </c>
      <c r="AD9262">
        <v>4.0477059999999998</v>
      </c>
      <c r="AE9262">
        <v>0.52085780000000004</v>
      </c>
      <c r="AF9262">
        <v>583.4692</v>
      </c>
      <c r="AG9262">
        <f>IFERROR(AH9262*0.1, "N/A")</f>
        <v>5.0615110000000003</v>
      </c>
      <c r="AH9262">
        <v>50.615110000000001</v>
      </c>
      <c r="AI9262">
        <v>50.07837</v>
      </c>
      <c r="AJ9262">
        <v>36.834800000000001</v>
      </c>
      <c r="AK9262">
        <v>52.544820000000001</v>
      </c>
    </row>
    <row r="9263" spans="1:37" x14ac:dyDescent="0.3">
      <c r="A9263">
        <v>9262</v>
      </c>
      <c r="B9263">
        <v>0</v>
      </c>
      <c r="C9263">
        <v>9.9083299999999994</v>
      </c>
      <c r="D9263">
        <v>2.9416699999999998</v>
      </c>
      <c r="E9263" t="s">
        <v>14098</v>
      </c>
      <c r="F9263" t="s">
        <v>14099</v>
      </c>
      <c r="G9263" t="s">
        <v>39</v>
      </c>
      <c r="H9263">
        <v>1990</v>
      </c>
      <c r="I9263">
        <v>25.7</v>
      </c>
      <c r="J9263">
        <v>6.4</v>
      </c>
      <c r="K9263">
        <v>75</v>
      </c>
      <c r="L9263">
        <v>7.97</v>
      </c>
      <c r="M9263">
        <v>30.3</v>
      </c>
      <c r="N9263">
        <v>21.8</v>
      </c>
      <c r="O9263">
        <v>8.5</v>
      </c>
      <c r="P9263">
        <v>24.8</v>
      </c>
      <c r="Q9263">
        <v>26.4</v>
      </c>
      <c r="R9263">
        <v>26.6</v>
      </c>
      <c r="S9263">
        <v>24.6</v>
      </c>
      <c r="T9263">
        <v>2722.857</v>
      </c>
      <c r="U9263">
        <v>485.28570000000002</v>
      </c>
      <c r="V9263">
        <v>67.714290000000005</v>
      </c>
      <c r="W9263">
        <v>59.714289999999998</v>
      </c>
      <c r="X9263">
        <v>1174.857</v>
      </c>
      <c r="Y9263">
        <v>233.71430000000001</v>
      </c>
      <c r="Z9263">
        <v>349</v>
      </c>
      <c r="AA9263">
        <v>822.14290000000005</v>
      </c>
      <c r="AB9263">
        <v>15.43327</v>
      </c>
      <c r="AC9263">
        <v>9.0778850000000008E-3</v>
      </c>
      <c r="AD9263">
        <v>1.825242</v>
      </c>
      <c r="AE9263">
        <v>0.62905699999999998</v>
      </c>
      <c r="AF9263">
        <v>16.063379999999999</v>
      </c>
      <c r="AG9263">
        <f>IFERROR(AH9263*0.1, "N/A")</f>
        <v>5.5</v>
      </c>
      <c r="AH9263">
        <v>55</v>
      </c>
      <c r="AI9263">
        <v>173.22290000000001</v>
      </c>
      <c r="AJ9263">
        <v>30.607389999999999</v>
      </c>
      <c r="AK9263">
        <v>47.29401</v>
      </c>
    </row>
    <row r="9264" spans="1:37" x14ac:dyDescent="0.3">
      <c r="A9264">
        <v>9263</v>
      </c>
      <c r="B9264">
        <v>1.8</v>
      </c>
      <c r="C9264">
        <v>9.9083299999999994</v>
      </c>
      <c r="D9264">
        <v>2.9416699999999998</v>
      </c>
      <c r="E9264" t="s">
        <v>14098</v>
      </c>
      <c r="F9264" t="s">
        <v>14100</v>
      </c>
      <c r="G9264" t="s">
        <v>37</v>
      </c>
      <c r="H9264">
        <v>1990</v>
      </c>
      <c r="I9264">
        <v>25.7</v>
      </c>
      <c r="J9264">
        <v>6.4</v>
      </c>
      <c r="K9264">
        <v>75</v>
      </c>
      <c r="L9264">
        <v>7.97</v>
      </c>
      <c r="M9264">
        <v>30.3</v>
      </c>
      <c r="N9264">
        <v>21.8</v>
      </c>
      <c r="O9264">
        <v>8.5</v>
      </c>
      <c r="P9264">
        <v>24.8</v>
      </c>
      <c r="Q9264">
        <v>26.4</v>
      </c>
      <c r="R9264">
        <v>26.6</v>
      </c>
      <c r="S9264">
        <v>24.6</v>
      </c>
      <c r="T9264">
        <v>2722.857</v>
      </c>
      <c r="U9264">
        <v>485.28570000000002</v>
      </c>
      <c r="V9264">
        <v>67.714290000000005</v>
      </c>
      <c r="W9264">
        <v>59.714289999999998</v>
      </c>
      <c r="X9264">
        <v>1174.857</v>
      </c>
      <c r="Y9264">
        <v>233.71430000000001</v>
      </c>
      <c r="Z9264">
        <v>349</v>
      </c>
      <c r="AA9264">
        <v>822.14290000000005</v>
      </c>
      <c r="AB9264">
        <v>15.43327</v>
      </c>
      <c r="AC9264">
        <v>9.0778850000000008E-3</v>
      </c>
      <c r="AD9264">
        <v>1.825242</v>
      </c>
      <c r="AE9264">
        <v>0.62905699999999998</v>
      </c>
      <c r="AF9264">
        <v>16.063379999999999</v>
      </c>
      <c r="AG9264">
        <f>IFERROR(AH9264*0.1, "N/A")</f>
        <v>5.5</v>
      </c>
      <c r="AH9264">
        <v>55</v>
      </c>
      <c r="AI9264">
        <v>173.22290000000001</v>
      </c>
      <c r="AJ9264">
        <v>30.607389999999999</v>
      </c>
      <c r="AK9264">
        <v>47.29401</v>
      </c>
    </row>
    <row r="9265" spans="1:37" x14ac:dyDescent="0.3">
      <c r="A9265">
        <v>9264</v>
      </c>
      <c r="B9265">
        <v>0</v>
      </c>
      <c r="C9265">
        <v>9.9083299999999994</v>
      </c>
      <c r="D9265">
        <v>2.9416699999999998</v>
      </c>
      <c r="E9265" t="s">
        <v>14098</v>
      </c>
      <c r="F9265" t="s">
        <v>14101</v>
      </c>
      <c r="G9265" t="s">
        <v>2420</v>
      </c>
      <c r="H9265">
        <v>1990</v>
      </c>
      <c r="I9265">
        <v>25.7</v>
      </c>
      <c r="J9265">
        <v>6.4</v>
      </c>
      <c r="K9265">
        <v>75</v>
      </c>
      <c r="L9265">
        <v>7.97</v>
      </c>
      <c r="M9265">
        <v>30.3</v>
      </c>
      <c r="N9265">
        <v>21.8</v>
      </c>
      <c r="O9265">
        <v>8.5</v>
      </c>
      <c r="P9265">
        <v>24.8</v>
      </c>
      <c r="Q9265">
        <v>26.4</v>
      </c>
      <c r="R9265">
        <v>26.6</v>
      </c>
      <c r="S9265">
        <v>24.6</v>
      </c>
      <c r="T9265">
        <v>2722.857</v>
      </c>
      <c r="U9265">
        <v>485.28570000000002</v>
      </c>
      <c r="V9265">
        <v>67.714290000000005</v>
      </c>
      <c r="W9265">
        <v>59.714289999999998</v>
      </c>
      <c r="X9265">
        <v>1174.857</v>
      </c>
      <c r="Y9265">
        <v>233.71430000000001</v>
      </c>
      <c r="Z9265">
        <v>349</v>
      </c>
      <c r="AA9265">
        <v>822.14290000000005</v>
      </c>
      <c r="AB9265">
        <v>15.43327</v>
      </c>
      <c r="AC9265">
        <v>9.0778850000000008E-3</v>
      </c>
      <c r="AD9265">
        <v>1.825242</v>
      </c>
      <c r="AE9265">
        <v>0.62905699999999998</v>
      </c>
      <c r="AF9265">
        <v>16.063379999999999</v>
      </c>
      <c r="AG9265">
        <f>IFERROR(AH9265*0.1, "N/A")</f>
        <v>5.5</v>
      </c>
      <c r="AH9265">
        <v>55</v>
      </c>
      <c r="AI9265">
        <v>173.22290000000001</v>
      </c>
      <c r="AJ9265">
        <v>30.607389999999999</v>
      </c>
      <c r="AK9265">
        <v>47.29401</v>
      </c>
    </row>
    <row r="9266" spans="1:37" x14ac:dyDescent="0.3">
      <c r="A9266">
        <v>9265</v>
      </c>
      <c r="B9266">
        <v>0</v>
      </c>
      <c r="C9266">
        <v>11.683299999999999</v>
      </c>
      <c r="D9266">
        <v>2.9666700000000001</v>
      </c>
      <c r="E9266" t="s">
        <v>14102</v>
      </c>
      <c r="F9266" t="s">
        <v>14103</v>
      </c>
      <c r="G9266" t="s">
        <v>39</v>
      </c>
      <c r="H9266">
        <v>1990</v>
      </c>
      <c r="I9266">
        <v>23.421050000000001</v>
      </c>
      <c r="J9266">
        <v>9.0338600000000007</v>
      </c>
      <c r="K9266">
        <v>81</v>
      </c>
      <c r="L9266">
        <v>6.7154910000000001</v>
      </c>
      <c r="M9266">
        <v>29.32105</v>
      </c>
      <c r="N9266">
        <v>18.221050000000002</v>
      </c>
      <c r="O9266">
        <v>11.1</v>
      </c>
      <c r="P9266">
        <v>23.12105</v>
      </c>
      <c r="Q9266">
        <v>23.88719</v>
      </c>
      <c r="R9266">
        <v>24.221050000000002</v>
      </c>
      <c r="S9266">
        <v>22.49719</v>
      </c>
      <c r="T9266">
        <v>1716.96</v>
      </c>
      <c r="U9266">
        <v>291</v>
      </c>
      <c r="V9266">
        <v>39</v>
      </c>
      <c r="W9266">
        <v>55</v>
      </c>
      <c r="X9266">
        <v>678.8877</v>
      </c>
      <c r="Y9266">
        <v>146.45089999999999</v>
      </c>
      <c r="Z9266">
        <v>429</v>
      </c>
      <c r="AA9266">
        <v>362.8</v>
      </c>
      <c r="AB9266">
        <v>24.50207</v>
      </c>
      <c r="AC9266">
        <v>3.4176459999999999E-2</v>
      </c>
      <c r="AD9266">
        <v>5.3291469999999999</v>
      </c>
      <c r="AE9266">
        <v>0.13446369999999999</v>
      </c>
      <c r="AF9266">
        <v>711.85260000000005</v>
      </c>
      <c r="AG9266">
        <f>IFERROR(AH9266*0.1, "N/A")</f>
        <v>4.7084210000000004</v>
      </c>
      <c r="AH9266">
        <v>47.084209999999999</v>
      </c>
      <c r="AI9266">
        <v>176.26920000000001</v>
      </c>
      <c r="AJ9266">
        <v>45.02807</v>
      </c>
      <c r="AK9266">
        <v>46.31053</v>
      </c>
    </row>
    <row r="9267" spans="1:37" x14ac:dyDescent="0.3">
      <c r="A9267">
        <v>9266</v>
      </c>
      <c r="B9267">
        <v>0</v>
      </c>
      <c r="C9267">
        <v>11.683299999999999</v>
      </c>
      <c r="D9267">
        <v>2.9666700000000001</v>
      </c>
      <c r="E9267" t="s">
        <v>14102</v>
      </c>
      <c r="F9267" t="s">
        <v>14104</v>
      </c>
      <c r="G9267" t="s">
        <v>37</v>
      </c>
      <c r="H9267">
        <v>1990</v>
      </c>
      <c r="I9267">
        <v>23.421050000000001</v>
      </c>
      <c r="J9267">
        <v>9.0338600000000007</v>
      </c>
      <c r="K9267">
        <v>81</v>
      </c>
      <c r="L9267">
        <v>6.7154910000000001</v>
      </c>
      <c r="M9267">
        <v>29.32105</v>
      </c>
      <c r="N9267">
        <v>18.221050000000002</v>
      </c>
      <c r="O9267">
        <v>11.1</v>
      </c>
      <c r="P9267">
        <v>23.12105</v>
      </c>
      <c r="Q9267">
        <v>23.88719</v>
      </c>
      <c r="R9267">
        <v>24.221050000000002</v>
      </c>
      <c r="S9267">
        <v>22.49719</v>
      </c>
      <c r="T9267">
        <v>1716.96</v>
      </c>
      <c r="U9267">
        <v>291</v>
      </c>
      <c r="V9267">
        <v>39</v>
      </c>
      <c r="W9267">
        <v>55</v>
      </c>
      <c r="X9267">
        <v>678.8877</v>
      </c>
      <c r="Y9267">
        <v>146.45089999999999</v>
      </c>
      <c r="Z9267">
        <v>429</v>
      </c>
      <c r="AA9267">
        <v>362.8</v>
      </c>
      <c r="AB9267">
        <v>24.50207</v>
      </c>
      <c r="AC9267">
        <v>3.4176459999999999E-2</v>
      </c>
      <c r="AD9267">
        <v>5.3291469999999999</v>
      </c>
      <c r="AE9267">
        <v>0.13446369999999999</v>
      </c>
      <c r="AF9267">
        <v>711.85260000000005</v>
      </c>
      <c r="AG9267">
        <f>IFERROR(AH9267*0.1, "N/A")</f>
        <v>4.7084210000000004</v>
      </c>
      <c r="AH9267">
        <v>47.084209999999999</v>
      </c>
      <c r="AI9267">
        <v>176.26920000000001</v>
      </c>
      <c r="AJ9267">
        <v>45.02807</v>
      </c>
      <c r="AK9267">
        <v>46.31053</v>
      </c>
    </row>
    <row r="9268" spans="1:37" x14ac:dyDescent="0.3">
      <c r="A9268">
        <v>9267</v>
      </c>
      <c r="B9268">
        <v>0</v>
      </c>
      <c r="C9268">
        <v>11.683299999999999</v>
      </c>
      <c r="D9268">
        <v>2.9666700000000001</v>
      </c>
      <c r="E9268" t="s">
        <v>14102</v>
      </c>
      <c r="F9268" t="s">
        <v>14105</v>
      </c>
      <c r="G9268" t="s">
        <v>2420</v>
      </c>
      <c r="H9268">
        <v>1990</v>
      </c>
      <c r="I9268">
        <v>23.421050000000001</v>
      </c>
      <c r="J9268">
        <v>9.0338600000000007</v>
      </c>
      <c r="K9268">
        <v>81</v>
      </c>
      <c r="L9268">
        <v>6.7154910000000001</v>
      </c>
      <c r="M9268">
        <v>29.32105</v>
      </c>
      <c r="N9268">
        <v>18.221050000000002</v>
      </c>
      <c r="O9268">
        <v>11.1</v>
      </c>
      <c r="P9268">
        <v>23.12105</v>
      </c>
      <c r="Q9268">
        <v>23.88719</v>
      </c>
      <c r="R9268">
        <v>24.221050000000002</v>
      </c>
      <c r="S9268">
        <v>22.49719</v>
      </c>
      <c r="T9268">
        <v>1716.96</v>
      </c>
      <c r="U9268">
        <v>291</v>
      </c>
      <c r="V9268">
        <v>39</v>
      </c>
      <c r="W9268">
        <v>55</v>
      </c>
      <c r="X9268">
        <v>678.8877</v>
      </c>
      <c r="Y9268">
        <v>146.45089999999999</v>
      </c>
      <c r="Z9268">
        <v>429</v>
      </c>
      <c r="AA9268">
        <v>362.8</v>
      </c>
      <c r="AB9268">
        <v>24.50207</v>
      </c>
      <c r="AC9268">
        <v>3.4176459999999999E-2</v>
      </c>
      <c r="AD9268">
        <v>5.3291469999999999</v>
      </c>
      <c r="AE9268">
        <v>0.13446369999999999</v>
      </c>
      <c r="AF9268">
        <v>711.85260000000005</v>
      </c>
      <c r="AG9268">
        <f>IFERROR(AH9268*0.1, "N/A")</f>
        <v>4.7084210000000004</v>
      </c>
      <c r="AH9268">
        <v>47.084209999999999</v>
      </c>
      <c r="AI9268">
        <v>176.26920000000001</v>
      </c>
      <c r="AJ9268">
        <v>45.02807</v>
      </c>
      <c r="AK9268">
        <v>46.31053</v>
      </c>
    </row>
    <row r="9269" spans="1:37" x14ac:dyDescent="0.3">
      <c r="A9269">
        <v>9268</v>
      </c>
      <c r="B9269">
        <v>0</v>
      </c>
      <c r="C9269">
        <v>10.941700000000001</v>
      </c>
      <c r="D9269">
        <v>2.98889</v>
      </c>
      <c r="E9269" t="s">
        <v>14106</v>
      </c>
      <c r="F9269" t="s">
        <v>14107</v>
      </c>
      <c r="G9269" t="s">
        <v>39</v>
      </c>
      <c r="H9269">
        <v>1990</v>
      </c>
      <c r="I9269">
        <v>23.52947</v>
      </c>
      <c r="J9269">
        <v>8.4</v>
      </c>
      <c r="K9269">
        <v>77</v>
      </c>
      <c r="L9269">
        <v>7.8883159999999997</v>
      </c>
      <c r="M9269">
        <v>29.2</v>
      </c>
      <c r="N9269">
        <v>18.329470000000001</v>
      </c>
      <c r="O9269">
        <v>10.87053</v>
      </c>
      <c r="P9269">
        <v>23.129470000000001</v>
      </c>
      <c r="Q9269">
        <v>24.02947</v>
      </c>
      <c r="R9269">
        <v>24.3</v>
      </c>
      <c r="S9269">
        <v>22.3</v>
      </c>
      <c r="T9269">
        <v>1964.4739999999999</v>
      </c>
      <c r="U9269">
        <v>341</v>
      </c>
      <c r="V9269">
        <v>40</v>
      </c>
      <c r="W9269">
        <v>57</v>
      </c>
      <c r="X9269">
        <v>786.58950000000004</v>
      </c>
      <c r="Y9269">
        <v>178</v>
      </c>
      <c r="Z9269">
        <v>502.29469999999998</v>
      </c>
      <c r="AA9269">
        <v>413.29469999999998</v>
      </c>
      <c r="AB9269">
        <v>6.2217880000000001</v>
      </c>
      <c r="AC9269">
        <v>5.7658569999999999E-2</v>
      </c>
      <c r="AD9269">
        <v>6.2685890000000004</v>
      </c>
      <c r="AE9269">
        <v>0.17781730000000001</v>
      </c>
      <c r="AF9269">
        <v>667.91930000000002</v>
      </c>
      <c r="AG9269">
        <f>IFERROR(AH9269*0.1, "N/A")</f>
        <v>4.7207020000000002</v>
      </c>
      <c r="AH9269">
        <v>47.20702</v>
      </c>
      <c r="AI9269">
        <v>194.1996</v>
      </c>
      <c r="AJ9269">
        <v>45</v>
      </c>
      <c r="AK9269">
        <v>46.059649999999998</v>
      </c>
    </row>
    <row r="9270" spans="1:37" x14ac:dyDescent="0.3">
      <c r="A9270">
        <v>9269</v>
      </c>
      <c r="B9270">
        <v>0</v>
      </c>
      <c r="C9270">
        <v>10.941700000000001</v>
      </c>
      <c r="D9270">
        <v>2.98889</v>
      </c>
      <c r="E9270" t="s">
        <v>14106</v>
      </c>
      <c r="F9270" t="s">
        <v>14108</v>
      </c>
      <c r="G9270" t="s">
        <v>37</v>
      </c>
      <c r="H9270">
        <v>1990</v>
      </c>
      <c r="I9270">
        <v>23.52947</v>
      </c>
      <c r="J9270">
        <v>8.4</v>
      </c>
      <c r="K9270">
        <v>77</v>
      </c>
      <c r="L9270">
        <v>7.8883159999999997</v>
      </c>
      <c r="M9270">
        <v>29.2</v>
      </c>
      <c r="N9270">
        <v>18.329470000000001</v>
      </c>
      <c r="O9270">
        <v>10.87053</v>
      </c>
      <c r="P9270">
        <v>23.129470000000001</v>
      </c>
      <c r="Q9270">
        <v>24.02947</v>
      </c>
      <c r="R9270">
        <v>24.3</v>
      </c>
      <c r="S9270">
        <v>22.3</v>
      </c>
      <c r="T9270">
        <v>1964.4739999999999</v>
      </c>
      <c r="U9270">
        <v>341</v>
      </c>
      <c r="V9270">
        <v>40</v>
      </c>
      <c r="W9270">
        <v>57</v>
      </c>
      <c r="X9270">
        <v>786.58950000000004</v>
      </c>
      <c r="Y9270">
        <v>178</v>
      </c>
      <c r="Z9270">
        <v>502.29469999999998</v>
      </c>
      <c r="AA9270">
        <v>413.29469999999998</v>
      </c>
      <c r="AB9270">
        <v>6.2217880000000001</v>
      </c>
      <c r="AC9270">
        <v>5.7658569999999999E-2</v>
      </c>
      <c r="AD9270">
        <v>6.2685890000000004</v>
      </c>
      <c r="AE9270">
        <v>0.17781730000000001</v>
      </c>
      <c r="AF9270">
        <v>667.91930000000002</v>
      </c>
      <c r="AG9270">
        <f>IFERROR(AH9270*0.1, "N/A")</f>
        <v>4.7207020000000002</v>
      </c>
      <c r="AH9270">
        <v>47.20702</v>
      </c>
      <c r="AI9270">
        <v>194.1996</v>
      </c>
      <c r="AJ9270">
        <v>45</v>
      </c>
      <c r="AK9270">
        <v>46.059649999999998</v>
      </c>
    </row>
    <row r="9271" spans="1:37" x14ac:dyDescent="0.3">
      <c r="A9271">
        <v>9270</v>
      </c>
      <c r="B9271">
        <v>3.2</v>
      </c>
      <c r="C9271">
        <v>10.941700000000001</v>
      </c>
      <c r="D9271">
        <v>2.98889</v>
      </c>
      <c r="E9271" t="s">
        <v>14106</v>
      </c>
      <c r="F9271" t="s">
        <v>14109</v>
      </c>
      <c r="G9271" t="s">
        <v>2420</v>
      </c>
      <c r="H9271">
        <v>1990</v>
      </c>
      <c r="I9271">
        <v>23.52947</v>
      </c>
      <c r="J9271">
        <v>8.4</v>
      </c>
      <c r="K9271">
        <v>77</v>
      </c>
      <c r="L9271">
        <v>7.8883159999999997</v>
      </c>
      <c r="M9271">
        <v>29.2</v>
      </c>
      <c r="N9271">
        <v>18.329470000000001</v>
      </c>
      <c r="O9271">
        <v>10.87053</v>
      </c>
      <c r="P9271">
        <v>23.129470000000001</v>
      </c>
      <c r="Q9271">
        <v>24.02947</v>
      </c>
      <c r="R9271">
        <v>24.3</v>
      </c>
      <c r="S9271">
        <v>22.3</v>
      </c>
      <c r="T9271">
        <v>1964.4739999999999</v>
      </c>
      <c r="U9271">
        <v>341</v>
      </c>
      <c r="V9271">
        <v>40</v>
      </c>
      <c r="W9271">
        <v>57</v>
      </c>
      <c r="X9271">
        <v>786.58950000000004</v>
      </c>
      <c r="Y9271">
        <v>178</v>
      </c>
      <c r="Z9271">
        <v>502.29469999999998</v>
      </c>
      <c r="AA9271">
        <v>413.29469999999998</v>
      </c>
      <c r="AB9271">
        <v>6.2217880000000001</v>
      </c>
      <c r="AC9271">
        <v>5.7658569999999999E-2</v>
      </c>
      <c r="AD9271">
        <v>6.2685890000000004</v>
      </c>
      <c r="AE9271">
        <v>0.17781730000000001</v>
      </c>
      <c r="AF9271">
        <v>667.91930000000002</v>
      </c>
      <c r="AG9271">
        <f>IFERROR(AH9271*0.1, "N/A")</f>
        <v>4.7207020000000002</v>
      </c>
      <c r="AH9271">
        <v>47.20702</v>
      </c>
      <c r="AI9271">
        <v>194.1996</v>
      </c>
      <c r="AJ9271">
        <v>45</v>
      </c>
      <c r="AK9271">
        <v>46.059649999999998</v>
      </c>
    </row>
    <row r="9272" spans="1:37" x14ac:dyDescent="0.3">
      <c r="A9272">
        <v>9271</v>
      </c>
      <c r="B9272">
        <v>0</v>
      </c>
      <c r="C9272">
        <v>12</v>
      </c>
      <c r="D9272">
        <v>3.0944400000000001</v>
      </c>
      <c r="E9272" t="s">
        <v>14110</v>
      </c>
      <c r="F9272" t="s">
        <v>14111</v>
      </c>
      <c r="G9272" t="s">
        <v>39</v>
      </c>
      <c r="H9272">
        <v>1990</v>
      </c>
      <c r="I9272">
        <v>23.6</v>
      </c>
      <c r="J9272">
        <v>9.1999999999999993</v>
      </c>
      <c r="K9272">
        <v>82</v>
      </c>
      <c r="L9272">
        <v>6.5050619999999997</v>
      </c>
      <c r="M9272">
        <v>29.6</v>
      </c>
      <c r="N9272">
        <v>18.399999999999999</v>
      </c>
      <c r="O9272">
        <v>11.2</v>
      </c>
      <c r="P9272">
        <v>23.3</v>
      </c>
      <c r="Q9272">
        <v>23.977329999999998</v>
      </c>
      <c r="R9272">
        <v>24.4</v>
      </c>
      <c r="S9272">
        <v>22.7</v>
      </c>
      <c r="T9272">
        <v>1667.68</v>
      </c>
      <c r="U9272">
        <v>282</v>
      </c>
      <c r="V9272">
        <v>37</v>
      </c>
      <c r="W9272">
        <v>55</v>
      </c>
      <c r="X9272">
        <v>659.22670000000005</v>
      </c>
      <c r="Y9272">
        <v>130</v>
      </c>
      <c r="Z9272">
        <v>395.22669999999999</v>
      </c>
      <c r="AA9272">
        <v>404</v>
      </c>
      <c r="AB9272">
        <v>10.30547</v>
      </c>
      <c r="AC9272">
        <v>0.1346502</v>
      </c>
      <c r="AD9272">
        <v>6.3401329999999998</v>
      </c>
      <c r="AE9272">
        <v>0.1204831</v>
      </c>
      <c r="AF9272">
        <v>667.01760000000002</v>
      </c>
      <c r="AG9272">
        <f>IFERROR(AH9272*0.1, "N/A")</f>
        <v>5.2873460000000003</v>
      </c>
      <c r="AH9272">
        <v>52.873460000000001</v>
      </c>
      <c r="AI9272">
        <v>166.67590000000001</v>
      </c>
      <c r="AJ9272">
        <v>43.4833</v>
      </c>
      <c r="AK9272">
        <v>48.152900000000002</v>
      </c>
    </row>
    <row r="9273" spans="1:37" x14ac:dyDescent="0.3">
      <c r="A9273">
        <v>9272</v>
      </c>
      <c r="B9273">
        <v>0</v>
      </c>
      <c r="C9273">
        <v>12</v>
      </c>
      <c r="D9273">
        <v>3.0944400000000001</v>
      </c>
      <c r="E9273" t="s">
        <v>14110</v>
      </c>
      <c r="F9273" t="s">
        <v>14112</v>
      </c>
      <c r="G9273" t="s">
        <v>37</v>
      </c>
      <c r="H9273">
        <v>1990</v>
      </c>
      <c r="I9273">
        <v>23.6</v>
      </c>
      <c r="J9273">
        <v>9.1999999999999993</v>
      </c>
      <c r="K9273">
        <v>82</v>
      </c>
      <c r="L9273">
        <v>6.5050619999999997</v>
      </c>
      <c r="M9273">
        <v>29.6</v>
      </c>
      <c r="N9273">
        <v>18.399999999999999</v>
      </c>
      <c r="O9273">
        <v>11.2</v>
      </c>
      <c r="P9273">
        <v>23.3</v>
      </c>
      <c r="Q9273">
        <v>23.977329999999998</v>
      </c>
      <c r="R9273">
        <v>24.4</v>
      </c>
      <c r="S9273">
        <v>22.7</v>
      </c>
      <c r="T9273">
        <v>1667.68</v>
      </c>
      <c r="U9273">
        <v>282</v>
      </c>
      <c r="V9273">
        <v>37</v>
      </c>
      <c r="W9273">
        <v>55</v>
      </c>
      <c r="X9273">
        <v>659.22670000000005</v>
      </c>
      <c r="Y9273">
        <v>130</v>
      </c>
      <c r="Z9273">
        <v>395.22669999999999</v>
      </c>
      <c r="AA9273">
        <v>404</v>
      </c>
      <c r="AB9273">
        <v>10.30547</v>
      </c>
      <c r="AC9273">
        <v>0.1346502</v>
      </c>
      <c r="AD9273">
        <v>6.3401329999999998</v>
      </c>
      <c r="AE9273">
        <v>0.1204831</v>
      </c>
      <c r="AF9273">
        <v>667.01760000000002</v>
      </c>
      <c r="AG9273">
        <f>IFERROR(AH9273*0.1, "N/A")</f>
        <v>5.2873460000000003</v>
      </c>
      <c r="AH9273">
        <v>52.873460000000001</v>
      </c>
      <c r="AI9273">
        <v>166.67590000000001</v>
      </c>
      <c r="AJ9273">
        <v>43.4833</v>
      </c>
      <c r="AK9273">
        <v>48.152900000000002</v>
      </c>
    </row>
    <row r="9274" spans="1:37" x14ac:dyDescent="0.3">
      <c r="A9274">
        <v>9273</v>
      </c>
      <c r="B9274">
        <v>0</v>
      </c>
      <c r="C9274">
        <v>12</v>
      </c>
      <c r="D9274">
        <v>3.0944400000000001</v>
      </c>
      <c r="E9274" t="s">
        <v>14110</v>
      </c>
      <c r="F9274" t="s">
        <v>14113</v>
      </c>
      <c r="G9274" t="s">
        <v>2420</v>
      </c>
      <c r="H9274">
        <v>1990</v>
      </c>
      <c r="I9274">
        <v>23.6</v>
      </c>
      <c r="J9274">
        <v>9.1999999999999993</v>
      </c>
      <c r="K9274">
        <v>82</v>
      </c>
      <c r="L9274">
        <v>6.5050619999999997</v>
      </c>
      <c r="M9274">
        <v>29.6</v>
      </c>
      <c r="N9274">
        <v>18.399999999999999</v>
      </c>
      <c r="O9274">
        <v>11.2</v>
      </c>
      <c r="P9274">
        <v>23.3</v>
      </c>
      <c r="Q9274">
        <v>23.977329999999998</v>
      </c>
      <c r="R9274">
        <v>24.4</v>
      </c>
      <c r="S9274">
        <v>22.7</v>
      </c>
      <c r="T9274">
        <v>1667.68</v>
      </c>
      <c r="U9274">
        <v>282</v>
      </c>
      <c r="V9274">
        <v>37</v>
      </c>
      <c r="W9274">
        <v>55</v>
      </c>
      <c r="X9274">
        <v>659.22670000000005</v>
      </c>
      <c r="Y9274">
        <v>130</v>
      </c>
      <c r="Z9274">
        <v>395.22669999999999</v>
      </c>
      <c r="AA9274">
        <v>404</v>
      </c>
      <c r="AB9274">
        <v>10.30547</v>
      </c>
      <c r="AC9274">
        <v>0.1346502</v>
      </c>
      <c r="AD9274">
        <v>6.3401329999999998</v>
      </c>
      <c r="AE9274">
        <v>0.1204831</v>
      </c>
      <c r="AF9274">
        <v>667.01760000000002</v>
      </c>
      <c r="AG9274">
        <f>IFERROR(AH9274*0.1, "N/A")</f>
        <v>5.2873460000000003</v>
      </c>
      <c r="AH9274">
        <v>52.873460000000001</v>
      </c>
      <c r="AI9274">
        <v>166.67590000000001</v>
      </c>
      <c r="AJ9274">
        <v>43.4833</v>
      </c>
      <c r="AK9274">
        <v>48.152900000000002</v>
      </c>
    </row>
    <row r="9275" spans="1:37" x14ac:dyDescent="0.3">
      <c r="A9275">
        <v>9274</v>
      </c>
      <c r="B9275">
        <v>5</v>
      </c>
      <c r="C9275">
        <v>12.238899999999999</v>
      </c>
      <c r="D9275">
        <v>3.1166700000000001</v>
      </c>
      <c r="E9275" t="s">
        <v>14114</v>
      </c>
      <c r="F9275" t="s">
        <v>14115</v>
      </c>
      <c r="G9275" t="s">
        <v>39</v>
      </c>
      <c r="H9275">
        <v>1990</v>
      </c>
      <c r="I9275">
        <v>23.715109999999999</v>
      </c>
      <c r="J9275">
        <v>9.3151139999999995</v>
      </c>
      <c r="K9275">
        <v>83</v>
      </c>
      <c r="L9275">
        <v>5.8434799999999996</v>
      </c>
      <c r="M9275">
        <v>29.815110000000001</v>
      </c>
      <c r="N9275">
        <v>18.600000000000001</v>
      </c>
      <c r="O9275">
        <v>11.215109999999999</v>
      </c>
      <c r="P9275">
        <v>23.5</v>
      </c>
      <c r="Q9275">
        <v>23.930230000000002</v>
      </c>
      <c r="R9275">
        <v>24.415109999999999</v>
      </c>
      <c r="S9275">
        <v>22.9</v>
      </c>
      <c r="T9275">
        <v>1642</v>
      </c>
      <c r="U9275">
        <v>282</v>
      </c>
      <c r="V9275">
        <v>34.151139999999998</v>
      </c>
      <c r="W9275">
        <v>56</v>
      </c>
      <c r="X9275">
        <v>654</v>
      </c>
      <c r="Y9275">
        <v>122</v>
      </c>
      <c r="Z9275">
        <v>380.84890000000001</v>
      </c>
      <c r="AA9275">
        <v>409</v>
      </c>
      <c r="AB9275">
        <v>29.552389999999999</v>
      </c>
      <c r="AC9275">
        <v>3.6046950000000001E-2</v>
      </c>
      <c r="AD9275">
        <v>5.1451690000000001</v>
      </c>
      <c r="AE9275">
        <v>0.24777070000000001</v>
      </c>
      <c r="AF9275">
        <v>670.38310000000001</v>
      </c>
      <c r="AG9275">
        <f>IFERROR(AH9275*0.1, "N/A")</f>
        <v>5.0184530000000009</v>
      </c>
      <c r="AH9275">
        <v>50.184530000000002</v>
      </c>
      <c r="AI9275">
        <v>228.511</v>
      </c>
      <c r="AJ9275">
        <v>41.117750000000001</v>
      </c>
      <c r="AK9275">
        <v>49.284709999999997</v>
      </c>
    </row>
    <row r="9276" spans="1:37" x14ac:dyDescent="0.3">
      <c r="A9276">
        <v>9275</v>
      </c>
      <c r="B9276">
        <v>0</v>
      </c>
      <c r="C9276">
        <v>12.238899999999999</v>
      </c>
      <c r="D9276">
        <v>3.1166700000000001</v>
      </c>
      <c r="E9276" t="s">
        <v>14114</v>
      </c>
      <c r="F9276" t="s">
        <v>14116</v>
      </c>
      <c r="G9276" t="s">
        <v>37</v>
      </c>
      <c r="H9276">
        <v>1990</v>
      </c>
      <c r="I9276">
        <v>23.715109999999999</v>
      </c>
      <c r="J9276">
        <v>9.3151139999999995</v>
      </c>
      <c r="K9276">
        <v>83</v>
      </c>
      <c r="L9276">
        <v>5.8434799999999996</v>
      </c>
      <c r="M9276">
        <v>29.815110000000001</v>
      </c>
      <c r="N9276">
        <v>18.600000000000001</v>
      </c>
      <c r="O9276">
        <v>11.215109999999999</v>
      </c>
      <c r="P9276">
        <v>23.5</v>
      </c>
      <c r="Q9276">
        <v>23.930230000000002</v>
      </c>
      <c r="R9276">
        <v>24.415109999999999</v>
      </c>
      <c r="S9276">
        <v>22.9</v>
      </c>
      <c r="T9276">
        <v>1642</v>
      </c>
      <c r="U9276">
        <v>282</v>
      </c>
      <c r="V9276">
        <v>34.151139999999998</v>
      </c>
      <c r="W9276">
        <v>56</v>
      </c>
      <c r="X9276">
        <v>654</v>
      </c>
      <c r="Y9276">
        <v>122</v>
      </c>
      <c r="Z9276">
        <v>380.84890000000001</v>
      </c>
      <c r="AA9276">
        <v>409</v>
      </c>
      <c r="AB9276">
        <v>29.552389999999999</v>
      </c>
      <c r="AC9276">
        <v>3.6046950000000001E-2</v>
      </c>
      <c r="AD9276">
        <v>5.1451690000000001</v>
      </c>
      <c r="AE9276">
        <v>0.24777070000000001</v>
      </c>
      <c r="AF9276">
        <v>670.38310000000001</v>
      </c>
      <c r="AG9276">
        <f>IFERROR(AH9276*0.1, "N/A")</f>
        <v>5.0184530000000009</v>
      </c>
      <c r="AH9276">
        <v>50.184530000000002</v>
      </c>
      <c r="AI9276">
        <v>228.511</v>
      </c>
      <c r="AJ9276">
        <v>41.117750000000001</v>
      </c>
      <c r="AK9276">
        <v>49.284709999999997</v>
      </c>
    </row>
    <row r="9277" spans="1:37" x14ac:dyDescent="0.3">
      <c r="A9277">
        <v>9276</v>
      </c>
      <c r="B9277">
        <v>0</v>
      </c>
      <c r="C9277">
        <v>12.238899999999999</v>
      </c>
      <c r="D9277">
        <v>3.1166700000000001</v>
      </c>
      <c r="E9277" t="s">
        <v>14114</v>
      </c>
      <c r="F9277" t="s">
        <v>14117</v>
      </c>
      <c r="G9277" t="s">
        <v>2420</v>
      </c>
      <c r="H9277">
        <v>1990</v>
      </c>
      <c r="I9277">
        <v>23.715109999999999</v>
      </c>
      <c r="J9277">
        <v>9.3151139999999995</v>
      </c>
      <c r="K9277">
        <v>83</v>
      </c>
      <c r="L9277">
        <v>5.8434799999999996</v>
      </c>
      <c r="M9277">
        <v>29.815110000000001</v>
      </c>
      <c r="N9277">
        <v>18.600000000000001</v>
      </c>
      <c r="O9277">
        <v>11.215109999999999</v>
      </c>
      <c r="P9277">
        <v>23.5</v>
      </c>
      <c r="Q9277">
        <v>23.930230000000002</v>
      </c>
      <c r="R9277">
        <v>24.415109999999999</v>
      </c>
      <c r="S9277">
        <v>22.9</v>
      </c>
      <c r="T9277">
        <v>1642</v>
      </c>
      <c r="U9277">
        <v>282</v>
      </c>
      <c r="V9277">
        <v>34.151139999999998</v>
      </c>
      <c r="W9277">
        <v>56</v>
      </c>
      <c r="X9277">
        <v>654</v>
      </c>
      <c r="Y9277">
        <v>122</v>
      </c>
      <c r="Z9277">
        <v>380.84890000000001</v>
      </c>
      <c r="AA9277">
        <v>409</v>
      </c>
      <c r="AB9277">
        <v>29.552389999999999</v>
      </c>
      <c r="AC9277">
        <v>3.6046950000000001E-2</v>
      </c>
      <c r="AD9277">
        <v>5.1451690000000001</v>
      </c>
      <c r="AE9277">
        <v>0.24777070000000001</v>
      </c>
      <c r="AF9277">
        <v>670.38310000000001</v>
      </c>
      <c r="AG9277">
        <f>IFERROR(AH9277*0.1, "N/A")</f>
        <v>5.0184530000000009</v>
      </c>
      <c r="AH9277">
        <v>50.184530000000002</v>
      </c>
      <c r="AI9277">
        <v>228.511</v>
      </c>
      <c r="AJ9277">
        <v>41.117750000000001</v>
      </c>
      <c r="AK9277">
        <v>49.284709999999997</v>
      </c>
    </row>
    <row r="9278" spans="1:37" x14ac:dyDescent="0.3">
      <c r="A9278">
        <v>9277</v>
      </c>
      <c r="B9278">
        <v>2.2000000000000002</v>
      </c>
      <c r="C9278">
        <v>13.775</v>
      </c>
      <c r="D9278">
        <v>3.14167</v>
      </c>
      <c r="E9278" t="s">
        <v>14118</v>
      </c>
      <c r="F9278" t="s">
        <v>14119</v>
      </c>
      <c r="G9278" t="s">
        <v>39</v>
      </c>
      <c r="H9278">
        <v>1990</v>
      </c>
      <c r="I9278">
        <v>23.451319999999999</v>
      </c>
      <c r="J9278">
        <v>9.9</v>
      </c>
      <c r="K9278">
        <v>79</v>
      </c>
      <c r="L9278">
        <v>5.446942</v>
      </c>
      <c r="M9278">
        <v>30.151319999999998</v>
      </c>
      <c r="N9278">
        <v>17.7</v>
      </c>
      <c r="O9278">
        <v>12.451320000000001</v>
      </c>
      <c r="P9278">
        <v>23.451319999999999</v>
      </c>
      <c r="Q9278">
        <v>23.151319999999998</v>
      </c>
      <c r="R9278">
        <v>24.151319999999998</v>
      </c>
      <c r="S9278">
        <v>22.924250000000001</v>
      </c>
      <c r="T9278">
        <v>1620.9069999999999</v>
      </c>
      <c r="U9278">
        <v>280.28300000000002</v>
      </c>
      <c r="V9278">
        <v>33</v>
      </c>
      <c r="W9278">
        <v>52</v>
      </c>
      <c r="X9278">
        <v>627.28300000000002</v>
      </c>
      <c r="Y9278">
        <v>122.2039</v>
      </c>
      <c r="Z9278">
        <v>506.20389999999998</v>
      </c>
      <c r="AA9278">
        <v>382.72579999999999</v>
      </c>
      <c r="AB9278">
        <v>26.31635</v>
      </c>
      <c r="AC9278">
        <v>9.1052849999999994E-3</v>
      </c>
      <c r="AD9278">
        <v>3.2310850000000002</v>
      </c>
      <c r="AE9278">
        <v>0.11710180000000001</v>
      </c>
      <c r="AF9278">
        <v>618.61689999999999</v>
      </c>
      <c r="AG9278">
        <f>IFERROR(AH9278*0.1, "N/A")</f>
        <v>4.9000000000000004</v>
      </c>
      <c r="AH9278">
        <v>49</v>
      </c>
      <c r="AI9278">
        <v>227.67240000000001</v>
      </c>
      <c r="AJ9278">
        <v>40.28295</v>
      </c>
      <c r="AK9278">
        <v>52</v>
      </c>
    </row>
    <row r="9279" spans="1:37" x14ac:dyDescent="0.3">
      <c r="A9279">
        <v>9278</v>
      </c>
      <c r="B9279">
        <v>0</v>
      </c>
      <c r="C9279">
        <v>13.775</v>
      </c>
      <c r="D9279">
        <v>3.14167</v>
      </c>
      <c r="E9279" t="s">
        <v>14118</v>
      </c>
      <c r="F9279" t="s">
        <v>14120</v>
      </c>
      <c r="G9279" t="s">
        <v>37</v>
      </c>
      <c r="H9279">
        <v>1990</v>
      </c>
      <c r="I9279">
        <v>23.451319999999999</v>
      </c>
      <c r="J9279">
        <v>9.9</v>
      </c>
      <c r="K9279">
        <v>79</v>
      </c>
      <c r="L9279">
        <v>5.446942</v>
      </c>
      <c r="M9279">
        <v>30.151319999999998</v>
      </c>
      <c r="N9279">
        <v>17.7</v>
      </c>
      <c r="O9279">
        <v>12.451320000000001</v>
      </c>
      <c r="P9279">
        <v>23.451319999999999</v>
      </c>
      <c r="Q9279">
        <v>23.151319999999998</v>
      </c>
      <c r="R9279">
        <v>24.151319999999998</v>
      </c>
      <c r="S9279">
        <v>22.924250000000001</v>
      </c>
      <c r="T9279">
        <v>1620.9069999999999</v>
      </c>
      <c r="U9279">
        <v>280.28300000000002</v>
      </c>
      <c r="V9279">
        <v>33</v>
      </c>
      <c r="W9279">
        <v>52</v>
      </c>
      <c r="X9279">
        <v>627.28300000000002</v>
      </c>
      <c r="Y9279">
        <v>122.2039</v>
      </c>
      <c r="Z9279">
        <v>506.20389999999998</v>
      </c>
      <c r="AA9279">
        <v>382.72579999999999</v>
      </c>
      <c r="AB9279">
        <v>26.31635</v>
      </c>
      <c r="AC9279">
        <v>9.1052849999999994E-3</v>
      </c>
      <c r="AD9279">
        <v>3.2310850000000002</v>
      </c>
      <c r="AE9279">
        <v>0.11710180000000001</v>
      </c>
      <c r="AF9279">
        <v>618.61689999999999</v>
      </c>
      <c r="AG9279">
        <f>IFERROR(AH9279*0.1, "N/A")</f>
        <v>4.9000000000000004</v>
      </c>
      <c r="AH9279">
        <v>49</v>
      </c>
      <c r="AI9279">
        <v>227.67240000000001</v>
      </c>
      <c r="AJ9279">
        <v>40.28295</v>
      </c>
      <c r="AK9279">
        <v>52</v>
      </c>
    </row>
    <row r="9280" spans="1:37" x14ac:dyDescent="0.3">
      <c r="A9280">
        <v>9279</v>
      </c>
      <c r="B9280">
        <v>0</v>
      </c>
      <c r="C9280">
        <v>13.775</v>
      </c>
      <c r="D9280">
        <v>3.14167</v>
      </c>
      <c r="E9280" t="s">
        <v>14118</v>
      </c>
      <c r="F9280" t="s">
        <v>14121</v>
      </c>
      <c r="G9280" t="s">
        <v>2420</v>
      </c>
      <c r="H9280">
        <v>1990</v>
      </c>
      <c r="I9280">
        <v>23.451319999999999</v>
      </c>
      <c r="J9280">
        <v>9.9</v>
      </c>
      <c r="K9280">
        <v>79</v>
      </c>
      <c r="L9280">
        <v>5.446942</v>
      </c>
      <c r="M9280">
        <v>30.151319999999998</v>
      </c>
      <c r="N9280">
        <v>17.7</v>
      </c>
      <c r="O9280">
        <v>12.451320000000001</v>
      </c>
      <c r="P9280">
        <v>23.451319999999999</v>
      </c>
      <c r="Q9280">
        <v>23.151319999999998</v>
      </c>
      <c r="R9280">
        <v>24.151319999999998</v>
      </c>
      <c r="S9280">
        <v>22.924250000000001</v>
      </c>
      <c r="T9280">
        <v>1620.9069999999999</v>
      </c>
      <c r="U9280">
        <v>280.28300000000002</v>
      </c>
      <c r="V9280">
        <v>33</v>
      </c>
      <c r="W9280">
        <v>52</v>
      </c>
      <c r="X9280">
        <v>627.28300000000002</v>
      </c>
      <c r="Y9280">
        <v>122.2039</v>
      </c>
      <c r="Z9280">
        <v>506.20389999999998</v>
      </c>
      <c r="AA9280">
        <v>382.72579999999999</v>
      </c>
      <c r="AB9280">
        <v>26.31635</v>
      </c>
      <c r="AC9280">
        <v>9.1052849999999994E-3</v>
      </c>
      <c r="AD9280">
        <v>3.2310850000000002</v>
      </c>
      <c r="AE9280">
        <v>0.11710180000000001</v>
      </c>
      <c r="AF9280">
        <v>618.61689999999999</v>
      </c>
      <c r="AG9280">
        <f>IFERROR(AH9280*0.1, "N/A")</f>
        <v>4.9000000000000004</v>
      </c>
      <c r="AH9280">
        <v>49</v>
      </c>
      <c r="AI9280">
        <v>227.67240000000001</v>
      </c>
      <c r="AJ9280">
        <v>40.28295</v>
      </c>
      <c r="AK9280">
        <v>52</v>
      </c>
    </row>
    <row r="9281" spans="1:37" x14ac:dyDescent="0.3">
      <c r="A9281">
        <v>9280</v>
      </c>
      <c r="B9281">
        <v>0</v>
      </c>
      <c r="C9281">
        <v>13.644399999999999</v>
      </c>
      <c r="D9281">
        <v>3.14167</v>
      </c>
      <c r="E9281" t="s">
        <v>14122</v>
      </c>
      <c r="F9281" t="s">
        <v>14123</v>
      </c>
      <c r="G9281" t="s">
        <v>39</v>
      </c>
      <c r="H9281">
        <v>1990</v>
      </c>
      <c r="I9281">
        <v>23.37293</v>
      </c>
      <c r="J9281">
        <v>9.627065</v>
      </c>
      <c r="K9281">
        <v>79.270650000000003</v>
      </c>
      <c r="L9281">
        <v>5.1437609999999996</v>
      </c>
      <c r="M9281">
        <v>29.972930000000002</v>
      </c>
      <c r="N9281">
        <v>17.87293</v>
      </c>
      <c r="O9281">
        <v>12.1</v>
      </c>
      <c r="P9281">
        <v>23.37293</v>
      </c>
      <c r="Q9281">
        <v>23.072939999999999</v>
      </c>
      <c r="R9281">
        <v>24.072939999999999</v>
      </c>
      <c r="S9281">
        <v>22.87293</v>
      </c>
      <c r="T9281">
        <v>1631</v>
      </c>
      <c r="U9281">
        <v>287</v>
      </c>
      <c r="V9281">
        <v>32</v>
      </c>
      <c r="W9281">
        <v>54</v>
      </c>
      <c r="X9281">
        <v>633</v>
      </c>
      <c r="Y9281">
        <v>117</v>
      </c>
      <c r="Z9281">
        <v>508</v>
      </c>
      <c r="AA9281">
        <v>373</v>
      </c>
      <c r="AB9281">
        <v>10.725989999999999</v>
      </c>
      <c r="AC9281">
        <v>1.8092410000000001</v>
      </c>
      <c r="AD9281">
        <v>5.2569840000000001</v>
      </c>
      <c r="AE9281">
        <v>0.11198130000000001</v>
      </c>
      <c r="AF9281">
        <v>621.62739999999997</v>
      </c>
      <c r="AG9281">
        <f>IFERROR(AH9281*0.1, "N/A")</f>
        <v>5.1000000000000005</v>
      </c>
      <c r="AH9281">
        <v>51</v>
      </c>
      <c r="AI9281">
        <v>202.14420000000001</v>
      </c>
      <c r="AJ9281">
        <v>39.014060000000001</v>
      </c>
      <c r="AK9281">
        <v>51.985939999999999</v>
      </c>
    </row>
    <row r="9282" spans="1:37" x14ac:dyDescent="0.3">
      <c r="A9282">
        <v>9281</v>
      </c>
      <c r="B9282">
        <v>0</v>
      </c>
      <c r="C9282">
        <v>13.644399999999999</v>
      </c>
      <c r="D9282">
        <v>3.14167</v>
      </c>
      <c r="E9282" t="s">
        <v>14122</v>
      </c>
      <c r="F9282" t="s">
        <v>14124</v>
      </c>
      <c r="G9282" t="s">
        <v>37</v>
      </c>
      <c r="H9282">
        <v>1990</v>
      </c>
      <c r="I9282">
        <v>23.37293</v>
      </c>
      <c r="J9282">
        <v>9.627065</v>
      </c>
      <c r="K9282">
        <v>79.270650000000003</v>
      </c>
      <c r="L9282">
        <v>5.1437609999999996</v>
      </c>
      <c r="M9282">
        <v>29.972930000000002</v>
      </c>
      <c r="N9282">
        <v>17.87293</v>
      </c>
      <c r="O9282">
        <v>12.1</v>
      </c>
      <c r="P9282">
        <v>23.37293</v>
      </c>
      <c r="Q9282">
        <v>23.072939999999999</v>
      </c>
      <c r="R9282">
        <v>24.072939999999999</v>
      </c>
      <c r="S9282">
        <v>22.87293</v>
      </c>
      <c r="T9282">
        <v>1631</v>
      </c>
      <c r="U9282">
        <v>287</v>
      </c>
      <c r="V9282">
        <v>32</v>
      </c>
      <c r="W9282">
        <v>54</v>
      </c>
      <c r="X9282">
        <v>633</v>
      </c>
      <c r="Y9282">
        <v>117</v>
      </c>
      <c r="Z9282">
        <v>508</v>
      </c>
      <c r="AA9282">
        <v>373</v>
      </c>
      <c r="AB9282">
        <v>10.725989999999999</v>
      </c>
      <c r="AC9282">
        <v>1.8092410000000001</v>
      </c>
      <c r="AD9282">
        <v>5.2569840000000001</v>
      </c>
      <c r="AE9282">
        <v>0.11198130000000001</v>
      </c>
      <c r="AF9282">
        <v>621.62739999999997</v>
      </c>
      <c r="AG9282">
        <f>IFERROR(AH9282*0.1, "N/A")</f>
        <v>5.1000000000000005</v>
      </c>
      <c r="AH9282">
        <v>51</v>
      </c>
      <c r="AI9282">
        <v>202.14420000000001</v>
      </c>
      <c r="AJ9282">
        <v>39.014060000000001</v>
      </c>
      <c r="AK9282">
        <v>51.985939999999999</v>
      </c>
    </row>
    <row r="9283" spans="1:37" x14ac:dyDescent="0.3">
      <c r="A9283">
        <v>9282</v>
      </c>
      <c r="B9283">
        <v>0</v>
      </c>
      <c r="C9283">
        <v>13.644399999999999</v>
      </c>
      <c r="D9283">
        <v>3.14167</v>
      </c>
      <c r="E9283" t="s">
        <v>14122</v>
      </c>
      <c r="F9283" t="s">
        <v>14125</v>
      </c>
      <c r="G9283" t="s">
        <v>2420</v>
      </c>
      <c r="H9283">
        <v>1990</v>
      </c>
      <c r="I9283">
        <v>23.37293</v>
      </c>
      <c r="J9283">
        <v>9.627065</v>
      </c>
      <c r="K9283">
        <v>79.270650000000003</v>
      </c>
      <c r="L9283">
        <v>5.1437609999999996</v>
      </c>
      <c r="M9283">
        <v>29.972930000000002</v>
      </c>
      <c r="N9283">
        <v>17.87293</v>
      </c>
      <c r="O9283">
        <v>12.1</v>
      </c>
      <c r="P9283">
        <v>23.37293</v>
      </c>
      <c r="Q9283">
        <v>23.072939999999999</v>
      </c>
      <c r="R9283">
        <v>24.072939999999999</v>
      </c>
      <c r="S9283">
        <v>22.87293</v>
      </c>
      <c r="T9283">
        <v>1631</v>
      </c>
      <c r="U9283">
        <v>287</v>
      </c>
      <c r="V9283">
        <v>32</v>
      </c>
      <c r="W9283">
        <v>54</v>
      </c>
      <c r="X9283">
        <v>633</v>
      </c>
      <c r="Y9283">
        <v>117</v>
      </c>
      <c r="Z9283">
        <v>508</v>
      </c>
      <c r="AA9283">
        <v>373</v>
      </c>
      <c r="AB9283">
        <v>10.725989999999999</v>
      </c>
      <c r="AC9283">
        <v>1.8092410000000001</v>
      </c>
      <c r="AD9283">
        <v>5.2569840000000001</v>
      </c>
      <c r="AE9283">
        <v>0.11198130000000001</v>
      </c>
      <c r="AF9283">
        <v>621.62739999999997</v>
      </c>
      <c r="AG9283">
        <f>IFERROR(AH9283*0.1, "N/A")</f>
        <v>5.1000000000000005</v>
      </c>
      <c r="AH9283">
        <v>51</v>
      </c>
      <c r="AI9283">
        <v>202.14420000000001</v>
      </c>
      <c r="AJ9283">
        <v>39.014060000000001</v>
      </c>
      <c r="AK9283">
        <v>51.985939999999999</v>
      </c>
    </row>
    <row r="9284" spans="1:37" x14ac:dyDescent="0.3">
      <c r="A9284">
        <v>9283</v>
      </c>
      <c r="B9284">
        <v>0</v>
      </c>
      <c r="C9284">
        <v>15.0556</v>
      </c>
      <c r="D9284">
        <v>3.1444399999999999</v>
      </c>
      <c r="E9284" t="s">
        <v>14126</v>
      </c>
      <c r="F9284" t="s">
        <v>14127</v>
      </c>
      <c r="G9284" t="s">
        <v>39</v>
      </c>
      <c r="H9284">
        <v>1990</v>
      </c>
      <c r="I9284">
        <v>24.2</v>
      </c>
      <c r="J9284">
        <v>10.8</v>
      </c>
      <c r="K9284">
        <v>81</v>
      </c>
      <c r="L9284">
        <v>5.54</v>
      </c>
      <c r="M9284">
        <v>30.9</v>
      </c>
      <c r="N9284">
        <v>17.7</v>
      </c>
      <c r="O9284">
        <v>13.2</v>
      </c>
      <c r="P9284">
        <v>24</v>
      </c>
      <c r="Q9284">
        <v>24</v>
      </c>
      <c r="R9284">
        <v>24.9</v>
      </c>
      <c r="S9284">
        <v>23.5</v>
      </c>
      <c r="T9284">
        <v>1611</v>
      </c>
      <c r="U9284">
        <v>238</v>
      </c>
      <c r="V9284">
        <v>27</v>
      </c>
      <c r="W9284">
        <v>45</v>
      </c>
      <c r="X9284">
        <v>597</v>
      </c>
      <c r="Y9284">
        <v>137</v>
      </c>
      <c r="Z9284">
        <v>490</v>
      </c>
      <c r="AA9284">
        <v>468</v>
      </c>
      <c r="AB9284">
        <v>12.299300000000001</v>
      </c>
      <c r="AC9284">
        <v>1.7295499999999998E-2</v>
      </c>
      <c r="AD9284">
        <v>5.0059740000000001</v>
      </c>
      <c r="AE9284">
        <v>9.7934679999999996E-2</v>
      </c>
      <c r="AF9284">
        <v>504.08960000000002</v>
      </c>
      <c r="AG9284">
        <f>IFERROR(AH9284*0.1, "N/A")</f>
        <v>5.3889279999999999</v>
      </c>
      <c r="AH9284">
        <v>53.889279999999999</v>
      </c>
      <c r="AI9284">
        <v>89.847099999999998</v>
      </c>
      <c r="AJ9284">
        <v>37.778559999999999</v>
      </c>
      <c r="AK9284">
        <v>49.110720000000001</v>
      </c>
    </row>
    <row r="9285" spans="1:37" x14ac:dyDescent="0.3">
      <c r="A9285">
        <v>9284</v>
      </c>
      <c r="B9285">
        <v>0</v>
      </c>
      <c r="C9285">
        <v>15.0556</v>
      </c>
      <c r="D9285">
        <v>3.1444399999999999</v>
      </c>
      <c r="E9285" t="s">
        <v>14126</v>
      </c>
      <c r="F9285" t="s">
        <v>14128</v>
      </c>
      <c r="G9285" t="s">
        <v>37</v>
      </c>
      <c r="H9285">
        <v>1990</v>
      </c>
      <c r="I9285">
        <v>24.2</v>
      </c>
      <c r="J9285">
        <v>10.8</v>
      </c>
      <c r="K9285">
        <v>81</v>
      </c>
      <c r="L9285">
        <v>5.54</v>
      </c>
      <c r="M9285">
        <v>30.9</v>
      </c>
      <c r="N9285">
        <v>17.7</v>
      </c>
      <c r="O9285">
        <v>13.2</v>
      </c>
      <c r="P9285">
        <v>24</v>
      </c>
      <c r="Q9285">
        <v>24</v>
      </c>
      <c r="R9285">
        <v>24.9</v>
      </c>
      <c r="S9285">
        <v>23.5</v>
      </c>
      <c r="T9285">
        <v>1611</v>
      </c>
      <c r="U9285">
        <v>238</v>
      </c>
      <c r="V9285">
        <v>27</v>
      </c>
      <c r="W9285">
        <v>45</v>
      </c>
      <c r="X9285">
        <v>597</v>
      </c>
      <c r="Y9285">
        <v>137</v>
      </c>
      <c r="Z9285">
        <v>490</v>
      </c>
      <c r="AA9285">
        <v>468</v>
      </c>
      <c r="AB9285">
        <v>12.299300000000001</v>
      </c>
      <c r="AC9285">
        <v>1.7295499999999998E-2</v>
      </c>
      <c r="AD9285">
        <v>5.0059740000000001</v>
      </c>
      <c r="AE9285">
        <v>9.7934679999999996E-2</v>
      </c>
      <c r="AF9285">
        <v>504.08960000000002</v>
      </c>
      <c r="AG9285">
        <f>IFERROR(AH9285*0.1, "N/A")</f>
        <v>5.3889279999999999</v>
      </c>
      <c r="AH9285">
        <v>53.889279999999999</v>
      </c>
      <c r="AI9285">
        <v>89.847099999999998</v>
      </c>
      <c r="AJ9285">
        <v>37.778559999999999</v>
      </c>
      <c r="AK9285">
        <v>49.110720000000001</v>
      </c>
    </row>
    <row r="9286" spans="1:37" x14ac:dyDescent="0.3">
      <c r="A9286">
        <v>9285</v>
      </c>
      <c r="B9286">
        <v>0</v>
      </c>
      <c r="C9286">
        <v>15.0556</v>
      </c>
      <c r="D9286">
        <v>3.1444399999999999</v>
      </c>
      <c r="E9286" t="s">
        <v>14126</v>
      </c>
      <c r="F9286" t="s">
        <v>14129</v>
      </c>
      <c r="G9286" t="s">
        <v>2420</v>
      </c>
      <c r="H9286">
        <v>1990</v>
      </c>
      <c r="I9286">
        <v>24.2</v>
      </c>
      <c r="J9286">
        <v>10.8</v>
      </c>
      <c r="K9286">
        <v>81</v>
      </c>
      <c r="L9286">
        <v>5.54</v>
      </c>
      <c r="M9286">
        <v>30.9</v>
      </c>
      <c r="N9286">
        <v>17.7</v>
      </c>
      <c r="O9286">
        <v>13.2</v>
      </c>
      <c r="P9286">
        <v>24</v>
      </c>
      <c r="Q9286">
        <v>24</v>
      </c>
      <c r="R9286">
        <v>24.9</v>
      </c>
      <c r="S9286">
        <v>23.5</v>
      </c>
      <c r="T9286">
        <v>1611</v>
      </c>
      <c r="U9286">
        <v>238</v>
      </c>
      <c r="V9286">
        <v>27</v>
      </c>
      <c r="W9286">
        <v>45</v>
      </c>
      <c r="X9286">
        <v>597</v>
      </c>
      <c r="Y9286">
        <v>137</v>
      </c>
      <c r="Z9286">
        <v>490</v>
      </c>
      <c r="AA9286">
        <v>468</v>
      </c>
      <c r="AB9286">
        <v>12.299300000000001</v>
      </c>
      <c r="AC9286">
        <v>1.7295499999999998E-2</v>
      </c>
      <c r="AD9286">
        <v>5.0059740000000001</v>
      </c>
      <c r="AE9286">
        <v>9.7934679999999996E-2</v>
      </c>
      <c r="AF9286">
        <v>504.08960000000002</v>
      </c>
      <c r="AG9286">
        <f>IFERROR(AH9286*0.1, "N/A")</f>
        <v>5.3889279999999999</v>
      </c>
      <c r="AH9286">
        <v>53.889279999999999</v>
      </c>
      <c r="AI9286">
        <v>89.847099999999998</v>
      </c>
      <c r="AJ9286">
        <v>37.778559999999999</v>
      </c>
      <c r="AK9286">
        <v>49.110720000000001</v>
      </c>
    </row>
    <row r="9287" spans="1:37" x14ac:dyDescent="0.3">
      <c r="A9287">
        <v>9286</v>
      </c>
      <c r="B9287">
        <v>0</v>
      </c>
      <c r="C9287">
        <v>11.9444</v>
      </c>
      <c r="D9287">
        <v>3.1888899999999998</v>
      </c>
      <c r="E9287" t="s">
        <v>14130</v>
      </c>
      <c r="F9287" t="s">
        <v>14131</v>
      </c>
      <c r="G9287" t="s">
        <v>39</v>
      </c>
      <c r="H9287">
        <v>1990</v>
      </c>
      <c r="I9287">
        <v>23.8</v>
      </c>
      <c r="J9287">
        <v>9.1999999999999993</v>
      </c>
      <c r="K9287">
        <v>82</v>
      </c>
      <c r="L9287">
        <v>6.15</v>
      </c>
      <c r="M9287">
        <v>29.8</v>
      </c>
      <c r="N9287">
        <v>18.600000000000001</v>
      </c>
      <c r="O9287">
        <v>11.2</v>
      </c>
      <c r="P9287">
        <v>23.6</v>
      </c>
      <c r="Q9287">
        <v>24.2</v>
      </c>
      <c r="R9287">
        <v>24.5</v>
      </c>
      <c r="S9287">
        <v>23</v>
      </c>
      <c r="T9287">
        <v>1663</v>
      </c>
      <c r="U9287">
        <v>284</v>
      </c>
      <c r="V9287">
        <v>35</v>
      </c>
      <c r="W9287">
        <v>56</v>
      </c>
      <c r="X9287">
        <v>661</v>
      </c>
      <c r="Y9287">
        <v>126</v>
      </c>
      <c r="Z9287">
        <v>392</v>
      </c>
      <c r="AA9287">
        <v>403</v>
      </c>
      <c r="AB9287">
        <v>22.42352</v>
      </c>
      <c r="AC9287">
        <v>1.003487E-2</v>
      </c>
      <c r="AD9287">
        <v>2.3188140000000002</v>
      </c>
      <c r="AE9287">
        <v>0.1379252</v>
      </c>
      <c r="AF9287">
        <v>669.31809999999996</v>
      </c>
      <c r="AG9287">
        <f>IFERROR(AH9287*0.1, "N/A")</f>
        <v>4.850791000000001</v>
      </c>
      <c r="AH9287">
        <v>48.507910000000003</v>
      </c>
      <c r="AI9287">
        <v>238.9845</v>
      </c>
      <c r="AJ9287">
        <v>38</v>
      </c>
      <c r="AK9287">
        <v>54.159930000000003</v>
      </c>
    </row>
    <row r="9288" spans="1:37" x14ac:dyDescent="0.3">
      <c r="A9288">
        <v>9287</v>
      </c>
      <c r="B9288">
        <v>0</v>
      </c>
      <c r="C9288">
        <v>11.9444</v>
      </c>
      <c r="D9288">
        <v>3.1888899999999998</v>
      </c>
      <c r="E9288" t="s">
        <v>14130</v>
      </c>
      <c r="F9288" t="s">
        <v>14132</v>
      </c>
      <c r="G9288" t="s">
        <v>37</v>
      </c>
      <c r="H9288">
        <v>1990</v>
      </c>
      <c r="I9288">
        <v>23.8</v>
      </c>
      <c r="J9288">
        <v>9.1999999999999993</v>
      </c>
      <c r="K9288">
        <v>82</v>
      </c>
      <c r="L9288">
        <v>6.15</v>
      </c>
      <c r="M9288">
        <v>29.8</v>
      </c>
      <c r="N9288">
        <v>18.600000000000001</v>
      </c>
      <c r="O9288">
        <v>11.2</v>
      </c>
      <c r="P9288">
        <v>23.6</v>
      </c>
      <c r="Q9288">
        <v>24.2</v>
      </c>
      <c r="R9288">
        <v>24.5</v>
      </c>
      <c r="S9288">
        <v>23</v>
      </c>
      <c r="T9288">
        <v>1663</v>
      </c>
      <c r="U9288">
        <v>284</v>
      </c>
      <c r="V9288">
        <v>35</v>
      </c>
      <c r="W9288">
        <v>56</v>
      </c>
      <c r="X9288">
        <v>661</v>
      </c>
      <c r="Y9288">
        <v>126</v>
      </c>
      <c r="Z9288">
        <v>392</v>
      </c>
      <c r="AA9288">
        <v>403</v>
      </c>
      <c r="AB9288">
        <v>22.42352</v>
      </c>
      <c r="AC9288">
        <v>1.003487E-2</v>
      </c>
      <c r="AD9288">
        <v>2.3188140000000002</v>
      </c>
      <c r="AE9288">
        <v>0.1379252</v>
      </c>
      <c r="AF9288">
        <v>669.31809999999996</v>
      </c>
      <c r="AG9288">
        <f>IFERROR(AH9288*0.1, "N/A")</f>
        <v>4.850791000000001</v>
      </c>
      <c r="AH9288">
        <v>48.507910000000003</v>
      </c>
      <c r="AI9288">
        <v>238.9845</v>
      </c>
      <c r="AJ9288">
        <v>38</v>
      </c>
      <c r="AK9288">
        <v>54.159930000000003</v>
      </c>
    </row>
    <row r="9289" spans="1:37" x14ac:dyDescent="0.3">
      <c r="A9289">
        <v>9288</v>
      </c>
      <c r="B9289">
        <v>0</v>
      </c>
      <c r="C9289">
        <v>11.9444</v>
      </c>
      <c r="D9289">
        <v>3.1888899999999998</v>
      </c>
      <c r="E9289" t="s">
        <v>14130</v>
      </c>
      <c r="F9289" t="s">
        <v>14133</v>
      </c>
      <c r="G9289" t="s">
        <v>2420</v>
      </c>
      <c r="H9289">
        <v>1990</v>
      </c>
      <c r="I9289">
        <v>23.8</v>
      </c>
      <c r="J9289">
        <v>9.1999999999999993</v>
      </c>
      <c r="K9289">
        <v>82</v>
      </c>
      <c r="L9289">
        <v>6.15</v>
      </c>
      <c r="M9289">
        <v>29.8</v>
      </c>
      <c r="N9289">
        <v>18.600000000000001</v>
      </c>
      <c r="O9289">
        <v>11.2</v>
      </c>
      <c r="P9289">
        <v>23.6</v>
      </c>
      <c r="Q9289">
        <v>24.2</v>
      </c>
      <c r="R9289">
        <v>24.5</v>
      </c>
      <c r="S9289">
        <v>23</v>
      </c>
      <c r="T9289">
        <v>1663</v>
      </c>
      <c r="U9289">
        <v>284</v>
      </c>
      <c r="V9289">
        <v>35</v>
      </c>
      <c r="W9289">
        <v>56</v>
      </c>
      <c r="X9289">
        <v>661</v>
      </c>
      <c r="Y9289">
        <v>126</v>
      </c>
      <c r="Z9289">
        <v>392</v>
      </c>
      <c r="AA9289">
        <v>403</v>
      </c>
      <c r="AB9289">
        <v>22.42352</v>
      </c>
      <c r="AC9289">
        <v>1.003487E-2</v>
      </c>
      <c r="AD9289">
        <v>2.3188140000000002</v>
      </c>
      <c r="AE9289">
        <v>0.1379252</v>
      </c>
      <c r="AF9289">
        <v>669.31809999999996</v>
      </c>
      <c r="AG9289">
        <f>IFERROR(AH9289*0.1, "N/A")</f>
        <v>4.850791000000001</v>
      </c>
      <c r="AH9289">
        <v>48.507910000000003</v>
      </c>
      <c r="AI9289">
        <v>238.9845</v>
      </c>
      <c r="AJ9289">
        <v>38</v>
      </c>
      <c r="AK9289">
        <v>54.159930000000003</v>
      </c>
    </row>
    <row r="9290" spans="1:37" x14ac:dyDescent="0.3">
      <c r="A9290">
        <v>9289</v>
      </c>
      <c r="B9290">
        <v>0</v>
      </c>
      <c r="C9290">
        <v>11.583299999999999</v>
      </c>
      <c r="D9290">
        <v>3.2</v>
      </c>
      <c r="E9290" t="s">
        <v>14134</v>
      </c>
      <c r="F9290" t="s">
        <v>14135</v>
      </c>
      <c r="G9290" t="s">
        <v>37</v>
      </c>
      <c r="H9290">
        <v>1990</v>
      </c>
      <c r="I9290">
        <v>23.77223</v>
      </c>
      <c r="J9290">
        <v>8.9321610000000007</v>
      </c>
      <c r="K9290">
        <v>79.321619999999996</v>
      </c>
      <c r="L9290">
        <v>7.1256940000000002</v>
      </c>
      <c r="M9290">
        <v>29.672229999999999</v>
      </c>
      <c r="N9290">
        <v>18.47223</v>
      </c>
      <c r="O9290">
        <v>11.2</v>
      </c>
      <c r="P9290">
        <v>23.372229999999998</v>
      </c>
      <c r="Q9290">
        <v>24.20439</v>
      </c>
      <c r="R9290">
        <v>24.507560000000002</v>
      </c>
      <c r="S9290">
        <v>22.7</v>
      </c>
      <c r="T9290">
        <v>1726.114</v>
      </c>
      <c r="U9290">
        <v>298</v>
      </c>
      <c r="V9290">
        <v>34</v>
      </c>
      <c r="W9290">
        <v>57</v>
      </c>
      <c r="X9290">
        <v>685.95609999999999</v>
      </c>
      <c r="Y9290">
        <v>136</v>
      </c>
      <c r="Z9290">
        <v>424.27769999999998</v>
      </c>
      <c r="AA9290">
        <v>394.95609999999999</v>
      </c>
      <c r="AB9290">
        <v>11.61317</v>
      </c>
      <c r="AC9290">
        <v>6.8758369999999999E-2</v>
      </c>
      <c r="AD9290">
        <v>5.0931360000000003</v>
      </c>
      <c r="AE9290">
        <v>0.1717187</v>
      </c>
      <c r="AF9290">
        <v>669.71</v>
      </c>
      <c r="AG9290">
        <f>IFERROR(AH9290*0.1, "N/A")</f>
        <v>4.8142360000000002</v>
      </c>
      <c r="AH9290">
        <v>48.142359999999996</v>
      </c>
      <c r="AI9290">
        <v>76.191270000000003</v>
      </c>
      <c r="AJ9290">
        <v>36</v>
      </c>
      <c r="AK9290">
        <v>53.142359999999996</v>
      </c>
    </row>
    <row r="9291" spans="1:37" x14ac:dyDescent="0.3">
      <c r="A9291">
        <v>9290</v>
      </c>
      <c r="B9291">
        <v>3</v>
      </c>
      <c r="C9291">
        <v>11.583299999999999</v>
      </c>
      <c r="D9291">
        <v>3.2</v>
      </c>
      <c r="E9291" t="s">
        <v>14134</v>
      </c>
      <c r="F9291" t="s">
        <v>14136</v>
      </c>
      <c r="G9291" t="s">
        <v>2420</v>
      </c>
      <c r="H9291">
        <v>1990</v>
      </c>
      <c r="I9291">
        <v>23.77223</v>
      </c>
      <c r="J9291">
        <v>8.9321610000000007</v>
      </c>
      <c r="K9291">
        <v>79.321619999999996</v>
      </c>
      <c r="L9291">
        <v>7.1256940000000002</v>
      </c>
      <c r="M9291">
        <v>29.672229999999999</v>
      </c>
      <c r="N9291">
        <v>18.47223</v>
      </c>
      <c r="O9291">
        <v>11.2</v>
      </c>
      <c r="P9291">
        <v>23.372229999999998</v>
      </c>
      <c r="Q9291">
        <v>24.20439</v>
      </c>
      <c r="R9291">
        <v>24.507560000000002</v>
      </c>
      <c r="S9291">
        <v>22.7</v>
      </c>
      <c r="T9291">
        <v>1726.114</v>
      </c>
      <c r="U9291">
        <v>298</v>
      </c>
      <c r="V9291">
        <v>34</v>
      </c>
      <c r="W9291">
        <v>57</v>
      </c>
      <c r="X9291">
        <v>685.95609999999999</v>
      </c>
      <c r="Y9291">
        <v>136</v>
      </c>
      <c r="Z9291">
        <v>424.27769999999998</v>
      </c>
      <c r="AA9291">
        <v>394.95609999999999</v>
      </c>
      <c r="AB9291">
        <v>11.61317</v>
      </c>
      <c r="AC9291">
        <v>6.8758369999999999E-2</v>
      </c>
      <c r="AD9291">
        <v>5.0931360000000003</v>
      </c>
      <c r="AE9291">
        <v>0.1717187</v>
      </c>
      <c r="AF9291">
        <v>669.71</v>
      </c>
      <c r="AG9291">
        <f>IFERROR(AH9291*0.1, "N/A")</f>
        <v>4.8142360000000002</v>
      </c>
      <c r="AH9291">
        <v>48.142359999999996</v>
      </c>
      <c r="AI9291">
        <v>76.191270000000003</v>
      </c>
      <c r="AJ9291">
        <v>36</v>
      </c>
      <c r="AK9291">
        <v>53.142359999999996</v>
      </c>
    </row>
    <row r="9292" spans="1:37" x14ac:dyDescent="0.3">
      <c r="A9292">
        <v>9291</v>
      </c>
      <c r="B9292">
        <v>0</v>
      </c>
      <c r="C9292">
        <v>11.622199999999999</v>
      </c>
      <c r="D9292">
        <v>3.23889</v>
      </c>
      <c r="E9292" t="s">
        <v>14137</v>
      </c>
      <c r="F9292" t="s">
        <v>14138</v>
      </c>
      <c r="G9292" t="s">
        <v>37</v>
      </c>
      <c r="H9292">
        <v>1990</v>
      </c>
      <c r="I9292">
        <v>23.7</v>
      </c>
      <c r="J9292">
        <v>9</v>
      </c>
      <c r="K9292">
        <v>81</v>
      </c>
      <c r="L9292">
        <v>6.85</v>
      </c>
      <c r="M9292">
        <v>29.6</v>
      </c>
      <c r="N9292">
        <v>18.5</v>
      </c>
      <c r="O9292">
        <v>11.1</v>
      </c>
      <c r="P9292">
        <v>23.4</v>
      </c>
      <c r="Q9292">
        <v>24.2</v>
      </c>
      <c r="R9292">
        <v>24.5</v>
      </c>
      <c r="S9292">
        <v>22.7</v>
      </c>
      <c r="T9292">
        <v>1713</v>
      </c>
      <c r="U9292">
        <v>296</v>
      </c>
      <c r="V9292">
        <v>33</v>
      </c>
      <c r="W9292">
        <v>57</v>
      </c>
      <c r="X9292">
        <v>682</v>
      </c>
      <c r="Y9292">
        <v>132</v>
      </c>
      <c r="Z9292">
        <v>417</v>
      </c>
      <c r="AA9292">
        <v>398</v>
      </c>
      <c r="AB9292">
        <v>9.5414779999999997</v>
      </c>
      <c r="AC9292">
        <v>2.783828E-2</v>
      </c>
      <c r="AD9292">
        <v>4.8490089999999997</v>
      </c>
      <c r="AE9292">
        <v>0.1695875</v>
      </c>
      <c r="AF9292">
        <v>682.57119999999998</v>
      </c>
      <c r="AG9292">
        <f>IFERROR(AH9292*0.1, "N/A")</f>
        <v>4.9121270000000008</v>
      </c>
      <c r="AH9292">
        <v>49.121270000000003</v>
      </c>
      <c r="AI9292">
        <v>58.542119999999997</v>
      </c>
      <c r="AJ9292">
        <v>40.757469999999998</v>
      </c>
      <c r="AK9292">
        <v>49.878729999999997</v>
      </c>
    </row>
    <row r="9293" spans="1:37" x14ac:dyDescent="0.3">
      <c r="A9293">
        <v>9292</v>
      </c>
      <c r="B9293">
        <v>0</v>
      </c>
      <c r="C9293">
        <v>11.622199999999999</v>
      </c>
      <c r="D9293">
        <v>3.23889</v>
      </c>
      <c r="E9293" t="s">
        <v>14137</v>
      </c>
      <c r="F9293" t="s">
        <v>14139</v>
      </c>
      <c r="G9293" t="s">
        <v>2420</v>
      </c>
      <c r="H9293">
        <v>1990</v>
      </c>
      <c r="I9293">
        <v>23.7</v>
      </c>
      <c r="J9293">
        <v>9</v>
      </c>
      <c r="K9293">
        <v>81</v>
      </c>
      <c r="L9293">
        <v>6.85</v>
      </c>
      <c r="M9293">
        <v>29.6</v>
      </c>
      <c r="N9293">
        <v>18.5</v>
      </c>
      <c r="O9293">
        <v>11.1</v>
      </c>
      <c r="P9293">
        <v>23.4</v>
      </c>
      <c r="Q9293">
        <v>24.2</v>
      </c>
      <c r="R9293">
        <v>24.5</v>
      </c>
      <c r="S9293">
        <v>22.7</v>
      </c>
      <c r="T9293">
        <v>1713</v>
      </c>
      <c r="U9293">
        <v>296</v>
      </c>
      <c r="V9293">
        <v>33</v>
      </c>
      <c r="W9293">
        <v>57</v>
      </c>
      <c r="X9293">
        <v>682</v>
      </c>
      <c r="Y9293">
        <v>132</v>
      </c>
      <c r="Z9293">
        <v>417</v>
      </c>
      <c r="AA9293">
        <v>398</v>
      </c>
      <c r="AB9293">
        <v>9.5414779999999997</v>
      </c>
      <c r="AC9293">
        <v>2.783828E-2</v>
      </c>
      <c r="AD9293">
        <v>4.8490089999999997</v>
      </c>
      <c r="AE9293">
        <v>0.1695875</v>
      </c>
      <c r="AF9293">
        <v>682.57119999999998</v>
      </c>
      <c r="AG9293">
        <f>IFERROR(AH9293*0.1, "N/A")</f>
        <v>4.9121270000000008</v>
      </c>
      <c r="AH9293">
        <v>49.121270000000003</v>
      </c>
      <c r="AI9293">
        <v>58.542119999999997</v>
      </c>
      <c r="AJ9293">
        <v>40.757469999999998</v>
      </c>
      <c r="AK9293">
        <v>49.878729999999997</v>
      </c>
    </row>
    <row r="9294" spans="1:37" x14ac:dyDescent="0.3">
      <c r="A9294">
        <v>9293</v>
      </c>
      <c r="B9294">
        <v>1.5</v>
      </c>
      <c r="C9294">
        <v>11.8833</v>
      </c>
      <c r="D9294">
        <v>3.25</v>
      </c>
      <c r="E9294" t="s">
        <v>14140</v>
      </c>
      <c r="F9294" t="s">
        <v>14141</v>
      </c>
      <c r="G9294" t="s">
        <v>39</v>
      </c>
      <c r="H9294">
        <v>1990</v>
      </c>
      <c r="I9294">
        <v>23.847449999999998</v>
      </c>
      <c r="J9294">
        <v>9.1474519999999995</v>
      </c>
      <c r="K9294">
        <v>81.539540000000002</v>
      </c>
      <c r="L9294">
        <v>6.2284179999999996</v>
      </c>
      <c r="M9294">
        <v>29.793500000000002</v>
      </c>
      <c r="N9294">
        <v>18.7</v>
      </c>
      <c r="O9294">
        <v>11.093500000000001</v>
      </c>
      <c r="P9294">
        <v>23.50141</v>
      </c>
      <c r="Q9294">
        <v>24.157820000000001</v>
      </c>
      <c r="R9294">
        <v>24.593499999999999</v>
      </c>
      <c r="S9294">
        <v>22.94745</v>
      </c>
      <c r="T9294">
        <v>1665.299</v>
      </c>
      <c r="U9294">
        <v>286.065</v>
      </c>
      <c r="V9294">
        <v>33</v>
      </c>
      <c r="W9294">
        <v>57</v>
      </c>
      <c r="X9294">
        <v>663.48680000000002</v>
      </c>
      <c r="Y9294">
        <v>124</v>
      </c>
      <c r="Z9294">
        <v>393.1687</v>
      </c>
      <c r="AA9294">
        <v>403.42180000000002</v>
      </c>
      <c r="AB9294">
        <v>19.20318</v>
      </c>
      <c r="AC9294">
        <v>1.9468579999999999E-2</v>
      </c>
      <c r="AD9294">
        <v>4.6594179999999996</v>
      </c>
      <c r="AE9294">
        <v>0.45233109999999999</v>
      </c>
      <c r="AF9294">
        <v>670.18629999999996</v>
      </c>
      <c r="AG9294">
        <f>IFERROR(AH9294*0.1, "N/A")</f>
        <v>5.3311070000000003</v>
      </c>
      <c r="AH9294">
        <v>53.311070000000001</v>
      </c>
      <c r="AI9294">
        <v>213.6388</v>
      </c>
      <c r="AJ9294">
        <v>31.391919999999999</v>
      </c>
      <c r="AK9294">
        <v>57.121270000000003</v>
      </c>
    </row>
    <row r="9295" spans="1:37" x14ac:dyDescent="0.3">
      <c r="A9295">
        <v>9294</v>
      </c>
      <c r="B9295">
        <v>4.8</v>
      </c>
      <c r="C9295">
        <v>11.8833</v>
      </c>
      <c r="D9295">
        <v>3.25</v>
      </c>
      <c r="E9295" t="s">
        <v>14140</v>
      </c>
      <c r="F9295" t="s">
        <v>14142</v>
      </c>
      <c r="G9295" t="s">
        <v>37</v>
      </c>
      <c r="H9295">
        <v>1990</v>
      </c>
      <c r="I9295">
        <v>23.847449999999998</v>
      </c>
      <c r="J9295">
        <v>9.1474519999999995</v>
      </c>
      <c r="K9295">
        <v>81.539540000000002</v>
      </c>
      <c r="L9295">
        <v>6.2284179999999996</v>
      </c>
      <c r="M9295">
        <v>29.793500000000002</v>
      </c>
      <c r="N9295">
        <v>18.7</v>
      </c>
      <c r="O9295">
        <v>11.093500000000001</v>
      </c>
      <c r="P9295">
        <v>23.50141</v>
      </c>
      <c r="Q9295">
        <v>24.157820000000001</v>
      </c>
      <c r="R9295">
        <v>24.593499999999999</v>
      </c>
      <c r="S9295">
        <v>22.94745</v>
      </c>
      <c r="T9295">
        <v>1665.299</v>
      </c>
      <c r="U9295">
        <v>286.065</v>
      </c>
      <c r="V9295">
        <v>33</v>
      </c>
      <c r="W9295">
        <v>57</v>
      </c>
      <c r="X9295">
        <v>663.48680000000002</v>
      </c>
      <c r="Y9295">
        <v>124</v>
      </c>
      <c r="Z9295">
        <v>393.1687</v>
      </c>
      <c r="AA9295">
        <v>403.42180000000002</v>
      </c>
      <c r="AB9295">
        <v>19.20318</v>
      </c>
      <c r="AC9295">
        <v>1.9468579999999999E-2</v>
      </c>
      <c r="AD9295">
        <v>4.6594179999999996</v>
      </c>
      <c r="AE9295">
        <v>0.45233109999999999</v>
      </c>
      <c r="AF9295">
        <v>670.18629999999996</v>
      </c>
      <c r="AG9295">
        <f>IFERROR(AH9295*0.1, "N/A")</f>
        <v>5.3311070000000003</v>
      </c>
      <c r="AH9295">
        <v>53.311070000000001</v>
      </c>
      <c r="AI9295">
        <v>213.6388</v>
      </c>
      <c r="AJ9295">
        <v>31.391919999999999</v>
      </c>
      <c r="AK9295">
        <v>57.121270000000003</v>
      </c>
    </row>
    <row r="9296" spans="1:37" x14ac:dyDescent="0.3">
      <c r="A9296">
        <v>9295</v>
      </c>
      <c r="B9296">
        <v>4.8</v>
      </c>
      <c r="C9296">
        <v>11.8833</v>
      </c>
      <c r="D9296">
        <v>3.25</v>
      </c>
      <c r="E9296" t="s">
        <v>14140</v>
      </c>
      <c r="F9296" t="s">
        <v>14143</v>
      </c>
      <c r="G9296" t="s">
        <v>2420</v>
      </c>
      <c r="H9296">
        <v>1990</v>
      </c>
      <c r="I9296">
        <v>23.847449999999998</v>
      </c>
      <c r="J9296">
        <v>9.1474519999999995</v>
      </c>
      <c r="K9296">
        <v>81.539540000000002</v>
      </c>
      <c r="L9296">
        <v>6.2284179999999996</v>
      </c>
      <c r="M9296">
        <v>29.793500000000002</v>
      </c>
      <c r="N9296">
        <v>18.7</v>
      </c>
      <c r="O9296">
        <v>11.093500000000001</v>
      </c>
      <c r="P9296">
        <v>23.50141</v>
      </c>
      <c r="Q9296">
        <v>24.157820000000001</v>
      </c>
      <c r="R9296">
        <v>24.593499999999999</v>
      </c>
      <c r="S9296">
        <v>22.94745</v>
      </c>
      <c r="T9296">
        <v>1665.299</v>
      </c>
      <c r="U9296">
        <v>286.065</v>
      </c>
      <c r="V9296">
        <v>33</v>
      </c>
      <c r="W9296">
        <v>57</v>
      </c>
      <c r="X9296">
        <v>663.48680000000002</v>
      </c>
      <c r="Y9296">
        <v>124</v>
      </c>
      <c r="Z9296">
        <v>393.1687</v>
      </c>
      <c r="AA9296">
        <v>403.42180000000002</v>
      </c>
      <c r="AB9296">
        <v>19.20318</v>
      </c>
      <c r="AC9296">
        <v>1.9468579999999999E-2</v>
      </c>
      <c r="AD9296">
        <v>4.6594179999999996</v>
      </c>
      <c r="AE9296">
        <v>0.45233109999999999</v>
      </c>
      <c r="AF9296">
        <v>670.18629999999996</v>
      </c>
      <c r="AG9296">
        <f>IFERROR(AH9296*0.1, "N/A")</f>
        <v>5.3311070000000003</v>
      </c>
      <c r="AH9296">
        <v>53.311070000000001</v>
      </c>
      <c r="AI9296">
        <v>213.6388</v>
      </c>
      <c r="AJ9296">
        <v>31.391919999999999</v>
      </c>
      <c r="AK9296">
        <v>57.121270000000003</v>
      </c>
    </row>
    <row r="9297" spans="1:37" x14ac:dyDescent="0.3">
      <c r="A9297">
        <v>9296</v>
      </c>
      <c r="B9297">
        <v>0</v>
      </c>
      <c r="C9297">
        <v>11.2</v>
      </c>
      <c r="D9297">
        <v>3.26111</v>
      </c>
      <c r="E9297" t="s">
        <v>14144</v>
      </c>
      <c r="F9297" t="s">
        <v>14145</v>
      </c>
      <c r="G9297" t="s">
        <v>39</v>
      </c>
      <c r="H9297">
        <v>1990</v>
      </c>
      <c r="I9297">
        <v>23.7</v>
      </c>
      <c r="J9297">
        <v>8.6</v>
      </c>
      <c r="K9297">
        <v>77.333920000000006</v>
      </c>
      <c r="L9297">
        <v>7.7297719999999996</v>
      </c>
      <c r="M9297">
        <v>29.5</v>
      </c>
      <c r="N9297">
        <v>18.433389999999999</v>
      </c>
      <c r="O9297">
        <v>11.066610000000001</v>
      </c>
      <c r="P9297">
        <v>23.23339</v>
      </c>
      <c r="Q9297">
        <v>24.3</v>
      </c>
      <c r="R9297">
        <v>24.5</v>
      </c>
      <c r="S9297">
        <v>22.533390000000001</v>
      </c>
      <c r="T9297">
        <v>1851.998</v>
      </c>
      <c r="U9297">
        <v>322.66609999999997</v>
      </c>
      <c r="V9297">
        <v>33</v>
      </c>
      <c r="W9297">
        <v>58</v>
      </c>
      <c r="X9297">
        <v>738.33219999999994</v>
      </c>
      <c r="Y9297">
        <v>145</v>
      </c>
      <c r="Z9297">
        <v>459.66609999999997</v>
      </c>
      <c r="AA9297">
        <v>420.66609999999997</v>
      </c>
      <c r="AB9297">
        <v>18.301600000000001</v>
      </c>
      <c r="AC9297">
        <v>1.883843E-2</v>
      </c>
      <c r="AD9297">
        <v>5.8828750000000003</v>
      </c>
      <c r="AE9297">
        <v>0.30170720000000001</v>
      </c>
      <c r="AF9297">
        <v>687.31280000000004</v>
      </c>
      <c r="AG9297">
        <f>IFERROR(AH9297*0.1, "N/A")</f>
        <v>4.8472760000000008</v>
      </c>
      <c r="AH9297">
        <v>48.472760000000001</v>
      </c>
      <c r="AI9297">
        <v>255.4803</v>
      </c>
      <c r="AJ9297">
        <v>42.411250000000003</v>
      </c>
      <c r="AK9297">
        <v>47.472760000000001</v>
      </c>
    </row>
    <row r="9298" spans="1:37" x14ac:dyDescent="0.3">
      <c r="A9298">
        <v>9297</v>
      </c>
      <c r="B9298">
        <v>0</v>
      </c>
      <c r="C9298">
        <v>11.2</v>
      </c>
      <c r="D9298">
        <v>3.26111</v>
      </c>
      <c r="E9298" t="s">
        <v>14144</v>
      </c>
      <c r="F9298" t="s">
        <v>14146</v>
      </c>
      <c r="G9298" t="s">
        <v>37</v>
      </c>
      <c r="H9298">
        <v>1990</v>
      </c>
      <c r="I9298">
        <v>23.7</v>
      </c>
      <c r="J9298">
        <v>8.6</v>
      </c>
      <c r="K9298">
        <v>77.333920000000006</v>
      </c>
      <c r="L9298">
        <v>7.7297719999999996</v>
      </c>
      <c r="M9298">
        <v>29.5</v>
      </c>
      <c r="N9298">
        <v>18.433389999999999</v>
      </c>
      <c r="O9298">
        <v>11.066610000000001</v>
      </c>
      <c r="P9298">
        <v>23.23339</v>
      </c>
      <c r="Q9298">
        <v>24.3</v>
      </c>
      <c r="R9298">
        <v>24.5</v>
      </c>
      <c r="S9298">
        <v>22.533390000000001</v>
      </c>
      <c r="T9298">
        <v>1851.998</v>
      </c>
      <c r="U9298">
        <v>322.66609999999997</v>
      </c>
      <c r="V9298">
        <v>33</v>
      </c>
      <c r="W9298">
        <v>58</v>
      </c>
      <c r="X9298">
        <v>738.33219999999994</v>
      </c>
      <c r="Y9298">
        <v>145</v>
      </c>
      <c r="Z9298">
        <v>459.66609999999997</v>
      </c>
      <c r="AA9298">
        <v>420.66609999999997</v>
      </c>
      <c r="AB9298">
        <v>18.301600000000001</v>
      </c>
      <c r="AC9298">
        <v>1.883843E-2</v>
      </c>
      <c r="AD9298">
        <v>5.8828750000000003</v>
      </c>
      <c r="AE9298">
        <v>0.30170720000000001</v>
      </c>
      <c r="AF9298">
        <v>687.31280000000004</v>
      </c>
      <c r="AG9298">
        <f>IFERROR(AH9298*0.1, "N/A")</f>
        <v>4.8472760000000008</v>
      </c>
      <c r="AH9298">
        <v>48.472760000000001</v>
      </c>
      <c r="AI9298">
        <v>255.4803</v>
      </c>
      <c r="AJ9298">
        <v>42.411250000000003</v>
      </c>
      <c r="AK9298">
        <v>47.472760000000001</v>
      </c>
    </row>
    <row r="9299" spans="1:37" x14ac:dyDescent="0.3">
      <c r="A9299">
        <v>9298</v>
      </c>
      <c r="B9299">
        <v>3</v>
      </c>
      <c r="C9299">
        <v>11.2</v>
      </c>
      <c r="D9299">
        <v>3.26111</v>
      </c>
      <c r="E9299" t="s">
        <v>14144</v>
      </c>
      <c r="F9299" t="s">
        <v>14147</v>
      </c>
      <c r="G9299" t="s">
        <v>2420</v>
      </c>
      <c r="H9299">
        <v>1990</v>
      </c>
      <c r="I9299">
        <v>23.7</v>
      </c>
      <c r="J9299">
        <v>8.6</v>
      </c>
      <c r="K9299">
        <v>77.333920000000006</v>
      </c>
      <c r="L9299">
        <v>7.7297719999999996</v>
      </c>
      <c r="M9299">
        <v>29.5</v>
      </c>
      <c r="N9299">
        <v>18.433389999999999</v>
      </c>
      <c r="O9299">
        <v>11.066610000000001</v>
      </c>
      <c r="P9299">
        <v>23.23339</v>
      </c>
      <c r="Q9299">
        <v>24.3</v>
      </c>
      <c r="R9299">
        <v>24.5</v>
      </c>
      <c r="S9299">
        <v>22.533390000000001</v>
      </c>
      <c r="T9299">
        <v>1851.998</v>
      </c>
      <c r="U9299">
        <v>322.66609999999997</v>
      </c>
      <c r="V9299">
        <v>33</v>
      </c>
      <c r="W9299">
        <v>58</v>
      </c>
      <c r="X9299">
        <v>738.33219999999994</v>
      </c>
      <c r="Y9299">
        <v>145</v>
      </c>
      <c r="Z9299">
        <v>459.66609999999997</v>
      </c>
      <c r="AA9299">
        <v>420.66609999999997</v>
      </c>
      <c r="AB9299">
        <v>18.301600000000001</v>
      </c>
      <c r="AC9299">
        <v>1.883843E-2</v>
      </c>
      <c r="AD9299">
        <v>5.8828750000000003</v>
      </c>
      <c r="AE9299">
        <v>0.30170720000000001</v>
      </c>
      <c r="AF9299">
        <v>687.31280000000004</v>
      </c>
      <c r="AG9299">
        <f>IFERROR(AH9299*0.1, "N/A")</f>
        <v>4.8472760000000008</v>
      </c>
      <c r="AH9299">
        <v>48.472760000000001</v>
      </c>
      <c r="AI9299">
        <v>255.4803</v>
      </c>
      <c r="AJ9299">
        <v>42.411250000000003</v>
      </c>
      <c r="AK9299">
        <v>47.472760000000001</v>
      </c>
    </row>
    <row r="9300" spans="1:37" x14ac:dyDescent="0.3">
      <c r="A9300">
        <v>9299</v>
      </c>
      <c r="B9300">
        <v>0</v>
      </c>
      <c r="C9300">
        <v>11.8667</v>
      </c>
      <c r="D9300">
        <v>3.2749999999999999</v>
      </c>
      <c r="E9300" t="s">
        <v>14148</v>
      </c>
      <c r="F9300" t="s">
        <v>14149</v>
      </c>
      <c r="G9300" t="s">
        <v>39</v>
      </c>
      <c r="H9300">
        <v>1990</v>
      </c>
      <c r="I9300">
        <v>23.838950000000001</v>
      </c>
      <c r="J9300">
        <v>9.1457899999999999</v>
      </c>
      <c r="K9300">
        <v>81.605260000000001</v>
      </c>
      <c r="L9300">
        <v>6.3315789999999996</v>
      </c>
      <c r="M9300">
        <v>29.77</v>
      </c>
      <c r="N9300">
        <v>18.653680000000001</v>
      </c>
      <c r="O9300">
        <v>11.11632</v>
      </c>
      <c r="P9300">
        <v>23.50789</v>
      </c>
      <c r="Q9300">
        <v>24.193159999999999</v>
      </c>
      <c r="R9300">
        <v>24.53895</v>
      </c>
      <c r="S9300">
        <v>22.953679999999999</v>
      </c>
      <c r="T9300">
        <v>1665</v>
      </c>
      <c r="U9300">
        <v>287</v>
      </c>
      <c r="V9300">
        <v>32</v>
      </c>
      <c r="W9300">
        <v>57</v>
      </c>
      <c r="X9300">
        <v>664</v>
      </c>
      <c r="Y9300">
        <v>123</v>
      </c>
      <c r="Z9300">
        <v>393</v>
      </c>
      <c r="AA9300">
        <v>403.6105</v>
      </c>
      <c r="AB9300">
        <v>7.8857710000000001</v>
      </c>
      <c r="AC9300">
        <v>9.9505319999999994E-2</v>
      </c>
      <c r="AD9300">
        <v>4.3196960000000004</v>
      </c>
      <c r="AE9300">
        <v>0.16640869999999999</v>
      </c>
      <c r="AF9300">
        <v>653.47720000000004</v>
      </c>
      <c r="AG9300">
        <f>IFERROR(AH9300*0.1, "N/A")</f>
        <v>4.9003510000000006</v>
      </c>
      <c r="AH9300">
        <v>49.003509999999999</v>
      </c>
      <c r="AI9300">
        <v>168.54169999999999</v>
      </c>
      <c r="AJ9300">
        <v>36.543860000000002</v>
      </c>
      <c r="AK9300">
        <v>54.459650000000003</v>
      </c>
    </row>
    <row r="9301" spans="1:37" x14ac:dyDescent="0.3">
      <c r="A9301">
        <v>9300</v>
      </c>
      <c r="B9301">
        <v>0</v>
      </c>
      <c r="C9301">
        <v>11.8667</v>
      </c>
      <c r="D9301">
        <v>3.2749999999999999</v>
      </c>
      <c r="E9301" t="s">
        <v>14148</v>
      </c>
      <c r="F9301" t="s">
        <v>14150</v>
      </c>
      <c r="G9301" t="s">
        <v>37</v>
      </c>
      <c r="H9301">
        <v>1990</v>
      </c>
      <c r="I9301">
        <v>23.838950000000001</v>
      </c>
      <c r="J9301">
        <v>9.1457899999999999</v>
      </c>
      <c r="K9301">
        <v>81.605260000000001</v>
      </c>
      <c r="L9301">
        <v>6.3315789999999996</v>
      </c>
      <c r="M9301">
        <v>29.77</v>
      </c>
      <c r="N9301">
        <v>18.653680000000001</v>
      </c>
      <c r="O9301">
        <v>11.11632</v>
      </c>
      <c r="P9301">
        <v>23.50789</v>
      </c>
      <c r="Q9301">
        <v>24.193159999999999</v>
      </c>
      <c r="R9301">
        <v>24.53895</v>
      </c>
      <c r="S9301">
        <v>22.953679999999999</v>
      </c>
      <c r="T9301">
        <v>1665</v>
      </c>
      <c r="U9301">
        <v>287</v>
      </c>
      <c r="V9301">
        <v>32</v>
      </c>
      <c r="W9301">
        <v>57</v>
      </c>
      <c r="X9301">
        <v>664</v>
      </c>
      <c r="Y9301">
        <v>123</v>
      </c>
      <c r="Z9301">
        <v>393</v>
      </c>
      <c r="AA9301">
        <v>403.6105</v>
      </c>
      <c r="AB9301">
        <v>7.8857710000000001</v>
      </c>
      <c r="AC9301">
        <v>9.9505319999999994E-2</v>
      </c>
      <c r="AD9301">
        <v>4.3196960000000004</v>
      </c>
      <c r="AE9301">
        <v>0.16640869999999999</v>
      </c>
      <c r="AF9301">
        <v>653.47720000000004</v>
      </c>
      <c r="AG9301">
        <f>IFERROR(AH9301*0.1, "N/A")</f>
        <v>4.9003510000000006</v>
      </c>
      <c r="AH9301">
        <v>49.003509999999999</v>
      </c>
      <c r="AI9301">
        <v>168.54169999999999</v>
      </c>
      <c r="AJ9301">
        <v>36.543860000000002</v>
      </c>
      <c r="AK9301">
        <v>54.459650000000003</v>
      </c>
    </row>
    <row r="9302" spans="1:37" x14ac:dyDescent="0.3">
      <c r="A9302">
        <v>9301</v>
      </c>
      <c r="B9302">
        <v>0</v>
      </c>
      <c r="C9302">
        <v>11.8667</v>
      </c>
      <c r="D9302">
        <v>3.2749999999999999</v>
      </c>
      <c r="E9302" t="s">
        <v>14148</v>
      </c>
      <c r="F9302" t="s">
        <v>14151</v>
      </c>
      <c r="G9302" t="s">
        <v>2420</v>
      </c>
      <c r="H9302">
        <v>1990</v>
      </c>
      <c r="I9302">
        <v>23.838950000000001</v>
      </c>
      <c r="J9302">
        <v>9.1457899999999999</v>
      </c>
      <c r="K9302">
        <v>81.605260000000001</v>
      </c>
      <c r="L9302">
        <v>6.3315789999999996</v>
      </c>
      <c r="M9302">
        <v>29.77</v>
      </c>
      <c r="N9302">
        <v>18.653680000000001</v>
      </c>
      <c r="O9302">
        <v>11.11632</v>
      </c>
      <c r="P9302">
        <v>23.50789</v>
      </c>
      <c r="Q9302">
        <v>24.193159999999999</v>
      </c>
      <c r="R9302">
        <v>24.53895</v>
      </c>
      <c r="S9302">
        <v>22.953679999999999</v>
      </c>
      <c r="T9302">
        <v>1665</v>
      </c>
      <c r="U9302">
        <v>287</v>
      </c>
      <c r="V9302">
        <v>32</v>
      </c>
      <c r="W9302">
        <v>57</v>
      </c>
      <c r="X9302">
        <v>664</v>
      </c>
      <c r="Y9302">
        <v>123</v>
      </c>
      <c r="Z9302">
        <v>393</v>
      </c>
      <c r="AA9302">
        <v>403.6105</v>
      </c>
      <c r="AB9302">
        <v>7.8857710000000001</v>
      </c>
      <c r="AC9302">
        <v>9.9505319999999994E-2</v>
      </c>
      <c r="AD9302">
        <v>4.3196960000000004</v>
      </c>
      <c r="AE9302">
        <v>0.16640869999999999</v>
      </c>
      <c r="AF9302">
        <v>653.47720000000004</v>
      </c>
      <c r="AG9302">
        <f>IFERROR(AH9302*0.1, "N/A")</f>
        <v>4.9003510000000006</v>
      </c>
      <c r="AH9302">
        <v>49.003509999999999</v>
      </c>
      <c r="AI9302">
        <v>168.54169999999999</v>
      </c>
      <c r="AJ9302">
        <v>36.543860000000002</v>
      </c>
      <c r="AK9302">
        <v>54.459650000000003</v>
      </c>
    </row>
    <row r="9303" spans="1:37" x14ac:dyDescent="0.3">
      <c r="A9303">
        <v>9302</v>
      </c>
      <c r="B9303">
        <v>0</v>
      </c>
      <c r="C9303">
        <v>11.527799999999999</v>
      </c>
      <c r="D9303">
        <v>3.2805599999999999</v>
      </c>
      <c r="E9303" t="s">
        <v>14152</v>
      </c>
      <c r="F9303" t="s">
        <v>14153</v>
      </c>
      <c r="G9303" t="s">
        <v>37</v>
      </c>
      <c r="H9303">
        <v>1990</v>
      </c>
      <c r="I9303">
        <v>23.7</v>
      </c>
      <c r="J9303">
        <v>8.9</v>
      </c>
      <c r="K9303">
        <v>79</v>
      </c>
      <c r="L9303">
        <v>7.37</v>
      </c>
      <c r="M9303">
        <v>29.6</v>
      </c>
      <c r="N9303">
        <v>18.399999999999999</v>
      </c>
      <c r="O9303">
        <v>11.2</v>
      </c>
      <c r="P9303">
        <v>23.3</v>
      </c>
      <c r="Q9303">
        <v>24.2</v>
      </c>
      <c r="R9303">
        <v>24.5</v>
      </c>
      <c r="S9303">
        <v>22.6</v>
      </c>
      <c r="T9303">
        <v>1734</v>
      </c>
      <c r="U9303">
        <v>301</v>
      </c>
      <c r="V9303">
        <v>32</v>
      </c>
      <c r="W9303">
        <v>57</v>
      </c>
      <c r="X9303">
        <v>690</v>
      </c>
      <c r="Y9303">
        <v>133</v>
      </c>
      <c r="Z9303">
        <v>425</v>
      </c>
      <c r="AA9303">
        <v>402</v>
      </c>
      <c r="AB9303">
        <v>28.520099999999999</v>
      </c>
      <c r="AC9303">
        <v>1.8225169999999999E-2</v>
      </c>
      <c r="AD9303">
        <v>9.3519579999999998</v>
      </c>
      <c r="AE9303">
        <v>0.16034290000000001</v>
      </c>
      <c r="AF9303">
        <v>687.56870000000004</v>
      </c>
      <c r="AG9303">
        <f>IFERROR(AH9303*0.1, "N/A")</f>
        <v>4.9325700000000001</v>
      </c>
      <c r="AH9303">
        <v>49.325699999999998</v>
      </c>
      <c r="AI9303">
        <v>121.4983</v>
      </c>
      <c r="AJ9303">
        <v>37.65493</v>
      </c>
      <c r="AK9303">
        <v>49.978870000000001</v>
      </c>
    </row>
    <row r="9304" spans="1:37" x14ac:dyDescent="0.3">
      <c r="A9304">
        <v>9303</v>
      </c>
      <c r="B9304">
        <v>0</v>
      </c>
      <c r="C9304">
        <v>11.527799999999999</v>
      </c>
      <c r="D9304">
        <v>3.2805599999999999</v>
      </c>
      <c r="E9304" t="s">
        <v>14152</v>
      </c>
      <c r="F9304" t="s">
        <v>14154</v>
      </c>
      <c r="G9304" t="s">
        <v>2420</v>
      </c>
      <c r="H9304">
        <v>1990</v>
      </c>
      <c r="I9304">
        <v>23.7</v>
      </c>
      <c r="J9304">
        <v>8.9</v>
      </c>
      <c r="K9304">
        <v>79</v>
      </c>
      <c r="L9304">
        <v>7.37</v>
      </c>
      <c r="M9304">
        <v>29.6</v>
      </c>
      <c r="N9304">
        <v>18.399999999999999</v>
      </c>
      <c r="O9304">
        <v>11.2</v>
      </c>
      <c r="P9304">
        <v>23.3</v>
      </c>
      <c r="Q9304">
        <v>24.2</v>
      </c>
      <c r="R9304">
        <v>24.5</v>
      </c>
      <c r="S9304">
        <v>22.6</v>
      </c>
      <c r="T9304">
        <v>1734</v>
      </c>
      <c r="U9304">
        <v>301</v>
      </c>
      <c r="V9304">
        <v>32</v>
      </c>
      <c r="W9304">
        <v>57</v>
      </c>
      <c r="X9304">
        <v>690</v>
      </c>
      <c r="Y9304">
        <v>133</v>
      </c>
      <c r="Z9304">
        <v>425</v>
      </c>
      <c r="AA9304">
        <v>402</v>
      </c>
      <c r="AB9304">
        <v>28.520099999999999</v>
      </c>
      <c r="AC9304">
        <v>1.8225169999999999E-2</v>
      </c>
      <c r="AD9304">
        <v>9.3519579999999998</v>
      </c>
      <c r="AE9304">
        <v>0.16034290000000001</v>
      </c>
      <c r="AF9304">
        <v>687.56870000000004</v>
      </c>
      <c r="AG9304">
        <f>IFERROR(AH9304*0.1, "N/A")</f>
        <v>4.9325700000000001</v>
      </c>
      <c r="AH9304">
        <v>49.325699999999998</v>
      </c>
      <c r="AI9304">
        <v>121.4983</v>
      </c>
      <c r="AJ9304">
        <v>37.65493</v>
      </c>
      <c r="AK9304">
        <v>49.978870000000001</v>
      </c>
    </row>
    <row r="9305" spans="1:37" x14ac:dyDescent="0.3">
      <c r="A9305">
        <v>9304</v>
      </c>
      <c r="B9305">
        <v>0</v>
      </c>
      <c r="C9305">
        <v>10.9694</v>
      </c>
      <c r="D9305">
        <v>3.2888899999999999</v>
      </c>
      <c r="E9305" t="s">
        <v>14155</v>
      </c>
      <c r="F9305" t="s">
        <v>14156</v>
      </c>
      <c r="G9305" t="s">
        <v>39</v>
      </c>
      <c r="H9305">
        <v>1990</v>
      </c>
      <c r="I9305">
        <v>23.9</v>
      </c>
      <c r="J9305">
        <v>8.4</v>
      </c>
      <c r="K9305">
        <v>77</v>
      </c>
      <c r="L9305">
        <v>8.24</v>
      </c>
      <c r="M9305">
        <v>29.6</v>
      </c>
      <c r="N9305">
        <v>18.8</v>
      </c>
      <c r="O9305">
        <v>10.8</v>
      </c>
      <c r="P9305">
        <v>23.4</v>
      </c>
      <c r="Q9305">
        <v>24.6</v>
      </c>
      <c r="R9305">
        <v>24.8</v>
      </c>
      <c r="S9305">
        <v>22.7</v>
      </c>
      <c r="T9305">
        <v>1960</v>
      </c>
      <c r="U9305">
        <v>340</v>
      </c>
      <c r="V9305">
        <v>36</v>
      </c>
      <c r="W9305">
        <v>58</v>
      </c>
      <c r="X9305">
        <v>782</v>
      </c>
      <c r="Y9305">
        <v>152</v>
      </c>
      <c r="Z9305">
        <v>476</v>
      </c>
      <c r="AA9305">
        <v>453</v>
      </c>
      <c r="AB9305">
        <v>2.6768070000000002</v>
      </c>
      <c r="AC9305">
        <v>18.533470000000001</v>
      </c>
      <c r="AD9305">
        <v>0.95994310000000005</v>
      </c>
      <c r="AE9305">
        <v>0.23847840000000001</v>
      </c>
      <c r="AF9305">
        <v>619.87869999999998</v>
      </c>
      <c r="AG9305">
        <f>IFERROR(AH9305*0.1, "N/A")</f>
        <v>4.8355010000000007</v>
      </c>
      <c r="AH9305">
        <v>48.35501</v>
      </c>
      <c r="AI9305">
        <v>235.89879999999999</v>
      </c>
      <c r="AJ9305">
        <v>40.869950000000003</v>
      </c>
      <c r="AK9305">
        <v>48.42004</v>
      </c>
    </row>
    <row r="9306" spans="1:37" x14ac:dyDescent="0.3">
      <c r="A9306">
        <v>9305</v>
      </c>
      <c r="B9306">
        <v>0</v>
      </c>
      <c r="C9306">
        <v>10.9694</v>
      </c>
      <c r="D9306">
        <v>3.2888899999999999</v>
      </c>
      <c r="E9306" t="s">
        <v>14155</v>
      </c>
      <c r="F9306" t="s">
        <v>14157</v>
      </c>
      <c r="G9306" t="s">
        <v>37</v>
      </c>
      <c r="H9306">
        <v>1990</v>
      </c>
      <c r="I9306">
        <v>23.9</v>
      </c>
      <c r="J9306">
        <v>8.4</v>
      </c>
      <c r="K9306">
        <v>77</v>
      </c>
      <c r="L9306">
        <v>8.24</v>
      </c>
      <c r="M9306">
        <v>29.6</v>
      </c>
      <c r="N9306">
        <v>18.8</v>
      </c>
      <c r="O9306">
        <v>10.8</v>
      </c>
      <c r="P9306">
        <v>23.4</v>
      </c>
      <c r="Q9306">
        <v>24.6</v>
      </c>
      <c r="R9306">
        <v>24.8</v>
      </c>
      <c r="S9306">
        <v>22.7</v>
      </c>
      <c r="T9306">
        <v>1960</v>
      </c>
      <c r="U9306">
        <v>340</v>
      </c>
      <c r="V9306">
        <v>36</v>
      </c>
      <c r="W9306">
        <v>58</v>
      </c>
      <c r="X9306">
        <v>782</v>
      </c>
      <c r="Y9306">
        <v>152</v>
      </c>
      <c r="Z9306">
        <v>476</v>
      </c>
      <c r="AA9306">
        <v>453</v>
      </c>
      <c r="AB9306">
        <v>2.6768070000000002</v>
      </c>
      <c r="AC9306">
        <v>18.533470000000001</v>
      </c>
      <c r="AD9306">
        <v>0.95994310000000005</v>
      </c>
      <c r="AE9306">
        <v>0.23847840000000001</v>
      </c>
      <c r="AF9306">
        <v>619.87869999999998</v>
      </c>
      <c r="AG9306">
        <f>IFERROR(AH9306*0.1, "N/A")</f>
        <v>4.8355010000000007</v>
      </c>
      <c r="AH9306">
        <v>48.35501</v>
      </c>
      <c r="AI9306">
        <v>235.89879999999999</v>
      </c>
      <c r="AJ9306">
        <v>40.869950000000003</v>
      </c>
      <c r="AK9306">
        <v>48.42004</v>
      </c>
    </row>
    <row r="9307" spans="1:37" x14ac:dyDescent="0.3">
      <c r="A9307">
        <v>9306</v>
      </c>
      <c r="B9307">
        <v>2</v>
      </c>
      <c r="C9307">
        <v>10.9694</v>
      </c>
      <c r="D9307">
        <v>3.2888899999999999</v>
      </c>
      <c r="E9307" t="s">
        <v>14155</v>
      </c>
      <c r="F9307" t="s">
        <v>14158</v>
      </c>
      <c r="G9307" t="s">
        <v>2420</v>
      </c>
      <c r="H9307">
        <v>1990</v>
      </c>
      <c r="I9307">
        <v>23.9</v>
      </c>
      <c r="J9307">
        <v>8.4</v>
      </c>
      <c r="K9307">
        <v>77</v>
      </c>
      <c r="L9307">
        <v>8.24</v>
      </c>
      <c r="M9307">
        <v>29.6</v>
      </c>
      <c r="N9307">
        <v>18.8</v>
      </c>
      <c r="O9307">
        <v>10.8</v>
      </c>
      <c r="P9307">
        <v>23.4</v>
      </c>
      <c r="Q9307">
        <v>24.6</v>
      </c>
      <c r="R9307">
        <v>24.8</v>
      </c>
      <c r="S9307">
        <v>22.7</v>
      </c>
      <c r="T9307">
        <v>1960</v>
      </c>
      <c r="U9307">
        <v>340</v>
      </c>
      <c r="V9307">
        <v>36</v>
      </c>
      <c r="W9307">
        <v>58</v>
      </c>
      <c r="X9307">
        <v>782</v>
      </c>
      <c r="Y9307">
        <v>152</v>
      </c>
      <c r="Z9307">
        <v>476</v>
      </c>
      <c r="AA9307">
        <v>453</v>
      </c>
      <c r="AB9307">
        <v>2.6768070000000002</v>
      </c>
      <c r="AC9307">
        <v>18.533470000000001</v>
      </c>
      <c r="AD9307">
        <v>0.95994310000000005</v>
      </c>
      <c r="AE9307">
        <v>0.23847840000000001</v>
      </c>
      <c r="AF9307">
        <v>619.87869999999998</v>
      </c>
      <c r="AG9307">
        <f>IFERROR(AH9307*0.1, "N/A")</f>
        <v>4.8355010000000007</v>
      </c>
      <c r="AH9307">
        <v>48.35501</v>
      </c>
      <c r="AI9307">
        <v>235.89879999999999</v>
      </c>
      <c r="AJ9307">
        <v>40.869950000000003</v>
      </c>
      <c r="AK9307">
        <v>48.42004</v>
      </c>
    </row>
    <row r="9308" spans="1:37" x14ac:dyDescent="0.3">
      <c r="A9308">
        <v>9307</v>
      </c>
      <c r="B9308">
        <v>0</v>
      </c>
      <c r="C9308">
        <v>10.4833</v>
      </c>
      <c r="D9308">
        <v>3.2972199999999998</v>
      </c>
      <c r="E9308" t="s">
        <v>14159</v>
      </c>
      <c r="F9308" t="s">
        <v>14160</v>
      </c>
      <c r="G9308" t="s">
        <v>39</v>
      </c>
      <c r="H9308">
        <v>1990</v>
      </c>
      <c r="I9308">
        <v>25.905609999999999</v>
      </c>
      <c r="J9308">
        <v>7.4</v>
      </c>
      <c r="K9308">
        <v>72</v>
      </c>
      <c r="L9308">
        <v>9.9922450000000005</v>
      </c>
      <c r="M9308">
        <v>31.305610000000001</v>
      </c>
      <c r="N9308">
        <v>21.105609999999999</v>
      </c>
      <c r="O9308">
        <v>10.199999999999999</v>
      </c>
      <c r="P9308">
        <v>25.452809999999999</v>
      </c>
      <c r="Q9308">
        <v>26.758420000000001</v>
      </c>
      <c r="R9308">
        <v>26.905609999999999</v>
      </c>
      <c r="S9308">
        <v>24.405609999999999</v>
      </c>
      <c r="T9308">
        <v>2286.7530000000002</v>
      </c>
      <c r="U9308">
        <v>397.52809999999999</v>
      </c>
      <c r="V9308">
        <v>43.52807</v>
      </c>
      <c r="W9308">
        <v>60</v>
      </c>
      <c r="X9308">
        <v>944.1123</v>
      </c>
      <c r="Y9308">
        <v>157.52809999999999</v>
      </c>
      <c r="Z9308">
        <v>480.47190000000001</v>
      </c>
      <c r="AA9308">
        <v>636.69650000000001</v>
      </c>
      <c r="AB9308">
        <v>1.723157</v>
      </c>
      <c r="AC9308">
        <v>0.21978839999999999</v>
      </c>
      <c r="AD9308">
        <v>3.627675</v>
      </c>
      <c r="AE9308">
        <v>0.1625491</v>
      </c>
      <c r="AF9308">
        <v>103.1281</v>
      </c>
      <c r="AG9308">
        <f>IFERROR(AH9308*0.1, "N/A")</f>
        <v>4.8489469999999999</v>
      </c>
      <c r="AH9308">
        <v>48.489469999999997</v>
      </c>
      <c r="AI9308">
        <v>182.4616</v>
      </c>
      <c r="AJ9308">
        <v>31.812280000000001</v>
      </c>
      <c r="AK9308">
        <v>43.82105</v>
      </c>
    </row>
    <row r="9309" spans="1:37" x14ac:dyDescent="0.3">
      <c r="A9309">
        <v>9308</v>
      </c>
      <c r="B9309">
        <v>0</v>
      </c>
      <c r="C9309">
        <v>10.4833</v>
      </c>
      <c r="D9309">
        <v>3.2972199999999998</v>
      </c>
      <c r="E9309" t="s">
        <v>14159</v>
      </c>
      <c r="F9309" t="s">
        <v>14161</v>
      </c>
      <c r="G9309" t="s">
        <v>37</v>
      </c>
      <c r="H9309">
        <v>1990</v>
      </c>
      <c r="I9309">
        <v>25.905609999999999</v>
      </c>
      <c r="J9309">
        <v>7.4</v>
      </c>
      <c r="K9309">
        <v>72</v>
      </c>
      <c r="L9309">
        <v>9.9922450000000005</v>
      </c>
      <c r="M9309">
        <v>31.305610000000001</v>
      </c>
      <c r="N9309">
        <v>21.105609999999999</v>
      </c>
      <c r="O9309">
        <v>10.199999999999999</v>
      </c>
      <c r="P9309">
        <v>25.452809999999999</v>
      </c>
      <c r="Q9309">
        <v>26.758420000000001</v>
      </c>
      <c r="R9309">
        <v>26.905609999999999</v>
      </c>
      <c r="S9309">
        <v>24.405609999999999</v>
      </c>
      <c r="T9309">
        <v>2286.7530000000002</v>
      </c>
      <c r="U9309">
        <v>397.52809999999999</v>
      </c>
      <c r="V9309">
        <v>43.52807</v>
      </c>
      <c r="W9309">
        <v>60</v>
      </c>
      <c r="X9309">
        <v>944.1123</v>
      </c>
      <c r="Y9309">
        <v>157.52809999999999</v>
      </c>
      <c r="Z9309">
        <v>480.47190000000001</v>
      </c>
      <c r="AA9309">
        <v>636.69650000000001</v>
      </c>
      <c r="AB9309">
        <v>1.723157</v>
      </c>
      <c r="AC9309">
        <v>0.21978839999999999</v>
      </c>
      <c r="AD9309">
        <v>3.627675</v>
      </c>
      <c r="AE9309">
        <v>0.1625491</v>
      </c>
      <c r="AF9309">
        <v>103.1281</v>
      </c>
      <c r="AG9309">
        <f>IFERROR(AH9309*0.1, "N/A")</f>
        <v>4.8489469999999999</v>
      </c>
      <c r="AH9309">
        <v>48.489469999999997</v>
      </c>
      <c r="AI9309">
        <v>182.4616</v>
      </c>
      <c r="AJ9309">
        <v>31.812280000000001</v>
      </c>
      <c r="AK9309">
        <v>43.82105</v>
      </c>
    </row>
    <row r="9310" spans="1:37" x14ac:dyDescent="0.3">
      <c r="A9310">
        <v>9309</v>
      </c>
      <c r="B9310">
        <v>3.8</v>
      </c>
      <c r="C9310">
        <v>10.4833</v>
      </c>
      <c r="D9310">
        <v>3.2972199999999998</v>
      </c>
      <c r="E9310" t="s">
        <v>14159</v>
      </c>
      <c r="F9310" t="s">
        <v>14162</v>
      </c>
      <c r="G9310" t="s">
        <v>2420</v>
      </c>
      <c r="H9310">
        <v>1990</v>
      </c>
      <c r="I9310">
        <v>25.905609999999999</v>
      </c>
      <c r="J9310">
        <v>7.4</v>
      </c>
      <c r="K9310">
        <v>72</v>
      </c>
      <c r="L9310">
        <v>9.9922450000000005</v>
      </c>
      <c r="M9310">
        <v>31.305610000000001</v>
      </c>
      <c r="N9310">
        <v>21.105609999999999</v>
      </c>
      <c r="O9310">
        <v>10.199999999999999</v>
      </c>
      <c r="P9310">
        <v>25.452809999999999</v>
      </c>
      <c r="Q9310">
        <v>26.758420000000001</v>
      </c>
      <c r="R9310">
        <v>26.905609999999999</v>
      </c>
      <c r="S9310">
        <v>24.405609999999999</v>
      </c>
      <c r="T9310">
        <v>2286.7530000000002</v>
      </c>
      <c r="U9310">
        <v>397.52809999999999</v>
      </c>
      <c r="V9310">
        <v>43.52807</v>
      </c>
      <c r="W9310">
        <v>60</v>
      </c>
      <c r="X9310">
        <v>944.1123</v>
      </c>
      <c r="Y9310">
        <v>157.52809999999999</v>
      </c>
      <c r="Z9310">
        <v>480.47190000000001</v>
      </c>
      <c r="AA9310">
        <v>636.69650000000001</v>
      </c>
      <c r="AB9310">
        <v>1.723157</v>
      </c>
      <c r="AC9310">
        <v>0.21978839999999999</v>
      </c>
      <c r="AD9310">
        <v>3.627675</v>
      </c>
      <c r="AE9310">
        <v>0.1625491</v>
      </c>
      <c r="AF9310">
        <v>103.1281</v>
      </c>
      <c r="AG9310">
        <f>IFERROR(AH9310*0.1, "N/A")</f>
        <v>4.8489469999999999</v>
      </c>
      <c r="AH9310">
        <v>48.489469999999997</v>
      </c>
      <c r="AI9310">
        <v>182.4616</v>
      </c>
      <c r="AJ9310">
        <v>31.812280000000001</v>
      </c>
      <c r="AK9310">
        <v>43.82105</v>
      </c>
    </row>
    <row r="9311" spans="1:37" x14ac:dyDescent="0.3">
      <c r="A9311">
        <v>9310</v>
      </c>
      <c r="B9311">
        <v>0</v>
      </c>
      <c r="C9311">
        <v>10.7667</v>
      </c>
      <c r="D9311">
        <v>3.3083300000000002</v>
      </c>
      <c r="E9311" t="s">
        <v>14163</v>
      </c>
      <c r="F9311" t="s">
        <v>14164</v>
      </c>
      <c r="G9311" t="s">
        <v>39</v>
      </c>
      <c r="H9311">
        <v>1990</v>
      </c>
      <c r="I9311">
        <v>24.537369999999999</v>
      </c>
      <c r="J9311">
        <v>8.0508769999999998</v>
      </c>
      <c r="K9311">
        <v>75.461399999999998</v>
      </c>
      <c r="L9311">
        <v>8.6817550000000008</v>
      </c>
      <c r="M9311">
        <v>30.10474</v>
      </c>
      <c r="N9311">
        <v>19.5</v>
      </c>
      <c r="O9311">
        <v>10.60474</v>
      </c>
      <c r="P9311">
        <v>24.004740000000002</v>
      </c>
      <c r="Q9311">
        <v>25.132629999999999</v>
      </c>
      <c r="R9311">
        <v>25.40474</v>
      </c>
      <c r="S9311">
        <v>23.14912</v>
      </c>
      <c r="T9311">
        <v>2072.777</v>
      </c>
      <c r="U9311">
        <v>359.16489999999999</v>
      </c>
      <c r="V9311">
        <v>40.117539999999998</v>
      </c>
      <c r="W9311">
        <v>60</v>
      </c>
      <c r="X9311">
        <v>831.32979999999998</v>
      </c>
      <c r="Y9311">
        <v>160.30000000000001</v>
      </c>
      <c r="Z9311">
        <v>715.28250000000003</v>
      </c>
      <c r="AA9311">
        <v>480.40350000000001</v>
      </c>
      <c r="AB9311">
        <v>29.260870000000001</v>
      </c>
      <c r="AC9311">
        <v>1.26661E-2</v>
      </c>
      <c r="AD9311">
        <v>2.8099769999999999</v>
      </c>
      <c r="AE9311">
        <v>0.14696970000000001</v>
      </c>
      <c r="AF9311">
        <v>500.72460000000001</v>
      </c>
      <c r="AG9311">
        <f>IFERROR(AH9311*0.1, "N/A")</f>
        <v>4.9342110000000003</v>
      </c>
      <c r="AH9311">
        <v>49.342109999999998</v>
      </c>
      <c r="AI9311">
        <v>178.26070000000001</v>
      </c>
      <c r="AJ9311">
        <v>39.342109999999998</v>
      </c>
      <c r="AK9311">
        <v>47.835090000000001</v>
      </c>
    </row>
    <row r="9312" spans="1:37" x14ac:dyDescent="0.3">
      <c r="A9312">
        <v>9311</v>
      </c>
      <c r="B9312">
        <v>0</v>
      </c>
      <c r="C9312">
        <v>10.7667</v>
      </c>
      <c r="D9312">
        <v>3.3083300000000002</v>
      </c>
      <c r="E9312" t="s">
        <v>14163</v>
      </c>
      <c r="F9312" t="s">
        <v>14165</v>
      </c>
      <c r="G9312" t="s">
        <v>37</v>
      </c>
      <c r="H9312">
        <v>1990</v>
      </c>
      <c r="I9312">
        <v>24.537369999999999</v>
      </c>
      <c r="J9312">
        <v>8.0508769999999998</v>
      </c>
      <c r="K9312">
        <v>75.461399999999998</v>
      </c>
      <c r="L9312">
        <v>8.6817550000000008</v>
      </c>
      <c r="M9312">
        <v>30.10474</v>
      </c>
      <c r="N9312">
        <v>19.5</v>
      </c>
      <c r="O9312">
        <v>10.60474</v>
      </c>
      <c r="P9312">
        <v>24.004740000000002</v>
      </c>
      <c r="Q9312">
        <v>25.132629999999999</v>
      </c>
      <c r="R9312">
        <v>25.40474</v>
      </c>
      <c r="S9312">
        <v>23.14912</v>
      </c>
      <c r="T9312">
        <v>2072.777</v>
      </c>
      <c r="U9312">
        <v>359.16489999999999</v>
      </c>
      <c r="V9312">
        <v>40.117539999999998</v>
      </c>
      <c r="W9312">
        <v>60</v>
      </c>
      <c r="X9312">
        <v>831.32979999999998</v>
      </c>
      <c r="Y9312">
        <v>160.30000000000001</v>
      </c>
      <c r="Z9312">
        <v>715.28250000000003</v>
      </c>
      <c r="AA9312">
        <v>480.40350000000001</v>
      </c>
      <c r="AB9312">
        <v>29.260870000000001</v>
      </c>
      <c r="AC9312">
        <v>1.26661E-2</v>
      </c>
      <c r="AD9312">
        <v>2.8099769999999999</v>
      </c>
      <c r="AE9312">
        <v>0.14696970000000001</v>
      </c>
      <c r="AF9312">
        <v>500.72460000000001</v>
      </c>
      <c r="AG9312">
        <f>IFERROR(AH9312*0.1, "N/A")</f>
        <v>4.9342110000000003</v>
      </c>
      <c r="AH9312">
        <v>49.342109999999998</v>
      </c>
      <c r="AI9312">
        <v>178.26070000000001</v>
      </c>
      <c r="AJ9312">
        <v>39.342109999999998</v>
      </c>
      <c r="AK9312">
        <v>47.835090000000001</v>
      </c>
    </row>
    <row r="9313" spans="1:37" x14ac:dyDescent="0.3">
      <c r="A9313">
        <v>9312</v>
      </c>
      <c r="B9313">
        <v>0</v>
      </c>
      <c r="C9313">
        <v>10.7667</v>
      </c>
      <c r="D9313">
        <v>3.3083300000000002</v>
      </c>
      <c r="E9313" t="s">
        <v>14163</v>
      </c>
      <c r="F9313" t="s">
        <v>14166</v>
      </c>
      <c r="G9313" t="s">
        <v>2420</v>
      </c>
      <c r="H9313">
        <v>1990</v>
      </c>
      <c r="I9313">
        <v>24.537369999999999</v>
      </c>
      <c r="J9313">
        <v>8.0508769999999998</v>
      </c>
      <c r="K9313">
        <v>75.461399999999998</v>
      </c>
      <c r="L9313">
        <v>8.6817550000000008</v>
      </c>
      <c r="M9313">
        <v>30.10474</v>
      </c>
      <c r="N9313">
        <v>19.5</v>
      </c>
      <c r="O9313">
        <v>10.60474</v>
      </c>
      <c r="P9313">
        <v>24.004740000000002</v>
      </c>
      <c r="Q9313">
        <v>25.132629999999999</v>
      </c>
      <c r="R9313">
        <v>25.40474</v>
      </c>
      <c r="S9313">
        <v>23.14912</v>
      </c>
      <c r="T9313">
        <v>2072.777</v>
      </c>
      <c r="U9313">
        <v>359.16489999999999</v>
      </c>
      <c r="V9313">
        <v>40.117539999999998</v>
      </c>
      <c r="W9313">
        <v>60</v>
      </c>
      <c r="X9313">
        <v>831.32979999999998</v>
      </c>
      <c r="Y9313">
        <v>160.30000000000001</v>
      </c>
      <c r="Z9313">
        <v>715.28250000000003</v>
      </c>
      <c r="AA9313">
        <v>480.40350000000001</v>
      </c>
      <c r="AB9313">
        <v>29.260870000000001</v>
      </c>
      <c r="AC9313">
        <v>1.26661E-2</v>
      </c>
      <c r="AD9313">
        <v>2.8099769999999999</v>
      </c>
      <c r="AE9313">
        <v>0.14696970000000001</v>
      </c>
      <c r="AF9313">
        <v>500.72460000000001</v>
      </c>
      <c r="AG9313">
        <f>IFERROR(AH9313*0.1, "N/A")</f>
        <v>4.9342110000000003</v>
      </c>
      <c r="AH9313">
        <v>49.342109999999998</v>
      </c>
      <c r="AI9313">
        <v>178.26070000000001</v>
      </c>
      <c r="AJ9313">
        <v>39.342109999999998</v>
      </c>
      <c r="AK9313">
        <v>47.835090000000001</v>
      </c>
    </row>
    <row r="9314" spans="1:37" x14ac:dyDescent="0.3">
      <c r="A9314">
        <v>9313</v>
      </c>
      <c r="B9314">
        <v>0</v>
      </c>
      <c r="C9314">
        <v>11.216699999999999</v>
      </c>
      <c r="D9314">
        <v>3.3333300000000001</v>
      </c>
      <c r="E9314" t="s">
        <v>14167</v>
      </c>
      <c r="F9314" t="s">
        <v>14168</v>
      </c>
      <c r="G9314" t="s">
        <v>37</v>
      </c>
      <c r="H9314">
        <v>1990</v>
      </c>
      <c r="I9314">
        <v>23.548590000000001</v>
      </c>
      <c r="J9314">
        <v>8.6975350000000002</v>
      </c>
      <c r="K9314">
        <v>78.721829999999997</v>
      </c>
      <c r="L9314">
        <v>7.6732399999999998</v>
      </c>
      <c r="M9314">
        <v>29.330629999999999</v>
      </c>
      <c r="N9314">
        <v>18.323239999999998</v>
      </c>
      <c r="O9314">
        <v>11.007389999999999</v>
      </c>
      <c r="P9314">
        <v>23.123239999999999</v>
      </c>
      <c r="Q9314">
        <v>24.128170000000001</v>
      </c>
      <c r="R9314">
        <v>24.40775</v>
      </c>
      <c r="S9314">
        <v>22.443660000000001</v>
      </c>
      <c r="T9314">
        <v>1841.6089999999999</v>
      </c>
      <c r="U9314">
        <v>321.02460000000002</v>
      </c>
      <c r="V9314">
        <v>32</v>
      </c>
      <c r="W9314">
        <v>58</v>
      </c>
      <c r="X9314">
        <v>734.20420000000001</v>
      </c>
      <c r="Y9314">
        <v>139.17959999999999</v>
      </c>
      <c r="Z9314">
        <v>417.44720000000001</v>
      </c>
      <c r="AA9314">
        <v>432.35559999999998</v>
      </c>
      <c r="AB9314">
        <v>105.5055</v>
      </c>
      <c r="AC9314">
        <v>9.1045980000000002E-3</v>
      </c>
      <c r="AD9314">
        <v>11.431839999999999</v>
      </c>
      <c r="AE9314">
        <v>0.19153510000000001</v>
      </c>
      <c r="AF9314">
        <v>777.32219999999995</v>
      </c>
      <c r="AG9314">
        <f>IFERROR(AH9314*0.1, "N/A")</f>
        <v>4.8003520000000002</v>
      </c>
      <c r="AH9314">
        <v>48.003520000000002</v>
      </c>
      <c r="AI9314">
        <v>126.7328</v>
      </c>
      <c r="AJ9314">
        <v>39.875</v>
      </c>
      <c r="AK9314">
        <v>47.707749999999997</v>
      </c>
    </row>
    <row r="9315" spans="1:37" x14ac:dyDescent="0.3">
      <c r="A9315">
        <v>9314</v>
      </c>
      <c r="B9315">
        <v>0</v>
      </c>
      <c r="C9315">
        <v>11.216699999999999</v>
      </c>
      <c r="D9315">
        <v>3.3333300000000001</v>
      </c>
      <c r="E9315" t="s">
        <v>14167</v>
      </c>
      <c r="F9315" t="s">
        <v>14169</v>
      </c>
      <c r="G9315" t="s">
        <v>2420</v>
      </c>
      <c r="H9315">
        <v>1990</v>
      </c>
      <c r="I9315">
        <v>23.548590000000001</v>
      </c>
      <c r="J9315">
        <v>8.6975350000000002</v>
      </c>
      <c r="K9315">
        <v>78.721829999999997</v>
      </c>
      <c r="L9315">
        <v>7.6732399999999998</v>
      </c>
      <c r="M9315">
        <v>29.330629999999999</v>
      </c>
      <c r="N9315">
        <v>18.323239999999998</v>
      </c>
      <c r="O9315">
        <v>11.007389999999999</v>
      </c>
      <c r="P9315">
        <v>23.123239999999999</v>
      </c>
      <c r="Q9315">
        <v>24.128170000000001</v>
      </c>
      <c r="R9315">
        <v>24.40775</v>
      </c>
      <c r="S9315">
        <v>22.443660000000001</v>
      </c>
      <c r="T9315">
        <v>1841.6089999999999</v>
      </c>
      <c r="U9315">
        <v>321.02460000000002</v>
      </c>
      <c r="V9315">
        <v>32</v>
      </c>
      <c r="W9315">
        <v>58</v>
      </c>
      <c r="X9315">
        <v>734.20420000000001</v>
      </c>
      <c r="Y9315">
        <v>139.17959999999999</v>
      </c>
      <c r="Z9315">
        <v>417.44720000000001</v>
      </c>
      <c r="AA9315">
        <v>432.35559999999998</v>
      </c>
      <c r="AB9315">
        <v>105.5055</v>
      </c>
      <c r="AC9315">
        <v>9.1045980000000002E-3</v>
      </c>
      <c r="AD9315">
        <v>11.431839999999999</v>
      </c>
      <c r="AE9315">
        <v>0.19153510000000001</v>
      </c>
      <c r="AF9315">
        <v>777.32219999999995</v>
      </c>
      <c r="AG9315">
        <f>IFERROR(AH9315*0.1, "N/A")</f>
        <v>4.8003520000000002</v>
      </c>
      <c r="AH9315">
        <v>48.003520000000002</v>
      </c>
      <c r="AI9315">
        <v>126.7328</v>
      </c>
      <c r="AJ9315">
        <v>39.875</v>
      </c>
      <c r="AK9315">
        <v>47.707749999999997</v>
      </c>
    </row>
    <row r="9316" spans="1:37" x14ac:dyDescent="0.3">
      <c r="A9316">
        <v>9315</v>
      </c>
      <c r="B9316">
        <v>0</v>
      </c>
      <c r="C9316">
        <v>12.25</v>
      </c>
      <c r="D9316">
        <v>3.3444400000000001</v>
      </c>
      <c r="E9316" t="s">
        <v>14170</v>
      </c>
      <c r="F9316" t="s">
        <v>14171</v>
      </c>
      <c r="G9316" t="s">
        <v>39</v>
      </c>
      <c r="H9316">
        <v>1990</v>
      </c>
      <c r="I9316">
        <v>23.9</v>
      </c>
      <c r="J9316">
        <v>9.3000000000000007</v>
      </c>
      <c r="K9316">
        <v>83</v>
      </c>
      <c r="L9316">
        <v>6.2477150000000004</v>
      </c>
      <c r="M9316">
        <v>29.977150000000002</v>
      </c>
      <c r="N9316">
        <v>18.87715</v>
      </c>
      <c r="O9316">
        <v>11.1</v>
      </c>
      <c r="P9316">
        <v>23.677150000000001</v>
      </c>
      <c r="Q9316">
        <v>24.2</v>
      </c>
      <c r="R9316">
        <v>24.677150000000001</v>
      </c>
      <c r="S9316">
        <v>23.07715</v>
      </c>
      <c r="T9316">
        <v>1620.4570000000001</v>
      </c>
      <c r="U9316">
        <v>284</v>
      </c>
      <c r="V9316">
        <v>28</v>
      </c>
      <c r="W9316">
        <v>58</v>
      </c>
      <c r="X9316">
        <v>653</v>
      </c>
      <c r="Y9316">
        <v>109</v>
      </c>
      <c r="Z9316">
        <v>365</v>
      </c>
      <c r="AA9316">
        <v>418.45690000000002</v>
      </c>
      <c r="AB9316">
        <v>6.6091119999999997</v>
      </c>
      <c r="AC9316">
        <v>2.1536429999999999E-2</v>
      </c>
      <c r="AD9316">
        <v>4.8694170000000003</v>
      </c>
      <c r="AE9316">
        <v>0.1200946</v>
      </c>
      <c r="AF9316">
        <v>643.94200000000001</v>
      </c>
      <c r="AG9316">
        <f>IFERROR(AH9316*0.1, "N/A")</f>
        <v>4.9228470000000009</v>
      </c>
      <c r="AH9316">
        <v>49.228470000000002</v>
      </c>
      <c r="AI9316">
        <v>109.3034</v>
      </c>
      <c r="AJ9316">
        <v>33</v>
      </c>
      <c r="AK9316">
        <v>56.228470000000002</v>
      </c>
    </row>
    <row r="9317" spans="1:37" x14ac:dyDescent="0.3">
      <c r="A9317">
        <v>9316</v>
      </c>
      <c r="B9317">
        <v>4.5</v>
      </c>
      <c r="C9317">
        <v>12.25</v>
      </c>
      <c r="D9317">
        <v>3.3444400000000001</v>
      </c>
      <c r="E9317" t="s">
        <v>14170</v>
      </c>
      <c r="F9317" t="s">
        <v>14172</v>
      </c>
      <c r="G9317" t="s">
        <v>37</v>
      </c>
      <c r="H9317">
        <v>1990</v>
      </c>
      <c r="I9317">
        <v>23.9</v>
      </c>
      <c r="J9317">
        <v>9.3000000000000007</v>
      </c>
      <c r="K9317">
        <v>83</v>
      </c>
      <c r="L9317">
        <v>6.2477150000000004</v>
      </c>
      <c r="M9317">
        <v>29.977150000000002</v>
      </c>
      <c r="N9317">
        <v>18.87715</v>
      </c>
      <c r="O9317">
        <v>11.1</v>
      </c>
      <c r="P9317">
        <v>23.677150000000001</v>
      </c>
      <c r="Q9317">
        <v>24.2</v>
      </c>
      <c r="R9317">
        <v>24.677150000000001</v>
      </c>
      <c r="S9317">
        <v>23.07715</v>
      </c>
      <c r="T9317">
        <v>1620.4570000000001</v>
      </c>
      <c r="U9317">
        <v>284</v>
      </c>
      <c r="V9317">
        <v>28</v>
      </c>
      <c r="W9317">
        <v>58</v>
      </c>
      <c r="X9317">
        <v>653</v>
      </c>
      <c r="Y9317">
        <v>109</v>
      </c>
      <c r="Z9317">
        <v>365</v>
      </c>
      <c r="AA9317">
        <v>418.45690000000002</v>
      </c>
      <c r="AB9317">
        <v>6.6091119999999997</v>
      </c>
      <c r="AC9317">
        <v>2.1536429999999999E-2</v>
      </c>
      <c r="AD9317">
        <v>4.8694170000000003</v>
      </c>
      <c r="AE9317">
        <v>0.1200946</v>
      </c>
      <c r="AF9317">
        <v>643.94200000000001</v>
      </c>
      <c r="AG9317">
        <f>IFERROR(AH9317*0.1, "N/A")</f>
        <v>4.9228470000000009</v>
      </c>
      <c r="AH9317">
        <v>49.228470000000002</v>
      </c>
      <c r="AI9317">
        <v>109.3034</v>
      </c>
      <c r="AJ9317">
        <v>33</v>
      </c>
      <c r="AK9317">
        <v>56.228470000000002</v>
      </c>
    </row>
    <row r="9318" spans="1:37" x14ac:dyDescent="0.3">
      <c r="A9318">
        <v>9317</v>
      </c>
      <c r="B9318">
        <v>0</v>
      </c>
      <c r="C9318">
        <v>12.25</v>
      </c>
      <c r="D9318">
        <v>3.3444400000000001</v>
      </c>
      <c r="E9318" t="s">
        <v>14170</v>
      </c>
      <c r="F9318" t="s">
        <v>14173</v>
      </c>
      <c r="G9318" t="s">
        <v>2420</v>
      </c>
      <c r="H9318">
        <v>1990</v>
      </c>
      <c r="I9318">
        <v>23.9</v>
      </c>
      <c r="J9318">
        <v>9.3000000000000007</v>
      </c>
      <c r="K9318">
        <v>83</v>
      </c>
      <c r="L9318">
        <v>6.2477150000000004</v>
      </c>
      <c r="M9318">
        <v>29.977150000000002</v>
      </c>
      <c r="N9318">
        <v>18.87715</v>
      </c>
      <c r="O9318">
        <v>11.1</v>
      </c>
      <c r="P9318">
        <v>23.677150000000001</v>
      </c>
      <c r="Q9318">
        <v>24.2</v>
      </c>
      <c r="R9318">
        <v>24.677150000000001</v>
      </c>
      <c r="S9318">
        <v>23.07715</v>
      </c>
      <c r="T9318">
        <v>1620.4570000000001</v>
      </c>
      <c r="U9318">
        <v>284</v>
      </c>
      <c r="V9318">
        <v>28</v>
      </c>
      <c r="W9318">
        <v>58</v>
      </c>
      <c r="X9318">
        <v>653</v>
      </c>
      <c r="Y9318">
        <v>109</v>
      </c>
      <c r="Z9318">
        <v>365</v>
      </c>
      <c r="AA9318">
        <v>418.45690000000002</v>
      </c>
      <c r="AB9318">
        <v>6.6091119999999997</v>
      </c>
      <c r="AC9318">
        <v>2.1536429999999999E-2</v>
      </c>
      <c r="AD9318">
        <v>4.8694170000000003</v>
      </c>
      <c r="AE9318">
        <v>0.1200946</v>
      </c>
      <c r="AF9318">
        <v>643.94200000000001</v>
      </c>
      <c r="AG9318">
        <f>IFERROR(AH9318*0.1, "N/A")</f>
        <v>4.9228470000000009</v>
      </c>
      <c r="AH9318">
        <v>49.228470000000002</v>
      </c>
      <c r="AI9318">
        <v>109.3034</v>
      </c>
      <c r="AJ9318">
        <v>33</v>
      </c>
      <c r="AK9318">
        <v>56.228470000000002</v>
      </c>
    </row>
    <row r="9319" spans="1:37" x14ac:dyDescent="0.3">
      <c r="A9319">
        <v>9318</v>
      </c>
      <c r="B9319">
        <v>0</v>
      </c>
      <c r="C9319">
        <v>11.175000000000001</v>
      </c>
      <c r="D9319">
        <v>3.39167</v>
      </c>
      <c r="E9319" t="s">
        <v>14174</v>
      </c>
      <c r="F9319" t="s">
        <v>14175</v>
      </c>
      <c r="G9319" t="s">
        <v>39</v>
      </c>
      <c r="H9319">
        <v>1990</v>
      </c>
      <c r="I9319">
        <v>23.652979999999999</v>
      </c>
      <c r="J9319">
        <v>8.6</v>
      </c>
      <c r="K9319">
        <v>77.780699999999996</v>
      </c>
      <c r="L9319">
        <v>7.8832100000000001</v>
      </c>
      <c r="M9319">
        <v>29.37491</v>
      </c>
      <c r="N9319">
        <v>18.352979999999999</v>
      </c>
      <c r="O9319">
        <v>11.021929999999999</v>
      </c>
      <c r="P9319">
        <v>23.152979999999999</v>
      </c>
      <c r="Q9319">
        <v>24.274909999999998</v>
      </c>
      <c r="R9319">
        <v>24.431930000000001</v>
      </c>
      <c r="S9319">
        <v>22.462980000000002</v>
      </c>
      <c r="T9319">
        <v>1857.6489999999999</v>
      </c>
      <c r="U9319">
        <v>324.52980000000002</v>
      </c>
      <c r="V9319">
        <v>31</v>
      </c>
      <c r="W9319">
        <v>58.119300000000003</v>
      </c>
      <c r="X9319">
        <v>742.05960000000005</v>
      </c>
      <c r="Y9319">
        <v>135</v>
      </c>
      <c r="Z9319">
        <v>304.1123</v>
      </c>
      <c r="AA9319">
        <v>447.1</v>
      </c>
      <c r="AB9319">
        <v>25.58156</v>
      </c>
      <c r="AC9319">
        <v>9.6110589999999999E-3</v>
      </c>
      <c r="AD9319">
        <v>4.299334</v>
      </c>
      <c r="AE9319">
        <v>0.16781789999999999</v>
      </c>
      <c r="AF9319">
        <v>702.12279999999998</v>
      </c>
      <c r="AG9319">
        <f>IFERROR(AH9319*0.1, "N/A")</f>
        <v>4.6424560000000001</v>
      </c>
      <c r="AH9319">
        <v>46.42456</v>
      </c>
      <c r="AI9319">
        <v>237.98779999999999</v>
      </c>
      <c r="AJ9319">
        <v>44.549120000000002</v>
      </c>
      <c r="AK9319">
        <v>47.854390000000002</v>
      </c>
    </row>
    <row r="9320" spans="1:37" x14ac:dyDescent="0.3">
      <c r="A9320">
        <v>9319</v>
      </c>
      <c r="B9320">
        <v>0</v>
      </c>
      <c r="C9320">
        <v>11.175000000000001</v>
      </c>
      <c r="D9320">
        <v>3.39167</v>
      </c>
      <c r="E9320" t="s">
        <v>14174</v>
      </c>
      <c r="F9320" t="s">
        <v>14176</v>
      </c>
      <c r="G9320" t="s">
        <v>37</v>
      </c>
      <c r="H9320">
        <v>1990</v>
      </c>
      <c r="I9320">
        <v>23.652979999999999</v>
      </c>
      <c r="J9320">
        <v>8.6</v>
      </c>
      <c r="K9320">
        <v>77.780699999999996</v>
      </c>
      <c r="L9320">
        <v>7.8832100000000001</v>
      </c>
      <c r="M9320">
        <v>29.37491</v>
      </c>
      <c r="N9320">
        <v>18.352979999999999</v>
      </c>
      <c r="O9320">
        <v>11.021929999999999</v>
      </c>
      <c r="P9320">
        <v>23.152979999999999</v>
      </c>
      <c r="Q9320">
        <v>24.274909999999998</v>
      </c>
      <c r="R9320">
        <v>24.431930000000001</v>
      </c>
      <c r="S9320">
        <v>22.462980000000002</v>
      </c>
      <c r="T9320">
        <v>1857.6489999999999</v>
      </c>
      <c r="U9320">
        <v>324.52980000000002</v>
      </c>
      <c r="V9320">
        <v>31</v>
      </c>
      <c r="W9320">
        <v>58.119300000000003</v>
      </c>
      <c r="X9320">
        <v>742.05960000000005</v>
      </c>
      <c r="Y9320">
        <v>135</v>
      </c>
      <c r="Z9320">
        <v>304.1123</v>
      </c>
      <c r="AA9320">
        <v>447.1</v>
      </c>
      <c r="AB9320">
        <v>25.58156</v>
      </c>
      <c r="AC9320">
        <v>9.6110589999999999E-3</v>
      </c>
      <c r="AD9320">
        <v>4.299334</v>
      </c>
      <c r="AE9320">
        <v>0.16781789999999999</v>
      </c>
      <c r="AF9320">
        <v>702.12279999999998</v>
      </c>
      <c r="AG9320">
        <f>IFERROR(AH9320*0.1, "N/A")</f>
        <v>4.6424560000000001</v>
      </c>
      <c r="AH9320">
        <v>46.42456</v>
      </c>
      <c r="AI9320">
        <v>237.98779999999999</v>
      </c>
      <c r="AJ9320">
        <v>44.549120000000002</v>
      </c>
      <c r="AK9320">
        <v>47.854390000000002</v>
      </c>
    </row>
    <row r="9321" spans="1:37" x14ac:dyDescent="0.3">
      <c r="A9321">
        <v>9320</v>
      </c>
      <c r="B9321">
        <v>9.1</v>
      </c>
      <c r="C9321">
        <v>11.175000000000001</v>
      </c>
      <c r="D9321">
        <v>3.39167</v>
      </c>
      <c r="E9321" t="s">
        <v>14174</v>
      </c>
      <c r="F9321" t="s">
        <v>14177</v>
      </c>
      <c r="G9321" t="s">
        <v>2420</v>
      </c>
      <c r="H9321">
        <v>1990</v>
      </c>
      <c r="I9321">
        <v>23.652979999999999</v>
      </c>
      <c r="J9321">
        <v>8.6</v>
      </c>
      <c r="K9321">
        <v>77.780699999999996</v>
      </c>
      <c r="L9321">
        <v>7.8832100000000001</v>
      </c>
      <c r="M9321">
        <v>29.37491</v>
      </c>
      <c r="N9321">
        <v>18.352979999999999</v>
      </c>
      <c r="O9321">
        <v>11.021929999999999</v>
      </c>
      <c r="P9321">
        <v>23.152979999999999</v>
      </c>
      <c r="Q9321">
        <v>24.274909999999998</v>
      </c>
      <c r="R9321">
        <v>24.431930000000001</v>
      </c>
      <c r="S9321">
        <v>22.462980000000002</v>
      </c>
      <c r="T9321">
        <v>1857.6489999999999</v>
      </c>
      <c r="U9321">
        <v>324.52980000000002</v>
      </c>
      <c r="V9321">
        <v>31</v>
      </c>
      <c r="W9321">
        <v>58.119300000000003</v>
      </c>
      <c r="X9321">
        <v>742.05960000000005</v>
      </c>
      <c r="Y9321">
        <v>135</v>
      </c>
      <c r="Z9321">
        <v>304.1123</v>
      </c>
      <c r="AA9321">
        <v>447.1</v>
      </c>
      <c r="AB9321">
        <v>25.58156</v>
      </c>
      <c r="AC9321">
        <v>9.6110589999999999E-3</v>
      </c>
      <c r="AD9321">
        <v>4.299334</v>
      </c>
      <c r="AE9321">
        <v>0.16781789999999999</v>
      </c>
      <c r="AF9321">
        <v>702.12279999999998</v>
      </c>
      <c r="AG9321">
        <f>IFERROR(AH9321*0.1, "N/A")</f>
        <v>4.6424560000000001</v>
      </c>
      <c r="AH9321">
        <v>46.42456</v>
      </c>
      <c r="AI9321">
        <v>237.98779999999999</v>
      </c>
      <c r="AJ9321">
        <v>44.549120000000002</v>
      </c>
      <c r="AK9321">
        <v>47.854390000000002</v>
      </c>
    </row>
    <row r="9322" spans="1:37" x14ac:dyDescent="0.3">
      <c r="A9322">
        <v>9321</v>
      </c>
      <c r="B9322">
        <v>0</v>
      </c>
      <c r="C9322">
        <v>12.166700000000001</v>
      </c>
      <c r="D9322">
        <v>3.4166699999999999</v>
      </c>
      <c r="E9322" t="s">
        <v>14178</v>
      </c>
      <c r="F9322" t="s">
        <v>14179</v>
      </c>
      <c r="G9322" t="s">
        <v>39</v>
      </c>
      <c r="H9322">
        <v>1990</v>
      </c>
      <c r="I9322">
        <v>23.837430000000001</v>
      </c>
      <c r="J9322">
        <v>9.3000000000000007</v>
      </c>
      <c r="K9322">
        <v>83.374340000000004</v>
      </c>
      <c r="L9322">
        <v>6.2562920000000002</v>
      </c>
      <c r="M9322">
        <v>29.9</v>
      </c>
      <c r="N9322">
        <v>18.837430000000001</v>
      </c>
      <c r="O9322">
        <v>11.062569999999999</v>
      </c>
      <c r="P9322">
        <v>23.537430000000001</v>
      </c>
      <c r="Q9322">
        <v>24.137429999999998</v>
      </c>
      <c r="R9322">
        <v>24.6</v>
      </c>
      <c r="S9322">
        <v>23</v>
      </c>
      <c r="T9322">
        <v>1619.4290000000001</v>
      </c>
      <c r="U9322">
        <v>284</v>
      </c>
      <c r="V9322">
        <v>27</v>
      </c>
      <c r="W9322">
        <v>58.374339999999997</v>
      </c>
      <c r="X9322">
        <v>654</v>
      </c>
      <c r="Y9322">
        <v>107.62569999999999</v>
      </c>
      <c r="Z9322">
        <v>364.62569999999999</v>
      </c>
      <c r="AA9322">
        <v>408.78210000000001</v>
      </c>
      <c r="AB9322">
        <v>16.601569999999999</v>
      </c>
      <c r="AC9322">
        <v>1.3166860000000001E-2</v>
      </c>
      <c r="AD9322">
        <v>4.8754499999999998</v>
      </c>
      <c r="AE9322">
        <v>0.13573279999999999</v>
      </c>
      <c r="AF9322">
        <v>670.71879999999999</v>
      </c>
      <c r="AG9322">
        <f>IFERROR(AH9322*0.1, "N/A")</f>
        <v>4.9551850000000002</v>
      </c>
      <c r="AH9322">
        <v>49.551850000000002</v>
      </c>
      <c r="AI9322">
        <v>62.61542</v>
      </c>
      <c r="AJ9322">
        <v>35.177500000000002</v>
      </c>
      <c r="AK9322">
        <v>55.759230000000002</v>
      </c>
    </row>
    <row r="9323" spans="1:37" x14ac:dyDescent="0.3">
      <c r="A9323">
        <v>9322</v>
      </c>
      <c r="B9323">
        <v>0</v>
      </c>
      <c r="C9323">
        <v>12.166700000000001</v>
      </c>
      <c r="D9323">
        <v>3.4166699999999999</v>
      </c>
      <c r="E9323" t="s">
        <v>14178</v>
      </c>
      <c r="F9323" t="s">
        <v>14180</v>
      </c>
      <c r="G9323" t="s">
        <v>37</v>
      </c>
      <c r="H9323">
        <v>1990</v>
      </c>
      <c r="I9323">
        <v>23.837430000000001</v>
      </c>
      <c r="J9323">
        <v>9.3000000000000007</v>
      </c>
      <c r="K9323">
        <v>83.374340000000004</v>
      </c>
      <c r="L9323">
        <v>6.2562920000000002</v>
      </c>
      <c r="M9323">
        <v>29.9</v>
      </c>
      <c r="N9323">
        <v>18.837430000000001</v>
      </c>
      <c r="O9323">
        <v>11.062569999999999</v>
      </c>
      <c r="P9323">
        <v>23.537430000000001</v>
      </c>
      <c r="Q9323">
        <v>24.137429999999998</v>
      </c>
      <c r="R9323">
        <v>24.6</v>
      </c>
      <c r="S9323">
        <v>23</v>
      </c>
      <c r="T9323">
        <v>1619.4290000000001</v>
      </c>
      <c r="U9323">
        <v>284</v>
      </c>
      <c r="V9323">
        <v>27</v>
      </c>
      <c r="W9323">
        <v>58.374339999999997</v>
      </c>
      <c r="X9323">
        <v>654</v>
      </c>
      <c r="Y9323">
        <v>107.62569999999999</v>
      </c>
      <c r="Z9323">
        <v>364.62569999999999</v>
      </c>
      <c r="AA9323">
        <v>408.78210000000001</v>
      </c>
      <c r="AB9323">
        <v>16.601569999999999</v>
      </c>
      <c r="AC9323">
        <v>1.3166860000000001E-2</v>
      </c>
      <c r="AD9323">
        <v>4.8754499999999998</v>
      </c>
      <c r="AE9323">
        <v>0.13573279999999999</v>
      </c>
      <c r="AF9323">
        <v>670.71879999999999</v>
      </c>
      <c r="AG9323">
        <f>IFERROR(AH9323*0.1, "N/A")</f>
        <v>4.9551850000000002</v>
      </c>
      <c r="AH9323">
        <v>49.551850000000002</v>
      </c>
      <c r="AI9323">
        <v>62.61542</v>
      </c>
      <c r="AJ9323">
        <v>35.177500000000002</v>
      </c>
      <c r="AK9323">
        <v>55.759230000000002</v>
      </c>
    </row>
    <row r="9324" spans="1:37" x14ac:dyDescent="0.3">
      <c r="A9324">
        <v>9323</v>
      </c>
      <c r="B9324">
        <v>0</v>
      </c>
      <c r="C9324">
        <v>12.166700000000001</v>
      </c>
      <c r="D9324">
        <v>3.4166699999999999</v>
      </c>
      <c r="E9324" t="s">
        <v>14178</v>
      </c>
      <c r="F9324" t="s">
        <v>14181</v>
      </c>
      <c r="G9324" t="s">
        <v>2420</v>
      </c>
      <c r="H9324">
        <v>1990</v>
      </c>
      <c r="I9324">
        <v>23.837430000000001</v>
      </c>
      <c r="J9324">
        <v>9.3000000000000007</v>
      </c>
      <c r="K9324">
        <v>83.374340000000004</v>
      </c>
      <c r="L9324">
        <v>6.2562920000000002</v>
      </c>
      <c r="M9324">
        <v>29.9</v>
      </c>
      <c r="N9324">
        <v>18.837430000000001</v>
      </c>
      <c r="O9324">
        <v>11.062569999999999</v>
      </c>
      <c r="P9324">
        <v>23.537430000000001</v>
      </c>
      <c r="Q9324">
        <v>24.137429999999998</v>
      </c>
      <c r="R9324">
        <v>24.6</v>
      </c>
      <c r="S9324">
        <v>23</v>
      </c>
      <c r="T9324">
        <v>1619.4290000000001</v>
      </c>
      <c r="U9324">
        <v>284</v>
      </c>
      <c r="V9324">
        <v>27</v>
      </c>
      <c r="W9324">
        <v>58.374339999999997</v>
      </c>
      <c r="X9324">
        <v>654</v>
      </c>
      <c r="Y9324">
        <v>107.62569999999999</v>
      </c>
      <c r="Z9324">
        <v>364.62569999999999</v>
      </c>
      <c r="AA9324">
        <v>408.78210000000001</v>
      </c>
      <c r="AB9324">
        <v>16.601569999999999</v>
      </c>
      <c r="AC9324">
        <v>1.3166860000000001E-2</v>
      </c>
      <c r="AD9324">
        <v>4.8754499999999998</v>
      </c>
      <c r="AE9324">
        <v>0.13573279999999999</v>
      </c>
      <c r="AF9324">
        <v>670.71879999999999</v>
      </c>
      <c r="AG9324">
        <f>IFERROR(AH9324*0.1, "N/A")</f>
        <v>4.9551850000000002</v>
      </c>
      <c r="AH9324">
        <v>49.551850000000002</v>
      </c>
      <c r="AI9324">
        <v>62.61542</v>
      </c>
      <c r="AJ9324">
        <v>35.177500000000002</v>
      </c>
      <c r="AK9324">
        <v>55.759230000000002</v>
      </c>
    </row>
    <row r="9325" spans="1:37" x14ac:dyDescent="0.3">
      <c r="A9325">
        <v>9324</v>
      </c>
      <c r="B9325">
        <v>0</v>
      </c>
      <c r="C9325">
        <v>11.2889</v>
      </c>
      <c r="D9325">
        <v>3.4222199999999998</v>
      </c>
      <c r="E9325" t="s">
        <v>14182</v>
      </c>
      <c r="F9325" t="s">
        <v>14183</v>
      </c>
      <c r="G9325" t="s">
        <v>39</v>
      </c>
      <c r="H9325">
        <v>1990</v>
      </c>
      <c r="I9325">
        <v>23.9</v>
      </c>
      <c r="J9325">
        <v>8.6999999999999993</v>
      </c>
      <c r="K9325">
        <v>79</v>
      </c>
      <c r="L9325">
        <v>7.78</v>
      </c>
      <c r="M9325">
        <v>29.7</v>
      </c>
      <c r="N9325">
        <v>18.7</v>
      </c>
      <c r="O9325">
        <v>11</v>
      </c>
      <c r="P9325">
        <v>23.4</v>
      </c>
      <c r="Q9325">
        <v>24.6</v>
      </c>
      <c r="R9325">
        <v>24.8</v>
      </c>
      <c r="S9325">
        <v>22.8</v>
      </c>
      <c r="T9325">
        <v>1804</v>
      </c>
      <c r="U9325">
        <v>317</v>
      </c>
      <c r="V9325">
        <v>30</v>
      </c>
      <c r="W9325">
        <v>59</v>
      </c>
      <c r="X9325">
        <v>723</v>
      </c>
      <c r="Y9325">
        <v>128</v>
      </c>
      <c r="Z9325">
        <v>433</v>
      </c>
      <c r="AA9325">
        <v>433</v>
      </c>
      <c r="AB9325">
        <v>12.216519999999999</v>
      </c>
      <c r="AC9325">
        <v>3.1496990000000002E-2</v>
      </c>
      <c r="AD9325">
        <v>4.3331660000000003</v>
      </c>
      <c r="AE9325">
        <v>0.1698356</v>
      </c>
      <c r="AF9325">
        <v>648.23860000000002</v>
      </c>
      <c r="AG9325">
        <f>IFERROR(AH9325*0.1, "N/A")</f>
        <v>4.9000000000000004</v>
      </c>
      <c r="AH9325">
        <v>49</v>
      </c>
      <c r="AI9325">
        <v>175.02160000000001</v>
      </c>
      <c r="AJ9325">
        <v>38.236840000000001</v>
      </c>
      <c r="AK9325">
        <v>50.37368</v>
      </c>
    </row>
    <row r="9326" spans="1:37" x14ac:dyDescent="0.3">
      <c r="A9326">
        <v>9325</v>
      </c>
      <c r="B9326">
        <v>1.4</v>
      </c>
      <c r="C9326">
        <v>11.2889</v>
      </c>
      <c r="D9326">
        <v>3.4222199999999998</v>
      </c>
      <c r="E9326" t="s">
        <v>14182</v>
      </c>
      <c r="F9326" t="s">
        <v>14184</v>
      </c>
      <c r="G9326" t="s">
        <v>37</v>
      </c>
      <c r="H9326">
        <v>1990</v>
      </c>
      <c r="I9326">
        <v>23.9</v>
      </c>
      <c r="J9326">
        <v>8.6999999999999993</v>
      </c>
      <c r="K9326">
        <v>79</v>
      </c>
      <c r="L9326">
        <v>7.78</v>
      </c>
      <c r="M9326">
        <v>29.7</v>
      </c>
      <c r="N9326">
        <v>18.7</v>
      </c>
      <c r="O9326">
        <v>11</v>
      </c>
      <c r="P9326">
        <v>23.4</v>
      </c>
      <c r="Q9326">
        <v>24.6</v>
      </c>
      <c r="R9326">
        <v>24.8</v>
      </c>
      <c r="S9326">
        <v>22.8</v>
      </c>
      <c r="T9326">
        <v>1804</v>
      </c>
      <c r="U9326">
        <v>317</v>
      </c>
      <c r="V9326">
        <v>30</v>
      </c>
      <c r="W9326">
        <v>59</v>
      </c>
      <c r="X9326">
        <v>723</v>
      </c>
      <c r="Y9326">
        <v>128</v>
      </c>
      <c r="Z9326">
        <v>433</v>
      </c>
      <c r="AA9326">
        <v>433</v>
      </c>
      <c r="AB9326">
        <v>12.216519999999999</v>
      </c>
      <c r="AC9326">
        <v>3.1496990000000002E-2</v>
      </c>
      <c r="AD9326">
        <v>4.3331660000000003</v>
      </c>
      <c r="AE9326">
        <v>0.1698356</v>
      </c>
      <c r="AF9326">
        <v>648.23860000000002</v>
      </c>
      <c r="AG9326">
        <f>IFERROR(AH9326*0.1, "N/A")</f>
        <v>4.9000000000000004</v>
      </c>
      <c r="AH9326">
        <v>49</v>
      </c>
      <c r="AI9326">
        <v>175.02160000000001</v>
      </c>
      <c r="AJ9326">
        <v>38.236840000000001</v>
      </c>
      <c r="AK9326">
        <v>50.37368</v>
      </c>
    </row>
    <row r="9327" spans="1:37" x14ac:dyDescent="0.3">
      <c r="A9327">
        <v>9326</v>
      </c>
      <c r="B9327">
        <v>0</v>
      </c>
      <c r="C9327">
        <v>11.2889</v>
      </c>
      <c r="D9327">
        <v>3.4222199999999998</v>
      </c>
      <c r="E9327" t="s">
        <v>14182</v>
      </c>
      <c r="F9327" t="s">
        <v>14185</v>
      </c>
      <c r="G9327" t="s">
        <v>2420</v>
      </c>
      <c r="H9327">
        <v>1990</v>
      </c>
      <c r="I9327">
        <v>23.9</v>
      </c>
      <c r="J9327">
        <v>8.6999999999999993</v>
      </c>
      <c r="K9327">
        <v>79</v>
      </c>
      <c r="L9327">
        <v>7.78</v>
      </c>
      <c r="M9327">
        <v>29.7</v>
      </c>
      <c r="N9327">
        <v>18.7</v>
      </c>
      <c r="O9327">
        <v>11</v>
      </c>
      <c r="P9327">
        <v>23.4</v>
      </c>
      <c r="Q9327">
        <v>24.6</v>
      </c>
      <c r="R9327">
        <v>24.8</v>
      </c>
      <c r="S9327">
        <v>22.8</v>
      </c>
      <c r="T9327">
        <v>1804</v>
      </c>
      <c r="U9327">
        <v>317</v>
      </c>
      <c r="V9327">
        <v>30</v>
      </c>
      <c r="W9327">
        <v>59</v>
      </c>
      <c r="X9327">
        <v>723</v>
      </c>
      <c r="Y9327">
        <v>128</v>
      </c>
      <c r="Z9327">
        <v>433</v>
      </c>
      <c r="AA9327">
        <v>433</v>
      </c>
      <c r="AB9327">
        <v>12.216519999999999</v>
      </c>
      <c r="AC9327">
        <v>3.1496990000000002E-2</v>
      </c>
      <c r="AD9327">
        <v>4.3331660000000003</v>
      </c>
      <c r="AE9327">
        <v>0.1698356</v>
      </c>
      <c r="AF9327">
        <v>648.23860000000002</v>
      </c>
      <c r="AG9327">
        <f>IFERROR(AH9327*0.1, "N/A")</f>
        <v>4.9000000000000004</v>
      </c>
      <c r="AH9327">
        <v>49</v>
      </c>
      <c r="AI9327">
        <v>175.02160000000001</v>
      </c>
      <c r="AJ9327">
        <v>38.236840000000001</v>
      </c>
      <c r="AK9327">
        <v>50.37368</v>
      </c>
    </row>
    <row r="9328" spans="1:37" x14ac:dyDescent="0.3">
      <c r="A9328">
        <v>9327</v>
      </c>
      <c r="B9328">
        <v>0</v>
      </c>
      <c r="C9328">
        <v>11.7722</v>
      </c>
      <c r="D9328">
        <v>3.4277799999999998</v>
      </c>
      <c r="E9328" t="s">
        <v>14186</v>
      </c>
      <c r="F9328" t="s">
        <v>14187</v>
      </c>
      <c r="G9328" t="s">
        <v>37</v>
      </c>
      <c r="H9328">
        <v>1990</v>
      </c>
      <c r="I9328">
        <v>23.7</v>
      </c>
      <c r="J9328">
        <v>9.1</v>
      </c>
      <c r="K9328">
        <v>82</v>
      </c>
      <c r="L9328">
        <v>6.6</v>
      </c>
      <c r="M9328">
        <v>29.6</v>
      </c>
      <c r="N9328">
        <v>18.600000000000001</v>
      </c>
      <c r="O9328">
        <v>11</v>
      </c>
      <c r="P9328">
        <v>23.3</v>
      </c>
      <c r="Q9328">
        <v>24.2</v>
      </c>
      <c r="R9328">
        <v>24.5</v>
      </c>
      <c r="S9328">
        <v>22.8</v>
      </c>
      <c r="T9328">
        <v>1661</v>
      </c>
      <c r="U9328">
        <v>291</v>
      </c>
      <c r="V9328">
        <v>29</v>
      </c>
      <c r="W9328">
        <v>58</v>
      </c>
      <c r="X9328">
        <v>667</v>
      </c>
      <c r="Y9328">
        <v>117</v>
      </c>
      <c r="Z9328">
        <v>390</v>
      </c>
      <c r="AA9328">
        <v>407</v>
      </c>
      <c r="AB9328">
        <v>2.9030070000000001</v>
      </c>
      <c r="AC9328">
        <v>0.18527440000000001</v>
      </c>
      <c r="AD9328">
        <v>3.0522580000000001</v>
      </c>
      <c r="AE9328">
        <v>0.18924489999999999</v>
      </c>
      <c r="AF9328">
        <v>680.40319999999997</v>
      </c>
      <c r="AG9328">
        <f>IFERROR(AH9328*0.1, "N/A")</f>
        <v>5.1000000000000005</v>
      </c>
      <c r="AH9328">
        <v>51</v>
      </c>
      <c r="AI9328">
        <v>259.26499999999999</v>
      </c>
      <c r="AJ9328">
        <v>35.697180000000003</v>
      </c>
      <c r="AK9328">
        <v>53.302819999999997</v>
      </c>
    </row>
    <row r="9329" spans="1:37" x14ac:dyDescent="0.3">
      <c r="A9329">
        <v>9328</v>
      </c>
      <c r="B9329">
        <v>0</v>
      </c>
      <c r="C9329">
        <v>11.7722</v>
      </c>
      <c r="D9329">
        <v>3.4277799999999998</v>
      </c>
      <c r="E9329" t="s">
        <v>14186</v>
      </c>
      <c r="F9329" t="s">
        <v>14188</v>
      </c>
      <c r="G9329" t="s">
        <v>2420</v>
      </c>
      <c r="H9329">
        <v>1990</v>
      </c>
      <c r="I9329">
        <v>23.7</v>
      </c>
      <c r="J9329">
        <v>9.1</v>
      </c>
      <c r="K9329">
        <v>82</v>
      </c>
      <c r="L9329">
        <v>6.6</v>
      </c>
      <c r="M9329">
        <v>29.6</v>
      </c>
      <c r="N9329">
        <v>18.600000000000001</v>
      </c>
      <c r="O9329">
        <v>11</v>
      </c>
      <c r="P9329">
        <v>23.3</v>
      </c>
      <c r="Q9329">
        <v>24.2</v>
      </c>
      <c r="R9329">
        <v>24.5</v>
      </c>
      <c r="S9329">
        <v>22.8</v>
      </c>
      <c r="T9329">
        <v>1661</v>
      </c>
      <c r="U9329">
        <v>291</v>
      </c>
      <c r="V9329">
        <v>29</v>
      </c>
      <c r="W9329">
        <v>58</v>
      </c>
      <c r="X9329">
        <v>667</v>
      </c>
      <c r="Y9329">
        <v>117</v>
      </c>
      <c r="Z9329">
        <v>390</v>
      </c>
      <c r="AA9329">
        <v>407</v>
      </c>
      <c r="AB9329">
        <v>2.9030070000000001</v>
      </c>
      <c r="AC9329">
        <v>0.18527440000000001</v>
      </c>
      <c r="AD9329">
        <v>3.0522580000000001</v>
      </c>
      <c r="AE9329">
        <v>0.18924489999999999</v>
      </c>
      <c r="AF9329">
        <v>680.40319999999997</v>
      </c>
      <c r="AG9329">
        <f>IFERROR(AH9329*0.1, "N/A")</f>
        <v>5.1000000000000005</v>
      </c>
      <c r="AH9329">
        <v>51</v>
      </c>
      <c r="AI9329">
        <v>259.26499999999999</v>
      </c>
      <c r="AJ9329">
        <v>35.697180000000003</v>
      </c>
      <c r="AK9329">
        <v>53.302819999999997</v>
      </c>
    </row>
    <row r="9330" spans="1:37" x14ac:dyDescent="0.3">
      <c r="A9330">
        <v>9329</v>
      </c>
      <c r="B9330">
        <v>2</v>
      </c>
      <c r="C9330">
        <v>12.458299999999999</v>
      </c>
      <c r="D9330">
        <v>3.4444400000000002</v>
      </c>
      <c r="E9330" t="s">
        <v>14189</v>
      </c>
      <c r="F9330" t="s">
        <v>14190</v>
      </c>
      <c r="G9330" t="s">
        <v>39</v>
      </c>
      <c r="H9330">
        <v>1990</v>
      </c>
      <c r="I9330">
        <v>23.785260000000001</v>
      </c>
      <c r="J9330">
        <v>9.4</v>
      </c>
      <c r="K9330">
        <v>83.852630000000005</v>
      </c>
      <c r="L9330">
        <v>6.0335789999999996</v>
      </c>
      <c r="M9330">
        <v>29.885259999999999</v>
      </c>
      <c r="N9330">
        <v>18.770530000000001</v>
      </c>
      <c r="O9330">
        <v>11.114739999999999</v>
      </c>
      <c r="P9330">
        <v>23.48526</v>
      </c>
      <c r="Q9330">
        <v>23.98526</v>
      </c>
      <c r="R9330">
        <v>24.48526</v>
      </c>
      <c r="S9330">
        <v>22.97053</v>
      </c>
      <c r="T9330">
        <v>1610.5889999999999</v>
      </c>
      <c r="U9330">
        <v>286</v>
      </c>
      <c r="V9330">
        <v>25.147369999999999</v>
      </c>
      <c r="W9330">
        <v>59</v>
      </c>
      <c r="X9330">
        <v>652.14739999999995</v>
      </c>
      <c r="Y9330">
        <v>104.1474</v>
      </c>
      <c r="Z9330">
        <v>353</v>
      </c>
      <c r="AA9330">
        <v>431.44209999999998</v>
      </c>
      <c r="AB9330">
        <v>34.887340000000002</v>
      </c>
      <c r="AC9330">
        <v>1.4236179999999999E-2</v>
      </c>
      <c r="AD9330">
        <v>2.4718439999999999</v>
      </c>
      <c r="AE9330">
        <v>0.23830999999999999</v>
      </c>
      <c r="AF9330">
        <v>679.59299999999996</v>
      </c>
      <c r="AG9330">
        <f>IFERROR(AH9330*0.1, "N/A")</f>
        <v>5.0908769999999999</v>
      </c>
      <c r="AH9330">
        <v>50.908769999999997</v>
      </c>
      <c r="AI9330">
        <v>250.28630000000001</v>
      </c>
      <c r="AJ9330">
        <v>33.52281</v>
      </c>
      <c r="AK9330">
        <v>55.673679999999997</v>
      </c>
    </row>
    <row r="9331" spans="1:37" x14ac:dyDescent="0.3">
      <c r="A9331">
        <v>9330</v>
      </c>
      <c r="B9331">
        <v>0</v>
      </c>
      <c r="C9331">
        <v>12.458299999999999</v>
      </c>
      <c r="D9331">
        <v>3.4444400000000002</v>
      </c>
      <c r="E9331" t="s">
        <v>14189</v>
      </c>
      <c r="F9331" t="s">
        <v>14191</v>
      </c>
      <c r="G9331" t="s">
        <v>37</v>
      </c>
      <c r="H9331">
        <v>1990</v>
      </c>
      <c r="I9331">
        <v>23.785260000000001</v>
      </c>
      <c r="J9331">
        <v>9.4</v>
      </c>
      <c r="K9331">
        <v>83.852630000000005</v>
      </c>
      <c r="L9331">
        <v>6.0335789999999996</v>
      </c>
      <c r="M9331">
        <v>29.885259999999999</v>
      </c>
      <c r="N9331">
        <v>18.770530000000001</v>
      </c>
      <c r="O9331">
        <v>11.114739999999999</v>
      </c>
      <c r="P9331">
        <v>23.48526</v>
      </c>
      <c r="Q9331">
        <v>23.98526</v>
      </c>
      <c r="R9331">
        <v>24.48526</v>
      </c>
      <c r="S9331">
        <v>22.97053</v>
      </c>
      <c r="T9331">
        <v>1610.5889999999999</v>
      </c>
      <c r="U9331">
        <v>286</v>
      </c>
      <c r="V9331">
        <v>25.147369999999999</v>
      </c>
      <c r="W9331">
        <v>59</v>
      </c>
      <c r="X9331">
        <v>652.14739999999995</v>
      </c>
      <c r="Y9331">
        <v>104.1474</v>
      </c>
      <c r="Z9331">
        <v>353</v>
      </c>
      <c r="AA9331">
        <v>431.44209999999998</v>
      </c>
      <c r="AB9331">
        <v>34.887340000000002</v>
      </c>
      <c r="AC9331">
        <v>1.4236179999999999E-2</v>
      </c>
      <c r="AD9331">
        <v>2.4718439999999999</v>
      </c>
      <c r="AE9331">
        <v>0.23830999999999999</v>
      </c>
      <c r="AF9331">
        <v>679.59299999999996</v>
      </c>
      <c r="AG9331">
        <f>IFERROR(AH9331*0.1, "N/A")</f>
        <v>5.0908769999999999</v>
      </c>
      <c r="AH9331">
        <v>50.908769999999997</v>
      </c>
      <c r="AI9331">
        <v>250.28630000000001</v>
      </c>
      <c r="AJ9331">
        <v>33.52281</v>
      </c>
      <c r="AK9331">
        <v>55.673679999999997</v>
      </c>
    </row>
    <row r="9332" spans="1:37" x14ac:dyDescent="0.3">
      <c r="A9332">
        <v>9331</v>
      </c>
      <c r="B9332">
        <v>0</v>
      </c>
      <c r="C9332">
        <v>12.458299999999999</v>
      </c>
      <c r="D9332">
        <v>3.4444400000000002</v>
      </c>
      <c r="E9332" t="s">
        <v>14189</v>
      </c>
      <c r="F9332" t="s">
        <v>14192</v>
      </c>
      <c r="G9332" t="s">
        <v>2420</v>
      </c>
      <c r="H9332">
        <v>1990</v>
      </c>
      <c r="I9332">
        <v>23.785260000000001</v>
      </c>
      <c r="J9332">
        <v>9.4</v>
      </c>
      <c r="K9332">
        <v>83.852630000000005</v>
      </c>
      <c r="L9332">
        <v>6.0335789999999996</v>
      </c>
      <c r="M9332">
        <v>29.885259999999999</v>
      </c>
      <c r="N9332">
        <v>18.770530000000001</v>
      </c>
      <c r="O9332">
        <v>11.114739999999999</v>
      </c>
      <c r="P9332">
        <v>23.48526</v>
      </c>
      <c r="Q9332">
        <v>23.98526</v>
      </c>
      <c r="R9332">
        <v>24.48526</v>
      </c>
      <c r="S9332">
        <v>22.97053</v>
      </c>
      <c r="T9332">
        <v>1610.5889999999999</v>
      </c>
      <c r="U9332">
        <v>286</v>
      </c>
      <c r="V9332">
        <v>25.147369999999999</v>
      </c>
      <c r="W9332">
        <v>59</v>
      </c>
      <c r="X9332">
        <v>652.14739999999995</v>
      </c>
      <c r="Y9332">
        <v>104.1474</v>
      </c>
      <c r="Z9332">
        <v>353</v>
      </c>
      <c r="AA9332">
        <v>431.44209999999998</v>
      </c>
      <c r="AB9332">
        <v>34.887340000000002</v>
      </c>
      <c r="AC9332">
        <v>1.4236179999999999E-2</v>
      </c>
      <c r="AD9332">
        <v>2.4718439999999999</v>
      </c>
      <c r="AE9332">
        <v>0.23830999999999999</v>
      </c>
      <c r="AF9332">
        <v>679.59299999999996</v>
      </c>
      <c r="AG9332">
        <f>IFERROR(AH9332*0.1, "N/A")</f>
        <v>5.0908769999999999</v>
      </c>
      <c r="AH9332">
        <v>50.908769999999997</v>
      </c>
      <c r="AI9332">
        <v>250.28630000000001</v>
      </c>
      <c r="AJ9332">
        <v>33.52281</v>
      </c>
      <c r="AK9332">
        <v>55.673679999999997</v>
      </c>
    </row>
    <row r="9333" spans="1:37" x14ac:dyDescent="0.3">
      <c r="A9333">
        <v>9332</v>
      </c>
      <c r="B9333">
        <v>0</v>
      </c>
      <c r="C9333">
        <v>11.338900000000001</v>
      </c>
      <c r="D9333">
        <v>3.4555600000000002</v>
      </c>
      <c r="E9333" t="s">
        <v>14193</v>
      </c>
      <c r="F9333" t="s">
        <v>14194</v>
      </c>
      <c r="G9333" t="s">
        <v>39</v>
      </c>
      <c r="H9333">
        <v>1990</v>
      </c>
      <c r="I9333">
        <v>23.7</v>
      </c>
      <c r="J9333">
        <v>8.8000000000000007</v>
      </c>
      <c r="K9333">
        <v>79</v>
      </c>
      <c r="L9333">
        <v>7.6</v>
      </c>
      <c r="M9333">
        <v>29.5</v>
      </c>
      <c r="N9333">
        <v>18.399999999999999</v>
      </c>
      <c r="O9333">
        <v>11.1</v>
      </c>
      <c r="P9333">
        <v>23.2</v>
      </c>
      <c r="Q9333">
        <v>24.3</v>
      </c>
      <c r="R9333">
        <v>24.5</v>
      </c>
      <c r="S9333">
        <v>22.7</v>
      </c>
      <c r="T9333">
        <v>1780</v>
      </c>
      <c r="U9333">
        <v>313</v>
      </c>
      <c r="V9333">
        <v>29</v>
      </c>
      <c r="W9333">
        <v>59</v>
      </c>
      <c r="X9333">
        <v>713</v>
      </c>
      <c r="Y9333">
        <v>125</v>
      </c>
      <c r="Z9333">
        <v>425</v>
      </c>
      <c r="AA9333">
        <v>433</v>
      </c>
      <c r="AB9333">
        <v>14.23174</v>
      </c>
      <c r="AC9333">
        <v>3.0678589999999999E-2</v>
      </c>
      <c r="AD9333">
        <v>4.9241140000000003</v>
      </c>
      <c r="AE9333">
        <v>0.18042079999999999</v>
      </c>
      <c r="AF9333">
        <v>682.73559999999998</v>
      </c>
      <c r="AG9333">
        <f>IFERROR(AH9333*0.1, "N/A")</f>
        <v>4.7992990000000004</v>
      </c>
      <c r="AH9333">
        <v>47.992989999999999</v>
      </c>
      <c r="AI9333">
        <v>190.2055</v>
      </c>
      <c r="AJ9333">
        <v>35.625219999999999</v>
      </c>
      <c r="AK9333">
        <v>54.672499999999999</v>
      </c>
    </row>
    <row r="9334" spans="1:37" x14ac:dyDescent="0.3">
      <c r="A9334">
        <v>9333</v>
      </c>
      <c r="B9334">
        <v>0</v>
      </c>
      <c r="C9334">
        <v>11.338900000000001</v>
      </c>
      <c r="D9334">
        <v>3.4555600000000002</v>
      </c>
      <c r="E9334" t="s">
        <v>14193</v>
      </c>
      <c r="F9334" t="s">
        <v>14195</v>
      </c>
      <c r="G9334" t="s">
        <v>37</v>
      </c>
      <c r="H9334">
        <v>1990</v>
      </c>
      <c r="I9334">
        <v>23.7</v>
      </c>
      <c r="J9334">
        <v>8.8000000000000007</v>
      </c>
      <c r="K9334">
        <v>79</v>
      </c>
      <c r="L9334">
        <v>7.6</v>
      </c>
      <c r="M9334">
        <v>29.5</v>
      </c>
      <c r="N9334">
        <v>18.399999999999999</v>
      </c>
      <c r="O9334">
        <v>11.1</v>
      </c>
      <c r="P9334">
        <v>23.2</v>
      </c>
      <c r="Q9334">
        <v>24.3</v>
      </c>
      <c r="R9334">
        <v>24.5</v>
      </c>
      <c r="S9334">
        <v>22.7</v>
      </c>
      <c r="T9334">
        <v>1780</v>
      </c>
      <c r="U9334">
        <v>313</v>
      </c>
      <c r="V9334">
        <v>29</v>
      </c>
      <c r="W9334">
        <v>59</v>
      </c>
      <c r="X9334">
        <v>713</v>
      </c>
      <c r="Y9334">
        <v>125</v>
      </c>
      <c r="Z9334">
        <v>425</v>
      </c>
      <c r="AA9334">
        <v>433</v>
      </c>
      <c r="AB9334">
        <v>14.23174</v>
      </c>
      <c r="AC9334">
        <v>3.0678589999999999E-2</v>
      </c>
      <c r="AD9334">
        <v>4.9241140000000003</v>
      </c>
      <c r="AE9334">
        <v>0.18042079999999999</v>
      </c>
      <c r="AF9334">
        <v>682.73559999999998</v>
      </c>
      <c r="AG9334">
        <f>IFERROR(AH9334*0.1, "N/A")</f>
        <v>4.7992990000000004</v>
      </c>
      <c r="AH9334">
        <v>47.992989999999999</v>
      </c>
      <c r="AI9334">
        <v>190.2055</v>
      </c>
      <c r="AJ9334">
        <v>35.625219999999999</v>
      </c>
      <c r="AK9334">
        <v>54.672499999999999</v>
      </c>
    </row>
    <row r="9335" spans="1:37" x14ac:dyDescent="0.3">
      <c r="A9335">
        <v>9334</v>
      </c>
      <c r="B9335">
        <v>0</v>
      </c>
      <c r="C9335">
        <v>11.338900000000001</v>
      </c>
      <c r="D9335">
        <v>3.4555600000000002</v>
      </c>
      <c r="E9335" t="s">
        <v>14193</v>
      </c>
      <c r="F9335" t="s">
        <v>14196</v>
      </c>
      <c r="G9335" t="s">
        <v>2420</v>
      </c>
      <c r="H9335">
        <v>1990</v>
      </c>
      <c r="I9335">
        <v>23.7</v>
      </c>
      <c r="J9335">
        <v>8.8000000000000007</v>
      </c>
      <c r="K9335">
        <v>79</v>
      </c>
      <c r="L9335">
        <v>7.6</v>
      </c>
      <c r="M9335">
        <v>29.5</v>
      </c>
      <c r="N9335">
        <v>18.399999999999999</v>
      </c>
      <c r="O9335">
        <v>11.1</v>
      </c>
      <c r="P9335">
        <v>23.2</v>
      </c>
      <c r="Q9335">
        <v>24.3</v>
      </c>
      <c r="R9335">
        <v>24.5</v>
      </c>
      <c r="S9335">
        <v>22.7</v>
      </c>
      <c r="T9335">
        <v>1780</v>
      </c>
      <c r="U9335">
        <v>313</v>
      </c>
      <c r="V9335">
        <v>29</v>
      </c>
      <c r="W9335">
        <v>59</v>
      </c>
      <c r="X9335">
        <v>713</v>
      </c>
      <c r="Y9335">
        <v>125</v>
      </c>
      <c r="Z9335">
        <v>425</v>
      </c>
      <c r="AA9335">
        <v>433</v>
      </c>
      <c r="AB9335">
        <v>14.23174</v>
      </c>
      <c r="AC9335">
        <v>3.0678589999999999E-2</v>
      </c>
      <c r="AD9335">
        <v>4.9241140000000003</v>
      </c>
      <c r="AE9335">
        <v>0.18042079999999999</v>
      </c>
      <c r="AF9335">
        <v>682.73559999999998</v>
      </c>
      <c r="AG9335">
        <f>IFERROR(AH9335*0.1, "N/A")</f>
        <v>4.7992990000000004</v>
      </c>
      <c r="AH9335">
        <v>47.992989999999999</v>
      </c>
      <c r="AI9335">
        <v>190.2055</v>
      </c>
      <c r="AJ9335">
        <v>35.625219999999999</v>
      </c>
      <c r="AK9335">
        <v>54.672499999999999</v>
      </c>
    </row>
    <row r="9336" spans="1:37" x14ac:dyDescent="0.3">
      <c r="A9336">
        <v>9335</v>
      </c>
      <c r="B9336">
        <v>4.8</v>
      </c>
      <c r="C9336">
        <v>11.3056</v>
      </c>
      <c r="D9336">
        <v>3.4611100000000001</v>
      </c>
      <c r="E9336" t="s">
        <v>14197</v>
      </c>
      <c r="F9336" t="s">
        <v>14198</v>
      </c>
      <c r="G9336" t="s">
        <v>37</v>
      </c>
      <c r="H9336">
        <v>1990</v>
      </c>
      <c r="I9336">
        <v>23.8</v>
      </c>
      <c r="J9336">
        <v>8.6999999999999993</v>
      </c>
      <c r="K9336">
        <v>78</v>
      </c>
      <c r="L9336">
        <v>7.48</v>
      </c>
      <c r="M9336">
        <v>29.6</v>
      </c>
      <c r="N9336">
        <v>18.5</v>
      </c>
      <c r="O9336">
        <v>11.1</v>
      </c>
      <c r="P9336">
        <v>23.4</v>
      </c>
      <c r="Q9336">
        <v>24.4</v>
      </c>
      <c r="R9336">
        <v>24.6</v>
      </c>
      <c r="S9336">
        <v>22.8</v>
      </c>
      <c r="T9336">
        <v>1794</v>
      </c>
      <c r="U9336">
        <v>315</v>
      </c>
      <c r="V9336">
        <v>29</v>
      </c>
      <c r="W9336">
        <v>59</v>
      </c>
      <c r="X9336">
        <v>718</v>
      </c>
      <c r="Y9336">
        <v>125</v>
      </c>
      <c r="Z9336">
        <v>428</v>
      </c>
      <c r="AA9336">
        <v>438</v>
      </c>
      <c r="AB9336">
        <v>4.5964689999999999</v>
      </c>
      <c r="AC9336">
        <v>0.1621792</v>
      </c>
      <c r="AD9336">
        <v>4.8901909999999997</v>
      </c>
      <c r="AE9336">
        <v>0.1866401</v>
      </c>
      <c r="AF9336">
        <v>655.30579999999998</v>
      </c>
      <c r="AG9336">
        <f>IFERROR(AH9336*0.1, "N/A")</f>
        <v>4.7947280000000001</v>
      </c>
      <c r="AH9336">
        <v>47.947279999999999</v>
      </c>
      <c r="AI9336">
        <v>223.99760000000001</v>
      </c>
      <c r="AJ9336">
        <v>36.105449999999998</v>
      </c>
      <c r="AK9336">
        <v>54.841830000000002</v>
      </c>
    </row>
    <row r="9337" spans="1:37" x14ac:dyDescent="0.3">
      <c r="A9337">
        <v>9336</v>
      </c>
      <c r="B9337">
        <v>0</v>
      </c>
      <c r="C9337">
        <v>11.3056</v>
      </c>
      <c r="D9337">
        <v>3.4611100000000001</v>
      </c>
      <c r="E9337" t="s">
        <v>14197</v>
      </c>
      <c r="F9337" t="s">
        <v>14199</v>
      </c>
      <c r="G9337" t="s">
        <v>2420</v>
      </c>
      <c r="H9337">
        <v>1990</v>
      </c>
      <c r="I9337">
        <v>23.8</v>
      </c>
      <c r="J9337">
        <v>8.6999999999999993</v>
      </c>
      <c r="K9337">
        <v>78</v>
      </c>
      <c r="L9337">
        <v>7.48</v>
      </c>
      <c r="M9337">
        <v>29.6</v>
      </c>
      <c r="N9337">
        <v>18.5</v>
      </c>
      <c r="O9337">
        <v>11.1</v>
      </c>
      <c r="P9337">
        <v>23.4</v>
      </c>
      <c r="Q9337">
        <v>24.4</v>
      </c>
      <c r="R9337">
        <v>24.6</v>
      </c>
      <c r="S9337">
        <v>22.8</v>
      </c>
      <c r="T9337">
        <v>1794</v>
      </c>
      <c r="U9337">
        <v>315</v>
      </c>
      <c r="V9337">
        <v>29</v>
      </c>
      <c r="W9337">
        <v>59</v>
      </c>
      <c r="X9337">
        <v>718</v>
      </c>
      <c r="Y9337">
        <v>125</v>
      </c>
      <c r="Z9337">
        <v>428</v>
      </c>
      <c r="AA9337">
        <v>438</v>
      </c>
      <c r="AB9337">
        <v>4.5964689999999999</v>
      </c>
      <c r="AC9337">
        <v>0.1621792</v>
      </c>
      <c r="AD9337">
        <v>4.8901909999999997</v>
      </c>
      <c r="AE9337">
        <v>0.1866401</v>
      </c>
      <c r="AF9337">
        <v>655.30579999999998</v>
      </c>
      <c r="AG9337">
        <f>IFERROR(AH9337*0.1, "N/A")</f>
        <v>4.7947280000000001</v>
      </c>
      <c r="AH9337">
        <v>47.947279999999999</v>
      </c>
      <c r="AI9337">
        <v>223.99760000000001</v>
      </c>
      <c r="AJ9337">
        <v>36.105449999999998</v>
      </c>
      <c r="AK9337">
        <v>54.841830000000002</v>
      </c>
    </row>
    <row r="9338" spans="1:37" x14ac:dyDescent="0.3">
      <c r="A9338">
        <v>9337</v>
      </c>
      <c r="B9338">
        <v>0</v>
      </c>
      <c r="C9338">
        <v>15.0222</v>
      </c>
      <c r="D9338">
        <v>3.4611100000000001</v>
      </c>
      <c r="E9338" t="s">
        <v>14200</v>
      </c>
      <c r="F9338" t="s">
        <v>14201</v>
      </c>
      <c r="G9338" t="s">
        <v>39</v>
      </c>
      <c r="H9338">
        <v>1990</v>
      </c>
      <c r="I9338">
        <v>24</v>
      </c>
      <c r="J9338">
        <v>10.8</v>
      </c>
      <c r="K9338">
        <v>81</v>
      </c>
      <c r="L9338">
        <v>5.41</v>
      </c>
      <c r="M9338">
        <v>30.8</v>
      </c>
      <c r="N9338">
        <v>17.5</v>
      </c>
      <c r="O9338">
        <v>13.3</v>
      </c>
      <c r="P9338">
        <v>23.9</v>
      </c>
      <c r="Q9338">
        <v>23.7</v>
      </c>
      <c r="R9338">
        <v>24.8</v>
      </c>
      <c r="S9338">
        <v>23.4</v>
      </c>
      <c r="T9338">
        <v>1600</v>
      </c>
      <c r="U9338">
        <v>241</v>
      </c>
      <c r="V9338">
        <v>23</v>
      </c>
      <c r="W9338">
        <v>46</v>
      </c>
      <c r="X9338">
        <v>593</v>
      </c>
      <c r="Y9338">
        <v>135</v>
      </c>
      <c r="Z9338">
        <v>499</v>
      </c>
      <c r="AA9338">
        <v>449</v>
      </c>
      <c r="AB9338">
        <v>14.044739999999999</v>
      </c>
      <c r="AC9338">
        <v>0.28330749999999999</v>
      </c>
      <c r="AD9338">
        <v>3.2489560000000002</v>
      </c>
      <c r="AE9338">
        <v>0.1658656</v>
      </c>
      <c r="AF9338">
        <v>528.84739999999999</v>
      </c>
      <c r="AG9338">
        <f>IFERROR(AH9338*0.1, "N/A")</f>
        <v>5.2</v>
      </c>
      <c r="AH9338">
        <v>52</v>
      </c>
      <c r="AI9338">
        <v>254.96250000000001</v>
      </c>
      <c r="AJ9338">
        <v>32.771929999999998</v>
      </c>
      <c r="AK9338">
        <v>55</v>
      </c>
    </row>
    <row r="9339" spans="1:37" x14ac:dyDescent="0.3">
      <c r="A9339">
        <v>9338</v>
      </c>
      <c r="B9339">
        <v>0</v>
      </c>
      <c r="C9339">
        <v>15.0222</v>
      </c>
      <c r="D9339">
        <v>3.4611100000000001</v>
      </c>
      <c r="E9339" t="s">
        <v>14200</v>
      </c>
      <c r="F9339" t="s">
        <v>14202</v>
      </c>
      <c r="G9339" t="s">
        <v>37</v>
      </c>
      <c r="H9339">
        <v>1990</v>
      </c>
      <c r="I9339">
        <v>24</v>
      </c>
      <c r="J9339">
        <v>10.8</v>
      </c>
      <c r="K9339">
        <v>81</v>
      </c>
      <c r="L9339">
        <v>5.41</v>
      </c>
      <c r="M9339">
        <v>30.8</v>
      </c>
      <c r="N9339">
        <v>17.5</v>
      </c>
      <c r="O9339">
        <v>13.3</v>
      </c>
      <c r="P9339">
        <v>23.9</v>
      </c>
      <c r="Q9339">
        <v>23.7</v>
      </c>
      <c r="R9339">
        <v>24.8</v>
      </c>
      <c r="S9339">
        <v>23.4</v>
      </c>
      <c r="T9339">
        <v>1600</v>
      </c>
      <c r="U9339">
        <v>241</v>
      </c>
      <c r="V9339">
        <v>23</v>
      </c>
      <c r="W9339">
        <v>46</v>
      </c>
      <c r="X9339">
        <v>593</v>
      </c>
      <c r="Y9339">
        <v>135</v>
      </c>
      <c r="Z9339">
        <v>499</v>
      </c>
      <c r="AA9339">
        <v>449</v>
      </c>
      <c r="AB9339">
        <v>14.044739999999999</v>
      </c>
      <c r="AC9339">
        <v>0.28330749999999999</v>
      </c>
      <c r="AD9339">
        <v>3.2489560000000002</v>
      </c>
      <c r="AE9339">
        <v>0.1658656</v>
      </c>
      <c r="AF9339">
        <v>528.84739999999999</v>
      </c>
      <c r="AG9339">
        <f>IFERROR(AH9339*0.1, "N/A")</f>
        <v>5.2</v>
      </c>
      <c r="AH9339">
        <v>52</v>
      </c>
      <c r="AI9339">
        <v>254.96250000000001</v>
      </c>
      <c r="AJ9339">
        <v>32.771929999999998</v>
      </c>
      <c r="AK9339">
        <v>55</v>
      </c>
    </row>
    <row r="9340" spans="1:37" x14ac:dyDescent="0.3">
      <c r="A9340">
        <v>9339</v>
      </c>
      <c r="B9340">
        <v>0</v>
      </c>
      <c r="C9340">
        <v>15.0222</v>
      </c>
      <c r="D9340">
        <v>3.4611100000000001</v>
      </c>
      <c r="E9340" t="s">
        <v>14200</v>
      </c>
      <c r="F9340" t="s">
        <v>14203</v>
      </c>
      <c r="G9340" t="s">
        <v>2420</v>
      </c>
      <c r="H9340">
        <v>1990</v>
      </c>
      <c r="I9340">
        <v>24</v>
      </c>
      <c r="J9340">
        <v>10.8</v>
      </c>
      <c r="K9340">
        <v>81</v>
      </c>
      <c r="L9340">
        <v>5.41</v>
      </c>
      <c r="M9340">
        <v>30.8</v>
      </c>
      <c r="N9340">
        <v>17.5</v>
      </c>
      <c r="O9340">
        <v>13.3</v>
      </c>
      <c r="P9340">
        <v>23.9</v>
      </c>
      <c r="Q9340">
        <v>23.7</v>
      </c>
      <c r="R9340">
        <v>24.8</v>
      </c>
      <c r="S9340">
        <v>23.4</v>
      </c>
      <c r="T9340">
        <v>1600</v>
      </c>
      <c r="U9340">
        <v>241</v>
      </c>
      <c r="V9340">
        <v>23</v>
      </c>
      <c r="W9340">
        <v>46</v>
      </c>
      <c r="X9340">
        <v>593</v>
      </c>
      <c r="Y9340">
        <v>135</v>
      </c>
      <c r="Z9340">
        <v>499</v>
      </c>
      <c r="AA9340">
        <v>449</v>
      </c>
      <c r="AB9340">
        <v>14.044739999999999</v>
      </c>
      <c r="AC9340">
        <v>0.28330749999999999</v>
      </c>
      <c r="AD9340">
        <v>3.2489560000000002</v>
      </c>
      <c r="AE9340">
        <v>0.1658656</v>
      </c>
      <c r="AF9340">
        <v>528.84739999999999</v>
      </c>
      <c r="AG9340">
        <f>IFERROR(AH9340*0.1, "N/A")</f>
        <v>5.2</v>
      </c>
      <c r="AH9340">
        <v>52</v>
      </c>
      <c r="AI9340">
        <v>254.96250000000001</v>
      </c>
      <c r="AJ9340">
        <v>32.771929999999998</v>
      </c>
      <c r="AK9340">
        <v>55</v>
      </c>
    </row>
    <row r="9341" spans="1:37" x14ac:dyDescent="0.3">
      <c r="A9341">
        <v>9340</v>
      </c>
      <c r="B9341">
        <v>0</v>
      </c>
      <c r="C9341">
        <v>11.6333</v>
      </c>
      <c r="D9341">
        <v>3.4722200000000001</v>
      </c>
      <c r="E9341" t="s">
        <v>14204</v>
      </c>
      <c r="F9341" t="s">
        <v>14205</v>
      </c>
      <c r="G9341" t="s">
        <v>37</v>
      </c>
      <c r="H9341">
        <v>1990</v>
      </c>
      <c r="I9341">
        <v>23.938659999999999</v>
      </c>
      <c r="J9341">
        <v>9</v>
      </c>
      <c r="K9341">
        <v>81</v>
      </c>
      <c r="L9341">
        <v>6.7350620000000001</v>
      </c>
      <c r="M9341">
        <v>29.738659999999999</v>
      </c>
      <c r="N9341">
        <v>18.7</v>
      </c>
      <c r="O9341">
        <v>11.03866</v>
      </c>
      <c r="P9341">
        <v>23.5</v>
      </c>
      <c r="Q9341">
        <v>24.438659999999999</v>
      </c>
      <c r="R9341">
        <v>24.638660000000002</v>
      </c>
      <c r="S9341">
        <v>22.938659999999999</v>
      </c>
      <c r="T9341">
        <v>1680.3869999999999</v>
      </c>
      <c r="U9341">
        <v>296</v>
      </c>
      <c r="V9341">
        <v>28</v>
      </c>
      <c r="W9341">
        <v>59</v>
      </c>
      <c r="X9341">
        <v>675</v>
      </c>
      <c r="Y9341">
        <v>117</v>
      </c>
      <c r="Z9341">
        <v>235</v>
      </c>
      <c r="AA9341">
        <v>409</v>
      </c>
      <c r="AB9341">
        <v>16.18365</v>
      </c>
      <c r="AC9341">
        <v>1.2386339999999999E-2</v>
      </c>
      <c r="AD9341">
        <v>7.5400840000000002</v>
      </c>
      <c r="AE9341">
        <v>0.1805841</v>
      </c>
      <c r="AF9341">
        <v>673.61339999999996</v>
      </c>
      <c r="AG9341">
        <f>IFERROR(AH9341*0.1, "N/A")</f>
        <v>5.1471</v>
      </c>
      <c r="AH9341">
        <v>51.470999999999997</v>
      </c>
      <c r="AI9341">
        <v>132.76249999999999</v>
      </c>
      <c r="AJ9341">
        <v>36.855890000000002</v>
      </c>
      <c r="AK9341">
        <v>52.275919999999999</v>
      </c>
    </row>
    <row r="9342" spans="1:37" x14ac:dyDescent="0.3">
      <c r="A9342">
        <v>9341</v>
      </c>
      <c r="B9342">
        <v>0</v>
      </c>
      <c r="C9342">
        <v>11.6333</v>
      </c>
      <c r="D9342">
        <v>3.4722200000000001</v>
      </c>
      <c r="E9342" t="s">
        <v>14204</v>
      </c>
      <c r="F9342" t="s">
        <v>14206</v>
      </c>
      <c r="G9342" t="s">
        <v>2420</v>
      </c>
      <c r="H9342">
        <v>1990</v>
      </c>
      <c r="I9342">
        <v>23.938659999999999</v>
      </c>
      <c r="J9342">
        <v>9</v>
      </c>
      <c r="K9342">
        <v>81</v>
      </c>
      <c r="L9342">
        <v>6.7350620000000001</v>
      </c>
      <c r="M9342">
        <v>29.738659999999999</v>
      </c>
      <c r="N9342">
        <v>18.7</v>
      </c>
      <c r="O9342">
        <v>11.03866</v>
      </c>
      <c r="P9342">
        <v>23.5</v>
      </c>
      <c r="Q9342">
        <v>24.438659999999999</v>
      </c>
      <c r="R9342">
        <v>24.638660000000002</v>
      </c>
      <c r="S9342">
        <v>22.938659999999999</v>
      </c>
      <c r="T9342">
        <v>1680.3869999999999</v>
      </c>
      <c r="U9342">
        <v>296</v>
      </c>
      <c r="V9342">
        <v>28</v>
      </c>
      <c r="W9342">
        <v>59</v>
      </c>
      <c r="X9342">
        <v>675</v>
      </c>
      <c r="Y9342">
        <v>117</v>
      </c>
      <c r="Z9342">
        <v>235</v>
      </c>
      <c r="AA9342">
        <v>409</v>
      </c>
      <c r="AB9342">
        <v>16.18365</v>
      </c>
      <c r="AC9342">
        <v>1.2386339999999999E-2</v>
      </c>
      <c r="AD9342">
        <v>7.5400840000000002</v>
      </c>
      <c r="AE9342">
        <v>0.1805841</v>
      </c>
      <c r="AF9342">
        <v>673.61339999999996</v>
      </c>
      <c r="AG9342">
        <f>IFERROR(AH9342*0.1, "N/A")</f>
        <v>5.1471</v>
      </c>
      <c r="AH9342">
        <v>51.470999999999997</v>
      </c>
      <c r="AI9342">
        <v>132.76249999999999</v>
      </c>
      <c r="AJ9342">
        <v>36.855890000000002</v>
      </c>
      <c r="AK9342">
        <v>52.275919999999999</v>
      </c>
    </row>
    <row r="9343" spans="1:37" x14ac:dyDescent="0.3">
      <c r="A9343">
        <v>9342</v>
      </c>
      <c r="B9343">
        <v>0</v>
      </c>
      <c r="C9343">
        <v>12.1</v>
      </c>
      <c r="D9343">
        <v>3.5</v>
      </c>
      <c r="E9343" t="s">
        <v>14207</v>
      </c>
      <c r="F9343" t="s">
        <v>14208</v>
      </c>
      <c r="G9343" t="s">
        <v>39</v>
      </c>
      <c r="H9343">
        <v>1990</v>
      </c>
      <c r="I9343">
        <v>23.8</v>
      </c>
      <c r="J9343">
        <v>9.3000000000000007</v>
      </c>
      <c r="K9343">
        <v>84</v>
      </c>
      <c r="L9343">
        <v>6.1228069999999999</v>
      </c>
      <c r="M9343">
        <v>29.8</v>
      </c>
      <c r="N9343">
        <v>18.8</v>
      </c>
      <c r="O9343">
        <v>11</v>
      </c>
      <c r="P9343">
        <v>23.434909999999999</v>
      </c>
      <c r="Q9343">
        <v>24.10877</v>
      </c>
      <c r="R9343">
        <v>24.5</v>
      </c>
      <c r="S9343">
        <v>22.96509</v>
      </c>
      <c r="T9343">
        <v>1614.088</v>
      </c>
      <c r="U9343">
        <v>285</v>
      </c>
      <c r="V9343">
        <v>25</v>
      </c>
      <c r="W9343">
        <v>59.650880000000001</v>
      </c>
      <c r="X9343">
        <v>655</v>
      </c>
      <c r="Y9343">
        <v>104.34910000000001</v>
      </c>
      <c r="Z9343">
        <v>363</v>
      </c>
      <c r="AA9343">
        <v>420.3895</v>
      </c>
      <c r="AB9343">
        <v>18.19633</v>
      </c>
      <c r="AC9343">
        <v>1.351685E-2</v>
      </c>
      <c r="AD9343">
        <v>3.5421100000000001</v>
      </c>
      <c r="AE9343">
        <v>0.2283126</v>
      </c>
      <c r="AF9343">
        <v>692.53679999999997</v>
      </c>
      <c r="AG9343">
        <f>IFERROR(AH9343*0.1, "N/A")</f>
        <v>4.8000000000000007</v>
      </c>
      <c r="AH9343">
        <v>48</v>
      </c>
      <c r="AI9343">
        <v>176.78489999999999</v>
      </c>
      <c r="AJ9343">
        <v>41</v>
      </c>
      <c r="AK9343">
        <v>47.752630000000003</v>
      </c>
    </row>
    <row r="9344" spans="1:37" x14ac:dyDescent="0.3">
      <c r="A9344">
        <v>9343</v>
      </c>
      <c r="B9344">
        <v>3.1</v>
      </c>
      <c r="C9344">
        <v>12.1</v>
      </c>
      <c r="D9344">
        <v>3.5</v>
      </c>
      <c r="E9344" t="s">
        <v>14207</v>
      </c>
      <c r="F9344" t="s">
        <v>14209</v>
      </c>
      <c r="G9344" t="s">
        <v>37</v>
      </c>
      <c r="H9344">
        <v>1990</v>
      </c>
      <c r="I9344">
        <v>23.8</v>
      </c>
      <c r="J9344">
        <v>9.3000000000000007</v>
      </c>
      <c r="K9344">
        <v>84</v>
      </c>
      <c r="L9344">
        <v>6.1228069999999999</v>
      </c>
      <c r="M9344">
        <v>29.8</v>
      </c>
      <c r="N9344">
        <v>18.8</v>
      </c>
      <c r="O9344">
        <v>11</v>
      </c>
      <c r="P9344">
        <v>23.434909999999999</v>
      </c>
      <c r="Q9344">
        <v>24.10877</v>
      </c>
      <c r="R9344">
        <v>24.5</v>
      </c>
      <c r="S9344">
        <v>22.96509</v>
      </c>
      <c r="T9344">
        <v>1614.088</v>
      </c>
      <c r="U9344">
        <v>285</v>
      </c>
      <c r="V9344">
        <v>25</v>
      </c>
      <c r="W9344">
        <v>59.650880000000001</v>
      </c>
      <c r="X9344">
        <v>655</v>
      </c>
      <c r="Y9344">
        <v>104.34910000000001</v>
      </c>
      <c r="Z9344">
        <v>363</v>
      </c>
      <c r="AA9344">
        <v>420.3895</v>
      </c>
      <c r="AB9344">
        <v>18.19633</v>
      </c>
      <c r="AC9344">
        <v>1.351685E-2</v>
      </c>
      <c r="AD9344">
        <v>3.5421100000000001</v>
      </c>
      <c r="AE9344">
        <v>0.2283126</v>
      </c>
      <c r="AF9344">
        <v>692.53679999999997</v>
      </c>
      <c r="AG9344">
        <f>IFERROR(AH9344*0.1, "N/A")</f>
        <v>4.8000000000000007</v>
      </c>
      <c r="AH9344">
        <v>48</v>
      </c>
      <c r="AI9344">
        <v>176.78489999999999</v>
      </c>
      <c r="AJ9344">
        <v>41</v>
      </c>
      <c r="AK9344">
        <v>47.752630000000003</v>
      </c>
    </row>
    <row r="9345" spans="1:37" x14ac:dyDescent="0.3">
      <c r="A9345">
        <v>9344</v>
      </c>
      <c r="B9345">
        <v>0</v>
      </c>
      <c r="C9345">
        <v>12.1</v>
      </c>
      <c r="D9345">
        <v>3.5</v>
      </c>
      <c r="E9345" t="s">
        <v>14207</v>
      </c>
      <c r="F9345" t="s">
        <v>14210</v>
      </c>
      <c r="G9345" t="s">
        <v>2420</v>
      </c>
      <c r="H9345">
        <v>1990</v>
      </c>
      <c r="I9345">
        <v>23.8</v>
      </c>
      <c r="J9345">
        <v>9.3000000000000007</v>
      </c>
      <c r="K9345">
        <v>84</v>
      </c>
      <c r="L9345">
        <v>6.1228069999999999</v>
      </c>
      <c r="M9345">
        <v>29.8</v>
      </c>
      <c r="N9345">
        <v>18.8</v>
      </c>
      <c r="O9345">
        <v>11</v>
      </c>
      <c r="P9345">
        <v>23.434909999999999</v>
      </c>
      <c r="Q9345">
        <v>24.10877</v>
      </c>
      <c r="R9345">
        <v>24.5</v>
      </c>
      <c r="S9345">
        <v>22.96509</v>
      </c>
      <c r="T9345">
        <v>1614.088</v>
      </c>
      <c r="U9345">
        <v>285</v>
      </c>
      <c r="V9345">
        <v>25</v>
      </c>
      <c r="W9345">
        <v>59.650880000000001</v>
      </c>
      <c r="X9345">
        <v>655</v>
      </c>
      <c r="Y9345">
        <v>104.34910000000001</v>
      </c>
      <c r="Z9345">
        <v>363</v>
      </c>
      <c r="AA9345">
        <v>420.3895</v>
      </c>
      <c r="AB9345">
        <v>18.19633</v>
      </c>
      <c r="AC9345">
        <v>1.351685E-2</v>
      </c>
      <c r="AD9345">
        <v>3.5421100000000001</v>
      </c>
      <c r="AE9345">
        <v>0.2283126</v>
      </c>
      <c r="AF9345">
        <v>692.53679999999997</v>
      </c>
      <c r="AG9345">
        <f>IFERROR(AH9345*0.1, "N/A")</f>
        <v>4.8000000000000007</v>
      </c>
      <c r="AH9345">
        <v>48</v>
      </c>
      <c r="AI9345">
        <v>176.78489999999999</v>
      </c>
      <c r="AJ9345">
        <v>41</v>
      </c>
      <c r="AK9345">
        <v>47.752630000000003</v>
      </c>
    </row>
    <row r="9346" spans="1:37" x14ac:dyDescent="0.3">
      <c r="A9346">
        <v>9345</v>
      </c>
      <c r="B9346">
        <v>0</v>
      </c>
      <c r="C9346">
        <v>11.45</v>
      </c>
      <c r="D9346">
        <v>3.51667</v>
      </c>
      <c r="E9346" t="s">
        <v>14211</v>
      </c>
      <c r="F9346" t="s">
        <v>14212</v>
      </c>
      <c r="G9346" t="s">
        <v>39</v>
      </c>
      <c r="H9346">
        <v>1990</v>
      </c>
      <c r="I9346">
        <v>23.851579999999998</v>
      </c>
      <c r="J9346">
        <v>8.9</v>
      </c>
      <c r="K9346">
        <v>80</v>
      </c>
      <c r="L9346">
        <v>7.2593860000000001</v>
      </c>
      <c r="M9346">
        <v>29.694210000000002</v>
      </c>
      <c r="N9346">
        <v>18.651579999999999</v>
      </c>
      <c r="O9346">
        <v>11.042630000000001</v>
      </c>
      <c r="P9346">
        <v>23.431229999999999</v>
      </c>
      <c r="Q9346">
        <v>24.431229999999999</v>
      </c>
      <c r="R9346">
        <v>24.651579999999999</v>
      </c>
      <c r="S9346">
        <v>22.851579999999998</v>
      </c>
      <c r="T9346">
        <v>1729.3879999999999</v>
      </c>
      <c r="U9346">
        <v>305.42630000000003</v>
      </c>
      <c r="V9346">
        <v>28</v>
      </c>
      <c r="W9346">
        <v>59.203510000000001</v>
      </c>
      <c r="X9346">
        <v>693.54039999999998</v>
      </c>
      <c r="Y9346">
        <v>119</v>
      </c>
      <c r="Z9346">
        <v>294.71230000000003</v>
      </c>
      <c r="AA9346">
        <v>424.22809999999998</v>
      </c>
      <c r="AB9346">
        <v>20.87031</v>
      </c>
      <c r="AC9346">
        <v>1.951901E-2</v>
      </c>
      <c r="AD9346">
        <v>2.8492220000000001</v>
      </c>
      <c r="AE9346">
        <v>0.1820175</v>
      </c>
      <c r="AF9346">
        <v>680.74559999999997</v>
      </c>
      <c r="AG9346">
        <f>IFERROR(AH9346*0.1, "N/A")</f>
        <v>4.8961399999999999</v>
      </c>
      <c r="AH9346">
        <v>48.961399999999998</v>
      </c>
      <c r="AI9346">
        <v>97.933660000000003</v>
      </c>
      <c r="AJ9346">
        <v>36.92456</v>
      </c>
      <c r="AK9346">
        <v>54.501750000000001</v>
      </c>
    </row>
    <row r="9347" spans="1:37" x14ac:dyDescent="0.3">
      <c r="A9347">
        <v>9346</v>
      </c>
      <c r="B9347">
        <v>2.4</v>
      </c>
      <c r="C9347">
        <v>11.45</v>
      </c>
      <c r="D9347">
        <v>3.51667</v>
      </c>
      <c r="E9347" t="s">
        <v>14211</v>
      </c>
      <c r="F9347" t="s">
        <v>14213</v>
      </c>
      <c r="G9347" t="s">
        <v>37</v>
      </c>
      <c r="H9347">
        <v>1990</v>
      </c>
      <c r="I9347">
        <v>23.851579999999998</v>
      </c>
      <c r="J9347">
        <v>8.9</v>
      </c>
      <c r="K9347">
        <v>80</v>
      </c>
      <c r="L9347">
        <v>7.2593860000000001</v>
      </c>
      <c r="M9347">
        <v>29.694210000000002</v>
      </c>
      <c r="N9347">
        <v>18.651579999999999</v>
      </c>
      <c r="O9347">
        <v>11.042630000000001</v>
      </c>
      <c r="P9347">
        <v>23.431229999999999</v>
      </c>
      <c r="Q9347">
        <v>24.431229999999999</v>
      </c>
      <c r="R9347">
        <v>24.651579999999999</v>
      </c>
      <c r="S9347">
        <v>22.851579999999998</v>
      </c>
      <c r="T9347">
        <v>1729.3879999999999</v>
      </c>
      <c r="U9347">
        <v>305.42630000000003</v>
      </c>
      <c r="V9347">
        <v>28</v>
      </c>
      <c r="W9347">
        <v>59.203510000000001</v>
      </c>
      <c r="X9347">
        <v>693.54039999999998</v>
      </c>
      <c r="Y9347">
        <v>119</v>
      </c>
      <c r="Z9347">
        <v>294.71230000000003</v>
      </c>
      <c r="AA9347">
        <v>424.22809999999998</v>
      </c>
      <c r="AB9347">
        <v>20.87031</v>
      </c>
      <c r="AC9347">
        <v>1.951901E-2</v>
      </c>
      <c r="AD9347">
        <v>2.8492220000000001</v>
      </c>
      <c r="AE9347">
        <v>0.1820175</v>
      </c>
      <c r="AF9347">
        <v>680.74559999999997</v>
      </c>
      <c r="AG9347">
        <f>IFERROR(AH9347*0.1, "N/A")</f>
        <v>4.8961399999999999</v>
      </c>
      <c r="AH9347">
        <v>48.961399999999998</v>
      </c>
      <c r="AI9347">
        <v>97.933660000000003</v>
      </c>
      <c r="AJ9347">
        <v>36.92456</v>
      </c>
      <c r="AK9347">
        <v>54.501750000000001</v>
      </c>
    </row>
    <row r="9348" spans="1:37" x14ac:dyDescent="0.3">
      <c r="A9348">
        <v>9347</v>
      </c>
      <c r="B9348">
        <v>0</v>
      </c>
      <c r="C9348">
        <v>11.45</v>
      </c>
      <c r="D9348">
        <v>3.51667</v>
      </c>
      <c r="E9348" t="s">
        <v>14211</v>
      </c>
      <c r="F9348" t="s">
        <v>14214</v>
      </c>
      <c r="G9348" t="s">
        <v>2420</v>
      </c>
      <c r="H9348">
        <v>1990</v>
      </c>
      <c r="I9348">
        <v>23.851579999999998</v>
      </c>
      <c r="J9348">
        <v>8.9</v>
      </c>
      <c r="K9348">
        <v>80</v>
      </c>
      <c r="L9348">
        <v>7.2593860000000001</v>
      </c>
      <c r="M9348">
        <v>29.694210000000002</v>
      </c>
      <c r="N9348">
        <v>18.651579999999999</v>
      </c>
      <c r="O9348">
        <v>11.042630000000001</v>
      </c>
      <c r="P9348">
        <v>23.431229999999999</v>
      </c>
      <c r="Q9348">
        <v>24.431229999999999</v>
      </c>
      <c r="R9348">
        <v>24.651579999999999</v>
      </c>
      <c r="S9348">
        <v>22.851579999999998</v>
      </c>
      <c r="T9348">
        <v>1729.3879999999999</v>
      </c>
      <c r="U9348">
        <v>305.42630000000003</v>
      </c>
      <c r="V9348">
        <v>28</v>
      </c>
      <c r="W9348">
        <v>59.203510000000001</v>
      </c>
      <c r="X9348">
        <v>693.54039999999998</v>
      </c>
      <c r="Y9348">
        <v>119</v>
      </c>
      <c r="Z9348">
        <v>294.71230000000003</v>
      </c>
      <c r="AA9348">
        <v>424.22809999999998</v>
      </c>
      <c r="AB9348">
        <v>20.87031</v>
      </c>
      <c r="AC9348">
        <v>1.951901E-2</v>
      </c>
      <c r="AD9348">
        <v>2.8492220000000001</v>
      </c>
      <c r="AE9348">
        <v>0.1820175</v>
      </c>
      <c r="AF9348">
        <v>680.74559999999997</v>
      </c>
      <c r="AG9348">
        <f>IFERROR(AH9348*0.1, "N/A")</f>
        <v>4.8961399999999999</v>
      </c>
      <c r="AH9348">
        <v>48.961399999999998</v>
      </c>
      <c r="AI9348">
        <v>97.933660000000003</v>
      </c>
      <c r="AJ9348">
        <v>36.92456</v>
      </c>
      <c r="AK9348">
        <v>54.501750000000001</v>
      </c>
    </row>
    <row r="9349" spans="1:37" x14ac:dyDescent="0.3">
      <c r="A9349">
        <v>9348</v>
      </c>
      <c r="B9349">
        <v>0</v>
      </c>
      <c r="C9349">
        <v>11.5</v>
      </c>
      <c r="D9349">
        <v>3.51667</v>
      </c>
      <c r="E9349" t="s">
        <v>14215</v>
      </c>
      <c r="F9349" t="s">
        <v>14216</v>
      </c>
      <c r="G9349" t="s">
        <v>39</v>
      </c>
      <c r="H9349">
        <v>1990</v>
      </c>
      <c r="I9349">
        <v>24.081050000000001</v>
      </c>
      <c r="J9349">
        <v>8.9</v>
      </c>
      <c r="K9349">
        <v>79.905259999999998</v>
      </c>
      <c r="L9349">
        <v>7.2460699999999996</v>
      </c>
      <c r="M9349">
        <v>29.890529999999998</v>
      </c>
      <c r="N9349">
        <v>18.871580000000002</v>
      </c>
      <c r="O9349">
        <v>11.01895</v>
      </c>
      <c r="P9349">
        <v>23.590530000000001</v>
      </c>
      <c r="Q9349">
        <v>24.590530000000001</v>
      </c>
      <c r="R9349">
        <v>24.881049999999998</v>
      </c>
      <c r="S9349">
        <v>23.081050000000001</v>
      </c>
      <c r="T9349">
        <v>1711.34</v>
      </c>
      <c r="U9349">
        <v>302.90530000000001</v>
      </c>
      <c r="V9349">
        <v>27</v>
      </c>
      <c r="W9349">
        <v>60</v>
      </c>
      <c r="X9349">
        <v>688.17020000000002</v>
      </c>
      <c r="Y9349">
        <v>116</v>
      </c>
      <c r="Z9349">
        <v>325.36840000000001</v>
      </c>
      <c r="AA9349">
        <v>400.83679999999998</v>
      </c>
      <c r="AB9349">
        <v>30.69999</v>
      </c>
      <c r="AC9349">
        <v>1.095698E-2</v>
      </c>
      <c r="AD9349">
        <v>3.518249</v>
      </c>
      <c r="AE9349">
        <v>0.6768459</v>
      </c>
      <c r="AF9349">
        <v>656.34739999999999</v>
      </c>
      <c r="AG9349">
        <f>IFERROR(AH9349*0.1, "N/A")</f>
        <v>5.5633330000000001</v>
      </c>
      <c r="AH9349">
        <v>55.633330000000001</v>
      </c>
      <c r="AI9349">
        <v>236.66079999999999</v>
      </c>
      <c r="AJ9349">
        <v>27.271930000000001</v>
      </c>
      <c r="AK9349">
        <v>57</v>
      </c>
    </row>
    <row r="9350" spans="1:37" x14ac:dyDescent="0.3">
      <c r="A9350">
        <v>9349</v>
      </c>
      <c r="B9350">
        <v>6.2</v>
      </c>
      <c r="C9350">
        <v>11.5</v>
      </c>
      <c r="D9350">
        <v>3.51667</v>
      </c>
      <c r="E9350" t="s">
        <v>14215</v>
      </c>
      <c r="F9350" t="s">
        <v>14217</v>
      </c>
      <c r="G9350" t="s">
        <v>37</v>
      </c>
      <c r="H9350">
        <v>1990</v>
      </c>
      <c r="I9350">
        <v>24.081050000000001</v>
      </c>
      <c r="J9350">
        <v>8.9</v>
      </c>
      <c r="K9350">
        <v>79.905259999999998</v>
      </c>
      <c r="L9350">
        <v>7.2460699999999996</v>
      </c>
      <c r="M9350">
        <v>29.890529999999998</v>
      </c>
      <c r="N9350">
        <v>18.871580000000002</v>
      </c>
      <c r="O9350">
        <v>11.01895</v>
      </c>
      <c r="P9350">
        <v>23.590530000000001</v>
      </c>
      <c r="Q9350">
        <v>24.590530000000001</v>
      </c>
      <c r="R9350">
        <v>24.881049999999998</v>
      </c>
      <c r="S9350">
        <v>23.081050000000001</v>
      </c>
      <c r="T9350">
        <v>1711.34</v>
      </c>
      <c r="U9350">
        <v>302.90530000000001</v>
      </c>
      <c r="V9350">
        <v>27</v>
      </c>
      <c r="W9350">
        <v>60</v>
      </c>
      <c r="X9350">
        <v>688.17020000000002</v>
      </c>
      <c r="Y9350">
        <v>116</v>
      </c>
      <c r="Z9350">
        <v>325.36840000000001</v>
      </c>
      <c r="AA9350">
        <v>400.83679999999998</v>
      </c>
      <c r="AB9350">
        <v>30.69999</v>
      </c>
      <c r="AC9350">
        <v>1.095698E-2</v>
      </c>
      <c r="AD9350">
        <v>3.518249</v>
      </c>
      <c r="AE9350">
        <v>0.6768459</v>
      </c>
      <c r="AF9350">
        <v>656.34739999999999</v>
      </c>
      <c r="AG9350">
        <f>IFERROR(AH9350*0.1, "N/A")</f>
        <v>5.5633330000000001</v>
      </c>
      <c r="AH9350">
        <v>55.633330000000001</v>
      </c>
      <c r="AI9350">
        <v>236.66079999999999</v>
      </c>
      <c r="AJ9350">
        <v>27.271930000000001</v>
      </c>
      <c r="AK9350">
        <v>57</v>
      </c>
    </row>
    <row r="9351" spans="1:37" x14ac:dyDescent="0.3">
      <c r="A9351">
        <v>9350</v>
      </c>
      <c r="B9351">
        <v>5</v>
      </c>
      <c r="C9351">
        <v>11.5</v>
      </c>
      <c r="D9351">
        <v>3.51667</v>
      </c>
      <c r="E9351" t="s">
        <v>14215</v>
      </c>
      <c r="F9351" t="s">
        <v>14218</v>
      </c>
      <c r="G9351" t="s">
        <v>2420</v>
      </c>
      <c r="H9351">
        <v>1990</v>
      </c>
      <c r="I9351">
        <v>24.081050000000001</v>
      </c>
      <c r="J9351">
        <v>8.9</v>
      </c>
      <c r="K9351">
        <v>79.905259999999998</v>
      </c>
      <c r="L9351">
        <v>7.2460699999999996</v>
      </c>
      <c r="M9351">
        <v>29.890529999999998</v>
      </c>
      <c r="N9351">
        <v>18.871580000000002</v>
      </c>
      <c r="O9351">
        <v>11.01895</v>
      </c>
      <c r="P9351">
        <v>23.590530000000001</v>
      </c>
      <c r="Q9351">
        <v>24.590530000000001</v>
      </c>
      <c r="R9351">
        <v>24.881049999999998</v>
      </c>
      <c r="S9351">
        <v>23.081050000000001</v>
      </c>
      <c r="T9351">
        <v>1711.34</v>
      </c>
      <c r="U9351">
        <v>302.90530000000001</v>
      </c>
      <c r="V9351">
        <v>27</v>
      </c>
      <c r="W9351">
        <v>60</v>
      </c>
      <c r="X9351">
        <v>688.17020000000002</v>
      </c>
      <c r="Y9351">
        <v>116</v>
      </c>
      <c r="Z9351">
        <v>325.36840000000001</v>
      </c>
      <c r="AA9351">
        <v>400.83679999999998</v>
      </c>
      <c r="AB9351">
        <v>30.69999</v>
      </c>
      <c r="AC9351">
        <v>1.095698E-2</v>
      </c>
      <c r="AD9351">
        <v>3.518249</v>
      </c>
      <c r="AE9351">
        <v>0.6768459</v>
      </c>
      <c r="AF9351">
        <v>656.34739999999999</v>
      </c>
      <c r="AG9351">
        <f>IFERROR(AH9351*0.1, "N/A")</f>
        <v>5.5633330000000001</v>
      </c>
      <c r="AH9351">
        <v>55.633330000000001</v>
      </c>
      <c r="AI9351">
        <v>236.66079999999999</v>
      </c>
      <c r="AJ9351">
        <v>27.271930000000001</v>
      </c>
      <c r="AK9351">
        <v>57</v>
      </c>
    </row>
    <row r="9352" spans="1:37" x14ac:dyDescent="0.3">
      <c r="A9352">
        <v>9351</v>
      </c>
      <c r="B9352">
        <v>0</v>
      </c>
      <c r="C9352">
        <v>15.05</v>
      </c>
      <c r="D9352">
        <v>3.51667</v>
      </c>
      <c r="E9352" t="s">
        <v>14219</v>
      </c>
      <c r="F9352" t="s">
        <v>14220</v>
      </c>
      <c r="G9352" t="s">
        <v>39</v>
      </c>
      <c r="H9352">
        <v>1990</v>
      </c>
      <c r="I9352">
        <v>24.031749999999999</v>
      </c>
      <c r="J9352">
        <v>10.8</v>
      </c>
      <c r="K9352">
        <v>80.410529999999994</v>
      </c>
      <c r="L9352">
        <v>5.284211</v>
      </c>
      <c r="M9352">
        <v>30.83175</v>
      </c>
      <c r="N9352">
        <v>17.472809999999999</v>
      </c>
      <c r="O9352">
        <v>13.35895</v>
      </c>
      <c r="P9352">
        <v>23.931750000000001</v>
      </c>
      <c r="Q9352">
        <v>23.846139999999998</v>
      </c>
      <c r="R9352">
        <v>24.785609999999998</v>
      </c>
      <c r="S9352">
        <v>23.431750000000001</v>
      </c>
      <c r="T9352">
        <v>1587.2349999999999</v>
      </c>
      <c r="U9352">
        <v>238.63159999999999</v>
      </c>
      <c r="V9352">
        <v>23.317540000000001</v>
      </c>
      <c r="W9352">
        <v>45.538600000000002</v>
      </c>
      <c r="X9352">
        <v>586.6789</v>
      </c>
      <c r="Y9352">
        <v>136.90180000000001</v>
      </c>
      <c r="Z9352">
        <v>499.34390000000002</v>
      </c>
      <c r="AA9352">
        <v>438.79820000000001</v>
      </c>
      <c r="AB9352">
        <v>10.32877</v>
      </c>
      <c r="AC9352">
        <v>6.7598140000000001E-2</v>
      </c>
      <c r="AD9352">
        <v>3.668126</v>
      </c>
      <c r="AE9352">
        <v>0.74722409999999995</v>
      </c>
      <c r="AF9352">
        <v>519.87720000000002</v>
      </c>
      <c r="AG9352">
        <f>IFERROR(AH9352*0.1, "N/A")</f>
        <v>5.6163160000000003</v>
      </c>
      <c r="AH9352">
        <v>56.163159999999998</v>
      </c>
      <c r="AI9352">
        <v>224.7457</v>
      </c>
      <c r="AJ9352">
        <v>24.357890000000001</v>
      </c>
      <c r="AK9352">
        <v>57.9</v>
      </c>
    </row>
    <row r="9353" spans="1:37" x14ac:dyDescent="0.3">
      <c r="A9353">
        <v>9352</v>
      </c>
      <c r="B9353">
        <v>0</v>
      </c>
      <c r="C9353">
        <v>15.05</v>
      </c>
      <c r="D9353">
        <v>3.51667</v>
      </c>
      <c r="E9353" t="s">
        <v>14219</v>
      </c>
      <c r="F9353" t="s">
        <v>14221</v>
      </c>
      <c r="G9353" t="s">
        <v>37</v>
      </c>
      <c r="H9353">
        <v>1990</v>
      </c>
      <c r="I9353">
        <v>24.031749999999999</v>
      </c>
      <c r="J9353">
        <v>10.8</v>
      </c>
      <c r="K9353">
        <v>80.410529999999994</v>
      </c>
      <c r="L9353">
        <v>5.284211</v>
      </c>
      <c r="M9353">
        <v>30.83175</v>
      </c>
      <c r="N9353">
        <v>17.472809999999999</v>
      </c>
      <c r="O9353">
        <v>13.35895</v>
      </c>
      <c r="P9353">
        <v>23.931750000000001</v>
      </c>
      <c r="Q9353">
        <v>23.846139999999998</v>
      </c>
      <c r="R9353">
        <v>24.785609999999998</v>
      </c>
      <c r="S9353">
        <v>23.431750000000001</v>
      </c>
      <c r="T9353">
        <v>1587.2349999999999</v>
      </c>
      <c r="U9353">
        <v>238.63159999999999</v>
      </c>
      <c r="V9353">
        <v>23.317540000000001</v>
      </c>
      <c r="W9353">
        <v>45.538600000000002</v>
      </c>
      <c r="X9353">
        <v>586.6789</v>
      </c>
      <c r="Y9353">
        <v>136.90180000000001</v>
      </c>
      <c r="Z9353">
        <v>499.34390000000002</v>
      </c>
      <c r="AA9353">
        <v>438.79820000000001</v>
      </c>
      <c r="AB9353">
        <v>10.32877</v>
      </c>
      <c r="AC9353">
        <v>6.7598140000000001E-2</v>
      </c>
      <c r="AD9353">
        <v>3.668126</v>
      </c>
      <c r="AE9353">
        <v>0.74722409999999995</v>
      </c>
      <c r="AF9353">
        <v>519.87720000000002</v>
      </c>
      <c r="AG9353">
        <f>IFERROR(AH9353*0.1, "N/A")</f>
        <v>5.6163160000000003</v>
      </c>
      <c r="AH9353">
        <v>56.163159999999998</v>
      </c>
      <c r="AI9353">
        <v>224.7457</v>
      </c>
      <c r="AJ9353">
        <v>24.357890000000001</v>
      </c>
      <c r="AK9353">
        <v>57.9</v>
      </c>
    </row>
    <row r="9354" spans="1:37" x14ac:dyDescent="0.3">
      <c r="A9354">
        <v>9353</v>
      </c>
      <c r="B9354">
        <v>0</v>
      </c>
      <c r="C9354">
        <v>15.05</v>
      </c>
      <c r="D9354">
        <v>3.51667</v>
      </c>
      <c r="E9354" t="s">
        <v>14219</v>
      </c>
      <c r="F9354" t="s">
        <v>14222</v>
      </c>
      <c r="G9354" t="s">
        <v>2420</v>
      </c>
      <c r="H9354">
        <v>1990</v>
      </c>
      <c r="I9354">
        <v>24.031749999999999</v>
      </c>
      <c r="J9354">
        <v>10.8</v>
      </c>
      <c r="K9354">
        <v>80.410529999999994</v>
      </c>
      <c r="L9354">
        <v>5.284211</v>
      </c>
      <c r="M9354">
        <v>30.83175</v>
      </c>
      <c r="N9354">
        <v>17.472809999999999</v>
      </c>
      <c r="O9354">
        <v>13.35895</v>
      </c>
      <c r="P9354">
        <v>23.931750000000001</v>
      </c>
      <c r="Q9354">
        <v>23.846139999999998</v>
      </c>
      <c r="R9354">
        <v>24.785609999999998</v>
      </c>
      <c r="S9354">
        <v>23.431750000000001</v>
      </c>
      <c r="T9354">
        <v>1587.2349999999999</v>
      </c>
      <c r="U9354">
        <v>238.63159999999999</v>
      </c>
      <c r="V9354">
        <v>23.317540000000001</v>
      </c>
      <c r="W9354">
        <v>45.538600000000002</v>
      </c>
      <c r="X9354">
        <v>586.6789</v>
      </c>
      <c r="Y9354">
        <v>136.90180000000001</v>
      </c>
      <c r="Z9354">
        <v>499.34390000000002</v>
      </c>
      <c r="AA9354">
        <v>438.79820000000001</v>
      </c>
      <c r="AB9354">
        <v>10.32877</v>
      </c>
      <c r="AC9354">
        <v>6.7598140000000001E-2</v>
      </c>
      <c r="AD9354">
        <v>3.668126</v>
      </c>
      <c r="AE9354">
        <v>0.74722409999999995</v>
      </c>
      <c r="AF9354">
        <v>519.87720000000002</v>
      </c>
      <c r="AG9354">
        <f>IFERROR(AH9354*0.1, "N/A")</f>
        <v>5.6163160000000003</v>
      </c>
      <c r="AH9354">
        <v>56.163159999999998</v>
      </c>
      <c r="AI9354">
        <v>224.7457</v>
      </c>
      <c r="AJ9354">
        <v>24.357890000000001</v>
      </c>
      <c r="AK9354">
        <v>57.9</v>
      </c>
    </row>
    <row r="9355" spans="1:37" x14ac:dyDescent="0.3">
      <c r="A9355">
        <v>9354</v>
      </c>
      <c r="B9355">
        <v>0</v>
      </c>
      <c r="C9355">
        <v>11.1556</v>
      </c>
      <c r="D9355">
        <v>3.5277799999999999</v>
      </c>
      <c r="E9355" t="s">
        <v>14223</v>
      </c>
      <c r="F9355" t="s">
        <v>14224</v>
      </c>
      <c r="G9355" t="s">
        <v>39</v>
      </c>
      <c r="H9355">
        <v>1990</v>
      </c>
      <c r="I9355">
        <v>23.9</v>
      </c>
      <c r="J9355">
        <v>8.6</v>
      </c>
      <c r="K9355">
        <v>76</v>
      </c>
      <c r="L9355">
        <v>8.39</v>
      </c>
      <c r="M9355">
        <v>29.8</v>
      </c>
      <c r="N9355">
        <v>18.600000000000001</v>
      </c>
      <c r="O9355">
        <v>11.2</v>
      </c>
      <c r="P9355">
        <v>23.4</v>
      </c>
      <c r="Q9355">
        <v>24.6</v>
      </c>
      <c r="R9355">
        <v>24.9</v>
      </c>
      <c r="S9355">
        <v>22.8</v>
      </c>
      <c r="T9355">
        <v>1860</v>
      </c>
      <c r="U9355">
        <v>326</v>
      </c>
      <c r="V9355">
        <v>28</v>
      </c>
      <c r="W9355">
        <v>59</v>
      </c>
      <c r="X9355">
        <v>746</v>
      </c>
      <c r="Y9355">
        <v>122</v>
      </c>
      <c r="Z9355">
        <v>249</v>
      </c>
      <c r="AA9355">
        <v>477</v>
      </c>
      <c r="AB9355">
        <v>13.1935</v>
      </c>
      <c r="AC9355">
        <v>8.9218449999999994E-3</v>
      </c>
      <c r="AD9355">
        <v>4.5512579999999998</v>
      </c>
      <c r="AE9355">
        <v>0.1473457</v>
      </c>
      <c r="AF9355">
        <v>642.72230000000002</v>
      </c>
      <c r="AG9355">
        <f>IFERROR(AH9355*0.1, "N/A")</f>
        <v>4.7940250000000004</v>
      </c>
      <c r="AH9355">
        <v>47.940249999999999</v>
      </c>
      <c r="AI9355">
        <v>142.99449999999999</v>
      </c>
      <c r="AJ9355">
        <v>41</v>
      </c>
      <c r="AK9355">
        <v>49.9754</v>
      </c>
    </row>
    <row r="9356" spans="1:37" x14ac:dyDescent="0.3">
      <c r="A9356">
        <v>9355</v>
      </c>
      <c r="B9356">
        <v>0</v>
      </c>
      <c r="C9356">
        <v>11.1556</v>
      </c>
      <c r="D9356">
        <v>3.5277799999999999</v>
      </c>
      <c r="E9356" t="s">
        <v>14223</v>
      </c>
      <c r="F9356" t="s">
        <v>14225</v>
      </c>
      <c r="G9356" t="s">
        <v>37</v>
      </c>
      <c r="H9356">
        <v>1990</v>
      </c>
      <c r="I9356">
        <v>23.9</v>
      </c>
      <c r="J9356">
        <v>8.6</v>
      </c>
      <c r="K9356">
        <v>76</v>
      </c>
      <c r="L9356">
        <v>8.39</v>
      </c>
      <c r="M9356">
        <v>29.8</v>
      </c>
      <c r="N9356">
        <v>18.600000000000001</v>
      </c>
      <c r="O9356">
        <v>11.2</v>
      </c>
      <c r="P9356">
        <v>23.4</v>
      </c>
      <c r="Q9356">
        <v>24.6</v>
      </c>
      <c r="R9356">
        <v>24.9</v>
      </c>
      <c r="S9356">
        <v>22.8</v>
      </c>
      <c r="T9356">
        <v>1860</v>
      </c>
      <c r="U9356">
        <v>326</v>
      </c>
      <c r="V9356">
        <v>28</v>
      </c>
      <c r="W9356">
        <v>59</v>
      </c>
      <c r="X9356">
        <v>746</v>
      </c>
      <c r="Y9356">
        <v>122</v>
      </c>
      <c r="Z9356">
        <v>249</v>
      </c>
      <c r="AA9356">
        <v>477</v>
      </c>
      <c r="AB9356">
        <v>13.1935</v>
      </c>
      <c r="AC9356">
        <v>8.9218449999999994E-3</v>
      </c>
      <c r="AD9356">
        <v>4.5512579999999998</v>
      </c>
      <c r="AE9356">
        <v>0.1473457</v>
      </c>
      <c r="AF9356">
        <v>642.72230000000002</v>
      </c>
      <c r="AG9356">
        <f>IFERROR(AH9356*0.1, "N/A")</f>
        <v>4.7940250000000004</v>
      </c>
      <c r="AH9356">
        <v>47.940249999999999</v>
      </c>
      <c r="AI9356">
        <v>142.99449999999999</v>
      </c>
      <c r="AJ9356">
        <v>41</v>
      </c>
      <c r="AK9356">
        <v>49.9754</v>
      </c>
    </row>
    <row r="9357" spans="1:37" x14ac:dyDescent="0.3">
      <c r="A9357">
        <v>9356</v>
      </c>
      <c r="B9357">
        <v>0</v>
      </c>
      <c r="C9357">
        <v>11.1556</v>
      </c>
      <c r="D9357">
        <v>3.5277799999999999</v>
      </c>
      <c r="E9357" t="s">
        <v>14223</v>
      </c>
      <c r="F9357" t="s">
        <v>14226</v>
      </c>
      <c r="G9357" t="s">
        <v>2420</v>
      </c>
      <c r="H9357">
        <v>1990</v>
      </c>
      <c r="I9357">
        <v>23.9</v>
      </c>
      <c r="J9357">
        <v>8.6</v>
      </c>
      <c r="K9357">
        <v>76</v>
      </c>
      <c r="L9357">
        <v>8.39</v>
      </c>
      <c r="M9357">
        <v>29.8</v>
      </c>
      <c r="N9357">
        <v>18.600000000000001</v>
      </c>
      <c r="O9357">
        <v>11.2</v>
      </c>
      <c r="P9357">
        <v>23.4</v>
      </c>
      <c r="Q9357">
        <v>24.6</v>
      </c>
      <c r="R9357">
        <v>24.9</v>
      </c>
      <c r="S9357">
        <v>22.8</v>
      </c>
      <c r="T9357">
        <v>1860</v>
      </c>
      <c r="U9357">
        <v>326</v>
      </c>
      <c r="V9357">
        <v>28</v>
      </c>
      <c r="W9357">
        <v>59</v>
      </c>
      <c r="X9357">
        <v>746</v>
      </c>
      <c r="Y9357">
        <v>122</v>
      </c>
      <c r="Z9357">
        <v>249</v>
      </c>
      <c r="AA9357">
        <v>477</v>
      </c>
      <c r="AB9357">
        <v>13.1935</v>
      </c>
      <c r="AC9357">
        <v>8.9218449999999994E-3</v>
      </c>
      <c r="AD9357">
        <v>4.5512579999999998</v>
      </c>
      <c r="AE9357">
        <v>0.1473457</v>
      </c>
      <c r="AF9357">
        <v>642.72230000000002</v>
      </c>
      <c r="AG9357">
        <f>IFERROR(AH9357*0.1, "N/A")</f>
        <v>4.7940250000000004</v>
      </c>
      <c r="AH9357">
        <v>47.940249999999999</v>
      </c>
      <c r="AI9357">
        <v>142.99449999999999</v>
      </c>
      <c r="AJ9357">
        <v>41</v>
      </c>
      <c r="AK9357">
        <v>49.9754</v>
      </c>
    </row>
    <row r="9358" spans="1:37" x14ac:dyDescent="0.3">
      <c r="A9358">
        <v>9357</v>
      </c>
      <c r="B9358">
        <v>0</v>
      </c>
      <c r="C9358">
        <v>10.9556</v>
      </c>
      <c r="D9358">
        <v>3.5333299999999999</v>
      </c>
      <c r="E9358" t="s">
        <v>14227</v>
      </c>
      <c r="F9358" t="s">
        <v>14228</v>
      </c>
      <c r="G9358" t="s">
        <v>39</v>
      </c>
      <c r="H9358">
        <v>1990</v>
      </c>
      <c r="I9358">
        <v>23.6</v>
      </c>
      <c r="J9358">
        <v>8.4</v>
      </c>
      <c r="K9358">
        <v>75.274169999999998</v>
      </c>
      <c r="L9358">
        <v>8.7916170000000005</v>
      </c>
      <c r="M9358">
        <v>29.4</v>
      </c>
      <c r="N9358">
        <v>18.32742</v>
      </c>
      <c r="O9358">
        <v>11.07258</v>
      </c>
      <c r="P9358">
        <v>23</v>
      </c>
      <c r="Q9358">
        <v>24.4</v>
      </c>
      <c r="R9358">
        <v>24.5</v>
      </c>
      <c r="S9358">
        <v>22.4</v>
      </c>
      <c r="T9358">
        <v>1976.7260000000001</v>
      </c>
      <c r="U9358">
        <v>341.72579999999999</v>
      </c>
      <c r="V9358">
        <v>30</v>
      </c>
      <c r="W9358">
        <v>59</v>
      </c>
      <c r="X9358">
        <v>791.72580000000005</v>
      </c>
      <c r="Y9358">
        <v>126.27419999999999</v>
      </c>
      <c r="Z9358">
        <v>255</v>
      </c>
      <c r="AA9358">
        <v>537.72580000000005</v>
      </c>
      <c r="AB9358">
        <v>100.2757</v>
      </c>
      <c r="AC9358">
        <v>1.589428E-2</v>
      </c>
      <c r="AD9358">
        <v>5.6212479999999996</v>
      </c>
      <c r="AE9358">
        <v>0.1629786</v>
      </c>
      <c r="AF9358">
        <v>674.16700000000003</v>
      </c>
      <c r="AG9358">
        <f>IFERROR(AH9358*0.1, "N/A")</f>
        <v>4.6000000000000005</v>
      </c>
      <c r="AH9358">
        <v>46</v>
      </c>
      <c r="AI9358">
        <v>71.55359</v>
      </c>
      <c r="AJ9358">
        <v>43</v>
      </c>
      <c r="AK9358">
        <v>46.71002</v>
      </c>
    </row>
    <row r="9359" spans="1:37" x14ac:dyDescent="0.3">
      <c r="A9359">
        <v>9358</v>
      </c>
      <c r="B9359">
        <v>0</v>
      </c>
      <c r="C9359">
        <v>10.9556</v>
      </c>
      <c r="D9359">
        <v>3.5333299999999999</v>
      </c>
      <c r="E9359" t="s">
        <v>14227</v>
      </c>
      <c r="F9359" t="s">
        <v>14229</v>
      </c>
      <c r="G9359" t="s">
        <v>37</v>
      </c>
      <c r="H9359">
        <v>1990</v>
      </c>
      <c r="I9359">
        <v>23.6</v>
      </c>
      <c r="J9359">
        <v>8.4</v>
      </c>
      <c r="K9359">
        <v>75.274169999999998</v>
      </c>
      <c r="L9359">
        <v>8.7916170000000005</v>
      </c>
      <c r="M9359">
        <v>29.4</v>
      </c>
      <c r="N9359">
        <v>18.32742</v>
      </c>
      <c r="O9359">
        <v>11.07258</v>
      </c>
      <c r="P9359">
        <v>23</v>
      </c>
      <c r="Q9359">
        <v>24.4</v>
      </c>
      <c r="R9359">
        <v>24.5</v>
      </c>
      <c r="S9359">
        <v>22.4</v>
      </c>
      <c r="T9359">
        <v>1976.7260000000001</v>
      </c>
      <c r="U9359">
        <v>341.72579999999999</v>
      </c>
      <c r="V9359">
        <v>30</v>
      </c>
      <c r="W9359">
        <v>59</v>
      </c>
      <c r="X9359">
        <v>791.72580000000005</v>
      </c>
      <c r="Y9359">
        <v>126.27419999999999</v>
      </c>
      <c r="Z9359">
        <v>255</v>
      </c>
      <c r="AA9359">
        <v>537.72580000000005</v>
      </c>
      <c r="AB9359">
        <v>100.2757</v>
      </c>
      <c r="AC9359">
        <v>1.589428E-2</v>
      </c>
      <c r="AD9359">
        <v>5.6212479999999996</v>
      </c>
      <c r="AE9359">
        <v>0.1629786</v>
      </c>
      <c r="AF9359">
        <v>674.16700000000003</v>
      </c>
      <c r="AG9359">
        <f>IFERROR(AH9359*0.1, "N/A")</f>
        <v>4.6000000000000005</v>
      </c>
      <c r="AH9359">
        <v>46</v>
      </c>
      <c r="AI9359">
        <v>71.55359</v>
      </c>
      <c r="AJ9359">
        <v>43</v>
      </c>
      <c r="AK9359">
        <v>46.71002</v>
      </c>
    </row>
    <row r="9360" spans="1:37" x14ac:dyDescent="0.3">
      <c r="A9360">
        <v>9359</v>
      </c>
      <c r="B9360">
        <v>0</v>
      </c>
      <c r="C9360">
        <v>10.9556</v>
      </c>
      <c r="D9360">
        <v>3.5333299999999999</v>
      </c>
      <c r="E9360" t="s">
        <v>14227</v>
      </c>
      <c r="F9360" t="s">
        <v>14230</v>
      </c>
      <c r="G9360" t="s">
        <v>2420</v>
      </c>
      <c r="H9360">
        <v>1990</v>
      </c>
      <c r="I9360">
        <v>23.6</v>
      </c>
      <c r="J9360">
        <v>8.4</v>
      </c>
      <c r="K9360">
        <v>75.274169999999998</v>
      </c>
      <c r="L9360">
        <v>8.7916170000000005</v>
      </c>
      <c r="M9360">
        <v>29.4</v>
      </c>
      <c r="N9360">
        <v>18.32742</v>
      </c>
      <c r="O9360">
        <v>11.07258</v>
      </c>
      <c r="P9360">
        <v>23</v>
      </c>
      <c r="Q9360">
        <v>24.4</v>
      </c>
      <c r="R9360">
        <v>24.5</v>
      </c>
      <c r="S9360">
        <v>22.4</v>
      </c>
      <c r="T9360">
        <v>1976.7260000000001</v>
      </c>
      <c r="U9360">
        <v>341.72579999999999</v>
      </c>
      <c r="V9360">
        <v>30</v>
      </c>
      <c r="W9360">
        <v>59</v>
      </c>
      <c r="X9360">
        <v>791.72580000000005</v>
      </c>
      <c r="Y9360">
        <v>126.27419999999999</v>
      </c>
      <c r="Z9360">
        <v>255</v>
      </c>
      <c r="AA9360">
        <v>537.72580000000005</v>
      </c>
      <c r="AB9360">
        <v>100.2757</v>
      </c>
      <c r="AC9360">
        <v>1.589428E-2</v>
      </c>
      <c r="AD9360">
        <v>5.6212479999999996</v>
      </c>
      <c r="AE9360">
        <v>0.1629786</v>
      </c>
      <c r="AF9360">
        <v>674.16700000000003</v>
      </c>
      <c r="AG9360">
        <f>IFERROR(AH9360*0.1, "N/A")</f>
        <v>4.6000000000000005</v>
      </c>
      <c r="AH9360">
        <v>46</v>
      </c>
      <c r="AI9360">
        <v>71.55359</v>
      </c>
      <c r="AJ9360">
        <v>43</v>
      </c>
      <c r="AK9360">
        <v>46.71002</v>
      </c>
    </row>
    <row r="9361" spans="1:37" x14ac:dyDescent="0.3">
      <c r="A9361">
        <v>9360</v>
      </c>
      <c r="B9361">
        <v>0</v>
      </c>
      <c r="C9361">
        <v>11.0944</v>
      </c>
      <c r="D9361">
        <v>3.5555599999999998</v>
      </c>
      <c r="E9361" t="s">
        <v>14231</v>
      </c>
      <c r="F9361" t="s">
        <v>14232</v>
      </c>
      <c r="G9361" t="s">
        <v>37</v>
      </c>
      <c r="H9361">
        <v>1990</v>
      </c>
      <c r="I9361">
        <v>23.9</v>
      </c>
      <c r="J9361">
        <v>8.5</v>
      </c>
      <c r="K9361">
        <v>75</v>
      </c>
      <c r="L9361">
        <v>8.58</v>
      </c>
      <c r="M9361">
        <v>29.8</v>
      </c>
      <c r="N9361">
        <v>18.600000000000001</v>
      </c>
      <c r="O9361">
        <v>11.2</v>
      </c>
      <c r="P9361">
        <v>23.4</v>
      </c>
      <c r="Q9361">
        <v>24.7</v>
      </c>
      <c r="R9361">
        <v>24.8</v>
      </c>
      <c r="S9361">
        <v>22.7</v>
      </c>
      <c r="T9361">
        <v>1892</v>
      </c>
      <c r="U9361">
        <v>331</v>
      </c>
      <c r="V9361">
        <v>28</v>
      </c>
      <c r="W9361">
        <v>60</v>
      </c>
      <c r="X9361">
        <v>760</v>
      </c>
      <c r="Y9361">
        <v>120</v>
      </c>
      <c r="Z9361">
        <v>248</v>
      </c>
      <c r="AA9361">
        <v>499</v>
      </c>
      <c r="AB9361">
        <v>7.8894250000000001</v>
      </c>
      <c r="AC9361">
        <v>0.16105120000000001</v>
      </c>
      <c r="AD9361">
        <v>2.5588109999999999</v>
      </c>
      <c r="AE9361">
        <v>0.17183570000000001</v>
      </c>
      <c r="AF9361">
        <v>638.0616</v>
      </c>
      <c r="AG9361">
        <f>IFERROR(AH9361*0.1, "N/A")</f>
        <v>4.953697</v>
      </c>
      <c r="AH9361">
        <v>49.536969999999997</v>
      </c>
      <c r="AI9361">
        <v>190.12289999999999</v>
      </c>
      <c r="AJ9361">
        <v>37.07394</v>
      </c>
      <c r="AK9361">
        <v>49.92606</v>
      </c>
    </row>
    <row r="9362" spans="1:37" x14ac:dyDescent="0.3">
      <c r="A9362">
        <v>9361</v>
      </c>
      <c r="B9362">
        <v>0</v>
      </c>
      <c r="C9362">
        <v>11.0944</v>
      </c>
      <c r="D9362">
        <v>3.5555599999999998</v>
      </c>
      <c r="E9362" t="s">
        <v>14231</v>
      </c>
      <c r="F9362" t="s">
        <v>14233</v>
      </c>
      <c r="G9362" t="s">
        <v>2420</v>
      </c>
      <c r="H9362">
        <v>1990</v>
      </c>
      <c r="I9362">
        <v>23.9</v>
      </c>
      <c r="J9362">
        <v>8.5</v>
      </c>
      <c r="K9362">
        <v>75</v>
      </c>
      <c r="L9362">
        <v>8.58</v>
      </c>
      <c r="M9362">
        <v>29.8</v>
      </c>
      <c r="N9362">
        <v>18.600000000000001</v>
      </c>
      <c r="O9362">
        <v>11.2</v>
      </c>
      <c r="P9362">
        <v>23.4</v>
      </c>
      <c r="Q9362">
        <v>24.7</v>
      </c>
      <c r="R9362">
        <v>24.8</v>
      </c>
      <c r="S9362">
        <v>22.7</v>
      </c>
      <c r="T9362">
        <v>1892</v>
      </c>
      <c r="U9362">
        <v>331</v>
      </c>
      <c r="V9362">
        <v>28</v>
      </c>
      <c r="W9362">
        <v>60</v>
      </c>
      <c r="X9362">
        <v>760</v>
      </c>
      <c r="Y9362">
        <v>120</v>
      </c>
      <c r="Z9362">
        <v>248</v>
      </c>
      <c r="AA9362">
        <v>499</v>
      </c>
      <c r="AB9362">
        <v>7.8894250000000001</v>
      </c>
      <c r="AC9362">
        <v>0.16105120000000001</v>
      </c>
      <c r="AD9362">
        <v>2.5588109999999999</v>
      </c>
      <c r="AE9362">
        <v>0.17183570000000001</v>
      </c>
      <c r="AF9362">
        <v>638.0616</v>
      </c>
      <c r="AG9362">
        <f>IFERROR(AH9362*0.1, "N/A")</f>
        <v>4.953697</v>
      </c>
      <c r="AH9362">
        <v>49.536969999999997</v>
      </c>
      <c r="AI9362">
        <v>190.12289999999999</v>
      </c>
      <c r="AJ9362">
        <v>37.07394</v>
      </c>
      <c r="AK9362">
        <v>49.92606</v>
      </c>
    </row>
    <row r="9363" spans="1:37" x14ac:dyDescent="0.3">
      <c r="A9363">
        <v>9362</v>
      </c>
      <c r="B9363">
        <v>0</v>
      </c>
      <c r="C9363">
        <v>13.4</v>
      </c>
      <c r="D9363">
        <v>3.5583300000000002</v>
      </c>
      <c r="E9363" t="s">
        <v>14234</v>
      </c>
      <c r="F9363" t="s">
        <v>14235</v>
      </c>
      <c r="G9363" t="s">
        <v>39</v>
      </c>
      <c r="H9363">
        <v>1990</v>
      </c>
      <c r="I9363">
        <v>23.0886</v>
      </c>
      <c r="J9363">
        <v>9.6</v>
      </c>
      <c r="K9363">
        <v>78.866669999999999</v>
      </c>
      <c r="L9363">
        <v>6.0136839999999996</v>
      </c>
      <c r="M9363">
        <v>29.5886</v>
      </c>
      <c r="N9363">
        <v>17.475259999999999</v>
      </c>
      <c r="O9363">
        <v>12.113329999999999</v>
      </c>
      <c r="P9363">
        <v>22.674389999999999</v>
      </c>
      <c r="Q9363">
        <v>22.914210000000001</v>
      </c>
      <c r="R9363">
        <v>23.8886</v>
      </c>
      <c r="S9363">
        <v>22.43544</v>
      </c>
      <c r="T9363">
        <v>1637.0160000000001</v>
      </c>
      <c r="U9363">
        <v>289.6456</v>
      </c>
      <c r="V9363">
        <v>28.256139999999998</v>
      </c>
      <c r="W9363">
        <v>55</v>
      </c>
      <c r="X9363">
        <v>645.64559999999994</v>
      </c>
      <c r="Y9363">
        <v>114.2561</v>
      </c>
      <c r="Z9363">
        <v>507.11399999999998</v>
      </c>
      <c r="AA9363">
        <v>408.45260000000002</v>
      </c>
      <c r="AB9363">
        <v>3.466297</v>
      </c>
      <c r="AC9363">
        <v>5.2148029999999998E-2</v>
      </c>
      <c r="AD9363">
        <v>6.2925709999999997</v>
      </c>
      <c r="AE9363">
        <v>0.46076650000000002</v>
      </c>
      <c r="AF9363">
        <v>682.78250000000003</v>
      </c>
      <c r="AG9363">
        <f>IFERROR(AH9363*0.1, "N/A")</f>
        <v>4.8354390000000009</v>
      </c>
      <c r="AH9363">
        <v>48.354390000000002</v>
      </c>
      <c r="AI9363">
        <v>94.443889999999996</v>
      </c>
      <c r="AJ9363">
        <v>44.708770000000001</v>
      </c>
      <c r="AK9363">
        <v>45.291229999999999</v>
      </c>
    </row>
    <row r="9364" spans="1:37" x14ac:dyDescent="0.3">
      <c r="A9364">
        <v>9363</v>
      </c>
      <c r="B9364">
        <v>0</v>
      </c>
      <c r="C9364">
        <v>13.4</v>
      </c>
      <c r="D9364">
        <v>3.5583300000000002</v>
      </c>
      <c r="E9364" t="s">
        <v>14234</v>
      </c>
      <c r="F9364" t="s">
        <v>14236</v>
      </c>
      <c r="G9364" t="s">
        <v>37</v>
      </c>
      <c r="H9364">
        <v>1990</v>
      </c>
      <c r="I9364">
        <v>23.0886</v>
      </c>
      <c r="J9364">
        <v>9.6</v>
      </c>
      <c r="K9364">
        <v>78.866669999999999</v>
      </c>
      <c r="L9364">
        <v>6.0136839999999996</v>
      </c>
      <c r="M9364">
        <v>29.5886</v>
      </c>
      <c r="N9364">
        <v>17.475259999999999</v>
      </c>
      <c r="O9364">
        <v>12.113329999999999</v>
      </c>
      <c r="P9364">
        <v>22.674389999999999</v>
      </c>
      <c r="Q9364">
        <v>22.914210000000001</v>
      </c>
      <c r="R9364">
        <v>23.8886</v>
      </c>
      <c r="S9364">
        <v>22.43544</v>
      </c>
      <c r="T9364">
        <v>1637.0160000000001</v>
      </c>
      <c r="U9364">
        <v>289.6456</v>
      </c>
      <c r="V9364">
        <v>28.256139999999998</v>
      </c>
      <c r="W9364">
        <v>55</v>
      </c>
      <c r="X9364">
        <v>645.64559999999994</v>
      </c>
      <c r="Y9364">
        <v>114.2561</v>
      </c>
      <c r="Z9364">
        <v>507.11399999999998</v>
      </c>
      <c r="AA9364">
        <v>408.45260000000002</v>
      </c>
      <c r="AB9364">
        <v>3.466297</v>
      </c>
      <c r="AC9364">
        <v>5.2148029999999998E-2</v>
      </c>
      <c r="AD9364">
        <v>6.2925709999999997</v>
      </c>
      <c r="AE9364">
        <v>0.46076650000000002</v>
      </c>
      <c r="AF9364">
        <v>682.78250000000003</v>
      </c>
      <c r="AG9364">
        <f>IFERROR(AH9364*0.1, "N/A")</f>
        <v>4.8354390000000009</v>
      </c>
      <c r="AH9364">
        <v>48.354390000000002</v>
      </c>
      <c r="AI9364">
        <v>94.443889999999996</v>
      </c>
      <c r="AJ9364">
        <v>44.708770000000001</v>
      </c>
      <c r="AK9364">
        <v>45.291229999999999</v>
      </c>
    </row>
    <row r="9365" spans="1:37" x14ac:dyDescent="0.3">
      <c r="A9365">
        <v>9364</v>
      </c>
      <c r="B9365">
        <v>0</v>
      </c>
      <c r="C9365">
        <v>13.4</v>
      </c>
      <c r="D9365">
        <v>3.5583300000000002</v>
      </c>
      <c r="E9365" t="s">
        <v>14234</v>
      </c>
      <c r="F9365" t="s">
        <v>14237</v>
      </c>
      <c r="G9365" t="s">
        <v>2420</v>
      </c>
      <c r="H9365">
        <v>1990</v>
      </c>
      <c r="I9365">
        <v>23.0886</v>
      </c>
      <c r="J9365">
        <v>9.6</v>
      </c>
      <c r="K9365">
        <v>78.866669999999999</v>
      </c>
      <c r="L9365">
        <v>6.0136839999999996</v>
      </c>
      <c r="M9365">
        <v>29.5886</v>
      </c>
      <c r="N9365">
        <v>17.475259999999999</v>
      </c>
      <c r="O9365">
        <v>12.113329999999999</v>
      </c>
      <c r="P9365">
        <v>22.674389999999999</v>
      </c>
      <c r="Q9365">
        <v>22.914210000000001</v>
      </c>
      <c r="R9365">
        <v>23.8886</v>
      </c>
      <c r="S9365">
        <v>22.43544</v>
      </c>
      <c r="T9365">
        <v>1637.0160000000001</v>
      </c>
      <c r="U9365">
        <v>289.6456</v>
      </c>
      <c r="V9365">
        <v>28.256139999999998</v>
      </c>
      <c r="W9365">
        <v>55</v>
      </c>
      <c r="X9365">
        <v>645.64559999999994</v>
      </c>
      <c r="Y9365">
        <v>114.2561</v>
      </c>
      <c r="Z9365">
        <v>507.11399999999998</v>
      </c>
      <c r="AA9365">
        <v>408.45260000000002</v>
      </c>
      <c r="AB9365">
        <v>3.466297</v>
      </c>
      <c r="AC9365">
        <v>5.2148029999999998E-2</v>
      </c>
      <c r="AD9365">
        <v>6.2925709999999997</v>
      </c>
      <c r="AE9365">
        <v>0.46076650000000002</v>
      </c>
      <c r="AF9365">
        <v>682.78250000000003</v>
      </c>
      <c r="AG9365">
        <f>IFERROR(AH9365*0.1, "N/A")</f>
        <v>4.8354390000000009</v>
      </c>
      <c r="AH9365">
        <v>48.354390000000002</v>
      </c>
      <c r="AI9365">
        <v>94.443889999999996</v>
      </c>
      <c r="AJ9365">
        <v>44.708770000000001</v>
      </c>
      <c r="AK9365">
        <v>45.291229999999999</v>
      </c>
    </row>
    <row r="9366" spans="1:37" x14ac:dyDescent="0.3">
      <c r="A9366">
        <v>9365</v>
      </c>
      <c r="B9366">
        <v>4.8</v>
      </c>
      <c r="C9366">
        <v>11.6417</v>
      </c>
      <c r="D9366">
        <v>3.5861100000000001</v>
      </c>
      <c r="E9366" t="s">
        <v>14238</v>
      </c>
      <c r="F9366" t="s">
        <v>14239</v>
      </c>
      <c r="G9366" t="s">
        <v>37</v>
      </c>
      <c r="H9366">
        <v>1990</v>
      </c>
      <c r="I9366">
        <v>23.9</v>
      </c>
      <c r="J9366">
        <v>9.0138839999999991</v>
      </c>
      <c r="K9366">
        <v>81</v>
      </c>
      <c r="L9366">
        <v>6.4366430000000001</v>
      </c>
      <c r="M9366">
        <v>29.8</v>
      </c>
      <c r="N9366">
        <v>18.7</v>
      </c>
      <c r="O9366">
        <v>11.1</v>
      </c>
      <c r="P9366">
        <v>23.48612</v>
      </c>
      <c r="Q9366">
        <v>24.4</v>
      </c>
      <c r="R9366">
        <v>24.6</v>
      </c>
      <c r="S9366">
        <v>23</v>
      </c>
      <c r="T9366">
        <v>1660.5550000000001</v>
      </c>
      <c r="U9366">
        <v>295.1388</v>
      </c>
      <c r="V9366">
        <v>26</v>
      </c>
      <c r="W9366">
        <v>60</v>
      </c>
      <c r="X9366">
        <v>669.13879999999995</v>
      </c>
      <c r="Y9366">
        <v>111</v>
      </c>
      <c r="Z9366">
        <v>387.1388</v>
      </c>
      <c r="AA9366">
        <v>413.1388</v>
      </c>
      <c r="AB9366">
        <v>15.748860000000001</v>
      </c>
      <c r="AC9366">
        <v>1.0495630000000001E-2</v>
      </c>
      <c r="AD9366">
        <v>2.0557979999999998</v>
      </c>
      <c r="AE9366">
        <v>0.18189140000000001</v>
      </c>
      <c r="AF9366">
        <v>674.24779999999998</v>
      </c>
      <c r="AG9366">
        <f>IFERROR(AH9366*0.1, "N/A")</f>
        <v>5.0138840000000009</v>
      </c>
      <c r="AH9366">
        <v>50.138840000000002</v>
      </c>
      <c r="AI9366">
        <v>128.20660000000001</v>
      </c>
      <c r="AJ9366">
        <v>36.138840000000002</v>
      </c>
      <c r="AK9366">
        <v>55.722320000000003</v>
      </c>
    </row>
    <row r="9367" spans="1:37" x14ac:dyDescent="0.3">
      <c r="A9367">
        <v>9366</v>
      </c>
      <c r="B9367">
        <v>0</v>
      </c>
      <c r="C9367">
        <v>11.6417</v>
      </c>
      <c r="D9367">
        <v>3.5861100000000001</v>
      </c>
      <c r="E9367" t="s">
        <v>14238</v>
      </c>
      <c r="F9367" t="s">
        <v>14240</v>
      </c>
      <c r="G9367" t="s">
        <v>2420</v>
      </c>
      <c r="H9367">
        <v>1990</v>
      </c>
      <c r="I9367">
        <v>23.9</v>
      </c>
      <c r="J9367">
        <v>9.0138839999999991</v>
      </c>
      <c r="K9367">
        <v>81</v>
      </c>
      <c r="L9367">
        <v>6.4366430000000001</v>
      </c>
      <c r="M9367">
        <v>29.8</v>
      </c>
      <c r="N9367">
        <v>18.7</v>
      </c>
      <c r="O9367">
        <v>11.1</v>
      </c>
      <c r="P9367">
        <v>23.48612</v>
      </c>
      <c r="Q9367">
        <v>24.4</v>
      </c>
      <c r="R9367">
        <v>24.6</v>
      </c>
      <c r="S9367">
        <v>23</v>
      </c>
      <c r="T9367">
        <v>1660.5550000000001</v>
      </c>
      <c r="U9367">
        <v>295.1388</v>
      </c>
      <c r="V9367">
        <v>26</v>
      </c>
      <c r="W9367">
        <v>60</v>
      </c>
      <c r="X9367">
        <v>669.13879999999995</v>
      </c>
      <c r="Y9367">
        <v>111</v>
      </c>
      <c r="Z9367">
        <v>387.1388</v>
      </c>
      <c r="AA9367">
        <v>413.1388</v>
      </c>
      <c r="AB9367">
        <v>15.748860000000001</v>
      </c>
      <c r="AC9367">
        <v>1.0495630000000001E-2</v>
      </c>
      <c r="AD9367">
        <v>2.0557979999999998</v>
      </c>
      <c r="AE9367">
        <v>0.18189140000000001</v>
      </c>
      <c r="AF9367">
        <v>674.24779999999998</v>
      </c>
      <c r="AG9367">
        <f>IFERROR(AH9367*0.1, "N/A")</f>
        <v>5.0138840000000009</v>
      </c>
      <c r="AH9367">
        <v>50.138840000000002</v>
      </c>
      <c r="AI9367">
        <v>128.20660000000001</v>
      </c>
      <c r="AJ9367">
        <v>36.138840000000002</v>
      </c>
      <c r="AK9367">
        <v>55.722320000000003</v>
      </c>
    </row>
    <row r="9368" spans="1:37" x14ac:dyDescent="0.3">
      <c r="A9368">
        <v>9367</v>
      </c>
      <c r="B9368">
        <v>0</v>
      </c>
      <c r="C9368">
        <v>9.7194400000000005</v>
      </c>
      <c r="D9368">
        <v>3.5975000000000001</v>
      </c>
      <c r="E9368" t="s">
        <v>14241</v>
      </c>
      <c r="F9368" t="s">
        <v>14242</v>
      </c>
      <c r="G9368" t="s">
        <v>39</v>
      </c>
      <c r="H9368">
        <v>1990</v>
      </c>
      <c r="I9368">
        <v>25.9</v>
      </c>
      <c r="J9368">
        <v>7</v>
      </c>
      <c r="K9368">
        <v>72</v>
      </c>
      <c r="L9368">
        <v>9.6300000000000008</v>
      </c>
      <c r="M9368">
        <v>31.2</v>
      </c>
      <c r="N9368">
        <v>21.6</v>
      </c>
      <c r="O9368">
        <v>9.6</v>
      </c>
      <c r="P9368">
        <v>24.8</v>
      </c>
      <c r="Q9368">
        <v>26.7</v>
      </c>
      <c r="R9368">
        <v>26.9</v>
      </c>
      <c r="S9368">
        <v>24.5</v>
      </c>
      <c r="T9368">
        <v>2964</v>
      </c>
      <c r="U9368">
        <v>487</v>
      </c>
      <c r="V9368">
        <v>42</v>
      </c>
      <c r="W9368">
        <v>60</v>
      </c>
      <c r="X9368">
        <v>1299</v>
      </c>
      <c r="Y9368">
        <v>150</v>
      </c>
      <c r="Z9368">
        <v>446</v>
      </c>
      <c r="AA9368">
        <v>1281</v>
      </c>
      <c r="AB9368">
        <v>10.810370000000001</v>
      </c>
      <c r="AC9368">
        <v>1.6028130000000002E-2</v>
      </c>
      <c r="AD9368">
        <v>2.6553909999999998</v>
      </c>
      <c r="AE9368">
        <v>0.1476692</v>
      </c>
      <c r="AF9368">
        <v>25.221440000000001</v>
      </c>
      <c r="AG9368">
        <f>IFERROR(AH9368*0.1, "N/A")</f>
        <v>4.5069340000000002</v>
      </c>
      <c r="AH9368">
        <v>45.069339999999997</v>
      </c>
      <c r="AI9368">
        <v>174.26159999999999</v>
      </c>
      <c r="AJ9368">
        <v>30</v>
      </c>
      <c r="AK9368">
        <v>51</v>
      </c>
    </row>
    <row r="9369" spans="1:37" x14ac:dyDescent="0.3">
      <c r="A9369">
        <v>9368</v>
      </c>
      <c r="B9369">
        <v>0</v>
      </c>
      <c r="C9369">
        <v>9.7194400000000005</v>
      </c>
      <c r="D9369">
        <v>3.5975000000000001</v>
      </c>
      <c r="E9369" t="s">
        <v>14241</v>
      </c>
      <c r="F9369" t="s">
        <v>14243</v>
      </c>
      <c r="G9369" t="s">
        <v>37</v>
      </c>
      <c r="H9369">
        <v>1990</v>
      </c>
      <c r="I9369">
        <v>25.9</v>
      </c>
      <c r="J9369">
        <v>7</v>
      </c>
      <c r="K9369">
        <v>72</v>
      </c>
      <c r="L9369">
        <v>9.6300000000000008</v>
      </c>
      <c r="M9369">
        <v>31.2</v>
      </c>
      <c r="N9369">
        <v>21.6</v>
      </c>
      <c r="O9369">
        <v>9.6</v>
      </c>
      <c r="P9369">
        <v>24.8</v>
      </c>
      <c r="Q9369">
        <v>26.7</v>
      </c>
      <c r="R9369">
        <v>26.9</v>
      </c>
      <c r="S9369">
        <v>24.5</v>
      </c>
      <c r="T9369">
        <v>2964</v>
      </c>
      <c r="U9369">
        <v>487</v>
      </c>
      <c r="V9369">
        <v>42</v>
      </c>
      <c r="W9369">
        <v>60</v>
      </c>
      <c r="X9369">
        <v>1299</v>
      </c>
      <c r="Y9369">
        <v>150</v>
      </c>
      <c r="Z9369">
        <v>446</v>
      </c>
      <c r="AA9369">
        <v>1281</v>
      </c>
      <c r="AB9369">
        <v>10.810370000000001</v>
      </c>
      <c r="AC9369">
        <v>1.6028130000000002E-2</v>
      </c>
      <c r="AD9369">
        <v>2.6553909999999998</v>
      </c>
      <c r="AE9369">
        <v>0.1476692</v>
      </c>
      <c r="AF9369">
        <v>25.221440000000001</v>
      </c>
      <c r="AG9369">
        <f>IFERROR(AH9369*0.1, "N/A")</f>
        <v>4.5069340000000002</v>
      </c>
      <c r="AH9369">
        <v>45.069339999999997</v>
      </c>
      <c r="AI9369">
        <v>174.26159999999999</v>
      </c>
      <c r="AJ9369">
        <v>30</v>
      </c>
      <c r="AK9369">
        <v>51</v>
      </c>
    </row>
    <row r="9370" spans="1:37" x14ac:dyDescent="0.3">
      <c r="A9370">
        <v>9369</v>
      </c>
      <c r="B9370">
        <v>0</v>
      </c>
      <c r="C9370">
        <v>9.7194400000000005</v>
      </c>
      <c r="D9370">
        <v>3.5975000000000001</v>
      </c>
      <c r="E9370" t="s">
        <v>14241</v>
      </c>
      <c r="F9370" t="s">
        <v>14244</v>
      </c>
      <c r="G9370" t="s">
        <v>2420</v>
      </c>
      <c r="H9370">
        <v>1990</v>
      </c>
      <c r="I9370">
        <v>25.9</v>
      </c>
      <c r="J9370">
        <v>7</v>
      </c>
      <c r="K9370">
        <v>72</v>
      </c>
      <c r="L9370">
        <v>9.6300000000000008</v>
      </c>
      <c r="M9370">
        <v>31.2</v>
      </c>
      <c r="N9370">
        <v>21.6</v>
      </c>
      <c r="O9370">
        <v>9.6</v>
      </c>
      <c r="P9370">
        <v>24.8</v>
      </c>
      <c r="Q9370">
        <v>26.7</v>
      </c>
      <c r="R9370">
        <v>26.9</v>
      </c>
      <c r="S9370">
        <v>24.5</v>
      </c>
      <c r="T9370">
        <v>2964</v>
      </c>
      <c r="U9370">
        <v>487</v>
      </c>
      <c r="V9370">
        <v>42</v>
      </c>
      <c r="W9370">
        <v>60</v>
      </c>
      <c r="X9370">
        <v>1299</v>
      </c>
      <c r="Y9370">
        <v>150</v>
      </c>
      <c r="Z9370">
        <v>446</v>
      </c>
      <c r="AA9370">
        <v>1281</v>
      </c>
      <c r="AB9370">
        <v>10.810370000000001</v>
      </c>
      <c r="AC9370">
        <v>1.6028130000000002E-2</v>
      </c>
      <c r="AD9370">
        <v>2.6553909999999998</v>
      </c>
      <c r="AE9370">
        <v>0.1476692</v>
      </c>
      <c r="AF9370">
        <v>25.221440000000001</v>
      </c>
      <c r="AG9370">
        <f>IFERROR(AH9370*0.1, "N/A")</f>
        <v>4.5069340000000002</v>
      </c>
      <c r="AH9370">
        <v>45.069339999999997</v>
      </c>
      <c r="AI9370">
        <v>174.26159999999999</v>
      </c>
      <c r="AJ9370">
        <v>30</v>
      </c>
      <c r="AK9370">
        <v>51</v>
      </c>
    </row>
    <row r="9371" spans="1:37" x14ac:dyDescent="0.3">
      <c r="A9371">
        <v>9370</v>
      </c>
      <c r="B9371">
        <v>0</v>
      </c>
      <c r="C9371">
        <v>11.166700000000001</v>
      </c>
      <c r="D9371">
        <v>3.6</v>
      </c>
      <c r="E9371" t="s">
        <v>14245</v>
      </c>
      <c r="F9371" t="s">
        <v>14246</v>
      </c>
      <c r="G9371" t="s">
        <v>37</v>
      </c>
      <c r="H9371">
        <v>1990</v>
      </c>
      <c r="I9371">
        <v>23.8</v>
      </c>
      <c r="J9371">
        <v>8.6</v>
      </c>
      <c r="K9371">
        <v>76</v>
      </c>
      <c r="L9371">
        <v>8.3136670000000006</v>
      </c>
      <c r="M9371">
        <v>29.7</v>
      </c>
      <c r="N9371">
        <v>18.5</v>
      </c>
      <c r="O9371">
        <v>11.2</v>
      </c>
      <c r="P9371">
        <v>23.240880000000001</v>
      </c>
      <c r="Q9371">
        <v>24.582630000000002</v>
      </c>
      <c r="R9371">
        <v>24.7</v>
      </c>
      <c r="S9371">
        <v>22.7</v>
      </c>
      <c r="T9371">
        <v>1852.0050000000001</v>
      </c>
      <c r="U9371">
        <v>325</v>
      </c>
      <c r="V9371">
        <v>27</v>
      </c>
      <c r="W9371">
        <v>60</v>
      </c>
      <c r="X9371">
        <v>743.84739999999999</v>
      </c>
      <c r="Y9371">
        <v>116</v>
      </c>
      <c r="Z9371">
        <v>243.8263</v>
      </c>
      <c r="AA9371">
        <v>491.55090000000001</v>
      </c>
      <c r="AB9371">
        <v>9.2949000000000002</v>
      </c>
      <c r="AC9371">
        <v>5.4974790000000003E-2</v>
      </c>
      <c r="AD9371">
        <v>5.7597240000000003</v>
      </c>
      <c r="AE9371">
        <v>0.1886275</v>
      </c>
      <c r="AF9371">
        <v>659.71749999999997</v>
      </c>
      <c r="AG9371">
        <f>IFERROR(AH9371*0.1, "N/A")</f>
        <v>4.9821050000000007</v>
      </c>
      <c r="AH9371">
        <v>49.82105</v>
      </c>
      <c r="AI9371">
        <v>70.168440000000004</v>
      </c>
      <c r="AJ9371">
        <v>42.340350000000001</v>
      </c>
      <c r="AK9371">
        <v>48.757890000000003</v>
      </c>
    </row>
    <row r="9372" spans="1:37" x14ac:dyDescent="0.3">
      <c r="A9372">
        <v>9371</v>
      </c>
      <c r="B9372">
        <v>6.7</v>
      </c>
      <c r="C9372">
        <v>11.166700000000001</v>
      </c>
      <c r="D9372">
        <v>3.6</v>
      </c>
      <c r="E9372" t="s">
        <v>14245</v>
      </c>
      <c r="F9372" t="s">
        <v>14247</v>
      </c>
      <c r="G9372" t="s">
        <v>2420</v>
      </c>
      <c r="H9372">
        <v>1990</v>
      </c>
      <c r="I9372">
        <v>23.8</v>
      </c>
      <c r="J9372">
        <v>8.6</v>
      </c>
      <c r="K9372">
        <v>76</v>
      </c>
      <c r="L9372">
        <v>8.3136670000000006</v>
      </c>
      <c r="M9372">
        <v>29.7</v>
      </c>
      <c r="N9372">
        <v>18.5</v>
      </c>
      <c r="O9372">
        <v>11.2</v>
      </c>
      <c r="P9372">
        <v>23.240880000000001</v>
      </c>
      <c r="Q9372">
        <v>24.582630000000002</v>
      </c>
      <c r="R9372">
        <v>24.7</v>
      </c>
      <c r="S9372">
        <v>22.7</v>
      </c>
      <c r="T9372">
        <v>1852.0050000000001</v>
      </c>
      <c r="U9372">
        <v>325</v>
      </c>
      <c r="V9372">
        <v>27</v>
      </c>
      <c r="W9372">
        <v>60</v>
      </c>
      <c r="X9372">
        <v>743.84739999999999</v>
      </c>
      <c r="Y9372">
        <v>116</v>
      </c>
      <c r="Z9372">
        <v>243.8263</v>
      </c>
      <c r="AA9372">
        <v>491.55090000000001</v>
      </c>
      <c r="AB9372">
        <v>9.2949000000000002</v>
      </c>
      <c r="AC9372">
        <v>5.4974790000000003E-2</v>
      </c>
      <c r="AD9372">
        <v>5.7597240000000003</v>
      </c>
      <c r="AE9372">
        <v>0.1886275</v>
      </c>
      <c r="AF9372">
        <v>659.71749999999997</v>
      </c>
      <c r="AG9372">
        <f>IFERROR(AH9372*0.1, "N/A")</f>
        <v>4.9821050000000007</v>
      </c>
      <c r="AH9372">
        <v>49.82105</v>
      </c>
      <c r="AI9372">
        <v>70.168440000000004</v>
      </c>
      <c r="AJ9372">
        <v>42.340350000000001</v>
      </c>
      <c r="AK9372">
        <v>48.757890000000003</v>
      </c>
    </row>
    <row r="9373" spans="1:37" x14ac:dyDescent="0.3">
      <c r="A9373">
        <v>9372</v>
      </c>
      <c r="B9373">
        <v>0</v>
      </c>
      <c r="C9373">
        <v>11.85</v>
      </c>
      <c r="D9373">
        <v>3.6</v>
      </c>
      <c r="E9373" t="s">
        <v>14248</v>
      </c>
      <c r="F9373" t="s">
        <v>14249</v>
      </c>
      <c r="G9373" t="s">
        <v>39</v>
      </c>
      <c r="H9373">
        <v>1990</v>
      </c>
      <c r="I9373">
        <v>23.98348</v>
      </c>
      <c r="J9373">
        <v>9.1999999999999993</v>
      </c>
      <c r="K9373">
        <v>82.834800000000001</v>
      </c>
      <c r="L9373">
        <v>6.4707559999999997</v>
      </c>
      <c r="M9373">
        <v>29.9</v>
      </c>
      <c r="N9373">
        <v>18.883479999999999</v>
      </c>
      <c r="O9373">
        <v>11.01652</v>
      </c>
      <c r="P9373">
        <v>23.583480000000002</v>
      </c>
      <c r="Q9373">
        <v>24.4</v>
      </c>
      <c r="R9373">
        <v>24.7</v>
      </c>
      <c r="S9373">
        <v>23.1</v>
      </c>
      <c r="T9373">
        <v>1623.828</v>
      </c>
      <c r="U9373">
        <v>289</v>
      </c>
      <c r="V9373">
        <v>24</v>
      </c>
      <c r="W9373">
        <v>60</v>
      </c>
      <c r="X9373">
        <v>658.82780000000002</v>
      </c>
      <c r="Y9373">
        <v>104</v>
      </c>
      <c r="Z9373">
        <v>372</v>
      </c>
      <c r="AA9373">
        <v>412.16520000000003</v>
      </c>
      <c r="AB9373">
        <v>0.64007380000000003</v>
      </c>
      <c r="AC9373">
        <v>0.57186970000000004</v>
      </c>
      <c r="AD9373">
        <v>2.55023</v>
      </c>
      <c r="AE9373">
        <v>0.17078850000000001</v>
      </c>
      <c r="AF9373">
        <v>649.54480000000001</v>
      </c>
      <c r="AG9373">
        <f>IFERROR(AH9373*0.1, "N/A")</f>
        <v>4.7407729999999999</v>
      </c>
      <c r="AH9373">
        <v>47.407730000000001</v>
      </c>
      <c r="AI9373">
        <v>64.192369999999997</v>
      </c>
      <c r="AJ9373">
        <v>37.196840000000002</v>
      </c>
      <c r="AK9373">
        <v>54.128300000000003</v>
      </c>
    </row>
    <row r="9374" spans="1:37" x14ac:dyDescent="0.3">
      <c r="A9374">
        <v>9373</v>
      </c>
      <c r="B9374">
        <v>0</v>
      </c>
      <c r="C9374">
        <v>11.85</v>
      </c>
      <c r="D9374">
        <v>3.6</v>
      </c>
      <c r="E9374" t="s">
        <v>14248</v>
      </c>
      <c r="F9374" t="s">
        <v>14250</v>
      </c>
      <c r="G9374" t="s">
        <v>37</v>
      </c>
      <c r="H9374">
        <v>1990</v>
      </c>
      <c r="I9374">
        <v>23.98348</v>
      </c>
      <c r="J9374">
        <v>9.1999999999999993</v>
      </c>
      <c r="K9374">
        <v>82.834800000000001</v>
      </c>
      <c r="L9374">
        <v>6.4707559999999997</v>
      </c>
      <c r="M9374">
        <v>29.9</v>
      </c>
      <c r="N9374">
        <v>18.883479999999999</v>
      </c>
      <c r="O9374">
        <v>11.01652</v>
      </c>
      <c r="P9374">
        <v>23.583480000000002</v>
      </c>
      <c r="Q9374">
        <v>24.4</v>
      </c>
      <c r="R9374">
        <v>24.7</v>
      </c>
      <c r="S9374">
        <v>23.1</v>
      </c>
      <c r="T9374">
        <v>1623.828</v>
      </c>
      <c r="U9374">
        <v>289</v>
      </c>
      <c r="V9374">
        <v>24</v>
      </c>
      <c r="W9374">
        <v>60</v>
      </c>
      <c r="X9374">
        <v>658.82780000000002</v>
      </c>
      <c r="Y9374">
        <v>104</v>
      </c>
      <c r="Z9374">
        <v>372</v>
      </c>
      <c r="AA9374">
        <v>412.16520000000003</v>
      </c>
      <c r="AB9374">
        <v>0.64007380000000003</v>
      </c>
      <c r="AC9374">
        <v>0.57186970000000004</v>
      </c>
      <c r="AD9374">
        <v>2.55023</v>
      </c>
      <c r="AE9374">
        <v>0.17078850000000001</v>
      </c>
      <c r="AF9374">
        <v>649.54480000000001</v>
      </c>
      <c r="AG9374">
        <f>IFERROR(AH9374*0.1, "N/A")</f>
        <v>4.7407729999999999</v>
      </c>
      <c r="AH9374">
        <v>47.407730000000001</v>
      </c>
      <c r="AI9374">
        <v>64.192369999999997</v>
      </c>
      <c r="AJ9374">
        <v>37.196840000000002</v>
      </c>
      <c r="AK9374">
        <v>54.128300000000003</v>
      </c>
    </row>
    <row r="9375" spans="1:37" x14ac:dyDescent="0.3">
      <c r="A9375">
        <v>9374</v>
      </c>
      <c r="B9375">
        <v>0</v>
      </c>
      <c r="C9375">
        <v>11.85</v>
      </c>
      <c r="D9375">
        <v>3.6</v>
      </c>
      <c r="E9375" t="s">
        <v>14248</v>
      </c>
      <c r="F9375" t="s">
        <v>14251</v>
      </c>
      <c r="G9375" t="s">
        <v>2420</v>
      </c>
      <c r="H9375">
        <v>1990</v>
      </c>
      <c r="I9375">
        <v>23.98348</v>
      </c>
      <c r="J9375">
        <v>9.1999999999999993</v>
      </c>
      <c r="K9375">
        <v>82.834800000000001</v>
      </c>
      <c r="L9375">
        <v>6.4707559999999997</v>
      </c>
      <c r="M9375">
        <v>29.9</v>
      </c>
      <c r="N9375">
        <v>18.883479999999999</v>
      </c>
      <c r="O9375">
        <v>11.01652</v>
      </c>
      <c r="P9375">
        <v>23.583480000000002</v>
      </c>
      <c r="Q9375">
        <v>24.4</v>
      </c>
      <c r="R9375">
        <v>24.7</v>
      </c>
      <c r="S9375">
        <v>23.1</v>
      </c>
      <c r="T9375">
        <v>1623.828</v>
      </c>
      <c r="U9375">
        <v>289</v>
      </c>
      <c r="V9375">
        <v>24</v>
      </c>
      <c r="W9375">
        <v>60</v>
      </c>
      <c r="X9375">
        <v>658.82780000000002</v>
      </c>
      <c r="Y9375">
        <v>104</v>
      </c>
      <c r="Z9375">
        <v>372</v>
      </c>
      <c r="AA9375">
        <v>412.16520000000003</v>
      </c>
      <c r="AB9375">
        <v>0.64007380000000003</v>
      </c>
      <c r="AC9375">
        <v>0.57186970000000004</v>
      </c>
      <c r="AD9375">
        <v>2.55023</v>
      </c>
      <c r="AE9375">
        <v>0.17078850000000001</v>
      </c>
      <c r="AF9375">
        <v>649.54480000000001</v>
      </c>
      <c r="AG9375">
        <f>IFERROR(AH9375*0.1, "N/A")</f>
        <v>4.7407729999999999</v>
      </c>
      <c r="AH9375">
        <v>47.407730000000001</v>
      </c>
      <c r="AI9375">
        <v>64.192369999999997</v>
      </c>
      <c r="AJ9375">
        <v>37.196840000000002</v>
      </c>
      <c r="AK9375">
        <v>54.128300000000003</v>
      </c>
    </row>
    <row r="9376" spans="1:37" x14ac:dyDescent="0.3">
      <c r="A9376">
        <v>9375</v>
      </c>
      <c r="B9376">
        <v>0</v>
      </c>
      <c r="C9376">
        <v>11.308299999999999</v>
      </c>
      <c r="D9376">
        <v>3.6055600000000001</v>
      </c>
      <c r="E9376" t="s">
        <v>14252</v>
      </c>
      <c r="F9376" t="s">
        <v>14253</v>
      </c>
      <c r="G9376" t="s">
        <v>39</v>
      </c>
      <c r="H9376">
        <v>1990</v>
      </c>
      <c r="I9376">
        <v>23.8</v>
      </c>
      <c r="J9376">
        <v>8.8000000000000007</v>
      </c>
      <c r="K9376">
        <v>78</v>
      </c>
      <c r="L9376">
        <v>7.8386360000000002</v>
      </c>
      <c r="M9376">
        <v>29.7</v>
      </c>
      <c r="N9376">
        <v>18.5</v>
      </c>
      <c r="O9376">
        <v>11.2</v>
      </c>
      <c r="P9376">
        <v>23.3</v>
      </c>
      <c r="Q9376">
        <v>24.5</v>
      </c>
      <c r="R9376">
        <v>24.7</v>
      </c>
      <c r="S9376">
        <v>22.722729999999999</v>
      </c>
      <c r="T9376">
        <v>1774.9090000000001</v>
      </c>
      <c r="U9376">
        <v>314.22730000000001</v>
      </c>
      <c r="V9376">
        <v>26</v>
      </c>
      <c r="W9376">
        <v>60</v>
      </c>
      <c r="X9376">
        <v>713.45450000000005</v>
      </c>
      <c r="Y9376">
        <v>114</v>
      </c>
      <c r="Z9376">
        <v>239</v>
      </c>
      <c r="AA9376">
        <v>457.22730000000001</v>
      </c>
      <c r="AB9376">
        <v>19.880970000000001</v>
      </c>
      <c r="AC9376">
        <v>1.6913399999999999E-2</v>
      </c>
      <c r="AD9376">
        <v>4.317323</v>
      </c>
      <c r="AE9376">
        <v>0.26329849999999999</v>
      </c>
      <c r="AF9376">
        <v>689.65560000000005</v>
      </c>
      <c r="AG9376">
        <f>IFERROR(AH9376*0.1, "N/A")</f>
        <v>4.9755240000000001</v>
      </c>
      <c r="AH9376">
        <v>49.755240000000001</v>
      </c>
      <c r="AI9376">
        <v>175.67179999999999</v>
      </c>
      <c r="AJ9376">
        <v>40.138109999999998</v>
      </c>
      <c r="AK9376">
        <v>49.243009999999998</v>
      </c>
    </row>
    <row r="9377" spans="1:37" x14ac:dyDescent="0.3">
      <c r="A9377">
        <v>9376</v>
      </c>
      <c r="B9377">
        <v>11.2</v>
      </c>
      <c r="C9377">
        <v>11.308299999999999</v>
      </c>
      <c r="D9377">
        <v>3.6055600000000001</v>
      </c>
      <c r="E9377" t="s">
        <v>14252</v>
      </c>
      <c r="F9377" t="s">
        <v>14254</v>
      </c>
      <c r="G9377" t="s">
        <v>37</v>
      </c>
      <c r="H9377">
        <v>1990</v>
      </c>
      <c r="I9377">
        <v>23.8</v>
      </c>
      <c r="J9377">
        <v>8.8000000000000007</v>
      </c>
      <c r="K9377">
        <v>78</v>
      </c>
      <c r="L9377">
        <v>7.8386360000000002</v>
      </c>
      <c r="M9377">
        <v>29.7</v>
      </c>
      <c r="N9377">
        <v>18.5</v>
      </c>
      <c r="O9377">
        <v>11.2</v>
      </c>
      <c r="P9377">
        <v>23.3</v>
      </c>
      <c r="Q9377">
        <v>24.5</v>
      </c>
      <c r="R9377">
        <v>24.7</v>
      </c>
      <c r="S9377">
        <v>22.722729999999999</v>
      </c>
      <c r="T9377">
        <v>1774.9090000000001</v>
      </c>
      <c r="U9377">
        <v>314.22730000000001</v>
      </c>
      <c r="V9377">
        <v>26</v>
      </c>
      <c r="W9377">
        <v>60</v>
      </c>
      <c r="X9377">
        <v>713.45450000000005</v>
      </c>
      <c r="Y9377">
        <v>114</v>
      </c>
      <c r="Z9377">
        <v>239</v>
      </c>
      <c r="AA9377">
        <v>457.22730000000001</v>
      </c>
      <c r="AB9377">
        <v>19.880970000000001</v>
      </c>
      <c r="AC9377">
        <v>1.6913399999999999E-2</v>
      </c>
      <c r="AD9377">
        <v>4.317323</v>
      </c>
      <c r="AE9377">
        <v>0.26329849999999999</v>
      </c>
      <c r="AF9377">
        <v>689.65560000000005</v>
      </c>
      <c r="AG9377">
        <f>IFERROR(AH9377*0.1, "N/A")</f>
        <v>4.9755240000000001</v>
      </c>
      <c r="AH9377">
        <v>49.755240000000001</v>
      </c>
      <c r="AI9377">
        <v>175.67179999999999</v>
      </c>
      <c r="AJ9377">
        <v>40.138109999999998</v>
      </c>
      <c r="AK9377">
        <v>49.243009999999998</v>
      </c>
    </row>
    <row r="9378" spans="1:37" x14ac:dyDescent="0.3">
      <c r="A9378">
        <v>9377</v>
      </c>
      <c r="B9378">
        <v>0</v>
      </c>
      <c r="C9378">
        <v>11.308299999999999</v>
      </c>
      <c r="D9378">
        <v>3.6055600000000001</v>
      </c>
      <c r="E9378" t="s">
        <v>14252</v>
      </c>
      <c r="F9378" t="s">
        <v>14255</v>
      </c>
      <c r="G9378" t="s">
        <v>2420</v>
      </c>
      <c r="H9378">
        <v>1990</v>
      </c>
      <c r="I9378">
        <v>23.8</v>
      </c>
      <c r="J9378">
        <v>8.8000000000000007</v>
      </c>
      <c r="K9378">
        <v>78</v>
      </c>
      <c r="L9378">
        <v>7.8386360000000002</v>
      </c>
      <c r="M9378">
        <v>29.7</v>
      </c>
      <c r="N9378">
        <v>18.5</v>
      </c>
      <c r="O9378">
        <v>11.2</v>
      </c>
      <c r="P9378">
        <v>23.3</v>
      </c>
      <c r="Q9378">
        <v>24.5</v>
      </c>
      <c r="R9378">
        <v>24.7</v>
      </c>
      <c r="S9378">
        <v>22.722729999999999</v>
      </c>
      <c r="T9378">
        <v>1774.9090000000001</v>
      </c>
      <c r="U9378">
        <v>314.22730000000001</v>
      </c>
      <c r="V9378">
        <v>26</v>
      </c>
      <c r="W9378">
        <v>60</v>
      </c>
      <c r="X9378">
        <v>713.45450000000005</v>
      </c>
      <c r="Y9378">
        <v>114</v>
      </c>
      <c r="Z9378">
        <v>239</v>
      </c>
      <c r="AA9378">
        <v>457.22730000000001</v>
      </c>
      <c r="AB9378">
        <v>19.880970000000001</v>
      </c>
      <c r="AC9378">
        <v>1.6913399999999999E-2</v>
      </c>
      <c r="AD9378">
        <v>4.317323</v>
      </c>
      <c r="AE9378">
        <v>0.26329849999999999</v>
      </c>
      <c r="AF9378">
        <v>689.65560000000005</v>
      </c>
      <c r="AG9378">
        <f>IFERROR(AH9378*0.1, "N/A")</f>
        <v>4.9755240000000001</v>
      </c>
      <c r="AH9378">
        <v>49.755240000000001</v>
      </c>
      <c r="AI9378">
        <v>175.67179999999999</v>
      </c>
      <c r="AJ9378">
        <v>40.138109999999998</v>
      </c>
      <c r="AK9378">
        <v>49.243009999999998</v>
      </c>
    </row>
    <row r="9379" spans="1:37" x14ac:dyDescent="0.3">
      <c r="A9379">
        <v>9378</v>
      </c>
      <c r="B9379">
        <v>0</v>
      </c>
      <c r="C9379">
        <v>15.066700000000001</v>
      </c>
      <c r="D9379">
        <v>3.60833</v>
      </c>
      <c r="E9379" t="s">
        <v>14256</v>
      </c>
      <c r="F9379" t="s">
        <v>14257</v>
      </c>
      <c r="G9379" t="s">
        <v>39</v>
      </c>
      <c r="H9379">
        <v>1990</v>
      </c>
      <c r="I9379">
        <v>23.815840000000001</v>
      </c>
      <c r="J9379">
        <v>10.8</v>
      </c>
      <c r="K9379">
        <v>80</v>
      </c>
      <c r="L9379">
        <v>5.5428519999999999</v>
      </c>
      <c r="M9379">
        <v>30.640319999999999</v>
      </c>
      <c r="N9379">
        <v>17.175529999999998</v>
      </c>
      <c r="O9379">
        <v>13.464790000000001</v>
      </c>
      <c r="P9379">
        <v>23.675529999999998</v>
      </c>
      <c r="Q9379">
        <v>23.615849999999998</v>
      </c>
      <c r="R9379">
        <v>24.540320000000001</v>
      </c>
      <c r="S9379">
        <v>23.140319999999999</v>
      </c>
      <c r="T9379">
        <v>1490.9949999999999</v>
      </c>
      <c r="U9379">
        <v>217.4683</v>
      </c>
      <c r="V9379">
        <v>36.186619999999998</v>
      </c>
      <c r="W9379">
        <v>44</v>
      </c>
      <c r="X9379">
        <v>535.9366</v>
      </c>
      <c r="Y9379">
        <v>185.25700000000001</v>
      </c>
      <c r="Z9379">
        <v>513.5317</v>
      </c>
      <c r="AA9379">
        <v>320.67959999999999</v>
      </c>
      <c r="AB9379">
        <v>24.366710000000001</v>
      </c>
      <c r="AC9379">
        <v>3.3404030000000001E-2</v>
      </c>
      <c r="AD9379">
        <v>3.1238519999999999</v>
      </c>
      <c r="AE9379">
        <v>0.1035649</v>
      </c>
      <c r="AF9379">
        <v>590.13559999999995</v>
      </c>
      <c r="AG9379">
        <f>IFERROR(AH9379*0.1, "N/A")</f>
        <v>5.0352110000000003</v>
      </c>
      <c r="AH9379">
        <v>50.352110000000003</v>
      </c>
      <c r="AI9379">
        <v>205.62549999999999</v>
      </c>
      <c r="AJ9379">
        <v>34.017609999999998</v>
      </c>
      <c r="AK9379">
        <v>52.982390000000002</v>
      </c>
    </row>
    <row r="9380" spans="1:37" x14ac:dyDescent="0.3">
      <c r="A9380">
        <v>9379</v>
      </c>
      <c r="B9380">
        <v>0</v>
      </c>
      <c r="C9380">
        <v>15.066700000000001</v>
      </c>
      <c r="D9380">
        <v>3.60833</v>
      </c>
      <c r="E9380" t="s">
        <v>14256</v>
      </c>
      <c r="F9380" t="s">
        <v>14258</v>
      </c>
      <c r="G9380" t="s">
        <v>37</v>
      </c>
      <c r="H9380">
        <v>1990</v>
      </c>
      <c r="I9380">
        <v>23.815840000000001</v>
      </c>
      <c r="J9380">
        <v>10.8</v>
      </c>
      <c r="K9380">
        <v>80</v>
      </c>
      <c r="L9380">
        <v>5.5428519999999999</v>
      </c>
      <c r="M9380">
        <v>30.640319999999999</v>
      </c>
      <c r="N9380">
        <v>17.175529999999998</v>
      </c>
      <c r="O9380">
        <v>13.464790000000001</v>
      </c>
      <c r="P9380">
        <v>23.675529999999998</v>
      </c>
      <c r="Q9380">
        <v>23.615849999999998</v>
      </c>
      <c r="R9380">
        <v>24.540320000000001</v>
      </c>
      <c r="S9380">
        <v>23.140319999999999</v>
      </c>
      <c r="T9380">
        <v>1490.9949999999999</v>
      </c>
      <c r="U9380">
        <v>217.4683</v>
      </c>
      <c r="V9380">
        <v>36.186619999999998</v>
      </c>
      <c r="W9380">
        <v>44</v>
      </c>
      <c r="X9380">
        <v>535.9366</v>
      </c>
      <c r="Y9380">
        <v>185.25700000000001</v>
      </c>
      <c r="Z9380">
        <v>513.5317</v>
      </c>
      <c r="AA9380">
        <v>320.67959999999999</v>
      </c>
      <c r="AB9380">
        <v>24.366710000000001</v>
      </c>
      <c r="AC9380">
        <v>3.3404030000000001E-2</v>
      </c>
      <c r="AD9380">
        <v>3.1238519999999999</v>
      </c>
      <c r="AE9380">
        <v>0.1035649</v>
      </c>
      <c r="AF9380">
        <v>590.13559999999995</v>
      </c>
      <c r="AG9380">
        <f>IFERROR(AH9380*0.1, "N/A")</f>
        <v>5.0352110000000003</v>
      </c>
      <c r="AH9380">
        <v>50.352110000000003</v>
      </c>
      <c r="AI9380">
        <v>205.62549999999999</v>
      </c>
      <c r="AJ9380">
        <v>34.017609999999998</v>
      </c>
      <c r="AK9380">
        <v>52.982390000000002</v>
      </c>
    </row>
    <row r="9381" spans="1:37" x14ac:dyDescent="0.3">
      <c r="A9381">
        <v>9380</v>
      </c>
      <c r="B9381">
        <v>0</v>
      </c>
      <c r="C9381">
        <v>15.066700000000001</v>
      </c>
      <c r="D9381">
        <v>3.60833</v>
      </c>
      <c r="E9381" t="s">
        <v>14256</v>
      </c>
      <c r="F9381" t="s">
        <v>14259</v>
      </c>
      <c r="G9381" t="s">
        <v>2420</v>
      </c>
      <c r="H9381">
        <v>1990</v>
      </c>
      <c r="I9381">
        <v>23.815840000000001</v>
      </c>
      <c r="J9381">
        <v>10.8</v>
      </c>
      <c r="K9381">
        <v>80</v>
      </c>
      <c r="L9381">
        <v>5.5428519999999999</v>
      </c>
      <c r="M9381">
        <v>30.640319999999999</v>
      </c>
      <c r="N9381">
        <v>17.175529999999998</v>
      </c>
      <c r="O9381">
        <v>13.464790000000001</v>
      </c>
      <c r="P9381">
        <v>23.675529999999998</v>
      </c>
      <c r="Q9381">
        <v>23.615849999999998</v>
      </c>
      <c r="R9381">
        <v>24.540320000000001</v>
      </c>
      <c r="S9381">
        <v>23.140319999999999</v>
      </c>
      <c r="T9381">
        <v>1490.9949999999999</v>
      </c>
      <c r="U9381">
        <v>217.4683</v>
      </c>
      <c r="V9381">
        <v>36.186619999999998</v>
      </c>
      <c r="W9381">
        <v>44</v>
      </c>
      <c r="X9381">
        <v>535.9366</v>
      </c>
      <c r="Y9381">
        <v>185.25700000000001</v>
      </c>
      <c r="Z9381">
        <v>513.5317</v>
      </c>
      <c r="AA9381">
        <v>320.67959999999999</v>
      </c>
      <c r="AB9381">
        <v>24.366710000000001</v>
      </c>
      <c r="AC9381">
        <v>3.3404030000000001E-2</v>
      </c>
      <c r="AD9381">
        <v>3.1238519999999999</v>
      </c>
      <c r="AE9381">
        <v>0.1035649</v>
      </c>
      <c r="AF9381">
        <v>590.13559999999995</v>
      </c>
      <c r="AG9381">
        <f>IFERROR(AH9381*0.1, "N/A")</f>
        <v>5.0352110000000003</v>
      </c>
      <c r="AH9381">
        <v>50.352110000000003</v>
      </c>
      <c r="AI9381">
        <v>205.62549999999999</v>
      </c>
      <c r="AJ9381">
        <v>34.017609999999998</v>
      </c>
      <c r="AK9381">
        <v>52.982390000000002</v>
      </c>
    </row>
    <row r="9382" spans="1:37" x14ac:dyDescent="0.3">
      <c r="A9382">
        <v>9381</v>
      </c>
      <c r="B9382">
        <v>0</v>
      </c>
      <c r="C9382">
        <v>11.916700000000001</v>
      </c>
      <c r="D9382">
        <v>3.62222</v>
      </c>
      <c r="E9382" t="s">
        <v>14260</v>
      </c>
      <c r="F9382" t="s">
        <v>14261</v>
      </c>
      <c r="G9382" t="s">
        <v>37</v>
      </c>
      <c r="H9382">
        <v>1990</v>
      </c>
      <c r="I9382">
        <v>24</v>
      </c>
      <c r="J9382">
        <v>9.1999999999999993</v>
      </c>
      <c r="K9382">
        <v>82.790859999999995</v>
      </c>
      <c r="L9382">
        <v>6.3237259999999997</v>
      </c>
      <c r="M9382">
        <v>29.920909999999999</v>
      </c>
      <c r="N9382">
        <v>18.899999999999999</v>
      </c>
      <c r="O9382">
        <v>11.020910000000001</v>
      </c>
      <c r="P9382">
        <v>23.620909999999999</v>
      </c>
      <c r="Q9382">
        <v>24.4</v>
      </c>
      <c r="R9382">
        <v>24.7</v>
      </c>
      <c r="S9382">
        <v>23.1</v>
      </c>
      <c r="T9382">
        <v>1612.7909999999999</v>
      </c>
      <c r="U9382">
        <v>287.79090000000002</v>
      </c>
      <c r="V9382">
        <v>23</v>
      </c>
      <c r="W9382">
        <v>61</v>
      </c>
      <c r="X9382">
        <v>656.79089999999997</v>
      </c>
      <c r="Y9382">
        <v>102</v>
      </c>
      <c r="Z9382">
        <v>366</v>
      </c>
      <c r="AA9382">
        <v>414</v>
      </c>
      <c r="AB9382">
        <v>0.89490559999999997</v>
      </c>
      <c r="AC9382">
        <v>5.2006819999999996</v>
      </c>
      <c r="AD9382">
        <v>3.8986830000000001</v>
      </c>
      <c r="AE9382">
        <v>0.18685969999999999</v>
      </c>
      <c r="AF9382">
        <v>653.7364</v>
      </c>
      <c r="AG9382">
        <f>IFERROR(AH9382*0.1, "N/A")</f>
        <v>4.915114</v>
      </c>
      <c r="AH9382">
        <v>49.151139999999998</v>
      </c>
      <c r="AI9382">
        <v>190.87639999999999</v>
      </c>
      <c r="AJ9382">
        <v>38.790860000000002</v>
      </c>
      <c r="AK9382">
        <v>54.209139999999998</v>
      </c>
    </row>
    <row r="9383" spans="1:37" x14ac:dyDescent="0.3">
      <c r="A9383">
        <v>9382</v>
      </c>
      <c r="B9383">
        <v>0</v>
      </c>
      <c r="C9383">
        <v>11.916700000000001</v>
      </c>
      <c r="D9383">
        <v>3.62222</v>
      </c>
      <c r="E9383" t="s">
        <v>14260</v>
      </c>
      <c r="F9383" t="s">
        <v>14262</v>
      </c>
      <c r="G9383" t="s">
        <v>2420</v>
      </c>
      <c r="H9383">
        <v>1990</v>
      </c>
      <c r="I9383">
        <v>24</v>
      </c>
      <c r="J9383">
        <v>9.1999999999999993</v>
      </c>
      <c r="K9383">
        <v>82.790859999999995</v>
      </c>
      <c r="L9383">
        <v>6.3237259999999997</v>
      </c>
      <c r="M9383">
        <v>29.920909999999999</v>
      </c>
      <c r="N9383">
        <v>18.899999999999999</v>
      </c>
      <c r="O9383">
        <v>11.020910000000001</v>
      </c>
      <c r="P9383">
        <v>23.620909999999999</v>
      </c>
      <c r="Q9383">
        <v>24.4</v>
      </c>
      <c r="R9383">
        <v>24.7</v>
      </c>
      <c r="S9383">
        <v>23.1</v>
      </c>
      <c r="T9383">
        <v>1612.7909999999999</v>
      </c>
      <c r="U9383">
        <v>287.79090000000002</v>
      </c>
      <c r="V9383">
        <v>23</v>
      </c>
      <c r="W9383">
        <v>61</v>
      </c>
      <c r="X9383">
        <v>656.79089999999997</v>
      </c>
      <c r="Y9383">
        <v>102</v>
      </c>
      <c r="Z9383">
        <v>366</v>
      </c>
      <c r="AA9383">
        <v>414</v>
      </c>
      <c r="AB9383">
        <v>0.89490559999999997</v>
      </c>
      <c r="AC9383">
        <v>5.2006819999999996</v>
      </c>
      <c r="AD9383">
        <v>3.8986830000000001</v>
      </c>
      <c r="AE9383">
        <v>0.18685969999999999</v>
      </c>
      <c r="AF9383">
        <v>653.7364</v>
      </c>
      <c r="AG9383">
        <f>IFERROR(AH9383*0.1, "N/A")</f>
        <v>4.915114</v>
      </c>
      <c r="AH9383">
        <v>49.151139999999998</v>
      </c>
      <c r="AI9383">
        <v>190.87639999999999</v>
      </c>
      <c r="AJ9383">
        <v>38.790860000000002</v>
      </c>
      <c r="AK9383">
        <v>54.209139999999998</v>
      </c>
    </row>
    <row r="9384" spans="1:37" x14ac:dyDescent="0.3">
      <c r="A9384">
        <v>9383</v>
      </c>
      <c r="B9384">
        <v>0</v>
      </c>
      <c r="C9384">
        <v>10.433299999999999</v>
      </c>
      <c r="D9384">
        <v>3.62778</v>
      </c>
      <c r="E9384" t="s">
        <v>14263</v>
      </c>
      <c r="F9384" t="s">
        <v>14264</v>
      </c>
      <c r="G9384" t="s">
        <v>37</v>
      </c>
      <c r="H9384">
        <v>1990</v>
      </c>
      <c r="I9384">
        <v>26.02561</v>
      </c>
      <c r="J9384">
        <v>7.5</v>
      </c>
      <c r="K9384">
        <v>68.256140000000002</v>
      </c>
      <c r="L9384">
        <v>11.53232</v>
      </c>
      <c r="M9384">
        <v>31.8</v>
      </c>
      <c r="N9384">
        <v>20.925609999999999</v>
      </c>
      <c r="O9384">
        <v>10.87439</v>
      </c>
      <c r="P9384">
        <v>24.8</v>
      </c>
      <c r="Q9384">
        <v>27.1</v>
      </c>
      <c r="R9384">
        <v>27.125610000000002</v>
      </c>
      <c r="S9384">
        <v>24.325610000000001</v>
      </c>
      <c r="T9384">
        <v>2348.5369999999998</v>
      </c>
      <c r="U9384">
        <v>406.51229999999998</v>
      </c>
      <c r="V9384">
        <v>33</v>
      </c>
      <c r="W9384">
        <v>61</v>
      </c>
      <c r="X9384">
        <v>1032.0250000000001</v>
      </c>
      <c r="Y9384">
        <v>120</v>
      </c>
      <c r="Z9384">
        <v>246.7439</v>
      </c>
      <c r="AA9384">
        <v>794.53679999999997</v>
      </c>
      <c r="AB9384">
        <v>1.8552630000000001</v>
      </c>
      <c r="AC9384">
        <v>3.8581810000000001</v>
      </c>
      <c r="AD9384">
        <v>2.2167829999999999</v>
      </c>
      <c r="AE9384">
        <v>0.15002950000000001</v>
      </c>
      <c r="AF9384">
        <v>114.7351</v>
      </c>
      <c r="AG9384">
        <f>IFERROR(AH9384*0.1, "N/A")</f>
        <v>4.7133330000000004</v>
      </c>
      <c r="AH9384">
        <v>47.133330000000001</v>
      </c>
      <c r="AI9384">
        <v>106.5538</v>
      </c>
      <c r="AJ9384">
        <v>25.122810000000001</v>
      </c>
      <c r="AK9384">
        <v>64.992980000000003</v>
      </c>
    </row>
    <row r="9385" spans="1:37" x14ac:dyDescent="0.3">
      <c r="A9385">
        <v>9384</v>
      </c>
      <c r="B9385">
        <v>5</v>
      </c>
      <c r="C9385">
        <v>10.433299999999999</v>
      </c>
      <c r="D9385">
        <v>3.62778</v>
      </c>
      <c r="E9385" t="s">
        <v>14263</v>
      </c>
      <c r="F9385" t="s">
        <v>14265</v>
      </c>
      <c r="G9385" t="s">
        <v>2420</v>
      </c>
      <c r="H9385">
        <v>1990</v>
      </c>
      <c r="I9385">
        <v>26.02561</v>
      </c>
      <c r="J9385">
        <v>7.5</v>
      </c>
      <c r="K9385">
        <v>68.256140000000002</v>
      </c>
      <c r="L9385">
        <v>11.53232</v>
      </c>
      <c r="M9385">
        <v>31.8</v>
      </c>
      <c r="N9385">
        <v>20.925609999999999</v>
      </c>
      <c r="O9385">
        <v>10.87439</v>
      </c>
      <c r="P9385">
        <v>24.8</v>
      </c>
      <c r="Q9385">
        <v>27.1</v>
      </c>
      <c r="R9385">
        <v>27.125610000000002</v>
      </c>
      <c r="S9385">
        <v>24.325610000000001</v>
      </c>
      <c r="T9385">
        <v>2348.5369999999998</v>
      </c>
      <c r="U9385">
        <v>406.51229999999998</v>
      </c>
      <c r="V9385">
        <v>33</v>
      </c>
      <c r="W9385">
        <v>61</v>
      </c>
      <c r="X9385">
        <v>1032.0250000000001</v>
      </c>
      <c r="Y9385">
        <v>120</v>
      </c>
      <c r="Z9385">
        <v>246.7439</v>
      </c>
      <c r="AA9385">
        <v>794.53679999999997</v>
      </c>
      <c r="AB9385">
        <v>1.8552630000000001</v>
      </c>
      <c r="AC9385">
        <v>3.8581810000000001</v>
      </c>
      <c r="AD9385">
        <v>2.2167829999999999</v>
      </c>
      <c r="AE9385">
        <v>0.15002950000000001</v>
      </c>
      <c r="AF9385">
        <v>114.7351</v>
      </c>
      <c r="AG9385">
        <f>IFERROR(AH9385*0.1, "N/A")</f>
        <v>4.7133330000000004</v>
      </c>
      <c r="AH9385">
        <v>47.133330000000001</v>
      </c>
      <c r="AI9385">
        <v>106.5538</v>
      </c>
      <c r="AJ9385">
        <v>25.122810000000001</v>
      </c>
      <c r="AK9385">
        <v>64.992980000000003</v>
      </c>
    </row>
    <row r="9386" spans="1:37" x14ac:dyDescent="0.3">
      <c r="A9386">
        <v>9385</v>
      </c>
      <c r="B9386">
        <v>6.7</v>
      </c>
      <c r="C9386">
        <v>11.6</v>
      </c>
      <c r="D9386">
        <v>3.62778</v>
      </c>
      <c r="E9386" t="s">
        <v>14266</v>
      </c>
      <c r="F9386" t="s">
        <v>14267</v>
      </c>
      <c r="G9386" t="s">
        <v>37</v>
      </c>
      <c r="H9386">
        <v>1990</v>
      </c>
      <c r="I9386">
        <v>23.944559999999999</v>
      </c>
      <c r="J9386">
        <v>9.0554389999999998</v>
      </c>
      <c r="K9386">
        <v>81.554389999999998</v>
      </c>
      <c r="L9386">
        <v>6.5935790000000001</v>
      </c>
      <c r="M9386">
        <v>29.78912</v>
      </c>
      <c r="N9386">
        <v>18.74456</v>
      </c>
      <c r="O9386">
        <v>11.044560000000001</v>
      </c>
      <c r="P9386">
        <v>23.544560000000001</v>
      </c>
      <c r="Q9386">
        <v>24.444559999999999</v>
      </c>
      <c r="R9386">
        <v>24.644559999999998</v>
      </c>
      <c r="S9386">
        <v>23.044560000000001</v>
      </c>
      <c r="T9386">
        <v>1662.4459999999999</v>
      </c>
      <c r="U9386">
        <v>297</v>
      </c>
      <c r="V9386">
        <v>25</v>
      </c>
      <c r="W9386">
        <v>60.445610000000002</v>
      </c>
      <c r="X9386">
        <v>671.44560000000001</v>
      </c>
      <c r="Y9386">
        <v>108.5544</v>
      </c>
      <c r="Z9386">
        <v>225.55439999999999</v>
      </c>
      <c r="AA9386">
        <v>378.23160000000001</v>
      </c>
      <c r="AB9386">
        <v>2.51755</v>
      </c>
      <c r="AC9386">
        <v>0.49833480000000002</v>
      </c>
      <c r="AD9386">
        <v>3.4852889999999999</v>
      </c>
      <c r="AE9386">
        <v>0.1730525</v>
      </c>
      <c r="AF9386">
        <v>672.66840000000002</v>
      </c>
      <c r="AG9386">
        <f>IFERROR(AH9386*0.1, "N/A")</f>
        <v>5.0770180000000007</v>
      </c>
      <c r="AH9386">
        <v>50.770180000000003</v>
      </c>
      <c r="AI9386">
        <v>228.34200000000001</v>
      </c>
      <c r="AJ9386">
        <v>42.749119999999998</v>
      </c>
      <c r="AK9386">
        <v>48.445610000000002</v>
      </c>
    </row>
    <row r="9387" spans="1:37" x14ac:dyDescent="0.3">
      <c r="A9387">
        <v>9386</v>
      </c>
      <c r="B9387">
        <v>0</v>
      </c>
      <c r="C9387">
        <v>11.6</v>
      </c>
      <c r="D9387">
        <v>3.62778</v>
      </c>
      <c r="E9387" t="s">
        <v>14266</v>
      </c>
      <c r="F9387" t="s">
        <v>14268</v>
      </c>
      <c r="G9387" t="s">
        <v>2420</v>
      </c>
      <c r="H9387">
        <v>1990</v>
      </c>
      <c r="I9387">
        <v>23.944559999999999</v>
      </c>
      <c r="J9387">
        <v>9.0554389999999998</v>
      </c>
      <c r="K9387">
        <v>81.554389999999998</v>
      </c>
      <c r="L9387">
        <v>6.5935790000000001</v>
      </c>
      <c r="M9387">
        <v>29.78912</v>
      </c>
      <c r="N9387">
        <v>18.74456</v>
      </c>
      <c r="O9387">
        <v>11.044560000000001</v>
      </c>
      <c r="P9387">
        <v>23.544560000000001</v>
      </c>
      <c r="Q9387">
        <v>24.444559999999999</v>
      </c>
      <c r="R9387">
        <v>24.644559999999998</v>
      </c>
      <c r="S9387">
        <v>23.044560000000001</v>
      </c>
      <c r="T9387">
        <v>1662.4459999999999</v>
      </c>
      <c r="U9387">
        <v>297</v>
      </c>
      <c r="V9387">
        <v>25</v>
      </c>
      <c r="W9387">
        <v>60.445610000000002</v>
      </c>
      <c r="X9387">
        <v>671.44560000000001</v>
      </c>
      <c r="Y9387">
        <v>108.5544</v>
      </c>
      <c r="Z9387">
        <v>225.55439999999999</v>
      </c>
      <c r="AA9387">
        <v>378.23160000000001</v>
      </c>
      <c r="AB9387">
        <v>2.51755</v>
      </c>
      <c r="AC9387">
        <v>0.49833480000000002</v>
      </c>
      <c r="AD9387">
        <v>3.4852889999999999</v>
      </c>
      <c r="AE9387">
        <v>0.1730525</v>
      </c>
      <c r="AF9387">
        <v>672.66840000000002</v>
      </c>
      <c r="AG9387">
        <f>IFERROR(AH9387*0.1, "N/A")</f>
        <v>5.0770180000000007</v>
      </c>
      <c r="AH9387">
        <v>50.770180000000003</v>
      </c>
      <c r="AI9387">
        <v>228.34200000000001</v>
      </c>
      <c r="AJ9387">
        <v>42.749119999999998</v>
      </c>
      <c r="AK9387">
        <v>48.445610000000002</v>
      </c>
    </row>
    <row r="9388" spans="1:37" x14ac:dyDescent="0.3">
      <c r="A9388">
        <v>9387</v>
      </c>
      <c r="B9388">
        <v>0</v>
      </c>
      <c r="C9388">
        <v>9.9913900000000009</v>
      </c>
      <c r="D9388">
        <v>3.6369400000000001</v>
      </c>
      <c r="E9388" t="s">
        <v>14269</v>
      </c>
      <c r="F9388" t="s">
        <v>14270</v>
      </c>
      <c r="G9388" t="s">
        <v>37</v>
      </c>
      <c r="H9388">
        <v>1990</v>
      </c>
      <c r="I9388">
        <v>26.3</v>
      </c>
      <c r="J9388">
        <v>7.1</v>
      </c>
      <c r="K9388">
        <v>69</v>
      </c>
      <c r="L9388">
        <v>10.890650000000001</v>
      </c>
      <c r="M9388">
        <v>31.9</v>
      </c>
      <c r="N9388">
        <v>21.7</v>
      </c>
      <c r="O9388">
        <v>10.199999999999999</v>
      </c>
      <c r="P9388">
        <v>25.1</v>
      </c>
      <c r="Q9388">
        <v>27.2</v>
      </c>
      <c r="R9388">
        <v>27.4</v>
      </c>
      <c r="S9388">
        <v>24.7</v>
      </c>
      <c r="T9388">
        <v>2736.3490000000002</v>
      </c>
      <c r="U9388">
        <v>477.93490000000003</v>
      </c>
      <c r="V9388">
        <v>41</v>
      </c>
      <c r="W9388">
        <v>59</v>
      </c>
      <c r="X9388">
        <v>1227.739</v>
      </c>
      <c r="Y9388">
        <v>142</v>
      </c>
      <c r="Z9388">
        <v>451</v>
      </c>
      <c r="AA9388">
        <v>1096.479</v>
      </c>
      <c r="AB9388">
        <v>9.1077460000000006</v>
      </c>
      <c r="AC9388">
        <v>1.012304E-2</v>
      </c>
      <c r="AD9388">
        <v>1.927778</v>
      </c>
      <c r="AE9388">
        <v>0.14420269999999999</v>
      </c>
      <c r="AF9388">
        <v>31.61796</v>
      </c>
      <c r="AG9388">
        <f>IFERROR(AH9388*0.1, "N/A")</f>
        <v>5.0667250000000008</v>
      </c>
      <c r="AH9388">
        <v>50.667250000000003</v>
      </c>
      <c r="AI9388">
        <v>229.1037</v>
      </c>
      <c r="AJ9388">
        <v>31.797540000000001</v>
      </c>
      <c r="AK9388">
        <v>50.535209999999999</v>
      </c>
    </row>
    <row r="9389" spans="1:37" x14ac:dyDescent="0.3">
      <c r="A9389">
        <v>9388</v>
      </c>
      <c r="B9389">
        <v>0</v>
      </c>
      <c r="C9389">
        <v>9.9913900000000009</v>
      </c>
      <c r="D9389">
        <v>3.6369400000000001</v>
      </c>
      <c r="E9389" t="s">
        <v>14269</v>
      </c>
      <c r="F9389" t="s">
        <v>14271</v>
      </c>
      <c r="G9389" t="s">
        <v>2420</v>
      </c>
      <c r="H9389">
        <v>1990</v>
      </c>
      <c r="I9389">
        <v>26.3</v>
      </c>
      <c r="J9389">
        <v>7.1</v>
      </c>
      <c r="K9389">
        <v>69</v>
      </c>
      <c r="L9389">
        <v>10.890650000000001</v>
      </c>
      <c r="M9389">
        <v>31.9</v>
      </c>
      <c r="N9389">
        <v>21.7</v>
      </c>
      <c r="O9389">
        <v>10.199999999999999</v>
      </c>
      <c r="P9389">
        <v>25.1</v>
      </c>
      <c r="Q9389">
        <v>27.2</v>
      </c>
      <c r="R9389">
        <v>27.4</v>
      </c>
      <c r="S9389">
        <v>24.7</v>
      </c>
      <c r="T9389">
        <v>2736.3490000000002</v>
      </c>
      <c r="U9389">
        <v>477.93490000000003</v>
      </c>
      <c r="V9389">
        <v>41</v>
      </c>
      <c r="W9389">
        <v>59</v>
      </c>
      <c r="X9389">
        <v>1227.739</v>
      </c>
      <c r="Y9389">
        <v>142</v>
      </c>
      <c r="Z9389">
        <v>451</v>
      </c>
      <c r="AA9389">
        <v>1096.479</v>
      </c>
      <c r="AB9389">
        <v>9.1077460000000006</v>
      </c>
      <c r="AC9389">
        <v>1.012304E-2</v>
      </c>
      <c r="AD9389">
        <v>1.927778</v>
      </c>
      <c r="AE9389">
        <v>0.14420269999999999</v>
      </c>
      <c r="AF9389">
        <v>31.61796</v>
      </c>
      <c r="AG9389">
        <f>IFERROR(AH9389*0.1, "N/A")</f>
        <v>5.0667250000000008</v>
      </c>
      <c r="AH9389">
        <v>50.667250000000003</v>
      </c>
      <c r="AI9389">
        <v>229.1037</v>
      </c>
      <c r="AJ9389">
        <v>31.797540000000001</v>
      </c>
      <c r="AK9389">
        <v>50.535209999999999</v>
      </c>
    </row>
    <row r="9390" spans="1:37" x14ac:dyDescent="0.3">
      <c r="A9390">
        <v>9389</v>
      </c>
      <c r="B9390">
        <v>0</v>
      </c>
      <c r="C9390">
        <v>9.7891700000000004</v>
      </c>
      <c r="D9390">
        <v>3.6413899999999999</v>
      </c>
      <c r="E9390" t="s">
        <v>14272</v>
      </c>
      <c r="F9390" t="s">
        <v>14273</v>
      </c>
      <c r="G9390" t="s">
        <v>39</v>
      </c>
      <c r="H9390">
        <v>1990</v>
      </c>
      <c r="I9390">
        <v>26.178629999999998</v>
      </c>
      <c r="J9390">
        <v>7</v>
      </c>
      <c r="K9390">
        <v>70</v>
      </c>
      <c r="L9390">
        <v>10.39504</v>
      </c>
      <c r="M9390">
        <v>31.57863</v>
      </c>
      <c r="N9390">
        <v>21.678629999999998</v>
      </c>
      <c r="O9390">
        <v>9.9</v>
      </c>
      <c r="P9390">
        <v>24.978629999999999</v>
      </c>
      <c r="Q9390">
        <v>26.978629999999999</v>
      </c>
      <c r="R9390">
        <v>27.178629999999998</v>
      </c>
      <c r="S9390">
        <v>24.57863</v>
      </c>
      <c r="T9390">
        <v>2962.6410000000001</v>
      </c>
      <c r="U9390">
        <v>493.21370000000002</v>
      </c>
      <c r="V9390">
        <v>41</v>
      </c>
      <c r="W9390">
        <v>61</v>
      </c>
      <c r="X9390">
        <v>1310.068</v>
      </c>
      <c r="Y9390">
        <v>146.5727</v>
      </c>
      <c r="Z9390">
        <v>449.5727</v>
      </c>
      <c r="AA9390">
        <v>1282.7090000000001</v>
      </c>
      <c r="AB9390">
        <v>7.895797</v>
      </c>
      <c r="AC9390">
        <v>1.2340729999999999E-2</v>
      </c>
      <c r="AD9390">
        <v>1.324389</v>
      </c>
      <c r="AE9390">
        <v>0.2114076</v>
      </c>
      <c r="AF9390">
        <v>21.323989999999998</v>
      </c>
      <c r="AG9390">
        <f>IFERROR(AH9390*0.1, "N/A")</f>
        <v>4.9182139999999999</v>
      </c>
      <c r="AH9390">
        <v>49.182139999999997</v>
      </c>
      <c r="AI9390">
        <v>166.63659999999999</v>
      </c>
      <c r="AJ9390">
        <v>26.313490000000002</v>
      </c>
      <c r="AK9390">
        <v>59.64799</v>
      </c>
    </row>
    <row r="9391" spans="1:37" x14ac:dyDescent="0.3">
      <c r="A9391">
        <v>9390</v>
      </c>
      <c r="B9391">
        <v>0</v>
      </c>
      <c r="C9391">
        <v>9.7891700000000004</v>
      </c>
      <c r="D9391">
        <v>3.6413899999999999</v>
      </c>
      <c r="E9391" t="s">
        <v>14272</v>
      </c>
      <c r="F9391" t="s">
        <v>14274</v>
      </c>
      <c r="G9391" t="s">
        <v>37</v>
      </c>
      <c r="H9391">
        <v>1990</v>
      </c>
      <c r="I9391">
        <v>26.178629999999998</v>
      </c>
      <c r="J9391">
        <v>7</v>
      </c>
      <c r="K9391">
        <v>70</v>
      </c>
      <c r="L9391">
        <v>10.39504</v>
      </c>
      <c r="M9391">
        <v>31.57863</v>
      </c>
      <c r="N9391">
        <v>21.678629999999998</v>
      </c>
      <c r="O9391">
        <v>9.9</v>
      </c>
      <c r="P9391">
        <v>24.978629999999999</v>
      </c>
      <c r="Q9391">
        <v>26.978629999999999</v>
      </c>
      <c r="R9391">
        <v>27.178629999999998</v>
      </c>
      <c r="S9391">
        <v>24.57863</v>
      </c>
      <c r="T9391">
        <v>2962.6410000000001</v>
      </c>
      <c r="U9391">
        <v>493.21370000000002</v>
      </c>
      <c r="V9391">
        <v>41</v>
      </c>
      <c r="W9391">
        <v>61</v>
      </c>
      <c r="X9391">
        <v>1310.068</v>
      </c>
      <c r="Y9391">
        <v>146.5727</v>
      </c>
      <c r="Z9391">
        <v>449.5727</v>
      </c>
      <c r="AA9391">
        <v>1282.7090000000001</v>
      </c>
      <c r="AB9391">
        <v>7.895797</v>
      </c>
      <c r="AC9391">
        <v>1.2340729999999999E-2</v>
      </c>
      <c r="AD9391">
        <v>1.324389</v>
      </c>
      <c r="AE9391">
        <v>0.2114076</v>
      </c>
      <c r="AF9391">
        <v>21.323989999999998</v>
      </c>
      <c r="AG9391">
        <f>IFERROR(AH9391*0.1, "N/A")</f>
        <v>4.9182139999999999</v>
      </c>
      <c r="AH9391">
        <v>49.182139999999997</v>
      </c>
      <c r="AI9391">
        <v>166.63659999999999</v>
      </c>
      <c r="AJ9391">
        <v>26.313490000000002</v>
      </c>
      <c r="AK9391">
        <v>59.64799</v>
      </c>
    </row>
    <row r="9392" spans="1:37" x14ac:dyDescent="0.3">
      <c r="A9392">
        <v>9391</v>
      </c>
      <c r="B9392">
        <v>0</v>
      </c>
      <c r="C9392">
        <v>9.7891700000000004</v>
      </c>
      <c r="D9392">
        <v>3.6413899999999999</v>
      </c>
      <c r="E9392" t="s">
        <v>14272</v>
      </c>
      <c r="F9392" t="s">
        <v>14275</v>
      </c>
      <c r="G9392" t="s">
        <v>2420</v>
      </c>
      <c r="H9392">
        <v>1990</v>
      </c>
      <c r="I9392">
        <v>26.178629999999998</v>
      </c>
      <c r="J9392">
        <v>7</v>
      </c>
      <c r="K9392">
        <v>70</v>
      </c>
      <c r="L9392">
        <v>10.39504</v>
      </c>
      <c r="M9392">
        <v>31.57863</v>
      </c>
      <c r="N9392">
        <v>21.678629999999998</v>
      </c>
      <c r="O9392">
        <v>9.9</v>
      </c>
      <c r="P9392">
        <v>24.978629999999999</v>
      </c>
      <c r="Q9392">
        <v>26.978629999999999</v>
      </c>
      <c r="R9392">
        <v>27.178629999999998</v>
      </c>
      <c r="S9392">
        <v>24.57863</v>
      </c>
      <c r="T9392">
        <v>2962.6410000000001</v>
      </c>
      <c r="U9392">
        <v>493.21370000000002</v>
      </c>
      <c r="V9392">
        <v>41</v>
      </c>
      <c r="W9392">
        <v>61</v>
      </c>
      <c r="X9392">
        <v>1310.068</v>
      </c>
      <c r="Y9392">
        <v>146.5727</v>
      </c>
      <c r="Z9392">
        <v>449.5727</v>
      </c>
      <c r="AA9392">
        <v>1282.7090000000001</v>
      </c>
      <c r="AB9392">
        <v>7.895797</v>
      </c>
      <c r="AC9392">
        <v>1.2340729999999999E-2</v>
      </c>
      <c r="AD9392">
        <v>1.324389</v>
      </c>
      <c r="AE9392">
        <v>0.2114076</v>
      </c>
      <c r="AF9392">
        <v>21.323989999999998</v>
      </c>
      <c r="AG9392">
        <f>IFERROR(AH9392*0.1, "N/A")</f>
        <v>4.9182139999999999</v>
      </c>
      <c r="AH9392">
        <v>49.182139999999997</v>
      </c>
      <c r="AI9392">
        <v>166.63659999999999</v>
      </c>
      <c r="AJ9392">
        <v>26.313490000000002</v>
      </c>
      <c r="AK9392">
        <v>59.64799</v>
      </c>
    </row>
    <row r="9393" spans="1:37" x14ac:dyDescent="0.3">
      <c r="A9393">
        <v>9392</v>
      </c>
      <c r="B9393">
        <v>0</v>
      </c>
      <c r="C9393">
        <v>10.775</v>
      </c>
      <c r="D9393">
        <v>3.64167</v>
      </c>
      <c r="E9393" t="s">
        <v>14276</v>
      </c>
      <c r="F9393" t="s">
        <v>14277</v>
      </c>
      <c r="G9393" t="s">
        <v>39</v>
      </c>
      <c r="H9393">
        <v>1990</v>
      </c>
      <c r="I9393">
        <v>25.143160000000002</v>
      </c>
      <c r="J9393">
        <v>8</v>
      </c>
      <c r="K9393">
        <v>69.898250000000004</v>
      </c>
      <c r="L9393">
        <v>11.648070000000001</v>
      </c>
      <c r="M9393">
        <v>31.210180000000001</v>
      </c>
      <c r="N9393">
        <v>19.8</v>
      </c>
      <c r="O9393">
        <v>11.41018</v>
      </c>
      <c r="P9393">
        <v>23.9</v>
      </c>
      <c r="Q9393">
        <v>26.210180000000001</v>
      </c>
      <c r="R9393">
        <v>26.343160000000001</v>
      </c>
      <c r="S9393">
        <v>23.5</v>
      </c>
      <c r="T9393">
        <v>2094.9050000000002</v>
      </c>
      <c r="U9393">
        <v>364.74560000000002</v>
      </c>
      <c r="V9393">
        <v>25.56842</v>
      </c>
      <c r="W9393">
        <v>62.847369999999998</v>
      </c>
      <c r="X9393">
        <v>883.53160000000003</v>
      </c>
      <c r="Y9393">
        <v>103.13679999999999</v>
      </c>
      <c r="Z9393">
        <v>239.5684</v>
      </c>
      <c r="AA9393">
        <v>624.96320000000003</v>
      </c>
      <c r="AB9393">
        <v>4.331232</v>
      </c>
      <c r="AC9393">
        <v>0.1160805</v>
      </c>
      <c r="AD9393">
        <v>2.8266330000000002</v>
      </c>
      <c r="AE9393">
        <v>0.58969320000000003</v>
      </c>
      <c r="AF9393">
        <v>214</v>
      </c>
      <c r="AG9393">
        <f>IFERROR(AH9393*0.1, "N/A")</f>
        <v>5.1000000000000005</v>
      </c>
      <c r="AH9393">
        <v>51</v>
      </c>
      <c r="AI9393">
        <v>40.527119999999996</v>
      </c>
      <c r="AJ9393">
        <v>29.743860000000002</v>
      </c>
      <c r="AK9393">
        <v>49.749119999999998</v>
      </c>
    </row>
    <row r="9394" spans="1:37" x14ac:dyDescent="0.3">
      <c r="A9394">
        <v>9393</v>
      </c>
      <c r="B9394">
        <v>0</v>
      </c>
      <c r="C9394">
        <v>10.775</v>
      </c>
      <c r="D9394">
        <v>3.64167</v>
      </c>
      <c r="E9394" t="s">
        <v>14276</v>
      </c>
      <c r="F9394" t="s">
        <v>14278</v>
      </c>
      <c r="G9394" t="s">
        <v>37</v>
      </c>
      <c r="H9394">
        <v>1990</v>
      </c>
      <c r="I9394">
        <v>25.143160000000002</v>
      </c>
      <c r="J9394">
        <v>8</v>
      </c>
      <c r="K9394">
        <v>69.898250000000004</v>
      </c>
      <c r="L9394">
        <v>11.648070000000001</v>
      </c>
      <c r="M9394">
        <v>31.210180000000001</v>
      </c>
      <c r="N9394">
        <v>19.8</v>
      </c>
      <c r="O9394">
        <v>11.41018</v>
      </c>
      <c r="P9394">
        <v>23.9</v>
      </c>
      <c r="Q9394">
        <v>26.210180000000001</v>
      </c>
      <c r="R9394">
        <v>26.343160000000001</v>
      </c>
      <c r="S9394">
        <v>23.5</v>
      </c>
      <c r="T9394">
        <v>2094.9050000000002</v>
      </c>
      <c r="U9394">
        <v>364.74560000000002</v>
      </c>
      <c r="V9394">
        <v>25.56842</v>
      </c>
      <c r="W9394">
        <v>62.847369999999998</v>
      </c>
      <c r="X9394">
        <v>883.53160000000003</v>
      </c>
      <c r="Y9394">
        <v>103.13679999999999</v>
      </c>
      <c r="Z9394">
        <v>239.5684</v>
      </c>
      <c r="AA9394">
        <v>624.96320000000003</v>
      </c>
      <c r="AB9394">
        <v>4.331232</v>
      </c>
      <c r="AC9394">
        <v>0.1160805</v>
      </c>
      <c r="AD9394">
        <v>2.8266330000000002</v>
      </c>
      <c r="AE9394">
        <v>0.58969320000000003</v>
      </c>
      <c r="AF9394">
        <v>214</v>
      </c>
      <c r="AG9394">
        <f>IFERROR(AH9394*0.1, "N/A")</f>
        <v>5.1000000000000005</v>
      </c>
      <c r="AH9394">
        <v>51</v>
      </c>
      <c r="AI9394">
        <v>40.527119999999996</v>
      </c>
      <c r="AJ9394">
        <v>29.743860000000002</v>
      </c>
      <c r="AK9394">
        <v>49.749119999999998</v>
      </c>
    </row>
    <row r="9395" spans="1:37" x14ac:dyDescent="0.3">
      <c r="A9395">
        <v>9394</v>
      </c>
      <c r="B9395">
        <v>13.6</v>
      </c>
      <c r="C9395">
        <v>10.775</v>
      </c>
      <c r="D9395">
        <v>3.64167</v>
      </c>
      <c r="E9395" t="s">
        <v>14276</v>
      </c>
      <c r="F9395" t="s">
        <v>14279</v>
      </c>
      <c r="G9395" t="s">
        <v>2420</v>
      </c>
      <c r="H9395">
        <v>1990</v>
      </c>
      <c r="I9395">
        <v>25.143160000000002</v>
      </c>
      <c r="J9395">
        <v>8</v>
      </c>
      <c r="K9395">
        <v>69.898250000000004</v>
      </c>
      <c r="L9395">
        <v>11.648070000000001</v>
      </c>
      <c r="M9395">
        <v>31.210180000000001</v>
      </c>
      <c r="N9395">
        <v>19.8</v>
      </c>
      <c r="O9395">
        <v>11.41018</v>
      </c>
      <c r="P9395">
        <v>23.9</v>
      </c>
      <c r="Q9395">
        <v>26.210180000000001</v>
      </c>
      <c r="R9395">
        <v>26.343160000000001</v>
      </c>
      <c r="S9395">
        <v>23.5</v>
      </c>
      <c r="T9395">
        <v>2094.9050000000002</v>
      </c>
      <c r="U9395">
        <v>364.74560000000002</v>
      </c>
      <c r="V9395">
        <v>25.56842</v>
      </c>
      <c r="W9395">
        <v>62.847369999999998</v>
      </c>
      <c r="X9395">
        <v>883.53160000000003</v>
      </c>
      <c r="Y9395">
        <v>103.13679999999999</v>
      </c>
      <c r="Z9395">
        <v>239.5684</v>
      </c>
      <c r="AA9395">
        <v>624.96320000000003</v>
      </c>
      <c r="AB9395">
        <v>4.331232</v>
      </c>
      <c r="AC9395">
        <v>0.1160805</v>
      </c>
      <c r="AD9395">
        <v>2.8266330000000002</v>
      </c>
      <c r="AE9395">
        <v>0.58969320000000003</v>
      </c>
      <c r="AF9395">
        <v>214</v>
      </c>
      <c r="AG9395">
        <f>IFERROR(AH9395*0.1, "N/A")</f>
        <v>5.1000000000000005</v>
      </c>
      <c r="AH9395">
        <v>51</v>
      </c>
      <c r="AI9395">
        <v>40.527119999999996</v>
      </c>
      <c r="AJ9395">
        <v>29.743860000000002</v>
      </c>
      <c r="AK9395">
        <v>49.749119999999998</v>
      </c>
    </row>
    <row r="9396" spans="1:37" x14ac:dyDescent="0.3">
      <c r="A9396">
        <v>9395</v>
      </c>
      <c r="B9396">
        <v>2.4</v>
      </c>
      <c r="C9396">
        <v>10.773999999999999</v>
      </c>
      <c r="D9396">
        <v>3.65</v>
      </c>
      <c r="E9396" t="s">
        <v>14280</v>
      </c>
      <c r="F9396" t="s">
        <v>14281</v>
      </c>
      <c r="G9396" t="s">
        <v>37</v>
      </c>
      <c r="H9396">
        <v>1987</v>
      </c>
      <c r="I9396">
        <v>25.136140000000001</v>
      </c>
      <c r="J9396">
        <v>8</v>
      </c>
      <c r="K9396">
        <v>69.361400000000003</v>
      </c>
      <c r="L9396">
        <v>11.66193</v>
      </c>
      <c r="M9396">
        <v>31.2</v>
      </c>
      <c r="N9396">
        <v>19.736139999999999</v>
      </c>
      <c r="O9396">
        <v>11.46386</v>
      </c>
      <c r="P9396">
        <v>23.9</v>
      </c>
      <c r="Q9396">
        <v>26.2</v>
      </c>
      <c r="R9396">
        <v>26.33614</v>
      </c>
      <c r="S9396">
        <v>23.436140000000002</v>
      </c>
      <c r="T9396">
        <v>2098.277</v>
      </c>
      <c r="U9396">
        <v>365</v>
      </c>
      <c r="V9396">
        <v>25</v>
      </c>
      <c r="W9396">
        <v>63</v>
      </c>
      <c r="X9396">
        <v>887.91579999999999</v>
      </c>
      <c r="Y9396">
        <v>102</v>
      </c>
      <c r="Z9396">
        <v>239</v>
      </c>
      <c r="AA9396">
        <v>630.55439999999999</v>
      </c>
      <c r="AB9396">
        <v>12.63334</v>
      </c>
      <c r="AC9396">
        <v>4.2085610000000002E-2</v>
      </c>
      <c r="AD9396">
        <v>4.9254420000000003</v>
      </c>
      <c r="AE9396">
        <v>0.6313706</v>
      </c>
      <c r="AF9396">
        <v>212.37190000000001</v>
      </c>
      <c r="AG9396">
        <f>IFERROR(AH9396*0.1, "N/A")</f>
        <v>5.3000000000000007</v>
      </c>
      <c r="AH9396">
        <v>53</v>
      </c>
      <c r="AI9396">
        <v>252.02359999999999</v>
      </c>
      <c r="AJ9396">
        <v>30</v>
      </c>
      <c r="AK9396">
        <v>48</v>
      </c>
    </row>
    <row r="9397" spans="1:37" x14ac:dyDescent="0.3">
      <c r="A9397">
        <v>9396</v>
      </c>
      <c r="B9397">
        <v>9</v>
      </c>
      <c r="C9397">
        <v>10.773999999999999</v>
      </c>
      <c r="D9397">
        <v>3.65</v>
      </c>
      <c r="E9397" t="s">
        <v>14280</v>
      </c>
      <c r="F9397" t="s">
        <v>14282</v>
      </c>
      <c r="G9397" t="s">
        <v>2420</v>
      </c>
      <c r="H9397">
        <v>1987</v>
      </c>
      <c r="I9397">
        <v>25.136140000000001</v>
      </c>
      <c r="J9397">
        <v>8</v>
      </c>
      <c r="K9397">
        <v>69.361400000000003</v>
      </c>
      <c r="L9397">
        <v>11.66193</v>
      </c>
      <c r="M9397">
        <v>31.2</v>
      </c>
      <c r="N9397">
        <v>19.736139999999999</v>
      </c>
      <c r="O9397">
        <v>11.46386</v>
      </c>
      <c r="P9397">
        <v>23.9</v>
      </c>
      <c r="Q9397">
        <v>26.2</v>
      </c>
      <c r="R9397">
        <v>26.33614</v>
      </c>
      <c r="S9397">
        <v>23.436140000000002</v>
      </c>
      <c r="T9397">
        <v>2098.277</v>
      </c>
      <c r="U9397">
        <v>365</v>
      </c>
      <c r="V9397">
        <v>25</v>
      </c>
      <c r="W9397">
        <v>63</v>
      </c>
      <c r="X9397">
        <v>887.91579999999999</v>
      </c>
      <c r="Y9397">
        <v>102</v>
      </c>
      <c r="Z9397">
        <v>239</v>
      </c>
      <c r="AA9397">
        <v>630.55439999999999</v>
      </c>
      <c r="AB9397">
        <v>12.63334</v>
      </c>
      <c r="AC9397">
        <v>4.2085610000000002E-2</v>
      </c>
      <c r="AD9397">
        <v>4.9254420000000003</v>
      </c>
      <c r="AE9397">
        <v>0.6313706</v>
      </c>
      <c r="AF9397">
        <v>212.37190000000001</v>
      </c>
      <c r="AG9397">
        <f>IFERROR(AH9397*0.1, "N/A")</f>
        <v>5.3000000000000007</v>
      </c>
      <c r="AH9397">
        <v>53</v>
      </c>
      <c r="AI9397">
        <v>252.02359999999999</v>
      </c>
      <c r="AJ9397">
        <v>30</v>
      </c>
      <c r="AK9397">
        <v>48</v>
      </c>
    </row>
    <row r="9398" spans="1:37" x14ac:dyDescent="0.3">
      <c r="A9398">
        <v>9397</v>
      </c>
      <c r="B9398">
        <v>0</v>
      </c>
      <c r="C9398">
        <v>10.783300000000001</v>
      </c>
      <c r="D9398">
        <v>3.65</v>
      </c>
      <c r="E9398" t="s">
        <v>14283</v>
      </c>
      <c r="F9398" t="s">
        <v>14284</v>
      </c>
      <c r="G9398" t="s">
        <v>39</v>
      </c>
      <c r="H9398">
        <v>1990</v>
      </c>
      <c r="I9398">
        <v>25.164739999999998</v>
      </c>
      <c r="J9398">
        <v>8</v>
      </c>
      <c r="K9398">
        <v>69.44211</v>
      </c>
      <c r="L9398">
        <v>11.543049999999999</v>
      </c>
      <c r="M9398">
        <v>31.26474</v>
      </c>
      <c r="N9398">
        <v>19.808949999999999</v>
      </c>
      <c r="O9398">
        <v>11.45579</v>
      </c>
      <c r="P9398">
        <v>23.908950000000001</v>
      </c>
      <c r="Q9398">
        <v>26.22053</v>
      </c>
      <c r="R9398">
        <v>26.364740000000001</v>
      </c>
      <c r="S9398">
        <v>23.464739999999999</v>
      </c>
      <c r="T9398">
        <v>2089.8679999999999</v>
      </c>
      <c r="U9398">
        <v>364</v>
      </c>
      <c r="V9398">
        <v>25</v>
      </c>
      <c r="W9398">
        <v>62.715789999999998</v>
      </c>
      <c r="X9398">
        <v>883.58420000000001</v>
      </c>
      <c r="Y9398">
        <v>102</v>
      </c>
      <c r="Z9398">
        <v>238.20529999999999</v>
      </c>
      <c r="AA9398">
        <v>626.22109999999998</v>
      </c>
      <c r="AB9398">
        <v>12.755269999999999</v>
      </c>
      <c r="AC9398">
        <v>1.6537900000000001E-2</v>
      </c>
      <c r="AD9398">
        <v>9.9096510000000002</v>
      </c>
      <c r="AE9398">
        <v>0.49173250000000002</v>
      </c>
      <c r="AF9398">
        <v>233.26490000000001</v>
      </c>
      <c r="AG9398">
        <f>IFERROR(AH9398*0.1, "N/A")</f>
        <v>5.0442110000000007</v>
      </c>
      <c r="AH9398">
        <v>50.44211</v>
      </c>
      <c r="AI9398">
        <v>169.92599999999999</v>
      </c>
      <c r="AJ9398">
        <v>31.55789</v>
      </c>
      <c r="AK9398">
        <v>47.44211</v>
      </c>
    </row>
    <row r="9399" spans="1:37" x14ac:dyDescent="0.3">
      <c r="A9399">
        <v>9398</v>
      </c>
      <c r="B9399">
        <v>0</v>
      </c>
      <c r="C9399">
        <v>10.783300000000001</v>
      </c>
      <c r="D9399">
        <v>3.65</v>
      </c>
      <c r="E9399" t="s">
        <v>14283</v>
      </c>
      <c r="F9399" t="s">
        <v>14285</v>
      </c>
      <c r="G9399" t="s">
        <v>37</v>
      </c>
      <c r="H9399">
        <v>1990</v>
      </c>
      <c r="I9399">
        <v>25.164739999999998</v>
      </c>
      <c r="J9399">
        <v>8</v>
      </c>
      <c r="K9399">
        <v>69.44211</v>
      </c>
      <c r="L9399">
        <v>11.543049999999999</v>
      </c>
      <c r="M9399">
        <v>31.26474</v>
      </c>
      <c r="N9399">
        <v>19.808949999999999</v>
      </c>
      <c r="O9399">
        <v>11.45579</v>
      </c>
      <c r="P9399">
        <v>23.908950000000001</v>
      </c>
      <c r="Q9399">
        <v>26.22053</v>
      </c>
      <c r="R9399">
        <v>26.364740000000001</v>
      </c>
      <c r="S9399">
        <v>23.464739999999999</v>
      </c>
      <c r="T9399">
        <v>2089.8679999999999</v>
      </c>
      <c r="U9399">
        <v>364</v>
      </c>
      <c r="V9399">
        <v>25</v>
      </c>
      <c r="W9399">
        <v>62.715789999999998</v>
      </c>
      <c r="X9399">
        <v>883.58420000000001</v>
      </c>
      <c r="Y9399">
        <v>102</v>
      </c>
      <c r="Z9399">
        <v>238.20529999999999</v>
      </c>
      <c r="AA9399">
        <v>626.22109999999998</v>
      </c>
      <c r="AB9399">
        <v>12.755269999999999</v>
      </c>
      <c r="AC9399">
        <v>1.6537900000000001E-2</v>
      </c>
      <c r="AD9399">
        <v>9.9096510000000002</v>
      </c>
      <c r="AE9399">
        <v>0.49173250000000002</v>
      </c>
      <c r="AF9399">
        <v>233.26490000000001</v>
      </c>
      <c r="AG9399">
        <f>IFERROR(AH9399*0.1, "N/A")</f>
        <v>5.0442110000000007</v>
      </c>
      <c r="AH9399">
        <v>50.44211</v>
      </c>
      <c r="AI9399">
        <v>169.92599999999999</v>
      </c>
      <c r="AJ9399">
        <v>31.55789</v>
      </c>
      <c r="AK9399">
        <v>47.44211</v>
      </c>
    </row>
    <row r="9400" spans="1:37" x14ac:dyDescent="0.3">
      <c r="A9400">
        <v>9399</v>
      </c>
      <c r="B9400">
        <v>0</v>
      </c>
      <c r="C9400">
        <v>10.783300000000001</v>
      </c>
      <c r="D9400">
        <v>3.65</v>
      </c>
      <c r="E9400" t="s">
        <v>14283</v>
      </c>
      <c r="F9400" t="s">
        <v>14286</v>
      </c>
      <c r="G9400" t="s">
        <v>2420</v>
      </c>
      <c r="H9400">
        <v>1990</v>
      </c>
      <c r="I9400">
        <v>25.164739999999998</v>
      </c>
      <c r="J9400">
        <v>8</v>
      </c>
      <c r="K9400">
        <v>69.44211</v>
      </c>
      <c r="L9400">
        <v>11.543049999999999</v>
      </c>
      <c r="M9400">
        <v>31.26474</v>
      </c>
      <c r="N9400">
        <v>19.808949999999999</v>
      </c>
      <c r="O9400">
        <v>11.45579</v>
      </c>
      <c r="P9400">
        <v>23.908950000000001</v>
      </c>
      <c r="Q9400">
        <v>26.22053</v>
      </c>
      <c r="R9400">
        <v>26.364740000000001</v>
      </c>
      <c r="S9400">
        <v>23.464739999999999</v>
      </c>
      <c r="T9400">
        <v>2089.8679999999999</v>
      </c>
      <c r="U9400">
        <v>364</v>
      </c>
      <c r="V9400">
        <v>25</v>
      </c>
      <c r="W9400">
        <v>62.715789999999998</v>
      </c>
      <c r="X9400">
        <v>883.58420000000001</v>
      </c>
      <c r="Y9400">
        <v>102</v>
      </c>
      <c r="Z9400">
        <v>238.20529999999999</v>
      </c>
      <c r="AA9400">
        <v>626.22109999999998</v>
      </c>
      <c r="AB9400">
        <v>12.755269999999999</v>
      </c>
      <c r="AC9400">
        <v>1.6537900000000001E-2</v>
      </c>
      <c r="AD9400">
        <v>9.9096510000000002</v>
      </c>
      <c r="AE9400">
        <v>0.49173250000000002</v>
      </c>
      <c r="AF9400">
        <v>233.26490000000001</v>
      </c>
      <c r="AG9400">
        <f>IFERROR(AH9400*0.1, "N/A")</f>
        <v>5.0442110000000007</v>
      </c>
      <c r="AH9400">
        <v>50.44211</v>
      </c>
      <c r="AI9400">
        <v>169.92599999999999</v>
      </c>
      <c r="AJ9400">
        <v>31.55789</v>
      </c>
      <c r="AK9400">
        <v>47.44211</v>
      </c>
    </row>
    <row r="9401" spans="1:37" x14ac:dyDescent="0.3">
      <c r="A9401">
        <v>9400</v>
      </c>
      <c r="B9401">
        <v>0</v>
      </c>
      <c r="C9401">
        <v>10.6806</v>
      </c>
      <c r="D9401">
        <v>3.6666699999999999</v>
      </c>
      <c r="E9401" t="s">
        <v>14287</v>
      </c>
      <c r="F9401" t="s">
        <v>14288</v>
      </c>
      <c r="G9401" t="s">
        <v>37</v>
      </c>
      <c r="H9401">
        <v>1990</v>
      </c>
      <c r="I9401">
        <v>25.4</v>
      </c>
      <c r="J9401">
        <v>7.9</v>
      </c>
      <c r="K9401">
        <v>69</v>
      </c>
      <c r="L9401">
        <v>11.65639</v>
      </c>
      <c r="M9401">
        <v>31.5</v>
      </c>
      <c r="N9401">
        <v>20.100000000000001</v>
      </c>
      <c r="O9401">
        <v>11.4</v>
      </c>
      <c r="P9401">
        <v>24.169830000000001</v>
      </c>
      <c r="Q9401">
        <v>26.5</v>
      </c>
      <c r="R9401">
        <v>26.6</v>
      </c>
      <c r="S9401">
        <v>23.7</v>
      </c>
      <c r="T9401">
        <v>2169.3020000000001</v>
      </c>
      <c r="U9401">
        <v>372.69819999999999</v>
      </c>
      <c r="V9401">
        <v>27</v>
      </c>
      <c r="W9401">
        <v>62</v>
      </c>
      <c r="X9401">
        <v>932.60350000000005</v>
      </c>
      <c r="Y9401">
        <v>104.6982</v>
      </c>
      <c r="Z9401">
        <v>240</v>
      </c>
      <c r="AA9401">
        <v>680.20699999999999</v>
      </c>
      <c r="AB9401">
        <v>18.406140000000001</v>
      </c>
      <c r="AC9401">
        <v>1.050624E-2</v>
      </c>
      <c r="AD9401">
        <v>3.7737500000000002</v>
      </c>
      <c r="AE9401">
        <v>0.24175779999999999</v>
      </c>
      <c r="AF9401">
        <v>198.41050000000001</v>
      </c>
      <c r="AG9401">
        <f>IFERROR(AH9401*0.1, "N/A")</f>
        <v>4.9036840000000002</v>
      </c>
      <c r="AH9401">
        <v>49.036839999999998</v>
      </c>
      <c r="AI9401">
        <v>193.4316</v>
      </c>
      <c r="AJ9401">
        <v>27.705259999999999</v>
      </c>
      <c r="AK9401">
        <v>61.059649999999998</v>
      </c>
    </row>
    <row r="9402" spans="1:37" x14ac:dyDescent="0.3">
      <c r="A9402">
        <v>9401</v>
      </c>
      <c r="B9402">
        <v>0</v>
      </c>
      <c r="C9402">
        <v>10.6806</v>
      </c>
      <c r="D9402">
        <v>3.6666699999999999</v>
      </c>
      <c r="E9402" t="s">
        <v>14287</v>
      </c>
      <c r="F9402" t="s">
        <v>14289</v>
      </c>
      <c r="G9402" t="s">
        <v>2420</v>
      </c>
      <c r="H9402">
        <v>1990</v>
      </c>
      <c r="I9402">
        <v>25.4</v>
      </c>
      <c r="J9402">
        <v>7.9</v>
      </c>
      <c r="K9402">
        <v>69</v>
      </c>
      <c r="L9402">
        <v>11.65639</v>
      </c>
      <c r="M9402">
        <v>31.5</v>
      </c>
      <c r="N9402">
        <v>20.100000000000001</v>
      </c>
      <c r="O9402">
        <v>11.4</v>
      </c>
      <c r="P9402">
        <v>24.169830000000001</v>
      </c>
      <c r="Q9402">
        <v>26.5</v>
      </c>
      <c r="R9402">
        <v>26.6</v>
      </c>
      <c r="S9402">
        <v>23.7</v>
      </c>
      <c r="T9402">
        <v>2169.3020000000001</v>
      </c>
      <c r="U9402">
        <v>372.69819999999999</v>
      </c>
      <c r="V9402">
        <v>27</v>
      </c>
      <c r="W9402">
        <v>62</v>
      </c>
      <c r="X9402">
        <v>932.60350000000005</v>
      </c>
      <c r="Y9402">
        <v>104.6982</v>
      </c>
      <c r="Z9402">
        <v>240</v>
      </c>
      <c r="AA9402">
        <v>680.20699999999999</v>
      </c>
      <c r="AB9402">
        <v>18.406140000000001</v>
      </c>
      <c r="AC9402">
        <v>1.050624E-2</v>
      </c>
      <c r="AD9402">
        <v>3.7737500000000002</v>
      </c>
      <c r="AE9402">
        <v>0.24175779999999999</v>
      </c>
      <c r="AF9402">
        <v>198.41050000000001</v>
      </c>
      <c r="AG9402">
        <f>IFERROR(AH9402*0.1, "N/A")</f>
        <v>4.9036840000000002</v>
      </c>
      <c r="AH9402">
        <v>49.036839999999998</v>
      </c>
      <c r="AI9402">
        <v>193.4316</v>
      </c>
      <c r="AJ9402">
        <v>27.705259999999999</v>
      </c>
      <c r="AK9402">
        <v>61.059649999999998</v>
      </c>
    </row>
    <row r="9403" spans="1:37" x14ac:dyDescent="0.3">
      <c r="A9403">
        <v>9402</v>
      </c>
      <c r="B9403">
        <v>0</v>
      </c>
      <c r="C9403">
        <v>12.308299999999999</v>
      </c>
      <c r="D9403">
        <v>3.7</v>
      </c>
      <c r="E9403" t="s">
        <v>14290</v>
      </c>
      <c r="F9403" t="s">
        <v>14291</v>
      </c>
      <c r="G9403" t="s">
        <v>39</v>
      </c>
      <c r="H9403">
        <v>1990</v>
      </c>
      <c r="I9403">
        <v>23.967020000000002</v>
      </c>
      <c r="J9403">
        <v>9.3000000000000007</v>
      </c>
      <c r="K9403">
        <v>83.507019999999997</v>
      </c>
      <c r="L9403">
        <v>6.3767719999999999</v>
      </c>
      <c r="M9403">
        <v>30.1</v>
      </c>
      <c r="N9403">
        <v>19.050699999999999</v>
      </c>
      <c r="O9403">
        <v>11.049300000000001</v>
      </c>
      <c r="P9403">
        <v>23.58333</v>
      </c>
      <c r="Q9403">
        <v>24.3</v>
      </c>
      <c r="R9403">
        <v>24.750699999999998</v>
      </c>
      <c r="S9403">
        <v>23.1</v>
      </c>
      <c r="T9403">
        <v>1585.1020000000001</v>
      </c>
      <c r="U9403">
        <v>285.49299999999999</v>
      </c>
      <c r="V9403">
        <v>19.622810000000001</v>
      </c>
      <c r="W9403">
        <v>62</v>
      </c>
      <c r="X9403">
        <v>651.98599999999999</v>
      </c>
      <c r="Y9403">
        <v>90.622810000000001</v>
      </c>
      <c r="Z9403">
        <v>338</v>
      </c>
      <c r="AA9403">
        <v>438.87020000000001</v>
      </c>
      <c r="AB9403">
        <v>14.49423</v>
      </c>
      <c r="AC9403">
        <v>2.021856E-2</v>
      </c>
      <c r="AD9403">
        <v>5.548063</v>
      </c>
      <c r="AE9403">
        <v>0.14993719999999999</v>
      </c>
      <c r="AF9403">
        <v>675.84040000000005</v>
      </c>
      <c r="AG9403">
        <f>IFERROR(AH9403*0.1, "N/A")</f>
        <v>4.9000000000000004</v>
      </c>
      <c r="AH9403">
        <v>49</v>
      </c>
      <c r="AI9403">
        <v>196.2311</v>
      </c>
      <c r="AJ9403">
        <v>36.685960000000001</v>
      </c>
      <c r="AK9403">
        <v>55.150880000000001</v>
      </c>
    </row>
    <row r="9404" spans="1:37" x14ac:dyDescent="0.3">
      <c r="A9404">
        <v>9403</v>
      </c>
      <c r="B9404">
        <v>0</v>
      </c>
      <c r="C9404">
        <v>12.308299999999999</v>
      </c>
      <c r="D9404">
        <v>3.7</v>
      </c>
      <c r="E9404" t="s">
        <v>14290</v>
      </c>
      <c r="F9404" t="s">
        <v>14292</v>
      </c>
      <c r="G9404" t="s">
        <v>37</v>
      </c>
      <c r="H9404">
        <v>1990</v>
      </c>
      <c r="I9404">
        <v>23.967020000000002</v>
      </c>
      <c r="J9404">
        <v>9.3000000000000007</v>
      </c>
      <c r="K9404">
        <v>83.507019999999997</v>
      </c>
      <c r="L9404">
        <v>6.3767719999999999</v>
      </c>
      <c r="M9404">
        <v>30.1</v>
      </c>
      <c r="N9404">
        <v>19.050699999999999</v>
      </c>
      <c r="O9404">
        <v>11.049300000000001</v>
      </c>
      <c r="P9404">
        <v>23.58333</v>
      </c>
      <c r="Q9404">
        <v>24.3</v>
      </c>
      <c r="R9404">
        <v>24.750699999999998</v>
      </c>
      <c r="S9404">
        <v>23.1</v>
      </c>
      <c r="T9404">
        <v>1585.1020000000001</v>
      </c>
      <c r="U9404">
        <v>285.49299999999999</v>
      </c>
      <c r="V9404">
        <v>19.622810000000001</v>
      </c>
      <c r="W9404">
        <v>62</v>
      </c>
      <c r="X9404">
        <v>651.98599999999999</v>
      </c>
      <c r="Y9404">
        <v>90.622810000000001</v>
      </c>
      <c r="Z9404">
        <v>338</v>
      </c>
      <c r="AA9404">
        <v>438.87020000000001</v>
      </c>
      <c r="AB9404">
        <v>14.49423</v>
      </c>
      <c r="AC9404">
        <v>2.021856E-2</v>
      </c>
      <c r="AD9404">
        <v>5.548063</v>
      </c>
      <c r="AE9404">
        <v>0.14993719999999999</v>
      </c>
      <c r="AF9404">
        <v>675.84040000000005</v>
      </c>
      <c r="AG9404">
        <f>IFERROR(AH9404*0.1, "N/A")</f>
        <v>4.9000000000000004</v>
      </c>
      <c r="AH9404">
        <v>49</v>
      </c>
      <c r="AI9404">
        <v>196.2311</v>
      </c>
      <c r="AJ9404">
        <v>36.685960000000001</v>
      </c>
      <c r="AK9404">
        <v>55.150880000000001</v>
      </c>
    </row>
    <row r="9405" spans="1:37" x14ac:dyDescent="0.3">
      <c r="A9405">
        <v>9404</v>
      </c>
      <c r="B9405">
        <v>0</v>
      </c>
      <c r="C9405">
        <v>12.308299999999999</v>
      </c>
      <c r="D9405">
        <v>3.7</v>
      </c>
      <c r="E9405" t="s">
        <v>14290</v>
      </c>
      <c r="F9405" t="s">
        <v>14293</v>
      </c>
      <c r="G9405" t="s">
        <v>2420</v>
      </c>
      <c r="H9405">
        <v>1990</v>
      </c>
      <c r="I9405">
        <v>23.967020000000002</v>
      </c>
      <c r="J9405">
        <v>9.3000000000000007</v>
      </c>
      <c r="K9405">
        <v>83.507019999999997</v>
      </c>
      <c r="L9405">
        <v>6.3767719999999999</v>
      </c>
      <c r="M9405">
        <v>30.1</v>
      </c>
      <c r="N9405">
        <v>19.050699999999999</v>
      </c>
      <c r="O9405">
        <v>11.049300000000001</v>
      </c>
      <c r="P9405">
        <v>23.58333</v>
      </c>
      <c r="Q9405">
        <v>24.3</v>
      </c>
      <c r="R9405">
        <v>24.750699999999998</v>
      </c>
      <c r="S9405">
        <v>23.1</v>
      </c>
      <c r="T9405">
        <v>1585.1020000000001</v>
      </c>
      <c r="U9405">
        <v>285.49299999999999</v>
      </c>
      <c r="V9405">
        <v>19.622810000000001</v>
      </c>
      <c r="W9405">
        <v>62</v>
      </c>
      <c r="X9405">
        <v>651.98599999999999</v>
      </c>
      <c r="Y9405">
        <v>90.622810000000001</v>
      </c>
      <c r="Z9405">
        <v>338</v>
      </c>
      <c r="AA9405">
        <v>438.87020000000001</v>
      </c>
      <c r="AB9405">
        <v>14.49423</v>
      </c>
      <c r="AC9405">
        <v>2.021856E-2</v>
      </c>
      <c r="AD9405">
        <v>5.548063</v>
      </c>
      <c r="AE9405">
        <v>0.14993719999999999</v>
      </c>
      <c r="AF9405">
        <v>675.84040000000005</v>
      </c>
      <c r="AG9405">
        <f>IFERROR(AH9405*0.1, "N/A")</f>
        <v>4.9000000000000004</v>
      </c>
      <c r="AH9405">
        <v>49</v>
      </c>
      <c r="AI9405">
        <v>196.2311</v>
      </c>
      <c r="AJ9405">
        <v>36.685960000000001</v>
      </c>
      <c r="AK9405">
        <v>55.150880000000001</v>
      </c>
    </row>
    <row r="9406" spans="1:37" x14ac:dyDescent="0.3">
      <c r="A9406">
        <v>9405</v>
      </c>
      <c r="B9406">
        <v>0</v>
      </c>
      <c r="C9406">
        <v>10.386100000000001</v>
      </c>
      <c r="D9406">
        <v>3.70139</v>
      </c>
      <c r="E9406" t="s">
        <v>14294</v>
      </c>
      <c r="F9406" t="s">
        <v>14295</v>
      </c>
      <c r="G9406" t="s">
        <v>39</v>
      </c>
      <c r="H9406">
        <v>1990</v>
      </c>
      <c r="I9406">
        <v>26.3</v>
      </c>
      <c r="J9406">
        <v>7.5</v>
      </c>
      <c r="K9406">
        <v>68</v>
      </c>
      <c r="L9406">
        <v>11.62</v>
      </c>
      <c r="M9406">
        <v>32.200000000000003</v>
      </c>
      <c r="N9406">
        <v>21.3</v>
      </c>
      <c r="O9406">
        <v>10.9</v>
      </c>
      <c r="P9406">
        <v>25</v>
      </c>
      <c r="Q9406">
        <v>27.4</v>
      </c>
      <c r="R9406">
        <v>27.5</v>
      </c>
      <c r="S9406">
        <v>24.6</v>
      </c>
      <c r="T9406">
        <v>2399</v>
      </c>
      <c r="U9406">
        <v>421</v>
      </c>
      <c r="V9406">
        <v>32</v>
      </c>
      <c r="W9406">
        <v>61</v>
      </c>
      <c r="X9406">
        <v>1074</v>
      </c>
      <c r="Y9406">
        <v>115</v>
      </c>
      <c r="Z9406">
        <v>240</v>
      </c>
      <c r="AA9406">
        <v>859</v>
      </c>
      <c r="AB9406">
        <v>15.827769999999999</v>
      </c>
      <c r="AC9406">
        <v>8.5303810000000001E-3</v>
      </c>
      <c r="AD9406">
        <v>2.134865</v>
      </c>
      <c r="AE9406">
        <v>0.25718730000000001</v>
      </c>
      <c r="AF9406">
        <v>86.472759999999994</v>
      </c>
      <c r="AG9406">
        <f>IFERROR(AH9406*0.1, "N/A")</f>
        <v>4.8970120000000001</v>
      </c>
      <c r="AH9406">
        <v>48.970120000000001</v>
      </c>
      <c r="AI9406">
        <v>132.28540000000001</v>
      </c>
      <c r="AJ9406">
        <v>26.738140000000001</v>
      </c>
      <c r="AK9406">
        <v>58.507910000000003</v>
      </c>
    </row>
    <row r="9407" spans="1:37" x14ac:dyDescent="0.3">
      <c r="A9407">
        <v>9406</v>
      </c>
      <c r="B9407">
        <v>0</v>
      </c>
      <c r="C9407">
        <v>10.386100000000001</v>
      </c>
      <c r="D9407">
        <v>3.70139</v>
      </c>
      <c r="E9407" t="s">
        <v>14294</v>
      </c>
      <c r="F9407" t="s">
        <v>14296</v>
      </c>
      <c r="G9407" t="s">
        <v>37</v>
      </c>
      <c r="H9407">
        <v>1990</v>
      </c>
      <c r="I9407">
        <v>26.3</v>
      </c>
      <c r="J9407">
        <v>7.5</v>
      </c>
      <c r="K9407">
        <v>68</v>
      </c>
      <c r="L9407">
        <v>11.62</v>
      </c>
      <c r="M9407">
        <v>32.200000000000003</v>
      </c>
      <c r="N9407">
        <v>21.3</v>
      </c>
      <c r="O9407">
        <v>10.9</v>
      </c>
      <c r="P9407">
        <v>25</v>
      </c>
      <c r="Q9407">
        <v>27.4</v>
      </c>
      <c r="R9407">
        <v>27.5</v>
      </c>
      <c r="S9407">
        <v>24.6</v>
      </c>
      <c r="T9407">
        <v>2399</v>
      </c>
      <c r="U9407">
        <v>421</v>
      </c>
      <c r="V9407">
        <v>32</v>
      </c>
      <c r="W9407">
        <v>61</v>
      </c>
      <c r="X9407">
        <v>1074</v>
      </c>
      <c r="Y9407">
        <v>115</v>
      </c>
      <c r="Z9407">
        <v>240</v>
      </c>
      <c r="AA9407">
        <v>859</v>
      </c>
      <c r="AB9407">
        <v>15.827769999999999</v>
      </c>
      <c r="AC9407">
        <v>8.5303810000000001E-3</v>
      </c>
      <c r="AD9407">
        <v>2.134865</v>
      </c>
      <c r="AE9407">
        <v>0.25718730000000001</v>
      </c>
      <c r="AF9407">
        <v>86.472759999999994</v>
      </c>
      <c r="AG9407">
        <f>IFERROR(AH9407*0.1, "N/A")</f>
        <v>4.8970120000000001</v>
      </c>
      <c r="AH9407">
        <v>48.970120000000001</v>
      </c>
      <c r="AI9407">
        <v>132.28540000000001</v>
      </c>
      <c r="AJ9407">
        <v>26.738140000000001</v>
      </c>
      <c r="AK9407">
        <v>58.507910000000003</v>
      </c>
    </row>
    <row r="9408" spans="1:37" x14ac:dyDescent="0.3">
      <c r="A9408">
        <v>9407</v>
      </c>
      <c r="B9408">
        <v>10</v>
      </c>
      <c r="C9408">
        <v>10.386100000000001</v>
      </c>
      <c r="D9408">
        <v>3.70139</v>
      </c>
      <c r="E9408" t="s">
        <v>14294</v>
      </c>
      <c r="F9408" t="s">
        <v>14297</v>
      </c>
      <c r="G9408" t="s">
        <v>2420</v>
      </c>
      <c r="H9408">
        <v>1990</v>
      </c>
      <c r="I9408">
        <v>26.3</v>
      </c>
      <c r="J9408">
        <v>7.5</v>
      </c>
      <c r="K9408">
        <v>68</v>
      </c>
      <c r="L9408">
        <v>11.62</v>
      </c>
      <c r="M9408">
        <v>32.200000000000003</v>
      </c>
      <c r="N9408">
        <v>21.3</v>
      </c>
      <c r="O9408">
        <v>10.9</v>
      </c>
      <c r="P9408">
        <v>25</v>
      </c>
      <c r="Q9408">
        <v>27.4</v>
      </c>
      <c r="R9408">
        <v>27.5</v>
      </c>
      <c r="S9408">
        <v>24.6</v>
      </c>
      <c r="T9408">
        <v>2399</v>
      </c>
      <c r="U9408">
        <v>421</v>
      </c>
      <c r="V9408">
        <v>32</v>
      </c>
      <c r="W9408">
        <v>61</v>
      </c>
      <c r="X9408">
        <v>1074</v>
      </c>
      <c r="Y9408">
        <v>115</v>
      </c>
      <c r="Z9408">
        <v>240</v>
      </c>
      <c r="AA9408">
        <v>859</v>
      </c>
      <c r="AB9408">
        <v>15.827769999999999</v>
      </c>
      <c r="AC9408">
        <v>8.5303810000000001E-3</v>
      </c>
      <c r="AD9408">
        <v>2.134865</v>
      </c>
      <c r="AE9408">
        <v>0.25718730000000001</v>
      </c>
      <c r="AF9408">
        <v>86.472759999999994</v>
      </c>
      <c r="AG9408">
        <f>IFERROR(AH9408*0.1, "N/A")</f>
        <v>4.8970120000000001</v>
      </c>
      <c r="AH9408">
        <v>48.970120000000001</v>
      </c>
      <c r="AI9408">
        <v>132.28540000000001</v>
      </c>
      <c r="AJ9408">
        <v>26.738140000000001</v>
      </c>
      <c r="AK9408">
        <v>58.507910000000003</v>
      </c>
    </row>
    <row r="9409" spans="1:37" x14ac:dyDescent="0.3">
      <c r="A9409">
        <v>9408</v>
      </c>
      <c r="B9409">
        <v>2.9</v>
      </c>
      <c r="C9409">
        <v>12.841699999999999</v>
      </c>
      <c r="D9409">
        <v>3.7166700000000001</v>
      </c>
      <c r="E9409" t="s">
        <v>14298</v>
      </c>
      <c r="F9409" t="s">
        <v>14299</v>
      </c>
      <c r="G9409" t="s">
        <v>39</v>
      </c>
      <c r="H9409">
        <v>1990</v>
      </c>
      <c r="I9409">
        <v>23.379259999999999</v>
      </c>
      <c r="J9409">
        <v>9.5</v>
      </c>
      <c r="K9409">
        <v>81.244290000000007</v>
      </c>
      <c r="L9409">
        <v>6.1666259999999999</v>
      </c>
      <c r="M9409">
        <v>29.65483</v>
      </c>
      <c r="N9409">
        <v>18.062390000000001</v>
      </c>
      <c r="O9409">
        <v>11.59244</v>
      </c>
      <c r="P9409">
        <v>22.858519999999999</v>
      </c>
      <c r="Q9409">
        <v>23.383130000000001</v>
      </c>
      <c r="R9409">
        <v>24.179259999999999</v>
      </c>
      <c r="S9409">
        <v>22.658519999999999</v>
      </c>
      <c r="T9409">
        <v>1614.884</v>
      </c>
      <c r="U9409">
        <v>292.1687</v>
      </c>
      <c r="V9409">
        <v>22.207380000000001</v>
      </c>
      <c r="W9409">
        <v>59.83128</v>
      </c>
      <c r="X9409">
        <v>657.16869999999994</v>
      </c>
      <c r="Y9409">
        <v>99.544820000000001</v>
      </c>
      <c r="Z9409">
        <v>470.7047</v>
      </c>
      <c r="AA9409">
        <v>439.02640000000002</v>
      </c>
      <c r="AB9409">
        <v>24.733219999999999</v>
      </c>
      <c r="AC9409">
        <v>1.028426E-2</v>
      </c>
      <c r="AD9409">
        <v>1.5985450000000001</v>
      </c>
      <c r="AE9409">
        <v>9.4059219999999999E-2</v>
      </c>
      <c r="AF9409">
        <v>696.57470000000001</v>
      </c>
      <c r="AG9409">
        <f>IFERROR(AH9409*0.1, "N/A")</f>
        <v>4.8755710000000008</v>
      </c>
      <c r="AH9409">
        <v>48.755710000000001</v>
      </c>
      <c r="AI9409">
        <v>257.22250000000003</v>
      </c>
      <c r="AJ9409">
        <v>40.755710000000001</v>
      </c>
      <c r="AK9409">
        <v>50.244289999999999</v>
      </c>
    </row>
    <row r="9410" spans="1:37" x14ac:dyDescent="0.3">
      <c r="A9410">
        <v>9409</v>
      </c>
      <c r="B9410">
        <v>0</v>
      </c>
      <c r="C9410">
        <v>12.841699999999999</v>
      </c>
      <c r="D9410">
        <v>3.7166700000000001</v>
      </c>
      <c r="E9410" t="s">
        <v>14298</v>
      </c>
      <c r="F9410" t="s">
        <v>14300</v>
      </c>
      <c r="G9410" t="s">
        <v>37</v>
      </c>
      <c r="H9410">
        <v>1990</v>
      </c>
      <c r="I9410">
        <v>23.379259999999999</v>
      </c>
      <c r="J9410">
        <v>9.5</v>
      </c>
      <c r="K9410">
        <v>81.244290000000007</v>
      </c>
      <c r="L9410">
        <v>6.1666259999999999</v>
      </c>
      <c r="M9410">
        <v>29.65483</v>
      </c>
      <c r="N9410">
        <v>18.062390000000001</v>
      </c>
      <c r="O9410">
        <v>11.59244</v>
      </c>
      <c r="P9410">
        <v>22.858519999999999</v>
      </c>
      <c r="Q9410">
        <v>23.383130000000001</v>
      </c>
      <c r="R9410">
        <v>24.179259999999999</v>
      </c>
      <c r="S9410">
        <v>22.658519999999999</v>
      </c>
      <c r="T9410">
        <v>1614.884</v>
      </c>
      <c r="U9410">
        <v>292.1687</v>
      </c>
      <c r="V9410">
        <v>22.207380000000001</v>
      </c>
      <c r="W9410">
        <v>59.83128</v>
      </c>
      <c r="X9410">
        <v>657.16869999999994</v>
      </c>
      <c r="Y9410">
        <v>99.544820000000001</v>
      </c>
      <c r="Z9410">
        <v>470.7047</v>
      </c>
      <c r="AA9410">
        <v>439.02640000000002</v>
      </c>
      <c r="AB9410">
        <v>24.733219999999999</v>
      </c>
      <c r="AC9410">
        <v>1.028426E-2</v>
      </c>
      <c r="AD9410">
        <v>1.5985450000000001</v>
      </c>
      <c r="AE9410">
        <v>9.4059219999999999E-2</v>
      </c>
      <c r="AF9410">
        <v>696.57470000000001</v>
      </c>
      <c r="AG9410">
        <f>IFERROR(AH9410*0.1, "N/A")</f>
        <v>4.8755710000000008</v>
      </c>
      <c r="AH9410">
        <v>48.755710000000001</v>
      </c>
      <c r="AI9410">
        <v>257.22250000000003</v>
      </c>
      <c r="AJ9410">
        <v>40.755710000000001</v>
      </c>
      <c r="AK9410">
        <v>50.244289999999999</v>
      </c>
    </row>
    <row r="9411" spans="1:37" x14ac:dyDescent="0.3">
      <c r="A9411">
        <v>9410</v>
      </c>
      <c r="B9411">
        <v>0</v>
      </c>
      <c r="C9411">
        <v>12.841699999999999</v>
      </c>
      <c r="D9411">
        <v>3.7166700000000001</v>
      </c>
      <c r="E9411" t="s">
        <v>14298</v>
      </c>
      <c r="F9411" t="s">
        <v>14301</v>
      </c>
      <c r="G9411" t="s">
        <v>2420</v>
      </c>
      <c r="H9411">
        <v>1990</v>
      </c>
      <c r="I9411">
        <v>23.379259999999999</v>
      </c>
      <c r="J9411">
        <v>9.5</v>
      </c>
      <c r="K9411">
        <v>81.244290000000007</v>
      </c>
      <c r="L9411">
        <v>6.1666259999999999</v>
      </c>
      <c r="M9411">
        <v>29.65483</v>
      </c>
      <c r="N9411">
        <v>18.062390000000001</v>
      </c>
      <c r="O9411">
        <v>11.59244</v>
      </c>
      <c r="P9411">
        <v>22.858519999999999</v>
      </c>
      <c r="Q9411">
        <v>23.383130000000001</v>
      </c>
      <c r="R9411">
        <v>24.179259999999999</v>
      </c>
      <c r="S9411">
        <v>22.658519999999999</v>
      </c>
      <c r="T9411">
        <v>1614.884</v>
      </c>
      <c r="U9411">
        <v>292.1687</v>
      </c>
      <c r="V9411">
        <v>22.207380000000001</v>
      </c>
      <c r="W9411">
        <v>59.83128</v>
      </c>
      <c r="X9411">
        <v>657.16869999999994</v>
      </c>
      <c r="Y9411">
        <v>99.544820000000001</v>
      </c>
      <c r="Z9411">
        <v>470.7047</v>
      </c>
      <c r="AA9411">
        <v>439.02640000000002</v>
      </c>
      <c r="AB9411">
        <v>24.733219999999999</v>
      </c>
      <c r="AC9411">
        <v>1.028426E-2</v>
      </c>
      <c r="AD9411">
        <v>1.5985450000000001</v>
      </c>
      <c r="AE9411">
        <v>9.4059219999999999E-2</v>
      </c>
      <c r="AF9411">
        <v>696.57470000000001</v>
      </c>
      <c r="AG9411">
        <f>IFERROR(AH9411*0.1, "N/A")</f>
        <v>4.8755710000000008</v>
      </c>
      <c r="AH9411">
        <v>48.755710000000001</v>
      </c>
      <c r="AI9411">
        <v>257.22250000000003</v>
      </c>
      <c r="AJ9411">
        <v>40.755710000000001</v>
      </c>
      <c r="AK9411">
        <v>50.244289999999999</v>
      </c>
    </row>
    <row r="9412" spans="1:37" x14ac:dyDescent="0.3">
      <c r="A9412">
        <v>9411</v>
      </c>
      <c r="B9412">
        <v>19.399999999999999</v>
      </c>
      <c r="C9412">
        <v>11.658300000000001</v>
      </c>
      <c r="D9412">
        <v>3.7305600000000001</v>
      </c>
      <c r="E9412" t="s">
        <v>14302</v>
      </c>
      <c r="F9412" t="s">
        <v>14303</v>
      </c>
      <c r="G9412" t="s">
        <v>37</v>
      </c>
      <c r="H9412">
        <v>1990</v>
      </c>
      <c r="I9412">
        <v>23.8</v>
      </c>
      <c r="J9412">
        <v>9.1</v>
      </c>
      <c r="K9412">
        <v>82</v>
      </c>
      <c r="L9412">
        <v>6.245228</v>
      </c>
      <c r="M9412">
        <v>29.7</v>
      </c>
      <c r="N9412">
        <v>18.7</v>
      </c>
      <c r="O9412">
        <v>11</v>
      </c>
      <c r="P9412">
        <v>23.452279999999998</v>
      </c>
      <c r="Q9412">
        <v>24.3</v>
      </c>
      <c r="R9412">
        <v>24.55228</v>
      </c>
      <c r="S9412">
        <v>23</v>
      </c>
      <c r="T9412">
        <v>1635.5229999999999</v>
      </c>
      <c r="U9412">
        <v>294</v>
      </c>
      <c r="V9412">
        <v>23</v>
      </c>
      <c r="W9412">
        <v>61</v>
      </c>
      <c r="X9412">
        <v>663</v>
      </c>
      <c r="Y9412">
        <v>103</v>
      </c>
      <c r="Z9412">
        <v>376</v>
      </c>
      <c r="AA9412">
        <v>370.99299999999999</v>
      </c>
      <c r="AB9412">
        <v>40.47175</v>
      </c>
      <c r="AC9412">
        <v>1.6850710000000001E-2</v>
      </c>
      <c r="AD9412">
        <v>9.4020460000000003</v>
      </c>
      <c r="AE9412">
        <v>0.46775109999999998</v>
      </c>
      <c r="AF9412">
        <v>723.68600000000004</v>
      </c>
      <c r="AG9412">
        <f>IFERROR(AH9412*0.1, "N/A")</f>
        <v>5.088947000000001</v>
      </c>
      <c r="AH9412">
        <v>50.889470000000003</v>
      </c>
      <c r="AI9412">
        <v>160.86580000000001</v>
      </c>
      <c r="AJ9412">
        <v>40.343859999999999</v>
      </c>
      <c r="AK9412">
        <v>51.461399999999998</v>
      </c>
    </row>
    <row r="9413" spans="1:37" x14ac:dyDescent="0.3">
      <c r="A9413">
        <v>9412</v>
      </c>
      <c r="B9413">
        <v>0</v>
      </c>
      <c r="C9413">
        <v>11.658300000000001</v>
      </c>
      <c r="D9413">
        <v>3.7305600000000001</v>
      </c>
      <c r="E9413" t="s">
        <v>14302</v>
      </c>
      <c r="F9413" t="s">
        <v>14304</v>
      </c>
      <c r="G9413" t="s">
        <v>2420</v>
      </c>
      <c r="H9413">
        <v>1990</v>
      </c>
      <c r="I9413">
        <v>23.8</v>
      </c>
      <c r="J9413">
        <v>9.1</v>
      </c>
      <c r="K9413">
        <v>82</v>
      </c>
      <c r="L9413">
        <v>6.245228</v>
      </c>
      <c r="M9413">
        <v>29.7</v>
      </c>
      <c r="N9413">
        <v>18.7</v>
      </c>
      <c r="O9413">
        <v>11</v>
      </c>
      <c r="P9413">
        <v>23.452279999999998</v>
      </c>
      <c r="Q9413">
        <v>24.3</v>
      </c>
      <c r="R9413">
        <v>24.55228</v>
      </c>
      <c r="S9413">
        <v>23</v>
      </c>
      <c r="T9413">
        <v>1635.5229999999999</v>
      </c>
      <c r="U9413">
        <v>294</v>
      </c>
      <c r="V9413">
        <v>23</v>
      </c>
      <c r="W9413">
        <v>61</v>
      </c>
      <c r="X9413">
        <v>663</v>
      </c>
      <c r="Y9413">
        <v>103</v>
      </c>
      <c r="Z9413">
        <v>376</v>
      </c>
      <c r="AA9413">
        <v>370.99299999999999</v>
      </c>
      <c r="AB9413">
        <v>40.47175</v>
      </c>
      <c r="AC9413">
        <v>1.6850710000000001E-2</v>
      </c>
      <c r="AD9413">
        <v>9.4020460000000003</v>
      </c>
      <c r="AE9413">
        <v>0.46775109999999998</v>
      </c>
      <c r="AF9413">
        <v>723.68600000000004</v>
      </c>
      <c r="AG9413">
        <f>IFERROR(AH9413*0.1, "N/A")</f>
        <v>5.088947000000001</v>
      </c>
      <c r="AH9413">
        <v>50.889470000000003</v>
      </c>
      <c r="AI9413">
        <v>160.86580000000001</v>
      </c>
      <c r="AJ9413">
        <v>40.343859999999999</v>
      </c>
      <c r="AK9413">
        <v>51.461399999999998</v>
      </c>
    </row>
    <row r="9414" spans="1:37" x14ac:dyDescent="0.3">
      <c r="A9414">
        <v>9413</v>
      </c>
      <c r="B9414">
        <v>1.9</v>
      </c>
      <c r="C9414">
        <v>10.023099999999999</v>
      </c>
      <c r="D9414">
        <v>3.7466699999999999</v>
      </c>
      <c r="E9414" t="s">
        <v>14305</v>
      </c>
      <c r="F9414" t="s">
        <v>14306</v>
      </c>
      <c r="G9414" t="s">
        <v>37</v>
      </c>
      <c r="H9414">
        <v>1990</v>
      </c>
      <c r="I9414">
        <v>26.4</v>
      </c>
      <c r="J9414">
        <v>7.2</v>
      </c>
      <c r="K9414">
        <v>67</v>
      </c>
      <c r="L9414">
        <v>11.76</v>
      </c>
      <c r="M9414">
        <v>32.1</v>
      </c>
      <c r="N9414">
        <v>21.5</v>
      </c>
      <c r="O9414">
        <v>10.6</v>
      </c>
      <c r="P9414">
        <v>25.1</v>
      </c>
      <c r="Q9414">
        <v>27.4</v>
      </c>
      <c r="R9414">
        <v>27.5</v>
      </c>
      <c r="S9414">
        <v>24.6</v>
      </c>
      <c r="T9414">
        <v>2725</v>
      </c>
      <c r="U9414">
        <v>480</v>
      </c>
      <c r="V9414">
        <v>38</v>
      </c>
      <c r="W9414">
        <v>61</v>
      </c>
      <c r="X9414">
        <v>1239</v>
      </c>
      <c r="Y9414">
        <v>132</v>
      </c>
      <c r="Z9414">
        <v>443</v>
      </c>
      <c r="AA9414">
        <v>1124</v>
      </c>
      <c r="AB9414">
        <v>3.347359</v>
      </c>
      <c r="AC9414">
        <v>8.9174039999999996E-2</v>
      </c>
      <c r="AD9414">
        <v>12.11314</v>
      </c>
      <c r="AE9414">
        <v>0.4053098</v>
      </c>
      <c r="AF9414">
        <v>21.487680000000001</v>
      </c>
      <c r="AG9414">
        <f>IFERROR(AH9414*0.1, "N/A")</f>
        <v>4.7526409999999997</v>
      </c>
      <c r="AH9414">
        <v>47.526409999999998</v>
      </c>
      <c r="AI9414">
        <v>125.48560000000001</v>
      </c>
      <c r="AJ9414">
        <v>31.64085</v>
      </c>
      <c r="AK9414">
        <v>55.207749999999997</v>
      </c>
    </row>
    <row r="9415" spans="1:37" x14ac:dyDescent="0.3">
      <c r="A9415">
        <v>9414</v>
      </c>
      <c r="B9415">
        <v>0</v>
      </c>
      <c r="C9415">
        <v>10.023099999999999</v>
      </c>
      <c r="D9415">
        <v>3.7466699999999999</v>
      </c>
      <c r="E9415" t="s">
        <v>14305</v>
      </c>
      <c r="F9415" t="s">
        <v>14307</v>
      </c>
      <c r="G9415" t="s">
        <v>2420</v>
      </c>
      <c r="H9415">
        <v>1990</v>
      </c>
      <c r="I9415">
        <v>26.4</v>
      </c>
      <c r="J9415">
        <v>7.2</v>
      </c>
      <c r="K9415">
        <v>67</v>
      </c>
      <c r="L9415">
        <v>11.76</v>
      </c>
      <c r="M9415">
        <v>32.1</v>
      </c>
      <c r="N9415">
        <v>21.5</v>
      </c>
      <c r="O9415">
        <v>10.6</v>
      </c>
      <c r="P9415">
        <v>25.1</v>
      </c>
      <c r="Q9415">
        <v>27.4</v>
      </c>
      <c r="R9415">
        <v>27.5</v>
      </c>
      <c r="S9415">
        <v>24.6</v>
      </c>
      <c r="T9415">
        <v>2725</v>
      </c>
      <c r="U9415">
        <v>480</v>
      </c>
      <c r="V9415">
        <v>38</v>
      </c>
      <c r="W9415">
        <v>61</v>
      </c>
      <c r="X9415">
        <v>1239</v>
      </c>
      <c r="Y9415">
        <v>132</v>
      </c>
      <c r="Z9415">
        <v>443</v>
      </c>
      <c r="AA9415">
        <v>1124</v>
      </c>
      <c r="AB9415">
        <v>3.347359</v>
      </c>
      <c r="AC9415">
        <v>8.9174039999999996E-2</v>
      </c>
      <c r="AD9415">
        <v>12.11314</v>
      </c>
      <c r="AE9415">
        <v>0.4053098</v>
      </c>
      <c r="AF9415">
        <v>21.487680000000001</v>
      </c>
      <c r="AG9415">
        <f>IFERROR(AH9415*0.1, "N/A")</f>
        <v>4.7526409999999997</v>
      </c>
      <c r="AH9415">
        <v>47.526409999999998</v>
      </c>
      <c r="AI9415">
        <v>125.48560000000001</v>
      </c>
      <c r="AJ9415">
        <v>31.64085</v>
      </c>
      <c r="AK9415">
        <v>55.207749999999997</v>
      </c>
    </row>
    <row r="9416" spans="1:37" x14ac:dyDescent="0.3">
      <c r="A9416">
        <v>9415</v>
      </c>
      <c r="B9416">
        <v>0</v>
      </c>
      <c r="C9416">
        <v>11.886100000000001</v>
      </c>
      <c r="D9416">
        <v>3.75278</v>
      </c>
      <c r="E9416" t="s">
        <v>14308</v>
      </c>
      <c r="F9416" t="s">
        <v>14309</v>
      </c>
      <c r="G9416" t="s">
        <v>39</v>
      </c>
      <c r="H9416">
        <v>1990</v>
      </c>
      <c r="I9416">
        <v>23.9</v>
      </c>
      <c r="J9416">
        <v>9.1999999999999993</v>
      </c>
      <c r="K9416">
        <v>83</v>
      </c>
      <c r="L9416">
        <v>6.12</v>
      </c>
      <c r="M9416">
        <v>29.9</v>
      </c>
      <c r="N9416">
        <v>18.899999999999999</v>
      </c>
      <c r="O9416">
        <v>11</v>
      </c>
      <c r="P9416">
        <v>23.6</v>
      </c>
      <c r="Q9416">
        <v>24.4</v>
      </c>
      <c r="R9416">
        <v>24.7</v>
      </c>
      <c r="S9416">
        <v>23.1</v>
      </c>
      <c r="T9416">
        <v>1599</v>
      </c>
      <c r="U9416">
        <v>288</v>
      </c>
      <c r="V9416">
        <v>21</v>
      </c>
      <c r="W9416">
        <v>62</v>
      </c>
      <c r="X9416">
        <v>654</v>
      </c>
      <c r="Y9416">
        <v>97</v>
      </c>
      <c r="Z9416">
        <v>361</v>
      </c>
      <c r="AA9416">
        <v>417</v>
      </c>
      <c r="AB9416">
        <v>9.1836889999999993</v>
      </c>
      <c r="AC9416">
        <v>9.4262070000000007E-3</v>
      </c>
      <c r="AD9416">
        <v>6.3033760000000001</v>
      </c>
      <c r="AE9416">
        <v>0.18025849999999999</v>
      </c>
      <c r="AF9416">
        <v>681.26800000000003</v>
      </c>
      <c r="AG9416">
        <f>IFERROR(AH9416*0.1, "N/A")</f>
        <v>4.9208410000000002</v>
      </c>
      <c r="AH9416">
        <v>49.208410000000001</v>
      </c>
      <c r="AI9416">
        <v>154.3312</v>
      </c>
      <c r="AJ9416">
        <v>42.889670000000002</v>
      </c>
      <c r="AK9416">
        <v>49.213659999999997</v>
      </c>
    </row>
    <row r="9417" spans="1:37" x14ac:dyDescent="0.3">
      <c r="A9417">
        <v>9416</v>
      </c>
      <c r="B9417">
        <v>0</v>
      </c>
      <c r="C9417">
        <v>11.886100000000001</v>
      </c>
      <c r="D9417">
        <v>3.75278</v>
      </c>
      <c r="E9417" t="s">
        <v>14308</v>
      </c>
      <c r="F9417" t="s">
        <v>14310</v>
      </c>
      <c r="G9417" t="s">
        <v>37</v>
      </c>
      <c r="H9417">
        <v>1990</v>
      </c>
      <c r="I9417">
        <v>23.9</v>
      </c>
      <c r="J9417">
        <v>9.1999999999999993</v>
      </c>
      <c r="K9417">
        <v>83</v>
      </c>
      <c r="L9417">
        <v>6.12</v>
      </c>
      <c r="M9417">
        <v>29.9</v>
      </c>
      <c r="N9417">
        <v>18.899999999999999</v>
      </c>
      <c r="O9417">
        <v>11</v>
      </c>
      <c r="P9417">
        <v>23.6</v>
      </c>
      <c r="Q9417">
        <v>24.4</v>
      </c>
      <c r="R9417">
        <v>24.7</v>
      </c>
      <c r="S9417">
        <v>23.1</v>
      </c>
      <c r="T9417">
        <v>1599</v>
      </c>
      <c r="U9417">
        <v>288</v>
      </c>
      <c r="V9417">
        <v>21</v>
      </c>
      <c r="W9417">
        <v>62</v>
      </c>
      <c r="X9417">
        <v>654</v>
      </c>
      <c r="Y9417">
        <v>97</v>
      </c>
      <c r="Z9417">
        <v>361</v>
      </c>
      <c r="AA9417">
        <v>417</v>
      </c>
      <c r="AB9417">
        <v>9.1836889999999993</v>
      </c>
      <c r="AC9417">
        <v>9.4262070000000007E-3</v>
      </c>
      <c r="AD9417">
        <v>6.3033760000000001</v>
      </c>
      <c r="AE9417">
        <v>0.18025849999999999</v>
      </c>
      <c r="AF9417">
        <v>681.26800000000003</v>
      </c>
      <c r="AG9417">
        <f>IFERROR(AH9417*0.1, "N/A")</f>
        <v>4.9208410000000002</v>
      </c>
      <c r="AH9417">
        <v>49.208410000000001</v>
      </c>
      <c r="AI9417">
        <v>154.3312</v>
      </c>
      <c r="AJ9417">
        <v>42.889670000000002</v>
      </c>
      <c r="AK9417">
        <v>49.213659999999997</v>
      </c>
    </row>
    <row r="9418" spans="1:37" x14ac:dyDescent="0.3">
      <c r="A9418">
        <v>9417</v>
      </c>
      <c r="B9418">
        <v>2.2999999999999998</v>
      </c>
      <c r="C9418">
        <v>11.886100000000001</v>
      </c>
      <c r="D9418">
        <v>3.75278</v>
      </c>
      <c r="E9418" t="s">
        <v>14308</v>
      </c>
      <c r="F9418" t="s">
        <v>14311</v>
      </c>
      <c r="G9418" t="s">
        <v>2420</v>
      </c>
      <c r="H9418">
        <v>1990</v>
      </c>
      <c r="I9418">
        <v>23.9</v>
      </c>
      <c r="J9418">
        <v>9.1999999999999993</v>
      </c>
      <c r="K9418">
        <v>83</v>
      </c>
      <c r="L9418">
        <v>6.12</v>
      </c>
      <c r="M9418">
        <v>29.9</v>
      </c>
      <c r="N9418">
        <v>18.899999999999999</v>
      </c>
      <c r="O9418">
        <v>11</v>
      </c>
      <c r="P9418">
        <v>23.6</v>
      </c>
      <c r="Q9418">
        <v>24.4</v>
      </c>
      <c r="R9418">
        <v>24.7</v>
      </c>
      <c r="S9418">
        <v>23.1</v>
      </c>
      <c r="T9418">
        <v>1599</v>
      </c>
      <c r="U9418">
        <v>288</v>
      </c>
      <c r="V9418">
        <v>21</v>
      </c>
      <c r="W9418">
        <v>62</v>
      </c>
      <c r="X9418">
        <v>654</v>
      </c>
      <c r="Y9418">
        <v>97</v>
      </c>
      <c r="Z9418">
        <v>361</v>
      </c>
      <c r="AA9418">
        <v>417</v>
      </c>
      <c r="AB9418">
        <v>9.1836889999999993</v>
      </c>
      <c r="AC9418">
        <v>9.4262070000000007E-3</v>
      </c>
      <c r="AD9418">
        <v>6.3033760000000001</v>
      </c>
      <c r="AE9418">
        <v>0.18025849999999999</v>
      </c>
      <c r="AF9418">
        <v>681.26800000000003</v>
      </c>
      <c r="AG9418">
        <f>IFERROR(AH9418*0.1, "N/A")</f>
        <v>4.9208410000000002</v>
      </c>
      <c r="AH9418">
        <v>49.208410000000001</v>
      </c>
      <c r="AI9418">
        <v>154.3312</v>
      </c>
      <c r="AJ9418">
        <v>42.889670000000002</v>
      </c>
      <c r="AK9418">
        <v>49.213659999999997</v>
      </c>
    </row>
    <row r="9419" spans="1:37" x14ac:dyDescent="0.3">
      <c r="A9419">
        <v>9418</v>
      </c>
      <c r="B9419">
        <v>0</v>
      </c>
      <c r="C9419">
        <v>10.666700000000001</v>
      </c>
      <c r="D9419">
        <v>3.76111</v>
      </c>
      <c r="E9419" t="s">
        <v>14312</v>
      </c>
      <c r="F9419" t="s">
        <v>14313</v>
      </c>
      <c r="G9419" t="s">
        <v>39</v>
      </c>
      <c r="H9419">
        <v>1990</v>
      </c>
      <c r="I9419">
        <v>25.54</v>
      </c>
      <c r="J9419">
        <v>7.9</v>
      </c>
      <c r="K9419">
        <v>68</v>
      </c>
      <c r="L9419">
        <v>11.904</v>
      </c>
      <c r="M9419">
        <v>31.7</v>
      </c>
      <c r="N9419">
        <v>20.2</v>
      </c>
      <c r="O9419">
        <v>11.5</v>
      </c>
      <c r="P9419">
        <v>24.24</v>
      </c>
      <c r="Q9419">
        <v>26.64</v>
      </c>
      <c r="R9419">
        <v>26.74</v>
      </c>
      <c r="S9419">
        <v>23.84</v>
      </c>
      <c r="T9419">
        <v>2205.4</v>
      </c>
      <c r="U9419">
        <v>379.4</v>
      </c>
      <c r="V9419">
        <v>25</v>
      </c>
      <c r="W9419">
        <v>62</v>
      </c>
      <c r="X9419">
        <v>974.6</v>
      </c>
      <c r="Y9419">
        <v>98</v>
      </c>
      <c r="Z9419">
        <v>231</v>
      </c>
      <c r="AA9419">
        <v>742.6</v>
      </c>
      <c r="AB9419">
        <v>20.882110000000001</v>
      </c>
      <c r="AC9419">
        <v>8.5298149999999996E-3</v>
      </c>
      <c r="AD9419">
        <v>4.1711479999999996</v>
      </c>
      <c r="AE9419">
        <v>0.14615030000000001</v>
      </c>
      <c r="AF9419">
        <v>207.37719999999999</v>
      </c>
      <c r="AG9419">
        <f>IFERROR(AH9419*0.1, "N/A")</f>
        <v>4.7349120000000005</v>
      </c>
      <c r="AH9419">
        <v>47.349119999999999</v>
      </c>
      <c r="AI9419">
        <v>107.27370000000001</v>
      </c>
      <c r="AJ9419">
        <v>31.447369999999999</v>
      </c>
      <c r="AK9419">
        <v>58.461399999999998</v>
      </c>
    </row>
    <row r="9420" spans="1:37" x14ac:dyDescent="0.3">
      <c r="A9420">
        <v>9419</v>
      </c>
      <c r="B9420">
        <v>0</v>
      </c>
      <c r="C9420">
        <v>10.666700000000001</v>
      </c>
      <c r="D9420">
        <v>3.76111</v>
      </c>
      <c r="E9420" t="s">
        <v>14312</v>
      </c>
      <c r="F9420" t="s">
        <v>14314</v>
      </c>
      <c r="G9420" t="s">
        <v>37</v>
      </c>
      <c r="H9420">
        <v>1990</v>
      </c>
      <c r="I9420">
        <v>25.54</v>
      </c>
      <c r="J9420">
        <v>7.9</v>
      </c>
      <c r="K9420">
        <v>68</v>
      </c>
      <c r="L9420">
        <v>11.904</v>
      </c>
      <c r="M9420">
        <v>31.7</v>
      </c>
      <c r="N9420">
        <v>20.2</v>
      </c>
      <c r="O9420">
        <v>11.5</v>
      </c>
      <c r="P9420">
        <v>24.24</v>
      </c>
      <c r="Q9420">
        <v>26.64</v>
      </c>
      <c r="R9420">
        <v>26.74</v>
      </c>
      <c r="S9420">
        <v>23.84</v>
      </c>
      <c r="T9420">
        <v>2205.4</v>
      </c>
      <c r="U9420">
        <v>379.4</v>
      </c>
      <c r="V9420">
        <v>25</v>
      </c>
      <c r="W9420">
        <v>62</v>
      </c>
      <c r="X9420">
        <v>974.6</v>
      </c>
      <c r="Y9420">
        <v>98</v>
      </c>
      <c r="Z9420">
        <v>231</v>
      </c>
      <c r="AA9420">
        <v>742.6</v>
      </c>
      <c r="AB9420">
        <v>20.882110000000001</v>
      </c>
      <c r="AC9420">
        <v>8.5298149999999996E-3</v>
      </c>
      <c r="AD9420">
        <v>4.1711479999999996</v>
      </c>
      <c r="AE9420">
        <v>0.14615030000000001</v>
      </c>
      <c r="AF9420">
        <v>207.37719999999999</v>
      </c>
      <c r="AG9420">
        <f>IFERROR(AH9420*0.1, "N/A")</f>
        <v>4.7349120000000005</v>
      </c>
      <c r="AH9420">
        <v>47.349119999999999</v>
      </c>
      <c r="AI9420">
        <v>107.27370000000001</v>
      </c>
      <c r="AJ9420">
        <v>31.447369999999999</v>
      </c>
      <c r="AK9420">
        <v>58.461399999999998</v>
      </c>
    </row>
    <row r="9421" spans="1:37" x14ac:dyDescent="0.3">
      <c r="A9421">
        <v>9420</v>
      </c>
      <c r="B9421">
        <v>0</v>
      </c>
      <c r="C9421">
        <v>10.666700000000001</v>
      </c>
      <c r="D9421">
        <v>3.76111</v>
      </c>
      <c r="E9421" t="s">
        <v>14312</v>
      </c>
      <c r="F9421" t="s">
        <v>14315</v>
      </c>
      <c r="G9421" t="s">
        <v>2420</v>
      </c>
      <c r="H9421">
        <v>1990</v>
      </c>
      <c r="I9421">
        <v>25.54</v>
      </c>
      <c r="J9421">
        <v>7.9</v>
      </c>
      <c r="K9421">
        <v>68</v>
      </c>
      <c r="L9421">
        <v>11.904</v>
      </c>
      <c r="M9421">
        <v>31.7</v>
      </c>
      <c r="N9421">
        <v>20.2</v>
      </c>
      <c r="O9421">
        <v>11.5</v>
      </c>
      <c r="P9421">
        <v>24.24</v>
      </c>
      <c r="Q9421">
        <v>26.64</v>
      </c>
      <c r="R9421">
        <v>26.74</v>
      </c>
      <c r="S9421">
        <v>23.84</v>
      </c>
      <c r="T9421">
        <v>2205.4</v>
      </c>
      <c r="U9421">
        <v>379.4</v>
      </c>
      <c r="V9421">
        <v>25</v>
      </c>
      <c r="W9421">
        <v>62</v>
      </c>
      <c r="X9421">
        <v>974.6</v>
      </c>
      <c r="Y9421">
        <v>98</v>
      </c>
      <c r="Z9421">
        <v>231</v>
      </c>
      <c r="AA9421">
        <v>742.6</v>
      </c>
      <c r="AB9421">
        <v>20.882110000000001</v>
      </c>
      <c r="AC9421">
        <v>8.5298149999999996E-3</v>
      </c>
      <c r="AD9421">
        <v>4.1711479999999996</v>
      </c>
      <c r="AE9421">
        <v>0.14615030000000001</v>
      </c>
      <c r="AF9421">
        <v>207.37719999999999</v>
      </c>
      <c r="AG9421">
        <f>IFERROR(AH9421*0.1, "N/A")</f>
        <v>4.7349120000000005</v>
      </c>
      <c r="AH9421">
        <v>47.349119999999999</v>
      </c>
      <c r="AI9421">
        <v>107.27370000000001</v>
      </c>
      <c r="AJ9421">
        <v>31.447369999999999</v>
      </c>
      <c r="AK9421">
        <v>58.461399999999998</v>
      </c>
    </row>
    <row r="9422" spans="1:37" x14ac:dyDescent="0.3">
      <c r="A9422">
        <v>9421</v>
      </c>
      <c r="B9422">
        <v>0</v>
      </c>
      <c r="C9422">
        <v>11.0944</v>
      </c>
      <c r="D9422">
        <v>3.76667</v>
      </c>
      <c r="E9422" t="s">
        <v>14316</v>
      </c>
      <c r="F9422" t="s">
        <v>14317</v>
      </c>
      <c r="G9422" t="s">
        <v>39</v>
      </c>
      <c r="H9422">
        <v>1990</v>
      </c>
      <c r="I9422">
        <v>23.954229999999999</v>
      </c>
      <c r="J9422">
        <v>8.6</v>
      </c>
      <c r="K9422">
        <v>74</v>
      </c>
      <c r="L9422">
        <v>9.1371120000000001</v>
      </c>
      <c r="M9422">
        <v>30.05423</v>
      </c>
      <c r="N9422">
        <v>18.55423</v>
      </c>
      <c r="O9422">
        <v>11.5</v>
      </c>
      <c r="P9422">
        <v>22.908449999999998</v>
      </c>
      <c r="Q9422">
        <v>24.75423</v>
      </c>
      <c r="R9422">
        <v>24.954229999999999</v>
      </c>
      <c r="S9422">
        <v>22.654229999999998</v>
      </c>
      <c r="T9422">
        <v>1897</v>
      </c>
      <c r="U9422">
        <v>330</v>
      </c>
      <c r="V9422">
        <v>23.457750000000001</v>
      </c>
      <c r="W9422">
        <v>60.542250000000003</v>
      </c>
      <c r="X9422">
        <v>789.08450000000005</v>
      </c>
      <c r="Y9422">
        <v>102.91549999999999</v>
      </c>
      <c r="Z9422">
        <v>229.91550000000001</v>
      </c>
      <c r="AA9422">
        <v>562.6268</v>
      </c>
      <c r="AB9422">
        <v>20.328340000000001</v>
      </c>
      <c r="AC9422">
        <v>0.31327500000000003</v>
      </c>
      <c r="AD9422">
        <v>4.967422</v>
      </c>
      <c r="AE9422">
        <v>0.16708120000000001</v>
      </c>
      <c r="AF9422">
        <v>632.21299999999997</v>
      </c>
      <c r="AG9422">
        <f>IFERROR(AH9422*0.1, "N/A")</f>
        <v>5</v>
      </c>
      <c r="AH9422">
        <v>50</v>
      </c>
      <c r="AI9422">
        <v>145.26750000000001</v>
      </c>
      <c r="AJ9422">
        <v>42</v>
      </c>
      <c r="AK9422">
        <v>45</v>
      </c>
    </row>
    <row r="9423" spans="1:37" x14ac:dyDescent="0.3">
      <c r="A9423">
        <v>9422</v>
      </c>
      <c r="B9423">
        <v>0</v>
      </c>
      <c r="C9423">
        <v>11.0944</v>
      </c>
      <c r="D9423">
        <v>3.76667</v>
      </c>
      <c r="E9423" t="s">
        <v>14316</v>
      </c>
      <c r="F9423" t="s">
        <v>14318</v>
      </c>
      <c r="G9423" t="s">
        <v>37</v>
      </c>
      <c r="H9423">
        <v>1990</v>
      </c>
      <c r="I9423">
        <v>23.954229999999999</v>
      </c>
      <c r="J9423">
        <v>8.6</v>
      </c>
      <c r="K9423">
        <v>74</v>
      </c>
      <c r="L9423">
        <v>9.1371120000000001</v>
      </c>
      <c r="M9423">
        <v>30.05423</v>
      </c>
      <c r="N9423">
        <v>18.55423</v>
      </c>
      <c r="O9423">
        <v>11.5</v>
      </c>
      <c r="P9423">
        <v>22.908449999999998</v>
      </c>
      <c r="Q9423">
        <v>24.75423</v>
      </c>
      <c r="R9423">
        <v>24.954229999999999</v>
      </c>
      <c r="S9423">
        <v>22.654229999999998</v>
      </c>
      <c r="T9423">
        <v>1897</v>
      </c>
      <c r="U9423">
        <v>330</v>
      </c>
      <c r="V9423">
        <v>23.457750000000001</v>
      </c>
      <c r="W9423">
        <v>60.542250000000003</v>
      </c>
      <c r="X9423">
        <v>789.08450000000005</v>
      </c>
      <c r="Y9423">
        <v>102.91549999999999</v>
      </c>
      <c r="Z9423">
        <v>229.91550000000001</v>
      </c>
      <c r="AA9423">
        <v>562.6268</v>
      </c>
      <c r="AB9423">
        <v>20.328340000000001</v>
      </c>
      <c r="AC9423">
        <v>0.31327500000000003</v>
      </c>
      <c r="AD9423">
        <v>4.967422</v>
      </c>
      <c r="AE9423">
        <v>0.16708120000000001</v>
      </c>
      <c r="AF9423">
        <v>632.21299999999997</v>
      </c>
      <c r="AG9423">
        <f>IFERROR(AH9423*0.1, "N/A")</f>
        <v>5</v>
      </c>
      <c r="AH9423">
        <v>50</v>
      </c>
      <c r="AI9423">
        <v>145.26750000000001</v>
      </c>
      <c r="AJ9423">
        <v>42</v>
      </c>
      <c r="AK9423">
        <v>45</v>
      </c>
    </row>
    <row r="9424" spans="1:37" x14ac:dyDescent="0.3">
      <c r="A9424">
        <v>9423</v>
      </c>
      <c r="B9424">
        <v>6.4</v>
      </c>
      <c r="C9424">
        <v>11.0944</v>
      </c>
      <c r="D9424">
        <v>3.76667</v>
      </c>
      <c r="E9424" t="s">
        <v>14316</v>
      </c>
      <c r="F9424" t="s">
        <v>14319</v>
      </c>
      <c r="G9424" t="s">
        <v>2420</v>
      </c>
      <c r="H9424">
        <v>1990</v>
      </c>
      <c r="I9424">
        <v>23.954229999999999</v>
      </c>
      <c r="J9424">
        <v>8.6</v>
      </c>
      <c r="K9424">
        <v>74</v>
      </c>
      <c r="L9424">
        <v>9.1371120000000001</v>
      </c>
      <c r="M9424">
        <v>30.05423</v>
      </c>
      <c r="N9424">
        <v>18.55423</v>
      </c>
      <c r="O9424">
        <v>11.5</v>
      </c>
      <c r="P9424">
        <v>22.908449999999998</v>
      </c>
      <c r="Q9424">
        <v>24.75423</v>
      </c>
      <c r="R9424">
        <v>24.954229999999999</v>
      </c>
      <c r="S9424">
        <v>22.654229999999998</v>
      </c>
      <c r="T9424">
        <v>1897</v>
      </c>
      <c r="U9424">
        <v>330</v>
      </c>
      <c r="V9424">
        <v>23.457750000000001</v>
      </c>
      <c r="W9424">
        <v>60.542250000000003</v>
      </c>
      <c r="X9424">
        <v>789.08450000000005</v>
      </c>
      <c r="Y9424">
        <v>102.91549999999999</v>
      </c>
      <c r="Z9424">
        <v>229.91550000000001</v>
      </c>
      <c r="AA9424">
        <v>562.6268</v>
      </c>
      <c r="AB9424">
        <v>20.328340000000001</v>
      </c>
      <c r="AC9424">
        <v>0.31327500000000003</v>
      </c>
      <c r="AD9424">
        <v>4.967422</v>
      </c>
      <c r="AE9424">
        <v>0.16708120000000001</v>
      </c>
      <c r="AF9424">
        <v>632.21299999999997</v>
      </c>
      <c r="AG9424">
        <f>IFERROR(AH9424*0.1, "N/A")</f>
        <v>5</v>
      </c>
      <c r="AH9424">
        <v>50</v>
      </c>
      <c r="AI9424">
        <v>145.26750000000001</v>
      </c>
      <c r="AJ9424">
        <v>42</v>
      </c>
      <c r="AK9424">
        <v>45</v>
      </c>
    </row>
    <row r="9425" spans="1:37" x14ac:dyDescent="0.3">
      <c r="A9425">
        <v>9424</v>
      </c>
      <c r="B9425">
        <v>0</v>
      </c>
      <c r="C9425">
        <v>12.25</v>
      </c>
      <c r="D9425">
        <v>3.76667</v>
      </c>
      <c r="E9425" t="s">
        <v>14320</v>
      </c>
      <c r="F9425" t="s">
        <v>14321</v>
      </c>
      <c r="G9425" t="s">
        <v>39</v>
      </c>
      <c r="H9425">
        <v>1990</v>
      </c>
      <c r="I9425">
        <v>24.2</v>
      </c>
      <c r="J9425">
        <v>9.3000000000000007</v>
      </c>
      <c r="K9425">
        <v>83.887320000000003</v>
      </c>
      <c r="L9425">
        <v>6.7112670000000003</v>
      </c>
      <c r="M9425">
        <v>30.31127</v>
      </c>
      <c r="N9425">
        <v>19.3</v>
      </c>
      <c r="O9425">
        <v>11.01127</v>
      </c>
      <c r="P9425">
        <v>23.8</v>
      </c>
      <c r="Q9425">
        <v>24.6</v>
      </c>
      <c r="R9425">
        <v>25</v>
      </c>
      <c r="S9425">
        <v>23.3</v>
      </c>
      <c r="T9425">
        <v>1573.3710000000001</v>
      </c>
      <c r="U9425">
        <v>285</v>
      </c>
      <c r="V9425">
        <v>18</v>
      </c>
      <c r="W9425">
        <v>63</v>
      </c>
      <c r="X9425">
        <v>651</v>
      </c>
      <c r="Y9425">
        <v>86.572180000000003</v>
      </c>
      <c r="Z9425">
        <v>334</v>
      </c>
      <c r="AA9425">
        <v>438</v>
      </c>
      <c r="AB9425">
        <v>0.9776416</v>
      </c>
      <c r="AC9425">
        <v>1.7633639999999999</v>
      </c>
      <c r="AD9425">
        <v>0.74131729999999996</v>
      </c>
      <c r="AE9425">
        <v>0.46092630000000001</v>
      </c>
      <c r="AF9425">
        <v>638.83979999999997</v>
      </c>
      <c r="AG9425">
        <f>IFERROR(AH9425*0.1, "N/A")</f>
        <v>5.2542250000000008</v>
      </c>
      <c r="AH9425">
        <v>52.542250000000003</v>
      </c>
      <c r="AI9425">
        <v>193.18049999999999</v>
      </c>
      <c r="AJ9425">
        <v>32</v>
      </c>
      <c r="AK9425">
        <v>51.542250000000003</v>
      </c>
    </row>
    <row r="9426" spans="1:37" x14ac:dyDescent="0.3">
      <c r="A9426">
        <v>9425</v>
      </c>
      <c r="B9426">
        <v>2.2000000000000002</v>
      </c>
      <c r="C9426">
        <v>12.25</v>
      </c>
      <c r="D9426">
        <v>3.76667</v>
      </c>
      <c r="E9426" t="s">
        <v>14320</v>
      </c>
      <c r="F9426" t="s">
        <v>14322</v>
      </c>
      <c r="G9426" t="s">
        <v>37</v>
      </c>
      <c r="H9426">
        <v>1990</v>
      </c>
      <c r="I9426">
        <v>24.2</v>
      </c>
      <c r="J9426">
        <v>9.3000000000000007</v>
      </c>
      <c r="K9426">
        <v>83.887320000000003</v>
      </c>
      <c r="L9426">
        <v>6.7112670000000003</v>
      </c>
      <c r="M9426">
        <v>30.31127</v>
      </c>
      <c r="N9426">
        <v>19.3</v>
      </c>
      <c r="O9426">
        <v>11.01127</v>
      </c>
      <c r="P9426">
        <v>23.8</v>
      </c>
      <c r="Q9426">
        <v>24.6</v>
      </c>
      <c r="R9426">
        <v>25</v>
      </c>
      <c r="S9426">
        <v>23.3</v>
      </c>
      <c r="T9426">
        <v>1573.3710000000001</v>
      </c>
      <c r="U9426">
        <v>285</v>
      </c>
      <c r="V9426">
        <v>18</v>
      </c>
      <c r="W9426">
        <v>63</v>
      </c>
      <c r="X9426">
        <v>651</v>
      </c>
      <c r="Y9426">
        <v>86.572180000000003</v>
      </c>
      <c r="Z9426">
        <v>334</v>
      </c>
      <c r="AA9426">
        <v>438</v>
      </c>
      <c r="AB9426">
        <v>0.9776416</v>
      </c>
      <c r="AC9426">
        <v>1.7633639999999999</v>
      </c>
      <c r="AD9426">
        <v>0.74131729999999996</v>
      </c>
      <c r="AE9426">
        <v>0.46092630000000001</v>
      </c>
      <c r="AF9426">
        <v>638.83979999999997</v>
      </c>
      <c r="AG9426">
        <f>IFERROR(AH9426*0.1, "N/A")</f>
        <v>5.2542250000000008</v>
      </c>
      <c r="AH9426">
        <v>52.542250000000003</v>
      </c>
      <c r="AI9426">
        <v>193.18049999999999</v>
      </c>
      <c r="AJ9426">
        <v>32</v>
      </c>
      <c r="AK9426">
        <v>51.542250000000003</v>
      </c>
    </row>
    <row r="9427" spans="1:37" x14ac:dyDescent="0.3">
      <c r="A9427">
        <v>9426</v>
      </c>
      <c r="B9427">
        <v>2.2000000000000002</v>
      </c>
      <c r="C9427">
        <v>12.25</v>
      </c>
      <c r="D9427">
        <v>3.76667</v>
      </c>
      <c r="E9427" t="s">
        <v>14320</v>
      </c>
      <c r="F9427" t="s">
        <v>14323</v>
      </c>
      <c r="G9427" t="s">
        <v>2420</v>
      </c>
      <c r="H9427">
        <v>1990</v>
      </c>
      <c r="I9427">
        <v>24.2</v>
      </c>
      <c r="J9427">
        <v>9.3000000000000007</v>
      </c>
      <c r="K9427">
        <v>83.887320000000003</v>
      </c>
      <c r="L9427">
        <v>6.7112670000000003</v>
      </c>
      <c r="M9427">
        <v>30.31127</v>
      </c>
      <c r="N9427">
        <v>19.3</v>
      </c>
      <c r="O9427">
        <v>11.01127</v>
      </c>
      <c r="P9427">
        <v>23.8</v>
      </c>
      <c r="Q9427">
        <v>24.6</v>
      </c>
      <c r="R9427">
        <v>25</v>
      </c>
      <c r="S9427">
        <v>23.3</v>
      </c>
      <c r="T9427">
        <v>1573.3710000000001</v>
      </c>
      <c r="U9427">
        <v>285</v>
      </c>
      <c r="V9427">
        <v>18</v>
      </c>
      <c r="W9427">
        <v>63</v>
      </c>
      <c r="X9427">
        <v>651</v>
      </c>
      <c r="Y9427">
        <v>86.572180000000003</v>
      </c>
      <c r="Z9427">
        <v>334</v>
      </c>
      <c r="AA9427">
        <v>438</v>
      </c>
      <c r="AB9427">
        <v>0.9776416</v>
      </c>
      <c r="AC9427">
        <v>1.7633639999999999</v>
      </c>
      <c r="AD9427">
        <v>0.74131729999999996</v>
      </c>
      <c r="AE9427">
        <v>0.46092630000000001</v>
      </c>
      <c r="AF9427">
        <v>638.83979999999997</v>
      </c>
      <c r="AG9427">
        <f>IFERROR(AH9427*0.1, "N/A")</f>
        <v>5.2542250000000008</v>
      </c>
      <c r="AH9427">
        <v>52.542250000000003</v>
      </c>
      <c r="AI9427">
        <v>193.18049999999999</v>
      </c>
      <c r="AJ9427">
        <v>32</v>
      </c>
      <c r="AK9427">
        <v>51.542250000000003</v>
      </c>
    </row>
    <row r="9428" spans="1:37" x14ac:dyDescent="0.3">
      <c r="A9428">
        <v>9427</v>
      </c>
      <c r="B9428">
        <v>0</v>
      </c>
      <c r="C9428">
        <v>11.85</v>
      </c>
      <c r="D9428">
        <v>3.7777799999999999</v>
      </c>
      <c r="E9428" t="s">
        <v>14324</v>
      </c>
      <c r="F9428" t="s">
        <v>14325</v>
      </c>
      <c r="G9428" t="s">
        <v>39</v>
      </c>
      <c r="H9428">
        <v>1990</v>
      </c>
      <c r="I9428">
        <v>23.878699999999998</v>
      </c>
      <c r="J9428">
        <v>9.1999999999999993</v>
      </c>
      <c r="K9428">
        <v>82.786969999999997</v>
      </c>
      <c r="L9428">
        <v>6.2114789999999998</v>
      </c>
      <c r="M9428">
        <v>29.8</v>
      </c>
      <c r="N9428">
        <v>18.778700000000001</v>
      </c>
      <c r="O9428">
        <v>11.0213</v>
      </c>
      <c r="P9428">
        <v>23.5</v>
      </c>
      <c r="Q9428">
        <v>24.278700000000001</v>
      </c>
      <c r="R9428">
        <v>24.578700000000001</v>
      </c>
      <c r="S9428">
        <v>23</v>
      </c>
      <c r="T9428">
        <v>1601.213</v>
      </c>
      <c r="U9428">
        <v>289</v>
      </c>
      <c r="V9428">
        <v>21</v>
      </c>
      <c r="W9428">
        <v>62</v>
      </c>
      <c r="X9428">
        <v>654</v>
      </c>
      <c r="Y9428">
        <v>97</v>
      </c>
      <c r="Z9428">
        <v>363</v>
      </c>
      <c r="AA9428">
        <v>417</v>
      </c>
      <c r="AB9428">
        <v>12.80438</v>
      </c>
      <c r="AC9428">
        <v>0.1021445</v>
      </c>
      <c r="AD9428">
        <v>4.6234120000000001</v>
      </c>
      <c r="AE9428">
        <v>0.18385550000000001</v>
      </c>
      <c r="AF9428">
        <v>703.17250000000001</v>
      </c>
      <c r="AG9428">
        <f>IFERROR(AH9428*0.1, "N/A")</f>
        <v>4.8910210000000003</v>
      </c>
      <c r="AH9428">
        <v>48.910209999999999</v>
      </c>
      <c r="AI9428">
        <v>159.4426</v>
      </c>
      <c r="AJ9428">
        <v>40.003520000000002</v>
      </c>
      <c r="AK9428">
        <v>49.211269999999999</v>
      </c>
    </row>
    <row r="9429" spans="1:37" x14ac:dyDescent="0.3">
      <c r="A9429">
        <v>9428</v>
      </c>
      <c r="B9429">
        <v>0</v>
      </c>
      <c r="C9429">
        <v>11.85</v>
      </c>
      <c r="D9429">
        <v>3.7777799999999999</v>
      </c>
      <c r="E9429" t="s">
        <v>14324</v>
      </c>
      <c r="F9429" t="s">
        <v>14326</v>
      </c>
      <c r="G9429" t="s">
        <v>37</v>
      </c>
      <c r="H9429">
        <v>1990</v>
      </c>
      <c r="I9429">
        <v>23.878699999999998</v>
      </c>
      <c r="J9429">
        <v>9.1999999999999993</v>
      </c>
      <c r="K9429">
        <v>82.786969999999997</v>
      </c>
      <c r="L9429">
        <v>6.2114789999999998</v>
      </c>
      <c r="M9429">
        <v>29.8</v>
      </c>
      <c r="N9429">
        <v>18.778700000000001</v>
      </c>
      <c r="O9429">
        <v>11.0213</v>
      </c>
      <c r="P9429">
        <v>23.5</v>
      </c>
      <c r="Q9429">
        <v>24.278700000000001</v>
      </c>
      <c r="R9429">
        <v>24.578700000000001</v>
      </c>
      <c r="S9429">
        <v>23</v>
      </c>
      <c r="T9429">
        <v>1601.213</v>
      </c>
      <c r="U9429">
        <v>289</v>
      </c>
      <c r="V9429">
        <v>21</v>
      </c>
      <c r="W9429">
        <v>62</v>
      </c>
      <c r="X9429">
        <v>654</v>
      </c>
      <c r="Y9429">
        <v>97</v>
      </c>
      <c r="Z9429">
        <v>363</v>
      </c>
      <c r="AA9429">
        <v>417</v>
      </c>
      <c r="AB9429">
        <v>12.80438</v>
      </c>
      <c r="AC9429">
        <v>0.1021445</v>
      </c>
      <c r="AD9429">
        <v>4.6234120000000001</v>
      </c>
      <c r="AE9429">
        <v>0.18385550000000001</v>
      </c>
      <c r="AF9429">
        <v>703.17250000000001</v>
      </c>
      <c r="AG9429">
        <f>IFERROR(AH9429*0.1, "N/A")</f>
        <v>4.8910210000000003</v>
      </c>
      <c r="AH9429">
        <v>48.910209999999999</v>
      </c>
      <c r="AI9429">
        <v>159.4426</v>
      </c>
      <c r="AJ9429">
        <v>40.003520000000002</v>
      </c>
      <c r="AK9429">
        <v>49.211269999999999</v>
      </c>
    </row>
    <row r="9430" spans="1:37" x14ac:dyDescent="0.3">
      <c r="A9430">
        <v>9429</v>
      </c>
      <c r="B9430">
        <v>2.4</v>
      </c>
      <c r="C9430">
        <v>11.85</v>
      </c>
      <c r="D9430">
        <v>3.7777799999999999</v>
      </c>
      <c r="E9430" t="s">
        <v>14324</v>
      </c>
      <c r="F9430" t="s">
        <v>14327</v>
      </c>
      <c r="G9430" t="s">
        <v>2420</v>
      </c>
      <c r="H9430">
        <v>1990</v>
      </c>
      <c r="I9430">
        <v>23.878699999999998</v>
      </c>
      <c r="J9430">
        <v>9.1999999999999993</v>
      </c>
      <c r="K9430">
        <v>82.786969999999997</v>
      </c>
      <c r="L9430">
        <v>6.2114789999999998</v>
      </c>
      <c r="M9430">
        <v>29.8</v>
      </c>
      <c r="N9430">
        <v>18.778700000000001</v>
      </c>
      <c r="O9430">
        <v>11.0213</v>
      </c>
      <c r="P9430">
        <v>23.5</v>
      </c>
      <c r="Q9430">
        <v>24.278700000000001</v>
      </c>
      <c r="R9430">
        <v>24.578700000000001</v>
      </c>
      <c r="S9430">
        <v>23</v>
      </c>
      <c r="T9430">
        <v>1601.213</v>
      </c>
      <c r="U9430">
        <v>289</v>
      </c>
      <c r="V9430">
        <v>21</v>
      </c>
      <c r="W9430">
        <v>62</v>
      </c>
      <c r="X9430">
        <v>654</v>
      </c>
      <c r="Y9430">
        <v>97</v>
      </c>
      <c r="Z9430">
        <v>363</v>
      </c>
      <c r="AA9430">
        <v>417</v>
      </c>
      <c r="AB9430">
        <v>12.80438</v>
      </c>
      <c r="AC9430">
        <v>0.1021445</v>
      </c>
      <c r="AD9430">
        <v>4.6234120000000001</v>
      </c>
      <c r="AE9430">
        <v>0.18385550000000001</v>
      </c>
      <c r="AF9430">
        <v>703.17250000000001</v>
      </c>
      <c r="AG9430">
        <f>IFERROR(AH9430*0.1, "N/A")</f>
        <v>4.8910210000000003</v>
      </c>
      <c r="AH9430">
        <v>48.910209999999999</v>
      </c>
      <c r="AI9430">
        <v>159.4426</v>
      </c>
      <c r="AJ9430">
        <v>40.003520000000002</v>
      </c>
      <c r="AK9430">
        <v>49.211269999999999</v>
      </c>
    </row>
    <row r="9431" spans="1:37" x14ac:dyDescent="0.3">
      <c r="A9431">
        <v>9430</v>
      </c>
      <c r="B9431">
        <v>0</v>
      </c>
      <c r="C9431">
        <v>11.4056</v>
      </c>
      <c r="D9431">
        <v>3.7833299999999999</v>
      </c>
      <c r="E9431" t="s">
        <v>14328</v>
      </c>
      <c r="F9431" t="s">
        <v>14329</v>
      </c>
      <c r="G9431" t="s">
        <v>39</v>
      </c>
      <c r="H9431">
        <v>1990</v>
      </c>
      <c r="I9431">
        <v>23.578420000000001</v>
      </c>
      <c r="J9431">
        <v>9</v>
      </c>
      <c r="K9431">
        <v>79.784210000000002</v>
      </c>
      <c r="L9431">
        <v>7.2455259999999999</v>
      </c>
      <c r="M9431">
        <v>29.5</v>
      </c>
      <c r="N9431">
        <v>18.278420000000001</v>
      </c>
      <c r="O9431">
        <v>11.221579999999999</v>
      </c>
      <c r="P9431">
        <v>23.078420000000001</v>
      </c>
      <c r="Q9431">
        <v>24.178419999999999</v>
      </c>
      <c r="R9431">
        <v>24.4</v>
      </c>
      <c r="S9431">
        <v>22.656839999999999</v>
      </c>
      <c r="T9431">
        <v>1705.7840000000001</v>
      </c>
      <c r="U9431">
        <v>306</v>
      </c>
      <c r="V9431">
        <v>23</v>
      </c>
      <c r="W9431">
        <v>61</v>
      </c>
      <c r="X9431">
        <v>688.78420000000006</v>
      </c>
      <c r="Y9431">
        <v>103</v>
      </c>
      <c r="Z9431">
        <v>224</v>
      </c>
      <c r="AA9431">
        <v>380.1474</v>
      </c>
      <c r="AB9431">
        <v>5.1168360000000002</v>
      </c>
      <c r="AC9431">
        <v>0.22003339999999999</v>
      </c>
      <c r="AD9431">
        <v>3.4028209999999999</v>
      </c>
      <c r="AE9431">
        <v>0.46790759999999998</v>
      </c>
      <c r="AF9431">
        <v>715.27890000000002</v>
      </c>
      <c r="AG9431">
        <f>IFERROR(AH9431*0.1, "N/A")</f>
        <v>4.9242109999999997</v>
      </c>
      <c r="AH9431">
        <v>49.242109999999997</v>
      </c>
      <c r="AI9431">
        <v>177.26740000000001</v>
      </c>
      <c r="AJ9431">
        <v>39.007019999999997</v>
      </c>
      <c r="AK9431">
        <v>48.824559999999998</v>
      </c>
    </row>
    <row r="9432" spans="1:37" x14ac:dyDescent="0.3">
      <c r="A9432">
        <v>9431</v>
      </c>
      <c r="B9432">
        <v>0</v>
      </c>
      <c r="C9432">
        <v>11.4056</v>
      </c>
      <c r="D9432">
        <v>3.7833299999999999</v>
      </c>
      <c r="E9432" t="s">
        <v>14328</v>
      </c>
      <c r="F9432" t="s">
        <v>14330</v>
      </c>
      <c r="G9432" t="s">
        <v>37</v>
      </c>
      <c r="H9432">
        <v>1990</v>
      </c>
      <c r="I9432">
        <v>23.578420000000001</v>
      </c>
      <c r="J9432">
        <v>9</v>
      </c>
      <c r="K9432">
        <v>79.784210000000002</v>
      </c>
      <c r="L9432">
        <v>7.2455259999999999</v>
      </c>
      <c r="M9432">
        <v>29.5</v>
      </c>
      <c r="N9432">
        <v>18.278420000000001</v>
      </c>
      <c r="O9432">
        <v>11.221579999999999</v>
      </c>
      <c r="P9432">
        <v>23.078420000000001</v>
      </c>
      <c r="Q9432">
        <v>24.178419999999999</v>
      </c>
      <c r="R9432">
        <v>24.4</v>
      </c>
      <c r="S9432">
        <v>22.656839999999999</v>
      </c>
      <c r="T9432">
        <v>1705.7840000000001</v>
      </c>
      <c r="U9432">
        <v>306</v>
      </c>
      <c r="V9432">
        <v>23</v>
      </c>
      <c r="W9432">
        <v>61</v>
      </c>
      <c r="X9432">
        <v>688.78420000000006</v>
      </c>
      <c r="Y9432">
        <v>103</v>
      </c>
      <c r="Z9432">
        <v>224</v>
      </c>
      <c r="AA9432">
        <v>380.1474</v>
      </c>
      <c r="AB9432">
        <v>5.1168360000000002</v>
      </c>
      <c r="AC9432">
        <v>0.22003339999999999</v>
      </c>
      <c r="AD9432">
        <v>3.4028209999999999</v>
      </c>
      <c r="AE9432">
        <v>0.46790759999999998</v>
      </c>
      <c r="AF9432">
        <v>715.27890000000002</v>
      </c>
      <c r="AG9432">
        <f>IFERROR(AH9432*0.1, "N/A")</f>
        <v>4.9242109999999997</v>
      </c>
      <c r="AH9432">
        <v>49.242109999999997</v>
      </c>
      <c r="AI9432">
        <v>177.26740000000001</v>
      </c>
      <c r="AJ9432">
        <v>39.007019999999997</v>
      </c>
      <c r="AK9432">
        <v>48.824559999999998</v>
      </c>
    </row>
    <row r="9433" spans="1:37" x14ac:dyDescent="0.3">
      <c r="A9433">
        <v>9432</v>
      </c>
      <c r="B9433">
        <v>0</v>
      </c>
      <c r="C9433">
        <v>11.4056</v>
      </c>
      <c r="D9433">
        <v>3.7833299999999999</v>
      </c>
      <c r="E9433" t="s">
        <v>14328</v>
      </c>
      <c r="F9433" t="s">
        <v>14331</v>
      </c>
      <c r="G9433" t="s">
        <v>2420</v>
      </c>
      <c r="H9433">
        <v>1990</v>
      </c>
      <c r="I9433">
        <v>23.578420000000001</v>
      </c>
      <c r="J9433">
        <v>9</v>
      </c>
      <c r="K9433">
        <v>79.784210000000002</v>
      </c>
      <c r="L9433">
        <v>7.2455259999999999</v>
      </c>
      <c r="M9433">
        <v>29.5</v>
      </c>
      <c r="N9433">
        <v>18.278420000000001</v>
      </c>
      <c r="O9433">
        <v>11.221579999999999</v>
      </c>
      <c r="P9433">
        <v>23.078420000000001</v>
      </c>
      <c r="Q9433">
        <v>24.178419999999999</v>
      </c>
      <c r="R9433">
        <v>24.4</v>
      </c>
      <c r="S9433">
        <v>22.656839999999999</v>
      </c>
      <c r="T9433">
        <v>1705.7840000000001</v>
      </c>
      <c r="U9433">
        <v>306</v>
      </c>
      <c r="V9433">
        <v>23</v>
      </c>
      <c r="W9433">
        <v>61</v>
      </c>
      <c r="X9433">
        <v>688.78420000000006</v>
      </c>
      <c r="Y9433">
        <v>103</v>
      </c>
      <c r="Z9433">
        <v>224</v>
      </c>
      <c r="AA9433">
        <v>380.1474</v>
      </c>
      <c r="AB9433">
        <v>5.1168360000000002</v>
      </c>
      <c r="AC9433">
        <v>0.22003339999999999</v>
      </c>
      <c r="AD9433">
        <v>3.4028209999999999</v>
      </c>
      <c r="AE9433">
        <v>0.46790759999999998</v>
      </c>
      <c r="AF9433">
        <v>715.27890000000002</v>
      </c>
      <c r="AG9433">
        <f>IFERROR(AH9433*0.1, "N/A")</f>
        <v>4.9242109999999997</v>
      </c>
      <c r="AH9433">
        <v>49.242109999999997</v>
      </c>
      <c r="AI9433">
        <v>177.26740000000001</v>
      </c>
      <c r="AJ9433">
        <v>39.007019999999997</v>
      </c>
      <c r="AK9433">
        <v>48.824559999999998</v>
      </c>
    </row>
    <row r="9434" spans="1:37" x14ac:dyDescent="0.3">
      <c r="A9434">
        <v>9433</v>
      </c>
      <c r="B9434">
        <v>3.4</v>
      </c>
      <c r="C9434">
        <v>10.125</v>
      </c>
      <c r="D9434">
        <v>3.8</v>
      </c>
      <c r="E9434" t="s">
        <v>14332</v>
      </c>
      <c r="F9434" t="s">
        <v>14333</v>
      </c>
      <c r="G9434" t="s">
        <v>39</v>
      </c>
      <c r="H9434">
        <v>1990</v>
      </c>
      <c r="I9434">
        <v>26.803339999999999</v>
      </c>
      <c r="J9434">
        <v>7.3</v>
      </c>
      <c r="K9434">
        <v>67.843590000000006</v>
      </c>
      <c r="L9434">
        <v>11.59197</v>
      </c>
      <c r="M9434">
        <v>32.593499999999999</v>
      </c>
      <c r="N9434">
        <v>21.90334</v>
      </c>
      <c r="O9434">
        <v>10.690160000000001</v>
      </c>
      <c r="P9434">
        <v>25.541119999999999</v>
      </c>
      <c r="Q9434">
        <v>27.81898</v>
      </c>
      <c r="R9434">
        <v>27.877859999999998</v>
      </c>
      <c r="S9434">
        <v>25.041119999999999</v>
      </c>
      <c r="T9434">
        <v>2609.4340000000002</v>
      </c>
      <c r="U9434">
        <v>462.62209999999999</v>
      </c>
      <c r="V9434">
        <v>33.632689999999997</v>
      </c>
      <c r="W9434">
        <v>61.745170000000002</v>
      </c>
      <c r="X9434">
        <v>1196.3109999999999</v>
      </c>
      <c r="Y9434">
        <v>116.6327</v>
      </c>
      <c r="Z9434">
        <v>306.99299999999999</v>
      </c>
      <c r="AA9434">
        <v>1054.4110000000001</v>
      </c>
      <c r="AB9434">
        <v>11.219860000000001</v>
      </c>
      <c r="AC9434">
        <v>3.2783680000000003E-2</v>
      </c>
      <c r="AD9434">
        <v>2.3519610000000002</v>
      </c>
      <c r="AE9434">
        <v>0.78019579999999999</v>
      </c>
      <c r="AF9434">
        <v>19.131810000000002</v>
      </c>
      <c r="AG9434">
        <f>IFERROR(AH9434*0.1, "N/A")</f>
        <v>5.041125000000001</v>
      </c>
      <c r="AH9434">
        <v>50.411250000000003</v>
      </c>
      <c r="AI9434">
        <v>219.6566</v>
      </c>
      <c r="AJ9434">
        <v>29.233740000000001</v>
      </c>
      <c r="AK9434">
        <v>54.35501</v>
      </c>
    </row>
    <row r="9435" spans="1:37" x14ac:dyDescent="0.3">
      <c r="A9435">
        <v>9434</v>
      </c>
      <c r="B9435">
        <v>2.8</v>
      </c>
      <c r="C9435">
        <v>10.125</v>
      </c>
      <c r="D9435">
        <v>3.8</v>
      </c>
      <c r="E9435" t="s">
        <v>14332</v>
      </c>
      <c r="F9435" t="s">
        <v>14334</v>
      </c>
      <c r="G9435" t="s">
        <v>37</v>
      </c>
      <c r="H9435">
        <v>1990</v>
      </c>
      <c r="I9435">
        <v>26.803339999999999</v>
      </c>
      <c r="J9435">
        <v>7.3</v>
      </c>
      <c r="K9435">
        <v>67.843590000000006</v>
      </c>
      <c r="L9435">
        <v>11.59197</v>
      </c>
      <c r="M9435">
        <v>32.593499999999999</v>
      </c>
      <c r="N9435">
        <v>21.90334</v>
      </c>
      <c r="O9435">
        <v>10.690160000000001</v>
      </c>
      <c r="P9435">
        <v>25.541119999999999</v>
      </c>
      <c r="Q9435">
        <v>27.81898</v>
      </c>
      <c r="R9435">
        <v>27.877859999999998</v>
      </c>
      <c r="S9435">
        <v>25.041119999999999</v>
      </c>
      <c r="T9435">
        <v>2609.4340000000002</v>
      </c>
      <c r="U9435">
        <v>462.62209999999999</v>
      </c>
      <c r="V9435">
        <v>33.632689999999997</v>
      </c>
      <c r="W9435">
        <v>61.745170000000002</v>
      </c>
      <c r="X9435">
        <v>1196.3109999999999</v>
      </c>
      <c r="Y9435">
        <v>116.6327</v>
      </c>
      <c r="Z9435">
        <v>306.99299999999999</v>
      </c>
      <c r="AA9435">
        <v>1054.4110000000001</v>
      </c>
      <c r="AB9435">
        <v>11.219860000000001</v>
      </c>
      <c r="AC9435">
        <v>3.2783680000000003E-2</v>
      </c>
      <c r="AD9435">
        <v>2.3519610000000002</v>
      </c>
      <c r="AE9435">
        <v>0.78019579999999999</v>
      </c>
      <c r="AF9435">
        <v>19.131810000000002</v>
      </c>
      <c r="AG9435">
        <f>IFERROR(AH9435*0.1, "N/A")</f>
        <v>5.041125000000001</v>
      </c>
      <c r="AH9435">
        <v>50.411250000000003</v>
      </c>
      <c r="AI9435">
        <v>219.6566</v>
      </c>
      <c r="AJ9435">
        <v>29.233740000000001</v>
      </c>
      <c r="AK9435">
        <v>54.35501</v>
      </c>
    </row>
    <row r="9436" spans="1:37" x14ac:dyDescent="0.3">
      <c r="A9436">
        <v>9435</v>
      </c>
      <c r="B9436">
        <v>22.2</v>
      </c>
      <c r="C9436">
        <v>10.125</v>
      </c>
      <c r="D9436">
        <v>3.8</v>
      </c>
      <c r="E9436" t="s">
        <v>14332</v>
      </c>
      <c r="F9436" t="s">
        <v>14335</v>
      </c>
      <c r="G9436" t="s">
        <v>2420</v>
      </c>
      <c r="H9436">
        <v>1990</v>
      </c>
      <c r="I9436">
        <v>26.803339999999999</v>
      </c>
      <c r="J9436">
        <v>7.3</v>
      </c>
      <c r="K9436">
        <v>67.843590000000006</v>
      </c>
      <c r="L9436">
        <v>11.59197</v>
      </c>
      <c r="M9436">
        <v>32.593499999999999</v>
      </c>
      <c r="N9436">
        <v>21.90334</v>
      </c>
      <c r="O9436">
        <v>10.690160000000001</v>
      </c>
      <c r="P9436">
        <v>25.541119999999999</v>
      </c>
      <c r="Q9436">
        <v>27.81898</v>
      </c>
      <c r="R9436">
        <v>27.877859999999998</v>
      </c>
      <c r="S9436">
        <v>25.041119999999999</v>
      </c>
      <c r="T9436">
        <v>2609.4340000000002</v>
      </c>
      <c r="U9436">
        <v>462.62209999999999</v>
      </c>
      <c r="V9436">
        <v>33.632689999999997</v>
      </c>
      <c r="W9436">
        <v>61.745170000000002</v>
      </c>
      <c r="X9436">
        <v>1196.3109999999999</v>
      </c>
      <c r="Y9436">
        <v>116.6327</v>
      </c>
      <c r="Z9436">
        <v>306.99299999999999</v>
      </c>
      <c r="AA9436">
        <v>1054.4110000000001</v>
      </c>
      <c r="AB9436">
        <v>11.219860000000001</v>
      </c>
      <c r="AC9436">
        <v>3.2783680000000003E-2</v>
      </c>
      <c r="AD9436">
        <v>2.3519610000000002</v>
      </c>
      <c r="AE9436">
        <v>0.78019579999999999</v>
      </c>
      <c r="AF9436">
        <v>19.131810000000002</v>
      </c>
      <c r="AG9436">
        <f>IFERROR(AH9436*0.1, "N/A")</f>
        <v>5.041125000000001</v>
      </c>
      <c r="AH9436">
        <v>50.411250000000003</v>
      </c>
      <c r="AI9436">
        <v>219.6566</v>
      </c>
      <c r="AJ9436">
        <v>29.233740000000001</v>
      </c>
      <c r="AK9436">
        <v>54.35501</v>
      </c>
    </row>
    <row r="9437" spans="1:37" x14ac:dyDescent="0.3">
      <c r="A9437">
        <v>9436</v>
      </c>
      <c r="B9437">
        <v>0</v>
      </c>
      <c r="C9437">
        <v>12.3</v>
      </c>
      <c r="D9437">
        <v>3.8</v>
      </c>
      <c r="E9437" t="s">
        <v>14336</v>
      </c>
      <c r="F9437" t="s">
        <v>14337</v>
      </c>
      <c r="G9437" t="s">
        <v>39</v>
      </c>
      <c r="H9437">
        <v>1990</v>
      </c>
      <c r="I9437">
        <v>24.12032</v>
      </c>
      <c r="J9437">
        <v>9.3000000000000007</v>
      </c>
      <c r="K9437">
        <v>83</v>
      </c>
      <c r="L9437">
        <v>6.4233099999999999</v>
      </c>
      <c r="M9437">
        <v>30.22907</v>
      </c>
      <c r="N9437">
        <v>19.129069999999999</v>
      </c>
      <c r="O9437">
        <v>11.1</v>
      </c>
      <c r="P9437">
        <v>23.72907</v>
      </c>
      <c r="Q9437">
        <v>24.429069999999999</v>
      </c>
      <c r="R9437">
        <v>24.829070000000002</v>
      </c>
      <c r="S9437">
        <v>23.220320000000001</v>
      </c>
      <c r="T9437">
        <v>1574</v>
      </c>
      <c r="U9437">
        <v>286</v>
      </c>
      <c r="V9437">
        <v>18</v>
      </c>
      <c r="W9437">
        <v>63</v>
      </c>
      <c r="X9437">
        <v>650</v>
      </c>
      <c r="Y9437">
        <v>87</v>
      </c>
      <c r="Z9437">
        <v>333</v>
      </c>
      <c r="AA9437">
        <v>440.70929999999998</v>
      </c>
      <c r="AB9437">
        <v>1.9096359999999999</v>
      </c>
      <c r="AC9437">
        <v>0.38482499999999997</v>
      </c>
      <c r="AD9437">
        <v>2.9701379999999999</v>
      </c>
      <c r="AE9437">
        <v>0.2076482</v>
      </c>
      <c r="AF9437">
        <v>665.75130000000001</v>
      </c>
      <c r="AG9437">
        <f>IFERROR(AH9437*0.1, "N/A")</f>
        <v>5</v>
      </c>
      <c r="AH9437">
        <v>50</v>
      </c>
      <c r="AI9437">
        <v>142.6902</v>
      </c>
      <c r="AJ9437">
        <v>35.255690000000001</v>
      </c>
      <c r="AK9437">
        <v>52.744309999999999</v>
      </c>
    </row>
    <row r="9438" spans="1:37" x14ac:dyDescent="0.3">
      <c r="A9438">
        <v>9437</v>
      </c>
      <c r="B9438">
        <v>0</v>
      </c>
      <c r="C9438">
        <v>12.3</v>
      </c>
      <c r="D9438">
        <v>3.8</v>
      </c>
      <c r="E9438" t="s">
        <v>14336</v>
      </c>
      <c r="F9438" t="s">
        <v>14338</v>
      </c>
      <c r="G9438" t="s">
        <v>37</v>
      </c>
      <c r="H9438">
        <v>1990</v>
      </c>
      <c r="I9438">
        <v>24.12032</v>
      </c>
      <c r="J9438">
        <v>9.3000000000000007</v>
      </c>
      <c r="K9438">
        <v>83</v>
      </c>
      <c r="L9438">
        <v>6.4233099999999999</v>
      </c>
      <c r="M9438">
        <v>30.22907</v>
      </c>
      <c r="N9438">
        <v>19.129069999999999</v>
      </c>
      <c r="O9438">
        <v>11.1</v>
      </c>
      <c r="P9438">
        <v>23.72907</v>
      </c>
      <c r="Q9438">
        <v>24.429069999999999</v>
      </c>
      <c r="R9438">
        <v>24.829070000000002</v>
      </c>
      <c r="S9438">
        <v>23.220320000000001</v>
      </c>
      <c r="T9438">
        <v>1574</v>
      </c>
      <c r="U9438">
        <v>286</v>
      </c>
      <c r="V9438">
        <v>18</v>
      </c>
      <c r="W9438">
        <v>63</v>
      </c>
      <c r="X9438">
        <v>650</v>
      </c>
      <c r="Y9438">
        <v>87</v>
      </c>
      <c r="Z9438">
        <v>333</v>
      </c>
      <c r="AA9438">
        <v>440.70929999999998</v>
      </c>
      <c r="AB9438">
        <v>1.9096359999999999</v>
      </c>
      <c r="AC9438">
        <v>0.38482499999999997</v>
      </c>
      <c r="AD9438">
        <v>2.9701379999999999</v>
      </c>
      <c r="AE9438">
        <v>0.2076482</v>
      </c>
      <c r="AF9438">
        <v>665.75130000000001</v>
      </c>
      <c r="AG9438">
        <f>IFERROR(AH9438*0.1, "N/A")</f>
        <v>5</v>
      </c>
      <c r="AH9438">
        <v>50</v>
      </c>
      <c r="AI9438">
        <v>142.6902</v>
      </c>
      <c r="AJ9438">
        <v>35.255690000000001</v>
      </c>
      <c r="AK9438">
        <v>52.744309999999999</v>
      </c>
    </row>
    <row r="9439" spans="1:37" x14ac:dyDescent="0.3">
      <c r="A9439">
        <v>9438</v>
      </c>
      <c r="B9439">
        <v>0</v>
      </c>
      <c r="C9439">
        <v>12.3</v>
      </c>
      <c r="D9439">
        <v>3.8</v>
      </c>
      <c r="E9439" t="s">
        <v>14336</v>
      </c>
      <c r="F9439" t="s">
        <v>14339</v>
      </c>
      <c r="G9439" t="s">
        <v>2420</v>
      </c>
      <c r="H9439">
        <v>1990</v>
      </c>
      <c r="I9439">
        <v>24.12032</v>
      </c>
      <c r="J9439">
        <v>9.3000000000000007</v>
      </c>
      <c r="K9439">
        <v>83</v>
      </c>
      <c r="L9439">
        <v>6.4233099999999999</v>
      </c>
      <c r="M9439">
        <v>30.22907</v>
      </c>
      <c r="N9439">
        <v>19.129069999999999</v>
      </c>
      <c r="O9439">
        <v>11.1</v>
      </c>
      <c r="P9439">
        <v>23.72907</v>
      </c>
      <c r="Q9439">
        <v>24.429069999999999</v>
      </c>
      <c r="R9439">
        <v>24.829070000000002</v>
      </c>
      <c r="S9439">
        <v>23.220320000000001</v>
      </c>
      <c r="T9439">
        <v>1574</v>
      </c>
      <c r="U9439">
        <v>286</v>
      </c>
      <c r="V9439">
        <v>18</v>
      </c>
      <c r="W9439">
        <v>63</v>
      </c>
      <c r="X9439">
        <v>650</v>
      </c>
      <c r="Y9439">
        <v>87</v>
      </c>
      <c r="Z9439">
        <v>333</v>
      </c>
      <c r="AA9439">
        <v>440.70929999999998</v>
      </c>
      <c r="AB9439">
        <v>1.9096359999999999</v>
      </c>
      <c r="AC9439">
        <v>0.38482499999999997</v>
      </c>
      <c r="AD9439">
        <v>2.9701379999999999</v>
      </c>
      <c r="AE9439">
        <v>0.2076482</v>
      </c>
      <c r="AF9439">
        <v>665.75130000000001</v>
      </c>
      <c r="AG9439">
        <f>IFERROR(AH9439*0.1, "N/A")</f>
        <v>5</v>
      </c>
      <c r="AH9439">
        <v>50</v>
      </c>
      <c r="AI9439">
        <v>142.6902</v>
      </c>
      <c r="AJ9439">
        <v>35.255690000000001</v>
      </c>
      <c r="AK9439">
        <v>52.744309999999999</v>
      </c>
    </row>
    <row r="9440" spans="1:37" x14ac:dyDescent="0.3">
      <c r="A9440">
        <v>9439</v>
      </c>
      <c r="B9440">
        <v>0</v>
      </c>
      <c r="C9440">
        <v>11.466699999999999</v>
      </c>
      <c r="D9440">
        <v>3.8</v>
      </c>
      <c r="E9440" t="s">
        <v>14340</v>
      </c>
      <c r="F9440" t="s">
        <v>14341</v>
      </c>
      <c r="G9440" t="s">
        <v>39</v>
      </c>
      <c r="H9440">
        <v>1990</v>
      </c>
      <c r="I9440">
        <v>23.747710000000001</v>
      </c>
      <c r="J9440">
        <v>9</v>
      </c>
      <c r="K9440">
        <v>80.468310000000002</v>
      </c>
      <c r="L9440">
        <v>7.0050530000000002</v>
      </c>
      <c r="M9440">
        <v>29.691020000000002</v>
      </c>
      <c r="N9440">
        <v>18.537849999999999</v>
      </c>
      <c r="O9440">
        <v>11.153169999999999</v>
      </c>
      <c r="P9440">
        <v>23.27835</v>
      </c>
      <c r="Q9440">
        <v>24.375699999999998</v>
      </c>
      <c r="R9440">
        <v>24.575700000000001</v>
      </c>
      <c r="S9440">
        <v>22.83785</v>
      </c>
      <c r="T9440">
        <v>1673.6320000000001</v>
      </c>
      <c r="U9440">
        <v>301.84679999999997</v>
      </c>
      <c r="V9440">
        <v>23</v>
      </c>
      <c r="W9440">
        <v>61.098590000000002</v>
      </c>
      <c r="X9440">
        <v>677.22540000000004</v>
      </c>
      <c r="Y9440">
        <v>101</v>
      </c>
      <c r="Z9440">
        <v>221</v>
      </c>
      <c r="AA9440">
        <v>425.55810000000002</v>
      </c>
      <c r="AB9440">
        <v>30.257359999999998</v>
      </c>
      <c r="AC9440">
        <v>1.453609E-2</v>
      </c>
      <c r="AD9440">
        <v>3.0427080000000002</v>
      </c>
      <c r="AE9440">
        <v>0.74428519999999998</v>
      </c>
      <c r="AF9440">
        <v>707.11969999999997</v>
      </c>
      <c r="AG9440">
        <f>IFERROR(AH9440*0.1, "N/A")</f>
        <v>5.1000000000000005</v>
      </c>
      <c r="AH9440">
        <v>51</v>
      </c>
      <c r="AI9440">
        <v>131.7568</v>
      </c>
      <c r="AJ9440">
        <v>35.251759999999997</v>
      </c>
      <c r="AK9440">
        <v>52.748240000000003</v>
      </c>
    </row>
    <row r="9441" spans="1:37" x14ac:dyDescent="0.3">
      <c r="A9441">
        <v>9440</v>
      </c>
      <c r="B9441">
        <v>11.5</v>
      </c>
      <c r="C9441">
        <v>11.466699999999999</v>
      </c>
      <c r="D9441">
        <v>3.8</v>
      </c>
      <c r="E9441" t="s">
        <v>14340</v>
      </c>
      <c r="F9441" t="s">
        <v>14342</v>
      </c>
      <c r="G9441" t="s">
        <v>37</v>
      </c>
      <c r="H9441">
        <v>1990</v>
      </c>
      <c r="I9441">
        <v>23.747710000000001</v>
      </c>
      <c r="J9441">
        <v>9</v>
      </c>
      <c r="K9441">
        <v>80.468310000000002</v>
      </c>
      <c r="L9441">
        <v>7.0050530000000002</v>
      </c>
      <c r="M9441">
        <v>29.691020000000002</v>
      </c>
      <c r="N9441">
        <v>18.537849999999999</v>
      </c>
      <c r="O9441">
        <v>11.153169999999999</v>
      </c>
      <c r="P9441">
        <v>23.27835</v>
      </c>
      <c r="Q9441">
        <v>24.375699999999998</v>
      </c>
      <c r="R9441">
        <v>24.575700000000001</v>
      </c>
      <c r="S9441">
        <v>22.83785</v>
      </c>
      <c r="T9441">
        <v>1673.6320000000001</v>
      </c>
      <c r="U9441">
        <v>301.84679999999997</v>
      </c>
      <c r="V9441">
        <v>23</v>
      </c>
      <c r="W9441">
        <v>61.098590000000002</v>
      </c>
      <c r="X9441">
        <v>677.22540000000004</v>
      </c>
      <c r="Y9441">
        <v>101</v>
      </c>
      <c r="Z9441">
        <v>221</v>
      </c>
      <c r="AA9441">
        <v>425.55810000000002</v>
      </c>
      <c r="AB9441">
        <v>30.257359999999998</v>
      </c>
      <c r="AC9441">
        <v>1.453609E-2</v>
      </c>
      <c r="AD9441">
        <v>3.0427080000000002</v>
      </c>
      <c r="AE9441">
        <v>0.74428519999999998</v>
      </c>
      <c r="AF9441">
        <v>707.11969999999997</v>
      </c>
      <c r="AG9441">
        <f>IFERROR(AH9441*0.1, "N/A")</f>
        <v>5.1000000000000005</v>
      </c>
      <c r="AH9441">
        <v>51</v>
      </c>
      <c r="AI9441">
        <v>131.7568</v>
      </c>
      <c r="AJ9441">
        <v>35.251759999999997</v>
      </c>
      <c r="AK9441">
        <v>52.748240000000003</v>
      </c>
    </row>
    <row r="9442" spans="1:37" x14ac:dyDescent="0.3">
      <c r="A9442">
        <v>9441</v>
      </c>
      <c r="B9442">
        <v>0</v>
      </c>
      <c r="C9442">
        <v>11.466699999999999</v>
      </c>
      <c r="D9442">
        <v>3.8</v>
      </c>
      <c r="E9442" t="s">
        <v>14340</v>
      </c>
      <c r="F9442" t="s">
        <v>14343</v>
      </c>
      <c r="G9442" t="s">
        <v>2420</v>
      </c>
      <c r="H9442">
        <v>1990</v>
      </c>
      <c r="I9442">
        <v>23.747710000000001</v>
      </c>
      <c r="J9442">
        <v>9</v>
      </c>
      <c r="K9442">
        <v>80.468310000000002</v>
      </c>
      <c r="L9442">
        <v>7.0050530000000002</v>
      </c>
      <c r="M9442">
        <v>29.691020000000002</v>
      </c>
      <c r="N9442">
        <v>18.537849999999999</v>
      </c>
      <c r="O9442">
        <v>11.153169999999999</v>
      </c>
      <c r="P9442">
        <v>23.27835</v>
      </c>
      <c r="Q9442">
        <v>24.375699999999998</v>
      </c>
      <c r="R9442">
        <v>24.575700000000001</v>
      </c>
      <c r="S9442">
        <v>22.83785</v>
      </c>
      <c r="T9442">
        <v>1673.6320000000001</v>
      </c>
      <c r="U9442">
        <v>301.84679999999997</v>
      </c>
      <c r="V9442">
        <v>23</v>
      </c>
      <c r="W9442">
        <v>61.098590000000002</v>
      </c>
      <c r="X9442">
        <v>677.22540000000004</v>
      </c>
      <c r="Y9442">
        <v>101</v>
      </c>
      <c r="Z9442">
        <v>221</v>
      </c>
      <c r="AA9442">
        <v>425.55810000000002</v>
      </c>
      <c r="AB9442">
        <v>30.257359999999998</v>
      </c>
      <c r="AC9442">
        <v>1.453609E-2</v>
      </c>
      <c r="AD9442">
        <v>3.0427080000000002</v>
      </c>
      <c r="AE9442">
        <v>0.74428519999999998</v>
      </c>
      <c r="AF9442">
        <v>707.11969999999997</v>
      </c>
      <c r="AG9442">
        <f>IFERROR(AH9442*0.1, "N/A")</f>
        <v>5.1000000000000005</v>
      </c>
      <c r="AH9442">
        <v>51</v>
      </c>
      <c r="AI9442">
        <v>131.7568</v>
      </c>
      <c r="AJ9442">
        <v>35.251759999999997</v>
      </c>
      <c r="AK9442">
        <v>52.748240000000003</v>
      </c>
    </row>
    <row r="9443" spans="1:37" x14ac:dyDescent="0.3">
      <c r="A9443">
        <v>9442</v>
      </c>
      <c r="B9443">
        <v>0</v>
      </c>
      <c r="C9443">
        <v>11.066700000000001</v>
      </c>
      <c r="D9443">
        <v>3.8166699999999998</v>
      </c>
      <c r="E9443" t="s">
        <v>14344</v>
      </c>
      <c r="F9443" t="s">
        <v>14345</v>
      </c>
      <c r="G9443" t="s">
        <v>39</v>
      </c>
      <c r="H9443">
        <v>1990</v>
      </c>
      <c r="I9443">
        <v>23.90699</v>
      </c>
      <c r="J9443">
        <v>8.6</v>
      </c>
      <c r="K9443">
        <v>73.744759999999999</v>
      </c>
      <c r="L9443">
        <v>9.659948</v>
      </c>
      <c r="M9443">
        <v>30.10699</v>
      </c>
      <c r="N9443">
        <v>18.481470000000002</v>
      </c>
      <c r="O9443">
        <v>11.62552</v>
      </c>
      <c r="P9443">
        <v>22.865559999999999</v>
      </c>
      <c r="Q9443">
        <v>24.806989999999999</v>
      </c>
      <c r="R9443">
        <v>25.006989999999998</v>
      </c>
      <c r="S9443">
        <v>22.581469999999999</v>
      </c>
      <c r="T9443">
        <v>1918.664</v>
      </c>
      <c r="U9443">
        <v>332.63639999999998</v>
      </c>
      <c r="V9443">
        <v>22.554200000000002</v>
      </c>
      <c r="W9443">
        <v>61</v>
      </c>
      <c r="X9443">
        <v>812.63459999999998</v>
      </c>
      <c r="Y9443">
        <v>98.821680000000001</v>
      </c>
      <c r="Z9443">
        <v>225.82169999999999</v>
      </c>
      <c r="AA9443">
        <v>590.55240000000003</v>
      </c>
      <c r="AB9443">
        <v>66.180199999999999</v>
      </c>
      <c r="AC9443">
        <v>2.4156360000000002E-2</v>
      </c>
      <c r="AD9443">
        <v>19.872029999999999</v>
      </c>
      <c r="AE9443">
        <v>0.16941049999999999</v>
      </c>
      <c r="AF9443">
        <v>636.19410000000005</v>
      </c>
      <c r="AG9443">
        <f>IFERROR(AH9443*0.1, "N/A")</f>
        <v>4.8487760000000009</v>
      </c>
      <c r="AH9443">
        <v>48.487760000000002</v>
      </c>
      <c r="AI9443">
        <v>327.41210000000001</v>
      </c>
      <c r="AJ9443">
        <v>41.662590000000002</v>
      </c>
      <c r="AK9443">
        <v>45.337409999999998</v>
      </c>
    </row>
    <row r="9444" spans="1:37" x14ac:dyDescent="0.3">
      <c r="A9444">
        <v>9443</v>
      </c>
      <c r="B9444">
        <v>6.2</v>
      </c>
      <c r="C9444">
        <v>11.066700000000001</v>
      </c>
      <c r="D9444">
        <v>3.8166699999999998</v>
      </c>
      <c r="E9444" t="s">
        <v>14344</v>
      </c>
      <c r="F9444" t="s">
        <v>14346</v>
      </c>
      <c r="G9444" t="s">
        <v>37</v>
      </c>
      <c r="H9444">
        <v>1990</v>
      </c>
      <c r="I9444">
        <v>23.90699</v>
      </c>
      <c r="J9444">
        <v>8.6</v>
      </c>
      <c r="K9444">
        <v>73.744759999999999</v>
      </c>
      <c r="L9444">
        <v>9.659948</v>
      </c>
      <c r="M9444">
        <v>30.10699</v>
      </c>
      <c r="N9444">
        <v>18.481470000000002</v>
      </c>
      <c r="O9444">
        <v>11.62552</v>
      </c>
      <c r="P9444">
        <v>22.865559999999999</v>
      </c>
      <c r="Q9444">
        <v>24.806989999999999</v>
      </c>
      <c r="R9444">
        <v>25.006989999999998</v>
      </c>
      <c r="S9444">
        <v>22.581469999999999</v>
      </c>
      <c r="T9444">
        <v>1918.664</v>
      </c>
      <c r="U9444">
        <v>332.63639999999998</v>
      </c>
      <c r="V9444">
        <v>22.554200000000002</v>
      </c>
      <c r="W9444">
        <v>61</v>
      </c>
      <c r="X9444">
        <v>812.63459999999998</v>
      </c>
      <c r="Y9444">
        <v>98.821680000000001</v>
      </c>
      <c r="Z9444">
        <v>225.82169999999999</v>
      </c>
      <c r="AA9444">
        <v>590.55240000000003</v>
      </c>
      <c r="AB9444">
        <v>66.180199999999999</v>
      </c>
      <c r="AC9444">
        <v>2.4156360000000002E-2</v>
      </c>
      <c r="AD9444">
        <v>19.872029999999999</v>
      </c>
      <c r="AE9444">
        <v>0.16941049999999999</v>
      </c>
      <c r="AF9444">
        <v>636.19410000000005</v>
      </c>
      <c r="AG9444">
        <f>IFERROR(AH9444*0.1, "N/A")</f>
        <v>4.8487760000000009</v>
      </c>
      <c r="AH9444">
        <v>48.487760000000002</v>
      </c>
      <c r="AI9444">
        <v>327.41210000000001</v>
      </c>
      <c r="AJ9444">
        <v>41.662590000000002</v>
      </c>
      <c r="AK9444">
        <v>45.337409999999998</v>
      </c>
    </row>
    <row r="9445" spans="1:37" x14ac:dyDescent="0.3">
      <c r="A9445">
        <v>9444</v>
      </c>
      <c r="B9445">
        <v>0</v>
      </c>
      <c r="C9445">
        <v>11.066700000000001</v>
      </c>
      <c r="D9445">
        <v>3.8166699999999998</v>
      </c>
      <c r="E9445" t="s">
        <v>14344</v>
      </c>
      <c r="F9445" t="s">
        <v>14347</v>
      </c>
      <c r="G9445" t="s">
        <v>2420</v>
      </c>
      <c r="H9445">
        <v>1990</v>
      </c>
      <c r="I9445">
        <v>23.90699</v>
      </c>
      <c r="J9445">
        <v>8.6</v>
      </c>
      <c r="K9445">
        <v>73.744759999999999</v>
      </c>
      <c r="L9445">
        <v>9.659948</v>
      </c>
      <c r="M9445">
        <v>30.10699</v>
      </c>
      <c r="N9445">
        <v>18.481470000000002</v>
      </c>
      <c r="O9445">
        <v>11.62552</v>
      </c>
      <c r="P9445">
        <v>22.865559999999999</v>
      </c>
      <c r="Q9445">
        <v>24.806989999999999</v>
      </c>
      <c r="R9445">
        <v>25.006989999999998</v>
      </c>
      <c r="S9445">
        <v>22.581469999999999</v>
      </c>
      <c r="T9445">
        <v>1918.664</v>
      </c>
      <c r="U9445">
        <v>332.63639999999998</v>
      </c>
      <c r="V9445">
        <v>22.554200000000002</v>
      </c>
      <c r="W9445">
        <v>61</v>
      </c>
      <c r="X9445">
        <v>812.63459999999998</v>
      </c>
      <c r="Y9445">
        <v>98.821680000000001</v>
      </c>
      <c r="Z9445">
        <v>225.82169999999999</v>
      </c>
      <c r="AA9445">
        <v>590.55240000000003</v>
      </c>
      <c r="AB9445">
        <v>66.180199999999999</v>
      </c>
      <c r="AC9445">
        <v>2.4156360000000002E-2</v>
      </c>
      <c r="AD9445">
        <v>19.872029999999999</v>
      </c>
      <c r="AE9445">
        <v>0.16941049999999999</v>
      </c>
      <c r="AF9445">
        <v>636.19410000000005</v>
      </c>
      <c r="AG9445">
        <f>IFERROR(AH9445*0.1, "N/A")</f>
        <v>4.8487760000000009</v>
      </c>
      <c r="AH9445">
        <v>48.487760000000002</v>
      </c>
      <c r="AI9445">
        <v>327.41210000000001</v>
      </c>
      <c r="AJ9445">
        <v>41.662590000000002</v>
      </c>
      <c r="AK9445">
        <v>45.337409999999998</v>
      </c>
    </row>
    <row r="9446" spans="1:37" x14ac:dyDescent="0.3">
      <c r="A9446">
        <v>9445</v>
      </c>
      <c r="B9446">
        <v>7.1</v>
      </c>
      <c r="C9446">
        <v>12.7361</v>
      </c>
      <c r="D9446">
        <v>3.8250000000000002</v>
      </c>
      <c r="E9446" t="s">
        <v>14348</v>
      </c>
      <c r="F9446" t="s">
        <v>14349</v>
      </c>
      <c r="G9446" t="s">
        <v>39</v>
      </c>
      <c r="H9446">
        <v>1990</v>
      </c>
      <c r="I9446">
        <v>23.55096</v>
      </c>
      <c r="J9446">
        <v>9.5</v>
      </c>
      <c r="K9446">
        <v>82</v>
      </c>
      <c r="L9446">
        <v>6.2807709999999997</v>
      </c>
      <c r="M9446">
        <v>29.750959999999999</v>
      </c>
      <c r="N9446">
        <v>18.250959999999999</v>
      </c>
      <c r="O9446">
        <v>11.5</v>
      </c>
      <c r="P9446">
        <v>23</v>
      </c>
      <c r="Q9446">
        <v>23.650960000000001</v>
      </c>
      <c r="R9446">
        <v>24.3</v>
      </c>
      <c r="S9446">
        <v>22.7</v>
      </c>
      <c r="T9446">
        <v>1601.51</v>
      </c>
      <c r="U9446">
        <v>292</v>
      </c>
      <c r="V9446">
        <v>20.509630000000001</v>
      </c>
      <c r="W9446">
        <v>61</v>
      </c>
      <c r="X9446">
        <v>657</v>
      </c>
      <c r="Y9446">
        <v>94.509630000000001</v>
      </c>
      <c r="Z9446">
        <v>333</v>
      </c>
      <c r="AA9446">
        <v>458</v>
      </c>
      <c r="AB9446">
        <v>13.44501</v>
      </c>
      <c r="AC9446">
        <v>2.0374469999999999E-2</v>
      </c>
      <c r="AD9446">
        <v>3.410577</v>
      </c>
      <c r="AE9446">
        <v>0.1017479</v>
      </c>
      <c r="AF9446">
        <v>677.1979</v>
      </c>
      <c r="AG9446">
        <f>IFERROR(AH9446*0.1, "N/A")</f>
        <v>5</v>
      </c>
      <c r="AH9446">
        <v>50</v>
      </c>
      <c r="AI9446">
        <v>173.1925</v>
      </c>
      <c r="AJ9446">
        <v>36.943959999999997</v>
      </c>
      <c r="AK9446">
        <v>55</v>
      </c>
    </row>
    <row r="9447" spans="1:37" x14ac:dyDescent="0.3">
      <c r="A9447">
        <v>9446</v>
      </c>
      <c r="B9447">
        <v>0</v>
      </c>
      <c r="C9447">
        <v>12.7361</v>
      </c>
      <c r="D9447">
        <v>3.8250000000000002</v>
      </c>
      <c r="E9447" t="s">
        <v>14348</v>
      </c>
      <c r="F9447" t="s">
        <v>14350</v>
      </c>
      <c r="G9447" t="s">
        <v>37</v>
      </c>
      <c r="H9447">
        <v>1990</v>
      </c>
      <c r="I9447">
        <v>23.55096</v>
      </c>
      <c r="J9447">
        <v>9.5</v>
      </c>
      <c r="K9447">
        <v>82</v>
      </c>
      <c r="L9447">
        <v>6.2807709999999997</v>
      </c>
      <c r="M9447">
        <v>29.750959999999999</v>
      </c>
      <c r="N9447">
        <v>18.250959999999999</v>
      </c>
      <c r="O9447">
        <v>11.5</v>
      </c>
      <c r="P9447">
        <v>23</v>
      </c>
      <c r="Q9447">
        <v>23.650960000000001</v>
      </c>
      <c r="R9447">
        <v>24.3</v>
      </c>
      <c r="S9447">
        <v>22.7</v>
      </c>
      <c r="T9447">
        <v>1601.51</v>
      </c>
      <c r="U9447">
        <v>292</v>
      </c>
      <c r="V9447">
        <v>20.509630000000001</v>
      </c>
      <c r="W9447">
        <v>61</v>
      </c>
      <c r="X9447">
        <v>657</v>
      </c>
      <c r="Y9447">
        <v>94.509630000000001</v>
      </c>
      <c r="Z9447">
        <v>333</v>
      </c>
      <c r="AA9447">
        <v>458</v>
      </c>
      <c r="AB9447">
        <v>13.44501</v>
      </c>
      <c r="AC9447">
        <v>2.0374469999999999E-2</v>
      </c>
      <c r="AD9447">
        <v>3.410577</v>
      </c>
      <c r="AE9447">
        <v>0.1017479</v>
      </c>
      <c r="AF9447">
        <v>677.1979</v>
      </c>
      <c r="AG9447">
        <f>IFERROR(AH9447*0.1, "N/A")</f>
        <v>5</v>
      </c>
      <c r="AH9447">
        <v>50</v>
      </c>
      <c r="AI9447">
        <v>173.1925</v>
      </c>
      <c r="AJ9447">
        <v>36.943959999999997</v>
      </c>
      <c r="AK9447">
        <v>55</v>
      </c>
    </row>
    <row r="9448" spans="1:37" x14ac:dyDescent="0.3">
      <c r="A9448">
        <v>9447</v>
      </c>
      <c r="B9448">
        <v>0</v>
      </c>
      <c r="C9448">
        <v>12.7361</v>
      </c>
      <c r="D9448">
        <v>3.8250000000000002</v>
      </c>
      <c r="E9448" t="s">
        <v>14348</v>
      </c>
      <c r="F9448" t="s">
        <v>14351</v>
      </c>
      <c r="G9448" t="s">
        <v>2420</v>
      </c>
      <c r="H9448">
        <v>1990</v>
      </c>
      <c r="I9448">
        <v>23.55096</v>
      </c>
      <c r="J9448">
        <v>9.5</v>
      </c>
      <c r="K9448">
        <v>82</v>
      </c>
      <c r="L9448">
        <v>6.2807709999999997</v>
      </c>
      <c r="M9448">
        <v>29.750959999999999</v>
      </c>
      <c r="N9448">
        <v>18.250959999999999</v>
      </c>
      <c r="O9448">
        <v>11.5</v>
      </c>
      <c r="P9448">
        <v>23</v>
      </c>
      <c r="Q9448">
        <v>23.650960000000001</v>
      </c>
      <c r="R9448">
        <v>24.3</v>
      </c>
      <c r="S9448">
        <v>22.7</v>
      </c>
      <c r="T9448">
        <v>1601.51</v>
      </c>
      <c r="U9448">
        <v>292</v>
      </c>
      <c r="V9448">
        <v>20.509630000000001</v>
      </c>
      <c r="W9448">
        <v>61</v>
      </c>
      <c r="X9448">
        <v>657</v>
      </c>
      <c r="Y9448">
        <v>94.509630000000001</v>
      </c>
      <c r="Z9448">
        <v>333</v>
      </c>
      <c r="AA9448">
        <v>458</v>
      </c>
      <c r="AB9448">
        <v>13.44501</v>
      </c>
      <c r="AC9448">
        <v>2.0374469999999999E-2</v>
      </c>
      <c r="AD9448">
        <v>3.410577</v>
      </c>
      <c r="AE9448">
        <v>0.1017479</v>
      </c>
      <c r="AF9448">
        <v>677.1979</v>
      </c>
      <c r="AG9448">
        <f>IFERROR(AH9448*0.1, "N/A")</f>
        <v>5</v>
      </c>
      <c r="AH9448">
        <v>50</v>
      </c>
      <c r="AI9448">
        <v>173.1925</v>
      </c>
      <c r="AJ9448">
        <v>36.943959999999997</v>
      </c>
      <c r="AK9448">
        <v>55</v>
      </c>
    </row>
    <row r="9449" spans="1:37" x14ac:dyDescent="0.3">
      <c r="A9449">
        <v>9448</v>
      </c>
      <c r="B9449">
        <v>0</v>
      </c>
      <c r="C9449">
        <v>10.4383</v>
      </c>
      <c r="D9449">
        <v>3.8277800000000002</v>
      </c>
      <c r="E9449" t="s">
        <v>14352</v>
      </c>
      <c r="F9449" t="s">
        <v>14353</v>
      </c>
      <c r="G9449" t="s">
        <v>39</v>
      </c>
      <c r="H9449">
        <v>1990</v>
      </c>
      <c r="I9449">
        <v>26.3</v>
      </c>
      <c r="J9449">
        <v>7.7</v>
      </c>
      <c r="K9449">
        <v>68</v>
      </c>
      <c r="L9449">
        <v>11.7</v>
      </c>
      <c r="M9449">
        <v>32.4</v>
      </c>
      <c r="N9449">
        <v>21.1</v>
      </c>
      <c r="O9449">
        <v>11.3</v>
      </c>
      <c r="P9449">
        <v>25</v>
      </c>
      <c r="Q9449">
        <v>27.4</v>
      </c>
      <c r="R9449">
        <v>27.5</v>
      </c>
      <c r="S9449">
        <v>24.6</v>
      </c>
      <c r="T9449">
        <v>2407</v>
      </c>
      <c r="U9449">
        <v>425</v>
      </c>
      <c r="V9449">
        <v>29</v>
      </c>
      <c r="W9449">
        <v>62</v>
      </c>
      <c r="X9449">
        <v>1097</v>
      </c>
      <c r="Y9449">
        <v>104</v>
      </c>
      <c r="Z9449">
        <v>231</v>
      </c>
      <c r="AA9449">
        <v>904</v>
      </c>
      <c r="AB9449">
        <v>34.726970000000001</v>
      </c>
      <c r="AC9449">
        <v>2.7155930000000002E-2</v>
      </c>
      <c r="AD9449">
        <v>7.2560460000000004</v>
      </c>
      <c r="AE9449">
        <v>0.1450958</v>
      </c>
      <c r="AF9449">
        <v>137.52709999999999</v>
      </c>
      <c r="AG9449">
        <f>IFERROR(AH9449*0.1, "N/A")</f>
        <v>4.8019260000000008</v>
      </c>
      <c r="AH9449">
        <v>48.019260000000003</v>
      </c>
      <c r="AI9449">
        <v>267.38170000000002</v>
      </c>
      <c r="AJ9449">
        <v>27.991240000000001</v>
      </c>
      <c r="AK9449">
        <v>61.010509999999996</v>
      </c>
    </row>
    <row r="9450" spans="1:37" x14ac:dyDescent="0.3">
      <c r="A9450">
        <v>9449</v>
      </c>
      <c r="B9450">
        <v>0</v>
      </c>
      <c r="C9450">
        <v>10.4383</v>
      </c>
      <c r="D9450">
        <v>3.8277800000000002</v>
      </c>
      <c r="E9450" t="s">
        <v>14352</v>
      </c>
      <c r="F9450" t="s">
        <v>14354</v>
      </c>
      <c r="G9450" t="s">
        <v>37</v>
      </c>
      <c r="H9450">
        <v>1990</v>
      </c>
      <c r="I9450">
        <v>26.3</v>
      </c>
      <c r="J9450">
        <v>7.7</v>
      </c>
      <c r="K9450">
        <v>68</v>
      </c>
      <c r="L9450">
        <v>11.7</v>
      </c>
      <c r="M9450">
        <v>32.4</v>
      </c>
      <c r="N9450">
        <v>21.1</v>
      </c>
      <c r="O9450">
        <v>11.3</v>
      </c>
      <c r="P9450">
        <v>25</v>
      </c>
      <c r="Q9450">
        <v>27.4</v>
      </c>
      <c r="R9450">
        <v>27.5</v>
      </c>
      <c r="S9450">
        <v>24.6</v>
      </c>
      <c r="T9450">
        <v>2407</v>
      </c>
      <c r="U9450">
        <v>425</v>
      </c>
      <c r="V9450">
        <v>29</v>
      </c>
      <c r="W9450">
        <v>62</v>
      </c>
      <c r="X9450">
        <v>1097</v>
      </c>
      <c r="Y9450">
        <v>104</v>
      </c>
      <c r="Z9450">
        <v>231</v>
      </c>
      <c r="AA9450">
        <v>904</v>
      </c>
      <c r="AB9450">
        <v>34.726970000000001</v>
      </c>
      <c r="AC9450">
        <v>2.7155930000000002E-2</v>
      </c>
      <c r="AD9450">
        <v>7.2560460000000004</v>
      </c>
      <c r="AE9450">
        <v>0.1450958</v>
      </c>
      <c r="AF9450">
        <v>137.52709999999999</v>
      </c>
      <c r="AG9450">
        <f>IFERROR(AH9450*0.1, "N/A")</f>
        <v>4.8019260000000008</v>
      </c>
      <c r="AH9450">
        <v>48.019260000000003</v>
      </c>
      <c r="AI9450">
        <v>267.38170000000002</v>
      </c>
      <c r="AJ9450">
        <v>27.991240000000001</v>
      </c>
      <c r="AK9450">
        <v>61.010509999999996</v>
      </c>
    </row>
    <row r="9451" spans="1:37" x14ac:dyDescent="0.3">
      <c r="A9451">
        <v>9450</v>
      </c>
      <c r="B9451">
        <v>0</v>
      </c>
      <c r="C9451">
        <v>10.4383</v>
      </c>
      <c r="D9451">
        <v>3.8277800000000002</v>
      </c>
      <c r="E9451" t="s">
        <v>14352</v>
      </c>
      <c r="F9451" t="s">
        <v>14355</v>
      </c>
      <c r="G9451" t="s">
        <v>2420</v>
      </c>
      <c r="H9451">
        <v>1990</v>
      </c>
      <c r="I9451">
        <v>26.3</v>
      </c>
      <c r="J9451">
        <v>7.7</v>
      </c>
      <c r="K9451">
        <v>68</v>
      </c>
      <c r="L9451">
        <v>11.7</v>
      </c>
      <c r="M9451">
        <v>32.4</v>
      </c>
      <c r="N9451">
        <v>21.1</v>
      </c>
      <c r="O9451">
        <v>11.3</v>
      </c>
      <c r="P9451">
        <v>25</v>
      </c>
      <c r="Q9451">
        <v>27.4</v>
      </c>
      <c r="R9451">
        <v>27.5</v>
      </c>
      <c r="S9451">
        <v>24.6</v>
      </c>
      <c r="T9451">
        <v>2407</v>
      </c>
      <c r="U9451">
        <v>425</v>
      </c>
      <c r="V9451">
        <v>29</v>
      </c>
      <c r="W9451">
        <v>62</v>
      </c>
      <c r="X9451">
        <v>1097</v>
      </c>
      <c r="Y9451">
        <v>104</v>
      </c>
      <c r="Z9451">
        <v>231</v>
      </c>
      <c r="AA9451">
        <v>904</v>
      </c>
      <c r="AB9451">
        <v>34.726970000000001</v>
      </c>
      <c r="AC9451">
        <v>2.7155930000000002E-2</v>
      </c>
      <c r="AD9451">
        <v>7.2560460000000004</v>
      </c>
      <c r="AE9451">
        <v>0.1450958</v>
      </c>
      <c r="AF9451">
        <v>137.52709999999999</v>
      </c>
      <c r="AG9451">
        <f>IFERROR(AH9451*0.1, "N/A")</f>
        <v>4.8019260000000008</v>
      </c>
      <c r="AH9451">
        <v>48.019260000000003</v>
      </c>
      <c r="AI9451">
        <v>267.38170000000002</v>
      </c>
      <c r="AJ9451">
        <v>27.991240000000001</v>
      </c>
      <c r="AK9451">
        <v>61.010509999999996</v>
      </c>
    </row>
    <row r="9452" spans="1:37" x14ac:dyDescent="0.3">
      <c r="A9452">
        <v>9451</v>
      </c>
      <c r="B9452">
        <v>2.8</v>
      </c>
      <c r="C9452">
        <v>11.761100000000001</v>
      </c>
      <c r="D9452">
        <v>3.8333300000000001</v>
      </c>
      <c r="E9452" t="s">
        <v>14356</v>
      </c>
      <c r="F9452" t="s">
        <v>14357</v>
      </c>
      <c r="G9452" t="s">
        <v>37</v>
      </c>
      <c r="H9452">
        <v>1990</v>
      </c>
      <c r="I9452">
        <v>23.830469999999998</v>
      </c>
      <c r="J9452">
        <v>9.1999999999999993</v>
      </c>
      <c r="K9452">
        <v>82</v>
      </c>
      <c r="L9452">
        <v>6.3722770000000004</v>
      </c>
      <c r="M9452">
        <v>29.830469999999998</v>
      </c>
      <c r="N9452">
        <v>18.73047</v>
      </c>
      <c r="O9452">
        <v>11.1</v>
      </c>
      <c r="P9452">
        <v>23.4</v>
      </c>
      <c r="Q9452">
        <v>24.330469999999998</v>
      </c>
      <c r="R9452">
        <v>24.530470000000001</v>
      </c>
      <c r="S9452">
        <v>23</v>
      </c>
      <c r="T9452">
        <v>1607</v>
      </c>
      <c r="U9452">
        <v>290</v>
      </c>
      <c r="V9452">
        <v>21</v>
      </c>
      <c r="W9452">
        <v>62</v>
      </c>
      <c r="X9452">
        <v>654.69529999999997</v>
      </c>
      <c r="Y9452">
        <v>97.304730000000006</v>
      </c>
      <c r="Z9452">
        <v>209</v>
      </c>
      <c r="AA9452">
        <v>354.03500000000003</v>
      </c>
      <c r="AB9452">
        <v>30.80031</v>
      </c>
      <c r="AC9452">
        <v>2.2794120000000001E-2</v>
      </c>
      <c r="AD9452">
        <v>5.3396179999999998</v>
      </c>
      <c r="AE9452">
        <v>0.19827</v>
      </c>
      <c r="AF9452">
        <v>711.40629999999999</v>
      </c>
      <c r="AG9452">
        <f>IFERROR(AH9452*0.1, "N/A")</f>
        <v>4.7814360000000002</v>
      </c>
      <c r="AH9452">
        <v>47.814360000000001</v>
      </c>
      <c r="AI9452">
        <v>122.11150000000001</v>
      </c>
      <c r="AJ9452">
        <v>39.371279999999999</v>
      </c>
      <c r="AK9452">
        <v>51.628720000000001</v>
      </c>
    </row>
    <row r="9453" spans="1:37" x14ac:dyDescent="0.3">
      <c r="A9453">
        <v>9452</v>
      </c>
      <c r="B9453">
        <v>0</v>
      </c>
      <c r="C9453">
        <v>11.761100000000001</v>
      </c>
      <c r="D9453">
        <v>3.8333300000000001</v>
      </c>
      <c r="E9453" t="s">
        <v>14356</v>
      </c>
      <c r="F9453" t="s">
        <v>14358</v>
      </c>
      <c r="G9453" t="s">
        <v>2420</v>
      </c>
      <c r="H9453">
        <v>1990</v>
      </c>
      <c r="I9453">
        <v>23.830469999999998</v>
      </c>
      <c r="J9453">
        <v>9.1999999999999993</v>
      </c>
      <c r="K9453">
        <v>82</v>
      </c>
      <c r="L9453">
        <v>6.3722770000000004</v>
      </c>
      <c r="M9453">
        <v>29.830469999999998</v>
      </c>
      <c r="N9453">
        <v>18.73047</v>
      </c>
      <c r="O9453">
        <v>11.1</v>
      </c>
      <c r="P9453">
        <v>23.4</v>
      </c>
      <c r="Q9453">
        <v>24.330469999999998</v>
      </c>
      <c r="R9453">
        <v>24.530470000000001</v>
      </c>
      <c r="S9453">
        <v>23</v>
      </c>
      <c r="T9453">
        <v>1607</v>
      </c>
      <c r="U9453">
        <v>290</v>
      </c>
      <c r="V9453">
        <v>21</v>
      </c>
      <c r="W9453">
        <v>62</v>
      </c>
      <c r="X9453">
        <v>654.69529999999997</v>
      </c>
      <c r="Y9453">
        <v>97.304730000000006</v>
      </c>
      <c r="Z9453">
        <v>209</v>
      </c>
      <c r="AA9453">
        <v>354.03500000000003</v>
      </c>
      <c r="AB9453">
        <v>30.80031</v>
      </c>
      <c r="AC9453">
        <v>2.2794120000000001E-2</v>
      </c>
      <c r="AD9453">
        <v>5.3396179999999998</v>
      </c>
      <c r="AE9453">
        <v>0.19827</v>
      </c>
      <c r="AF9453">
        <v>711.40629999999999</v>
      </c>
      <c r="AG9453">
        <f>IFERROR(AH9453*0.1, "N/A")</f>
        <v>4.7814360000000002</v>
      </c>
      <c r="AH9453">
        <v>47.814360000000001</v>
      </c>
      <c r="AI9453">
        <v>122.11150000000001</v>
      </c>
      <c r="AJ9453">
        <v>39.371279999999999</v>
      </c>
      <c r="AK9453">
        <v>51.628720000000001</v>
      </c>
    </row>
    <row r="9454" spans="1:37" x14ac:dyDescent="0.3">
      <c r="A9454">
        <v>9453</v>
      </c>
      <c r="B9454">
        <v>31</v>
      </c>
      <c r="C9454">
        <v>11.616</v>
      </c>
      <c r="D9454">
        <v>3.8490000000000002</v>
      </c>
      <c r="E9454" t="s">
        <v>14359</v>
      </c>
      <c r="F9454" t="s">
        <v>14360</v>
      </c>
      <c r="G9454" t="s">
        <v>37</v>
      </c>
      <c r="H9454">
        <v>1987</v>
      </c>
      <c r="I9454">
        <v>24</v>
      </c>
      <c r="J9454">
        <v>9.1</v>
      </c>
      <c r="K9454">
        <v>81</v>
      </c>
      <c r="L9454">
        <v>6.73</v>
      </c>
      <c r="M9454">
        <v>30</v>
      </c>
      <c r="N9454">
        <v>18.8</v>
      </c>
      <c r="O9454">
        <v>11.2</v>
      </c>
      <c r="P9454">
        <v>23.5</v>
      </c>
      <c r="Q9454">
        <v>24.5</v>
      </c>
      <c r="R9454">
        <v>24.8</v>
      </c>
      <c r="S9454">
        <v>23.1</v>
      </c>
      <c r="T9454">
        <v>1625</v>
      </c>
      <c r="U9454">
        <v>294</v>
      </c>
      <c r="V9454">
        <v>21</v>
      </c>
      <c r="W9454">
        <v>62</v>
      </c>
      <c r="X9454">
        <v>660</v>
      </c>
      <c r="Y9454">
        <v>98</v>
      </c>
      <c r="Z9454">
        <v>213</v>
      </c>
      <c r="AA9454">
        <v>421</v>
      </c>
      <c r="AB9454">
        <v>19.643660000000001</v>
      </c>
      <c r="AC9454">
        <v>5.0470460000000002E-2</v>
      </c>
      <c r="AD9454">
        <v>6.6264120000000002</v>
      </c>
      <c r="AE9454">
        <v>0.43692550000000002</v>
      </c>
      <c r="AF9454">
        <v>685.72280000000001</v>
      </c>
      <c r="AG9454">
        <f>IFERROR(AH9454*0.1, "N/A")</f>
        <v>4.7278950000000002</v>
      </c>
      <c r="AH9454">
        <v>47.278950000000002</v>
      </c>
      <c r="AI9454">
        <v>202.2174</v>
      </c>
      <c r="AJ9454">
        <v>42.721049999999998</v>
      </c>
      <c r="AK9454">
        <v>47.836840000000002</v>
      </c>
    </row>
    <row r="9455" spans="1:37" x14ac:dyDescent="0.3">
      <c r="A9455">
        <v>9454</v>
      </c>
      <c r="B9455">
        <v>0</v>
      </c>
      <c r="C9455">
        <v>10.1167</v>
      </c>
      <c r="D9455">
        <v>3.85</v>
      </c>
      <c r="E9455" t="s">
        <v>14361</v>
      </c>
      <c r="F9455" t="s">
        <v>14362</v>
      </c>
      <c r="G9455" t="s">
        <v>37</v>
      </c>
      <c r="H9455">
        <v>1990</v>
      </c>
      <c r="I9455">
        <v>26.5886</v>
      </c>
      <c r="J9455">
        <v>7.3608770000000003</v>
      </c>
      <c r="K9455">
        <v>67.970179999999999</v>
      </c>
      <c r="L9455">
        <v>11.685650000000001</v>
      </c>
      <c r="M9455">
        <v>32.488599999999998</v>
      </c>
      <c r="N9455">
        <v>21.724740000000001</v>
      </c>
      <c r="O9455">
        <v>10.763859999999999</v>
      </c>
      <c r="P9455">
        <v>25.3886</v>
      </c>
      <c r="Q9455">
        <v>27.5886</v>
      </c>
      <c r="R9455">
        <v>27.724740000000001</v>
      </c>
      <c r="S9455">
        <v>24.8886</v>
      </c>
      <c r="T9455">
        <v>2665.1260000000002</v>
      </c>
      <c r="U9455">
        <v>472.0772</v>
      </c>
      <c r="V9455">
        <v>32</v>
      </c>
      <c r="W9455">
        <v>62</v>
      </c>
      <c r="X9455">
        <v>1229.0809999999999</v>
      </c>
      <c r="Y9455">
        <v>114.84910000000001</v>
      </c>
      <c r="Z9455">
        <v>431.24740000000003</v>
      </c>
      <c r="AA9455">
        <v>1108.3320000000001</v>
      </c>
      <c r="AB9455">
        <v>27.223330000000001</v>
      </c>
      <c r="AC9455">
        <v>4.7642379999999998E-2</v>
      </c>
      <c r="AD9455">
        <v>2.2697370000000001</v>
      </c>
      <c r="AE9455">
        <v>0.30820350000000002</v>
      </c>
      <c r="AF9455">
        <v>55.324559999999998</v>
      </c>
      <c r="AG9455">
        <f>IFERROR(AH9455*0.1, "N/A")</f>
        <v>4.917193000000001</v>
      </c>
      <c r="AH9455">
        <v>49.171930000000003</v>
      </c>
      <c r="AI9455">
        <v>95.312960000000004</v>
      </c>
      <c r="AJ9455">
        <v>22.210529999999999</v>
      </c>
      <c r="AK9455">
        <v>64.187719999999999</v>
      </c>
    </row>
    <row r="9456" spans="1:37" x14ac:dyDescent="0.3">
      <c r="A9456">
        <v>9455</v>
      </c>
      <c r="B9456">
        <v>0</v>
      </c>
      <c r="C9456">
        <v>10.1167</v>
      </c>
      <c r="D9456">
        <v>3.85</v>
      </c>
      <c r="E9456" t="s">
        <v>14361</v>
      </c>
      <c r="F9456" t="s">
        <v>14363</v>
      </c>
      <c r="G9456" t="s">
        <v>2420</v>
      </c>
      <c r="H9456">
        <v>1990</v>
      </c>
      <c r="I9456">
        <v>26.5886</v>
      </c>
      <c r="J9456">
        <v>7.3608770000000003</v>
      </c>
      <c r="K9456">
        <v>67.970179999999999</v>
      </c>
      <c r="L9456">
        <v>11.685650000000001</v>
      </c>
      <c r="M9456">
        <v>32.488599999999998</v>
      </c>
      <c r="N9456">
        <v>21.724740000000001</v>
      </c>
      <c r="O9456">
        <v>10.763859999999999</v>
      </c>
      <c r="P9456">
        <v>25.3886</v>
      </c>
      <c r="Q9456">
        <v>27.5886</v>
      </c>
      <c r="R9456">
        <v>27.724740000000001</v>
      </c>
      <c r="S9456">
        <v>24.8886</v>
      </c>
      <c r="T9456">
        <v>2665.1260000000002</v>
      </c>
      <c r="U9456">
        <v>472.0772</v>
      </c>
      <c r="V9456">
        <v>32</v>
      </c>
      <c r="W9456">
        <v>62</v>
      </c>
      <c r="X9456">
        <v>1229.0809999999999</v>
      </c>
      <c r="Y9456">
        <v>114.84910000000001</v>
      </c>
      <c r="Z9456">
        <v>431.24740000000003</v>
      </c>
      <c r="AA9456">
        <v>1108.3320000000001</v>
      </c>
      <c r="AB9456">
        <v>27.223330000000001</v>
      </c>
      <c r="AC9456">
        <v>4.7642379999999998E-2</v>
      </c>
      <c r="AD9456">
        <v>2.2697370000000001</v>
      </c>
      <c r="AE9456">
        <v>0.30820350000000002</v>
      </c>
      <c r="AF9456">
        <v>55.324559999999998</v>
      </c>
      <c r="AG9456">
        <f>IFERROR(AH9456*0.1, "N/A")</f>
        <v>4.917193000000001</v>
      </c>
      <c r="AH9456">
        <v>49.171930000000003</v>
      </c>
      <c r="AI9456">
        <v>95.312960000000004</v>
      </c>
      <c r="AJ9456">
        <v>22.210529999999999</v>
      </c>
      <c r="AK9456">
        <v>64.187719999999999</v>
      </c>
    </row>
    <row r="9457" spans="1:37" x14ac:dyDescent="0.3">
      <c r="A9457">
        <v>9456</v>
      </c>
      <c r="B9457">
        <v>0</v>
      </c>
      <c r="C9457">
        <v>10.525</v>
      </c>
      <c r="D9457">
        <v>3.8533300000000001</v>
      </c>
      <c r="E9457" t="s">
        <v>14364</v>
      </c>
      <c r="F9457" t="s">
        <v>14365</v>
      </c>
      <c r="G9457" t="s">
        <v>39</v>
      </c>
      <c r="H9457">
        <v>1990</v>
      </c>
      <c r="I9457">
        <v>26</v>
      </c>
      <c r="J9457">
        <v>7.8</v>
      </c>
      <c r="K9457">
        <v>67.79965</v>
      </c>
      <c r="L9457">
        <v>11.706049999999999</v>
      </c>
      <c r="M9457">
        <v>32.220039999999997</v>
      </c>
      <c r="N9457">
        <v>20.8</v>
      </c>
      <c r="O9457">
        <v>11.420030000000001</v>
      </c>
      <c r="P9457">
        <v>24.8</v>
      </c>
      <c r="Q9457">
        <v>27.120039999999999</v>
      </c>
      <c r="R9457">
        <v>27.2</v>
      </c>
      <c r="S9457">
        <v>24.3</v>
      </c>
      <c r="T9457">
        <v>2346.8029999999999</v>
      </c>
      <c r="U9457">
        <v>414.40069999999997</v>
      </c>
      <c r="V9457">
        <v>26.20035</v>
      </c>
      <c r="W9457">
        <v>62.79965</v>
      </c>
      <c r="X9457">
        <v>1071.6010000000001</v>
      </c>
      <c r="Y9457">
        <v>97.400700000000001</v>
      </c>
      <c r="Z9457">
        <v>227.2004</v>
      </c>
      <c r="AA9457">
        <v>872.80139999999994</v>
      </c>
      <c r="AB9457">
        <v>1.2513190000000001</v>
      </c>
      <c r="AC9457">
        <v>8.9045079999999999</v>
      </c>
      <c r="AD9457">
        <v>2.8179750000000001</v>
      </c>
      <c r="AE9457">
        <v>0.29106680000000001</v>
      </c>
      <c r="AF9457">
        <v>143.45169999999999</v>
      </c>
      <c r="AG9457">
        <f>IFERROR(AH9457*0.1, "N/A")</f>
        <v>4.9082600000000003</v>
      </c>
      <c r="AH9457">
        <v>49.082599999999999</v>
      </c>
      <c r="AI9457">
        <v>123.63930000000001</v>
      </c>
      <c r="AJ9457">
        <v>29.25835</v>
      </c>
      <c r="AK9457">
        <v>57.57996</v>
      </c>
    </row>
    <row r="9458" spans="1:37" x14ac:dyDescent="0.3">
      <c r="A9458">
        <v>9457</v>
      </c>
      <c r="B9458">
        <v>0</v>
      </c>
      <c r="C9458">
        <v>10.525</v>
      </c>
      <c r="D9458">
        <v>3.8533300000000001</v>
      </c>
      <c r="E9458" t="s">
        <v>14364</v>
      </c>
      <c r="F9458" t="s">
        <v>14366</v>
      </c>
      <c r="G9458" t="s">
        <v>37</v>
      </c>
      <c r="H9458">
        <v>1990</v>
      </c>
      <c r="I9458">
        <v>26</v>
      </c>
      <c r="J9458">
        <v>7.8</v>
      </c>
      <c r="K9458">
        <v>67.79965</v>
      </c>
      <c r="L9458">
        <v>11.706049999999999</v>
      </c>
      <c r="M9458">
        <v>32.220039999999997</v>
      </c>
      <c r="N9458">
        <v>20.8</v>
      </c>
      <c r="O9458">
        <v>11.420030000000001</v>
      </c>
      <c r="P9458">
        <v>24.8</v>
      </c>
      <c r="Q9458">
        <v>27.120039999999999</v>
      </c>
      <c r="R9458">
        <v>27.2</v>
      </c>
      <c r="S9458">
        <v>24.3</v>
      </c>
      <c r="T9458">
        <v>2346.8029999999999</v>
      </c>
      <c r="U9458">
        <v>414.40069999999997</v>
      </c>
      <c r="V9458">
        <v>26.20035</v>
      </c>
      <c r="W9458">
        <v>62.79965</v>
      </c>
      <c r="X9458">
        <v>1071.6010000000001</v>
      </c>
      <c r="Y9458">
        <v>97.400700000000001</v>
      </c>
      <c r="Z9458">
        <v>227.2004</v>
      </c>
      <c r="AA9458">
        <v>872.80139999999994</v>
      </c>
      <c r="AB9458">
        <v>1.2513190000000001</v>
      </c>
      <c r="AC9458">
        <v>8.9045079999999999</v>
      </c>
      <c r="AD9458">
        <v>2.8179750000000001</v>
      </c>
      <c r="AE9458">
        <v>0.29106680000000001</v>
      </c>
      <c r="AF9458">
        <v>143.45169999999999</v>
      </c>
      <c r="AG9458">
        <f>IFERROR(AH9458*0.1, "N/A")</f>
        <v>4.9082600000000003</v>
      </c>
      <c r="AH9458">
        <v>49.082599999999999</v>
      </c>
      <c r="AI9458">
        <v>123.63930000000001</v>
      </c>
      <c r="AJ9458">
        <v>29.25835</v>
      </c>
      <c r="AK9458">
        <v>57.57996</v>
      </c>
    </row>
    <row r="9459" spans="1:37" x14ac:dyDescent="0.3">
      <c r="A9459">
        <v>9458</v>
      </c>
      <c r="B9459">
        <v>4.8</v>
      </c>
      <c r="C9459">
        <v>10.525</v>
      </c>
      <c r="D9459">
        <v>3.8533300000000001</v>
      </c>
      <c r="E9459" t="s">
        <v>14364</v>
      </c>
      <c r="F9459" t="s">
        <v>14367</v>
      </c>
      <c r="G9459" t="s">
        <v>2420</v>
      </c>
      <c r="H9459">
        <v>1990</v>
      </c>
      <c r="I9459">
        <v>26</v>
      </c>
      <c r="J9459">
        <v>7.8</v>
      </c>
      <c r="K9459">
        <v>67.79965</v>
      </c>
      <c r="L9459">
        <v>11.706049999999999</v>
      </c>
      <c r="M9459">
        <v>32.220039999999997</v>
      </c>
      <c r="N9459">
        <v>20.8</v>
      </c>
      <c r="O9459">
        <v>11.420030000000001</v>
      </c>
      <c r="P9459">
        <v>24.8</v>
      </c>
      <c r="Q9459">
        <v>27.120039999999999</v>
      </c>
      <c r="R9459">
        <v>27.2</v>
      </c>
      <c r="S9459">
        <v>24.3</v>
      </c>
      <c r="T9459">
        <v>2346.8029999999999</v>
      </c>
      <c r="U9459">
        <v>414.40069999999997</v>
      </c>
      <c r="V9459">
        <v>26.20035</v>
      </c>
      <c r="W9459">
        <v>62.79965</v>
      </c>
      <c r="X9459">
        <v>1071.6010000000001</v>
      </c>
      <c r="Y9459">
        <v>97.400700000000001</v>
      </c>
      <c r="Z9459">
        <v>227.2004</v>
      </c>
      <c r="AA9459">
        <v>872.80139999999994</v>
      </c>
      <c r="AB9459">
        <v>1.2513190000000001</v>
      </c>
      <c r="AC9459">
        <v>8.9045079999999999</v>
      </c>
      <c r="AD9459">
        <v>2.8179750000000001</v>
      </c>
      <c r="AE9459">
        <v>0.29106680000000001</v>
      </c>
      <c r="AF9459">
        <v>143.45169999999999</v>
      </c>
      <c r="AG9459">
        <f>IFERROR(AH9459*0.1, "N/A")</f>
        <v>4.9082600000000003</v>
      </c>
      <c r="AH9459">
        <v>49.082599999999999</v>
      </c>
      <c r="AI9459">
        <v>123.63930000000001</v>
      </c>
      <c r="AJ9459">
        <v>29.25835</v>
      </c>
      <c r="AK9459">
        <v>57.57996</v>
      </c>
    </row>
    <row r="9460" spans="1:37" x14ac:dyDescent="0.3">
      <c r="A9460">
        <v>9459</v>
      </c>
      <c r="B9460">
        <v>0</v>
      </c>
      <c r="C9460">
        <v>11.5167</v>
      </c>
      <c r="D9460">
        <v>3.8833299999999999</v>
      </c>
      <c r="E9460" t="s">
        <v>14368</v>
      </c>
      <c r="F9460" t="s">
        <v>14369</v>
      </c>
      <c r="G9460" t="s">
        <v>39</v>
      </c>
      <c r="H9460">
        <v>1990</v>
      </c>
      <c r="I9460">
        <v>23.604230000000001</v>
      </c>
      <c r="J9460">
        <v>9.1</v>
      </c>
      <c r="K9460">
        <v>80.656689999999998</v>
      </c>
      <c r="L9460">
        <v>7.0192779999999999</v>
      </c>
      <c r="M9460">
        <v>29.53856</v>
      </c>
      <c r="N9460">
        <v>18.360389999999999</v>
      </c>
      <c r="O9460">
        <v>11.17817</v>
      </c>
      <c r="P9460">
        <v>23.138559999999998</v>
      </c>
      <c r="Q9460">
        <v>24.19472</v>
      </c>
      <c r="R9460">
        <v>24.438559999999999</v>
      </c>
      <c r="S9460">
        <v>22.73856</v>
      </c>
      <c r="T9460">
        <v>1641.2750000000001</v>
      </c>
      <c r="U9460">
        <v>298</v>
      </c>
      <c r="V9460">
        <v>21</v>
      </c>
      <c r="W9460">
        <v>62</v>
      </c>
      <c r="X9460">
        <v>664.9049</v>
      </c>
      <c r="Y9460">
        <v>98</v>
      </c>
      <c r="Z9460">
        <v>217</v>
      </c>
      <c r="AA9460">
        <v>399.42959999999999</v>
      </c>
      <c r="AB9460">
        <v>13.171150000000001</v>
      </c>
      <c r="AC9460">
        <v>0.1065176</v>
      </c>
      <c r="AD9460">
        <v>3.9444279999999998</v>
      </c>
      <c r="AE9460">
        <v>0.9240273</v>
      </c>
      <c r="AF9460">
        <v>724.77459999999996</v>
      </c>
      <c r="AG9460">
        <f>IFERROR(AH9460*0.1, "N/A")</f>
        <v>5.8161969999999998</v>
      </c>
      <c r="AH9460">
        <v>58.161969999999997</v>
      </c>
      <c r="AI9460">
        <v>247.90389999999999</v>
      </c>
      <c r="AJ9460">
        <v>19.464790000000001</v>
      </c>
      <c r="AK9460">
        <v>65.070419999999999</v>
      </c>
    </row>
    <row r="9461" spans="1:37" x14ac:dyDescent="0.3">
      <c r="A9461">
        <v>9460</v>
      </c>
      <c r="B9461">
        <v>0</v>
      </c>
      <c r="C9461">
        <v>11.5167</v>
      </c>
      <c r="D9461">
        <v>3.8833299999999999</v>
      </c>
      <c r="E9461" t="s">
        <v>14368</v>
      </c>
      <c r="F9461" t="s">
        <v>14370</v>
      </c>
      <c r="G9461" t="s">
        <v>37</v>
      </c>
      <c r="H9461">
        <v>1990</v>
      </c>
      <c r="I9461">
        <v>23.604230000000001</v>
      </c>
      <c r="J9461">
        <v>9.1</v>
      </c>
      <c r="K9461">
        <v>80.656689999999998</v>
      </c>
      <c r="L9461">
        <v>7.0192779999999999</v>
      </c>
      <c r="M9461">
        <v>29.53856</v>
      </c>
      <c r="N9461">
        <v>18.360389999999999</v>
      </c>
      <c r="O9461">
        <v>11.17817</v>
      </c>
      <c r="P9461">
        <v>23.138559999999998</v>
      </c>
      <c r="Q9461">
        <v>24.19472</v>
      </c>
      <c r="R9461">
        <v>24.438559999999999</v>
      </c>
      <c r="S9461">
        <v>22.73856</v>
      </c>
      <c r="T9461">
        <v>1641.2750000000001</v>
      </c>
      <c r="U9461">
        <v>298</v>
      </c>
      <c r="V9461">
        <v>21</v>
      </c>
      <c r="W9461">
        <v>62</v>
      </c>
      <c r="X9461">
        <v>664.9049</v>
      </c>
      <c r="Y9461">
        <v>98</v>
      </c>
      <c r="Z9461">
        <v>217</v>
      </c>
      <c r="AA9461">
        <v>399.42959999999999</v>
      </c>
      <c r="AB9461">
        <v>13.171150000000001</v>
      </c>
      <c r="AC9461">
        <v>0.1065176</v>
      </c>
      <c r="AD9461">
        <v>3.9444279999999998</v>
      </c>
      <c r="AE9461">
        <v>0.9240273</v>
      </c>
      <c r="AF9461">
        <v>724.77459999999996</v>
      </c>
      <c r="AG9461">
        <f>IFERROR(AH9461*0.1, "N/A")</f>
        <v>5.8161969999999998</v>
      </c>
      <c r="AH9461">
        <v>58.161969999999997</v>
      </c>
      <c r="AI9461">
        <v>247.90389999999999</v>
      </c>
      <c r="AJ9461">
        <v>19.464790000000001</v>
      </c>
      <c r="AK9461">
        <v>65.070419999999999</v>
      </c>
    </row>
    <row r="9462" spans="1:37" x14ac:dyDescent="0.3">
      <c r="A9462">
        <v>9461</v>
      </c>
      <c r="B9462">
        <v>0</v>
      </c>
      <c r="C9462">
        <v>11.5167</v>
      </c>
      <c r="D9462">
        <v>3.8833299999999999</v>
      </c>
      <c r="E9462" t="s">
        <v>14368</v>
      </c>
      <c r="F9462" t="s">
        <v>14371</v>
      </c>
      <c r="G9462" t="s">
        <v>2420</v>
      </c>
      <c r="H9462">
        <v>1990</v>
      </c>
      <c r="I9462">
        <v>23.604230000000001</v>
      </c>
      <c r="J9462">
        <v>9.1</v>
      </c>
      <c r="K9462">
        <v>80.656689999999998</v>
      </c>
      <c r="L9462">
        <v>7.0192779999999999</v>
      </c>
      <c r="M9462">
        <v>29.53856</v>
      </c>
      <c r="N9462">
        <v>18.360389999999999</v>
      </c>
      <c r="O9462">
        <v>11.17817</v>
      </c>
      <c r="P9462">
        <v>23.138559999999998</v>
      </c>
      <c r="Q9462">
        <v>24.19472</v>
      </c>
      <c r="R9462">
        <v>24.438559999999999</v>
      </c>
      <c r="S9462">
        <v>22.73856</v>
      </c>
      <c r="T9462">
        <v>1641.2750000000001</v>
      </c>
      <c r="U9462">
        <v>298</v>
      </c>
      <c r="V9462">
        <v>21</v>
      </c>
      <c r="W9462">
        <v>62</v>
      </c>
      <c r="X9462">
        <v>664.9049</v>
      </c>
      <c r="Y9462">
        <v>98</v>
      </c>
      <c r="Z9462">
        <v>217</v>
      </c>
      <c r="AA9462">
        <v>399.42959999999999</v>
      </c>
      <c r="AB9462">
        <v>13.171150000000001</v>
      </c>
      <c r="AC9462">
        <v>0.1065176</v>
      </c>
      <c r="AD9462">
        <v>3.9444279999999998</v>
      </c>
      <c r="AE9462">
        <v>0.9240273</v>
      </c>
      <c r="AF9462">
        <v>724.77459999999996</v>
      </c>
      <c r="AG9462">
        <f>IFERROR(AH9462*0.1, "N/A")</f>
        <v>5.8161969999999998</v>
      </c>
      <c r="AH9462">
        <v>58.161969999999997</v>
      </c>
      <c r="AI9462">
        <v>247.90389999999999</v>
      </c>
      <c r="AJ9462">
        <v>19.464790000000001</v>
      </c>
      <c r="AK9462">
        <v>65.070419999999999</v>
      </c>
    </row>
    <row r="9463" spans="1:37" x14ac:dyDescent="0.3">
      <c r="A9463">
        <v>9462</v>
      </c>
      <c r="B9463">
        <v>0</v>
      </c>
      <c r="C9463">
        <v>10.8833</v>
      </c>
      <c r="D9463">
        <v>3.8833299999999999</v>
      </c>
      <c r="E9463" t="s">
        <v>14372</v>
      </c>
      <c r="F9463" t="s">
        <v>14373</v>
      </c>
      <c r="G9463" t="s">
        <v>39</v>
      </c>
      <c r="H9463">
        <v>1990</v>
      </c>
      <c r="I9463">
        <v>24.975570000000001</v>
      </c>
      <c r="J9463">
        <v>8.3000000000000007</v>
      </c>
      <c r="K9463">
        <v>70</v>
      </c>
      <c r="L9463">
        <v>10.87102</v>
      </c>
      <c r="M9463">
        <v>31.331630000000001</v>
      </c>
      <c r="N9463">
        <v>19.631630000000001</v>
      </c>
      <c r="O9463">
        <v>11.7</v>
      </c>
      <c r="P9463">
        <v>23.831630000000001</v>
      </c>
      <c r="Q9463">
        <v>26.043939999999999</v>
      </c>
      <c r="R9463">
        <v>26.163270000000001</v>
      </c>
      <c r="S9463">
        <v>23.463270000000001</v>
      </c>
      <c r="T9463">
        <v>2074.7359999999999</v>
      </c>
      <c r="U9463">
        <v>356.04390000000001</v>
      </c>
      <c r="V9463">
        <v>21</v>
      </c>
      <c r="W9463">
        <v>63</v>
      </c>
      <c r="X9463">
        <v>923.51319999999998</v>
      </c>
      <c r="Y9463">
        <v>89</v>
      </c>
      <c r="Z9463">
        <v>218</v>
      </c>
      <c r="AA9463">
        <v>706.63620000000003</v>
      </c>
      <c r="AB9463">
        <v>23.447089999999999</v>
      </c>
      <c r="AC9463">
        <v>1.022235E-2</v>
      </c>
      <c r="AD9463">
        <v>1.6840109999999999</v>
      </c>
      <c r="AE9463">
        <v>0.1852309</v>
      </c>
      <c r="AF9463">
        <v>387.25479999999999</v>
      </c>
      <c r="AG9463">
        <f>IFERROR(AH9463*0.1, "N/A")</f>
        <v>5</v>
      </c>
      <c r="AH9463">
        <v>50</v>
      </c>
      <c r="AI9463">
        <v>150.2304</v>
      </c>
      <c r="AJ9463">
        <v>37</v>
      </c>
      <c r="AK9463">
        <v>52.302280000000003</v>
      </c>
    </row>
    <row r="9464" spans="1:37" x14ac:dyDescent="0.3">
      <c r="A9464">
        <v>9463</v>
      </c>
      <c r="B9464">
        <v>0</v>
      </c>
      <c r="C9464">
        <v>10.8833</v>
      </c>
      <c r="D9464">
        <v>3.8833299999999999</v>
      </c>
      <c r="E9464" t="s">
        <v>14372</v>
      </c>
      <c r="F9464" t="s">
        <v>14374</v>
      </c>
      <c r="G9464" t="s">
        <v>37</v>
      </c>
      <c r="H9464">
        <v>1990</v>
      </c>
      <c r="I9464">
        <v>24.975570000000001</v>
      </c>
      <c r="J9464">
        <v>8.3000000000000007</v>
      </c>
      <c r="K9464">
        <v>70</v>
      </c>
      <c r="L9464">
        <v>10.87102</v>
      </c>
      <c r="M9464">
        <v>31.331630000000001</v>
      </c>
      <c r="N9464">
        <v>19.631630000000001</v>
      </c>
      <c r="O9464">
        <v>11.7</v>
      </c>
      <c r="P9464">
        <v>23.831630000000001</v>
      </c>
      <c r="Q9464">
        <v>26.043939999999999</v>
      </c>
      <c r="R9464">
        <v>26.163270000000001</v>
      </c>
      <c r="S9464">
        <v>23.463270000000001</v>
      </c>
      <c r="T9464">
        <v>2074.7359999999999</v>
      </c>
      <c r="U9464">
        <v>356.04390000000001</v>
      </c>
      <c r="V9464">
        <v>21</v>
      </c>
      <c r="W9464">
        <v>63</v>
      </c>
      <c r="X9464">
        <v>923.51319999999998</v>
      </c>
      <c r="Y9464">
        <v>89</v>
      </c>
      <c r="Z9464">
        <v>218</v>
      </c>
      <c r="AA9464">
        <v>706.63620000000003</v>
      </c>
      <c r="AB9464">
        <v>23.447089999999999</v>
      </c>
      <c r="AC9464">
        <v>1.022235E-2</v>
      </c>
      <c r="AD9464">
        <v>1.6840109999999999</v>
      </c>
      <c r="AE9464">
        <v>0.1852309</v>
      </c>
      <c r="AF9464">
        <v>387.25479999999999</v>
      </c>
      <c r="AG9464">
        <f>IFERROR(AH9464*0.1, "N/A")</f>
        <v>5</v>
      </c>
      <c r="AH9464">
        <v>50</v>
      </c>
      <c r="AI9464">
        <v>150.2304</v>
      </c>
      <c r="AJ9464">
        <v>37</v>
      </c>
      <c r="AK9464">
        <v>52.302280000000003</v>
      </c>
    </row>
    <row r="9465" spans="1:37" x14ac:dyDescent="0.3">
      <c r="A9465">
        <v>9464</v>
      </c>
      <c r="B9465">
        <v>0</v>
      </c>
      <c r="C9465">
        <v>10.8833</v>
      </c>
      <c r="D9465">
        <v>3.8833299999999999</v>
      </c>
      <c r="E9465" t="s">
        <v>14372</v>
      </c>
      <c r="F9465" t="s">
        <v>14375</v>
      </c>
      <c r="G9465" t="s">
        <v>2420</v>
      </c>
      <c r="H9465">
        <v>1990</v>
      </c>
      <c r="I9465">
        <v>24.975570000000001</v>
      </c>
      <c r="J9465">
        <v>8.3000000000000007</v>
      </c>
      <c r="K9465">
        <v>70</v>
      </c>
      <c r="L9465">
        <v>10.87102</v>
      </c>
      <c r="M9465">
        <v>31.331630000000001</v>
      </c>
      <c r="N9465">
        <v>19.631630000000001</v>
      </c>
      <c r="O9465">
        <v>11.7</v>
      </c>
      <c r="P9465">
        <v>23.831630000000001</v>
      </c>
      <c r="Q9465">
        <v>26.043939999999999</v>
      </c>
      <c r="R9465">
        <v>26.163270000000001</v>
      </c>
      <c r="S9465">
        <v>23.463270000000001</v>
      </c>
      <c r="T9465">
        <v>2074.7359999999999</v>
      </c>
      <c r="U9465">
        <v>356.04390000000001</v>
      </c>
      <c r="V9465">
        <v>21</v>
      </c>
      <c r="W9465">
        <v>63</v>
      </c>
      <c r="X9465">
        <v>923.51319999999998</v>
      </c>
      <c r="Y9465">
        <v>89</v>
      </c>
      <c r="Z9465">
        <v>218</v>
      </c>
      <c r="AA9465">
        <v>706.63620000000003</v>
      </c>
      <c r="AB9465">
        <v>23.447089999999999</v>
      </c>
      <c r="AC9465">
        <v>1.022235E-2</v>
      </c>
      <c r="AD9465">
        <v>1.6840109999999999</v>
      </c>
      <c r="AE9465">
        <v>0.1852309</v>
      </c>
      <c r="AF9465">
        <v>387.25479999999999</v>
      </c>
      <c r="AG9465">
        <f>IFERROR(AH9465*0.1, "N/A")</f>
        <v>5</v>
      </c>
      <c r="AH9465">
        <v>50</v>
      </c>
      <c r="AI9465">
        <v>150.2304</v>
      </c>
      <c r="AJ9465">
        <v>37</v>
      </c>
      <c r="AK9465">
        <v>52.302280000000003</v>
      </c>
    </row>
    <row r="9466" spans="1:37" x14ac:dyDescent="0.3">
      <c r="A9466">
        <v>9465</v>
      </c>
      <c r="B9466">
        <v>9.5</v>
      </c>
      <c r="C9466">
        <v>11.45</v>
      </c>
      <c r="D9466">
        <v>3.8833299999999999</v>
      </c>
      <c r="E9466" t="s">
        <v>14376</v>
      </c>
      <c r="F9466" t="s">
        <v>14377</v>
      </c>
      <c r="G9466" t="s">
        <v>37</v>
      </c>
      <c r="H9466">
        <v>1993</v>
      </c>
      <c r="I9466">
        <v>23.733740000000001</v>
      </c>
      <c r="J9466">
        <v>9.0688929999999992</v>
      </c>
      <c r="K9466">
        <v>80.175749999999994</v>
      </c>
      <c r="L9466">
        <v>7.07</v>
      </c>
      <c r="M9466">
        <v>29.716170000000002</v>
      </c>
      <c r="N9466">
        <v>18.464849999999998</v>
      </c>
      <c r="O9466">
        <v>11.25132</v>
      </c>
      <c r="P9466">
        <v>23.322320000000001</v>
      </c>
      <c r="Q9466">
        <v>24.333739999999999</v>
      </c>
      <c r="R9466">
        <v>24.533740000000002</v>
      </c>
      <c r="S9466">
        <v>22.782419999999998</v>
      </c>
      <c r="T9466">
        <v>1670.6610000000001</v>
      </c>
      <c r="U9466">
        <v>301.7364</v>
      </c>
      <c r="V9466">
        <v>21</v>
      </c>
      <c r="W9466">
        <v>62</v>
      </c>
      <c r="X9466">
        <v>675.98590000000002</v>
      </c>
      <c r="Y9466">
        <v>97.736379999999997</v>
      </c>
      <c r="Z9466">
        <v>217.7364</v>
      </c>
      <c r="AA9466">
        <v>352.60109999999997</v>
      </c>
      <c r="AB9466">
        <v>5.1544850000000002</v>
      </c>
      <c r="AC9466">
        <v>2.1235170000000001</v>
      </c>
      <c r="AD9466">
        <v>4.5009750000000004</v>
      </c>
      <c r="AE9466">
        <v>0.69315170000000004</v>
      </c>
      <c r="AF9466">
        <v>704.93849999999998</v>
      </c>
      <c r="AG9466">
        <f>IFERROR(AH9466*0.1, "N/A")</f>
        <v>5.1298770000000005</v>
      </c>
      <c r="AH9466">
        <v>51.298769999999998</v>
      </c>
      <c r="AI9466">
        <v>68.364260000000002</v>
      </c>
      <c r="AJ9466">
        <v>36.850619999999999</v>
      </c>
      <c r="AK9466">
        <v>49.149380000000001</v>
      </c>
    </row>
    <row r="9467" spans="1:37" x14ac:dyDescent="0.3">
      <c r="A9467">
        <v>9466</v>
      </c>
      <c r="B9467">
        <v>0</v>
      </c>
      <c r="C9467">
        <v>11.994400000000001</v>
      </c>
      <c r="D9467">
        <v>3.89167</v>
      </c>
      <c r="E9467" t="s">
        <v>14378</v>
      </c>
      <c r="F9467" t="s">
        <v>14379</v>
      </c>
      <c r="G9467" t="s">
        <v>37</v>
      </c>
      <c r="H9467">
        <v>1990</v>
      </c>
      <c r="I9467">
        <v>23.834499999999998</v>
      </c>
      <c r="J9467">
        <v>9.3000000000000007</v>
      </c>
      <c r="K9467">
        <v>83</v>
      </c>
      <c r="L9467">
        <v>6.5885990000000003</v>
      </c>
      <c r="M9467">
        <v>30</v>
      </c>
      <c r="N9467">
        <v>18.8</v>
      </c>
      <c r="O9467">
        <v>11.2</v>
      </c>
      <c r="P9467">
        <v>23.4345</v>
      </c>
      <c r="Q9467">
        <v>24.3</v>
      </c>
      <c r="R9467">
        <v>24.634499999999999</v>
      </c>
      <c r="S9467">
        <v>22.9345</v>
      </c>
      <c r="T9467">
        <v>1577</v>
      </c>
      <c r="U9467">
        <v>287</v>
      </c>
      <c r="V9467">
        <v>18</v>
      </c>
      <c r="W9467">
        <v>63</v>
      </c>
      <c r="X9467">
        <v>649.34500000000003</v>
      </c>
      <c r="Y9467">
        <v>89</v>
      </c>
      <c r="Z9467">
        <v>349</v>
      </c>
      <c r="AA9467">
        <v>425.65499999999997</v>
      </c>
      <c r="AB9467">
        <v>20.002109999999998</v>
      </c>
      <c r="AC9467">
        <v>8.8272679999999992E-3</v>
      </c>
      <c r="AD9467">
        <v>6.9391509999999998</v>
      </c>
      <c r="AE9467">
        <v>0.19287209999999999</v>
      </c>
      <c r="AF9467">
        <v>701.43259999999998</v>
      </c>
      <c r="AG9467">
        <f>IFERROR(AH9467*0.1, "N/A")</f>
        <v>5</v>
      </c>
      <c r="AH9467">
        <v>50</v>
      </c>
      <c r="AI9467">
        <v>127.2478</v>
      </c>
      <c r="AJ9467">
        <v>44</v>
      </c>
      <c r="AK9467">
        <v>49</v>
      </c>
    </row>
    <row r="9468" spans="1:37" x14ac:dyDescent="0.3">
      <c r="A9468">
        <v>9467</v>
      </c>
      <c r="B9468">
        <v>0</v>
      </c>
      <c r="C9468">
        <v>11.994400000000001</v>
      </c>
      <c r="D9468">
        <v>3.89167</v>
      </c>
      <c r="E9468" t="s">
        <v>14378</v>
      </c>
      <c r="F9468" t="s">
        <v>14380</v>
      </c>
      <c r="G9468" t="s">
        <v>2420</v>
      </c>
      <c r="H9468">
        <v>1990</v>
      </c>
      <c r="I9468">
        <v>23.834499999999998</v>
      </c>
      <c r="J9468">
        <v>9.3000000000000007</v>
      </c>
      <c r="K9468">
        <v>83</v>
      </c>
      <c r="L9468">
        <v>6.5885990000000003</v>
      </c>
      <c r="M9468">
        <v>30</v>
      </c>
      <c r="N9468">
        <v>18.8</v>
      </c>
      <c r="O9468">
        <v>11.2</v>
      </c>
      <c r="P9468">
        <v>23.4345</v>
      </c>
      <c r="Q9468">
        <v>24.3</v>
      </c>
      <c r="R9468">
        <v>24.634499999999999</v>
      </c>
      <c r="S9468">
        <v>22.9345</v>
      </c>
      <c r="T9468">
        <v>1577</v>
      </c>
      <c r="U9468">
        <v>287</v>
      </c>
      <c r="V9468">
        <v>18</v>
      </c>
      <c r="W9468">
        <v>63</v>
      </c>
      <c r="X9468">
        <v>649.34500000000003</v>
      </c>
      <c r="Y9468">
        <v>89</v>
      </c>
      <c r="Z9468">
        <v>349</v>
      </c>
      <c r="AA9468">
        <v>425.65499999999997</v>
      </c>
      <c r="AB9468">
        <v>20.002109999999998</v>
      </c>
      <c r="AC9468">
        <v>8.8272679999999992E-3</v>
      </c>
      <c r="AD9468">
        <v>6.9391509999999998</v>
      </c>
      <c r="AE9468">
        <v>0.19287209999999999</v>
      </c>
      <c r="AF9468">
        <v>701.43259999999998</v>
      </c>
      <c r="AG9468">
        <f>IFERROR(AH9468*0.1, "N/A")</f>
        <v>5</v>
      </c>
      <c r="AH9468">
        <v>50</v>
      </c>
      <c r="AI9468">
        <v>127.2478</v>
      </c>
      <c r="AJ9468">
        <v>44</v>
      </c>
      <c r="AK9468">
        <v>49</v>
      </c>
    </row>
    <row r="9469" spans="1:37" x14ac:dyDescent="0.3">
      <c r="A9469">
        <v>9468</v>
      </c>
      <c r="B9469">
        <v>0</v>
      </c>
      <c r="C9469">
        <v>12.527799999999999</v>
      </c>
      <c r="D9469">
        <v>3.8944399999999999</v>
      </c>
      <c r="E9469" t="s">
        <v>14381</v>
      </c>
      <c r="F9469" t="s">
        <v>14382</v>
      </c>
      <c r="G9469" t="s">
        <v>39</v>
      </c>
      <c r="H9469">
        <v>1990</v>
      </c>
      <c r="I9469">
        <v>23.9</v>
      </c>
      <c r="J9469">
        <v>9.4</v>
      </c>
      <c r="K9469">
        <v>81</v>
      </c>
      <c r="L9469">
        <v>6.3</v>
      </c>
      <c r="M9469">
        <v>30.2</v>
      </c>
      <c r="N9469">
        <v>18.7</v>
      </c>
      <c r="O9469">
        <v>11.5</v>
      </c>
      <c r="P9469">
        <v>23.4</v>
      </c>
      <c r="Q9469">
        <v>24.1</v>
      </c>
      <c r="R9469">
        <v>24.7</v>
      </c>
      <c r="S9469">
        <v>23.1</v>
      </c>
      <c r="T9469">
        <v>1579</v>
      </c>
      <c r="U9469">
        <v>290</v>
      </c>
      <c r="V9469">
        <v>18</v>
      </c>
      <c r="W9469">
        <v>63</v>
      </c>
      <c r="X9469">
        <v>651</v>
      </c>
      <c r="Y9469">
        <v>87</v>
      </c>
      <c r="Z9469">
        <v>329</v>
      </c>
      <c r="AA9469">
        <v>450</v>
      </c>
      <c r="AB9469">
        <v>6.7079139999999997</v>
      </c>
      <c r="AC9469">
        <v>3.2765000000000002E-2</v>
      </c>
      <c r="AD9469">
        <v>5.2069390000000002</v>
      </c>
      <c r="AE9469">
        <v>0.59060360000000001</v>
      </c>
      <c r="AF9469">
        <v>653.55709999999999</v>
      </c>
      <c r="AG9469">
        <f>IFERROR(AH9469*0.1, "N/A")</f>
        <v>4.9065030000000007</v>
      </c>
      <c r="AH9469">
        <v>49.06503</v>
      </c>
      <c r="AI9469">
        <v>199.27090000000001</v>
      </c>
      <c r="AJ9469">
        <v>35.06503</v>
      </c>
      <c r="AK9469">
        <v>52.985939999999999</v>
      </c>
    </row>
    <row r="9470" spans="1:37" x14ac:dyDescent="0.3">
      <c r="A9470">
        <v>9469</v>
      </c>
      <c r="B9470">
        <v>2</v>
      </c>
      <c r="C9470">
        <v>12.527799999999999</v>
      </c>
      <c r="D9470">
        <v>3.8944399999999999</v>
      </c>
      <c r="E9470" t="s">
        <v>14381</v>
      </c>
      <c r="F9470" t="s">
        <v>14383</v>
      </c>
      <c r="G9470" t="s">
        <v>37</v>
      </c>
      <c r="H9470">
        <v>1990</v>
      </c>
      <c r="I9470">
        <v>23.9</v>
      </c>
      <c r="J9470">
        <v>9.4</v>
      </c>
      <c r="K9470">
        <v>81</v>
      </c>
      <c r="L9470">
        <v>6.3</v>
      </c>
      <c r="M9470">
        <v>30.2</v>
      </c>
      <c r="N9470">
        <v>18.7</v>
      </c>
      <c r="O9470">
        <v>11.5</v>
      </c>
      <c r="P9470">
        <v>23.4</v>
      </c>
      <c r="Q9470">
        <v>24.1</v>
      </c>
      <c r="R9470">
        <v>24.7</v>
      </c>
      <c r="S9470">
        <v>23.1</v>
      </c>
      <c r="T9470">
        <v>1579</v>
      </c>
      <c r="U9470">
        <v>290</v>
      </c>
      <c r="V9470">
        <v>18</v>
      </c>
      <c r="W9470">
        <v>63</v>
      </c>
      <c r="X9470">
        <v>651</v>
      </c>
      <c r="Y9470">
        <v>87</v>
      </c>
      <c r="Z9470">
        <v>329</v>
      </c>
      <c r="AA9470">
        <v>450</v>
      </c>
      <c r="AB9470">
        <v>6.7079139999999997</v>
      </c>
      <c r="AC9470">
        <v>3.2765000000000002E-2</v>
      </c>
      <c r="AD9470">
        <v>5.2069390000000002</v>
      </c>
      <c r="AE9470">
        <v>0.59060360000000001</v>
      </c>
      <c r="AF9470">
        <v>653.55709999999999</v>
      </c>
      <c r="AG9470">
        <f>IFERROR(AH9470*0.1, "N/A")</f>
        <v>4.9065030000000007</v>
      </c>
      <c r="AH9470">
        <v>49.06503</v>
      </c>
      <c r="AI9470">
        <v>199.27090000000001</v>
      </c>
      <c r="AJ9470">
        <v>35.06503</v>
      </c>
      <c r="AK9470">
        <v>52.985939999999999</v>
      </c>
    </row>
    <row r="9471" spans="1:37" x14ac:dyDescent="0.3">
      <c r="A9471">
        <v>9470</v>
      </c>
      <c r="B9471">
        <v>0</v>
      </c>
      <c r="C9471">
        <v>12.527799999999999</v>
      </c>
      <c r="D9471">
        <v>3.8944399999999999</v>
      </c>
      <c r="E9471" t="s">
        <v>14381</v>
      </c>
      <c r="F9471" t="s">
        <v>14384</v>
      </c>
      <c r="G9471" t="s">
        <v>2420</v>
      </c>
      <c r="H9471">
        <v>1990</v>
      </c>
      <c r="I9471">
        <v>23.9</v>
      </c>
      <c r="J9471">
        <v>9.4</v>
      </c>
      <c r="K9471">
        <v>81</v>
      </c>
      <c r="L9471">
        <v>6.3</v>
      </c>
      <c r="M9471">
        <v>30.2</v>
      </c>
      <c r="N9471">
        <v>18.7</v>
      </c>
      <c r="O9471">
        <v>11.5</v>
      </c>
      <c r="P9471">
        <v>23.4</v>
      </c>
      <c r="Q9471">
        <v>24.1</v>
      </c>
      <c r="R9471">
        <v>24.7</v>
      </c>
      <c r="S9471">
        <v>23.1</v>
      </c>
      <c r="T9471">
        <v>1579</v>
      </c>
      <c r="U9471">
        <v>290</v>
      </c>
      <c r="V9471">
        <v>18</v>
      </c>
      <c r="W9471">
        <v>63</v>
      </c>
      <c r="X9471">
        <v>651</v>
      </c>
      <c r="Y9471">
        <v>87</v>
      </c>
      <c r="Z9471">
        <v>329</v>
      </c>
      <c r="AA9471">
        <v>450</v>
      </c>
      <c r="AB9471">
        <v>6.7079139999999997</v>
      </c>
      <c r="AC9471">
        <v>3.2765000000000002E-2</v>
      </c>
      <c r="AD9471">
        <v>5.2069390000000002</v>
      </c>
      <c r="AE9471">
        <v>0.59060360000000001</v>
      </c>
      <c r="AF9471">
        <v>653.55709999999999</v>
      </c>
      <c r="AG9471">
        <f>IFERROR(AH9471*0.1, "N/A")</f>
        <v>4.9065030000000007</v>
      </c>
      <c r="AH9471">
        <v>49.06503</v>
      </c>
      <c r="AI9471">
        <v>199.27090000000001</v>
      </c>
      <c r="AJ9471">
        <v>35.06503</v>
      </c>
      <c r="AK9471">
        <v>52.985939999999999</v>
      </c>
    </row>
    <row r="9472" spans="1:37" x14ac:dyDescent="0.3">
      <c r="A9472">
        <v>9471</v>
      </c>
      <c r="B9472">
        <v>0</v>
      </c>
      <c r="C9472">
        <v>11.898999999999999</v>
      </c>
      <c r="D9472">
        <v>3.9009999999999998</v>
      </c>
      <c r="E9472" t="s">
        <v>14385</v>
      </c>
      <c r="F9472" t="s">
        <v>14386</v>
      </c>
      <c r="G9472" t="s">
        <v>37</v>
      </c>
      <c r="H9472">
        <v>1987</v>
      </c>
      <c r="I9472">
        <v>24</v>
      </c>
      <c r="J9472">
        <v>9.1999999999999993</v>
      </c>
      <c r="K9472">
        <v>82</v>
      </c>
      <c r="L9472">
        <v>6.89</v>
      </c>
      <c r="M9472">
        <v>30.1</v>
      </c>
      <c r="N9472">
        <v>18.899999999999999</v>
      </c>
      <c r="O9472">
        <v>11.2</v>
      </c>
      <c r="P9472">
        <v>23.6</v>
      </c>
      <c r="Q9472">
        <v>24.5</v>
      </c>
      <c r="R9472">
        <v>24.8</v>
      </c>
      <c r="S9472">
        <v>23.1</v>
      </c>
      <c r="T9472">
        <v>1587</v>
      </c>
      <c r="U9472">
        <v>288</v>
      </c>
      <c r="V9472">
        <v>19</v>
      </c>
      <c r="W9472">
        <v>63</v>
      </c>
      <c r="X9472">
        <v>651</v>
      </c>
      <c r="Y9472">
        <v>92</v>
      </c>
      <c r="Z9472">
        <v>356</v>
      </c>
      <c r="AA9472">
        <v>422</v>
      </c>
      <c r="AB9472">
        <v>3.0789520000000001</v>
      </c>
      <c r="AC9472">
        <v>35.97381</v>
      </c>
      <c r="AD9472">
        <v>3.2585480000000002</v>
      </c>
      <c r="AE9472">
        <v>0.3527111</v>
      </c>
      <c r="AF9472">
        <v>681.39120000000003</v>
      </c>
      <c r="AG9472">
        <f>IFERROR(AH9472*0.1, "N/A")</f>
        <v>5.2003510000000004</v>
      </c>
      <c r="AH9472">
        <v>52.003509999999999</v>
      </c>
      <c r="AI9472">
        <v>168.8081</v>
      </c>
      <c r="AJ9472">
        <v>39.42456</v>
      </c>
      <c r="AK9472">
        <v>51.154389999999999</v>
      </c>
    </row>
    <row r="9473" spans="1:37" x14ac:dyDescent="0.3">
      <c r="A9473">
        <v>9472</v>
      </c>
      <c r="B9473">
        <v>0</v>
      </c>
      <c r="C9473">
        <v>10.5722</v>
      </c>
      <c r="D9473">
        <v>3.9080599999999999</v>
      </c>
      <c r="E9473" t="s">
        <v>14387</v>
      </c>
      <c r="F9473" t="s">
        <v>14388</v>
      </c>
      <c r="G9473" t="s">
        <v>37</v>
      </c>
      <c r="H9473">
        <v>1990</v>
      </c>
      <c r="I9473">
        <v>25.6</v>
      </c>
      <c r="J9473">
        <v>7.9</v>
      </c>
      <c r="K9473">
        <v>68</v>
      </c>
      <c r="L9473">
        <v>11.613390000000001</v>
      </c>
      <c r="M9473">
        <v>31.813359999999999</v>
      </c>
      <c r="N9473">
        <v>20.313359999999999</v>
      </c>
      <c r="O9473">
        <v>11.5</v>
      </c>
      <c r="P9473">
        <v>24.4</v>
      </c>
      <c r="Q9473">
        <v>26.7</v>
      </c>
      <c r="R9473">
        <v>26.813359999999999</v>
      </c>
      <c r="S9473">
        <v>23.9</v>
      </c>
      <c r="T9473">
        <v>2343.8009999999999</v>
      </c>
      <c r="U9473">
        <v>418.1336</v>
      </c>
      <c r="V9473">
        <v>24</v>
      </c>
      <c r="W9473">
        <v>63</v>
      </c>
      <c r="X9473">
        <v>1086.4010000000001</v>
      </c>
      <c r="Y9473">
        <v>92</v>
      </c>
      <c r="Z9473">
        <v>222</v>
      </c>
      <c r="AA9473">
        <v>896.66780000000006</v>
      </c>
      <c r="AB9473">
        <v>33.515819999999998</v>
      </c>
      <c r="AC9473">
        <v>9.6674900000000008E-3</v>
      </c>
      <c r="AD9473">
        <v>3.0305819999999999</v>
      </c>
      <c r="AE9473">
        <v>0.18698200000000001</v>
      </c>
      <c r="AF9473">
        <v>258.83479999999997</v>
      </c>
      <c r="AG9473">
        <f>IFERROR(AH9473*0.1, "N/A")</f>
        <v>5.1000000000000005</v>
      </c>
      <c r="AH9473">
        <v>51</v>
      </c>
      <c r="AI9473">
        <v>165.5394</v>
      </c>
      <c r="AJ9473">
        <v>24</v>
      </c>
      <c r="AK9473">
        <v>61.170470000000002</v>
      </c>
    </row>
    <row r="9474" spans="1:37" x14ac:dyDescent="0.3">
      <c r="A9474">
        <v>9473</v>
      </c>
      <c r="B9474">
        <v>0</v>
      </c>
      <c r="C9474">
        <v>10.5722</v>
      </c>
      <c r="D9474">
        <v>3.9080599999999999</v>
      </c>
      <c r="E9474" t="s">
        <v>14387</v>
      </c>
      <c r="F9474" t="s">
        <v>14389</v>
      </c>
      <c r="G9474" t="s">
        <v>2420</v>
      </c>
      <c r="H9474">
        <v>1990</v>
      </c>
      <c r="I9474">
        <v>25.6</v>
      </c>
      <c r="J9474">
        <v>7.9</v>
      </c>
      <c r="K9474">
        <v>68</v>
      </c>
      <c r="L9474">
        <v>11.613390000000001</v>
      </c>
      <c r="M9474">
        <v>31.813359999999999</v>
      </c>
      <c r="N9474">
        <v>20.313359999999999</v>
      </c>
      <c r="O9474">
        <v>11.5</v>
      </c>
      <c r="P9474">
        <v>24.4</v>
      </c>
      <c r="Q9474">
        <v>26.7</v>
      </c>
      <c r="R9474">
        <v>26.813359999999999</v>
      </c>
      <c r="S9474">
        <v>23.9</v>
      </c>
      <c r="T9474">
        <v>2343.8009999999999</v>
      </c>
      <c r="U9474">
        <v>418.1336</v>
      </c>
      <c r="V9474">
        <v>24</v>
      </c>
      <c r="W9474">
        <v>63</v>
      </c>
      <c r="X9474">
        <v>1086.4010000000001</v>
      </c>
      <c r="Y9474">
        <v>92</v>
      </c>
      <c r="Z9474">
        <v>222</v>
      </c>
      <c r="AA9474">
        <v>896.66780000000006</v>
      </c>
      <c r="AB9474">
        <v>33.515819999999998</v>
      </c>
      <c r="AC9474">
        <v>9.6674900000000008E-3</v>
      </c>
      <c r="AD9474">
        <v>3.0305819999999999</v>
      </c>
      <c r="AE9474">
        <v>0.18698200000000001</v>
      </c>
      <c r="AF9474">
        <v>258.83479999999997</v>
      </c>
      <c r="AG9474">
        <f>IFERROR(AH9474*0.1, "N/A")</f>
        <v>5.1000000000000005</v>
      </c>
      <c r="AH9474">
        <v>51</v>
      </c>
      <c r="AI9474">
        <v>165.5394</v>
      </c>
      <c r="AJ9474">
        <v>24</v>
      </c>
      <c r="AK9474">
        <v>61.170470000000002</v>
      </c>
    </row>
    <row r="9475" spans="1:37" x14ac:dyDescent="0.3">
      <c r="A9475">
        <v>9474</v>
      </c>
      <c r="B9475">
        <v>3.2</v>
      </c>
      <c r="C9475">
        <v>9.8269400000000005</v>
      </c>
      <c r="D9475">
        <v>3.9280599999999999</v>
      </c>
      <c r="E9475" t="s">
        <v>14390</v>
      </c>
      <c r="F9475" t="s">
        <v>14391</v>
      </c>
      <c r="G9475" t="s">
        <v>37</v>
      </c>
      <c r="H9475">
        <v>1990</v>
      </c>
      <c r="I9475">
        <v>26.4</v>
      </c>
      <c r="J9475">
        <v>7.2</v>
      </c>
      <c r="K9475">
        <v>70</v>
      </c>
      <c r="L9475">
        <v>10.76</v>
      </c>
      <c r="M9475">
        <v>32.1</v>
      </c>
      <c r="N9475">
        <v>21.9</v>
      </c>
      <c r="O9475">
        <v>10.199999999999999</v>
      </c>
      <c r="P9475">
        <v>24.8</v>
      </c>
      <c r="Q9475">
        <v>27.3</v>
      </c>
      <c r="R9475">
        <v>27.5</v>
      </c>
      <c r="S9475">
        <v>24.8</v>
      </c>
      <c r="T9475">
        <v>3309</v>
      </c>
      <c r="U9475">
        <v>562</v>
      </c>
      <c r="V9475">
        <v>37</v>
      </c>
      <c r="W9475">
        <v>67</v>
      </c>
      <c r="X9475">
        <v>1590</v>
      </c>
      <c r="Y9475">
        <v>137</v>
      </c>
      <c r="Z9475">
        <v>465</v>
      </c>
      <c r="AA9475">
        <v>1590</v>
      </c>
      <c r="AB9475">
        <v>5.5461539999999996</v>
      </c>
      <c r="AC9475">
        <v>2.127575E-2</v>
      </c>
      <c r="AD9475">
        <v>3.3498399999999999</v>
      </c>
      <c r="AE9475">
        <v>0.3707626</v>
      </c>
      <c r="AF9475">
        <v>18.788460000000001</v>
      </c>
      <c r="AG9475">
        <f>IFERROR(AH9475*0.1, "N/A")</f>
        <v>4.5540210000000005</v>
      </c>
      <c r="AH9475">
        <v>45.540210000000002</v>
      </c>
      <c r="AI9475">
        <v>285.07569999999998</v>
      </c>
      <c r="AJ9475">
        <v>27.398599999999998</v>
      </c>
      <c r="AK9475">
        <v>56.047199999999997</v>
      </c>
    </row>
    <row r="9476" spans="1:37" x14ac:dyDescent="0.3">
      <c r="A9476">
        <v>9475</v>
      </c>
      <c r="B9476">
        <v>9.6999999999999993</v>
      </c>
      <c r="C9476">
        <v>9.8269400000000005</v>
      </c>
      <c r="D9476">
        <v>3.9280599999999999</v>
      </c>
      <c r="E9476" t="s">
        <v>14390</v>
      </c>
      <c r="F9476" t="s">
        <v>14392</v>
      </c>
      <c r="G9476" t="s">
        <v>2420</v>
      </c>
      <c r="H9476">
        <v>1990</v>
      </c>
      <c r="I9476">
        <v>26.4</v>
      </c>
      <c r="J9476">
        <v>7.2</v>
      </c>
      <c r="K9476">
        <v>70</v>
      </c>
      <c r="L9476">
        <v>10.76</v>
      </c>
      <c r="M9476">
        <v>32.1</v>
      </c>
      <c r="N9476">
        <v>21.9</v>
      </c>
      <c r="O9476">
        <v>10.199999999999999</v>
      </c>
      <c r="P9476">
        <v>24.8</v>
      </c>
      <c r="Q9476">
        <v>27.3</v>
      </c>
      <c r="R9476">
        <v>27.5</v>
      </c>
      <c r="S9476">
        <v>24.8</v>
      </c>
      <c r="T9476">
        <v>3309</v>
      </c>
      <c r="U9476">
        <v>562</v>
      </c>
      <c r="V9476">
        <v>37</v>
      </c>
      <c r="W9476">
        <v>67</v>
      </c>
      <c r="X9476">
        <v>1590</v>
      </c>
      <c r="Y9476">
        <v>137</v>
      </c>
      <c r="Z9476">
        <v>465</v>
      </c>
      <c r="AA9476">
        <v>1590</v>
      </c>
      <c r="AB9476">
        <v>5.5461539999999996</v>
      </c>
      <c r="AC9476">
        <v>2.127575E-2</v>
      </c>
      <c r="AD9476">
        <v>3.3498399999999999</v>
      </c>
      <c r="AE9476">
        <v>0.3707626</v>
      </c>
      <c r="AF9476">
        <v>18.788460000000001</v>
      </c>
      <c r="AG9476">
        <f>IFERROR(AH9476*0.1, "N/A")</f>
        <v>4.5540210000000005</v>
      </c>
      <c r="AH9476">
        <v>45.540210000000002</v>
      </c>
      <c r="AI9476">
        <v>285.07569999999998</v>
      </c>
      <c r="AJ9476">
        <v>27.398599999999998</v>
      </c>
      <c r="AK9476">
        <v>56.047199999999997</v>
      </c>
    </row>
    <row r="9477" spans="1:37" x14ac:dyDescent="0.3">
      <c r="A9477">
        <v>9476</v>
      </c>
      <c r="B9477">
        <v>0</v>
      </c>
      <c r="C9477">
        <v>11.0167</v>
      </c>
      <c r="D9477">
        <v>3.9333300000000002</v>
      </c>
      <c r="E9477" t="s">
        <v>14393</v>
      </c>
      <c r="F9477" t="s">
        <v>14394</v>
      </c>
      <c r="G9477" t="s">
        <v>37</v>
      </c>
      <c r="H9477">
        <v>1990</v>
      </c>
      <c r="I9477">
        <v>25.07601</v>
      </c>
      <c r="J9477">
        <v>8.5</v>
      </c>
      <c r="K9477">
        <v>72</v>
      </c>
      <c r="L9477">
        <v>10.25285</v>
      </c>
      <c r="M9477">
        <v>31.4</v>
      </c>
      <c r="N9477">
        <v>19.676010000000002</v>
      </c>
      <c r="O9477">
        <v>11.723990000000001</v>
      </c>
      <c r="P9477">
        <v>24</v>
      </c>
      <c r="Q9477">
        <v>26.0063</v>
      </c>
      <c r="R9477">
        <v>26.2</v>
      </c>
      <c r="S9477">
        <v>23.676010000000002</v>
      </c>
      <c r="T9477">
        <v>1971.2819999999999</v>
      </c>
      <c r="U9477">
        <v>339.697</v>
      </c>
      <c r="V9477">
        <v>20</v>
      </c>
      <c r="W9477">
        <v>62.239930000000001</v>
      </c>
      <c r="X9477">
        <v>865.68650000000002</v>
      </c>
      <c r="Y9477">
        <v>87</v>
      </c>
      <c r="Z9477">
        <v>213</v>
      </c>
      <c r="AA9477">
        <v>649.88789999999995</v>
      </c>
      <c r="AB9477">
        <v>16.904890000000002</v>
      </c>
      <c r="AC9477">
        <v>8.5281249999999992E-3</v>
      </c>
      <c r="AD9477">
        <v>5.5150439999999996</v>
      </c>
      <c r="AE9477">
        <v>0.1511178</v>
      </c>
      <c r="AF9477">
        <v>393.09980000000002</v>
      </c>
      <c r="AG9477">
        <f>IFERROR(AH9477*0.1, "N/A")</f>
        <v>5.097373000000001</v>
      </c>
      <c r="AH9477">
        <v>50.973730000000003</v>
      </c>
      <c r="AI9477">
        <v>291.72660000000002</v>
      </c>
      <c r="AJ9477">
        <v>33.196150000000003</v>
      </c>
      <c r="AK9477">
        <v>55.705779999999997</v>
      </c>
    </row>
    <row r="9478" spans="1:37" x14ac:dyDescent="0.3">
      <c r="A9478">
        <v>9477</v>
      </c>
      <c r="B9478">
        <v>0</v>
      </c>
      <c r="C9478">
        <v>11.0167</v>
      </c>
      <c r="D9478">
        <v>3.9333300000000002</v>
      </c>
      <c r="E9478" t="s">
        <v>14393</v>
      </c>
      <c r="F9478" t="s">
        <v>14395</v>
      </c>
      <c r="G9478" t="s">
        <v>2420</v>
      </c>
      <c r="H9478">
        <v>1990</v>
      </c>
      <c r="I9478">
        <v>25.07601</v>
      </c>
      <c r="J9478">
        <v>8.5</v>
      </c>
      <c r="K9478">
        <v>72</v>
      </c>
      <c r="L9478">
        <v>10.25285</v>
      </c>
      <c r="M9478">
        <v>31.4</v>
      </c>
      <c r="N9478">
        <v>19.676010000000002</v>
      </c>
      <c r="O9478">
        <v>11.723990000000001</v>
      </c>
      <c r="P9478">
        <v>24</v>
      </c>
      <c r="Q9478">
        <v>26.0063</v>
      </c>
      <c r="R9478">
        <v>26.2</v>
      </c>
      <c r="S9478">
        <v>23.676010000000002</v>
      </c>
      <c r="T9478">
        <v>1971.2819999999999</v>
      </c>
      <c r="U9478">
        <v>339.697</v>
      </c>
      <c r="V9478">
        <v>20</v>
      </c>
      <c r="W9478">
        <v>62.239930000000001</v>
      </c>
      <c r="X9478">
        <v>865.68650000000002</v>
      </c>
      <c r="Y9478">
        <v>87</v>
      </c>
      <c r="Z9478">
        <v>213</v>
      </c>
      <c r="AA9478">
        <v>649.88789999999995</v>
      </c>
      <c r="AB9478">
        <v>16.904890000000002</v>
      </c>
      <c r="AC9478">
        <v>8.5281249999999992E-3</v>
      </c>
      <c r="AD9478">
        <v>5.5150439999999996</v>
      </c>
      <c r="AE9478">
        <v>0.1511178</v>
      </c>
      <c r="AF9478">
        <v>393.09980000000002</v>
      </c>
      <c r="AG9478">
        <f>IFERROR(AH9478*0.1, "N/A")</f>
        <v>5.097373000000001</v>
      </c>
      <c r="AH9478">
        <v>50.973730000000003</v>
      </c>
      <c r="AI9478">
        <v>291.72660000000002</v>
      </c>
      <c r="AJ9478">
        <v>33.196150000000003</v>
      </c>
      <c r="AK9478">
        <v>55.705779999999997</v>
      </c>
    </row>
    <row r="9479" spans="1:37" x14ac:dyDescent="0.3">
      <c r="A9479">
        <v>9478</v>
      </c>
      <c r="B9479">
        <v>0</v>
      </c>
      <c r="C9479">
        <v>11.0639</v>
      </c>
      <c r="D9479">
        <v>3.9388899999999998</v>
      </c>
      <c r="E9479" t="s">
        <v>14396</v>
      </c>
      <c r="F9479" t="s">
        <v>14397</v>
      </c>
      <c r="G9479" t="s">
        <v>37</v>
      </c>
      <c r="H9479">
        <v>1990</v>
      </c>
      <c r="I9479">
        <v>24.7</v>
      </c>
      <c r="J9479">
        <v>8.6</v>
      </c>
      <c r="K9479">
        <v>73</v>
      </c>
      <c r="L9479">
        <v>9.7799999999999994</v>
      </c>
      <c r="M9479">
        <v>31</v>
      </c>
      <c r="N9479">
        <v>19.3</v>
      </c>
      <c r="O9479">
        <v>11.7</v>
      </c>
      <c r="P9479">
        <v>23.6</v>
      </c>
      <c r="Q9479">
        <v>25.6</v>
      </c>
      <c r="R9479">
        <v>25.8</v>
      </c>
      <c r="S9479">
        <v>23.3</v>
      </c>
      <c r="T9479">
        <v>1932</v>
      </c>
      <c r="U9479">
        <v>334</v>
      </c>
      <c r="V9479">
        <v>20</v>
      </c>
      <c r="W9479">
        <v>62</v>
      </c>
      <c r="X9479">
        <v>842</v>
      </c>
      <c r="Y9479">
        <v>88</v>
      </c>
      <c r="Z9479">
        <v>391</v>
      </c>
      <c r="AA9479">
        <v>628</v>
      </c>
      <c r="AB9479">
        <v>2.2192820000000002</v>
      </c>
      <c r="AC9479">
        <v>6.5172279999999999E-2</v>
      </c>
      <c r="AD9479">
        <v>4.2026320000000004</v>
      </c>
      <c r="AE9479">
        <v>0.16056309999999999</v>
      </c>
      <c r="AF9479">
        <v>469.91750000000002</v>
      </c>
      <c r="AG9479">
        <f>IFERROR(AH9479*0.1, "N/A")</f>
        <v>5.0357890000000003</v>
      </c>
      <c r="AH9479">
        <v>50.357889999999998</v>
      </c>
      <c r="AI9479">
        <v>125.175</v>
      </c>
      <c r="AJ9479">
        <v>37.705260000000003</v>
      </c>
      <c r="AK9479">
        <v>47.968420000000002</v>
      </c>
    </row>
    <row r="9480" spans="1:37" x14ac:dyDescent="0.3">
      <c r="A9480">
        <v>9479</v>
      </c>
      <c r="B9480">
        <v>2.6</v>
      </c>
      <c r="C9480">
        <v>11.0639</v>
      </c>
      <c r="D9480">
        <v>3.9388899999999998</v>
      </c>
      <c r="E9480" t="s">
        <v>14396</v>
      </c>
      <c r="F9480" t="s">
        <v>14398</v>
      </c>
      <c r="G9480" t="s">
        <v>2420</v>
      </c>
      <c r="H9480">
        <v>1990</v>
      </c>
      <c r="I9480">
        <v>24.7</v>
      </c>
      <c r="J9480">
        <v>8.6</v>
      </c>
      <c r="K9480">
        <v>73</v>
      </c>
      <c r="L9480">
        <v>9.7799999999999994</v>
      </c>
      <c r="M9480">
        <v>31</v>
      </c>
      <c r="N9480">
        <v>19.3</v>
      </c>
      <c r="O9480">
        <v>11.7</v>
      </c>
      <c r="P9480">
        <v>23.6</v>
      </c>
      <c r="Q9480">
        <v>25.6</v>
      </c>
      <c r="R9480">
        <v>25.8</v>
      </c>
      <c r="S9480">
        <v>23.3</v>
      </c>
      <c r="T9480">
        <v>1932</v>
      </c>
      <c r="U9480">
        <v>334</v>
      </c>
      <c r="V9480">
        <v>20</v>
      </c>
      <c r="W9480">
        <v>62</v>
      </c>
      <c r="X9480">
        <v>842</v>
      </c>
      <c r="Y9480">
        <v>88</v>
      </c>
      <c r="Z9480">
        <v>391</v>
      </c>
      <c r="AA9480">
        <v>628</v>
      </c>
      <c r="AB9480">
        <v>2.2192820000000002</v>
      </c>
      <c r="AC9480">
        <v>6.5172279999999999E-2</v>
      </c>
      <c r="AD9480">
        <v>4.2026320000000004</v>
      </c>
      <c r="AE9480">
        <v>0.16056309999999999</v>
      </c>
      <c r="AF9480">
        <v>469.91750000000002</v>
      </c>
      <c r="AG9480">
        <f>IFERROR(AH9480*0.1, "N/A")</f>
        <v>5.0357890000000003</v>
      </c>
      <c r="AH9480">
        <v>50.357889999999998</v>
      </c>
      <c r="AI9480">
        <v>125.175</v>
      </c>
      <c r="AJ9480">
        <v>37.705260000000003</v>
      </c>
      <c r="AK9480">
        <v>47.968420000000002</v>
      </c>
    </row>
    <row r="9481" spans="1:37" x14ac:dyDescent="0.3">
      <c r="A9481">
        <v>9480</v>
      </c>
      <c r="B9481">
        <v>0</v>
      </c>
      <c r="C9481">
        <v>10.8347</v>
      </c>
      <c r="D9481">
        <v>3.9458299999999999</v>
      </c>
      <c r="E9481" t="s">
        <v>14399</v>
      </c>
      <c r="F9481" t="s">
        <v>14400</v>
      </c>
      <c r="G9481" t="s">
        <v>37</v>
      </c>
      <c r="H9481">
        <v>1990</v>
      </c>
      <c r="I9481">
        <v>25</v>
      </c>
      <c r="J9481">
        <v>8.3000000000000007</v>
      </c>
      <c r="K9481">
        <v>69</v>
      </c>
      <c r="L9481">
        <v>11.46</v>
      </c>
      <c r="M9481">
        <v>31.5</v>
      </c>
      <c r="N9481">
        <v>19.600000000000001</v>
      </c>
      <c r="O9481">
        <v>11.9</v>
      </c>
      <c r="P9481">
        <v>23.8</v>
      </c>
      <c r="Q9481">
        <v>26.1</v>
      </c>
      <c r="R9481">
        <v>26.3</v>
      </c>
      <c r="S9481">
        <v>23.4</v>
      </c>
      <c r="T9481">
        <v>2135</v>
      </c>
      <c r="U9481">
        <v>374</v>
      </c>
      <c r="V9481">
        <v>21</v>
      </c>
      <c r="W9481">
        <v>63</v>
      </c>
      <c r="X9481">
        <v>974</v>
      </c>
      <c r="Y9481">
        <v>86</v>
      </c>
      <c r="Z9481">
        <v>215</v>
      </c>
      <c r="AA9481">
        <v>771</v>
      </c>
      <c r="AB9481">
        <v>14.44914</v>
      </c>
      <c r="AC9481">
        <v>8.5579209999999996E-3</v>
      </c>
      <c r="AD9481">
        <v>6.8040969999999996</v>
      </c>
      <c r="AE9481">
        <v>0.22345960000000001</v>
      </c>
      <c r="AF9481">
        <v>390.43329999999997</v>
      </c>
      <c r="AG9481">
        <f>IFERROR(AH9481*0.1, "N/A")</f>
        <v>5.2291230000000004</v>
      </c>
      <c r="AH9481">
        <v>52.291229999999999</v>
      </c>
      <c r="AI9481">
        <v>148.48580000000001</v>
      </c>
      <c r="AJ9481">
        <v>34.277189999999997</v>
      </c>
      <c r="AK9481">
        <v>51.008769999999998</v>
      </c>
    </row>
    <row r="9482" spans="1:37" x14ac:dyDescent="0.3">
      <c r="A9482">
        <v>9481</v>
      </c>
      <c r="B9482">
        <v>0</v>
      </c>
      <c r="C9482">
        <v>10.8347</v>
      </c>
      <c r="D9482">
        <v>3.9458299999999999</v>
      </c>
      <c r="E9482" t="s">
        <v>14399</v>
      </c>
      <c r="F9482" t="s">
        <v>14401</v>
      </c>
      <c r="G9482" t="s">
        <v>2420</v>
      </c>
      <c r="H9482">
        <v>1990</v>
      </c>
      <c r="I9482">
        <v>25</v>
      </c>
      <c r="J9482">
        <v>8.3000000000000007</v>
      </c>
      <c r="K9482">
        <v>69</v>
      </c>
      <c r="L9482">
        <v>11.46</v>
      </c>
      <c r="M9482">
        <v>31.5</v>
      </c>
      <c r="N9482">
        <v>19.600000000000001</v>
      </c>
      <c r="O9482">
        <v>11.9</v>
      </c>
      <c r="P9482">
        <v>23.8</v>
      </c>
      <c r="Q9482">
        <v>26.1</v>
      </c>
      <c r="R9482">
        <v>26.3</v>
      </c>
      <c r="S9482">
        <v>23.4</v>
      </c>
      <c r="T9482">
        <v>2135</v>
      </c>
      <c r="U9482">
        <v>374</v>
      </c>
      <c r="V9482">
        <v>21</v>
      </c>
      <c r="W9482">
        <v>63</v>
      </c>
      <c r="X9482">
        <v>974</v>
      </c>
      <c r="Y9482">
        <v>86</v>
      </c>
      <c r="Z9482">
        <v>215</v>
      </c>
      <c r="AA9482">
        <v>771</v>
      </c>
      <c r="AB9482">
        <v>14.44914</v>
      </c>
      <c r="AC9482">
        <v>8.5579209999999996E-3</v>
      </c>
      <c r="AD9482">
        <v>6.8040969999999996</v>
      </c>
      <c r="AE9482">
        <v>0.22345960000000001</v>
      </c>
      <c r="AF9482">
        <v>390.43329999999997</v>
      </c>
      <c r="AG9482">
        <f>IFERROR(AH9482*0.1, "N/A")</f>
        <v>5.2291230000000004</v>
      </c>
      <c r="AH9482">
        <v>52.291229999999999</v>
      </c>
      <c r="AI9482">
        <v>148.48580000000001</v>
      </c>
      <c r="AJ9482">
        <v>34.277189999999997</v>
      </c>
      <c r="AK9482">
        <v>51.008769999999998</v>
      </c>
    </row>
    <row r="9483" spans="1:37" x14ac:dyDescent="0.3">
      <c r="A9483">
        <v>9482</v>
      </c>
      <c r="B9483">
        <v>0</v>
      </c>
      <c r="C9483">
        <v>10.886100000000001</v>
      </c>
      <c r="D9483">
        <v>3.9458299999999999</v>
      </c>
      <c r="E9483" t="s">
        <v>14402</v>
      </c>
      <c r="F9483" t="s">
        <v>14403</v>
      </c>
      <c r="G9483" t="s">
        <v>37</v>
      </c>
      <c r="H9483">
        <v>1990</v>
      </c>
      <c r="I9483">
        <v>25.1</v>
      </c>
      <c r="J9483">
        <v>8.4</v>
      </c>
      <c r="K9483">
        <v>71</v>
      </c>
      <c r="L9483">
        <v>10.77</v>
      </c>
      <c r="M9483">
        <v>31.5</v>
      </c>
      <c r="N9483">
        <v>19.7</v>
      </c>
      <c r="O9483">
        <v>11.8</v>
      </c>
      <c r="P9483">
        <v>23.9</v>
      </c>
      <c r="Q9483">
        <v>26.1</v>
      </c>
      <c r="R9483">
        <v>26.3</v>
      </c>
      <c r="S9483">
        <v>23.6</v>
      </c>
      <c r="T9483">
        <v>2085</v>
      </c>
      <c r="U9483">
        <v>362</v>
      </c>
      <c r="V9483">
        <v>20</v>
      </c>
      <c r="W9483">
        <v>63</v>
      </c>
      <c r="X9483">
        <v>942</v>
      </c>
      <c r="Y9483">
        <v>85</v>
      </c>
      <c r="Z9483">
        <v>213</v>
      </c>
      <c r="AA9483">
        <v>736</v>
      </c>
      <c r="AB9483">
        <v>23.55245</v>
      </c>
      <c r="AC9483">
        <v>1.0645089999999999E-2</v>
      </c>
      <c r="AD9483">
        <v>2.766054</v>
      </c>
      <c r="AE9483">
        <v>0.2158534</v>
      </c>
      <c r="AF9483">
        <v>384.93360000000001</v>
      </c>
      <c r="AG9483">
        <f>IFERROR(AH9483*0.1, "N/A")</f>
        <v>5.0159090000000006</v>
      </c>
      <c r="AH9483">
        <v>50.159089999999999</v>
      </c>
      <c r="AI9483">
        <v>187.8974</v>
      </c>
      <c r="AJ9483">
        <v>31.765730000000001</v>
      </c>
      <c r="AK9483">
        <v>55.234270000000002</v>
      </c>
    </row>
    <row r="9484" spans="1:37" x14ac:dyDescent="0.3">
      <c r="A9484">
        <v>9483</v>
      </c>
      <c r="B9484">
        <v>0</v>
      </c>
      <c r="C9484">
        <v>10.886100000000001</v>
      </c>
      <c r="D9484">
        <v>3.9458299999999999</v>
      </c>
      <c r="E9484" t="s">
        <v>14402</v>
      </c>
      <c r="F9484" t="s">
        <v>14404</v>
      </c>
      <c r="G9484" t="s">
        <v>2420</v>
      </c>
      <c r="H9484">
        <v>1990</v>
      </c>
      <c r="I9484">
        <v>25.1</v>
      </c>
      <c r="J9484">
        <v>8.4</v>
      </c>
      <c r="K9484">
        <v>71</v>
      </c>
      <c r="L9484">
        <v>10.77</v>
      </c>
      <c r="M9484">
        <v>31.5</v>
      </c>
      <c r="N9484">
        <v>19.7</v>
      </c>
      <c r="O9484">
        <v>11.8</v>
      </c>
      <c r="P9484">
        <v>23.9</v>
      </c>
      <c r="Q9484">
        <v>26.1</v>
      </c>
      <c r="R9484">
        <v>26.3</v>
      </c>
      <c r="S9484">
        <v>23.6</v>
      </c>
      <c r="T9484">
        <v>2085</v>
      </c>
      <c r="U9484">
        <v>362</v>
      </c>
      <c r="V9484">
        <v>20</v>
      </c>
      <c r="W9484">
        <v>63</v>
      </c>
      <c r="X9484">
        <v>942</v>
      </c>
      <c r="Y9484">
        <v>85</v>
      </c>
      <c r="Z9484">
        <v>213</v>
      </c>
      <c r="AA9484">
        <v>736</v>
      </c>
      <c r="AB9484">
        <v>23.55245</v>
      </c>
      <c r="AC9484">
        <v>1.0645089999999999E-2</v>
      </c>
      <c r="AD9484">
        <v>2.766054</v>
      </c>
      <c r="AE9484">
        <v>0.2158534</v>
      </c>
      <c r="AF9484">
        <v>384.93360000000001</v>
      </c>
      <c r="AG9484">
        <f>IFERROR(AH9484*0.1, "N/A")</f>
        <v>5.0159090000000006</v>
      </c>
      <c r="AH9484">
        <v>50.159089999999999</v>
      </c>
      <c r="AI9484">
        <v>187.8974</v>
      </c>
      <c r="AJ9484">
        <v>31.765730000000001</v>
      </c>
      <c r="AK9484">
        <v>55.234270000000002</v>
      </c>
    </row>
    <row r="9485" spans="1:37" x14ac:dyDescent="0.3">
      <c r="A9485">
        <v>9484</v>
      </c>
      <c r="B9485">
        <v>0</v>
      </c>
      <c r="C9485">
        <v>10.558299999999999</v>
      </c>
      <c r="D9485">
        <v>3.9641700000000002</v>
      </c>
      <c r="E9485" t="s">
        <v>14405</v>
      </c>
      <c r="F9485" t="s">
        <v>14406</v>
      </c>
      <c r="G9485" t="s">
        <v>37</v>
      </c>
      <c r="H9485">
        <v>1990</v>
      </c>
      <c r="I9485">
        <v>25.4</v>
      </c>
      <c r="J9485">
        <v>8</v>
      </c>
      <c r="K9485">
        <v>68</v>
      </c>
      <c r="L9485">
        <v>11.74891</v>
      </c>
      <c r="M9485">
        <v>31.7</v>
      </c>
      <c r="N9485">
        <v>20.100000000000001</v>
      </c>
      <c r="O9485">
        <v>11.6</v>
      </c>
      <c r="P9485">
        <v>24.26831</v>
      </c>
      <c r="Q9485">
        <v>26.48415</v>
      </c>
      <c r="R9485">
        <v>26.6</v>
      </c>
      <c r="S9485">
        <v>23.7</v>
      </c>
      <c r="T9485">
        <v>2387.9009999999998</v>
      </c>
      <c r="U9485">
        <v>430.47539999999998</v>
      </c>
      <c r="V9485">
        <v>23</v>
      </c>
      <c r="W9485">
        <v>64</v>
      </c>
      <c r="X9485">
        <v>1125.268</v>
      </c>
      <c r="Y9485">
        <v>89</v>
      </c>
      <c r="Z9485">
        <v>248.26410000000001</v>
      </c>
      <c r="AA9485">
        <v>952.58450000000005</v>
      </c>
      <c r="AB9485">
        <v>13.08681</v>
      </c>
      <c r="AC9485">
        <v>2.8105749999999999E-2</v>
      </c>
      <c r="AD9485">
        <v>3.995695</v>
      </c>
      <c r="AE9485">
        <v>0.1670509</v>
      </c>
      <c r="AF9485">
        <v>289.77820000000003</v>
      </c>
      <c r="AG9485">
        <f>IFERROR(AH9485*0.1, "N/A")</f>
        <v>4.9841550000000003</v>
      </c>
      <c r="AH9485">
        <v>49.841549999999998</v>
      </c>
      <c r="AI9485">
        <v>75.172280000000001</v>
      </c>
      <c r="AJ9485">
        <v>28.64085</v>
      </c>
      <c r="AK9485">
        <v>57.200699999999998</v>
      </c>
    </row>
    <row r="9486" spans="1:37" x14ac:dyDescent="0.3">
      <c r="A9486">
        <v>9485</v>
      </c>
      <c r="B9486">
        <v>0</v>
      </c>
      <c r="C9486">
        <v>10.558299999999999</v>
      </c>
      <c r="D9486">
        <v>3.9641700000000002</v>
      </c>
      <c r="E9486" t="s">
        <v>14405</v>
      </c>
      <c r="F9486" t="s">
        <v>14407</v>
      </c>
      <c r="G9486" t="s">
        <v>2420</v>
      </c>
      <c r="H9486">
        <v>1990</v>
      </c>
      <c r="I9486">
        <v>25.4</v>
      </c>
      <c r="J9486">
        <v>8</v>
      </c>
      <c r="K9486">
        <v>68</v>
      </c>
      <c r="L9486">
        <v>11.74891</v>
      </c>
      <c r="M9486">
        <v>31.7</v>
      </c>
      <c r="N9486">
        <v>20.100000000000001</v>
      </c>
      <c r="O9486">
        <v>11.6</v>
      </c>
      <c r="P9486">
        <v>24.26831</v>
      </c>
      <c r="Q9486">
        <v>26.48415</v>
      </c>
      <c r="R9486">
        <v>26.6</v>
      </c>
      <c r="S9486">
        <v>23.7</v>
      </c>
      <c r="T9486">
        <v>2387.9009999999998</v>
      </c>
      <c r="U9486">
        <v>430.47539999999998</v>
      </c>
      <c r="V9486">
        <v>23</v>
      </c>
      <c r="W9486">
        <v>64</v>
      </c>
      <c r="X9486">
        <v>1125.268</v>
      </c>
      <c r="Y9486">
        <v>89</v>
      </c>
      <c r="Z9486">
        <v>248.26410000000001</v>
      </c>
      <c r="AA9486">
        <v>952.58450000000005</v>
      </c>
      <c r="AB9486">
        <v>13.08681</v>
      </c>
      <c r="AC9486">
        <v>2.8105749999999999E-2</v>
      </c>
      <c r="AD9486">
        <v>3.995695</v>
      </c>
      <c r="AE9486">
        <v>0.1670509</v>
      </c>
      <c r="AF9486">
        <v>289.77820000000003</v>
      </c>
      <c r="AG9486">
        <f>IFERROR(AH9486*0.1, "N/A")</f>
        <v>4.9841550000000003</v>
      </c>
      <c r="AH9486">
        <v>49.841549999999998</v>
      </c>
      <c r="AI9486">
        <v>75.172280000000001</v>
      </c>
      <c r="AJ9486">
        <v>28.64085</v>
      </c>
      <c r="AK9486">
        <v>57.200699999999998</v>
      </c>
    </row>
    <row r="9487" spans="1:37" x14ac:dyDescent="0.3">
      <c r="A9487">
        <v>9486</v>
      </c>
      <c r="B9487">
        <v>4.5999999999999996</v>
      </c>
      <c r="C9487">
        <v>14.2667</v>
      </c>
      <c r="D9487">
        <v>3.9666700000000001</v>
      </c>
      <c r="E9487" t="s">
        <v>14408</v>
      </c>
      <c r="F9487" t="s">
        <v>14409</v>
      </c>
      <c r="G9487" t="s">
        <v>39</v>
      </c>
      <c r="H9487">
        <v>1990</v>
      </c>
      <c r="I9487">
        <v>23.800180000000001</v>
      </c>
      <c r="J9487">
        <v>10.4</v>
      </c>
      <c r="K9487">
        <v>78.168719999999993</v>
      </c>
      <c r="L9487">
        <v>6.460896</v>
      </c>
      <c r="M9487">
        <v>30.561160000000001</v>
      </c>
      <c r="N9487">
        <v>17.355889999999999</v>
      </c>
      <c r="O9487">
        <v>13.205270000000001</v>
      </c>
      <c r="P9487">
        <v>23.600180000000002</v>
      </c>
      <c r="Q9487">
        <v>23.578029999999998</v>
      </c>
      <c r="R9487">
        <v>24.76116</v>
      </c>
      <c r="S9487">
        <v>23.161159999999999</v>
      </c>
      <c r="T9487">
        <v>1494.1669999999999</v>
      </c>
      <c r="U9487">
        <v>247</v>
      </c>
      <c r="V9487">
        <v>31.778559999999999</v>
      </c>
      <c r="W9487">
        <v>49</v>
      </c>
      <c r="X9487">
        <v>565.05100000000004</v>
      </c>
      <c r="Y9487">
        <v>130.21789999999999</v>
      </c>
      <c r="Z9487">
        <v>468.55709999999999</v>
      </c>
      <c r="AA9487">
        <v>398.39190000000002</v>
      </c>
      <c r="AB9487">
        <v>36.787869999999998</v>
      </c>
      <c r="AC9487">
        <v>3.396126E-2</v>
      </c>
      <c r="AD9487">
        <v>7.4092710000000004</v>
      </c>
      <c r="AE9487">
        <v>0.50470340000000002</v>
      </c>
      <c r="AF9487">
        <v>630.3374</v>
      </c>
      <c r="AG9487">
        <f>IFERROR(AH9487*0.1, "N/A")</f>
        <v>5.3121270000000003</v>
      </c>
      <c r="AH9487">
        <v>53.121270000000003</v>
      </c>
      <c r="AI9487">
        <v>271.63499999999999</v>
      </c>
      <c r="AJ9487">
        <v>30.681899999999999</v>
      </c>
      <c r="AK9487">
        <v>53.318100000000001</v>
      </c>
    </row>
    <row r="9488" spans="1:37" x14ac:dyDescent="0.3">
      <c r="A9488">
        <v>9487</v>
      </c>
      <c r="B9488">
        <v>1.8</v>
      </c>
      <c r="C9488">
        <v>14.2667</v>
      </c>
      <c r="D9488">
        <v>3.9666700000000001</v>
      </c>
      <c r="E9488" t="s">
        <v>14408</v>
      </c>
      <c r="F9488" t="s">
        <v>14410</v>
      </c>
      <c r="G9488" t="s">
        <v>37</v>
      </c>
      <c r="H9488">
        <v>1990</v>
      </c>
      <c r="I9488">
        <v>23.800180000000001</v>
      </c>
      <c r="J9488">
        <v>10.4</v>
      </c>
      <c r="K9488">
        <v>78.168719999999993</v>
      </c>
      <c r="L9488">
        <v>6.460896</v>
      </c>
      <c r="M9488">
        <v>30.561160000000001</v>
      </c>
      <c r="N9488">
        <v>17.355889999999999</v>
      </c>
      <c r="O9488">
        <v>13.205270000000001</v>
      </c>
      <c r="P9488">
        <v>23.600180000000002</v>
      </c>
      <c r="Q9488">
        <v>23.578029999999998</v>
      </c>
      <c r="R9488">
        <v>24.76116</v>
      </c>
      <c r="S9488">
        <v>23.161159999999999</v>
      </c>
      <c r="T9488">
        <v>1494.1669999999999</v>
      </c>
      <c r="U9488">
        <v>247</v>
      </c>
      <c r="V9488">
        <v>31.778559999999999</v>
      </c>
      <c r="W9488">
        <v>49</v>
      </c>
      <c r="X9488">
        <v>565.05100000000004</v>
      </c>
      <c r="Y9488">
        <v>130.21789999999999</v>
      </c>
      <c r="Z9488">
        <v>468.55709999999999</v>
      </c>
      <c r="AA9488">
        <v>398.39190000000002</v>
      </c>
      <c r="AB9488">
        <v>36.787869999999998</v>
      </c>
      <c r="AC9488">
        <v>3.396126E-2</v>
      </c>
      <c r="AD9488">
        <v>7.4092710000000004</v>
      </c>
      <c r="AE9488">
        <v>0.50470340000000002</v>
      </c>
      <c r="AF9488">
        <v>630.3374</v>
      </c>
      <c r="AG9488">
        <f>IFERROR(AH9488*0.1, "N/A")</f>
        <v>5.3121270000000003</v>
      </c>
      <c r="AH9488">
        <v>53.121270000000003</v>
      </c>
      <c r="AI9488">
        <v>271.63499999999999</v>
      </c>
      <c r="AJ9488">
        <v>30.681899999999999</v>
      </c>
      <c r="AK9488">
        <v>53.318100000000001</v>
      </c>
    </row>
    <row r="9489" spans="1:37" x14ac:dyDescent="0.3">
      <c r="A9489">
        <v>9488</v>
      </c>
      <c r="B9489">
        <v>0</v>
      </c>
      <c r="C9489">
        <v>14.2667</v>
      </c>
      <c r="D9489">
        <v>3.9666700000000001</v>
      </c>
      <c r="E9489" t="s">
        <v>14408</v>
      </c>
      <c r="F9489" t="s">
        <v>14411</v>
      </c>
      <c r="G9489" t="s">
        <v>2420</v>
      </c>
      <c r="H9489">
        <v>1990</v>
      </c>
      <c r="I9489">
        <v>23.800180000000001</v>
      </c>
      <c r="J9489">
        <v>10.4</v>
      </c>
      <c r="K9489">
        <v>78.168719999999993</v>
      </c>
      <c r="L9489">
        <v>6.460896</v>
      </c>
      <c r="M9489">
        <v>30.561160000000001</v>
      </c>
      <c r="N9489">
        <v>17.355889999999999</v>
      </c>
      <c r="O9489">
        <v>13.205270000000001</v>
      </c>
      <c r="P9489">
        <v>23.600180000000002</v>
      </c>
      <c r="Q9489">
        <v>23.578029999999998</v>
      </c>
      <c r="R9489">
        <v>24.76116</v>
      </c>
      <c r="S9489">
        <v>23.161159999999999</v>
      </c>
      <c r="T9489">
        <v>1494.1669999999999</v>
      </c>
      <c r="U9489">
        <v>247</v>
      </c>
      <c r="V9489">
        <v>31.778559999999999</v>
      </c>
      <c r="W9489">
        <v>49</v>
      </c>
      <c r="X9489">
        <v>565.05100000000004</v>
      </c>
      <c r="Y9489">
        <v>130.21789999999999</v>
      </c>
      <c r="Z9489">
        <v>468.55709999999999</v>
      </c>
      <c r="AA9489">
        <v>398.39190000000002</v>
      </c>
      <c r="AB9489">
        <v>36.787869999999998</v>
      </c>
      <c r="AC9489">
        <v>3.396126E-2</v>
      </c>
      <c r="AD9489">
        <v>7.4092710000000004</v>
      </c>
      <c r="AE9489">
        <v>0.50470340000000002</v>
      </c>
      <c r="AF9489">
        <v>630.3374</v>
      </c>
      <c r="AG9489">
        <f>IFERROR(AH9489*0.1, "N/A")</f>
        <v>5.3121270000000003</v>
      </c>
      <c r="AH9489">
        <v>53.121270000000003</v>
      </c>
      <c r="AI9489">
        <v>271.63499999999999</v>
      </c>
      <c r="AJ9489">
        <v>30.681899999999999</v>
      </c>
      <c r="AK9489">
        <v>53.318100000000001</v>
      </c>
    </row>
    <row r="9490" spans="1:37" x14ac:dyDescent="0.3">
      <c r="A9490">
        <v>9489</v>
      </c>
      <c r="B9490">
        <v>2.2999999999999998</v>
      </c>
      <c r="C9490">
        <v>11.289400000000001</v>
      </c>
      <c r="D9490">
        <v>3.97</v>
      </c>
      <c r="E9490" t="s">
        <v>14412</v>
      </c>
      <c r="F9490" t="s">
        <v>14413</v>
      </c>
      <c r="G9490" t="s">
        <v>37</v>
      </c>
      <c r="H9490">
        <v>1990</v>
      </c>
      <c r="I9490">
        <v>24.4</v>
      </c>
      <c r="J9490">
        <v>8.9</v>
      </c>
      <c r="K9490">
        <v>77</v>
      </c>
      <c r="L9490">
        <v>8.56</v>
      </c>
      <c r="M9490">
        <v>30.6</v>
      </c>
      <c r="N9490">
        <v>19.100000000000001</v>
      </c>
      <c r="O9490">
        <v>11.5</v>
      </c>
      <c r="P9490">
        <v>23.5</v>
      </c>
      <c r="Q9490">
        <v>25.2</v>
      </c>
      <c r="R9490">
        <v>25.4</v>
      </c>
      <c r="S9490">
        <v>23.2</v>
      </c>
      <c r="T9490">
        <v>1761</v>
      </c>
      <c r="U9490">
        <v>313</v>
      </c>
      <c r="V9490">
        <v>19</v>
      </c>
      <c r="W9490">
        <v>62</v>
      </c>
      <c r="X9490">
        <v>736</v>
      </c>
      <c r="Y9490">
        <v>89</v>
      </c>
      <c r="Z9490">
        <v>210</v>
      </c>
      <c r="AA9490">
        <v>520</v>
      </c>
      <c r="AB9490">
        <v>19.236709999999999</v>
      </c>
      <c r="AC9490">
        <v>7.5970650000000001E-2</v>
      </c>
      <c r="AD9490">
        <v>2.313771</v>
      </c>
      <c r="AE9490">
        <v>0.20831379999999999</v>
      </c>
      <c r="AF9490">
        <v>570.75220000000002</v>
      </c>
      <c r="AG9490">
        <f>IFERROR(AH9490*0.1, "N/A")</f>
        <v>4.8588750000000003</v>
      </c>
      <c r="AH9490">
        <v>48.588749999999997</v>
      </c>
      <c r="AI9490">
        <v>192.31039999999999</v>
      </c>
      <c r="AJ9490">
        <v>40.261859999999999</v>
      </c>
      <c r="AK9490">
        <v>50.49736</v>
      </c>
    </row>
    <row r="9491" spans="1:37" x14ac:dyDescent="0.3">
      <c r="A9491">
        <v>9490</v>
      </c>
      <c r="B9491">
        <v>0</v>
      </c>
      <c r="C9491">
        <v>11.289400000000001</v>
      </c>
      <c r="D9491">
        <v>3.97</v>
      </c>
      <c r="E9491" t="s">
        <v>14412</v>
      </c>
      <c r="F9491" t="s">
        <v>14414</v>
      </c>
      <c r="G9491" t="s">
        <v>2420</v>
      </c>
      <c r="H9491">
        <v>1990</v>
      </c>
      <c r="I9491">
        <v>24.4</v>
      </c>
      <c r="J9491">
        <v>8.9</v>
      </c>
      <c r="K9491">
        <v>77</v>
      </c>
      <c r="L9491">
        <v>8.56</v>
      </c>
      <c r="M9491">
        <v>30.6</v>
      </c>
      <c r="N9491">
        <v>19.100000000000001</v>
      </c>
      <c r="O9491">
        <v>11.5</v>
      </c>
      <c r="P9491">
        <v>23.5</v>
      </c>
      <c r="Q9491">
        <v>25.2</v>
      </c>
      <c r="R9491">
        <v>25.4</v>
      </c>
      <c r="S9491">
        <v>23.2</v>
      </c>
      <c r="T9491">
        <v>1761</v>
      </c>
      <c r="U9491">
        <v>313</v>
      </c>
      <c r="V9491">
        <v>19</v>
      </c>
      <c r="W9491">
        <v>62</v>
      </c>
      <c r="X9491">
        <v>736</v>
      </c>
      <c r="Y9491">
        <v>89</v>
      </c>
      <c r="Z9491">
        <v>210</v>
      </c>
      <c r="AA9491">
        <v>520</v>
      </c>
      <c r="AB9491">
        <v>19.236709999999999</v>
      </c>
      <c r="AC9491">
        <v>7.5970650000000001E-2</v>
      </c>
      <c r="AD9491">
        <v>2.313771</v>
      </c>
      <c r="AE9491">
        <v>0.20831379999999999</v>
      </c>
      <c r="AF9491">
        <v>570.75220000000002</v>
      </c>
      <c r="AG9491">
        <f>IFERROR(AH9491*0.1, "N/A")</f>
        <v>4.8588750000000003</v>
      </c>
      <c r="AH9491">
        <v>48.588749999999997</v>
      </c>
      <c r="AI9491">
        <v>192.31039999999999</v>
      </c>
      <c r="AJ9491">
        <v>40.261859999999999</v>
      </c>
      <c r="AK9491">
        <v>50.49736</v>
      </c>
    </row>
    <row r="9492" spans="1:37" x14ac:dyDescent="0.3">
      <c r="A9492">
        <v>9491</v>
      </c>
      <c r="B9492">
        <v>0</v>
      </c>
      <c r="C9492">
        <v>10.8056</v>
      </c>
      <c r="D9492">
        <v>3.98333</v>
      </c>
      <c r="E9492" t="s">
        <v>14415</v>
      </c>
      <c r="F9492" t="s">
        <v>14416</v>
      </c>
      <c r="G9492" t="s">
        <v>37</v>
      </c>
      <c r="H9492">
        <v>1990</v>
      </c>
      <c r="I9492">
        <v>24.443159999999999</v>
      </c>
      <c r="J9492">
        <v>8.432105</v>
      </c>
      <c r="K9492">
        <v>70</v>
      </c>
      <c r="L9492">
        <v>10.97753</v>
      </c>
      <c r="M9492">
        <v>30.843160000000001</v>
      </c>
      <c r="N9492">
        <v>18.911049999999999</v>
      </c>
      <c r="O9492">
        <v>11.93211</v>
      </c>
      <c r="P9492">
        <v>23.24316</v>
      </c>
      <c r="Q9492">
        <v>25.443159999999999</v>
      </c>
      <c r="R9492">
        <v>25.54316</v>
      </c>
      <c r="S9492">
        <v>22.843160000000001</v>
      </c>
      <c r="T9492">
        <v>2193.2840000000001</v>
      </c>
      <c r="U9492">
        <v>391.64210000000003</v>
      </c>
      <c r="V9492">
        <v>20</v>
      </c>
      <c r="W9492">
        <v>64</v>
      </c>
      <c r="X9492">
        <v>1024.9259999999999</v>
      </c>
      <c r="Y9492">
        <v>83.642110000000002</v>
      </c>
      <c r="Z9492">
        <v>211.6421</v>
      </c>
      <c r="AA9492">
        <v>840.17370000000005</v>
      </c>
      <c r="AB9492">
        <v>135.63200000000001</v>
      </c>
      <c r="AC9492">
        <v>2.2845069999999999E-2</v>
      </c>
      <c r="AD9492">
        <v>28.768439999999998</v>
      </c>
      <c r="AE9492">
        <v>0.15219379999999999</v>
      </c>
      <c r="AF9492">
        <v>545.06140000000005</v>
      </c>
      <c r="AG9492">
        <f>IFERROR(AH9492*0.1, "N/A")</f>
        <v>4.7694740000000007</v>
      </c>
      <c r="AH9492">
        <v>47.694740000000003</v>
      </c>
      <c r="AI9492">
        <v>73.187129999999996</v>
      </c>
      <c r="AJ9492">
        <v>40.389470000000003</v>
      </c>
      <c r="AK9492">
        <v>46.221049999999998</v>
      </c>
    </row>
    <row r="9493" spans="1:37" x14ac:dyDescent="0.3">
      <c r="A9493">
        <v>9492</v>
      </c>
      <c r="B9493">
        <v>4.2</v>
      </c>
      <c r="C9493">
        <v>10.8056</v>
      </c>
      <c r="D9493">
        <v>3.98333</v>
      </c>
      <c r="E9493" t="s">
        <v>14415</v>
      </c>
      <c r="F9493" t="s">
        <v>14417</v>
      </c>
      <c r="G9493" t="s">
        <v>2420</v>
      </c>
      <c r="H9493">
        <v>1990</v>
      </c>
      <c r="I9493">
        <v>24.443159999999999</v>
      </c>
      <c r="J9493">
        <v>8.432105</v>
      </c>
      <c r="K9493">
        <v>70</v>
      </c>
      <c r="L9493">
        <v>10.97753</v>
      </c>
      <c r="M9493">
        <v>30.843160000000001</v>
      </c>
      <c r="N9493">
        <v>18.911049999999999</v>
      </c>
      <c r="O9493">
        <v>11.93211</v>
      </c>
      <c r="P9493">
        <v>23.24316</v>
      </c>
      <c r="Q9493">
        <v>25.443159999999999</v>
      </c>
      <c r="R9493">
        <v>25.54316</v>
      </c>
      <c r="S9493">
        <v>22.843160000000001</v>
      </c>
      <c r="T9493">
        <v>2193.2840000000001</v>
      </c>
      <c r="U9493">
        <v>391.64210000000003</v>
      </c>
      <c r="V9493">
        <v>20</v>
      </c>
      <c r="W9493">
        <v>64</v>
      </c>
      <c r="X9493">
        <v>1024.9259999999999</v>
      </c>
      <c r="Y9493">
        <v>83.642110000000002</v>
      </c>
      <c r="Z9493">
        <v>211.6421</v>
      </c>
      <c r="AA9493">
        <v>840.17370000000005</v>
      </c>
      <c r="AB9493">
        <v>135.63200000000001</v>
      </c>
      <c r="AC9493">
        <v>2.2845069999999999E-2</v>
      </c>
      <c r="AD9493">
        <v>28.768439999999998</v>
      </c>
      <c r="AE9493">
        <v>0.15219379999999999</v>
      </c>
      <c r="AF9493">
        <v>545.06140000000005</v>
      </c>
      <c r="AG9493">
        <f>IFERROR(AH9493*0.1, "N/A")</f>
        <v>4.7694740000000007</v>
      </c>
      <c r="AH9493">
        <v>47.694740000000003</v>
      </c>
      <c r="AI9493">
        <v>73.187129999999996</v>
      </c>
      <c r="AJ9493">
        <v>40.389470000000003</v>
      </c>
      <c r="AK9493">
        <v>46.221049999999998</v>
      </c>
    </row>
    <row r="9494" spans="1:37" x14ac:dyDescent="0.3">
      <c r="A9494">
        <v>9493</v>
      </c>
      <c r="B9494">
        <v>0</v>
      </c>
      <c r="C9494">
        <v>13.183299999999999</v>
      </c>
      <c r="D9494">
        <v>3.98333</v>
      </c>
      <c r="E9494" t="s">
        <v>14418</v>
      </c>
      <c r="F9494" t="s">
        <v>14419</v>
      </c>
      <c r="G9494" t="s">
        <v>39</v>
      </c>
      <c r="H9494">
        <v>1990</v>
      </c>
      <c r="I9494">
        <v>23.280909999999999</v>
      </c>
      <c r="J9494">
        <v>9.6322240000000008</v>
      </c>
      <c r="K9494">
        <v>78.322239999999994</v>
      </c>
      <c r="L9494">
        <v>7.1307700000000001</v>
      </c>
      <c r="M9494">
        <v>29.73555</v>
      </c>
      <c r="N9494">
        <v>17.535550000000001</v>
      </c>
      <c r="O9494">
        <v>12.2</v>
      </c>
      <c r="P9494">
        <v>22.641860000000001</v>
      </c>
      <c r="Q9494">
        <v>23.161470000000001</v>
      </c>
      <c r="R9494">
        <v>24.180910000000001</v>
      </c>
      <c r="S9494">
        <v>22.535550000000001</v>
      </c>
      <c r="T9494">
        <v>1626.674</v>
      </c>
      <c r="U9494">
        <v>293.32220000000001</v>
      </c>
      <c r="V9494">
        <v>22</v>
      </c>
      <c r="W9494">
        <v>59</v>
      </c>
      <c r="X9494">
        <v>672.96669999999995</v>
      </c>
      <c r="Y9494">
        <v>103.063</v>
      </c>
      <c r="Z9494">
        <v>492.64449999999999</v>
      </c>
      <c r="AA9494">
        <v>384.32220000000001</v>
      </c>
      <c r="AB9494">
        <v>37.677930000000003</v>
      </c>
      <c r="AC9494">
        <v>2.5239399999999999E-2</v>
      </c>
      <c r="AD9494">
        <v>2.5977600000000001</v>
      </c>
      <c r="AE9494">
        <v>0.55989489999999997</v>
      </c>
      <c r="AF9494">
        <v>685.35550000000001</v>
      </c>
      <c r="AG9494">
        <f>IFERROR(AH9494*0.1, "N/A")</f>
        <v>5.6000000000000005</v>
      </c>
      <c r="AH9494">
        <v>56</v>
      </c>
      <c r="AI9494">
        <v>142.42840000000001</v>
      </c>
      <c r="AJ9494">
        <v>24.971979999999999</v>
      </c>
      <c r="AK9494">
        <v>59.416809999999998</v>
      </c>
    </row>
    <row r="9495" spans="1:37" x14ac:dyDescent="0.3">
      <c r="A9495">
        <v>9494</v>
      </c>
      <c r="B9495">
        <v>0</v>
      </c>
      <c r="C9495">
        <v>13.183299999999999</v>
      </c>
      <c r="D9495">
        <v>3.98333</v>
      </c>
      <c r="E9495" t="s">
        <v>14418</v>
      </c>
      <c r="F9495" t="s">
        <v>14420</v>
      </c>
      <c r="G9495" t="s">
        <v>37</v>
      </c>
      <c r="H9495">
        <v>1990</v>
      </c>
      <c r="I9495">
        <v>23.280909999999999</v>
      </c>
      <c r="J9495">
        <v>9.6322240000000008</v>
      </c>
      <c r="K9495">
        <v>78.322239999999994</v>
      </c>
      <c r="L9495">
        <v>7.1307700000000001</v>
      </c>
      <c r="M9495">
        <v>29.73555</v>
      </c>
      <c r="N9495">
        <v>17.535550000000001</v>
      </c>
      <c r="O9495">
        <v>12.2</v>
      </c>
      <c r="P9495">
        <v>22.641860000000001</v>
      </c>
      <c r="Q9495">
        <v>23.161470000000001</v>
      </c>
      <c r="R9495">
        <v>24.180910000000001</v>
      </c>
      <c r="S9495">
        <v>22.535550000000001</v>
      </c>
      <c r="T9495">
        <v>1626.674</v>
      </c>
      <c r="U9495">
        <v>293.32220000000001</v>
      </c>
      <c r="V9495">
        <v>22</v>
      </c>
      <c r="W9495">
        <v>59</v>
      </c>
      <c r="X9495">
        <v>672.96669999999995</v>
      </c>
      <c r="Y9495">
        <v>103.063</v>
      </c>
      <c r="Z9495">
        <v>492.64449999999999</v>
      </c>
      <c r="AA9495">
        <v>384.32220000000001</v>
      </c>
      <c r="AB9495">
        <v>37.677930000000003</v>
      </c>
      <c r="AC9495">
        <v>2.5239399999999999E-2</v>
      </c>
      <c r="AD9495">
        <v>2.5977600000000001</v>
      </c>
      <c r="AE9495">
        <v>0.55989489999999997</v>
      </c>
      <c r="AF9495">
        <v>685.35550000000001</v>
      </c>
      <c r="AG9495">
        <f>IFERROR(AH9495*0.1, "N/A")</f>
        <v>5.6000000000000005</v>
      </c>
      <c r="AH9495">
        <v>56</v>
      </c>
      <c r="AI9495">
        <v>142.42840000000001</v>
      </c>
      <c r="AJ9495">
        <v>24.971979999999999</v>
      </c>
      <c r="AK9495">
        <v>59.416809999999998</v>
      </c>
    </row>
    <row r="9496" spans="1:37" x14ac:dyDescent="0.3">
      <c r="A9496">
        <v>9495</v>
      </c>
      <c r="B9496">
        <v>0</v>
      </c>
      <c r="C9496">
        <v>13.183299999999999</v>
      </c>
      <c r="D9496">
        <v>3.98333</v>
      </c>
      <c r="E9496" t="s">
        <v>14418</v>
      </c>
      <c r="F9496" t="s">
        <v>14421</v>
      </c>
      <c r="G9496" t="s">
        <v>2420</v>
      </c>
      <c r="H9496">
        <v>1990</v>
      </c>
      <c r="I9496">
        <v>23.280909999999999</v>
      </c>
      <c r="J9496">
        <v>9.6322240000000008</v>
      </c>
      <c r="K9496">
        <v>78.322239999999994</v>
      </c>
      <c r="L9496">
        <v>7.1307700000000001</v>
      </c>
      <c r="M9496">
        <v>29.73555</v>
      </c>
      <c r="N9496">
        <v>17.535550000000001</v>
      </c>
      <c r="O9496">
        <v>12.2</v>
      </c>
      <c r="P9496">
        <v>22.641860000000001</v>
      </c>
      <c r="Q9496">
        <v>23.161470000000001</v>
      </c>
      <c r="R9496">
        <v>24.180910000000001</v>
      </c>
      <c r="S9496">
        <v>22.535550000000001</v>
      </c>
      <c r="T9496">
        <v>1626.674</v>
      </c>
      <c r="U9496">
        <v>293.32220000000001</v>
      </c>
      <c r="V9496">
        <v>22</v>
      </c>
      <c r="W9496">
        <v>59</v>
      </c>
      <c r="X9496">
        <v>672.96669999999995</v>
      </c>
      <c r="Y9496">
        <v>103.063</v>
      </c>
      <c r="Z9496">
        <v>492.64449999999999</v>
      </c>
      <c r="AA9496">
        <v>384.32220000000001</v>
      </c>
      <c r="AB9496">
        <v>37.677930000000003</v>
      </c>
      <c r="AC9496">
        <v>2.5239399999999999E-2</v>
      </c>
      <c r="AD9496">
        <v>2.5977600000000001</v>
      </c>
      <c r="AE9496">
        <v>0.55989489999999997</v>
      </c>
      <c r="AF9496">
        <v>685.35550000000001</v>
      </c>
      <c r="AG9496">
        <f>IFERROR(AH9496*0.1, "N/A")</f>
        <v>5.6000000000000005</v>
      </c>
      <c r="AH9496">
        <v>56</v>
      </c>
      <c r="AI9496">
        <v>142.42840000000001</v>
      </c>
      <c r="AJ9496">
        <v>24.971979999999999</v>
      </c>
      <c r="AK9496">
        <v>59.416809999999998</v>
      </c>
    </row>
    <row r="9497" spans="1:37" x14ac:dyDescent="0.3">
      <c r="A9497">
        <v>9496</v>
      </c>
      <c r="B9497">
        <v>0</v>
      </c>
      <c r="C9497">
        <v>10.9444</v>
      </c>
      <c r="D9497">
        <v>3.99444</v>
      </c>
      <c r="E9497" t="s">
        <v>14422</v>
      </c>
      <c r="F9497" t="s">
        <v>14423</v>
      </c>
      <c r="G9497" t="s">
        <v>39</v>
      </c>
      <c r="H9497">
        <v>1990</v>
      </c>
      <c r="I9497">
        <v>25.1</v>
      </c>
      <c r="J9497">
        <v>8.4</v>
      </c>
      <c r="K9497">
        <v>70</v>
      </c>
      <c r="L9497">
        <v>11.07</v>
      </c>
      <c r="M9497">
        <v>31.5</v>
      </c>
      <c r="N9497">
        <v>19.600000000000001</v>
      </c>
      <c r="O9497">
        <v>11.9</v>
      </c>
      <c r="P9497">
        <v>23.9</v>
      </c>
      <c r="Q9497">
        <v>26.1</v>
      </c>
      <c r="R9497">
        <v>26.2</v>
      </c>
      <c r="S9497">
        <v>23.5</v>
      </c>
      <c r="T9497">
        <v>2042</v>
      </c>
      <c r="U9497">
        <v>354</v>
      </c>
      <c r="V9497">
        <v>19</v>
      </c>
      <c r="W9497">
        <v>63</v>
      </c>
      <c r="X9497">
        <v>924</v>
      </c>
      <c r="Y9497">
        <v>82</v>
      </c>
      <c r="Z9497">
        <v>208</v>
      </c>
      <c r="AA9497">
        <v>721</v>
      </c>
      <c r="AB9497">
        <v>8.0429110000000001</v>
      </c>
      <c r="AC9497">
        <v>0.17856710000000001</v>
      </c>
      <c r="AD9497">
        <v>5.4459650000000002</v>
      </c>
      <c r="AE9497">
        <v>0.20984700000000001</v>
      </c>
      <c r="AF9497">
        <v>383.44659999999999</v>
      </c>
      <c r="AG9497">
        <f>IFERROR(AH9497*0.1, "N/A")</f>
        <v>5.3000000000000007</v>
      </c>
      <c r="AH9497">
        <v>53</v>
      </c>
      <c r="AI9497">
        <v>234.81569999999999</v>
      </c>
      <c r="AJ9497">
        <v>34.89667</v>
      </c>
      <c r="AK9497">
        <v>52.661999999999999</v>
      </c>
    </row>
    <row r="9498" spans="1:37" x14ac:dyDescent="0.3">
      <c r="A9498">
        <v>9497</v>
      </c>
      <c r="B9498">
        <v>0</v>
      </c>
      <c r="C9498">
        <v>10.9444</v>
      </c>
      <c r="D9498">
        <v>3.99444</v>
      </c>
      <c r="E9498" t="s">
        <v>14422</v>
      </c>
      <c r="F9498" t="s">
        <v>14424</v>
      </c>
      <c r="G9498" t="s">
        <v>37</v>
      </c>
      <c r="H9498">
        <v>1990</v>
      </c>
      <c r="I9498">
        <v>25.1</v>
      </c>
      <c r="J9498">
        <v>8.4</v>
      </c>
      <c r="K9498">
        <v>70</v>
      </c>
      <c r="L9498">
        <v>11.07</v>
      </c>
      <c r="M9498">
        <v>31.5</v>
      </c>
      <c r="N9498">
        <v>19.600000000000001</v>
      </c>
      <c r="O9498">
        <v>11.9</v>
      </c>
      <c r="P9498">
        <v>23.9</v>
      </c>
      <c r="Q9498">
        <v>26.1</v>
      </c>
      <c r="R9498">
        <v>26.2</v>
      </c>
      <c r="S9498">
        <v>23.5</v>
      </c>
      <c r="T9498">
        <v>2042</v>
      </c>
      <c r="U9498">
        <v>354</v>
      </c>
      <c r="V9498">
        <v>19</v>
      </c>
      <c r="W9498">
        <v>63</v>
      </c>
      <c r="X9498">
        <v>924</v>
      </c>
      <c r="Y9498">
        <v>82</v>
      </c>
      <c r="Z9498">
        <v>208</v>
      </c>
      <c r="AA9498">
        <v>721</v>
      </c>
      <c r="AB9498">
        <v>8.0429110000000001</v>
      </c>
      <c r="AC9498">
        <v>0.17856710000000001</v>
      </c>
      <c r="AD9498">
        <v>5.4459650000000002</v>
      </c>
      <c r="AE9498">
        <v>0.20984700000000001</v>
      </c>
      <c r="AF9498">
        <v>383.44659999999999</v>
      </c>
      <c r="AG9498">
        <f>IFERROR(AH9498*0.1, "N/A")</f>
        <v>5.3000000000000007</v>
      </c>
      <c r="AH9498">
        <v>53</v>
      </c>
      <c r="AI9498">
        <v>234.81569999999999</v>
      </c>
      <c r="AJ9498">
        <v>34.89667</v>
      </c>
      <c r="AK9498">
        <v>52.661999999999999</v>
      </c>
    </row>
    <row r="9499" spans="1:37" x14ac:dyDescent="0.3">
      <c r="A9499">
        <v>9498</v>
      </c>
      <c r="B9499">
        <v>5.6</v>
      </c>
      <c r="C9499">
        <v>10.9444</v>
      </c>
      <c r="D9499">
        <v>3.99444</v>
      </c>
      <c r="E9499" t="s">
        <v>14422</v>
      </c>
      <c r="F9499" t="s">
        <v>14425</v>
      </c>
      <c r="G9499" t="s">
        <v>2420</v>
      </c>
      <c r="H9499">
        <v>1990</v>
      </c>
      <c r="I9499">
        <v>25.1</v>
      </c>
      <c r="J9499">
        <v>8.4</v>
      </c>
      <c r="K9499">
        <v>70</v>
      </c>
      <c r="L9499">
        <v>11.07</v>
      </c>
      <c r="M9499">
        <v>31.5</v>
      </c>
      <c r="N9499">
        <v>19.600000000000001</v>
      </c>
      <c r="O9499">
        <v>11.9</v>
      </c>
      <c r="P9499">
        <v>23.9</v>
      </c>
      <c r="Q9499">
        <v>26.1</v>
      </c>
      <c r="R9499">
        <v>26.2</v>
      </c>
      <c r="S9499">
        <v>23.5</v>
      </c>
      <c r="T9499">
        <v>2042</v>
      </c>
      <c r="U9499">
        <v>354</v>
      </c>
      <c r="V9499">
        <v>19</v>
      </c>
      <c r="W9499">
        <v>63</v>
      </c>
      <c r="X9499">
        <v>924</v>
      </c>
      <c r="Y9499">
        <v>82</v>
      </c>
      <c r="Z9499">
        <v>208</v>
      </c>
      <c r="AA9499">
        <v>721</v>
      </c>
      <c r="AB9499">
        <v>8.0429110000000001</v>
      </c>
      <c r="AC9499">
        <v>0.17856710000000001</v>
      </c>
      <c r="AD9499">
        <v>5.4459650000000002</v>
      </c>
      <c r="AE9499">
        <v>0.20984700000000001</v>
      </c>
      <c r="AF9499">
        <v>383.44659999999999</v>
      </c>
      <c r="AG9499">
        <f>IFERROR(AH9499*0.1, "N/A")</f>
        <v>5.3000000000000007</v>
      </c>
      <c r="AH9499">
        <v>53</v>
      </c>
      <c r="AI9499">
        <v>234.81569999999999</v>
      </c>
      <c r="AJ9499">
        <v>34.89667</v>
      </c>
      <c r="AK9499">
        <v>52.661999999999999</v>
      </c>
    </row>
    <row r="9500" spans="1:37" x14ac:dyDescent="0.3">
      <c r="A9500">
        <v>9499</v>
      </c>
      <c r="B9500">
        <v>0</v>
      </c>
      <c r="C9500">
        <v>10.716699999999999</v>
      </c>
      <c r="D9500">
        <v>3.99722</v>
      </c>
      <c r="E9500" t="s">
        <v>14426</v>
      </c>
      <c r="F9500" t="s">
        <v>14427</v>
      </c>
      <c r="G9500" t="s">
        <v>37</v>
      </c>
      <c r="H9500">
        <v>1990</v>
      </c>
      <c r="I9500">
        <v>25.3</v>
      </c>
      <c r="J9500">
        <v>8.1999999999999993</v>
      </c>
      <c r="K9500">
        <v>69</v>
      </c>
      <c r="L9500">
        <v>11.68974</v>
      </c>
      <c r="M9500">
        <v>31.7</v>
      </c>
      <c r="N9500">
        <v>19.899999999999999</v>
      </c>
      <c r="O9500">
        <v>11.8</v>
      </c>
      <c r="P9500">
        <v>24.1</v>
      </c>
      <c r="Q9500">
        <v>26.46649</v>
      </c>
      <c r="R9500">
        <v>26.566490000000002</v>
      </c>
      <c r="S9500">
        <v>23.7</v>
      </c>
      <c r="T9500">
        <v>2262.6489999999999</v>
      </c>
      <c r="U9500">
        <v>404.99470000000002</v>
      </c>
      <c r="V9500">
        <v>21</v>
      </c>
      <c r="W9500">
        <v>64</v>
      </c>
      <c r="X9500">
        <v>1059.989</v>
      </c>
      <c r="Y9500">
        <v>84</v>
      </c>
      <c r="Z9500">
        <v>213</v>
      </c>
      <c r="AA9500">
        <v>876.3193</v>
      </c>
      <c r="AB9500">
        <v>17.940159999999999</v>
      </c>
      <c r="AC9500">
        <v>4.6766519999999999E-2</v>
      </c>
      <c r="AD9500">
        <v>8.0378520000000009</v>
      </c>
      <c r="AE9500">
        <v>0.25687700000000002</v>
      </c>
      <c r="AF9500">
        <v>331.7158</v>
      </c>
      <c r="AG9500">
        <f>IFERROR(AH9500*0.1, "N/A")</f>
        <v>4.9071930000000004</v>
      </c>
      <c r="AH9500">
        <v>49.071930000000002</v>
      </c>
      <c r="AI9500">
        <v>134.989</v>
      </c>
      <c r="AJ9500">
        <v>29.457889999999999</v>
      </c>
      <c r="AK9500">
        <v>57.959650000000003</v>
      </c>
    </row>
    <row r="9501" spans="1:37" x14ac:dyDescent="0.3">
      <c r="A9501">
        <v>9500</v>
      </c>
      <c r="B9501">
        <v>0</v>
      </c>
      <c r="C9501">
        <v>10.716699999999999</v>
      </c>
      <c r="D9501">
        <v>3.99722</v>
      </c>
      <c r="E9501" t="s">
        <v>14426</v>
      </c>
      <c r="F9501" t="s">
        <v>14428</v>
      </c>
      <c r="G9501" t="s">
        <v>2420</v>
      </c>
      <c r="H9501">
        <v>1990</v>
      </c>
      <c r="I9501">
        <v>25.3</v>
      </c>
      <c r="J9501">
        <v>8.1999999999999993</v>
      </c>
      <c r="K9501">
        <v>69</v>
      </c>
      <c r="L9501">
        <v>11.68974</v>
      </c>
      <c r="M9501">
        <v>31.7</v>
      </c>
      <c r="N9501">
        <v>19.899999999999999</v>
      </c>
      <c r="O9501">
        <v>11.8</v>
      </c>
      <c r="P9501">
        <v>24.1</v>
      </c>
      <c r="Q9501">
        <v>26.46649</v>
      </c>
      <c r="R9501">
        <v>26.566490000000002</v>
      </c>
      <c r="S9501">
        <v>23.7</v>
      </c>
      <c r="T9501">
        <v>2262.6489999999999</v>
      </c>
      <c r="U9501">
        <v>404.99470000000002</v>
      </c>
      <c r="V9501">
        <v>21</v>
      </c>
      <c r="W9501">
        <v>64</v>
      </c>
      <c r="X9501">
        <v>1059.989</v>
      </c>
      <c r="Y9501">
        <v>84</v>
      </c>
      <c r="Z9501">
        <v>213</v>
      </c>
      <c r="AA9501">
        <v>876.3193</v>
      </c>
      <c r="AB9501">
        <v>17.940159999999999</v>
      </c>
      <c r="AC9501">
        <v>4.6766519999999999E-2</v>
      </c>
      <c r="AD9501">
        <v>8.0378520000000009</v>
      </c>
      <c r="AE9501">
        <v>0.25687700000000002</v>
      </c>
      <c r="AF9501">
        <v>331.7158</v>
      </c>
      <c r="AG9501">
        <f>IFERROR(AH9501*0.1, "N/A")</f>
        <v>4.9071930000000004</v>
      </c>
      <c r="AH9501">
        <v>49.071930000000002</v>
      </c>
      <c r="AI9501">
        <v>134.989</v>
      </c>
      <c r="AJ9501">
        <v>29.457889999999999</v>
      </c>
      <c r="AK9501">
        <v>57.959650000000003</v>
      </c>
    </row>
    <row r="9502" spans="1:37" x14ac:dyDescent="0.3">
      <c r="A9502">
        <v>9501</v>
      </c>
      <c r="B9502">
        <v>0</v>
      </c>
      <c r="C9502">
        <v>11.3917</v>
      </c>
      <c r="D9502">
        <v>4.0194400000000003</v>
      </c>
      <c r="E9502" t="s">
        <v>14429</v>
      </c>
      <c r="F9502" t="s">
        <v>14430</v>
      </c>
      <c r="G9502" t="s">
        <v>39</v>
      </c>
      <c r="H9502">
        <v>1990</v>
      </c>
      <c r="I9502">
        <v>24.23123</v>
      </c>
      <c r="J9502">
        <v>9</v>
      </c>
      <c r="K9502">
        <v>77.343860000000006</v>
      </c>
      <c r="L9502">
        <v>8.1609119999999997</v>
      </c>
      <c r="M9502">
        <v>30.431229999999999</v>
      </c>
      <c r="N9502">
        <v>18.86561</v>
      </c>
      <c r="O9502">
        <v>11.56561</v>
      </c>
      <c r="P9502">
        <v>23.265609999999999</v>
      </c>
      <c r="Q9502">
        <v>24.965610000000002</v>
      </c>
      <c r="R9502">
        <v>25.131229999999999</v>
      </c>
      <c r="S9502">
        <v>23.165610000000001</v>
      </c>
      <c r="T9502">
        <v>1697.6880000000001</v>
      </c>
      <c r="U9502">
        <v>304</v>
      </c>
      <c r="V9502">
        <v>19</v>
      </c>
      <c r="W9502">
        <v>62</v>
      </c>
      <c r="X9502">
        <v>698.68769999999995</v>
      </c>
      <c r="Y9502">
        <v>89</v>
      </c>
      <c r="Z9502">
        <v>208</v>
      </c>
      <c r="AA9502">
        <v>485.03160000000003</v>
      </c>
      <c r="AB9502">
        <v>33.134039999999999</v>
      </c>
      <c r="AC9502">
        <v>9.0508589999999996E-3</v>
      </c>
      <c r="AD9502">
        <v>3.077868</v>
      </c>
      <c r="AE9502">
        <v>0.3264647</v>
      </c>
      <c r="AF9502">
        <v>627.09820000000002</v>
      </c>
      <c r="AG9502">
        <f>IFERROR(AH9502*0.1, "N/A")</f>
        <v>4.8903509999999999</v>
      </c>
      <c r="AH9502">
        <v>48.903509999999997</v>
      </c>
      <c r="AI9502">
        <v>70.504739999999998</v>
      </c>
      <c r="AJ9502">
        <v>37.208770000000001</v>
      </c>
      <c r="AK9502">
        <v>51.759650000000001</v>
      </c>
    </row>
    <row r="9503" spans="1:37" x14ac:dyDescent="0.3">
      <c r="A9503">
        <v>9502</v>
      </c>
      <c r="B9503">
        <v>0</v>
      </c>
      <c r="C9503">
        <v>11.3917</v>
      </c>
      <c r="D9503">
        <v>4.0194400000000003</v>
      </c>
      <c r="E9503" t="s">
        <v>14429</v>
      </c>
      <c r="F9503" t="s">
        <v>14431</v>
      </c>
      <c r="G9503" t="s">
        <v>37</v>
      </c>
      <c r="H9503">
        <v>1990</v>
      </c>
      <c r="I9503">
        <v>24.23123</v>
      </c>
      <c r="J9503">
        <v>9</v>
      </c>
      <c r="K9503">
        <v>77.343860000000006</v>
      </c>
      <c r="L9503">
        <v>8.1609119999999997</v>
      </c>
      <c r="M9503">
        <v>30.431229999999999</v>
      </c>
      <c r="N9503">
        <v>18.86561</v>
      </c>
      <c r="O9503">
        <v>11.56561</v>
      </c>
      <c r="P9503">
        <v>23.265609999999999</v>
      </c>
      <c r="Q9503">
        <v>24.965610000000002</v>
      </c>
      <c r="R9503">
        <v>25.131229999999999</v>
      </c>
      <c r="S9503">
        <v>23.165610000000001</v>
      </c>
      <c r="T9503">
        <v>1697.6880000000001</v>
      </c>
      <c r="U9503">
        <v>304</v>
      </c>
      <c r="V9503">
        <v>19</v>
      </c>
      <c r="W9503">
        <v>62</v>
      </c>
      <c r="X9503">
        <v>698.68769999999995</v>
      </c>
      <c r="Y9503">
        <v>89</v>
      </c>
      <c r="Z9503">
        <v>208</v>
      </c>
      <c r="AA9503">
        <v>485.03160000000003</v>
      </c>
      <c r="AB9503">
        <v>33.134039999999999</v>
      </c>
      <c r="AC9503">
        <v>9.0508589999999996E-3</v>
      </c>
      <c r="AD9503">
        <v>3.077868</v>
      </c>
      <c r="AE9503">
        <v>0.3264647</v>
      </c>
      <c r="AF9503">
        <v>627.09820000000002</v>
      </c>
      <c r="AG9503">
        <f>IFERROR(AH9503*0.1, "N/A")</f>
        <v>4.8903509999999999</v>
      </c>
      <c r="AH9503">
        <v>48.903509999999997</v>
      </c>
      <c r="AI9503">
        <v>70.504739999999998</v>
      </c>
      <c r="AJ9503">
        <v>37.208770000000001</v>
      </c>
      <c r="AK9503">
        <v>51.759650000000001</v>
      </c>
    </row>
    <row r="9504" spans="1:37" x14ac:dyDescent="0.3">
      <c r="A9504">
        <v>9503</v>
      </c>
      <c r="B9504">
        <v>0</v>
      </c>
      <c r="C9504">
        <v>11.3917</v>
      </c>
      <c r="D9504">
        <v>4.0194400000000003</v>
      </c>
      <c r="E9504" t="s">
        <v>14429</v>
      </c>
      <c r="F9504" t="s">
        <v>14432</v>
      </c>
      <c r="G9504" t="s">
        <v>2420</v>
      </c>
      <c r="H9504">
        <v>1990</v>
      </c>
      <c r="I9504">
        <v>24.23123</v>
      </c>
      <c r="J9504">
        <v>9</v>
      </c>
      <c r="K9504">
        <v>77.343860000000006</v>
      </c>
      <c r="L9504">
        <v>8.1609119999999997</v>
      </c>
      <c r="M9504">
        <v>30.431229999999999</v>
      </c>
      <c r="N9504">
        <v>18.86561</v>
      </c>
      <c r="O9504">
        <v>11.56561</v>
      </c>
      <c r="P9504">
        <v>23.265609999999999</v>
      </c>
      <c r="Q9504">
        <v>24.965610000000002</v>
      </c>
      <c r="R9504">
        <v>25.131229999999999</v>
      </c>
      <c r="S9504">
        <v>23.165610000000001</v>
      </c>
      <c r="T9504">
        <v>1697.6880000000001</v>
      </c>
      <c r="U9504">
        <v>304</v>
      </c>
      <c r="V9504">
        <v>19</v>
      </c>
      <c r="W9504">
        <v>62</v>
      </c>
      <c r="X9504">
        <v>698.68769999999995</v>
      </c>
      <c r="Y9504">
        <v>89</v>
      </c>
      <c r="Z9504">
        <v>208</v>
      </c>
      <c r="AA9504">
        <v>485.03160000000003</v>
      </c>
      <c r="AB9504">
        <v>33.134039999999999</v>
      </c>
      <c r="AC9504">
        <v>9.0508589999999996E-3</v>
      </c>
      <c r="AD9504">
        <v>3.077868</v>
      </c>
      <c r="AE9504">
        <v>0.3264647</v>
      </c>
      <c r="AF9504">
        <v>627.09820000000002</v>
      </c>
      <c r="AG9504">
        <f>IFERROR(AH9504*0.1, "N/A")</f>
        <v>4.8903509999999999</v>
      </c>
      <c r="AH9504">
        <v>48.903509999999997</v>
      </c>
      <c r="AI9504">
        <v>70.504739999999998</v>
      </c>
      <c r="AJ9504">
        <v>37.208770000000001</v>
      </c>
      <c r="AK9504">
        <v>51.759650000000001</v>
      </c>
    </row>
    <row r="9505" spans="1:37" x14ac:dyDescent="0.3">
      <c r="A9505">
        <v>9504</v>
      </c>
      <c r="B9505">
        <v>0</v>
      </c>
      <c r="C9505">
        <v>12.4</v>
      </c>
      <c r="D9505">
        <v>4.0222199999999999</v>
      </c>
      <c r="E9505" t="s">
        <v>14433</v>
      </c>
      <c r="F9505" t="s">
        <v>14434</v>
      </c>
      <c r="G9505" t="s">
        <v>39</v>
      </c>
      <c r="H9505">
        <v>1990</v>
      </c>
      <c r="I9505">
        <v>23.77834</v>
      </c>
      <c r="J9505">
        <v>9.4</v>
      </c>
      <c r="K9505">
        <v>82</v>
      </c>
      <c r="L9505">
        <v>6.1551580000000001</v>
      </c>
      <c r="M9505">
        <v>30.07835</v>
      </c>
      <c r="N9505">
        <v>18.678349999999998</v>
      </c>
      <c r="O9505">
        <v>11.4</v>
      </c>
      <c r="P9505">
        <v>23.256689999999999</v>
      </c>
      <c r="Q9505">
        <v>24.07835</v>
      </c>
      <c r="R9505">
        <v>24.57835</v>
      </c>
      <c r="S9505">
        <v>22.978339999999999</v>
      </c>
      <c r="T9505">
        <v>1566.2170000000001</v>
      </c>
      <c r="U9505">
        <v>291</v>
      </c>
      <c r="V9505">
        <v>17</v>
      </c>
      <c r="W9505">
        <v>64</v>
      </c>
      <c r="X9505">
        <v>653</v>
      </c>
      <c r="Y9505">
        <v>83</v>
      </c>
      <c r="Z9505">
        <v>327</v>
      </c>
      <c r="AA9505">
        <v>362.03699999999998</v>
      </c>
      <c r="AB9505">
        <v>19.776579999999999</v>
      </c>
      <c r="AC9505">
        <v>2.510122E-2</v>
      </c>
      <c r="AD9505">
        <v>7.29338</v>
      </c>
      <c r="AE9505">
        <v>0.1428566</v>
      </c>
      <c r="AF9505">
        <v>697.66729999999995</v>
      </c>
      <c r="AG9505">
        <f>IFERROR(AH9505*0.1, "N/A")</f>
        <v>4.8000000000000007</v>
      </c>
      <c r="AH9505">
        <v>48</v>
      </c>
      <c r="AI9505">
        <v>179.41460000000001</v>
      </c>
      <c r="AJ9505">
        <v>43</v>
      </c>
      <c r="AK9505">
        <v>48.112679999999997</v>
      </c>
    </row>
    <row r="9506" spans="1:37" x14ac:dyDescent="0.3">
      <c r="A9506">
        <v>9505</v>
      </c>
      <c r="B9506">
        <v>3.2</v>
      </c>
      <c r="C9506">
        <v>12.4</v>
      </c>
      <c r="D9506">
        <v>4.0222199999999999</v>
      </c>
      <c r="E9506" t="s">
        <v>14433</v>
      </c>
      <c r="F9506" t="s">
        <v>14435</v>
      </c>
      <c r="G9506" t="s">
        <v>37</v>
      </c>
      <c r="H9506">
        <v>1990</v>
      </c>
      <c r="I9506">
        <v>23.77834</v>
      </c>
      <c r="J9506">
        <v>9.4</v>
      </c>
      <c r="K9506">
        <v>82</v>
      </c>
      <c r="L9506">
        <v>6.1551580000000001</v>
      </c>
      <c r="M9506">
        <v>30.07835</v>
      </c>
      <c r="N9506">
        <v>18.678349999999998</v>
      </c>
      <c r="O9506">
        <v>11.4</v>
      </c>
      <c r="P9506">
        <v>23.256689999999999</v>
      </c>
      <c r="Q9506">
        <v>24.07835</v>
      </c>
      <c r="R9506">
        <v>24.57835</v>
      </c>
      <c r="S9506">
        <v>22.978339999999999</v>
      </c>
      <c r="T9506">
        <v>1566.2170000000001</v>
      </c>
      <c r="U9506">
        <v>291</v>
      </c>
      <c r="V9506">
        <v>17</v>
      </c>
      <c r="W9506">
        <v>64</v>
      </c>
      <c r="X9506">
        <v>653</v>
      </c>
      <c r="Y9506">
        <v>83</v>
      </c>
      <c r="Z9506">
        <v>327</v>
      </c>
      <c r="AA9506">
        <v>362.03699999999998</v>
      </c>
      <c r="AB9506">
        <v>19.776579999999999</v>
      </c>
      <c r="AC9506">
        <v>2.510122E-2</v>
      </c>
      <c r="AD9506">
        <v>7.29338</v>
      </c>
      <c r="AE9506">
        <v>0.1428566</v>
      </c>
      <c r="AF9506">
        <v>697.66729999999995</v>
      </c>
      <c r="AG9506">
        <f>IFERROR(AH9506*0.1, "N/A")</f>
        <v>4.8000000000000007</v>
      </c>
      <c r="AH9506">
        <v>48</v>
      </c>
      <c r="AI9506">
        <v>179.41460000000001</v>
      </c>
      <c r="AJ9506">
        <v>43</v>
      </c>
      <c r="AK9506">
        <v>48.112679999999997</v>
      </c>
    </row>
    <row r="9507" spans="1:37" x14ac:dyDescent="0.3">
      <c r="A9507">
        <v>9506</v>
      </c>
      <c r="B9507">
        <v>0</v>
      </c>
      <c r="C9507">
        <v>12.4</v>
      </c>
      <c r="D9507">
        <v>4.0222199999999999</v>
      </c>
      <c r="E9507" t="s">
        <v>14433</v>
      </c>
      <c r="F9507" t="s">
        <v>14436</v>
      </c>
      <c r="G9507" t="s">
        <v>2420</v>
      </c>
      <c r="H9507">
        <v>1990</v>
      </c>
      <c r="I9507">
        <v>23.77834</v>
      </c>
      <c r="J9507">
        <v>9.4</v>
      </c>
      <c r="K9507">
        <v>82</v>
      </c>
      <c r="L9507">
        <v>6.1551580000000001</v>
      </c>
      <c r="M9507">
        <v>30.07835</v>
      </c>
      <c r="N9507">
        <v>18.678349999999998</v>
      </c>
      <c r="O9507">
        <v>11.4</v>
      </c>
      <c r="P9507">
        <v>23.256689999999999</v>
      </c>
      <c r="Q9507">
        <v>24.07835</v>
      </c>
      <c r="R9507">
        <v>24.57835</v>
      </c>
      <c r="S9507">
        <v>22.978339999999999</v>
      </c>
      <c r="T9507">
        <v>1566.2170000000001</v>
      </c>
      <c r="U9507">
        <v>291</v>
      </c>
      <c r="V9507">
        <v>17</v>
      </c>
      <c r="W9507">
        <v>64</v>
      </c>
      <c r="X9507">
        <v>653</v>
      </c>
      <c r="Y9507">
        <v>83</v>
      </c>
      <c r="Z9507">
        <v>327</v>
      </c>
      <c r="AA9507">
        <v>362.03699999999998</v>
      </c>
      <c r="AB9507">
        <v>19.776579999999999</v>
      </c>
      <c r="AC9507">
        <v>2.510122E-2</v>
      </c>
      <c r="AD9507">
        <v>7.29338</v>
      </c>
      <c r="AE9507">
        <v>0.1428566</v>
      </c>
      <c r="AF9507">
        <v>697.66729999999995</v>
      </c>
      <c r="AG9507">
        <f>IFERROR(AH9507*0.1, "N/A")</f>
        <v>4.8000000000000007</v>
      </c>
      <c r="AH9507">
        <v>48</v>
      </c>
      <c r="AI9507">
        <v>179.41460000000001</v>
      </c>
      <c r="AJ9507">
        <v>43</v>
      </c>
      <c r="AK9507">
        <v>48.112679999999997</v>
      </c>
    </row>
    <row r="9508" spans="1:37" x14ac:dyDescent="0.3">
      <c r="A9508">
        <v>9507</v>
      </c>
      <c r="B9508">
        <v>0</v>
      </c>
      <c r="C9508">
        <v>15.025</v>
      </c>
      <c r="D9508">
        <v>4.0250000000000004</v>
      </c>
      <c r="E9508" t="s">
        <v>14437</v>
      </c>
      <c r="F9508" t="s">
        <v>14438</v>
      </c>
      <c r="G9508" t="s">
        <v>39</v>
      </c>
      <c r="H9508">
        <v>1990</v>
      </c>
      <c r="I9508">
        <v>24.06</v>
      </c>
      <c r="J9508">
        <v>10.87684</v>
      </c>
      <c r="K9508">
        <v>76.768420000000006</v>
      </c>
      <c r="L9508">
        <v>6.6221399999999999</v>
      </c>
      <c r="M9508">
        <v>31.26</v>
      </c>
      <c r="N9508">
        <v>17.18404</v>
      </c>
      <c r="O9508">
        <v>14.07597</v>
      </c>
      <c r="P9508">
        <v>24.96</v>
      </c>
      <c r="Q9508">
        <v>23.40719</v>
      </c>
      <c r="R9508">
        <v>24.96</v>
      </c>
      <c r="S9508">
        <v>23.307189999999999</v>
      </c>
      <c r="T9508">
        <v>1327.425</v>
      </c>
      <c r="U9508">
        <v>190.16839999999999</v>
      </c>
      <c r="V9508">
        <v>28.071929999999998</v>
      </c>
      <c r="W9508">
        <v>52</v>
      </c>
      <c r="X9508">
        <v>505.33679999999998</v>
      </c>
      <c r="Y9508">
        <v>105.7351</v>
      </c>
      <c r="Z9508">
        <v>462.01049999999998</v>
      </c>
      <c r="AA9508">
        <v>150.73509999999999</v>
      </c>
      <c r="AB9508">
        <v>2.7061459999999999</v>
      </c>
      <c r="AC9508">
        <v>0.49111569999999999</v>
      </c>
      <c r="AD9508">
        <v>2.9789569999999999</v>
      </c>
      <c r="AE9508">
        <v>0.44816470000000003</v>
      </c>
      <c r="AF9508">
        <v>582.52629999999999</v>
      </c>
      <c r="AG9508">
        <f>IFERROR(AH9508*0.1, "N/A")</f>
        <v>5.276491</v>
      </c>
      <c r="AH9508">
        <v>52.76491</v>
      </c>
      <c r="AI9508">
        <v>108.9559</v>
      </c>
      <c r="AJ9508">
        <v>31.79298</v>
      </c>
      <c r="AK9508">
        <v>52.447369999999999</v>
      </c>
    </row>
    <row r="9509" spans="1:37" x14ac:dyDescent="0.3">
      <c r="A9509">
        <v>9508</v>
      </c>
      <c r="B9509">
        <v>0</v>
      </c>
      <c r="C9509">
        <v>15.025</v>
      </c>
      <c r="D9509">
        <v>4.0250000000000004</v>
      </c>
      <c r="E9509" t="s">
        <v>14437</v>
      </c>
      <c r="F9509" t="s">
        <v>14439</v>
      </c>
      <c r="G9509" t="s">
        <v>37</v>
      </c>
      <c r="H9509">
        <v>1990</v>
      </c>
      <c r="I9509">
        <v>24.06</v>
      </c>
      <c r="J9509">
        <v>10.87684</v>
      </c>
      <c r="K9509">
        <v>76.768420000000006</v>
      </c>
      <c r="L9509">
        <v>6.6221399999999999</v>
      </c>
      <c r="M9509">
        <v>31.26</v>
      </c>
      <c r="N9509">
        <v>17.18404</v>
      </c>
      <c r="O9509">
        <v>14.07597</v>
      </c>
      <c r="P9509">
        <v>24.96</v>
      </c>
      <c r="Q9509">
        <v>23.40719</v>
      </c>
      <c r="R9509">
        <v>24.96</v>
      </c>
      <c r="S9509">
        <v>23.307189999999999</v>
      </c>
      <c r="T9509">
        <v>1327.425</v>
      </c>
      <c r="U9509">
        <v>190.16839999999999</v>
      </c>
      <c r="V9509">
        <v>28.071929999999998</v>
      </c>
      <c r="W9509">
        <v>52</v>
      </c>
      <c r="X9509">
        <v>505.33679999999998</v>
      </c>
      <c r="Y9509">
        <v>105.7351</v>
      </c>
      <c r="Z9509">
        <v>462.01049999999998</v>
      </c>
      <c r="AA9509">
        <v>150.73509999999999</v>
      </c>
      <c r="AB9509">
        <v>2.7061459999999999</v>
      </c>
      <c r="AC9509">
        <v>0.49111569999999999</v>
      </c>
      <c r="AD9509">
        <v>2.9789569999999999</v>
      </c>
      <c r="AE9509">
        <v>0.44816470000000003</v>
      </c>
      <c r="AF9509">
        <v>582.52629999999999</v>
      </c>
      <c r="AG9509">
        <f>IFERROR(AH9509*0.1, "N/A")</f>
        <v>5.276491</v>
      </c>
      <c r="AH9509">
        <v>52.76491</v>
      </c>
      <c r="AI9509">
        <v>108.9559</v>
      </c>
      <c r="AJ9509">
        <v>31.79298</v>
      </c>
      <c r="AK9509">
        <v>52.447369999999999</v>
      </c>
    </row>
    <row r="9510" spans="1:37" x14ac:dyDescent="0.3">
      <c r="A9510">
        <v>9509</v>
      </c>
      <c r="B9510">
        <v>0</v>
      </c>
      <c r="C9510">
        <v>15.025</v>
      </c>
      <c r="D9510">
        <v>4.0250000000000004</v>
      </c>
      <c r="E9510" t="s">
        <v>14437</v>
      </c>
      <c r="F9510" t="s">
        <v>14440</v>
      </c>
      <c r="G9510" t="s">
        <v>2420</v>
      </c>
      <c r="H9510">
        <v>1990</v>
      </c>
      <c r="I9510">
        <v>24.06</v>
      </c>
      <c r="J9510">
        <v>10.87684</v>
      </c>
      <c r="K9510">
        <v>76.768420000000006</v>
      </c>
      <c r="L9510">
        <v>6.6221399999999999</v>
      </c>
      <c r="M9510">
        <v>31.26</v>
      </c>
      <c r="N9510">
        <v>17.18404</v>
      </c>
      <c r="O9510">
        <v>14.07597</v>
      </c>
      <c r="P9510">
        <v>24.96</v>
      </c>
      <c r="Q9510">
        <v>23.40719</v>
      </c>
      <c r="R9510">
        <v>24.96</v>
      </c>
      <c r="S9510">
        <v>23.307189999999999</v>
      </c>
      <c r="T9510">
        <v>1327.425</v>
      </c>
      <c r="U9510">
        <v>190.16839999999999</v>
      </c>
      <c r="V9510">
        <v>28.071929999999998</v>
      </c>
      <c r="W9510">
        <v>52</v>
      </c>
      <c r="X9510">
        <v>505.33679999999998</v>
      </c>
      <c r="Y9510">
        <v>105.7351</v>
      </c>
      <c r="Z9510">
        <v>462.01049999999998</v>
      </c>
      <c r="AA9510">
        <v>150.73509999999999</v>
      </c>
      <c r="AB9510">
        <v>2.7061459999999999</v>
      </c>
      <c r="AC9510">
        <v>0.49111569999999999</v>
      </c>
      <c r="AD9510">
        <v>2.9789569999999999</v>
      </c>
      <c r="AE9510">
        <v>0.44816470000000003</v>
      </c>
      <c r="AF9510">
        <v>582.52629999999999</v>
      </c>
      <c r="AG9510">
        <f>IFERROR(AH9510*0.1, "N/A")</f>
        <v>5.276491</v>
      </c>
      <c r="AH9510">
        <v>52.76491</v>
      </c>
      <c r="AI9510">
        <v>108.9559</v>
      </c>
      <c r="AJ9510">
        <v>31.79298</v>
      </c>
      <c r="AK9510">
        <v>52.447369999999999</v>
      </c>
    </row>
    <row r="9511" spans="1:37" x14ac:dyDescent="0.3">
      <c r="A9511">
        <v>9510</v>
      </c>
      <c r="B9511">
        <v>4.5</v>
      </c>
      <c r="C9511">
        <v>14.0389</v>
      </c>
      <c r="D9511">
        <v>4.0277799999999999</v>
      </c>
      <c r="E9511" t="s">
        <v>14441</v>
      </c>
      <c r="F9511" t="s">
        <v>14442</v>
      </c>
      <c r="G9511" t="s">
        <v>39</v>
      </c>
      <c r="H9511">
        <v>1990</v>
      </c>
      <c r="I9511">
        <v>23.8</v>
      </c>
      <c r="J9511">
        <v>10.199999999999999</v>
      </c>
      <c r="K9511">
        <v>77</v>
      </c>
      <c r="L9511">
        <v>6.61</v>
      </c>
      <c r="M9511">
        <v>30.5</v>
      </c>
      <c r="N9511">
        <v>17.399999999999999</v>
      </c>
      <c r="O9511">
        <v>13.1</v>
      </c>
      <c r="P9511">
        <v>23.3</v>
      </c>
      <c r="Q9511">
        <v>23.5</v>
      </c>
      <c r="R9511">
        <v>24.7</v>
      </c>
      <c r="S9511">
        <v>23.1</v>
      </c>
      <c r="T9511">
        <v>1532</v>
      </c>
      <c r="U9511">
        <v>260</v>
      </c>
      <c r="V9511">
        <v>29</v>
      </c>
      <c r="W9511">
        <v>52</v>
      </c>
      <c r="X9511">
        <v>593</v>
      </c>
      <c r="Y9511">
        <v>115</v>
      </c>
      <c r="Z9511">
        <v>465</v>
      </c>
      <c r="AA9511">
        <v>435</v>
      </c>
      <c r="AB9511">
        <v>7.067685</v>
      </c>
      <c r="AC9511">
        <v>0.79809289999999999</v>
      </c>
      <c r="AD9511">
        <v>1.676231</v>
      </c>
      <c r="AE9511">
        <v>0.1436161</v>
      </c>
      <c r="AF9511">
        <v>613.20699999999999</v>
      </c>
      <c r="AG9511">
        <f>IFERROR(AH9511*0.1, "N/A")</f>
        <v>5.2585960000000007</v>
      </c>
      <c r="AH9511">
        <v>52.58596</v>
      </c>
      <c r="AI9511">
        <v>175.87389999999999</v>
      </c>
      <c r="AJ9511">
        <v>34.70702</v>
      </c>
      <c r="AK9511">
        <v>51</v>
      </c>
    </row>
    <row r="9512" spans="1:37" x14ac:dyDescent="0.3">
      <c r="A9512">
        <v>9511</v>
      </c>
      <c r="B9512">
        <v>0</v>
      </c>
      <c r="C9512">
        <v>14.0389</v>
      </c>
      <c r="D9512">
        <v>4.0277799999999999</v>
      </c>
      <c r="E9512" t="s">
        <v>14441</v>
      </c>
      <c r="F9512" t="s">
        <v>14443</v>
      </c>
      <c r="G9512" t="s">
        <v>37</v>
      </c>
      <c r="H9512">
        <v>1990</v>
      </c>
      <c r="I9512">
        <v>23.8</v>
      </c>
      <c r="J9512">
        <v>10.199999999999999</v>
      </c>
      <c r="K9512">
        <v>77</v>
      </c>
      <c r="L9512">
        <v>6.61</v>
      </c>
      <c r="M9512">
        <v>30.5</v>
      </c>
      <c r="N9512">
        <v>17.399999999999999</v>
      </c>
      <c r="O9512">
        <v>13.1</v>
      </c>
      <c r="P9512">
        <v>23.3</v>
      </c>
      <c r="Q9512">
        <v>23.5</v>
      </c>
      <c r="R9512">
        <v>24.7</v>
      </c>
      <c r="S9512">
        <v>23.1</v>
      </c>
      <c r="T9512">
        <v>1532</v>
      </c>
      <c r="U9512">
        <v>260</v>
      </c>
      <c r="V9512">
        <v>29</v>
      </c>
      <c r="W9512">
        <v>52</v>
      </c>
      <c r="X9512">
        <v>593</v>
      </c>
      <c r="Y9512">
        <v>115</v>
      </c>
      <c r="Z9512">
        <v>465</v>
      </c>
      <c r="AA9512">
        <v>435</v>
      </c>
      <c r="AB9512">
        <v>7.067685</v>
      </c>
      <c r="AC9512">
        <v>0.79809289999999999</v>
      </c>
      <c r="AD9512">
        <v>1.676231</v>
      </c>
      <c r="AE9512">
        <v>0.1436161</v>
      </c>
      <c r="AF9512">
        <v>613.20699999999999</v>
      </c>
      <c r="AG9512">
        <f>IFERROR(AH9512*0.1, "N/A")</f>
        <v>5.2585960000000007</v>
      </c>
      <c r="AH9512">
        <v>52.58596</v>
      </c>
      <c r="AI9512">
        <v>175.87389999999999</v>
      </c>
      <c r="AJ9512">
        <v>34.70702</v>
      </c>
      <c r="AK9512">
        <v>51</v>
      </c>
    </row>
    <row r="9513" spans="1:37" x14ac:dyDescent="0.3">
      <c r="A9513">
        <v>9512</v>
      </c>
      <c r="B9513">
        <v>0</v>
      </c>
      <c r="C9513">
        <v>14.0389</v>
      </c>
      <c r="D9513">
        <v>4.0277799999999999</v>
      </c>
      <c r="E9513" t="s">
        <v>14441</v>
      </c>
      <c r="F9513" t="s">
        <v>14444</v>
      </c>
      <c r="G9513" t="s">
        <v>2420</v>
      </c>
      <c r="H9513">
        <v>1990</v>
      </c>
      <c r="I9513">
        <v>23.8</v>
      </c>
      <c r="J9513">
        <v>10.199999999999999</v>
      </c>
      <c r="K9513">
        <v>77</v>
      </c>
      <c r="L9513">
        <v>6.61</v>
      </c>
      <c r="M9513">
        <v>30.5</v>
      </c>
      <c r="N9513">
        <v>17.399999999999999</v>
      </c>
      <c r="O9513">
        <v>13.1</v>
      </c>
      <c r="P9513">
        <v>23.3</v>
      </c>
      <c r="Q9513">
        <v>23.5</v>
      </c>
      <c r="R9513">
        <v>24.7</v>
      </c>
      <c r="S9513">
        <v>23.1</v>
      </c>
      <c r="T9513">
        <v>1532</v>
      </c>
      <c r="U9513">
        <v>260</v>
      </c>
      <c r="V9513">
        <v>29</v>
      </c>
      <c r="W9513">
        <v>52</v>
      </c>
      <c r="X9513">
        <v>593</v>
      </c>
      <c r="Y9513">
        <v>115</v>
      </c>
      <c r="Z9513">
        <v>465</v>
      </c>
      <c r="AA9513">
        <v>435</v>
      </c>
      <c r="AB9513">
        <v>7.067685</v>
      </c>
      <c r="AC9513">
        <v>0.79809289999999999</v>
      </c>
      <c r="AD9513">
        <v>1.676231</v>
      </c>
      <c r="AE9513">
        <v>0.1436161</v>
      </c>
      <c r="AF9513">
        <v>613.20699999999999</v>
      </c>
      <c r="AG9513">
        <f>IFERROR(AH9513*0.1, "N/A")</f>
        <v>5.2585960000000007</v>
      </c>
      <c r="AH9513">
        <v>52.58596</v>
      </c>
      <c r="AI9513">
        <v>175.87389999999999</v>
      </c>
      <c r="AJ9513">
        <v>34.70702</v>
      </c>
      <c r="AK9513">
        <v>51</v>
      </c>
    </row>
    <row r="9514" spans="1:37" x14ac:dyDescent="0.3">
      <c r="A9514">
        <v>9513</v>
      </c>
      <c r="B9514">
        <v>0</v>
      </c>
      <c r="C9514">
        <v>14.8833</v>
      </c>
      <c r="D9514">
        <v>4.0333300000000003</v>
      </c>
      <c r="E9514" t="s">
        <v>14445</v>
      </c>
      <c r="F9514" t="s">
        <v>14446</v>
      </c>
      <c r="G9514" t="s">
        <v>39</v>
      </c>
      <c r="H9514">
        <v>1990</v>
      </c>
      <c r="I9514">
        <v>23.8</v>
      </c>
      <c r="J9514">
        <v>10.8</v>
      </c>
      <c r="K9514">
        <v>77.769769999999994</v>
      </c>
      <c r="L9514">
        <v>6.3736379999999997</v>
      </c>
      <c r="M9514">
        <v>30.842179999999999</v>
      </c>
      <c r="N9514">
        <v>17.019159999999999</v>
      </c>
      <c r="O9514">
        <v>13.82302</v>
      </c>
      <c r="P9514">
        <v>24.670999999999999</v>
      </c>
      <c r="Q9514">
        <v>23.17118</v>
      </c>
      <c r="R9514">
        <v>24.670999999999999</v>
      </c>
      <c r="S9514">
        <v>23.051850000000002</v>
      </c>
      <c r="T9514">
        <v>1346.0619999999999</v>
      </c>
      <c r="U9514">
        <v>190.47980000000001</v>
      </c>
      <c r="V9514">
        <v>38.901580000000003</v>
      </c>
      <c r="W9514">
        <v>48</v>
      </c>
      <c r="X9514">
        <v>498.90690000000001</v>
      </c>
      <c r="Y9514">
        <v>141.28299999999999</v>
      </c>
      <c r="Z9514">
        <v>484.15640000000002</v>
      </c>
      <c r="AA9514">
        <v>191.5712</v>
      </c>
      <c r="AB9514">
        <v>19.227730000000001</v>
      </c>
      <c r="AC9514">
        <v>1.2123780000000001E-2</v>
      </c>
      <c r="AD9514">
        <v>2.552521</v>
      </c>
      <c r="AE9514">
        <v>0.1223911</v>
      </c>
      <c r="AF9514">
        <v>641.29700000000003</v>
      </c>
      <c r="AG9514">
        <f>IFERROR(AH9514*0.1, "N/A")</f>
        <v>5.2003510000000004</v>
      </c>
      <c r="AH9514">
        <v>52.003509999999999</v>
      </c>
      <c r="AI9514">
        <v>93.116140000000001</v>
      </c>
      <c r="AJ9514">
        <v>36.003509999999999</v>
      </c>
      <c r="AK9514">
        <v>51.47627</v>
      </c>
    </row>
    <row r="9515" spans="1:37" x14ac:dyDescent="0.3">
      <c r="A9515">
        <v>9514</v>
      </c>
      <c r="B9515">
        <v>0</v>
      </c>
      <c r="C9515">
        <v>14.8833</v>
      </c>
      <c r="D9515">
        <v>4.0333300000000003</v>
      </c>
      <c r="E9515" t="s">
        <v>14445</v>
      </c>
      <c r="F9515" t="s">
        <v>14447</v>
      </c>
      <c r="G9515" t="s">
        <v>37</v>
      </c>
      <c r="H9515">
        <v>1990</v>
      </c>
      <c r="I9515">
        <v>23.8</v>
      </c>
      <c r="J9515">
        <v>10.8</v>
      </c>
      <c r="K9515">
        <v>77.769769999999994</v>
      </c>
      <c r="L9515">
        <v>6.3736379999999997</v>
      </c>
      <c r="M9515">
        <v>30.842179999999999</v>
      </c>
      <c r="N9515">
        <v>17.019159999999999</v>
      </c>
      <c r="O9515">
        <v>13.82302</v>
      </c>
      <c r="P9515">
        <v>24.670999999999999</v>
      </c>
      <c r="Q9515">
        <v>23.17118</v>
      </c>
      <c r="R9515">
        <v>24.670999999999999</v>
      </c>
      <c r="S9515">
        <v>23.051850000000002</v>
      </c>
      <c r="T9515">
        <v>1346.0619999999999</v>
      </c>
      <c r="U9515">
        <v>190.47980000000001</v>
      </c>
      <c r="V9515">
        <v>38.901580000000003</v>
      </c>
      <c r="W9515">
        <v>48</v>
      </c>
      <c r="X9515">
        <v>498.90690000000001</v>
      </c>
      <c r="Y9515">
        <v>141.28299999999999</v>
      </c>
      <c r="Z9515">
        <v>484.15640000000002</v>
      </c>
      <c r="AA9515">
        <v>191.5712</v>
      </c>
      <c r="AB9515">
        <v>19.227730000000001</v>
      </c>
      <c r="AC9515">
        <v>1.2123780000000001E-2</v>
      </c>
      <c r="AD9515">
        <v>2.552521</v>
      </c>
      <c r="AE9515">
        <v>0.1223911</v>
      </c>
      <c r="AF9515">
        <v>641.29700000000003</v>
      </c>
      <c r="AG9515">
        <f>IFERROR(AH9515*0.1, "N/A")</f>
        <v>5.2003510000000004</v>
      </c>
      <c r="AH9515">
        <v>52.003509999999999</v>
      </c>
      <c r="AI9515">
        <v>93.116140000000001</v>
      </c>
      <c r="AJ9515">
        <v>36.003509999999999</v>
      </c>
      <c r="AK9515">
        <v>51.47627</v>
      </c>
    </row>
    <row r="9516" spans="1:37" x14ac:dyDescent="0.3">
      <c r="A9516">
        <v>9515</v>
      </c>
      <c r="B9516">
        <v>0</v>
      </c>
      <c r="C9516">
        <v>14.8833</v>
      </c>
      <c r="D9516">
        <v>4.0333300000000003</v>
      </c>
      <c r="E9516" t="s">
        <v>14445</v>
      </c>
      <c r="F9516" t="s">
        <v>14448</v>
      </c>
      <c r="G9516" t="s">
        <v>2420</v>
      </c>
      <c r="H9516">
        <v>1990</v>
      </c>
      <c r="I9516">
        <v>23.8</v>
      </c>
      <c r="J9516">
        <v>10.8</v>
      </c>
      <c r="K9516">
        <v>77.769769999999994</v>
      </c>
      <c r="L9516">
        <v>6.3736379999999997</v>
      </c>
      <c r="M9516">
        <v>30.842179999999999</v>
      </c>
      <c r="N9516">
        <v>17.019159999999999</v>
      </c>
      <c r="O9516">
        <v>13.82302</v>
      </c>
      <c r="P9516">
        <v>24.670999999999999</v>
      </c>
      <c r="Q9516">
        <v>23.17118</v>
      </c>
      <c r="R9516">
        <v>24.670999999999999</v>
      </c>
      <c r="S9516">
        <v>23.051850000000002</v>
      </c>
      <c r="T9516">
        <v>1346.0619999999999</v>
      </c>
      <c r="U9516">
        <v>190.47980000000001</v>
      </c>
      <c r="V9516">
        <v>38.901580000000003</v>
      </c>
      <c r="W9516">
        <v>48</v>
      </c>
      <c r="X9516">
        <v>498.90690000000001</v>
      </c>
      <c r="Y9516">
        <v>141.28299999999999</v>
      </c>
      <c r="Z9516">
        <v>484.15640000000002</v>
      </c>
      <c r="AA9516">
        <v>191.5712</v>
      </c>
      <c r="AB9516">
        <v>19.227730000000001</v>
      </c>
      <c r="AC9516">
        <v>1.2123780000000001E-2</v>
      </c>
      <c r="AD9516">
        <v>2.552521</v>
      </c>
      <c r="AE9516">
        <v>0.1223911</v>
      </c>
      <c r="AF9516">
        <v>641.29700000000003</v>
      </c>
      <c r="AG9516">
        <f>IFERROR(AH9516*0.1, "N/A")</f>
        <v>5.2003510000000004</v>
      </c>
      <c r="AH9516">
        <v>52.003509999999999</v>
      </c>
      <c r="AI9516">
        <v>93.116140000000001</v>
      </c>
      <c r="AJ9516">
        <v>36.003509999999999</v>
      </c>
      <c r="AK9516">
        <v>51.47627</v>
      </c>
    </row>
    <row r="9517" spans="1:37" x14ac:dyDescent="0.3">
      <c r="A9517">
        <v>9516</v>
      </c>
      <c r="B9517">
        <v>0</v>
      </c>
      <c r="C9517">
        <v>10.5694</v>
      </c>
      <c r="D9517">
        <v>4.0513899999999996</v>
      </c>
      <c r="E9517" t="s">
        <v>14449</v>
      </c>
      <c r="F9517" t="s">
        <v>14450</v>
      </c>
      <c r="G9517" t="s">
        <v>37</v>
      </c>
      <c r="H9517">
        <v>1990</v>
      </c>
      <c r="I9517">
        <v>25.9</v>
      </c>
      <c r="J9517">
        <v>8.1</v>
      </c>
      <c r="K9517">
        <v>69</v>
      </c>
      <c r="L9517">
        <v>11.47</v>
      </c>
      <c r="M9517">
        <v>32.200000000000003</v>
      </c>
      <c r="N9517">
        <v>20.6</v>
      </c>
      <c r="O9517">
        <v>11.6</v>
      </c>
      <c r="P9517">
        <v>24.7</v>
      </c>
      <c r="Q9517">
        <v>26.9</v>
      </c>
      <c r="R9517">
        <v>27</v>
      </c>
      <c r="S9517">
        <v>24.2</v>
      </c>
      <c r="T9517">
        <v>2406</v>
      </c>
      <c r="U9517">
        <v>434</v>
      </c>
      <c r="V9517">
        <v>21</v>
      </c>
      <c r="W9517">
        <v>65</v>
      </c>
      <c r="X9517">
        <v>1143</v>
      </c>
      <c r="Y9517">
        <v>86</v>
      </c>
      <c r="Z9517">
        <v>214</v>
      </c>
      <c r="AA9517">
        <v>988</v>
      </c>
      <c r="AB9517">
        <v>26.68074</v>
      </c>
      <c r="AC9517">
        <v>1.1483719999999999E-2</v>
      </c>
      <c r="AD9517">
        <v>4.1234130000000002</v>
      </c>
      <c r="AE9517">
        <v>0.28588750000000002</v>
      </c>
      <c r="AF9517">
        <v>235.8021</v>
      </c>
      <c r="AG9517">
        <f>IFERROR(AH9517*0.1, "N/A")</f>
        <v>4.6523640000000004</v>
      </c>
      <c r="AH9517">
        <v>46.52364</v>
      </c>
      <c r="AI9517">
        <v>159.19159999999999</v>
      </c>
      <c r="AJ9517">
        <v>32.026269999999997</v>
      </c>
      <c r="AK9517">
        <v>51.992989999999999</v>
      </c>
    </row>
    <row r="9518" spans="1:37" x14ac:dyDescent="0.3">
      <c r="A9518">
        <v>9517</v>
      </c>
      <c r="B9518">
        <v>0</v>
      </c>
      <c r="C9518">
        <v>10.5694</v>
      </c>
      <c r="D9518">
        <v>4.0513899999999996</v>
      </c>
      <c r="E9518" t="s">
        <v>14449</v>
      </c>
      <c r="F9518" t="s">
        <v>14451</v>
      </c>
      <c r="G9518" t="s">
        <v>2420</v>
      </c>
      <c r="H9518">
        <v>1990</v>
      </c>
      <c r="I9518">
        <v>25.9</v>
      </c>
      <c r="J9518">
        <v>8.1</v>
      </c>
      <c r="K9518">
        <v>69</v>
      </c>
      <c r="L9518">
        <v>11.47</v>
      </c>
      <c r="M9518">
        <v>32.200000000000003</v>
      </c>
      <c r="N9518">
        <v>20.6</v>
      </c>
      <c r="O9518">
        <v>11.6</v>
      </c>
      <c r="P9518">
        <v>24.7</v>
      </c>
      <c r="Q9518">
        <v>26.9</v>
      </c>
      <c r="R9518">
        <v>27</v>
      </c>
      <c r="S9518">
        <v>24.2</v>
      </c>
      <c r="T9518">
        <v>2406</v>
      </c>
      <c r="U9518">
        <v>434</v>
      </c>
      <c r="V9518">
        <v>21</v>
      </c>
      <c r="W9518">
        <v>65</v>
      </c>
      <c r="X9518">
        <v>1143</v>
      </c>
      <c r="Y9518">
        <v>86</v>
      </c>
      <c r="Z9518">
        <v>214</v>
      </c>
      <c r="AA9518">
        <v>988</v>
      </c>
      <c r="AB9518">
        <v>26.68074</v>
      </c>
      <c r="AC9518">
        <v>1.1483719999999999E-2</v>
      </c>
      <c r="AD9518">
        <v>4.1234130000000002</v>
      </c>
      <c r="AE9518">
        <v>0.28588750000000002</v>
      </c>
      <c r="AF9518">
        <v>235.8021</v>
      </c>
      <c r="AG9518">
        <f>IFERROR(AH9518*0.1, "N/A")</f>
        <v>4.6523640000000004</v>
      </c>
      <c r="AH9518">
        <v>46.52364</v>
      </c>
      <c r="AI9518">
        <v>159.19159999999999</v>
      </c>
      <c r="AJ9518">
        <v>32.026269999999997</v>
      </c>
      <c r="AK9518">
        <v>51.992989999999999</v>
      </c>
    </row>
    <row r="9519" spans="1:37" x14ac:dyDescent="0.3">
      <c r="A9519">
        <v>9518</v>
      </c>
      <c r="B9519">
        <v>0</v>
      </c>
      <c r="C9519">
        <v>11.324999999999999</v>
      </c>
      <c r="D9519">
        <v>4.0527800000000003</v>
      </c>
      <c r="E9519" t="s">
        <v>14452</v>
      </c>
      <c r="F9519" t="s">
        <v>14453</v>
      </c>
      <c r="G9519" t="s">
        <v>37</v>
      </c>
      <c r="H9519">
        <v>1990</v>
      </c>
      <c r="I9519">
        <v>24.254390000000001</v>
      </c>
      <c r="J9519">
        <v>8.9456140000000008</v>
      </c>
      <c r="K9519">
        <v>76.456140000000005</v>
      </c>
      <c r="L9519">
        <v>8.5970180000000003</v>
      </c>
      <c r="M9519">
        <v>30.554390000000001</v>
      </c>
      <c r="N9519">
        <v>18.95439</v>
      </c>
      <c r="O9519">
        <v>11.6</v>
      </c>
      <c r="P9519">
        <v>23.3</v>
      </c>
      <c r="Q9519">
        <v>25.054390000000001</v>
      </c>
      <c r="R9519">
        <v>25.254390000000001</v>
      </c>
      <c r="S9519">
        <v>23.1</v>
      </c>
      <c r="T9519">
        <v>1733.7190000000001</v>
      </c>
      <c r="U9519">
        <v>308.54390000000001</v>
      </c>
      <c r="V9519">
        <v>18</v>
      </c>
      <c r="W9519">
        <v>62</v>
      </c>
      <c r="X9519">
        <v>728.17539999999997</v>
      </c>
      <c r="Y9519">
        <v>86</v>
      </c>
      <c r="Z9519">
        <v>206</v>
      </c>
      <c r="AA9519">
        <v>517.63160000000005</v>
      </c>
      <c r="AB9519">
        <v>55.670870000000001</v>
      </c>
      <c r="AC9519">
        <v>1.0127580000000001E-2</v>
      </c>
      <c r="AD9519">
        <v>8.0593400000000006</v>
      </c>
      <c r="AE9519">
        <v>0.22925200000000001</v>
      </c>
      <c r="AF9519">
        <v>625.28599999999994</v>
      </c>
      <c r="AG9519">
        <f>IFERROR(AH9519*0.1, "N/A")</f>
        <v>5.1087720000000001</v>
      </c>
      <c r="AH9519">
        <v>51.087719999999997</v>
      </c>
      <c r="AI9519">
        <v>181.3228</v>
      </c>
      <c r="AJ9519">
        <v>35.101750000000003</v>
      </c>
      <c r="AK9519">
        <v>53.354390000000002</v>
      </c>
    </row>
    <row r="9520" spans="1:37" x14ac:dyDescent="0.3">
      <c r="A9520">
        <v>9519</v>
      </c>
      <c r="B9520">
        <v>0</v>
      </c>
      <c r="C9520">
        <v>11.324999999999999</v>
      </c>
      <c r="D9520">
        <v>4.0527800000000003</v>
      </c>
      <c r="E9520" t="s">
        <v>14452</v>
      </c>
      <c r="F9520" t="s">
        <v>14454</v>
      </c>
      <c r="G9520" t="s">
        <v>2420</v>
      </c>
      <c r="H9520">
        <v>1990</v>
      </c>
      <c r="I9520">
        <v>24.254390000000001</v>
      </c>
      <c r="J9520">
        <v>8.9456140000000008</v>
      </c>
      <c r="K9520">
        <v>76.456140000000005</v>
      </c>
      <c r="L9520">
        <v>8.5970180000000003</v>
      </c>
      <c r="M9520">
        <v>30.554390000000001</v>
      </c>
      <c r="N9520">
        <v>18.95439</v>
      </c>
      <c r="O9520">
        <v>11.6</v>
      </c>
      <c r="P9520">
        <v>23.3</v>
      </c>
      <c r="Q9520">
        <v>25.054390000000001</v>
      </c>
      <c r="R9520">
        <v>25.254390000000001</v>
      </c>
      <c r="S9520">
        <v>23.1</v>
      </c>
      <c r="T9520">
        <v>1733.7190000000001</v>
      </c>
      <c r="U9520">
        <v>308.54390000000001</v>
      </c>
      <c r="V9520">
        <v>18</v>
      </c>
      <c r="W9520">
        <v>62</v>
      </c>
      <c r="X9520">
        <v>728.17539999999997</v>
      </c>
      <c r="Y9520">
        <v>86</v>
      </c>
      <c r="Z9520">
        <v>206</v>
      </c>
      <c r="AA9520">
        <v>517.63160000000005</v>
      </c>
      <c r="AB9520">
        <v>55.670870000000001</v>
      </c>
      <c r="AC9520">
        <v>1.0127580000000001E-2</v>
      </c>
      <c r="AD9520">
        <v>8.0593400000000006</v>
      </c>
      <c r="AE9520">
        <v>0.22925200000000001</v>
      </c>
      <c r="AF9520">
        <v>625.28599999999994</v>
      </c>
      <c r="AG9520">
        <f>IFERROR(AH9520*0.1, "N/A")</f>
        <v>5.1087720000000001</v>
      </c>
      <c r="AH9520">
        <v>51.087719999999997</v>
      </c>
      <c r="AI9520">
        <v>181.3228</v>
      </c>
      <c r="AJ9520">
        <v>35.101750000000003</v>
      </c>
      <c r="AK9520">
        <v>53.354390000000002</v>
      </c>
    </row>
    <row r="9521" spans="1:37" x14ac:dyDescent="0.3">
      <c r="A9521">
        <v>9520</v>
      </c>
      <c r="B9521">
        <v>0</v>
      </c>
      <c r="C9521">
        <v>10.886100000000001</v>
      </c>
      <c r="D9521">
        <v>4.0666700000000002</v>
      </c>
      <c r="E9521" t="s">
        <v>14455</v>
      </c>
      <c r="F9521" t="s">
        <v>14456</v>
      </c>
      <c r="G9521" t="s">
        <v>39</v>
      </c>
      <c r="H9521">
        <v>1990</v>
      </c>
      <c r="I9521">
        <v>25.202110000000001</v>
      </c>
      <c r="J9521">
        <v>8.4</v>
      </c>
      <c r="K9521">
        <v>70</v>
      </c>
      <c r="L9521">
        <v>11.10684</v>
      </c>
      <c r="M9521">
        <v>31.702110000000001</v>
      </c>
      <c r="N9521">
        <v>19.753160000000001</v>
      </c>
      <c r="O9521">
        <v>11.94895</v>
      </c>
      <c r="P9521">
        <v>24.10211</v>
      </c>
      <c r="Q9521">
        <v>26.251049999999999</v>
      </c>
      <c r="R9521">
        <v>26.402100000000001</v>
      </c>
      <c r="S9521">
        <v>23.65316</v>
      </c>
      <c r="T9521">
        <v>2109.9789999999998</v>
      </c>
      <c r="U9521">
        <v>372.48950000000002</v>
      </c>
      <c r="V9521">
        <v>19</v>
      </c>
      <c r="W9521">
        <v>64</v>
      </c>
      <c r="X9521">
        <v>978.46839999999997</v>
      </c>
      <c r="Y9521">
        <v>79</v>
      </c>
      <c r="Z9521">
        <v>295.38420000000002</v>
      </c>
      <c r="AA9521">
        <v>790.97889999999995</v>
      </c>
      <c r="AB9521">
        <v>14.56334</v>
      </c>
      <c r="AC9521">
        <v>0.21946769999999999</v>
      </c>
      <c r="AD9521">
        <v>9.5705799999999996</v>
      </c>
      <c r="AE9521">
        <v>0.15218799999999999</v>
      </c>
      <c r="AF9521">
        <v>354.17540000000002</v>
      </c>
      <c r="AG9521">
        <f>IFERROR(AH9521*0.1, "N/A")</f>
        <v>4.9431580000000004</v>
      </c>
      <c r="AH9521">
        <v>49.431579999999997</v>
      </c>
      <c r="AI9521">
        <v>282.58120000000002</v>
      </c>
      <c r="AJ9521">
        <v>29.784210000000002</v>
      </c>
      <c r="AK9521">
        <v>59</v>
      </c>
    </row>
    <row r="9522" spans="1:37" x14ac:dyDescent="0.3">
      <c r="A9522">
        <v>9521</v>
      </c>
      <c r="B9522">
        <v>6.2</v>
      </c>
      <c r="C9522">
        <v>10.886100000000001</v>
      </c>
      <c r="D9522">
        <v>4.0666700000000002</v>
      </c>
      <c r="E9522" t="s">
        <v>14455</v>
      </c>
      <c r="F9522" t="s">
        <v>14457</v>
      </c>
      <c r="G9522" t="s">
        <v>37</v>
      </c>
      <c r="H9522">
        <v>1990</v>
      </c>
      <c r="I9522">
        <v>25.202110000000001</v>
      </c>
      <c r="J9522">
        <v>8.4</v>
      </c>
      <c r="K9522">
        <v>70</v>
      </c>
      <c r="L9522">
        <v>11.10684</v>
      </c>
      <c r="M9522">
        <v>31.702110000000001</v>
      </c>
      <c r="N9522">
        <v>19.753160000000001</v>
      </c>
      <c r="O9522">
        <v>11.94895</v>
      </c>
      <c r="P9522">
        <v>24.10211</v>
      </c>
      <c r="Q9522">
        <v>26.251049999999999</v>
      </c>
      <c r="R9522">
        <v>26.402100000000001</v>
      </c>
      <c r="S9522">
        <v>23.65316</v>
      </c>
      <c r="T9522">
        <v>2109.9789999999998</v>
      </c>
      <c r="U9522">
        <v>372.48950000000002</v>
      </c>
      <c r="V9522">
        <v>19</v>
      </c>
      <c r="W9522">
        <v>64</v>
      </c>
      <c r="X9522">
        <v>978.46839999999997</v>
      </c>
      <c r="Y9522">
        <v>79</v>
      </c>
      <c r="Z9522">
        <v>295.38420000000002</v>
      </c>
      <c r="AA9522">
        <v>790.97889999999995</v>
      </c>
      <c r="AB9522">
        <v>14.56334</v>
      </c>
      <c r="AC9522">
        <v>0.21946769999999999</v>
      </c>
      <c r="AD9522">
        <v>9.5705799999999996</v>
      </c>
      <c r="AE9522">
        <v>0.15218799999999999</v>
      </c>
      <c r="AF9522">
        <v>354.17540000000002</v>
      </c>
      <c r="AG9522">
        <f>IFERROR(AH9522*0.1, "N/A")</f>
        <v>4.9431580000000004</v>
      </c>
      <c r="AH9522">
        <v>49.431579999999997</v>
      </c>
      <c r="AI9522">
        <v>282.58120000000002</v>
      </c>
      <c r="AJ9522">
        <v>29.784210000000002</v>
      </c>
      <c r="AK9522">
        <v>59</v>
      </c>
    </row>
    <row r="9523" spans="1:37" x14ac:dyDescent="0.3">
      <c r="A9523">
        <v>9522</v>
      </c>
      <c r="B9523">
        <v>0</v>
      </c>
      <c r="C9523">
        <v>10.886100000000001</v>
      </c>
      <c r="D9523">
        <v>4.0666700000000002</v>
      </c>
      <c r="E9523" t="s">
        <v>14455</v>
      </c>
      <c r="F9523" t="s">
        <v>14458</v>
      </c>
      <c r="G9523" t="s">
        <v>2420</v>
      </c>
      <c r="H9523">
        <v>1990</v>
      </c>
      <c r="I9523">
        <v>25.202110000000001</v>
      </c>
      <c r="J9523">
        <v>8.4</v>
      </c>
      <c r="K9523">
        <v>70</v>
      </c>
      <c r="L9523">
        <v>11.10684</v>
      </c>
      <c r="M9523">
        <v>31.702110000000001</v>
      </c>
      <c r="N9523">
        <v>19.753160000000001</v>
      </c>
      <c r="O9523">
        <v>11.94895</v>
      </c>
      <c r="P9523">
        <v>24.10211</v>
      </c>
      <c r="Q9523">
        <v>26.251049999999999</v>
      </c>
      <c r="R9523">
        <v>26.402100000000001</v>
      </c>
      <c r="S9523">
        <v>23.65316</v>
      </c>
      <c r="T9523">
        <v>2109.9789999999998</v>
      </c>
      <c r="U9523">
        <v>372.48950000000002</v>
      </c>
      <c r="V9523">
        <v>19</v>
      </c>
      <c r="W9523">
        <v>64</v>
      </c>
      <c r="X9523">
        <v>978.46839999999997</v>
      </c>
      <c r="Y9523">
        <v>79</v>
      </c>
      <c r="Z9523">
        <v>295.38420000000002</v>
      </c>
      <c r="AA9523">
        <v>790.97889999999995</v>
      </c>
      <c r="AB9523">
        <v>14.56334</v>
      </c>
      <c r="AC9523">
        <v>0.21946769999999999</v>
      </c>
      <c r="AD9523">
        <v>9.5705799999999996</v>
      </c>
      <c r="AE9523">
        <v>0.15218799999999999</v>
      </c>
      <c r="AF9523">
        <v>354.17540000000002</v>
      </c>
      <c r="AG9523">
        <f>IFERROR(AH9523*0.1, "N/A")</f>
        <v>4.9431580000000004</v>
      </c>
      <c r="AH9523">
        <v>49.431579999999997</v>
      </c>
      <c r="AI9523">
        <v>282.58120000000002</v>
      </c>
      <c r="AJ9523">
        <v>29.784210000000002</v>
      </c>
      <c r="AK9523">
        <v>59</v>
      </c>
    </row>
    <row r="9524" spans="1:37" x14ac:dyDescent="0.3">
      <c r="A9524">
        <v>9523</v>
      </c>
      <c r="B9524">
        <v>2</v>
      </c>
      <c r="C9524">
        <v>14.494400000000001</v>
      </c>
      <c r="D9524">
        <v>4.0750000000000002</v>
      </c>
      <c r="E9524" t="s">
        <v>14459</v>
      </c>
      <c r="F9524" t="s">
        <v>14460</v>
      </c>
      <c r="G9524" t="s">
        <v>39</v>
      </c>
      <c r="H9524">
        <v>1990</v>
      </c>
      <c r="I9524">
        <v>23.8</v>
      </c>
      <c r="J9524">
        <v>10.6</v>
      </c>
      <c r="K9524">
        <v>77.714789999999994</v>
      </c>
      <c r="L9524">
        <v>7.0058449999999999</v>
      </c>
      <c r="M9524">
        <v>30.7</v>
      </c>
      <c r="N9524">
        <v>17.171479999999999</v>
      </c>
      <c r="O9524">
        <v>13.52852</v>
      </c>
      <c r="P9524">
        <v>23.52852</v>
      </c>
      <c r="Q9524">
        <v>23.6</v>
      </c>
      <c r="R9524">
        <v>24.8</v>
      </c>
      <c r="S9524">
        <v>23.02852</v>
      </c>
      <c r="T9524">
        <v>1432.7149999999999</v>
      </c>
      <c r="U9524">
        <v>230</v>
      </c>
      <c r="V9524">
        <v>35</v>
      </c>
      <c r="W9524">
        <v>46</v>
      </c>
      <c r="X9524">
        <v>533.71479999999997</v>
      </c>
      <c r="Y9524">
        <v>147</v>
      </c>
      <c r="Z9524">
        <v>464</v>
      </c>
      <c r="AA9524">
        <v>351.71480000000003</v>
      </c>
      <c r="AB9524">
        <v>20.141549999999999</v>
      </c>
      <c r="AC9524">
        <v>9.937787E-3</v>
      </c>
      <c r="AD9524">
        <v>3.352579</v>
      </c>
      <c r="AE9524">
        <v>0.18159059999999999</v>
      </c>
      <c r="AF9524">
        <v>639.17430000000002</v>
      </c>
      <c r="AG9524">
        <f>IFERROR(AH9524*0.1, "N/A")</f>
        <v>5.3000000000000007</v>
      </c>
      <c r="AH9524">
        <v>53</v>
      </c>
      <c r="AI9524">
        <v>201.41980000000001</v>
      </c>
      <c r="AJ9524">
        <v>37</v>
      </c>
      <c r="AK9524">
        <v>51</v>
      </c>
    </row>
    <row r="9525" spans="1:37" x14ac:dyDescent="0.3">
      <c r="A9525">
        <v>9524</v>
      </c>
      <c r="B9525">
        <v>0</v>
      </c>
      <c r="C9525">
        <v>14.494400000000001</v>
      </c>
      <c r="D9525">
        <v>4.0750000000000002</v>
      </c>
      <c r="E9525" t="s">
        <v>14459</v>
      </c>
      <c r="F9525" t="s">
        <v>14461</v>
      </c>
      <c r="G9525" t="s">
        <v>37</v>
      </c>
      <c r="H9525">
        <v>1990</v>
      </c>
      <c r="I9525">
        <v>23.8</v>
      </c>
      <c r="J9525">
        <v>10.6</v>
      </c>
      <c r="K9525">
        <v>77.714789999999994</v>
      </c>
      <c r="L9525">
        <v>7.0058449999999999</v>
      </c>
      <c r="M9525">
        <v>30.7</v>
      </c>
      <c r="N9525">
        <v>17.171479999999999</v>
      </c>
      <c r="O9525">
        <v>13.52852</v>
      </c>
      <c r="P9525">
        <v>23.52852</v>
      </c>
      <c r="Q9525">
        <v>23.6</v>
      </c>
      <c r="R9525">
        <v>24.8</v>
      </c>
      <c r="S9525">
        <v>23.02852</v>
      </c>
      <c r="T9525">
        <v>1432.7149999999999</v>
      </c>
      <c r="U9525">
        <v>230</v>
      </c>
      <c r="V9525">
        <v>35</v>
      </c>
      <c r="W9525">
        <v>46</v>
      </c>
      <c r="X9525">
        <v>533.71479999999997</v>
      </c>
      <c r="Y9525">
        <v>147</v>
      </c>
      <c r="Z9525">
        <v>464</v>
      </c>
      <c r="AA9525">
        <v>351.71480000000003</v>
      </c>
      <c r="AB9525">
        <v>20.141549999999999</v>
      </c>
      <c r="AC9525">
        <v>9.937787E-3</v>
      </c>
      <c r="AD9525">
        <v>3.352579</v>
      </c>
      <c r="AE9525">
        <v>0.18159059999999999</v>
      </c>
      <c r="AF9525">
        <v>639.17430000000002</v>
      </c>
      <c r="AG9525">
        <f>IFERROR(AH9525*0.1, "N/A")</f>
        <v>5.3000000000000007</v>
      </c>
      <c r="AH9525">
        <v>53</v>
      </c>
      <c r="AI9525">
        <v>201.41980000000001</v>
      </c>
      <c r="AJ9525">
        <v>37</v>
      </c>
      <c r="AK9525">
        <v>51</v>
      </c>
    </row>
    <row r="9526" spans="1:37" x14ac:dyDescent="0.3">
      <c r="A9526">
        <v>9525</v>
      </c>
      <c r="B9526">
        <v>2.2000000000000002</v>
      </c>
      <c r="C9526">
        <v>14.494400000000001</v>
      </c>
      <c r="D9526">
        <v>4.0750000000000002</v>
      </c>
      <c r="E9526" t="s">
        <v>14459</v>
      </c>
      <c r="F9526" t="s">
        <v>14462</v>
      </c>
      <c r="G9526" t="s">
        <v>2420</v>
      </c>
      <c r="H9526">
        <v>1990</v>
      </c>
      <c r="I9526">
        <v>23.8</v>
      </c>
      <c r="J9526">
        <v>10.6</v>
      </c>
      <c r="K9526">
        <v>77.714789999999994</v>
      </c>
      <c r="L9526">
        <v>7.0058449999999999</v>
      </c>
      <c r="M9526">
        <v>30.7</v>
      </c>
      <c r="N9526">
        <v>17.171479999999999</v>
      </c>
      <c r="O9526">
        <v>13.52852</v>
      </c>
      <c r="P9526">
        <v>23.52852</v>
      </c>
      <c r="Q9526">
        <v>23.6</v>
      </c>
      <c r="R9526">
        <v>24.8</v>
      </c>
      <c r="S9526">
        <v>23.02852</v>
      </c>
      <c r="T9526">
        <v>1432.7149999999999</v>
      </c>
      <c r="U9526">
        <v>230</v>
      </c>
      <c r="V9526">
        <v>35</v>
      </c>
      <c r="W9526">
        <v>46</v>
      </c>
      <c r="X9526">
        <v>533.71479999999997</v>
      </c>
      <c r="Y9526">
        <v>147</v>
      </c>
      <c r="Z9526">
        <v>464</v>
      </c>
      <c r="AA9526">
        <v>351.71480000000003</v>
      </c>
      <c r="AB9526">
        <v>20.141549999999999</v>
      </c>
      <c r="AC9526">
        <v>9.937787E-3</v>
      </c>
      <c r="AD9526">
        <v>3.352579</v>
      </c>
      <c r="AE9526">
        <v>0.18159059999999999</v>
      </c>
      <c r="AF9526">
        <v>639.17430000000002</v>
      </c>
      <c r="AG9526">
        <f>IFERROR(AH9526*0.1, "N/A")</f>
        <v>5.3000000000000007</v>
      </c>
      <c r="AH9526">
        <v>53</v>
      </c>
      <c r="AI9526">
        <v>201.41980000000001</v>
      </c>
      <c r="AJ9526">
        <v>37</v>
      </c>
      <c r="AK9526">
        <v>51</v>
      </c>
    </row>
    <row r="9527" spans="1:37" x14ac:dyDescent="0.3">
      <c r="A9527">
        <v>9526</v>
      </c>
      <c r="B9527">
        <v>0</v>
      </c>
      <c r="C9527">
        <v>10.6875</v>
      </c>
      <c r="D9527">
        <v>4.0927800000000003</v>
      </c>
      <c r="E9527" t="s">
        <v>14463</v>
      </c>
      <c r="F9527" t="s">
        <v>14464</v>
      </c>
      <c r="G9527" t="s">
        <v>39</v>
      </c>
      <c r="H9527">
        <v>1990</v>
      </c>
      <c r="I9527">
        <v>25.3</v>
      </c>
      <c r="J9527">
        <v>8.3000000000000007</v>
      </c>
      <c r="K9527">
        <v>69</v>
      </c>
      <c r="L9527">
        <v>11.6</v>
      </c>
      <c r="M9527">
        <v>31.8</v>
      </c>
      <c r="N9527">
        <v>19.899999999999999</v>
      </c>
      <c r="O9527">
        <v>11.9</v>
      </c>
      <c r="P9527">
        <v>24.1</v>
      </c>
      <c r="Q9527">
        <v>26.4</v>
      </c>
      <c r="R9527">
        <v>26.5</v>
      </c>
      <c r="S9527">
        <v>23.7</v>
      </c>
      <c r="T9527">
        <v>2335</v>
      </c>
      <c r="U9527">
        <v>425</v>
      </c>
      <c r="V9527">
        <v>18</v>
      </c>
      <c r="W9527">
        <v>66</v>
      </c>
      <c r="X9527">
        <v>1123</v>
      </c>
      <c r="Y9527">
        <v>79</v>
      </c>
      <c r="Z9527">
        <v>389</v>
      </c>
      <c r="AA9527">
        <v>966</v>
      </c>
      <c r="AB9527">
        <v>30.87567</v>
      </c>
      <c r="AC9527">
        <v>4.3438839999999999E-2</v>
      </c>
      <c r="AD9527">
        <v>6.3509909999999996</v>
      </c>
      <c r="AE9527">
        <v>0.15389620000000001</v>
      </c>
      <c r="AF9527">
        <v>333.18560000000002</v>
      </c>
      <c r="AG9527">
        <f>IFERROR(AH9527*0.1, "N/A")</f>
        <v>5.0278460000000003</v>
      </c>
      <c r="AH9527">
        <v>50.278460000000003</v>
      </c>
      <c r="AI9527">
        <v>216.88390000000001</v>
      </c>
      <c r="AJ9527">
        <v>29.562169999999998</v>
      </c>
      <c r="AK9527">
        <v>57.162869999999998</v>
      </c>
    </row>
    <row r="9528" spans="1:37" x14ac:dyDescent="0.3">
      <c r="A9528">
        <v>9527</v>
      </c>
      <c r="B9528">
        <v>0</v>
      </c>
      <c r="C9528">
        <v>10.6875</v>
      </c>
      <c r="D9528">
        <v>4.0927800000000003</v>
      </c>
      <c r="E9528" t="s">
        <v>14463</v>
      </c>
      <c r="F9528" t="s">
        <v>14465</v>
      </c>
      <c r="G9528" t="s">
        <v>37</v>
      </c>
      <c r="H9528">
        <v>1990</v>
      </c>
      <c r="I9528">
        <v>25.3</v>
      </c>
      <c r="J9528">
        <v>8.3000000000000007</v>
      </c>
      <c r="K9528">
        <v>69</v>
      </c>
      <c r="L9528">
        <v>11.6</v>
      </c>
      <c r="M9528">
        <v>31.8</v>
      </c>
      <c r="N9528">
        <v>19.899999999999999</v>
      </c>
      <c r="O9528">
        <v>11.9</v>
      </c>
      <c r="P9528">
        <v>24.1</v>
      </c>
      <c r="Q9528">
        <v>26.4</v>
      </c>
      <c r="R9528">
        <v>26.5</v>
      </c>
      <c r="S9528">
        <v>23.7</v>
      </c>
      <c r="T9528">
        <v>2335</v>
      </c>
      <c r="U9528">
        <v>425</v>
      </c>
      <c r="V9528">
        <v>18</v>
      </c>
      <c r="W9528">
        <v>66</v>
      </c>
      <c r="X9528">
        <v>1123</v>
      </c>
      <c r="Y9528">
        <v>79</v>
      </c>
      <c r="Z9528">
        <v>389</v>
      </c>
      <c r="AA9528">
        <v>966</v>
      </c>
      <c r="AB9528">
        <v>30.87567</v>
      </c>
      <c r="AC9528">
        <v>4.3438839999999999E-2</v>
      </c>
      <c r="AD9528">
        <v>6.3509909999999996</v>
      </c>
      <c r="AE9528">
        <v>0.15389620000000001</v>
      </c>
      <c r="AF9528">
        <v>333.18560000000002</v>
      </c>
      <c r="AG9528">
        <f>IFERROR(AH9528*0.1, "N/A")</f>
        <v>5.0278460000000003</v>
      </c>
      <c r="AH9528">
        <v>50.278460000000003</v>
      </c>
      <c r="AI9528">
        <v>216.88390000000001</v>
      </c>
      <c r="AJ9528">
        <v>29.562169999999998</v>
      </c>
      <c r="AK9528">
        <v>57.162869999999998</v>
      </c>
    </row>
    <row r="9529" spans="1:37" x14ac:dyDescent="0.3">
      <c r="A9529">
        <v>9528</v>
      </c>
      <c r="B9529">
        <v>3.7</v>
      </c>
      <c r="C9529">
        <v>10.6875</v>
      </c>
      <c r="D9529">
        <v>4.0927800000000003</v>
      </c>
      <c r="E9529" t="s">
        <v>14463</v>
      </c>
      <c r="F9529" t="s">
        <v>14466</v>
      </c>
      <c r="G9529" t="s">
        <v>2420</v>
      </c>
      <c r="H9529">
        <v>1990</v>
      </c>
      <c r="I9529">
        <v>25.3</v>
      </c>
      <c r="J9529">
        <v>8.3000000000000007</v>
      </c>
      <c r="K9529">
        <v>69</v>
      </c>
      <c r="L9529">
        <v>11.6</v>
      </c>
      <c r="M9529">
        <v>31.8</v>
      </c>
      <c r="N9529">
        <v>19.899999999999999</v>
      </c>
      <c r="O9529">
        <v>11.9</v>
      </c>
      <c r="P9529">
        <v>24.1</v>
      </c>
      <c r="Q9529">
        <v>26.4</v>
      </c>
      <c r="R9529">
        <v>26.5</v>
      </c>
      <c r="S9529">
        <v>23.7</v>
      </c>
      <c r="T9529">
        <v>2335</v>
      </c>
      <c r="U9529">
        <v>425</v>
      </c>
      <c r="V9529">
        <v>18</v>
      </c>
      <c r="W9529">
        <v>66</v>
      </c>
      <c r="X9529">
        <v>1123</v>
      </c>
      <c r="Y9529">
        <v>79</v>
      </c>
      <c r="Z9529">
        <v>389</v>
      </c>
      <c r="AA9529">
        <v>966</v>
      </c>
      <c r="AB9529">
        <v>30.87567</v>
      </c>
      <c r="AC9529">
        <v>4.3438839999999999E-2</v>
      </c>
      <c r="AD9529">
        <v>6.3509909999999996</v>
      </c>
      <c r="AE9529">
        <v>0.15389620000000001</v>
      </c>
      <c r="AF9529">
        <v>333.18560000000002</v>
      </c>
      <c r="AG9529">
        <f>IFERROR(AH9529*0.1, "N/A")</f>
        <v>5.0278460000000003</v>
      </c>
      <c r="AH9529">
        <v>50.278460000000003</v>
      </c>
      <c r="AI9529">
        <v>216.88390000000001</v>
      </c>
      <c r="AJ9529">
        <v>29.562169999999998</v>
      </c>
      <c r="AK9529">
        <v>57.162869999999998</v>
      </c>
    </row>
    <row r="9530" spans="1:37" x14ac:dyDescent="0.3">
      <c r="A9530">
        <v>9529</v>
      </c>
      <c r="B9530">
        <v>0</v>
      </c>
      <c r="C9530">
        <v>12.6347</v>
      </c>
      <c r="D9530">
        <v>4.1055599999999997</v>
      </c>
      <c r="E9530" t="s">
        <v>14467</v>
      </c>
      <c r="F9530" t="s">
        <v>14468</v>
      </c>
      <c r="G9530" t="s">
        <v>37</v>
      </c>
      <c r="H9530">
        <v>1990</v>
      </c>
      <c r="I9530">
        <v>23.7</v>
      </c>
      <c r="J9530">
        <v>9.5</v>
      </c>
      <c r="K9530">
        <v>80</v>
      </c>
      <c r="L9530">
        <v>6.31</v>
      </c>
      <c r="M9530">
        <v>30.1</v>
      </c>
      <c r="N9530">
        <v>18.3</v>
      </c>
      <c r="O9530">
        <v>11.8</v>
      </c>
      <c r="P9530">
        <v>23.1</v>
      </c>
      <c r="Q9530">
        <v>23.9</v>
      </c>
      <c r="R9530">
        <v>24.5</v>
      </c>
      <c r="S9530">
        <v>22.9</v>
      </c>
      <c r="T9530">
        <v>1572</v>
      </c>
      <c r="U9530">
        <v>294</v>
      </c>
      <c r="V9530">
        <v>17</v>
      </c>
      <c r="W9530">
        <v>63</v>
      </c>
      <c r="X9530">
        <v>662</v>
      </c>
      <c r="Y9530">
        <v>84</v>
      </c>
      <c r="Z9530">
        <v>321</v>
      </c>
      <c r="AA9530">
        <v>353</v>
      </c>
      <c r="AB9530">
        <v>22.308990000000001</v>
      </c>
      <c r="AC9530">
        <v>1.353129E-2</v>
      </c>
      <c r="AD9530">
        <v>2.3029109999999999</v>
      </c>
      <c r="AE9530">
        <v>0.14991299999999999</v>
      </c>
      <c r="AF9530">
        <v>687.54480000000001</v>
      </c>
      <c r="AG9530">
        <f>IFERROR(AH9530*0.1, "N/A")</f>
        <v>5.0729350000000002</v>
      </c>
      <c r="AH9530">
        <v>50.729349999999997</v>
      </c>
      <c r="AI9530">
        <v>138.77799999999999</v>
      </c>
      <c r="AJ9530">
        <v>40.270650000000003</v>
      </c>
      <c r="AK9530">
        <v>49.270650000000003</v>
      </c>
    </row>
    <row r="9531" spans="1:37" x14ac:dyDescent="0.3">
      <c r="A9531">
        <v>9530</v>
      </c>
      <c r="B9531">
        <v>0</v>
      </c>
      <c r="C9531">
        <v>12.6347</v>
      </c>
      <c r="D9531">
        <v>4.1055599999999997</v>
      </c>
      <c r="E9531" t="s">
        <v>14467</v>
      </c>
      <c r="F9531" t="s">
        <v>14469</v>
      </c>
      <c r="G9531" t="s">
        <v>2420</v>
      </c>
      <c r="H9531">
        <v>1990</v>
      </c>
      <c r="I9531">
        <v>23.7</v>
      </c>
      <c r="J9531">
        <v>9.5</v>
      </c>
      <c r="K9531">
        <v>80</v>
      </c>
      <c r="L9531">
        <v>6.31</v>
      </c>
      <c r="M9531">
        <v>30.1</v>
      </c>
      <c r="N9531">
        <v>18.3</v>
      </c>
      <c r="O9531">
        <v>11.8</v>
      </c>
      <c r="P9531">
        <v>23.1</v>
      </c>
      <c r="Q9531">
        <v>23.9</v>
      </c>
      <c r="R9531">
        <v>24.5</v>
      </c>
      <c r="S9531">
        <v>22.9</v>
      </c>
      <c r="T9531">
        <v>1572</v>
      </c>
      <c r="U9531">
        <v>294</v>
      </c>
      <c r="V9531">
        <v>17</v>
      </c>
      <c r="W9531">
        <v>63</v>
      </c>
      <c r="X9531">
        <v>662</v>
      </c>
      <c r="Y9531">
        <v>84</v>
      </c>
      <c r="Z9531">
        <v>321</v>
      </c>
      <c r="AA9531">
        <v>353</v>
      </c>
      <c r="AB9531">
        <v>22.308990000000001</v>
      </c>
      <c r="AC9531">
        <v>1.353129E-2</v>
      </c>
      <c r="AD9531">
        <v>2.3029109999999999</v>
      </c>
      <c r="AE9531">
        <v>0.14991299999999999</v>
      </c>
      <c r="AF9531">
        <v>687.54480000000001</v>
      </c>
      <c r="AG9531">
        <f>IFERROR(AH9531*0.1, "N/A")</f>
        <v>5.0729350000000002</v>
      </c>
      <c r="AH9531">
        <v>50.729349999999997</v>
      </c>
      <c r="AI9531">
        <v>138.77799999999999</v>
      </c>
      <c r="AJ9531">
        <v>40.270650000000003</v>
      </c>
      <c r="AK9531">
        <v>49.270650000000003</v>
      </c>
    </row>
    <row r="9532" spans="1:37" x14ac:dyDescent="0.3">
      <c r="A9532">
        <v>9531</v>
      </c>
      <c r="B9532">
        <v>0</v>
      </c>
      <c r="C9532">
        <v>14.5722</v>
      </c>
      <c r="D9532">
        <v>4.11111</v>
      </c>
      <c r="E9532" t="s">
        <v>14470</v>
      </c>
      <c r="F9532" t="s">
        <v>14471</v>
      </c>
      <c r="G9532" t="s">
        <v>39</v>
      </c>
      <c r="H9532">
        <v>1990</v>
      </c>
      <c r="I9532">
        <v>24</v>
      </c>
      <c r="J9532">
        <v>10.6</v>
      </c>
      <c r="K9532">
        <v>77</v>
      </c>
      <c r="L9532">
        <v>6.86</v>
      </c>
      <c r="M9532">
        <v>30.9</v>
      </c>
      <c r="N9532">
        <v>17.2</v>
      </c>
      <c r="O9532">
        <v>13.7</v>
      </c>
      <c r="P9532">
        <v>23.7</v>
      </c>
      <c r="Q9532">
        <v>23.8</v>
      </c>
      <c r="R9532">
        <v>25</v>
      </c>
      <c r="S9532">
        <v>23.2</v>
      </c>
      <c r="T9532">
        <v>1408</v>
      </c>
      <c r="U9532">
        <v>224</v>
      </c>
      <c r="V9532">
        <v>37</v>
      </c>
      <c r="W9532">
        <v>45</v>
      </c>
      <c r="X9532">
        <v>521</v>
      </c>
      <c r="Y9532">
        <v>155</v>
      </c>
      <c r="Z9532">
        <v>461</v>
      </c>
      <c r="AA9532">
        <v>332</v>
      </c>
      <c r="AB9532">
        <v>22.29684</v>
      </c>
      <c r="AC9532">
        <v>4.4714759999999999E-2</v>
      </c>
      <c r="AD9532">
        <v>3.4716939999999998</v>
      </c>
      <c r="AE9532">
        <v>0.4426388</v>
      </c>
      <c r="AF9532">
        <v>598.84640000000002</v>
      </c>
      <c r="AG9532">
        <f>IFERROR(AH9532*0.1, "N/A")</f>
        <v>5.0111690000000007</v>
      </c>
      <c r="AH9532">
        <v>50.111690000000003</v>
      </c>
      <c r="AI9532">
        <v>112.8386</v>
      </c>
      <c r="AJ9532">
        <v>31.876090000000001</v>
      </c>
      <c r="AK9532">
        <v>53.848170000000003</v>
      </c>
    </row>
    <row r="9533" spans="1:37" x14ac:dyDescent="0.3">
      <c r="A9533">
        <v>9532</v>
      </c>
      <c r="B9533">
        <v>0</v>
      </c>
      <c r="C9533">
        <v>14.5722</v>
      </c>
      <c r="D9533">
        <v>4.11111</v>
      </c>
      <c r="E9533" t="s">
        <v>14470</v>
      </c>
      <c r="F9533" t="s">
        <v>14472</v>
      </c>
      <c r="G9533" t="s">
        <v>37</v>
      </c>
      <c r="H9533">
        <v>1990</v>
      </c>
      <c r="I9533">
        <v>24</v>
      </c>
      <c r="J9533">
        <v>10.6</v>
      </c>
      <c r="K9533">
        <v>77</v>
      </c>
      <c r="L9533">
        <v>6.86</v>
      </c>
      <c r="M9533">
        <v>30.9</v>
      </c>
      <c r="N9533">
        <v>17.2</v>
      </c>
      <c r="O9533">
        <v>13.7</v>
      </c>
      <c r="P9533">
        <v>23.7</v>
      </c>
      <c r="Q9533">
        <v>23.8</v>
      </c>
      <c r="R9533">
        <v>25</v>
      </c>
      <c r="S9533">
        <v>23.2</v>
      </c>
      <c r="T9533">
        <v>1408</v>
      </c>
      <c r="U9533">
        <v>224</v>
      </c>
      <c r="V9533">
        <v>37</v>
      </c>
      <c r="W9533">
        <v>45</v>
      </c>
      <c r="X9533">
        <v>521</v>
      </c>
      <c r="Y9533">
        <v>155</v>
      </c>
      <c r="Z9533">
        <v>461</v>
      </c>
      <c r="AA9533">
        <v>332</v>
      </c>
      <c r="AB9533">
        <v>22.29684</v>
      </c>
      <c r="AC9533">
        <v>4.4714759999999999E-2</v>
      </c>
      <c r="AD9533">
        <v>3.4716939999999998</v>
      </c>
      <c r="AE9533">
        <v>0.4426388</v>
      </c>
      <c r="AF9533">
        <v>598.84640000000002</v>
      </c>
      <c r="AG9533">
        <f>IFERROR(AH9533*0.1, "N/A")</f>
        <v>5.0111690000000007</v>
      </c>
      <c r="AH9533">
        <v>50.111690000000003</v>
      </c>
      <c r="AI9533">
        <v>112.8386</v>
      </c>
      <c r="AJ9533">
        <v>31.876090000000001</v>
      </c>
      <c r="AK9533">
        <v>53.848170000000003</v>
      </c>
    </row>
    <row r="9534" spans="1:37" x14ac:dyDescent="0.3">
      <c r="A9534">
        <v>9533</v>
      </c>
      <c r="B9534">
        <v>0</v>
      </c>
      <c r="C9534">
        <v>14.5722</v>
      </c>
      <c r="D9534">
        <v>4.11111</v>
      </c>
      <c r="E9534" t="s">
        <v>14470</v>
      </c>
      <c r="F9534" t="s">
        <v>14473</v>
      </c>
      <c r="G9534" t="s">
        <v>2420</v>
      </c>
      <c r="H9534">
        <v>1990</v>
      </c>
      <c r="I9534">
        <v>24</v>
      </c>
      <c r="J9534">
        <v>10.6</v>
      </c>
      <c r="K9534">
        <v>77</v>
      </c>
      <c r="L9534">
        <v>6.86</v>
      </c>
      <c r="M9534">
        <v>30.9</v>
      </c>
      <c r="N9534">
        <v>17.2</v>
      </c>
      <c r="O9534">
        <v>13.7</v>
      </c>
      <c r="P9534">
        <v>23.7</v>
      </c>
      <c r="Q9534">
        <v>23.8</v>
      </c>
      <c r="R9534">
        <v>25</v>
      </c>
      <c r="S9534">
        <v>23.2</v>
      </c>
      <c r="T9534">
        <v>1408</v>
      </c>
      <c r="U9534">
        <v>224</v>
      </c>
      <c r="V9534">
        <v>37</v>
      </c>
      <c r="W9534">
        <v>45</v>
      </c>
      <c r="X9534">
        <v>521</v>
      </c>
      <c r="Y9534">
        <v>155</v>
      </c>
      <c r="Z9534">
        <v>461</v>
      </c>
      <c r="AA9534">
        <v>332</v>
      </c>
      <c r="AB9534">
        <v>22.29684</v>
      </c>
      <c r="AC9534">
        <v>4.4714759999999999E-2</v>
      </c>
      <c r="AD9534">
        <v>3.4716939999999998</v>
      </c>
      <c r="AE9534">
        <v>0.4426388</v>
      </c>
      <c r="AF9534">
        <v>598.84640000000002</v>
      </c>
      <c r="AG9534">
        <f>IFERROR(AH9534*0.1, "N/A")</f>
        <v>5.0111690000000007</v>
      </c>
      <c r="AH9534">
        <v>50.111690000000003</v>
      </c>
      <c r="AI9534">
        <v>112.8386</v>
      </c>
      <c r="AJ9534">
        <v>31.876090000000001</v>
      </c>
      <c r="AK9534">
        <v>53.848170000000003</v>
      </c>
    </row>
    <row r="9535" spans="1:37" x14ac:dyDescent="0.3">
      <c r="A9535">
        <v>9534</v>
      </c>
      <c r="B9535">
        <v>7.1</v>
      </c>
      <c r="C9535">
        <v>11.532999999999999</v>
      </c>
      <c r="D9535">
        <v>4.117</v>
      </c>
      <c r="E9535" t="s">
        <v>14474</v>
      </c>
      <c r="F9535" t="s">
        <v>14475</v>
      </c>
      <c r="G9535" t="s">
        <v>37</v>
      </c>
      <c r="H9535">
        <v>1987</v>
      </c>
      <c r="I9535">
        <v>24.553249999999998</v>
      </c>
      <c r="J9535">
        <v>9.1</v>
      </c>
      <c r="K9535">
        <v>78.604569999999995</v>
      </c>
      <c r="L9535">
        <v>7.6613360000000004</v>
      </c>
      <c r="M9535">
        <v>30.853249999999999</v>
      </c>
      <c r="N9535">
        <v>19.31371</v>
      </c>
      <c r="O9535">
        <v>11.539540000000001</v>
      </c>
      <c r="P9535">
        <v>23.706499999999998</v>
      </c>
      <c r="Q9535">
        <v>25.253250000000001</v>
      </c>
      <c r="R9535">
        <v>25.405100000000001</v>
      </c>
      <c r="S9535">
        <v>23.546050000000001</v>
      </c>
      <c r="T9535">
        <v>1643.2860000000001</v>
      </c>
      <c r="U9535">
        <v>293.94900000000001</v>
      </c>
      <c r="V9535">
        <v>17</v>
      </c>
      <c r="W9535">
        <v>63</v>
      </c>
      <c r="X9535">
        <v>669.75400000000002</v>
      </c>
      <c r="Y9535">
        <v>87</v>
      </c>
      <c r="Z9535">
        <v>279.07029999999997</v>
      </c>
      <c r="AA9535">
        <v>446.2056</v>
      </c>
      <c r="AB9535">
        <v>26.840769999999999</v>
      </c>
      <c r="AC9535">
        <v>8.5262370000000007E-3</v>
      </c>
      <c r="AD9535">
        <v>7.6820839999999997</v>
      </c>
      <c r="AE9535">
        <v>0.51182110000000003</v>
      </c>
      <c r="AF9535">
        <v>584.32339999999999</v>
      </c>
      <c r="AG9535">
        <f>IFERROR(AH9535*0.1, "N/A")</f>
        <v>5.2</v>
      </c>
      <c r="AH9535">
        <v>52</v>
      </c>
      <c r="AI9535">
        <v>261.99239999999998</v>
      </c>
      <c r="AJ9535">
        <v>30.12302</v>
      </c>
      <c r="AK9535">
        <v>57.753950000000003</v>
      </c>
    </row>
    <row r="9536" spans="1:37" x14ac:dyDescent="0.3">
      <c r="A9536">
        <v>9535</v>
      </c>
      <c r="B9536">
        <v>8.4</v>
      </c>
      <c r="C9536">
        <v>11.532999999999999</v>
      </c>
      <c r="D9536">
        <v>4.117</v>
      </c>
      <c r="E9536" t="s">
        <v>14474</v>
      </c>
      <c r="F9536" t="s">
        <v>14476</v>
      </c>
      <c r="G9536" t="s">
        <v>2420</v>
      </c>
      <c r="H9536">
        <v>1987</v>
      </c>
      <c r="I9536">
        <v>24.553249999999998</v>
      </c>
      <c r="J9536">
        <v>9.1</v>
      </c>
      <c r="K9536">
        <v>78.604569999999995</v>
      </c>
      <c r="L9536">
        <v>7.6613360000000004</v>
      </c>
      <c r="M9536">
        <v>30.853249999999999</v>
      </c>
      <c r="N9536">
        <v>19.31371</v>
      </c>
      <c r="O9536">
        <v>11.539540000000001</v>
      </c>
      <c r="P9536">
        <v>23.706499999999998</v>
      </c>
      <c r="Q9536">
        <v>25.253250000000001</v>
      </c>
      <c r="R9536">
        <v>25.405100000000001</v>
      </c>
      <c r="S9536">
        <v>23.546050000000001</v>
      </c>
      <c r="T9536">
        <v>1643.2860000000001</v>
      </c>
      <c r="U9536">
        <v>293.94900000000001</v>
      </c>
      <c r="V9536">
        <v>17</v>
      </c>
      <c r="W9536">
        <v>63</v>
      </c>
      <c r="X9536">
        <v>669.75400000000002</v>
      </c>
      <c r="Y9536">
        <v>87</v>
      </c>
      <c r="Z9536">
        <v>279.07029999999997</v>
      </c>
      <c r="AA9536">
        <v>446.2056</v>
      </c>
      <c r="AB9536">
        <v>26.840769999999999</v>
      </c>
      <c r="AC9536">
        <v>8.5262370000000007E-3</v>
      </c>
      <c r="AD9536">
        <v>7.6820839999999997</v>
      </c>
      <c r="AE9536">
        <v>0.51182110000000003</v>
      </c>
      <c r="AF9536">
        <v>584.32339999999999</v>
      </c>
      <c r="AG9536">
        <f>IFERROR(AH9536*0.1, "N/A")</f>
        <v>5.2</v>
      </c>
      <c r="AH9536">
        <v>52</v>
      </c>
      <c r="AI9536">
        <v>261.99239999999998</v>
      </c>
      <c r="AJ9536">
        <v>30.12302</v>
      </c>
      <c r="AK9536">
        <v>57.753950000000003</v>
      </c>
    </row>
    <row r="9537" spans="1:37" x14ac:dyDescent="0.3">
      <c r="A9537">
        <v>9536</v>
      </c>
      <c r="B9537">
        <v>1.9</v>
      </c>
      <c r="C9537">
        <v>11.908300000000001</v>
      </c>
      <c r="D9537">
        <v>4.11944</v>
      </c>
      <c r="E9537" t="s">
        <v>14477</v>
      </c>
      <c r="F9537" t="s">
        <v>14478</v>
      </c>
      <c r="G9537" t="s">
        <v>37</v>
      </c>
      <c r="H9537">
        <v>1990</v>
      </c>
      <c r="I9537">
        <v>24.2</v>
      </c>
      <c r="J9537">
        <v>9.1999999999999993</v>
      </c>
      <c r="K9537">
        <v>80</v>
      </c>
      <c r="L9537">
        <v>7.007263</v>
      </c>
      <c r="M9537">
        <v>30.6</v>
      </c>
      <c r="N9537">
        <v>19.2</v>
      </c>
      <c r="O9537">
        <v>11.4</v>
      </c>
      <c r="P9537">
        <v>23.871580000000002</v>
      </c>
      <c r="Q9537">
        <v>24.8</v>
      </c>
      <c r="R9537">
        <v>25.1</v>
      </c>
      <c r="S9537">
        <v>23.3</v>
      </c>
      <c r="T9537">
        <v>1572.568</v>
      </c>
      <c r="U9537">
        <v>287</v>
      </c>
      <c r="V9537">
        <v>16</v>
      </c>
      <c r="W9537">
        <v>64</v>
      </c>
      <c r="X9537">
        <v>646</v>
      </c>
      <c r="Y9537">
        <v>85</v>
      </c>
      <c r="Z9537">
        <v>348.2842</v>
      </c>
      <c r="AA9537">
        <v>431.2842</v>
      </c>
      <c r="AB9537">
        <v>28.18967</v>
      </c>
      <c r="AC9537">
        <v>1.2804279999999999E-2</v>
      </c>
      <c r="AD9537">
        <v>2.9931350000000001</v>
      </c>
      <c r="AE9537">
        <v>0.19938249999999999</v>
      </c>
      <c r="AF9537">
        <v>632.0421</v>
      </c>
      <c r="AG9537">
        <f>IFERROR(AH9537*0.1, "N/A")</f>
        <v>5.078596000000001</v>
      </c>
      <c r="AH9537">
        <v>50.785960000000003</v>
      </c>
      <c r="AI9537">
        <v>94.614459999999994</v>
      </c>
      <c r="AJ9537">
        <v>32.480699999999999</v>
      </c>
      <c r="AK9537">
        <v>54.552630000000001</v>
      </c>
    </row>
    <row r="9538" spans="1:37" x14ac:dyDescent="0.3">
      <c r="A9538">
        <v>9537</v>
      </c>
      <c r="B9538">
        <v>0</v>
      </c>
      <c r="C9538">
        <v>11.908300000000001</v>
      </c>
      <c r="D9538">
        <v>4.11944</v>
      </c>
      <c r="E9538" t="s">
        <v>14477</v>
      </c>
      <c r="F9538" t="s">
        <v>14479</v>
      </c>
      <c r="G9538" t="s">
        <v>2420</v>
      </c>
      <c r="H9538">
        <v>1990</v>
      </c>
      <c r="I9538">
        <v>24.2</v>
      </c>
      <c r="J9538">
        <v>9.1999999999999993</v>
      </c>
      <c r="K9538">
        <v>80</v>
      </c>
      <c r="L9538">
        <v>7.007263</v>
      </c>
      <c r="M9538">
        <v>30.6</v>
      </c>
      <c r="N9538">
        <v>19.2</v>
      </c>
      <c r="O9538">
        <v>11.4</v>
      </c>
      <c r="P9538">
        <v>23.871580000000002</v>
      </c>
      <c r="Q9538">
        <v>24.8</v>
      </c>
      <c r="R9538">
        <v>25.1</v>
      </c>
      <c r="S9538">
        <v>23.3</v>
      </c>
      <c r="T9538">
        <v>1572.568</v>
      </c>
      <c r="U9538">
        <v>287</v>
      </c>
      <c r="V9538">
        <v>16</v>
      </c>
      <c r="W9538">
        <v>64</v>
      </c>
      <c r="X9538">
        <v>646</v>
      </c>
      <c r="Y9538">
        <v>85</v>
      </c>
      <c r="Z9538">
        <v>348.2842</v>
      </c>
      <c r="AA9538">
        <v>431.2842</v>
      </c>
      <c r="AB9538">
        <v>28.18967</v>
      </c>
      <c r="AC9538">
        <v>1.2804279999999999E-2</v>
      </c>
      <c r="AD9538">
        <v>2.9931350000000001</v>
      </c>
      <c r="AE9538">
        <v>0.19938249999999999</v>
      </c>
      <c r="AF9538">
        <v>632.0421</v>
      </c>
      <c r="AG9538">
        <f>IFERROR(AH9538*0.1, "N/A")</f>
        <v>5.078596000000001</v>
      </c>
      <c r="AH9538">
        <v>50.785960000000003</v>
      </c>
      <c r="AI9538">
        <v>94.614459999999994</v>
      </c>
      <c r="AJ9538">
        <v>32.480699999999999</v>
      </c>
      <c r="AK9538">
        <v>54.552630000000001</v>
      </c>
    </row>
    <row r="9539" spans="1:37" x14ac:dyDescent="0.3">
      <c r="A9539">
        <v>9538</v>
      </c>
      <c r="B9539">
        <v>0</v>
      </c>
      <c r="C9539">
        <v>11.238899999999999</v>
      </c>
      <c r="D9539">
        <v>4.1333299999999999</v>
      </c>
      <c r="E9539" t="s">
        <v>14480</v>
      </c>
      <c r="F9539" t="s">
        <v>14481</v>
      </c>
      <c r="G9539" t="s">
        <v>37</v>
      </c>
      <c r="H9539">
        <v>1990</v>
      </c>
      <c r="I9539">
        <v>24.833739999999999</v>
      </c>
      <c r="J9539">
        <v>8.8337409999999998</v>
      </c>
      <c r="K9539">
        <v>75.337410000000006</v>
      </c>
      <c r="L9539">
        <v>9.1198779999999999</v>
      </c>
      <c r="M9539">
        <v>31.233740000000001</v>
      </c>
      <c r="N9539">
        <v>19.533740000000002</v>
      </c>
      <c r="O9539">
        <v>11.7</v>
      </c>
      <c r="P9539">
        <v>23.833739999999999</v>
      </c>
      <c r="Q9539">
        <v>25.63374</v>
      </c>
      <c r="R9539">
        <v>25.8</v>
      </c>
      <c r="S9539">
        <v>23.533740000000002</v>
      </c>
      <c r="T9539">
        <v>1783.0119999999999</v>
      </c>
      <c r="U9539">
        <v>315.3374</v>
      </c>
      <c r="V9539">
        <v>17</v>
      </c>
      <c r="W9539">
        <v>63</v>
      </c>
      <c r="X9539">
        <v>774.3374</v>
      </c>
      <c r="Y9539">
        <v>79</v>
      </c>
      <c r="Z9539">
        <v>309.31470000000002</v>
      </c>
      <c r="AA9539">
        <v>570</v>
      </c>
      <c r="AB9539">
        <v>50.313639999999999</v>
      </c>
      <c r="AC9539">
        <v>8.5260709999999997E-3</v>
      </c>
      <c r="AD9539">
        <v>5.2019270000000004</v>
      </c>
      <c r="AE9539">
        <v>0.26411410000000002</v>
      </c>
      <c r="AF9539">
        <v>513.82690000000002</v>
      </c>
      <c r="AG9539">
        <f>IFERROR(AH9539*0.1, "N/A")</f>
        <v>5.1000000000000005</v>
      </c>
      <c r="AH9539">
        <v>51</v>
      </c>
      <c r="AI9539">
        <v>90.310829999999996</v>
      </c>
      <c r="AJ9539">
        <v>33</v>
      </c>
      <c r="AK9539">
        <v>54</v>
      </c>
    </row>
    <row r="9540" spans="1:37" x14ac:dyDescent="0.3">
      <c r="A9540">
        <v>9539</v>
      </c>
      <c r="B9540">
        <v>0</v>
      </c>
      <c r="C9540">
        <v>11.238899999999999</v>
      </c>
      <c r="D9540">
        <v>4.1333299999999999</v>
      </c>
      <c r="E9540" t="s">
        <v>14480</v>
      </c>
      <c r="F9540" t="s">
        <v>14482</v>
      </c>
      <c r="G9540" t="s">
        <v>2420</v>
      </c>
      <c r="H9540">
        <v>1990</v>
      </c>
      <c r="I9540">
        <v>24.833739999999999</v>
      </c>
      <c r="J9540">
        <v>8.8337409999999998</v>
      </c>
      <c r="K9540">
        <v>75.337410000000006</v>
      </c>
      <c r="L9540">
        <v>9.1198779999999999</v>
      </c>
      <c r="M9540">
        <v>31.233740000000001</v>
      </c>
      <c r="N9540">
        <v>19.533740000000002</v>
      </c>
      <c r="O9540">
        <v>11.7</v>
      </c>
      <c r="P9540">
        <v>23.833739999999999</v>
      </c>
      <c r="Q9540">
        <v>25.63374</v>
      </c>
      <c r="R9540">
        <v>25.8</v>
      </c>
      <c r="S9540">
        <v>23.533740000000002</v>
      </c>
      <c r="T9540">
        <v>1783.0119999999999</v>
      </c>
      <c r="U9540">
        <v>315.3374</v>
      </c>
      <c r="V9540">
        <v>17</v>
      </c>
      <c r="W9540">
        <v>63</v>
      </c>
      <c r="X9540">
        <v>774.3374</v>
      </c>
      <c r="Y9540">
        <v>79</v>
      </c>
      <c r="Z9540">
        <v>309.31470000000002</v>
      </c>
      <c r="AA9540">
        <v>570</v>
      </c>
      <c r="AB9540">
        <v>50.313639999999999</v>
      </c>
      <c r="AC9540">
        <v>8.5260709999999997E-3</v>
      </c>
      <c r="AD9540">
        <v>5.2019270000000004</v>
      </c>
      <c r="AE9540">
        <v>0.26411410000000002</v>
      </c>
      <c r="AF9540">
        <v>513.82690000000002</v>
      </c>
      <c r="AG9540">
        <f>IFERROR(AH9540*0.1, "N/A")</f>
        <v>5.1000000000000005</v>
      </c>
      <c r="AH9540">
        <v>51</v>
      </c>
      <c r="AI9540">
        <v>90.310829999999996</v>
      </c>
      <c r="AJ9540">
        <v>33</v>
      </c>
      <c r="AK9540">
        <v>54</v>
      </c>
    </row>
    <row r="9541" spans="1:37" x14ac:dyDescent="0.3">
      <c r="A9541">
        <v>9540</v>
      </c>
      <c r="B9541">
        <v>0</v>
      </c>
      <c r="C9541">
        <v>11.166700000000001</v>
      </c>
      <c r="D9541">
        <v>4.1444400000000003</v>
      </c>
      <c r="E9541" t="s">
        <v>14483</v>
      </c>
      <c r="F9541" t="s">
        <v>14484</v>
      </c>
      <c r="G9541" t="s">
        <v>39</v>
      </c>
      <c r="H9541">
        <v>1990</v>
      </c>
      <c r="I9541">
        <v>24.671150000000001</v>
      </c>
      <c r="J9541">
        <v>8.8000000000000007</v>
      </c>
      <c r="K9541">
        <v>73.288460000000001</v>
      </c>
      <c r="L9541">
        <v>9.7055769999999999</v>
      </c>
      <c r="M9541">
        <v>31.142309999999998</v>
      </c>
      <c r="N9541">
        <v>19.271149999999999</v>
      </c>
      <c r="O9541">
        <v>11.87115</v>
      </c>
      <c r="P9541">
        <v>23.671150000000001</v>
      </c>
      <c r="Q9541">
        <v>25.542310000000001</v>
      </c>
      <c r="R9541">
        <v>25.74231</v>
      </c>
      <c r="S9541">
        <v>23.37115</v>
      </c>
      <c r="T9541">
        <v>1835.981</v>
      </c>
      <c r="U9541">
        <v>321.7115</v>
      </c>
      <c r="V9541">
        <v>17</v>
      </c>
      <c r="W9541">
        <v>63</v>
      </c>
      <c r="X9541">
        <v>813.55769999999995</v>
      </c>
      <c r="Y9541">
        <v>78</v>
      </c>
      <c r="Z9541">
        <v>365</v>
      </c>
      <c r="AA9541">
        <v>515.65380000000005</v>
      </c>
      <c r="AB9541">
        <v>16.031279999999999</v>
      </c>
      <c r="AC9541">
        <v>8.3635080000000001E-2</v>
      </c>
      <c r="AD9541">
        <v>5.0911629999999999</v>
      </c>
      <c r="AE9541">
        <v>0.33820289999999997</v>
      </c>
      <c r="AF9541">
        <v>524.45630000000006</v>
      </c>
      <c r="AG9541">
        <f>IFERROR(AH9541*0.1, "N/A")</f>
        <v>5.1274480000000002</v>
      </c>
      <c r="AH9541">
        <v>51.274479999999997</v>
      </c>
      <c r="AI9541">
        <v>106.9127</v>
      </c>
      <c r="AJ9541">
        <v>33.812939999999998</v>
      </c>
      <c r="AK9541">
        <v>53.335659999999997</v>
      </c>
    </row>
    <row r="9542" spans="1:37" x14ac:dyDescent="0.3">
      <c r="A9542">
        <v>9541</v>
      </c>
      <c r="B9542">
        <v>0</v>
      </c>
      <c r="C9542">
        <v>11.166700000000001</v>
      </c>
      <c r="D9542">
        <v>4.1444400000000003</v>
      </c>
      <c r="E9542" t="s">
        <v>14483</v>
      </c>
      <c r="F9542" t="s">
        <v>14485</v>
      </c>
      <c r="G9542" t="s">
        <v>37</v>
      </c>
      <c r="H9542">
        <v>1990</v>
      </c>
      <c r="I9542">
        <v>24.671150000000001</v>
      </c>
      <c r="J9542">
        <v>8.8000000000000007</v>
      </c>
      <c r="K9542">
        <v>73.288460000000001</v>
      </c>
      <c r="L9542">
        <v>9.7055769999999999</v>
      </c>
      <c r="M9542">
        <v>31.142309999999998</v>
      </c>
      <c r="N9542">
        <v>19.271149999999999</v>
      </c>
      <c r="O9542">
        <v>11.87115</v>
      </c>
      <c r="P9542">
        <v>23.671150000000001</v>
      </c>
      <c r="Q9542">
        <v>25.542310000000001</v>
      </c>
      <c r="R9542">
        <v>25.74231</v>
      </c>
      <c r="S9542">
        <v>23.37115</v>
      </c>
      <c r="T9542">
        <v>1835.981</v>
      </c>
      <c r="U9542">
        <v>321.7115</v>
      </c>
      <c r="V9542">
        <v>17</v>
      </c>
      <c r="W9542">
        <v>63</v>
      </c>
      <c r="X9542">
        <v>813.55769999999995</v>
      </c>
      <c r="Y9542">
        <v>78</v>
      </c>
      <c r="Z9542">
        <v>365</v>
      </c>
      <c r="AA9542">
        <v>515.65380000000005</v>
      </c>
      <c r="AB9542">
        <v>16.031279999999999</v>
      </c>
      <c r="AC9542">
        <v>8.3635080000000001E-2</v>
      </c>
      <c r="AD9542">
        <v>5.0911629999999999</v>
      </c>
      <c r="AE9542">
        <v>0.33820289999999997</v>
      </c>
      <c r="AF9542">
        <v>524.45630000000006</v>
      </c>
      <c r="AG9542">
        <f>IFERROR(AH9542*0.1, "N/A")</f>
        <v>5.1274480000000002</v>
      </c>
      <c r="AH9542">
        <v>51.274479999999997</v>
      </c>
      <c r="AI9542">
        <v>106.9127</v>
      </c>
      <c r="AJ9542">
        <v>33.812939999999998</v>
      </c>
      <c r="AK9542">
        <v>53.335659999999997</v>
      </c>
    </row>
    <row r="9543" spans="1:37" x14ac:dyDescent="0.3">
      <c r="A9543">
        <v>9542</v>
      </c>
      <c r="B9543">
        <v>0</v>
      </c>
      <c r="C9543">
        <v>11.166700000000001</v>
      </c>
      <c r="D9543">
        <v>4.1444400000000003</v>
      </c>
      <c r="E9543" t="s">
        <v>14483</v>
      </c>
      <c r="F9543" t="s">
        <v>14486</v>
      </c>
      <c r="G9543" t="s">
        <v>2420</v>
      </c>
      <c r="H9543">
        <v>1990</v>
      </c>
      <c r="I9543">
        <v>24.671150000000001</v>
      </c>
      <c r="J9543">
        <v>8.8000000000000007</v>
      </c>
      <c r="K9543">
        <v>73.288460000000001</v>
      </c>
      <c r="L9543">
        <v>9.7055769999999999</v>
      </c>
      <c r="M9543">
        <v>31.142309999999998</v>
      </c>
      <c r="N9543">
        <v>19.271149999999999</v>
      </c>
      <c r="O9543">
        <v>11.87115</v>
      </c>
      <c r="P9543">
        <v>23.671150000000001</v>
      </c>
      <c r="Q9543">
        <v>25.542310000000001</v>
      </c>
      <c r="R9543">
        <v>25.74231</v>
      </c>
      <c r="S9543">
        <v>23.37115</v>
      </c>
      <c r="T9543">
        <v>1835.981</v>
      </c>
      <c r="U9543">
        <v>321.7115</v>
      </c>
      <c r="V9543">
        <v>17</v>
      </c>
      <c r="W9543">
        <v>63</v>
      </c>
      <c r="X9543">
        <v>813.55769999999995</v>
      </c>
      <c r="Y9543">
        <v>78</v>
      </c>
      <c r="Z9543">
        <v>365</v>
      </c>
      <c r="AA9543">
        <v>515.65380000000005</v>
      </c>
      <c r="AB9543">
        <v>16.031279999999999</v>
      </c>
      <c r="AC9543">
        <v>8.3635080000000001E-2</v>
      </c>
      <c r="AD9543">
        <v>5.0911629999999999</v>
      </c>
      <c r="AE9543">
        <v>0.33820289999999997</v>
      </c>
      <c r="AF9543">
        <v>524.45630000000006</v>
      </c>
      <c r="AG9543">
        <f>IFERROR(AH9543*0.1, "N/A")</f>
        <v>5.1274480000000002</v>
      </c>
      <c r="AH9543">
        <v>51.274479999999997</v>
      </c>
      <c r="AI9543">
        <v>106.9127</v>
      </c>
      <c r="AJ9543">
        <v>33.812939999999998</v>
      </c>
      <c r="AK9543">
        <v>53.335659999999997</v>
      </c>
    </row>
    <row r="9544" spans="1:37" x14ac:dyDescent="0.3">
      <c r="A9544">
        <v>9543</v>
      </c>
      <c r="B9544">
        <v>0</v>
      </c>
      <c r="C9544">
        <v>10.9369</v>
      </c>
      <c r="D9544">
        <v>4.1500000000000004</v>
      </c>
      <c r="E9544" t="s">
        <v>14487</v>
      </c>
      <c r="F9544" t="s">
        <v>14488</v>
      </c>
      <c r="G9544" t="s">
        <v>37</v>
      </c>
      <c r="H9544">
        <v>1990</v>
      </c>
      <c r="I9544">
        <v>25.166840000000001</v>
      </c>
      <c r="J9544">
        <v>8.5331580000000002</v>
      </c>
      <c r="K9544">
        <v>70.331580000000002</v>
      </c>
      <c r="L9544">
        <v>10.810320000000001</v>
      </c>
      <c r="M9544">
        <v>31.766839999999998</v>
      </c>
      <c r="N9544">
        <v>19.766839999999998</v>
      </c>
      <c r="O9544">
        <v>12</v>
      </c>
      <c r="P9544">
        <v>24.066839999999999</v>
      </c>
      <c r="Q9544">
        <v>26.166840000000001</v>
      </c>
      <c r="R9544">
        <v>26.333680000000001</v>
      </c>
      <c r="S9544">
        <v>23.666840000000001</v>
      </c>
      <c r="T9544">
        <v>2059.9949999999999</v>
      </c>
      <c r="U9544">
        <v>364.33159999999998</v>
      </c>
      <c r="V9544">
        <v>17</v>
      </c>
      <c r="W9544">
        <v>64.331580000000002</v>
      </c>
      <c r="X9544">
        <v>961.32629999999995</v>
      </c>
      <c r="Y9544">
        <v>74</v>
      </c>
      <c r="Z9544">
        <v>254.69470000000001</v>
      </c>
      <c r="AA9544">
        <v>722.9579</v>
      </c>
      <c r="AB9544">
        <v>50.265799999999999</v>
      </c>
      <c r="AC9544">
        <v>8.7652149999999998E-3</v>
      </c>
      <c r="AD9544">
        <v>11.83586</v>
      </c>
      <c r="AE9544">
        <v>0.19535240000000001</v>
      </c>
      <c r="AF9544">
        <v>423.24740000000003</v>
      </c>
      <c r="AG9544">
        <f>IFERROR(AH9544*0.1, "N/A")</f>
        <v>4.9024560000000008</v>
      </c>
      <c r="AH9544">
        <v>49.024560000000001</v>
      </c>
      <c r="AI9544">
        <v>190.5248</v>
      </c>
      <c r="AJ9544">
        <v>29.024560000000001</v>
      </c>
      <c r="AK9544">
        <v>56</v>
      </c>
    </row>
    <row r="9545" spans="1:37" x14ac:dyDescent="0.3">
      <c r="A9545">
        <v>9544</v>
      </c>
      <c r="B9545">
        <v>0</v>
      </c>
      <c r="C9545">
        <v>10.9369</v>
      </c>
      <c r="D9545">
        <v>4.1500000000000004</v>
      </c>
      <c r="E9545" t="s">
        <v>14487</v>
      </c>
      <c r="F9545" t="s">
        <v>14489</v>
      </c>
      <c r="G9545" t="s">
        <v>2420</v>
      </c>
      <c r="H9545">
        <v>1990</v>
      </c>
      <c r="I9545">
        <v>25.166840000000001</v>
      </c>
      <c r="J9545">
        <v>8.5331580000000002</v>
      </c>
      <c r="K9545">
        <v>70.331580000000002</v>
      </c>
      <c r="L9545">
        <v>10.810320000000001</v>
      </c>
      <c r="M9545">
        <v>31.766839999999998</v>
      </c>
      <c r="N9545">
        <v>19.766839999999998</v>
      </c>
      <c r="O9545">
        <v>12</v>
      </c>
      <c r="P9545">
        <v>24.066839999999999</v>
      </c>
      <c r="Q9545">
        <v>26.166840000000001</v>
      </c>
      <c r="R9545">
        <v>26.333680000000001</v>
      </c>
      <c r="S9545">
        <v>23.666840000000001</v>
      </c>
      <c r="T9545">
        <v>2059.9949999999999</v>
      </c>
      <c r="U9545">
        <v>364.33159999999998</v>
      </c>
      <c r="V9545">
        <v>17</v>
      </c>
      <c r="W9545">
        <v>64.331580000000002</v>
      </c>
      <c r="X9545">
        <v>961.32629999999995</v>
      </c>
      <c r="Y9545">
        <v>74</v>
      </c>
      <c r="Z9545">
        <v>254.69470000000001</v>
      </c>
      <c r="AA9545">
        <v>722.9579</v>
      </c>
      <c r="AB9545">
        <v>50.265799999999999</v>
      </c>
      <c r="AC9545">
        <v>8.7652149999999998E-3</v>
      </c>
      <c r="AD9545">
        <v>11.83586</v>
      </c>
      <c r="AE9545">
        <v>0.19535240000000001</v>
      </c>
      <c r="AF9545">
        <v>423.24740000000003</v>
      </c>
      <c r="AG9545">
        <f>IFERROR(AH9545*0.1, "N/A")</f>
        <v>4.9024560000000008</v>
      </c>
      <c r="AH9545">
        <v>49.024560000000001</v>
      </c>
      <c r="AI9545">
        <v>190.5248</v>
      </c>
      <c r="AJ9545">
        <v>29.024560000000001</v>
      </c>
      <c r="AK9545">
        <v>56</v>
      </c>
    </row>
    <row r="9546" spans="1:37" x14ac:dyDescent="0.3">
      <c r="A9546">
        <v>9545</v>
      </c>
      <c r="B9546">
        <v>0</v>
      </c>
      <c r="C9546">
        <v>9.6244399999999999</v>
      </c>
      <c r="D9546">
        <v>4.1666699999999999</v>
      </c>
      <c r="E9546" t="s">
        <v>14490</v>
      </c>
      <c r="F9546" t="s">
        <v>14491</v>
      </c>
      <c r="G9546" t="s">
        <v>39</v>
      </c>
      <c r="H9546">
        <v>1990</v>
      </c>
      <c r="I9546">
        <v>26.174430000000001</v>
      </c>
      <c r="J9546">
        <v>7.5</v>
      </c>
      <c r="K9546">
        <v>74</v>
      </c>
      <c r="L9546">
        <v>9.5325570000000006</v>
      </c>
      <c r="M9546">
        <v>31.9</v>
      </c>
      <c r="N9546">
        <v>21.8</v>
      </c>
      <c r="O9546">
        <v>10.1</v>
      </c>
      <c r="P9546">
        <v>24.774429999999999</v>
      </c>
      <c r="Q9546">
        <v>26.87443</v>
      </c>
      <c r="R9546">
        <v>27.2</v>
      </c>
      <c r="S9546">
        <v>24.774429999999999</v>
      </c>
      <c r="T9546">
        <v>3330.7669999999998</v>
      </c>
      <c r="U9546">
        <v>610.76710000000003</v>
      </c>
      <c r="V9546">
        <v>30</v>
      </c>
      <c r="W9546">
        <v>72</v>
      </c>
      <c r="X9546">
        <v>1694.5340000000001</v>
      </c>
      <c r="Y9546">
        <v>126.7443</v>
      </c>
      <c r="Z9546">
        <v>441.74430000000001</v>
      </c>
      <c r="AA9546">
        <v>1694.5340000000001</v>
      </c>
      <c r="AB9546">
        <v>6.5998250000000001</v>
      </c>
      <c r="AC9546">
        <v>0.27091569999999998</v>
      </c>
      <c r="AD9546">
        <v>2.539898</v>
      </c>
      <c r="AE9546">
        <v>0.38521349999999999</v>
      </c>
      <c r="AF9546">
        <v>22.90193</v>
      </c>
      <c r="AG9546">
        <f>IFERROR(AH9546*0.1, "N/A")</f>
        <v>4.9234679999999997</v>
      </c>
      <c r="AH9546">
        <v>49.234679999999997</v>
      </c>
      <c r="AI9546">
        <v>143.03720000000001</v>
      </c>
      <c r="AJ9546">
        <v>24</v>
      </c>
      <c r="AK9546">
        <v>65.765320000000003</v>
      </c>
    </row>
    <row r="9547" spans="1:37" x14ac:dyDescent="0.3">
      <c r="A9547">
        <v>9546</v>
      </c>
      <c r="B9547">
        <v>2.8</v>
      </c>
      <c r="C9547">
        <v>9.6244399999999999</v>
      </c>
      <c r="D9547">
        <v>4.1666699999999999</v>
      </c>
      <c r="E9547" t="s">
        <v>14490</v>
      </c>
      <c r="F9547" t="s">
        <v>14492</v>
      </c>
      <c r="G9547" t="s">
        <v>37</v>
      </c>
      <c r="H9547">
        <v>1990</v>
      </c>
      <c r="I9547">
        <v>26.174430000000001</v>
      </c>
      <c r="J9547">
        <v>7.5</v>
      </c>
      <c r="K9547">
        <v>74</v>
      </c>
      <c r="L9547">
        <v>9.5325570000000006</v>
      </c>
      <c r="M9547">
        <v>31.9</v>
      </c>
      <c r="N9547">
        <v>21.8</v>
      </c>
      <c r="O9547">
        <v>10.1</v>
      </c>
      <c r="P9547">
        <v>24.774429999999999</v>
      </c>
      <c r="Q9547">
        <v>26.87443</v>
      </c>
      <c r="R9547">
        <v>27.2</v>
      </c>
      <c r="S9547">
        <v>24.774429999999999</v>
      </c>
      <c r="T9547">
        <v>3330.7669999999998</v>
      </c>
      <c r="U9547">
        <v>610.76710000000003</v>
      </c>
      <c r="V9547">
        <v>30</v>
      </c>
      <c r="W9547">
        <v>72</v>
      </c>
      <c r="X9547">
        <v>1694.5340000000001</v>
      </c>
      <c r="Y9547">
        <v>126.7443</v>
      </c>
      <c r="Z9547">
        <v>441.74430000000001</v>
      </c>
      <c r="AA9547">
        <v>1694.5340000000001</v>
      </c>
      <c r="AB9547">
        <v>6.5998250000000001</v>
      </c>
      <c r="AC9547">
        <v>0.27091569999999998</v>
      </c>
      <c r="AD9547">
        <v>2.539898</v>
      </c>
      <c r="AE9547">
        <v>0.38521349999999999</v>
      </c>
      <c r="AF9547">
        <v>22.90193</v>
      </c>
      <c r="AG9547">
        <f>IFERROR(AH9547*0.1, "N/A")</f>
        <v>4.9234679999999997</v>
      </c>
      <c r="AH9547">
        <v>49.234679999999997</v>
      </c>
      <c r="AI9547">
        <v>143.03720000000001</v>
      </c>
      <c r="AJ9547">
        <v>24</v>
      </c>
      <c r="AK9547">
        <v>65.765320000000003</v>
      </c>
    </row>
    <row r="9548" spans="1:37" x14ac:dyDescent="0.3">
      <c r="A9548">
        <v>9547</v>
      </c>
      <c r="B9548">
        <v>5.6</v>
      </c>
      <c r="C9548">
        <v>9.6244399999999999</v>
      </c>
      <c r="D9548">
        <v>4.1666699999999999</v>
      </c>
      <c r="E9548" t="s">
        <v>14490</v>
      </c>
      <c r="F9548" t="s">
        <v>14493</v>
      </c>
      <c r="G9548" t="s">
        <v>2420</v>
      </c>
      <c r="H9548">
        <v>1990</v>
      </c>
      <c r="I9548">
        <v>26.174430000000001</v>
      </c>
      <c r="J9548">
        <v>7.5</v>
      </c>
      <c r="K9548">
        <v>74</v>
      </c>
      <c r="L9548">
        <v>9.5325570000000006</v>
      </c>
      <c r="M9548">
        <v>31.9</v>
      </c>
      <c r="N9548">
        <v>21.8</v>
      </c>
      <c r="O9548">
        <v>10.1</v>
      </c>
      <c r="P9548">
        <v>24.774429999999999</v>
      </c>
      <c r="Q9548">
        <v>26.87443</v>
      </c>
      <c r="R9548">
        <v>27.2</v>
      </c>
      <c r="S9548">
        <v>24.774429999999999</v>
      </c>
      <c r="T9548">
        <v>3330.7669999999998</v>
      </c>
      <c r="U9548">
        <v>610.76710000000003</v>
      </c>
      <c r="V9548">
        <v>30</v>
      </c>
      <c r="W9548">
        <v>72</v>
      </c>
      <c r="X9548">
        <v>1694.5340000000001</v>
      </c>
      <c r="Y9548">
        <v>126.7443</v>
      </c>
      <c r="Z9548">
        <v>441.74430000000001</v>
      </c>
      <c r="AA9548">
        <v>1694.5340000000001</v>
      </c>
      <c r="AB9548">
        <v>6.5998250000000001</v>
      </c>
      <c r="AC9548">
        <v>0.27091569999999998</v>
      </c>
      <c r="AD9548">
        <v>2.539898</v>
      </c>
      <c r="AE9548">
        <v>0.38521349999999999</v>
      </c>
      <c r="AF9548">
        <v>22.90193</v>
      </c>
      <c r="AG9548">
        <f>IFERROR(AH9548*0.1, "N/A")</f>
        <v>4.9234679999999997</v>
      </c>
      <c r="AH9548">
        <v>49.234679999999997</v>
      </c>
      <c r="AI9548">
        <v>143.03720000000001</v>
      </c>
      <c r="AJ9548">
        <v>24</v>
      </c>
      <c r="AK9548">
        <v>65.765320000000003</v>
      </c>
    </row>
    <row r="9549" spans="1:37" x14ac:dyDescent="0.3">
      <c r="A9549">
        <v>9548</v>
      </c>
      <c r="B9549">
        <v>0</v>
      </c>
      <c r="C9549">
        <v>15.036099999999999</v>
      </c>
      <c r="D9549">
        <v>4.1749999999999998</v>
      </c>
      <c r="E9549" t="s">
        <v>14494</v>
      </c>
      <c r="F9549" t="s">
        <v>14495</v>
      </c>
      <c r="G9549" t="s">
        <v>39</v>
      </c>
      <c r="H9549">
        <v>1990</v>
      </c>
      <c r="I9549">
        <v>24.122070000000001</v>
      </c>
      <c r="J9549">
        <v>10.9</v>
      </c>
      <c r="K9549">
        <v>76</v>
      </c>
      <c r="L9549">
        <v>6.881786</v>
      </c>
      <c r="M9549">
        <v>31.422070000000001</v>
      </c>
      <c r="N9549">
        <v>17.222069999999999</v>
      </c>
      <c r="O9549">
        <v>14.2</v>
      </c>
      <c r="P9549">
        <v>25.044129999999999</v>
      </c>
      <c r="Q9549">
        <v>23.422070000000001</v>
      </c>
      <c r="R9549">
        <v>25.122070000000001</v>
      </c>
      <c r="S9549">
        <v>23.32207</v>
      </c>
      <c r="T9549">
        <v>1306.559</v>
      </c>
      <c r="U9549">
        <v>187.22069999999999</v>
      </c>
      <c r="V9549">
        <v>42.220669999999998</v>
      </c>
      <c r="W9549">
        <v>46</v>
      </c>
      <c r="X9549">
        <v>474.1173</v>
      </c>
      <c r="Y9549">
        <v>155.10329999999999</v>
      </c>
      <c r="Z9549">
        <v>397.67599999999999</v>
      </c>
      <c r="AA9549">
        <v>204.10329999999999</v>
      </c>
      <c r="AB9549">
        <v>13.93676</v>
      </c>
      <c r="AC9549">
        <v>4.5270949999999997E-2</v>
      </c>
      <c r="AD9549">
        <v>2.205508</v>
      </c>
      <c r="AE9549">
        <v>0.58445729999999996</v>
      </c>
      <c r="AF9549">
        <v>606.86509999999998</v>
      </c>
      <c r="AG9549">
        <f>IFERROR(AH9549*0.1, "N/A")</f>
        <v>5.5828370000000005</v>
      </c>
      <c r="AH9549">
        <v>55.82837</v>
      </c>
      <c r="AI9549">
        <v>158.89320000000001</v>
      </c>
      <c r="AJ9549">
        <v>26.085809999999999</v>
      </c>
      <c r="AK9549">
        <v>56.914189999999998</v>
      </c>
    </row>
    <row r="9550" spans="1:37" x14ac:dyDescent="0.3">
      <c r="A9550">
        <v>9549</v>
      </c>
      <c r="B9550">
        <v>6.2</v>
      </c>
      <c r="C9550">
        <v>15.036099999999999</v>
      </c>
      <c r="D9550">
        <v>4.1749999999999998</v>
      </c>
      <c r="E9550" t="s">
        <v>14494</v>
      </c>
      <c r="F9550" t="s">
        <v>14496</v>
      </c>
      <c r="G9550" t="s">
        <v>37</v>
      </c>
      <c r="H9550">
        <v>1990</v>
      </c>
      <c r="I9550">
        <v>24.122070000000001</v>
      </c>
      <c r="J9550">
        <v>10.9</v>
      </c>
      <c r="K9550">
        <v>76</v>
      </c>
      <c r="L9550">
        <v>6.881786</v>
      </c>
      <c r="M9550">
        <v>31.422070000000001</v>
      </c>
      <c r="N9550">
        <v>17.222069999999999</v>
      </c>
      <c r="O9550">
        <v>14.2</v>
      </c>
      <c r="P9550">
        <v>25.044129999999999</v>
      </c>
      <c r="Q9550">
        <v>23.422070000000001</v>
      </c>
      <c r="R9550">
        <v>25.122070000000001</v>
      </c>
      <c r="S9550">
        <v>23.32207</v>
      </c>
      <c r="T9550">
        <v>1306.559</v>
      </c>
      <c r="U9550">
        <v>187.22069999999999</v>
      </c>
      <c r="V9550">
        <v>42.220669999999998</v>
      </c>
      <c r="W9550">
        <v>46</v>
      </c>
      <c r="X9550">
        <v>474.1173</v>
      </c>
      <c r="Y9550">
        <v>155.10329999999999</v>
      </c>
      <c r="Z9550">
        <v>397.67599999999999</v>
      </c>
      <c r="AA9550">
        <v>204.10329999999999</v>
      </c>
      <c r="AB9550">
        <v>13.93676</v>
      </c>
      <c r="AC9550">
        <v>4.5270949999999997E-2</v>
      </c>
      <c r="AD9550">
        <v>2.205508</v>
      </c>
      <c r="AE9550">
        <v>0.58445729999999996</v>
      </c>
      <c r="AF9550">
        <v>606.86509999999998</v>
      </c>
      <c r="AG9550">
        <f>IFERROR(AH9550*0.1, "N/A")</f>
        <v>5.5828370000000005</v>
      </c>
      <c r="AH9550">
        <v>55.82837</v>
      </c>
      <c r="AI9550">
        <v>158.89320000000001</v>
      </c>
      <c r="AJ9550">
        <v>26.085809999999999</v>
      </c>
      <c r="AK9550">
        <v>56.914189999999998</v>
      </c>
    </row>
    <row r="9551" spans="1:37" x14ac:dyDescent="0.3">
      <c r="A9551">
        <v>9550</v>
      </c>
      <c r="B9551">
        <v>0</v>
      </c>
      <c r="C9551">
        <v>15.036099999999999</v>
      </c>
      <c r="D9551">
        <v>4.1749999999999998</v>
      </c>
      <c r="E9551" t="s">
        <v>14494</v>
      </c>
      <c r="F9551" t="s">
        <v>14497</v>
      </c>
      <c r="G9551" t="s">
        <v>2420</v>
      </c>
      <c r="H9551">
        <v>1990</v>
      </c>
      <c r="I9551">
        <v>24.122070000000001</v>
      </c>
      <c r="J9551">
        <v>10.9</v>
      </c>
      <c r="K9551">
        <v>76</v>
      </c>
      <c r="L9551">
        <v>6.881786</v>
      </c>
      <c r="M9551">
        <v>31.422070000000001</v>
      </c>
      <c r="N9551">
        <v>17.222069999999999</v>
      </c>
      <c r="O9551">
        <v>14.2</v>
      </c>
      <c r="P9551">
        <v>25.044129999999999</v>
      </c>
      <c r="Q9551">
        <v>23.422070000000001</v>
      </c>
      <c r="R9551">
        <v>25.122070000000001</v>
      </c>
      <c r="S9551">
        <v>23.32207</v>
      </c>
      <c r="T9551">
        <v>1306.559</v>
      </c>
      <c r="U9551">
        <v>187.22069999999999</v>
      </c>
      <c r="V9551">
        <v>42.220669999999998</v>
      </c>
      <c r="W9551">
        <v>46</v>
      </c>
      <c r="X9551">
        <v>474.1173</v>
      </c>
      <c r="Y9551">
        <v>155.10329999999999</v>
      </c>
      <c r="Z9551">
        <v>397.67599999999999</v>
      </c>
      <c r="AA9551">
        <v>204.10329999999999</v>
      </c>
      <c r="AB9551">
        <v>13.93676</v>
      </c>
      <c r="AC9551">
        <v>4.5270949999999997E-2</v>
      </c>
      <c r="AD9551">
        <v>2.205508</v>
      </c>
      <c r="AE9551">
        <v>0.58445729999999996</v>
      </c>
      <c r="AF9551">
        <v>606.86509999999998</v>
      </c>
      <c r="AG9551">
        <f>IFERROR(AH9551*0.1, "N/A")</f>
        <v>5.5828370000000005</v>
      </c>
      <c r="AH9551">
        <v>55.82837</v>
      </c>
      <c r="AI9551">
        <v>158.89320000000001</v>
      </c>
      <c r="AJ9551">
        <v>26.085809999999999</v>
      </c>
      <c r="AK9551">
        <v>56.914189999999998</v>
      </c>
    </row>
    <row r="9552" spans="1:37" x14ac:dyDescent="0.3">
      <c r="A9552">
        <v>9551</v>
      </c>
      <c r="B9552">
        <v>0</v>
      </c>
      <c r="C9552">
        <v>11.473599999999999</v>
      </c>
      <c r="D9552">
        <v>4.1791700000000001</v>
      </c>
      <c r="E9552" t="s">
        <v>14498</v>
      </c>
      <c r="F9552" t="s">
        <v>14499</v>
      </c>
      <c r="G9552" t="s">
        <v>39</v>
      </c>
      <c r="H9552">
        <v>1990</v>
      </c>
      <c r="I9552">
        <v>24.5</v>
      </c>
      <c r="J9552">
        <v>9</v>
      </c>
      <c r="K9552">
        <v>77</v>
      </c>
      <c r="L9552">
        <v>8.25</v>
      </c>
      <c r="M9552">
        <v>30.9</v>
      </c>
      <c r="N9552">
        <v>19.3</v>
      </c>
      <c r="O9552">
        <v>11.6</v>
      </c>
      <c r="P9552">
        <v>23.7</v>
      </c>
      <c r="Q9552">
        <v>25.3</v>
      </c>
      <c r="R9552">
        <v>25.5</v>
      </c>
      <c r="S9552">
        <v>23.4</v>
      </c>
      <c r="T9552">
        <v>1655</v>
      </c>
      <c r="U9552">
        <v>296</v>
      </c>
      <c r="V9552">
        <v>16</v>
      </c>
      <c r="W9552">
        <v>63</v>
      </c>
      <c r="X9552">
        <v>686</v>
      </c>
      <c r="Y9552">
        <v>83</v>
      </c>
      <c r="Z9552">
        <v>364</v>
      </c>
      <c r="AA9552">
        <v>479</v>
      </c>
      <c r="AB9552">
        <v>23.591270000000002</v>
      </c>
      <c r="AC9552">
        <v>3.3178220000000001E-2</v>
      </c>
      <c r="AD9552">
        <v>3.3008169999999999</v>
      </c>
      <c r="AE9552">
        <v>0.48493560000000002</v>
      </c>
      <c r="AF9552">
        <v>559.72379999999998</v>
      </c>
      <c r="AG9552">
        <f>IFERROR(AH9552*0.1, "N/A")</f>
        <v>5.343357000000001</v>
      </c>
      <c r="AH9552">
        <v>53.433570000000003</v>
      </c>
      <c r="AI9552">
        <v>90.787999999999997</v>
      </c>
      <c r="AJ9552">
        <v>30.43357</v>
      </c>
      <c r="AK9552">
        <v>54.349649999999997</v>
      </c>
    </row>
    <row r="9553" spans="1:37" x14ac:dyDescent="0.3">
      <c r="A9553">
        <v>9552</v>
      </c>
      <c r="B9553">
        <v>0</v>
      </c>
      <c r="C9553">
        <v>11.473599999999999</v>
      </c>
      <c r="D9553">
        <v>4.1791700000000001</v>
      </c>
      <c r="E9553" t="s">
        <v>14498</v>
      </c>
      <c r="F9553" t="s">
        <v>14500</v>
      </c>
      <c r="G9553" t="s">
        <v>37</v>
      </c>
      <c r="H9553">
        <v>1990</v>
      </c>
      <c r="I9553">
        <v>24.5</v>
      </c>
      <c r="J9553">
        <v>9</v>
      </c>
      <c r="K9553">
        <v>77</v>
      </c>
      <c r="L9553">
        <v>8.25</v>
      </c>
      <c r="M9553">
        <v>30.9</v>
      </c>
      <c r="N9553">
        <v>19.3</v>
      </c>
      <c r="O9553">
        <v>11.6</v>
      </c>
      <c r="P9553">
        <v>23.7</v>
      </c>
      <c r="Q9553">
        <v>25.3</v>
      </c>
      <c r="R9553">
        <v>25.5</v>
      </c>
      <c r="S9553">
        <v>23.4</v>
      </c>
      <c r="T9553">
        <v>1655</v>
      </c>
      <c r="U9553">
        <v>296</v>
      </c>
      <c r="V9553">
        <v>16</v>
      </c>
      <c r="W9553">
        <v>63</v>
      </c>
      <c r="X9553">
        <v>686</v>
      </c>
      <c r="Y9553">
        <v>83</v>
      </c>
      <c r="Z9553">
        <v>364</v>
      </c>
      <c r="AA9553">
        <v>479</v>
      </c>
      <c r="AB9553">
        <v>23.591270000000002</v>
      </c>
      <c r="AC9553">
        <v>3.3178220000000001E-2</v>
      </c>
      <c r="AD9553">
        <v>3.3008169999999999</v>
      </c>
      <c r="AE9553">
        <v>0.48493560000000002</v>
      </c>
      <c r="AF9553">
        <v>559.72379999999998</v>
      </c>
      <c r="AG9553">
        <f>IFERROR(AH9553*0.1, "N/A")</f>
        <v>5.343357000000001</v>
      </c>
      <c r="AH9553">
        <v>53.433570000000003</v>
      </c>
      <c r="AI9553">
        <v>90.787999999999997</v>
      </c>
      <c r="AJ9553">
        <v>30.43357</v>
      </c>
      <c r="AK9553">
        <v>54.349649999999997</v>
      </c>
    </row>
    <row r="9554" spans="1:37" x14ac:dyDescent="0.3">
      <c r="A9554">
        <v>9553</v>
      </c>
      <c r="B9554">
        <v>0.9</v>
      </c>
      <c r="C9554">
        <v>11.473599999999999</v>
      </c>
      <c r="D9554">
        <v>4.1791700000000001</v>
      </c>
      <c r="E9554" t="s">
        <v>14498</v>
      </c>
      <c r="F9554" t="s">
        <v>14501</v>
      </c>
      <c r="G9554" t="s">
        <v>2420</v>
      </c>
      <c r="H9554">
        <v>1990</v>
      </c>
      <c r="I9554">
        <v>24.5</v>
      </c>
      <c r="J9554">
        <v>9</v>
      </c>
      <c r="K9554">
        <v>77</v>
      </c>
      <c r="L9554">
        <v>8.25</v>
      </c>
      <c r="M9554">
        <v>30.9</v>
      </c>
      <c r="N9554">
        <v>19.3</v>
      </c>
      <c r="O9554">
        <v>11.6</v>
      </c>
      <c r="P9554">
        <v>23.7</v>
      </c>
      <c r="Q9554">
        <v>25.3</v>
      </c>
      <c r="R9554">
        <v>25.5</v>
      </c>
      <c r="S9554">
        <v>23.4</v>
      </c>
      <c r="T9554">
        <v>1655</v>
      </c>
      <c r="U9554">
        <v>296</v>
      </c>
      <c r="V9554">
        <v>16</v>
      </c>
      <c r="W9554">
        <v>63</v>
      </c>
      <c r="X9554">
        <v>686</v>
      </c>
      <c r="Y9554">
        <v>83</v>
      </c>
      <c r="Z9554">
        <v>364</v>
      </c>
      <c r="AA9554">
        <v>479</v>
      </c>
      <c r="AB9554">
        <v>23.591270000000002</v>
      </c>
      <c r="AC9554">
        <v>3.3178220000000001E-2</v>
      </c>
      <c r="AD9554">
        <v>3.3008169999999999</v>
      </c>
      <c r="AE9554">
        <v>0.48493560000000002</v>
      </c>
      <c r="AF9554">
        <v>559.72379999999998</v>
      </c>
      <c r="AG9554">
        <f>IFERROR(AH9554*0.1, "N/A")</f>
        <v>5.343357000000001</v>
      </c>
      <c r="AH9554">
        <v>53.433570000000003</v>
      </c>
      <c r="AI9554">
        <v>90.787999999999997</v>
      </c>
      <c r="AJ9554">
        <v>30.43357</v>
      </c>
      <c r="AK9554">
        <v>54.349649999999997</v>
      </c>
    </row>
    <row r="9555" spans="1:37" x14ac:dyDescent="0.3">
      <c r="A9555">
        <v>9554</v>
      </c>
      <c r="B9555">
        <v>23.8</v>
      </c>
      <c r="C9555">
        <v>14.75</v>
      </c>
      <c r="D9555">
        <v>4.1833299999999998</v>
      </c>
      <c r="E9555" t="s">
        <v>14502</v>
      </c>
      <c r="F9555" t="s">
        <v>14503</v>
      </c>
      <c r="G9555" t="s">
        <v>39</v>
      </c>
      <c r="H9555">
        <v>1990</v>
      </c>
      <c r="I9555">
        <v>24.03228</v>
      </c>
      <c r="J9555">
        <v>10.70825</v>
      </c>
      <c r="K9555">
        <v>76.857889999999998</v>
      </c>
      <c r="L9555">
        <v>6.7110180000000001</v>
      </c>
      <c r="M9555">
        <v>31.04053</v>
      </c>
      <c r="N9555">
        <v>17.218070000000001</v>
      </c>
      <c r="O9555">
        <v>13.82246</v>
      </c>
      <c r="P9555">
        <v>23.732279999999999</v>
      </c>
      <c r="Q9555">
        <v>23.840530000000001</v>
      </c>
      <c r="R9555">
        <v>24.940529999999999</v>
      </c>
      <c r="S9555">
        <v>23.232279999999999</v>
      </c>
      <c r="T9555">
        <v>1356.1769999999999</v>
      </c>
      <c r="U9555">
        <v>208.8579</v>
      </c>
      <c r="V9555">
        <v>42.819299999999998</v>
      </c>
      <c r="W9555">
        <v>44</v>
      </c>
      <c r="X9555">
        <v>491.63330000000002</v>
      </c>
      <c r="Y9555">
        <v>177.4579</v>
      </c>
      <c r="Z9555">
        <v>462.54390000000001</v>
      </c>
      <c r="AA9555">
        <v>281.3175</v>
      </c>
      <c r="AB9555">
        <v>11.981070000000001</v>
      </c>
      <c r="AC9555">
        <v>7.6535320000000004E-2</v>
      </c>
      <c r="AD9555">
        <v>2.3934859999999998</v>
      </c>
      <c r="AE9555">
        <v>0.2096161</v>
      </c>
      <c r="AF9555">
        <v>603.19470000000001</v>
      </c>
      <c r="AG9555">
        <f>IFERROR(AH9555*0.1, "N/A")</f>
        <v>5.2</v>
      </c>
      <c r="AH9555">
        <v>52</v>
      </c>
      <c r="AI9555">
        <v>233.62100000000001</v>
      </c>
      <c r="AJ9555">
        <v>33.007019999999997</v>
      </c>
      <c r="AK9555">
        <v>51.224559999999997</v>
      </c>
    </row>
    <row r="9556" spans="1:37" x14ac:dyDescent="0.3">
      <c r="A9556">
        <v>9555</v>
      </c>
      <c r="B9556">
        <v>4.8</v>
      </c>
      <c r="C9556">
        <v>14.75</v>
      </c>
      <c r="D9556">
        <v>4.1833299999999998</v>
      </c>
      <c r="E9556" t="s">
        <v>14502</v>
      </c>
      <c r="F9556" t="s">
        <v>14504</v>
      </c>
      <c r="G9556" t="s">
        <v>37</v>
      </c>
      <c r="H9556">
        <v>1990</v>
      </c>
      <c r="I9556">
        <v>24.03228</v>
      </c>
      <c r="J9556">
        <v>10.70825</v>
      </c>
      <c r="K9556">
        <v>76.857889999999998</v>
      </c>
      <c r="L9556">
        <v>6.7110180000000001</v>
      </c>
      <c r="M9556">
        <v>31.04053</v>
      </c>
      <c r="N9556">
        <v>17.218070000000001</v>
      </c>
      <c r="O9556">
        <v>13.82246</v>
      </c>
      <c r="P9556">
        <v>23.732279999999999</v>
      </c>
      <c r="Q9556">
        <v>23.840530000000001</v>
      </c>
      <c r="R9556">
        <v>24.940529999999999</v>
      </c>
      <c r="S9556">
        <v>23.232279999999999</v>
      </c>
      <c r="T9556">
        <v>1356.1769999999999</v>
      </c>
      <c r="U9556">
        <v>208.8579</v>
      </c>
      <c r="V9556">
        <v>42.819299999999998</v>
      </c>
      <c r="W9556">
        <v>44</v>
      </c>
      <c r="X9556">
        <v>491.63330000000002</v>
      </c>
      <c r="Y9556">
        <v>177.4579</v>
      </c>
      <c r="Z9556">
        <v>462.54390000000001</v>
      </c>
      <c r="AA9556">
        <v>281.3175</v>
      </c>
      <c r="AB9556">
        <v>11.981070000000001</v>
      </c>
      <c r="AC9556">
        <v>7.6535320000000004E-2</v>
      </c>
      <c r="AD9556">
        <v>2.3934859999999998</v>
      </c>
      <c r="AE9556">
        <v>0.2096161</v>
      </c>
      <c r="AF9556">
        <v>603.19470000000001</v>
      </c>
      <c r="AG9556">
        <f>IFERROR(AH9556*0.1, "N/A")</f>
        <v>5.2</v>
      </c>
      <c r="AH9556">
        <v>52</v>
      </c>
      <c r="AI9556">
        <v>233.62100000000001</v>
      </c>
      <c r="AJ9556">
        <v>33.007019999999997</v>
      </c>
      <c r="AK9556">
        <v>51.224559999999997</v>
      </c>
    </row>
    <row r="9557" spans="1:37" x14ac:dyDescent="0.3">
      <c r="A9557">
        <v>9556</v>
      </c>
      <c r="B9557">
        <v>0</v>
      </c>
      <c r="C9557">
        <v>14.75</v>
      </c>
      <c r="D9557">
        <v>4.1833299999999998</v>
      </c>
      <c r="E9557" t="s">
        <v>14502</v>
      </c>
      <c r="F9557" t="s">
        <v>14505</v>
      </c>
      <c r="G9557" t="s">
        <v>2420</v>
      </c>
      <c r="H9557">
        <v>1990</v>
      </c>
      <c r="I9557">
        <v>24.03228</v>
      </c>
      <c r="J9557">
        <v>10.70825</v>
      </c>
      <c r="K9557">
        <v>76.857889999999998</v>
      </c>
      <c r="L9557">
        <v>6.7110180000000001</v>
      </c>
      <c r="M9557">
        <v>31.04053</v>
      </c>
      <c r="N9557">
        <v>17.218070000000001</v>
      </c>
      <c r="O9557">
        <v>13.82246</v>
      </c>
      <c r="P9557">
        <v>23.732279999999999</v>
      </c>
      <c r="Q9557">
        <v>23.840530000000001</v>
      </c>
      <c r="R9557">
        <v>24.940529999999999</v>
      </c>
      <c r="S9557">
        <v>23.232279999999999</v>
      </c>
      <c r="T9557">
        <v>1356.1769999999999</v>
      </c>
      <c r="U9557">
        <v>208.8579</v>
      </c>
      <c r="V9557">
        <v>42.819299999999998</v>
      </c>
      <c r="W9557">
        <v>44</v>
      </c>
      <c r="X9557">
        <v>491.63330000000002</v>
      </c>
      <c r="Y9557">
        <v>177.4579</v>
      </c>
      <c r="Z9557">
        <v>462.54390000000001</v>
      </c>
      <c r="AA9557">
        <v>281.3175</v>
      </c>
      <c r="AB9557">
        <v>11.981070000000001</v>
      </c>
      <c r="AC9557">
        <v>7.6535320000000004E-2</v>
      </c>
      <c r="AD9557">
        <v>2.3934859999999998</v>
      </c>
      <c r="AE9557">
        <v>0.2096161</v>
      </c>
      <c r="AF9557">
        <v>603.19470000000001</v>
      </c>
      <c r="AG9557">
        <f>IFERROR(AH9557*0.1, "N/A")</f>
        <v>5.2</v>
      </c>
      <c r="AH9557">
        <v>52</v>
      </c>
      <c r="AI9557">
        <v>233.62100000000001</v>
      </c>
      <c r="AJ9557">
        <v>33.007019999999997</v>
      </c>
      <c r="AK9557">
        <v>51.224559999999997</v>
      </c>
    </row>
    <row r="9558" spans="1:37" x14ac:dyDescent="0.3">
      <c r="A9558">
        <v>9557</v>
      </c>
      <c r="B9558">
        <v>3.1</v>
      </c>
      <c r="C9558">
        <v>11.583</v>
      </c>
      <c r="D9558">
        <v>4.1840000000000002</v>
      </c>
      <c r="E9558" t="s">
        <v>14506</v>
      </c>
      <c r="F9558" t="s">
        <v>14507</v>
      </c>
      <c r="G9558" t="s">
        <v>37</v>
      </c>
      <c r="H9558">
        <v>1987</v>
      </c>
      <c r="I9558">
        <v>24.69228</v>
      </c>
      <c r="J9558">
        <v>9.1</v>
      </c>
      <c r="K9558">
        <v>79</v>
      </c>
      <c r="L9558">
        <v>7.7082100000000002</v>
      </c>
      <c r="M9558">
        <v>30.992280000000001</v>
      </c>
      <c r="N9558">
        <v>19.592279999999999</v>
      </c>
      <c r="O9558">
        <v>11.4</v>
      </c>
      <c r="P9558">
        <v>23.89228</v>
      </c>
      <c r="Q9558">
        <v>25.39228</v>
      </c>
      <c r="R9558">
        <v>25.592279999999999</v>
      </c>
      <c r="S9558">
        <v>23.69211</v>
      </c>
      <c r="T9558">
        <v>1627.9949999999999</v>
      </c>
      <c r="U9558">
        <v>289.9982</v>
      </c>
      <c r="V9558">
        <v>16</v>
      </c>
      <c r="W9558">
        <v>63</v>
      </c>
      <c r="X9558">
        <v>663.92110000000002</v>
      </c>
      <c r="Y9558">
        <v>85.077190000000002</v>
      </c>
      <c r="Z9558">
        <v>351.18419999999998</v>
      </c>
      <c r="AA9558">
        <v>353.1035</v>
      </c>
      <c r="AB9558">
        <v>12.17281</v>
      </c>
      <c r="AC9558">
        <v>8.8844979999999994E-3</v>
      </c>
      <c r="AD9558">
        <v>2.572336</v>
      </c>
      <c r="AE9558">
        <v>0.44214550000000002</v>
      </c>
      <c r="AF9558">
        <v>557.70180000000005</v>
      </c>
      <c r="AG9558">
        <f>IFERROR(AH9558*0.1, "N/A")</f>
        <v>5.3766670000000003</v>
      </c>
      <c r="AH9558">
        <v>53.766669999999998</v>
      </c>
      <c r="AI9558">
        <v>191.3981</v>
      </c>
      <c r="AJ9558">
        <v>28.875440000000001</v>
      </c>
      <c r="AK9558">
        <v>57.850879999999997</v>
      </c>
    </row>
    <row r="9559" spans="1:37" x14ac:dyDescent="0.3">
      <c r="A9559">
        <v>9558</v>
      </c>
      <c r="B9559">
        <v>0.8</v>
      </c>
      <c r="C9559">
        <v>11.568300000000001</v>
      </c>
      <c r="D9559">
        <v>4.1883299999999997</v>
      </c>
      <c r="E9559" t="s">
        <v>14508</v>
      </c>
      <c r="F9559" t="s">
        <v>14509</v>
      </c>
      <c r="G9559" t="s">
        <v>37</v>
      </c>
      <c r="H9559">
        <v>1990</v>
      </c>
      <c r="I9559">
        <v>24.6</v>
      </c>
      <c r="J9559">
        <v>9.1</v>
      </c>
      <c r="K9559">
        <v>78</v>
      </c>
      <c r="L9559">
        <v>7.97</v>
      </c>
      <c r="M9559">
        <v>31</v>
      </c>
      <c r="N9559">
        <v>19.399999999999999</v>
      </c>
      <c r="O9559">
        <v>11.6</v>
      </c>
      <c r="P9559">
        <v>23.8</v>
      </c>
      <c r="Q9559">
        <v>25.3</v>
      </c>
      <c r="R9559">
        <v>25.5</v>
      </c>
      <c r="S9559">
        <v>23.6</v>
      </c>
      <c r="T9559">
        <v>1628</v>
      </c>
      <c r="U9559">
        <v>290</v>
      </c>
      <c r="V9559">
        <v>16</v>
      </c>
      <c r="W9559">
        <v>63</v>
      </c>
      <c r="X9559">
        <v>665</v>
      </c>
      <c r="Y9559">
        <v>85</v>
      </c>
      <c r="Z9559">
        <v>364</v>
      </c>
      <c r="AA9559">
        <v>353</v>
      </c>
      <c r="AB9559">
        <v>5.3304270000000002</v>
      </c>
      <c r="AC9559">
        <v>5.502812E-2</v>
      </c>
      <c r="AD9559">
        <v>2.7269869999999998</v>
      </c>
      <c r="AE9559">
        <v>0.56716690000000003</v>
      </c>
      <c r="AF9559">
        <v>551.94230000000005</v>
      </c>
      <c r="AG9559">
        <f>IFERROR(AH9559*0.1, "N/A")</f>
        <v>5.4851400000000003</v>
      </c>
      <c r="AH9559">
        <v>54.851399999999998</v>
      </c>
      <c r="AI9559">
        <v>127.1328</v>
      </c>
      <c r="AJ9559">
        <v>26.449300000000001</v>
      </c>
      <c r="AK9559">
        <v>57.870629999999998</v>
      </c>
    </row>
    <row r="9560" spans="1:37" x14ac:dyDescent="0.3">
      <c r="A9560">
        <v>9559</v>
      </c>
      <c r="B9560">
        <v>0</v>
      </c>
      <c r="C9560">
        <v>11.568300000000001</v>
      </c>
      <c r="D9560">
        <v>4.1883299999999997</v>
      </c>
      <c r="E9560" t="s">
        <v>14508</v>
      </c>
      <c r="F9560" t="s">
        <v>14510</v>
      </c>
      <c r="G9560" t="s">
        <v>2420</v>
      </c>
      <c r="H9560">
        <v>1990</v>
      </c>
      <c r="I9560">
        <v>24.6</v>
      </c>
      <c r="J9560">
        <v>9.1</v>
      </c>
      <c r="K9560">
        <v>78</v>
      </c>
      <c r="L9560">
        <v>7.97</v>
      </c>
      <c r="M9560">
        <v>31</v>
      </c>
      <c r="N9560">
        <v>19.399999999999999</v>
      </c>
      <c r="O9560">
        <v>11.6</v>
      </c>
      <c r="P9560">
        <v>23.8</v>
      </c>
      <c r="Q9560">
        <v>25.3</v>
      </c>
      <c r="R9560">
        <v>25.5</v>
      </c>
      <c r="S9560">
        <v>23.6</v>
      </c>
      <c r="T9560">
        <v>1628</v>
      </c>
      <c r="U9560">
        <v>290</v>
      </c>
      <c r="V9560">
        <v>16</v>
      </c>
      <c r="W9560">
        <v>63</v>
      </c>
      <c r="X9560">
        <v>665</v>
      </c>
      <c r="Y9560">
        <v>85</v>
      </c>
      <c r="Z9560">
        <v>364</v>
      </c>
      <c r="AA9560">
        <v>353</v>
      </c>
      <c r="AB9560">
        <v>5.3304270000000002</v>
      </c>
      <c r="AC9560">
        <v>5.502812E-2</v>
      </c>
      <c r="AD9560">
        <v>2.7269869999999998</v>
      </c>
      <c r="AE9560">
        <v>0.56716690000000003</v>
      </c>
      <c r="AF9560">
        <v>551.94230000000005</v>
      </c>
      <c r="AG9560">
        <f>IFERROR(AH9560*0.1, "N/A")</f>
        <v>5.4851400000000003</v>
      </c>
      <c r="AH9560">
        <v>54.851399999999998</v>
      </c>
      <c r="AI9560">
        <v>127.1328</v>
      </c>
      <c r="AJ9560">
        <v>26.449300000000001</v>
      </c>
      <c r="AK9560">
        <v>57.870629999999998</v>
      </c>
    </row>
    <row r="9561" spans="1:37" x14ac:dyDescent="0.3">
      <c r="A9561">
        <v>9560</v>
      </c>
      <c r="B9561">
        <v>6.5</v>
      </c>
      <c r="C9561">
        <v>14.6944</v>
      </c>
      <c r="D9561">
        <v>4.1944400000000002</v>
      </c>
      <c r="E9561" t="s">
        <v>14511</v>
      </c>
      <c r="F9561" t="s">
        <v>14512</v>
      </c>
      <c r="G9561" t="s">
        <v>39</v>
      </c>
      <c r="H9561">
        <v>1990</v>
      </c>
      <c r="I9561">
        <v>24.1</v>
      </c>
      <c r="J9561">
        <v>10.7</v>
      </c>
      <c r="K9561">
        <v>76</v>
      </c>
      <c r="L9561">
        <v>7.11</v>
      </c>
      <c r="M9561">
        <v>31.1</v>
      </c>
      <c r="N9561">
        <v>17.2</v>
      </c>
      <c r="O9561">
        <v>13.9</v>
      </c>
      <c r="P9561">
        <v>23.7</v>
      </c>
      <c r="Q9561">
        <v>23.9</v>
      </c>
      <c r="R9561">
        <v>25</v>
      </c>
      <c r="S9561">
        <v>23.2</v>
      </c>
      <c r="T9561">
        <v>1371</v>
      </c>
      <c r="U9561">
        <v>214</v>
      </c>
      <c r="V9561">
        <v>40</v>
      </c>
      <c r="W9561">
        <v>44</v>
      </c>
      <c r="X9561">
        <v>501</v>
      </c>
      <c r="Y9561">
        <v>166</v>
      </c>
      <c r="Z9561">
        <v>353</v>
      </c>
      <c r="AA9561">
        <v>304</v>
      </c>
      <c r="AB9561">
        <v>13.65995</v>
      </c>
      <c r="AC9561">
        <v>5.0628119999999999E-2</v>
      </c>
      <c r="AD9561">
        <v>2.1466460000000001</v>
      </c>
      <c r="AE9561">
        <v>0.16657640000000001</v>
      </c>
      <c r="AF9561">
        <v>603.55010000000004</v>
      </c>
      <c r="AG9561">
        <f>IFERROR(AH9561*0.1, "N/A")</f>
        <v>5.2098420000000001</v>
      </c>
      <c r="AH9561">
        <v>52.098419999999997</v>
      </c>
      <c r="AI9561">
        <v>275.92149999999998</v>
      </c>
      <c r="AJ9561">
        <v>32.901580000000003</v>
      </c>
      <c r="AK9561">
        <v>52.133569999999999</v>
      </c>
    </row>
    <row r="9562" spans="1:37" x14ac:dyDescent="0.3">
      <c r="A9562">
        <v>9561</v>
      </c>
      <c r="B9562">
        <v>0</v>
      </c>
      <c r="C9562">
        <v>14.6944</v>
      </c>
      <c r="D9562">
        <v>4.1944400000000002</v>
      </c>
      <c r="E9562" t="s">
        <v>14511</v>
      </c>
      <c r="F9562" t="s">
        <v>14513</v>
      </c>
      <c r="G9562" t="s">
        <v>37</v>
      </c>
      <c r="H9562">
        <v>1990</v>
      </c>
      <c r="I9562">
        <v>24.1</v>
      </c>
      <c r="J9562">
        <v>10.7</v>
      </c>
      <c r="K9562">
        <v>76</v>
      </c>
      <c r="L9562">
        <v>7.11</v>
      </c>
      <c r="M9562">
        <v>31.1</v>
      </c>
      <c r="N9562">
        <v>17.2</v>
      </c>
      <c r="O9562">
        <v>13.9</v>
      </c>
      <c r="P9562">
        <v>23.7</v>
      </c>
      <c r="Q9562">
        <v>23.9</v>
      </c>
      <c r="R9562">
        <v>25</v>
      </c>
      <c r="S9562">
        <v>23.2</v>
      </c>
      <c r="T9562">
        <v>1371</v>
      </c>
      <c r="U9562">
        <v>214</v>
      </c>
      <c r="V9562">
        <v>40</v>
      </c>
      <c r="W9562">
        <v>44</v>
      </c>
      <c r="X9562">
        <v>501</v>
      </c>
      <c r="Y9562">
        <v>166</v>
      </c>
      <c r="Z9562">
        <v>353</v>
      </c>
      <c r="AA9562">
        <v>304</v>
      </c>
      <c r="AB9562">
        <v>13.65995</v>
      </c>
      <c r="AC9562">
        <v>5.0628119999999999E-2</v>
      </c>
      <c r="AD9562">
        <v>2.1466460000000001</v>
      </c>
      <c r="AE9562">
        <v>0.16657640000000001</v>
      </c>
      <c r="AF9562">
        <v>603.55010000000004</v>
      </c>
      <c r="AG9562">
        <f>IFERROR(AH9562*0.1, "N/A")</f>
        <v>5.2098420000000001</v>
      </c>
      <c r="AH9562">
        <v>52.098419999999997</v>
      </c>
      <c r="AI9562">
        <v>275.92149999999998</v>
      </c>
      <c r="AJ9562">
        <v>32.901580000000003</v>
      </c>
      <c r="AK9562">
        <v>52.133569999999999</v>
      </c>
    </row>
    <row r="9563" spans="1:37" x14ac:dyDescent="0.3">
      <c r="A9563">
        <v>9562</v>
      </c>
      <c r="B9563">
        <v>0</v>
      </c>
      <c r="C9563">
        <v>14.6944</v>
      </c>
      <c r="D9563">
        <v>4.1944400000000002</v>
      </c>
      <c r="E9563" t="s">
        <v>14511</v>
      </c>
      <c r="F9563" t="s">
        <v>14514</v>
      </c>
      <c r="G9563" t="s">
        <v>2420</v>
      </c>
      <c r="H9563">
        <v>1990</v>
      </c>
      <c r="I9563">
        <v>24.1</v>
      </c>
      <c r="J9563">
        <v>10.7</v>
      </c>
      <c r="K9563">
        <v>76</v>
      </c>
      <c r="L9563">
        <v>7.11</v>
      </c>
      <c r="M9563">
        <v>31.1</v>
      </c>
      <c r="N9563">
        <v>17.2</v>
      </c>
      <c r="O9563">
        <v>13.9</v>
      </c>
      <c r="P9563">
        <v>23.7</v>
      </c>
      <c r="Q9563">
        <v>23.9</v>
      </c>
      <c r="R9563">
        <v>25</v>
      </c>
      <c r="S9563">
        <v>23.2</v>
      </c>
      <c r="T9563">
        <v>1371</v>
      </c>
      <c r="U9563">
        <v>214</v>
      </c>
      <c r="V9563">
        <v>40</v>
      </c>
      <c r="W9563">
        <v>44</v>
      </c>
      <c r="X9563">
        <v>501</v>
      </c>
      <c r="Y9563">
        <v>166</v>
      </c>
      <c r="Z9563">
        <v>353</v>
      </c>
      <c r="AA9563">
        <v>304</v>
      </c>
      <c r="AB9563">
        <v>13.65995</v>
      </c>
      <c r="AC9563">
        <v>5.0628119999999999E-2</v>
      </c>
      <c r="AD9563">
        <v>2.1466460000000001</v>
      </c>
      <c r="AE9563">
        <v>0.16657640000000001</v>
      </c>
      <c r="AF9563">
        <v>603.55010000000004</v>
      </c>
      <c r="AG9563">
        <f>IFERROR(AH9563*0.1, "N/A")</f>
        <v>5.2098420000000001</v>
      </c>
      <c r="AH9563">
        <v>52.098419999999997</v>
      </c>
      <c r="AI9563">
        <v>275.92149999999998</v>
      </c>
      <c r="AJ9563">
        <v>32.901580000000003</v>
      </c>
      <c r="AK9563">
        <v>52.133569999999999</v>
      </c>
    </row>
    <row r="9564" spans="1:37" x14ac:dyDescent="0.3">
      <c r="A9564">
        <v>9563</v>
      </c>
      <c r="B9564">
        <v>3.8</v>
      </c>
      <c r="C9564">
        <v>11.2417</v>
      </c>
      <c r="D9564">
        <v>4.2083300000000001</v>
      </c>
      <c r="E9564" t="s">
        <v>14515</v>
      </c>
      <c r="F9564" t="s">
        <v>14516</v>
      </c>
      <c r="G9564" t="s">
        <v>37</v>
      </c>
      <c r="H9564">
        <v>1990</v>
      </c>
      <c r="I9564">
        <v>24.940909999999999</v>
      </c>
      <c r="J9564">
        <v>8.9</v>
      </c>
      <c r="K9564">
        <v>74.479020000000006</v>
      </c>
      <c r="L9564">
        <v>9.3501750000000001</v>
      </c>
      <c r="M9564">
        <v>31.44755</v>
      </c>
      <c r="N9564">
        <v>19.59545</v>
      </c>
      <c r="O9564">
        <v>11.8521</v>
      </c>
      <c r="P9564">
        <v>23.940909999999999</v>
      </c>
      <c r="Q9564">
        <v>25.840910000000001</v>
      </c>
      <c r="R9564">
        <v>25.973780000000001</v>
      </c>
      <c r="S9564">
        <v>23.66713</v>
      </c>
      <c r="T9564">
        <v>1764.6890000000001</v>
      </c>
      <c r="U9564">
        <v>313.32870000000003</v>
      </c>
      <c r="V9564">
        <v>16</v>
      </c>
      <c r="W9564">
        <v>63.454549999999998</v>
      </c>
      <c r="X9564">
        <v>773.59789999999998</v>
      </c>
      <c r="Y9564">
        <v>75</v>
      </c>
      <c r="Z9564">
        <v>246.27619999999999</v>
      </c>
      <c r="AA9564">
        <v>574.14340000000004</v>
      </c>
      <c r="AB9564">
        <v>1.2781450000000001</v>
      </c>
      <c r="AC9564">
        <v>0.78556950000000003</v>
      </c>
      <c r="AD9564">
        <v>3.0458609999999999</v>
      </c>
      <c r="AE9564">
        <v>0.28920119999999999</v>
      </c>
      <c r="AF9564">
        <v>466.2552</v>
      </c>
      <c r="AG9564">
        <f>IFERROR(AH9564*0.1, "N/A")</f>
        <v>5.2639860000000001</v>
      </c>
      <c r="AH9564">
        <v>52.639859999999999</v>
      </c>
      <c r="AI9564">
        <v>195.80260000000001</v>
      </c>
      <c r="AJ9564">
        <v>30.045449999999999</v>
      </c>
      <c r="AK9564">
        <v>53.965029999999999</v>
      </c>
    </row>
    <row r="9565" spans="1:37" x14ac:dyDescent="0.3">
      <c r="A9565">
        <v>9564</v>
      </c>
      <c r="B9565">
        <v>0</v>
      </c>
      <c r="C9565">
        <v>11.2417</v>
      </c>
      <c r="D9565">
        <v>4.2083300000000001</v>
      </c>
      <c r="E9565" t="s">
        <v>14515</v>
      </c>
      <c r="F9565" t="s">
        <v>14517</v>
      </c>
      <c r="G9565" t="s">
        <v>2420</v>
      </c>
      <c r="H9565">
        <v>1990</v>
      </c>
      <c r="I9565">
        <v>24.940909999999999</v>
      </c>
      <c r="J9565">
        <v>8.9</v>
      </c>
      <c r="K9565">
        <v>74.479020000000006</v>
      </c>
      <c r="L9565">
        <v>9.3501750000000001</v>
      </c>
      <c r="M9565">
        <v>31.44755</v>
      </c>
      <c r="N9565">
        <v>19.59545</v>
      </c>
      <c r="O9565">
        <v>11.8521</v>
      </c>
      <c r="P9565">
        <v>23.940909999999999</v>
      </c>
      <c r="Q9565">
        <v>25.840910000000001</v>
      </c>
      <c r="R9565">
        <v>25.973780000000001</v>
      </c>
      <c r="S9565">
        <v>23.66713</v>
      </c>
      <c r="T9565">
        <v>1764.6890000000001</v>
      </c>
      <c r="U9565">
        <v>313.32870000000003</v>
      </c>
      <c r="V9565">
        <v>16</v>
      </c>
      <c r="W9565">
        <v>63.454549999999998</v>
      </c>
      <c r="X9565">
        <v>773.59789999999998</v>
      </c>
      <c r="Y9565">
        <v>75</v>
      </c>
      <c r="Z9565">
        <v>246.27619999999999</v>
      </c>
      <c r="AA9565">
        <v>574.14340000000004</v>
      </c>
      <c r="AB9565">
        <v>1.2781450000000001</v>
      </c>
      <c r="AC9565">
        <v>0.78556950000000003</v>
      </c>
      <c r="AD9565">
        <v>3.0458609999999999</v>
      </c>
      <c r="AE9565">
        <v>0.28920119999999999</v>
      </c>
      <c r="AF9565">
        <v>466.2552</v>
      </c>
      <c r="AG9565">
        <f>IFERROR(AH9565*0.1, "N/A")</f>
        <v>5.2639860000000001</v>
      </c>
      <c r="AH9565">
        <v>52.639859999999999</v>
      </c>
      <c r="AI9565">
        <v>195.80260000000001</v>
      </c>
      <c r="AJ9565">
        <v>30.045449999999999</v>
      </c>
      <c r="AK9565">
        <v>53.965029999999999</v>
      </c>
    </row>
    <row r="9566" spans="1:37" x14ac:dyDescent="0.3">
      <c r="A9566">
        <v>9565</v>
      </c>
      <c r="B9566">
        <v>0</v>
      </c>
      <c r="C9566">
        <v>14.675000000000001</v>
      </c>
      <c r="D9566">
        <v>4.2166699999999997</v>
      </c>
      <c r="E9566" t="s">
        <v>14518</v>
      </c>
      <c r="F9566" t="s">
        <v>14519</v>
      </c>
      <c r="G9566" t="s">
        <v>39</v>
      </c>
      <c r="H9566">
        <v>1990</v>
      </c>
      <c r="I9566">
        <v>24.181760000000001</v>
      </c>
      <c r="J9566">
        <v>10.7</v>
      </c>
      <c r="K9566">
        <v>76</v>
      </c>
      <c r="L9566">
        <v>7.2933510000000004</v>
      </c>
      <c r="M9566">
        <v>31.250530000000001</v>
      </c>
      <c r="N9566">
        <v>17.350529999999999</v>
      </c>
      <c r="O9566">
        <v>13.9</v>
      </c>
      <c r="P9566">
        <v>23.850529999999999</v>
      </c>
      <c r="Q9566">
        <v>24.050529999999998</v>
      </c>
      <c r="R9566">
        <v>25.180879999999998</v>
      </c>
      <c r="S9566">
        <v>23.312100000000001</v>
      </c>
      <c r="T9566">
        <v>1372.125</v>
      </c>
      <c r="U9566">
        <v>216.38419999999999</v>
      </c>
      <c r="V9566">
        <v>37.798250000000003</v>
      </c>
      <c r="W9566">
        <v>44.201749999999997</v>
      </c>
      <c r="X9566">
        <v>505.07190000000003</v>
      </c>
      <c r="Y9566">
        <v>156.41399999999999</v>
      </c>
      <c r="Z9566">
        <v>375.08249999999998</v>
      </c>
      <c r="AA9566">
        <v>318.95089999999999</v>
      </c>
      <c r="AB9566">
        <v>6.9687570000000001</v>
      </c>
      <c r="AC9566">
        <v>8.5401399999999999E-3</v>
      </c>
      <c r="AD9566">
        <v>1.629432</v>
      </c>
      <c r="AE9566">
        <v>0.1459395</v>
      </c>
      <c r="AF9566">
        <v>577.66669999999999</v>
      </c>
      <c r="AG9566">
        <f>IFERROR(AH9566*0.1, "N/A")</f>
        <v>5.1615789999999997</v>
      </c>
      <c r="AH9566">
        <v>51.615789999999997</v>
      </c>
      <c r="AI9566">
        <v>213.2654</v>
      </c>
      <c r="AJ9566">
        <v>33.231580000000001</v>
      </c>
      <c r="AK9566">
        <v>52.768419999999999</v>
      </c>
    </row>
    <row r="9567" spans="1:37" x14ac:dyDescent="0.3">
      <c r="A9567">
        <v>9566</v>
      </c>
      <c r="B9567">
        <v>0</v>
      </c>
      <c r="C9567">
        <v>14.675000000000001</v>
      </c>
      <c r="D9567">
        <v>4.2166699999999997</v>
      </c>
      <c r="E9567" t="s">
        <v>14518</v>
      </c>
      <c r="F9567" t="s">
        <v>14520</v>
      </c>
      <c r="G9567" t="s">
        <v>37</v>
      </c>
      <c r="H9567">
        <v>1990</v>
      </c>
      <c r="I9567">
        <v>24.181760000000001</v>
      </c>
      <c r="J9567">
        <v>10.7</v>
      </c>
      <c r="K9567">
        <v>76</v>
      </c>
      <c r="L9567">
        <v>7.2933510000000004</v>
      </c>
      <c r="M9567">
        <v>31.250530000000001</v>
      </c>
      <c r="N9567">
        <v>17.350529999999999</v>
      </c>
      <c r="O9567">
        <v>13.9</v>
      </c>
      <c r="P9567">
        <v>23.850529999999999</v>
      </c>
      <c r="Q9567">
        <v>24.050529999999998</v>
      </c>
      <c r="R9567">
        <v>25.180879999999998</v>
      </c>
      <c r="S9567">
        <v>23.312100000000001</v>
      </c>
      <c r="T9567">
        <v>1372.125</v>
      </c>
      <c r="U9567">
        <v>216.38419999999999</v>
      </c>
      <c r="V9567">
        <v>37.798250000000003</v>
      </c>
      <c r="W9567">
        <v>44.201749999999997</v>
      </c>
      <c r="X9567">
        <v>505.07190000000003</v>
      </c>
      <c r="Y9567">
        <v>156.41399999999999</v>
      </c>
      <c r="Z9567">
        <v>375.08249999999998</v>
      </c>
      <c r="AA9567">
        <v>318.95089999999999</v>
      </c>
      <c r="AB9567">
        <v>6.9687570000000001</v>
      </c>
      <c r="AC9567">
        <v>8.5401399999999999E-3</v>
      </c>
      <c r="AD9567">
        <v>1.629432</v>
      </c>
      <c r="AE9567">
        <v>0.1459395</v>
      </c>
      <c r="AF9567">
        <v>577.66669999999999</v>
      </c>
      <c r="AG9567">
        <f>IFERROR(AH9567*0.1, "N/A")</f>
        <v>5.1615789999999997</v>
      </c>
      <c r="AH9567">
        <v>51.615789999999997</v>
      </c>
      <c r="AI9567">
        <v>213.2654</v>
      </c>
      <c r="AJ9567">
        <v>33.231580000000001</v>
      </c>
      <c r="AK9567">
        <v>52.768419999999999</v>
      </c>
    </row>
    <row r="9568" spans="1:37" x14ac:dyDescent="0.3">
      <c r="A9568">
        <v>9567</v>
      </c>
      <c r="B9568">
        <v>0</v>
      </c>
      <c r="C9568">
        <v>14.675000000000001</v>
      </c>
      <c r="D9568">
        <v>4.2166699999999997</v>
      </c>
      <c r="E9568" t="s">
        <v>14518</v>
      </c>
      <c r="F9568" t="s">
        <v>14521</v>
      </c>
      <c r="G9568" t="s">
        <v>2420</v>
      </c>
      <c r="H9568">
        <v>1990</v>
      </c>
      <c r="I9568">
        <v>24.181760000000001</v>
      </c>
      <c r="J9568">
        <v>10.7</v>
      </c>
      <c r="K9568">
        <v>76</v>
      </c>
      <c r="L9568">
        <v>7.2933510000000004</v>
      </c>
      <c r="M9568">
        <v>31.250530000000001</v>
      </c>
      <c r="N9568">
        <v>17.350529999999999</v>
      </c>
      <c r="O9568">
        <v>13.9</v>
      </c>
      <c r="P9568">
        <v>23.850529999999999</v>
      </c>
      <c r="Q9568">
        <v>24.050529999999998</v>
      </c>
      <c r="R9568">
        <v>25.180879999999998</v>
      </c>
      <c r="S9568">
        <v>23.312100000000001</v>
      </c>
      <c r="T9568">
        <v>1372.125</v>
      </c>
      <c r="U9568">
        <v>216.38419999999999</v>
      </c>
      <c r="V9568">
        <v>37.798250000000003</v>
      </c>
      <c r="W9568">
        <v>44.201749999999997</v>
      </c>
      <c r="X9568">
        <v>505.07190000000003</v>
      </c>
      <c r="Y9568">
        <v>156.41399999999999</v>
      </c>
      <c r="Z9568">
        <v>375.08249999999998</v>
      </c>
      <c r="AA9568">
        <v>318.95089999999999</v>
      </c>
      <c r="AB9568">
        <v>6.9687570000000001</v>
      </c>
      <c r="AC9568">
        <v>8.5401399999999999E-3</v>
      </c>
      <c r="AD9568">
        <v>1.629432</v>
      </c>
      <c r="AE9568">
        <v>0.1459395</v>
      </c>
      <c r="AF9568">
        <v>577.66669999999999</v>
      </c>
      <c r="AG9568">
        <f>IFERROR(AH9568*0.1, "N/A")</f>
        <v>5.1615789999999997</v>
      </c>
      <c r="AH9568">
        <v>51.615789999999997</v>
      </c>
      <c r="AI9568">
        <v>213.2654</v>
      </c>
      <c r="AJ9568">
        <v>33.231580000000001</v>
      </c>
      <c r="AK9568">
        <v>52.768419999999999</v>
      </c>
    </row>
    <row r="9569" spans="1:37" x14ac:dyDescent="0.3">
      <c r="A9569">
        <v>9568</v>
      </c>
      <c r="B9569">
        <v>0</v>
      </c>
      <c r="C9569">
        <v>13.408300000000001</v>
      </c>
      <c r="D9569">
        <v>4.2166699999999997</v>
      </c>
      <c r="E9569" t="s">
        <v>14522</v>
      </c>
      <c r="F9569" t="s">
        <v>14523</v>
      </c>
      <c r="G9569" t="s">
        <v>39</v>
      </c>
      <c r="H9569">
        <v>1990</v>
      </c>
      <c r="I9569">
        <v>23.654800000000002</v>
      </c>
      <c r="J9569">
        <v>9.8000000000000007</v>
      </c>
      <c r="K9569">
        <v>79</v>
      </c>
      <c r="L9569">
        <v>6.8663530000000002</v>
      </c>
      <c r="M9569">
        <v>30.154800000000002</v>
      </c>
      <c r="N9569">
        <v>17.80611</v>
      </c>
      <c r="O9569">
        <v>12.34869</v>
      </c>
      <c r="P9569">
        <v>23.0548</v>
      </c>
      <c r="Q9569">
        <v>23.627749999999999</v>
      </c>
      <c r="R9569">
        <v>24.503489999999999</v>
      </c>
      <c r="S9569">
        <v>22.854800000000001</v>
      </c>
      <c r="T9569">
        <v>1543.6130000000001</v>
      </c>
      <c r="U9569">
        <v>275</v>
      </c>
      <c r="V9569">
        <v>27.72251</v>
      </c>
      <c r="W9569">
        <v>58</v>
      </c>
      <c r="X9569">
        <v>615</v>
      </c>
      <c r="Y9569">
        <v>97.445030000000003</v>
      </c>
      <c r="Z9569">
        <v>351.34899999999999</v>
      </c>
      <c r="AA9569">
        <v>379</v>
      </c>
      <c r="AB9569">
        <v>4.8991030000000002</v>
      </c>
      <c r="AC9569">
        <v>0.23375190000000001</v>
      </c>
      <c r="AD9569">
        <v>3.6122130000000001</v>
      </c>
      <c r="AE9569">
        <v>0.1071072</v>
      </c>
      <c r="AF9569">
        <v>624.66840000000002</v>
      </c>
      <c r="AG9569">
        <f>IFERROR(AH9569*0.1, "N/A")</f>
        <v>5.054799</v>
      </c>
      <c r="AH9569">
        <v>50.547989999999999</v>
      </c>
      <c r="AI9569">
        <v>177.9288</v>
      </c>
      <c r="AJ9569">
        <v>37.09599</v>
      </c>
      <c r="AK9569">
        <v>50.90401</v>
      </c>
    </row>
    <row r="9570" spans="1:37" x14ac:dyDescent="0.3">
      <c r="A9570">
        <v>9569</v>
      </c>
      <c r="B9570">
        <v>0</v>
      </c>
      <c r="C9570">
        <v>13.408300000000001</v>
      </c>
      <c r="D9570">
        <v>4.2166699999999997</v>
      </c>
      <c r="E9570" t="s">
        <v>14522</v>
      </c>
      <c r="F9570" t="s">
        <v>14524</v>
      </c>
      <c r="G9570" t="s">
        <v>37</v>
      </c>
      <c r="H9570">
        <v>1990</v>
      </c>
      <c r="I9570">
        <v>23.654800000000002</v>
      </c>
      <c r="J9570">
        <v>9.8000000000000007</v>
      </c>
      <c r="K9570">
        <v>79</v>
      </c>
      <c r="L9570">
        <v>6.8663530000000002</v>
      </c>
      <c r="M9570">
        <v>30.154800000000002</v>
      </c>
      <c r="N9570">
        <v>17.80611</v>
      </c>
      <c r="O9570">
        <v>12.34869</v>
      </c>
      <c r="P9570">
        <v>23.0548</v>
      </c>
      <c r="Q9570">
        <v>23.627749999999999</v>
      </c>
      <c r="R9570">
        <v>24.503489999999999</v>
      </c>
      <c r="S9570">
        <v>22.854800000000001</v>
      </c>
      <c r="T9570">
        <v>1543.6130000000001</v>
      </c>
      <c r="U9570">
        <v>275</v>
      </c>
      <c r="V9570">
        <v>27.72251</v>
      </c>
      <c r="W9570">
        <v>58</v>
      </c>
      <c r="X9570">
        <v>615</v>
      </c>
      <c r="Y9570">
        <v>97.445030000000003</v>
      </c>
      <c r="Z9570">
        <v>351.34899999999999</v>
      </c>
      <c r="AA9570">
        <v>379</v>
      </c>
      <c r="AB9570">
        <v>4.8991030000000002</v>
      </c>
      <c r="AC9570">
        <v>0.23375190000000001</v>
      </c>
      <c r="AD9570">
        <v>3.6122130000000001</v>
      </c>
      <c r="AE9570">
        <v>0.1071072</v>
      </c>
      <c r="AF9570">
        <v>624.66840000000002</v>
      </c>
      <c r="AG9570">
        <f>IFERROR(AH9570*0.1, "N/A")</f>
        <v>5.054799</v>
      </c>
      <c r="AH9570">
        <v>50.547989999999999</v>
      </c>
      <c r="AI9570">
        <v>177.9288</v>
      </c>
      <c r="AJ9570">
        <v>37.09599</v>
      </c>
      <c r="AK9570">
        <v>50.90401</v>
      </c>
    </row>
    <row r="9571" spans="1:37" x14ac:dyDescent="0.3">
      <c r="A9571">
        <v>9570</v>
      </c>
      <c r="B9571">
        <v>0</v>
      </c>
      <c r="C9571">
        <v>13.408300000000001</v>
      </c>
      <c r="D9571">
        <v>4.2166699999999997</v>
      </c>
      <c r="E9571" t="s">
        <v>14522</v>
      </c>
      <c r="F9571" t="s">
        <v>14525</v>
      </c>
      <c r="G9571" t="s">
        <v>2420</v>
      </c>
      <c r="H9571">
        <v>1990</v>
      </c>
      <c r="I9571">
        <v>23.654800000000002</v>
      </c>
      <c r="J9571">
        <v>9.8000000000000007</v>
      </c>
      <c r="K9571">
        <v>79</v>
      </c>
      <c r="L9571">
        <v>6.8663530000000002</v>
      </c>
      <c r="M9571">
        <v>30.154800000000002</v>
      </c>
      <c r="N9571">
        <v>17.80611</v>
      </c>
      <c r="O9571">
        <v>12.34869</v>
      </c>
      <c r="P9571">
        <v>23.0548</v>
      </c>
      <c r="Q9571">
        <v>23.627749999999999</v>
      </c>
      <c r="R9571">
        <v>24.503489999999999</v>
      </c>
      <c r="S9571">
        <v>22.854800000000001</v>
      </c>
      <c r="T9571">
        <v>1543.6130000000001</v>
      </c>
      <c r="U9571">
        <v>275</v>
      </c>
      <c r="V9571">
        <v>27.72251</v>
      </c>
      <c r="W9571">
        <v>58</v>
      </c>
      <c r="X9571">
        <v>615</v>
      </c>
      <c r="Y9571">
        <v>97.445030000000003</v>
      </c>
      <c r="Z9571">
        <v>351.34899999999999</v>
      </c>
      <c r="AA9571">
        <v>379</v>
      </c>
      <c r="AB9571">
        <v>4.8991030000000002</v>
      </c>
      <c r="AC9571">
        <v>0.23375190000000001</v>
      </c>
      <c r="AD9571">
        <v>3.6122130000000001</v>
      </c>
      <c r="AE9571">
        <v>0.1071072</v>
      </c>
      <c r="AF9571">
        <v>624.66840000000002</v>
      </c>
      <c r="AG9571">
        <f>IFERROR(AH9571*0.1, "N/A")</f>
        <v>5.054799</v>
      </c>
      <c r="AH9571">
        <v>50.547989999999999</v>
      </c>
      <c r="AI9571">
        <v>177.9288</v>
      </c>
      <c r="AJ9571">
        <v>37.09599</v>
      </c>
      <c r="AK9571">
        <v>50.90401</v>
      </c>
    </row>
    <row r="9572" spans="1:37" x14ac:dyDescent="0.3">
      <c r="A9572">
        <v>9571</v>
      </c>
      <c r="B9572">
        <v>28.8</v>
      </c>
      <c r="C9572">
        <v>13.601000000000001</v>
      </c>
      <c r="D9572">
        <v>4.22</v>
      </c>
      <c r="E9572" t="s">
        <v>14526</v>
      </c>
      <c r="F9572" t="s">
        <v>14527</v>
      </c>
      <c r="G9572" t="s">
        <v>37</v>
      </c>
      <c r="H9572">
        <v>1987</v>
      </c>
      <c r="I9572">
        <v>23.6</v>
      </c>
      <c r="J9572">
        <v>10</v>
      </c>
      <c r="K9572">
        <v>78</v>
      </c>
      <c r="L9572">
        <v>6.77</v>
      </c>
      <c r="M9572">
        <v>30.1</v>
      </c>
      <c r="N9572">
        <v>17.399999999999999</v>
      </c>
      <c r="O9572">
        <v>12.7</v>
      </c>
      <c r="P9572">
        <v>23.1</v>
      </c>
      <c r="Q9572">
        <v>23.3</v>
      </c>
      <c r="R9572">
        <v>24.5</v>
      </c>
      <c r="S9572">
        <v>22.8</v>
      </c>
      <c r="T9572">
        <v>1548</v>
      </c>
      <c r="U9572">
        <v>273</v>
      </c>
      <c r="V9572">
        <v>28</v>
      </c>
      <c r="W9572">
        <v>56</v>
      </c>
      <c r="X9572">
        <v>617</v>
      </c>
      <c r="Y9572">
        <v>100</v>
      </c>
      <c r="Z9572">
        <v>467</v>
      </c>
      <c r="AA9572">
        <v>384</v>
      </c>
      <c r="AB9572">
        <v>27.321339999999999</v>
      </c>
      <c r="AC9572">
        <v>5.0837239999999999E-2</v>
      </c>
      <c r="AD9572">
        <v>5.3164360000000004</v>
      </c>
      <c r="AE9572">
        <v>9.7117880000000004E-2</v>
      </c>
      <c r="AF9572">
        <v>645.48509999999999</v>
      </c>
      <c r="AG9572">
        <f>IFERROR(AH9572*0.1, "N/A")</f>
        <v>5.1276710000000003</v>
      </c>
      <c r="AH9572">
        <v>51.276710000000001</v>
      </c>
      <c r="AI9572">
        <v>142.9957</v>
      </c>
      <c r="AJ9572">
        <v>38.723289999999999</v>
      </c>
      <c r="AK9572">
        <v>50.276710000000001</v>
      </c>
    </row>
    <row r="9573" spans="1:37" x14ac:dyDescent="0.3">
      <c r="A9573">
        <v>9572</v>
      </c>
      <c r="B9573">
        <v>6.8</v>
      </c>
      <c r="C9573">
        <v>13.601000000000001</v>
      </c>
      <c r="D9573">
        <v>4.22</v>
      </c>
      <c r="E9573" t="s">
        <v>14526</v>
      </c>
      <c r="F9573" t="s">
        <v>14528</v>
      </c>
      <c r="G9573" t="s">
        <v>2420</v>
      </c>
      <c r="H9573">
        <v>1987</v>
      </c>
      <c r="I9573">
        <v>23.6</v>
      </c>
      <c r="J9573">
        <v>10</v>
      </c>
      <c r="K9573">
        <v>78</v>
      </c>
      <c r="L9573">
        <v>6.77</v>
      </c>
      <c r="M9573">
        <v>30.1</v>
      </c>
      <c r="N9573">
        <v>17.399999999999999</v>
      </c>
      <c r="O9573">
        <v>12.7</v>
      </c>
      <c r="P9573">
        <v>23.1</v>
      </c>
      <c r="Q9573">
        <v>23.3</v>
      </c>
      <c r="R9573">
        <v>24.5</v>
      </c>
      <c r="S9573">
        <v>22.8</v>
      </c>
      <c r="T9573">
        <v>1548</v>
      </c>
      <c r="U9573">
        <v>273</v>
      </c>
      <c r="V9573">
        <v>28</v>
      </c>
      <c r="W9573">
        <v>56</v>
      </c>
      <c r="X9573">
        <v>617</v>
      </c>
      <c r="Y9573">
        <v>100</v>
      </c>
      <c r="Z9573">
        <v>467</v>
      </c>
      <c r="AA9573">
        <v>384</v>
      </c>
      <c r="AB9573">
        <v>27.321339999999999</v>
      </c>
      <c r="AC9573">
        <v>5.0837239999999999E-2</v>
      </c>
      <c r="AD9573">
        <v>5.3164360000000004</v>
      </c>
      <c r="AE9573">
        <v>9.7117880000000004E-2</v>
      </c>
      <c r="AF9573">
        <v>645.48509999999999</v>
      </c>
      <c r="AG9573">
        <f>IFERROR(AH9573*0.1, "N/A")</f>
        <v>5.1276710000000003</v>
      </c>
      <c r="AH9573">
        <v>51.276710000000001</v>
      </c>
      <c r="AI9573">
        <v>142.9957</v>
      </c>
      <c r="AJ9573">
        <v>38.723289999999999</v>
      </c>
      <c r="AK9573">
        <v>50.276710000000001</v>
      </c>
    </row>
    <row r="9574" spans="1:37" x14ac:dyDescent="0.3">
      <c r="A9574">
        <v>9573</v>
      </c>
      <c r="B9574">
        <v>0</v>
      </c>
      <c r="C9574">
        <v>11.2111</v>
      </c>
      <c r="D9574">
        <v>4.2291699999999999</v>
      </c>
      <c r="E9574" t="s">
        <v>14529</v>
      </c>
      <c r="F9574" t="s">
        <v>14530</v>
      </c>
      <c r="G9574" t="s">
        <v>37</v>
      </c>
      <c r="H9574">
        <v>1990</v>
      </c>
      <c r="I9574">
        <v>25</v>
      </c>
      <c r="J9574">
        <v>8.9</v>
      </c>
      <c r="K9574">
        <v>74</v>
      </c>
      <c r="L9574">
        <v>9.52</v>
      </c>
      <c r="M9574">
        <v>31.6</v>
      </c>
      <c r="N9574">
        <v>19.7</v>
      </c>
      <c r="O9574">
        <v>11.9</v>
      </c>
      <c r="P9574">
        <v>24</v>
      </c>
      <c r="Q9574">
        <v>25.9</v>
      </c>
      <c r="R9574">
        <v>26.1</v>
      </c>
      <c r="S9574">
        <v>23.7</v>
      </c>
      <c r="T9574">
        <v>1780</v>
      </c>
      <c r="U9574">
        <v>316</v>
      </c>
      <c r="V9574">
        <v>15</v>
      </c>
      <c r="W9574">
        <v>64</v>
      </c>
      <c r="X9574">
        <v>789</v>
      </c>
      <c r="Y9574">
        <v>72</v>
      </c>
      <c r="Z9574">
        <v>355</v>
      </c>
      <c r="AA9574">
        <v>592</v>
      </c>
      <c r="AB9574">
        <v>32.426079999999999</v>
      </c>
      <c r="AC9574">
        <v>8.5549019999999996E-3</v>
      </c>
      <c r="AD9574">
        <v>3.9230149999999999</v>
      </c>
      <c r="AE9574">
        <v>0.32779799999999998</v>
      </c>
      <c r="AF9574">
        <v>459.40980000000002</v>
      </c>
      <c r="AG9574">
        <f>IFERROR(AH9574*0.1, "N/A")</f>
        <v>5.3998249999999999</v>
      </c>
      <c r="AH9574">
        <v>53.998249999999999</v>
      </c>
      <c r="AI9574">
        <v>262.54680000000002</v>
      </c>
      <c r="AJ9574">
        <v>29</v>
      </c>
      <c r="AK9574">
        <v>56</v>
      </c>
    </row>
    <row r="9575" spans="1:37" x14ac:dyDescent="0.3">
      <c r="A9575">
        <v>9574</v>
      </c>
      <c r="B9575">
        <v>0</v>
      </c>
      <c r="C9575">
        <v>11.2111</v>
      </c>
      <c r="D9575">
        <v>4.2291699999999999</v>
      </c>
      <c r="E9575" t="s">
        <v>14529</v>
      </c>
      <c r="F9575" t="s">
        <v>14531</v>
      </c>
      <c r="G9575" t="s">
        <v>2420</v>
      </c>
      <c r="H9575">
        <v>1990</v>
      </c>
      <c r="I9575">
        <v>25</v>
      </c>
      <c r="J9575">
        <v>8.9</v>
      </c>
      <c r="K9575">
        <v>74</v>
      </c>
      <c r="L9575">
        <v>9.52</v>
      </c>
      <c r="M9575">
        <v>31.6</v>
      </c>
      <c r="N9575">
        <v>19.7</v>
      </c>
      <c r="O9575">
        <v>11.9</v>
      </c>
      <c r="P9575">
        <v>24</v>
      </c>
      <c r="Q9575">
        <v>25.9</v>
      </c>
      <c r="R9575">
        <v>26.1</v>
      </c>
      <c r="S9575">
        <v>23.7</v>
      </c>
      <c r="T9575">
        <v>1780</v>
      </c>
      <c r="U9575">
        <v>316</v>
      </c>
      <c r="V9575">
        <v>15</v>
      </c>
      <c r="W9575">
        <v>64</v>
      </c>
      <c r="X9575">
        <v>789</v>
      </c>
      <c r="Y9575">
        <v>72</v>
      </c>
      <c r="Z9575">
        <v>355</v>
      </c>
      <c r="AA9575">
        <v>592</v>
      </c>
      <c r="AB9575">
        <v>32.426079999999999</v>
      </c>
      <c r="AC9575">
        <v>8.5549019999999996E-3</v>
      </c>
      <c r="AD9575">
        <v>3.9230149999999999</v>
      </c>
      <c r="AE9575">
        <v>0.32779799999999998</v>
      </c>
      <c r="AF9575">
        <v>459.40980000000002</v>
      </c>
      <c r="AG9575">
        <f>IFERROR(AH9575*0.1, "N/A")</f>
        <v>5.3998249999999999</v>
      </c>
      <c r="AH9575">
        <v>53.998249999999999</v>
      </c>
      <c r="AI9575">
        <v>262.54680000000002</v>
      </c>
      <c r="AJ9575">
        <v>29</v>
      </c>
      <c r="AK9575">
        <v>56</v>
      </c>
    </row>
    <row r="9576" spans="1:37" x14ac:dyDescent="0.3">
      <c r="A9576">
        <v>9575</v>
      </c>
      <c r="B9576">
        <v>0</v>
      </c>
      <c r="C9576">
        <v>11.2333</v>
      </c>
      <c r="D9576">
        <v>4.2305599999999997</v>
      </c>
      <c r="E9576" t="s">
        <v>14532</v>
      </c>
      <c r="F9576" t="s">
        <v>14533</v>
      </c>
      <c r="G9576" t="s">
        <v>39</v>
      </c>
      <c r="H9576">
        <v>1990</v>
      </c>
      <c r="I9576">
        <v>24.939229999999998</v>
      </c>
      <c r="J9576">
        <v>8.9</v>
      </c>
      <c r="K9576">
        <v>74.392290000000003</v>
      </c>
      <c r="L9576">
        <v>9.4650789999999994</v>
      </c>
      <c r="M9576">
        <v>31.53923</v>
      </c>
      <c r="N9576">
        <v>19.678460000000001</v>
      </c>
      <c r="O9576">
        <v>11.86077</v>
      </c>
      <c r="P9576">
        <v>23.939229999999998</v>
      </c>
      <c r="Q9576">
        <v>25.839230000000001</v>
      </c>
      <c r="R9576">
        <v>26.03923</v>
      </c>
      <c r="S9576">
        <v>23.678460000000001</v>
      </c>
      <c r="T9576">
        <v>1766.8230000000001</v>
      </c>
      <c r="U9576">
        <v>314</v>
      </c>
      <c r="V9576">
        <v>15</v>
      </c>
      <c r="W9576">
        <v>63.607709999999997</v>
      </c>
      <c r="X9576">
        <v>778.82309999999995</v>
      </c>
      <c r="Y9576">
        <v>72.392290000000003</v>
      </c>
      <c r="Z9576">
        <v>355</v>
      </c>
      <c r="AA9576">
        <v>581.43079999999998</v>
      </c>
      <c r="AB9576">
        <v>49.538699999999999</v>
      </c>
      <c r="AC9576">
        <v>9.9583099999999997E-3</v>
      </c>
      <c r="AD9576">
        <v>8.2237770000000001</v>
      </c>
      <c r="AE9576">
        <v>0.31243520000000002</v>
      </c>
      <c r="AF9576">
        <v>486.32220000000001</v>
      </c>
      <c r="AG9576">
        <f>IFERROR(AH9576*0.1, "N/A")</f>
        <v>5.2357270000000007</v>
      </c>
      <c r="AH9576">
        <v>52.35727</v>
      </c>
      <c r="AI9576">
        <v>165.72620000000001</v>
      </c>
      <c r="AJ9576">
        <v>28.879159999999999</v>
      </c>
      <c r="AK9576">
        <v>57.168129999999998</v>
      </c>
    </row>
    <row r="9577" spans="1:37" x14ac:dyDescent="0.3">
      <c r="A9577">
        <v>9576</v>
      </c>
      <c r="B9577">
        <v>0</v>
      </c>
      <c r="C9577">
        <v>11.2333</v>
      </c>
      <c r="D9577">
        <v>4.2305599999999997</v>
      </c>
      <c r="E9577" t="s">
        <v>14532</v>
      </c>
      <c r="F9577" t="s">
        <v>14534</v>
      </c>
      <c r="G9577" t="s">
        <v>37</v>
      </c>
      <c r="H9577">
        <v>1990</v>
      </c>
      <c r="I9577">
        <v>24.939229999999998</v>
      </c>
      <c r="J9577">
        <v>8.9</v>
      </c>
      <c r="K9577">
        <v>74.392290000000003</v>
      </c>
      <c r="L9577">
        <v>9.4650789999999994</v>
      </c>
      <c r="M9577">
        <v>31.53923</v>
      </c>
      <c r="N9577">
        <v>19.678460000000001</v>
      </c>
      <c r="O9577">
        <v>11.86077</v>
      </c>
      <c r="P9577">
        <v>23.939229999999998</v>
      </c>
      <c r="Q9577">
        <v>25.839230000000001</v>
      </c>
      <c r="R9577">
        <v>26.03923</v>
      </c>
      <c r="S9577">
        <v>23.678460000000001</v>
      </c>
      <c r="T9577">
        <v>1766.8230000000001</v>
      </c>
      <c r="U9577">
        <v>314</v>
      </c>
      <c r="V9577">
        <v>15</v>
      </c>
      <c r="W9577">
        <v>63.607709999999997</v>
      </c>
      <c r="X9577">
        <v>778.82309999999995</v>
      </c>
      <c r="Y9577">
        <v>72.392290000000003</v>
      </c>
      <c r="Z9577">
        <v>355</v>
      </c>
      <c r="AA9577">
        <v>581.43079999999998</v>
      </c>
      <c r="AB9577">
        <v>49.538699999999999</v>
      </c>
      <c r="AC9577">
        <v>9.9583099999999997E-3</v>
      </c>
      <c r="AD9577">
        <v>8.2237770000000001</v>
      </c>
      <c r="AE9577">
        <v>0.31243520000000002</v>
      </c>
      <c r="AF9577">
        <v>486.32220000000001</v>
      </c>
      <c r="AG9577">
        <f>IFERROR(AH9577*0.1, "N/A")</f>
        <v>5.2357270000000007</v>
      </c>
      <c r="AH9577">
        <v>52.35727</v>
      </c>
      <c r="AI9577">
        <v>165.72620000000001</v>
      </c>
      <c r="AJ9577">
        <v>28.879159999999999</v>
      </c>
      <c r="AK9577">
        <v>57.168129999999998</v>
      </c>
    </row>
    <row r="9578" spans="1:37" x14ac:dyDescent="0.3">
      <c r="A9578">
        <v>9577</v>
      </c>
      <c r="B9578">
        <v>0</v>
      </c>
      <c r="C9578">
        <v>11.2333</v>
      </c>
      <c r="D9578">
        <v>4.2305599999999997</v>
      </c>
      <c r="E9578" t="s">
        <v>14532</v>
      </c>
      <c r="F9578" t="s">
        <v>14535</v>
      </c>
      <c r="G9578" t="s">
        <v>2420</v>
      </c>
      <c r="H9578">
        <v>1990</v>
      </c>
      <c r="I9578">
        <v>24.939229999999998</v>
      </c>
      <c r="J9578">
        <v>8.9</v>
      </c>
      <c r="K9578">
        <v>74.392290000000003</v>
      </c>
      <c r="L9578">
        <v>9.4650789999999994</v>
      </c>
      <c r="M9578">
        <v>31.53923</v>
      </c>
      <c r="N9578">
        <v>19.678460000000001</v>
      </c>
      <c r="O9578">
        <v>11.86077</v>
      </c>
      <c r="P9578">
        <v>23.939229999999998</v>
      </c>
      <c r="Q9578">
        <v>25.839230000000001</v>
      </c>
      <c r="R9578">
        <v>26.03923</v>
      </c>
      <c r="S9578">
        <v>23.678460000000001</v>
      </c>
      <c r="T9578">
        <v>1766.8230000000001</v>
      </c>
      <c r="U9578">
        <v>314</v>
      </c>
      <c r="V9578">
        <v>15</v>
      </c>
      <c r="W9578">
        <v>63.607709999999997</v>
      </c>
      <c r="X9578">
        <v>778.82309999999995</v>
      </c>
      <c r="Y9578">
        <v>72.392290000000003</v>
      </c>
      <c r="Z9578">
        <v>355</v>
      </c>
      <c r="AA9578">
        <v>581.43079999999998</v>
      </c>
      <c r="AB9578">
        <v>49.538699999999999</v>
      </c>
      <c r="AC9578">
        <v>9.9583099999999997E-3</v>
      </c>
      <c r="AD9578">
        <v>8.2237770000000001</v>
      </c>
      <c r="AE9578">
        <v>0.31243520000000002</v>
      </c>
      <c r="AF9578">
        <v>486.32220000000001</v>
      </c>
      <c r="AG9578">
        <f>IFERROR(AH9578*0.1, "N/A")</f>
        <v>5.2357270000000007</v>
      </c>
      <c r="AH9578">
        <v>52.35727</v>
      </c>
      <c r="AI9578">
        <v>165.72620000000001</v>
      </c>
      <c r="AJ9578">
        <v>28.879159999999999</v>
      </c>
      <c r="AK9578">
        <v>57.168129999999998</v>
      </c>
    </row>
    <row r="9579" spans="1:37" x14ac:dyDescent="0.3">
      <c r="A9579">
        <v>9578</v>
      </c>
      <c r="B9579">
        <v>0</v>
      </c>
      <c r="C9579">
        <v>10.6167</v>
      </c>
      <c r="D9579">
        <v>4.2333299999999996</v>
      </c>
      <c r="E9579" t="s">
        <v>14536</v>
      </c>
      <c r="F9579" t="s">
        <v>14537</v>
      </c>
      <c r="G9579" t="s">
        <v>39</v>
      </c>
      <c r="H9579">
        <v>1990</v>
      </c>
      <c r="I9579">
        <v>24.177019999999999</v>
      </c>
      <c r="J9579">
        <v>8.4850879999999993</v>
      </c>
      <c r="K9579">
        <v>67.673680000000004</v>
      </c>
      <c r="L9579">
        <v>12.1853</v>
      </c>
      <c r="M9579">
        <v>30.912459999999999</v>
      </c>
      <c r="N9579">
        <v>18.47702</v>
      </c>
      <c r="O9579">
        <v>12.43544</v>
      </c>
      <c r="P9579">
        <v>22.961749999999999</v>
      </c>
      <c r="Q9579">
        <v>25.294740000000001</v>
      </c>
      <c r="R9579">
        <v>25.394739999999999</v>
      </c>
      <c r="S9579">
        <v>22.377020000000002</v>
      </c>
      <c r="T9579">
        <v>2571.2820000000002</v>
      </c>
      <c r="U9579">
        <v>487.73329999999999</v>
      </c>
      <c r="V9579">
        <v>14.14912</v>
      </c>
      <c r="W9579">
        <v>72.850880000000004</v>
      </c>
      <c r="X9579">
        <v>1319.5329999999999</v>
      </c>
      <c r="Y9579">
        <v>70.97193</v>
      </c>
      <c r="Z9579">
        <v>196.97190000000001</v>
      </c>
      <c r="AA9579">
        <v>1228.7329999999999</v>
      </c>
      <c r="AB9579">
        <v>4.6866669999999999</v>
      </c>
      <c r="AC9579">
        <v>1.0160370000000001</v>
      </c>
      <c r="AD9579">
        <v>5.1242900000000002</v>
      </c>
      <c r="AE9579">
        <v>0.56256379999999995</v>
      </c>
      <c r="AF9579">
        <v>540.52459999999996</v>
      </c>
      <c r="AG9579">
        <f>IFERROR(AH9579*0.1, "N/A")</f>
        <v>5.0661400000000008</v>
      </c>
      <c r="AH9579">
        <v>50.6614</v>
      </c>
      <c r="AI9579">
        <v>159.97049999999999</v>
      </c>
      <c r="AJ9579">
        <v>35.731580000000001</v>
      </c>
      <c r="AK9579">
        <v>40.843859999999999</v>
      </c>
    </row>
    <row r="9580" spans="1:37" x14ac:dyDescent="0.3">
      <c r="A9580">
        <v>9579</v>
      </c>
      <c r="B9580">
        <v>0</v>
      </c>
      <c r="C9580">
        <v>10.6167</v>
      </c>
      <c r="D9580">
        <v>4.2333299999999996</v>
      </c>
      <c r="E9580" t="s">
        <v>14536</v>
      </c>
      <c r="F9580" t="s">
        <v>14538</v>
      </c>
      <c r="G9580" t="s">
        <v>37</v>
      </c>
      <c r="H9580">
        <v>1990</v>
      </c>
      <c r="I9580">
        <v>24.177019999999999</v>
      </c>
      <c r="J9580">
        <v>8.4850879999999993</v>
      </c>
      <c r="K9580">
        <v>67.673680000000004</v>
      </c>
      <c r="L9580">
        <v>12.1853</v>
      </c>
      <c r="M9580">
        <v>30.912459999999999</v>
      </c>
      <c r="N9580">
        <v>18.47702</v>
      </c>
      <c r="O9580">
        <v>12.43544</v>
      </c>
      <c r="P9580">
        <v>22.961749999999999</v>
      </c>
      <c r="Q9580">
        <v>25.294740000000001</v>
      </c>
      <c r="R9580">
        <v>25.394739999999999</v>
      </c>
      <c r="S9580">
        <v>22.377020000000002</v>
      </c>
      <c r="T9580">
        <v>2571.2820000000002</v>
      </c>
      <c r="U9580">
        <v>487.73329999999999</v>
      </c>
      <c r="V9580">
        <v>14.14912</v>
      </c>
      <c r="W9580">
        <v>72.850880000000004</v>
      </c>
      <c r="X9580">
        <v>1319.5329999999999</v>
      </c>
      <c r="Y9580">
        <v>70.97193</v>
      </c>
      <c r="Z9580">
        <v>196.97190000000001</v>
      </c>
      <c r="AA9580">
        <v>1228.7329999999999</v>
      </c>
      <c r="AB9580">
        <v>4.6866669999999999</v>
      </c>
      <c r="AC9580">
        <v>1.0160370000000001</v>
      </c>
      <c r="AD9580">
        <v>5.1242900000000002</v>
      </c>
      <c r="AE9580">
        <v>0.56256379999999995</v>
      </c>
      <c r="AF9580">
        <v>540.52459999999996</v>
      </c>
      <c r="AG9580">
        <f>IFERROR(AH9580*0.1, "N/A")</f>
        <v>5.0661400000000008</v>
      </c>
      <c r="AH9580">
        <v>50.6614</v>
      </c>
      <c r="AI9580">
        <v>159.97049999999999</v>
      </c>
      <c r="AJ9580">
        <v>35.731580000000001</v>
      </c>
      <c r="AK9580">
        <v>40.843859999999999</v>
      </c>
    </row>
    <row r="9581" spans="1:37" x14ac:dyDescent="0.3">
      <c r="A9581">
        <v>9580</v>
      </c>
      <c r="B9581">
        <v>0</v>
      </c>
      <c r="C9581">
        <v>10.6167</v>
      </c>
      <c r="D9581">
        <v>4.2333299999999996</v>
      </c>
      <c r="E9581" t="s">
        <v>14536</v>
      </c>
      <c r="F9581" t="s">
        <v>14539</v>
      </c>
      <c r="G9581" t="s">
        <v>2420</v>
      </c>
      <c r="H9581">
        <v>1990</v>
      </c>
      <c r="I9581">
        <v>24.177019999999999</v>
      </c>
      <c r="J9581">
        <v>8.4850879999999993</v>
      </c>
      <c r="K9581">
        <v>67.673680000000004</v>
      </c>
      <c r="L9581">
        <v>12.1853</v>
      </c>
      <c r="M9581">
        <v>30.912459999999999</v>
      </c>
      <c r="N9581">
        <v>18.47702</v>
      </c>
      <c r="O9581">
        <v>12.43544</v>
      </c>
      <c r="P9581">
        <v>22.961749999999999</v>
      </c>
      <c r="Q9581">
        <v>25.294740000000001</v>
      </c>
      <c r="R9581">
        <v>25.394739999999999</v>
      </c>
      <c r="S9581">
        <v>22.377020000000002</v>
      </c>
      <c r="T9581">
        <v>2571.2820000000002</v>
      </c>
      <c r="U9581">
        <v>487.73329999999999</v>
      </c>
      <c r="V9581">
        <v>14.14912</v>
      </c>
      <c r="W9581">
        <v>72.850880000000004</v>
      </c>
      <c r="X9581">
        <v>1319.5329999999999</v>
      </c>
      <c r="Y9581">
        <v>70.97193</v>
      </c>
      <c r="Z9581">
        <v>196.97190000000001</v>
      </c>
      <c r="AA9581">
        <v>1228.7329999999999</v>
      </c>
      <c r="AB9581">
        <v>4.6866669999999999</v>
      </c>
      <c r="AC9581">
        <v>1.0160370000000001</v>
      </c>
      <c r="AD9581">
        <v>5.1242900000000002</v>
      </c>
      <c r="AE9581">
        <v>0.56256379999999995</v>
      </c>
      <c r="AF9581">
        <v>540.52459999999996</v>
      </c>
      <c r="AG9581">
        <f>IFERROR(AH9581*0.1, "N/A")</f>
        <v>5.0661400000000008</v>
      </c>
      <c r="AH9581">
        <v>50.6614</v>
      </c>
      <c r="AI9581">
        <v>159.97049999999999</v>
      </c>
      <c r="AJ9581">
        <v>35.731580000000001</v>
      </c>
      <c r="AK9581">
        <v>40.843859999999999</v>
      </c>
    </row>
    <row r="9582" spans="1:37" x14ac:dyDescent="0.3">
      <c r="A9582">
        <v>9581</v>
      </c>
      <c r="B9582">
        <v>5.8</v>
      </c>
      <c r="C9582">
        <v>13.45</v>
      </c>
      <c r="D9582">
        <v>4.2416700000000001</v>
      </c>
      <c r="E9582" t="s">
        <v>14540</v>
      </c>
      <c r="F9582" t="s">
        <v>14541</v>
      </c>
      <c r="G9582" t="s">
        <v>39</v>
      </c>
      <c r="H9582">
        <v>1990</v>
      </c>
      <c r="I9582">
        <v>23.727270000000001</v>
      </c>
      <c r="J9582">
        <v>9.9</v>
      </c>
      <c r="K9582">
        <v>79</v>
      </c>
      <c r="L9582">
        <v>6.9527619999999999</v>
      </c>
      <c r="M9582">
        <v>30.227270000000001</v>
      </c>
      <c r="N9582">
        <v>17.759789999999999</v>
      </c>
      <c r="O9582">
        <v>12.46748</v>
      </c>
      <c r="P9582">
        <v>23.159790000000001</v>
      </c>
      <c r="Q9582">
        <v>23.623429999999999</v>
      </c>
      <c r="R9582">
        <v>24.627269999999999</v>
      </c>
      <c r="S9582">
        <v>22.959790000000002</v>
      </c>
      <c r="T9582">
        <v>1535.722</v>
      </c>
      <c r="U9582">
        <v>273.10660000000001</v>
      </c>
      <c r="V9582">
        <v>28</v>
      </c>
      <c r="W9582">
        <v>57.67483</v>
      </c>
      <c r="X9582">
        <v>610.48599999999999</v>
      </c>
      <c r="Y9582">
        <v>97.363640000000004</v>
      </c>
      <c r="Z9582">
        <v>468.50869999999998</v>
      </c>
      <c r="AA9582">
        <v>380</v>
      </c>
      <c r="AB9582">
        <v>42.717660000000002</v>
      </c>
      <c r="AC9582">
        <v>8.6441390000000003E-3</v>
      </c>
      <c r="AD9582">
        <v>6.058344</v>
      </c>
      <c r="AE9582">
        <v>0.51317659999999998</v>
      </c>
      <c r="AF9582">
        <v>648.00699999999995</v>
      </c>
      <c r="AG9582">
        <f>IFERROR(AH9582*0.1, "N/A")</f>
        <v>5.3709790000000002</v>
      </c>
      <c r="AH9582">
        <v>53.709789999999998</v>
      </c>
      <c r="AI9582">
        <v>142.47069999999999</v>
      </c>
      <c r="AJ9582">
        <v>32.379370000000002</v>
      </c>
      <c r="AK9582">
        <v>50.882869999999997</v>
      </c>
    </row>
    <row r="9583" spans="1:37" x14ac:dyDescent="0.3">
      <c r="A9583">
        <v>9582</v>
      </c>
      <c r="B9583">
        <v>0</v>
      </c>
      <c r="C9583">
        <v>13.45</v>
      </c>
      <c r="D9583">
        <v>4.2416700000000001</v>
      </c>
      <c r="E9583" t="s">
        <v>14540</v>
      </c>
      <c r="F9583" t="s">
        <v>14542</v>
      </c>
      <c r="G9583" t="s">
        <v>37</v>
      </c>
      <c r="H9583">
        <v>1990</v>
      </c>
      <c r="I9583">
        <v>23.727270000000001</v>
      </c>
      <c r="J9583">
        <v>9.9</v>
      </c>
      <c r="K9583">
        <v>79</v>
      </c>
      <c r="L9583">
        <v>6.9527619999999999</v>
      </c>
      <c r="M9583">
        <v>30.227270000000001</v>
      </c>
      <c r="N9583">
        <v>17.759789999999999</v>
      </c>
      <c r="O9583">
        <v>12.46748</v>
      </c>
      <c r="P9583">
        <v>23.159790000000001</v>
      </c>
      <c r="Q9583">
        <v>23.623429999999999</v>
      </c>
      <c r="R9583">
        <v>24.627269999999999</v>
      </c>
      <c r="S9583">
        <v>22.959790000000002</v>
      </c>
      <c r="T9583">
        <v>1535.722</v>
      </c>
      <c r="U9583">
        <v>273.10660000000001</v>
      </c>
      <c r="V9583">
        <v>28</v>
      </c>
      <c r="W9583">
        <v>57.67483</v>
      </c>
      <c r="X9583">
        <v>610.48599999999999</v>
      </c>
      <c r="Y9583">
        <v>97.363640000000004</v>
      </c>
      <c r="Z9583">
        <v>468.50869999999998</v>
      </c>
      <c r="AA9583">
        <v>380</v>
      </c>
      <c r="AB9583">
        <v>42.717660000000002</v>
      </c>
      <c r="AC9583">
        <v>8.6441390000000003E-3</v>
      </c>
      <c r="AD9583">
        <v>6.058344</v>
      </c>
      <c r="AE9583">
        <v>0.51317659999999998</v>
      </c>
      <c r="AF9583">
        <v>648.00699999999995</v>
      </c>
      <c r="AG9583">
        <f>IFERROR(AH9583*0.1, "N/A")</f>
        <v>5.3709790000000002</v>
      </c>
      <c r="AH9583">
        <v>53.709789999999998</v>
      </c>
      <c r="AI9583">
        <v>142.47069999999999</v>
      </c>
      <c r="AJ9583">
        <v>32.379370000000002</v>
      </c>
      <c r="AK9583">
        <v>50.882869999999997</v>
      </c>
    </row>
    <row r="9584" spans="1:37" x14ac:dyDescent="0.3">
      <c r="A9584">
        <v>9583</v>
      </c>
      <c r="B9584">
        <v>2.2000000000000002</v>
      </c>
      <c r="C9584">
        <v>13.45</v>
      </c>
      <c r="D9584">
        <v>4.2416700000000001</v>
      </c>
      <c r="E9584" t="s">
        <v>14540</v>
      </c>
      <c r="F9584" t="s">
        <v>14543</v>
      </c>
      <c r="G9584" t="s">
        <v>2420</v>
      </c>
      <c r="H9584">
        <v>1990</v>
      </c>
      <c r="I9584">
        <v>23.727270000000001</v>
      </c>
      <c r="J9584">
        <v>9.9</v>
      </c>
      <c r="K9584">
        <v>79</v>
      </c>
      <c r="L9584">
        <v>6.9527619999999999</v>
      </c>
      <c r="M9584">
        <v>30.227270000000001</v>
      </c>
      <c r="N9584">
        <v>17.759789999999999</v>
      </c>
      <c r="O9584">
        <v>12.46748</v>
      </c>
      <c r="P9584">
        <v>23.159790000000001</v>
      </c>
      <c r="Q9584">
        <v>23.623429999999999</v>
      </c>
      <c r="R9584">
        <v>24.627269999999999</v>
      </c>
      <c r="S9584">
        <v>22.959790000000002</v>
      </c>
      <c r="T9584">
        <v>1535.722</v>
      </c>
      <c r="U9584">
        <v>273.10660000000001</v>
      </c>
      <c r="V9584">
        <v>28</v>
      </c>
      <c r="W9584">
        <v>57.67483</v>
      </c>
      <c r="X9584">
        <v>610.48599999999999</v>
      </c>
      <c r="Y9584">
        <v>97.363640000000004</v>
      </c>
      <c r="Z9584">
        <v>468.50869999999998</v>
      </c>
      <c r="AA9584">
        <v>380</v>
      </c>
      <c r="AB9584">
        <v>42.717660000000002</v>
      </c>
      <c r="AC9584">
        <v>8.6441390000000003E-3</v>
      </c>
      <c r="AD9584">
        <v>6.058344</v>
      </c>
      <c r="AE9584">
        <v>0.51317659999999998</v>
      </c>
      <c r="AF9584">
        <v>648.00699999999995</v>
      </c>
      <c r="AG9584">
        <f>IFERROR(AH9584*0.1, "N/A")</f>
        <v>5.3709790000000002</v>
      </c>
      <c r="AH9584">
        <v>53.709789999999998</v>
      </c>
      <c r="AI9584">
        <v>142.47069999999999</v>
      </c>
      <c r="AJ9584">
        <v>32.379370000000002</v>
      </c>
      <c r="AK9584">
        <v>50.882869999999997</v>
      </c>
    </row>
    <row r="9585" spans="1:37" x14ac:dyDescent="0.3">
      <c r="A9585">
        <v>9584</v>
      </c>
      <c r="B9585">
        <v>0</v>
      </c>
      <c r="C9585">
        <v>11.2056</v>
      </c>
      <c r="D9585">
        <v>4.25556</v>
      </c>
      <c r="E9585" t="s">
        <v>14544</v>
      </c>
      <c r="F9585" t="s">
        <v>14545</v>
      </c>
      <c r="G9585" t="s">
        <v>39</v>
      </c>
      <c r="H9585">
        <v>1990</v>
      </c>
      <c r="I9585">
        <v>25.4</v>
      </c>
      <c r="J9585">
        <v>8.8000000000000007</v>
      </c>
      <c r="K9585">
        <v>74</v>
      </c>
      <c r="L9585">
        <v>9.4700000000000006</v>
      </c>
      <c r="M9585">
        <v>31.9</v>
      </c>
      <c r="N9585">
        <v>20.100000000000001</v>
      </c>
      <c r="O9585">
        <v>11.8</v>
      </c>
      <c r="P9585">
        <v>24.3</v>
      </c>
      <c r="Q9585">
        <v>26.3</v>
      </c>
      <c r="R9585">
        <v>26.4</v>
      </c>
      <c r="S9585">
        <v>24.1</v>
      </c>
      <c r="T9585">
        <v>1784</v>
      </c>
      <c r="U9585">
        <v>317</v>
      </c>
      <c r="V9585">
        <v>15</v>
      </c>
      <c r="W9585">
        <v>64</v>
      </c>
      <c r="X9585">
        <v>794</v>
      </c>
      <c r="Y9585">
        <v>70</v>
      </c>
      <c r="Z9585">
        <v>351</v>
      </c>
      <c r="AA9585">
        <v>598</v>
      </c>
      <c r="AB9585">
        <v>16.805800000000001</v>
      </c>
      <c r="AC9585">
        <v>2.1124609999999999E-2</v>
      </c>
      <c r="AD9585">
        <v>4.3381930000000004</v>
      </c>
      <c r="AE9585">
        <v>0.67372279999999996</v>
      </c>
      <c r="AF9585">
        <v>406.44459999999998</v>
      </c>
      <c r="AG9585">
        <f>IFERROR(AH9585*0.1, "N/A")</f>
        <v>5.4569420000000006</v>
      </c>
      <c r="AH9585">
        <v>54.569420000000001</v>
      </c>
      <c r="AI9585">
        <v>234.37270000000001</v>
      </c>
      <c r="AJ9585">
        <v>24.138839999999998</v>
      </c>
      <c r="AK9585">
        <v>58.145870000000002</v>
      </c>
    </row>
    <row r="9586" spans="1:37" x14ac:dyDescent="0.3">
      <c r="A9586">
        <v>9585</v>
      </c>
      <c r="B9586">
        <v>3.7</v>
      </c>
      <c r="C9586">
        <v>11.2056</v>
      </c>
      <c r="D9586">
        <v>4.25556</v>
      </c>
      <c r="E9586" t="s">
        <v>14544</v>
      </c>
      <c r="F9586" t="s">
        <v>14546</v>
      </c>
      <c r="G9586" t="s">
        <v>37</v>
      </c>
      <c r="H9586">
        <v>1990</v>
      </c>
      <c r="I9586">
        <v>25.4</v>
      </c>
      <c r="J9586">
        <v>8.8000000000000007</v>
      </c>
      <c r="K9586">
        <v>74</v>
      </c>
      <c r="L9586">
        <v>9.4700000000000006</v>
      </c>
      <c r="M9586">
        <v>31.9</v>
      </c>
      <c r="N9586">
        <v>20.100000000000001</v>
      </c>
      <c r="O9586">
        <v>11.8</v>
      </c>
      <c r="P9586">
        <v>24.3</v>
      </c>
      <c r="Q9586">
        <v>26.3</v>
      </c>
      <c r="R9586">
        <v>26.4</v>
      </c>
      <c r="S9586">
        <v>24.1</v>
      </c>
      <c r="T9586">
        <v>1784</v>
      </c>
      <c r="U9586">
        <v>317</v>
      </c>
      <c r="V9586">
        <v>15</v>
      </c>
      <c r="W9586">
        <v>64</v>
      </c>
      <c r="X9586">
        <v>794</v>
      </c>
      <c r="Y9586">
        <v>70</v>
      </c>
      <c r="Z9586">
        <v>351</v>
      </c>
      <c r="AA9586">
        <v>598</v>
      </c>
      <c r="AB9586">
        <v>16.805800000000001</v>
      </c>
      <c r="AC9586">
        <v>2.1124609999999999E-2</v>
      </c>
      <c r="AD9586">
        <v>4.3381930000000004</v>
      </c>
      <c r="AE9586">
        <v>0.67372279999999996</v>
      </c>
      <c r="AF9586">
        <v>406.44459999999998</v>
      </c>
      <c r="AG9586">
        <f>IFERROR(AH9586*0.1, "N/A")</f>
        <v>5.4569420000000006</v>
      </c>
      <c r="AH9586">
        <v>54.569420000000001</v>
      </c>
      <c r="AI9586">
        <v>234.37270000000001</v>
      </c>
      <c r="AJ9586">
        <v>24.138839999999998</v>
      </c>
      <c r="AK9586">
        <v>58.145870000000002</v>
      </c>
    </row>
    <row r="9587" spans="1:37" x14ac:dyDescent="0.3">
      <c r="A9587">
        <v>9586</v>
      </c>
      <c r="B9587">
        <v>0</v>
      </c>
      <c r="C9587">
        <v>11.2056</v>
      </c>
      <c r="D9587">
        <v>4.25556</v>
      </c>
      <c r="E9587" t="s">
        <v>14544</v>
      </c>
      <c r="F9587" t="s">
        <v>14547</v>
      </c>
      <c r="G9587" t="s">
        <v>2420</v>
      </c>
      <c r="H9587">
        <v>1990</v>
      </c>
      <c r="I9587">
        <v>25.4</v>
      </c>
      <c r="J9587">
        <v>8.8000000000000007</v>
      </c>
      <c r="K9587">
        <v>74</v>
      </c>
      <c r="L9587">
        <v>9.4700000000000006</v>
      </c>
      <c r="M9587">
        <v>31.9</v>
      </c>
      <c r="N9587">
        <v>20.100000000000001</v>
      </c>
      <c r="O9587">
        <v>11.8</v>
      </c>
      <c r="P9587">
        <v>24.3</v>
      </c>
      <c r="Q9587">
        <v>26.3</v>
      </c>
      <c r="R9587">
        <v>26.4</v>
      </c>
      <c r="S9587">
        <v>24.1</v>
      </c>
      <c r="T9587">
        <v>1784</v>
      </c>
      <c r="U9587">
        <v>317</v>
      </c>
      <c r="V9587">
        <v>15</v>
      </c>
      <c r="W9587">
        <v>64</v>
      </c>
      <c r="X9587">
        <v>794</v>
      </c>
      <c r="Y9587">
        <v>70</v>
      </c>
      <c r="Z9587">
        <v>351</v>
      </c>
      <c r="AA9587">
        <v>598</v>
      </c>
      <c r="AB9587">
        <v>16.805800000000001</v>
      </c>
      <c r="AC9587">
        <v>2.1124609999999999E-2</v>
      </c>
      <c r="AD9587">
        <v>4.3381930000000004</v>
      </c>
      <c r="AE9587">
        <v>0.67372279999999996</v>
      </c>
      <c r="AF9587">
        <v>406.44459999999998</v>
      </c>
      <c r="AG9587">
        <f>IFERROR(AH9587*0.1, "N/A")</f>
        <v>5.4569420000000006</v>
      </c>
      <c r="AH9587">
        <v>54.569420000000001</v>
      </c>
      <c r="AI9587">
        <v>234.37270000000001</v>
      </c>
      <c r="AJ9587">
        <v>24.138839999999998</v>
      </c>
      <c r="AK9587">
        <v>58.145870000000002</v>
      </c>
    </row>
    <row r="9588" spans="1:37" x14ac:dyDescent="0.3">
      <c r="A9588">
        <v>9587</v>
      </c>
      <c r="B9588">
        <v>0.9</v>
      </c>
      <c r="C9588">
        <v>11.4139</v>
      </c>
      <c r="D9588">
        <v>4.2611100000000004</v>
      </c>
      <c r="E9588" t="s">
        <v>14548</v>
      </c>
      <c r="F9588" t="s">
        <v>14549</v>
      </c>
      <c r="G9588" t="s">
        <v>37</v>
      </c>
      <c r="H9588">
        <v>1990</v>
      </c>
      <c r="I9588">
        <v>24.9</v>
      </c>
      <c r="J9588">
        <v>9.1</v>
      </c>
      <c r="K9588">
        <v>77</v>
      </c>
      <c r="L9588">
        <v>8.57</v>
      </c>
      <c r="M9588">
        <v>31.4</v>
      </c>
      <c r="N9588">
        <v>19.600000000000001</v>
      </c>
      <c r="O9588">
        <v>11.8</v>
      </c>
      <c r="P9588">
        <v>23.9</v>
      </c>
      <c r="Q9588">
        <v>25.6</v>
      </c>
      <c r="R9588">
        <v>25.8</v>
      </c>
      <c r="S9588">
        <v>23.7</v>
      </c>
      <c r="T9588">
        <v>1663</v>
      </c>
      <c r="U9588">
        <v>299</v>
      </c>
      <c r="V9588">
        <v>15</v>
      </c>
      <c r="W9588">
        <v>63</v>
      </c>
      <c r="X9588">
        <v>706</v>
      </c>
      <c r="Y9588">
        <v>77</v>
      </c>
      <c r="Z9588">
        <v>354</v>
      </c>
      <c r="AA9588">
        <v>503</v>
      </c>
      <c r="AB9588">
        <v>11.146240000000001</v>
      </c>
      <c r="AC9588">
        <v>9.1069489999999996E-3</v>
      </c>
      <c r="AD9588">
        <v>3.1130870000000002</v>
      </c>
      <c r="AE9588">
        <v>0.28483760000000002</v>
      </c>
      <c r="AF9588">
        <v>509.93169999999998</v>
      </c>
      <c r="AG9588">
        <f>IFERROR(AH9588*0.1, "N/A")</f>
        <v>5.457968000000001</v>
      </c>
      <c r="AH9588">
        <v>54.579680000000003</v>
      </c>
      <c r="AI9588">
        <v>253.65</v>
      </c>
      <c r="AJ9588">
        <v>30.28021</v>
      </c>
      <c r="AK9588">
        <v>53.85989</v>
      </c>
    </row>
    <row r="9589" spans="1:37" x14ac:dyDescent="0.3">
      <c r="A9589">
        <v>9588</v>
      </c>
      <c r="B9589">
        <v>0</v>
      </c>
      <c r="C9589">
        <v>11.4139</v>
      </c>
      <c r="D9589">
        <v>4.2611100000000004</v>
      </c>
      <c r="E9589" t="s">
        <v>14548</v>
      </c>
      <c r="F9589" t="s">
        <v>14550</v>
      </c>
      <c r="G9589" t="s">
        <v>2420</v>
      </c>
      <c r="H9589">
        <v>1990</v>
      </c>
      <c r="I9589">
        <v>24.9</v>
      </c>
      <c r="J9589">
        <v>9.1</v>
      </c>
      <c r="K9589">
        <v>77</v>
      </c>
      <c r="L9589">
        <v>8.57</v>
      </c>
      <c r="M9589">
        <v>31.4</v>
      </c>
      <c r="N9589">
        <v>19.600000000000001</v>
      </c>
      <c r="O9589">
        <v>11.8</v>
      </c>
      <c r="P9589">
        <v>23.9</v>
      </c>
      <c r="Q9589">
        <v>25.6</v>
      </c>
      <c r="R9589">
        <v>25.8</v>
      </c>
      <c r="S9589">
        <v>23.7</v>
      </c>
      <c r="T9589">
        <v>1663</v>
      </c>
      <c r="U9589">
        <v>299</v>
      </c>
      <c r="V9589">
        <v>15</v>
      </c>
      <c r="W9589">
        <v>63</v>
      </c>
      <c r="X9589">
        <v>706</v>
      </c>
      <c r="Y9589">
        <v>77</v>
      </c>
      <c r="Z9589">
        <v>354</v>
      </c>
      <c r="AA9589">
        <v>503</v>
      </c>
      <c r="AB9589">
        <v>11.146240000000001</v>
      </c>
      <c r="AC9589">
        <v>9.1069489999999996E-3</v>
      </c>
      <c r="AD9589">
        <v>3.1130870000000002</v>
      </c>
      <c r="AE9589">
        <v>0.28483760000000002</v>
      </c>
      <c r="AF9589">
        <v>509.93169999999998</v>
      </c>
      <c r="AG9589">
        <f>IFERROR(AH9589*0.1, "N/A")</f>
        <v>5.457968000000001</v>
      </c>
      <c r="AH9589">
        <v>54.579680000000003</v>
      </c>
      <c r="AI9589">
        <v>253.65</v>
      </c>
      <c r="AJ9589">
        <v>30.28021</v>
      </c>
      <c r="AK9589">
        <v>53.85989</v>
      </c>
    </row>
    <row r="9590" spans="1:37" x14ac:dyDescent="0.3">
      <c r="A9590">
        <v>9589</v>
      </c>
      <c r="B9590">
        <v>2.2999999999999998</v>
      </c>
      <c r="C9590">
        <v>10.958299999999999</v>
      </c>
      <c r="D9590">
        <v>4.26389</v>
      </c>
      <c r="E9590" t="s">
        <v>14551</v>
      </c>
      <c r="F9590" t="s">
        <v>14552</v>
      </c>
      <c r="G9590" t="s">
        <v>37</v>
      </c>
      <c r="H9590">
        <v>1990</v>
      </c>
      <c r="I9590">
        <v>24.65849</v>
      </c>
      <c r="J9590">
        <v>8.6999999999999993</v>
      </c>
      <c r="K9590">
        <v>71</v>
      </c>
      <c r="L9590">
        <v>10.663489999999999</v>
      </c>
      <c r="M9590">
        <v>31.35849</v>
      </c>
      <c r="N9590">
        <v>19.187740000000002</v>
      </c>
      <c r="O9590">
        <v>12.17075</v>
      </c>
      <c r="P9590">
        <v>23.51699</v>
      </c>
      <c r="Q9590">
        <v>25.65849</v>
      </c>
      <c r="R9590">
        <v>25.787739999999999</v>
      </c>
      <c r="S9590">
        <v>23.187740000000002</v>
      </c>
      <c r="T9590">
        <v>2035.905</v>
      </c>
      <c r="U9590">
        <v>362.83010000000002</v>
      </c>
      <c r="V9590">
        <v>14.29247</v>
      </c>
      <c r="W9590">
        <v>65.292469999999994</v>
      </c>
      <c r="X9590">
        <v>968.49040000000002</v>
      </c>
      <c r="Y9590">
        <v>68</v>
      </c>
      <c r="Z9590">
        <v>237.8424</v>
      </c>
      <c r="AA9590">
        <v>753.30820000000006</v>
      </c>
      <c r="AB9590">
        <v>20.88477</v>
      </c>
      <c r="AC9590">
        <v>3.8950659999999998E-2</v>
      </c>
      <c r="AD9590">
        <v>7.8104500000000003</v>
      </c>
      <c r="AE9590">
        <v>0.16559119999999999</v>
      </c>
      <c r="AF9590">
        <v>507.19439999999997</v>
      </c>
      <c r="AG9590">
        <f>IFERROR(AH9590*0.1, "N/A")</f>
        <v>5.1504380000000003</v>
      </c>
      <c r="AH9590">
        <v>51.504379999999998</v>
      </c>
      <c r="AI9590">
        <v>129.25550000000001</v>
      </c>
      <c r="AJ9590">
        <v>34.803849999999997</v>
      </c>
      <c r="AK9590">
        <v>51.621720000000003</v>
      </c>
    </row>
    <row r="9591" spans="1:37" x14ac:dyDescent="0.3">
      <c r="A9591">
        <v>9590</v>
      </c>
      <c r="B9591">
        <v>0</v>
      </c>
      <c r="C9591">
        <v>10.958299999999999</v>
      </c>
      <c r="D9591">
        <v>4.26389</v>
      </c>
      <c r="E9591" t="s">
        <v>14551</v>
      </c>
      <c r="F9591" t="s">
        <v>14553</v>
      </c>
      <c r="G9591" t="s">
        <v>2420</v>
      </c>
      <c r="H9591">
        <v>1990</v>
      </c>
      <c r="I9591">
        <v>24.65849</v>
      </c>
      <c r="J9591">
        <v>8.6999999999999993</v>
      </c>
      <c r="K9591">
        <v>71</v>
      </c>
      <c r="L9591">
        <v>10.663489999999999</v>
      </c>
      <c r="M9591">
        <v>31.35849</v>
      </c>
      <c r="N9591">
        <v>19.187740000000002</v>
      </c>
      <c r="O9591">
        <v>12.17075</v>
      </c>
      <c r="P9591">
        <v>23.51699</v>
      </c>
      <c r="Q9591">
        <v>25.65849</v>
      </c>
      <c r="R9591">
        <v>25.787739999999999</v>
      </c>
      <c r="S9591">
        <v>23.187740000000002</v>
      </c>
      <c r="T9591">
        <v>2035.905</v>
      </c>
      <c r="U9591">
        <v>362.83010000000002</v>
      </c>
      <c r="V9591">
        <v>14.29247</v>
      </c>
      <c r="W9591">
        <v>65.292469999999994</v>
      </c>
      <c r="X9591">
        <v>968.49040000000002</v>
      </c>
      <c r="Y9591">
        <v>68</v>
      </c>
      <c r="Z9591">
        <v>237.8424</v>
      </c>
      <c r="AA9591">
        <v>753.30820000000006</v>
      </c>
      <c r="AB9591">
        <v>20.88477</v>
      </c>
      <c r="AC9591">
        <v>3.8950659999999998E-2</v>
      </c>
      <c r="AD9591">
        <v>7.8104500000000003</v>
      </c>
      <c r="AE9591">
        <v>0.16559119999999999</v>
      </c>
      <c r="AF9591">
        <v>507.19439999999997</v>
      </c>
      <c r="AG9591">
        <f>IFERROR(AH9591*0.1, "N/A")</f>
        <v>5.1504380000000003</v>
      </c>
      <c r="AH9591">
        <v>51.504379999999998</v>
      </c>
      <c r="AI9591">
        <v>129.25550000000001</v>
      </c>
      <c r="AJ9591">
        <v>34.803849999999997</v>
      </c>
      <c r="AK9591">
        <v>51.621720000000003</v>
      </c>
    </row>
    <row r="9592" spans="1:37" x14ac:dyDescent="0.3">
      <c r="A9592">
        <v>9591</v>
      </c>
      <c r="B9592">
        <v>0</v>
      </c>
      <c r="C9592">
        <v>14.05</v>
      </c>
      <c r="D9592">
        <v>4.2666700000000004</v>
      </c>
      <c r="E9592" t="s">
        <v>14554</v>
      </c>
      <c r="F9592" t="s">
        <v>14555</v>
      </c>
      <c r="G9592" t="s">
        <v>39</v>
      </c>
      <c r="H9592">
        <v>1990</v>
      </c>
      <c r="I9592">
        <v>23.81719</v>
      </c>
      <c r="J9592">
        <v>10.3</v>
      </c>
      <c r="K9592">
        <v>76.247370000000004</v>
      </c>
      <c r="L9592">
        <v>7.1551749999999998</v>
      </c>
      <c r="M9592">
        <v>30.617190000000001</v>
      </c>
      <c r="N9592">
        <v>17.24193</v>
      </c>
      <c r="O9592">
        <v>13.375260000000001</v>
      </c>
      <c r="P9592">
        <v>23.4</v>
      </c>
      <c r="Q9592">
        <v>23.541930000000001</v>
      </c>
      <c r="R9592">
        <v>24.8</v>
      </c>
      <c r="S9592">
        <v>23.1</v>
      </c>
      <c r="T9592">
        <v>1529.2460000000001</v>
      </c>
      <c r="U9592">
        <v>261.02109999999999</v>
      </c>
      <c r="V9592">
        <v>25</v>
      </c>
      <c r="W9592">
        <v>54</v>
      </c>
      <c r="X9592">
        <v>618.28949999999998</v>
      </c>
      <c r="Y9592">
        <v>100</v>
      </c>
      <c r="Z9592">
        <v>443.1825</v>
      </c>
      <c r="AA9592">
        <v>468.26839999999999</v>
      </c>
      <c r="AB9592">
        <v>19.299119999999998</v>
      </c>
      <c r="AC9592">
        <v>1.1710160000000001E-2</v>
      </c>
      <c r="AD9592">
        <v>2.8250359999999999</v>
      </c>
      <c r="AE9592">
        <v>0.22256719999999999</v>
      </c>
      <c r="AF9592">
        <v>632.59649999999999</v>
      </c>
      <c r="AG9592">
        <f>IFERROR(AH9592*0.1, "N/A")</f>
        <v>5.3935090000000008</v>
      </c>
      <c r="AH9592">
        <v>53.935090000000002</v>
      </c>
      <c r="AI9592">
        <v>160.86940000000001</v>
      </c>
      <c r="AJ9592">
        <v>34.642110000000002</v>
      </c>
      <c r="AK9592">
        <v>51.357889999999998</v>
      </c>
    </row>
    <row r="9593" spans="1:37" x14ac:dyDescent="0.3">
      <c r="A9593">
        <v>9592</v>
      </c>
      <c r="B9593">
        <v>0</v>
      </c>
      <c r="C9593">
        <v>14.05</v>
      </c>
      <c r="D9593">
        <v>4.2666700000000004</v>
      </c>
      <c r="E9593" t="s">
        <v>14554</v>
      </c>
      <c r="F9593" t="s">
        <v>14556</v>
      </c>
      <c r="G9593" t="s">
        <v>37</v>
      </c>
      <c r="H9593">
        <v>1990</v>
      </c>
      <c r="I9593">
        <v>23.81719</v>
      </c>
      <c r="J9593">
        <v>10.3</v>
      </c>
      <c r="K9593">
        <v>76.247370000000004</v>
      </c>
      <c r="L9593">
        <v>7.1551749999999998</v>
      </c>
      <c r="M9593">
        <v>30.617190000000001</v>
      </c>
      <c r="N9593">
        <v>17.24193</v>
      </c>
      <c r="O9593">
        <v>13.375260000000001</v>
      </c>
      <c r="P9593">
        <v>23.4</v>
      </c>
      <c r="Q9593">
        <v>23.541930000000001</v>
      </c>
      <c r="R9593">
        <v>24.8</v>
      </c>
      <c r="S9593">
        <v>23.1</v>
      </c>
      <c r="T9593">
        <v>1529.2460000000001</v>
      </c>
      <c r="U9593">
        <v>261.02109999999999</v>
      </c>
      <c r="V9593">
        <v>25</v>
      </c>
      <c r="W9593">
        <v>54</v>
      </c>
      <c r="X9593">
        <v>618.28949999999998</v>
      </c>
      <c r="Y9593">
        <v>100</v>
      </c>
      <c r="Z9593">
        <v>443.1825</v>
      </c>
      <c r="AA9593">
        <v>468.26839999999999</v>
      </c>
      <c r="AB9593">
        <v>19.299119999999998</v>
      </c>
      <c r="AC9593">
        <v>1.1710160000000001E-2</v>
      </c>
      <c r="AD9593">
        <v>2.8250359999999999</v>
      </c>
      <c r="AE9593">
        <v>0.22256719999999999</v>
      </c>
      <c r="AF9593">
        <v>632.59649999999999</v>
      </c>
      <c r="AG9593">
        <f>IFERROR(AH9593*0.1, "N/A")</f>
        <v>5.3935090000000008</v>
      </c>
      <c r="AH9593">
        <v>53.935090000000002</v>
      </c>
      <c r="AI9593">
        <v>160.86940000000001</v>
      </c>
      <c r="AJ9593">
        <v>34.642110000000002</v>
      </c>
      <c r="AK9593">
        <v>51.357889999999998</v>
      </c>
    </row>
    <row r="9594" spans="1:37" x14ac:dyDescent="0.3">
      <c r="A9594">
        <v>9593</v>
      </c>
      <c r="B9594">
        <v>0</v>
      </c>
      <c r="C9594">
        <v>14.05</v>
      </c>
      <c r="D9594">
        <v>4.2666700000000004</v>
      </c>
      <c r="E9594" t="s">
        <v>14554</v>
      </c>
      <c r="F9594" t="s">
        <v>14557</v>
      </c>
      <c r="G9594" t="s">
        <v>2420</v>
      </c>
      <c r="H9594">
        <v>1990</v>
      </c>
      <c r="I9594">
        <v>23.81719</v>
      </c>
      <c r="J9594">
        <v>10.3</v>
      </c>
      <c r="K9594">
        <v>76.247370000000004</v>
      </c>
      <c r="L9594">
        <v>7.1551749999999998</v>
      </c>
      <c r="M9594">
        <v>30.617190000000001</v>
      </c>
      <c r="N9594">
        <v>17.24193</v>
      </c>
      <c r="O9594">
        <v>13.375260000000001</v>
      </c>
      <c r="P9594">
        <v>23.4</v>
      </c>
      <c r="Q9594">
        <v>23.541930000000001</v>
      </c>
      <c r="R9594">
        <v>24.8</v>
      </c>
      <c r="S9594">
        <v>23.1</v>
      </c>
      <c r="T9594">
        <v>1529.2460000000001</v>
      </c>
      <c r="U9594">
        <v>261.02109999999999</v>
      </c>
      <c r="V9594">
        <v>25</v>
      </c>
      <c r="W9594">
        <v>54</v>
      </c>
      <c r="X9594">
        <v>618.28949999999998</v>
      </c>
      <c r="Y9594">
        <v>100</v>
      </c>
      <c r="Z9594">
        <v>443.1825</v>
      </c>
      <c r="AA9594">
        <v>468.26839999999999</v>
      </c>
      <c r="AB9594">
        <v>19.299119999999998</v>
      </c>
      <c r="AC9594">
        <v>1.1710160000000001E-2</v>
      </c>
      <c r="AD9594">
        <v>2.8250359999999999</v>
      </c>
      <c r="AE9594">
        <v>0.22256719999999999</v>
      </c>
      <c r="AF9594">
        <v>632.59649999999999</v>
      </c>
      <c r="AG9594">
        <f>IFERROR(AH9594*0.1, "N/A")</f>
        <v>5.3935090000000008</v>
      </c>
      <c r="AH9594">
        <v>53.935090000000002</v>
      </c>
      <c r="AI9594">
        <v>160.86940000000001</v>
      </c>
      <c r="AJ9594">
        <v>34.642110000000002</v>
      </c>
      <c r="AK9594">
        <v>51.357889999999998</v>
      </c>
    </row>
    <row r="9595" spans="1:37" x14ac:dyDescent="0.3">
      <c r="A9595">
        <v>9594</v>
      </c>
      <c r="B9595">
        <v>0</v>
      </c>
      <c r="C9595">
        <v>10.9475</v>
      </c>
      <c r="D9595">
        <v>4.2788899999999996</v>
      </c>
      <c r="E9595" t="s">
        <v>14558</v>
      </c>
      <c r="F9595" t="s">
        <v>14559</v>
      </c>
      <c r="G9595" t="s">
        <v>39</v>
      </c>
      <c r="H9595">
        <v>1990</v>
      </c>
      <c r="I9595">
        <v>24.5</v>
      </c>
      <c r="J9595">
        <v>8.8000000000000007</v>
      </c>
      <c r="K9595">
        <v>72</v>
      </c>
      <c r="L9595">
        <v>10.94</v>
      </c>
      <c r="M9595">
        <v>31.2</v>
      </c>
      <c r="N9595">
        <v>19</v>
      </c>
      <c r="O9595">
        <v>12.2</v>
      </c>
      <c r="P9595">
        <v>23.4</v>
      </c>
      <c r="Q9595">
        <v>25.5</v>
      </c>
      <c r="R9595">
        <v>25.6</v>
      </c>
      <c r="S9595">
        <v>23</v>
      </c>
      <c r="T9595">
        <v>2047</v>
      </c>
      <c r="U9595">
        <v>366</v>
      </c>
      <c r="V9595">
        <v>14</v>
      </c>
      <c r="W9595">
        <v>66</v>
      </c>
      <c r="X9595">
        <v>979</v>
      </c>
      <c r="Y9595">
        <v>67</v>
      </c>
      <c r="Z9595">
        <v>188</v>
      </c>
      <c r="AA9595">
        <v>819</v>
      </c>
      <c r="AB9595">
        <v>62.043529999999997</v>
      </c>
      <c r="AC9595">
        <v>8.5245040000000005E-3</v>
      </c>
      <c r="AD9595">
        <v>5.473719</v>
      </c>
      <c r="AE9595">
        <v>0.2234865</v>
      </c>
      <c r="AF9595">
        <v>566.37189999999998</v>
      </c>
      <c r="AG9595">
        <f>IFERROR(AH9595*0.1, "N/A")</f>
        <v>5.0726320000000005</v>
      </c>
      <c r="AH9595">
        <v>50.726320000000001</v>
      </c>
      <c r="AI9595">
        <v>207.33269999999999</v>
      </c>
      <c r="AJ9595">
        <v>34.371929999999999</v>
      </c>
      <c r="AK9595">
        <v>50.047370000000001</v>
      </c>
    </row>
    <row r="9596" spans="1:37" x14ac:dyDescent="0.3">
      <c r="A9596">
        <v>9595</v>
      </c>
      <c r="B9596">
        <v>0</v>
      </c>
      <c r="C9596">
        <v>10.9475</v>
      </c>
      <c r="D9596">
        <v>4.2788899999999996</v>
      </c>
      <c r="E9596" t="s">
        <v>14558</v>
      </c>
      <c r="F9596" t="s">
        <v>14560</v>
      </c>
      <c r="G9596" t="s">
        <v>37</v>
      </c>
      <c r="H9596">
        <v>1990</v>
      </c>
      <c r="I9596">
        <v>24.5</v>
      </c>
      <c r="J9596">
        <v>8.8000000000000007</v>
      </c>
      <c r="K9596">
        <v>72</v>
      </c>
      <c r="L9596">
        <v>10.94</v>
      </c>
      <c r="M9596">
        <v>31.2</v>
      </c>
      <c r="N9596">
        <v>19</v>
      </c>
      <c r="O9596">
        <v>12.2</v>
      </c>
      <c r="P9596">
        <v>23.4</v>
      </c>
      <c r="Q9596">
        <v>25.5</v>
      </c>
      <c r="R9596">
        <v>25.6</v>
      </c>
      <c r="S9596">
        <v>23</v>
      </c>
      <c r="T9596">
        <v>2047</v>
      </c>
      <c r="U9596">
        <v>366</v>
      </c>
      <c r="V9596">
        <v>14</v>
      </c>
      <c r="W9596">
        <v>66</v>
      </c>
      <c r="X9596">
        <v>979</v>
      </c>
      <c r="Y9596">
        <v>67</v>
      </c>
      <c r="Z9596">
        <v>188</v>
      </c>
      <c r="AA9596">
        <v>819</v>
      </c>
      <c r="AB9596">
        <v>62.043529999999997</v>
      </c>
      <c r="AC9596">
        <v>8.5245040000000005E-3</v>
      </c>
      <c r="AD9596">
        <v>5.473719</v>
      </c>
      <c r="AE9596">
        <v>0.2234865</v>
      </c>
      <c r="AF9596">
        <v>566.37189999999998</v>
      </c>
      <c r="AG9596">
        <f>IFERROR(AH9596*0.1, "N/A")</f>
        <v>5.0726320000000005</v>
      </c>
      <c r="AH9596">
        <v>50.726320000000001</v>
      </c>
      <c r="AI9596">
        <v>207.33269999999999</v>
      </c>
      <c r="AJ9596">
        <v>34.371929999999999</v>
      </c>
      <c r="AK9596">
        <v>50.047370000000001</v>
      </c>
    </row>
    <row r="9597" spans="1:37" x14ac:dyDescent="0.3">
      <c r="A9597">
        <v>9596</v>
      </c>
      <c r="B9597">
        <v>0</v>
      </c>
      <c r="C9597">
        <v>10.9475</v>
      </c>
      <c r="D9597">
        <v>4.2788899999999996</v>
      </c>
      <c r="E9597" t="s">
        <v>14558</v>
      </c>
      <c r="F9597" t="s">
        <v>14561</v>
      </c>
      <c r="G9597" t="s">
        <v>2420</v>
      </c>
      <c r="H9597">
        <v>1990</v>
      </c>
      <c r="I9597">
        <v>24.5</v>
      </c>
      <c r="J9597">
        <v>8.8000000000000007</v>
      </c>
      <c r="K9597">
        <v>72</v>
      </c>
      <c r="L9597">
        <v>10.94</v>
      </c>
      <c r="M9597">
        <v>31.2</v>
      </c>
      <c r="N9597">
        <v>19</v>
      </c>
      <c r="O9597">
        <v>12.2</v>
      </c>
      <c r="P9597">
        <v>23.4</v>
      </c>
      <c r="Q9597">
        <v>25.5</v>
      </c>
      <c r="R9597">
        <v>25.6</v>
      </c>
      <c r="S9597">
        <v>23</v>
      </c>
      <c r="T9597">
        <v>2047</v>
      </c>
      <c r="U9597">
        <v>366</v>
      </c>
      <c r="V9597">
        <v>14</v>
      </c>
      <c r="W9597">
        <v>66</v>
      </c>
      <c r="X9597">
        <v>979</v>
      </c>
      <c r="Y9597">
        <v>67</v>
      </c>
      <c r="Z9597">
        <v>188</v>
      </c>
      <c r="AA9597">
        <v>819</v>
      </c>
      <c r="AB9597">
        <v>62.043529999999997</v>
      </c>
      <c r="AC9597">
        <v>8.5245040000000005E-3</v>
      </c>
      <c r="AD9597">
        <v>5.473719</v>
      </c>
      <c r="AE9597">
        <v>0.2234865</v>
      </c>
      <c r="AF9597">
        <v>566.37189999999998</v>
      </c>
      <c r="AG9597">
        <f>IFERROR(AH9597*0.1, "N/A")</f>
        <v>5.0726320000000005</v>
      </c>
      <c r="AH9597">
        <v>50.726320000000001</v>
      </c>
      <c r="AI9597">
        <v>207.33269999999999</v>
      </c>
      <c r="AJ9597">
        <v>34.371929999999999</v>
      </c>
      <c r="AK9597">
        <v>50.047370000000001</v>
      </c>
    </row>
    <row r="9598" spans="1:37" x14ac:dyDescent="0.3">
      <c r="A9598">
        <v>9597</v>
      </c>
      <c r="B9598">
        <v>21.2</v>
      </c>
      <c r="C9598">
        <v>11.631</v>
      </c>
      <c r="D9598">
        <v>4.2830000000000004</v>
      </c>
      <c r="E9598" t="s">
        <v>14562</v>
      </c>
      <c r="F9598" t="s">
        <v>14563</v>
      </c>
      <c r="G9598" t="s">
        <v>37</v>
      </c>
      <c r="H9598">
        <v>1987</v>
      </c>
      <c r="I9598">
        <v>25</v>
      </c>
      <c r="J9598">
        <v>9.1</v>
      </c>
      <c r="K9598">
        <v>78</v>
      </c>
      <c r="L9598">
        <v>7.937811</v>
      </c>
      <c r="M9598">
        <v>31.4</v>
      </c>
      <c r="N9598">
        <v>19.8</v>
      </c>
      <c r="O9598">
        <v>11.6</v>
      </c>
      <c r="P9598">
        <v>24.2</v>
      </c>
      <c r="Q9598">
        <v>25.636780000000002</v>
      </c>
      <c r="R9598">
        <v>25.9</v>
      </c>
      <c r="S9598">
        <v>23.9</v>
      </c>
      <c r="T9598">
        <v>1613</v>
      </c>
      <c r="U9598">
        <v>285</v>
      </c>
      <c r="V9598">
        <v>14</v>
      </c>
      <c r="W9598">
        <v>63</v>
      </c>
      <c r="X9598">
        <v>658</v>
      </c>
      <c r="Y9598">
        <v>83</v>
      </c>
      <c r="Z9598">
        <v>362</v>
      </c>
      <c r="AA9598">
        <v>350</v>
      </c>
      <c r="AB9598">
        <v>5.752008</v>
      </c>
      <c r="AC9598">
        <v>0.42452040000000002</v>
      </c>
      <c r="AD9598">
        <v>2.8254589999999999</v>
      </c>
      <c r="AE9598">
        <v>0.67310510000000001</v>
      </c>
      <c r="AF9598">
        <v>496.43430000000001</v>
      </c>
      <c r="AG9598">
        <f>IFERROR(AH9598*0.1, "N/A")</f>
        <v>5.4183890000000003</v>
      </c>
      <c r="AH9598">
        <v>54.183889999999998</v>
      </c>
      <c r="AI9598">
        <v>259.61919999999998</v>
      </c>
      <c r="AJ9598">
        <v>28.395800000000001</v>
      </c>
      <c r="AK9598">
        <v>56.183889999999998</v>
      </c>
    </row>
    <row r="9599" spans="1:37" x14ac:dyDescent="0.3">
      <c r="A9599">
        <v>9598</v>
      </c>
      <c r="B9599">
        <v>80</v>
      </c>
      <c r="C9599">
        <v>11.430999999999999</v>
      </c>
      <c r="D9599">
        <v>4.2889999999999997</v>
      </c>
      <c r="E9599" t="s">
        <v>14564</v>
      </c>
      <c r="F9599" t="s">
        <v>14565</v>
      </c>
      <c r="G9599" t="s">
        <v>37</v>
      </c>
      <c r="H9599">
        <v>1987</v>
      </c>
      <c r="I9599">
        <v>24.6</v>
      </c>
      <c r="J9599">
        <v>9.1</v>
      </c>
      <c r="K9599">
        <v>77</v>
      </c>
      <c r="L9599">
        <v>8.5399999999999991</v>
      </c>
      <c r="M9599">
        <v>31.1</v>
      </c>
      <c r="N9599">
        <v>19.399999999999999</v>
      </c>
      <c r="O9599">
        <v>11.7</v>
      </c>
      <c r="P9599">
        <v>23.7</v>
      </c>
      <c r="Q9599">
        <v>25.4</v>
      </c>
      <c r="R9599">
        <v>25.5</v>
      </c>
      <c r="S9599">
        <v>23.4</v>
      </c>
      <c r="T9599">
        <v>1651</v>
      </c>
      <c r="U9599">
        <v>297</v>
      </c>
      <c r="V9599">
        <v>15</v>
      </c>
      <c r="W9599">
        <v>63</v>
      </c>
      <c r="X9599">
        <v>701</v>
      </c>
      <c r="Y9599">
        <v>77</v>
      </c>
      <c r="Z9599">
        <v>353</v>
      </c>
      <c r="AA9599">
        <v>500</v>
      </c>
      <c r="AB9599">
        <v>21.36008</v>
      </c>
      <c r="AC9599">
        <v>8.5393259999999999E-3</v>
      </c>
      <c r="AD9599">
        <v>7.0636099999999997</v>
      </c>
      <c r="AE9599">
        <v>0.2072165</v>
      </c>
      <c r="AF9599">
        <v>581.55340000000001</v>
      </c>
      <c r="AG9599">
        <f>IFERROR(AH9599*0.1, "N/A")</f>
        <v>5.3000000000000007</v>
      </c>
      <c r="AH9599">
        <v>53</v>
      </c>
      <c r="AI9599">
        <v>193.17230000000001</v>
      </c>
      <c r="AJ9599">
        <v>32.957970000000003</v>
      </c>
      <c r="AK9599">
        <v>51</v>
      </c>
    </row>
    <row r="9600" spans="1:37" x14ac:dyDescent="0.3">
      <c r="A9600">
        <v>9599</v>
      </c>
      <c r="B9600">
        <v>16.899999999999999</v>
      </c>
      <c r="C9600">
        <v>11.430999999999999</v>
      </c>
      <c r="D9600">
        <v>4.2889999999999997</v>
      </c>
      <c r="E9600" t="s">
        <v>14564</v>
      </c>
      <c r="F9600" t="s">
        <v>14566</v>
      </c>
      <c r="G9600" t="s">
        <v>2420</v>
      </c>
      <c r="H9600">
        <v>1987</v>
      </c>
      <c r="I9600">
        <v>24.6</v>
      </c>
      <c r="J9600">
        <v>9.1</v>
      </c>
      <c r="K9600">
        <v>77</v>
      </c>
      <c r="L9600">
        <v>8.5399999999999991</v>
      </c>
      <c r="M9600">
        <v>31.1</v>
      </c>
      <c r="N9600">
        <v>19.399999999999999</v>
      </c>
      <c r="O9600">
        <v>11.7</v>
      </c>
      <c r="P9600">
        <v>23.7</v>
      </c>
      <c r="Q9600">
        <v>25.4</v>
      </c>
      <c r="R9600">
        <v>25.5</v>
      </c>
      <c r="S9600">
        <v>23.4</v>
      </c>
      <c r="T9600">
        <v>1651</v>
      </c>
      <c r="U9600">
        <v>297</v>
      </c>
      <c r="V9600">
        <v>15</v>
      </c>
      <c r="W9600">
        <v>63</v>
      </c>
      <c r="X9600">
        <v>701</v>
      </c>
      <c r="Y9600">
        <v>77</v>
      </c>
      <c r="Z9600">
        <v>353</v>
      </c>
      <c r="AA9600">
        <v>500</v>
      </c>
      <c r="AB9600">
        <v>21.36008</v>
      </c>
      <c r="AC9600">
        <v>8.5393259999999999E-3</v>
      </c>
      <c r="AD9600">
        <v>7.0636099999999997</v>
      </c>
      <c r="AE9600">
        <v>0.2072165</v>
      </c>
      <c r="AF9600">
        <v>581.55340000000001</v>
      </c>
      <c r="AG9600">
        <f>IFERROR(AH9600*0.1, "N/A")</f>
        <v>5.3000000000000007</v>
      </c>
      <c r="AH9600">
        <v>53</v>
      </c>
      <c r="AI9600">
        <v>193.17230000000001</v>
      </c>
      <c r="AJ9600">
        <v>32.957970000000003</v>
      </c>
      <c r="AK9600">
        <v>51</v>
      </c>
    </row>
    <row r="9601" spans="1:37" x14ac:dyDescent="0.3">
      <c r="A9601">
        <v>9600</v>
      </c>
      <c r="B9601">
        <v>7.7</v>
      </c>
      <c r="C9601">
        <v>9.7105599999999992</v>
      </c>
      <c r="D9601">
        <v>4.2958299999999996</v>
      </c>
      <c r="E9601" t="s">
        <v>14567</v>
      </c>
      <c r="F9601" t="s">
        <v>14568</v>
      </c>
      <c r="G9601" t="s">
        <v>39</v>
      </c>
      <c r="H9601">
        <v>1990</v>
      </c>
      <c r="I9601">
        <v>26.7</v>
      </c>
      <c r="J9601">
        <v>7.7</v>
      </c>
      <c r="K9601">
        <v>76</v>
      </c>
      <c r="L9601">
        <v>9.1300000000000008</v>
      </c>
      <c r="M9601">
        <v>32.5</v>
      </c>
      <c r="N9601">
        <v>22.4</v>
      </c>
      <c r="O9601">
        <v>10.1</v>
      </c>
      <c r="P9601">
        <v>25.3</v>
      </c>
      <c r="Q9601">
        <v>27.4</v>
      </c>
      <c r="R9601">
        <v>27.7</v>
      </c>
      <c r="S9601">
        <v>25.3</v>
      </c>
      <c r="T9601">
        <v>3228</v>
      </c>
      <c r="U9601">
        <v>552</v>
      </c>
      <c r="V9601">
        <v>32</v>
      </c>
      <c r="W9601">
        <v>67</v>
      </c>
      <c r="X9601">
        <v>1568</v>
      </c>
      <c r="Y9601">
        <v>135</v>
      </c>
      <c r="Z9601">
        <v>457</v>
      </c>
      <c r="AA9601">
        <v>1568</v>
      </c>
      <c r="AB9601">
        <v>14.534269999999999</v>
      </c>
      <c r="AC9601">
        <v>2.1665450000000002</v>
      </c>
      <c r="AD9601">
        <v>9.9766110000000001</v>
      </c>
      <c r="AE9601">
        <v>0.29959360000000002</v>
      </c>
      <c r="AF9601">
        <v>20.919160000000002</v>
      </c>
      <c r="AG9601">
        <f>IFERROR(AH9601*0.1, "N/A")</f>
        <v>5.2755710000000002</v>
      </c>
      <c r="AH9601">
        <v>52.755710000000001</v>
      </c>
      <c r="AI9601">
        <v>88.913610000000006</v>
      </c>
      <c r="AJ9601">
        <v>26.311070000000001</v>
      </c>
      <c r="AK9601">
        <v>62.066780000000001</v>
      </c>
    </row>
    <row r="9602" spans="1:37" x14ac:dyDescent="0.3">
      <c r="A9602">
        <v>9601</v>
      </c>
      <c r="B9602">
        <v>0</v>
      </c>
      <c r="C9602">
        <v>9.7105599999999992</v>
      </c>
      <c r="D9602">
        <v>4.2958299999999996</v>
      </c>
      <c r="E9602" t="s">
        <v>14567</v>
      </c>
      <c r="F9602" t="s">
        <v>14569</v>
      </c>
      <c r="G9602" t="s">
        <v>37</v>
      </c>
      <c r="H9602">
        <v>1990</v>
      </c>
      <c r="I9602">
        <v>26.7</v>
      </c>
      <c r="J9602">
        <v>7.7</v>
      </c>
      <c r="K9602">
        <v>76</v>
      </c>
      <c r="L9602">
        <v>9.1300000000000008</v>
      </c>
      <c r="M9602">
        <v>32.5</v>
      </c>
      <c r="N9602">
        <v>22.4</v>
      </c>
      <c r="O9602">
        <v>10.1</v>
      </c>
      <c r="P9602">
        <v>25.3</v>
      </c>
      <c r="Q9602">
        <v>27.4</v>
      </c>
      <c r="R9602">
        <v>27.7</v>
      </c>
      <c r="S9602">
        <v>25.3</v>
      </c>
      <c r="T9602">
        <v>3228</v>
      </c>
      <c r="U9602">
        <v>552</v>
      </c>
      <c r="V9602">
        <v>32</v>
      </c>
      <c r="W9602">
        <v>67</v>
      </c>
      <c r="X9602">
        <v>1568</v>
      </c>
      <c r="Y9602">
        <v>135</v>
      </c>
      <c r="Z9602">
        <v>457</v>
      </c>
      <c r="AA9602">
        <v>1568</v>
      </c>
      <c r="AB9602">
        <v>14.534269999999999</v>
      </c>
      <c r="AC9602">
        <v>2.1665450000000002</v>
      </c>
      <c r="AD9602">
        <v>9.9766110000000001</v>
      </c>
      <c r="AE9602">
        <v>0.29959360000000002</v>
      </c>
      <c r="AF9602">
        <v>20.919160000000002</v>
      </c>
      <c r="AG9602">
        <f>IFERROR(AH9602*0.1, "N/A")</f>
        <v>5.2755710000000002</v>
      </c>
      <c r="AH9602">
        <v>52.755710000000001</v>
      </c>
      <c r="AI9602">
        <v>88.913610000000006</v>
      </c>
      <c r="AJ9602">
        <v>26.311070000000001</v>
      </c>
      <c r="AK9602">
        <v>62.066780000000001</v>
      </c>
    </row>
    <row r="9603" spans="1:37" x14ac:dyDescent="0.3">
      <c r="A9603">
        <v>9602</v>
      </c>
      <c r="B9603">
        <v>0</v>
      </c>
      <c r="C9603">
        <v>9.7105599999999992</v>
      </c>
      <c r="D9603">
        <v>4.2958299999999996</v>
      </c>
      <c r="E9603" t="s">
        <v>14567</v>
      </c>
      <c r="F9603" t="s">
        <v>14570</v>
      </c>
      <c r="G9603" t="s">
        <v>2420</v>
      </c>
      <c r="H9603">
        <v>1990</v>
      </c>
      <c r="I9603">
        <v>26.7</v>
      </c>
      <c r="J9603">
        <v>7.7</v>
      </c>
      <c r="K9603">
        <v>76</v>
      </c>
      <c r="L9603">
        <v>9.1300000000000008</v>
      </c>
      <c r="M9603">
        <v>32.5</v>
      </c>
      <c r="N9603">
        <v>22.4</v>
      </c>
      <c r="O9603">
        <v>10.1</v>
      </c>
      <c r="P9603">
        <v>25.3</v>
      </c>
      <c r="Q9603">
        <v>27.4</v>
      </c>
      <c r="R9603">
        <v>27.7</v>
      </c>
      <c r="S9603">
        <v>25.3</v>
      </c>
      <c r="T9603">
        <v>3228</v>
      </c>
      <c r="U9603">
        <v>552</v>
      </c>
      <c r="V9603">
        <v>32</v>
      </c>
      <c r="W9603">
        <v>67</v>
      </c>
      <c r="X9603">
        <v>1568</v>
      </c>
      <c r="Y9603">
        <v>135</v>
      </c>
      <c r="Z9603">
        <v>457</v>
      </c>
      <c r="AA9603">
        <v>1568</v>
      </c>
      <c r="AB9603">
        <v>14.534269999999999</v>
      </c>
      <c r="AC9603">
        <v>2.1665450000000002</v>
      </c>
      <c r="AD9603">
        <v>9.9766110000000001</v>
      </c>
      <c r="AE9603">
        <v>0.29959360000000002</v>
      </c>
      <c r="AF9603">
        <v>20.919160000000002</v>
      </c>
      <c r="AG9603">
        <f>IFERROR(AH9603*0.1, "N/A")</f>
        <v>5.2755710000000002</v>
      </c>
      <c r="AH9603">
        <v>52.755710000000001</v>
      </c>
      <c r="AI9603">
        <v>88.913610000000006</v>
      </c>
      <c r="AJ9603">
        <v>26.311070000000001</v>
      </c>
      <c r="AK9603">
        <v>62.066780000000001</v>
      </c>
    </row>
    <row r="9604" spans="1:37" x14ac:dyDescent="0.3">
      <c r="A9604">
        <v>9603</v>
      </c>
      <c r="B9604">
        <v>51.6</v>
      </c>
      <c r="C9604">
        <v>11.416700000000001</v>
      </c>
      <c r="D9604">
        <v>4.3</v>
      </c>
      <c r="E9604" t="s">
        <v>14571</v>
      </c>
      <c r="F9604" t="s">
        <v>14572</v>
      </c>
      <c r="G9604" t="s">
        <v>37</v>
      </c>
      <c r="H9604">
        <v>1987</v>
      </c>
      <c r="I9604">
        <v>24.704719999999998</v>
      </c>
      <c r="J9604">
        <v>9.1</v>
      </c>
      <c r="K9604">
        <v>77</v>
      </c>
      <c r="L9604">
        <v>8.4916780000000003</v>
      </c>
      <c r="M9604">
        <v>31.204719999999998</v>
      </c>
      <c r="N9604">
        <v>19.404720000000001</v>
      </c>
      <c r="O9604">
        <v>11.8</v>
      </c>
      <c r="P9604">
        <v>23.75647</v>
      </c>
      <c r="Q9604">
        <v>25.456469999999999</v>
      </c>
      <c r="R9604">
        <v>25.60472</v>
      </c>
      <c r="S9604">
        <v>23.504719999999999</v>
      </c>
      <c r="T9604">
        <v>1650.7950000000001</v>
      </c>
      <c r="U9604">
        <v>297.48250000000002</v>
      </c>
      <c r="V9604">
        <v>14</v>
      </c>
      <c r="W9604">
        <v>64</v>
      </c>
      <c r="X9604">
        <v>704.44759999999997</v>
      </c>
      <c r="Y9604">
        <v>74</v>
      </c>
      <c r="Z9604">
        <v>265.13290000000001</v>
      </c>
      <c r="AA9604">
        <v>504.5822</v>
      </c>
      <c r="AB9604">
        <v>13.75996</v>
      </c>
      <c r="AC9604">
        <v>1.2935429999999999E-2</v>
      </c>
      <c r="AD9604">
        <v>6.6086450000000001</v>
      </c>
      <c r="AE9604">
        <v>0.42363519999999999</v>
      </c>
      <c r="AF9604">
        <v>525.98249999999996</v>
      </c>
      <c r="AG9604">
        <f>IFERROR(AH9604*0.1, "N/A")</f>
        <v>5.5005240000000004</v>
      </c>
      <c r="AH9604">
        <v>55.005240000000001</v>
      </c>
      <c r="AI9604">
        <v>179.91480000000001</v>
      </c>
      <c r="AJ9604">
        <v>29.050699999999999</v>
      </c>
      <c r="AK9604">
        <v>54.954549999999998</v>
      </c>
    </row>
    <row r="9605" spans="1:37" x14ac:dyDescent="0.3">
      <c r="A9605">
        <v>9604</v>
      </c>
      <c r="B9605">
        <v>4.7</v>
      </c>
      <c r="C9605">
        <v>11.416700000000001</v>
      </c>
      <c r="D9605">
        <v>4.3</v>
      </c>
      <c r="E9605" t="s">
        <v>14571</v>
      </c>
      <c r="F9605" t="s">
        <v>14573</v>
      </c>
      <c r="G9605" t="s">
        <v>2420</v>
      </c>
      <c r="H9605">
        <v>1987</v>
      </c>
      <c r="I9605">
        <v>24.704719999999998</v>
      </c>
      <c r="J9605">
        <v>9.1</v>
      </c>
      <c r="K9605">
        <v>77</v>
      </c>
      <c r="L9605">
        <v>8.4916780000000003</v>
      </c>
      <c r="M9605">
        <v>31.204719999999998</v>
      </c>
      <c r="N9605">
        <v>19.404720000000001</v>
      </c>
      <c r="O9605">
        <v>11.8</v>
      </c>
      <c r="P9605">
        <v>23.75647</v>
      </c>
      <c r="Q9605">
        <v>25.456469999999999</v>
      </c>
      <c r="R9605">
        <v>25.60472</v>
      </c>
      <c r="S9605">
        <v>23.504719999999999</v>
      </c>
      <c r="T9605">
        <v>1650.7950000000001</v>
      </c>
      <c r="U9605">
        <v>297.48250000000002</v>
      </c>
      <c r="V9605">
        <v>14</v>
      </c>
      <c r="W9605">
        <v>64</v>
      </c>
      <c r="X9605">
        <v>704.44759999999997</v>
      </c>
      <c r="Y9605">
        <v>74</v>
      </c>
      <c r="Z9605">
        <v>265.13290000000001</v>
      </c>
      <c r="AA9605">
        <v>504.5822</v>
      </c>
      <c r="AB9605">
        <v>13.75996</v>
      </c>
      <c r="AC9605">
        <v>1.2935429999999999E-2</v>
      </c>
      <c r="AD9605">
        <v>6.6086450000000001</v>
      </c>
      <c r="AE9605">
        <v>0.42363519999999999</v>
      </c>
      <c r="AF9605">
        <v>525.98249999999996</v>
      </c>
      <c r="AG9605">
        <f>IFERROR(AH9605*0.1, "N/A")</f>
        <v>5.5005240000000004</v>
      </c>
      <c r="AH9605">
        <v>55.005240000000001</v>
      </c>
      <c r="AI9605">
        <v>179.91480000000001</v>
      </c>
      <c r="AJ9605">
        <v>29.050699999999999</v>
      </c>
      <c r="AK9605">
        <v>54.954549999999998</v>
      </c>
    </row>
    <row r="9606" spans="1:37" x14ac:dyDescent="0.3">
      <c r="A9606">
        <v>9605</v>
      </c>
      <c r="B9606">
        <v>0</v>
      </c>
      <c r="C9606">
        <v>11.355600000000001</v>
      </c>
      <c r="D9606">
        <v>4.3055599999999998</v>
      </c>
      <c r="E9606" t="s">
        <v>14574</v>
      </c>
      <c r="F9606" t="s">
        <v>14575</v>
      </c>
      <c r="G9606" t="s">
        <v>37</v>
      </c>
      <c r="H9606">
        <v>1990</v>
      </c>
      <c r="I9606">
        <v>24.7</v>
      </c>
      <c r="J9606">
        <v>9</v>
      </c>
      <c r="K9606">
        <v>76</v>
      </c>
      <c r="L9606">
        <v>8.6999999999999993</v>
      </c>
      <c r="M9606">
        <v>31.2</v>
      </c>
      <c r="N9606">
        <v>19.399999999999999</v>
      </c>
      <c r="O9606">
        <v>11.8</v>
      </c>
      <c r="P9606">
        <v>23.7</v>
      </c>
      <c r="Q9606">
        <v>25.5</v>
      </c>
      <c r="R9606">
        <v>25.6</v>
      </c>
      <c r="S9606">
        <v>23.5</v>
      </c>
      <c r="T9606">
        <v>1674</v>
      </c>
      <c r="U9606">
        <v>302</v>
      </c>
      <c r="V9606">
        <v>14</v>
      </c>
      <c r="W9606">
        <v>64</v>
      </c>
      <c r="X9606">
        <v>725</v>
      </c>
      <c r="Y9606">
        <v>72</v>
      </c>
      <c r="Z9606">
        <v>185</v>
      </c>
      <c r="AA9606">
        <v>527</v>
      </c>
      <c r="AB9606">
        <v>50.36009</v>
      </c>
      <c r="AC9606">
        <v>2.5901070000000002E-2</v>
      </c>
      <c r="AD9606">
        <v>7.8816980000000001</v>
      </c>
      <c r="AE9606">
        <v>0.23253660000000001</v>
      </c>
      <c r="AF9606">
        <v>558.49040000000002</v>
      </c>
      <c r="AG9606">
        <f>IFERROR(AH9606*0.1, "N/A")</f>
        <v>5.4082310000000007</v>
      </c>
      <c r="AH9606">
        <v>54.08231</v>
      </c>
      <c r="AI9606">
        <v>250.02809999999999</v>
      </c>
      <c r="AJ9606">
        <v>29.458839999999999</v>
      </c>
      <c r="AK9606">
        <v>55</v>
      </c>
    </row>
    <row r="9607" spans="1:37" x14ac:dyDescent="0.3">
      <c r="A9607">
        <v>9606</v>
      </c>
      <c r="B9607">
        <v>0</v>
      </c>
      <c r="C9607">
        <v>11.355600000000001</v>
      </c>
      <c r="D9607">
        <v>4.3055599999999998</v>
      </c>
      <c r="E9607" t="s">
        <v>14574</v>
      </c>
      <c r="F9607" t="s">
        <v>14576</v>
      </c>
      <c r="G9607" t="s">
        <v>2420</v>
      </c>
      <c r="H9607">
        <v>1990</v>
      </c>
      <c r="I9607">
        <v>24.7</v>
      </c>
      <c r="J9607">
        <v>9</v>
      </c>
      <c r="K9607">
        <v>76</v>
      </c>
      <c r="L9607">
        <v>8.6999999999999993</v>
      </c>
      <c r="M9607">
        <v>31.2</v>
      </c>
      <c r="N9607">
        <v>19.399999999999999</v>
      </c>
      <c r="O9607">
        <v>11.8</v>
      </c>
      <c r="P9607">
        <v>23.7</v>
      </c>
      <c r="Q9607">
        <v>25.5</v>
      </c>
      <c r="R9607">
        <v>25.6</v>
      </c>
      <c r="S9607">
        <v>23.5</v>
      </c>
      <c r="T9607">
        <v>1674</v>
      </c>
      <c r="U9607">
        <v>302</v>
      </c>
      <c r="V9607">
        <v>14</v>
      </c>
      <c r="W9607">
        <v>64</v>
      </c>
      <c r="X9607">
        <v>725</v>
      </c>
      <c r="Y9607">
        <v>72</v>
      </c>
      <c r="Z9607">
        <v>185</v>
      </c>
      <c r="AA9607">
        <v>527</v>
      </c>
      <c r="AB9607">
        <v>50.36009</v>
      </c>
      <c r="AC9607">
        <v>2.5901070000000002E-2</v>
      </c>
      <c r="AD9607">
        <v>7.8816980000000001</v>
      </c>
      <c r="AE9607">
        <v>0.23253660000000001</v>
      </c>
      <c r="AF9607">
        <v>558.49040000000002</v>
      </c>
      <c r="AG9607">
        <f>IFERROR(AH9607*0.1, "N/A")</f>
        <v>5.4082310000000007</v>
      </c>
      <c r="AH9607">
        <v>54.08231</v>
      </c>
      <c r="AI9607">
        <v>250.02809999999999</v>
      </c>
      <c r="AJ9607">
        <v>29.458839999999999</v>
      </c>
      <c r="AK9607">
        <v>55</v>
      </c>
    </row>
    <row r="9608" spans="1:37" x14ac:dyDescent="0.3">
      <c r="A9608">
        <v>9607</v>
      </c>
      <c r="B9608">
        <v>0</v>
      </c>
      <c r="C9608">
        <v>14.591699999999999</v>
      </c>
      <c r="D9608">
        <v>4.3083299999999998</v>
      </c>
      <c r="E9608" t="s">
        <v>14577</v>
      </c>
      <c r="F9608" t="s">
        <v>14578</v>
      </c>
      <c r="G9608" t="s">
        <v>39</v>
      </c>
      <c r="H9608">
        <v>1990</v>
      </c>
      <c r="I9608">
        <v>24</v>
      </c>
      <c r="J9608">
        <v>10.7</v>
      </c>
      <c r="K9608">
        <v>77</v>
      </c>
      <c r="L9608">
        <v>7.2462980000000003</v>
      </c>
      <c r="M9608">
        <v>31</v>
      </c>
      <c r="N9608">
        <v>17.2</v>
      </c>
      <c r="O9608">
        <v>13.8</v>
      </c>
      <c r="P9608">
        <v>23.660530000000001</v>
      </c>
      <c r="Q9608">
        <v>23.852460000000001</v>
      </c>
      <c r="R9608">
        <v>25</v>
      </c>
      <c r="S9608">
        <v>23.2</v>
      </c>
      <c r="T9608">
        <v>1408.0719999999999</v>
      </c>
      <c r="U9608">
        <v>227.1018</v>
      </c>
      <c r="V9608">
        <v>31.898250000000001</v>
      </c>
      <c r="W9608">
        <v>46.101750000000003</v>
      </c>
      <c r="X9608">
        <v>525.70699999999999</v>
      </c>
      <c r="Y9608">
        <v>131.19120000000001</v>
      </c>
      <c r="Z9608">
        <v>363.84390000000002</v>
      </c>
      <c r="AA9608">
        <v>377.12110000000001</v>
      </c>
      <c r="AB9608">
        <v>15.12384</v>
      </c>
      <c r="AC9608">
        <v>9.8701069999999995E-3</v>
      </c>
      <c r="AD9608">
        <v>1.6033839999999999</v>
      </c>
      <c r="AE9608">
        <v>0.38961259999999998</v>
      </c>
      <c r="AF9608">
        <v>629.98069999999996</v>
      </c>
      <c r="AG9608">
        <f>IFERROR(AH9608*0.1, "N/A")</f>
        <v>5.4817540000000005</v>
      </c>
      <c r="AH9608">
        <v>54.817540000000001</v>
      </c>
      <c r="AI9608">
        <v>76.359650000000002</v>
      </c>
      <c r="AJ9608">
        <v>32.817540000000001</v>
      </c>
      <c r="AK9608">
        <v>50.182459999999999</v>
      </c>
    </row>
    <row r="9609" spans="1:37" x14ac:dyDescent="0.3">
      <c r="A9609">
        <v>9608</v>
      </c>
      <c r="B9609">
        <v>0</v>
      </c>
      <c r="C9609">
        <v>14.591699999999999</v>
      </c>
      <c r="D9609">
        <v>4.3083299999999998</v>
      </c>
      <c r="E9609" t="s">
        <v>14577</v>
      </c>
      <c r="F9609" t="s">
        <v>14579</v>
      </c>
      <c r="G9609" t="s">
        <v>37</v>
      </c>
      <c r="H9609">
        <v>1990</v>
      </c>
      <c r="I9609">
        <v>24</v>
      </c>
      <c r="J9609">
        <v>10.7</v>
      </c>
      <c r="K9609">
        <v>77</v>
      </c>
      <c r="L9609">
        <v>7.2462980000000003</v>
      </c>
      <c r="M9609">
        <v>31</v>
      </c>
      <c r="N9609">
        <v>17.2</v>
      </c>
      <c r="O9609">
        <v>13.8</v>
      </c>
      <c r="P9609">
        <v>23.660530000000001</v>
      </c>
      <c r="Q9609">
        <v>23.852460000000001</v>
      </c>
      <c r="R9609">
        <v>25</v>
      </c>
      <c r="S9609">
        <v>23.2</v>
      </c>
      <c r="T9609">
        <v>1408.0719999999999</v>
      </c>
      <c r="U9609">
        <v>227.1018</v>
      </c>
      <c r="V9609">
        <v>31.898250000000001</v>
      </c>
      <c r="W9609">
        <v>46.101750000000003</v>
      </c>
      <c r="X9609">
        <v>525.70699999999999</v>
      </c>
      <c r="Y9609">
        <v>131.19120000000001</v>
      </c>
      <c r="Z9609">
        <v>363.84390000000002</v>
      </c>
      <c r="AA9609">
        <v>377.12110000000001</v>
      </c>
      <c r="AB9609">
        <v>15.12384</v>
      </c>
      <c r="AC9609">
        <v>9.8701069999999995E-3</v>
      </c>
      <c r="AD9609">
        <v>1.6033839999999999</v>
      </c>
      <c r="AE9609">
        <v>0.38961259999999998</v>
      </c>
      <c r="AF9609">
        <v>629.98069999999996</v>
      </c>
      <c r="AG9609">
        <f>IFERROR(AH9609*0.1, "N/A")</f>
        <v>5.4817540000000005</v>
      </c>
      <c r="AH9609">
        <v>54.817540000000001</v>
      </c>
      <c r="AI9609">
        <v>76.359650000000002</v>
      </c>
      <c r="AJ9609">
        <v>32.817540000000001</v>
      </c>
      <c r="AK9609">
        <v>50.182459999999999</v>
      </c>
    </row>
    <row r="9610" spans="1:37" x14ac:dyDescent="0.3">
      <c r="A9610">
        <v>9609</v>
      </c>
      <c r="B9610">
        <v>0</v>
      </c>
      <c r="C9610">
        <v>14.591699999999999</v>
      </c>
      <c r="D9610">
        <v>4.3083299999999998</v>
      </c>
      <c r="E9610" t="s">
        <v>14577</v>
      </c>
      <c r="F9610" t="s">
        <v>14580</v>
      </c>
      <c r="G9610" t="s">
        <v>2420</v>
      </c>
      <c r="H9610">
        <v>1990</v>
      </c>
      <c r="I9610">
        <v>24</v>
      </c>
      <c r="J9610">
        <v>10.7</v>
      </c>
      <c r="K9610">
        <v>77</v>
      </c>
      <c r="L9610">
        <v>7.2462980000000003</v>
      </c>
      <c r="M9610">
        <v>31</v>
      </c>
      <c r="N9610">
        <v>17.2</v>
      </c>
      <c r="O9610">
        <v>13.8</v>
      </c>
      <c r="P9610">
        <v>23.660530000000001</v>
      </c>
      <c r="Q9610">
        <v>23.852460000000001</v>
      </c>
      <c r="R9610">
        <v>25</v>
      </c>
      <c r="S9610">
        <v>23.2</v>
      </c>
      <c r="T9610">
        <v>1408.0719999999999</v>
      </c>
      <c r="U9610">
        <v>227.1018</v>
      </c>
      <c r="V9610">
        <v>31.898250000000001</v>
      </c>
      <c r="W9610">
        <v>46.101750000000003</v>
      </c>
      <c r="X9610">
        <v>525.70699999999999</v>
      </c>
      <c r="Y9610">
        <v>131.19120000000001</v>
      </c>
      <c r="Z9610">
        <v>363.84390000000002</v>
      </c>
      <c r="AA9610">
        <v>377.12110000000001</v>
      </c>
      <c r="AB9610">
        <v>15.12384</v>
      </c>
      <c r="AC9610">
        <v>9.8701069999999995E-3</v>
      </c>
      <c r="AD9610">
        <v>1.6033839999999999</v>
      </c>
      <c r="AE9610">
        <v>0.38961259999999998</v>
      </c>
      <c r="AF9610">
        <v>629.98069999999996</v>
      </c>
      <c r="AG9610">
        <f>IFERROR(AH9610*0.1, "N/A")</f>
        <v>5.4817540000000005</v>
      </c>
      <c r="AH9610">
        <v>54.817540000000001</v>
      </c>
      <c r="AI9610">
        <v>76.359650000000002</v>
      </c>
      <c r="AJ9610">
        <v>32.817540000000001</v>
      </c>
      <c r="AK9610">
        <v>50.182459999999999</v>
      </c>
    </row>
    <row r="9611" spans="1:37" x14ac:dyDescent="0.3">
      <c r="A9611">
        <v>9610</v>
      </c>
      <c r="B9611">
        <v>0</v>
      </c>
      <c r="C9611">
        <v>10.9153</v>
      </c>
      <c r="D9611">
        <v>4.3247200000000001</v>
      </c>
      <c r="E9611" t="s">
        <v>14581</v>
      </c>
      <c r="F9611" t="s">
        <v>14582</v>
      </c>
      <c r="G9611" t="s">
        <v>37</v>
      </c>
      <c r="H9611">
        <v>1990</v>
      </c>
      <c r="I9611">
        <v>23.881550000000001</v>
      </c>
      <c r="J9611">
        <v>8.8000000000000007</v>
      </c>
      <c r="K9611">
        <v>71.938490000000002</v>
      </c>
      <c r="L9611">
        <v>10.50292</v>
      </c>
      <c r="M9611">
        <v>30.58155</v>
      </c>
      <c r="N9611">
        <v>18.375399999999999</v>
      </c>
      <c r="O9611">
        <v>12.206149999999999</v>
      </c>
      <c r="P9611">
        <v>22.781549999999999</v>
      </c>
      <c r="Q9611">
        <v>24.881550000000001</v>
      </c>
      <c r="R9611">
        <v>24.981549999999999</v>
      </c>
      <c r="S9611">
        <v>22.4754</v>
      </c>
      <c r="T9611">
        <v>2082.569</v>
      </c>
      <c r="U9611">
        <v>375.93849999999998</v>
      </c>
      <c r="V9611">
        <v>13</v>
      </c>
      <c r="W9611">
        <v>67</v>
      </c>
      <c r="X9611">
        <v>1010.754</v>
      </c>
      <c r="Y9611">
        <v>65.061509999999998</v>
      </c>
      <c r="Z9611">
        <v>186.0615</v>
      </c>
      <c r="AA9611">
        <v>864.93849999999998</v>
      </c>
      <c r="AB9611">
        <v>98.610919999999993</v>
      </c>
      <c r="AC9611">
        <v>1.183473E-2</v>
      </c>
      <c r="AD9611">
        <v>13.963839999999999</v>
      </c>
      <c r="AE9611">
        <v>0.15698509999999999</v>
      </c>
      <c r="AF9611">
        <v>741.77329999999995</v>
      </c>
      <c r="AG9611">
        <f>IFERROR(AH9611*0.1, "N/A")</f>
        <v>4.8982430000000008</v>
      </c>
      <c r="AH9611">
        <v>48.982430000000001</v>
      </c>
      <c r="AI9611">
        <v>40.225839999999998</v>
      </c>
      <c r="AJ9611">
        <v>37.697719999999997</v>
      </c>
      <c r="AK9611">
        <v>43</v>
      </c>
    </row>
    <row r="9612" spans="1:37" x14ac:dyDescent="0.3">
      <c r="A9612">
        <v>9611</v>
      </c>
      <c r="B9612">
        <v>0</v>
      </c>
      <c r="C9612">
        <v>10.9153</v>
      </c>
      <c r="D9612">
        <v>4.3247200000000001</v>
      </c>
      <c r="E9612" t="s">
        <v>14581</v>
      </c>
      <c r="F9612" t="s">
        <v>14583</v>
      </c>
      <c r="G9612" t="s">
        <v>2420</v>
      </c>
      <c r="H9612">
        <v>1990</v>
      </c>
      <c r="I9612">
        <v>23.881550000000001</v>
      </c>
      <c r="J9612">
        <v>8.8000000000000007</v>
      </c>
      <c r="K9612">
        <v>71.938490000000002</v>
      </c>
      <c r="L9612">
        <v>10.50292</v>
      </c>
      <c r="M9612">
        <v>30.58155</v>
      </c>
      <c r="N9612">
        <v>18.375399999999999</v>
      </c>
      <c r="O9612">
        <v>12.206149999999999</v>
      </c>
      <c r="P9612">
        <v>22.781549999999999</v>
      </c>
      <c r="Q9612">
        <v>24.881550000000001</v>
      </c>
      <c r="R9612">
        <v>24.981549999999999</v>
      </c>
      <c r="S9612">
        <v>22.4754</v>
      </c>
      <c r="T9612">
        <v>2082.569</v>
      </c>
      <c r="U9612">
        <v>375.93849999999998</v>
      </c>
      <c r="V9612">
        <v>13</v>
      </c>
      <c r="W9612">
        <v>67</v>
      </c>
      <c r="X9612">
        <v>1010.754</v>
      </c>
      <c r="Y9612">
        <v>65.061509999999998</v>
      </c>
      <c r="Z9612">
        <v>186.0615</v>
      </c>
      <c r="AA9612">
        <v>864.93849999999998</v>
      </c>
      <c r="AB9612">
        <v>98.610919999999993</v>
      </c>
      <c r="AC9612">
        <v>1.183473E-2</v>
      </c>
      <c r="AD9612">
        <v>13.963839999999999</v>
      </c>
      <c r="AE9612">
        <v>0.15698509999999999</v>
      </c>
      <c r="AF9612">
        <v>741.77329999999995</v>
      </c>
      <c r="AG9612">
        <f>IFERROR(AH9612*0.1, "N/A")</f>
        <v>4.8982430000000008</v>
      </c>
      <c r="AH9612">
        <v>48.982430000000001</v>
      </c>
      <c r="AI9612">
        <v>40.225839999999998</v>
      </c>
      <c r="AJ9612">
        <v>37.697719999999997</v>
      </c>
      <c r="AK9612">
        <v>43</v>
      </c>
    </row>
    <row r="9613" spans="1:37" x14ac:dyDescent="0.3">
      <c r="A9613">
        <v>9612</v>
      </c>
      <c r="B9613">
        <v>4.3</v>
      </c>
      <c r="C9613">
        <v>11.466699999999999</v>
      </c>
      <c r="D9613">
        <v>4.3250000000000002</v>
      </c>
      <c r="E9613" t="s">
        <v>14584</v>
      </c>
      <c r="F9613" t="s">
        <v>14585</v>
      </c>
      <c r="G9613" t="s">
        <v>37</v>
      </c>
      <c r="H9613">
        <v>1990</v>
      </c>
      <c r="I9613">
        <v>24.51538</v>
      </c>
      <c r="J9613">
        <v>9.1</v>
      </c>
      <c r="K9613">
        <v>77</v>
      </c>
      <c r="L9613">
        <v>8.1916960000000003</v>
      </c>
      <c r="M9613">
        <v>31.01538</v>
      </c>
      <c r="N9613">
        <v>19.29982</v>
      </c>
      <c r="O9613">
        <v>11.71556</v>
      </c>
      <c r="P9613">
        <v>23.615379999999998</v>
      </c>
      <c r="Q9613">
        <v>25.215389999999999</v>
      </c>
      <c r="R9613">
        <v>25.415379999999999</v>
      </c>
      <c r="S9613">
        <v>23.410309999999999</v>
      </c>
      <c r="T9613">
        <v>1631.0170000000001</v>
      </c>
      <c r="U9613">
        <v>294.58569999999997</v>
      </c>
      <c r="V9613">
        <v>14</v>
      </c>
      <c r="W9613">
        <v>63.414340000000003</v>
      </c>
      <c r="X9613">
        <v>692.27620000000002</v>
      </c>
      <c r="Y9613">
        <v>74.844409999999996</v>
      </c>
      <c r="Z9613">
        <v>349.84440000000001</v>
      </c>
      <c r="AA9613">
        <v>492.43180000000001</v>
      </c>
      <c r="AB9613">
        <v>21.075710000000001</v>
      </c>
      <c r="AC9613">
        <v>4.768675E-2</v>
      </c>
      <c r="AD9613">
        <v>4.2374419999999997</v>
      </c>
      <c r="AE9613">
        <v>0.23707639999999999</v>
      </c>
      <c r="AF9613">
        <v>568.90380000000005</v>
      </c>
      <c r="AG9613">
        <f>IFERROR(AH9613*0.1, "N/A")</f>
        <v>5.2746500000000003</v>
      </c>
      <c r="AH9613">
        <v>52.746499999999997</v>
      </c>
      <c r="AI9613">
        <v>271.45209999999997</v>
      </c>
      <c r="AJ9613">
        <v>28.65035</v>
      </c>
      <c r="AK9613">
        <v>56.440559999999998</v>
      </c>
    </row>
    <row r="9614" spans="1:37" x14ac:dyDescent="0.3">
      <c r="A9614">
        <v>9613</v>
      </c>
      <c r="B9614">
        <v>0</v>
      </c>
      <c r="C9614">
        <v>11.466699999999999</v>
      </c>
      <c r="D9614">
        <v>4.3250000000000002</v>
      </c>
      <c r="E9614" t="s">
        <v>14584</v>
      </c>
      <c r="F9614" t="s">
        <v>14586</v>
      </c>
      <c r="G9614" t="s">
        <v>2420</v>
      </c>
      <c r="H9614">
        <v>1990</v>
      </c>
      <c r="I9614">
        <v>24.51538</v>
      </c>
      <c r="J9614">
        <v>9.1</v>
      </c>
      <c r="K9614">
        <v>77</v>
      </c>
      <c r="L9614">
        <v>8.1916960000000003</v>
      </c>
      <c r="M9614">
        <v>31.01538</v>
      </c>
      <c r="N9614">
        <v>19.29982</v>
      </c>
      <c r="O9614">
        <v>11.71556</v>
      </c>
      <c r="P9614">
        <v>23.615379999999998</v>
      </c>
      <c r="Q9614">
        <v>25.215389999999999</v>
      </c>
      <c r="R9614">
        <v>25.415379999999999</v>
      </c>
      <c r="S9614">
        <v>23.410309999999999</v>
      </c>
      <c r="T9614">
        <v>1631.0170000000001</v>
      </c>
      <c r="U9614">
        <v>294.58569999999997</v>
      </c>
      <c r="V9614">
        <v>14</v>
      </c>
      <c r="W9614">
        <v>63.414340000000003</v>
      </c>
      <c r="X9614">
        <v>692.27620000000002</v>
      </c>
      <c r="Y9614">
        <v>74.844409999999996</v>
      </c>
      <c r="Z9614">
        <v>349.84440000000001</v>
      </c>
      <c r="AA9614">
        <v>492.43180000000001</v>
      </c>
      <c r="AB9614">
        <v>21.075710000000001</v>
      </c>
      <c r="AC9614">
        <v>4.768675E-2</v>
      </c>
      <c r="AD9614">
        <v>4.2374419999999997</v>
      </c>
      <c r="AE9614">
        <v>0.23707639999999999</v>
      </c>
      <c r="AF9614">
        <v>568.90380000000005</v>
      </c>
      <c r="AG9614">
        <f>IFERROR(AH9614*0.1, "N/A")</f>
        <v>5.2746500000000003</v>
      </c>
      <c r="AH9614">
        <v>52.746499999999997</v>
      </c>
      <c r="AI9614">
        <v>271.45209999999997</v>
      </c>
      <c r="AJ9614">
        <v>28.65035</v>
      </c>
      <c r="AK9614">
        <v>56.440559999999998</v>
      </c>
    </row>
    <row r="9615" spans="1:37" x14ac:dyDescent="0.3">
      <c r="A9615">
        <v>9614</v>
      </c>
      <c r="B9615">
        <v>0</v>
      </c>
      <c r="C9615">
        <v>11.6333</v>
      </c>
      <c r="D9615">
        <v>4.3291700000000004</v>
      </c>
      <c r="E9615" t="s">
        <v>14587</v>
      </c>
      <c r="F9615" t="s">
        <v>14588</v>
      </c>
      <c r="G9615" t="s">
        <v>37</v>
      </c>
      <c r="H9615">
        <v>1990</v>
      </c>
      <c r="I9615">
        <v>25.16112</v>
      </c>
      <c r="J9615">
        <v>9.1611209999999996</v>
      </c>
      <c r="K9615">
        <v>78.22242</v>
      </c>
      <c r="L9615">
        <v>8.1410859999999996</v>
      </c>
      <c r="M9615">
        <v>31.6</v>
      </c>
      <c r="N9615">
        <v>19.961120000000001</v>
      </c>
      <c r="O9615">
        <v>11.63888</v>
      </c>
      <c r="P9615">
        <v>24.36112</v>
      </c>
      <c r="Q9615">
        <v>25.86112</v>
      </c>
      <c r="R9615">
        <v>26.061119999999999</v>
      </c>
      <c r="S9615">
        <v>24.061119999999999</v>
      </c>
      <c r="T9615">
        <v>1601.1659999999999</v>
      </c>
      <c r="U9615">
        <v>285</v>
      </c>
      <c r="V9615">
        <v>14</v>
      </c>
      <c r="W9615">
        <v>64</v>
      </c>
      <c r="X9615">
        <v>659.77760000000001</v>
      </c>
      <c r="Y9615">
        <v>80</v>
      </c>
      <c r="Z9615">
        <v>354</v>
      </c>
      <c r="AA9615">
        <v>415.56569999999999</v>
      </c>
      <c r="AB9615">
        <v>15.374779999999999</v>
      </c>
      <c r="AC9615">
        <v>7.1431149999999999E-2</v>
      </c>
      <c r="AD9615">
        <v>3.277215</v>
      </c>
      <c r="AE9615">
        <v>0.64452739999999997</v>
      </c>
      <c r="AF9615">
        <v>461.65320000000003</v>
      </c>
      <c r="AG9615">
        <f>IFERROR(AH9615*0.1, "N/A")</f>
        <v>5.6000000000000005</v>
      </c>
      <c r="AH9615">
        <v>56</v>
      </c>
      <c r="AI9615">
        <v>113.4316</v>
      </c>
      <c r="AJ9615">
        <v>30</v>
      </c>
      <c r="AK9615">
        <v>56</v>
      </c>
    </row>
    <row r="9616" spans="1:37" x14ac:dyDescent="0.3">
      <c r="A9616">
        <v>9615</v>
      </c>
      <c r="B9616">
        <v>0</v>
      </c>
      <c r="C9616">
        <v>11.6333</v>
      </c>
      <c r="D9616">
        <v>4.3291700000000004</v>
      </c>
      <c r="E9616" t="s">
        <v>14587</v>
      </c>
      <c r="F9616" t="s">
        <v>14589</v>
      </c>
      <c r="G9616" t="s">
        <v>2420</v>
      </c>
      <c r="H9616">
        <v>1990</v>
      </c>
      <c r="I9616">
        <v>25.16112</v>
      </c>
      <c r="J9616">
        <v>9.1611209999999996</v>
      </c>
      <c r="K9616">
        <v>78.22242</v>
      </c>
      <c r="L9616">
        <v>8.1410859999999996</v>
      </c>
      <c r="M9616">
        <v>31.6</v>
      </c>
      <c r="N9616">
        <v>19.961120000000001</v>
      </c>
      <c r="O9616">
        <v>11.63888</v>
      </c>
      <c r="P9616">
        <v>24.36112</v>
      </c>
      <c r="Q9616">
        <v>25.86112</v>
      </c>
      <c r="R9616">
        <v>26.061119999999999</v>
      </c>
      <c r="S9616">
        <v>24.061119999999999</v>
      </c>
      <c r="T9616">
        <v>1601.1659999999999</v>
      </c>
      <c r="U9616">
        <v>285</v>
      </c>
      <c r="V9616">
        <v>14</v>
      </c>
      <c r="W9616">
        <v>64</v>
      </c>
      <c r="X9616">
        <v>659.77760000000001</v>
      </c>
      <c r="Y9616">
        <v>80</v>
      </c>
      <c r="Z9616">
        <v>354</v>
      </c>
      <c r="AA9616">
        <v>415.56569999999999</v>
      </c>
      <c r="AB9616">
        <v>15.374779999999999</v>
      </c>
      <c r="AC9616">
        <v>7.1431149999999999E-2</v>
      </c>
      <c r="AD9616">
        <v>3.277215</v>
      </c>
      <c r="AE9616">
        <v>0.64452739999999997</v>
      </c>
      <c r="AF9616">
        <v>461.65320000000003</v>
      </c>
      <c r="AG9616">
        <f>IFERROR(AH9616*0.1, "N/A")</f>
        <v>5.6000000000000005</v>
      </c>
      <c r="AH9616">
        <v>56</v>
      </c>
      <c r="AI9616">
        <v>113.4316</v>
      </c>
      <c r="AJ9616">
        <v>30</v>
      </c>
      <c r="AK9616">
        <v>56</v>
      </c>
    </row>
    <row r="9617" spans="1:37" x14ac:dyDescent="0.3">
      <c r="A9617">
        <v>9616</v>
      </c>
      <c r="B9617">
        <v>17</v>
      </c>
      <c r="C9617">
        <v>13.566700000000001</v>
      </c>
      <c r="D9617">
        <v>4.3666700000000001</v>
      </c>
      <c r="E9617" t="s">
        <v>14590</v>
      </c>
      <c r="F9617" t="s">
        <v>14591</v>
      </c>
      <c r="G9617" t="s">
        <v>39</v>
      </c>
      <c r="H9617">
        <v>1990</v>
      </c>
      <c r="I9617">
        <v>23.780069999999998</v>
      </c>
      <c r="J9617">
        <v>10</v>
      </c>
      <c r="K9617">
        <v>78</v>
      </c>
      <c r="L9617">
        <v>6.8265909999999996</v>
      </c>
      <c r="M9617">
        <v>30.289680000000001</v>
      </c>
      <c r="N9617">
        <v>17.589690000000001</v>
      </c>
      <c r="O9617">
        <v>12.7</v>
      </c>
      <c r="P9617">
        <v>23.231639999999999</v>
      </c>
      <c r="Q9617">
        <v>23.631640000000001</v>
      </c>
      <c r="R9617">
        <v>24.589690000000001</v>
      </c>
      <c r="S9617">
        <v>22.980070000000001</v>
      </c>
      <c r="T9617">
        <v>1544.5350000000001</v>
      </c>
      <c r="U9617">
        <v>275.5804</v>
      </c>
      <c r="V9617">
        <v>26</v>
      </c>
      <c r="W9617">
        <v>58</v>
      </c>
      <c r="X9617">
        <v>630.53499999999997</v>
      </c>
      <c r="Y9617">
        <v>94</v>
      </c>
      <c r="Z9617">
        <v>332.09089999999998</v>
      </c>
      <c r="AA9617">
        <v>425.81990000000002</v>
      </c>
      <c r="AB9617">
        <v>23.4269</v>
      </c>
      <c r="AC9617">
        <v>2.275425E-2</v>
      </c>
      <c r="AD9617">
        <v>4.4301440000000003</v>
      </c>
      <c r="AE9617">
        <v>0.40083279999999999</v>
      </c>
      <c r="AF9617">
        <v>655.36009999999999</v>
      </c>
      <c r="AG9617">
        <f>IFERROR(AH9617*0.1, "N/A")</f>
        <v>5.1199300000000001</v>
      </c>
      <c r="AH9617">
        <v>51.199300000000001</v>
      </c>
      <c r="AI9617">
        <v>185.93899999999999</v>
      </c>
      <c r="AJ9617">
        <v>34.601399999999998</v>
      </c>
      <c r="AK9617">
        <v>51.398600000000002</v>
      </c>
    </row>
    <row r="9618" spans="1:37" x14ac:dyDescent="0.3">
      <c r="A9618">
        <v>9617</v>
      </c>
      <c r="B9618">
        <v>1.9</v>
      </c>
      <c r="C9618">
        <v>13.566700000000001</v>
      </c>
      <c r="D9618">
        <v>4.3666700000000001</v>
      </c>
      <c r="E9618" t="s">
        <v>14590</v>
      </c>
      <c r="F9618" t="s">
        <v>14592</v>
      </c>
      <c r="G9618" t="s">
        <v>37</v>
      </c>
      <c r="H9618">
        <v>1990</v>
      </c>
      <c r="I9618">
        <v>23.780069999999998</v>
      </c>
      <c r="J9618">
        <v>10</v>
      </c>
      <c r="K9618">
        <v>78</v>
      </c>
      <c r="L9618">
        <v>6.8265909999999996</v>
      </c>
      <c r="M9618">
        <v>30.289680000000001</v>
      </c>
      <c r="N9618">
        <v>17.589690000000001</v>
      </c>
      <c r="O9618">
        <v>12.7</v>
      </c>
      <c r="P9618">
        <v>23.231639999999999</v>
      </c>
      <c r="Q9618">
        <v>23.631640000000001</v>
      </c>
      <c r="R9618">
        <v>24.589690000000001</v>
      </c>
      <c r="S9618">
        <v>22.980070000000001</v>
      </c>
      <c r="T9618">
        <v>1544.5350000000001</v>
      </c>
      <c r="U9618">
        <v>275.5804</v>
      </c>
      <c r="V9618">
        <v>26</v>
      </c>
      <c r="W9618">
        <v>58</v>
      </c>
      <c r="X9618">
        <v>630.53499999999997</v>
      </c>
      <c r="Y9618">
        <v>94</v>
      </c>
      <c r="Z9618">
        <v>332.09089999999998</v>
      </c>
      <c r="AA9618">
        <v>425.81990000000002</v>
      </c>
      <c r="AB9618">
        <v>23.4269</v>
      </c>
      <c r="AC9618">
        <v>2.275425E-2</v>
      </c>
      <c r="AD9618">
        <v>4.4301440000000003</v>
      </c>
      <c r="AE9618">
        <v>0.40083279999999999</v>
      </c>
      <c r="AF9618">
        <v>655.36009999999999</v>
      </c>
      <c r="AG9618">
        <f>IFERROR(AH9618*0.1, "N/A")</f>
        <v>5.1199300000000001</v>
      </c>
      <c r="AH9618">
        <v>51.199300000000001</v>
      </c>
      <c r="AI9618">
        <v>185.93899999999999</v>
      </c>
      <c r="AJ9618">
        <v>34.601399999999998</v>
      </c>
      <c r="AK9618">
        <v>51.398600000000002</v>
      </c>
    </row>
    <row r="9619" spans="1:37" x14ac:dyDescent="0.3">
      <c r="A9619">
        <v>9618</v>
      </c>
      <c r="B9619">
        <v>0</v>
      </c>
      <c r="C9619">
        <v>13.566700000000001</v>
      </c>
      <c r="D9619">
        <v>4.3666700000000001</v>
      </c>
      <c r="E9619" t="s">
        <v>14590</v>
      </c>
      <c r="F9619" t="s">
        <v>14593</v>
      </c>
      <c r="G9619" t="s">
        <v>2420</v>
      </c>
      <c r="H9619">
        <v>1990</v>
      </c>
      <c r="I9619">
        <v>23.780069999999998</v>
      </c>
      <c r="J9619">
        <v>10</v>
      </c>
      <c r="K9619">
        <v>78</v>
      </c>
      <c r="L9619">
        <v>6.8265909999999996</v>
      </c>
      <c r="M9619">
        <v>30.289680000000001</v>
      </c>
      <c r="N9619">
        <v>17.589690000000001</v>
      </c>
      <c r="O9619">
        <v>12.7</v>
      </c>
      <c r="P9619">
        <v>23.231639999999999</v>
      </c>
      <c r="Q9619">
        <v>23.631640000000001</v>
      </c>
      <c r="R9619">
        <v>24.589690000000001</v>
      </c>
      <c r="S9619">
        <v>22.980070000000001</v>
      </c>
      <c r="T9619">
        <v>1544.5350000000001</v>
      </c>
      <c r="U9619">
        <v>275.5804</v>
      </c>
      <c r="V9619">
        <v>26</v>
      </c>
      <c r="W9619">
        <v>58</v>
      </c>
      <c r="X9619">
        <v>630.53499999999997</v>
      </c>
      <c r="Y9619">
        <v>94</v>
      </c>
      <c r="Z9619">
        <v>332.09089999999998</v>
      </c>
      <c r="AA9619">
        <v>425.81990000000002</v>
      </c>
      <c r="AB9619">
        <v>23.4269</v>
      </c>
      <c r="AC9619">
        <v>2.275425E-2</v>
      </c>
      <c r="AD9619">
        <v>4.4301440000000003</v>
      </c>
      <c r="AE9619">
        <v>0.40083279999999999</v>
      </c>
      <c r="AF9619">
        <v>655.36009999999999</v>
      </c>
      <c r="AG9619">
        <f>IFERROR(AH9619*0.1, "N/A")</f>
        <v>5.1199300000000001</v>
      </c>
      <c r="AH9619">
        <v>51.199300000000001</v>
      </c>
      <c r="AI9619">
        <v>185.93899999999999</v>
      </c>
      <c r="AJ9619">
        <v>34.601399999999998</v>
      </c>
      <c r="AK9619">
        <v>51.398600000000002</v>
      </c>
    </row>
    <row r="9620" spans="1:37" x14ac:dyDescent="0.3">
      <c r="A9620">
        <v>9619</v>
      </c>
      <c r="B9620">
        <v>15</v>
      </c>
      <c r="C9620">
        <v>11.6333</v>
      </c>
      <c r="D9620">
        <v>4.3688900000000004</v>
      </c>
      <c r="E9620" t="s">
        <v>14594</v>
      </c>
      <c r="F9620" t="s">
        <v>14595</v>
      </c>
      <c r="G9620" t="s">
        <v>37</v>
      </c>
      <c r="H9620">
        <v>1990</v>
      </c>
      <c r="I9620">
        <v>25.2</v>
      </c>
      <c r="J9620">
        <v>9.1999999999999993</v>
      </c>
      <c r="K9620">
        <v>77</v>
      </c>
      <c r="L9620">
        <v>8.3622940000000003</v>
      </c>
      <c r="M9620">
        <v>31.8</v>
      </c>
      <c r="N9620">
        <v>20</v>
      </c>
      <c r="O9620">
        <v>11.8</v>
      </c>
      <c r="P9620">
        <v>24.4</v>
      </c>
      <c r="Q9620">
        <v>26</v>
      </c>
      <c r="R9620">
        <v>26.2</v>
      </c>
      <c r="S9620">
        <v>24.1</v>
      </c>
      <c r="T9620">
        <v>1590.1559999999999</v>
      </c>
      <c r="U9620">
        <v>286</v>
      </c>
      <c r="V9620">
        <v>13</v>
      </c>
      <c r="W9620">
        <v>64</v>
      </c>
      <c r="X9620">
        <v>661.77059999999994</v>
      </c>
      <c r="Y9620">
        <v>76</v>
      </c>
      <c r="Z9620">
        <v>347</v>
      </c>
      <c r="AA9620">
        <v>353.7706</v>
      </c>
      <c r="AB9620">
        <v>15.727499999999999</v>
      </c>
      <c r="AC9620">
        <v>9.5087160000000004E-3</v>
      </c>
      <c r="AD9620">
        <v>3.8076750000000001</v>
      </c>
      <c r="AE9620">
        <v>0.51269039999999999</v>
      </c>
      <c r="AF9620">
        <v>457.62169999999998</v>
      </c>
      <c r="AG9620">
        <f>IFERROR(AH9620*0.1, "N/A")</f>
        <v>5.5614710000000009</v>
      </c>
      <c r="AH9620">
        <v>55.614710000000002</v>
      </c>
      <c r="AI9620">
        <v>129.7619</v>
      </c>
      <c r="AJ9620">
        <v>25</v>
      </c>
      <c r="AK9620">
        <v>58.385289999999998</v>
      </c>
    </row>
    <row r="9621" spans="1:37" x14ac:dyDescent="0.3">
      <c r="A9621">
        <v>9620</v>
      </c>
      <c r="B9621">
        <v>0</v>
      </c>
      <c r="C9621">
        <v>11.6333</v>
      </c>
      <c r="D9621">
        <v>4.3688900000000004</v>
      </c>
      <c r="E9621" t="s">
        <v>14594</v>
      </c>
      <c r="F9621" t="s">
        <v>14596</v>
      </c>
      <c r="G9621" t="s">
        <v>2420</v>
      </c>
      <c r="H9621">
        <v>1990</v>
      </c>
      <c r="I9621">
        <v>25.2</v>
      </c>
      <c r="J9621">
        <v>9.1999999999999993</v>
      </c>
      <c r="K9621">
        <v>77</v>
      </c>
      <c r="L9621">
        <v>8.3622940000000003</v>
      </c>
      <c r="M9621">
        <v>31.8</v>
      </c>
      <c r="N9621">
        <v>20</v>
      </c>
      <c r="O9621">
        <v>11.8</v>
      </c>
      <c r="P9621">
        <v>24.4</v>
      </c>
      <c r="Q9621">
        <v>26</v>
      </c>
      <c r="R9621">
        <v>26.2</v>
      </c>
      <c r="S9621">
        <v>24.1</v>
      </c>
      <c r="T9621">
        <v>1590.1559999999999</v>
      </c>
      <c r="U9621">
        <v>286</v>
      </c>
      <c r="V9621">
        <v>13</v>
      </c>
      <c r="W9621">
        <v>64</v>
      </c>
      <c r="X9621">
        <v>661.77059999999994</v>
      </c>
      <c r="Y9621">
        <v>76</v>
      </c>
      <c r="Z9621">
        <v>347</v>
      </c>
      <c r="AA9621">
        <v>353.7706</v>
      </c>
      <c r="AB9621">
        <v>15.727499999999999</v>
      </c>
      <c r="AC9621">
        <v>9.5087160000000004E-3</v>
      </c>
      <c r="AD9621">
        <v>3.8076750000000001</v>
      </c>
      <c r="AE9621">
        <v>0.51269039999999999</v>
      </c>
      <c r="AF9621">
        <v>457.62169999999998</v>
      </c>
      <c r="AG9621">
        <f>IFERROR(AH9621*0.1, "N/A")</f>
        <v>5.5614710000000009</v>
      </c>
      <c r="AH9621">
        <v>55.614710000000002</v>
      </c>
      <c r="AI9621">
        <v>129.7619</v>
      </c>
      <c r="AJ9621">
        <v>25</v>
      </c>
      <c r="AK9621">
        <v>58.385289999999998</v>
      </c>
    </row>
    <row r="9622" spans="1:37" x14ac:dyDescent="0.3">
      <c r="A9622">
        <v>9621</v>
      </c>
      <c r="B9622">
        <v>0</v>
      </c>
      <c r="C9622">
        <v>12.933299999999999</v>
      </c>
      <c r="D9622">
        <v>4.3833299999999999</v>
      </c>
      <c r="E9622" t="s">
        <v>14597</v>
      </c>
      <c r="F9622" t="s">
        <v>14598</v>
      </c>
      <c r="G9622" t="s">
        <v>39</v>
      </c>
      <c r="H9622">
        <v>1990</v>
      </c>
      <c r="I9622">
        <v>23.440529999999999</v>
      </c>
      <c r="J9622">
        <v>9.6421050000000008</v>
      </c>
      <c r="K9622">
        <v>79.156139999999994</v>
      </c>
      <c r="L9622">
        <v>6.786842</v>
      </c>
      <c r="M9622">
        <v>30.024909999999998</v>
      </c>
      <c r="N9622">
        <v>17.898420000000002</v>
      </c>
      <c r="O9622">
        <v>12.12649</v>
      </c>
      <c r="P9622">
        <v>22.8</v>
      </c>
      <c r="Q9622">
        <v>23.598420000000001</v>
      </c>
      <c r="R9622">
        <v>24.3</v>
      </c>
      <c r="S9622">
        <v>22.54053</v>
      </c>
      <c r="T9622">
        <v>1564.125</v>
      </c>
      <c r="U9622">
        <v>292.01580000000001</v>
      </c>
      <c r="V9622">
        <v>18</v>
      </c>
      <c r="W9622">
        <v>63</v>
      </c>
      <c r="X9622">
        <v>671.01580000000001</v>
      </c>
      <c r="Y9622">
        <v>81</v>
      </c>
      <c r="Z9622">
        <v>305.26490000000001</v>
      </c>
      <c r="AA9622">
        <v>463.69819999999999</v>
      </c>
      <c r="AB9622">
        <v>35.438409999999998</v>
      </c>
      <c r="AC9622">
        <v>1.0063539999999999E-2</v>
      </c>
      <c r="AD9622">
        <v>4.4494119999999997</v>
      </c>
      <c r="AE9622">
        <v>0.293684</v>
      </c>
      <c r="AF9622">
        <v>716.39649999999995</v>
      </c>
      <c r="AG9622">
        <f>IFERROR(AH9622*0.1, "N/A")</f>
        <v>5</v>
      </c>
      <c r="AH9622">
        <v>50</v>
      </c>
      <c r="AI9622">
        <v>197.78039999999999</v>
      </c>
      <c r="AJ9622">
        <v>39.026319999999998</v>
      </c>
      <c r="AK9622">
        <v>49.55789</v>
      </c>
    </row>
    <row r="9623" spans="1:37" x14ac:dyDescent="0.3">
      <c r="A9623">
        <v>9622</v>
      </c>
      <c r="B9623">
        <v>0</v>
      </c>
      <c r="C9623">
        <v>12.933299999999999</v>
      </c>
      <c r="D9623">
        <v>4.3833299999999999</v>
      </c>
      <c r="E9623" t="s">
        <v>14597</v>
      </c>
      <c r="F9623" t="s">
        <v>14599</v>
      </c>
      <c r="G9623" t="s">
        <v>37</v>
      </c>
      <c r="H9623">
        <v>1990</v>
      </c>
      <c r="I9623">
        <v>23.440529999999999</v>
      </c>
      <c r="J9623">
        <v>9.6421050000000008</v>
      </c>
      <c r="K9623">
        <v>79.156139999999994</v>
      </c>
      <c r="L9623">
        <v>6.786842</v>
      </c>
      <c r="M9623">
        <v>30.024909999999998</v>
      </c>
      <c r="N9623">
        <v>17.898420000000002</v>
      </c>
      <c r="O9623">
        <v>12.12649</v>
      </c>
      <c r="P9623">
        <v>22.8</v>
      </c>
      <c r="Q9623">
        <v>23.598420000000001</v>
      </c>
      <c r="R9623">
        <v>24.3</v>
      </c>
      <c r="S9623">
        <v>22.54053</v>
      </c>
      <c r="T9623">
        <v>1564.125</v>
      </c>
      <c r="U9623">
        <v>292.01580000000001</v>
      </c>
      <c r="V9623">
        <v>18</v>
      </c>
      <c r="W9623">
        <v>63</v>
      </c>
      <c r="X9623">
        <v>671.01580000000001</v>
      </c>
      <c r="Y9623">
        <v>81</v>
      </c>
      <c r="Z9623">
        <v>305.26490000000001</v>
      </c>
      <c r="AA9623">
        <v>463.69819999999999</v>
      </c>
      <c r="AB9623">
        <v>35.438409999999998</v>
      </c>
      <c r="AC9623">
        <v>1.0063539999999999E-2</v>
      </c>
      <c r="AD9623">
        <v>4.4494119999999997</v>
      </c>
      <c r="AE9623">
        <v>0.293684</v>
      </c>
      <c r="AF9623">
        <v>716.39649999999995</v>
      </c>
      <c r="AG9623">
        <f>IFERROR(AH9623*0.1, "N/A")</f>
        <v>5</v>
      </c>
      <c r="AH9623">
        <v>50</v>
      </c>
      <c r="AI9623">
        <v>197.78039999999999</v>
      </c>
      <c r="AJ9623">
        <v>39.026319999999998</v>
      </c>
      <c r="AK9623">
        <v>49.55789</v>
      </c>
    </row>
    <row r="9624" spans="1:37" x14ac:dyDescent="0.3">
      <c r="A9624">
        <v>9623</v>
      </c>
      <c r="B9624">
        <v>0</v>
      </c>
      <c r="C9624">
        <v>12.933299999999999</v>
      </c>
      <c r="D9624">
        <v>4.3833299999999999</v>
      </c>
      <c r="E9624" t="s">
        <v>14597</v>
      </c>
      <c r="F9624" t="s">
        <v>14600</v>
      </c>
      <c r="G9624" t="s">
        <v>2420</v>
      </c>
      <c r="H9624">
        <v>1990</v>
      </c>
      <c r="I9624">
        <v>23.440529999999999</v>
      </c>
      <c r="J9624">
        <v>9.6421050000000008</v>
      </c>
      <c r="K9624">
        <v>79.156139999999994</v>
      </c>
      <c r="L9624">
        <v>6.786842</v>
      </c>
      <c r="M9624">
        <v>30.024909999999998</v>
      </c>
      <c r="N9624">
        <v>17.898420000000002</v>
      </c>
      <c r="O9624">
        <v>12.12649</v>
      </c>
      <c r="P9624">
        <v>22.8</v>
      </c>
      <c r="Q9624">
        <v>23.598420000000001</v>
      </c>
      <c r="R9624">
        <v>24.3</v>
      </c>
      <c r="S9624">
        <v>22.54053</v>
      </c>
      <c r="T9624">
        <v>1564.125</v>
      </c>
      <c r="U9624">
        <v>292.01580000000001</v>
      </c>
      <c r="V9624">
        <v>18</v>
      </c>
      <c r="W9624">
        <v>63</v>
      </c>
      <c r="X9624">
        <v>671.01580000000001</v>
      </c>
      <c r="Y9624">
        <v>81</v>
      </c>
      <c r="Z9624">
        <v>305.26490000000001</v>
      </c>
      <c r="AA9624">
        <v>463.69819999999999</v>
      </c>
      <c r="AB9624">
        <v>35.438409999999998</v>
      </c>
      <c r="AC9624">
        <v>1.0063539999999999E-2</v>
      </c>
      <c r="AD9624">
        <v>4.4494119999999997</v>
      </c>
      <c r="AE9624">
        <v>0.293684</v>
      </c>
      <c r="AF9624">
        <v>716.39649999999995</v>
      </c>
      <c r="AG9624">
        <f>IFERROR(AH9624*0.1, "N/A")</f>
        <v>5</v>
      </c>
      <c r="AH9624">
        <v>50</v>
      </c>
      <c r="AI9624">
        <v>197.78039999999999</v>
      </c>
      <c r="AJ9624">
        <v>39.026319999999998</v>
      </c>
      <c r="AK9624">
        <v>49.55789</v>
      </c>
    </row>
    <row r="9625" spans="1:37" x14ac:dyDescent="0.3">
      <c r="A9625">
        <v>9624</v>
      </c>
      <c r="B9625">
        <v>0</v>
      </c>
      <c r="C9625">
        <v>10.8208</v>
      </c>
      <c r="D9625">
        <v>4.3930600000000002</v>
      </c>
      <c r="E9625" t="s">
        <v>14601</v>
      </c>
      <c r="F9625" t="s">
        <v>14602</v>
      </c>
      <c r="G9625" t="s">
        <v>37</v>
      </c>
      <c r="H9625">
        <v>1990</v>
      </c>
      <c r="I9625">
        <v>22.6</v>
      </c>
      <c r="J9625">
        <v>9</v>
      </c>
      <c r="K9625">
        <v>72</v>
      </c>
      <c r="L9625">
        <v>10.35</v>
      </c>
      <c r="M9625">
        <v>29.4</v>
      </c>
      <c r="N9625">
        <v>17</v>
      </c>
      <c r="O9625">
        <v>12.4</v>
      </c>
      <c r="P9625">
        <v>21.5</v>
      </c>
      <c r="Q9625">
        <v>23.5</v>
      </c>
      <c r="R9625">
        <v>23.7</v>
      </c>
      <c r="S9625">
        <v>21.1</v>
      </c>
      <c r="T9625">
        <v>2133</v>
      </c>
      <c r="U9625">
        <v>388</v>
      </c>
      <c r="V9625">
        <v>13</v>
      </c>
      <c r="W9625">
        <v>68</v>
      </c>
      <c r="X9625">
        <v>1044</v>
      </c>
      <c r="Y9625">
        <v>67</v>
      </c>
      <c r="Z9625">
        <v>187</v>
      </c>
      <c r="AA9625">
        <v>926</v>
      </c>
      <c r="AB9625">
        <v>43.195270000000001</v>
      </c>
      <c r="AC9625">
        <v>1.433998E-2</v>
      </c>
      <c r="AD9625">
        <v>12.44014</v>
      </c>
      <c r="AE9625">
        <v>0.34230749999999999</v>
      </c>
      <c r="AF9625">
        <v>884.97540000000004</v>
      </c>
      <c r="AG9625">
        <f>IFERROR(AH9625*0.1, "N/A")</f>
        <v>4.6343860000000001</v>
      </c>
      <c r="AH9625">
        <v>46.343859999999999</v>
      </c>
      <c r="AI9625">
        <v>228.01419999999999</v>
      </c>
      <c r="AJ9625">
        <v>30.070180000000001</v>
      </c>
      <c r="AK9625">
        <v>48.054389999999998</v>
      </c>
    </row>
    <row r="9626" spans="1:37" x14ac:dyDescent="0.3">
      <c r="A9626">
        <v>9625</v>
      </c>
      <c r="B9626">
        <v>0</v>
      </c>
      <c r="C9626">
        <v>10.8208</v>
      </c>
      <c r="D9626">
        <v>4.3930600000000002</v>
      </c>
      <c r="E9626" t="s">
        <v>14601</v>
      </c>
      <c r="F9626" t="s">
        <v>14603</v>
      </c>
      <c r="G9626" t="s">
        <v>2420</v>
      </c>
      <c r="H9626">
        <v>1990</v>
      </c>
      <c r="I9626">
        <v>22.6</v>
      </c>
      <c r="J9626">
        <v>9</v>
      </c>
      <c r="K9626">
        <v>72</v>
      </c>
      <c r="L9626">
        <v>10.35</v>
      </c>
      <c r="M9626">
        <v>29.4</v>
      </c>
      <c r="N9626">
        <v>17</v>
      </c>
      <c r="O9626">
        <v>12.4</v>
      </c>
      <c r="P9626">
        <v>21.5</v>
      </c>
      <c r="Q9626">
        <v>23.5</v>
      </c>
      <c r="R9626">
        <v>23.7</v>
      </c>
      <c r="S9626">
        <v>21.1</v>
      </c>
      <c r="T9626">
        <v>2133</v>
      </c>
      <c r="U9626">
        <v>388</v>
      </c>
      <c r="V9626">
        <v>13</v>
      </c>
      <c r="W9626">
        <v>68</v>
      </c>
      <c r="X9626">
        <v>1044</v>
      </c>
      <c r="Y9626">
        <v>67</v>
      </c>
      <c r="Z9626">
        <v>187</v>
      </c>
      <c r="AA9626">
        <v>926</v>
      </c>
      <c r="AB9626">
        <v>43.195270000000001</v>
      </c>
      <c r="AC9626">
        <v>1.433998E-2</v>
      </c>
      <c r="AD9626">
        <v>12.44014</v>
      </c>
      <c r="AE9626">
        <v>0.34230749999999999</v>
      </c>
      <c r="AF9626">
        <v>884.97540000000004</v>
      </c>
      <c r="AG9626">
        <f>IFERROR(AH9626*0.1, "N/A")</f>
        <v>4.6343860000000001</v>
      </c>
      <c r="AH9626">
        <v>46.343859999999999</v>
      </c>
      <c r="AI9626">
        <v>228.01419999999999</v>
      </c>
      <c r="AJ9626">
        <v>30.070180000000001</v>
      </c>
      <c r="AK9626">
        <v>48.054389999999998</v>
      </c>
    </row>
    <row r="9627" spans="1:37" x14ac:dyDescent="0.3">
      <c r="A9627">
        <v>9626</v>
      </c>
      <c r="B9627">
        <v>0</v>
      </c>
      <c r="C9627">
        <v>11.816700000000001</v>
      </c>
      <c r="D9627">
        <v>4.3944400000000003</v>
      </c>
      <c r="E9627" t="s">
        <v>14604</v>
      </c>
      <c r="F9627" t="s">
        <v>14605</v>
      </c>
      <c r="G9627" t="s">
        <v>37</v>
      </c>
      <c r="H9627">
        <v>1990</v>
      </c>
      <c r="I9627">
        <v>24.673729999999999</v>
      </c>
      <c r="J9627">
        <v>9.3000000000000007</v>
      </c>
      <c r="K9627">
        <v>80</v>
      </c>
      <c r="L9627">
        <v>7.3094049999999999</v>
      </c>
      <c r="M9627">
        <v>31.2</v>
      </c>
      <c r="N9627">
        <v>19.600000000000001</v>
      </c>
      <c r="O9627">
        <v>11.6</v>
      </c>
      <c r="P9627">
        <v>23.9</v>
      </c>
      <c r="Q9627">
        <v>25.27373</v>
      </c>
      <c r="R9627">
        <v>25.5</v>
      </c>
      <c r="S9627">
        <v>23.673729999999999</v>
      </c>
      <c r="T9627">
        <v>1561.7370000000001</v>
      </c>
      <c r="U9627">
        <v>287</v>
      </c>
      <c r="V9627">
        <v>13</v>
      </c>
      <c r="W9627">
        <v>65</v>
      </c>
      <c r="X9627">
        <v>655</v>
      </c>
      <c r="Y9627">
        <v>75</v>
      </c>
      <c r="Z9627">
        <v>337</v>
      </c>
      <c r="AA9627">
        <v>451</v>
      </c>
      <c r="AB9627">
        <v>16.47936</v>
      </c>
      <c r="AC9627">
        <v>4.6273250000000002E-2</v>
      </c>
      <c r="AD9627">
        <v>5.2815960000000004</v>
      </c>
      <c r="AE9627">
        <v>0.28599540000000001</v>
      </c>
      <c r="AF9627">
        <v>563.69529999999997</v>
      </c>
      <c r="AG9627">
        <f>IFERROR(AH9627*0.1, "N/A")</f>
        <v>5.3737300000000001</v>
      </c>
      <c r="AH9627">
        <v>53.737299999999998</v>
      </c>
      <c r="AI9627">
        <v>107.8008</v>
      </c>
      <c r="AJ9627">
        <v>31</v>
      </c>
      <c r="AK9627">
        <v>59.262700000000002</v>
      </c>
    </row>
    <row r="9628" spans="1:37" x14ac:dyDescent="0.3">
      <c r="A9628">
        <v>9627</v>
      </c>
      <c r="B9628">
        <v>0</v>
      </c>
      <c r="C9628">
        <v>11.816700000000001</v>
      </c>
      <c r="D9628">
        <v>4.3944400000000003</v>
      </c>
      <c r="E9628" t="s">
        <v>14604</v>
      </c>
      <c r="F9628" t="s">
        <v>14606</v>
      </c>
      <c r="G9628" t="s">
        <v>2420</v>
      </c>
      <c r="H9628">
        <v>1990</v>
      </c>
      <c r="I9628">
        <v>24.673729999999999</v>
      </c>
      <c r="J9628">
        <v>9.3000000000000007</v>
      </c>
      <c r="K9628">
        <v>80</v>
      </c>
      <c r="L9628">
        <v>7.3094049999999999</v>
      </c>
      <c r="M9628">
        <v>31.2</v>
      </c>
      <c r="N9628">
        <v>19.600000000000001</v>
      </c>
      <c r="O9628">
        <v>11.6</v>
      </c>
      <c r="P9628">
        <v>23.9</v>
      </c>
      <c r="Q9628">
        <v>25.27373</v>
      </c>
      <c r="R9628">
        <v>25.5</v>
      </c>
      <c r="S9628">
        <v>23.673729999999999</v>
      </c>
      <c r="T9628">
        <v>1561.7370000000001</v>
      </c>
      <c r="U9628">
        <v>287</v>
      </c>
      <c r="V9628">
        <v>13</v>
      </c>
      <c r="W9628">
        <v>65</v>
      </c>
      <c r="X9628">
        <v>655</v>
      </c>
      <c r="Y9628">
        <v>75</v>
      </c>
      <c r="Z9628">
        <v>337</v>
      </c>
      <c r="AA9628">
        <v>451</v>
      </c>
      <c r="AB9628">
        <v>16.47936</v>
      </c>
      <c r="AC9628">
        <v>4.6273250000000002E-2</v>
      </c>
      <c r="AD9628">
        <v>5.2815960000000004</v>
      </c>
      <c r="AE9628">
        <v>0.28599540000000001</v>
      </c>
      <c r="AF9628">
        <v>563.69529999999997</v>
      </c>
      <c r="AG9628">
        <f>IFERROR(AH9628*0.1, "N/A")</f>
        <v>5.3737300000000001</v>
      </c>
      <c r="AH9628">
        <v>53.737299999999998</v>
      </c>
      <c r="AI9628">
        <v>107.8008</v>
      </c>
      <c r="AJ9628">
        <v>31</v>
      </c>
      <c r="AK9628">
        <v>59.262700000000002</v>
      </c>
    </row>
    <row r="9629" spans="1:37" x14ac:dyDescent="0.3">
      <c r="A9629">
        <v>9628</v>
      </c>
      <c r="B9629">
        <v>0</v>
      </c>
      <c r="C9629">
        <v>11.025</v>
      </c>
      <c r="D9629">
        <v>4.3972199999999999</v>
      </c>
      <c r="E9629" t="s">
        <v>14607</v>
      </c>
      <c r="F9629" t="s">
        <v>14608</v>
      </c>
      <c r="G9629" t="s">
        <v>37</v>
      </c>
      <c r="H9629">
        <v>1990</v>
      </c>
      <c r="I9629">
        <v>25.2</v>
      </c>
      <c r="J9629">
        <v>8.8000000000000007</v>
      </c>
      <c r="K9629">
        <v>72.515730000000005</v>
      </c>
      <c r="L9629">
        <v>10.175280000000001</v>
      </c>
      <c r="M9629">
        <v>31.948429999999998</v>
      </c>
      <c r="N9629">
        <v>19.899999999999999</v>
      </c>
      <c r="O9629">
        <v>12.04843</v>
      </c>
      <c r="P9629">
        <v>24.1</v>
      </c>
      <c r="Q9629">
        <v>26.148430000000001</v>
      </c>
      <c r="R9629">
        <v>26.3</v>
      </c>
      <c r="S9629">
        <v>23.8</v>
      </c>
      <c r="T9629">
        <v>1907.673</v>
      </c>
      <c r="U9629">
        <v>333.03149999999999</v>
      </c>
      <c r="V9629">
        <v>13</v>
      </c>
      <c r="W9629">
        <v>65</v>
      </c>
      <c r="X9629">
        <v>898.61009999999999</v>
      </c>
      <c r="Y9629">
        <v>62</v>
      </c>
      <c r="Z9629">
        <v>337.51569999999998</v>
      </c>
      <c r="AA9629">
        <v>732.1259</v>
      </c>
      <c r="AB9629">
        <v>13.36557</v>
      </c>
      <c r="AC9629">
        <v>1.2665600000000001E-2</v>
      </c>
      <c r="AD9629">
        <v>1.618039</v>
      </c>
      <c r="AE9629">
        <v>0.64693679999999998</v>
      </c>
      <c r="AF9629">
        <v>439.56819999999999</v>
      </c>
      <c r="AG9629">
        <f>IFERROR(AH9629*0.1, "N/A")</f>
        <v>5.1484270000000008</v>
      </c>
      <c r="AH9629">
        <v>51.484270000000002</v>
      </c>
      <c r="AI9629">
        <v>143.05420000000001</v>
      </c>
      <c r="AJ9629">
        <v>28.998249999999999</v>
      </c>
      <c r="AK9629">
        <v>56.951050000000002</v>
      </c>
    </row>
    <row r="9630" spans="1:37" x14ac:dyDescent="0.3">
      <c r="A9630">
        <v>9629</v>
      </c>
      <c r="B9630">
        <v>0</v>
      </c>
      <c r="C9630">
        <v>11.025</v>
      </c>
      <c r="D9630">
        <v>4.3972199999999999</v>
      </c>
      <c r="E9630" t="s">
        <v>14607</v>
      </c>
      <c r="F9630" t="s">
        <v>14609</v>
      </c>
      <c r="G9630" t="s">
        <v>2420</v>
      </c>
      <c r="H9630">
        <v>1990</v>
      </c>
      <c r="I9630">
        <v>25.2</v>
      </c>
      <c r="J9630">
        <v>8.8000000000000007</v>
      </c>
      <c r="K9630">
        <v>72.515730000000005</v>
      </c>
      <c r="L9630">
        <v>10.175280000000001</v>
      </c>
      <c r="M9630">
        <v>31.948429999999998</v>
      </c>
      <c r="N9630">
        <v>19.899999999999999</v>
      </c>
      <c r="O9630">
        <v>12.04843</v>
      </c>
      <c r="P9630">
        <v>24.1</v>
      </c>
      <c r="Q9630">
        <v>26.148430000000001</v>
      </c>
      <c r="R9630">
        <v>26.3</v>
      </c>
      <c r="S9630">
        <v>23.8</v>
      </c>
      <c r="T9630">
        <v>1907.673</v>
      </c>
      <c r="U9630">
        <v>333.03149999999999</v>
      </c>
      <c r="V9630">
        <v>13</v>
      </c>
      <c r="W9630">
        <v>65</v>
      </c>
      <c r="X9630">
        <v>898.61009999999999</v>
      </c>
      <c r="Y9630">
        <v>62</v>
      </c>
      <c r="Z9630">
        <v>337.51569999999998</v>
      </c>
      <c r="AA9630">
        <v>732.1259</v>
      </c>
      <c r="AB9630">
        <v>13.36557</v>
      </c>
      <c r="AC9630">
        <v>1.2665600000000001E-2</v>
      </c>
      <c r="AD9630">
        <v>1.618039</v>
      </c>
      <c r="AE9630">
        <v>0.64693679999999998</v>
      </c>
      <c r="AF9630">
        <v>439.56819999999999</v>
      </c>
      <c r="AG9630">
        <f>IFERROR(AH9630*0.1, "N/A")</f>
        <v>5.1484270000000008</v>
      </c>
      <c r="AH9630">
        <v>51.484270000000002</v>
      </c>
      <c r="AI9630">
        <v>143.05420000000001</v>
      </c>
      <c r="AJ9630">
        <v>28.998249999999999</v>
      </c>
      <c r="AK9630">
        <v>56.951050000000002</v>
      </c>
    </row>
    <row r="9631" spans="1:37" x14ac:dyDescent="0.3">
      <c r="A9631">
        <v>9630</v>
      </c>
      <c r="B9631">
        <v>6.7</v>
      </c>
      <c r="C9631">
        <v>14.2111</v>
      </c>
      <c r="D9631">
        <v>4.4000000000000004</v>
      </c>
      <c r="E9631" t="s">
        <v>14610</v>
      </c>
      <c r="F9631" t="s">
        <v>14611</v>
      </c>
      <c r="G9631" t="s">
        <v>39</v>
      </c>
      <c r="H9631">
        <v>1990</v>
      </c>
      <c r="I9631">
        <v>24</v>
      </c>
      <c r="J9631">
        <v>10.5</v>
      </c>
      <c r="K9631">
        <v>76.443079999999995</v>
      </c>
      <c r="L9631">
        <v>7.5835379999999999</v>
      </c>
      <c r="M9631">
        <v>30.9</v>
      </c>
      <c r="N9631">
        <v>17.244309999999999</v>
      </c>
      <c r="O9631">
        <v>13.65569</v>
      </c>
      <c r="P9631">
        <v>23.5</v>
      </c>
      <c r="Q9631">
        <v>23.744309999999999</v>
      </c>
      <c r="R9631">
        <v>25.044309999999999</v>
      </c>
      <c r="S9631">
        <v>23.144310000000001</v>
      </c>
      <c r="T9631">
        <v>1516.671</v>
      </c>
      <c r="U9631">
        <v>254.55690000000001</v>
      </c>
      <c r="V9631">
        <v>22</v>
      </c>
      <c r="W9631">
        <v>55</v>
      </c>
      <c r="X9631">
        <v>630.11379999999997</v>
      </c>
      <c r="Y9631">
        <v>90</v>
      </c>
      <c r="Z9631">
        <v>422</v>
      </c>
      <c r="AA9631">
        <v>496.11380000000003</v>
      </c>
      <c r="AB9631">
        <v>3.385097</v>
      </c>
      <c r="AC9631">
        <v>0.45456459999999999</v>
      </c>
      <c r="AD9631">
        <v>1.6417360000000001</v>
      </c>
      <c r="AE9631">
        <v>0.189947</v>
      </c>
      <c r="AF9631">
        <v>622.03499999999997</v>
      </c>
      <c r="AG9631">
        <f>IFERROR(AH9631*0.1, "N/A")</f>
        <v>5.3922939999999997</v>
      </c>
      <c r="AH9631">
        <v>53.922939999999997</v>
      </c>
      <c r="AI9631">
        <v>190.51519999999999</v>
      </c>
      <c r="AJ9631">
        <v>37</v>
      </c>
      <c r="AK9631">
        <v>46.038530000000002</v>
      </c>
    </row>
    <row r="9632" spans="1:37" x14ac:dyDescent="0.3">
      <c r="A9632">
        <v>9631</v>
      </c>
      <c r="B9632">
        <v>0</v>
      </c>
      <c r="C9632">
        <v>14.2111</v>
      </c>
      <c r="D9632">
        <v>4.4000000000000004</v>
      </c>
      <c r="E9632" t="s">
        <v>14610</v>
      </c>
      <c r="F9632" t="s">
        <v>14612</v>
      </c>
      <c r="G9632" t="s">
        <v>37</v>
      </c>
      <c r="H9632">
        <v>1990</v>
      </c>
      <c r="I9632">
        <v>24</v>
      </c>
      <c r="J9632">
        <v>10.5</v>
      </c>
      <c r="K9632">
        <v>76.443079999999995</v>
      </c>
      <c r="L9632">
        <v>7.5835379999999999</v>
      </c>
      <c r="M9632">
        <v>30.9</v>
      </c>
      <c r="N9632">
        <v>17.244309999999999</v>
      </c>
      <c r="O9632">
        <v>13.65569</v>
      </c>
      <c r="P9632">
        <v>23.5</v>
      </c>
      <c r="Q9632">
        <v>23.744309999999999</v>
      </c>
      <c r="R9632">
        <v>25.044309999999999</v>
      </c>
      <c r="S9632">
        <v>23.144310000000001</v>
      </c>
      <c r="T9632">
        <v>1516.671</v>
      </c>
      <c r="U9632">
        <v>254.55690000000001</v>
      </c>
      <c r="V9632">
        <v>22</v>
      </c>
      <c r="W9632">
        <v>55</v>
      </c>
      <c r="X9632">
        <v>630.11379999999997</v>
      </c>
      <c r="Y9632">
        <v>90</v>
      </c>
      <c r="Z9632">
        <v>422</v>
      </c>
      <c r="AA9632">
        <v>496.11380000000003</v>
      </c>
      <c r="AB9632">
        <v>3.385097</v>
      </c>
      <c r="AC9632">
        <v>0.45456459999999999</v>
      </c>
      <c r="AD9632">
        <v>1.6417360000000001</v>
      </c>
      <c r="AE9632">
        <v>0.189947</v>
      </c>
      <c r="AF9632">
        <v>622.03499999999997</v>
      </c>
      <c r="AG9632">
        <f>IFERROR(AH9632*0.1, "N/A")</f>
        <v>5.3922939999999997</v>
      </c>
      <c r="AH9632">
        <v>53.922939999999997</v>
      </c>
      <c r="AI9632">
        <v>190.51519999999999</v>
      </c>
      <c r="AJ9632">
        <v>37</v>
      </c>
      <c r="AK9632">
        <v>46.038530000000002</v>
      </c>
    </row>
    <row r="9633" spans="1:37" x14ac:dyDescent="0.3">
      <c r="A9633">
        <v>9632</v>
      </c>
      <c r="B9633">
        <v>0</v>
      </c>
      <c r="C9633">
        <v>14.2111</v>
      </c>
      <c r="D9633">
        <v>4.4000000000000004</v>
      </c>
      <c r="E9633" t="s">
        <v>14610</v>
      </c>
      <c r="F9633" t="s">
        <v>14613</v>
      </c>
      <c r="G9633" t="s">
        <v>2420</v>
      </c>
      <c r="H9633">
        <v>1990</v>
      </c>
      <c r="I9633">
        <v>24</v>
      </c>
      <c r="J9633">
        <v>10.5</v>
      </c>
      <c r="K9633">
        <v>76.443079999999995</v>
      </c>
      <c r="L9633">
        <v>7.5835379999999999</v>
      </c>
      <c r="M9633">
        <v>30.9</v>
      </c>
      <c r="N9633">
        <v>17.244309999999999</v>
      </c>
      <c r="O9633">
        <v>13.65569</v>
      </c>
      <c r="P9633">
        <v>23.5</v>
      </c>
      <c r="Q9633">
        <v>23.744309999999999</v>
      </c>
      <c r="R9633">
        <v>25.044309999999999</v>
      </c>
      <c r="S9633">
        <v>23.144310000000001</v>
      </c>
      <c r="T9633">
        <v>1516.671</v>
      </c>
      <c r="U9633">
        <v>254.55690000000001</v>
      </c>
      <c r="V9633">
        <v>22</v>
      </c>
      <c r="W9633">
        <v>55</v>
      </c>
      <c r="X9633">
        <v>630.11379999999997</v>
      </c>
      <c r="Y9633">
        <v>90</v>
      </c>
      <c r="Z9633">
        <v>422</v>
      </c>
      <c r="AA9633">
        <v>496.11380000000003</v>
      </c>
      <c r="AB9633">
        <v>3.385097</v>
      </c>
      <c r="AC9633">
        <v>0.45456459999999999</v>
      </c>
      <c r="AD9633">
        <v>1.6417360000000001</v>
      </c>
      <c r="AE9633">
        <v>0.189947</v>
      </c>
      <c r="AF9633">
        <v>622.03499999999997</v>
      </c>
      <c r="AG9633">
        <f>IFERROR(AH9633*0.1, "N/A")</f>
        <v>5.3922939999999997</v>
      </c>
      <c r="AH9633">
        <v>53.922939999999997</v>
      </c>
      <c r="AI9633">
        <v>190.51519999999999</v>
      </c>
      <c r="AJ9633">
        <v>37</v>
      </c>
      <c r="AK9633">
        <v>46.038530000000002</v>
      </c>
    </row>
    <row r="9634" spans="1:37" x14ac:dyDescent="0.3">
      <c r="A9634">
        <v>9633</v>
      </c>
      <c r="B9634">
        <v>10.8</v>
      </c>
      <c r="C9634">
        <v>11.3833</v>
      </c>
      <c r="D9634">
        <v>4.4000000000000004</v>
      </c>
      <c r="E9634" t="s">
        <v>14614</v>
      </c>
      <c r="F9634" t="s">
        <v>14615</v>
      </c>
      <c r="G9634" t="s">
        <v>37</v>
      </c>
      <c r="H9634">
        <v>2004</v>
      </c>
      <c r="I9634">
        <v>24.89772</v>
      </c>
      <c r="J9634">
        <v>9.1</v>
      </c>
      <c r="K9634">
        <v>76.443079999999995</v>
      </c>
      <c r="L9634">
        <v>8.7003679999999992</v>
      </c>
      <c r="M9634">
        <v>31.58126</v>
      </c>
      <c r="N9634">
        <v>19.725570000000001</v>
      </c>
      <c r="O9634">
        <v>11.855689999999999</v>
      </c>
      <c r="P9634">
        <v>23.997720000000001</v>
      </c>
      <c r="Q9634">
        <v>25.69772</v>
      </c>
      <c r="R9634">
        <v>25.89772</v>
      </c>
      <c r="S9634">
        <v>23.725570000000001</v>
      </c>
      <c r="T9634">
        <v>1631.7619999999999</v>
      </c>
      <c r="U9634">
        <v>298.83539999999999</v>
      </c>
      <c r="V9634">
        <v>13</v>
      </c>
      <c r="W9634">
        <v>64.374780000000001</v>
      </c>
      <c r="X9634">
        <v>712.08579999999995</v>
      </c>
      <c r="Y9634">
        <v>66.789839999999998</v>
      </c>
      <c r="Z9634">
        <v>334.67599999999999</v>
      </c>
      <c r="AA9634">
        <v>517.38699999999994</v>
      </c>
      <c r="AB9634">
        <v>26.44556</v>
      </c>
      <c r="AC9634">
        <v>7.6081949999999995E-2</v>
      </c>
      <c r="AD9634">
        <v>4.0421040000000001</v>
      </c>
      <c r="AE9634">
        <v>0.24424689999999999</v>
      </c>
      <c r="AF9634">
        <v>515.04549999999995</v>
      </c>
      <c r="AG9634">
        <f>IFERROR(AH9634*0.1, "N/A")</f>
        <v>5.0374780000000001</v>
      </c>
      <c r="AH9634">
        <v>50.374780000000001</v>
      </c>
      <c r="AI9634">
        <v>120.7544</v>
      </c>
      <c r="AJ9634">
        <v>35.250439999999998</v>
      </c>
      <c r="AK9634">
        <v>51.374780000000001</v>
      </c>
    </row>
    <row r="9635" spans="1:37" x14ac:dyDescent="0.3">
      <c r="A9635">
        <v>9634</v>
      </c>
      <c r="B9635">
        <v>0</v>
      </c>
      <c r="C9635">
        <v>11.3833</v>
      </c>
      <c r="D9635">
        <v>4.4000000000000004</v>
      </c>
      <c r="E9635" t="s">
        <v>14614</v>
      </c>
      <c r="F9635" t="s">
        <v>14616</v>
      </c>
      <c r="G9635" t="s">
        <v>2420</v>
      </c>
      <c r="H9635">
        <v>2004</v>
      </c>
      <c r="I9635">
        <v>24.89772</v>
      </c>
      <c r="J9635">
        <v>9.1</v>
      </c>
      <c r="K9635">
        <v>76.443079999999995</v>
      </c>
      <c r="L9635">
        <v>8.7003679999999992</v>
      </c>
      <c r="M9635">
        <v>31.58126</v>
      </c>
      <c r="N9635">
        <v>19.725570000000001</v>
      </c>
      <c r="O9635">
        <v>11.855689999999999</v>
      </c>
      <c r="P9635">
        <v>23.997720000000001</v>
      </c>
      <c r="Q9635">
        <v>25.69772</v>
      </c>
      <c r="R9635">
        <v>25.89772</v>
      </c>
      <c r="S9635">
        <v>23.725570000000001</v>
      </c>
      <c r="T9635">
        <v>1631.7619999999999</v>
      </c>
      <c r="U9635">
        <v>298.83539999999999</v>
      </c>
      <c r="V9635">
        <v>13</v>
      </c>
      <c r="W9635">
        <v>64.374780000000001</v>
      </c>
      <c r="X9635">
        <v>712.08579999999995</v>
      </c>
      <c r="Y9635">
        <v>66.789839999999998</v>
      </c>
      <c r="Z9635">
        <v>334.67599999999999</v>
      </c>
      <c r="AA9635">
        <v>517.38699999999994</v>
      </c>
      <c r="AB9635">
        <v>26.44556</v>
      </c>
      <c r="AC9635">
        <v>7.6081949999999995E-2</v>
      </c>
      <c r="AD9635">
        <v>4.0421040000000001</v>
      </c>
      <c r="AE9635">
        <v>0.24424689999999999</v>
      </c>
      <c r="AF9635">
        <v>515.04549999999995</v>
      </c>
      <c r="AG9635">
        <f>IFERROR(AH9635*0.1, "N/A")</f>
        <v>5.0374780000000001</v>
      </c>
      <c r="AH9635">
        <v>50.374780000000001</v>
      </c>
      <c r="AI9635">
        <v>120.7544</v>
      </c>
      <c r="AJ9635">
        <v>35.250439999999998</v>
      </c>
      <c r="AK9635">
        <v>51.374780000000001</v>
      </c>
    </row>
    <row r="9636" spans="1:37" x14ac:dyDescent="0.3">
      <c r="A9636">
        <v>9635</v>
      </c>
      <c r="B9636">
        <v>5.5</v>
      </c>
      <c r="C9636">
        <v>11.398</v>
      </c>
      <c r="D9636">
        <v>4.4020000000000001</v>
      </c>
      <c r="E9636" t="s">
        <v>14617</v>
      </c>
      <c r="F9636" t="s">
        <v>14618</v>
      </c>
      <c r="G9636" t="s">
        <v>37</v>
      </c>
      <c r="H9636">
        <v>1987</v>
      </c>
      <c r="I9636">
        <v>25</v>
      </c>
      <c r="J9636">
        <v>9.1</v>
      </c>
      <c r="K9636">
        <v>76</v>
      </c>
      <c r="L9636">
        <v>8.7200000000000006</v>
      </c>
      <c r="M9636">
        <v>31.7</v>
      </c>
      <c r="N9636">
        <v>19.8</v>
      </c>
      <c r="O9636">
        <v>11.9</v>
      </c>
      <c r="P9636">
        <v>24.1</v>
      </c>
      <c r="Q9636">
        <v>25.8</v>
      </c>
      <c r="R9636">
        <v>26</v>
      </c>
      <c r="S9636">
        <v>23.8</v>
      </c>
      <c r="T9636">
        <v>1626</v>
      </c>
      <c r="U9636">
        <v>298</v>
      </c>
      <c r="V9636">
        <v>13</v>
      </c>
      <c r="W9636">
        <v>65</v>
      </c>
      <c r="X9636">
        <v>708</v>
      </c>
      <c r="Y9636">
        <v>67</v>
      </c>
      <c r="Z9636">
        <v>335</v>
      </c>
      <c r="AA9636">
        <v>513</v>
      </c>
      <c r="AB9636">
        <v>24.355460000000001</v>
      </c>
      <c r="AC9636">
        <v>2.2688380000000001E-2</v>
      </c>
      <c r="AD9636">
        <v>5.2172619999999998</v>
      </c>
      <c r="AE9636">
        <v>0.2666405</v>
      </c>
      <c r="AF9636">
        <v>498.26760000000002</v>
      </c>
      <c r="AG9636">
        <f>IFERROR(AH9636*0.1, "N/A")</f>
        <v>5.1000000000000005</v>
      </c>
      <c r="AH9636">
        <v>51</v>
      </c>
      <c r="AI9636">
        <v>103.07170000000001</v>
      </c>
      <c r="AJ9636">
        <v>33.665489999999998</v>
      </c>
      <c r="AK9636">
        <v>56.001759999999997</v>
      </c>
    </row>
    <row r="9637" spans="1:37" x14ac:dyDescent="0.3">
      <c r="A9637">
        <v>9636</v>
      </c>
      <c r="B9637">
        <v>11.4</v>
      </c>
      <c r="C9637">
        <v>11.398</v>
      </c>
      <c r="D9637">
        <v>4.4020000000000001</v>
      </c>
      <c r="E9637" t="s">
        <v>14617</v>
      </c>
      <c r="F9637" t="s">
        <v>14619</v>
      </c>
      <c r="G9637" t="s">
        <v>2420</v>
      </c>
      <c r="H9637">
        <v>1987</v>
      </c>
      <c r="I9637">
        <v>25</v>
      </c>
      <c r="J9637">
        <v>9.1</v>
      </c>
      <c r="K9637">
        <v>76</v>
      </c>
      <c r="L9637">
        <v>8.7200000000000006</v>
      </c>
      <c r="M9637">
        <v>31.7</v>
      </c>
      <c r="N9637">
        <v>19.8</v>
      </c>
      <c r="O9637">
        <v>11.9</v>
      </c>
      <c r="P9637">
        <v>24.1</v>
      </c>
      <c r="Q9637">
        <v>25.8</v>
      </c>
      <c r="R9637">
        <v>26</v>
      </c>
      <c r="S9637">
        <v>23.8</v>
      </c>
      <c r="T9637">
        <v>1626</v>
      </c>
      <c r="U9637">
        <v>298</v>
      </c>
      <c r="V9637">
        <v>13</v>
      </c>
      <c r="W9637">
        <v>65</v>
      </c>
      <c r="X9637">
        <v>708</v>
      </c>
      <c r="Y9637">
        <v>67</v>
      </c>
      <c r="Z9637">
        <v>335</v>
      </c>
      <c r="AA9637">
        <v>513</v>
      </c>
      <c r="AB9637">
        <v>24.355460000000001</v>
      </c>
      <c r="AC9637">
        <v>2.2688380000000001E-2</v>
      </c>
      <c r="AD9637">
        <v>5.2172619999999998</v>
      </c>
      <c r="AE9637">
        <v>0.2666405</v>
      </c>
      <c r="AF9637">
        <v>498.26760000000002</v>
      </c>
      <c r="AG9637">
        <f>IFERROR(AH9637*0.1, "N/A")</f>
        <v>5.1000000000000005</v>
      </c>
      <c r="AH9637">
        <v>51</v>
      </c>
      <c r="AI9637">
        <v>103.07170000000001</v>
      </c>
      <c r="AJ9637">
        <v>33.665489999999998</v>
      </c>
      <c r="AK9637">
        <v>56.001759999999997</v>
      </c>
    </row>
    <row r="9638" spans="1:37" x14ac:dyDescent="0.3">
      <c r="A9638">
        <v>9637</v>
      </c>
      <c r="B9638">
        <v>3.8</v>
      </c>
      <c r="C9638">
        <v>11.416700000000001</v>
      </c>
      <c r="D9638">
        <v>4.4083300000000003</v>
      </c>
      <c r="E9638" t="s">
        <v>14620</v>
      </c>
      <c r="F9638" t="s">
        <v>14621</v>
      </c>
      <c r="G9638" t="s">
        <v>37</v>
      </c>
      <c r="H9638">
        <v>1990</v>
      </c>
      <c r="I9638">
        <v>25.039750000000002</v>
      </c>
      <c r="J9638">
        <v>9.1</v>
      </c>
      <c r="K9638">
        <v>77</v>
      </c>
      <c r="L9638">
        <v>8.6821190000000001</v>
      </c>
      <c r="M9638">
        <v>31.727319999999999</v>
      </c>
      <c r="N9638">
        <v>19.927320000000002</v>
      </c>
      <c r="O9638">
        <v>11.8</v>
      </c>
      <c r="P9638">
        <v>24.139759999999999</v>
      </c>
      <c r="Q9638">
        <v>25.82732</v>
      </c>
      <c r="R9638">
        <v>26.075130000000001</v>
      </c>
      <c r="S9638">
        <v>23.839749999999999</v>
      </c>
      <c r="T9638">
        <v>1616.97</v>
      </c>
      <c r="U9638">
        <v>296.48340000000002</v>
      </c>
      <c r="V9638">
        <v>13</v>
      </c>
      <c r="W9638">
        <v>65</v>
      </c>
      <c r="X9638">
        <v>701.56920000000002</v>
      </c>
      <c r="Y9638">
        <v>67</v>
      </c>
      <c r="Z9638">
        <v>333.88440000000003</v>
      </c>
      <c r="AA9638">
        <v>505.9667</v>
      </c>
      <c r="AB9638">
        <v>35.244500000000002</v>
      </c>
      <c r="AC9638">
        <v>2.0941999999999999E-2</v>
      </c>
      <c r="AD9638">
        <v>3.9338220000000002</v>
      </c>
      <c r="AE9638">
        <v>0.31983210000000001</v>
      </c>
      <c r="AF9638">
        <v>502.60250000000002</v>
      </c>
      <c r="AG9638">
        <f>IFERROR(AH9638*0.1, "N/A")</f>
        <v>5.4033270000000009</v>
      </c>
      <c r="AH9638">
        <v>54.033270000000002</v>
      </c>
      <c r="AI9638">
        <v>67.052220000000005</v>
      </c>
      <c r="AJ9638">
        <v>29.483360000000001</v>
      </c>
      <c r="AK9638">
        <v>56.516640000000002</v>
      </c>
    </row>
    <row r="9639" spans="1:37" x14ac:dyDescent="0.3">
      <c r="A9639">
        <v>9638</v>
      </c>
      <c r="B9639">
        <v>0</v>
      </c>
      <c r="C9639">
        <v>11.416700000000001</v>
      </c>
      <c r="D9639">
        <v>4.4083300000000003</v>
      </c>
      <c r="E9639" t="s">
        <v>14620</v>
      </c>
      <c r="F9639" t="s">
        <v>14622</v>
      </c>
      <c r="G9639" t="s">
        <v>2420</v>
      </c>
      <c r="H9639">
        <v>1990</v>
      </c>
      <c r="I9639">
        <v>25.039750000000002</v>
      </c>
      <c r="J9639">
        <v>9.1</v>
      </c>
      <c r="K9639">
        <v>77</v>
      </c>
      <c r="L9639">
        <v>8.6821190000000001</v>
      </c>
      <c r="M9639">
        <v>31.727319999999999</v>
      </c>
      <c r="N9639">
        <v>19.927320000000002</v>
      </c>
      <c r="O9639">
        <v>11.8</v>
      </c>
      <c r="P9639">
        <v>24.139759999999999</v>
      </c>
      <c r="Q9639">
        <v>25.82732</v>
      </c>
      <c r="R9639">
        <v>26.075130000000001</v>
      </c>
      <c r="S9639">
        <v>23.839749999999999</v>
      </c>
      <c r="T9639">
        <v>1616.97</v>
      </c>
      <c r="U9639">
        <v>296.48340000000002</v>
      </c>
      <c r="V9639">
        <v>13</v>
      </c>
      <c r="W9639">
        <v>65</v>
      </c>
      <c r="X9639">
        <v>701.56920000000002</v>
      </c>
      <c r="Y9639">
        <v>67</v>
      </c>
      <c r="Z9639">
        <v>333.88440000000003</v>
      </c>
      <c r="AA9639">
        <v>505.9667</v>
      </c>
      <c r="AB9639">
        <v>35.244500000000002</v>
      </c>
      <c r="AC9639">
        <v>2.0941999999999999E-2</v>
      </c>
      <c r="AD9639">
        <v>3.9338220000000002</v>
      </c>
      <c r="AE9639">
        <v>0.31983210000000001</v>
      </c>
      <c r="AF9639">
        <v>502.60250000000002</v>
      </c>
      <c r="AG9639">
        <f>IFERROR(AH9639*0.1, "N/A")</f>
        <v>5.4033270000000009</v>
      </c>
      <c r="AH9639">
        <v>54.033270000000002</v>
      </c>
      <c r="AI9639">
        <v>67.052220000000005</v>
      </c>
      <c r="AJ9639">
        <v>29.483360000000001</v>
      </c>
      <c r="AK9639">
        <v>56.516640000000002</v>
      </c>
    </row>
    <row r="9640" spans="1:37" x14ac:dyDescent="0.3">
      <c r="A9640">
        <v>9639</v>
      </c>
      <c r="B9640">
        <v>0</v>
      </c>
      <c r="C9640">
        <v>11.074999999999999</v>
      </c>
      <c r="D9640">
        <v>4.4222200000000003</v>
      </c>
      <c r="E9640" t="s">
        <v>14623</v>
      </c>
      <c r="F9640" t="s">
        <v>14624</v>
      </c>
      <c r="G9640" t="s">
        <v>37</v>
      </c>
      <c r="H9640">
        <v>1990</v>
      </c>
      <c r="I9640">
        <v>25.3</v>
      </c>
      <c r="J9640">
        <v>8.9</v>
      </c>
      <c r="K9640">
        <v>73</v>
      </c>
      <c r="L9640">
        <v>10.19754</v>
      </c>
      <c r="M9640">
        <v>32.1</v>
      </c>
      <c r="N9640">
        <v>20</v>
      </c>
      <c r="O9640">
        <v>12.1</v>
      </c>
      <c r="P9640">
        <v>24.3</v>
      </c>
      <c r="Q9640">
        <v>26.3</v>
      </c>
      <c r="R9640">
        <v>26.47719</v>
      </c>
      <c r="S9640">
        <v>23.9</v>
      </c>
      <c r="T9640">
        <v>1839.175</v>
      </c>
      <c r="U9640">
        <v>323.77190000000002</v>
      </c>
      <c r="V9640">
        <v>12</v>
      </c>
      <c r="W9640">
        <v>65</v>
      </c>
      <c r="X9640">
        <v>858.63160000000005</v>
      </c>
      <c r="Y9640">
        <v>60</v>
      </c>
      <c r="Z9640">
        <v>331</v>
      </c>
      <c r="AA9640">
        <v>687.40350000000001</v>
      </c>
      <c r="AB9640">
        <v>4.5408809999999997</v>
      </c>
      <c r="AC9640">
        <v>1.570011E-2</v>
      </c>
      <c r="AD9640">
        <v>1.803196</v>
      </c>
      <c r="AE9640">
        <v>0.59645040000000005</v>
      </c>
      <c r="AF9640">
        <v>419.15089999999998</v>
      </c>
      <c r="AG9640">
        <f>IFERROR(AH9640*0.1, "N/A")</f>
        <v>5.4312280000000008</v>
      </c>
      <c r="AH9640">
        <v>54.312280000000001</v>
      </c>
      <c r="AI9640">
        <v>254.86340000000001</v>
      </c>
      <c r="AJ9640">
        <v>25.33333</v>
      </c>
      <c r="AK9640">
        <v>55.9193</v>
      </c>
    </row>
    <row r="9641" spans="1:37" x14ac:dyDescent="0.3">
      <c r="A9641">
        <v>9640</v>
      </c>
      <c r="B9641">
        <v>0</v>
      </c>
      <c r="C9641">
        <v>11.074999999999999</v>
      </c>
      <c r="D9641">
        <v>4.4222200000000003</v>
      </c>
      <c r="E9641" t="s">
        <v>14623</v>
      </c>
      <c r="F9641" t="s">
        <v>14625</v>
      </c>
      <c r="G9641" t="s">
        <v>2420</v>
      </c>
      <c r="H9641">
        <v>1990</v>
      </c>
      <c r="I9641">
        <v>25.3</v>
      </c>
      <c r="J9641">
        <v>8.9</v>
      </c>
      <c r="K9641">
        <v>73</v>
      </c>
      <c r="L9641">
        <v>10.19754</v>
      </c>
      <c r="M9641">
        <v>32.1</v>
      </c>
      <c r="N9641">
        <v>20</v>
      </c>
      <c r="O9641">
        <v>12.1</v>
      </c>
      <c r="P9641">
        <v>24.3</v>
      </c>
      <c r="Q9641">
        <v>26.3</v>
      </c>
      <c r="R9641">
        <v>26.47719</v>
      </c>
      <c r="S9641">
        <v>23.9</v>
      </c>
      <c r="T9641">
        <v>1839.175</v>
      </c>
      <c r="U9641">
        <v>323.77190000000002</v>
      </c>
      <c r="V9641">
        <v>12</v>
      </c>
      <c r="W9641">
        <v>65</v>
      </c>
      <c r="X9641">
        <v>858.63160000000005</v>
      </c>
      <c r="Y9641">
        <v>60</v>
      </c>
      <c r="Z9641">
        <v>331</v>
      </c>
      <c r="AA9641">
        <v>687.40350000000001</v>
      </c>
      <c r="AB9641">
        <v>4.5408809999999997</v>
      </c>
      <c r="AC9641">
        <v>1.570011E-2</v>
      </c>
      <c r="AD9641">
        <v>1.803196</v>
      </c>
      <c r="AE9641">
        <v>0.59645040000000005</v>
      </c>
      <c r="AF9641">
        <v>419.15089999999998</v>
      </c>
      <c r="AG9641">
        <f>IFERROR(AH9641*0.1, "N/A")</f>
        <v>5.4312280000000008</v>
      </c>
      <c r="AH9641">
        <v>54.312280000000001</v>
      </c>
      <c r="AI9641">
        <v>254.86340000000001</v>
      </c>
      <c r="AJ9641">
        <v>25.33333</v>
      </c>
      <c r="AK9641">
        <v>55.9193</v>
      </c>
    </row>
    <row r="9642" spans="1:37" x14ac:dyDescent="0.3">
      <c r="A9642">
        <v>9641</v>
      </c>
      <c r="B9642">
        <v>0</v>
      </c>
      <c r="C9642">
        <v>14.362</v>
      </c>
      <c r="D9642">
        <v>4.4279999999999999</v>
      </c>
      <c r="E9642" t="s">
        <v>14626</v>
      </c>
      <c r="F9642" t="s">
        <v>14627</v>
      </c>
      <c r="G9642" t="s">
        <v>37</v>
      </c>
      <c r="H9642">
        <v>1987</v>
      </c>
      <c r="I9642">
        <v>24.1</v>
      </c>
      <c r="J9642">
        <v>10.6</v>
      </c>
      <c r="K9642">
        <v>76</v>
      </c>
      <c r="L9642">
        <v>7.77</v>
      </c>
      <c r="M9642">
        <v>31.1</v>
      </c>
      <c r="N9642">
        <v>17.3</v>
      </c>
      <c r="O9642">
        <v>13.8</v>
      </c>
      <c r="P9642">
        <v>23.6</v>
      </c>
      <c r="Q9642">
        <v>24</v>
      </c>
      <c r="R9642">
        <v>25.2</v>
      </c>
      <c r="S9642">
        <v>23.3</v>
      </c>
      <c r="T9642">
        <v>1497</v>
      </c>
      <c r="U9642">
        <v>247</v>
      </c>
      <c r="V9642">
        <v>21</v>
      </c>
      <c r="W9642">
        <v>55</v>
      </c>
      <c r="X9642">
        <v>623</v>
      </c>
      <c r="Y9642">
        <v>88</v>
      </c>
      <c r="Z9642">
        <v>270</v>
      </c>
      <c r="AA9642">
        <v>500</v>
      </c>
      <c r="AB9642">
        <v>5.8075400000000004</v>
      </c>
      <c r="AC9642">
        <v>0.63722000000000001</v>
      </c>
      <c r="AD9642">
        <v>3.788783</v>
      </c>
      <c r="AE9642">
        <v>0.78156409999999998</v>
      </c>
      <c r="AF9642">
        <v>611.77539999999999</v>
      </c>
      <c r="AG9642">
        <f>IFERROR(AH9642*0.1, "N/A")</f>
        <v>5.7280700000000007</v>
      </c>
      <c r="AH9642">
        <v>57.280700000000003</v>
      </c>
      <c r="AI9642">
        <v>153.0874</v>
      </c>
      <c r="AJ9642">
        <v>23.768419999999999</v>
      </c>
      <c r="AK9642">
        <v>60.219299999999997</v>
      </c>
    </row>
    <row r="9643" spans="1:37" x14ac:dyDescent="0.3">
      <c r="A9643">
        <v>9642</v>
      </c>
      <c r="B9643">
        <v>6.1</v>
      </c>
      <c r="C9643">
        <v>14.3667</v>
      </c>
      <c r="D9643">
        <v>4.4333299999999998</v>
      </c>
      <c r="E9643" t="s">
        <v>14628</v>
      </c>
      <c r="F9643" t="s">
        <v>14629</v>
      </c>
      <c r="G9643" t="s">
        <v>39</v>
      </c>
      <c r="H9643">
        <v>1990</v>
      </c>
      <c r="I9643">
        <v>24.1</v>
      </c>
      <c r="J9643">
        <v>10.6</v>
      </c>
      <c r="K9643">
        <v>76</v>
      </c>
      <c r="L9643">
        <v>7.7662810000000002</v>
      </c>
      <c r="M9643">
        <v>31.1</v>
      </c>
      <c r="N9643">
        <v>17.22</v>
      </c>
      <c r="O9643">
        <v>13.88</v>
      </c>
      <c r="P9643">
        <v>23.6</v>
      </c>
      <c r="Q9643">
        <v>23.907019999999999</v>
      </c>
      <c r="R9643">
        <v>25.170529999999999</v>
      </c>
      <c r="S9643">
        <v>23.3</v>
      </c>
      <c r="T9643">
        <v>1495.7860000000001</v>
      </c>
      <c r="U9643">
        <v>246.54040000000001</v>
      </c>
      <c r="V9643">
        <v>21</v>
      </c>
      <c r="W9643">
        <v>55</v>
      </c>
      <c r="X9643">
        <v>623.35090000000002</v>
      </c>
      <c r="Y9643">
        <v>86.729820000000004</v>
      </c>
      <c r="Z9643">
        <v>317.51929999999999</v>
      </c>
      <c r="AA9643">
        <v>500.6456</v>
      </c>
      <c r="AB9643">
        <v>20.794560000000001</v>
      </c>
      <c r="AC9643">
        <v>1.3561709999999999E-2</v>
      </c>
      <c r="AD9643">
        <v>1.89889</v>
      </c>
      <c r="AE9643">
        <v>0.77804519999999999</v>
      </c>
      <c r="AF9643">
        <v>628.44740000000002</v>
      </c>
      <c r="AG9643">
        <f>IFERROR(AH9643*0.1, "N/A")</f>
        <v>5.5540349999999998</v>
      </c>
      <c r="AH9643">
        <v>55.540349999999997</v>
      </c>
      <c r="AI9643">
        <v>193.96619999999999</v>
      </c>
      <c r="AJ9643">
        <v>20</v>
      </c>
      <c r="AK9643">
        <v>64</v>
      </c>
    </row>
    <row r="9644" spans="1:37" x14ac:dyDescent="0.3">
      <c r="A9644">
        <v>9643</v>
      </c>
      <c r="B9644">
        <v>0</v>
      </c>
      <c r="C9644">
        <v>14.3667</v>
      </c>
      <c r="D9644">
        <v>4.4333299999999998</v>
      </c>
      <c r="E9644" t="s">
        <v>14628</v>
      </c>
      <c r="F9644" t="s">
        <v>14630</v>
      </c>
      <c r="G9644" t="s">
        <v>37</v>
      </c>
      <c r="H9644">
        <v>1990</v>
      </c>
      <c r="I9644">
        <v>24.1</v>
      </c>
      <c r="J9644">
        <v>10.6</v>
      </c>
      <c r="K9644">
        <v>76</v>
      </c>
      <c r="L9644">
        <v>7.7662810000000002</v>
      </c>
      <c r="M9644">
        <v>31.1</v>
      </c>
      <c r="N9644">
        <v>17.22</v>
      </c>
      <c r="O9644">
        <v>13.88</v>
      </c>
      <c r="P9644">
        <v>23.6</v>
      </c>
      <c r="Q9644">
        <v>23.907019999999999</v>
      </c>
      <c r="R9644">
        <v>25.170529999999999</v>
      </c>
      <c r="S9644">
        <v>23.3</v>
      </c>
      <c r="T9644">
        <v>1495.7860000000001</v>
      </c>
      <c r="U9644">
        <v>246.54040000000001</v>
      </c>
      <c r="V9644">
        <v>21</v>
      </c>
      <c r="W9644">
        <v>55</v>
      </c>
      <c r="X9644">
        <v>623.35090000000002</v>
      </c>
      <c r="Y9644">
        <v>86.729820000000004</v>
      </c>
      <c r="Z9644">
        <v>317.51929999999999</v>
      </c>
      <c r="AA9644">
        <v>500.6456</v>
      </c>
      <c r="AB9644">
        <v>20.794560000000001</v>
      </c>
      <c r="AC9644">
        <v>1.3561709999999999E-2</v>
      </c>
      <c r="AD9644">
        <v>1.89889</v>
      </c>
      <c r="AE9644">
        <v>0.77804519999999999</v>
      </c>
      <c r="AF9644">
        <v>628.44740000000002</v>
      </c>
      <c r="AG9644">
        <f>IFERROR(AH9644*0.1, "N/A")</f>
        <v>5.5540349999999998</v>
      </c>
      <c r="AH9644">
        <v>55.540349999999997</v>
      </c>
      <c r="AI9644">
        <v>193.96619999999999</v>
      </c>
      <c r="AJ9644">
        <v>20</v>
      </c>
      <c r="AK9644">
        <v>64</v>
      </c>
    </row>
    <row r="9645" spans="1:37" x14ac:dyDescent="0.3">
      <c r="A9645">
        <v>9644</v>
      </c>
      <c r="B9645">
        <v>0</v>
      </c>
      <c r="C9645">
        <v>14.3667</v>
      </c>
      <c r="D9645">
        <v>4.4333299999999998</v>
      </c>
      <c r="E9645" t="s">
        <v>14628</v>
      </c>
      <c r="F9645" t="s">
        <v>14631</v>
      </c>
      <c r="G9645" t="s">
        <v>2420</v>
      </c>
      <c r="H9645">
        <v>1990</v>
      </c>
      <c r="I9645">
        <v>24.1</v>
      </c>
      <c r="J9645">
        <v>10.6</v>
      </c>
      <c r="K9645">
        <v>76</v>
      </c>
      <c r="L9645">
        <v>7.7662810000000002</v>
      </c>
      <c r="M9645">
        <v>31.1</v>
      </c>
      <c r="N9645">
        <v>17.22</v>
      </c>
      <c r="O9645">
        <v>13.88</v>
      </c>
      <c r="P9645">
        <v>23.6</v>
      </c>
      <c r="Q9645">
        <v>23.907019999999999</v>
      </c>
      <c r="R9645">
        <v>25.170529999999999</v>
      </c>
      <c r="S9645">
        <v>23.3</v>
      </c>
      <c r="T9645">
        <v>1495.7860000000001</v>
      </c>
      <c r="U9645">
        <v>246.54040000000001</v>
      </c>
      <c r="V9645">
        <v>21</v>
      </c>
      <c r="W9645">
        <v>55</v>
      </c>
      <c r="X9645">
        <v>623.35090000000002</v>
      </c>
      <c r="Y9645">
        <v>86.729820000000004</v>
      </c>
      <c r="Z9645">
        <v>317.51929999999999</v>
      </c>
      <c r="AA9645">
        <v>500.6456</v>
      </c>
      <c r="AB9645">
        <v>20.794560000000001</v>
      </c>
      <c r="AC9645">
        <v>1.3561709999999999E-2</v>
      </c>
      <c r="AD9645">
        <v>1.89889</v>
      </c>
      <c r="AE9645">
        <v>0.77804519999999999</v>
      </c>
      <c r="AF9645">
        <v>628.44740000000002</v>
      </c>
      <c r="AG9645">
        <f>IFERROR(AH9645*0.1, "N/A")</f>
        <v>5.5540349999999998</v>
      </c>
      <c r="AH9645">
        <v>55.540349999999997</v>
      </c>
      <c r="AI9645">
        <v>193.96619999999999</v>
      </c>
      <c r="AJ9645">
        <v>20</v>
      </c>
      <c r="AK9645">
        <v>64</v>
      </c>
    </row>
    <row r="9646" spans="1:37" x14ac:dyDescent="0.3">
      <c r="A9646">
        <v>9645</v>
      </c>
      <c r="B9646">
        <v>0</v>
      </c>
      <c r="C9646">
        <v>11.433299999999999</v>
      </c>
      <c r="D9646">
        <v>4.45</v>
      </c>
      <c r="E9646" t="s">
        <v>14632</v>
      </c>
      <c r="F9646" t="s">
        <v>14633</v>
      </c>
      <c r="G9646" t="s">
        <v>39</v>
      </c>
      <c r="H9646">
        <v>1990</v>
      </c>
      <c r="I9646">
        <v>25.25639</v>
      </c>
      <c r="J9646">
        <v>9.1</v>
      </c>
      <c r="K9646">
        <v>76.609459999999999</v>
      </c>
      <c r="L9646">
        <v>8.7987389999999994</v>
      </c>
      <c r="M9646">
        <v>31.956389999999999</v>
      </c>
      <c r="N9646">
        <v>20.117339999999999</v>
      </c>
      <c r="O9646">
        <v>11.83905</v>
      </c>
      <c r="P9646">
        <v>24.356390000000001</v>
      </c>
      <c r="Q9646">
        <v>26.05639</v>
      </c>
      <c r="R9646">
        <v>26.219609999999999</v>
      </c>
      <c r="S9646">
        <v>24.05639</v>
      </c>
      <c r="T9646">
        <v>1601.8019999999999</v>
      </c>
      <c r="U9646">
        <v>295.86689999999999</v>
      </c>
      <c r="V9646">
        <v>13</v>
      </c>
      <c r="W9646">
        <v>65</v>
      </c>
      <c r="X9646">
        <v>697.71100000000001</v>
      </c>
      <c r="Y9646">
        <v>64.243430000000004</v>
      </c>
      <c r="Z9646">
        <v>327.83010000000002</v>
      </c>
      <c r="AA9646">
        <v>502.73379999999997</v>
      </c>
      <c r="AB9646">
        <v>10.66549</v>
      </c>
      <c r="AC9646">
        <v>7.3330199999999998E-2</v>
      </c>
      <c r="AD9646">
        <v>5.7652390000000002</v>
      </c>
      <c r="AE9646">
        <v>0.335312</v>
      </c>
      <c r="AF9646">
        <v>452.33269999999999</v>
      </c>
      <c r="AG9646">
        <f>IFERROR(AH9646*0.1, "N/A")</f>
        <v>5.2793349999999997</v>
      </c>
      <c r="AH9646">
        <v>52.793349999999997</v>
      </c>
      <c r="AI9646">
        <v>197.52500000000001</v>
      </c>
      <c r="AJ9646">
        <v>30.073560000000001</v>
      </c>
      <c r="AK9646">
        <v>55.192639999999997</v>
      </c>
    </row>
    <row r="9647" spans="1:37" x14ac:dyDescent="0.3">
      <c r="A9647">
        <v>9646</v>
      </c>
      <c r="B9647">
        <v>0</v>
      </c>
      <c r="C9647">
        <v>11.433299999999999</v>
      </c>
      <c r="D9647">
        <v>4.45</v>
      </c>
      <c r="E9647" t="s">
        <v>14632</v>
      </c>
      <c r="F9647" t="s">
        <v>14634</v>
      </c>
      <c r="G9647" t="s">
        <v>37</v>
      </c>
      <c r="H9647">
        <v>1990</v>
      </c>
      <c r="I9647">
        <v>25.25639</v>
      </c>
      <c r="J9647">
        <v>9.1</v>
      </c>
      <c r="K9647">
        <v>76.609459999999999</v>
      </c>
      <c r="L9647">
        <v>8.7987389999999994</v>
      </c>
      <c r="M9647">
        <v>31.956389999999999</v>
      </c>
      <c r="N9647">
        <v>20.117339999999999</v>
      </c>
      <c r="O9647">
        <v>11.83905</v>
      </c>
      <c r="P9647">
        <v>24.356390000000001</v>
      </c>
      <c r="Q9647">
        <v>26.05639</v>
      </c>
      <c r="R9647">
        <v>26.219609999999999</v>
      </c>
      <c r="S9647">
        <v>24.05639</v>
      </c>
      <c r="T9647">
        <v>1601.8019999999999</v>
      </c>
      <c r="U9647">
        <v>295.86689999999999</v>
      </c>
      <c r="V9647">
        <v>13</v>
      </c>
      <c r="W9647">
        <v>65</v>
      </c>
      <c r="X9647">
        <v>697.71100000000001</v>
      </c>
      <c r="Y9647">
        <v>64.243430000000004</v>
      </c>
      <c r="Z9647">
        <v>327.83010000000002</v>
      </c>
      <c r="AA9647">
        <v>502.73379999999997</v>
      </c>
      <c r="AB9647">
        <v>10.66549</v>
      </c>
      <c r="AC9647">
        <v>7.3330199999999998E-2</v>
      </c>
      <c r="AD9647">
        <v>5.7652390000000002</v>
      </c>
      <c r="AE9647">
        <v>0.335312</v>
      </c>
      <c r="AF9647">
        <v>452.33269999999999</v>
      </c>
      <c r="AG9647">
        <f>IFERROR(AH9647*0.1, "N/A")</f>
        <v>5.2793349999999997</v>
      </c>
      <c r="AH9647">
        <v>52.793349999999997</v>
      </c>
      <c r="AI9647">
        <v>197.52500000000001</v>
      </c>
      <c r="AJ9647">
        <v>30.073560000000001</v>
      </c>
      <c r="AK9647">
        <v>55.192639999999997</v>
      </c>
    </row>
    <row r="9648" spans="1:37" x14ac:dyDescent="0.3">
      <c r="A9648">
        <v>9647</v>
      </c>
      <c r="B9648">
        <v>0</v>
      </c>
      <c r="C9648">
        <v>11.433299999999999</v>
      </c>
      <c r="D9648">
        <v>4.45</v>
      </c>
      <c r="E9648" t="s">
        <v>14632</v>
      </c>
      <c r="F9648" t="s">
        <v>14635</v>
      </c>
      <c r="G9648" t="s">
        <v>2420</v>
      </c>
      <c r="H9648">
        <v>1990</v>
      </c>
      <c r="I9648">
        <v>25.25639</v>
      </c>
      <c r="J9648">
        <v>9.1</v>
      </c>
      <c r="K9648">
        <v>76.609459999999999</v>
      </c>
      <c r="L9648">
        <v>8.7987389999999994</v>
      </c>
      <c r="M9648">
        <v>31.956389999999999</v>
      </c>
      <c r="N9648">
        <v>20.117339999999999</v>
      </c>
      <c r="O9648">
        <v>11.83905</v>
      </c>
      <c r="P9648">
        <v>24.356390000000001</v>
      </c>
      <c r="Q9648">
        <v>26.05639</v>
      </c>
      <c r="R9648">
        <v>26.219609999999999</v>
      </c>
      <c r="S9648">
        <v>24.05639</v>
      </c>
      <c r="T9648">
        <v>1601.8019999999999</v>
      </c>
      <c r="U9648">
        <v>295.86689999999999</v>
      </c>
      <c r="V9648">
        <v>13</v>
      </c>
      <c r="W9648">
        <v>65</v>
      </c>
      <c r="X9648">
        <v>697.71100000000001</v>
      </c>
      <c r="Y9648">
        <v>64.243430000000004</v>
      </c>
      <c r="Z9648">
        <v>327.83010000000002</v>
      </c>
      <c r="AA9648">
        <v>502.73379999999997</v>
      </c>
      <c r="AB9648">
        <v>10.66549</v>
      </c>
      <c r="AC9648">
        <v>7.3330199999999998E-2</v>
      </c>
      <c r="AD9648">
        <v>5.7652390000000002</v>
      </c>
      <c r="AE9648">
        <v>0.335312</v>
      </c>
      <c r="AF9648">
        <v>452.33269999999999</v>
      </c>
      <c r="AG9648">
        <f>IFERROR(AH9648*0.1, "N/A")</f>
        <v>5.2793349999999997</v>
      </c>
      <c r="AH9648">
        <v>52.793349999999997</v>
      </c>
      <c r="AI9648">
        <v>197.52500000000001</v>
      </c>
      <c r="AJ9648">
        <v>30.073560000000001</v>
      </c>
      <c r="AK9648">
        <v>55.192639999999997</v>
      </c>
    </row>
    <row r="9649" spans="1:37" x14ac:dyDescent="0.3">
      <c r="A9649">
        <v>9648</v>
      </c>
      <c r="B9649">
        <v>0</v>
      </c>
      <c r="C9649">
        <v>11.625</v>
      </c>
      <c r="D9649">
        <v>4.4555600000000002</v>
      </c>
      <c r="E9649" t="s">
        <v>14636</v>
      </c>
      <c r="F9649" t="s">
        <v>14637</v>
      </c>
      <c r="G9649" t="s">
        <v>39</v>
      </c>
      <c r="H9649">
        <v>1990</v>
      </c>
      <c r="I9649">
        <v>24.942350000000001</v>
      </c>
      <c r="J9649">
        <v>9.1999999999999993</v>
      </c>
      <c r="K9649">
        <v>77</v>
      </c>
      <c r="L9649">
        <v>8.2327069999999996</v>
      </c>
      <c r="M9649">
        <v>31.6</v>
      </c>
      <c r="N9649">
        <v>19.8</v>
      </c>
      <c r="O9649">
        <v>11.8</v>
      </c>
      <c r="P9649">
        <v>24.042359999999999</v>
      </c>
      <c r="Q9649">
        <v>25.64236</v>
      </c>
      <c r="R9649">
        <v>25.9</v>
      </c>
      <c r="S9649">
        <v>23.84235</v>
      </c>
      <c r="T9649">
        <v>1569.576</v>
      </c>
      <c r="U9649">
        <v>287</v>
      </c>
      <c r="V9649">
        <v>12</v>
      </c>
      <c r="W9649">
        <v>65</v>
      </c>
      <c r="X9649">
        <v>666</v>
      </c>
      <c r="Y9649">
        <v>70</v>
      </c>
      <c r="Z9649">
        <v>334.57639999999998</v>
      </c>
      <c r="AA9649">
        <v>468</v>
      </c>
      <c r="AB9649">
        <v>34.195059999999998</v>
      </c>
      <c r="AC9649">
        <v>1.6655670000000001E-2</v>
      </c>
      <c r="AD9649">
        <v>5.7117399999999998</v>
      </c>
      <c r="AE9649">
        <v>0.65791790000000006</v>
      </c>
      <c r="AF9649">
        <v>519.44110000000001</v>
      </c>
      <c r="AG9649">
        <f>IFERROR(AH9649*0.1, "N/A")</f>
        <v>5.5158170000000002</v>
      </c>
      <c r="AH9649">
        <v>55.158169999999998</v>
      </c>
      <c r="AI9649">
        <v>48.941119999999998</v>
      </c>
      <c r="AJ9649">
        <v>24.39367</v>
      </c>
      <c r="AK9649">
        <v>58.857640000000004</v>
      </c>
    </row>
    <row r="9650" spans="1:37" x14ac:dyDescent="0.3">
      <c r="A9650">
        <v>9649</v>
      </c>
      <c r="B9650">
        <v>16.2</v>
      </c>
      <c r="C9650">
        <v>11.625</v>
      </c>
      <c r="D9650">
        <v>4.4555600000000002</v>
      </c>
      <c r="E9650" t="s">
        <v>14636</v>
      </c>
      <c r="F9650" t="s">
        <v>14638</v>
      </c>
      <c r="G9650" t="s">
        <v>37</v>
      </c>
      <c r="H9650">
        <v>1990</v>
      </c>
      <c r="I9650">
        <v>24.942350000000001</v>
      </c>
      <c r="J9650">
        <v>9.1999999999999993</v>
      </c>
      <c r="K9650">
        <v>77</v>
      </c>
      <c r="L9650">
        <v>8.2327069999999996</v>
      </c>
      <c r="M9650">
        <v>31.6</v>
      </c>
      <c r="N9650">
        <v>19.8</v>
      </c>
      <c r="O9650">
        <v>11.8</v>
      </c>
      <c r="P9650">
        <v>24.042359999999999</v>
      </c>
      <c r="Q9650">
        <v>25.64236</v>
      </c>
      <c r="R9650">
        <v>25.9</v>
      </c>
      <c r="S9650">
        <v>23.84235</v>
      </c>
      <c r="T9650">
        <v>1569.576</v>
      </c>
      <c r="U9650">
        <v>287</v>
      </c>
      <c r="V9650">
        <v>12</v>
      </c>
      <c r="W9650">
        <v>65</v>
      </c>
      <c r="X9650">
        <v>666</v>
      </c>
      <c r="Y9650">
        <v>70</v>
      </c>
      <c r="Z9650">
        <v>334.57639999999998</v>
      </c>
      <c r="AA9650">
        <v>468</v>
      </c>
      <c r="AB9650">
        <v>34.195059999999998</v>
      </c>
      <c r="AC9650">
        <v>1.6655670000000001E-2</v>
      </c>
      <c r="AD9650">
        <v>5.7117399999999998</v>
      </c>
      <c r="AE9650">
        <v>0.65791790000000006</v>
      </c>
      <c r="AF9650">
        <v>519.44110000000001</v>
      </c>
      <c r="AG9650">
        <f>IFERROR(AH9650*0.1, "N/A")</f>
        <v>5.5158170000000002</v>
      </c>
      <c r="AH9650">
        <v>55.158169999999998</v>
      </c>
      <c r="AI9650">
        <v>48.941119999999998</v>
      </c>
      <c r="AJ9650">
        <v>24.39367</v>
      </c>
      <c r="AK9650">
        <v>58.857640000000004</v>
      </c>
    </row>
    <row r="9651" spans="1:37" x14ac:dyDescent="0.3">
      <c r="A9651">
        <v>9650</v>
      </c>
      <c r="B9651">
        <v>0</v>
      </c>
      <c r="C9651">
        <v>11.625</v>
      </c>
      <c r="D9651">
        <v>4.4555600000000002</v>
      </c>
      <c r="E9651" t="s">
        <v>14636</v>
      </c>
      <c r="F9651" t="s">
        <v>14639</v>
      </c>
      <c r="G9651" t="s">
        <v>2420</v>
      </c>
      <c r="H9651">
        <v>1990</v>
      </c>
      <c r="I9651">
        <v>24.942350000000001</v>
      </c>
      <c r="J9651">
        <v>9.1999999999999993</v>
      </c>
      <c r="K9651">
        <v>77</v>
      </c>
      <c r="L9651">
        <v>8.2327069999999996</v>
      </c>
      <c r="M9651">
        <v>31.6</v>
      </c>
      <c r="N9651">
        <v>19.8</v>
      </c>
      <c r="O9651">
        <v>11.8</v>
      </c>
      <c r="P9651">
        <v>24.042359999999999</v>
      </c>
      <c r="Q9651">
        <v>25.64236</v>
      </c>
      <c r="R9651">
        <v>25.9</v>
      </c>
      <c r="S9651">
        <v>23.84235</v>
      </c>
      <c r="T9651">
        <v>1569.576</v>
      </c>
      <c r="U9651">
        <v>287</v>
      </c>
      <c r="V9651">
        <v>12</v>
      </c>
      <c r="W9651">
        <v>65</v>
      </c>
      <c r="X9651">
        <v>666</v>
      </c>
      <c r="Y9651">
        <v>70</v>
      </c>
      <c r="Z9651">
        <v>334.57639999999998</v>
      </c>
      <c r="AA9651">
        <v>468</v>
      </c>
      <c r="AB9651">
        <v>34.195059999999998</v>
      </c>
      <c r="AC9651">
        <v>1.6655670000000001E-2</v>
      </c>
      <c r="AD9651">
        <v>5.7117399999999998</v>
      </c>
      <c r="AE9651">
        <v>0.65791790000000006</v>
      </c>
      <c r="AF9651">
        <v>519.44110000000001</v>
      </c>
      <c r="AG9651">
        <f>IFERROR(AH9651*0.1, "N/A")</f>
        <v>5.5158170000000002</v>
      </c>
      <c r="AH9651">
        <v>55.158169999999998</v>
      </c>
      <c r="AI9651">
        <v>48.941119999999998</v>
      </c>
      <c r="AJ9651">
        <v>24.39367</v>
      </c>
      <c r="AK9651">
        <v>58.857640000000004</v>
      </c>
    </row>
    <row r="9652" spans="1:37" x14ac:dyDescent="0.3">
      <c r="A9652">
        <v>9651</v>
      </c>
      <c r="B9652">
        <v>76</v>
      </c>
      <c r="C9652">
        <v>9.2479999999999993</v>
      </c>
      <c r="D9652">
        <v>4.4660000000000002</v>
      </c>
      <c r="E9652" t="s">
        <v>14640</v>
      </c>
      <c r="F9652" t="s">
        <v>14641</v>
      </c>
      <c r="G9652" t="s">
        <v>39</v>
      </c>
      <c r="H9652">
        <v>1987</v>
      </c>
      <c r="I9652">
        <v>25.7</v>
      </c>
      <c r="J9652">
        <v>8</v>
      </c>
      <c r="K9652">
        <v>77</v>
      </c>
      <c r="L9652">
        <v>8.0881399999999992</v>
      </c>
      <c r="M9652">
        <v>31.5</v>
      </c>
      <c r="N9652">
        <v>21.2</v>
      </c>
      <c r="O9652">
        <v>10.3</v>
      </c>
      <c r="P9652">
        <v>24.4</v>
      </c>
      <c r="Q9652">
        <v>26.2</v>
      </c>
      <c r="R9652">
        <v>26.6</v>
      </c>
      <c r="S9652">
        <v>24.4</v>
      </c>
      <c r="T9652">
        <v>3047.5120000000002</v>
      </c>
      <c r="U9652">
        <v>469.2561</v>
      </c>
      <c r="V9652">
        <v>46</v>
      </c>
      <c r="W9652">
        <v>53</v>
      </c>
      <c r="X9652">
        <v>1291.6980000000001</v>
      </c>
      <c r="Y9652">
        <v>199</v>
      </c>
      <c r="Z9652">
        <v>565</v>
      </c>
      <c r="AA9652">
        <v>1291.6980000000001</v>
      </c>
      <c r="AB9652">
        <v>0.17543880000000001</v>
      </c>
      <c r="AC9652">
        <v>4.3681270000000003</v>
      </c>
      <c r="AD9652">
        <v>2.262159</v>
      </c>
      <c r="AE9652">
        <v>0.23900579999999999</v>
      </c>
      <c r="AF9652">
        <v>89.68947</v>
      </c>
      <c r="AG9652">
        <f>IFERROR(AH9652*0.1, "N/A")</f>
        <v>4.8298250000000005</v>
      </c>
      <c r="AH9652">
        <v>48.298250000000003</v>
      </c>
      <c r="AI9652">
        <v>173.62010000000001</v>
      </c>
      <c r="AJ9652">
        <v>29.701750000000001</v>
      </c>
      <c r="AK9652">
        <v>52.649120000000003</v>
      </c>
    </row>
    <row r="9653" spans="1:37" x14ac:dyDescent="0.3">
      <c r="A9653">
        <v>9652</v>
      </c>
      <c r="B9653">
        <v>0</v>
      </c>
      <c r="C9653">
        <v>9.5355600000000003</v>
      </c>
      <c r="D9653">
        <v>4.49472</v>
      </c>
      <c r="E9653" t="s">
        <v>14642</v>
      </c>
      <c r="F9653" t="s">
        <v>14643</v>
      </c>
      <c r="G9653" t="s">
        <v>39</v>
      </c>
      <c r="H9653">
        <v>1990</v>
      </c>
      <c r="I9653">
        <v>26.1</v>
      </c>
      <c r="J9653">
        <v>8</v>
      </c>
      <c r="K9653">
        <v>77</v>
      </c>
      <c r="L9653">
        <v>8.6199999999999992</v>
      </c>
      <c r="M9653">
        <v>32.1</v>
      </c>
      <c r="N9653">
        <v>21.8</v>
      </c>
      <c r="O9653">
        <v>10.3</v>
      </c>
      <c r="P9653">
        <v>24.9</v>
      </c>
      <c r="Q9653">
        <v>26.7</v>
      </c>
      <c r="R9653">
        <v>27.1</v>
      </c>
      <c r="S9653">
        <v>24.9</v>
      </c>
      <c r="T9653">
        <v>2953</v>
      </c>
      <c r="U9653">
        <v>458</v>
      </c>
      <c r="V9653">
        <v>33</v>
      </c>
      <c r="W9653">
        <v>61</v>
      </c>
      <c r="X9653">
        <v>1329</v>
      </c>
      <c r="Y9653">
        <v>147</v>
      </c>
      <c r="Z9653">
        <v>479</v>
      </c>
      <c r="AA9653">
        <v>1329</v>
      </c>
      <c r="AB9653">
        <v>24.750260000000001</v>
      </c>
      <c r="AC9653">
        <v>7.3223999999999997E-2</v>
      </c>
      <c r="AD9653">
        <v>4.099723</v>
      </c>
      <c r="AE9653">
        <v>0.30625599999999997</v>
      </c>
      <c r="AF9653">
        <v>102.2548</v>
      </c>
      <c r="AG9653">
        <f>IFERROR(AH9653*0.1, "N/A")</f>
        <v>5.2548330000000005</v>
      </c>
      <c r="AH9653">
        <v>52.54833</v>
      </c>
      <c r="AI9653">
        <v>263.94170000000003</v>
      </c>
      <c r="AJ9653">
        <v>31.15466</v>
      </c>
      <c r="AK9653">
        <v>57.312829999999998</v>
      </c>
    </row>
    <row r="9654" spans="1:37" x14ac:dyDescent="0.3">
      <c r="A9654">
        <v>9653</v>
      </c>
      <c r="B9654">
        <v>0</v>
      </c>
      <c r="C9654">
        <v>9.5355600000000003</v>
      </c>
      <c r="D9654">
        <v>4.49472</v>
      </c>
      <c r="E9654" t="s">
        <v>14642</v>
      </c>
      <c r="F9654" t="s">
        <v>14644</v>
      </c>
      <c r="G9654" t="s">
        <v>37</v>
      </c>
      <c r="H9654">
        <v>1990</v>
      </c>
      <c r="I9654">
        <v>26.1</v>
      </c>
      <c r="J9654">
        <v>8</v>
      </c>
      <c r="K9654">
        <v>77</v>
      </c>
      <c r="L9654">
        <v>8.6199999999999992</v>
      </c>
      <c r="M9654">
        <v>32.1</v>
      </c>
      <c r="N9654">
        <v>21.8</v>
      </c>
      <c r="O9654">
        <v>10.3</v>
      </c>
      <c r="P9654">
        <v>24.9</v>
      </c>
      <c r="Q9654">
        <v>26.7</v>
      </c>
      <c r="R9654">
        <v>27.1</v>
      </c>
      <c r="S9654">
        <v>24.9</v>
      </c>
      <c r="T9654">
        <v>2953</v>
      </c>
      <c r="U9654">
        <v>458</v>
      </c>
      <c r="V9654">
        <v>33</v>
      </c>
      <c r="W9654">
        <v>61</v>
      </c>
      <c r="X9654">
        <v>1329</v>
      </c>
      <c r="Y9654">
        <v>147</v>
      </c>
      <c r="Z9654">
        <v>479</v>
      </c>
      <c r="AA9654">
        <v>1329</v>
      </c>
      <c r="AB9654">
        <v>24.750260000000001</v>
      </c>
      <c r="AC9654">
        <v>7.3223999999999997E-2</v>
      </c>
      <c r="AD9654">
        <v>4.099723</v>
      </c>
      <c r="AE9654">
        <v>0.30625599999999997</v>
      </c>
      <c r="AF9654">
        <v>102.2548</v>
      </c>
      <c r="AG9654">
        <f>IFERROR(AH9654*0.1, "N/A")</f>
        <v>5.2548330000000005</v>
      </c>
      <c r="AH9654">
        <v>52.54833</v>
      </c>
      <c r="AI9654">
        <v>263.94170000000003</v>
      </c>
      <c r="AJ9654">
        <v>31.15466</v>
      </c>
      <c r="AK9654">
        <v>57.312829999999998</v>
      </c>
    </row>
    <row r="9655" spans="1:37" x14ac:dyDescent="0.3">
      <c r="A9655">
        <v>9654</v>
      </c>
      <c r="B9655">
        <v>0</v>
      </c>
      <c r="C9655">
        <v>9.5355600000000003</v>
      </c>
      <c r="D9655">
        <v>4.49472</v>
      </c>
      <c r="E9655" t="s">
        <v>14642</v>
      </c>
      <c r="F9655" t="s">
        <v>14645</v>
      </c>
      <c r="G9655" t="s">
        <v>2420</v>
      </c>
      <c r="H9655">
        <v>1990</v>
      </c>
      <c r="I9655">
        <v>26.1</v>
      </c>
      <c r="J9655">
        <v>8</v>
      </c>
      <c r="K9655">
        <v>77</v>
      </c>
      <c r="L9655">
        <v>8.6199999999999992</v>
      </c>
      <c r="M9655">
        <v>32.1</v>
      </c>
      <c r="N9655">
        <v>21.8</v>
      </c>
      <c r="O9655">
        <v>10.3</v>
      </c>
      <c r="P9655">
        <v>24.9</v>
      </c>
      <c r="Q9655">
        <v>26.7</v>
      </c>
      <c r="R9655">
        <v>27.1</v>
      </c>
      <c r="S9655">
        <v>24.9</v>
      </c>
      <c r="T9655">
        <v>2953</v>
      </c>
      <c r="U9655">
        <v>458</v>
      </c>
      <c r="V9655">
        <v>33</v>
      </c>
      <c r="W9655">
        <v>61</v>
      </c>
      <c r="X9655">
        <v>1329</v>
      </c>
      <c r="Y9655">
        <v>147</v>
      </c>
      <c r="Z9655">
        <v>479</v>
      </c>
      <c r="AA9655">
        <v>1329</v>
      </c>
      <c r="AB9655">
        <v>24.750260000000001</v>
      </c>
      <c r="AC9655">
        <v>7.3223999999999997E-2</v>
      </c>
      <c r="AD9655">
        <v>4.099723</v>
      </c>
      <c r="AE9655">
        <v>0.30625599999999997</v>
      </c>
      <c r="AF9655">
        <v>102.2548</v>
      </c>
      <c r="AG9655">
        <f>IFERROR(AH9655*0.1, "N/A")</f>
        <v>5.2548330000000005</v>
      </c>
      <c r="AH9655">
        <v>52.54833</v>
      </c>
      <c r="AI9655">
        <v>263.94170000000003</v>
      </c>
      <c r="AJ9655">
        <v>31.15466</v>
      </c>
      <c r="AK9655">
        <v>57.312829999999998</v>
      </c>
    </row>
    <row r="9656" spans="1:37" x14ac:dyDescent="0.3">
      <c r="A9656">
        <v>9655</v>
      </c>
      <c r="B9656">
        <v>68.5</v>
      </c>
      <c r="C9656">
        <v>9.2763899999999992</v>
      </c>
      <c r="D9656">
        <v>4.5027799999999996</v>
      </c>
      <c r="E9656" t="s">
        <v>14646</v>
      </c>
      <c r="F9656" t="s">
        <v>14647</v>
      </c>
      <c r="G9656" t="s">
        <v>39</v>
      </c>
      <c r="H9656">
        <v>1987</v>
      </c>
      <c r="I9656">
        <v>25.5</v>
      </c>
      <c r="J9656">
        <v>8</v>
      </c>
      <c r="K9656">
        <v>76</v>
      </c>
      <c r="L9656">
        <v>8.1300000000000008</v>
      </c>
      <c r="M9656">
        <v>31.4</v>
      </c>
      <c r="N9656">
        <v>21</v>
      </c>
      <c r="O9656">
        <v>10.4</v>
      </c>
      <c r="P9656">
        <v>24.2</v>
      </c>
      <c r="Q9656">
        <v>26</v>
      </c>
      <c r="R9656">
        <v>26.4</v>
      </c>
      <c r="S9656">
        <v>24.2</v>
      </c>
      <c r="T9656">
        <v>2945</v>
      </c>
      <c r="U9656">
        <v>443</v>
      </c>
      <c r="V9656">
        <v>41</v>
      </c>
      <c r="W9656">
        <v>54</v>
      </c>
      <c r="X9656">
        <v>1247</v>
      </c>
      <c r="Y9656">
        <v>183</v>
      </c>
      <c r="Z9656">
        <v>543</v>
      </c>
      <c r="AA9656">
        <v>1247</v>
      </c>
      <c r="AB9656">
        <v>14.131869999999999</v>
      </c>
      <c r="AC9656">
        <v>5.0311269999999998E-2</v>
      </c>
      <c r="AD9656">
        <v>2.6662189999999999</v>
      </c>
      <c r="AE9656">
        <v>0.27621499999999999</v>
      </c>
      <c r="AF9656">
        <v>132.4974</v>
      </c>
      <c r="AG9656">
        <f>IFERROR(AH9656*0.1, "N/A")</f>
        <v>5.275131</v>
      </c>
      <c r="AH9656">
        <v>52.751309999999997</v>
      </c>
      <c r="AI9656">
        <v>280.68830000000003</v>
      </c>
      <c r="AJ9656">
        <v>30.656739999999999</v>
      </c>
      <c r="AK9656">
        <v>52.283709999999999</v>
      </c>
    </row>
    <row r="9657" spans="1:37" x14ac:dyDescent="0.3">
      <c r="A9657">
        <v>9656</v>
      </c>
      <c r="B9657">
        <v>2.8</v>
      </c>
      <c r="C9657">
        <v>9.5666700000000002</v>
      </c>
      <c r="D9657">
        <v>4.5069400000000002</v>
      </c>
      <c r="E9657" t="s">
        <v>14648</v>
      </c>
      <c r="F9657" t="s">
        <v>14649</v>
      </c>
      <c r="G9657" t="s">
        <v>39</v>
      </c>
      <c r="H9657">
        <v>1990</v>
      </c>
      <c r="I9657">
        <v>26.137129999999999</v>
      </c>
      <c r="J9657">
        <v>8</v>
      </c>
      <c r="K9657">
        <v>76</v>
      </c>
      <c r="L9657">
        <v>8.9114360000000001</v>
      </c>
      <c r="M9657">
        <v>32.118560000000002</v>
      </c>
      <c r="N9657">
        <v>21.637129999999999</v>
      </c>
      <c r="O9657">
        <v>10.481439999999999</v>
      </c>
      <c r="P9657">
        <v>24.737130000000001</v>
      </c>
      <c r="Q9657">
        <v>26.737130000000001</v>
      </c>
      <c r="R9657">
        <v>27.037130000000001</v>
      </c>
      <c r="S9657">
        <v>24.737130000000001</v>
      </c>
      <c r="T9657">
        <v>2962.1559999999999</v>
      </c>
      <c r="U9657">
        <v>455.9282</v>
      </c>
      <c r="V9657">
        <v>33</v>
      </c>
      <c r="W9657">
        <v>61</v>
      </c>
      <c r="X9657">
        <v>1334.0419999999999</v>
      </c>
      <c r="Y9657">
        <v>146.81440000000001</v>
      </c>
      <c r="Z9657">
        <v>477</v>
      </c>
      <c r="AA9657">
        <v>1334.0419999999999</v>
      </c>
      <c r="AB9657">
        <v>12.05814</v>
      </c>
      <c r="AC9657">
        <v>2.2461510000000001E-2</v>
      </c>
      <c r="AD9657">
        <v>2.7366109999999999</v>
      </c>
      <c r="AE9657">
        <v>0.68235369999999995</v>
      </c>
      <c r="AF9657">
        <v>117.6673</v>
      </c>
      <c r="AG9657">
        <f>IFERROR(AH9657*0.1, "N/A")</f>
        <v>5.4803850000000001</v>
      </c>
      <c r="AH9657">
        <v>54.803849999999997</v>
      </c>
      <c r="AI9657">
        <v>129.88499999999999</v>
      </c>
      <c r="AJ9657">
        <v>24.01051</v>
      </c>
      <c r="AK9657">
        <v>57.381790000000002</v>
      </c>
    </row>
    <row r="9658" spans="1:37" x14ac:dyDescent="0.3">
      <c r="A9658">
        <v>9657</v>
      </c>
      <c r="B9658">
        <v>0</v>
      </c>
      <c r="C9658">
        <v>9.5666700000000002</v>
      </c>
      <c r="D9658">
        <v>4.5069400000000002</v>
      </c>
      <c r="E9658" t="s">
        <v>14648</v>
      </c>
      <c r="F9658" t="s">
        <v>14650</v>
      </c>
      <c r="G9658" t="s">
        <v>37</v>
      </c>
      <c r="H9658">
        <v>1990</v>
      </c>
      <c r="I9658">
        <v>26.137129999999999</v>
      </c>
      <c r="J9658">
        <v>8</v>
      </c>
      <c r="K9658">
        <v>76</v>
      </c>
      <c r="L9658">
        <v>8.9114360000000001</v>
      </c>
      <c r="M9658">
        <v>32.118560000000002</v>
      </c>
      <c r="N9658">
        <v>21.637129999999999</v>
      </c>
      <c r="O9658">
        <v>10.481439999999999</v>
      </c>
      <c r="P9658">
        <v>24.737130000000001</v>
      </c>
      <c r="Q9658">
        <v>26.737130000000001</v>
      </c>
      <c r="R9658">
        <v>27.037130000000001</v>
      </c>
      <c r="S9658">
        <v>24.737130000000001</v>
      </c>
      <c r="T9658">
        <v>2962.1559999999999</v>
      </c>
      <c r="U9658">
        <v>455.9282</v>
      </c>
      <c r="V9658">
        <v>33</v>
      </c>
      <c r="W9658">
        <v>61</v>
      </c>
      <c r="X9658">
        <v>1334.0419999999999</v>
      </c>
      <c r="Y9658">
        <v>146.81440000000001</v>
      </c>
      <c r="Z9658">
        <v>477</v>
      </c>
      <c r="AA9658">
        <v>1334.0419999999999</v>
      </c>
      <c r="AB9658">
        <v>12.05814</v>
      </c>
      <c r="AC9658">
        <v>2.2461510000000001E-2</v>
      </c>
      <c r="AD9658">
        <v>2.7366109999999999</v>
      </c>
      <c r="AE9658">
        <v>0.68235369999999995</v>
      </c>
      <c r="AF9658">
        <v>117.6673</v>
      </c>
      <c r="AG9658">
        <f>IFERROR(AH9658*0.1, "N/A")</f>
        <v>5.4803850000000001</v>
      </c>
      <c r="AH9658">
        <v>54.803849999999997</v>
      </c>
      <c r="AI9658">
        <v>129.88499999999999</v>
      </c>
      <c r="AJ9658">
        <v>24.01051</v>
      </c>
      <c r="AK9658">
        <v>57.381790000000002</v>
      </c>
    </row>
    <row r="9659" spans="1:37" x14ac:dyDescent="0.3">
      <c r="A9659">
        <v>9658</v>
      </c>
      <c r="B9659">
        <v>0</v>
      </c>
      <c r="C9659">
        <v>9.5666700000000002</v>
      </c>
      <c r="D9659">
        <v>4.5069400000000002</v>
      </c>
      <c r="E9659" t="s">
        <v>14648</v>
      </c>
      <c r="F9659" t="s">
        <v>14651</v>
      </c>
      <c r="G9659" t="s">
        <v>2420</v>
      </c>
      <c r="H9659">
        <v>1990</v>
      </c>
      <c r="I9659">
        <v>26.137129999999999</v>
      </c>
      <c r="J9659">
        <v>8</v>
      </c>
      <c r="K9659">
        <v>76</v>
      </c>
      <c r="L9659">
        <v>8.9114360000000001</v>
      </c>
      <c r="M9659">
        <v>32.118560000000002</v>
      </c>
      <c r="N9659">
        <v>21.637129999999999</v>
      </c>
      <c r="O9659">
        <v>10.481439999999999</v>
      </c>
      <c r="P9659">
        <v>24.737130000000001</v>
      </c>
      <c r="Q9659">
        <v>26.737130000000001</v>
      </c>
      <c r="R9659">
        <v>27.037130000000001</v>
      </c>
      <c r="S9659">
        <v>24.737130000000001</v>
      </c>
      <c r="T9659">
        <v>2962.1559999999999</v>
      </c>
      <c r="U9659">
        <v>455.9282</v>
      </c>
      <c r="V9659">
        <v>33</v>
      </c>
      <c r="W9659">
        <v>61</v>
      </c>
      <c r="X9659">
        <v>1334.0419999999999</v>
      </c>
      <c r="Y9659">
        <v>146.81440000000001</v>
      </c>
      <c r="Z9659">
        <v>477</v>
      </c>
      <c r="AA9659">
        <v>1334.0419999999999</v>
      </c>
      <c r="AB9659">
        <v>12.05814</v>
      </c>
      <c r="AC9659">
        <v>2.2461510000000001E-2</v>
      </c>
      <c r="AD9659">
        <v>2.7366109999999999</v>
      </c>
      <c r="AE9659">
        <v>0.68235369999999995</v>
      </c>
      <c r="AF9659">
        <v>117.6673</v>
      </c>
      <c r="AG9659">
        <f>IFERROR(AH9659*0.1, "N/A")</f>
        <v>5.4803850000000001</v>
      </c>
      <c r="AH9659">
        <v>54.803849999999997</v>
      </c>
      <c r="AI9659">
        <v>129.88499999999999</v>
      </c>
      <c r="AJ9659">
        <v>24.01051</v>
      </c>
      <c r="AK9659">
        <v>57.381790000000002</v>
      </c>
    </row>
    <row r="9660" spans="1:37" x14ac:dyDescent="0.3">
      <c r="A9660">
        <v>9659</v>
      </c>
      <c r="B9660">
        <v>5.9</v>
      </c>
      <c r="C9660">
        <v>12.05</v>
      </c>
      <c r="D9660">
        <v>4.5166700000000004</v>
      </c>
      <c r="E9660" t="s">
        <v>14652</v>
      </c>
      <c r="F9660" t="s">
        <v>14653</v>
      </c>
      <c r="G9660" t="s">
        <v>39</v>
      </c>
      <c r="H9660">
        <v>1990</v>
      </c>
      <c r="I9660">
        <v>24.446069999999999</v>
      </c>
      <c r="J9660">
        <v>9.4</v>
      </c>
      <c r="K9660">
        <v>78.513090000000005</v>
      </c>
      <c r="L9660">
        <v>7.3376270000000003</v>
      </c>
      <c r="M9660">
        <v>31.26998</v>
      </c>
      <c r="N9660">
        <v>19.421289999999999</v>
      </c>
      <c r="O9660">
        <v>11.84869</v>
      </c>
      <c r="P9660">
        <v>23.79738</v>
      </c>
      <c r="Q9660">
        <v>25.069980000000001</v>
      </c>
      <c r="R9660">
        <v>25.369980000000002</v>
      </c>
      <c r="S9660">
        <v>23.523910000000001</v>
      </c>
      <c r="T9660">
        <v>1532.0609999999999</v>
      </c>
      <c r="U9660">
        <v>294.26530000000002</v>
      </c>
      <c r="V9660">
        <v>12</v>
      </c>
      <c r="W9660">
        <v>68</v>
      </c>
      <c r="X9660">
        <v>667.75220000000002</v>
      </c>
      <c r="Y9660">
        <v>65.760909999999996</v>
      </c>
      <c r="Z9660">
        <v>269.87430000000001</v>
      </c>
      <c r="AA9660">
        <v>434.70859999999999</v>
      </c>
      <c r="AB9660">
        <v>6.4528650000000001</v>
      </c>
      <c r="AC9660">
        <v>0.27937820000000002</v>
      </c>
      <c r="AD9660">
        <v>3.0118239999999998</v>
      </c>
      <c r="AE9660">
        <v>0.2300826</v>
      </c>
      <c r="AF9660">
        <v>583.40840000000003</v>
      </c>
      <c r="AG9660">
        <f>IFERROR(AH9660*0.1, "N/A")</f>
        <v>5.4</v>
      </c>
      <c r="AH9660">
        <v>54</v>
      </c>
      <c r="AI9660">
        <v>199.66640000000001</v>
      </c>
      <c r="AJ9660">
        <v>29</v>
      </c>
      <c r="AK9660">
        <v>58.00873</v>
      </c>
    </row>
    <row r="9661" spans="1:37" x14ac:dyDescent="0.3">
      <c r="A9661">
        <v>9660</v>
      </c>
      <c r="B9661">
        <v>0</v>
      </c>
      <c r="C9661">
        <v>12.05</v>
      </c>
      <c r="D9661">
        <v>4.5166700000000004</v>
      </c>
      <c r="E9661" t="s">
        <v>14652</v>
      </c>
      <c r="F9661" t="s">
        <v>14654</v>
      </c>
      <c r="G9661" t="s">
        <v>37</v>
      </c>
      <c r="H9661">
        <v>1990</v>
      </c>
      <c r="I9661">
        <v>24.446069999999999</v>
      </c>
      <c r="J9661">
        <v>9.4</v>
      </c>
      <c r="K9661">
        <v>78.513090000000005</v>
      </c>
      <c r="L9661">
        <v>7.3376270000000003</v>
      </c>
      <c r="M9661">
        <v>31.26998</v>
      </c>
      <c r="N9661">
        <v>19.421289999999999</v>
      </c>
      <c r="O9661">
        <v>11.84869</v>
      </c>
      <c r="P9661">
        <v>23.79738</v>
      </c>
      <c r="Q9661">
        <v>25.069980000000001</v>
      </c>
      <c r="R9661">
        <v>25.369980000000002</v>
      </c>
      <c r="S9661">
        <v>23.523910000000001</v>
      </c>
      <c r="T9661">
        <v>1532.0609999999999</v>
      </c>
      <c r="U9661">
        <v>294.26530000000002</v>
      </c>
      <c r="V9661">
        <v>12</v>
      </c>
      <c r="W9661">
        <v>68</v>
      </c>
      <c r="X9661">
        <v>667.75220000000002</v>
      </c>
      <c r="Y9661">
        <v>65.760909999999996</v>
      </c>
      <c r="Z9661">
        <v>269.87430000000001</v>
      </c>
      <c r="AA9661">
        <v>434.70859999999999</v>
      </c>
      <c r="AB9661">
        <v>6.4528650000000001</v>
      </c>
      <c r="AC9661">
        <v>0.27937820000000002</v>
      </c>
      <c r="AD9661">
        <v>3.0118239999999998</v>
      </c>
      <c r="AE9661">
        <v>0.2300826</v>
      </c>
      <c r="AF9661">
        <v>583.40840000000003</v>
      </c>
      <c r="AG9661">
        <f>IFERROR(AH9661*0.1, "N/A")</f>
        <v>5.4</v>
      </c>
      <c r="AH9661">
        <v>54</v>
      </c>
      <c r="AI9661">
        <v>199.66640000000001</v>
      </c>
      <c r="AJ9661">
        <v>29</v>
      </c>
      <c r="AK9661">
        <v>58.00873</v>
      </c>
    </row>
    <row r="9662" spans="1:37" x14ac:dyDescent="0.3">
      <c r="A9662">
        <v>9661</v>
      </c>
      <c r="B9662">
        <v>0</v>
      </c>
      <c r="C9662">
        <v>12.05</v>
      </c>
      <c r="D9662">
        <v>4.5166700000000004</v>
      </c>
      <c r="E9662" t="s">
        <v>14652</v>
      </c>
      <c r="F9662" t="s">
        <v>14655</v>
      </c>
      <c r="G9662" t="s">
        <v>2420</v>
      </c>
      <c r="H9662">
        <v>1990</v>
      </c>
      <c r="I9662">
        <v>24.446069999999999</v>
      </c>
      <c r="J9662">
        <v>9.4</v>
      </c>
      <c r="K9662">
        <v>78.513090000000005</v>
      </c>
      <c r="L9662">
        <v>7.3376270000000003</v>
      </c>
      <c r="M9662">
        <v>31.26998</v>
      </c>
      <c r="N9662">
        <v>19.421289999999999</v>
      </c>
      <c r="O9662">
        <v>11.84869</v>
      </c>
      <c r="P9662">
        <v>23.79738</v>
      </c>
      <c r="Q9662">
        <v>25.069980000000001</v>
      </c>
      <c r="R9662">
        <v>25.369980000000002</v>
      </c>
      <c r="S9662">
        <v>23.523910000000001</v>
      </c>
      <c r="T9662">
        <v>1532.0609999999999</v>
      </c>
      <c r="U9662">
        <v>294.26530000000002</v>
      </c>
      <c r="V9662">
        <v>12</v>
      </c>
      <c r="W9662">
        <v>68</v>
      </c>
      <c r="X9662">
        <v>667.75220000000002</v>
      </c>
      <c r="Y9662">
        <v>65.760909999999996</v>
      </c>
      <c r="Z9662">
        <v>269.87430000000001</v>
      </c>
      <c r="AA9662">
        <v>434.70859999999999</v>
      </c>
      <c r="AB9662">
        <v>6.4528650000000001</v>
      </c>
      <c r="AC9662">
        <v>0.27937820000000002</v>
      </c>
      <c r="AD9662">
        <v>3.0118239999999998</v>
      </c>
      <c r="AE9662">
        <v>0.2300826</v>
      </c>
      <c r="AF9662">
        <v>583.40840000000003</v>
      </c>
      <c r="AG9662">
        <f>IFERROR(AH9662*0.1, "N/A")</f>
        <v>5.4</v>
      </c>
      <c r="AH9662">
        <v>54</v>
      </c>
      <c r="AI9662">
        <v>199.66640000000001</v>
      </c>
      <c r="AJ9662">
        <v>29</v>
      </c>
      <c r="AK9662">
        <v>58.00873</v>
      </c>
    </row>
    <row r="9663" spans="1:37" x14ac:dyDescent="0.3">
      <c r="A9663">
        <v>9662</v>
      </c>
      <c r="B9663">
        <v>0</v>
      </c>
      <c r="C9663">
        <v>10.325799999999999</v>
      </c>
      <c r="D9663">
        <v>4.5202799999999996</v>
      </c>
      <c r="E9663" t="s">
        <v>14656</v>
      </c>
      <c r="F9663" t="s">
        <v>14657</v>
      </c>
      <c r="G9663" t="s">
        <v>39</v>
      </c>
      <c r="H9663">
        <v>1990</v>
      </c>
      <c r="I9663">
        <v>26.220980000000001</v>
      </c>
      <c r="J9663">
        <v>8.4</v>
      </c>
      <c r="K9663">
        <v>74.069929999999999</v>
      </c>
      <c r="L9663">
        <v>9.6137060000000005</v>
      </c>
      <c r="M9663">
        <v>32.620980000000003</v>
      </c>
      <c r="N9663">
        <v>21.327970000000001</v>
      </c>
      <c r="O9663">
        <v>11.293010000000001</v>
      </c>
      <c r="P9663">
        <v>25.220980000000001</v>
      </c>
      <c r="Q9663">
        <v>27.020980000000002</v>
      </c>
      <c r="R9663">
        <v>27.220980000000001</v>
      </c>
      <c r="S9663">
        <v>24.727969999999999</v>
      </c>
      <c r="T9663">
        <v>2654.79</v>
      </c>
      <c r="U9663">
        <v>469.65030000000002</v>
      </c>
      <c r="V9663">
        <v>18</v>
      </c>
      <c r="W9663">
        <v>68.930070000000001</v>
      </c>
      <c r="X9663">
        <v>1278.021</v>
      </c>
      <c r="Y9663">
        <v>86.069929999999999</v>
      </c>
      <c r="Z9663">
        <v>383.20979999999997</v>
      </c>
      <c r="AA9663">
        <v>1241.021</v>
      </c>
      <c r="AB9663">
        <v>11.651400000000001</v>
      </c>
      <c r="AC9663">
        <v>0.2488628</v>
      </c>
      <c r="AD9663">
        <v>8.6035970000000006</v>
      </c>
      <c r="AE9663">
        <v>9.1658409999999996E-2</v>
      </c>
      <c r="AF9663">
        <v>197.2867</v>
      </c>
      <c r="AG9663">
        <f>IFERROR(AH9663*0.1, "N/A")</f>
        <v>4.9000000000000004</v>
      </c>
      <c r="AH9663">
        <v>49</v>
      </c>
      <c r="AI9663">
        <v>273.18169999999998</v>
      </c>
      <c r="AJ9663">
        <v>30.529720000000001</v>
      </c>
      <c r="AK9663">
        <v>48.069929999999999</v>
      </c>
    </row>
    <row r="9664" spans="1:37" x14ac:dyDescent="0.3">
      <c r="A9664">
        <v>9663</v>
      </c>
      <c r="B9664">
        <v>0</v>
      </c>
      <c r="C9664">
        <v>10.325799999999999</v>
      </c>
      <c r="D9664">
        <v>4.5202799999999996</v>
      </c>
      <c r="E9664" t="s">
        <v>14656</v>
      </c>
      <c r="F9664" t="s">
        <v>14658</v>
      </c>
      <c r="G9664" t="s">
        <v>37</v>
      </c>
      <c r="H9664">
        <v>1990</v>
      </c>
      <c r="I9664">
        <v>26.220980000000001</v>
      </c>
      <c r="J9664">
        <v>8.4</v>
      </c>
      <c r="K9664">
        <v>74.069929999999999</v>
      </c>
      <c r="L9664">
        <v>9.6137060000000005</v>
      </c>
      <c r="M9664">
        <v>32.620980000000003</v>
      </c>
      <c r="N9664">
        <v>21.327970000000001</v>
      </c>
      <c r="O9664">
        <v>11.293010000000001</v>
      </c>
      <c r="P9664">
        <v>25.220980000000001</v>
      </c>
      <c r="Q9664">
        <v>27.020980000000002</v>
      </c>
      <c r="R9664">
        <v>27.220980000000001</v>
      </c>
      <c r="S9664">
        <v>24.727969999999999</v>
      </c>
      <c r="T9664">
        <v>2654.79</v>
      </c>
      <c r="U9664">
        <v>469.65030000000002</v>
      </c>
      <c r="V9664">
        <v>18</v>
      </c>
      <c r="W9664">
        <v>68.930070000000001</v>
      </c>
      <c r="X9664">
        <v>1278.021</v>
      </c>
      <c r="Y9664">
        <v>86.069929999999999</v>
      </c>
      <c r="Z9664">
        <v>383.20979999999997</v>
      </c>
      <c r="AA9664">
        <v>1241.021</v>
      </c>
      <c r="AB9664">
        <v>11.651400000000001</v>
      </c>
      <c r="AC9664">
        <v>0.2488628</v>
      </c>
      <c r="AD9664">
        <v>8.6035970000000006</v>
      </c>
      <c r="AE9664">
        <v>9.1658409999999996E-2</v>
      </c>
      <c r="AF9664">
        <v>197.2867</v>
      </c>
      <c r="AG9664">
        <f>IFERROR(AH9664*0.1, "N/A")</f>
        <v>4.9000000000000004</v>
      </c>
      <c r="AH9664">
        <v>49</v>
      </c>
      <c r="AI9664">
        <v>273.18169999999998</v>
      </c>
      <c r="AJ9664">
        <v>30.529720000000001</v>
      </c>
      <c r="AK9664">
        <v>48.069929999999999</v>
      </c>
    </row>
    <row r="9665" spans="1:37" x14ac:dyDescent="0.3">
      <c r="A9665">
        <v>9664</v>
      </c>
      <c r="B9665">
        <v>0</v>
      </c>
      <c r="C9665">
        <v>10.325799999999999</v>
      </c>
      <c r="D9665">
        <v>4.5202799999999996</v>
      </c>
      <c r="E9665" t="s">
        <v>14656</v>
      </c>
      <c r="F9665" t="s">
        <v>14659</v>
      </c>
      <c r="G9665" t="s">
        <v>2420</v>
      </c>
      <c r="H9665">
        <v>1990</v>
      </c>
      <c r="I9665">
        <v>26.220980000000001</v>
      </c>
      <c r="J9665">
        <v>8.4</v>
      </c>
      <c r="K9665">
        <v>74.069929999999999</v>
      </c>
      <c r="L9665">
        <v>9.6137060000000005</v>
      </c>
      <c r="M9665">
        <v>32.620980000000003</v>
      </c>
      <c r="N9665">
        <v>21.327970000000001</v>
      </c>
      <c r="O9665">
        <v>11.293010000000001</v>
      </c>
      <c r="P9665">
        <v>25.220980000000001</v>
      </c>
      <c r="Q9665">
        <v>27.020980000000002</v>
      </c>
      <c r="R9665">
        <v>27.220980000000001</v>
      </c>
      <c r="S9665">
        <v>24.727969999999999</v>
      </c>
      <c r="T9665">
        <v>2654.79</v>
      </c>
      <c r="U9665">
        <v>469.65030000000002</v>
      </c>
      <c r="V9665">
        <v>18</v>
      </c>
      <c r="W9665">
        <v>68.930070000000001</v>
      </c>
      <c r="X9665">
        <v>1278.021</v>
      </c>
      <c r="Y9665">
        <v>86.069929999999999</v>
      </c>
      <c r="Z9665">
        <v>383.20979999999997</v>
      </c>
      <c r="AA9665">
        <v>1241.021</v>
      </c>
      <c r="AB9665">
        <v>11.651400000000001</v>
      </c>
      <c r="AC9665">
        <v>0.2488628</v>
      </c>
      <c r="AD9665">
        <v>8.6035970000000006</v>
      </c>
      <c r="AE9665">
        <v>9.1658409999999996E-2</v>
      </c>
      <c r="AF9665">
        <v>197.2867</v>
      </c>
      <c r="AG9665">
        <f>IFERROR(AH9665*0.1, "N/A")</f>
        <v>4.9000000000000004</v>
      </c>
      <c r="AH9665">
        <v>49</v>
      </c>
      <c r="AI9665">
        <v>273.18169999999998</v>
      </c>
      <c r="AJ9665">
        <v>30.529720000000001</v>
      </c>
      <c r="AK9665">
        <v>48.069929999999999</v>
      </c>
    </row>
    <row r="9666" spans="1:37" x14ac:dyDescent="0.3">
      <c r="A9666">
        <v>9665</v>
      </c>
      <c r="B9666">
        <v>0</v>
      </c>
      <c r="C9666">
        <v>10.291700000000001</v>
      </c>
      <c r="D9666">
        <v>4.5263900000000001</v>
      </c>
      <c r="E9666" t="s">
        <v>14660</v>
      </c>
      <c r="F9666" t="s">
        <v>14661</v>
      </c>
      <c r="G9666" t="s">
        <v>39</v>
      </c>
      <c r="H9666">
        <v>1990</v>
      </c>
      <c r="I9666">
        <v>26.549910000000001</v>
      </c>
      <c r="J9666">
        <v>8.3250440000000001</v>
      </c>
      <c r="K9666">
        <v>74.250439999999998</v>
      </c>
      <c r="L9666">
        <v>9.3324339999999992</v>
      </c>
      <c r="M9666">
        <v>32.874960000000002</v>
      </c>
      <c r="N9666">
        <v>21.674959999999999</v>
      </c>
      <c r="O9666">
        <v>11.2</v>
      </c>
      <c r="P9666">
        <v>25.549910000000001</v>
      </c>
      <c r="Q9666">
        <v>27.349910000000001</v>
      </c>
      <c r="R9666">
        <v>27.474959999999999</v>
      </c>
      <c r="S9666">
        <v>25.149909999999998</v>
      </c>
      <c r="T9666">
        <v>2677.4969999999998</v>
      </c>
      <c r="U9666">
        <v>468</v>
      </c>
      <c r="V9666">
        <v>19</v>
      </c>
      <c r="W9666">
        <v>67.250439999999998</v>
      </c>
      <c r="X9666">
        <v>1272.501</v>
      </c>
      <c r="Y9666">
        <v>90.499120000000005</v>
      </c>
      <c r="Z9666">
        <v>389.4991</v>
      </c>
      <c r="AA9666">
        <v>1241.25</v>
      </c>
      <c r="AB9666">
        <v>86.754109999999997</v>
      </c>
      <c r="AC9666">
        <v>8.6411270000000002E-3</v>
      </c>
      <c r="AD9666">
        <v>4.2322090000000001</v>
      </c>
      <c r="AE9666">
        <v>0.2787849</v>
      </c>
      <c r="AF9666">
        <v>220.25219999999999</v>
      </c>
      <c r="AG9666">
        <f>IFERROR(AH9666*0.1, "N/A")</f>
        <v>4.9075310000000005</v>
      </c>
      <c r="AH9666">
        <v>49.075310000000002</v>
      </c>
      <c r="AI9666">
        <v>245.90260000000001</v>
      </c>
      <c r="AJ9666">
        <v>33.001750000000001</v>
      </c>
      <c r="AK9666">
        <v>45</v>
      </c>
    </row>
    <row r="9667" spans="1:37" x14ac:dyDescent="0.3">
      <c r="A9667">
        <v>9666</v>
      </c>
      <c r="B9667">
        <v>0</v>
      </c>
      <c r="C9667">
        <v>10.291700000000001</v>
      </c>
      <c r="D9667">
        <v>4.5263900000000001</v>
      </c>
      <c r="E9667" t="s">
        <v>14660</v>
      </c>
      <c r="F9667" t="s">
        <v>14662</v>
      </c>
      <c r="G9667" t="s">
        <v>37</v>
      </c>
      <c r="H9667">
        <v>1990</v>
      </c>
      <c r="I9667">
        <v>26.549910000000001</v>
      </c>
      <c r="J9667">
        <v>8.3250440000000001</v>
      </c>
      <c r="K9667">
        <v>74.250439999999998</v>
      </c>
      <c r="L9667">
        <v>9.3324339999999992</v>
      </c>
      <c r="M9667">
        <v>32.874960000000002</v>
      </c>
      <c r="N9667">
        <v>21.674959999999999</v>
      </c>
      <c r="O9667">
        <v>11.2</v>
      </c>
      <c r="P9667">
        <v>25.549910000000001</v>
      </c>
      <c r="Q9667">
        <v>27.349910000000001</v>
      </c>
      <c r="R9667">
        <v>27.474959999999999</v>
      </c>
      <c r="S9667">
        <v>25.149909999999998</v>
      </c>
      <c r="T9667">
        <v>2677.4969999999998</v>
      </c>
      <c r="U9667">
        <v>468</v>
      </c>
      <c r="V9667">
        <v>19</v>
      </c>
      <c r="W9667">
        <v>67.250439999999998</v>
      </c>
      <c r="X9667">
        <v>1272.501</v>
      </c>
      <c r="Y9667">
        <v>90.499120000000005</v>
      </c>
      <c r="Z9667">
        <v>389.4991</v>
      </c>
      <c r="AA9667">
        <v>1241.25</v>
      </c>
      <c r="AB9667">
        <v>86.754109999999997</v>
      </c>
      <c r="AC9667">
        <v>8.6411270000000002E-3</v>
      </c>
      <c r="AD9667">
        <v>4.2322090000000001</v>
      </c>
      <c r="AE9667">
        <v>0.2787849</v>
      </c>
      <c r="AF9667">
        <v>220.25219999999999</v>
      </c>
      <c r="AG9667">
        <f>IFERROR(AH9667*0.1, "N/A")</f>
        <v>4.9075310000000005</v>
      </c>
      <c r="AH9667">
        <v>49.075310000000002</v>
      </c>
      <c r="AI9667">
        <v>245.90260000000001</v>
      </c>
      <c r="AJ9667">
        <v>33.001750000000001</v>
      </c>
      <c r="AK9667">
        <v>45</v>
      </c>
    </row>
    <row r="9668" spans="1:37" x14ac:dyDescent="0.3">
      <c r="A9668">
        <v>9667</v>
      </c>
      <c r="B9668">
        <v>0</v>
      </c>
      <c r="C9668">
        <v>10.291700000000001</v>
      </c>
      <c r="D9668">
        <v>4.5263900000000001</v>
      </c>
      <c r="E9668" t="s">
        <v>14660</v>
      </c>
      <c r="F9668" t="s">
        <v>14663</v>
      </c>
      <c r="G9668" t="s">
        <v>2420</v>
      </c>
      <c r="H9668">
        <v>1990</v>
      </c>
      <c r="I9668">
        <v>26.549910000000001</v>
      </c>
      <c r="J9668">
        <v>8.3250440000000001</v>
      </c>
      <c r="K9668">
        <v>74.250439999999998</v>
      </c>
      <c r="L9668">
        <v>9.3324339999999992</v>
      </c>
      <c r="M9668">
        <v>32.874960000000002</v>
      </c>
      <c r="N9668">
        <v>21.674959999999999</v>
      </c>
      <c r="O9668">
        <v>11.2</v>
      </c>
      <c r="P9668">
        <v>25.549910000000001</v>
      </c>
      <c r="Q9668">
        <v>27.349910000000001</v>
      </c>
      <c r="R9668">
        <v>27.474959999999999</v>
      </c>
      <c r="S9668">
        <v>25.149909999999998</v>
      </c>
      <c r="T9668">
        <v>2677.4969999999998</v>
      </c>
      <c r="U9668">
        <v>468</v>
      </c>
      <c r="V9668">
        <v>19</v>
      </c>
      <c r="W9668">
        <v>67.250439999999998</v>
      </c>
      <c r="X9668">
        <v>1272.501</v>
      </c>
      <c r="Y9668">
        <v>90.499120000000005</v>
      </c>
      <c r="Z9668">
        <v>389.4991</v>
      </c>
      <c r="AA9668">
        <v>1241.25</v>
      </c>
      <c r="AB9668">
        <v>86.754109999999997</v>
      </c>
      <c r="AC9668">
        <v>8.6411270000000002E-3</v>
      </c>
      <c r="AD9668">
        <v>4.2322090000000001</v>
      </c>
      <c r="AE9668">
        <v>0.2787849</v>
      </c>
      <c r="AF9668">
        <v>220.25219999999999</v>
      </c>
      <c r="AG9668">
        <f>IFERROR(AH9668*0.1, "N/A")</f>
        <v>4.9075310000000005</v>
      </c>
      <c r="AH9668">
        <v>49.075310000000002</v>
      </c>
      <c r="AI9668">
        <v>245.90260000000001</v>
      </c>
      <c r="AJ9668">
        <v>33.001750000000001</v>
      </c>
      <c r="AK9668">
        <v>45</v>
      </c>
    </row>
    <row r="9669" spans="1:37" x14ac:dyDescent="0.3">
      <c r="A9669">
        <v>9668</v>
      </c>
      <c r="B9669">
        <v>33.299999999999997</v>
      </c>
      <c r="C9669">
        <v>11.1174</v>
      </c>
      <c r="D9669">
        <v>4.5277799999999999</v>
      </c>
      <c r="E9669" t="s">
        <v>14664</v>
      </c>
      <c r="F9669" t="s">
        <v>14665</v>
      </c>
      <c r="G9669" t="s">
        <v>37</v>
      </c>
      <c r="H9669">
        <v>2003</v>
      </c>
      <c r="I9669">
        <v>25.3</v>
      </c>
      <c r="J9669">
        <v>9</v>
      </c>
      <c r="K9669">
        <v>74.014039999999994</v>
      </c>
      <c r="L9669">
        <v>9.8128419999999998</v>
      </c>
      <c r="M9669">
        <v>32.198599999999999</v>
      </c>
      <c r="N9669">
        <v>20.100000000000001</v>
      </c>
      <c r="O9669">
        <v>12.098599999999999</v>
      </c>
      <c r="P9669">
        <v>24.3</v>
      </c>
      <c r="Q9669">
        <v>26.2986</v>
      </c>
      <c r="R9669">
        <v>26.49719</v>
      </c>
      <c r="S9669">
        <v>24</v>
      </c>
      <c r="T9669">
        <v>1738.1120000000001</v>
      </c>
      <c r="U9669">
        <v>316</v>
      </c>
      <c r="V9669">
        <v>11</v>
      </c>
      <c r="W9669">
        <v>66</v>
      </c>
      <c r="X9669">
        <v>809.0702</v>
      </c>
      <c r="Y9669">
        <v>55</v>
      </c>
      <c r="Z9669">
        <v>315.01400000000001</v>
      </c>
      <c r="AA9669">
        <v>638.09820000000002</v>
      </c>
      <c r="AB9669">
        <v>4.5494830000000004</v>
      </c>
      <c r="AC9669">
        <v>0.55923929999999999</v>
      </c>
      <c r="AD9669">
        <v>3.537366</v>
      </c>
      <c r="AE9669">
        <v>0.64457129999999996</v>
      </c>
      <c r="AF9669">
        <v>427.45960000000002</v>
      </c>
      <c r="AG9669">
        <f>IFERROR(AH9669*0.1, "N/A")</f>
        <v>5.3000000000000007</v>
      </c>
      <c r="AH9669">
        <v>53</v>
      </c>
      <c r="AI9669">
        <v>170.3503</v>
      </c>
      <c r="AJ9669">
        <v>25.089469999999999</v>
      </c>
      <c r="AK9669">
        <v>58.92456</v>
      </c>
    </row>
    <row r="9670" spans="1:37" x14ac:dyDescent="0.3">
      <c r="A9670">
        <v>9669</v>
      </c>
      <c r="B9670">
        <v>0</v>
      </c>
      <c r="C9670">
        <v>10.345599999999999</v>
      </c>
      <c r="D9670">
        <v>4.5333300000000003</v>
      </c>
      <c r="E9670" t="s">
        <v>14666</v>
      </c>
      <c r="F9670" t="s">
        <v>14667</v>
      </c>
      <c r="G9670" t="s">
        <v>39</v>
      </c>
      <c r="H9670">
        <v>1990</v>
      </c>
      <c r="I9670">
        <v>26.585840000000001</v>
      </c>
      <c r="J9670">
        <v>8.4</v>
      </c>
      <c r="K9670">
        <v>74.85839</v>
      </c>
      <c r="L9670">
        <v>9.4128319999999999</v>
      </c>
      <c r="M9670">
        <v>32.985840000000003</v>
      </c>
      <c r="N9670">
        <v>21.77168</v>
      </c>
      <c r="O9670">
        <v>11.21416</v>
      </c>
      <c r="P9670">
        <v>25.585840000000001</v>
      </c>
      <c r="Q9670">
        <v>27.385840000000002</v>
      </c>
      <c r="R9670">
        <v>27.585840000000001</v>
      </c>
      <c r="S9670">
        <v>25.185839999999999</v>
      </c>
      <c r="T9670">
        <v>2622.85</v>
      </c>
      <c r="U9670">
        <v>460.28320000000002</v>
      </c>
      <c r="V9670">
        <v>18</v>
      </c>
      <c r="W9670">
        <v>68</v>
      </c>
      <c r="X9670">
        <v>1251.8499999999999</v>
      </c>
      <c r="Y9670">
        <v>86</v>
      </c>
      <c r="Z9670">
        <v>383</v>
      </c>
      <c r="AA9670">
        <v>1209.991</v>
      </c>
      <c r="AB9670">
        <v>11.01294</v>
      </c>
      <c r="AC9670">
        <v>19.142489999999999</v>
      </c>
      <c r="AD9670">
        <v>11.801</v>
      </c>
      <c r="AE9670">
        <v>0.1042376</v>
      </c>
      <c r="AF9670">
        <v>121.7098</v>
      </c>
      <c r="AG9670">
        <f>IFERROR(AH9670*0.1, "N/A")</f>
        <v>5.1732520000000006</v>
      </c>
      <c r="AH9670">
        <v>51.732520000000001</v>
      </c>
      <c r="AI9670">
        <v>62.713120000000004</v>
      </c>
      <c r="AJ9670">
        <v>29.125869999999999</v>
      </c>
      <c r="AK9670">
        <v>50.115380000000002</v>
      </c>
    </row>
    <row r="9671" spans="1:37" x14ac:dyDescent="0.3">
      <c r="A9671">
        <v>9670</v>
      </c>
      <c r="B9671">
        <v>0</v>
      </c>
      <c r="C9671">
        <v>10.345599999999999</v>
      </c>
      <c r="D9671">
        <v>4.5333300000000003</v>
      </c>
      <c r="E9671" t="s">
        <v>14666</v>
      </c>
      <c r="F9671" t="s">
        <v>14668</v>
      </c>
      <c r="G9671" t="s">
        <v>37</v>
      </c>
      <c r="H9671">
        <v>1990</v>
      </c>
      <c r="I9671">
        <v>26.585840000000001</v>
      </c>
      <c r="J9671">
        <v>8.4</v>
      </c>
      <c r="K9671">
        <v>74.85839</v>
      </c>
      <c r="L9671">
        <v>9.4128319999999999</v>
      </c>
      <c r="M9671">
        <v>32.985840000000003</v>
      </c>
      <c r="N9671">
        <v>21.77168</v>
      </c>
      <c r="O9671">
        <v>11.21416</v>
      </c>
      <c r="P9671">
        <v>25.585840000000001</v>
      </c>
      <c r="Q9671">
        <v>27.385840000000002</v>
      </c>
      <c r="R9671">
        <v>27.585840000000001</v>
      </c>
      <c r="S9671">
        <v>25.185839999999999</v>
      </c>
      <c r="T9671">
        <v>2622.85</v>
      </c>
      <c r="U9671">
        <v>460.28320000000002</v>
      </c>
      <c r="V9671">
        <v>18</v>
      </c>
      <c r="W9671">
        <v>68</v>
      </c>
      <c r="X9671">
        <v>1251.8499999999999</v>
      </c>
      <c r="Y9671">
        <v>86</v>
      </c>
      <c r="Z9671">
        <v>383</v>
      </c>
      <c r="AA9671">
        <v>1209.991</v>
      </c>
      <c r="AB9671">
        <v>11.01294</v>
      </c>
      <c r="AC9671">
        <v>19.142489999999999</v>
      </c>
      <c r="AD9671">
        <v>11.801</v>
      </c>
      <c r="AE9671">
        <v>0.1042376</v>
      </c>
      <c r="AF9671">
        <v>121.7098</v>
      </c>
      <c r="AG9671">
        <f>IFERROR(AH9671*0.1, "N/A")</f>
        <v>5.1732520000000006</v>
      </c>
      <c r="AH9671">
        <v>51.732520000000001</v>
      </c>
      <c r="AI9671">
        <v>62.713120000000004</v>
      </c>
      <c r="AJ9671">
        <v>29.125869999999999</v>
      </c>
      <c r="AK9671">
        <v>50.115380000000002</v>
      </c>
    </row>
    <row r="9672" spans="1:37" x14ac:dyDescent="0.3">
      <c r="A9672">
        <v>9671</v>
      </c>
      <c r="B9672">
        <v>0</v>
      </c>
      <c r="C9672">
        <v>10.345599999999999</v>
      </c>
      <c r="D9672">
        <v>4.5333300000000003</v>
      </c>
      <c r="E9672" t="s">
        <v>14666</v>
      </c>
      <c r="F9672" t="s">
        <v>14669</v>
      </c>
      <c r="G9672" t="s">
        <v>2420</v>
      </c>
      <c r="H9672">
        <v>1990</v>
      </c>
      <c r="I9672">
        <v>26.585840000000001</v>
      </c>
      <c r="J9672">
        <v>8.4</v>
      </c>
      <c r="K9672">
        <v>74.85839</v>
      </c>
      <c r="L9672">
        <v>9.4128319999999999</v>
      </c>
      <c r="M9672">
        <v>32.985840000000003</v>
      </c>
      <c r="N9672">
        <v>21.77168</v>
      </c>
      <c r="O9672">
        <v>11.21416</v>
      </c>
      <c r="P9672">
        <v>25.585840000000001</v>
      </c>
      <c r="Q9672">
        <v>27.385840000000002</v>
      </c>
      <c r="R9672">
        <v>27.585840000000001</v>
      </c>
      <c r="S9672">
        <v>25.185839999999999</v>
      </c>
      <c r="T9672">
        <v>2622.85</v>
      </c>
      <c r="U9672">
        <v>460.28320000000002</v>
      </c>
      <c r="V9672">
        <v>18</v>
      </c>
      <c r="W9672">
        <v>68</v>
      </c>
      <c r="X9672">
        <v>1251.8499999999999</v>
      </c>
      <c r="Y9672">
        <v>86</v>
      </c>
      <c r="Z9672">
        <v>383</v>
      </c>
      <c r="AA9672">
        <v>1209.991</v>
      </c>
      <c r="AB9672">
        <v>11.01294</v>
      </c>
      <c r="AC9672">
        <v>19.142489999999999</v>
      </c>
      <c r="AD9672">
        <v>11.801</v>
      </c>
      <c r="AE9672">
        <v>0.1042376</v>
      </c>
      <c r="AF9672">
        <v>121.7098</v>
      </c>
      <c r="AG9672">
        <f>IFERROR(AH9672*0.1, "N/A")</f>
        <v>5.1732520000000006</v>
      </c>
      <c r="AH9672">
        <v>51.732520000000001</v>
      </c>
      <c r="AI9672">
        <v>62.713120000000004</v>
      </c>
      <c r="AJ9672">
        <v>29.125869999999999</v>
      </c>
      <c r="AK9672">
        <v>50.115380000000002</v>
      </c>
    </row>
    <row r="9673" spans="1:37" x14ac:dyDescent="0.3">
      <c r="A9673">
        <v>9672</v>
      </c>
      <c r="B9673">
        <v>0</v>
      </c>
      <c r="C9673">
        <v>9.07944</v>
      </c>
      <c r="D9673">
        <v>4.5369400000000004</v>
      </c>
      <c r="E9673" t="s">
        <v>14670</v>
      </c>
      <c r="F9673" t="s">
        <v>14671</v>
      </c>
      <c r="G9673" t="s">
        <v>39</v>
      </c>
      <c r="H9673">
        <v>1990</v>
      </c>
      <c r="I9673">
        <v>26.2</v>
      </c>
      <c r="J9673">
        <v>8.1</v>
      </c>
      <c r="K9673">
        <v>79</v>
      </c>
      <c r="L9673">
        <v>7.45</v>
      </c>
      <c r="M9673">
        <v>32</v>
      </c>
      <c r="N9673">
        <v>21.8</v>
      </c>
      <c r="O9673">
        <v>10.199999999999999</v>
      </c>
      <c r="P9673">
        <v>25.1</v>
      </c>
      <c r="Q9673">
        <v>26.6</v>
      </c>
      <c r="R9673">
        <v>27.1</v>
      </c>
      <c r="S9673">
        <v>25.1</v>
      </c>
      <c r="T9673">
        <v>3248</v>
      </c>
      <c r="U9673">
        <v>468</v>
      </c>
      <c r="V9673">
        <v>61</v>
      </c>
      <c r="W9673">
        <v>48</v>
      </c>
      <c r="X9673">
        <v>1289</v>
      </c>
      <c r="Y9673">
        <v>257</v>
      </c>
      <c r="Z9673">
        <v>644</v>
      </c>
      <c r="AA9673">
        <v>1289</v>
      </c>
      <c r="AB9673">
        <v>4.7929950000000003</v>
      </c>
      <c r="AC9673">
        <v>8.4743639999999996</v>
      </c>
      <c r="AD9673">
        <v>3.7888660000000001</v>
      </c>
      <c r="AE9673">
        <v>0.1445331</v>
      </c>
      <c r="AF9673">
        <v>21.506129999999999</v>
      </c>
      <c r="AG9673">
        <f>IFERROR(AH9673*0.1, "N/A")</f>
        <v>5.2490370000000004</v>
      </c>
      <c r="AH9673">
        <v>52.490369999999999</v>
      </c>
      <c r="AI9673">
        <v>114.26479999999999</v>
      </c>
      <c r="AJ9673">
        <v>25.898420000000002</v>
      </c>
      <c r="AK9673">
        <v>57.756570000000004</v>
      </c>
    </row>
    <row r="9674" spans="1:37" x14ac:dyDescent="0.3">
      <c r="A9674">
        <v>9673</v>
      </c>
      <c r="B9674">
        <v>5.6</v>
      </c>
      <c r="C9674">
        <v>9.07944</v>
      </c>
      <c r="D9674">
        <v>4.5369400000000004</v>
      </c>
      <c r="E9674" t="s">
        <v>14670</v>
      </c>
      <c r="F9674" t="s">
        <v>14672</v>
      </c>
      <c r="G9674" t="s">
        <v>37</v>
      </c>
      <c r="H9674">
        <v>1990</v>
      </c>
      <c r="I9674">
        <v>26.2</v>
      </c>
      <c r="J9674">
        <v>8.1</v>
      </c>
      <c r="K9674">
        <v>79</v>
      </c>
      <c r="L9674">
        <v>7.45</v>
      </c>
      <c r="M9674">
        <v>32</v>
      </c>
      <c r="N9674">
        <v>21.8</v>
      </c>
      <c r="O9674">
        <v>10.199999999999999</v>
      </c>
      <c r="P9674">
        <v>25.1</v>
      </c>
      <c r="Q9674">
        <v>26.6</v>
      </c>
      <c r="R9674">
        <v>27.1</v>
      </c>
      <c r="S9674">
        <v>25.1</v>
      </c>
      <c r="T9674">
        <v>3248</v>
      </c>
      <c r="U9674">
        <v>468</v>
      </c>
      <c r="V9674">
        <v>61</v>
      </c>
      <c r="W9674">
        <v>48</v>
      </c>
      <c r="X9674">
        <v>1289</v>
      </c>
      <c r="Y9674">
        <v>257</v>
      </c>
      <c r="Z9674">
        <v>644</v>
      </c>
      <c r="AA9674">
        <v>1289</v>
      </c>
      <c r="AB9674">
        <v>4.7929950000000003</v>
      </c>
      <c r="AC9674">
        <v>8.4743639999999996</v>
      </c>
      <c r="AD9674">
        <v>3.7888660000000001</v>
      </c>
      <c r="AE9674">
        <v>0.1445331</v>
      </c>
      <c r="AF9674">
        <v>21.506129999999999</v>
      </c>
      <c r="AG9674">
        <f>IFERROR(AH9674*0.1, "N/A")</f>
        <v>5.2490370000000004</v>
      </c>
      <c r="AH9674">
        <v>52.490369999999999</v>
      </c>
      <c r="AI9674">
        <v>114.26479999999999</v>
      </c>
      <c r="AJ9674">
        <v>25.898420000000002</v>
      </c>
      <c r="AK9674">
        <v>57.756570000000004</v>
      </c>
    </row>
    <row r="9675" spans="1:37" x14ac:dyDescent="0.3">
      <c r="A9675">
        <v>9674</v>
      </c>
      <c r="B9675">
        <v>0</v>
      </c>
      <c r="C9675">
        <v>9.07944</v>
      </c>
      <c r="D9675">
        <v>4.5369400000000004</v>
      </c>
      <c r="E9675" t="s">
        <v>14670</v>
      </c>
      <c r="F9675" t="s">
        <v>14673</v>
      </c>
      <c r="G9675" t="s">
        <v>2420</v>
      </c>
      <c r="H9675">
        <v>1990</v>
      </c>
      <c r="I9675">
        <v>26.2</v>
      </c>
      <c r="J9675">
        <v>8.1</v>
      </c>
      <c r="K9675">
        <v>79</v>
      </c>
      <c r="L9675">
        <v>7.45</v>
      </c>
      <c r="M9675">
        <v>32</v>
      </c>
      <c r="N9675">
        <v>21.8</v>
      </c>
      <c r="O9675">
        <v>10.199999999999999</v>
      </c>
      <c r="P9675">
        <v>25.1</v>
      </c>
      <c r="Q9675">
        <v>26.6</v>
      </c>
      <c r="R9675">
        <v>27.1</v>
      </c>
      <c r="S9675">
        <v>25.1</v>
      </c>
      <c r="T9675">
        <v>3248</v>
      </c>
      <c r="U9675">
        <v>468</v>
      </c>
      <c r="V9675">
        <v>61</v>
      </c>
      <c r="W9675">
        <v>48</v>
      </c>
      <c r="X9675">
        <v>1289</v>
      </c>
      <c r="Y9675">
        <v>257</v>
      </c>
      <c r="Z9675">
        <v>644</v>
      </c>
      <c r="AA9675">
        <v>1289</v>
      </c>
      <c r="AB9675">
        <v>4.7929950000000003</v>
      </c>
      <c r="AC9675">
        <v>8.4743639999999996</v>
      </c>
      <c r="AD9675">
        <v>3.7888660000000001</v>
      </c>
      <c r="AE9675">
        <v>0.1445331</v>
      </c>
      <c r="AF9675">
        <v>21.506129999999999</v>
      </c>
      <c r="AG9675">
        <f>IFERROR(AH9675*0.1, "N/A")</f>
        <v>5.2490370000000004</v>
      </c>
      <c r="AH9675">
        <v>52.490369999999999</v>
      </c>
      <c r="AI9675">
        <v>114.26479999999999</v>
      </c>
      <c r="AJ9675">
        <v>25.898420000000002</v>
      </c>
      <c r="AK9675">
        <v>57.756570000000004</v>
      </c>
    </row>
    <row r="9676" spans="1:37" x14ac:dyDescent="0.3">
      <c r="A9676">
        <v>9675</v>
      </c>
      <c r="B9676">
        <v>0</v>
      </c>
      <c r="C9676">
        <v>9.8852799999999998</v>
      </c>
      <c r="D9676">
        <v>4.5430599999999997</v>
      </c>
      <c r="E9676" t="s">
        <v>14674</v>
      </c>
      <c r="F9676" t="s">
        <v>14675</v>
      </c>
      <c r="G9676" t="s">
        <v>39</v>
      </c>
      <c r="H9676">
        <v>1990</v>
      </c>
      <c r="I9676">
        <v>26.8</v>
      </c>
      <c r="J9676">
        <v>8.1</v>
      </c>
      <c r="K9676">
        <v>78</v>
      </c>
      <c r="L9676">
        <v>7.89</v>
      </c>
      <c r="M9676">
        <v>32.700000000000003</v>
      </c>
      <c r="N9676">
        <v>22.4</v>
      </c>
      <c r="O9676">
        <v>10.3</v>
      </c>
      <c r="P9676">
        <v>25.6</v>
      </c>
      <c r="Q9676">
        <v>27.4</v>
      </c>
      <c r="R9676">
        <v>27.6</v>
      </c>
      <c r="S9676">
        <v>25.6</v>
      </c>
      <c r="T9676">
        <v>2970</v>
      </c>
      <c r="U9676">
        <v>476</v>
      </c>
      <c r="V9676">
        <v>29</v>
      </c>
      <c r="W9676">
        <v>64</v>
      </c>
      <c r="X9676">
        <v>1360</v>
      </c>
      <c r="Y9676">
        <v>130</v>
      </c>
      <c r="Z9676">
        <v>442</v>
      </c>
      <c r="AA9676">
        <v>1360</v>
      </c>
      <c r="AB9676">
        <v>10.850440000000001</v>
      </c>
      <c r="AC9676">
        <v>0.51779520000000001</v>
      </c>
      <c r="AD9676">
        <v>7.3556299999999997</v>
      </c>
      <c r="AE9676">
        <v>0.10573879999999999</v>
      </c>
      <c r="AF9676">
        <v>85.856390000000005</v>
      </c>
      <c r="AG9676">
        <f>IFERROR(AH9676*0.1, "N/A")</f>
        <v>4.8211910000000007</v>
      </c>
      <c r="AH9676">
        <v>48.211910000000003</v>
      </c>
      <c r="AI9676">
        <v>179.0454</v>
      </c>
      <c r="AJ9676">
        <v>28.537649999999999</v>
      </c>
      <c r="AK9676">
        <v>51.973730000000003</v>
      </c>
    </row>
    <row r="9677" spans="1:37" x14ac:dyDescent="0.3">
      <c r="A9677">
        <v>9676</v>
      </c>
      <c r="B9677">
        <v>0</v>
      </c>
      <c r="C9677">
        <v>9.8852799999999998</v>
      </c>
      <c r="D9677">
        <v>4.5430599999999997</v>
      </c>
      <c r="E9677" t="s">
        <v>14674</v>
      </c>
      <c r="F9677" t="s">
        <v>14676</v>
      </c>
      <c r="G9677" t="s">
        <v>37</v>
      </c>
      <c r="H9677">
        <v>1990</v>
      </c>
      <c r="I9677">
        <v>26.8</v>
      </c>
      <c r="J9677">
        <v>8.1</v>
      </c>
      <c r="K9677">
        <v>78</v>
      </c>
      <c r="L9677">
        <v>7.89</v>
      </c>
      <c r="M9677">
        <v>32.700000000000003</v>
      </c>
      <c r="N9677">
        <v>22.4</v>
      </c>
      <c r="O9677">
        <v>10.3</v>
      </c>
      <c r="P9677">
        <v>25.6</v>
      </c>
      <c r="Q9677">
        <v>27.4</v>
      </c>
      <c r="R9677">
        <v>27.6</v>
      </c>
      <c r="S9677">
        <v>25.6</v>
      </c>
      <c r="T9677">
        <v>2970</v>
      </c>
      <c r="U9677">
        <v>476</v>
      </c>
      <c r="V9677">
        <v>29</v>
      </c>
      <c r="W9677">
        <v>64</v>
      </c>
      <c r="X9677">
        <v>1360</v>
      </c>
      <c r="Y9677">
        <v>130</v>
      </c>
      <c r="Z9677">
        <v>442</v>
      </c>
      <c r="AA9677">
        <v>1360</v>
      </c>
      <c r="AB9677">
        <v>10.850440000000001</v>
      </c>
      <c r="AC9677">
        <v>0.51779520000000001</v>
      </c>
      <c r="AD9677">
        <v>7.3556299999999997</v>
      </c>
      <c r="AE9677">
        <v>0.10573879999999999</v>
      </c>
      <c r="AF9677">
        <v>85.856390000000005</v>
      </c>
      <c r="AG9677">
        <f>IFERROR(AH9677*0.1, "N/A")</f>
        <v>4.8211910000000007</v>
      </c>
      <c r="AH9677">
        <v>48.211910000000003</v>
      </c>
      <c r="AI9677">
        <v>179.0454</v>
      </c>
      <c r="AJ9677">
        <v>28.537649999999999</v>
      </c>
      <c r="AK9677">
        <v>51.973730000000003</v>
      </c>
    </row>
    <row r="9678" spans="1:37" x14ac:dyDescent="0.3">
      <c r="A9678">
        <v>9677</v>
      </c>
      <c r="B9678">
        <v>0</v>
      </c>
      <c r="C9678">
        <v>9.8852799999999998</v>
      </c>
      <c r="D9678">
        <v>4.5430599999999997</v>
      </c>
      <c r="E9678" t="s">
        <v>14674</v>
      </c>
      <c r="F9678" t="s">
        <v>14677</v>
      </c>
      <c r="G9678" t="s">
        <v>2420</v>
      </c>
      <c r="H9678">
        <v>1990</v>
      </c>
      <c r="I9678">
        <v>26.8</v>
      </c>
      <c r="J9678">
        <v>8.1</v>
      </c>
      <c r="K9678">
        <v>78</v>
      </c>
      <c r="L9678">
        <v>7.89</v>
      </c>
      <c r="M9678">
        <v>32.700000000000003</v>
      </c>
      <c r="N9678">
        <v>22.4</v>
      </c>
      <c r="O9678">
        <v>10.3</v>
      </c>
      <c r="P9678">
        <v>25.6</v>
      </c>
      <c r="Q9678">
        <v>27.4</v>
      </c>
      <c r="R9678">
        <v>27.6</v>
      </c>
      <c r="S9678">
        <v>25.6</v>
      </c>
      <c r="T9678">
        <v>2970</v>
      </c>
      <c r="U9678">
        <v>476</v>
      </c>
      <c r="V9678">
        <v>29</v>
      </c>
      <c r="W9678">
        <v>64</v>
      </c>
      <c r="X9678">
        <v>1360</v>
      </c>
      <c r="Y9678">
        <v>130</v>
      </c>
      <c r="Z9678">
        <v>442</v>
      </c>
      <c r="AA9678">
        <v>1360</v>
      </c>
      <c r="AB9678">
        <v>10.850440000000001</v>
      </c>
      <c r="AC9678">
        <v>0.51779520000000001</v>
      </c>
      <c r="AD9678">
        <v>7.3556299999999997</v>
      </c>
      <c r="AE9678">
        <v>0.10573879999999999</v>
      </c>
      <c r="AF9678">
        <v>85.856390000000005</v>
      </c>
      <c r="AG9678">
        <f>IFERROR(AH9678*0.1, "N/A")</f>
        <v>4.8211910000000007</v>
      </c>
      <c r="AH9678">
        <v>48.211910000000003</v>
      </c>
      <c r="AI9678">
        <v>179.0454</v>
      </c>
      <c r="AJ9678">
        <v>28.537649999999999</v>
      </c>
      <c r="AK9678">
        <v>51.973730000000003</v>
      </c>
    </row>
    <row r="9679" spans="1:37" x14ac:dyDescent="0.3">
      <c r="A9679">
        <v>9678</v>
      </c>
      <c r="B9679">
        <v>0</v>
      </c>
      <c r="C9679">
        <v>11.478300000000001</v>
      </c>
      <c r="D9679">
        <v>4.5466699999999998</v>
      </c>
      <c r="E9679" t="s">
        <v>14678</v>
      </c>
      <c r="F9679" t="s">
        <v>14679</v>
      </c>
      <c r="G9679" t="s">
        <v>37</v>
      </c>
      <c r="H9679">
        <v>1990</v>
      </c>
      <c r="I9679">
        <v>25</v>
      </c>
      <c r="J9679">
        <v>9.1999999999999993</v>
      </c>
      <c r="K9679">
        <v>77</v>
      </c>
      <c r="L9679">
        <v>8.35</v>
      </c>
      <c r="M9679">
        <v>31.8</v>
      </c>
      <c r="N9679">
        <v>19.899999999999999</v>
      </c>
      <c r="O9679">
        <v>11.9</v>
      </c>
      <c r="P9679">
        <v>24.1</v>
      </c>
      <c r="Q9679">
        <v>25.8</v>
      </c>
      <c r="R9679">
        <v>26</v>
      </c>
      <c r="S9679">
        <v>23.9</v>
      </c>
      <c r="T9679">
        <v>1560</v>
      </c>
      <c r="U9679">
        <v>293</v>
      </c>
      <c r="V9679">
        <v>12</v>
      </c>
      <c r="W9679">
        <v>66</v>
      </c>
      <c r="X9679">
        <v>685</v>
      </c>
      <c r="Y9679">
        <v>60</v>
      </c>
      <c r="Z9679">
        <v>316</v>
      </c>
      <c r="AA9679">
        <v>494</v>
      </c>
      <c r="AB9679">
        <v>12.63058</v>
      </c>
      <c r="AC9679">
        <v>8.3218470000000003E-2</v>
      </c>
      <c r="AD9679">
        <v>3.2369129999999999</v>
      </c>
      <c r="AE9679">
        <v>0.54004229999999998</v>
      </c>
      <c r="AF9679">
        <v>492.14159999999998</v>
      </c>
      <c r="AG9679">
        <f>IFERROR(AH9679*0.1, "N/A")</f>
        <v>5.3910840000000002</v>
      </c>
      <c r="AH9679">
        <v>53.91084</v>
      </c>
      <c r="AI9679">
        <v>169.1397</v>
      </c>
      <c r="AJ9679">
        <v>27.91084</v>
      </c>
      <c r="AK9679">
        <v>53.178319999999999</v>
      </c>
    </row>
    <row r="9680" spans="1:37" x14ac:dyDescent="0.3">
      <c r="A9680">
        <v>9679</v>
      </c>
      <c r="B9680">
        <v>0</v>
      </c>
      <c r="C9680">
        <v>11.478300000000001</v>
      </c>
      <c r="D9680">
        <v>4.5466699999999998</v>
      </c>
      <c r="E9680" t="s">
        <v>14678</v>
      </c>
      <c r="F9680" t="s">
        <v>14680</v>
      </c>
      <c r="G9680" t="s">
        <v>2420</v>
      </c>
      <c r="H9680">
        <v>1990</v>
      </c>
      <c r="I9680">
        <v>25</v>
      </c>
      <c r="J9680">
        <v>9.1999999999999993</v>
      </c>
      <c r="K9680">
        <v>77</v>
      </c>
      <c r="L9680">
        <v>8.35</v>
      </c>
      <c r="M9680">
        <v>31.8</v>
      </c>
      <c r="N9680">
        <v>19.899999999999999</v>
      </c>
      <c r="O9680">
        <v>11.9</v>
      </c>
      <c r="P9680">
        <v>24.1</v>
      </c>
      <c r="Q9680">
        <v>25.8</v>
      </c>
      <c r="R9680">
        <v>26</v>
      </c>
      <c r="S9680">
        <v>23.9</v>
      </c>
      <c r="T9680">
        <v>1560</v>
      </c>
      <c r="U9680">
        <v>293</v>
      </c>
      <c r="V9680">
        <v>12</v>
      </c>
      <c r="W9680">
        <v>66</v>
      </c>
      <c r="X9680">
        <v>685</v>
      </c>
      <c r="Y9680">
        <v>60</v>
      </c>
      <c r="Z9680">
        <v>316</v>
      </c>
      <c r="AA9680">
        <v>494</v>
      </c>
      <c r="AB9680">
        <v>12.63058</v>
      </c>
      <c r="AC9680">
        <v>8.3218470000000003E-2</v>
      </c>
      <c r="AD9680">
        <v>3.2369129999999999</v>
      </c>
      <c r="AE9680">
        <v>0.54004229999999998</v>
      </c>
      <c r="AF9680">
        <v>492.14159999999998</v>
      </c>
      <c r="AG9680">
        <f>IFERROR(AH9680*0.1, "N/A")</f>
        <v>5.3910840000000002</v>
      </c>
      <c r="AH9680">
        <v>53.91084</v>
      </c>
      <c r="AI9680">
        <v>169.1397</v>
      </c>
      <c r="AJ9680">
        <v>27.91084</v>
      </c>
      <c r="AK9680">
        <v>53.178319999999999</v>
      </c>
    </row>
    <row r="9681" spans="1:37" x14ac:dyDescent="0.3">
      <c r="A9681">
        <v>9680</v>
      </c>
      <c r="B9681">
        <v>7.4</v>
      </c>
      <c r="C9681">
        <v>11.369400000000001</v>
      </c>
      <c r="D9681">
        <v>4.5533299999999999</v>
      </c>
      <c r="E9681" t="s">
        <v>14681</v>
      </c>
      <c r="F9681" t="s">
        <v>14682</v>
      </c>
      <c r="G9681" t="s">
        <v>37</v>
      </c>
      <c r="H9681">
        <v>1990</v>
      </c>
      <c r="I9681">
        <v>25.6</v>
      </c>
      <c r="J9681">
        <v>9.1</v>
      </c>
      <c r="K9681">
        <v>76</v>
      </c>
      <c r="L9681">
        <v>8.68</v>
      </c>
      <c r="M9681">
        <v>32.4</v>
      </c>
      <c r="N9681">
        <v>20.5</v>
      </c>
      <c r="O9681">
        <v>11.9</v>
      </c>
      <c r="P9681">
        <v>24.7</v>
      </c>
      <c r="Q9681">
        <v>26.4</v>
      </c>
      <c r="R9681">
        <v>26.6</v>
      </c>
      <c r="S9681">
        <v>24.4</v>
      </c>
      <c r="T9681">
        <v>1582</v>
      </c>
      <c r="U9681">
        <v>298</v>
      </c>
      <c r="V9681">
        <v>12</v>
      </c>
      <c r="W9681">
        <v>66</v>
      </c>
      <c r="X9681">
        <v>707</v>
      </c>
      <c r="Y9681">
        <v>56</v>
      </c>
      <c r="Z9681">
        <v>309</v>
      </c>
      <c r="AA9681">
        <v>520</v>
      </c>
      <c r="AB9681">
        <v>4.9033439999999997</v>
      </c>
      <c r="AC9681">
        <v>1.1486690000000001E-2</v>
      </c>
      <c r="AD9681">
        <v>2.215862</v>
      </c>
      <c r="AE9681">
        <v>0.37642900000000001</v>
      </c>
      <c r="AF9681">
        <v>401.4341</v>
      </c>
      <c r="AG9681">
        <f>IFERROR(AH9681*0.1, "N/A")</f>
        <v>5.4579960000000005</v>
      </c>
      <c r="AH9681">
        <v>54.57996</v>
      </c>
      <c r="AI9681">
        <v>160.6902</v>
      </c>
      <c r="AJ9681">
        <v>30.156410000000001</v>
      </c>
      <c r="AK9681">
        <v>49.704749999999997</v>
      </c>
    </row>
    <row r="9682" spans="1:37" x14ac:dyDescent="0.3">
      <c r="A9682">
        <v>9681</v>
      </c>
      <c r="B9682">
        <v>0</v>
      </c>
      <c r="C9682">
        <v>11.369400000000001</v>
      </c>
      <c r="D9682">
        <v>4.5533299999999999</v>
      </c>
      <c r="E9682" t="s">
        <v>14681</v>
      </c>
      <c r="F9682" t="s">
        <v>14683</v>
      </c>
      <c r="G9682" t="s">
        <v>2420</v>
      </c>
      <c r="H9682">
        <v>1990</v>
      </c>
      <c r="I9682">
        <v>25.6</v>
      </c>
      <c r="J9682">
        <v>9.1</v>
      </c>
      <c r="K9682">
        <v>76</v>
      </c>
      <c r="L9682">
        <v>8.68</v>
      </c>
      <c r="M9682">
        <v>32.4</v>
      </c>
      <c r="N9682">
        <v>20.5</v>
      </c>
      <c r="O9682">
        <v>11.9</v>
      </c>
      <c r="P9682">
        <v>24.7</v>
      </c>
      <c r="Q9682">
        <v>26.4</v>
      </c>
      <c r="R9682">
        <v>26.6</v>
      </c>
      <c r="S9682">
        <v>24.4</v>
      </c>
      <c r="T9682">
        <v>1582</v>
      </c>
      <c r="U9682">
        <v>298</v>
      </c>
      <c r="V9682">
        <v>12</v>
      </c>
      <c r="W9682">
        <v>66</v>
      </c>
      <c r="X9682">
        <v>707</v>
      </c>
      <c r="Y9682">
        <v>56</v>
      </c>
      <c r="Z9682">
        <v>309</v>
      </c>
      <c r="AA9682">
        <v>520</v>
      </c>
      <c r="AB9682">
        <v>4.9033439999999997</v>
      </c>
      <c r="AC9682">
        <v>1.1486690000000001E-2</v>
      </c>
      <c r="AD9682">
        <v>2.215862</v>
      </c>
      <c r="AE9682">
        <v>0.37642900000000001</v>
      </c>
      <c r="AF9682">
        <v>401.4341</v>
      </c>
      <c r="AG9682">
        <f>IFERROR(AH9682*0.1, "N/A")</f>
        <v>5.4579960000000005</v>
      </c>
      <c r="AH9682">
        <v>54.57996</v>
      </c>
      <c r="AI9682">
        <v>160.6902</v>
      </c>
      <c r="AJ9682">
        <v>30.156410000000001</v>
      </c>
      <c r="AK9682">
        <v>49.704749999999997</v>
      </c>
    </row>
    <row r="9683" spans="1:37" x14ac:dyDescent="0.3">
      <c r="A9683">
        <v>9682</v>
      </c>
      <c r="B9683">
        <v>0</v>
      </c>
      <c r="C9683">
        <v>11.1167</v>
      </c>
      <c r="D9683">
        <v>4.5666700000000002</v>
      </c>
      <c r="E9683" t="s">
        <v>14684</v>
      </c>
      <c r="F9683" t="s">
        <v>14685</v>
      </c>
      <c r="G9683" t="s">
        <v>39</v>
      </c>
      <c r="H9683">
        <v>1990</v>
      </c>
      <c r="I9683">
        <v>25.25507</v>
      </c>
      <c r="J9683">
        <v>9</v>
      </c>
      <c r="K9683">
        <v>74.777969999999996</v>
      </c>
      <c r="L9683">
        <v>9.7462590000000002</v>
      </c>
      <c r="M9683">
        <v>32.077269999999999</v>
      </c>
      <c r="N9683">
        <v>20.055070000000001</v>
      </c>
      <c r="O9683">
        <v>12.0222</v>
      </c>
      <c r="P9683">
        <v>24.195450000000001</v>
      </c>
      <c r="Q9683">
        <v>26.117660000000001</v>
      </c>
      <c r="R9683">
        <v>26.355070000000001</v>
      </c>
      <c r="S9683">
        <v>23.89545</v>
      </c>
      <c r="T9683">
        <v>1720.14</v>
      </c>
      <c r="U9683">
        <v>314.3741</v>
      </c>
      <c r="V9683">
        <v>10</v>
      </c>
      <c r="W9683">
        <v>66</v>
      </c>
      <c r="X9683">
        <v>803.80240000000003</v>
      </c>
      <c r="Y9683">
        <v>53</v>
      </c>
      <c r="Z9683">
        <v>309.77800000000002</v>
      </c>
      <c r="AA9683">
        <v>635.32690000000002</v>
      </c>
      <c r="AB9683">
        <v>7.1578600000000003</v>
      </c>
      <c r="AC9683">
        <v>0.1066651</v>
      </c>
      <c r="AD9683">
        <v>2.5648550000000001</v>
      </c>
      <c r="AE9683">
        <v>0.58463259999999995</v>
      </c>
      <c r="AF9683">
        <v>452.18709999999999</v>
      </c>
      <c r="AG9683">
        <f>IFERROR(AH9683*0.1, "N/A")</f>
        <v>5.3634620000000002</v>
      </c>
      <c r="AH9683">
        <v>53.634619999999998</v>
      </c>
      <c r="AI9683">
        <v>138.29310000000001</v>
      </c>
      <c r="AJ9683">
        <v>27.7972</v>
      </c>
      <c r="AK9683">
        <v>56.304200000000002</v>
      </c>
    </row>
    <row r="9684" spans="1:37" x14ac:dyDescent="0.3">
      <c r="A9684">
        <v>9683</v>
      </c>
      <c r="B9684">
        <v>29.8</v>
      </c>
      <c r="C9684">
        <v>11.1167</v>
      </c>
      <c r="D9684">
        <v>4.5666700000000002</v>
      </c>
      <c r="E9684" t="s">
        <v>14684</v>
      </c>
      <c r="F9684" t="s">
        <v>14686</v>
      </c>
      <c r="G9684" t="s">
        <v>37</v>
      </c>
      <c r="H9684">
        <v>1990</v>
      </c>
      <c r="I9684">
        <v>25.25507</v>
      </c>
      <c r="J9684">
        <v>9</v>
      </c>
      <c r="K9684">
        <v>74.777969999999996</v>
      </c>
      <c r="L9684">
        <v>9.7462590000000002</v>
      </c>
      <c r="M9684">
        <v>32.077269999999999</v>
      </c>
      <c r="N9684">
        <v>20.055070000000001</v>
      </c>
      <c r="O9684">
        <v>12.0222</v>
      </c>
      <c r="P9684">
        <v>24.195450000000001</v>
      </c>
      <c r="Q9684">
        <v>26.117660000000001</v>
      </c>
      <c r="R9684">
        <v>26.355070000000001</v>
      </c>
      <c r="S9684">
        <v>23.89545</v>
      </c>
      <c r="T9684">
        <v>1720.14</v>
      </c>
      <c r="U9684">
        <v>314.3741</v>
      </c>
      <c r="V9684">
        <v>10</v>
      </c>
      <c r="W9684">
        <v>66</v>
      </c>
      <c r="X9684">
        <v>803.80240000000003</v>
      </c>
      <c r="Y9684">
        <v>53</v>
      </c>
      <c r="Z9684">
        <v>309.77800000000002</v>
      </c>
      <c r="AA9684">
        <v>635.32690000000002</v>
      </c>
      <c r="AB9684">
        <v>7.1578600000000003</v>
      </c>
      <c r="AC9684">
        <v>0.1066651</v>
      </c>
      <c r="AD9684">
        <v>2.5648550000000001</v>
      </c>
      <c r="AE9684">
        <v>0.58463259999999995</v>
      </c>
      <c r="AF9684">
        <v>452.18709999999999</v>
      </c>
      <c r="AG9684">
        <f>IFERROR(AH9684*0.1, "N/A")</f>
        <v>5.3634620000000002</v>
      </c>
      <c r="AH9684">
        <v>53.634619999999998</v>
      </c>
      <c r="AI9684">
        <v>138.29310000000001</v>
      </c>
      <c r="AJ9684">
        <v>27.7972</v>
      </c>
      <c r="AK9684">
        <v>56.304200000000002</v>
      </c>
    </row>
    <row r="9685" spans="1:37" x14ac:dyDescent="0.3">
      <c r="A9685">
        <v>9684</v>
      </c>
      <c r="B9685">
        <v>0</v>
      </c>
      <c r="C9685">
        <v>11.1167</v>
      </c>
      <c r="D9685">
        <v>4.5666700000000002</v>
      </c>
      <c r="E9685" t="s">
        <v>14684</v>
      </c>
      <c r="F9685" t="s">
        <v>14687</v>
      </c>
      <c r="G9685" t="s">
        <v>2420</v>
      </c>
      <c r="H9685">
        <v>1990</v>
      </c>
      <c r="I9685">
        <v>25.25507</v>
      </c>
      <c r="J9685">
        <v>9</v>
      </c>
      <c r="K9685">
        <v>74.777969999999996</v>
      </c>
      <c r="L9685">
        <v>9.7462590000000002</v>
      </c>
      <c r="M9685">
        <v>32.077269999999999</v>
      </c>
      <c r="N9685">
        <v>20.055070000000001</v>
      </c>
      <c r="O9685">
        <v>12.0222</v>
      </c>
      <c r="P9685">
        <v>24.195450000000001</v>
      </c>
      <c r="Q9685">
        <v>26.117660000000001</v>
      </c>
      <c r="R9685">
        <v>26.355070000000001</v>
      </c>
      <c r="S9685">
        <v>23.89545</v>
      </c>
      <c r="T9685">
        <v>1720.14</v>
      </c>
      <c r="U9685">
        <v>314.3741</v>
      </c>
      <c r="V9685">
        <v>10</v>
      </c>
      <c r="W9685">
        <v>66</v>
      </c>
      <c r="X9685">
        <v>803.80240000000003</v>
      </c>
      <c r="Y9685">
        <v>53</v>
      </c>
      <c r="Z9685">
        <v>309.77800000000002</v>
      </c>
      <c r="AA9685">
        <v>635.32690000000002</v>
      </c>
      <c r="AB9685">
        <v>7.1578600000000003</v>
      </c>
      <c r="AC9685">
        <v>0.1066651</v>
      </c>
      <c r="AD9685">
        <v>2.5648550000000001</v>
      </c>
      <c r="AE9685">
        <v>0.58463259999999995</v>
      </c>
      <c r="AF9685">
        <v>452.18709999999999</v>
      </c>
      <c r="AG9685">
        <f>IFERROR(AH9685*0.1, "N/A")</f>
        <v>5.3634620000000002</v>
      </c>
      <c r="AH9685">
        <v>53.634619999999998</v>
      </c>
      <c r="AI9685">
        <v>138.29310000000001</v>
      </c>
      <c r="AJ9685">
        <v>27.7972</v>
      </c>
      <c r="AK9685">
        <v>56.304200000000002</v>
      </c>
    </row>
    <row r="9686" spans="1:37" x14ac:dyDescent="0.3">
      <c r="A9686">
        <v>9685</v>
      </c>
      <c r="B9686">
        <v>0</v>
      </c>
      <c r="C9686">
        <v>12.833299999999999</v>
      </c>
      <c r="D9686">
        <v>4.5666700000000002</v>
      </c>
      <c r="E9686" t="s">
        <v>14688</v>
      </c>
      <c r="F9686" t="s">
        <v>14689</v>
      </c>
      <c r="G9686" t="s">
        <v>39</v>
      </c>
      <c r="H9686">
        <v>1990</v>
      </c>
      <c r="I9686">
        <v>23.53829</v>
      </c>
      <c r="J9686">
        <v>9.6999999999999993</v>
      </c>
      <c r="K9686">
        <v>78.222030000000004</v>
      </c>
      <c r="L9686">
        <v>6.9087240000000003</v>
      </c>
      <c r="M9686">
        <v>30.325869999999998</v>
      </c>
      <c r="N9686">
        <v>18.048079999999999</v>
      </c>
      <c r="O9686">
        <v>12.277799999999999</v>
      </c>
      <c r="P9686">
        <v>22.92587</v>
      </c>
      <c r="Q9686">
        <v>23.825869999999998</v>
      </c>
      <c r="R9686">
        <v>24.42587</v>
      </c>
      <c r="S9686">
        <v>22.64808</v>
      </c>
      <c r="T9686">
        <v>1546.385</v>
      </c>
      <c r="U9686">
        <v>294</v>
      </c>
      <c r="V9686">
        <v>15</v>
      </c>
      <c r="W9686">
        <v>65.902100000000004</v>
      </c>
      <c r="X9686">
        <v>682.74130000000002</v>
      </c>
      <c r="Y9686">
        <v>70</v>
      </c>
      <c r="Z9686">
        <v>292.51920000000001</v>
      </c>
      <c r="AA9686">
        <v>468.89859999999999</v>
      </c>
      <c r="AB9686">
        <v>31.419589999999999</v>
      </c>
      <c r="AC9686">
        <v>8.7298210000000005E-3</v>
      </c>
      <c r="AD9686">
        <v>2.233015</v>
      </c>
      <c r="AE9686">
        <v>0.401474</v>
      </c>
      <c r="AF9686">
        <v>722.71849999999995</v>
      </c>
      <c r="AG9686">
        <f>IFERROR(AH9686*0.1, "N/A")</f>
        <v>5.0568179999999998</v>
      </c>
      <c r="AH9686">
        <v>50.568179999999998</v>
      </c>
      <c r="AI9686">
        <v>164.59</v>
      </c>
      <c r="AJ9686">
        <v>38.781469999999999</v>
      </c>
      <c r="AK9686">
        <v>50.047199999999997</v>
      </c>
    </row>
    <row r="9687" spans="1:37" x14ac:dyDescent="0.3">
      <c r="A9687">
        <v>9686</v>
      </c>
      <c r="B9687">
        <v>0</v>
      </c>
      <c r="C9687">
        <v>12.833299999999999</v>
      </c>
      <c r="D9687">
        <v>4.5666700000000002</v>
      </c>
      <c r="E9687" t="s">
        <v>14688</v>
      </c>
      <c r="F9687" t="s">
        <v>14690</v>
      </c>
      <c r="G9687" t="s">
        <v>37</v>
      </c>
      <c r="H9687">
        <v>1990</v>
      </c>
      <c r="I9687">
        <v>23.53829</v>
      </c>
      <c r="J9687">
        <v>9.6999999999999993</v>
      </c>
      <c r="K9687">
        <v>78.222030000000004</v>
      </c>
      <c r="L9687">
        <v>6.9087240000000003</v>
      </c>
      <c r="M9687">
        <v>30.325869999999998</v>
      </c>
      <c r="N9687">
        <v>18.048079999999999</v>
      </c>
      <c r="O9687">
        <v>12.277799999999999</v>
      </c>
      <c r="P9687">
        <v>22.92587</v>
      </c>
      <c r="Q9687">
        <v>23.825869999999998</v>
      </c>
      <c r="R9687">
        <v>24.42587</v>
      </c>
      <c r="S9687">
        <v>22.64808</v>
      </c>
      <c r="T9687">
        <v>1546.385</v>
      </c>
      <c r="U9687">
        <v>294</v>
      </c>
      <c r="V9687">
        <v>15</v>
      </c>
      <c r="W9687">
        <v>65.902100000000004</v>
      </c>
      <c r="X9687">
        <v>682.74130000000002</v>
      </c>
      <c r="Y9687">
        <v>70</v>
      </c>
      <c r="Z9687">
        <v>292.51920000000001</v>
      </c>
      <c r="AA9687">
        <v>468.89859999999999</v>
      </c>
      <c r="AB9687">
        <v>31.419589999999999</v>
      </c>
      <c r="AC9687">
        <v>8.7298210000000005E-3</v>
      </c>
      <c r="AD9687">
        <v>2.233015</v>
      </c>
      <c r="AE9687">
        <v>0.401474</v>
      </c>
      <c r="AF9687">
        <v>722.71849999999995</v>
      </c>
      <c r="AG9687">
        <f>IFERROR(AH9687*0.1, "N/A")</f>
        <v>5.0568179999999998</v>
      </c>
      <c r="AH9687">
        <v>50.568179999999998</v>
      </c>
      <c r="AI9687">
        <v>164.59</v>
      </c>
      <c r="AJ9687">
        <v>38.781469999999999</v>
      </c>
      <c r="AK9687">
        <v>50.047199999999997</v>
      </c>
    </row>
    <row r="9688" spans="1:37" x14ac:dyDescent="0.3">
      <c r="A9688">
        <v>9687</v>
      </c>
      <c r="B9688">
        <v>0</v>
      </c>
      <c r="C9688">
        <v>12.833299999999999</v>
      </c>
      <c r="D9688">
        <v>4.5666700000000002</v>
      </c>
      <c r="E9688" t="s">
        <v>14688</v>
      </c>
      <c r="F9688" t="s">
        <v>14691</v>
      </c>
      <c r="G9688" t="s">
        <v>2420</v>
      </c>
      <c r="H9688">
        <v>1990</v>
      </c>
      <c r="I9688">
        <v>23.53829</v>
      </c>
      <c r="J9688">
        <v>9.6999999999999993</v>
      </c>
      <c r="K9688">
        <v>78.222030000000004</v>
      </c>
      <c r="L9688">
        <v>6.9087240000000003</v>
      </c>
      <c r="M9688">
        <v>30.325869999999998</v>
      </c>
      <c r="N9688">
        <v>18.048079999999999</v>
      </c>
      <c r="O9688">
        <v>12.277799999999999</v>
      </c>
      <c r="P9688">
        <v>22.92587</v>
      </c>
      <c r="Q9688">
        <v>23.825869999999998</v>
      </c>
      <c r="R9688">
        <v>24.42587</v>
      </c>
      <c r="S9688">
        <v>22.64808</v>
      </c>
      <c r="T9688">
        <v>1546.385</v>
      </c>
      <c r="U9688">
        <v>294</v>
      </c>
      <c r="V9688">
        <v>15</v>
      </c>
      <c r="W9688">
        <v>65.902100000000004</v>
      </c>
      <c r="X9688">
        <v>682.74130000000002</v>
      </c>
      <c r="Y9688">
        <v>70</v>
      </c>
      <c r="Z9688">
        <v>292.51920000000001</v>
      </c>
      <c r="AA9688">
        <v>468.89859999999999</v>
      </c>
      <c r="AB9688">
        <v>31.419589999999999</v>
      </c>
      <c r="AC9688">
        <v>8.7298210000000005E-3</v>
      </c>
      <c r="AD9688">
        <v>2.233015</v>
      </c>
      <c r="AE9688">
        <v>0.401474</v>
      </c>
      <c r="AF9688">
        <v>722.71849999999995</v>
      </c>
      <c r="AG9688">
        <f>IFERROR(AH9688*0.1, "N/A")</f>
        <v>5.0568179999999998</v>
      </c>
      <c r="AH9688">
        <v>50.568179999999998</v>
      </c>
      <c r="AI9688">
        <v>164.59</v>
      </c>
      <c r="AJ9688">
        <v>38.781469999999999</v>
      </c>
      <c r="AK9688">
        <v>50.047199999999997</v>
      </c>
    </row>
    <row r="9689" spans="1:37" x14ac:dyDescent="0.3">
      <c r="A9689">
        <v>9688</v>
      </c>
      <c r="B9689">
        <v>13</v>
      </c>
      <c r="C9689">
        <v>13.675000000000001</v>
      </c>
      <c r="D9689">
        <v>4.5750000000000002</v>
      </c>
      <c r="E9689" t="s">
        <v>14692</v>
      </c>
      <c r="F9689" t="s">
        <v>14693</v>
      </c>
      <c r="G9689" t="s">
        <v>39</v>
      </c>
      <c r="H9689">
        <v>1990</v>
      </c>
      <c r="I9689">
        <v>23.75412</v>
      </c>
      <c r="J9689">
        <v>10.154120000000001</v>
      </c>
      <c r="K9689">
        <v>77</v>
      </c>
      <c r="L9689">
        <v>6.896077</v>
      </c>
      <c r="M9689">
        <v>30.45412</v>
      </c>
      <c r="N9689">
        <v>17.321539999999999</v>
      </c>
      <c r="O9689">
        <v>13.132569999999999</v>
      </c>
      <c r="P9689">
        <v>23.25412</v>
      </c>
      <c r="Q9689">
        <v>23.6</v>
      </c>
      <c r="R9689">
        <v>24.654119999999999</v>
      </c>
      <c r="S9689">
        <v>22.95412</v>
      </c>
      <c r="T9689">
        <v>1565.942</v>
      </c>
      <c r="U9689">
        <v>281.1979</v>
      </c>
      <c r="V9689">
        <v>22.260950000000001</v>
      </c>
      <c r="W9689">
        <v>59</v>
      </c>
      <c r="X9689">
        <v>667.80909999999994</v>
      </c>
      <c r="Y9689">
        <v>88.935199999999995</v>
      </c>
      <c r="Z9689">
        <v>375.16989999999998</v>
      </c>
      <c r="AA9689">
        <v>453.05779999999999</v>
      </c>
      <c r="AB9689">
        <v>14.697929999999999</v>
      </c>
      <c r="AC9689">
        <v>2.3444380000000001E-2</v>
      </c>
      <c r="AD9689">
        <v>2.5282789999999999</v>
      </c>
      <c r="AE9689">
        <v>0.87478820000000002</v>
      </c>
      <c r="AF9689">
        <v>651.05079999999998</v>
      </c>
      <c r="AG9689">
        <f>IFERROR(AH9689*0.1, "N/A")</f>
        <v>5.7541159999999998</v>
      </c>
      <c r="AH9689">
        <v>57.541159999999998</v>
      </c>
      <c r="AI9689">
        <v>306.50459999999998</v>
      </c>
      <c r="AJ9689">
        <v>22.99475</v>
      </c>
      <c r="AK9689">
        <v>61.469349999999999</v>
      </c>
    </row>
    <row r="9690" spans="1:37" x14ac:dyDescent="0.3">
      <c r="A9690">
        <v>9689</v>
      </c>
      <c r="B9690">
        <v>0</v>
      </c>
      <c r="C9690">
        <v>13.675000000000001</v>
      </c>
      <c r="D9690">
        <v>4.5750000000000002</v>
      </c>
      <c r="E9690" t="s">
        <v>14692</v>
      </c>
      <c r="F9690" t="s">
        <v>14694</v>
      </c>
      <c r="G9690" t="s">
        <v>37</v>
      </c>
      <c r="H9690">
        <v>1990</v>
      </c>
      <c r="I9690">
        <v>23.75412</v>
      </c>
      <c r="J9690">
        <v>10.154120000000001</v>
      </c>
      <c r="K9690">
        <v>77</v>
      </c>
      <c r="L9690">
        <v>6.896077</v>
      </c>
      <c r="M9690">
        <v>30.45412</v>
      </c>
      <c r="N9690">
        <v>17.321539999999999</v>
      </c>
      <c r="O9690">
        <v>13.132569999999999</v>
      </c>
      <c r="P9690">
        <v>23.25412</v>
      </c>
      <c r="Q9690">
        <v>23.6</v>
      </c>
      <c r="R9690">
        <v>24.654119999999999</v>
      </c>
      <c r="S9690">
        <v>22.95412</v>
      </c>
      <c r="T9690">
        <v>1565.942</v>
      </c>
      <c r="U9690">
        <v>281.1979</v>
      </c>
      <c r="V9690">
        <v>22.260950000000001</v>
      </c>
      <c r="W9690">
        <v>59</v>
      </c>
      <c r="X9690">
        <v>667.80909999999994</v>
      </c>
      <c r="Y9690">
        <v>88.935199999999995</v>
      </c>
      <c r="Z9690">
        <v>375.16989999999998</v>
      </c>
      <c r="AA9690">
        <v>453.05779999999999</v>
      </c>
      <c r="AB9690">
        <v>14.697929999999999</v>
      </c>
      <c r="AC9690">
        <v>2.3444380000000001E-2</v>
      </c>
      <c r="AD9690">
        <v>2.5282789999999999</v>
      </c>
      <c r="AE9690">
        <v>0.87478820000000002</v>
      </c>
      <c r="AF9690">
        <v>651.05079999999998</v>
      </c>
      <c r="AG9690">
        <f>IFERROR(AH9690*0.1, "N/A")</f>
        <v>5.7541159999999998</v>
      </c>
      <c r="AH9690">
        <v>57.541159999999998</v>
      </c>
      <c r="AI9690">
        <v>306.50459999999998</v>
      </c>
      <c r="AJ9690">
        <v>22.99475</v>
      </c>
      <c r="AK9690">
        <v>61.469349999999999</v>
      </c>
    </row>
    <row r="9691" spans="1:37" x14ac:dyDescent="0.3">
      <c r="A9691">
        <v>9690</v>
      </c>
      <c r="B9691">
        <v>1.5</v>
      </c>
      <c r="C9691">
        <v>13.675000000000001</v>
      </c>
      <c r="D9691">
        <v>4.5750000000000002</v>
      </c>
      <c r="E9691" t="s">
        <v>14692</v>
      </c>
      <c r="F9691" t="s">
        <v>14695</v>
      </c>
      <c r="G9691" t="s">
        <v>2420</v>
      </c>
      <c r="H9691">
        <v>1990</v>
      </c>
      <c r="I9691">
        <v>23.75412</v>
      </c>
      <c r="J9691">
        <v>10.154120000000001</v>
      </c>
      <c r="K9691">
        <v>77</v>
      </c>
      <c r="L9691">
        <v>6.896077</v>
      </c>
      <c r="M9691">
        <v>30.45412</v>
      </c>
      <c r="N9691">
        <v>17.321539999999999</v>
      </c>
      <c r="O9691">
        <v>13.132569999999999</v>
      </c>
      <c r="P9691">
        <v>23.25412</v>
      </c>
      <c r="Q9691">
        <v>23.6</v>
      </c>
      <c r="R9691">
        <v>24.654119999999999</v>
      </c>
      <c r="S9691">
        <v>22.95412</v>
      </c>
      <c r="T9691">
        <v>1565.942</v>
      </c>
      <c r="U9691">
        <v>281.1979</v>
      </c>
      <c r="V9691">
        <v>22.260950000000001</v>
      </c>
      <c r="W9691">
        <v>59</v>
      </c>
      <c r="X9691">
        <v>667.80909999999994</v>
      </c>
      <c r="Y9691">
        <v>88.935199999999995</v>
      </c>
      <c r="Z9691">
        <v>375.16989999999998</v>
      </c>
      <c r="AA9691">
        <v>453.05779999999999</v>
      </c>
      <c r="AB9691">
        <v>14.697929999999999</v>
      </c>
      <c r="AC9691">
        <v>2.3444380000000001E-2</v>
      </c>
      <c r="AD9691">
        <v>2.5282789999999999</v>
      </c>
      <c r="AE9691">
        <v>0.87478820000000002</v>
      </c>
      <c r="AF9691">
        <v>651.05079999999998</v>
      </c>
      <c r="AG9691">
        <f>IFERROR(AH9691*0.1, "N/A")</f>
        <v>5.7541159999999998</v>
      </c>
      <c r="AH9691">
        <v>57.541159999999998</v>
      </c>
      <c r="AI9691">
        <v>306.50459999999998</v>
      </c>
      <c r="AJ9691">
        <v>22.99475</v>
      </c>
      <c r="AK9691">
        <v>61.469349999999999</v>
      </c>
    </row>
    <row r="9692" spans="1:37" x14ac:dyDescent="0.3">
      <c r="A9692">
        <v>9691</v>
      </c>
      <c r="B9692">
        <v>0</v>
      </c>
      <c r="C9692">
        <v>13.338900000000001</v>
      </c>
      <c r="D9692">
        <v>4.5750000000000002</v>
      </c>
      <c r="E9692" t="s">
        <v>14696</v>
      </c>
      <c r="F9692" t="s">
        <v>14697</v>
      </c>
      <c r="G9692" t="s">
        <v>39</v>
      </c>
      <c r="H9692">
        <v>1990</v>
      </c>
      <c r="I9692">
        <v>23.6</v>
      </c>
      <c r="J9692">
        <v>9.9413309999999999</v>
      </c>
      <c r="K9692">
        <v>78.413309999999996</v>
      </c>
      <c r="L9692">
        <v>6.878126</v>
      </c>
      <c r="M9692">
        <v>30.2</v>
      </c>
      <c r="N9692">
        <v>17.600000000000001</v>
      </c>
      <c r="O9692">
        <v>12.6</v>
      </c>
      <c r="P9692">
        <v>23</v>
      </c>
      <c r="Q9692">
        <v>23.6</v>
      </c>
      <c r="R9692">
        <v>24.4</v>
      </c>
      <c r="S9692">
        <v>22.7</v>
      </c>
      <c r="T9692">
        <v>1548.827</v>
      </c>
      <c r="U9692">
        <v>281</v>
      </c>
      <c r="V9692">
        <v>20</v>
      </c>
      <c r="W9692">
        <v>61</v>
      </c>
      <c r="X9692">
        <v>662.41330000000005</v>
      </c>
      <c r="Y9692">
        <v>81</v>
      </c>
      <c r="Z9692">
        <v>291</v>
      </c>
      <c r="AA9692">
        <v>409.82659999999998</v>
      </c>
      <c r="AB9692">
        <v>9.1511619999999994</v>
      </c>
      <c r="AC9692">
        <v>3.2278939999999999E-2</v>
      </c>
      <c r="AD9692">
        <v>4.3654650000000004</v>
      </c>
      <c r="AE9692">
        <v>0.30726350000000002</v>
      </c>
      <c r="AF9692">
        <v>676.24689999999998</v>
      </c>
      <c r="AG9692">
        <f>IFERROR(AH9692*0.1, "N/A")</f>
        <v>5.1005250000000002</v>
      </c>
      <c r="AH9692">
        <v>51.005249999999997</v>
      </c>
      <c r="AI9692">
        <v>81.141000000000005</v>
      </c>
      <c r="AJ9692">
        <v>37.005249999999997</v>
      </c>
      <c r="AK9692">
        <v>49</v>
      </c>
    </row>
    <row r="9693" spans="1:37" x14ac:dyDescent="0.3">
      <c r="A9693">
        <v>9692</v>
      </c>
      <c r="B9693">
        <v>0</v>
      </c>
      <c r="C9693">
        <v>13.338900000000001</v>
      </c>
      <c r="D9693">
        <v>4.5750000000000002</v>
      </c>
      <c r="E9693" t="s">
        <v>14696</v>
      </c>
      <c r="F9693" t="s">
        <v>14698</v>
      </c>
      <c r="G9693" t="s">
        <v>37</v>
      </c>
      <c r="H9693">
        <v>1990</v>
      </c>
      <c r="I9693">
        <v>23.6</v>
      </c>
      <c r="J9693">
        <v>9.9413309999999999</v>
      </c>
      <c r="K9693">
        <v>78.413309999999996</v>
      </c>
      <c r="L9693">
        <v>6.878126</v>
      </c>
      <c r="M9693">
        <v>30.2</v>
      </c>
      <c r="N9693">
        <v>17.600000000000001</v>
      </c>
      <c r="O9693">
        <v>12.6</v>
      </c>
      <c r="P9693">
        <v>23</v>
      </c>
      <c r="Q9693">
        <v>23.6</v>
      </c>
      <c r="R9693">
        <v>24.4</v>
      </c>
      <c r="S9693">
        <v>22.7</v>
      </c>
      <c r="T9693">
        <v>1548.827</v>
      </c>
      <c r="U9693">
        <v>281</v>
      </c>
      <c r="V9693">
        <v>20</v>
      </c>
      <c r="W9693">
        <v>61</v>
      </c>
      <c r="X9693">
        <v>662.41330000000005</v>
      </c>
      <c r="Y9693">
        <v>81</v>
      </c>
      <c r="Z9693">
        <v>291</v>
      </c>
      <c r="AA9693">
        <v>409.82659999999998</v>
      </c>
      <c r="AB9693">
        <v>9.1511619999999994</v>
      </c>
      <c r="AC9693">
        <v>3.2278939999999999E-2</v>
      </c>
      <c r="AD9693">
        <v>4.3654650000000004</v>
      </c>
      <c r="AE9693">
        <v>0.30726350000000002</v>
      </c>
      <c r="AF9693">
        <v>676.24689999999998</v>
      </c>
      <c r="AG9693">
        <f>IFERROR(AH9693*0.1, "N/A")</f>
        <v>5.1005250000000002</v>
      </c>
      <c r="AH9693">
        <v>51.005249999999997</v>
      </c>
      <c r="AI9693">
        <v>81.141000000000005</v>
      </c>
      <c r="AJ9693">
        <v>37.005249999999997</v>
      </c>
      <c r="AK9693">
        <v>49</v>
      </c>
    </row>
    <row r="9694" spans="1:37" x14ac:dyDescent="0.3">
      <c r="A9694">
        <v>9693</v>
      </c>
      <c r="B9694">
        <v>0</v>
      </c>
      <c r="C9694">
        <v>13.338900000000001</v>
      </c>
      <c r="D9694">
        <v>4.5750000000000002</v>
      </c>
      <c r="E9694" t="s">
        <v>14696</v>
      </c>
      <c r="F9694" t="s">
        <v>14699</v>
      </c>
      <c r="G9694" t="s">
        <v>2420</v>
      </c>
      <c r="H9694">
        <v>1990</v>
      </c>
      <c r="I9694">
        <v>23.6</v>
      </c>
      <c r="J9694">
        <v>9.9413309999999999</v>
      </c>
      <c r="K9694">
        <v>78.413309999999996</v>
      </c>
      <c r="L9694">
        <v>6.878126</v>
      </c>
      <c r="M9694">
        <v>30.2</v>
      </c>
      <c r="N9694">
        <v>17.600000000000001</v>
      </c>
      <c r="O9694">
        <v>12.6</v>
      </c>
      <c r="P9694">
        <v>23</v>
      </c>
      <c r="Q9694">
        <v>23.6</v>
      </c>
      <c r="R9694">
        <v>24.4</v>
      </c>
      <c r="S9694">
        <v>22.7</v>
      </c>
      <c r="T9694">
        <v>1548.827</v>
      </c>
      <c r="U9694">
        <v>281</v>
      </c>
      <c r="V9694">
        <v>20</v>
      </c>
      <c r="W9694">
        <v>61</v>
      </c>
      <c r="X9694">
        <v>662.41330000000005</v>
      </c>
      <c r="Y9694">
        <v>81</v>
      </c>
      <c r="Z9694">
        <v>291</v>
      </c>
      <c r="AA9694">
        <v>409.82659999999998</v>
      </c>
      <c r="AB9694">
        <v>9.1511619999999994</v>
      </c>
      <c r="AC9694">
        <v>3.2278939999999999E-2</v>
      </c>
      <c r="AD9694">
        <v>4.3654650000000004</v>
      </c>
      <c r="AE9694">
        <v>0.30726350000000002</v>
      </c>
      <c r="AF9694">
        <v>676.24689999999998</v>
      </c>
      <c r="AG9694">
        <f>IFERROR(AH9694*0.1, "N/A")</f>
        <v>5.1005250000000002</v>
      </c>
      <c r="AH9694">
        <v>51.005249999999997</v>
      </c>
      <c r="AI9694">
        <v>81.141000000000005</v>
      </c>
      <c r="AJ9694">
        <v>37.005249999999997</v>
      </c>
      <c r="AK9694">
        <v>49</v>
      </c>
    </row>
    <row r="9695" spans="1:37" x14ac:dyDescent="0.3">
      <c r="A9695">
        <v>9694</v>
      </c>
      <c r="B9695">
        <v>10</v>
      </c>
      <c r="C9695">
        <v>9.6647200000000009</v>
      </c>
      <c r="D9695">
        <v>4.5805600000000002</v>
      </c>
      <c r="E9695" t="s">
        <v>14700</v>
      </c>
      <c r="F9695" t="s">
        <v>14701</v>
      </c>
      <c r="G9695" t="s">
        <v>39</v>
      </c>
      <c r="H9695">
        <v>1987</v>
      </c>
      <c r="I9695">
        <v>26.6</v>
      </c>
      <c r="J9695">
        <v>8.1</v>
      </c>
      <c r="K9695">
        <v>77</v>
      </c>
      <c r="L9695">
        <v>8.57</v>
      </c>
      <c r="M9695">
        <v>32.6</v>
      </c>
      <c r="N9695">
        <v>22.2</v>
      </c>
      <c r="O9695">
        <v>10.4</v>
      </c>
      <c r="P9695">
        <v>25.4</v>
      </c>
      <c r="Q9695">
        <v>27.2</v>
      </c>
      <c r="R9695">
        <v>27.6</v>
      </c>
      <c r="S9695">
        <v>25.4</v>
      </c>
      <c r="T9695">
        <v>3006</v>
      </c>
      <c r="U9695">
        <v>449</v>
      </c>
      <c r="V9695">
        <v>34</v>
      </c>
      <c r="W9695">
        <v>61</v>
      </c>
      <c r="X9695">
        <v>1342</v>
      </c>
      <c r="Y9695">
        <v>150</v>
      </c>
      <c r="Z9695">
        <v>476</v>
      </c>
      <c r="AA9695">
        <v>1342</v>
      </c>
      <c r="AB9695">
        <v>6.1189099999999996</v>
      </c>
      <c r="AC9695">
        <v>0.23415639999999999</v>
      </c>
      <c r="AD9695">
        <v>5.0614889999999999</v>
      </c>
      <c r="AE9695">
        <v>0.43658160000000001</v>
      </c>
      <c r="AF9695">
        <v>74.485110000000006</v>
      </c>
      <c r="AG9695">
        <f>IFERROR(AH9695*0.1, "N/A")</f>
        <v>5.218039000000001</v>
      </c>
      <c r="AH9695">
        <v>52.180390000000003</v>
      </c>
      <c r="AI9695">
        <v>203.6293</v>
      </c>
      <c r="AJ9695">
        <v>30.602450000000001</v>
      </c>
      <c r="AK9695">
        <v>48.064799999999998</v>
      </c>
    </row>
    <row r="9696" spans="1:37" x14ac:dyDescent="0.3">
      <c r="A9696">
        <v>9695</v>
      </c>
      <c r="B9696">
        <v>73.2</v>
      </c>
      <c r="C9696">
        <v>13.683299999999999</v>
      </c>
      <c r="D9696">
        <v>4.5833300000000001</v>
      </c>
      <c r="E9696" t="s">
        <v>14702</v>
      </c>
      <c r="F9696" t="s">
        <v>14703</v>
      </c>
      <c r="G9696" t="s">
        <v>39</v>
      </c>
      <c r="H9696">
        <v>1992</v>
      </c>
      <c r="I9696">
        <v>23.7</v>
      </c>
      <c r="J9696">
        <v>10.16526</v>
      </c>
      <c r="K9696">
        <v>77</v>
      </c>
      <c r="L9696">
        <v>6.9263859999999999</v>
      </c>
      <c r="M9696">
        <v>30.4</v>
      </c>
      <c r="N9696">
        <v>17.234739999999999</v>
      </c>
      <c r="O9696">
        <v>13.16526</v>
      </c>
      <c r="P9696">
        <v>23.2</v>
      </c>
      <c r="Q9696">
        <v>23.534739999999999</v>
      </c>
      <c r="R9696">
        <v>24.6</v>
      </c>
      <c r="S9696">
        <v>22.9</v>
      </c>
      <c r="T9696">
        <v>1569.404</v>
      </c>
      <c r="U9696">
        <v>282</v>
      </c>
      <c r="V9696">
        <v>22</v>
      </c>
      <c r="W9696">
        <v>59</v>
      </c>
      <c r="X9696">
        <v>670.80700000000002</v>
      </c>
      <c r="Y9696">
        <v>89</v>
      </c>
      <c r="Z9696">
        <v>390.9228</v>
      </c>
      <c r="AA9696">
        <v>446.19299999999998</v>
      </c>
      <c r="AB9696">
        <v>15.104939999999999</v>
      </c>
      <c r="AC9696">
        <v>1.1750109999999999E-2</v>
      </c>
      <c r="AD9696">
        <v>3.2075</v>
      </c>
      <c r="AE9696">
        <v>0.90084600000000004</v>
      </c>
      <c r="AF9696">
        <v>660.59820000000002</v>
      </c>
      <c r="AG9696">
        <f>IFERROR(AH9696*0.1, "N/A")</f>
        <v>5.6000000000000005</v>
      </c>
      <c r="AH9696">
        <v>56</v>
      </c>
      <c r="AI9696">
        <v>260.04289999999997</v>
      </c>
      <c r="AJ9696">
        <v>22.347370000000002</v>
      </c>
      <c r="AK9696">
        <v>62</v>
      </c>
    </row>
    <row r="9697" spans="1:37" x14ac:dyDescent="0.3">
      <c r="A9697">
        <v>9696</v>
      </c>
      <c r="B9697">
        <v>12.3</v>
      </c>
      <c r="C9697">
        <v>9.6713900000000006</v>
      </c>
      <c r="D9697">
        <v>4.5886100000000001</v>
      </c>
      <c r="E9697" t="s">
        <v>14704</v>
      </c>
      <c r="F9697" t="s">
        <v>14705</v>
      </c>
      <c r="G9697" t="s">
        <v>39</v>
      </c>
      <c r="H9697">
        <v>1990</v>
      </c>
      <c r="I9697">
        <v>26.6</v>
      </c>
      <c r="J9697">
        <v>8.1</v>
      </c>
      <c r="K9697">
        <v>77</v>
      </c>
      <c r="L9697">
        <v>8.32</v>
      </c>
      <c r="M9697">
        <v>32.6</v>
      </c>
      <c r="N9697">
        <v>22.2</v>
      </c>
      <c r="O9697">
        <v>10.4</v>
      </c>
      <c r="P9697">
        <v>25.4</v>
      </c>
      <c r="Q9697">
        <v>27.2</v>
      </c>
      <c r="R9697">
        <v>27.5</v>
      </c>
      <c r="S9697">
        <v>25.4</v>
      </c>
      <c r="T9697">
        <v>3007</v>
      </c>
      <c r="U9697">
        <v>449</v>
      </c>
      <c r="V9697">
        <v>34</v>
      </c>
      <c r="W9697">
        <v>61</v>
      </c>
      <c r="X9697">
        <v>1341</v>
      </c>
      <c r="Y9697">
        <v>150</v>
      </c>
      <c r="Z9697">
        <v>475</v>
      </c>
      <c r="AA9697">
        <v>1341</v>
      </c>
      <c r="AB9697">
        <v>21.346240000000002</v>
      </c>
      <c r="AC9697">
        <v>2.3145470000000001E-2</v>
      </c>
      <c r="AD9697">
        <v>3.8324150000000001</v>
      </c>
      <c r="AE9697">
        <v>0.3680486</v>
      </c>
      <c r="AF9697">
        <v>99.539400000000001</v>
      </c>
      <c r="AG9697">
        <f>IFERROR(AH9697*0.1, "N/A")</f>
        <v>5</v>
      </c>
      <c r="AH9697">
        <v>50</v>
      </c>
      <c r="AI9697">
        <v>175.2664</v>
      </c>
      <c r="AJ9697">
        <v>31.115590000000001</v>
      </c>
      <c r="AK9697">
        <v>47.413310000000003</v>
      </c>
    </row>
    <row r="9698" spans="1:37" x14ac:dyDescent="0.3">
      <c r="A9698">
        <v>9697</v>
      </c>
      <c r="B9698">
        <v>0</v>
      </c>
      <c r="C9698">
        <v>9.6713900000000006</v>
      </c>
      <c r="D9698">
        <v>4.5886100000000001</v>
      </c>
      <c r="E9698" t="s">
        <v>14704</v>
      </c>
      <c r="F9698" t="s">
        <v>14706</v>
      </c>
      <c r="G9698" t="s">
        <v>37</v>
      </c>
      <c r="H9698">
        <v>1990</v>
      </c>
      <c r="I9698">
        <v>26.6</v>
      </c>
      <c r="J9698">
        <v>8.1</v>
      </c>
      <c r="K9698">
        <v>77</v>
      </c>
      <c r="L9698">
        <v>8.32</v>
      </c>
      <c r="M9698">
        <v>32.6</v>
      </c>
      <c r="N9698">
        <v>22.2</v>
      </c>
      <c r="O9698">
        <v>10.4</v>
      </c>
      <c r="P9698">
        <v>25.4</v>
      </c>
      <c r="Q9698">
        <v>27.2</v>
      </c>
      <c r="R9698">
        <v>27.5</v>
      </c>
      <c r="S9698">
        <v>25.4</v>
      </c>
      <c r="T9698">
        <v>3007</v>
      </c>
      <c r="U9698">
        <v>449</v>
      </c>
      <c r="V9698">
        <v>34</v>
      </c>
      <c r="W9698">
        <v>61</v>
      </c>
      <c r="X9698">
        <v>1341</v>
      </c>
      <c r="Y9698">
        <v>150</v>
      </c>
      <c r="Z9698">
        <v>475</v>
      </c>
      <c r="AA9698">
        <v>1341</v>
      </c>
      <c r="AB9698">
        <v>21.346240000000002</v>
      </c>
      <c r="AC9698">
        <v>2.3145470000000001E-2</v>
      </c>
      <c r="AD9698">
        <v>3.8324150000000001</v>
      </c>
      <c r="AE9698">
        <v>0.3680486</v>
      </c>
      <c r="AF9698">
        <v>99.539400000000001</v>
      </c>
      <c r="AG9698">
        <f>IFERROR(AH9698*0.1, "N/A")</f>
        <v>5</v>
      </c>
      <c r="AH9698">
        <v>50</v>
      </c>
      <c r="AI9698">
        <v>175.2664</v>
      </c>
      <c r="AJ9698">
        <v>31.115590000000001</v>
      </c>
      <c r="AK9698">
        <v>47.413310000000003</v>
      </c>
    </row>
    <row r="9699" spans="1:37" x14ac:dyDescent="0.3">
      <c r="A9699">
        <v>9698</v>
      </c>
      <c r="B9699">
        <v>2.1</v>
      </c>
      <c r="C9699">
        <v>9.6713900000000006</v>
      </c>
      <c r="D9699">
        <v>4.5886100000000001</v>
      </c>
      <c r="E9699" t="s">
        <v>14704</v>
      </c>
      <c r="F9699" t="s">
        <v>14707</v>
      </c>
      <c r="G9699" t="s">
        <v>2420</v>
      </c>
      <c r="H9699">
        <v>1990</v>
      </c>
      <c r="I9699">
        <v>26.6</v>
      </c>
      <c r="J9699">
        <v>8.1</v>
      </c>
      <c r="K9699">
        <v>77</v>
      </c>
      <c r="L9699">
        <v>8.32</v>
      </c>
      <c r="M9699">
        <v>32.6</v>
      </c>
      <c r="N9699">
        <v>22.2</v>
      </c>
      <c r="O9699">
        <v>10.4</v>
      </c>
      <c r="P9699">
        <v>25.4</v>
      </c>
      <c r="Q9699">
        <v>27.2</v>
      </c>
      <c r="R9699">
        <v>27.5</v>
      </c>
      <c r="S9699">
        <v>25.4</v>
      </c>
      <c r="T9699">
        <v>3007</v>
      </c>
      <c r="U9699">
        <v>449</v>
      </c>
      <c r="V9699">
        <v>34</v>
      </c>
      <c r="W9699">
        <v>61</v>
      </c>
      <c r="X9699">
        <v>1341</v>
      </c>
      <c r="Y9699">
        <v>150</v>
      </c>
      <c r="Z9699">
        <v>475</v>
      </c>
      <c r="AA9699">
        <v>1341</v>
      </c>
      <c r="AB9699">
        <v>21.346240000000002</v>
      </c>
      <c r="AC9699">
        <v>2.3145470000000001E-2</v>
      </c>
      <c r="AD9699">
        <v>3.8324150000000001</v>
      </c>
      <c r="AE9699">
        <v>0.3680486</v>
      </c>
      <c r="AF9699">
        <v>99.539400000000001</v>
      </c>
      <c r="AG9699">
        <f>IFERROR(AH9699*0.1, "N/A")</f>
        <v>5</v>
      </c>
      <c r="AH9699">
        <v>50</v>
      </c>
      <c r="AI9699">
        <v>175.2664</v>
      </c>
      <c r="AJ9699">
        <v>31.115590000000001</v>
      </c>
      <c r="AK9699">
        <v>47.413310000000003</v>
      </c>
    </row>
    <row r="9700" spans="1:37" x14ac:dyDescent="0.3">
      <c r="A9700">
        <v>9699</v>
      </c>
      <c r="B9700">
        <v>14.3</v>
      </c>
      <c r="C9700">
        <v>11.1417</v>
      </c>
      <c r="D9700">
        <v>4.5888900000000001</v>
      </c>
      <c r="E9700" t="s">
        <v>14708</v>
      </c>
      <c r="F9700" t="s">
        <v>14709</v>
      </c>
      <c r="G9700" t="s">
        <v>37</v>
      </c>
      <c r="H9700">
        <v>1990</v>
      </c>
      <c r="I9700">
        <v>25.241510000000002</v>
      </c>
      <c r="J9700">
        <v>9.0584939999999996</v>
      </c>
      <c r="K9700">
        <v>74.584940000000003</v>
      </c>
      <c r="L9700">
        <v>9.3911210000000001</v>
      </c>
      <c r="M9700">
        <v>32.083010000000002</v>
      </c>
      <c r="N9700">
        <v>20.041509999999999</v>
      </c>
      <c r="O9700">
        <v>12.041510000000001</v>
      </c>
      <c r="P9700">
        <v>24.241510000000002</v>
      </c>
      <c r="Q9700">
        <v>26.1</v>
      </c>
      <c r="R9700">
        <v>26.283010000000001</v>
      </c>
      <c r="S9700">
        <v>24</v>
      </c>
      <c r="T9700">
        <v>1680.8489999999999</v>
      </c>
      <c r="U9700">
        <v>311.5849</v>
      </c>
      <c r="V9700">
        <v>10</v>
      </c>
      <c r="W9700">
        <v>66.415059999999997</v>
      </c>
      <c r="X9700">
        <v>783.50959999999998</v>
      </c>
      <c r="Y9700">
        <v>51</v>
      </c>
      <c r="Z9700">
        <v>304.5849</v>
      </c>
      <c r="AA9700">
        <v>613.09460000000001</v>
      </c>
      <c r="AB9700">
        <v>6.8835449999999998</v>
      </c>
      <c r="AC9700">
        <v>5.7856129999999999E-2</v>
      </c>
      <c r="AD9700">
        <v>1.725608</v>
      </c>
      <c r="AE9700">
        <v>0.62526389999999998</v>
      </c>
      <c r="AF9700">
        <v>459.09980000000002</v>
      </c>
      <c r="AG9700">
        <f>IFERROR(AH9700*0.1, "N/A")</f>
        <v>5.4908929999999998</v>
      </c>
      <c r="AH9700">
        <v>54.908929999999998</v>
      </c>
      <c r="AI9700">
        <v>64.957210000000003</v>
      </c>
      <c r="AJ9700">
        <v>27.737300000000001</v>
      </c>
      <c r="AK9700">
        <v>55.830120000000001</v>
      </c>
    </row>
    <row r="9701" spans="1:37" x14ac:dyDescent="0.3">
      <c r="A9701">
        <v>9700</v>
      </c>
      <c r="B9701">
        <v>0</v>
      </c>
      <c r="C9701">
        <v>11.1417</v>
      </c>
      <c r="D9701">
        <v>4.5888900000000001</v>
      </c>
      <c r="E9701" t="s">
        <v>14708</v>
      </c>
      <c r="F9701" t="s">
        <v>14710</v>
      </c>
      <c r="G9701" t="s">
        <v>2420</v>
      </c>
      <c r="H9701">
        <v>1990</v>
      </c>
      <c r="I9701">
        <v>25.241510000000002</v>
      </c>
      <c r="J9701">
        <v>9.0584939999999996</v>
      </c>
      <c r="K9701">
        <v>74.584940000000003</v>
      </c>
      <c r="L9701">
        <v>9.3911210000000001</v>
      </c>
      <c r="M9701">
        <v>32.083010000000002</v>
      </c>
      <c r="N9701">
        <v>20.041509999999999</v>
      </c>
      <c r="O9701">
        <v>12.041510000000001</v>
      </c>
      <c r="P9701">
        <v>24.241510000000002</v>
      </c>
      <c r="Q9701">
        <v>26.1</v>
      </c>
      <c r="R9701">
        <v>26.283010000000001</v>
      </c>
      <c r="S9701">
        <v>24</v>
      </c>
      <c r="T9701">
        <v>1680.8489999999999</v>
      </c>
      <c r="U9701">
        <v>311.5849</v>
      </c>
      <c r="V9701">
        <v>10</v>
      </c>
      <c r="W9701">
        <v>66.415059999999997</v>
      </c>
      <c r="X9701">
        <v>783.50959999999998</v>
      </c>
      <c r="Y9701">
        <v>51</v>
      </c>
      <c r="Z9701">
        <v>304.5849</v>
      </c>
      <c r="AA9701">
        <v>613.09460000000001</v>
      </c>
      <c r="AB9701">
        <v>6.8835449999999998</v>
      </c>
      <c r="AC9701">
        <v>5.7856129999999999E-2</v>
      </c>
      <c r="AD9701">
        <v>1.725608</v>
      </c>
      <c r="AE9701">
        <v>0.62526389999999998</v>
      </c>
      <c r="AF9701">
        <v>459.09980000000002</v>
      </c>
      <c r="AG9701">
        <f>IFERROR(AH9701*0.1, "N/A")</f>
        <v>5.4908929999999998</v>
      </c>
      <c r="AH9701">
        <v>54.908929999999998</v>
      </c>
      <c r="AI9701">
        <v>64.957210000000003</v>
      </c>
      <c r="AJ9701">
        <v>27.737300000000001</v>
      </c>
      <c r="AK9701">
        <v>55.830120000000001</v>
      </c>
    </row>
    <row r="9702" spans="1:37" x14ac:dyDescent="0.3">
      <c r="A9702">
        <v>9701</v>
      </c>
      <c r="B9702">
        <v>2</v>
      </c>
      <c r="C9702">
        <v>11.261100000000001</v>
      </c>
      <c r="D9702">
        <v>4.5999999999999996</v>
      </c>
      <c r="E9702" t="s">
        <v>14711</v>
      </c>
      <c r="F9702" t="s">
        <v>14712</v>
      </c>
      <c r="G9702" t="s">
        <v>39</v>
      </c>
      <c r="H9702">
        <v>1990</v>
      </c>
      <c r="I9702">
        <v>25.2</v>
      </c>
      <c r="J9702">
        <v>9.1</v>
      </c>
      <c r="K9702">
        <v>75.712040000000002</v>
      </c>
      <c r="L9702">
        <v>9.1512039999999999</v>
      </c>
      <c r="M9702">
        <v>32.1</v>
      </c>
      <c r="N9702">
        <v>20.171199999999999</v>
      </c>
      <c r="O9702">
        <v>11.928800000000001</v>
      </c>
      <c r="P9702">
        <v>24.2712</v>
      </c>
      <c r="Q9702">
        <v>26.071200000000001</v>
      </c>
      <c r="R9702">
        <v>26.3</v>
      </c>
      <c r="S9702">
        <v>24</v>
      </c>
      <c r="T9702">
        <v>1586.136</v>
      </c>
      <c r="U9702">
        <v>302</v>
      </c>
      <c r="V9702">
        <v>10</v>
      </c>
      <c r="W9702">
        <v>66</v>
      </c>
      <c r="X9702">
        <v>724.71199999999999</v>
      </c>
      <c r="Y9702">
        <v>51</v>
      </c>
      <c r="Z9702">
        <v>300</v>
      </c>
      <c r="AA9702">
        <v>544.71199999999999</v>
      </c>
      <c r="AB9702">
        <v>11.38133</v>
      </c>
      <c r="AC9702">
        <v>0.1080199</v>
      </c>
      <c r="AD9702">
        <v>2.8221020000000001</v>
      </c>
      <c r="AE9702">
        <v>0.64738700000000005</v>
      </c>
      <c r="AF9702">
        <v>458.25650000000002</v>
      </c>
      <c r="AG9702">
        <f>IFERROR(AH9702*0.1, "N/A")</f>
        <v>5.2870860000000004</v>
      </c>
      <c r="AH9702">
        <v>52.87086</v>
      </c>
      <c r="AI9702">
        <v>182.13990000000001</v>
      </c>
      <c r="AJ9702">
        <v>26.087260000000001</v>
      </c>
      <c r="AK9702">
        <v>60.869109999999999</v>
      </c>
    </row>
    <row r="9703" spans="1:37" x14ac:dyDescent="0.3">
      <c r="A9703">
        <v>9702</v>
      </c>
      <c r="B9703">
        <v>1</v>
      </c>
      <c r="C9703">
        <v>11.261100000000001</v>
      </c>
      <c r="D9703">
        <v>4.5999999999999996</v>
      </c>
      <c r="E9703" t="s">
        <v>14711</v>
      </c>
      <c r="F9703" t="s">
        <v>14713</v>
      </c>
      <c r="G9703" t="s">
        <v>37</v>
      </c>
      <c r="H9703">
        <v>1990</v>
      </c>
      <c r="I9703">
        <v>25.2</v>
      </c>
      <c r="J9703">
        <v>9.1</v>
      </c>
      <c r="K9703">
        <v>75.712040000000002</v>
      </c>
      <c r="L9703">
        <v>9.1512039999999999</v>
      </c>
      <c r="M9703">
        <v>32.1</v>
      </c>
      <c r="N9703">
        <v>20.171199999999999</v>
      </c>
      <c r="O9703">
        <v>11.928800000000001</v>
      </c>
      <c r="P9703">
        <v>24.2712</v>
      </c>
      <c r="Q9703">
        <v>26.071200000000001</v>
      </c>
      <c r="R9703">
        <v>26.3</v>
      </c>
      <c r="S9703">
        <v>24</v>
      </c>
      <c r="T9703">
        <v>1586.136</v>
      </c>
      <c r="U9703">
        <v>302</v>
      </c>
      <c r="V9703">
        <v>10</v>
      </c>
      <c r="W9703">
        <v>66</v>
      </c>
      <c r="X9703">
        <v>724.71199999999999</v>
      </c>
      <c r="Y9703">
        <v>51</v>
      </c>
      <c r="Z9703">
        <v>300</v>
      </c>
      <c r="AA9703">
        <v>544.71199999999999</v>
      </c>
      <c r="AB9703">
        <v>11.38133</v>
      </c>
      <c r="AC9703">
        <v>0.1080199</v>
      </c>
      <c r="AD9703">
        <v>2.8221020000000001</v>
      </c>
      <c r="AE9703">
        <v>0.64738700000000005</v>
      </c>
      <c r="AF9703">
        <v>458.25650000000002</v>
      </c>
      <c r="AG9703">
        <f>IFERROR(AH9703*0.1, "N/A")</f>
        <v>5.2870860000000004</v>
      </c>
      <c r="AH9703">
        <v>52.87086</v>
      </c>
      <c r="AI9703">
        <v>182.13990000000001</v>
      </c>
      <c r="AJ9703">
        <v>26.087260000000001</v>
      </c>
      <c r="AK9703">
        <v>60.869109999999999</v>
      </c>
    </row>
    <row r="9704" spans="1:37" x14ac:dyDescent="0.3">
      <c r="A9704">
        <v>9703</v>
      </c>
      <c r="B9704">
        <v>0</v>
      </c>
      <c r="C9704">
        <v>11.261100000000001</v>
      </c>
      <c r="D9704">
        <v>4.5999999999999996</v>
      </c>
      <c r="E9704" t="s">
        <v>14711</v>
      </c>
      <c r="F9704" t="s">
        <v>14714</v>
      </c>
      <c r="G9704" t="s">
        <v>2420</v>
      </c>
      <c r="H9704">
        <v>1990</v>
      </c>
      <c r="I9704">
        <v>25.2</v>
      </c>
      <c r="J9704">
        <v>9.1</v>
      </c>
      <c r="K9704">
        <v>75.712040000000002</v>
      </c>
      <c r="L9704">
        <v>9.1512039999999999</v>
      </c>
      <c r="M9704">
        <v>32.1</v>
      </c>
      <c r="N9704">
        <v>20.171199999999999</v>
      </c>
      <c r="O9704">
        <v>11.928800000000001</v>
      </c>
      <c r="P9704">
        <v>24.2712</v>
      </c>
      <c r="Q9704">
        <v>26.071200000000001</v>
      </c>
      <c r="R9704">
        <v>26.3</v>
      </c>
      <c r="S9704">
        <v>24</v>
      </c>
      <c r="T9704">
        <v>1586.136</v>
      </c>
      <c r="U9704">
        <v>302</v>
      </c>
      <c r="V9704">
        <v>10</v>
      </c>
      <c r="W9704">
        <v>66</v>
      </c>
      <c r="X9704">
        <v>724.71199999999999</v>
      </c>
      <c r="Y9704">
        <v>51</v>
      </c>
      <c r="Z9704">
        <v>300</v>
      </c>
      <c r="AA9704">
        <v>544.71199999999999</v>
      </c>
      <c r="AB9704">
        <v>11.38133</v>
      </c>
      <c r="AC9704">
        <v>0.1080199</v>
      </c>
      <c r="AD9704">
        <v>2.8221020000000001</v>
      </c>
      <c r="AE9704">
        <v>0.64738700000000005</v>
      </c>
      <c r="AF9704">
        <v>458.25650000000002</v>
      </c>
      <c r="AG9704">
        <f>IFERROR(AH9704*0.1, "N/A")</f>
        <v>5.2870860000000004</v>
      </c>
      <c r="AH9704">
        <v>52.87086</v>
      </c>
      <c r="AI9704">
        <v>182.13990000000001</v>
      </c>
      <c r="AJ9704">
        <v>26.087260000000001</v>
      </c>
      <c r="AK9704">
        <v>60.869109999999999</v>
      </c>
    </row>
    <row r="9705" spans="1:37" x14ac:dyDescent="0.3">
      <c r="A9705">
        <v>9704</v>
      </c>
      <c r="B9705">
        <v>0</v>
      </c>
      <c r="C9705">
        <v>9.6829999999999998</v>
      </c>
      <c r="D9705">
        <v>4.633</v>
      </c>
      <c r="E9705" t="s">
        <v>14715</v>
      </c>
      <c r="F9705" t="s">
        <v>14716</v>
      </c>
      <c r="G9705" t="s">
        <v>39</v>
      </c>
      <c r="H9705">
        <v>1987</v>
      </c>
      <c r="I9705">
        <v>26.505769999999998</v>
      </c>
      <c r="J9705">
        <v>8.1999999999999993</v>
      </c>
      <c r="K9705">
        <v>77.092659999999995</v>
      </c>
      <c r="L9705">
        <v>8.3976050000000004</v>
      </c>
      <c r="M9705">
        <v>32.602269999999997</v>
      </c>
      <c r="N9705">
        <v>22.01154</v>
      </c>
      <c r="O9705">
        <v>10.590730000000001</v>
      </c>
      <c r="P9705">
        <v>25.165379999999999</v>
      </c>
      <c r="Q9705">
        <v>27.10577</v>
      </c>
      <c r="R9705">
        <v>27.40577</v>
      </c>
      <c r="S9705">
        <v>25.165379999999999</v>
      </c>
      <c r="T9705">
        <v>3010.8850000000002</v>
      </c>
      <c r="U9705">
        <v>455.5455</v>
      </c>
      <c r="V9705">
        <v>34.538460000000001</v>
      </c>
      <c r="W9705">
        <v>61</v>
      </c>
      <c r="X9705">
        <v>1331.357</v>
      </c>
      <c r="Y9705">
        <v>153.5385</v>
      </c>
      <c r="Z9705">
        <v>478.01220000000001</v>
      </c>
      <c r="AA9705">
        <v>1331.357</v>
      </c>
      <c r="AB9705">
        <v>10.35402</v>
      </c>
      <c r="AC9705">
        <v>5.580362</v>
      </c>
      <c r="AD9705">
        <v>2.4260250000000001</v>
      </c>
      <c r="AE9705">
        <v>0.50490860000000004</v>
      </c>
      <c r="AF9705">
        <v>128.0437</v>
      </c>
      <c r="AG9705">
        <f>IFERROR(AH9705*0.1, "N/A")</f>
        <v>5.3559440000000009</v>
      </c>
      <c r="AH9705">
        <v>53.559440000000002</v>
      </c>
      <c r="AI9705">
        <v>138.38380000000001</v>
      </c>
      <c r="AJ9705">
        <v>34.082169999999998</v>
      </c>
      <c r="AK9705">
        <v>43.08916</v>
      </c>
    </row>
    <row r="9706" spans="1:37" x14ac:dyDescent="0.3">
      <c r="A9706">
        <v>9705</v>
      </c>
      <c r="B9706">
        <v>55.9</v>
      </c>
      <c r="C9706">
        <v>9.6894399999999994</v>
      </c>
      <c r="D9706">
        <v>4.6347199999999997</v>
      </c>
      <c r="E9706" t="s">
        <v>14717</v>
      </c>
      <c r="F9706" t="s">
        <v>14718</v>
      </c>
      <c r="G9706" t="s">
        <v>39</v>
      </c>
      <c r="H9706">
        <v>1990</v>
      </c>
      <c r="I9706">
        <v>26.5</v>
      </c>
      <c r="J9706">
        <v>8.1999999999999993</v>
      </c>
      <c r="K9706">
        <v>77</v>
      </c>
      <c r="L9706">
        <v>8.3699999999999992</v>
      </c>
      <c r="M9706">
        <v>32.6</v>
      </c>
      <c r="N9706">
        <v>22</v>
      </c>
      <c r="O9706">
        <v>10.6</v>
      </c>
      <c r="P9706">
        <v>25.2</v>
      </c>
      <c r="Q9706">
        <v>27.1</v>
      </c>
      <c r="R9706">
        <v>27.4</v>
      </c>
      <c r="S9706">
        <v>25.2</v>
      </c>
      <c r="T9706">
        <v>3011</v>
      </c>
      <c r="U9706">
        <v>457</v>
      </c>
      <c r="V9706">
        <v>35</v>
      </c>
      <c r="W9706">
        <v>61</v>
      </c>
      <c r="X9706">
        <v>1331</v>
      </c>
      <c r="Y9706">
        <v>154</v>
      </c>
      <c r="Z9706">
        <v>478</v>
      </c>
      <c r="AA9706">
        <v>1331</v>
      </c>
      <c r="AB9706">
        <v>12.03059</v>
      </c>
      <c r="AC9706">
        <v>1.85454E-2</v>
      </c>
      <c r="AD9706">
        <v>6.1653549999999999</v>
      </c>
      <c r="AE9706">
        <v>0.58663889999999996</v>
      </c>
      <c r="AF9706">
        <v>123.1538</v>
      </c>
      <c r="AG9706">
        <f>IFERROR(AH9706*0.1, "N/A")</f>
        <v>5.0935310000000005</v>
      </c>
      <c r="AH9706">
        <v>50.935310000000001</v>
      </c>
      <c r="AI9706">
        <v>107.8416</v>
      </c>
      <c r="AJ9706">
        <v>33.211539999999999</v>
      </c>
      <c r="AK9706">
        <v>45.800699999999999</v>
      </c>
    </row>
    <row r="9707" spans="1:37" x14ac:dyDescent="0.3">
      <c r="A9707">
        <v>9706</v>
      </c>
      <c r="B9707">
        <v>0</v>
      </c>
      <c r="C9707">
        <v>9.6894399999999994</v>
      </c>
      <c r="D9707">
        <v>4.6347199999999997</v>
      </c>
      <c r="E9707" t="s">
        <v>14717</v>
      </c>
      <c r="F9707" t="s">
        <v>14719</v>
      </c>
      <c r="G9707" t="s">
        <v>37</v>
      </c>
      <c r="H9707">
        <v>1990</v>
      </c>
      <c r="I9707">
        <v>26.5</v>
      </c>
      <c r="J9707">
        <v>8.1999999999999993</v>
      </c>
      <c r="K9707">
        <v>77</v>
      </c>
      <c r="L9707">
        <v>8.3699999999999992</v>
      </c>
      <c r="M9707">
        <v>32.6</v>
      </c>
      <c r="N9707">
        <v>22</v>
      </c>
      <c r="O9707">
        <v>10.6</v>
      </c>
      <c r="P9707">
        <v>25.2</v>
      </c>
      <c r="Q9707">
        <v>27.1</v>
      </c>
      <c r="R9707">
        <v>27.4</v>
      </c>
      <c r="S9707">
        <v>25.2</v>
      </c>
      <c r="T9707">
        <v>3011</v>
      </c>
      <c r="U9707">
        <v>457</v>
      </c>
      <c r="V9707">
        <v>35</v>
      </c>
      <c r="W9707">
        <v>61</v>
      </c>
      <c r="X9707">
        <v>1331</v>
      </c>
      <c r="Y9707">
        <v>154</v>
      </c>
      <c r="Z9707">
        <v>478</v>
      </c>
      <c r="AA9707">
        <v>1331</v>
      </c>
      <c r="AB9707">
        <v>12.03059</v>
      </c>
      <c r="AC9707">
        <v>1.85454E-2</v>
      </c>
      <c r="AD9707">
        <v>6.1653549999999999</v>
      </c>
      <c r="AE9707">
        <v>0.58663889999999996</v>
      </c>
      <c r="AF9707">
        <v>123.1538</v>
      </c>
      <c r="AG9707">
        <f>IFERROR(AH9707*0.1, "N/A")</f>
        <v>5.0935310000000005</v>
      </c>
      <c r="AH9707">
        <v>50.935310000000001</v>
      </c>
      <c r="AI9707">
        <v>107.8416</v>
      </c>
      <c r="AJ9707">
        <v>33.211539999999999</v>
      </c>
      <c r="AK9707">
        <v>45.800699999999999</v>
      </c>
    </row>
    <row r="9708" spans="1:37" x14ac:dyDescent="0.3">
      <c r="A9708">
        <v>9707</v>
      </c>
      <c r="B9708">
        <v>5.5</v>
      </c>
      <c r="C9708">
        <v>9.6894399999999994</v>
      </c>
      <c r="D9708">
        <v>4.6347199999999997</v>
      </c>
      <c r="E9708" t="s">
        <v>14717</v>
      </c>
      <c r="F9708" t="s">
        <v>14720</v>
      </c>
      <c r="G9708" t="s">
        <v>2420</v>
      </c>
      <c r="H9708">
        <v>1990</v>
      </c>
      <c r="I9708">
        <v>26.5</v>
      </c>
      <c r="J9708">
        <v>8.1999999999999993</v>
      </c>
      <c r="K9708">
        <v>77</v>
      </c>
      <c r="L9708">
        <v>8.3699999999999992</v>
      </c>
      <c r="M9708">
        <v>32.6</v>
      </c>
      <c r="N9708">
        <v>22</v>
      </c>
      <c r="O9708">
        <v>10.6</v>
      </c>
      <c r="P9708">
        <v>25.2</v>
      </c>
      <c r="Q9708">
        <v>27.1</v>
      </c>
      <c r="R9708">
        <v>27.4</v>
      </c>
      <c r="S9708">
        <v>25.2</v>
      </c>
      <c r="T9708">
        <v>3011</v>
      </c>
      <c r="U9708">
        <v>457</v>
      </c>
      <c r="V9708">
        <v>35</v>
      </c>
      <c r="W9708">
        <v>61</v>
      </c>
      <c r="X9708">
        <v>1331</v>
      </c>
      <c r="Y9708">
        <v>154</v>
      </c>
      <c r="Z9708">
        <v>478</v>
      </c>
      <c r="AA9708">
        <v>1331</v>
      </c>
      <c r="AB9708">
        <v>12.03059</v>
      </c>
      <c r="AC9708">
        <v>1.85454E-2</v>
      </c>
      <c r="AD9708">
        <v>6.1653549999999999</v>
      </c>
      <c r="AE9708">
        <v>0.58663889999999996</v>
      </c>
      <c r="AF9708">
        <v>123.1538</v>
      </c>
      <c r="AG9708">
        <f>IFERROR(AH9708*0.1, "N/A")</f>
        <v>5.0935310000000005</v>
      </c>
      <c r="AH9708">
        <v>50.935310000000001</v>
      </c>
      <c r="AI9708">
        <v>107.8416</v>
      </c>
      <c r="AJ9708">
        <v>33.211539999999999</v>
      </c>
      <c r="AK9708">
        <v>45.800699999999999</v>
      </c>
    </row>
    <row r="9709" spans="1:37" x14ac:dyDescent="0.3">
      <c r="A9709">
        <v>9708</v>
      </c>
      <c r="B9709">
        <v>0</v>
      </c>
      <c r="C9709">
        <v>11.2608</v>
      </c>
      <c r="D9709">
        <v>4.6355599999999999</v>
      </c>
      <c r="E9709" t="s">
        <v>14721</v>
      </c>
      <c r="F9709" t="s">
        <v>14722</v>
      </c>
      <c r="G9709" t="s">
        <v>37</v>
      </c>
      <c r="H9709">
        <v>1990</v>
      </c>
      <c r="I9709">
        <v>25.1</v>
      </c>
      <c r="J9709">
        <v>9.1</v>
      </c>
      <c r="K9709">
        <v>75</v>
      </c>
      <c r="L9709">
        <v>8.9600000000000009</v>
      </c>
      <c r="M9709">
        <v>32</v>
      </c>
      <c r="N9709">
        <v>20</v>
      </c>
      <c r="O9709">
        <v>12</v>
      </c>
      <c r="P9709">
        <v>24.1</v>
      </c>
      <c r="Q9709">
        <v>25.9</v>
      </c>
      <c r="R9709">
        <v>26.1</v>
      </c>
      <c r="S9709">
        <v>23.9</v>
      </c>
      <c r="T9709">
        <v>1562</v>
      </c>
      <c r="U9709">
        <v>301</v>
      </c>
      <c r="V9709">
        <v>9</v>
      </c>
      <c r="W9709">
        <v>67</v>
      </c>
      <c r="X9709">
        <v>717</v>
      </c>
      <c r="Y9709">
        <v>49</v>
      </c>
      <c r="Z9709">
        <v>294</v>
      </c>
      <c r="AA9709">
        <v>538</v>
      </c>
      <c r="AB9709">
        <v>15.714700000000001</v>
      </c>
      <c r="AC9709">
        <v>4.0184839999999999E-2</v>
      </c>
      <c r="AD9709">
        <v>7.5143909999999998</v>
      </c>
      <c r="AE9709">
        <v>0.65221799999999996</v>
      </c>
      <c r="AF9709">
        <v>477.35550000000001</v>
      </c>
      <c r="AG9709">
        <f>IFERROR(AH9709*0.1, "N/A")</f>
        <v>5.5</v>
      </c>
      <c r="AH9709">
        <v>55</v>
      </c>
      <c r="AI9709">
        <v>194.90170000000001</v>
      </c>
      <c r="AJ9709">
        <v>29.148859999999999</v>
      </c>
      <c r="AK9709">
        <v>58.702280000000002</v>
      </c>
    </row>
    <row r="9710" spans="1:37" x14ac:dyDescent="0.3">
      <c r="A9710">
        <v>9709</v>
      </c>
      <c r="B9710">
        <v>0</v>
      </c>
      <c r="C9710">
        <v>11.2608</v>
      </c>
      <c r="D9710">
        <v>4.6355599999999999</v>
      </c>
      <c r="E9710" t="s">
        <v>14721</v>
      </c>
      <c r="F9710" t="s">
        <v>14723</v>
      </c>
      <c r="G9710" t="s">
        <v>2420</v>
      </c>
      <c r="H9710">
        <v>1990</v>
      </c>
      <c r="I9710">
        <v>25.1</v>
      </c>
      <c r="J9710">
        <v>9.1</v>
      </c>
      <c r="K9710">
        <v>75</v>
      </c>
      <c r="L9710">
        <v>8.9600000000000009</v>
      </c>
      <c r="M9710">
        <v>32</v>
      </c>
      <c r="N9710">
        <v>20</v>
      </c>
      <c r="O9710">
        <v>12</v>
      </c>
      <c r="P9710">
        <v>24.1</v>
      </c>
      <c r="Q9710">
        <v>25.9</v>
      </c>
      <c r="R9710">
        <v>26.1</v>
      </c>
      <c r="S9710">
        <v>23.9</v>
      </c>
      <c r="T9710">
        <v>1562</v>
      </c>
      <c r="U9710">
        <v>301</v>
      </c>
      <c r="V9710">
        <v>9</v>
      </c>
      <c r="W9710">
        <v>67</v>
      </c>
      <c r="X9710">
        <v>717</v>
      </c>
      <c r="Y9710">
        <v>49</v>
      </c>
      <c r="Z9710">
        <v>294</v>
      </c>
      <c r="AA9710">
        <v>538</v>
      </c>
      <c r="AB9710">
        <v>15.714700000000001</v>
      </c>
      <c r="AC9710">
        <v>4.0184839999999999E-2</v>
      </c>
      <c r="AD9710">
        <v>7.5143909999999998</v>
      </c>
      <c r="AE9710">
        <v>0.65221799999999996</v>
      </c>
      <c r="AF9710">
        <v>477.35550000000001</v>
      </c>
      <c r="AG9710">
        <f>IFERROR(AH9710*0.1, "N/A")</f>
        <v>5.5</v>
      </c>
      <c r="AH9710">
        <v>55</v>
      </c>
      <c r="AI9710">
        <v>194.90170000000001</v>
      </c>
      <c r="AJ9710">
        <v>29.148859999999999</v>
      </c>
      <c r="AK9710">
        <v>58.702280000000002</v>
      </c>
    </row>
    <row r="9711" spans="1:37" x14ac:dyDescent="0.3">
      <c r="A9711">
        <v>9710</v>
      </c>
      <c r="B9711">
        <v>42.8</v>
      </c>
      <c r="C9711">
        <v>9.4386100000000006</v>
      </c>
      <c r="D9711">
        <v>4.6438899999999999</v>
      </c>
      <c r="E9711" t="s">
        <v>14724</v>
      </c>
      <c r="F9711" t="s">
        <v>14725</v>
      </c>
      <c r="G9711" t="s">
        <v>39</v>
      </c>
      <c r="H9711">
        <v>1994</v>
      </c>
      <c r="I9711">
        <v>25.4</v>
      </c>
      <c r="J9711">
        <v>8.1999999999999993</v>
      </c>
      <c r="K9711">
        <v>76</v>
      </c>
      <c r="L9711">
        <v>8.9</v>
      </c>
      <c r="M9711">
        <v>31.5</v>
      </c>
      <c r="N9711">
        <v>20.8</v>
      </c>
      <c r="O9711">
        <v>10.7</v>
      </c>
      <c r="P9711">
        <v>24.1</v>
      </c>
      <c r="Q9711">
        <v>26</v>
      </c>
      <c r="R9711">
        <v>26.4</v>
      </c>
      <c r="S9711">
        <v>24.1</v>
      </c>
      <c r="T9711">
        <v>2749</v>
      </c>
      <c r="U9711">
        <v>388</v>
      </c>
      <c r="V9711">
        <v>32</v>
      </c>
      <c r="W9711">
        <v>55</v>
      </c>
      <c r="X9711">
        <v>1134</v>
      </c>
      <c r="Y9711">
        <v>154</v>
      </c>
      <c r="Z9711">
        <v>502</v>
      </c>
      <c r="AA9711">
        <v>1134</v>
      </c>
      <c r="AB9711">
        <v>26.183540000000001</v>
      </c>
      <c r="AC9711">
        <v>8.8337079999999991E-3</v>
      </c>
      <c r="AD9711">
        <v>2.2027049999999999</v>
      </c>
      <c r="AE9711">
        <v>0.68616060000000001</v>
      </c>
      <c r="AF9711">
        <v>251.51140000000001</v>
      </c>
      <c r="AG9711">
        <f>IFERROR(AH9711*0.1, "N/A")</f>
        <v>5</v>
      </c>
      <c r="AH9711">
        <v>50</v>
      </c>
      <c r="AI9711">
        <v>176.39879999999999</v>
      </c>
      <c r="AJ9711">
        <v>33</v>
      </c>
      <c r="AK9711">
        <v>47</v>
      </c>
    </row>
    <row r="9712" spans="1:37" x14ac:dyDescent="0.3">
      <c r="A9712">
        <v>9711</v>
      </c>
      <c r="B9712">
        <v>0</v>
      </c>
      <c r="C9712">
        <v>10.872199999999999</v>
      </c>
      <c r="D9712">
        <v>4.6444400000000003</v>
      </c>
      <c r="E9712" t="s">
        <v>14726</v>
      </c>
      <c r="F9712" t="s">
        <v>14727</v>
      </c>
      <c r="G9712" t="s">
        <v>37</v>
      </c>
      <c r="H9712">
        <v>1990</v>
      </c>
      <c r="I9712">
        <v>23</v>
      </c>
      <c r="J9712">
        <v>9.1</v>
      </c>
      <c r="K9712">
        <v>73</v>
      </c>
      <c r="L9712">
        <v>9.84</v>
      </c>
      <c r="M9712">
        <v>30</v>
      </c>
      <c r="N9712">
        <v>17.7</v>
      </c>
      <c r="O9712">
        <v>12.3</v>
      </c>
      <c r="P9712">
        <v>22</v>
      </c>
      <c r="Q9712">
        <v>23.9</v>
      </c>
      <c r="R9712">
        <v>24.1</v>
      </c>
      <c r="S9712">
        <v>21.7</v>
      </c>
      <c r="T9712">
        <v>1993</v>
      </c>
      <c r="U9712">
        <v>356</v>
      </c>
      <c r="V9712">
        <v>10</v>
      </c>
      <c r="W9712">
        <v>68</v>
      </c>
      <c r="X9712">
        <v>973</v>
      </c>
      <c r="Y9712">
        <v>55</v>
      </c>
      <c r="Z9712">
        <v>325</v>
      </c>
      <c r="AA9712">
        <v>691</v>
      </c>
      <c r="AB9712">
        <v>16.336040000000001</v>
      </c>
      <c r="AC9712">
        <v>4.3919550000000002E-2</v>
      </c>
      <c r="AD9712">
        <v>8.4089329999999993</v>
      </c>
      <c r="AE9712">
        <v>0.24934680000000001</v>
      </c>
      <c r="AF9712">
        <v>842.37429999999995</v>
      </c>
      <c r="AG9712">
        <f>IFERROR(AH9712*0.1, "N/A")</f>
        <v>4.9000000000000004</v>
      </c>
      <c r="AH9712">
        <v>49</v>
      </c>
      <c r="AI9712">
        <v>203.5412</v>
      </c>
      <c r="AJ9712">
        <v>34.028120000000001</v>
      </c>
      <c r="AK9712">
        <v>48</v>
      </c>
    </row>
    <row r="9713" spans="1:37" x14ac:dyDescent="0.3">
      <c r="A9713">
        <v>9712</v>
      </c>
      <c r="B9713">
        <v>0</v>
      </c>
      <c r="C9713">
        <v>10.872199999999999</v>
      </c>
      <c r="D9713">
        <v>4.6444400000000003</v>
      </c>
      <c r="E9713" t="s">
        <v>14726</v>
      </c>
      <c r="F9713" t="s">
        <v>14728</v>
      </c>
      <c r="G9713" t="s">
        <v>2420</v>
      </c>
      <c r="H9713">
        <v>1990</v>
      </c>
      <c r="I9713">
        <v>23</v>
      </c>
      <c r="J9713">
        <v>9.1</v>
      </c>
      <c r="K9713">
        <v>73</v>
      </c>
      <c r="L9713">
        <v>9.84</v>
      </c>
      <c r="M9713">
        <v>30</v>
      </c>
      <c r="N9713">
        <v>17.7</v>
      </c>
      <c r="O9713">
        <v>12.3</v>
      </c>
      <c r="P9713">
        <v>22</v>
      </c>
      <c r="Q9713">
        <v>23.9</v>
      </c>
      <c r="R9713">
        <v>24.1</v>
      </c>
      <c r="S9713">
        <v>21.7</v>
      </c>
      <c r="T9713">
        <v>1993</v>
      </c>
      <c r="U9713">
        <v>356</v>
      </c>
      <c r="V9713">
        <v>10</v>
      </c>
      <c r="W9713">
        <v>68</v>
      </c>
      <c r="X9713">
        <v>973</v>
      </c>
      <c r="Y9713">
        <v>55</v>
      </c>
      <c r="Z9713">
        <v>325</v>
      </c>
      <c r="AA9713">
        <v>691</v>
      </c>
      <c r="AB9713">
        <v>16.336040000000001</v>
      </c>
      <c r="AC9713">
        <v>4.3919550000000002E-2</v>
      </c>
      <c r="AD9713">
        <v>8.4089329999999993</v>
      </c>
      <c r="AE9713">
        <v>0.24934680000000001</v>
      </c>
      <c r="AF9713">
        <v>842.37429999999995</v>
      </c>
      <c r="AG9713">
        <f>IFERROR(AH9713*0.1, "N/A")</f>
        <v>4.9000000000000004</v>
      </c>
      <c r="AH9713">
        <v>49</v>
      </c>
      <c r="AI9713">
        <v>203.5412</v>
      </c>
      <c r="AJ9713">
        <v>34.028120000000001</v>
      </c>
      <c r="AK9713">
        <v>48</v>
      </c>
    </row>
    <row r="9714" spans="1:37" x14ac:dyDescent="0.3">
      <c r="A9714">
        <v>9713</v>
      </c>
      <c r="B9714">
        <v>0</v>
      </c>
      <c r="C9714">
        <v>11.3353</v>
      </c>
      <c r="D9714">
        <v>4.6605600000000003</v>
      </c>
      <c r="E9714" t="s">
        <v>14729</v>
      </c>
      <c r="F9714" t="s">
        <v>14730</v>
      </c>
      <c r="G9714" t="s">
        <v>37</v>
      </c>
      <c r="H9714">
        <v>1990</v>
      </c>
      <c r="I9714">
        <v>25.4</v>
      </c>
      <c r="J9714">
        <v>9.1999999999999993</v>
      </c>
      <c r="K9714">
        <v>76</v>
      </c>
      <c r="L9714">
        <v>8.5500000000000007</v>
      </c>
      <c r="M9714">
        <v>32.4</v>
      </c>
      <c r="N9714">
        <v>20.399999999999999</v>
      </c>
      <c r="O9714">
        <v>12</v>
      </c>
      <c r="P9714">
        <v>24.5</v>
      </c>
      <c r="Q9714">
        <v>26.2</v>
      </c>
      <c r="R9714">
        <v>26.5</v>
      </c>
      <c r="S9714">
        <v>24.3</v>
      </c>
      <c r="T9714">
        <v>1545</v>
      </c>
      <c r="U9714">
        <v>297</v>
      </c>
      <c r="V9714">
        <v>10</v>
      </c>
      <c r="W9714">
        <v>67</v>
      </c>
      <c r="X9714">
        <v>703</v>
      </c>
      <c r="Y9714">
        <v>50</v>
      </c>
      <c r="Z9714">
        <v>292</v>
      </c>
      <c r="AA9714">
        <v>523</v>
      </c>
      <c r="AB9714">
        <v>4.8855000000000004</v>
      </c>
      <c r="AC9714">
        <v>6.6199870000000001</v>
      </c>
      <c r="AD9714">
        <v>1.5442940000000001</v>
      </c>
      <c r="AE9714">
        <v>0.64224769999999998</v>
      </c>
      <c r="AF9714">
        <v>425.94760000000002</v>
      </c>
      <c r="AG9714">
        <f>IFERROR(AH9714*0.1, "N/A")</f>
        <v>5.5</v>
      </c>
      <c r="AH9714">
        <v>55</v>
      </c>
      <c r="AI9714">
        <v>121.0244</v>
      </c>
      <c r="AJ9714">
        <v>27</v>
      </c>
      <c r="AK9714">
        <v>57.811190000000003</v>
      </c>
    </row>
    <row r="9715" spans="1:37" x14ac:dyDescent="0.3">
      <c r="A9715">
        <v>9714</v>
      </c>
      <c r="B9715">
        <v>0</v>
      </c>
      <c r="C9715">
        <v>11.3353</v>
      </c>
      <c r="D9715">
        <v>4.6605600000000003</v>
      </c>
      <c r="E9715" t="s">
        <v>14729</v>
      </c>
      <c r="F9715" t="s">
        <v>14731</v>
      </c>
      <c r="G9715" t="s">
        <v>2420</v>
      </c>
      <c r="H9715">
        <v>1990</v>
      </c>
      <c r="I9715">
        <v>25.4</v>
      </c>
      <c r="J9715">
        <v>9.1999999999999993</v>
      </c>
      <c r="K9715">
        <v>76</v>
      </c>
      <c r="L9715">
        <v>8.5500000000000007</v>
      </c>
      <c r="M9715">
        <v>32.4</v>
      </c>
      <c r="N9715">
        <v>20.399999999999999</v>
      </c>
      <c r="O9715">
        <v>12</v>
      </c>
      <c r="P9715">
        <v>24.5</v>
      </c>
      <c r="Q9715">
        <v>26.2</v>
      </c>
      <c r="R9715">
        <v>26.5</v>
      </c>
      <c r="S9715">
        <v>24.3</v>
      </c>
      <c r="T9715">
        <v>1545</v>
      </c>
      <c r="U9715">
        <v>297</v>
      </c>
      <c r="V9715">
        <v>10</v>
      </c>
      <c r="W9715">
        <v>67</v>
      </c>
      <c r="X9715">
        <v>703</v>
      </c>
      <c r="Y9715">
        <v>50</v>
      </c>
      <c r="Z9715">
        <v>292</v>
      </c>
      <c r="AA9715">
        <v>523</v>
      </c>
      <c r="AB9715">
        <v>4.8855000000000004</v>
      </c>
      <c r="AC9715">
        <v>6.6199870000000001</v>
      </c>
      <c r="AD9715">
        <v>1.5442940000000001</v>
      </c>
      <c r="AE9715">
        <v>0.64224769999999998</v>
      </c>
      <c r="AF9715">
        <v>425.94760000000002</v>
      </c>
      <c r="AG9715">
        <f>IFERROR(AH9715*0.1, "N/A")</f>
        <v>5.5</v>
      </c>
      <c r="AH9715">
        <v>55</v>
      </c>
      <c r="AI9715">
        <v>121.0244</v>
      </c>
      <c r="AJ9715">
        <v>27</v>
      </c>
      <c r="AK9715">
        <v>57.811190000000003</v>
      </c>
    </row>
    <row r="9716" spans="1:37" x14ac:dyDescent="0.3">
      <c r="A9716">
        <v>9715</v>
      </c>
      <c r="B9716">
        <v>91</v>
      </c>
      <c r="C9716">
        <v>9.3819999999999997</v>
      </c>
      <c r="D9716">
        <v>4.6669999999999998</v>
      </c>
      <c r="E9716" t="s">
        <v>14732</v>
      </c>
      <c r="F9716" t="s">
        <v>14733</v>
      </c>
      <c r="G9716" t="s">
        <v>39</v>
      </c>
      <c r="H9716">
        <v>1987</v>
      </c>
      <c r="I9716">
        <v>24.654990000000002</v>
      </c>
      <c r="J9716">
        <v>8.3000000000000007</v>
      </c>
      <c r="K9716">
        <v>76</v>
      </c>
      <c r="L9716">
        <v>9.1045010000000008</v>
      </c>
      <c r="M9716">
        <v>30.754989999999999</v>
      </c>
      <c r="N9716">
        <v>19.954989999999999</v>
      </c>
      <c r="O9716">
        <v>10.8</v>
      </c>
      <c r="P9716">
        <v>23.254989999999999</v>
      </c>
      <c r="Q9716">
        <v>25.254989999999999</v>
      </c>
      <c r="R9716">
        <v>25.654990000000002</v>
      </c>
      <c r="S9716">
        <v>23.254989999999999</v>
      </c>
      <c r="T9716">
        <v>2780.5010000000002</v>
      </c>
      <c r="U9716">
        <v>402.80040000000002</v>
      </c>
      <c r="V9716">
        <v>32</v>
      </c>
      <c r="W9716">
        <v>56</v>
      </c>
      <c r="X9716">
        <v>1164.326</v>
      </c>
      <c r="Y9716">
        <v>156</v>
      </c>
      <c r="Z9716">
        <v>503.27499999999998</v>
      </c>
      <c r="AA9716">
        <v>1164.326</v>
      </c>
      <c r="AB9716">
        <v>2.3996490000000001</v>
      </c>
      <c r="AC9716">
        <v>0.5229743</v>
      </c>
      <c r="AD9716">
        <v>3.1973880000000001</v>
      </c>
      <c r="AE9716">
        <v>0.2311455</v>
      </c>
      <c r="AF9716">
        <v>321.66550000000001</v>
      </c>
      <c r="AG9716">
        <f>IFERROR(AH9716*0.1, "N/A")</f>
        <v>4.742032</v>
      </c>
      <c r="AH9716">
        <v>47.420319999999997</v>
      </c>
      <c r="AI9716">
        <v>258.10660000000001</v>
      </c>
      <c r="AJ9716">
        <v>37.929949999999998</v>
      </c>
      <c r="AK9716">
        <v>40.85989</v>
      </c>
    </row>
    <row r="9717" spans="1:37" x14ac:dyDescent="0.3">
      <c r="A9717">
        <v>9716</v>
      </c>
      <c r="B9717">
        <v>2.6</v>
      </c>
      <c r="C9717">
        <v>9.7255599999999998</v>
      </c>
      <c r="D9717">
        <v>4.67333</v>
      </c>
      <c r="E9717" t="s">
        <v>14734</v>
      </c>
      <c r="F9717" t="s">
        <v>14735</v>
      </c>
      <c r="G9717" t="s">
        <v>39</v>
      </c>
      <c r="H9717">
        <v>1990</v>
      </c>
      <c r="I9717">
        <v>26.235659999999999</v>
      </c>
      <c r="J9717">
        <v>8.3000000000000007</v>
      </c>
      <c r="K9717">
        <v>77</v>
      </c>
      <c r="L9717">
        <v>8.604616</v>
      </c>
      <c r="M9717">
        <v>32.351750000000003</v>
      </c>
      <c r="N9717">
        <v>21.65175</v>
      </c>
      <c r="O9717">
        <v>10.7</v>
      </c>
      <c r="P9717">
        <v>24.867830000000001</v>
      </c>
      <c r="Q9717">
        <v>26.851749999999999</v>
      </c>
      <c r="R9717">
        <v>27.135660000000001</v>
      </c>
      <c r="S9717">
        <v>24.867830000000001</v>
      </c>
      <c r="T9717">
        <v>3039.6990000000001</v>
      </c>
      <c r="U9717">
        <v>473.2867</v>
      </c>
      <c r="V9717">
        <v>35</v>
      </c>
      <c r="W9717">
        <v>61.16084</v>
      </c>
      <c r="X9717">
        <v>1345.6079999999999</v>
      </c>
      <c r="Y9717">
        <v>155.48249999999999</v>
      </c>
      <c r="Z9717">
        <v>477.48250000000002</v>
      </c>
      <c r="AA9717">
        <v>1345.6079999999999</v>
      </c>
      <c r="AB9717">
        <v>94.998779999999996</v>
      </c>
      <c r="AC9717">
        <v>9.7414010000000002E-3</v>
      </c>
      <c r="AD9717">
        <v>4.8722620000000001</v>
      </c>
      <c r="AE9717">
        <v>0.3271135</v>
      </c>
      <c r="AF9717">
        <v>252.65729999999999</v>
      </c>
      <c r="AG9717">
        <f>IFERROR(AH9717*0.1, "N/A")</f>
        <v>5.2839160000000005</v>
      </c>
      <c r="AH9717">
        <v>52.83916</v>
      </c>
      <c r="AI9717">
        <v>131.06639999999999</v>
      </c>
      <c r="AJ9717">
        <v>39.83916</v>
      </c>
      <c r="AK9717">
        <v>36.496499999999997</v>
      </c>
    </row>
    <row r="9718" spans="1:37" x14ac:dyDescent="0.3">
      <c r="A9718">
        <v>9717</v>
      </c>
      <c r="B9718">
        <v>0</v>
      </c>
      <c r="C9718">
        <v>9.7255599999999998</v>
      </c>
      <c r="D9718">
        <v>4.67333</v>
      </c>
      <c r="E9718" t="s">
        <v>14734</v>
      </c>
      <c r="F9718" t="s">
        <v>14736</v>
      </c>
      <c r="G9718" t="s">
        <v>37</v>
      </c>
      <c r="H9718">
        <v>1990</v>
      </c>
      <c r="I9718">
        <v>26.235659999999999</v>
      </c>
      <c r="J9718">
        <v>8.3000000000000007</v>
      </c>
      <c r="K9718">
        <v>77</v>
      </c>
      <c r="L9718">
        <v>8.604616</v>
      </c>
      <c r="M9718">
        <v>32.351750000000003</v>
      </c>
      <c r="N9718">
        <v>21.65175</v>
      </c>
      <c r="O9718">
        <v>10.7</v>
      </c>
      <c r="P9718">
        <v>24.867830000000001</v>
      </c>
      <c r="Q9718">
        <v>26.851749999999999</v>
      </c>
      <c r="R9718">
        <v>27.135660000000001</v>
      </c>
      <c r="S9718">
        <v>24.867830000000001</v>
      </c>
      <c r="T9718">
        <v>3039.6990000000001</v>
      </c>
      <c r="U9718">
        <v>473.2867</v>
      </c>
      <c r="V9718">
        <v>35</v>
      </c>
      <c r="W9718">
        <v>61.16084</v>
      </c>
      <c r="X9718">
        <v>1345.6079999999999</v>
      </c>
      <c r="Y9718">
        <v>155.48249999999999</v>
      </c>
      <c r="Z9718">
        <v>477.48250000000002</v>
      </c>
      <c r="AA9718">
        <v>1345.6079999999999</v>
      </c>
      <c r="AB9718">
        <v>94.998779999999996</v>
      </c>
      <c r="AC9718">
        <v>9.7414010000000002E-3</v>
      </c>
      <c r="AD9718">
        <v>4.8722620000000001</v>
      </c>
      <c r="AE9718">
        <v>0.3271135</v>
      </c>
      <c r="AF9718">
        <v>252.65729999999999</v>
      </c>
      <c r="AG9718">
        <f>IFERROR(AH9718*0.1, "N/A")</f>
        <v>5.2839160000000005</v>
      </c>
      <c r="AH9718">
        <v>52.83916</v>
      </c>
      <c r="AI9718">
        <v>131.06639999999999</v>
      </c>
      <c r="AJ9718">
        <v>39.83916</v>
      </c>
      <c r="AK9718">
        <v>36.496499999999997</v>
      </c>
    </row>
    <row r="9719" spans="1:37" x14ac:dyDescent="0.3">
      <c r="A9719">
        <v>9718</v>
      </c>
      <c r="B9719">
        <v>2.7</v>
      </c>
      <c r="C9719">
        <v>9.7255599999999998</v>
      </c>
      <c r="D9719">
        <v>4.67333</v>
      </c>
      <c r="E9719" t="s">
        <v>14734</v>
      </c>
      <c r="F9719" t="s">
        <v>14737</v>
      </c>
      <c r="G9719" t="s">
        <v>2420</v>
      </c>
      <c r="H9719">
        <v>1990</v>
      </c>
      <c r="I9719">
        <v>26.235659999999999</v>
      </c>
      <c r="J9719">
        <v>8.3000000000000007</v>
      </c>
      <c r="K9719">
        <v>77</v>
      </c>
      <c r="L9719">
        <v>8.604616</v>
      </c>
      <c r="M9719">
        <v>32.351750000000003</v>
      </c>
      <c r="N9719">
        <v>21.65175</v>
      </c>
      <c r="O9719">
        <v>10.7</v>
      </c>
      <c r="P9719">
        <v>24.867830000000001</v>
      </c>
      <c r="Q9719">
        <v>26.851749999999999</v>
      </c>
      <c r="R9719">
        <v>27.135660000000001</v>
      </c>
      <c r="S9719">
        <v>24.867830000000001</v>
      </c>
      <c r="T9719">
        <v>3039.6990000000001</v>
      </c>
      <c r="U9719">
        <v>473.2867</v>
      </c>
      <c r="V9719">
        <v>35</v>
      </c>
      <c r="W9719">
        <v>61.16084</v>
      </c>
      <c r="X9719">
        <v>1345.6079999999999</v>
      </c>
      <c r="Y9719">
        <v>155.48249999999999</v>
      </c>
      <c r="Z9719">
        <v>477.48250000000002</v>
      </c>
      <c r="AA9719">
        <v>1345.6079999999999</v>
      </c>
      <c r="AB9719">
        <v>94.998779999999996</v>
      </c>
      <c r="AC9719">
        <v>9.7414010000000002E-3</v>
      </c>
      <c r="AD9719">
        <v>4.8722620000000001</v>
      </c>
      <c r="AE9719">
        <v>0.3271135</v>
      </c>
      <c r="AF9719">
        <v>252.65729999999999</v>
      </c>
      <c r="AG9719">
        <f>IFERROR(AH9719*0.1, "N/A")</f>
        <v>5.2839160000000005</v>
      </c>
      <c r="AH9719">
        <v>52.83916</v>
      </c>
      <c r="AI9719">
        <v>131.06639999999999</v>
      </c>
      <c r="AJ9719">
        <v>39.83916</v>
      </c>
      <c r="AK9719">
        <v>36.496499999999997</v>
      </c>
    </row>
    <row r="9720" spans="1:37" x14ac:dyDescent="0.3">
      <c r="A9720">
        <v>9719</v>
      </c>
      <c r="B9720">
        <v>50</v>
      </c>
      <c r="C9720">
        <v>9.3897200000000005</v>
      </c>
      <c r="D9720">
        <v>4.6744399999999997</v>
      </c>
      <c r="E9720" t="s">
        <v>14738</v>
      </c>
      <c r="F9720" t="s">
        <v>14739</v>
      </c>
      <c r="G9720" t="s">
        <v>39</v>
      </c>
      <c r="H9720">
        <v>1987</v>
      </c>
      <c r="I9720">
        <v>24.718599999999999</v>
      </c>
      <c r="J9720">
        <v>8.3000000000000007</v>
      </c>
      <c r="K9720">
        <v>76</v>
      </c>
      <c r="L9720">
        <v>9.1715090000000004</v>
      </c>
      <c r="M9720">
        <v>30.898250000000001</v>
      </c>
      <c r="N9720">
        <v>20.018599999999999</v>
      </c>
      <c r="O9720">
        <v>10.87965</v>
      </c>
      <c r="P9720">
        <v>23.3186</v>
      </c>
      <c r="Q9720">
        <v>25.398250000000001</v>
      </c>
      <c r="R9720">
        <v>25.718599999999999</v>
      </c>
      <c r="S9720">
        <v>23.3186</v>
      </c>
      <c r="T9720">
        <v>2780.3440000000001</v>
      </c>
      <c r="U9720">
        <v>402.66320000000002</v>
      </c>
      <c r="V9720">
        <v>32</v>
      </c>
      <c r="W9720">
        <v>56.203510000000001</v>
      </c>
      <c r="X9720">
        <v>1162.547</v>
      </c>
      <c r="Y9720">
        <v>155.79650000000001</v>
      </c>
      <c r="Z9720">
        <v>502.77890000000002</v>
      </c>
      <c r="AA9720">
        <v>1162.547</v>
      </c>
      <c r="AB9720">
        <v>6.5391120000000003</v>
      </c>
      <c r="AC9720">
        <v>0.39480150000000003</v>
      </c>
      <c r="AD9720">
        <v>2.4220890000000002</v>
      </c>
      <c r="AE9720">
        <v>0.23366909999999999</v>
      </c>
      <c r="AF9720">
        <v>328.91930000000002</v>
      </c>
      <c r="AG9720">
        <f>IFERROR(AH9720*0.1, "N/A")</f>
        <v>4.6903509999999997</v>
      </c>
      <c r="AH9720">
        <v>46.903509999999997</v>
      </c>
      <c r="AI9720">
        <v>174.30430000000001</v>
      </c>
      <c r="AJ9720">
        <v>38.271929999999998</v>
      </c>
      <c r="AK9720">
        <v>40.096490000000003</v>
      </c>
    </row>
    <row r="9721" spans="1:37" x14ac:dyDescent="0.3">
      <c r="A9721">
        <v>9720</v>
      </c>
      <c r="B9721">
        <v>8.9</v>
      </c>
      <c r="C9721">
        <v>12.377800000000001</v>
      </c>
      <c r="D9721">
        <v>4.6777800000000003</v>
      </c>
      <c r="E9721" t="s">
        <v>14740</v>
      </c>
      <c r="F9721" t="s">
        <v>14741</v>
      </c>
      <c r="G9721" t="s">
        <v>37</v>
      </c>
      <c r="H9721">
        <v>1990</v>
      </c>
      <c r="I9721">
        <v>24.2</v>
      </c>
      <c r="J9721">
        <v>9.5</v>
      </c>
      <c r="K9721">
        <v>77</v>
      </c>
      <c r="L9721">
        <v>6.76</v>
      </c>
      <c r="M9721">
        <v>31.1</v>
      </c>
      <c r="N9721">
        <v>18.899999999999999</v>
      </c>
      <c r="O9721">
        <v>12.2</v>
      </c>
      <c r="P9721">
        <v>23.6</v>
      </c>
      <c r="Q9721">
        <v>24.6</v>
      </c>
      <c r="R9721">
        <v>25.1</v>
      </c>
      <c r="S9721">
        <v>23.4</v>
      </c>
      <c r="T9721">
        <v>1526</v>
      </c>
      <c r="U9721">
        <v>306</v>
      </c>
      <c r="V9721">
        <v>11</v>
      </c>
      <c r="W9721">
        <v>70</v>
      </c>
      <c r="X9721">
        <v>696</v>
      </c>
      <c r="Y9721">
        <v>58</v>
      </c>
      <c r="Z9721">
        <v>287</v>
      </c>
      <c r="AA9721">
        <v>484</v>
      </c>
      <c r="AB9721">
        <v>14.64969</v>
      </c>
      <c r="AC9721">
        <v>6.4183799999999999E-2</v>
      </c>
      <c r="AD9721">
        <v>5.4695099999999996</v>
      </c>
      <c r="AE9721">
        <v>0.75283580000000005</v>
      </c>
      <c r="AF9721">
        <v>600.69650000000001</v>
      </c>
      <c r="AG9721">
        <f>IFERROR(AH9721*0.1, "N/A")</f>
        <v>5.4926320000000004</v>
      </c>
      <c r="AH9721">
        <v>54.926319999999997</v>
      </c>
      <c r="AI9721">
        <v>145.58609999999999</v>
      </c>
      <c r="AJ9721">
        <v>31.763159999999999</v>
      </c>
      <c r="AK9721">
        <v>56.163159999999998</v>
      </c>
    </row>
    <row r="9722" spans="1:37" x14ac:dyDescent="0.3">
      <c r="A9722">
        <v>9721</v>
      </c>
      <c r="B9722">
        <v>0</v>
      </c>
      <c r="C9722">
        <v>12.377800000000001</v>
      </c>
      <c r="D9722">
        <v>4.6777800000000003</v>
      </c>
      <c r="E9722" t="s">
        <v>14740</v>
      </c>
      <c r="F9722" t="s">
        <v>14742</v>
      </c>
      <c r="G9722" t="s">
        <v>2420</v>
      </c>
      <c r="H9722">
        <v>1990</v>
      </c>
      <c r="I9722">
        <v>24.2</v>
      </c>
      <c r="J9722">
        <v>9.5</v>
      </c>
      <c r="K9722">
        <v>77</v>
      </c>
      <c r="L9722">
        <v>6.76</v>
      </c>
      <c r="M9722">
        <v>31.1</v>
      </c>
      <c r="N9722">
        <v>18.899999999999999</v>
      </c>
      <c r="O9722">
        <v>12.2</v>
      </c>
      <c r="P9722">
        <v>23.6</v>
      </c>
      <c r="Q9722">
        <v>24.6</v>
      </c>
      <c r="R9722">
        <v>25.1</v>
      </c>
      <c r="S9722">
        <v>23.4</v>
      </c>
      <c r="T9722">
        <v>1526</v>
      </c>
      <c r="U9722">
        <v>306</v>
      </c>
      <c r="V9722">
        <v>11</v>
      </c>
      <c r="W9722">
        <v>70</v>
      </c>
      <c r="X9722">
        <v>696</v>
      </c>
      <c r="Y9722">
        <v>58</v>
      </c>
      <c r="Z9722">
        <v>287</v>
      </c>
      <c r="AA9722">
        <v>484</v>
      </c>
      <c r="AB9722">
        <v>14.64969</v>
      </c>
      <c r="AC9722">
        <v>6.4183799999999999E-2</v>
      </c>
      <c r="AD9722">
        <v>5.4695099999999996</v>
      </c>
      <c r="AE9722">
        <v>0.75283580000000005</v>
      </c>
      <c r="AF9722">
        <v>600.69650000000001</v>
      </c>
      <c r="AG9722">
        <f>IFERROR(AH9722*0.1, "N/A")</f>
        <v>5.4926320000000004</v>
      </c>
      <c r="AH9722">
        <v>54.926319999999997</v>
      </c>
      <c r="AI9722">
        <v>145.58609999999999</v>
      </c>
      <c r="AJ9722">
        <v>31.763159999999999</v>
      </c>
      <c r="AK9722">
        <v>56.163159999999998</v>
      </c>
    </row>
    <row r="9723" spans="1:37" x14ac:dyDescent="0.3">
      <c r="A9723">
        <v>9722</v>
      </c>
      <c r="B9723">
        <v>1</v>
      </c>
      <c r="C9723">
        <v>11.306900000000001</v>
      </c>
      <c r="D9723">
        <v>4.6833299999999998</v>
      </c>
      <c r="E9723" t="s">
        <v>14743</v>
      </c>
      <c r="F9723" t="s">
        <v>14744</v>
      </c>
      <c r="G9723" t="s">
        <v>37</v>
      </c>
      <c r="H9723">
        <v>1990</v>
      </c>
      <c r="I9723">
        <v>25.3</v>
      </c>
      <c r="J9723">
        <v>9.1999999999999993</v>
      </c>
      <c r="K9723">
        <v>76</v>
      </c>
      <c r="L9723">
        <v>9.0123080000000009</v>
      </c>
      <c r="M9723">
        <v>32.299999999999997</v>
      </c>
      <c r="N9723">
        <v>20.2</v>
      </c>
      <c r="O9723">
        <v>12.1</v>
      </c>
      <c r="P9723">
        <v>24.3</v>
      </c>
      <c r="Q9723">
        <v>26.1</v>
      </c>
      <c r="R9723">
        <v>26.4</v>
      </c>
      <c r="S9723">
        <v>24.115390000000001</v>
      </c>
      <c r="T9723">
        <v>1536.615</v>
      </c>
      <c r="U9723">
        <v>298</v>
      </c>
      <c r="V9723">
        <v>9</v>
      </c>
      <c r="W9723">
        <v>67</v>
      </c>
      <c r="X9723">
        <v>705</v>
      </c>
      <c r="Y9723">
        <v>46.307690000000001</v>
      </c>
      <c r="Z9723">
        <v>287.30770000000001</v>
      </c>
      <c r="AA9723">
        <v>527</v>
      </c>
      <c r="AB9723">
        <v>21.78462</v>
      </c>
      <c r="AC9723">
        <v>9.7561650000000007E-3</v>
      </c>
      <c r="AD9723">
        <v>2.8480400000000001</v>
      </c>
      <c r="AE9723">
        <v>0.65848850000000003</v>
      </c>
      <c r="AF9723">
        <v>465.94760000000002</v>
      </c>
      <c r="AG9723">
        <f>IFERROR(AH9723*0.1, "N/A")</f>
        <v>5.3000000000000007</v>
      </c>
      <c r="AH9723">
        <v>53</v>
      </c>
      <c r="AI9723">
        <v>244.88849999999999</v>
      </c>
      <c r="AJ9723">
        <v>28.667829999999999</v>
      </c>
      <c r="AK9723">
        <v>55.332169999999998</v>
      </c>
    </row>
    <row r="9724" spans="1:37" x14ac:dyDescent="0.3">
      <c r="A9724">
        <v>9723</v>
      </c>
      <c r="B9724">
        <v>0</v>
      </c>
      <c r="C9724">
        <v>11.306900000000001</v>
      </c>
      <c r="D9724">
        <v>4.6833299999999998</v>
      </c>
      <c r="E9724" t="s">
        <v>14743</v>
      </c>
      <c r="F9724" t="s">
        <v>14745</v>
      </c>
      <c r="G9724" t="s">
        <v>2420</v>
      </c>
      <c r="H9724">
        <v>1990</v>
      </c>
      <c r="I9724">
        <v>25.3</v>
      </c>
      <c r="J9724">
        <v>9.1999999999999993</v>
      </c>
      <c r="K9724">
        <v>76</v>
      </c>
      <c r="L9724">
        <v>9.0123080000000009</v>
      </c>
      <c r="M9724">
        <v>32.299999999999997</v>
      </c>
      <c r="N9724">
        <v>20.2</v>
      </c>
      <c r="O9724">
        <v>12.1</v>
      </c>
      <c r="P9724">
        <v>24.3</v>
      </c>
      <c r="Q9724">
        <v>26.1</v>
      </c>
      <c r="R9724">
        <v>26.4</v>
      </c>
      <c r="S9724">
        <v>24.115390000000001</v>
      </c>
      <c r="T9724">
        <v>1536.615</v>
      </c>
      <c r="U9724">
        <v>298</v>
      </c>
      <c r="V9724">
        <v>9</v>
      </c>
      <c r="W9724">
        <v>67</v>
      </c>
      <c r="X9724">
        <v>705</v>
      </c>
      <c r="Y9724">
        <v>46.307690000000001</v>
      </c>
      <c r="Z9724">
        <v>287.30770000000001</v>
      </c>
      <c r="AA9724">
        <v>527</v>
      </c>
      <c r="AB9724">
        <v>21.78462</v>
      </c>
      <c r="AC9724">
        <v>9.7561650000000007E-3</v>
      </c>
      <c r="AD9724">
        <v>2.8480400000000001</v>
      </c>
      <c r="AE9724">
        <v>0.65848850000000003</v>
      </c>
      <c r="AF9724">
        <v>465.94760000000002</v>
      </c>
      <c r="AG9724">
        <f>IFERROR(AH9724*0.1, "N/A")</f>
        <v>5.3000000000000007</v>
      </c>
      <c r="AH9724">
        <v>53</v>
      </c>
      <c r="AI9724">
        <v>244.88849999999999</v>
      </c>
      <c r="AJ9724">
        <v>28.667829999999999</v>
      </c>
      <c r="AK9724">
        <v>55.332169999999998</v>
      </c>
    </row>
    <row r="9725" spans="1:37" x14ac:dyDescent="0.3">
      <c r="A9725">
        <v>9724</v>
      </c>
      <c r="B9725">
        <v>5.6</v>
      </c>
      <c r="C9725">
        <v>11.2333</v>
      </c>
      <c r="D9725">
        <v>4.7</v>
      </c>
      <c r="E9725" t="s">
        <v>14746</v>
      </c>
      <c r="F9725" t="s">
        <v>14747</v>
      </c>
      <c r="G9725" t="s">
        <v>37</v>
      </c>
      <c r="H9725">
        <v>1990</v>
      </c>
      <c r="I9725">
        <v>25.281610000000001</v>
      </c>
      <c r="J9725">
        <v>9.1999999999999993</v>
      </c>
      <c r="K9725">
        <v>76</v>
      </c>
      <c r="L9725">
        <v>9.0650790000000008</v>
      </c>
      <c r="M9725">
        <v>32.249560000000002</v>
      </c>
      <c r="N9725">
        <v>20.202279999999998</v>
      </c>
      <c r="O9725">
        <v>12.04729</v>
      </c>
      <c r="P9725">
        <v>24.30228</v>
      </c>
      <c r="Q9725">
        <v>26.1</v>
      </c>
      <c r="R9725">
        <v>26.32066</v>
      </c>
      <c r="S9725">
        <v>24.10228</v>
      </c>
      <c r="T9725">
        <v>1547.329</v>
      </c>
      <c r="U9725">
        <v>300.60950000000003</v>
      </c>
      <c r="V9725">
        <v>8</v>
      </c>
      <c r="W9725">
        <v>67.793350000000004</v>
      </c>
      <c r="X9725">
        <v>716.55340000000001</v>
      </c>
      <c r="Y9725">
        <v>44.288969999999999</v>
      </c>
      <c r="Z9725">
        <v>284.44130000000001</v>
      </c>
      <c r="AA9725">
        <v>542.76009999999997</v>
      </c>
      <c r="AB9725">
        <v>1.6978979999999999</v>
      </c>
      <c r="AC9725">
        <v>1.1044940000000001</v>
      </c>
      <c r="AD9725">
        <v>2.1790639999999999</v>
      </c>
      <c r="AE9725">
        <v>0.64908339999999998</v>
      </c>
      <c r="AF9725">
        <v>463.14890000000003</v>
      </c>
      <c r="AG9725">
        <f>IFERROR(AH9725*0.1, "N/A")</f>
        <v>5.4390540000000005</v>
      </c>
      <c r="AH9725">
        <v>54.390540000000001</v>
      </c>
      <c r="AI9725">
        <v>242.23910000000001</v>
      </c>
      <c r="AJ9725">
        <v>30.218910000000001</v>
      </c>
      <c r="AK9725">
        <v>54.781089999999999</v>
      </c>
    </row>
    <row r="9726" spans="1:37" x14ac:dyDescent="0.3">
      <c r="A9726">
        <v>9725</v>
      </c>
      <c r="B9726">
        <v>0</v>
      </c>
      <c r="C9726">
        <v>11.2333</v>
      </c>
      <c r="D9726">
        <v>4.7</v>
      </c>
      <c r="E9726" t="s">
        <v>14746</v>
      </c>
      <c r="F9726" t="s">
        <v>14748</v>
      </c>
      <c r="G9726" t="s">
        <v>2420</v>
      </c>
      <c r="H9726">
        <v>1990</v>
      </c>
      <c r="I9726">
        <v>25.281610000000001</v>
      </c>
      <c r="J9726">
        <v>9.1999999999999993</v>
      </c>
      <c r="K9726">
        <v>76</v>
      </c>
      <c r="L9726">
        <v>9.0650790000000008</v>
      </c>
      <c r="M9726">
        <v>32.249560000000002</v>
      </c>
      <c r="N9726">
        <v>20.202279999999998</v>
      </c>
      <c r="O9726">
        <v>12.04729</v>
      </c>
      <c r="P9726">
        <v>24.30228</v>
      </c>
      <c r="Q9726">
        <v>26.1</v>
      </c>
      <c r="R9726">
        <v>26.32066</v>
      </c>
      <c r="S9726">
        <v>24.10228</v>
      </c>
      <c r="T9726">
        <v>1547.329</v>
      </c>
      <c r="U9726">
        <v>300.60950000000003</v>
      </c>
      <c r="V9726">
        <v>8</v>
      </c>
      <c r="W9726">
        <v>67.793350000000004</v>
      </c>
      <c r="X9726">
        <v>716.55340000000001</v>
      </c>
      <c r="Y9726">
        <v>44.288969999999999</v>
      </c>
      <c r="Z9726">
        <v>284.44130000000001</v>
      </c>
      <c r="AA9726">
        <v>542.76009999999997</v>
      </c>
      <c r="AB9726">
        <v>1.6978979999999999</v>
      </c>
      <c r="AC9726">
        <v>1.1044940000000001</v>
      </c>
      <c r="AD9726">
        <v>2.1790639999999999</v>
      </c>
      <c r="AE9726">
        <v>0.64908339999999998</v>
      </c>
      <c r="AF9726">
        <v>463.14890000000003</v>
      </c>
      <c r="AG9726">
        <f>IFERROR(AH9726*0.1, "N/A")</f>
        <v>5.4390540000000005</v>
      </c>
      <c r="AH9726">
        <v>54.390540000000001</v>
      </c>
      <c r="AI9726">
        <v>242.23910000000001</v>
      </c>
      <c r="AJ9726">
        <v>30.218910000000001</v>
      </c>
      <c r="AK9726">
        <v>54.781089999999999</v>
      </c>
    </row>
    <row r="9727" spans="1:37" x14ac:dyDescent="0.3">
      <c r="A9727">
        <v>9726</v>
      </c>
      <c r="B9727">
        <v>57.8</v>
      </c>
      <c r="C9727">
        <v>9.7463899999999999</v>
      </c>
      <c r="D9727">
        <v>4.7052800000000001</v>
      </c>
      <c r="E9727" t="s">
        <v>14749</v>
      </c>
      <c r="F9727" t="s">
        <v>14750</v>
      </c>
      <c r="G9727" t="s">
        <v>39</v>
      </c>
      <c r="H9727">
        <v>2004</v>
      </c>
      <c r="I9727">
        <v>26.1</v>
      </c>
      <c r="J9727">
        <v>8.3000000000000007</v>
      </c>
      <c r="K9727">
        <v>77</v>
      </c>
      <c r="L9727">
        <v>8.48</v>
      </c>
      <c r="M9727">
        <v>32.200000000000003</v>
      </c>
      <c r="N9727">
        <v>21.5</v>
      </c>
      <c r="O9727">
        <v>10.7</v>
      </c>
      <c r="P9727">
        <v>24.8</v>
      </c>
      <c r="Q9727">
        <v>26.7</v>
      </c>
      <c r="R9727">
        <v>27</v>
      </c>
      <c r="S9727">
        <v>24.8</v>
      </c>
      <c r="T9727">
        <v>3052</v>
      </c>
      <c r="U9727">
        <v>481</v>
      </c>
      <c r="V9727">
        <v>35</v>
      </c>
      <c r="W9727">
        <v>62</v>
      </c>
      <c r="X9727">
        <v>1352</v>
      </c>
      <c r="Y9727">
        <v>156</v>
      </c>
      <c r="Z9727">
        <v>476</v>
      </c>
      <c r="AA9727">
        <v>1352</v>
      </c>
      <c r="AB9727">
        <v>28.977889999999999</v>
      </c>
      <c r="AC9727">
        <v>2.3466319999999999E-2</v>
      </c>
      <c r="AD9727">
        <v>3.2896049999999999</v>
      </c>
      <c r="AE9727">
        <v>0.45313700000000001</v>
      </c>
      <c r="AF9727">
        <v>234.15610000000001</v>
      </c>
      <c r="AG9727">
        <f>IFERROR(AH9727*0.1, "N/A")</f>
        <v>5.0307020000000007</v>
      </c>
      <c r="AH9727">
        <v>50.307020000000001</v>
      </c>
      <c r="AI9727">
        <v>286.38709999999998</v>
      </c>
      <c r="AJ9727">
        <v>35.052630000000001</v>
      </c>
      <c r="AK9727">
        <v>44.39123</v>
      </c>
    </row>
    <row r="9728" spans="1:37" x14ac:dyDescent="0.3">
      <c r="A9728">
        <v>9727</v>
      </c>
      <c r="B9728">
        <v>3.8</v>
      </c>
      <c r="C9728">
        <v>11.1944</v>
      </c>
      <c r="D9728">
        <v>4.7055600000000002</v>
      </c>
      <c r="E9728" t="s">
        <v>14751</v>
      </c>
      <c r="F9728" t="s">
        <v>14752</v>
      </c>
      <c r="G9728" t="s">
        <v>37</v>
      </c>
      <c r="H9728">
        <v>1990</v>
      </c>
      <c r="I9728">
        <v>25.2</v>
      </c>
      <c r="J9728">
        <v>9.1999999999999993</v>
      </c>
      <c r="K9728">
        <v>76</v>
      </c>
      <c r="L9728">
        <v>9.2100000000000009</v>
      </c>
      <c r="M9728">
        <v>32.1</v>
      </c>
      <c r="N9728">
        <v>20</v>
      </c>
      <c r="O9728">
        <v>12.1</v>
      </c>
      <c r="P9728">
        <v>24.1</v>
      </c>
      <c r="Q9728">
        <v>26</v>
      </c>
      <c r="R9728">
        <v>26.2</v>
      </c>
      <c r="S9728">
        <v>23.9</v>
      </c>
      <c r="T9728">
        <v>1559</v>
      </c>
      <c r="U9728">
        <v>303</v>
      </c>
      <c r="V9728">
        <v>8</v>
      </c>
      <c r="W9728">
        <v>68</v>
      </c>
      <c r="X9728">
        <v>725</v>
      </c>
      <c r="Y9728">
        <v>44</v>
      </c>
      <c r="Z9728">
        <v>284</v>
      </c>
      <c r="AA9728">
        <v>553</v>
      </c>
      <c r="AB9728">
        <v>3.0835439999999998</v>
      </c>
      <c r="AC9728">
        <v>0.60698450000000004</v>
      </c>
      <c r="AD9728">
        <v>2.843451</v>
      </c>
      <c r="AE9728">
        <v>0.65569449999999996</v>
      </c>
      <c r="AF9728">
        <v>485.97370000000001</v>
      </c>
      <c r="AG9728">
        <f>IFERROR(AH9728*0.1, "N/A")</f>
        <v>5.5422070000000003</v>
      </c>
      <c r="AH9728">
        <v>55.422069999999998</v>
      </c>
      <c r="AI9728">
        <v>133.02080000000001</v>
      </c>
      <c r="AJ9728">
        <v>31.593699999999998</v>
      </c>
      <c r="AK9728">
        <v>54.406300000000002</v>
      </c>
    </row>
    <row r="9729" spans="1:37" x14ac:dyDescent="0.3">
      <c r="A9729">
        <v>9728</v>
      </c>
      <c r="B9729">
        <v>0</v>
      </c>
      <c r="C9729">
        <v>11.1944</v>
      </c>
      <c r="D9729">
        <v>4.7055600000000002</v>
      </c>
      <c r="E9729" t="s">
        <v>14751</v>
      </c>
      <c r="F9729" t="s">
        <v>14753</v>
      </c>
      <c r="G9729" t="s">
        <v>2420</v>
      </c>
      <c r="H9729">
        <v>1990</v>
      </c>
      <c r="I9729">
        <v>25.2</v>
      </c>
      <c r="J9729">
        <v>9.1999999999999993</v>
      </c>
      <c r="K9729">
        <v>76</v>
      </c>
      <c r="L9729">
        <v>9.2100000000000009</v>
      </c>
      <c r="M9729">
        <v>32.1</v>
      </c>
      <c r="N9729">
        <v>20</v>
      </c>
      <c r="O9729">
        <v>12.1</v>
      </c>
      <c r="P9729">
        <v>24.1</v>
      </c>
      <c r="Q9729">
        <v>26</v>
      </c>
      <c r="R9729">
        <v>26.2</v>
      </c>
      <c r="S9729">
        <v>23.9</v>
      </c>
      <c r="T9729">
        <v>1559</v>
      </c>
      <c r="U9729">
        <v>303</v>
      </c>
      <c r="V9729">
        <v>8</v>
      </c>
      <c r="W9729">
        <v>68</v>
      </c>
      <c r="X9729">
        <v>725</v>
      </c>
      <c r="Y9729">
        <v>44</v>
      </c>
      <c r="Z9729">
        <v>284</v>
      </c>
      <c r="AA9729">
        <v>553</v>
      </c>
      <c r="AB9729">
        <v>3.0835439999999998</v>
      </c>
      <c r="AC9729">
        <v>0.60698450000000004</v>
      </c>
      <c r="AD9729">
        <v>2.843451</v>
      </c>
      <c r="AE9729">
        <v>0.65569449999999996</v>
      </c>
      <c r="AF9729">
        <v>485.97370000000001</v>
      </c>
      <c r="AG9729">
        <f>IFERROR(AH9729*0.1, "N/A")</f>
        <v>5.5422070000000003</v>
      </c>
      <c r="AH9729">
        <v>55.422069999999998</v>
      </c>
      <c r="AI9729">
        <v>133.02080000000001</v>
      </c>
      <c r="AJ9729">
        <v>31.593699999999998</v>
      </c>
      <c r="AK9729">
        <v>54.406300000000002</v>
      </c>
    </row>
    <row r="9730" spans="1:37" x14ac:dyDescent="0.3">
      <c r="A9730">
        <v>9729</v>
      </c>
      <c r="B9730">
        <v>53.1</v>
      </c>
      <c r="C9730">
        <v>9.7455599999999993</v>
      </c>
      <c r="D9730">
        <v>4.7105600000000001</v>
      </c>
      <c r="E9730" t="s">
        <v>14754</v>
      </c>
      <c r="F9730" t="s">
        <v>14755</v>
      </c>
      <c r="G9730" t="s">
        <v>39</v>
      </c>
      <c r="H9730">
        <v>1990</v>
      </c>
      <c r="I9730">
        <v>26.1</v>
      </c>
      <c r="J9730">
        <v>8.4</v>
      </c>
      <c r="K9730">
        <v>78</v>
      </c>
      <c r="L9730">
        <v>8.67</v>
      </c>
      <c r="M9730">
        <v>32.200000000000003</v>
      </c>
      <c r="N9730">
        <v>21.5</v>
      </c>
      <c r="O9730">
        <v>10.7</v>
      </c>
      <c r="P9730">
        <v>24.8</v>
      </c>
      <c r="Q9730">
        <v>26.7</v>
      </c>
      <c r="R9730">
        <v>27</v>
      </c>
      <c r="S9730">
        <v>24.8</v>
      </c>
      <c r="T9730">
        <v>3052</v>
      </c>
      <c r="U9730">
        <v>481</v>
      </c>
      <c r="V9730">
        <v>35</v>
      </c>
      <c r="W9730">
        <v>62</v>
      </c>
      <c r="X9730">
        <v>1351</v>
      </c>
      <c r="Y9730">
        <v>156</v>
      </c>
      <c r="Z9730">
        <v>476</v>
      </c>
      <c r="AA9730">
        <v>1351</v>
      </c>
      <c r="AB9730">
        <v>12.97597</v>
      </c>
      <c r="AC9730">
        <v>1.14491E-2</v>
      </c>
      <c r="AD9730">
        <v>2.695703</v>
      </c>
      <c r="AE9730">
        <v>0.45313700000000001</v>
      </c>
      <c r="AF9730">
        <v>217.65440000000001</v>
      </c>
      <c r="AG9730">
        <f>IFERROR(AH9730*0.1, "N/A")</f>
        <v>5.2719300000000002</v>
      </c>
      <c r="AH9730">
        <v>52.719299999999997</v>
      </c>
      <c r="AI9730">
        <v>299.50810000000001</v>
      </c>
      <c r="AJ9730">
        <v>33.301749999999998</v>
      </c>
      <c r="AK9730">
        <v>44.957889999999999</v>
      </c>
    </row>
    <row r="9731" spans="1:37" x14ac:dyDescent="0.3">
      <c r="A9731">
        <v>9730</v>
      </c>
      <c r="B9731">
        <v>0</v>
      </c>
      <c r="C9731">
        <v>9.7455599999999993</v>
      </c>
      <c r="D9731">
        <v>4.7105600000000001</v>
      </c>
      <c r="E9731" t="s">
        <v>14754</v>
      </c>
      <c r="F9731" t="s">
        <v>14756</v>
      </c>
      <c r="G9731" t="s">
        <v>37</v>
      </c>
      <c r="H9731">
        <v>1990</v>
      </c>
      <c r="I9731">
        <v>26.1</v>
      </c>
      <c r="J9731">
        <v>8.4</v>
      </c>
      <c r="K9731">
        <v>78</v>
      </c>
      <c r="L9731">
        <v>8.67</v>
      </c>
      <c r="M9731">
        <v>32.200000000000003</v>
      </c>
      <c r="N9731">
        <v>21.5</v>
      </c>
      <c r="O9731">
        <v>10.7</v>
      </c>
      <c r="P9731">
        <v>24.8</v>
      </c>
      <c r="Q9731">
        <v>26.7</v>
      </c>
      <c r="R9731">
        <v>27</v>
      </c>
      <c r="S9731">
        <v>24.8</v>
      </c>
      <c r="T9731">
        <v>3052</v>
      </c>
      <c r="U9731">
        <v>481</v>
      </c>
      <c r="V9731">
        <v>35</v>
      </c>
      <c r="W9731">
        <v>62</v>
      </c>
      <c r="X9731">
        <v>1351</v>
      </c>
      <c r="Y9731">
        <v>156</v>
      </c>
      <c r="Z9731">
        <v>476</v>
      </c>
      <c r="AA9731">
        <v>1351</v>
      </c>
      <c r="AB9731">
        <v>12.97597</v>
      </c>
      <c r="AC9731">
        <v>1.14491E-2</v>
      </c>
      <c r="AD9731">
        <v>2.695703</v>
      </c>
      <c r="AE9731">
        <v>0.45313700000000001</v>
      </c>
      <c r="AF9731">
        <v>217.65440000000001</v>
      </c>
      <c r="AG9731">
        <f>IFERROR(AH9731*0.1, "N/A")</f>
        <v>5.2719300000000002</v>
      </c>
      <c r="AH9731">
        <v>52.719299999999997</v>
      </c>
      <c r="AI9731">
        <v>299.50810000000001</v>
      </c>
      <c r="AJ9731">
        <v>33.301749999999998</v>
      </c>
      <c r="AK9731">
        <v>44.957889999999999</v>
      </c>
    </row>
    <row r="9732" spans="1:37" x14ac:dyDescent="0.3">
      <c r="A9732">
        <v>9731</v>
      </c>
      <c r="B9732">
        <v>5.3</v>
      </c>
      <c r="C9732">
        <v>9.7455599999999993</v>
      </c>
      <c r="D9732">
        <v>4.7105600000000001</v>
      </c>
      <c r="E9732" t="s">
        <v>14754</v>
      </c>
      <c r="F9732" t="s">
        <v>14757</v>
      </c>
      <c r="G9732" t="s">
        <v>2420</v>
      </c>
      <c r="H9732">
        <v>1990</v>
      </c>
      <c r="I9732">
        <v>26.1</v>
      </c>
      <c r="J9732">
        <v>8.4</v>
      </c>
      <c r="K9732">
        <v>78</v>
      </c>
      <c r="L9732">
        <v>8.67</v>
      </c>
      <c r="M9732">
        <v>32.200000000000003</v>
      </c>
      <c r="N9732">
        <v>21.5</v>
      </c>
      <c r="O9732">
        <v>10.7</v>
      </c>
      <c r="P9732">
        <v>24.8</v>
      </c>
      <c r="Q9732">
        <v>26.7</v>
      </c>
      <c r="R9732">
        <v>27</v>
      </c>
      <c r="S9732">
        <v>24.8</v>
      </c>
      <c r="T9732">
        <v>3052</v>
      </c>
      <c r="U9732">
        <v>481</v>
      </c>
      <c r="V9732">
        <v>35</v>
      </c>
      <c r="W9732">
        <v>62</v>
      </c>
      <c r="X9732">
        <v>1351</v>
      </c>
      <c r="Y9732">
        <v>156</v>
      </c>
      <c r="Z9732">
        <v>476</v>
      </c>
      <c r="AA9732">
        <v>1351</v>
      </c>
      <c r="AB9732">
        <v>12.97597</v>
      </c>
      <c r="AC9732">
        <v>1.14491E-2</v>
      </c>
      <c r="AD9732">
        <v>2.695703</v>
      </c>
      <c r="AE9732">
        <v>0.45313700000000001</v>
      </c>
      <c r="AF9732">
        <v>217.65440000000001</v>
      </c>
      <c r="AG9732">
        <f>IFERROR(AH9732*0.1, "N/A")</f>
        <v>5.2719300000000002</v>
      </c>
      <c r="AH9732">
        <v>52.719299999999997</v>
      </c>
      <c r="AI9732">
        <v>299.50810000000001</v>
      </c>
      <c r="AJ9732">
        <v>33.301749999999998</v>
      </c>
      <c r="AK9732">
        <v>44.957889999999999</v>
      </c>
    </row>
    <row r="9733" spans="1:37" x14ac:dyDescent="0.3">
      <c r="A9733">
        <v>9732</v>
      </c>
      <c r="B9733">
        <v>0</v>
      </c>
      <c r="C9733">
        <v>14.5944</v>
      </c>
      <c r="D9733">
        <v>4.7111099999999997</v>
      </c>
      <c r="E9733" t="s">
        <v>14758</v>
      </c>
      <c r="F9733" t="s">
        <v>14759</v>
      </c>
      <c r="G9733" t="s">
        <v>39</v>
      </c>
      <c r="H9733">
        <v>1990</v>
      </c>
      <c r="I9733">
        <v>23.8</v>
      </c>
      <c r="J9733">
        <v>10.7</v>
      </c>
      <c r="K9733">
        <v>75</v>
      </c>
      <c r="L9733">
        <v>7.94</v>
      </c>
      <c r="M9733">
        <v>31</v>
      </c>
      <c r="N9733">
        <v>16.899999999999999</v>
      </c>
      <c r="O9733">
        <v>14.1</v>
      </c>
      <c r="P9733">
        <v>23.1</v>
      </c>
      <c r="Q9733">
        <v>23.8</v>
      </c>
      <c r="R9733">
        <v>24.9</v>
      </c>
      <c r="S9733">
        <v>22.8</v>
      </c>
      <c r="T9733">
        <v>1442</v>
      </c>
      <c r="U9733">
        <v>236</v>
      </c>
      <c r="V9733">
        <v>22</v>
      </c>
      <c r="W9733">
        <v>53</v>
      </c>
      <c r="X9733">
        <v>588</v>
      </c>
      <c r="Y9733">
        <v>91</v>
      </c>
      <c r="Z9733">
        <v>274</v>
      </c>
      <c r="AA9733">
        <v>469</v>
      </c>
      <c r="AB9733">
        <v>25.25113</v>
      </c>
      <c r="AC9733">
        <v>8.5195600000000007E-3</v>
      </c>
      <c r="AD9733">
        <v>0.91606589999999999</v>
      </c>
      <c r="AE9733">
        <v>0.36415219999999998</v>
      </c>
      <c r="AF9733">
        <v>714.64670000000001</v>
      </c>
      <c r="AG9733">
        <f>IFERROR(AH9733*0.1, "N/A")</f>
        <v>5.4822500000000005</v>
      </c>
      <c r="AH9733">
        <v>54.822499999999998</v>
      </c>
      <c r="AI9733">
        <v>78.444940000000003</v>
      </c>
      <c r="AJ9733">
        <v>21.762740000000001</v>
      </c>
      <c r="AK9733">
        <v>60.769770000000001</v>
      </c>
    </row>
    <row r="9734" spans="1:37" x14ac:dyDescent="0.3">
      <c r="A9734">
        <v>9733</v>
      </c>
      <c r="B9734">
        <v>0</v>
      </c>
      <c r="C9734">
        <v>14.5944</v>
      </c>
      <c r="D9734">
        <v>4.7111099999999997</v>
      </c>
      <c r="E9734" t="s">
        <v>14758</v>
      </c>
      <c r="F9734" t="s">
        <v>14760</v>
      </c>
      <c r="G9734" t="s">
        <v>37</v>
      </c>
      <c r="H9734">
        <v>1990</v>
      </c>
      <c r="I9734">
        <v>23.8</v>
      </c>
      <c r="J9734">
        <v>10.7</v>
      </c>
      <c r="K9734">
        <v>75</v>
      </c>
      <c r="L9734">
        <v>7.94</v>
      </c>
      <c r="M9734">
        <v>31</v>
      </c>
      <c r="N9734">
        <v>16.899999999999999</v>
      </c>
      <c r="O9734">
        <v>14.1</v>
      </c>
      <c r="P9734">
        <v>23.1</v>
      </c>
      <c r="Q9734">
        <v>23.8</v>
      </c>
      <c r="R9734">
        <v>24.9</v>
      </c>
      <c r="S9734">
        <v>22.8</v>
      </c>
      <c r="T9734">
        <v>1442</v>
      </c>
      <c r="U9734">
        <v>236</v>
      </c>
      <c r="V9734">
        <v>22</v>
      </c>
      <c r="W9734">
        <v>53</v>
      </c>
      <c r="X9734">
        <v>588</v>
      </c>
      <c r="Y9734">
        <v>91</v>
      </c>
      <c r="Z9734">
        <v>274</v>
      </c>
      <c r="AA9734">
        <v>469</v>
      </c>
      <c r="AB9734">
        <v>25.25113</v>
      </c>
      <c r="AC9734">
        <v>8.5195600000000007E-3</v>
      </c>
      <c r="AD9734">
        <v>0.91606589999999999</v>
      </c>
      <c r="AE9734">
        <v>0.36415219999999998</v>
      </c>
      <c r="AF9734">
        <v>714.64670000000001</v>
      </c>
      <c r="AG9734">
        <f>IFERROR(AH9734*0.1, "N/A")</f>
        <v>5.4822500000000005</v>
      </c>
      <c r="AH9734">
        <v>54.822499999999998</v>
      </c>
      <c r="AI9734">
        <v>78.444940000000003</v>
      </c>
      <c r="AJ9734">
        <v>21.762740000000001</v>
      </c>
      <c r="AK9734">
        <v>60.769770000000001</v>
      </c>
    </row>
    <row r="9735" spans="1:37" x14ac:dyDescent="0.3">
      <c r="A9735">
        <v>9734</v>
      </c>
      <c r="B9735">
        <v>0</v>
      </c>
      <c r="C9735">
        <v>14.5944</v>
      </c>
      <c r="D9735">
        <v>4.7111099999999997</v>
      </c>
      <c r="E9735" t="s">
        <v>14758</v>
      </c>
      <c r="F9735" t="s">
        <v>14761</v>
      </c>
      <c r="G9735" t="s">
        <v>2420</v>
      </c>
      <c r="H9735">
        <v>1990</v>
      </c>
      <c r="I9735">
        <v>23.8</v>
      </c>
      <c r="J9735">
        <v>10.7</v>
      </c>
      <c r="K9735">
        <v>75</v>
      </c>
      <c r="L9735">
        <v>7.94</v>
      </c>
      <c r="M9735">
        <v>31</v>
      </c>
      <c r="N9735">
        <v>16.899999999999999</v>
      </c>
      <c r="O9735">
        <v>14.1</v>
      </c>
      <c r="P9735">
        <v>23.1</v>
      </c>
      <c r="Q9735">
        <v>23.8</v>
      </c>
      <c r="R9735">
        <v>24.9</v>
      </c>
      <c r="S9735">
        <v>22.8</v>
      </c>
      <c r="T9735">
        <v>1442</v>
      </c>
      <c r="U9735">
        <v>236</v>
      </c>
      <c r="V9735">
        <v>22</v>
      </c>
      <c r="W9735">
        <v>53</v>
      </c>
      <c r="X9735">
        <v>588</v>
      </c>
      <c r="Y9735">
        <v>91</v>
      </c>
      <c r="Z9735">
        <v>274</v>
      </c>
      <c r="AA9735">
        <v>469</v>
      </c>
      <c r="AB9735">
        <v>25.25113</v>
      </c>
      <c r="AC9735">
        <v>8.5195600000000007E-3</v>
      </c>
      <c r="AD9735">
        <v>0.91606589999999999</v>
      </c>
      <c r="AE9735">
        <v>0.36415219999999998</v>
      </c>
      <c r="AF9735">
        <v>714.64670000000001</v>
      </c>
      <c r="AG9735">
        <f>IFERROR(AH9735*0.1, "N/A")</f>
        <v>5.4822500000000005</v>
      </c>
      <c r="AH9735">
        <v>54.822499999999998</v>
      </c>
      <c r="AI9735">
        <v>78.444940000000003</v>
      </c>
      <c r="AJ9735">
        <v>21.762740000000001</v>
      </c>
      <c r="AK9735">
        <v>60.769770000000001</v>
      </c>
    </row>
    <row r="9736" spans="1:37" x14ac:dyDescent="0.3">
      <c r="A9736">
        <v>9735</v>
      </c>
      <c r="B9736">
        <v>1.9</v>
      </c>
      <c r="C9736">
        <v>9.7349999999999994</v>
      </c>
      <c r="D9736">
        <v>4.7140000000000004</v>
      </c>
      <c r="E9736" t="s">
        <v>14762</v>
      </c>
      <c r="F9736" t="s">
        <v>14763</v>
      </c>
      <c r="G9736" t="s">
        <v>39</v>
      </c>
      <c r="H9736">
        <v>1987</v>
      </c>
      <c r="I9736">
        <v>26.1</v>
      </c>
      <c r="J9736">
        <v>8.4</v>
      </c>
      <c r="K9736">
        <v>78</v>
      </c>
      <c r="L9736">
        <v>8.7100000000000009</v>
      </c>
      <c r="M9736">
        <v>32.200000000000003</v>
      </c>
      <c r="N9736">
        <v>21.5</v>
      </c>
      <c r="O9736">
        <v>10.7</v>
      </c>
      <c r="P9736">
        <v>24.8</v>
      </c>
      <c r="Q9736">
        <v>26.7</v>
      </c>
      <c r="R9736">
        <v>27</v>
      </c>
      <c r="S9736">
        <v>24.8</v>
      </c>
      <c r="T9736">
        <v>3055</v>
      </c>
      <c r="U9736">
        <v>481</v>
      </c>
      <c r="V9736">
        <v>35</v>
      </c>
      <c r="W9736">
        <v>62</v>
      </c>
      <c r="X9736">
        <v>1350</v>
      </c>
      <c r="Y9736">
        <v>157</v>
      </c>
      <c r="Z9736">
        <v>478</v>
      </c>
      <c r="AA9736">
        <v>1350</v>
      </c>
      <c r="AB9736">
        <v>26.975660000000001</v>
      </c>
      <c r="AC9736">
        <v>1.195119E-2</v>
      </c>
      <c r="AD9736">
        <v>2.4618709999999999</v>
      </c>
      <c r="AE9736">
        <v>0.77618690000000001</v>
      </c>
      <c r="AF9736">
        <v>236.66370000000001</v>
      </c>
      <c r="AG9736">
        <f>IFERROR(AH9736*0.1, "N/A")</f>
        <v>5.8446579999999999</v>
      </c>
      <c r="AH9736">
        <v>58.446579999999997</v>
      </c>
      <c r="AI9736">
        <v>91.852779999999996</v>
      </c>
      <c r="AJ9736">
        <v>28.644480000000001</v>
      </c>
      <c r="AK9736">
        <v>44.921190000000003</v>
      </c>
    </row>
    <row r="9737" spans="1:37" x14ac:dyDescent="0.3">
      <c r="A9737">
        <v>9736</v>
      </c>
      <c r="B9737">
        <v>62.9</v>
      </c>
      <c r="C9737">
        <v>9.7463899999999999</v>
      </c>
      <c r="D9737">
        <v>4.7161099999999996</v>
      </c>
      <c r="E9737" t="s">
        <v>14764</v>
      </c>
      <c r="F9737" t="s">
        <v>14765</v>
      </c>
      <c r="G9737" t="s">
        <v>39</v>
      </c>
      <c r="H9737">
        <v>2003</v>
      </c>
      <c r="I9737">
        <v>26.1</v>
      </c>
      <c r="J9737">
        <v>8.4</v>
      </c>
      <c r="K9737">
        <v>78</v>
      </c>
      <c r="L9737">
        <v>8.67</v>
      </c>
      <c r="M9737">
        <v>32.200000000000003</v>
      </c>
      <c r="N9737">
        <v>21.5</v>
      </c>
      <c r="O9737">
        <v>10.7</v>
      </c>
      <c r="P9737">
        <v>24.8</v>
      </c>
      <c r="Q9737">
        <v>26.7</v>
      </c>
      <c r="R9737">
        <v>27</v>
      </c>
      <c r="S9737">
        <v>24.8</v>
      </c>
      <c r="T9737">
        <v>3052</v>
      </c>
      <c r="U9737">
        <v>481</v>
      </c>
      <c r="V9737">
        <v>35</v>
      </c>
      <c r="W9737">
        <v>62</v>
      </c>
      <c r="X9737">
        <v>1351</v>
      </c>
      <c r="Y9737">
        <v>156</v>
      </c>
      <c r="Z9737">
        <v>476</v>
      </c>
      <c r="AA9737">
        <v>1351</v>
      </c>
      <c r="AB9737">
        <v>1.105594</v>
      </c>
      <c r="AC9737">
        <v>0.72724860000000002</v>
      </c>
      <c r="AD9737">
        <v>1.5283739999999999</v>
      </c>
      <c r="AE9737">
        <v>0.4308283</v>
      </c>
      <c r="AF9737">
        <v>222.69929999999999</v>
      </c>
      <c r="AG9737">
        <f>IFERROR(AH9737*0.1, "N/A")</f>
        <v>5.2031470000000004</v>
      </c>
      <c r="AH9737">
        <v>52.031469999999999</v>
      </c>
      <c r="AI9737">
        <v>270.83120000000002</v>
      </c>
      <c r="AJ9737">
        <v>34.461539999999999</v>
      </c>
      <c r="AK9737">
        <v>42.132869999999997</v>
      </c>
    </row>
    <row r="9738" spans="1:37" x14ac:dyDescent="0.3">
      <c r="A9738">
        <v>9737</v>
      </c>
      <c r="B9738">
        <v>0</v>
      </c>
      <c r="C9738">
        <v>9.7463899999999999</v>
      </c>
      <c r="D9738">
        <v>4.7161099999999996</v>
      </c>
      <c r="E9738" t="s">
        <v>14764</v>
      </c>
      <c r="F9738" t="s">
        <v>14766</v>
      </c>
      <c r="G9738" t="s">
        <v>37</v>
      </c>
      <c r="H9738">
        <v>2003</v>
      </c>
      <c r="I9738">
        <v>26.1</v>
      </c>
      <c r="J9738">
        <v>8.4</v>
      </c>
      <c r="K9738">
        <v>78</v>
      </c>
      <c r="L9738">
        <v>8.67</v>
      </c>
      <c r="M9738">
        <v>32.200000000000003</v>
      </c>
      <c r="N9738">
        <v>21.5</v>
      </c>
      <c r="O9738">
        <v>10.7</v>
      </c>
      <c r="P9738">
        <v>24.8</v>
      </c>
      <c r="Q9738">
        <v>26.7</v>
      </c>
      <c r="R9738">
        <v>27</v>
      </c>
      <c r="S9738">
        <v>24.8</v>
      </c>
      <c r="T9738">
        <v>3052</v>
      </c>
      <c r="U9738">
        <v>481</v>
      </c>
      <c r="V9738">
        <v>35</v>
      </c>
      <c r="W9738">
        <v>62</v>
      </c>
      <c r="X9738">
        <v>1351</v>
      </c>
      <c r="Y9738">
        <v>156</v>
      </c>
      <c r="Z9738">
        <v>476</v>
      </c>
      <c r="AA9738">
        <v>1351</v>
      </c>
      <c r="AB9738">
        <v>1.105594</v>
      </c>
      <c r="AC9738">
        <v>0.72724860000000002</v>
      </c>
      <c r="AD9738">
        <v>1.5283739999999999</v>
      </c>
      <c r="AE9738">
        <v>0.4308283</v>
      </c>
      <c r="AF9738">
        <v>222.69929999999999</v>
      </c>
      <c r="AG9738">
        <f>IFERROR(AH9738*0.1, "N/A")</f>
        <v>5.2031470000000004</v>
      </c>
      <c r="AH9738">
        <v>52.031469999999999</v>
      </c>
      <c r="AI9738">
        <v>270.83120000000002</v>
      </c>
      <c r="AJ9738">
        <v>34.461539999999999</v>
      </c>
      <c r="AK9738">
        <v>42.132869999999997</v>
      </c>
    </row>
    <row r="9739" spans="1:37" x14ac:dyDescent="0.3">
      <c r="A9739">
        <v>9738</v>
      </c>
      <c r="B9739">
        <v>36.5</v>
      </c>
      <c r="C9739">
        <v>9.7344399999999993</v>
      </c>
      <c r="D9739">
        <v>4.7183299999999999</v>
      </c>
      <c r="E9739" t="s">
        <v>14767</v>
      </c>
      <c r="F9739" t="s">
        <v>14768</v>
      </c>
      <c r="G9739" t="s">
        <v>39</v>
      </c>
      <c r="H9739">
        <v>2004</v>
      </c>
      <c r="I9739">
        <v>26.2</v>
      </c>
      <c r="J9739">
        <v>8.4</v>
      </c>
      <c r="K9739">
        <v>77</v>
      </c>
      <c r="L9739">
        <v>8.7899999999999991</v>
      </c>
      <c r="M9739">
        <v>32.299999999999997</v>
      </c>
      <c r="N9739">
        <v>21.5</v>
      </c>
      <c r="O9739">
        <v>10.8</v>
      </c>
      <c r="P9739">
        <v>24.8</v>
      </c>
      <c r="Q9739">
        <v>26.8</v>
      </c>
      <c r="R9739">
        <v>27.1</v>
      </c>
      <c r="S9739">
        <v>24.8</v>
      </c>
      <c r="T9739">
        <v>3056</v>
      </c>
      <c r="U9739">
        <v>480</v>
      </c>
      <c r="V9739">
        <v>36</v>
      </c>
      <c r="W9739">
        <v>62</v>
      </c>
      <c r="X9739">
        <v>1349</v>
      </c>
      <c r="Y9739">
        <v>158</v>
      </c>
      <c r="Z9739">
        <v>479</v>
      </c>
      <c r="AA9739">
        <v>1349</v>
      </c>
      <c r="AB9739">
        <v>3.422593</v>
      </c>
      <c r="AC9739">
        <v>3.2453280000000002</v>
      </c>
      <c r="AD9739">
        <v>3.0748069999999998</v>
      </c>
      <c r="AE9739">
        <v>0.77618690000000001</v>
      </c>
      <c r="AF9739">
        <v>230.81440000000001</v>
      </c>
      <c r="AG9739">
        <f>IFERROR(AH9739*0.1, "N/A")</f>
        <v>5.5898420000000009</v>
      </c>
      <c r="AH9739">
        <v>55.898420000000002</v>
      </c>
      <c r="AI9739">
        <v>96.829509999999999</v>
      </c>
      <c r="AJ9739">
        <v>27.327500000000001</v>
      </c>
      <c r="AK9739">
        <v>45.600700000000003</v>
      </c>
    </row>
    <row r="9740" spans="1:37" x14ac:dyDescent="0.3">
      <c r="A9740">
        <v>9739</v>
      </c>
      <c r="B9740">
        <v>40</v>
      </c>
      <c r="C9740">
        <v>9.7324999999999999</v>
      </c>
      <c r="D9740">
        <v>4.72</v>
      </c>
      <c r="E9740" t="s">
        <v>14769</v>
      </c>
      <c r="F9740" t="s">
        <v>14770</v>
      </c>
      <c r="G9740" t="s">
        <v>39</v>
      </c>
      <c r="H9740">
        <v>2004</v>
      </c>
      <c r="I9740">
        <v>26.001059999999999</v>
      </c>
      <c r="J9740">
        <v>8.4</v>
      </c>
      <c r="K9740">
        <v>77</v>
      </c>
      <c r="L9740">
        <v>8.8695769999999996</v>
      </c>
      <c r="M9740">
        <v>32.200530000000001</v>
      </c>
      <c r="N9740">
        <v>21.30106</v>
      </c>
      <c r="O9740">
        <v>10.899470000000001</v>
      </c>
      <c r="P9740">
        <v>24.60106</v>
      </c>
      <c r="Q9740">
        <v>26.60106</v>
      </c>
      <c r="R9740">
        <v>26.901060000000001</v>
      </c>
      <c r="S9740">
        <v>24.60106</v>
      </c>
      <c r="T9740">
        <v>3076.8890000000001</v>
      </c>
      <c r="U9740">
        <v>486.96300000000002</v>
      </c>
      <c r="V9740">
        <v>36</v>
      </c>
      <c r="W9740">
        <v>62</v>
      </c>
      <c r="X9740">
        <v>1357.952</v>
      </c>
      <c r="Y9740">
        <v>160.98410000000001</v>
      </c>
      <c r="Z9740">
        <v>480.98939999999999</v>
      </c>
      <c r="AA9740">
        <v>1357.952</v>
      </c>
      <c r="AB9740">
        <v>1.0564370000000001</v>
      </c>
      <c r="AC9740">
        <v>3.3826589999999999</v>
      </c>
      <c r="AD9740">
        <v>3.561461</v>
      </c>
      <c r="AE9740">
        <v>0.76169370000000003</v>
      </c>
      <c r="AF9740">
        <v>239.74430000000001</v>
      </c>
      <c r="AG9740">
        <f>IFERROR(AH9740*0.1, "N/A")</f>
        <v>5.5003530000000005</v>
      </c>
      <c r="AH9740">
        <v>55.003529999999998</v>
      </c>
      <c r="AI9740">
        <v>105.44</v>
      </c>
      <c r="AJ9740">
        <v>27.001760000000001</v>
      </c>
      <c r="AK9740">
        <v>46.44444</v>
      </c>
    </row>
    <row r="9741" spans="1:37" x14ac:dyDescent="0.3">
      <c r="A9741">
        <v>9740</v>
      </c>
      <c r="B9741">
        <v>0</v>
      </c>
      <c r="C9741">
        <v>13.3889</v>
      </c>
      <c r="D9741">
        <v>4.7222200000000001</v>
      </c>
      <c r="E9741" t="s">
        <v>14771</v>
      </c>
      <c r="F9741" t="s">
        <v>14772</v>
      </c>
      <c r="G9741" t="s">
        <v>39</v>
      </c>
      <c r="H9741">
        <v>1990</v>
      </c>
      <c r="I9741">
        <v>23.5</v>
      </c>
      <c r="J9741">
        <v>10</v>
      </c>
      <c r="K9741">
        <v>78</v>
      </c>
      <c r="L9741">
        <v>7.01</v>
      </c>
      <c r="M9741">
        <v>30.3</v>
      </c>
      <c r="N9741">
        <v>17.5</v>
      </c>
      <c r="O9741">
        <v>12.8</v>
      </c>
      <c r="P9741">
        <v>22.9</v>
      </c>
      <c r="Q9741">
        <v>23.6</v>
      </c>
      <c r="R9741">
        <v>24.4</v>
      </c>
      <c r="S9741">
        <v>22.6</v>
      </c>
      <c r="T9741">
        <v>1551</v>
      </c>
      <c r="U9741">
        <v>279</v>
      </c>
      <c r="V9741">
        <v>18</v>
      </c>
      <c r="W9741">
        <v>62</v>
      </c>
      <c r="X9741">
        <v>678</v>
      </c>
      <c r="Y9741">
        <v>75</v>
      </c>
      <c r="Z9741">
        <v>284</v>
      </c>
      <c r="AA9741">
        <v>431</v>
      </c>
      <c r="AB9741">
        <v>5.5299480000000001</v>
      </c>
      <c r="AC9741">
        <v>0.36170829999999998</v>
      </c>
      <c r="AD9741">
        <v>5.9393659999999997</v>
      </c>
      <c r="AE9741">
        <v>0.16516349999999999</v>
      </c>
      <c r="AF9741">
        <v>686.31870000000004</v>
      </c>
      <c r="AG9741">
        <f>IFERROR(AH9741*0.1, "N/A")</f>
        <v>5.1802100000000006</v>
      </c>
      <c r="AH9741">
        <v>51.802100000000003</v>
      </c>
      <c r="AI9741">
        <v>304.98989999999998</v>
      </c>
      <c r="AJ9741">
        <v>36.267949999999999</v>
      </c>
      <c r="AK9741">
        <v>52.639229999999998</v>
      </c>
    </row>
    <row r="9742" spans="1:37" x14ac:dyDescent="0.3">
      <c r="A9742">
        <v>9741</v>
      </c>
      <c r="B9742">
        <v>0</v>
      </c>
      <c r="C9742">
        <v>13.3889</v>
      </c>
      <c r="D9742">
        <v>4.7222200000000001</v>
      </c>
      <c r="E9742" t="s">
        <v>14771</v>
      </c>
      <c r="F9742" t="s">
        <v>14773</v>
      </c>
      <c r="G9742" t="s">
        <v>37</v>
      </c>
      <c r="H9742">
        <v>1990</v>
      </c>
      <c r="I9742">
        <v>23.5</v>
      </c>
      <c r="J9742">
        <v>10</v>
      </c>
      <c r="K9742">
        <v>78</v>
      </c>
      <c r="L9742">
        <v>7.01</v>
      </c>
      <c r="M9742">
        <v>30.3</v>
      </c>
      <c r="N9742">
        <v>17.5</v>
      </c>
      <c r="O9742">
        <v>12.8</v>
      </c>
      <c r="P9742">
        <v>22.9</v>
      </c>
      <c r="Q9742">
        <v>23.6</v>
      </c>
      <c r="R9742">
        <v>24.4</v>
      </c>
      <c r="S9742">
        <v>22.6</v>
      </c>
      <c r="T9742">
        <v>1551</v>
      </c>
      <c r="U9742">
        <v>279</v>
      </c>
      <c r="V9742">
        <v>18</v>
      </c>
      <c r="W9742">
        <v>62</v>
      </c>
      <c r="X9742">
        <v>678</v>
      </c>
      <c r="Y9742">
        <v>75</v>
      </c>
      <c r="Z9742">
        <v>284</v>
      </c>
      <c r="AA9742">
        <v>431</v>
      </c>
      <c r="AB9742">
        <v>5.5299480000000001</v>
      </c>
      <c r="AC9742">
        <v>0.36170829999999998</v>
      </c>
      <c r="AD9742">
        <v>5.9393659999999997</v>
      </c>
      <c r="AE9742">
        <v>0.16516349999999999</v>
      </c>
      <c r="AF9742">
        <v>686.31870000000004</v>
      </c>
      <c r="AG9742">
        <f>IFERROR(AH9742*0.1, "N/A")</f>
        <v>5.1802100000000006</v>
      </c>
      <c r="AH9742">
        <v>51.802100000000003</v>
      </c>
      <c r="AI9742">
        <v>304.98989999999998</v>
      </c>
      <c r="AJ9742">
        <v>36.267949999999999</v>
      </c>
      <c r="AK9742">
        <v>52.639229999999998</v>
      </c>
    </row>
    <row r="9743" spans="1:37" x14ac:dyDescent="0.3">
      <c r="A9743">
        <v>9742</v>
      </c>
      <c r="B9743">
        <v>0</v>
      </c>
      <c r="C9743">
        <v>13.3889</v>
      </c>
      <c r="D9743">
        <v>4.7222200000000001</v>
      </c>
      <c r="E9743" t="s">
        <v>14771</v>
      </c>
      <c r="F9743" t="s">
        <v>14774</v>
      </c>
      <c r="G9743" t="s">
        <v>2420</v>
      </c>
      <c r="H9743">
        <v>1990</v>
      </c>
      <c r="I9743">
        <v>23.5</v>
      </c>
      <c r="J9743">
        <v>10</v>
      </c>
      <c r="K9743">
        <v>78</v>
      </c>
      <c r="L9743">
        <v>7.01</v>
      </c>
      <c r="M9743">
        <v>30.3</v>
      </c>
      <c r="N9743">
        <v>17.5</v>
      </c>
      <c r="O9743">
        <v>12.8</v>
      </c>
      <c r="P9743">
        <v>22.9</v>
      </c>
      <c r="Q9743">
        <v>23.6</v>
      </c>
      <c r="R9743">
        <v>24.4</v>
      </c>
      <c r="S9743">
        <v>22.6</v>
      </c>
      <c r="T9743">
        <v>1551</v>
      </c>
      <c r="U9743">
        <v>279</v>
      </c>
      <c r="V9743">
        <v>18</v>
      </c>
      <c r="W9743">
        <v>62</v>
      </c>
      <c r="X9743">
        <v>678</v>
      </c>
      <c r="Y9743">
        <v>75</v>
      </c>
      <c r="Z9743">
        <v>284</v>
      </c>
      <c r="AA9743">
        <v>431</v>
      </c>
      <c r="AB9743">
        <v>5.5299480000000001</v>
      </c>
      <c r="AC9743">
        <v>0.36170829999999998</v>
      </c>
      <c r="AD9743">
        <v>5.9393659999999997</v>
      </c>
      <c r="AE9743">
        <v>0.16516349999999999</v>
      </c>
      <c r="AF9743">
        <v>686.31870000000004</v>
      </c>
      <c r="AG9743">
        <f>IFERROR(AH9743*0.1, "N/A")</f>
        <v>5.1802100000000006</v>
      </c>
      <c r="AH9743">
        <v>51.802100000000003</v>
      </c>
      <c r="AI9743">
        <v>304.98989999999998</v>
      </c>
      <c r="AJ9743">
        <v>36.267949999999999</v>
      </c>
      <c r="AK9743">
        <v>52.639229999999998</v>
      </c>
    </row>
    <row r="9744" spans="1:37" x14ac:dyDescent="0.3">
      <c r="A9744">
        <v>9743</v>
      </c>
      <c r="B9744">
        <v>0</v>
      </c>
      <c r="C9744">
        <v>11.230600000000001</v>
      </c>
      <c r="D9744">
        <v>4.74444</v>
      </c>
      <c r="E9744" t="s">
        <v>14775</v>
      </c>
      <c r="F9744" t="s">
        <v>14776</v>
      </c>
      <c r="G9744" t="s">
        <v>39</v>
      </c>
      <c r="H9744">
        <v>1990</v>
      </c>
      <c r="I9744">
        <v>25.2</v>
      </c>
      <c r="J9744">
        <v>9.1999999999999993</v>
      </c>
      <c r="K9744">
        <v>76</v>
      </c>
      <c r="L9744">
        <v>8.83</v>
      </c>
      <c r="M9744">
        <v>32.200000000000003</v>
      </c>
      <c r="N9744">
        <v>20.2</v>
      </c>
      <c r="O9744">
        <v>12</v>
      </c>
      <c r="P9744">
        <v>24.3</v>
      </c>
      <c r="Q9744">
        <v>26.1</v>
      </c>
      <c r="R9744">
        <v>26.2</v>
      </c>
      <c r="S9744">
        <v>24.1</v>
      </c>
      <c r="T9744">
        <v>1546</v>
      </c>
      <c r="U9744">
        <v>300</v>
      </c>
      <c r="V9744">
        <v>8</v>
      </c>
      <c r="W9744">
        <v>68</v>
      </c>
      <c r="X9744">
        <v>719</v>
      </c>
      <c r="Y9744">
        <v>43</v>
      </c>
      <c r="Z9744">
        <v>280</v>
      </c>
      <c r="AA9744">
        <v>550</v>
      </c>
      <c r="AB9744">
        <v>18.297720000000002</v>
      </c>
      <c r="AC9744">
        <v>3.6811759999999999E-2</v>
      </c>
      <c r="AD9744">
        <v>6.0322089999999999</v>
      </c>
      <c r="AE9744">
        <v>0.8332406</v>
      </c>
      <c r="AF9744">
        <v>488.02980000000002</v>
      </c>
      <c r="AG9744">
        <f>IFERROR(AH9744*0.1, "N/A")</f>
        <v>5.5</v>
      </c>
      <c r="AH9744">
        <v>55</v>
      </c>
      <c r="AI9744">
        <v>134.42699999999999</v>
      </c>
      <c r="AJ9744">
        <v>19.836839999999999</v>
      </c>
      <c r="AK9744">
        <v>65</v>
      </c>
    </row>
    <row r="9745" spans="1:37" x14ac:dyDescent="0.3">
      <c r="A9745">
        <v>9744</v>
      </c>
      <c r="B9745">
        <v>14.5</v>
      </c>
      <c r="C9745">
        <v>11.230600000000001</v>
      </c>
      <c r="D9745">
        <v>4.74444</v>
      </c>
      <c r="E9745" t="s">
        <v>14775</v>
      </c>
      <c r="F9745" t="s">
        <v>14777</v>
      </c>
      <c r="G9745" t="s">
        <v>37</v>
      </c>
      <c r="H9745">
        <v>1990</v>
      </c>
      <c r="I9745">
        <v>25.2</v>
      </c>
      <c r="J9745">
        <v>9.1999999999999993</v>
      </c>
      <c r="K9745">
        <v>76</v>
      </c>
      <c r="L9745">
        <v>8.83</v>
      </c>
      <c r="M9745">
        <v>32.200000000000003</v>
      </c>
      <c r="N9745">
        <v>20.2</v>
      </c>
      <c r="O9745">
        <v>12</v>
      </c>
      <c r="P9745">
        <v>24.3</v>
      </c>
      <c r="Q9745">
        <v>26.1</v>
      </c>
      <c r="R9745">
        <v>26.2</v>
      </c>
      <c r="S9745">
        <v>24.1</v>
      </c>
      <c r="T9745">
        <v>1546</v>
      </c>
      <c r="U9745">
        <v>300</v>
      </c>
      <c r="V9745">
        <v>8</v>
      </c>
      <c r="W9745">
        <v>68</v>
      </c>
      <c r="X9745">
        <v>719</v>
      </c>
      <c r="Y9745">
        <v>43</v>
      </c>
      <c r="Z9745">
        <v>280</v>
      </c>
      <c r="AA9745">
        <v>550</v>
      </c>
      <c r="AB9745">
        <v>18.297720000000002</v>
      </c>
      <c r="AC9745">
        <v>3.6811759999999999E-2</v>
      </c>
      <c r="AD9745">
        <v>6.0322089999999999</v>
      </c>
      <c r="AE9745">
        <v>0.8332406</v>
      </c>
      <c r="AF9745">
        <v>488.02980000000002</v>
      </c>
      <c r="AG9745">
        <f>IFERROR(AH9745*0.1, "N/A")</f>
        <v>5.5</v>
      </c>
      <c r="AH9745">
        <v>55</v>
      </c>
      <c r="AI9745">
        <v>134.42699999999999</v>
      </c>
      <c r="AJ9745">
        <v>19.836839999999999</v>
      </c>
      <c r="AK9745">
        <v>65</v>
      </c>
    </row>
    <row r="9746" spans="1:37" x14ac:dyDescent="0.3">
      <c r="A9746">
        <v>9745</v>
      </c>
      <c r="B9746">
        <v>2.6</v>
      </c>
      <c r="C9746">
        <v>11.230600000000001</v>
      </c>
      <c r="D9746">
        <v>4.74444</v>
      </c>
      <c r="E9746" t="s">
        <v>14775</v>
      </c>
      <c r="F9746" t="s">
        <v>14778</v>
      </c>
      <c r="G9746" t="s">
        <v>2420</v>
      </c>
      <c r="H9746">
        <v>1990</v>
      </c>
      <c r="I9746">
        <v>25.2</v>
      </c>
      <c r="J9746">
        <v>9.1999999999999993</v>
      </c>
      <c r="K9746">
        <v>76</v>
      </c>
      <c r="L9746">
        <v>8.83</v>
      </c>
      <c r="M9746">
        <v>32.200000000000003</v>
      </c>
      <c r="N9746">
        <v>20.2</v>
      </c>
      <c r="O9746">
        <v>12</v>
      </c>
      <c r="P9746">
        <v>24.3</v>
      </c>
      <c r="Q9746">
        <v>26.1</v>
      </c>
      <c r="R9746">
        <v>26.2</v>
      </c>
      <c r="S9746">
        <v>24.1</v>
      </c>
      <c r="T9746">
        <v>1546</v>
      </c>
      <c r="U9746">
        <v>300</v>
      </c>
      <c r="V9746">
        <v>8</v>
      </c>
      <c r="W9746">
        <v>68</v>
      </c>
      <c r="X9746">
        <v>719</v>
      </c>
      <c r="Y9746">
        <v>43</v>
      </c>
      <c r="Z9746">
        <v>280</v>
      </c>
      <c r="AA9746">
        <v>550</v>
      </c>
      <c r="AB9746">
        <v>18.297720000000002</v>
      </c>
      <c r="AC9746">
        <v>3.6811759999999999E-2</v>
      </c>
      <c r="AD9746">
        <v>6.0322089999999999</v>
      </c>
      <c r="AE9746">
        <v>0.8332406</v>
      </c>
      <c r="AF9746">
        <v>488.02980000000002</v>
      </c>
      <c r="AG9746">
        <f>IFERROR(AH9746*0.1, "N/A")</f>
        <v>5.5</v>
      </c>
      <c r="AH9746">
        <v>55</v>
      </c>
      <c r="AI9746">
        <v>134.42699999999999</v>
      </c>
      <c r="AJ9746">
        <v>19.836839999999999</v>
      </c>
      <c r="AK9746">
        <v>65</v>
      </c>
    </row>
    <row r="9747" spans="1:37" x14ac:dyDescent="0.3">
      <c r="A9747">
        <v>9746</v>
      </c>
      <c r="B9747">
        <v>18.600000000000001</v>
      </c>
      <c r="C9747">
        <v>11.2333</v>
      </c>
      <c r="D9747">
        <v>4.75</v>
      </c>
      <c r="E9747" t="s">
        <v>14779</v>
      </c>
      <c r="F9747" t="s">
        <v>14780</v>
      </c>
      <c r="G9747" t="s">
        <v>37</v>
      </c>
      <c r="H9747">
        <v>1982</v>
      </c>
      <c r="I9747">
        <v>25.188459999999999</v>
      </c>
      <c r="J9747">
        <v>9.2157339999999994</v>
      </c>
      <c r="K9747">
        <v>75.884619999999998</v>
      </c>
      <c r="L9747">
        <v>8.8770980000000002</v>
      </c>
      <c r="M9747">
        <v>32.200000000000003</v>
      </c>
      <c r="N9747">
        <v>20.14546</v>
      </c>
      <c r="O9747">
        <v>12.054550000000001</v>
      </c>
      <c r="P9747">
        <v>24.272729999999999</v>
      </c>
      <c r="Q9747">
        <v>26.033570000000001</v>
      </c>
      <c r="R9747">
        <v>26.215730000000001</v>
      </c>
      <c r="S9747">
        <v>24.07273</v>
      </c>
      <c r="T9747">
        <v>1543.7660000000001</v>
      </c>
      <c r="U9747">
        <v>299.60840000000002</v>
      </c>
      <c r="V9747">
        <v>8</v>
      </c>
      <c r="W9747">
        <v>68</v>
      </c>
      <c r="X9747">
        <v>717.66430000000003</v>
      </c>
      <c r="Y9747">
        <v>43</v>
      </c>
      <c r="Z9747">
        <v>280</v>
      </c>
      <c r="AA9747">
        <v>548.93709999999999</v>
      </c>
      <c r="AB9747">
        <v>4.2914279999999998</v>
      </c>
      <c r="AC9747">
        <v>0.2858347</v>
      </c>
      <c r="AD9747">
        <v>4.084765</v>
      </c>
      <c r="AE9747">
        <v>0.80020049999999998</v>
      </c>
      <c r="AF9747">
        <v>478.5385</v>
      </c>
      <c r="AG9747">
        <f>IFERROR(AH9747*0.1, "N/A")</f>
        <v>5.4003500000000004</v>
      </c>
      <c r="AH9747">
        <v>54.003500000000003</v>
      </c>
      <c r="AI9747">
        <v>154.81800000000001</v>
      </c>
      <c r="AJ9747">
        <v>22.779720000000001</v>
      </c>
      <c r="AK9747">
        <v>63.169580000000003</v>
      </c>
    </row>
    <row r="9748" spans="1:37" x14ac:dyDescent="0.3">
      <c r="A9748">
        <v>9747</v>
      </c>
      <c r="B9748">
        <v>0</v>
      </c>
      <c r="C9748">
        <v>10.8222</v>
      </c>
      <c r="D9748">
        <v>4.75556</v>
      </c>
      <c r="E9748" t="s">
        <v>14781</v>
      </c>
      <c r="F9748" t="s">
        <v>14782</v>
      </c>
      <c r="G9748" t="s">
        <v>39</v>
      </c>
      <c r="H9748">
        <v>1990</v>
      </c>
      <c r="I9748">
        <v>23.1</v>
      </c>
      <c r="J9748">
        <v>9.1999999999999993</v>
      </c>
      <c r="K9748">
        <v>74</v>
      </c>
      <c r="L9748">
        <v>9.3800000000000008</v>
      </c>
      <c r="M9748">
        <v>30.1</v>
      </c>
      <c r="N9748">
        <v>17.8</v>
      </c>
      <c r="O9748">
        <v>12.3</v>
      </c>
      <c r="P9748">
        <v>22.1</v>
      </c>
      <c r="Q9748">
        <v>23.9</v>
      </c>
      <c r="R9748">
        <v>24.2</v>
      </c>
      <c r="S9748">
        <v>21.8</v>
      </c>
      <c r="T9748">
        <v>2007</v>
      </c>
      <c r="U9748">
        <v>358</v>
      </c>
      <c r="V9748">
        <v>9</v>
      </c>
      <c r="W9748">
        <v>69</v>
      </c>
      <c r="X9748">
        <v>983</v>
      </c>
      <c r="Y9748">
        <v>52</v>
      </c>
      <c r="Z9748">
        <v>321</v>
      </c>
      <c r="AA9748">
        <v>891</v>
      </c>
      <c r="AB9748">
        <v>51.073189999999997</v>
      </c>
      <c r="AC9748">
        <v>8.5637790000000005E-3</v>
      </c>
      <c r="AD9748">
        <v>3.7075209999999998</v>
      </c>
      <c r="AE9748">
        <v>0.44240780000000002</v>
      </c>
      <c r="AF9748">
        <v>855.21889999999996</v>
      </c>
      <c r="AG9748">
        <f>IFERROR(AH9748*0.1, "N/A")</f>
        <v>5.0984240000000005</v>
      </c>
      <c r="AH9748">
        <v>50.98424</v>
      </c>
      <c r="AI9748">
        <v>62.731180000000002</v>
      </c>
      <c r="AJ9748">
        <v>34.331000000000003</v>
      </c>
      <c r="AK9748">
        <v>50.653239999999997</v>
      </c>
    </row>
    <row r="9749" spans="1:37" x14ac:dyDescent="0.3">
      <c r="A9749">
        <v>9748</v>
      </c>
      <c r="B9749">
        <v>35.700000000000003</v>
      </c>
      <c r="C9749">
        <v>10.8222</v>
      </c>
      <c r="D9749">
        <v>4.75556</v>
      </c>
      <c r="E9749" t="s">
        <v>14781</v>
      </c>
      <c r="F9749" t="s">
        <v>14783</v>
      </c>
      <c r="G9749" t="s">
        <v>37</v>
      </c>
      <c r="H9749">
        <v>1990</v>
      </c>
      <c r="I9749">
        <v>23.1</v>
      </c>
      <c r="J9749">
        <v>9.1999999999999993</v>
      </c>
      <c r="K9749">
        <v>74</v>
      </c>
      <c r="L9749">
        <v>9.3800000000000008</v>
      </c>
      <c r="M9749">
        <v>30.1</v>
      </c>
      <c r="N9749">
        <v>17.8</v>
      </c>
      <c r="O9749">
        <v>12.3</v>
      </c>
      <c r="P9749">
        <v>22.1</v>
      </c>
      <c r="Q9749">
        <v>23.9</v>
      </c>
      <c r="R9749">
        <v>24.2</v>
      </c>
      <c r="S9749">
        <v>21.8</v>
      </c>
      <c r="T9749">
        <v>2007</v>
      </c>
      <c r="U9749">
        <v>358</v>
      </c>
      <c r="V9749">
        <v>9</v>
      </c>
      <c r="W9749">
        <v>69</v>
      </c>
      <c r="X9749">
        <v>983</v>
      </c>
      <c r="Y9749">
        <v>52</v>
      </c>
      <c r="Z9749">
        <v>321</v>
      </c>
      <c r="AA9749">
        <v>891</v>
      </c>
      <c r="AB9749">
        <v>51.073189999999997</v>
      </c>
      <c r="AC9749">
        <v>8.5637790000000005E-3</v>
      </c>
      <c r="AD9749">
        <v>3.7075209999999998</v>
      </c>
      <c r="AE9749">
        <v>0.44240780000000002</v>
      </c>
      <c r="AF9749">
        <v>855.21889999999996</v>
      </c>
      <c r="AG9749">
        <f>IFERROR(AH9749*0.1, "N/A")</f>
        <v>5.0984240000000005</v>
      </c>
      <c r="AH9749">
        <v>50.98424</v>
      </c>
      <c r="AI9749">
        <v>62.731180000000002</v>
      </c>
      <c r="AJ9749">
        <v>34.331000000000003</v>
      </c>
      <c r="AK9749">
        <v>50.653239999999997</v>
      </c>
    </row>
    <row r="9750" spans="1:37" x14ac:dyDescent="0.3">
      <c r="A9750">
        <v>9749</v>
      </c>
      <c r="B9750">
        <v>0</v>
      </c>
      <c r="C9750">
        <v>10.8222</v>
      </c>
      <c r="D9750">
        <v>4.75556</v>
      </c>
      <c r="E9750" t="s">
        <v>14781</v>
      </c>
      <c r="F9750" t="s">
        <v>14784</v>
      </c>
      <c r="G9750" t="s">
        <v>2420</v>
      </c>
      <c r="H9750">
        <v>1990</v>
      </c>
      <c r="I9750">
        <v>23.1</v>
      </c>
      <c r="J9750">
        <v>9.1999999999999993</v>
      </c>
      <c r="K9750">
        <v>74</v>
      </c>
      <c r="L9750">
        <v>9.3800000000000008</v>
      </c>
      <c r="M9750">
        <v>30.1</v>
      </c>
      <c r="N9750">
        <v>17.8</v>
      </c>
      <c r="O9750">
        <v>12.3</v>
      </c>
      <c r="P9750">
        <v>22.1</v>
      </c>
      <c r="Q9750">
        <v>23.9</v>
      </c>
      <c r="R9750">
        <v>24.2</v>
      </c>
      <c r="S9750">
        <v>21.8</v>
      </c>
      <c r="T9750">
        <v>2007</v>
      </c>
      <c r="U9750">
        <v>358</v>
      </c>
      <c r="V9750">
        <v>9</v>
      </c>
      <c r="W9750">
        <v>69</v>
      </c>
      <c r="X9750">
        <v>983</v>
      </c>
      <c r="Y9750">
        <v>52</v>
      </c>
      <c r="Z9750">
        <v>321</v>
      </c>
      <c r="AA9750">
        <v>891</v>
      </c>
      <c r="AB9750">
        <v>51.073189999999997</v>
      </c>
      <c r="AC9750">
        <v>8.5637790000000005E-3</v>
      </c>
      <c r="AD9750">
        <v>3.7075209999999998</v>
      </c>
      <c r="AE9750">
        <v>0.44240780000000002</v>
      </c>
      <c r="AF9750">
        <v>855.21889999999996</v>
      </c>
      <c r="AG9750">
        <f>IFERROR(AH9750*0.1, "N/A")</f>
        <v>5.0984240000000005</v>
      </c>
      <c r="AH9750">
        <v>50.98424</v>
      </c>
      <c r="AI9750">
        <v>62.731180000000002</v>
      </c>
      <c r="AJ9750">
        <v>34.331000000000003</v>
      </c>
      <c r="AK9750">
        <v>50.653239999999997</v>
      </c>
    </row>
    <row r="9751" spans="1:37" x14ac:dyDescent="0.3">
      <c r="A9751">
        <v>9750</v>
      </c>
      <c r="B9751">
        <v>51.5</v>
      </c>
      <c r="C9751">
        <v>11.1656</v>
      </c>
      <c r="D9751">
        <v>4.7747200000000003</v>
      </c>
      <c r="E9751" t="s">
        <v>14785</v>
      </c>
      <c r="F9751" t="s">
        <v>14786</v>
      </c>
      <c r="G9751" t="s">
        <v>37</v>
      </c>
      <c r="H9751">
        <v>1990</v>
      </c>
      <c r="I9751">
        <v>24.992319999999999</v>
      </c>
      <c r="J9751">
        <v>9.1999999999999993</v>
      </c>
      <c r="K9751">
        <v>76</v>
      </c>
      <c r="L9751">
        <v>8.9926870000000001</v>
      </c>
      <c r="M9751">
        <v>31.992319999999999</v>
      </c>
      <c r="N9751">
        <v>19.892320000000002</v>
      </c>
      <c r="O9751">
        <v>12.1</v>
      </c>
      <c r="P9751">
        <v>23.992319999999999</v>
      </c>
      <c r="Q9751">
        <v>25.79232</v>
      </c>
      <c r="R9751">
        <v>25.992319999999999</v>
      </c>
      <c r="S9751">
        <v>23.79232</v>
      </c>
      <c r="T9751">
        <v>1607.23</v>
      </c>
      <c r="U9751">
        <v>303.96159999999998</v>
      </c>
      <c r="V9751">
        <v>8</v>
      </c>
      <c r="W9751">
        <v>68</v>
      </c>
      <c r="X9751">
        <v>755.15359999999998</v>
      </c>
      <c r="Y9751">
        <v>43.96161</v>
      </c>
      <c r="Z9751">
        <v>284.03840000000002</v>
      </c>
      <c r="AA9751">
        <v>597.26880000000006</v>
      </c>
      <c r="AB9751">
        <v>22.848520000000001</v>
      </c>
      <c r="AC9751">
        <v>3.4967199999999997E-2</v>
      </c>
      <c r="AD9751">
        <v>3.5077590000000001</v>
      </c>
      <c r="AE9751">
        <v>0.41829620000000001</v>
      </c>
      <c r="AF9751">
        <v>525.32809999999995</v>
      </c>
      <c r="AG9751">
        <f>IFERROR(AH9751*0.1, "N/A")</f>
        <v>5.0684120000000004</v>
      </c>
      <c r="AH9751">
        <v>50.68412</v>
      </c>
      <c r="AI9751">
        <v>121.0371</v>
      </c>
      <c r="AJ9751">
        <v>24.65794</v>
      </c>
      <c r="AK9751">
        <v>59.68412</v>
      </c>
    </row>
    <row r="9752" spans="1:37" x14ac:dyDescent="0.3">
      <c r="A9752">
        <v>9751</v>
      </c>
      <c r="B9752">
        <v>0</v>
      </c>
      <c r="C9752">
        <v>11.1656</v>
      </c>
      <c r="D9752">
        <v>4.7747200000000003</v>
      </c>
      <c r="E9752" t="s">
        <v>14785</v>
      </c>
      <c r="F9752" t="s">
        <v>14787</v>
      </c>
      <c r="G9752" t="s">
        <v>2420</v>
      </c>
      <c r="H9752">
        <v>1990</v>
      </c>
      <c r="I9752">
        <v>24.992319999999999</v>
      </c>
      <c r="J9752">
        <v>9.1999999999999993</v>
      </c>
      <c r="K9752">
        <v>76</v>
      </c>
      <c r="L9752">
        <v>8.9926870000000001</v>
      </c>
      <c r="M9752">
        <v>31.992319999999999</v>
      </c>
      <c r="N9752">
        <v>19.892320000000002</v>
      </c>
      <c r="O9752">
        <v>12.1</v>
      </c>
      <c r="P9752">
        <v>23.992319999999999</v>
      </c>
      <c r="Q9752">
        <v>25.79232</v>
      </c>
      <c r="R9752">
        <v>25.992319999999999</v>
      </c>
      <c r="S9752">
        <v>23.79232</v>
      </c>
      <c r="T9752">
        <v>1607.23</v>
      </c>
      <c r="U9752">
        <v>303.96159999999998</v>
      </c>
      <c r="V9752">
        <v>8</v>
      </c>
      <c r="W9752">
        <v>68</v>
      </c>
      <c r="X9752">
        <v>755.15359999999998</v>
      </c>
      <c r="Y9752">
        <v>43.96161</v>
      </c>
      <c r="Z9752">
        <v>284.03840000000002</v>
      </c>
      <c r="AA9752">
        <v>597.26880000000006</v>
      </c>
      <c r="AB9752">
        <v>22.848520000000001</v>
      </c>
      <c r="AC9752">
        <v>3.4967199999999997E-2</v>
      </c>
      <c r="AD9752">
        <v>3.5077590000000001</v>
      </c>
      <c r="AE9752">
        <v>0.41829620000000001</v>
      </c>
      <c r="AF9752">
        <v>525.32809999999995</v>
      </c>
      <c r="AG9752">
        <f>IFERROR(AH9752*0.1, "N/A")</f>
        <v>5.0684120000000004</v>
      </c>
      <c r="AH9752">
        <v>50.68412</v>
      </c>
      <c r="AI9752">
        <v>121.0371</v>
      </c>
      <c r="AJ9752">
        <v>24.65794</v>
      </c>
      <c r="AK9752">
        <v>59.68412</v>
      </c>
    </row>
    <row r="9753" spans="1:37" x14ac:dyDescent="0.3">
      <c r="A9753">
        <v>9752</v>
      </c>
      <c r="B9753">
        <v>0</v>
      </c>
      <c r="C9753">
        <v>13.8917</v>
      </c>
      <c r="D9753">
        <v>4.7805600000000004</v>
      </c>
      <c r="E9753" t="s">
        <v>14788</v>
      </c>
      <c r="F9753" t="s">
        <v>14789</v>
      </c>
      <c r="G9753" t="s">
        <v>39</v>
      </c>
      <c r="H9753">
        <v>1990</v>
      </c>
      <c r="I9753">
        <v>23.735430000000001</v>
      </c>
      <c r="J9753">
        <v>10.335430000000001</v>
      </c>
      <c r="K9753">
        <v>75.645719999999997</v>
      </c>
      <c r="L9753">
        <v>7.1214829999999996</v>
      </c>
      <c r="M9753">
        <v>30.670860000000001</v>
      </c>
      <c r="N9753">
        <v>17.100000000000001</v>
      </c>
      <c r="O9753">
        <v>13.57086</v>
      </c>
      <c r="P9753">
        <v>23.2</v>
      </c>
      <c r="Q9753">
        <v>23.635429999999999</v>
      </c>
      <c r="R9753">
        <v>24.670860000000001</v>
      </c>
      <c r="S9753">
        <v>22.835429999999999</v>
      </c>
      <c r="T9753">
        <v>1550.2909999999999</v>
      </c>
      <c r="U9753">
        <v>269</v>
      </c>
      <c r="V9753">
        <v>18</v>
      </c>
      <c r="W9753">
        <v>60</v>
      </c>
      <c r="X9753">
        <v>678</v>
      </c>
      <c r="Y9753">
        <v>76</v>
      </c>
      <c r="Z9753">
        <v>274.64569999999998</v>
      </c>
      <c r="AA9753">
        <v>534.64570000000003</v>
      </c>
      <c r="AB9753">
        <v>1.9568810000000001</v>
      </c>
      <c r="AC9753">
        <v>4.7406240000000004</v>
      </c>
      <c r="AD9753">
        <v>2.0267780000000002</v>
      </c>
      <c r="AE9753">
        <v>0.12725939999999999</v>
      </c>
      <c r="AF9753">
        <v>675.71379999999999</v>
      </c>
      <c r="AG9753">
        <f>IFERROR(AH9753*0.1, "N/A")</f>
        <v>5.150436</v>
      </c>
      <c r="AH9753">
        <v>51.504359999999998</v>
      </c>
      <c r="AI9753">
        <v>181.28280000000001</v>
      </c>
      <c r="AJ9753">
        <v>31.42408</v>
      </c>
      <c r="AK9753">
        <v>52.930190000000003</v>
      </c>
    </row>
    <row r="9754" spans="1:37" x14ac:dyDescent="0.3">
      <c r="A9754">
        <v>9753</v>
      </c>
      <c r="B9754">
        <v>0</v>
      </c>
      <c r="C9754">
        <v>13.8917</v>
      </c>
      <c r="D9754">
        <v>4.7805600000000004</v>
      </c>
      <c r="E9754" t="s">
        <v>14788</v>
      </c>
      <c r="F9754" t="s">
        <v>14790</v>
      </c>
      <c r="G9754" t="s">
        <v>37</v>
      </c>
      <c r="H9754">
        <v>1990</v>
      </c>
      <c r="I9754">
        <v>23.735430000000001</v>
      </c>
      <c r="J9754">
        <v>10.335430000000001</v>
      </c>
      <c r="K9754">
        <v>75.645719999999997</v>
      </c>
      <c r="L9754">
        <v>7.1214829999999996</v>
      </c>
      <c r="M9754">
        <v>30.670860000000001</v>
      </c>
      <c r="N9754">
        <v>17.100000000000001</v>
      </c>
      <c r="O9754">
        <v>13.57086</v>
      </c>
      <c r="P9754">
        <v>23.2</v>
      </c>
      <c r="Q9754">
        <v>23.635429999999999</v>
      </c>
      <c r="R9754">
        <v>24.670860000000001</v>
      </c>
      <c r="S9754">
        <v>22.835429999999999</v>
      </c>
      <c r="T9754">
        <v>1550.2909999999999</v>
      </c>
      <c r="U9754">
        <v>269</v>
      </c>
      <c r="V9754">
        <v>18</v>
      </c>
      <c r="W9754">
        <v>60</v>
      </c>
      <c r="X9754">
        <v>678</v>
      </c>
      <c r="Y9754">
        <v>76</v>
      </c>
      <c r="Z9754">
        <v>274.64569999999998</v>
      </c>
      <c r="AA9754">
        <v>534.64570000000003</v>
      </c>
      <c r="AB9754">
        <v>1.9568810000000001</v>
      </c>
      <c r="AC9754">
        <v>4.7406240000000004</v>
      </c>
      <c r="AD9754">
        <v>2.0267780000000002</v>
      </c>
      <c r="AE9754">
        <v>0.12725939999999999</v>
      </c>
      <c r="AF9754">
        <v>675.71379999999999</v>
      </c>
      <c r="AG9754">
        <f>IFERROR(AH9754*0.1, "N/A")</f>
        <v>5.150436</v>
      </c>
      <c r="AH9754">
        <v>51.504359999999998</v>
      </c>
      <c r="AI9754">
        <v>181.28280000000001</v>
      </c>
      <c r="AJ9754">
        <v>31.42408</v>
      </c>
      <c r="AK9754">
        <v>52.930190000000003</v>
      </c>
    </row>
    <row r="9755" spans="1:37" x14ac:dyDescent="0.3">
      <c r="A9755">
        <v>9754</v>
      </c>
      <c r="B9755">
        <v>0</v>
      </c>
      <c r="C9755">
        <v>13.8917</v>
      </c>
      <c r="D9755">
        <v>4.7805600000000004</v>
      </c>
      <c r="E9755" t="s">
        <v>14788</v>
      </c>
      <c r="F9755" t="s">
        <v>14791</v>
      </c>
      <c r="G9755" t="s">
        <v>2420</v>
      </c>
      <c r="H9755">
        <v>1990</v>
      </c>
      <c r="I9755">
        <v>23.735430000000001</v>
      </c>
      <c r="J9755">
        <v>10.335430000000001</v>
      </c>
      <c r="K9755">
        <v>75.645719999999997</v>
      </c>
      <c r="L9755">
        <v>7.1214829999999996</v>
      </c>
      <c r="M9755">
        <v>30.670860000000001</v>
      </c>
      <c r="N9755">
        <v>17.100000000000001</v>
      </c>
      <c r="O9755">
        <v>13.57086</v>
      </c>
      <c r="P9755">
        <v>23.2</v>
      </c>
      <c r="Q9755">
        <v>23.635429999999999</v>
      </c>
      <c r="R9755">
        <v>24.670860000000001</v>
      </c>
      <c r="S9755">
        <v>22.835429999999999</v>
      </c>
      <c r="T9755">
        <v>1550.2909999999999</v>
      </c>
      <c r="U9755">
        <v>269</v>
      </c>
      <c r="V9755">
        <v>18</v>
      </c>
      <c r="W9755">
        <v>60</v>
      </c>
      <c r="X9755">
        <v>678</v>
      </c>
      <c r="Y9755">
        <v>76</v>
      </c>
      <c r="Z9755">
        <v>274.64569999999998</v>
      </c>
      <c r="AA9755">
        <v>534.64570000000003</v>
      </c>
      <c r="AB9755">
        <v>1.9568810000000001</v>
      </c>
      <c r="AC9755">
        <v>4.7406240000000004</v>
      </c>
      <c r="AD9755">
        <v>2.0267780000000002</v>
      </c>
      <c r="AE9755">
        <v>0.12725939999999999</v>
      </c>
      <c r="AF9755">
        <v>675.71379999999999</v>
      </c>
      <c r="AG9755">
        <f>IFERROR(AH9755*0.1, "N/A")</f>
        <v>5.150436</v>
      </c>
      <c r="AH9755">
        <v>51.504359999999998</v>
      </c>
      <c r="AI9755">
        <v>181.28280000000001</v>
      </c>
      <c r="AJ9755">
        <v>31.42408</v>
      </c>
      <c r="AK9755">
        <v>52.930190000000003</v>
      </c>
    </row>
    <row r="9756" spans="1:37" x14ac:dyDescent="0.3">
      <c r="A9756">
        <v>9755</v>
      </c>
      <c r="B9756">
        <v>0</v>
      </c>
      <c r="C9756">
        <v>10.9611</v>
      </c>
      <c r="D9756">
        <v>4.7833300000000003</v>
      </c>
      <c r="E9756" t="s">
        <v>14792</v>
      </c>
      <c r="F9756" t="s">
        <v>14793</v>
      </c>
      <c r="G9756" t="s">
        <v>37</v>
      </c>
      <c r="H9756">
        <v>1990</v>
      </c>
      <c r="I9756">
        <v>24</v>
      </c>
      <c r="J9756">
        <v>9.3000000000000007</v>
      </c>
      <c r="K9756">
        <v>75</v>
      </c>
      <c r="L9756">
        <v>9.84</v>
      </c>
      <c r="M9756">
        <v>31.1</v>
      </c>
      <c r="N9756">
        <v>18.7</v>
      </c>
      <c r="O9756">
        <v>12.4</v>
      </c>
      <c r="P9756">
        <v>23</v>
      </c>
      <c r="Q9756">
        <v>24.9</v>
      </c>
      <c r="R9756">
        <v>25.1</v>
      </c>
      <c r="S9756">
        <v>22.7</v>
      </c>
      <c r="T9756">
        <v>1848.963</v>
      </c>
      <c r="U9756">
        <v>322.65440000000001</v>
      </c>
      <c r="V9756">
        <v>8</v>
      </c>
      <c r="W9756">
        <v>68</v>
      </c>
      <c r="X9756">
        <v>893.30880000000002</v>
      </c>
      <c r="Y9756">
        <v>47.654389999999999</v>
      </c>
      <c r="Z9756">
        <v>304.65440000000001</v>
      </c>
      <c r="AA9756">
        <v>775</v>
      </c>
      <c r="AB9756">
        <v>22.884930000000001</v>
      </c>
      <c r="AC9756">
        <v>8.6232930000000006E-3</v>
      </c>
      <c r="AD9756">
        <v>2.0109650000000001</v>
      </c>
      <c r="AE9756">
        <v>0.30596780000000001</v>
      </c>
      <c r="AF9756">
        <v>698.84040000000005</v>
      </c>
      <c r="AG9756">
        <f>IFERROR(AH9756*0.1, "N/A")</f>
        <v>5.1000000000000005</v>
      </c>
      <c r="AH9756">
        <v>51</v>
      </c>
      <c r="AI9756">
        <v>208.80680000000001</v>
      </c>
      <c r="AJ9756">
        <v>35</v>
      </c>
      <c r="AK9756">
        <v>51</v>
      </c>
    </row>
    <row r="9757" spans="1:37" x14ac:dyDescent="0.3">
      <c r="A9757">
        <v>9756</v>
      </c>
      <c r="B9757">
        <v>0</v>
      </c>
      <c r="C9757">
        <v>10.9611</v>
      </c>
      <c r="D9757">
        <v>4.7833300000000003</v>
      </c>
      <c r="E9757" t="s">
        <v>14792</v>
      </c>
      <c r="F9757" t="s">
        <v>14794</v>
      </c>
      <c r="G9757" t="s">
        <v>2420</v>
      </c>
      <c r="H9757">
        <v>1990</v>
      </c>
      <c r="I9757">
        <v>24</v>
      </c>
      <c r="J9757">
        <v>9.3000000000000007</v>
      </c>
      <c r="K9757">
        <v>75</v>
      </c>
      <c r="L9757">
        <v>9.84</v>
      </c>
      <c r="M9757">
        <v>31.1</v>
      </c>
      <c r="N9757">
        <v>18.7</v>
      </c>
      <c r="O9757">
        <v>12.4</v>
      </c>
      <c r="P9757">
        <v>23</v>
      </c>
      <c r="Q9757">
        <v>24.9</v>
      </c>
      <c r="R9757">
        <v>25.1</v>
      </c>
      <c r="S9757">
        <v>22.7</v>
      </c>
      <c r="T9757">
        <v>1848.963</v>
      </c>
      <c r="U9757">
        <v>322.65440000000001</v>
      </c>
      <c r="V9757">
        <v>8</v>
      </c>
      <c r="W9757">
        <v>68</v>
      </c>
      <c r="X9757">
        <v>893.30880000000002</v>
      </c>
      <c r="Y9757">
        <v>47.654389999999999</v>
      </c>
      <c r="Z9757">
        <v>304.65440000000001</v>
      </c>
      <c r="AA9757">
        <v>775</v>
      </c>
      <c r="AB9757">
        <v>22.884930000000001</v>
      </c>
      <c r="AC9757">
        <v>8.6232930000000006E-3</v>
      </c>
      <c r="AD9757">
        <v>2.0109650000000001</v>
      </c>
      <c r="AE9757">
        <v>0.30596780000000001</v>
      </c>
      <c r="AF9757">
        <v>698.84040000000005</v>
      </c>
      <c r="AG9757">
        <f>IFERROR(AH9757*0.1, "N/A")</f>
        <v>5.1000000000000005</v>
      </c>
      <c r="AH9757">
        <v>51</v>
      </c>
      <c r="AI9757">
        <v>208.80680000000001</v>
      </c>
      <c r="AJ9757">
        <v>35</v>
      </c>
      <c r="AK9757">
        <v>51</v>
      </c>
    </row>
    <row r="9758" spans="1:37" x14ac:dyDescent="0.3">
      <c r="A9758">
        <v>9757</v>
      </c>
      <c r="B9758">
        <v>0</v>
      </c>
      <c r="C9758">
        <v>14.55</v>
      </c>
      <c r="D9758">
        <v>4.7944399999999998</v>
      </c>
      <c r="E9758" t="s">
        <v>14795</v>
      </c>
      <c r="F9758" t="s">
        <v>14796</v>
      </c>
      <c r="G9758" t="s">
        <v>39</v>
      </c>
      <c r="H9758">
        <v>1990</v>
      </c>
      <c r="I9758">
        <v>23.8</v>
      </c>
      <c r="J9758">
        <v>10.7</v>
      </c>
      <c r="K9758">
        <v>75</v>
      </c>
      <c r="L9758">
        <v>7.8291069999999996</v>
      </c>
      <c r="M9758">
        <v>31.1</v>
      </c>
      <c r="N9758">
        <v>16.899999999999999</v>
      </c>
      <c r="O9758">
        <v>14.2</v>
      </c>
      <c r="P9758">
        <v>23.1</v>
      </c>
      <c r="Q9758">
        <v>23.8</v>
      </c>
      <c r="R9758">
        <v>24.849740000000001</v>
      </c>
      <c r="S9758">
        <v>22.8</v>
      </c>
      <c r="T9758">
        <v>1456</v>
      </c>
      <c r="U9758">
        <v>240</v>
      </c>
      <c r="V9758">
        <v>20</v>
      </c>
      <c r="W9758">
        <v>55</v>
      </c>
      <c r="X9758">
        <v>606</v>
      </c>
      <c r="Y9758">
        <v>83.497370000000004</v>
      </c>
      <c r="Z9758">
        <v>266</v>
      </c>
      <c r="AA9758">
        <v>489</v>
      </c>
      <c r="AB9758">
        <v>8.3655059999999999</v>
      </c>
      <c r="AC9758">
        <v>9.1451210000000008E-3</v>
      </c>
      <c r="AD9758">
        <v>3.0937109999999999</v>
      </c>
      <c r="AE9758">
        <v>0.1782936</v>
      </c>
      <c r="AF9758">
        <v>708.09810000000004</v>
      </c>
      <c r="AG9758">
        <f>IFERROR(AH9758*0.1, "N/A")</f>
        <v>5.2</v>
      </c>
      <c r="AH9758">
        <v>52</v>
      </c>
      <c r="AI9758">
        <v>96.414029999999997</v>
      </c>
      <c r="AJ9758">
        <v>30.479859999999999</v>
      </c>
      <c r="AK9758">
        <v>53.005249999999997</v>
      </c>
    </row>
    <row r="9759" spans="1:37" x14ac:dyDescent="0.3">
      <c r="A9759">
        <v>9758</v>
      </c>
      <c r="B9759">
        <v>0</v>
      </c>
      <c r="C9759">
        <v>14.55</v>
      </c>
      <c r="D9759">
        <v>4.7944399999999998</v>
      </c>
      <c r="E9759" t="s">
        <v>14795</v>
      </c>
      <c r="F9759" t="s">
        <v>14797</v>
      </c>
      <c r="G9759" t="s">
        <v>37</v>
      </c>
      <c r="H9759">
        <v>1990</v>
      </c>
      <c r="I9759">
        <v>23.8</v>
      </c>
      <c r="J9759">
        <v>10.7</v>
      </c>
      <c r="K9759">
        <v>75</v>
      </c>
      <c r="L9759">
        <v>7.8291069999999996</v>
      </c>
      <c r="M9759">
        <v>31.1</v>
      </c>
      <c r="N9759">
        <v>16.899999999999999</v>
      </c>
      <c r="O9759">
        <v>14.2</v>
      </c>
      <c r="P9759">
        <v>23.1</v>
      </c>
      <c r="Q9759">
        <v>23.8</v>
      </c>
      <c r="R9759">
        <v>24.849740000000001</v>
      </c>
      <c r="S9759">
        <v>22.8</v>
      </c>
      <c r="T9759">
        <v>1456</v>
      </c>
      <c r="U9759">
        <v>240</v>
      </c>
      <c r="V9759">
        <v>20</v>
      </c>
      <c r="W9759">
        <v>55</v>
      </c>
      <c r="X9759">
        <v>606</v>
      </c>
      <c r="Y9759">
        <v>83.497370000000004</v>
      </c>
      <c r="Z9759">
        <v>266</v>
      </c>
      <c r="AA9759">
        <v>489</v>
      </c>
      <c r="AB9759">
        <v>8.3655059999999999</v>
      </c>
      <c r="AC9759">
        <v>9.1451210000000008E-3</v>
      </c>
      <c r="AD9759">
        <v>3.0937109999999999</v>
      </c>
      <c r="AE9759">
        <v>0.1782936</v>
      </c>
      <c r="AF9759">
        <v>708.09810000000004</v>
      </c>
      <c r="AG9759">
        <f>IFERROR(AH9759*0.1, "N/A")</f>
        <v>5.2</v>
      </c>
      <c r="AH9759">
        <v>52</v>
      </c>
      <c r="AI9759">
        <v>96.414029999999997</v>
      </c>
      <c r="AJ9759">
        <v>30.479859999999999</v>
      </c>
      <c r="AK9759">
        <v>53.005249999999997</v>
      </c>
    </row>
    <row r="9760" spans="1:37" x14ac:dyDescent="0.3">
      <c r="A9760">
        <v>9759</v>
      </c>
      <c r="B9760">
        <v>0</v>
      </c>
      <c r="C9760">
        <v>14.55</v>
      </c>
      <c r="D9760">
        <v>4.7944399999999998</v>
      </c>
      <c r="E9760" t="s">
        <v>14795</v>
      </c>
      <c r="F9760" t="s">
        <v>14798</v>
      </c>
      <c r="G9760" t="s">
        <v>2420</v>
      </c>
      <c r="H9760">
        <v>1990</v>
      </c>
      <c r="I9760">
        <v>23.8</v>
      </c>
      <c r="J9760">
        <v>10.7</v>
      </c>
      <c r="K9760">
        <v>75</v>
      </c>
      <c r="L9760">
        <v>7.8291069999999996</v>
      </c>
      <c r="M9760">
        <v>31.1</v>
      </c>
      <c r="N9760">
        <v>16.899999999999999</v>
      </c>
      <c r="O9760">
        <v>14.2</v>
      </c>
      <c r="P9760">
        <v>23.1</v>
      </c>
      <c r="Q9760">
        <v>23.8</v>
      </c>
      <c r="R9760">
        <v>24.849740000000001</v>
      </c>
      <c r="S9760">
        <v>22.8</v>
      </c>
      <c r="T9760">
        <v>1456</v>
      </c>
      <c r="U9760">
        <v>240</v>
      </c>
      <c r="V9760">
        <v>20</v>
      </c>
      <c r="W9760">
        <v>55</v>
      </c>
      <c r="X9760">
        <v>606</v>
      </c>
      <c r="Y9760">
        <v>83.497370000000004</v>
      </c>
      <c r="Z9760">
        <v>266</v>
      </c>
      <c r="AA9760">
        <v>489</v>
      </c>
      <c r="AB9760">
        <v>8.3655059999999999</v>
      </c>
      <c r="AC9760">
        <v>9.1451210000000008E-3</v>
      </c>
      <c r="AD9760">
        <v>3.0937109999999999</v>
      </c>
      <c r="AE9760">
        <v>0.1782936</v>
      </c>
      <c r="AF9760">
        <v>708.09810000000004</v>
      </c>
      <c r="AG9760">
        <f>IFERROR(AH9760*0.1, "N/A")</f>
        <v>5.2</v>
      </c>
      <c r="AH9760">
        <v>52</v>
      </c>
      <c r="AI9760">
        <v>96.414029999999997</v>
      </c>
      <c r="AJ9760">
        <v>30.479859999999999</v>
      </c>
      <c r="AK9760">
        <v>53.005249999999997</v>
      </c>
    </row>
    <row r="9761" spans="1:37" x14ac:dyDescent="0.3">
      <c r="A9761">
        <v>9760</v>
      </c>
      <c r="B9761">
        <v>0</v>
      </c>
      <c r="C9761">
        <v>11.937799999999999</v>
      </c>
      <c r="D9761">
        <v>4.8088899999999999</v>
      </c>
      <c r="E9761" t="s">
        <v>14799</v>
      </c>
      <c r="F9761" t="s">
        <v>14800</v>
      </c>
      <c r="G9761" t="s">
        <v>37</v>
      </c>
      <c r="H9761">
        <v>1990</v>
      </c>
      <c r="I9761">
        <v>24.331289999999999</v>
      </c>
      <c r="J9761">
        <v>9.5</v>
      </c>
      <c r="K9761">
        <v>77</v>
      </c>
      <c r="L9761">
        <v>8.2886360000000003</v>
      </c>
      <c r="M9761">
        <v>31.431290000000001</v>
      </c>
      <c r="N9761">
        <v>19.231290000000001</v>
      </c>
      <c r="O9761">
        <v>12.2</v>
      </c>
      <c r="P9761">
        <v>23.531289999999998</v>
      </c>
      <c r="Q9761">
        <v>25.031289999999998</v>
      </c>
      <c r="R9761">
        <v>25.4</v>
      </c>
      <c r="S9761">
        <v>23.331289999999999</v>
      </c>
      <c r="T9761">
        <v>1519</v>
      </c>
      <c r="U9761">
        <v>295</v>
      </c>
      <c r="V9761">
        <v>9</v>
      </c>
      <c r="W9761">
        <v>69</v>
      </c>
      <c r="X9761">
        <v>692.68709999999999</v>
      </c>
      <c r="Y9761">
        <v>51.312939999999998</v>
      </c>
      <c r="Z9761">
        <v>284</v>
      </c>
      <c r="AA9761">
        <v>505.3741</v>
      </c>
      <c r="AB9761">
        <v>18.450150000000001</v>
      </c>
      <c r="AC9761">
        <v>0.2020431</v>
      </c>
      <c r="AD9761">
        <v>3.6433979999999999</v>
      </c>
      <c r="AE9761">
        <v>0.1043222</v>
      </c>
      <c r="AF9761">
        <v>621.04899999999998</v>
      </c>
      <c r="AG9761">
        <f>IFERROR(AH9761*0.1, "N/A")</f>
        <v>5.20472</v>
      </c>
      <c r="AH9761">
        <v>52.047199999999997</v>
      </c>
      <c r="AI9761">
        <v>131.66919999999999</v>
      </c>
      <c r="AJ9761">
        <v>31</v>
      </c>
      <c r="AK9761">
        <v>56.590910000000001</v>
      </c>
    </row>
    <row r="9762" spans="1:37" x14ac:dyDescent="0.3">
      <c r="A9762">
        <v>9761</v>
      </c>
      <c r="B9762">
        <v>0</v>
      </c>
      <c r="C9762">
        <v>11.937799999999999</v>
      </c>
      <c r="D9762">
        <v>4.8088899999999999</v>
      </c>
      <c r="E9762" t="s">
        <v>14799</v>
      </c>
      <c r="F9762" t="s">
        <v>14801</v>
      </c>
      <c r="G9762" t="s">
        <v>2420</v>
      </c>
      <c r="H9762">
        <v>1990</v>
      </c>
      <c r="I9762">
        <v>24.331289999999999</v>
      </c>
      <c r="J9762">
        <v>9.5</v>
      </c>
      <c r="K9762">
        <v>77</v>
      </c>
      <c r="L9762">
        <v>8.2886360000000003</v>
      </c>
      <c r="M9762">
        <v>31.431290000000001</v>
      </c>
      <c r="N9762">
        <v>19.231290000000001</v>
      </c>
      <c r="O9762">
        <v>12.2</v>
      </c>
      <c r="P9762">
        <v>23.531289999999998</v>
      </c>
      <c r="Q9762">
        <v>25.031289999999998</v>
      </c>
      <c r="R9762">
        <v>25.4</v>
      </c>
      <c r="S9762">
        <v>23.331289999999999</v>
      </c>
      <c r="T9762">
        <v>1519</v>
      </c>
      <c r="U9762">
        <v>295</v>
      </c>
      <c r="V9762">
        <v>9</v>
      </c>
      <c r="W9762">
        <v>69</v>
      </c>
      <c r="X9762">
        <v>692.68709999999999</v>
      </c>
      <c r="Y9762">
        <v>51.312939999999998</v>
      </c>
      <c r="Z9762">
        <v>284</v>
      </c>
      <c r="AA9762">
        <v>505.3741</v>
      </c>
      <c r="AB9762">
        <v>18.450150000000001</v>
      </c>
      <c r="AC9762">
        <v>0.2020431</v>
      </c>
      <c r="AD9762">
        <v>3.6433979999999999</v>
      </c>
      <c r="AE9762">
        <v>0.1043222</v>
      </c>
      <c r="AF9762">
        <v>621.04899999999998</v>
      </c>
      <c r="AG9762">
        <f>IFERROR(AH9762*0.1, "N/A")</f>
        <v>5.20472</v>
      </c>
      <c r="AH9762">
        <v>52.047199999999997</v>
      </c>
      <c r="AI9762">
        <v>131.66919999999999</v>
      </c>
      <c r="AJ9762">
        <v>31</v>
      </c>
      <c r="AK9762">
        <v>56.590910000000001</v>
      </c>
    </row>
    <row r="9763" spans="1:37" x14ac:dyDescent="0.3">
      <c r="A9763">
        <v>9762</v>
      </c>
      <c r="B9763">
        <v>2.6</v>
      </c>
      <c r="C9763">
        <v>10.224399999999999</v>
      </c>
      <c r="D9763">
        <v>4.8308299999999997</v>
      </c>
      <c r="E9763" t="s">
        <v>14802</v>
      </c>
      <c r="F9763" t="s">
        <v>14803</v>
      </c>
      <c r="G9763" t="s">
        <v>39</v>
      </c>
      <c r="H9763">
        <v>1990</v>
      </c>
      <c r="I9763">
        <v>24.662459999999999</v>
      </c>
      <c r="J9763">
        <v>8.8687719999999999</v>
      </c>
      <c r="K9763">
        <v>75</v>
      </c>
      <c r="L9763">
        <v>9.7044560000000004</v>
      </c>
      <c r="M9763">
        <v>31.331230000000001</v>
      </c>
      <c r="N9763">
        <v>19.593679999999999</v>
      </c>
      <c r="O9763">
        <v>11.737539999999999</v>
      </c>
      <c r="P9763">
        <v>23.193680000000001</v>
      </c>
      <c r="Q9763">
        <v>25.362459999999999</v>
      </c>
      <c r="R9763">
        <v>25.662459999999999</v>
      </c>
      <c r="S9763">
        <v>23.193680000000001</v>
      </c>
      <c r="T9763">
        <v>2615.625</v>
      </c>
      <c r="U9763">
        <v>463.68770000000001</v>
      </c>
      <c r="V9763">
        <v>13.312279999999999</v>
      </c>
      <c r="W9763">
        <v>72</v>
      </c>
      <c r="X9763">
        <v>1281.126</v>
      </c>
      <c r="Y9763">
        <v>75.312280000000001</v>
      </c>
      <c r="Z9763">
        <v>365.62459999999999</v>
      </c>
      <c r="AA9763">
        <v>1281.126</v>
      </c>
      <c r="AB9763">
        <v>54.862110000000001</v>
      </c>
      <c r="AC9763">
        <v>1.433132E-2</v>
      </c>
      <c r="AD9763">
        <v>5.8417079999999997</v>
      </c>
      <c r="AE9763">
        <v>0.1948126</v>
      </c>
      <c r="AF9763">
        <v>517.57190000000003</v>
      </c>
      <c r="AG9763">
        <f>IFERROR(AH9763*0.1, "N/A")</f>
        <v>4.942456</v>
      </c>
      <c r="AH9763">
        <v>49.42456</v>
      </c>
      <c r="AI9763">
        <v>143.69319999999999</v>
      </c>
      <c r="AJ9763">
        <v>32.887720000000002</v>
      </c>
      <c r="AK9763">
        <v>45.312280000000001</v>
      </c>
    </row>
    <row r="9764" spans="1:37" x14ac:dyDescent="0.3">
      <c r="A9764">
        <v>9763</v>
      </c>
      <c r="B9764">
        <v>2.9</v>
      </c>
      <c r="C9764">
        <v>10.224399999999999</v>
      </c>
      <c r="D9764">
        <v>4.8308299999999997</v>
      </c>
      <c r="E9764" t="s">
        <v>14802</v>
      </c>
      <c r="F9764" t="s">
        <v>14804</v>
      </c>
      <c r="G9764" t="s">
        <v>37</v>
      </c>
      <c r="H9764">
        <v>1990</v>
      </c>
      <c r="I9764">
        <v>24.662459999999999</v>
      </c>
      <c r="J9764">
        <v>8.8687719999999999</v>
      </c>
      <c r="K9764">
        <v>75</v>
      </c>
      <c r="L9764">
        <v>9.7044560000000004</v>
      </c>
      <c r="M9764">
        <v>31.331230000000001</v>
      </c>
      <c r="N9764">
        <v>19.593679999999999</v>
      </c>
      <c r="O9764">
        <v>11.737539999999999</v>
      </c>
      <c r="P9764">
        <v>23.193680000000001</v>
      </c>
      <c r="Q9764">
        <v>25.362459999999999</v>
      </c>
      <c r="R9764">
        <v>25.662459999999999</v>
      </c>
      <c r="S9764">
        <v>23.193680000000001</v>
      </c>
      <c r="T9764">
        <v>2615.625</v>
      </c>
      <c r="U9764">
        <v>463.68770000000001</v>
      </c>
      <c r="V9764">
        <v>13.312279999999999</v>
      </c>
      <c r="W9764">
        <v>72</v>
      </c>
      <c r="X9764">
        <v>1281.126</v>
      </c>
      <c r="Y9764">
        <v>75.312280000000001</v>
      </c>
      <c r="Z9764">
        <v>365.62459999999999</v>
      </c>
      <c r="AA9764">
        <v>1281.126</v>
      </c>
      <c r="AB9764">
        <v>54.862110000000001</v>
      </c>
      <c r="AC9764">
        <v>1.433132E-2</v>
      </c>
      <c r="AD9764">
        <v>5.8417079999999997</v>
      </c>
      <c r="AE9764">
        <v>0.1948126</v>
      </c>
      <c r="AF9764">
        <v>517.57190000000003</v>
      </c>
      <c r="AG9764">
        <f>IFERROR(AH9764*0.1, "N/A")</f>
        <v>4.942456</v>
      </c>
      <c r="AH9764">
        <v>49.42456</v>
      </c>
      <c r="AI9764">
        <v>143.69319999999999</v>
      </c>
      <c r="AJ9764">
        <v>32.887720000000002</v>
      </c>
      <c r="AK9764">
        <v>45.312280000000001</v>
      </c>
    </row>
    <row r="9765" spans="1:37" x14ac:dyDescent="0.3">
      <c r="A9765">
        <v>9764</v>
      </c>
      <c r="B9765">
        <v>2.9</v>
      </c>
      <c r="C9765">
        <v>10.224399999999999</v>
      </c>
      <c r="D9765">
        <v>4.8308299999999997</v>
      </c>
      <c r="E9765" t="s">
        <v>14802</v>
      </c>
      <c r="F9765" t="s">
        <v>14805</v>
      </c>
      <c r="G9765" t="s">
        <v>2420</v>
      </c>
      <c r="H9765">
        <v>1990</v>
      </c>
      <c r="I9765">
        <v>24.662459999999999</v>
      </c>
      <c r="J9765">
        <v>8.8687719999999999</v>
      </c>
      <c r="K9765">
        <v>75</v>
      </c>
      <c r="L9765">
        <v>9.7044560000000004</v>
      </c>
      <c r="M9765">
        <v>31.331230000000001</v>
      </c>
      <c r="N9765">
        <v>19.593679999999999</v>
      </c>
      <c r="O9765">
        <v>11.737539999999999</v>
      </c>
      <c r="P9765">
        <v>23.193680000000001</v>
      </c>
      <c r="Q9765">
        <v>25.362459999999999</v>
      </c>
      <c r="R9765">
        <v>25.662459999999999</v>
      </c>
      <c r="S9765">
        <v>23.193680000000001</v>
      </c>
      <c r="T9765">
        <v>2615.625</v>
      </c>
      <c r="U9765">
        <v>463.68770000000001</v>
      </c>
      <c r="V9765">
        <v>13.312279999999999</v>
      </c>
      <c r="W9765">
        <v>72</v>
      </c>
      <c r="X9765">
        <v>1281.126</v>
      </c>
      <c r="Y9765">
        <v>75.312280000000001</v>
      </c>
      <c r="Z9765">
        <v>365.62459999999999</v>
      </c>
      <c r="AA9765">
        <v>1281.126</v>
      </c>
      <c r="AB9765">
        <v>54.862110000000001</v>
      </c>
      <c r="AC9765">
        <v>1.433132E-2</v>
      </c>
      <c r="AD9765">
        <v>5.8417079999999997</v>
      </c>
      <c r="AE9765">
        <v>0.1948126</v>
      </c>
      <c r="AF9765">
        <v>517.57190000000003</v>
      </c>
      <c r="AG9765">
        <f>IFERROR(AH9765*0.1, "N/A")</f>
        <v>4.942456</v>
      </c>
      <c r="AH9765">
        <v>49.42456</v>
      </c>
      <c r="AI9765">
        <v>143.69319999999999</v>
      </c>
      <c r="AJ9765">
        <v>32.887720000000002</v>
      </c>
      <c r="AK9765">
        <v>45.312280000000001</v>
      </c>
    </row>
    <row r="9766" spans="1:37" x14ac:dyDescent="0.3">
      <c r="A9766">
        <v>9765</v>
      </c>
      <c r="B9766">
        <v>1.9</v>
      </c>
      <c r="C9766">
        <v>9.8277800000000006</v>
      </c>
      <c r="D9766">
        <v>4.84361</v>
      </c>
      <c r="E9766" t="s">
        <v>14806</v>
      </c>
      <c r="F9766" t="s">
        <v>14807</v>
      </c>
      <c r="G9766" t="s">
        <v>39</v>
      </c>
      <c r="H9766">
        <v>1990</v>
      </c>
      <c r="I9766">
        <v>24.4</v>
      </c>
      <c r="J9766">
        <v>8.6999999999999993</v>
      </c>
      <c r="K9766">
        <v>75</v>
      </c>
      <c r="L9766">
        <v>9.2200000000000006</v>
      </c>
      <c r="M9766">
        <v>30.9</v>
      </c>
      <c r="N9766">
        <v>19.399999999999999</v>
      </c>
      <c r="O9766">
        <v>11.5</v>
      </c>
      <c r="P9766">
        <v>23</v>
      </c>
      <c r="Q9766">
        <v>25</v>
      </c>
      <c r="R9766">
        <v>25.3</v>
      </c>
      <c r="S9766">
        <v>23</v>
      </c>
      <c r="T9766">
        <v>2924</v>
      </c>
      <c r="U9766">
        <v>497</v>
      </c>
      <c r="V9766">
        <v>23</v>
      </c>
      <c r="W9766">
        <v>68</v>
      </c>
      <c r="X9766">
        <v>1392</v>
      </c>
      <c r="Y9766">
        <v>117</v>
      </c>
      <c r="Z9766">
        <v>427</v>
      </c>
      <c r="AA9766">
        <v>1392</v>
      </c>
      <c r="AB9766">
        <v>4.4364210000000002</v>
      </c>
      <c r="AC9766">
        <v>0.173625</v>
      </c>
      <c r="AD9766">
        <v>2.174588</v>
      </c>
      <c r="AE9766">
        <v>0.62234129999999999</v>
      </c>
      <c r="AF9766">
        <v>510.71449999999999</v>
      </c>
      <c r="AG9766">
        <f>IFERROR(AH9766*0.1, "N/A")</f>
        <v>5.3996500000000003</v>
      </c>
      <c r="AH9766">
        <v>53.996499999999997</v>
      </c>
      <c r="AI9766">
        <v>199.75450000000001</v>
      </c>
      <c r="AJ9766">
        <v>33.996499999999997</v>
      </c>
      <c r="AK9766">
        <v>43.003500000000003</v>
      </c>
    </row>
    <row r="9767" spans="1:37" x14ac:dyDescent="0.3">
      <c r="A9767">
        <v>9766</v>
      </c>
      <c r="B9767">
        <v>0</v>
      </c>
      <c r="C9767">
        <v>9.8277800000000006</v>
      </c>
      <c r="D9767">
        <v>4.84361</v>
      </c>
      <c r="E9767" t="s">
        <v>14806</v>
      </c>
      <c r="F9767" t="s">
        <v>14808</v>
      </c>
      <c r="G9767" t="s">
        <v>37</v>
      </c>
      <c r="H9767">
        <v>1990</v>
      </c>
      <c r="I9767">
        <v>24.4</v>
      </c>
      <c r="J9767">
        <v>8.6999999999999993</v>
      </c>
      <c r="K9767">
        <v>75</v>
      </c>
      <c r="L9767">
        <v>9.2200000000000006</v>
      </c>
      <c r="M9767">
        <v>30.9</v>
      </c>
      <c r="N9767">
        <v>19.399999999999999</v>
      </c>
      <c r="O9767">
        <v>11.5</v>
      </c>
      <c r="P9767">
        <v>23</v>
      </c>
      <c r="Q9767">
        <v>25</v>
      </c>
      <c r="R9767">
        <v>25.3</v>
      </c>
      <c r="S9767">
        <v>23</v>
      </c>
      <c r="T9767">
        <v>2924</v>
      </c>
      <c r="U9767">
        <v>497</v>
      </c>
      <c r="V9767">
        <v>23</v>
      </c>
      <c r="W9767">
        <v>68</v>
      </c>
      <c r="X9767">
        <v>1392</v>
      </c>
      <c r="Y9767">
        <v>117</v>
      </c>
      <c r="Z9767">
        <v>427</v>
      </c>
      <c r="AA9767">
        <v>1392</v>
      </c>
      <c r="AB9767">
        <v>4.4364210000000002</v>
      </c>
      <c r="AC9767">
        <v>0.173625</v>
      </c>
      <c r="AD9767">
        <v>2.174588</v>
      </c>
      <c r="AE9767">
        <v>0.62234129999999999</v>
      </c>
      <c r="AF9767">
        <v>510.71449999999999</v>
      </c>
      <c r="AG9767">
        <f>IFERROR(AH9767*0.1, "N/A")</f>
        <v>5.3996500000000003</v>
      </c>
      <c r="AH9767">
        <v>53.996499999999997</v>
      </c>
      <c r="AI9767">
        <v>199.75450000000001</v>
      </c>
      <c r="AJ9767">
        <v>33.996499999999997</v>
      </c>
      <c r="AK9767">
        <v>43.003500000000003</v>
      </c>
    </row>
    <row r="9768" spans="1:37" x14ac:dyDescent="0.3">
      <c r="A9768">
        <v>9767</v>
      </c>
      <c r="B9768">
        <v>4</v>
      </c>
      <c r="C9768">
        <v>9.8277800000000006</v>
      </c>
      <c r="D9768">
        <v>4.84361</v>
      </c>
      <c r="E9768" t="s">
        <v>14806</v>
      </c>
      <c r="F9768" t="s">
        <v>14809</v>
      </c>
      <c r="G9768" t="s">
        <v>2420</v>
      </c>
      <c r="H9768">
        <v>1990</v>
      </c>
      <c r="I9768">
        <v>24.4</v>
      </c>
      <c r="J9768">
        <v>8.6999999999999993</v>
      </c>
      <c r="K9768">
        <v>75</v>
      </c>
      <c r="L9768">
        <v>9.2200000000000006</v>
      </c>
      <c r="M9768">
        <v>30.9</v>
      </c>
      <c r="N9768">
        <v>19.399999999999999</v>
      </c>
      <c r="O9768">
        <v>11.5</v>
      </c>
      <c r="P9768">
        <v>23</v>
      </c>
      <c r="Q9768">
        <v>25</v>
      </c>
      <c r="R9768">
        <v>25.3</v>
      </c>
      <c r="S9768">
        <v>23</v>
      </c>
      <c r="T9768">
        <v>2924</v>
      </c>
      <c r="U9768">
        <v>497</v>
      </c>
      <c r="V9768">
        <v>23</v>
      </c>
      <c r="W9768">
        <v>68</v>
      </c>
      <c r="X9768">
        <v>1392</v>
      </c>
      <c r="Y9768">
        <v>117</v>
      </c>
      <c r="Z9768">
        <v>427</v>
      </c>
      <c r="AA9768">
        <v>1392</v>
      </c>
      <c r="AB9768">
        <v>4.4364210000000002</v>
      </c>
      <c r="AC9768">
        <v>0.173625</v>
      </c>
      <c r="AD9768">
        <v>2.174588</v>
      </c>
      <c r="AE9768">
        <v>0.62234129999999999</v>
      </c>
      <c r="AF9768">
        <v>510.71449999999999</v>
      </c>
      <c r="AG9768">
        <f>IFERROR(AH9768*0.1, "N/A")</f>
        <v>5.3996500000000003</v>
      </c>
      <c r="AH9768">
        <v>53.996499999999997</v>
      </c>
      <c r="AI9768">
        <v>199.75450000000001</v>
      </c>
      <c r="AJ9768">
        <v>33.996499999999997</v>
      </c>
      <c r="AK9768">
        <v>43.003500000000003</v>
      </c>
    </row>
    <row r="9769" spans="1:37" x14ac:dyDescent="0.3">
      <c r="A9769">
        <v>9768</v>
      </c>
      <c r="B9769">
        <v>1.8</v>
      </c>
      <c r="C9769">
        <v>12.8056</v>
      </c>
      <c r="D9769">
        <v>4.86111</v>
      </c>
      <c r="E9769" t="s">
        <v>14810</v>
      </c>
      <c r="F9769" t="s">
        <v>14811</v>
      </c>
      <c r="G9769" t="s">
        <v>39</v>
      </c>
      <c r="H9769">
        <v>1990</v>
      </c>
      <c r="I9769">
        <v>24</v>
      </c>
      <c r="J9769">
        <v>9.8000000000000007</v>
      </c>
      <c r="K9769">
        <v>77</v>
      </c>
      <c r="L9769">
        <v>7.49</v>
      </c>
      <c r="M9769">
        <v>31</v>
      </c>
      <c r="N9769">
        <v>18.399999999999999</v>
      </c>
      <c r="O9769">
        <v>12.6</v>
      </c>
      <c r="P9769">
        <v>23.3</v>
      </c>
      <c r="Q9769">
        <v>24.3</v>
      </c>
      <c r="R9769">
        <v>24.9</v>
      </c>
      <c r="S9769">
        <v>23</v>
      </c>
      <c r="T9769">
        <v>1528</v>
      </c>
      <c r="U9769">
        <v>290</v>
      </c>
      <c r="V9769">
        <v>11</v>
      </c>
      <c r="W9769">
        <v>68</v>
      </c>
      <c r="X9769">
        <v>702</v>
      </c>
      <c r="Y9769">
        <v>55</v>
      </c>
      <c r="Z9769">
        <v>266</v>
      </c>
      <c r="AA9769">
        <v>421</v>
      </c>
      <c r="AB9769">
        <v>47.054369999999999</v>
      </c>
      <c r="AC9769">
        <v>1.8420309999999999E-2</v>
      </c>
      <c r="AD9769">
        <v>5.1650619999999998</v>
      </c>
      <c r="AE9769">
        <v>0.14784949999999999</v>
      </c>
      <c r="AF9769">
        <v>664.71849999999995</v>
      </c>
      <c r="AG9769">
        <f>IFERROR(AH9769*0.1, "N/A")</f>
        <v>5.1896850000000008</v>
      </c>
      <c r="AH9769">
        <v>51.896850000000001</v>
      </c>
      <c r="AI9769">
        <v>175.89179999999999</v>
      </c>
      <c r="AJ9769">
        <v>31.631119999999999</v>
      </c>
      <c r="AK9769">
        <v>56.578670000000002</v>
      </c>
    </row>
    <row r="9770" spans="1:37" x14ac:dyDescent="0.3">
      <c r="A9770">
        <v>9769</v>
      </c>
      <c r="B9770">
        <v>0</v>
      </c>
      <c r="C9770">
        <v>12.8056</v>
      </c>
      <c r="D9770">
        <v>4.86111</v>
      </c>
      <c r="E9770" t="s">
        <v>14810</v>
      </c>
      <c r="F9770" t="s">
        <v>14812</v>
      </c>
      <c r="G9770" t="s">
        <v>37</v>
      </c>
      <c r="H9770">
        <v>1990</v>
      </c>
      <c r="I9770">
        <v>24</v>
      </c>
      <c r="J9770">
        <v>9.8000000000000007</v>
      </c>
      <c r="K9770">
        <v>77</v>
      </c>
      <c r="L9770">
        <v>7.49</v>
      </c>
      <c r="M9770">
        <v>31</v>
      </c>
      <c r="N9770">
        <v>18.399999999999999</v>
      </c>
      <c r="O9770">
        <v>12.6</v>
      </c>
      <c r="P9770">
        <v>23.3</v>
      </c>
      <c r="Q9770">
        <v>24.3</v>
      </c>
      <c r="R9770">
        <v>24.9</v>
      </c>
      <c r="S9770">
        <v>23</v>
      </c>
      <c r="T9770">
        <v>1528</v>
      </c>
      <c r="U9770">
        <v>290</v>
      </c>
      <c r="V9770">
        <v>11</v>
      </c>
      <c r="W9770">
        <v>68</v>
      </c>
      <c r="X9770">
        <v>702</v>
      </c>
      <c r="Y9770">
        <v>55</v>
      </c>
      <c r="Z9770">
        <v>266</v>
      </c>
      <c r="AA9770">
        <v>421</v>
      </c>
      <c r="AB9770">
        <v>47.054369999999999</v>
      </c>
      <c r="AC9770">
        <v>1.8420309999999999E-2</v>
      </c>
      <c r="AD9770">
        <v>5.1650619999999998</v>
      </c>
      <c r="AE9770">
        <v>0.14784949999999999</v>
      </c>
      <c r="AF9770">
        <v>664.71849999999995</v>
      </c>
      <c r="AG9770">
        <f>IFERROR(AH9770*0.1, "N/A")</f>
        <v>5.1896850000000008</v>
      </c>
      <c r="AH9770">
        <v>51.896850000000001</v>
      </c>
      <c r="AI9770">
        <v>175.89179999999999</v>
      </c>
      <c r="AJ9770">
        <v>31.631119999999999</v>
      </c>
      <c r="AK9770">
        <v>56.578670000000002</v>
      </c>
    </row>
    <row r="9771" spans="1:37" x14ac:dyDescent="0.3">
      <c r="A9771">
        <v>9770</v>
      </c>
      <c r="B9771">
        <v>0</v>
      </c>
      <c r="C9771">
        <v>12.8056</v>
      </c>
      <c r="D9771">
        <v>4.86111</v>
      </c>
      <c r="E9771" t="s">
        <v>14810</v>
      </c>
      <c r="F9771" t="s">
        <v>14813</v>
      </c>
      <c r="G9771" t="s">
        <v>2420</v>
      </c>
      <c r="H9771">
        <v>1990</v>
      </c>
      <c r="I9771">
        <v>24</v>
      </c>
      <c r="J9771">
        <v>9.8000000000000007</v>
      </c>
      <c r="K9771">
        <v>77</v>
      </c>
      <c r="L9771">
        <v>7.49</v>
      </c>
      <c r="M9771">
        <v>31</v>
      </c>
      <c r="N9771">
        <v>18.399999999999999</v>
      </c>
      <c r="O9771">
        <v>12.6</v>
      </c>
      <c r="P9771">
        <v>23.3</v>
      </c>
      <c r="Q9771">
        <v>24.3</v>
      </c>
      <c r="R9771">
        <v>24.9</v>
      </c>
      <c r="S9771">
        <v>23</v>
      </c>
      <c r="T9771">
        <v>1528</v>
      </c>
      <c r="U9771">
        <v>290</v>
      </c>
      <c r="V9771">
        <v>11</v>
      </c>
      <c r="W9771">
        <v>68</v>
      </c>
      <c r="X9771">
        <v>702</v>
      </c>
      <c r="Y9771">
        <v>55</v>
      </c>
      <c r="Z9771">
        <v>266</v>
      </c>
      <c r="AA9771">
        <v>421</v>
      </c>
      <c r="AB9771">
        <v>47.054369999999999</v>
      </c>
      <c r="AC9771">
        <v>1.8420309999999999E-2</v>
      </c>
      <c r="AD9771">
        <v>5.1650619999999998</v>
      </c>
      <c r="AE9771">
        <v>0.14784949999999999</v>
      </c>
      <c r="AF9771">
        <v>664.71849999999995</v>
      </c>
      <c r="AG9771">
        <f>IFERROR(AH9771*0.1, "N/A")</f>
        <v>5.1896850000000008</v>
      </c>
      <c r="AH9771">
        <v>51.896850000000001</v>
      </c>
      <c r="AI9771">
        <v>175.89179999999999</v>
      </c>
      <c r="AJ9771">
        <v>31.631119999999999</v>
      </c>
      <c r="AK9771">
        <v>56.578670000000002</v>
      </c>
    </row>
    <row r="9772" spans="1:37" x14ac:dyDescent="0.3">
      <c r="A9772">
        <v>9771</v>
      </c>
      <c r="B9772">
        <v>27</v>
      </c>
      <c r="C9772">
        <v>11.148999999999999</v>
      </c>
      <c r="D9772">
        <v>4.867</v>
      </c>
      <c r="E9772" t="s">
        <v>14814</v>
      </c>
      <c r="F9772" t="s">
        <v>14815</v>
      </c>
      <c r="G9772" t="s">
        <v>39</v>
      </c>
      <c r="H9772">
        <v>1987</v>
      </c>
      <c r="I9772">
        <v>24.7</v>
      </c>
      <c r="J9772">
        <v>9.3454540000000001</v>
      </c>
      <c r="K9772">
        <v>76</v>
      </c>
      <c r="L9772">
        <v>9.1781819999999996</v>
      </c>
      <c r="M9772">
        <v>31.84545</v>
      </c>
      <c r="N9772">
        <v>19.600000000000001</v>
      </c>
      <c r="O9772">
        <v>12.24545</v>
      </c>
      <c r="P9772">
        <v>23.745450000000002</v>
      </c>
      <c r="Q9772">
        <v>25.5</v>
      </c>
      <c r="R9772">
        <v>25.8</v>
      </c>
      <c r="S9772">
        <v>23.445450000000001</v>
      </c>
      <c r="T9772">
        <v>1648.4549999999999</v>
      </c>
      <c r="U9772">
        <v>303</v>
      </c>
      <c r="V9772">
        <v>7</v>
      </c>
      <c r="W9772">
        <v>68</v>
      </c>
      <c r="X9772">
        <v>781</v>
      </c>
      <c r="Y9772">
        <v>42</v>
      </c>
      <c r="Z9772">
        <v>283.5455</v>
      </c>
      <c r="AA9772">
        <v>639.45450000000005</v>
      </c>
      <c r="AB9772">
        <v>33.486879999999999</v>
      </c>
      <c r="AC9772">
        <v>3.3579249999999998E-2</v>
      </c>
      <c r="AD9772">
        <v>6.3101010000000004</v>
      </c>
      <c r="AE9772">
        <v>0.17066490000000001</v>
      </c>
      <c r="AF9772">
        <v>591.26570000000004</v>
      </c>
      <c r="AG9772">
        <f>IFERROR(AH9772*0.1, "N/A")</f>
        <v>5.5</v>
      </c>
      <c r="AH9772">
        <v>55</v>
      </c>
      <c r="AI9772">
        <v>134.94120000000001</v>
      </c>
      <c r="AJ9772">
        <v>34</v>
      </c>
      <c r="AK9772">
        <v>51</v>
      </c>
    </row>
    <row r="9773" spans="1:37" x14ac:dyDescent="0.3">
      <c r="A9773">
        <v>9772</v>
      </c>
      <c r="B9773">
        <v>0</v>
      </c>
      <c r="C9773">
        <v>12.0006</v>
      </c>
      <c r="D9773">
        <v>4.875</v>
      </c>
      <c r="E9773" t="s">
        <v>14816</v>
      </c>
      <c r="F9773" t="s">
        <v>14817</v>
      </c>
      <c r="G9773" t="s">
        <v>39</v>
      </c>
      <c r="H9773">
        <v>1990</v>
      </c>
      <c r="I9773">
        <v>24.7</v>
      </c>
      <c r="J9773">
        <v>9.5</v>
      </c>
      <c r="K9773">
        <v>77</v>
      </c>
      <c r="L9773">
        <v>8.6162019999999995</v>
      </c>
      <c r="M9773">
        <v>31.9</v>
      </c>
      <c r="N9773">
        <v>19.600000000000001</v>
      </c>
      <c r="O9773">
        <v>12.3</v>
      </c>
      <c r="P9773">
        <v>23.862020000000001</v>
      </c>
      <c r="Q9773">
        <v>25.5</v>
      </c>
      <c r="R9773">
        <v>25.8</v>
      </c>
      <c r="S9773">
        <v>23.6</v>
      </c>
      <c r="T9773">
        <v>1513</v>
      </c>
      <c r="U9773">
        <v>295</v>
      </c>
      <c r="V9773">
        <v>8.6202089999999991</v>
      </c>
      <c r="W9773">
        <v>69</v>
      </c>
      <c r="X9773">
        <v>697</v>
      </c>
      <c r="Y9773">
        <v>48.62021</v>
      </c>
      <c r="Z9773">
        <v>274</v>
      </c>
      <c r="AA9773">
        <v>439.19510000000002</v>
      </c>
      <c r="AB9773">
        <v>7.1954849999999997</v>
      </c>
      <c r="AC9773">
        <v>0.34929690000000002</v>
      </c>
      <c r="AD9773">
        <v>3.1715659999999999</v>
      </c>
      <c r="AE9773">
        <v>0.1400361</v>
      </c>
      <c r="AF9773">
        <v>582.68820000000005</v>
      </c>
      <c r="AG9773">
        <f>IFERROR(AH9773*0.1, "N/A")</f>
        <v>5.3987800000000004</v>
      </c>
      <c r="AH9773">
        <v>53.9878</v>
      </c>
      <c r="AI9773">
        <v>191.44540000000001</v>
      </c>
      <c r="AJ9773">
        <v>31.951219999999999</v>
      </c>
      <c r="AK9773">
        <v>55.048780000000001</v>
      </c>
    </row>
    <row r="9774" spans="1:37" x14ac:dyDescent="0.3">
      <c r="A9774">
        <v>9773</v>
      </c>
      <c r="B9774">
        <v>0</v>
      </c>
      <c r="C9774">
        <v>12.0006</v>
      </c>
      <c r="D9774">
        <v>4.875</v>
      </c>
      <c r="E9774" t="s">
        <v>14816</v>
      </c>
      <c r="F9774" t="s">
        <v>14818</v>
      </c>
      <c r="G9774" t="s">
        <v>37</v>
      </c>
      <c r="H9774">
        <v>1990</v>
      </c>
      <c r="I9774">
        <v>24.7</v>
      </c>
      <c r="J9774">
        <v>9.5</v>
      </c>
      <c r="K9774">
        <v>77</v>
      </c>
      <c r="L9774">
        <v>8.6162019999999995</v>
      </c>
      <c r="M9774">
        <v>31.9</v>
      </c>
      <c r="N9774">
        <v>19.600000000000001</v>
      </c>
      <c r="O9774">
        <v>12.3</v>
      </c>
      <c r="P9774">
        <v>23.862020000000001</v>
      </c>
      <c r="Q9774">
        <v>25.5</v>
      </c>
      <c r="R9774">
        <v>25.8</v>
      </c>
      <c r="S9774">
        <v>23.6</v>
      </c>
      <c r="T9774">
        <v>1513</v>
      </c>
      <c r="U9774">
        <v>295</v>
      </c>
      <c r="V9774">
        <v>8.6202089999999991</v>
      </c>
      <c r="W9774">
        <v>69</v>
      </c>
      <c r="X9774">
        <v>697</v>
      </c>
      <c r="Y9774">
        <v>48.62021</v>
      </c>
      <c r="Z9774">
        <v>274</v>
      </c>
      <c r="AA9774">
        <v>439.19510000000002</v>
      </c>
      <c r="AB9774">
        <v>7.1954849999999997</v>
      </c>
      <c r="AC9774">
        <v>0.34929690000000002</v>
      </c>
      <c r="AD9774">
        <v>3.1715659999999999</v>
      </c>
      <c r="AE9774">
        <v>0.1400361</v>
      </c>
      <c r="AF9774">
        <v>582.68820000000005</v>
      </c>
      <c r="AG9774">
        <f>IFERROR(AH9774*0.1, "N/A")</f>
        <v>5.3987800000000004</v>
      </c>
      <c r="AH9774">
        <v>53.9878</v>
      </c>
      <c r="AI9774">
        <v>191.44540000000001</v>
      </c>
      <c r="AJ9774">
        <v>31.951219999999999</v>
      </c>
      <c r="AK9774">
        <v>55.048780000000001</v>
      </c>
    </row>
    <row r="9775" spans="1:37" x14ac:dyDescent="0.3">
      <c r="A9775">
        <v>9774</v>
      </c>
      <c r="B9775">
        <v>0</v>
      </c>
      <c r="C9775">
        <v>12.0006</v>
      </c>
      <c r="D9775">
        <v>4.875</v>
      </c>
      <c r="E9775" t="s">
        <v>14816</v>
      </c>
      <c r="F9775" t="s">
        <v>14819</v>
      </c>
      <c r="G9775" t="s">
        <v>2420</v>
      </c>
      <c r="H9775">
        <v>1990</v>
      </c>
      <c r="I9775">
        <v>24.7</v>
      </c>
      <c r="J9775">
        <v>9.5</v>
      </c>
      <c r="K9775">
        <v>77</v>
      </c>
      <c r="L9775">
        <v>8.6162019999999995</v>
      </c>
      <c r="M9775">
        <v>31.9</v>
      </c>
      <c r="N9775">
        <v>19.600000000000001</v>
      </c>
      <c r="O9775">
        <v>12.3</v>
      </c>
      <c r="P9775">
        <v>23.862020000000001</v>
      </c>
      <c r="Q9775">
        <v>25.5</v>
      </c>
      <c r="R9775">
        <v>25.8</v>
      </c>
      <c r="S9775">
        <v>23.6</v>
      </c>
      <c r="T9775">
        <v>1513</v>
      </c>
      <c r="U9775">
        <v>295</v>
      </c>
      <c r="V9775">
        <v>8.6202089999999991</v>
      </c>
      <c r="W9775">
        <v>69</v>
      </c>
      <c r="X9775">
        <v>697</v>
      </c>
      <c r="Y9775">
        <v>48.62021</v>
      </c>
      <c r="Z9775">
        <v>274</v>
      </c>
      <c r="AA9775">
        <v>439.19510000000002</v>
      </c>
      <c r="AB9775">
        <v>7.1954849999999997</v>
      </c>
      <c r="AC9775">
        <v>0.34929690000000002</v>
      </c>
      <c r="AD9775">
        <v>3.1715659999999999</v>
      </c>
      <c r="AE9775">
        <v>0.1400361</v>
      </c>
      <c r="AF9775">
        <v>582.68820000000005</v>
      </c>
      <c r="AG9775">
        <f>IFERROR(AH9775*0.1, "N/A")</f>
        <v>5.3987800000000004</v>
      </c>
      <c r="AH9775">
        <v>53.9878</v>
      </c>
      <c r="AI9775">
        <v>191.44540000000001</v>
      </c>
      <c r="AJ9775">
        <v>31.951219999999999</v>
      </c>
      <c r="AK9775">
        <v>55.048780000000001</v>
      </c>
    </row>
    <row r="9776" spans="1:37" x14ac:dyDescent="0.3">
      <c r="A9776">
        <v>9775</v>
      </c>
      <c r="B9776">
        <v>0</v>
      </c>
      <c r="C9776">
        <v>14.55</v>
      </c>
      <c r="D9776">
        <v>4.8833299999999999</v>
      </c>
      <c r="E9776" t="s">
        <v>14820</v>
      </c>
      <c r="F9776" t="s">
        <v>14821</v>
      </c>
      <c r="G9776" t="s">
        <v>39</v>
      </c>
      <c r="H9776">
        <v>1990</v>
      </c>
      <c r="I9776">
        <v>23.561299999999999</v>
      </c>
      <c r="J9776">
        <v>10.7</v>
      </c>
      <c r="K9776">
        <v>74.588440000000006</v>
      </c>
      <c r="L9776">
        <v>8.0746409999999997</v>
      </c>
      <c r="M9776">
        <v>30.902450000000002</v>
      </c>
      <c r="N9776">
        <v>16.669530000000002</v>
      </c>
      <c r="O9776">
        <v>14.23292</v>
      </c>
      <c r="P9776">
        <v>22.820139999999999</v>
      </c>
      <c r="Q9776">
        <v>23.640280000000001</v>
      </c>
      <c r="R9776">
        <v>24.661300000000001</v>
      </c>
      <c r="S9776">
        <v>22.490539999999999</v>
      </c>
      <c r="T9776">
        <v>1465.0719999999999</v>
      </c>
      <c r="U9776">
        <v>241.29249999999999</v>
      </c>
      <c r="V9776">
        <v>19.7986</v>
      </c>
      <c r="W9776">
        <v>55.2014</v>
      </c>
      <c r="X9776">
        <v>612.58489999999995</v>
      </c>
      <c r="Y9776">
        <v>80.798599999999993</v>
      </c>
      <c r="Z9776">
        <v>264.387</v>
      </c>
      <c r="AA9776">
        <v>498.09109999999998</v>
      </c>
      <c r="AB9776">
        <v>3.9919289999999998</v>
      </c>
      <c r="AC9776">
        <v>1.6767700000000001</v>
      </c>
      <c r="AD9776">
        <v>2.242086</v>
      </c>
      <c r="AE9776">
        <v>0.14312730000000001</v>
      </c>
      <c r="AF9776">
        <v>747.47109999999998</v>
      </c>
      <c r="AG9776">
        <f>IFERROR(AH9776*0.1, "N/A")</f>
        <v>5.400525</v>
      </c>
      <c r="AH9776">
        <v>54.005249999999997</v>
      </c>
      <c r="AI9776">
        <v>96.897069999999999</v>
      </c>
      <c r="AJ9776">
        <v>29.99475</v>
      </c>
      <c r="AK9776">
        <v>50.005249999999997</v>
      </c>
    </row>
    <row r="9777" spans="1:37" x14ac:dyDescent="0.3">
      <c r="A9777">
        <v>9776</v>
      </c>
      <c r="B9777">
        <v>0</v>
      </c>
      <c r="C9777">
        <v>14.55</v>
      </c>
      <c r="D9777">
        <v>4.8833299999999999</v>
      </c>
      <c r="E9777" t="s">
        <v>14820</v>
      </c>
      <c r="F9777" t="s">
        <v>14822</v>
      </c>
      <c r="G9777" t="s">
        <v>37</v>
      </c>
      <c r="H9777">
        <v>1990</v>
      </c>
      <c r="I9777">
        <v>23.561299999999999</v>
      </c>
      <c r="J9777">
        <v>10.7</v>
      </c>
      <c r="K9777">
        <v>74.588440000000006</v>
      </c>
      <c r="L9777">
        <v>8.0746409999999997</v>
      </c>
      <c r="M9777">
        <v>30.902450000000002</v>
      </c>
      <c r="N9777">
        <v>16.669530000000002</v>
      </c>
      <c r="O9777">
        <v>14.23292</v>
      </c>
      <c r="P9777">
        <v>22.820139999999999</v>
      </c>
      <c r="Q9777">
        <v>23.640280000000001</v>
      </c>
      <c r="R9777">
        <v>24.661300000000001</v>
      </c>
      <c r="S9777">
        <v>22.490539999999999</v>
      </c>
      <c r="T9777">
        <v>1465.0719999999999</v>
      </c>
      <c r="U9777">
        <v>241.29249999999999</v>
      </c>
      <c r="V9777">
        <v>19.7986</v>
      </c>
      <c r="W9777">
        <v>55.2014</v>
      </c>
      <c r="X9777">
        <v>612.58489999999995</v>
      </c>
      <c r="Y9777">
        <v>80.798599999999993</v>
      </c>
      <c r="Z9777">
        <v>264.387</v>
      </c>
      <c r="AA9777">
        <v>498.09109999999998</v>
      </c>
      <c r="AB9777">
        <v>3.9919289999999998</v>
      </c>
      <c r="AC9777">
        <v>1.6767700000000001</v>
      </c>
      <c r="AD9777">
        <v>2.242086</v>
      </c>
      <c r="AE9777">
        <v>0.14312730000000001</v>
      </c>
      <c r="AF9777">
        <v>747.47109999999998</v>
      </c>
      <c r="AG9777">
        <f>IFERROR(AH9777*0.1, "N/A")</f>
        <v>5.400525</v>
      </c>
      <c r="AH9777">
        <v>54.005249999999997</v>
      </c>
      <c r="AI9777">
        <v>96.897069999999999</v>
      </c>
      <c r="AJ9777">
        <v>29.99475</v>
      </c>
      <c r="AK9777">
        <v>50.005249999999997</v>
      </c>
    </row>
    <row r="9778" spans="1:37" x14ac:dyDescent="0.3">
      <c r="A9778">
        <v>9777</v>
      </c>
      <c r="B9778">
        <v>0</v>
      </c>
      <c r="C9778">
        <v>14.55</v>
      </c>
      <c r="D9778">
        <v>4.8833299999999999</v>
      </c>
      <c r="E9778" t="s">
        <v>14820</v>
      </c>
      <c r="F9778" t="s">
        <v>14823</v>
      </c>
      <c r="G9778" t="s">
        <v>2420</v>
      </c>
      <c r="H9778">
        <v>1990</v>
      </c>
      <c r="I9778">
        <v>23.561299999999999</v>
      </c>
      <c r="J9778">
        <v>10.7</v>
      </c>
      <c r="K9778">
        <v>74.588440000000006</v>
      </c>
      <c r="L9778">
        <v>8.0746409999999997</v>
      </c>
      <c r="M9778">
        <v>30.902450000000002</v>
      </c>
      <c r="N9778">
        <v>16.669530000000002</v>
      </c>
      <c r="O9778">
        <v>14.23292</v>
      </c>
      <c r="P9778">
        <v>22.820139999999999</v>
      </c>
      <c r="Q9778">
        <v>23.640280000000001</v>
      </c>
      <c r="R9778">
        <v>24.661300000000001</v>
      </c>
      <c r="S9778">
        <v>22.490539999999999</v>
      </c>
      <c r="T9778">
        <v>1465.0719999999999</v>
      </c>
      <c r="U9778">
        <v>241.29249999999999</v>
      </c>
      <c r="V9778">
        <v>19.7986</v>
      </c>
      <c r="W9778">
        <v>55.2014</v>
      </c>
      <c r="X9778">
        <v>612.58489999999995</v>
      </c>
      <c r="Y9778">
        <v>80.798599999999993</v>
      </c>
      <c r="Z9778">
        <v>264.387</v>
      </c>
      <c r="AA9778">
        <v>498.09109999999998</v>
      </c>
      <c r="AB9778">
        <v>3.9919289999999998</v>
      </c>
      <c r="AC9778">
        <v>1.6767700000000001</v>
      </c>
      <c r="AD9778">
        <v>2.242086</v>
      </c>
      <c r="AE9778">
        <v>0.14312730000000001</v>
      </c>
      <c r="AF9778">
        <v>747.47109999999998</v>
      </c>
      <c r="AG9778">
        <f>IFERROR(AH9778*0.1, "N/A")</f>
        <v>5.400525</v>
      </c>
      <c r="AH9778">
        <v>54.005249999999997</v>
      </c>
      <c r="AI9778">
        <v>96.897069999999999</v>
      </c>
      <c r="AJ9778">
        <v>29.99475</v>
      </c>
      <c r="AK9778">
        <v>50.005249999999997</v>
      </c>
    </row>
    <row r="9779" spans="1:37" x14ac:dyDescent="0.3">
      <c r="A9779">
        <v>9778</v>
      </c>
      <c r="B9779">
        <v>2.1</v>
      </c>
      <c r="C9779">
        <v>12.9389</v>
      </c>
      <c r="D9779">
        <v>4.88889</v>
      </c>
      <c r="E9779" t="s">
        <v>14824</v>
      </c>
      <c r="F9779" t="s">
        <v>14825</v>
      </c>
      <c r="G9779" t="s">
        <v>39</v>
      </c>
      <c r="H9779">
        <v>1990</v>
      </c>
      <c r="I9779">
        <v>23.8</v>
      </c>
      <c r="J9779">
        <v>9.9</v>
      </c>
      <c r="K9779">
        <v>77</v>
      </c>
      <c r="L9779">
        <v>7.52</v>
      </c>
      <c r="M9779">
        <v>30.8</v>
      </c>
      <c r="N9779">
        <v>18.100000000000001</v>
      </c>
      <c r="O9779">
        <v>12.7</v>
      </c>
      <c r="P9779">
        <v>23</v>
      </c>
      <c r="Q9779">
        <v>24.1</v>
      </c>
      <c r="R9779">
        <v>24.7</v>
      </c>
      <c r="S9779">
        <v>22.7</v>
      </c>
      <c r="T9779">
        <v>1535</v>
      </c>
      <c r="U9779">
        <v>285</v>
      </c>
      <c r="V9779">
        <v>12</v>
      </c>
      <c r="W9779">
        <v>67</v>
      </c>
      <c r="X9779">
        <v>701</v>
      </c>
      <c r="Y9779">
        <v>58</v>
      </c>
      <c r="Z9779">
        <v>267</v>
      </c>
      <c r="AA9779">
        <v>536</v>
      </c>
      <c r="AB9779">
        <v>56.109940000000002</v>
      </c>
      <c r="AC9779">
        <v>9.5317059999999992E-3</v>
      </c>
      <c r="AD9779">
        <v>5.4567019999999999</v>
      </c>
      <c r="AE9779">
        <v>0.14046149999999999</v>
      </c>
      <c r="AF9779">
        <v>700.32050000000004</v>
      </c>
      <c r="AG9779">
        <f>IFERROR(AH9779*0.1, "N/A")</f>
        <v>5.2728549999999998</v>
      </c>
      <c r="AH9779">
        <v>52.728549999999998</v>
      </c>
      <c r="AI9779">
        <v>96.146370000000005</v>
      </c>
      <c r="AJ9779">
        <v>34.693519999999999</v>
      </c>
      <c r="AK9779">
        <v>52.194400000000002</v>
      </c>
    </row>
    <row r="9780" spans="1:37" x14ac:dyDescent="0.3">
      <c r="A9780">
        <v>9779</v>
      </c>
      <c r="B9780">
        <v>0</v>
      </c>
      <c r="C9780">
        <v>12.9389</v>
      </c>
      <c r="D9780">
        <v>4.88889</v>
      </c>
      <c r="E9780" t="s">
        <v>14824</v>
      </c>
      <c r="F9780" t="s">
        <v>14826</v>
      </c>
      <c r="G9780" t="s">
        <v>37</v>
      </c>
      <c r="H9780">
        <v>1990</v>
      </c>
      <c r="I9780">
        <v>23.8</v>
      </c>
      <c r="J9780">
        <v>9.9</v>
      </c>
      <c r="K9780">
        <v>77</v>
      </c>
      <c r="L9780">
        <v>7.52</v>
      </c>
      <c r="M9780">
        <v>30.8</v>
      </c>
      <c r="N9780">
        <v>18.100000000000001</v>
      </c>
      <c r="O9780">
        <v>12.7</v>
      </c>
      <c r="P9780">
        <v>23</v>
      </c>
      <c r="Q9780">
        <v>24.1</v>
      </c>
      <c r="R9780">
        <v>24.7</v>
      </c>
      <c r="S9780">
        <v>22.7</v>
      </c>
      <c r="T9780">
        <v>1535</v>
      </c>
      <c r="U9780">
        <v>285</v>
      </c>
      <c r="V9780">
        <v>12</v>
      </c>
      <c r="W9780">
        <v>67</v>
      </c>
      <c r="X9780">
        <v>701</v>
      </c>
      <c r="Y9780">
        <v>58</v>
      </c>
      <c r="Z9780">
        <v>267</v>
      </c>
      <c r="AA9780">
        <v>536</v>
      </c>
      <c r="AB9780">
        <v>56.109940000000002</v>
      </c>
      <c r="AC9780">
        <v>9.5317059999999992E-3</v>
      </c>
      <c r="AD9780">
        <v>5.4567019999999999</v>
      </c>
      <c r="AE9780">
        <v>0.14046149999999999</v>
      </c>
      <c r="AF9780">
        <v>700.32050000000004</v>
      </c>
      <c r="AG9780">
        <f>IFERROR(AH9780*0.1, "N/A")</f>
        <v>5.2728549999999998</v>
      </c>
      <c r="AH9780">
        <v>52.728549999999998</v>
      </c>
      <c r="AI9780">
        <v>96.146370000000005</v>
      </c>
      <c r="AJ9780">
        <v>34.693519999999999</v>
      </c>
      <c r="AK9780">
        <v>52.194400000000002</v>
      </c>
    </row>
    <row r="9781" spans="1:37" x14ac:dyDescent="0.3">
      <c r="A9781">
        <v>9780</v>
      </c>
      <c r="B9781">
        <v>0</v>
      </c>
      <c r="C9781">
        <v>12.9389</v>
      </c>
      <c r="D9781">
        <v>4.88889</v>
      </c>
      <c r="E9781" t="s">
        <v>14824</v>
      </c>
      <c r="F9781" t="s">
        <v>14827</v>
      </c>
      <c r="G9781" t="s">
        <v>2420</v>
      </c>
      <c r="H9781">
        <v>1990</v>
      </c>
      <c r="I9781">
        <v>23.8</v>
      </c>
      <c r="J9781">
        <v>9.9</v>
      </c>
      <c r="K9781">
        <v>77</v>
      </c>
      <c r="L9781">
        <v>7.52</v>
      </c>
      <c r="M9781">
        <v>30.8</v>
      </c>
      <c r="N9781">
        <v>18.100000000000001</v>
      </c>
      <c r="O9781">
        <v>12.7</v>
      </c>
      <c r="P9781">
        <v>23</v>
      </c>
      <c r="Q9781">
        <v>24.1</v>
      </c>
      <c r="R9781">
        <v>24.7</v>
      </c>
      <c r="S9781">
        <v>22.7</v>
      </c>
      <c r="T9781">
        <v>1535</v>
      </c>
      <c r="U9781">
        <v>285</v>
      </c>
      <c r="V9781">
        <v>12</v>
      </c>
      <c r="W9781">
        <v>67</v>
      </c>
      <c r="X9781">
        <v>701</v>
      </c>
      <c r="Y9781">
        <v>58</v>
      </c>
      <c r="Z9781">
        <v>267</v>
      </c>
      <c r="AA9781">
        <v>536</v>
      </c>
      <c r="AB9781">
        <v>56.109940000000002</v>
      </c>
      <c r="AC9781">
        <v>9.5317059999999992E-3</v>
      </c>
      <c r="AD9781">
        <v>5.4567019999999999</v>
      </c>
      <c r="AE9781">
        <v>0.14046149999999999</v>
      </c>
      <c r="AF9781">
        <v>700.32050000000004</v>
      </c>
      <c r="AG9781">
        <f>IFERROR(AH9781*0.1, "N/A")</f>
        <v>5.2728549999999998</v>
      </c>
      <c r="AH9781">
        <v>52.728549999999998</v>
      </c>
      <c r="AI9781">
        <v>96.146370000000005</v>
      </c>
      <c r="AJ9781">
        <v>34.693519999999999</v>
      </c>
      <c r="AK9781">
        <v>52.194400000000002</v>
      </c>
    </row>
    <row r="9782" spans="1:37" x14ac:dyDescent="0.3">
      <c r="A9782">
        <v>9781</v>
      </c>
      <c r="B9782">
        <v>3</v>
      </c>
      <c r="C9782">
        <v>10.7828</v>
      </c>
      <c r="D9782">
        <v>4.8925000000000001</v>
      </c>
      <c r="E9782" t="s">
        <v>14828</v>
      </c>
      <c r="F9782" t="s">
        <v>14829</v>
      </c>
      <c r="G9782" t="s">
        <v>39</v>
      </c>
      <c r="H9782">
        <v>1990</v>
      </c>
      <c r="I9782">
        <v>23.893529999999998</v>
      </c>
      <c r="J9782">
        <v>9.3000000000000007</v>
      </c>
      <c r="K9782">
        <v>75</v>
      </c>
      <c r="L9782">
        <v>9.7002970000000008</v>
      </c>
      <c r="M9782">
        <v>30.99353</v>
      </c>
      <c r="N9782">
        <v>18.593530000000001</v>
      </c>
      <c r="O9782">
        <v>12.4</v>
      </c>
      <c r="P9782">
        <v>22.793530000000001</v>
      </c>
      <c r="Q9782">
        <v>24.693529999999999</v>
      </c>
      <c r="R9782">
        <v>24.99353</v>
      </c>
      <c r="S9782">
        <v>22.49353</v>
      </c>
      <c r="T9782">
        <v>2013.3530000000001</v>
      </c>
      <c r="U9782">
        <v>355.87060000000002</v>
      </c>
      <c r="V9782">
        <v>8</v>
      </c>
      <c r="W9782">
        <v>70</v>
      </c>
      <c r="X9782">
        <v>984.61189999999999</v>
      </c>
      <c r="Y9782">
        <v>47</v>
      </c>
      <c r="Z9782">
        <v>312</v>
      </c>
      <c r="AA9782">
        <v>907.61189999999999</v>
      </c>
      <c r="AB9782">
        <v>15.662409999999999</v>
      </c>
      <c r="AC9782">
        <v>1.0676450000000001E-2</v>
      </c>
      <c r="AD9782">
        <v>3.8008890000000002</v>
      </c>
      <c r="AE9782">
        <v>0.63677430000000002</v>
      </c>
      <c r="AF9782">
        <v>724.79899999999998</v>
      </c>
      <c r="AG9782">
        <f>IFERROR(AH9782*0.1, "N/A")</f>
        <v>5.1935310000000001</v>
      </c>
      <c r="AH9782">
        <v>51.935310000000001</v>
      </c>
      <c r="AI9782">
        <v>262.98419999999999</v>
      </c>
      <c r="AJ9782">
        <v>31.20804</v>
      </c>
      <c r="AK9782">
        <v>52.791960000000003</v>
      </c>
    </row>
    <row r="9783" spans="1:37" x14ac:dyDescent="0.3">
      <c r="A9783">
        <v>9782</v>
      </c>
      <c r="B9783">
        <v>81.599999999999994</v>
      </c>
      <c r="C9783">
        <v>10.7828</v>
      </c>
      <c r="D9783">
        <v>4.8925000000000001</v>
      </c>
      <c r="E9783" t="s">
        <v>14828</v>
      </c>
      <c r="F9783" t="s">
        <v>14830</v>
      </c>
      <c r="G9783" t="s">
        <v>37</v>
      </c>
      <c r="H9783">
        <v>1990</v>
      </c>
      <c r="I9783">
        <v>23.893529999999998</v>
      </c>
      <c r="J9783">
        <v>9.3000000000000007</v>
      </c>
      <c r="K9783">
        <v>75</v>
      </c>
      <c r="L9783">
        <v>9.7002970000000008</v>
      </c>
      <c r="M9783">
        <v>30.99353</v>
      </c>
      <c r="N9783">
        <v>18.593530000000001</v>
      </c>
      <c r="O9783">
        <v>12.4</v>
      </c>
      <c r="P9783">
        <v>22.793530000000001</v>
      </c>
      <c r="Q9783">
        <v>24.693529999999999</v>
      </c>
      <c r="R9783">
        <v>24.99353</v>
      </c>
      <c r="S9783">
        <v>22.49353</v>
      </c>
      <c r="T9783">
        <v>2013.3530000000001</v>
      </c>
      <c r="U9783">
        <v>355.87060000000002</v>
      </c>
      <c r="V9783">
        <v>8</v>
      </c>
      <c r="W9783">
        <v>70</v>
      </c>
      <c r="X9783">
        <v>984.61189999999999</v>
      </c>
      <c r="Y9783">
        <v>47</v>
      </c>
      <c r="Z9783">
        <v>312</v>
      </c>
      <c r="AA9783">
        <v>907.61189999999999</v>
      </c>
      <c r="AB9783">
        <v>15.662409999999999</v>
      </c>
      <c r="AC9783">
        <v>1.0676450000000001E-2</v>
      </c>
      <c r="AD9783">
        <v>3.8008890000000002</v>
      </c>
      <c r="AE9783">
        <v>0.63677430000000002</v>
      </c>
      <c r="AF9783">
        <v>724.79899999999998</v>
      </c>
      <c r="AG9783">
        <f>IFERROR(AH9783*0.1, "N/A")</f>
        <v>5.1935310000000001</v>
      </c>
      <c r="AH9783">
        <v>51.935310000000001</v>
      </c>
      <c r="AI9783">
        <v>262.98419999999999</v>
      </c>
      <c r="AJ9783">
        <v>31.20804</v>
      </c>
      <c r="AK9783">
        <v>52.791960000000003</v>
      </c>
    </row>
    <row r="9784" spans="1:37" x14ac:dyDescent="0.3">
      <c r="A9784">
        <v>9783</v>
      </c>
      <c r="B9784">
        <v>0</v>
      </c>
      <c r="C9784">
        <v>10.7828</v>
      </c>
      <c r="D9784">
        <v>4.8925000000000001</v>
      </c>
      <c r="E9784" t="s">
        <v>14828</v>
      </c>
      <c r="F9784" t="s">
        <v>14831</v>
      </c>
      <c r="G9784" t="s">
        <v>2420</v>
      </c>
      <c r="H9784">
        <v>1990</v>
      </c>
      <c r="I9784">
        <v>23.893529999999998</v>
      </c>
      <c r="J9784">
        <v>9.3000000000000007</v>
      </c>
      <c r="K9784">
        <v>75</v>
      </c>
      <c r="L9784">
        <v>9.7002970000000008</v>
      </c>
      <c r="M9784">
        <v>30.99353</v>
      </c>
      <c r="N9784">
        <v>18.593530000000001</v>
      </c>
      <c r="O9784">
        <v>12.4</v>
      </c>
      <c r="P9784">
        <v>22.793530000000001</v>
      </c>
      <c r="Q9784">
        <v>24.693529999999999</v>
      </c>
      <c r="R9784">
        <v>24.99353</v>
      </c>
      <c r="S9784">
        <v>22.49353</v>
      </c>
      <c r="T9784">
        <v>2013.3530000000001</v>
      </c>
      <c r="U9784">
        <v>355.87060000000002</v>
      </c>
      <c r="V9784">
        <v>8</v>
      </c>
      <c r="W9784">
        <v>70</v>
      </c>
      <c r="X9784">
        <v>984.61189999999999</v>
      </c>
      <c r="Y9784">
        <v>47</v>
      </c>
      <c r="Z9784">
        <v>312</v>
      </c>
      <c r="AA9784">
        <v>907.61189999999999</v>
      </c>
      <c r="AB9784">
        <v>15.662409999999999</v>
      </c>
      <c r="AC9784">
        <v>1.0676450000000001E-2</v>
      </c>
      <c r="AD9784">
        <v>3.8008890000000002</v>
      </c>
      <c r="AE9784">
        <v>0.63677430000000002</v>
      </c>
      <c r="AF9784">
        <v>724.79899999999998</v>
      </c>
      <c r="AG9784">
        <f>IFERROR(AH9784*0.1, "N/A")</f>
        <v>5.1935310000000001</v>
      </c>
      <c r="AH9784">
        <v>51.935310000000001</v>
      </c>
      <c r="AI9784">
        <v>262.98419999999999</v>
      </c>
      <c r="AJ9784">
        <v>31.20804</v>
      </c>
      <c r="AK9784">
        <v>52.791960000000003</v>
      </c>
    </row>
    <row r="9785" spans="1:37" x14ac:dyDescent="0.3">
      <c r="A9785">
        <v>9784</v>
      </c>
      <c r="B9785">
        <v>0</v>
      </c>
      <c r="C9785">
        <v>12.5</v>
      </c>
      <c r="D9785">
        <v>4.9000000000000004</v>
      </c>
      <c r="E9785" t="s">
        <v>14832</v>
      </c>
      <c r="F9785" t="s">
        <v>14833</v>
      </c>
      <c r="G9785" t="s">
        <v>39</v>
      </c>
      <c r="H9785">
        <v>1990</v>
      </c>
      <c r="I9785">
        <v>24.387370000000001</v>
      </c>
      <c r="J9785">
        <v>9.6126319999999996</v>
      </c>
      <c r="K9785">
        <v>77.126320000000007</v>
      </c>
      <c r="L9785">
        <v>8.1785610000000002</v>
      </c>
      <c r="M9785">
        <v>31.487369999999999</v>
      </c>
      <c r="N9785">
        <v>19.08737</v>
      </c>
      <c r="O9785">
        <v>12.4</v>
      </c>
      <c r="P9785">
        <v>23.61983</v>
      </c>
      <c r="Q9785">
        <v>24.887370000000001</v>
      </c>
      <c r="R9785">
        <v>25.419820000000001</v>
      </c>
      <c r="S9785">
        <v>23.332460000000001</v>
      </c>
      <c r="T9785">
        <v>1516.8019999999999</v>
      </c>
      <c r="U9785">
        <v>297.54039999999998</v>
      </c>
      <c r="V9785">
        <v>9</v>
      </c>
      <c r="W9785">
        <v>70</v>
      </c>
      <c r="X9785">
        <v>707.80179999999996</v>
      </c>
      <c r="Y9785">
        <v>49</v>
      </c>
      <c r="Z9785">
        <v>263.6035</v>
      </c>
      <c r="AA9785">
        <v>458.7158</v>
      </c>
      <c r="AB9785">
        <v>15.464370000000001</v>
      </c>
      <c r="AC9785">
        <v>8.9954019999999996E-3</v>
      </c>
      <c r="AD9785">
        <v>0.92401319999999998</v>
      </c>
      <c r="AE9785">
        <v>0.1123999</v>
      </c>
      <c r="AF9785">
        <v>606.36320000000001</v>
      </c>
      <c r="AG9785">
        <f>IFERROR(AH9785*0.1, "N/A")</f>
        <v>5.1505260000000002</v>
      </c>
      <c r="AH9785">
        <v>51.50526</v>
      </c>
      <c r="AI9785">
        <v>149.613</v>
      </c>
      <c r="AJ9785">
        <v>33</v>
      </c>
      <c r="AK9785">
        <v>54.550879999999999</v>
      </c>
    </row>
    <row r="9786" spans="1:37" x14ac:dyDescent="0.3">
      <c r="A9786">
        <v>9785</v>
      </c>
      <c r="B9786">
        <v>5</v>
      </c>
      <c r="C9786">
        <v>12.5</v>
      </c>
      <c r="D9786">
        <v>4.9000000000000004</v>
      </c>
      <c r="E9786" t="s">
        <v>14832</v>
      </c>
      <c r="F9786" t="s">
        <v>14834</v>
      </c>
      <c r="G9786" t="s">
        <v>37</v>
      </c>
      <c r="H9786">
        <v>1990</v>
      </c>
      <c r="I9786">
        <v>24.387370000000001</v>
      </c>
      <c r="J9786">
        <v>9.6126319999999996</v>
      </c>
      <c r="K9786">
        <v>77.126320000000007</v>
      </c>
      <c r="L9786">
        <v>8.1785610000000002</v>
      </c>
      <c r="M9786">
        <v>31.487369999999999</v>
      </c>
      <c r="N9786">
        <v>19.08737</v>
      </c>
      <c r="O9786">
        <v>12.4</v>
      </c>
      <c r="P9786">
        <v>23.61983</v>
      </c>
      <c r="Q9786">
        <v>24.887370000000001</v>
      </c>
      <c r="R9786">
        <v>25.419820000000001</v>
      </c>
      <c r="S9786">
        <v>23.332460000000001</v>
      </c>
      <c r="T9786">
        <v>1516.8019999999999</v>
      </c>
      <c r="U9786">
        <v>297.54039999999998</v>
      </c>
      <c r="V9786">
        <v>9</v>
      </c>
      <c r="W9786">
        <v>70</v>
      </c>
      <c r="X9786">
        <v>707.80179999999996</v>
      </c>
      <c r="Y9786">
        <v>49</v>
      </c>
      <c r="Z9786">
        <v>263.6035</v>
      </c>
      <c r="AA9786">
        <v>458.7158</v>
      </c>
      <c r="AB9786">
        <v>15.464370000000001</v>
      </c>
      <c r="AC9786">
        <v>8.9954019999999996E-3</v>
      </c>
      <c r="AD9786">
        <v>0.92401319999999998</v>
      </c>
      <c r="AE9786">
        <v>0.1123999</v>
      </c>
      <c r="AF9786">
        <v>606.36320000000001</v>
      </c>
      <c r="AG9786">
        <f>IFERROR(AH9786*0.1, "N/A")</f>
        <v>5.1505260000000002</v>
      </c>
      <c r="AH9786">
        <v>51.50526</v>
      </c>
      <c r="AI9786">
        <v>149.613</v>
      </c>
      <c r="AJ9786">
        <v>33</v>
      </c>
      <c r="AK9786">
        <v>54.550879999999999</v>
      </c>
    </row>
    <row r="9787" spans="1:37" x14ac:dyDescent="0.3">
      <c r="A9787">
        <v>9786</v>
      </c>
      <c r="B9787">
        <v>0</v>
      </c>
      <c r="C9787">
        <v>12.5</v>
      </c>
      <c r="D9787">
        <v>4.9000000000000004</v>
      </c>
      <c r="E9787" t="s">
        <v>14832</v>
      </c>
      <c r="F9787" t="s">
        <v>14835</v>
      </c>
      <c r="G9787" t="s">
        <v>2420</v>
      </c>
      <c r="H9787">
        <v>1990</v>
      </c>
      <c r="I9787">
        <v>24.387370000000001</v>
      </c>
      <c r="J9787">
        <v>9.6126319999999996</v>
      </c>
      <c r="K9787">
        <v>77.126320000000007</v>
      </c>
      <c r="L9787">
        <v>8.1785610000000002</v>
      </c>
      <c r="M9787">
        <v>31.487369999999999</v>
      </c>
      <c r="N9787">
        <v>19.08737</v>
      </c>
      <c r="O9787">
        <v>12.4</v>
      </c>
      <c r="P9787">
        <v>23.61983</v>
      </c>
      <c r="Q9787">
        <v>24.887370000000001</v>
      </c>
      <c r="R9787">
        <v>25.419820000000001</v>
      </c>
      <c r="S9787">
        <v>23.332460000000001</v>
      </c>
      <c r="T9787">
        <v>1516.8019999999999</v>
      </c>
      <c r="U9787">
        <v>297.54039999999998</v>
      </c>
      <c r="V9787">
        <v>9</v>
      </c>
      <c r="W9787">
        <v>70</v>
      </c>
      <c r="X9787">
        <v>707.80179999999996</v>
      </c>
      <c r="Y9787">
        <v>49</v>
      </c>
      <c r="Z9787">
        <v>263.6035</v>
      </c>
      <c r="AA9787">
        <v>458.7158</v>
      </c>
      <c r="AB9787">
        <v>15.464370000000001</v>
      </c>
      <c r="AC9787">
        <v>8.9954019999999996E-3</v>
      </c>
      <c r="AD9787">
        <v>0.92401319999999998</v>
      </c>
      <c r="AE9787">
        <v>0.1123999</v>
      </c>
      <c r="AF9787">
        <v>606.36320000000001</v>
      </c>
      <c r="AG9787">
        <f>IFERROR(AH9787*0.1, "N/A")</f>
        <v>5.1505260000000002</v>
      </c>
      <c r="AH9787">
        <v>51.50526</v>
      </c>
      <c r="AI9787">
        <v>149.613</v>
      </c>
      <c r="AJ9787">
        <v>33</v>
      </c>
      <c r="AK9787">
        <v>54.550879999999999</v>
      </c>
    </row>
    <row r="9788" spans="1:37" x14ac:dyDescent="0.3">
      <c r="A9788">
        <v>9787</v>
      </c>
      <c r="B9788">
        <v>1.97</v>
      </c>
      <c r="C9788">
        <v>10.729900000000001</v>
      </c>
      <c r="D9788">
        <v>4.9153500000000001</v>
      </c>
      <c r="E9788" t="s">
        <v>14836</v>
      </c>
      <c r="F9788" t="s">
        <v>14837</v>
      </c>
      <c r="G9788" t="s">
        <v>37</v>
      </c>
      <c r="H9788">
        <v>2001</v>
      </c>
      <c r="I9788">
        <v>23.6</v>
      </c>
      <c r="J9788">
        <v>9.3000000000000007</v>
      </c>
      <c r="K9788">
        <v>75</v>
      </c>
      <c r="L9788">
        <v>9.65</v>
      </c>
      <c r="M9788">
        <v>30.7</v>
      </c>
      <c r="N9788">
        <v>18.3</v>
      </c>
      <c r="O9788">
        <v>12.4</v>
      </c>
      <c r="P9788">
        <v>22.6</v>
      </c>
      <c r="Q9788">
        <v>24.4</v>
      </c>
      <c r="R9788">
        <v>24.7</v>
      </c>
      <c r="S9788">
        <v>22.2</v>
      </c>
      <c r="T9788">
        <v>2051</v>
      </c>
      <c r="U9788">
        <v>364</v>
      </c>
      <c r="V9788">
        <v>8</v>
      </c>
      <c r="W9788">
        <v>70</v>
      </c>
      <c r="X9788">
        <v>1004</v>
      </c>
      <c r="Y9788">
        <v>48</v>
      </c>
      <c r="Z9788">
        <v>316</v>
      </c>
      <c r="AA9788">
        <v>938</v>
      </c>
      <c r="AB9788">
        <v>39.919960000000003</v>
      </c>
      <c r="AC9788">
        <v>1.075445E-2</v>
      </c>
      <c r="AD9788">
        <v>3.537264</v>
      </c>
      <c r="AE9788">
        <v>0.36705320000000002</v>
      </c>
      <c r="AF9788">
        <v>781.33799999999997</v>
      </c>
      <c r="AG9788">
        <f>IFERROR(AH9788*0.1, "N/A")</f>
        <v>5.2658490000000002</v>
      </c>
      <c r="AH9788">
        <v>52.65849</v>
      </c>
      <c r="AI9788">
        <v>209.33850000000001</v>
      </c>
      <c r="AJ9788">
        <v>31.049040000000002</v>
      </c>
      <c r="AK9788">
        <v>49.437829999999998</v>
      </c>
    </row>
    <row r="9789" spans="1:37" x14ac:dyDescent="0.3">
      <c r="A9789">
        <v>9788</v>
      </c>
      <c r="B9789">
        <v>0.4</v>
      </c>
      <c r="C9789">
        <v>10.729900000000001</v>
      </c>
      <c r="D9789">
        <v>4.9153500000000001</v>
      </c>
      <c r="E9789" t="s">
        <v>14836</v>
      </c>
      <c r="F9789" t="s">
        <v>14838</v>
      </c>
      <c r="G9789" t="s">
        <v>39</v>
      </c>
      <c r="H9789">
        <v>2001</v>
      </c>
      <c r="I9789">
        <v>23.6</v>
      </c>
      <c r="J9789">
        <v>9.3000000000000007</v>
      </c>
      <c r="K9789">
        <v>75</v>
      </c>
      <c r="L9789">
        <v>9.65</v>
      </c>
      <c r="M9789">
        <v>30.7</v>
      </c>
      <c r="N9789">
        <v>18.3</v>
      </c>
      <c r="O9789">
        <v>12.4</v>
      </c>
      <c r="P9789">
        <v>22.6</v>
      </c>
      <c r="Q9789">
        <v>24.4</v>
      </c>
      <c r="R9789">
        <v>24.7</v>
      </c>
      <c r="S9789">
        <v>22.2</v>
      </c>
      <c r="T9789">
        <v>2051</v>
      </c>
      <c r="U9789">
        <v>364</v>
      </c>
      <c r="V9789">
        <v>8</v>
      </c>
      <c r="W9789">
        <v>70</v>
      </c>
      <c r="X9789">
        <v>1004</v>
      </c>
      <c r="Y9789">
        <v>48</v>
      </c>
      <c r="Z9789">
        <v>316</v>
      </c>
      <c r="AA9789">
        <v>938</v>
      </c>
      <c r="AB9789">
        <v>39.919960000000003</v>
      </c>
      <c r="AC9789">
        <v>1.075445E-2</v>
      </c>
      <c r="AD9789">
        <v>3.537264</v>
      </c>
      <c r="AE9789">
        <v>0.36705320000000002</v>
      </c>
      <c r="AF9789">
        <v>781.33799999999997</v>
      </c>
      <c r="AG9789">
        <f>IFERROR(AH9789*0.1, "N/A")</f>
        <v>5.2658490000000002</v>
      </c>
      <c r="AH9789">
        <v>52.65849</v>
      </c>
      <c r="AI9789">
        <v>209.33850000000001</v>
      </c>
      <c r="AJ9789">
        <v>31.049040000000002</v>
      </c>
      <c r="AK9789">
        <v>49.437829999999998</v>
      </c>
    </row>
    <row r="9790" spans="1:37" x14ac:dyDescent="0.3">
      <c r="A9790">
        <v>9789</v>
      </c>
      <c r="B9790">
        <v>0.5</v>
      </c>
      <c r="C9790">
        <v>10.729900000000001</v>
      </c>
      <c r="D9790">
        <v>4.9153500000000001</v>
      </c>
      <c r="E9790" t="s">
        <v>14836</v>
      </c>
      <c r="F9790" t="s">
        <v>14839</v>
      </c>
      <c r="G9790" t="s">
        <v>2420</v>
      </c>
      <c r="H9790">
        <v>2001</v>
      </c>
      <c r="I9790">
        <v>23.6</v>
      </c>
      <c r="J9790">
        <v>9.3000000000000007</v>
      </c>
      <c r="K9790">
        <v>75</v>
      </c>
      <c r="L9790">
        <v>9.65</v>
      </c>
      <c r="M9790">
        <v>30.7</v>
      </c>
      <c r="N9790">
        <v>18.3</v>
      </c>
      <c r="O9790">
        <v>12.4</v>
      </c>
      <c r="P9790">
        <v>22.6</v>
      </c>
      <c r="Q9790">
        <v>24.4</v>
      </c>
      <c r="R9790">
        <v>24.7</v>
      </c>
      <c r="S9790">
        <v>22.2</v>
      </c>
      <c r="T9790">
        <v>2051</v>
      </c>
      <c r="U9790">
        <v>364</v>
      </c>
      <c r="V9790">
        <v>8</v>
      </c>
      <c r="W9790">
        <v>70</v>
      </c>
      <c r="X9790">
        <v>1004</v>
      </c>
      <c r="Y9790">
        <v>48</v>
      </c>
      <c r="Z9790">
        <v>316</v>
      </c>
      <c r="AA9790">
        <v>938</v>
      </c>
      <c r="AB9790">
        <v>39.919960000000003</v>
      </c>
      <c r="AC9790">
        <v>1.075445E-2</v>
      </c>
      <c r="AD9790">
        <v>3.537264</v>
      </c>
      <c r="AE9790">
        <v>0.36705320000000002</v>
      </c>
      <c r="AF9790">
        <v>781.33799999999997</v>
      </c>
      <c r="AG9790">
        <f>IFERROR(AH9790*0.1, "N/A")</f>
        <v>5.2658490000000002</v>
      </c>
      <c r="AH9790">
        <v>52.65849</v>
      </c>
      <c r="AI9790">
        <v>209.33850000000001</v>
      </c>
      <c r="AJ9790">
        <v>31.049040000000002</v>
      </c>
      <c r="AK9790">
        <v>49.437829999999998</v>
      </c>
    </row>
    <row r="9791" spans="1:37" x14ac:dyDescent="0.3">
      <c r="A9791">
        <v>9790</v>
      </c>
      <c r="B9791">
        <v>6.3</v>
      </c>
      <c r="C9791">
        <v>13.2889</v>
      </c>
      <c r="D9791">
        <v>4.9166699999999999</v>
      </c>
      <c r="E9791" t="s">
        <v>14840</v>
      </c>
      <c r="F9791" t="s">
        <v>14841</v>
      </c>
      <c r="G9791" t="s">
        <v>39</v>
      </c>
      <c r="H9791">
        <v>1990</v>
      </c>
      <c r="I9791">
        <v>24.167310000000001</v>
      </c>
      <c r="J9791">
        <v>10.1</v>
      </c>
      <c r="K9791">
        <v>77</v>
      </c>
      <c r="L9791">
        <v>7.4561539999999997</v>
      </c>
      <c r="M9791">
        <v>31.167310000000001</v>
      </c>
      <c r="N9791">
        <v>18.067309999999999</v>
      </c>
      <c r="O9791">
        <v>13.1</v>
      </c>
      <c r="P9791">
        <v>23.467310000000001</v>
      </c>
      <c r="Q9791">
        <v>24.3</v>
      </c>
      <c r="R9791">
        <v>25.067309999999999</v>
      </c>
      <c r="S9791">
        <v>23.167310000000001</v>
      </c>
      <c r="T9791">
        <v>1529.981</v>
      </c>
      <c r="U9791">
        <v>272.32690000000002</v>
      </c>
      <c r="V9791">
        <v>13</v>
      </c>
      <c r="W9791">
        <v>65</v>
      </c>
      <c r="X9791">
        <v>692</v>
      </c>
      <c r="Y9791">
        <v>60</v>
      </c>
      <c r="Z9791">
        <v>262.65379999999999</v>
      </c>
      <c r="AA9791">
        <v>484.76920000000001</v>
      </c>
      <c r="AB9791">
        <v>1.124139</v>
      </c>
      <c r="AC9791">
        <v>0.99586390000000002</v>
      </c>
      <c r="AD9791">
        <v>2.1288779999999998</v>
      </c>
      <c r="AE9791">
        <v>0.78253640000000002</v>
      </c>
      <c r="AF9791">
        <v>609.93010000000004</v>
      </c>
      <c r="AG9791">
        <f>IFERROR(AH9791*0.1, "N/A")</f>
        <v>5.1005240000000001</v>
      </c>
      <c r="AH9791">
        <v>51.005240000000001</v>
      </c>
      <c r="AI9791">
        <v>171.78890000000001</v>
      </c>
      <c r="AJ9791">
        <v>27.99126</v>
      </c>
      <c r="AK9791">
        <v>59.005240000000001</v>
      </c>
    </row>
    <row r="9792" spans="1:37" x14ac:dyDescent="0.3">
      <c r="A9792">
        <v>9791</v>
      </c>
      <c r="B9792">
        <v>0</v>
      </c>
      <c r="C9792">
        <v>13.2889</v>
      </c>
      <c r="D9792">
        <v>4.9166699999999999</v>
      </c>
      <c r="E9792" t="s">
        <v>14840</v>
      </c>
      <c r="F9792" t="s">
        <v>14842</v>
      </c>
      <c r="G9792" t="s">
        <v>37</v>
      </c>
      <c r="H9792">
        <v>1990</v>
      </c>
      <c r="I9792">
        <v>24.167310000000001</v>
      </c>
      <c r="J9792">
        <v>10.1</v>
      </c>
      <c r="K9792">
        <v>77</v>
      </c>
      <c r="L9792">
        <v>7.4561539999999997</v>
      </c>
      <c r="M9792">
        <v>31.167310000000001</v>
      </c>
      <c r="N9792">
        <v>18.067309999999999</v>
      </c>
      <c r="O9792">
        <v>13.1</v>
      </c>
      <c r="P9792">
        <v>23.467310000000001</v>
      </c>
      <c r="Q9792">
        <v>24.3</v>
      </c>
      <c r="R9792">
        <v>25.067309999999999</v>
      </c>
      <c r="S9792">
        <v>23.167310000000001</v>
      </c>
      <c r="T9792">
        <v>1529.981</v>
      </c>
      <c r="U9792">
        <v>272.32690000000002</v>
      </c>
      <c r="V9792">
        <v>13</v>
      </c>
      <c r="W9792">
        <v>65</v>
      </c>
      <c r="X9792">
        <v>692</v>
      </c>
      <c r="Y9792">
        <v>60</v>
      </c>
      <c r="Z9792">
        <v>262.65379999999999</v>
      </c>
      <c r="AA9792">
        <v>484.76920000000001</v>
      </c>
      <c r="AB9792">
        <v>1.124139</v>
      </c>
      <c r="AC9792">
        <v>0.99586390000000002</v>
      </c>
      <c r="AD9792">
        <v>2.1288779999999998</v>
      </c>
      <c r="AE9792">
        <v>0.78253640000000002</v>
      </c>
      <c r="AF9792">
        <v>609.93010000000004</v>
      </c>
      <c r="AG9792">
        <f>IFERROR(AH9792*0.1, "N/A")</f>
        <v>5.1005240000000001</v>
      </c>
      <c r="AH9792">
        <v>51.005240000000001</v>
      </c>
      <c r="AI9792">
        <v>171.78890000000001</v>
      </c>
      <c r="AJ9792">
        <v>27.99126</v>
      </c>
      <c r="AK9792">
        <v>59.005240000000001</v>
      </c>
    </row>
    <row r="9793" spans="1:37" x14ac:dyDescent="0.3">
      <c r="A9793">
        <v>9792</v>
      </c>
      <c r="B9793">
        <v>0</v>
      </c>
      <c r="C9793">
        <v>13.2889</v>
      </c>
      <c r="D9793">
        <v>4.9166699999999999</v>
      </c>
      <c r="E9793" t="s">
        <v>14840</v>
      </c>
      <c r="F9793" t="s">
        <v>14843</v>
      </c>
      <c r="G9793" t="s">
        <v>2420</v>
      </c>
      <c r="H9793">
        <v>1990</v>
      </c>
      <c r="I9793">
        <v>24.167310000000001</v>
      </c>
      <c r="J9793">
        <v>10.1</v>
      </c>
      <c r="K9793">
        <v>77</v>
      </c>
      <c r="L9793">
        <v>7.4561539999999997</v>
      </c>
      <c r="M9793">
        <v>31.167310000000001</v>
      </c>
      <c r="N9793">
        <v>18.067309999999999</v>
      </c>
      <c r="O9793">
        <v>13.1</v>
      </c>
      <c r="P9793">
        <v>23.467310000000001</v>
      </c>
      <c r="Q9793">
        <v>24.3</v>
      </c>
      <c r="R9793">
        <v>25.067309999999999</v>
      </c>
      <c r="S9793">
        <v>23.167310000000001</v>
      </c>
      <c r="T9793">
        <v>1529.981</v>
      </c>
      <c r="U9793">
        <v>272.32690000000002</v>
      </c>
      <c r="V9793">
        <v>13</v>
      </c>
      <c r="W9793">
        <v>65</v>
      </c>
      <c r="X9793">
        <v>692</v>
      </c>
      <c r="Y9793">
        <v>60</v>
      </c>
      <c r="Z9793">
        <v>262.65379999999999</v>
      </c>
      <c r="AA9793">
        <v>484.76920000000001</v>
      </c>
      <c r="AB9793">
        <v>1.124139</v>
      </c>
      <c r="AC9793">
        <v>0.99586390000000002</v>
      </c>
      <c r="AD9793">
        <v>2.1288779999999998</v>
      </c>
      <c r="AE9793">
        <v>0.78253640000000002</v>
      </c>
      <c r="AF9793">
        <v>609.93010000000004</v>
      </c>
      <c r="AG9793">
        <f>IFERROR(AH9793*0.1, "N/A")</f>
        <v>5.1005240000000001</v>
      </c>
      <c r="AH9793">
        <v>51.005240000000001</v>
      </c>
      <c r="AI9793">
        <v>171.78890000000001</v>
      </c>
      <c r="AJ9793">
        <v>27.99126</v>
      </c>
      <c r="AK9793">
        <v>59.005240000000001</v>
      </c>
    </row>
    <row r="9794" spans="1:37" x14ac:dyDescent="0.3">
      <c r="A9794">
        <v>9793</v>
      </c>
      <c r="B9794">
        <v>0</v>
      </c>
      <c r="C9794">
        <v>10.752800000000001</v>
      </c>
      <c r="D9794">
        <v>4.9280600000000003</v>
      </c>
      <c r="E9794" t="s">
        <v>14844</v>
      </c>
      <c r="F9794" t="s">
        <v>14845</v>
      </c>
      <c r="G9794" t="s">
        <v>37</v>
      </c>
      <c r="H9794">
        <v>1990</v>
      </c>
      <c r="I9794">
        <v>23.3</v>
      </c>
      <c r="J9794">
        <v>9.4</v>
      </c>
      <c r="K9794">
        <v>75</v>
      </c>
      <c r="L9794">
        <v>9.3699999999999992</v>
      </c>
      <c r="M9794">
        <v>30.5</v>
      </c>
      <c r="N9794">
        <v>18.100000000000001</v>
      </c>
      <c r="O9794">
        <v>12.4</v>
      </c>
      <c r="P9794">
        <v>22.3</v>
      </c>
      <c r="Q9794">
        <v>24.1</v>
      </c>
      <c r="R9794">
        <v>24.4</v>
      </c>
      <c r="S9794">
        <v>22</v>
      </c>
      <c r="T9794">
        <v>2018</v>
      </c>
      <c r="U9794">
        <v>357</v>
      </c>
      <c r="V9794">
        <v>8</v>
      </c>
      <c r="W9794">
        <v>70</v>
      </c>
      <c r="X9794">
        <v>984</v>
      </c>
      <c r="Y9794">
        <v>48</v>
      </c>
      <c r="Z9794">
        <v>314</v>
      </c>
      <c r="AA9794">
        <v>917</v>
      </c>
      <c r="AB9794">
        <v>17.988620000000001</v>
      </c>
      <c r="AC9794">
        <v>2.1426690000000002E-2</v>
      </c>
      <c r="AD9794">
        <v>3.2664439999999999</v>
      </c>
      <c r="AE9794">
        <v>0.46914</v>
      </c>
      <c r="AF9794">
        <v>809.13329999999996</v>
      </c>
      <c r="AG9794">
        <f>IFERROR(AH9794*0.1, "N/A")</f>
        <v>5.156842000000001</v>
      </c>
      <c r="AH9794">
        <v>51.568420000000003</v>
      </c>
      <c r="AI9794">
        <v>296.8931</v>
      </c>
      <c r="AJ9794">
        <v>31.43158</v>
      </c>
      <c r="AK9794">
        <v>48.568420000000003</v>
      </c>
    </row>
    <row r="9795" spans="1:37" x14ac:dyDescent="0.3">
      <c r="A9795">
        <v>9794</v>
      </c>
      <c r="B9795">
        <v>4.8</v>
      </c>
      <c r="C9795">
        <v>10.752800000000001</v>
      </c>
      <c r="D9795">
        <v>4.9280600000000003</v>
      </c>
      <c r="E9795" t="s">
        <v>14844</v>
      </c>
      <c r="F9795" t="s">
        <v>14846</v>
      </c>
      <c r="G9795" t="s">
        <v>2420</v>
      </c>
      <c r="H9795">
        <v>1990</v>
      </c>
      <c r="I9795">
        <v>23.3</v>
      </c>
      <c r="J9795">
        <v>9.4</v>
      </c>
      <c r="K9795">
        <v>75</v>
      </c>
      <c r="L9795">
        <v>9.3699999999999992</v>
      </c>
      <c r="M9795">
        <v>30.5</v>
      </c>
      <c r="N9795">
        <v>18.100000000000001</v>
      </c>
      <c r="O9795">
        <v>12.4</v>
      </c>
      <c r="P9795">
        <v>22.3</v>
      </c>
      <c r="Q9795">
        <v>24.1</v>
      </c>
      <c r="R9795">
        <v>24.4</v>
      </c>
      <c r="S9795">
        <v>22</v>
      </c>
      <c r="T9795">
        <v>2018</v>
      </c>
      <c r="U9795">
        <v>357</v>
      </c>
      <c r="V9795">
        <v>8</v>
      </c>
      <c r="W9795">
        <v>70</v>
      </c>
      <c r="X9795">
        <v>984</v>
      </c>
      <c r="Y9795">
        <v>48</v>
      </c>
      <c r="Z9795">
        <v>314</v>
      </c>
      <c r="AA9795">
        <v>917</v>
      </c>
      <c r="AB9795">
        <v>17.988620000000001</v>
      </c>
      <c r="AC9795">
        <v>2.1426690000000002E-2</v>
      </c>
      <c r="AD9795">
        <v>3.2664439999999999</v>
      </c>
      <c r="AE9795">
        <v>0.46914</v>
      </c>
      <c r="AF9795">
        <v>809.13329999999996</v>
      </c>
      <c r="AG9795">
        <f>IFERROR(AH9795*0.1, "N/A")</f>
        <v>5.156842000000001</v>
      </c>
      <c r="AH9795">
        <v>51.568420000000003</v>
      </c>
      <c r="AI9795">
        <v>296.8931</v>
      </c>
      <c r="AJ9795">
        <v>31.43158</v>
      </c>
      <c r="AK9795">
        <v>48.568420000000003</v>
      </c>
    </row>
    <row r="9796" spans="1:37" x14ac:dyDescent="0.3">
      <c r="A9796">
        <v>9795</v>
      </c>
      <c r="B9796">
        <v>0</v>
      </c>
      <c r="C9796">
        <v>9.9333299999999998</v>
      </c>
      <c r="D9796">
        <v>4.95</v>
      </c>
      <c r="E9796" t="s">
        <v>14847</v>
      </c>
      <c r="F9796" t="s">
        <v>14848</v>
      </c>
      <c r="G9796" t="s">
        <v>39</v>
      </c>
      <c r="H9796">
        <v>1990</v>
      </c>
      <c r="I9796">
        <v>22.34178</v>
      </c>
      <c r="J9796">
        <v>9.0697559999999999</v>
      </c>
      <c r="K9796">
        <v>75.697550000000007</v>
      </c>
      <c r="L9796">
        <v>9.4322549999999996</v>
      </c>
      <c r="M9796">
        <v>29.034970000000001</v>
      </c>
      <c r="N9796">
        <v>17.111540000000002</v>
      </c>
      <c r="O9796">
        <v>11.92343</v>
      </c>
      <c r="P9796">
        <v>20.911539999999999</v>
      </c>
      <c r="Q9796">
        <v>22.93496</v>
      </c>
      <c r="R9796">
        <v>23.311540000000001</v>
      </c>
      <c r="S9796">
        <v>20.911539999999999</v>
      </c>
      <c r="T9796">
        <v>2577.2869999999998</v>
      </c>
      <c r="U9796">
        <v>483.42309999999998</v>
      </c>
      <c r="V9796">
        <v>9</v>
      </c>
      <c r="W9796">
        <v>76</v>
      </c>
      <c r="X9796">
        <v>1338.979</v>
      </c>
      <c r="Y9796">
        <v>63.833919999999999</v>
      </c>
      <c r="Z9796">
        <v>353.80770000000001</v>
      </c>
      <c r="AA9796">
        <v>1338.979</v>
      </c>
      <c r="AB9796">
        <v>7.1325070000000004</v>
      </c>
      <c r="AC9796">
        <v>9.3116599999999994E-2</v>
      </c>
      <c r="AD9796">
        <v>8.3562890000000003</v>
      </c>
      <c r="AE9796">
        <v>0.83045310000000006</v>
      </c>
      <c r="AF9796">
        <v>811.16610000000003</v>
      </c>
      <c r="AG9796">
        <f>IFERROR(AH9796*0.1, "N/A")</f>
        <v>5.6302450000000004</v>
      </c>
      <c r="AH9796">
        <v>56.30245</v>
      </c>
      <c r="AI9796">
        <v>126.4485</v>
      </c>
      <c r="AJ9796">
        <v>31.30245</v>
      </c>
      <c r="AK9796">
        <v>40.907339999999998</v>
      </c>
    </row>
    <row r="9797" spans="1:37" x14ac:dyDescent="0.3">
      <c r="A9797">
        <v>9796</v>
      </c>
      <c r="B9797">
        <v>0</v>
      </c>
      <c r="C9797">
        <v>9.9333299999999998</v>
      </c>
      <c r="D9797">
        <v>4.95</v>
      </c>
      <c r="E9797" t="s">
        <v>14847</v>
      </c>
      <c r="F9797" t="s">
        <v>14849</v>
      </c>
      <c r="G9797" t="s">
        <v>37</v>
      </c>
      <c r="H9797">
        <v>1990</v>
      </c>
      <c r="I9797">
        <v>22.34178</v>
      </c>
      <c r="J9797">
        <v>9.0697559999999999</v>
      </c>
      <c r="K9797">
        <v>75.697550000000007</v>
      </c>
      <c r="L9797">
        <v>9.4322549999999996</v>
      </c>
      <c r="M9797">
        <v>29.034970000000001</v>
      </c>
      <c r="N9797">
        <v>17.111540000000002</v>
      </c>
      <c r="O9797">
        <v>11.92343</v>
      </c>
      <c r="P9797">
        <v>20.911539999999999</v>
      </c>
      <c r="Q9797">
        <v>22.93496</v>
      </c>
      <c r="R9797">
        <v>23.311540000000001</v>
      </c>
      <c r="S9797">
        <v>20.911539999999999</v>
      </c>
      <c r="T9797">
        <v>2577.2869999999998</v>
      </c>
      <c r="U9797">
        <v>483.42309999999998</v>
      </c>
      <c r="V9797">
        <v>9</v>
      </c>
      <c r="W9797">
        <v>76</v>
      </c>
      <c r="X9797">
        <v>1338.979</v>
      </c>
      <c r="Y9797">
        <v>63.833919999999999</v>
      </c>
      <c r="Z9797">
        <v>353.80770000000001</v>
      </c>
      <c r="AA9797">
        <v>1338.979</v>
      </c>
      <c r="AB9797">
        <v>7.1325070000000004</v>
      </c>
      <c r="AC9797">
        <v>9.3116599999999994E-2</v>
      </c>
      <c r="AD9797">
        <v>8.3562890000000003</v>
      </c>
      <c r="AE9797">
        <v>0.83045310000000006</v>
      </c>
      <c r="AF9797">
        <v>811.16610000000003</v>
      </c>
      <c r="AG9797">
        <f>IFERROR(AH9797*0.1, "N/A")</f>
        <v>5.6302450000000004</v>
      </c>
      <c r="AH9797">
        <v>56.30245</v>
      </c>
      <c r="AI9797">
        <v>126.4485</v>
      </c>
      <c r="AJ9797">
        <v>31.30245</v>
      </c>
      <c r="AK9797">
        <v>40.907339999999998</v>
      </c>
    </row>
    <row r="9798" spans="1:37" x14ac:dyDescent="0.3">
      <c r="A9798">
        <v>9797</v>
      </c>
      <c r="B9798">
        <v>0</v>
      </c>
      <c r="C9798">
        <v>9.9333299999999998</v>
      </c>
      <c r="D9798">
        <v>4.95</v>
      </c>
      <c r="E9798" t="s">
        <v>14847</v>
      </c>
      <c r="F9798" t="s">
        <v>14850</v>
      </c>
      <c r="G9798" t="s">
        <v>2420</v>
      </c>
      <c r="H9798">
        <v>1990</v>
      </c>
      <c r="I9798">
        <v>22.34178</v>
      </c>
      <c r="J9798">
        <v>9.0697559999999999</v>
      </c>
      <c r="K9798">
        <v>75.697550000000007</v>
      </c>
      <c r="L9798">
        <v>9.4322549999999996</v>
      </c>
      <c r="M9798">
        <v>29.034970000000001</v>
      </c>
      <c r="N9798">
        <v>17.111540000000002</v>
      </c>
      <c r="O9798">
        <v>11.92343</v>
      </c>
      <c r="P9798">
        <v>20.911539999999999</v>
      </c>
      <c r="Q9798">
        <v>22.93496</v>
      </c>
      <c r="R9798">
        <v>23.311540000000001</v>
      </c>
      <c r="S9798">
        <v>20.911539999999999</v>
      </c>
      <c r="T9798">
        <v>2577.2869999999998</v>
      </c>
      <c r="U9798">
        <v>483.42309999999998</v>
      </c>
      <c r="V9798">
        <v>9</v>
      </c>
      <c r="W9798">
        <v>76</v>
      </c>
      <c r="X9798">
        <v>1338.979</v>
      </c>
      <c r="Y9798">
        <v>63.833919999999999</v>
      </c>
      <c r="Z9798">
        <v>353.80770000000001</v>
      </c>
      <c r="AA9798">
        <v>1338.979</v>
      </c>
      <c r="AB9798">
        <v>7.1325070000000004</v>
      </c>
      <c r="AC9798">
        <v>9.3116599999999994E-2</v>
      </c>
      <c r="AD9798">
        <v>8.3562890000000003</v>
      </c>
      <c r="AE9798">
        <v>0.83045310000000006</v>
      </c>
      <c r="AF9798">
        <v>811.16610000000003</v>
      </c>
      <c r="AG9798">
        <f>IFERROR(AH9798*0.1, "N/A")</f>
        <v>5.6302450000000004</v>
      </c>
      <c r="AH9798">
        <v>56.30245</v>
      </c>
      <c r="AI9798">
        <v>126.4485</v>
      </c>
      <c r="AJ9798">
        <v>31.30245</v>
      </c>
      <c r="AK9798">
        <v>40.907339999999998</v>
      </c>
    </row>
    <row r="9799" spans="1:37" x14ac:dyDescent="0.3">
      <c r="A9799">
        <v>9798</v>
      </c>
      <c r="B9799">
        <v>0</v>
      </c>
      <c r="C9799">
        <v>11.3939</v>
      </c>
      <c r="D9799">
        <v>4.9577799999999996</v>
      </c>
      <c r="E9799" t="s">
        <v>14851</v>
      </c>
      <c r="F9799" t="s">
        <v>14852</v>
      </c>
      <c r="G9799" t="s">
        <v>37</v>
      </c>
      <c r="H9799">
        <v>1990</v>
      </c>
      <c r="I9799">
        <v>25.1</v>
      </c>
      <c r="J9799">
        <v>9.4</v>
      </c>
      <c r="K9799">
        <v>75</v>
      </c>
      <c r="L9799">
        <v>8.83</v>
      </c>
      <c r="M9799">
        <v>32.299999999999997</v>
      </c>
      <c r="N9799">
        <v>19.899999999999999</v>
      </c>
      <c r="O9799">
        <v>12.4</v>
      </c>
      <c r="P9799">
        <v>24.2</v>
      </c>
      <c r="Q9799">
        <v>25.9</v>
      </c>
      <c r="R9799">
        <v>26.2</v>
      </c>
      <c r="S9799">
        <v>24</v>
      </c>
      <c r="T9799">
        <v>1553</v>
      </c>
      <c r="U9799">
        <v>293</v>
      </c>
      <c r="V9799">
        <v>8</v>
      </c>
      <c r="W9799">
        <v>68</v>
      </c>
      <c r="X9799">
        <v>724</v>
      </c>
      <c r="Y9799">
        <v>41</v>
      </c>
      <c r="Z9799">
        <v>273</v>
      </c>
      <c r="AA9799">
        <v>572</v>
      </c>
      <c r="AB9799">
        <v>42.827620000000003</v>
      </c>
      <c r="AC9799">
        <v>1.2610980000000001E-2</v>
      </c>
      <c r="AD9799">
        <v>2.6753650000000002</v>
      </c>
      <c r="AE9799">
        <v>0.3770811</v>
      </c>
      <c r="AF9799">
        <v>525.8374</v>
      </c>
      <c r="AG9799">
        <f>IFERROR(AH9799*0.1, "N/A")</f>
        <v>5.2057690000000001</v>
      </c>
      <c r="AH9799">
        <v>52.057690000000001</v>
      </c>
      <c r="AI9799">
        <v>245.32830000000001</v>
      </c>
      <c r="AJ9799">
        <v>30.08916</v>
      </c>
      <c r="AK9799">
        <v>56.393360000000001</v>
      </c>
    </row>
    <row r="9800" spans="1:37" x14ac:dyDescent="0.3">
      <c r="A9800">
        <v>9799</v>
      </c>
      <c r="B9800">
        <v>0</v>
      </c>
      <c r="C9800">
        <v>11.3939</v>
      </c>
      <c r="D9800">
        <v>4.9577799999999996</v>
      </c>
      <c r="E9800" t="s">
        <v>14851</v>
      </c>
      <c r="F9800" t="s">
        <v>14853</v>
      </c>
      <c r="G9800" t="s">
        <v>2420</v>
      </c>
      <c r="H9800">
        <v>1990</v>
      </c>
      <c r="I9800">
        <v>25.1</v>
      </c>
      <c r="J9800">
        <v>9.4</v>
      </c>
      <c r="K9800">
        <v>75</v>
      </c>
      <c r="L9800">
        <v>8.83</v>
      </c>
      <c r="M9800">
        <v>32.299999999999997</v>
      </c>
      <c r="N9800">
        <v>19.899999999999999</v>
      </c>
      <c r="O9800">
        <v>12.4</v>
      </c>
      <c r="P9800">
        <v>24.2</v>
      </c>
      <c r="Q9800">
        <v>25.9</v>
      </c>
      <c r="R9800">
        <v>26.2</v>
      </c>
      <c r="S9800">
        <v>24</v>
      </c>
      <c r="T9800">
        <v>1553</v>
      </c>
      <c r="U9800">
        <v>293</v>
      </c>
      <c r="V9800">
        <v>8</v>
      </c>
      <c r="W9800">
        <v>68</v>
      </c>
      <c r="X9800">
        <v>724</v>
      </c>
      <c r="Y9800">
        <v>41</v>
      </c>
      <c r="Z9800">
        <v>273</v>
      </c>
      <c r="AA9800">
        <v>572</v>
      </c>
      <c r="AB9800">
        <v>42.827620000000003</v>
      </c>
      <c r="AC9800">
        <v>1.2610980000000001E-2</v>
      </c>
      <c r="AD9800">
        <v>2.6753650000000002</v>
      </c>
      <c r="AE9800">
        <v>0.3770811</v>
      </c>
      <c r="AF9800">
        <v>525.8374</v>
      </c>
      <c r="AG9800">
        <f>IFERROR(AH9800*0.1, "N/A")</f>
        <v>5.2057690000000001</v>
      </c>
      <c r="AH9800">
        <v>52.057690000000001</v>
      </c>
      <c r="AI9800">
        <v>245.32830000000001</v>
      </c>
      <c r="AJ9800">
        <v>30.08916</v>
      </c>
      <c r="AK9800">
        <v>56.393360000000001</v>
      </c>
    </row>
    <row r="9801" spans="1:37" x14ac:dyDescent="0.3">
      <c r="A9801">
        <v>9800</v>
      </c>
      <c r="B9801">
        <v>0</v>
      </c>
      <c r="C9801">
        <v>9.9527800000000006</v>
      </c>
      <c r="D9801">
        <v>4.9583300000000001</v>
      </c>
      <c r="E9801" t="s">
        <v>14854</v>
      </c>
      <c r="F9801" t="s">
        <v>14855</v>
      </c>
      <c r="G9801" t="s">
        <v>39</v>
      </c>
      <c r="H9801">
        <v>1990</v>
      </c>
      <c r="I9801">
        <v>22.956289999999999</v>
      </c>
      <c r="J9801">
        <v>9.1</v>
      </c>
      <c r="K9801">
        <v>75.781469999999999</v>
      </c>
      <c r="L9801">
        <v>9.2290030000000005</v>
      </c>
      <c r="M9801">
        <v>29.678149999999999</v>
      </c>
      <c r="N9801">
        <v>17.75629</v>
      </c>
      <c r="O9801">
        <v>11.921849999999999</v>
      </c>
      <c r="P9801">
        <v>21.556290000000001</v>
      </c>
      <c r="Q9801">
        <v>23.556290000000001</v>
      </c>
      <c r="R9801">
        <v>23.978149999999999</v>
      </c>
      <c r="S9801">
        <v>21.556290000000001</v>
      </c>
      <c r="T9801">
        <v>2636.4110000000001</v>
      </c>
      <c r="U9801">
        <v>488</v>
      </c>
      <c r="V9801">
        <v>9.7814689999999995</v>
      </c>
      <c r="W9801">
        <v>75.218530000000001</v>
      </c>
      <c r="X9801">
        <v>1360.9069999999999</v>
      </c>
      <c r="Y9801">
        <v>67.562939999999998</v>
      </c>
      <c r="Z9801">
        <v>358.34440000000001</v>
      </c>
      <c r="AA9801">
        <v>1360.9069999999999</v>
      </c>
      <c r="AB9801">
        <v>17.379740000000002</v>
      </c>
      <c r="AC9801">
        <v>4.1078660000000003E-2</v>
      </c>
      <c r="AD9801">
        <v>3.2008489999999998</v>
      </c>
      <c r="AE9801">
        <v>0.66214700000000004</v>
      </c>
      <c r="AF9801">
        <v>751.87059999999997</v>
      </c>
      <c r="AG9801">
        <f>IFERROR(AH9801*0.1, "N/A")</f>
        <v>5.1727270000000001</v>
      </c>
      <c r="AH9801">
        <v>51.727269999999997</v>
      </c>
      <c r="AI9801">
        <v>177.66970000000001</v>
      </c>
      <c r="AJ9801">
        <v>31.695799999999998</v>
      </c>
      <c r="AK9801">
        <v>40.479019999999998</v>
      </c>
    </row>
    <row r="9802" spans="1:37" x14ac:dyDescent="0.3">
      <c r="A9802">
        <v>9801</v>
      </c>
      <c r="B9802">
        <v>0</v>
      </c>
      <c r="C9802">
        <v>9.9527800000000006</v>
      </c>
      <c r="D9802">
        <v>4.9583300000000001</v>
      </c>
      <c r="E9802" t="s">
        <v>14854</v>
      </c>
      <c r="F9802" t="s">
        <v>14856</v>
      </c>
      <c r="G9802" t="s">
        <v>37</v>
      </c>
      <c r="H9802">
        <v>1990</v>
      </c>
      <c r="I9802">
        <v>22.956289999999999</v>
      </c>
      <c r="J9802">
        <v>9.1</v>
      </c>
      <c r="K9802">
        <v>75.781469999999999</v>
      </c>
      <c r="L9802">
        <v>9.2290030000000005</v>
      </c>
      <c r="M9802">
        <v>29.678149999999999</v>
      </c>
      <c r="N9802">
        <v>17.75629</v>
      </c>
      <c r="O9802">
        <v>11.921849999999999</v>
      </c>
      <c r="P9802">
        <v>21.556290000000001</v>
      </c>
      <c r="Q9802">
        <v>23.556290000000001</v>
      </c>
      <c r="R9802">
        <v>23.978149999999999</v>
      </c>
      <c r="S9802">
        <v>21.556290000000001</v>
      </c>
      <c r="T9802">
        <v>2636.4110000000001</v>
      </c>
      <c r="U9802">
        <v>488</v>
      </c>
      <c r="V9802">
        <v>9.7814689999999995</v>
      </c>
      <c r="W9802">
        <v>75.218530000000001</v>
      </c>
      <c r="X9802">
        <v>1360.9069999999999</v>
      </c>
      <c r="Y9802">
        <v>67.562939999999998</v>
      </c>
      <c r="Z9802">
        <v>358.34440000000001</v>
      </c>
      <c r="AA9802">
        <v>1360.9069999999999</v>
      </c>
      <c r="AB9802">
        <v>17.379740000000002</v>
      </c>
      <c r="AC9802">
        <v>4.1078660000000003E-2</v>
      </c>
      <c r="AD9802">
        <v>3.2008489999999998</v>
      </c>
      <c r="AE9802">
        <v>0.66214700000000004</v>
      </c>
      <c r="AF9802">
        <v>751.87059999999997</v>
      </c>
      <c r="AG9802">
        <f>IFERROR(AH9802*0.1, "N/A")</f>
        <v>5.1727270000000001</v>
      </c>
      <c r="AH9802">
        <v>51.727269999999997</v>
      </c>
      <c r="AI9802">
        <v>177.66970000000001</v>
      </c>
      <c r="AJ9802">
        <v>31.695799999999998</v>
      </c>
      <c r="AK9802">
        <v>40.479019999999998</v>
      </c>
    </row>
    <row r="9803" spans="1:37" x14ac:dyDescent="0.3">
      <c r="A9803">
        <v>9802</v>
      </c>
      <c r="B9803">
        <v>0</v>
      </c>
      <c r="C9803">
        <v>9.9527800000000006</v>
      </c>
      <c r="D9803">
        <v>4.9583300000000001</v>
      </c>
      <c r="E9803" t="s">
        <v>14854</v>
      </c>
      <c r="F9803" t="s">
        <v>14857</v>
      </c>
      <c r="G9803" t="s">
        <v>2420</v>
      </c>
      <c r="H9803">
        <v>1990</v>
      </c>
      <c r="I9803">
        <v>22.956289999999999</v>
      </c>
      <c r="J9803">
        <v>9.1</v>
      </c>
      <c r="K9803">
        <v>75.781469999999999</v>
      </c>
      <c r="L9803">
        <v>9.2290030000000005</v>
      </c>
      <c r="M9803">
        <v>29.678149999999999</v>
      </c>
      <c r="N9803">
        <v>17.75629</v>
      </c>
      <c r="O9803">
        <v>11.921849999999999</v>
      </c>
      <c r="P9803">
        <v>21.556290000000001</v>
      </c>
      <c r="Q9803">
        <v>23.556290000000001</v>
      </c>
      <c r="R9803">
        <v>23.978149999999999</v>
      </c>
      <c r="S9803">
        <v>21.556290000000001</v>
      </c>
      <c r="T9803">
        <v>2636.4110000000001</v>
      </c>
      <c r="U9803">
        <v>488</v>
      </c>
      <c r="V9803">
        <v>9.7814689999999995</v>
      </c>
      <c r="W9803">
        <v>75.218530000000001</v>
      </c>
      <c r="X9803">
        <v>1360.9069999999999</v>
      </c>
      <c r="Y9803">
        <v>67.562939999999998</v>
      </c>
      <c r="Z9803">
        <v>358.34440000000001</v>
      </c>
      <c r="AA9803">
        <v>1360.9069999999999</v>
      </c>
      <c r="AB9803">
        <v>17.379740000000002</v>
      </c>
      <c r="AC9803">
        <v>4.1078660000000003E-2</v>
      </c>
      <c r="AD9803">
        <v>3.2008489999999998</v>
      </c>
      <c r="AE9803">
        <v>0.66214700000000004</v>
      </c>
      <c r="AF9803">
        <v>751.87059999999997</v>
      </c>
      <c r="AG9803">
        <f>IFERROR(AH9803*0.1, "N/A")</f>
        <v>5.1727270000000001</v>
      </c>
      <c r="AH9803">
        <v>51.727269999999997</v>
      </c>
      <c r="AI9803">
        <v>177.66970000000001</v>
      </c>
      <c r="AJ9803">
        <v>31.695799999999998</v>
      </c>
      <c r="AK9803">
        <v>40.479019999999998</v>
      </c>
    </row>
    <row r="9804" spans="1:37" x14ac:dyDescent="0.3">
      <c r="A9804">
        <v>9803</v>
      </c>
      <c r="B9804">
        <v>0</v>
      </c>
      <c r="C9804">
        <v>10.7</v>
      </c>
      <c r="D9804">
        <v>4.9666699999999997</v>
      </c>
      <c r="E9804" t="s">
        <v>14858</v>
      </c>
      <c r="F9804" t="s">
        <v>14859</v>
      </c>
      <c r="G9804" t="s">
        <v>39</v>
      </c>
      <c r="H9804">
        <v>1990</v>
      </c>
      <c r="I9804">
        <v>23.39528</v>
      </c>
      <c r="J9804">
        <v>9.4</v>
      </c>
      <c r="K9804">
        <v>75.127619999999993</v>
      </c>
      <c r="L9804">
        <v>9.5079019999999996</v>
      </c>
      <c r="M9804">
        <v>30.589860000000002</v>
      </c>
      <c r="N9804">
        <v>18.136890000000001</v>
      </c>
      <c r="O9804">
        <v>12.452970000000001</v>
      </c>
      <c r="P9804">
        <v>22.33689</v>
      </c>
      <c r="Q9804">
        <v>24.224129999999999</v>
      </c>
      <c r="R9804">
        <v>24.50262</v>
      </c>
      <c r="S9804">
        <v>22.087240000000001</v>
      </c>
      <c r="T9804">
        <v>2055.0889999999999</v>
      </c>
      <c r="U9804">
        <v>363.92660000000001</v>
      </c>
      <c r="V9804">
        <v>8</v>
      </c>
      <c r="W9804">
        <v>70.215029999999999</v>
      </c>
      <c r="X9804">
        <v>1003.5170000000001</v>
      </c>
      <c r="Y9804">
        <v>48</v>
      </c>
      <c r="Z9804">
        <v>315.21499999999997</v>
      </c>
      <c r="AA9804">
        <v>947.12239999999997</v>
      </c>
      <c r="AB9804">
        <v>27.61487</v>
      </c>
      <c r="AC9804">
        <v>6.3381530000000005E-2</v>
      </c>
      <c r="AD9804">
        <v>4.6946380000000003</v>
      </c>
      <c r="AE9804">
        <v>0.82041339999999996</v>
      </c>
      <c r="AF9804">
        <v>803.61540000000002</v>
      </c>
      <c r="AG9804">
        <f>IFERROR(AH9804*0.1, "N/A")</f>
        <v>5.1000000000000005</v>
      </c>
      <c r="AH9804">
        <v>51</v>
      </c>
      <c r="AI9804">
        <v>229.6318</v>
      </c>
      <c r="AJ9804">
        <v>31.005240000000001</v>
      </c>
      <c r="AK9804">
        <v>45.989510000000003</v>
      </c>
    </row>
    <row r="9805" spans="1:37" x14ac:dyDescent="0.3">
      <c r="A9805">
        <v>9804</v>
      </c>
      <c r="B9805">
        <v>11.3</v>
      </c>
      <c r="C9805">
        <v>10.7</v>
      </c>
      <c r="D9805">
        <v>4.9666699999999997</v>
      </c>
      <c r="E9805" t="s">
        <v>14858</v>
      </c>
      <c r="F9805" t="s">
        <v>14860</v>
      </c>
      <c r="G9805" t="s">
        <v>37</v>
      </c>
      <c r="H9805">
        <v>1990</v>
      </c>
      <c r="I9805">
        <v>23.39528</v>
      </c>
      <c r="J9805">
        <v>9.4</v>
      </c>
      <c r="K9805">
        <v>75.127619999999993</v>
      </c>
      <c r="L9805">
        <v>9.5079019999999996</v>
      </c>
      <c r="M9805">
        <v>30.589860000000002</v>
      </c>
      <c r="N9805">
        <v>18.136890000000001</v>
      </c>
      <c r="O9805">
        <v>12.452970000000001</v>
      </c>
      <c r="P9805">
        <v>22.33689</v>
      </c>
      <c r="Q9805">
        <v>24.224129999999999</v>
      </c>
      <c r="R9805">
        <v>24.50262</v>
      </c>
      <c r="S9805">
        <v>22.087240000000001</v>
      </c>
      <c r="T9805">
        <v>2055.0889999999999</v>
      </c>
      <c r="U9805">
        <v>363.92660000000001</v>
      </c>
      <c r="V9805">
        <v>8</v>
      </c>
      <c r="W9805">
        <v>70.215029999999999</v>
      </c>
      <c r="X9805">
        <v>1003.5170000000001</v>
      </c>
      <c r="Y9805">
        <v>48</v>
      </c>
      <c r="Z9805">
        <v>315.21499999999997</v>
      </c>
      <c r="AA9805">
        <v>947.12239999999997</v>
      </c>
      <c r="AB9805">
        <v>27.61487</v>
      </c>
      <c r="AC9805">
        <v>6.3381530000000005E-2</v>
      </c>
      <c r="AD9805">
        <v>4.6946380000000003</v>
      </c>
      <c r="AE9805">
        <v>0.82041339999999996</v>
      </c>
      <c r="AF9805">
        <v>803.61540000000002</v>
      </c>
      <c r="AG9805">
        <f>IFERROR(AH9805*0.1, "N/A")</f>
        <v>5.1000000000000005</v>
      </c>
      <c r="AH9805">
        <v>51</v>
      </c>
      <c r="AI9805">
        <v>229.6318</v>
      </c>
      <c r="AJ9805">
        <v>31.005240000000001</v>
      </c>
      <c r="AK9805">
        <v>45.989510000000003</v>
      </c>
    </row>
    <row r="9806" spans="1:37" x14ac:dyDescent="0.3">
      <c r="A9806">
        <v>9805</v>
      </c>
      <c r="B9806">
        <v>0</v>
      </c>
      <c r="C9806">
        <v>10.7</v>
      </c>
      <c r="D9806">
        <v>4.9666699999999997</v>
      </c>
      <c r="E9806" t="s">
        <v>14858</v>
      </c>
      <c r="F9806" t="s">
        <v>14861</v>
      </c>
      <c r="G9806" t="s">
        <v>2420</v>
      </c>
      <c r="H9806">
        <v>1990</v>
      </c>
      <c r="I9806">
        <v>23.39528</v>
      </c>
      <c r="J9806">
        <v>9.4</v>
      </c>
      <c r="K9806">
        <v>75.127619999999993</v>
      </c>
      <c r="L9806">
        <v>9.5079019999999996</v>
      </c>
      <c r="M9806">
        <v>30.589860000000002</v>
      </c>
      <c r="N9806">
        <v>18.136890000000001</v>
      </c>
      <c r="O9806">
        <v>12.452970000000001</v>
      </c>
      <c r="P9806">
        <v>22.33689</v>
      </c>
      <c r="Q9806">
        <v>24.224129999999999</v>
      </c>
      <c r="R9806">
        <v>24.50262</v>
      </c>
      <c r="S9806">
        <v>22.087240000000001</v>
      </c>
      <c r="T9806">
        <v>2055.0889999999999</v>
      </c>
      <c r="U9806">
        <v>363.92660000000001</v>
      </c>
      <c r="V9806">
        <v>8</v>
      </c>
      <c r="W9806">
        <v>70.215029999999999</v>
      </c>
      <c r="X9806">
        <v>1003.5170000000001</v>
      </c>
      <c r="Y9806">
        <v>48</v>
      </c>
      <c r="Z9806">
        <v>315.21499999999997</v>
      </c>
      <c r="AA9806">
        <v>947.12239999999997</v>
      </c>
      <c r="AB9806">
        <v>27.61487</v>
      </c>
      <c r="AC9806">
        <v>6.3381530000000005E-2</v>
      </c>
      <c r="AD9806">
        <v>4.6946380000000003</v>
      </c>
      <c r="AE9806">
        <v>0.82041339999999996</v>
      </c>
      <c r="AF9806">
        <v>803.61540000000002</v>
      </c>
      <c r="AG9806">
        <f>IFERROR(AH9806*0.1, "N/A")</f>
        <v>5.1000000000000005</v>
      </c>
      <c r="AH9806">
        <v>51</v>
      </c>
      <c r="AI9806">
        <v>229.6318</v>
      </c>
      <c r="AJ9806">
        <v>31.005240000000001</v>
      </c>
      <c r="AK9806">
        <v>45.989510000000003</v>
      </c>
    </row>
    <row r="9807" spans="1:37" x14ac:dyDescent="0.3">
      <c r="A9807">
        <v>9806</v>
      </c>
      <c r="B9807">
        <v>0</v>
      </c>
      <c r="C9807">
        <v>10.2431</v>
      </c>
      <c r="D9807">
        <v>4.9680600000000004</v>
      </c>
      <c r="E9807" t="s">
        <v>14862</v>
      </c>
      <c r="F9807" t="s">
        <v>14863</v>
      </c>
      <c r="G9807" t="s">
        <v>39</v>
      </c>
      <c r="H9807">
        <v>1990</v>
      </c>
      <c r="I9807">
        <v>24.3</v>
      </c>
      <c r="J9807">
        <v>9.1</v>
      </c>
      <c r="K9807">
        <v>75</v>
      </c>
      <c r="L9807">
        <v>9.43</v>
      </c>
      <c r="M9807">
        <v>31.2</v>
      </c>
      <c r="N9807">
        <v>19.2</v>
      </c>
      <c r="O9807">
        <v>12</v>
      </c>
      <c r="P9807">
        <v>22.9</v>
      </c>
      <c r="Q9807">
        <v>25</v>
      </c>
      <c r="R9807">
        <v>25.3</v>
      </c>
      <c r="S9807">
        <v>22.9</v>
      </c>
      <c r="T9807">
        <v>2505</v>
      </c>
      <c r="U9807">
        <v>443</v>
      </c>
      <c r="V9807">
        <v>11</v>
      </c>
      <c r="W9807">
        <v>73</v>
      </c>
      <c r="X9807">
        <v>1232</v>
      </c>
      <c r="Y9807">
        <v>66</v>
      </c>
      <c r="Z9807">
        <v>352</v>
      </c>
      <c r="AA9807">
        <v>1232</v>
      </c>
      <c r="AB9807">
        <v>39.163960000000003</v>
      </c>
      <c r="AC9807">
        <v>8.5163830000000006E-3</v>
      </c>
      <c r="AD9807">
        <v>4.1149440000000004</v>
      </c>
      <c r="AE9807">
        <v>0.19967699999999999</v>
      </c>
      <c r="AF9807">
        <v>594.39890000000003</v>
      </c>
      <c r="AG9807">
        <f>IFERROR(AH9807*0.1, "N/A")</f>
        <v>5.2017570000000006</v>
      </c>
      <c r="AH9807">
        <v>52.017569999999999</v>
      </c>
      <c r="AI9807">
        <v>254.92509999999999</v>
      </c>
      <c r="AJ9807">
        <v>34.144109999999998</v>
      </c>
      <c r="AK9807">
        <v>39.159930000000003</v>
      </c>
    </row>
    <row r="9808" spans="1:37" x14ac:dyDescent="0.3">
      <c r="A9808">
        <v>9807</v>
      </c>
      <c r="B9808">
        <v>0</v>
      </c>
      <c r="C9808">
        <v>10.2431</v>
      </c>
      <c r="D9808">
        <v>4.9680600000000004</v>
      </c>
      <c r="E9808" t="s">
        <v>14862</v>
      </c>
      <c r="F9808" t="s">
        <v>14864</v>
      </c>
      <c r="G9808" t="s">
        <v>37</v>
      </c>
      <c r="H9808">
        <v>1990</v>
      </c>
      <c r="I9808">
        <v>24.3</v>
      </c>
      <c r="J9808">
        <v>9.1</v>
      </c>
      <c r="K9808">
        <v>75</v>
      </c>
      <c r="L9808">
        <v>9.43</v>
      </c>
      <c r="M9808">
        <v>31.2</v>
      </c>
      <c r="N9808">
        <v>19.2</v>
      </c>
      <c r="O9808">
        <v>12</v>
      </c>
      <c r="P9808">
        <v>22.9</v>
      </c>
      <c r="Q9808">
        <v>25</v>
      </c>
      <c r="R9808">
        <v>25.3</v>
      </c>
      <c r="S9808">
        <v>22.9</v>
      </c>
      <c r="T9808">
        <v>2505</v>
      </c>
      <c r="U9808">
        <v>443</v>
      </c>
      <c r="V9808">
        <v>11</v>
      </c>
      <c r="W9808">
        <v>73</v>
      </c>
      <c r="X9808">
        <v>1232</v>
      </c>
      <c r="Y9808">
        <v>66</v>
      </c>
      <c r="Z9808">
        <v>352</v>
      </c>
      <c r="AA9808">
        <v>1232</v>
      </c>
      <c r="AB9808">
        <v>39.163960000000003</v>
      </c>
      <c r="AC9808">
        <v>8.5163830000000006E-3</v>
      </c>
      <c r="AD9808">
        <v>4.1149440000000004</v>
      </c>
      <c r="AE9808">
        <v>0.19967699999999999</v>
      </c>
      <c r="AF9808">
        <v>594.39890000000003</v>
      </c>
      <c r="AG9808">
        <f>IFERROR(AH9808*0.1, "N/A")</f>
        <v>5.2017570000000006</v>
      </c>
      <c r="AH9808">
        <v>52.017569999999999</v>
      </c>
      <c r="AI9808">
        <v>254.92509999999999</v>
      </c>
      <c r="AJ9808">
        <v>34.144109999999998</v>
      </c>
      <c r="AK9808">
        <v>39.159930000000003</v>
      </c>
    </row>
    <row r="9809" spans="1:37" x14ac:dyDescent="0.3">
      <c r="A9809">
        <v>9808</v>
      </c>
      <c r="B9809">
        <v>0</v>
      </c>
      <c r="C9809">
        <v>10.2431</v>
      </c>
      <c r="D9809">
        <v>4.9680600000000004</v>
      </c>
      <c r="E9809" t="s">
        <v>14862</v>
      </c>
      <c r="F9809" t="s">
        <v>14865</v>
      </c>
      <c r="G9809" t="s">
        <v>2420</v>
      </c>
      <c r="H9809">
        <v>1990</v>
      </c>
      <c r="I9809">
        <v>24.3</v>
      </c>
      <c r="J9809">
        <v>9.1</v>
      </c>
      <c r="K9809">
        <v>75</v>
      </c>
      <c r="L9809">
        <v>9.43</v>
      </c>
      <c r="M9809">
        <v>31.2</v>
      </c>
      <c r="N9809">
        <v>19.2</v>
      </c>
      <c r="O9809">
        <v>12</v>
      </c>
      <c r="P9809">
        <v>22.9</v>
      </c>
      <c r="Q9809">
        <v>25</v>
      </c>
      <c r="R9809">
        <v>25.3</v>
      </c>
      <c r="S9809">
        <v>22.9</v>
      </c>
      <c r="T9809">
        <v>2505</v>
      </c>
      <c r="U9809">
        <v>443</v>
      </c>
      <c r="V9809">
        <v>11</v>
      </c>
      <c r="W9809">
        <v>73</v>
      </c>
      <c r="X9809">
        <v>1232</v>
      </c>
      <c r="Y9809">
        <v>66</v>
      </c>
      <c r="Z9809">
        <v>352</v>
      </c>
      <c r="AA9809">
        <v>1232</v>
      </c>
      <c r="AB9809">
        <v>39.163960000000003</v>
      </c>
      <c r="AC9809">
        <v>8.5163830000000006E-3</v>
      </c>
      <c r="AD9809">
        <v>4.1149440000000004</v>
      </c>
      <c r="AE9809">
        <v>0.19967699999999999</v>
      </c>
      <c r="AF9809">
        <v>594.39890000000003</v>
      </c>
      <c r="AG9809">
        <f>IFERROR(AH9809*0.1, "N/A")</f>
        <v>5.2017570000000006</v>
      </c>
      <c r="AH9809">
        <v>52.017569999999999</v>
      </c>
      <c r="AI9809">
        <v>254.92509999999999</v>
      </c>
      <c r="AJ9809">
        <v>34.144109999999998</v>
      </c>
      <c r="AK9809">
        <v>39.159930000000003</v>
      </c>
    </row>
    <row r="9810" spans="1:37" x14ac:dyDescent="0.3">
      <c r="A9810">
        <v>9809</v>
      </c>
      <c r="B9810">
        <v>0</v>
      </c>
      <c r="C9810">
        <v>9.7913899999999998</v>
      </c>
      <c r="D9810">
        <v>4.99472</v>
      </c>
      <c r="E9810" t="s">
        <v>14866</v>
      </c>
      <c r="F9810" t="s">
        <v>14867</v>
      </c>
      <c r="G9810" t="s">
        <v>39</v>
      </c>
      <c r="H9810">
        <v>1990</v>
      </c>
      <c r="I9810">
        <v>19.040559999999999</v>
      </c>
      <c r="J9810">
        <v>9.3000000000000007</v>
      </c>
      <c r="K9810">
        <v>76</v>
      </c>
      <c r="L9810">
        <v>9.0618529999999993</v>
      </c>
      <c r="M9810">
        <v>25.91084</v>
      </c>
      <c r="N9810">
        <v>13.74056</v>
      </c>
      <c r="O9810">
        <v>12.17028</v>
      </c>
      <c r="P9810">
        <v>17.710840000000001</v>
      </c>
      <c r="Q9810">
        <v>19.710840000000001</v>
      </c>
      <c r="R9810">
        <v>20.140560000000001</v>
      </c>
      <c r="S9810">
        <v>17.710840000000001</v>
      </c>
      <c r="T9810">
        <v>2229.759</v>
      </c>
      <c r="U9810">
        <v>392.81119999999999</v>
      </c>
      <c r="V9810">
        <v>13</v>
      </c>
      <c r="W9810">
        <v>67.702799999999996</v>
      </c>
      <c r="X9810">
        <v>1048.5419999999999</v>
      </c>
      <c r="Y9810">
        <v>77</v>
      </c>
      <c r="Z9810">
        <v>379</v>
      </c>
      <c r="AA9810">
        <v>1048.5419999999999</v>
      </c>
      <c r="AB9810">
        <v>24.967469999999999</v>
      </c>
      <c r="AC9810">
        <v>0.68834229999999996</v>
      </c>
      <c r="AD9810">
        <v>8.7011620000000001</v>
      </c>
      <c r="AE9810">
        <v>0.22903809999999999</v>
      </c>
      <c r="AF9810">
        <v>1412.981</v>
      </c>
      <c r="AG9810">
        <f>IFERROR(AH9810*0.1, "N/A")</f>
        <v>5.1711540000000005</v>
      </c>
      <c r="AH9810">
        <v>51.711539999999999</v>
      </c>
      <c r="AI9810">
        <v>266.73439999999999</v>
      </c>
      <c r="AJ9810">
        <v>30</v>
      </c>
      <c r="AK9810">
        <v>40.828670000000002</v>
      </c>
    </row>
    <row r="9811" spans="1:37" x14ac:dyDescent="0.3">
      <c r="A9811">
        <v>9810</v>
      </c>
      <c r="B9811">
        <v>0</v>
      </c>
      <c r="C9811">
        <v>9.7913899999999998</v>
      </c>
      <c r="D9811">
        <v>4.99472</v>
      </c>
      <c r="E9811" t="s">
        <v>14866</v>
      </c>
      <c r="F9811" t="s">
        <v>14868</v>
      </c>
      <c r="G9811" t="s">
        <v>37</v>
      </c>
      <c r="H9811">
        <v>1990</v>
      </c>
      <c r="I9811">
        <v>19.040559999999999</v>
      </c>
      <c r="J9811">
        <v>9.3000000000000007</v>
      </c>
      <c r="K9811">
        <v>76</v>
      </c>
      <c r="L9811">
        <v>9.0618529999999993</v>
      </c>
      <c r="M9811">
        <v>25.91084</v>
      </c>
      <c r="N9811">
        <v>13.74056</v>
      </c>
      <c r="O9811">
        <v>12.17028</v>
      </c>
      <c r="P9811">
        <v>17.710840000000001</v>
      </c>
      <c r="Q9811">
        <v>19.710840000000001</v>
      </c>
      <c r="R9811">
        <v>20.140560000000001</v>
      </c>
      <c r="S9811">
        <v>17.710840000000001</v>
      </c>
      <c r="T9811">
        <v>2229.759</v>
      </c>
      <c r="U9811">
        <v>392.81119999999999</v>
      </c>
      <c r="V9811">
        <v>13</v>
      </c>
      <c r="W9811">
        <v>67.702799999999996</v>
      </c>
      <c r="X9811">
        <v>1048.5419999999999</v>
      </c>
      <c r="Y9811">
        <v>77</v>
      </c>
      <c r="Z9811">
        <v>379</v>
      </c>
      <c r="AA9811">
        <v>1048.5419999999999</v>
      </c>
      <c r="AB9811">
        <v>24.967469999999999</v>
      </c>
      <c r="AC9811">
        <v>0.68834229999999996</v>
      </c>
      <c r="AD9811">
        <v>8.7011620000000001</v>
      </c>
      <c r="AE9811">
        <v>0.22903809999999999</v>
      </c>
      <c r="AF9811">
        <v>1412.981</v>
      </c>
      <c r="AG9811">
        <f>IFERROR(AH9811*0.1, "N/A")</f>
        <v>5.1711540000000005</v>
      </c>
      <c r="AH9811">
        <v>51.711539999999999</v>
      </c>
      <c r="AI9811">
        <v>266.73439999999999</v>
      </c>
      <c r="AJ9811">
        <v>30</v>
      </c>
      <c r="AK9811">
        <v>40.828670000000002</v>
      </c>
    </row>
    <row r="9812" spans="1:37" x14ac:dyDescent="0.3">
      <c r="A9812">
        <v>9811</v>
      </c>
      <c r="B9812">
        <v>0</v>
      </c>
      <c r="C9812">
        <v>9.7913899999999998</v>
      </c>
      <c r="D9812">
        <v>4.99472</v>
      </c>
      <c r="E9812" t="s">
        <v>14866</v>
      </c>
      <c r="F9812" t="s">
        <v>14869</v>
      </c>
      <c r="G9812" t="s">
        <v>2420</v>
      </c>
      <c r="H9812">
        <v>1990</v>
      </c>
      <c r="I9812">
        <v>19.040559999999999</v>
      </c>
      <c r="J9812">
        <v>9.3000000000000007</v>
      </c>
      <c r="K9812">
        <v>76</v>
      </c>
      <c r="L9812">
        <v>9.0618529999999993</v>
      </c>
      <c r="M9812">
        <v>25.91084</v>
      </c>
      <c r="N9812">
        <v>13.74056</v>
      </c>
      <c r="O9812">
        <v>12.17028</v>
      </c>
      <c r="P9812">
        <v>17.710840000000001</v>
      </c>
      <c r="Q9812">
        <v>19.710840000000001</v>
      </c>
      <c r="R9812">
        <v>20.140560000000001</v>
      </c>
      <c r="S9812">
        <v>17.710840000000001</v>
      </c>
      <c r="T9812">
        <v>2229.759</v>
      </c>
      <c r="U9812">
        <v>392.81119999999999</v>
      </c>
      <c r="V9812">
        <v>13</v>
      </c>
      <c r="W9812">
        <v>67.702799999999996</v>
      </c>
      <c r="X9812">
        <v>1048.5419999999999</v>
      </c>
      <c r="Y9812">
        <v>77</v>
      </c>
      <c r="Z9812">
        <v>379</v>
      </c>
      <c r="AA9812">
        <v>1048.5419999999999</v>
      </c>
      <c r="AB9812">
        <v>24.967469999999999</v>
      </c>
      <c r="AC9812">
        <v>0.68834229999999996</v>
      </c>
      <c r="AD9812">
        <v>8.7011620000000001</v>
      </c>
      <c r="AE9812">
        <v>0.22903809999999999</v>
      </c>
      <c r="AF9812">
        <v>1412.981</v>
      </c>
      <c r="AG9812">
        <f>IFERROR(AH9812*0.1, "N/A")</f>
        <v>5.1711540000000005</v>
      </c>
      <c r="AH9812">
        <v>51.711539999999999</v>
      </c>
      <c r="AI9812">
        <v>266.73439999999999</v>
      </c>
      <c r="AJ9812">
        <v>30</v>
      </c>
      <c r="AK9812">
        <v>40.828670000000002</v>
      </c>
    </row>
    <row r="9813" spans="1:37" x14ac:dyDescent="0.3">
      <c r="A9813">
        <v>9812</v>
      </c>
      <c r="B9813">
        <v>2</v>
      </c>
      <c r="C9813">
        <v>9.9633299999999991</v>
      </c>
      <c r="D9813">
        <v>5.0049999999999999</v>
      </c>
      <c r="E9813" t="s">
        <v>14870</v>
      </c>
      <c r="F9813" t="s">
        <v>14871</v>
      </c>
      <c r="G9813" t="s">
        <v>39</v>
      </c>
      <c r="H9813">
        <v>1990</v>
      </c>
      <c r="I9813">
        <v>22.5</v>
      </c>
      <c r="J9813">
        <v>9.1</v>
      </c>
      <c r="K9813">
        <v>75</v>
      </c>
      <c r="L9813">
        <v>9.59</v>
      </c>
      <c r="M9813">
        <v>29.3</v>
      </c>
      <c r="N9813">
        <v>17.3</v>
      </c>
      <c r="O9813">
        <v>12</v>
      </c>
      <c r="P9813">
        <v>21.1</v>
      </c>
      <c r="Q9813">
        <v>23.2</v>
      </c>
      <c r="R9813">
        <v>23.6</v>
      </c>
      <c r="S9813">
        <v>21.1</v>
      </c>
      <c r="T9813">
        <v>2547</v>
      </c>
      <c r="U9813">
        <v>474</v>
      </c>
      <c r="V9813">
        <v>9</v>
      </c>
      <c r="W9813">
        <v>76</v>
      </c>
      <c r="X9813">
        <v>1317</v>
      </c>
      <c r="Y9813">
        <v>62</v>
      </c>
      <c r="Z9813">
        <v>351</v>
      </c>
      <c r="AA9813">
        <v>1317</v>
      </c>
      <c r="AB9813">
        <v>46.829329999999999</v>
      </c>
      <c r="AC9813">
        <v>8.5159160000000001E-3</v>
      </c>
      <c r="AD9813">
        <v>3.862981</v>
      </c>
      <c r="AE9813">
        <v>0.58005209999999996</v>
      </c>
      <c r="AF9813">
        <v>859.10879999999997</v>
      </c>
      <c r="AG9813">
        <f>IFERROR(AH9813*0.1, "N/A")</f>
        <v>5.2</v>
      </c>
      <c r="AH9813">
        <v>52</v>
      </c>
      <c r="AI9813">
        <v>71.527780000000007</v>
      </c>
      <c r="AJ9813">
        <v>33</v>
      </c>
      <c r="AK9813">
        <v>39.392980000000001</v>
      </c>
    </row>
    <row r="9814" spans="1:37" x14ac:dyDescent="0.3">
      <c r="A9814">
        <v>9813</v>
      </c>
      <c r="B9814">
        <v>0</v>
      </c>
      <c r="C9814">
        <v>9.9633299999999991</v>
      </c>
      <c r="D9814">
        <v>5.0049999999999999</v>
      </c>
      <c r="E9814" t="s">
        <v>14870</v>
      </c>
      <c r="F9814" t="s">
        <v>14872</v>
      </c>
      <c r="G9814" t="s">
        <v>37</v>
      </c>
      <c r="H9814">
        <v>1990</v>
      </c>
      <c r="I9814">
        <v>22.5</v>
      </c>
      <c r="J9814">
        <v>9.1</v>
      </c>
      <c r="K9814">
        <v>75</v>
      </c>
      <c r="L9814">
        <v>9.59</v>
      </c>
      <c r="M9814">
        <v>29.3</v>
      </c>
      <c r="N9814">
        <v>17.3</v>
      </c>
      <c r="O9814">
        <v>12</v>
      </c>
      <c r="P9814">
        <v>21.1</v>
      </c>
      <c r="Q9814">
        <v>23.2</v>
      </c>
      <c r="R9814">
        <v>23.6</v>
      </c>
      <c r="S9814">
        <v>21.1</v>
      </c>
      <c r="T9814">
        <v>2547</v>
      </c>
      <c r="U9814">
        <v>474</v>
      </c>
      <c r="V9814">
        <v>9</v>
      </c>
      <c r="W9814">
        <v>76</v>
      </c>
      <c r="X9814">
        <v>1317</v>
      </c>
      <c r="Y9814">
        <v>62</v>
      </c>
      <c r="Z9814">
        <v>351</v>
      </c>
      <c r="AA9814">
        <v>1317</v>
      </c>
      <c r="AB9814">
        <v>46.829329999999999</v>
      </c>
      <c r="AC9814">
        <v>8.5159160000000001E-3</v>
      </c>
      <c r="AD9814">
        <v>3.862981</v>
      </c>
      <c r="AE9814">
        <v>0.58005209999999996</v>
      </c>
      <c r="AF9814">
        <v>859.10879999999997</v>
      </c>
      <c r="AG9814">
        <f>IFERROR(AH9814*0.1, "N/A")</f>
        <v>5.2</v>
      </c>
      <c r="AH9814">
        <v>52</v>
      </c>
      <c r="AI9814">
        <v>71.527780000000007</v>
      </c>
      <c r="AJ9814">
        <v>33</v>
      </c>
      <c r="AK9814">
        <v>39.392980000000001</v>
      </c>
    </row>
    <row r="9815" spans="1:37" x14ac:dyDescent="0.3">
      <c r="A9815">
        <v>9814</v>
      </c>
      <c r="B9815">
        <v>0</v>
      </c>
      <c r="C9815">
        <v>9.9633299999999991</v>
      </c>
      <c r="D9815">
        <v>5.0049999999999999</v>
      </c>
      <c r="E9815" t="s">
        <v>14870</v>
      </c>
      <c r="F9815" t="s">
        <v>14873</v>
      </c>
      <c r="G9815" t="s">
        <v>2420</v>
      </c>
      <c r="H9815">
        <v>1990</v>
      </c>
      <c r="I9815">
        <v>22.5</v>
      </c>
      <c r="J9815">
        <v>9.1</v>
      </c>
      <c r="K9815">
        <v>75</v>
      </c>
      <c r="L9815">
        <v>9.59</v>
      </c>
      <c r="M9815">
        <v>29.3</v>
      </c>
      <c r="N9815">
        <v>17.3</v>
      </c>
      <c r="O9815">
        <v>12</v>
      </c>
      <c r="P9815">
        <v>21.1</v>
      </c>
      <c r="Q9815">
        <v>23.2</v>
      </c>
      <c r="R9815">
        <v>23.6</v>
      </c>
      <c r="S9815">
        <v>21.1</v>
      </c>
      <c r="T9815">
        <v>2547</v>
      </c>
      <c r="U9815">
        <v>474</v>
      </c>
      <c r="V9815">
        <v>9</v>
      </c>
      <c r="W9815">
        <v>76</v>
      </c>
      <c r="X9815">
        <v>1317</v>
      </c>
      <c r="Y9815">
        <v>62</v>
      </c>
      <c r="Z9815">
        <v>351</v>
      </c>
      <c r="AA9815">
        <v>1317</v>
      </c>
      <c r="AB9815">
        <v>46.829329999999999</v>
      </c>
      <c r="AC9815">
        <v>8.5159160000000001E-3</v>
      </c>
      <c r="AD9815">
        <v>3.862981</v>
      </c>
      <c r="AE9815">
        <v>0.58005209999999996</v>
      </c>
      <c r="AF9815">
        <v>859.10879999999997</v>
      </c>
      <c r="AG9815">
        <f>IFERROR(AH9815*0.1, "N/A")</f>
        <v>5.2</v>
      </c>
      <c r="AH9815">
        <v>52</v>
      </c>
      <c r="AI9815">
        <v>71.527780000000007</v>
      </c>
      <c r="AJ9815">
        <v>33</v>
      </c>
      <c r="AK9815">
        <v>39.392980000000001</v>
      </c>
    </row>
    <row r="9816" spans="1:37" x14ac:dyDescent="0.3">
      <c r="A9816">
        <v>9815</v>
      </c>
      <c r="B9816">
        <v>0</v>
      </c>
      <c r="C9816">
        <v>10.011900000000001</v>
      </c>
      <c r="D9816">
        <v>5.0166700000000004</v>
      </c>
      <c r="E9816" t="s">
        <v>14874</v>
      </c>
      <c r="F9816" t="s">
        <v>14875</v>
      </c>
      <c r="G9816" t="s">
        <v>39</v>
      </c>
      <c r="H9816">
        <v>1990</v>
      </c>
      <c r="I9816">
        <v>23.9</v>
      </c>
      <c r="J9816">
        <v>9.1</v>
      </c>
      <c r="K9816">
        <v>77</v>
      </c>
      <c r="L9816">
        <v>9.1943260000000002</v>
      </c>
      <c r="M9816">
        <v>30.61891</v>
      </c>
      <c r="N9816">
        <v>18.818909999999999</v>
      </c>
      <c r="O9816">
        <v>11.8</v>
      </c>
      <c r="P9816">
        <v>22.5</v>
      </c>
      <c r="Q9816">
        <v>24.5</v>
      </c>
      <c r="R9816">
        <v>24.9</v>
      </c>
      <c r="S9816">
        <v>22.5</v>
      </c>
      <c r="T9816">
        <v>2645.6219999999998</v>
      </c>
      <c r="U9816">
        <v>464.8109</v>
      </c>
      <c r="V9816">
        <v>12</v>
      </c>
      <c r="W9816">
        <v>73</v>
      </c>
      <c r="X9816">
        <v>1323.6220000000001</v>
      </c>
      <c r="Y9816">
        <v>75</v>
      </c>
      <c r="Z9816">
        <v>369</v>
      </c>
      <c r="AA9816">
        <v>1323.6220000000001</v>
      </c>
      <c r="AB9816">
        <v>63.514380000000003</v>
      </c>
      <c r="AC9816">
        <v>1.01712E-2</v>
      </c>
      <c r="AD9816">
        <v>4.5913259999999996</v>
      </c>
      <c r="AE9816">
        <v>0.21881110000000001</v>
      </c>
      <c r="AF9816">
        <v>654.68129999999996</v>
      </c>
      <c r="AG9816">
        <f>IFERROR(AH9816*0.1, "N/A")</f>
        <v>5.1877409999999999</v>
      </c>
      <c r="AH9816">
        <v>51.877409999999998</v>
      </c>
      <c r="AI9816">
        <v>140.4171</v>
      </c>
      <c r="AJ9816">
        <v>32.898420000000002</v>
      </c>
      <c r="AK9816">
        <v>42.133099999999999</v>
      </c>
    </row>
    <row r="9817" spans="1:37" x14ac:dyDescent="0.3">
      <c r="A9817">
        <v>9816</v>
      </c>
      <c r="B9817">
        <v>0</v>
      </c>
      <c r="C9817">
        <v>10.011900000000001</v>
      </c>
      <c r="D9817">
        <v>5.0166700000000004</v>
      </c>
      <c r="E9817" t="s">
        <v>14874</v>
      </c>
      <c r="F9817" t="s">
        <v>14876</v>
      </c>
      <c r="G9817" t="s">
        <v>37</v>
      </c>
      <c r="H9817">
        <v>1990</v>
      </c>
      <c r="I9817">
        <v>23.9</v>
      </c>
      <c r="J9817">
        <v>9.1</v>
      </c>
      <c r="K9817">
        <v>77</v>
      </c>
      <c r="L9817">
        <v>9.1943260000000002</v>
      </c>
      <c r="M9817">
        <v>30.61891</v>
      </c>
      <c r="N9817">
        <v>18.818909999999999</v>
      </c>
      <c r="O9817">
        <v>11.8</v>
      </c>
      <c r="P9817">
        <v>22.5</v>
      </c>
      <c r="Q9817">
        <v>24.5</v>
      </c>
      <c r="R9817">
        <v>24.9</v>
      </c>
      <c r="S9817">
        <v>22.5</v>
      </c>
      <c r="T9817">
        <v>2645.6219999999998</v>
      </c>
      <c r="U9817">
        <v>464.8109</v>
      </c>
      <c r="V9817">
        <v>12</v>
      </c>
      <c r="W9817">
        <v>73</v>
      </c>
      <c r="X9817">
        <v>1323.6220000000001</v>
      </c>
      <c r="Y9817">
        <v>75</v>
      </c>
      <c r="Z9817">
        <v>369</v>
      </c>
      <c r="AA9817">
        <v>1323.6220000000001</v>
      </c>
      <c r="AB9817">
        <v>63.514380000000003</v>
      </c>
      <c r="AC9817">
        <v>1.01712E-2</v>
      </c>
      <c r="AD9817">
        <v>4.5913259999999996</v>
      </c>
      <c r="AE9817">
        <v>0.21881110000000001</v>
      </c>
      <c r="AF9817">
        <v>654.68129999999996</v>
      </c>
      <c r="AG9817">
        <f>IFERROR(AH9817*0.1, "N/A")</f>
        <v>5.1877409999999999</v>
      </c>
      <c r="AH9817">
        <v>51.877409999999998</v>
      </c>
      <c r="AI9817">
        <v>140.4171</v>
      </c>
      <c r="AJ9817">
        <v>32.898420000000002</v>
      </c>
      <c r="AK9817">
        <v>42.133099999999999</v>
      </c>
    </row>
    <row r="9818" spans="1:37" x14ac:dyDescent="0.3">
      <c r="A9818">
        <v>9817</v>
      </c>
      <c r="B9818">
        <v>0</v>
      </c>
      <c r="C9818">
        <v>10.011900000000001</v>
      </c>
      <c r="D9818">
        <v>5.0166700000000004</v>
      </c>
      <c r="E9818" t="s">
        <v>14874</v>
      </c>
      <c r="F9818" t="s">
        <v>14877</v>
      </c>
      <c r="G9818" t="s">
        <v>2420</v>
      </c>
      <c r="H9818">
        <v>1990</v>
      </c>
      <c r="I9818">
        <v>23.9</v>
      </c>
      <c r="J9818">
        <v>9.1</v>
      </c>
      <c r="K9818">
        <v>77</v>
      </c>
      <c r="L9818">
        <v>9.1943260000000002</v>
      </c>
      <c r="M9818">
        <v>30.61891</v>
      </c>
      <c r="N9818">
        <v>18.818909999999999</v>
      </c>
      <c r="O9818">
        <v>11.8</v>
      </c>
      <c r="P9818">
        <v>22.5</v>
      </c>
      <c r="Q9818">
        <v>24.5</v>
      </c>
      <c r="R9818">
        <v>24.9</v>
      </c>
      <c r="S9818">
        <v>22.5</v>
      </c>
      <c r="T9818">
        <v>2645.6219999999998</v>
      </c>
      <c r="U9818">
        <v>464.8109</v>
      </c>
      <c r="V9818">
        <v>12</v>
      </c>
      <c r="W9818">
        <v>73</v>
      </c>
      <c r="X9818">
        <v>1323.6220000000001</v>
      </c>
      <c r="Y9818">
        <v>75</v>
      </c>
      <c r="Z9818">
        <v>369</v>
      </c>
      <c r="AA9818">
        <v>1323.6220000000001</v>
      </c>
      <c r="AB9818">
        <v>63.514380000000003</v>
      </c>
      <c r="AC9818">
        <v>1.01712E-2</v>
      </c>
      <c r="AD9818">
        <v>4.5913259999999996</v>
      </c>
      <c r="AE9818">
        <v>0.21881110000000001</v>
      </c>
      <c r="AF9818">
        <v>654.68129999999996</v>
      </c>
      <c r="AG9818">
        <f>IFERROR(AH9818*0.1, "N/A")</f>
        <v>5.1877409999999999</v>
      </c>
      <c r="AH9818">
        <v>51.877409999999998</v>
      </c>
      <c r="AI9818">
        <v>140.4171</v>
      </c>
      <c r="AJ9818">
        <v>32.898420000000002</v>
      </c>
      <c r="AK9818">
        <v>42.133099999999999</v>
      </c>
    </row>
    <row r="9819" spans="1:37" x14ac:dyDescent="0.3">
      <c r="A9819">
        <v>9818</v>
      </c>
      <c r="B9819">
        <v>0</v>
      </c>
      <c r="C9819">
        <v>12.0083</v>
      </c>
      <c r="D9819">
        <v>5.0194400000000003</v>
      </c>
      <c r="E9819" t="s">
        <v>14878</v>
      </c>
      <c r="F9819" t="s">
        <v>14879</v>
      </c>
      <c r="G9819" t="s">
        <v>37</v>
      </c>
      <c r="H9819">
        <v>1990</v>
      </c>
      <c r="I9819">
        <v>24.6</v>
      </c>
      <c r="J9819">
        <v>9.6</v>
      </c>
      <c r="K9819">
        <v>77</v>
      </c>
      <c r="L9819">
        <v>8.8454390000000007</v>
      </c>
      <c r="M9819">
        <v>31.9</v>
      </c>
      <c r="N9819">
        <v>19.5</v>
      </c>
      <c r="O9819">
        <v>12.4</v>
      </c>
      <c r="P9819">
        <v>23.7807</v>
      </c>
      <c r="Q9819">
        <v>25.380700000000001</v>
      </c>
      <c r="R9819">
        <v>25.7</v>
      </c>
      <c r="S9819">
        <v>23.4</v>
      </c>
      <c r="T9819">
        <v>1519</v>
      </c>
      <c r="U9819">
        <v>295</v>
      </c>
      <c r="V9819">
        <v>7</v>
      </c>
      <c r="W9819">
        <v>71</v>
      </c>
      <c r="X9819">
        <v>714</v>
      </c>
      <c r="Y9819">
        <v>43</v>
      </c>
      <c r="Z9819">
        <v>261</v>
      </c>
      <c r="AA9819">
        <v>543</v>
      </c>
      <c r="AB9819">
        <v>6.7643690000000003</v>
      </c>
      <c r="AC9819">
        <v>0.89205730000000005</v>
      </c>
      <c r="AD9819">
        <v>5.7821809999999996</v>
      </c>
      <c r="AE9819">
        <v>0.35154590000000002</v>
      </c>
      <c r="AF9819">
        <v>602.75260000000003</v>
      </c>
      <c r="AG9819">
        <f>IFERROR(AH9819*0.1, "N/A")</f>
        <v>5.4035089999999997</v>
      </c>
      <c r="AH9819">
        <v>54.035089999999997</v>
      </c>
      <c r="AI9819">
        <v>84.677589999999995</v>
      </c>
      <c r="AJ9819">
        <v>32.964910000000003</v>
      </c>
      <c r="AK9819">
        <v>54.245609999999999</v>
      </c>
    </row>
    <row r="9820" spans="1:37" x14ac:dyDescent="0.3">
      <c r="A9820">
        <v>9819</v>
      </c>
      <c r="B9820">
        <v>0</v>
      </c>
      <c r="C9820">
        <v>12.0083</v>
      </c>
      <c r="D9820">
        <v>5.0194400000000003</v>
      </c>
      <c r="E9820" t="s">
        <v>14878</v>
      </c>
      <c r="F9820" t="s">
        <v>14880</v>
      </c>
      <c r="G9820" t="s">
        <v>2420</v>
      </c>
      <c r="H9820">
        <v>1990</v>
      </c>
      <c r="I9820">
        <v>24.6</v>
      </c>
      <c r="J9820">
        <v>9.6</v>
      </c>
      <c r="K9820">
        <v>77</v>
      </c>
      <c r="L9820">
        <v>8.8454390000000007</v>
      </c>
      <c r="M9820">
        <v>31.9</v>
      </c>
      <c r="N9820">
        <v>19.5</v>
      </c>
      <c r="O9820">
        <v>12.4</v>
      </c>
      <c r="P9820">
        <v>23.7807</v>
      </c>
      <c r="Q9820">
        <v>25.380700000000001</v>
      </c>
      <c r="R9820">
        <v>25.7</v>
      </c>
      <c r="S9820">
        <v>23.4</v>
      </c>
      <c r="T9820">
        <v>1519</v>
      </c>
      <c r="U9820">
        <v>295</v>
      </c>
      <c r="V9820">
        <v>7</v>
      </c>
      <c r="W9820">
        <v>71</v>
      </c>
      <c r="X9820">
        <v>714</v>
      </c>
      <c r="Y9820">
        <v>43</v>
      </c>
      <c r="Z9820">
        <v>261</v>
      </c>
      <c r="AA9820">
        <v>543</v>
      </c>
      <c r="AB9820">
        <v>6.7643690000000003</v>
      </c>
      <c r="AC9820">
        <v>0.89205730000000005</v>
      </c>
      <c r="AD9820">
        <v>5.7821809999999996</v>
      </c>
      <c r="AE9820">
        <v>0.35154590000000002</v>
      </c>
      <c r="AF9820">
        <v>602.75260000000003</v>
      </c>
      <c r="AG9820">
        <f>IFERROR(AH9820*0.1, "N/A")</f>
        <v>5.4035089999999997</v>
      </c>
      <c r="AH9820">
        <v>54.035089999999997</v>
      </c>
      <c r="AI9820">
        <v>84.677589999999995</v>
      </c>
      <c r="AJ9820">
        <v>32.964910000000003</v>
      </c>
      <c r="AK9820">
        <v>54.245609999999999</v>
      </c>
    </row>
    <row r="9821" spans="1:37" x14ac:dyDescent="0.3">
      <c r="A9821">
        <v>9820</v>
      </c>
      <c r="B9821">
        <v>0</v>
      </c>
      <c r="C9821">
        <v>10.466699999999999</v>
      </c>
      <c r="D9821">
        <v>5.0611100000000002</v>
      </c>
      <c r="E9821" t="s">
        <v>14881</v>
      </c>
      <c r="F9821" t="s">
        <v>14882</v>
      </c>
      <c r="G9821" t="s">
        <v>39</v>
      </c>
      <c r="H9821">
        <v>1990</v>
      </c>
      <c r="I9821">
        <v>20.9</v>
      </c>
      <c r="J9821">
        <v>9.6</v>
      </c>
      <c r="K9821">
        <v>75</v>
      </c>
      <c r="L9821">
        <v>9.6199999999999992</v>
      </c>
      <c r="M9821">
        <v>28.2</v>
      </c>
      <c r="N9821">
        <v>15.5</v>
      </c>
      <c r="O9821">
        <v>12.7</v>
      </c>
      <c r="P9821">
        <v>19.899999999999999</v>
      </c>
      <c r="Q9821">
        <v>21.7</v>
      </c>
      <c r="R9821">
        <v>22.1</v>
      </c>
      <c r="S9821">
        <v>19.600000000000001</v>
      </c>
      <c r="T9821">
        <v>2023.1420000000001</v>
      </c>
      <c r="U9821">
        <v>357</v>
      </c>
      <c r="V9821">
        <v>9</v>
      </c>
      <c r="W9821">
        <v>69</v>
      </c>
      <c r="X9821">
        <v>960.14189999999996</v>
      </c>
      <c r="Y9821">
        <v>54</v>
      </c>
      <c r="Z9821">
        <v>329</v>
      </c>
      <c r="AA9821">
        <v>932.14189999999996</v>
      </c>
      <c r="AB9821">
        <v>7.5971650000000004</v>
      </c>
      <c r="AC9821">
        <v>0.21929290000000001</v>
      </c>
      <c r="AD9821">
        <v>2.4734449999999999</v>
      </c>
      <c r="AE9821">
        <v>0.61255939999999998</v>
      </c>
      <c r="AF9821">
        <v>1201.2329999999999</v>
      </c>
      <c r="AG9821">
        <f>IFERROR(AH9821*0.1, "N/A")</f>
        <v>5.1000000000000005</v>
      </c>
      <c r="AH9821">
        <v>51</v>
      </c>
      <c r="AI9821">
        <v>144.94460000000001</v>
      </c>
      <c r="AJ9821">
        <v>29.141860000000001</v>
      </c>
      <c r="AK9821">
        <v>43.432569999999998</v>
      </c>
    </row>
    <row r="9822" spans="1:37" x14ac:dyDescent="0.3">
      <c r="A9822">
        <v>9821</v>
      </c>
      <c r="B9822">
        <v>0</v>
      </c>
      <c r="C9822">
        <v>10.466699999999999</v>
      </c>
      <c r="D9822">
        <v>5.0611100000000002</v>
      </c>
      <c r="E9822" t="s">
        <v>14881</v>
      </c>
      <c r="F9822" t="s">
        <v>14883</v>
      </c>
      <c r="G9822" t="s">
        <v>37</v>
      </c>
      <c r="H9822">
        <v>1990</v>
      </c>
      <c r="I9822">
        <v>20.9</v>
      </c>
      <c r="J9822">
        <v>9.6</v>
      </c>
      <c r="K9822">
        <v>75</v>
      </c>
      <c r="L9822">
        <v>9.6199999999999992</v>
      </c>
      <c r="M9822">
        <v>28.2</v>
      </c>
      <c r="N9822">
        <v>15.5</v>
      </c>
      <c r="O9822">
        <v>12.7</v>
      </c>
      <c r="P9822">
        <v>19.899999999999999</v>
      </c>
      <c r="Q9822">
        <v>21.7</v>
      </c>
      <c r="R9822">
        <v>22.1</v>
      </c>
      <c r="S9822">
        <v>19.600000000000001</v>
      </c>
      <c r="T9822">
        <v>2023.1420000000001</v>
      </c>
      <c r="U9822">
        <v>357</v>
      </c>
      <c r="V9822">
        <v>9</v>
      </c>
      <c r="W9822">
        <v>69</v>
      </c>
      <c r="X9822">
        <v>960.14189999999996</v>
      </c>
      <c r="Y9822">
        <v>54</v>
      </c>
      <c r="Z9822">
        <v>329</v>
      </c>
      <c r="AA9822">
        <v>932.14189999999996</v>
      </c>
      <c r="AB9822">
        <v>7.5971650000000004</v>
      </c>
      <c r="AC9822">
        <v>0.21929290000000001</v>
      </c>
      <c r="AD9822">
        <v>2.4734449999999999</v>
      </c>
      <c r="AE9822">
        <v>0.61255939999999998</v>
      </c>
      <c r="AF9822">
        <v>1201.2329999999999</v>
      </c>
      <c r="AG9822">
        <f>IFERROR(AH9822*0.1, "N/A")</f>
        <v>5.1000000000000005</v>
      </c>
      <c r="AH9822">
        <v>51</v>
      </c>
      <c r="AI9822">
        <v>144.94460000000001</v>
      </c>
      <c r="AJ9822">
        <v>29.141860000000001</v>
      </c>
      <c r="AK9822">
        <v>43.432569999999998</v>
      </c>
    </row>
    <row r="9823" spans="1:37" x14ac:dyDescent="0.3">
      <c r="A9823">
        <v>9822</v>
      </c>
      <c r="B9823">
        <v>0</v>
      </c>
      <c r="C9823">
        <v>10.466699999999999</v>
      </c>
      <c r="D9823">
        <v>5.0611100000000002</v>
      </c>
      <c r="E9823" t="s">
        <v>14881</v>
      </c>
      <c r="F9823" t="s">
        <v>14884</v>
      </c>
      <c r="G9823" t="s">
        <v>2420</v>
      </c>
      <c r="H9823">
        <v>1990</v>
      </c>
      <c r="I9823">
        <v>20.9</v>
      </c>
      <c r="J9823">
        <v>9.6</v>
      </c>
      <c r="K9823">
        <v>75</v>
      </c>
      <c r="L9823">
        <v>9.6199999999999992</v>
      </c>
      <c r="M9823">
        <v>28.2</v>
      </c>
      <c r="N9823">
        <v>15.5</v>
      </c>
      <c r="O9823">
        <v>12.7</v>
      </c>
      <c r="P9823">
        <v>19.899999999999999</v>
      </c>
      <c r="Q9823">
        <v>21.7</v>
      </c>
      <c r="R9823">
        <v>22.1</v>
      </c>
      <c r="S9823">
        <v>19.600000000000001</v>
      </c>
      <c r="T9823">
        <v>2023.1420000000001</v>
      </c>
      <c r="U9823">
        <v>357</v>
      </c>
      <c r="V9823">
        <v>9</v>
      </c>
      <c r="W9823">
        <v>69</v>
      </c>
      <c r="X9823">
        <v>960.14189999999996</v>
      </c>
      <c r="Y9823">
        <v>54</v>
      </c>
      <c r="Z9823">
        <v>329</v>
      </c>
      <c r="AA9823">
        <v>932.14189999999996</v>
      </c>
      <c r="AB9823">
        <v>7.5971650000000004</v>
      </c>
      <c r="AC9823">
        <v>0.21929290000000001</v>
      </c>
      <c r="AD9823">
        <v>2.4734449999999999</v>
      </c>
      <c r="AE9823">
        <v>0.61255939999999998</v>
      </c>
      <c r="AF9823">
        <v>1201.2329999999999</v>
      </c>
      <c r="AG9823">
        <f>IFERROR(AH9823*0.1, "N/A")</f>
        <v>5.1000000000000005</v>
      </c>
      <c r="AH9823">
        <v>51</v>
      </c>
      <c r="AI9823">
        <v>144.94460000000001</v>
      </c>
      <c r="AJ9823">
        <v>29.141860000000001</v>
      </c>
      <c r="AK9823">
        <v>43.432569999999998</v>
      </c>
    </row>
    <row r="9824" spans="1:37" x14ac:dyDescent="0.3">
      <c r="A9824">
        <v>9823</v>
      </c>
      <c r="B9824">
        <v>5.3</v>
      </c>
      <c r="C9824">
        <v>10.362500000000001</v>
      </c>
      <c r="D9824">
        <v>5.0986099999999999</v>
      </c>
      <c r="E9824" t="s">
        <v>14885</v>
      </c>
      <c r="F9824" t="s">
        <v>14886</v>
      </c>
      <c r="G9824" t="s">
        <v>39</v>
      </c>
      <c r="H9824">
        <v>1990</v>
      </c>
      <c r="I9824">
        <v>20.5</v>
      </c>
      <c r="J9824">
        <v>9.6</v>
      </c>
      <c r="K9824">
        <v>76</v>
      </c>
      <c r="L9824">
        <v>8.75</v>
      </c>
      <c r="M9824">
        <v>27.7</v>
      </c>
      <c r="N9824">
        <v>15.1</v>
      </c>
      <c r="O9824">
        <v>12.6</v>
      </c>
      <c r="P9824">
        <v>19.5</v>
      </c>
      <c r="Q9824">
        <v>21.2</v>
      </c>
      <c r="R9824">
        <v>21.6</v>
      </c>
      <c r="S9824">
        <v>19.3</v>
      </c>
      <c r="T9824">
        <v>2011</v>
      </c>
      <c r="U9824">
        <v>354</v>
      </c>
      <c r="V9824">
        <v>9</v>
      </c>
      <c r="W9824">
        <v>68</v>
      </c>
      <c r="X9824">
        <v>945</v>
      </c>
      <c r="Y9824">
        <v>56</v>
      </c>
      <c r="Z9824">
        <v>334</v>
      </c>
      <c r="AA9824">
        <v>922</v>
      </c>
      <c r="AB9824">
        <v>312.20929999999998</v>
      </c>
      <c r="AC9824">
        <v>4.6972489999999999E-2</v>
      </c>
      <c r="AD9824">
        <v>9.5656470000000002</v>
      </c>
      <c r="AE9824">
        <v>0.2378788</v>
      </c>
      <c r="AF9824">
        <v>1303.319</v>
      </c>
      <c r="AG9824">
        <f>IFERROR(AH9824*0.1, "N/A")</f>
        <v>5.3297720000000002</v>
      </c>
      <c r="AH9824">
        <v>53.297719999999998</v>
      </c>
      <c r="AI9824">
        <v>70.132649999999998</v>
      </c>
      <c r="AJ9824">
        <v>32.164619999999999</v>
      </c>
      <c r="AK9824">
        <v>41.861649999999997</v>
      </c>
    </row>
    <row r="9825" spans="1:37" x14ac:dyDescent="0.3">
      <c r="A9825">
        <v>9824</v>
      </c>
      <c r="B9825">
        <v>0</v>
      </c>
      <c r="C9825">
        <v>10.362500000000001</v>
      </c>
      <c r="D9825">
        <v>5.0986099999999999</v>
      </c>
      <c r="E9825" t="s">
        <v>14885</v>
      </c>
      <c r="F9825" t="s">
        <v>14887</v>
      </c>
      <c r="G9825" t="s">
        <v>37</v>
      </c>
      <c r="H9825">
        <v>1990</v>
      </c>
      <c r="I9825">
        <v>20.5</v>
      </c>
      <c r="J9825">
        <v>9.6</v>
      </c>
      <c r="K9825">
        <v>76</v>
      </c>
      <c r="L9825">
        <v>8.75</v>
      </c>
      <c r="M9825">
        <v>27.7</v>
      </c>
      <c r="N9825">
        <v>15.1</v>
      </c>
      <c r="O9825">
        <v>12.6</v>
      </c>
      <c r="P9825">
        <v>19.5</v>
      </c>
      <c r="Q9825">
        <v>21.2</v>
      </c>
      <c r="R9825">
        <v>21.6</v>
      </c>
      <c r="S9825">
        <v>19.3</v>
      </c>
      <c r="T9825">
        <v>2011</v>
      </c>
      <c r="U9825">
        <v>354</v>
      </c>
      <c r="V9825">
        <v>9</v>
      </c>
      <c r="W9825">
        <v>68</v>
      </c>
      <c r="X9825">
        <v>945</v>
      </c>
      <c r="Y9825">
        <v>56</v>
      </c>
      <c r="Z9825">
        <v>334</v>
      </c>
      <c r="AA9825">
        <v>922</v>
      </c>
      <c r="AB9825">
        <v>312.20929999999998</v>
      </c>
      <c r="AC9825">
        <v>4.6972489999999999E-2</v>
      </c>
      <c r="AD9825">
        <v>9.5656470000000002</v>
      </c>
      <c r="AE9825">
        <v>0.2378788</v>
      </c>
      <c r="AF9825">
        <v>1303.319</v>
      </c>
      <c r="AG9825">
        <f>IFERROR(AH9825*0.1, "N/A")</f>
        <v>5.3297720000000002</v>
      </c>
      <c r="AH9825">
        <v>53.297719999999998</v>
      </c>
      <c r="AI9825">
        <v>70.132649999999998</v>
      </c>
      <c r="AJ9825">
        <v>32.164619999999999</v>
      </c>
      <c r="AK9825">
        <v>41.861649999999997</v>
      </c>
    </row>
    <row r="9826" spans="1:37" x14ac:dyDescent="0.3">
      <c r="A9826">
        <v>9825</v>
      </c>
      <c r="B9826">
        <v>0</v>
      </c>
      <c r="C9826">
        <v>10.362500000000001</v>
      </c>
      <c r="D9826">
        <v>5.0986099999999999</v>
      </c>
      <c r="E9826" t="s">
        <v>14885</v>
      </c>
      <c r="F9826" t="s">
        <v>14888</v>
      </c>
      <c r="G9826" t="s">
        <v>2420</v>
      </c>
      <c r="H9826">
        <v>1990</v>
      </c>
      <c r="I9826">
        <v>20.5</v>
      </c>
      <c r="J9826">
        <v>9.6</v>
      </c>
      <c r="K9826">
        <v>76</v>
      </c>
      <c r="L9826">
        <v>8.75</v>
      </c>
      <c r="M9826">
        <v>27.7</v>
      </c>
      <c r="N9826">
        <v>15.1</v>
      </c>
      <c r="O9826">
        <v>12.6</v>
      </c>
      <c r="P9826">
        <v>19.5</v>
      </c>
      <c r="Q9826">
        <v>21.2</v>
      </c>
      <c r="R9826">
        <v>21.6</v>
      </c>
      <c r="S9826">
        <v>19.3</v>
      </c>
      <c r="T9826">
        <v>2011</v>
      </c>
      <c r="U9826">
        <v>354</v>
      </c>
      <c r="V9826">
        <v>9</v>
      </c>
      <c r="W9826">
        <v>68</v>
      </c>
      <c r="X9826">
        <v>945</v>
      </c>
      <c r="Y9826">
        <v>56</v>
      </c>
      <c r="Z9826">
        <v>334</v>
      </c>
      <c r="AA9826">
        <v>922</v>
      </c>
      <c r="AB9826">
        <v>312.20929999999998</v>
      </c>
      <c r="AC9826">
        <v>4.6972489999999999E-2</v>
      </c>
      <c r="AD9826">
        <v>9.5656470000000002</v>
      </c>
      <c r="AE9826">
        <v>0.2378788</v>
      </c>
      <c r="AF9826">
        <v>1303.319</v>
      </c>
      <c r="AG9826">
        <f>IFERROR(AH9826*0.1, "N/A")</f>
        <v>5.3297720000000002</v>
      </c>
      <c r="AH9826">
        <v>53.297719999999998</v>
      </c>
      <c r="AI9826">
        <v>70.132649999999998</v>
      </c>
      <c r="AJ9826">
        <v>32.164619999999999</v>
      </c>
      <c r="AK9826">
        <v>41.861649999999997</v>
      </c>
    </row>
    <row r="9827" spans="1:37" x14ac:dyDescent="0.3">
      <c r="A9827">
        <v>9826</v>
      </c>
      <c r="B9827">
        <v>0</v>
      </c>
      <c r="C9827">
        <v>10.081899999999999</v>
      </c>
      <c r="D9827">
        <v>5.1027800000000001</v>
      </c>
      <c r="E9827" t="s">
        <v>14889</v>
      </c>
      <c r="F9827" t="s">
        <v>14890</v>
      </c>
      <c r="G9827" t="s">
        <v>39</v>
      </c>
      <c r="H9827">
        <v>1990</v>
      </c>
      <c r="I9827">
        <v>22.1</v>
      </c>
      <c r="J9827">
        <v>9.4</v>
      </c>
      <c r="K9827">
        <v>76</v>
      </c>
      <c r="L9827">
        <v>9.3000000000000007</v>
      </c>
      <c r="M9827">
        <v>29.1</v>
      </c>
      <c r="N9827">
        <v>16.8</v>
      </c>
      <c r="O9827">
        <v>12.3</v>
      </c>
      <c r="P9827">
        <v>20.7</v>
      </c>
      <c r="Q9827">
        <v>22.7</v>
      </c>
      <c r="R9827">
        <v>23.1</v>
      </c>
      <c r="S9827">
        <v>20.7</v>
      </c>
      <c r="T9827">
        <v>2326</v>
      </c>
      <c r="U9827">
        <v>413</v>
      </c>
      <c r="V9827">
        <v>8</v>
      </c>
      <c r="W9827">
        <v>73</v>
      </c>
      <c r="X9827">
        <v>1158</v>
      </c>
      <c r="Y9827">
        <v>57</v>
      </c>
      <c r="Z9827">
        <v>344</v>
      </c>
      <c r="AA9827">
        <v>1158</v>
      </c>
      <c r="AB9827">
        <v>95.048240000000007</v>
      </c>
      <c r="AC9827">
        <v>8.6939159999999994E-3</v>
      </c>
      <c r="AD9827">
        <v>12.45824</v>
      </c>
      <c r="AE9827">
        <v>0.2407088</v>
      </c>
      <c r="AF9827">
        <v>1008.198</v>
      </c>
      <c r="AG9827">
        <f>IFERROR(AH9827*0.1, "N/A")</f>
        <v>5.2884210000000005</v>
      </c>
      <c r="AH9827">
        <v>52.884210000000003</v>
      </c>
      <c r="AI9827">
        <v>219.85040000000001</v>
      </c>
      <c r="AJ9827">
        <v>31.768419999999999</v>
      </c>
      <c r="AK9827">
        <v>43.115789999999997</v>
      </c>
    </row>
    <row r="9828" spans="1:37" x14ac:dyDescent="0.3">
      <c r="A9828">
        <v>9827</v>
      </c>
      <c r="B9828">
        <v>0</v>
      </c>
      <c r="C9828">
        <v>10.081899999999999</v>
      </c>
      <c r="D9828">
        <v>5.1027800000000001</v>
      </c>
      <c r="E9828" t="s">
        <v>14889</v>
      </c>
      <c r="F9828" t="s">
        <v>14891</v>
      </c>
      <c r="G9828" t="s">
        <v>37</v>
      </c>
      <c r="H9828">
        <v>1990</v>
      </c>
      <c r="I9828">
        <v>22.1</v>
      </c>
      <c r="J9828">
        <v>9.4</v>
      </c>
      <c r="K9828">
        <v>76</v>
      </c>
      <c r="L9828">
        <v>9.3000000000000007</v>
      </c>
      <c r="M9828">
        <v>29.1</v>
      </c>
      <c r="N9828">
        <v>16.8</v>
      </c>
      <c r="O9828">
        <v>12.3</v>
      </c>
      <c r="P9828">
        <v>20.7</v>
      </c>
      <c r="Q9828">
        <v>22.7</v>
      </c>
      <c r="R9828">
        <v>23.1</v>
      </c>
      <c r="S9828">
        <v>20.7</v>
      </c>
      <c r="T9828">
        <v>2326</v>
      </c>
      <c r="U9828">
        <v>413</v>
      </c>
      <c r="V9828">
        <v>8</v>
      </c>
      <c r="W9828">
        <v>73</v>
      </c>
      <c r="X9828">
        <v>1158</v>
      </c>
      <c r="Y9828">
        <v>57</v>
      </c>
      <c r="Z9828">
        <v>344</v>
      </c>
      <c r="AA9828">
        <v>1158</v>
      </c>
      <c r="AB9828">
        <v>95.048240000000007</v>
      </c>
      <c r="AC9828">
        <v>8.6939159999999994E-3</v>
      </c>
      <c r="AD9828">
        <v>12.45824</v>
      </c>
      <c r="AE9828">
        <v>0.2407088</v>
      </c>
      <c r="AF9828">
        <v>1008.198</v>
      </c>
      <c r="AG9828">
        <f>IFERROR(AH9828*0.1, "N/A")</f>
        <v>5.2884210000000005</v>
      </c>
      <c r="AH9828">
        <v>52.884210000000003</v>
      </c>
      <c r="AI9828">
        <v>219.85040000000001</v>
      </c>
      <c r="AJ9828">
        <v>31.768419999999999</v>
      </c>
      <c r="AK9828">
        <v>43.115789999999997</v>
      </c>
    </row>
    <row r="9829" spans="1:37" x14ac:dyDescent="0.3">
      <c r="A9829">
        <v>9828</v>
      </c>
      <c r="B9829">
        <v>0</v>
      </c>
      <c r="C9829">
        <v>10.081899999999999</v>
      </c>
      <c r="D9829">
        <v>5.1027800000000001</v>
      </c>
      <c r="E9829" t="s">
        <v>14889</v>
      </c>
      <c r="F9829" t="s">
        <v>14892</v>
      </c>
      <c r="G9829" t="s">
        <v>2420</v>
      </c>
      <c r="H9829">
        <v>1990</v>
      </c>
      <c r="I9829">
        <v>22.1</v>
      </c>
      <c r="J9829">
        <v>9.4</v>
      </c>
      <c r="K9829">
        <v>76</v>
      </c>
      <c r="L9829">
        <v>9.3000000000000007</v>
      </c>
      <c r="M9829">
        <v>29.1</v>
      </c>
      <c r="N9829">
        <v>16.8</v>
      </c>
      <c r="O9829">
        <v>12.3</v>
      </c>
      <c r="P9829">
        <v>20.7</v>
      </c>
      <c r="Q9829">
        <v>22.7</v>
      </c>
      <c r="R9829">
        <v>23.1</v>
      </c>
      <c r="S9829">
        <v>20.7</v>
      </c>
      <c r="T9829">
        <v>2326</v>
      </c>
      <c r="U9829">
        <v>413</v>
      </c>
      <c r="V9829">
        <v>8</v>
      </c>
      <c r="W9829">
        <v>73</v>
      </c>
      <c r="X9829">
        <v>1158</v>
      </c>
      <c r="Y9829">
        <v>57</v>
      </c>
      <c r="Z9829">
        <v>344</v>
      </c>
      <c r="AA9829">
        <v>1158</v>
      </c>
      <c r="AB9829">
        <v>95.048240000000007</v>
      </c>
      <c r="AC9829">
        <v>8.6939159999999994E-3</v>
      </c>
      <c r="AD9829">
        <v>12.45824</v>
      </c>
      <c r="AE9829">
        <v>0.2407088</v>
      </c>
      <c r="AF9829">
        <v>1008.198</v>
      </c>
      <c r="AG9829">
        <f>IFERROR(AH9829*0.1, "N/A")</f>
        <v>5.2884210000000005</v>
      </c>
      <c r="AH9829">
        <v>52.884210000000003</v>
      </c>
      <c r="AI9829">
        <v>219.85040000000001</v>
      </c>
      <c r="AJ9829">
        <v>31.768419999999999</v>
      </c>
      <c r="AK9829">
        <v>43.115789999999997</v>
      </c>
    </row>
    <row r="9830" spans="1:37" x14ac:dyDescent="0.3">
      <c r="A9830">
        <v>9829</v>
      </c>
      <c r="B9830">
        <v>0</v>
      </c>
      <c r="C9830">
        <v>10.416700000000001</v>
      </c>
      <c r="D9830">
        <v>5.1166700000000001</v>
      </c>
      <c r="E9830" t="s">
        <v>14893</v>
      </c>
      <c r="F9830" t="s">
        <v>14894</v>
      </c>
      <c r="G9830" t="s">
        <v>39</v>
      </c>
      <c r="H9830">
        <v>1990</v>
      </c>
      <c r="I9830">
        <v>19.98021</v>
      </c>
      <c r="J9830">
        <v>9.6999999999999993</v>
      </c>
      <c r="K9830">
        <v>75.74606</v>
      </c>
      <c r="L9830">
        <v>9.1784940000000006</v>
      </c>
      <c r="M9830">
        <v>27.231000000000002</v>
      </c>
      <c r="N9830">
        <v>14.48021</v>
      </c>
      <c r="O9830">
        <v>12.75079</v>
      </c>
      <c r="P9830">
        <v>18.98021</v>
      </c>
      <c r="Q9830">
        <v>20.669350000000001</v>
      </c>
      <c r="R9830">
        <v>21.080210000000001</v>
      </c>
      <c r="S9830">
        <v>18.7056</v>
      </c>
      <c r="T9830">
        <v>1958.088</v>
      </c>
      <c r="U9830">
        <v>342.6567</v>
      </c>
      <c r="V9830">
        <v>10</v>
      </c>
      <c r="W9830">
        <v>67.383539999999996</v>
      </c>
      <c r="X9830">
        <v>908.77229999999997</v>
      </c>
      <c r="Y9830">
        <v>58</v>
      </c>
      <c r="Z9830">
        <v>333.65320000000003</v>
      </c>
      <c r="AA9830">
        <v>879.5394</v>
      </c>
      <c r="AB9830">
        <v>7.4798429999999998</v>
      </c>
      <c r="AC9830">
        <v>66.580969999999994</v>
      </c>
      <c r="AD9830">
        <v>10.88458</v>
      </c>
      <c r="AE9830">
        <v>0.25227860000000002</v>
      </c>
      <c r="AF9830">
        <v>1330.9960000000001</v>
      </c>
      <c r="AG9830">
        <f>IFERROR(AH9830*0.1, "N/A")</f>
        <v>5.4253940000000007</v>
      </c>
      <c r="AH9830">
        <v>54.25394</v>
      </c>
      <c r="AI9830">
        <v>265.75720000000001</v>
      </c>
      <c r="AJ9830">
        <v>32</v>
      </c>
      <c r="AK9830">
        <v>37.390540000000001</v>
      </c>
    </row>
    <row r="9831" spans="1:37" x14ac:dyDescent="0.3">
      <c r="A9831">
        <v>9830</v>
      </c>
      <c r="B9831">
        <v>0</v>
      </c>
      <c r="C9831">
        <v>10.416700000000001</v>
      </c>
      <c r="D9831">
        <v>5.1166700000000001</v>
      </c>
      <c r="E9831" t="s">
        <v>14893</v>
      </c>
      <c r="F9831" t="s">
        <v>14895</v>
      </c>
      <c r="G9831" t="s">
        <v>37</v>
      </c>
      <c r="H9831">
        <v>1990</v>
      </c>
      <c r="I9831">
        <v>19.98021</v>
      </c>
      <c r="J9831">
        <v>9.6999999999999993</v>
      </c>
      <c r="K9831">
        <v>75.74606</v>
      </c>
      <c r="L9831">
        <v>9.1784940000000006</v>
      </c>
      <c r="M9831">
        <v>27.231000000000002</v>
      </c>
      <c r="N9831">
        <v>14.48021</v>
      </c>
      <c r="O9831">
        <v>12.75079</v>
      </c>
      <c r="P9831">
        <v>18.98021</v>
      </c>
      <c r="Q9831">
        <v>20.669350000000001</v>
      </c>
      <c r="R9831">
        <v>21.080210000000001</v>
      </c>
      <c r="S9831">
        <v>18.7056</v>
      </c>
      <c r="T9831">
        <v>1958.088</v>
      </c>
      <c r="U9831">
        <v>342.6567</v>
      </c>
      <c r="V9831">
        <v>10</v>
      </c>
      <c r="W9831">
        <v>67.383539999999996</v>
      </c>
      <c r="X9831">
        <v>908.77229999999997</v>
      </c>
      <c r="Y9831">
        <v>58</v>
      </c>
      <c r="Z9831">
        <v>333.65320000000003</v>
      </c>
      <c r="AA9831">
        <v>879.5394</v>
      </c>
      <c r="AB9831">
        <v>7.4798429999999998</v>
      </c>
      <c r="AC9831">
        <v>66.580969999999994</v>
      </c>
      <c r="AD9831">
        <v>10.88458</v>
      </c>
      <c r="AE9831">
        <v>0.25227860000000002</v>
      </c>
      <c r="AF9831">
        <v>1330.9960000000001</v>
      </c>
      <c r="AG9831">
        <f>IFERROR(AH9831*0.1, "N/A")</f>
        <v>5.4253940000000007</v>
      </c>
      <c r="AH9831">
        <v>54.25394</v>
      </c>
      <c r="AI9831">
        <v>265.75720000000001</v>
      </c>
      <c r="AJ9831">
        <v>32</v>
      </c>
      <c r="AK9831">
        <v>37.390540000000001</v>
      </c>
    </row>
    <row r="9832" spans="1:37" x14ac:dyDescent="0.3">
      <c r="A9832">
        <v>9831</v>
      </c>
      <c r="B9832">
        <v>0</v>
      </c>
      <c r="C9832">
        <v>10.416700000000001</v>
      </c>
      <c r="D9832">
        <v>5.1166700000000001</v>
      </c>
      <c r="E9832" t="s">
        <v>14893</v>
      </c>
      <c r="F9832" t="s">
        <v>14896</v>
      </c>
      <c r="G9832" t="s">
        <v>2420</v>
      </c>
      <c r="H9832">
        <v>1990</v>
      </c>
      <c r="I9832">
        <v>19.98021</v>
      </c>
      <c r="J9832">
        <v>9.6999999999999993</v>
      </c>
      <c r="K9832">
        <v>75.74606</v>
      </c>
      <c r="L9832">
        <v>9.1784940000000006</v>
      </c>
      <c r="M9832">
        <v>27.231000000000002</v>
      </c>
      <c r="N9832">
        <v>14.48021</v>
      </c>
      <c r="O9832">
        <v>12.75079</v>
      </c>
      <c r="P9832">
        <v>18.98021</v>
      </c>
      <c r="Q9832">
        <v>20.669350000000001</v>
      </c>
      <c r="R9832">
        <v>21.080210000000001</v>
      </c>
      <c r="S9832">
        <v>18.7056</v>
      </c>
      <c r="T9832">
        <v>1958.088</v>
      </c>
      <c r="U9832">
        <v>342.6567</v>
      </c>
      <c r="V9832">
        <v>10</v>
      </c>
      <c r="W9832">
        <v>67.383539999999996</v>
      </c>
      <c r="X9832">
        <v>908.77229999999997</v>
      </c>
      <c r="Y9832">
        <v>58</v>
      </c>
      <c r="Z9832">
        <v>333.65320000000003</v>
      </c>
      <c r="AA9832">
        <v>879.5394</v>
      </c>
      <c r="AB9832">
        <v>7.4798429999999998</v>
      </c>
      <c r="AC9832">
        <v>66.580969999999994</v>
      </c>
      <c r="AD9832">
        <v>10.88458</v>
      </c>
      <c r="AE9832">
        <v>0.25227860000000002</v>
      </c>
      <c r="AF9832">
        <v>1330.9960000000001</v>
      </c>
      <c r="AG9832">
        <f>IFERROR(AH9832*0.1, "N/A")</f>
        <v>5.4253940000000007</v>
      </c>
      <c r="AH9832">
        <v>54.25394</v>
      </c>
      <c r="AI9832">
        <v>265.75720000000001</v>
      </c>
      <c r="AJ9832">
        <v>32</v>
      </c>
      <c r="AK9832">
        <v>37.390540000000001</v>
      </c>
    </row>
    <row r="9833" spans="1:37" x14ac:dyDescent="0.3">
      <c r="A9833">
        <v>9832</v>
      </c>
      <c r="B9833">
        <v>0</v>
      </c>
      <c r="C9833">
        <v>10.2667</v>
      </c>
      <c r="D9833">
        <v>5.1166700000000001</v>
      </c>
      <c r="E9833" t="s">
        <v>14897</v>
      </c>
      <c r="F9833" t="s">
        <v>14898</v>
      </c>
      <c r="G9833" t="s">
        <v>39</v>
      </c>
      <c r="H9833">
        <v>1990</v>
      </c>
      <c r="I9833">
        <v>19.15559</v>
      </c>
      <c r="J9833">
        <v>9.6999999999999993</v>
      </c>
      <c r="K9833">
        <v>76</v>
      </c>
      <c r="L9833">
        <v>9.1731820000000006</v>
      </c>
      <c r="M9833">
        <v>26.355589999999999</v>
      </c>
      <c r="N9833">
        <v>13.65559</v>
      </c>
      <c r="O9833">
        <v>12.7</v>
      </c>
      <c r="P9833">
        <v>18.177969999999998</v>
      </c>
      <c r="Q9833">
        <v>19.855589999999999</v>
      </c>
      <c r="R9833">
        <v>20.255590000000002</v>
      </c>
      <c r="S9833">
        <v>17.955590000000001</v>
      </c>
      <c r="T9833">
        <v>1954.28</v>
      </c>
      <c r="U9833">
        <v>341.59789999999998</v>
      </c>
      <c r="V9833">
        <v>11</v>
      </c>
      <c r="W9833">
        <v>66</v>
      </c>
      <c r="X9833">
        <v>891.52800000000002</v>
      </c>
      <c r="Y9833">
        <v>64</v>
      </c>
      <c r="Z9833">
        <v>347.59789999999998</v>
      </c>
      <c r="AA9833">
        <v>868.77620000000002</v>
      </c>
      <c r="AB9833">
        <v>12.765599999999999</v>
      </c>
      <c r="AC9833">
        <v>0.17698810000000001</v>
      </c>
      <c r="AD9833">
        <v>6.8805800000000001</v>
      </c>
      <c r="AE9833">
        <v>0.32557659999999999</v>
      </c>
      <c r="AF9833">
        <v>1492.8779999999999</v>
      </c>
      <c r="AG9833">
        <f>IFERROR(AH9833*0.1, "N/A")</f>
        <v>5.1006990000000005</v>
      </c>
      <c r="AH9833">
        <v>51.006990000000002</v>
      </c>
      <c r="AI9833">
        <v>154.0778</v>
      </c>
      <c r="AJ9833">
        <v>29.762239999999998</v>
      </c>
      <c r="AK9833">
        <v>43.244759999999999</v>
      </c>
    </row>
    <row r="9834" spans="1:37" x14ac:dyDescent="0.3">
      <c r="A9834">
        <v>9833</v>
      </c>
      <c r="B9834">
        <v>0</v>
      </c>
      <c r="C9834">
        <v>10.2667</v>
      </c>
      <c r="D9834">
        <v>5.1166700000000001</v>
      </c>
      <c r="E9834" t="s">
        <v>14897</v>
      </c>
      <c r="F9834" t="s">
        <v>14899</v>
      </c>
      <c r="G9834" t="s">
        <v>37</v>
      </c>
      <c r="H9834">
        <v>1990</v>
      </c>
      <c r="I9834">
        <v>19.15559</v>
      </c>
      <c r="J9834">
        <v>9.6999999999999993</v>
      </c>
      <c r="K9834">
        <v>76</v>
      </c>
      <c r="L9834">
        <v>9.1731820000000006</v>
      </c>
      <c r="M9834">
        <v>26.355589999999999</v>
      </c>
      <c r="N9834">
        <v>13.65559</v>
      </c>
      <c r="O9834">
        <v>12.7</v>
      </c>
      <c r="P9834">
        <v>18.177969999999998</v>
      </c>
      <c r="Q9834">
        <v>19.855589999999999</v>
      </c>
      <c r="R9834">
        <v>20.255590000000002</v>
      </c>
      <c r="S9834">
        <v>17.955590000000001</v>
      </c>
      <c r="T9834">
        <v>1954.28</v>
      </c>
      <c r="U9834">
        <v>341.59789999999998</v>
      </c>
      <c r="V9834">
        <v>11</v>
      </c>
      <c r="W9834">
        <v>66</v>
      </c>
      <c r="X9834">
        <v>891.52800000000002</v>
      </c>
      <c r="Y9834">
        <v>64</v>
      </c>
      <c r="Z9834">
        <v>347.59789999999998</v>
      </c>
      <c r="AA9834">
        <v>868.77620000000002</v>
      </c>
      <c r="AB9834">
        <v>12.765599999999999</v>
      </c>
      <c r="AC9834">
        <v>0.17698810000000001</v>
      </c>
      <c r="AD9834">
        <v>6.8805800000000001</v>
      </c>
      <c r="AE9834">
        <v>0.32557659999999999</v>
      </c>
      <c r="AF9834">
        <v>1492.8779999999999</v>
      </c>
      <c r="AG9834">
        <f>IFERROR(AH9834*0.1, "N/A")</f>
        <v>5.1006990000000005</v>
      </c>
      <c r="AH9834">
        <v>51.006990000000002</v>
      </c>
      <c r="AI9834">
        <v>154.0778</v>
      </c>
      <c r="AJ9834">
        <v>29.762239999999998</v>
      </c>
      <c r="AK9834">
        <v>43.244759999999999</v>
      </c>
    </row>
    <row r="9835" spans="1:37" x14ac:dyDescent="0.3">
      <c r="A9835">
        <v>9834</v>
      </c>
      <c r="B9835">
        <v>0</v>
      </c>
      <c r="C9835">
        <v>10.2667</v>
      </c>
      <c r="D9835">
        <v>5.1166700000000001</v>
      </c>
      <c r="E9835" t="s">
        <v>14897</v>
      </c>
      <c r="F9835" t="s">
        <v>14900</v>
      </c>
      <c r="G9835" t="s">
        <v>2420</v>
      </c>
      <c r="H9835">
        <v>1990</v>
      </c>
      <c r="I9835">
        <v>19.15559</v>
      </c>
      <c r="J9835">
        <v>9.6999999999999993</v>
      </c>
      <c r="K9835">
        <v>76</v>
      </c>
      <c r="L9835">
        <v>9.1731820000000006</v>
      </c>
      <c r="M9835">
        <v>26.355589999999999</v>
      </c>
      <c r="N9835">
        <v>13.65559</v>
      </c>
      <c r="O9835">
        <v>12.7</v>
      </c>
      <c r="P9835">
        <v>18.177969999999998</v>
      </c>
      <c r="Q9835">
        <v>19.855589999999999</v>
      </c>
      <c r="R9835">
        <v>20.255590000000002</v>
      </c>
      <c r="S9835">
        <v>17.955590000000001</v>
      </c>
      <c r="T9835">
        <v>1954.28</v>
      </c>
      <c r="U9835">
        <v>341.59789999999998</v>
      </c>
      <c r="V9835">
        <v>11</v>
      </c>
      <c r="W9835">
        <v>66</v>
      </c>
      <c r="X9835">
        <v>891.52800000000002</v>
      </c>
      <c r="Y9835">
        <v>64</v>
      </c>
      <c r="Z9835">
        <v>347.59789999999998</v>
      </c>
      <c r="AA9835">
        <v>868.77620000000002</v>
      </c>
      <c r="AB9835">
        <v>12.765599999999999</v>
      </c>
      <c r="AC9835">
        <v>0.17698810000000001</v>
      </c>
      <c r="AD9835">
        <v>6.8805800000000001</v>
      </c>
      <c r="AE9835">
        <v>0.32557659999999999</v>
      </c>
      <c r="AF9835">
        <v>1492.8779999999999</v>
      </c>
      <c r="AG9835">
        <f>IFERROR(AH9835*0.1, "N/A")</f>
        <v>5.1006990000000005</v>
      </c>
      <c r="AH9835">
        <v>51.006990000000002</v>
      </c>
      <c r="AI9835">
        <v>154.0778</v>
      </c>
      <c r="AJ9835">
        <v>29.762239999999998</v>
      </c>
      <c r="AK9835">
        <v>43.244759999999999</v>
      </c>
    </row>
    <row r="9836" spans="1:37" x14ac:dyDescent="0.3">
      <c r="A9836">
        <v>9835</v>
      </c>
      <c r="B9836">
        <v>0</v>
      </c>
      <c r="C9836">
        <v>10.183299999999999</v>
      </c>
      <c r="D9836">
        <v>5.1277799999999996</v>
      </c>
      <c r="E9836" t="s">
        <v>14901</v>
      </c>
      <c r="F9836" t="s">
        <v>14902</v>
      </c>
      <c r="G9836" t="s">
        <v>39</v>
      </c>
      <c r="H9836">
        <v>1990</v>
      </c>
      <c r="I9836">
        <v>20.249479999999998</v>
      </c>
      <c r="J9836">
        <v>9.6</v>
      </c>
      <c r="K9836">
        <v>76</v>
      </c>
      <c r="L9836">
        <v>9.2297910000000005</v>
      </c>
      <c r="M9836">
        <v>27.34948</v>
      </c>
      <c r="N9836">
        <v>14.79895</v>
      </c>
      <c r="O9836">
        <v>12.550520000000001</v>
      </c>
      <c r="P9836">
        <v>19.249479999999998</v>
      </c>
      <c r="Q9836">
        <v>20.84948</v>
      </c>
      <c r="R9836">
        <v>21.34948</v>
      </c>
      <c r="S9836">
        <v>18.949480000000001</v>
      </c>
      <c r="T9836">
        <v>2019.453</v>
      </c>
      <c r="U9836">
        <v>353.98950000000002</v>
      </c>
      <c r="V9836">
        <v>9.5052260000000004</v>
      </c>
      <c r="W9836">
        <v>68</v>
      </c>
      <c r="X9836">
        <v>934.46339999999998</v>
      </c>
      <c r="Y9836">
        <v>60.010449999999999</v>
      </c>
      <c r="Z9836">
        <v>346.5052</v>
      </c>
      <c r="AA9836">
        <v>924.45299999999997</v>
      </c>
      <c r="AB9836">
        <v>44.439320000000002</v>
      </c>
      <c r="AC9836">
        <v>1.2815989999999999E-2</v>
      </c>
      <c r="AD9836">
        <v>13.17337</v>
      </c>
      <c r="AE9836">
        <v>0.34900130000000001</v>
      </c>
      <c r="AF9836">
        <v>1317.328</v>
      </c>
      <c r="AG9836">
        <f>IFERROR(AH9836*0.1, "N/A")</f>
        <v>5.0977350000000001</v>
      </c>
      <c r="AH9836">
        <v>50.977350000000001</v>
      </c>
      <c r="AI9836">
        <v>72.695679999999996</v>
      </c>
      <c r="AJ9836">
        <v>33.517420000000001</v>
      </c>
      <c r="AK9836">
        <v>41.423340000000003</v>
      </c>
    </row>
    <row r="9837" spans="1:37" x14ac:dyDescent="0.3">
      <c r="A9837">
        <v>9836</v>
      </c>
      <c r="B9837">
        <v>0</v>
      </c>
      <c r="C9837">
        <v>10.183299999999999</v>
      </c>
      <c r="D9837">
        <v>5.1277799999999996</v>
      </c>
      <c r="E9837" t="s">
        <v>14901</v>
      </c>
      <c r="F9837" t="s">
        <v>14903</v>
      </c>
      <c r="G9837" t="s">
        <v>37</v>
      </c>
      <c r="H9837">
        <v>1990</v>
      </c>
      <c r="I9837">
        <v>20.249479999999998</v>
      </c>
      <c r="J9837">
        <v>9.6</v>
      </c>
      <c r="K9837">
        <v>76</v>
      </c>
      <c r="L9837">
        <v>9.2297910000000005</v>
      </c>
      <c r="M9837">
        <v>27.34948</v>
      </c>
      <c r="N9837">
        <v>14.79895</v>
      </c>
      <c r="O9837">
        <v>12.550520000000001</v>
      </c>
      <c r="P9837">
        <v>19.249479999999998</v>
      </c>
      <c r="Q9837">
        <v>20.84948</v>
      </c>
      <c r="R9837">
        <v>21.34948</v>
      </c>
      <c r="S9837">
        <v>18.949480000000001</v>
      </c>
      <c r="T9837">
        <v>2019.453</v>
      </c>
      <c r="U9837">
        <v>353.98950000000002</v>
      </c>
      <c r="V9837">
        <v>9.5052260000000004</v>
      </c>
      <c r="W9837">
        <v>68</v>
      </c>
      <c r="X9837">
        <v>934.46339999999998</v>
      </c>
      <c r="Y9837">
        <v>60.010449999999999</v>
      </c>
      <c r="Z9837">
        <v>346.5052</v>
      </c>
      <c r="AA9837">
        <v>924.45299999999997</v>
      </c>
      <c r="AB9837">
        <v>44.439320000000002</v>
      </c>
      <c r="AC9837">
        <v>1.2815989999999999E-2</v>
      </c>
      <c r="AD9837">
        <v>13.17337</v>
      </c>
      <c r="AE9837">
        <v>0.34900130000000001</v>
      </c>
      <c r="AF9837">
        <v>1317.328</v>
      </c>
      <c r="AG9837">
        <f>IFERROR(AH9837*0.1, "N/A")</f>
        <v>5.0977350000000001</v>
      </c>
      <c r="AH9837">
        <v>50.977350000000001</v>
      </c>
      <c r="AI9837">
        <v>72.695679999999996</v>
      </c>
      <c r="AJ9837">
        <v>33.517420000000001</v>
      </c>
      <c r="AK9837">
        <v>41.423340000000003</v>
      </c>
    </row>
    <row r="9838" spans="1:37" x14ac:dyDescent="0.3">
      <c r="A9838">
        <v>9837</v>
      </c>
      <c r="B9838">
        <v>0</v>
      </c>
      <c r="C9838">
        <v>10.183299999999999</v>
      </c>
      <c r="D9838">
        <v>5.1277799999999996</v>
      </c>
      <c r="E9838" t="s">
        <v>14901</v>
      </c>
      <c r="F9838" t="s">
        <v>14904</v>
      </c>
      <c r="G9838" t="s">
        <v>2420</v>
      </c>
      <c r="H9838">
        <v>1990</v>
      </c>
      <c r="I9838">
        <v>20.249479999999998</v>
      </c>
      <c r="J9838">
        <v>9.6</v>
      </c>
      <c r="K9838">
        <v>76</v>
      </c>
      <c r="L9838">
        <v>9.2297910000000005</v>
      </c>
      <c r="M9838">
        <v>27.34948</v>
      </c>
      <c r="N9838">
        <v>14.79895</v>
      </c>
      <c r="O9838">
        <v>12.550520000000001</v>
      </c>
      <c r="P9838">
        <v>19.249479999999998</v>
      </c>
      <c r="Q9838">
        <v>20.84948</v>
      </c>
      <c r="R9838">
        <v>21.34948</v>
      </c>
      <c r="S9838">
        <v>18.949480000000001</v>
      </c>
      <c r="T9838">
        <v>2019.453</v>
      </c>
      <c r="U9838">
        <v>353.98950000000002</v>
      </c>
      <c r="V9838">
        <v>9.5052260000000004</v>
      </c>
      <c r="W9838">
        <v>68</v>
      </c>
      <c r="X9838">
        <v>934.46339999999998</v>
      </c>
      <c r="Y9838">
        <v>60.010449999999999</v>
      </c>
      <c r="Z9838">
        <v>346.5052</v>
      </c>
      <c r="AA9838">
        <v>924.45299999999997</v>
      </c>
      <c r="AB9838">
        <v>44.439320000000002</v>
      </c>
      <c r="AC9838">
        <v>1.2815989999999999E-2</v>
      </c>
      <c r="AD9838">
        <v>13.17337</v>
      </c>
      <c r="AE9838">
        <v>0.34900130000000001</v>
      </c>
      <c r="AF9838">
        <v>1317.328</v>
      </c>
      <c r="AG9838">
        <f>IFERROR(AH9838*0.1, "N/A")</f>
        <v>5.0977350000000001</v>
      </c>
      <c r="AH9838">
        <v>50.977350000000001</v>
      </c>
      <c r="AI9838">
        <v>72.695679999999996</v>
      </c>
      <c r="AJ9838">
        <v>33.517420000000001</v>
      </c>
      <c r="AK9838">
        <v>41.423340000000003</v>
      </c>
    </row>
    <row r="9839" spans="1:37" x14ac:dyDescent="0.3">
      <c r="A9839">
        <v>9838</v>
      </c>
      <c r="B9839">
        <v>0</v>
      </c>
      <c r="C9839">
        <v>10.525</v>
      </c>
      <c r="D9839">
        <v>5.1333299999999999</v>
      </c>
      <c r="E9839" t="s">
        <v>14905</v>
      </c>
      <c r="F9839" t="s">
        <v>14906</v>
      </c>
      <c r="G9839" t="s">
        <v>39</v>
      </c>
      <c r="H9839">
        <v>1990</v>
      </c>
      <c r="I9839">
        <v>20.43638</v>
      </c>
      <c r="J9839">
        <v>9.8000000000000007</v>
      </c>
      <c r="K9839">
        <v>75.170469999999995</v>
      </c>
      <c r="L9839">
        <v>9.3771350000000009</v>
      </c>
      <c r="M9839">
        <v>27.819330000000001</v>
      </c>
      <c r="N9839">
        <v>14.93638</v>
      </c>
      <c r="O9839">
        <v>12.882949999999999</v>
      </c>
      <c r="P9839">
        <v>19.43638</v>
      </c>
      <c r="Q9839">
        <v>21.219329999999999</v>
      </c>
      <c r="R9839">
        <v>21.619330000000001</v>
      </c>
      <c r="S9839">
        <v>19.15343</v>
      </c>
      <c r="T9839">
        <v>1951.4760000000001</v>
      </c>
      <c r="U9839">
        <v>341.38659999999999</v>
      </c>
      <c r="V9839">
        <v>9</v>
      </c>
      <c r="W9839">
        <v>68</v>
      </c>
      <c r="X9839">
        <v>912.5009</v>
      </c>
      <c r="Y9839">
        <v>53.829529999999998</v>
      </c>
      <c r="Z9839">
        <v>326</v>
      </c>
      <c r="AA9839">
        <v>880.52369999999996</v>
      </c>
      <c r="AB9839">
        <v>5.1494400000000002</v>
      </c>
      <c r="AC9839">
        <v>0.64357109999999995</v>
      </c>
      <c r="AD9839">
        <v>7.4686139999999996</v>
      </c>
      <c r="AE9839">
        <v>0.71360520000000005</v>
      </c>
      <c r="AF9839">
        <v>1279.875</v>
      </c>
      <c r="AG9839">
        <f>IFERROR(AH9839*0.1, "N/A")</f>
        <v>5.779789000000001</v>
      </c>
      <c r="AH9839">
        <v>57.797890000000002</v>
      </c>
      <c r="AI9839">
        <v>67.881039999999999</v>
      </c>
      <c r="AJ9839">
        <v>36.595779999999998</v>
      </c>
      <c r="AK9839">
        <v>34.202109999999998</v>
      </c>
    </row>
    <row r="9840" spans="1:37" x14ac:dyDescent="0.3">
      <c r="A9840">
        <v>9839</v>
      </c>
      <c r="B9840">
        <v>3.6</v>
      </c>
      <c r="C9840">
        <v>10.525</v>
      </c>
      <c r="D9840">
        <v>5.1333299999999999</v>
      </c>
      <c r="E9840" t="s">
        <v>14905</v>
      </c>
      <c r="F9840" t="s">
        <v>14907</v>
      </c>
      <c r="G9840" t="s">
        <v>37</v>
      </c>
      <c r="H9840">
        <v>1990</v>
      </c>
      <c r="I9840">
        <v>20.43638</v>
      </c>
      <c r="J9840">
        <v>9.8000000000000007</v>
      </c>
      <c r="K9840">
        <v>75.170469999999995</v>
      </c>
      <c r="L9840">
        <v>9.3771350000000009</v>
      </c>
      <c r="M9840">
        <v>27.819330000000001</v>
      </c>
      <c r="N9840">
        <v>14.93638</v>
      </c>
      <c r="O9840">
        <v>12.882949999999999</v>
      </c>
      <c r="P9840">
        <v>19.43638</v>
      </c>
      <c r="Q9840">
        <v>21.219329999999999</v>
      </c>
      <c r="R9840">
        <v>21.619330000000001</v>
      </c>
      <c r="S9840">
        <v>19.15343</v>
      </c>
      <c r="T9840">
        <v>1951.4760000000001</v>
      </c>
      <c r="U9840">
        <v>341.38659999999999</v>
      </c>
      <c r="V9840">
        <v>9</v>
      </c>
      <c r="W9840">
        <v>68</v>
      </c>
      <c r="X9840">
        <v>912.5009</v>
      </c>
      <c r="Y9840">
        <v>53.829529999999998</v>
      </c>
      <c r="Z9840">
        <v>326</v>
      </c>
      <c r="AA9840">
        <v>880.52369999999996</v>
      </c>
      <c r="AB9840">
        <v>5.1494400000000002</v>
      </c>
      <c r="AC9840">
        <v>0.64357109999999995</v>
      </c>
      <c r="AD9840">
        <v>7.4686139999999996</v>
      </c>
      <c r="AE9840">
        <v>0.71360520000000005</v>
      </c>
      <c r="AF9840">
        <v>1279.875</v>
      </c>
      <c r="AG9840">
        <f>IFERROR(AH9840*0.1, "N/A")</f>
        <v>5.779789000000001</v>
      </c>
      <c r="AH9840">
        <v>57.797890000000002</v>
      </c>
      <c r="AI9840">
        <v>67.881039999999999</v>
      </c>
      <c r="AJ9840">
        <v>36.595779999999998</v>
      </c>
      <c r="AK9840">
        <v>34.202109999999998</v>
      </c>
    </row>
    <row r="9841" spans="1:37" x14ac:dyDescent="0.3">
      <c r="A9841">
        <v>9840</v>
      </c>
      <c r="B9841">
        <v>0</v>
      </c>
      <c r="C9841">
        <v>10.525</v>
      </c>
      <c r="D9841">
        <v>5.1333299999999999</v>
      </c>
      <c r="E9841" t="s">
        <v>14905</v>
      </c>
      <c r="F9841" t="s">
        <v>14908</v>
      </c>
      <c r="G9841" t="s">
        <v>2420</v>
      </c>
      <c r="H9841">
        <v>1990</v>
      </c>
      <c r="I9841">
        <v>20.43638</v>
      </c>
      <c r="J9841">
        <v>9.8000000000000007</v>
      </c>
      <c r="K9841">
        <v>75.170469999999995</v>
      </c>
      <c r="L9841">
        <v>9.3771350000000009</v>
      </c>
      <c r="M9841">
        <v>27.819330000000001</v>
      </c>
      <c r="N9841">
        <v>14.93638</v>
      </c>
      <c r="O9841">
        <v>12.882949999999999</v>
      </c>
      <c r="P9841">
        <v>19.43638</v>
      </c>
      <c r="Q9841">
        <v>21.219329999999999</v>
      </c>
      <c r="R9841">
        <v>21.619330000000001</v>
      </c>
      <c r="S9841">
        <v>19.15343</v>
      </c>
      <c r="T9841">
        <v>1951.4760000000001</v>
      </c>
      <c r="U9841">
        <v>341.38659999999999</v>
      </c>
      <c r="V9841">
        <v>9</v>
      </c>
      <c r="W9841">
        <v>68</v>
      </c>
      <c r="X9841">
        <v>912.5009</v>
      </c>
      <c r="Y9841">
        <v>53.829529999999998</v>
      </c>
      <c r="Z9841">
        <v>326</v>
      </c>
      <c r="AA9841">
        <v>880.52369999999996</v>
      </c>
      <c r="AB9841">
        <v>5.1494400000000002</v>
      </c>
      <c r="AC9841">
        <v>0.64357109999999995</v>
      </c>
      <c r="AD9841">
        <v>7.4686139999999996</v>
      </c>
      <c r="AE9841">
        <v>0.71360520000000005</v>
      </c>
      <c r="AF9841">
        <v>1279.875</v>
      </c>
      <c r="AG9841">
        <f>IFERROR(AH9841*0.1, "N/A")</f>
        <v>5.779789000000001</v>
      </c>
      <c r="AH9841">
        <v>57.797890000000002</v>
      </c>
      <c r="AI9841">
        <v>67.881039999999999</v>
      </c>
      <c r="AJ9841">
        <v>36.595779999999998</v>
      </c>
      <c r="AK9841">
        <v>34.202109999999998</v>
      </c>
    </row>
    <row r="9842" spans="1:37" x14ac:dyDescent="0.3">
      <c r="A9842">
        <v>9841</v>
      </c>
      <c r="B9842">
        <v>9.1999999999999993</v>
      </c>
      <c r="C9842">
        <v>10.0014</v>
      </c>
      <c r="D9842">
        <v>5.1541699999999997</v>
      </c>
      <c r="E9842" t="s">
        <v>14909</v>
      </c>
      <c r="F9842" t="s">
        <v>14910</v>
      </c>
      <c r="G9842" t="s">
        <v>39</v>
      </c>
      <c r="H9842">
        <v>1990</v>
      </c>
      <c r="I9842">
        <v>23.6</v>
      </c>
      <c r="J9842">
        <v>9.1999999999999993</v>
      </c>
      <c r="K9842">
        <v>77</v>
      </c>
      <c r="L9842">
        <v>8.84</v>
      </c>
      <c r="M9842">
        <v>30.4</v>
      </c>
      <c r="N9842">
        <v>18.5</v>
      </c>
      <c r="O9842">
        <v>11.9</v>
      </c>
      <c r="P9842">
        <v>22.2</v>
      </c>
      <c r="Q9842">
        <v>24.1</v>
      </c>
      <c r="R9842">
        <v>24.6</v>
      </c>
      <c r="S9842">
        <v>22.2</v>
      </c>
      <c r="T9842">
        <v>2535</v>
      </c>
      <c r="U9842">
        <v>443</v>
      </c>
      <c r="V9842">
        <v>11</v>
      </c>
      <c r="W9842">
        <v>73</v>
      </c>
      <c r="X9842">
        <v>1265</v>
      </c>
      <c r="Y9842">
        <v>68</v>
      </c>
      <c r="Z9842">
        <v>359</v>
      </c>
      <c r="AA9842">
        <v>1265</v>
      </c>
      <c r="AB9842">
        <v>2.9155129999999998</v>
      </c>
      <c r="AC9842">
        <v>3.1009930000000002E-2</v>
      </c>
      <c r="AD9842">
        <v>1.7565249999999999</v>
      </c>
      <c r="AE9842">
        <v>0.28639419999999999</v>
      </c>
      <c r="AF9842">
        <v>704.39089999999999</v>
      </c>
      <c r="AG9842">
        <f>IFERROR(AH9842*0.1, "N/A")</f>
        <v>5.4855150000000004</v>
      </c>
      <c r="AH9842">
        <v>54.855150000000002</v>
      </c>
      <c r="AI9842">
        <v>160.1223</v>
      </c>
      <c r="AJ9842">
        <v>29.312390000000001</v>
      </c>
      <c r="AK9842">
        <v>42.481679999999997</v>
      </c>
    </row>
    <row r="9843" spans="1:37" x14ac:dyDescent="0.3">
      <c r="A9843">
        <v>9842</v>
      </c>
      <c r="B9843">
        <v>0</v>
      </c>
      <c r="C9843">
        <v>10.0014</v>
      </c>
      <c r="D9843">
        <v>5.1541699999999997</v>
      </c>
      <c r="E9843" t="s">
        <v>14909</v>
      </c>
      <c r="F9843" t="s">
        <v>14911</v>
      </c>
      <c r="G9843" t="s">
        <v>37</v>
      </c>
      <c r="H9843">
        <v>1990</v>
      </c>
      <c r="I9843">
        <v>23.6</v>
      </c>
      <c r="J9843">
        <v>9.1999999999999993</v>
      </c>
      <c r="K9843">
        <v>77</v>
      </c>
      <c r="L9843">
        <v>8.84</v>
      </c>
      <c r="M9843">
        <v>30.4</v>
      </c>
      <c r="N9843">
        <v>18.5</v>
      </c>
      <c r="O9843">
        <v>11.9</v>
      </c>
      <c r="P9843">
        <v>22.2</v>
      </c>
      <c r="Q9843">
        <v>24.1</v>
      </c>
      <c r="R9843">
        <v>24.6</v>
      </c>
      <c r="S9843">
        <v>22.2</v>
      </c>
      <c r="T9843">
        <v>2535</v>
      </c>
      <c r="U9843">
        <v>443</v>
      </c>
      <c r="V9843">
        <v>11</v>
      </c>
      <c r="W9843">
        <v>73</v>
      </c>
      <c r="X9843">
        <v>1265</v>
      </c>
      <c r="Y9843">
        <v>68</v>
      </c>
      <c r="Z9843">
        <v>359</v>
      </c>
      <c r="AA9843">
        <v>1265</v>
      </c>
      <c r="AB9843">
        <v>2.9155129999999998</v>
      </c>
      <c r="AC9843">
        <v>3.1009930000000002E-2</v>
      </c>
      <c r="AD9843">
        <v>1.7565249999999999</v>
      </c>
      <c r="AE9843">
        <v>0.28639419999999999</v>
      </c>
      <c r="AF9843">
        <v>704.39089999999999</v>
      </c>
      <c r="AG9843">
        <f>IFERROR(AH9843*0.1, "N/A")</f>
        <v>5.4855150000000004</v>
      </c>
      <c r="AH9843">
        <v>54.855150000000002</v>
      </c>
      <c r="AI9843">
        <v>160.1223</v>
      </c>
      <c r="AJ9843">
        <v>29.312390000000001</v>
      </c>
      <c r="AK9843">
        <v>42.481679999999997</v>
      </c>
    </row>
    <row r="9844" spans="1:37" x14ac:dyDescent="0.3">
      <c r="A9844">
        <v>9843</v>
      </c>
      <c r="B9844">
        <v>0</v>
      </c>
      <c r="C9844">
        <v>10.0014</v>
      </c>
      <c r="D9844">
        <v>5.1541699999999997</v>
      </c>
      <c r="E9844" t="s">
        <v>14909</v>
      </c>
      <c r="F9844" t="s">
        <v>14912</v>
      </c>
      <c r="G9844" t="s">
        <v>2420</v>
      </c>
      <c r="H9844">
        <v>1990</v>
      </c>
      <c r="I9844">
        <v>23.6</v>
      </c>
      <c r="J9844">
        <v>9.1999999999999993</v>
      </c>
      <c r="K9844">
        <v>77</v>
      </c>
      <c r="L9844">
        <v>8.84</v>
      </c>
      <c r="M9844">
        <v>30.4</v>
      </c>
      <c r="N9844">
        <v>18.5</v>
      </c>
      <c r="O9844">
        <v>11.9</v>
      </c>
      <c r="P9844">
        <v>22.2</v>
      </c>
      <c r="Q9844">
        <v>24.1</v>
      </c>
      <c r="R9844">
        <v>24.6</v>
      </c>
      <c r="S9844">
        <v>22.2</v>
      </c>
      <c r="T9844">
        <v>2535</v>
      </c>
      <c r="U9844">
        <v>443</v>
      </c>
      <c r="V9844">
        <v>11</v>
      </c>
      <c r="W9844">
        <v>73</v>
      </c>
      <c r="X9844">
        <v>1265</v>
      </c>
      <c r="Y9844">
        <v>68</v>
      </c>
      <c r="Z9844">
        <v>359</v>
      </c>
      <c r="AA9844">
        <v>1265</v>
      </c>
      <c r="AB9844">
        <v>2.9155129999999998</v>
      </c>
      <c r="AC9844">
        <v>3.1009930000000002E-2</v>
      </c>
      <c r="AD9844">
        <v>1.7565249999999999</v>
      </c>
      <c r="AE9844">
        <v>0.28639419999999999</v>
      </c>
      <c r="AF9844">
        <v>704.39089999999999</v>
      </c>
      <c r="AG9844">
        <f>IFERROR(AH9844*0.1, "N/A")</f>
        <v>5.4855150000000004</v>
      </c>
      <c r="AH9844">
        <v>54.855150000000002</v>
      </c>
      <c r="AI9844">
        <v>160.1223</v>
      </c>
      <c r="AJ9844">
        <v>29.312390000000001</v>
      </c>
      <c r="AK9844">
        <v>42.481679999999997</v>
      </c>
    </row>
    <row r="9845" spans="1:37" x14ac:dyDescent="0.3">
      <c r="A9845">
        <v>9844</v>
      </c>
      <c r="B9845">
        <v>2.5</v>
      </c>
      <c r="C9845">
        <v>10.1806</v>
      </c>
      <c r="D9845">
        <v>5.1541699999999997</v>
      </c>
      <c r="E9845" t="s">
        <v>14913</v>
      </c>
      <c r="F9845" t="s">
        <v>14914</v>
      </c>
      <c r="G9845" t="s">
        <v>39</v>
      </c>
      <c r="H9845">
        <v>1990</v>
      </c>
      <c r="I9845">
        <v>21.3</v>
      </c>
      <c r="J9845">
        <v>9.5</v>
      </c>
      <c r="K9845">
        <v>76</v>
      </c>
      <c r="L9845">
        <v>9.1999999999999993</v>
      </c>
      <c r="M9845">
        <v>28.4</v>
      </c>
      <c r="N9845">
        <v>16</v>
      </c>
      <c r="O9845">
        <v>12.4</v>
      </c>
      <c r="P9845">
        <v>20</v>
      </c>
      <c r="Q9845">
        <v>21.9</v>
      </c>
      <c r="R9845">
        <v>22.4</v>
      </c>
      <c r="S9845">
        <v>20</v>
      </c>
      <c r="T9845">
        <v>2128</v>
      </c>
      <c r="U9845">
        <v>375</v>
      </c>
      <c r="V9845">
        <v>9</v>
      </c>
      <c r="W9845">
        <v>70</v>
      </c>
      <c r="X9845">
        <v>1012</v>
      </c>
      <c r="Y9845">
        <v>57</v>
      </c>
      <c r="Z9845">
        <v>341</v>
      </c>
      <c r="AA9845">
        <v>1012</v>
      </c>
      <c r="AB9845">
        <v>3.6644380000000001</v>
      </c>
      <c r="AC9845">
        <v>69.390110000000007</v>
      </c>
      <c r="AD9845">
        <v>4.9092900000000004</v>
      </c>
      <c r="AE9845">
        <v>0.78100139999999996</v>
      </c>
      <c r="AF9845">
        <v>1114.123</v>
      </c>
      <c r="AG9845">
        <f>IFERROR(AH9845*0.1, "N/A")</f>
        <v>5.3000000000000007</v>
      </c>
      <c r="AH9845">
        <v>53</v>
      </c>
      <c r="AI9845">
        <v>206.11709999999999</v>
      </c>
      <c r="AJ9845">
        <v>32.915939999999999</v>
      </c>
      <c r="AK9845">
        <v>39</v>
      </c>
    </row>
    <row r="9846" spans="1:37" x14ac:dyDescent="0.3">
      <c r="A9846">
        <v>9845</v>
      </c>
      <c r="B9846">
        <v>0</v>
      </c>
      <c r="C9846">
        <v>10.1806</v>
      </c>
      <c r="D9846">
        <v>5.1541699999999997</v>
      </c>
      <c r="E9846" t="s">
        <v>14913</v>
      </c>
      <c r="F9846" t="s">
        <v>14915</v>
      </c>
      <c r="G9846" t="s">
        <v>37</v>
      </c>
      <c r="H9846">
        <v>1990</v>
      </c>
      <c r="I9846">
        <v>21.3</v>
      </c>
      <c r="J9846">
        <v>9.5</v>
      </c>
      <c r="K9846">
        <v>76</v>
      </c>
      <c r="L9846">
        <v>9.1999999999999993</v>
      </c>
      <c r="M9846">
        <v>28.4</v>
      </c>
      <c r="N9846">
        <v>16</v>
      </c>
      <c r="O9846">
        <v>12.4</v>
      </c>
      <c r="P9846">
        <v>20</v>
      </c>
      <c r="Q9846">
        <v>21.9</v>
      </c>
      <c r="R9846">
        <v>22.4</v>
      </c>
      <c r="S9846">
        <v>20</v>
      </c>
      <c r="T9846">
        <v>2128</v>
      </c>
      <c r="U9846">
        <v>375</v>
      </c>
      <c r="V9846">
        <v>9</v>
      </c>
      <c r="W9846">
        <v>70</v>
      </c>
      <c r="X9846">
        <v>1012</v>
      </c>
      <c r="Y9846">
        <v>57</v>
      </c>
      <c r="Z9846">
        <v>341</v>
      </c>
      <c r="AA9846">
        <v>1012</v>
      </c>
      <c r="AB9846">
        <v>3.6644380000000001</v>
      </c>
      <c r="AC9846">
        <v>69.390110000000007</v>
      </c>
      <c r="AD9846">
        <v>4.9092900000000004</v>
      </c>
      <c r="AE9846">
        <v>0.78100139999999996</v>
      </c>
      <c r="AF9846">
        <v>1114.123</v>
      </c>
      <c r="AG9846">
        <f>IFERROR(AH9846*0.1, "N/A")</f>
        <v>5.3000000000000007</v>
      </c>
      <c r="AH9846">
        <v>53</v>
      </c>
      <c r="AI9846">
        <v>206.11709999999999</v>
      </c>
      <c r="AJ9846">
        <v>32.915939999999999</v>
      </c>
      <c r="AK9846">
        <v>39</v>
      </c>
    </row>
    <row r="9847" spans="1:37" x14ac:dyDescent="0.3">
      <c r="A9847">
        <v>9846</v>
      </c>
      <c r="B9847">
        <v>0</v>
      </c>
      <c r="C9847">
        <v>10.1806</v>
      </c>
      <c r="D9847">
        <v>5.1541699999999997</v>
      </c>
      <c r="E9847" t="s">
        <v>14913</v>
      </c>
      <c r="F9847" t="s">
        <v>14916</v>
      </c>
      <c r="G9847" t="s">
        <v>2420</v>
      </c>
      <c r="H9847">
        <v>1990</v>
      </c>
      <c r="I9847">
        <v>21.3</v>
      </c>
      <c r="J9847">
        <v>9.5</v>
      </c>
      <c r="K9847">
        <v>76</v>
      </c>
      <c r="L9847">
        <v>9.1999999999999993</v>
      </c>
      <c r="M9847">
        <v>28.4</v>
      </c>
      <c r="N9847">
        <v>16</v>
      </c>
      <c r="O9847">
        <v>12.4</v>
      </c>
      <c r="P9847">
        <v>20</v>
      </c>
      <c r="Q9847">
        <v>21.9</v>
      </c>
      <c r="R9847">
        <v>22.4</v>
      </c>
      <c r="S9847">
        <v>20</v>
      </c>
      <c r="T9847">
        <v>2128</v>
      </c>
      <c r="U9847">
        <v>375</v>
      </c>
      <c r="V9847">
        <v>9</v>
      </c>
      <c r="W9847">
        <v>70</v>
      </c>
      <c r="X9847">
        <v>1012</v>
      </c>
      <c r="Y9847">
        <v>57</v>
      </c>
      <c r="Z9847">
        <v>341</v>
      </c>
      <c r="AA9847">
        <v>1012</v>
      </c>
      <c r="AB9847">
        <v>3.6644380000000001</v>
      </c>
      <c r="AC9847">
        <v>69.390110000000007</v>
      </c>
      <c r="AD9847">
        <v>4.9092900000000004</v>
      </c>
      <c r="AE9847">
        <v>0.78100139999999996</v>
      </c>
      <c r="AF9847">
        <v>1114.123</v>
      </c>
      <c r="AG9847">
        <f>IFERROR(AH9847*0.1, "N/A")</f>
        <v>5.3000000000000007</v>
      </c>
      <c r="AH9847">
        <v>53</v>
      </c>
      <c r="AI9847">
        <v>206.11709999999999</v>
      </c>
      <c r="AJ9847">
        <v>32.915939999999999</v>
      </c>
      <c r="AK9847">
        <v>39</v>
      </c>
    </row>
    <row r="9848" spans="1:37" x14ac:dyDescent="0.3">
      <c r="A9848">
        <v>9847</v>
      </c>
      <c r="B9848">
        <v>0</v>
      </c>
      <c r="C9848">
        <v>10.2736</v>
      </c>
      <c r="D9848">
        <v>5.1555600000000004</v>
      </c>
      <c r="E9848" t="s">
        <v>14917</v>
      </c>
      <c r="F9848" t="s">
        <v>14918</v>
      </c>
      <c r="G9848" t="s">
        <v>39</v>
      </c>
      <c r="H9848">
        <v>1990</v>
      </c>
      <c r="I9848">
        <v>19.899999999999999</v>
      </c>
      <c r="J9848">
        <v>9.6999999999999993</v>
      </c>
      <c r="K9848">
        <v>76</v>
      </c>
      <c r="L9848">
        <v>8.73</v>
      </c>
      <c r="M9848">
        <v>27.1</v>
      </c>
      <c r="N9848">
        <v>14.5</v>
      </c>
      <c r="O9848">
        <v>12.6</v>
      </c>
      <c r="P9848">
        <v>18.899999999999999</v>
      </c>
      <c r="Q9848">
        <v>20.6</v>
      </c>
      <c r="R9848">
        <v>20.9</v>
      </c>
      <c r="S9848">
        <v>18.7</v>
      </c>
      <c r="T9848">
        <v>1958</v>
      </c>
      <c r="U9848">
        <v>342</v>
      </c>
      <c r="V9848">
        <v>10</v>
      </c>
      <c r="W9848">
        <v>67</v>
      </c>
      <c r="X9848">
        <v>899</v>
      </c>
      <c r="Y9848">
        <v>60</v>
      </c>
      <c r="Z9848">
        <v>341</v>
      </c>
      <c r="AA9848">
        <v>879</v>
      </c>
      <c r="AB9848">
        <v>20.44744</v>
      </c>
      <c r="AC9848">
        <v>9.6173530000000004E-3</v>
      </c>
      <c r="AD9848">
        <v>6.3243020000000003</v>
      </c>
      <c r="AE9848">
        <v>0.46331050000000001</v>
      </c>
      <c r="AF9848">
        <v>1379.193</v>
      </c>
      <c r="AG9848">
        <f>IFERROR(AH9848*0.1, "N/A")</f>
        <v>5.4084060000000003</v>
      </c>
      <c r="AH9848">
        <v>54.084060000000001</v>
      </c>
      <c r="AI9848">
        <v>216.43109999999999</v>
      </c>
      <c r="AJ9848">
        <v>34.676009999999998</v>
      </c>
      <c r="AK9848">
        <v>35.378279999999997</v>
      </c>
    </row>
    <row r="9849" spans="1:37" x14ac:dyDescent="0.3">
      <c r="A9849">
        <v>9848</v>
      </c>
      <c r="B9849">
        <v>0</v>
      </c>
      <c r="C9849">
        <v>10.2736</v>
      </c>
      <c r="D9849">
        <v>5.1555600000000004</v>
      </c>
      <c r="E9849" t="s">
        <v>14917</v>
      </c>
      <c r="F9849" t="s">
        <v>14919</v>
      </c>
      <c r="G9849" t="s">
        <v>37</v>
      </c>
      <c r="H9849">
        <v>1990</v>
      </c>
      <c r="I9849">
        <v>19.899999999999999</v>
      </c>
      <c r="J9849">
        <v>9.6999999999999993</v>
      </c>
      <c r="K9849">
        <v>76</v>
      </c>
      <c r="L9849">
        <v>8.73</v>
      </c>
      <c r="M9849">
        <v>27.1</v>
      </c>
      <c r="N9849">
        <v>14.5</v>
      </c>
      <c r="O9849">
        <v>12.6</v>
      </c>
      <c r="P9849">
        <v>18.899999999999999</v>
      </c>
      <c r="Q9849">
        <v>20.6</v>
      </c>
      <c r="R9849">
        <v>20.9</v>
      </c>
      <c r="S9849">
        <v>18.7</v>
      </c>
      <c r="T9849">
        <v>1958</v>
      </c>
      <c r="U9849">
        <v>342</v>
      </c>
      <c r="V9849">
        <v>10</v>
      </c>
      <c r="W9849">
        <v>67</v>
      </c>
      <c r="X9849">
        <v>899</v>
      </c>
      <c r="Y9849">
        <v>60</v>
      </c>
      <c r="Z9849">
        <v>341</v>
      </c>
      <c r="AA9849">
        <v>879</v>
      </c>
      <c r="AB9849">
        <v>20.44744</v>
      </c>
      <c r="AC9849">
        <v>9.6173530000000004E-3</v>
      </c>
      <c r="AD9849">
        <v>6.3243020000000003</v>
      </c>
      <c r="AE9849">
        <v>0.46331050000000001</v>
      </c>
      <c r="AF9849">
        <v>1379.193</v>
      </c>
      <c r="AG9849">
        <f>IFERROR(AH9849*0.1, "N/A")</f>
        <v>5.4084060000000003</v>
      </c>
      <c r="AH9849">
        <v>54.084060000000001</v>
      </c>
      <c r="AI9849">
        <v>216.43109999999999</v>
      </c>
      <c r="AJ9849">
        <v>34.676009999999998</v>
      </c>
      <c r="AK9849">
        <v>35.378279999999997</v>
      </c>
    </row>
    <row r="9850" spans="1:37" x14ac:dyDescent="0.3">
      <c r="A9850">
        <v>9849</v>
      </c>
      <c r="B9850">
        <v>0</v>
      </c>
      <c r="C9850">
        <v>10.2736</v>
      </c>
      <c r="D9850">
        <v>5.1555600000000004</v>
      </c>
      <c r="E9850" t="s">
        <v>14917</v>
      </c>
      <c r="F9850" t="s">
        <v>14920</v>
      </c>
      <c r="G9850" t="s">
        <v>2420</v>
      </c>
      <c r="H9850">
        <v>1990</v>
      </c>
      <c r="I9850">
        <v>19.899999999999999</v>
      </c>
      <c r="J9850">
        <v>9.6999999999999993</v>
      </c>
      <c r="K9850">
        <v>76</v>
      </c>
      <c r="L9850">
        <v>8.73</v>
      </c>
      <c r="M9850">
        <v>27.1</v>
      </c>
      <c r="N9850">
        <v>14.5</v>
      </c>
      <c r="O9850">
        <v>12.6</v>
      </c>
      <c r="P9850">
        <v>18.899999999999999</v>
      </c>
      <c r="Q9850">
        <v>20.6</v>
      </c>
      <c r="R9850">
        <v>20.9</v>
      </c>
      <c r="S9850">
        <v>18.7</v>
      </c>
      <c r="T9850">
        <v>1958</v>
      </c>
      <c r="U9850">
        <v>342</v>
      </c>
      <c r="V9850">
        <v>10</v>
      </c>
      <c r="W9850">
        <v>67</v>
      </c>
      <c r="X9850">
        <v>899</v>
      </c>
      <c r="Y9850">
        <v>60</v>
      </c>
      <c r="Z9850">
        <v>341</v>
      </c>
      <c r="AA9850">
        <v>879</v>
      </c>
      <c r="AB9850">
        <v>20.44744</v>
      </c>
      <c r="AC9850">
        <v>9.6173530000000004E-3</v>
      </c>
      <c r="AD9850">
        <v>6.3243020000000003</v>
      </c>
      <c r="AE9850">
        <v>0.46331050000000001</v>
      </c>
      <c r="AF9850">
        <v>1379.193</v>
      </c>
      <c r="AG9850">
        <f>IFERROR(AH9850*0.1, "N/A")</f>
        <v>5.4084060000000003</v>
      </c>
      <c r="AH9850">
        <v>54.084060000000001</v>
      </c>
      <c r="AI9850">
        <v>216.43109999999999</v>
      </c>
      <c r="AJ9850">
        <v>34.676009999999998</v>
      </c>
      <c r="AK9850">
        <v>35.378279999999997</v>
      </c>
    </row>
    <row r="9851" spans="1:37" x14ac:dyDescent="0.3">
      <c r="A9851">
        <v>9850</v>
      </c>
      <c r="B9851">
        <v>0</v>
      </c>
      <c r="C9851">
        <v>10.1556</v>
      </c>
      <c r="D9851">
        <v>5.1555600000000004</v>
      </c>
      <c r="E9851" t="s">
        <v>14921</v>
      </c>
      <c r="F9851" t="s">
        <v>14922</v>
      </c>
      <c r="G9851" t="s">
        <v>39</v>
      </c>
      <c r="H9851">
        <v>1990</v>
      </c>
      <c r="I9851">
        <v>21.4</v>
      </c>
      <c r="J9851">
        <v>9.5</v>
      </c>
      <c r="K9851">
        <v>76</v>
      </c>
      <c r="L9851">
        <v>9.15</v>
      </c>
      <c r="M9851">
        <v>28.5</v>
      </c>
      <c r="N9851">
        <v>16.100000000000001</v>
      </c>
      <c r="O9851">
        <v>12.4</v>
      </c>
      <c r="P9851">
        <v>20.100000000000001</v>
      </c>
      <c r="Q9851">
        <v>22</v>
      </c>
      <c r="R9851">
        <v>22.5</v>
      </c>
      <c r="S9851">
        <v>20.100000000000001</v>
      </c>
      <c r="T9851">
        <v>2153</v>
      </c>
      <c r="U9851">
        <v>379</v>
      </c>
      <c r="V9851">
        <v>9</v>
      </c>
      <c r="W9851">
        <v>70</v>
      </c>
      <c r="X9851">
        <v>1030</v>
      </c>
      <c r="Y9851">
        <v>57</v>
      </c>
      <c r="Z9851">
        <v>342</v>
      </c>
      <c r="AA9851">
        <v>1030</v>
      </c>
      <c r="AB9851">
        <v>4.0521500000000001</v>
      </c>
      <c r="AC9851">
        <v>6.6242859999999997</v>
      </c>
      <c r="AD9851">
        <v>5.7349379999999996</v>
      </c>
      <c r="AE9851">
        <v>0.47357480000000002</v>
      </c>
      <c r="AF9851">
        <v>1098.098</v>
      </c>
      <c r="AG9851">
        <f>IFERROR(AH9851*0.1, "N/A")</f>
        <v>5.1367130000000003</v>
      </c>
      <c r="AH9851">
        <v>51.367130000000003</v>
      </c>
      <c r="AI9851">
        <v>101.67789999999999</v>
      </c>
      <c r="AJ9851">
        <v>34.87238</v>
      </c>
      <c r="AK9851">
        <v>40.12238</v>
      </c>
    </row>
    <row r="9852" spans="1:37" x14ac:dyDescent="0.3">
      <c r="A9852">
        <v>9851</v>
      </c>
      <c r="B9852">
        <v>0</v>
      </c>
      <c r="C9852">
        <v>10.1556</v>
      </c>
      <c r="D9852">
        <v>5.1555600000000004</v>
      </c>
      <c r="E9852" t="s">
        <v>14921</v>
      </c>
      <c r="F9852" t="s">
        <v>14923</v>
      </c>
      <c r="G9852" t="s">
        <v>37</v>
      </c>
      <c r="H9852">
        <v>1990</v>
      </c>
      <c r="I9852">
        <v>21.4</v>
      </c>
      <c r="J9852">
        <v>9.5</v>
      </c>
      <c r="K9852">
        <v>76</v>
      </c>
      <c r="L9852">
        <v>9.15</v>
      </c>
      <c r="M9852">
        <v>28.5</v>
      </c>
      <c r="N9852">
        <v>16.100000000000001</v>
      </c>
      <c r="O9852">
        <v>12.4</v>
      </c>
      <c r="P9852">
        <v>20.100000000000001</v>
      </c>
      <c r="Q9852">
        <v>22</v>
      </c>
      <c r="R9852">
        <v>22.5</v>
      </c>
      <c r="S9852">
        <v>20.100000000000001</v>
      </c>
      <c r="T9852">
        <v>2153</v>
      </c>
      <c r="U9852">
        <v>379</v>
      </c>
      <c r="V9852">
        <v>9</v>
      </c>
      <c r="W9852">
        <v>70</v>
      </c>
      <c r="X9852">
        <v>1030</v>
      </c>
      <c r="Y9852">
        <v>57</v>
      </c>
      <c r="Z9852">
        <v>342</v>
      </c>
      <c r="AA9852">
        <v>1030</v>
      </c>
      <c r="AB9852">
        <v>4.0521500000000001</v>
      </c>
      <c r="AC9852">
        <v>6.6242859999999997</v>
      </c>
      <c r="AD9852">
        <v>5.7349379999999996</v>
      </c>
      <c r="AE9852">
        <v>0.47357480000000002</v>
      </c>
      <c r="AF9852">
        <v>1098.098</v>
      </c>
      <c r="AG9852">
        <f>IFERROR(AH9852*0.1, "N/A")</f>
        <v>5.1367130000000003</v>
      </c>
      <c r="AH9852">
        <v>51.367130000000003</v>
      </c>
      <c r="AI9852">
        <v>101.67789999999999</v>
      </c>
      <c r="AJ9852">
        <v>34.87238</v>
      </c>
      <c r="AK9852">
        <v>40.12238</v>
      </c>
    </row>
    <row r="9853" spans="1:37" x14ac:dyDescent="0.3">
      <c r="A9853">
        <v>9852</v>
      </c>
      <c r="B9853">
        <v>0</v>
      </c>
      <c r="C9853">
        <v>10.1556</v>
      </c>
      <c r="D9853">
        <v>5.1555600000000004</v>
      </c>
      <c r="E9853" t="s">
        <v>14921</v>
      </c>
      <c r="F9853" t="s">
        <v>14924</v>
      </c>
      <c r="G9853" t="s">
        <v>2420</v>
      </c>
      <c r="H9853">
        <v>1990</v>
      </c>
      <c r="I9853">
        <v>21.4</v>
      </c>
      <c r="J9853">
        <v>9.5</v>
      </c>
      <c r="K9853">
        <v>76</v>
      </c>
      <c r="L9853">
        <v>9.15</v>
      </c>
      <c r="M9853">
        <v>28.5</v>
      </c>
      <c r="N9853">
        <v>16.100000000000001</v>
      </c>
      <c r="O9853">
        <v>12.4</v>
      </c>
      <c r="P9853">
        <v>20.100000000000001</v>
      </c>
      <c r="Q9853">
        <v>22</v>
      </c>
      <c r="R9853">
        <v>22.5</v>
      </c>
      <c r="S9853">
        <v>20.100000000000001</v>
      </c>
      <c r="T9853">
        <v>2153</v>
      </c>
      <c r="U9853">
        <v>379</v>
      </c>
      <c r="V9853">
        <v>9</v>
      </c>
      <c r="W9853">
        <v>70</v>
      </c>
      <c r="X9853">
        <v>1030</v>
      </c>
      <c r="Y9853">
        <v>57</v>
      </c>
      <c r="Z9853">
        <v>342</v>
      </c>
      <c r="AA9853">
        <v>1030</v>
      </c>
      <c r="AB9853">
        <v>4.0521500000000001</v>
      </c>
      <c r="AC9853">
        <v>6.6242859999999997</v>
      </c>
      <c r="AD9853">
        <v>5.7349379999999996</v>
      </c>
      <c r="AE9853">
        <v>0.47357480000000002</v>
      </c>
      <c r="AF9853">
        <v>1098.098</v>
      </c>
      <c r="AG9853">
        <f>IFERROR(AH9853*0.1, "N/A")</f>
        <v>5.1367130000000003</v>
      </c>
      <c r="AH9853">
        <v>51.367130000000003</v>
      </c>
      <c r="AI9853">
        <v>101.67789999999999</v>
      </c>
      <c r="AJ9853">
        <v>34.87238</v>
      </c>
      <c r="AK9853">
        <v>40.12238</v>
      </c>
    </row>
    <row r="9854" spans="1:37" x14ac:dyDescent="0.3">
      <c r="A9854">
        <v>9853</v>
      </c>
      <c r="B9854">
        <v>9.6999999999999993</v>
      </c>
      <c r="C9854">
        <v>10.020099999999999</v>
      </c>
      <c r="D9854">
        <v>5.1573099999999998</v>
      </c>
      <c r="E9854" t="s">
        <v>14925</v>
      </c>
      <c r="F9854" t="s">
        <v>14926</v>
      </c>
      <c r="G9854" t="s">
        <v>39</v>
      </c>
      <c r="H9854">
        <v>1983</v>
      </c>
      <c r="I9854">
        <v>23.5</v>
      </c>
      <c r="J9854">
        <v>9.3000000000000007</v>
      </c>
      <c r="K9854">
        <v>76</v>
      </c>
      <c r="L9854">
        <v>9.1104369999999992</v>
      </c>
      <c r="M9854">
        <v>30.5</v>
      </c>
      <c r="N9854">
        <v>18.39913</v>
      </c>
      <c r="O9854">
        <v>12.10087</v>
      </c>
      <c r="P9854">
        <v>22.19913</v>
      </c>
      <c r="Q9854">
        <v>24.1</v>
      </c>
      <c r="R9854">
        <v>24.599129999999999</v>
      </c>
      <c r="S9854">
        <v>22.19913</v>
      </c>
      <c r="T9854">
        <v>2520.9209999999998</v>
      </c>
      <c r="U9854">
        <v>440.99130000000002</v>
      </c>
      <c r="V9854">
        <v>11</v>
      </c>
      <c r="W9854">
        <v>73</v>
      </c>
      <c r="X9854">
        <v>1257.9559999999999</v>
      </c>
      <c r="Y9854">
        <v>66.991259999999997</v>
      </c>
      <c r="Z9854">
        <v>357</v>
      </c>
      <c r="AA9854">
        <v>1257.9559999999999</v>
      </c>
      <c r="AB9854">
        <v>0.6305944</v>
      </c>
      <c r="AC9854">
        <v>0.354995</v>
      </c>
      <c r="AD9854">
        <v>1.706666</v>
      </c>
      <c r="AE9854">
        <v>0.6645337</v>
      </c>
      <c r="AF9854">
        <v>704.76220000000001</v>
      </c>
      <c r="AG9854">
        <f>IFERROR(AH9854*0.1, "N/A")</f>
        <v>5.3919580000000007</v>
      </c>
      <c r="AH9854">
        <v>53.919580000000003</v>
      </c>
      <c r="AI9854">
        <v>134.26580000000001</v>
      </c>
      <c r="AJ9854">
        <v>32.430070000000001</v>
      </c>
      <c r="AK9854">
        <v>43.349649999999997</v>
      </c>
    </row>
    <row r="9855" spans="1:37" x14ac:dyDescent="0.3">
      <c r="A9855">
        <v>9854</v>
      </c>
      <c r="B9855">
        <v>0</v>
      </c>
      <c r="C9855">
        <v>10.3</v>
      </c>
      <c r="D9855">
        <v>5.2</v>
      </c>
      <c r="E9855" t="s">
        <v>14927</v>
      </c>
      <c r="F9855" t="s">
        <v>14928</v>
      </c>
      <c r="G9855" t="s">
        <v>39</v>
      </c>
      <c r="H9855">
        <v>1990</v>
      </c>
      <c r="I9855">
        <v>19.980910000000002</v>
      </c>
      <c r="J9855">
        <v>9.7560420000000008</v>
      </c>
      <c r="K9855">
        <v>75.560419999999993</v>
      </c>
      <c r="L9855">
        <v>9.1180909999999997</v>
      </c>
      <c r="M9855">
        <v>27.268830000000001</v>
      </c>
      <c r="N9855">
        <v>14.468830000000001</v>
      </c>
      <c r="O9855">
        <v>12.8</v>
      </c>
      <c r="P9855">
        <v>18.92417</v>
      </c>
      <c r="Q9855">
        <v>20.66883</v>
      </c>
      <c r="R9855">
        <v>21.080210000000001</v>
      </c>
      <c r="S9855">
        <v>18.736249999999998</v>
      </c>
      <c r="T9855">
        <v>1937.4480000000001</v>
      </c>
      <c r="U9855">
        <v>336.68830000000003</v>
      </c>
      <c r="V9855">
        <v>9.8791589999999996</v>
      </c>
      <c r="W9855">
        <v>66.886160000000004</v>
      </c>
      <c r="X9855">
        <v>887.19259999999997</v>
      </c>
      <c r="Y9855">
        <v>58.758319999999998</v>
      </c>
      <c r="Z9855">
        <v>336</v>
      </c>
      <c r="AA9855">
        <v>865.99469999999997</v>
      </c>
      <c r="AB9855">
        <v>11.08971</v>
      </c>
      <c r="AC9855">
        <v>7.5964279999999995E-2</v>
      </c>
      <c r="AD9855">
        <v>6.471419</v>
      </c>
      <c r="AE9855">
        <v>0.56893150000000003</v>
      </c>
      <c r="AF9855">
        <v>1341.0139999999999</v>
      </c>
      <c r="AG9855">
        <f>IFERROR(AH9855*0.1, "N/A")</f>
        <v>5.1493870000000008</v>
      </c>
      <c r="AH9855">
        <v>51.493870000000001</v>
      </c>
      <c r="AI9855">
        <v>237.21549999999999</v>
      </c>
      <c r="AJ9855">
        <v>37.355519999999999</v>
      </c>
      <c r="AK9855">
        <v>35.176879999999997</v>
      </c>
    </row>
    <row r="9856" spans="1:37" x14ac:dyDescent="0.3">
      <c r="A9856">
        <v>9855</v>
      </c>
      <c r="B9856">
        <v>0</v>
      </c>
      <c r="C9856">
        <v>10.3</v>
      </c>
      <c r="D9856">
        <v>5.2</v>
      </c>
      <c r="E9856" t="s">
        <v>14927</v>
      </c>
      <c r="F9856" t="s">
        <v>14929</v>
      </c>
      <c r="G9856" t="s">
        <v>37</v>
      </c>
      <c r="H9856">
        <v>1990</v>
      </c>
      <c r="I9856">
        <v>19.980910000000002</v>
      </c>
      <c r="J9856">
        <v>9.7560420000000008</v>
      </c>
      <c r="K9856">
        <v>75.560419999999993</v>
      </c>
      <c r="L9856">
        <v>9.1180909999999997</v>
      </c>
      <c r="M9856">
        <v>27.268830000000001</v>
      </c>
      <c r="N9856">
        <v>14.468830000000001</v>
      </c>
      <c r="O9856">
        <v>12.8</v>
      </c>
      <c r="P9856">
        <v>18.92417</v>
      </c>
      <c r="Q9856">
        <v>20.66883</v>
      </c>
      <c r="R9856">
        <v>21.080210000000001</v>
      </c>
      <c r="S9856">
        <v>18.736249999999998</v>
      </c>
      <c r="T9856">
        <v>1937.4480000000001</v>
      </c>
      <c r="U9856">
        <v>336.68830000000003</v>
      </c>
      <c r="V9856">
        <v>9.8791589999999996</v>
      </c>
      <c r="W9856">
        <v>66.886160000000004</v>
      </c>
      <c r="X9856">
        <v>887.19259999999997</v>
      </c>
      <c r="Y9856">
        <v>58.758319999999998</v>
      </c>
      <c r="Z9856">
        <v>336</v>
      </c>
      <c r="AA9856">
        <v>865.99469999999997</v>
      </c>
      <c r="AB9856">
        <v>11.08971</v>
      </c>
      <c r="AC9856">
        <v>7.5964279999999995E-2</v>
      </c>
      <c r="AD9856">
        <v>6.471419</v>
      </c>
      <c r="AE9856">
        <v>0.56893150000000003</v>
      </c>
      <c r="AF9856">
        <v>1341.0139999999999</v>
      </c>
      <c r="AG9856">
        <f>IFERROR(AH9856*0.1, "N/A")</f>
        <v>5.1493870000000008</v>
      </c>
      <c r="AH9856">
        <v>51.493870000000001</v>
      </c>
      <c r="AI9856">
        <v>237.21549999999999</v>
      </c>
      <c r="AJ9856">
        <v>37.355519999999999</v>
      </c>
      <c r="AK9856">
        <v>35.176879999999997</v>
      </c>
    </row>
    <row r="9857" spans="1:37" x14ac:dyDescent="0.3">
      <c r="A9857">
        <v>9856</v>
      </c>
      <c r="B9857">
        <v>0</v>
      </c>
      <c r="C9857">
        <v>10.3</v>
      </c>
      <c r="D9857">
        <v>5.2</v>
      </c>
      <c r="E9857" t="s">
        <v>14927</v>
      </c>
      <c r="F9857" t="s">
        <v>14930</v>
      </c>
      <c r="G9857" t="s">
        <v>2420</v>
      </c>
      <c r="H9857">
        <v>1990</v>
      </c>
      <c r="I9857">
        <v>19.980910000000002</v>
      </c>
      <c r="J9857">
        <v>9.7560420000000008</v>
      </c>
      <c r="K9857">
        <v>75.560419999999993</v>
      </c>
      <c r="L9857">
        <v>9.1180909999999997</v>
      </c>
      <c r="M9857">
        <v>27.268830000000001</v>
      </c>
      <c r="N9857">
        <v>14.468830000000001</v>
      </c>
      <c r="O9857">
        <v>12.8</v>
      </c>
      <c r="P9857">
        <v>18.92417</v>
      </c>
      <c r="Q9857">
        <v>20.66883</v>
      </c>
      <c r="R9857">
        <v>21.080210000000001</v>
      </c>
      <c r="S9857">
        <v>18.736249999999998</v>
      </c>
      <c r="T9857">
        <v>1937.4480000000001</v>
      </c>
      <c r="U9857">
        <v>336.68830000000003</v>
      </c>
      <c r="V9857">
        <v>9.8791589999999996</v>
      </c>
      <c r="W9857">
        <v>66.886160000000004</v>
      </c>
      <c r="X9857">
        <v>887.19259999999997</v>
      </c>
      <c r="Y9857">
        <v>58.758319999999998</v>
      </c>
      <c r="Z9857">
        <v>336</v>
      </c>
      <c r="AA9857">
        <v>865.99469999999997</v>
      </c>
      <c r="AB9857">
        <v>11.08971</v>
      </c>
      <c r="AC9857">
        <v>7.5964279999999995E-2</v>
      </c>
      <c r="AD9857">
        <v>6.471419</v>
      </c>
      <c r="AE9857">
        <v>0.56893150000000003</v>
      </c>
      <c r="AF9857">
        <v>1341.0139999999999</v>
      </c>
      <c r="AG9857">
        <f>IFERROR(AH9857*0.1, "N/A")</f>
        <v>5.1493870000000008</v>
      </c>
      <c r="AH9857">
        <v>51.493870000000001</v>
      </c>
      <c r="AI9857">
        <v>237.21549999999999</v>
      </c>
      <c r="AJ9857">
        <v>37.355519999999999</v>
      </c>
      <c r="AK9857">
        <v>35.176879999999997</v>
      </c>
    </row>
    <row r="9858" spans="1:37" x14ac:dyDescent="0.3">
      <c r="A9858">
        <v>9857</v>
      </c>
      <c r="B9858">
        <v>0</v>
      </c>
      <c r="C9858">
        <v>10.1167</v>
      </c>
      <c r="D9858">
        <v>5.2249999999999996</v>
      </c>
      <c r="E9858" t="s">
        <v>14931</v>
      </c>
      <c r="F9858" t="s">
        <v>14932</v>
      </c>
      <c r="G9858" t="s">
        <v>39</v>
      </c>
      <c r="H9858">
        <v>1990</v>
      </c>
      <c r="I9858">
        <v>21.930140000000002</v>
      </c>
      <c r="J9858">
        <v>9.5836240000000004</v>
      </c>
      <c r="K9858">
        <v>76.466899999999995</v>
      </c>
      <c r="L9858">
        <v>8.9073170000000008</v>
      </c>
      <c r="M9858">
        <v>29.030139999999999</v>
      </c>
      <c r="N9858">
        <v>16.593209999999999</v>
      </c>
      <c r="O9858">
        <v>12.43693</v>
      </c>
      <c r="P9858">
        <v>20.630140000000001</v>
      </c>
      <c r="Q9858">
        <v>22.47683</v>
      </c>
      <c r="R9858">
        <v>22.930140000000002</v>
      </c>
      <c r="S9858">
        <v>20.630140000000001</v>
      </c>
      <c r="T9858">
        <v>2201.1779999999999</v>
      </c>
      <c r="U9858">
        <v>386.5575</v>
      </c>
      <c r="V9858">
        <v>9</v>
      </c>
      <c r="W9858">
        <v>71.163759999999996</v>
      </c>
      <c r="X9858">
        <v>1064.481</v>
      </c>
      <c r="Y9858">
        <v>56</v>
      </c>
      <c r="Z9858">
        <v>341.83620000000002</v>
      </c>
      <c r="AA9858">
        <v>1064.481</v>
      </c>
      <c r="AB9858">
        <v>205.7413</v>
      </c>
      <c r="AC9858">
        <v>1.5958239999999999E-2</v>
      </c>
      <c r="AD9858">
        <v>13.29236</v>
      </c>
      <c r="AE9858">
        <v>0.23592859999999999</v>
      </c>
      <c r="AF9858">
        <v>1034.3409999999999</v>
      </c>
      <c r="AG9858">
        <f>IFERROR(AH9858*0.1, "N/A")</f>
        <v>5.0322300000000002</v>
      </c>
      <c r="AH9858">
        <v>50.322299999999998</v>
      </c>
      <c r="AI9858">
        <v>202.98230000000001</v>
      </c>
      <c r="AJ9858">
        <v>32.341459999999998</v>
      </c>
      <c r="AK9858">
        <v>41.560980000000001</v>
      </c>
    </row>
    <row r="9859" spans="1:37" x14ac:dyDescent="0.3">
      <c r="A9859">
        <v>9858</v>
      </c>
      <c r="B9859">
        <v>0</v>
      </c>
      <c r="C9859">
        <v>10.1167</v>
      </c>
      <c r="D9859">
        <v>5.2249999999999996</v>
      </c>
      <c r="E9859" t="s">
        <v>14931</v>
      </c>
      <c r="F9859" t="s">
        <v>14933</v>
      </c>
      <c r="G9859" t="s">
        <v>37</v>
      </c>
      <c r="H9859">
        <v>1990</v>
      </c>
      <c r="I9859">
        <v>21.930140000000002</v>
      </c>
      <c r="J9859">
        <v>9.5836240000000004</v>
      </c>
      <c r="K9859">
        <v>76.466899999999995</v>
      </c>
      <c r="L9859">
        <v>8.9073170000000008</v>
      </c>
      <c r="M9859">
        <v>29.030139999999999</v>
      </c>
      <c r="N9859">
        <v>16.593209999999999</v>
      </c>
      <c r="O9859">
        <v>12.43693</v>
      </c>
      <c r="P9859">
        <v>20.630140000000001</v>
      </c>
      <c r="Q9859">
        <v>22.47683</v>
      </c>
      <c r="R9859">
        <v>22.930140000000002</v>
      </c>
      <c r="S9859">
        <v>20.630140000000001</v>
      </c>
      <c r="T9859">
        <v>2201.1779999999999</v>
      </c>
      <c r="U9859">
        <v>386.5575</v>
      </c>
      <c r="V9859">
        <v>9</v>
      </c>
      <c r="W9859">
        <v>71.163759999999996</v>
      </c>
      <c r="X9859">
        <v>1064.481</v>
      </c>
      <c r="Y9859">
        <v>56</v>
      </c>
      <c r="Z9859">
        <v>341.83620000000002</v>
      </c>
      <c r="AA9859">
        <v>1064.481</v>
      </c>
      <c r="AB9859">
        <v>205.7413</v>
      </c>
      <c r="AC9859">
        <v>1.5958239999999999E-2</v>
      </c>
      <c r="AD9859">
        <v>13.29236</v>
      </c>
      <c r="AE9859">
        <v>0.23592859999999999</v>
      </c>
      <c r="AF9859">
        <v>1034.3409999999999</v>
      </c>
      <c r="AG9859">
        <f>IFERROR(AH9859*0.1, "N/A")</f>
        <v>5.0322300000000002</v>
      </c>
      <c r="AH9859">
        <v>50.322299999999998</v>
      </c>
      <c r="AI9859">
        <v>202.98230000000001</v>
      </c>
      <c r="AJ9859">
        <v>32.341459999999998</v>
      </c>
      <c r="AK9859">
        <v>41.560980000000001</v>
      </c>
    </row>
    <row r="9860" spans="1:37" x14ac:dyDescent="0.3">
      <c r="A9860">
        <v>9859</v>
      </c>
      <c r="B9860">
        <v>0</v>
      </c>
      <c r="C9860">
        <v>10.1167</v>
      </c>
      <c r="D9860">
        <v>5.2249999999999996</v>
      </c>
      <c r="E9860" t="s">
        <v>14931</v>
      </c>
      <c r="F9860" t="s">
        <v>14934</v>
      </c>
      <c r="G9860" t="s">
        <v>2420</v>
      </c>
      <c r="H9860">
        <v>1990</v>
      </c>
      <c r="I9860">
        <v>21.930140000000002</v>
      </c>
      <c r="J9860">
        <v>9.5836240000000004</v>
      </c>
      <c r="K9860">
        <v>76.466899999999995</v>
      </c>
      <c r="L9860">
        <v>8.9073170000000008</v>
      </c>
      <c r="M9860">
        <v>29.030139999999999</v>
      </c>
      <c r="N9860">
        <v>16.593209999999999</v>
      </c>
      <c r="O9860">
        <v>12.43693</v>
      </c>
      <c r="P9860">
        <v>20.630140000000001</v>
      </c>
      <c r="Q9860">
        <v>22.47683</v>
      </c>
      <c r="R9860">
        <v>22.930140000000002</v>
      </c>
      <c r="S9860">
        <v>20.630140000000001</v>
      </c>
      <c r="T9860">
        <v>2201.1779999999999</v>
      </c>
      <c r="U9860">
        <v>386.5575</v>
      </c>
      <c r="V9860">
        <v>9</v>
      </c>
      <c r="W9860">
        <v>71.163759999999996</v>
      </c>
      <c r="X9860">
        <v>1064.481</v>
      </c>
      <c r="Y9860">
        <v>56</v>
      </c>
      <c r="Z9860">
        <v>341.83620000000002</v>
      </c>
      <c r="AA9860">
        <v>1064.481</v>
      </c>
      <c r="AB9860">
        <v>205.7413</v>
      </c>
      <c r="AC9860">
        <v>1.5958239999999999E-2</v>
      </c>
      <c r="AD9860">
        <v>13.29236</v>
      </c>
      <c r="AE9860">
        <v>0.23592859999999999</v>
      </c>
      <c r="AF9860">
        <v>1034.3409999999999</v>
      </c>
      <c r="AG9860">
        <f>IFERROR(AH9860*0.1, "N/A")</f>
        <v>5.0322300000000002</v>
      </c>
      <c r="AH9860">
        <v>50.322299999999998</v>
      </c>
      <c r="AI9860">
        <v>202.98230000000001</v>
      </c>
      <c r="AJ9860">
        <v>32.341459999999998</v>
      </c>
      <c r="AK9860">
        <v>41.560980000000001</v>
      </c>
    </row>
    <row r="9861" spans="1:37" x14ac:dyDescent="0.3">
      <c r="A9861">
        <v>9860</v>
      </c>
      <c r="B9861">
        <v>0</v>
      </c>
      <c r="C9861">
        <v>14.2597</v>
      </c>
      <c r="D9861">
        <v>5.2333299999999996</v>
      </c>
      <c r="E9861" t="s">
        <v>14935</v>
      </c>
      <c r="F9861" t="s">
        <v>14936</v>
      </c>
      <c r="G9861" t="s">
        <v>39</v>
      </c>
      <c r="H9861">
        <v>1990</v>
      </c>
      <c r="I9861">
        <v>23.1</v>
      </c>
      <c r="J9861">
        <v>10.7</v>
      </c>
      <c r="K9861">
        <v>74</v>
      </c>
      <c r="L9861">
        <v>7.4615179999999999</v>
      </c>
      <c r="M9861">
        <v>30.630189999999999</v>
      </c>
      <c r="N9861">
        <v>16.3</v>
      </c>
      <c r="O9861">
        <v>14.33019</v>
      </c>
      <c r="P9861">
        <v>22.4</v>
      </c>
      <c r="Q9861">
        <v>23.23019</v>
      </c>
      <c r="R9861">
        <v>24.130189999999999</v>
      </c>
      <c r="S9861">
        <v>22.1</v>
      </c>
      <c r="T9861">
        <v>1524</v>
      </c>
      <c r="U9861">
        <v>252</v>
      </c>
      <c r="V9861">
        <v>14</v>
      </c>
      <c r="W9861">
        <v>61</v>
      </c>
      <c r="X9861">
        <v>670.30190000000005</v>
      </c>
      <c r="Y9861">
        <v>59</v>
      </c>
      <c r="Z9861">
        <v>251.69810000000001</v>
      </c>
      <c r="AA9861">
        <v>569.30190000000005</v>
      </c>
      <c r="AB9861">
        <v>15.5412</v>
      </c>
      <c r="AC9861">
        <v>4.0172760000000002E-2</v>
      </c>
      <c r="AD9861">
        <v>4.2363080000000002</v>
      </c>
      <c r="AE9861">
        <v>0.1750215</v>
      </c>
      <c r="AF9861">
        <v>843.14490000000001</v>
      </c>
      <c r="AG9861">
        <f>IFERROR(AH9861*0.1, "N/A")</f>
        <v>5.4890050000000006</v>
      </c>
      <c r="AH9861">
        <v>54.890050000000002</v>
      </c>
      <c r="AI9861">
        <v>273.25189999999998</v>
      </c>
      <c r="AJ9861">
        <v>29.963349999999998</v>
      </c>
      <c r="AK9861">
        <v>52</v>
      </c>
    </row>
    <row r="9862" spans="1:37" x14ac:dyDescent="0.3">
      <c r="A9862">
        <v>9861</v>
      </c>
      <c r="B9862">
        <v>2.8</v>
      </c>
      <c r="C9862">
        <v>14.2597</v>
      </c>
      <c r="D9862">
        <v>5.2333299999999996</v>
      </c>
      <c r="E9862" t="s">
        <v>14935</v>
      </c>
      <c r="F9862" t="s">
        <v>14937</v>
      </c>
      <c r="G9862" t="s">
        <v>37</v>
      </c>
      <c r="H9862">
        <v>1990</v>
      </c>
      <c r="I9862">
        <v>23.1</v>
      </c>
      <c r="J9862">
        <v>10.7</v>
      </c>
      <c r="K9862">
        <v>74</v>
      </c>
      <c r="L9862">
        <v>7.4615179999999999</v>
      </c>
      <c r="M9862">
        <v>30.630189999999999</v>
      </c>
      <c r="N9862">
        <v>16.3</v>
      </c>
      <c r="O9862">
        <v>14.33019</v>
      </c>
      <c r="P9862">
        <v>22.4</v>
      </c>
      <c r="Q9862">
        <v>23.23019</v>
      </c>
      <c r="R9862">
        <v>24.130189999999999</v>
      </c>
      <c r="S9862">
        <v>22.1</v>
      </c>
      <c r="T9862">
        <v>1524</v>
      </c>
      <c r="U9862">
        <v>252</v>
      </c>
      <c r="V9862">
        <v>14</v>
      </c>
      <c r="W9862">
        <v>61</v>
      </c>
      <c r="X9862">
        <v>670.30190000000005</v>
      </c>
      <c r="Y9862">
        <v>59</v>
      </c>
      <c r="Z9862">
        <v>251.69810000000001</v>
      </c>
      <c r="AA9862">
        <v>569.30190000000005</v>
      </c>
      <c r="AB9862">
        <v>15.5412</v>
      </c>
      <c r="AC9862">
        <v>4.0172760000000002E-2</v>
      </c>
      <c r="AD9862">
        <v>4.2363080000000002</v>
      </c>
      <c r="AE9862">
        <v>0.1750215</v>
      </c>
      <c r="AF9862">
        <v>843.14490000000001</v>
      </c>
      <c r="AG9862">
        <f>IFERROR(AH9862*0.1, "N/A")</f>
        <v>5.4890050000000006</v>
      </c>
      <c r="AH9862">
        <v>54.890050000000002</v>
      </c>
      <c r="AI9862">
        <v>273.25189999999998</v>
      </c>
      <c r="AJ9862">
        <v>29.963349999999998</v>
      </c>
      <c r="AK9862">
        <v>52</v>
      </c>
    </row>
    <row r="9863" spans="1:37" x14ac:dyDescent="0.3">
      <c r="A9863">
        <v>9862</v>
      </c>
      <c r="B9863">
        <v>0</v>
      </c>
      <c r="C9863">
        <v>14.2597</v>
      </c>
      <c r="D9863">
        <v>5.2333299999999996</v>
      </c>
      <c r="E9863" t="s">
        <v>14935</v>
      </c>
      <c r="F9863" t="s">
        <v>14938</v>
      </c>
      <c r="G9863" t="s">
        <v>2420</v>
      </c>
      <c r="H9863">
        <v>1990</v>
      </c>
      <c r="I9863">
        <v>23.1</v>
      </c>
      <c r="J9863">
        <v>10.7</v>
      </c>
      <c r="K9863">
        <v>74</v>
      </c>
      <c r="L9863">
        <v>7.4615179999999999</v>
      </c>
      <c r="M9863">
        <v>30.630189999999999</v>
      </c>
      <c r="N9863">
        <v>16.3</v>
      </c>
      <c r="O9863">
        <v>14.33019</v>
      </c>
      <c r="P9863">
        <v>22.4</v>
      </c>
      <c r="Q9863">
        <v>23.23019</v>
      </c>
      <c r="R9863">
        <v>24.130189999999999</v>
      </c>
      <c r="S9863">
        <v>22.1</v>
      </c>
      <c r="T9863">
        <v>1524</v>
      </c>
      <c r="U9863">
        <v>252</v>
      </c>
      <c r="V9863">
        <v>14</v>
      </c>
      <c r="W9863">
        <v>61</v>
      </c>
      <c r="X9863">
        <v>670.30190000000005</v>
      </c>
      <c r="Y9863">
        <v>59</v>
      </c>
      <c r="Z9863">
        <v>251.69810000000001</v>
      </c>
      <c r="AA9863">
        <v>569.30190000000005</v>
      </c>
      <c r="AB9863">
        <v>15.5412</v>
      </c>
      <c r="AC9863">
        <v>4.0172760000000002E-2</v>
      </c>
      <c r="AD9863">
        <v>4.2363080000000002</v>
      </c>
      <c r="AE9863">
        <v>0.1750215</v>
      </c>
      <c r="AF9863">
        <v>843.14490000000001</v>
      </c>
      <c r="AG9863">
        <f>IFERROR(AH9863*0.1, "N/A")</f>
        <v>5.4890050000000006</v>
      </c>
      <c r="AH9863">
        <v>54.890050000000002</v>
      </c>
      <c r="AI9863">
        <v>273.25189999999998</v>
      </c>
      <c r="AJ9863">
        <v>29.963349999999998</v>
      </c>
      <c r="AK9863">
        <v>52</v>
      </c>
    </row>
    <row r="9864" spans="1:37" x14ac:dyDescent="0.3">
      <c r="A9864">
        <v>9863</v>
      </c>
      <c r="B9864">
        <v>0</v>
      </c>
      <c r="C9864">
        <v>10.5</v>
      </c>
      <c r="D9864">
        <v>5.24444</v>
      </c>
      <c r="E9864" t="s">
        <v>14939</v>
      </c>
      <c r="F9864" t="s">
        <v>14940</v>
      </c>
      <c r="G9864" t="s">
        <v>39</v>
      </c>
      <c r="H9864">
        <v>1990</v>
      </c>
      <c r="I9864">
        <v>19.651399999999999</v>
      </c>
      <c r="J9864">
        <v>9.9</v>
      </c>
      <c r="K9864">
        <v>76</v>
      </c>
      <c r="L9864">
        <v>8.9645799999999998</v>
      </c>
      <c r="M9864">
        <v>27.051400000000001</v>
      </c>
      <c r="N9864">
        <v>14.051399999999999</v>
      </c>
      <c r="O9864">
        <v>13</v>
      </c>
      <c r="P9864">
        <v>18.651399999999999</v>
      </c>
      <c r="Q9864">
        <v>20.351400000000002</v>
      </c>
      <c r="R9864">
        <v>20.7514</v>
      </c>
      <c r="S9864">
        <v>18.551400000000001</v>
      </c>
      <c r="T9864">
        <v>1897.028</v>
      </c>
      <c r="U9864">
        <v>329.17129999999997</v>
      </c>
      <c r="V9864">
        <v>10</v>
      </c>
      <c r="W9864">
        <v>66.171329999999998</v>
      </c>
      <c r="X9864">
        <v>868.02800000000002</v>
      </c>
      <c r="Y9864">
        <v>56.657339999999998</v>
      </c>
      <c r="Z9864">
        <v>325.65730000000002</v>
      </c>
      <c r="AA9864">
        <v>840.02800000000002</v>
      </c>
      <c r="AB9864">
        <v>58.636879999999998</v>
      </c>
      <c r="AC9864">
        <v>8.5574299999999996E-3</v>
      </c>
      <c r="AD9864">
        <v>5.6690120000000004</v>
      </c>
      <c r="AE9864">
        <v>0.30837059999999999</v>
      </c>
      <c r="AF9864">
        <v>1469.4280000000001</v>
      </c>
      <c r="AG9864">
        <f>IFERROR(AH9864*0.1, "N/A")</f>
        <v>5.348077</v>
      </c>
      <c r="AH9864">
        <v>53.48077</v>
      </c>
      <c r="AI9864">
        <v>94.557320000000004</v>
      </c>
      <c r="AJ9864">
        <v>33.818179999999998</v>
      </c>
      <c r="AK9864">
        <v>36.833919999999999</v>
      </c>
    </row>
    <row r="9865" spans="1:37" x14ac:dyDescent="0.3">
      <c r="A9865">
        <v>9864</v>
      </c>
      <c r="B9865">
        <v>0</v>
      </c>
      <c r="C9865">
        <v>10.5</v>
      </c>
      <c r="D9865">
        <v>5.24444</v>
      </c>
      <c r="E9865" t="s">
        <v>14939</v>
      </c>
      <c r="F9865" t="s">
        <v>14941</v>
      </c>
      <c r="G9865" t="s">
        <v>37</v>
      </c>
      <c r="H9865">
        <v>1990</v>
      </c>
      <c r="I9865">
        <v>19.651399999999999</v>
      </c>
      <c r="J9865">
        <v>9.9</v>
      </c>
      <c r="K9865">
        <v>76</v>
      </c>
      <c r="L9865">
        <v>8.9645799999999998</v>
      </c>
      <c r="M9865">
        <v>27.051400000000001</v>
      </c>
      <c r="N9865">
        <v>14.051399999999999</v>
      </c>
      <c r="O9865">
        <v>13</v>
      </c>
      <c r="P9865">
        <v>18.651399999999999</v>
      </c>
      <c r="Q9865">
        <v>20.351400000000002</v>
      </c>
      <c r="R9865">
        <v>20.7514</v>
      </c>
      <c r="S9865">
        <v>18.551400000000001</v>
      </c>
      <c r="T9865">
        <v>1897.028</v>
      </c>
      <c r="U9865">
        <v>329.17129999999997</v>
      </c>
      <c r="V9865">
        <v>10</v>
      </c>
      <c r="W9865">
        <v>66.171329999999998</v>
      </c>
      <c r="X9865">
        <v>868.02800000000002</v>
      </c>
      <c r="Y9865">
        <v>56.657339999999998</v>
      </c>
      <c r="Z9865">
        <v>325.65730000000002</v>
      </c>
      <c r="AA9865">
        <v>840.02800000000002</v>
      </c>
      <c r="AB9865">
        <v>58.636879999999998</v>
      </c>
      <c r="AC9865">
        <v>8.5574299999999996E-3</v>
      </c>
      <c r="AD9865">
        <v>5.6690120000000004</v>
      </c>
      <c r="AE9865">
        <v>0.30837059999999999</v>
      </c>
      <c r="AF9865">
        <v>1469.4280000000001</v>
      </c>
      <c r="AG9865">
        <f>IFERROR(AH9865*0.1, "N/A")</f>
        <v>5.348077</v>
      </c>
      <c r="AH9865">
        <v>53.48077</v>
      </c>
      <c r="AI9865">
        <v>94.557320000000004</v>
      </c>
      <c r="AJ9865">
        <v>33.818179999999998</v>
      </c>
      <c r="AK9865">
        <v>36.833919999999999</v>
      </c>
    </row>
    <row r="9866" spans="1:37" x14ac:dyDescent="0.3">
      <c r="A9866">
        <v>9865</v>
      </c>
      <c r="B9866">
        <v>0</v>
      </c>
      <c r="C9866">
        <v>10.5</v>
      </c>
      <c r="D9866">
        <v>5.24444</v>
      </c>
      <c r="E9866" t="s">
        <v>14939</v>
      </c>
      <c r="F9866" t="s">
        <v>14942</v>
      </c>
      <c r="G9866" t="s">
        <v>2420</v>
      </c>
      <c r="H9866">
        <v>1990</v>
      </c>
      <c r="I9866">
        <v>19.651399999999999</v>
      </c>
      <c r="J9866">
        <v>9.9</v>
      </c>
      <c r="K9866">
        <v>76</v>
      </c>
      <c r="L9866">
        <v>8.9645799999999998</v>
      </c>
      <c r="M9866">
        <v>27.051400000000001</v>
      </c>
      <c r="N9866">
        <v>14.051399999999999</v>
      </c>
      <c r="O9866">
        <v>13</v>
      </c>
      <c r="P9866">
        <v>18.651399999999999</v>
      </c>
      <c r="Q9866">
        <v>20.351400000000002</v>
      </c>
      <c r="R9866">
        <v>20.7514</v>
      </c>
      <c r="S9866">
        <v>18.551400000000001</v>
      </c>
      <c r="T9866">
        <v>1897.028</v>
      </c>
      <c r="U9866">
        <v>329.17129999999997</v>
      </c>
      <c r="V9866">
        <v>10</v>
      </c>
      <c r="W9866">
        <v>66.171329999999998</v>
      </c>
      <c r="X9866">
        <v>868.02800000000002</v>
      </c>
      <c r="Y9866">
        <v>56.657339999999998</v>
      </c>
      <c r="Z9866">
        <v>325.65730000000002</v>
      </c>
      <c r="AA9866">
        <v>840.02800000000002</v>
      </c>
      <c r="AB9866">
        <v>58.636879999999998</v>
      </c>
      <c r="AC9866">
        <v>8.5574299999999996E-3</v>
      </c>
      <c r="AD9866">
        <v>5.6690120000000004</v>
      </c>
      <c r="AE9866">
        <v>0.30837059999999999</v>
      </c>
      <c r="AF9866">
        <v>1469.4280000000001</v>
      </c>
      <c r="AG9866">
        <f>IFERROR(AH9866*0.1, "N/A")</f>
        <v>5.348077</v>
      </c>
      <c r="AH9866">
        <v>53.48077</v>
      </c>
      <c r="AI9866">
        <v>94.557320000000004</v>
      </c>
      <c r="AJ9866">
        <v>33.818179999999998</v>
      </c>
      <c r="AK9866">
        <v>36.833919999999999</v>
      </c>
    </row>
    <row r="9867" spans="1:37" x14ac:dyDescent="0.3">
      <c r="A9867">
        <v>9866</v>
      </c>
      <c r="B9867">
        <v>0</v>
      </c>
      <c r="C9867">
        <v>10.416700000000001</v>
      </c>
      <c r="D9867">
        <v>5.25</v>
      </c>
      <c r="E9867" t="s">
        <v>14943</v>
      </c>
      <c r="F9867" t="s">
        <v>14944</v>
      </c>
      <c r="G9867" t="s">
        <v>39</v>
      </c>
      <c r="H9867">
        <v>1990</v>
      </c>
      <c r="I9867">
        <v>17.784009999999999</v>
      </c>
      <c r="J9867">
        <v>9.9903340000000007</v>
      </c>
      <c r="K9867">
        <v>75</v>
      </c>
      <c r="L9867">
        <v>9.3666079999999994</v>
      </c>
      <c r="M9867">
        <v>25.255710000000001</v>
      </c>
      <c r="N9867">
        <v>12.055709999999999</v>
      </c>
      <c r="O9867">
        <v>13.2</v>
      </c>
      <c r="P9867">
        <v>16.755710000000001</v>
      </c>
      <c r="Q9867">
        <v>18.555710000000001</v>
      </c>
      <c r="R9867">
        <v>18.95571</v>
      </c>
      <c r="S9867">
        <v>16.574339999999999</v>
      </c>
      <c r="T9867">
        <v>1931.7719999999999</v>
      </c>
      <c r="U9867">
        <v>337.44290000000001</v>
      </c>
      <c r="V9867">
        <v>13</v>
      </c>
      <c r="W9867">
        <v>64.363799999999998</v>
      </c>
      <c r="X9867">
        <v>866.8963</v>
      </c>
      <c r="Y9867">
        <v>69.80668</v>
      </c>
      <c r="Z9867">
        <v>200.39189999999999</v>
      </c>
      <c r="AA9867">
        <v>850.69949999999994</v>
      </c>
      <c r="AB9867">
        <v>121.5689</v>
      </c>
      <c r="AC9867">
        <v>1.461673E-2</v>
      </c>
      <c r="AD9867">
        <v>11.80097</v>
      </c>
      <c r="AE9867">
        <v>0.38625799999999999</v>
      </c>
      <c r="AF9867">
        <v>1814.3589999999999</v>
      </c>
      <c r="AG9867">
        <f>IFERROR(AH9867*0.1, "N/A")</f>
        <v>5.1636200000000008</v>
      </c>
      <c r="AH9867">
        <v>51.636200000000002</v>
      </c>
      <c r="AI9867">
        <v>195.3708</v>
      </c>
      <c r="AJ9867">
        <v>35.636200000000002</v>
      </c>
      <c r="AK9867">
        <v>33.636200000000002</v>
      </c>
    </row>
    <row r="9868" spans="1:37" x14ac:dyDescent="0.3">
      <c r="A9868">
        <v>9867</v>
      </c>
      <c r="B9868">
        <v>0</v>
      </c>
      <c r="C9868">
        <v>10.416700000000001</v>
      </c>
      <c r="D9868">
        <v>5.25</v>
      </c>
      <c r="E9868" t="s">
        <v>14943</v>
      </c>
      <c r="F9868" t="s">
        <v>14945</v>
      </c>
      <c r="G9868" t="s">
        <v>37</v>
      </c>
      <c r="H9868">
        <v>1990</v>
      </c>
      <c r="I9868">
        <v>17.784009999999999</v>
      </c>
      <c r="J9868">
        <v>9.9903340000000007</v>
      </c>
      <c r="K9868">
        <v>75</v>
      </c>
      <c r="L9868">
        <v>9.3666079999999994</v>
      </c>
      <c r="M9868">
        <v>25.255710000000001</v>
      </c>
      <c r="N9868">
        <v>12.055709999999999</v>
      </c>
      <c r="O9868">
        <v>13.2</v>
      </c>
      <c r="P9868">
        <v>16.755710000000001</v>
      </c>
      <c r="Q9868">
        <v>18.555710000000001</v>
      </c>
      <c r="R9868">
        <v>18.95571</v>
      </c>
      <c r="S9868">
        <v>16.574339999999999</v>
      </c>
      <c r="T9868">
        <v>1931.7719999999999</v>
      </c>
      <c r="U9868">
        <v>337.44290000000001</v>
      </c>
      <c r="V9868">
        <v>13</v>
      </c>
      <c r="W9868">
        <v>64.363799999999998</v>
      </c>
      <c r="X9868">
        <v>866.8963</v>
      </c>
      <c r="Y9868">
        <v>69.80668</v>
      </c>
      <c r="Z9868">
        <v>200.39189999999999</v>
      </c>
      <c r="AA9868">
        <v>850.69949999999994</v>
      </c>
      <c r="AB9868">
        <v>121.5689</v>
      </c>
      <c r="AC9868">
        <v>1.461673E-2</v>
      </c>
      <c r="AD9868">
        <v>11.80097</v>
      </c>
      <c r="AE9868">
        <v>0.38625799999999999</v>
      </c>
      <c r="AF9868">
        <v>1814.3589999999999</v>
      </c>
      <c r="AG9868">
        <f>IFERROR(AH9868*0.1, "N/A")</f>
        <v>5.1636200000000008</v>
      </c>
      <c r="AH9868">
        <v>51.636200000000002</v>
      </c>
      <c r="AI9868">
        <v>195.3708</v>
      </c>
      <c r="AJ9868">
        <v>35.636200000000002</v>
      </c>
      <c r="AK9868">
        <v>33.636200000000002</v>
      </c>
    </row>
    <row r="9869" spans="1:37" x14ac:dyDescent="0.3">
      <c r="A9869">
        <v>9868</v>
      </c>
      <c r="B9869">
        <v>0</v>
      </c>
      <c r="C9869">
        <v>10.416700000000001</v>
      </c>
      <c r="D9869">
        <v>5.25</v>
      </c>
      <c r="E9869" t="s">
        <v>14943</v>
      </c>
      <c r="F9869" t="s">
        <v>14946</v>
      </c>
      <c r="G9869" t="s">
        <v>2420</v>
      </c>
      <c r="H9869">
        <v>1990</v>
      </c>
      <c r="I9869">
        <v>17.784009999999999</v>
      </c>
      <c r="J9869">
        <v>9.9903340000000007</v>
      </c>
      <c r="K9869">
        <v>75</v>
      </c>
      <c r="L9869">
        <v>9.3666079999999994</v>
      </c>
      <c r="M9869">
        <v>25.255710000000001</v>
      </c>
      <c r="N9869">
        <v>12.055709999999999</v>
      </c>
      <c r="O9869">
        <v>13.2</v>
      </c>
      <c r="P9869">
        <v>16.755710000000001</v>
      </c>
      <c r="Q9869">
        <v>18.555710000000001</v>
      </c>
      <c r="R9869">
        <v>18.95571</v>
      </c>
      <c r="S9869">
        <v>16.574339999999999</v>
      </c>
      <c r="T9869">
        <v>1931.7719999999999</v>
      </c>
      <c r="U9869">
        <v>337.44290000000001</v>
      </c>
      <c r="V9869">
        <v>13</v>
      </c>
      <c r="W9869">
        <v>64.363799999999998</v>
      </c>
      <c r="X9869">
        <v>866.8963</v>
      </c>
      <c r="Y9869">
        <v>69.80668</v>
      </c>
      <c r="Z9869">
        <v>200.39189999999999</v>
      </c>
      <c r="AA9869">
        <v>850.69949999999994</v>
      </c>
      <c r="AB9869">
        <v>121.5689</v>
      </c>
      <c r="AC9869">
        <v>1.461673E-2</v>
      </c>
      <c r="AD9869">
        <v>11.80097</v>
      </c>
      <c r="AE9869">
        <v>0.38625799999999999</v>
      </c>
      <c r="AF9869">
        <v>1814.3589999999999</v>
      </c>
      <c r="AG9869">
        <f>IFERROR(AH9869*0.1, "N/A")</f>
        <v>5.1636200000000008</v>
      </c>
      <c r="AH9869">
        <v>51.636200000000002</v>
      </c>
      <c r="AI9869">
        <v>195.3708</v>
      </c>
      <c r="AJ9869">
        <v>35.636200000000002</v>
      </c>
      <c r="AK9869">
        <v>33.636200000000002</v>
      </c>
    </row>
    <row r="9870" spans="1:37" x14ac:dyDescent="0.3">
      <c r="A9870">
        <v>9869</v>
      </c>
      <c r="B9870">
        <v>0</v>
      </c>
      <c r="C9870">
        <v>10.2264</v>
      </c>
      <c r="D9870">
        <v>5.2625000000000002</v>
      </c>
      <c r="E9870" t="s">
        <v>14947</v>
      </c>
      <c r="F9870" t="s">
        <v>14948</v>
      </c>
      <c r="G9870" t="s">
        <v>39</v>
      </c>
      <c r="H9870">
        <v>1990</v>
      </c>
      <c r="I9870">
        <v>20.7</v>
      </c>
      <c r="J9870">
        <v>9.6999999999999993</v>
      </c>
      <c r="K9870">
        <v>76</v>
      </c>
      <c r="L9870">
        <v>8.74</v>
      </c>
      <c r="M9870">
        <v>27.9</v>
      </c>
      <c r="N9870">
        <v>15.2</v>
      </c>
      <c r="O9870">
        <v>12.7</v>
      </c>
      <c r="P9870">
        <v>19.7</v>
      </c>
      <c r="Q9870">
        <v>21.3</v>
      </c>
      <c r="R9870">
        <v>21.8</v>
      </c>
      <c r="S9870">
        <v>19.5</v>
      </c>
      <c r="T9870">
        <v>1974</v>
      </c>
      <c r="U9870">
        <v>343</v>
      </c>
      <c r="V9870">
        <v>9</v>
      </c>
      <c r="W9870">
        <v>68</v>
      </c>
      <c r="X9870">
        <v>907</v>
      </c>
      <c r="Y9870">
        <v>56</v>
      </c>
      <c r="Z9870">
        <v>337</v>
      </c>
      <c r="AA9870">
        <v>898</v>
      </c>
      <c r="AB9870">
        <v>93.732129999999998</v>
      </c>
      <c r="AC9870">
        <v>1.680224E-2</v>
      </c>
      <c r="AD9870">
        <v>11.46786</v>
      </c>
      <c r="AE9870">
        <v>0.72200050000000005</v>
      </c>
      <c r="AF9870">
        <v>1284.578</v>
      </c>
      <c r="AG9870">
        <f>IFERROR(AH9870*0.1, "N/A")</f>
        <v>5.2</v>
      </c>
      <c r="AH9870">
        <v>52</v>
      </c>
      <c r="AI9870">
        <v>167.10249999999999</v>
      </c>
      <c r="AJ9870">
        <v>35</v>
      </c>
      <c r="AK9870">
        <v>38</v>
      </c>
    </row>
    <row r="9871" spans="1:37" x14ac:dyDescent="0.3">
      <c r="A9871">
        <v>9870</v>
      </c>
      <c r="B9871">
        <v>0</v>
      </c>
      <c r="C9871">
        <v>10.2264</v>
      </c>
      <c r="D9871">
        <v>5.2625000000000002</v>
      </c>
      <c r="E9871" t="s">
        <v>14947</v>
      </c>
      <c r="F9871" t="s">
        <v>14949</v>
      </c>
      <c r="G9871" t="s">
        <v>37</v>
      </c>
      <c r="H9871">
        <v>1990</v>
      </c>
      <c r="I9871">
        <v>20.7</v>
      </c>
      <c r="J9871">
        <v>9.6999999999999993</v>
      </c>
      <c r="K9871">
        <v>76</v>
      </c>
      <c r="L9871">
        <v>8.74</v>
      </c>
      <c r="M9871">
        <v>27.9</v>
      </c>
      <c r="N9871">
        <v>15.2</v>
      </c>
      <c r="O9871">
        <v>12.7</v>
      </c>
      <c r="P9871">
        <v>19.7</v>
      </c>
      <c r="Q9871">
        <v>21.3</v>
      </c>
      <c r="R9871">
        <v>21.8</v>
      </c>
      <c r="S9871">
        <v>19.5</v>
      </c>
      <c r="T9871">
        <v>1974</v>
      </c>
      <c r="U9871">
        <v>343</v>
      </c>
      <c r="V9871">
        <v>9</v>
      </c>
      <c r="W9871">
        <v>68</v>
      </c>
      <c r="X9871">
        <v>907</v>
      </c>
      <c r="Y9871">
        <v>56</v>
      </c>
      <c r="Z9871">
        <v>337</v>
      </c>
      <c r="AA9871">
        <v>898</v>
      </c>
      <c r="AB9871">
        <v>93.732129999999998</v>
      </c>
      <c r="AC9871">
        <v>1.680224E-2</v>
      </c>
      <c r="AD9871">
        <v>11.46786</v>
      </c>
      <c r="AE9871">
        <v>0.72200050000000005</v>
      </c>
      <c r="AF9871">
        <v>1284.578</v>
      </c>
      <c r="AG9871">
        <f>IFERROR(AH9871*0.1, "N/A")</f>
        <v>5.2</v>
      </c>
      <c r="AH9871">
        <v>52</v>
      </c>
      <c r="AI9871">
        <v>167.10249999999999</v>
      </c>
      <c r="AJ9871">
        <v>35</v>
      </c>
      <c r="AK9871">
        <v>38</v>
      </c>
    </row>
    <row r="9872" spans="1:37" x14ac:dyDescent="0.3">
      <c r="A9872">
        <v>9871</v>
      </c>
      <c r="B9872">
        <v>0</v>
      </c>
      <c r="C9872">
        <v>10.2264</v>
      </c>
      <c r="D9872">
        <v>5.2625000000000002</v>
      </c>
      <c r="E9872" t="s">
        <v>14947</v>
      </c>
      <c r="F9872" t="s">
        <v>14950</v>
      </c>
      <c r="G9872" t="s">
        <v>2420</v>
      </c>
      <c r="H9872">
        <v>1990</v>
      </c>
      <c r="I9872">
        <v>20.7</v>
      </c>
      <c r="J9872">
        <v>9.6999999999999993</v>
      </c>
      <c r="K9872">
        <v>76</v>
      </c>
      <c r="L9872">
        <v>8.74</v>
      </c>
      <c r="M9872">
        <v>27.9</v>
      </c>
      <c r="N9872">
        <v>15.2</v>
      </c>
      <c r="O9872">
        <v>12.7</v>
      </c>
      <c r="P9872">
        <v>19.7</v>
      </c>
      <c r="Q9872">
        <v>21.3</v>
      </c>
      <c r="R9872">
        <v>21.8</v>
      </c>
      <c r="S9872">
        <v>19.5</v>
      </c>
      <c r="T9872">
        <v>1974</v>
      </c>
      <c r="U9872">
        <v>343</v>
      </c>
      <c r="V9872">
        <v>9</v>
      </c>
      <c r="W9872">
        <v>68</v>
      </c>
      <c r="X9872">
        <v>907</v>
      </c>
      <c r="Y9872">
        <v>56</v>
      </c>
      <c r="Z9872">
        <v>337</v>
      </c>
      <c r="AA9872">
        <v>898</v>
      </c>
      <c r="AB9872">
        <v>93.732129999999998</v>
      </c>
      <c r="AC9872">
        <v>1.680224E-2</v>
      </c>
      <c r="AD9872">
        <v>11.46786</v>
      </c>
      <c r="AE9872">
        <v>0.72200050000000005</v>
      </c>
      <c r="AF9872">
        <v>1284.578</v>
      </c>
      <c r="AG9872">
        <f>IFERROR(AH9872*0.1, "N/A")</f>
        <v>5.2</v>
      </c>
      <c r="AH9872">
        <v>52</v>
      </c>
      <c r="AI9872">
        <v>167.10249999999999</v>
      </c>
      <c r="AJ9872">
        <v>35</v>
      </c>
      <c r="AK9872">
        <v>38</v>
      </c>
    </row>
    <row r="9873" spans="1:37" x14ac:dyDescent="0.3">
      <c r="A9873">
        <v>9872</v>
      </c>
      <c r="B9873">
        <v>0</v>
      </c>
      <c r="C9873">
        <v>10.3667</v>
      </c>
      <c r="D9873">
        <v>5.2847200000000001</v>
      </c>
      <c r="E9873" t="s">
        <v>14951</v>
      </c>
      <c r="F9873" t="s">
        <v>14952</v>
      </c>
      <c r="G9873" t="s">
        <v>39</v>
      </c>
      <c r="H9873">
        <v>1990</v>
      </c>
      <c r="I9873">
        <v>17.99091</v>
      </c>
      <c r="J9873">
        <v>9.9636359999999993</v>
      </c>
      <c r="K9873">
        <v>75</v>
      </c>
      <c r="L9873">
        <v>9.3536359999999998</v>
      </c>
      <c r="M9873">
        <v>25.49091</v>
      </c>
      <c r="N9873">
        <v>12.29091</v>
      </c>
      <c r="O9873">
        <v>13.2</v>
      </c>
      <c r="P9873">
        <v>16.99091</v>
      </c>
      <c r="Q9873">
        <v>18.754549999999998</v>
      </c>
      <c r="R9873">
        <v>19.190909999999999</v>
      </c>
      <c r="S9873">
        <v>16.79091</v>
      </c>
      <c r="T9873">
        <v>1927.0909999999999</v>
      </c>
      <c r="U9873">
        <v>336.4545</v>
      </c>
      <c r="V9873">
        <v>12.63636</v>
      </c>
      <c r="W9873">
        <v>65</v>
      </c>
      <c r="X9873">
        <v>864</v>
      </c>
      <c r="Y9873">
        <v>68.181820000000002</v>
      </c>
      <c r="Z9873">
        <v>347.72730000000001</v>
      </c>
      <c r="AA9873">
        <v>852.18179999999995</v>
      </c>
      <c r="AB9873">
        <v>10.250030000000001</v>
      </c>
      <c r="AC9873">
        <v>2.277962</v>
      </c>
      <c r="AD9873">
        <v>11.143599999999999</v>
      </c>
      <c r="AE9873">
        <v>0.4577425</v>
      </c>
      <c r="AF9873">
        <v>1676.893</v>
      </c>
      <c r="AG9873">
        <f>IFERROR(AH9873*0.1, "N/A")</f>
        <v>5.2793710000000003</v>
      </c>
      <c r="AH9873">
        <v>52.793709999999997</v>
      </c>
      <c r="AI9873">
        <v>305.92829999999998</v>
      </c>
      <c r="AJ9873">
        <v>37.517479999999999</v>
      </c>
      <c r="AK9873">
        <v>33.25</v>
      </c>
    </row>
    <row r="9874" spans="1:37" x14ac:dyDescent="0.3">
      <c r="A9874">
        <v>9873</v>
      </c>
      <c r="B9874">
        <v>0</v>
      </c>
      <c r="C9874">
        <v>10.3667</v>
      </c>
      <c r="D9874">
        <v>5.2847200000000001</v>
      </c>
      <c r="E9874" t="s">
        <v>14951</v>
      </c>
      <c r="F9874" t="s">
        <v>14953</v>
      </c>
      <c r="G9874" t="s">
        <v>37</v>
      </c>
      <c r="H9874">
        <v>1990</v>
      </c>
      <c r="I9874">
        <v>17.99091</v>
      </c>
      <c r="J9874">
        <v>9.9636359999999993</v>
      </c>
      <c r="K9874">
        <v>75</v>
      </c>
      <c r="L9874">
        <v>9.3536359999999998</v>
      </c>
      <c r="M9874">
        <v>25.49091</v>
      </c>
      <c r="N9874">
        <v>12.29091</v>
      </c>
      <c r="O9874">
        <v>13.2</v>
      </c>
      <c r="P9874">
        <v>16.99091</v>
      </c>
      <c r="Q9874">
        <v>18.754549999999998</v>
      </c>
      <c r="R9874">
        <v>19.190909999999999</v>
      </c>
      <c r="S9874">
        <v>16.79091</v>
      </c>
      <c r="T9874">
        <v>1927.0909999999999</v>
      </c>
      <c r="U9874">
        <v>336.4545</v>
      </c>
      <c r="V9874">
        <v>12.63636</v>
      </c>
      <c r="W9874">
        <v>65</v>
      </c>
      <c r="X9874">
        <v>864</v>
      </c>
      <c r="Y9874">
        <v>68.181820000000002</v>
      </c>
      <c r="Z9874">
        <v>347.72730000000001</v>
      </c>
      <c r="AA9874">
        <v>852.18179999999995</v>
      </c>
      <c r="AB9874">
        <v>10.250030000000001</v>
      </c>
      <c r="AC9874">
        <v>2.277962</v>
      </c>
      <c r="AD9874">
        <v>11.143599999999999</v>
      </c>
      <c r="AE9874">
        <v>0.4577425</v>
      </c>
      <c r="AF9874">
        <v>1676.893</v>
      </c>
      <c r="AG9874">
        <f>IFERROR(AH9874*0.1, "N/A")</f>
        <v>5.2793710000000003</v>
      </c>
      <c r="AH9874">
        <v>52.793709999999997</v>
      </c>
      <c r="AI9874">
        <v>305.92829999999998</v>
      </c>
      <c r="AJ9874">
        <v>37.517479999999999</v>
      </c>
      <c r="AK9874">
        <v>33.25</v>
      </c>
    </row>
    <row r="9875" spans="1:37" x14ac:dyDescent="0.3">
      <c r="A9875">
        <v>9874</v>
      </c>
      <c r="B9875">
        <v>0</v>
      </c>
      <c r="C9875">
        <v>10.3667</v>
      </c>
      <c r="D9875">
        <v>5.2847200000000001</v>
      </c>
      <c r="E9875" t="s">
        <v>14951</v>
      </c>
      <c r="F9875" t="s">
        <v>14954</v>
      </c>
      <c r="G9875" t="s">
        <v>2420</v>
      </c>
      <c r="H9875">
        <v>1990</v>
      </c>
      <c r="I9875">
        <v>17.99091</v>
      </c>
      <c r="J9875">
        <v>9.9636359999999993</v>
      </c>
      <c r="K9875">
        <v>75</v>
      </c>
      <c r="L9875">
        <v>9.3536359999999998</v>
      </c>
      <c r="M9875">
        <v>25.49091</v>
      </c>
      <c r="N9875">
        <v>12.29091</v>
      </c>
      <c r="O9875">
        <v>13.2</v>
      </c>
      <c r="P9875">
        <v>16.99091</v>
      </c>
      <c r="Q9875">
        <v>18.754549999999998</v>
      </c>
      <c r="R9875">
        <v>19.190909999999999</v>
      </c>
      <c r="S9875">
        <v>16.79091</v>
      </c>
      <c r="T9875">
        <v>1927.0909999999999</v>
      </c>
      <c r="U9875">
        <v>336.4545</v>
      </c>
      <c r="V9875">
        <v>12.63636</v>
      </c>
      <c r="W9875">
        <v>65</v>
      </c>
      <c r="X9875">
        <v>864</v>
      </c>
      <c r="Y9875">
        <v>68.181820000000002</v>
      </c>
      <c r="Z9875">
        <v>347.72730000000001</v>
      </c>
      <c r="AA9875">
        <v>852.18179999999995</v>
      </c>
      <c r="AB9875">
        <v>10.250030000000001</v>
      </c>
      <c r="AC9875">
        <v>2.277962</v>
      </c>
      <c r="AD9875">
        <v>11.143599999999999</v>
      </c>
      <c r="AE9875">
        <v>0.4577425</v>
      </c>
      <c r="AF9875">
        <v>1676.893</v>
      </c>
      <c r="AG9875">
        <f>IFERROR(AH9875*0.1, "N/A")</f>
        <v>5.2793710000000003</v>
      </c>
      <c r="AH9875">
        <v>52.793709999999997</v>
      </c>
      <c r="AI9875">
        <v>305.92829999999998</v>
      </c>
      <c r="AJ9875">
        <v>37.517479999999999</v>
      </c>
      <c r="AK9875">
        <v>33.25</v>
      </c>
    </row>
    <row r="9876" spans="1:37" x14ac:dyDescent="0.3">
      <c r="A9876">
        <v>9875</v>
      </c>
      <c r="B9876">
        <v>0</v>
      </c>
      <c r="C9876">
        <v>10.3903</v>
      </c>
      <c r="D9876">
        <v>5.2944399999999998</v>
      </c>
      <c r="E9876" t="s">
        <v>14955</v>
      </c>
      <c r="F9876" t="s">
        <v>14956</v>
      </c>
      <c r="G9876" t="s">
        <v>39</v>
      </c>
      <c r="H9876">
        <v>1990</v>
      </c>
      <c r="I9876">
        <v>18.7</v>
      </c>
      <c r="J9876">
        <v>10</v>
      </c>
      <c r="K9876">
        <v>76</v>
      </c>
      <c r="L9876">
        <v>9.25</v>
      </c>
      <c r="M9876">
        <v>26.1</v>
      </c>
      <c r="N9876">
        <v>13</v>
      </c>
      <c r="O9876">
        <v>13.1</v>
      </c>
      <c r="P9876">
        <v>17.7</v>
      </c>
      <c r="Q9876">
        <v>19.5</v>
      </c>
      <c r="R9876">
        <v>19.8</v>
      </c>
      <c r="S9876">
        <v>17.5</v>
      </c>
      <c r="T9876">
        <v>1900</v>
      </c>
      <c r="U9876">
        <v>330</v>
      </c>
      <c r="V9876">
        <v>11</v>
      </c>
      <c r="W9876">
        <v>65</v>
      </c>
      <c r="X9876">
        <v>855</v>
      </c>
      <c r="Y9876">
        <v>63</v>
      </c>
      <c r="Z9876">
        <v>172</v>
      </c>
      <c r="AA9876">
        <v>838</v>
      </c>
      <c r="AB9876">
        <v>59.048929999999999</v>
      </c>
      <c r="AC9876">
        <v>0.1047751</v>
      </c>
      <c r="AD9876">
        <v>10.227349999999999</v>
      </c>
      <c r="AE9876">
        <v>0.45187820000000001</v>
      </c>
      <c r="AF9876">
        <v>1654.492</v>
      </c>
      <c r="AG9876">
        <f>IFERROR(AH9876*0.1, "N/A")</f>
        <v>5.4136130000000007</v>
      </c>
      <c r="AH9876">
        <v>54.136130000000001</v>
      </c>
      <c r="AI9876">
        <v>95.067459999999997</v>
      </c>
      <c r="AJ9876">
        <v>35.094239999999999</v>
      </c>
      <c r="AK9876">
        <v>33.472949999999997</v>
      </c>
    </row>
    <row r="9877" spans="1:37" x14ac:dyDescent="0.3">
      <c r="A9877">
        <v>9876</v>
      </c>
      <c r="B9877">
        <v>0</v>
      </c>
      <c r="C9877">
        <v>10.3903</v>
      </c>
      <c r="D9877">
        <v>5.2944399999999998</v>
      </c>
      <c r="E9877" t="s">
        <v>14955</v>
      </c>
      <c r="F9877" t="s">
        <v>14957</v>
      </c>
      <c r="G9877" t="s">
        <v>37</v>
      </c>
      <c r="H9877">
        <v>1990</v>
      </c>
      <c r="I9877">
        <v>18.7</v>
      </c>
      <c r="J9877">
        <v>10</v>
      </c>
      <c r="K9877">
        <v>76</v>
      </c>
      <c r="L9877">
        <v>9.25</v>
      </c>
      <c r="M9877">
        <v>26.1</v>
      </c>
      <c r="N9877">
        <v>13</v>
      </c>
      <c r="O9877">
        <v>13.1</v>
      </c>
      <c r="P9877">
        <v>17.7</v>
      </c>
      <c r="Q9877">
        <v>19.5</v>
      </c>
      <c r="R9877">
        <v>19.8</v>
      </c>
      <c r="S9877">
        <v>17.5</v>
      </c>
      <c r="T9877">
        <v>1900</v>
      </c>
      <c r="U9877">
        <v>330</v>
      </c>
      <c r="V9877">
        <v>11</v>
      </c>
      <c r="W9877">
        <v>65</v>
      </c>
      <c r="X9877">
        <v>855</v>
      </c>
      <c r="Y9877">
        <v>63</v>
      </c>
      <c r="Z9877">
        <v>172</v>
      </c>
      <c r="AA9877">
        <v>838</v>
      </c>
      <c r="AB9877">
        <v>59.048929999999999</v>
      </c>
      <c r="AC9877">
        <v>0.1047751</v>
      </c>
      <c r="AD9877">
        <v>10.227349999999999</v>
      </c>
      <c r="AE9877">
        <v>0.45187820000000001</v>
      </c>
      <c r="AF9877">
        <v>1654.492</v>
      </c>
      <c r="AG9877">
        <f>IFERROR(AH9877*0.1, "N/A")</f>
        <v>5.4136130000000007</v>
      </c>
      <c r="AH9877">
        <v>54.136130000000001</v>
      </c>
      <c r="AI9877">
        <v>95.067459999999997</v>
      </c>
      <c r="AJ9877">
        <v>35.094239999999999</v>
      </c>
      <c r="AK9877">
        <v>33.472949999999997</v>
      </c>
    </row>
    <row r="9878" spans="1:37" x14ac:dyDescent="0.3">
      <c r="A9878">
        <v>9877</v>
      </c>
      <c r="B9878">
        <v>0</v>
      </c>
      <c r="C9878">
        <v>10.3903</v>
      </c>
      <c r="D9878">
        <v>5.2944399999999998</v>
      </c>
      <c r="E9878" t="s">
        <v>14955</v>
      </c>
      <c r="F9878" t="s">
        <v>14958</v>
      </c>
      <c r="G9878" t="s">
        <v>2420</v>
      </c>
      <c r="H9878">
        <v>1990</v>
      </c>
      <c r="I9878">
        <v>18.7</v>
      </c>
      <c r="J9878">
        <v>10</v>
      </c>
      <c r="K9878">
        <v>76</v>
      </c>
      <c r="L9878">
        <v>9.25</v>
      </c>
      <c r="M9878">
        <v>26.1</v>
      </c>
      <c r="N9878">
        <v>13</v>
      </c>
      <c r="O9878">
        <v>13.1</v>
      </c>
      <c r="P9878">
        <v>17.7</v>
      </c>
      <c r="Q9878">
        <v>19.5</v>
      </c>
      <c r="R9878">
        <v>19.8</v>
      </c>
      <c r="S9878">
        <v>17.5</v>
      </c>
      <c r="T9878">
        <v>1900</v>
      </c>
      <c r="U9878">
        <v>330</v>
      </c>
      <c r="V9878">
        <v>11</v>
      </c>
      <c r="W9878">
        <v>65</v>
      </c>
      <c r="X9878">
        <v>855</v>
      </c>
      <c r="Y9878">
        <v>63</v>
      </c>
      <c r="Z9878">
        <v>172</v>
      </c>
      <c r="AA9878">
        <v>838</v>
      </c>
      <c r="AB9878">
        <v>59.048929999999999</v>
      </c>
      <c r="AC9878">
        <v>0.1047751</v>
      </c>
      <c r="AD9878">
        <v>10.227349999999999</v>
      </c>
      <c r="AE9878">
        <v>0.45187820000000001</v>
      </c>
      <c r="AF9878">
        <v>1654.492</v>
      </c>
      <c r="AG9878">
        <f>IFERROR(AH9878*0.1, "N/A")</f>
        <v>5.4136130000000007</v>
      </c>
      <c r="AH9878">
        <v>54.136130000000001</v>
      </c>
      <c r="AI9878">
        <v>95.067459999999997</v>
      </c>
      <c r="AJ9878">
        <v>35.094239999999999</v>
      </c>
      <c r="AK9878">
        <v>33.472949999999997</v>
      </c>
    </row>
    <row r="9879" spans="1:37" x14ac:dyDescent="0.3">
      <c r="A9879">
        <v>9878</v>
      </c>
      <c r="B9879">
        <v>1.05</v>
      </c>
      <c r="C9879">
        <v>10.050000000000001</v>
      </c>
      <c r="D9879">
        <v>5.3166700000000002</v>
      </c>
      <c r="E9879" t="s">
        <v>14959</v>
      </c>
      <c r="F9879" t="s">
        <v>14960</v>
      </c>
      <c r="G9879" t="s">
        <v>2420</v>
      </c>
      <c r="H9879">
        <v>1986</v>
      </c>
      <c r="I9879">
        <v>20.461539999999999</v>
      </c>
      <c r="J9879">
        <v>9.6999999999999993</v>
      </c>
      <c r="K9879">
        <v>75.786709999999999</v>
      </c>
      <c r="L9879">
        <v>8.8751750000000005</v>
      </c>
      <c r="M9879">
        <v>27.682870000000001</v>
      </c>
      <c r="N9879">
        <v>14.961539999999999</v>
      </c>
      <c r="O9879">
        <v>12.72133</v>
      </c>
      <c r="P9879">
        <v>19.22343</v>
      </c>
      <c r="Q9879">
        <v>21.069230000000001</v>
      </c>
      <c r="R9879">
        <v>21.548950000000001</v>
      </c>
      <c r="S9879">
        <v>19.182870000000001</v>
      </c>
      <c r="T9879">
        <v>1975.0139999999999</v>
      </c>
      <c r="U9879">
        <v>341.15379999999999</v>
      </c>
      <c r="V9879">
        <v>10</v>
      </c>
      <c r="W9879">
        <v>66.786709999999999</v>
      </c>
      <c r="X9879">
        <v>892.06290000000001</v>
      </c>
      <c r="Y9879">
        <v>60.416080000000001</v>
      </c>
      <c r="Z9879">
        <v>354.5874</v>
      </c>
      <c r="AA9879">
        <v>891.86009999999999</v>
      </c>
      <c r="AB9879">
        <v>4.857704</v>
      </c>
      <c r="AC9879">
        <v>0.40078469999999999</v>
      </c>
      <c r="AD9879">
        <v>4.3062139999999998</v>
      </c>
      <c r="AE9879">
        <v>0.26250089999999998</v>
      </c>
      <c r="AF9879">
        <v>1256.675</v>
      </c>
      <c r="AG9879">
        <f>IFERROR(AH9879*0.1, "N/A")</f>
        <v>5.2213290000000008</v>
      </c>
      <c r="AH9879">
        <v>52.213290000000001</v>
      </c>
      <c r="AI9879">
        <v>203.029</v>
      </c>
      <c r="AJ9879">
        <v>30.454550000000001</v>
      </c>
      <c r="AK9879">
        <v>43.409089999999999</v>
      </c>
    </row>
    <row r="9880" spans="1:37" x14ac:dyDescent="0.3">
      <c r="A9880">
        <v>9879</v>
      </c>
      <c r="B9880">
        <v>0</v>
      </c>
      <c r="C9880">
        <v>10.0167</v>
      </c>
      <c r="D9880">
        <v>5.3250000000000002</v>
      </c>
      <c r="E9880" t="s">
        <v>14961</v>
      </c>
      <c r="F9880" t="s">
        <v>14962</v>
      </c>
      <c r="G9880" t="s">
        <v>39</v>
      </c>
      <c r="H9880">
        <v>1990</v>
      </c>
      <c r="I9880">
        <v>23.545439999999999</v>
      </c>
      <c r="J9880">
        <v>9.5042109999999997</v>
      </c>
      <c r="K9880">
        <v>76</v>
      </c>
      <c r="L9880">
        <v>8.5723330000000004</v>
      </c>
      <c r="M9880">
        <v>30.595610000000001</v>
      </c>
      <c r="N9880">
        <v>18.149650000000001</v>
      </c>
      <c r="O9880">
        <v>12.445959999999999</v>
      </c>
      <c r="P9880">
        <v>22.278949999999998</v>
      </c>
      <c r="Q9880">
        <v>23.949649999999998</v>
      </c>
      <c r="R9880">
        <v>24.54965</v>
      </c>
      <c r="S9880">
        <v>22.278949999999998</v>
      </c>
      <c r="T9880">
        <v>2423.4070000000002</v>
      </c>
      <c r="U9880">
        <v>419.65789999999998</v>
      </c>
      <c r="V9880">
        <v>10.957890000000001</v>
      </c>
      <c r="W9880">
        <v>72</v>
      </c>
      <c r="X9880">
        <v>1186.595</v>
      </c>
      <c r="Y9880">
        <v>64.664910000000006</v>
      </c>
      <c r="Z9880">
        <v>353.62279999999998</v>
      </c>
      <c r="AA9880">
        <v>1186.595</v>
      </c>
      <c r="AB9880">
        <v>20.914249999999999</v>
      </c>
      <c r="AC9880">
        <v>0.68036350000000001</v>
      </c>
      <c r="AD9880">
        <v>16.673030000000001</v>
      </c>
      <c r="AE9880">
        <v>0.43617050000000002</v>
      </c>
      <c r="AF9880">
        <v>733.03679999999997</v>
      </c>
      <c r="AG9880">
        <f>IFERROR(AH9880*0.1, "N/A")</f>
        <v>5.0349120000000003</v>
      </c>
      <c r="AH9880">
        <v>50.349119999999999</v>
      </c>
      <c r="AI9880">
        <v>197.87219999999999</v>
      </c>
      <c r="AJ9880">
        <v>29.21754</v>
      </c>
      <c r="AK9880">
        <v>43.89123</v>
      </c>
    </row>
    <row r="9881" spans="1:37" x14ac:dyDescent="0.3">
      <c r="A9881">
        <v>9880</v>
      </c>
      <c r="B9881">
        <v>0</v>
      </c>
      <c r="C9881">
        <v>10.0167</v>
      </c>
      <c r="D9881">
        <v>5.3250000000000002</v>
      </c>
      <c r="E9881" t="s">
        <v>14961</v>
      </c>
      <c r="F9881" t="s">
        <v>14963</v>
      </c>
      <c r="G9881" t="s">
        <v>37</v>
      </c>
      <c r="H9881">
        <v>1990</v>
      </c>
      <c r="I9881">
        <v>23.545439999999999</v>
      </c>
      <c r="J9881">
        <v>9.5042109999999997</v>
      </c>
      <c r="K9881">
        <v>76</v>
      </c>
      <c r="L9881">
        <v>8.5723330000000004</v>
      </c>
      <c r="M9881">
        <v>30.595610000000001</v>
      </c>
      <c r="N9881">
        <v>18.149650000000001</v>
      </c>
      <c r="O9881">
        <v>12.445959999999999</v>
      </c>
      <c r="P9881">
        <v>22.278949999999998</v>
      </c>
      <c r="Q9881">
        <v>23.949649999999998</v>
      </c>
      <c r="R9881">
        <v>24.54965</v>
      </c>
      <c r="S9881">
        <v>22.278949999999998</v>
      </c>
      <c r="T9881">
        <v>2423.4070000000002</v>
      </c>
      <c r="U9881">
        <v>419.65789999999998</v>
      </c>
      <c r="V9881">
        <v>10.957890000000001</v>
      </c>
      <c r="W9881">
        <v>72</v>
      </c>
      <c r="X9881">
        <v>1186.595</v>
      </c>
      <c r="Y9881">
        <v>64.664910000000006</v>
      </c>
      <c r="Z9881">
        <v>353.62279999999998</v>
      </c>
      <c r="AA9881">
        <v>1186.595</v>
      </c>
      <c r="AB9881">
        <v>20.914249999999999</v>
      </c>
      <c r="AC9881">
        <v>0.68036350000000001</v>
      </c>
      <c r="AD9881">
        <v>16.673030000000001</v>
      </c>
      <c r="AE9881">
        <v>0.43617050000000002</v>
      </c>
      <c r="AF9881">
        <v>733.03679999999997</v>
      </c>
      <c r="AG9881">
        <f>IFERROR(AH9881*0.1, "N/A")</f>
        <v>5.0349120000000003</v>
      </c>
      <c r="AH9881">
        <v>50.349119999999999</v>
      </c>
      <c r="AI9881">
        <v>197.87219999999999</v>
      </c>
      <c r="AJ9881">
        <v>29.21754</v>
      </c>
      <c r="AK9881">
        <v>43.89123</v>
      </c>
    </row>
    <row r="9882" spans="1:37" x14ac:dyDescent="0.3">
      <c r="A9882">
        <v>9881</v>
      </c>
      <c r="B9882">
        <v>0</v>
      </c>
      <c r="C9882">
        <v>10.0167</v>
      </c>
      <c r="D9882">
        <v>5.3250000000000002</v>
      </c>
      <c r="E9882" t="s">
        <v>14961</v>
      </c>
      <c r="F9882" t="s">
        <v>14964</v>
      </c>
      <c r="G9882" t="s">
        <v>2420</v>
      </c>
      <c r="H9882">
        <v>1990</v>
      </c>
      <c r="I9882">
        <v>23.545439999999999</v>
      </c>
      <c r="J9882">
        <v>9.5042109999999997</v>
      </c>
      <c r="K9882">
        <v>76</v>
      </c>
      <c r="L9882">
        <v>8.5723330000000004</v>
      </c>
      <c r="M9882">
        <v>30.595610000000001</v>
      </c>
      <c r="N9882">
        <v>18.149650000000001</v>
      </c>
      <c r="O9882">
        <v>12.445959999999999</v>
      </c>
      <c r="P9882">
        <v>22.278949999999998</v>
      </c>
      <c r="Q9882">
        <v>23.949649999999998</v>
      </c>
      <c r="R9882">
        <v>24.54965</v>
      </c>
      <c r="S9882">
        <v>22.278949999999998</v>
      </c>
      <c r="T9882">
        <v>2423.4070000000002</v>
      </c>
      <c r="U9882">
        <v>419.65789999999998</v>
      </c>
      <c r="V9882">
        <v>10.957890000000001</v>
      </c>
      <c r="W9882">
        <v>72</v>
      </c>
      <c r="X9882">
        <v>1186.595</v>
      </c>
      <c r="Y9882">
        <v>64.664910000000006</v>
      </c>
      <c r="Z9882">
        <v>353.62279999999998</v>
      </c>
      <c r="AA9882">
        <v>1186.595</v>
      </c>
      <c r="AB9882">
        <v>20.914249999999999</v>
      </c>
      <c r="AC9882">
        <v>0.68036350000000001</v>
      </c>
      <c r="AD9882">
        <v>16.673030000000001</v>
      </c>
      <c r="AE9882">
        <v>0.43617050000000002</v>
      </c>
      <c r="AF9882">
        <v>733.03679999999997</v>
      </c>
      <c r="AG9882">
        <f>IFERROR(AH9882*0.1, "N/A")</f>
        <v>5.0349120000000003</v>
      </c>
      <c r="AH9882">
        <v>50.349119999999999</v>
      </c>
      <c r="AI9882">
        <v>197.87219999999999</v>
      </c>
      <c r="AJ9882">
        <v>29.21754</v>
      </c>
      <c r="AK9882">
        <v>43.89123</v>
      </c>
    </row>
    <row r="9883" spans="1:37" x14ac:dyDescent="0.3">
      <c r="A9883">
        <v>9882</v>
      </c>
      <c r="B9883">
        <v>0</v>
      </c>
      <c r="C9883">
        <v>10.229200000000001</v>
      </c>
      <c r="D9883">
        <v>5.3250000000000002</v>
      </c>
      <c r="E9883" t="s">
        <v>14965</v>
      </c>
      <c r="F9883" t="s">
        <v>14966</v>
      </c>
      <c r="G9883" t="s">
        <v>39</v>
      </c>
      <c r="H9883">
        <v>1990</v>
      </c>
      <c r="I9883">
        <v>19.033100000000001</v>
      </c>
      <c r="J9883">
        <v>9.9</v>
      </c>
      <c r="K9883">
        <v>76</v>
      </c>
      <c r="L9883">
        <v>9.1099650000000008</v>
      </c>
      <c r="M9883">
        <v>26.36655</v>
      </c>
      <c r="N9883">
        <v>13.36655</v>
      </c>
      <c r="O9883">
        <v>13</v>
      </c>
      <c r="P9883">
        <v>17.966550000000002</v>
      </c>
      <c r="Q9883">
        <v>19.666550000000001</v>
      </c>
      <c r="R9883">
        <v>20.166550000000001</v>
      </c>
      <c r="S9883">
        <v>17.833100000000002</v>
      </c>
      <c r="T9883">
        <v>1900.673</v>
      </c>
      <c r="U9883">
        <v>329.33449999999999</v>
      </c>
      <c r="V9883">
        <v>11</v>
      </c>
      <c r="W9883">
        <v>65</v>
      </c>
      <c r="X9883">
        <v>847.33450000000005</v>
      </c>
      <c r="Y9883">
        <v>63.334499999999998</v>
      </c>
      <c r="Z9883">
        <v>344.66899999999998</v>
      </c>
      <c r="AA9883">
        <v>838.33799999999997</v>
      </c>
      <c r="AB9883">
        <v>223.58920000000001</v>
      </c>
      <c r="AC9883">
        <v>8.7203960000000001E-3</v>
      </c>
      <c r="AD9883">
        <v>18.41291</v>
      </c>
      <c r="AE9883">
        <v>0.56376199999999999</v>
      </c>
      <c r="AF9883">
        <v>1614.2260000000001</v>
      </c>
      <c r="AG9883">
        <f>IFERROR(AH9883*0.1, "N/A")</f>
        <v>5.3415059999999999</v>
      </c>
      <c r="AH9883">
        <v>53.415059999999997</v>
      </c>
      <c r="AI9883">
        <v>255.55109999999999</v>
      </c>
      <c r="AJ9883">
        <v>35.187390000000001</v>
      </c>
      <c r="AK9883">
        <v>32.432569999999998</v>
      </c>
    </row>
    <row r="9884" spans="1:37" x14ac:dyDescent="0.3">
      <c r="A9884">
        <v>9883</v>
      </c>
      <c r="B9884">
        <v>0</v>
      </c>
      <c r="C9884">
        <v>10.229200000000001</v>
      </c>
      <c r="D9884">
        <v>5.3250000000000002</v>
      </c>
      <c r="E9884" t="s">
        <v>14965</v>
      </c>
      <c r="F9884" t="s">
        <v>14967</v>
      </c>
      <c r="G9884" t="s">
        <v>37</v>
      </c>
      <c r="H9884">
        <v>1990</v>
      </c>
      <c r="I9884">
        <v>19.033100000000001</v>
      </c>
      <c r="J9884">
        <v>9.9</v>
      </c>
      <c r="K9884">
        <v>76</v>
      </c>
      <c r="L9884">
        <v>9.1099650000000008</v>
      </c>
      <c r="M9884">
        <v>26.36655</v>
      </c>
      <c r="N9884">
        <v>13.36655</v>
      </c>
      <c r="O9884">
        <v>13</v>
      </c>
      <c r="P9884">
        <v>17.966550000000002</v>
      </c>
      <c r="Q9884">
        <v>19.666550000000001</v>
      </c>
      <c r="R9884">
        <v>20.166550000000001</v>
      </c>
      <c r="S9884">
        <v>17.833100000000002</v>
      </c>
      <c r="T9884">
        <v>1900.673</v>
      </c>
      <c r="U9884">
        <v>329.33449999999999</v>
      </c>
      <c r="V9884">
        <v>11</v>
      </c>
      <c r="W9884">
        <v>65</v>
      </c>
      <c r="X9884">
        <v>847.33450000000005</v>
      </c>
      <c r="Y9884">
        <v>63.334499999999998</v>
      </c>
      <c r="Z9884">
        <v>344.66899999999998</v>
      </c>
      <c r="AA9884">
        <v>838.33799999999997</v>
      </c>
      <c r="AB9884">
        <v>223.58920000000001</v>
      </c>
      <c r="AC9884">
        <v>8.7203960000000001E-3</v>
      </c>
      <c r="AD9884">
        <v>18.41291</v>
      </c>
      <c r="AE9884">
        <v>0.56376199999999999</v>
      </c>
      <c r="AF9884">
        <v>1614.2260000000001</v>
      </c>
      <c r="AG9884">
        <f>IFERROR(AH9884*0.1, "N/A")</f>
        <v>5.3415059999999999</v>
      </c>
      <c r="AH9884">
        <v>53.415059999999997</v>
      </c>
      <c r="AI9884">
        <v>255.55109999999999</v>
      </c>
      <c r="AJ9884">
        <v>35.187390000000001</v>
      </c>
      <c r="AK9884">
        <v>32.432569999999998</v>
      </c>
    </row>
    <row r="9885" spans="1:37" x14ac:dyDescent="0.3">
      <c r="A9885">
        <v>9884</v>
      </c>
      <c r="B9885">
        <v>0</v>
      </c>
      <c r="C9885">
        <v>10.229200000000001</v>
      </c>
      <c r="D9885">
        <v>5.3250000000000002</v>
      </c>
      <c r="E9885" t="s">
        <v>14965</v>
      </c>
      <c r="F9885" t="s">
        <v>14968</v>
      </c>
      <c r="G9885" t="s">
        <v>2420</v>
      </c>
      <c r="H9885">
        <v>1990</v>
      </c>
      <c r="I9885">
        <v>19.033100000000001</v>
      </c>
      <c r="J9885">
        <v>9.9</v>
      </c>
      <c r="K9885">
        <v>76</v>
      </c>
      <c r="L9885">
        <v>9.1099650000000008</v>
      </c>
      <c r="M9885">
        <v>26.36655</v>
      </c>
      <c r="N9885">
        <v>13.36655</v>
      </c>
      <c r="O9885">
        <v>13</v>
      </c>
      <c r="P9885">
        <v>17.966550000000002</v>
      </c>
      <c r="Q9885">
        <v>19.666550000000001</v>
      </c>
      <c r="R9885">
        <v>20.166550000000001</v>
      </c>
      <c r="S9885">
        <v>17.833100000000002</v>
      </c>
      <c r="T9885">
        <v>1900.673</v>
      </c>
      <c r="U9885">
        <v>329.33449999999999</v>
      </c>
      <c r="V9885">
        <v>11</v>
      </c>
      <c r="W9885">
        <v>65</v>
      </c>
      <c r="X9885">
        <v>847.33450000000005</v>
      </c>
      <c r="Y9885">
        <v>63.334499999999998</v>
      </c>
      <c r="Z9885">
        <v>344.66899999999998</v>
      </c>
      <c r="AA9885">
        <v>838.33799999999997</v>
      </c>
      <c r="AB9885">
        <v>223.58920000000001</v>
      </c>
      <c r="AC9885">
        <v>8.7203960000000001E-3</v>
      </c>
      <c r="AD9885">
        <v>18.41291</v>
      </c>
      <c r="AE9885">
        <v>0.56376199999999999</v>
      </c>
      <c r="AF9885">
        <v>1614.2260000000001</v>
      </c>
      <c r="AG9885">
        <f>IFERROR(AH9885*0.1, "N/A")</f>
        <v>5.3415059999999999</v>
      </c>
      <c r="AH9885">
        <v>53.415059999999997</v>
      </c>
      <c r="AI9885">
        <v>255.55109999999999</v>
      </c>
      <c r="AJ9885">
        <v>35.187390000000001</v>
      </c>
      <c r="AK9885">
        <v>32.432569999999998</v>
      </c>
    </row>
    <row r="9886" spans="1:37" x14ac:dyDescent="0.3">
      <c r="A9886">
        <v>9885</v>
      </c>
      <c r="B9886">
        <v>0</v>
      </c>
      <c r="C9886">
        <v>14.0542</v>
      </c>
      <c r="D9886">
        <v>5.3291700000000004</v>
      </c>
      <c r="E9886" t="s">
        <v>14969</v>
      </c>
      <c r="F9886" t="s">
        <v>14970</v>
      </c>
      <c r="G9886" t="s">
        <v>39</v>
      </c>
      <c r="H9886">
        <v>1990</v>
      </c>
      <c r="I9886">
        <v>23.1</v>
      </c>
      <c r="J9886">
        <v>10.7</v>
      </c>
      <c r="K9886">
        <v>73</v>
      </c>
      <c r="L9886">
        <v>7.84</v>
      </c>
      <c r="M9886">
        <v>30.8</v>
      </c>
      <c r="N9886">
        <v>16.3</v>
      </c>
      <c r="O9886">
        <v>14.5</v>
      </c>
      <c r="P9886">
        <v>22.4</v>
      </c>
      <c r="Q9886">
        <v>23.4</v>
      </c>
      <c r="R9886">
        <v>24.2</v>
      </c>
      <c r="S9886">
        <v>22.1</v>
      </c>
      <c r="T9886">
        <v>1545</v>
      </c>
      <c r="U9886">
        <v>254</v>
      </c>
      <c r="V9886">
        <v>11</v>
      </c>
      <c r="W9886">
        <v>64</v>
      </c>
      <c r="X9886">
        <v>699</v>
      </c>
      <c r="Y9886">
        <v>51</v>
      </c>
      <c r="Z9886">
        <v>247</v>
      </c>
      <c r="AA9886">
        <v>605</v>
      </c>
      <c r="AB9886">
        <v>4.4742559999999996</v>
      </c>
      <c r="AC9886">
        <v>16.440529999999999</v>
      </c>
      <c r="AD9886">
        <v>2.7752780000000001</v>
      </c>
      <c r="AE9886">
        <v>0.26567010000000002</v>
      </c>
      <c r="AF9886">
        <v>830.16989999999998</v>
      </c>
      <c r="AG9886">
        <f>IFERROR(AH9886*0.1, "N/A")</f>
        <v>5.2441330000000006</v>
      </c>
      <c r="AH9886">
        <v>52.441330000000001</v>
      </c>
      <c r="AI9886">
        <v>109.71080000000001</v>
      </c>
      <c r="AJ9886">
        <v>29.558669999999999</v>
      </c>
      <c r="AK9886">
        <v>50.441330000000001</v>
      </c>
    </row>
    <row r="9887" spans="1:37" x14ac:dyDescent="0.3">
      <c r="A9887">
        <v>9886</v>
      </c>
      <c r="B9887">
        <v>0</v>
      </c>
      <c r="C9887">
        <v>14.0542</v>
      </c>
      <c r="D9887">
        <v>5.3291700000000004</v>
      </c>
      <c r="E9887" t="s">
        <v>14969</v>
      </c>
      <c r="F9887" t="s">
        <v>14971</v>
      </c>
      <c r="G9887" t="s">
        <v>37</v>
      </c>
      <c r="H9887">
        <v>1990</v>
      </c>
      <c r="I9887">
        <v>23.1</v>
      </c>
      <c r="J9887">
        <v>10.7</v>
      </c>
      <c r="K9887">
        <v>73</v>
      </c>
      <c r="L9887">
        <v>7.84</v>
      </c>
      <c r="M9887">
        <v>30.8</v>
      </c>
      <c r="N9887">
        <v>16.3</v>
      </c>
      <c r="O9887">
        <v>14.5</v>
      </c>
      <c r="P9887">
        <v>22.4</v>
      </c>
      <c r="Q9887">
        <v>23.4</v>
      </c>
      <c r="R9887">
        <v>24.2</v>
      </c>
      <c r="S9887">
        <v>22.1</v>
      </c>
      <c r="T9887">
        <v>1545</v>
      </c>
      <c r="U9887">
        <v>254</v>
      </c>
      <c r="V9887">
        <v>11</v>
      </c>
      <c r="W9887">
        <v>64</v>
      </c>
      <c r="X9887">
        <v>699</v>
      </c>
      <c r="Y9887">
        <v>51</v>
      </c>
      <c r="Z9887">
        <v>247</v>
      </c>
      <c r="AA9887">
        <v>605</v>
      </c>
      <c r="AB9887">
        <v>4.4742559999999996</v>
      </c>
      <c r="AC9887">
        <v>16.440529999999999</v>
      </c>
      <c r="AD9887">
        <v>2.7752780000000001</v>
      </c>
      <c r="AE9887">
        <v>0.26567010000000002</v>
      </c>
      <c r="AF9887">
        <v>830.16989999999998</v>
      </c>
      <c r="AG9887">
        <f>IFERROR(AH9887*0.1, "N/A")</f>
        <v>5.2441330000000006</v>
      </c>
      <c r="AH9887">
        <v>52.441330000000001</v>
      </c>
      <c r="AI9887">
        <v>109.71080000000001</v>
      </c>
      <c r="AJ9887">
        <v>29.558669999999999</v>
      </c>
      <c r="AK9887">
        <v>50.441330000000001</v>
      </c>
    </row>
    <row r="9888" spans="1:37" x14ac:dyDescent="0.3">
      <c r="A9888">
        <v>9887</v>
      </c>
      <c r="B9888">
        <v>0</v>
      </c>
      <c r="C9888">
        <v>14.0542</v>
      </c>
      <c r="D9888">
        <v>5.3291700000000004</v>
      </c>
      <c r="E9888" t="s">
        <v>14969</v>
      </c>
      <c r="F9888" t="s">
        <v>14972</v>
      </c>
      <c r="G9888" t="s">
        <v>2420</v>
      </c>
      <c r="H9888">
        <v>1990</v>
      </c>
      <c r="I9888">
        <v>23.1</v>
      </c>
      <c r="J9888">
        <v>10.7</v>
      </c>
      <c r="K9888">
        <v>73</v>
      </c>
      <c r="L9888">
        <v>7.84</v>
      </c>
      <c r="M9888">
        <v>30.8</v>
      </c>
      <c r="N9888">
        <v>16.3</v>
      </c>
      <c r="O9888">
        <v>14.5</v>
      </c>
      <c r="P9888">
        <v>22.4</v>
      </c>
      <c r="Q9888">
        <v>23.4</v>
      </c>
      <c r="R9888">
        <v>24.2</v>
      </c>
      <c r="S9888">
        <v>22.1</v>
      </c>
      <c r="T9888">
        <v>1545</v>
      </c>
      <c r="U9888">
        <v>254</v>
      </c>
      <c r="V9888">
        <v>11</v>
      </c>
      <c r="W9888">
        <v>64</v>
      </c>
      <c r="X9888">
        <v>699</v>
      </c>
      <c r="Y9888">
        <v>51</v>
      </c>
      <c r="Z9888">
        <v>247</v>
      </c>
      <c r="AA9888">
        <v>605</v>
      </c>
      <c r="AB9888">
        <v>4.4742559999999996</v>
      </c>
      <c r="AC9888">
        <v>16.440529999999999</v>
      </c>
      <c r="AD9888">
        <v>2.7752780000000001</v>
      </c>
      <c r="AE9888">
        <v>0.26567010000000002</v>
      </c>
      <c r="AF9888">
        <v>830.16989999999998</v>
      </c>
      <c r="AG9888">
        <f>IFERROR(AH9888*0.1, "N/A")</f>
        <v>5.2441330000000006</v>
      </c>
      <c r="AH9888">
        <v>52.441330000000001</v>
      </c>
      <c r="AI9888">
        <v>109.71080000000001</v>
      </c>
      <c r="AJ9888">
        <v>29.558669999999999</v>
      </c>
      <c r="AK9888">
        <v>50.441330000000001</v>
      </c>
    </row>
    <row r="9889" spans="1:37" x14ac:dyDescent="0.3">
      <c r="A9889">
        <v>9888</v>
      </c>
      <c r="B9889">
        <v>0</v>
      </c>
      <c r="C9889">
        <v>12.238899999999999</v>
      </c>
      <c r="D9889">
        <v>5.3583299999999996</v>
      </c>
      <c r="E9889" t="s">
        <v>14973</v>
      </c>
      <c r="F9889" t="s">
        <v>14974</v>
      </c>
      <c r="G9889" t="s">
        <v>37</v>
      </c>
      <c r="H9889">
        <v>1990</v>
      </c>
      <c r="I9889">
        <v>24.7</v>
      </c>
      <c r="J9889">
        <v>9.8000000000000007</v>
      </c>
      <c r="K9889">
        <v>75</v>
      </c>
      <c r="L9889">
        <v>10.065910000000001</v>
      </c>
      <c r="M9889">
        <v>32.299999999999997</v>
      </c>
      <c r="N9889">
        <v>19.399999999999999</v>
      </c>
      <c r="O9889">
        <v>12.9</v>
      </c>
      <c r="P9889">
        <v>23.6</v>
      </c>
      <c r="Q9889">
        <v>25.5</v>
      </c>
      <c r="R9889">
        <v>25.9</v>
      </c>
      <c r="S9889">
        <v>23.3</v>
      </c>
      <c r="T9889">
        <v>1536</v>
      </c>
      <c r="U9889">
        <v>288</v>
      </c>
      <c r="V9889">
        <v>5</v>
      </c>
      <c r="W9889">
        <v>72</v>
      </c>
      <c r="X9889">
        <v>745.40909999999997</v>
      </c>
      <c r="Y9889">
        <v>32</v>
      </c>
      <c r="Z9889">
        <v>227.18180000000001</v>
      </c>
      <c r="AA9889">
        <v>611.81820000000005</v>
      </c>
      <c r="AB9889">
        <v>6.4514019999999999</v>
      </c>
      <c r="AC9889">
        <v>8.7939579999999993E-3</v>
      </c>
      <c r="AD9889">
        <v>2.5640589999999999</v>
      </c>
      <c r="AE9889">
        <v>0.1033318</v>
      </c>
      <c r="AF9889">
        <v>644.63639999999998</v>
      </c>
      <c r="AG9889">
        <f>IFERROR(AH9889*0.1, "N/A")</f>
        <v>5.3000000000000007</v>
      </c>
      <c r="AH9889">
        <v>53</v>
      </c>
      <c r="AI9889">
        <v>163.55609999999999</v>
      </c>
      <c r="AJ9889">
        <v>28.010490000000001</v>
      </c>
      <c r="AK9889">
        <v>53.961539999999999</v>
      </c>
    </row>
    <row r="9890" spans="1:37" x14ac:dyDescent="0.3">
      <c r="A9890">
        <v>9889</v>
      </c>
      <c r="B9890">
        <v>0</v>
      </c>
      <c r="C9890">
        <v>12.238899999999999</v>
      </c>
      <c r="D9890">
        <v>5.3583299999999996</v>
      </c>
      <c r="E9890" t="s">
        <v>14973</v>
      </c>
      <c r="F9890" t="s">
        <v>14975</v>
      </c>
      <c r="G9890" t="s">
        <v>2420</v>
      </c>
      <c r="H9890">
        <v>1990</v>
      </c>
      <c r="I9890">
        <v>24.7</v>
      </c>
      <c r="J9890">
        <v>9.8000000000000007</v>
      </c>
      <c r="K9890">
        <v>75</v>
      </c>
      <c r="L9890">
        <v>10.065910000000001</v>
      </c>
      <c r="M9890">
        <v>32.299999999999997</v>
      </c>
      <c r="N9890">
        <v>19.399999999999999</v>
      </c>
      <c r="O9890">
        <v>12.9</v>
      </c>
      <c r="P9890">
        <v>23.6</v>
      </c>
      <c r="Q9890">
        <v>25.5</v>
      </c>
      <c r="R9890">
        <v>25.9</v>
      </c>
      <c r="S9890">
        <v>23.3</v>
      </c>
      <c r="T9890">
        <v>1536</v>
      </c>
      <c r="U9890">
        <v>288</v>
      </c>
      <c r="V9890">
        <v>5</v>
      </c>
      <c r="W9890">
        <v>72</v>
      </c>
      <c r="X9890">
        <v>745.40909999999997</v>
      </c>
      <c r="Y9890">
        <v>32</v>
      </c>
      <c r="Z9890">
        <v>227.18180000000001</v>
      </c>
      <c r="AA9890">
        <v>611.81820000000005</v>
      </c>
      <c r="AB9890">
        <v>6.4514019999999999</v>
      </c>
      <c r="AC9890">
        <v>8.7939579999999993E-3</v>
      </c>
      <c r="AD9890">
        <v>2.5640589999999999</v>
      </c>
      <c r="AE9890">
        <v>0.1033318</v>
      </c>
      <c r="AF9890">
        <v>644.63639999999998</v>
      </c>
      <c r="AG9890">
        <f>IFERROR(AH9890*0.1, "N/A")</f>
        <v>5.3000000000000007</v>
      </c>
      <c r="AH9890">
        <v>53</v>
      </c>
      <c r="AI9890">
        <v>163.55609999999999</v>
      </c>
      <c r="AJ9890">
        <v>28.010490000000001</v>
      </c>
      <c r="AK9890">
        <v>53.961539999999999</v>
      </c>
    </row>
    <row r="9891" spans="1:37" x14ac:dyDescent="0.3">
      <c r="A9891">
        <v>9890</v>
      </c>
      <c r="B9891">
        <v>0</v>
      </c>
      <c r="C9891">
        <v>10.416700000000001</v>
      </c>
      <c r="D9891">
        <v>5.3666700000000001</v>
      </c>
      <c r="E9891" t="s">
        <v>14976</v>
      </c>
      <c r="F9891" t="s">
        <v>14977</v>
      </c>
      <c r="G9891" t="s">
        <v>39</v>
      </c>
      <c r="H9891">
        <v>1990</v>
      </c>
      <c r="I9891">
        <v>19.517309999999998</v>
      </c>
      <c r="J9891">
        <v>10</v>
      </c>
      <c r="K9891">
        <v>75</v>
      </c>
      <c r="L9891">
        <v>8.9526219999999999</v>
      </c>
      <c r="M9891">
        <v>27.030069999999998</v>
      </c>
      <c r="N9891">
        <v>13.793530000000001</v>
      </c>
      <c r="O9891">
        <v>13.23654</v>
      </c>
      <c r="P9891">
        <v>18.517309999999998</v>
      </c>
      <c r="Q9891">
        <v>20.167310000000001</v>
      </c>
      <c r="R9891">
        <v>20.653849999999998</v>
      </c>
      <c r="S9891">
        <v>18.393529999999998</v>
      </c>
      <c r="T9891">
        <v>1873.1610000000001</v>
      </c>
      <c r="U9891">
        <v>323.23079999999999</v>
      </c>
      <c r="V9891">
        <v>10.23077</v>
      </c>
      <c r="W9891">
        <v>66</v>
      </c>
      <c r="X9891">
        <v>846.76220000000001</v>
      </c>
      <c r="Y9891">
        <v>57.461539999999999</v>
      </c>
      <c r="Z9891">
        <v>322.30239999999998</v>
      </c>
      <c r="AA9891">
        <v>826.69230000000005</v>
      </c>
      <c r="AB9891">
        <v>12.941459999999999</v>
      </c>
      <c r="AC9891">
        <v>1.3287480000000001E-2</v>
      </c>
      <c r="AD9891">
        <v>5.1180219999999998</v>
      </c>
      <c r="AE9891">
        <v>0.57830389999999998</v>
      </c>
      <c r="AF9891">
        <v>1493.883</v>
      </c>
      <c r="AG9891">
        <f>IFERROR(AH9891*0.1, "N/A")</f>
        <v>5.4</v>
      </c>
      <c r="AH9891">
        <v>54</v>
      </c>
      <c r="AI9891">
        <v>272.3064</v>
      </c>
      <c r="AJ9891">
        <v>34.365380000000002</v>
      </c>
      <c r="AK9891">
        <v>34.538460000000001</v>
      </c>
    </row>
    <row r="9892" spans="1:37" x14ac:dyDescent="0.3">
      <c r="A9892">
        <v>9891</v>
      </c>
      <c r="B9892">
        <v>0</v>
      </c>
      <c r="C9892">
        <v>10.416700000000001</v>
      </c>
      <c r="D9892">
        <v>5.3666700000000001</v>
      </c>
      <c r="E9892" t="s">
        <v>14976</v>
      </c>
      <c r="F9892" t="s">
        <v>14978</v>
      </c>
      <c r="G9892" t="s">
        <v>37</v>
      </c>
      <c r="H9892">
        <v>1990</v>
      </c>
      <c r="I9892">
        <v>19.517309999999998</v>
      </c>
      <c r="J9892">
        <v>10</v>
      </c>
      <c r="K9892">
        <v>75</v>
      </c>
      <c r="L9892">
        <v>8.9526219999999999</v>
      </c>
      <c r="M9892">
        <v>27.030069999999998</v>
      </c>
      <c r="N9892">
        <v>13.793530000000001</v>
      </c>
      <c r="O9892">
        <v>13.23654</v>
      </c>
      <c r="P9892">
        <v>18.517309999999998</v>
      </c>
      <c r="Q9892">
        <v>20.167310000000001</v>
      </c>
      <c r="R9892">
        <v>20.653849999999998</v>
      </c>
      <c r="S9892">
        <v>18.393529999999998</v>
      </c>
      <c r="T9892">
        <v>1873.1610000000001</v>
      </c>
      <c r="U9892">
        <v>323.23079999999999</v>
      </c>
      <c r="V9892">
        <v>10.23077</v>
      </c>
      <c r="W9892">
        <v>66</v>
      </c>
      <c r="X9892">
        <v>846.76220000000001</v>
      </c>
      <c r="Y9892">
        <v>57.461539999999999</v>
      </c>
      <c r="Z9892">
        <v>322.30239999999998</v>
      </c>
      <c r="AA9892">
        <v>826.69230000000005</v>
      </c>
      <c r="AB9892">
        <v>12.941459999999999</v>
      </c>
      <c r="AC9892">
        <v>1.3287480000000001E-2</v>
      </c>
      <c r="AD9892">
        <v>5.1180219999999998</v>
      </c>
      <c r="AE9892">
        <v>0.57830389999999998</v>
      </c>
      <c r="AF9892">
        <v>1493.883</v>
      </c>
      <c r="AG9892">
        <f>IFERROR(AH9892*0.1, "N/A")</f>
        <v>5.4</v>
      </c>
      <c r="AH9892">
        <v>54</v>
      </c>
      <c r="AI9892">
        <v>272.3064</v>
      </c>
      <c r="AJ9892">
        <v>34.365380000000002</v>
      </c>
      <c r="AK9892">
        <v>34.538460000000001</v>
      </c>
    </row>
    <row r="9893" spans="1:37" x14ac:dyDescent="0.3">
      <c r="A9893">
        <v>9892</v>
      </c>
      <c r="B9893">
        <v>0</v>
      </c>
      <c r="C9893">
        <v>10.416700000000001</v>
      </c>
      <c r="D9893">
        <v>5.3666700000000001</v>
      </c>
      <c r="E9893" t="s">
        <v>14976</v>
      </c>
      <c r="F9893" t="s">
        <v>14979</v>
      </c>
      <c r="G9893" t="s">
        <v>2420</v>
      </c>
      <c r="H9893">
        <v>1990</v>
      </c>
      <c r="I9893">
        <v>19.517309999999998</v>
      </c>
      <c r="J9893">
        <v>10</v>
      </c>
      <c r="K9893">
        <v>75</v>
      </c>
      <c r="L9893">
        <v>8.9526219999999999</v>
      </c>
      <c r="M9893">
        <v>27.030069999999998</v>
      </c>
      <c r="N9893">
        <v>13.793530000000001</v>
      </c>
      <c r="O9893">
        <v>13.23654</v>
      </c>
      <c r="P9893">
        <v>18.517309999999998</v>
      </c>
      <c r="Q9893">
        <v>20.167310000000001</v>
      </c>
      <c r="R9893">
        <v>20.653849999999998</v>
      </c>
      <c r="S9893">
        <v>18.393529999999998</v>
      </c>
      <c r="T9893">
        <v>1873.1610000000001</v>
      </c>
      <c r="U9893">
        <v>323.23079999999999</v>
      </c>
      <c r="V9893">
        <v>10.23077</v>
      </c>
      <c r="W9893">
        <v>66</v>
      </c>
      <c r="X9893">
        <v>846.76220000000001</v>
      </c>
      <c r="Y9893">
        <v>57.461539999999999</v>
      </c>
      <c r="Z9893">
        <v>322.30239999999998</v>
      </c>
      <c r="AA9893">
        <v>826.69230000000005</v>
      </c>
      <c r="AB9893">
        <v>12.941459999999999</v>
      </c>
      <c r="AC9893">
        <v>1.3287480000000001E-2</v>
      </c>
      <c r="AD9893">
        <v>5.1180219999999998</v>
      </c>
      <c r="AE9893">
        <v>0.57830389999999998</v>
      </c>
      <c r="AF9893">
        <v>1493.883</v>
      </c>
      <c r="AG9893">
        <f>IFERROR(AH9893*0.1, "N/A")</f>
        <v>5.4</v>
      </c>
      <c r="AH9893">
        <v>54</v>
      </c>
      <c r="AI9893">
        <v>272.3064</v>
      </c>
      <c r="AJ9893">
        <v>34.365380000000002</v>
      </c>
      <c r="AK9893">
        <v>34.538460000000001</v>
      </c>
    </row>
    <row r="9894" spans="1:37" x14ac:dyDescent="0.3">
      <c r="A9894">
        <v>9893</v>
      </c>
      <c r="B9894">
        <v>0</v>
      </c>
      <c r="C9894">
        <v>10.333299999999999</v>
      </c>
      <c r="D9894">
        <v>5.38889</v>
      </c>
      <c r="E9894" t="s">
        <v>14980</v>
      </c>
      <c r="F9894" t="s">
        <v>14981</v>
      </c>
      <c r="G9894" t="s">
        <v>39</v>
      </c>
      <c r="H9894">
        <v>1990</v>
      </c>
      <c r="I9894">
        <v>19.100000000000001</v>
      </c>
      <c r="J9894">
        <v>10</v>
      </c>
      <c r="K9894">
        <v>75</v>
      </c>
      <c r="L9894">
        <v>9.3065850000000001</v>
      </c>
      <c r="M9894">
        <v>26.6</v>
      </c>
      <c r="N9894">
        <v>13.34869</v>
      </c>
      <c r="O9894">
        <v>13.25131</v>
      </c>
      <c r="P9894">
        <v>18.048690000000001</v>
      </c>
      <c r="Q9894">
        <v>19.848690000000001</v>
      </c>
      <c r="R9894">
        <v>20.24869</v>
      </c>
      <c r="S9894">
        <v>17.899999999999999</v>
      </c>
      <c r="T9894">
        <v>1888.0260000000001</v>
      </c>
      <c r="U9894">
        <v>326.51310000000001</v>
      </c>
      <c r="V9894">
        <v>11</v>
      </c>
      <c r="W9894">
        <v>66</v>
      </c>
      <c r="X9894">
        <v>845.51310000000001</v>
      </c>
      <c r="Y9894">
        <v>61</v>
      </c>
      <c r="Z9894">
        <v>333.02629999999999</v>
      </c>
      <c r="AA9894">
        <v>836.02629999999999</v>
      </c>
      <c r="AB9894">
        <v>54.125410000000002</v>
      </c>
      <c r="AC9894">
        <v>1.1104320000000001E-2</v>
      </c>
      <c r="AD9894">
        <v>7.3486099999999999</v>
      </c>
      <c r="AE9894">
        <v>0.43273339999999999</v>
      </c>
      <c r="AF9894">
        <v>1588.1590000000001</v>
      </c>
      <c r="AG9894">
        <f>IFERROR(AH9894*0.1, "N/A")</f>
        <v>5.4479860000000002</v>
      </c>
      <c r="AH9894">
        <v>54.479860000000002</v>
      </c>
      <c r="AI9894">
        <v>202.6635</v>
      </c>
      <c r="AJ9894">
        <v>43.066549999999999</v>
      </c>
      <c r="AK9894">
        <v>29.80911</v>
      </c>
    </row>
    <row r="9895" spans="1:37" x14ac:dyDescent="0.3">
      <c r="A9895">
        <v>9894</v>
      </c>
      <c r="B9895">
        <v>0</v>
      </c>
      <c r="C9895">
        <v>10.333299999999999</v>
      </c>
      <c r="D9895">
        <v>5.38889</v>
      </c>
      <c r="E9895" t="s">
        <v>14980</v>
      </c>
      <c r="F9895" t="s">
        <v>14982</v>
      </c>
      <c r="G9895" t="s">
        <v>37</v>
      </c>
      <c r="H9895">
        <v>1990</v>
      </c>
      <c r="I9895">
        <v>19.100000000000001</v>
      </c>
      <c r="J9895">
        <v>10</v>
      </c>
      <c r="K9895">
        <v>75</v>
      </c>
      <c r="L9895">
        <v>9.3065850000000001</v>
      </c>
      <c r="M9895">
        <v>26.6</v>
      </c>
      <c r="N9895">
        <v>13.34869</v>
      </c>
      <c r="O9895">
        <v>13.25131</v>
      </c>
      <c r="P9895">
        <v>18.048690000000001</v>
      </c>
      <c r="Q9895">
        <v>19.848690000000001</v>
      </c>
      <c r="R9895">
        <v>20.24869</v>
      </c>
      <c r="S9895">
        <v>17.899999999999999</v>
      </c>
      <c r="T9895">
        <v>1888.0260000000001</v>
      </c>
      <c r="U9895">
        <v>326.51310000000001</v>
      </c>
      <c r="V9895">
        <v>11</v>
      </c>
      <c r="W9895">
        <v>66</v>
      </c>
      <c r="X9895">
        <v>845.51310000000001</v>
      </c>
      <c r="Y9895">
        <v>61</v>
      </c>
      <c r="Z9895">
        <v>333.02629999999999</v>
      </c>
      <c r="AA9895">
        <v>836.02629999999999</v>
      </c>
      <c r="AB9895">
        <v>54.125410000000002</v>
      </c>
      <c r="AC9895">
        <v>1.1104320000000001E-2</v>
      </c>
      <c r="AD9895">
        <v>7.3486099999999999</v>
      </c>
      <c r="AE9895">
        <v>0.43273339999999999</v>
      </c>
      <c r="AF9895">
        <v>1588.1590000000001</v>
      </c>
      <c r="AG9895">
        <f>IFERROR(AH9895*0.1, "N/A")</f>
        <v>5.4479860000000002</v>
      </c>
      <c r="AH9895">
        <v>54.479860000000002</v>
      </c>
      <c r="AI9895">
        <v>202.6635</v>
      </c>
      <c r="AJ9895">
        <v>43.066549999999999</v>
      </c>
      <c r="AK9895">
        <v>29.80911</v>
      </c>
    </row>
    <row r="9896" spans="1:37" x14ac:dyDescent="0.3">
      <c r="A9896">
        <v>9895</v>
      </c>
      <c r="B9896">
        <v>0</v>
      </c>
      <c r="C9896">
        <v>10.333299999999999</v>
      </c>
      <c r="D9896">
        <v>5.38889</v>
      </c>
      <c r="E9896" t="s">
        <v>14980</v>
      </c>
      <c r="F9896" t="s">
        <v>14983</v>
      </c>
      <c r="G9896" t="s">
        <v>2420</v>
      </c>
      <c r="H9896">
        <v>1990</v>
      </c>
      <c r="I9896">
        <v>19.100000000000001</v>
      </c>
      <c r="J9896">
        <v>10</v>
      </c>
      <c r="K9896">
        <v>75</v>
      </c>
      <c r="L9896">
        <v>9.3065850000000001</v>
      </c>
      <c r="M9896">
        <v>26.6</v>
      </c>
      <c r="N9896">
        <v>13.34869</v>
      </c>
      <c r="O9896">
        <v>13.25131</v>
      </c>
      <c r="P9896">
        <v>18.048690000000001</v>
      </c>
      <c r="Q9896">
        <v>19.848690000000001</v>
      </c>
      <c r="R9896">
        <v>20.24869</v>
      </c>
      <c r="S9896">
        <v>17.899999999999999</v>
      </c>
      <c r="T9896">
        <v>1888.0260000000001</v>
      </c>
      <c r="U9896">
        <v>326.51310000000001</v>
      </c>
      <c r="V9896">
        <v>11</v>
      </c>
      <c r="W9896">
        <v>66</v>
      </c>
      <c r="X9896">
        <v>845.51310000000001</v>
      </c>
      <c r="Y9896">
        <v>61</v>
      </c>
      <c r="Z9896">
        <v>333.02629999999999</v>
      </c>
      <c r="AA9896">
        <v>836.02629999999999</v>
      </c>
      <c r="AB9896">
        <v>54.125410000000002</v>
      </c>
      <c r="AC9896">
        <v>1.1104320000000001E-2</v>
      </c>
      <c r="AD9896">
        <v>7.3486099999999999</v>
      </c>
      <c r="AE9896">
        <v>0.43273339999999999</v>
      </c>
      <c r="AF9896">
        <v>1588.1590000000001</v>
      </c>
      <c r="AG9896">
        <f>IFERROR(AH9896*0.1, "N/A")</f>
        <v>5.4479860000000002</v>
      </c>
      <c r="AH9896">
        <v>54.479860000000002</v>
      </c>
      <c r="AI9896">
        <v>202.6635</v>
      </c>
      <c r="AJ9896">
        <v>43.066549999999999</v>
      </c>
      <c r="AK9896">
        <v>29.80911</v>
      </c>
    </row>
    <row r="9897" spans="1:37" x14ac:dyDescent="0.3">
      <c r="A9897">
        <v>9896</v>
      </c>
      <c r="B9897">
        <v>0</v>
      </c>
      <c r="C9897">
        <v>10.833299999999999</v>
      </c>
      <c r="D9897">
        <v>5.4291700000000001</v>
      </c>
      <c r="E9897" t="s">
        <v>14984</v>
      </c>
      <c r="F9897" t="s">
        <v>14985</v>
      </c>
      <c r="G9897" t="s">
        <v>39</v>
      </c>
      <c r="H9897">
        <v>1990</v>
      </c>
      <c r="I9897">
        <v>23.01906</v>
      </c>
      <c r="J9897">
        <v>10</v>
      </c>
      <c r="K9897">
        <v>75</v>
      </c>
      <c r="L9897">
        <v>8.9571319999999996</v>
      </c>
      <c r="M9897">
        <v>30.7</v>
      </c>
      <c r="N9897">
        <v>17.399999999999999</v>
      </c>
      <c r="O9897">
        <v>13.3</v>
      </c>
      <c r="P9897">
        <v>22.1</v>
      </c>
      <c r="Q9897">
        <v>23.780940000000001</v>
      </c>
      <c r="R9897">
        <v>24.2</v>
      </c>
      <c r="S9897">
        <v>21.9</v>
      </c>
      <c r="T9897">
        <v>1923.2380000000001</v>
      </c>
      <c r="U9897">
        <v>332.80939999999998</v>
      </c>
      <c r="V9897">
        <v>4</v>
      </c>
      <c r="W9897">
        <v>70</v>
      </c>
      <c r="X9897">
        <v>904.61890000000005</v>
      </c>
      <c r="Y9897">
        <v>38</v>
      </c>
      <c r="Z9897">
        <v>301</v>
      </c>
      <c r="AA9897">
        <v>892.42830000000004</v>
      </c>
      <c r="AB9897">
        <v>8.3076720000000002</v>
      </c>
      <c r="AC9897">
        <v>8.3376779999999998E-2</v>
      </c>
      <c r="AD9897">
        <v>1.1685559999999999</v>
      </c>
      <c r="AE9897">
        <v>0.29738389999999998</v>
      </c>
      <c r="AF9897">
        <v>927.38109999999995</v>
      </c>
      <c r="AG9897">
        <f>IFERROR(AH9897*0.1, "N/A")</f>
        <v>5.4</v>
      </c>
      <c r="AH9897">
        <v>54</v>
      </c>
      <c r="AI9897">
        <v>95.140219999999999</v>
      </c>
      <c r="AJ9897">
        <v>36</v>
      </c>
      <c r="AK9897">
        <v>35</v>
      </c>
    </row>
    <row r="9898" spans="1:37" x14ac:dyDescent="0.3">
      <c r="A9898">
        <v>9897</v>
      </c>
      <c r="B9898">
        <v>0</v>
      </c>
      <c r="C9898">
        <v>10.833299999999999</v>
      </c>
      <c r="D9898">
        <v>5.4291700000000001</v>
      </c>
      <c r="E9898" t="s">
        <v>14984</v>
      </c>
      <c r="F9898" t="s">
        <v>14986</v>
      </c>
      <c r="G9898" t="s">
        <v>37</v>
      </c>
      <c r="H9898">
        <v>1990</v>
      </c>
      <c r="I9898">
        <v>23.01906</v>
      </c>
      <c r="J9898">
        <v>10</v>
      </c>
      <c r="K9898">
        <v>75</v>
      </c>
      <c r="L9898">
        <v>8.9571319999999996</v>
      </c>
      <c r="M9898">
        <v>30.7</v>
      </c>
      <c r="N9898">
        <v>17.399999999999999</v>
      </c>
      <c r="O9898">
        <v>13.3</v>
      </c>
      <c r="P9898">
        <v>22.1</v>
      </c>
      <c r="Q9898">
        <v>23.780940000000001</v>
      </c>
      <c r="R9898">
        <v>24.2</v>
      </c>
      <c r="S9898">
        <v>21.9</v>
      </c>
      <c r="T9898">
        <v>1923.2380000000001</v>
      </c>
      <c r="U9898">
        <v>332.80939999999998</v>
      </c>
      <c r="V9898">
        <v>4</v>
      </c>
      <c r="W9898">
        <v>70</v>
      </c>
      <c r="X9898">
        <v>904.61890000000005</v>
      </c>
      <c r="Y9898">
        <v>38</v>
      </c>
      <c r="Z9898">
        <v>301</v>
      </c>
      <c r="AA9898">
        <v>892.42830000000004</v>
      </c>
      <c r="AB9898">
        <v>8.3076720000000002</v>
      </c>
      <c r="AC9898">
        <v>8.3376779999999998E-2</v>
      </c>
      <c r="AD9898">
        <v>1.1685559999999999</v>
      </c>
      <c r="AE9898">
        <v>0.29738389999999998</v>
      </c>
      <c r="AF9898">
        <v>927.38109999999995</v>
      </c>
      <c r="AG9898">
        <f>IFERROR(AH9898*0.1, "N/A")</f>
        <v>5.4</v>
      </c>
      <c r="AH9898">
        <v>54</v>
      </c>
      <c r="AI9898">
        <v>95.140219999999999</v>
      </c>
      <c r="AJ9898">
        <v>36</v>
      </c>
      <c r="AK9898">
        <v>35</v>
      </c>
    </row>
    <row r="9899" spans="1:37" x14ac:dyDescent="0.3">
      <c r="A9899">
        <v>9898</v>
      </c>
      <c r="B9899">
        <v>0</v>
      </c>
      <c r="C9899">
        <v>10.833299999999999</v>
      </c>
      <c r="D9899">
        <v>5.4291700000000001</v>
      </c>
      <c r="E9899" t="s">
        <v>14984</v>
      </c>
      <c r="F9899" t="s">
        <v>14987</v>
      </c>
      <c r="G9899" t="s">
        <v>2420</v>
      </c>
      <c r="H9899">
        <v>1990</v>
      </c>
      <c r="I9899">
        <v>23.01906</v>
      </c>
      <c r="J9899">
        <v>10</v>
      </c>
      <c r="K9899">
        <v>75</v>
      </c>
      <c r="L9899">
        <v>8.9571319999999996</v>
      </c>
      <c r="M9899">
        <v>30.7</v>
      </c>
      <c r="N9899">
        <v>17.399999999999999</v>
      </c>
      <c r="O9899">
        <v>13.3</v>
      </c>
      <c r="P9899">
        <v>22.1</v>
      </c>
      <c r="Q9899">
        <v>23.780940000000001</v>
      </c>
      <c r="R9899">
        <v>24.2</v>
      </c>
      <c r="S9899">
        <v>21.9</v>
      </c>
      <c r="T9899">
        <v>1923.2380000000001</v>
      </c>
      <c r="U9899">
        <v>332.80939999999998</v>
      </c>
      <c r="V9899">
        <v>4</v>
      </c>
      <c r="W9899">
        <v>70</v>
      </c>
      <c r="X9899">
        <v>904.61890000000005</v>
      </c>
      <c r="Y9899">
        <v>38</v>
      </c>
      <c r="Z9899">
        <v>301</v>
      </c>
      <c r="AA9899">
        <v>892.42830000000004</v>
      </c>
      <c r="AB9899">
        <v>8.3076720000000002</v>
      </c>
      <c r="AC9899">
        <v>8.3376779999999998E-2</v>
      </c>
      <c r="AD9899">
        <v>1.1685559999999999</v>
      </c>
      <c r="AE9899">
        <v>0.29738389999999998</v>
      </c>
      <c r="AF9899">
        <v>927.38109999999995</v>
      </c>
      <c r="AG9899">
        <f>IFERROR(AH9899*0.1, "N/A")</f>
        <v>5.4</v>
      </c>
      <c r="AH9899">
        <v>54</v>
      </c>
      <c r="AI9899">
        <v>95.140219999999999</v>
      </c>
      <c r="AJ9899">
        <v>36</v>
      </c>
      <c r="AK9899">
        <v>35</v>
      </c>
    </row>
    <row r="9900" spans="1:37" x14ac:dyDescent="0.3">
      <c r="A9900">
        <v>9899</v>
      </c>
      <c r="B9900">
        <v>0</v>
      </c>
      <c r="C9900">
        <v>9.9833300000000005</v>
      </c>
      <c r="D9900">
        <v>5.4333299999999998</v>
      </c>
      <c r="E9900" t="s">
        <v>14988</v>
      </c>
      <c r="F9900" t="s">
        <v>14989</v>
      </c>
      <c r="G9900" t="s">
        <v>39</v>
      </c>
      <c r="H9900">
        <v>1990</v>
      </c>
      <c r="I9900">
        <v>20.054369999999999</v>
      </c>
      <c r="J9900">
        <v>9.8166080000000004</v>
      </c>
      <c r="K9900">
        <v>75.166079999999994</v>
      </c>
      <c r="L9900">
        <v>9.2650869999999994</v>
      </c>
      <c r="M9900">
        <v>27.434439999999999</v>
      </c>
      <c r="N9900">
        <v>14.51783</v>
      </c>
      <c r="O9900">
        <v>12.91661</v>
      </c>
      <c r="P9900">
        <v>18.831990000000001</v>
      </c>
      <c r="Q9900">
        <v>20.67343</v>
      </c>
      <c r="R9900">
        <v>21.254370000000002</v>
      </c>
      <c r="S9900">
        <v>18.831990000000001</v>
      </c>
      <c r="T9900">
        <v>1957.923</v>
      </c>
      <c r="U9900">
        <v>337.20800000000003</v>
      </c>
      <c r="V9900">
        <v>10.166079999999999</v>
      </c>
      <c r="W9900">
        <v>66.833920000000006</v>
      </c>
      <c r="X9900">
        <v>885.10140000000001</v>
      </c>
      <c r="Y9900">
        <v>60.498249999999999</v>
      </c>
      <c r="Z9900">
        <v>355.54719999999998</v>
      </c>
      <c r="AA9900">
        <v>885.10140000000001</v>
      </c>
      <c r="AB9900">
        <v>10.876390000000001</v>
      </c>
      <c r="AC9900">
        <v>0.29583310000000002</v>
      </c>
      <c r="AD9900">
        <v>8.9256229999999999</v>
      </c>
      <c r="AE9900">
        <v>0.69048940000000003</v>
      </c>
      <c r="AF9900">
        <v>1332.241</v>
      </c>
      <c r="AG9900">
        <f>IFERROR(AH9900*0.1, "N/A")</f>
        <v>5.1571680000000004</v>
      </c>
      <c r="AH9900">
        <v>51.571680000000001</v>
      </c>
      <c r="AI9900">
        <v>129.68010000000001</v>
      </c>
      <c r="AJ9900">
        <v>32.381120000000003</v>
      </c>
      <c r="AK9900">
        <v>38</v>
      </c>
    </row>
    <row r="9901" spans="1:37" x14ac:dyDescent="0.3">
      <c r="A9901">
        <v>9900</v>
      </c>
      <c r="B9901">
        <v>0</v>
      </c>
      <c r="C9901">
        <v>9.9833300000000005</v>
      </c>
      <c r="D9901">
        <v>5.4333299999999998</v>
      </c>
      <c r="E9901" t="s">
        <v>14988</v>
      </c>
      <c r="F9901" t="s">
        <v>14990</v>
      </c>
      <c r="G9901" t="s">
        <v>37</v>
      </c>
      <c r="H9901">
        <v>1990</v>
      </c>
      <c r="I9901">
        <v>20.054369999999999</v>
      </c>
      <c r="J9901">
        <v>9.8166080000000004</v>
      </c>
      <c r="K9901">
        <v>75.166079999999994</v>
      </c>
      <c r="L9901">
        <v>9.2650869999999994</v>
      </c>
      <c r="M9901">
        <v>27.434439999999999</v>
      </c>
      <c r="N9901">
        <v>14.51783</v>
      </c>
      <c r="O9901">
        <v>12.91661</v>
      </c>
      <c r="P9901">
        <v>18.831990000000001</v>
      </c>
      <c r="Q9901">
        <v>20.67343</v>
      </c>
      <c r="R9901">
        <v>21.254370000000002</v>
      </c>
      <c r="S9901">
        <v>18.831990000000001</v>
      </c>
      <c r="T9901">
        <v>1957.923</v>
      </c>
      <c r="U9901">
        <v>337.20800000000003</v>
      </c>
      <c r="V9901">
        <v>10.166079999999999</v>
      </c>
      <c r="W9901">
        <v>66.833920000000006</v>
      </c>
      <c r="X9901">
        <v>885.10140000000001</v>
      </c>
      <c r="Y9901">
        <v>60.498249999999999</v>
      </c>
      <c r="Z9901">
        <v>355.54719999999998</v>
      </c>
      <c r="AA9901">
        <v>885.10140000000001</v>
      </c>
      <c r="AB9901">
        <v>10.876390000000001</v>
      </c>
      <c r="AC9901">
        <v>0.29583310000000002</v>
      </c>
      <c r="AD9901">
        <v>8.9256229999999999</v>
      </c>
      <c r="AE9901">
        <v>0.69048940000000003</v>
      </c>
      <c r="AF9901">
        <v>1332.241</v>
      </c>
      <c r="AG9901">
        <f>IFERROR(AH9901*0.1, "N/A")</f>
        <v>5.1571680000000004</v>
      </c>
      <c r="AH9901">
        <v>51.571680000000001</v>
      </c>
      <c r="AI9901">
        <v>129.68010000000001</v>
      </c>
      <c r="AJ9901">
        <v>32.381120000000003</v>
      </c>
      <c r="AK9901">
        <v>38</v>
      </c>
    </row>
    <row r="9902" spans="1:37" x14ac:dyDescent="0.3">
      <c r="A9902">
        <v>9901</v>
      </c>
      <c r="B9902">
        <v>0</v>
      </c>
      <c r="C9902">
        <v>9.9833300000000005</v>
      </c>
      <c r="D9902">
        <v>5.4333299999999998</v>
      </c>
      <c r="E9902" t="s">
        <v>14988</v>
      </c>
      <c r="F9902" t="s">
        <v>14991</v>
      </c>
      <c r="G9902" t="s">
        <v>2420</v>
      </c>
      <c r="H9902">
        <v>1990</v>
      </c>
      <c r="I9902">
        <v>20.054369999999999</v>
      </c>
      <c r="J9902">
        <v>9.8166080000000004</v>
      </c>
      <c r="K9902">
        <v>75.166079999999994</v>
      </c>
      <c r="L9902">
        <v>9.2650869999999994</v>
      </c>
      <c r="M9902">
        <v>27.434439999999999</v>
      </c>
      <c r="N9902">
        <v>14.51783</v>
      </c>
      <c r="O9902">
        <v>12.91661</v>
      </c>
      <c r="P9902">
        <v>18.831990000000001</v>
      </c>
      <c r="Q9902">
        <v>20.67343</v>
      </c>
      <c r="R9902">
        <v>21.254370000000002</v>
      </c>
      <c r="S9902">
        <v>18.831990000000001</v>
      </c>
      <c r="T9902">
        <v>1957.923</v>
      </c>
      <c r="U9902">
        <v>337.20800000000003</v>
      </c>
      <c r="V9902">
        <v>10.166079999999999</v>
      </c>
      <c r="W9902">
        <v>66.833920000000006</v>
      </c>
      <c r="X9902">
        <v>885.10140000000001</v>
      </c>
      <c r="Y9902">
        <v>60.498249999999999</v>
      </c>
      <c r="Z9902">
        <v>355.54719999999998</v>
      </c>
      <c r="AA9902">
        <v>885.10140000000001</v>
      </c>
      <c r="AB9902">
        <v>10.876390000000001</v>
      </c>
      <c r="AC9902">
        <v>0.29583310000000002</v>
      </c>
      <c r="AD9902">
        <v>8.9256229999999999</v>
      </c>
      <c r="AE9902">
        <v>0.69048940000000003</v>
      </c>
      <c r="AF9902">
        <v>1332.241</v>
      </c>
      <c r="AG9902">
        <f>IFERROR(AH9902*0.1, "N/A")</f>
        <v>5.1571680000000004</v>
      </c>
      <c r="AH9902">
        <v>51.571680000000001</v>
      </c>
      <c r="AI9902">
        <v>129.68010000000001</v>
      </c>
      <c r="AJ9902">
        <v>32.381120000000003</v>
      </c>
      <c r="AK9902">
        <v>38</v>
      </c>
    </row>
    <row r="9903" spans="1:37" x14ac:dyDescent="0.3">
      <c r="A9903">
        <v>9902</v>
      </c>
      <c r="B9903">
        <v>0</v>
      </c>
      <c r="C9903">
        <v>10.0542</v>
      </c>
      <c r="D9903">
        <v>5.4444400000000002</v>
      </c>
      <c r="E9903" t="s">
        <v>14992</v>
      </c>
      <c r="F9903" t="s">
        <v>14993</v>
      </c>
      <c r="G9903" t="s">
        <v>39</v>
      </c>
      <c r="H9903">
        <v>1990</v>
      </c>
      <c r="I9903">
        <v>20.399999999999999</v>
      </c>
      <c r="J9903">
        <v>9.9</v>
      </c>
      <c r="K9903">
        <v>76</v>
      </c>
      <c r="L9903">
        <v>9.36</v>
      </c>
      <c r="M9903">
        <v>27.7</v>
      </c>
      <c r="N9903">
        <v>14.8</v>
      </c>
      <c r="O9903">
        <v>12.9</v>
      </c>
      <c r="P9903">
        <v>19.100000000000001</v>
      </c>
      <c r="Q9903">
        <v>21</v>
      </c>
      <c r="R9903">
        <v>21.5</v>
      </c>
      <c r="S9903">
        <v>19.100000000000001</v>
      </c>
      <c r="T9903">
        <v>1936</v>
      </c>
      <c r="U9903">
        <v>333</v>
      </c>
      <c r="V9903">
        <v>9</v>
      </c>
      <c r="W9903">
        <v>67</v>
      </c>
      <c r="X9903">
        <v>875</v>
      </c>
      <c r="Y9903">
        <v>56</v>
      </c>
      <c r="Z9903">
        <v>347</v>
      </c>
      <c r="AA9903">
        <v>875</v>
      </c>
      <c r="AB9903">
        <v>28.149339999999999</v>
      </c>
      <c r="AC9903">
        <v>1.0250759999999999E-2</v>
      </c>
      <c r="AD9903">
        <v>3.5440860000000001</v>
      </c>
      <c r="AE9903">
        <v>0.85155970000000003</v>
      </c>
      <c r="AF9903">
        <v>1345.0029999999999</v>
      </c>
      <c r="AG9903">
        <f>IFERROR(AH9903*0.1, "N/A")</f>
        <v>5.8755240000000004</v>
      </c>
      <c r="AH9903">
        <v>58.755240000000001</v>
      </c>
      <c r="AI9903">
        <v>199.88579999999999</v>
      </c>
      <c r="AJ9903">
        <v>31</v>
      </c>
      <c r="AK9903">
        <v>42.632869999999997</v>
      </c>
    </row>
    <row r="9904" spans="1:37" x14ac:dyDescent="0.3">
      <c r="A9904">
        <v>9903</v>
      </c>
      <c r="B9904">
        <v>0</v>
      </c>
      <c r="C9904">
        <v>10.0542</v>
      </c>
      <c r="D9904">
        <v>5.4444400000000002</v>
      </c>
      <c r="E9904" t="s">
        <v>14992</v>
      </c>
      <c r="F9904" t="s">
        <v>14994</v>
      </c>
      <c r="G9904" t="s">
        <v>37</v>
      </c>
      <c r="H9904">
        <v>1990</v>
      </c>
      <c r="I9904">
        <v>20.399999999999999</v>
      </c>
      <c r="J9904">
        <v>9.9</v>
      </c>
      <c r="K9904">
        <v>76</v>
      </c>
      <c r="L9904">
        <v>9.36</v>
      </c>
      <c r="M9904">
        <v>27.7</v>
      </c>
      <c r="N9904">
        <v>14.8</v>
      </c>
      <c r="O9904">
        <v>12.9</v>
      </c>
      <c r="P9904">
        <v>19.100000000000001</v>
      </c>
      <c r="Q9904">
        <v>21</v>
      </c>
      <c r="R9904">
        <v>21.5</v>
      </c>
      <c r="S9904">
        <v>19.100000000000001</v>
      </c>
      <c r="T9904">
        <v>1936</v>
      </c>
      <c r="U9904">
        <v>333</v>
      </c>
      <c r="V9904">
        <v>9</v>
      </c>
      <c r="W9904">
        <v>67</v>
      </c>
      <c r="X9904">
        <v>875</v>
      </c>
      <c r="Y9904">
        <v>56</v>
      </c>
      <c r="Z9904">
        <v>347</v>
      </c>
      <c r="AA9904">
        <v>875</v>
      </c>
      <c r="AB9904">
        <v>28.149339999999999</v>
      </c>
      <c r="AC9904">
        <v>1.0250759999999999E-2</v>
      </c>
      <c r="AD9904">
        <v>3.5440860000000001</v>
      </c>
      <c r="AE9904">
        <v>0.85155970000000003</v>
      </c>
      <c r="AF9904">
        <v>1345.0029999999999</v>
      </c>
      <c r="AG9904">
        <f>IFERROR(AH9904*0.1, "N/A")</f>
        <v>5.8755240000000004</v>
      </c>
      <c r="AH9904">
        <v>58.755240000000001</v>
      </c>
      <c r="AI9904">
        <v>199.88579999999999</v>
      </c>
      <c r="AJ9904">
        <v>31</v>
      </c>
      <c r="AK9904">
        <v>42.632869999999997</v>
      </c>
    </row>
    <row r="9905" spans="1:37" x14ac:dyDescent="0.3">
      <c r="A9905">
        <v>9904</v>
      </c>
      <c r="B9905">
        <v>0</v>
      </c>
      <c r="C9905">
        <v>10.0542</v>
      </c>
      <c r="D9905">
        <v>5.4444400000000002</v>
      </c>
      <c r="E9905" t="s">
        <v>14992</v>
      </c>
      <c r="F9905" t="s">
        <v>14995</v>
      </c>
      <c r="G9905" t="s">
        <v>2420</v>
      </c>
      <c r="H9905">
        <v>1990</v>
      </c>
      <c r="I9905">
        <v>20.399999999999999</v>
      </c>
      <c r="J9905">
        <v>9.9</v>
      </c>
      <c r="K9905">
        <v>76</v>
      </c>
      <c r="L9905">
        <v>9.36</v>
      </c>
      <c r="M9905">
        <v>27.7</v>
      </c>
      <c r="N9905">
        <v>14.8</v>
      </c>
      <c r="O9905">
        <v>12.9</v>
      </c>
      <c r="P9905">
        <v>19.100000000000001</v>
      </c>
      <c r="Q9905">
        <v>21</v>
      </c>
      <c r="R9905">
        <v>21.5</v>
      </c>
      <c r="S9905">
        <v>19.100000000000001</v>
      </c>
      <c r="T9905">
        <v>1936</v>
      </c>
      <c r="U9905">
        <v>333</v>
      </c>
      <c r="V9905">
        <v>9</v>
      </c>
      <c r="W9905">
        <v>67</v>
      </c>
      <c r="X9905">
        <v>875</v>
      </c>
      <c r="Y9905">
        <v>56</v>
      </c>
      <c r="Z9905">
        <v>347</v>
      </c>
      <c r="AA9905">
        <v>875</v>
      </c>
      <c r="AB9905">
        <v>28.149339999999999</v>
      </c>
      <c r="AC9905">
        <v>1.0250759999999999E-2</v>
      </c>
      <c r="AD9905">
        <v>3.5440860000000001</v>
      </c>
      <c r="AE9905">
        <v>0.85155970000000003</v>
      </c>
      <c r="AF9905">
        <v>1345.0029999999999</v>
      </c>
      <c r="AG9905">
        <f>IFERROR(AH9905*0.1, "N/A")</f>
        <v>5.8755240000000004</v>
      </c>
      <c r="AH9905">
        <v>58.755240000000001</v>
      </c>
      <c r="AI9905">
        <v>199.88579999999999</v>
      </c>
      <c r="AJ9905">
        <v>31</v>
      </c>
      <c r="AK9905">
        <v>42.632869999999997</v>
      </c>
    </row>
    <row r="9906" spans="1:37" x14ac:dyDescent="0.3">
      <c r="A9906">
        <v>9905</v>
      </c>
      <c r="B9906">
        <v>2.1</v>
      </c>
      <c r="C9906">
        <v>10.4833</v>
      </c>
      <c r="D9906">
        <v>5.45</v>
      </c>
      <c r="E9906" t="s">
        <v>14996</v>
      </c>
      <c r="F9906" t="s">
        <v>14997</v>
      </c>
      <c r="G9906" t="s">
        <v>39</v>
      </c>
      <c r="H9906">
        <v>1990</v>
      </c>
      <c r="I9906">
        <v>21.596150000000002</v>
      </c>
      <c r="J9906">
        <v>10.029719999999999</v>
      </c>
      <c r="K9906">
        <v>75</v>
      </c>
      <c r="L9906">
        <v>8.8348250000000004</v>
      </c>
      <c r="M9906">
        <v>29.22587</v>
      </c>
      <c r="N9906">
        <v>15.97045</v>
      </c>
      <c r="O9906">
        <v>13.255420000000001</v>
      </c>
      <c r="P9906">
        <v>20.485309999999998</v>
      </c>
      <c r="Q9906">
        <v>22.22587</v>
      </c>
      <c r="R9906">
        <v>22.72587</v>
      </c>
      <c r="S9906">
        <v>20.42587</v>
      </c>
      <c r="T9906">
        <v>1975.07</v>
      </c>
      <c r="U9906">
        <v>340.77449999999999</v>
      </c>
      <c r="V9906">
        <v>7.0786709999999999</v>
      </c>
      <c r="W9906">
        <v>69.445800000000006</v>
      </c>
      <c r="X9906">
        <v>918.91959999999995</v>
      </c>
      <c r="Y9906">
        <v>46.187060000000002</v>
      </c>
      <c r="Z9906">
        <v>315.85140000000001</v>
      </c>
      <c r="AA9906">
        <v>918.3252</v>
      </c>
      <c r="AB9906">
        <v>61.84581</v>
      </c>
      <c r="AC9906">
        <v>2.5277069999999999E-2</v>
      </c>
      <c r="AD9906">
        <v>23.772690000000001</v>
      </c>
      <c r="AE9906">
        <v>0.37947819999999999</v>
      </c>
      <c r="AF9906">
        <v>1138.624</v>
      </c>
      <c r="AG9906">
        <f>IFERROR(AH9906*0.1, "N/A")</f>
        <v>5.6000000000000005</v>
      </c>
      <c r="AH9906">
        <v>56</v>
      </c>
      <c r="AI9906">
        <v>318.91759999999999</v>
      </c>
      <c r="AJ9906">
        <v>32.902099999999997</v>
      </c>
      <c r="AK9906">
        <v>36</v>
      </c>
    </row>
    <row r="9907" spans="1:37" x14ac:dyDescent="0.3">
      <c r="A9907">
        <v>9906</v>
      </c>
      <c r="B9907">
        <v>0</v>
      </c>
      <c r="C9907">
        <v>10.4833</v>
      </c>
      <c r="D9907">
        <v>5.45</v>
      </c>
      <c r="E9907" t="s">
        <v>14996</v>
      </c>
      <c r="F9907" t="s">
        <v>14998</v>
      </c>
      <c r="G9907" t="s">
        <v>37</v>
      </c>
      <c r="H9907">
        <v>1990</v>
      </c>
      <c r="I9907">
        <v>21.596150000000002</v>
      </c>
      <c r="J9907">
        <v>10.029719999999999</v>
      </c>
      <c r="K9907">
        <v>75</v>
      </c>
      <c r="L9907">
        <v>8.8348250000000004</v>
      </c>
      <c r="M9907">
        <v>29.22587</v>
      </c>
      <c r="N9907">
        <v>15.97045</v>
      </c>
      <c r="O9907">
        <v>13.255420000000001</v>
      </c>
      <c r="P9907">
        <v>20.485309999999998</v>
      </c>
      <c r="Q9907">
        <v>22.22587</v>
      </c>
      <c r="R9907">
        <v>22.72587</v>
      </c>
      <c r="S9907">
        <v>20.42587</v>
      </c>
      <c r="T9907">
        <v>1975.07</v>
      </c>
      <c r="U9907">
        <v>340.77449999999999</v>
      </c>
      <c r="V9907">
        <v>7.0786709999999999</v>
      </c>
      <c r="W9907">
        <v>69.445800000000006</v>
      </c>
      <c r="X9907">
        <v>918.91959999999995</v>
      </c>
      <c r="Y9907">
        <v>46.187060000000002</v>
      </c>
      <c r="Z9907">
        <v>315.85140000000001</v>
      </c>
      <c r="AA9907">
        <v>918.3252</v>
      </c>
      <c r="AB9907">
        <v>61.84581</v>
      </c>
      <c r="AC9907">
        <v>2.5277069999999999E-2</v>
      </c>
      <c r="AD9907">
        <v>23.772690000000001</v>
      </c>
      <c r="AE9907">
        <v>0.37947819999999999</v>
      </c>
      <c r="AF9907">
        <v>1138.624</v>
      </c>
      <c r="AG9907">
        <f>IFERROR(AH9907*0.1, "N/A")</f>
        <v>5.6000000000000005</v>
      </c>
      <c r="AH9907">
        <v>56</v>
      </c>
      <c r="AI9907">
        <v>318.91759999999999</v>
      </c>
      <c r="AJ9907">
        <v>32.902099999999997</v>
      </c>
      <c r="AK9907">
        <v>36</v>
      </c>
    </row>
    <row r="9908" spans="1:37" x14ac:dyDescent="0.3">
      <c r="A9908">
        <v>9907</v>
      </c>
      <c r="B9908">
        <v>0</v>
      </c>
      <c r="C9908">
        <v>10.4833</v>
      </c>
      <c r="D9908">
        <v>5.45</v>
      </c>
      <c r="E9908" t="s">
        <v>14996</v>
      </c>
      <c r="F9908" t="s">
        <v>14999</v>
      </c>
      <c r="G9908" t="s">
        <v>2420</v>
      </c>
      <c r="H9908">
        <v>1990</v>
      </c>
      <c r="I9908">
        <v>21.596150000000002</v>
      </c>
      <c r="J9908">
        <v>10.029719999999999</v>
      </c>
      <c r="K9908">
        <v>75</v>
      </c>
      <c r="L9908">
        <v>8.8348250000000004</v>
      </c>
      <c r="M9908">
        <v>29.22587</v>
      </c>
      <c r="N9908">
        <v>15.97045</v>
      </c>
      <c r="O9908">
        <v>13.255420000000001</v>
      </c>
      <c r="P9908">
        <v>20.485309999999998</v>
      </c>
      <c r="Q9908">
        <v>22.22587</v>
      </c>
      <c r="R9908">
        <v>22.72587</v>
      </c>
      <c r="S9908">
        <v>20.42587</v>
      </c>
      <c r="T9908">
        <v>1975.07</v>
      </c>
      <c r="U9908">
        <v>340.77449999999999</v>
      </c>
      <c r="V9908">
        <v>7.0786709999999999</v>
      </c>
      <c r="W9908">
        <v>69.445800000000006</v>
      </c>
      <c r="X9908">
        <v>918.91959999999995</v>
      </c>
      <c r="Y9908">
        <v>46.187060000000002</v>
      </c>
      <c r="Z9908">
        <v>315.85140000000001</v>
      </c>
      <c r="AA9908">
        <v>918.3252</v>
      </c>
      <c r="AB9908">
        <v>61.84581</v>
      </c>
      <c r="AC9908">
        <v>2.5277069999999999E-2</v>
      </c>
      <c r="AD9908">
        <v>23.772690000000001</v>
      </c>
      <c r="AE9908">
        <v>0.37947819999999999</v>
      </c>
      <c r="AF9908">
        <v>1138.624</v>
      </c>
      <c r="AG9908">
        <f>IFERROR(AH9908*0.1, "N/A")</f>
        <v>5.6000000000000005</v>
      </c>
      <c r="AH9908">
        <v>56</v>
      </c>
      <c r="AI9908">
        <v>318.91759999999999</v>
      </c>
      <c r="AJ9908">
        <v>32.902099999999997</v>
      </c>
      <c r="AK9908">
        <v>36</v>
      </c>
    </row>
    <row r="9909" spans="1:37" x14ac:dyDescent="0.3">
      <c r="A9909">
        <v>9908</v>
      </c>
      <c r="B9909">
        <v>2</v>
      </c>
      <c r="C9909">
        <v>10.2431</v>
      </c>
      <c r="D9909">
        <v>5.4652799999999999</v>
      </c>
      <c r="E9909" t="s">
        <v>15000</v>
      </c>
      <c r="F9909" t="s">
        <v>15001</v>
      </c>
      <c r="G9909" t="s">
        <v>39</v>
      </c>
      <c r="H9909">
        <v>1990</v>
      </c>
      <c r="I9909">
        <v>20</v>
      </c>
      <c r="J9909">
        <v>10</v>
      </c>
      <c r="K9909">
        <v>76</v>
      </c>
      <c r="L9909">
        <v>8.7100000000000009</v>
      </c>
      <c r="M9909">
        <v>27.5</v>
      </c>
      <c r="N9909">
        <v>14.4</v>
      </c>
      <c r="O9909">
        <v>13.1</v>
      </c>
      <c r="P9909">
        <v>19.100000000000001</v>
      </c>
      <c r="Q9909">
        <v>20.6</v>
      </c>
      <c r="R9909">
        <v>21.1</v>
      </c>
      <c r="S9909">
        <v>18.899999999999999</v>
      </c>
      <c r="T9909">
        <v>1886</v>
      </c>
      <c r="U9909">
        <v>324</v>
      </c>
      <c r="V9909">
        <v>10</v>
      </c>
      <c r="W9909">
        <v>66</v>
      </c>
      <c r="X9909">
        <v>844</v>
      </c>
      <c r="Y9909">
        <v>57</v>
      </c>
      <c r="Z9909">
        <v>327</v>
      </c>
      <c r="AA9909">
        <v>840</v>
      </c>
      <c r="AB9909">
        <v>25.738119999999999</v>
      </c>
      <c r="AC9909">
        <v>1.112816E-2</v>
      </c>
      <c r="AD9909">
        <v>3.3177690000000002</v>
      </c>
      <c r="AE9909">
        <v>0.73626190000000002</v>
      </c>
      <c r="AF9909">
        <v>1433.6780000000001</v>
      </c>
      <c r="AG9909">
        <f>IFERROR(AH9909*0.1, "N/A")</f>
        <v>5.4</v>
      </c>
      <c r="AH9909">
        <v>54</v>
      </c>
      <c r="AI9909">
        <v>212.45750000000001</v>
      </c>
      <c r="AJ9909">
        <v>40.454549999999998</v>
      </c>
      <c r="AK9909">
        <v>34.363639999999997</v>
      </c>
    </row>
    <row r="9910" spans="1:37" x14ac:dyDescent="0.3">
      <c r="A9910">
        <v>9909</v>
      </c>
      <c r="B9910">
        <v>0</v>
      </c>
      <c r="C9910">
        <v>10.2431</v>
      </c>
      <c r="D9910">
        <v>5.4652799999999999</v>
      </c>
      <c r="E9910" t="s">
        <v>15000</v>
      </c>
      <c r="F9910" t="s">
        <v>15002</v>
      </c>
      <c r="G9910" t="s">
        <v>37</v>
      </c>
      <c r="H9910">
        <v>1990</v>
      </c>
      <c r="I9910">
        <v>20</v>
      </c>
      <c r="J9910">
        <v>10</v>
      </c>
      <c r="K9910">
        <v>76</v>
      </c>
      <c r="L9910">
        <v>8.7100000000000009</v>
      </c>
      <c r="M9910">
        <v>27.5</v>
      </c>
      <c r="N9910">
        <v>14.4</v>
      </c>
      <c r="O9910">
        <v>13.1</v>
      </c>
      <c r="P9910">
        <v>19.100000000000001</v>
      </c>
      <c r="Q9910">
        <v>20.6</v>
      </c>
      <c r="R9910">
        <v>21.1</v>
      </c>
      <c r="S9910">
        <v>18.899999999999999</v>
      </c>
      <c r="T9910">
        <v>1886</v>
      </c>
      <c r="U9910">
        <v>324</v>
      </c>
      <c r="V9910">
        <v>10</v>
      </c>
      <c r="W9910">
        <v>66</v>
      </c>
      <c r="X9910">
        <v>844</v>
      </c>
      <c r="Y9910">
        <v>57</v>
      </c>
      <c r="Z9910">
        <v>327</v>
      </c>
      <c r="AA9910">
        <v>840</v>
      </c>
      <c r="AB9910">
        <v>25.738119999999999</v>
      </c>
      <c r="AC9910">
        <v>1.112816E-2</v>
      </c>
      <c r="AD9910">
        <v>3.3177690000000002</v>
      </c>
      <c r="AE9910">
        <v>0.73626190000000002</v>
      </c>
      <c r="AF9910">
        <v>1433.6780000000001</v>
      </c>
      <c r="AG9910">
        <f>IFERROR(AH9910*0.1, "N/A")</f>
        <v>5.4</v>
      </c>
      <c r="AH9910">
        <v>54</v>
      </c>
      <c r="AI9910">
        <v>212.45750000000001</v>
      </c>
      <c r="AJ9910">
        <v>40.454549999999998</v>
      </c>
      <c r="AK9910">
        <v>34.363639999999997</v>
      </c>
    </row>
    <row r="9911" spans="1:37" x14ac:dyDescent="0.3">
      <c r="A9911">
        <v>9910</v>
      </c>
      <c r="B9911">
        <v>0</v>
      </c>
      <c r="C9911">
        <v>10.2431</v>
      </c>
      <c r="D9911">
        <v>5.4652799999999999</v>
      </c>
      <c r="E9911" t="s">
        <v>15000</v>
      </c>
      <c r="F9911" t="s">
        <v>15003</v>
      </c>
      <c r="G9911" t="s">
        <v>2420</v>
      </c>
      <c r="H9911">
        <v>1990</v>
      </c>
      <c r="I9911">
        <v>20</v>
      </c>
      <c r="J9911">
        <v>10</v>
      </c>
      <c r="K9911">
        <v>76</v>
      </c>
      <c r="L9911">
        <v>8.7100000000000009</v>
      </c>
      <c r="M9911">
        <v>27.5</v>
      </c>
      <c r="N9911">
        <v>14.4</v>
      </c>
      <c r="O9911">
        <v>13.1</v>
      </c>
      <c r="P9911">
        <v>19.100000000000001</v>
      </c>
      <c r="Q9911">
        <v>20.6</v>
      </c>
      <c r="R9911">
        <v>21.1</v>
      </c>
      <c r="S9911">
        <v>18.899999999999999</v>
      </c>
      <c r="T9911">
        <v>1886</v>
      </c>
      <c r="U9911">
        <v>324</v>
      </c>
      <c r="V9911">
        <v>10</v>
      </c>
      <c r="W9911">
        <v>66</v>
      </c>
      <c r="X9911">
        <v>844</v>
      </c>
      <c r="Y9911">
        <v>57</v>
      </c>
      <c r="Z9911">
        <v>327</v>
      </c>
      <c r="AA9911">
        <v>840</v>
      </c>
      <c r="AB9911">
        <v>25.738119999999999</v>
      </c>
      <c r="AC9911">
        <v>1.112816E-2</v>
      </c>
      <c r="AD9911">
        <v>3.3177690000000002</v>
      </c>
      <c r="AE9911">
        <v>0.73626190000000002</v>
      </c>
      <c r="AF9911">
        <v>1433.6780000000001</v>
      </c>
      <c r="AG9911">
        <f>IFERROR(AH9911*0.1, "N/A")</f>
        <v>5.4</v>
      </c>
      <c r="AH9911">
        <v>54</v>
      </c>
      <c r="AI9911">
        <v>212.45750000000001</v>
      </c>
      <c r="AJ9911">
        <v>40.454549999999998</v>
      </c>
      <c r="AK9911">
        <v>34.363639999999997</v>
      </c>
    </row>
    <row r="9912" spans="1:37" x14ac:dyDescent="0.3">
      <c r="A9912">
        <v>9911</v>
      </c>
      <c r="B9912">
        <v>0</v>
      </c>
      <c r="C9912">
        <v>10.443099999999999</v>
      </c>
      <c r="D9912">
        <v>5.4694399999999996</v>
      </c>
      <c r="E9912" t="s">
        <v>15004</v>
      </c>
      <c r="F9912" t="s">
        <v>15005</v>
      </c>
      <c r="G9912" t="s">
        <v>39</v>
      </c>
      <c r="H9912">
        <v>1990</v>
      </c>
      <c r="I9912">
        <v>20.2</v>
      </c>
      <c r="J9912">
        <v>10.1</v>
      </c>
      <c r="K9912">
        <v>75</v>
      </c>
      <c r="L9912">
        <v>9.01</v>
      </c>
      <c r="M9912">
        <v>27.8</v>
      </c>
      <c r="N9912">
        <v>14.4</v>
      </c>
      <c r="O9912">
        <v>13.4</v>
      </c>
      <c r="P9912">
        <v>19.2</v>
      </c>
      <c r="Q9912">
        <v>20.8</v>
      </c>
      <c r="R9912">
        <v>21.3</v>
      </c>
      <c r="S9912">
        <v>19.100000000000001</v>
      </c>
      <c r="T9912">
        <v>1877</v>
      </c>
      <c r="U9912">
        <v>322</v>
      </c>
      <c r="V9912">
        <v>10</v>
      </c>
      <c r="W9912">
        <v>67</v>
      </c>
      <c r="X9912">
        <v>851</v>
      </c>
      <c r="Y9912">
        <v>53</v>
      </c>
      <c r="Z9912">
        <v>310</v>
      </c>
      <c r="AA9912">
        <v>837</v>
      </c>
      <c r="AB9912">
        <v>19.699010000000001</v>
      </c>
      <c r="AC9912">
        <v>1.9340320000000001E-2</v>
      </c>
      <c r="AD9912">
        <v>6.0143139999999997</v>
      </c>
      <c r="AE9912">
        <v>0.75463590000000003</v>
      </c>
      <c r="AF9912">
        <v>1385.472</v>
      </c>
      <c r="AG9912">
        <f>IFERROR(AH9912*0.1, "N/A")</f>
        <v>5.4013990000000005</v>
      </c>
      <c r="AH9912">
        <v>54.01399</v>
      </c>
      <c r="AI9912">
        <v>109.6746</v>
      </c>
      <c r="AJ9912">
        <v>33.816429999999997</v>
      </c>
      <c r="AK9912">
        <v>38.183570000000003</v>
      </c>
    </row>
    <row r="9913" spans="1:37" x14ac:dyDescent="0.3">
      <c r="A9913">
        <v>9912</v>
      </c>
      <c r="B9913">
        <v>2.2000000000000002</v>
      </c>
      <c r="C9913">
        <v>10.443099999999999</v>
      </c>
      <c r="D9913">
        <v>5.4694399999999996</v>
      </c>
      <c r="E9913" t="s">
        <v>15004</v>
      </c>
      <c r="F9913" t="s">
        <v>15006</v>
      </c>
      <c r="G9913" t="s">
        <v>37</v>
      </c>
      <c r="H9913">
        <v>1990</v>
      </c>
      <c r="I9913">
        <v>20.2</v>
      </c>
      <c r="J9913">
        <v>10.1</v>
      </c>
      <c r="K9913">
        <v>75</v>
      </c>
      <c r="L9913">
        <v>9.01</v>
      </c>
      <c r="M9913">
        <v>27.8</v>
      </c>
      <c r="N9913">
        <v>14.4</v>
      </c>
      <c r="O9913">
        <v>13.4</v>
      </c>
      <c r="P9913">
        <v>19.2</v>
      </c>
      <c r="Q9913">
        <v>20.8</v>
      </c>
      <c r="R9913">
        <v>21.3</v>
      </c>
      <c r="S9913">
        <v>19.100000000000001</v>
      </c>
      <c r="T9913">
        <v>1877</v>
      </c>
      <c r="U9913">
        <v>322</v>
      </c>
      <c r="V9913">
        <v>10</v>
      </c>
      <c r="W9913">
        <v>67</v>
      </c>
      <c r="X9913">
        <v>851</v>
      </c>
      <c r="Y9913">
        <v>53</v>
      </c>
      <c r="Z9913">
        <v>310</v>
      </c>
      <c r="AA9913">
        <v>837</v>
      </c>
      <c r="AB9913">
        <v>19.699010000000001</v>
      </c>
      <c r="AC9913">
        <v>1.9340320000000001E-2</v>
      </c>
      <c r="AD9913">
        <v>6.0143139999999997</v>
      </c>
      <c r="AE9913">
        <v>0.75463590000000003</v>
      </c>
      <c r="AF9913">
        <v>1385.472</v>
      </c>
      <c r="AG9913">
        <f>IFERROR(AH9913*0.1, "N/A")</f>
        <v>5.4013990000000005</v>
      </c>
      <c r="AH9913">
        <v>54.01399</v>
      </c>
      <c r="AI9913">
        <v>109.6746</v>
      </c>
      <c r="AJ9913">
        <v>33.816429999999997</v>
      </c>
      <c r="AK9913">
        <v>38.183570000000003</v>
      </c>
    </row>
    <row r="9914" spans="1:37" x14ac:dyDescent="0.3">
      <c r="A9914">
        <v>9913</v>
      </c>
      <c r="B9914">
        <v>0.7</v>
      </c>
      <c r="C9914">
        <v>10.443099999999999</v>
      </c>
      <c r="D9914">
        <v>5.4694399999999996</v>
      </c>
      <c r="E9914" t="s">
        <v>15004</v>
      </c>
      <c r="F9914" t="s">
        <v>15007</v>
      </c>
      <c r="G9914" t="s">
        <v>2420</v>
      </c>
      <c r="H9914">
        <v>1990</v>
      </c>
      <c r="I9914">
        <v>20.2</v>
      </c>
      <c r="J9914">
        <v>10.1</v>
      </c>
      <c r="K9914">
        <v>75</v>
      </c>
      <c r="L9914">
        <v>9.01</v>
      </c>
      <c r="M9914">
        <v>27.8</v>
      </c>
      <c r="N9914">
        <v>14.4</v>
      </c>
      <c r="O9914">
        <v>13.4</v>
      </c>
      <c r="P9914">
        <v>19.2</v>
      </c>
      <c r="Q9914">
        <v>20.8</v>
      </c>
      <c r="R9914">
        <v>21.3</v>
      </c>
      <c r="S9914">
        <v>19.100000000000001</v>
      </c>
      <c r="T9914">
        <v>1877</v>
      </c>
      <c r="U9914">
        <v>322</v>
      </c>
      <c r="V9914">
        <v>10</v>
      </c>
      <c r="W9914">
        <v>67</v>
      </c>
      <c r="X9914">
        <v>851</v>
      </c>
      <c r="Y9914">
        <v>53</v>
      </c>
      <c r="Z9914">
        <v>310</v>
      </c>
      <c r="AA9914">
        <v>837</v>
      </c>
      <c r="AB9914">
        <v>19.699010000000001</v>
      </c>
      <c r="AC9914">
        <v>1.9340320000000001E-2</v>
      </c>
      <c r="AD9914">
        <v>6.0143139999999997</v>
      </c>
      <c r="AE9914">
        <v>0.75463590000000003</v>
      </c>
      <c r="AF9914">
        <v>1385.472</v>
      </c>
      <c r="AG9914">
        <f>IFERROR(AH9914*0.1, "N/A")</f>
        <v>5.4013990000000005</v>
      </c>
      <c r="AH9914">
        <v>54.01399</v>
      </c>
      <c r="AI9914">
        <v>109.6746</v>
      </c>
      <c r="AJ9914">
        <v>33.816429999999997</v>
      </c>
      <c r="AK9914">
        <v>38.183570000000003</v>
      </c>
    </row>
    <row r="9915" spans="1:37" x14ac:dyDescent="0.3">
      <c r="A9915">
        <v>9914</v>
      </c>
      <c r="B9915">
        <v>2.2000000000000002</v>
      </c>
      <c r="C9915">
        <v>10.238899999999999</v>
      </c>
      <c r="D9915">
        <v>5.4708300000000003</v>
      </c>
      <c r="E9915" t="s">
        <v>15008</v>
      </c>
      <c r="F9915" t="s">
        <v>15009</v>
      </c>
      <c r="G9915" t="s">
        <v>39</v>
      </c>
      <c r="H9915">
        <v>1990</v>
      </c>
      <c r="I9915">
        <v>20</v>
      </c>
      <c r="J9915">
        <v>10</v>
      </c>
      <c r="K9915">
        <v>76</v>
      </c>
      <c r="L9915">
        <v>8.83</v>
      </c>
      <c r="M9915">
        <v>27.5</v>
      </c>
      <c r="N9915">
        <v>14.4</v>
      </c>
      <c r="O9915">
        <v>13.1</v>
      </c>
      <c r="P9915">
        <v>19.100000000000001</v>
      </c>
      <c r="Q9915">
        <v>20.6</v>
      </c>
      <c r="R9915">
        <v>21.1</v>
      </c>
      <c r="S9915">
        <v>18.899999999999999</v>
      </c>
      <c r="T9915">
        <v>1890</v>
      </c>
      <c r="U9915">
        <v>325</v>
      </c>
      <c r="V9915">
        <v>10</v>
      </c>
      <c r="W9915">
        <v>67</v>
      </c>
      <c r="X9915">
        <v>846</v>
      </c>
      <c r="Y9915">
        <v>57</v>
      </c>
      <c r="Z9915">
        <v>328</v>
      </c>
      <c r="AA9915">
        <v>844</v>
      </c>
      <c r="AB9915">
        <v>2.3315779999999999</v>
      </c>
      <c r="AC9915">
        <v>4.5014690000000002</v>
      </c>
      <c r="AD9915">
        <v>3.6882250000000001</v>
      </c>
      <c r="AE9915">
        <v>0.75382930000000004</v>
      </c>
      <c r="AF9915">
        <v>1412.5650000000001</v>
      </c>
      <c r="AG9915">
        <f>IFERROR(AH9915*0.1, "N/A")</f>
        <v>5.4</v>
      </c>
      <c r="AH9915">
        <v>54</v>
      </c>
      <c r="AI9915">
        <v>161.23589999999999</v>
      </c>
      <c r="AJ9915">
        <v>41</v>
      </c>
      <c r="AK9915">
        <v>29</v>
      </c>
    </row>
    <row r="9916" spans="1:37" x14ac:dyDescent="0.3">
      <c r="A9916">
        <v>9915</v>
      </c>
      <c r="B9916">
        <v>0</v>
      </c>
      <c r="C9916">
        <v>10.238899999999999</v>
      </c>
      <c r="D9916">
        <v>5.4708300000000003</v>
      </c>
      <c r="E9916" t="s">
        <v>15008</v>
      </c>
      <c r="F9916" t="s">
        <v>15010</v>
      </c>
      <c r="G9916" t="s">
        <v>37</v>
      </c>
      <c r="H9916">
        <v>1990</v>
      </c>
      <c r="I9916">
        <v>20</v>
      </c>
      <c r="J9916">
        <v>10</v>
      </c>
      <c r="K9916">
        <v>76</v>
      </c>
      <c r="L9916">
        <v>8.83</v>
      </c>
      <c r="M9916">
        <v>27.5</v>
      </c>
      <c r="N9916">
        <v>14.4</v>
      </c>
      <c r="O9916">
        <v>13.1</v>
      </c>
      <c r="P9916">
        <v>19.100000000000001</v>
      </c>
      <c r="Q9916">
        <v>20.6</v>
      </c>
      <c r="R9916">
        <v>21.1</v>
      </c>
      <c r="S9916">
        <v>18.899999999999999</v>
      </c>
      <c r="T9916">
        <v>1890</v>
      </c>
      <c r="U9916">
        <v>325</v>
      </c>
      <c r="V9916">
        <v>10</v>
      </c>
      <c r="W9916">
        <v>67</v>
      </c>
      <c r="X9916">
        <v>846</v>
      </c>
      <c r="Y9916">
        <v>57</v>
      </c>
      <c r="Z9916">
        <v>328</v>
      </c>
      <c r="AA9916">
        <v>844</v>
      </c>
      <c r="AB9916">
        <v>2.3315779999999999</v>
      </c>
      <c r="AC9916">
        <v>4.5014690000000002</v>
      </c>
      <c r="AD9916">
        <v>3.6882250000000001</v>
      </c>
      <c r="AE9916">
        <v>0.75382930000000004</v>
      </c>
      <c r="AF9916">
        <v>1412.5650000000001</v>
      </c>
      <c r="AG9916">
        <f>IFERROR(AH9916*0.1, "N/A")</f>
        <v>5.4</v>
      </c>
      <c r="AH9916">
        <v>54</v>
      </c>
      <c r="AI9916">
        <v>161.23589999999999</v>
      </c>
      <c r="AJ9916">
        <v>41</v>
      </c>
      <c r="AK9916">
        <v>29</v>
      </c>
    </row>
    <row r="9917" spans="1:37" x14ac:dyDescent="0.3">
      <c r="A9917">
        <v>9916</v>
      </c>
      <c r="B9917">
        <v>0</v>
      </c>
      <c r="C9917">
        <v>10.238899999999999</v>
      </c>
      <c r="D9917">
        <v>5.4708300000000003</v>
      </c>
      <c r="E9917" t="s">
        <v>15008</v>
      </c>
      <c r="F9917" t="s">
        <v>15011</v>
      </c>
      <c r="G9917" t="s">
        <v>2420</v>
      </c>
      <c r="H9917">
        <v>1990</v>
      </c>
      <c r="I9917">
        <v>20</v>
      </c>
      <c r="J9917">
        <v>10</v>
      </c>
      <c r="K9917">
        <v>76</v>
      </c>
      <c r="L9917">
        <v>8.83</v>
      </c>
      <c r="M9917">
        <v>27.5</v>
      </c>
      <c r="N9917">
        <v>14.4</v>
      </c>
      <c r="O9917">
        <v>13.1</v>
      </c>
      <c r="P9917">
        <v>19.100000000000001</v>
      </c>
      <c r="Q9917">
        <v>20.6</v>
      </c>
      <c r="R9917">
        <v>21.1</v>
      </c>
      <c r="S9917">
        <v>18.899999999999999</v>
      </c>
      <c r="T9917">
        <v>1890</v>
      </c>
      <c r="U9917">
        <v>325</v>
      </c>
      <c r="V9917">
        <v>10</v>
      </c>
      <c r="W9917">
        <v>67</v>
      </c>
      <c r="X9917">
        <v>846</v>
      </c>
      <c r="Y9917">
        <v>57</v>
      </c>
      <c r="Z9917">
        <v>328</v>
      </c>
      <c r="AA9917">
        <v>844</v>
      </c>
      <c r="AB9917">
        <v>2.3315779999999999</v>
      </c>
      <c r="AC9917">
        <v>4.5014690000000002</v>
      </c>
      <c r="AD9917">
        <v>3.6882250000000001</v>
      </c>
      <c r="AE9917">
        <v>0.75382930000000004</v>
      </c>
      <c r="AF9917">
        <v>1412.5650000000001</v>
      </c>
      <c r="AG9917">
        <f>IFERROR(AH9917*0.1, "N/A")</f>
        <v>5.4</v>
      </c>
      <c r="AH9917">
        <v>54</v>
      </c>
      <c r="AI9917">
        <v>161.23589999999999</v>
      </c>
      <c r="AJ9917">
        <v>41</v>
      </c>
      <c r="AK9917">
        <v>29</v>
      </c>
    </row>
    <row r="9918" spans="1:37" x14ac:dyDescent="0.3">
      <c r="A9918">
        <v>9917</v>
      </c>
      <c r="B9918">
        <v>0</v>
      </c>
      <c r="C9918">
        <v>10.1403</v>
      </c>
      <c r="D9918">
        <v>5.5041700000000002</v>
      </c>
      <c r="E9918" t="s">
        <v>15012</v>
      </c>
      <c r="F9918" t="s">
        <v>15013</v>
      </c>
      <c r="G9918" t="s">
        <v>39</v>
      </c>
      <c r="H9918">
        <v>1990</v>
      </c>
      <c r="I9918">
        <v>19.8</v>
      </c>
      <c r="J9918">
        <v>10</v>
      </c>
      <c r="K9918">
        <v>76</v>
      </c>
      <c r="L9918">
        <v>9.36</v>
      </c>
      <c r="M9918">
        <v>27.2</v>
      </c>
      <c r="N9918">
        <v>14.1</v>
      </c>
      <c r="O9918">
        <v>13.1</v>
      </c>
      <c r="P9918">
        <v>18.5</v>
      </c>
      <c r="Q9918">
        <v>20.399999999999999</v>
      </c>
      <c r="R9918">
        <v>20.9</v>
      </c>
      <c r="S9918">
        <v>18.5</v>
      </c>
      <c r="T9918">
        <v>1920</v>
      </c>
      <c r="U9918">
        <v>332</v>
      </c>
      <c r="V9918">
        <v>10</v>
      </c>
      <c r="W9918">
        <v>67</v>
      </c>
      <c r="X9918">
        <v>869</v>
      </c>
      <c r="Y9918">
        <v>58</v>
      </c>
      <c r="Z9918">
        <v>341</v>
      </c>
      <c r="AA9918">
        <v>869</v>
      </c>
      <c r="AB9918">
        <v>45.582999999999998</v>
      </c>
      <c r="AC9918">
        <v>8.5241109999999991E-3</v>
      </c>
      <c r="AD9918">
        <v>5.3338429999999999</v>
      </c>
      <c r="AE9918">
        <v>0.6234229</v>
      </c>
      <c r="AF9918">
        <v>1486.7239999999999</v>
      </c>
      <c r="AG9918">
        <f>IFERROR(AH9918*0.1, "N/A")</f>
        <v>5.3000000000000007</v>
      </c>
      <c r="AH9918">
        <v>53</v>
      </c>
      <c r="AI9918">
        <v>157.5326</v>
      </c>
      <c r="AJ9918">
        <v>37</v>
      </c>
      <c r="AK9918">
        <v>33</v>
      </c>
    </row>
    <row r="9919" spans="1:37" x14ac:dyDescent="0.3">
      <c r="A9919">
        <v>9918</v>
      </c>
      <c r="B9919">
        <v>0</v>
      </c>
      <c r="C9919">
        <v>10.1403</v>
      </c>
      <c r="D9919">
        <v>5.5041700000000002</v>
      </c>
      <c r="E9919" t="s">
        <v>15012</v>
      </c>
      <c r="F9919" t="s">
        <v>15014</v>
      </c>
      <c r="G9919" t="s">
        <v>37</v>
      </c>
      <c r="H9919">
        <v>1990</v>
      </c>
      <c r="I9919">
        <v>19.8</v>
      </c>
      <c r="J9919">
        <v>10</v>
      </c>
      <c r="K9919">
        <v>76</v>
      </c>
      <c r="L9919">
        <v>9.36</v>
      </c>
      <c r="M9919">
        <v>27.2</v>
      </c>
      <c r="N9919">
        <v>14.1</v>
      </c>
      <c r="O9919">
        <v>13.1</v>
      </c>
      <c r="P9919">
        <v>18.5</v>
      </c>
      <c r="Q9919">
        <v>20.399999999999999</v>
      </c>
      <c r="R9919">
        <v>20.9</v>
      </c>
      <c r="S9919">
        <v>18.5</v>
      </c>
      <c r="T9919">
        <v>1920</v>
      </c>
      <c r="U9919">
        <v>332</v>
      </c>
      <c r="V9919">
        <v>10</v>
      </c>
      <c r="W9919">
        <v>67</v>
      </c>
      <c r="X9919">
        <v>869</v>
      </c>
      <c r="Y9919">
        <v>58</v>
      </c>
      <c r="Z9919">
        <v>341</v>
      </c>
      <c r="AA9919">
        <v>869</v>
      </c>
      <c r="AB9919">
        <v>45.582999999999998</v>
      </c>
      <c r="AC9919">
        <v>8.5241109999999991E-3</v>
      </c>
      <c r="AD9919">
        <v>5.3338429999999999</v>
      </c>
      <c r="AE9919">
        <v>0.6234229</v>
      </c>
      <c r="AF9919">
        <v>1486.7239999999999</v>
      </c>
      <c r="AG9919">
        <f>IFERROR(AH9919*0.1, "N/A")</f>
        <v>5.3000000000000007</v>
      </c>
      <c r="AH9919">
        <v>53</v>
      </c>
      <c r="AI9919">
        <v>157.5326</v>
      </c>
      <c r="AJ9919">
        <v>37</v>
      </c>
      <c r="AK9919">
        <v>33</v>
      </c>
    </row>
    <row r="9920" spans="1:37" x14ac:dyDescent="0.3">
      <c r="A9920">
        <v>9919</v>
      </c>
      <c r="B9920">
        <v>0</v>
      </c>
      <c r="C9920">
        <v>10.1403</v>
      </c>
      <c r="D9920">
        <v>5.5041700000000002</v>
      </c>
      <c r="E9920" t="s">
        <v>15012</v>
      </c>
      <c r="F9920" t="s">
        <v>15015</v>
      </c>
      <c r="G9920" t="s">
        <v>2420</v>
      </c>
      <c r="H9920">
        <v>1990</v>
      </c>
      <c r="I9920">
        <v>19.8</v>
      </c>
      <c r="J9920">
        <v>10</v>
      </c>
      <c r="K9920">
        <v>76</v>
      </c>
      <c r="L9920">
        <v>9.36</v>
      </c>
      <c r="M9920">
        <v>27.2</v>
      </c>
      <c r="N9920">
        <v>14.1</v>
      </c>
      <c r="O9920">
        <v>13.1</v>
      </c>
      <c r="P9920">
        <v>18.5</v>
      </c>
      <c r="Q9920">
        <v>20.399999999999999</v>
      </c>
      <c r="R9920">
        <v>20.9</v>
      </c>
      <c r="S9920">
        <v>18.5</v>
      </c>
      <c r="T9920">
        <v>1920</v>
      </c>
      <c r="U9920">
        <v>332</v>
      </c>
      <c r="V9920">
        <v>10</v>
      </c>
      <c r="W9920">
        <v>67</v>
      </c>
      <c r="X9920">
        <v>869</v>
      </c>
      <c r="Y9920">
        <v>58</v>
      </c>
      <c r="Z9920">
        <v>341</v>
      </c>
      <c r="AA9920">
        <v>869</v>
      </c>
      <c r="AB9920">
        <v>45.582999999999998</v>
      </c>
      <c r="AC9920">
        <v>8.5241109999999991E-3</v>
      </c>
      <c r="AD9920">
        <v>5.3338429999999999</v>
      </c>
      <c r="AE9920">
        <v>0.6234229</v>
      </c>
      <c r="AF9920">
        <v>1486.7239999999999</v>
      </c>
      <c r="AG9920">
        <f>IFERROR(AH9920*0.1, "N/A")</f>
        <v>5.3000000000000007</v>
      </c>
      <c r="AH9920">
        <v>53</v>
      </c>
      <c r="AI9920">
        <v>157.5326</v>
      </c>
      <c r="AJ9920">
        <v>37</v>
      </c>
      <c r="AK9920">
        <v>33</v>
      </c>
    </row>
    <row r="9921" spans="1:37" x14ac:dyDescent="0.3">
      <c r="A9921">
        <v>9920</v>
      </c>
      <c r="B9921">
        <v>1.1000000000000001</v>
      </c>
      <c r="C9921">
        <v>10.6347</v>
      </c>
      <c r="D9921">
        <v>5.5069400000000002</v>
      </c>
      <c r="E9921" t="s">
        <v>15016</v>
      </c>
      <c r="F9921" t="s">
        <v>15017</v>
      </c>
      <c r="G9921" t="s">
        <v>39</v>
      </c>
      <c r="H9921">
        <v>1990</v>
      </c>
      <c r="I9921">
        <v>22.2</v>
      </c>
      <c r="J9921">
        <v>10.199999999999999</v>
      </c>
      <c r="K9921">
        <v>76</v>
      </c>
      <c r="L9921">
        <v>8.66</v>
      </c>
      <c r="M9921">
        <v>30</v>
      </c>
      <c r="N9921">
        <v>16.600000000000001</v>
      </c>
      <c r="O9921">
        <v>13.4</v>
      </c>
      <c r="P9921">
        <v>21.2</v>
      </c>
      <c r="Q9921">
        <v>22.9</v>
      </c>
      <c r="R9921">
        <v>23.3</v>
      </c>
      <c r="S9921">
        <v>21.2</v>
      </c>
      <c r="T9921">
        <v>1985</v>
      </c>
      <c r="U9921">
        <v>342</v>
      </c>
      <c r="V9921">
        <v>5</v>
      </c>
      <c r="W9921">
        <v>70</v>
      </c>
      <c r="X9921">
        <v>938</v>
      </c>
      <c r="Y9921">
        <v>41</v>
      </c>
      <c r="Z9921">
        <v>313</v>
      </c>
      <c r="AA9921">
        <v>938</v>
      </c>
      <c r="AB9921">
        <v>9.8541340000000002</v>
      </c>
      <c r="AC9921">
        <v>4.4119789999999997</v>
      </c>
      <c r="AD9921">
        <v>5.984966</v>
      </c>
      <c r="AE9921">
        <v>0.840665</v>
      </c>
      <c r="AF9921">
        <v>1051.902</v>
      </c>
      <c r="AG9921">
        <f>IFERROR(AH9921*0.1, "N/A")</f>
        <v>5.9059540000000004</v>
      </c>
      <c r="AH9921">
        <v>59.059539999999998</v>
      </c>
      <c r="AI9921">
        <v>284.41379999999998</v>
      </c>
      <c r="AJ9921">
        <v>36.34151</v>
      </c>
      <c r="AK9921">
        <v>39.520139999999998</v>
      </c>
    </row>
    <row r="9922" spans="1:37" x14ac:dyDescent="0.3">
      <c r="A9922">
        <v>9921</v>
      </c>
      <c r="B9922">
        <v>6.6</v>
      </c>
      <c r="C9922">
        <v>10.6347</v>
      </c>
      <c r="D9922">
        <v>5.5069400000000002</v>
      </c>
      <c r="E9922" t="s">
        <v>15016</v>
      </c>
      <c r="F9922" t="s">
        <v>15018</v>
      </c>
      <c r="G9922" t="s">
        <v>37</v>
      </c>
      <c r="H9922">
        <v>1990</v>
      </c>
      <c r="I9922">
        <v>22.2</v>
      </c>
      <c r="J9922">
        <v>10.199999999999999</v>
      </c>
      <c r="K9922">
        <v>76</v>
      </c>
      <c r="L9922">
        <v>8.66</v>
      </c>
      <c r="M9922">
        <v>30</v>
      </c>
      <c r="N9922">
        <v>16.600000000000001</v>
      </c>
      <c r="O9922">
        <v>13.4</v>
      </c>
      <c r="P9922">
        <v>21.2</v>
      </c>
      <c r="Q9922">
        <v>22.9</v>
      </c>
      <c r="R9922">
        <v>23.3</v>
      </c>
      <c r="S9922">
        <v>21.2</v>
      </c>
      <c r="T9922">
        <v>1985</v>
      </c>
      <c r="U9922">
        <v>342</v>
      </c>
      <c r="V9922">
        <v>5</v>
      </c>
      <c r="W9922">
        <v>70</v>
      </c>
      <c r="X9922">
        <v>938</v>
      </c>
      <c r="Y9922">
        <v>41</v>
      </c>
      <c r="Z9922">
        <v>313</v>
      </c>
      <c r="AA9922">
        <v>938</v>
      </c>
      <c r="AB9922">
        <v>9.8541340000000002</v>
      </c>
      <c r="AC9922">
        <v>4.4119789999999997</v>
      </c>
      <c r="AD9922">
        <v>5.984966</v>
      </c>
      <c r="AE9922">
        <v>0.840665</v>
      </c>
      <c r="AF9922">
        <v>1051.902</v>
      </c>
      <c r="AG9922">
        <f>IFERROR(AH9922*0.1, "N/A")</f>
        <v>5.9059540000000004</v>
      </c>
      <c r="AH9922">
        <v>59.059539999999998</v>
      </c>
      <c r="AI9922">
        <v>284.41379999999998</v>
      </c>
      <c r="AJ9922">
        <v>36.34151</v>
      </c>
      <c r="AK9922">
        <v>39.520139999999998</v>
      </c>
    </row>
    <row r="9923" spans="1:37" x14ac:dyDescent="0.3">
      <c r="A9923">
        <v>9922</v>
      </c>
      <c r="B9923">
        <v>0</v>
      </c>
      <c r="C9923">
        <v>10.6347</v>
      </c>
      <c r="D9923">
        <v>5.5069400000000002</v>
      </c>
      <c r="E9923" t="s">
        <v>15016</v>
      </c>
      <c r="F9923" t="s">
        <v>15019</v>
      </c>
      <c r="G9923" t="s">
        <v>2420</v>
      </c>
      <c r="H9923">
        <v>1990</v>
      </c>
      <c r="I9923">
        <v>22.2</v>
      </c>
      <c r="J9923">
        <v>10.199999999999999</v>
      </c>
      <c r="K9923">
        <v>76</v>
      </c>
      <c r="L9923">
        <v>8.66</v>
      </c>
      <c r="M9923">
        <v>30</v>
      </c>
      <c r="N9923">
        <v>16.600000000000001</v>
      </c>
      <c r="O9923">
        <v>13.4</v>
      </c>
      <c r="P9923">
        <v>21.2</v>
      </c>
      <c r="Q9923">
        <v>22.9</v>
      </c>
      <c r="R9923">
        <v>23.3</v>
      </c>
      <c r="S9923">
        <v>21.2</v>
      </c>
      <c r="T9923">
        <v>1985</v>
      </c>
      <c r="U9923">
        <v>342</v>
      </c>
      <c r="V9923">
        <v>5</v>
      </c>
      <c r="W9923">
        <v>70</v>
      </c>
      <c r="X9923">
        <v>938</v>
      </c>
      <c r="Y9923">
        <v>41</v>
      </c>
      <c r="Z9923">
        <v>313</v>
      </c>
      <c r="AA9923">
        <v>938</v>
      </c>
      <c r="AB9923">
        <v>9.8541340000000002</v>
      </c>
      <c r="AC9923">
        <v>4.4119789999999997</v>
      </c>
      <c r="AD9923">
        <v>5.984966</v>
      </c>
      <c r="AE9923">
        <v>0.840665</v>
      </c>
      <c r="AF9923">
        <v>1051.902</v>
      </c>
      <c r="AG9923">
        <f>IFERROR(AH9923*0.1, "N/A")</f>
        <v>5.9059540000000004</v>
      </c>
      <c r="AH9923">
        <v>59.059539999999998</v>
      </c>
      <c r="AI9923">
        <v>284.41379999999998</v>
      </c>
      <c r="AJ9923">
        <v>36.34151</v>
      </c>
      <c r="AK9923">
        <v>39.520139999999998</v>
      </c>
    </row>
    <row r="9924" spans="1:37" x14ac:dyDescent="0.3">
      <c r="A9924">
        <v>9923</v>
      </c>
      <c r="B9924">
        <v>0</v>
      </c>
      <c r="C9924">
        <v>10.2181</v>
      </c>
      <c r="D9924">
        <v>5.5111100000000004</v>
      </c>
      <c r="E9924" t="s">
        <v>15020</v>
      </c>
      <c r="F9924" t="s">
        <v>15021</v>
      </c>
      <c r="G9924" t="s">
        <v>39</v>
      </c>
      <c r="H9924">
        <v>1990</v>
      </c>
      <c r="I9924">
        <v>20</v>
      </c>
      <c r="J9924">
        <v>10</v>
      </c>
      <c r="K9924">
        <v>76</v>
      </c>
      <c r="L9924">
        <v>8.9600000000000009</v>
      </c>
      <c r="M9924">
        <v>27.5</v>
      </c>
      <c r="N9924">
        <v>14.4</v>
      </c>
      <c r="O9924">
        <v>13.1</v>
      </c>
      <c r="P9924">
        <v>18.899999999999999</v>
      </c>
      <c r="Q9924">
        <v>20.6</v>
      </c>
      <c r="R9924">
        <v>21.2</v>
      </c>
      <c r="S9924">
        <v>18.899999999999999</v>
      </c>
      <c r="T9924">
        <v>1905</v>
      </c>
      <c r="U9924">
        <v>328</v>
      </c>
      <c r="V9924">
        <v>10</v>
      </c>
      <c r="W9924">
        <v>67</v>
      </c>
      <c r="X9924">
        <v>859</v>
      </c>
      <c r="Y9924">
        <v>56</v>
      </c>
      <c r="Z9924">
        <v>330</v>
      </c>
      <c r="AA9924">
        <v>859</v>
      </c>
      <c r="AB9924">
        <v>56.256749999999997</v>
      </c>
      <c r="AC9924">
        <v>9.7098949999999996E-3</v>
      </c>
      <c r="AD9924">
        <v>4.5805160000000003</v>
      </c>
      <c r="AE9924">
        <v>0.62154379999999998</v>
      </c>
      <c r="AF9924">
        <v>1489.028</v>
      </c>
      <c r="AG9924">
        <f>IFERROR(AH9924*0.1, "N/A")</f>
        <v>5.5</v>
      </c>
      <c r="AH9924">
        <v>55</v>
      </c>
      <c r="AI9924">
        <v>46.380629999999996</v>
      </c>
      <c r="AJ9924">
        <v>42.69164</v>
      </c>
      <c r="AK9924">
        <v>30</v>
      </c>
    </row>
    <row r="9925" spans="1:37" x14ac:dyDescent="0.3">
      <c r="A9925">
        <v>9924</v>
      </c>
      <c r="B9925">
        <v>0</v>
      </c>
      <c r="C9925">
        <v>10.2181</v>
      </c>
      <c r="D9925">
        <v>5.5111100000000004</v>
      </c>
      <c r="E9925" t="s">
        <v>15020</v>
      </c>
      <c r="F9925" t="s">
        <v>15022</v>
      </c>
      <c r="G9925" t="s">
        <v>37</v>
      </c>
      <c r="H9925">
        <v>1990</v>
      </c>
      <c r="I9925">
        <v>20</v>
      </c>
      <c r="J9925">
        <v>10</v>
      </c>
      <c r="K9925">
        <v>76</v>
      </c>
      <c r="L9925">
        <v>8.9600000000000009</v>
      </c>
      <c r="M9925">
        <v>27.5</v>
      </c>
      <c r="N9925">
        <v>14.4</v>
      </c>
      <c r="O9925">
        <v>13.1</v>
      </c>
      <c r="P9925">
        <v>18.899999999999999</v>
      </c>
      <c r="Q9925">
        <v>20.6</v>
      </c>
      <c r="R9925">
        <v>21.2</v>
      </c>
      <c r="S9925">
        <v>18.899999999999999</v>
      </c>
      <c r="T9925">
        <v>1905</v>
      </c>
      <c r="U9925">
        <v>328</v>
      </c>
      <c r="V9925">
        <v>10</v>
      </c>
      <c r="W9925">
        <v>67</v>
      </c>
      <c r="X9925">
        <v>859</v>
      </c>
      <c r="Y9925">
        <v>56</v>
      </c>
      <c r="Z9925">
        <v>330</v>
      </c>
      <c r="AA9925">
        <v>859</v>
      </c>
      <c r="AB9925">
        <v>56.256749999999997</v>
      </c>
      <c r="AC9925">
        <v>9.7098949999999996E-3</v>
      </c>
      <c r="AD9925">
        <v>4.5805160000000003</v>
      </c>
      <c r="AE9925">
        <v>0.62154379999999998</v>
      </c>
      <c r="AF9925">
        <v>1489.028</v>
      </c>
      <c r="AG9925">
        <f>IFERROR(AH9925*0.1, "N/A")</f>
        <v>5.5</v>
      </c>
      <c r="AH9925">
        <v>55</v>
      </c>
      <c r="AI9925">
        <v>46.380629999999996</v>
      </c>
      <c r="AJ9925">
        <v>42.69164</v>
      </c>
      <c r="AK9925">
        <v>30</v>
      </c>
    </row>
    <row r="9926" spans="1:37" x14ac:dyDescent="0.3">
      <c r="A9926">
        <v>9925</v>
      </c>
      <c r="B9926">
        <v>0</v>
      </c>
      <c r="C9926">
        <v>10.2181</v>
      </c>
      <c r="D9926">
        <v>5.5111100000000004</v>
      </c>
      <c r="E9926" t="s">
        <v>15020</v>
      </c>
      <c r="F9926" t="s">
        <v>15023</v>
      </c>
      <c r="G9926" t="s">
        <v>2420</v>
      </c>
      <c r="H9926">
        <v>1990</v>
      </c>
      <c r="I9926">
        <v>20</v>
      </c>
      <c r="J9926">
        <v>10</v>
      </c>
      <c r="K9926">
        <v>76</v>
      </c>
      <c r="L9926">
        <v>8.9600000000000009</v>
      </c>
      <c r="M9926">
        <v>27.5</v>
      </c>
      <c r="N9926">
        <v>14.4</v>
      </c>
      <c r="O9926">
        <v>13.1</v>
      </c>
      <c r="P9926">
        <v>18.899999999999999</v>
      </c>
      <c r="Q9926">
        <v>20.6</v>
      </c>
      <c r="R9926">
        <v>21.2</v>
      </c>
      <c r="S9926">
        <v>18.899999999999999</v>
      </c>
      <c r="T9926">
        <v>1905</v>
      </c>
      <c r="U9926">
        <v>328</v>
      </c>
      <c r="V9926">
        <v>10</v>
      </c>
      <c r="W9926">
        <v>67</v>
      </c>
      <c r="X9926">
        <v>859</v>
      </c>
      <c r="Y9926">
        <v>56</v>
      </c>
      <c r="Z9926">
        <v>330</v>
      </c>
      <c r="AA9926">
        <v>859</v>
      </c>
      <c r="AB9926">
        <v>56.256749999999997</v>
      </c>
      <c r="AC9926">
        <v>9.7098949999999996E-3</v>
      </c>
      <c r="AD9926">
        <v>4.5805160000000003</v>
      </c>
      <c r="AE9926">
        <v>0.62154379999999998</v>
      </c>
      <c r="AF9926">
        <v>1489.028</v>
      </c>
      <c r="AG9926">
        <f>IFERROR(AH9926*0.1, "N/A")</f>
        <v>5.5</v>
      </c>
      <c r="AH9926">
        <v>55</v>
      </c>
      <c r="AI9926">
        <v>46.380629999999996</v>
      </c>
      <c r="AJ9926">
        <v>42.69164</v>
      </c>
      <c r="AK9926">
        <v>30</v>
      </c>
    </row>
    <row r="9927" spans="1:37" x14ac:dyDescent="0.3">
      <c r="A9927">
        <v>9926</v>
      </c>
      <c r="B9927">
        <v>4.4000000000000004</v>
      </c>
      <c r="C9927">
        <v>14.1167</v>
      </c>
      <c r="D9927">
        <v>5.5166700000000004</v>
      </c>
      <c r="E9927" t="s">
        <v>15024</v>
      </c>
      <c r="F9927" t="s">
        <v>15025</v>
      </c>
      <c r="G9927" t="s">
        <v>39</v>
      </c>
      <c r="H9927">
        <v>1990</v>
      </c>
      <c r="I9927">
        <v>22.795089999999998</v>
      </c>
      <c r="J9927">
        <v>10.8</v>
      </c>
      <c r="K9927">
        <v>72.092979999999997</v>
      </c>
      <c r="L9927">
        <v>7.8643159999999996</v>
      </c>
      <c r="M9927">
        <v>30.772110000000001</v>
      </c>
      <c r="N9927">
        <v>15.904389999999999</v>
      </c>
      <c r="O9927">
        <v>14.86772</v>
      </c>
      <c r="P9927">
        <v>22.081399999999999</v>
      </c>
      <c r="Q9927">
        <v>23.133859999999999</v>
      </c>
      <c r="R9927">
        <v>23.89509</v>
      </c>
      <c r="S9927">
        <v>21.824560000000002</v>
      </c>
      <c r="T9927">
        <v>1555.7539999999999</v>
      </c>
      <c r="U9927">
        <v>251.47540000000001</v>
      </c>
      <c r="V9927">
        <v>10</v>
      </c>
      <c r="W9927">
        <v>65.475440000000006</v>
      </c>
      <c r="X9927">
        <v>706.72109999999998</v>
      </c>
      <c r="Y9927">
        <v>44.524560000000001</v>
      </c>
      <c r="Z9927">
        <v>240.66669999999999</v>
      </c>
      <c r="AA9927">
        <v>629.47019999999998</v>
      </c>
      <c r="AB9927">
        <v>33.790349999999997</v>
      </c>
      <c r="AC9927">
        <v>8.5090600000000006E-3</v>
      </c>
      <c r="AD9927">
        <v>2.8276810000000001</v>
      </c>
      <c r="AE9927">
        <v>0.28894239999999999</v>
      </c>
      <c r="AF9927">
        <v>923.08950000000004</v>
      </c>
      <c r="AG9927">
        <f>IFERROR(AH9927*0.1, "N/A")</f>
        <v>5.4</v>
      </c>
      <c r="AH9927">
        <v>54</v>
      </c>
      <c r="AI9927">
        <v>183.4444</v>
      </c>
      <c r="AJ9927">
        <v>30.54035</v>
      </c>
      <c r="AK9927">
        <v>46.9193</v>
      </c>
    </row>
    <row r="9928" spans="1:37" x14ac:dyDescent="0.3">
      <c r="A9928">
        <v>9927</v>
      </c>
      <c r="B9928">
        <v>0</v>
      </c>
      <c r="C9928">
        <v>14.1167</v>
      </c>
      <c r="D9928">
        <v>5.5166700000000004</v>
      </c>
      <c r="E9928" t="s">
        <v>15024</v>
      </c>
      <c r="F9928" t="s">
        <v>15026</v>
      </c>
      <c r="G9928" t="s">
        <v>37</v>
      </c>
      <c r="H9928">
        <v>1990</v>
      </c>
      <c r="I9928">
        <v>22.795089999999998</v>
      </c>
      <c r="J9928">
        <v>10.8</v>
      </c>
      <c r="K9928">
        <v>72.092979999999997</v>
      </c>
      <c r="L9928">
        <v>7.8643159999999996</v>
      </c>
      <c r="M9928">
        <v>30.772110000000001</v>
      </c>
      <c r="N9928">
        <v>15.904389999999999</v>
      </c>
      <c r="O9928">
        <v>14.86772</v>
      </c>
      <c r="P9928">
        <v>22.081399999999999</v>
      </c>
      <c r="Q9928">
        <v>23.133859999999999</v>
      </c>
      <c r="R9928">
        <v>23.89509</v>
      </c>
      <c r="S9928">
        <v>21.824560000000002</v>
      </c>
      <c r="T9928">
        <v>1555.7539999999999</v>
      </c>
      <c r="U9928">
        <v>251.47540000000001</v>
      </c>
      <c r="V9928">
        <v>10</v>
      </c>
      <c r="W9928">
        <v>65.475440000000006</v>
      </c>
      <c r="X9928">
        <v>706.72109999999998</v>
      </c>
      <c r="Y9928">
        <v>44.524560000000001</v>
      </c>
      <c r="Z9928">
        <v>240.66669999999999</v>
      </c>
      <c r="AA9928">
        <v>629.47019999999998</v>
      </c>
      <c r="AB9928">
        <v>33.790349999999997</v>
      </c>
      <c r="AC9928">
        <v>8.5090600000000006E-3</v>
      </c>
      <c r="AD9928">
        <v>2.8276810000000001</v>
      </c>
      <c r="AE9928">
        <v>0.28894239999999999</v>
      </c>
      <c r="AF9928">
        <v>923.08950000000004</v>
      </c>
      <c r="AG9928">
        <f>IFERROR(AH9928*0.1, "N/A")</f>
        <v>5.4</v>
      </c>
      <c r="AH9928">
        <v>54</v>
      </c>
      <c r="AI9928">
        <v>183.4444</v>
      </c>
      <c r="AJ9928">
        <v>30.54035</v>
      </c>
      <c r="AK9928">
        <v>46.9193</v>
      </c>
    </row>
    <row r="9929" spans="1:37" x14ac:dyDescent="0.3">
      <c r="A9929">
        <v>9928</v>
      </c>
      <c r="B9929">
        <v>0</v>
      </c>
      <c r="C9929">
        <v>14.1167</v>
      </c>
      <c r="D9929">
        <v>5.5166700000000004</v>
      </c>
      <c r="E9929" t="s">
        <v>15024</v>
      </c>
      <c r="F9929" t="s">
        <v>15027</v>
      </c>
      <c r="G9929" t="s">
        <v>2420</v>
      </c>
      <c r="H9929">
        <v>1990</v>
      </c>
      <c r="I9929">
        <v>22.795089999999998</v>
      </c>
      <c r="J9929">
        <v>10.8</v>
      </c>
      <c r="K9929">
        <v>72.092979999999997</v>
      </c>
      <c r="L9929">
        <v>7.8643159999999996</v>
      </c>
      <c r="M9929">
        <v>30.772110000000001</v>
      </c>
      <c r="N9929">
        <v>15.904389999999999</v>
      </c>
      <c r="O9929">
        <v>14.86772</v>
      </c>
      <c r="P9929">
        <v>22.081399999999999</v>
      </c>
      <c r="Q9929">
        <v>23.133859999999999</v>
      </c>
      <c r="R9929">
        <v>23.89509</v>
      </c>
      <c r="S9929">
        <v>21.824560000000002</v>
      </c>
      <c r="T9929">
        <v>1555.7539999999999</v>
      </c>
      <c r="U9929">
        <v>251.47540000000001</v>
      </c>
      <c r="V9929">
        <v>10</v>
      </c>
      <c r="W9929">
        <v>65.475440000000006</v>
      </c>
      <c r="X9929">
        <v>706.72109999999998</v>
      </c>
      <c r="Y9929">
        <v>44.524560000000001</v>
      </c>
      <c r="Z9929">
        <v>240.66669999999999</v>
      </c>
      <c r="AA9929">
        <v>629.47019999999998</v>
      </c>
      <c r="AB9929">
        <v>33.790349999999997</v>
      </c>
      <c r="AC9929">
        <v>8.5090600000000006E-3</v>
      </c>
      <c r="AD9929">
        <v>2.8276810000000001</v>
      </c>
      <c r="AE9929">
        <v>0.28894239999999999</v>
      </c>
      <c r="AF9929">
        <v>923.08950000000004</v>
      </c>
      <c r="AG9929">
        <f>IFERROR(AH9929*0.1, "N/A")</f>
        <v>5.4</v>
      </c>
      <c r="AH9929">
        <v>54</v>
      </c>
      <c r="AI9929">
        <v>183.4444</v>
      </c>
      <c r="AJ9929">
        <v>30.54035</v>
      </c>
      <c r="AK9929">
        <v>46.9193</v>
      </c>
    </row>
    <row r="9930" spans="1:37" x14ac:dyDescent="0.3">
      <c r="A9930">
        <v>9929</v>
      </c>
      <c r="B9930">
        <v>0</v>
      </c>
      <c r="C9930">
        <v>10.2333</v>
      </c>
      <c r="D9930">
        <v>5.5166700000000004</v>
      </c>
      <c r="E9930" t="s">
        <v>15028</v>
      </c>
      <c r="F9930" t="s">
        <v>15029</v>
      </c>
      <c r="G9930" t="s">
        <v>39</v>
      </c>
      <c r="H9930">
        <v>1990</v>
      </c>
      <c r="I9930">
        <v>20.06795</v>
      </c>
      <c r="J9930">
        <v>10.1</v>
      </c>
      <c r="K9930">
        <v>75.243430000000004</v>
      </c>
      <c r="L9930">
        <v>9.2170400000000008</v>
      </c>
      <c r="M9930">
        <v>27.643609999999999</v>
      </c>
      <c r="N9930">
        <v>14.36795</v>
      </c>
      <c r="O9930">
        <v>13.27566</v>
      </c>
      <c r="P9930">
        <v>18.906829999999999</v>
      </c>
      <c r="Q9930">
        <v>20.677759999999999</v>
      </c>
      <c r="R9930">
        <v>21.253419999999998</v>
      </c>
      <c r="S9930">
        <v>18.906829999999999</v>
      </c>
      <c r="T9930">
        <v>1905.7570000000001</v>
      </c>
      <c r="U9930">
        <v>328.6112</v>
      </c>
      <c r="V9930">
        <v>10</v>
      </c>
      <c r="W9930">
        <v>67</v>
      </c>
      <c r="X9930">
        <v>860.12429999999995</v>
      </c>
      <c r="Y9930">
        <v>56</v>
      </c>
      <c r="Z9930">
        <v>328.6585</v>
      </c>
      <c r="AA9930">
        <v>860.12429999999995</v>
      </c>
      <c r="AB9930">
        <v>16.044689999999999</v>
      </c>
      <c r="AC9930">
        <v>2.847773E-2</v>
      </c>
      <c r="AD9930">
        <v>3.7827670000000002</v>
      </c>
      <c r="AE9930">
        <v>0.58542870000000002</v>
      </c>
      <c r="AF9930">
        <v>1428.0250000000001</v>
      </c>
      <c r="AG9930">
        <f>IFERROR(AH9930*0.1, "N/A")</f>
        <v>5.5</v>
      </c>
      <c r="AH9930">
        <v>55</v>
      </c>
      <c r="AI9930">
        <v>215.41980000000001</v>
      </c>
      <c r="AJ9930">
        <v>45.513129999999997</v>
      </c>
      <c r="AK9930">
        <v>24.48687</v>
      </c>
    </row>
    <row r="9931" spans="1:37" x14ac:dyDescent="0.3">
      <c r="A9931">
        <v>9930</v>
      </c>
      <c r="B9931">
        <v>0</v>
      </c>
      <c r="C9931">
        <v>10.2333</v>
      </c>
      <c r="D9931">
        <v>5.5166700000000004</v>
      </c>
      <c r="E9931" t="s">
        <v>15028</v>
      </c>
      <c r="F9931" t="s">
        <v>15030</v>
      </c>
      <c r="G9931" t="s">
        <v>37</v>
      </c>
      <c r="H9931">
        <v>1990</v>
      </c>
      <c r="I9931">
        <v>20.06795</v>
      </c>
      <c r="J9931">
        <v>10.1</v>
      </c>
      <c r="K9931">
        <v>75.243430000000004</v>
      </c>
      <c r="L9931">
        <v>9.2170400000000008</v>
      </c>
      <c r="M9931">
        <v>27.643609999999999</v>
      </c>
      <c r="N9931">
        <v>14.36795</v>
      </c>
      <c r="O9931">
        <v>13.27566</v>
      </c>
      <c r="P9931">
        <v>18.906829999999999</v>
      </c>
      <c r="Q9931">
        <v>20.677759999999999</v>
      </c>
      <c r="R9931">
        <v>21.253419999999998</v>
      </c>
      <c r="S9931">
        <v>18.906829999999999</v>
      </c>
      <c r="T9931">
        <v>1905.7570000000001</v>
      </c>
      <c r="U9931">
        <v>328.6112</v>
      </c>
      <c r="V9931">
        <v>10</v>
      </c>
      <c r="W9931">
        <v>67</v>
      </c>
      <c r="X9931">
        <v>860.12429999999995</v>
      </c>
      <c r="Y9931">
        <v>56</v>
      </c>
      <c r="Z9931">
        <v>328.6585</v>
      </c>
      <c r="AA9931">
        <v>860.12429999999995</v>
      </c>
      <c r="AB9931">
        <v>16.044689999999999</v>
      </c>
      <c r="AC9931">
        <v>2.847773E-2</v>
      </c>
      <c r="AD9931">
        <v>3.7827670000000002</v>
      </c>
      <c r="AE9931">
        <v>0.58542870000000002</v>
      </c>
      <c r="AF9931">
        <v>1428.0250000000001</v>
      </c>
      <c r="AG9931">
        <f>IFERROR(AH9931*0.1, "N/A")</f>
        <v>5.5</v>
      </c>
      <c r="AH9931">
        <v>55</v>
      </c>
      <c r="AI9931">
        <v>215.41980000000001</v>
      </c>
      <c r="AJ9931">
        <v>45.513129999999997</v>
      </c>
      <c r="AK9931">
        <v>24.48687</v>
      </c>
    </row>
    <row r="9932" spans="1:37" x14ac:dyDescent="0.3">
      <c r="A9932">
        <v>9931</v>
      </c>
      <c r="B9932">
        <v>0</v>
      </c>
      <c r="C9932">
        <v>10.2333</v>
      </c>
      <c r="D9932">
        <v>5.5166700000000004</v>
      </c>
      <c r="E9932" t="s">
        <v>15028</v>
      </c>
      <c r="F9932" t="s">
        <v>15031</v>
      </c>
      <c r="G9932" t="s">
        <v>2420</v>
      </c>
      <c r="H9932">
        <v>1990</v>
      </c>
      <c r="I9932">
        <v>20.06795</v>
      </c>
      <c r="J9932">
        <v>10.1</v>
      </c>
      <c r="K9932">
        <v>75.243430000000004</v>
      </c>
      <c r="L9932">
        <v>9.2170400000000008</v>
      </c>
      <c r="M9932">
        <v>27.643609999999999</v>
      </c>
      <c r="N9932">
        <v>14.36795</v>
      </c>
      <c r="O9932">
        <v>13.27566</v>
      </c>
      <c r="P9932">
        <v>18.906829999999999</v>
      </c>
      <c r="Q9932">
        <v>20.677759999999999</v>
      </c>
      <c r="R9932">
        <v>21.253419999999998</v>
      </c>
      <c r="S9932">
        <v>18.906829999999999</v>
      </c>
      <c r="T9932">
        <v>1905.7570000000001</v>
      </c>
      <c r="U9932">
        <v>328.6112</v>
      </c>
      <c r="V9932">
        <v>10</v>
      </c>
      <c r="W9932">
        <v>67</v>
      </c>
      <c r="X9932">
        <v>860.12429999999995</v>
      </c>
      <c r="Y9932">
        <v>56</v>
      </c>
      <c r="Z9932">
        <v>328.6585</v>
      </c>
      <c r="AA9932">
        <v>860.12429999999995</v>
      </c>
      <c r="AB9932">
        <v>16.044689999999999</v>
      </c>
      <c r="AC9932">
        <v>2.847773E-2</v>
      </c>
      <c r="AD9932">
        <v>3.7827670000000002</v>
      </c>
      <c r="AE9932">
        <v>0.58542870000000002</v>
      </c>
      <c r="AF9932">
        <v>1428.0250000000001</v>
      </c>
      <c r="AG9932">
        <f>IFERROR(AH9932*0.1, "N/A")</f>
        <v>5.5</v>
      </c>
      <c r="AH9932">
        <v>55</v>
      </c>
      <c r="AI9932">
        <v>215.41980000000001</v>
      </c>
      <c r="AJ9932">
        <v>45.513129999999997</v>
      </c>
      <c r="AK9932">
        <v>24.48687</v>
      </c>
    </row>
    <row r="9933" spans="1:37" x14ac:dyDescent="0.3">
      <c r="A9933">
        <v>9932</v>
      </c>
      <c r="B9933">
        <v>0</v>
      </c>
      <c r="C9933">
        <v>12.473599999999999</v>
      </c>
      <c r="D9933">
        <v>5.5477800000000004</v>
      </c>
      <c r="E9933" t="s">
        <v>15032</v>
      </c>
      <c r="F9933" t="s">
        <v>15033</v>
      </c>
      <c r="G9933" t="s">
        <v>37</v>
      </c>
      <c r="H9933">
        <v>1990</v>
      </c>
      <c r="I9933">
        <v>24</v>
      </c>
      <c r="J9933">
        <v>10</v>
      </c>
      <c r="K9933">
        <v>75</v>
      </c>
      <c r="L9933">
        <v>10.58</v>
      </c>
      <c r="M9933">
        <v>31.7</v>
      </c>
      <c r="N9933">
        <v>18.5</v>
      </c>
      <c r="O9933">
        <v>13.2</v>
      </c>
      <c r="P9933">
        <v>22.9</v>
      </c>
      <c r="Q9933">
        <v>24.9</v>
      </c>
      <c r="R9933">
        <v>25.3</v>
      </c>
      <c r="S9933">
        <v>22.6</v>
      </c>
      <c r="T9933">
        <v>1559</v>
      </c>
      <c r="U9933">
        <v>287</v>
      </c>
      <c r="V9933">
        <v>5</v>
      </c>
      <c r="W9933">
        <v>73</v>
      </c>
      <c r="X9933">
        <v>765</v>
      </c>
      <c r="Y9933">
        <v>30</v>
      </c>
      <c r="Z9933">
        <v>213</v>
      </c>
      <c r="AA9933">
        <v>657</v>
      </c>
      <c r="AB9933">
        <v>20.158480000000001</v>
      </c>
      <c r="AC9933">
        <v>2.2947909999999998E-2</v>
      </c>
      <c r="AD9933">
        <v>4.3362069999999999</v>
      </c>
      <c r="AE9933">
        <v>9.5060119999999998E-2</v>
      </c>
      <c r="AF9933">
        <v>785.98599999999999</v>
      </c>
      <c r="AG9933">
        <f>IFERROR(AH9933*0.1, "N/A")</f>
        <v>5.2129600000000007</v>
      </c>
      <c r="AH9933">
        <v>52.129600000000003</v>
      </c>
      <c r="AI9933">
        <v>179.76939999999999</v>
      </c>
      <c r="AJ9933">
        <v>31.024519999999999</v>
      </c>
      <c r="AK9933">
        <v>48.870399999999997</v>
      </c>
    </row>
    <row r="9934" spans="1:37" x14ac:dyDescent="0.3">
      <c r="A9934">
        <v>9933</v>
      </c>
      <c r="B9934">
        <v>0</v>
      </c>
      <c r="C9934">
        <v>12.473599999999999</v>
      </c>
      <c r="D9934">
        <v>5.5477800000000004</v>
      </c>
      <c r="E9934" t="s">
        <v>15032</v>
      </c>
      <c r="F9934" t="s">
        <v>15034</v>
      </c>
      <c r="G9934" t="s">
        <v>2420</v>
      </c>
      <c r="H9934">
        <v>1990</v>
      </c>
      <c r="I9934">
        <v>24</v>
      </c>
      <c r="J9934">
        <v>10</v>
      </c>
      <c r="K9934">
        <v>75</v>
      </c>
      <c r="L9934">
        <v>10.58</v>
      </c>
      <c r="M9934">
        <v>31.7</v>
      </c>
      <c r="N9934">
        <v>18.5</v>
      </c>
      <c r="O9934">
        <v>13.2</v>
      </c>
      <c r="P9934">
        <v>22.9</v>
      </c>
      <c r="Q9934">
        <v>24.9</v>
      </c>
      <c r="R9934">
        <v>25.3</v>
      </c>
      <c r="S9934">
        <v>22.6</v>
      </c>
      <c r="T9934">
        <v>1559</v>
      </c>
      <c r="U9934">
        <v>287</v>
      </c>
      <c r="V9934">
        <v>5</v>
      </c>
      <c r="W9934">
        <v>73</v>
      </c>
      <c r="X9934">
        <v>765</v>
      </c>
      <c r="Y9934">
        <v>30</v>
      </c>
      <c r="Z9934">
        <v>213</v>
      </c>
      <c r="AA9934">
        <v>657</v>
      </c>
      <c r="AB9934">
        <v>20.158480000000001</v>
      </c>
      <c r="AC9934">
        <v>2.2947909999999998E-2</v>
      </c>
      <c r="AD9934">
        <v>4.3362069999999999</v>
      </c>
      <c r="AE9934">
        <v>9.5060119999999998E-2</v>
      </c>
      <c r="AF9934">
        <v>785.98599999999999</v>
      </c>
      <c r="AG9934">
        <f>IFERROR(AH9934*0.1, "N/A")</f>
        <v>5.2129600000000007</v>
      </c>
      <c r="AH9934">
        <v>52.129600000000003</v>
      </c>
      <c r="AI9934">
        <v>179.76939999999999</v>
      </c>
      <c r="AJ9934">
        <v>31.024519999999999</v>
      </c>
      <c r="AK9934">
        <v>48.870399999999997</v>
      </c>
    </row>
    <row r="9935" spans="1:37" x14ac:dyDescent="0.3">
      <c r="A9935">
        <v>9934</v>
      </c>
      <c r="B9935">
        <v>0</v>
      </c>
      <c r="C9935">
        <v>10.166700000000001</v>
      </c>
      <c r="D9935">
        <v>5.55</v>
      </c>
      <c r="E9935" t="s">
        <v>15035</v>
      </c>
      <c r="F9935" t="s">
        <v>15036</v>
      </c>
      <c r="G9935" t="s">
        <v>39</v>
      </c>
      <c r="H9935">
        <v>1990</v>
      </c>
      <c r="I9935">
        <v>19.095109999999998</v>
      </c>
      <c r="J9935">
        <v>10.1</v>
      </c>
      <c r="K9935">
        <v>75</v>
      </c>
      <c r="L9935">
        <v>9.4711689999999997</v>
      </c>
      <c r="M9935">
        <v>26.714659999999999</v>
      </c>
      <c r="N9935">
        <v>13.38325</v>
      </c>
      <c r="O9935">
        <v>13.33141</v>
      </c>
      <c r="P9935">
        <v>17.88325</v>
      </c>
      <c r="Q9935">
        <v>19.793369999999999</v>
      </c>
      <c r="R9935">
        <v>20.284990000000001</v>
      </c>
      <c r="S9935">
        <v>17.88325</v>
      </c>
      <c r="T9935">
        <v>1971.614</v>
      </c>
      <c r="U9935">
        <v>344.83600000000001</v>
      </c>
      <c r="V9935">
        <v>11.98255</v>
      </c>
      <c r="W9935">
        <v>67</v>
      </c>
      <c r="X9935">
        <v>908.21119999999996</v>
      </c>
      <c r="Y9935">
        <v>62.94764</v>
      </c>
      <c r="Z9935">
        <v>346.75220000000002</v>
      </c>
      <c r="AA9935">
        <v>908.21119999999996</v>
      </c>
      <c r="AB9935">
        <v>15.53593</v>
      </c>
      <c r="AC9935">
        <v>0.22877749999999999</v>
      </c>
      <c r="AD9935">
        <v>11.748060000000001</v>
      </c>
      <c r="AE9935">
        <v>0.50318019999999997</v>
      </c>
      <c r="AF9935">
        <v>1606.6020000000001</v>
      </c>
      <c r="AG9935">
        <f>IFERROR(AH9935*0.1, "N/A")</f>
        <v>5.2237350000000005</v>
      </c>
      <c r="AH9935">
        <v>52.237349999999999</v>
      </c>
      <c r="AI9935">
        <v>231.8133</v>
      </c>
      <c r="AJ9935">
        <v>37.118670000000002</v>
      </c>
      <c r="AK9935">
        <v>28.881329999999998</v>
      </c>
    </row>
    <row r="9936" spans="1:37" x14ac:dyDescent="0.3">
      <c r="A9936">
        <v>9935</v>
      </c>
      <c r="B9936">
        <v>0</v>
      </c>
      <c r="C9936">
        <v>10.166700000000001</v>
      </c>
      <c r="D9936">
        <v>5.55</v>
      </c>
      <c r="E9936" t="s">
        <v>15035</v>
      </c>
      <c r="F9936" t="s">
        <v>15037</v>
      </c>
      <c r="G9936" t="s">
        <v>37</v>
      </c>
      <c r="H9936">
        <v>1990</v>
      </c>
      <c r="I9936">
        <v>19.095109999999998</v>
      </c>
      <c r="J9936">
        <v>10.1</v>
      </c>
      <c r="K9936">
        <v>75</v>
      </c>
      <c r="L9936">
        <v>9.4711689999999997</v>
      </c>
      <c r="M9936">
        <v>26.714659999999999</v>
      </c>
      <c r="N9936">
        <v>13.38325</v>
      </c>
      <c r="O9936">
        <v>13.33141</v>
      </c>
      <c r="P9936">
        <v>17.88325</v>
      </c>
      <c r="Q9936">
        <v>19.793369999999999</v>
      </c>
      <c r="R9936">
        <v>20.284990000000001</v>
      </c>
      <c r="S9936">
        <v>17.88325</v>
      </c>
      <c r="T9936">
        <v>1971.614</v>
      </c>
      <c r="U9936">
        <v>344.83600000000001</v>
      </c>
      <c r="V9936">
        <v>11.98255</v>
      </c>
      <c r="W9936">
        <v>67</v>
      </c>
      <c r="X9936">
        <v>908.21119999999996</v>
      </c>
      <c r="Y9936">
        <v>62.94764</v>
      </c>
      <c r="Z9936">
        <v>346.75220000000002</v>
      </c>
      <c r="AA9936">
        <v>908.21119999999996</v>
      </c>
      <c r="AB9936">
        <v>15.53593</v>
      </c>
      <c r="AC9936">
        <v>0.22877749999999999</v>
      </c>
      <c r="AD9936">
        <v>11.748060000000001</v>
      </c>
      <c r="AE9936">
        <v>0.50318019999999997</v>
      </c>
      <c r="AF9936">
        <v>1606.6020000000001</v>
      </c>
      <c r="AG9936">
        <f>IFERROR(AH9936*0.1, "N/A")</f>
        <v>5.2237350000000005</v>
      </c>
      <c r="AH9936">
        <v>52.237349999999999</v>
      </c>
      <c r="AI9936">
        <v>231.8133</v>
      </c>
      <c r="AJ9936">
        <v>37.118670000000002</v>
      </c>
      <c r="AK9936">
        <v>28.881329999999998</v>
      </c>
    </row>
    <row r="9937" spans="1:37" x14ac:dyDescent="0.3">
      <c r="A9937">
        <v>9936</v>
      </c>
      <c r="B9937">
        <v>0</v>
      </c>
      <c r="C9937">
        <v>10.166700000000001</v>
      </c>
      <c r="D9937">
        <v>5.55</v>
      </c>
      <c r="E9937" t="s">
        <v>15035</v>
      </c>
      <c r="F9937" t="s">
        <v>15038</v>
      </c>
      <c r="G9937" t="s">
        <v>2420</v>
      </c>
      <c r="H9937">
        <v>1990</v>
      </c>
      <c r="I9937">
        <v>19.095109999999998</v>
      </c>
      <c r="J9937">
        <v>10.1</v>
      </c>
      <c r="K9937">
        <v>75</v>
      </c>
      <c r="L9937">
        <v>9.4711689999999997</v>
      </c>
      <c r="M9937">
        <v>26.714659999999999</v>
      </c>
      <c r="N9937">
        <v>13.38325</v>
      </c>
      <c r="O9937">
        <v>13.33141</v>
      </c>
      <c r="P9937">
        <v>17.88325</v>
      </c>
      <c r="Q9937">
        <v>19.793369999999999</v>
      </c>
      <c r="R9937">
        <v>20.284990000000001</v>
      </c>
      <c r="S9937">
        <v>17.88325</v>
      </c>
      <c r="T9937">
        <v>1971.614</v>
      </c>
      <c r="U9937">
        <v>344.83600000000001</v>
      </c>
      <c r="V9937">
        <v>11.98255</v>
      </c>
      <c r="W9937">
        <v>67</v>
      </c>
      <c r="X9937">
        <v>908.21119999999996</v>
      </c>
      <c r="Y9937">
        <v>62.94764</v>
      </c>
      <c r="Z9937">
        <v>346.75220000000002</v>
      </c>
      <c r="AA9937">
        <v>908.21119999999996</v>
      </c>
      <c r="AB9937">
        <v>15.53593</v>
      </c>
      <c r="AC9937">
        <v>0.22877749999999999</v>
      </c>
      <c r="AD9937">
        <v>11.748060000000001</v>
      </c>
      <c r="AE9937">
        <v>0.50318019999999997</v>
      </c>
      <c r="AF9937">
        <v>1606.6020000000001</v>
      </c>
      <c r="AG9937">
        <f>IFERROR(AH9937*0.1, "N/A")</f>
        <v>5.2237350000000005</v>
      </c>
      <c r="AH9937">
        <v>52.237349999999999</v>
      </c>
      <c r="AI9937">
        <v>231.8133</v>
      </c>
      <c r="AJ9937">
        <v>37.118670000000002</v>
      </c>
      <c r="AK9937">
        <v>28.881329999999998</v>
      </c>
    </row>
    <row r="9938" spans="1:37" x14ac:dyDescent="0.3">
      <c r="A9938">
        <v>9937</v>
      </c>
      <c r="B9938">
        <v>0</v>
      </c>
      <c r="C9938">
        <v>13.841699999999999</v>
      </c>
      <c r="D9938">
        <v>5.5694400000000002</v>
      </c>
      <c r="E9938" t="s">
        <v>15039</v>
      </c>
      <c r="F9938" t="s">
        <v>15040</v>
      </c>
      <c r="G9938" t="s">
        <v>39</v>
      </c>
      <c r="H9938">
        <v>1990</v>
      </c>
      <c r="I9938">
        <v>23.712389999999999</v>
      </c>
      <c r="J9938">
        <v>10.8</v>
      </c>
      <c r="K9938">
        <v>72</v>
      </c>
      <c r="L9938">
        <v>7.8789360000000004</v>
      </c>
      <c r="M9938">
        <v>31.6</v>
      </c>
      <c r="N9938">
        <v>16.8</v>
      </c>
      <c r="O9938">
        <v>14.8</v>
      </c>
      <c r="P9938">
        <v>23.01239</v>
      </c>
      <c r="Q9938">
        <v>24</v>
      </c>
      <c r="R9938">
        <v>24.8</v>
      </c>
      <c r="S9938">
        <v>22.7</v>
      </c>
      <c r="T9938">
        <v>1540.752</v>
      </c>
      <c r="U9938">
        <v>258</v>
      </c>
      <c r="V9938">
        <v>7</v>
      </c>
      <c r="W9938">
        <v>68.123909999999995</v>
      </c>
      <c r="X9938">
        <v>718</v>
      </c>
      <c r="Y9938">
        <v>36</v>
      </c>
      <c r="Z9938">
        <v>226.87610000000001</v>
      </c>
      <c r="AA9938">
        <v>659</v>
      </c>
      <c r="AB9938">
        <v>9.6494140000000002</v>
      </c>
      <c r="AC9938">
        <v>0.119947</v>
      </c>
      <c r="AD9938">
        <v>2.1483720000000002</v>
      </c>
      <c r="AE9938">
        <v>0.13641900000000001</v>
      </c>
      <c r="AF9938">
        <v>732.09249999999997</v>
      </c>
      <c r="AG9938">
        <f>IFERROR(AH9938*0.1, "N/A")</f>
        <v>5.3000000000000007</v>
      </c>
      <c r="AH9938">
        <v>53</v>
      </c>
      <c r="AI9938">
        <v>239.09309999999999</v>
      </c>
      <c r="AJ9938">
        <v>32.371729999999999</v>
      </c>
      <c r="AK9938">
        <v>50.628270000000001</v>
      </c>
    </row>
    <row r="9939" spans="1:37" x14ac:dyDescent="0.3">
      <c r="A9939">
        <v>9938</v>
      </c>
      <c r="B9939">
        <v>0</v>
      </c>
      <c r="C9939">
        <v>13.841699999999999</v>
      </c>
      <c r="D9939">
        <v>5.5694400000000002</v>
      </c>
      <c r="E9939" t="s">
        <v>15039</v>
      </c>
      <c r="F9939" t="s">
        <v>15041</v>
      </c>
      <c r="G9939" t="s">
        <v>37</v>
      </c>
      <c r="H9939">
        <v>1990</v>
      </c>
      <c r="I9939">
        <v>23.712389999999999</v>
      </c>
      <c r="J9939">
        <v>10.8</v>
      </c>
      <c r="K9939">
        <v>72</v>
      </c>
      <c r="L9939">
        <v>7.8789360000000004</v>
      </c>
      <c r="M9939">
        <v>31.6</v>
      </c>
      <c r="N9939">
        <v>16.8</v>
      </c>
      <c r="O9939">
        <v>14.8</v>
      </c>
      <c r="P9939">
        <v>23.01239</v>
      </c>
      <c r="Q9939">
        <v>24</v>
      </c>
      <c r="R9939">
        <v>24.8</v>
      </c>
      <c r="S9939">
        <v>22.7</v>
      </c>
      <c r="T9939">
        <v>1540.752</v>
      </c>
      <c r="U9939">
        <v>258</v>
      </c>
      <c r="V9939">
        <v>7</v>
      </c>
      <c r="W9939">
        <v>68.123909999999995</v>
      </c>
      <c r="X9939">
        <v>718</v>
      </c>
      <c r="Y9939">
        <v>36</v>
      </c>
      <c r="Z9939">
        <v>226.87610000000001</v>
      </c>
      <c r="AA9939">
        <v>659</v>
      </c>
      <c r="AB9939">
        <v>9.6494140000000002</v>
      </c>
      <c r="AC9939">
        <v>0.119947</v>
      </c>
      <c r="AD9939">
        <v>2.1483720000000002</v>
      </c>
      <c r="AE9939">
        <v>0.13641900000000001</v>
      </c>
      <c r="AF9939">
        <v>732.09249999999997</v>
      </c>
      <c r="AG9939">
        <f>IFERROR(AH9939*0.1, "N/A")</f>
        <v>5.3000000000000007</v>
      </c>
      <c r="AH9939">
        <v>53</v>
      </c>
      <c r="AI9939">
        <v>239.09309999999999</v>
      </c>
      <c r="AJ9939">
        <v>32.371729999999999</v>
      </c>
      <c r="AK9939">
        <v>50.628270000000001</v>
      </c>
    </row>
    <row r="9940" spans="1:37" x14ac:dyDescent="0.3">
      <c r="A9940">
        <v>9939</v>
      </c>
      <c r="B9940">
        <v>0</v>
      </c>
      <c r="C9940">
        <v>13.841699999999999</v>
      </c>
      <c r="D9940">
        <v>5.5694400000000002</v>
      </c>
      <c r="E9940" t="s">
        <v>15039</v>
      </c>
      <c r="F9940" t="s">
        <v>15042</v>
      </c>
      <c r="G9940" t="s">
        <v>2420</v>
      </c>
      <c r="H9940">
        <v>1990</v>
      </c>
      <c r="I9940">
        <v>23.712389999999999</v>
      </c>
      <c r="J9940">
        <v>10.8</v>
      </c>
      <c r="K9940">
        <v>72</v>
      </c>
      <c r="L9940">
        <v>7.8789360000000004</v>
      </c>
      <c r="M9940">
        <v>31.6</v>
      </c>
      <c r="N9940">
        <v>16.8</v>
      </c>
      <c r="O9940">
        <v>14.8</v>
      </c>
      <c r="P9940">
        <v>23.01239</v>
      </c>
      <c r="Q9940">
        <v>24</v>
      </c>
      <c r="R9940">
        <v>24.8</v>
      </c>
      <c r="S9940">
        <v>22.7</v>
      </c>
      <c r="T9940">
        <v>1540.752</v>
      </c>
      <c r="U9940">
        <v>258</v>
      </c>
      <c r="V9940">
        <v>7</v>
      </c>
      <c r="W9940">
        <v>68.123909999999995</v>
      </c>
      <c r="X9940">
        <v>718</v>
      </c>
      <c r="Y9940">
        <v>36</v>
      </c>
      <c r="Z9940">
        <v>226.87610000000001</v>
      </c>
      <c r="AA9940">
        <v>659</v>
      </c>
      <c r="AB9940">
        <v>9.6494140000000002</v>
      </c>
      <c r="AC9940">
        <v>0.119947</v>
      </c>
      <c r="AD9940">
        <v>2.1483720000000002</v>
      </c>
      <c r="AE9940">
        <v>0.13641900000000001</v>
      </c>
      <c r="AF9940">
        <v>732.09249999999997</v>
      </c>
      <c r="AG9940">
        <f>IFERROR(AH9940*0.1, "N/A")</f>
        <v>5.3000000000000007</v>
      </c>
      <c r="AH9940">
        <v>53</v>
      </c>
      <c r="AI9940">
        <v>239.09309999999999</v>
      </c>
      <c r="AJ9940">
        <v>32.371729999999999</v>
      </c>
      <c r="AK9940">
        <v>50.628270000000001</v>
      </c>
    </row>
    <row r="9941" spans="1:37" x14ac:dyDescent="0.3">
      <c r="A9941">
        <v>9940</v>
      </c>
      <c r="B9941">
        <v>0</v>
      </c>
      <c r="C9941">
        <v>14.083299999999999</v>
      </c>
      <c r="D9941">
        <v>5.5916699999999997</v>
      </c>
      <c r="E9941" t="s">
        <v>15043</v>
      </c>
      <c r="F9941" t="s">
        <v>15044</v>
      </c>
      <c r="G9941" t="s">
        <v>39</v>
      </c>
      <c r="H9941">
        <v>1990</v>
      </c>
      <c r="I9941">
        <v>23.650790000000001</v>
      </c>
      <c r="J9941">
        <v>10.81414</v>
      </c>
      <c r="K9941">
        <v>71.762649999999994</v>
      </c>
      <c r="L9941">
        <v>7.9945550000000001</v>
      </c>
      <c r="M9941">
        <v>31.650790000000001</v>
      </c>
      <c r="N9941">
        <v>16.612909999999999</v>
      </c>
      <c r="O9941">
        <v>15.03787</v>
      </c>
      <c r="P9941">
        <v>22.85078</v>
      </c>
      <c r="Q9941">
        <v>23.93665</v>
      </c>
      <c r="R9941">
        <v>24.750789999999999</v>
      </c>
      <c r="S9941">
        <v>22.587430000000001</v>
      </c>
      <c r="T9941">
        <v>1542.7539999999999</v>
      </c>
      <c r="U9941">
        <v>256.01220000000001</v>
      </c>
      <c r="V9941">
        <v>8</v>
      </c>
      <c r="W9941">
        <v>68</v>
      </c>
      <c r="X9941">
        <v>714.65790000000004</v>
      </c>
      <c r="Y9941">
        <v>37</v>
      </c>
      <c r="Z9941">
        <v>226.8586</v>
      </c>
      <c r="AA9941">
        <v>644.26179999999999</v>
      </c>
      <c r="AB9941">
        <v>38.599159999999998</v>
      </c>
      <c r="AC9941">
        <v>1.861958E-2</v>
      </c>
      <c r="AD9941">
        <v>5.5977370000000004</v>
      </c>
      <c r="AE9941">
        <v>0.65312250000000005</v>
      </c>
      <c r="AF9941">
        <v>752.20240000000001</v>
      </c>
      <c r="AG9941">
        <f>IFERROR(AH9941*0.1, "N/A")</f>
        <v>5.5239089999999997</v>
      </c>
      <c r="AH9941">
        <v>55.239089999999997</v>
      </c>
      <c r="AI9941">
        <v>251.34360000000001</v>
      </c>
      <c r="AJ9941">
        <v>24.607330000000001</v>
      </c>
      <c r="AK9941">
        <v>55.465969999999999</v>
      </c>
    </row>
    <row r="9942" spans="1:37" x14ac:dyDescent="0.3">
      <c r="A9942">
        <v>9941</v>
      </c>
      <c r="B9942">
        <v>0</v>
      </c>
      <c r="C9942">
        <v>14.083299999999999</v>
      </c>
      <c r="D9942">
        <v>5.5916699999999997</v>
      </c>
      <c r="E9942" t="s">
        <v>15043</v>
      </c>
      <c r="F9942" t="s">
        <v>15045</v>
      </c>
      <c r="G9942" t="s">
        <v>37</v>
      </c>
      <c r="H9942">
        <v>1990</v>
      </c>
      <c r="I9942">
        <v>23.650790000000001</v>
      </c>
      <c r="J9942">
        <v>10.81414</v>
      </c>
      <c r="K9942">
        <v>71.762649999999994</v>
      </c>
      <c r="L9942">
        <v>7.9945550000000001</v>
      </c>
      <c r="M9942">
        <v>31.650790000000001</v>
      </c>
      <c r="N9942">
        <v>16.612909999999999</v>
      </c>
      <c r="O9942">
        <v>15.03787</v>
      </c>
      <c r="P9942">
        <v>22.85078</v>
      </c>
      <c r="Q9942">
        <v>23.93665</v>
      </c>
      <c r="R9942">
        <v>24.750789999999999</v>
      </c>
      <c r="S9942">
        <v>22.587430000000001</v>
      </c>
      <c r="T9942">
        <v>1542.7539999999999</v>
      </c>
      <c r="U9942">
        <v>256.01220000000001</v>
      </c>
      <c r="V9942">
        <v>8</v>
      </c>
      <c r="W9942">
        <v>68</v>
      </c>
      <c r="X9942">
        <v>714.65790000000004</v>
      </c>
      <c r="Y9942">
        <v>37</v>
      </c>
      <c r="Z9942">
        <v>226.8586</v>
      </c>
      <c r="AA9942">
        <v>644.26179999999999</v>
      </c>
      <c r="AB9942">
        <v>38.599159999999998</v>
      </c>
      <c r="AC9942">
        <v>1.861958E-2</v>
      </c>
      <c r="AD9942">
        <v>5.5977370000000004</v>
      </c>
      <c r="AE9942">
        <v>0.65312250000000005</v>
      </c>
      <c r="AF9942">
        <v>752.20240000000001</v>
      </c>
      <c r="AG9942">
        <f>IFERROR(AH9942*0.1, "N/A")</f>
        <v>5.5239089999999997</v>
      </c>
      <c r="AH9942">
        <v>55.239089999999997</v>
      </c>
      <c r="AI9942">
        <v>251.34360000000001</v>
      </c>
      <c r="AJ9942">
        <v>24.607330000000001</v>
      </c>
      <c r="AK9942">
        <v>55.465969999999999</v>
      </c>
    </row>
    <row r="9943" spans="1:37" x14ac:dyDescent="0.3">
      <c r="A9943">
        <v>9942</v>
      </c>
      <c r="B9943">
        <v>0</v>
      </c>
      <c r="C9943">
        <v>14.083299999999999</v>
      </c>
      <c r="D9943">
        <v>5.5916699999999997</v>
      </c>
      <c r="E9943" t="s">
        <v>15043</v>
      </c>
      <c r="F9943" t="s">
        <v>15046</v>
      </c>
      <c r="G9943" t="s">
        <v>2420</v>
      </c>
      <c r="H9943">
        <v>1990</v>
      </c>
      <c r="I9943">
        <v>23.650790000000001</v>
      </c>
      <c r="J9943">
        <v>10.81414</v>
      </c>
      <c r="K9943">
        <v>71.762649999999994</v>
      </c>
      <c r="L9943">
        <v>7.9945550000000001</v>
      </c>
      <c r="M9943">
        <v>31.650790000000001</v>
      </c>
      <c r="N9943">
        <v>16.612909999999999</v>
      </c>
      <c r="O9943">
        <v>15.03787</v>
      </c>
      <c r="P9943">
        <v>22.85078</v>
      </c>
      <c r="Q9943">
        <v>23.93665</v>
      </c>
      <c r="R9943">
        <v>24.750789999999999</v>
      </c>
      <c r="S9943">
        <v>22.587430000000001</v>
      </c>
      <c r="T9943">
        <v>1542.7539999999999</v>
      </c>
      <c r="U9943">
        <v>256.01220000000001</v>
      </c>
      <c r="V9943">
        <v>8</v>
      </c>
      <c r="W9943">
        <v>68</v>
      </c>
      <c r="X9943">
        <v>714.65790000000004</v>
      </c>
      <c r="Y9943">
        <v>37</v>
      </c>
      <c r="Z9943">
        <v>226.8586</v>
      </c>
      <c r="AA9943">
        <v>644.26179999999999</v>
      </c>
      <c r="AB9943">
        <v>38.599159999999998</v>
      </c>
      <c r="AC9943">
        <v>1.861958E-2</v>
      </c>
      <c r="AD9943">
        <v>5.5977370000000004</v>
      </c>
      <c r="AE9943">
        <v>0.65312250000000005</v>
      </c>
      <c r="AF9943">
        <v>752.20240000000001</v>
      </c>
      <c r="AG9943">
        <f>IFERROR(AH9943*0.1, "N/A")</f>
        <v>5.5239089999999997</v>
      </c>
      <c r="AH9943">
        <v>55.239089999999997</v>
      </c>
      <c r="AI9943">
        <v>251.34360000000001</v>
      </c>
      <c r="AJ9943">
        <v>24.607330000000001</v>
      </c>
      <c r="AK9943">
        <v>55.465969999999999</v>
      </c>
    </row>
    <row r="9944" spans="1:37" x14ac:dyDescent="0.3">
      <c r="A9944">
        <v>9943</v>
      </c>
      <c r="B9944">
        <v>0</v>
      </c>
      <c r="C9944">
        <v>10.2583</v>
      </c>
      <c r="D9944">
        <v>5.6236100000000002</v>
      </c>
      <c r="E9944" t="s">
        <v>15047</v>
      </c>
      <c r="F9944" t="s">
        <v>15048</v>
      </c>
      <c r="G9944" t="s">
        <v>39</v>
      </c>
      <c r="H9944">
        <v>1990</v>
      </c>
      <c r="I9944">
        <v>20.426269999999999</v>
      </c>
      <c r="J9944">
        <v>10.1</v>
      </c>
      <c r="K9944">
        <v>75</v>
      </c>
      <c r="L9944">
        <v>8.8760600000000007</v>
      </c>
      <c r="M9944">
        <v>28.039400000000001</v>
      </c>
      <c r="N9944">
        <v>14.7394</v>
      </c>
      <c r="O9944">
        <v>13.3</v>
      </c>
      <c r="P9944">
        <v>19.326270000000001</v>
      </c>
      <c r="Q9944">
        <v>21.039400000000001</v>
      </c>
      <c r="R9944">
        <v>21.539400000000001</v>
      </c>
      <c r="S9944">
        <v>19.326270000000001</v>
      </c>
      <c r="T9944">
        <v>1961.394</v>
      </c>
      <c r="U9944">
        <v>341</v>
      </c>
      <c r="V9944">
        <v>10</v>
      </c>
      <c r="W9944">
        <v>69</v>
      </c>
      <c r="X9944">
        <v>911.39400000000001</v>
      </c>
      <c r="Y9944">
        <v>53.868650000000002</v>
      </c>
      <c r="Z9944">
        <v>326.60599999999999</v>
      </c>
      <c r="AA9944">
        <v>911.39400000000001</v>
      </c>
      <c r="AB9944">
        <v>38.219200000000001</v>
      </c>
      <c r="AC9944">
        <v>3.9706720000000001E-2</v>
      </c>
      <c r="AD9944">
        <v>6.7189889999999997</v>
      </c>
      <c r="AE9944">
        <v>0.84907670000000002</v>
      </c>
      <c r="AF9944">
        <v>1368.8910000000001</v>
      </c>
      <c r="AG9944">
        <f>IFERROR(AH9944*0.1, "N/A")</f>
        <v>5.8136600000000005</v>
      </c>
      <c r="AH9944">
        <v>58.136600000000001</v>
      </c>
      <c r="AI9944">
        <v>156.30670000000001</v>
      </c>
      <c r="AJ9944">
        <v>32.154119999999999</v>
      </c>
      <c r="AK9944">
        <v>39.922939999999997</v>
      </c>
    </row>
    <row r="9945" spans="1:37" x14ac:dyDescent="0.3">
      <c r="A9945">
        <v>9944</v>
      </c>
      <c r="B9945">
        <v>0</v>
      </c>
      <c r="C9945">
        <v>10.2583</v>
      </c>
      <c r="D9945">
        <v>5.6236100000000002</v>
      </c>
      <c r="E9945" t="s">
        <v>15047</v>
      </c>
      <c r="F9945" t="s">
        <v>15049</v>
      </c>
      <c r="G9945" t="s">
        <v>37</v>
      </c>
      <c r="H9945">
        <v>1990</v>
      </c>
      <c r="I9945">
        <v>20.426269999999999</v>
      </c>
      <c r="J9945">
        <v>10.1</v>
      </c>
      <c r="K9945">
        <v>75</v>
      </c>
      <c r="L9945">
        <v>8.8760600000000007</v>
      </c>
      <c r="M9945">
        <v>28.039400000000001</v>
      </c>
      <c r="N9945">
        <v>14.7394</v>
      </c>
      <c r="O9945">
        <v>13.3</v>
      </c>
      <c r="P9945">
        <v>19.326270000000001</v>
      </c>
      <c r="Q9945">
        <v>21.039400000000001</v>
      </c>
      <c r="R9945">
        <v>21.539400000000001</v>
      </c>
      <c r="S9945">
        <v>19.326270000000001</v>
      </c>
      <c r="T9945">
        <v>1961.394</v>
      </c>
      <c r="U9945">
        <v>341</v>
      </c>
      <c r="V9945">
        <v>10</v>
      </c>
      <c r="W9945">
        <v>69</v>
      </c>
      <c r="X9945">
        <v>911.39400000000001</v>
      </c>
      <c r="Y9945">
        <v>53.868650000000002</v>
      </c>
      <c r="Z9945">
        <v>326.60599999999999</v>
      </c>
      <c r="AA9945">
        <v>911.39400000000001</v>
      </c>
      <c r="AB9945">
        <v>38.219200000000001</v>
      </c>
      <c r="AC9945">
        <v>3.9706720000000001E-2</v>
      </c>
      <c r="AD9945">
        <v>6.7189889999999997</v>
      </c>
      <c r="AE9945">
        <v>0.84907670000000002</v>
      </c>
      <c r="AF9945">
        <v>1368.8910000000001</v>
      </c>
      <c r="AG9945">
        <f>IFERROR(AH9945*0.1, "N/A")</f>
        <v>5.8136600000000005</v>
      </c>
      <c r="AH9945">
        <v>58.136600000000001</v>
      </c>
      <c r="AI9945">
        <v>156.30670000000001</v>
      </c>
      <c r="AJ9945">
        <v>32.154119999999999</v>
      </c>
      <c r="AK9945">
        <v>39.922939999999997</v>
      </c>
    </row>
    <row r="9946" spans="1:37" x14ac:dyDescent="0.3">
      <c r="A9946">
        <v>9945</v>
      </c>
      <c r="B9946">
        <v>0</v>
      </c>
      <c r="C9946">
        <v>10.2583</v>
      </c>
      <c r="D9946">
        <v>5.6236100000000002</v>
      </c>
      <c r="E9946" t="s">
        <v>15047</v>
      </c>
      <c r="F9946" t="s">
        <v>15050</v>
      </c>
      <c r="G9946" t="s">
        <v>2420</v>
      </c>
      <c r="H9946">
        <v>1990</v>
      </c>
      <c r="I9946">
        <v>20.426269999999999</v>
      </c>
      <c r="J9946">
        <v>10.1</v>
      </c>
      <c r="K9946">
        <v>75</v>
      </c>
      <c r="L9946">
        <v>8.8760600000000007</v>
      </c>
      <c r="M9946">
        <v>28.039400000000001</v>
      </c>
      <c r="N9946">
        <v>14.7394</v>
      </c>
      <c r="O9946">
        <v>13.3</v>
      </c>
      <c r="P9946">
        <v>19.326270000000001</v>
      </c>
      <c r="Q9946">
        <v>21.039400000000001</v>
      </c>
      <c r="R9946">
        <v>21.539400000000001</v>
      </c>
      <c r="S9946">
        <v>19.326270000000001</v>
      </c>
      <c r="T9946">
        <v>1961.394</v>
      </c>
      <c r="U9946">
        <v>341</v>
      </c>
      <c r="V9946">
        <v>10</v>
      </c>
      <c r="W9946">
        <v>69</v>
      </c>
      <c r="X9946">
        <v>911.39400000000001</v>
      </c>
      <c r="Y9946">
        <v>53.868650000000002</v>
      </c>
      <c r="Z9946">
        <v>326.60599999999999</v>
      </c>
      <c r="AA9946">
        <v>911.39400000000001</v>
      </c>
      <c r="AB9946">
        <v>38.219200000000001</v>
      </c>
      <c r="AC9946">
        <v>3.9706720000000001E-2</v>
      </c>
      <c r="AD9946">
        <v>6.7189889999999997</v>
      </c>
      <c r="AE9946">
        <v>0.84907670000000002</v>
      </c>
      <c r="AF9946">
        <v>1368.8910000000001</v>
      </c>
      <c r="AG9946">
        <f>IFERROR(AH9946*0.1, "N/A")</f>
        <v>5.8136600000000005</v>
      </c>
      <c r="AH9946">
        <v>58.136600000000001</v>
      </c>
      <c r="AI9946">
        <v>156.30670000000001</v>
      </c>
      <c r="AJ9946">
        <v>32.154119999999999</v>
      </c>
      <c r="AK9946">
        <v>39.922939999999997</v>
      </c>
    </row>
    <row r="9947" spans="1:37" x14ac:dyDescent="0.3">
      <c r="A9947">
        <v>9946</v>
      </c>
      <c r="B9947">
        <v>1.9</v>
      </c>
      <c r="C9947">
        <v>10.7514</v>
      </c>
      <c r="D9947">
        <v>5.6263899999999998</v>
      </c>
      <c r="E9947" t="s">
        <v>15051</v>
      </c>
      <c r="F9947" t="s">
        <v>15052</v>
      </c>
      <c r="G9947" t="s">
        <v>39</v>
      </c>
      <c r="H9947">
        <v>1990</v>
      </c>
      <c r="I9947">
        <v>21.8</v>
      </c>
      <c r="J9947">
        <v>10.4</v>
      </c>
      <c r="K9947">
        <v>75</v>
      </c>
      <c r="L9947">
        <v>8.84</v>
      </c>
      <c r="M9947">
        <v>29.7</v>
      </c>
      <c r="N9947">
        <v>15.9</v>
      </c>
      <c r="O9947">
        <v>13.8</v>
      </c>
      <c r="P9947">
        <v>20.7</v>
      </c>
      <c r="Q9947">
        <v>22.5</v>
      </c>
      <c r="R9947">
        <v>22.9</v>
      </c>
      <c r="S9947">
        <v>20.7</v>
      </c>
      <c r="T9947">
        <v>1962</v>
      </c>
      <c r="U9947">
        <v>337</v>
      </c>
      <c r="V9947">
        <v>3</v>
      </c>
      <c r="W9947">
        <v>71</v>
      </c>
      <c r="X9947">
        <v>945</v>
      </c>
      <c r="Y9947">
        <v>36</v>
      </c>
      <c r="Z9947">
        <v>316</v>
      </c>
      <c r="AA9947">
        <v>945</v>
      </c>
      <c r="AB9947">
        <v>9.2359849999999994</v>
      </c>
      <c r="AC9947">
        <v>9.5486210000000002E-3</v>
      </c>
      <c r="AD9947">
        <v>1.0865320000000001</v>
      </c>
      <c r="AE9947">
        <v>0.44358449999999999</v>
      </c>
      <c r="AF9947">
        <v>1195.2809999999999</v>
      </c>
      <c r="AG9947">
        <f>IFERROR(AH9947*0.1, "N/A")</f>
        <v>5.2743010000000004</v>
      </c>
      <c r="AH9947">
        <v>52.743009999999998</v>
      </c>
      <c r="AI9947">
        <v>159.3554</v>
      </c>
      <c r="AJ9947">
        <v>45.655589999999997</v>
      </c>
      <c r="AK9947">
        <v>24.229019999999998</v>
      </c>
    </row>
    <row r="9948" spans="1:37" x14ac:dyDescent="0.3">
      <c r="A9948">
        <v>9947</v>
      </c>
      <c r="B9948">
        <v>1.1000000000000001</v>
      </c>
      <c r="C9948">
        <v>10.7514</v>
      </c>
      <c r="D9948">
        <v>5.6263899999999998</v>
      </c>
      <c r="E9948" t="s">
        <v>15051</v>
      </c>
      <c r="F9948" t="s">
        <v>15053</v>
      </c>
      <c r="G9948" t="s">
        <v>37</v>
      </c>
      <c r="H9948">
        <v>1990</v>
      </c>
      <c r="I9948">
        <v>21.8</v>
      </c>
      <c r="J9948">
        <v>10.4</v>
      </c>
      <c r="K9948">
        <v>75</v>
      </c>
      <c r="L9948">
        <v>8.84</v>
      </c>
      <c r="M9948">
        <v>29.7</v>
      </c>
      <c r="N9948">
        <v>15.9</v>
      </c>
      <c r="O9948">
        <v>13.8</v>
      </c>
      <c r="P9948">
        <v>20.7</v>
      </c>
      <c r="Q9948">
        <v>22.5</v>
      </c>
      <c r="R9948">
        <v>22.9</v>
      </c>
      <c r="S9948">
        <v>20.7</v>
      </c>
      <c r="T9948">
        <v>1962</v>
      </c>
      <c r="U9948">
        <v>337</v>
      </c>
      <c r="V9948">
        <v>3</v>
      </c>
      <c r="W9948">
        <v>71</v>
      </c>
      <c r="X9948">
        <v>945</v>
      </c>
      <c r="Y9948">
        <v>36</v>
      </c>
      <c r="Z9948">
        <v>316</v>
      </c>
      <c r="AA9948">
        <v>945</v>
      </c>
      <c r="AB9948">
        <v>9.2359849999999994</v>
      </c>
      <c r="AC9948">
        <v>9.5486210000000002E-3</v>
      </c>
      <c r="AD9948">
        <v>1.0865320000000001</v>
      </c>
      <c r="AE9948">
        <v>0.44358449999999999</v>
      </c>
      <c r="AF9948">
        <v>1195.2809999999999</v>
      </c>
      <c r="AG9948">
        <f>IFERROR(AH9948*0.1, "N/A")</f>
        <v>5.2743010000000004</v>
      </c>
      <c r="AH9948">
        <v>52.743009999999998</v>
      </c>
      <c r="AI9948">
        <v>159.3554</v>
      </c>
      <c r="AJ9948">
        <v>45.655589999999997</v>
      </c>
      <c r="AK9948">
        <v>24.229019999999998</v>
      </c>
    </row>
    <row r="9949" spans="1:37" x14ac:dyDescent="0.3">
      <c r="A9949">
        <v>9948</v>
      </c>
      <c r="B9949">
        <v>0</v>
      </c>
      <c r="C9949">
        <v>10.7514</v>
      </c>
      <c r="D9949">
        <v>5.6263899999999998</v>
      </c>
      <c r="E9949" t="s">
        <v>15051</v>
      </c>
      <c r="F9949" t="s">
        <v>15054</v>
      </c>
      <c r="G9949" t="s">
        <v>2420</v>
      </c>
      <c r="H9949">
        <v>1990</v>
      </c>
      <c r="I9949">
        <v>21.8</v>
      </c>
      <c r="J9949">
        <v>10.4</v>
      </c>
      <c r="K9949">
        <v>75</v>
      </c>
      <c r="L9949">
        <v>8.84</v>
      </c>
      <c r="M9949">
        <v>29.7</v>
      </c>
      <c r="N9949">
        <v>15.9</v>
      </c>
      <c r="O9949">
        <v>13.8</v>
      </c>
      <c r="P9949">
        <v>20.7</v>
      </c>
      <c r="Q9949">
        <v>22.5</v>
      </c>
      <c r="R9949">
        <v>22.9</v>
      </c>
      <c r="S9949">
        <v>20.7</v>
      </c>
      <c r="T9949">
        <v>1962</v>
      </c>
      <c r="U9949">
        <v>337</v>
      </c>
      <c r="V9949">
        <v>3</v>
      </c>
      <c r="W9949">
        <v>71</v>
      </c>
      <c r="X9949">
        <v>945</v>
      </c>
      <c r="Y9949">
        <v>36</v>
      </c>
      <c r="Z9949">
        <v>316</v>
      </c>
      <c r="AA9949">
        <v>945</v>
      </c>
      <c r="AB9949">
        <v>9.2359849999999994</v>
      </c>
      <c r="AC9949">
        <v>9.5486210000000002E-3</v>
      </c>
      <c r="AD9949">
        <v>1.0865320000000001</v>
      </c>
      <c r="AE9949">
        <v>0.44358449999999999</v>
      </c>
      <c r="AF9949">
        <v>1195.2809999999999</v>
      </c>
      <c r="AG9949">
        <f>IFERROR(AH9949*0.1, "N/A")</f>
        <v>5.2743010000000004</v>
      </c>
      <c r="AH9949">
        <v>52.743009999999998</v>
      </c>
      <c r="AI9949">
        <v>159.3554</v>
      </c>
      <c r="AJ9949">
        <v>45.655589999999997</v>
      </c>
      <c r="AK9949">
        <v>24.229019999999998</v>
      </c>
    </row>
    <row r="9950" spans="1:37" x14ac:dyDescent="0.3">
      <c r="A9950">
        <v>9949</v>
      </c>
      <c r="B9950">
        <v>2.2000000000000002</v>
      </c>
      <c r="C9950">
        <v>14.3917</v>
      </c>
      <c r="D9950">
        <v>5.6749999999999998</v>
      </c>
      <c r="E9950" t="s">
        <v>15055</v>
      </c>
      <c r="F9950" t="s">
        <v>15056</v>
      </c>
      <c r="G9950" t="s">
        <v>39</v>
      </c>
      <c r="H9950">
        <v>1990</v>
      </c>
      <c r="I9950">
        <v>22.727049999999998</v>
      </c>
      <c r="J9950">
        <v>10.9</v>
      </c>
      <c r="K9950">
        <v>73</v>
      </c>
      <c r="L9950">
        <v>8.0686210000000003</v>
      </c>
      <c r="M9950">
        <v>30.7</v>
      </c>
      <c r="N9950">
        <v>15.84764</v>
      </c>
      <c r="O9950">
        <v>14.852359999999999</v>
      </c>
      <c r="P9950">
        <v>21.920590000000001</v>
      </c>
      <c r="Q9950">
        <v>23.079409999999999</v>
      </c>
      <c r="R9950">
        <v>23.8</v>
      </c>
      <c r="S9950">
        <v>21.647639999999999</v>
      </c>
      <c r="T9950">
        <v>1522.607</v>
      </c>
      <c r="U9950">
        <v>237.20590000000001</v>
      </c>
      <c r="V9950">
        <v>10</v>
      </c>
      <c r="W9950">
        <v>63.476439999999997</v>
      </c>
      <c r="X9950">
        <v>664.83069999999998</v>
      </c>
      <c r="Y9950">
        <v>42.729489999999998</v>
      </c>
      <c r="Z9950">
        <v>232.25309999999999</v>
      </c>
      <c r="AA9950">
        <v>606.14829999999995</v>
      </c>
      <c r="AB9950">
        <v>22.452729999999999</v>
      </c>
      <c r="AC9950">
        <v>8.9521800000000006E-3</v>
      </c>
      <c r="AD9950">
        <v>1.680606</v>
      </c>
      <c r="AE9950">
        <v>0.25873940000000001</v>
      </c>
      <c r="AF9950">
        <v>956.01220000000001</v>
      </c>
      <c r="AG9950">
        <f>IFERROR(AH9950*0.1, "N/A")</f>
        <v>5.3322859999999999</v>
      </c>
      <c r="AH9950">
        <v>53.322859999999999</v>
      </c>
      <c r="AI9950">
        <v>201.30719999999999</v>
      </c>
      <c r="AJ9950">
        <v>34.645719999999997</v>
      </c>
      <c r="AK9950">
        <v>39.677140000000001</v>
      </c>
    </row>
    <row r="9951" spans="1:37" x14ac:dyDescent="0.3">
      <c r="A9951">
        <v>9950</v>
      </c>
      <c r="B9951">
        <v>2.2999999999999998</v>
      </c>
      <c r="C9951">
        <v>14.3917</v>
      </c>
      <c r="D9951">
        <v>5.6749999999999998</v>
      </c>
      <c r="E9951" t="s">
        <v>15055</v>
      </c>
      <c r="F9951" t="s">
        <v>15057</v>
      </c>
      <c r="G9951" t="s">
        <v>37</v>
      </c>
      <c r="H9951">
        <v>1990</v>
      </c>
      <c r="I9951">
        <v>22.727049999999998</v>
      </c>
      <c r="J9951">
        <v>10.9</v>
      </c>
      <c r="K9951">
        <v>73</v>
      </c>
      <c r="L9951">
        <v>8.0686210000000003</v>
      </c>
      <c r="M9951">
        <v>30.7</v>
      </c>
      <c r="N9951">
        <v>15.84764</v>
      </c>
      <c r="O9951">
        <v>14.852359999999999</v>
      </c>
      <c r="P9951">
        <v>21.920590000000001</v>
      </c>
      <c r="Q9951">
        <v>23.079409999999999</v>
      </c>
      <c r="R9951">
        <v>23.8</v>
      </c>
      <c r="S9951">
        <v>21.647639999999999</v>
      </c>
      <c r="T9951">
        <v>1522.607</v>
      </c>
      <c r="U9951">
        <v>237.20590000000001</v>
      </c>
      <c r="V9951">
        <v>10</v>
      </c>
      <c r="W9951">
        <v>63.476439999999997</v>
      </c>
      <c r="X9951">
        <v>664.83069999999998</v>
      </c>
      <c r="Y9951">
        <v>42.729489999999998</v>
      </c>
      <c r="Z9951">
        <v>232.25309999999999</v>
      </c>
      <c r="AA9951">
        <v>606.14829999999995</v>
      </c>
      <c r="AB9951">
        <v>22.452729999999999</v>
      </c>
      <c r="AC9951">
        <v>8.9521800000000006E-3</v>
      </c>
      <c r="AD9951">
        <v>1.680606</v>
      </c>
      <c r="AE9951">
        <v>0.25873940000000001</v>
      </c>
      <c r="AF9951">
        <v>956.01220000000001</v>
      </c>
      <c r="AG9951">
        <f>IFERROR(AH9951*0.1, "N/A")</f>
        <v>5.3322859999999999</v>
      </c>
      <c r="AH9951">
        <v>53.322859999999999</v>
      </c>
      <c r="AI9951">
        <v>201.30719999999999</v>
      </c>
      <c r="AJ9951">
        <v>34.645719999999997</v>
      </c>
      <c r="AK9951">
        <v>39.677140000000001</v>
      </c>
    </row>
    <row r="9952" spans="1:37" x14ac:dyDescent="0.3">
      <c r="A9952">
        <v>9951</v>
      </c>
      <c r="B9952">
        <v>0</v>
      </c>
      <c r="C9952">
        <v>14.3917</v>
      </c>
      <c r="D9952">
        <v>5.6749999999999998</v>
      </c>
      <c r="E9952" t="s">
        <v>15055</v>
      </c>
      <c r="F9952" t="s">
        <v>15058</v>
      </c>
      <c r="G9952" t="s">
        <v>2420</v>
      </c>
      <c r="H9952">
        <v>1990</v>
      </c>
      <c r="I9952">
        <v>22.727049999999998</v>
      </c>
      <c r="J9952">
        <v>10.9</v>
      </c>
      <c r="K9952">
        <v>73</v>
      </c>
      <c r="L9952">
        <v>8.0686210000000003</v>
      </c>
      <c r="M9952">
        <v>30.7</v>
      </c>
      <c r="N9952">
        <v>15.84764</v>
      </c>
      <c r="O9952">
        <v>14.852359999999999</v>
      </c>
      <c r="P9952">
        <v>21.920590000000001</v>
      </c>
      <c r="Q9952">
        <v>23.079409999999999</v>
      </c>
      <c r="R9952">
        <v>23.8</v>
      </c>
      <c r="S9952">
        <v>21.647639999999999</v>
      </c>
      <c r="T9952">
        <v>1522.607</v>
      </c>
      <c r="U9952">
        <v>237.20590000000001</v>
      </c>
      <c r="V9952">
        <v>10</v>
      </c>
      <c r="W9952">
        <v>63.476439999999997</v>
      </c>
      <c r="X9952">
        <v>664.83069999999998</v>
      </c>
      <c r="Y9952">
        <v>42.729489999999998</v>
      </c>
      <c r="Z9952">
        <v>232.25309999999999</v>
      </c>
      <c r="AA9952">
        <v>606.14829999999995</v>
      </c>
      <c r="AB9952">
        <v>22.452729999999999</v>
      </c>
      <c r="AC9952">
        <v>8.9521800000000006E-3</v>
      </c>
      <c r="AD9952">
        <v>1.680606</v>
      </c>
      <c r="AE9952">
        <v>0.25873940000000001</v>
      </c>
      <c r="AF9952">
        <v>956.01220000000001</v>
      </c>
      <c r="AG9952">
        <f>IFERROR(AH9952*0.1, "N/A")</f>
        <v>5.3322859999999999</v>
      </c>
      <c r="AH9952">
        <v>53.322859999999999</v>
      </c>
      <c r="AI9952">
        <v>201.30719999999999</v>
      </c>
      <c r="AJ9952">
        <v>34.645719999999997</v>
      </c>
      <c r="AK9952">
        <v>39.677140000000001</v>
      </c>
    </row>
    <row r="9953" spans="1:37" x14ac:dyDescent="0.3">
      <c r="A9953">
        <v>9952</v>
      </c>
      <c r="B9953">
        <v>0</v>
      </c>
      <c r="C9953">
        <v>10.35</v>
      </c>
      <c r="D9953">
        <v>5.7</v>
      </c>
      <c r="E9953" t="s">
        <v>15059</v>
      </c>
      <c r="F9953" t="s">
        <v>15060</v>
      </c>
      <c r="G9953" t="s">
        <v>39</v>
      </c>
      <c r="H9953">
        <v>1990</v>
      </c>
      <c r="I9953">
        <v>21.83455</v>
      </c>
      <c r="J9953">
        <v>10.199999999999999</v>
      </c>
      <c r="K9953">
        <v>75</v>
      </c>
      <c r="L9953">
        <v>8.8156719999999993</v>
      </c>
      <c r="M9953">
        <v>29.534559999999999</v>
      </c>
      <c r="N9953">
        <v>16.02216</v>
      </c>
      <c r="O9953">
        <v>13.51239</v>
      </c>
      <c r="P9953">
        <v>20.734549999999999</v>
      </c>
      <c r="Q9953">
        <v>22.422160000000002</v>
      </c>
      <c r="R9953">
        <v>22.961079999999999</v>
      </c>
      <c r="S9953">
        <v>20.734549999999999</v>
      </c>
      <c r="T9953">
        <v>2028.2909999999999</v>
      </c>
      <c r="U9953">
        <v>352.548</v>
      </c>
      <c r="V9953">
        <v>7</v>
      </c>
      <c r="W9953">
        <v>71</v>
      </c>
      <c r="X9953">
        <v>970.45899999999995</v>
      </c>
      <c r="Y9953">
        <v>46</v>
      </c>
      <c r="Z9953">
        <v>319</v>
      </c>
      <c r="AA9953">
        <v>970.45899999999995</v>
      </c>
      <c r="AB9953">
        <v>2.2659669999999998</v>
      </c>
      <c r="AC9953">
        <v>60.456910000000001</v>
      </c>
      <c r="AD9953">
        <v>3.1553010000000001</v>
      </c>
      <c r="AE9953">
        <v>0.34393629999999997</v>
      </c>
      <c r="AF9953">
        <v>1142.4849999999999</v>
      </c>
      <c r="AG9953">
        <f>IFERROR(AH9953*0.1, "N/A")</f>
        <v>5.6813260000000003</v>
      </c>
      <c r="AH9953">
        <v>56.81326</v>
      </c>
      <c r="AI9953">
        <v>197.72929999999999</v>
      </c>
      <c r="AJ9953">
        <v>39.18674</v>
      </c>
      <c r="AK9953">
        <v>33</v>
      </c>
    </row>
    <row r="9954" spans="1:37" x14ac:dyDescent="0.3">
      <c r="A9954">
        <v>9953</v>
      </c>
      <c r="B9954">
        <v>0</v>
      </c>
      <c r="C9954">
        <v>10.35</v>
      </c>
      <c r="D9954">
        <v>5.7</v>
      </c>
      <c r="E9954" t="s">
        <v>15059</v>
      </c>
      <c r="F9954" t="s">
        <v>15061</v>
      </c>
      <c r="G9954" t="s">
        <v>37</v>
      </c>
      <c r="H9954">
        <v>1990</v>
      </c>
      <c r="I9954">
        <v>21.83455</v>
      </c>
      <c r="J9954">
        <v>10.199999999999999</v>
      </c>
      <c r="K9954">
        <v>75</v>
      </c>
      <c r="L9954">
        <v>8.8156719999999993</v>
      </c>
      <c r="M9954">
        <v>29.534559999999999</v>
      </c>
      <c r="N9954">
        <v>16.02216</v>
      </c>
      <c r="O9954">
        <v>13.51239</v>
      </c>
      <c r="P9954">
        <v>20.734549999999999</v>
      </c>
      <c r="Q9954">
        <v>22.422160000000002</v>
      </c>
      <c r="R9954">
        <v>22.961079999999999</v>
      </c>
      <c r="S9954">
        <v>20.734549999999999</v>
      </c>
      <c r="T9954">
        <v>2028.2909999999999</v>
      </c>
      <c r="U9954">
        <v>352.548</v>
      </c>
      <c r="V9954">
        <v>7</v>
      </c>
      <c r="W9954">
        <v>71</v>
      </c>
      <c r="X9954">
        <v>970.45899999999995</v>
      </c>
      <c r="Y9954">
        <v>46</v>
      </c>
      <c r="Z9954">
        <v>319</v>
      </c>
      <c r="AA9954">
        <v>970.45899999999995</v>
      </c>
      <c r="AB9954">
        <v>2.2659669999999998</v>
      </c>
      <c r="AC9954">
        <v>60.456910000000001</v>
      </c>
      <c r="AD9954">
        <v>3.1553010000000001</v>
      </c>
      <c r="AE9954">
        <v>0.34393629999999997</v>
      </c>
      <c r="AF9954">
        <v>1142.4849999999999</v>
      </c>
      <c r="AG9954">
        <f>IFERROR(AH9954*0.1, "N/A")</f>
        <v>5.6813260000000003</v>
      </c>
      <c r="AH9954">
        <v>56.81326</v>
      </c>
      <c r="AI9954">
        <v>197.72929999999999</v>
      </c>
      <c r="AJ9954">
        <v>39.18674</v>
      </c>
      <c r="AK9954">
        <v>33</v>
      </c>
    </row>
    <row r="9955" spans="1:37" x14ac:dyDescent="0.3">
      <c r="A9955">
        <v>9954</v>
      </c>
      <c r="B9955">
        <v>0</v>
      </c>
      <c r="C9955">
        <v>10.35</v>
      </c>
      <c r="D9955">
        <v>5.7</v>
      </c>
      <c r="E9955" t="s">
        <v>15059</v>
      </c>
      <c r="F9955" t="s">
        <v>15062</v>
      </c>
      <c r="G9955" t="s">
        <v>2420</v>
      </c>
      <c r="H9955">
        <v>1990</v>
      </c>
      <c r="I9955">
        <v>21.83455</v>
      </c>
      <c r="J9955">
        <v>10.199999999999999</v>
      </c>
      <c r="K9955">
        <v>75</v>
      </c>
      <c r="L9955">
        <v>8.8156719999999993</v>
      </c>
      <c r="M9955">
        <v>29.534559999999999</v>
      </c>
      <c r="N9955">
        <v>16.02216</v>
      </c>
      <c r="O9955">
        <v>13.51239</v>
      </c>
      <c r="P9955">
        <v>20.734549999999999</v>
      </c>
      <c r="Q9955">
        <v>22.422160000000002</v>
      </c>
      <c r="R9955">
        <v>22.961079999999999</v>
      </c>
      <c r="S9955">
        <v>20.734549999999999</v>
      </c>
      <c r="T9955">
        <v>2028.2909999999999</v>
      </c>
      <c r="U9955">
        <v>352.548</v>
      </c>
      <c r="V9955">
        <v>7</v>
      </c>
      <c r="W9955">
        <v>71</v>
      </c>
      <c r="X9955">
        <v>970.45899999999995</v>
      </c>
      <c r="Y9955">
        <v>46</v>
      </c>
      <c r="Z9955">
        <v>319</v>
      </c>
      <c r="AA9955">
        <v>970.45899999999995</v>
      </c>
      <c r="AB9955">
        <v>2.2659669999999998</v>
      </c>
      <c r="AC9955">
        <v>60.456910000000001</v>
      </c>
      <c r="AD9955">
        <v>3.1553010000000001</v>
      </c>
      <c r="AE9955">
        <v>0.34393629999999997</v>
      </c>
      <c r="AF9955">
        <v>1142.4849999999999</v>
      </c>
      <c r="AG9955">
        <f>IFERROR(AH9955*0.1, "N/A")</f>
        <v>5.6813260000000003</v>
      </c>
      <c r="AH9955">
        <v>56.81326</v>
      </c>
      <c r="AI9955">
        <v>197.72929999999999</v>
      </c>
      <c r="AJ9955">
        <v>39.18674</v>
      </c>
      <c r="AK9955">
        <v>33</v>
      </c>
    </row>
    <row r="9956" spans="1:37" x14ac:dyDescent="0.3">
      <c r="A9956">
        <v>9955</v>
      </c>
      <c r="B9956">
        <v>2.2999999999999998</v>
      </c>
      <c r="C9956">
        <v>10.488899999999999</v>
      </c>
      <c r="D9956">
        <v>5.7055600000000002</v>
      </c>
      <c r="E9956" t="s">
        <v>15063</v>
      </c>
      <c r="F9956" t="s">
        <v>15064</v>
      </c>
      <c r="G9956" t="s">
        <v>39</v>
      </c>
      <c r="H9956">
        <v>1990</v>
      </c>
      <c r="I9956">
        <v>21.8</v>
      </c>
      <c r="J9956">
        <v>10.3</v>
      </c>
      <c r="K9956">
        <v>75</v>
      </c>
      <c r="L9956">
        <v>8.66</v>
      </c>
      <c r="M9956">
        <v>29.5</v>
      </c>
      <c r="N9956">
        <v>15.9</v>
      </c>
      <c r="O9956">
        <v>13.6</v>
      </c>
      <c r="P9956">
        <v>20.6</v>
      </c>
      <c r="Q9956">
        <v>22.3</v>
      </c>
      <c r="R9956">
        <v>22.9</v>
      </c>
      <c r="S9956">
        <v>20.6</v>
      </c>
      <c r="T9956">
        <v>1999</v>
      </c>
      <c r="U9956">
        <v>346</v>
      </c>
      <c r="V9956">
        <v>5</v>
      </c>
      <c r="W9956">
        <v>71</v>
      </c>
      <c r="X9956">
        <v>958</v>
      </c>
      <c r="Y9956">
        <v>43</v>
      </c>
      <c r="Z9956">
        <v>315</v>
      </c>
      <c r="AA9956">
        <v>958</v>
      </c>
      <c r="AB9956">
        <v>47.296309999999998</v>
      </c>
      <c r="AC9956">
        <v>1.129703E-2</v>
      </c>
      <c r="AD9956">
        <v>20.134360000000001</v>
      </c>
      <c r="AE9956">
        <v>0.40793109999999999</v>
      </c>
      <c r="AF9956">
        <v>1198.46</v>
      </c>
      <c r="AG9956">
        <f>IFERROR(AH9956*0.1, "N/A")</f>
        <v>5.7807020000000007</v>
      </c>
      <c r="AH9956">
        <v>57.807020000000001</v>
      </c>
      <c r="AI9956">
        <v>231.60429999999999</v>
      </c>
      <c r="AJ9956">
        <v>35.18421</v>
      </c>
      <c r="AK9956">
        <v>37.614040000000003</v>
      </c>
    </row>
    <row r="9957" spans="1:37" x14ac:dyDescent="0.3">
      <c r="A9957">
        <v>9956</v>
      </c>
      <c r="B9957">
        <v>2.6</v>
      </c>
      <c r="C9957">
        <v>10.488899999999999</v>
      </c>
      <c r="D9957">
        <v>5.7055600000000002</v>
      </c>
      <c r="E9957" t="s">
        <v>15063</v>
      </c>
      <c r="F9957" t="s">
        <v>15065</v>
      </c>
      <c r="G9957" t="s">
        <v>37</v>
      </c>
      <c r="H9957">
        <v>1990</v>
      </c>
      <c r="I9957">
        <v>21.8</v>
      </c>
      <c r="J9957">
        <v>10.3</v>
      </c>
      <c r="K9957">
        <v>75</v>
      </c>
      <c r="L9957">
        <v>8.66</v>
      </c>
      <c r="M9957">
        <v>29.5</v>
      </c>
      <c r="N9957">
        <v>15.9</v>
      </c>
      <c r="O9957">
        <v>13.6</v>
      </c>
      <c r="P9957">
        <v>20.6</v>
      </c>
      <c r="Q9957">
        <v>22.3</v>
      </c>
      <c r="R9957">
        <v>22.9</v>
      </c>
      <c r="S9957">
        <v>20.6</v>
      </c>
      <c r="T9957">
        <v>1999</v>
      </c>
      <c r="U9957">
        <v>346</v>
      </c>
      <c r="V9957">
        <v>5</v>
      </c>
      <c r="W9957">
        <v>71</v>
      </c>
      <c r="X9957">
        <v>958</v>
      </c>
      <c r="Y9957">
        <v>43</v>
      </c>
      <c r="Z9957">
        <v>315</v>
      </c>
      <c r="AA9957">
        <v>958</v>
      </c>
      <c r="AB9957">
        <v>47.296309999999998</v>
      </c>
      <c r="AC9957">
        <v>1.129703E-2</v>
      </c>
      <c r="AD9957">
        <v>20.134360000000001</v>
      </c>
      <c r="AE9957">
        <v>0.40793109999999999</v>
      </c>
      <c r="AF9957">
        <v>1198.46</v>
      </c>
      <c r="AG9957">
        <f>IFERROR(AH9957*0.1, "N/A")</f>
        <v>5.7807020000000007</v>
      </c>
      <c r="AH9957">
        <v>57.807020000000001</v>
      </c>
      <c r="AI9957">
        <v>231.60429999999999</v>
      </c>
      <c r="AJ9957">
        <v>35.18421</v>
      </c>
      <c r="AK9957">
        <v>37.614040000000003</v>
      </c>
    </row>
    <row r="9958" spans="1:37" x14ac:dyDescent="0.3">
      <c r="A9958">
        <v>9957</v>
      </c>
      <c r="B9958">
        <v>0</v>
      </c>
      <c r="C9958">
        <v>10.488899999999999</v>
      </c>
      <c r="D9958">
        <v>5.7055600000000002</v>
      </c>
      <c r="E9958" t="s">
        <v>15063</v>
      </c>
      <c r="F9958" t="s">
        <v>15066</v>
      </c>
      <c r="G9958" t="s">
        <v>2420</v>
      </c>
      <c r="H9958">
        <v>1990</v>
      </c>
      <c r="I9958">
        <v>21.8</v>
      </c>
      <c r="J9958">
        <v>10.3</v>
      </c>
      <c r="K9958">
        <v>75</v>
      </c>
      <c r="L9958">
        <v>8.66</v>
      </c>
      <c r="M9958">
        <v>29.5</v>
      </c>
      <c r="N9958">
        <v>15.9</v>
      </c>
      <c r="O9958">
        <v>13.6</v>
      </c>
      <c r="P9958">
        <v>20.6</v>
      </c>
      <c r="Q9958">
        <v>22.3</v>
      </c>
      <c r="R9958">
        <v>22.9</v>
      </c>
      <c r="S9958">
        <v>20.6</v>
      </c>
      <c r="T9958">
        <v>1999</v>
      </c>
      <c r="U9958">
        <v>346</v>
      </c>
      <c r="V9958">
        <v>5</v>
      </c>
      <c r="W9958">
        <v>71</v>
      </c>
      <c r="X9958">
        <v>958</v>
      </c>
      <c r="Y9958">
        <v>43</v>
      </c>
      <c r="Z9958">
        <v>315</v>
      </c>
      <c r="AA9958">
        <v>958</v>
      </c>
      <c r="AB9958">
        <v>47.296309999999998</v>
      </c>
      <c r="AC9958">
        <v>1.129703E-2</v>
      </c>
      <c r="AD9958">
        <v>20.134360000000001</v>
      </c>
      <c r="AE9958">
        <v>0.40793109999999999</v>
      </c>
      <c r="AF9958">
        <v>1198.46</v>
      </c>
      <c r="AG9958">
        <f>IFERROR(AH9958*0.1, "N/A")</f>
        <v>5.7807020000000007</v>
      </c>
      <c r="AH9958">
        <v>57.807020000000001</v>
      </c>
      <c r="AI9958">
        <v>231.60429999999999</v>
      </c>
      <c r="AJ9958">
        <v>35.18421</v>
      </c>
      <c r="AK9958">
        <v>37.614040000000003</v>
      </c>
    </row>
    <row r="9959" spans="1:37" x14ac:dyDescent="0.3">
      <c r="A9959">
        <v>9958</v>
      </c>
      <c r="B9959">
        <v>0</v>
      </c>
      <c r="C9959">
        <v>11.1181</v>
      </c>
      <c r="D9959">
        <v>5.7152799999999999</v>
      </c>
      <c r="E9959" t="s">
        <v>15067</v>
      </c>
      <c r="F9959" t="s">
        <v>15068</v>
      </c>
      <c r="G9959" t="s">
        <v>39</v>
      </c>
      <c r="H9959">
        <v>1990</v>
      </c>
      <c r="I9959">
        <v>24.5</v>
      </c>
      <c r="J9959">
        <v>10.199999999999999</v>
      </c>
      <c r="K9959">
        <v>73</v>
      </c>
      <c r="L9959">
        <v>8.8800000000000008</v>
      </c>
      <c r="M9959">
        <v>32.299999999999997</v>
      </c>
      <c r="N9959">
        <v>18.5</v>
      </c>
      <c r="O9959">
        <v>13.8</v>
      </c>
      <c r="P9959">
        <v>23.5</v>
      </c>
      <c r="Q9959">
        <v>25.1</v>
      </c>
      <c r="R9959">
        <v>25.6</v>
      </c>
      <c r="S9959">
        <v>23.3</v>
      </c>
      <c r="T9959">
        <v>1805</v>
      </c>
      <c r="U9959">
        <v>314</v>
      </c>
      <c r="V9959">
        <v>3</v>
      </c>
      <c r="W9959">
        <v>71</v>
      </c>
      <c r="X9959">
        <v>848</v>
      </c>
      <c r="Y9959">
        <v>31</v>
      </c>
      <c r="Z9959">
        <v>269</v>
      </c>
      <c r="AA9959">
        <v>829</v>
      </c>
      <c r="AB9959">
        <v>18.465969999999999</v>
      </c>
      <c r="AC9959">
        <v>1.1445530000000001E-2</v>
      </c>
      <c r="AD9959">
        <v>1.6932670000000001</v>
      </c>
      <c r="AE9959">
        <v>0.66785439999999996</v>
      </c>
      <c r="AF9959">
        <v>711.41359999999997</v>
      </c>
      <c r="AG9959">
        <f>IFERROR(AH9959*0.1, "N/A")</f>
        <v>5.3799300000000008</v>
      </c>
      <c r="AH9959">
        <v>53.799300000000002</v>
      </c>
      <c r="AI9959">
        <v>184.90299999999999</v>
      </c>
      <c r="AJ9959">
        <v>28.582899999999999</v>
      </c>
      <c r="AK9959">
        <v>45.886560000000003</v>
      </c>
    </row>
    <row r="9960" spans="1:37" x14ac:dyDescent="0.3">
      <c r="A9960">
        <v>9959</v>
      </c>
      <c r="B9960">
        <v>13.1</v>
      </c>
      <c r="C9960">
        <v>11.1181</v>
      </c>
      <c r="D9960">
        <v>5.7152799999999999</v>
      </c>
      <c r="E9960" t="s">
        <v>15067</v>
      </c>
      <c r="F9960" t="s">
        <v>15069</v>
      </c>
      <c r="G9960" t="s">
        <v>37</v>
      </c>
      <c r="H9960">
        <v>1990</v>
      </c>
      <c r="I9960">
        <v>24.5</v>
      </c>
      <c r="J9960">
        <v>10.199999999999999</v>
      </c>
      <c r="K9960">
        <v>73</v>
      </c>
      <c r="L9960">
        <v>8.8800000000000008</v>
      </c>
      <c r="M9960">
        <v>32.299999999999997</v>
      </c>
      <c r="N9960">
        <v>18.5</v>
      </c>
      <c r="O9960">
        <v>13.8</v>
      </c>
      <c r="P9960">
        <v>23.5</v>
      </c>
      <c r="Q9960">
        <v>25.1</v>
      </c>
      <c r="R9960">
        <v>25.6</v>
      </c>
      <c r="S9960">
        <v>23.3</v>
      </c>
      <c r="T9960">
        <v>1805</v>
      </c>
      <c r="U9960">
        <v>314</v>
      </c>
      <c r="V9960">
        <v>3</v>
      </c>
      <c r="W9960">
        <v>71</v>
      </c>
      <c r="X9960">
        <v>848</v>
      </c>
      <c r="Y9960">
        <v>31</v>
      </c>
      <c r="Z9960">
        <v>269</v>
      </c>
      <c r="AA9960">
        <v>829</v>
      </c>
      <c r="AB9960">
        <v>18.465969999999999</v>
      </c>
      <c r="AC9960">
        <v>1.1445530000000001E-2</v>
      </c>
      <c r="AD9960">
        <v>1.6932670000000001</v>
      </c>
      <c r="AE9960">
        <v>0.66785439999999996</v>
      </c>
      <c r="AF9960">
        <v>711.41359999999997</v>
      </c>
      <c r="AG9960">
        <f>IFERROR(AH9960*0.1, "N/A")</f>
        <v>5.3799300000000008</v>
      </c>
      <c r="AH9960">
        <v>53.799300000000002</v>
      </c>
      <c r="AI9960">
        <v>184.90299999999999</v>
      </c>
      <c r="AJ9960">
        <v>28.582899999999999</v>
      </c>
      <c r="AK9960">
        <v>45.886560000000003</v>
      </c>
    </row>
    <row r="9961" spans="1:37" x14ac:dyDescent="0.3">
      <c r="A9961">
        <v>9960</v>
      </c>
      <c r="B9961">
        <v>0</v>
      </c>
      <c r="C9961">
        <v>11.1181</v>
      </c>
      <c r="D9961">
        <v>5.7152799999999999</v>
      </c>
      <c r="E9961" t="s">
        <v>15067</v>
      </c>
      <c r="F9961" t="s">
        <v>15070</v>
      </c>
      <c r="G9961" t="s">
        <v>2420</v>
      </c>
      <c r="H9961">
        <v>1990</v>
      </c>
      <c r="I9961">
        <v>24.5</v>
      </c>
      <c r="J9961">
        <v>10.199999999999999</v>
      </c>
      <c r="K9961">
        <v>73</v>
      </c>
      <c r="L9961">
        <v>8.8800000000000008</v>
      </c>
      <c r="M9961">
        <v>32.299999999999997</v>
      </c>
      <c r="N9961">
        <v>18.5</v>
      </c>
      <c r="O9961">
        <v>13.8</v>
      </c>
      <c r="P9961">
        <v>23.5</v>
      </c>
      <c r="Q9961">
        <v>25.1</v>
      </c>
      <c r="R9961">
        <v>25.6</v>
      </c>
      <c r="S9961">
        <v>23.3</v>
      </c>
      <c r="T9961">
        <v>1805</v>
      </c>
      <c r="U9961">
        <v>314</v>
      </c>
      <c r="V9961">
        <v>3</v>
      </c>
      <c r="W9961">
        <v>71</v>
      </c>
      <c r="X9961">
        <v>848</v>
      </c>
      <c r="Y9961">
        <v>31</v>
      </c>
      <c r="Z9961">
        <v>269</v>
      </c>
      <c r="AA9961">
        <v>829</v>
      </c>
      <c r="AB9961">
        <v>18.465969999999999</v>
      </c>
      <c r="AC9961">
        <v>1.1445530000000001E-2</v>
      </c>
      <c r="AD9961">
        <v>1.6932670000000001</v>
      </c>
      <c r="AE9961">
        <v>0.66785439999999996</v>
      </c>
      <c r="AF9961">
        <v>711.41359999999997</v>
      </c>
      <c r="AG9961">
        <f>IFERROR(AH9961*0.1, "N/A")</f>
        <v>5.3799300000000008</v>
      </c>
      <c r="AH9961">
        <v>53.799300000000002</v>
      </c>
      <c r="AI9961">
        <v>184.90299999999999</v>
      </c>
      <c r="AJ9961">
        <v>28.582899999999999</v>
      </c>
      <c r="AK9961">
        <v>45.886560000000003</v>
      </c>
    </row>
    <row r="9962" spans="1:37" x14ac:dyDescent="0.3">
      <c r="A9962">
        <v>9961</v>
      </c>
      <c r="B9962">
        <v>0</v>
      </c>
      <c r="C9962">
        <v>10.9056</v>
      </c>
      <c r="D9962">
        <v>5.7333299999999996</v>
      </c>
      <c r="E9962" t="s">
        <v>15071</v>
      </c>
      <c r="F9962" t="s">
        <v>15072</v>
      </c>
      <c r="G9962" t="s">
        <v>39</v>
      </c>
      <c r="H9962">
        <v>1990</v>
      </c>
      <c r="I9962">
        <v>22.3</v>
      </c>
      <c r="J9962">
        <v>10.5</v>
      </c>
      <c r="K9962">
        <v>75.743459999999999</v>
      </c>
      <c r="L9962">
        <v>8.600733</v>
      </c>
      <c r="M9962">
        <v>30.2</v>
      </c>
      <c r="N9962">
        <v>16.37435</v>
      </c>
      <c r="O9962">
        <v>13.82565</v>
      </c>
      <c r="P9962">
        <v>21.2</v>
      </c>
      <c r="Q9962">
        <v>22.974350000000001</v>
      </c>
      <c r="R9962">
        <v>23.37435</v>
      </c>
      <c r="S9962">
        <v>21.2</v>
      </c>
      <c r="T9962">
        <v>1910</v>
      </c>
      <c r="U9962">
        <v>330</v>
      </c>
      <c r="V9962">
        <v>2</v>
      </c>
      <c r="W9962">
        <v>71</v>
      </c>
      <c r="X9962">
        <v>915</v>
      </c>
      <c r="Y9962">
        <v>37</v>
      </c>
      <c r="Z9962">
        <v>181.0471</v>
      </c>
      <c r="AA9962">
        <v>915</v>
      </c>
      <c r="AB9962">
        <v>48.904380000000003</v>
      </c>
      <c r="AC9962">
        <v>2.2905229999999999E-2</v>
      </c>
      <c r="AD9962">
        <v>9.2662929999999992</v>
      </c>
      <c r="AE9962">
        <v>0.79715060000000004</v>
      </c>
      <c r="AF9962">
        <v>1151.9179999999999</v>
      </c>
      <c r="AG9962">
        <f>IFERROR(AH9962*0.1, "N/A")</f>
        <v>5.6000000000000005</v>
      </c>
      <c r="AH9962">
        <v>56</v>
      </c>
      <c r="AI9962">
        <v>229.46350000000001</v>
      </c>
      <c r="AJ9962">
        <v>30</v>
      </c>
      <c r="AK9962">
        <v>43</v>
      </c>
    </row>
    <row r="9963" spans="1:37" x14ac:dyDescent="0.3">
      <c r="A9963">
        <v>9962</v>
      </c>
      <c r="B9963">
        <v>1.5</v>
      </c>
      <c r="C9963">
        <v>10.9056</v>
      </c>
      <c r="D9963">
        <v>5.7333299999999996</v>
      </c>
      <c r="E9963" t="s">
        <v>15071</v>
      </c>
      <c r="F9963" t="s">
        <v>15073</v>
      </c>
      <c r="G9963" t="s">
        <v>37</v>
      </c>
      <c r="H9963">
        <v>1990</v>
      </c>
      <c r="I9963">
        <v>22.3</v>
      </c>
      <c r="J9963">
        <v>10.5</v>
      </c>
      <c r="K9963">
        <v>75.743459999999999</v>
      </c>
      <c r="L9963">
        <v>8.600733</v>
      </c>
      <c r="M9963">
        <v>30.2</v>
      </c>
      <c r="N9963">
        <v>16.37435</v>
      </c>
      <c r="O9963">
        <v>13.82565</v>
      </c>
      <c r="P9963">
        <v>21.2</v>
      </c>
      <c r="Q9963">
        <v>22.974350000000001</v>
      </c>
      <c r="R9963">
        <v>23.37435</v>
      </c>
      <c r="S9963">
        <v>21.2</v>
      </c>
      <c r="T9963">
        <v>1910</v>
      </c>
      <c r="U9963">
        <v>330</v>
      </c>
      <c r="V9963">
        <v>2</v>
      </c>
      <c r="W9963">
        <v>71</v>
      </c>
      <c r="X9963">
        <v>915</v>
      </c>
      <c r="Y9963">
        <v>37</v>
      </c>
      <c r="Z9963">
        <v>181.0471</v>
      </c>
      <c r="AA9963">
        <v>915</v>
      </c>
      <c r="AB9963">
        <v>48.904380000000003</v>
      </c>
      <c r="AC9963">
        <v>2.2905229999999999E-2</v>
      </c>
      <c r="AD9963">
        <v>9.2662929999999992</v>
      </c>
      <c r="AE9963">
        <v>0.79715060000000004</v>
      </c>
      <c r="AF9963">
        <v>1151.9179999999999</v>
      </c>
      <c r="AG9963">
        <f>IFERROR(AH9963*0.1, "N/A")</f>
        <v>5.6000000000000005</v>
      </c>
      <c r="AH9963">
        <v>56</v>
      </c>
      <c r="AI9963">
        <v>229.46350000000001</v>
      </c>
      <c r="AJ9963">
        <v>30</v>
      </c>
      <c r="AK9963">
        <v>43</v>
      </c>
    </row>
    <row r="9964" spans="1:37" x14ac:dyDescent="0.3">
      <c r="A9964">
        <v>9963</v>
      </c>
      <c r="B9964">
        <v>0</v>
      </c>
      <c r="C9964">
        <v>10.9056</v>
      </c>
      <c r="D9964">
        <v>5.7333299999999996</v>
      </c>
      <c r="E9964" t="s">
        <v>15071</v>
      </c>
      <c r="F9964" t="s">
        <v>15074</v>
      </c>
      <c r="G9964" t="s">
        <v>2420</v>
      </c>
      <c r="H9964">
        <v>1990</v>
      </c>
      <c r="I9964">
        <v>22.3</v>
      </c>
      <c r="J9964">
        <v>10.5</v>
      </c>
      <c r="K9964">
        <v>75.743459999999999</v>
      </c>
      <c r="L9964">
        <v>8.600733</v>
      </c>
      <c r="M9964">
        <v>30.2</v>
      </c>
      <c r="N9964">
        <v>16.37435</v>
      </c>
      <c r="O9964">
        <v>13.82565</v>
      </c>
      <c r="P9964">
        <v>21.2</v>
      </c>
      <c r="Q9964">
        <v>22.974350000000001</v>
      </c>
      <c r="R9964">
        <v>23.37435</v>
      </c>
      <c r="S9964">
        <v>21.2</v>
      </c>
      <c r="T9964">
        <v>1910</v>
      </c>
      <c r="U9964">
        <v>330</v>
      </c>
      <c r="V9964">
        <v>2</v>
      </c>
      <c r="W9964">
        <v>71</v>
      </c>
      <c r="X9964">
        <v>915</v>
      </c>
      <c r="Y9964">
        <v>37</v>
      </c>
      <c r="Z9964">
        <v>181.0471</v>
      </c>
      <c r="AA9964">
        <v>915</v>
      </c>
      <c r="AB9964">
        <v>48.904380000000003</v>
      </c>
      <c r="AC9964">
        <v>2.2905229999999999E-2</v>
      </c>
      <c r="AD9964">
        <v>9.2662929999999992</v>
      </c>
      <c r="AE9964">
        <v>0.79715060000000004</v>
      </c>
      <c r="AF9964">
        <v>1151.9179999999999</v>
      </c>
      <c r="AG9964">
        <f>IFERROR(AH9964*0.1, "N/A")</f>
        <v>5.6000000000000005</v>
      </c>
      <c r="AH9964">
        <v>56</v>
      </c>
      <c r="AI9964">
        <v>229.46350000000001</v>
      </c>
      <c r="AJ9964">
        <v>30</v>
      </c>
      <c r="AK9964">
        <v>43</v>
      </c>
    </row>
    <row r="9965" spans="1:37" x14ac:dyDescent="0.3">
      <c r="A9965">
        <v>9964</v>
      </c>
      <c r="B9965">
        <v>0</v>
      </c>
      <c r="C9965">
        <v>14.441700000000001</v>
      </c>
      <c r="D9965">
        <v>5.75</v>
      </c>
      <c r="E9965" t="s">
        <v>15075</v>
      </c>
      <c r="F9965" t="s">
        <v>15076</v>
      </c>
      <c r="G9965" t="s">
        <v>39</v>
      </c>
      <c r="H9965">
        <v>1990</v>
      </c>
      <c r="I9965">
        <v>22.635249999999999</v>
      </c>
      <c r="J9965">
        <v>10.94171</v>
      </c>
      <c r="K9965">
        <v>73.523560000000003</v>
      </c>
      <c r="L9965">
        <v>8.0075389999999995</v>
      </c>
      <c r="M9965">
        <v>30.535250000000001</v>
      </c>
      <c r="N9965">
        <v>15.745900000000001</v>
      </c>
      <c r="O9965">
        <v>14.789350000000001</v>
      </c>
      <c r="P9965">
        <v>21.835249999999998</v>
      </c>
      <c r="Q9965">
        <v>22.945900000000002</v>
      </c>
      <c r="R9965">
        <v>23.6829</v>
      </c>
      <c r="S9965">
        <v>21.535250000000001</v>
      </c>
      <c r="T9965">
        <v>1516.925</v>
      </c>
      <c r="U9965">
        <v>232</v>
      </c>
      <c r="V9965">
        <v>10</v>
      </c>
      <c r="W9965">
        <v>64</v>
      </c>
      <c r="X9965">
        <v>656.52359999999999</v>
      </c>
      <c r="Y9965">
        <v>41.647469999999998</v>
      </c>
      <c r="Z9965">
        <v>228.4014</v>
      </c>
      <c r="AA9965">
        <v>606.94069999999999</v>
      </c>
      <c r="AB9965">
        <v>31.709589999999999</v>
      </c>
      <c r="AC9965">
        <v>1.787236E-2</v>
      </c>
      <c r="AD9965">
        <v>1.317347</v>
      </c>
      <c r="AE9965">
        <v>0.21187300000000001</v>
      </c>
      <c r="AF9965">
        <v>990.13789999999995</v>
      </c>
      <c r="AG9965">
        <f>IFERROR(AH9965*0.1, "N/A")</f>
        <v>5.4</v>
      </c>
      <c r="AH9965">
        <v>54</v>
      </c>
      <c r="AI9965">
        <v>250.8004</v>
      </c>
      <c r="AJ9965">
        <v>26.015709999999999</v>
      </c>
      <c r="AK9965">
        <v>52.979059999999997</v>
      </c>
    </row>
    <row r="9966" spans="1:37" x14ac:dyDescent="0.3">
      <c r="A9966">
        <v>9965</v>
      </c>
      <c r="B9966">
        <v>0</v>
      </c>
      <c r="C9966">
        <v>14.441700000000001</v>
      </c>
      <c r="D9966">
        <v>5.75</v>
      </c>
      <c r="E9966" t="s">
        <v>15075</v>
      </c>
      <c r="F9966" t="s">
        <v>15077</v>
      </c>
      <c r="G9966" t="s">
        <v>37</v>
      </c>
      <c r="H9966">
        <v>1990</v>
      </c>
      <c r="I9966">
        <v>22.635249999999999</v>
      </c>
      <c r="J9966">
        <v>10.94171</v>
      </c>
      <c r="K9966">
        <v>73.523560000000003</v>
      </c>
      <c r="L9966">
        <v>8.0075389999999995</v>
      </c>
      <c r="M9966">
        <v>30.535250000000001</v>
      </c>
      <c r="N9966">
        <v>15.745900000000001</v>
      </c>
      <c r="O9966">
        <v>14.789350000000001</v>
      </c>
      <c r="P9966">
        <v>21.835249999999998</v>
      </c>
      <c r="Q9966">
        <v>22.945900000000002</v>
      </c>
      <c r="R9966">
        <v>23.6829</v>
      </c>
      <c r="S9966">
        <v>21.535250000000001</v>
      </c>
      <c r="T9966">
        <v>1516.925</v>
      </c>
      <c r="U9966">
        <v>232</v>
      </c>
      <c r="V9966">
        <v>10</v>
      </c>
      <c r="W9966">
        <v>64</v>
      </c>
      <c r="X9966">
        <v>656.52359999999999</v>
      </c>
      <c r="Y9966">
        <v>41.647469999999998</v>
      </c>
      <c r="Z9966">
        <v>228.4014</v>
      </c>
      <c r="AA9966">
        <v>606.94069999999999</v>
      </c>
      <c r="AB9966">
        <v>31.709589999999999</v>
      </c>
      <c r="AC9966">
        <v>1.787236E-2</v>
      </c>
      <c r="AD9966">
        <v>1.317347</v>
      </c>
      <c r="AE9966">
        <v>0.21187300000000001</v>
      </c>
      <c r="AF9966">
        <v>990.13789999999995</v>
      </c>
      <c r="AG9966">
        <f>IFERROR(AH9966*0.1, "N/A")</f>
        <v>5.4</v>
      </c>
      <c r="AH9966">
        <v>54</v>
      </c>
      <c r="AI9966">
        <v>250.8004</v>
      </c>
      <c r="AJ9966">
        <v>26.015709999999999</v>
      </c>
      <c r="AK9966">
        <v>52.979059999999997</v>
      </c>
    </row>
    <row r="9967" spans="1:37" x14ac:dyDescent="0.3">
      <c r="A9967">
        <v>9966</v>
      </c>
      <c r="B9967">
        <v>0</v>
      </c>
      <c r="C9967">
        <v>14.441700000000001</v>
      </c>
      <c r="D9967">
        <v>5.75</v>
      </c>
      <c r="E9967" t="s">
        <v>15075</v>
      </c>
      <c r="F9967" t="s">
        <v>15078</v>
      </c>
      <c r="G9967" t="s">
        <v>2420</v>
      </c>
      <c r="H9967">
        <v>1990</v>
      </c>
      <c r="I9967">
        <v>22.635249999999999</v>
      </c>
      <c r="J9967">
        <v>10.94171</v>
      </c>
      <c r="K9967">
        <v>73.523560000000003</v>
      </c>
      <c r="L9967">
        <v>8.0075389999999995</v>
      </c>
      <c r="M9967">
        <v>30.535250000000001</v>
      </c>
      <c r="N9967">
        <v>15.745900000000001</v>
      </c>
      <c r="O9967">
        <v>14.789350000000001</v>
      </c>
      <c r="P9967">
        <v>21.835249999999998</v>
      </c>
      <c r="Q9967">
        <v>22.945900000000002</v>
      </c>
      <c r="R9967">
        <v>23.6829</v>
      </c>
      <c r="S9967">
        <v>21.535250000000001</v>
      </c>
      <c r="T9967">
        <v>1516.925</v>
      </c>
      <c r="U9967">
        <v>232</v>
      </c>
      <c r="V9967">
        <v>10</v>
      </c>
      <c r="W9967">
        <v>64</v>
      </c>
      <c r="X9967">
        <v>656.52359999999999</v>
      </c>
      <c r="Y9967">
        <v>41.647469999999998</v>
      </c>
      <c r="Z9967">
        <v>228.4014</v>
      </c>
      <c r="AA9967">
        <v>606.94069999999999</v>
      </c>
      <c r="AB9967">
        <v>31.709589999999999</v>
      </c>
      <c r="AC9967">
        <v>1.787236E-2</v>
      </c>
      <c r="AD9967">
        <v>1.317347</v>
      </c>
      <c r="AE9967">
        <v>0.21187300000000001</v>
      </c>
      <c r="AF9967">
        <v>990.13789999999995</v>
      </c>
      <c r="AG9967">
        <f>IFERROR(AH9967*0.1, "N/A")</f>
        <v>5.4</v>
      </c>
      <c r="AH9967">
        <v>54</v>
      </c>
      <c r="AI9967">
        <v>250.8004</v>
      </c>
      <c r="AJ9967">
        <v>26.015709999999999</v>
      </c>
      <c r="AK9967">
        <v>52.979059999999997</v>
      </c>
    </row>
    <row r="9968" spans="1:37" x14ac:dyDescent="0.3">
      <c r="A9968">
        <v>9967</v>
      </c>
      <c r="B9968">
        <v>3.5</v>
      </c>
      <c r="C9968">
        <v>14.5444</v>
      </c>
      <c r="D9968">
        <v>5.8916700000000004</v>
      </c>
      <c r="E9968" t="s">
        <v>15079</v>
      </c>
      <c r="F9968" t="s">
        <v>15080</v>
      </c>
      <c r="G9968" t="s">
        <v>39</v>
      </c>
      <c r="H9968">
        <v>1990</v>
      </c>
      <c r="I9968">
        <v>22.5</v>
      </c>
      <c r="J9968">
        <v>11</v>
      </c>
      <c r="K9968">
        <v>73</v>
      </c>
      <c r="L9968">
        <v>8.3271429999999995</v>
      </c>
      <c r="M9968">
        <v>30.5</v>
      </c>
      <c r="N9968">
        <v>15.5</v>
      </c>
      <c r="O9968">
        <v>15</v>
      </c>
      <c r="P9968">
        <v>21.7</v>
      </c>
      <c r="Q9968">
        <v>22.821429999999999</v>
      </c>
      <c r="R9968">
        <v>23.6</v>
      </c>
      <c r="S9968">
        <v>21.421430000000001</v>
      </c>
      <c r="T9968">
        <v>1506.4290000000001</v>
      </c>
      <c r="U9968">
        <v>225</v>
      </c>
      <c r="V9968">
        <v>9</v>
      </c>
      <c r="W9968">
        <v>65</v>
      </c>
      <c r="X9968">
        <v>645.21429999999998</v>
      </c>
      <c r="Y9968">
        <v>37</v>
      </c>
      <c r="Z9968">
        <v>221</v>
      </c>
      <c r="AA9968">
        <v>615.42859999999996</v>
      </c>
      <c r="AB9968">
        <v>31.901520000000001</v>
      </c>
      <c r="AC9968">
        <v>1.7896100000000002E-2</v>
      </c>
      <c r="AD9968">
        <v>2.7042709999999999</v>
      </c>
      <c r="AE9968">
        <v>0.70892310000000003</v>
      </c>
      <c r="AF9968">
        <v>1024.636</v>
      </c>
      <c r="AG9968">
        <f>IFERROR(AH9968*0.1, "N/A")</f>
        <v>5.4878050000000007</v>
      </c>
      <c r="AH9968">
        <v>54.878050000000002</v>
      </c>
      <c r="AI9968">
        <v>271.06119999999999</v>
      </c>
      <c r="AJ9968">
        <v>23.940770000000001</v>
      </c>
      <c r="AK9968">
        <v>54.243899999999996</v>
      </c>
    </row>
    <row r="9969" spans="1:37" x14ac:dyDescent="0.3">
      <c r="A9969">
        <v>9968</v>
      </c>
      <c r="B9969">
        <v>2.1</v>
      </c>
      <c r="C9969">
        <v>14.5444</v>
      </c>
      <c r="D9969">
        <v>5.8916700000000004</v>
      </c>
      <c r="E9969" t="s">
        <v>15079</v>
      </c>
      <c r="F9969" t="s">
        <v>15081</v>
      </c>
      <c r="G9969" t="s">
        <v>37</v>
      </c>
      <c r="H9969">
        <v>1990</v>
      </c>
      <c r="I9969">
        <v>22.5</v>
      </c>
      <c r="J9969">
        <v>11</v>
      </c>
      <c r="K9969">
        <v>73</v>
      </c>
      <c r="L9969">
        <v>8.3271429999999995</v>
      </c>
      <c r="M9969">
        <v>30.5</v>
      </c>
      <c r="N9969">
        <v>15.5</v>
      </c>
      <c r="O9969">
        <v>15</v>
      </c>
      <c r="P9969">
        <v>21.7</v>
      </c>
      <c r="Q9969">
        <v>22.821429999999999</v>
      </c>
      <c r="R9969">
        <v>23.6</v>
      </c>
      <c r="S9969">
        <v>21.421430000000001</v>
      </c>
      <c r="T9969">
        <v>1506.4290000000001</v>
      </c>
      <c r="U9969">
        <v>225</v>
      </c>
      <c r="V9969">
        <v>9</v>
      </c>
      <c r="W9969">
        <v>65</v>
      </c>
      <c r="X9969">
        <v>645.21429999999998</v>
      </c>
      <c r="Y9969">
        <v>37</v>
      </c>
      <c r="Z9969">
        <v>221</v>
      </c>
      <c r="AA9969">
        <v>615.42859999999996</v>
      </c>
      <c r="AB9969">
        <v>31.901520000000001</v>
      </c>
      <c r="AC9969">
        <v>1.7896100000000002E-2</v>
      </c>
      <c r="AD9969">
        <v>2.7042709999999999</v>
      </c>
      <c r="AE9969">
        <v>0.70892310000000003</v>
      </c>
      <c r="AF9969">
        <v>1024.636</v>
      </c>
      <c r="AG9969">
        <f>IFERROR(AH9969*0.1, "N/A")</f>
        <v>5.4878050000000007</v>
      </c>
      <c r="AH9969">
        <v>54.878050000000002</v>
      </c>
      <c r="AI9969">
        <v>271.06119999999999</v>
      </c>
      <c r="AJ9969">
        <v>23.940770000000001</v>
      </c>
      <c r="AK9969">
        <v>54.243899999999996</v>
      </c>
    </row>
    <row r="9970" spans="1:37" x14ac:dyDescent="0.3">
      <c r="A9970">
        <v>9969</v>
      </c>
      <c r="B9970">
        <v>0</v>
      </c>
      <c r="C9970">
        <v>14.5444</v>
      </c>
      <c r="D9970">
        <v>5.8916700000000004</v>
      </c>
      <c r="E9970" t="s">
        <v>15079</v>
      </c>
      <c r="F9970" t="s">
        <v>15082</v>
      </c>
      <c r="G9970" t="s">
        <v>2420</v>
      </c>
      <c r="H9970">
        <v>1990</v>
      </c>
      <c r="I9970">
        <v>22.5</v>
      </c>
      <c r="J9970">
        <v>11</v>
      </c>
      <c r="K9970">
        <v>73</v>
      </c>
      <c r="L9970">
        <v>8.3271429999999995</v>
      </c>
      <c r="M9970">
        <v>30.5</v>
      </c>
      <c r="N9970">
        <v>15.5</v>
      </c>
      <c r="O9970">
        <v>15</v>
      </c>
      <c r="P9970">
        <v>21.7</v>
      </c>
      <c r="Q9970">
        <v>22.821429999999999</v>
      </c>
      <c r="R9970">
        <v>23.6</v>
      </c>
      <c r="S9970">
        <v>21.421430000000001</v>
      </c>
      <c r="T9970">
        <v>1506.4290000000001</v>
      </c>
      <c r="U9970">
        <v>225</v>
      </c>
      <c r="V9970">
        <v>9</v>
      </c>
      <c r="W9970">
        <v>65</v>
      </c>
      <c r="X9970">
        <v>645.21429999999998</v>
      </c>
      <c r="Y9970">
        <v>37</v>
      </c>
      <c r="Z9970">
        <v>221</v>
      </c>
      <c r="AA9970">
        <v>615.42859999999996</v>
      </c>
      <c r="AB9970">
        <v>31.901520000000001</v>
      </c>
      <c r="AC9970">
        <v>1.7896100000000002E-2</v>
      </c>
      <c r="AD9970">
        <v>2.7042709999999999</v>
      </c>
      <c r="AE9970">
        <v>0.70892310000000003</v>
      </c>
      <c r="AF9970">
        <v>1024.636</v>
      </c>
      <c r="AG9970">
        <f>IFERROR(AH9970*0.1, "N/A")</f>
        <v>5.4878050000000007</v>
      </c>
      <c r="AH9970">
        <v>54.878050000000002</v>
      </c>
      <c r="AI9970">
        <v>271.06119999999999</v>
      </c>
      <c r="AJ9970">
        <v>23.940770000000001</v>
      </c>
      <c r="AK9970">
        <v>54.243899999999996</v>
      </c>
    </row>
    <row r="9971" spans="1:37" x14ac:dyDescent="0.3">
      <c r="A9971">
        <v>9970</v>
      </c>
      <c r="B9971">
        <v>1.1000000000000001</v>
      </c>
      <c r="C9971">
        <v>11.2361</v>
      </c>
      <c r="D9971">
        <v>5.9749999999999996</v>
      </c>
      <c r="E9971" t="s">
        <v>15083</v>
      </c>
      <c r="F9971" t="s">
        <v>15084</v>
      </c>
      <c r="G9971" t="s">
        <v>39</v>
      </c>
      <c r="H9971">
        <v>1990</v>
      </c>
      <c r="I9971">
        <v>24.6</v>
      </c>
      <c r="J9971">
        <v>10.5</v>
      </c>
      <c r="K9971">
        <v>72.237350000000006</v>
      </c>
      <c r="L9971">
        <v>8.8882890000000003</v>
      </c>
      <c r="M9971">
        <v>32.776260000000001</v>
      </c>
      <c r="N9971">
        <v>18.399999999999999</v>
      </c>
      <c r="O9971">
        <v>14.37627</v>
      </c>
      <c r="P9971">
        <v>23.547470000000001</v>
      </c>
      <c r="Q9971">
        <v>25.3</v>
      </c>
      <c r="R9971">
        <v>25.776260000000001</v>
      </c>
      <c r="S9971">
        <v>23.5</v>
      </c>
      <c r="T9971">
        <v>1774.2370000000001</v>
      </c>
      <c r="U9971">
        <v>310</v>
      </c>
      <c r="V9971">
        <v>3</v>
      </c>
      <c r="W9971">
        <v>72</v>
      </c>
      <c r="X9971">
        <v>828.2373</v>
      </c>
      <c r="Y9971">
        <v>28</v>
      </c>
      <c r="Z9971">
        <v>254</v>
      </c>
      <c r="AA9971">
        <v>827.7627</v>
      </c>
      <c r="AB9971">
        <v>6.6347360000000002</v>
      </c>
      <c r="AC9971">
        <v>1.9334299999999999E-2</v>
      </c>
      <c r="AD9971">
        <v>2.0926969999999998</v>
      </c>
      <c r="AE9971">
        <v>0.66104019999999997</v>
      </c>
      <c r="AF9971">
        <v>700.21469999999999</v>
      </c>
      <c r="AG9971">
        <f>IFERROR(AH9971*0.1, "N/A")</f>
        <v>5.6000000000000005</v>
      </c>
      <c r="AH9971">
        <v>56</v>
      </c>
      <c r="AI9971">
        <v>93.975719999999995</v>
      </c>
      <c r="AJ9971">
        <v>31</v>
      </c>
      <c r="AK9971">
        <v>47</v>
      </c>
    </row>
    <row r="9972" spans="1:37" x14ac:dyDescent="0.3">
      <c r="A9972">
        <v>9971</v>
      </c>
      <c r="B9972">
        <v>0</v>
      </c>
      <c r="C9972">
        <v>11.2361</v>
      </c>
      <c r="D9972">
        <v>5.9749999999999996</v>
      </c>
      <c r="E9972" t="s">
        <v>15083</v>
      </c>
      <c r="F9972" t="s">
        <v>15085</v>
      </c>
      <c r="G9972" t="s">
        <v>37</v>
      </c>
      <c r="H9972">
        <v>1990</v>
      </c>
      <c r="I9972">
        <v>24.6</v>
      </c>
      <c r="J9972">
        <v>10.5</v>
      </c>
      <c r="K9972">
        <v>72.237350000000006</v>
      </c>
      <c r="L9972">
        <v>8.8882890000000003</v>
      </c>
      <c r="M9972">
        <v>32.776260000000001</v>
      </c>
      <c r="N9972">
        <v>18.399999999999999</v>
      </c>
      <c r="O9972">
        <v>14.37627</v>
      </c>
      <c r="P9972">
        <v>23.547470000000001</v>
      </c>
      <c r="Q9972">
        <v>25.3</v>
      </c>
      <c r="R9972">
        <v>25.776260000000001</v>
      </c>
      <c r="S9972">
        <v>23.5</v>
      </c>
      <c r="T9972">
        <v>1774.2370000000001</v>
      </c>
      <c r="U9972">
        <v>310</v>
      </c>
      <c r="V9972">
        <v>3</v>
      </c>
      <c r="W9972">
        <v>72</v>
      </c>
      <c r="X9972">
        <v>828.2373</v>
      </c>
      <c r="Y9972">
        <v>28</v>
      </c>
      <c r="Z9972">
        <v>254</v>
      </c>
      <c r="AA9972">
        <v>827.7627</v>
      </c>
      <c r="AB9972">
        <v>6.6347360000000002</v>
      </c>
      <c r="AC9972">
        <v>1.9334299999999999E-2</v>
      </c>
      <c r="AD9972">
        <v>2.0926969999999998</v>
      </c>
      <c r="AE9972">
        <v>0.66104019999999997</v>
      </c>
      <c r="AF9972">
        <v>700.21469999999999</v>
      </c>
      <c r="AG9972">
        <f>IFERROR(AH9972*0.1, "N/A")</f>
        <v>5.6000000000000005</v>
      </c>
      <c r="AH9972">
        <v>56</v>
      </c>
      <c r="AI9972">
        <v>93.975719999999995</v>
      </c>
      <c r="AJ9972">
        <v>31</v>
      </c>
      <c r="AK9972">
        <v>47</v>
      </c>
    </row>
    <row r="9973" spans="1:37" x14ac:dyDescent="0.3">
      <c r="A9973">
        <v>9972</v>
      </c>
      <c r="B9973">
        <v>0</v>
      </c>
      <c r="C9973">
        <v>11.2361</v>
      </c>
      <c r="D9973">
        <v>5.9749999999999996</v>
      </c>
      <c r="E9973" t="s">
        <v>15083</v>
      </c>
      <c r="F9973" t="s">
        <v>15086</v>
      </c>
      <c r="G9973" t="s">
        <v>2420</v>
      </c>
      <c r="H9973">
        <v>1990</v>
      </c>
      <c r="I9973">
        <v>24.6</v>
      </c>
      <c r="J9973">
        <v>10.5</v>
      </c>
      <c r="K9973">
        <v>72.237350000000006</v>
      </c>
      <c r="L9973">
        <v>8.8882890000000003</v>
      </c>
      <c r="M9973">
        <v>32.776260000000001</v>
      </c>
      <c r="N9973">
        <v>18.399999999999999</v>
      </c>
      <c r="O9973">
        <v>14.37627</v>
      </c>
      <c r="P9973">
        <v>23.547470000000001</v>
      </c>
      <c r="Q9973">
        <v>25.3</v>
      </c>
      <c r="R9973">
        <v>25.776260000000001</v>
      </c>
      <c r="S9973">
        <v>23.5</v>
      </c>
      <c r="T9973">
        <v>1774.2370000000001</v>
      </c>
      <c r="U9973">
        <v>310</v>
      </c>
      <c r="V9973">
        <v>3</v>
      </c>
      <c r="W9973">
        <v>72</v>
      </c>
      <c r="X9973">
        <v>828.2373</v>
      </c>
      <c r="Y9973">
        <v>28</v>
      </c>
      <c r="Z9973">
        <v>254</v>
      </c>
      <c r="AA9973">
        <v>827.7627</v>
      </c>
      <c r="AB9973">
        <v>6.6347360000000002</v>
      </c>
      <c r="AC9973">
        <v>1.9334299999999999E-2</v>
      </c>
      <c r="AD9973">
        <v>2.0926969999999998</v>
      </c>
      <c r="AE9973">
        <v>0.66104019999999997</v>
      </c>
      <c r="AF9973">
        <v>700.21469999999999</v>
      </c>
      <c r="AG9973">
        <f>IFERROR(AH9973*0.1, "N/A")</f>
        <v>5.6000000000000005</v>
      </c>
      <c r="AH9973">
        <v>56</v>
      </c>
      <c r="AI9973">
        <v>93.975719999999995</v>
      </c>
      <c r="AJ9973">
        <v>31</v>
      </c>
      <c r="AK9973">
        <v>47</v>
      </c>
    </row>
    <row r="9974" spans="1:37" x14ac:dyDescent="0.3">
      <c r="A9974">
        <v>9973</v>
      </c>
      <c r="B9974">
        <v>0</v>
      </c>
      <c r="C9974">
        <v>14.3833</v>
      </c>
      <c r="D9974">
        <v>6.0750000000000002</v>
      </c>
      <c r="E9974" t="s">
        <v>15087</v>
      </c>
      <c r="F9974" t="s">
        <v>15088</v>
      </c>
      <c r="G9974" t="s">
        <v>37</v>
      </c>
      <c r="H9974">
        <v>1990</v>
      </c>
      <c r="I9974">
        <v>23.471579999999999</v>
      </c>
      <c r="J9974">
        <v>11.2</v>
      </c>
      <c r="K9974">
        <v>71</v>
      </c>
      <c r="L9974">
        <v>8.3584040000000002</v>
      </c>
      <c r="M9974">
        <v>31.57368</v>
      </c>
      <c r="N9974">
        <v>15.89789</v>
      </c>
      <c r="O9974">
        <v>15.675789999999999</v>
      </c>
      <c r="P9974">
        <v>22.37368</v>
      </c>
      <c r="Q9974">
        <v>23.673680000000001</v>
      </c>
      <c r="R9974">
        <v>24.571580000000001</v>
      </c>
      <c r="S9974">
        <v>22.37368</v>
      </c>
      <c r="T9974">
        <v>1521.461</v>
      </c>
      <c r="U9974">
        <v>245.02109999999999</v>
      </c>
      <c r="V9974">
        <v>5</v>
      </c>
      <c r="W9974">
        <v>70.978949999999998</v>
      </c>
      <c r="X9974">
        <v>685.70349999999996</v>
      </c>
      <c r="Y9974">
        <v>24</v>
      </c>
      <c r="Z9974">
        <v>202.02109999999999</v>
      </c>
      <c r="AA9974">
        <v>685.70349999999996</v>
      </c>
      <c r="AB9974">
        <v>32.837879999999998</v>
      </c>
      <c r="AC9974">
        <v>8.5455519999999997E-3</v>
      </c>
      <c r="AD9974">
        <v>3.1982279999999998</v>
      </c>
      <c r="AE9974">
        <v>0.3941596</v>
      </c>
      <c r="AF9974">
        <v>889.90530000000001</v>
      </c>
      <c r="AG9974">
        <f>IFERROR(AH9974*0.1, "N/A")</f>
        <v>5.6659649999999999</v>
      </c>
      <c r="AH9974">
        <v>56.659649999999999</v>
      </c>
      <c r="AI9974">
        <v>118.8147</v>
      </c>
      <c r="AJ9974">
        <v>32.250880000000002</v>
      </c>
      <c r="AK9974">
        <v>46.517539999999997</v>
      </c>
    </row>
    <row r="9975" spans="1:37" x14ac:dyDescent="0.3">
      <c r="A9975">
        <v>9974</v>
      </c>
      <c r="B9975">
        <v>0</v>
      </c>
      <c r="C9975">
        <v>14.3833</v>
      </c>
      <c r="D9975">
        <v>6.0750000000000002</v>
      </c>
      <c r="E9975" t="s">
        <v>15087</v>
      </c>
      <c r="F9975" t="s">
        <v>15089</v>
      </c>
      <c r="G9975" t="s">
        <v>2420</v>
      </c>
      <c r="H9975">
        <v>1990</v>
      </c>
      <c r="I9975">
        <v>23.471579999999999</v>
      </c>
      <c r="J9975">
        <v>11.2</v>
      </c>
      <c r="K9975">
        <v>71</v>
      </c>
      <c r="L9975">
        <v>8.3584040000000002</v>
      </c>
      <c r="M9975">
        <v>31.57368</v>
      </c>
      <c r="N9975">
        <v>15.89789</v>
      </c>
      <c r="O9975">
        <v>15.675789999999999</v>
      </c>
      <c r="P9975">
        <v>22.37368</v>
      </c>
      <c r="Q9975">
        <v>23.673680000000001</v>
      </c>
      <c r="R9975">
        <v>24.571580000000001</v>
      </c>
      <c r="S9975">
        <v>22.37368</v>
      </c>
      <c r="T9975">
        <v>1521.461</v>
      </c>
      <c r="U9975">
        <v>245.02109999999999</v>
      </c>
      <c r="V9975">
        <v>5</v>
      </c>
      <c r="W9975">
        <v>70.978949999999998</v>
      </c>
      <c r="X9975">
        <v>685.70349999999996</v>
      </c>
      <c r="Y9975">
        <v>24</v>
      </c>
      <c r="Z9975">
        <v>202.02109999999999</v>
      </c>
      <c r="AA9975">
        <v>685.70349999999996</v>
      </c>
      <c r="AB9975">
        <v>32.837879999999998</v>
      </c>
      <c r="AC9975">
        <v>8.5455519999999997E-3</v>
      </c>
      <c r="AD9975">
        <v>3.1982279999999998</v>
      </c>
      <c r="AE9975">
        <v>0.3941596</v>
      </c>
      <c r="AF9975">
        <v>889.90530000000001</v>
      </c>
      <c r="AG9975">
        <f>IFERROR(AH9975*0.1, "N/A")</f>
        <v>5.6659649999999999</v>
      </c>
      <c r="AH9975">
        <v>56.659649999999999</v>
      </c>
      <c r="AI9975">
        <v>118.8147</v>
      </c>
      <c r="AJ9975">
        <v>32.250880000000002</v>
      </c>
      <c r="AK9975">
        <v>46.517539999999997</v>
      </c>
    </row>
    <row r="9976" spans="1:37" x14ac:dyDescent="0.3">
      <c r="A9976">
        <v>9975</v>
      </c>
      <c r="B9976">
        <v>0</v>
      </c>
      <c r="C9976">
        <v>11.488899999999999</v>
      </c>
      <c r="D9976">
        <v>6.0819400000000003</v>
      </c>
      <c r="E9976" t="s">
        <v>15090</v>
      </c>
      <c r="F9976" t="s">
        <v>15091</v>
      </c>
      <c r="G9976" t="s">
        <v>39</v>
      </c>
      <c r="H9976">
        <v>1990</v>
      </c>
      <c r="I9976">
        <v>24.5</v>
      </c>
      <c r="J9976">
        <v>10.6</v>
      </c>
      <c r="K9976">
        <v>73</v>
      </c>
      <c r="L9976">
        <v>9.17</v>
      </c>
      <c r="M9976">
        <v>32.700000000000003</v>
      </c>
      <c r="N9976">
        <v>18.2</v>
      </c>
      <c r="O9976">
        <v>14.5</v>
      </c>
      <c r="P9976">
        <v>23.6</v>
      </c>
      <c r="Q9976">
        <v>25.1</v>
      </c>
      <c r="R9976">
        <v>25.7</v>
      </c>
      <c r="S9976">
        <v>23.3</v>
      </c>
      <c r="T9976">
        <v>1722</v>
      </c>
      <c r="U9976">
        <v>302</v>
      </c>
      <c r="V9976">
        <v>3</v>
      </c>
      <c r="W9976">
        <v>73</v>
      </c>
      <c r="X9976">
        <v>803</v>
      </c>
      <c r="Y9976">
        <v>26</v>
      </c>
      <c r="Z9976">
        <v>240</v>
      </c>
      <c r="AA9976">
        <v>800</v>
      </c>
      <c r="AB9976">
        <v>3.4083580000000002</v>
      </c>
      <c r="AC9976">
        <v>0.44946199999999997</v>
      </c>
      <c r="AD9976">
        <v>2.661276</v>
      </c>
      <c r="AE9976">
        <v>0.57117660000000003</v>
      </c>
      <c r="AF9976">
        <v>725.09950000000003</v>
      </c>
      <c r="AG9976">
        <f>IFERROR(AH9976*0.1, "N/A")</f>
        <v>5.6000000000000005</v>
      </c>
      <c r="AH9976">
        <v>56</v>
      </c>
      <c r="AI9976">
        <v>114.6508</v>
      </c>
      <c r="AJ9976">
        <v>25.600349999999999</v>
      </c>
      <c r="AK9976">
        <v>53.780099999999997</v>
      </c>
    </row>
    <row r="9977" spans="1:37" x14ac:dyDescent="0.3">
      <c r="A9977">
        <v>9976</v>
      </c>
      <c r="B9977">
        <v>2.2999999999999998</v>
      </c>
      <c r="C9977">
        <v>11.488899999999999</v>
      </c>
      <c r="D9977">
        <v>6.0819400000000003</v>
      </c>
      <c r="E9977" t="s">
        <v>15090</v>
      </c>
      <c r="F9977" t="s">
        <v>15092</v>
      </c>
      <c r="G9977" t="s">
        <v>37</v>
      </c>
      <c r="H9977">
        <v>1990</v>
      </c>
      <c r="I9977">
        <v>24.5</v>
      </c>
      <c r="J9977">
        <v>10.6</v>
      </c>
      <c r="K9977">
        <v>73</v>
      </c>
      <c r="L9977">
        <v>9.17</v>
      </c>
      <c r="M9977">
        <v>32.700000000000003</v>
      </c>
      <c r="N9977">
        <v>18.2</v>
      </c>
      <c r="O9977">
        <v>14.5</v>
      </c>
      <c r="P9977">
        <v>23.6</v>
      </c>
      <c r="Q9977">
        <v>25.1</v>
      </c>
      <c r="R9977">
        <v>25.7</v>
      </c>
      <c r="S9977">
        <v>23.3</v>
      </c>
      <c r="T9977">
        <v>1722</v>
      </c>
      <c r="U9977">
        <v>302</v>
      </c>
      <c r="V9977">
        <v>3</v>
      </c>
      <c r="W9977">
        <v>73</v>
      </c>
      <c r="X9977">
        <v>803</v>
      </c>
      <c r="Y9977">
        <v>26</v>
      </c>
      <c r="Z9977">
        <v>240</v>
      </c>
      <c r="AA9977">
        <v>800</v>
      </c>
      <c r="AB9977">
        <v>3.4083580000000002</v>
      </c>
      <c r="AC9977">
        <v>0.44946199999999997</v>
      </c>
      <c r="AD9977">
        <v>2.661276</v>
      </c>
      <c r="AE9977">
        <v>0.57117660000000003</v>
      </c>
      <c r="AF9977">
        <v>725.09950000000003</v>
      </c>
      <c r="AG9977">
        <f>IFERROR(AH9977*0.1, "N/A")</f>
        <v>5.6000000000000005</v>
      </c>
      <c r="AH9977">
        <v>56</v>
      </c>
      <c r="AI9977">
        <v>114.6508</v>
      </c>
      <c r="AJ9977">
        <v>25.600349999999999</v>
      </c>
      <c r="AK9977">
        <v>53.780099999999997</v>
      </c>
    </row>
    <row r="9978" spans="1:37" x14ac:dyDescent="0.3">
      <c r="A9978">
        <v>9977</v>
      </c>
      <c r="B9978">
        <v>0</v>
      </c>
      <c r="C9978">
        <v>11.488899999999999</v>
      </c>
      <c r="D9978">
        <v>6.0819400000000003</v>
      </c>
      <c r="E9978" t="s">
        <v>15090</v>
      </c>
      <c r="F9978" t="s">
        <v>15093</v>
      </c>
      <c r="G9978" t="s">
        <v>2420</v>
      </c>
      <c r="H9978">
        <v>1990</v>
      </c>
      <c r="I9978">
        <v>24.5</v>
      </c>
      <c r="J9978">
        <v>10.6</v>
      </c>
      <c r="K9978">
        <v>73</v>
      </c>
      <c r="L9978">
        <v>9.17</v>
      </c>
      <c r="M9978">
        <v>32.700000000000003</v>
      </c>
      <c r="N9978">
        <v>18.2</v>
      </c>
      <c r="O9978">
        <v>14.5</v>
      </c>
      <c r="P9978">
        <v>23.6</v>
      </c>
      <c r="Q9978">
        <v>25.1</v>
      </c>
      <c r="R9978">
        <v>25.7</v>
      </c>
      <c r="S9978">
        <v>23.3</v>
      </c>
      <c r="T9978">
        <v>1722</v>
      </c>
      <c r="U9978">
        <v>302</v>
      </c>
      <c r="V9978">
        <v>3</v>
      </c>
      <c r="W9978">
        <v>73</v>
      </c>
      <c r="X9978">
        <v>803</v>
      </c>
      <c r="Y9978">
        <v>26</v>
      </c>
      <c r="Z9978">
        <v>240</v>
      </c>
      <c r="AA9978">
        <v>800</v>
      </c>
      <c r="AB9978">
        <v>3.4083580000000002</v>
      </c>
      <c r="AC9978">
        <v>0.44946199999999997</v>
      </c>
      <c r="AD9978">
        <v>2.661276</v>
      </c>
      <c r="AE9978">
        <v>0.57117660000000003</v>
      </c>
      <c r="AF9978">
        <v>725.09950000000003</v>
      </c>
      <c r="AG9978">
        <f>IFERROR(AH9978*0.1, "N/A")</f>
        <v>5.6000000000000005</v>
      </c>
      <c r="AH9978">
        <v>56</v>
      </c>
      <c r="AI9978">
        <v>114.6508</v>
      </c>
      <c r="AJ9978">
        <v>25.600349999999999</v>
      </c>
      <c r="AK9978">
        <v>53.780099999999997</v>
      </c>
    </row>
    <row r="9979" spans="1:37" x14ac:dyDescent="0.3">
      <c r="A9979">
        <v>9978</v>
      </c>
      <c r="B9979">
        <v>0</v>
      </c>
      <c r="C9979">
        <v>10.2903</v>
      </c>
      <c r="D9979">
        <v>6.2750000000000004</v>
      </c>
      <c r="E9979" t="s">
        <v>15094</v>
      </c>
      <c r="F9979" t="s">
        <v>15095</v>
      </c>
      <c r="G9979" t="s">
        <v>39</v>
      </c>
      <c r="H9979">
        <v>1990</v>
      </c>
      <c r="I9979">
        <v>20.126660000000001</v>
      </c>
      <c r="J9979">
        <v>10.7</v>
      </c>
      <c r="K9979">
        <v>74.266549999999995</v>
      </c>
      <c r="L9979">
        <v>10.14601</v>
      </c>
      <c r="M9979">
        <v>28.3</v>
      </c>
      <c r="N9979">
        <v>14.02666</v>
      </c>
      <c r="O9979">
        <v>14.273350000000001</v>
      </c>
      <c r="P9979">
        <v>18.726659999999999</v>
      </c>
      <c r="Q9979">
        <v>20.826650000000001</v>
      </c>
      <c r="R9979">
        <v>21.4</v>
      </c>
      <c r="S9979">
        <v>18.726659999999999</v>
      </c>
      <c r="T9979">
        <v>2088.8000000000002</v>
      </c>
      <c r="U9979">
        <v>383.26659999999998</v>
      </c>
      <c r="V9979">
        <v>10</v>
      </c>
      <c r="W9979">
        <v>74</v>
      </c>
      <c r="X9979">
        <v>1064.5329999999999</v>
      </c>
      <c r="Y9979">
        <v>53.733449999999998</v>
      </c>
      <c r="Z9979">
        <v>315.73340000000002</v>
      </c>
      <c r="AA9979">
        <v>1064.5329999999999</v>
      </c>
      <c r="AB9979">
        <v>51.666359999999997</v>
      </c>
      <c r="AC9979">
        <v>1.74839E-2</v>
      </c>
      <c r="AD9979">
        <v>9.4928670000000004</v>
      </c>
      <c r="AE9979">
        <v>0.45154499999999997</v>
      </c>
      <c r="AF9979">
        <v>1599.634</v>
      </c>
      <c r="AG9979">
        <f>IFERROR(AH9979*0.1, "N/A")</f>
        <v>5.3000000000000007</v>
      </c>
      <c r="AH9979">
        <v>53</v>
      </c>
      <c r="AI9979">
        <v>65.52328</v>
      </c>
      <c r="AJ9979">
        <v>33</v>
      </c>
      <c r="AK9979">
        <v>33</v>
      </c>
    </row>
    <row r="9980" spans="1:37" x14ac:dyDescent="0.3">
      <c r="A9980">
        <v>9979</v>
      </c>
      <c r="B9980">
        <v>0</v>
      </c>
      <c r="C9980">
        <v>10.2903</v>
      </c>
      <c r="D9980">
        <v>6.2750000000000004</v>
      </c>
      <c r="E9980" t="s">
        <v>15094</v>
      </c>
      <c r="F9980" t="s">
        <v>15096</v>
      </c>
      <c r="G9980" t="s">
        <v>37</v>
      </c>
      <c r="H9980">
        <v>1990</v>
      </c>
      <c r="I9980">
        <v>20.126660000000001</v>
      </c>
      <c r="J9980">
        <v>10.7</v>
      </c>
      <c r="K9980">
        <v>74.266549999999995</v>
      </c>
      <c r="L9980">
        <v>10.14601</v>
      </c>
      <c r="M9980">
        <v>28.3</v>
      </c>
      <c r="N9980">
        <v>14.02666</v>
      </c>
      <c r="O9980">
        <v>14.273350000000001</v>
      </c>
      <c r="P9980">
        <v>18.726659999999999</v>
      </c>
      <c r="Q9980">
        <v>20.826650000000001</v>
      </c>
      <c r="R9980">
        <v>21.4</v>
      </c>
      <c r="S9980">
        <v>18.726659999999999</v>
      </c>
      <c r="T9980">
        <v>2088.8000000000002</v>
      </c>
      <c r="U9980">
        <v>383.26659999999998</v>
      </c>
      <c r="V9980">
        <v>10</v>
      </c>
      <c r="W9980">
        <v>74</v>
      </c>
      <c r="X9980">
        <v>1064.5329999999999</v>
      </c>
      <c r="Y9980">
        <v>53.733449999999998</v>
      </c>
      <c r="Z9980">
        <v>315.73340000000002</v>
      </c>
      <c r="AA9980">
        <v>1064.5329999999999</v>
      </c>
      <c r="AB9980">
        <v>51.666359999999997</v>
      </c>
      <c r="AC9980">
        <v>1.74839E-2</v>
      </c>
      <c r="AD9980">
        <v>9.4928670000000004</v>
      </c>
      <c r="AE9980">
        <v>0.45154499999999997</v>
      </c>
      <c r="AF9980">
        <v>1599.634</v>
      </c>
      <c r="AG9980">
        <f>IFERROR(AH9980*0.1, "N/A")</f>
        <v>5.3000000000000007</v>
      </c>
      <c r="AH9980">
        <v>53</v>
      </c>
      <c r="AI9980">
        <v>65.52328</v>
      </c>
      <c r="AJ9980">
        <v>33</v>
      </c>
      <c r="AK9980">
        <v>33</v>
      </c>
    </row>
    <row r="9981" spans="1:37" x14ac:dyDescent="0.3">
      <c r="A9981">
        <v>9980</v>
      </c>
      <c r="B9981">
        <v>0</v>
      </c>
      <c r="C9981">
        <v>10.2903</v>
      </c>
      <c r="D9981">
        <v>6.2750000000000004</v>
      </c>
      <c r="E9981" t="s">
        <v>15094</v>
      </c>
      <c r="F9981" t="s">
        <v>15097</v>
      </c>
      <c r="G9981" t="s">
        <v>2420</v>
      </c>
      <c r="H9981">
        <v>1990</v>
      </c>
      <c r="I9981">
        <v>20.126660000000001</v>
      </c>
      <c r="J9981">
        <v>10.7</v>
      </c>
      <c r="K9981">
        <v>74.266549999999995</v>
      </c>
      <c r="L9981">
        <v>10.14601</v>
      </c>
      <c r="M9981">
        <v>28.3</v>
      </c>
      <c r="N9981">
        <v>14.02666</v>
      </c>
      <c r="O9981">
        <v>14.273350000000001</v>
      </c>
      <c r="P9981">
        <v>18.726659999999999</v>
      </c>
      <c r="Q9981">
        <v>20.826650000000001</v>
      </c>
      <c r="R9981">
        <v>21.4</v>
      </c>
      <c r="S9981">
        <v>18.726659999999999</v>
      </c>
      <c r="T9981">
        <v>2088.8000000000002</v>
      </c>
      <c r="U9981">
        <v>383.26659999999998</v>
      </c>
      <c r="V9981">
        <v>10</v>
      </c>
      <c r="W9981">
        <v>74</v>
      </c>
      <c r="X9981">
        <v>1064.5329999999999</v>
      </c>
      <c r="Y9981">
        <v>53.733449999999998</v>
      </c>
      <c r="Z9981">
        <v>315.73340000000002</v>
      </c>
      <c r="AA9981">
        <v>1064.5329999999999</v>
      </c>
      <c r="AB9981">
        <v>51.666359999999997</v>
      </c>
      <c r="AC9981">
        <v>1.74839E-2</v>
      </c>
      <c r="AD9981">
        <v>9.4928670000000004</v>
      </c>
      <c r="AE9981">
        <v>0.45154499999999997</v>
      </c>
      <c r="AF9981">
        <v>1599.634</v>
      </c>
      <c r="AG9981">
        <f>IFERROR(AH9981*0.1, "N/A")</f>
        <v>5.3000000000000007</v>
      </c>
      <c r="AH9981">
        <v>53</v>
      </c>
      <c r="AI9981">
        <v>65.52328</v>
      </c>
      <c r="AJ9981">
        <v>33</v>
      </c>
      <c r="AK9981">
        <v>33</v>
      </c>
    </row>
    <row r="9982" spans="1:37" x14ac:dyDescent="0.3">
      <c r="A9982">
        <v>9981</v>
      </c>
      <c r="B9982">
        <v>0</v>
      </c>
      <c r="C9982">
        <v>11.5792</v>
      </c>
      <c r="D9982">
        <v>6.2902800000000001</v>
      </c>
      <c r="E9982" t="s">
        <v>15098</v>
      </c>
      <c r="F9982" t="s">
        <v>15099</v>
      </c>
      <c r="G9982" t="s">
        <v>39</v>
      </c>
      <c r="H9982">
        <v>1990</v>
      </c>
      <c r="I9982">
        <v>24.5</v>
      </c>
      <c r="J9982">
        <v>10.9</v>
      </c>
      <c r="K9982">
        <v>72</v>
      </c>
      <c r="L9982">
        <v>8.59</v>
      </c>
      <c r="M9982">
        <v>32.9</v>
      </c>
      <c r="N9982">
        <v>17.8</v>
      </c>
      <c r="O9982">
        <v>15.1</v>
      </c>
      <c r="P9982">
        <v>23.4</v>
      </c>
      <c r="Q9982">
        <v>25</v>
      </c>
      <c r="R9982">
        <v>25.6</v>
      </c>
      <c r="S9982">
        <v>23.4</v>
      </c>
      <c r="T9982">
        <v>1714</v>
      </c>
      <c r="U9982">
        <v>299</v>
      </c>
      <c r="V9982">
        <v>3</v>
      </c>
      <c r="W9982">
        <v>74</v>
      </c>
      <c r="X9982">
        <v>808</v>
      </c>
      <c r="Y9982">
        <v>24</v>
      </c>
      <c r="Z9982">
        <v>234</v>
      </c>
      <c r="AA9982">
        <v>808</v>
      </c>
      <c r="AB9982">
        <v>7.7827440000000001</v>
      </c>
      <c r="AC9982">
        <v>1.335308E-2</v>
      </c>
      <c r="AD9982">
        <v>2.8839519999999998</v>
      </c>
      <c r="AE9982">
        <v>0.25610060000000001</v>
      </c>
      <c r="AF9982">
        <v>742.55920000000003</v>
      </c>
      <c r="AG9982">
        <f>IFERROR(AH9982*0.1, "N/A")</f>
        <v>5.767944</v>
      </c>
      <c r="AH9982">
        <v>57.67944</v>
      </c>
      <c r="AI9982">
        <v>271.72789999999998</v>
      </c>
      <c r="AJ9982">
        <v>33.261319999999998</v>
      </c>
      <c r="AK9982">
        <v>39.888500000000001</v>
      </c>
    </row>
    <row r="9983" spans="1:37" x14ac:dyDescent="0.3">
      <c r="A9983">
        <v>9982</v>
      </c>
      <c r="B9983">
        <v>0</v>
      </c>
      <c r="C9983">
        <v>11.5792</v>
      </c>
      <c r="D9983">
        <v>6.2902800000000001</v>
      </c>
      <c r="E9983" t="s">
        <v>15098</v>
      </c>
      <c r="F9983" t="s">
        <v>15100</v>
      </c>
      <c r="G9983" t="s">
        <v>37</v>
      </c>
      <c r="H9983">
        <v>1990</v>
      </c>
      <c r="I9983">
        <v>24.5</v>
      </c>
      <c r="J9983">
        <v>10.9</v>
      </c>
      <c r="K9983">
        <v>72</v>
      </c>
      <c r="L9983">
        <v>8.59</v>
      </c>
      <c r="M9983">
        <v>32.9</v>
      </c>
      <c r="N9983">
        <v>17.8</v>
      </c>
      <c r="O9983">
        <v>15.1</v>
      </c>
      <c r="P9983">
        <v>23.4</v>
      </c>
      <c r="Q9983">
        <v>25</v>
      </c>
      <c r="R9983">
        <v>25.6</v>
      </c>
      <c r="S9983">
        <v>23.4</v>
      </c>
      <c r="T9983">
        <v>1714</v>
      </c>
      <c r="U9983">
        <v>299</v>
      </c>
      <c r="V9983">
        <v>3</v>
      </c>
      <c r="W9983">
        <v>74</v>
      </c>
      <c r="X9983">
        <v>808</v>
      </c>
      <c r="Y9983">
        <v>24</v>
      </c>
      <c r="Z9983">
        <v>234</v>
      </c>
      <c r="AA9983">
        <v>808</v>
      </c>
      <c r="AB9983">
        <v>7.7827440000000001</v>
      </c>
      <c r="AC9983">
        <v>1.335308E-2</v>
      </c>
      <c r="AD9983">
        <v>2.8839519999999998</v>
      </c>
      <c r="AE9983">
        <v>0.25610060000000001</v>
      </c>
      <c r="AF9983">
        <v>742.55920000000003</v>
      </c>
      <c r="AG9983">
        <f>IFERROR(AH9983*0.1, "N/A")</f>
        <v>5.767944</v>
      </c>
      <c r="AH9983">
        <v>57.67944</v>
      </c>
      <c r="AI9983">
        <v>271.72789999999998</v>
      </c>
      <c r="AJ9983">
        <v>33.261319999999998</v>
      </c>
      <c r="AK9983">
        <v>39.888500000000001</v>
      </c>
    </row>
    <row r="9984" spans="1:37" x14ac:dyDescent="0.3">
      <c r="A9984">
        <v>9983</v>
      </c>
      <c r="B9984">
        <v>0</v>
      </c>
      <c r="C9984">
        <v>11.5792</v>
      </c>
      <c r="D9984">
        <v>6.2902800000000001</v>
      </c>
      <c r="E9984" t="s">
        <v>15098</v>
      </c>
      <c r="F9984" t="s">
        <v>15101</v>
      </c>
      <c r="G9984" t="s">
        <v>2420</v>
      </c>
      <c r="H9984">
        <v>1990</v>
      </c>
      <c r="I9984">
        <v>24.5</v>
      </c>
      <c r="J9984">
        <v>10.9</v>
      </c>
      <c r="K9984">
        <v>72</v>
      </c>
      <c r="L9984">
        <v>8.59</v>
      </c>
      <c r="M9984">
        <v>32.9</v>
      </c>
      <c r="N9984">
        <v>17.8</v>
      </c>
      <c r="O9984">
        <v>15.1</v>
      </c>
      <c r="P9984">
        <v>23.4</v>
      </c>
      <c r="Q9984">
        <v>25</v>
      </c>
      <c r="R9984">
        <v>25.6</v>
      </c>
      <c r="S9984">
        <v>23.4</v>
      </c>
      <c r="T9984">
        <v>1714</v>
      </c>
      <c r="U9984">
        <v>299</v>
      </c>
      <c r="V9984">
        <v>3</v>
      </c>
      <c r="W9984">
        <v>74</v>
      </c>
      <c r="X9984">
        <v>808</v>
      </c>
      <c r="Y9984">
        <v>24</v>
      </c>
      <c r="Z9984">
        <v>234</v>
      </c>
      <c r="AA9984">
        <v>808</v>
      </c>
      <c r="AB9984">
        <v>7.7827440000000001</v>
      </c>
      <c r="AC9984">
        <v>1.335308E-2</v>
      </c>
      <c r="AD9984">
        <v>2.8839519999999998</v>
      </c>
      <c r="AE9984">
        <v>0.25610060000000001</v>
      </c>
      <c r="AF9984">
        <v>742.55920000000003</v>
      </c>
      <c r="AG9984">
        <f>IFERROR(AH9984*0.1, "N/A")</f>
        <v>5.767944</v>
      </c>
      <c r="AH9984">
        <v>57.67944</v>
      </c>
      <c r="AI9984">
        <v>271.72789999999998</v>
      </c>
      <c r="AJ9984">
        <v>33.261319999999998</v>
      </c>
      <c r="AK9984">
        <v>39.888500000000001</v>
      </c>
    </row>
    <row r="9985" spans="1:37" x14ac:dyDescent="0.3">
      <c r="A9985">
        <v>9984</v>
      </c>
      <c r="B9985">
        <v>0</v>
      </c>
      <c r="C9985">
        <v>12.55</v>
      </c>
      <c r="D9985">
        <v>6.3333300000000001</v>
      </c>
      <c r="E9985" t="s">
        <v>15102</v>
      </c>
      <c r="F9985" t="s">
        <v>15103</v>
      </c>
      <c r="G9985" t="s">
        <v>37</v>
      </c>
      <c r="H9985">
        <v>1962</v>
      </c>
      <c r="I9985">
        <v>23.306450000000002</v>
      </c>
      <c r="J9985">
        <v>11.27474</v>
      </c>
      <c r="K9985">
        <v>72</v>
      </c>
      <c r="L9985">
        <v>8.2507319999999993</v>
      </c>
      <c r="M9985">
        <v>31.7</v>
      </c>
      <c r="N9985">
        <v>16.145820000000001</v>
      </c>
      <c r="O9985">
        <v>15.554180000000001</v>
      </c>
      <c r="P9985">
        <v>22.2</v>
      </c>
      <c r="Q9985">
        <v>23.7</v>
      </c>
      <c r="R9985">
        <v>24.331710000000001</v>
      </c>
      <c r="S9985">
        <v>22.2</v>
      </c>
      <c r="T9985">
        <v>1668.047</v>
      </c>
      <c r="U9985">
        <v>286.25259999999997</v>
      </c>
      <c r="V9985">
        <v>2</v>
      </c>
      <c r="W9985">
        <v>75</v>
      </c>
      <c r="X9985">
        <v>797.61850000000004</v>
      </c>
      <c r="Y9985">
        <v>18.858889999999999</v>
      </c>
      <c r="Z9985">
        <v>207.11150000000001</v>
      </c>
      <c r="AA9985">
        <v>797.61850000000004</v>
      </c>
      <c r="AB9985">
        <v>1.033814</v>
      </c>
      <c r="AC9985">
        <v>0.28443449999999998</v>
      </c>
      <c r="AD9985">
        <v>2.2766760000000001</v>
      </c>
      <c r="AE9985">
        <v>0.1673924</v>
      </c>
      <c r="AF9985">
        <v>862.01739999999995</v>
      </c>
      <c r="AG9985">
        <f>IFERROR(AH9985*0.1, "N/A")</f>
        <v>5.5205570000000002</v>
      </c>
      <c r="AH9985">
        <v>55.205570000000002</v>
      </c>
      <c r="AI9985">
        <v>144.03049999999999</v>
      </c>
      <c r="AJ9985">
        <v>38.177700000000002</v>
      </c>
      <c r="AK9985">
        <v>42.616720000000001</v>
      </c>
    </row>
    <row r="9986" spans="1:37" x14ac:dyDescent="0.3">
      <c r="A9986">
        <v>9985</v>
      </c>
      <c r="B9986">
        <v>0</v>
      </c>
      <c r="C9986">
        <v>12.55</v>
      </c>
      <c r="D9986">
        <v>6.3333300000000001</v>
      </c>
      <c r="E9986" t="s">
        <v>15102</v>
      </c>
      <c r="F9986" t="s">
        <v>15104</v>
      </c>
      <c r="G9986" t="s">
        <v>39</v>
      </c>
      <c r="H9986">
        <v>1962</v>
      </c>
      <c r="I9986">
        <v>23.306450000000002</v>
      </c>
      <c r="J9986">
        <v>11.27474</v>
      </c>
      <c r="K9986">
        <v>72</v>
      </c>
      <c r="L9986">
        <v>8.2507319999999993</v>
      </c>
      <c r="M9986">
        <v>31.7</v>
      </c>
      <c r="N9986">
        <v>16.145820000000001</v>
      </c>
      <c r="O9986">
        <v>15.554180000000001</v>
      </c>
      <c r="P9986">
        <v>22.2</v>
      </c>
      <c r="Q9986">
        <v>23.7</v>
      </c>
      <c r="R9986">
        <v>24.331710000000001</v>
      </c>
      <c r="S9986">
        <v>22.2</v>
      </c>
      <c r="T9986">
        <v>1668.047</v>
      </c>
      <c r="U9986">
        <v>286.25259999999997</v>
      </c>
      <c r="V9986">
        <v>2</v>
      </c>
      <c r="W9986">
        <v>75</v>
      </c>
      <c r="X9986">
        <v>797.61850000000004</v>
      </c>
      <c r="Y9986">
        <v>18.858889999999999</v>
      </c>
      <c r="Z9986">
        <v>207.11150000000001</v>
      </c>
      <c r="AA9986">
        <v>797.61850000000004</v>
      </c>
      <c r="AB9986">
        <v>1.033814</v>
      </c>
      <c r="AC9986">
        <v>0.28443449999999998</v>
      </c>
      <c r="AD9986">
        <v>2.2766760000000001</v>
      </c>
      <c r="AE9986">
        <v>0.1673924</v>
      </c>
      <c r="AF9986">
        <v>862.01739999999995</v>
      </c>
      <c r="AG9986">
        <f>IFERROR(AH9986*0.1, "N/A")</f>
        <v>5.5205570000000002</v>
      </c>
      <c r="AH9986">
        <v>55.205570000000002</v>
      </c>
      <c r="AI9986">
        <v>144.03049999999999</v>
      </c>
      <c r="AJ9986">
        <v>38.177700000000002</v>
      </c>
      <c r="AK9986">
        <v>42.616720000000001</v>
      </c>
    </row>
    <row r="9987" spans="1:37" x14ac:dyDescent="0.3">
      <c r="A9987">
        <v>9986</v>
      </c>
      <c r="B9987">
        <v>3.1</v>
      </c>
      <c r="C9987">
        <v>12.558299999999999</v>
      </c>
      <c r="D9987">
        <v>6.35</v>
      </c>
      <c r="E9987" t="s">
        <v>15105</v>
      </c>
      <c r="F9987" t="s">
        <v>15106</v>
      </c>
      <c r="G9987" t="s">
        <v>37</v>
      </c>
      <c r="H9987">
        <v>1990</v>
      </c>
      <c r="I9987">
        <v>23.373249999999999</v>
      </c>
      <c r="J9987">
        <v>11.3</v>
      </c>
      <c r="K9987">
        <v>72</v>
      </c>
      <c r="L9987">
        <v>8.2577970000000001</v>
      </c>
      <c r="M9987">
        <v>31.735309999999998</v>
      </c>
      <c r="N9987">
        <v>16.173249999999999</v>
      </c>
      <c r="O9987">
        <v>15.562060000000001</v>
      </c>
      <c r="P9987">
        <v>22.235309999999998</v>
      </c>
      <c r="Q9987">
        <v>23.735309999999998</v>
      </c>
      <c r="R9987">
        <v>24.33531</v>
      </c>
      <c r="S9987">
        <v>22.235309999999998</v>
      </c>
      <c r="T9987">
        <v>1666.701</v>
      </c>
      <c r="U9987">
        <v>286</v>
      </c>
      <c r="V9987">
        <v>2</v>
      </c>
      <c r="W9987">
        <v>75.592659999999995</v>
      </c>
      <c r="X9987">
        <v>799</v>
      </c>
      <c r="Y9987">
        <v>18</v>
      </c>
      <c r="Z9987">
        <v>205.2937</v>
      </c>
      <c r="AA9987">
        <v>799</v>
      </c>
      <c r="AB9987">
        <v>20.765740000000001</v>
      </c>
      <c r="AC9987">
        <v>1.1496950000000001E-2</v>
      </c>
      <c r="AD9987">
        <v>3.0415580000000002</v>
      </c>
      <c r="AE9987">
        <v>0.18277160000000001</v>
      </c>
      <c r="AF9987">
        <v>860.98429999999996</v>
      </c>
      <c r="AG9987">
        <f>IFERROR(AH9987*0.1, "N/A")</f>
        <v>5.8379370000000002</v>
      </c>
      <c r="AH9987">
        <v>58.379370000000002</v>
      </c>
      <c r="AI9987">
        <v>89.769779999999997</v>
      </c>
      <c r="AJ9987">
        <v>32.776220000000002</v>
      </c>
      <c r="AK9987">
        <v>44.638109999999998</v>
      </c>
    </row>
    <row r="9988" spans="1:37" x14ac:dyDescent="0.3">
      <c r="A9988">
        <v>9987</v>
      </c>
      <c r="B9988">
        <v>0</v>
      </c>
      <c r="C9988">
        <v>12.558299999999999</v>
      </c>
      <c r="D9988">
        <v>6.35</v>
      </c>
      <c r="E9988" t="s">
        <v>15105</v>
      </c>
      <c r="F9988" t="s">
        <v>15107</v>
      </c>
      <c r="G9988" t="s">
        <v>2420</v>
      </c>
      <c r="H9988">
        <v>1990</v>
      </c>
      <c r="I9988">
        <v>23.373249999999999</v>
      </c>
      <c r="J9988">
        <v>11.3</v>
      </c>
      <c r="K9988">
        <v>72</v>
      </c>
      <c r="L9988">
        <v>8.2577970000000001</v>
      </c>
      <c r="M9988">
        <v>31.735309999999998</v>
      </c>
      <c r="N9988">
        <v>16.173249999999999</v>
      </c>
      <c r="O9988">
        <v>15.562060000000001</v>
      </c>
      <c r="P9988">
        <v>22.235309999999998</v>
      </c>
      <c r="Q9988">
        <v>23.735309999999998</v>
      </c>
      <c r="R9988">
        <v>24.33531</v>
      </c>
      <c r="S9988">
        <v>22.235309999999998</v>
      </c>
      <c r="T9988">
        <v>1666.701</v>
      </c>
      <c r="U9988">
        <v>286</v>
      </c>
      <c r="V9988">
        <v>2</v>
      </c>
      <c r="W9988">
        <v>75.592659999999995</v>
      </c>
      <c r="X9988">
        <v>799</v>
      </c>
      <c r="Y9988">
        <v>18</v>
      </c>
      <c r="Z9988">
        <v>205.2937</v>
      </c>
      <c r="AA9988">
        <v>799</v>
      </c>
      <c r="AB9988">
        <v>20.765740000000001</v>
      </c>
      <c r="AC9988">
        <v>1.1496950000000001E-2</v>
      </c>
      <c r="AD9988">
        <v>3.0415580000000002</v>
      </c>
      <c r="AE9988">
        <v>0.18277160000000001</v>
      </c>
      <c r="AF9988">
        <v>860.98429999999996</v>
      </c>
      <c r="AG9988">
        <f>IFERROR(AH9988*0.1, "N/A")</f>
        <v>5.8379370000000002</v>
      </c>
      <c r="AH9988">
        <v>58.379370000000002</v>
      </c>
      <c r="AI9988">
        <v>89.769779999999997</v>
      </c>
      <c r="AJ9988">
        <v>32.776220000000002</v>
      </c>
      <c r="AK9988">
        <v>44.638109999999998</v>
      </c>
    </row>
    <row r="9989" spans="1:37" x14ac:dyDescent="0.3">
      <c r="A9989">
        <v>9988</v>
      </c>
      <c r="B9989">
        <v>0</v>
      </c>
      <c r="C9989">
        <v>14.324999999999999</v>
      </c>
      <c r="D9989">
        <v>6.375</v>
      </c>
      <c r="E9989" t="s">
        <v>15108</v>
      </c>
      <c r="F9989" t="s">
        <v>15109</v>
      </c>
      <c r="G9989" t="s">
        <v>39</v>
      </c>
      <c r="H9989">
        <v>1990</v>
      </c>
      <c r="I9989">
        <v>22.767600000000002</v>
      </c>
      <c r="J9989">
        <v>11.59774</v>
      </c>
      <c r="K9989">
        <v>69.977350000000001</v>
      </c>
      <c r="L9989">
        <v>8.8767420000000001</v>
      </c>
      <c r="M9989">
        <v>31.10453</v>
      </c>
      <c r="N9989">
        <v>14.702260000000001</v>
      </c>
      <c r="O9989">
        <v>16.402259999999998</v>
      </c>
      <c r="P9989">
        <v>21.702269999999999</v>
      </c>
      <c r="Q9989">
        <v>22.902259999999998</v>
      </c>
      <c r="R9989">
        <v>23.93066</v>
      </c>
      <c r="S9989">
        <v>21.702269999999999</v>
      </c>
      <c r="T9989">
        <v>1573.864</v>
      </c>
      <c r="U9989">
        <v>264.21600000000001</v>
      </c>
      <c r="V9989">
        <v>3</v>
      </c>
      <c r="W9989">
        <v>75.238680000000002</v>
      </c>
      <c r="X9989">
        <v>777.43209999999999</v>
      </c>
      <c r="Y9989">
        <v>17</v>
      </c>
      <c r="Z9989">
        <v>195.4547</v>
      </c>
      <c r="AA9989">
        <v>777.43209999999999</v>
      </c>
      <c r="AB9989">
        <v>36.90296</v>
      </c>
      <c r="AC9989">
        <v>9.1177080000000004E-3</v>
      </c>
      <c r="AD9989">
        <v>3.0965220000000002</v>
      </c>
      <c r="AE9989">
        <v>0.41554029999999997</v>
      </c>
      <c r="AF9989">
        <v>1023.958</v>
      </c>
      <c r="AG9989">
        <f>IFERROR(AH9989*0.1, "N/A")</f>
        <v>5.5073170000000005</v>
      </c>
      <c r="AH9989">
        <v>55.073169999999998</v>
      </c>
      <c r="AI9989">
        <v>273.90379999999999</v>
      </c>
      <c r="AJ9989">
        <v>31.313590000000001</v>
      </c>
      <c r="AK9989">
        <v>47.686410000000002</v>
      </c>
    </row>
    <row r="9990" spans="1:37" x14ac:dyDescent="0.3">
      <c r="A9990">
        <v>9989</v>
      </c>
      <c r="B9990">
        <v>11.1</v>
      </c>
      <c r="C9990">
        <v>14.324999999999999</v>
      </c>
      <c r="D9990">
        <v>6.375</v>
      </c>
      <c r="E9990" t="s">
        <v>15108</v>
      </c>
      <c r="F9990" t="s">
        <v>15110</v>
      </c>
      <c r="G9990" t="s">
        <v>37</v>
      </c>
      <c r="H9990">
        <v>1990</v>
      </c>
      <c r="I9990">
        <v>22.767600000000002</v>
      </c>
      <c r="J9990">
        <v>11.59774</v>
      </c>
      <c r="K9990">
        <v>69.977350000000001</v>
      </c>
      <c r="L9990">
        <v>8.8767420000000001</v>
      </c>
      <c r="M9990">
        <v>31.10453</v>
      </c>
      <c r="N9990">
        <v>14.702260000000001</v>
      </c>
      <c r="O9990">
        <v>16.402259999999998</v>
      </c>
      <c r="P9990">
        <v>21.702269999999999</v>
      </c>
      <c r="Q9990">
        <v>22.902259999999998</v>
      </c>
      <c r="R9990">
        <v>23.93066</v>
      </c>
      <c r="S9990">
        <v>21.702269999999999</v>
      </c>
      <c r="T9990">
        <v>1573.864</v>
      </c>
      <c r="U9990">
        <v>264.21600000000001</v>
      </c>
      <c r="V9990">
        <v>3</v>
      </c>
      <c r="W9990">
        <v>75.238680000000002</v>
      </c>
      <c r="X9990">
        <v>777.43209999999999</v>
      </c>
      <c r="Y9990">
        <v>17</v>
      </c>
      <c r="Z9990">
        <v>195.4547</v>
      </c>
      <c r="AA9990">
        <v>777.43209999999999</v>
      </c>
      <c r="AB9990">
        <v>36.90296</v>
      </c>
      <c r="AC9990">
        <v>9.1177080000000004E-3</v>
      </c>
      <c r="AD9990">
        <v>3.0965220000000002</v>
      </c>
      <c r="AE9990">
        <v>0.41554029999999997</v>
      </c>
      <c r="AF9990">
        <v>1023.958</v>
      </c>
      <c r="AG9990">
        <f>IFERROR(AH9990*0.1, "N/A")</f>
        <v>5.5073170000000005</v>
      </c>
      <c r="AH9990">
        <v>55.073169999999998</v>
      </c>
      <c r="AI9990">
        <v>273.90379999999999</v>
      </c>
      <c r="AJ9990">
        <v>31.313590000000001</v>
      </c>
      <c r="AK9990">
        <v>47.686410000000002</v>
      </c>
    </row>
    <row r="9991" spans="1:37" x14ac:dyDescent="0.3">
      <c r="A9991">
        <v>9990</v>
      </c>
      <c r="B9991">
        <v>0</v>
      </c>
      <c r="C9991">
        <v>14.324999999999999</v>
      </c>
      <c r="D9991">
        <v>6.375</v>
      </c>
      <c r="E9991" t="s">
        <v>15108</v>
      </c>
      <c r="F9991" t="s">
        <v>15111</v>
      </c>
      <c r="G9991" t="s">
        <v>2420</v>
      </c>
      <c r="H9991">
        <v>1990</v>
      </c>
      <c r="I9991">
        <v>22.767600000000002</v>
      </c>
      <c r="J9991">
        <v>11.59774</v>
      </c>
      <c r="K9991">
        <v>69.977350000000001</v>
      </c>
      <c r="L9991">
        <v>8.8767420000000001</v>
      </c>
      <c r="M9991">
        <v>31.10453</v>
      </c>
      <c r="N9991">
        <v>14.702260000000001</v>
      </c>
      <c r="O9991">
        <v>16.402259999999998</v>
      </c>
      <c r="P9991">
        <v>21.702269999999999</v>
      </c>
      <c r="Q9991">
        <v>22.902259999999998</v>
      </c>
      <c r="R9991">
        <v>23.93066</v>
      </c>
      <c r="S9991">
        <v>21.702269999999999</v>
      </c>
      <c r="T9991">
        <v>1573.864</v>
      </c>
      <c r="U9991">
        <v>264.21600000000001</v>
      </c>
      <c r="V9991">
        <v>3</v>
      </c>
      <c r="W9991">
        <v>75.238680000000002</v>
      </c>
      <c r="X9991">
        <v>777.43209999999999</v>
      </c>
      <c r="Y9991">
        <v>17</v>
      </c>
      <c r="Z9991">
        <v>195.4547</v>
      </c>
      <c r="AA9991">
        <v>777.43209999999999</v>
      </c>
      <c r="AB9991">
        <v>36.90296</v>
      </c>
      <c r="AC9991">
        <v>9.1177080000000004E-3</v>
      </c>
      <c r="AD9991">
        <v>3.0965220000000002</v>
      </c>
      <c r="AE9991">
        <v>0.41554029999999997</v>
      </c>
      <c r="AF9991">
        <v>1023.958</v>
      </c>
      <c r="AG9991">
        <f>IFERROR(AH9991*0.1, "N/A")</f>
        <v>5.5073170000000005</v>
      </c>
      <c r="AH9991">
        <v>55.073169999999998</v>
      </c>
      <c r="AI9991">
        <v>273.90379999999999</v>
      </c>
      <c r="AJ9991">
        <v>31.313590000000001</v>
      </c>
      <c r="AK9991">
        <v>47.686410000000002</v>
      </c>
    </row>
    <row r="9992" spans="1:37" x14ac:dyDescent="0.3">
      <c r="A9992">
        <v>9991</v>
      </c>
      <c r="B9992">
        <v>0</v>
      </c>
      <c r="C9992">
        <v>14.3232</v>
      </c>
      <c r="D9992">
        <v>6.37643</v>
      </c>
      <c r="E9992" t="s">
        <v>15112</v>
      </c>
      <c r="F9992" t="s">
        <v>15113</v>
      </c>
      <c r="G9992" t="s">
        <v>37</v>
      </c>
      <c r="H9992">
        <v>1962</v>
      </c>
      <c r="I9992">
        <v>22.7</v>
      </c>
      <c r="J9992">
        <v>11.6</v>
      </c>
      <c r="K9992">
        <v>70</v>
      </c>
      <c r="L9992">
        <v>8.67</v>
      </c>
      <c r="M9992">
        <v>31.1</v>
      </c>
      <c r="N9992">
        <v>14.7</v>
      </c>
      <c r="O9992">
        <v>16.399999999999999</v>
      </c>
      <c r="P9992">
        <v>21.7</v>
      </c>
      <c r="Q9992">
        <v>22.9</v>
      </c>
      <c r="R9992">
        <v>23.8</v>
      </c>
      <c r="S9992">
        <v>21.7</v>
      </c>
      <c r="T9992">
        <v>1576</v>
      </c>
      <c r="U9992">
        <v>265</v>
      </c>
      <c r="V9992">
        <v>3</v>
      </c>
      <c r="W9992">
        <v>76</v>
      </c>
      <c r="X9992">
        <v>779</v>
      </c>
      <c r="Y9992">
        <v>17</v>
      </c>
      <c r="Z9992">
        <v>196</v>
      </c>
      <c r="AA9992">
        <v>779</v>
      </c>
      <c r="AB9992">
        <v>27.126840000000001</v>
      </c>
      <c r="AC9992">
        <v>8.6736490000000003E-3</v>
      </c>
      <c r="AD9992">
        <v>3.1920060000000001</v>
      </c>
      <c r="AE9992">
        <v>0.41704020000000003</v>
      </c>
      <c r="AF9992">
        <v>1017.425</v>
      </c>
      <c r="AG9992">
        <f>IFERROR(AH9992*0.1, "N/A")</f>
        <v>5.4876310000000004</v>
      </c>
      <c r="AH9992">
        <v>54.876309999999997</v>
      </c>
      <c r="AI9992">
        <v>227.01929999999999</v>
      </c>
      <c r="AJ9992">
        <v>32.876309999999997</v>
      </c>
      <c r="AK9992">
        <v>46.794429999999998</v>
      </c>
    </row>
    <row r="9993" spans="1:37" x14ac:dyDescent="0.3">
      <c r="A9993">
        <v>9992</v>
      </c>
      <c r="B9993">
        <v>0</v>
      </c>
      <c r="C9993">
        <v>14.3232</v>
      </c>
      <c r="D9993">
        <v>6.37643</v>
      </c>
      <c r="E9993" t="s">
        <v>15112</v>
      </c>
      <c r="F9993" t="s">
        <v>15114</v>
      </c>
      <c r="G9993" t="s">
        <v>39</v>
      </c>
      <c r="H9993">
        <v>1962</v>
      </c>
      <c r="I9993">
        <v>22.7</v>
      </c>
      <c r="J9993">
        <v>11.6</v>
      </c>
      <c r="K9993">
        <v>70</v>
      </c>
      <c r="L9993">
        <v>8.67</v>
      </c>
      <c r="M9993">
        <v>31.1</v>
      </c>
      <c r="N9993">
        <v>14.7</v>
      </c>
      <c r="O9993">
        <v>16.399999999999999</v>
      </c>
      <c r="P9993">
        <v>21.7</v>
      </c>
      <c r="Q9993">
        <v>22.9</v>
      </c>
      <c r="R9993">
        <v>23.8</v>
      </c>
      <c r="S9993">
        <v>21.7</v>
      </c>
      <c r="T9993">
        <v>1576</v>
      </c>
      <c r="U9993">
        <v>265</v>
      </c>
      <c r="V9993">
        <v>3</v>
      </c>
      <c r="W9993">
        <v>76</v>
      </c>
      <c r="X9993">
        <v>779</v>
      </c>
      <c r="Y9993">
        <v>17</v>
      </c>
      <c r="Z9993">
        <v>196</v>
      </c>
      <c r="AA9993">
        <v>779</v>
      </c>
      <c r="AB9993">
        <v>27.126840000000001</v>
      </c>
      <c r="AC9993">
        <v>8.6736490000000003E-3</v>
      </c>
      <c r="AD9993">
        <v>3.1920060000000001</v>
      </c>
      <c r="AE9993">
        <v>0.41704020000000003</v>
      </c>
      <c r="AF9993">
        <v>1017.425</v>
      </c>
      <c r="AG9993">
        <f>IFERROR(AH9993*0.1, "N/A")</f>
        <v>5.4876310000000004</v>
      </c>
      <c r="AH9993">
        <v>54.876309999999997</v>
      </c>
      <c r="AI9993">
        <v>227.01929999999999</v>
      </c>
      <c r="AJ9993">
        <v>32.876309999999997</v>
      </c>
      <c r="AK9993">
        <v>46.794429999999998</v>
      </c>
    </row>
    <row r="9994" spans="1:37" x14ac:dyDescent="0.3">
      <c r="A9994">
        <v>9993</v>
      </c>
      <c r="B9994">
        <v>0</v>
      </c>
      <c r="C9994">
        <v>10.081899999999999</v>
      </c>
      <c r="D9994">
        <v>6.38889</v>
      </c>
      <c r="E9994" t="s">
        <v>15115</v>
      </c>
      <c r="F9994" t="s">
        <v>15116</v>
      </c>
      <c r="G9994" t="s">
        <v>39</v>
      </c>
      <c r="H9994">
        <v>1990</v>
      </c>
      <c r="I9994">
        <v>22.6</v>
      </c>
      <c r="J9994">
        <v>10.6</v>
      </c>
      <c r="K9994">
        <v>72</v>
      </c>
      <c r="L9994">
        <v>9.68</v>
      </c>
      <c r="M9994">
        <v>30.8</v>
      </c>
      <c r="N9994">
        <v>16.2</v>
      </c>
      <c r="O9994">
        <v>14.6</v>
      </c>
      <c r="P9994">
        <v>21.4</v>
      </c>
      <c r="Q9994">
        <v>23.2</v>
      </c>
      <c r="R9994">
        <v>23.9</v>
      </c>
      <c r="S9994">
        <v>21.4</v>
      </c>
      <c r="T9994">
        <v>2047</v>
      </c>
      <c r="U9994">
        <v>370</v>
      </c>
      <c r="V9994">
        <v>8</v>
      </c>
      <c r="W9994">
        <v>74</v>
      </c>
      <c r="X9994">
        <v>1005</v>
      </c>
      <c r="Y9994">
        <v>43</v>
      </c>
      <c r="Z9994">
        <v>288</v>
      </c>
      <c r="AA9994">
        <v>1005</v>
      </c>
      <c r="AB9994">
        <v>14.836259999999999</v>
      </c>
      <c r="AC9994">
        <v>1.063825E-2</v>
      </c>
      <c r="AD9994">
        <v>5.58188</v>
      </c>
      <c r="AE9994">
        <v>0.54909479999999999</v>
      </c>
      <c r="AF9994">
        <v>1047.3720000000001</v>
      </c>
      <c r="AG9994">
        <f>IFERROR(AH9994*0.1, "N/A")</f>
        <v>5.3000000000000007</v>
      </c>
      <c r="AH9994">
        <v>53</v>
      </c>
      <c r="AI9994">
        <v>186.20959999999999</v>
      </c>
      <c r="AJ9994">
        <v>29.716519999999999</v>
      </c>
      <c r="AK9994">
        <v>37.57217</v>
      </c>
    </row>
    <row r="9995" spans="1:37" x14ac:dyDescent="0.3">
      <c r="A9995">
        <v>9994</v>
      </c>
      <c r="B9995">
        <v>0</v>
      </c>
      <c r="C9995">
        <v>10.081899999999999</v>
      </c>
      <c r="D9995">
        <v>6.38889</v>
      </c>
      <c r="E9995" t="s">
        <v>15115</v>
      </c>
      <c r="F9995" t="s">
        <v>15117</v>
      </c>
      <c r="G9995" t="s">
        <v>37</v>
      </c>
      <c r="H9995">
        <v>1990</v>
      </c>
      <c r="I9995">
        <v>22.6</v>
      </c>
      <c r="J9995">
        <v>10.6</v>
      </c>
      <c r="K9995">
        <v>72</v>
      </c>
      <c r="L9995">
        <v>9.68</v>
      </c>
      <c r="M9995">
        <v>30.8</v>
      </c>
      <c r="N9995">
        <v>16.2</v>
      </c>
      <c r="O9995">
        <v>14.6</v>
      </c>
      <c r="P9995">
        <v>21.4</v>
      </c>
      <c r="Q9995">
        <v>23.2</v>
      </c>
      <c r="R9995">
        <v>23.9</v>
      </c>
      <c r="S9995">
        <v>21.4</v>
      </c>
      <c r="T9995">
        <v>2047</v>
      </c>
      <c r="U9995">
        <v>370</v>
      </c>
      <c r="V9995">
        <v>8</v>
      </c>
      <c r="W9995">
        <v>74</v>
      </c>
      <c r="X9995">
        <v>1005</v>
      </c>
      <c r="Y9995">
        <v>43</v>
      </c>
      <c r="Z9995">
        <v>288</v>
      </c>
      <c r="AA9995">
        <v>1005</v>
      </c>
      <c r="AB9995">
        <v>14.836259999999999</v>
      </c>
      <c r="AC9995">
        <v>1.063825E-2</v>
      </c>
      <c r="AD9995">
        <v>5.58188</v>
      </c>
      <c r="AE9995">
        <v>0.54909479999999999</v>
      </c>
      <c r="AF9995">
        <v>1047.3720000000001</v>
      </c>
      <c r="AG9995">
        <f>IFERROR(AH9995*0.1, "N/A")</f>
        <v>5.3000000000000007</v>
      </c>
      <c r="AH9995">
        <v>53</v>
      </c>
      <c r="AI9995">
        <v>186.20959999999999</v>
      </c>
      <c r="AJ9995">
        <v>29.716519999999999</v>
      </c>
      <c r="AK9995">
        <v>37.57217</v>
      </c>
    </row>
    <row r="9996" spans="1:37" x14ac:dyDescent="0.3">
      <c r="A9996">
        <v>9995</v>
      </c>
      <c r="B9996">
        <v>0</v>
      </c>
      <c r="C9996">
        <v>10.081899999999999</v>
      </c>
      <c r="D9996">
        <v>6.38889</v>
      </c>
      <c r="E9996" t="s">
        <v>15115</v>
      </c>
      <c r="F9996" t="s">
        <v>15118</v>
      </c>
      <c r="G9996" t="s">
        <v>2420</v>
      </c>
      <c r="H9996">
        <v>1990</v>
      </c>
      <c r="I9996">
        <v>22.6</v>
      </c>
      <c r="J9996">
        <v>10.6</v>
      </c>
      <c r="K9996">
        <v>72</v>
      </c>
      <c r="L9996">
        <v>9.68</v>
      </c>
      <c r="M9996">
        <v>30.8</v>
      </c>
      <c r="N9996">
        <v>16.2</v>
      </c>
      <c r="O9996">
        <v>14.6</v>
      </c>
      <c r="P9996">
        <v>21.4</v>
      </c>
      <c r="Q9996">
        <v>23.2</v>
      </c>
      <c r="R9996">
        <v>23.9</v>
      </c>
      <c r="S9996">
        <v>21.4</v>
      </c>
      <c r="T9996">
        <v>2047</v>
      </c>
      <c r="U9996">
        <v>370</v>
      </c>
      <c r="V9996">
        <v>8</v>
      </c>
      <c r="W9996">
        <v>74</v>
      </c>
      <c r="X9996">
        <v>1005</v>
      </c>
      <c r="Y9996">
        <v>43</v>
      </c>
      <c r="Z9996">
        <v>288</v>
      </c>
      <c r="AA9996">
        <v>1005</v>
      </c>
      <c r="AB9996">
        <v>14.836259999999999</v>
      </c>
      <c r="AC9996">
        <v>1.063825E-2</v>
      </c>
      <c r="AD9996">
        <v>5.58188</v>
      </c>
      <c r="AE9996">
        <v>0.54909479999999999</v>
      </c>
      <c r="AF9996">
        <v>1047.3720000000001</v>
      </c>
      <c r="AG9996">
        <f>IFERROR(AH9996*0.1, "N/A")</f>
        <v>5.3000000000000007</v>
      </c>
      <c r="AH9996">
        <v>53</v>
      </c>
      <c r="AI9996">
        <v>186.20959999999999</v>
      </c>
      <c r="AJ9996">
        <v>29.716519999999999</v>
      </c>
      <c r="AK9996">
        <v>37.57217</v>
      </c>
    </row>
    <row r="9997" spans="1:37" x14ac:dyDescent="0.3">
      <c r="A9997">
        <v>9996</v>
      </c>
      <c r="B9997">
        <v>0</v>
      </c>
      <c r="C9997">
        <v>10.725</v>
      </c>
      <c r="D9997">
        <v>6.3986099999999997</v>
      </c>
      <c r="E9997" t="s">
        <v>15119</v>
      </c>
      <c r="F9997" t="s">
        <v>15120</v>
      </c>
      <c r="G9997" t="s">
        <v>39</v>
      </c>
      <c r="H9997">
        <v>1990</v>
      </c>
      <c r="I9997">
        <v>18.940809999999999</v>
      </c>
      <c r="J9997">
        <v>11</v>
      </c>
      <c r="K9997">
        <v>74</v>
      </c>
      <c r="L9997">
        <v>9.5244479999999996</v>
      </c>
      <c r="M9997">
        <v>27.292639999999999</v>
      </c>
      <c r="N9997">
        <v>12.592639999999999</v>
      </c>
      <c r="O9997">
        <v>14.7</v>
      </c>
      <c r="P9997">
        <v>17.692640000000001</v>
      </c>
      <c r="Q9997">
        <v>19.640809999999998</v>
      </c>
      <c r="R9997">
        <v>20.092639999999999</v>
      </c>
      <c r="S9997">
        <v>17.692640000000001</v>
      </c>
      <c r="T9997">
        <v>1865.037</v>
      </c>
      <c r="U9997">
        <v>338</v>
      </c>
      <c r="V9997">
        <v>7.518389</v>
      </c>
      <c r="W9997">
        <v>71.481610000000003</v>
      </c>
      <c r="X9997">
        <v>919.96320000000003</v>
      </c>
      <c r="Y9997">
        <v>50.555169999999997</v>
      </c>
      <c r="Z9997">
        <v>282.55520000000001</v>
      </c>
      <c r="AA9997">
        <v>919.96320000000003</v>
      </c>
      <c r="AB9997">
        <v>12.221019999999999</v>
      </c>
      <c r="AC9997">
        <v>55.323369999999997</v>
      </c>
      <c r="AD9997">
        <v>12.032500000000001</v>
      </c>
      <c r="AE9997">
        <v>0.27267950000000002</v>
      </c>
      <c r="AF9997">
        <v>1714.21</v>
      </c>
      <c r="AG9997">
        <f>IFERROR(AH9997*0.1, "N/A")</f>
        <v>5.4518389999999997</v>
      </c>
      <c r="AH9997">
        <v>54.518389999999997</v>
      </c>
      <c r="AI9997">
        <v>276.6302</v>
      </c>
      <c r="AJ9997">
        <v>38</v>
      </c>
      <c r="AK9997">
        <v>29.48161</v>
      </c>
    </row>
    <row r="9998" spans="1:37" x14ac:dyDescent="0.3">
      <c r="A9998">
        <v>9997</v>
      </c>
      <c r="B9998">
        <v>0</v>
      </c>
      <c r="C9998">
        <v>10.725</v>
      </c>
      <c r="D9998">
        <v>6.3986099999999997</v>
      </c>
      <c r="E9998" t="s">
        <v>15119</v>
      </c>
      <c r="F9998" t="s">
        <v>15121</v>
      </c>
      <c r="G9998" t="s">
        <v>37</v>
      </c>
      <c r="H9998">
        <v>1990</v>
      </c>
      <c r="I9998">
        <v>18.940809999999999</v>
      </c>
      <c r="J9998">
        <v>11</v>
      </c>
      <c r="K9998">
        <v>74</v>
      </c>
      <c r="L9998">
        <v>9.5244479999999996</v>
      </c>
      <c r="M9998">
        <v>27.292639999999999</v>
      </c>
      <c r="N9998">
        <v>12.592639999999999</v>
      </c>
      <c r="O9998">
        <v>14.7</v>
      </c>
      <c r="P9998">
        <v>17.692640000000001</v>
      </c>
      <c r="Q9998">
        <v>19.640809999999998</v>
      </c>
      <c r="R9998">
        <v>20.092639999999999</v>
      </c>
      <c r="S9998">
        <v>17.692640000000001</v>
      </c>
      <c r="T9998">
        <v>1865.037</v>
      </c>
      <c r="U9998">
        <v>338</v>
      </c>
      <c r="V9998">
        <v>7.518389</v>
      </c>
      <c r="W9998">
        <v>71.481610000000003</v>
      </c>
      <c r="X9998">
        <v>919.96320000000003</v>
      </c>
      <c r="Y9998">
        <v>50.555169999999997</v>
      </c>
      <c r="Z9998">
        <v>282.55520000000001</v>
      </c>
      <c r="AA9998">
        <v>919.96320000000003</v>
      </c>
      <c r="AB9998">
        <v>12.221019999999999</v>
      </c>
      <c r="AC9998">
        <v>55.323369999999997</v>
      </c>
      <c r="AD9998">
        <v>12.032500000000001</v>
      </c>
      <c r="AE9998">
        <v>0.27267950000000002</v>
      </c>
      <c r="AF9998">
        <v>1714.21</v>
      </c>
      <c r="AG9998">
        <f>IFERROR(AH9998*0.1, "N/A")</f>
        <v>5.4518389999999997</v>
      </c>
      <c r="AH9998">
        <v>54.518389999999997</v>
      </c>
      <c r="AI9998">
        <v>276.6302</v>
      </c>
      <c r="AJ9998">
        <v>38</v>
      </c>
      <c r="AK9998">
        <v>29.48161</v>
      </c>
    </row>
    <row r="9999" spans="1:37" x14ac:dyDescent="0.3">
      <c r="A9999">
        <v>9998</v>
      </c>
      <c r="B9999">
        <v>0</v>
      </c>
      <c r="C9999">
        <v>10.725</v>
      </c>
      <c r="D9999">
        <v>6.3986099999999997</v>
      </c>
      <c r="E9999" t="s">
        <v>15119</v>
      </c>
      <c r="F9999" t="s">
        <v>15122</v>
      </c>
      <c r="G9999" t="s">
        <v>2420</v>
      </c>
      <c r="H9999">
        <v>1990</v>
      </c>
      <c r="I9999">
        <v>18.940809999999999</v>
      </c>
      <c r="J9999">
        <v>11</v>
      </c>
      <c r="K9999">
        <v>74</v>
      </c>
      <c r="L9999">
        <v>9.5244479999999996</v>
      </c>
      <c r="M9999">
        <v>27.292639999999999</v>
      </c>
      <c r="N9999">
        <v>12.592639999999999</v>
      </c>
      <c r="O9999">
        <v>14.7</v>
      </c>
      <c r="P9999">
        <v>17.692640000000001</v>
      </c>
      <c r="Q9999">
        <v>19.640809999999998</v>
      </c>
      <c r="R9999">
        <v>20.092639999999999</v>
      </c>
      <c r="S9999">
        <v>17.692640000000001</v>
      </c>
      <c r="T9999">
        <v>1865.037</v>
      </c>
      <c r="U9999">
        <v>338</v>
      </c>
      <c r="V9999">
        <v>7.518389</v>
      </c>
      <c r="W9999">
        <v>71.481610000000003</v>
      </c>
      <c r="X9999">
        <v>919.96320000000003</v>
      </c>
      <c r="Y9999">
        <v>50.555169999999997</v>
      </c>
      <c r="Z9999">
        <v>282.55520000000001</v>
      </c>
      <c r="AA9999">
        <v>919.96320000000003</v>
      </c>
      <c r="AB9999">
        <v>12.221019999999999</v>
      </c>
      <c r="AC9999">
        <v>55.323369999999997</v>
      </c>
      <c r="AD9999">
        <v>12.032500000000001</v>
      </c>
      <c r="AE9999">
        <v>0.27267950000000002</v>
      </c>
      <c r="AF9999">
        <v>1714.21</v>
      </c>
      <c r="AG9999">
        <f>IFERROR(AH9999*0.1, "N/A")</f>
        <v>5.4518389999999997</v>
      </c>
      <c r="AH9999">
        <v>54.518389999999997</v>
      </c>
      <c r="AI9999">
        <v>276.6302</v>
      </c>
      <c r="AJ9999">
        <v>38</v>
      </c>
      <c r="AK9999">
        <v>29.48161</v>
      </c>
    </row>
    <row r="10000" spans="1:37" x14ac:dyDescent="0.3">
      <c r="A10000">
        <v>9999</v>
      </c>
      <c r="B10000">
        <v>3</v>
      </c>
      <c r="C10000">
        <v>11.3222</v>
      </c>
      <c r="D10000">
        <v>6.4069399999999996</v>
      </c>
      <c r="E10000" t="s">
        <v>15123</v>
      </c>
      <c r="F10000" t="s">
        <v>15124</v>
      </c>
      <c r="G10000" t="s">
        <v>39</v>
      </c>
      <c r="H10000">
        <v>1990</v>
      </c>
      <c r="I10000">
        <v>24.4</v>
      </c>
      <c r="J10000">
        <v>10.9</v>
      </c>
      <c r="K10000">
        <v>71</v>
      </c>
      <c r="L10000">
        <v>8.69</v>
      </c>
      <c r="M10000">
        <v>32.799999999999997</v>
      </c>
      <c r="N10000">
        <v>17.5</v>
      </c>
      <c r="O10000">
        <v>15.3</v>
      </c>
      <c r="P10000">
        <v>23.3</v>
      </c>
      <c r="Q10000">
        <v>24.8</v>
      </c>
      <c r="R10000">
        <v>25.6</v>
      </c>
      <c r="S10000">
        <v>23.3</v>
      </c>
      <c r="T10000">
        <v>1746</v>
      </c>
      <c r="U10000">
        <v>305</v>
      </c>
      <c r="V10000">
        <v>3</v>
      </c>
      <c r="W10000">
        <v>74</v>
      </c>
      <c r="X10000">
        <v>837</v>
      </c>
      <c r="Y10000">
        <v>25</v>
      </c>
      <c r="Z10000">
        <v>238</v>
      </c>
      <c r="AA10000">
        <v>837</v>
      </c>
      <c r="AB10000">
        <v>28.40718</v>
      </c>
      <c r="AC10000">
        <v>1.5836599999999999E-2</v>
      </c>
      <c r="AD10000">
        <v>5.5251570000000001</v>
      </c>
      <c r="AE10000">
        <v>0.50762410000000002</v>
      </c>
      <c r="AF10000">
        <v>776.20910000000003</v>
      </c>
      <c r="AG10000">
        <f>IFERROR(AH10000*0.1, "N/A")</f>
        <v>5.6000000000000005</v>
      </c>
      <c r="AH10000">
        <v>56</v>
      </c>
      <c r="AI10000">
        <v>146.4598</v>
      </c>
      <c r="AJ10000">
        <v>34.940770000000001</v>
      </c>
      <c r="AK10000">
        <v>38.088850000000001</v>
      </c>
    </row>
    <row r="10001" spans="1:37" x14ac:dyDescent="0.3">
      <c r="A10001">
        <v>10000</v>
      </c>
      <c r="B10001">
        <v>0</v>
      </c>
      <c r="C10001">
        <v>11.3222</v>
      </c>
      <c r="D10001">
        <v>6.4069399999999996</v>
      </c>
      <c r="E10001" t="s">
        <v>15123</v>
      </c>
      <c r="F10001" t="s">
        <v>15125</v>
      </c>
      <c r="G10001" t="s">
        <v>37</v>
      </c>
      <c r="H10001">
        <v>1990</v>
      </c>
      <c r="I10001">
        <v>24.4</v>
      </c>
      <c r="J10001">
        <v>10.9</v>
      </c>
      <c r="K10001">
        <v>71</v>
      </c>
      <c r="L10001">
        <v>8.69</v>
      </c>
      <c r="M10001">
        <v>32.799999999999997</v>
      </c>
      <c r="N10001">
        <v>17.5</v>
      </c>
      <c r="O10001">
        <v>15.3</v>
      </c>
      <c r="P10001">
        <v>23.3</v>
      </c>
      <c r="Q10001">
        <v>24.8</v>
      </c>
      <c r="R10001">
        <v>25.6</v>
      </c>
      <c r="S10001">
        <v>23.3</v>
      </c>
      <c r="T10001">
        <v>1746</v>
      </c>
      <c r="U10001">
        <v>305</v>
      </c>
      <c r="V10001">
        <v>3</v>
      </c>
      <c r="W10001">
        <v>74</v>
      </c>
      <c r="X10001">
        <v>837</v>
      </c>
      <c r="Y10001">
        <v>25</v>
      </c>
      <c r="Z10001">
        <v>238</v>
      </c>
      <c r="AA10001">
        <v>837</v>
      </c>
      <c r="AB10001">
        <v>28.40718</v>
      </c>
      <c r="AC10001">
        <v>1.5836599999999999E-2</v>
      </c>
      <c r="AD10001">
        <v>5.5251570000000001</v>
      </c>
      <c r="AE10001">
        <v>0.50762410000000002</v>
      </c>
      <c r="AF10001">
        <v>776.20910000000003</v>
      </c>
      <c r="AG10001">
        <f>IFERROR(AH10001*0.1, "N/A")</f>
        <v>5.6000000000000005</v>
      </c>
      <c r="AH10001">
        <v>56</v>
      </c>
      <c r="AI10001">
        <v>146.4598</v>
      </c>
      <c r="AJ10001">
        <v>34.940770000000001</v>
      </c>
      <c r="AK10001">
        <v>38.088850000000001</v>
      </c>
    </row>
    <row r="10002" spans="1:37" x14ac:dyDescent="0.3">
      <c r="A10002">
        <v>10001</v>
      </c>
      <c r="B10002">
        <v>0</v>
      </c>
      <c r="C10002">
        <v>11.3222</v>
      </c>
      <c r="D10002">
        <v>6.4069399999999996</v>
      </c>
      <c r="E10002" t="s">
        <v>15123</v>
      </c>
      <c r="F10002" t="s">
        <v>15126</v>
      </c>
      <c r="G10002" t="s">
        <v>2420</v>
      </c>
      <c r="H10002">
        <v>1990</v>
      </c>
      <c r="I10002">
        <v>24.4</v>
      </c>
      <c r="J10002">
        <v>10.9</v>
      </c>
      <c r="K10002">
        <v>71</v>
      </c>
      <c r="L10002">
        <v>8.69</v>
      </c>
      <c r="M10002">
        <v>32.799999999999997</v>
      </c>
      <c r="N10002">
        <v>17.5</v>
      </c>
      <c r="O10002">
        <v>15.3</v>
      </c>
      <c r="P10002">
        <v>23.3</v>
      </c>
      <c r="Q10002">
        <v>24.8</v>
      </c>
      <c r="R10002">
        <v>25.6</v>
      </c>
      <c r="S10002">
        <v>23.3</v>
      </c>
      <c r="T10002">
        <v>1746</v>
      </c>
      <c r="U10002">
        <v>305</v>
      </c>
      <c r="V10002">
        <v>3</v>
      </c>
      <c r="W10002">
        <v>74</v>
      </c>
      <c r="X10002">
        <v>837</v>
      </c>
      <c r="Y10002">
        <v>25</v>
      </c>
      <c r="Z10002">
        <v>238</v>
      </c>
      <c r="AA10002">
        <v>837</v>
      </c>
      <c r="AB10002">
        <v>28.40718</v>
      </c>
      <c r="AC10002">
        <v>1.5836599999999999E-2</v>
      </c>
      <c r="AD10002">
        <v>5.5251570000000001</v>
      </c>
      <c r="AE10002">
        <v>0.50762410000000002</v>
      </c>
      <c r="AF10002">
        <v>776.20910000000003</v>
      </c>
      <c r="AG10002">
        <f>IFERROR(AH10002*0.1, "N/A")</f>
        <v>5.6000000000000005</v>
      </c>
      <c r="AH10002">
        <v>56</v>
      </c>
      <c r="AI10002">
        <v>146.4598</v>
      </c>
      <c r="AJ10002">
        <v>34.940770000000001</v>
      </c>
      <c r="AK10002">
        <v>38.088850000000001</v>
      </c>
    </row>
    <row r="10003" spans="1:37" x14ac:dyDescent="0.3">
      <c r="A10003">
        <v>10002</v>
      </c>
      <c r="B10003">
        <v>0</v>
      </c>
      <c r="C10003">
        <v>13.4</v>
      </c>
      <c r="D10003">
        <v>6.4166699999999999</v>
      </c>
      <c r="E10003" t="s">
        <v>15127</v>
      </c>
      <c r="F10003" t="s">
        <v>15128</v>
      </c>
      <c r="G10003" t="s">
        <v>37</v>
      </c>
      <c r="H10003">
        <v>1990</v>
      </c>
      <c r="I10003">
        <v>23.012409999999999</v>
      </c>
      <c r="J10003">
        <v>11.76923</v>
      </c>
      <c r="K10003">
        <v>70.692310000000006</v>
      </c>
      <c r="L10003">
        <v>7.9771679999999998</v>
      </c>
      <c r="M10003">
        <v>31.445799999999998</v>
      </c>
      <c r="N10003">
        <v>14.981640000000001</v>
      </c>
      <c r="O10003">
        <v>16.46416</v>
      </c>
      <c r="P10003">
        <v>21.999130000000001</v>
      </c>
      <c r="Q10003">
        <v>23.0458</v>
      </c>
      <c r="R10003">
        <v>24.112410000000001</v>
      </c>
      <c r="S10003">
        <v>21.999130000000001</v>
      </c>
      <c r="T10003">
        <v>1587.885</v>
      </c>
      <c r="U10003">
        <v>271.18360000000001</v>
      </c>
      <c r="V10003">
        <v>2</v>
      </c>
      <c r="W10003">
        <v>77</v>
      </c>
      <c r="X10003">
        <v>781.70100000000002</v>
      </c>
      <c r="Y10003">
        <v>13</v>
      </c>
      <c r="Z10003">
        <v>199.18360000000001</v>
      </c>
      <c r="AA10003">
        <v>781.70100000000002</v>
      </c>
      <c r="AB10003">
        <v>26.091249999999999</v>
      </c>
      <c r="AC10003">
        <v>1.474806E-2</v>
      </c>
      <c r="AD10003">
        <v>2.5254279999999998</v>
      </c>
      <c r="AE10003">
        <v>0.17842749999999999</v>
      </c>
      <c r="AF10003">
        <v>926.51919999999996</v>
      </c>
      <c r="AG10003">
        <f>IFERROR(AH10003*0.1, "N/A")</f>
        <v>5.664161</v>
      </c>
      <c r="AH10003">
        <v>56.64161</v>
      </c>
      <c r="AI10003">
        <v>203.23009999999999</v>
      </c>
      <c r="AJ10003">
        <v>34.28322</v>
      </c>
      <c r="AK10003">
        <v>44.35839</v>
      </c>
    </row>
    <row r="10004" spans="1:37" x14ac:dyDescent="0.3">
      <c r="A10004">
        <v>10003</v>
      </c>
      <c r="B10004">
        <v>0</v>
      </c>
      <c r="C10004">
        <v>13.4</v>
      </c>
      <c r="D10004">
        <v>6.4166699999999999</v>
      </c>
      <c r="E10004" t="s">
        <v>15127</v>
      </c>
      <c r="F10004" t="s">
        <v>15129</v>
      </c>
      <c r="G10004" t="s">
        <v>2420</v>
      </c>
      <c r="H10004">
        <v>1990</v>
      </c>
      <c r="I10004">
        <v>23.012409999999999</v>
      </c>
      <c r="J10004">
        <v>11.76923</v>
      </c>
      <c r="K10004">
        <v>70.692310000000006</v>
      </c>
      <c r="L10004">
        <v>7.9771679999999998</v>
      </c>
      <c r="M10004">
        <v>31.445799999999998</v>
      </c>
      <c r="N10004">
        <v>14.981640000000001</v>
      </c>
      <c r="O10004">
        <v>16.46416</v>
      </c>
      <c r="P10004">
        <v>21.999130000000001</v>
      </c>
      <c r="Q10004">
        <v>23.0458</v>
      </c>
      <c r="R10004">
        <v>24.112410000000001</v>
      </c>
      <c r="S10004">
        <v>21.999130000000001</v>
      </c>
      <c r="T10004">
        <v>1587.885</v>
      </c>
      <c r="U10004">
        <v>271.18360000000001</v>
      </c>
      <c r="V10004">
        <v>2</v>
      </c>
      <c r="W10004">
        <v>77</v>
      </c>
      <c r="X10004">
        <v>781.70100000000002</v>
      </c>
      <c r="Y10004">
        <v>13</v>
      </c>
      <c r="Z10004">
        <v>199.18360000000001</v>
      </c>
      <c r="AA10004">
        <v>781.70100000000002</v>
      </c>
      <c r="AB10004">
        <v>26.091249999999999</v>
      </c>
      <c r="AC10004">
        <v>1.474806E-2</v>
      </c>
      <c r="AD10004">
        <v>2.5254279999999998</v>
      </c>
      <c r="AE10004">
        <v>0.17842749999999999</v>
      </c>
      <c r="AF10004">
        <v>926.51919999999996</v>
      </c>
      <c r="AG10004">
        <f>IFERROR(AH10004*0.1, "N/A")</f>
        <v>5.664161</v>
      </c>
      <c r="AH10004">
        <v>56.64161</v>
      </c>
      <c r="AI10004">
        <v>203.23009999999999</v>
      </c>
      <c r="AJ10004">
        <v>34.28322</v>
      </c>
      <c r="AK10004">
        <v>44.35839</v>
      </c>
    </row>
    <row r="10005" spans="1:37" x14ac:dyDescent="0.3">
      <c r="A10005">
        <v>10004</v>
      </c>
      <c r="B10005">
        <v>0</v>
      </c>
      <c r="C10005">
        <v>10.7514</v>
      </c>
      <c r="D10005">
        <v>6.4347200000000004</v>
      </c>
      <c r="E10005" t="s">
        <v>15130</v>
      </c>
      <c r="F10005" t="s">
        <v>15131</v>
      </c>
      <c r="G10005" t="s">
        <v>39</v>
      </c>
      <c r="H10005">
        <v>1990</v>
      </c>
      <c r="I10005">
        <v>17.899999999999999</v>
      </c>
      <c r="J10005">
        <v>11</v>
      </c>
      <c r="K10005">
        <v>75</v>
      </c>
      <c r="L10005">
        <v>9.36</v>
      </c>
      <c r="M10005">
        <v>26.2</v>
      </c>
      <c r="N10005">
        <v>11.6</v>
      </c>
      <c r="O10005">
        <v>14.6</v>
      </c>
      <c r="P10005">
        <v>16.7</v>
      </c>
      <c r="Q10005">
        <v>18.600000000000001</v>
      </c>
      <c r="R10005">
        <v>19</v>
      </c>
      <c r="S10005">
        <v>16.7</v>
      </c>
      <c r="T10005">
        <v>1866</v>
      </c>
      <c r="U10005">
        <v>338</v>
      </c>
      <c r="V10005">
        <v>9</v>
      </c>
      <c r="W10005">
        <v>71</v>
      </c>
      <c r="X10005">
        <v>917</v>
      </c>
      <c r="Y10005">
        <v>53</v>
      </c>
      <c r="Z10005">
        <v>287</v>
      </c>
      <c r="AA10005">
        <v>917</v>
      </c>
      <c r="AB10005">
        <v>14.358140000000001</v>
      </c>
      <c r="AC10005">
        <v>0.1229276</v>
      </c>
      <c r="AD10005">
        <v>9.2388440000000003</v>
      </c>
      <c r="AE10005">
        <v>0.37792029999999999</v>
      </c>
      <c r="AF10005">
        <v>1925.19</v>
      </c>
      <c r="AG10005">
        <f>IFERROR(AH10005*0.1, "N/A")</f>
        <v>5.4951220000000003</v>
      </c>
      <c r="AH10005">
        <v>54.951219999999999</v>
      </c>
      <c r="AI10005">
        <v>202.42789999999999</v>
      </c>
      <c r="AJ10005">
        <v>40.414630000000002</v>
      </c>
      <c r="AK10005">
        <v>22.5</v>
      </c>
    </row>
    <row r="10006" spans="1:37" x14ac:dyDescent="0.3">
      <c r="A10006">
        <v>10005</v>
      </c>
      <c r="B10006">
        <v>0</v>
      </c>
      <c r="C10006">
        <v>10.7514</v>
      </c>
      <c r="D10006">
        <v>6.4347200000000004</v>
      </c>
      <c r="E10006" t="s">
        <v>15130</v>
      </c>
      <c r="F10006" t="s">
        <v>15132</v>
      </c>
      <c r="G10006" t="s">
        <v>37</v>
      </c>
      <c r="H10006">
        <v>1990</v>
      </c>
      <c r="I10006">
        <v>17.899999999999999</v>
      </c>
      <c r="J10006">
        <v>11</v>
      </c>
      <c r="K10006">
        <v>75</v>
      </c>
      <c r="L10006">
        <v>9.36</v>
      </c>
      <c r="M10006">
        <v>26.2</v>
      </c>
      <c r="N10006">
        <v>11.6</v>
      </c>
      <c r="O10006">
        <v>14.6</v>
      </c>
      <c r="P10006">
        <v>16.7</v>
      </c>
      <c r="Q10006">
        <v>18.600000000000001</v>
      </c>
      <c r="R10006">
        <v>19</v>
      </c>
      <c r="S10006">
        <v>16.7</v>
      </c>
      <c r="T10006">
        <v>1866</v>
      </c>
      <c r="U10006">
        <v>338</v>
      </c>
      <c r="V10006">
        <v>9</v>
      </c>
      <c r="W10006">
        <v>71</v>
      </c>
      <c r="X10006">
        <v>917</v>
      </c>
      <c r="Y10006">
        <v>53</v>
      </c>
      <c r="Z10006">
        <v>287</v>
      </c>
      <c r="AA10006">
        <v>917</v>
      </c>
      <c r="AB10006">
        <v>14.358140000000001</v>
      </c>
      <c r="AC10006">
        <v>0.1229276</v>
      </c>
      <c r="AD10006">
        <v>9.2388440000000003</v>
      </c>
      <c r="AE10006">
        <v>0.37792029999999999</v>
      </c>
      <c r="AF10006">
        <v>1925.19</v>
      </c>
      <c r="AG10006">
        <f>IFERROR(AH10006*0.1, "N/A")</f>
        <v>5.4951220000000003</v>
      </c>
      <c r="AH10006">
        <v>54.951219999999999</v>
      </c>
      <c r="AI10006">
        <v>202.42789999999999</v>
      </c>
      <c r="AJ10006">
        <v>40.414630000000002</v>
      </c>
      <c r="AK10006">
        <v>22.5</v>
      </c>
    </row>
    <row r="10007" spans="1:37" x14ac:dyDescent="0.3">
      <c r="A10007">
        <v>10006</v>
      </c>
      <c r="B10007">
        <v>0</v>
      </c>
      <c r="C10007">
        <v>10.7514</v>
      </c>
      <c r="D10007">
        <v>6.4347200000000004</v>
      </c>
      <c r="E10007" t="s">
        <v>15130</v>
      </c>
      <c r="F10007" t="s">
        <v>15133</v>
      </c>
      <c r="G10007" t="s">
        <v>2420</v>
      </c>
      <c r="H10007">
        <v>1990</v>
      </c>
      <c r="I10007">
        <v>17.899999999999999</v>
      </c>
      <c r="J10007">
        <v>11</v>
      </c>
      <c r="K10007">
        <v>75</v>
      </c>
      <c r="L10007">
        <v>9.36</v>
      </c>
      <c r="M10007">
        <v>26.2</v>
      </c>
      <c r="N10007">
        <v>11.6</v>
      </c>
      <c r="O10007">
        <v>14.6</v>
      </c>
      <c r="P10007">
        <v>16.7</v>
      </c>
      <c r="Q10007">
        <v>18.600000000000001</v>
      </c>
      <c r="R10007">
        <v>19</v>
      </c>
      <c r="S10007">
        <v>16.7</v>
      </c>
      <c r="T10007">
        <v>1866</v>
      </c>
      <c r="U10007">
        <v>338</v>
      </c>
      <c r="V10007">
        <v>9</v>
      </c>
      <c r="W10007">
        <v>71</v>
      </c>
      <c r="X10007">
        <v>917</v>
      </c>
      <c r="Y10007">
        <v>53</v>
      </c>
      <c r="Z10007">
        <v>287</v>
      </c>
      <c r="AA10007">
        <v>917</v>
      </c>
      <c r="AB10007">
        <v>14.358140000000001</v>
      </c>
      <c r="AC10007">
        <v>0.1229276</v>
      </c>
      <c r="AD10007">
        <v>9.2388440000000003</v>
      </c>
      <c r="AE10007">
        <v>0.37792029999999999</v>
      </c>
      <c r="AF10007">
        <v>1925.19</v>
      </c>
      <c r="AG10007">
        <f>IFERROR(AH10007*0.1, "N/A")</f>
        <v>5.4951220000000003</v>
      </c>
      <c r="AH10007">
        <v>54.951219999999999</v>
      </c>
      <c r="AI10007">
        <v>202.42789999999999</v>
      </c>
      <c r="AJ10007">
        <v>40.414630000000002</v>
      </c>
      <c r="AK10007">
        <v>22.5</v>
      </c>
    </row>
    <row r="10008" spans="1:37" x14ac:dyDescent="0.3">
      <c r="A10008">
        <v>10007</v>
      </c>
      <c r="B10008">
        <v>0</v>
      </c>
      <c r="C10008">
        <v>12.6249</v>
      </c>
      <c r="D10008">
        <v>6.4631400000000001</v>
      </c>
      <c r="E10008" t="s">
        <v>15134</v>
      </c>
      <c r="F10008" t="s">
        <v>15135</v>
      </c>
      <c r="G10008" t="s">
        <v>37</v>
      </c>
      <c r="H10008">
        <v>1962</v>
      </c>
      <c r="I10008">
        <v>23.351220000000001</v>
      </c>
      <c r="J10008">
        <v>11.5</v>
      </c>
      <c r="K10008">
        <v>72</v>
      </c>
      <c r="L10008">
        <v>7.765854</v>
      </c>
      <c r="M10008">
        <v>31.7</v>
      </c>
      <c r="N10008">
        <v>15.8</v>
      </c>
      <c r="O10008">
        <v>15.9</v>
      </c>
      <c r="P10008">
        <v>22.3</v>
      </c>
      <c r="Q10008">
        <v>23.5</v>
      </c>
      <c r="R10008">
        <v>24.3</v>
      </c>
      <c r="S10008">
        <v>22.3</v>
      </c>
      <c r="T10008">
        <v>1670.4880000000001</v>
      </c>
      <c r="U10008">
        <v>284</v>
      </c>
      <c r="V10008">
        <v>1</v>
      </c>
      <c r="W10008">
        <v>76</v>
      </c>
      <c r="X10008">
        <v>813.48779999999999</v>
      </c>
      <c r="Y10008">
        <v>15</v>
      </c>
      <c r="Z10008">
        <v>202</v>
      </c>
      <c r="AA10008">
        <v>813.48779999999999</v>
      </c>
      <c r="AB10008">
        <v>19.100680000000001</v>
      </c>
      <c r="AC10008">
        <v>1.6456450000000001E-2</v>
      </c>
      <c r="AD10008">
        <v>3.14175</v>
      </c>
      <c r="AE10008">
        <v>0.61780230000000003</v>
      </c>
      <c r="AF10008">
        <v>864.17420000000004</v>
      </c>
      <c r="AG10008">
        <f>IFERROR(AH10008*0.1, "N/A")</f>
        <v>5.6050520000000006</v>
      </c>
      <c r="AH10008">
        <v>56.050519999999999</v>
      </c>
      <c r="AI10008">
        <v>186.39599999999999</v>
      </c>
      <c r="AJ10008">
        <v>29.047039999999999</v>
      </c>
      <c r="AK10008">
        <v>49.60801</v>
      </c>
    </row>
    <row r="10009" spans="1:37" x14ac:dyDescent="0.3">
      <c r="A10009">
        <v>10008</v>
      </c>
      <c r="B10009">
        <v>0</v>
      </c>
      <c r="C10009">
        <v>12.6249</v>
      </c>
      <c r="D10009">
        <v>6.4631400000000001</v>
      </c>
      <c r="E10009" t="s">
        <v>15134</v>
      </c>
      <c r="F10009" t="s">
        <v>15136</v>
      </c>
      <c r="G10009" t="s">
        <v>39</v>
      </c>
      <c r="H10009">
        <v>1962</v>
      </c>
      <c r="I10009">
        <v>23.351220000000001</v>
      </c>
      <c r="J10009">
        <v>11.5</v>
      </c>
      <c r="K10009">
        <v>72</v>
      </c>
      <c r="L10009">
        <v>7.765854</v>
      </c>
      <c r="M10009">
        <v>31.7</v>
      </c>
      <c r="N10009">
        <v>15.8</v>
      </c>
      <c r="O10009">
        <v>15.9</v>
      </c>
      <c r="P10009">
        <v>22.3</v>
      </c>
      <c r="Q10009">
        <v>23.5</v>
      </c>
      <c r="R10009">
        <v>24.3</v>
      </c>
      <c r="S10009">
        <v>22.3</v>
      </c>
      <c r="T10009">
        <v>1670.4880000000001</v>
      </c>
      <c r="U10009">
        <v>284</v>
      </c>
      <c r="V10009">
        <v>1</v>
      </c>
      <c r="W10009">
        <v>76</v>
      </c>
      <c r="X10009">
        <v>813.48779999999999</v>
      </c>
      <c r="Y10009">
        <v>15</v>
      </c>
      <c r="Z10009">
        <v>202</v>
      </c>
      <c r="AA10009">
        <v>813.48779999999999</v>
      </c>
      <c r="AB10009">
        <v>19.100680000000001</v>
      </c>
      <c r="AC10009">
        <v>1.6456450000000001E-2</v>
      </c>
      <c r="AD10009">
        <v>3.14175</v>
      </c>
      <c r="AE10009">
        <v>0.61780230000000003</v>
      </c>
      <c r="AF10009">
        <v>864.17420000000004</v>
      </c>
      <c r="AG10009">
        <f>IFERROR(AH10009*0.1, "N/A")</f>
        <v>5.6050520000000006</v>
      </c>
      <c r="AH10009">
        <v>56.050519999999999</v>
      </c>
      <c r="AI10009">
        <v>186.39599999999999</v>
      </c>
      <c r="AJ10009">
        <v>29.047039999999999</v>
      </c>
      <c r="AK10009">
        <v>49.60801</v>
      </c>
    </row>
    <row r="10010" spans="1:37" x14ac:dyDescent="0.3">
      <c r="A10010">
        <v>10009</v>
      </c>
      <c r="B10010">
        <v>5</v>
      </c>
      <c r="C10010">
        <v>12.622</v>
      </c>
      <c r="D10010">
        <v>6.4660000000000002</v>
      </c>
      <c r="E10010" t="s">
        <v>15137</v>
      </c>
      <c r="F10010" t="s">
        <v>15138</v>
      </c>
      <c r="G10010" t="s">
        <v>37</v>
      </c>
      <c r="H10010">
        <v>1987</v>
      </c>
      <c r="I10010">
        <v>23.4</v>
      </c>
      <c r="J10010">
        <v>11.5</v>
      </c>
      <c r="K10010">
        <v>72</v>
      </c>
      <c r="L10010">
        <v>7.8</v>
      </c>
      <c r="M10010">
        <v>31.7</v>
      </c>
      <c r="N10010">
        <v>15.8</v>
      </c>
      <c r="O10010">
        <v>15.9</v>
      </c>
      <c r="P10010">
        <v>22.3</v>
      </c>
      <c r="Q10010">
        <v>23.5</v>
      </c>
      <c r="R10010">
        <v>24.3</v>
      </c>
      <c r="S10010">
        <v>22.3</v>
      </c>
      <c r="T10010">
        <v>1670</v>
      </c>
      <c r="U10010">
        <v>284</v>
      </c>
      <c r="V10010">
        <v>1</v>
      </c>
      <c r="W10010">
        <v>76</v>
      </c>
      <c r="X10010">
        <v>813</v>
      </c>
      <c r="Y10010">
        <v>15</v>
      </c>
      <c r="Z10010">
        <v>202</v>
      </c>
      <c r="AA10010">
        <v>813</v>
      </c>
      <c r="AB10010">
        <v>23.232810000000001</v>
      </c>
      <c r="AC10010">
        <v>1.154845E-2</v>
      </c>
      <c r="AD10010">
        <v>2.2213959999999999</v>
      </c>
      <c r="AE10010">
        <v>0.61351029999999995</v>
      </c>
      <c r="AF10010">
        <v>871.46420000000001</v>
      </c>
      <c r="AG10010">
        <f>IFERROR(AH10010*0.1, "N/A")</f>
        <v>5.6000000000000005</v>
      </c>
      <c r="AH10010">
        <v>56</v>
      </c>
      <c r="AI10010">
        <v>192.3922</v>
      </c>
      <c r="AJ10010">
        <v>30.356020000000001</v>
      </c>
      <c r="AK10010">
        <v>50.643979999999999</v>
      </c>
    </row>
    <row r="10011" spans="1:37" x14ac:dyDescent="0.3">
      <c r="A10011">
        <v>10010</v>
      </c>
      <c r="B10011">
        <v>0</v>
      </c>
      <c r="C10011">
        <v>12.6333</v>
      </c>
      <c r="D10011">
        <v>6.4666699999999997</v>
      </c>
      <c r="E10011" t="s">
        <v>15139</v>
      </c>
      <c r="F10011" t="s">
        <v>15140</v>
      </c>
      <c r="G10011" t="s">
        <v>39</v>
      </c>
      <c r="H10011">
        <v>1990</v>
      </c>
      <c r="I10011">
        <v>23.38007</v>
      </c>
      <c r="J10011">
        <v>11.5</v>
      </c>
      <c r="K10011">
        <v>71.732519999999994</v>
      </c>
      <c r="L10011">
        <v>7.7266959999999996</v>
      </c>
      <c r="M10011">
        <v>31.780069999999998</v>
      </c>
      <c r="N10011">
        <v>15.85332</v>
      </c>
      <c r="O10011">
        <v>15.92675</v>
      </c>
      <c r="P10011">
        <v>22.38007</v>
      </c>
      <c r="Q10011">
        <v>23.556989999999999</v>
      </c>
      <c r="R10011">
        <v>24.38007</v>
      </c>
      <c r="S10011">
        <v>22.38007</v>
      </c>
      <c r="T10011">
        <v>1668.3320000000001</v>
      </c>
      <c r="U10011">
        <v>283.19929999999999</v>
      </c>
      <c r="V10011">
        <v>1</v>
      </c>
      <c r="W10011">
        <v>76.53322</v>
      </c>
      <c r="X10011">
        <v>812.13289999999995</v>
      </c>
      <c r="Y10011">
        <v>15</v>
      </c>
      <c r="Z10011">
        <v>202</v>
      </c>
      <c r="AA10011">
        <v>812.13289999999995</v>
      </c>
      <c r="AB10011">
        <v>13.05316</v>
      </c>
      <c r="AC10011">
        <v>1.8726630000000001E-2</v>
      </c>
      <c r="AD10011">
        <v>4.1937030000000002</v>
      </c>
      <c r="AE10011">
        <v>0.59154059999999997</v>
      </c>
      <c r="AF10011">
        <v>854.75170000000003</v>
      </c>
      <c r="AG10011">
        <f>IFERROR(AH10011*0.1, "N/A")</f>
        <v>5.7669580000000007</v>
      </c>
      <c r="AH10011">
        <v>57.669580000000003</v>
      </c>
      <c r="AI10011">
        <v>11.84732</v>
      </c>
      <c r="AJ10011">
        <v>33.239510000000003</v>
      </c>
      <c r="AK10011">
        <v>44.101399999999998</v>
      </c>
    </row>
    <row r="10012" spans="1:37" x14ac:dyDescent="0.3">
      <c r="A10012">
        <v>10011</v>
      </c>
      <c r="B10012">
        <v>4</v>
      </c>
      <c r="C10012">
        <v>12.6333</v>
      </c>
      <c r="D10012">
        <v>6.4666699999999997</v>
      </c>
      <c r="E10012" t="s">
        <v>15139</v>
      </c>
      <c r="F10012" t="s">
        <v>15141</v>
      </c>
      <c r="G10012" t="s">
        <v>37</v>
      </c>
      <c r="H10012">
        <v>1990</v>
      </c>
      <c r="I10012">
        <v>23.38007</v>
      </c>
      <c r="J10012">
        <v>11.5</v>
      </c>
      <c r="K10012">
        <v>71.732519999999994</v>
      </c>
      <c r="L10012">
        <v>7.7266959999999996</v>
      </c>
      <c r="M10012">
        <v>31.780069999999998</v>
      </c>
      <c r="N10012">
        <v>15.85332</v>
      </c>
      <c r="O10012">
        <v>15.92675</v>
      </c>
      <c r="P10012">
        <v>22.38007</v>
      </c>
      <c r="Q10012">
        <v>23.556989999999999</v>
      </c>
      <c r="R10012">
        <v>24.38007</v>
      </c>
      <c r="S10012">
        <v>22.38007</v>
      </c>
      <c r="T10012">
        <v>1668.3320000000001</v>
      </c>
      <c r="U10012">
        <v>283.19929999999999</v>
      </c>
      <c r="V10012">
        <v>1</v>
      </c>
      <c r="W10012">
        <v>76.53322</v>
      </c>
      <c r="X10012">
        <v>812.13289999999995</v>
      </c>
      <c r="Y10012">
        <v>15</v>
      </c>
      <c r="Z10012">
        <v>202</v>
      </c>
      <c r="AA10012">
        <v>812.13289999999995</v>
      </c>
      <c r="AB10012">
        <v>13.05316</v>
      </c>
      <c r="AC10012">
        <v>1.8726630000000001E-2</v>
      </c>
      <c r="AD10012">
        <v>4.1937030000000002</v>
      </c>
      <c r="AE10012">
        <v>0.59154059999999997</v>
      </c>
      <c r="AF10012">
        <v>854.75170000000003</v>
      </c>
      <c r="AG10012">
        <f>IFERROR(AH10012*0.1, "N/A")</f>
        <v>5.7669580000000007</v>
      </c>
      <c r="AH10012">
        <v>57.669580000000003</v>
      </c>
      <c r="AI10012">
        <v>11.84732</v>
      </c>
      <c r="AJ10012">
        <v>33.239510000000003</v>
      </c>
      <c r="AK10012">
        <v>44.101399999999998</v>
      </c>
    </row>
    <row r="10013" spans="1:37" x14ac:dyDescent="0.3">
      <c r="A10013">
        <v>10012</v>
      </c>
      <c r="B10013">
        <v>0</v>
      </c>
      <c r="C10013">
        <v>12.6333</v>
      </c>
      <c r="D10013">
        <v>6.4666699999999997</v>
      </c>
      <c r="E10013" t="s">
        <v>15139</v>
      </c>
      <c r="F10013" t="s">
        <v>15142</v>
      </c>
      <c r="G10013" t="s">
        <v>2420</v>
      </c>
      <c r="H10013">
        <v>1990</v>
      </c>
      <c r="I10013">
        <v>23.38007</v>
      </c>
      <c r="J10013">
        <v>11.5</v>
      </c>
      <c r="K10013">
        <v>71.732519999999994</v>
      </c>
      <c r="L10013">
        <v>7.7266959999999996</v>
      </c>
      <c r="M10013">
        <v>31.780069999999998</v>
      </c>
      <c r="N10013">
        <v>15.85332</v>
      </c>
      <c r="O10013">
        <v>15.92675</v>
      </c>
      <c r="P10013">
        <v>22.38007</v>
      </c>
      <c r="Q10013">
        <v>23.556989999999999</v>
      </c>
      <c r="R10013">
        <v>24.38007</v>
      </c>
      <c r="S10013">
        <v>22.38007</v>
      </c>
      <c r="T10013">
        <v>1668.3320000000001</v>
      </c>
      <c r="U10013">
        <v>283.19929999999999</v>
      </c>
      <c r="V10013">
        <v>1</v>
      </c>
      <c r="W10013">
        <v>76.53322</v>
      </c>
      <c r="X10013">
        <v>812.13289999999995</v>
      </c>
      <c r="Y10013">
        <v>15</v>
      </c>
      <c r="Z10013">
        <v>202</v>
      </c>
      <c r="AA10013">
        <v>812.13289999999995</v>
      </c>
      <c r="AB10013">
        <v>13.05316</v>
      </c>
      <c r="AC10013">
        <v>1.8726630000000001E-2</v>
      </c>
      <c r="AD10013">
        <v>4.1937030000000002</v>
      </c>
      <c r="AE10013">
        <v>0.59154059999999997</v>
      </c>
      <c r="AF10013">
        <v>854.75170000000003</v>
      </c>
      <c r="AG10013">
        <f>IFERROR(AH10013*0.1, "N/A")</f>
        <v>5.7669580000000007</v>
      </c>
      <c r="AH10013">
        <v>57.669580000000003</v>
      </c>
      <c r="AI10013">
        <v>11.84732</v>
      </c>
      <c r="AJ10013">
        <v>33.239510000000003</v>
      </c>
      <c r="AK10013">
        <v>44.101399999999998</v>
      </c>
    </row>
    <row r="10014" spans="1:37" x14ac:dyDescent="0.3">
      <c r="A10014">
        <v>10013</v>
      </c>
      <c r="B10014">
        <v>0</v>
      </c>
      <c r="C10014">
        <v>10.761100000000001</v>
      </c>
      <c r="D10014">
        <v>6.4986100000000002</v>
      </c>
      <c r="E10014" t="s">
        <v>15143</v>
      </c>
      <c r="F10014" t="s">
        <v>15144</v>
      </c>
      <c r="G10014" t="s">
        <v>39</v>
      </c>
      <c r="H10014">
        <v>1990</v>
      </c>
      <c r="I10014">
        <v>18.7</v>
      </c>
      <c r="J10014">
        <v>11.1</v>
      </c>
      <c r="K10014">
        <v>74</v>
      </c>
      <c r="L10014">
        <v>9.5</v>
      </c>
      <c r="M10014">
        <v>27.1</v>
      </c>
      <c r="N10014">
        <v>12.2</v>
      </c>
      <c r="O10014">
        <v>14.9</v>
      </c>
      <c r="P10014">
        <v>17.399999999999999</v>
      </c>
      <c r="Q10014">
        <v>19.3</v>
      </c>
      <c r="R10014">
        <v>19.899999999999999</v>
      </c>
      <c r="S10014">
        <v>17.399999999999999</v>
      </c>
      <c r="T10014">
        <v>1848</v>
      </c>
      <c r="U10014">
        <v>335</v>
      </c>
      <c r="V10014">
        <v>8</v>
      </c>
      <c r="W10014">
        <v>72</v>
      </c>
      <c r="X10014">
        <v>915</v>
      </c>
      <c r="Y10014">
        <v>48</v>
      </c>
      <c r="Z10014">
        <v>277</v>
      </c>
      <c r="AA10014">
        <v>915</v>
      </c>
      <c r="AB10014">
        <v>76.244039999999998</v>
      </c>
      <c r="AC10014">
        <v>1.0602790000000001E-2</v>
      </c>
      <c r="AD10014">
        <v>8.6988769999999995</v>
      </c>
      <c r="AE10014">
        <v>0.2686616</v>
      </c>
      <c r="AF10014">
        <v>1839.5309999999999</v>
      </c>
      <c r="AG10014">
        <f>IFERROR(AH10014*0.1, "N/A")</f>
        <v>5.4</v>
      </c>
      <c r="AH10014">
        <v>54</v>
      </c>
      <c r="AI10014">
        <v>337.64890000000003</v>
      </c>
      <c r="AJ10014">
        <v>35.953119999999998</v>
      </c>
      <c r="AK10014">
        <v>30.046869999999998</v>
      </c>
    </row>
    <row r="10015" spans="1:37" x14ac:dyDescent="0.3">
      <c r="A10015">
        <v>10014</v>
      </c>
      <c r="B10015">
        <v>0</v>
      </c>
      <c r="C10015">
        <v>10.761100000000001</v>
      </c>
      <c r="D10015">
        <v>6.4986100000000002</v>
      </c>
      <c r="E10015" t="s">
        <v>15143</v>
      </c>
      <c r="F10015" t="s">
        <v>15145</v>
      </c>
      <c r="G10015" t="s">
        <v>37</v>
      </c>
      <c r="H10015">
        <v>1990</v>
      </c>
      <c r="I10015">
        <v>18.7</v>
      </c>
      <c r="J10015">
        <v>11.1</v>
      </c>
      <c r="K10015">
        <v>74</v>
      </c>
      <c r="L10015">
        <v>9.5</v>
      </c>
      <c r="M10015">
        <v>27.1</v>
      </c>
      <c r="N10015">
        <v>12.2</v>
      </c>
      <c r="O10015">
        <v>14.9</v>
      </c>
      <c r="P10015">
        <v>17.399999999999999</v>
      </c>
      <c r="Q10015">
        <v>19.3</v>
      </c>
      <c r="R10015">
        <v>19.899999999999999</v>
      </c>
      <c r="S10015">
        <v>17.399999999999999</v>
      </c>
      <c r="T10015">
        <v>1848</v>
      </c>
      <c r="U10015">
        <v>335</v>
      </c>
      <c r="V10015">
        <v>8</v>
      </c>
      <c r="W10015">
        <v>72</v>
      </c>
      <c r="X10015">
        <v>915</v>
      </c>
      <c r="Y10015">
        <v>48</v>
      </c>
      <c r="Z10015">
        <v>277</v>
      </c>
      <c r="AA10015">
        <v>915</v>
      </c>
      <c r="AB10015">
        <v>76.244039999999998</v>
      </c>
      <c r="AC10015">
        <v>1.0602790000000001E-2</v>
      </c>
      <c r="AD10015">
        <v>8.6988769999999995</v>
      </c>
      <c r="AE10015">
        <v>0.2686616</v>
      </c>
      <c r="AF10015">
        <v>1839.5309999999999</v>
      </c>
      <c r="AG10015">
        <f>IFERROR(AH10015*0.1, "N/A")</f>
        <v>5.4</v>
      </c>
      <c r="AH10015">
        <v>54</v>
      </c>
      <c r="AI10015">
        <v>337.64890000000003</v>
      </c>
      <c r="AJ10015">
        <v>35.953119999999998</v>
      </c>
      <c r="AK10015">
        <v>30.046869999999998</v>
      </c>
    </row>
    <row r="10016" spans="1:37" x14ac:dyDescent="0.3">
      <c r="A10016">
        <v>10015</v>
      </c>
      <c r="B10016">
        <v>0</v>
      </c>
      <c r="C10016">
        <v>10.761100000000001</v>
      </c>
      <c r="D10016">
        <v>6.4986100000000002</v>
      </c>
      <c r="E10016" t="s">
        <v>15143</v>
      </c>
      <c r="F10016" t="s">
        <v>15146</v>
      </c>
      <c r="G10016" t="s">
        <v>2420</v>
      </c>
      <c r="H10016">
        <v>1990</v>
      </c>
      <c r="I10016">
        <v>18.7</v>
      </c>
      <c r="J10016">
        <v>11.1</v>
      </c>
      <c r="K10016">
        <v>74</v>
      </c>
      <c r="L10016">
        <v>9.5</v>
      </c>
      <c r="M10016">
        <v>27.1</v>
      </c>
      <c r="N10016">
        <v>12.2</v>
      </c>
      <c r="O10016">
        <v>14.9</v>
      </c>
      <c r="P10016">
        <v>17.399999999999999</v>
      </c>
      <c r="Q10016">
        <v>19.3</v>
      </c>
      <c r="R10016">
        <v>19.899999999999999</v>
      </c>
      <c r="S10016">
        <v>17.399999999999999</v>
      </c>
      <c r="T10016">
        <v>1848</v>
      </c>
      <c r="U10016">
        <v>335</v>
      </c>
      <c r="V10016">
        <v>8</v>
      </c>
      <c r="W10016">
        <v>72</v>
      </c>
      <c r="X10016">
        <v>915</v>
      </c>
      <c r="Y10016">
        <v>48</v>
      </c>
      <c r="Z10016">
        <v>277</v>
      </c>
      <c r="AA10016">
        <v>915</v>
      </c>
      <c r="AB10016">
        <v>76.244039999999998</v>
      </c>
      <c r="AC10016">
        <v>1.0602790000000001E-2</v>
      </c>
      <c r="AD10016">
        <v>8.6988769999999995</v>
      </c>
      <c r="AE10016">
        <v>0.2686616</v>
      </c>
      <c r="AF10016">
        <v>1839.5309999999999</v>
      </c>
      <c r="AG10016">
        <f>IFERROR(AH10016*0.1, "N/A")</f>
        <v>5.4</v>
      </c>
      <c r="AH10016">
        <v>54</v>
      </c>
      <c r="AI10016">
        <v>337.64890000000003</v>
      </c>
      <c r="AJ10016">
        <v>35.953119999999998</v>
      </c>
      <c r="AK10016">
        <v>30.046869999999998</v>
      </c>
    </row>
    <row r="10017" spans="1:37" x14ac:dyDescent="0.3">
      <c r="A10017">
        <v>10016</v>
      </c>
      <c r="B10017">
        <v>0</v>
      </c>
      <c r="C10017">
        <v>11.55</v>
      </c>
      <c r="D10017">
        <v>6.5</v>
      </c>
      <c r="E10017" t="s">
        <v>15147</v>
      </c>
      <c r="F10017" t="s">
        <v>15148</v>
      </c>
      <c r="G10017" t="s">
        <v>39</v>
      </c>
      <c r="H10017">
        <v>1990</v>
      </c>
      <c r="I10017">
        <v>22.44633</v>
      </c>
      <c r="J10017">
        <v>11.2</v>
      </c>
      <c r="K10017">
        <v>71.562939999999998</v>
      </c>
      <c r="L10017">
        <v>8.9932169999999996</v>
      </c>
      <c r="M10017">
        <v>31.033740000000002</v>
      </c>
      <c r="N10017">
        <v>15.490030000000001</v>
      </c>
      <c r="O10017">
        <v>15.543710000000001</v>
      </c>
      <c r="P10017">
        <v>21.30874</v>
      </c>
      <c r="Q10017">
        <v>22.956289999999999</v>
      </c>
      <c r="R10017">
        <v>23.590039999999998</v>
      </c>
      <c r="S10017">
        <v>21.30874</v>
      </c>
      <c r="T10017">
        <v>1754.1559999999999</v>
      </c>
      <c r="U10017">
        <v>302.14339999999999</v>
      </c>
      <c r="V10017">
        <v>3</v>
      </c>
      <c r="W10017">
        <v>73.043710000000004</v>
      </c>
      <c r="X10017">
        <v>841.58040000000005</v>
      </c>
      <c r="Y10017">
        <v>26.956289999999999</v>
      </c>
      <c r="Z10017">
        <v>228.31290000000001</v>
      </c>
      <c r="AA10017">
        <v>841.58040000000005</v>
      </c>
      <c r="AB10017">
        <v>2.6138319999999999</v>
      </c>
      <c r="AC10017">
        <v>98.195909999999998</v>
      </c>
      <c r="AD10017">
        <v>3.7552819999999998</v>
      </c>
      <c r="AE10017">
        <v>0.58478909999999995</v>
      </c>
      <c r="AF10017">
        <v>1108.7940000000001</v>
      </c>
      <c r="AG10017">
        <f>IFERROR(AH10017*0.1, "N/A")</f>
        <v>5.5561190000000007</v>
      </c>
      <c r="AH10017">
        <v>55.561190000000003</v>
      </c>
      <c r="AI10017">
        <v>182.63329999999999</v>
      </c>
      <c r="AJ10017">
        <v>32.187060000000002</v>
      </c>
      <c r="AK10017">
        <v>40.812939999999998</v>
      </c>
    </row>
    <row r="10018" spans="1:37" x14ac:dyDescent="0.3">
      <c r="A10018">
        <v>10017</v>
      </c>
      <c r="B10018">
        <v>4.9000000000000004</v>
      </c>
      <c r="C10018">
        <v>11.55</v>
      </c>
      <c r="D10018">
        <v>6.5</v>
      </c>
      <c r="E10018" t="s">
        <v>15147</v>
      </c>
      <c r="F10018" t="s">
        <v>15149</v>
      </c>
      <c r="G10018" t="s">
        <v>37</v>
      </c>
      <c r="H10018">
        <v>1990</v>
      </c>
      <c r="I10018">
        <v>22.44633</v>
      </c>
      <c r="J10018">
        <v>11.2</v>
      </c>
      <c r="K10018">
        <v>71.562939999999998</v>
      </c>
      <c r="L10018">
        <v>8.9932169999999996</v>
      </c>
      <c r="M10018">
        <v>31.033740000000002</v>
      </c>
      <c r="N10018">
        <v>15.490030000000001</v>
      </c>
      <c r="O10018">
        <v>15.543710000000001</v>
      </c>
      <c r="P10018">
        <v>21.30874</v>
      </c>
      <c r="Q10018">
        <v>22.956289999999999</v>
      </c>
      <c r="R10018">
        <v>23.590039999999998</v>
      </c>
      <c r="S10018">
        <v>21.30874</v>
      </c>
      <c r="T10018">
        <v>1754.1559999999999</v>
      </c>
      <c r="U10018">
        <v>302.14339999999999</v>
      </c>
      <c r="V10018">
        <v>3</v>
      </c>
      <c r="W10018">
        <v>73.043710000000004</v>
      </c>
      <c r="X10018">
        <v>841.58040000000005</v>
      </c>
      <c r="Y10018">
        <v>26.956289999999999</v>
      </c>
      <c r="Z10018">
        <v>228.31290000000001</v>
      </c>
      <c r="AA10018">
        <v>841.58040000000005</v>
      </c>
      <c r="AB10018">
        <v>2.6138319999999999</v>
      </c>
      <c r="AC10018">
        <v>98.195909999999998</v>
      </c>
      <c r="AD10018">
        <v>3.7552819999999998</v>
      </c>
      <c r="AE10018">
        <v>0.58478909999999995</v>
      </c>
      <c r="AF10018">
        <v>1108.7940000000001</v>
      </c>
      <c r="AG10018">
        <f>IFERROR(AH10018*0.1, "N/A")</f>
        <v>5.5561190000000007</v>
      </c>
      <c r="AH10018">
        <v>55.561190000000003</v>
      </c>
      <c r="AI10018">
        <v>182.63329999999999</v>
      </c>
      <c r="AJ10018">
        <v>32.187060000000002</v>
      </c>
      <c r="AK10018">
        <v>40.812939999999998</v>
      </c>
    </row>
    <row r="10019" spans="1:37" x14ac:dyDescent="0.3">
      <c r="A10019">
        <v>10018</v>
      </c>
      <c r="B10019">
        <v>0</v>
      </c>
      <c r="C10019">
        <v>11.55</v>
      </c>
      <c r="D10019">
        <v>6.5</v>
      </c>
      <c r="E10019" t="s">
        <v>15147</v>
      </c>
      <c r="F10019" t="s">
        <v>15150</v>
      </c>
      <c r="G10019" t="s">
        <v>2420</v>
      </c>
      <c r="H10019">
        <v>1990</v>
      </c>
      <c r="I10019">
        <v>22.44633</v>
      </c>
      <c r="J10019">
        <v>11.2</v>
      </c>
      <c r="K10019">
        <v>71.562939999999998</v>
      </c>
      <c r="L10019">
        <v>8.9932169999999996</v>
      </c>
      <c r="M10019">
        <v>31.033740000000002</v>
      </c>
      <c r="N10019">
        <v>15.490030000000001</v>
      </c>
      <c r="O10019">
        <v>15.543710000000001</v>
      </c>
      <c r="P10019">
        <v>21.30874</v>
      </c>
      <c r="Q10019">
        <v>22.956289999999999</v>
      </c>
      <c r="R10019">
        <v>23.590039999999998</v>
      </c>
      <c r="S10019">
        <v>21.30874</v>
      </c>
      <c r="T10019">
        <v>1754.1559999999999</v>
      </c>
      <c r="U10019">
        <v>302.14339999999999</v>
      </c>
      <c r="V10019">
        <v>3</v>
      </c>
      <c r="W10019">
        <v>73.043710000000004</v>
      </c>
      <c r="X10019">
        <v>841.58040000000005</v>
      </c>
      <c r="Y10019">
        <v>26.956289999999999</v>
      </c>
      <c r="Z10019">
        <v>228.31290000000001</v>
      </c>
      <c r="AA10019">
        <v>841.58040000000005</v>
      </c>
      <c r="AB10019">
        <v>2.6138319999999999</v>
      </c>
      <c r="AC10019">
        <v>98.195909999999998</v>
      </c>
      <c r="AD10019">
        <v>3.7552819999999998</v>
      </c>
      <c r="AE10019">
        <v>0.58478909999999995</v>
      </c>
      <c r="AF10019">
        <v>1108.7940000000001</v>
      </c>
      <c r="AG10019">
        <f>IFERROR(AH10019*0.1, "N/A")</f>
        <v>5.5561190000000007</v>
      </c>
      <c r="AH10019">
        <v>55.561190000000003</v>
      </c>
      <c r="AI10019">
        <v>182.63329999999999</v>
      </c>
      <c r="AJ10019">
        <v>32.187060000000002</v>
      </c>
      <c r="AK10019">
        <v>40.812939999999998</v>
      </c>
    </row>
    <row r="10020" spans="1:37" x14ac:dyDescent="0.3">
      <c r="A10020">
        <v>10019</v>
      </c>
      <c r="B10020">
        <v>3.5</v>
      </c>
      <c r="C10020">
        <v>14.283300000000001</v>
      </c>
      <c r="D10020">
        <v>6.5166700000000004</v>
      </c>
      <c r="E10020" t="s">
        <v>15151</v>
      </c>
      <c r="F10020" t="s">
        <v>15152</v>
      </c>
      <c r="G10020" t="s">
        <v>39</v>
      </c>
      <c r="H10020">
        <v>1990</v>
      </c>
      <c r="I10020">
        <v>22.883479999999999</v>
      </c>
      <c r="J10020">
        <v>11.7</v>
      </c>
      <c r="K10020">
        <v>68.307829999999996</v>
      </c>
      <c r="L10020">
        <v>9.1664349999999999</v>
      </c>
      <c r="M10020">
        <v>31.294260000000001</v>
      </c>
      <c r="N10020">
        <v>14.3</v>
      </c>
      <c r="O10020">
        <v>16.994260000000001</v>
      </c>
      <c r="P10020">
        <v>21.883479999999999</v>
      </c>
      <c r="Q10020">
        <v>22.869219999999999</v>
      </c>
      <c r="R10020">
        <v>24.025040000000001</v>
      </c>
      <c r="S10020">
        <v>21.883479999999999</v>
      </c>
      <c r="T10020">
        <v>1577.63</v>
      </c>
      <c r="U10020">
        <v>278.60700000000003</v>
      </c>
      <c r="V10020">
        <v>2</v>
      </c>
      <c r="W10020">
        <v>78.749570000000006</v>
      </c>
      <c r="X10020">
        <v>809.10609999999997</v>
      </c>
      <c r="Y10020">
        <v>12.415649999999999</v>
      </c>
      <c r="Z10020">
        <v>187.273</v>
      </c>
      <c r="AA10020">
        <v>809.10609999999997</v>
      </c>
      <c r="AB10020">
        <v>11.865069999999999</v>
      </c>
      <c r="AC10020">
        <v>0.2141294</v>
      </c>
      <c r="AD10020">
        <v>3.6927660000000002</v>
      </c>
      <c r="AE10020">
        <v>0.55543549999999997</v>
      </c>
      <c r="AF10020">
        <v>989.04</v>
      </c>
      <c r="AG10020">
        <f>IFERROR(AH10020*0.1, "N/A")</f>
        <v>5.3584350000000001</v>
      </c>
      <c r="AH10020">
        <v>53.584350000000001</v>
      </c>
      <c r="AI10020">
        <v>176.92590000000001</v>
      </c>
      <c r="AJ10020">
        <v>27</v>
      </c>
      <c r="AK10020">
        <v>51.831299999999999</v>
      </c>
    </row>
    <row r="10021" spans="1:37" x14ac:dyDescent="0.3">
      <c r="A10021">
        <v>10020</v>
      </c>
      <c r="B10021">
        <v>40</v>
      </c>
      <c r="C10021">
        <v>14.283300000000001</v>
      </c>
      <c r="D10021">
        <v>6.5166700000000004</v>
      </c>
      <c r="E10021" t="s">
        <v>15151</v>
      </c>
      <c r="F10021" t="s">
        <v>15153</v>
      </c>
      <c r="G10021" t="s">
        <v>37</v>
      </c>
      <c r="H10021">
        <v>1990</v>
      </c>
      <c r="I10021">
        <v>22.883479999999999</v>
      </c>
      <c r="J10021">
        <v>11.7</v>
      </c>
      <c r="K10021">
        <v>68.307829999999996</v>
      </c>
      <c r="L10021">
        <v>9.1664349999999999</v>
      </c>
      <c r="M10021">
        <v>31.294260000000001</v>
      </c>
      <c r="N10021">
        <v>14.3</v>
      </c>
      <c r="O10021">
        <v>16.994260000000001</v>
      </c>
      <c r="P10021">
        <v>21.883479999999999</v>
      </c>
      <c r="Q10021">
        <v>22.869219999999999</v>
      </c>
      <c r="R10021">
        <v>24.025040000000001</v>
      </c>
      <c r="S10021">
        <v>21.883479999999999</v>
      </c>
      <c r="T10021">
        <v>1577.63</v>
      </c>
      <c r="U10021">
        <v>278.60700000000003</v>
      </c>
      <c r="V10021">
        <v>2</v>
      </c>
      <c r="W10021">
        <v>78.749570000000006</v>
      </c>
      <c r="X10021">
        <v>809.10609999999997</v>
      </c>
      <c r="Y10021">
        <v>12.415649999999999</v>
      </c>
      <c r="Z10021">
        <v>187.273</v>
      </c>
      <c r="AA10021">
        <v>809.10609999999997</v>
      </c>
      <c r="AB10021">
        <v>11.865069999999999</v>
      </c>
      <c r="AC10021">
        <v>0.2141294</v>
      </c>
      <c r="AD10021">
        <v>3.6927660000000002</v>
      </c>
      <c r="AE10021">
        <v>0.55543549999999997</v>
      </c>
      <c r="AF10021">
        <v>989.04</v>
      </c>
      <c r="AG10021">
        <f>IFERROR(AH10021*0.1, "N/A")</f>
        <v>5.3584350000000001</v>
      </c>
      <c r="AH10021">
        <v>53.584350000000001</v>
      </c>
      <c r="AI10021">
        <v>176.92590000000001</v>
      </c>
      <c r="AJ10021">
        <v>27</v>
      </c>
      <c r="AK10021">
        <v>51.831299999999999</v>
      </c>
    </row>
    <row r="10022" spans="1:37" x14ac:dyDescent="0.3">
      <c r="A10022">
        <v>10021</v>
      </c>
      <c r="B10022">
        <v>0</v>
      </c>
      <c r="C10022">
        <v>14.283300000000001</v>
      </c>
      <c r="D10022">
        <v>6.5166700000000004</v>
      </c>
      <c r="E10022" t="s">
        <v>15151</v>
      </c>
      <c r="F10022" t="s">
        <v>15154</v>
      </c>
      <c r="G10022" t="s">
        <v>2420</v>
      </c>
      <c r="H10022">
        <v>1990</v>
      </c>
      <c r="I10022">
        <v>22.883479999999999</v>
      </c>
      <c r="J10022">
        <v>11.7</v>
      </c>
      <c r="K10022">
        <v>68.307829999999996</v>
      </c>
      <c r="L10022">
        <v>9.1664349999999999</v>
      </c>
      <c r="M10022">
        <v>31.294260000000001</v>
      </c>
      <c r="N10022">
        <v>14.3</v>
      </c>
      <c r="O10022">
        <v>16.994260000000001</v>
      </c>
      <c r="P10022">
        <v>21.883479999999999</v>
      </c>
      <c r="Q10022">
        <v>22.869219999999999</v>
      </c>
      <c r="R10022">
        <v>24.025040000000001</v>
      </c>
      <c r="S10022">
        <v>21.883479999999999</v>
      </c>
      <c r="T10022">
        <v>1577.63</v>
      </c>
      <c r="U10022">
        <v>278.60700000000003</v>
      </c>
      <c r="V10022">
        <v>2</v>
      </c>
      <c r="W10022">
        <v>78.749570000000006</v>
      </c>
      <c r="X10022">
        <v>809.10609999999997</v>
      </c>
      <c r="Y10022">
        <v>12.415649999999999</v>
      </c>
      <c r="Z10022">
        <v>187.273</v>
      </c>
      <c r="AA10022">
        <v>809.10609999999997</v>
      </c>
      <c r="AB10022">
        <v>11.865069999999999</v>
      </c>
      <c r="AC10022">
        <v>0.2141294</v>
      </c>
      <c r="AD10022">
        <v>3.6927660000000002</v>
      </c>
      <c r="AE10022">
        <v>0.55543549999999997</v>
      </c>
      <c r="AF10022">
        <v>989.04</v>
      </c>
      <c r="AG10022">
        <f>IFERROR(AH10022*0.1, "N/A")</f>
        <v>5.3584350000000001</v>
      </c>
      <c r="AH10022">
        <v>53.584350000000001</v>
      </c>
      <c r="AI10022">
        <v>176.92590000000001</v>
      </c>
      <c r="AJ10022">
        <v>27</v>
      </c>
      <c r="AK10022">
        <v>51.831299999999999</v>
      </c>
    </row>
    <row r="10023" spans="1:37" x14ac:dyDescent="0.3">
      <c r="A10023">
        <v>10022</v>
      </c>
      <c r="B10023">
        <v>17.7</v>
      </c>
      <c r="C10023">
        <v>14.284800000000001</v>
      </c>
      <c r="D10023">
        <v>6.5180100000000003</v>
      </c>
      <c r="E10023" t="s">
        <v>15155</v>
      </c>
      <c r="F10023" t="s">
        <v>15156</v>
      </c>
      <c r="G10023" t="s">
        <v>37</v>
      </c>
      <c r="H10023">
        <v>1962</v>
      </c>
      <c r="I10023">
        <v>22.9</v>
      </c>
      <c r="J10023">
        <v>11.7</v>
      </c>
      <c r="K10023">
        <v>68</v>
      </c>
      <c r="L10023">
        <v>9.0500000000000007</v>
      </c>
      <c r="M10023">
        <v>31.3</v>
      </c>
      <c r="N10023">
        <v>14.3</v>
      </c>
      <c r="O10023">
        <v>17</v>
      </c>
      <c r="P10023">
        <v>21.9</v>
      </c>
      <c r="Q10023">
        <v>22.9</v>
      </c>
      <c r="R10023">
        <v>24</v>
      </c>
      <c r="S10023">
        <v>21.9</v>
      </c>
      <c r="T10023">
        <v>1578</v>
      </c>
      <c r="U10023">
        <v>279</v>
      </c>
      <c r="V10023">
        <v>2</v>
      </c>
      <c r="W10023">
        <v>79</v>
      </c>
      <c r="X10023">
        <v>810</v>
      </c>
      <c r="Y10023">
        <v>12</v>
      </c>
      <c r="Z10023">
        <v>187</v>
      </c>
      <c r="AA10023">
        <v>810</v>
      </c>
      <c r="AB10023">
        <v>22.238849999999999</v>
      </c>
      <c r="AC10023">
        <v>2.9283980000000001E-2</v>
      </c>
      <c r="AD10023">
        <v>3.605213</v>
      </c>
      <c r="AE10023">
        <v>0.55543549999999997</v>
      </c>
      <c r="AF10023">
        <v>1001.284</v>
      </c>
      <c r="AG10023">
        <f>IFERROR(AH10023*0.1, "N/A")</f>
        <v>5.362718000000001</v>
      </c>
      <c r="AH10023">
        <v>53.627180000000003</v>
      </c>
      <c r="AI10023">
        <v>205.1414</v>
      </c>
      <c r="AJ10023">
        <v>26.170729999999999</v>
      </c>
      <c r="AK10023">
        <v>52.076659999999997</v>
      </c>
    </row>
    <row r="10024" spans="1:37" x14ac:dyDescent="0.3">
      <c r="A10024">
        <v>10023</v>
      </c>
      <c r="B10024">
        <v>0</v>
      </c>
      <c r="C10024">
        <v>14.284800000000001</v>
      </c>
      <c r="D10024">
        <v>6.5180100000000003</v>
      </c>
      <c r="E10024" t="s">
        <v>15155</v>
      </c>
      <c r="F10024" t="s">
        <v>15157</v>
      </c>
      <c r="G10024" t="s">
        <v>39</v>
      </c>
      <c r="H10024">
        <v>1962</v>
      </c>
      <c r="I10024">
        <v>22.9</v>
      </c>
      <c r="J10024">
        <v>11.7</v>
      </c>
      <c r="K10024">
        <v>68</v>
      </c>
      <c r="L10024">
        <v>9.0500000000000007</v>
      </c>
      <c r="M10024">
        <v>31.3</v>
      </c>
      <c r="N10024">
        <v>14.3</v>
      </c>
      <c r="O10024">
        <v>17</v>
      </c>
      <c r="P10024">
        <v>21.9</v>
      </c>
      <c r="Q10024">
        <v>22.9</v>
      </c>
      <c r="R10024">
        <v>24</v>
      </c>
      <c r="S10024">
        <v>21.9</v>
      </c>
      <c r="T10024">
        <v>1578</v>
      </c>
      <c r="U10024">
        <v>279</v>
      </c>
      <c r="V10024">
        <v>2</v>
      </c>
      <c r="W10024">
        <v>79</v>
      </c>
      <c r="X10024">
        <v>810</v>
      </c>
      <c r="Y10024">
        <v>12</v>
      </c>
      <c r="Z10024">
        <v>187</v>
      </c>
      <c r="AA10024">
        <v>810</v>
      </c>
      <c r="AB10024">
        <v>22.238849999999999</v>
      </c>
      <c r="AC10024">
        <v>2.9283980000000001E-2</v>
      </c>
      <c r="AD10024">
        <v>3.605213</v>
      </c>
      <c r="AE10024">
        <v>0.55543549999999997</v>
      </c>
      <c r="AF10024">
        <v>1001.284</v>
      </c>
      <c r="AG10024">
        <f>IFERROR(AH10024*0.1, "N/A")</f>
        <v>5.362718000000001</v>
      </c>
      <c r="AH10024">
        <v>53.627180000000003</v>
      </c>
      <c r="AI10024">
        <v>205.1414</v>
      </c>
      <c r="AJ10024">
        <v>26.170729999999999</v>
      </c>
      <c r="AK10024">
        <v>52.076659999999997</v>
      </c>
    </row>
    <row r="10025" spans="1:37" x14ac:dyDescent="0.3">
      <c r="A10025">
        <v>10024</v>
      </c>
      <c r="B10025">
        <v>16</v>
      </c>
      <c r="C10025">
        <v>14.285</v>
      </c>
      <c r="D10025">
        <v>6.52</v>
      </c>
      <c r="E10025" t="s">
        <v>15158</v>
      </c>
      <c r="F10025" t="s">
        <v>15159</v>
      </c>
      <c r="G10025" t="s">
        <v>37</v>
      </c>
      <c r="H10025">
        <v>1987</v>
      </c>
      <c r="I10025">
        <v>22.9</v>
      </c>
      <c r="J10025">
        <v>11.7</v>
      </c>
      <c r="K10025">
        <v>68</v>
      </c>
      <c r="L10025">
        <v>9.0500000000000007</v>
      </c>
      <c r="M10025">
        <v>31.3</v>
      </c>
      <c r="N10025">
        <v>14.3</v>
      </c>
      <c r="O10025">
        <v>17</v>
      </c>
      <c r="P10025">
        <v>21.9</v>
      </c>
      <c r="Q10025">
        <v>22.9</v>
      </c>
      <c r="R10025">
        <v>24</v>
      </c>
      <c r="S10025">
        <v>21.9</v>
      </c>
      <c r="T10025">
        <v>1578</v>
      </c>
      <c r="U10025">
        <v>279</v>
      </c>
      <c r="V10025">
        <v>2</v>
      </c>
      <c r="W10025">
        <v>79</v>
      </c>
      <c r="X10025">
        <v>810</v>
      </c>
      <c r="Y10025">
        <v>12</v>
      </c>
      <c r="Z10025">
        <v>187</v>
      </c>
      <c r="AA10025">
        <v>810</v>
      </c>
      <c r="AB10025">
        <v>42.222369999999998</v>
      </c>
      <c r="AC10025">
        <v>1.9110729999999999E-2</v>
      </c>
      <c r="AD10025">
        <v>5.8117729999999996</v>
      </c>
      <c r="AE10025">
        <v>0.55543549999999997</v>
      </c>
      <c r="AF10025">
        <v>1016.944</v>
      </c>
      <c r="AG10025">
        <f>IFERROR(AH10025*0.1, "N/A")</f>
        <v>5.3805940000000003</v>
      </c>
      <c r="AH10025">
        <v>53.80594</v>
      </c>
      <c r="AI10025">
        <v>159.26759999999999</v>
      </c>
      <c r="AJ10025">
        <v>27.973780000000001</v>
      </c>
      <c r="AK10025">
        <v>51.068179999999998</v>
      </c>
    </row>
    <row r="10026" spans="1:37" x14ac:dyDescent="0.3">
      <c r="A10026">
        <v>10025</v>
      </c>
      <c r="B10026">
        <v>0</v>
      </c>
      <c r="C10026">
        <v>10.488899999999999</v>
      </c>
      <c r="D10026">
        <v>6.5347200000000001</v>
      </c>
      <c r="E10026" t="s">
        <v>15160</v>
      </c>
      <c r="F10026" t="s">
        <v>15161</v>
      </c>
      <c r="G10026" t="s">
        <v>39</v>
      </c>
      <c r="H10026">
        <v>1990</v>
      </c>
      <c r="I10026">
        <v>23.5</v>
      </c>
      <c r="J10026">
        <v>10.9</v>
      </c>
      <c r="K10026">
        <v>71</v>
      </c>
      <c r="L10026">
        <v>9.49</v>
      </c>
      <c r="M10026">
        <v>31.9</v>
      </c>
      <c r="N10026">
        <v>16.600000000000001</v>
      </c>
      <c r="O10026">
        <v>15.3</v>
      </c>
      <c r="P10026">
        <v>22.3</v>
      </c>
      <c r="Q10026">
        <v>23.9</v>
      </c>
      <c r="R10026">
        <v>24.8</v>
      </c>
      <c r="S10026">
        <v>22.3</v>
      </c>
      <c r="T10026">
        <v>1884</v>
      </c>
      <c r="U10026">
        <v>338</v>
      </c>
      <c r="V10026">
        <v>5</v>
      </c>
      <c r="W10026">
        <v>74</v>
      </c>
      <c r="X10026">
        <v>927</v>
      </c>
      <c r="Y10026">
        <v>32</v>
      </c>
      <c r="Z10026">
        <v>255</v>
      </c>
      <c r="AA10026">
        <v>927</v>
      </c>
      <c r="AB10026">
        <v>59.426870000000001</v>
      </c>
      <c r="AC10026">
        <v>1.0390730000000001E-2</v>
      </c>
      <c r="AD10026">
        <v>14.25911</v>
      </c>
      <c r="AE10026">
        <v>0.41022009999999998</v>
      </c>
      <c r="AF10026">
        <v>938.74</v>
      </c>
      <c r="AG10026">
        <f>IFERROR(AH10026*0.1, "N/A")</f>
        <v>5.0181500000000003</v>
      </c>
      <c r="AH10026">
        <v>50.1815</v>
      </c>
      <c r="AI10026">
        <v>273.97000000000003</v>
      </c>
      <c r="AJ10026">
        <v>31.8185</v>
      </c>
      <c r="AK10026">
        <v>43.989530000000002</v>
      </c>
    </row>
    <row r="10027" spans="1:37" x14ac:dyDescent="0.3">
      <c r="A10027">
        <v>10026</v>
      </c>
      <c r="B10027">
        <v>1.9</v>
      </c>
      <c r="C10027">
        <v>10.488899999999999</v>
      </c>
      <c r="D10027">
        <v>6.5347200000000001</v>
      </c>
      <c r="E10027" t="s">
        <v>15160</v>
      </c>
      <c r="F10027" t="s">
        <v>15162</v>
      </c>
      <c r="G10027" t="s">
        <v>37</v>
      </c>
      <c r="H10027">
        <v>1990</v>
      </c>
      <c r="I10027">
        <v>23.5</v>
      </c>
      <c r="J10027">
        <v>10.9</v>
      </c>
      <c r="K10027">
        <v>71</v>
      </c>
      <c r="L10027">
        <v>9.49</v>
      </c>
      <c r="M10027">
        <v>31.9</v>
      </c>
      <c r="N10027">
        <v>16.600000000000001</v>
      </c>
      <c r="O10027">
        <v>15.3</v>
      </c>
      <c r="P10027">
        <v>22.3</v>
      </c>
      <c r="Q10027">
        <v>23.9</v>
      </c>
      <c r="R10027">
        <v>24.8</v>
      </c>
      <c r="S10027">
        <v>22.3</v>
      </c>
      <c r="T10027">
        <v>1884</v>
      </c>
      <c r="U10027">
        <v>338</v>
      </c>
      <c r="V10027">
        <v>5</v>
      </c>
      <c r="W10027">
        <v>74</v>
      </c>
      <c r="X10027">
        <v>927</v>
      </c>
      <c r="Y10027">
        <v>32</v>
      </c>
      <c r="Z10027">
        <v>255</v>
      </c>
      <c r="AA10027">
        <v>927</v>
      </c>
      <c r="AB10027">
        <v>59.426870000000001</v>
      </c>
      <c r="AC10027">
        <v>1.0390730000000001E-2</v>
      </c>
      <c r="AD10027">
        <v>14.25911</v>
      </c>
      <c r="AE10027">
        <v>0.41022009999999998</v>
      </c>
      <c r="AF10027">
        <v>938.74</v>
      </c>
      <c r="AG10027">
        <f>IFERROR(AH10027*0.1, "N/A")</f>
        <v>5.0181500000000003</v>
      </c>
      <c r="AH10027">
        <v>50.1815</v>
      </c>
      <c r="AI10027">
        <v>273.97000000000003</v>
      </c>
      <c r="AJ10027">
        <v>31.8185</v>
      </c>
      <c r="AK10027">
        <v>43.989530000000002</v>
      </c>
    </row>
    <row r="10028" spans="1:37" x14ac:dyDescent="0.3">
      <c r="A10028">
        <v>10027</v>
      </c>
      <c r="B10028">
        <v>0</v>
      </c>
      <c r="C10028">
        <v>10.488899999999999</v>
      </c>
      <c r="D10028">
        <v>6.5347200000000001</v>
      </c>
      <c r="E10028" t="s">
        <v>15160</v>
      </c>
      <c r="F10028" t="s">
        <v>15163</v>
      </c>
      <c r="G10028" t="s">
        <v>2420</v>
      </c>
      <c r="H10028">
        <v>1990</v>
      </c>
      <c r="I10028">
        <v>23.5</v>
      </c>
      <c r="J10028">
        <v>10.9</v>
      </c>
      <c r="K10028">
        <v>71</v>
      </c>
      <c r="L10028">
        <v>9.49</v>
      </c>
      <c r="M10028">
        <v>31.9</v>
      </c>
      <c r="N10028">
        <v>16.600000000000001</v>
      </c>
      <c r="O10028">
        <v>15.3</v>
      </c>
      <c r="P10028">
        <v>22.3</v>
      </c>
      <c r="Q10028">
        <v>23.9</v>
      </c>
      <c r="R10028">
        <v>24.8</v>
      </c>
      <c r="S10028">
        <v>22.3</v>
      </c>
      <c r="T10028">
        <v>1884</v>
      </c>
      <c r="U10028">
        <v>338</v>
      </c>
      <c r="V10028">
        <v>5</v>
      </c>
      <c r="W10028">
        <v>74</v>
      </c>
      <c r="X10028">
        <v>927</v>
      </c>
      <c r="Y10028">
        <v>32</v>
      </c>
      <c r="Z10028">
        <v>255</v>
      </c>
      <c r="AA10028">
        <v>927</v>
      </c>
      <c r="AB10028">
        <v>59.426870000000001</v>
      </c>
      <c r="AC10028">
        <v>1.0390730000000001E-2</v>
      </c>
      <c r="AD10028">
        <v>14.25911</v>
      </c>
      <c r="AE10028">
        <v>0.41022009999999998</v>
      </c>
      <c r="AF10028">
        <v>938.74</v>
      </c>
      <c r="AG10028">
        <f>IFERROR(AH10028*0.1, "N/A")</f>
        <v>5.0181500000000003</v>
      </c>
      <c r="AH10028">
        <v>50.1815</v>
      </c>
      <c r="AI10028">
        <v>273.97000000000003</v>
      </c>
      <c r="AJ10028">
        <v>31.8185</v>
      </c>
      <c r="AK10028">
        <v>43.989530000000002</v>
      </c>
    </row>
    <row r="10029" spans="1:37" x14ac:dyDescent="0.3">
      <c r="A10029">
        <v>10028</v>
      </c>
      <c r="B10029">
        <v>0</v>
      </c>
      <c r="C10029">
        <v>12.25</v>
      </c>
      <c r="D10029">
        <v>6.5833300000000001</v>
      </c>
      <c r="E10029" t="s">
        <v>15164</v>
      </c>
      <c r="F10029" t="s">
        <v>15165</v>
      </c>
      <c r="G10029" t="s">
        <v>39</v>
      </c>
      <c r="H10029">
        <v>1990</v>
      </c>
      <c r="I10029">
        <v>23.361260000000001</v>
      </c>
      <c r="J10029">
        <v>11.5</v>
      </c>
      <c r="K10029">
        <v>70</v>
      </c>
      <c r="L10029">
        <v>8.2456720000000008</v>
      </c>
      <c r="M10029">
        <v>31.961259999999999</v>
      </c>
      <c r="N10029">
        <v>15.74241</v>
      </c>
      <c r="O10029">
        <v>16.21885</v>
      </c>
      <c r="P10029">
        <v>22.280629999999999</v>
      </c>
      <c r="Q10029">
        <v>23.557770000000001</v>
      </c>
      <c r="R10029">
        <v>24.461259999999999</v>
      </c>
      <c r="S10029">
        <v>22.280629999999999</v>
      </c>
      <c r="T10029">
        <v>1686.77</v>
      </c>
      <c r="U10029">
        <v>287</v>
      </c>
      <c r="V10029">
        <v>2</v>
      </c>
      <c r="W10029">
        <v>76</v>
      </c>
      <c r="X10029">
        <v>817.57590000000005</v>
      </c>
      <c r="Y10029">
        <v>17</v>
      </c>
      <c r="Z10029">
        <v>214.19370000000001</v>
      </c>
      <c r="AA10029">
        <v>817.57590000000005</v>
      </c>
      <c r="AB10029">
        <v>11.66371</v>
      </c>
      <c r="AC10029">
        <v>1.056761E-2</v>
      </c>
      <c r="AD10029">
        <v>2.7408579999999998</v>
      </c>
      <c r="AE10029">
        <v>0.2101749</v>
      </c>
      <c r="AF10029">
        <v>909.26880000000006</v>
      </c>
      <c r="AG10029">
        <f>IFERROR(AH10029*0.1, "N/A")</f>
        <v>5.5</v>
      </c>
      <c r="AH10029">
        <v>55</v>
      </c>
      <c r="AI10029">
        <v>231.55869999999999</v>
      </c>
      <c r="AJ10029">
        <v>36.109949999999998</v>
      </c>
      <c r="AK10029">
        <v>38.439790000000002</v>
      </c>
    </row>
    <row r="10030" spans="1:37" x14ac:dyDescent="0.3">
      <c r="A10030">
        <v>10029</v>
      </c>
      <c r="B10030">
        <v>0</v>
      </c>
      <c r="C10030">
        <v>12.25</v>
      </c>
      <c r="D10030">
        <v>6.5833300000000001</v>
      </c>
      <c r="E10030" t="s">
        <v>15164</v>
      </c>
      <c r="F10030" t="s">
        <v>15166</v>
      </c>
      <c r="G10030" t="s">
        <v>37</v>
      </c>
      <c r="H10030">
        <v>1990</v>
      </c>
      <c r="I10030">
        <v>23.361260000000001</v>
      </c>
      <c r="J10030">
        <v>11.5</v>
      </c>
      <c r="K10030">
        <v>70</v>
      </c>
      <c r="L10030">
        <v>8.2456720000000008</v>
      </c>
      <c r="M10030">
        <v>31.961259999999999</v>
      </c>
      <c r="N10030">
        <v>15.74241</v>
      </c>
      <c r="O10030">
        <v>16.21885</v>
      </c>
      <c r="P10030">
        <v>22.280629999999999</v>
      </c>
      <c r="Q10030">
        <v>23.557770000000001</v>
      </c>
      <c r="R10030">
        <v>24.461259999999999</v>
      </c>
      <c r="S10030">
        <v>22.280629999999999</v>
      </c>
      <c r="T10030">
        <v>1686.77</v>
      </c>
      <c r="U10030">
        <v>287</v>
      </c>
      <c r="V10030">
        <v>2</v>
      </c>
      <c r="W10030">
        <v>76</v>
      </c>
      <c r="X10030">
        <v>817.57590000000005</v>
      </c>
      <c r="Y10030">
        <v>17</v>
      </c>
      <c r="Z10030">
        <v>214.19370000000001</v>
      </c>
      <c r="AA10030">
        <v>817.57590000000005</v>
      </c>
      <c r="AB10030">
        <v>11.66371</v>
      </c>
      <c r="AC10030">
        <v>1.056761E-2</v>
      </c>
      <c r="AD10030">
        <v>2.7408579999999998</v>
      </c>
      <c r="AE10030">
        <v>0.2101749</v>
      </c>
      <c r="AF10030">
        <v>909.26880000000006</v>
      </c>
      <c r="AG10030">
        <f>IFERROR(AH10030*0.1, "N/A")</f>
        <v>5.5</v>
      </c>
      <c r="AH10030">
        <v>55</v>
      </c>
      <c r="AI10030">
        <v>231.55869999999999</v>
      </c>
      <c r="AJ10030">
        <v>36.109949999999998</v>
      </c>
      <c r="AK10030">
        <v>38.439790000000002</v>
      </c>
    </row>
    <row r="10031" spans="1:37" x14ac:dyDescent="0.3">
      <c r="A10031">
        <v>10030</v>
      </c>
      <c r="B10031">
        <v>0</v>
      </c>
      <c r="C10031">
        <v>12.25</v>
      </c>
      <c r="D10031">
        <v>6.5833300000000001</v>
      </c>
      <c r="E10031" t="s">
        <v>15164</v>
      </c>
      <c r="F10031" t="s">
        <v>15167</v>
      </c>
      <c r="G10031" t="s">
        <v>2420</v>
      </c>
      <c r="H10031">
        <v>1990</v>
      </c>
      <c r="I10031">
        <v>23.361260000000001</v>
      </c>
      <c r="J10031">
        <v>11.5</v>
      </c>
      <c r="K10031">
        <v>70</v>
      </c>
      <c r="L10031">
        <v>8.2456720000000008</v>
      </c>
      <c r="M10031">
        <v>31.961259999999999</v>
      </c>
      <c r="N10031">
        <v>15.74241</v>
      </c>
      <c r="O10031">
        <v>16.21885</v>
      </c>
      <c r="P10031">
        <v>22.280629999999999</v>
      </c>
      <c r="Q10031">
        <v>23.557770000000001</v>
      </c>
      <c r="R10031">
        <v>24.461259999999999</v>
      </c>
      <c r="S10031">
        <v>22.280629999999999</v>
      </c>
      <c r="T10031">
        <v>1686.77</v>
      </c>
      <c r="U10031">
        <v>287</v>
      </c>
      <c r="V10031">
        <v>2</v>
      </c>
      <c r="W10031">
        <v>76</v>
      </c>
      <c r="X10031">
        <v>817.57590000000005</v>
      </c>
      <c r="Y10031">
        <v>17</v>
      </c>
      <c r="Z10031">
        <v>214.19370000000001</v>
      </c>
      <c r="AA10031">
        <v>817.57590000000005</v>
      </c>
      <c r="AB10031">
        <v>11.66371</v>
      </c>
      <c r="AC10031">
        <v>1.056761E-2</v>
      </c>
      <c r="AD10031">
        <v>2.7408579999999998</v>
      </c>
      <c r="AE10031">
        <v>0.2101749</v>
      </c>
      <c r="AF10031">
        <v>909.26880000000006</v>
      </c>
      <c r="AG10031">
        <f>IFERROR(AH10031*0.1, "N/A")</f>
        <v>5.5</v>
      </c>
      <c r="AH10031">
        <v>55</v>
      </c>
      <c r="AI10031">
        <v>231.55869999999999</v>
      </c>
      <c r="AJ10031">
        <v>36.109949999999998</v>
      </c>
      <c r="AK10031">
        <v>38.439790000000002</v>
      </c>
    </row>
    <row r="10032" spans="1:37" x14ac:dyDescent="0.3">
      <c r="A10032">
        <v>10031</v>
      </c>
      <c r="B10032">
        <v>0</v>
      </c>
      <c r="C10032">
        <v>10.3986</v>
      </c>
      <c r="D10032">
        <v>6.5972200000000001</v>
      </c>
      <c r="E10032" t="s">
        <v>15168</v>
      </c>
      <c r="F10032" t="s">
        <v>15169</v>
      </c>
      <c r="G10032" t="s">
        <v>39</v>
      </c>
      <c r="H10032">
        <v>1990</v>
      </c>
      <c r="I10032">
        <v>23.5</v>
      </c>
      <c r="J10032">
        <v>10.8</v>
      </c>
      <c r="K10032">
        <v>70</v>
      </c>
      <c r="L10032">
        <v>9.6300000000000008</v>
      </c>
      <c r="M10032">
        <v>31.9</v>
      </c>
      <c r="N10032">
        <v>16.600000000000001</v>
      </c>
      <c r="O10032">
        <v>15.3</v>
      </c>
      <c r="P10032">
        <v>22.3</v>
      </c>
      <c r="Q10032">
        <v>23.9</v>
      </c>
      <c r="R10032">
        <v>24.9</v>
      </c>
      <c r="S10032">
        <v>22.3</v>
      </c>
      <c r="T10032">
        <v>1880</v>
      </c>
      <c r="U10032">
        <v>339</v>
      </c>
      <c r="V10032">
        <v>5</v>
      </c>
      <c r="W10032">
        <v>75</v>
      </c>
      <c r="X10032">
        <v>924</v>
      </c>
      <c r="Y10032">
        <v>32</v>
      </c>
      <c r="Z10032">
        <v>252</v>
      </c>
      <c r="AA10032">
        <v>924</v>
      </c>
      <c r="AB10032">
        <v>19.367419999999999</v>
      </c>
      <c r="AC10032">
        <v>9.7943549999999994E-3</v>
      </c>
      <c r="AD10032">
        <v>6.1633889999999996</v>
      </c>
      <c r="AE10032">
        <v>0.22203210000000001</v>
      </c>
      <c r="AF10032">
        <v>891.78219999999999</v>
      </c>
      <c r="AG10032">
        <f>IFERROR(AH10032*0.1, "N/A")</f>
        <v>5.3998260000000009</v>
      </c>
      <c r="AH10032">
        <v>53.998260000000002</v>
      </c>
      <c r="AI10032">
        <v>120.8395</v>
      </c>
      <c r="AJ10032">
        <v>29.94425</v>
      </c>
      <c r="AK10032">
        <v>46.602789999999999</v>
      </c>
    </row>
    <row r="10033" spans="1:37" x14ac:dyDescent="0.3">
      <c r="A10033">
        <v>10032</v>
      </c>
      <c r="B10033">
        <v>0</v>
      </c>
      <c r="C10033">
        <v>10.3986</v>
      </c>
      <c r="D10033">
        <v>6.5972200000000001</v>
      </c>
      <c r="E10033" t="s">
        <v>15168</v>
      </c>
      <c r="F10033" t="s">
        <v>15170</v>
      </c>
      <c r="G10033" t="s">
        <v>37</v>
      </c>
      <c r="H10033">
        <v>1990</v>
      </c>
      <c r="I10033">
        <v>23.5</v>
      </c>
      <c r="J10033">
        <v>10.8</v>
      </c>
      <c r="K10033">
        <v>70</v>
      </c>
      <c r="L10033">
        <v>9.6300000000000008</v>
      </c>
      <c r="M10033">
        <v>31.9</v>
      </c>
      <c r="N10033">
        <v>16.600000000000001</v>
      </c>
      <c r="O10033">
        <v>15.3</v>
      </c>
      <c r="P10033">
        <v>22.3</v>
      </c>
      <c r="Q10033">
        <v>23.9</v>
      </c>
      <c r="R10033">
        <v>24.9</v>
      </c>
      <c r="S10033">
        <v>22.3</v>
      </c>
      <c r="T10033">
        <v>1880</v>
      </c>
      <c r="U10033">
        <v>339</v>
      </c>
      <c r="V10033">
        <v>5</v>
      </c>
      <c r="W10033">
        <v>75</v>
      </c>
      <c r="X10033">
        <v>924</v>
      </c>
      <c r="Y10033">
        <v>32</v>
      </c>
      <c r="Z10033">
        <v>252</v>
      </c>
      <c r="AA10033">
        <v>924</v>
      </c>
      <c r="AB10033">
        <v>19.367419999999999</v>
      </c>
      <c r="AC10033">
        <v>9.7943549999999994E-3</v>
      </c>
      <c r="AD10033">
        <v>6.1633889999999996</v>
      </c>
      <c r="AE10033">
        <v>0.22203210000000001</v>
      </c>
      <c r="AF10033">
        <v>891.78219999999999</v>
      </c>
      <c r="AG10033">
        <f>IFERROR(AH10033*0.1, "N/A")</f>
        <v>5.3998260000000009</v>
      </c>
      <c r="AH10033">
        <v>53.998260000000002</v>
      </c>
      <c r="AI10033">
        <v>120.8395</v>
      </c>
      <c r="AJ10033">
        <v>29.94425</v>
      </c>
      <c r="AK10033">
        <v>46.602789999999999</v>
      </c>
    </row>
    <row r="10034" spans="1:37" x14ac:dyDescent="0.3">
      <c r="A10034">
        <v>10033</v>
      </c>
      <c r="B10034">
        <v>0</v>
      </c>
      <c r="C10034">
        <v>10.3986</v>
      </c>
      <c r="D10034">
        <v>6.5972200000000001</v>
      </c>
      <c r="E10034" t="s">
        <v>15168</v>
      </c>
      <c r="F10034" t="s">
        <v>15171</v>
      </c>
      <c r="G10034" t="s">
        <v>2420</v>
      </c>
      <c r="H10034">
        <v>1990</v>
      </c>
      <c r="I10034">
        <v>23.5</v>
      </c>
      <c r="J10034">
        <v>10.8</v>
      </c>
      <c r="K10034">
        <v>70</v>
      </c>
      <c r="L10034">
        <v>9.6300000000000008</v>
      </c>
      <c r="M10034">
        <v>31.9</v>
      </c>
      <c r="N10034">
        <v>16.600000000000001</v>
      </c>
      <c r="O10034">
        <v>15.3</v>
      </c>
      <c r="P10034">
        <v>22.3</v>
      </c>
      <c r="Q10034">
        <v>23.9</v>
      </c>
      <c r="R10034">
        <v>24.9</v>
      </c>
      <c r="S10034">
        <v>22.3</v>
      </c>
      <c r="T10034">
        <v>1880</v>
      </c>
      <c r="U10034">
        <v>339</v>
      </c>
      <c r="V10034">
        <v>5</v>
      </c>
      <c r="W10034">
        <v>75</v>
      </c>
      <c r="X10034">
        <v>924</v>
      </c>
      <c r="Y10034">
        <v>32</v>
      </c>
      <c r="Z10034">
        <v>252</v>
      </c>
      <c r="AA10034">
        <v>924</v>
      </c>
      <c r="AB10034">
        <v>19.367419999999999</v>
      </c>
      <c r="AC10034">
        <v>9.7943549999999994E-3</v>
      </c>
      <c r="AD10034">
        <v>6.1633889999999996</v>
      </c>
      <c r="AE10034">
        <v>0.22203210000000001</v>
      </c>
      <c r="AF10034">
        <v>891.78219999999999</v>
      </c>
      <c r="AG10034">
        <f>IFERROR(AH10034*0.1, "N/A")</f>
        <v>5.3998260000000009</v>
      </c>
      <c r="AH10034">
        <v>53.998260000000002</v>
      </c>
      <c r="AI10034">
        <v>120.8395</v>
      </c>
      <c r="AJ10034">
        <v>29.94425</v>
      </c>
      <c r="AK10034">
        <v>46.602789999999999</v>
      </c>
    </row>
    <row r="10035" spans="1:37" x14ac:dyDescent="0.3">
      <c r="A10035">
        <v>10034</v>
      </c>
      <c r="B10035">
        <v>0</v>
      </c>
      <c r="C10035">
        <v>13.011100000000001</v>
      </c>
      <c r="D10035">
        <v>6.6063999999999998</v>
      </c>
      <c r="E10035" t="s">
        <v>15172</v>
      </c>
      <c r="F10035" t="s">
        <v>15173</v>
      </c>
      <c r="G10035" t="s">
        <v>37</v>
      </c>
      <c r="H10035">
        <v>1962</v>
      </c>
      <c r="I10035">
        <v>23.1</v>
      </c>
      <c r="J10035">
        <v>12</v>
      </c>
      <c r="K10035">
        <v>71</v>
      </c>
      <c r="L10035">
        <v>7.57</v>
      </c>
      <c r="M10035">
        <v>31.6</v>
      </c>
      <c r="N10035">
        <v>14.8</v>
      </c>
      <c r="O10035">
        <v>16.8</v>
      </c>
      <c r="P10035">
        <v>22.2</v>
      </c>
      <c r="Q10035">
        <v>23</v>
      </c>
      <c r="R10035">
        <v>24.1</v>
      </c>
      <c r="S10035">
        <v>22.2</v>
      </c>
      <c r="T10035">
        <v>1614</v>
      </c>
      <c r="U10035">
        <v>276</v>
      </c>
      <c r="V10035">
        <v>1</v>
      </c>
      <c r="W10035">
        <v>78</v>
      </c>
      <c r="X10035">
        <v>803</v>
      </c>
      <c r="Y10035">
        <v>11</v>
      </c>
      <c r="Z10035">
        <v>195</v>
      </c>
      <c r="AA10035">
        <v>803</v>
      </c>
      <c r="AB10035">
        <v>25.073740000000001</v>
      </c>
      <c r="AC10035">
        <v>3.05425E-2</v>
      </c>
      <c r="AD10035">
        <v>2.31786</v>
      </c>
      <c r="AE10035">
        <v>0.45969330000000003</v>
      </c>
      <c r="AF10035">
        <v>900.37390000000005</v>
      </c>
      <c r="AG10035">
        <f>IFERROR(AH10035*0.1, "N/A")</f>
        <v>5.60487</v>
      </c>
      <c r="AH10035">
        <v>56.048699999999997</v>
      </c>
      <c r="AI10035">
        <v>291.56849999999997</v>
      </c>
      <c r="AJ10035">
        <v>25.0487</v>
      </c>
      <c r="AK10035">
        <v>50.907829999999997</v>
      </c>
    </row>
    <row r="10036" spans="1:37" x14ac:dyDescent="0.3">
      <c r="A10036">
        <v>10035</v>
      </c>
      <c r="B10036">
        <v>0</v>
      </c>
      <c r="C10036">
        <v>13.011100000000001</v>
      </c>
      <c r="D10036">
        <v>6.6063999999999998</v>
      </c>
      <c r="E10036" t="s">
        <v>15172</v>
      </c>
      <c r="F10036" t="s">
        <v>15174</v>
      </c>
      <c r="G10036" t="s">
        <v>39</v>
      </c>
      <c r="H10036">
        <v>1962</v>
      </c>
      <c r="I10036">
        <v>23.1</v>
      </c>
      <c r="J10036">
        <v>12</v>
      </c>
      <c r="K10036">
        <v>71</v>
      </c>
      <c r="L10036">
        <v>7.57</v>
      </c>
      <c r="M10036">
        <v>31.6</v>
      </c>
      <c r="N10036">
        <v>14.8</v>
      </c>
      <c r="O10036">
        <v>16.8</v>
      </c>
      <c r="P10036">
        <v>22.2</v>
      </c>
      <c r="Q10036">
        <v>23</v>
      </c>
      <c r="R10036">
        <v>24.1</v>
      </c>
      <c r="S10036">
        <v>22.2</v>
      </c>
      <c r="T10036">
        <v>1614</v>
      </c>
      <c r="U10036">
        <v>276</v>
      </c>
      <c r="V10036">
        <v>1</v>
      </c>
      <c r="W10036">
        <v>78</v>
      </c>
      <c r="X10036">
        <v>803</v>
      </c>
      <c r="Y10036">
        <v>11</v>
      </c>
      <c r="Z10036">
        <v>195</v>
      </c>
      <c r="AA10036">
        <v>803</v>
      </c>
      <c r="AB10036">
        <v>25.073740000000001</v>
      </c>
      <c r="AC10036">
        <v>3.05425E-2</v>
      </c>
      <c r="AD10036">
        <v>2.31786</v>
      </c>
      <c r="AE10036">
        <v>0.45969330000000003</v>
      </c>
      <c r="AF10036">
        <v>900.37390000000005</v>
      </c>
      <c r="AG10036">
        <f>IFERROR(AH10036*0.1, "N/A")</f>
        <v>5.60487</v>
      </c>
      <c r="AH10036">
        <v>56.048699999999997</v>
      </c>
      <c r="AI10036">
        <v>291.56849999999997</v>
      </c>
      <c r="AJ10036">
        <v>25.0487</v>
      </c>
      <c r="AK10036">
        <v>50.907829999999997</v>
      </c>
    </row>
    <row r="10037" spans="1:37" x14ac:dyDescent="0.3">
      <c r="A10037">
        <v>10036</v>
      </c>
      <c r="B10037">
        <v>0</v>
      </c>
      <c r="C10037">
        <v>13.012499999999999</v>
      </c>
      <c r="D10037">
        <v>6.6083299999999996</v>
      </c>
      <c r="E10037" t="s">
        <v>15175</v>
      </c>
      <c r="F10037" t="s">
        <v>15176</v>
      </c>
      <c r="G10037" t="s">
        <v>39</v>
      </c>
      <c r="H10037">
        <v>1990</v>
      </c>
      <c r="I10037">
        <v>23.17774</v>
      </c>
      <c r="J10037">
        <v>12</v>
      </c>
      <c r="K10037">
        <v>71</v>
      </c>
      <c r="L10037">
        <v>7.5855480000000002</v>
      </c>
      <c r="M10037">
        <v>31.67774</v>
      </c>
      <c r="N10037">
        <v>14.8</v>
      </c>
      <c r="O10037">
        <v>16.877739999999999</v>
      </c>
      <c r="P10037">
        <v>22.277740000000001</v>
      </c>
      <c r="Q10037">
        <v>23</v>
      </c>
      <c r="R10037">
        <v>24.17774</v>
      </c>
      <c r="S10037">
        <v>22.277740000000001</v>
      </c>
      <c r="T10037">
        <v>1611.6679999999999</v>
      </c>
      <c r="U10037">
        <v>276</v>
      </c>
      <c r="V10037">
        <v>1</v>
      </c>
      <c r="W10037">
        <v>78</v>
      </c>
      <c r="X10037">
        <v>803</v>
      </c>
      <c r="Y10037">
        <v>11</v>
      </c>
      <c r="Z10037">
        <v>194.2226</v>
      </c>
      <c r="AA10037">
        <v>803</v>
      </c>
      <c r="AB10037">
        <v>24.220369999999999</v>
      </c>
      <c r="AC10037">
        <v>2.0115460000000002E-2</v>
      </c>
      <c r="AD10037">
        <v>3.88293</v>
      </c>
      <c r="AE10037">
        <v>0.45969330000000003</v>
      </c>
      <c r="AF10037">
        <v>900.97569999999996</v>
      </c>
      <c r="AG10037">
        <f>IFERROR(AH10037*0.1, "N/A")</f>
        <v>5.6158260000000002</v>
      </c>
      <c r="AH10037">
        <v>56.158259999999999</v>
      </c>
      <c r="AI10037">
        <v>300.15140000000002</v>
      </c>
      <c r="AJ10037">
        <v>28.525220000000001</v>
      </c>
      <c r="AK10037">
        <v>47.316519999999997</v>
      </c>
    </row>
    <row r="10038" spans="1:37" x14ac:dyDescent="0.3">
      <c r="A10038">
        <v>10037</v>
      </c>
      <c r="B10038">
        <v>0</v>
      </c>
      <c r="C10038">
        <v>13.012499999999999</v>
      </c>
      <c r="D10038">
        <v>6.6083299999999996</v>
      </c>
      <c r="E10038" t="s">
        <v>15175</v>
      </c>
      <c r="F10038" t="s">
        <v>15177</v>
      </c>
      <c r="G10038" t="s">
        <v>37</v>
      </c>
      <c r="H10038">
        <v>1990</v>
      </c>
      <c r="I10038">
        <v>23.17774</v>
      </c>
      <c r="J10038">
        <v>12</v>
      </c>
      <c r="K10038">
        <v>71</v>
      </c>
      <c r="L10038">
        <v>7.5855480000000002</v>
      </c>
      <c r="M10038">
        <v>31.67774</v>
      </c>
      <c r="N10038">
        <v>14.8</v>
      </c>
      <c r="O10038">
        <v>16.877739999999999</v>
      </c>
      <c r="P10038">
        <v>22.277740000000001</v>
      </c>
      <c r="Q10038">
        <v>23</v>
      </c>
      <c r="R10038">
        <v>24.17774</v>
      </c>
      <c r="S10038">
        <v>22.277740000000001</v>
      </c>
      <c r="T10038">
        <v>1611.6679999999999</v>
      </c>
      <c r="U10038">
        <v>276</v>
      </c>
      <c r="V10038">
        <v>1</v>
      </c>
      <c r="W10038">
        <v>78</v>
      </c>
      <c r="X10038">
        <v>803</v>
      </c>
      <c r="Y10038">
        <v>11</v>
      </c>
      <c r="Z10038">
        <v>194.2226</v>
      </c>
      <c r="AA10038">
        <v>803</v>
      </c>
      <c r="AB10038">
        <v>24.220369999999999</v>
      </c>
      <c r="AC10038">
        <v>2.0115460000000002E-2</v>
      </c>
      <c r="AD10038">
        <v>3.88293</v>
      </c>
      <c r="AE10038">
        <v>0.45969330000000003</v>
      </c>
      <c r="AF10038">
        <v>900.97569999999996</v>
      </c>
      <c r="AG10038">
        <f>IFERROR(AH10038*0.1, "N/A")</f>
        <v>5.6158260000000002</v>
      </c>
      <c r="AH10038">
        <v>56.158259999999999</v>
      </c>
      <c r="AI10038">
        <v>300.15140000000002</v>
      </c>
      <c r="AJ10038">
        <v>28.525220000000001</v>
      </c>
      <c r="AK10038">
        <v>47.316519999999997</v>
      </c>
    </row>
    <row r="10039" spans="1:37" x14ac:dyDescent="0.3">
      <c r="A10039">
        <v>10038</v>
      </c>
      <c r="B10039">
        <v>0</v>
      </c>
      <c r="C10039">
        <v>13.012499999999999</v>
      </c>
      <c r="D10039">
        <v>6.6083299999999996</v>
      </c>
      <c r="E10039" t="s">
        <v>15175</v>
      </c>
      <c r="F10039" t="s">
        <v>15178</v>
      </c>
      <c r="G10039" t="s">
        <v>2420</v>
      </c>
      <c r="H10039">
        <v>1990</v>
      </c>
      <c r="I10039">
        <v>23.17774</v>
      </c>
      <c r="J10039">
        <v>12</v>
      </c>
      <c r="K10039">
        <v>71</v>
      </c>
      <c r="L10039">
        <v>7.5855480000000002</v>
      </c>
      <c r="M10039">
        <v>31.67774</v>
      </c>
      <c r="N10039">
        <v>14.8</v>
      </c>
      <c r="O10039">
        <v>16.877739999999999</v>
      </c>
      <c r="P10039">
        <v>22.277740000000001</v>
      </c>
      <c r="Q10039">
        <v>23</v>
      </c>
      <c r="R10039">
        <v>24.17774</v>
      </c>
      <c r="S10039">
        <v>22.277740000000001</v>
      </c>
      <c r="T10039">
        <v>1611.6679999999999</v>
      </c>
      <c r="U10039">
        <v>276</v>
      </c>
      <c r="V10039">
        <v>1</v>
      </c>
      <c r="W10039">
        <v>78</v>
      </c>
      <c r="X10039">
        <v>803</v>
      </c>
      <c r="Y10039">
        <v>11</v>
      </c>
      <c r="Z10039">
        <v>194.2226</v>
      </c>
      <c r="AA10039">
        <v>803</v>
      </c>
      <c r="AB10039">
        <v>24.220369999999999</v>
      </c>
      <c r="AC10039">
        <v>2.0115460000000002E-2</v>
      </c>
      <c r="AD10039">
        <v>3.88293</v>
      </c>
      <c r="AE10039">
        <v>0.45969330000000003</v>
      </c>
      <c r="AF10039">
        <v>900.97569999999996</v>
      </c>
      <c r="AG10039">
        <f>IFERROR(AH10039*0.1, "N/A")</f>
        <v>5.6158260000000002</v>
      </c>
      <c r="AH10039">
        <v>56.158259999999999</v>
      </c>
      <c r="AI10039">
        <v>300.15140000000002</v>
      </c>
      <c r="AJ10039">
        <v>28.525220000000001</v>
      </c>
      <c r="AK10039">
        <v>47.316519999999997</v>
      </c>
    </row>
    <row r="10040" spans="1:37" x14ac:dyDescent="0.3">
      <c r="A10040">
        <v>10039</v>
      </c>
      <c r="B10040">
        <v>0</v>
      </c>
      <c r="C10040">
        <v>13.9</v>
      </c>
      <c r="D10040">
        <v>6.6916700000000002</v>
      </c>
      <c r="E10040" t="s">
        <v>15179</v>
      </c>
      <c r="F10040" t="s">
        <v>15180</v>
      </c>
      <c r="G10040" t="s">
        <v>39</v>
      </c>
      <c r="H10040">
        <v>1990</v>
      </c>
      <c r="I10040">
        <v>23.288830000000001</v>
      </c>
      <c r="J10040">
        <v>12.1</v>
      </c>
      <c r="K10040">
        <v>69</v>
      </c>
      <c r="L10040">
        <v>8.8332809999999995</v>
      </c>
      <c r="M10040">
        <v>31.976089999999999</v>
      </c>
      <c r="N10040">
        <v>14.48883</v>
      </c>
      <c r="O10040">
        <v>17.487259999999999</v>
      </c>
      <c r="P10040">
        <v>22.30715</v>
      </c>
      <c r="Q10040">
        <v>23.188829999999999</v>
      </c>
      <c r="R10040">
        <v>24.48883</v>
      </c>
      <c r="S10040">
        <v>22.30715</v>
      </c>
      <c r="T10040">
        <v>1555.663</v>
      </c>
      <c r="U10040">
        <v>280</v>
      </c>
      <c r="V10040">
        <v>1</v>
      </c>
      <c r="W10040">
        <v>80.944149999999993</v>
      </c>
      <c r="X10040">
        <v>802.05579999999998</v>
      </c>
      <c r="Y10040">
        <v>8</v>
      </c>
      <c r="Z10040">
        <v>183.11170000000001</v>
      </c>
      <c r="AA10040">
        <v>802.05579999999998</v>
      </c>
      <c r="AB10040">
        <v>12.882009999999999</v>
      </c>
      <c r="AC10040">
        <v>2.594668E-2</v>
      </c>
      <c r="AD10040">
        <v>0.76420319999999997</v>
      </c>
      <c r="AE10040">
        <v>0.1674186</v>
      </c>
      <c r="AF10040">
        <v>904.28800000000001</v>
      </c>
      <c r="AG10040">
        <f>IFERROR(AH10040*0.1, "N/A")</f>
        <v>5.6000000000000005</v>
      </c>
      <c r="AH10040">
        <v>56</v>
      </c>
      <c r="AI10040">
        <v>74.682190000000006</v>
      </c>
      <c r="AJ10040">
        <v>37</v>
      </c>
      <c r="AK10040">
        <v>38</v>
      </c>
    </row>
    <row r="10041" spans="1:37" x14ac:dyDescent="0.3">
      <c r="A10041">
        <v>10040</v>
      </c>
      <c r="B10041">
        <v>15.4</v>
      </c>
      <c r="C10041">
        <v>13.9</v>
      </c>
      <c r="D10041">
        <v>6.6916700000000002</v>
      </c>
      <c r="E10041" t="s">
        <v>15179</v>
      </c>
      <c r="F10041" t="s">
        <v>15181</v>
      </c>
      <c r="G10041" t="s">
        <v>37</v>
      </c>
      <c r="H10041">
        <v>1990</v>
      </c>
      <c r="I10041">
        <v>23.288830000000001</v>
      </c>
      <c r="J10041">
        <v>12.1</v>
      </c>
      <c r="K10041">
        <v>69</v>
      </c>
      <c r="L10041">
        <v>8.8332809999999995</v>
      </c>
      <c r="M10041">
        <v>31.976089999999999</v>
      </c>
      <c r="N10041">
        <v>14.48883</v>
      </c>
      <c r="O10041">
        <v>17.487259999999999</v>
      </c>
      <c r="P10041">
        <v>22.30715</v>
      </c>
      <c r="Q10041">
        <v>23.188829999999999</v>
      </c>
      <c r="R10041">
        <v>24.48883</v>
      </c>
      <c r="S10041">
        <v>22.30715</v>
      </c>
      <c r="T10041">
        <v>1555.663</v>
      </c>
      <c r="U10041">
        <v>280</v>
      </c>
      <c r="V10041">
        <v>1</v>
      </c>
      <c r="W10041">
        <v>80.944149999999993</v>
      </c>
      <c r="X10041">
        <v>802.05579999999998</v>
      </c>
      <c r="Y10041">
        <v>8</v>
      </c>
      <c r="Z10041">
        <v>183.11170000000001</v>
      </c>
      <c r="AA10041">
        <v>802.05579999999998</v>
      </c>
      <c r="AB10041">
        <v>12.882009999999999</v>
      </c>
      <c r="AC10041">
        <v>2.594668E-2</v>
      </c>
      <c r="AD10041">
        <v>0.76420319999999997</v>
      </c>
      <c r="AE10041">
        <v>0.1674186</v>
      </c>
      <c r="AF10041">
        <v>904.28800000000001</v>
      </c>
      <c r="AG10041">
        <f>IFERROR(AH10041*0.1, "N/A")</f>
        <v>5.6000000000000005</v>
      </c>
      <c r="AH10041">
        <v>56</v>
      </c>
      <c r="AI10041">
        <v>74.682190000000006</v>
      </c>
      <c r="AJ10041">
        <v>37</v>
      </c>
      <c r="AK10041">
        <v>38</v>
      </c>
    </row>
    <row r="10042" spans="1:37" x14ac:dyDescent="0.3">
      <c r="A10042">
        <v>10041</v>
      </c>
      <c r="B10042">
        <v>0</v>
      </c>
      <c r="C10042">
        <v>13.9</v>
      </c>
      <c r="D10042">
        <v>6.6916700000000002</v>
      </c>
      <c r="E10042" t="s">
        <v>15179</v>
      </c>
      <c r="F10042" t="s">
        <v>15182</v>
      </c>
      <c r="G10042" t="s">
        <v>2420</v>
      </c>
      <c r="H10042">
        <v>1990</v>
      </c>
      <c r="I10042">
        <v>23.288830000000001</v>
      </c>
      <c r="J10042">
        <v>12.1</v>
      </c>
      <c r="K10042">
        <v>69</v>
      </c>
      <c r="L10042">
        <v>8.8332809999999995</v>
      </c>
      <c r="M10042">
        <v>31.976089999999999</v>
      </c>
      <c r="N10042">
        <v>14.48883</v>
      </c>
      <c r="O10042">
        <v>17.487259999999999</v>
      </c>
      <c r="P10042">
        <v>22.30715</v>
      </c>
      <c r="Q10042">
        <v>23.188829999999999</v>
      </c>
      <c r="R10042">
        <v>24.48883</v>
      </c>
      <c r="S10042">
        <v>22.30715</v>
      </c>
      <c r="T10042">
        <v>1555.663</v>
      </c>
      <c r="U10042">
        <v>280</v>
      </c>
      <c r="V10042">
        <v>1</v>
      </c>
      <c r="W10042">
        <v>80.944149999999993</v>
      </c>
      <c r="X10042">
        <v>802.05579999999998</v>
      </c>
      <c r="Y10042">
        <v>8</v>
      </c>
      <c r="Z10042">
        <v>183.11170000000001</v>
      </c>
      <c r="AA10042">
        <v>802.05579999999998</v>
      </c>
      <c r="AB10042">
        <v>12.882009999999999</v>
      </c>
      <c r="AC10042">
        <v>2.594668E-2</v>
      </c>
      <c r="AD10042">
        <v>0.76420319999999997</v>
      </c>
      <c r="AE10042">
        <v>0.1674186</v>
      </c>
      <c r="AF10042">
        <v>904.28800000000001</v>
      </c>
      <c r="AG10042">
        <f>IFERROR(AH10042*0.1, "N/A")</f>
        <v>5.6000000000000005</v>
      </c>
      <c r="AH10042">
        <v>56</v>
      </c>
      <c r="AI10042">
        <v>74.682190000000006</v>
      </c>
      <c r="AJ10042">
        <v>37</v>
      </c>
      <c r="AK10042">
        <v>38</v>
      </c>
    </row>
    <row r="10043" spans="1:37" x14ac:dyDescent="0.3">
      <c r="A10043">
        <v>10042</v>
      </c>
      <c r="B10043">
        <v>7.5</v>
      </c>
      <c r="C10043">
        <v>12.6167</v>
      </c>
      <c r="D10043">
        <v>6.7</v>
      </c>
      <c r="E10043" t="s">
        <v>15183</v>
      </c>
      <c r="F10043" t="s">
        <v>15184</v>
      </c>
      <c r="G10043" t="s">
        <v>39</v>
      </c>
      <c r="H10043">
        <v>1990</v>
      </c>
      <c r="I10043">
        <v>23.4</v>
      </c>
      <c r="J10043">
        <v>11.9</v>
      </c>
      <c r="K10043">
        <v>70</v>
      </c>
      <c r="L10043">
        <v>7.6375000000000002</v>
      </c>
      <c r="M10043">
        <v>31.9</v>
      </c>
      <c r="N10043">
        <v>15.01871</v>
      </c>
      <c r="O10043">
        <v>16.88129</v>
      </c>
      <c r="P10043">
        <v>22.518709999999999</v>
      </c>
      <c r="Q10043">
        <v>23.21294</v>
      </c>
      <c r="R10043">
        <v>24.412939999999999</v>
      </c>
      <c r="S10043">
        <v>22.518709999999999</v>
      </c>
      <c r="T10043">
        <v>1653.8130000000001</v>
      </c>
      <c r="U10043">
        <v>278.61189999999999</v>
      </c>
      <c r="V10043">
        <v>1</v>
      </c>
      <c r="W10043">
        <v>78</v>
      </c>
      <c r="X10043">
        <v>821.4248</v>
      </c>
      <c r="Y10043">
        <v>12.12937</v>
      </c>
      <c r="Z10043">
        <v>198.1294</v>
      </c>
      <c r="AA10043">
        <v>821.4248</v>
      </c>
      <c r="AB10043">
        <v>3.069264</v>
      </c>
      <c r="AC10043">
        <v>33.967669999999998</v>
      </c>
      <c r="AD10043">
        <v>3.5871529999999998</v>
      </c>
      <c r="AE10043">
        <v>0.29920799999999997</v>
      </c>
      <c r="AF10043">
        <v>860.38810000000001</v>
      </c>
      <c r="AG10043">
        <f>IFERROR(AH10043*0.1, "N/A")</f>
        <v>5.5</v>
      </c>
      <c r="AH10043">
        <v>55</v>
      </c>
      <c r="AI10043">
        <v>153.22139999999999</v>
      </c>
      <c r="AJ10043">
        <v>36.388109999999998</v>
      </c>
      <c r="AK10043">
        <v>39.388109999999998</v>
      </c>
    </row>
    <row r="10044" spans="1:37" x14ac:dyDescent="0.3">
      <c r="A10044">
        <v>10043</v>
      </c>
      <c r="B10044">
        <v>2.8</v>
      </c>
      <c r="C10044">
        <v>12.6167</v>
      </c>
      <c r="D10044">
        <v>6.7</v>
      </c>
      <c r="E10044" t="s">
        <v>15183</v>
      </c>
      <c r="F10044" t="s">
        <v>15185</v>
      </c>
      <c r="G10044" t="s">
        <v>37</v>
      </c>
      <c r="H10044">
        <v>1990</v>
      </c>
      <c r="I10044">
        <v>23.4</v>
      </c>
      <c r="J10044">
        <v>11.9</v>
      </c>
      <c r="K10044">
        <v>70</v>
      </c>
      <c r="L10044">
        <v>7.6375000000000002</v>
      </c>
      <c r="M10044">
        <v>31.9</v>
      </c>
      <c r="N10044">
        <v>15.01871</v>
      </c>
      <c r="O10044">
        <v>16.88129</v>
      </c>
      <c r="P10044">
        <v>22.518709999999999</v>
      </c>
      <c r="Q10044">
        <v>23.21294</v>
      </c>
      <c r="R10044">
        <v>24.412939999999999</v>
      </c>
      <c r="S10044">
        <v>22.518709999999999</v>
      </c>
      <c r="T10044">
        <v>1653.8130000000001</v>
      </c>
      <c r="U10044">
        <v>278.61189999999999</v>
      </c>
      <c r="V10044">
        <v>1</v>
      </c>
      <c r="W10044">
        <v>78</v>
      </c>
      <c r="X10044">
        <v>821.4248</v>
      </c>
      <c r="Y10044">
        <v>12.12937</v>
      </c>
      <c r="Z10044">
        <v>198.1294</v>
      </c>
      <c r="AA10044">
        <v>821.4248</v>
      </c>
      <c r="AB10044">
        <v>3.069264</v>
      </c>
      <c r="AC10044">
        <v>33.967669999999998</v>
      </c>
      <c r="AD10044">
        <v>3.5871529999999998</v>
      </c>
      <c r="AE10044">
        <v>0.29920799999999997</v>
      </c>
      <c r="AF10044">
        <v>860.38810000000001</v>
      </c>
      <c r="AG10044">
        <f>IFERROR(AH10044*0.1, "N/A")</f>
        <v>5.5</v>
      </c>
      <c r="AH10044">
        <v>55</v>
      </c>
      <c r="AI10044">
        <v>153.22139999999999</v>
      </c>
      <c r="AJ10044">
        <v>36.388109999999998</v>
      </c>
      <c r="AK10044">
        <v>39.388109999999998</v>
      </c>
    </row>
    <row r="10045" spans="1:37" x14ac:dyDescent="0.3">
      <c r="A10045">
        <v>10044</v>
      </c>
      <c r="B10045">
        <v>0</v>
      </c>
      <c r="C10045">
        <v>12.6167</v>
      </c>
      <c r="D10045">
        <v>6.7</v>
      </c>
      <c r="E10045" t="s">
        <v>15183</v>
      </c>
      <c r="F10045" t="s">
        <v>15186</v>
      </c>
      <c r="G10045" t="s">
        <v>2420</v>
      </c>
      <c r="H10045">
        <v>1990</v>
      </c>
      <c r="I10045">
        <v>23.4</v>
      </c>
      <c r="J10045">
        <v>11.9</v>
      </c>
      <c r="K10045">
        <v>70</v>
      </c>
      <c r="L10045">
        <v>7.6375000000000002</v>
      </c>
      <c r="M10045">
        <v>31.9</v>
      </c>
      <c r="N10045">
        <v>15.01871</v>
      </c>
      <c r="O10045">
        <v>16.88129</v>
      </c>
      <c r="P10045">
        <v>22.518709999999999</v>
      </c>
      <c r="Q10045">
        <v>23.21294</v>
      </c>
      <c r="R10045">
        <v>24.412939999999999</v>
      </c>
      <c r="S10045">
        <v>22.518709999999999</v>
      </c>
      <c r="T10045">
        <v>1653.8130000000001</v>
      </c>
      <c r="U10045">
        <v>278.61189999999999</v>
      </c>
      <c r="V10045">
        <v>1</v>
      </c>
      <c r="W10045">
        <v>78</v>
      </c>
      <c r="X10045">
        <v>821.4248</v>
      </c>
      <c r="Y10045">
        <v>12.12937</v>
      </c>
      <c r="Z10045">
        <v>198.1294</v>
      </c>
      <c r="AA10045">
        <v>821.4248</v>
      </c>
      <c r="AB10045">
        <v>3.069264</v>
      </c>
      <c r="AC10045">
        <v>33.967669999999998</v>
      </c>
      <c r="AD10045">
        <v>3.5871529999999998</v>
      </c>
      <c r="AE10045">
        <v>0.29920799999999997</v>
      </c>
      <c r="AF10045">
        <v>860.38810000000001</v>
      </c>
      <c r="AG10045">
        <f>IFERROR(AH10045*0.1, "N/A")</f>
        <v>5.5</v>
      </c>
      <c r="AH10045">
        <v>55</v>
      </c>
      <c r="AI10045">
        <v>153.22139999999999</v>
      </c>
      <c r="AJ10045">
        <v>36.388109999999998</v>
      </c>
      <c r="AK10045">
        <v>39.388109999999998</v>
      </c>
    </row>
    <row r="10046" spans="1:37" x14ac:dyDescent="0.3">
      <c r="A10046">
        <v>10045</v>
      </c>
      <c r="B10046">
        <v>0</v>
      </c>
      <c r="C10046">
        <v>14.466699999999999</v>
      </c>
      <c r="D10046">
        <v>6.7333299999999996</v>
      </c>
      <c r="E10046" t="s">
        <v>15187</v>
      </c>
      <c r="F10046" t="s">
        <v>15188</v>
      </c>
      <c r="G10046" t="s">
        <v>39</v>
      </c>
      <c r="H10046">
        <v>1990</v>
      </c>
      <c r="I10046">
        <v>22.104179999999999</v>
      </c>
      <c r="J10046">
        <v>11.9</v>
      </c>
      <c r="K10046">
        <v>70</v>
      </c>
      <c r="L10046">
        <v>9.1694429999999993</v>
      </c>
      <c r="M10046">
        <v>30.804179999999999</v>
      </c>
      <c r="N10046">
        <v>13.88641</v>
      </c>
      <c r="O10046">
        <v>16.917770000000001</v>
      </c>
      <c r="P10046">
        <v>21.084320000000002</v>
      </c>
      <c r="Q10046">
        <v>22.204180000000001</v>
      </c>
      <c r="R10046">
        <v>23.40418</v>
      </c>
      <c r="S10046">
        <v>21.084320000000002</v>
      </c>
      <c r="T10046">
        <v>1558.204</v>
      </c>
      <c r="U10046">
        <v>285</v>
      </c>
      <c r="V10046">
        <v>2</v>
      </c>
      <c r="W10046">
        <v>81</v>
      </c>
      <c r="X10046">
        <v>818</v>
      </c>
      <c r="Y10046">
        <v>11</v>
      </c>
      <c r="Z10046">
        <v>180.95820000000001</v>
      </c>
      <c r="AA10046">
        <v>818</v>
      </c>
      <c r="AB10046">
        <v>46.558</v>
      </c>
      <c r="AC10046">
        <v>9.9987559999999993E-3</v>
      </c>
      <c r="AD10046">
        <v>2.1121880000000002</v>
      </c>
      <c r="AE10046">
        <v>0.13542560000000001</v>
      </c>
      <c r="AF10046">
        <v>1168.232</v>
      </c>
      <c r="AG10046">
        <f>IFERROR(AH10046*0.1, "N/A")</f>
        <v>5.3876309999999998</v>
      </c>
      <c r="AH10046">
        <v>53.876309999999997</v>
      </c>
      <c r="AI10046">
        <v>274.52199999999999</v>
      </c>
      <c r="AJ10046">
        <v>34.296169999999996</v>
      </c>
      <c r="AK10046">
        <v>38.175960000000003</v>
      </c>
    </row>
    <row r="10047" spans="1:37" x14ac:dyDescent="0.3">
      <c r="A10047">
        <v>10046</v>
      </c>
      <c r="B10047">
        <v>0</v>
      </c>
      <c r="C10047">
        <v>14.466699999999999</v>
      </c>
      <c r="D10047">
        <v>6.7333299999999996</v>
      </c>
      <c r="E10047" t="s">
        <v>15187</v>
      </c>
      <c r="F10047" t="s">
        <v>15189</v>
      </c>
      <c r="G10047" t="s">
        <v>37</v>
      </c>
      <c r="H10047">
        <v>1990</v>
      </c>
      <c r="I10047">
        <v>22.104179999999999</v>
      </c>
      <c r="J10047">
        <v>11.9</v>
      </c>
      <c r="K10047">
        <v>70</v>
      </c>
      <c r="L10047">
        <v>9.1694429999999993</v>
      </c>
      <c r="M10047">
        <v>30.804179999999999</v>
      </c>
      <c r="N10047">
        <v>13.88641</v>
      </c>
      <c r="O10047">
        <v>16.917770000000001</v>
      </c>
      <c r="P10047">
        <v>21.084320000000002</v>
      </c>
      <c r="Q10047">
        <v>22.204180000000001</v>
      </c>
      <c r="R10047">
        <v>23.40418</v>
      </c>
      <c r="S10047">
        <v>21.084320000000002</v>
      </c>
      <c r="T10047">
        <v>1558.204</v>
      </c>
      <c r="U10047">
        <v>285</v>
      </c>
      <c r="V10047">
        <v>2</v>
      </c>
      <c r="W10047">
        <v>81</v>
      </c>
      <c r="X10047">
        <v>818</v>
      </c>
      <c r="Y10047">
        <v>11</v>
      </c>
      <c r="Z10047">
        <v>180.95820000000001</v>
      </c>
      <c r="AA10047">
        <v>818</v>
      </c>
      <c r="AB10047">
        <v>46.558</v>
      </c>
      <c r="AC10047">
        <v>9.9987559999999993E-3</v>
      </c>
      <c r="AD10047">
        <v>2.1121880000000002</v>
      </c>
      <c r="AE10047">
        <v>0.13542560000000001</v>
      </c>
      <c r="AF10047">
        <v>1168.232</v>
      </c>
      <c r="AG10047">
        <f>IFERROR(AH10047*0.1, "N/A")</f>
        <v>5.3876309999999998</v>
      </c>
      <c r="AH10047">
        <v>53.876309999999997</v>
      </c>
      <c r="AI10047">
        <v>274.52199999999999</v>
      </c>
      <c r="AJ10047">
        <v>34.296169999999996</v>
      </c>
      <c r="AK10047">
        <v>38.175960000000003</v>
      </c>
    </row>
    <row r="10048" spans="1:37" x14ac:dyDescent="0.3">
      <c r="A10048">
        <v>10047</v>
      </c>
      <c r="B10048">
        <v>0</v>
      </c>
      <c r="C10048">
        <v>14.466699999999999</v>
      </c>
      <c r="D10048">
        <v>6.7333299999999996</v>
      </c>
      <c r="E10048" t="s">
        <v>15187</v>
      </c>
      <c r="F10048" t="s">
        <v>15190</v>
      </c>
      <c r="G10048" t="s">
        <v>2420</v>
      </c>
      <c r="H10048">
        <v>1990</v>
      </c>
      <c r="I10048">
        <v>22.104179999999999</v>
      </c>
      <c r="J10048">
        <v>11.9</v>
      </c>
      <c r="K10048">
        <v>70</v>
      </c>
      <c r="L10048">
        <v>9.1694429999999993</v>
      </c>
      <c r="M10048">
        <v>30.804179999999999</v>
      </c>
      <c r="N10048">
        <v>13.88641</v>
      </c>
      <c r="O10048">
        <v>16.917770000000001</v>
      </c>
      <c r="P10048">
        <v>21.084320000000002</v>
      </c>
      <c r="Q10048">
        <v>22.204180000000001</v>
      </c>
      <c r="R10048">
        <v>23.40418</v>
      </c>
      <c r="S10048">
        <v>21.084320000000002</v>
      </c>
      <c r="T10048">
        <v>1558.204</v>
      </c>
      <c r="U10048">
        <v>285</v>
      </c>
      <c r="V10048">
        <v>2</v>
      </c>
      <c r="W10048">
        <v>81</v>
      </c>
      <c r="X10048">
        <v>818</v>
      </c>
      <c r="Y10048">
        <v>11</v>
      </c>
      <c r="Z10048">
        <v>180.95820000000001</v>
      </c>
      <c r="AA10048">
        <v>818</v>
      </c>
      <c r="AB10048">
        <v>46.558</v>
      </c>
      <c r="AC10048">
        <v>9.9987559999999993E-3</v>
      </c>
      <c r="AD10048">
        <v>2.1121880000000002</v>
      </c>
      <c r="AE10048">
        <v>0.13542560000000001</v>
      </c>
      <c r="AF10048">
        <v>1168.232</v>
      </c>
      <c r="AG10048">
        <f>IFERROR(AH10048*0.1, "N/A")</f>
        <v>5.3876309999999998</v>
      </c>
      <c r="AH10048">
        <v>53.876309999999997</v>
      </c>
      <c r="AI10048">
        <v>274.52199999999999</v>
      </c>
      <c r="AJ10048">
        <v>34.296169999999996</v>
      </c>
      <c r="AK10048">
        <v>38.175960000000003</v>
      </c>
    </row>
    <row r="10049" spans="1:37" x14ac:dyDescent="0.3">
      <c r="A10049">
        <v>10048</v>
      </c>
      <c r="B10049">
        <v>0</v>
      </c>
      <c r="C10049">
        <v>11.8</v>
      </c>
      <c r="D10049">
        <v>6.7333299999999996</v>
      </c>
      <c r="E10049" t="s">
        <v>15191</v>
      </c>
      <c r="F10049" t="s">
        <v>15192</v>
      </c>
      <c r="G10049" t="s">
        <v>39</v>
      </c>
      <c r="H10049">
        <v>1990</v>
      </c>
      <c r="I10049">
        <v>22.763999999999999</v>
      </c>
      <c r="J10049">
        <v>11.5</v>
      </c>
      <c r="K10049">
        <v>70</v>
      </c>
      <c r="L10049">
        <v>8.7013390000000008</v>
      </c>
      <c r="M10049">
        <v>31.564</v>
      </c>
      <c r="N10049">
        <v>15.164</v>
      </c>
      <c r="O10049">
        <v>16.399999999999999</v>
      </c>
      <c r="P10049">
        <v>21.704519999999999</v>
      </c>
      <c r="Q10049">
        <v>23.064</v>
      </c>
      <c r="R10049">
        <v>23.864000000000001</v>
      </c>
      <c r="S10049">
        <v>21.704519999999999</v>
      </c>
      <c r="T10049">
        <v>1739.68</v>
      </c>
      <c r="U10049">
        <v>292.95479999999998</v>
      </c>
      <c r="V10049">
        <v>3.2278259999999999</v>
      </c>
      <c r="W10049">
        <v>74.64</v>
      </c>
      <c r="X10049">
        <v>838.31479999999999</v>
      </c>
      <c r="Y10049">
        <v>22.227830000000001</v>
      </c>
      <c r="Z10049">
        <v>243.31479999999999</v>
      </c>
      <c r="AA10049">
        <v>838.31479999999999</v>
      </c>
      <c r="AB10049">
        <v>1.992159</v>
      </c>
      <c r="AC10049">
        <v>5.4529800000000002</v>
      </c>
      <c r="AD10049">
        <v>4.3538410000000001</v>
      </c>
      <c r="AE10049">
        <v>0.32372139999999999</v>
      </c>
      <c r="AF10049">
        <v>1071.3720000000001</v>
      </c>
      <c r="AG10049">
        <f>IFERROR(AH10049*0.1, "N/A")</f>
        <v>5.6888700000000005</v>
      </c>
      <c r="AH10049">
        <v>56.8887</v>
      </c>
      <c r="AI10049">
        <v>152.73249999999999</v>
      </c>
      <c r="AJ10049">
        <v>34.671300000000002</v>
      </c>
      <c r="AK10049">
        <v>37.041739999999997</v>
      </c>
    </row>
    <row r="10050" spans="1:37" x14ac:dyDescent="0.3">
      <c r="A10050">
        <v>10049</v>
      </c>
      <c r="B10050">
        <v>35.299999999999997</v>
      </c>
      <c r="C10050">
        <v>11.8</v>
      </c>
      <c r="D10050">
        <v>6.7333299999999996</v>
      </c>
      <c r="E10050" t="s">
        <v>15191</v>
      </c>
      <c r="F10050" t="s">
        <v>15193</v>
      </c>
      <c r="G10050" t="s">
        <v>37</v>
      </c>
      <c r="H10050">
        <v>1990</v>
      </c>
      <c r="I10050">
        <v>22.763999999999999</v>
      </c>
      <c r="J10050">
        <v>11.5</v>
      </c>
      <c r="K10050">
        <v>70</v>
      </c>
      <c r="L10050">
        <v>8.7013390000000008</v>
      </c>
      <c r="M10050">
        <v>31.564</v>
      </c>
      <c r="N10050">
        <v>15.164</v>
      </c>
      <c r="O10050">
        <v>16.399999999999999</v>
      </c>
      <c r="P10050">
        <v>21.704519999999999</v>
      </c>
      <c r="Q10050">
        <v>23.064</v>
      </c>
      <c r="R10050">
        <v>23.864000000000001</v>
      </c>
      <c r="S10050">
        <v>21.704519999999999</v>
      </c>
      <c r="T10050">
        <v>1739.68</v>
      </c>
      <c r="U10050">
        <v>292.95479999999998</v>
      </c>
      <c r="V10050">
        <v>3.2278259999999999</v>
      </c>
      <c r="W10050">
        <v>74.64</v>
      </c>
      <c r="X10050">
        <v>838.31479999999999</v>
      </c>
      <c r="Y10050">
        <v>22.227830000000001</v>
      </c>
      <c r="Z10050">
        <v>243.31479999999999</v>
      </c>
      <c r="AA10050">
        <v>838.31479999999999</v>
      </c>
      <c r="AB10050">
        <v>1.992159</v>
      </c>
      <c r="AC10050">
        <v>5.4529800000000002</v>
      </c>
      <c r="AD10050">
        <v>4.3538410000000001</v>
      </c>
      <c r="AE10050">
        <v>0.32372139999999999</v>
      </c>
      <c r="AF10050">
        <v>1071.3720000000001</v>
      </c>
      <c r="AG10050">
        <f>IFERROR(AH10050*0.1, "N/A")</f>
        <v>5.6888700000000005</v>
      </c>
      <c r="AH10050">
        <v>56.8887</v>
      </c>
      <c r="AI10050">
        <v>152.73249999999999</v>
      </c>
      <c r="AJ10050">
        <v>34.671300000000002</v>
      </c>
      <c r="AK10050">
        <v>37.041739999999997</v>
      </c>
    </row>
    <row r="10051" spans="1:37" x14ac:dyDescent="0.3">
      <c r="A10051">
        <v>10050</v>
      </c>
      <c r="B10051">
        <v>0</v>
      </c>
      <c r="C10051">
        <v>11.8</v>
      </c>
      <c r="D10051">
        <v>6.7333299999999996</v>
      </c>
      <c r="E10051" t="s">
        <v>15191</v>
      </c>
      <c r="F10051" t="s">
        <v>15194</v>
      </c>
      <c r="G10051" t="s">
        <v>2420</v>
      </c>
      <c r="H10051">
        <v>1990</v>
      </c>
      <c r="I10051">
        <v>22.763999999999999</v>
      </c>
      <c r="J10051">
        <v>11.5</v>
      </c>
      <c r="K10051">
        <v>70</v>
      </c>
      <c r="L10051">
        <v>8.7013390000000008</v>
      </c>
      <c r="M10051">
        <v>31.564</v>
      </c>
      <c r="N10051">
        <v>15.164</v>
      </c>
      <c r="O10051">
        <v>16.399999999999999</v>
      </c>
      <c r="P10051">
        <v>21.704519999999999</v>
      </c>
      <c r="Q10051">
        <v>23.064</v>
      </c>
      <c r="R10051">
        <v>23.864000000000001</v>
      </c>
      <c r="S10051">
        <v>21.704519999999999</v>
      </c>
      <c r="T10051">
        <v>1739.68</v>
      </c>
      <c r="U10051">
        <v>292.95479999999998</v>
      </c>
      <c r="V10051">
        <v>3.2278259999999999</v>
      </c>
      <c r="W10051">
        <v>74.64</v>
      </c>
      <c r="X10051">
        <v>838.31479999999999</v>
      </c>
      <c r="Y10051">
        <v>22.227830000000001</v>
      </c>
      <c r="Z10051">
        <v>243.31479999999999</v>
      </c>
      <c r="AA10051">
        <v>838.31479999999999</v>
      </c>
      <c r="AB10051">
        <v>1.992159</v>
      </c>
      <c r="AC10051">
        <v>5.4529800000000002</v>
      </c>
      <c r="AD10051">
        <v>4.3538410000000001</v>
      </c>
      <c r="AE10051">
        <v>0.32372139999999999</v>
      </c>
      <c r="AF10051">
        <v>1071.3720000000001</v>
      </c>
      <c r="AG10051">
        <f>IFERROR(AH10051*0.1, "N/A")</f>
        <v>5.6888700000000005</v>
      </c>
      <c r="AH10051">
        <v>56.8887</v>
      </c>
      <c r="AI10051">
        <v>152.73249999999999</v>
      </c>
      <c r="AJ10051">
        <v>34.671300000000002</v>
      </c>
      <c r="AK10051">
        <v>37.041739999999997</v>
      </c>
    </row>
    <row r="10052" spans="1:37" x14ac:dyDescent="0.3">
      <c r="A10052">
        <v>10051</v>
      </c>
      <c r="B10052">
        <v>0</v>
      </c>
      <c r="C10052">
        <v>14.566700000000001</v>
      </c>
      <c r="D10052">
        <v>6.7374999999999998</v>
      </c>
      <c r="E10052" t="s">
        <v>15195</v>
      </c>
      <c r="F10052" t="s">
        <v>15196</v>
      </c>
      <c r="G10052" t="s">
        <v>39</v>
      </c>
      <c r="H10052">
        <v>1990</v>
      </c>
      <c r="I10052">
        <v>21.880800000000001</v>
      </c>
      <c r="J10052">
        <v>11.9</v>
      </c>
      <c r="K10052">
        <v>70</v>
      </c>
      <c r="L10052">
        <v>9.4035250000000001</v>
      </c>
      <c r="M10052">
        <v>30.5808</v>
      </c>
      <c r="N10052">
        <v>13.7</v>
      </c>
      <c r="O10052">
        <v>16.880800000000001</v>
      </c>
      <c r="P10052">
        <v>20.8</v>
      </c>
      <c r="Q10052">
        <v>22</v>
      </c>
      <c r="R10052">
        <v>23.2</v>
      </c>
      <c r="S10052">
        <v>20.8</v>
      </c>
      <c r="T10052">
        <v>1549.616</v>
      </c>
      <c r="U10052">
        <v>283</v>
      </c>
      <c r="V10052">
        <v>2</v>
      </c>
      <c r="W10052">
        <v>80</v>
      </c>
      <c r="X10052">
        <v>811.80799999999999</v>
      </c>
      <c r="Y10052">
        <v>12</v>
      </c>
      <c r="Z10052">
        <v>179</v>
      </c>
      <c r="AA10052">
        <v>811.80799999999999</v>
      </c>
      <c r="AB10052">
        <v>35.935290000000002</v>
      </c>
      <c r="AC10052">
        <v>1.404628E-2</v>
      </c>
      <c r="AD10052">
        <v>4.0720539999999996</v>
      </c>
      <c r="AE10052">
        <v>0.17413239999999999</v>
      </c>
      <c r="AF10052">
        <v>1224.2739999999999</v>
      </c>
      <c r="AG10052">
        <f>IFERROR(AH10052*0.1, "N/A")</f>
        <v>5.3808030000000002</v>
      </c>
      <c r="AH10052">
        <v>53.808030000000002</v>
      </c>
      <c r="AI10052">
        <v>110.02889999999999</v>
      </c>
      <c r="AJ10052">
        <v>32.191969999999998</v>
      </c>
      <c r="AK10052">
        <v>43.191969999999998</v>
      </c>
    </row>
    <row r="10053" spans="1:37" x14ac:dyDescent="0.3">
      <c r="A10053">
        <v>10052</v>
      </c>
      <c r="B10053">
        <v>5.9</v>
      </c>
      <c r="C10053">
        <v>14.566700000000001</v>
      </c>
      <c r="D10053">
        <v>6.7374999999999998</v>
      </c>
      <c r="E10053" t="s">
        <v>15195</v>
      </c>
      <c r="F10053" t="s">
        <v>15197</v>
      </c>
      <c r="G10053" t="s">
        <v>37</v>
      </c>
      <c r="H10053">
        <v>1990</v>
      </c>
      <c r="I10053">
        <v>21.880800000000001</v>
      </c>
      <c r="J10053">
        <v>11.9</v>
      </c>
      <c r="K10053">
        <v>70</v>
      </c>
      <c r="L10053">
        <v>9.4035250000000001</v>
      </c>
      <c r="M10053">
        <v>30.5808</v>
      </c>
      <c r="N10053">
        <v>13.7</v>
      </c>
      <c r="O10053">
        <v>16.880800000000001</v>
      </c>
      <c r="P10053">
        <v>20.8</v>
      </c>
      <c r="Q10053">
        <v>22</v>
      </c>
      <c r="R10053">
        <v>23.2</v>
      </c>
      <c r="S10053">
        <v>20.8</v>
      </c>
      <c r="T10053">
        <v>1549.616</v>
      </c>
      <c r="U10053">
        <v>283</v>
      </c>
      <c r="V10053">
        <v>2</v>
      </c>
      <c r="W10053">
        <v>80</v>
      </c>
      <c r="X10053">
        <v>811.80799999999999</v>
      </c>
      <c r="Y10053">
        <v>12</v>
      </c>
      <c r="Z10053">
        <v>179</v>
      </c>
      <c r="AA10053">
        <v>811.80799999999999</v>
      </c>
      <c r="AB10053">
        <v>35.935290000000002</v>
      </c>
      <c r="AC10053">
        <v>1.404628E-2</v>
      </c>
      <c r="AD10053">
        <v>4.0720539999999996</v>
      </c>
      <c r="AE10053">
        <v>0.17413239999999999</v>
      </c>
      <c r="AF10053">
        <v>1224.2739999999999</v>
      </c>
      <c r="AG10053">
        <f>IFERROR(AH10053*0.1, "N/A")</f>
        <v>5.3808030000000002</v>
      </c>
      <c r="AH10053">
        <v>53.808030000000002</v>
      </c>
      <c r="AI10053">
        <v>110.02889999999999</v>
      </c>
      <c r="AJ10053">
        <v>32.191969999999998</v>
      </c>
      <c r="AK10053">
        <v>43.191969999999998</v>
      </c>
    </row>
    <row r="10054" spans="1:37" x14ac:dyDescent="0.3">
      <c r="A10054">
        <v>10053</v>
      </c>
      <c r="B10054">
        <v>0</v>
      </c>
      <c r="C10054">
        <v>14.566700000000001</v>
      </c>
      <c r="D10054">
        <v>6.7374999999999998</v>
      </c>
      <c r="E10054" t="s">
        <v>15195</v>
      </c>
      <c r="F10054" t="s">
        <v>15198</v>
      </c>
      <c r="G10054" t="s">
        <v>2420</v>
      </c>
      <c r="H10054">
        <v>1990</v>
      </c>
      <c r="I10054">
        <v>21.880800000000001</v>
      </c>
      <c r="J10054">
        <v>11.9</v>
      </c>
      <c r="K10054">
        <v>70</v>
      </c>
      <c r="L10054">
        <v>9.4035250000000001</v>
      </c>
      <c r="M10054">
        <v>30.5808</v>
      </c>
      <c r="N10054">
        <v>13.7</v>
      </c>
      <c r="O10054">
        <v>16.880800000000001</v>
      </c>
      <c r="P10054">
        <v>20.8</v>
      </c>
      <c r="Q10054">
        <v>22</v>
      </c>
      <c r="R10054">
        <v>23.2</v>
      </c>
      <c r="S10054">
        <v>20.8</v>
      </c>
      <c r="T10054">
        <v>1549.616</v>
      </c>
      <c r="U10054">
        <v>283</v>
      </c>
      <c r="V10054">
        <v>2</v>
      </c>
      <c r="W10054">
        <v>80</v>
      </c>
      <c r="X10054">
        <v>811.80799999999999</v>
      </c>
      <c r="Y10054">
        <v>12</v>
      </c>
      <c r="Z10054">
        <v>179</v>
      </c>
      <c r="AA10054">
        <v>811.80799999999999</v>
      </c>
      <c r="AB10054">
        <v>35.935290000000002</v>
      </c>
      <c r="AC10054">
        <v>1.404628E-2</v>
      </c>
      <c r="AD10054">
        <v>4.0720539999999996</v>
      </c>
      <c r="AE10054">
        <v>0.17413239999999999</v>
      </c>
      <c r="AF10054">
        <v>1224.2739999999999</v>
      </c>
      <c r="AG10054">
        <f>IFERROR(AH10054*0.1, "N/A")</f>
        <v>5.3808030000000002</v>
      </c>
      <c r="AH10054">
        <v>53.808030000000002</v>
      </c>
      <c r="AI10054">
        <v>110.02889999999999</v>
      </c>
      <c r="AJ10054">
        <v>32.191969999999998</v>
      </c>
      <c r="AK10054">
        <v>43.191969999999998</v>
      </c>
    </row>
    <row r="10055" spans="1:37" x14ac:dyDescent="0.3">
      <c r="A10055">
        <v>10054</v>
      </c>
      <c r="B10055">
        <v>0</v>
      </c>
      <c r="C10055">
        <v>13.112500000000001</v>
      </c>
      <c r="D10055">
        <v>6.75</v>
      </c>
      <c r="E10055" t="s">
        <v>15199</v>
      </c>
      <c r="F10055" t="s">
        <v>15200</v>
      </c>
      <c r="G10055" t="s">
        <v>39</v>
      </c>
      <c r="H10055">
        <v>1990</v>
      </c>
      <c r="I10055">
        <v>22.443729999999999</v>
      </c>
      <c r="J10055">
        <v>12.3</v>
      </c>
      <c r="K10055">
        <v>69</v>
      </c>
      <c r="L10055">
        <v>8.0875269999999997</v>
      </c>
      <c r="M10055">
        <v>31.143730000000001</v>
      </c>
      <c r="N10055">
        <v>13.54373</v>
      </c>
      <c r="O10055">
        <v>17.600000000000001</v>
      </c>
      <c r="P10055">
        <v>21.54373</v>
      </c>
      <c r="Q10055">
        <v>22.143730000000001</v>
      </c>
      <c r="R10055">
        <v>23.54373</v>
      </c>
      <c r="S10055">
        <v>21.54373</v>
      </c>
      <c r="T10055">
        <v>1603.875</v>
      </c>
      <c r="U10055">
        <v>279</v>
      </c>
      <c r="V10055">
        <v>1</v>
      </c>
      <c r="W10055">
        <v>79</v>
      </c>
      <c r="X10055">
        <v>807</v>
      </c>
      <c r="Y10055">
        <v>10</v>
      </c>
      <c r="Z10055">
        <v>296.601</v>
      </c>
      <c r="AA10055">
        <v>807</v>
      </c>
      <c r="AB10055">
        <v>12.718819999999999</v>
      </c>
      <c r="AC10055">
        <v>2.8501439999999999E-2</v>
      </c>
      <c r="AD10055">
        <v>5.1455169999999999</v>
      </c>
      <c r="AE10055">
        <v>0.55255169999999998</v>
      </c>
      <c r="AF10055">
        <v>1039.9290000000001</v>
      </c>
      <c r="AG10055">
        <f>IFERROR(AH10055*0.1, "N/A")</f>
        <v>5.3000000000000007</v>
      </c>
      <c r="AH10055">
        <v>53</v>
      </c>
      <c r="AI10055">
        <v>99.826769999999996</v>
      </c>
      <c r="AJ10055">
        <v>32.341459999999998</v>
      </c>
      <c r="AK10055">
        <v>43.329270000000001</v>
      </c>
    </row>
    <row r="10056" spans="1:37" x14ac:dyDescent="0.3">
      <c r="A10056">
        <v>10055</v>
      </c>
      <c r="B10056">
        <v>7.7</v>
      </c>
      <c r="C10056">
        <v>13.112500000000001</v>
      </c>
      <c r="D10056">
        <v>6.75</v>
      </c>
      <c r="E10056" t="s">
        <v>15199</v>
      </c>
      <c r="F10056" t="s">
        <v>15201</v>
      </c>
      <c r="G10056" t="s">
        <v>37</v>
      </c>
      <c r="H10056">
        <v>1990</v>
      </c>
      <c r="I10056">
        <v>22.443729999999999</v>
      </c>
      <c r="J10056">
        <v>12.3</v>
      </c>
      <c r="K10056">
        <v>69</v>
      </c>
      <c r="L10056">
        <v>8.0875269999999997</v>
      </c>
      <c r="M10056">
        <v>31.143730000000001</v>
      </c>
      <c r="N10056">
        <v>13.54373</v>
      </c>
      <c r="O10056">
        <v>17.600000000000001</v>
      </c>
      <c r="P10056">
        <v>21.54373</v>
      </c>
      <c r="Q10056">
        <v>22.143730000000001</v>
      </c>
      <c r="R10056">
        <v>23.54373</v>
      </c>
      <c r="S10056">
        <v>21.54373</v>
      </c>
      <c r="T10056">
        <v>1603.875</v>
      </c>
      <c r="U10056">
        <v>279</v>
      </c>
      <c r="V10056">
        <v>1</v>
      </c>
      <c r="W10056">
        <v>79</v>
      </c>
      <c r="X10056">
        <v>807</v>
      </c>
      <c r="Y10056">
        <v>10</v>
      </c>
      <c r="Z10056">
        <v>296.601</v>
      </c>
      <c r="AA10056">
        <v>807</v>
      </c>
      <c r="AB10056">
        <v>12.718819999999999</v>
      </c>
      <c r="AC10056">
        <v>2.8501439999999999E-2</v>
      </c>
      <c r="AD10056">
        <v>5.1455169999999999</v>
      </c>
      <c r="AE10056">
        <v>0.55255169999999998</v>
      </c>
      <c r="AF10056">
        <v>1039.9290000000001</v>
      </c>
      <c r="AG10056">
        <f>IFERROR(AH10056*0.1, "N/A")</f>
        <v>5.3000000000000007</v>
      </c>
      <c r="AH10056">
        <v>53</v>
      </c>
      <c r="AI10056">
        <v>99.826769999999996</v>
      </c>
      <c r="AJ10056">
        <v>32.341459999999998</v>
      </c>
      <c r="AK10056">
        <v>43.329270000000001</v>
      </c>
    </row>
    <row r="10057" spans="1:37" x14ac:dyDescent="0.3">
      <c r="A10057">
        <v>10056</v>
      </c>
      <c r="B10057">
        <v>0</v>
      </c>
      <c r="C10057">
        <v>13.112500000000001</v>
      </c>
      <c r="D10057">
        <v>6.75</v>
      </c>
      <c r="E10057" t="s">
        <v>15199</v>
      </c>
      <c r="F10057" t="s">
        <v>15202</v>
      </c>
      <c r="G10057" t="s">
        <v>2420</v>
      </c>
      <c r="H10057">
        <v>1990</v>
      </c>
      <c r="I10057">
        <v>22.443729999999999</v>
      </c>
      <c r="J10057">
        <v>12.3</v>
      </c>
      <c r="K10057">
        <v>69</v>
      </c>
      <c r="L10057">
        <v>8.0875269999999997</v>
      </c>
      <c r="M10057">
        <v>31.143730000000001</v>
      </c>
      <c r="N10057">
        <v>13.54373</v>
      </c>
      <c r="O10057">
        <v>17.600000000000001</v>
      </c>
      <c r="P10057">
        <v>21.54373</v>
      </c>
      <c r="Q10057">
        <v>22.143730000000001</v>
      </c>
      <c r="R10057">
        <v>23.54373</v>
      </c>
      <c r="S10057">
        <v>21.54373</v>
      </c>
      <c r="T10057">
        <v>1603.875</v>
      </c>
      <c r="U10057">
        <v>279</v>
      </c>
      <c r="V10057">
        <v>1</v>
      </c>
      <c r="W10057">
        <v>79</v>
      </c>
      <c r="X10057">
        <v>807</v>
      </c>
      <c r="Y10057">
        <v>10</v>
      </c>
      <c r="Z10057">
        <v>296.601</v>
      </c>
      <c r="AA10057">
        <v>807</v>
      </c>
      <c r="AB10057">
        <v>12.718819999999999</v>
      </c>
      <c r="AC10057">
        <v>2.8501439999999999E-2</v>
      </c>
      <c r="AD10057">
        <v>5.1455169999999999</v>
      </c>
      <c r="AE10057">
        <v>0.55255169999999998</v>
      </c>
      <c r="AF10057">
        <v>1039.9290000000001</v>
      </c>
      <c r="AG10057">
        <f>IFERROR(AH10057*0.1, "N/A")</f>
        <v>5.3000000000000007</v>
      </c>
      <c r="AH10057">
        <v>53</v>
      </c>
      <c r="AI10057">
        <v>99.826769999999996</v>
      </c>
      <c r="AJ10057">
        <v>32.341459999999998</v>
      </c>
      <c r="AK10057">
        <v>43.329270000000001</v>
      </c>
    </row>
    <row r="10058" spans="1:37" x14ac:dyDescent="0.3">
      <c r="A10058">
        <v>10057</v>
      </c>
      <c r="B10058">
        <v>33.299999999999997</v>
      </c>
      <c r="C10058">
        <v>12</v>
      </c>
      <c r="D10058">
        <v>6.7833300000000003</v>
      </c>
      <c r="E10058" t="s">
        <v>15203</v>
      </c>
      <c r="F10058" t="s">
        <v>15204</v>
      </c>
      <c r="G10058" t="s">
        <v>37</v>
      </c>
      <c r="H10058">
        <v>1990</v>
      </c>
      <c r="I10058">
        <v>23.34808</v>
      </c>
      <c r="J10058">
        <v>11.664289999999999</v>
      </c>
      <c r="K10058">
        <v>69</v>
      </c>
      <c r="L10058">
        <v>8.6212370000000007</v>
      </c>
      <c r="M10058">
        <v>32.14808</v>
      </c>
      <c r="N10058">
        <v>15.383800000000001</v>
      </c>
      <c r="O10058">
        <v>16.764289999999999</v>
      </c>
      <c r="P10058">
        <v>22.32874</v>
      </c>
      <c r="Q10058">
        <v>23.493030000000001</v>
      </c>
      <c r="R10058">
        <v>24.548079999999999</v>
      </c>
      <c r="S10058">
        <v>22.32874</v>
      </c>
      <c r="T10058">
        <v>1697.72</v>
      </c>
      <c r="U10058">
        <v>287</v>
      </c>
      <c r="V10058">
        <v>2.519164</v>
      </c>
      <c r="W10058">
        <v>76</v>
      </c>
      <c r="X10058">
        <v>827.16200000000003</v>
      </c>
      <c r="Y10058">
        <v>18.519159999999999</v>
      </c>
      <c r="Z10058">
        <v>224.03829999999999</v>
      </c>
      <c r="AA10058">
        <v>827.16200000000003</v>
      </c>
      <c r="AB10058">
        <v>16.598610000000001</v>
      </c>
      <c r="AC10058">
        <v>1.811724E-2</v>
      </c>
      <c r="AD10058">
        <v>4.6542219999999999</v>
      </c>
      <c r="AE10058">
        <v>0.19455459999999999</v>
      </c>
      <c r="AF10058">
        <v>954.40589999999997</v>
      </c>
      <c r="AG10058">
        <f>IFERROR(AH10058*0.1, "N/A")</f>
        <v>5.7231710000000007</v>
      </c>
      <c r="AH10058">
        <v>57.23171</v>
      </c>
      <c r="AI10058">
        <v>66.527590000000004</v>
      </c>
      <c r="AJ10058">
        <v>37.76829</v>
      </c>
      <c r="AK10058">
        <v>39.23171</v>
      </c>
    </row>
    <row r="10059" spans="1:37" x14ac:dyDescent="0.3">
      <c r="A10059">
        <v>10058</v>
      </c>
      <c r="B10059">
        <v>0</v>
      </c>
      <c r="C10059">
        <v>12</v>
      </c>
      <c r="D10059">
        <v>6.7833300000000003</v>
      </c>
      <c r="E10059" t="s">
        <v>15203</v>
      </c>
      <c r="F10059" t="s">
        <v>15205</v>
      </c>
      <c r="G10059" t="s">
        <v>2420</v>
      </c>
      <c r="H10059">
        <v>1990</v>
      </c>
      <c r="I10059">
        <v>23.34808</v>
      </c>
      <c r="J10059">
        <v>11.664289999999999</v>
      </c>
      <c r="K10059">
        <v>69</v>
      </c>
      <c r="L10059">
        <v>8.6212370000000007</v>
      </c>
      <c r="M10059">
        <v>32.14808</v>
      </c>
      <c r="N10059">
        <v>15.383800000000001</v>
      </c>
      <c r="O10059">
        <v>16.764289999999999</v>
      </c>
      <c r="P10059">
        <v>22.32874</v>
      </c>
      <c r="Q10059">
        <v>23.493030000000001</v>
      </c>
      <c r="R10059">
        <v>24.548079999999999</v>
      </c>
      <c r="S10059">
        <v>22.32874</v>
      </c>
      <c r="T10059">
        <v>1697.72</v>
      </c>
      <c r="U10059">
        <v>287</v>
      </c>
      <c r="V10059">
        <v>2.519164</v>
      </c>
      <c r="W10059">
        <v>76</v>
      </c>
      <c r="X10059">
        <v>827.16200000000003</v>
      </c>
      <c r="Y10059">
        <v>18.519159999999999</v>
      </c>
      <c r="Z10059">
        <v>224.03829999999999</v>
      </c>
      <c r="AA10059">
        <v>827.16200000000003</v>
      </c>
      <c r="AB10059">
        <v>16.598610000000001</v>
      </c>
      <c r="AC10059">
        <v>1.811724E-2</v>
      </c>
      <c r="AD10059">
        <v>4.6542219999999999</v>
      </c>
      <c r="AE10059">
        <v>0.19455459999999999</v>
      </c>
      <c r="AF10059">
        <v>954.40589999999997</v>
      </c>
      <c r="AG10059">
        <f>IFERROR(AH10059*0.1, "N/A")</f>
        <v>5.7231710000000007</v>
      </c>
      <c r="AH10059">
        <v>57.23171</v>
      </c>
      <c r="AI10059">
        <v>66.527590000000004</v>
      </c>
      <c r="AJ10059">
        <v>37.76829</v>
      </c>
      <c r="AK10059">
        <v>39.23171</v>
      </c>
    </row>
    <row r="10060" spans="1:37" x14ac:dyDescent="0.3">
      <c r="A10060">
        <v>10059</v>
      </c>
      <c r="B10060">
        <v>0</v>
      </c>
      <c r="C10060">
        <v>14.7</v>
      </c>
      <c r="D10060">
        <v>6.8333300000000001</v>
      </c>
      <c r="E10060" t="s">
        <v>15206</v>
      </c>
      <c r="F10060" t="s">
        <v>15207</v>
      </c>
      <c r="G10060" t="s">
        <v>39</v>
      </c>
      <c r="H10060">
        <v>1990</v>
      </c>
      <c r="I10060">
        <v>21.696529999999999</v>
      </c>
      <c r="J10060">
        <v>11.98038</v>
      </c>
      <c r="K10060">
        <v>70</v>
      </c>
      <c r="L10060">
        <v>9.6633849999999999</v>
      </c>
      <c r="M10060">
        <v>30.548259999999999</v>
      </c>
      <c r="N10060">
        <v>13.548260000000001</v>
      </c>
      <c r="O10060">
        <v>17</v>
      </c>
      <c r="P10060">
        <v>20.596530000000001</v>
      </c>
      <c r="Q10060">
        <v>21.84826</v>
      </c>
      <c r="R10060">
        <v>23.096530000000001</v>
      </c>
      <c r="S10060">
        <v>20.596530000000001</v>
      </c>
      <c r="T10060">
        <v>1526.069</v>
      </c>
      <c r="U10060">
        <v>286</v>
      </c>
      <c r="V10060">
        <v>2</v>
      </c>
      <c r="W10060">
        <v>82</v>
      </c>
      <c r="X10060">
        <v>811.71349999999995</v>
      </c>
      <c r="Y10060">
        <v>11</v>
      </c>
      <c r="Z10060">
        <v>172.03469999999999</v>
      </c>
      <c r="AA10060">
        <v>811.71349999999995</v>
      </c>
      <c r="AB10060">
        <v>38.05538</v>
      </c>
      <c r="AC10060">
        <v>8.4883379999999998E-3</v>
      </c>
      <c r="AD10060">
        <v>1.886309</v>
      </c>
      <c r="AE10060">
        <v>0.49630580000000002</v>
      </c>
      <c r="AF10060">
        <v>1267.3920000000001</v>
      </c>
      <c r="AG10060">
        <f>IFERROR(AH10060*0.1, "N/A")</f>
        <v>5.2506940000000002</v>
      </c>
      <c r="AH10060">
        <v>52.50694</v>
      </c>
      <c r="AI10060">
        <v>139.60329999999999</v>
      </c>
      <c r="AJ10060">
        <v>30.44792</v>
      </c>
      <c r="AK10060">
        <v>44.517359999999996</v>
      </c>
    </row>
    <row r="10061" spans="1:37" x14ac:dyDescent="0.3">
      <c r="A10061">
        <v>10060</v>
      </c>
      <c r="B10061">
        <v>41.7</v>
      </c>
      <c r="C10061">
        <v>14.7</v>
      </c>
      <c r="D10061">
        <v>6.8333300000000001</v>
      </c>
      <c r="E10061" t="s">
        <v>15206</v>
      </c>
      <c r="F10061" t="s">
        <v>15208</v>
      </c>
      <c r="G10061" t="s">
        <v>37</v>
      </c>
      <c r="H10061">
        <v>1990</v>
      </c>
      <c r="I10061">
        <v>21.696529999999999</v>
      </c>
      <c r="J10061">
        <v>11.98038</v>
      </c>
      <c r="K10061">
        <v>70</v>
      </c>
      <c r="L10061">
        <v>9.6633849999999999</v>
      </c>
      <c r="M10061">
        <v>30.548259999999999</v>
      </c>
      <c r="N10061">
        <v>13.548260000000001</v>
      </c>
      <c r="O10061">
        <v>17</v>
      </c>
      <c r="P10061">
        <v>20.596530000000001</v>
      </c>
      <c r="Q10061">
        <v>21.84826</v>
      </c>
      <c r="R10061">
        <v>23.096530000000001</v>
      </c>
      <c r="S10061">
        <v>20.596530000000001</v>
      </c>
      <c r="T10061">
        <v>1526.069</v>
      </c>
      <c r="U10061">
        <v>286</v>
      </c>
      <c r="V10061">
        <v>2</v>
      </c>
      <c r="W10061">
        <v>82</v>
      </c>
      <c r="X10061">
        <v>811.71349999999995</v>
      </c>
      <c r="Y10061">
        <v>11</v>
      </c>
      <c r="Z10061">
        <v>172.03469999999999</v>
      </c>
      <c r="AA10061">
        <v>811.71349999999995</v>
      </c>
      <c r="AB10061">
        <v>38.05538</v>
      </c>
      <c r="AC10061">
        <v>8.4883379999999998E-3</v>
      </c>
      <c r="AD10061">
        <v>1.886309</v>
      </c>
      <c r="AE10061">
        <v>0.49630580000000002</v>
      </c>
      <c r="AF10061">
        <v>1267.3920000000001</v>
      </c>
      <c r="AG10061">
        <f>IFERROR(AH10061*0.1, "N/A")</f>
        <v>5.2506940000000002</v>
      </c>
      <c r="AH10061">
        <v>52.50694</v>
      </c>
      <c r="AI10061">
        <v>139.60329999999999</v>
      </c>
      <c r="AJ10061">
        <v>30.44792</v>
      </c>
      <c r="AK10061">
        <v>44.517359999999996</v>
      </c>
    </row>
    <row r="10062" spans="1:37" x14ac:dyDescent="0.3">
      <c r="A10062">
        <v>10061</v>
      </c>
      <c r="B10062">
        <v>0</v>
      </c>
      <c r="C10062">
        <v>14.7</v>
      </c>
      <c r="D10062">
        <v>6.8333300000000001</v>
      </c>
      <c r="E10062" t="s">
        <v>15206</v>
      </c>
      <c r="F10062" t="s">
        <v>15209</v>
      </c>
      <c r="G10062" t="s">
        <v>2420</v>
      </c>
      <c r="H10062">
        <v>1990</v>
      </c>
      <c r="I10062">
        <v>21.696529999999999</v>
      </c>
      <c r="J10062">
        <v>11.98038</v>
      </c>
      <c r="K10062">
        <v>70</v>
      </c>
      <c r="L10062">
        <v>9.6633849999999999</v>
      </c>
      <c r="M10062">
        <v>30.548259999999999</v>
      </c>
      <c r="N10062">
        <v>13.548260000000001</v>
      </c>
      <c r="O10062">
        <v>17</v>
      </c>
      <c r="P10062">
        <v>20.596530000000001</v>
      </c>
      <c r="Q10062">
        <v>21.84826</v>
      </c>
      <c r="R10062">
        <v>23.096530000000001</v>
      </c>
      <c r="S10062">
        <v>20.596530000000001</v>
      </c>
      <c r="T10062">
        <v>1526.069</v>
      </c>
      <c r="U10062">
        <v>286</v>
      </c>
      <c r="V10062">
        <v>2</v>
      </c>
      <c r="W10062">
        <v>82</v>
      </c>
      <c r="X10062">
        <v>811.71349999999995</v>
      </c>
      <c r="Y10062">
        <v>11</v>
      </c>
      <c r="Z10062">
        <v>172.03469999999999</v>
      </c>
      <c r="AA10062">
        <v>811.71349999999995</v>
      </c>
      <c r="AB10062">
        <v>38.05538</v>
      </c>
      <c r="AC10062">
        <v>8.4883379999999998E-3</v>
      </c>
      <c r="AD10062">
        <v>1.886309</v>
      </c>
      <c r="AE10062">
        <v>0.49630580000000002</v>
      </c>
      <c r="AF10062">
        <v>1267.3920000000001</v>
      </c>
      <c r="AG10062">
        <f>IFERROR(AH10062*0.1, "N/A")</f>
        <v>5.2506940000000002</v>
      </c>
      <c r="AH10062">
        <v>52.50694</v>
      </c>
      <c r="AI10062">
        <v>139.60329999999999</v>
      </c>
      <c r="AJ10062">
        <v>30.44792</v>
      </c>
      <c r="AK10062">
        <v>44.517359999999996</v>
      </c>
    </row>
    <row r="10063" spans="1:37" x14ac:dyDescent="0.3">
      <c r="A10063">
        <v>10062</v>
      </c>
      <c r="B10063">
        <v>0</v>
      </c>
      <c r="C10063">
        <v>14.4056</v>
      </c>
      <c r="D10063">
        <v>6.8722200000000004</v>
      </c>
      <c r="E10063" t="s">
        <v>15210</v>
      </c>
      <c r="F10063" t="s">
        <v>15211</v>
      </c>
      <c r="G10063" t="s">
        <v>39</v>
      </c>
      <c r="H10063">
        <v>1990</v>
      </c>
      <c r="I10063">
        <v>23.6</v>
      </c>
      <c r="J10063">
        <v>12.1</v>
      </c>
      <c r="K10063">
        <v>68</v>
      </c>
      <c r="L10063">
        <v>10.06</v>
      </c>
      <c r="M10063">
        <v>32.299999999999997</v>
      </c>
      <c r="N10063">
        <v>14.7</v>
      </c>
      <c r="O10063">
        <v>17.600000000000001</v>
      </c>
      <c r="P10063">
        <v>22.5</v>
      </c>
      <c r="Q10063">
        <v>23.5</v>
      </c>
      <c r="R10063">
        <v>25</v>
      </c>
      <c r="S10063">
        <v>22.5</v>
      </c>
      <c r="T10063">
        <v>1513</v>
      </c>
      <c r="U10063">
        <v>287</v>
      </c>
      <c r="V10063">
        <v>1</v>
      </c>
      <c r="W10063">
        <v>84</v>
      </c>
      <c r="X10063">
        <v>816</v>
      </c>
      <c r="Y10063">
        <v>6</v>
      </c>
      <c r="Z10063">
        <v>159</v>
      </c>
      <c r="AA10063">
        <v>816</v>
      </c>
      <c r="AB10063">
        <v>11.746259999999999</v>
      </c>
      <c r="AC10063">
        <v>4.819536E-2</v>
      </c>
      <c r="AD10063">
        <v>3.593397</v>
      </c>
      <c r="AE10063">
        <v>0.2076646</v>
      </c>
      <c r="AF10063">
        <v>889.83130000000006</v>
      </c>
      <c r="AG10063">
        <f>IFERROR(AH10063*0.1, "N/A")</f>
        <v>5.5</v>
      </c>
      <c r="AH10063">
        <v>55</v>
      </c>
      <c r="AI10063">
        <v>293.73599999999999</v>
      </c>
      <c r="AJ10063">
        <v>33.796520000000001</v>
      </c>
      <c r="AK10063">
        <v>42.2</v>
      </c>
    </row>
    <row r="10064" spans="1:37" x14ac:dyDescent="0.3">
      <c r="A10064">
        <v>10063</v>
      </c>
      <c r="B10064">
        <v>6.4</v>
      </c>
      <c r="C10064">
        <v>14.4056</v>
      </c>
      <c r="D10064">
        <v>6.8722200000000004</v>
      </c>
      <c r="E10064" t="s">
        <v>15210</v>
      </c>
      <c r="F10064" t="s">
        <v>15212</v>
      </c>
      <c r="G10064" t="s">
        <v>37</v>
      </c>
      <c r="H10064">
        <v>1990</v>
      </c>
      <c r="I10064">
        <v>23.6</v>
      </c>
      <c r="J10064">
        <v>12.1</v>
      </c>
      <c r="K10064">
        <v>68</v>
      </c>
      <c r="L10064">
        <v>10.06</v>
      </c>
      <c r="M10064">
        <v>32.299999999999997</v>
      </c>
      <c r="N10064">
        <v>14.7</v>
      </c>
      <c r="O10064">
        <v>17.600000000000001</v>
      </c>
      <c r="P10064">
        <v>22.5</v>
      </c>
      <c r="Q10064">
        <v>23.5</v>
      </c>
      <c r="R10064">
        <v>25</v>
      </c>
      <c r="S10064">
        <v>22.5</v>
      </c>
      <c r="T10064">
        <v>1513</v>
      </c>
      <c r="U10064">
        <v>287</v>
      </c>
      <c r="V10064">
        <v>1</v>
      </c>
      <c r="W10064">
        <v>84</v>
      </c>
      <c r="X10064">
        <v>816</v>
      </c>
      <c r="Y10064">
        <v>6</v>
      </c>
      <c r="Z10064">
        <v>159</v>
      </c>
      <c r="AA10064">
        <v>816</v>
      </c>
      <c r="AB10064">
        <v>11.746259999999999</v>
      </c>
      <c r="AC10064">
        <v>4.819536E-2</v>
      </c>
      <c r="AD10064">
        <v>3.593397</v>
      </c>
      <c r="AE10064">
        <v>0.2076646</v>
      </c>
      <c r="AF10064">
        <v>889.83130000000006</v>
      </c>
      <c r="AG10064">
        <f>IFERROR(AH10064*0.1, "N/A")</f>
        <v>5.5</v>
      </c>
      <c r="AH10064">
        <v>55</v>
      </c>
      <c r="AI10064">
        <v>293.73599999999999</v>
      </c>
      <c r="AJ10064">
        <v>33.796520000000001</v>
      </c>
      <c r="AK10064">
        <v>42.2</v>
      </c>
    </row>
    <row r="10065" spans="1:37" x14ac:dyDescent="0.3">
      <c r="A10065">
        <v>10064</v>
      </c>
      <c r="B10065">
        <v>0</v>
      </c>
      <c r="C10065">
        <v>14.4056</v>
      </c>
      <c r="D10065">
        <v>6.8722200000000004</v>
      </c>
      <c r="E10065" t="s">
        <v>15210</v>
      </c>
      <c r="F10065" t="s">
        <v>15213</v>
      </c>
      <c r="G10065" t="s">
        <v>2420</v>
      </c>
      <c r="H10065">
        <v>1990</v>
      </c>
      <c r="I10065">
        <v>23.6</v>
      </c>
      <c r="J10065">
        <v>12.1</v>
      </c>
      <c r="K10065">
        <v>68</v>
      </c>
      <c r="L10065">
        <v>10.06</v>
      </c>
      <c r="M10065">
        <v>32.299999999999997</v>
      </c>
      <c r="N10065">
        <v>14.7</v>
      </c>
      <c r="O10065">
        <v>17.600000000000001</v>
      </c>
      <c r="P10065">
        <v>22.5</v>
      </c>
      <c r="Q10065">
        <v>23.5</v>
      </c>
      <c r="R10065">
        <v>25</v>
      </c>
      <c r="S10065">
        <v>22.5</v>
      </c>
      <c r="T10065">
        <v>1513</v>
      </c>
      <c r="U10065">
        <v>287</v>
      </c>
      <c r="V10065">
        <v>1</v>
      </c>
      <c r="W10065">
        <v>84</v>
      </c>
      <c r="X10065">
        <v>816</v>
      </c>
      <c r="Y10065">
        <v>6</v>
      </c>
      <c r="Z10065">
        <v>159</v>
      </c>
      <c r="AA10065">
        <v>816</v>
      </c>
      <c r="AB10065">
        <v>11.746259999999999</v>
      </c>
      <c r="AC10065">
        <v>4.819536E-2</v>
      </c>
      <c r="AD10065">
        <v>3.593397</v>
      </c>
      <c r="AE10065">
        <v>0.2076646</v>
      </c>
      <c r="AF10065">
        <v>889.83130000000006</v>
      </c>
      <c r="AG10065">
        <f>IFERROR(AH10065*0.1, "N/A")</f>
        <v>5.5</v>
      </c>
      <c r="AH10065">
        <v>55</v>
      </c>
      <c r="AI10065">
        <v>293.73599999999999</v>
      </c>
      <c r="AJ10065">
        <v>33.796520000000001</v>
      </c>
      <c r="AK10065">
        <v>42.2</v>
      </c>
    </row>
    <row r="10066" spans="1:37" x14ac:dyDescent="0.3">
      <c r="A10066">
        <v>10065</v>
      </c>
      <c r="B10066">
        <v>0</v>
      </c>
      <c r="C10066">
        <v>14.466699999999999</v>
      </c>
      <c r="D10066">
        <v>6.9166699999999999</v>
      </c>
      <c r="E10066" t="s">
        <v>15214</v>
      </c>
      <c r="F10066" t="s">
        <v>15215</v>
      </c>
      <c r="G10066" t="s">
        <v>39</v>
      </c>
      <c r="H10066">
        <v>1990</v>
      </c>
      <c r="I10066">
        <v>23.244350000000001</v>
      </c>
      <c r="J10066">
        <v>12.1</v>
      </c>
      <c r="K10066">
        <v>68</v>
      </c>
      <c r="L10066">
        <v>10.00986</v>
      </c>
      <c r="M10066">
        <v>32</v>
      </c>
      <c r="N10066">
        <v>14.39635</v>
      </c>
      <c r="O10066">
        <v>17.603649999999998</v>
      </c>
      <c r="P10066">
        <v>22.144349999999999</v>
      </c>
      <c r="Q10066">
        <v>23.1</v>
      </c>
      <c r="R10066">
        <v>24.624870000000001</v>
      </c>
      <c r="S10066">
        <v>22.144349999999999</v>
      </c>
      <c r="T10066">
        <v>1512.3219999999999</v>
      </c>
      <c r="U10066">
        <v>289</v>
      </c>
      <c r="V10066">
        <v>1</v>
      </c>
      <c r="W10066">
        <v>84</v>
      </c>
      <c r="X10066">
        <v>820</v>
      </c>
      <c r="Y10066">
        <v>6</v>
      </c>
      <c r="Z10066">
        <v>159</v>
      </c>
      <c r="AA10066">
        <v>820</v>
      </c>
      <c r="AB10066">
        <v>26.436689999999999</v>
      </c>
      <c r="AC10066">
        <v>1.406608E-2</v>
      </c>
      <c r="AD10066">
        <v>2.0742039999999999</v>
      </c>
      <c r="AE10066">
        <v>0.22801969999999999</v>
      </c>
      <c r="AF10066">
        <v>970.79650000000004</v>
      </c>
      <c r="AG10066">
        <f>IFERROR(AH10066*0.1, "N/A")</f>
        <v>5.5733910000000009</v>
      </c>
      <c r="AH10066">
        <v>55.733910000000002</v>
      </c>
      <c r="AI10066">
        <v>156.78270000000001</v>
      </c>
      <c r="AJ10066">
        <v>35.07826</v>
      </c>
      <c r="AK10066">
        <v>38.940869999999997</v>
      </c>
    </row>
    <row r="10067" spans="1:37" x14ac:dyDescent="0.3">
      <c r="A10067">
        <v>10066</v>
      </c>
      <c r="B10067">
        <v>21.6</v>
      </c>
      <c r="C10067">
        <v>14.466699999999999</v>
      </c>
      <c r="D10067">
        <v>6.9166699999999999</v>
      </c>
      <c r="E10067" t="s">
        <v>15214</v>
      </c>
      <c r="F10067" t="s">
        <v>15216</v>
      </c>
      <c r="G10067" t="s">
        <v>37</v>
      </c>
      <c r="H10067">
        <v>1990</v>
      </c>
      <c r="I10067">
        <v>23.244350000000001</v>
      </c>
      <c r="J10067">
        <v>12.1</v>
      </c>
      <c r="K10067">
        <v>68</v>
      </c>
      <c r="L10067">
        <v>10.00986</v>
      </c>
      <c r="M10067">
        <v>32</v>
      </c>
      <c r="N10067">
        <v>14.39635</v>
      </c>
      <c r="O10067">
        <v>17.603649999999998</v>
      </c>
      <c r="P10067">
        <v>22.144349999999999</v>
      </c>
      <c r="Q10067">
        <v>23.1</v>
      </c>
      <c r="R10067">
        <v>24.624870000000001</v>
      </c>
      <c r="S10067">
        <v>22.144349999999999</v>
      </c>
      <c r="T10067">
        <v>1512.3219999999999</v>
      </c>
      <c r="U10067">
        <v>289</v>
      </c>
      <c r="V10067">
        <v>1</v>
      </c>
      <c r="W10067">
        <v>84</v>
      </c>
      <c r="X10067">
        <v>820</v>
      </c>
      <c r="Y10067">
        <v>6</v>
      </c>
      <c r="Z10067">
        <v>159</v>
      </c>
      <c r="AA10067">
        <v>820</v>
      </c>
      <c r="AB10067">
        <v>26.436689999999999</v>
      </c>
      <c r="AC10067">
        <v>1.406608E-2</v>
      </c>
      <c r="AD10067">
        <v>2.0742039999999999</v>
      </c>
      <c r="AE10067">
        <v>0.22801969999999999</v>
      </c>
      <c r="AF10067">
        <v>970.79650000000004</v>
      </c>
      <c r="AG10067">
        <f>IFERROR(AH10067*0.1, "N/A")</f>
        <v>5.5733910000000009</v>
      </c>
      <c r="AH10067">
        <v>55.733910000000002</v>
      </c>
      <c r="AI10067">
        <v>156.78270000000001</v>
      </c>
      <c r="AJ10067">
        <v>35.07826</v>
      </c>
      <c r="AK10067">
        <v>38.940869999999997</v>
      </c>
    </row>
    <row r="10068" spans="1:37" x14ac:dyDescent="0.3">
      <c r="A10068">
        <v>10067</v>
      </c>
      <c r="B10068">
        <v>0</v>
      </c>
      <c r="C10068">
        <v>14.466699999999999</v>
      </c>
      <c r="D10068">
        <v>6.9166699999999999</v>
      </c>
      <c r="E10068" t="s">
        <v>15214</v>
      </c>
      <c r="F10068" t="s">
        <v>15217</v>
      </c>
      <c r="G10068" t="s">
        <v>2420</v>
      </c>
      <c r="H10068">
        <v>1990</v>
      </c>
      <c r="I10068">
        <v>23.244350000000001</v>
      </c>
      <c r="J10068">
        <v>12.1</v>
      </c>
      <c r="K10068">
        <v>68</v>
      </c>
      <c r="L10068">
        <v>10.00986</v>
      </c>
      <c r="M10068">
        <v>32</v>
      </c>
      <c r="N10068">
        <v>14.39635</v>
      </c>
      <c r="O10068">
        <v>17.603649999999998</v>
      </c>
      <c r="P10068">
        <v>22.144349999999999</v>
      </c>
      <c r="Q10068">
        <v>23.1</v>
      </c>
      <c r="R10068">
        <v>24.624870000000001</v>
      </c>
      <c r="S10068">
        <v>22.144349999999999</v>
      </c>
      <c r="T10068">
        <v>1512.3219999999999</v>
      </c>
      <c r="U10068">
        <v>289</v>
      </c>
      <c r="V10068">
        <v>1</v>
      </c>
      <c r="W10068">
        <v>84</v>
      </c>
      <c r="X10068">
        <v>820</v>
      </c>
      <c r="Y10068">
        <v>6</v>
      </c>
      <c r="Z10068">
        <v>159</v>
      </c>
      <c r="AA10068">
        <v>820</v>
      </c>
      <c r="AB10068">
        <v>26.436689999999999</v>
      </c>
      <c r="AC10068">
        <v>1.406608E-2</v>
      </c>
      <c r="AD10068">
        <v>2.0742039999999999</v>
      </c>
      <c r="AE10068">
        <v>0.22801969999999999</v>
      </c>
      <c r="AF10068">
        <v>970.79650000000004</v>
      </c>
      <c r="AG10068">
        <f>IFERROR(AH10068*0.1, "N/A")</f>
        <v>5.5733910000000009</v>
      </c>
      <c r="AH10068">
        <v>55.733910000000002</v>
      </c>
      <c r="AI10068">
        <v>156.78270000000001</v>
      </c>
      <c r="AJ10068">
        <v>35.07826</v>
      </c>
      <c r="AK10068">
        <v>38.940869999999997</v>
      </c>
    </row>
    <row r="10069" spans="1:37" x14ac:dyDescent="0.3">
      <c r="A10069">
        <v>10068</v>
      </c>
      <c r="B10069">
        <v>6.7</v>
      </c>
      <c r="C10069">
        <v>12.869400000000001</v>
      </c>
      <c r="D10069">
        <v>6.9680600000000004</v>
      </c>
      <c r="E10069" t="s">
        <v>15218</v>
      </c>
      <c r="F10069" t="s">
        <v>15219</v>
      </c>
      <c r="G10069" t="s">
        <v>37</v>
      </c>
      <c r="H10069">
        <v>1962</v>
      </c>
      <c r="I10069">
        <v>22.4</v>
      </c>
      <c r="J10069">
        <v>12.6</v>
      </c>
      <c r="K10069">
        <v>69</v>
      </c>
      <c r="L10069">
        <v>8.6300000000000008</v>
      </c>
      <c r="M10069">
        <v>31.2</v>
      </c>
      <c r="N10069">
        <v>13</v>
      </c>
      <c r="O10069">
        <v>18.2</v>
      </c>
      <c r="P10069">
        <v>21.6</v>
      </c>
      <c r="Q10069">
        <v>21.9</v>
      </c>
      <c r="R10069">
        <v>23.6</v>
      </c>
      <c r="S10069">
        <v>21.6</v>
      </c>
      <c r="T10069">
        <v>1606</v>
      </c>
      <c r="U10069">
        <v>281</v>
      </c>
      <c r="V10069">
        <v>1</v>
      </c>
      <c r="W10069">
        <v>81</v>
      </c>
      <c r="X10069">
        <v>818</v>
      </c>
      <c r="Y10069">
        <v>8</v>
      </c>
      <c r="Z10069">
        <v>375</v>
      </c>
      <c r="AA10069">
        <v>818</v>
      </c>
      <c r="AB10069">
        <v>31.810759999999998</v>
      </c>
      <c r="AC10069">
        <v>9.4782370000000005E-3</v>
      </c>
      <c r="AD10069">
        <v>2.9032640000000001</v>
      </c>
      <c r="AE10069">
        <v>0.28574050000000001</v>
      </c>
      <c r="AF10069">
        <v>1073.9949999999999</v>
      </c>
      <c r="AG10069">
        <f>IFERROR(AH10069*0.1, "N/A")</f>
        <v>5.3366490000000004</v>
      </c>
      <c r="AH10069">
        <v>53.366489999999999</v>
      </c>
      <c r="AI10069">
        <v>283.86399999999998</v>
      </c>
      <c r="AJ10069">
        <v>29.366489999999999</v>
      </c>
      <c r="AK10069">
        <v>44</v>
      </c>
    </row>
    <row r="10070" spans="1:37" x14ac:dyDescent="0.3">
      <c r="A10070">
        <v>10069</v>
      </c>
      <c r="B10070">
        <v>0</v>
      </c>
      <c r="C10070">
        <v>12.869400000000001</v>
      </c>
      <c r="D10070">
        <v>6.9680600000000004</v>
      </c>
      <c r="E10070" t="s">
        <v>15218</v>
      </c>
      <c r="F10070" t="s">
        <v>15220</v>
      </c>
      <c r="G10070" t="s">
        <v>39</v>
      </c>
      <c r="H10070">
        <v>1962</v>
      </c>
      <c r="I10070">
        <v>22.4</v>
      </c>
      <c r="J10070">
        <v>12.6</v>
      </c>
      <c r="K10070">
        <v>69</v>
      </c>
      <c r="L10070">
        <v>8.6300000000000008</v>
      </c>
      <c r="M10070">
        <v>31.2</v>
      </c>
      <c r="N10070">
        <v>13</v>
      </c>
      <c r="O10070">
        <v>18.2</v>
      </c>
      <c r="P10070">
        <v>21.6</v>
      </c>
      <c r="Q10070">
        <v>21.9</v>
      </c>
      <c r="R10070">
        <v>23.6</v>
      </c>
      <c r="S10070">
        <v>21.6</v>
      </c>
      <c r="T10070">
        <v>1606</v>
      </c>
      <c r="U10070">
        <v>281</v>
      </c>
      <c r="V10070">
        <v>1</v>
      </c>
      <c r="W10070">
        <v>81</v>
      </c>
      <c r="X10070">
        <v>818</v>
      </c>
      <c r="Y10070">
        <v>8</v>
      </c>
      <c r="Z10070">
        <v>375</v>
      </c>
      <c r="AA10070">
        <v>818</v>
      </c>
      <c r="AB10070">
        <v>31.810759999999998</v>
      </c>
      <c r="AC10070">
        <v>9.4782370000000005E-3</v>
      </c>
      <c r="AD10070">
        <v>2.9032640000000001</v>
      </c>
      <c r="AE10070">
        <v>0.28574050000000001</v>
      </c>
      <c r="AF10070">
        <v>1073.9949999999999</v>
      </c>
      <c r="AG10070">
        <f>IFERROR(AH10070*0.1, "N/A")</f>
        <v>5.3366490000000004</v>
      </c>
      <c r="AH10070">
        <v>53.366489999999999</v>
      </c>
      <c r="AI10070">
        <v>283.86399999999998</v>
      </c>
      <c r="AJ10070">
        <v>29.366489999999999</v>
      </c>
      <c r="AK10070">
        <v>44</v>
      </c>
    </row>
    <row r="10071" spans="1:37" x14ac:dyDescent="0.3">
      <c r="A10071">
        <v>10070</v>
      </c>
      <c r="B10071">
        <v>0</v>
      </c>
      <c r="C10071">
        <v>12.666700000000001</v>
      </c>
      <c r="D10071">
        <v>7.0111100000000004</v>
      </c>
      <c r="E10071" t="s">
        <v>15221</v>
      </c>
      <c r="F10071" t="s">
        <v>15222</v>
      </c>
      <c r="G10071" t="s">
        <v>39</v>
      </c>
      <c r="H10071">
        <v>1990</v>
      </c>
      <c r="I10071">
        <v>22.38748</v>
      </c>
      <c r="J10071">
        <v>12.5</v>
      </c>
      <c r="K10071">
        <v>68.125219999999999</v>
      </c>
      <c r="L10071">
        <v>8.5550090000000001</v>
      </c>
      <c r="M10071">
        <v>31.287479999999999</v>
      </c>
      <c r="N10071">
        <v>13.1</v>
      </c>
      <c r="O10071">
        <v>18.187480000000001</v>
      </c>
      <c r="P10071">
        <v>21.674959999999999</v>
      </c>
      <c r="Q10071">
        <v>21.88748</v>
      </c>
      <c r="R10071">
        <v>23.6</v>
      </c>
      <c r="S10071">
        <v>21.674959999999999</v>
      </c>
      <c r="T10071">
        <v>1623.125</v>
      </c>
      <c r="U10071">
        <v>280</v>
      </c>
      <c r="V10071">
        <v>1</v>
      </c>
      <c r="W10071">
        <v>80</v>
      </c>
      <c r="X10071">
        <v>824.12519999999995</v>
      </c>
      <c r="Y10071">
        <v>10</v>
      </c>
      <c r="Z10071">
        <v>379</v>
      </c>
      <c r="AA10071">
        <v>824.12519999999995</v>
      </c>
      <c r="AB10071">
        <v>12.721109999999999</v>
      </c>
      <c r="AC10071">
        <v>8.7493879999999996E-2</v>
      </c>
      <c r="AD10071">
        <v>4.3218180000000004</v>
      </c>
      <c r="AE10071">
        <v>0.21541740000000001</v>
      </c>
      <c r="AF10071">
        <v>1067.605</v>
      </c>
      <c r="AG10071">
        <f>IFERROR(AH10071*0.1, "N/A")</f>
        <v>5.6726960000000002</v>
      </c>
      <c r="AH10071">
        <v>56.726959999999998</v>
      </c>
      <c r="AI10071">
        <v>79.301550000000006</v>
      </c>
      <c r="AJ10071">
        <v>37.499130000000001</v>
      </c>
      <c r="AK10071">
        <v>43.102609999999999</v>
      </c>
    </row>
    <row r="10072" spans="1:37" x14ac:dyDescent="0.3">
      <c r="A10072">
        <v>10071</v>
      </c>
      <c r="B10072">
        <v>2.5</v>
      </c>
      <c r="C10072">
        <v>12.666700000000001</v>
      </c>
      <c r="D10072">
        <v>7.0111100000000004</v>
      </c>
      <c r="E10072" t="s">
        <v>15221</v>
      </c>
      <c r="F10072" t="s">
        <v>15223</v>
      </c>
      <c r="G10072" t="s">
        <v>37</v>
      </c>
      <c r="H10072">
        <v>1990</v>
      </c>
      <c r="I10072">
        <v>22.38748</v>
      </c>
      <c r="J10072">
        <v>12.5</v>
      </c>
      <c r="K10072">
        <v>68.125219999999999</v>
      </c>
      <c r="L10072">
        <v>8.5550090000000001</v>
      </c>
      <c r="M10072">
        <v>31.287479999999999</v>
      </c>
      <c r="N10072">
        <v>13.1</v>
      </c>
      <c r="O10072">
        <v>18.187480000000001</v>
      </c>
      <c r="P10072">
        <v>21.674959999999999</v>
      </c>
      <c r="Q10072">
        <v>21.88748</v>
      </c>
      <c r="R10072">
        <v>23.6</v>
      </c>
      <c r="S10072">
        <v>21.674959999999999</v>
      </c>
      <c r="T10072">
        <v>1623.125</v>
      </c>
      <c r="U10072">
        <v>280</v>
      </c>
      <c r="V10072">
        <v>1</v>
      </c>
      <c r="W10072">
        <v>80</v>
      </c>
      <c r="X10072">
        <v>824.12519999999995</v>
      </c>
      <c r="Y10072">
        <v>10</v>
      </c>
      <c r="Z10072">
        <v>379</v>
      </c>
      <c r="AA10072">
        <v>824.12519999999995</v>
      </c>
      <c r="AB10072">
        <v>12.721109999999999</v>
      </c>
      <c r="AC10072">
        <v>8.7493879999999996E-2</v>
      </c>
      <c r="AD10072">
        <v>4.3218180000000004</v>
      </c>
      <c r="AE10072">
        <v>0.21541740000000001</v>
      </c>
      <c r="AF10072">
        <v>1067.605</v>
      </c>
      <c r="AG10072">
        <f>IFERROR(AH10072*0.1, "N/A")</f>
        <v>5.6726960000000002</v>
      </c>
      <c r="AH10072">
        <v>56.726959999999998</v>
      </c>
      <c r="AI10072">
        <v>79.301550000000006</v>
      </c>
      <c r="AJ10072">
        <v>37.499130000000001</v>
      </c>
      <c r="AK10072">
        <v>43.102609999999999</v>
      </c>
    </row>
    <row r="10073" spans="1:37" x14ac:dyDescent="0.3">
      <c r="A10073">
        <v>10072</v>
      </c>
      <c r="B10073">
        <v>0</v>
      </c>
      <c r="C10073">
        <v>12.666700000000001</v>
      </c>
      <c r="D10073">
        <v>7.0111100000000004</v>
      </c>
      <c r="E10073" t="s">
        <v>15221</v>
      </c>
      <c r="F10073" t="s">
        <v>15224</v>
      </c>
      <c r="G10073" t="s">
        <v>2420</v>
      </c>
      <c r="H10073">
        <v>1990</v>
      </c>
      <c r="I10073">
        <v>22.38748</v>
      </c>
      <c r="J10073">
        <v>12.5</v>
      </c>
      <c r="K10073">
        <v>68.125219999999999</v>
      </c>
      <c r="L10073">
        <v>8.5550090000000001</v>
      </c>
      <c r="M10073">
        <v>31.287479999999999</v>
      </c>
      <c r="N10073">
        <v>13.1</v>
      </c>
      <c r="O10073">
        <v>18.187480000000001</v>
      </c>
      <c r="P10073">
        <v>21.674959999999999</v>
      </c>
      <c r="Q10073">
        <v>21.88748</v>
      </c>
      <c r="R10073">
        <v>23.6</v>
      </c>
      <c r="S10073">
        <v>21.674959999999999</v>
      </c>
      <c r="T10073">
        <v>1623.125</v>
      </c>
      <c r="U10073">
        <v>280</v>
      </c>
      <c r="V10073">
        <v>1</v>
      </c>
      <c r="W10073">
        <v>80</v>
      </c>
      <c r="X10073">
        <v>824.12519999999995</v>
      </c>
      <c r="Y10073">
        <v>10</v>
      </c>
      <c r="Z10073">
        <v>379</v>
      </c>
      <c r="AA10073">
        <v>824.12519999999995</v>
      </c>
      <c r="AB10073">
        <v>12.721109999999999</v>
      </c>
      <c r="AC10073">
        <v>8.7493879999999996E-2</v>
      </c>
      <c r="AD10073">
        <v>4.3218180000000004</v>
      </c>
      <c r="AE10073">
        <v>0.21541740000000001</v>
      </c>
      <c r="AF10073">
        <v>1067.605</v>
      </c>
      <c r="AG10073">
        <f>IFERROR(AH10073*0.1, "N/A")</f>
        <v>5.6726960000000002</v>
      </c>
      <c r="AH10073">
        <v>56.726959999999998</v>
      </c>
      <c r="AI10073">
        <v>79.301550000000006</v>
      </c>
      <c r="AJ10073">
        <v>37.499130000000001</v>
      </c>
      <c r="AK10073">
        <v>43.102609999999999</v>
      </c>
    </row>
    <row r="10074" spans="1:37" x14ac:dyDescent="0.3">
      <c r="A10074">
        <v>10073</v>
      </c>
      <c r="B10074">
        <v>1.5</v>
      </c>
      <c r="C10074">
        <v>14.55</v>
      </c>
      <c r="D10074">
        <v>7.0333300000000003</v>
      </c>
      <c r="E10074" t="s">
        <v>15225</v>
      </c>
      <c r="F10074" t="s">
        <v>15226</v>
      </c>
      <c r="G10074" t="s">
        <v>39</v>
      </c>
      <c r="H10074">
        <v>1990</v>
      </c>
      <c r="I10074">
        <v>21.64809</v>
      </c>
      <c r="J10074">
        <v>12.2</v>
      </c>
      <c r="K10074">
        <v>69.439239999999998</v>
      </c>
      <c r="L10074">
        <v>10.08113</v>
      </c>
      <c r="M10074">
        <v>30.548089999999998</v>
      </c>
      <c r="N10074">
        <v>13.09201</v>
      </c>
      <c r="O10074">
        <v>17.45608</v>
      </c>
      <c r="P10074">
        <v>20.592009999999998</v>
      </c>
      <c r="Q10074">
        <v>21.592009999999998</v>
      </c>
      <c r="R10074">
        <v>23.14809</v>
      </c>
      <c r="S10074">
        <v>20.592009999999998</v>
      </c>
      <c r="T10074">
        <v>1522.865</v>
      </c>
      <c r="U10074">
        <v>293.85070000000002</v>
      </c>
      <c r="V10074">
        <v>1</v>
      </c>
      <c r="W10074">
        <v>84.560760000000002</v>
      </c>
      <c r="X10074">
        <v>827.85069999999996</v>
      </c>
      <c r="Y10074">
        <v>7.4392360000000002</v>
      </c>
      <c r="Z10074">
        <v>165.16839999999999</v>
      </c>
      <c r="AA10074">
        <v>827.85069999999996</v>
      </c>
      <c r="AB10074">
        <v>9.9580289999999998</v>
      </c>
      <c r="AC10074">
        <v>0.81398300000000001</v>
      </c>
      <c r="AD10074">
        <v>7.0188119999999996</v>
      </c>
      <c r="AE10074">
        <v>0.32474170000000002</v>
      </c>
      <c r="AF10074">
        <v>1213.309</v>
      </c>
      <c r="AG10074">
        <f>IFERROR(AH10074*0.1, "N/A")</f>
        <v>5.4237850000000005</v>
      </c>
      <c r="AH10074">
        <v>54.237850000000002</v>
      </c>
      <c r="AI10074">
        <v>191.31979999999999</v>
      </c>
      <c r="AJ10074">
        <v>41.322920000000003</v>
      </c>
      <c r="AK10074">
        <v>33.02778</v>
      </c>
    </row>
    <row r="10075" spans="1:37" x14ac:dyDescent="0.3">
      <c r="A10075">
        <v>10074</v>
      </c>
      <c r="B10075">
        <v>10</v>
      </c>
      <c r="C10075">
        <v>14.55</v>
      </c>
      <c r="D10075">
        <v>7.0333300000000003</v>
      </c>
      <c r="E10075" t="s">
        <v>15225</v>
      </c>
      <c r="F10075" t="s">
        <v>15227</v>
      </c>
      <c r="G10075" t="s">
        <v>37</v>
      </c>
      <c r="H10075">
        <v>1990</v>
      </c>
      <c r="I10075">
        <v>21.64809</v>
      </c>
      <c r="J10075">
        <v>12.2</v>
      </c>
      <c r="K10075">
        <v>69.439239999999998</v>
      </c>
      <c r="L10075">
        <v>10.08113</v>
      </c>
      <c r="M10075">
        <v>30.548089999999998</v>
      </c>
      <c r="N10075">
        <v>13.09201</v>
      </c>
      <c r="O10075">
        <v>17.45608</v>
      </c>
      <c r="P10075">
        <v>20.592009999999998</v>
      </c>
      <c r="Q10075">
        <v>21.592009999999998</v>
      </c>
      <c r="R10075">
        <v>23.14809</v>
      </c>
      <c r="S10075">
        <v>20.592009999999998</v>
      </c>
      <c r="T10075">
        <v>1522.865</v>
      </c>
      <c r="U10075">
        <v>293.85070000000002</v>
      </c>
      <c r="V10075">
        <v>1</v>
      </c>
      <c r="W10075">
        <v>84.560760000000002</v>
      </c>
      <c r="X10075">
        <v>827.85069999999996</v>
      </c>
      <c r="Y10075">
        <v>7.4392360000000002</v>
      </c>
      <c r="Z10075">
        <v>165.16839999999999</v>
      </c>
      <c r="AA10075">
        <v>827.85069999999996</v>
      </c>
      <c r="AB10075">
        <v>9.9580289999999998</v>
      </c>
      <c r="AC10075">
        <v>0.81398300000000001</v>
      </c>
      <c r="AD10075">
        <v>7.0188119999999996</v>
      </c>
      <c r="AE10075">
        <v>0.32474170000000002</v>
      </c>
      <c r="AF10075">
        <v>1213.309</v>
      </c>
      <c r="AG10075">
        <f>IFERROR(AH10075*0.1, "N/A")</f>
        <v>5.4237850000000005</v>
      </c>
      <c r="AH10075">
        <v>54.237850000000002</v>
      </c>
      <c r="AI10075">
        <v>191.31979999999999</v>
      </c>
      <c r="AJ10075">
        <v>41.322920000000003</v>
      </c>
      <c r="AK10075">
        <v>33.02778</v>
      </c>
    </row>
    <row r="10076" spans="1:37" x14ac:dyDescent="0.3">
      <c r="A10076">
        <v>10075</v>
      </c>
      <c r="B10076">
        <v>1.7</v>
      </c>
      <c r="C10076">
        <v>14.55</v>
      </c>
      <c r="D10076">
        <v>7.0333300000000003</v>
      </c>
      <c r="E10076" t="s">
        <v>15225</v>
      </c>
      <c r="F10076" t="s">
        <v>15228</v>
      </c>
      <c r="G10076" t="s">
        <v>2420</v>
      </c>
      <c r="H10076">
        <v>1990</v>
      </c>
      <c r="I10076">
        <v>21.64809</v>
      </c>
      <c r="J10076">
        <v>12.2</v>
      </c>
      <c r="K10076">
        <v>69.439239999999998</v>
      </c>
      <c r="L10076">
        <v>10.08113</v>
      </c>
      <c r="M10076">
        <v>30.548089999999998</v>
      </c>
      <c r="N10076">
        <v>13.09201</v>
      </c>
      <c r="O10076">
        <v>17.45608</v>
      </c>
      <c r="P10076">
        <v>20.592009999999998</v>
      </c>
      <c r="Q10076">
        <v>21.592009999999998</v>
      </c>
      <c r="R10076">
        <v>23.14809</v>
      </c>
      <c r="S10076">
        <v>20.592009999999998</v>
      </c>
      <c r="T10076">
        <v>1522.865</v>
      </c>
      <c r="U10076">
        <v>293.85070000000002</v>
      </c>
      <c r="V10076">
        <v>1</v>
      </c>
      <c r="W10076">
        <v>84.560760000000002</v>
      </c>
      <c r="X10076">
        <v>827.85069999999996</v>
      </c>
      <c r="Y10076">
        <v>7.4392360000000002</v>
      </c>
      <c r="Z10076">
        <v>165.16839999999999</v>
      </c>
      <c r="AA10076">
        <v>827.85069999999996</v>
      </c>
      <c r="AB10076">
        <v>9.9580289999999998</v>
      </c>
      <c r="AC10076">
        <v>0.81398300000000001</v>
      </c>
      <c r="AD10076">
        <v>7.0188119999999996</v>
      </c>
      <c r="AE10076">
        <v>0.32474170000000002</v>
      </c>
      <c r="AF10076">
        <v>1213.309</v>
      </c>
      <c r="AG10076">
        <f>IFERROR(AH10076*0.1, "N/A")</f>
        <v>5.4237850000000005</v>
      </c>
      <c r="AH10076">
        <v>54.237850000000002</v>
      </c>
      <c r="AI10076">
        <v>191.31979999999999</v>
      </c>
      <c r="AJ10076">
        <v>41.322920000000003</v>
      </c>
      <c r="AK10076">
        <v>33.02778</v>
      </c>
    </row>
    <row r="10077" spans="1:37" x14ac:dyDescent="0.3">
      <c r="A10077">
        <v>10076</v>
      </c>
      <c r="B10077">
        <v>0</v>
      </c>
      <c r="C10077">
        <v>13.783300000000001</v>
      </c>
      <c r="D10077">
        <v>7.0722199999999997</v>
      </c>
      <c r="E10077" t="s">
        <v>15229</v>
      </c>
      <c r="F10077" t="s">
        <v>15230</v>
      </c>
      <c r="G10077" t="s">
        <v>39</v>
      </c>
      <c r="H10077">
        <v>1990</v>
      </c>
      <c r="I10077">
        <v>21.5</v>
      </c>
      <c r="J10077">
        <v>12.7</v>
      </c>
      <c r="K10077">
        <v>69.141109999999998</v>
      </c>
      <c r="L10077">
        <v>8.711411</v>
      </c>
      <c r="M10077">
        <v>30.5</v>
      </c>
      <c r="N10077">
        <v>12.22822</v>
      </c>
      <c r="O10077">
        <v>18.27178</v>
      </c>
      <c r="P10077">
        <v>20.6</v>
      </c>
      <c r="Q10077">
        <v>21.2</v>
      </c>
      <c r="R10077">
        <v>22.714110000000002</v>
      </c>
      <c r="S10077">
        <v>20.6</v>
      </c>
      <c r="T10077">
        <v>1557.8589999999999</v>
      </c>
      <c r="U10077">
        <v>287</v>
      </c>
      <c r="V10077">
        <v>1</v>
      </c>
      <c r="W10077">
        <v>83</v>
      </c>
      <c r="X10077">
        <v>813</v>
      </c>
      <c r="Y10077">
        <v>6.8588849999999999</v>
      </c>
      <c r="Z10077">
        <v>368</v>
      </c>
      <c r="AA10077">
        <v>813</v>
      </c>
      <c r="AB10077">
        <v>9.6686390000000006</v>
      </c>
      <c r="AC10077">
        <v>7.9756430000000003E-2</v>
      </c>
      <c r="AD10077">
        <v>1.6583570000000001</v>
      </c>
      <c r="AE10077">
        <v>0.45277679999999998</v>
      </c>
      <c r="AF10077">
        <v>1230.8689999999999</v>
      </c>
      <c r="AG10077">
        <f>IFERROR(AH10077*0.1, "N/A")</f>
        <v>5.2332749999999999</v>
      </c>
      <c r="AH10077">
        <v>52.332749999999997</v>
      </c>
      <c r="AI10077">
        <v>65.444599999999994</v>
      </c>
      <c r="AJ10077">
        <v>32.693379999999998</v>
      </c>
      <c r="AK10077">
        <v>42.60801</v>
      </c>
    </row>
    <row r="10078" spans="1:37" x14ac:dyDescent="0.3">
      <c r="A10078">
        <v>10077</v>
      </c>
      <c r="B10078">
        <v>2.6</v>
      </c>
      <c r="C10078">
        <v>13.783300000000001</v>
      </c>
      <c r="D10078">
        <v>7.0722199999999997</v>
      </c>
      <c r="E10078" t="s">
        <v>15229</v>
      </c>
      <c r="F10078" t="s">
        <v>15231</v>
      </c>
      <c r="G10078" t="s">
        <v>37</v>
      </c>
      <c r="H10078">
        <v>1990</v>
      </c>
      <c r="I10078">
        <v>21.5</v>
      </c>
      <c r="J10078">
        <v>12.7</v>
      </c>
      <c r="K10078">
        <v>69.141109999999998</v>
      </c>
      <c r="L10078">
        <v>8.711411</v>
      </c>
      <c r="M10078">
        <v>30.5</v>
      </c>
      <c r="N10078">
        <v>12.22822</v>
      </c>
      <c r="O10078">
        <v>18.27178</v>
      </c>
      <c r="P10078">
        <v>20.6</v>
      </c>
      <c r="Q10078">
        <v>21.2</v>
      </c>
      <c r="R10078">
        <v>22.714110000000002</v>
      </c>
      <c r="S10078">
        <v>20.6</v>
      </c>
      <c r="T10078">
        <v>1557.8589999999999</v>
      </c>
      <c r="U10078">
        <v>287</v>
      </c>
      <c r="V10078">
        <v>1</v>
      </c>
      <c r="W10078">
        <v>83</v>
      </c>
      <c r="X10078">
        <v>813</v>
      </c>
      <c r="Y10078">
        <v>6.8588849999999999</v>
      </c>
      <c r="Z10078">
        <v>368</v>
      </c>
      <c r="AA10078">
        <v>813</v>
      </c>
      <c r="AB10078">
        <v>9.6686390000000006</v>
      </c>
      <c r="AC10078">
        <v>7.9756430000000003E-2</v>
      </c>
      <c r="AD10078">
        <v>1.6583570000000001</v>
      </c>
      <c r="AE10078">
        <v>0.45277679999999998</v>
      </c>
      <c r="AF10078">
        <v>1230.8689999999999</v>
      </c>
      <c r="AG10078">
        <f>IFERROR(AH10078*0.1, "N/A")</f>
        <v>5.2332749999999999</v>
      </c>
      <c r="AH10078">
        <v>52.332749999999997</v>
      </c>
      <c r="AI10078">
        <v>65.444599999999994</v>
      </c>
      <c r="AJ10078">
        <v>32.693379999999998</v>
      </c>
      <c r="AK10078">
        <v>42.60801</v>
      </c>
    </row>
    <row r="10079" spans="1:37" x14ac:dyDescent="0.3">
      <c r="A10079">
        <v>10078</v>
      </c>
      <c r="B10079">
        <v>0</v>
      </c>
      <c r="C10079">
        <v>13.783300000000001</v>
      </c>
      <c r="D10079">
        <v>7.0722199999999997</v>
      </c>
      <c r="E10079" t="s">
        <v>15229</v>
      </c>
      <c r="F10079" t="s">
        <v>15232</v>
      </c>
      <c r="G10079" t="s">
        <v>2420</v>
      </c>
      <c r="H10079">
        <v>1990</v>
      </c>
      <c r="I10079">
        <v>21.5</v>
      </c>
      <c r="J10079">
        <v>12.7</v>
      </c>
      <c r="K10079">
        <v>69.141109999999998</v>
      </c>
      <c r="L10079">
        <v>8.711411</v>
      </c>
      <c r="M10079">
        <v>30.5</v>
      </c>
      <c r="N10079">
        <v>12.22822</v>
      </c>
      <c r="O10079">
        <v>18.27178</v>
      </c>
      <c r="P10079">
        <v>20.6</v>
      </c>
      <c r="Q10079">
        <v>21.2</v>
      </c>
      <c r="R10079">
        <v>22.714110000000002</v>
      </c>
      <c r="S10079">
        <v>20.6</v>
      </c>
      <c r="T10079">
        <v>1557.8589999999999</v>
      </c>
      <c r="U10079">
        <v>287</v>
      </c>
      <c r="V10079">
        <v>1</v>
      </c>
      <c r="W10079">
        <v>83</v>
      </c>
      <c r="X10079">
        <v>813</v>
      </c>
      <c r="Y10079">
        <v>6.8588849999999999</v>
      </c>
      <c r="Z10079">
        <v>368</v>
      </c>
      <c r="AA10079">
        <v>813</v>
      </c>
      <c r="AB10079">
        <v>9.6686390000000006</v>
      </c>
      <c r="AC10079">
        <v>7.9756430000000003E-2</v>
      </c>
      <c r="AD10079">
        <v>1.6583570000000001</v>
      </c>
      <c r="AE10079">
        <v>0.45277679999999998</v>
      </c>
      <c r="AF10079">
        <v>1230.8689999999999</v>
      </c>
      <c r="AG10079">
        <f>IFERROR(AH10079*0.1, "N/A")</f>
        <v>5.2332749999999999</v>
      </c>
      <c r="AH10079">
        <v>52.332749999999997</v>
      </c>
      <c r="AI10079">
        <v>65.444599999999994</v>
      </c>
      <c r="AJ10079">
        <v>32.693379999999998</v>
      </c>
      <c r="AK10079">
        <v>42.60801</v>
      </c>
    </row>
    <row r="10080" spans="1:37" x14ac:dyDescent="0.3">
      <c r="A10080">
        <v>10079</v>
      </c>
      <c r="B10080">
        <v>2</v>
      </c>
      <c r="C10080">
        <v>11.9833</v>
      </c>
      <c r="D10080">
        <v>7.0750000000000002</v>
      </c>
      <c r="E10080" t="s">
        <v>15233</v>
      </c>
      <c r="F10080" t="s">
        <v>15234</v>
      </c>
      <c r="G10080" t="s">
        <v>39</v>
      </c>
      <c r="H10080">
        <v>1990</v>
      </c>
      <c r="I10080">
        <v>23.031130000000001</v>
      </c>
      <c r="J10080">
        <v>12</v>
      </c>
      <c r="K10080">
        <v>68</v>
      </c>
      <c r="L10080">
        <v>8.8653220000000008</v>
      </c>
      <c r="M10080">
        <v>31.959129999999998</v>
      </c>
      <c r="N10080">
        <v>14.44035</v>
      </c>
      <c r="O10080">
        <v>17.51878</v>
      </c>
      <c r="P10080">
        <v>22.131129999999999</v>
      </c>
      <c r="Q10080">
        <v>22.959129999999998</v>
      </c>
      <c r="R10080">
        <v>24.27148</v>
      </c>
      <c r="S10080">
        <v>22.131129999999999</v>
      </c>
      <c r="T10080">
        <v>1656.393</v>
      </c>
      <c r="U10080">
        <v>282</v>
      </c>
      <c r="V10080">
        <v>2</v>
      </c>
      <c r="W10080">
        <v>78</v>
      </c>
      <c r="X10080">
        <v>827.81740000000002</v>
      </c>
      <c r="Y10080">
        <v>14.4087</v>
      </c>
      <c r="Z10080">
        <v>211.69390000000001</v>
      </c>
      <c r="AA10080">
        <v>827.81740000000002</v>
      </c>
      <c r="AB10080">
        <v>1.9876549999999999</v>
      </c>
      <c r="AC10080">
        <v>36.757950000000001</v>
      </c>
      <c r="AD10080">
        <v>3.0349949999999999</v>
      </c>
      <c r="AE10080">
        <v>0.57479199999999997</v>
      </c>
      <c r="AF10080">
        <v>1000.433</v>
      </c>
      <c r="AG10080">
        <f>IFERROR(AH10080*0.1, "N/A")</f>
        <v>5.7695650000000001</v>
      </c>
      <c r="AH10080">
        <v>57.695650000000001</v>
      </c>
      <c r="AI10080">
        <v>188.32490000000001</v>
      </c>
      <c r="AJ10080">
        <v>31.020869999999999</v>
      </c>
      <c r="AK10080">
        <v>41.979129999999998</v>
      </c>
    </row>
    <row r="10081" spans="1:37" x14ac:dyDescent="0.3">
      <c r="A10081">
        <v>10080</v>
      </c>
      <c r="B10081">
        <v>79.5</v>
      </c>
      <c r="C10081">
        <v>11.9833</v>
      </c>
      <c r="D10081">
        <v>7.0750000000000002</v>
      </c>
      <c r="E10081" t="s">
        <v>15233</v>
      </c>
      <c r="F10081" t="s">
        <v>15235</v>
      </c>
      <c r="G10081" t="s">
        <v>37</v>
      </c>
      <c r="H10081">
        <v>1990</v>
      </c>
      <c r="I10081">
        <v>23.031130000000001</v>
      </c>
      <c r="J10081">
        <v>12</v>
      </c>
      <c r="K10081">
        <v>68</v>
      </c>
      <c r="L10081">
        <v>8.8653220000000008</v>
      </c>
      <c r="M10081">
        <v>31.959129999999998</v>
      </c>
      <c r="N10081">
        <v>14.44035</v>
      </c>
      <c r="O10081">
        <v>17.51878</v>
      </c>
      <c r="P10081">
        <v>22.131129999999999</v>
      </c>
      <c r="Q10081">
        <v>22.959129999999998</v>
      </c>
      <c r="R10081">
        <v>24.27148</v>
      </c>
      <c r="S10081">
        <v>22.131129999999999</v>
      </c>
      <c r="T10081">
        <v>1656.393</v>
      </c>
      <c r="U10081">
        <v>282</v>
      </c>
      <c r="V10081">
        <v>2</v>
      </c>
      <c r="W10081">
        <v>78</v>
      </c>
      <c r="X10081">
        <v>827.81740000000002</v>
      </c>
      <c r="Y10081">
        <v>14.4087</v>
      </c>
      <c r="Z10081">
        <v>211.69390000000001</v>
      </c>
      <c r="AA10081">
        <v>827.81740000000002</v>
      </c>
      <c r="AB10081">
        <v>1.9876549999999999</v>
      </c>
      <c r="AC10081">
        <v>36.757950000000001</v>
      </c>
      <c r="AD10081">
        <v>3.0349949999999999</v>
      </c>
      <c r="AE10081">
        <v>0.57479199999999997</v>
      </c>
      <c r="AF10081">
        <v>1000.433</v>
      </c>
      <c r="AG10081">
        <f>IFERROR(AH10081*0.1, "N/A")</f>
        <v>5.7695650000000001</v>
      </c>
      <c r="AH10081">
        <v>57.695650000000001</v>
      </c>
      <c r="AI10081">
        <v>188.32490000000001</v>
      </c>
      <c r="AJ10081">
        <v>31.020869999999999</v>
      </c>
      <c r="AK10081">
        <v>41.979129999999998</v>
      </c>
    </row>
    <row r="10082" spans="1:37" x14ac:dyDescent="0.3">
      <c r="A10082">
        <v>10081</v>
      </c>
      <c r="B10082">
        <v>0</v>
      </c>
      <c r="C10082">
        <v>11.9833</v>
      </c>
      <c r="D10082">
        <v>7.0750000000000002</v>
      </c>
      <c r="E10082" t="s">
        <v>15233</v>
      </c>
      <c r="F10082" t="s">
        <v>15236</v>
      </c>
      <c r="G10082" t="s">
        <v>2420</v>
      </c>
      <c r="H10082">
        <v>1990</v>
      </c>
      <c r="I10082">
        <v>23.031130000000001</v>
      </c>
      <c r="J10082">
        <v>12</v>
      </c>
      <c r="K10082">
        <v>68</v>
      </c>
      <c r="L10082">
        <v>8.8653220000000008</v>
      </c>
      <c r="M10082">
        <v>31.959129999999998</v>
      </c>
      <c r="N10082">
        <v>14.44035</v>
      </c>
      <c r="O10082">
        <v>17.51878</v>
      </c>
      <c r="P10082">
        <v>22.131129999999999</v>
      </c>
      <c r="Q10082">
        <v>22.959129999999998</v>
      </c>
      <c r="R10082">
        <v>24.27148</v>
      </c>
      <c r="S10082">
        <v>22.131129999999999</v>
      </c>
      <c r="T10082">
        <v>1656.393</v>
      </c>
      <c r="U10082">
        <v>282</v>
      </c>
      <c r="V10082">
        <v>2</v>
      </c>
      <c r="W10082">
        <v>78</v>
      </c>
      <c r="X10082">
        <v>827.81740000000002</v>
      </c>
      <c r="Y10082">
        <v>14.4087</v>
      </c>
      <c r="Z10082">
        <v>211.69390000000001</v>
      </c>
      <c r="AA10082">
        <v>827.81740000000002</v>
      </c>
      <c r="AB10082">
        <v>1.9876549999999999</v>
      </c>
      <c r="AC10082">
        <v>36.757950000000001</v>
      </c>
      <c r="AD10082">
        <v>3.0349949999999999</v>
      </c>
      <c r="AE10082">
        <v>0.57479199999999997</v>
      </c>
      <c r="AF10082">
        <v>1000.433</v>
      </c>
      <c r="AG10082">
        <f>IFERROR(AH10082*0.1, "N/A")</f>
        <v>5.7695650000000001</v>
      </c>
      <c r="AH10082">
        <v>57.695650000000001</v>
      </c>
      <c r="AI10082">
        <v>188.32490000000001</v>
      </c>
      <c r="AJ10082">
        <v>31.020869999999999</v>
      </c>
      <c r="AK10082">
        <v>41.979129999999998</v>
      </c>
    </row>
    <row r="10083" spans="1:37" x14ac:dyDescent="0.3">
      <c r="A10083">
        <v>10082</v>
      </c>
      <c r="B10083">
        <v>0</v>
      </c>
      <c r="C10083">
        <v>12.4756</v>
      </c>
      <c r="D10083">
        <v>7.0968600000000004</v>
      </c>
      <c r="E10083" t="s">
        <v>15237</v>
      </c>
      <c r="F10083" t="s">
        <v>15238</v>
      </c>
      <c r="G10083" t="s">
        <v>37</v>
      </c>
      <c r="H10083">
        <v>1962</v>
      </c>
      <c r="I10083">
        <v>22.602779999999999</v>
      </c>
      <c r="J10083">
        <v>12.4</v>
      </c>
      <c r="K10083">
        <v>68</v>
      </c>
      <c r="L10083">
        <v>9.2652520000000003</v>
      </c>
      <c r="M10083">
        <v>31.6</v>
      </c>
      <c r="N10083">
        <v>13.40278</v>
      </c>
      <c r="O10083">
        <v>18.197220000000002</v>
      </c>
      <c r="P10083">
        <v>21.705570000000002</v>
      </c>
      <c r="Q10083">
        <v>22.202780000000001</v>
      </c>
      <c r="R10083">
        <v>23.997219999999999</v>
      </c>
      <c r="S10083">
        <v>21.705570000000002</v>
      </c>
      <c r="T10083">
        <v>1624</v>
      </c>
      <c r="U10083">
        <v>278</v>
      </c>
      <c r="V10083">
        <v>1</v>
      </c>
      <c r="W10083">
        <v>80</v>
      </c>
      <c r="X10083">
        <v>826</v>
      </c>
      <c r="Y10083">
        <v>10</v>
      </c>
      <c r="Z10083">
        <v>379</v>
      </c>
      <c r="AA10083">
        <v>826</v>
      </c>
      <c r="AB10083">
        <v>25.44725</v>
      </c>
      <c r="AC10083">
        <v>1.1626320000000001E-2</v>
      </c>
      <c r="AD10083">
        <v>3.9270689999999999</v>
      </c>
      <c r="AE10083">
        <v>0.4323225</v>
      </c>
      <c r="AF10083">
        <v>1057.2449999999999</v>
      </c>
      <c r="AG10083">
        <f>IFERROR(AH10083*0.1, "N/A")</f>
        <v>5.4747830000000004</v>
      </c>
      <c r="AH10083">
        <v>54.74783</v>
      </c>
      <c r="AI10083">
        <v>38.628590000000003</v>
      </c>
      <c r="AJ10083">
        <v>28.262609999999999</v>
      </c>
      <c r="AK10083">
        <v>49.04522</v>
      </c>
    </row>
    <row r="10084" spans="1:37" x14ac:dyDescent="0.3">
      <c r="A10084">
        <v>10083</v>
      </c>
      <c r="B10084">
        <v>0</v>
      </c>
      <c r="C10084">
        <v>12.4756</v>
      </c>
      <c r="D10084">
        <v>7.0968600000000004</v>
      </c>
      <c r="E10084" t="s">
        <v>15237</v>
      </c>
      <c r="F10084" t="s">
        <v>15239</v>
      </c>
      <c r="G10084" t="s">
        <v>39</v>
      </c>
      <c r="H10084">
        <v>1962</v>
      </c>
      <c r="I10084">
        <v>22.602779999999999</v>
      </c>
      <c r="J10084">
        <v>12.4</v>
      </c>
      <c r="K10084">
        <v>68</v>
      </c>
      <c r="L10084">
        <v>9.2652520000000003</v>
      </c>
      <c r="M10084">
        <v>31.6</v>
      </c>
      <c r="N10084">
        <v>13.40278</v>
      </c>
      <c r="O10084">
        <v>18.197220000000002</v>
      </c>
      <c r="P10084">
        <v>21.705570000000002</v>
      </c>
      <c r="Q10084">
        <v>22.202780000000001</v>
      </c>
      <c r="R10084">
        <v>23.997219999999999</v>
      </c>
      <c r="S10084">
        <v>21.705570000000002</v>
      </c>
      <c r="T10084">
        <v>1624</v>
      </c>
      <c r="U10084">
        <v>278</v>
      </c>
      <c r="V10084">
        <v>1</v>
      </c>
      <c r="W10084">
        <v>80</v>
      </c>
      <c r="X10084">
        <v>826</v>
      </c>
      <c r="Y10084">
        <v>10</v>
      </c>
      <c r="Z10084">
        <v>379</v>
      </c>
      <c r="AA10084">
        <v>826</v>
      </c>
      <c r="AB10084">
        <v>25.44725</v>
      </c>
      <c r="AC10084">
        <v>1.1626320000000001E-2</v>
      </c>
      <c r="AD10084">
        <v>3.9270689999999999</v>
      </c>
      <c r="AE10084">
        <v>0.4323225</v>
      </c>
      <c r="AF10084">
        <v>1057.2449999999999</v>
      </c>
      <c r="AG10084">
        <f>IFERROR(AH10084*0.1, "N/A")</f>
        <v>5.4747830000000004</v>
      </c>
      <c r="AH10084">
        <v>54.74783</v>
      </c>
      <c r="AI10084">
        <v>38.628590000000003</v>
      </c>
      <c r="AJ10084">
        <v>28.262609999999999</v>
      </c>
      <c r="AK10084">
        <v>49.04522</v>
      </c>
    </row>
    <row r="10085" spans="1:37" x14ac:dyDescent="0.3">
      <c r="A10085">
        <v>10084</v>
      </c>
      <c r="B10085">
        <v>3.7</v>
      </c>
      <c r="C10085">
        <v>12.4778</v>
      </c>
      <c r="D10085">
        <v>7.1</v>
      </c>
      <c r="E10085" t="s">
        <v>15240</v>
      </c>
      <c r="F10085" t="s">
        <v>15241</v>
      </c>
      <c r="G10085" t="s">
        <v>39</v>
      </c>
      <c r="H10085">
        <v>1990</v>
      </c>
      <c r="I10085">
        <v>22.57217</v>
      </c>
      <c r="J10085">
        <v>12.4</v>
      </c>
      <c r="K10085">
        <v>68</v>
      </c>
      <c r="L10085">
        <v>9.2883479999999992</v>
      </c>
      <c r="M10085">
        <v>31.57217</v>
      </c>
      <c r="N10085">
        <v>13.372170000000001</v>
      </c>
      <c r="O10085">
        <v>18.2</v>
      </c>
      <c r="P10085">
        <v>21.672170000000001</v>
      </c>
      <c r="Q10085">
        <v>22.172170000000001</v>
      </c>
      <c r="R10085">
        <v>23.972169999999998</v>
      </c>
      <c r="S10085">
        <v>21.672170000000001</v>
      </c>
      <c r="T10085">
        <v>1624.278</v>
      </c>
      <c r="U10085">
        <v>278.2783</v>
      </c>
      <c r="V10085">
        <v>1</v>
      </c>
      <c r="W10085">
        <v>80</v>
      </c>
      <c r="X10085">
        <v>826.27829999999994</v>
      </c>
      <c r="Y10085">
        <v>10</v>
      </c>
      <c r="Z10085">
        <v>379.2783</v>
      </c>
      <c r="AA10085">
        <v>826.27829999999994</v>
      </c>
      <c r="AB10085">
        <v>12.836819999999999</v>
      </c>
      <c r="AC10085">
        <v>1.612622E-2</v>
      </c>
      <c r="AD10085">
        <v>5.082732</v>
      </c>
      <c r="AE10085">
        <v>0.46183449999999998</v>
      </c>
      <c r="AF10085">
        <v>1050.837</v>
      </c>
      <c r="AG10085">
        <f>IFERROR(AH10085*0.1, "N/A")</f>
        <v>5.4046960000000004</v>
      </c>
      <c r="AH10085">
        <v>54.046959999999999</v>
      </c>
      <c r="AI10085">
        <v>215.65110000000001</v>
      </c>
      <c r="AJ10085">
        <v>34.906089999999999</v>
      </c>
      <c r="AK10085">
        <v>41.14087</v>
      </c>
    </row>
    <row r="10086" spans="1:37" x14ac:dyDescent="0.3">
      <c r="A10086">
        <v>10085</v>
      </c>
      <c r="B10086">
        <v>5.5</v>
      </c>
      <c r="C10086">
        <v>12.4778</v>
      </c>
      <c r="D10086">
        <v>7.1</v>
      </c>
      <c r="E10086" t="s">
        <v>15240</v>
      </c>
      <c r="F10086" t="s">
        <v>15242</v>
      </c>
      <c r="G10086" t="s">
        <v>37</v>
      </c>
      <c r="H10086">
        <v>1990</v>
      </c>
      <c r="I10086">
        <v>22.57217</v>
      </c>
      <c r="J10086">
        <v>12.4</v>
      </c>
      <c r="K10086">
        <v>68</v>
      </c>
      <c r="L10086">
        <v>9.2883479999999992</v>
      </c>
      <c r="M10086">
        <v>31.57217</v>
      </c>
      <c r="N10086">
        <v>13.372170000000001</v>
      </c>
      <c r="O10086">
        <v>18.2</v>
      </c>
      <c r="P10086">
        <v>21.672170000000001</v>
      </c>
      <c r="Q10086">
        <v>22.172170000000001</v>
      </c>
      <c r="R10086">
        <v>23.972169999999998</v>
      </c>
      <c r="S10086">
        <v>21.672170000000001</v>
      </c>
      <c r="T10086">
        <v>1624.278</v>
      </c>
      <c r="U10086">
        <v>278.2783</v>
      </c>
      <c r="V10086">
        <v>1</v>
      </c>
      <c r="W10086">
        <v>80</v>
      </c>
      <c r="X10086">
        <v>826.27829999999994</v>
      </c>
      <c r="Y10086">
        <v>10</v>
      </c>
      <c r="Z10086">
        <v>379.2783</v>
      </c>
      <c r="AA10086">
        <v>826.27829999999994</v>
      </c>
      <c r="AB10086">
        <v>12.836819999999999</v>
      </c>
      <c r="AC10086">
        <v>1.612622E-2</v>
      </c>
      <c r="AD10086">
        <v>5.082732</v>
      </c>
      <c r="AE10086">
        <v>0.46183449999999998</v>
      </c>
      <c r="AF10086">
        <v>1050.837</v>
      </c>
      <c r="AG10086">
        <f>IFERROR(AH10086*0.1, "N/A")</f>
        <v>5.4046960000000004</v>
      </c>
      <c r="AH10086">
        <v>54.046959999999999</v>
      </c>
      <c r="AI10086">
        <v>215.65110000000001</v>
      </c>
      <c r="AJ10086">
        <v>34.906089999999999</v>
      </c>
      <c r="AK10086">
        <v>41.14087</v>
      </c>
    </row>
    <row r="10087" spans="1:37" x14ac:dyDescent="0.3">
      <c r="A10087">
        <v>10086</v>
      </c>
      <c r="B10087">
        <v>0</v>
      </c>
      <c r="C10087">
        <v>12.4778</v>
      </c>
      <c r="D10087">
        <v>7.1</v>
      </c>
      <c r="E10087" t="s">
        <v>15240</v>
      </c>
      <c r="F10087" t="s">
        <v>15243</v>
      </c>
      <c r="G10087" t="s">
        <v>2420</v>
      </c>
      <c r="H10087">
        <v>1990</v>
      </c>
      <c r="I10087">
        <v>22.57217</v>
      </c>
      <c r="J10087">
        <v>12.4</v>
      </c>
      <c r="K10087">
        <v>68</v>
      </c>
      <c r="L10087">
        <v>9.2883479999999992</v>
      </c>
      <c r="M10087">
        <v>31.57217</v>
      </c>
      <c r="N10087">
        <v>13.372170000000001</v>
      </c>
      <c r="O10087">
        <v>18.2</v>
      </c>
      <c r="P10087">
        <v>21.672170000000001</v>
      </c>
      <c r="Q10087">
        <v>22.172170000000001</v>
      </c>
      <c r="R10087">
        <v>23.972169999999998</v>
      </c>
      <c r="S10087">
        <v>21.672170000000001</v>
      </c>
      <c r="T10087">
        <v>1624.278</v>
      </c>
      <c r="U10087">
        <v>278.2783</v>
      </c>
      <c r="V10087">
        <v>1</v>
      </c>
      <c r="W10087">
        <v>80</v>
      </c>
      <c r="X10087">
        <v>826.27829999999994</v>
      </c>
      <c r="Y10087">
        <v>10</v>
      </c>
      <c r="Z10087">
        <v>379.2783</v>
      </c>
      <c r="AA10087">
        <v>826.27829999999994</v>
      </c>
      <c r="AB10087">
        <v>12.836819999999999</v>
      </c>
      <c r="AC10087">
        <v>1.612622E-2</v>
      </c>
      <c r="AD10087">
        <v>5.082732</v>
      </c>
      <c r="AE10087">
        <v>0.46183449999999998</v>
      </c>
      <c r="AF10087">
        <v>1050.837</v>
      </c>
      <c r="AG10087">
        <f>IFERROR(AH10087*0.1, "N/A")</f>
        <v>5.4046960000000004</v>
      </c>
      <c r="AH10087">
        <v>54.046959999999999</v>
      </c>
      <c r="AI10087">
        <v>215.65110000000001</v>
      </c>
      <c r="AJ10087">
        <v>34.906089999999999</v>
      </c>
      <c r="AK10087">
        <v>41.14087</v>
      </c>
    </row>
    <row r="10088" spans="1:37" x14ac:dyDescent="0.3">
      <c r="A10088">
        <v>10087</v>
      </c>
      <c r="B10088">
        <v>2.7</v>
      </c>
      <c r="C10088">
        <v>14.1083</v>
      </c>
      <c r="D10088">
        <v>7.1888899999999998</v>
      </c>
      <c r="E10088" t="s">
        <v>15244</v>
      </c>
      <c r="F10088" t="s">
        <v>15245</v>
      </c>
      <c r="G10088" t="s">
        <v>39</v>
      </c>
      <c r="H10088">
        <v>1990</v>
      </c>
      <c r="I10088">
        <v>20.6</v>
      </c>
      <c r="J10088">
        <v>12.6</v>
      </c>
      <c r="K10088">
        <v>69.735650000000007</v>
      </c>
      <c r="L10088">
        <v>9.7075829999999996</v>
      </c>
      <c r="M10088">
        <v>29.6</v>
      </c>
      <c r="N10088">
        <v>11.57357</v>
      </c>
      <c r="O10088">
        <v>18.026430000000001</v>
      </c>
      <c r="P10088">
        <v>19.57357</v>
      </c>
      <c r="Q10088">
        <v>20.373560000000001</v>
      </c>
      <c r="R10088">
        <v>22</v>
      </c>
      <c r="S10088">
        <v>19.57357</v>
      </c>
      <c r="T10088">
        <v>1551.529</v>
      </c>
      <c r="U10088">
        <v>294</v>
      </c>
      <c r="V10088">
        <v>1</v>
      </c>
      <c r="W10088">
        <v>83.735650000000007</v>
      </c>
      <c r="X10088">
        <v>829.73569999999995</v>
      </c>
      <c r="Y10088">
        <v>7.264348</v>
      </c>
      <c r="Z10088">
        <v>307.0609</v>
      </c>
      <c r="AA10088">
        <v>829.73569999999995</v>
      </c>
      <c r="AB10088">
        <v>22.356739999999999</v>
      </c>
      <c r="AC10088">
        <v>8.8950209999999995E-3</v>
      </c>
      <c r="AD10088">
        <v>3.784465</v>
      </c>
      <c r="AE10088">
        <v>0.66252140000000004</v>
      </c>
      <c r="AF10088">
        <v>1440.671</v>
      </c>
      <c r="AG10088">
        <f>IFERROR(AH10088*0.1, "N/A")</f>
        <v>5.3812170000000004</v>
      </c>
      <c r="AH10088">
        <v>53.812170000000002</v>
      </c>
      <c r="AI10088">
        <v>137.1514</v>
      </c>
      <c r="AJ10088">
        <v>38.48348</v>
      </c>
      <c r="AK10088">
        <v>35.200000000000003</v>
      </c>
    </row>
    <row r="10089" spans="1:37" x14ac:dyDescent="0.3">
      <c r="A10089">
        <v>10088</v>
      </c>
      <c r="B10089">
        <v>4.8</v>
      </c>
      <c r="C10089">
        <v>14.1083</v>
      </c>
      <c r="D10089">
        <v>7.1888899999999998</v>
      </c>
      <c r="E10089" t="s">
        <v>15244</v>
      </c>
      <c r="F10089" t="s">
        <v>15246</v>
      </c>
      <c r="G10089" t="s">
        <v>37</v>
      </c>
      <c r="H10089">
        <v>1990</v>
      </c>
      <c r="I10089">
        <v>20.6</v>
      </c>
      <c r="J10089">
        <v>12.6</v>
      </c>
      <c r="K10089">
        <v>69.735650000000007</v>
      </c>
      <c r="L10089">
        <v>9.7075829999999996</v>
      </c>
      <c r="M10089">
        <v>29.6</v>
      </c>
      <c r="N10089">
        <v>11.57357</v>
      </c>
      <c r="O10089">
        <v>18.026430000000001</v>
      </c>
      <c r="P10089">
        <v>19.57357</v>
      </c>
      <c r="Q10089">
        <v>20.373560000000001</v>
      </c>
      <c r="R10089">
        <v>22</v>
      </c>
      <c r="S10089">
        <v>19.57357</v>
      </c>
      <c r="T10089">
        <v>1551.529</v>
      </c>
      <c r="U10089">
        <v>294</v>
      </c>
      <c r="V10089">
        <v>1</v>
      </c>
      <c r="W10089">
        <v>83.735650000000007</v>
      </c>
      <c r="X10089">
        <v>829.73569999999995</v>
      </c>
      <c r="Y10089">
        <v>7.264348</v>
      </c>
      <c r="Z10089">
        <v>307.0609</v>
      </c>
      <c r="AA10089">
        <v>829.73569999999995</v>
      </c>
      <c r="AB10089">
        <v>22.356739999999999</v>
      </c>
      <c r="AC10089">
        <v>8.8950209999999995E-3</v>
      </c>
      <c r="AD10089">
        <v>3.784465</v>
      </c>
      <c r="AE10089">
        <v>0.66252140000000004</v>
      </c>
      <c r="AF10089">
        <v>1440.671</v>
      </c>
      <c r="AG10089">
        <f>IFERROR(AH10089*0.1, "N/A")</f>
        <v>5.3812170000000004</v>
      </c>
      <c r="AH10089">
        <v>53.812170000000002</v>
      </c>
      <c r="AI10089">
        <v>137.1514</v>
      </c>
      <c r="AJ10089">
        <v>38.48348</v>
      </c>
      <c r="AK10089">
        <v>35.200000000000003</v>
      </c>
    </row>
    <row r="10090" spans="1:37" x14ac:dyDescent="0.3">
      <c r="A10090">
        <v>10089</v>
      </c>
      <c r="B10090">
        <v>0</v>
      </c>
      <c r="C10090">
        <v>14.1083</v>
      </c>
      <c r="D10090">
        <v>7.1888899999999998</v>
      </c>
      <c r="E10090" t="s">
        <v>15244</v>
      </c>
      <c r="F10090" t="s">
        <v>15247</v>
      </c>
      <c r="G10090" t="s">
        <v>2420</v>
      </c>
      <c r="H10090">
        <v>1990</v>
      </c>
      <c r="I10090">
        <v>20.6</v>
      </c>
      <c r="J10090">
        <v>12.6</v>
      </c>
      <c r="K10090">
        <v>69.735650000000007</v>
      </c>
      <c r="L10090">
        <v>9.7075829999999996</v>
      </c>
      <c r="M10090">
        <v>29.6</v>
      </c>
      <c r="N10090">
        <v>11.57357</v>
      </c>
      <c r="O10090">
        <v>18.026430000000001</v>
      </c>
      <c r="P10090">
        <v>19.57357</v>
      </c>
      <c r="Q10090">
        <v>20.373560000000001</v>
      </c>
      <c r="R10090">
        <v>22</v>
      </c>
      <c r="S10090">
        <v>19.57357</v>
      </c>
      <c r="T10090">
        <v>1551.529</v>
      </c>
      <c r="U10090">
        <v>294</v>
      </c>
      <c r="V10090">
        <v>1</v>
      </c>
      <c r="W10090">
        <v>83.735650000000007</v>
      </c>
      <c r="X10090">
        <v>829.73569999999995</v>
      </c>
      <c r="Y10090">
        <v>7.264348</v>
      </c>
      <c r="Z10090">
        <v>307.0609</v>
      </c>
      <c r="AA10090">
        <v>829.73569999999995</v>
      </c>
      <c r="AB10090">
        <v>22.356739999999999</v>
      </c>
      <c r="AC10090">
        <v>8.8950209999999995E-3</v>
      </c>
      <c r="AD10090">
        <v>3.784465</v>
      </c>
      <c r="AE10090">
        <v>0.66252140000000004</v>
      </c>
      <c r="AF10090">
        <v>1440.671</v>
      </c>
      <c r="AG10090">
        <f>IFERROR(AH10090*0.1, "N/A")</f>
        <v>5.3812170000000004</v>
      </c>
      <c r="AH10090">
        <v>53.812170000000002</v>
      </c>
      <c r="AI10090">
        <v>137.1514</v>
      </c>
      <c r="AJ10090">
        <v>38.48348</v>
      </c>
      <c r="AK10090">
        <v>35.200000000000003</v>
      </c>
    </row>
    <row r="10091" spans="1:37" x14ac:dyDescent="0.3">
      <c r="A10091">
        <v>10090</v>
      </c>
      <c r="B10091">
        <v>33.299999999999997</v>
      </c>
      <c r="C10091">
        <v>12.564399999999999</v>
      </c>
      <c r="D10091">
        <v>7.2004700000000001</v>
      </c>
      <c r="E10091" t="s">
        <v>15248</v>
      </c>
      <c r="F10091" t="s">
        <v>15249</v>
      </c>
      <c r="G10091" t="s">
        <v>37</v>
      </c>
      <c r="H10091">
        <v>1962</v>
      </c>
      <c r="I10091">
        <v>22.311340000000001</v>
      </c>
      <c r="J10091">
        <v>12.6</v>
      </c>
      <c r="K10091">
        <v>67</v>
      </c>
      <c r="L10091">
        <v>9.2063000000000006</v>
      </c>
      <c r="M10091">
        <v>31.411339999999999</v>
      </c>
      <c r="N10091">
        <v>12.81134</v>
      </c>
      <c r="O10091">
        <v>18.600000000000001</v>
      </c>
      <c r="P10091">
        <v>21.6</v>
      </c>
      <c r="Q10091">
        <v>21.811340000000001</v>
      </c>
      <c r="R10091">
        <v>23.71134</v>
      </c>
      <c r="S10091">
        <v>21.6</v>
      </c>
      <c r="T10091">
        <v>1604</v>
      </c>
      <c r="U10091">
        <v>280</v>
      </c>
      <c r="V10091">
        <v>1</v>
      </c>
      <c r="W10091">
        <v>82</v>
      </c>
      <c r="X10091">
        <v>825</v>
      </c>
      <c r="Y10091">
        <v>8</v>
      </c>
      <c r="Z10091">
        <v>374</v>
      </c>
      <c r="AA10091">
        <v>825</v>
      </c>
      <c r="AB10091">
        <v>25.38776</v>
      </c>
      <c r="AC10091">
        <v>9.5623530000000009E-3</v>
      </c>
      <c r="AD10091">
        <v>2.4023310000000002</v>
      </c>
      <c r="AE10091">
        <v>0.29810520000000001</v>
      </c>
      <c r="AF10091">
        <v>1092.115</v>
      </c>
      <c r="AG10091">
        <f>IFERROR(AH10091*0.1, "N/A")</f>
        <v>5.4403140000000008</v>
      </c>
      <c r="AH10091">
        <v>54.40314</v>
      </c>
      <c r="AI10091">
        <v>151.83590000000001</v>
      </c>
      <c r="AJ10091">
        <v>32.314140000000002</v>
      </c>
      <c r="AK10091">
        <v>42.253050000000002</v>
      </c>
    </row>
    <row r="10092" spans="1:37" x14ac:dyDescent="0.3">
      <c r="A10092">
        <v>10091</v>
      </c>
      <c r="B10092">
        <v>0</v>
      </c>
      <c r="C10092">
        <v>12.564399999999999</v>
      </c>
      <c r="D10092">
        <v>7.2004700000000001</v>
      </c>
      <c r="E10092" t="s">
        <v>15248</v>
      </c>
      <c r="F10092" t="s">
        <v>15250</v>
      </c>
      <c r="G10092" t="s">
        <v>39</v>
      </c>
      <c r="H10092">
        <v>1962</v>
      </c>
      <c r="I10092">
        <v>22.311340000000001</v>
      </c>
      <c r="J10092">
        <v>12.6</v>
      </c>
      <c r="K10092">
        <v>67</v>
      </c>
      <c r="L10092">
        <v>9.2063000000000006</v>
      </c>
      <c r="M10092">
        <v>31.411339999999999</v>
      </c>
      <c r="N10092">
        <v>12.81134</v>
      </c>
      <c r="O10092">
        <v>18.600000000000001</v>
      </c>
      <c r="P10092">
        <v>21.6</v>
      </c>
      <c r="Q10092">
        <v>21.811340000000001</v>
      </c>
      <c r="R10092">
        <v>23.71134</v>
      </c>
      <c r="S10092">
        <v>21.6</v>
      </c>
      <c r="T10092">
        <v>1604</v>
      </c>
      <c r="U10092">
        <v>280</v>
      </c>
      <c r="V10092">
        <v>1</v>
      </c>
      <c r="W10092">
        <v>82</v>
      </c>
      <c r="X10092">
        <v>825</v>
      </c>
      <c r="Y10092">
        <v>8</v>
      </c>
      <c r="Z10092">
        <v>374</v>
      </c>
      <c r="AA10092">
        <v>825</v>
      </c>
      <c r="AB10092">
        <v>25.38776</v>
      </c>
      <c r="AC10092">
        <v>9.5623530000000009E-3</v>
      </c>
      <c r="AD10092">
        <v>2.4023310000000002</v>
      </c>
      <c r="AE10092">
        <v>0.29810520000000001</v>
      </c>
      <c r="AF10092">
        <v>1092.115</v>
      </c>
      <c r="AG10092">
        <f>IFERROR(AH10092*0.1, "N/A")</f>
        <v>5.4403140000000008</v>
      </c>
      <c r="AH10092">
        <v>54.40314</v>
      </c>
      <c r="AI10092">
        <v>151.83590000000001</v>
      </c>
      <c r="AJ10092">
        <v>32.314140000000002</v>
      </c>
      <c r="AK10092">
        <v>42.253050000000002</v>
      </c>
    </row>
    <row r="10093" spans="1:37" x14ac:dyDescent="0.3">
      <c r="A10093">
        <v>10092</v>
      </c>
      <c r="B10093">
        <v>26</v>
      </c>
      <c r="C10093">
        <v>14.166700000000001</v>
      </c>
      <c r="D10093">
        <v>7.2166699999999997</v>
      </c>
      <c r="E10093" t="s">
        <v>15251</v>
      </c>
      <c r="F10093" t="s">
        <v>15252</v>
      </c>
      <c r="G10093" t="s">
        <v>37</v>
      </c>
      <c r="H10093">
        <v>1987</v>
      </c>
      <c r="I10093">
        <v>20.562090000000001</v>
      </c>
      <c r="J10093">
        <v>12.6</v>
      </c>
      <c r="K10093">
        <v>69.02261</v>
      </c>
      <c r="L10093">
        <v>9.8213039999999996</v>
      </c>
      <c r="M10093">
        <v>29.618089999999999</v>
      </c>
      <c r="N10093">
        <v>11.520350000000001</v>
      </c>
      <c r="O10093">
        <v>18.097740000000002</v>
      </c>
      <c r="P10093">
        <v>19.564350000000001</v>
      </c>
      <c r="Q10093">
        <v>20.26435</v>
      </c>
      <c r="R10093">
        <v>21.97635</v>
      </c>
      <c r="S10093">
        <v>19.564350000000001</v>
      </c>
      <c r="T10093">
        <v>1546.6379999999999</v>
      </c>
      <c r="U10093">
        <v>295</v>
      </c>
      <c r="V10093">
        <v>1</v>
      </c>
      <c r="W10093">
        <v>84</v>
      </c>
      <c r="X10093">
        <v>832</v>
      </c>
      <c r="Y10093">
        <v>7</v>
      </c>
      <c r="Z10093">
        <v>308.17039999999997</v>
      </c>
      <c r="AA10093">
        <v>832</v>
      </c>
      <c r="AB10093">
        <v>9.9984269999999995</v>
      </c>
      <c r="AC10093">
        <v>2.156512E-2</v>
      </c>
      <c r="AD10093">
        <v>4.0238680000000002</v>
      </c>
      <c r="AE10093">
        <v>0.64767050000000004</v>
      </c>
      <c r="AF10093">
        <v>1435.021</v>
      </c>
      <c r="AG10093">
        <f>IFERROR(AH10093*0.1, "N/A")</f>
        <v>5.5137390000000011</v>
      </c>
      <c r="AH10093">
        <v>55.137390000000003</v>
      </c>
      <c r="AI10093">
        <v>28.89781</v>
      </c>
      <c r="AJ10093">
        <v>37.161740000000002</v>
      </c>
      <c r="AK10093">
        <v>38.518259999999998</v>
      </c>
    </row>
    <row r="10094" spans="1:37" x14ac:dyDescent="0.3">
      <c r="A10094">
        <v>10093</v>
      </c>
      <c r="B10094">
        <v>0</v>
      </c>
      <c r="C10094">
        <v>13.283300000000001</v>
      </c>
      <c r="D10094">
        <v>7.2833300000000003</v>
      </c>
      <c r="E10094" t="s">
        <v>15253</v>
      </c>
      <c r="F10094" t="s">
        <v>15254</v>
      </c>
      <c r="G10094" t="s">
        <v>39</v>
      </c>
      <c r="H10094">
        <v>1990</v>
      </c>
      <c r="I10094">
        <v>22.1845</v>
      </c>
      <c r="J10094">
        <v>13.38449</v>
      </c>
      <c r="K10094">
        <v>66.275260000000003</v>
      </c>
      <c r="L10094">
        <v>10.44225</v>
      </c>
      <c r="M10094">
        <v>31.656970000000001</v>
      </c>
      <c r="N10094">
        <v>11.5662</v>
      </c>
      <c r="O10094">
        <v>20.090769999999999</v>
      </c>
      <c r="P10094">
        <v>21.527529999999999</v>
      </c>
      <c r="Q10094">
        <v>21.284490000000002</v>
      </c>
      <c r="R10094">
        <v>23.7</v>
      </c>
      <c r="S10094">
        <v>21.084499999999998</v>
      </c>
      <c r="T10094">
        <v>1525.662</v>
      </c>
      <c r="U10094">
        <v>282</v>
      </c>
      <c r="V10094">
        <v>0</v>
      </c>
      <c r="W10094">
        <v>84.662019999999998</v>
      </c>
      <c r="X10094">
        <v>797.66200000000003</v>
      </c>
      <c r="Y10094">
        <v>3</v>
      </c>
      <c r="Z10094">
        <v>364</v>
      </c>
      <c r="AA10094">
        <v>9</v>
      </c>
      <c r="AB10094">
        <v>1.68834</v>
      </c>
      <c r="AC10094">
        <v>0.54374750000000005</v>
      </c>
      <c r="AD10094">
        <v>2.7239429999999998</v>
      </c>
      <c r="AE10094">
        <v>0.61680230000000003</v>
      </c>
      <c r="AF10094">
        <v>1075.5920000000001</v>
      </c>
      <c r="AG10094">
        <f>IFERROR(AH10094*0.1, "N/A")</f>
        <v>5.2547040000000003</v>
      </c>
      <c r="AH10094">
        <v>52.547040000000003</v>
      </c>
      <c r="AI10094">
        <v>168.53460000000001</v>
      </c>
      <c r="AJ10094">
        <v>29.905919999999998</v>
      </c>
      <c r="AK10094">
        <v>46.094079999999998</v>
      </c>
    </row>
    <row r="10095" spans="1:37" x14ac:dyDescent="0.3">
      <c r="A10095">
        <v>10094</v>
      </c>
      <c r="B10095">
        <v>15.6</v>
      </c>
      <c r="C10095">
        <v>13.283300000000001</v>
      </c>
      <c r="D10095">
        <v>7.2833300000000003</v>
      </c>
      <c r="E10095" t="s">
        <v>15253</v>
      </c>
      <c r="F10095" t="s">
        <v>15255</v>
      </c>
      <c r="G10095" t="s">
        <v>37</v>
      </c>
      <c r="H10095">
        <v>1990</v>
      </c>
      <c r="I10095">
        <v>22.1845</v>
      </c>
      <c r="J10095">
        <v>13.38449</v>
      </c>
      <c r="K10095">
        <v>66.275260000000003</v>
      </c>
      <c r="L10095">
        <v>10.44225</v>
      </c>
      <c r="M10095">
        <v>31.656970000000001</v>
      </c>
      <c r="N10095">
        <v>11.5662</v>
      </c>
      <c r="O10095">
        <v>20.090769999999999</v>
      </c>
      <c r="P10095">
        <v>21.527529999999999</v>
      </c>
      <c r="Q10095">
        <v>21.284490000000002</v>
      </c>
      <c r="R10095">
        <v>23.7</v>
      </c>
      <c r="S10095">
        <v>21.084499999999998</v>
      </c>
      <c r="T10095">
        <v>1525.662</v>
      </c>
      <c r="U10095">
        <v>282</v>
      </c>
      <c r="V10095">
        <v>0</v>
      </c>
      <c r="W10095">
        <v>84.662019999999998</v>
      </c>
      <c r="X10095">
        <v>797.66200000000003</v>
      </c>
      <c r="Y10095">
        <v>3</v>
      </c>
      <c r="Z10095">
        <v>364</v>
      </c>
      <c r="AA10095">
        <v>9</v>
      </c>
      <c r="AB10095">
        <v>1.68834</v>
      </c>
      <c r="AC10095">
        <v>0.54374750000000005</v>
      </c>
      <c r="AD10095">
        <v>2.7239429999999998</v>
      </c>
      <c r="AE10095">
        <v>0.61680230000000003</v>
      </c>
      <c r="AF10095">
        <v>1075.5920000000001</v>
      </c>
      <c r="AG10095">
        <f>IFERROR(AH10095*0.1, "N/A")</f>
        <v>5.2547040000000003</v>
      </c>
      <c r="AH10095">
        <v>52.547040000000003</v>
      </c>
      <c r="AI10095">
        <v>168.53460000000001</v>
      </c>
      <c r="AJ10095">
        <v>29.905919999999998</v>
      </c>
      <c r="AK10095">
        <v>46.094079999999998</v>
      </c>
    </row>
    <row r="10096" spans="1:37" x14ac:dyDescent="0.3">
      <c r="A10096">
        <v>10095</v>
      </c>
      <c r="B10096">
        <v>0</v>
      </c>
      <c r="C10096">
        <v>13.283300000000001</v>
      </c>
      <c r="D10096">
        <v>7.2833300000000003</v>
      </c>
      <c r="E10096" t="s">
        <v>15253</v>
      </c>
      <c r="F10096" t="s">
        <v>15256</v>
      </c>
      <c r="G10096" t="s">
        <v>2420</v>
      </c>
      <c r="H10096">
        <v>1990</v>
      </c>
      <c r="I10096">
        <v>22.1845</v>
      </c>
      <c r="J10096">
        <v>13.38449</v>
      </c>
      <c r="K10096">
        <v>66.275260000000003</v>
      </c>
      <c r="L10096">
        <v>10.44225</v>
      </c>
      <c r="M10096">
        <v>31.656970000000001</v>
      </c>
      <c r="N10096">
        <v>11.5662</v>
      </c>
      <c r="O10096">
        <v>20.090769999999999</v>
      </c>
      <c r="P10096">
        <v>21.527529999999999</v>
      </c>
      <c r="Q10096">
        <v>21.284490000000002</v>
      </c>
      <c r="R10096">
        <v>23.7</v>
      </c>
      <c r="S10096">
        <v>21.084499999999998</v>
      </c>
      <c r="T10096">
        <v>1525.662</v>
      </c>
      <c r="U10096">
        <v>282</v>
      </c>
      <c r="V10096">
        <v>0</v>
      </c>
      <c r="W10096">
        <v>84.662019999999998</v>
      </c>
      <c r="X10096">
        <v>797.66200000000003</v>
      </c>
      <c r="Y10096">
        <v>3</v>
      </c>
      <c r="Z10096">
        <v>364</v>
      </c>
      <c r="AA10096">
        <v>9</v>
      </c>
      <c r="AB10096">
        <v>1.68834</v>
      </c>
      <c r="AC10096">
        <v>0.54374750000000005</v>
      </c>
      <c r="AD10096">
        <v>2.7239429999999998</v>
      </c>
      <c r="AE10096">
        <v>0.61680230000000003</v>
      </c>
      <c r="AF10096">
        <v>1075.5920000000001</v>
      </c>
      <c r="AG10096">
        <f>IFERROR(AH10096*0.1, "N/A")</f>
        <v>5.2547040000000003</v>
      </c>
      <c r="AH10096">
        <v>52.547040000000003</v>
      </c>
      <c r="AI10096">
        <v>168.53460000000001</v>
      </c>
      <c r="AJ10096">
        <v>29.905919999999998</v>
      </c>
      <c r="AK10096">
        <v>46.094079999999998</v>
      </c>
    </row>
    <row r="10097" spans="1:37" x14ac:dyDescent="0.3">
      <c r="A10097">
        <v>10096</v>
      </c>
      <c r="B10097">
        <v>4.3</v>
      </c>
      <c r="C10097">
        <v>13.583299999999999</v>
      </c>
      <c r="D10097">
        <v>7.3166700000000002</v>
      </c>
      <c r="E10097" t="s">
        <v>15257</v>
      </c>
      <c r="F10097" t="s">
        <v>15258</v>
      </c>
      <c r="G10097" t="s">
        <v>39</v>
      </c>
      <c r="H10097">
        <v>1990</v>
      </c>
      <c r="I10097">
        <v>21.97739</v>
      </c>
      <c r="J10097">
        <v>13.125220000000001</v>
      </c>
      <c r="K10097">
        <v>67.648700000000005</v>
      </c>
      <c r="L10097">
        <v>9.0634429999999995</v>
      </c>
      <c r="M10097">
        <v>31.2</v>
      </c>
      <c r="N10097">
        <v>11.93965</v>
      </c>
      <c r="O10097">
        <v>19.260349999999999</v>
      </c>
      <c r="P10097">
        <v>21.217040000000001</v>
      </c>
      <c r="Q10097">
        <v>21.5</v>
      </c>
      <c r="R10097">
        <v>23.352170000000001</v>
      </c>
      <c r="S10097">
        <v>21.217040000000001</v>
      </c>
      <c r="T10097">
        <v>1523.377</v>
      </c>
      <c r="U10097">
        <v>283</v>
      </c>
      <c r="V10097">
        <v>0</v>
      </c>
      <c r="W10097">
        <v>84.396519999999995</v>
      </c>
      <c r="X10097">
        <v>798</v>
      </c>
      <c r="Y10097">
        <v>3</v>
      </c>
      <c r="Z10097">
        <v>368.6035</v>
      </c>
      <c r="AA10097">
        <v>798</v>
      </c>
      <c r="AB10097">
        <v>2.3582969999999999</v>
      </c>
      <c r="AC10097">
        <v>1.731463</v>
      </c>
      <c r="AD10097">
        <v>4.445576</v>
      </c>
      <c r="AE10097">
        <v>0.77799399999999996</v>
      </c>
      <c r="AF10097">
        <v>1111.5319999999999</v>
      </c>
      <c r="AG10097">
        <f>IFERROR(AH10097*0.1, "N/A")</f>
        <v>5.54</v>
      </c>
      <c r="AH10097">
        <v>55.4</v>
      </c>
      <c r="AI10097">
        <v>276.88440000000003</v>
      </c>
      <c r="AJ10097">
        <v>28.224350000000001</v>
      </c>
      <c r="AK10097">
        <v>47.37565</v>
      </c>
    </row>
    <row r="10098" spans="1:37" x14ac:dyDescent="0.3">
      <c r="A10098">
        <v>10097</v>
      </c>
      <c r="B10098">
        <v>6.5</v>
      </c>
      <c r="C10098">
        <v>13.583299999999999</v>
      </c>
      <c r="D10098">
        <v>7.3166700000000002</v>
      </c>
      <c r="E10098" t="s">
        <v>15257</v>
      </c>
      <c r="F10098" t="s">
        <v>15259</v>
      </c>
      <c r="G10098" t="s">
        <v>37</v>
      </c>
      <c r="H10098">
        <v>1990</v>
      </c>
      <c r="I10098">
        <v>21.97739</v>
      </c>
      <c r="J10098">
        <v>13.125220000000001</v>
      </c>
      <c r="K10098">
        <v>67.648700000000005</v>
      </c>
      <c r="L10098">
        <v>9.0634429999999995</v>
      </c>
      <c r="M10098">
        <v>31.2</v>
      </c>
      <c r="N10098">
        <v>11.93965</v>
      </c>
      <c r="O10098">
        <v>19.260349999999999</v>
      </c>
      <c r="P10098">
        <v>21.217040000000001</v>
      </c>
      <c r="Q10098">
        <v>21.5</v>
      </c>
      <c r="R10098">
        <v>23.352170000000001</v>
      </c>
      <c r="S10098">
        <v>21.217040000000001</v>
      </c>
      <c r="T10098">
        <v>1523.377</v>
      </c>
      <c r="U10098">
        <v>283</v>
      </c>
      <c r="V10098">
        <v>0</v>
      </c>
      <c r="W10098">
        <v>84.396519999999995</v>
      </c>
      <c r="X10098">
        <v>798</v>
      </c>
      <c r="Y10098">
        <v>3</v>
      </c>
      <c r="Z10098">
        <v>368.6035</v>
      </c>
      <c r="AA10098">
        <v>798</v>
      </c>
      <c r="AB10098">
        <v>2.3582969999999999</v>
      </c>
      <c r="AC10098">
        <v>1.731463</v>
      </c>
      <c r="AD10098">
        <v>4.445576</v>
      </c>
      <c r="AE10098">
        <v>0.77799399999999996</v>
      </c>
      <c r="AF10098">
        <v>1111.5319999999999</v>
      </c>
      <c r="AG10098">
        <f>IFERROR(AH10098*0.1, "N/A")</f>
        <v>5.54</v>
      </c>
      <c r="AH10098">
        <v>55.4</v>
      </c>
      <c r="AI10098">
        <v>276.88440000000003</v>
      </c>
      <c r="AJ10098">
        <v>28.224350000000001</v>
      </c>
      <c r="AK10098">
        <v>47.37565</v>
      </c>
    </row>
    <row r="10099" spans="1:37" x14ac:dyDescent="0.3">
      <c r="A10099">
        <v>10098</v>
      </c>
      <c r="B10099">
        <v>0</v>
      </c>
      <c r="C10099">
        <v>13.583299999999999</v>
      </c>
      <c r="D10099">
        <v>7.3166700000000002</v>
      </c>
      <c r="E10099" t="s">
        <v>15257</v>
      </c>
      <c r="F10099" t="s">
        <v>15260</v>
      </c>
      <c r="G10099" t="s">
        <v>2420</v>
      </c>
      <c r="H10099">
        <v>1990</v>
      </c>
      <c r="I10099">
        <v>21.97739</v>
      </c>
      <c r="J10099">
        <v>13.125220000000001</v>
      </c>
      <c r="K10099">
        <v>67.648700000000005</v>
      </c>
      <c r="L10099">
        <v>9.0634429999999995</v>
      </c>
      <c r="M10099">
        <v>31.2</v>
      </c>
      <c r="N10099">
        <v>11.93965</v>
      </c>
      <c r="O10099">
        <v>19.260349999999999</v>
      </c>
      <c r="P10099">
        <v>21.217040000000001</v>
      </c>
      <c r="Q10099">
        <v>21.5</v>
      </c>
      <c r="R10099">
        <v>23.352170000000001</v>
      </c>
      <c r="S10099">
        <v>21.217040000000001</v>
      </c>
      <c r="T10099">
        <v>1523.377</v>
      </c>
      <c r="U10099">
        <v>283</v>
      </c>
      <c r="V10099">
        <v>0</v>
      </c>
      <c r="W10099">
        <v>84.396519999999995</v>
      </c>
      <c r="X10099">
        <v>798</v>
      </c>
      <c r="Y10099">
        <v>3</v>
      </c>
      <c r="Z10099">
        <v>368.6035</v>
      </c>
      <c r="AA10099">
        <v>798</v>
      </c>
      <c r="AB10099">
        <v>2.3582969999999999</v>
      </c>
      <c r="AC10099">
        <v>1.731463</v>
      </c>
      <c r="AD10099">
        <v>4.445576</v>
      </c>
      <c r="AE10099">
        <v>0.77799399999999996</v>
      </c>
      <c r="AF10099">
        <v>1111.5319999999999</v>
      </c>
      <c r="AG10099">
        <f>IFERROR(AH10099*0.1, "N/A")</f>
        <v>5.54</v>
      </c>
      <c r="AH10099">
        <v>55.4</v>
      </c>
      <c r="AI10099">
        <v>276.88440000000003</v>
      </c>
      <c r="AJ10099">
        <v>28.224350000000001</v>
      </c>
      <c r="AK10099">
        <v>47.37565</v>
      </c>
    </row>
    <row r="10100" spans="1:37" x14ac:dyDescent="0.3">
      <c r="A10100">
        <v>10099</v>
      </c>
      <c r="B10100">
        <v>2.1</v>
      </c>
      <c r="C10100">
        <v>13.122199999999999</v>
      </c>
      <c r="D10100">
        <v>7.3416699999999997</v>
      </c>
      <c r="E10100" t="s">
        <v>15261</v>
      </c>
      <c r="F10100" t="s">
        <v>15262</v>
      </c>
      <c r="G10100" t="s">
        <v>39</v>
      </c>
      <c r="H10100">
        <v>1990</v>
      </c>
      <c r="I10100">
        <v>22.729810000000001</v>
      </c>
      <c r="J10100">
        <v>13.3</v>
      </c>
      <c r="K10100">
        <v>65</v>
      </c>
      <c r="L10100">
        <v>11.04664</v>
      </c>
      <c r="M10100">
        <v>32.299999999999997</v>
      </c>
      <c r="N10100">
        <v>12.029809999999999</v>
      </c>
      <c r="O10100">
        <v>20.270189999999999</v>
      </c>
      <c r="P10100">
        <v>22.129809999999999</v>
      </c>
      <c r="Q10100">
        <v>21.7</v>
      </c>
      <c r="R10100">
        <v>24.329809999999998</v>
      </c>
      <c r="S10100">
        <v>21.529810000000001</v>
      </c>
      <c r="T10100">
        <v>1527.404</v>
      </c>
      <c r="U10100">
        <v>282</v>
      </c>
      <c r="V10100">
        <v>0</v>
      </c>
      <c r="W10100">
        <v>85</v>
      </c>
      <c r="X10100">
        <v>803</v>
      </c>
      <c r="Y10100">
        <v>3</v>
      </c>
      <c r="Z10100">
        <v>356.40379999999999</v>
      </c>
      <c r="AA10100">
        <v>10</v>
      </c>
      <c r="AB10100">
        <v>28.748339999999999</v>
      </c>
      <c r="AC10100">
        <v>1.6414600000000001E-2</v>
      </c>
      <c r="AD10100">
        <v>2.9122970000000001</v>
      </c>
      <c r="AE10100">
        <v>0.28639979999999998</v>
      </c>
      <c r="AF10100">
        <v>987.10919999999999</v>
      </c>
      <c r="AG10100">
        <f>IFERROR(AH10100*0.1, "N/A")</f>
        <v>5.3854420000000003</v>
      </c>
      <c r="AH10100">
        <v>53.854419999999998</v>
      </c>
      <c r="AI10100">
        <v>127.3291</v>
      </c>
      <c r="AJ10100">
        <v>35.58925</v>
      </c>
      <c r="AK10100">
        <v>41.265160000000002</v>
      </c>
    </row>
    <row r="10101" spans="1:37" x14ac:dyDescent="0.3">
      <c r="A10101">
        <v>10100</v>
      </c>
      <c r="B10101">
        <v>5.2</v>
      </c>
      <c r="C10101">
        <v>13.122199999999999</v>
      </c>
      <c r="D10101">
        <v>7.3416699999999997</v>
      </c>
      <c r="E10101" t="s">
        <v>15261</v>
      </c>
      <c r="F10101" t="s">
        <v>15263</v>
      </c>
      <c r="G10101" t="s">
        <v>37</v>
      </c>
      <c r="H10101">
        <v>1990</v>
      </c>
      <c r="I10101">
        <v>22.729810000000001</v>
      </c>
      <c r="J10101">
        <v>13.3</v>
      </c>
      <c r="K10101">
        <v>65</v>
      </c>
      <c r="L10101">
        <v>11.04664</v>
      </c>
      <c r="M10101">
        <v>32.299999999999997</v>
      </c>
      <c r="N10101">
        <v>12.029809999999999</v>
      </c>
      <c r="O10101">
        <v>20.270189999999999</v>
      </c>
      <c r="P10101">
        <v>22.129809999999999</v>
      </c>
      <c r="Q10101">
        <v>21.7</v>
      </c>
      <c r="R10101">
        <v>24.329809999999998</v>
      </c>
      <c r="S10101">
        <v>21.529810000000001</v>
      </c>
      <c r="T10101">
        <v>1527.404</v>
      </c>
      <c r="U10101">
        <v>282</v>
      </c>
      <c r="V10101">
        <v>0</v>
      </c>
      <c r="W10101">
        <v>85</v>
      </c>
      <c r="X10101">
        <v>803</v>
      </c>
      <c r="Y10101">
        <v>3</v>
      </c>
      <c r="Z10101">
        <v>356.40379999999999</v>
      </c>
      <c r="AA10101">
        <v>10</v>
      </c>
      <c r="AB10101">
        <v>28.748339999999999</v>
      </c>
      <c r="AC10101">
        <v>1.6414600000000001E-2</v>
      </c>
      <c r="AD10101">
        <v>2.9122970000000001</v>
      </c>
      <c r="AE10101">
        <v>0.28639979999999998</v>
      </c>
      <c r="AF10101">
        <v>987.10919999999999</v>
      </c>
      <c r="AG10101">
        <f>IFERROR(AH10101*0.1, "N/A")</f>
        <v>5.3854420000000003</v>
      </c>
      <c r="AH10101">
        <v>53.854419999999998</v>
      </c>
      <c r="AI10101">
        <v>127.3291</v>
      </c>
      <c r="AJ10101">
        <v>35.58925</v>
      </c>
      <c r="AK10101">
        <v>41.265160000000002</v>
      </c>
    </row>
    <row r="10102" spans="1:37" x14ac:dyDescent="0.3">
      <c r="A10102">
        <v>10101</v>
      </c>
      <c r="B10102">
        <v>0</v>
      </c>
      <c r="C10102">
        <v>13.122199999999999</v>
      </c>
      <c r="D10102">
        <v>7.3416699999999997</v>
      </c>
      <c r="E10102" t="s">
        <v>15261</v>
      </c>
      <c r="F10102" t="s">
        <v>15264</v>
      </c>
      <c r="G10102" t="s">
        <v>2420</v>
      </c>
      <c r="H10102">
        <v>1990</v>
      </c>
      <c r="I10102">
        <v>22.729810000000001</v>
      </c>
      <c r="J10102">
        <v>13.3</v>
      </c>
      <c r="K10102">
        <v>65</v>
      </c>
      <c r="L10102">
        <v>11.04664</v>
      </c>
      <c r="M10102">
        <v>32.299999999999997</v>
      </c>
      <c r="N10102">
        <v>12.029809999999999</v>
      </c>
      <c r="O10102">
        <v>20.270189999999999</v>
      </c>
      <c r="P10102">
        <v>22.129809999999999</v>
      </c>
      <c r="Q10102">
        <v>21.7</v>
      </c>
      <c r="R10102">
        <v>24.329809999999998</v>
      </c>
      <c r="S10102">
        <v>21.529810000000001</v>
      </c>
      <c r="T10102">
        <v>1527.404</v>
      </c>
      <c r="U10102">
        <v>282</v>
      </c>
      <c r="V10102">
        <v>0</v>
      </c>
      <c r="W10102">
        <v>85</v>
      </c>
      <c r="X10102">
        <v>803</v>
      </c>
      <c r="Y10102">
        <v>3</v>
      </c>
      <c r="Z10102">
        <v>356.40379999999999</v>
      </c>
      <c r="AA10102">
        <v>10</v>
      </c>
      <c r="AB10102">
        <v>28.748339999999999</v>
      </c>
      <c r="AC10102">
        <v>1.6414600000000001E-2</v>
      </c>
      <c r="AD10102">
        <v>2.9122970000000001</v>
      </c>
      <c r="AE10102">
        <v>0.28639979999999998</v>
      </c>
      <c r="AF10102">
        <v>987.10919999999999</v>
      </c>
      <c r="AG10102">
        <f>IFERROR(AH10102*0.1, "N/A")</f>
        <v>5.3854420000000003</v>
      </c>
      <c r="AH10102">
        <v>53.854419999999998</v>
      </c>
      <c r="AI10102">
        <v>127.3291</v>
      </c>
      <c r="AJ10102">
        <v>35.58925</v>
      </c>
      <c r="AK10102">
        <v>41.265160000000002</v>
      </c>
    </row>
    <row r="10103" spans="1:37" x14ac:dyDescent="0.3">
      <c r="A10103">
        <v>10102</v>
      </c>
      <c r="B10103">
        <v>45.2</v>
      </c>
      <c r="C10103">
        <v>15.3</v>
      </c>
      <c r="D10103">
        <v>7.3666700000000001</v>
      </c>
      <c r="E10103" t="s">
        <v>15265</v>
      </c>
      <c r="F10103" t="s">
        <v>15266</v>
      </c>
      <c r="G10103" t="s">
        <v>39</v>
      </c>
      <c r="H10103">
        <v>1990</v>
      </c>
      <c r="I10103">
        <v>25.290769999999998</v>
      </c>
      <c r="J10103">
        <v>12.432399999999999</v>
      </c>
      <c r="K10103">
        <v>64.324039999999997</v>
      </c>
      <c r="L10103">
        <v>13.446289999999999</v>
      </c>
      <c r="M10103">
        <v>34.9</v>
      </c>
      <c r="N10103">
        <v>15.74826</v>
      </c>
      <c r="O10103">
        <v>19.15174</v>
      </c>
      <c r="P10103">
        <v>23.948260000000001</v>
      </c>
      <c r="Q10103">
        <v>24.89077</v>
      </c>
      <c r="R10103">
        <v>27.267600000000002</v>
      </c>
      <c r="S10103">
        <v>23.948260000000001</v>
      </c>
      <c r="T10103">
        <v>1327.193</v>
      </c>
      <c r="U10103">
        <v>297</v>
      </c>
      <c r="V10103">
        <v>0</v>
      </c>
      <c r="W10103">
        <v>96</v>
      </c>
      <c r="X10103">
        <v>798.1934</v>
      </c>
      <c r="Y10103">
        <v>1</v>
      </c>
      <c r="Z10103">
        <v>220</v>
      </c>
      <c r="AA10103">
        <v>798.1934</v>
      </c>
      <c r="AB10103">
        <v>19.00347</v>
      </c>
      <c r="AC10103">
        <v>5.6234069999999997E-2</v>
      </c>
      <c r="AD10103">
        <v>2.6161699999999999</v>
      </c>
      <c r="AE10103">
        <v>0.37251790000000001</v>
      </c>
      <c r="AF10103">
        <v>639.33450000000005</v>
      </c>
      <c r="AG10103">
        <f>IFERROR(AH10103*0.1, "N/A")</f>
        <v>5.7498260000000005</v>
      </c>
      <c r="AH10103">
        <v>57.498260000000002</v>
      </c>
      <c r="AI10103">
        <v>255.04480000000001</v>
      </c>
      <c r="AJ10103">
        <v>24.304880000000001</v>
      </c>
      <c r="AK10103">
        <v>53.222999999999999</v>
      </c>
    </row>
    <row r="10104" spans="1:37" x14ac:dyDescent="0.3">
      <c r="A10104">
        <v>10103</v>
      </c>
      <c r="B10104">
        <v>78.599999999999994</v>
      </c>
      <c r="C10104">
        <v>15.3</v>
      </c>
      <c r="D10104">
        <v>7.3666700000000001</v>
      </c>
      <c r="E10104" t="s">
        <v>15265</v>
      </c>
      <c r="F10104" t="s">
        <v>15267</v>
      </c>
      <c r="G10104" t="s">
        <v>37</v>
      </c>
      <c r="H10104">
        <v>1990</v>
      </c>
      <c r="I10104">
        <v>25.290769999999998</v>
      </c>
      <c r="J10104">
        <v>12.432399999999999</v>
      </c>
      <c r="K10104">
        <v>64.324039999999997</v>
      </c>
      <c r="L10104">
        <v>13.446289999999999</v>
      </c>
      <c r="M10104">
        <v>34.9</v>
      </c>
      <c r="N10104">
        <v>15.74826</v>
      </c>
      <c r="O10104">
        <v>19.15174</v>
      </c>
      <c r="P10104">
        <v>23.948260000000001</v>
      </c>
      <c r="Q10104">
        <v>24.89077</v>
      </c>
      <c r="R10104">
        <v>27.267600000000002</v>
      </c>
      <c r="S10104">
        <v>23.948260000000001</v>
      </c>
      <c r="T10104">
        <v>1327.193</v>
      </c>
      <c r="U10104">
        <v>297</v>
      </c>
      <c r="V10104">
        <v>0</v>
      </c>
      <c r="W10104">
        <v>96</v>
      </c>
      <c r="X10104">
        <v>798.1934</v>
      </c>
      <c r="Y10104">
        <v>1</v>
      </c>
      <c r="Z10104">
        <v>220</v>
      </c>
      <c r="AA10104">
        <v>798.1934</v>
      </c>
      <c r="AB10104">
        <v>19.00347</v>
      </c>
      <c r="AC10104">
        <v>5.6234069999999997E-2</v>
      </c>
      <c r="AD10104">
        <v>2.6161699999999999</v>
      </c>
      <c r="AE10104">
        <v>0.37251790000000001</v>
      </c>
      <c r="AF10104">
        <v>639.33450000000005</v>
      </c>
      <c r="AG10104">
        <f>IFERROR(AH10104*0.1, "N/A")</f>
        <v>5.7498260000000005</v>
      </c>
      <c r="AH10104">
        <v>57.498260000000002</v>
      </c>
      <c r="AI10104">
        <v>255.04480000000001</v>
      </c>
      <c r="AJ10104">
        <v>24.304880000000001</v>
      </c>
      <c r="AK10104">
        <v>53.222999999999999</v>
      </c>
    </row>
    <row r="10105" spans="1:37" x14ac:dyDescent="0.3">
      <c r="A10105">
        <v>10104</v>
      </c>
      <c r="B10105">
        <v>7.1</v>
      </c>
      <c r="C10105">
        <v>15.3</v>
      </c>
      <c r="D10105">
        <v>7.3666700000000001</v>
      </c>
      <c r="E10105" t="s">
        <v>15265</v>
      </c>
      <c r="F10105" t="s">
        <v>15268</v>
      </c>
      <c r="G10105" t="s">
        <v>2420</v>
      </c>
      <c r="H10105">
        <v>1990</v>
      </c>
      <c r="I10105">
        <v>25.290769999999998</v>
      </c>
      <c r="J10105">
        <v>12.432399999999999</v>
      </c>
      <c r="K10105">
        <v>64.324039999999997</v>
      </c>
      <c r="L10105">
        <v>13.446289999999999</v>
      </c>
      <c r="M10105">
        <v>34.9</v>
      </c>
      <c r="N10105">
        <v>15.74826</v>
      </c>
      <c r="O10105">
        <v>19.15174</v>
      </c>
      <c r="P10105">
        <v>23.948260000000001</v>
      </c>
      <c r="Q10105">
        <v>24.89077</v>
      </c>
      <c r="R10105">
        <v>27.267600000000002</v>
      </c>
      <c r="S10105">
        <v>23.948260000000001</v>
      </c>
      <c r="T10105">
        <v>1327.193</v>
      </c>
      <c r="U10105">
        <v>297</v>
      </c>
      <c r="V10105">
        <v>0</v>
      </c>
      <c r="W10105">
        <v>96</v>
      </c>
      <c r="X10105">
        <v>798.1934</v>
      </c>
      <c r="Y10105">
        <v>1</v>
      </c>
      <c r="Z10105">
        <v>220</v>
      </c>
      <c r="AA10105">
        <v>798.1934</v>
      </c>
      <c r="AB10105">
        <v>19.00347</v>
      </c>
      <c r="AC10105">
        <v>5.6234069999999997E-2</v>
      </c>
      <c r="AD10105">
        <v>2.6161699999999999</v>
      </c>
      <c r="AE10105">
        <v>0.37251790000000001</v>
      </c>
      <c r="AF10105">
        <v>639.33450000000005</v>
      </c>
      <c r="AG10105">
        <f>IFERROR(AH10105*0.1, "N/A")</f>
        <v>5.7498260000000005</v>
      </c>
      <c r="AH10105">
        <v>57.498260000000002</v>
      </c>
      <c r="AI10105">
        <v>255.04480000000001</v>
      </c>
      <c r="AJ10105">
        <v>24.304880000000001</v>
      </c>
      <c r="AK10105">
        <v>53.222999999999999</v>
      </c>
    </row>
    <row r="10106" spans="1:37" x14ac:dyDescent="0.3">
      <c r="A10106">
        <v>10105</v>
      </c>
      <c r="B10106">
        <v>6</v>
      </c>
      <c r="C10106">
        <v>12.647</v>
      </c>
      <c r="D10106">
        <v>7.3680000000000003</v>
      </c>
      <c r="E10106" t="s">
        <v>15269</v>
      </c>
      <c r="F10106" t="s">
        <v>15270</v>
      </c>
      <c r="G10106" t="s">
        <v>37</v>
      </c>
      <c r="H10106">
        <v>1987</v>
      </c>
      <c r="I10106">
        <v>22.1</v>
      </c>
      <c r="J10106">
        <v>12.8</v>
      </c>
      <c r="K10106">
        <v>66</v>
      </c>
      <c r="L10106">
        <v>10.31</v>
      </c>
      <c r="M10106">
        <v>31.4</v>
      </c>
      <c r="N10106">
        <v>12.1</v>
      </c>
      <c r="O10106">
        <v>19.3</v>
      </c>
      <c r="P10106">
        <v>21.3</v>
      </c>
      <c r="Q10106">
        <v>21.4</v>
      </c>
      <c r="R10106">
        <v>23.6</v>
      </c>
      <c r="S10106">
        <v>21.1</v>
      </c>
      <c r="T10106">
        <v>1575</v>
      </c>
      <c r="U10106">
        <v>282</v>
      </c>
      <c r="V10106">
        <v>1</v>
      </c>
      <c r="W10106">
        <v>83</v>
      </c>
      <c r="X10106">
        <v>823</v>
      </c>
      <c r="Y10106">
        <v>6</v>
      </c>
      <c r="Z10106">
        <v>366</v>
      </c>
      <c r="AA10106">
        <v>15</v>
      </c>
      <c r="AB10106">
        <v>9.9632740000000002</v>
      </c>
      <c r="AC10106">
        <v>0.1510196</v>
      </c>
      <c r="AD10106">
        <v>2.69347</v>
      </c>
      <c r="AE10106">
        <v>0.49740859999999998</v>
      </c>
      <c r="AF10106">
        <v>1106.08</v>
      </c>
      <c r="AG10106">
        <f>IFERROR(AH10106*0.1, "N/A")</f>
        <v>5.4468640000000006</v>
      </c>
      <c r="AH10106">
        <v>54.468640000000001</v>
      </c>
      <c r="AI10106">
        <v>144.78659999999999</v>
      </c>
      <c r="AJ10106">
        <v>25.468640000000001</v>
      </c>
      <c r="AK10106">
        <v>53</v>
      </c>
    </row>
    <row r="10107" spans="1:37" x14ac:dyDescent="0.3">
      <c r="A10107">
        <v>10106</v>
      </c>
      <c r="B10107">
        <v>11.1</v>
      </c>
      <c r="C10107">
        <v>12.654199999999999</v>
      </c>
      <c r="D10107">
        <v>7.3748699999999996</v>
      </c>
      <c r="E10107" t="s">
        <v>15271</v>
      </c>
      <c r="F10107" t="s">
        <v>15272</v>
      </c>
      <c r="G10107" t="s">
        <v>37</v>
      </c>
      <c r="H10107">
        <v>1962</v>
      </c>
      <c r="I10107">
        <v>22.17304</v>
      </c>
      <c r="J10107">
        <v>12.9</v>
      </c>
      <c r="K10107">
        <v>66</v>
      </c>
      <c r="L10107">
        <v>10.34496</v>
      </c>
      <c r="M10107">
        <v>31.54609</v>
      </c>
      <c r="N10107">
        <v>12.17304</v>
      </c>
      <c r="O10107">
        <v>19.37304</v>
      </c>
      <c r="P10107">
        <v>21.4</v>
      </c>
      <c r="Q10107">
        <v>21.473040000000001</v>
      </c>
      <c r="R10107">
        <v>23.67304</v>
      </c>
      <c r="S10107">
        <v>21.17304</v>
      </c>
      <c r="T10107">
        <v>1572.27</v>
      </c>
      <c r="U10107">
        <v>281.26960000000003</v>
      </c>
      <c r="V10107">
        <v>1</v>
      </c>
      <c r="W10107">
        <v>83</v>
      </c>
      <c r="X10107">
        <v>822.26959999999997</v>
      </c>
      <c r="Y10107">
        <v>6</v>
      </c>
      <c r="Z10107">
        <v>364.26960000000003</v>
      </c>
      <c r="AA10107">
        <v>15</v>
      </c>
      <c r="AB10107">
        <v>1.805707</v>
      </c>
      <c r="AC10107">
        <v>0.2453581</v>
      </c>
      <c r="AD10107">
        <v>1.5802529999999999</v>
      </c>
      <c r="AE10107">
        <v>0.4088135</v>
      </c>
      <c r="AF10107">
        <v>1118.1369999999999</v>
      </c>
      <c r="AG10107">
        <f>IFERROR(AH10107*0.1, "N/A")</f>
        <v>5.4455650000000002</v>
      </c>
      <c r="AH10107">
        <v>54.455649999999999</v>
      </c>
      <c r="AI10107">
        <v>114.7544</v>
      </c>
      <c r="AJ10107">
        <v>24</v>
      </c>
      <c r="AK10107">
        <v>53.798259999999999</v>
      </c>
    </row>
    <row r="10108" spans="1:37" x14ac:dyDescent="0.3">
      <c r="A10108">
        <v>10107</v>
      </c>
      <c r="B10108">
        <v>0</v>
      </c>
      <c r="C10108">
        <v>12.654199999999999</v>
      </c>
      <c r="D10108">
        <v>7.3748699999999996</v>
      </c>
      <c r="E10108" t="s">
        <v>15271</v>
      </c>
      <c r="F10108" t="s">
        <v>15273</v>
      </c>
      <c r="G10108" t="s">
        <v>39</v>
      </c>
      <c r="H10108">
        <v>1962</v>
      </c>
      <c r="I10108">
        <v>22.17304</v>
      </c>
      <c r="J10108">
        <v>12.9</v>
      </c>
      <c r="K10108">
        <v>66</v>
      </c>
      <c r="L10108">
        <v>10.34496</v>
      </c>
      <c r="M10108">
        <v>31.54609</v>
      </c>
      <c r="N10108">
        <v>12.17304</v>
      </c>
      <c r="O10108">
        <v>19.37304</v>
      </c>
      <c r="P10108">
        <v>21.4</v>
      </c>
      <c r="Q10108">
        <v>21.473040000000001</v>
      </c>
      <c r="R10108">
        <v>23.67304</v>
      </c>
      <c r="S10108">
        <v>21.17304</v>
      </c>
      <c r="T10108">
        <v>1572.27</v>
      </c>
      <c r="U10108">
        <v>281.26960000000003</v>
      </c>
      <c r="V10108">
        <v>1</v>
      </c>
      <c r="W10108">
        <v>83</v>
      </c>
      <c r="X10108">
        <v>822.26959999999997</v>
      </c>
      <c r="Y10108">
        <v>6</v>
      </c>
      <c r="Z10108">
        <v>364.26960000000003</v>
      </c>
      <c r="AA10108">
        <v>15</v>
      </c>
      <c r="AB10108">
        <v>1.805707</v>
      </c>
      <c r="AC10108">
        <v>0.2453581</v>
      </c>
      <c r="AD10108">
        <v>1.5802529999999999</v>
      </c>
      <c r="AE10108">
        <v>0.4088135</v>
      </c>
      <c r="AF10108">
        <v>1118.1369999999999</v>
      </c>
      <c r="AG10108">
        <f>IFERROR(AH10108*0.1, "N/A")</f>
        <v>5.4455650000000002</v>
      </c>
      <c r="AH10108">
        <v>54.455649999999999</v>
      </c>
      <c r="AI10108">
        <v>114.7544</v>
      </c>
      <c r="AJ10108">
        <v>24</v>
      </c>
      <c r="AK10108">
        <v>53.798259999999999</v>
      </c>
    </row>
    <row r="10109" spans="1:37" x14ac:dyDescent="0.3">
      <c r="A10109">
        <v>10108</v>
      </c>
      <c r="B10109">
        <v>2.9</v>
      </c>
      <c r="C10109">
        <v>12.6333</v>
      </c>
      <c r="D10109">
        <v>7.3833299999999999</v>
      </c>
      <c r="E10109" t="s">
        <v>15274</v>
      </c>
      <c r="F10109" t="s">
        <v>15275</v>
      </c>
      <c r="G10109" t="s">
        <v>39</v>
      </c>
      <c r="H10109">
        <v>1990</v>
      </c>
      <c r="I10109">
        <v>21.416319999999999</v>
      </c>
      <c r="J10109">
        <v>12.9</v>
      </c>
      <c r="K10109">
        <v>66.578130000000002</v>
      </c>
      <c r="L10109">
        <v>10.2288</v>
      </c>
      <c r="M10109">
        <v>30.730730000000001</v>
      </c>
      <c r="N10109">
        <v>11.48854</v>
      </c>
      <c r="O10109">
        <v>19.242190000000001</v>
      </c>
      <c r="P10109">
        <v>20.63073</v>
      </c>
      <c r="Q10109">
        <v>20.69774</v>
      </c>
      <c r="R10109">
        <v>22.921530000000001</v>
      </c>
      <c r="S10109">
        <v>20.430730000000001</v>
      </c>
      <c r="T10109">
        <v>1584.547</v>
      </c>
      <c r="U10109">
        <v>283.14409999999998</v>
      </c>
      <c r="V10109">
        <v>1</v>
      </c>
      <c r="W10109">
        <v>82.473960000000005</v>
      </c>
      <c r="X10109">
        <v>826.62850000000003</v>
      </c>
      <c r="Y10109">
        <v>8</v>
      </c>
      <c r="Z10109">
        <v>370.0625</v>
      </c>
      <c r="AA10109">
        <v>17</v>
      </c>
      <c r="AB10109">
        <v>142.94040000000001</v>
      </c>
      <c r="AC10109">
        <v>1.9341299999999999E-2</v>
      </c>
      <c r="AD10109">
        <v>6.0133260000000002</v>
      </c>
      <c r="AE10109">
        <v>0.43597809999999998</v>
      </c>
      <c r="AF10109">
        <v>1320.498</v>
      </c>
      <c r="AG10109">
        <f>IFERROR(AH10109*0.1, "N/A")</f>
        <v>5.4</v>
      </c>
      <c r="AH10109">
        <v>54</v>
      </c>
      <c r="AI10109">
        <v>137.21279999999999</v>
      </c>
      <c r="AJ10109">
        <v>33.479170000000003</v>
      </c>
      <c r="AK10109">
        <v>41.27778</v>
      </c>
    </row>
    <row r="10110" spans="1:37" x14ac:dyDescent="0.3">
      <c r="A10110">
        <v>10109</v>
      </c>
      <c r="B10110">
        <v>24.2</v>
      </c>
      <c r="C10110">
        <v>12.6333</v>
      </c>
      <c r="D10110">
        <v>7.3833299999999999</v>
      </c>
      <c r="E10110" t="s">
        <v>15274</v>
      </c>
      <c r="F10110" t="s">
        <v>15276</v>
      </c>
      <c r="G10110" t="s">
        <v>37</v>
      </c>
      <c r="H10110">
        <v>1990</v>
      </c>
      <c r="I10110">
        <v>21.416319999999999</v>
      </c>
      <c r="J10110">
        <v>12.9</v>
      </c>
      <c r="K10110">
        <v>66.578130000000002</v>
      </c>
      <c r="L10110">
        <v>10.2288</v>
      </c>
      <c r="M10110">
        <v>30.730730000000001</v>
      </c>
      <c r="N10110">
        <v>11.48854</v>
      </c>
      <c r="O10110">
        <v>19.242190000000001</v>
      </c>
      <c r="P10110">
        <v>20.63073</v>
      </c>
      <c r="Q10110">
        <v>20.69774</v>
      </c>
      <c r="R10110">
        <v>22.921530000000001</v>
      </c>
      <c r="S10110">
        <v>20.430730000000001</v>
      </c>
      <c r="T10110">
        <v>1584.547</v>
      </c>
      <c r="U10110">
        <v>283.14409999999998</v>
      </c>
      <c r="V10110">
        <v>1</v>
      </c>
      <c r="W10110">
        <v>82.473960000000005</v>
      </c>
      <c r="X10110">
        <v>826.62850000000003</v>
      </c>
      <c r="Y10110">
        <v>8</v>
      </c>
      <c r="Z10110">
        <v>370.0625</v>
      </c>
      <c r="AA10110">
        <v>17</v>
      </c>
      <c r="AB10110">
        <v>142.94040000000001</v>
      </c>
      <c r="AC10110">
        <v>1.9341299999999999E-2</v>
      </c>
      <c r="AD10110">
        <v>6.0133260000000002</v>
      </c>
      <c r="AE10110">
        <v>0.43597809999999998</v>
      </c>
      <c r="AF10110">
        <v>1320.498</v>
      </c>
      <c r="AG10110">
        <f>IFERROR(AH10110*0.1, "N/A")</f>
        <v>5.4</v>
      </c>
      <c r="AH10110">
        <v>54</v>
      </c>
      <c r="AI10110">
        <v>137.21279999999999</v>
      </c>
      <c r="AJ10110">
        <v>33.479170000000003</v>
      </c>
      <c r="AK10110">
        <v>41.27778</v>
      </c>
    </row>
    <row r="10111" spans="1:37" x14ac:dyDescent="0.3">
      <c r="A10111">
        <v>10110</v>
      </c>
      <c r="B10111">
        <v>0</v>
      </c>
      <c r="C10111">
        <v>12.6333</v>
      </c>
      <c r="D10111">
        <v>7.3833299999999999</v>
      </c>
      <c r="E10111" t="s">
        <v>15274</v>
      </c>
      <c r="F10111" t="s">
        <v>15277</v>
      </c>
      <c r="G10111" t="s">
        <v>2420</v>
      </c>
      <c r="H10111">
        <v>1990</v>
      </c>
      <c r="I10111">
        <v>21.416319999999999</v>
      </c>
      <c r="J10111">
        <v>12.9</v>
      </c>
      <c r="K10111">
        <v>66.578130000000002</v>
      </c>
      <c r="L10111">
        <v>10.2288</v>
      </c>
      <c r="M10111">
        <v>30.730730000000001</v>
      </c>
      <c r="N10111">
        <v>11.48854</v>
      </c>
      <c r="O10111">
        <v>19.242190000000001</v>
      </c>
      <c r="P10111">
        <v>20.63073</v>
      </c>
      <c r="Q10111">
        <v>20.69774</v>
      </c>
      <c r="R10111">
        <v>22.921530000000001</v>
      </c>
      <c r="S10111">
        <v>20.430730000000001</v>
      </c>
      <c r="T10111">
        <v>1584.547</v>
      </c>
      <c r="U10111">
        <v>283.14409999999998</v>
      </c>
      <c r="V10111">
        <v>1</v>
      </c>
      <c r="W10111">
        <v>82.473960000000005</v>
      </c>
      <c r="X10111">
        <v>826.62850000000003</v>
      </c>
      <c r="Y10111">
        <v>8</v>
      </c>
      <c r="Z10111">
        <v>370.0625</v>
      </c>
      <c r="AA10111">
        <v>17</v>
      </c>
      <c r="AB10111">
        <v>142.94040000000001</v>
      </c>
      <c r="AC10111">
        <v>1.9341299999999999E-2</v>
      </c>
      <c r="AD10111">
        <v>6.0133260000000002</v>
      </c>
      <c r="AE10111">
        <v>0.43597809999999998</v>
      </c>
      <c r="AF10111">
        <v>1320.498</v>
      </c>
      <c r="AG10111">
        <f>IFERROR(AH10111*0.1, "N/A")</f>
        <v>5.4</v>
      </c>
      <c r="AH10111">
        <v>54</v>
      </c>
      <c r="AI10111">
        <v>137.21279999999999</v>
      </c>
      <c r="AJ10111">
        <v>33.479170000000003</v>
      </c>
      <c r="AK10111">
        <v>41.27778</v>
      </c>
    </row>
    <row r="10112" spans="1:37" x14ac:dyDescent="0.3">
      <c r="A10112">
        <v>10111</v>
      </c>
      <c r="B10112">
        <v>73</v>
      </c>
      <c r="C10112">
        <v>14.701000000000001</v>
      </c>
      <c r="D10112">
        <v>7.4</v>
      </c>
      <c r="E10112" t="s">
        <v>15278</v>
      </c>
      <c r="F10112" t="s">
        <v>15279</v>
      </c>
      <c r="G10112" t="s">
        <v>39</v>
      </c>
      <c r="H10112">
        <v>1987</v>
      </c>
      <c r="I10112">
        <v>24.125440000000001</v>
      </c>
      <c r="J10112">
        <v>12.47456</v>
      </c>
      <c r="K10112">
        <v>65.745639999999995</v>
      </c>
      <c r="L10112">
        <v>12.441739999999999</v>
      </c>
      <c r="M10112">
        <v>33.525440000000003</v>
      </c>
      <c r="N10112">
        <v>14.7</v>
      </c>
      <c r="O10112">
        <v>18.825430000000001</v>
      </c>
      <c r="P10112">
        <v>22.925439999999998</v>
      </c>
      <c r="Q10112">
        <v>23.7</v>
      </c>
      <c r="R10112">
        <v>25.950869999999998</v>
      </c>
      <c r="S10112">
        <v>22.925439999999998</v>
      </c>
      <c r="T10112">
        <v>1411.7460000000001</v>
      </c>
      <c r="U10112">
        <v>296</v>
      </c>
      <c r="V10112">
        <v>0</v>
      </c>
      <c r="W10112">
        <v>92</v>
      </c>
      <c r="X10112">
        <v>817</v>
      </c>
      <c r="Y10112">
        <v>2</v>
      </c>
      <c r="Z10112">
        <v>265</v>
      </c>
      <c r="AA10112">
        <v>817</v>
      </c>
      <c r="AB10112">
        <v>2.729797</v>
      </c>
      <c r="AC10112">
        <v>0.52232179999999995</v>
      </c>
      <c r="AD10112">
        <v>2.1103580000000002</v>
      </c>
      <c r="AE10112">
        <v>0.1330336</v>
      </c>
      <c r="AF10112">
        <v>806.77</v>
      </c>
      <c r="AG10112">
        <f>IFERROR(AH10112*0.1, "N/A")</f>
        <v>5.5878050000000004</v>
      </c>
      <c r="AH10112">
        <v>55.878050000000002</v>
      </c>
      <c r="AI10112">
        <v>220.9435</v>
      </c>
      <c r="AJ10112">
        <v>30.939019999999999</v>
      </c>
      <c r="AK10112">
        <v>45.182929999999999</v>
      </c>
    </row>
    <row r="10113" spans="1:37" x14ac:dyDescent="0.3">
      <c r="A10113">
        <v>10112</v>
      </c>
      <c r="B10113">
        <v>89.6</v>
      </c>
      <c r="C10113">
        <v>12.466699999999999</v>
      </c>
      <c r="D10113">
        <v>7.4277800000000003</v>
      </c>
      <c r="E10113" t="s">
        <v>15280</v>
      </c>
      <c r="F10113" t="s">
        <v>15281</v>
      </c>
      <c r="G10113" t="s">
        <v>37</v>
      </c>
      <c r="H10113">
        <v>1990</v>
      </c>
      <c r="I10113">
        <v>24.740449999999999</v>
      </c>
      <c r="J10113">
        <v>12.5</v>
      </c>
      <c r="K10113">
        <v>64.595489999999998</v>
      </c>
      <c r="L10113">
        <v>10.972810000000001</v>
      </c>
      <c r="M10113">
        <v>34.04045</v>
      </c>
      <c r="N10113">
        <v>14.85955</v>
      </c>
      <c r="O10113">
        <v>19.180900000000001</v>
      </c>
      <c r="P10113">
        <v>23.95955</v>
      </c>
      <c r="Q10113">
        <v>24</v>
      </c>
      <c r="R10113">
        <v>26.4</v>
      </c>
      <c r="S10113">
        <v>23.740449999999999</v>
      </c>
      <c r="T10113">
        <v>1519.595</v>
      </c>
      <c r="U10113">
        <v>271</v>
      </c>
      <c r="V10113">
        <v>1</v>
      </c>
      <c r="W10113">
        <v>84</v>
      </c>
      <c r="X10113">
        <v>800</v>
      </c>
      <c r="Y10113">
        <v>5</v>
      </c>
      <c r="Z10113">
        <v>338.59550000000002</v>
      </c>
      <c r="AA10113">
        <v>15</v>
      </c>
      <c r="AB10113">
        <v>4.5581579999999997</v>
      </c>
      <c r="AC10113">
        <v>1.5437510000000001</v>
      </c>
      <c r="AD10113">
        <v>4.9612910000000001</v>
      </c>
      <c r="AE10113">
        <v>0.24230489999999999</v>
      </c>
      <c r="AF10113">
        <v>630.16669999999999</v>
      </c>
      <c r="AG10113">
        <f>IFERROR(AH10113*0.1, "N/A")</f>
        <v>5.7222220000000004</v>
      </c>
      <c r="AH10113">
        <v>57.22222</v>
      </c>
      <c r="AI10113">
        <v>68.385869999999997</v>
      </c>
      <c r="AJ10113">
        <v>23.793399999999998</v>
      </c>
      <c r="AK10113">
        <v>56.095489999999998</v>
      </c>
    </row>
    <row r="10114" spans="1:37" x14ac:dyDescent="0.3">
      <c r="A10114">
        <v>10113</v>
      </c>
      <c r="B10114">
        <v>0</v>
      </c>
      <c r="C10114">
        <v>12.466699999999999</v>
      </c>
      <c r="D10114">
        <v>7.4277800000000003</v>
      </c>
      <c r="E10114" t="s">
        <v>15280</v>
      </c>
      <c r="F10114" t="s">
        <v>15282</v>
      </c>
      <c r="G10114" t="s">
        <v>2420</v>
      </c>
      <c r="H10114">
        <v>1990</v>
      </c>
      <c r="I10114">
        <v>24.740449999999999</v>
      </c>
      <c r="J10114">
        <v>12.5</v>
      </c>
      <c r="K10114">
        <v>64.595489999999998</v>
      </c>
      <c r="L10114">
        <v>10.972810000000001</v>
      </c>
      <c r="M10114">
        <v>34.04045</v>
      </c>
      <c r="N10114">
        <v>14.85955</v>
      </c>
      <c r="O10114">
        <v>19.180900000000001</v>
      </c>
      <c r="P10114">
        <v>23.95955</v>
      </c>
      <c r="Q10114">
        <v>24</v>
      </c>
      <c r="R10114">
        <v>26.4</v>
      </c>
      <c r="S10114">
        <v>23.740449999999999</v>
      </c>
      <c r="T10114">
        <v>1519.595</v>
      </c>
      <c r="U10114">
        <v>271</v>
      </c>
      <c r="V10114">
        <v>1</v>
      </c>
      <c r="W10114">
        <v>84</v>
      </c>
      <c r="X10114">
        <v>800</v>
      </c>
      <c r="Y10114">
        <v>5</v>
      </c>
      <c r="Z10114">
        <v>338.59550000000002</v>
      </c>
      <c r="AA10114">
        <v>15</v>
      </c>
      <c r="AB10114">
        <v>4.5581579999999997</v>
      </c>
      <c r="AC10114">
        <v>1.5437510000000001</v>
      </c>
      <c r="AD10114">
        <v>4.9612910000000001</v>
      </c>
      <c r="AE10114">
        <v>0.24230489999999999</v>
      </c>
      <c r="AF10114">
        <v>630.16669999999999</v>
      </c>
      <c r="AG10114">
        <f>IFERROR(AH10114*0.1, "N/A")</f>
        <v>5.7222220000000004</v>
      </c>
      <c r="AH10114">
        <v>57.22222</v>
      </c>
      <c r="AI10114">
        <v>68.385869999999997</v>
      </c>
      <c r="AJ10114">
        <v>23.793399999999998</v>
      </c>
      <c r="AK10114">
        <v>56.095489999999998</v>
      </c>
    </row>
    <row r="10115" spans="1:37" x14ac:dyDescent="0.3">
      <c r="A10115">
        <v>10114</v>
      </c>
      <c r="B10115">
        <v>0</v>
      </c>
      <c r="C10115">
        <v>13.833299999999999</v>
      </c>
      <c r="D10115">
        <v>7.5166700000000004</v>
      </c>
      <c r="E10115" t="s">
        <v>15283</v>
      </c>
      <c r="F10115" t="s">
        <v>15284</v>
      </c>
      <c r="G10115" t="s">
        <v>39</v>
      </c>
      <c r="H10115">
        <v>1990</v>
      </c>
      <c r="I10115">
        <v>22.396339999999999</v>
      </c>
      <c r="J10115">
        <v>13</v>
      </c>
      <c r="K10115">
        <v>67</v>
      </c>
      <c r="L10115">
        <v>10.860519999999999</v>
      </c>
      <c r="M10115">
        <v>31.745470000000001</v>
      </c>
      <c r="N10115">
        <v>12.44547</v>
      </c>
      <c r="O10115">
        <v>19.3</v>
      </c>
      <c r="P10115">
        <v>21.49634</v>
      </c>
      <c r="Q10115">
        <v>21.796340000000001</v>
      </c>
      <c r="R10115">
        <v>24.045470000000002</v>
      </c>
      <c r="S10115">
        <v>21.49634</v>
      </c>
      <c r="T10115">
        <v>1497.7650000000001</v>
      </c>
      <c r="U10115">
        <v>290</v>
      </c>
      <c r="V10115">
        <v>0</v>
      </c>
      <c r="W10115">
        <v>87.635890000000003</v>
      </c>
      <c r="X10115">
        <v>814.81709999999998</v>
      </c>
      <c r="Y10115">
        <v>2.0365850000000001</v>
      </c>
      <c r="Z10115">
        <v>339.09230000000002</v>
      </c>
      <c r="AA10115">
        <v>814.81709999999998</v>
      </c>
      <c r="AB10115">
        <v>8.4482140000000001</v>
      </c>
      <c r="AC10115">
        <v>1.8103500000000002E-2</v>
      </c>
      <c r="AD10115">
        <v>3.7455720000000001</v>
      </c>
      <c r="AE10115">
        <v>0.49279509999999999</v>
      </c>
      <c r="AF10115">
        <v>1063.9839999999999</v>
      </c>
      <c r="AG10115">
        <f>IFERROR(AH10115*0.1, "N/A")</f>
        <v>5.4611499999999999</v>
      </c>
      <c r="AH10115">
        <v>54.611499999999999</v>
      </c>
      <c r="AI10115">
        <v>50.69455</v>
      </c>
      <c r="AJ10115">
        <v>34</v>
      </c>
      <c r="AK10115">
        <v>41.435540000000003</v>
      </c>
    </row>
    <row r="10116" spans="1:37" x14ac:dyDescent="0.3">
      <c r="A10116">
        <v>10115</v>
      </c>
      <c r="B10116">
        <v>7.9</v>
      </c>
      <c r="C10116">
        <v>13.833299999999999</v>
      </c>
      <c r="D10116">
        <v>7.5166700000000004</v>
      </c>
      <c r="E10116" t="s">
        <v>15283</v>
      </c>
      <c r="F10116" t="s">
        <v>15285</v>
      </c>
      <c r="G10116" t="s">
        <v>37</v>
      </c>
      <c r="H10116">
        <v>1990</v>
      </c>
      <c r="I10116">
        <v>22.396339999999999</v>
      </c>
      <c r="J10116">
        <v>13</v>
      </c>
      <c r="K10116">
        <v>67</v>
      </c>
      <c r="L10116">
        <v>10.860519999999999</v>
      </c>
      <c r="M10116">
        <v>31.745470000000001</v>
      </c>
      <c r="N10116">
        <v>12.44547</v>
      </c>
      <c r="O10116">
        <v>19.3</v>
      </c>
      <c r="P10116">
        <v>21.49634</v>
      </c>
      <c r="Q10116">
        <v>21.796340000000001</v>
      </c>
      <c r="R10116">
        <v>24.045470000000002</v>
      </c>
      <c r="S10116">
        <v>21.49634</v>
      </c>
      <c r="T10116">
        <v>1497.7650000000001</v>
      </c>
      <c r="U10116">
        <v>290</v>
      </c>
      <c r="V10116">
        <v>0</v>
      </c>
      <c r="W10116">
        <v>87.635890000000003</v>
      </c>
      <c r="X10116">
        <v>814.81709999999998</v>
      </c>
      <c r="Y10116">
        <v>2.0365850000000001</v>
      </c>
      <c r="Z10116">
        <v>339.09230000000002</v>
      </c>
      <c r="AA10116">
        <v>814.81709999999998</v>
      </c>
      <c r="AB10116">
        <v>8.4482140000000001</v>
      </c>
      <c r="AC10116">
        <v>1.8103500000000002E-2</v>
      </c>
      <c r="AD10116">
        <v>3.7455720000000001</v>
      </c>
      <c r="AE10116">
        <v>0.49279509999999999</v>
      </c>
      <c r="AF10116">
        <v>1063.9839999999999</v>
      </c>
      <c r="AG10116">
        <f>IFERROR(AH10116*0.1, "N/A")</f>
        <v>5.4611499999999999</v>
      </c>
      <c r="AH10116">
        <v>54.611499999999999</v>
      </c>
      <c r="AI10116">
        <v>50.69455</v>
      </c>
      <c r="AJ10116">
        <v>34</v>
      </c>
      <c r="AK10116">
        <v>41.435540000000003</v>
      </c>
    </row>
    <row r="10117" spans="1:37" x14ac:dyDescent="0.3">
      <c r="A10117">
        <v>10116</v>
      </c>
      <c r="B10117">
        <v>0</v>
      </c>
      <c r="C10117">
        <v>13.833299999999999</v>
      </c>
      <c r="D10117">
        <v>7.5166700000000004</v>
      </c>
      <c r="E10117" t="s">
        <v>15283</v>
      </c>
      <c r="F10117" t="s">
        <v>15286</v>
      </c>
      <c r="G10117" t="s">
        <v>2420</v>
      </c>
      <c r="H10117">
        <v>1990</v>
      </c>
      <c r="I10117">
        <v>22.396339999999999</v>
      </c>
      <c r="J10117">
        <v>13</v>
      </c>
      <c r="K10117">
        <v>67</v>
      </c>
      <c r="L10117">
        <v>10.860519999999999</v>
      </c>
      <c r="M10117">
        <v>31.745470000000001</v>
      </c>
      <c r="N10117">
        <v>12.44547</v>
      </c>
      <c r="O10117">
        <v>19.3</v>
      </c>
      <c r="P10117">
        <v>21.49634</v>
      </c>
      <c r="Q10117">
        <v>21.796340000000001</v>
      </c>
      <c r="R10117">
        <v>24.045470000000002</v>
      </c>
      <c r="S10117">
        <v>21.49634</v>
      </c>
      <c r="T10117">
        <v>1497.7650000000001</v>
      </c>
      <c r="U10117">
        <v>290</v>
      </c>
      <c r="V10117">
        <v>0</v>
      </c>
      <c r="W10117">
        <v>87.635890000000003</v>
      </c>
      <c r="X10117">
        <v>814.81709999999998</v>
      </c>
      <c r="Y10117">
        <v>2.0365850000000001</v>
      </c>
      <c r="Z10117">
        <v>339.09230000000002</v>
      </c>
      <c r="AA10117">
        <v>814.81709999999998</v>
      </c>
      <c r="AB10117">
        <v>8.4482140000000001</v>
      </c>
      <c r="AC10117">
        <v>1.8103500000000002E-2</v>
      </c>
      <c r="AD10117">
        <v>3.7455720000000001</v>
      </c>
      <c r="AE10117">
        <v>0.49279509999999999</v>
      </c>
      <c r="AF10117">
        <v>1063.9839999999999</v>
      </c>
      <c r="AG10117">
        <f>IFERROR(AH10117*0.1, "N/A")</f>
        <v>5.4611499999999999</v>
      </c>
      <c r="AH10117">
        <v>54.611499999999999</v>
      </c>
      <c r="AI10117">
        <v>50.69455</v>
      </c>
      <c r="AJ10117">
        <v>34</v>
      </c>
      <c r="AK10117">
        <v>41.435540000000003</v>
      </c>
    </row>
    <row r="10118" spans="1:37" x14ac:dyDescent="0.3">
      <c r="A10118">
        <v>10117</v>
      </c>
      <c r="B10118">
        <v>3.7</v>
      </c>
      <c r="C10118">
        <v>12.3278</v>
      </c>
      <c r="D10118">
        <v>7.6611099999999999</v>
      </c>
      <c r="E10118" t="s">
        <v>15287</v>
      </c>
      <c r="F10118" t="s">
        <v>15288</v>
      </c>
      <c r="G10118" t="s">
        <v>39</v>
      </c>
      <c r="H10118">
        <v>1990</v>
      </c>
      <c r="I10118">
        <v>25.1</v>
      </c>
      <c r="J10118">
        <v>12.6</v>
      </c>
      <c r="K10118">
        <v>64</v>
      </c>
      <c r="L10118">
        <v>12.01</v>
      </c>
      <c r="M10118">
        <v>34.6</v>
      </c>
      <c r="N10118">
        <v>15</v>
      </c>
      <c r="O10118">
        <v>19.600000000000001</v>
      </c>
      <c r="P10118">
        <v>24.2</v>
      </c>
      <c r="Q10118">
        <v>24.3</v>
      </c>
      <c r="R10118">
        <v>27</v>
      </c>
      <c r="S10118">
        <v>24</v>
      </c>
      <c r="T10118">
        <v>1464</v>
      </c>
      <c r="U10118">
        <v>265</v>
      </c>
      <c r="V10118">
        <v>1</v>
      </c>
      <c r="W10118">
        <v>86</v>
      </c>
      <c r="X10118">
        <v>785</v>
      </c>
      <c r="Y10118">
        <v>5</v>
      </c>
      <c r="Z10118">
        <v>318</v>
      </c>
      <c r="AA10118">
        <v>12</v>
      </c>
      <c r="AB10118">
        <v>35.679650000000002</v>
      </c>
      <c r="AC10118">
        <v>1.03003E-2</v>
      </c>
      <c r="AD10118">
        <v>0.95198539999999998</v>
      </c>
      <c r="AE10118">
        <v>0.40743770000000001</v>
      </c>
      <c r="AF10118">
        <v>574.25570000000005</v>
      </c>
      <c r="AG10118">
        <f>IFERROR(AH10118*0.1, "N/A")</f>
        <v>5.8921740000000007</v>
      </c>
      <c r="AH10118">
        <v>58.92174</v>
      </c>
      <c r="AI10118">
        <v>194.4102</v>
      </c>
      <c r="AJ10118">
        <v>24.92174</v>
      </c>
      <c r="AK10118">
        <v>52.07826</v>
      </c>
    </row>
    <row r="10119" spans="1:37" x14ac:dyDescent="0.3">
      <c r="A10119">
        <v>10118</v>
      </c>
      <c r="B10119">
        <v>42.3</v>
      </c>
      <c r="C10119">
        <v>12.3278</v>
      </c>
      <c r="D10119">
        <v>7.6611099999999999</v>
      </c>
      <c r="E10119" t="s">
        <v>15287</v>
      </c>
      <c r="F10119" t="s">
        <v>15289</v>
      </c>
      <c r="G10119" t="s">
        <v>37</v>
      </c>
      <c r="H10119">
        <v>1990</v>
      </c>
      <c r="I10119">
        <v>25.1</v>
      </c>
      <c r="J10119">
        <v>12.6</v>
      </c>
      <c r="K10119">
        <v>64</v>
      </c>
      <c r="L10119">
        <v>12.01</v>
      </c>
      <c r="M10119">
        <v>34.6</v>
      </c>
      <c r="N10119">
        <v>15</v>
      </c>
      <c r="O10119">
        <v>19.600000000000001</v>
      </c>
      <c r="P10119">
        <v>24.2</v>
      </c>
      <c r="Q10119">
        <v>24.3</v>
      </c>
      <c r="R10119">
        <v>27</v>
      </c>
      <c r="S10119">
        <v>24</v>
      </c>
      <c r="T10119">
        <v>1464</v>
      </c>
      <c r="U10119">
        <v>265</v>
      </c>
      <c r="V10119">
        <v>1</v>
      </c>
      <c r="W10119">
        <v>86</v>
      </c>
      <c r="X10119">
        <v>785</v>
      </c>
      <c r="Y10119">
        <v>5</v>
      </c>
      <c r="Z10119">
        <v>318</v>
      </c>
      <c r="AA10119">
        <v>12</v>
      </c>
      <c r="AB10119">
        <v>35.679650000000002</v>
      </c>
      <c r="AC10119">
        <v>1.03003E-2</v>
      </c>
      <c r="AD10119">
        <v>0.95198539999999998</v>
      </c>
      <c r="AE10119">
        <v>0.40743770000000001</v>
      </c>
      <c r="AF10119">
        <v>574.25570000000005</v>
      </c>
      <c r="AG10119">
        <f>IFERROR(AH10119*0.1, "N/A")</f>
        <v>5.8921740000000007</v>
      </c>
      <c r="AH10119">
        <v>58.92174</v>
      </c>
      <c r="AI10119">
        <v>194.4102</v>
      </c>
      <c r="AJ10119">
        <v>24.92174</v>
      </c>
      <c r="AK10119">
        <v>52.07826</v>
      </c>
    </row>
    <row r="10120" spans="1:37" x14ac:dyDescent="0.3">
      <c r="A10120">
        <v>10119</v>
      </c>
      <c r="B10120">
        <v>3.8</v>
      </c>
      <c r="C10120">
        <v>12.3278</v>
      </c>
      <c r="D10120">
        <v>7.6611099999999999</v>
      </c>
      <c r="E10120" t="s">
        <v>15287</v>
      </c>
      <c r="F10120" t="s">
        <v>15290</v>
      </c>
      <c r="G10120" t="s">
        <v>2420</v>
      </c>
      <c r="H10120">
        <v>1990</v>
      </c>
      <c r="I10120">
        <v>25.1</v>
      </c>
      <c r="J10120">
        <v>12.6</v>
      </c>
      <c r="K10120">
        <v>64</v>
      </c>
      <c r="L10120">
        <v>12.01</v>
      </c>
      <c r="M10120">
        <v>34.6</v>
      </c>
      <c r="N10120">
        <v>15</v>
      </c>
      <c r="O10120">
        <v>19.600000000000001</v>
      </c>
      <c r="P10120">
        <v>24.2</v>
      </c>
      <c r="Q10120">
        <v>24.3</v>
      </c>
      <c r="R10120">
        <v>27</v>
      </c>
      <c r="S10120">
        <v>24</v>
      </c>
      <c r="T10120">
        <v>1464</v>
      </c>
      <c r="U10120">
        <v>265</v>
      </c>
      <c r="V10120">
        <v>1</v>
      </c>
      <c r="W10120">
        <v>86</v>
      </c>
      <c r="X10120">
        <v>785</v>
      </c>
      <c r="Y10120">
        <v>5</v>
      </c>
      <c r="Z10120">
        <v>318</v>
      </c>
      <c r="AA10120">
        <v>12</v>
      </c>
      <c r="AB10120">
        <v>35.679650000000002</v>
      </c>
      <c r="AC10120">
        <v>1.03003E-2</v>
      </c>
      <c r="AD10120">
        <v>0.95198539999999998</v>
      </c>
      <c r="AE10120">
        <v>0.40743770000000001</v>
      </c>
      <c r="AF10120">
        <v>574.25570000000005</v>
      </c>
      <c r="AG10120">
        <f>IFERROR(AH10120*0.1, "N/A")</f>
        <v>5.8921740000000007</v>
      </c>
      <c r="AH10120">
        <v>58.92174</v>
      </c>
      <c r="AI10120">
        <v>194.4102</v>
      </c>
      <c r="AJ10120">
        <v>24.92174</v>
      </c>
      <c r="AK10120">
        <v>52.07826</v>
      </c>
    </row>
    <row r="10121" spans="1:37" x14ac:dyDescent="0.3">
      <c r="A10121">
        <v>10120</v>
      </c>
      <c r="B10121">
        <v>31</v>
      </c>
      <c r="C10121">
        <v>15.3611</v>
      </c>
      <c r="D10121">
        <v>7.7722199999999999</v>
      </c>
      <c r="E10121" t="s">
        <v>15291</v>
      </c>
      <c r="F10121" t="s">
        <v>15292</v>
      </c>
      <c r="G10121" t="s">
        <v>39</v>
      </c>
      <c r="H10121">
        <v>1990</v>
      </c>
      <c r="I10121">
        <v>26.1</v>
      </c>
      <c r="J10121">
        <v>12.8</v>
      </c>
      <c r="K10121">
        <v>62</v>
      </c>
      <c r="L10121">
        <v>16.03</v>
      </c>
      <c r="M10121">
        <v>36.4</v>
      </c>
      <c r="N10121">
        <v>15.8</v>
      </c>
      <c r="O10121">
        <v>20.6</v>
      </c>
      <c r="P10121">
        <v>24.7</v>
      </c>
      <c r="Q10121">
        <v>25.3</v>
      </c>
      <c r="R10121">
        <v>28.5</v>
      </c>
      <c r="S10121">
        <v>24.7</v>
      </c>
      <c r="T10121">
        <v>1278</v>
      </c>
      <c r="U10121">
        <v>302</v>
      </c>
      <c r="V10121">
        <v>0</v>
      </c>
      <c r="W10121">
        <v>100</v>
      </c>
      <c r="X10121">
        <v>801</v>
      </c>
      <c r="Y10121">
        <v>0</v>
      </c>
      <c r="Z10121">
        <v>190</v>
      </c>
      <c r="AA10121">
        <v>801</v>
      </c>
      <c r="AB10121">
        <v>5.9679289999999998</v>
      </c>
      <c r="AC10121">
        <v>2.3268830000000001E-2</v>
      </c>
      <c r="AD10121">
        <v>3.447365</v>
      </c>
      <c r="AE10121">
        <v>0.66071690000000005</v>
      </c>
      <c r="AF10121">
        <v>506.03989999999999</v>
      </c>
      <c r="AG10121">
        <f>IFERROR(AH10121*0.1, "N/A")</f>
        <v>6.1031200000000005</v>
      </c>
      <c r="AH10121">
        <v>61.031199999999998</v>
      </c>
      <c r="AI10121">
        <v>215.393</v>
      </c>
      <c r="AJ10121">
        <v>21.994800000000001</v>
      </c>
      <c r="AK10121">
        <v>55.528599999999997</v>
      </c>
    </row>
    <row r="10122" spans="1:37" x14ac:dyDescent="0.3">
      <c r="A10122">
        <v>10121</v>
      </c>
      <c r="B10122">
        <v>64.3</v>
      </c>
      <c r="C10122">
        <v>15.3611</v>
      </c>
      <c r="D10122">
        <v>7.7722199999999999</v>
      </c>
      <c r="E10122" t="s">
        <v>15291</v>
      </c>
      <c r="F10122" t="s">
        <v>15293</v>
      </c>
      <c r="G10122" t="s">
        <v>37</v>
      </c>
      <c r="H10122">
        <v>1990</v>
      </c>
      <c r="I10122">
        <v>26.1</v>
      </c>
      <c r="J10122">
        <v>12.8</v>
      </c>
      <c r="K10122">
        <v>62</v>
      </c>
      <c r="L10122">
        <v>16.03</v>
      </c>
      <c r="M10122">
        <v>36.4</v>
      </c>
      <c r="N10122">
        <v>15.8</v>
      </c>
      <c r="O10122">
        <v>20.6</v>
      </c>
      <c r="P10122">
        <v>24.7</v>
      </c>
      <c r="Q10122">
        <v>25.3</v>
      </c>
      <c r="R10122">
        <v>28.5</v>
      </c>
      <c r="S10122">
        <v>24.7</v>
      </c>
      <c r="T10122">
        <v>1278</v>
      </c>
      <c r="U10122">
        <v>302</v>
      </c>
      <c r="V10122">
        <v>0</v>
      </c>
      <c r="W10122">
        <v>100</v>
      </c>
      <c r="X10122">
        <v>801</v>
      </c>
      <c r="Y10122">
        <v>0</v>
      </c>
      <c r="Z10122">
        <v>190</v>
      </c>
      <c r="AA10122">
        <v>801</v>
      </c>
      <c r="AB10122">
        <v>5.9679289999999998</v>
      </c>
      <c r="AC10122">
        <v>2.3268830000000001E-2</v>
      </c>
      <c r="AD10122">
        <v>3.447365</v>
      </c>
      <c r="AE10122">
        <v>0.66071690000000005</v>
      </c>
      <c r="AF10122">
        <v>506.03989999999999</v>
      </c>
      <c r="AG10122">
        <f>IFERROR(AH10122*0.1, "N/A")</f>
        <v>6.1031200000000005</v>
      </c>
      <c r="AH10122">
        <v>61.031199999999998</v>
      </c>
      <c r="AI10122">
        <v>215.393</v>
      </c>
      <c r="AJ10122">
        <v>21.994800000000001</v>
      </c>
      <c r="AK10122">
        <v>55.528599999999997</v>
      </c>
    </row>
    <row r="10123" spans="1:37" x14ac:dyDescent="0.3">
      <c r="A10123">
        <v>10122</v>
      </c>
      <c r="B10123">
        <v>1.4</v>
      </c>
      <c r="C10123">
        <v>15.3611</v>
      </c>
      <c r="D10123">
        <v>7.7722199999999999</v>
      </c>
      <c r="E10123" t="s">
        <v>15291</v>
      </c>
      <c r="F10123" t="s">
        <v>15294</v>
      </c>
      <c r="G10123" t="s">
        <v>2420</v>
      </c>
      <c r="H10123">
        <v>1990</v>
      </c>
      <c r="I10123">
        <v>26.1</v>
      </c>
      <c r="J10123">
        <v>12.8</v>
      </c>
      <c r="K10123">
        <v>62</v>
      </c>
      <c r="L10123">
        <v>16.03</v>
      </c>
      <c r="M10123">
        <v>36.4</v>
      </c>
      <c r="N10123">
        <v>15.8</v>
      </c>
      <c r="O10123">
        <v>20.6</v>
      </c>
      <c r="P10123">
        <v>24.7</v>
      </c>
      <c r="Q10123">
        <v>25.3</v>
      </c>
      <c r="R10123">
        <v>28.5</v>
      </c>
      <c r="S10123">
        <v>24.7</v>
      </c>
      <c r="T10123">
        <v>1278</v>
      </c>
      <c r="U10123">
        <v>302</v>
      </c>
      <c r="V10123">
        <v>0</v>
      </c>
      <c r="W10123">
        <v>100</v>
      </c>
      <c r="X10123">
        <v>801</v>
      </c>
      <c r="Y10123">
        <v>0</v>
      </c>
      <c r="Z10123">
        <v>190</v>
      </c>
      <c r="AA10123">
        <v>801</v>
      </c>
      <c r="AB10123">
        <v>5.9679289999999998</v>
      </c>
      <c r="AC10123">
        <v>2.3268830000000001E-2</v>
      </c>
      <c r="AD10123">
        <v>3.447365</v>
      </c>
      <c r="AE10123">
        <v>0.66071690000000005</v>
      </c>
      <c r="AF10123">
        <v>506.03989999999999</v>
      </c>
      <c r="AG10123">
        <f>IFERROR(AH10123*0.1, "N/A")</f>
        <v>6.1031200000000005</v>
      </c>
      <c r="AH10123">
        <v>61.031199999999998</v>
      </c>
      <c r="AI10123">
        <v>215.393</v>
      </c>
      <c r="AJ10123">
        <v>21.994800000000001</v>
      </c>
      <c r="AK10123">
        <v>55.528599999999997</v>
      </c>
    </row>
    <row r="10124" spans="1:37" x14ac:dyDescent="0.3">
      <c r="A10124">
        <v>10123</v>
      </c>
      <c r="B10124">
        <v>6</v>
      </c>
      <c r="C10124">
        <v>15.0083</v>
      </c>
      <c r="D10124">
        <v>7.7916699999999999</v>
      </c>
      <c r="E10124" t="s">
        <v>15295</v>
      </c>
      <c r="F10124" t="s">
        <v>15296</v>
      </c>
      <c r="G10124" t="s">
        <v>39</v>
      </c>
      <c r="H10124">
        <v>1990</v>
      </c>
      <c r="I10124">
        <v>25.948869999999999</v>
      </c>
      <c r="J10124">
        <v>12.6553</v>
      </c>
      <c r="K10124">
        <v>62</v>
      </c>
      <c r="L10124">
        <v>15.556800000000001</v>
      </c>
      <c r="M10124">
        <v>36.055300000000003</v>
      </c>
      <c r="N10124">
        <v>15.84887</v>
      </c>
      <c r="O10124">
        <v>20.206440000000001</v>
      </c>
      <c r="P10124">
        <v>24.59357</v>
      </c>
      <c r="Q10124">
        <v>25.167999999999999</v>
      </c>
      <c r="R10124">
        <v>28.293559999999999</v>
      </c>
      <c r="S10124">
        <v>24.59357</v>
      </c>
      <c r="T10124">
        <v>1293.2560000000001</v>
      </c>
      <c r="U10124">
        <v>294.447</v>
      </c>
      <c r="V10124">
        <v>0</v>
      </c>
      <c r="W10124">
        <v>98.744349999999997</v>
      </c>
      <c r="X10124">
        <v>796.89390000000003</v>
      </c>
      <c r="Y10124">
        <v>0</v>
      </c>
      <c r="Z10124">
        <v>206.36170000000001</v>
      </c>
      <c r="AA10124">
        <v>796.89390000000003</v>
      </c>
      <c r="AB10124">
        <v>12.117229999999999</v>
      </c>
      <c r="AC10124">
        <v>3.2452990000000001E-2</v>
      </c>
      <c r="AD10124">
        <v>4.9181400000000002</v>
      </c>
      <c r="AE10124">
        <v>0.14077539999999999</v>
      </c>
      <c r="AF10124">
        <v>523.53039999999999</v>
      </c>
      <c r="AG10124">
        <f>IFERROR(AH10124*0.1, "N/A")</f>
        <v>6.5304350000000007</v>
      </c>
      <c r="AH10124">
        <v>65.304349999999999</v>
      </c>
      <c r="AI10124">
        <v>231.88890000000001</v>
      </c>
      <c r="AJ10124">
        <v>23.306090000000001</v>
      </c>
      <c r="AK10124">
        <v>52.450429999999997</v>
      </c>
    </row>
    <row r="10125" spans="1:37" x14ac:dyDescent="0.3">
      <c r="A10125">
        <v>10124</v>
      </c>
      <c r="B10125">
        <v>16.7</v>
      </c>
      <c r="C10125">
        <v>15.0083</v>
      </c>
      <c r="D10125">
        <v>7.7916699999999999</v>
      </c>
      <c r="E10125" t="s">
        <v>15295</v>
      </c>
      <c r="F10125" t="s">
        <v>15297</v>
      </c>
      <c r="G10125" t="s">
        <v>37</v>
      </c>
      <c r="H10125">
        <v>1990</v>
      </c>
      <c r="I10125">
        <v>25.948869999999999</v>
      </c>
      <c r="J10125">
        <v>12.6553</v>
      </c>
      <c r="K10125">
        <v>62</v>
      </c>
      <c r="L10125">
        <v>15.556800000000001</v>
      </c>
      <c r="M10125">
        <v>36.055300000000003</v>
      </c>
      <c r="N10125">
        <v>15.84887</v>
      </c>
      <c r="O10125">
        <v>20.206440000000001</v>
      </c>
      <c r="P10125">
        <v>24.59357</v>
      </c>
      <c r="Q10125">
        <v>25.167999999999999</v>
      </c>
      <c r="R10125">
        <v>28.293559999999999</v>
      </c>
      <c r="S10125">
        <v>24.59357</v>
      </c>
      <c r="T10125">
        <v>1293.2560000000001</v>
      </c>
      <c r="U10125">
        <v>294.447</v>
      </c>
      <c r="V10125">
        <v>0</v>
      </c>
      <c r="W10125">
        <v>98.744349999999997</v>
      </c>
      <c r="X10125">
        <v>796.89390000000003</v>
      </c>
      <c r="Y10125">
        <v>0</v>
      </c>
      <c r="Z10125">
        <v>206.36170000000001</v>
      </c>
      <c r="AA10125">
        <v>796.89390000000003</v>
      </c>
      <c r="AB10125">
        <v>12.117229999999999</v>
      </c>
      <c r="AC10125">
        <v>3.2452990000000001E-2</v>
      </c>
      <c r="AD10125">
        <v>4.9181400000000002</v>
      </c>
      <c r="AE10125">
        <v>0.14077539999999999</v>
      </c>
      <c r="AF10125">
        <v>523.53039999999999</v>
      </c>
      <c r="AG10125">
        <f>IFERROR(AH10125*0.1, "N/A")</f>
        <v>6.5304350000000007</v>
      </c>
      <c r="AH10125">
        <v>65.304349999999999</v>
      </c>
      <c r="AI10125">
        <v>231.88890000000001</v>
      </c>
      <c r="AJ10125">
        <v>23.306090000000001</v>
      </c>
      <c r="AK10125">
        <v>52.450429999999997</v>
      </c>
    </row>
    <row r="10126" spans="1:37" x14ac:dyDescent="0.3">
      <c r="A10126">
        <v>10125</v>
      </c>
      <c r="B10126">
        <v>0</v>
      </c>
      <c r="C10126">
        <v>15.0083</v>
      </c>
      <c r="D10126">
        <v>7.7916699999999999</v>
      </c>
      <c r="E10126" t="s">
        <v>15295</v>
      </c>
      <c r="F10126" t="s">
        <v>15298</v>
      </c>
      <c r="G10126" t="s">
        <v>2420</v>
      </c>
      <c r="H10126">
        <v>1990</v>
      </c>
      <c r="I10126">
        <v>25.948869999999999</v>
      </c>
      <c r="J10126">
        <v>12.6553</v>
      </c>
      <c r="K10126">
        <v>62</v>
      </c>
      <c r="L10126">
        <v>15.556800000000001</v>
      </c>
      <c r="M10126">
        <v>36.055300000000003</v>
      </c>
      <c r="N10126">
        <v>15.84887</v>
      </c>
      <c r="O10126">
        <v>20.206440000000001</v>
      </c>
      <c r="P10126">
        <v>24.59357</v>
      </c>
      <c r="Q10126">
        <v>25.167999999999999</v>
      </c>
      <c r="R10126">
        <v>28.293559999999999</v>
      </c>
      <c r="S10126">
        <v>24.59357</v>
      </c>
      <c r="T10126">
        <v>1293.2560000000001</v>
      </c>
      <c r="U10126">
        <v>294.447</v>
      </c>
      <c r="V10126">
        <v>0</v>
      </c>
      <c r="W10126">
        <v>98.744349999999997</v>
      </c>
      <c r="X10126">
        <v>796.89390000000003</v>
      </c>
      <c r="Y10126">
        <v>0</v>
      </c>
      <c r="Z10126">
        <v>206.36170000000001</v>
      </c>
      <c r="AA10126">
        <v>796.89390000000003</v>
      </c>
      <c r="AB10126">
        <v>12.117229999999999</v>
      </c>
      <c r="AC10126">
        <v>3.2452990000000001E-2</v>
      </c>
      <c r="AD10126">
        <v>4.9181400000000002</v>
      </c>
      <c r="AE10126">
        <v>0.14077539999999999</v>
      </c>
      <c r="AF10126">
        <v>523.53039999999999</v>
      </c>
      <c r="AG10126">
        <f>IFERROR(AH10126*0.1, "N/A")</f>
        <v>6.5304350000000007</v>
      </c>
      <c r="AH10126">
        <v>65.304349999999999</v>
      </c>
      <c r="AI10126">
        <v>231.88890000000001</v>
      </c>
      <c r="AJ10126">
        <v>23.306090000000001</v>
      </c>
      <c r="AK10126">
        <v>52.450429999999997</v>
      </c>
    </row>
    <row r="10127" spans="1:37" x14ac:dyDescent="0.3">
      <c r="A10127">
        <v>10126</v>
      </c>
      <c r="B10127">
        <v>0</v>
      </c>
      <c r="C10127">
        <v>13.583299999999999</v>
      </c>
      <c r="D10127">
        <v>7.8166700000000002</v>
      </c>
      <c r="E10127" t="s">
        <v>15299</v>
      </c>
      <c r="F10127" t="s">
        <v>15300</v>
      </c>
      <c r="G10127" t="s">
        <v>39</v>
      </c>
      <c r="H10127">
        <v>1990</v>
      </c>
      <c r="I10127">
        <v>25.053899999999999</v>
      </c>
      <c r="J10127">
        <v>13</v>
      </c>
      <c r="K10127">
        <v>64</v>
      </c>
      <c r="L10127">
        <v>14.02359</v>
      </c>
      <c r="M10127">
        <v>34.657710000000002</v>
      </c>
      <c r="N10127">
        <v>14.44333</v>
      </c>
      <c r="O10127">
        <v>20.214390000000002</v>
      </c>
      <c r="P10127">
        <v>24.25009</v>
      </c>
      <c r="Q10127">
        <v>23.843330000000002</v>
      </c>
      <c r="R10127">
        <v>27.214390000000002</v>
      </c>
      <c r="S10127">
        <v>23.657710000000002</v>
      </c>
      <c r="T10127">
        <v>1434.7070000000001</v>
      </c>
      <c r="U10127">
        <v>284.4991</v>
      </c>
      <c r="V10127">
        <v>0</v>
      </c>
      <c r="W10127">
        <v>91.499129999999994</v>
      </c>
      <c r="X10127">
        <v>812.99829999999997</v>
      </c>
      <c r="Y10127">
        <v>1</v>
      </c>
      <c r="Z10127">
        <v>290.2097</v>
      </c>
      <c r="AA10127">
        <v>5</v>
      </c>
      <c r="AB10127">
        <v>3.973147</v>
      </c>
      <c r="AC10127">
        <v>1.181691E-2</v>
      </c>
      <c r="AD10127">
        <v>1.129799</v>
      </c>
      <c r="AE10127">
        <v>0.63560709999999998</v>
      </c>
      <c r="AF10127">
        <v>542.19410000000005</v>
      </c>
      <c r="AG10127">
        <f>IFERROR(AH10127*0.1, "N/A")</f>
        <v>6.1857889999999998</v>
      </c>
      <c r="AH10127">
        <v>61.857889999999998</v>
      </c>
      <c r="AI10127">
        <v>90.413390000000007</v>
      </c>
      <c r="AJ10127">
        <v>25.750430000000001</v>
      </c>
      <c r="AK10127">
        <v>52.14385</v>
      </c>
    </row>
    <row r="10128" spans="1:37" x14ac:dyDescent="0.3">
      <c r="A10128">
        <v>10127</v>
      </c>
      <c r="B10128">
        <v>62</v>
      </c>
      <c r="C10128">
        <v>13.583299999999999</v>
      </c>
      <c r="D10128">
        <v>7.8166700000000002</v>
      </c>
      <c r="E10128" t="s">
        <v>15299</v>
      </c>
      <c r="F10128" t="s">
        <v>15301</v>
      </c>
      <c r="G10128" t="s">
        <v>37</v>
      </c>
      <c r="H10128">
        <v>1990</v>
      </c>
      <c r="I10128">
        <v>25.053899999999999</v>
      </c>
      <c r="J10128">
        <v>13</v>
      </c>
      <c r="K10128">
        <v>64</v>
      </c>
      <c r="L10128">
        <v>14.02359</v>
      </c>
      <c r="M10128">
        <v>34.657710000000002</v>
      </c>
      <c r="N10128">
        <v>14.44333</v>
      </c>
      <c r="O10128">
        <v>20.214390000000002</v>
      </c>
      <c r="P10128">
        <v>24.25009</v>
      </c>
      <c r="Q10128">
        <v>23.843330000000002</v>
      </c>
      <c r="R10128">
        <v>27.214390000000002</v>
      </c>
      <c r="S10128">
        <v>23.657710000000002</v>
      </c>
      <c r="T10128">
        <v>1434.7070000000001</v>
      </c>
      <c r="U10128">
        <v>284.4991</v>
      </c>
      <c r="V10128">
        <v>0</v>
      </c>
      <c r="W10128">
        <v>91.499129999999994</v>
      </c>
      <c r="X10128">
        <v>812.99829999999997</v>
      </c>
      <c r="Y10128">
        <v>1</v>
      </c>
      <c r="Z10128">
        <v>290.2097</v>
      </c>
      <c r="AA10128">
        <v>5</v>
      </c>
      <c r="AB10128">
        <v>3.973147</v>
      </c>
      <c r="AC10128">
        <v>1.181691E-2</v>
      </c>
      <c r="AD10128">
        <v>1.129799</v>
      </c>
      <c r="AE10128">
        <v>0.63560709999999998</v>
      </c>
      <c r="AF10128">
        <v>542.19410000000005</v>
      </c>
      <c r="AG10128">
        <f>IFERROR(AH10128*0.1, "N/A")</f>
        <v>6.1857889999999998</v>
      </c>
      <c r="AH10128">
        <v>61.857889999999998</v>
      </c>
      <c r="AI10128">
        <v>90.413390000000007</v>
      </c>
      <c r="AJ10128">
        <v>25.750430000000001</v>
      </c>
      <c r="AK10128">
        <v>52.14385</v>
      </c>
    </row>
    <row r="10129" spans="1:37" x14ac:dyDescent="0.3">
      <c r="A10129">
        <v>10128</v>
      </c>
      <c r="B10129">
        <v>0</v>
      </c>
      <c r="C10129">
        <v>13.583299999999999</v>
      </c>
      <c r="D10129">
        <v>7.8166700000000002</v>
      </c>
      <c r="E10129" t="s">
        <v>15299</v>
      </c>
      <c r="F10129" t="s">
        <v>15302</v>
      </c>
      <c r="G10129" t="s">
        <v>2420</v>
      </c>
      <c r="H10129">
        <v>1990</v>
      </c>
      <c r="I10129">
        <v>25.053899999999999</v>
      </c>
      <c r="J10129">
        <v>13</v>
      </c>
      <c r="K10129">
        <v>64</v>
      </c>
      <c r="L10129">
        <v>14.02359</v>
      </c>
      <c r="M10129">
        <v>34.657710000000002</v>
      </c>
      <c r="N10129">
        <v>14.44333</v>
      </c>
      <c r="O10129">
        <v>20.214390000000002</v>
      </c>
      <c r="P10129">
        <v>24.25009</v>
      </c>
      <c r="Q10129">
        <v>23.843330000000002</v>
      </c>
      <c r="R10129">
        <v>27.214390000000002</v>
      </c>
      <c r="S10129">
        <v>23.657710000000002</v>
      </c>
      <c r="T10129">
        <v>1434.7070000000001</v>
      </c>
      <c r="U10129">
        <v>284.4991</v>
      </c>
      <c r="V10129">
        <v>0</v>
      </c>
      <c r="W10129">
        <v>91.499129999999994</v>
      </c>
      <c r="X10129">
        <v>812.99829999999997</v>
      </c>
      <c r="Y10129">
        <v>1</v>
      </c>
      <c r="Z10129">
        <v>290.2097</v>
      </c>
      <c r="AA10129">
        <v>5</v>
      </c>
      <c r="AB10129">
        <v>3.973147</v>
      </c>
      <c r="AC10129">
        <v>1.181691E-2</v>
      </c>
      <c r="AD10129">
        <v>1.129799</v>
      </c>
      <c r="AE10129">
        <v>0.63560709999999998</v>
      </c>
      <c r="AF10129">
        <v>542.19410000000005</v>
      </c>
      <c r="AG10129">
        <f>IFERROR(AH10129*0.1, "N/A")</f>
        <v>6.1857889999999998</v>
      </c>
      <c r="AH10129">
        <v>61.857889999999998</v>
      </c>
      <c r="AI10129">
        <v>90.413390000000007</v>
      </c>
      <c r="AJ10129">
        <v>25.750430000000001</v>
      </c>
      <c r="AK10129">
        <v>52.14385</v>
      </c>
    </row>
    <row r="10130" spans="1:37" x14ac:dyDescent="0.3">
      <c r="A10130">
        <v>10129</v>
      </c>
      <c r="B10130">
        <v>2</v>
      </c>
      <c r="C10130">
        <v>12.494400000000001</v>
      </c>
      <c r="D10130">
        <v>7.8277799999999997</v>
      </c>
      <c r="E10130" t="s">
        <v>15303</v>
      </c>
      <c r="F10130" t="s">
        <v>15304</v>
      </c>
      <c r="G10130" t="s">
        <v>39</v>
      </c>
      <c r="H10130">
        <v>1990</v>
      </c>
      <c r="I10130">
        <v>24.9</v>
      </c>
      <c r="J10130">
        <v>12.7</v>
      </c>
      <c r="K10130">
        <v>63</v>
      </c>
      <c r="L10130">
        <v>12.96</v>
      </c>
      <c r="M10130">
        <v>34.6</v>
      </c>
      <c r="N10130">
        <v>14.5</v>
      </c>
      <c r="O10130">
        <v>20.100000000000001</v>
      </c>
      <c r="P10130">
        <v>24.1</v>
      </c>
      <c r="Q10130">
        <v>23.9</v>
      </c>
      <c r="R10130">
        <v>26.9</v>
      </c>
      <c r="S10130">
        <v>23.7</v>
      </c>
      <c r="T10130">
        <v>1445</v>
      </c>
      <c r="U10130">
        <v>269</v>
      </c>
      <c r="V10130">
        <v>0</v>
      </c>
      <c r="W10130">
        <v>88</v>
      </c>
      <c r="X10130">
        <v>791</v>
      </c>
      <c r="Y10130">
        <v>2</v>
      </c>
      <c r="Z10130">
        <v>308</v>
      </c>
      <c r="AA10130">
        <v>8</v>
      </c>
      <c r="AB10130">
        <v>2.420067</v>
      </c>
      <c r="AC10130">
        <v>1.5367379999999999</v>
      </c>
      <c r="AD10130">
        <v>1.961616</v>
      </c>
      <c r="AE10130">
        <v>0.60837419999999998</v>
      </c>
      <c r="AF10130">
        <v>593.65570000000002</v>
      </c>
      <c r="AG10130">
        <f>IFERROR(AH10130*0.1, "N/A")</f>
        <v>5.8019030000000003</v>
      </c>
      <c r="AH10130">
        <v>58.019030000000001</v>
      </c>
      <c r="AI10130">
        <v>158.9735</v>
      </c>
      <c r="AJ10130">
        <v>26.97232</v>
      </c>
      <c r="AK10130">
        <v>50.600349999999999</v>
      </c>
    </row>
    <row r="10131" spans="1:37" x14ac:dyDescent="0.3">
      <c r="A10131">
        <v>10130</v>
      </c>
      <c r="B10131">
        <v>84.8</v>
      </c>
      <c r="C10131">
        <v>12.494400000000001</v>
      </c>
      <c r="D10131">
        <v>7.8277799999999997</v>
      </c>
      <c r="E10131" t="s">
        <v>15303</v>
      </c>
      <c r="F10131" t="s">
        <v>15305</v>
      </c>
      <c r="G10131" t="s">
        <v>37</v>
      </c>
      <c r="H10131">
        <v>1990</v>
      </c>
      <c r="I10131">
        <v>24.9</v>
      </c>
      <c r="J10131">
        <v>12.7</v>
      </c>
      <c r="K10131">
        <v>63</v>
      </c>
      <c r="L10131">
        <v>12.96</v>
      </c>
      <c r="M10131">
        <v>34.6</v>
      </c>
      <c r="N10131">
        <v>14.5</v>
      </c>
      <c r="O10131">
        <v>20.100000000000001</v>
      </c>
      <c r="P10131">
        <v>24.1</v>
      </c>
      <c r="Q10131">
        <v>23.9</v>
      </c>
      <c r="R10131">
        <v>26.9</v>
      </c>
      <c r="S10131">
        <v>23.7</v>
      </c>
      <c r="T10131">
        <v>1445</v>
      </c>
      <c r="U10131">
        <v>269</v>
      </c>
      <c r="V10131">
        <v>0</v>
      </c>
      <c r="W10131">
        <v>88</v>
      </c>
      <c r="X10131">
        <v>791</v>
      </c>
      <c r="Y10131">
        <v>2</v>
      </c>
      <c r="Z10131">
        <v>308</v>
      </c>
      <c r="AA10131">
        <v>8</v>
      </c>
      <c r="AB10131">
        <v>2.420067</v>
      </c>
      <c r="AC10131">
        <v>1.5367379999999999</v>
      </c>
      <c r="AD10131">
        <v>1.961616</v>
      </c>
      <c r="AE10131">
        <v>0.60837419999999998</v>
      </c>
      <c r="AF10131">
        <v>593.65570000000002</v>
      </c>
      <c r="AG10131">
        <f>IFERROR(AH10131*0.1, "N/A")</f>
        <v>5.8019030000000003</v>
      </c>
      <c r="AH10131">
        <v>58.019030000000001</v>
      </c>
      <c r="AI10131">
        <v>158.9735</v>
      </c>
      <c r="AJ10131">
        <v>26.97232</v>
      </c>
      <c r="AK10131">
        <v>50.600349999999999</v>
      </c>
    </row>
    <row r="10132" spans="1:37" x14ac:dyDescent="0.3">
      <c r="A10132">
        <v>10131</v>
      </c>
      <c r="B10132">
        <v>0</v>
      </c>
      <c r="C10132">
        <v>12.494400000000001</v>
      </c>
      <c r="D10132">
        <v>7.8277799999999997</v>
      </c>
      <c r="E10132" t="s">
        <v>15303</v>
      </c>
      <c r="F10132" t="s">
        <v>15306</v>
      </c>
      <c r="G10132" t="s">
        <v>2420</v>
      </c>
      <c r="H10132">
        <v>1990</v>
      </c>
      <c r="I10132">
        <v>24.9</v>
      </c>
      <c r="J10132">
        <v>12.7</v>
      </c>
      <c r="K10132">
        <v>63</v>
      </c>
      <c r="L10132">
        <v>12.96</v>
      </c>
      <c r="M10132">
        <v>34.6</v>
      </c>
      <c r="N10132">
        <v>14.5</v>
      </c>
      <c r="O10132">
        <v>20.100000000000001</v>
      </c>
      <c r="P10132">
        <v>24.1</v>
      </c>
      <c r="Q10132">
        <v>23.9</v>
      </c>
      <c r="R10132">
        <v>26.9</v>
      </c>
      <c r="S10132">
        <v>23.7</v>
      </c>
      <c r="T10132">
        <v>1445</v>
      </c>
      <c r="U10132">
        <v>269</v>
      </c>
      <c r="V10132">
        <v>0</v>
      </c>
      <c r="W10132">
        <v>88</v>
      </c>
      <c r="X10132">
        <v>791</v>
      </c>
      <c r="Y10132">
        <v>2</v>
      </c>
      <c r="Z10132">
        <v>308</v>
      </c>
      <c r="AA10132">
        <v>8</v>
      </c>
      <c r="AB10132">
        <v>2.420067</v>
      </c>
      <c r="AC10132">
        <v>1.5367379999999999</v>
      </c>
      <c r="AD10132">
        <v>1.961616</v>
      </c>
      <c r="AE10132">
        <v>0.60837419999999998</v>
      </c>
      <c r="AF10132">
        <v>593.65570000000002</v>
      </c>
      <c r="AG10132">
        <f>IFERROR(AH10132*0.1, "N/A")</f>
        <v>5.8019030000000003</v>
      </c>
      <c r="AH10132">
        <v>58.019030000000001</v>
      </c>
      <c r="AI10132">
        <v>158.9735</v>
      </c>
      <c r="AJ10132">
        <v>26.97232</v>
      </c>
      <c r="AK10132">
        <v>50.600349999999999</v>
      </c>
    </row>
    <row r="10133" spans="1:37" x14ac:dyDescent="0.3">
      <c r="A10133">
        <v>10132</v>
      </c>
      <c r="B10133">
        <v>10.6</v>
      </c>
      <c r="C10133">
        <v>13.6</v>
      </c>
      <c r="D10133">
        <v>7.8583299999999996</v>
      </c>
      <c r="E10133" t="s">
        <v>15307</v>
      </c>
      <c r="F10133" t="s">
        <v>15308</v>
      </c>
      <c r="G10133" t="s">
        <v>39</v>
      </c>
      <c r="H10133">
        <v>1990</v>
      </c>
      <c r="I10133">
        <v>24.868510000000001</v>
      </c>
      <c r="J10133">
        <v>13</v>
      </c>
      <c r="K10133">
        <v>63.94464</v>
      </c>
      <c r="L10133">
        <v>14.119120000000001</v>
      </c>
      <c r="M10133">
        <v>34.558300000000003</v>
      </c>
      <c r="N10133">
        <v>14.262980000000001</v>
      </c>
      <c r="O10133">
        <v>20.29533</v>
      </c>
      <c r="P10133">
        <v>23.984259999999999</v>
      </c>
      <c r="Q10133">
        <v>23.668510000000001</v>
      </c>
      <c r="R10133">
        <v>27.02336</v>
      </c>
      <c r="S10133">
        <v>23.52336</v>
      </c>
      <c r="T10133">
        <v>1434.779</v>
      </c>
      <c r="U10133">
        <v>285.50689999999997</v>
      </c>
      <c r="V10133">
        <v>0</v>
      </c>
      <c r="W10133">
        <v>91.897919999999999</v>
      </c>
      <c r="X10133">
        <v>815.6644</v>
      </c>
      <c r="Y10133">
        <v>1</v>
      </c>
      <c r="Z10133">
        <v>289.51900000000001</v>
      </c>
      <c r="AA10133">
        <v>5</v>
      </c>
      <c r="AB10133">
        <v>39.576650000000001</v>
      </c>
      <c r="AC10133">
        <v>1.352429E-2</v>
      </c>
      <c r="AD10133">
        <v>4.7666050000000002</v>
      </c>
      <c r="AE10133">
        <v>0.60826329999999995</v>
      </c>
      <c r="AF10133">
        <v>612.19899999999996</v>
      </c>
      <c r="AG10133">
        <f>IFERROR(AH10133*0.1, "N/A")</f>
        <v>6.083564</v>
      </c>
      <c r="AH10133">
        <v>60.835639999999998</v>
      </c>
      <c r="AI10133">
        <v>144.48140000000001</v>
      </c>
      <c r="AJ10133">
        <v>23.006920000000001</v>
      </c>
      <c r="AK10133">
        <v>50.986159999999998</v>
      </c>
    </row>
    <row r="10134" spans="1:37" x14ac:dyDescent="0.3">
      <c r="A10134">
        <v>10133</v>
      </c>
      <c r="B10134">
        <v>33.299999999999997</v>
      </c>
      <c r="C10134">
        <v>13.6</v>
      </c>
      <c r="D10134">
        <v>7.8583299999999996</v>
      </c>
      <c r="E10134" t="s">
        <v>15307</v>
      </c>
      <c r="F10134" t="s">
        <v>15309</v>
      </c>
      <c r="G10134" t="s">
        <v>37</v>
      </c>
      <c r="H10134">
        <v>1990</v>
      </c>
      <c r="I10134">
        <v>24.868510000000001</v>
      </c>
      <c r="J10134">
        <v>13</v>
      </c>
      <c r="K10134">
        <v>63.94464</v>
      </c>
      <c r="L10134">
        <v>14.119120000000001</v>
      </c>
      <c r="M10134">
        <v>34.558300000000003</v>
      </c>
      <c r="N10134">
        <v>14.262980000000001</v>
      </c>
      <c r="O10134">
        <v>20.29533</v>
      </c>
      <c r="P10134">
        <v>23.984259999999999</v>
      </c>
      <c r="Q10134">
        <v>23.668510000000001</v>
      </c>
      <c r="R10134">
        <v>27.02336</v>
      </c>
      <c r="S10134">
        <v>23.52336</v>
      </c>
      <c r="T10134">
        <v>1434.779</v>
      </c>
      <c r="U10134">
        <v>285.50689999999997</v>
      </c>
      <c r="V10134">
        <v>0</v>
      </c>
      <c r="W10134">
        <v>91.897919999999999</v>
      </c>
      <c r="X10134">
        <v>815.6644</v>
      </c>
      <c r="Y10134">
        <v>1</v>
      </c>
      <c r="Z10134">
        <v>289.51900000000001</v>
      </c>
      <c r="AA10134">
        <v>5</v>
      </c>
      <c r="AB10134">
        <v>39.576650000000001</v>
      </c>
      <c r="AC10134">
        <v>1.352429E-2</v>
      </c>
      <c r="AD10134">
        <v>4.7666050000000002</v>
      </c>
      <c r="AE10134">
        <v>0.60826329999999995</v>
      </c>
      <c r="AF10134">
        <v>612.19899999999996</v>
      </c>
      <c r="AG10134">
        <f>IFERROR(AH10134*0.1, "N/A")</f>
        <v>6.083564</v>
      </c>
      <c r="AH10134">
        <v>60.835639999999998</v>
      </c>
      <c r="AI10134">
        <v>144.48140000000001</v>
      </c>
      <c r="AJ10134">
        <v>23.006920000000001</v>
      </c>
      <c r="AK10134">
        <v>50.986159999999998</v>
      </c>
    </row>
    <row r="10135" spans="1:37" x14ac:dyDescent="0.3">
      <c r="A10135">
        <v>10134</v>
      </c>
      <c r="B10135">
        <v>0</v>
      </c>
      <c r="C10135">
        <v>13.6</v>
      </c>
      <c r="D10135">
        <v>7.8583299999999996</v>
      </c>
      <c r="E10135" t="s">
        <v>15307</v>
      </c>
      <c r="F10135" t="s">
        <v>15310</v>
      </c>
      <c r="G10135" t="s">
        <v>2420</v>
      </c>
      <c r="H10135">
        <v>1990</v>
      </c>
      <c r="I10135">
        <v>24.868510000000001</v>
      </c>
      <c r="J10135">
        <v>13</v>
      </c>
      <c r="K10135">
        <v>63.94464</v>
      </c>
      <c r="L10135">
        <v>14.119120000000001</v>
      </c>
      <c r="M10135">
        <v>34.558300000000003</v>
      </c>
      <c r="N10135">
        <v>14.262980000000001</v>
      </c>
      <c r="O10135">
        <v>20.29533</v>
      </c>
      <c r="P10135">
        <v>23.984259999999999</v>
      </c>
      <c r="Q10135">
        <v>23.668510000000001</v>
      </c>
      <c r="R10135">
        <v>27.02336</v>
      </c>
      <c r="S10135">
        <v>23.52336</v>
      </c>
      <c r="T10135">
        <v>1434.779</v>
      </c>
      <c r="U10135">
        <v>285.50689999999997</v>
      </c>
      <c r="V10135">
        <v>0</v>
      </c>
      <c r="W10135">
        <v>91.897919999999999</v>
      </c>
      <c r="X10135">
        <v>815.6644</v>
      </c>
      <c r="Y10135">
        <v>1</v>
      </c>
      <c r="Z10135">
        <v>289.51900000000001</v>
      </c>
      <c r="AA10135">
        <v>5</v>
      </c>
      <c r="AB10135">
        <v>39.576650000000001</v>
      </c>
      <c r="AC10135">
        <v>1.352429E-2</v>
      </c>
      <c r="AD10135">
        <v>4.7666050000000002</v>
      </c>
      <c r="AE10135">
        <v>0.60826329999999995</v>
      </c>
      <c r="AF10135">
        <v>612.19899999999996</v>
      </c>
      <c r="AG10135">
        <f>IFERROR(AH10135*0.1, "N/A")</f>
        <v>6.083564</v>
      </c>
      <c r="AH10135">
        <v>60.835639999999998</v>
      </c>
      <c r="AI10135">
        <v>144.48140000000001</v>
      </c>
      <c r="AJ10135">
        <v>23.006920000000001</v>
      </c>
      <c r="AK10135">
        <v>50.986159999999998</v>
      </c>
    </row>
    <row r="10136" spans="1:37" x14ac:dyDescent="0.3">
      <c r="A10136">
        <v>10135</v>
      </c>
      <c r="B10136">
        <v>0</v>
      </c>
      <c r="C10136">
        <v>13.583299999999999</v>
      </c>
      <c r="D10136">
        <v>8.0166699999999995</v>
      </c>
      <c r="E10136" t="s">
        <v>15311</v>
      </c>
      <c r="F10136" t="s">
        <v>15312</v>
      </c>
      <c r="G10136" t="s">
        <v>39</v>
      </c>
      <c r="H10136">
        <v>1990</v>
      </c>
      <c r="I10136">
        <v>25.339510000000001</v>
      </c>
      <c r="J10136">
        <v>12.92426</v>
      </c>
      <c r="K10136">
        <v>62.242629999999998</v>
      </c>
      <c r="L10136">
        <v>15.26769</v>
      </c>
      <c r="M10136">
        <v>35.1721</v>
      </c>
      <c r="N10136">
        <v>14.62392</v>
      </c>
      <c r="O10136">
        <v>20.548179999999999</v>
      </c>
      <c r="P10136">
        <v>24.472100000000001</v>
      </c>
      <c r="Q10136">
        <v>24.03951</v>
      </c>
      <c r="R10136">
        <v>27.72392</v>
      </c>
      <c r="S10136">
        <v>23.923919999999999</v>
      </c>
      <c r="T10136">
        <v>1408.452</v>
      </c>
      <c r="U10136">
        <v>284.60489999999999</v>
      </c>
      <c r="V10136">
        <v>0</v>
      </c>
      <c r="W10136">
        <v>93</v>
      </c>
      <c r="X10136">
        <v>816.44889999999998</v>
      </c>
      <c r="Y10136">
        <v>0</v>
      </c>
      <c r="Z10136">
        <v>272.00349999999997</v>
      </c>
      <c r="AA10136">
        <v>4</v>
      </c>
      <c r="AB10136">
        <v>14.824769999999999</v>
      </c>
      <c r="AC10136">
        <v>9.9038809999999998E-3</v>
      </c>
      <c r="AD10136">
        <v>1.730138</v>
      </c>
      <c r="AE10136">
        <v>0.219332</v>
      </c>
      <c r="AF10136">
        <v>500.56150000000002</v>
      </c>
      <c r="AG10136">
        <f>IFERROR(AH10136*0.1, "N/A")</f>
        <v>6.3209710000000001</v>
      </c>
      <c r="AH10136">
        <v>63.209710000000001</v>
      </c>
      <c r="AI10136">
        <v>200.6087</v>
      </c>
      <c r="AJ10136">
        <v>21</v>
      </c>
      <c r="AK10136">
        <v>56</v>
      </c>
    </row>
    <row r="10137" spans="1:37" x14ac:dyDescent="0.3">
      <c r="A10137">
        <v>10136</v>
      </c>
      <c r="B10137">
        <v>59.5</v>
      </c>
      <c r="C10137">
        <v>13.583299999999999</v>
      </c>
      <c r="D10137">
        <v>8.0166699999999995</v>
      </c>
      <c r="E10137" t="s">
        <v>15311</v>
      </c>
      <c r="F10137" t="s">
        <v>15313</v>
      </c>
      <c r="G10137" t="s">
        <v>37</v>
      </c>
      <c r="H10137">
        <v>1990</v>
      </c>
      <c r="I10137">
        <v>25.339510000000001</v>
      </c>
      <c r="J10137">
        <v>12.92426</v>
      </c>
      <c r="K10137">
        <v>62.242629999999998</v>
      </c>
      <c r="L10137">
        <v>15.26769</v>
      </c>
      <c r="M10137">
        <v>35.1721</v>
      </c>
      <c r="N10137">
        <v>14.62392</v>
      </c>
      <c r="O10137">
        <v>20.548179999999999</v>
      </c>
      <c r="P10137">
        <v>24.472100000000001</v>
      </c>
      <c r="Q10137">
        <v>24.03951</v>
      </c>
      <c r="R10137">
        <v>27.72392</v>
      </c>
      <c r="S10137">
        <v>23.923919999999999</v>
      </c>
      <c r="T10137">
        <v>1408.452</v>
      </c>
      <c r="U10137">
        <v>284.60489999999999</v>
      </c>
      <c r="V10137">
        <v>0</v>
      </c>
      <c r="W10137">
        <v>93</v>
      </c>
      <c r="X10137">
        <v>816.44889999999998</v>
      </c>
      <c r="Y10137">
        <v>0</v>
      </c>
      <c r="Z10137">
        <v>272.00349999999997</v>
      </c>
      <c r="AA10137">
        <v>4</v>
      </c>
      <c r="AB10137">
        <v>14.824769999999999</v>
      </c>
      <c r="AC10137">
        <v>9.9038809999999998E-3</v>
      </c>
      <c r="AD10137">
        <v>1.730138</v>
      </c>
      <c r="AE10137">
        <v>0.219332</v>
      </c>
      <c r="AF10137">
        <v>500.56150000000002</v>
      </c>
      <c r="AG10137">
        <f>IFERROR(AH10137*0.1, "N/A")</f>
        <v>6.3209710000000001</v>
      </c>
      <c r="AH10137">
        <v>63.209710000000001</v>
      </c>
      <c r="AI10137">
        <v>200.6087</v>
      </c>
      <c r="AJ10137">
        <v>21</v>
      </c>
      <c r="AK10137">
        <v>56</v>
      </c>
    </row>
    <row r="10138" spans="1:37" x14ac:dyDescent="0.3">
      <c r="A10138">
        <v>10137</v>
      </c>
      <c r="B10138">
        <v>0</v>
      </c>
      <c r="C10138">
        <v>13.583299999999999</v>
      </c>
      <c r="D10138">
        <v>8.0166699999999995</v>
      </c>
      <c r="E10138" t="s">
        <v>15311</v>
      </c>
      <c r="F10138" t="s">
        <v>15314</v>
      </c>
      <c r="G10138" t="s">
        <v>2420</v>
      </c>
      <c r="H10138">
        <v>1990</v>
      </c>
      <c r="I10138">
        <v>25.339510000000001</v>
      </c>
      <c r="J10138">
        <v>12.92426</v>
      </c>
      <c r="K10138">
        <v>62.242629999999998</v>
      </c>
      <c r="L10138">
        <v>15.26769</v>
      </c>
      <c r="M10138">
        <v>35.1721</v>
      </c>
      <c r="N10138">
        <v>14.62392</v>
      </c>
      <c r="O10138">
        <v>20.548179999999999</v>
      </c>
      <c r="P10138">
        <v>24.472100000000001</v>
      </c>
      <c r="Q10138">
        <v>24.03951</v>
      </c>
      <c r="R10138">
        <v>27.72392</v>
      </c>
      <c r="S10138">
        <v>23.923919999999999</v>
      </c>
      <c r="T10138">
        <v>1408.452</v>
      </c>
      <c r="U10138">
        <v>284.60489999999999</v>
      </c>
      <c r="V10138">
        <v>0</v>
      </c>
      <c r="W10138">
        <v>93</v>
      </c>
      <c r="X10138">
        <v>816.44889999999998</v>
      </c>
      <c r="Y10138">
        <v>0</v>
      </c>
      <c r="Z10138">
        <v>272.00349999999997</v>
      </c>
      <c r="AA10138">
        <v>4</v>
      </c>
      <c r="AB10138">
        <v>14.824769999999999</v>
      </c>
      <c r="AC10138">
        <v>9.9038809999999998E-3</v>
      </c>
      <c r="AD10138">
        <v>1.730138</v>
      </c>
      <c r="AE10138">
        <v>0.219332</v>
      </c>
      <c r="AF10138">
        <v>500.56150000000002</v>
      </c>
      <c r="AG10138">
        <f>IFERROR(AH10138*0.1, "N/A")</f>
        <v>6.3209710000000001</v>
      </c>
      <c r="AH10138">
        <v>63.209710000000001</v>
      </c>
      <c r="AI10138">
        <v>200.6087</v>
      </c>
      <c r="AJ10138">
        <v>21</v>
      </c>
      <c r="AK10138">
        <v>56</v>
      </c>
    </row>
    <row r="10139" spans="1:37" x14ac:dyDescent="0.3">
      <c r="A10139">
        <v>10138</v>
      </c>
      <c r="B10139">
        <v>13.2</v>
      </c>
      <c r="C10139">
        <v>13.5778</v>
      </c>
      <c r="D10139">
        <v>8.1166699999999992</v>
      </c>
      <c r="E10139" t="s">
        <v>15315</v>
      </c>
      <c r="F10139" t="s">
        <v>15316</v>
      </c>
      <c r="G10139" t="s">
        <v>39</v>
      </c>
      <c r="H10139">
        <v>1990</v>
      </c>
      <c r="I10139">
        <v>25</v>
      </c>
      <c r="J10139">
        <v>13</v>
      </c>
      <c r="K10139">
        <v>62</v>
      </c>
      <c r="L10139">
        <v>15.874689999999999</v>
      </c>
      <c r="M10139">
        <v>34.9</v>
      </c>
      <c r="N10139">
        <v>14.2</v>
      </c>
      <c r="O10139">
        <v>20.7</v>
      </c>
      <c r="P10139">
        <v>24.1</v>
      </c>
      <c r="Q10139">
        <v>23.6</v>
      </c>
      <c r="R10139">
        <v>27.417010000000001</v>
      </c>
      <c r="S10139">
        <v>23.417010000000001</v>
      </c>
      <c r="T10139">
        <v>1408.83</v>
      </c>
      <c r="U10139">
        <v>287</v>
      </c>
      <c r="V10139">
        <v>0</v>
      </c>
      <c r="W10139">
        <v>94</v>
      </c>
      <c r="X10139">
        <v>822.82989999999995</v>
      </c>
      <c r="Y10139">
        <v>0</v>
      </c>
      <c r="Z10139">
        <v>269</v>
      </c>
      <c r="AA10139">
        <v>4</v>
      </c>
      <c r="AB10139">
        <v>14.56648</v>
      </c>
      <c r="AC10139">
        <v>2.259982E-2</v>
      </c>
      <c r="AD10139">
        <v>2.3621530000000002</v>
      </c>
      <c r="AE10139">
        <v>0.57662150000000001</v>
      </c>
      <c r="AF10139">
        <v>568.03650000000005</v>
      </c>
      <c r="AG10139">
        <f>IFERROR(AH10139*0.1, "N/A")</f>
        <v>5.8789930000000004</v>
      </c>
      <c r="AH10139">
        <v>58.789929999999998</v>
      </c>
      <c r="AI10139">
        <v>136.7688</v>
      </c>
      <c r="AJ10139">
        <v>19.90278</v>
      </c>
      <c r="AK10139">
        <v>59.133679999999998</v>
      </c>
    </row>
    <row r="10140" spans="1:37" x14ac:dyDescent="0.3">
      <c r="A10140">
        <v>10139</v>
      </c>
      <c r="B10140">
        <v>64.900000000000006</v>
      </c>
      <c r="C10140">
        <v>13.5778</v>
      </c>
      <c r="D10140">
        <v>8.1166699999999992</v>
      </c>
      <c r="E10140" t="s">
        <v>15315</v>
      </c>
      <c r="F10140" t="s">
        <v>15317</v>
      </c>
      <c r="G10140" t="s">
        <v>37</v>
      </c>
      <c r="H10140">
        <v>1990</v>
      </c>
      <c r="I10140">
        <v>25</v>
      </c>
      <c r="J10140">
        <v>13</v>
      </c>
      <c r="K10140">
        <v>62</v>
      </c>
      <c r="L10140">
        <v>15.874689999999999</v>
      </c>
      <c r="M10140">
        <v>34.9</v>
      </c>
      <c r="N10140">
        <v>14.2</v>
      </c>
      <c r="O10140">
        <v>20.7</v>
      </c>
      <c r="P10140">
        <v>24.1</v>
      </c>
      <c r="Q10140">
        <v>23.6</v>
      </c>
      <c r="R10140">
        <v>27.417010000000001</v>
      </c>
      <c r="S10140">
        <v>23.417010000000001</v>
      </c>
      <c r="T10140">
        <v>1408.83</v>
      </c>
      <c r="U10140">
        <v>287</v>
      </c>
      <c r="V10140">
        <v>0</v>
      </c>
      <c r="W10140">
        <v>94</v>
      </c>
      <c r="X10140">
        <v>822.82989999999995</v>
      </c>
      <c r="Y10140">
        <v>0</v>
      </c>
      <c r="Z10140">
        <v>269</v>
      </c>
      <c r="AA10140">
        <v>4</v>
      </c>
      <c r="AB10140">
        <v>14.56648</v>
      </c>
      <c r="AC10140">
        <v>2.259982E-2</v>
      </c>
      <c r="AD10140">
        <v>2.3621530000000002</v>
      </c>
      <c r="AE10140">
        <v>0.57662150000000001</v>
      </c>
      <c r="AF10140">
        <v>568.03650000000005</v>
      </c>
      <c r="AG10140">
        <f>IFERROR(AH10140*0.1, "N/A")</f>
        <v>5.8789930000000004</v>
      </c>
      <c r="AH10140">
        <v>58.789929999999998</v>
      </c>
      <c r="AI10140">
        <v>136.7688</v>
      </c>
      <c r="AJ10140">
        <v>19.90278</v>
      </c>
      <c r="AK10140">
        <v>59.133679999999998</v>
      </c>
    </row>
    <row r="10141" spans="1:37" x14ac:dyDescent="0.3">
      <c r="A10141">
        <v>10140</v>
      </c>
      <c r="B10141">
        <v>0</v>
      </c>
      <c r="C10141">
        <v>13.5778</v>
      </c>
      <c r="D10141">
        <v>8.1166699999999992</v>
      </c>
      <c r="E10141" t="s">
        <v>15315</v>
      </c>
      <c r="F10141" t="s">
        <v>15318</v>
      </c>
      <c r="G10141" t="s">
        <v>2420</v>
      </c>
      <c r="H10141">
        <v>1990</v>
      </c>
      <c r="I10141">
        <v>25</v>
      </c>
      <c r="J10141">
        <v>13</v>
      </c>
      <c r="K10141">
        <v>62</v>
      </c>
      <c r="L10141">
        <v>15.874689999999999</v>
      </c>
      <c r="M10141">
        <v>34.9</v>
      </c>
      <c r="N10141">
        <v>14.2</v>
      </c>
      <c r="O10141">
        <v>20.7</v>
      </c>
      <c r="P10141">
        <v>24.1</v>
      </c>
      <c r="Q10141">
        <v>23.6</v>
      </c>
      <c r="R10141">
        <v>27.417010000000001</v>
      </c>
      <c r="S10141">
        <v>23.417010000000001</v>
      </c>
      <c r="T10141">
        <v>1408.83</v>
      </c>
      <c r="U10141">
        <v>287</v>
      </c>
      <c r="V10141">
        <v>0</v>
      </c>
      <c r="W10141">
        <v>94</v>
      </c>
      <c r="X10141">
        <v>822.82989999999995</v>
      </c>
      <c r="Y10141">
        <v>0</v>
      </c>
      <c r="Z10141">
        <v>269</v>
      </c>
      <c r="AA10141">
        <v>4</v>
      </c>
      <c r="AB10141">
        <v>14.56648</v>
      </c>
      <c r="AC10141">
        <v>2.259982E-2</v>
      </c>
      <c r="AD10141">
        <v>2.3621530000000002</v>
      </c>
      <c r="AE10141">
        <v>0.57662150000000001</v>
      </c>
      <c r="AF10141">
        <v>568.03650000000005</v>
      </c>
      <c r="AG10141">
        <f>IFERROR(AH10141*0.1, "N/A")</f>
        <v>5.8789930000000004</v>
      </c>
      <c r="AH10141">
        <v>58.789929999999998</v>
      </c>
      <c r="AI10141">
        <v>136.7688</v>
      </c>
      <c r="AJ10141">
        <v>19.90278</v>
      </c>
      <c r="AK10141">
        <v>59.133679999999998</v>
      </c>
    </row>
    <row r="10142" spans="1:37" x14ac:dyDescent="0.3">
      <c r="A10142">
        <v>10141</v>
      </c>
      <c r="B10142">
        <v>0</v>
      </c>
      <c r="C10142">
        <v>14.2722</v>
      </c>
      <c r="D10142">
        <v>8.38889</v>
      </c>
      <c r="E10142" t="s">
        <v>15319</v>
      </c>
      <c r="F10142" t="s">
        <v>15320</v>
      </c>
      <c r="G10142" t="s">
        <v>39</v>
      </c>
      <c r="H10142">
        <v>1990</v>
      </c>
      <c r="I10142">
        <v>26.9</v>
      </c>
      <c r="J10142">
        <v>12.7</v>
      </c>
      <c r="K10142">
        <v>60</v>
      </c>
      <c r="L10142">
        <v>18.34</v>
      </c>
      <c r="M10142">
        <v>37.299999999999997</v>
      </c>
      <c r="N10142">
        <v>16.399999999999999</v>
      </c>
      <c r="O10142">
        <v>20.9</v>
      </c>
      <c r="P10142">
        <v>25.4</v>
      </c>
      <c r="Q10142">
        <v>25.7</v>
      </c>
      <c r="R10142">
        <v>29.7</v>
      </c>
      <c r="S10142">
        <v>25.4</v>
      </c>
      <c r="T10142">
        <v>1187</v>
      </c>
      <c r="U10142">
        <v>265</v>
      </c>
      <c r="V10142">
        <v>0</v>
      </c>
      <c r="W10142">
        <v>100</v>
      </c>
      <c r="X10142">
        <v>738</v>
      </c>
      <c r="Y10142">
        <v>0</v>
      </c>
      <c r="Z10142">
        <v>194</v>
      </c>
      <c r="AA10142">
        <v>738</v>
      </c>
      <c r="AB10142">
        <v>20.983750000000001</v>
      </c>
      <c r="AC10142">
        <v>1.2321469999999999E-2</v>
      </c>
      <c r="AD10142">
        <v>1.2273019999999999</v>
      </c>
      <c r="AE10142">
        <v>0.15356800000000001</v>
      </c>
      <c r="AF10142">
        <v>321.34949999999998</v>
      </c>
      <c r="AG10142">
        <f>IFERROR(AH10142*0.1, "N/A")</f>
        <v>6.8946370000000003</v>
      </c>
      <c r="AH10142">
        <v>68.946370000000002</v>
      </c>
      <c r="AI10142">
        <v>111.78100000000001</v>
      </c>
      <c r="AJ10142">
        <v>24.397919999999999</v>
      </c>
      <c r="AK10142">
        <v>51.602080000000001</v>
      </c>
    </row>
    <row r="10143" spans="1:37" x14ac:dyDescent="0.3">
      <c r="A10143">
        <v>10142</v>
      </c>
      <c r="B10143">
        <v>7.1</v>
      </c>
      <c r="C10143">
        <v>14.2722</v>
      </c>
      <c r="D10143">
        <v>8.38889</v>
      </c>
      <c r="E10143" t="s">
        <v>15319</v>
      </c>
      <c r="F10143" t="s">
        <v>15321</v>
      </c>
      <c r="G10143" t="s">
        <v>37</v>
      </c>
      <c r="H10143">
        <v>1990</v>
      </c>
      <c r="I10143">
        <v>26.9</v>
      </c>
      <c r="J10143">
        <v>12.7</v>
      </c>
      <c r="K10143">
        <v>60</v>
      </c>
      <c r="L10143">
        <v>18.34</v>
      </c>
      <c r="M10143">
        <v>37.299999999999997</v>
      </c>
      <c r="N10143">
        <v>16.399999999999999</v>
      </c>
      <c r="O10143">
        <v>20.9</v>
      </c>
      <c r="P10143">
        <v>25.4</v>
      </c>
      <c r="Q10143">
        <v>25.7</v>
      </c>
      <c r="R10143">
        <v>29.7</v>
      </c>
      <c r="S10143">
        <v>25.4</v>
      </c>
      <c r="T10143">
        <v>1187</v>
      </c>
      <c r="U10143">
        <v>265</v>
      </c>
      <c r="V10143">
        <v>0</v>
      </c>
      <c r="W10143">
        <v>100</v>
      </c>
      <c r="X10143">
        <v>738</v>
      </c>
      <c r="Y10143">
        <v>0</v>
      </c>
      <c r="Z10143">
        <v>194</v>
      </c>
      <c r="AA10143">
        <v>738</v>
      </c>
      <c r="AB10143">
        <v>20.983750000000001</v>
      </c>
      <c r="AC10143">
        <v>1.2321469999999999E-2</v>
      </c>
      <c r="AD10143">
        <v>1.2273019999999999</v>
      </c>
      <c r="AE10143">
        <v>0.15356800000000001</v>
      </c>
      <c r="AF10143">
        <v>321.34949999999998</v>
      </c>
      <c r="AG10143">
        <f>IFERROR(AH10143*0.1, "N/A")</f>
        <v>6.8946370000000003</v>
      </c>
      <c r="AH10143">
        <v>68.946370000000002</v>
      </c>
      <c r="AI10143">
        <v>111.78100000000001</v>
      </c>
      <c r="AJ10143">
        <v>24.397919999999999</v>
      </c>
      <c r="AK10143">
        <v>51.602080000000001</v>
      </c>
    </row>
    <row r="10144" spans="1:37" x14ac:dyDescent="0.3">
      <c r="A10144">
        <v>10143</v>
      </c>
      <c r="B10144">
        <v>0</v>
      </c>
      <c r="C10144">
        <v>14.2722</v>
      </c>
      <c r="D10144">
        <v>8.38889</v>
      </c>
      <c r="E10144" t="s">
        <v>15319</v>
      </c>
      <c r="F10144" t="s">
        <v>15322</v>
      </c>
      <c r="G10144" t="s">
        <v>2420</v>
      </c>
      <c r="H10144">
        <v>1990</v>
      </c>
      <c r="I10144">
        <v>26.9</v>
      </c>
      <c r="J10144">
        <v>12.7</v>
      </c>
      <c r="K10144">
        <v>60</v>
      </c>
      <c r="L10144">
        <v>18.34</v>
      </c>
      <c r="M10144">
        <v>37.299999999999997</v>
      </c>
      <c r="N10144">
        <v>16.399999999999999</v>
      </c>
      <c r="O10144">
        <v>20.9</v>
      </c>
      <c r="P10144">
        <v>25.4</v>
      </c>
      <c r="Q10144">
        <v>25.7</v>
      </c>
      <c r="R10144">
        <v>29.7</v>
      </c>
      <c r="S10144">
        <v>25.4</v>
      </c>
      <c r="T10144">
        <v>1187</v>
      </c>
      <c r="U10144">
        <v>265</v>
      </c>
      <c r="V10144">
        <v>0</v>
      </c>
      <c r="W10144">
        <v>100</v>
      </c>
      <c r="X10144">
        <v>738</v>
      </c>
      <c r="Y10144">
        <v>0</v>
      </c>
      <c r="Z10144">
        <v>194</v>
      </c>
      <c r="AA10144">
        <v>738</v>
      </c>
      <c r="AB10144">
        <v>20.983750000000001</v>
      </c>
      <c r="AC10144">
        <v>1.2321469999999999E-2</v>
      </c>
      <c r="AD10144">
        <v>1.2273019999999999</v>
      </c>
      <c r="AE10144">
        <v>0.15356800000000001</v>
      </c>
      <c r="AF10144">
        <v>321.34949999999998</v>
      </c>
      <c r="AG10144">
        <f>IFERROR(AH10144*0.1, "N/A")</f>
        <v>6.8946370000000003</v>
      </c>
      <c r="AH10144">
        <v>68.946370000000002</v>
      </c>
      <c r="AI10144">
        <v>111.78100000000001</v>
      </c>
      <c r="AJ10144">
        <v>24.397919999999999</v>
      </c>
      <c r="AK10144">
        <v>51.602080000000001</v>
      </c>
    </row>
    <row r="10145" spans="1:37" x14ac:dyDescent="0.3">
      <c r="A10145">
        <v>10144</v>
      </c>
      <c r="B10145">
        <v>16.7</v>
      </c>
      <c r="C10145">
        <v>14.166700000000001</v>
      </c>
      <c r="D10145">
        <v>8.4</v>
      </c>
      <c r="E10145" t="s">
        <v>15323</v>
      </c>
      <c r="F10145" t="s">
        <v>15324</v>
      </c>
      <c r="G10145" t="s">
        <v>39</v>
      </c>
      <c r="H10145">
        <v>1990</v>
      </c>
      <c r="I10145">
        <v>26.500520000000002</v>
      </c>
      <c r="J10145">
        <v>12.769600000000001</v>
      </c>
      <c r="K10145">
        <v>60.523319999999998</v>
      </c>
      <c r="L10145">
        <v>18.243010000000002</v>
      </c>
      <c r="M10145">
        <v>36.948189999999997</v>
      </c>
      <c r="N10145">
        <v>16.000520000000002</v>
      </c>
      <c r="O10145">
        <v>20.947669999999999</v>
      </c>
      <c r="P10145">
        <v>25.100519999999999</v>
      </c>
      <c r="Q10145">
        <v>25.300519999999999</v>
      </c>
      <c r="R10145">
        <v>29.300519999999999</v>
      </c>
      <c r="S10145">
        <v>25.026420000000002</v>
      </c>
      <c r="T10145">
        <v>1208.9000000000001</v>
      </c>
      <c r="U10145">
        <v>267.34539999999998</v>
      </c>
      <c r="V10145">
        <v>0</v>
      </c>
      <c r="W10145">
        <v>99</v>
      </c>
      <c r="X10145">
        <v>747.03629999999998</v>
      </c>
      <c r="Y10145">
        <v>0</v>
      </c>
      <c r="Z10145">
        <v>201.5181</v>
      </c>
      <c r="AA10145">
        <v>131.84280000000001</v>
      </c>
      <c r="AB10145">
        <v>13.918990000000001</v>
      </c>
      <c r="AC10145">
        <v>1.435955E-2</v>
      </c>
      <c r="AD10145">
        <v>2.955991</v>
      </c>
      <c r="AE10145">
        <v>0.61035620000000002</v>
      </c>
      <c r="AF10145">
        <v>390.30220000000003</v>
      </c>
      <c r="AG10145">
        <f>IFERROR(AH10145*0.1, "N/A")</f>
        <v>6.0715029999999999</v>
      </c>
      <c r="AH10145">
        <v>60.715029999999999</v>
      </c>
      <c r="AI10145">
        <v>90.962260000000001</v>
      </c>
      <c r="AJ10145">
        <v>18.98273</v>
      </c>
      <c r="AK10145">
        <v>53.784109999999998</v>
      </c>
    </row>
    <row r="10146" spans="1:37" x14ac:dyDescent="0.3">
      <c r="A10146">
        <v>10145</v>
      </c>
      <c r="B10146">
        <v>35.4</v>
      </c>
      <c r="C10146">
        <v>14.166700000000001</v>
      </c>
      <c r="D10146">
        <v>8.4</v>
      </c>
      <c r="E10146" t="s">
        <v>15323</v>
      </c>
      <c r="F10146" t="s">
        <v>15325</v>
      </c>
      <c r="G10146" t="s">
        <v>37</v>
      </c>
      <c r="H10146">
        <v>1990</v>
      </c>
      <c r="I10146">
        <v>26.500520000000002</v>
      </c>
      <c r="J10146">
        <v>12.769600000000001</v>
      </c>
      <c r="K10146">
        <v>60.523319999999998</v>
      </c>
      <c r="L10146">
        <v>18.243010000000002</v>
      </c>
      <c r="M10146">
        <v>36.948189999999997</v>
      </c>
      <c r="N10146">
        <v>16.000520000000002</v>
      </c>
      <c r="O10146">
        <v>20.947669999999999</v>
      </c>
      <c r="P10146">
        <v>25.100519999999999</v>
      </c>
      <c r="Q10146">
        <v>25.300519999999999</v>
      </c>
      <c r="R10146">
        <v>29.300519999999999</v>
      </c>
      <c r="S10146">
        <v>25.026420000000002</v>
      </c>
      <c r="T10146">
        <v>1208.9000000000001</v>
      </c>
      <c r="U10146">
        <v>267.34539999999998</v>
      </c>
      <c r="V10146">
        <v>0</v>
      </c>
      <c r="W10146">
        <v>99</v>
      </c>
      <c r="X10146">
        <v>747.03629999999998</v>
      </c>
      <c r="Y10146">
        <v>0</v>
      </c>
      <c r="Z10146">
        <v>201.5181</v>
      </c>
      <c r="AA10146">
        <v>131.84280000000001</v>
      </c>
      <c r="AB10146">
        <v>13.918990000000001</v>
      </c>
      <c r="AC10146">
        <v>1.435955E-2</v>
      </c>
      <c r="AD10146">
        <v>2.955991</v>
      </c>
      <c r="AE10146">
        <v>0.61035620000000002</v>
      </c>
      <c r="AF10146">
        <v>390.30220000000003</v>
      </c>
      <c r="AG10146">
        <f>IFERROR(AH10146*0.1, "N/A")</f>
        <v>6.0715029999999999</v>
      </c>
      <c r="AH10146">
        <v>60.715029999999999</v>
      </c>
      <c r="AI10146">
        <v>90.962260000000001</v>
      </c>
      <c r="AJ10146">
        <v>18.98273</v>
      </c>
      <c r="AK10146">
        <v>53.784109999999998</v>
      </c>
    </row>
    <row r="10147" spans="1:37" x14ac:dyDescent="0.3">
      <c r="A10147">
        <v>10146</v>
      </c>
      <c r="B10147">
        <v>4.2</v>
      </c>
      <c r="C10147">
        <v>14.166700000000001</v>
      </c>
      <c r="D10147">
        <v>8.4</v>
      </c>
      <c r="E10147" t="s">
        <v>15323</v>
      </c>
      <c r="F10147" t="s">
        <v>15326</v>
      </c>
      <c r="G10147" t="s">
        <v>2420</v>
      </c>
      <c r="H10147">
        <v>1990</v>
      </c>
      <c r="I10147">
        <v>26.500520000000002</v>
      </c>
      <c r="J10147">
        <v>12.769600000000001</v>
      </c>
      <c r="K10147">
        <v>60.523319999999998</v>
      </c>
      <c r="L10147">
        <v>18.243010000000002</v>
      </c>
      <c r="M10147">
        <v>36.948189999999997</v>
      </c>
      <c r="N10147">
        <v>16.000520000000002</v>
      </c>
      <c r="O10147">
        <v>20.947669999999999</v>
      </c>
      <c r="P10147">
        <v>25.100519999999999</v>
      </c>
      <c r="Q10147">
        <v>25.300519999999999</v>
      </c>
      <c r="R10147">
        <v>29.300519999999999</v>
      </c>
      <c r="S10147">
        <v>25.026420000000002</v>
      </c>
      <c r="T10147">
        <v>1208.9000000000001</v>
      </c>
      <c r="U10147">
        <v>267.34539999999998</v>
      </c>
      <c r="V10147">
        <v>0</v>
      </c>
      <c r="W10147">
        <v>99</v>
      </c>
      <c r="X10147">
        <v>747.03629999999998</v>
      </c>
      <c r="Y10147">
        <v>0</v>
      </c>
      <c r="Z10147">
        <v>201.5181</v>
      </c>
      <c r="AA10147">
        <v>131.84280000000001</v>
      </c>
      <c r="AB10147">
        <v>13.918990000000001</v>
      </c>
      <c r="AC10147">
        <v>1.435955E-2</v>
      </c>
      <c r="AD10147">
        <v>2.955991</v>
      </c>
      <c r="AE10147">
        <v>0.61035620000000002</v>
      </c>
      <c r="AF10147">
        <v>390.30220000000003</v>
      </c>
      <c r="AG10147">
        <f>IFERROR(AH10147*0.1, "N/A")</f>
        <v>6.0715029999999999</v>
      </c>
      <c r="AH10147">
        <v>60.715029999999999</v>
      </c>
      <c r="AI10147">
        <v>90.962260000000001</v>
      </c>
      <c r="AJ10147">
        <v>18.98273</v>
      </c>
      <c r="AK10147">
        <v>53.784109999999998</v>
      </c>
    </row>
    <row r="10148" spans="1:37" x14ac:dyDescent="0.3">
      <c r="A10148">
        <v>10147</v>
      </c>
      <c r="B10148">
        <v>33.299999999999997</v>
      </c>
      <c r="C10148">
        <v>13.9611</v>
      </c>
      <c r="D10148">
        <v>8.4</v>
      </c>
      <c r="E10148" t="s">
        <v>15327</v>
      </c>
      <c r="F10148" t="s">
        <v>15328</v>
      </c>
      <c r="G10148" t="s">
        <v>39</v>
      </c>
      <c r="H10148">
        <v>1990</v>
      </c>
      <c r="I10148">
        <v>26.7</v>
      </c>
      <c r="J10148">
        <v>12.8</v>
      </c>
      <c r="K10148">
        <v>60.609000000000002</v>
      </c>
      <c r="L10148">
        <v>18.130970000000001</v>
      </c>
      <c r="M10148">
        <v>37.1</v>
      </c>
      <c r="N10148">
        <v>16.1218</v>
      </c>
      <c r="O10148">
        <v>20.978200000000001</v>
      </c>
      <c r="P10148">
        <v>25.4</v>
      </c>
      <c r="Q10148">
        <v>25.460899999999999</v>
      </c>
      <c r="R10148">
        <v>29.5609</v>
      </c>
      <c r="S10148">
        <v>25.260899999999999</v>
      </c>
      <c r="T10148">
        <v>1228.6089999999999</v>
      </c>
      <c r="U10148">
        <v>267</v>
      </c>
      <c r="V10148">
        <v>0</v>
      </c>
      <c r="W10148">
        <v>99</v>
      </c>
      <c r="X10148">
        <v>752</v>
      </c>
      <c r="Y10148">
        <v>0</v>
      </c>
      <c r="Z10148">
        <v>208</v>
      </c>
      <c r="AA10148">
        <v>3</v>
      </c>
      <c r="AB10148">
        <v>11.471120000000001</v>
      </c>
      <c r="AC10148">
        <v>2.9851570000000001E-2</v>
      </c>
      <c r="AD10148">
        <v>1.767595</v>
      </c>
      <c r="AE10148">
        <v>0.1199274</v>
      </c>
      <c r="AF10148">
        <v>315.15219999999999</v>
      </c>
      <c r="AG10148">
        <f>IFERROR(AH10148*0.1, "N/A")</f>
        <v>6.8657439999999994</v>
      </c>
      <c r="AH10148">
        <v>68.657439999999994</v>
      </c>
      <c r="AI10148">
        <v>143.46019999999999</v>
      </c>
      <c r="AJ10148">
        <v>20.513839999999998</v>
      </c>
      <c r="AK10148">
        <v>51.83737</v>
      </c>
    </row>
    <row r="10149" spans="1:37" x14ac:dyDescent="0.3">
      <c r="A10149">
        <v>10148</v>
      </c>
      <c r="B10149">
        <v>34.1</v>
      </c>
      <c r="C10149">
        <v>13.9611</v>
      </c>
      <c r="D10149">
        <v>8.4</v>
      </c>
      <c r="E10149" t="s">
        <v>15327</v>
      </c>
      <c r="F10149" t="s">
        <v>15329</v>
      </c>
      <c r="G10149" t="s">
        <v>37</v>
      </c>
      <c r="H10149">
        <v>1990</v>
      </c>
      <c r="I10149">
        <v>26.7</v>
      </c>
      <c r="J10149">
        <v>12.8</v>
      </c>
      <c r="K10149">
        <v>60.609000000000002</v>
      </c>
      <c r="L10149">
        <v>18.130970000000001</v>
      </c>
      <c r="M10149">
        <v>37.1</v>
      </c>
      <c r="N10149">
        <v>16.1218</v>
      </c>
      <c r="O10149">
        <v>20.978200000000001</v>
      </c>
      <c r="P10149">
        <v>25.4</v>
      </c>
      <c r="Q10149">
        <v>25.460899999999999</v>
      </c>
      <c r="R10149">
        <v>29.5609</v>
      </c>
      <c r="S10149">
        <v>25.260899999999999</v>
      </c>
      <c r="T10149">
        <v>1228.6089999999999</v>
      </c>
      <c r="U10149">
        <v>267</v>
      </c>
      <c r="V10149">
        <v>0</v>
      </c>
      <c r="W10149">
        <v>99</v>
      </c>
      <c r="X10149">
        <v>752</v>
      </c>
      <c r="Y10149">
        <v>0</v>
      </c>
      <c r="Z10149">
        <v>208</v>
      </c>
      <c r="AA10149">
        <v>3</v>
      </c>
      <c r="AB10149">
        <v>11.471120000000001</v>
      </c>
      <c r="AC10149">
        <v>2.9851570000000001E-2</v>
      </c>
      <c r="AD10149">
        <v>1.767595</v>
      </c>
      <c r="AE10149">
        <v>0.1199274</v>
      </c>
      <c r="AF10149">
        <v>315.15219999999999</v>
      </c>
      <c r="AG10149">
        <f>IFERROR(AH10149*0.1, "N/A")</f>
        <v>6.8657439999999994</v>
      </c>
      <c r="AH10149">
        <v>68.657439999999994</v>
      </c>
      <c r="AI10149">
        <v>143.46019999999999</v>
      </c>
      <c r="AJ10149">
        <v>20.513839999999998</v>
      </c>
      <c r="AK10149">
        <v>51.83737</v>
      </c>
    </row>
    <row r="10150" spans="1:37" x14ac:dyDescent="0.3">
      <c r="A10150">
        <v>10149</v>
      </c>
      <c r="B10150">
        <v>7.3</v>
      </c>
      <c r="C10150">
        <v>13.9611</v>
      </c>
      <c r="D10150">
        <v>8.4</v>
      </c>
      <c r="E10150" t="s">
        <v>15327</v>
      </c>
      <c r="F10150" t="s">
        <v>15330</v>
      </c>
      <c r="G10150" t="s">
        <v>2420</v>
      </c>
      <c r="H10150">
        <v>1990</v>
      </c>
      <c r="I10150">
        <v>26.7</v>
      </c>
      <c r="J10150">
        <v>12.8</v>
      </c>
      <c r="K10150">
        <v>60.609000000000002</v>
      </c>
      <c r="L10150">
        <v>18.130970000000001</v>
      </c>
      <c r="M10150">
        <v>37.1</v>
      </c>
      <c r="N10150">
        <v>16.1218</v>
      </c>
      <c r="O10150">
        <v>20.978200000000001</v>
      </c>
      <c r="P10150">
        <v>25.4</v>
      </c>
      <c r="Q10150">
        <v>25.460899999999999</v>
      </c>
      <c r="R10150">
        <v>29.5609</v>
      </c>
      <c r="S10150">
        <v>25.260899999999999</v>
      </c>
      <c r="T10150">
        <v>1228.6089999999999</v>
      </c>
      <c r="U10150">
        <v>267</v>
      </c>
      <c r="V10150">
        <v>0</v>
      </c>
      <c r="W10150">
        <v>99</v>
      </c>
      <c r="X10150">
        <v>752</v>
      </c>
      <c r="Y10150">
        <v>0</v>
      </c>
      <c r="Z10150">
        <v>208</v>
      </c>
      <c r="AA10150">
        <v>3</v>
      </c>
      <c r="AB10150">
        <v>11.471120000000001</v>
      </c>
      <c r="AC10150">
        <v>2.9851570000000001E-2</v>
      </c>
      <c r="AD10150">
        <v>1.767595</v>
      </c>
      <c r="AE10150">
        <v>0.1199274</v>
      </c>
      <c r="AF10150">
        <v>315.15219999999999</v>
      </c>
      <c r="AG10150">
        <f>IFERROR(AH10150*0.1, "N/A")</f>
        <v>6.8657439999999994</v>
      </c>
      <c r="AH10150">
        <v>68.657439999999994</v>
      </c>
      <c r="AI10150">
        <v>143.46019999999999</v>
      </c>
      <c r="AJ10150">
        <v>20.513839999999998</v>
      </c>
      <c r="AK10150">
        <v>51.83737</v>
      </c>
    </row>
    <row r="10151" spans="1:37" x14ac:dyDescent="0.3">
      <c r="A10151">
        <v>10150</v>
      </c>
      <c r="B10151">
        <v>12.5</v>
      </c>
      <c r="C10151">
        <v>13.249000000000001</v>
      </c>
      <c r="D10151">
        <v>8.4169999999999998</v>
      </c>
      <c r="E10151" t="s">
        <v>15331</v>
      </c>
      <c r="F10151" t="s">
        <v>15332</v>
      </c>
      <c r="G10151" t="s">
        <v>39</v>
      </c>
      <c r="H10151">
        <v>1987</v>
      </c>
      <c r="I10151">
        <v>24.8</v>
      </c>
      <c r="J10151">
        <v>13</v>
      </c>
      <c r="K10151">
        <v>61</v>
      </c>
      <c r="L10151">
        <v>17.565629999999999</v>
      </c>
      <c r="M10151">
        <v>34.9</v>
      </c>
      <c r="N10151">
        <v>13.7</v>
      </c>
      <c r="O10151">
        <v>21.2</v>
      </c>
      <c r="P10151">
        <v>24.097570000000001</v>
      </c>
      <c r="Q10151">
        <v>23.1</v>
      </c>
      <c r="R10151">
        <v>27.5</v>
      </c>
      <c r="S10151">
        <v>23.00243</v>
      </c>
      <c r="T10151">
        <v>1428.0239999999999</v>
      </c>
      <c r="U10151">
        <v>291</v>
      </c>
      <c r="V10151">
        <v>0</v>
      </c>
      <c r="W10151">
        <v>95</v>
      </c>
      <c r="X10151">
        <v>847</v>
      </c>
      <c r="Y10151">
        <v>1</v>
      </c>
      <c r="Z10151">
        <v>261.02429999999998</v>
      </c>
      <c r="AA10151">
        <v>4</v>
      </c>
      <c r="AB10151">
        <v>16.750250000000001</v>
      </c>
      <c r="AC10151">
        <v>4.0236099999999997E-2</v>
      </c>
      <c r="AD10151">
        <v>2.450161</v>
      </c>
      <c r="AE10151">
        <v>0.53427389999999997</v>
      </c>
      <c r="AF10151">
        <v>575.11440000000005</v>
      </c>
      <c r="AG10151">
        <f>IFERROR(AH10151*0.1, "N/A")</f>
        <v>6.1000000000000005</v>
      </c>
      <c r="AH10151">
        <v>61</v>
      </c>
      <c r="AI10151">
        <v>306.0104</v>
      </c>
      <c r="AJ10151">
        <v>27</v>
      </c>
      <c r="AK10151">
        <v>49</v>
      </c>
    </row>
    <row r="10152" spans="1:37" x14ac:dyDescent="0.3">
      <c r="A10152">
        <v>10151</v>
      </c>
      <c r="B10152">
        <v>0</v>
      </c>
      <c r="C10152">
        <v>13.284000000000001</v>
      </c>
      <c r="D10152">
        <v>8.4510000000000005</v>
      </c>
      <c r="E10152" t="s">
        <v>15333</v>
      </c>
      <c r="F10152" t="s">
        <v>15334</v>
      </c>
      <c r="G10152" t="s">
        <v>39</v>
      </c>
      <c r="H10152">
        <v>1987</v>
      </c>
      <c r="I10152">
        <v>25.294640000000001</v>
      </c>
      <c r="J10152">
        <v>12.9</v>
      </c>
      <c r="K10152">
        <v>60</v>
      </c>
      <c r="L10152">
        <v>17.90287</v>
      </c>
      <c r="M10152">
        <v>35.4</v>
      </c>
      <c r="N10152">
        <v>14</v>
      </c>
      <c r="O10152">
        <v>21.4</v>
      </c>
      <c r="P10152">
        <v>24.49464</v>
      </c>
      <c r="Q10152">
        <v>23.4</v>
      </c>
      <c r="R10152">
        <v>28</v>
      </c>
      <c r="S10152">
        <v>23.394639999999999</v>
      </c>
      <c r="T10152">
        <v>1420.107</v>
      </c>
      <c r="U10152">
        <v>291</v>
      </c>
      <c r="V10152">
        <v>0</v>
      </c>
      <c r="W10152">
        <v>96</v>
      </c>
      <c r="X10152">
        <v>849</v>
      </c>
      <c r="Y10152">
        <v>0</v>
      </c>
      <c r="Z10152">
        <v>254.05359999999999</v>
      </c>
      <c r="AA10152">
        <v>4</v>
      </c>
      <c r="AB10152">
        <v>2.1223269999999999</v>
      </c>
      <c r="AC10152">
        <v>0.84910969999999997</v>
      </c>
      <c r="AD10152">
        <v>2.1151330000000002</v>
      </c>
      <c r="AE10152">
        <v>0.1653432</v>
      </c>
      <c r="AF10152">
        <v>510.22149999999999</v>
      </c>
      <c r="AG10152">
        <f>IFERROR(AH10152*0.1, "N/A")</f>
        <v>5.6652250000000004</v>
      </c>
      <c r="AH10152">
        <v>56.652250000000002</v>
      </c>
      <c r="AI10152">
        <v>223.3475</v>
      </c>
      <c r="AJ10152">
        <v>25.342559999999999</v>
      </c>
      <c r="AK10152">
        <v>48.288930000000001</v>
      </c>
    </row>
    <row r="10153" spans="1:37" x14ac:dyDescent="0.3">
      <c r="A10153">
        <v>10152</v>
      </c>
      <c r="B10153">
        <v>14</v>
      </c>
      <c r="C10153">
        <v>13.243</v>
      </c>
      <c r="D10153">
        <v>8.4700000000000006</v>
      </c>
      <c r="E10153" t="s">
        <v>15335</v>
      </c>
      <c r="F10153" t="s">
        <v>15336</v>
      </c>
      <c r="G10153" t="s">
        <v>39</v>
      </c>
      <c r="H10153">
        <v>1987</v>
      </c>
      <c r="I10153">
        <v>25.3</v>
      </c>
      <c r="J10153">
        <v>12.9</v>
      </c>
      <c r="K10153">
        <v>60</v>
      </c>
      <c r="L10153">
        <v>17.760000000000002</v>
      </c>
      <c r="M10153">
        <v>35.5</v>
      </c>
      <c r="N10153">
        <v>14.2</v>
      </c>
      <c r="O10153">
        <v>21.3</v>
      </c>
      <c r="P10153">
        <v>24.6</v>
      </c>
      <c r="Q10153">
        <v>23.5</v>
      </c>
      <c r="R10153">
        <v>28</v>
      </c>
      <c r="S10153">
        <v>23.4</v>
      </c>
      <c r="T10153">
        <v>1427</v>
      </c>
      <c r="U10153">
        <v>292</v>
      </c>
      <c r="V10153">
        <v>0</v>
      </c>
      <c r="W10153">
        <v>97</v>
      </c>
      <c r="X10153">
        <v>852</v>
      </c>
      <c r="Y10153">
        <v>1</v>
      </c>
      <c r="Z10153">
        <v>255</v>
      </c>
      <c r="AA10153">
        <v>4</v>
      </c>
      <c r="AB10153">
        <v>0.95484780000000002</v>
      </c>
      <c r="AC10153">
        <v>6.744192</v>
      </c>
      <c r="AD10153">
        <v>2.4547650000000001</v>
      </c>
      <c r="AE10153">
        <v>0.60824109999999998</v>
      </c>
      <c r="AF10153">
        <v>475.08819999999997</v>
      </c>
      <c r="AG10153">
        <f>IFERROR(AH10153*0.1, "N/A")</f>
        <v>6.0333910000000008</v>
      </c>
      <c r="AH10153">
        <v>60.333910000000003</v>
      </c>
      <c r="AI10153">
        <v>310.96519999999998</v>
      </c>
      <c r="AJ10153">
        <v>20.667819999999999</v>
      </c>
      <c r="AK10153">
        <v>56.664360000000002</v>
      </c>
    </row>
    <row r="10154" spans="1:37" x14ac:dyDescent="0.3">
      <c r="A10154">
        <v>10153</v>
      </c>
      <c r="B10154">
        <v>3.9</v>
      </c>
      <c r="C10154">
        <v>13.2417</v>
      </c>
      <c r="D10154">
        <v>8.4749999999999996</v>
      </c>
      <c r="E10154" t="s">
        <v>15337</v>
      </c>
      <c r="F10154" t="s">
        <v>15338</v>
      </c>
      <c r="G10154" t="s">
        <v>39</v>
      </c>
      <c r="H10154">
        <v>1990</v>
      </c>
      <c r="I10154">
        <v>25.395510000000002</v>
      </c>
      <c r="J10154">
        <v>12.9</v>
      </c>
      <c r="K10154">
        <v>60</v>
      </c>
      <c r="L10154">
        <v>18.163250000000001</v>
      </c>
      <c r="M10154">
        <v>35.595509999999997</v>
      </c>
      <c r="N10154">
        <v>14.17962</v>
      </c>
      <c r="O10154">
        <v>21.415890000000001</v>
      </c>
      <c r="P10154">
        <v>24.675129999999999</v>
      </c>
      <c r="Q10154">
        <v>23.558890000000002</v>
      </c>
      <c r="R10154">
        <v>28.170639999999999</v>
      </c>
      <c r="S10154">
        <v>23.47513</v>
      </c>
      <c r="T10154">
        <v>1425.4970000000001</v>
      </c>
      <c r="U10154">
        <v>291.04489999999998</v>
      </c>
      <c r="V10154">
        <v>0</v>
      </c>
      <c r="W10154">
        <v>97</v>
      </c>
      <c r="X10154">
        <v>851.41110000000003</v>
      </c>
      <c r="Y10154">
        <v>0.83765109999999998</v>
      </c>
      <c r="Z10154">
        <v>254.24870000000001</v>
      </c>
      <c r="AA10154">
        <v>4</v>
      </c>
      <c r="AB10154">
        <v>7.3474849999999998</v>
      </c>
      <c r="AC10154">
        <v>9.858459E-3</v>
      </c>
      <c r="AD10154">
        <v>2.013855</v>
      </c>
      <c r="AE10154">
        <v>0.61529310000000004</v>
      </c>
      <c r="AF10154">
        <v>473.92570000000001</v>
      </c>
      <c r="AG10154">
        <f>IFERROR(AH10154*0.1, "N/A")</f>
        <v>5.9792750000000003</v>
      </c>
      <c r="AH10154">
        <v>59.792749999999998</v>
      </c>
      <c r="AI10154">
        <v>117.41840000000001</v>
      </c>
      <c r="AJ10154">
        <v>21.792750000000002</v>
      </c>
      <c r="AK10154">
        <v>53.621760000000002</v>
      </c>
    </row>
    <row r="10155" spans="1:37" x14ac:dyDescent="0.3">
      <c r="A10155">
        <v>10154</v>
      </c>
      <c r="B10155">
        <v>69.900000000000006</v>
      </c>
      <c r="C10155">
        <v>13.2417</v>
      </c>
      <c r="D10155">
        <v>8.4749999999999996</v>
      </c>
      <c r="E10155" t="s">
        <v>15337</v>
      </c>
      <c r="F10155" t="s">
        <v>15339</v>
      </c>
      <c r="G10155" t="s">
        <v>37</v>
      </c>
      <c r="H10155">
        <v>1990</v>
      </c>
      <c r="I10155">
        <v>25.395510000000002</v>
      </c>
      <c r="J10155">
        <v>12.9</v>
      </c>
      <c r="K10155">
        <v>60</v>
      </c>
      <c r="L10155">
        <v>18.163250000000001</v>
      </c>
      <c r="M10155">
        <v>35.595509999999997</v>
      </c>
      <c r="N10155">
        <v>14.17962</v>
      </c>
      <c r="O10155">
        <v>21.415890000000001</v>
      </c>
      <c r="P10155">
        <v>24.675129999999999</v>
      </c>
      <c r="Q10155">
        <v>23.558890000000002</v>
      </c>
      <c r="R10155">
        <v>28.170639999999999</v>
      </c>
      <c r="S10155">
        <v>23.47513</v>
      </c>
      <c r="T10155">
        <v>1425.4970000000001</v>
      </c>
      <c r="U10155">
        <v>291.04489999999998</v>
      </c>
      <c r="V10155">
        <v>0</v>
      </c>
      <c r="W10155">
        <v>97</v>
      </c>
      <c r="X10155">
        <v>851.41110000000003</v>
      </c>
      <c r="Y10155">
        <v>0.83765109999999998</v>
      </c>
      <c r="Z10155">
        <v>254.24870000000001</v>
      </c>
      <c r="AA10155">
        <v>4</v>
      </c>
      <c r="AB10155">
        <v>7.3474849999999998</v>
      </c>
      <c r="AC10155">
        <v>9.858459E-3</v>
      </c>
      <c r="AD10155">
        <v>2.013855</v>
      </c>
      <c r="AE10155">
        <v>0.61529310000000004</v>
      </c>
      <c r="AF10155">
        <v>473.92570000000001</v>
      </c>
      <c r="AG10155">
        <f>IFERROR(AH10155*0.1, "N/A")</f>
        <v>5.9792750000000003</v>
      </c>
      <c r="AH10155">
        <v>59.792749999999998</v>
      </c>
      <c r="AI10155">
        <v>117.41840000000001</v>
      </c>
      <c r="AJ10155">
        <v>21.792750000000002</v>
      </c>
      <c r="AK10155">
        <v>53.621760000000002</v>
      </c>
    </row>
    <row r="10156" spans="1:37" x14ac:dyDescent="0.3">
      <c r="A10156">
        <v>10155</v>
      </c>
      <c r="B10156">
        <v>0</v>
      </c>
      <c r="C10156">
        <v>13.2417</v>
      </c>
      <c r="D10156">
        <v>8.4749999999999996</v>
      </c>
      <c r="E10156" t="s">
        <v>15337</v>
      </c>
      <c r="F10156" t="s">
        <v>15340</v>
      </c>
      <c r="G10156" t="s">
        <v>2420</v>
      </c>
      <c r="H10156">
        <v>1990</v>
      </c>
      <c r="I10156">
        <v>25.395510000000002</v>
      </c>
      <c r="J10156">
        <v>12.9</v>
      </c>
      <c r="K10156">
        <v>60</v>
      </c>
      <c r="L10156">
        <v>18.163250000000001</v>
      </c>
      <c r="M10156">
        <v>35.595509999999997</v>
      </c>
      <c r="N10156">
        <v>14.17962</v>
      </c>
      <c r="O10156">
        <v>21.415890000000001</v>
      </c>
      <c r="P10156">
        <v>24.675129999999999</v>
      </c>
      <c r="Q10156">
        <v>23.558890000000002</v>
      </c>
      <c r="R10156">
        <v>28.170639999999999</v>
      </c>
      <c r="S10156">
        <v>23.47513</v>
      </c>
      <c r="T10156">
        <v>1425.4970000000001</v>
      </c>
      <c r="U10156">
        <v>291.04489999999998</v>
      </c>
      <c r="V10156">
        <v>0</v>
      </c>
      <c r="W10156">
        <v>97</v>
      </c>
      <c r="X10156">
        <v>851.41110000000003</v>
      </c>
      <c r="Y10156">
        <v>0.83765109999999998</v>
      </c>
      <c r="Z10156">
        <v>254.24870000000001</v>
      </c>
      <c r="AA10156">
        <v>4</v>
      </c>
      <c r="AB10156">
        <v>7.3474849999999998</v>
      </c>
      <c r="AC10156">
        <v>9.858459E-3</v>
      </c>
      <c r="AD10156">
        <v>2.013855</v>
      </c>
      <c r="AE10156">
        <v>0.61529310000000004</v>
      </c>
      <c r="AF10156">
        <v>473.92570000000001</v>
      </c>
      <c r="AG10156">
        <f>IFERROR(AH10156*0.1, "N/A")</f>
        <v>5.9792750000000003</v>
      </c>
      <c r="AH10156">
        <v>59.792749999999998</v>
      </c>
      <c r="AI10156">
        <v>117.41840000000001</v>
      </c>
      <c r="AJ10156">
        <v>21.792750000000002</v>
      </c>
      <c r="AK10156">
        <v>53.621760000000002</v>
      </c>
    </row>
    <row r="10157" spans="1:37" x14ac:dyDescent="0.3">
      <c r="A10157">
        <v>10156</v>
      </c>
      <c r="B10157">
        <v>4</v>
      </c>
      <c r="C10157">
        <v>12.675000000000001</v>
      </c>
      <c r="D10157">
        <v>8.5583299999999998</v>
      </c>
      <c r="E10157" t="s">
        <v>15341</v>
      </c>
      <c r="F10157" t="s">
        <v>15342</v>
      </c>
      <c r="G10157" t="s">
        <v>39</v>
      </c>
      <c r="H10157">
        <v>1990</v>
      </c>
      <c r="I10157">
        <v>26.631489999999999</v>
      </c>
      <c r="J10157">
        <v>12.8</v>
      </c>
      <c r="K10157">
        <v>60</v>
      </c>
      <c r="L10157">
        <v>17.539149999999999</v>
      </c>
      <c r="M10157">
        <v>36.93806</v>
      </c>
      <c r="N10157">
        <v>15.731490000000001</v>
      </c>
      <c r="O10157">
        <v>21.206569999999999</v>
      </c>
      <c r="P10157">
        <v>25.484780000000001</v>
      </c>
      <c r="Q10157">
        <v>25.331489999999999</v>
      </c>
      <c r="R10157">
        <v>29.402940000000001</v>
      </c>
      <c r="S10157">
        <v>25.131489999999999</v>
      </c>
      <c r="T10157">
        <v>1240.827</v>
      </c>
      <c r="U10157">
        <v>251.68510000000001</v>
      </c>
      <c r="V10157">
        <v>0</v>
      </c>
      <c r="W10157">
        <v>95</v>
      </c>
      <c r="X10157">
        <v>728.97059999999999</v>
      </c>
      <c r="Y10157">
        <v>1</v>
      </c>
      <c r="Z10157">
        <v>231.28550000000001</v>
      </c>
      <c r="AA10157">
        <v>4</v>
      </c>
      <c r="AB10157">
        <v>3.849834</v>
      </c>
      <c r="AC10157">
        <v>6.9541880000000003</v>
      </c>
      <c r="AD10157">
        <v>3.174042</v>
      </c>
      <c r="AE10157">
        <v>0.58396020000000004</v>
      </c>
      <c r="AF10157">
        <v>300.8322</v>
      </c>
      <c r="AG10157">
        <f>IFERROR(AH10157*0.1, "N/A")</f>
        <v>5.9</v>
      </c>
      <c r="AH10157">
        <v>59</v>
      </c>
      <c r="AI10157">
        <v>150.28870000000001</v>
      </c>
      <c r="AJ10157">
        <v>19.041519999999998</v>
      </c>
      <c r="AK10157">
        <v>60.321800000000003</v>
      </c>
    </row>
    <row r="10158" spans="1:37" x14ac:dyDescent="0.3">
      <c r="A10158">
        <v>10157</v>
      </c>
      <c r="B10158">
        <v>68.8</v>
      </c>
      <c r="C10158">
        <v>12.675000000000001</v>
      </c>
      <c r="D10158">
        <v>8.5583299999999998</v>
      </c>
      <c r="E10158" t="s">
        <v>15341</v>
      </c>
      <c r="F10158" t="s">
        <v>15343</v>
      </c>
      <c r="G10158" t="s">
        <v>37</v>
      </c>
      <c r="H10158">
        <v>1990</v>
      </c>
      <c r="I10158">
        <v>26.631489999999999</v>
      </c>
      <c r="J10158">
        <v>12.8</v>
      </c>
      <c r="K10158">
        <v>60</v>
      </c>
      <c r="L10158">
        <v>17.539149999999999</v>
      </c>
      <c r="M10158">
        <v>36.93806</v>
      </c>
      <c r="N10158">
        <v>15.731490000000001</v>
      </c>
      <c r="O10158">
        <v>21.206569999999999</v>
      </c>
      <c r="P10158">
        <v>25.484780000000001</v>
      </c>
      <c r="Q10158">
        <v>25.331489999999999</v>
      </c>
      <c r="R10158">
        <v>29.402940000000001</v>
      </c>
      <c r="S10158">
        <v>25.131489999999999</v>
      </c>
      <c r="T10158">
        <v>1240.827</v>
      </c>
      <c r="U10158">
        <v>251.68510000000001</v>
      </c>
      <c r="V10158">
        <v>0</v>
      </c>
      <c r="W10158">
        <v>95</v>
      </c>
      <c r="X10158">
        <v>728.97059999999999</v>
      </c>
      <c r="Y10158">
        <v>1</v>
      </c>
      <c r="Z10158">
        <v>231.28550000000001</v>
      </c>
      <c r="AA10158">
        <v>4</v>
      </c>
      <c r="AB10158">
        <v>3.849834</v>
      </c>
      <c r="AC10158">
        <v>6.9541880000000003</v>
      </c>
      <c r="AD10158">
        <v>3.174042</v>
      </c>
      <c r="AE10158">
        <v>0.58396020000000004</v>
      </c>
      <c r="AF10158">
        <v>300.8322</v>
      </c>
      <c r="AG10158">
        <f>IFERROR(AH10158*0.1, "N/A")</f>
        <v>5.9</v>
      </c>
      <c r="AH10158">
        <v>59</v>
      </c>
      <c r="AI10158">
        <v>150.28870000000001</v>
      </c>
      <c r="AJ10158">
        <v>19.041519999999998</v>
      </c>
      <c r="AK10158">
        <v>60.321800000000003</v>
      </c>
    </row>
    <row r="10159" spans="1:37" x14ac:dyDescent="0.3">
      <c r="A10159">
        <v>10158</v>
      </c>
      <c r="B10159">
        <v>0</v>
      </c>
      <c r="C10159">
        <v>12.675000000000001</v>
      </c>
      <c r="D10159">
        <v>8.5583299999999998</v>
      </c>
      <c r="E10159" t="s">
        <v>15341</v>
      </c>
      <c r="F10159" t="s">
        <v>15344</v>
      </c>
      <c r="G10159" t="s">
        <v>2420</v>
      </c>
      <c r="H10159">
        <v>1990</v>
      </c>
      <c r="I10159">
        <v>26.631489999999999</v>
      </c>
      <c r="J10159">
        <v>12.8</v>
      </c>
      <c r="K10159">
        <v>60</v>
      </c>
      <c r="L10159">
        <v>17.539149999999999</v>
      </c>
      <c r="M10159">
        <v>36.93806</v>
      </c>
      <c r="N10159">
        <v>15.731490000000001</v>
      </c>
      <c r="O10159">
        <v>21.206569999999999</v>
      </c>
      <c r="P10159">
        <v>25.484780000000001</v>
      </c>
      <c r="Q10159">
        <v>25.331489999999999</v>
      </c>
      <c r="R10159">
        <v>29.402940000000001</v>
      </c>
      <c r="S10159">
        <v>25.131489999999999</v>
      </c>
      <c r="T10159">
        <v>1240.827</v>
      </c>
      <c r="U10159">
        <v>251.68510000000001</v>
      </c>
      <c r="V10159">
        <v>0</v>
      </c>
      <c r="W10159">
        <v>95</v>
      </c>
      <c r="X10159">
        <v>728.97059999999999</v>
      </c>
      <c r="Y10159">
        <v>1</v>
      </c>
      <c r="Z10159">
        <v>231.28550000000001</v>
      </c>
      <c r="AA10159">
        <v>4</v>
      </c>
      <c r="AB10159">
        <v>3.849834</v>
      </c>
      <c r="AC10159">
        <v>6.9541880000000003</v>
      </c>
      <c r="AD10159">
        <v>3.174042</v>
      </c>
      <c r="AE10159">
        <v>0.58396020000000004</v>
      </c>
      <c r="AF10159">
        <v>300.8322</v>
      </c>
      <c r="AG10159">
        <f>IFERROR(AH10159*0.1, "N/A")</f>
        <v>5.9</v>
      </c>
      <c r="AH10159">
        <v>59</v>
      </c>
      <c r="AI10159">
        <v>150.28870000000001</v>
      </c>
      <c r="AJ10159">
        <v>19.041519999999998</v>
      </c>
      <c r="AK10159">
        <v>60.321800000000003</v>
      </c>
    </row>
    <row r="10160" spans="1:37" x14ac:dyDescent="0.3">
      <c r="A10160">
        <v>10159</v>
      </c>
      <c r="B10160">
        <v>54.1</v>
      </c>
      <c r="C10160">
        <v>13.083299999999999</v>
      </c>
      <c r="D10160">
        <v>8.6166699999999992</v>
      </c>
      <c r="E10160" t="s">
        <v>15345</v>
      </c>
      <c r="F10160" t="s">
        <v>15346</v>
      </c>
      <c r="G10160" t="s">
        <v>39</v>
      </c>
      <c r="H10160">
        <v>1990</v>
      </c>
      <c r="I10160">
        <v>26.374479999999998</v>
      </c>
      <c r="J10160">
        <v>12.884550000000001</v>
      </c>
      <c r="K10160">
        <v>60</v>
      </c>
      <c r="L10160">
        <v>18.361999999999998</v>
      </c>
      <c r="M10160">
        <v>36.76146</v>
      </c>
      <c r="N10160">
        <v>15.428470000000001</v>
      </c>
      <c r="O10160">
        <v>21.332989999999999</v>
      </c>
      <c r="P10160">
        <v>25.3</v>
      </c>
      <c r="Q10160">
        <v>24.861460000000001</v>
      </c>
      <c r="R10160">
        <v>29.26146</v>
      </c>
      <c r="S10160">
        <v>24.728470000000002</v>
      </c>
      <c r="T10160">
        <v>1308.337</v>
      </c>
      <c r="U10160">
        <v>269.71530000000001</v>
      </c>
      <c r="V10160">
        <v>0</v>
      </c>
      <c r="W10160">
        <v>97</v>
      </c>
      <c r="X10160">
        <v>782.47569999999996</v>
      </c>
      <c r="Y10160">
        <v>0.71527779999999996</v>
      </c>
      <c r="Z10160">
        <v>231.71530000000001</v>
      </c>
      <c r="AA10160">
        <v>4</v>
      </c>
      <c r="AB10160">
        <v>9.9838550000000001</v>
      </c>
      <c r="AC10160">
        <v>1.301746E-2</v>
      </c>
      <c r="AD10160">
        <v>1.9495720000000001</v>
      </c>
      <c r="AE10160">
        <v>0.1091737</v>
      </c>
      <c r="AF10160">
        <v>323.22050000000002</v>
      </c>
      <c r="AG10160">
        <f>IFERROR(AH10160*0.1, "N/A")</f>
        <v>6.5715280000000007</v>
      </c>
      <c r="AH10160">
        <v>65.715280000000007</v>
      </c>
      <c r="AI10160">
        <v>224.02539999999999</v>
      </c>
      <c r="AJ10160">
        <v>19.71528</v>
      </c>
      <c r="AK10160">
        <v>55.56944</v>
      </c>
    </row>
    <row r="10161" spans="1:37" x14ac:dyDescent="0.3">
      <c r="A10161">
        <v>10160</v>
      </c>
      <c r="B10161">
        <v>61.1</v>
      </c>
      <c r="C10161">
        <v>13.083299999999999</v>
      </c>
      <c r="D10161">
        <v>8.6166699999999992</v>
      </c>
      <c r="E10161" t="s">
        <v>15345</v>
      </c>
      <c r="F10161" t="s">
        <v>15347</v>
      </c>
      <c r="G10161" t="s">
        <v>37</v>
      </c>
      <c r="H10161">
        <v>1990</v>
      </c>
      <c r="I10161">
        <v>26.374479999999998</v>
      </c>
      <c r="J10161">
        <v>12.884550000000001</v>
      </c>
      <c r="K10161">
        <v>60</v>
      </c>
      <c r="L10161">
        <v>18.361999999999998</v>
      </c>
      <c r="M10161">
        <v>36.76146</v>
      </c>
      <c r="N10161">
        <v>15.428470000000001</v>
      </c>
      <c r="O10161">
        <v>21.332989999999999</v>
      </c>
      <c r="P10161">
        <v>25.3</v>
      </c>
      <c r="Q10161">
        <v>24.861460000000001</v>
      </c>
      <c r="R10161">
        <v>29.26146</v>
      </c>
      <c r="S10161">
        <v>24.728470000000002</v>
      </c>
      <c r="T10161">
        <v>1308.337</v>
      </c>
      <c r="U10161">
        <v>269.71530000000001</v>
      </c>
      <c r="V10161">
        <v>0</v>
      </c>
      <c r="W10161">
        <v>97</v>
      </c>
      <c r="X10161">
        <v>782.47569999999996</v>
      </c>
      <c r="Y10161">
        <v>0.71527779999999996</v>
      </c>
      <c r="Z10161">
        <v>231.71530000000001</v>
      </c>
      <c r="AA10161">
        <v>4</v>
      </c>
      <c r="AB10161">
        <v>9.9838550000000001</v>
      </c>
      <c r="AC10161">
        <v>1.301746E-2</v>
      </c>
      <c r="AD10161">
        <v>1.9495720000000001</v>
      </c>
      <c r="AE10161">
        <v>0.1091737</v>
      </c>
      <c r="AF10161">
        <v>323.22050000000002</v>
      </c>
      <c r="AG10161">
        <f>IFERROR(AH10161*0.1, "N/A")</f>
        <v>6.5715280000000007</v>
      </c>
      <c r="AH10161">
        <v>65.715280000000007</v>
      </c>
      <c r="AI10161">
        <v>224.02539999999999</v>
      </c>
      <c r="AJ10161">
        <v>19.71528</v>
      </c>
      <c r="AK10161">
        <v>55.56944</v>
      </c>
    </row>
    <row r="10162" spans="1:37" x14ac:dyDescent="0.3">
      <c r="A10162">
        <v>10161</v>
      </c>
      <c r="B10162">
        <v>2.8</v>
      </c>
      <c r="C10162">
        <v>13.083299999999999</v>
      </c>
      <c r="D10162">
        <v>8.6166699999999992</v>
      </c>
      <c r="E10162" t="s">
        <v>15345</v>
      </c>
      <c r="F10162" t="s">
        <v>15348</v>
      </c>
      <c r="G10162" t="s">
        <v>2420</v>
      </c>
      <c r="H10162">
        <v>1990</v>
      </c>
      <c r="I10162">
        <v>26.374479999999998</v>
      </c>
      <c r="J10162">
        <v>12.884550000000001</v>
      </c>
      <c r="K10162">
        <v>60</v>
      </c>
      <c r="L10162">
        <v>18.361999999999998</v>
      </c>
      <c r="M10162">
        <v>36.76146</v>
      </c>
      <c r="N10162">
        <v>15.428470000000001</v>
      </c>
      <c r="O10162">
        <v>21.332989999999999</v>
      </c>
      <c r="P10162">
        <v>25.3</v>
      </c>
      <c r="Q10162">
        <v>24.861460000000001</v>
      </c>
      <c r="R10162">
        <v>29.26146</v>
      </c>
      <c r="S10162">
        <v>24.728470000000002</v>
      </c>
      <c r="T10162">
        <v>1308.337</v>
      </c>
      <c r="U10162">
        <v>269.71530000000001</v>
      </c>
      <c r="V10162">
        <v>0</v>
      </c>
      <c r="W10162">
        <v>97</v>
      </c>
      <c r="X10162">
        <v>782.47569999999996</v>
      </c>
      <c r="Y10162">
        <v>0.71527779999999996</v>
      </c>
      <c r="Z10162">
        <v>231.71530000000001</v>
      </c>
      <c r="AA10162">
        <v>4</v>
      </c>
      <c r="AB10162">
        <v>9.9838550000000001</v>
      </c>
      <c r="AC10162">
        <v>1.301746E-2</v>
      </c>
      <c r="AD10162">
        <v>1.9495720000000001</v>
      </c>
      <c r="AE10162">
        <v>0.1091737</v>
      </c>
      <c r="AF10162">
        <v>323.22050000000002</v>
      </c>
      <c r="AG10162">
        <f>IFERROR(AH10162*0.1, "N/A")</f>
        <v>6.5715280000000007</v>
      </c>
      <c r="AH10162">
        <v>65.715280000000007</v>
      </c>
      <c r="AI10162">
        <v>224.02539999999999</v>
      </c>
      <c r="AJ10162">
        <v>19.71528</v>
      </c>
      <c r="AK10162">
        <v>55.56944</v>
      </c>
    </row>
    <row r="10163" spans="1:37" x14ac:dyDescent="0.3">
      <c r="A10163">
        <v>10162</v>
      </c>
      <c r="B10163">
        <v>16.7</v>
      </c>
      <c r="C10163">
        <v>14.183299999999999</v>
      </c>
      <c r="D10163">
        <v>8.6722199999999994</v>
      </c>
      <c r="E10163" t="s">
        <v>15349</v>
      </c>
      <c r="F10163" t="s">
        <v>15350</v>
      </c>
      <c r="G10163" t="s">
        <v>39</v>
      </c>
      <c r="H10163">
        <v>1990</v>
      </c>
      <c r="I10163">
        <v>27.43328</v>
      </c>
      <c r="J10163">
        <v>12.7</v>
      </c>
      <c r="K10163">
        <v>59</v>
      </c>
      <c r="L10163">
        <v>19.593350000000001</v>
      </c>
      <c r="M10163">
        <v>38.233280000000001</v>
      </c>
      <c r="N10163">
        <v>17</v>
      </c>
      <c r="O10163">
        <v>21.233280000000001</v>
      </c>
      <c r="P10163">
        <v>25.833269999999999</v>
      </c>
      <c r="Q10163">
        <v>26.3</v>
      </c>
      <c r="R10163">
        <v>30.43328</v>
      </c>
      <c r="S10163">
        <v>25.833269999999999</v>
      </c>
      <c r="T10163">
        <v>1090</v>
      </c>
      <c r="U10163">
        <v>249</v>
      </c>
      <c r="V10163">
        <v>0</v>
      </c>
      <c r="W10163">
        <v>102</v>
      </c>
      <c r="X10163">
        <v>690</v>
      </c>
      <c r="Y10163">
        <v>0</v>
      </c>
      <c r="Z10163">
        <v>171</v>
      </c>
      <c r="AA10163">
        <v>690</v>
      </c>
      <c r="AB10163">
        <v>2.9920200000000001</v>
      </c>
      <c r="AC10163">
        <v>4.3827810000000002E-2</v>
      </c>
      <c r="AD10163">
        <v>1.0625180000000001</v>
      </c>
      <c r="AE10163">
        <v>0.54829819999999996</v>
      </c>
      <c r="AF10163">
        <v>231.32239999999999</v>
      </c>
      <c r="AG10163">
        <f>IFERROR(AH10163*0.1, "N/A")</f>
        <v>6.6090119999999999</v>
      </c>
      <c r="AH10163">
        <v>66.090119999999999</v>
      </c>
      <c r="AI10163">
        <v>108.0637</v>
      </c>
      <c r="AJ10163">
        <v>28.242629999999998</v>
      </c>
      <c r="AK10163">
        <v>45.537260000000003</v>
      </c>
    </row>
    <row r="10164" spans="1:37" x14ac:dyDescent="0.3">
      <c r="A10164">
        <v>10163</v>
      </c>
      <c r="B10164">
        <v>3</v>
      </c>
      <c r="C10164">
        <v>14.183299999999999</v>
      </c>
      <c r="D10164">
        <v>8.6722199999999994</v>
      </c>
      <c r="E10164" t="s">
        <v>15349</v>
      </c>
      <c r="F10164" t="s">
        <v>15351</v>
      </c>
      <c r="G10164" t="s">
        <v>37</v>
      </c>
      <c r="H10164">
        <v>1990</v>
      </c>
      <c r="I10164">
        <v>27.43328</v>
      </c>
      <c r="J10164">
        <v>12.7</v>
      </c>
      <c r="K10164">
        <v>59</v>
      </c>
      <c r="L10164">
        <v>19.593350000000001</v>
      </c>
      <c r="M10164">
        <v>38.233280000000001</v>
      </c>
      <c r="N10164">
        <v>17</v>
      </c>
      <c r="O10164">
        <v>21.233280000000001</v>
      </c>
      <c r="P10164">
        <v>25.833269999999999</v>
      </c>
      <c r="Q10164">
        <v>26.3</v>
      </c>
      <c r="R10164">
        <v>30.43328</v>
      </c>
      <c r="S10164">
        <v>25.833269999999999</v>
      </c>
      <c r="T10164">
        <v>1090</v>
      </c>
      <c r="U10164">
        <v>249</v>
      </c>
      <c r="V10164">
        <v>0</v>
      </c>
      <c r="W10164">
        <v>102</v>
      </c>
      <c r="X10164">
        <v>690</v>
      </c>
      <c r="Y10164">
        <v>0</v>
      </c>
      <c r="Z10164">
        <v>171</v>
      </c>
      <c r="AA10164">
        <v>690</v>
      </c>
      <c r="AB10164">
        <v>2.9920200000000001</v>
      </c>
      <c r="AC10164">
        <v>4.3827810000000002E-2</v>
      </c>
      <c r="AD10164">
        <v>1.0625180000000001</v>
      </c>
      <c r="AE10164">
        <v>0.54829819999999996</v>
      </c>
      <c r="AF10164">
        <v>231.32239999999999</v>
      </c>
      <c r="AG10164">
        <f>IFERROR(AH10164*0.1, "N/A")</f>
        <v>6.6090119999999999</v>
      </c>
      <c r="AH10164">
        <v>66.090119999999999</v>
      </c>
      <c r="AI10164">
        <v>108.0637</v>
      </c>
      <c r="AJ10164">
        <v>28.242629999999998</v>
      </c>
      <c r="AK10164">
        <v>45.537260000000003</v>
      </c>
    </row>
    <row r="10165" spans="1:37" x14ac:dyDescent="0.3">
      <c r="A10165">
        <v>10164</v>
      </c>
      <c r="B10165">
        <v>0</v>
      </c>
      <c r="C10165">
        <v>14.183299999999999</v>
      </c>
      <c r="D10165">
        <v>8.6722199999999994</v>
      </c>
      <c r="E10165" t="s">
        <v>15349</v>
      </c>
      <c r="F10165" t="s">
        <v>15352</v>
      </c>
      <c r="G10165" t="s">
        <v>2420</v>
      </c>
      <c r="H10165">
        <v>1990</v>
      </c>
      <c r="I10165">
        <v>27.43328</v>
      </c>
      <c r="J10165">
        <v>12.7</v>
      </c>
      <c r="K10165">
        <v>59</v>
      </c>
      <c r="L10165">
        <v>19.593350000000001</v>
      </c>
      <c r="M10165">
        <v>38.233280000000001</v>
      </c>
      <c r="N10165">
        <v>17</v>
      </c>
      <c r="O10165">
        <v>21.233280000000001</v>
      </c>
      <c r="P10165">
        <v>25.833269999999999</v>
      </c>
      <c r="Q10165">
        <v>26.3</v>
      </c>
      <c r="R10165">
        <v>30.43328</v>
      </c>
      <c r="S10165">
        <v>25.833269999999999</v>
      </c>
      <c r="T10165">
        <v>1090</v>
      </c>
      <c r="U10165">
        <v>249</v>
      </c>
      <c r="V10165">
        <v>0</v>
      </c>
      <c r="W10165">
        <v>102</v>
      </c>
      <c r="X10165">
        <v>690</v>
      </c>
      <c r="Y10165">
        <v>0</v>
      </c>
      <c r="Z10165">
        <v>171</v>
      </c>
      <c r="AA10165">
        <v>690</v>
      </c>
      <c r="AB10165">
        <v>2.9920200000000001</v>
      </c>
      <c r="AC10165">
        <v>4.3827810000000002E-2</v>
      </c>
      <c r="AD10165">
        <v>1.0625180000000001</v>
      </c>
      <c r="AE10165">
        <v>0.54829819999999996</v>
      </c>
      <c r="AF10165">
        <v>231.32239999999999</v>
      </c>
      <c r="AG10165">
        <f>IFERROR(AH10165*0.1, "N/A")</f>
        <v>6.6090119999999999</v>
      </c>
      <c r="AH10165">
        <v>66.090119999999999</v>
      </c>
      <c r="AI10165">
        <v>108.0637</v>
      </c>
      <c r="AJ10165">
        <v>28.242629999999998</v>
      </c>
      <c r="AK10165">
        <v>45.537260000000003</v>
      </c>
    </row>
    <row r="10166" spans="1:37" x14ac:dyDescent="0.3">
      <c r="A10166">
        <v>10165</v>
      </c>
      <c r="B10166">
        <v>12.2</v>
      </c>
      <c r="C10166">
        <v>14.15</v>
      </c>
      <c r="D10166">
        <v>8.7583300000000008</v>
      </c>
      <c r="E10166" t="s">
        <v>15353</v>
      </c>
      <c r="F10166" t="s">
        <v>15354</v>
      </c>
      <c r="G10166" t="s">
        <v>39</v>
      </c>
      <c r="H10166">
        <v>1990</v>
      </c>
      <c r="I10166">
        <v>27.5</v>
      </c>
      <c r="J10166">
        <v>12.7</v>
      </c>
      <c r="K10166">
        <v>59</v>
      </c>
      <c r="L10166">
        <v>20.08756</v>
      </c>
      <c r="M10166">
        <v>38.4</v>
      </c>
      <c r="N10166">
        <v>17.100000000000001</v>
      </c>
      <c r="O10166">
        <v>21.3</v>
      </c>
      <c r="P10166">
        <v>25.9</v>
      </c>
      <c r="Q10166">
        <v>26.4</v>
      </c>
      <c r="R10166">
        <v>30.622450000000001</v>
      </c>
      <c r="S10166">
        <v>25.9</v>
      </c>
      <c r="T10166">
        <v>1062.1610000000001</v>
      </c>
      <c r="U10166">
        <v>244.6891</v>
      </c>
      <c r="V10166">
        <v>0</v>
      </c>
      <c r="W10166">
        <v>102.6891</v>
      </c>
      <c r="X10166">
        <v>675.86869999999999</v>
      </c>
      <c r="Y10166">
        <v>0</v>
      </c>
      <c r="Z10166">
        <v>164.6028</v>
      </c>
      <c r="AA10166">
        <v>675.86869999999999</v>
      </c>
      <c r="AB10166">
        <v>3.6960259999999998</v>
      </c>
      <c r="AC10166">
        <v>8.8004139999999995E-3</v>
      </c>
      <c r="AD10166">
        <v>1.29186</v>
      </c>
      <c r="AE10166">
        <v>0.47539090000000001</v>
      </c>
      <c r="AF10166">
        <v>222.32470000000001</v>
      </c>
      <c r="AG10166">
        <f>IFERROR(AH10166*0.1, "N/A")</f>
        <v>6.6388600000000002</v>
      </c>
      <c r="AH10166">
        <v>66.388599999999997</v>
      </c>
      <c r="AI10166">
        <v>240.21619999999999</v>
      </c>
      <c r="AJ10166">
        <v>35</v>
      </c>
      <c r="AK10166">
        <v>39.645940000000003</v>
      </c>
    </row>
    <row r="10167" spans="1:37" x14ac:dyDescent="0.3">
      <c r="A10167">
        <v>10166</v>
      </c>
      <c r="B10167">
        <v>10.9</v>
      </c>
      <c r="C10167">
        <v>14.15</v>
      </c>
      <c r="D10167">
        <v>8.7583300000000008</v>
      </c>
      <c r="E10167" t="s">
        <v>15353</v>
      </c>
      <c r="F10167" t="s">
        <v>15355</v>
      </c>
      <c r="G10167" t="s">
        <v>37</v>
      </c>
      <c r="H10167">
        <v>1990</v>
      </c>
      <c r="I10167">
        <v>27.5</v>
      </c>
      <c r="J10167">
        <v>12.7</v>
      </c>
      <c r="K10167">
        <v>59</v>
      </c>
      <c r="L10167">
        <v>20.08756</v>
      </c>
      <c r="M10167">
        <v>38.4</v>
      </c>
      <c r="N10167">
        <v>17.100000000000001</v>
      </c>
      <c r="O10167">
        <v>21.3</v>
      </c>
      <c r="P10167">
        <v>25.9</v>
      </c>
      <c r="Q10167">
        <v>26.4</v>
      </c>
      <c r="R10167">
        <v>30.622450000000001</v>
      </c>
      <c r="S10167">
        <v>25.9</v>
      </c>
      <c r="T10167">
        <v>1062.1610000000001</v>
      </c>
      <c r="U10167">
        <v>244.6891</v>
      </c>
      <c r="V10167">
        <v>0</v>
      </c>
      <c r="W10167">
        <v>102.6891</v>
      </c>
      <c r="X10167">
        <v>675.86869999999999</v>
      </c>
      <c r="Y10167">
        <v>0</v>
      </c>
      <c r="Z10167">
        <v>164.6028</v>
      </c>
      <c r="AA10167">
        <v>675.86869999999999</v>
      </c>
      <c r="AB10167">
        <v>3.6960259999999998</v>
      </c>
      <c r="AC10167">
        <v>8.8004139999999995E-3</v>
      </c>
      <c r="AD10167">
        <v>1.29186</v>
      </c>
      <c r="AE10167">
        <v>0.47539090000000001</v>
      </c>
      <c r="AF10167">
        <v>222.32470000000001</v>
      </c>
      <c r="AG10167">
        <f>IFERROR(AH10167*0.1, "N/A")</f>
        <v>6.6388600000000002</v>
      </c>
      <c r="AH10167">
        <v>66.388599999999997</v>
      </c>
      <c r="AI10167">
        <v>240.21619999999999</v>
      </c>
      <c r="AJ10167">
        <v>35</v>
      </c>
      <c r="AK10167">
        <v>39.645940000000003</v>
      </c>
    </row>
    <row r="10168" spans="1:37" x14ac:dyDescent="0.3">
      <c r="A10168">
        <v>10167</v>
      </c>
      <c r="B10168">
        <v>0</v>
      </c>
      <c r="C10168">
        <v>14.15</v>
      </c>
      <c r="D10168">
        <v>8.7583300000000008</v>
      </c>
      <c r="E10168" t="s">
        <v>15353</v>
      </c>
      <c r="F10168" t="s">
        <v>15356</v>
      </c>
      <c r="G10168" t="s">
        <v>2420</v>
      </c>
      <c r="H10168">
        <v>1990</v>
      </c>
      <c r="I10168">
        <v>27.5</v>
      </c>
      <c r="J10168">
        <v>12.7</v>
      </c>
      <c r="K10168">
        <v>59</v>
      </c>
      <c r="L10168">
        <v>20.08756</v>
      </c>
      <c r="M10168">
        <v>38.4</v>
      </c>
      <c r="N10168">
        <v>17.100000000000001</v>
      </c>
      <c r="O10168">
        <v>21.3</v>
      </c>
      <c r="P10168">
        <v>25.9</v>
      </c>
      <c r="Q10168">
        <v>26.4</v>
      </c>
      <c r="R10168">
        <v>30.622450000000001</v>
      </c>
      <c r="S10168">
        <v>25.9</v>
      </c>
      <c r="T10168">
        <v>1062.1610000000001</v>
      </c>
      <c r="U10168">
        <v>244.6891</v>
      </c>
      <c r="V10168">
        <v>0</v>
      </c>
      <c r="W10168">
        <v>102.6891</v>
      </c>
      <c r="X10168">
        <v>675.86869999999999</v>
      </c>
      <c r="Y10168">
        <v>0</v>
      </c>
      <c r="Z10168">
        <v>164.6028</v>
      </c>
      <c r="AA10168">
        <v>675.86869999999999</v>
      </c>
      <c r="AB10168">
        <v>3.6960259999999998</v>
      </c>
      <c r="AC10168">
        <v>8.8004139999999995E-3</v>
      </c>
      <c r="AD10168">
        <v>1.29186</v>
      </c>
      <c r="AE10168">
        <v>0.47539090000000001</v>
      </c>
      <c r="AF10168">
        <v>222.32470000000001</v>
      </c>
      <c r="AG10168">
        <f>IFERROR(AH10168*0.1, "N/A")</f>
        <v>6.6388600000000002</v>
      </c>
      <c r="AH10168">
        <v>66.388599999999997</v>
      </c>
      <c r="AI10168">
        <v>240.21619999999999</v>
      </c>
      <c r="AJ10168">
        <v>35</v>
      </c>
      <c r="AK10168">
        <v>39.645940000000003</v>
      </c>
    </row>
    <row r="10169" spans="1:37" x14ac:dyDescent="0.3">
      <c r="A10169">
        <v>10168</v>
      </c>
      <c r="B10169">
        <v>44.4</v>
      </c>
      <c r="C10169">
        <v>13.179</v>
      </c>
      <c r="D10169">
        <v>9.0190000000000001</v>
      </c>
      <c r="E10169" t="s">
        <v>15357</v>
      </c>
      <c r="F10169" t="s">
        <v>15358</v>
      </c>
      <c r="G10169" t="s">
        <v>39</v>
      </c>
      <c r="H10169">
        <v>1987</v>
      </c>
      <c r="I10169">
        <v>27.5</v>
      </c>
      <c r="J10169">
        <v>12.9</v>
      </c>
      <c r="K10169">
        <v>59</v>
      </c>
      <c r="L10169">
        <v>20.9</v>
      </c>
      <c r="M10169">
        <v>38.6</v>
      </c>
      <c r="N10169">
        <v>17</v>
      </c>
      <c r="O10169">
        <v>21.6</v>
      </c>
      <c r="P10169">
        <v>25.7</v>
      </c>
      <c r="Q10169">
        <v>26.6</v>
      </c>
      <c r="R10169">
        <v>30.7</v>
      </c>
      <c r="S10169">
        <v>25.7</v>
      </c>
      <c r="T10169">
        <v>1103</v>
      </c>
      <c r="U10169">
        <v>242</v>
      </c>
      <c r="V10169">
        <v>0</v>
      </c>
      <c r="W10169">
        <v>100</v>
      </c>
      <c r="X10169">
        <v>676</v>
      </c>
      <c r="Y10169">
        <v>0</v>
      </c>
      <c r="Z10169">
        <v>187</v>
      </c>
      <c r="AA10169">
        <v>676</v>
      </c>
      <c r="AB10169">
        <v>0.46013680000000001</v>
      </c>
      <c r="AC10169">
        <v>0.97017169999999997</v>
      </c>
      <c r="AD10169">
        <v>1.3682350000000001</v>
      </c>
      <c r="AE10169">
        <v>0.66064270000000003</v>
      </c>
      <c r="AF10169">
        <v>201.45580000000001</v>
      </c>
      <c r="AG10169">
        <f>IFERROR(AH10169*0.1, "N/A")</f>
        <v>6.5</v>
      </c>
      <c r="AH10169">
        <v>65</v>
      </c>
      <c r="AI10169">
        <v>212.22730000000001</v>
      </c>
      <c r="AJ10169">
        <v>25.34835</v>
      </c>
      <c r="AK10169">
        <v>51.393410000000003</v>
      </c>
    </row>
    <row r="10170" spans="1:37" x14ac:dyDescent="0.3">
      <c r="A10170">
        <v>10169</v>
      </c>
      <c r="B10170">
        <v>36</v>
      </c>
      <c r="C10170">
        <v>14.2278</v>
      </c>
      <c r="D10170">
        <v>9.0222200000000008</v>
      </c>
      <c r="E10170" t="s">
        <v>15359</v>
      </c>
      <c r="F10170" t="s">
        <v>15360</v>
      </c>
      <c r="G10170" t="s">
        <v>39</v>
      </c>
      <c r="H10170">
        <v>1990</v>
      </c>
      <c r="I10170">
        <v>27.4</v>
      </c>
      <c r="J10170">
        <v>12.7</v>
      </c>
      <c r="K10170">
        <v>59</v>
      </c>
      <c r="L10170">
        <v>20.79</v>
      </c>
      <c r="M10170">
        <v>38.5</v>
      </c>
      <c r="N10170">
        <v>17.2</v>
      </c>
      <c r="O10170">
        <v>21.3</v>
      </c>
      <c r="P10170">
        <v>25.6</v>
      </c>
      <c r="Q10170">
        <v>26.4</v>
      </c>
      <c r="R10170">
        <v>30.6</v>
      </c>
      <c r="S10170">
        <v>25.6</v>
      </c>
      <c r="T10170">
        <v>963</v>
      </c>
      <c r="U10170">
        <v>232</v>
      </c>
      <c r="V10170">
        <v>0</v>
      </c>
      <c r="W10170">
        <v>105</v>
      </c>
      <c r="X10170">
        <v>629</v>
      </c>
      <c r="Y10170">
        <v>0</v>
      </c>
      <c r="Z10170">
        <v>141</v>
      </c>
      <c r="AA10170">
        <v>629</v>
      </c>
      <c r="AB10170">
        <v>17.270520000000001</v>
      </c>
      <c r="AC10170">
        <v>3.8610159999999998E-2</v>
      </c>
      <c r="AD10170">
        <v>1.4657659999999999</v>
      </c>
      <c r="AE10170">
        <v>0.63219669999999994</v>
      </c>
      <c r="AF10170">
        <v>288.18790000000001</v>
      </c>
      <c r="AG10170">
        <f>IFERROR(AH10170*0.1, "N/A")</f>
        <v>6.5413790000000009</v>
      </c>
      <c r="AH10170">
        <v>65.413790000000006</v>
      </c>
      <c r="AI10170">
        <v>131.77160000000001</v>
      </c>
      <c r="AJ10170">
        <v>15.137930000000001</v>
      </c>
      <c r="AK10170">
        <v>67.724140000000006</v>
      </c>
    </row>
    <row r="10171" spans="1:37" x14ac:dyDescent="0.3">
      <c r="A10171">
        <v>10170</v>
      </c>
      <c r="B10171">
        <v>16.7</v>
      </c>
      <c r="C10171">
        <v>14.2278</v>
      </c>
      <c r="D10171">
        <v>9.0222200000000008</v>
      </c>
      <c r="E10171" t="s">
        <v>15359</v>
      </c>
      <c r="F10171" t="s">
        <v>15361</v>
      </c>
      <c r="G10171" t="s">
        <v>37</v>
      </c>
      <c r="H10171">
        <v>1990</v>
      </c>
      <c r="I10171">
        <v>27.4</v>
      </c>
      <c r="J10171">
        <v>12.7</v>
      </c>
      <c r="K10171">
        <v>59</v>
      </c>
      <c r="L10171">
        <v>20.79</v>
      </c>
      <c r="M10171">
        <v>38.5</v>
      </c>
      <c r="N10171">
        <v>17.2</v>
      </c>
      <c r="O10171">
        <v>21.3</v>
      </c>
      <c r="P10171">
        <v>25.6</v>
      </c>
      <c r="Q10171">
        <v>26.4</v>
      </c>
      <c r="R10171">
        <v>30.6</v>
      </c>
      <c r="S10171">
        <v>25.6</v>
      </c>
      <c r="T10171">
        <v>963</v>
      </c>
      <c r="U10171">
        <v>232</v>
      </c>
      <c r="V10171">
        <v>0</v>
      </c>
      <c r="W10171">
        <v>105</v>
      </c>
      <c r="X10171">
        <v>629</v>
      </c>
      <c r="Y10171">
        <v>0</v>
      </c>
      <c r="Z10171">
        <v>141</v>
      </c>
      <c r="AA10171">
        <v>629</v>
      </c>
      <c r="AB10171">
        <v>17.270520000000001</v>
      </c>
      <c r="AC10171">
        <v>3.8610159999999998E-2</v>
      </c>
      <c r="AD10171">
        <v>1.4657659999999999</v>
      </c>
      <c r="AE10171">
        <v>0.63219669999999994</v>
      </c>
      <c r="AF10171">
        <v>288.18790000000001</v>
      </c>
      <c r="AG10171">
        <f>IFERROR(AH10171*0.1, "N/A")</f>
        <v>6.5413790000000009</v>
      </c>
      <c r="AH10171">
        <v>65.413790000000006</v>
      </c>
      <c r="AI10171">
        <v>131.77160000000001</v>
      </c>
      <c r="AJ10171">
        <v>15.137930000000001</v>
      </c>
      <c r="AK10171">
        <v>67.724140000000006</v>
      </c>
    </row>
    <row r="10172" spans="1:37" x14ac:dyDescent="0.3">
      <c r="A10172">
        <v>10171</v>
      </c>
      <c r="B10172">
        <v>0</v>
      </c>
      <c r="C10172">
        <v>14.2278</v>
      </c>
      <c r="D10172">
        <v>9.0222200000000008</v>
      </c>
      <c r="E10172" t="s">
        <v>15359</v>
      </c>
      <c r="F10172" t="s">
        <v>15362</v>
      </c>
      <c r="G10172" t="s">
        <v>2420</v>
      </c>
      <c r="H10172">
        <v>1990</v>
      </c>
      <c r="I10172">
        <v>27.4</v>
      </c>
      <c r="J10172">
        <v>12.7</v>
      </c>
      <c r="K10172">
        <v>59</v>
      </c>
      <c r="L10172">
        <v>20.79</v>
      </c>
      <c r="M10172">
        <v>38.5</v>
      </c>
      <c r="N10172">
        <v>17.2</v>
      </c>
      <c r="O10172">
        <v>21.3</v>
      </c>
      <c r="P10172">
        <v>25.6</v>
      </c>
      <c r="Q10172">
        <v>26.4</v>
      </c>
      <c r="R10172">
        <v>30.6</v>
      </c>
      <c r="S10172">
        <v>25.6</v>
      </c>
      <c r="T10172">
        <v>963</v>
      </c>
      <c r="U10172">
        <v>232</v>
      </c>
      <c r="V10172">
        <v>0</v>
      </c>
      <c r="W10172">
        <v>105</v>
      </c>
      <c r="X10172">
        <v>629</v>
      </c>
      <c r="Y10172">
        <v>0</v>
      </c>
      <c r="Z10172">
        <v>141</v>
      </c>
      <c r="AA10172">
        <v>629</v>
      </c>
      <c r="AB10172">
        <v>17.270520000000001</v>
      </c>
      <c r="AC10172">
        <v>3.8610159999999998E-2</v>
      </c>
      <c r="AD10172">
        <v>1.4657659999999999</v>
      </c>
      <c r="AE10172">
        <v>0.63219669999999994</v>
      </c>
      <c r="AF10172">
        <v>288.18790000000001</v>
      </c>
      <c r="AG10172">
        <f>IFERROR(AH10172*0.1, "N/A")</f>
        <v>6.5413790000000009</v>
      </c>
      <c r="AH10172">
        <v>65.413790000000006</v>
      </c>
      <c r="AI10172">
        <v>131.77160000000001</v>
      </c>
      <c r="AJ10172">
        <v>15.137930000000001</v>
      </c>
      <c r="AK10172">
        <v>67.724140000000006</v>
      </c>
    </row>
    <row r="10173" spans="1:37" x14ac:dyDescent="0.3">
      <c r="A10173">
        <v>10172</v>
      </c>
      <c r="B10173">
        <v>17.8</v>
      </c>
      <c r="C10173">
        <v>13.694599999999999</v>
      </c>
      <c r="D10173">
        <v>9.06996</v>
      </c>
      <c r="E10173" t="s">
        <v>15363</v>
      </c>
      <c r="F10173" t="s">
        <v>15364</v>
      </c>
      <c r="G10173" t="s">
        <v>39</v>
      </c>
      <c r="H10173">
        <v>1995</v>
      </c>
      <c r="I10173">
        <v>27.6</v>
      </c>
      <c r="J10173">
        <v>12.8</v>
      </c>
      <c r="K10173">
        <v>59</v>
      </c>
      <c r="L10173">
        <v>21.81</v>
      </c>
      <c r="M10173">
        <v>38.9</v>
      </c>
      <c r="N10173">
        <v>17.399999999999999</v>
      </c>
      <c r="O10173">
        <v>21.5</v>
      </c>
      <c r="P10173">
        <v>25.6</v>
      </c>
      <c r="Q10173">
        <v>26.8</v>
      </c>
      <c r="R10173">
        <v>30.9</v>
      </c>
      <c r="S10173">
        <v>25.6</v>
      </c>
      <c r="T10173">
        <v>1029</v>
      </c>
      <c r="U10173">
        <v>237</v>
      </c>
      <c r="V10173">
        <v>0</v>
      </c>
      <c r="W10173">
        <v>103</v>
      </c>
      <c r="X10173">
        <v>648</v>
      </c>
      <c r="Y10173">
        <v>0</v>
      </c>
      <c r="Z10173">
        <v>163</v>
      </c>
      <c r="AA10173">
        <v>648</v>
      </c>
      <c r="AB10173">
        <v>8.6361600000000003</v>
      </c>
      <c r="AC10173">
        <v>8.4430870000000002E-3</v>
      </c>
      <c r="AD10173">
        <v>1.3967020000000001</v>
      </c>
      <c r="AE10173">
        <v>0.50134880000000004</v>
      </c>
      <c r="AF10173">
        <v>195.20930000000001</v>
      </c>
      <c r="AG10173">
        <f>IFERROR(AH10173*0.1, "N/A")</f>
        <v>6.4155709999999999</v>
      </c>
      <c r="AH10173">
        <v>64.155709999999999</v>
      </c>
      <c r="AI10173">
        <v>126.8224</v>
      </c>
      <c r="AJ10173">
        <v>32.716259999999998</v>
      </c>
      <c r="AK10173">
        <v>43.003459999999997</v>
      </c>
    </row>
    <row r="10174" spans="1:37" x14ac:dyDescent="0.3">
      <c r="A10174">
        <v>10173</v>
      </c>
      <c r="B10174">
        <v>23.2</v>
      </c>
      <c r="C10174">
        <v>13.6942</v>
      </c>
      <c r="D10174">
        <v>9.0710499999999996</v>
      </c>
      <c r="E10174" t="s">
        <v>15365</v>
      </c>
      <c r="F10174" t="s">
        <v>15366</v>
      </c>
      <c r="G10174" t="s">
        <v>37</v>
      </c>
      <c r="H10174">
        <v>2003</v>
      </c>
      <c r="I10174">
        <v>27.6</v>
      </c>
      <c r="J10174">
        <v>12.8</v>
      </c>
      <c r="K10174">
        <v>59</v>
      </c>
      <c r="L10174">
        <v>21.81</v>
      </c>
      <c r="M10174">
        <v>38.9</v>
      </c>
      <c r="N10174">
        <v>17.399999999999999</v>
      </c>
      <c r="O10174">
        <v>21.5</v>
      </c>
      <c r="P10174">
        <v>25.6</v>
      </c>
      <c r="Q10174">
        <v>26.8</v>
      </c>
      <c r="R10174">
        <v>30.9</v>
      </c>
      <c r="S10174">
        <v>25.6</v>
      </c>
      <c r="T10174">
        <v>1029</v>
      </c>
      <c r="U10174">
        <v>237</v>
      </c>
      <c r="V10174">
        <v>0</v>
      </c>
      <c r="W10174">
        <v>103</v>
      </c>
      <c r="X10174">
        <v>648</v>
      </c>
      <c r="Y10174">
        <v>0</v>
      </c>
      <c r="Z10174">
        <v>163</v>
      </c>
      <c r="AA10174">
        <v>648</v>
      </c>
      <c r="AB10174">
        <v>9.5224449999999994</v>
      </c>
      <c r="AC10174">
        <v>1.0557469999999999E-2</v>
      </c>
      <c r="AD10174">
        <v>1.9749270000000001</v>
      </c>
      <c r="AE10174">
        <v>0.52010049999999997</v>
      </c>
      <c r="AF10174">
        <v>194.67529999999999</v>
      </c>
      <c r="AG10174">
        <f>IFERROR(AH10174*0.1, "N/A")</f>
        <v>6.5502590000000005</v>
      </c>
      <c r="AH10174">
        <v>65.502589999999998</v>
      </c>
      <c r="AI10174">
        <v>135.25700000000001</v>
      </c>
      <c r="AJ10174">
        <v>33.476680000000002</v>
      </c>
      <c r="AK10174">
        <v>41.53022</v>
      </c>
    </row>
    <row r="10175" spans="1:37" x14ac:dyDescent="0.3">
      <c r="A10175">
        <v>10174</v>
      </c>
      <c r="B10175">
        <v>78.8</v>
      </c>
      <c r="C10175">
        <v>13.6942</v>
      </c>
      <c r="D10175">
        <v>9.0710499999999996</v>
      </c>
      <c r="E10175" t="s">
        <v>15365</v>
      </c>
      <c r="F10175" t="s">
        <v>15367</v>
      </c>
      <c r="G10175" t="s">
        <v>39</v>
      </c>
      <c r="H10175">
        <v>2003</v>
      </c>
      <c r="I10175">
        <v>27.6</v>
      </c>
      <c r="J10175">
        <v>12.8</v>
      </c>
      <c r="K10175">
        <v>59</v>
      </c>
      <c r="L10175">
        <v>21.81</v>
      </c>
      <c r="M10175">
        <v>38.9</v>
      </c>
      <c r="N10175">
        <v>17.399999999999999</v>
      </c>
      <c r="O10175">
        <v>21.5</v>
      </c>
      <c r="P10175">
        <v>25.6</v>
      </c>
      <c r="Q10175">
        <v>26.8</v>
      </c>
      <c r="R10175">
        <v>30.9</v>
      </c>
      <c r="S10175">
        <v>25.6</v>
      </c>
      <c r="T10175">
        <v>1029</v>
      </c>
      <c r="U10175">
        <v>237</v>
      </c>
      <c r="V10175">
        <v>0</v>
      </c>
      <c r="W10175">
        <v>103</v>
      </c>
      <c r="X10175">
        <v>648</v>
      </c>
      <c r="Y10175">
        <v>0</v>
      </c>
      <c r="Z10175">
        <v>163</v>
      </c>
      <c r="AA10175">
        <v>648</v>
      </c>
      <c r="AB10175">
        <v>9.5224449999999994</v>
      </c>
      <c r="AC10175">
        <v>1.0557469999999999E-2</v>
      </c>
      <c r="AD10175">
        <v>1.9749270000000001</v>
      </c>
      <c r="AE10175">
        <v>0.52010049999999997</v>
      </c>
      <c r="AF10175">
        <v>194.67529999999999</v>
      </c>
      <c r="AG10175">
        <f>IFERROR(AH10175*0.1, "N/A")</f>
        <v>6.5502590000000005</v>
      </c>
      <c r="AH10175">
        <v>65.502589999999998</v>
      </c>
      <c r="AI10175">
        <v>135.25700000000001</v>
      </c>
      <c r="AJ10175">
        <v>33.476680000000002</v>
      </c>
      <c r="AK10175">
        <v>41.53022</v>
      </c>
    </row>
    <row r="10176" spans="1:37" x14ac:dyDescent="0.3">
      <c r="A10176">
        <v>10175</v>
      </c>
      <c r="B10176">
        <v>62.5</v>
      </c>
      <c r="C10176">
        <v>13.7204</v>
      </c>
      <c r="D10176">
        <v>9.0978499999999993</v>
      </c>
      <c r="E10176" t="s">
        <v>15368</v>
      </c>
      <c r="F10176" t="s">
        <v>15369</v>
      </c>
      <c r="G10176" t="s">
        <v>37</v>
      </c>
      <c r="H10176">
        <v>2003</v>
      </c>
      <c r="I10176">
        <v>27.6</v>
      </c>
      <c r="J10176">
        <v>12.8</v>
      </c>
      <c r="K10176">
        <v>59</v>
      </c>
      <c r="L10176">
        <v>21.9</v>
      </c>
      <c r="M10176">
        <v>39</v>
      </c>
      <c r="N10176">
        <v>17.5</v>
      </c>
      <c r="O10176">
        <v>21.5</v>
      </c>
      <c r="P10176">
        <v>25.6</v>
      </c>
      <c r="Q10176">
        <v>26.8</v>
      </c>
      <c r="R10176">
        <v>31</v>
      </c>
      <c r="S10176">
        <v>25.6</v>
      </c>
      <c r="T10176">
        <v>1015</v>
      </c>
      <c r="U10176">
        <v>235</v>
      </c>
      <c r="V10176">
        <v>0</v>
      </c>
      <c r="W10176">
        <v>103</v>
      </c>
      <c r="X10176">
        <v>641</v>
      </c>
      <c r="Y10176">
        <v>0</v>
      </c>
      <c r="Z10176">
        <v>160</v>
      </c>
      <c r="AA10176">
        <v>641</v>
      </c>
      <c r="AB10176">
        <v>7.4660909999999996</v>
      </c>
      <c r="AC10176">
        <v>9.1435409999999998E-3</v>
      </c>
      <c r="AD10176">
        <v>1.2470380000000001</v>
      </c>
      <c r="AE10176">
        <v>0.67901999999999996</v>
      </c>
      <c r="AF10176">
        <v>201.68170000000001</v>
      </c>
      <c r="AG10176">
        <f>IFERROR(AH10176*0.1, "N/A")</f>
        <v>6.5096890000000007</v>
      </c>
      <c r="AH10176">
        <v>65.096890000000002</v>
      </c>
      <c r="AI10176">
        <v>242.4367</v>
      </c>
      <c r="AJ10176">
        <v>25</v>
      </c>
      <c r="AK10176">
        <v>50.688580000000002</v>
      </c>
    </row>
    <row r="10177" spans="1:37" x14ac:dyDescent="0.3">
      <c r="A10177">
        <v>10176</v>
      </c>
      <c r="B10177">
        <v>57.3</v>
      </c>
      <c r="C10177">
        <v>13.7204</v>
      </c>
      <c r="D10177">
        <v>9.0978499999999993</v>
      </c>
      <c r="E10177" t="s">
        <v>15368</v>
      </c>
      <c r="F10177" t="s">
        <v>15370</v>
      </c>
      <c r="G10177" t="s">
        <v>39</v>
      </c>
      <c r="H10177">
        <v>2003</v>
      </c>
      <c r="I10177">
        <v>27.6</v>
      </c>
      <c r="J10177">
        <v>12.8</v>
      </c>
      <c r="K10177">
        <v>59</v>
      </c>
      <c r="L10177">
        <v>21.9</v>
      </c>
      <c r="M10177">
        <v>39</v>
      </c>
      <c r="N10177">
        <v>17.5</v>
      </c>
      <c r="O10177">
        <v>21.5</v>
      </c>
      <c r="P10177">
        <v>25.6</v>
      </c>
      <c r="Q10177">
        <v>26.8</v>
      </c>
      <c r="R10177">
        <v>31</v>
      </c>
      <c r="S10177">
        <v>25.6</v>
      </c>
      <c r="T10177">
        <v>1015</v>
      </c>
      <c r="U10177">
        <v>235</v>
      </c>
      <c r="V10177">
        <v>0</v>
      </c>
      <c r="W10177">
        <v>103</v>
      </c>
      <c r="X10177">
        <v>641</v>
      </c>
      <c r="Y10177">
        <v>0</v>
      </c>
      <c r="Z10177">
        <v>160</v>
      </c>
      <c r="AA10177">
        <v>641</v>
      </c>
      <c r="AB10177">
        <v>7.4660909999999996</v>
      </c>
      <c r="AC10177">
        <v>9.1435409999999998E-3</v>
      </c>
      <c r="AD10177">
        <v>1.2470380000000001</v>
      </c>
      <c r="AE10177">
        <v>0.67901999999999996</v>
      </c>
      <c r="AF10177">
        <v>201.68170000000001</v>
      </c>
      <c r="AG10177">
        <f>IFERROR(AH10177*0.1, "N/A")</f>
        <v>6.5096890000000007</v>
      </c>
      <c r="AH10177">
        <v>65.096890000000002</v>
      </c>
      <c r="AI10177">
        <v>242.4367</v>
      </c>
      <c r="AJ10177">
        <v>25</v>
      </c>
      <c r="AK10177">
        <v>50.688580000000002</v>
      </c>
    </row>
    <row r="10178" spans="1:37" x14ac:dyDescent="0.3">
      <c r="A10178">
        <v>10177</v>
      </c>
      <c r="B10178">
        <v>1.4</v>
      </c>
      <c r="C10178">
        <v>13.716699999999999</v>
      </c>
      <c r="D10178">
        <v>9.1166699999999992</v>
      </c>
      <c r="E10178" t="s">
        <v>15371</v>
      </c>
      <c r="F10178" t="s">
        <v>15372</v>
      </c>
      <c r="G10178" t="s">
        <v>37</v>
      </c>
      <c r="H10178">
        <v>2003</v>
      </c>
      <c r="I10178">
        <v>27.643599999999999</v>
      </c>
      <c r="J10178">
        <v>12.8</v>
      </c>
      <c r="K10178">
        <v>59</v>
      </c>
      <c r="L10178">
        <v>21.864599999999999</v>
      </c>
      <c r="M10178">
        <v>39</v>
      </c>
      <c r="N10178">
        <v>17.5</v>
      </c>
      <c r="O10178">
        <v>21.5</v>
      </c>
      <c r="P10178">
        <v>25.62163</v>
      </c>
      <c r="Q10178">
        <v>26.8</v>
      </c>
      <c r="R10178">
        <v>31</v>
      </c>
      <c r="S10178">
        <v>25.62163</v>
      </c>
      <c r="T10178">
        <v>1009.962</v>
      </c>
      <c r="U10178">
        <v>234.7543</v>
      </c>
      <c r="V10178">
        <v>0</v>
      </c>
      <c r="W10178">
        <v>103</v>
      </c>
      <c r="X10178">
        <v>638.26300000000003</v>
      </c>
      <c r="Y10178">
        <v>0</v>
      </c>
      <c r="Z10178">
        <v>158.7543</v>
      </c>
      <c r="AA10178">
        <v>638.26300000000003</v>
      </c>
      <c r="AB10178">
        <v>1.2821910000000001</v>
      </c>
      <c r="AC10178">
        <v>6.4293489999999995E-2</v>
      </c>
      <c r="AD10178">
        <v>0.76215359999999999</v>
      </c>
      <c r="AE10178">
        <v>0.31436589999999998</v>
      </c>
      <c r="AF10178">
        <v>192.7561</v>
      </c>
      <c r="AG10178">
        <f>IFERROR(AH10178*0.1, "N/A")</f>
        <v>6.5788929999999999</v>
      </c>
      <c r="AH10178">
        <v>65.788929999999993</v>
      </c>
      <c r="AI10178">
        <v>140.04730000000001</v>
      </c>
      <c r="AJ10178">
        <v>29.278549999999999</v>
      </c>
      <c r="AK10178">
        <v>41.403109999999998</v>
      </c>
    </row>
    <row r="10179" spans="1:37" x14ac:dyDescent="0.3">
      <c r="A10179">
        <v>10178</v>
      </c>
      <c r="B10179">
        <v>81.400000000000006</v>
      </c>
      <c r="C10179">
        <v>13.716699999999999</v>
      </c>
      <c r="D10179">
        <v>9.1166699999999992</v>
      </c>
      <c r="E10179" t="s">
        <v>15371</v>
      </c>
      <c r="F10179" t="s">
        <v>15373</v>
      </c>
      <c r="G10179" t="s">
        <v>39</v>
      </c>
      <c r="H10179">
        <v>2003</v>
      </c>
      <c r="I10179">
        <v>27.643599999999999</v>
      </c>
      <c r="J10179">
        <v>12.8</v>
      </c>
      <c r="K10179">
        <v>59</v>
      </c>
      <c r="L10179">
        <v>21.864599999999999</v>
      </c>
      <c r="M10179">
        <v>39</v>
      </c>
      <c r="N10179">
        <v>17.5</v>
      </c>
      <c r="O10179">
        <v>21.5</v>
      </c>
      <c r="P10179">
        <v>25.62163</v>
      </c>
      <c r="Q10179">
        <v>26.8</v>
      </c>
      <c r="R10179">
        <v>31</v>
      </c>
      <c r="S10179">
        <v>25.62163</v>
      </c>
      <c r="T10179">
        <v>1009.962</v>
      </c>
      <c r="U10179">
        <v>234.7543</v>
      </c>
      <c r="V10179">
        <v>0</v>
      </c>
      <c r="W10179">
        <v>103</v>
      </c>
      <c r="X10179">
        <v>638.26300000000003</v>
      </c>
      <c r="Y10179">
        <v>0</v>
      </c>
      <c r="Z10179">
        <v>158.7543</v>
      </c>
      <c r="AA10179">
        <v>638.26300000000003</v>
      </c>
      <c r="AB10179">
        <v>1.2821910000000001</v>
      </c>
      <c r="AC10179">
        <v>6.4293489999999995E-2</v>
      </c>
      <c r="AD10179">
        <v>0.76215359999999999</v>
      </c>
      <c r="AE10179">
        <v>0.31436589999999998</v>
      </c>
      <c r="AF10179">
        <v>192.7561</v>
      </c>
      <c r="AG10179">
        <f>IFERROR(AH10179*0.1, "N/A")</f>
        <v>6.5788929999999999</v>
      </c>
      <c r="AH10179">
        <v>65.788929999999993</v>
      </c>
      <c r="AI10179">
        <v>140.04730000000001</v>
      </c>
      <c r="AJ10179">
        <v>29.278549999999999</v>
      </c>
      <c r="AK10179">
        <v>41.403109999999998</v>
      </c>
    </row>
    <row r="10180" spans="1:37" x14ac:dyDescent="0.3">
      <c r="A10180">
        <v>10179</v>
      </c>
      <c r="B10180">
        <v>3.8</v>
      </c>
      <c r="C10180">
        <v>13.6783</v>
      </c>
      <c r="D10180">
        <v>9.1222200000000004</v>
      </c>
      <c r="E10180" t="s">
        <v>15374</v>
      </c>
      <c r="F10180" t="s">
        <v>15375</v>
      </c>
      <c r="G10180" t="s">
        <v>37</v>
      </c>
      <c r="H10180">
        <v>2003</v>
      </c>
      <c r="I10180">
        <v>27.6</v>
      </c>
      <c r="J10180">
        <v>12.8</v>
      </c>
      <c r="K10180">
        <v>59</v>
      </c>
      <c r="L10180">
        <v>22.31</v>
      </c>
      <c r="M10180">
        <v>39.1</v>
      </c>
      <c r="N10180">
        <v>17.5</v>
      </c>
      <c r="O10180">
        <v>21.6</v>
      </c>
      <c r="P10180">
        <v>25.6</v>
      </c>
      <c r="Q10180">
        <v>26.8</v>
      </c>
      <c r="R10180">
        <v>31.1</v>
      </c>
      <c r="S10180">
        <v>25.6</v>
      </c>
      <c r="T10180">
        <v>1015</v>
      </c>
      <c r="U10180">
        <v>235</v>
      </c>
      <c r="V10180">
        <v>0</v>
      </c>
      <c r="W10180">
        <v>103</v>
      </c>
      <c r="X10180">
        <v>640</v>
      </c>
      <c r="Y10180">
        <v>0</v>
      </c>
      <c r="Z10180">
        <v>160</v>
      </c>
      <c r="AA10180">
        <v>640</v>
      </c>
      <c r="AB10180">
        <v>5.8861610000000004</v>
      </c>
      <c r="AC10180">
        <v>1.29111E-2</v>
      </c>
      <c r="AD10180">
        <v>1.77207</v>
      </c>
      <c r="AE10180">
        <v>0.67558569999999996</v>
      </c>
      <c r="AF10180">
        <v>192.85810000000001</v>
      </c>
      <c r="AG10180">
        <f>IFERROR(AH10180*0.1, "N/A")</f>
        <v>6.9</v>
      </c>
      <c r="AH10180">
        <v>69</v>
      </c>
      <c r="AI10180">
        <v>201.70529999999999</v>
      </c>
      <c r="AJ10180">
        <v>28.36505</v>
      </c>
      <c r="AK10180">
        <v>43</v>
      </c>
    </row>
    <row r="10181" spans="1:37" x14ac:dyDescent="0.3">
      <c r="A10181">
        <v>10180</v>
      </c>
      <c r="B10181">
        <v>88.8</v>
      </c>
      <c r="C10181">
        <v>13.6783</v>
      </c>
      <c r="D10181">
        <v>9.1222200000000004</v>
      </c>
      <c r="E10181" t="s">
        <v>15374</v>
      </c>
      <c r="F10181" t="s">
        <v>15376</v>
      </c>
      <c r="G10181" t="s">
        <v>39</v>
      </c>
      <c r="H10181">
        <v>2003</v>
      </c>
      <c r="I10181">
        <v>27.6</v>
      </c>
      <c r="J10181">
        <v>12.8</v>
      </c>
      <c r="K10181">
        <v>59</v>
      </c>
      <c r="L10181">
        <v>22.31</v>
      </c>
      <c r="M10181">
        <v>39.1</v>
      </c>
      <c r="N10181">
        <v>17.5</v>
      </c>
      <c r="O10181">
        <v>21.6</v>
      </c>
      <c r="P10181">
        <v>25.6</v>
      </c>
      <c r="Q10181">
        <v>26.8</v>
      </c>
      <c r="R10181">
        <v>31.1</v>
      </c>
      <c r="S10181">
        <v>25.6</v>
      </c>
      <c r="T10181">
        <v>1015</v>
      </c>
      <c r="U10181">
        <v>235</v>
      </c>
      <c r="V10181">
        <v>0</v>
      </c>
      <c r="W10181">
        <v>103</v>
      </c>
      <c r="X10181">
        <v>640</v>
      </c>
      <c r="Y10181">
        <v>0</v>
      </c>
      <c r="Z10181">
        <v>160</v>
      </c>
      <c r="AA10181">
        <v>640</v>
      </c>
      <c r="AB10181">
        <v>5.8861610000000004</v>
      </c>
      <c r="AC10181">
        <v>1.29111E-2</v>
      </c>
      <c r="AD10181">
        <v>1.77207</v>
      </c>
      <c r="AE10181">
        <v>0.67558569999999996</v>
      </c>
      <c r="AF10181">
        <v>192.85810000000001</v>
      </c>
      <c r="AG10181">
        <f>IFERROR(AH10181*0.1, "N/A")</f>
        <v>6.9</v>
      </c>
      <c r="AH10181">
        <v>69</v>
      </c>
      <c r="AI10181">
        <v>201.70529999999999</v>
      </c>
      <c r="AJ10181">
        <v>28.36505</v>
      </c>
      <c r="AK10181">
        <v>43</v>
      </c>
    </row>
    <row r="10182" spans="1:37" x14ac:dyDescent="0.3">
      <c r="A10182">
        <v>10181</v>
      </c>
      <c r="B10182">
        <v>53.3</v>
      </c>
      <c r="C10182">
        <v>13.746700000000001</v>
      </c>
      <c r="D10182">
        <v>9.125</v>
      </c>
      <c r="E10182" t="s">
        <v>15377</v>
      </c>
      <c r="F10182" t="s">
        <v>15378</v>
      </c>
      <c r="G10182" t="s">
        <v>37</v>
      </c>
      <c r="H10182">
        <v>2003</v>
      </c>
      <c r="I10182">
        <v>27.7</v>
      </c>
      <c r="J10182">
        <v>12.8</v>
      </c>
      <c r="K10182">
        <v>59</v>
      </c>
      <c r="L10182">
        <v>21.897749999999998</v>
      </c>
      <c r="M10182">
        <v>39</v>
      </c>
      <c r="N10182">
        <v>17.544370000000001</v>
      </c>
      <c r="O10182">
        <v>21.455629999999999</v>
      </c>
      <c r="P10182">
        <v>25.6</v>
      </c>
      <c r="Q10182">
        <v>26.844370000000001</v>
      </c>
      <c r="R10182">
        <v>31</v>
      </c>
      <c r="S10182">
        <v>25.6</v>
      </c>
      <c r="T10182">
        <v>1002.1130000000001</v>
      </c>
      <c r="U10182">
        <v>234</v>
      </c>
      <c r="V10182">
        <v>0</v>
      </c>
      <c r="W10182">
        <v>103</v>
      </c>
      <c r="X10182">
        <v>635</v>
      </c>
      <c r="Y10182">
        <v>0</v>
      </c>
      <c r="Z10182">
        <v>156.55629999999999</v>
      </c>
      <c r="AA10182">
        <v>635</v>
      </c>
      <c r="AB10182">
        <v>4.3457540000000003</v>
      </c>
      <c r="AC10182">
        <v>8.4418050000000001E-3</v>
      </c>
      <c r="AD10182">
        <v>0.59967369999999998</v>
      </c>
      <c r="AE10182">
        <v>0.6582732</v>
      </c>
      <c r="AF10182">
        <v>204.83189999999999</v>
      </c>
      <c r="AG10182">
        <f>IFERROR(AH10182*0.1, "N/A")</f>
        <v>6.8031199999999998</v>
      </c>
      <c r="AH10182">
        <v>68.031199999999998</v>
      </c>
      <c r="AI10182">
        <v>124.633</v>
      </c>
      <c r="AJ10182">
        <v>27.968800000000002</v>
      </c>
      <c r="AK10182">
        <v>45</v>
      </c>
    </row>
    <row r="10183" spans="1:37" x14ac:dyDescent="0.3">
      <c r="A10183">
        <v>10182</v>
      </c>
      <c r="B10183">
        <v>54.4</v>
      </c>
      <c r="C10183">
        <v>13.746700000000001</v>
      </c>
      <c r="D10183">
        <v>9.125</v>
      </c>
      <c r="E10183" t="s">
        <v>15377</v>
      </c>
      <c r="F10183" t="s">
        <v>15379</v>
      </c>
      <c r="G10183" t="s">
        <v>39</v>
      </c>
      <c r="H10183">
        <v>2003</v>
      </c>
      <c r="I10183">
        <v>27.7</v>
      </c>
      <c r="J10183">
        <v>12.8</v>
      </c>
      <c r="K10183">
        <v>59</v>
      </c>
      <c r="L10183">
        <v>21.897749999999998</v>
      </c>
      <c r="M10183">
        <v>39</v>
      </c>
      <c r="N10183">
        <v>17.544370000000001</v>
      </c>
      <c r="O10183">
        <v>21.455629999999999</v>
      </c>
      <c r="P10183">
        <v>25.6</v>
      </c>
      <c r="Q10183">
        <v>26.844370000000001</v>
      </c>
      <c r="R10183">
        <v>31</v>
      </c>
      <c r="S10183">
        <v>25.6</v>
      </c>
      <c r="T10183">
        <v>1002.1130000000001</v>
      </c>
      <c r="U10183">
        <v>234</v>
      </c>
      <c r="V10183">
        <v>0</v>
      </c>
      <c r="W10183">
        <v>103</v>
      </c>
      <c r="X10183">
        <v>635</v>
      </c>
      <c r="Y10183">
        <v>0</v>
      </c>
      <c r="Z10183">
        <v>156.55629999999999</v>
      </c>
      <c r="AA10183">
        <v>635</v>
      </c>
      <c r="AB10183">
        <v>4.3457540000000003</v>
      </c>
      <c r="AC10183">
        <v>8.4418050000000001E-3</v>
      </c>
      <c r="AD10183">
        <v>0.59967369999999998</v>
      </c>
      <c r="AE10183">
        <v>0.6582732</v>
      </c>
      <c r="AF10183">
        <v>204.83189999999999</v>
      </c>
      <c r="AG10183">
        <f>IFERROR(AH10183*0.1, "N/A")</f>
        <v>6.8031199999999998</v>
      </c>
      <c r="AH10183">
        <v>68.031199999999998</v>
      </c>
      <c r="AI10183">
        <v>124.633</v>
      </c>
      <c r="AJ10183">
        <v>27.968800000000002</v>
      </c>
      <c r="AK10183">
        <v>45</v>
      </c>
    </row>
    <row r="10184" spans="1:37" x14ac:dyDescent="0.3">
      <c r="A10184">
        <v>10183</v>
      </c>
      <c r="B10184">
        <v>3</v>
      </c>
      <c r="C10184">
        <v>13.777799999999999</v>
      </c>
      <c r="D10184">
        <v>9.1316699999999997</v>
      </c>
      <c r="E10184" t="s">
        <v>15380</v>
      </c>
      <c r="F10184" t="s">
        <v>15381</v>
      </c>
      <c r="G10184" t="s">
        <v>37</v>
      </c>
      <c r="H10184">
        <v>2003</v>
      </c>
      <c r="I10184">
        <v>27.6</v>
      </c>
      <c r="J10184">
        <v>12.8</v>
      </c>
      <c r="K10184">
        <v>59</v>
      </c>
      <c r="L10184">
        <v>21.7</v>
      </c>
      <c r="M10184">
        <v>38.9</v>
      </c>
      <c r="N10184">
        <v>17.5</v>
      </c>
      <c r="O10184">
        <v>21.4</v>
      </c>
      <c r="P10184">
        <v>25.6</v>
      </c>
      <c r="Q10184">
        <v>26.8</v>
      </c>
      <c r="R10184">
        <v>30.9</v>
      </c>
      <c r="S10184">
        <v>25.6</v>
      </c>
      <c r="T10184">
        <v>997</v>
      </c>
      <c r="U10184">
        <v>233</v>
      </c>
      <c r="V10184">
        <v>0</v>
      </c>
      <c r="W10184">
        <v>103</v>
      </c>
      <c r="X10184">
        <v>633</v>
      </c>
      <c r="Y10184">
        <v>0</v>
      </c>
      <c r="Z10184">
        <v>155</v>
      </c>
      <c r="AA10184">
        <v>633</v>
      </c>
      <c r="AB10184">
        <v>1.0870919999999999</v>
      </c>
      <c r="AC10184">
        <v>1.58483</v>
      </c>
      <c r="AD10184">
        <v>1.54036</v>
      </c>
      <c r="AE10184">
        <v>0.68149700000000002</v>
      </c>
      <c r="AF10184">
        <v>218.78659999999999</v>
      </c>
      <c r="AG10184">
        <f>IFERROR(AH10184*0.1, "N/A")</f>
        <v>6.7504300000000006</v>
      </c>
      <c r="AH10184">
        <v>67.504300000000001</v>
      </c>
      <c r="AI10184">
        <v>205.255</v>
      </c>
      <c r="AJ10184">
        <v>25.7074</v>
      </c>
      <c r="AK10184">
        <v>48.0809</v>
      </c>
    </row>
    <row r="10185" spans="1:37" x14ac:dyDescent="0.3">
      <c r="A10185">
        <v>10184</v>
      </c>
      <c r="B10185">
        <v>16.2</v>
      </c>
      <c r="C10185">
        <v>13.777799999999999</v>
      </c>
      <c r="D10185">
        <v>9.1316699999999997</v>
      </c>
      <c r="E10185" t="s">
        <v>15380</v>
      </c>
      <c r="F10185" t="s">
        <v>15382</v>
      </c>
      <c r="G10185" t="s">
        <v>39</v>
      </c>
      <c r="H10185">
        <v>2003</v>
      </c>
      <c r="I10185">
        <v>27.6</v>
      </c>
      <c r="J10185">
        <v>12.8</v>
      </c>
      <c r="K10185">
        <v>59</v>
      </c>
      <c r="L10185">
        <v>21.7</v>
      </c>
      <c r="M10185">
        <v>38.9</v>
      </c>
      <c r="N10185">
        <v>17.5</v>
      </c>
      <c r="O10185">
        <v>21.4</v>
      </c>
      <c r="P10185">
        <v>25.6</v>
      </c>
      <c r="Q10185">
        <v>26.8</v>
      </c>
      <c r="R10185">
        <v>30.9</v>
      </c>
      <c r="S10185">
        <v>25.6</v>
      </c>
      <c r="T10185">
        <v>997</v>
      </c>
      <c r="U10185">
        <v>233</v>
      </c>
      <c r="V10185">
        <v>0</v>
      </c>
      <c r="W10185">
        <v>103</v>
      </c>
      <c r="X10185">
        <v>633</v>
      </c>
      <c r="Y10185">
        <v>0</v>
      </c>
      <c r="Z10185">
        <v>155</v>
      </c>
      <c r="AA10185">
        <v>633</v>
      </c>
      <c r="AB10185">
        <v>1.0870919999999999</v>
      </c>
      <c r="AC10185">
        <v>1.58483</v>
      </c>
      <c r="AD10185">
        <v>1.54036</v>
      </c>
      <c r="AE10185">
        <v>0.68149700000000002</v>
      </c>
      <c r="AF10185">
        <v>218.78659999999999</v>
      </c>
      <c r="AG10185">
        <f>IFERROR(AH10185*0.1, "N/A")</f>
        <v>6.7504300000000006</v>
      </c>
      <c r="AH10185">
        <v>67.504300000000001</v>
      </c>
      <c r="AI10185">
        <v>205.255</v>
      </c>
      <c r="AJ10185">
        <v>25.7074</v>
      </c>
      <c r="AK10185">
        <v>48.0809</v>
      </c>
    </row>
    <row r="10186" spans="1:37" x14ac:dyDescent="0.3">
      <c r="A10186">
        <v>10185</v>
      </c>
      <c r="B10186">
        <v>60.9</v>
      </c>
      <c r="C10186">
        <v>13.716699999999999</v>
      </c>
      <c r="D10186">
        <v>9.1333300000000008</v>
      </c>
      <c r="E10186" t="s">
        <v>15383</v>
      </c>
      <c r="F10186" t="s">
        <v>15384</v>
      </c>
      <c r="G10186" t="s">
        <v>37</v>
      </c>
      <c r="H10186">
        <v>2003</v>
      </c>
      <c r="I10186">
        <v>27.7</v>
      </c>
      <c r="J10186">
        <v>12.8</v>
      </c>
      <c r="K10186">
        <v>59</v>
      </c>
      <c r="L10186">
        <v>22.036940000000001</v>
      </c>
      <c r="M10186">
        <v>39.1</v>
      </c>
      <c r="N10186">
        <v>17.570979999999999</v>
      </c>
      <c r="O10186">
        <v>21.529019999999999</v>
      </c>
      <c r="P10186">
        <v>25.715540000000001</v>
      </c>
      <c r="Q10186">
        <v>26.9</v>
      </c>
      <c r="R10186">
        <v>31.1</v>
      </c>
      <c r="S10186">
        <v>25.715540000000001</v>
      </c>
      <c r="T10186">
        <v>1001.938</v>
      </c>
      <c r="U10186">
        <v>233.5078</v>
      </c>
      <c r="V10186">
        <v>0</v>
      </c>
      <c r="W10186">
        <v>103</v>
      </c>
      <c r="X10186">
        <v>633.92229999999995</v>
      </c>
      <c r="Y10186">
        <v>0</v>
      </c>
      <c r="Z10186">
        <v>156.5078</v>
      </c>
      <c r="AA10186">
        <v>633.92229999999995</v>
      </c>
      <c r="AB10186">
        <v>4.1101910000000004</v>
      </c>
      <c r="AC10186">
        <v>8.4416200000000004E-3</v>
      </c>
      <c r="AD10186">
        <v>0.98510220000000004</v>
      </c>
      <c r="AE10186">
        <v>0.55949800000000005</v>
      </c>
      <c r="AF10186">
        <v>193.5181</v>
      </c>
      <c r="AG10186">
        <f>IFERROR(AH10186*0.1, "N/A")</f>
        <v>6.7435230000000006</v>
      </c>
      <c r="AH10186">
        <v>67.435230000000004</v>
      </c>
      <c r="AI10186">
        <v>112.38079999999999</v>
      </c>
      <c r="AJ10186">
        <v>28</v>
      </c>
      <c r="AK10186">
        <v>44.564770000000003</v>
      </c>
    </row>
    <row r="10187" spans="1:37" x14ac:dyDescent="0.3">
      <c r="A10187">
        <v>10186</v>
      </c>
      <c r="B10187">
        <v>77.2</v>
      </c>
      <c r="C10187">
        <v>13.716699999999999</v>
      </c>
      <c r="D10187">
        <v>9.1333300000000008</v>
      </c>
      <c r="E10187" t="s">
        <v>15383</v>
      </c>
      <c r="F10187" t="s">
        <v>15385</v>
      </c>
      <c r="G10187" t="s">
        <v>39</v>
      </c>
      <c r="H10187">
        <v>2003</v>
      </c>
      <c r="I10187">
        <v>27.7</v>
      </c>
      <c r="J10187">
        <v>12.8</v>
      </c>
      <c r="K10187">
        <v>59</v>
      </c>
      <c r="L10187">
        <v>22.036940000000001</v>
      </c>
      <c r="M10187">
        <v>39.1</v>
      </c>
      <c r="N10187">
        <v>17.570979999999999</v>
      </c>
      <c r="O10187">
        <v>21.529019999999999</v>
      </c>
      <c r="P10187">
        <v>25.715540000000001</v>
      </c>
      <c r="Q10187">
        <v>26.9</v>
      </c>
      <c r="R10187">
        <v>31.1</v>
      </c>
      <c r="S10187">
        <v>25.715540000000001</v>
      </c>
      <c r="T10187">
        <v>1001.938</v>
      </c>
      <c r="U10187">
        <v>233.5078</v>
      </c>
      <c r="V10187">
        <v>0</v>
      </c>
      <c r="W10187">
        <v>103</v>
      </c>
      <c r="X10187">
        <v>633.92229999999995</v>
      </c>
      <c r="Y10187">
        <v>0</v>
      </c>
      <c r="Z10187">
        <v>156.5078</v>
      </c>
      <c r="AA10187">
        <v>633.92229999999995</v>
      </c>
      <c r="AB10187">
        <v>4.1101910000000004</v>
      </c>
      <c r="AC10187">
        <v>8.4416200000000004E-3</v>
      </c>
      <c r="AD10187">
        <v>0.98510220000000004</v>
      </c>
      <c r="AE10187">
        <v>0.55949800000000005</v>
      </c>
      <c r="AF10187">
        <v>193.5181</v>
      </c>
      <c r="AG10187">
        <f>IFERROR(AH10187*0.1, "N/A")</f>
        <v>6.7435230000000006</v>
      </c>
      <c r="AH10187">
        <v>67.435230000000004</v>
      </c>
      <c r="AI10187">
        <v>112.38079999999999</v>
      </c>
      <c r="AJ10187">
        <v>28</v>
      </c>
      <c r="AK10187">
        <v>44.564770000000003</v>
      </c>
    </row>
    <row r="10188" spans="1:37" x14ac:dyDescent="0.3">
      <c r="A10188">
        <v>10187</v>
      </c>
      <c r="B10188">
        <v>46.4</v>
      </c>
      <c r="C10188">
        <v>13.7342</v>
      </c>
      <c r="D10188">
        <v>9.1472200000000008</v>
      </c>
      <c r="E10188" t="s">
        <v>15386</v>
      </c>
      <c r="F10188" t="s">
        <v>15387</v>
      </c>
      <c r="G10188" t="s">
        <v>37</v>
      </c>
      <c r="H10188">
        <v>2003</v>
      </c>
      <c r="I10188">
        <v>27.7</v>
      </c>
      <c r="J10188">
        <v>12.8</v>
      </c>
      <c r="K10188">
        <v>59</v>
      </c>
      <c r="L10188">
        <v>21.786770000000001</v>
      </c>
      <c r="M10188">
        <v>39.001379999999997</v>
      </c>
      <c r="N10188">
        <v>17.600000000000001</v>
      </c>
      <c r="O10188">
        <v>21.40138</v>
      </c>
      <c r="P10188">
        <v>25.601379999999999</v>
      </c>
      <c r="Q10188">
        <v>26.9</v>
      </c>
      <c r="R10188">
        <v>31.001380000000001</v>
      </c>
      <c r="S10188">
        <v>25.601379999999999</v>
      </c>
      <c r="T10188">
        <v>997</v>
      </c>
      <c r="U10188">
        <v>233</v>
      </c>
      <c r="V10188">
        <v>0</v>
      </c>
      <c r="W10188">
        <v>103</v>
      </c>
      <c r="X10188">
        <v>632</v>
      </c>
      <c r="Y10188">
        <v>0</v>
      </c>
      <c r="Z10188">
        <v>155</v>
      </c>
      <c r="AA10188">
        <v>632</v>
      </c>
      <c r="AB10188">
        <v>6.0367920000000002</v>
      </c>
      <c r="AC10188">
        <v>2.6548459999999999E-2</v>
      </c>
      <c r="AD10188">
        <v>1.2715369999999999</v>
      </c>
      <c r="AE10188">
        <v>0.6765487</v>
      </c>
      <c r="AF10188">
        <v>198.6079</v>
      </c>
      <c r="AG10188">
        <f>IFERROR(AH10188*0.1, "N/A")</f>
        <v>6.9478410000000004</v>
      </c>
      <c r="AH10188">
        <v>69.478409999999997</v>
      </c>
      <c r="AI10188">
        <v>206.99590000000001</v>
      </c>
      <c r="AJ10188">
        <v>28.013819999999999</v>
      </c>
      <c r="AK10188">
        <v>44.240070000000003</v>
      </c>
    </row>
    <row r="10189" spans="1:37" x14ac:dyDescent="0.3">
      <c r="A10189">
        <v>10188</v>
      </c>
      <c r="B10189">
        <v>83.6</v>
      </c>
      <c r="C10189">
        <v>13.7342</v>
      </c>
      <c r="D10189">
        <v>9.1472200000000008</v>
      </c>
      <c r="E10189" t="s">
        <v>15386</v>
      </c>
      <c r="F10189" t="s">
        <v>15388</v>
      </c>
      <c r="G10189" t="s">
        <v>39</v>
      </c>
      <c r="H10189">
        <v>2003</v>
      </c>
      <c r="I10189">
        <v>27.7</v>
      </c>
      <c r="J10189">
        <v>12.8</v>
      </c>
      <c r="K10189">
        <v>59</v>
      </c>
      <c r="L10189">
        <v>21.786770000000001</v>
      </c>
      <c r="M10189">
        <v>39.001379999999997</v>
      </c>
      <c r="N10189">
        <v>17.600000000000001</v>
      </c>
      <c r="O10189">
        <v>21.40138</v>
      </c>
      <c r="P10189">
        <v>25.601379999999999</v>
      </c>
      <c r="Q10189">
        <v>26.9</v>
      </c>
      <c r="R10189">
        <v>31.001380000000001</v>
      </c>
      <c r="S10189">
        <v>25.601379999999999</v>
      </c>
      <c r="T10189">
        <v>997</v>
      </c>
      <c r="U10189">
        <v>233</v>
      </c>
      <c r="V10189">
        <v>0</v>
      </c>
      <c r="W10189">
        <v>103</v>
      </c>
      <c r="X10189">
        <v>632</v>
      </c>
      <c r="Y10189">
        <v>0</v>
      </c>
      <c r="Z10189">
        <v>155</v>
      </c>
      <c r="AA10189">
        <v>632</v>
      </c>
      <c r="AB10189">
        <v>6.0367920000000002</v>
      </c>
      <c r="AC10189">
        <v>2.6548459999999999E-2</v>
      </c>
      <c r="AD10189">
        <v>1.2715369999999999</v>
      </c>
      <c r="AE10189">
        <v>0.6765487</v>
      </c>
      <c r="AF10189">
        <v>198.6079</v>
      </c>
      <c r="AG10189">
        <f>IFERROR(AH10189*0.1, "N/A")</f>
        <v>6.9478410000000004</v>
      </c>
      <c r="AH10189">
        <v>69.478409999999997</v>
      </c>
      <c r="AI10189">
        <v>206.99590000000001</v>
      </c>
      <c r="AJ10189">
        <v>28.013819999999999</v>
      </c>
      <c r="AK10189">
        <v>44.240070000000003</v>
      </c>
    </row>
    <row r="10190" spans="1:37" x14ac:dyDescent="0.3">
      <c r="A10190">
        <v>10189</v>
      </c>
      <c r="B10190">
        <v>10.7</v>
      </c>
      <c r="C10190">
        <v>13.6767</v>
      </c>
      <c r="D10190">
        <v>9.1541700000000006</v>
      </c>
      <c r="E10190" t="s">
        <v>15389</v>
      </c>
      <c r="F10190" t="s">
        <v>15390</v>
      </c>
      <c r="G10190" t="s">
        <v>37</v>
      </c>
      <c r="H10190">
        <v>2003</v>
      </c>
      <c r="I10190">
        <v>27.7</v>
      </c>
      <c r="J10190">
        <v>12.8</v>
      </c>
      <c r="K10190">
        <v>59</v>
      </c>
      <c r="L10190">
        <v>22.05</v>
      </c>
      <c r="M10190">
        <v>39.1</v>
      </c>
      <c r="N10190">
        <v>17.600000000000001</v>
      </c>
      <c r="O10190">
        <v>21.5</v>
      </c>
      <c r="P10190">
        <v>25.7</v>
      </c>
      <c r="Q10190">
        <v>26.9</v>
      </c>
      <c r="R10190">
        <v>31.1</v>
      </c>
      <c r="S10190">
        <v>25.7</v>
      </c>
      <c r="T10190">
        <v>1004</v>
      </c>
      <c r="U10190">
        <v>234</v>
      </c>
      <c r="V10190">
        <v>0</v>
      </c>
      <c r="W10190">
        <v>103</v>
      </c>
      <c r="X10190">
        <v>634</v>
      </c>
      <c r="Y10190">
        <v>0</v>
      </c>
      <c r="Z10190">
        <v>158</v>
      </c>
      <c r="AA10190">
        <v>634</v>
      </c>
      <c r="AB10190">
        <v>0.25448920000000003</v>
      </c>
      <c r="AC10190">
        <v>7.9739340000000006E-2</v>
      </c>
      <c r="AD10190">
        <v>1.2354400000000001</v>
      </c>
      <c r="AE10190">
        <v>0.65263190000000004</v>
      </c>
      <c r="AF10190">
        <v>189.54480000000001</v>
      </c>
      <c r="AG10190">
        <f>IFERROR(AH10190*0.1, "N/A")</f>
        <v>6.7</v>
      </c>
      <c r="AH10190">
        <v>67</v>
      </c>
      <c r="AI10190">
        <v>200.7062</v>
      </c>
      <c r="AJ10190">
        <v>31.75517</v>
      </c>
      <c r="AK10190">
        <v>42</v>
      </c>
    </row>
    <row r="10191" spans="1:37" x14ac:dyDescent="0.3">
      <c r="A10191">
        <v>10190</v>
      </c>
      <c r="B10191">
        <v>83.5</v>
      </c>
      <c r="C10191">
        <v>13.6767</v>
      </c>
      <c r="D10191">
        <v>9.1541700000000006</v>
      </c>
      <c r="E10191" t="s">
        <v>15389</v>
      </c>
      <c r="F10191" t="s">
        <v>15391</v>
      </c>
      <c r="G10191" t="s">
        <v>39</v>
      </c>
      <c r="H10191">
        <v>2003</v>
      </c>
      <c r="I10191">
        <v>27.7</v>
      </c>
      <c r="J10191">
        <v>12.8</v>
      </c>
      <c r="K10191">
        <v>59</v>
      </c>
      <c r="L10191">
        <v>22.05</v>
      </c>
      <c r="M10191">
        <v>39.1</v>
      </c>
      <c r="N10191">
        <v>17.600000000000001</v>
      </c>
      <c r="O10191">
        <v>21.5</v>
      </c>
      <c r="P10191">
        <v>25.7</v>
      </c>
      <c r="Q10191">
        <v>26.9</v>
      </c>
      <c r="R10191">
        <v>31.1</v>
      </c>
      <c r="S10191">
        <v>25.7</v>
      </c>
      <c r="T10191">
        <v>1004</v>
      </c>
      <c r="U10191">
        <v>234</v>
      </c>
      <c r="V10191">
        <v>0</v>
      </c>
      <c r="W10191">
        <v>103</v>
      </c>
      <c r="X10191">
        <v>634</v>
      </c>
      <c r="Y10191">
        <v>0</v>
      </c>
      <c r="Z10191">
        <v>158</v>
      </c>
      <c r="AA10191">
        <v>634</v>
      </c>
      <c r="AB10191">
        <v>0.25448920000000003</v>
      </c>
      <c r="AC10191">
        <v>7.9739340000000006E-2</v>
      </c>
      <c r="AD10191">
        <v>1.2354400000000001</v>
      </c>
      <c r="AE10191">
        <v>0.65263190000000004</v>
      </c>
      <c r="AF10191">
        <v>189.54480000000001</v>
      </c>
      <c r="AG10191">
        <f>IFERROR(AH10191*0.1, "N/A")</f>
        <v>6.7</v>
      </c>
      <c r="AH10191">
        <v>67</v>
      </c>
      <c r="AI10191">
        <v>200.7062</v>
      </c>
      <c r="AJ10191">
        <v>31.75517</v>
      </c>
      <c r="AK10191">
        <v>42</v>
      </c>
    </row>
    <row r="10192" spans="1:37" x14ac:dyDescent="0.3">
      <c r="A10192">
        <v>10191</v>
      </c>
      <c r="B10192">
        <v>5</v>
      </c>
      <c r="C10192">
        <v>13.658300000000001</v>
      </c>
      <c r="D10192">
        <v>9.2083300000000001</v>
      </c>
      <c r="E10192" t="s">
        <v>15392</v>
      </c>
      <c r="F10192" t="s">
        <v>15393</v>
      </c>
      <c r="G10192" t="s">
        <v>37</v>
      </c>
      <c r="H10192">
        <v>2003</v>
      </c>
      <c r="I10192">
        <v>27.7</v>
      </c>
      <c r="J10192">
        <v>12.8</v>
      </c>
      <c r="K10192">
        <v>59</v>
      </c>
      <c r="L10192">
        <v>22.42005</v>
      </c>
      <c r="M10192">
        <v>39.200000000000003</v>
      </c>
      <c r="N10192">
        <v>17.676600000000001</v>
      </c>
      <c r="O10192">
        <v>21.523399999999999</v>
      </c>
      <c r="P10192">
        <v>25.622530000000001</v>
      </c>
      <c r="Q10192">
        <v>26.976600000000001</v>
      </c>
      <c r="R10192">
        <v>31.1</v>
      </c>
      <c r="S10192">
        <v>25.622530000000001</v>
      </c>
      <c r="T10192">
        <v>994.57190000000003</v>
      </c>
      <c r="U10192">
        <v>233</v>
      </c>
      <c r="V10192">
        <v>0</v>
      </c>
      <c r="W10192">
        <v>102.8094</v>
      </c>
      <c r="X10192">
        <v>628.15599999999995</v>
      </c>
      <c r="Y10192">
        <v>0</v>
      </c>
      <c r="Z10192">
        <v>156.45930000000001</v>
      </c>
      <c r="AA10192">
        <v>628.15599999999995</v>
      </c>
      <c r="AB10192">
        <v>13.24818</v>
      </c>
      <c r="AC10192">
        <v>3.7781790000000003E-2</v>
      </c>
      <c r="AD10192">
        <v>2.2182919999999999</v>
      </c>
      <c r="AE10192">
        <v>0.67171270000000005</v>
      </c>
      <c r="AF10192">
        <v>202.11269999999999</v>
      </c>
      <c r="AG10192">
        <f>IFERROR(AH10192*0.1, "N/A")</f>
        <v>6.5166380000000004</v>
      </c>
      <c r="AH10192">
        <v>65.166380000000004</v>
      </c>
      <c r="AI10192">
        <v>152.15809999999999</v>
      </c>
      <c r="AJ10192">
        <v>22.045059999999999</v>
      </c>
      <c r="AK10192">
        <v>54.7331</v>
      </c>
    </row>
    <row r="10193" spans="1:37" x14ac:dyDescent="0.3">
      <c r="A10193">
        <v>10192</v>
      </c>
      <c r="B10193">
        <v>80</v>
      </c>
      <c r="C10193">
        <v>13.658300000000001</v>
      </c>
      <c r="D10193">
        <v>9.2083300000000001</v>
      </c>
      <c r="E10193" t="s">
        <v>15392</v>
      </c>
      <c r="F10193" t="s">
        <v>15394</v>
      </c>
      <c r="G10193" t="s">
        <v>39</v>
      </c>
      <c r="H10193">
        <v>2003</v>
      </c>
      <c r="I10193">
        <v>27.7</v>
      </c>
      <c r="J10193">
        <v>12.8</v>
      </c>
      <c r="K10193">
        <v>59</v>
      </c>
      <c r="L10193">
        <v>22.42005</v>
      </c>
      <c r="M10193">
        <v>39.200000000000003</v>
      </c>
      <c r="N10193">
        <v>17.676600000000001</v>
      </c>
      <c r="O10193">
        <v>21.523399999999999</v>
      </c>
      <c r="P10193">
        <v>25.622530000000001</v>
      </c>
      <c r="Q10193">
        <v>26.976600000000001</v>
      </c>
      <c r="R10193">
        <v>31.1</v>
      </c>
      <c r="S10193">
        <v>25.622530000000001</v>
      </c>
      <c r="T10193">
        <v>994.57190000000003</v>
      </c>
      <c r="U10193">
        <v>233</v>
      </c>
      <c r="V10193">
        <v>0</v>
      </c>
      <c r="W10193">
        <v>102.8094</v>
      </c>
      <c r="X10193">
        <v>628.15599999999995</v>
      </c>
      <c r="Y10193">
        <v>0</v>
      </c>
      <c r="Z10193">
        <v>156.45930000000001</v>
      </c>
      <c r="AA10193">
        <v>628.15599999999995</v>
      </c>
      <c r="AB10193">
        <v>13.24818</v>
      </c>
      <c r="AC10193">
        <v>3.7781790000000003E-2</v>
      </c>
      <c r="AD10193">
        <v>2.2182919999999999</v>
      </c>
      <c r="AE10193">
        <v>0.67171270000000005</v>
      </c>
      <c r="AF10193">
        <v>202.11269999999999</v>
      </c>
      <c r="AG10193">
        <f>IFERROR(AH10193*0.1, "N/A")</f>
        <v>6.5166380000000004</v>
      </c>
      <c r="AH10193">
        <v>65.166380000000004</v>
      </c>
      <c r="AI10193">
        <v>152.15809999999999</v>
      </c>
      <c r="AJ10193">
        <v>22.045059999999999</v>
      </c>
      <c r="AK10193">
        <v>54.7331</v>
      </c>
    </row>
    <row r="10194" spans="1:37" x14ac:dyDescent="0.3">
      <c r="A10194">
        <v>10193</v>
      </c>
      <c r="B10194">
        <v>32.700000000000003</v>
      </c>
      <c r="C10194">
        <v>13.4389</v>
      </c>
      <c r="D10194">
        <v>9.2277799999999992</v>
      </c>
      <c r="E10194" t="s">
        <v>15395</v>
      </c>
      <c r="F10194" t="s">
        <v>15396</v>
      </c>
      <c r="G10194" t="s">
        <v>39</v>
      </c>
      <c r="H10194">
        <v>1990</v>
      </c>
      <c r="I10194">
        <v>27.5</v>
      </c>
      <c r="J10194">
        <v>12.9</v>
      </c>
      <c r="K10194">
        <v>59</v>
      </c>
      <c r="L10194">
        <v>23.81</v>
      </c>
      <c r="M10194">
        <v>39.299999999999997</v>
      </c>
      <c r="N10194">
        <v>17.5</v>
      </c>
      <c r="O10194">
        <v>21.8</v>
      </c>
      <c r="P10194">
        <v>25.2</v>
      </c>
      <c r="Q10194">
        <v>27</v>
      </c>
      <c r="R10194">
        <v>31.1</v>
      </c>
      <c r="S10194">
        <v>25.2</v>
      </c>
      <c r="T10194">
        <v>1027</v>
      </c>
      <c r="U10194">
        <v>236</v>
      </c>
      <c r="V10194">
        <v>0</v>
      </c>
      <c r="W10194">
        <v>102</v>
      </c>
      <c r="X10194">
        <v>638</v>
      </c>
      <c r="Y10194">
        <v>1</v>
      </c>
      <c r="Z10194">
        <v>168</v>
      </c>
      <c r="AA10194">
        <v>638</v>
      </c>
      <c r="AB10194">
        <v>3.303464</v>
      </c>
      <c r="AC10194">
        <v>4.0371799999999999E-2</v>
      </c>
      <c r="AD10194">
        <v>0.53676100000000004</v>
      </c>
      <c r="AE10194">
        <v>0.68736830000000004</v>
      </c>
      <c r="AF10194">
        <v>217.27850000000001</v>
      </c>
      <c r="AG10194">
        <f>IFERROR(AH10194*0.1, "N/A")</f>
        <v>6.5996540000000001</v>
      </c>
      <c r="AH10194">
        <v>65.996539999999996</v>
      </c>
      <c r="AI10194">
        <v>162.53909999999999</v>
      </c>
      <c r="AJ10194">
        <v>23.915220000000001</v>
      </c>
      <c r="AK10194">
        <v>54.254330000000003</v>
      </c>
    </row>
    <row r="10195" spans="1:37" x14ac:dyDescent="0.3">
      <c r="A10195">
        <v>10194</v>
      </c>
      <c r="B10195">
        <v>10.199999999999999</v>
      </c>
      <c r="C10195">
        <v>13.4389</v>
      </c>
      <c r="D10195">
        <v>9.2277799999999992</v>
      </c>
      <c r="E10195" t="s">
        <v>15395</v>
      </c>
      <c r="F10195" t="s">
        <v>15397</v>
      </c>
      <c r="G10195" t="s">
        <v>37</v>
      </c>
      <c r="H10195">
        <v>1990</v>
      </c>
      <c r="I10195">
        <v>27.5</v>
      </c>
      <c r="J10195">
        <v>12.9</v>
      </c>
      <c r="K10195">
        <v>59</v>
      </c>
      <c r="L10195">
        <v>23.81</v>
      </c>
      <c r="M10195">
        <v>39.299999999999997</v>
      </c>
      <c r="N10195">
        <v>17.5</v>
      </c>
      <c r="O10195">
        <v>21.8</v>
      </c>
      <c r="P10195">
        <v>25.2</v>
      </c>
      <c r="Q10195">
        <v>27</v>
      </c>
      <c r="R10195">
        <v>31.1</v>
      </c>
      <c r="S10195">
        <v>25.2</v>
      </c>
      <c r="T10195">
        <v>1027</v>
      </c>
      <c r="U10195">
        <v>236</v>
      </c>
      <c r="V10195">
        <v>0</v>
      </c>
      <c r="W10195">
        <v>102</v>
      </c>
      <c r="X10195">
        <v>638</v>
      </c>
      <c r="Y10195">
        <v>1</v>
      </c>
      <c r="Z10195">
        <v>168</v>
      </c>
      <c r="AA10195">
        <v>638</v>
      </c>
      <c r="AB10195">
        <v>3.303464</v>
      </c>
      <c r="AC10195">
        <v>4.0371799999999999E-2</v>
      </c>
      <c r="AD10195">
        <v>0.53676100000000004</v>
      </c>
      <c r="AE10195">
        <v>0.68736830000000004</v>
      </c>
      <c r="AF10195">
        <v>217.27850000000001</v>
      </c>
      <c r="AG10195">
        <f>IFERROR(AH10195*0.1, "N/A")</f>
        <v>6.5996540000000001</v>
      </c>
      <c r="AH10195">
        <v>65.996539999999996</v>
      </c>
      <c r="AI10195">
        <v>162.53909999999999</v>
      </c>
      <c r="AJ10195">
        <v>23.915220000000001</v>
      </c>
      <c r="AK10195">
        <v>54.254330000000003</v>
      </c>
    </row>
    <row r="10196" spans="1:37" x14ac:dyDescent="0.3">
      <c r="A10196">
        <v>10195</v>
      </c>
      <c r="B10196">
        <v>0</v>
      </c>
      <c r="C10196">
        <v>13.4389</v>
      </c>
      <c r="D10196">
        <v>9.2277799999999992</v>
      </c>
      <c r="E10196" t="s">
        <v>15395</v>
      </c>
      <c r="F10196" t="s">
        <v>15398</v>
      </c>
      <c r="G10196" t="s">
        <v>2420</v>
      </c>
      <c r="H10196">
        <v>1990</v>
      </c>
      <c r="I10196">
        <v>27.5</v>
      </c>
      <c r="J10196">
        <v>12.9</v>
      </c>
      <c r="K10196">
        <v>59</v>
      </c>
      <c r="L10196">
        <v>23.81</v>
      </c>
      <c r="M10196">
        <v>39.299999999999997</v>
      </c>
      <c r="N10196">
        <v>17.5</v>
      </c>
      <c r="O10196">
        <v>21.8</v>
      </c>
      <c r="P10196">
        <v>25.2</v>
      </c>
      <c r="Q10196">
        <v>27</v>
      </c>
      <c r="R10196">
        <v>31.1</v>
      </c>
      <c r="S10196">
        <v>25.2</v>
      </c>
      <c r="T10196">
        <v>1027</v>
      </c>
      <c r="U10196">
        <v>236</v>
      </c>
      <c r="V10196">
        <v>0</v>
      </c>
      <c r="W10196">
        <v>102</v>
      </c>
      <c r="X10196">
        <v>638</v>
      </c>
      <c r="Y10196">
        <v>1</v>
      </c>
      <c r="Z10196">
        <v>168</v>
      </c>
      <c r="AA10196">
        <v>638</v>
      </c>
      <c r="AB10196">
        <v>3.303464</v>
      </c>
      <c r="AC10196">
        <v>4.0371799999999999E-2</v>
      </c>
      <c r="AD10196">
        <v>0.53676100000000004</v>
      </c>
      <c r="AE10196">
        <v>0.68736830000000004</v>
      </c>
      <c r="AF10196">
        <v>217.27850000000001</v>
      </c>
      <c r="AG10196">
        <f>IFERROR(AH10196*0.1, "N/A")</f>
        <v>6.5996540000000001</v>
      </c>
      <c r="AH10196">
        <v>65.996539999999996</v>
      </c>
      <c r="AI10196">
        <v>162.53909999999999</v>
      </c>
      <c r="AJ10196">
        <v>23.915220000000001</v>
      </c>
      <c r="AK10196">
        <v>54.254330000000003</v>
      </c>
    </row>
    <row r="10197" spans="1:37" x14ac:dyDescent="0.3">
      <c r="A10197">
        <v>10196</v>
      </c>
      <c r="B10197">
        <v>16.2</v>
      </c>
      <c r="C10197">
        <v>13.8</v>
      </c>
      <c r="D10197">
        <v>9.2509999999999994</v>
      </c>
      <c r="E10197" t="s">
        <v>15399</v>
      </c>
      <c r="F10197" t="s">
        <v>15400</v>
      </c>
      <c r="G10197" t="s">
        <v>39</v>
      </c>
      <c r="H10197">
        <v>1987</v>
      </c>
      <c r="I10197">
        <v>27.6</v>
      </c>
      <c r="J10197">
        <v>12.8</v>
      </c>
      <c r="K10197">
        <v>60</v>
      </c>
      <c r="L10197">
        <v>21.61</v>
      </c>
      <c r="M10197">
        <v>38.9</v>
      </c>
      <c r="N10197">
        <v>17.600000000000001</v>
      </c>
      <c r="O10197">
        <v>21.3</v>
      </c>
      <c r="P10197">
        <v>25.6</v>
      </c>
      <c r="Q10197">
        <v>26.8</v>
      </c>
      <c r="R10197">
        <v>30.9</v>
      </c>
      <c r="S10197">
        <v>25.6</v>
      </c>
      <c r="T10197">
        <v>958.84580000000005</v>
      </c>
      <c r="U10197">
        <v>229.4229</v>
      </c>
      <c r="V10197">
        <v>0</v>
      </c>
      <c r="W10197">
        <v>104.5771</v>
      </c>
      <c r="X10197">
        <v>613.84580000000005</v>
      </c>
      <c r="Y10197">
        <v>0</v>
      </c>
      <c r="Z10197">
        <v>146</v>
      </c>
      <c r="AA10197">
        <v>613.84580000000005</v>
      </c>
      <c r="AB10197">
        <v>5.0762530000000003</v>
      </c>
      <c r="AC10197">
        <v>4.0161299999999997E-2</v>
      </c>
      <c r="AD10197">
        <v>1.529882</v>
      </c>
      <c r="AE10197">
        <v>0.67879800000000001</v>
      </c>
      <c r="AF10197">
        <v>238.38820000000001</v>
      </c>
      <c r="AG10197">
        <f>IFERROR(AH10197*0.1, "N/A")</f>
        <v>6.4</v>
      </c>
      <c r="AH10197">
        <v>64</v>
      </c>
      <c r="AI10197">
        <v>148.52869999999999</v>
      </c>
      <c r="AJ10197">
        <v>17.147310000000001</v>
      </c>
      <c r="AK10197">
        <v>62.738300000000002</v>
      </c>
    </row>
    <row r="10198" spans="1:37" x14ac:dyDescent="0.3">
      <c r="A10198">
        <v>10197</v>
      </c>
      <c r="B10198">
        <v>14</v>
      </c>
      <c r="C10198">
        <v>13.4</v>
      </c>
      <c r="D10198">
        <v>9.3000000000000007</v>
      </c>
      <c r="E10198" t="s">
        <v>15401</v>
      </c>
      <c r="F10198" t="s">
        <v>15402</v>
      </c>
      <c r="G10198" t="s">
        <v>39</v>
      </c>
      <c r="H10198">
        <v>1990</v>
      </c>
      <c r="I10198">
        <v>27.881440000000001</v>
      </c>
      <c r="J10198">
        <v>12.9</v>
      </c>
      <c r="K10198">
        <v>59</v>
      </c>
      <c r="L10198">
        <v>23.231249999999999</v>
      </c>
      <c r="M10198">
        <v>39.6</v>
      </c>
      <c r="N10198">
        <v>17.824909999999999</v>
      </c>
      <c r="O10198">
        <v>21.775089999999999</v>
      </c>
      <c r="P10198">
        <v>25.592960000000001</v>
      </c>
      <c r="Q10198">
        <v>27.381440000000001</v>
      </c>
      <c r="R10198">
        <v>31.33643</v>
      </c>
      <c r="S10198">
        <v>25.592960000000001</v>
      </c>
      <c r="T10198">
        <v>1004.607</v>
      </c>
      <c r="U10198">
        <v>233</v>
      </c>
      <c r="V10198">
        <v>0</v>
      </c>
      <c r="W10198">
        <v>102.18559999999999</v>
      </c>
      <c r="X10198">
        <v>625.52059999999994</v>
      </c>
      <c r="Y10198">
        <v>1</v>
      </c>
      <c r="Z10198">
        <v>163.63570000000001</v>
      </c>
      <c r="AA10198">
        <v>625.52059999999994</v>
      </c>
      <c r="AB10198">
        <v>12.537789999999999</v>
      </c>
      <c r="AC10198">
        <v>1.1917189999999999E-2</v>
      </c>
      <c r="AD10198">
        <v>1.203104</v>
      </c>
      <c r="AE10198">
        <v>0.85742370000000001</v>
      </c>
      <c r="AF10198">
        <v>193.07220000000001</v>
      </c>
      <c r="AG10198">
        <f>IFERROR(AH10198*0.1, "N/A")</f>
        <v>6.5615120000000005</v>
      </c>
      <c r="AH10198">
        <v>65.615120000000005</v>
      </c>
      <c r="AI10198">
        <v>161.21700000000001</v>
      </c>
      <c r="AJ10198">
        <v>25.879729999999999</v>
      </c>
      <c r="AK10198">
        <v>53.52234</v>
      </c>
    </row>
    <row r="10199" spans="1:37" x14ac:dyDescent="0.3">
      <c r="A10199">
        <v>10198</v>
      </c>
      <c r="B10199">
        <v>6.8</v>
      </c>
      <c r="C10199">
        <v>13.4</v>
      </c>
      <c r="D10199">
        <v>9.3000000000000007</v>
      </c>
      <c r="E10199" t="s">
        <v>15401</v>
      </c>
      <c r="F10199" t="s">
        <v>15403</v>
      </c>
      <c r="G10199" t="s">
        <v>37</v>
      </c>
      <c r="H10199">
        <v>1990</v>
      </c>
      <c r="I10199">
        <v>27.881440000000001</v>
      </c>
      <c r="J10199">
        <v>12.9</v>
      </c>
      <c r="K10199">
        <v>59</v>
      </c>
      <c r="L10199">
        <v>23.231249999999999</v>
      </c>
      <c r="M10199">
        <v>39.6</v>
      </c>
      <c r="N10199">
        <v>17.824909999999999</v>
      </c>
      <c r="O10199">
        <v>21.775089999999999</v>
      </c>
      <c r="P10199">
        <v>25.592960000000001</v>
      </c>
      <c r="Q10199">
        <v>27.381440000000001</v>
      </c>
      <c r="R10199">
        <v>31.33643</v>
      </c>
      <c r="S10199">
        <v>25.592960000000001</v>
      </c>
      <c r="T10199">
        <v>1004.607</v>
      </c>
      <c r="U10199">
        <v>233</v>
      </c>
      <c r="V10199">
        <v>0</v>
      </c>
      <c r="W10199">
        <v>102.18559999999999</v>
      </c>
      <c r="X10199">
        <v>625.52059999999994</v>
      </c>
      <c r="Y10199">
        <v>1</v>
      </c>
      <c r="Z10199">
        <v>163.63570000000001</v>
      </c>
      <c r="AA10199">
        <v>625.52059999999994</v>
      </c>
      <c r="AB10199">
        <v>12.537789999999999</v>
      </c>
      <c r="AC10199">
        <v>1.1917189999999999E-2</v>
      </c>
      <c r="AD10199">
        <v>1.203104</v>
      </c>
      <c r="AE10199">
        <v>0.85742370000000001</v>
      </c>
      <c r="AF10199">
        <v>193.07220000000001</v>
      </c>
      <c r="AG10199">
        <f>IFERROR(AH10199*0.1, "N/A")</f>
        <v>6.5615120000000005</v>
      </c>
      <c r="AH10199">
        <v>65.615120000000005</v>
      </c>
      <c r="AI10199">
        <v>161.21700000000001</v>
      </c>
      <c r="AJ10199">
        <v>25.879729999999999</v>
      </c>
      <c r="AK10199">
        <v>53.52234</v>
      </c>
    </row>
    <row r="10200" spans="1:37" x14ac:dyDescent="0.3">
      <c r="A10200">
        <v>10199</v>
      </c>
      <c r="B10200">
        <v>0</v>
      </c>
      <c r="C10200">
        <v>13.4</v>
      </c>
      <c r="D10200">
        <v>9.3000000000000007</v>
      </c>
      <c r="E10200" t="s">
        <v>15401</v>
      </c>
      <c r="F10200" t="s">
        <v>15404</v>
      </c>
      <c r="G10200" t="s">
        <v>2420</v>
      </c>
      <c r="H10200">
        <v>1990</v>
      </c>
      <c r="I10200">
        <v>27.881440000000001</v>
      </c>
      <c r="J10200">
        <v>12.9</v>
      </c>
      <c r="K10200">
        <v>59</v>
      </c>
      <c r="L10200">
        <v>23.231249999999999</v>
      </c>
      <c r="M10200">
        <v>39.6</v>
      </c>
      <c r="N10200">
        <v>17.824909999999999</v>
      </c>
      <c r="O10200">
        <v>21.775089999999999</v>
      </c>
      <c r="P10200">
        <v>25.592960000000001</v>
      </c>
      <c r="Q10200">
        <v>27.381440000000001</v>
      </c>
      <c r="R10200">
        <v>31.33643</v>
      </c>
      <c r="S10200">
        <v>25.592960000000001</v>
      </c>
      <c r="T10200">
        <v>1004.607</v>
      </c>
      <c r="U10200">
        <v>233</v>
      </c>
      <c r="V10200">
        <v>0</v>
      </c>
      <c r="W10200">
        <v>102.18559999999999</v>
      </c>
      <c r="X10200">
        <v>625.52059999999994</v>
      </c>
      <c r="Y10200">
        <v>1</v>
      </c>
      <c r="Z10200">
        <v>163.63570000000001</v>
      </c>
      <c r="AA10200">
        <v>625.52059999999994</v>
      </c>
      <c r="AB10200">
        <v>12.537789999999999</v>
      </c>
      <c r="AC10200">
        <v>1.1917189999999999E-2</v>
      </c>
      <c r="AD10200">
        <v>1.203104</v>
      </c>
      <c r="AE10200">
        <v>0.85742370000000001</v>
      </c>
      <c r="AF10200">
        <v>193.07220000000001</v>
      </c>
      <c r="AG10200">
        <f>IFERROR(AH10200*0.1, "N/A")</f>
        <v>6.5615120000000005</v>
      </c>
      <c r="AH10200">
        <v>65.615120000000005</v>
      </c>
      <c r="AI10200">
        <v>161.21700000000001</v>
      </c>
      <c r="AJ10200">
        <v>25.879729999999999</v>
      </c>
      <c r="AK10200">
        <v>53.52234</v>
      </c>
    </row>
    <row r="10201" spans="1:37" x14ac:dyDescent="0.3">
      <c r="A10201">
        <v>10200</v>
      </c>
      <c r="B10201">
        <v>35</v>
      </c>
      <c r="C10201">
        <v>13.882999999999999</v>
      </c>
      <c r="D10201">
        <v>9.3130000000000006</v>
      </c>
      <c r="E10201" t="s">
        <v>15405</v>
      </c>
      <c r="F10201" t="s">
        <v>15406</v>
      </c>
      <c r="G10201" t="s">
        <v>39</v>
      </c>
      <c r="H10201">
        <v>1987</v>
      </c>
      <c r="I10201">
        <v>27.8</v>
      </c>
      <c r="J10201">
        <v>12.8</v>
      </c>
      <c r="K10201">
        <v>59</v>
      </c>
      <c r="L10201">
        <v>21.574549999999999</v>
      </c>
      <c r="M10201">
        <v>39.1</v>
      </c>
      <c r="N10201">
        <v>17.7</v>
      </c>
      <c r="O10201">
        <v>21.4</v>
      </c>
      <c r="P10201">
        <v>25.8</v>
      </c>
      <c r="Q10201">
        <v>26.886379999999999</v>
      </c>
      <c r="R10201">
        <v>31.01362</v>
      </c>
      <c r="S10201">
        <v>25.8</v>
      </c>
      <c r="T10201">
        <v>921.72760000000005</v>
      </c>
      <c r="U10201">
        <v>224</v>
      </c>
      <c r="V10201">
        <v>0</v>
      </c>
      <c r="W10201">
        <v>106</v>
      </c>
      <c r="X10201">
        <v>596</v>
      </c>
      <c r="Y10201">
        <v>0</v>
      </c>
      <c r="Z10201">
        <v>137</v>
      </c>
      <c r="AA10201">
        <v>596</v>
      </c>
      <c r="AB10201">
        <v>5.6194750000000004</v>
      </c>
      <c r="AC10201">
        <v>4.7656990000000003E-2</v>
      </c>
      <c r="AD10201">
        <v>1.254014</v>
      </c>
      <c r="AE10201">
        <v>0.67864679999999999</v>
      </c>
      <c r="AF10201">
        <v>220.84309999999999</v>
      </c>
      <c r="AG10201">
        <f>IFERROR(AH10201*0.1, "N/A")</f>
        <v>6.5168970000000002</v>
      </c>
      <c r="AH10201">
        <v>65.168970000000002</v>
      </c>
      <c r="AI10201">
        <v>261.03410000000002</v>
      </c>
      <c r="AJ10201">
        <v>22</v>
      </c>
      <c r="AK10201">
        <v>56.168970000000002</v>
      </c>
    </row>
    <row r="10202" spans="1:37" x14ac:dyDescent="0.3">
      <c r="A10202">
        <v>10201</v>
      </c>
      <c r="B10202">
        <v>5.0999999999999996</v>
      </c>
      <c r="C10202">
        <v>13.8667</v>
      </c>
      <c r="D10202">
        <v>9.3166700000000002</v>
      </c>
      <c r="E10202" t="s">
        <v>15407</v>
      </c>
      <c r="F10202" t="s">
        <v>15408</v>
      </c>
      <c r="G10202" t="s">
        <v>39</v>
      </c>
      <c r="H10202">
        <v>1990</v>
      </c>
      <c r="I10202">
        <v>27.818020000000001</v>
      </c>
      <c r="J10202">
        <v>12.8</v>
      </c>
      <c r="K10202">
        <v>59</v>
      </c>
      <c r="L10202">
        <v>21.660679999999999</v>
      </c>
      <c r="M10202">
        <v>39.200000000000003</v>
      </c>
      <c r="N10202">
        <v>17.8</v>
      </c>
      <c r="O10202">
        <v>21.4</v>
      </c>
      <c r="P10202">
        <v>25.818020000000001</v>
      </c>
      <c r="Q10202">
        <v>27</v>
      </c>
      <c r="R10202">
        <v>31.171579999999999</v>
      </c>
      <c r="S10202">
        <v>25.818020000000001</v>
      </c>
      <c r="T10202">
        <v>920.49739999999997</v>
      </c>
      <c r="U10202">
        <v>224.05199999999999</v>
      </c>
      <c r="V10202">
        <v>0</v>
      </c>
      <c r="W10202">
        <v>105.94799999999999</v>
      </c>
      <c r="X10202">
        <v>595.51649999999995</v>
      </c>
      <c r="Y10202">
        <v>0</v>
      </c>
      <c r="Z10202">
        <v>137.05199999999999</v>
      </c>
      <c r="AA10202">
        <v>595.51649999999995</v>
      </c>
      <c r="AB10202">
        <v>2.4800680000000002</v>
      </c>
      <c r="AC10202">
        <v>19.849879999999999</v>
      </c>
      <c r="AD10202">
        <v>2.3050280000000001</v>
      </c>
      <c r="AE10202">
        <v>0.63995769999999996</v>
      </c>
      <c r="AF10202">
        <v>214.279</v>
      </c>
      <c r="AG10202">
        <f>IFERROR(AH10202*0.1, "N/A")</f>
        <v>6.9464470000000009</v>
      </c>
      <c r="AH10202">
        <v>69.464470000000006</v>
      </c>
      <c r="AI10202">
        <v>160.822</v>
      </c>
      <c r="AJ10202">
        <v>22.535530000000001</v>
      </c>
      <c r="AK10202">
        <v>56</v>
      </c>
    </row>
    <row r="10203" spans="1:37" x14ac:dyDescent="0.3">
      <c r="A10203">
        <v>10202</v>
      </c>
      <c r="B10203">
        <v>0</v>
      </c>
      <c r="C10203">
        <v>13.8667</v>
      </c>
      <c r="D10203">
        <v>9.3166700000000002</v>
      </c>
      <c r="E10203" t="s">
        <v>15407</v>
      </c>
      <c r="F10203" t="s">
        <v>15409</v>
      </c>
      <c r="G10203" t="s">
        <v>37</v>
      </c>
      <c r="H10203">
        <v>1990</v>
      </c>
      <c r="I10203">
        <v>27.818020000000001</v>
      </c>
      <c r="J10203">
        <v>12.8</v>
      </c>
      <c r="K10203">
        <v>59</v>
      </c>
      <c r="L10203">
        <v>21.660679999999999</v>
      </c>
      <c r="M10203">
        <v>39.200000000000003</v>
      </c>
      <c r="N10203">
        <v>17.8</v>
      </c>
      <c r="O10203">
        <v>21.4</v>
      </c>
      <c r="P10203">
        <v>25.818020000000001</v>
      </c>
      <c r="Q10203">
        <v>27</v>
      </c>
      <c r="R10203">
        <v>31.171579999999999</v>
      </c>
      <c r="S10203">
        <v>25.818020000000001</v>
      </c>
      <c r="T10203">
        <v>920.49739999999997</v>
      </c>
      <c r="U10203">
        <v>224.05199999999999</v>
      </c>
      <c r="V10203">
        <v>0</v>
      </c>
      <c r="W10203">
        <v>105.94799999999999</v>
      </c>
      <c r="X10203">
        <v>595.51649999999995</v>
      </c>
      <c r="Y10203">
        <v>0</v>
      </c>
      <c r="Z10203">
        <v>137.05199999999999</v>
      </c>
      <c r="AA10203">
        <v>595.51649999999995</v>
      </c>
      <c r="AB10203">
        <v>2.4800680000000002</v>
      </c>
      <c r="AC10203">
        <v>19.849879999999999</v>
      </c>
      <c r="AD10203">
        <v>2.3050280000000001</v>
      </c>
      <c r="AE10203">
        <v>0.63995769999999996</v>
      </c>
      <c r="AF10203">
        <v>214.279</v>
      </c>
      <c r="AG10203">
        <f>IFERROR(AH10203*0.1, "N/A")</f>
        <v>6.9464470000000009</v>
      </c>
      <c r="AH10203">
        <v>69.464470000000006</v>
      </c>
      <c r="AI10203">
        <v>160.822</v>
      </c>
      <c r="AJ10203">
        <v>22.535530000000001</v>
      </c>
      <c r="AK10203">
        <v>56</v>
      </c>
    </row>
    <row r="10204" spans="1:37" x14ac:dyDescent="0.3">
      <c r="A10204">
        <v>10203</v>
      </c>
      <c r="B10204">
        <v>0</v>
      </c>
      <c r="C10204">
        <v>13.8667</v>
      </c>
      <c r="D10204">
        <v>9.3166700000000002</v>
      </c>
      <c r="E10204" t="s">
        <v>15407</v>
      </c>
      <c r="F10204" t="s">
        <v>15410</v>
      </c>
      <c r="G10204" t="s">
        <v>2420</v>
      </c>
      <c r="H10204">
        <v>1990</v>
      </c>
      <c r="I10204">
        <v>27.818020000000001</v>
      </c>
      <c r="J10204">
        <v>12.8</v>
      </c>
      <c r="K10204">
        <v>59</v>
      </c>
      <c r="L10204">
        <v>21.660679999999999</v>
      </c>
      <c r="M10204">
        <v>39.200000000000003</v>
      </c>
      <c r="N10204">
        <v>17.8</v>
      </c>
      <c r="O10204">
        <v>21.4</v>
      </c>
      <c r="P10204">
        <v>25.818020000000001</v>
      </c>
      <c r="Q10204">
        <v>27</v>
      </c>
      <c r="R10204">
        <v>31.171579999999999</v>
      </c>
      <c r="S10204">
        <v>25.818020000000001</v>
      </c>
      <c r="T10204">
        <v>920.49739999999997</v>
      </c>
      <c r="U10204">
        <v>224.05199999999999</v>
      </c>
      <c r="V10204">
        <v>0</v>
      </c>
      <c r="W10204">
        <v>105.94799999999999</v>
      </c>
      <c r="X10204">
        <v>595.51649999999995</v>
      </c>
      <c r="Y10204">
        <v>0</v>
      </c>
      <c r="Z10204">
        <v>137.05199999999999</v>
      </c>
      <c r="AA10204">
        <v>595.51649999999995</v>
      </c>
      <c r="AB10204">
        <v>2.4800680000000002</v>
      </c>
      <c r="AC10204">
        <v>19.849879999999999</v>
      </c>
      <c r="AD10204">
        <v>2.3050280000000001</v>
      </c>
      <c r="AE10204">
        <v>0.63995769999999996</v>
      </c>
      <c r="AF10204">
        <v>214.279</v>
      </c>
      <c r="AG10204">
        <f>IFERROR(AH10204*0.1, "N/A")</f>
        <v>6.9464470000000009</v>
      </c>
      <c r="AH10204">
        <v>69.464470000000006</v>
      </c>
      <c r="AI10204">
        <v>160.822</v>
      </c>
      <c r="AJ10204">
        <v>22.535530000000001</v>
      </c>
      <c r="AK10204">
        <v>56</v>
      </c>
    </row>
    <row r="10205" spans="1:37" x14ac:dyDescent="0.3">
      <c r="A10205">
        <v>10204</v>
      </c>
      <c r="B10205">
        <v>14</v>
      </c>
      <c r="C10205">
        <v>13.6167</v>
      </c>
      <c r="D10205">
        <v>9.3333300000000001</v>
      </c>
      <c r="E10205" t="s">
        <v>15411</v>
      </c>
      <c r="F10205" t="s">
        <v>15412</v>
      </c>
      <c r="G10205" t="s">
        <v>39</v>
      </c>
      <c r="H10205">
        <v>1990</v>
      </c>
      <c r="I10205">
        <v>27.9</v>
      </c>
      <c r="J10205">
        <v>12.9</v>
      </c>
      <c r="K10205">
        <v>59</v>
      </c>
      <c r="L10205">
        <v>22.576550000000001</v>
      </c>
      <c r="M10205">
        <v>39.5</v>
      </c>
      <c r="N10205">
        <v>17.867760000000001</v>
      </c>
      <c r="O10205">
        <v>21.632239999999999</v>
      </c>
      <c r="P10205">
        <v>25.8</v>
      </c>
      <c r="Q10205">
        <v>27.167760000000001</v>
      </c>
      <c r="R10205">
        <v>31.3</v>
      </c>
      <c r="S10205">
        <v>25.8</v>
      </c>
      <c r="T10205">
        <v>968.79830000000004</v>
      </c>
      <c r="U10205">
        <v>230</v>
      </c>
      <c r="V10205">
        <v>0</v>
      </c>
      <c r="W10205">
        <v>104</v>
      </c>
      <c r="X10205">
        <v>612.6259</v>
      </c>
      <c r="Y10205">
        <v>0</v>
      </c>
      <c r="Z10205">
        <v>152.56549999999999</v>
      </c>
      <c r="AA10205">
        <v>612.6259</v>
      </c>
      <c r="AB10205">
        <v>0.83276229999999996</v>
      </c>
      <c r="AC10205">
        <v>8.4369149999999997E-3</v>
      </c>
      <c r="AD10205">
        <v>0.6664371</v>
      </c>
      <c r="AE10205">
        <v>0.68057069999999997</v>
      </c>
      <c r="AF10205">
        <v>191.31030000000001</v>
      </c>
      <c r="AG10205">
        <f>IFERROR(AH10205*0.1, "N/A")</f>
        <v>6.6079310000000007</v>
      </c>
      <c r="AH10205">
        <v>66.079310000000007</v>
      </c>
      <c r="AI10205">
        <v>38.309899999999999</v>
      </c>
      <c r="AJ10205">
        <v>30.213789999999999</v>
      </c>
      <c r="AK10205">
        <v>48.179310000000001</v>
      </c>
    </row>
    <row r="10206" spans="1:37" x14ac:dyDescent="0.3">
      <c r="A10206">
        <v>10205</v>
      </c>
      <c r="B10206">
        <v>9.8000000000000007</v>
      </c>
      <c r="C10206">
        <v>13.6167</v>
      </c>
      <c r="D10206">
        <v>9.3333300000000001</v>
      </c>
      <c r="E10206" t="s">
        <v>15411</v>
      </c>
      <c r="F10206" t="s">
        <v>15413</v>
      </c>
      <c r="G10206" t="s">
        <v>37</v>
      </c>
      <c r="H10206">
        <v>1990</v>
      </c>
      <c r="I10206">
        <v>27.9</v>
      </c>
      <c r="J10206">
        <v>12.9</v>
      </c>
      <c r="K10206">
        <v>59</v>
      </c>
      <c r="L10206">
        <v>22.576550000000001</v>
      </c>
      <c r="M10206">
        <v>39.5</v>
      </c>
      <c r="N10206">
        <v>17.867760000000001</v>
      </c>
      <c r="O10206">
        <v>21.632239999999999</v>
      </c>
      <c r="P10206">
        <v>25.8</v>
      </c>
      <c r="Q10206">
        <v>27.167760000000001</v>
      </c>
      <c r="R10206">
        <v>31.3</v>
      </c>
      <c r="S10206">
        <v>25.8</v>
      </c>
      <c r="T10206">
        <v>968.79830000000004</v>
      </c>
      <c r="U10206">
        <v>230</v>
      </c>
      <c r="V10206">
        <v>0</v>
      </c>
      <c r="W10206">
        <v>104</v>
      </c>
      <c r="X10206">
        <v>612.6259</v>
      </c>
      <c r="Y10206">
        <v>0</v>
      </c>
      <c r="Z10206">
        <v>152.56549999999999</v>
      </c>
      <c r="AA10206">
        <v>612.6259</v>
      </c>
      <c r="AB10206">
        <v>0.83276229999999996</v>
      </c>
      <c r="AC10206">
        <v>8.4369149999999997E-3</v>
      </c>
      <c r="AD10206">
        <v>0.6664371</v>
      </c>
      <c r="AE10206">
        <v>0.68057069999999997</v>
      </c>
      <c r="AF10206">
        <v>191.31030000000001</v>
      </c>
      <c r="AG10206">
        <f>IFERROR(AH10206*0.1, "N/A")</f>
        <v>6.6079310000000007</v>
      </c>
      <c r="AH10206">
        <v>66.079310000000007</v>
      </c>
      <c r="AI10206">
        <v>38.309899999999999</v>
      </c>
      <c r="AJ10206">
        <v>30.213789999999999</v>
      </c>
      <c r="AK10206">
        <v>48.179310000000001</v>
      </c>
    </row>
    <row r="10207" spans="1:37" x14ac:dyDescent="0.3">
      <c r="A10207">
        <v>10206</v>
      </c>
      <c r="B10207">
        <v>0</v>
      </c>
      <c r="C10207">
        <v>13.6167</v>
      </c>
      <c r="D10207">
        <v>9.3333300000000001</v>
      </c>
      <c r="E10207" t="s">
        <v>15411</v>
      </c>
      <c r="F10207" t="s">
        <v>15414</v>
      </c>
      <c r="G10207" t="s">
        <v>2420</v>
      </c>
      <c r="H10207">
        <v>1990</v>
      </c>
      <c r="I10207">
        <v>27.9</v>
      </c>
      <c r="J10207">
        <v>12.9</v>
      </c>
      <c r="K10207">
        <v>59</v>
      </c>
      <c r="L10207">
        <v>22.576550000000001</v>
      </c>
      <c r="M10207">
        <v>39.5</v>
      </c>
      <c r="N10207">
        <v>17.867760000000001</v>
      </c>
      <c r="O10207">
        <v>21.632239999999999</v>
      </c>
      <c r="P10207">
        <v>25.8</v>
      </c>
      <c r="Q10207">
        <v>27.167760000000001</v>
      </c>
      <c r="R10207">
        <v>31.3</v>
      </c>
      <c r="S10207">
        <v>25.8</v>
      </c>
      <c r="T10207">
        <v>968.79830000000004</v>
      </c>
      <c r="U10207">
        <v>230</v>
      </c>
      <c r="V10207">
        <v>0</v>
      </c>
      <c r="W10207">
        <v>104</v>
      </c>
      <c r="X10207">
        <v>612.6259</v>
      </c>
      <c r="Y10207">
        <v>0</v>
      </c>
      <c r="Z10207">
        <v>152.56549999999999</v>
      </c>
      <c r="AA10207">
        <v>612.6259</v>
      </c>
      <c r="AB10207">
        <v>0.83276229999999996</v>
      </c>
      <c r="AC10207">
        <v>8.4369149999999997E-3</v>
      </c>
      <c r="AD10207">
        <v>0.6664371</v>
      </c>
      <c r="AE10207">
        <v>0.68057069999999997</v>
      </c>
      <c r="AF10207">
        <v>191.31030000000001</v>
      </c>
      <c r="AG10207">
        <f>IFERROR(AH10207*0.1, "N/A")</f>
        <v>6.6079310000000007</v>
      </c>
      <c r="AH10207">
        <v>66.079310000000007</v>
      </c>
      <c r="AI10207">
        <v>38.309899999999999</v>
      </c>
      <c r="AJ10207">
        <v>30.213789999999999</v>
      </c>
      <c r="AK10207">
        <v>48.179310000000001</v>
      </c>
    </row>
    <row r="10208" spans="1:37" x14ac:dyDescent="0.3">
      <c r="A10208">
        <v>10207</v>
      </c>
      <c r="B10208">
        <v>17.600000000000001</v>
      </c>
      <c r="C10208">
        <v>13.5</v>
      </c>
      <c r="D10208">
        <v>9.3833300000000008</v>
      </c>
      <c r="E10208" t="s">
        <v>15415</v>
      </c>
      <c r="F10208" t="s">
        <v>15416</v>
      </c>
      <c r="G10208" t="s">
        <v>39</v>
      </c>
      <c r="H10208">
        <v>1990</v>
      </c>
      <c r="I10208">
        <v>28</v>
      </c>
      <c r="J10208">
        <v>12.9</v>
      </c>
      <c r="K10208">
        <v>59</v>
      </c>
      <c r="L10208">
        <v>22.635300000000001</v>
      </c>
      <c r="M10208">
        <v>39.6</v>
      </c>
      <c r="N10208">
        <v>17.846990000000002</v>
      </c>
      <c r="O10208">
        <v>21.75301</v>
      </c>
      <c r="P10208">
        <v>25.891909999999999</v>
      </c>
      <c r="Q10208">
        <v>27.346990000000002</v>
      </c>
      <c r="R10208">
        <v>31.43253</v>
      </c>
      <c r="S10208">
        <v>25.891909999999999</v>
      </c>
      <c r="T10208">
        <v>971.74180000000001</v>
      </c>
      <c r="U10208">
        <v>230.06370000000001</v>
      </c>
      <c r="V10208">
        <v>0</v>
      </c>
      <c r="W10208">
        <v>103.5301</v>
      </c>
      <c r="X10208">
        <v>611.53359999999998</v>
      </c>
      <c r="Y10208">
        <v>1</v>
      </c>
      <c r="Z10208">
        <v>154.06370000000001</v>
      </c>
      <c r="AA10208">
        <v>611.53359999999998</v>
      </c>
      <c r="AB10208">
        <v>3.428391</v>
      </c>
      <c r="AC10208">
        <v>9.5537230000000001E-3</v>
      </c>
      <c r="AD10208">
        <v>0.60534520000000003</v>
      </c>
      <c r="AE10208">
        <v>0.69546770000000002</v>
      </c>
      <c r="AF10208">
        <v>185.6403</v>
      </c>
      <c r="AG10208">
        <f>IFERROR(AH10208*0.1, "N/A")</f>
        <v>6.7858860000000014</v>
      </c>
      <c r="AH10208">
        <v>67.858860000000007</v>
      </c>
      <c r="AI10208">
        <v>105.3313</v>
      </c>
      <c r="AJ10208">
        <v>22.721170000000001</v>
      </c>
      <c r="AK10208">
        <v>57.709119999999999</v>
      </c>
    </row>
    <row r="10209" spans="1:37" x14ac:dyDescent="0.3">
      <c r="A10209">
        <v>10208</v>
      </c>
      <c r="B10209">
        <v>25.8</v>
      </c>
      <c r="C10209">
        <v>13.5</v>
      </c>
      <c r="D10209">
        <v>9.3833300000000008</v>
      </c>
      <c r="E10209" t="s">
        <v>15415</v>
      </c>
      <c r="F10209" t="s">
        <v>15417</v>
      </c>
      <c r="G10209" t="s">
        <v>37</v>
      </c>
      <c r="H10209">
        <v>1990</v>
      </c>
      <c r="I10209">
        <v>28</v>
      </c>
      <c r="J10209">
        <v>12.9</v>
      </c>
      <c r="K10209">
        <v>59</v>
      </c>
      <c r="L10209">
        <v>22.635300000000001</v>
      </c>
      <c r="M10209">
        <v>39.6</v>
      </c>
      <c r="N10209">
        <v>17.846990000000002</v>
      </c>
      <c r="O10209">
        <v>21.75301</v>
      </c>
      <c r="P10209">
        <v>25.891909999999999</v>
      </c>
      <c r="Q10209">
        <v>27.346990000000002</v>
      </c>
      <c r="R10209">
        <v>31.43253</v>
      </c>
      <c r="S10209">
        <v>25.891909999999999</v>
      </c>
      <c r="T10209">
        <v>971.74180000000001</v>
      </c>
      <c r="U10209">
        <v>230.06370000000001</v>
      </c>
      <c r="V10209">
        <v>0</v>
      </c>
      <c r="W10209">
        <v>103.5301</v>
      </c>
      <c r="X10209">
        <v>611.53359999999998</v>
      </c>
      <c r="Y10209">
        <v>1</v>
      </c>
      <c r="Z10209">
        <v>154.06370000000001</v>
      </c>
      <c r="AA10209">
        <v>611.53359999999998</v>
      </c>
      <c r="AB10209">
        <v>3.428391</v>
      </c>
      <c r="AC10209">
        <v>9.5537230000000001E-3</v>
      </c>
      <c r="AD10209">
        <v>0.60534520000000003</v>
      </c>
      <c r="AE10209">
        <v>0.69546770000000002</v>
      </c>
      <c r="AF10209">
        <v>185.6403</v>
      </c>
      <c r="AG10209">
        <f>IFERROR(AH10209*0.1, "N/A")</f>
        <v>6.7858860000000014</v>
      </c>
      <c r="AH10209">
        <v>67.858860000000007</v>
      </c>
      <c r="AI10209">
        <v>105.3313</v>
      </c>
      <c r="AJ10209">
        <v>22.721170000000001</v>
      </c>
      <c r="AK10209">
        <v>57.709119999999999</v>
      </c>
    </row>
    <row r="10210" spans="1:37" x14ac:dyDescent="0.3">
      <c r="A10210">
        <v>10209</v>
      </c>
      <c r="B10210">
        <v>0</v>
      </c>
      <c r="C10210">
        <v>13.5</v>
      </c>
      <c r="D10210">
        <v>9.3833300000000008</v>
      </c>
      <c r="E10210" t="s">
        <v>15415</v>
      </c>
      <c r="F10210" t="s">
        <v>15418</v>
      </c>
      <c r="G10210" t="s">
        <v>2420</v>
      </c>
      <c r="H10210">
        <v>1990</v>
      </c>
      <c r="I10210">
        <v>28</v>
      </c>
      <c r="J10210">
        <v>12.9</v>
      </c>
      <c r="K10210">
        <v>59</v>
      </c>
      <c r="L10210">
        <v>22.635300000000001</v>
      </c>
      <c r="M10210">
        <v>39.6</v>
      </c>
      <c r="N10210">
        <v>17.846990000000002</v>
      </c>
      <c r="O10210">
        <v>21.75301</v>
      </c>
      <c r="P10210">
        <v>25.891909999999999</v>
      </c>
      <c r="Q10210">
        <v>27.346990000000002</v>
      </c>
      <c r="R10210">
        <v>31.43253</v>
      </c>
      <c r="S10210">
        <v>25.891909999999999</v>
      </c>
      <c r="T10210">
        <v>971.74180000000001</v>
      </c>
      <c r="U10210">
        <v>230.06370000000001</v>
      </c>
      <c r="V10210">
        <v>0</v>
      </c>
      <c r="W10210">
        <v>103.5301</v>
      </c>
      <c r="X10210">
        <v>611.53359999999998</v>
      </c>
      <c r="Y10210">
        <v>1</v>
      </c>
      <c r="Z10210">
        <v>154.06370000000001</v>
      </c>
      <c r="AA10210">
        <v>611.53359999999998</v>
      </c>
      <c r="AB10210">
        <v>3.428391</v>
      </c>
      <c r="AC10210">
        <v>9.5537230000000001E-3</v>
      </c>
      <c r="AD10210">
        <v>0.60534520000000003</v>
      </c>
      <c r="AE10210">
        <v>0.69546770000000002</v>
      </c>
      <c r="AF10210">
        <v>185.6403</v>
      </c>
      <c r="AG10210">
        <f>IFERROR(AH10210*0.1, "N/A")</f>
        <v>6.7858860000000014</v>
      </c>
      <c r="AH10210">
        <v>67.858860000000007</v>
      </c>
      <c r="AI10210">
        <v>105.3313</v>
      </c>
      <c r="AJ10210">
        <v>22.721170000000001</v>
      </c>
      <c r="AK10210">
        <v>57.709119999999999</v>
      </c>
    </row>
    <row r="10211" spans="1:37" x14ac:dyDescent="0.3">
      <c r="A10211">
        <v>10210</v>
      </c>
      <c r="B10211">
        <v>10.4</v>
      </c>
      <c r="C10211">
        <v>13.583299999999999</v>
      </c>
      <c r="D10211">
        <v>9.4333299999999998</v>
      </c>
      <c r="E10211" t="s">
        <v>15419</v>
      </c>
      <c r="F10211" t="s">
        <v>15420</v>
      </c>
      <c r="G10211" t="s">
        <v>39</v>
      </c>
      <c r="H10211">
        <v>1990</v>
      </c>
      <c r="I10211">
        <v>27.638339999999999</v>
      </c>
      <c r="J10211">
        <v>12.9</v>
      </c>
      <c r="K10211">
        <v>59.369599999999998</v>
      </c>
      <c r="L10211">
        <v>21.98762</v>
      </c>
      <c r="M10211">
        <v>39.163040000000002</v>
      </c>
      <c r="N10211">
        <v>17.600000000000001</v>
      </c>
      <c r="O10211">
        <v>21.563040000000001</v>
      </c>
      <c r="P10211">
        <v>25.563040000000001</v>
      </c>
      <c r="Q10211">
        <v>26.915199999999999</v>
      </c>
      <c r="R10211">
        <v>31.0152</v>
      </c>
      <c r="S10211">
        <v>25.563040000000001</v>
      </c>
      <c r="T10211">
        <v>964.35410000000002</v>
      </c>
      <c r="U10211">
        <v>231.601</v>
      </c>
      <c r="V10211">
        <v>0</v>
      </c>
      <c r="W10211">
        <v>103.601</v>
      </c>
      <c r="X10211">
        <v>610.35410000000002</v>
      </c>
      <c r="Y10211">
        <v>0</v>
      </c>
      <c r="Z10211">
        <v>152</v>
      </c>
      <c r="AA10211">
        <v>610.35410000000002</v>
      </c>
      <c r="AB10211">
        <v>3.4208980000000002</v>
      </c>
      <c r="AC10211">
        <v>1.8325850000000001E-2</v>
      </c>
      <c r="AD10211">
        <v>1.5805629999999999</v>
      </c>
      <c r="AE10211">
        <v>0.68503029999999998</v>
      </c>
      <c r="AF10211">
        <v>247.1831</v>
      </c>
      <c r="AG10211">
        <f>IFERROR(AH10211*0.1, "N/A")</f>
        <v>6.9601040000000003</v>
      </c>
      <c r="AH10211">
        <v>69.601039999999998</v>
      </c>
      <c r="AI10211">
        <v>59.177010000000003</v>
      </c>
      <c r="AJ10211">
        <v>20.601040000000001</v>
      </c>
      <c r="AK10211">
        <v>64.398960000000002</v>
      </c>
    </row>
    <row r="10212" spans="1:37" x14ac:dyDescent="0.3">
      <c r="A10212">
        <v>10211</v>
      </c>
      <c r="B10212">
        <v>56.2</v>
      </c>
      <c r="C10212">
        <v>13.583299999999999</v>
      </c>
      <c r="D10212">
        <v>9.4333299999999998</v>
      </c>
      <c r="E10212" t="s">
        <v>15419</v>
      </c>
      <c r="F10212" t="s">
        <v>15421</v>
      </c>
      <c r="G10212" t="s">
        <v>37</v>
      </c>
      <c r="H10212">
        <v>1990</v>
      </c>
      <c r="I10212">
        <v>27.638339999999999</v>
      </c>
      <c r="J10212">
        <v>12.9</v>
      </c>
      <c r="K10212">
        <v>59.369599999999998</v>
      </c>
      <c r="L10212">
        <v>21.98762</v>
      </c>
      <c r="M10212">
        <v>39.163040000000002</v>
      </c>
      <c r="N10212">
        <v>17.600000000000001</v>
      </c>
      <c r="O10212">
        <v>21.563040000000001</v>
      </c>
      <c r="P10212">
        <v>25.563040000000001</v>
      </c>
      <c r="Q10212">
        <v>26.915199999999999</v>
      </c>
      <c r="R10212">
        <v>31.0152</v>
      </c>
      <c r="S10212">
        <v>25.563040000000001</v>
      </c>
      <c r="T10212">
        <v>964.35410000000002</v>
      </c>
      <c r="U10212">
        <v>231.601</v>
      </c>
      <c r="V10212">
        <v>0</v>
      </c>
      <c r="W10212">
        <v>103.601</v>
      </c>
      <c r="X10212">
        <v>610.35410000000002</v>
      </c>
      <c r="Y10212">
        <v>0</v>
      </c>
      <c r="Z10212">
        <v>152</v>
      </c>
      <c r="AA10212">
        <v>610.35410000000002</v>
      </c>
      <c r="AB10212">
        <v>3.4208980000000002</v>
      </c>
      <c r="AC10212">
        <v>1.8325850000000001E-2</v>
      </c>
      <c r="AD10212">
        <v>1.5805629999999999</v>
      </c>
      <c r="AE10212">
        <v>0.68503029999999998</v>
      </c>
      <c r="AF10212">
        <v>247.1831</v>
      </c>
      <c r="AG10212">
        <f>IFERROR(AH10212*0.1, "N/A")</f>
        <v>6.9601040000000003</v>
      </c>
      <c r="AH10212">
        <v>69.601039999999998</v>
      </c>
      <c r="AI10212">
        <v>59.177010000000003</v>
      </c>
      <c r="AJ10212">
        <v>20.601040000000001</v>
      </c>
      <c r="AK10212">
        <v>64.398960000000002</v>
      </c>
    </row>
    <row r="10213" spans="1:37" x14ac:dyDescent="0.3">
      <c r="A10213">
        <v>10212</v>
      </c>
      <c r="B10213">
        <v>0</v>
      </c>
      <c r="C10213">
        <v>13.583299999999999</v>
      </c>
      <c r="D10213">
        <v>9.4333299999999998</v>
      </c>
      <c r="E10213" t="s">
        <v>15419</v>
      </c>
      <c r="F10213" t="s">
        <v>15422</v>
      </c>
      <c r="G10213" t="s">
        <v>2420</v>
      </c>
      <c r="H10213">
        <v>1990</v>
      </c>
      <c r="I10213">
        <v>27.638339999999999</v>
      </c>
      <c r="J10213">
        <v>12.9</v>
      </c>
      <c r="K10213">
        <v>59.369599999999998</v>
      </c>
      <c r="L10213">
        <v>21.98762</v>
      </c>
      <c r="M10213">
        <v>39.163040000000002</v>
      </c>
      <c r="N10213">
        <v>17.600000000000001</v>
      </c>
      <c r="O10213">
        <v>21.563040000000001</v>
      </c>
      <c r="P10213">
        <v>25.563040000000001</v>
      </c>
      <c r="Q10213">
        <v>26.915199999999999</v>
      </c>
      <c r="R10213">
        <v>31.0152</v>
      </c>
      <c r="S10213">
        <v>25.563040000000001</v>
      </c>
      <c r="T10213">
        <v>964.35410000000002</v>
      </c>
      <c r="U10213">
        <v>231.601</v>
      </c>
      <c r="V10213">
        <v>0</v>
      </c>
      <c r="W10213">
        <v>103.601</v>
      </c>
      <c r="X10213">
        <v>610.35410000000002</v>
      </c>
      <c r="Y10213">
        <v>0</v>
      </c>
      <c r="Z10213">
        <v>152</v>
      </c>
      <c r="AA10213">
        <v>610.35410000000002</v>
      </c>
      <c r="AB10213">
        <v>3.4208980000000002</v>
      </c>
      <c r="AC10213">
        <v>1.8325850000000001E-2</v>
      </c>
      <c r="AD10213">
        <v>1.5805629999999999</v>
      </c>
      <c r="AE10213">
        <v>0.68503029999999998</v>
      </c>
      <c r="AF10213">
        <v>247.1831</v>
      </c>
      <c r="AG10213">
        <f>IFERROR(AH10213*0.1, "N/A")</f>
        <v>6.9601040000000003</v>
      </c>
      <c r="AH10213">
        <v>69.601039999999998</v>
      </c>
      <c r="AI10213">
        <v>59.177010000000003</v>
      </c>
      <c r="AJ10213">
        <v>20.601040000000001</v>
      </c>
      <c r="AK10213">
        <v>64.398960000000002</v>
      </c>
    </row>
    <row r="10214" spans="1:37" x14ac:dyDescent="0.3">
      <c r="A10214">
        <v>10213</v>
      </c>
      <c r="B10214">
        <v>15.6</v>
      </c>
      <c r="C10214">
        <v>13.367000000000001</v>
      </c>
      <c r="D10214">
        <v>9.4339999999999993</v>
      </c>
      <c r="E10214" t="s">
        <v>15423</v>
      </c>
      <c r="F10214" t="s">
        <v>15424</v>
      </c>
      <c r="G10214" t="s">
        <v>39</v>
      </c>
      <c r="H10214">
        <v>1987</v>
      </c>
      <c r="I10214">
        <v>27.9</v>
      </c>
      <c r="J10214">
        <v>12.9</v>
      </c>
      <c r="K10214">
        <v>58.571429999999999</v>
      </c>
      <c r="L10214">
        <v>21.944420000000001</v>
      </c>
      <c r="M10214">
        <v>39.4</v>
      </c>
      <c r="N10214">
        <v>17.55714</v>
      </c>
      <c r="O10214">
        <v>21.842860000000002</v>
      </c>
      <c r="P10214">
        <v>25.8</v>
      </c>
      <c r="Q10214">
        <v>27.100339999999999</v>
      </c>
      <c r="R10214">
        <v>31.24286</v>
      </c>
      <c r="S10214">
        <v>25.8</v>
      </c>
      <c r="T10214">
        <v>982.00689999999997</v>
      </c>
      <c r="U10214">
        <v>233</v>
      </c>
      <c r="V10214">
        <v>0</v>
      </c>
      <c r="W10214">
        <v>102.9966</v>
      </c>
      <c r="X10214">
        <v>616.00340000000006</v>
      </c>
      <c r="Y10214">
        <v>1</v>
      </c>
      <c r="Z10214">
        <v>158</v>
      </c>
      <c r="AA10214">
        <v>616.00340000000006</v>
      </c>
      <c r="AB10214">
        <v>2.5292530000000002</v>
      </c>
      <c r="AC10214">
        <v>5.6196339999999997E-2</v>
      </c>
      <c r="AD10214">
        <v>1.68266</v>
      </c>
      <c r="AE10214">
        <v>0.70894089999999998</v>
      </c>
      <c r="AF10214">
        <v>235.05680000000001</v>
      </c>
      <c r="AG10214">
        <f>IFERROR(AH10214*0.1, "N/A")</f>
        <v>6.5567989999999998</v>
      </c>
      <c r="AH10214">
        <v>65.567989999999995</v>
      </c>
      <c r="AI10214">
        <v>116.61060000000001</v>
      </c>
      <c r="AJ10214">
        <v>19.271940000000001</v>
      </c>
      <c r="AK10214">
        <v>62.160069999999997</v>
      </c>
    </row>
    <row r="10215" spans="1:37" x14ac:dyDescent="0.3">
      <c r="A10215">
        <v>10214</v>
      </c>
      <c r="B10215">
        <v>29.5</v>
      </c>
      <c r="C10215">
        <v>14.0617</v>
      </c>
      <c r="D10215">
        <v>9.5304000000000002</v>
      </c>
      <c r="E10215" t="s">
        <v>15425</v>
      </c>
      <c r="F10215" t="s">
        <v>15426</v>
      </c>
      <c r="G10215" t="s">
        <v>39</v>
      </c>
      <c r="H10215">
        <v>1995</v>
      </c>
      <c r="I10215">
        <v>27.5</v>
      </c>
      <c r="J10215">
        <v>12.8</v>
      </c>
      <c r="K10215">
        <v>60</v>
      </c>
      <c r="L10215">
        <v>20.99</v>
      </c>
      <c r="M10215">
        <v>38.700000000000003</v>
      </c>
      <c r="N10215">
        <v>17.7</v>
      </c>
      <c r="O10215">
        <v>21</v>
      </c>
      <c r="P10215">
        <v>25.5</v>
      </c>
      <c r="Q10215">
        <v>26.5</v>
      </c>
      <c r="R10215">
        <v>30.7</v>
      </c>
      <c r="S10215">
        <v>25.5</v>
      </c>
      <c r="T10215">
        <v>861</v>
      </c>
      <c r="U10215">
        <v>219</v>
      </c>
      <c r="V10215">
        <v>0</v>
      </c>
      <c r="W10215">
        <v>109</v>
      </c>
      <c r="X10215">
        <v>571</v>
      </c>
      <c r="Y10215">
        <v>0</v>
      </c>
      <c r="Z10215">
        <v>120</v>
      </c>
      <c r="AA10215">
        <v>571</v>
      </c>
      <c r="AB10215">
        <v>12.588950000000001</v>
      </c>
      <c r="AC10215">
        <v>1.07332E-2</v>
      </c>
      <c r="AD10215">
        <v>1.1754169999999999</v>
      </c>
      <c r="AE10215">
        <v>0.68840900000000005</v>
      </c>
      <c r="AF10215">
        <v>318.38</v>
      </c>
      <c r="AG10215">
        <f>IFERROR(AH10215*0.1, "N/A")</f>
        <v>6.6000000000000005</v>
      </c>
      <c r="AH10215">
        <v>66</v>
      </c>
      <c r="AI10215">
        <v>209.7251</v>
      </c>
      <c r="AJ10215">
        <v>28.082899999999999</v>
      </c>
      <c r="AK10215">
        <v>52.471499999999999</v>
      </c>
    </row>
    <row r="10216" spans="1:37" x14ac:dyDescent="0.3">
      <c r="A10216">
        <v>10215</v>
      </c>
      <c r="B10216">
        <v>89.5</v>
      </c>
      <c r="C10216">
        <v>14.066700000000001</v>
      </c>
      <c r="D10216">
        <v>9.5333299999999994</v>
      </c>
      <c r="E10216" t="s">
        <v>15427</v>
      </c>
      <c r="F10216" t="s">
        <v>15428</v>
      </c>
      <c r="G10216" t="s">
        <v>39</v>
      </c>
      <c r="H10216">
        <v>1990</v>
      </c>
      <c r="I10216">
        <v>27.45731</v>
      </c>
      <c r="J10216">
        <v>12.8</v>
      </c>
      <c r="K10216">
        <v>60</v>
      </c>
      <c r="L10216">
        <v>21.131910000000001</v>
      </c>
      <c r="M10216">
        <v>38.615830000000003</v>
      </c>
      <c r="N10216">
        <v>17.615839999999999</v>
      </c>
      <c r="O10216">
        <v>21</v>
      </c>
      <c r="P10216">
        <v>25.45731</v>
      </c>
      <c r="Q10216">
        <v>26.46368</v>
      </c>
      <c r="R10216">
        <v>30.7</v>
      </c>
      <c r="S10216">
        <v>25.45731</v>
      </c>
      <c r="T10216">
        <v>863.16179999999997</v>
      </c>
      <c r="U10216">
        <v>219.8417</v>
      </c>
      <c r="V10216">
        <v>0</v>
      </c>
      <c r="W10216">
        <v>108.1704</v>
      </c>
      <c r="X10216">
        <v>572.74699999999996</v>
      </c>
      <c r="Y10216">
        <v>0</v>
      </c>
      <c r="Z10216">
        <v>120.4148</v>
      </c>
      <c r="AA10216">
        <v>572.74699999999996</v>
      </c>
      <c r="AB10216">
        <v>5.096552</v>
      </c>
      <c r="AC10216">
        <v>0.1244637</v>
      </c>
      <c r="AD10216">
        <v>2.1193490000000001</v>
      </c>
      <c r="AE10216">
        <v>0.68008599999999997</v>
      </c>
      <c r="AF10216">
        <v>322.57659999999998</v>
      </c>
      <c r="AG10216">
        <f>IFERROR(AH10216*0.1, "N/A")</f>
        <v>6.5521510000000012</v>
      </c>
      <c r="AH10216">
        <v>65.521510000000006</v>
      </c>
      <c r="AI10216">
        <v>140.57900000000001</v>
      </c>
      <c r="AJ10216">
        <v>31.158349999999999</v>
      </c>
      <c r="AK10216">
        <v>47.777970000000003</v>
      </c>
    </row>
    <row r="10217" spans="1:37" x14ac:dyDescent="0.3">
      <c r="A10217">
        <v>10216</v>
      </c>
      <c r="B10217">
        <v>5.5</v>
      </c>
      <c r="C10217">
        <v>14.066700000000001</v>
      </c>
      <c r="D10217">
        <v>9.5333299999999994</v>
      </c>
      <c r="E10217" t="s">
        <v>15427</v>
      </c>
      <c r="F10217" t="s">
        <v>15429</v>
      </c>
      <c r="G10217" t="s">
        <v>37</v>
      </c>
      <c r="H10217">
        <v>1990</v>
      </c>
      <c r="I10217">
        <v>27.45731</v>
      </c>
      <c r="J10217">
        <v>12.8</v>
      </c>
      <c r="K10217">
        <v>60</v>
      </c>
      <c r="L10217">
        <v>21.131910000000001</v>
      </c>
      <c r="M10217">
        <v>38.615830000000003</v>
      </c>
      <c r="N10217">
        <v>17.615839999999999</v>
      </c>
      <c r="O10217">
        <v>21</v>
      </c>
      <c r="P10217">
        <v>25.45731</v>
      </c>
      <c r="Q10217">
        <v>26.46368</v>
      </c>
      <c r="R10217">
        <v>30.7</v>
      </c>
      <c r="S10217">
        <v>25.45731</v>
      </c>
      <c r="T10217">
        <v>863.16179999999997</v>
      </c>
      <c r="U10217">
        <v>219.8417</v>
      </c>
      <c r="V10217">
        <v>0</v>
      </c>
      <c r="W10217">
        <v>108.1704</v>
      </c>
      <c r="X10217">
        <v>572.74699999999996</v>
      </c>
      <c r="Y10217">
        <v>0</v>
      </c>
      <c r="Z10217">
        <v>120.4148</v>
      </c>
      <c r="AA10217">
        <v>572.74699999999996</v>
      </c>
      <c r="AB10217">
        <v>5.096552</v>
      </c>
      <c r="AC10217">
        <v>0.1244637</v>
      </c>
      <c r="AD10217">
        <v>2.1193490000000001</v>
      </c>
      <c r="AE10217">
        <v>0.68008599999999997</v>
      </c>
      <c r="AF10217">
        <v>322.57659999999998</v>
      </c>
      <c r="AG10217">
        <f>IFERROR(AH10217*0.1, "N/A")</f>
        <v>6.5521510000000012</v>
      </c>
      <c r="AH10217">
        <v>65.521510000000006</v>
      </c>
      <c r="AI10217">
        <v>140.57900000000001</v>
      </c>
      <c r="AJ10217">
        <v>31.158349999999999</v>
      </c>
      <c r="AK10217">
        <v>47.777970000000003</v>
      </c>
    </row>
    <row r="10218" spans="1:37" x14ac:dyDescent="0.3">
      <c r="A10218">
        <v>10217</v>
      </c>
      <c r="B10218">
        <v>1.8</v>
      </c>
      <c r="C10218">
        <v>14.066700000000001</v>
      </c>
      <c r="D10218">
        <v>9.5333299999999994</v>
      </c>
      <c r="E10218" t="s">
        <v>15427</v>
      </c>
      <c r="F10218" t="s">
        <v>15430</v>
      </c>
      <c r="G10218" t="s">
        <v>2420</v>
      </c>
      <c r="H10218">
        <v>1990</v>
      </c>
      <c r="I10218">
        <v>27.45731</v>
      </c>
      <c r="J10218">
        <v>12.8</v>
      </c>
      <c r="K10218">
        <v>60</v>
      </c>
      <c r="L10218">
        <v>21.131910000000001</v>
      </c>
      <c r="M10218">
        <v>38.615830000000003</v>
      </c>
      <c r="N10218">
        <v>17.615839999999999</v>
      </c>
      <c r="O10218">
        <v>21</v>
      </c>
      <c r="P10218">
        <v>25.45731</v>
      </c>
      <c r="Q10218">
        <v>26.46368</v>
      </c>
      <c r="R10218">
        <v>30.7</v>
      </c>
      <c r="S10218">
        <v>25.45731</v>
      </c>
      <c r="T10218">
        <v>863.16179999999997</v>
      </c>
      <c r="U10218">
        <v>219.8417</v>
      </c>
      <c r="V10218">
        <v>0</v>
      </c>
      <c r="W10218">
        <v>108.1704</v>
      </c>
      <c r="X10218">
        <v>572.74699999999996</v>
      </c>
      <c r="Y10218">
        <v>0</v>
      </c>
      <c r="Z10218">
        <v>120.4148</v>
      </c>
      <c r="AA10218">
        <v>572.74699999999996</v>
      </c>
      <c r="AB10218">
        <v>5.096552</v>
      </c>
      <c r="AC10218">
        <v>0.1244637</v>
      </c>
      <c r="AD10218">
        <v>2.1193490000000001</v>
      </c>
      <c r="AE10218">
        <v>0.68008599999999997</v>
      </c>
      <c r="AF10218">
        <v>322.57659999999998</v>
      </c>
      <c r="AG10218">
        <f>IFERROR(AH10218*0.1, "N/A")</f>
        <v>6.5521510000000012</v>
      </c>
      <c r="AH10218">
        <v>65.521510000000006</v>
      </c>
      <c r="AI10218">
        <v>140.57900000000001</v>
      </c>
      <c r="AJ10218">
        <v>31.158349999999999</v>
      </c>
      <c r="AK10218">
        <v>47.777970000000003</v>
      </c>
    </row>
    <row r="10219" spans="1:37" x14ac:dyDescent="0.3">
      <c r="A10219">
        <v>10218</v>
      </c>
      <c r="B10219">
        <v>60</v>
      </c>
      <c r="C10219">
        <v>13.7667</v>
      </c>
      <c r="D10219">
        <v>9.5583299999999998</v>
      </c>
      <c r="E10219" t="s">
        <v>15431</v>
      </c>
      <c r="F10219" t="s">
        <v>15432</v>
      </c>
      <c r="G10219" t="s">
        <v>39</v>
      </c>
      <c r="H10219">
        <v>1990</v>
      </c>
      <c r="I10219">
        <v>27.534020000000002</v>
      </c>
      <c r="J10219">
        <v>12.9</v>
      </c>
      <c r="K10219">
        <v>60</v>
      </c>
      <c r="L10219">
        <v>21.375910000000001</v>
      </c>
      <c r="M10219">
        <v>38.886009999999999</v>
      </c>
      <c r="N10219">
        <v>17.600000000000001</v>
      </c>
      <c r="O10219">
        <v>21.286010000000001</v>
      </c>
      <c r="P10219">
        <v>25.472190000000001</v>
      </c>
      <c r="Q10219">
        <v>26.68601</v>
      </c>
      <c r="R10219">
        <v>30.74784</v>
      </c>
      <c r="S10219">
        <v>25.472190000000001</v>
      </c>
      <c r="T10219">
        <v>920.83420000000001</v>
      </c>
      <c r="U10219">
        <v>228.27809999999999</v>
      </c>
      <c r="V10219">
        <v>0</v>
      </c>
      <c r="W10219">
        <v>106</v>
      </c>
      <c r="X10219">
        <v>592.55610000000001</v>
      </c>
      <c r="Y10219">
        <v>0</v>
      </c>
      <c r="Z10219">
        <v>139</v>
      </c>
      <c r="AA10219">
        <v>592.55610000000001</v>
      </c>
      <c r="AB10219">
        <v>6.5383389999999997</v>
      </c>
      <c r="AC10219">
        <v>2.3197639999999999E-2</v>
      </c>
      <c r="AD10219">
        <v>0.95674360000000003</v>
      </c>
      <c r="AE10219">
        <v>0.68945889999999999</v>
      </c>
      <c r="AF10219">
        <v>291.25729999999999</v>
      </c>
      <c r="AG10219">
        <f>IFERROR(AH10219*0.1, "N/A")</f>
        <v>6.8000000000000007</v>
      </c>
      <c r="AH10219">
        <v>68</v>
      </c>
      <c r="AI10219">
        <v>198.41380000000001</v>
      </c>
      <c r="AJ10219">
        <v>22.564769999999999</v>
      </c>
      <c r="AK10219">
        <v>62.435229999999997</v>
      </c>
    </row>
    <row r="10220" spans="1:37" x14ac:dyDescent="0.3">
      <c r="A10220">
        <v>10219</v>
      </c>
      <c r="B10220">
        <v>29.5</v>
      </c>
      <c r="C10220">
        <v>13.7667</v>
      </c>
      <c r="D10220">
        <v>9.5583299999999998</v>
      </c>
      <c r="E10220" t="s">
        <v>15431</v>
      </c>
      <c r="F10220" t="s">
        <v>15433</v>
      </c>
      <c r="G10220" t="s">
        <v>37</v>
      </c>
      <c r="H10220">
        <v>1990</v>
      </c>
      <c r="I10220">
        <v>27.534020000000002</v>
      </c>
      <c r="J10220">
        <v>12.9</v>
      </c>
      <c r="K10220">
        <v>60</v>
      </c>
      <c r="L10220">
        <v>21.375910000000001</v>
      </c>
      <c r="M10220">
        <v>38.886009999999999</v>
      </c>
      <c r="N10220">
        <v>17.600000000000001</v>
      </c>
      <c r="O10220">
        <v>21.286010000000001</v>
      </c>
      <c r="P10220">
        <v>25.472190000000001</v>
      </c>
      <c r="Q10220">
        <v>26.68601</v>
      </c>
      <c r="R10220">
        <v>30.74784</v>
      </c>
      <c r="S10220">
        <v>25.472190000000001</v>
      </c>
      <c r="T10220">
        <v>920.83420000000001</v>
      </c>
      <c r="U10220">
        <v>228.27809999999999</v>
      </c>
      <c r="V10220">
        <v>0</v>
      </c>
      <c r="W10220">
        <v>106</v>
      </c>
      <c r="X10220">
        <v>592.55610000000001</v>
      </c>
      <c r="Y10220">
        <v>0</v>
      </c>
      <c r="Z10220">
        <v>139</v>
      </c>
      <c r="AA10220">
        <v>592.55610000000001</v>
      </c>
      <c r="AB10220">
        <v>6.5383389999999997</v>
      </c>
      <c r="AC10220">
        <v>2.3197639999999999E-2</v>
      </c>
      <c r="AD10220">
        <v>0.95674360000000003</v>
      </c>
      <c r="AE10220">
        <v>0.68945889999999999</v>
      </c>
      <c r="AF10220">
        <v>291.25729999999999</v>
      </c>
      <c r="AG10220">
        <f>IFERROR(AH10220*0.1, "N/A")</f>
        <v>6.8000000000000007</v>
      </c>
      <c r="AH10220">
        <v>68</v>
      </c>
      <c r="AI10220">
        <v>198.41380000000001</v>
      </c>
      <c r="AJ10220">
        <v>22.564769999999999</v>
      </c>
      <c r="AK10220">
        <v>62.435229999999997</v>
      </c>
    </row>
    <row r="10221" spans="1:37" x14ac:dyDescent="0.3">
      <c r="A10221">
        <v>10220</v>
      </c>
      <c r="B10221">
        <v>2.2999999999999998</v>
      </c>
      <c r="C10221">
        <v>13.7667</v>
      </c>
      <c r="D10221">
        <v>9.5583299999999998</v>
      </c>
      <c r="E10221" t="s">
        <v>15431</v>
      </c>
      <c r="F10221" t="s">
        <v>15434</v>
      </c>
      <c r="G10221" t="s">
        <v>2420</v>
      </c>
      <c r="H10221">
        <v>1990</v>
      </c>
      <c r="I10221">
        <v>27.534020000000002</v>
      </c>
      <c r="J10221">
        <v>12.9</v>
      </c>
      <c r="K10221">
        <v>60</v>
      </c>
      <c r="L10221">
        <v>21.375910000000001</v>
      </c>
      <c r="M10221">
        <v>38.886009999999999</v>
      </c>
      <c r="N10221">
        <v>17.600000000000001</v>
      </c>
      <c r="O10221">
        <v>21.286010000000001</v>
      </c>
      <c r="P10221">
        <v>25.472190000000001</v>
      </c>
      <c r="Q10221">
        <v>26.68601</v>
      </c>
      <c r="R10221">
        <v>30.74784</v>
      </c>
      <c r="S10221">
        <v>25.472190000000001</v>
      </c>
      <c r="T10221">
        <v>920.83420000000001</v>
      </c>
      <c r="U10221">
        <v>228.27809999999999</v>
      </c>
      <c r="V10221">
        <v>0</v>
      </c>
      <c r="W10221">
        <v>106</v>
      </c>
      <c r="X10221">
        <v>592.55610000000001</v>
      </c>
      <c r="Y10221">
        <v>0</v>
      </c>
      <c r="Z10221">
        <v>139</v>
      </c>
      <c r="AA10221">
        <v>592.55610000000001</v>
      </c>
      <c r="AB10221">
        <v>6.5383389999999997</v>
      </c>
      <c r="AC10221">
        <v>2.3197639999999999E-2</v>
      </c>
      <c r="AD10221">
        <v>0.95674360000000003</v>
      </c>
      <c r="AE10221">
        <v>0.68945889999999999</v>
      </c>
      <c r="AF10221">
        <v>291.25729999999999</v>
      </c>
      <c r="AG10221">
        <f>IFERROR(AH10221*0.1, "N/A")</f>
        <v>6.8000000000000007</v>
      </c>
      <c r="AH10221">
        <v>68</v>
      </c>
      <c r="AI10221">
        <v>198.41380000000001</v>
      </c>
      <c r="AJ10221">
        <v>22.564769999999999</v>
      </c>
      <c r="AK10221">
        <v>62.435229999999997</v>
      </c>
    </row>
    <row r="10222" spans="1:37" x14ac:dyDescent="0.3">
      <c r="A10222">
        <v>10221</v>
      </c>
      <c r="B10222">
        <v>64.7</v>
      </c>
      <c r="C10222">
        <v>13.920400000000001</v>
      </c>
      <c r="D10222">
        <v>9.6358099999999993</v>
      </c>
      <c r="E10222" t="s">
        <v>15435</v>
      </c>
      <c r="F10222" t="s">
        <v>15436</v>
      </c>
      <c r="G10222" t="s">
        <v>39</v>
      </c>
      <c r="H10222">
        <v>1987</v>
      </c>
      <c r="I10222">
        <v>28</v>
      </c>
      <c r="J10222">
        <v>12.9</v>
      </c>
      <c r="K10222">
        <v>61</v>
      </c>
      <c r="L10222">
        <v>20.81</v>
      </c>
      <c r="M10222">
        <v>39.200000000000003</v>
      </c>
      <c r="N10222">
        <v>18.2</v>
      </c>
      <c r="O10222">
        <v>21</v>
      </c>
      <c r="P10222">
        <v>26.1</v>
      </c>
      <c r="Q10222">
        <v>27</v>
      </c>
      <c r="R10222">
        <v>31.2</v>
      </c>
      <c r="S10222">
        <v>26.1</v>
      </c>
      <c r="T10222">
        <v>871</v>
      </c>
      <c r="U10222">
        <v>222</v>
      </c>
      <c r="V10222">
        <v>0</v>
      </c>
      <c r="W10222">
        <v>107</v>
      </c>
      <c r="X10222">
        <v>570</v>
      </c>
      <c r="Y10222">
        <v>0</v>
      </c>
      <c r="Z10222">
        <v>125</v>
      </c>
      <c r="AA10222">
        <v>570</v>
      </c>
      <c r="AB10222">
        <v>17.863910000000001</v>
      </c>
      <c r="AC10222">
        <v>2.3905840000000001E-2</v>
      </c>
      <c r="AD10222">
        <v>5.0785099999999996</v>
      </c>
      <c r="AE10222">
        <v>0.56993879999999997</v>
      </c>
      <c r="AF10222">
        <v>241.67359999999999</v>
      </c>
      <c r="AG10222">
        <f>IFERROR(AH10222*0.1, "N/A")</f>
        <v>6.899827000000001</v>
      </c>
      <c r="AH10222">
        <v>68.998270000000005</v>
      </c>
      <c r="AI10222">
        <v>297.4255</v>
      </c>
      <c r="AJ10222">
        <v>25</v>
      </c>
      <c r="AK10222">
        <v>51.001730000000002</v>
      </c>
    </row>
    <row r="10223" spans="1:37" x14ac:dyDescent="0.3">
      <c r="A10223">
        <v>10222</v>
      </c>
      <c r="B10223">
        <v>40.700000000000003</v>
      </c>
      <c r="C10223">
        <v>13.372199999999999</v>
      </c>
      <c r="D10223">
        <v>9.6722199999999994</v>
      </c>
      <c r="E10223" t="s">
        <v>15437</v>
      </c>
      <c r="F10223" t="s">
        <v>15438</v>
      </c>
      <c r="G10223" t="s">
        <v>39</v>
      </c>
      <c r="H10223">
        <v>1987</v>
      </c>
      <c r="I10223">
        <v>27.3</v>
      </c>
      <c r="J10223">
        <v>13.1</v>
      </c>
      <c r="K10223">
        <v>60</v>
      </c>
      <c r="L10223">
        <v>20.9</v>
      </c>
      <c r="M10223">
        <v>38.6</v>
      </c>
      <c r="N10223">
        <v>17</v>
      </c>
      <c r="O10223">
        <v>21.6</v>
      </c>
      <c r="P10223">
        <v>25.3</v>
      </c>
      <c r="Q10223">
        <v>26.4</v>
      </c>
      <c r="R10223">
        <v>30.5</v>
      </c>
      <c r="S10223">
        <v>25.3</v>
      </c>
      <c r="T10223">
        <v>955</v>
      </c>
      <c r="U10223">
        <v>236</v>
      </c>
      <c r="V10223">
        <v>0</v>
      </c>
      <c r="W10223">
        <v>105</v>
      </c>
      <c r="X10223">
        <v>608</v>
      </c>
      <c r="Y10223">
        <v>0</v>
      </c>
      <c r="Z10223">
        <v>149</v>
      </c>
      <c r="AA10223">
        <v>608</v>
      </c>
      <c r="AB10223">
        <v>20.37914</v>
      </c>
      <c r="AC10223">
        <v>1.1407860000000001E-2</v>
      </c>
      <c r="AD10223">
        <v>1.309601</v>
      </c>
      <c r="AE10223">
        <v>0.69188689999999997</v>
      </c>
      <c r="AF10223">
        <v>329.42759999999998</v>
      </c>
      <c r="AG10223">
        <f>IFERROR(AH10223*0.1, "N/A")</f>
        <v>6.5562070000000006</v>
      </c>
      <c r="AH10223">
        <v>65.562070000000006</v>
      </c>
      <c r="AI10223">
        <v>223.39150000000001</v>
      </c>
      <c r="AJ10223">
        <v>20.562069999999999</v>
      </c>
      <c r="AK10223">
        <v>55.751719999999999</v>
      </c>
    </row>
    <row r="10224" spans="1:37" x14ac:dyDescent="0.3">
      <c r="A10224">
        <v>10223</v>
      </c>
      <c r="B10224">
        <v>8.5</v>
      </c>
      <c r="C10224">
        <v>13.85</v>
      </c>
      <c r="D10224">
        <v>9.6833299999999998</v>
      </c>
      <c r="E10224" t="s">
        <v>15439</v>
      </c>
      <c r="F10224" t="s">
        <v>15440</v>
      </c>
      <c r="G10224" t="s">
        <v>39</v>
      </c>
      <c r="H10224">
        <v>1990</v>
      </c>
      <c r="I10224">
        <v>27.803799999999999</v>
      </c>
      <c r="J10224">
        <v>12.9</v>
      </c>
      <c r="K10224">
        <v>61</v>
      </c>
      <c r="L10224">
        <v>20.94867</v>
      </c>
      <c r="M10224">
        <v>39.003799999999998</v>
      </c>
      <c r="N10224">
        <v>17.9038</v>
      </c>
      <c r="O10224">
        <v>21.1</v>
      </c>
      <c r="P10224">
        <v>25.88653</v>
      </c>
      <c r="Q10224">
        <v>26.803799999999999</v>
      </c>
      <c r="R10224">
        <v>31</v>
      </c>
      <c r="S10224">
        <v>25.88653</v>
      </c>
      <c r="T10224">
        <v>889.91359999999997</v>
      </c>
      <c r="U10224">
        <v>225.96199999999999</v>
      </c>
      <c r="V10224">
        <v>0</v>
      </c>
      <c r="W10224">
        <v>106</v>
      </c>
      <c r="X10224">
        <v>577.77890000000002</v>
      </c>
      <c r="Y10224">
        <v>0</v>
      </c>
      <c r="Z10224">
        <v>131</v>
      </c>
      <c r="AA10224">
        <v>577.77890000000002</v>
      </c>
      <c r="AB10224">
        <v>4.2573369999999997</v>
      </c>
      <c r="AC10224">
        <v>2.401901E-2</v>
      </c>
      <c r="AD10224">
        <v>1.45648</v>
      </c>
      <c r="AE10224">
        <v>0.68340400000000001</v>
      </c>
      <c r="AF10224">
        <v>246.2107</v>
      </c>
      <c r="AG10224">
        <f>IFERROR(AH10224*0.1, "N/A")</f>
        <v>6.894991000000001</v>
      </c>
      <c r="AH10224">
        <v>68.949910000000003</v>
      </c>
      <c r="AI10224">
        <v>159.61879999999999</v>
      </c>
      <c r="AJ10224">
        <v>26.103629999999999</v>
      </c>
      <c r="AK10224">
        <v>56.791020000000003</v>
      </c>
    </row>
    <row r="10225" spans="1:37" x14ac:dyDescent="0.3">
      <c r="A10225">
        <v>10224</v>
      </c>
      <c r="B10225">
        <v>21.1</v>
      </c>
      <c r="C10225">
        <v>13.85</v>
      </c>
      <c r="D10225">
        <v>9.6833299999999998</v>
      </c>
      <c r="E10225" t="s">
        <v>15439</v>
      </c>
      <c r="F10225" t="s">
        <v>15441</v>
      </c>
      <c r="G10225" t="s">
        <v>37</v>
      </c>
      <c r="H10225">
        <v>1990</v>
      </c>
      <c r="I10225">
        <v>27.803799999999999</v>
      </c>
      <c r="J10225">
        <v>12.9</v>
      </c>
      <c r="K10225">
        <v>61</v>
      </c>
      <c r="L10225">
        <v>20.94867</v>
      </c>
      <c r="M10225">
        <v>39.003799999999998</v>
      </c>
      <c r="N10225">
        <v>17.9038</v>
      </c>
      <c r="O10225">
        <v>21.1</v>
      </c>
      <c r="P10225">
        <v>25.88653</v>
      </c>
      <c r="Q10225">
        <v>26.803799999999999</v>
      </c>
      <c r="R10225">
        <v>31</v>
      </c>
      <c r="S10225">
        <v>25.88653</v>
      </c>
      <c r="T10225">
        <v>889.91359999999997</v>
      </c>
      <c r="U10225">
        <v>225.96199999999999</v>
      </c>
      <c r="V10225">
        <v>0</v>
      </c>
      <c r="W10225">
        <v>106</v>
      </c>
      <c r="X10225">
        <v>577.77890000000002</v>
      </c>
      <c r="Y10225">
        <v>0</v>
      </c>
      <c r="Z10225">
        <v>131</v>
      </c>
      <c r="AA10225">
        <v>577.77890000000002</v>
      </c>
      <c r="AB10225">
        <v>4.2573369999999997</v>
      </c>
      <c r="AC10225">
        <v>2.401901E-2</v>
      </c>
      <c r="AD10225">
        <v>1.45648</v>
      </c>
      <c r="AE10225">
        <v>0.68340400000000001</v>
      </c>
      <c r="AF10225">
        <v>246.2107</v>
      </c>
      <c r="AG10225">
        <f>IFERROR(AH10225*0.1, "N/A")</f>
        <v>6.894991000000001</v>
      </c>
      <c r="AH10225">
        <v>68.949910000000003</v>
      </c>
      <c r="AI10225">
        <v>159.61879999999999</v>
      </c>
      <c r="AJ10225">
        <v>26.103629999999999</v>
      </c>
      <c r="AK10225">
        <v>56.791020000000003</v>
      </c>
    </row>
    <row r="10226" spans="1:37" x14ac:dyDescent="0.3">
      <c r="A10226">
        <v>10225</v>
      </c>
      <c r="B10226">
        <v>0</v>
      </c>
      <c r="C10226">
        <v>13.85</v>
      </c>
      <c r="D10226">
        <v>9.6833299999999998</v>
      </c>
      <c r="E10226" t="s">
        <v>15439</v>
      </c>
      <c r="F10226" t="s">
        <v>15442</v>
      </c>
      <c r="G10226" t="s">
        <v>2420</v>
      </c>
      <c r="H10226">
        <v>1990</v>
      </c>
      <c r="I10226">
        <v>27.803799999999999</v>
      </c>
      <c r="J10226">
        <v>12.9</v>
      </c>
      <c r="K10226">
        <v>61</v>
      </c>
      <c r="L10226">
        <v>20.94867</v>
      </c>
      <c r="M10226">
        <v>39.003799999999998</v>
      </c>
      <c r="N10226">
        <v>17.9038</v>
      </c>
      <c r="O10226">
        <v>21.1</v>
      </c>
      <c r="P10226">
        <v>25.88653</v>
      </c>
      <c r="Q10226">
        <v>26.803799999999999</v>
      </c>
      <c r="R10226">
        <v>31</v>
      </c>
      <c r="S10226">
        <v>25.88653</v>
      </c>
      <c r="T10226">
        <v>889.91359999999997</v>
      </c>
      <c r="U10226">
        <v>225.96199999999999</v>
      </c>
      <c r="V10226">
        <v>0</v>
      </c>
      <c r="W10226">
        <v>106</v>
      </c>
      <c r="X10226">
        <v>577.77890000000002</v>
      </c>
      <c r="Y10226">
        <v>0</v>
      </c>
      <c r="Z10226">
        <v>131</v>
      </c>
      <c r="AA10226">
        <v>577.77890000000002</v>
      </c>
      <c r="AB10226">
        <v>4.2573369999999997</v>
      </c>
      <c r="AC10226">
        <v>2.401901E-2</v>
      </c>
      <c r="AD10226">
        <v>1.45648</v>
      </c>
      <c r="AE10226">
        <v>0.68340400000000001</v>
      </c>
      <c r="AF10226">
        <v>246.2107</v>
      </c>
      <c r="AG10226">
        <f>IFERROR(AH10226*0.1, "N/A")</f>
        <v>6.894991000000001</v>
      </c>
      <c r="AH10226">
        <v>68.949910000000003</v>
      </c>
      <c r="AI10226">
        <v>159.61879999999999</v>
      </c>
      <c r="AJ10226">
        <v>26.103629999999999</v>
      </c>
      <c r="AK10226">
        <v>56.791020000000003</v>
      </c>
    </row>
    <row r="10227" spans="1:37" x14ac:dyDescent="0.3">
      <c r="A10227">
        <v>10226</v>
      </c>
      <c r="B10227">
        <v>82.6</v>
      </c>
      <c r="C10227">
        <v>13.55</v>
      </c>
      <c r="D10227">
        <v>9.7111099999999997</v>
      </c>
      <c r="E10227" t="s">
        <v>15443</v>
      </c>
      <c r="F10227" t="s">
        <v>15444</v>
      </c>
      <c r="G10227" t="s">
        <v>39</v>
      </c>
      <c r="H10227">
        <v>1990</v>
      </c>
      <c r="I10227">
        <v>26.7</v>
      </c>
      <c r="J10227">
        <v>13.1</v>
      </c>
      <c r="K10227">
        <v>61</v>
      </c>
      <c r="L10227">
        <v>20.491959999999999</v>
      </c>
      <c r="M10227">
        <v>37.934539999999998</v>
      </c>
      <c r="N10227">
        <v>16.634540000000001</v>
      </c>
      <c r="O10227">
        <v>21.3</v>
      </c>
      <c r="P10227">
        <v>24.734539999999999</v>
      </c>
      <c r="Q10227">
        <v>25.8</v>
      </c>
      <c r="R10227">
        <v>29.834540000000001</v>
      </c>
      <c r="S10227">
        <v>24.734539999999999</v>
      </c>
      <c r="T10227">
        <v>962.30930000000001</v>
      </c>
      <c r="U10227">
        <v>241</v>
      </c>
      <c r="V10227">
        <v>0</v>
      </c>
      <c r="W10227">
        <v>105</v>
      </c>
      <c r="X10227">
        <v>615.65459999999996</v>
      </c>
      <c r="Y10227">
        <v>0</v>
      </c>
      <c r="Z10227">
        <v>149</v>
      </c>
      <c r="AA10227">
        <v>615.65459999999996</v>
      </c>
      <c r="AB10227">
        <v>13.42046</v>
      </c>
      <c r="AC10227">
        <v>2.240166E-2</v>
      </c>
      <c r="AD10227">
        <v>1.790508</v>
      </c>
      <c r="AE10227">
        <v>0.68090620000000002</v>
      </c>
      <c r="AF10227">
        <v>436.7079</v>
      </c>
      <c r="AG10227">
        <f>IFERROR(AH10227*0.1, "N/A")</f>
        <v>6.4524050000000006</v>
      </c>
      <c r="AH10227">
        <v>64.524050000000003</v>
      </c>
      <c r="AI10227">
        <v>114.02119999999999</v>
      </c>
      <c r="AJ10227">
        <v>16.962199999999999</v>
      </c>
      <c r="AK10227">
        <v>64.140889999999999</v>
      </c>
    </row>
    <row r="10228" spans="1:37" x14ac:dyDescent="0.3">
      <c r="A10228">
        <v>10227</v>
      </c>
      <c r="B10228">
        <v>22.5</v>
      </c>
      <c r="C10228">
        <v>13.55</v>
      </c>
      <c r="D10228">
        <v>9.7111099999999997</v>
      </c>
      <c r="E10228" t="s">
        <v>15443</v>
      </c>
      <c r="F10228" t="s">
        <v>15445</v>
      </c>
      <c r="G10228" t="s">
        <v>37</v>
      </c>
      <c r="H10228">
        <v>1990</v>
      </c>
      <c r="I10228">
        <v>26.7</v>
      </c>
      <c r="J10228">
        <v>13.1</v>
      </c>
      <c r="K10228">
        <v>61</v>
      </c>
      <c r="L10228">
        <v>20.491959999999999</v>
      </c>
      <c r="M10228">
        <v>37.934539999999998</v>
      </c>
      <c r="N10228">
        <v>16.634540000000001</v>
      </c>
      <c r="O10228">
        <v>21.3</v>
      </c>
      <c r="P10228">
        <v>24.734539999999999</v>
      </c>
      <c r="Q10228">
        <v>25.8</v>
      </c>
      <c r="R10228">
        <v>29.834540000000001</v>
      </c>
      <c r="S10228">
        <v>24.734539999999999</v>
      </c>
      <c r="T10228">
        <v>962.30930000000001</v>
      </c>
      <c r="U10228">
        <v>241</v>
      </c>
      <c r="V10228">
        <v>0</v>
      </c>
      <c r="W10228">
        <v>105</v>
      </c>
      <c r="X10228">
        <v>615.65459999999996</v>
      </c>
      <c r="Y10228">
        <v>0</v>
      </c>
      <c r="Z10228">
        <v>149</v>
      </c>
      <c r="AA10228">
        <v>615.65459999999996</v>
      </c>
      <c r="AB10228">
        <v>13.42046</v>
      </c>
      <c r="AC10228">
        <v>2.240166E-2</v>
      </c>
      <c r="AD10228">
        <v>1.790508</v>
      </c>
      <c r="AE10228">
        <v>0.68090620000000002</v>
      </c>
      <c r="AF10228">
        <v>436.7079</v>
      </c>
      <c r="AG10228">
        <f>IFERROR(AH10228*0.1, "N/A")</f>
        <v>6.4524050000000006</v>
      </c>
      <c r="AH10228">
        <v>64.524050000000003</v>
      </c>
      <c r="AI10228">
        <v>114.02119999999999</v>
      </c>
      <c r="AJ10228">
        <v>16.962199999999999</v>
      </c>
      <c r="AK10228">
        <v>64.140889999999999</v>
      </c>
    </row>
    <row r="10229" spans="1:37" x14ac:dyDescent="0.3">
      <c r="A10229">
        <v>10228</v>
      </c>
      <c r="B10229">
        <v>5</v>
      </c>
      <c r="C10229">
        <v>13.55</v>
      </c>
      <c r="D10229">
        <v>9.7111099999999997</v>
      </c>
      <c r="E10229" t="s">
        <v>15443</v>
      </c>
      <c r="F10229" t="s">
        <v>15446</v>
      </c>
      <c r="G10229" t="s">
        <v>2420</v>
      </c>
      <c r="H10229">
        <v>1990</v>
      </c>
      <c r="I10229">
        <v>26.7</v>
      </c>
      <c r="J10229">
        <v>13.1</v>
      </c>
      <c r="K10229">
        <v>61</v>
      </c>
      <c r="L10229">
        <v>20.491959999999999</v>
      </c>
      <c r="M10229">
        <v>37.934539999999998</v>
      </c>
      <c r="N10229">
        <v>16.634540000000001</v>
      </c>
      <c r="O10229">
        <v>21.3</v>
      </c>
      <c r="P10229">
        <v>24.734539999999999</v>
      </c>
      <c r="Q10229">
        <v>25.8</v>
      </c>
      <c r="R10229">
        <v>29.834540000000001</v>
      </c>
      <c r="S10229">
        <v>24.734539999999999</v>
      </c>
      <c r="T10229">
        <v>962.30930000000001</v>
      </c>
      <c r="U10229">
        <v>241</v>
      </c>
      <c r="V10229">
        <v>0</v>
      </c>
      <c r="W10229">
        <v>105</v>
      </c>
      <c r="X10229">
        <v>615.65459999999996</v>
      </c>
      <c r="Y10229">
        <v>0</v>
      </c>
      <c r="Z10229">
        <v>149</v>
      </c>
      <c r="AA10229">
        <v>615.65459999999996</v>
      </c>
      <c r="AB10229">
        <v>13.42046</v>
      </c>
      <c r="AC10229">
        <v>2.240166E-2</v>
      </c>
      <c r="AD10229">
        <v>1.790508</v>
      </c>
      <c r="AE10229">
        <v>0.68090620000000002</v>
      </c>
      <c r="AF10229">
        <v>436.7079</v>
      </c>
      <c r="AG10229">
        <f>IFERROR(AH10229*0.1, "N/A")</f>
        <v>6.4524050000000006</v>
      </c>
      <c r="AH10229">
        <v>64.524050000000003</v>
      </c>
      <c r="AI10229">
        <v>114.02119999999999</v>
      </c>
      <c r="AJ10229">
        <v>16.962199999999999</v>
      </c>
      <c r="AK10229">
        <v>64.140889999999999</v>
      </c>
    </row>
    <row r="10230" spans="1:37" x14ac:dyDescent="0.3">
      <c r="A10230">
        <v>10229</v>
      </c>
      <c r="B10230">
        <v>28.1</v>
      </c>
      <c r="C10230">
        <v>13.55</v>
      </c>
      <c r="D10230">
        <v>9.718</v>
      </c>
      <c r="E10230" t="s">
        <v>15447</v>
      </c>
      <c r="F10230" t="s">
        <v>15448</v>
      </c>
      <c r="G10230" t="s">
        <v>39</v>
      </c>
      <c r="H10230">
        <v>1987</v>
      </c>
      <c r="I10230">
        <v>26.634540000000001</v>
      </c>
      <c r="J10230">
        <v>13.1</v>
      </c>
      <c r="K10230">
        <v>61</v>
      </c>
      <c r="L10230">
        <v>20.47418</v>
      </c>
      <c r="M10230">
        <v>37.834539999999997</v>
      </c>
      <c r="N10230">
        <v>16.634540000000001</v>
      </c>
      <c r="O10230">
        <v>21.2</v>
      </c>
      <c r="P10230">
        <v>24.734539999999999</v>
      </c>
      <c r="Q10230">
        <v>25.734539999999999</v>
      </c>
      <c r="R10230">
        <v>29.734539999999999</v>
      </c>
      <c r="S10230">
        <v>24.734539999999999</v>
      </c>
      <c r="T10230">
        <v>961.96370000000002</v>
      </c>
      <c r="U10230">
        <v>241.65459999999999</v>
      </c>
      <c r="V10230">
        <v>0</v>
      </c>
      <c r="W10230">
        <v>105</v>
      </c>
      <c r="X10230">
        <v>615.96370000000002</v>
      </c>
      <c r="Y10230">
        <v>0</v>
      </c>
      <c r="Z10230">
        <v>149</v>
      </c>
      <c r="AA10230">
        <v>615.96370000000002</v>
      </c>
      <c r="AB10230">
        <v>2.5675349999999999</v>
      </c>
      <c r="AC10230">
        <v>7.6517699999999994E-2</v>
      </c>
      <c r="AD10230">
        <v>2.668142</v>
      </c>
      <c r="AE10230">
        <v>0.68084540000000005</v>
      </c>
      <c r="AF10230">
        <v>430.8152</v>
      </c>
      <c r="AG10230">
        <f>IFERROR(AH10230*0.1, "N/A")</f>
        <v>6.3328150000000001</v>
      </c>
      <c r="AH10230">
        <v>63.328150000000001</v>
      </c>
      <c r="AI10230">
        <v>193.03980000000001</v>
      </c>
      <c r="AJ10230">
        <v>15.99309</v>
      </c>
      <c r="AK10230">
        <v>66.512950000000004</v>
      </c>
    </row>
    <row r="10231" spans="1:37" x14ac:dyDescent="0.3">
      <c r="A10231">
        <v>10230</v>
      </c>
      <c r="B10231">
        <v>34.700000000000003</v>
      </c>
      <c r="C10231">
        <v>13.966699999999999</v>
      </c>
      <c r="D10231">
        <v>9.75</v>
      </c>
      <c r="E10231" t="s">
        <v>15449</v>
      </c>
      <c r="F10231" t="s">
        <v>15450</v>
      </c>
      <c r="G10231" t="s">
        <v>39</v>
      </c>
      <c r="H10231">
        <v>1990</v>
      </c>
      <c r="I10231">
        <v>27.835059999999999</v>
      </c>
      <c r="J10231">
        <v>12.9</v>
      </c>
      <c r="K10231">
        <v>61.189979999999998</v>
      </c>
      <c r="L10231">
        <v>20.701499999999999</v>
      </c>
      <c r="M10231">
        <v>38.955100000000002</v>
      </c>
      <c r="N10231">
        <v>18.074090000000002</v>
      </c>
      <c r="O10231">
        <v>20.881</v>
      </c>
      <c r="P10231">
        <v>25.779969999999999</v>
      </c>
      <c r="Q10231">
        <v>26.829190000000001</v>
      </c>
      <c r="R10231">
        <v>30.929189999999998</v>
      </c>
      <c r="S10231">
        <v>25.779969999999999</v>
      </c>
      <c r="T10231">
        <v>871.5095</v>
      </c>
      <c r="U10231">
        <v>224.64940000000001</v>
      </c>
      <c r="V10231">
        <v>0</v>
      </c>
      <c r="W10231">
        <v>107.7997</v>
      </c>
      <c r="X10231">
        <v>571.10879999999997</v>
      </c>
      <c r="Y10231">
        <v>0</v>
      </c>
      <c r="Z10231">
        <v>125.2003</v>
      </c>
      <c r="AA10231">
        <v>571.10879999999997</v>
      </c>
      <c r="AB10231">
        <v>0.9792708</v>
      </c>
      <c r="AC10231">
        <v>20.766960000000001</v>
      </c>
      <c r="AD10231">
        <v>1.2284010000000001</v>
      </c>
      <c r="AE10231">
        <v>0.74365959999999998</v>
      </c>
      <c r="AF10231">
        <v>267.57170000000002</v>
      </c>
      <c r="AG10231">
        <f>IFERROR(AH10231*0.1, "N/A")</f>
        <v>6.7</v>
      </c>
      <c r="AH10231">
        <v>67</v>
      </c>
      <c r="AI10231">
        <v>106.283</v>
      </c>
      <c r="AJ10231">
        <v>26.248699999999999</v>
      </c>
      <c r="AK10231">
        <v>55.633850000000002</v>
      </c>
    </row>
    <row r="10232" spans="1:37" x14ac:dyDescent="0.3">
      <c r="A10232">
        <v>10231</v>
      </c>
      <c r="B10232">
        <v>39.5</v>
      </c>
      <c r="C10232">
        <v>13.966699999999999</v>
      </c>
      <c r="D10232">
        <v>9.75</v>
      </c>
      <c r="E10232" t="s">
        <v>15449</v>
      </c>
      <c r="F10232" t="s">
        <v>15451</v>
      </c>
      <c r="G10232" t="s">
        <v>37</v>
      </c>
      <c r="H10232">
        <v>1990</v>
      </c>
      <c r="I10232">
        <v>27.835059999999999</v>
      </c>
      <c r="J10232">
        <v>12.9</v>
      </c>
      <c r="K10232">
        <v>61.189979999999998</v>
      </c>
      <c r="L10232">
        <v>20.701499999999999</v>
      </c>
      <c r="M10232">
        <v>38.955100000000002</v>
      </c>
      <c r="N10232">
        <v>18.074090000000002</v>
      </c>
      <c r="O10232">
        <v>20.881</v>
      </c>
      <c r="P10232">
        <v>25.779969999999999</v>
      </c>
      <c r="Q10232">
        <v>26.829190000000001</v>
      </c>
      <c r="R10232">
        <v>30.929189999999998</v>
      </c>
      <c r="S10232">
        <v>25.779969999999999</v>
      </c>
      <c r="T10232">
        <v>871.5095</v>
      </c>
      <c r="U10232">
        <v>224.64940000000001</v>
      </c>
      <c r="V10232">
        <v>0</v>
      </c>
      <c r="W10232">
        <v>107.7997</v>
      </c>
      <c r="X10232">
        <v>571.10879999999997</v>
      </c>
      <c r="Y10232">
        <v>0</v>
      </c>
      <c r="Z10232">
        <v>125.2003</v>
      </c>
      <c r="AA10232">
        <v>571.10879999999997</v>
      </c>
      <c r="AB10232">
        <v>0.9792708</v>
      </c>
      <c r="AC10232">
        <v>20.766960000000001</v>
      </c>
      <c r="AD10232">
        <v>1.2284010000000001</v>
      </c>
      <c r="AE10232">
        <v>0.74365959999999998</v>
      </c>
      <c r="AF10232">
        <v>267.57170000000002</v>
      </c>
      <c r="AG10232">
        <f>IFERROR(AH10232*0.1, "N/A")</f>
        <v>6.7</v>
      </c>
      <c r="AH10232">
        <v>67</v>
      </c>
      <c r="AI10232">
        <v>106.283</v>
      </c>
      <c r="AJ10232">
        <v>26.248699999999999</v>
      </c>
      <c r="AK10232">
        <v>55.633850000000002</v>
      </c>
    </row>
    <row r="10233" spans="1:37" x14ac:dyDescent="0.3">
      <c r="A10233">
        <v>10232</v>
      </c>
      <c r="B10233">
        <v>0</v>
      </c>
      <c r="C10233">
        <v>13.966699999999999</v>
      </c>
      <c r="D10233">
        <v>9.75</v>
      </c>
      <c r="E10233" t="s">
        <v>15449</v>
      </c>
      <c r="F10233" t="s">
        <v>15452</v>
      </c>
      <c r="G10233" t="s">
        <v>2420</v>
      </c>
      <c r="H10233">
        <v>1990</v>
      </c>
      <c r="I10233">
        <v>27.835059999999999</v>
      </c>
      <c r="J10233">
        <v>12.9</v>
      </c>
      <c r="K10233">
        <v>61.189979999999998</v>
      </c>
      <c r="L10233">
        <v>20.701499999999999</v>
      </c>
      <c r="M10233">
        <v>38.955100000000002</v>
      </c>
      <c r="N10233">
        <v>18.074090000000002</v>
      </c>
      <c r="O10233">
        <v>20.881</v>
      </c>
      <c r="P10233">
        <v>25.779969999999999</v>
      </c>
      <c r="Q10233">
        <v>26.829190000000001</v>
      </c>
      <c r="R10233">
        <v>30.929189999999998</v>
      </c>
      <c r="S10233">
        <v>25.779969999999999</v>
      </c>
      <c r="T10233">
        <v>871.5095</v>
      </c>
      <c r="U10233">
        <v>224.64940000000001</v>
      </c>
      <c r="V10233">
        <v>0</v>
      </c>
      <c r="W10233">
        <v>107.7997</v>
      </c>
      <c r="X10233">
        <v>571.10879999999997</v>
      </c>
      <c r="Y10233">
        <v>0</v>
      </c>
      <c r="Z10233">
        <v>125.2003</v>
      </c>
      <c r="AA10233">
        <v>571.10879999999997</v>
      </c>
      <c r="AB10233">
        <v>0.9792708</v>
      </c>
      <c r="AC10233">
        <v>20.766960000000001</v>
      </c>
      <c r="AD10233">
        <v>1.2284010000000001</v>
      </c>
      <c r="AE10233">
        <v>0.74365959999999998</v>
      </c>
      <c r="AF10233">
        <v>267.57170000000002</v>
      </c>
      <c r="AG10233">
        <f>IFERROR(AH10233*0.1, "N/A")</f>
        <v>6.7</v>
      </c>
      <c r="AH10233">
        <v>67</v>
      </c>
      <c r="AI10233">
        <v>106.283</v>
      </c>
      <c r="AJ10233">
        <v>26.248699999999999</v>
      </c>
      <c r="AK10233">
        <v>55.633850000000002</v>
      </c>
    </row>
    <row r="10234" spans="1:37" x14ac:dyDescent="0.3">
      <c r="A10234">
        <v>10233</v>
      </c>
      <c r="B10234">
        <v>26.3</v>
      </c>
      <c r="C10234">
        <v>14.1167</v>
      </c>
      <c r="D10234">
        <v>9.8944399999999995</v>
      </c>
      <c r="E10234" t="s">
        <v>15453</v>
      </c>
      <c r="F10234" t="s">
        <v>15454</v>
      </c>
      <c r="G10234" t="s">
        <v>39</v>
      </c>
      <c r="H10234">
        <v>1990</v>
      </c>
      <c r="I10234">
        <v>27.42362</v>
      </c>
      <c r="J10234">
        <v>12.9</v>
      </c>
      <c r="K10234">
        <v>62</v>
      </c>
      <c r="L10234">
        <v>20.424019999999999</v>
      </c>
      <c r="M10234">
        <v>38.42362</v>
      </c>
      <c r="N10234">
        <v>17.747240000000001</v>
      </c>
      <c r="O10234">
        <v>20.676380000000002</v>
      </c>
      <c r="P10234">
        <v>25.42362</v>
      </c>
      <c r="Q10234">
        <v>26.323619999999998</v>
      </c>
      <c r="R10234">
        <v>30.42362</v>
      </c>
      <c r="S10234">
        <v>25.42362</v>
      </c>
      <c r="T10234">
        <v>870.05520000000001</v>
      </c>
      <c r="U10234">
        <v>232.7638</v>
      </c>
      <c r="V10234">
        <v>0</v>
      </c>
      <c r="W10234">
        <v>110</v>
      </c>
      <c r="X10234">
        <v>581.52760000000001</v>
      </c>
      <c r="Y10234">
        <v>0</v>
      </c>
      <c r="Z10234">
        <v>119.7638</v>
      </c>
      <c r="AA10234">
        <v>581.52760000000001</v>
      </c>
      <c r="AB10234">
        <v>45.450339999999997</v>
      </c>
      <c r="AC10234">
        <v>9.8319219999999999E-3</v>
      </c>
      <c r="AD10234">
        <v>15.28294</v>
      </c>
      <c r="AE10234">
        <v>0.69100300000000003</v>
      </c>
      <c r="AF10234">
        <v>425.60860000000002</v>
      </c>
      <c r="AG10234">
        <f>IFERROR(AH10234*0.1, "N/A")</f>
        <v>6.3244830000000007</v>
      </c>
      <c r="AH10234">
        <v>63.24483</v>
      </c>
      <c r="AI10234">
        <v>183.47110000000001</v>
      </c>
      <c r="AJ10234">
        <v>17.66724</v>
      </c>
      <c r="AK10234">
        <v>59.58276</v>
      </c>
    </row>
    <row r="10235" spans="1:37" x14ac:dyDescent="0.3">
      <c r="A10235">
        <v>10234</v>
      </c>
      <c r="B10235">
        <v>10.8</v>
      </c>
      <c r="C10235">
        <v>14.1167</v>
      </c>
      <c r="D10235">
        <v>9.8944399999999995</v>
      </c>
      <c r="E10235" t="s">
        <v>15453</v>
      </c>
      <c r="F10235" t="s">
        <v>15455</v>
      </c>
      <c r="G10235" t="s">
        <v>37</v>
      </c>
      <c r="H10235">
        <v>1990</v>
      </c>
      <c r="I10235">
        <v>27.42362</v>
      </c>
      <c r="J10235">
        <v>12.9</v>
      </c>
      <c r="K10235">
        <v>62</v>
      </c>
      <c r="L10235">
        <v>20.424019999999999</v>
      </c>
      <c r="M10235">
        <v>38.42362</v>
      </c>
      <c r="N10235">
        <v>17.747240000000001</v>
      </c>
      <c r="O10235">
        <v>20.676380000000002</v>
      </c>
      <c r="P10235">
        <v>25.42362</v>
      </c>
      <c r="Q10235">
        <v>26.323619999999998</v>
      </c>
      <c r="R10235">
        <v>30.42362</v>
      </c>
      <c r="S10235">
        <v>25.42362</v>
      </c>
      <c r="T10235">
        <v>870.05520000000001</v>
      </c>
      <c r="U10235">
        <v>232.7638</v>
      </c>
      <c r="V10235">
        <v>0</v>
      </c>
      <c r="W10235">
        <v>110</v>
      </c>
      <c r="X10235">
        <v>581.52760000000001</v>
      </c>
      <c r="Y10235">
        <v>0</v>
      </c>
      <c r="Z10235">
        <v>119.7638</v>
      </c>
      <c r="AA10235">
        <v>581.52760000000001</v>
      </c>
      <c r="AB10235">
        <v>45.450339999999997</v>
      </c>
      <c r="AC10235">
        <v>9.8319219999999999E-3</v>
      </c>
      <c r="AD10235">
        <v>15.28294</v>
      </c>
      <c r="AE10235">
        <v>0.69100300000000003</v>
      </c>
      <c r="AF10235">
        <v>425.60860000000002</v>
      </c>
      <c r="AG10235">
        <f>IFERROR(AH10235*0.1, "N/A")</f>
        <v>6.3244830000000007</v>
      </c>
      <c r="AH10235">
        <v>63.24483</v>
      </c>
      <c r="AI10235">
        <v>183.47110000000001</v>
      </c>
      <c r="AJ10235">
        <v>17.66724</v>
      </c>
      <c r="AK10235">
        <v>59.58276</v>
      </c>
    </row>
    <row r="10236" spans="1:37" x14ac:dyDescent="0.3">
      <c r="A10236">
        <v>10235</v>
      </c>
      <c r="B10236">
        <v>0</v>
      </c>
      <c r="C10236">
        <v>14.1167</v>
      </c>
      <c r="D10236">
        <v>9.8944399999999995</v>
      </c>
      <c r="E10236" t="s">
        <v>15453</v>
      </c>
      <c r="F10236" t="s">
        <v>15456</v>
      </c>
      <c r="G10236" t="s">
        <v>2420</v>
      </c>
      <c r="H10236">
        <v>1990</v>
      </c>
      <c r="I10236">
        <v>27.42362</v>
      </c>
      <c r="J10236">
        <v>12.9</v>
      </c>
      <c r="K10236">
        <v>62</v>
      </c>
      <c r="L10236">
        <v>20.424019999999999</v>
      </c>
      <c r="M10236">
        <v>38.42362</v>
      </c>
      <c r="N10236">
        <v>17.747240000000001</v>
      </c>
      <c r="O10236">
        <v>20.676380000000002</v>
      </c>
      <c r="P10236">
        <v>25.42362</v>
      </c>
      <c r="Q10236">
        <v>26.323619999999998</v>
      </c>
      <c r="R10236">
        <v>30.42362</v>
      </c>
      <c r="S10236">
        <v>25.42362</v>
      </c>
      <c r="T10236">
        <v>870.05520000000001</v>
      </c>
      <c r="U10236">
        <v>232.7638</v>
      </c>
      <c r="V10236">
        <v>0</v>
      </c>
      <c r="W10236">
        <v>110</v>
      </c>
      <c r="X10236">
        <v>581.52760000000001</v>
      </c>
      <c r="Y10236">
        <v>0</v>
      </c>
      <c r="Z10236">
        <v>119.7638</v>
      </c>
      <c r="AA10236">
        <v>581.52760000000001</v>
      </c>
      <c r="AB10236">
        <v>45.450339999999997</v>
      </c>
      <c r="AC10236">
        <v>9.8319219999999999E-3</v>
      </c>
      <c r="AD10236">
        <v>15.28294</v>
      </c>
      <c r="AE10236">
        <v>0.69100300000000003</v>
      </c>
      <c r="AF10236">
        <v>425.60860000000002</v>
      </c>
      <c r="AG10236">
        <f>IFERROR(AH10236*0.1, "N/A")</f>
        <v>6.3244830000000007</v>
      </c>
      <c r="AH10236">
        <v>63.24483</v>
      </c>
      <c r="AI10236">
        <v>183.47110000000001</v>
      </c>
      <c r="AJ10236">
        <v>17.66724</v>
      </c>
      <c r="AK10236">
        <v>59.58276</v>
      </c>
    </row>
    <row r="10237" spans="1:37" x14ac:dyDescent="0.3">
      <c r="A10237">
        <v>10236</v>
      </c>
      <c r="B10237">
        <v>61.4</v>
      </c>
      <c r="C10237">
        <v>13.95</v>
      </c>
      <c r="D10237">
        <v>9.9333299999999998</v>
      </c>
      <c r="E10237" t="s">
        <v>15457</v>
      </c>
      <c r="F10237" t="s">
        <v>15458</v>
      </c>
      <c r="G10237" t="s">
        <v>39</v>
      </c>
      <c r="H10237">
        <v>1990</v>
      </c>
      <c r="I10237">
        <v>27.436430000000001</v>
      </c>
      <c r="J10237">
        <v>13.06357</v>
      </c>
      <c r="K10237">
        <v>62.314430000000002</v>
      </c>
      <c r="L10237">
        <v>19.96866</v>
      </c>
      <c r="M10237">
        <v>38.468559999999997</v>
      </c>
      <c r="N10237">
        <v>17.7</v>
      </c>
      <c r="O10237">
        <v>20.768560000000001</v>
      </c>
      <c r="P10237">
        <v>25.568560000000002</v>
      </c>
      <c r="Q10237">
        <v>26.3</v>
      </c>
      <c r="R10237">
        <v>30.457039999999999</v>
      </c>
      <c r="S10237">
        <v>25.568560000000002</v>
      </c>
      <c r="T10237">
        <v>900.50170000000003</v>
      </c>
      <c r="U10237">
        <v>236.31440000000001</v>
      </c>
      <c r="V10237">
        <v>0</v>
      </c>
      <c r="W10237">
        <v>107.3643</v>
      </c>
      <c r="X10237">
        <v>585.62890000000004</v>
      </c>
      <c r="Y10237">
        <v>0</v>
      </c>
      <c r="Z10237">
        <v>132.43639999999999</v>
      </c>
      <c r="AA10237">
        <v>585.62890000000004</v>
      </c>
      <c r="AB10237">
        <v>6.0346989999999998</v>
      </c>
      <c r="AC10237">
        <v>1.1417760000000001E-2</v>
      </c>
      <c r="AD10237">
        <v>1.5283929999999999</v>
      </c>
      <c r="AE10237">
        <v>0.79181230000000002</v>
      </c>
      <c r="AF10237">
        <v>344.83510000000001</v>
      </c>
      <c r="AG10237">
        <f>IFERROR(AH10237*0.1, "N/A")</f>
        <v>6.7453609999999999</v>
      </c>
      <c r="AH10237">
        <v>67.453609999999998</v>
      </c>
      <c r="AI10237">
        <v>163.84299999999999</v>
      </c>
      <c r="AJ10237">
        <v>24.44502</v>
      </c>
      <c r="AK10237">
        <v>53.664949999999997</v>
      </c>
    </row>
    <row r="10238" spans="1:37" x14ac:dyDescent="0.3">
      <c r="A10238">
        <v>10237</v>
      </c>
      <c r="B10238">
        <v>39.5</v>
      </c>
      <c r="C10238">
        <v>13.95</v>
      </c>
      <c r="D10238">
        <v>9.9333299999999998</v>
      </c>
      <c r="E10238" t="s">
        <v>15457</v>
      </c>
      <c r="F10238" t="s">
        <v>15459</v>
      </c>
      <c r="G10238" t="s">
        <v>37</v>
      </c>
      <c r="H10238">
        <v>1990</v>
      </c>
      <c r="I10238">
        <v>27.436430000000001</v>
      </c>
      <c r="J10238">
        <v>13.06357</v>
      </c>
      <c r="K10238">
        <v>62.314430000000002</v>
      </c>
      <c r="L10238">
        <v>19.96866</v>
      </c>
      <c r="M10238">
        <v>38.468559999999997</v>
      </c>
      <c r="N10238">
        <v>17.7</v>
      </c>
      <c r="O10238">
        <v>20.768560000000001</v>
      </c>
      <c r="P10238">
        <v>25.568560000000002</v>
      </c>
      <c r="Q10238">
        <v>26.3</v>
      </c>
      <c r="R10238">
        <v>30.457039999999999</v>
      </c>
      <c r="S10238">
        <v>25.568560000000002</v>
      </c>
      <c r="T10238">
        <v>900.50170000000003</v>
      </c>
      <c r="U10238">
        <v>236.31440000000001</v>
      </c>
      <c r="V10238">
        <v>0</v>
      </c>
      <c r="W10238">
        <v>107.3643</v>
      </c>
      <c r="X10238">
        <v>585.62890000000004</v>
      </c>
      <c r="Y10238">
        <v>0</v>
      </c>
      <c r="Z10238">
        <v>132.43639999999999</v>
      </c>
      <c r="AA10238">
        <v>585.62890000000004</v>
      </c>
      <c r="AB10238">
        <v>6.0346989999999998</v>
      </c>
      <c r="AC10238">
        <v>1.1417760000000001E-2</v>
      </c>
      <c r="AD10238">
        <v>1.5283929999999999</v>
      </c>
      <c r="AE10238">
        <v>0.79181230000000002</v>
      </c>
      <c r="AF10238">
        <v>344.83510000000001</v>
      </c>
      <c r="AG10238">
        <f>IFERROR(AH10238*0.1, "N/A")</f>
        <v>6.7453609999999999</v>
      </c>
      <c r="AH10238">
        <v>67.453609999999998</v>
      </c>
      <c r="AI10238">
        <v>163.84299999999999</v>
      </c>
      <c r="AJ10238">
        <v>24.44502</v>
      </c>
      <c r="AK10238">
        <v>53.664949999999997</v>
      </c>
    </row>
    <row r="10239" spans="1:37" x14ac:dyDescent="0.3">
      <c r="A10239">
        <v>10238</v>
      </c>
      <c r="B10239">
        <v>2.2999999999999998</v>
      </c>
      <c r="C10239">
        <v>13.95</v>
      </c>
      <c r="D10239">
        <v>9.9333299999999998</v>
      </c>
      <c r="E10239" t="s">
        <v>15457</v>
      </c>
      <c r="F10239" t="s">
        <v>15460</v>
      </c>
      <c r="G10239" t="s">
        <v>2420</v>
      </c>
      <c r="H10239">
        <v>1990</v>
      </c>
      <c r="I10239">
        <v>27.436430000000001</v>
      </c>
      <c r="J10239">
        <v>13.06357</v>
      </c>
      <c r="K10239">
        <v>62.314430000000002</v>
      </c>
      <c r="L10239">
        <v>19.96866</v>
      </c>
      <c r="M10239">
        <v>38.468559999999997</v>
      </c>
      <c r="N10239">
        <v>17.7</v>
      </c>
      <c r="O10239">
        <v>20.768560000000001</v>
      </c>
      <c r="P10239">
        <v>25.568560000000002</v>
      </c>
      <c r="Q10239">
        <v>26.3</v>
      </c>
      <c r="R10239">
        <v>30.457039999999999</v>
      </c>
      <c r="S10239">
        <v>25.568560000000002</v>
      </c>
      <c r="T10239">
        <v>900.50170000000003</v>
      </c>
      <c r="U10239">
        <v>236.31440000000001</v>
      </c>
      <c r="V10239">
        <v>0</v>
      </c>
      <c r="W10239">
        <v>107.3643</v>
      </c>
      <c r="X10239">
        <v>585.62890000000004</v>
      </c>
      <c r="Y10239">
        <v>0</v>
      </c>
      <c r="Z10239">
        <v>132.43639999999999</v>
      </c>
      <c r="AA10239">
        <v>585.62890000000004</v>
      </c>
      <c r="AB10239">
        <v>6.0346989999999998</v>
      </c>
      <c r="AC10239">
        <v>1.1417760000000001E-2</v>
      </c>
      <c r="AD10239">
        <v>1.5283929999999999</v>
      </c>
      <c r="AE10239">
        <v>0.79181230000000002</v>
      </c>
      <c r="AF10239">
        <v>344.83510000000001</v>
      </c>
      <c r="AG10239">
        <f>IFERROR(AH10239*0.1, "N/A")</f>
        <v>6.7453609999999999</v>
      </c>
      <c r="AH10239">
        <v>67.453609999999998</v>
      </c>
      <c r="AI10239">
        <v>163.84299999999999</v>
      </c>
      <c r="AJ10239">
        <v>24.44502</v>
      </c>
      <c r="AK10239">
        <v>53.664949999999997</v>
      </c>
    </row>
    <row r="10240" spans="1:37" x14ac:dyDescent="0.3">
      <c r="A10240">
        <v>10239</v>
      </c>
      <c r="B10240">
        <v>80</v>
      </c>
      <c r="C10240">
        <v>14.8223</v>
      </c>
      <c r="D10240">
        <v>9.9458800000000007</v>
      </c>
      <c r="E10240" t="s">
        <v>15461</v>
      </c>
      <c r="F10240" t="s">
        <v>15462</v>
      </c>
      <c r="G10240" t="s">
        <v>39</v>
      </c>
      <c r="H10240">
        <v>1995</v>
      </c>
      <c r="I10240">
        <v>28</v>
      </c>
      <c r="J10240">
        <v>13</v>
      </c>
      <c r="K10240">
        <v>62</v>
      </c>
      <c r="L10240">
        <v>20.99</v>
      </c>
      <c r="M10240">
        <v>38.9</v>
      </c>
      <c r="N10240">
        <v>18.100000000000001</v>
      </c>
      <c r="O10240">
        <v>20.8</v>
      </c>
      <c r="P10240">
        <v>25.9</v>
      </c>
      <c r="Q10240">
        <v>26.7</v>
      </c>
      <c r="R10240">
        <v>31.2</v>
      </c>
      <c r="S10240">
        <v>25.9</v>
      </c>
      <c r="T10240">
        <v>861</v>
      </c>
      <c r="U10240">
        <v>246</v>
      </c>
      <c r="V10240">
        <v>0</v>
      </c>
      <c r="W10240">
        <v>116</v>
      </c>
      <c r="X10240">
        <v>598</v>
      </c>
      <c r="Y10240">
        <v>0</v>
      </c>
      <c r="Z10240">
        <v>108</v>
      </c>
      <c r="AA10240">
        <v>598</v>
      </c>
      <c r="AB10240">
        <v>2.2917420000000002</v>
      </c>
      <c r="AC10240">
        <v>2.218345E-2</v>
      </c>
      <c r="AD10240">
        <v>1.6837690000000001</v>
      </c>
      <c r="AE10240">
        <v>0.69188620000000001</v>
      </c>
      <c r="AF10240">
        <v>355.2715</v>
      </c>
      <c r="AG10240">
        <f>IFERROR(AH10240*0.1, "N/A")</f>
        <v>5.8000000000000007</v>
      </c>
      <c r="AH10240">
        <v>58</v>
      </c>
      <c r="AI10240">
        <v>117.4568</v>
      </c>
      <c r="AJ10240">
        <v>14</v>
      </c>
      <c r="AK10240">
        <v>68.915809999999993</v>
      </c>
    </row>
    <row r="10241" spans="1:37" x14ac:dyDescent="0.3">
      <c r="A10241">
        <v>10240</v>
      </c>
      <c r="B10241">
        <v>20.8</v>
      </c>
      <c r="C10241">
        <v>13.6167</v>
      </c>
      <c r="D10241">
        <v>9.9666700000000006</v>
      </c>
      <c r="E10241" t="s">
        <v>15463</v>
      </c>
      <c r="F10241" t="s">
        <v>15464</v>
      </c>
      <c r="G10241" t="s">
        <v>39</v>
      </c>
      <c r="H10241">
        <v>1990</v>
      </c>
      <c r="I10241">
        <v>26.5</v>
      </c>
      <c r="J10241">
        <v>13.2</v>
      </c>
      <c r="K10241">
        <v>62</v>
      </c>
      <c r="L10241">
        <v>19.89547</v>
      </c>
      <c r="M10241">
        <v>37.628990000000002</v>
      </c>
      <c r="N10241">
        <v>16.56878</v>
      </c>
      <c r="O10241">
        <v>21.060210000000001</v>
      </c>
      <c r="P10241">
        <v>24.645800000000001</v>
      </c>
      <c r="Q10241">
        <v>25.5</v>
      </c>
      <c r="R10241">
        <v>29.52899</v>
      </c>
      <c r="S10241">
        <v>24.645800000000001</v>
      </c>
      <c r="T10241">
        <v>940.87819999999999</v>
      </c>
      <c r="U10241">
        <v>246.71010000000001</v>
      </c>
      <c r="V10241">
        <v>0</v>
      </c>
      <c r="W10241">
        <v>108</v>
      </c>
      <c r="X10241">
        <v>611.87819999999999</v>
      </c>
      <c r="Y10241">
        <v>0</v>
      </c>
      <c r="Z10241">
        <v>140</v>
      </c>
      <c r="AA10241">
        <v>611.87819999999999</v>
      </c>
      <c r="AB10241">
        <v>7.2468219999999999</v>
      </c>
      <c r="AC10241">
        <v>8.9269510000000007E-3</v>
      </c>
      <c r="AD10241">
        <v>1.3944700000000001</v>
      </c>
      <c r="AE10241">
        <v>0.72729169999999999</v>
      </c>
      <c r="AF10241">
        <v>464.40309999999999</v>
      </c>
      <c r="AG10241">
        <f>IFERROR(AH10241*0.1, "N/A")</f>
        <v>6.8000000000000007</v>
      </c>
      <c r="AH10241">
        <v>68</v>
      </c>
      <c r="AI10241">
        <v>199.5231</v>
      </c>
      <c r="AJ10241">
        <v>23.101199999999999</v>
      </c>
      <c r="AK10241">
        <v>54.814749999999997</v>
      </c>
    </row>
    <row r="10242" spans="1:37" x14ac:dyDescent="0.3">
      <c r="A10242">
        <v>10241</v>
      </c>
      <c r="B10242">
        <v>71.400000000000006</v>
      </c>
      <c r="C10242">
        <v>13.6167</v>
      </c>
      <c r="D10242">
        <v>9.9666700000000006</v>
      </c>
      <c r="E10242" t="s">
        <v>15463</v>
      </c>
      <c r="F10242" t="s">
        <v>15465</v>
      </c>
      <c r="G10242" t="s">
        <v>37</v>
      </c>
      <c r="H10242">
        <v>1990</v>
      </c>
      <c r="I10242">
        <v>26.5</v>
      </c>
      <c r="J10242">
        <v>13.2</v>
      </c>
      <c r="K10242">
        <v>62</v>
      </c>
      <c r="L10242">
        <v>19.89547</v>
      </c>
      <c r="M10242">
        <v>37.628990000000002</v>
      </c>
      <c r="N10242">
        <v>16.56878</v>
      </c>
      <c r="O10242">
        <v>21.060210000000001</v>
      </c>
      <c r="P10242">
        <v>24.645800000000001</v>
      </c>
      <c r="Q10242">
        <v>25.5</v>
      </c>
      <c r="R10242">
        <v>29.52899</v>
      </c>
      <c r="S10242">
        <v>24.645800000000001</v>
      </c>
      <c r="T10242">
        <v>940.87819999999999</v>
      </c>
      <c r="U10242">
        <v>246.71010000000001</v>
      </c>
      <c r="V10242">
        <v>0</v>
      </c>
      <c r="W10242">
        <v>108</v>
      </c>
      <c r="X10242">
        <v>611.87819999999999</v>
      </c>
      <c r="Y10242">
        <v>0</v>
      </c>
      <c r="Z10242">
        <v>140</v>
      </c>
      <c r="AA10242">
        <v>611.87819999999999</v>
      </c>
      <c r="AB10242">
        <v>7.2468219999999999</v>
      </c>
      <c r="AC10242">
        <v>8.9269510000000007E-3</v>
      </c>
      <c r="AD10242">
        <v>1.3944700000000001</v>
      </c>
      <c r="AE10242">
        <v>0.72729169999999999</v>
      </c>
      <c r="AF10242">
        <v>464.40309999999999</v>
      </c>
      <c r="AG10242">
        <f>IFERROR(AH10242*0.1, "N/A")</f>
        <v>6.8000000000000007</v>
      </c>
      <c r="AH10242">
        <v>68</v>
      </c>
      <c r="AI10242">
        <v>199.5231</v>
      </c>
      <c r="AJ10242">
        <v>23.101199999999999</v>
      </c>
      <c r="AK10242">
        <v>54.814749999999997</v>
      </c>
    </row>
    <row r="10243" spans="1:37" x14ac:dyDescent="0.3">
      <c r="A10243">
        <v>10242</v>
      </c>
      <c r="B10243">
        <v>0</v>
      </c>
      <c r="C10243">
        <v>13.6167</v>
      </c>
      <c r="D10243">
        <v>9.9666700000000006</v>
      </c>
      <c r="E10243" t="s">
        <v>15463</v>
      </c>
      <c r="F10243" t="s">
        <v>15466</v>
      </c>
      <c r="G10243" t="s">
        <v>2420</v>
      </c>
      <c r="H10243">
        <v>1990</v>
      </c>
      <c r="I10243">
        <v>26.5</v>
      </c>
      <c r="J10243">
        <v>13.2</v>
      </c>
      <c r="K10243">
        <v>62</v>
      </c>
      <c r="L10243">
        <v>19.89547</v>
      </c>
      <c r="M10243">
        <v>37.628990000000002</v>
      </c>
      <c r="N10243">
        <v>16.56878</v>
      </c>
      <c r="O10243">
        <v>21.060210000000001</v>
      </c>
      <c r="P10243">
        <v>24.645800000000001</v>
      </c>
      <c r="Q10243">
        <v>25.5</v>
      </c>
      <c r="R10243">
        <v>29.52899</v>
      </c>
      <c r="S10243">
        <v>24.645800000000001</v>
      </c>
      <c r="T10243">
        <v>940.87819999999999</v>
      </c>
      <c r="U10243">
        <v>246.71010000000001</v>
      </c>
      <c r="V10243">
        <v>0</v>
      </c>
      <c r="W10243">
        <v>108</v>
      </c>
      <c r="X10243">
        <v>611.87819999999999</v>
      </c>
      <c r="Y10243">
        <v>0</v>
      </c>
      <c r="Z10243">
        <v>140</v>
      </c>
      <c r="AA10243">
        <v>611.87819999999999</v>
      </c>
      <c r="AB10243">
        <v>7.2468219999999999</v>
      </c>
      <c r="AC10243">
        <v>8.9269510000000007E-3</v>
      </c>
      <c r="AD10243">
        <v>1.3944700000000001</v>
      </c>
      <c r="AE10243">
        <v>0.72729169999999999</v>
      </c>
      <c r="AF10243">
        <v>464.40309999999999</v>
      </c>
      <c r="AG10243">
        <f>IFERROR(AH10243*0.1, "N/A")</f>
        <v>6.8000000000000007</v>
      </c>
      <c r="AH10243">
        <v>68</v>
      </c>
      <c r="AI10243">
        <v>199.5231</v>
      </c>
      <c r="AJ10243">
        <v>23.101199999999999</v>
      </c>
      <c r="AK10243">
        <v>54.814749999999997</v>
      </c>
    </row>
    <row r="10244" spans="1:37" x14ac:dyDescent="0.3">
      <c r="A10244">
        <v>10243</v>
      </c>
      <c r="B10244">
        <v>74.2</v>
      </c>
      <c r="C10244">
        <v>14.850899999999999</v>
      </c>
      <c r="D10244">
        <v>9.9699799999999996</v>
      </c>
      <c r="E10244" t="s">
        <v>15467</v>
      </c>
      <c r="F10244" t="s">
        <v>15468</v>
      </c>
      <c r="G10244" t="s">
        <v>39</v>
      </c>
      <c r="H10244">
        <v>1995</v>
      </c>
      <c r="I10244">
        <v>28</v>
      </c>
      <c r="J10244">
        <v>13</v>
      </c>
      <c r="K10244">
        <v>62</v>
      </c>
      <c r="L10244">
        <v>21.089759999999998</v>
      </c>
      <c r="M10244">
        <v>39</v>
      </c>
      <c r="N10244">
        <v>18.100000000000001</v>
      </c>
      <c r="O10244">
        <v>20.9</v>
      </c>
      <c r="P10244">
        <v>25.900169999999999</v>
      </c>
      <c r="Q10244">
        <v>26.70017</v>
      </c>
      <c r="R10244">
        <v>31.2</v>
      </c>
      <c r="S10244">
        <v>25.900169999999999</v>
      </c>
      <c r="T10244">
        <v>857.99829999999997</v>
      </c>
      <c r="U10244">
        <v>246</v>
      </c>
      <c r="V10244">
        <v>0</v>
      </c>
      <c r="W10244">
        <v>116</v>
      </c>
      <c r="X10244">
        <v>597</v>
      </c>
      <c r="Y10244">
        <v>0</v>
      </c>
      <c r="Z10244">
        <v>107</v>
      </c>
      <c r="AA10244">
        <v>597</v>
      </c>
      <c r="AB10244">
        <v>2.7374200000000002</v>
      </c>
      <c r="AC10244">
        <v>9.2924730000000007E-3</v>
      </c>
      <c r="AD10244">
        <v>2.1338170000000001</v>
      </c>
      <c r="AE10244">
        <v>0.68234459999999997</v>
      </c>
      <c r="AF10244">
        <v>358.71030000000002</v>
      </c>
      <c r="AG10244">
        <f>IFERROR(AH10244*0.1, "N/A")</f>
        <v>5.9001720000000004</v>
      </c>
      <c r="AH10244">
        <v>59.001719999999999</v>
      </c>
      <c r="AI10244">
        <v>248.7424</v>
      </c>
      <c r="AJ10244">
        <v>15.193099999999999</v>
      </c>
      <c r="AK10244">
        <v>62.808619999999998</v>
      </c>
    </row>
    <row r="10245" spans="1:37" x14ac:dyDescent="0.3">
      <c r="A10245">
        <v>10244</v>
      </c>
      <c r="B10245">
        <v>16</v>
      </c>
      <c r="C10245">
        <v>13.5222</v>
      </c>
      <c r="D10245">
        <v>9.9833300000000005</v>
      </c>
      <c r="E10245" t="s">
        <v>15469</v>
      </c>
      <c r="F10245" t="s">
        <v>15470</v>
      </c>
      <c r="G10245" t="s">
        <v>39</v>
      </c>
      <c r="H10245">
        <v>1990</v>
      </c>
      <c r="I10245">
        <v>26.22</v>
      </c>
      <c r="J10245">
        <v>13.3</v>
      </c>
      <c r="K10245">
        <v>62.8</v>
      </c>
      <c r="L10245">
        <v>19.614000000000001</v>
      </c>
      <c r="M10245">
        <v>37.32</v>
      </c>
      <c r="N10245">
        <v>16.2</v>
      </c>
      <c r="O10245">
        <v>21.12</v>
      </c>
      <c r="P10245">
        <v>24.4</v>
      </c>
      <c r="Q10245">
        <v>25.2</v>
      </c>
      <c r="R10245">
        <v>29.22</v>
      </c>
      <c r="S10245">
        <v>24.4</v>
      </c>
      <c r="T10245">
        <v>948</v>
      </c>
      <c r="U10245">
        <v>249</v>
      </c>
      <c r="V10245">
        <v>0</v>
      </c>
      <c r="W10245">
        <v>107</v>
      </c>
      <c r="X10245">
        <v>617</v>
      </c>
      <c r="Y10245">
        <v>0</v>
      </c>
      <c r="Z10245">
        <v>142</v>
      </c>
      <c r="AA10245">
        <v>617</v>
      </c>
      <c r="AB10245">
        <v>11.84897</v>
      </c>
      <c r="AC10245">
        <v>9.1948100000000005E-2</v>
      </c>
      <c r="AD10245">
        <v>1.3146739999999999</v>
      </c>
      <c r="AE10245">
        <v>0.70954950000000006</v>
      </c>
      <c r="AF10245">
        <v>494.73099999999999</v>
      </c>
      <c r="AG10245">
        <f>IFERROR(AH10245*0.1, "N/A")</f>
        <v>6.6000000000000005</v>
      </c>
      <c r="AH10245">
        <v>66</v>
      </c>
      <c r="AI10245">
        <v>248.14789999999999</v>
      </c>
      <c r="AJ10245">
        <v>17</v>
      </c>
      <c r="AK10245">
        <v>60</v>
      </c>
    </row>
    <row r="10246" spans="1:37" x14ac:dyDescent="0.3">
      <c r="A10246">
        <v>10245</v>
      </c>
      <c r="B10246">
        <v>74</v>
      </c>
      <c r="C10246">
        <v>13.5222</v>
      </c>
      <c r="D10246">
        <v>9.9833300000000005</v>
      </c>
      <c r="E10246" t="s">
        <v>15469</v>
      </c>
      <c r="F10246" t="s">
        <v>15471</v>
      </c>
      <c r="G10246" t="s">
        <v>37</v>
      </c>
      <c r="H10246">
        <v>1990</v>
      </c>
      <c r="I10246">
        <v>26.22</v>
      </c>
      <c r="J10246">
        <v>13.3</v>
      </c>
      <c r="K10246">
        <v>62.8</v>
      </c>
      <c r="L10246">
        <v>19.614000000000001</v>
      </c>
      <c r="M10246">
        <v>37.32</v>
      </c>
      <c r="N10246">
        <v>16.2</v>
      </c>
      <c r="O10246">
        <v>21.12</v>
      </c>
      <c r="P10246">
        <v>24.4</v>
      </c>
      <c r="Q10246">
        <v>25.2</v>
      </c>
      <c r="R10246">
        <v>29.22</v>
      </c>
      <c r="S10246">
        <v>24.4</v>
      </c>
      <c r="T10246">
        <v>948</v>
      </c>
      <c r="U10246">
        <v>249</v>
      </c>
      <c r="V10246">
        <v>0</v>
      </c>
      <c r="W10246">
        <v>107</v>
      </c>
      <c r="X10246">
        <v>617</v>
      </c>
      <c r="Y10246">
        <v>0</v>
      </c>
      <c r="Z10246">
        <v>142</v>
      </c>
      <c r="AA10246">
        <v>617</v>
      </c>
      <c r="AB10246">
        <v>11.84897</v>
      </c>
      <c r="AC10246">
        <v>9.1948100000000005E-2</v>
      </c>
      <c r="AD10246">
        <v>1.3146739999999999</v>
      </c>
      <c r="AE10246">
        <v>0.70954950000000006</v>
      </c>
      <c r="AF10246">
        <v>494.73099999999999</v>
      </c>
      <c r="AG10246">
        <f>IFERROR(AH10246*0.1, "N/A")</f>
        <v>6.6000000000000005</v>
      </c>
      <c r="AH10246">
        <v>66</v>
      </c>
      <c r="AI10246">
        <v>248.14789999999999</v>
      </c>
      <c r="AJ10246">
        <v>17</v>
      </c>
      <c r="AK10246">
        <v>60</v>
      </c>
    </row>
    <row r="10247" spans="1:37" x14ac:dyDescent="0.3">
      <c r="A10247">
        <v>10246</v>
      </c>
      <c r="B10247">
        <v>0</v>
      </c>
      <c r="C10247">
        <v>13.5222</v>
      </c>
      <c r="D10247">
        <v>9.9833300000000005</v>
      </c>
      <c r="E10247" t="s">
        <v>15469</v>
      </c>
      <c r="F10247" t="s">
        <v>15472</v>
      </c>
      <c r="G10247" t="s">
        <v>2420</v>
      </c>
      <c r="H10247">
        <v>1990</v>
      </c>
      <c r="I10247">
        <v>26.22</v>
      </c>
      <c r="J10247">
        <v>13.3</v>
      </c>
      <c r="K10247">
        <v>62.8</v>
      </c>
      <c r="L10247">
        <v>19.614000000000001</v>
      </c>
      <c r="M10247">
        <v>37.32</v>
      </c>
      <c r="N10247">
        <v>16.2</v>
      </c>
      <c r="O10247">
        <v>21.12</v>
      </c>
      <c r="P10247">
        <v>24.4</v>
      </c>
      <c r="Q10247">
        <v>25.2</v>
      </c>
      <c r="R10247">
        <v>29.22</v>
      </c>
      <c r="S10247">
        <v>24.4</v>
      </c>
      <c r="T10247">
        <v>948</v>
      </c>
      <c r="U10247">
        <v>249</v>
      </c>
      <c r="V10247">
        <v>0</v>
      </c>
      <c r="W10247">
        <v>107</v>
      </c>
      <c r="X10247">
        <v>617</v>
      </c>
      <c r="Y10247">
        <v>0</v>
      </c>
      <c r="Z10247">
        <v>142</v>
      </c>
      <c r="AA10247">
        <v>617</v>
      </c>
      <c r="AB10247">
        <v>11.84897</v>
      </c>
      <c r="AC10247">
        <v>9.1948100000000005E-2</v>
      </c>
      <c r="AD10247">
        <v>1.3146739999999999</v>
      </c>
      <c r="AE10247">
        <v>0.70954950000000006</v>
      </c>
      <c r="AF10247">
        <v>494.73099999999999</v>
      </c>
      <c r="AG10247">
        <f>IFERROR(AH10247*0.1, "N/A")</f>
        <v>6.6000000000000005</v>
      </c>
      <c r="AH10247">
        <v>66</v>
      </c>
      <c r="AI10247">
        <v>248.14789999999999</v>
      </c>
      <c r="AJ10247">
        <v>17</v>
      </c>
      <c r="AK10247">
        <v>60</v>
      </c>
    </row>
    <row r="10248" spans="1:37" x14ac:dyDescent="0.3">
      <c r="A10248">
        <v>10247</v>
      </c>
      <c r="B10248">
        <v>58.9</v>
      </c>
      <c r="C10248">
        <v>15.055</v>
      </c>
      <c r="D10248">
        <v>9.9858799999999999</v>
      </c>
      <c r="E10248" t="s">
        <v>15473</v>
      </c>
      <c r="F10248" t="s">
        <v>15474</v>
      </c>
      <c r="G10248" t="s">
        <v>39</v>
      </c>
      <c r="H10248">
        <v>1995</v>
      </c>
      <c r="I10248">
        <v>28</v>
      </c>
      <c r="J10248">
        <v>13.1</v>
      </c>
      <c r="K10248">
        <v>62</v>
      </c>
      <c r="L10248">
        <v>20.12</v>
      </c>
      <c r="M10248">
        <v>39</v>
      </c>
      <c r="N10248">
        <v>17.899999999999999</v>
      </c>
      <c r="O10248">
        <v>21.1</v>
      </c>
      <c r="P10248">
        <v>26.1</v>
      </c>
      <c r="Q10248">
        <v>26.6</v>
      </c>
      <c r="R10248">
        <v>31</v>
      </c>
      <c r="S10248">
        <v>26.1</v>
      </c>
      <c r="T10248">
        <v>832</v>
      </c>
      <c r="U10248">
        <v>244</v>
      </c>
      <c r="V10248">
        <v>0</v>
      </c>
      <c r="W10248">
        <v>118</v>
      </c>
      <c r="X10248">
        <v>584</v>
      </c>
      <c r="Y10248">
        <v>0</v>
      </c>
      <c r="Z10248">
        <v>97</v>
      </c>
      <c r="AA10248">
        <v>584</v>
      </c>
      <c r="AB10248">
        <v>0.22898879999999999</v>
      </c>
      <c r="AC10248">
        <v>0.23182829999999999</v>
      </c>
      <c r="AD10248">
        <v>1.2367980000000001</v>
      </c>
      <c r="AE10248">
        <v>0.69362219999999997</v>
      </c>
      <c r="AF10248">
        <v>343.69470000000001</v>
      </c>
      <c r="AG10248">
        <f>IFERROR(AH10248*0.1, "N/A")</f>
        <v>6.3000000000000007</v>
      </c>
      <c r="AH10248">
        <v>63</v>
      </c>
      <c r="AI10248">
        <v>213.5112</v>
      </c>
      <c r="AJ10248">
        <v>13</v>
      </c>
      <c r="AK10248">
        <v>67.948539999999994</v>
      </c>
    </row>
    <row r="10249" spans="1:37" x14ac:dyDescent="0.3">
      <c r="A10249">
        <v>10248</v>
      </c>
      <c r="B10249">
        <v>30.4</v>
      </c>
      <c r="C10249">
        <v>15.1683</v>
      </c>
      <c r="D10249">
        <v>9.9960199999999997</v>
      </c>
      <c r="E10249" t="s">
        <v>15475</v>
      </c>
      <c r="F10249" t="s">
        <v>15476</v>
      </c>
      <c r="G10249" t="s">
        <v>39</v>
      </c>
      <c r="H10249">
        <v>1995</v>
      </c>
      <c r="I10249">
        <v>28</v>
      </c>
      <c r="J10249">
        <v>13.2</v>
      </c>
      <c r="K10249">
        <v>61</v>
      </c>
      <c r="L10249">
        <v>20.05</v>
      </c>
      <c r="M10249">
        <v>39.1</v>
      </c>
      <c r="N10249">
        <v>17.8</v>
      </c>
      <c r="O10249">
        <v>21.3</v>
      </c>
      <c r="P10249">
        <v>26.2</v>
      </c>
      <c r="Q10249">
        <v>26.7</v>
      </c>
      <c r="R10249">
        <v>31.1</v>
      </c>
      <c r="S10249">
        <v>26.2</v>
      </c>
      <c r="T10249">
        <v>816</v>
      </c>
      <c r="U10249">
        <v>242</v>
      </c>
      <c r="V10249">
        <v>0</v>
      </c>
      <c r="W10249">
        <v>119</v>
      </c>
      <c r="X10249">
        <v>579</v>
      </c>
      <c r="Y10249">
        <v>0</v>
      </c>
      <c r="Z10249">
        <v>89</v>
      </c>
      <c r="AA10249">
        <v>579</v>
      </c>
      <c r="AB10249">
        <v>1.7339089999999999</v>
      </c>
      <c r="AC10249">
        <v>8.6525439999999999E-3</v>
      </c>
      <c r="AD10249">
        <v>1.920417</v>
      </c>
      <c r="AE10249">
        <v>0.54550469999999995</v>
      </c>
      <c r="AF10249">
        <v>326.76420000000002</v>
      </c>
      <c r="AG10249">
        <f>IFERROR(AH10249*0.1, "N/A")</f>
        <v>6.1068850000000001</v>
      </c>
      <c r="AH10249">
        <v>61.068849999999998</v>
      </c>
      <c r="AI10249">
        <v>195.55719999999999</v>
      </c>
      <c r="AJ10249">
        <v>25.034420000000001</v>
      </c>
      <c r="AK10249">
        <v>53.034419999999997</v>
      </c>
    </row>
    <row r="10250" spans="1:37" x14ac:dyDescent="0.3">
      <c r="A10250">
        <v>10249</v>
      </c>
      <c r="B10250">
        <v>27</v>
      </c>
      <c r="C10250">
        <v>15.115</v>
      </c>
      <c r="D10250">
        <v>9.9979999999999993</v>
      </c>
      <c r="E10250" t="s">
        <v>15477</v>
      </c>
      <c r="F10250" t="s">
        <v>15478</v>
      </c>
      <c r="G10250" t="s">
        <v>39</v>
      </c>
      <c r="H10250">
        <v>1987</v>
      </c>
      <c r="I10250">
        <v>28</v>
      </c>
      <c r="J10250">
        <v>13.2</v>
      </c>
      <c r="K10250">
        <v>62</v>
      </c>
      <c r="L10250">
        <v>20.07</v>
      </c>
      <c r="M10250">
        <v>39</v>
      </c>
      <c r="N10250">
        <v>17.8</v>
      </c>
      <c r="O10250">
        <v>21.2</v>
      </c>
      <c r="P10250">
        <v>26.1</v>
      </c>
      <c r="Q10250">
        <v>26.6</v>
      </c>
      <c r="R10250">
        <v>31.1</v>
      </c>
      <c r="S10250">
        <v>26.1</v>
      </c>
      <c r="T10250">
        <v>822</v>
      </c>
      <c r="U10250">
        <v>243</v>
      </c>
      <c r="V10250">
        <v>0</v>
      </c>
      <c r="W10250">
        <v>119</v>
      </c>
      <c r="X10250">
        <v>581</v>
      </c>
      <c r="Y10250">
        <v>0</v>
      </c>
      <c r="Z10250">
        <v>93</v>
      </c>
      <c r="AA10250">
        <v>581</v>
      </c>
      <c r="AB10250">
        <v>2.9754749999999999</v>
      </c>
      <c r="AC10250">
        <v>6.9849560000000005E-2</v>
      </c>
      <c r="AD10250">
        <v>1.210283</v>
      </c>
      <c r="AE10250">
        <v>0.66351280000000001</v>
      </c>
      <c r="AF10250">
        <v>334.012</v>
      </c>
      <c r="AG10250">
        <f>IFERROR(AH10250*0.1, "N/A")</f>
        <v>6.085763</v>
      </c>
      <c r="AH10250">
        <v>60.85763</v>
      </c>
      <c r="AI10250">
        <v>39.413519999999998</v>
      </c>
      <c r="AJ10250">
        <v>13.03431</v>
      </c>
      <c r="AK10250">
        <v>68.036019999999994</v>
      </c>
    </row>
    <row r="10251" spans="1:37" x14ac:dyDescent="0.3">
      <c r="A10251">
        <v>10250</v>
      </c>
      <c r="B10251">
        <v>67.7</v>
      </c>
      <c r="C10251">
        <v>15.416700000000001</v>
      </c>
      <c r="D10251">
        <v>10</v>
      </c>
      <c r="E10251" t="s">
        <v>15479</v>
      </c>
      <c r="F10251" t="s">
        <v>15480</v>
      </c>
      <c r="G10251" t="s">
        <v>39</v>
      </c>
      <c r="H10251">
        <v>1990</v>
      </c>
      <c r="I10251">
        <v>27.9</v>
      </c>
      <c r="J10251">
        <v>13.4</v>
      </c>
      <c r="K10251">
        <v>61</v>
      </c>
      <c r="L10251">
        <v>19.94979</v>
      </c>
      <c r="M10251">
        <v>39.1</v>
      </c>
      <c r="N10251">
        <v>17.399999999999999</v>
      </c>
      <c r="O10251">
        <v>21.7</v>
      </c>
      <c r="P10251">
        <v>26.14742</v>
      </c>
      <c r="Q10251">
        <v>26.5</v>
      </c>
      <c r="R10251">
        <v>31</v>
      </c>
      <c r="S10251">
        <v>26.14742</v>
      </c>
      <c r="T10251">
        <v>804.7079</v>
      </c>
      <c r="U10251">
        <v>247.18209999999999</v>
      </c>
      <c r="V10251">
        <v>0</v>
      </c>
      <c r="W10251">
        <v>119.4897</v>
      </c>
      <c r="X10251">
        <v>574.01549999999997</v>
      </c>
      <c r="Y10251">
        <v>0</v>
      </c>
      <c r="Z10251">
        <v>89</v>
      </c>
      <c r="AA10251">
        <v>574.01549999999997</v>
      </c>
      <c r="AB10251">
        <v>1.451023</v>
      </c>
      <c r="AC10251">
        <v>5.4227119999999997E-2</v>
      </c>
      <c r="AD10251">
        <v>1.0529820000000001</v>
      </c>
      <c r="AE10251">
        <v>0.6314708</v>
      </c>
      <c r="AF10251">
        <v>335.31099999999998</v>
      </c>
      <c r="AG10251">
        <f>IFERROR(AH10251*0.1, "N/A")</f>
        <v>5.7348800000000004</v>
      </c>
      <c r="AH10251">
        <v>57.348799999999997</v>
      </c>
      <c r="AI10251">
        <v>185.47839999999999</v>
      </c>
      <c r="AJ10251">
        <v>17.348800000000001</v>
      </c>
      <c r="AK10251">
        <v>62</v>
      </c>
    </row>
    <row r="10252" spans="1:37" x14ac:dyDescent="0.3">
      <c r="A10252">
        <v>10251</v>
      </c>
      <c r="B10252">
        <v>0</v>
      </c>
      <c r="C10252">
        <v>15.416700000000001</v>
      </c>
      <c r="D10252">
        <v>10</v>
      </c>
      <c r="E10252" t="s">
        <v>15479</v>
      </c>
      <c r="F10252" t="s">
        <v>15481</v>
      </c>
      <c r="G10252" t="s">
        <v>37</v>
      </c>
      <c r="H10252">
        <v>1990</v>
      </c>
      <c r="I10252">
        <v>27.9</v>
      </c>
      <c r="J10252">
        <v>13.4</v>
      </c>
      <c r="K10252">
        <v>61</v>
      </c>
      <c r="L10252">
        <v>19.94979</v>
      </c>
      <c r="M10252">
        <v>39.1</v>
      </c>
      <c r="N10252">
        <v>17.399999999999999</v>
      </c>
      <c r="O10252">
        <v>21.7</v>
      </c>
      <c r="P10252">
        <v>26.14742</v>
      </c>
      <c r="Q10252">
        <v>26.5</v>
      </c>
      <c r="R10252">
        <v>31</v>
      </c>
      <c r="S10252">
        <v>26.14742</v>
      </c>
      <c r="T10252">
        <v>804.7079</v>
      </c>
      <c r="U10252">
        <v>247.18209999999999</v>
      </c>
      <c r="V10252">
        <v>0</v>
      </c>
      <c r="W10252">
        <v>119.4897</v>
      </c>
      <c r="X10252">
        <v>574.01549999999997</v>
      </c>
      <c r="Y10252">
        <v>0</v>
      </c>
      <c r="Z10252">
        <v>89</v>
      </c>
      <c r="AA10252">
        <v>574.01549999999997</v>
      </c>
      <c r="AB10252">
        <v>1.451023</v>
      </c>
      <c r="AC10252">
        <v>5.4227119999999997E-2</v>
      </c>
      <c r="AD10252">
        <v>1.0529820000000001</v>
      </c>
      <c r="AE10252">
        <v>0.6314708</v>
      </c>
      <c r="AF10252">
        <v>335.31099999999998</v>
      </c>
      <c r="AG10252">
        <f>IFERROR(AH10252*0.1, "N/A")</f>
        <v>5.7348800000000004</v>
      </c>
      <c r="AH10252">
        <v>57.348799999999997</v>
      </c>
      <c r="AI10252">
        <v>185.47839999999999</v>
      </c>
      <c r="AJ10252">
        <v>17.348800000000001</v>
      </c>
      <c r="AK10252">
        <v>62</v>
      </c>
    </row>
    <row r="10253" spans="1:37" x14ac:dyDescent="0.3">
      <c r="A10253">
        <v>10252</v>
      </c>
      <c r="B10253">
        <v>1.7</v>
      </c>
      <c r="C10253">
        <v>15.416700000000001</v>
      </c>
      <c r="D10253">
        <v>10</v>
      </c>
      <c r="E10253" t="s">
        <v>15479</v>
      </c>
      <c r="F10253" t="s">
        <v>15482</v>
      </c>
      <c r="G10253" t="s">
        <v>2420</v>
      </c>
      <c r="H10253">
        <v>1990</v>
      </c>
      <c r="I10253">
        <v>27.9</v>
      </c>
      <c r="J10253">
        <v>13.4</v>
      </c>
      <c r="K10253">
        <v>61</v>
      </c>
      <c r="L10253">
        <v>19.94979</v>
      </c>
      <c r="M10253">
        <v>39.1</v>
      </c>
      <c r="N10253">
        <v>17.399999999999999</v>
      </c>
      <c r="O10253">
        <v>21.7</v>
      </c>
      <c r="P10253">
        <v>26.14742</v>
      </c>
      <c r="Q10253">
        <v>26.5</v>
      </c>
      <c r="R10253">
        <v>31</v>
      </c>
      <c r="S10253">
        <v>26.14742</v>
      </c>
      <c r="T10253">
        <v>804.7079</v>
      </c>
      <c r="U10253">
        <v>247.18209999999999</v>
      </c>
      <c r="V10253">
        <v>0</v>
      </c>
      <c r="W10253">
        <v>119.4897</v>
      </c>
      <c r="X10253">
        <v>574.01549999999997</v>
      </c>
      <c r="Y10253">
        <v>0</v>
      </c>
      <c r="Z10253">
        <v>89</v>
      </c>
      <c r="AA10253">
        <v>574.01549999999997</v>
      </c>
      <c r="AB10253">
        <v>1.451023</v>
      </c>
      <c r="AC10253">
        <v>5.4227119999999997E-2</v>
      </c>
      <c r="AD10253">
        <v>1.0529820000000001</v>
      </c>
      <c r="AE10253">
        <v>0.6314708</v>
      </c>
      <c r="AF10253">
        <v>335.31099999999998</v>
      </c>
      <c r="AG10253">
        <f>IFERROR(AH10253*0.1, "N/A")</f>
        <v>5.7348800000000004</v>
      </c>
      <c r="AH10253">
        <v>57.348799999999997</v>
      </c>
      <c r="AI10253">
        <v>185.47839999999999</v>
      </c>
      <c r="AJ10253">
        <v>17.348800000000001</v>
      </c>
      <c r="AK10253">
        <v>62</v>
      </c>
    </row>
    <row r="10254" spans="1:37" x14ac:dyDescent="0.3">
      <c r="A10254">
        <v>10253</v>
      </c>
      <c r="B10254">
        <v>88.7</v>
      </c>
      <c r="C10254">
        <v>15.4186</v>
      </c>
      <c r="D10254">
        <v>10.0002</v>
      </c>
      <c r="E10254" t="s">
        <v>15483</v>
      </c>
      <c r="F10254" t="s">
        <v>15484</v>
      </c>
      <c r="G10254" t="s">
        <v>39</v>
      </c>
      <c r="H10254">
        <v>1995</v>
      </c>
      <c r="I10254">
        <v>27.9</v>
      </c>
      <c r="J10254">
        <v>13.4</v>
      </c>
      <c r="K10254">
        <v>61</v>
      </c>
      <c r="L10254">
        <v>19.93544</v>
      </c>
      <c r="M10254">
        <v>39.1</v>
      </c>
      <c r="N10254">
        <v>17.399999999999999</v>
      </c>
      <c r="O10254">
        <v>21.7</v>
      </c>
      <c r="P10254">
        <v>26.164079999999998</v>
      </c>
      <c r="Q10254">
        <v>26.5</v>
      </c>
      <c r="R10254">
        <v>31</v>
      </c>
      <c r="S10254">
        <v>26.164079999999998</v>
      </c>
      <c r="T10254">
        <v>804.71849999999995</v>
      </c>
      <c r="U10254">
        <v>247.35919999999999</v>
      </c>
      <c r="V10254">
        <v>0</v>
      </c>
      <c r="W10254">
        <v>119.3592</v>
      </c>
      <c r="X10254">
        <v>573.71849999999995</v>
      </c>
      <c r="Y10254">
        <v>0</v>
      </c>
      <c r="Z10254">
        <v>89</v>
      </c>
      <c r="AA10254">
        <v>573.71849999999995</v>
      </c>
      <c r="AB10254">
        <v>1.7542359999999999</v>
      </c>
      <c r="AC10254">
        <v>3.2169669999999997E-2</v>
      </c>
      <c r="AD10254">
        <v>0.44455450000000002</v>
      </c>
      <c r="AE10254">
        <v>0.62854849999999995</v>
      </c>
      <c r="AF10254">
        <v>334.87909999999999</v>
      </c>
      <c r="AG10254">
        <f>IFERROR(AH10254*0.1, "N/A")</f>
        <v>5.795337</v>
      </c>
      <c r="AH10254">
        <v>57.95337</v>
      </c>
      <c r="AI10254">
        <v>104.729</v>
      </c>
      <c r="AJ10254">
        <v>17.95682</v>
      </c>
      <c r="AK10254">
        <v>62.050089999999997</v>
      </c>
    </row>
    <row r="10255" spans="1:37" x14ac:dyDescent="0.3">
      <c r="A10255">
        <v>10254</v>
      </c>
      <c r="B10255">
        <v>74.2</v>
      </c>
      <c r="C10255">
        <v>15.0259</v>
      </c>
      <c r="D10255">
        <v>10.0069</v>
      </c>
      <c r="E10255" t="s">
        <v>15485</v>
      </c>
      <c r="F10255" t="s">
        <v>15486</v>
      </c>
      <c r="G10255" t="s">
        <v>39</v>
      </c>
      <c r="H10255">
        <v>1995</v>
      </c>
      <c r="I10255">
        <v>28</v>
      </c>
      <c r="J10255">
        <v>13.196730000000001</v>
      </c>
      <c r="K10255">
        <v>62</v>
      </c>
      <c r="L10255">
        <v>20.235230000000001</v>
      </c>
      <c r="M10255">
        <v>39</v>
      </c>
      <c r="N10255">
        <v>17.899999999999999</v>
      </c>
      <c r="O10255">
        <v>21.1</v>
      </c>
      <c r="P10255">
        <v>26</v>
      </c>
      <c r="Q10255">
        <v>26.6</v>
      </c>
      <c r="R10255">
        <v>31.003270000000001</v>
      </c>
      <c r="S10255">
        <v>26</v>
      </c>
      <c r="T10255">
        <v>834.96730000000002</v>
      </c>
      <c r="U10255">
        <v>245</v>
      </c>
      <c r="V10255">
        <v>0</v>
      </c>
      <c r="W10255">
        <v>118</v>
      </c>
      <c r="X10255">
        <v>586.96730000000002</v>
      </c>
      <c r="Y10255">
        <v>0</v>
      </c>
      <c r="Z10255">
        <v>97</v>
      </c>
      <c r="AA10255">
        <v>586.96730000000002</v>
      </c>
      <c r="AB10255">
        <v>1.471606</v>
      </c>
      <c r="AC10255">
        <v>4.4145370000000003E-2</v>
      </c>
      <c r="AD10255">
        <v>1.0708770000000001</v>
      </c>
      <c r="AE10255">
        <v>0.70217750000000001</v>
      </c>
      <c r="AF10255">
        <v>346.92079999999999</v>
      </c>
      <c r="AG10255">
        <f>IFERROR(AH10255*0.1, "N/A")</f>
        <v>5.2130809999999999</v>
      </c>
      <c r="AH10255">
        <v>52.130809999999997</v>
      </c>
      <c r="AI10255">
        <v>56.965229999999998</v>
      </c>
      <c r="AJ10255">
        <v>12.24785</v>
      </c>
      <c r="AK10255">
        <v>71.719449999999995</v>
      </c>
    </row>
    <row r="10256" spans="1:37" x14ac:dyDescent="0.3">
      <c r="A10256">
        <v>10255</v>
      </c>
      <c r="B10256">
        <v>32</v>
      </c>
      <c r="C10256">
        <v>15.1343</v>
      </c>
      <c r="D10256">
        <v>10.0085</v>
      </c>
      <c r="E10256" t="s">
        <v>15487</v>
      </c>
      <c r="F10256" t="s">
        <v>15488</v>
      </c>
      <c r="G10256" t="s">
        <v>39</v>
      </c>
      <c r="H10256">
        <v>1995</v>
      </c>
      <c r="I10256">
        <v>28.081379999999999</v>
      </c>
      <c r="J10256">
        <v>13.2</v>
      </c>
      <c r="K10256">
        <v>61.186210000000003</v>
      </c>
      <c r="L10256">
        <v>20.16414</v>
      </c>
      <c r="M10256">
        <v>39.081380000000003</v>
      </c>
      <c r="N10256">
        <v>17.8</v>
      </c>
      <c r="O10256">
        <v>21.281379999999999</v>
      </c>
      <c r="P10256">
        <v>26.2</v>
      </c>
      <c r="Q10256">
        <v>26.681380000000001</v>
      </c>
      <c r="R10256">
        <v>31.081379999999999</v>
      </c>
      <c r="S10256">
        <v>26.2</v>
      </c>
      <c r="T10256">
        <v>817.18619999999999</v>
      </c>
      <c r="U10256">
        <v>242.18620000000001</v>
      </c>
      <c r="V10256">
        <v>0</v>
      </c>
      <c r="W10256">
        <v>119</v>
      </c>
      <c r="X10256">
        <v>579.18619999999999</v>
      </c>
      <c r="Y10256">
        <v>0</v>
      </c>
      <c r="Z10256">
        <v>91</v>
      </c>
      <c r="AA10256">
        <v>579.18619999999999</v>
      </c>
      <c r="AB10256">
        <v>1.1991339999999999</v>
      </c>
      <c r="AC10256">
        <v>3.41604E-2</v>
      </c>
      <c r="AD10256">
        <v>1.316222</v>
      </c>
      <c r="AE10256">
        <v>0.68964040000000004</v>
      </c>
      <c r="AF10256">
        <v>327.53449999999998</v>
      </c>
      <c r="AG10256">
        <f>IFERROR(AH10256*0.1, "N/A")</f>
        <v>6.1000000000000005</v>
      </c>
      <c r="AH10256">
        <v>61</v>
      </c>
      <c r="AI10256">
        <v>174.7225</v>
      </c>
      <c r="AJ10256">
        <v>16</v>
      </c>
      <c r="AK10256">
        <v>62</v>
      </c>
    </row>
    <row r="10257" spans="1:37" x14ac:dyDescent="0.3">
      <c r="A10257">
        <v>10256</v>
      </c>
      <c r="B10257">
        <v>87.8</v>
      </c>
      <c r="C10257">
        <v>15.033300000000001</v>
      </c>
      <c r="D10257">
        <v>10.0167</v>
      </c>
      <c r="E10257" t="s">
        <v>15489</v>
      </c>
      <c r="F10257" t="s">
        <v>15490</v>
      </c>
      <c r="G10257" t="s">
        <v>39</v>
      </c>
      <c r="H10257">
        <v>1990</v>
      </c>
      <c r="I10257">
        <v>28</v>
      </c>
      <c r="J10257">
        <v>13.2</v>
      </c>
      <c r="K10257">
        <v>62</v>
      </c>
      <c r="L10257">
        <v>20.235309999999998</v>
      </c>
      <c r="M10257">
        <v>39</v>
      </c>
      <c r="N10257">
        <v>17.899999999999999</v>
      </c>
      <c r="O10257">
        <v>21.1</v>
      </c>
      <c r="P10257">
        <v>26</v>
      </c>
      <c r="Q10257">
        <v>26.6</v>
      </c>
      <c r="R10257">
        <v>31.053789999999999</v>
      </c>
      <c r="S10257">
        <v>26</v>
      </c>
      <c r="T10257">
        <v>831.30340000000001</v>
      </c>
      <c r="U10257">
        <v>244</v>
      </c>
      <c r="V10257">
        <v>0</v>
      </c>
      <c r="W10257">
        <v>118</v>
      </c>
      <c r="X10257">
        <v>585.42070000000001</v>
      </c>
      <c r="Y10257">
        <v>0</v>
      </c>
      <c r="Z10257">
        <v>96.882760000000005</v>
      </c>
      <c r="AA10257">
        <v>585.42070000000001</v>
      </c>
      <c r="AB10257">
        <v>7.6032600000000006E-2</v>
      </c>
      <c r="AC10257">
        <v>1.4813700000000001</v>
      </c>
      <c r="AD10257">
        <v>1.1078490000000001</v>
      </c>
      <c r="AE10257">
        <v>0.62735600000000002</v>
      </c>
      <c r="AF10257">
        <v>345.21030000000002</v>
      </c>
      <c r="AG10257">
        <f>IFERROR(AH10257*0.1, "N/A")</f>
        <v>4.9503450000000004</v>
      </c>
      <c r="AH10257">
        <v>49.503450000000001</v>
      </c>
      <c r="AI10257">
        <v>171.2336</v>
      </c>
      <c r="AJ10257">
        <v>11.07586</v>
      </c>
      <c r="AK10257">
        <v>75.318969999999993</v>
      </c>
    </row>
    <row r="10258" spans="1:37" x14ac:dyDescent="0.3">
      <c r="A10258">
        <v>10257</v>
      </c>
      <c r="B10258">
        <v>0</v>
      </c>
      <c r="C10258">
        <v>15.033300000000001</v>
      </c>
      <c r="D10258">
        <v>10.0167</v>
      </c>
      <c r="E10258" t="s">
        <v>15489</v>
      </c>
      <c r="F10258" t="s">
        <v>15491</v>
      </c>
      <c r="G10258" t="s">
        <v>37</v>
      </c>
      <c r="H10258">
        <v>1990</v>
      </c>
      <c r="I10258">
        <v>28</v>
      </c>
      <c r="J10258">
        <v>13.2</v>
      </c>
      <c r="K10258">
        <v>62</v>
      </c>
      <c r="L10258">
        <v>20.235309999999998</v>
      </c>
      <c r="M10258">
        <v>39</v>
      </c>
      <c r="N10258">
        <v>17.899999999999999</v>
      </c>
      <c r="O10258">
        <v>21.1</v>
      </c>
      <c r="P10258">
        <v>26</v>
      </c>
      <c r="Q10258">
        <v>26.6</v>
      </c>
      <c r="R10258">
        <v>31.053789999999999</v>
      </c>
      <c r="S10258">
        <v>26</v>
      </c>
      <c r="T10258">
        <v>831.30340000000001</v>
      </c>
      <c r="U10258">
        <v>244</v>
      </c>
      <c r="V10258">
        <v>0</v>
      </c>
      <c r="W10258">
        <v>118</v>
      </c>
      <c r="X10258">
        <v>585.42070000000001</v>
      </c>
      <c r="Y10258">
        <v>0</v>
      </c>
      <c r="Z10258">
        <v>96.882760000000005</v>
      </c>
      <c r="AA10258">
        <v>585.42070000000001</v>
      </c>
      <c r="AB10258">
        <v>7.6032600000000006E-2</v>
      </c>
      <c r="AC10258">
        <v>1.4813700000000001</v>
      </c>
      <c r="AD10258">
        <v>1.1078490000000001</v>
      </c>
      <c r="AE10258">
        <v>0.62735600000000002</v>
      </c>
      <c r="AF10258">
        <v>345.21030000000002</v>
      </c>
      <c r="AG10258">
        <f>IFERROR(AH10258*0.1, "N/A")</f>
        <v>4.9503450000000004</v>
      </c>
      <c r="AH10258">
        <v>49.503450000000001</v>
      </c>
      <c r="AI10258">
        <v>171.2336</v>
      </c>
      <c r="AJ10258">
        <v>11.07586</v>
      </c>
      <c r="AK10258">
        <v>75.318969999999993</v>
      </c>
    </row>
    <row r="10259" spans="1:37" x14ac:dyDescent="0.3">
      <c r="A10259">
        <v>10258</v>
      </c>
      <c r="B10259">
        <v>0</v>
      </c>
      <c r="C10259">
        <v>15.033300000000001</v>
      </c>
      <c r="D10259">
        <v>10.0167</v>
      </c>
      <c r="E10259" t="s">
        <v>15489</v>
      </c>
      <c r="F10259" t="s">
        <v>15492</v>
      </c>
      <c r="G10259" t="s">
        <v>2420</v>
      </c>
      <c r="H10259">
        <v>1990</v>
      </c>
      <c r="I10259">
        <v>28</v>
      </c>
      <c r="J10259">
        <v>13.2</v>
      </c>
      <c r="K10259">
        <v>62</v>
      </c>
      <c r="L10259">
        <v>20.235309999999998</v>
      </c>
      <c r="M10259">
        <v>39</v>
      </c>
      <c r="N10259">
        <v>17.899999999999999</v>
      </c>
      <c r="O10259">
        <v>21.1</v>
      </c>
      <c r="P10259">
        <v>26</v>
      </c>
      <c r="Q10259">
        <v>26.6</v>
      </c>
      <c r="R10259">
        <v>31.053789999999999</v>
      </c>
      <c r="S10259">
        <v>26</v>
      </c>
      <c r="T10259">
        <v>831.30340000000001</v>
      </c>
      <c r="U10259">
        <v>244</v>
      </c>
      <c r="V10259">
        <v>0</v>
      </c>
      <c r="W10259">
        <v>118</v>
      </c>
      <c r="X10259">
        <v>585.42070000000001</v>
      </c>
      <c r="Y10259">
        <v>0</v>
      </c>
      <c r="Z10259">
        <v>96.882760000000005</v>
      </c>
      <c r="AA10259">
        <v>585.42070000000001</v>
      </c>
      <c r="AB10259">
        <v>7.6032600000000006E-2</v>
      </c>
      <c r="AC10259">
        <v>1.4813700000000001</v>
      </c>
      <c r="AD10259">
        <v>1.1078490000000001</v>
      </c>
      <c r="AE10259">
        <v>0.62735600000000002</v>
      </c>
      <c r="AF10259">
        <v>345.21030000000002</v>
      </c>
      <c r="AG10259">
        <f>IFERROR(AH10259*0.1, "N/A")</f>
        <v>4.9503450000000004</v>
      </c>
      <c r="AH10259">
        <v>49.503450000000001</v>
      </c>
      <c r="AI10259">
        <v>171.2336</v>
      </c>
      <c r="AJ10259">
        <v>11.07586</v>
      </c>
      <c r="AK10259">
        <v>75.318969999999993</v>
      </c>
    </row>
    <row r="10260" spans="1:37" x14ac:dyDescent="0.3">
      <c r="A10260">
        <v>10259</v>
      </c>
      <c r="B10260">
        <v>71.7</v>
      </c>
      <c r="C10260">
        <v>15.0791</v>
      </c>
      <c r="D10260">
        <v>10.0199</v>
      </c>
      <c r="E10260" t="s">
        <v>15493</v>
      </c>
      <c r="F10260" t="s">
        <v>15494</v>
      </c>
      <c r="G10260" t="s">
        <v>39</v>
      </c>
      <c r="H10260">
        <v>1995</v>
      </c>
      <c r="I10260">
        <v>28</v>
      </c>
      <c r="J10260">
        <v>13.2</v>
      </c>
      <c r="K10260">
        <v>62</v>
      </c>
      <c r="L10260">
        <v>20.13</v>
      </c>
      <c r="M10260">
        <v>39</v>
      </c>
      <c r="N10260">
        <v>17.899999999999999</v>
      </c>
      <c r="O10260">
        <v>21.1</v>
      </c>
      <c r="P10260">
        <v>26.1</v>
      </c>
      <c r="Q10260">
        <v>26.7</v>
      </c>
      <c r="R10260">
        <v>31.1</v>
      </c>
      <c r="S10260">
        <v>26.1</v>
      </c>
      <c r="T10260">
        <v>822</v>
      </c>
      <c r="U10260">
        <v>243</v>
      </c>
      <c r="V10260">
        <v>0</v>
      </c>
      <c r="W10260">
        <v>119</v>
      </c>
      <c r="X10260">
        <v>581</v>
      </c>
      <c r="Y10260">
        <v>0</v>
      </c>
      <c r="Z10260">
        <v>93</v>
      </c>
      <c r="AA10260">
        <v>581</v>
      </c>
      <c r="AB10260">
        <v>4.9598610000000001</v>
      </c>
      <c r="AC10260">
        <v>1.7923310000000001E-2</v>
      </c>
      <c r="AD10260">
        <v>1.491096</v>
      </c>
      <c r="AE10260">
        <v>0.69986230000000005</v>
      </c>
      <c r="AF10260">
        <v>338.50259999999997</v>
      </c>
      <c r="AG10260">
        <f>IFERROR(AH10260*0.1, "N/A")</f>
        <v>5.7590050000000002</v>
      </c>
      <c r="AH10260">
        <v>57.590049999999998</v>
      </c>
      <c r="AI10260">
        <v>132.7876</v>
      </c>
      <c r="AJ10260">
        <v>12.198969999999999</v>
      </c>
      <c r="AK10260">
        <v>67.602059999999994</v>
      </c>
    </row>
    <row r="10261" spans="1:37" x14ac:dyDescent="0.3">
      <c r="A10261">
        <v>10260</v>
      </c>
      <c r="B10261">
        <v>63.3</v>
      </c>
      <c r="C10261">
        <v>14.8911</v>
      </c>
      <c r="D10261">
        <v>10.0284</v>
      </c>
      <c r="E10261" t="s">
        <v>15495</v>
      </c>
      <c r="F10261" t="s">
        <v>15496</v>
      </c>
      <c r="G10261" t="s">
        <v>39</v>
      </c>
      <c r="H10261">
        <v>1995</v>
      </c>
      <c r="I10261">
        <v>28</v>
      </c>
      <c r="J10261">
        <v>13.1</v>
      </c>
      <c r="K10261">
        <v>62</v>
      </c>
      <c r="L10261">
        <v>20.588470000000001</v>
      </c>
      <c r="M10261">
        <v>39</v>
      </c>
      <c r="N10261">
        <v>18.100000000000001</v>
      </c>
      <c r="O10261">
        <v>20.9</v>
      </c>
      <c r="P10261">
        <v>26</v>
      </c>
      <c r="Q10261">
        <v>26.7</v>
      </c>
      <c r="R10261">
        <v>31.128229999999999</v>
      </c>
      <c r="S10261">
        <v>26</v>
      </c>
      <c r="T10261">
        <v>842</v>
      </c>
      <c r="U10261">
        <v>245</v>
      </c>
      <c r="V10261">
        <v>0</v>
      </c>
      <c r="W10261">
        <v>117</v>
      </c>
      <c r="X10261">
        <v>591</v>
      </c>
      <c r="Y10261">
        <v>0</v>
      </c>
      <c r="Z10261">
        <v>101</v>
      </c>
      <c r="AA10261">
        <v>591</v>
      </c>
      <c r="AB10261">
        <v>1.1753830000000001</v>
      </c>
      <c r="AC10261">
        <v>1.637591E-2</v>
      </c>
      <c r="AD10261">
        <v>2.196841</v>
      </c>
      <c r="AE10261">
        <v>0.6919303</v>
      </c>
      <c r="AF10261">
        <v>350.61270000000002</v>
      </c>
      <c r="AG10261">
        <f>IFERROR(AH10261*0.1, "N/A")</f>
        <v>5.7058520000000001</v>
      </c>
      <c r="AH10261">
        <v>57.058520000000001</v>
      </c>
      <c r="AI10261">
        <v>199.18090000000001</v>
      </c>
      <c r="AJ10261">
        <v>15.571429999999999</v>
      </c>
      <c r="AK10261">
        <v>62.370049999999999</v>
      </c>
    </row>
    <row r="10262" spans="1:37" x14ac:dyDescent="0.3">
      <c r="A10262">
        <v>10261</v>
      </c>
      <c r="B10262">
        <v>30</v>
      </c>
      <c r="C10262">
        <v>15.272</v>
      </c>
      <c r="D10262">
        <v>10.0311</v>
      </c>
      <c r="E10262" t="s">
        <v>15497</v>
      </c>
      <c r="F10262" t="s">
        <v>15498</v>
      </c>
      <c r="G10262" t="s">
        <v>39</v>
      </c>
      <c r="H10262">
        <v>1995</v>
      </c>
      <c r="I10262">
        <v>28</v>
      </c>
      <c r="J10262">
        <v>13.3</v>
      </c>
      <c r="K10262">
        <v>62</v>
      </c>
      <c r="L10262">
        <v>19.77</v>
      </c>
      <c r="M10262">
        <v>39</v>
      </c>
      <c r="N10262">
        <v>17.600000000000001</v>
      </c>
      <c r="O10262">
        <v>21.4</v>
      </c>
      <c r="P10262">
        <v>26.2</v>
      </c>
      <c r="Q10262">
        <v>26.7</v>
      </c>
      <c r="R10262">
        <v>31</v>
      </c>
      <c r="S10262">
        <v>26.2</v>
      </c>
      <c r="T10262">
        <v>809</v>
      </c>
      <c r="U10262">
        <v>244</v>
      </c>
      <c r="V10262">
        <v>0</v>
      </c>
      <c r="W10262">
        <v>120</v>
      </c>
      <c r="X10262">
        <v>577</v>
      </c>
      <c r="Y10262">
        <v>0</v>
      </c>
      <c r="Z10262">
        <v>88</v>
      </c>
      <c r="AA10262">
        <v>577</v>
      </c>
      <c r="AB10262">
        <v>0.75773080000000004</v>
      </c>
      <c r="AC10262">
        <v>6.5576499999999998</v>
      </c>
      <c r="AD10262">
        <v>1.1991719999999999</v>
      </c>
      <c r="AE10262">
        <v>0.69500519999999999</v>
      </c>
      <c r="AF10262">
        <v>327.41579999999999</v>
      </c>
      <c r="AG10262">
        <f>IFERROR(AH10262*0.1, "N/A")</f>
        <v>6.0096220000000002</v>
      </c>
      <c r="AH10262">
        <v>60.096220000000002</v>
      </c>
      <c r="AI10262">
        <v>92.068479999999994</v>
      </c>
      <c r="AJ10262">
        <v>15.096220000000001</v>
      </c>
      <c r="AK10262">
        <v>63.096220000000002</v>
      </c>
    </row>
    <row r="10263" spans="1:37" x14ac:dyDescent="0.3">
      <c r="A10263">
        <v>10262</v>
      </c>
      <c r="B10263">
        <v>72.7</v>
      </c>
      <c r="C10263">
        <v>15.4095</v>
      </c>
      <c r="D10263">
        <v>10.0344</v>
      </c>
      <c r="E10263" t="s">
        <v>15499</v>
      </c>
      <c r="F10263" t="s">
        <v>15500</v>
      </c>
      <c r="G10263" t="s">
        <v>39</v>
      </c>
      <c r="H10263">
        <v>1995</v>
      </c>
      <c r="I10263">
        <v>28</v>
      </c>
      <c r="J10263">
        <v>13.5</v>
      </c>
      <c r="K10263">
        <v>61</v>
      </c>
      <c r="L10263">
        <v>19.84</v>
      </c>
      <c r="M10263">
        <v>39.200000000000003</v>
      </c>
      <c r="N10263">
        <v>17.399999999999999</v>
      </c>
      <c r="O10263">
        <v>21.8</v>
      </c>
      <c r="P10263">
        <v>26.2</v>
      </c>
      <c r="Q10263">
        <v>26.6</v>
      </c>
      <c r="R10263">
        <v>31</v>
      </c>
      <c r="S10263">
        <v>26.2</v>
      </c>
      <c r="T10263">
        <v>800</v>
      </c>
      <c r="U10263">
        <v>246</v>
      </c>
      <c r="V10263">
        <v>0</v>
      </c>
      <c r="W10263">
        <v>121</v>
      </c>
      <c r="X10263">
        <v>570</v>
      </c>
      <c r="Y10263">
        <v>0</v>
      </c>
      <c r="Z10263">
        <v>89</v>
      </c>
      <c r="AA10263">
        <v>570</v>
      </c>
      <c r="AB10263">
        <v>0.94202200000000003</v>
      </c>
      <c r="AC10263">
        <v>1.304108E-2</v>
      </c>
      <c r="AD10263">
        <v>2.595926</v>
      </c>
      <c r="AE10263">
        <v>0.68901809999999997</v>
      </c>
      <c r="AF10263">
        <v>334.00689999999997</v>
      </c>
      <c r="AG10263">
        <f>IFERROR(AH10263*0.1, "N/A")</f>
        <v>6.1000000000000005</v>
      </c>
      <c r="AH10263">
        <v>61</v>
      </c>
      <c r="AI10263">
        <v>57.987430000000003</v>
      </c>
      <c r="AJ10263">
        <v>16.692969999999999</v>
      </c>
      <c r="AK10263">
        <v>61.614069999999998</v>
      </c>
    </row>
    <row r="10264" spans="1:37" x14ac:dyDescent="0.3">
      <c r="A10264">
        <v>10263</v>
      </c>
      <c r="B10264">
        <v>60.8</v>
      </c>
      <c r="C10264">
        <v>15.1556</v>
      </c>
      <c r="D10264">
        <v>10.0359</v>
      </c>
      <c r="E10264" t="s">
        <v>15501</v>
      </c>
      <c r="F10264" t="s">
        <v>15502</v>
      </c>
      <c r="G10264" t="s">
        <v>39</v>
      </c>
      <c r="H10264">
        <v>1995</v>
      </c>
      <c r="I10264">
        <v>28</v>
      </c>
      <c r="J10264">
        <v>13.3</v>
      </c>
      <c r="K10264">
        <v>62</v>
      </c>
      <c r="L10264">
        <v>20.16</v>
      </c>
      <c r="M10264">
        <v>39.1</v>
      </c>
      <c r="N10264">
        <v>17.8</v>
      </c>
      <c r="O10264">
        <v>21.3</v>
      </c>
      <c r="P10264">
        <v>26.2</v>
      </c>
      <c r="Q10264">
        <v>26.7</v>
      </c>
      <c r="R10264">
        <v>31.1</v>
      </c>
      <c r="S10264">
        <v>26.2</v>
      </c>
      <c r="T10264">
        <v>813</v>
      </c>
      <c r="U10264">
        <v>243</v>
      </c>
      <c r="V10264">
        <v>0</v>
      </c>
      <c r="W10264">
        <v>120</v>
      </c>
      <c r="X10264">
        <v>578</v>
      </c>
      <c r="Y10264">
        <v>0</v>
      </c>
      <c r="Z10264">
        <v>89</v>
      </c>
      <c r="AA10264">
        <v>578</v>
      </c>
      <c r="AB10264">
        <v>0.64561469999999999</v>
      </c>
      <c r="AC10264">
        <v>2.008538E-2</v>
      </c>
      <c r="AD10264">
        <v>1.3345959999999999</v>
      </c>
      <c r="AE10264">
        <v>0.58207569999999997</v>
      </c>
      <c r="AF10264">
        <v>324.84339999999997</v>
      </c>
      <c r="AG10264">
        <f>IFERROR(AH10264*0.1, "N/A")</f>
        <v>6.1003439999999998</v>
      </c>
      <c r="AH10264">
        <v>61.003439999999998</v>
      </c>
      <c r="AI10264">
        <v>211.09460000000001</v>
      </c>
      <c r="AJ10264">
        <v>21.996559999999999</v>
      </c>
      <c r="AK10264">
        <v>55.003439999999998</v>
      </c>
    </row>
    <row r="10265" spans="1:37" x14ac:dyDescent="0.3">
      <c r="A10265">
        <v>10264</v>
      </c>
      <c r="B10265">
        <v>70</v>
      </c>
      <c r="C10265">
        <v>14.9757</v>
      </c>
      <c r="D10265">
        <v>10.043900000000001</v>
      </c>
      <c r="E10265" t="s">
        <v>15503</v>
      </c>
      <c r="F10265" t="s">
        <v>15504</v>
      </c>
      <c r="G10265" t="s">
        <v>39</v>
      </c>
      <c r="H10265">
        <v>1995</v>
      </c>
      <c r="I10265">
        <v>28</v>
      </c>
      <c r="J10265">
        <v>13.1</v>
      </c>
      <c r="K10265">
        <v>62</v>
      </c>
      <c r="L10265">
        <v>20.299399999999999</v>
      </c>
      <c r="M10265">
        <v>39</v>
      </c>
      <c r="N10265">
        <v>18</v>
      </c>
      <c r="O10265">
        <v>21</v>
      </c>
      <c r="P10265">
        <v>26</v>
      </c>
      <c r="Q10265">
        <v>26.7</v>
      </c>
      <c r="R10265">
        <v>31.1</v>
      </c>
      <c r="S10265">
        <v>26</v>
      </c>
      <c r="T10265">
        <v>834</v>
      </c>
      <c r="U10265">
        <v>245</v>
      </c>
      <c r="V10265">
        <v>0</v>
      </c>
      <c r="W10265">
        <v>118</v>
      </c>
      <c r="X10265">
        <v>588</v>
      </c>
      <c r="Y10265">
        <v>0</v>
      </c>
      <c r="Z10265">
        <v>98</v>
      </c>
      <c r="AA10265">
        <v>588</v>
      </c>
      <c r="AB10265">
        <v>1.7482930000000001</v>
      </c>
      <c r="AC10265">
        <v>1.097998E-2</v>
      </c>
      <c r="AD10265">
        <v>1.1487879999999999</v>
      </c>
      <c r="AE10265">
        <v>0.69298289999999996</v>
      </c>
      <c r="AF10265">
        <v>351.66669999999999</v>
      </c>
      <c r="AG10265">
        <f>IFERROR(AH10265*0.1, "N/A")</f>
        <v>5.2989690000000005</v>
      </c>
      <c r="AH10265">
        <v>52.989690000000003</v>
      </c>
      <c r="AI10265">
        <v>225.05240000000001</v>
      </c>
      <c r="AJ10265">
        <v>12.020619999999999</v>
      </c>
      <c r="AK10265">
        <v>71.003439999999998</v>
      </c>
    </row>
    <row r="10266" spans="1:37" x14ac:dyDescent="0.3">
      <c r="A10266">
        <v>10265</v>
      </c>
      <c r="B10266">
        <v>27.9</v>
      </c>
      <c r="C10266">
        <v>14.529199999999999</v>
      </c>
      <c r="D10266">
        <v>10.046799999999999</v>
      </c>
      <c r="E10266" t="s">
        <v>15505</v>
      </c>
      <c r="F10266" t="s">
        <v>15506</v>
      </c>
      <c r="G10266" t="s">
        <v>39</v>
      </c>
      <c r="H10266">
        <v>1996</v>
      </c>
      <c r="I10266">
        <v>28.1</v>
      </c>
      <c r="J10266">
        <v>12.9</v>
      </c>
      <c r="K10266">
        <v>62</v>
      </c>
      <c r="L10266">
        <v>21.81</v>
      </c>
      <c r="M10266">
        <v>39.200000000000003</v>
      </c>
      <c r="N10266">
        <v>18.399999999999999</v>
      </c>
      <c r="O10266">
        <v>20.8</v>
      </c>
      <c r="P10266">
        <v>25.9</v>
      </c>
      <c r="Q10266">
        <v>26.8</v>
      </c>
      <c r="R10266">
        <v>31.4</v>
      </c>
      <c r="S10266">
        <v>25.9</v>
      </c>
      <c r="T10266">
        <v>823</v>
      </c>
      <c r="U10266">
        <v>235</v>
      </c>
      <c r="V10266">
        <v>0</v>
      </c>
      <c r="W10266">
        <v>117</v>
      </c>
      <c r="X10266">
        <v>580</v>
      </c>
      <c r="Y10266">
        <v>0</v>
      </c>
      <c r="Z10266">
        <v>97</v>
      </c>
      <c r="AA10266">
        <v>580</v>
      </c>
      <c r="AB10266">
        <v>3.3960439999999998</v>
      </c>
      <c r="AC10266">
        <v>1.545965E-2</v>
      </c>
      <c r="AD10266">
        <v>0.97154680000000004</v>
      </c>
      <c r="AE10266">
        <v>0.69365790000000005</v>
      </c>
      <c r="AF10266">
        <v>357.54660000000001</v>
      </c>
      <c r="AG10266">
        <f>IFERROR(AH10266*0.1, "N/A")</f>
        <v>6.4281030000000001</v>
      </c>
      <c r="AH10266">
        <v>64.281030000000001</v>
      </c>
      <c r="AI10266">
        <v>164.08670000000001</v>
      </c>
      <c r="AJ10266">
        <v>14.274139999999999</v>
      </c>
      <c r="AK10266">
        <v>68.484480000000005</v>
      </c>
    </row>
    <row r="10267" spans="1:37" x14ac:dyDescent="0.3">
      <c r="A10267">
        <v>10266</v>
      </c>
      <c r="B10267">
        <v>55.8</v>
      </c>
      <c r="C10267">
        <v>14.9278</v>
      </c>
      <c r="D10267">
        <v>10.0472</v>
      </c>
      <c r="E10267" t="s">
        <v>15507</v>
      </c>
      <c r="F10267" t="s">
        <v>15508</v>
      </c>
      <c r="G10267" t="s">
        <v>39</v>
      </c>
      <c r="H10267">
        <v>1990</v>
      </c>
      <c r="I10267">
        <v>28</v>
      </c>
      <c r="J10267">
        <v>13.1</v>
      </c>
      <c r="K10267">
        <v>62</v>
      </c>
      <c r="L10267">
        <v>20.52</v>
      </c>
      <c r="M10267">
        <v>39</v>
      </c>
      <c r="N10267">
        <v>18</v>
      </c>
      <c r="O10267">
        <v>21</v>
      </c>
      <c r="P10267">
        <v>26</v>
      </c>
      <c r="Q10267">
        <v>26.7</v>
      </c>
      <c r="R10267">
        <v>31.1</v>
      </c>
      <c r="S10267">
        <v>26</v>
      </c>
      <c r="T10267">
        <v>837</v>
      </c>
      <c r="U10267">
        <v>245</v>
      </c>
      <c r="V10267">
        <v>0</v>
      </c>
      <c r="W10267">
        <v>119</v>
      </c>
      <c r="X10267">
        <v>590</v>
      </c>
      <c r="Y10267">
        <v>0</v>
      </c>
      <c r="Z10267">
        <v>98</v>
      </c>
      <c r="AA10267">
        <v>590</v>
      </c>
      <c r="AB10267">
        <v>1.6890339999999999</v>
      </c>
      <c r="AC10267">
        <v>1.023895E-2</v>
      </c>
      <c r="AD10267">
        <v>2.3438870000000001</v>
      </c>
      <c r="AE10267">
        <v>0.69660270000000002</v>
      </c>
      <c r="AF10267">
        <v>353.42880000000002</v>
      </c>
      <c r="AG10267">
        <f>IFERROR(AH10267*0.1, "N/A")</f>
        <v>5.1864490000000005</v>
      </c>
      <c r="AH10267">
        <v>51.864490000000004</v>
      </c>
      <c r="AI10267">
        <v>186.72880000000001</v>
      </c>
      <c r="AJ10267">
        <v>13.24357</v>
      </c>
      <c r="AK10267">
        <v>67.135509999999996</v>
      </c>
    </row>
    <row r="10268" spans="1:37" x14ac:dyDescent="0.3">
      <c r="A10268">
        <v>10267</v>
      </c>
      <c r="B10268">
        <v>0</v>
      </c>
      <c r="C10268">
        <v>14.9278</v>
      </c>
      <c r="D10268">
        <v>10.0472</v>
      </c>
      <c r="E10268" t="s">
        <v>15507</v>
      </c>
      <c r="F10268" t="s">
        <v>15509</v>
      </c>
      <c r="G10268" t="s">
        <v>37</v>
      </c>
      <c r="H10268">
        <v>1990</v>
      </c>
      <c r="I10268">
        <v>28</v>
      </c>
      <c r="J10268">
        <v>13.1</v>
      </c>
      <c r="K10268">
        <v>62</v>
      </c>
      <c r="L10268">
        <v>20.52</v>
      </c>
      <c r="M10268">
        <v>39</v>
      </c>
      <c r="N10268">
        <v>18</v>
      </c>
      <c r="O10268">
        <v>21</v>
      </c>
      <c r="P10268">
        <v>26</v>
      </c>
      <c r="Q10268">
        <v>26.7</v>
      </c>
      <c r="R10268">
        <v>31.1</v>
      </c>
      <c r="S10268">
        <v>26</v>
      </c>
      <c r="T10268">
        <v>837</v>
      </c>
      <c r="U10268">
        <v>245</v>
      </c>
      <c r="V10268">
        <v>0</v>
      </c>
      <c r="W10268">
        <v>119</v>
      </c>
      <c r="X10268">
        <v>590</v>
      </c>
      <c r="Y10268">
        <v>0</v>
      </c>
      <c r="Z10268">
        <v>98</v>
      </c>
      <c r="AA10268">
        <v>590</v>
      </c>
      <c r="AB10268">
        <v>1.6890339999999999</v>
      </c>
      <c r="AC10268">
        <v>1.023895E-2</v>
      </c>
      <c r="AD10268">
        <v>2.3438870000000001</v>
      </c>
      <c r="AE10268">
        <v>0.69660270000000002</v>
      </c>
      <c r="AF10268">
        <v>353.42880000000002</v>
      </c>
      <c r="AG10268">
        <f>IFERROR(AH10268*0.1, "N/A")</f>
        <v>5.1864490000000005</v>
      </c>
      <c r="AH10268">
        <v>51.864490000000004</v>
      </c>
      <c r="AI10268">
        <v>186.72880000000001</v>
      </c>
      <c r="AJ10268">
        <v>13.24357</v>
      </c>
      <c r="AK10268">
        <v>67.135509999999996</v>
      </c>
    </row>
    <row r="10269" spans="1:37" x14ac:dyDescent="0.3">
      <c r="A10269">
        <v>10268</v>
      </c>
      <c r="B10269">
        <v>0</v>
      </c>
      <c r="C10269">
        <v>14.9278</v>
      </c>
      <c r="D10269">
        <v>10.0472</v>
      </c>
      <c r="E10269" t="s">
        <v>15507</v>
      </c>
      <c r="F10269" t="s">
        <v>15510</v>
      </c>
      <c r="G10269" t="s">
        <v>2420</v>
      </c>
      <c r="H10269">
        <v>1990</v>
      </c>
      <c r="I10269">
        <v>28</v>
      </c>
      <c r="J10269">
        <v>13.1</v>
      </c>
      <c r="K10269">
        <v>62</v>
      </c>
      <c r="L10269">
        <v>20.52</v>
      </c>
      <c r="M10269">
        <v>39</v>
      </c>
      <c r="N10269">
        <v>18</v>
      </c>
      <c r="O10269">
        <v>21</v>
      </c>
      <c r="P10269">
        <v>26</v>
      </c>
      <c r="Q10269">
        <v>26.7</v>
      </c>
      <c r="R10269">
        <v>31.1</v>
      </c>
      <c r="S10269">
        <v>26</v>
      </c>
      <c r="T10269">
        <v>837</v>
      </c>
      <c r="U10269">
        <v>245</v>
      </c>
      <c r="V10269">
        <v>0</v>
      </c>
      <c r="W10269">
        <v>119</v>
      </c>
      <c r="X10269">
        <v>590</v>
      </c>
      <c r="Y10269">
        <v>0</v>
      </c>
      <c r="Z10269">
        <v>98</v>
      </c>
      <c r="AA10269">
        <v>590</v>
      </c>
      <c r="AB10269">
        <v>1.6890339999999999</v>
      </c>
      <c r="AC10269">
        <v>1.023895E-2</v>
      </c>
      <c r="AD10269">
        <v>2.3438870000000001</v>
      </c>
      <c r="AE10269">
        <v>0.69660270000000002</v>
      </c>
      <c r="AF10269">
        <v>353.42880000000002</v>
      </c>
      <c r="AG10269">
        <f>IFERROR(AH10269*0.1, "N/A")</f>
        <v>5.1864490000000005</v>
      </c>
      <c r="AH10269">
        <v>51.864490000000004</v>
      </c>
      <c r="AI10269">
        <v>186.72880000000001</v>
      </c>
      <c r="AJ10269">
        <v>13.24357</v>
      </c>
      <c r="AK10269">
        <v>67.135509999999996</v>
      </c>
    </row>
    <row r="10270" spans="1:37" x14ac:dyDescent="0.3">
      <c r="A10270">
        <v>10269</v>
      </c>
      <c r="B10270">
        <v>58.3</v>
      </c>
      <c r="C10270">
        <v>14.9778</v>
      </c>
      <c r="D10270">
        <v>10.047499999999999</v>
      </c>
      <c r="E10270" t="s">
        <v>15511</v>
      </c>
      <c r="F10270" t="s">
        <v>15512</v>
      </c>
      <c r="G10270" t="s">
        <v>39</v>
      </c>
      <c r="H10270">
        <v>1995</v>
      </c>
      <c r="I10270">
        <v>28</v>
      </c>
      <c r="J10270">
        <v>13.1</v>
      </c>
      <c r="K10270">
        <v>62</v>
      </c>
      <c r="L10270">
        <v>20.3</v>
      </c>
      <c r="M10270">
        <v>39</v>
      </c>
      <c r="N10270">
        <v>18</v>
      </c>
      <c r="O10270">
        <v>21</v>
      </c>
      <c r="P10270">
        <v>26</v>
      </c>
      <c r="Q10270">
        <v>26.7</v>
      </c>
      <c r="R10270">
        <v>31.1</v>
      </c>
      <c r="S10270">
        <v>26</v>
      </c>
      <c r="T10270">
        <v>834</v>
      </c>
      <c r="U10270">
        <v>245</v>
      </c>
      <c r="V10270">
        <v>0</v>
      </c>
      <c r="W10270">
        <v>118</v>
      </c>
      <c r="X10270">
        <v>588</v>
      </c>
      <c r="Y10270">
        <v>0</v>
      </c>
      <c r="Z10270">
        <v>98</v>
      </c>
      <c r="AA10270">
        <v>588</v>
      </c>
      <c r="AB10270">
        <v>2.1744089999999998</v>
      </c>
      <c r="AC10270">
        <v>4.6349830000000002E-2</v>
      </c>
      <c r="AD10270">
        <v>1.7220009999999999</v>
      </c>
      <c r="AE10270">
        <v>0.69537930000000003</v>
      </c>
      <c r="AF10270">
        <v>350.93130000000002</v>
      </c>
      <c r="AG10270">
        <f>IFERROR(AH10270*0.1, "N/A")</f>
        <v>5.6958760000000002</v>
      </c>
      <c r="AH10270">
        <v>56.958759999999998</v>
      </c>
      <c r="AI10270">
        <v>166.5436</v>
      </c>
      <c r="AJ10270">
        <v>15.01031</v>
      </c>
      <c r="AK10270">
        <v>68</v>
      </c>
    </row>
    <row r="10271" spans="1:37" x14ac:dyDescent="0.3">
      <c r="A10271">
        <v>10270</v>
      </c>
      <c r="B10271">
        <v>37</v>
      </c>
      <c r="C10271">
        <v>14.271000000000001</v>
      </c>
      <c r="D10271">
        <v>10.049200000000001</v>
      </c>
      <c r="E10271" t="s">
        <v>15513</v>
      </c>
      <c r="F10271" t="s">
        <v>15514</v>
      </c>
      <c r="G10271" t="s">
        <v>39</v>
      </c>
      <c r="H10271">
        <v>1987</v>
      </c>
      <c r="I10271">
        <v>27.9</v>
      </c>
      <c r="J10271">
        <v>13</v>
      </c>
      <c r="K10271">
        <v>62</v>
      </c>
      <c r="L10271">
        <v>21.42</v>
      </c>
      <c r="M10271">
        <v>39.1</v>
      </c>
      <c r="N10271">
        <v>18.3</v>
      </c>
      <c r="O10271">
        <v>20.8</v>
      </c>
      <c r="P10271">
        <v>25.8</v>
      </c>
      <c r="Q10271">
        <v>26.7</v>
      </c>
      <c r="R10271">
        <v>31.2</v>
      </c>
      <c r="S10271">
        <v>25.8</v>
      </c>
      <c r="T10271">
        <v>834</v>
      </c>
      <c r="U10271">
        <v>234</v>
      </c>
      <c r="V10271">
        <v>0</v>
      </c>
      <c r="W10271">
        <v>114</v>
      </c>
      <c r="X10271">
        <v>577</v>
      </c>
      <c r="Y10271">
        <v>0</v>
      </c>
      <c r="Z10271">
        <v>104</v>
      </c>
      <c r="AA10271">
        <v>577</v>
      </c>
      <c r="AB10271">
        <v>3.5549710000000001</v>
      </c>
      <c r="AC10271">
        <v>3.2346079999999999E-2</v>
      </c>
      <c r="AD10271">
        <v>1.8987400000000001</v>
      </c>
      <c r="AE10271">
        <v>0.68427439999999995</v>
      </c>
      <c r="AF10271">
        <v>369.2509</v>
      </c>
      <c r="AG10271">
        <f>IFERROR(AH10271*0.1, "N/A")</f>
        <v>6.6000000000000005</v>
      </c>
      <c r="AH10271">
        <v>66</v>
      </c>
      <c r="AI10271">
        <v>215.15459999999999</v>
      </c>
      <c r="AJ10271">
        <v>23.457039999999999</v>
      </c>
      <c r="AK10271">
        <v>62.42268</v>
      </c>
    </row>
    <row r="10272" spans="1:37" x14ac:dyDescent="0.3">
      <c r="A10272">
        <v>10271</v>
      </c>
      <c r="B10272">
        <v>0</v>
      </c>
      <c r="C10272">
        <v>14.532</v>
      </c>
      <c r="D10272">
        <v>10.050000000000001</v>
      </c>
      <c r="E10272" t="s">
        <v>15515</v>
      </c>
      <c r="F10272" t="s">
        <v>15516</v>
      </c>
      <c r="G10272" t="s">
        <v>37</v>
      </c>
      <c r="H10272">
        <v>1987</v>
      </c>
      <c r="I10272">
        <v>28.07629</v>
      </c>
      <c r="J10272">
        <v>12.9</v>
      </c>
      <c r="K10272">
        <v>61.762889999999999</v>
      </c>
      <c r="L10272">
        <v>21.72701</v>
      </c>
      <c r="M10272">
        <v>39.200000000000003</v>
      </c>
      <c r="N10272">
        <v>18.35258</v>
      </c>
      <c r="O10272">
        <v>20.84742</v>
      </c>
      <c r="P10272">
        <v>25.9</v>
      </c>
      <c r="Q10272">
        <v>26.776289999999999</v>
      </c>
      <c r="R10272">
        <v>31.376290000000001</v>
      </c>
      <c r="S10272">
        <v>25.9</v>
      </c>
      <c r="T10272">
        <v>823.23710000000005</v>
      </c>
      <c r="U10272">
        <v>235</v>
      </c>
      <c r="V10272">
        <v>0</v>
      </c>
      <c r="W10272">
        <v>117</v>
      </c>
      <c r="X10272">
        <v>580.23710000000005</v>
      </c>
      <c r="Y10272">
        <v>0</v>
      </c>
      <c r="Z10272">
        <v>97</v>
      </c>
      <c r="AA10272">
        <v>580.23710000000005</v>
      </c>
      <c r="AB10272">
        <v>4.8841939999999999</v>
      </c>
      <c r="AC10272">
        <v>0.1413903</v>
      </c>
      <c r="AD10272">
        <v>1.3614010000000001</v>
      </c>
      <c r="AE10272">
        <v>0.69309180000000004</v>
      </c>
      <c r="AF10272">
        <v>360.92099999999999</v>
      </c>
      <c r="AG10272">
        <f>IFERROR(AH10272*0.1, "N/A")</f>
        <v>6.5924400000000007</v>
      </c>
      <c r="AH10272">
        <v>65.924400000000006</v>
      </c>
      <c r="AI10272">
        <v>173.9872</v>
      </c>
      <c r="AJ10272">
        <v>15</v>
      </c>
      <c r="AK10272">
        <v>67.848799999999997</v>
      </c>
    </row>
    <row r="10273" spans="1:37" x14ac:dyDescent="0.3">
      <c r="A10273">
        <v>10272</v>
      </c>
      <c r="B10273">
        <v>9.1999999999999993</v>
      </c>
      <c r="C10273">
        <v>15.183299999999999</v>
      </c>
      <c r="D10273">
        <v>10.050000000000001</v>
      </c>
      <c r="E10273" t="s">
        <v>15517</v>
      </c>
      <c r="F10273" t="s">
        <v>15518</v>
      </c>
      <c r="G10273" t="s">
        <v>39</v>
      </c>
      <c r="H10273">
        <v>1995</v>
      </c>
      <c r="I10273">
        <v>28</v>
      </c>
      <c r="J10273">
        <v>13.3</v>
      </c>
      <c r="K10273">
        <v>62</v>
      </c>
      <c r="L10273">
        <v>20.188639999999999</v>
      </c>
      <c r="M10273">
        <v>39.1</v>
      </c>
      <c r="N10273">
        <v>17.751290000000001</v>
      </c>
      <c r="O10273">
        <v>21.348710000000001</v>
      </c>
      <c r="P10273">
        <v>26.17633</v>
      </c>
      <c r="Q10273">
        <v>26.7</v>
      </c>
      <c r="R10273">
        <v>31.1</v>
      </c>
      <c r="S10273">
        <v>26.17633</v>
      </c>
      <c r="T10273">
        <v>811.40989999999999</v>
      </c>
      <c r="U10273">
        <v>243</v>
      </c>
      <c r="V10273">
        <v>0</v>
      </c>
      <c r="W10273">
        <v>120</v>
      </c>
      <c r="X10273">
        <v>577.40989999999999</v>
      </c>
      <c r="Y10273">
        <v>0</v>
      </c>
      <c r="Z10273">
        <v>89</v>
      </c>
      <c r="AA10273">
        <v>577.40989999999999</v>
      </c>
      <c r="AB10273">
        <v>0.18936130000000001</v>
      </c>
      <c r="AC10273">
        <v>1.31528</v>
      </c>
      <c r="AD10273">
        <v>0.73631250000000004</v>
      </c>
      <c r="AE10273">
        <v>0.51312040000000003</v>
      </c>
      <c r="AF10273">
        <v>324.024</v>
      </c>
      <c r="AG10273">
        <f>IFERROR(AH10273*0.1, "N/A")</f>
        <v>6.2596910000000001</v>
      </c>
      <c r="AH10273">
        <v>62.596910000000001</v>
      </c>
      <c r="AI10273">
        <v>74.549819999999997</v>
      </c>
      <c r="AJ10273">
        <v>23.612349999999999</v>
      </c>
      <c r="AK10273">
        <v>56.897080000000003</v>
      </c>
    </row>
    <row r="10274" spans="1:37" x14ac:dyDescent="0.3">
      <c r="A10274">
        <v>10273</v>
      </c>
      <c r="B10274">
        <v>61.7</v>
      </c>
      <c r="C10274">
        <v>14.9259</v>
      </c>
      <c r="D10274">
        <v>10.0502</v>
      </c>
      <c r="E10274" t="s">
        <v>15519</v>
      </c>
      <c r="F10274" t="s">
        <v>15520</v>
      </c>
      <c r="G10274" t="s">
        <v>39</v>
      </c>
      <c r="H10274">
        <v>1995</v>
      </c>
      <c r="I10274">
        <v>28</v>
      </c>
      <c r="J10274">
        <v>13.1</v>
      </c>
      <c r="K10274">
        <v>62</v>
      </c>
      <c r="L10274">
        <v>20.612369999999999</v>
      </c>
      <c r="M10274">
        <v>39.038490000000003</v>
      </c>
      <c r="N10274">
        <v>18.038489999999999</v>
      </c>
      <c r="O10274">
        <v>21</v>
      </c>
      <c r="P10274">
        <v>26</v>
      </c>
      <c r="Q10274">
        <v>26.7</v>
      </c>
      <c r="R10274">
        <v>31.138490000000001</v>
      </c>
      <c r="S10274">
        <v>26</v>
      </c>
      <c r="T10274">
        <v>835.84540000000004</v>
      </c>
      <c r="U10274">
        <v>244.61510000000001</v>
      </c>
      <c r="V10274">
        <v>0</v>
      </c>
      <c r="W10274">
        <v>118.6151</v>
      </c>
      <c r="X10274">
        <v>588.84540000000004</v>
      </c>
      <c r="Y10274">
        <v>0</v>
      </c>
      <c r="Z10274">
        <v>98</v>
      </c>
      <c r="AA10274">
        <v>588.84540000000004</v>
      </c>
      <c r="AB10274">
        <v>3.115459</v>
      </c>
      <c r="AC10274">
        <v>1.238299E-2</v>
      </c>
      <c r="AD10274">
        <v>1.455436</v>
      </c>
      <c r="AE10274">
        <v>0.696156</v>
      </c>
      <c r="AF10274">
        <v>352.66840000000002</v>
      </c>
      <c r="AG10274">
        <f>IFERROR(AH10274*0.1, "N/A")</f>
        <v>5.2</v>
      </c>
      <c r="AH10274">
        <v>52</v>
      </c>
      <c r="AI10274">
        <v>211.80690000000001</v>
      </c>
      <c r="AJ10274">
        <v>14</v>
      </c>
      <c r="AK10274">
        <v>67</v>
      </c>
    </row>
    <row r="10275" spans="1:37" x14ac:dyDescent="0.3">
      <c r="A10275">
        <v>10274</v>
      </c>
      <c r="B10275">
        <v>66.7</v>
      </c>
      <c r="C10275">
        <v>14.525</v>
      </c>
      <c r="D10275">
        <v>10.0528</v>
      </c>
      <c r="E10275" t="s">
        <v>15521</v>
      </c>
      <c r="F10275" t="s">
        <v>15522</v>
      </c>
      <c r="G10275" t="s">
        <v>39</v>
      </c>
      <c r="H10275">
        <v>1990</v>
      </c>
      <c r="I10275">
        <v>28.03688</v>
      </c>
      <c r="J10275">
        <v>12.9</v>
      </c>
      <c r="K10275">
        <v>61.368780000000001</v>
      </c>
      <c r="L10275">
        <v>21.56326</v>
      </c>
      <c r="M10275">
        <v>39.200000000000003</v>
      </c>
      <c r="N10275">
        <v>18.273759999999999</v>
      </c>
      <c r="O10275">
        <v>20.92624</v>
      </c>
      <c r="P10275">
        <v>25.9</v>
      </c>
      <c r="Q10275">
        <v>26.736879999999999</v>
      </c>
      <c r="R10275">
        <v>31.336880000000001</v>
      </c>
      <c r="S10275">
        <v>25.9</v>
      </c>
      <c r="T10275">
        <v>822.89369999999997</v>
      </c>
      <c r="U10275">
        <v>234.63120000000001</v>
      </c>
      <c r="V10275">
        <v>0</v>
      </c>
      <c r="W10275">
        <v>116.63120000000001</v>
      </c>
      <c r="X10275">
        <v>580.26239999999996</v>
      </c>
      <c r="Y10275">
        <v>0</v>
      </c>
      <c r="Z10275">
        <v>97</v>
      </c>
      <c r="AA10275">
        <v>580.26239999999996</v>
      </c>
      <c r="AB10275">
        <v>4.2317200000000001</v>
      </c>
      <c r="AC10275">
        <v>3.9337700000000003E-2</v>
      </c>
      <c r="AD10275">
        <v>1.0396339999999999</v>
      </c>
      <c r="AE10275">
        <v>0.69365790000000005</v>
      </c>
      <c r="AF10275">
        <v>357.4837</v>
      </c>
      <c r="AG10275">
        <f>IFERROR(AH10275*0.1, "N/A")</f>
        <v>6.6590050000000005</v>
      </c>
      <c r="AH10275">
        <v>66.590050000000005</v>
      </c>
      <c r="AI10275">
        <v>281.5951</v>
      </c>
      <c r="AJ10275">
        <v>19.221270000000001</v>
      </c>
      <c r="AK10275">
        <v>63.819899999999997</v>
      </c>
    </row>
    <row r="10276" spans="1:37" x14ac:dyDescent="0.3">
      <c r="A10276">
        <v>10275</v>
      </c>
      <c r="B10276">
        <v>61.1</v>
      </c>
      <c r="C10276">
        <v>14.525</v>
      </c>
      <c r="D10276">
        <v>10.0528</v>
      </c>
      <c r="E10276" t="s">
        <v>15521</v>
      </c>
      <c r="F10276" t="s">
        <v>15523</v>
      </c>
      <c r="G10276" t="s">
        <v>37</v>
      </c>
      <c r="H10276">
        <v>1990</v>
      </c>
      <c r="I10276">
        <v>28.03688</v>
      </c>
      <c r="J10276">
        <v>12.9</v>
      </c>
      <c r="K10276">
        <v>61.368780000000001</v>
      </c>
      <c r="L10276">
        <v>21.56326</v>
      </c>
      <c r="M10276">
        <v>39.200000000000003</v>
      </c>
      <c r="N10276">
        <v>18.273759999999999</v>
      </c>
      <c r="O10276">
        <v>20.92624</v>
      </c>
      <c r="P10276">
        <v>25.9</v>
      </c>
      <c r="Q10276">
        <v>26.736879999999999</v>
      </c>
      <c r="R10276">
        <v>31.336880000000001</v>
      </c>
      <c r="S10276">
        <v>25.9</v>
      </c>
      <c r="T10276">
        <v>822.89369999999997</v>
      </c>
      <c r="U10276">
        <v>234.63120000000001</v>
      </c>
      <c r="V10276">
        <v>0</v>
      </c>
      <c r="W10276">
        <v>116.63120000000001</v>
      </c>
      <c r="X10276">
        <v>580.26239999999996</v>
      </c>
      <c r="Y10276">
        <v>0</v>
      </c>
      <c r="Z10276">
        <v>97</v>
      </c>
      <c r="AA10276">
        <v>580.26239999999996</v>
      </c>
      <c r="AB10276">
        <v>4.2317200000000001</v>
      </c>
      <c r="AC10276">
        <v>3.9337700000000003E-2</v>
      </c>
      <c r="AD10276">
        <v>1.0396339999999999</v>
      </c>
      <c r="AE10276">
        <v>0.69365790000000005</v>
      </c>
      <c r="AF10276">
        <v>357.4837</v>
      </c>
      <c r="AG10276">
        <f>IFERROR(AH10276*0.1, "N/A")</f>
        <v>6.6590050000000005</v>
      </c>
      <c r="AH10276">
        <v>66.590050000000005</v>
      </c>
      <c r="AI10276">
        <v>281.5951</v>
      </c>
      <c r="AJ10276">
        <v>19.221270000000001</v>
      </c>
      <c r="AK10276">
        <v>63.819899999999997</v>
      </c>
    </row>
    <row r="10277" spans="1:37" x14ac:dyDescent="0.3">
      <c r="A10277">
        <v>10276</v>
      </c>
      <c r="B10277">
        <v>13.9</v>
      </c>
      <c r="C10277">
        <v>14.525</v>
      </c>
      <c r="D10277">
        <v>10.0528</v>
      </c>
      <c r="E10277" t="s">
        <v>15521</v>
      </c>
      <c r="F10277" t="s">
        <v>15524</v>
      </c>
      <c r="G10277" t="s">
        <v>2420</v>
      </c>
      <c r="H10277">
        <v>1990</v>
      </c>
      <c r="I10277">
        <v>28.03688</v>
      </c>
      <c r="J10277">
        <v>12.9</v>
      </c>
      <c r="K10277">
        <v>61.368780000000001</v>
      </c>
      <c r="L10277">
        <v>21.56326</v>
      </c>
      <c r="M10277">
        <v>39.200000000000003</v>
      </c>
      <c r="N10277">
        <v>18.273759999999999</v>
      </c>
      <c r="O10277">
        <v>20.92624</v>
      </c>
      <c r="P10277">
        <v>25.9</v>
      </c>
      <c r="Q10277">
        <v>26.736879999999999</v>
      </c>
      <c r="R10277">
        <v>31.336880000000001</v>
      </c>
      <c r="S10277">
        <v>25.9</v>
      </c>
      <c r="T10277">
        <v>822.89369999999997</v>
      </c>
      <c r="U10277">
        <v>234.63120000000001</v>
      </c>
      <c r="V10277">
        <v>0</v>
      </c>
      <c r="W10277">
        <v>116.63120000000001</v>
      </c>
      <c r="X10277">
        <v>580.26239999999996</v>
      </c>
      <c r="Y10277">
        <v>0</v>
      </c>
      <c r="Z10277">
        <v>97</v>
      </c>
      <c r="AA10277">
        <v>580.26239999999996</v>
      </c>
      <c r="AB10277">
        <v>4.2317200000000001</v>
      </c>
      <c r="AC10277">
        <v>3.9337700000000003E-2</v>
      </c>
      <c r="AD10277">
        <v>1.0396339999999999</v>
      </c>
      <c r="AE10277">
        <v>0.69365790000000005</v>
      </c>
      <c r="AF10277">
        <v>357.4837</v>
      </c>
      <c r="AG10277">
        <f>IFERROR(AH10277*0.1, "N/A")</f>
        <v>6.6590050000000005</v>
      </c>
      <c r="AH10277">
        <v>66.590050000000005</v>
      </c>
      <c r="AI10277">
        <v>281.5951</v>
      </c>
      <c r="AJ10277">
        <v>19.221270000000001</v>
      </c>
      <c r="AK10277">
        <v>63.819899999999997</v>
      </c>
    </row>
    <row r="10278" spans="1:37" x14ac:dyDescent="0.3">
      <c r="A10278">
        <v>10277</v>
      </c>
      <c r="B10278">
        <v>20.9</v>
      </c>
      <c r="C10278">
        <v>15.2278</v>
      </c>
      <c r="D10278">
        <v>10.0611</v>
      </c>
      <c r="E10278" t="s">
        <v>15525</v>
      </c>
      <c r="F10278" t="s">
        <v>15526</v>
      </c>
      <c r="G10278" t="s">
        <v>39</v>
      </c>
      <c r="H10278">
        <v>1990</v>
      </c>
      <c r="I10278">
        <v>28</v>
      </c>
      <c r="J10278">
        <v>13.3</v>
      </c>
      <c r="K10278">
        <v>62</v>
      </c>
      <c r="L10278">
        <v>20.100000000000001</v>
      </c>
      <c r="M10278">
        <v>39</v>
      </c>
      <c r="N10278">
        <v>17.7</v>
      </c>
      <c r="O10278">
        <v>21.3</v>
      </c>
      <c r="P10278">
        <v>26.1</v>
      </c>
      <c r="Q10278">
        <v>26.6</v>
      </c>
      <c r="R10278">
        <v>31</v>
      </c>
      <c r="S10278">
        <v>26.1</v>
      </c>
      <c r="T10278">
        <v>807</v>
      </c>
      <c r="U10278">
        <v>243</v>
      </c>
      <c r="V10278">
        <v>0</v>
      </c>
      <c r="W10278">
        <v>120</v>
      </c>
      <c r="X10278">
        <v>575</v>
      </c>
      <c r="Y10278">
        <v>0</v>
      </c>
      <c r="Z10278">
        <v>88</v>
      </c>
      <c r="AA10278">
        <v>575</v>
      </c>
      <c r="AB10278">
        <v>3.8616809999999999</v>
      </c>
      <c r="AC10278">
        <v>1.8284519999999999E-2</v>
      </c>
      <c r="AD10278">
        <v>2.2355830000000001</v>
      </c>
      <c r="AE10278">
        <v>0.6351559</v>
      </c>
      <c r="AF10278">
        <v>328.35219999999998</v>
      </c>
      <c r="AG10278">
        <f>IFERROR(AH10278*0.1, "N/A")</f>
        <v>6.1000000000000005</v>
      </c>
      <c r="AH10278">
        <v>61</v>
      </c>
      <c r="AI10278">
        <v>144.3486</v>
      </c>
      <c r="AJ10278">
        <v>24.364260000000002</v>
      </c>
      <c r="AK10278">
        <v>54.381439999999998</v>
      </c>
    </row>
    <row r="10279" spans="1:37" x14ac:dyDescent="0.3">
      <c r="A10279">
        <v>10278</v>
      </c>
      <c r="B10279">
        <v>0</v>
      </c>
      <c r="C10279">
        <v>15.2278</v>
      </c>
      <c r="D10279">
        <v>10.0611</v>
      </c>
      <c r="E10279" t="s">
        <v>15525</v>
      </c>
      <c r="F10279" t="s">
        <v>15527</v>
      </c>
      <c r="G10279" t="s">
        <v>37</v>
      </c>
      <c r="H10279">
        <v>1990</v>
      </c>
      <c r="I10279">
        <v>28</v>
      </c>
      <c r="J10279">
        <v>13.3</v>
      </c>
      <c r="K10279">
        <v>62</v>
      </c>
      <c r="L10279">
        <v>20.100000000000001</v>
      </c>
      <c r="M10279">
        <v>39</v>
      </c>
      <c r="N10279">
        <v>17.7</v>
      </c>
      <c r="O10279">
        <v>21.3</v>
      </c>
      <c r="P10279">
        <v>26.1</v>
      </c>
      <c r="Q10279">
        <v>26.6</v>
      </c>
      <c r="R10279">
        <v>31</v>
      </c>
      <c r="S10279">
        <v>26.1</v>
      </c>
      <c r="T10279">
        <v>807</v>
      </c>
      <c r="U10279">
        <v>243</v>
      </c>
      <c r="V10279">
        <v>0</v>
      </c>
      <c r="W10279">
        <v>120</v>
      </c>
      <c r="X10279">
        <v>575</v>
      </c>
      <c r="Y10279">
        <v>0</v>
      </c>
      <c r="Z10279">
        <v>88</v>
      </c>
      <c r="AA10279">
        <v>575</v>
      </c>
      <c r="AB10279">
        <v>3.8616809999999999</v>
      </c>
      <c r="AC10279">
        <v>1.8284519999999999E-2</v>
      </c>
      <c r="AD10279">
        <v>2.2355830000000001</v>
      </c>
      <c r="AE10279">
        <v>0.6351559</v>
      </c>
      <c r="AF10279">
        <v>328.35219999999998</v>
      </c>
      <c r="AG10279">
        <f>IFERROR(AH10279*0.1, "N/A")</f>
        <v>6.1000000000000005</v>
      </c>
      <c r="AH10279">
        <v>61</v>
      </c>
      <c r="AI10279">
        <v>144.3486</v>
      </c>
      <c r="AJ10279">
        <v>24.364260000000002</v>
      </c>
      <c r="AK10279">
        <v>54.381439999999998</v>
      </c>
    </row>
    <row r="10280" spans="1:37" x14ac:dyDescent="0.3">
      <c r="A10280">
        <v>10279</v>
      </c>
      <c r="B10280">
        <v>0</v>
      </c>
      <c r="C10280">
        <v>15.2278</v>
      </c>
      <c r="D10280">
        <v>10.0611</v>
      </c>
      <c r="E10280" t="s">
        <v>15525</v>
      </c>
      <c r="F10280" t="s">
        <v>15528</v>
      </c>
      <c r="G10280" t="s">
        <v>2420</v>
      </c>
      <c r="H10280">
        <v>1990</v>
      </c>
      <c r="I10280">
        <v>28</v>
      </c>
      <c r="J10280">
        <v>13.3</v>
      </c>
      <c r="K10280">
        <v>62</v>
      </c>
      <c r="L10280">
        <v>20.100000000000001</v>
      </c>
      <c r="M10280">
        <v>39</v>
      </c>
      <c r="N10280">
        <v>17.7</v>
      </c>
      <c r="O10280">
        <v>21.3</v>
      </c>
      <c r="P10280">
        <v>26.1</v>
      </c>
      <c r="Q10280">
        <v>26.6</v>
      </c>
      <c r="R10280">
        <v>31</v>
      </c>
      <c r="S10280">
        <v>26.1</v>
      </c>
      <c r="T10280">
        <v>807</v>
      </c>
      <c r="U10280">
        <v>243</v>
      </c>
      <c r="V10280">
        <v>0</v>
      </c>
      <c r="W10280">
        <v>120</v>
      </c>
      <c r="X10280">
        <v>575</v>
      </c>
      <c r="Y10280">
        <v>0</v>
      </c>
      <c r="Z10280">
        <v>88</v>
      </c>
      <c r="AA10280">
        <v>575</v>
      </c>
      <c r="AB10280">
        <v>3.8616809999999999</v>
      </c>
      <c r="AC10280">
        <v>1.8284519999999999E-2</v>
      </c>
      <c r="AD10280">
        <v>2.2355830000000001</v>
      </c>
      <c r="AE10280">
        <v>0.6351559</v>
      </c>
      <c r="AF10280">
        <v>328.35219999999998</v>
      </c>
      <c r="AG10280">
        <f>IFERROR(AH10280*0.1, "N/A")</f>
        <v>6.1000000000000005</v>
      </c>
      <c r="AH10280">
        <v>61</v>
      </c>
      <c r="AI10280">
        <v>144.3486</v>
      </c>
      <c r="AJ10280">
        <v>24.364260000000002</v>
      </c>
      <c r="AK10280">
        <v>54.381439999999998</v>
      </c>
    </row>
    <row r="10281" spans="1:37" x14ac:dyDescent="0.3">
      <c r="A10281">
        <v>10280</v>
      </c>
      <c r="B10281">
        <v>33.799999999999997</v>
      </c>
      <c r="C10281">
        <v>15.2599</v>
      </c>
      <c r="D10281">
        <v>10.0717</v>
      </c>
      <c r="E10281" t="s">
        <v>15529</v>
      </c>
      <c r="F10281" t="s">
        <v>15530</v>
      </c>
      <c r="G10281" t="s">
        <v>39</v>
      </c>
      <c r="H10281">
        <v>1995</v>
      </c>
      <c r="I10281">
        <v>28</v>
      </c>
      <c r="J10281">
        <v>13.4</v>
      </c>
      <c r="K10281">
        <v>62</v>
      </c>
      <c r="L10281">
        <v>19.899999999999999</v>
      </c>
      <c r="M10281">
        <v>39.1</v>
      </c>
      <c r="N10281">
        <v>17.600000000000001</v>
      </c>
      <c r="O10281">
        <v>21.5</v>
      </c>
      <c r="P10281">
        <v>26.1</v>
      </c>
      <c r="Q10281">
        <v>26.6</v>
      </c>
      <c r="R10281">
        <v>31</v>
      </c>
      <c r="S10281">
        <v>26.1</v>
      </c>
      <c r="T10281">
        <v>806</v>
      </c>
      <c r="U10281">
        <v>244</v>
      </c>
      <c r="V10281">
        <v>0</v>
      </c>
      <c r="W10281">
        <v>120</v>
      </c>
      <c r="X10281">
        <v>575</v>
      </c>
      <c r="Y10281">
        <v>0</v>
      </c>
      <c r="Z10281">
        <v>88</v>
      </c>
      <c r="AA10281">
        <v>575</v>
      </c>
      <c r="AB10281">
        <v>4.2729879999999998</v>
      </c>
      <c r="AC10281">
        <v>8.8389230000000003E-3</v>
      </c>
      <c r="AD10281">
        <v>1.1254729999999999</v>
      </c>
      <c r="AE10281">
        <v>0.69074950000000002</v>
      </c>
      <c r="AF10281">
        <v>328.93459999999999</v>
      </c>
      <c r="AG10281">
        <f>IFERROR(AH10281*0.1, "N/A")</f>
        <v>6.1401029999999999</v>
      </c>
      <c r="AH10281">
        <v>61.401029999999999</v>
      </c>
      <c r="AI10281">
        <v>83.013400000000004</v>
      </c>
      <c r="AJ10281">
        <v>17.333909999999999</v>
      </c>
      <c r="AK10281">
        <v>59.987949999999998</v>
      </c>
    </row>
    <row r="10282" spans="1:37" x14ac:dyDescent="0.3">
      <c r="A10282">
        <v>10281</v>
      </c>
      <c r="B10282">
        <v>74.2</v>
      </c>
      <c r="C10282">
        <v>14.9556</v>
      </c>
      <c r="D10282">
        <v>10.0722</v>
      </c>
      <c r="E10282" t="s">
        <v>15531</v>
      </c>
      <c r="F10282" t="s">
        <v>15532</v>
      </c>
      <c r="G10282" t="s">
        <v>39</v>
      </c>
      <c r="H10282">
        <v>1995</v>
      </c>
      <c r="I10282">
        <v>28</v>
      </c>
      <c r="J10282">
        <v>13.2</v>
      </c>
      <c r="K10282">
        <v>62</v>
      </c>
      <c r="L10282">
        <v>20.72</v>
      </c>
      <c r="M10282">
        <v>39.1</v>
      </c>
      <c r="N10282">
        <v>18</v>
      </c>
      <c r="O10282">
        <v>21.1</v>
      </c>
      <c r="P10282">
        <v>26</v>
      </c>
      <c r="Q10282">
        <v>26.7</v>
      </c>
      <c r="R10282">
        <v>31.2</v>
      </c>
      <c r="S10282">
        <v>26</v>
      </c>
      <c r="T10282">
        <v>829</v>
      </c>
      <c r="U10282">
        <v>244</v>
      </c>
      <c r="V10282">
        <v>0</v>
      </c>
      <c r="W10282">
        <v>118</v>
      </c>
      <c r="X10282">
        <v>586</v>
      </c>
      <c r="Y10282">
        <v>0</v>
      </c>
      <c r="Z10282">
        <v>96</v>
      </c>
      <c r="AA10282">
        <v>586</v>
      </c>
      <c r="AB10282">
        <v>1.0149360000000001</v>
      </c>
      <c r="AC10282">
        <v>4.8877570000000002E-2</v>
      </c>
      <c r="AD10282">
        <v>1.575585</v>
      </c>
      <c r="AE10282">
        <v>0.69201190000000001</v>
      </c>
      <c r="AF10282">
        <v>345.17869999999999</v>
      </c>
      <c r="AG10282">
        <f>IFERROR(AH10282*0.1, "N/A")</f>
        <v>5.7785220000000006</v>
      </c>
      <c r="AH10282">
        <v>57.785220000000002</v>
      </c>
      <c r="AI10282">
        <v>88.398359999999997</v>
      </c>
      <c r="AJ10282">
        <v>12.37973</v>
      </c>
      <c r="AK10282">
        <v>68.835049999999995</v>
      </c>
    </row>
    <row r="10283" spans="1:37" x14ac:dyDescent="0.3">
      <c r="A10283">
        <v>10282</v>
      </c>
      <c r="B10283">
        <v>71.7</v>
      </c>
      <c r="C10283">
        <v>15.0244</v>
      </c>
      <c r="D10283">
        <v>10.072699999999999</v>
      </c>
      <c r="E10283" t="s">
        <v>15533</v>
      </c>
      <c r="F10283" t="s">
        <v>15534</v>
      </c>
      <c r="G10283" t="s">
        <v>39</v>
      </c>
      <c r="H10283">
        <v>1995</v>
      </c>
      <c r="I10283">
        <v>28</v>
      </c>
      <c r="J10283">
        <v>13.2</v>
      </c>
      <c r="K10283">
        <v>62</v>
      </c>
      <c r="L10283">
        <v>20.39</v>
      </c>
      <c r="M10283">
        <v>39</v>
      </c>
      <c r="N10283">
        <v>17.899999999999999</v>
      </c>
      <c r="O10283">
        <v>21.1</v>
      </c>
      <c r="P10283">
        <v>26.1</v>
      </c>
      <c r="Q10283">
        <v>26.7</v>
      </c>
      <c r="R10283">
        <v>31.1</v>
      </c>
      <c r="S10283">
        <v>26.1</v>
      </c>
      <c r="T10283">
        <v>824</v>
      </c>
      <c r="U10283">
        <v>244</v>
      </c>
      <c r="V10283">
        <v>0</v>
      </c>
      <c r="W10283">
        <v>119</v>
      </c>
      <c r="X10283">
        <v>583</v>
      </c>
      <c r="Y10283">
        <v>0</v>
      </c>
      <c r="Z10283">
        <v>94</v>
      </c>
      <c r="AA10283">
        <v>583</v>
      </c>
      <c r="AB10283">
        <v>2.7848769999999998</v>
      </c>
      <c r="AC10283">
        <v>3.3255270000000003E-2</v>
      </c>
      <c r="AD10283">
        <v>2.1147520000000002</v>
      </c>
      <c r="AE10283">
        <v>0.69543569999999999</v>
      </c>
      <c r="AF10283">
        <v>341.83679999999998</v>
      </c>
      <c r="AG10283">
        <f>IFERROR(AH10283*0.1, "N/A")</f>
        <v>5.7993130000000006</v>
      </c>
      <c r="AH10283">
        <v>57.993130000000001</v>
      </c>
      <c r="AI10283">
        <v>144.59469999999999</v>
      </c>
      <c r="AJ10283">
        <v>11</v>
      </c>
      <c r="AK10283">
        <v>71.006870000000006</v>
      </c>
    </row>
    <row r="10284" spans="1:37" x14ac:dyDescent="0.3">
      <c r="A10284">
        <v>10283</v>
      </c>
      <c r="B10284">
        <v>73</v>
      </c>
      <c r="C10284">
        <v>14.15</v>
      </c>
      <c r="D10284">
        <v>10.074999999999999</v>
      </c>
      <c r="E10284" t="s">
        <v>15535</v>
      </c>
      <c r="F10284" t="s">
        <v>15536</v>
      </c>
      <c r="G10284" t="s">
        <v>39</v>
      </c>
      <c r="H10284">
        <v>1990</v>
      </c>
      <c r="I10284">
        <v>27.483129999999999</v>
      </c>
      <c r="J10284">
        <v>13.1</v>
      </c>
      <c r="K10284">
        <v>62</v>
      </c>
      <c r="L10284">
        <v>20.38682</v>
      </c>
      <c r="M10284">
        <v>38.700000000000003</v>
      </c>
      <c r="N10284">
        <v>17.883130000000001</v>
      </c>
      <c r="O10284">
        <v>20.816870000000002</v>
      </c>
      <c r="P10284">
        <v>25.483129999999999</v>
      </c>
      <c r="Q10284">
        <v>26.2</v>
      </c>
      <c r="R10284">
        <v>30.54251</v>
      </c>
      <c r="S10284">
        <v>25.483129999999999</v>
      </c>
      <c r="T10284">
        <v>862.6558</v>
      </c>
      <c r="U10284">
        <v>240</v>
      </c>
      <c r="V10284">
        <v>0</v>
      </c>
      <c r="W10284">
        <v>113.0878</v>
      </c>
      <c r="X10284">
        <v>588.16869999999994</v>
      </c>
      <c r="Y10284">
        <v>0</v>
      </c>
      <c r="Z10284">
        <v>112.4871</v>
      </c>
      <c r="AA10284">
        <v>588.16869999999994</v>
      </c>
      <c r="AB10284">
        <v>4.6617889999999997</v>
      </c>
      <c r="AC10284">
        <v>6.1452350000000003E-2</v>
      </c>
      <c r="AD10284">
        <v>1.297652</v>
      </c>
      <c r="AE10284">
        <v>0.60492330000000005</v>
      </c>
      <c r="AF10284">
        <v>432.08429999999998</v>
      </c>
      <c r="AG10284">
        <f>IFERROR(AH10284*0.1, "N/A")</f>
        <v>6.7</v>
      </c>
      <c r="AH10284">
        <v>67</v>
      </c>
      <c r="AI10284">
        <v>180.62649999999999</v>
      </c>
      <c r="AJ10284">
        <v>20.256450000000001</v>
      </c>
      <c r="AK10284">
        <v>63.774529999999999</v>
      </c>
    </row>
    <row r="10285" spans="1:37" x14ac:dyDescent="0.3">
      <c r="A10285">
        <v>10284</v>
      </c>
      <c r="B10285">
        <v>36.1</v>
      </c>
      <c r="C10285">
        <v>14.15</v>
      </c>
      <c r="D10285">
        <v>10.074999999999999</v>
      </c>
      <c r="E10285" t="s">
        <v>15535</v>
      </c>
      <c r="F10285" t="s">
        <v>15537</v>
      </c>
      <c r="G10285" t="s">
        <v>37</v>
      </c>
      <c r="H10285">
        <v>1990</v>
      </c>
      <c r="I10285">
        <v>27.483129999999999</v>
      </c>
      <c r="J10285">
        <v>13.1</v>
      </c>
      <c r="K10285">
        <v>62</v>
      </c>
      <c r="L10285">
        <v>20.38682</v>
      </c>
      <c r="M10285">
        <v>38.700000000000003</v>
      </c>
      <c r="N10285">
        <v>17.883130000000001</v>
      </c>
      <c r="O10285">
        <v>20.816870000000002</v>
      </c>
      <c r="P10285">
        <v>25.483129999999999</v>
      </c>
      <c r="Q10285">
        <v>26.2</v>
      </c>
      <c r="R10285">
        <v>30.54251</v>
      </c>
      <c r="S10285">
        <v>25.483129999999999</v>
      </c>
      <c r="T10285">
        <v>862.6558</v>
      </c>
      <c r="U10285">
        <v>240</v>
      </c>
      <c r="V10285">
        <v>0</v>
      </c>
      <c r="W10285">
        <v>113.0878</v>
      </c>
      <c r="X10285">
        <v>588.16869999999994</v>
      </c>
      <c r="Y10285">
        <v>0</v>
      </c>
      <c r="Z10285">
        <v>112.4871</v>
      </c>
      <c r="AA10285">
        <v>588.16869999999994</v>
      </c>
      <c r="AB10285">
        <v>4.6617889999999997</v>
      </c>
      <c r="AC10285">
        <v>6.1452350000000003E-2</v>
      </c>
      <c r="AD10285">
        <v>1.297652</v>
      </c>
      <c r="AE10285">
        <v>0.60492330000000005</v>
      </c>
      <c r="AF10285">
        <v>432.08429999999998</v>
      </c>
      <c r="AG10285">
        <f>IFERROR(AH10285*0.1, "N/A")</f>
        <v>6.7</v>
      </c>
      <c r="AH10285">
        <v>67</v>
      </c>
      <c r="AI10285">
        <v>180.62649999999999</v>
      </c>
      <c r="AJ10285">
        <v>20.256450000000001</v>
      </c>
      <c r="AK10285">
        <v>63.774529999999999</v>
      </c>
    </row>
    <row r="10286" spans="1:37" x14ac:dyDescent="0.3">
      <c r="A10286">
        <v>10285</v>
      </c>
      <c r="B10286">
        <v>2.8</v>
      </c>
      <c r="C10286">
        <v>14.15</v>
      </c>
      <c r="D10286">
        <v>10.074999999999999</v>
      </c>
      <c r="E10286" t="s">
        <v>15535</v>
      </c>
      <c r="F10286" t="s">
        <v>15538</v>
      </c>
      <c r="G10286" t="s">
        <v>2420</v>
      </c>
      <c r="H10286">
        <v>1990</v>
      </c>
      <c r="I10286">
        <v>27.483129999999999</v>
      </c>
      <c r="J10286">
        <v>13.1</v>
      </c>
      <c r="K10286">
        <v>62</v>
      </c>
      <c r="L10286">
        <v>20.38682</v>
      </c>
      <c r="M10286">
        <v>38.700000000000003</v>
      </c>
      <c r="N10286">
        <v>17.883130000000001</v>
      </c>
      <c r="O10286">
        <v>20.816870000000002</v>
      </c>
      <c r="P10286">
        <v>25.483129999999999</v>
      </c>
      <c r="Q10286">
        <v>26.2</v>
      </c>
      <c r="R10286">
        <v>30.54251</v>
      </c>
      <c r="S10286">
        <v>25.483129999999999</v>
      </c>
      <c r="T10286">
        <v>862.6558</v>
      </c>
      <c r="U10286">
        <v>240</v>
      </c>
      <c r="V10286">
        <v>0</v>
      </c>
      <c r="W10286">
        <v>113.0878</v>
      </c>
      <c r="X10286">
        <v>588.16869999999994</v>
      </c>
      <c r="Y10286">
        <v>0</v>
      </c>
      <c r="Z10286">
        <v>112.4871</v>
      </c>
      <c r="AA10286">
        <v>588.16869999999994</v>
      </c>
      <c r="AB10286">
        <v>4.6617889999999997</v>
      </c>
      <c r="AC10286">
        <v>6.1452350000000003E-2</v>
      </c>
      <c r="AD10286">
        <v>1.297652</v>
      </c>
      <c r="AE10286">
        <v>0.60492330000000005</v>
      </c>
      <c r="AF10286">
        <v>432.08429999999998</v>
      </c>
      <c r="AG10286">
        <f>IFERROR(AH10286*0.1, "N/A")</f>
        <v>6.7</v>
      </c>
      <c r="AH10286">
        <v>67</v>
      </c>
      <c r="AI10286">
        <v>180.62649999999999</v>
      </c>
      <c r="AJ10286">
        <v>20.256450000000001</v>
      </c>
      <c r="AK10286">
        <v>63.774529999999999</v>
      </c>
    </row>
    <row r="10287" spans="1:37" x14ac:dyDescent="0.3">
      <c r="A10287">
        <v>10286</v>
      </c>
      <c r="B10287">
        <v>29.4</v>
      </c>
      <c r="C10287">
        <v>14.4389</v>
      </c>
      <c r="D10287">
        <v>10.0778</v>
      </c>
      <c r="E10287" t="s">
        <v>15539</v>
      </c>
      <c r="F10287" t="s">
        <v>15540</v>
      </c>
      <c r="G10287" t="s">
        <v>39</v>
      </c>
      <c r="H10287">
        <v>1990</v>
      </c>
      <c r="I10287">
        <v>28</v>
      </c>
      <c r="J10287">
        <v>12.9</v>
      </c>
      <c r="K10287">
        <v>62</v>
      </c>
      <c r="L10287">
        <v>21.74</v>
      </c>
      <c r="M10287">
        <v>39.1</v>
      </c>
      <c r="N10287">
        <v>18.3</v>
      </c>
      <c r="O10287">
        <v>20.8</v>
      </c>
      <c r="P10287">
        <v>25.8</v>
      </c>
      <c r="Q10287">
        <v>26.7</v>
      </c>
      <c r="R10287">
        <v>31.3</v>
      </c>
      <c r="S10287">
        <v>25.8</v>
      </c>
      <c r="T10287">
        <v>813</v>
      </c>
      <c r="U10287">
        <v>232</v>
      </c>
      <c r="V10287">
        <v>0</v>
      </c>
      <c r="W10287">
        <v>117</v>
      </c>
      <c r="X10287">
        <v>575</v>
      </c>
      <c r="Y10287">
        <v>0</v>
      </c>
      <c r="Z10287">
        <v>94</v>
      </c>
      <c r="AA10287">
        <v>575</v>
      </c>
      <c r="AB10287">
        <v>4.0695230000000002</v>
      </c>
      <c r="AC10287">
        <v>8.8967319999999992E-3</v>
      </c>
      <c r="AD10287">
        <v>1.102706</v>
      </c>
      <c r="AE10287">
        <v>0.64761500000000005</v>
      </c>
      <c r="AF10287">
        <v>375.8537</v>
      </c>
      <c r="AG10287">
        <f>IFERROR(AH10287*0.1, "N/A")</f>
        <v>6.4955250000000007</v>
      </c>
      <c r="AH10287">
        <v>64.955250000000007</v>
      </c>
      <c r="AI10287">
        <v>149.2688</v>
      </c>
      <c r="AJ10287">
        <v>19.79862</v>
      </c>
      <c r="AK10287">
        <v>60.447499999999998</v>
      </c>
    </row>
    <row r="10288" spans="1:37" x14ac:dyDescent="0.3">
      <c r="A10288">
        <v>10287</v>
      </c>
      <c r="B10288">
        <v>8.1999999999999993</v>
      </c>
      <c r="C10288">
        <v>14.4389</v>
      </c>
      <c r="D10288">
        <v>10.0778</v>
      </c>
      <c r="E10288" t="s">
        <v>15539</v>
      </c>
      <c r="F10288" t="s">
        <v>15541</v>
      </c>
      <c r="G10288" t="s">
        <v>37</v>
      </c>
      <c r="H10288">
        <v>1990</v>
      </c>
      <c r="I10288">
        <v>28</v>
      </c>
      <c r="J10288">
        <v>12.9</v>
      </c>
      <c r="K10288">
        <v>62</v>
      </c>
      <c r="L10288">
        <v>21.74</v>
      </c>
      <c r="M10288">
        <v>39.1</v>
      </c>
      <c r="N10288">
        <v>18.3</v>
      </c>
      <c r="O10288">
        <v>20.8</v>
      </c>
      <c r="P10288">
        <v>25.8</v>
      </c>
      <c r="Q10288">
        <v>26.7</v>
      </c>
      <c r="R10288">
        <v>31.3</v>
      </c>
      <c r="S10288">
        <v>25.8</v>
      </c>
      <c r="T10288">
        <v>813</v>
      </c>
      <c r="U10288">
        <v>232</v>
      </c>
      <c r="V10288">
        <v>0</v>
      </c>
      <c r="W10288">
        <v>117</v>
      </c>
      <c r="X10288">
        <v>575</v>
      </c>
      <c r="Y10288">
        <v>0</v>
      </c>
      <c r="Z10288">
        <v>94</v>
      </c>
      <c r="AA10288">
        <v>575</v>
      </c>
      <c r="AB10288">
        <v>4.0695230000000002</v>
      </c>
      <c r="AC10288">
        <v>8.8967319999999992E-3</v>
      </c>
      <c r="AD10288">
        <v>1.102706</v>
      </c>
      <c r="AE10288">
        <v>0.64761500000000005</v>
      </c>
      <c r="AF10288">
        <v>375.8537</v>
      </c>
      <c r="AG10288">
        <f>IFERROR(AH10288*0.1, "N/A")</f>
        <v>6.4955250000000007</v>
      </c>
      <c r="AH10288">
        <v>64.955250000000007</v>
      </c>
      <c r="AI10288">
        <v>149.2688</v>
      </c>
      <c r="AJ10288">
        <v>19.79862</v>
      </c>
      <c r="AK10288">
        <v>60.447499999999998</v>
      </c>
    </row>
    <row r="10289" spans="1:37" x14ac:dyDescent="0.3">
      <c r="A10289">
        <v>10288</v>
      </c>
      <c r="B10289">
        <v>0</v>
      </c>
      <c r="C10289">
        <v>14.4389</v>
      </c>
      <c r="D10289">
        <v>10.0778</v>
      </c>
      <c r="E10289" t="s">
        <v>15539</v>
      </c>
      <c r="F10289" t="s">
        <v>15542</v>
      </c>
      <c r="G10289" t="s">
        <v>2420</v>
      </c>
      <c r="H10289">
        <v>1990</v>
      </c>
      <c r="I10289">
        <v>28</v>
      </c>
      <c r="J10289">
        <v>12.9</v>
      </c>
      <c r="K10289">
        <v>62</v>
      </c>
      <c r="L10289">
        <v>21.74</v>
      </c>
      <c r="M10289">
        <v>39.1</v>
      </c>
      <c r="N10289">
        <v>18.3</v>
      </c>
      <c r="O10289">
        <v>20.8</v>
      </c>
      <c r="P10289">
        <v>25.8</v>
      </c>
      <c r="Q10289">
        <v>26.7</v>
      </c>
      <c r="R10289">
        <v>31.3</v>
      </c>
      <c r="S10289">
        <v>25.8</v>
      </c>
      <c r="T10289">
        <v>813</v>
      </c>
      <c r="U10289">
        <v>232</v>
      </c>
      <c r="V10289">
        <v>0</v>
      </c>
      <c r="W10289">
        <v>117</v>
      </c>
      <c r="X10289">
        <v>575</v>
      </c>
      <c r="Y10289">
        <v>0</v>
      </c>
      <c r="Z10289">
        <v>94</v>
      </c>
      <c r="AA10289">
        <v>575</v>
      </c>
      <c r="AB10289">
        <v>4.0695230000000002</v>
      </c>
      <c r="AC10289">
        <v>8.8967319999999992E-3</v>
      </c>
      <c r="AD10289">
        <v>1.102706</v>
      </c>
      <c r="AE10289">
        <v>0.64761500000000005</v>
      </c>
      <c r="AF10289">
        <v>375.8537</v>
      </c>
      <c r="AG10289">
        <f>IFERROR(AH10289*0.1, "N/A")</f>
        <v>6.4955250000000007</v>
      </c>
      <c r="AH10289">
        <v>64.955250000000007</v>
      </c>
      <c r="AI10289">
        <v>149.2688</v>
      </c>
      <c r="AJ10289">
        <v>19.79862</v>
      </c>
      <c r="AK10289">
        <v>60.447499999999998</v>
      </c>
    </row>
    <row r="10290" spans="1:37" x14ac:dyDescent="0.3">
      <c r="A10290">
        <v>10289</v>
      </c>
      <c r="B10290">
        <v>3.1</v>
      </c>
      <c r="C10290">
        <v>13.511100000000001</v>
      </c>
      <c r="D10290">
        <v>10.088900000000001</v>
      </c>
      <c r="E10290" t="s">
        <v>15543</v>
      </c>
      <c r="F10290" t="s">
        <v>15544</v>
      </c>
      <c r="G10290" t="s">
        <v>39</v>
      </c>
      <c r="H10290">
        <v>1990</v>
      </c>
      <c r="I10290">
        <v>24.8</v>
      </c>
      <c r="J10290">
        <v>13.4</v>
      </c>
      <c r="K10290">
        <v>63</v>
      </c>
      <c r="L10290">
        <v>19.21</v>
      </c>
      <c r="M10290">
        <v>35.9</v>
      </c>
      <c r="N10290">
        <v>14.7</v>
      </c>
      <c r="O10290">
        <v>21.2</v>
      </c>
      <c r="P10290">
        <v>23.1</v>
      </c>
      <c r="Q10290">
        <v>23.7</v>
      </c>
      <c r="R10290">
        <v>27.8</v>
      </c>
      <c r="S10290">
        <v>23.1</v>
      </c>
      <c r="T10290">
        <v>983</v>
      </c>
      <c r="U10290">
        <v>263</v>
      </c>
      <c r="V10290">
        <v>0</v>
      </c>
      <c r="W10290">
        <v>110</v>
      </c>
      <c r="X10290">
        <v>645</v>
      </c>
      <c r="Y10290">
        <v>1</v>
      </c>
      <c r="Z10290">
        <v>144</v>
      </c>
      <c r="AA10290">
        <v>645</v>
      </c>
      <c r="AB10290">
        <v>100.9933</v>
      </c>
      <c r="AC10290">
        <v>1.2315889999999999E-2</v>
      </c>
      <c r="AD10290">
        <v>11.95237</v>
      </c>
      <c r="AE10290">
        <v>0.58439099999999999</v>
      </c>
      <c r="AF10290">
        <v>806.20309999999995</v>
      </c>
      <c r="AG10290">
        <f>IFERROR(AH10290*0.1, "N/A")</f>
        <v>6.0292600000000007</v>
      </c>
      <c r="AH10290">
        <v>60.2926</v>
      </c>
      <c r="AI10290">
        <v>251.3014</v>
      </c>
      <c r="AJ10290">
        <v>24.59036</v>
      </c>
      <c r="AK10290">
        <v>52.153179999999999</v>
      </c>
    </row>
    <row r="10291" spans="1:37" x14ac:dyDescent="0.3">
      <c r="A10291">
        <v>10290</v>
      </c>
      <c r="B10291">
        <v>87.5</v>
      </c>
      <c r="C10291">
        <v>13.511100000000001</v>
      </c>
      <c r="D10291">
        <v>10.088900000000001</v>
      </c>
      <c r="E10291" t="s">
        <v>15543</v>
      </c>
      <c r="F10291" t="s">
        <v>15545</v>
      </c>
      <c r="G10291" t="s">
        <v>37</v>
      </c>
      <c r="H10291">
        <v>1990</v>
      </c>
      <c r="I10291">
        <v>24.8</v>
      </c>
      <c r="J10291">
        <v>13.4</v>
      </c>
      <c r="K10291">
        <v>63</v>
      </c>
      <c r="L10291">
        <v>19.21</v>
      </c>
      <c r="M10291">
        <v>35.9</v>
      </c>
      <c r="N10291">
        <v>14.7</v>
      </c>
      <c r="O10291">
        <v>21.2</v>
      </c>
      <c r="P10291">
        <v>23.1</v>
      </c>
      <c r="Q10291">
        <v>23.7</v>
      </c>
      <c r="R10291">
        <v>27.8</v>
      </c>
      <c r="S10291">
        <v>23.1</v>
      </c>
      <c r="T10291">
        <v>983</v>
      </c>
      <c r="U10291">
        <v>263</v>
      </c>
      <c r="V10291">
        <v>0</v>
      </c>
      <c r="W10291">
        <v>110</v>
      </c>
      <c r="X10291">
        <v>645</v>
      </c>
      <c r="Y10291">
        <v>1</v>
      </c>
      <c r="Z10291">
        <v>144</v>
      </c>
      <c r="AA10291">
        <v>645</v>
      </c>
      <c r="AB10291">
        <v>100.9933</v>
      </c>
      <c r="AC10291">
        <v>1.2315889999999999E-2</v>
      </c>
      <c r="AD10291">
        <v>11.95237</v>
      </c>
      <c r="AE10291">
        <v>0.58439099999999999</v>
      </c>
      <c r="AF10291">
        <v>806.20309999999995</v>
      </c>
      <c r="AG10291">
        <f>IFERROR(AH10291*0.1, "N/A")</f>
        <v>6.0292600000000007</v>
      </c>
      <c r="AH10291">
        <v>60.2926</v>
      </c>
      <c r="AI10291">
        <v>251.3014</v>
      </c>
      <c r="AJ10291">
        <v>24.59036</v>
      </c>
      <c r="AK10291">
        <v>52.153179999999999</v>
      </c>
    </row>
    <row r="10292" spans="1:37" x14ac:dyDescent="0.3">
      <c r="A10292">
        <v>10291</v>
      </c>
      <c r="B10292">
        <v>0</v>
      </c>
      <c r="C10292">
        <v>13.511100000000001</v>
      </c>
      <c r="D10292">
        <v>10.088900000000001</v>
      </c>
      <c r="E10292" t="s">
        <v>15543</v>
      </c>
      <c r="F10292" t="s">
        <v>15546</v>
      </c>
      <c r="G10292" t="s">
        <v>2420</v>
      </c>
      <c r="H10292">
        <v>1990</v>
      </c>
      <c r="I10292">
        <v>24.8</v>
      </c>
      <c r="J10292">
        <v>13.4</v>
      </c>
      <c r="K10292">
        <v>63</v>
      </c>
      <c r="L10292">
        <v>19.21</v>
      </c>
      <c r="M10292">
        <v>35.9</v>
      </c>
      <c r="N10292">
        <v>14.7</v>
      </c>
      <c r="O10292">
        <v>21.2</v>
      </c>
      <c r="P10292">
        <v>23.1</v>
      </c>
      <c r="Q10292">
        <v>23.7</v>
      </c>
      <c r="R10292">
        <v>27.8</v>
      </c>
      <c r="S10292">
        <v>23.1</v>
      </c>
      <c r="T10292">
        <v>983</v>
      </c>
      <c r="U10292">
        <v>263</v>
      </c>
      <c r="V10292">
        <v>0</v>
      </c>
      <c r="W10292">
        <v>110</v>
      </c>
      <c r="X10292">
        <v>645</v>
      </c>
      <c r="Y10292">
        <v>1</v>
      </c>
      <c r="Z10292">
        <v>144</v>
      </c>
      <c r="AA10292">
        <v>645</v>
      </c>
      <c r="AB10292">
        <v>100.9933</v>
      </c>
      <c r="AC10292">
        <v>1.2315889999999999E-2</v>
      </c>
      <c r="AD10292">
        <v>11.95237</v>
      </c>
      <c r="AE10292">
        <v>0.58439099999999999</v>
      </c>
      <c r="AF10292">
        <v>806.20309999999995</v>
      </c>
      <c r="AG10292">
        <f>IFERROR(AH10292*0.1, "N/A")</f>
        <v>6.0292600000000007</v>
      </c>
      <c r="AH10292">
        <v>60.2926</v>
      </c>
      <c r="AI10292">
        <v>251.3014</v>
      </c>
      <c r="AJ10292">
        <v>24.59036</v>
      </c>
      <c r="AK10292">
        <v>52.153179999999999</v>
      </c>
    </row>
    <row r="10293" spans="1:37" x14ac:dyDescent="0.3">
      <c r="A10293">
        <v>10292</v>
      </c>
      <c r="B10293">
        <v>52.5</v>
      </c>
      <c r="C10293">
        <v>14.9894</v>
      </c>
      <c r="D10293">
        <v>10.090400000000001</v>
      </c>
      <c r="E10293" t="s">
        <v>15547</v>
      </c>
      <c r="F10293" t="s">
        <v>15548</v>
      </c>
      <c r="G10293" t="s">
        <v>39</v>
      </c>
      <c r="H10293">
        <v>1995</v>
      </c>
      <c r="I10293">
        <v>28</v>
      </c>
      <c r="J10293">
        <v>13.2</v>
      </c>
      <c r="K10293">
        <v>62</v>
      </c>
      <c r="L10293">
        <v>20.32</v>
      </c>
      <c r="M10293">
        <v>39.1</v>
      </c>
      <c r="N10293">
        <v>18</v>
      </c>
      <c r="O10293">
        <v>21.1</v>
      </c>
      <c r="P10293">
        <v>26.1</v>
      </c>
      <c r="Q10293">
        <v>26.7</v>
      </c>
      <c r="R10293">
        <v>31.1</v>
      </c>
      <c r="S10293">
        <v>26.1</v>
      </c>
      <c r="T10293">
        <v>824</v>
      </c>
      <c r="U10293">
        <v>243</v>
      </c>
      <c r="V10293">
        <v>0</v>
      </c>
      <c r="W10293">
        <v>119</v>
      </c>
      <c r="X10293">
        <v>583</v>
      </c>
      <c r="Y10293">
        <v>0</v>
      </c>
      <c r="Z10293">
        <v>94</v>
      </c>
      <c r="AA10293">
        <v>583</v>
      </c>
      <c r="AB10293">
        <v>2.571358</v>
      </c>
      <c r="AC10293">
        <v>9.5445310000000002E-3</v>
      </c>
      <c r="AD10293">
        <v>1.662868</v>
      </c>
      <c r="AE10293">
        <v>0.70037419999999995</v>
      </c>
      <c r="AF10293">
        <v>342.94510000000002</v>
      </c>
      <c r="AG10293">
        <f>IFERROR(AH10293*0.1, "N/A")</f>
        <v>5.7210980000000005</v>
      </c>
      <c r="AH10293">
        <v>57.210979999999999</v>
      </c>
      <c r="AI10293">
        <v>146.5224</v>
      </c>
      <c r="AJ10293">
        <v>12</v>
      </c>
      <c r="AK10293">
        <v>68.560890000000001</v>
      </c>
    </row>
    <row r="10294" spans="1:37" x14ac:dyDescent="0.3">
      <c r="A10294">
        <v>10293</v>
      </c>
      <c r="B10294">
        <v>0</v>
      </c>
      <c r="C10294">
        <v>14.683</v>
      </c>
      <c r="D10294">
        <v>10.101000000000001</v>
      </c>
      <c r="E10294" t="s">
        <v>15549</v>
      </c>
      <c r="F10294" t="s">
        <v>15550</v>
      </c>
      <c r="G10294" t="s">
        <v>39</v>
      </c>
      <c r="H10294">
        <v>1987</v>
      </c>
      <c r="I10294">
        <v>28</v>
      </c>
      <c r="J10294">
        <v>13</v>
      </c>
      <c r="K10294">
        <v>61</v>
      </c>
      <c r="L10294">
        <v>21.34</v>
      </c>
      <c r="M10294">
        <v>39.200000000000003</v>
      </c>
      <c r="N10294">
        <v>18.2</v>
      </c>
      <c r="O10294">
        <v>21</v>
      </c>
      <c r="P10294">
        <v>26</v>
      </c>
      <c r="Q10294">
        <v>26.6</v>
      </c>
      <c r="R10294">
        <v>31.3</v>
      </c>
      <c r="S10294">
        <v>26</v>
      </c>
      <c r="T10294">
        <v>828.46050000000002</v>
      </c>
      <c r="U10294">
        <v>240</v>
      </c>
      <c r="V10294">
        <v>0</v>
      </c>
      <c r="W10294">
        <v>117</v>
      </c>
      <c r="X10294">
        <v>587</v>
      </c>
      <c r="Y10294">
        <v>0</v>
      </c>
      <c r="Z10294">
        <v>96</v>
      </c>
      <c r="AA10294">
        <v>587</v>
      </c>
      <c r="AB10294">
        <v>4.8456939999999999</v>
      </c>
      <c r="AC10294">
        <v>4.3261580000000001E-2</v>
      </c>
      <c r="AD10294">
        <v>1.16913</v>
      </c>
      <c r="AE10294">
        <v>0.68578110000000003</v>
      </c>
      <c r="AF10294">
        <v>380.50689999999997</v>
      </c>
      <c r="AG10294">
        <f>IFERROR(AH10294*0.1, "N/A")</f>
        <v>5.9460480000000002</v>
      </c>
      <c r="AH10294">
        <v>59.460479999999997</v>
      </c>
      <c r="AI10294">
        <v>180.38249999999999</v>
      </c>
      <c r="AJ10294">
        <v>13.487970000000001</v>
      </c>
      <c r="AK10294">
        <v>69.97251</v>
      </c>
    </row>
    <row r="10295" spans="1:37" x14ac:dyDescent="0.3">
      <c r="A10295">
        <v>10294</v>
      </c>
      <c r="B10295">
        <v>27.4</v>
      </c>
      <c r="C10295">
        <v>14.4389</v>
      </c>
      <c r="D10295">
        <v>10.1028</v>
      </c>
      <c r="E10295" t="s">
        <v>15551</v>
      </c>
      <c r="F10295" t="s">
        <v>15552</v>
      </c>
      <c r="G10295" t="s">
        <v>39</v>
      </c>
      <c r="H10295">
        <v>1990</v>
      </c>
      <c r="I10295">
        <v>28</v>
      </c>
      <c r="J10295">
        <v>12.9</v>
      </c>
      <c r="K10295">
        <v>62</v>
      </c>
      <c r="L10295">
        <v>21.59</v>
      </c>
      <c r="M10295">
        <v>39.1</v>
      </c>
      <c r="N10295">
        <v>18.3</v>
      </c>
      <c r="O10295">
        <v>20.8</v>
      </c>
      <c r="P10295">
        <v>25.8</v>
      </c>
      <c r="Q10295">
        <v>26.7</v>
      </c>
      <c r="R10295">
        <v>31.3</v>
      </c>
      <c r="S10295">
        <v>25.8</v>
      </c>
      <c r="T10295">
        <v>810</v>
      </c>
      <c r="U10295">
        <v>232</v>
      </c>
      <c r="V10295">
        <v>0</v>
      </c>
      <c r="W10295">
        <v>117</v>
      </c>
      <c r="X10295">
        <v>575</v>
      </c>
      <c r="Y10295">
        <v>0</v>
      </c>
      <c r="Z10295">
        <v>92</v>
      </c>
      <c r="AA10295">
        <v>575</v>
      </c>
      <c r="AB10295">
        <v>3.7419980000000002</v>
      </c>
      <c r="AC10295">
        <v>0.1665498</v>
      </c>
      <c r="AD10295">
        <v>0.71571359999999995</v>
      </c>
      <c r="AE10295">
        <v>0.76049339999999999</v>
      </c>
      <c r="AF10295">
        <v>381.54910000000001</v>
      </c>
      <c r="AG10295">
        <f>IFERROR(AH10295*0.1, "N/A")</f>
        <v>6.8886399999999997</v>
      </c>
      <c r="AH10295">
        <v>68.886399999999995</v>
      </c>
      <c r="AI10295">
        <v>99.713520000000003</v>
      </c>
      <c r="AJ10295">
        <v>23.044750000000001</v>
      </c>
      <c r="AK10295">
        <v>59.593800000000002</v>
      </c>
    </row>
    <row r="10296" spans="1:37" x14ac:dyDescent="0.3">
      <c r="A10296">
        <v>10295</v>
      </c>
      <c r="B10296">
        <v>9.3000000000000007</v>
      </c>
      <c r="C10296">
        <v>14.4389</v>
      </c>
      <c r="D10296">
        <v>10.1028</v>
      </c>
      <c r="E10296" t="s">
        <v>15551</v>
      </c>
      <c r="F10296" t="s">
        <v>15553</v>
      </c>
      <c r="G10296" t="s">
        <v>37</v>
      </c>
      <c r="H10296">
        <v>1990</v>
      </c>
      <c r="I10296">
        <v>28</v>
      </c>
      <c r="J10296">
        <v>12.9</v>
      </c>
      <c r="K10296">
        <v>62</v>
      </c>
      <c r="L10296">
        <v>21.59</v>
      </c>
      <c r="M10296">
        <v>39.1</v>
      </c>
      <c r="N10296">
        <v>18.3</v>
      </c>
      <c r="O10296">
        <v>20.8</v>
      </c>
      <c r="P10296">
        <v>25.8</v>
      </c>
      <c r="Q10296">
        <v>26.7</v>
      </c>
      <c r="R10296">
        <v>31.3</v>
      </c>
      <c r="S10296">
        <v>25.8</v>
      </c>
      <c r="T10296">
        <v>810</v>
      </c>
      <c r="U10296">
        <v>232</v>
      </c>
      <c r="V10296">
        <v>0</v>
      </c>
      <c r="W10296">
        <v>117</v>
      </c>
      <c r="X10296">
        <v>575</v>
      </c>
      <c r="Y10296">
        <v>0</v>
      </c>
      <c r="Z10296">
        <v>92</v>
      </c>
      <c r="AA10296">
        <v>575</v>
      </c>
      <c r="AB10296">
        <v>3.7419980000000002</v>
      </c>
      <c r="AC10296">
        <v>0.1665498</v>
      </c>
      <c r="AD10296">
        <v>0.71571359999999995</v>
      </c>
      <c r="AE10296">
        <v>0.76049339999999999</v>
      </c>
      <c r="AF10296">
        <v>381.54910000000001</v>
      </c>
      <c r="AG10296">
        <f>IFERROR(AH10296*0.1, "N/A")</f>
        <v>6.8886399999999997</v>
      </c>
      <c r="AH10296">
        <v>68.886399999999995</v>
      </c>
      <c r="AI10296">
        <v>99.713520000000003</v>
      </c>
      <c r="AJ10296">
        <v>23.044750000000001</v>
      </c>
      <c r="AK10296">
        <v>59.593800000000002</v>
      </c>
    </row>
    <row r="10297" spans="1:37" x14ac:dyDescent="0.3">
      <c r="A10297">
        <v>10296</v>
      </c>
      <c r="B10297">
        <v>0</v>
      </c>
      <c r="C10297">
        <v>14.4389</v>
      </c>
      <c r="D10297">
        <v>10.1028</v>
      </c>
      <c r="E10297" t="s">
        <v>15551</v>
      </c>
      <c r="F10297" t="s">
        <v>15554</v>
      </c>
      <c r="G10297" t="s">
        <v>2420</v>
      </c>
      <c r="H10297">
        <v>1990</v>
      </c>
      <c r="I10297">
        <v>28</v>
      </c>
      <c r="J10297">
        <v>12.9</v>
      </c>
      <c r="K10297">
        <v>62</v>
      </c>
      <c r="L10297">
        <v>21.59</v>
      </c>
      <c r="M10297">
        <v>39.1</v>
      </c>
      <c r="N10297">
        <v>18.3</v>
      </c>
      <c r="O10297">
        <v>20.8</v>
      </c>
      <c r="P10297">
        <v>25.8</v>
      </c>
      <c r="Q10297">
        <v>26.7</v>
      </c>
      <c r="R10297">
        <v>31.3</v>
      </c>
      <c r="S10297">
        <v>25.8</v>
      </c>
      <c r="T10297">
        <v>810</v>
      </c>
      <c r="U10297">
        <v>232</v>
      </c>
      <c r="V10297">
        <v>0</v>
      </c>
      <c r="W10297">
        <v>117</v>
      </c>
      <c r="X10297">
        <v>575</v>
      </c>
      <c r="Y10297">
        <v>0</v>
      </c>
      <c r="Z10297">
        <v>92</v>
      </c>
      <c r="AA10297">
        <v>575</v>
      </c>
      <c r="AB10297">
        <v>3.7419980000000002</v>
      </c>
      <c r="AC10297">
        <v>0.1665498</v>
      </c>
      <c r="AD10297">
        <v>0.71571359999999995</v>
      </c>
      <c r="AE10297">
        <v>0.76049339999999999</v>
      </c>
      <c r="AF10297">
        <v>381.54910000000001</v>
      </c>
      <c r="AG10297">
        <f>IFERROR(AH10297*0.1, "N/A")</f>
        <v>6.8886399999999997</v>
      </c>
      <c r="AH10297">
        <v>68.886399999999995</v>
      </c>
      <c r="AI10297">
        <v>99.713520000000003</v>
      </c>
      <c r="AJ10297">
        <v>23.044750000000001</v>
      </c>
      <c r="AK10297">
        <v>59.593800000000002</v>
      </c>
    </row>
    <row r="10298" spans="1:37" x14ac:dyDescent="0.3">
      <c r="A10298">
        <v>10297</v>
      </c>
      <c r="B10298">
        <v>57.4</v>
      </c>
      <c r="C10298">
        <v>14.972200000000001</v>
      </c>
      <c r="D10298">
        <v>10.105600000000001</v>
      </c>
      <c r="E10298" t="s">
        <v>15555</v>
      </c>
      <c r="F10298" t="s">
        <v>15556</v>
      </c>
      <c r="G10298" t="s">
        <v>39</v>
      </c>
      <c r="H10298">
        <v>1990</v>
      </c>
      <c r="I10298">
        <v>28.1</v>
      </c>
      <c r="J10298">
        <v>13.2</v>
      </c>
      <c r="K10298">
        <v>62</v>
      </c>
      <c r="L10298">
        <v>20.420000000000002</v>
      </c>
      <c r="M10298">
        <v>39.1</v>
      </c>
      <c r="N10298">
        <v>18</v>
      </c>
      <c r="O10298">
        <v>21.1</v>
      </c>
      <c r="P10298">
        <v>26.1</v>
      </c>
      <c r="Q10298">
        <v>26.7</v>
      </c>
      <c r="R10298">
        <v>31.2</v>
      </c>
      <c r="S10298">
        <v>26.1</v>
      </c>
      <c r="T10298">
        <v>822</v>
      </c>
      <c r="U10298">
        <v>243</v>
      </c>
      <c r="V10298">
        <v>0</v>
      </c>
      <c r="W10298">
        <v>119</v>
      </c>
      <c r="X10298">
        <v>582</v>
      </c>
      <c r="Y10298">
        <v>0</v>
      </c>
      <c r="Z10298">
        <v>94</v>
      </c>
      <c r="AA10298">
        <v>582</v>
      </c>
      <c r="AB10298">
        <v>0.73805410000000005</v>
      </c>
      <c r="AC10298">
        <v>2.499268E-2</v>
      </c>
      <c r="AD10298">
        <v>2.0144359999999999</v>
      </c>
      <c r="AE10298">
        <v>0.70635930000000002</v>
      </c>
      <c r="AF10298">
        <v>340.97250000000003</v>
      </c>
      <c r="AG10298">
        <f>IFERROR(AH10298*0.1, "N/A")</f>
        <v>5.3130810000000004</v>
      </c>
      <c r="AH10298">
        <v>53.130809999999997</v>
      </c>
      <c r="AI10298">
        <v>159.33430000000001</v>
      </c>
      <c r="AJ10298">
        <v>12</v>
      </c>
      <c r="AK10298">
        <v>67.130809999999997</v>
      </c>
    </row>
    <row r="10299" spans="1:37" x14ac:dyDescent="0.3">
      <c r="A10299">
        <v>10298</v>
      </c>
      <c r="B10299">
        <v>2.2999999999999998</v>
      </c>
      <c r="C10299">
        <v>14.972200000000001</v>
      </c>
      <c r="D10299">
        <v>10.105600000000001</v>
      </c>
      <c r="E10299" t="s">
        <v>15555</v>
      </c>
      <c r="F10299" t="s">
        <v>15557</v>
      </c>
      <c r="G10299" t="s">
        <v>37</v>
      </c>
      <c r="H10299">
        <v>1990</v>
      </c>
      <c r="I10299">
        <v>28.1</v>
      </c>
      <c r="J10299">
        <v>13.2</v>
      </c>
      <c r="K10299">
        <v>62</v>
      </c>
      <c r="L10299">
        <v>20.420000000000002</v>
      </c>
      <c r="M10299">
        <v>39.1</v>
      </c>
      <c r="N10299">
        <v>18</v>
      </c>
      <c r="O10299">
        <v>21.1</v>
      </c>
      <c r="P10299">
        <v>26.1</v>
      </c>
      <c r="Q10299">
        <v>26.7</v>
      </c>
      <c r="R10299">
        <v>31.2</v>
      </c>
      <c r="S10299">
        <v>26.1</v>
      </c>
      <c r="T10299">
        <v>822</v>
      </c>
      <c r="U10299">
        <v>243</v>
      </c>
      <c r="V10299">
        <v>0</v>
      </c>
      <c r="W10299">
        <v>119</v>
      </c>
      <c r="X10299">
        <v>582</v>
      </c>
      <c r="Y10299">
        <v>0</v>
      </c>
      <c r="Z10299">
        <v>94</v>
      </c>
      <c r="AA10299">
        <v>582</v>
      </c>
      <c r="AB10299">
        <v>0.73805410000000005</v>
      </c>
      <c r="AC10299">
        <v>2.499268E-2</v>
      </c>
      <c r="AD10299">
        <v>2.0144359999999999</v>
      </c>
      <c r="AE10299">
        <v>0.70635930000000002</v>
      </c>
      <c r="AF10299">
        <v>340.97250000000003</v>
      </c>
      <c r="AG10299">
        <f>IFERROR(AH10299*0.1, "N/A")</f>
        <v>5.3130810000000004</v>
      </c>
      <c r="AH10299">
        <v>53.130809999999997</v>
      </c>
      <c r="AI10299">
        <v>159.33430000000001</v>
      </c>
      <c r="AJ10299">
        <v>12</v>
      </c>
      <c r="AK10299">
        <v>67.130809999999997</v>
      </c>
    </row>
    <row r="10300" spans="1:37" x14ac:dyDescent="0.3">
      <c r="A10300">
        <v>10299</v>
      </c>
      <c r="B10300">
        <v>0</v>
      </c>
      <c r="C10300">
        <v>14.972200000000001</v>
      </c>
      <c r="D10300">
        <v>10.105600000000001</v>
      </c>
      <c r="E10300" t="s">
        <v>15555</v>
      </c>
      <c r="F10300" t="s">
        <v>15558</v>
      </c>
      <c r="G10300" t="s">
        <v>2420</v>
      </c>
      <c r="H10300">
        <v>1990</v>
      </c>
      <c r="I10300">
        <v>28.1</v>
      </c>
      <c r="J10300">
        <v>13.2</v>
      </c>
      <c r="K10300">
        <v>62</v>
      </c>
      <c r="L10300">
        <v>20.420000000000002</v>
      </c>
      <c r="M10300">
        <v>39.1</v>
      </c>
      <c r="N10300">
        <v>18</v>
      </c>
      <c r="O10300">
        <v>21.1</v>
      </c>
      <c r="P10300">
        <v>26.1</v>
      </c>
      <c r="Q10300">
        <v>26.7</v>
      </c>
      <c r="R10300">
        <v>31.2</v>
      </c>
      <c r="S10300">
        <v>26.1</v>
      </c>
      <c r="T10300">
        <v>822</v>
      </c>
      <c r="U10300">
        <v>243</v>
      </c>
      <c r="V10300">
        <v>0</v>
      </c>
      <c r="W10300">
        <v>119</v>
      </c>
      <c r="X10300">
        <v>582</v>
      </c>
      <c r="Y10300">
        <v>0</v>
      </c>
      <c r="Z10300">
        <v>94</v>
      </c>
      <c r="AA10300">
        <v>582</v>
      </c>
      <c r="AB10300">
        <v>0.73805410000000005</v>
      </c>
      <c r="AC10300">
        <v>2.499268E-2</v>
      </c>
      <c r="AD10300">
        <v>2.0144359999999999</v>
      </c>
      <c r="AE10300">
        <v>0.70635930000000002</v>
      </c>
      <c r="AF10300">
        <v>340.97250000000003</v>
      </c>
      <c r="AG10300">
        <f>IFERROR(AH10300*0.1, "N/A")</f>
        <v>5.3130810000000004</v>
      </c>
      <c r="AH10300">
        <v>53.130809999999997</v>
      </c>
      <c r="AI10300">
        <v>159.33430000000001</v>
      </c>
      <c r="AJ10300">
        <v>12</v>
      </c>
      <c r="AK10300">
        <v>67.130809999999997</v>
      </c>
    </row>
    <row r="10301" spans="1:37" x14ac:dyDescent="0.3">
      <c r="A10301">
        <v>10300</v>
      </c>
      <c r="B10301">
        <v>24</v>
      </c>
      <c r="C10301">
        <v>14.965999999999999</v>
      </c>
      <c r="D10301">
        <v>10.115</v>
      </c>
      <c r="E10301" t="s">
        <v>15559</v>
      </c>
      <c r="F10301" t="s">
        <v>15560</v>
      </c>
      <c r="G10301" t="s">
        <v>39</v>
      </c>
      <c r="H10301">
        <v>1987</v>
      </c>
      <c r="I10301">
        <v>28.1</v>
      </c>
      <c r="J10301">
        <v>13.2</v>
      </c>
      <c r="K10301">
        <v>62</v>
      </c>
      <c r="L10301">
        <v>20.23</v>
      </c>
      <c r="M10301">
        <v>39.1</v>
      </c>
      <c r="N10301">
        <v>18</v>
      </c>
      <c r="O10301">
        <v>21.1</v>
      </c>
      <c r="P10301">
        <v>26.2</v>
      </c>
      <c r="Q10301">
        <v>26.7</v>
      </c>
      <c r="R10301">
        <v>31.2</v>
      </c>
      <c r="S10301">
        <v>26.2</v>
      </c>
      <c r="T10301">
        <v>819</v>
      </c>
      <c r="U10301">
        <v>243</v>
      </c>
      <c r="V10301">
        <v>0</v>
      </c>
      <c r="W10301">
        <v>119</v>
      </c>
      <c r="X10301">
        <v>582</v>
      </c>
      <c r="Y10301">
        <v>0</v>
      </c>
      <c r="Z10301">
        <v>93</v>
      </c>
      <c r="AA10301">
        <v>582</v>
      </c>
      <c r="AB10301">
        <v>0.53054219999999996</v>
      </c>
      <c r="AC10301">
        <v>0.24427070000000001</v>
      </c>
      <c r="AD10301">
        <v>1.699166</v>
      </c>
      <c r="AE10301">
        <v>0.70509460000000002</v>
      </c>
      <c r="AF10301">
        <v>339.22809999999998</v>
      </c>
      <c r="AG10301">
        <f>IFERROR(AH10301*0.1, "N/A")</f>
        <v>5.8000000000000007</v>
      </c>
      <c r="AH10301">
        <v>58</v>
      </c>
      <c r="AI10301">
        <v>132.04419999999999</v>
      </c>
      <c r="AJ10301">
        <v>14</v>
      </c>
      <c r="AK10301">
        <v>64</v>
      </c>
    </row>
    <row r="10302" spans="1:37" x14ac:dyDescent="0.3">
      <c r="A10302">
        <v>10301</v>
      </c>
      <c r="B10302">
        <v>40</v>
      </c>
      <c r="C10302">
        <v>14.9711</v>
      </c>
      <c r="D10302">
        <v>10.116199999999999</v>
      </c>
      <c r="E10302" t="s">
        <v>15561</v>
      </c>
      <c r="F10302" t="s">
        <v>15562</v>
      </c>
      <c r="G10302" t="s">
        <v>39</v>
      </c>
      <c r="H10302">
        <v>1995</v>
      </c>
      <c r="I10302">
        <v>28.1</v>
      </c>
      <c r="J10302">
        <v>13.2</v>
      </c>
      <c r="K10302">
        <v>62</v>
      </c>
      <c r="L10302">
        <v>20.41</v>
      </c>
      <c r="M10302">
        <v>39.1</v>
      </c>
      <c r="N10302">
        <v>18</v>
      </c>
      <c r="O10302">
        <v>21.1</v>
      </c>
      <c r="P10302">
        <v>26.1</v>
      </c>
      <c r="Q10302">
        <v>26.7</v>
      </c>
      <c r="R10302">
        <v>31.2</v>
      </c>
      <c r="S10302">
        <v>26.1</v>
      </c>
      <c r="T10302">
        <v>819.7672</v>
      </c>
      <c r="U10302">
        <v>242.92240000000001</v>
      </c>
      <c r="V10302">
        <v>0</v>
      </c>
      <c r="W10302">
        <v>119</v>
      </c>
      <c r="X10302">
        <v>581.84479999999996</v>
      </c>
      <c r="Y10302">
        <v>0</v>
      </c>
      <c r="Z10302">
        <v>93</v>
      </c>
      <c r="AA10302">
        <v>581.84479999999996</v>
      </c>
      <c r="AB10302">
        <v>1.568797</v>
      </c>
      <c r="AC10302">
        <v>4.3103599999999999E-2</v>
      </c>
      <c r="AD10302">
        <v>1.0841940000000001</v>
      </c>
      <c r="AE10302">
        <v>0.70522660000000004</v>
      </c>
      <c r="AF10302">
        <v>340.70170000000002</v>
      </c>
      <c r="AG10302">
        <f>IFERROR(AH10302*0.1, "N/A")</f>
        <v>6.0639660000000006</v>
      </c>
      <c r="AH10302">
        <v>60.639659999999999</v>
      </c>
      <c r="AI10302">
        <v>86.167760000000001</v>
      </c>
      <c r="AJ10302">
        <v>18.556899999999999</v>
      </c>
      <c r="AK10302">
        <v>58.443100000000001</v>
      </c>
    </row>
    <row r="10303" spans="1:37" x14ac:dyDescent="0.3">
      <c r="A10303">
        <v>10302</v>
      </c>
      <c r="B10303">
        <v>47</v>
      </c>
      <c r="C10303">
        <v>14.882</v>
      </c>
      <c r="D10303">
        <v>10.119999999999999</v>
      </c>
      <c r="E10303" t="s">
        <v>15563</v>
      </c>
      <c r="F10303" t="s">
        <v>15564</v>
      </c>
      <c r="G10303" t="s">
        <v>39</v>
      </c>
      <c r="H10303">
        <v>1987</v>
      </c>
      <c r="I10303">
        <v>28.1</v>
      </c>
      <c r="J10303">
        <v>13.2</v>
      </c>
      <c r="K10303">
        <v>62</v>
      </c>
      <c r="L10303">
        <v>20.75</v>
      </c>
      <c r="M10303">
        <v>39.200000000000003</v>
      </c>
      <c r="N10303">
        <v>18.100000000000001</v>
      </c>
      <c r="O10303">
        <v>21.1</v>
      </c>
      <c r="P10303">
        <v>26.2</v>
      </c>
      <c r="Q10303">
        <v>26.7</v>
      </c>
      <c r="R10303">
        <v>31.3</v>
      </c>
      <c r="S10303">
        <v>26.2</v>
      </c>
      <c r="T10303">
        <v>823</v>
      </c>
      <c r="U10303">
        <v>242</v>
      </c>
      <c r="V10303">
        <v>0</v>
      </c>
      <c r="W10303">
        <v>119</v>
      </c>
      <c r="X10303">
        <v>583</v>
      </c>
      <c r="Y10303">
        <v>0</v>
      </c>
      <c r="Z10303">
        <v>95</v>
      </c>
      <c r="AA10303">
        <v>583</v>
      </c>
      <c r="AB10303">
        <v>2.8234210000000002</v>
      </c>
      <c r="AC10303">
        <v>1.392288E-2</v>
      </c>
      <c r="AD10303">
        <v>2.128825</v>
      </c>
      <c r="AE10303">
        <v>0.69315859999999996</v>
      </c>
      <c r="AF10303">
        <v>349.61270000000002</v>
      </c>
      <c r="AG10303">
        <f>IFERROR(AH10303*0.1, "N/A")</f>
        <v>5.8101550000000008</v>
      </c>
      <c r="AH10303">
        <v>58.101550000000003</v>
      </c>
      <c r="AI10303">
        <v>155.81319999999999</v>
      </c>
      <c r="AJ10303">
        <v>14.48021</v>
      </c>
      <c r="AK10303">
        <v>63.418239999999997</v>
      </c>
    </row>
    <row r="10304" spans="1:37" x14ac:dyDescent="0.3">
      <c r="A10304">
        <v>10303</v>
      </c>
      <c r="B10304">
        <v>63.9</v>
      </c>
      <c r="C10304">
        <v>15.075699999999999</v>
      </c>
      <c r="D10304">
        <v>10.1203</v>
      </c>
      <c r="E10304" t="s">
        <v>15565</v>
      </c>
      <c r="F10304" t="s">
        <v>15566</v>
      </c>
      <c r="G10304" t="s">
        <v>39</v>
      </c>
      <c r="H10304">
        <v>1995</v>
      </c>
      <c r="I10304">
        <v>28.1</v>
      </c>
      <c r="J10304">
        <v>13.3</v>
      </c>
      <c r="K10304">
        <v>62</v>
      </c>
      <c r="L10304">
        <v>20.28</v>
      </c>
      <c r="M10304">
        <v>39.1</v>
      </c>
      <c r="N10304">
        <v>17.899999999999999</v>
      </c>
      <c r="O10304">
        <v>21.2</v>
      </c>
      <c r="P10304">
        <v>26.2</v>
      </c>
      <c r="Q10304">
        <v>26.7</v>
      </c>
      <c r="R10304">
        <v>31.1</v>
      </c>
      <c r="S10304">
        <v>26.2</v>
      </c>
      <c r="T10304">
        <v>810</v>
      </c>
      <c r="U10304">
        <v>242</v>
      </c>
      <c r="V10304">
        <v>0</v>
      </c>
      <c r="W10304">
        <v>120</v>
      </c>
      <c r="X10304">
        <v>576</v>
      </c>
      <c r="Y10304">
        <v>0</v>
      </c>
      <c r="Z10304">
        <v>90</v>
      </c>
      <c r="AA10304">
        <v>576</v>
      </c>
      <c r="AB10304">
        <v>4.3104610000000001</v>
      </c>
      <c r="AC10304">
        <v>1.9939330000000002E-2</v>
      </c>
      <c r="AD10304">
        <v>0.92380459999999998</v>
      </c>
      <c r="AE10304">
        <v>0.67397720000000005</v>
      </c>
      <c r="AF10304">
        <v>332.67410000000001</v>
      </c>
      <c r="AG10304">
        <f>IFERROR(AH10304*0.1, "N/A")</f>
        <v>6.2413379999999998</v>
      </c>
      <c r="AH10304">
        <v>62.413379999999997</v>
      </c>
      <c r="AI10304">
        <v>63.048279999999998</v>
      </c>
      <c r="AJ10304">
        <v>18.24014</v>
      </c>
      <c r="AK10304">
        <v>60.34648</v>
      </c>
    </row>
    <row r="10305" spans="1:37" x14ac:dyDescent="0.3">
      <c r="A10305">
        <v>10304</v>
      </c>
      <c r="B10305">
        <v>58</v>
      </c>
      <c r="C10305">
        <v>14.71</v>
      </c>
      <c r="D10305">
        <v>10.132</v>
      </c>
      <c r="E10305" t="s">
        <v>15567</v>
      </c>
      <c r="F10305" t="s">
        <v>15568</v>
      </c>
      <c r="G10305" t="s">
        <v>39</v>
      </c>
      <c r="H10305">
        <v>1987</v>
      </c>
      <c r="I10305">
        <v>28</v>
      </c>
      <c r="J10305">
        <v>13.1</v>
      </c>
      <c r="K10305">
        <v>62</v>
      </c>
      <c r="L10305">
        <v>21.1</v>
      </c>
      <c r="M10305">
        <v>39.200000000000003</v>
      </c>
      <c r="N10305">
        <v>18.2</v>
      </c>
      <c r="O10305">
        <v>21</v>
      </c>
      <c r="P10305">
        <v>26</v>
      </c>
      <c r="Q10305">
        <v>26.7</v>
      </c>
      <c r="R10305">
        <v>31.2</v>
      </c>
      <c r="S10305">
        <v>26</v>
      </c>
      <c r="T10305">
        <v>825</v>
      </c>
      <c r="U10305">
        <v>240</v>
      </c>
      <c r="V10305">
        <v>0</v>
      </c>
      <c r="W10305">
        <v>118</v>
      </c>
      <c r="X10305">
        <v>585</v>
      </c>
      <c r="Y10305">
        <v>0</v>
      </c>
      <c r="Z10305">
        <v>95</v>
      </c>
      <c r="AA10305">
        <v>585</v>
      </c>
      <c r="AB10305">
        <v>1.9228529999999999</v>
      </c>
      <c r="AC10305">
        <v>21.85163</v>
      </c>
      <c r="AD10305">
        <v>2.832595</v>
      </c>
      <c r="AE10305">
        <v>0.73311820000000005</v>
      </c>
      <c r="AF10305">
        <v>372.2577</v>
      </c>
      <c r="AG10305">
        <f>IFERROR(AH10305*0.1, "N/A")</f>
        <v>6.1000000000000005</v>
      </c>
      <c r="AH10305">
        <v>61</v>
      </c>
      <c r="AI10305">
        <v>160.625</v>
      </c>
      <c r="AJ10305">
        <v>15.56701</v>
      </c>
      <c r="AK10305">
        <v>62.432989999999997</v>
      </c>
    </row>
    <row r="10306" spans="1:37" x14ac:dyDescent="0.3">
      <c r="A10306">
        <v>10305</v>
      </c>
      <c r="B10306">
        <v>0</v>
      </c>
      <c r="C10306">
        <v>13.7111</v>
      </c>
      <c r="D10306">
        <v>10.1333</v>
      </c>
      <c r="E10306" t="s">
        <v>15569</v>
      </c>
      <c r="F10306" t="s">
        <v>15570</v>
      </c>
      <c r="G10306" t="s">
        <v>39</v>
      </c>
      <c r="H10306">
        <v>1990</v>
      </c>
      <c r="I10306">
        <v>26.22401</v>
      </c>
      <c r="J10306">
        <v>13.3</v>
      </c>
      <c r="K10306">
        <v>63</v>
      </c>
      <c r="L10306">
        <v>19.391179999999999</v>
      </c>
      <c r="M10306">
        <v>37.424010000000003</v>
      </c>
      <c r="N10306">
        <v>16.424009999999999</v>
      </c>
      <c r="O10306">
        <v>21</v>
      </c>
      <c r="P10306">
        <v>24.424009999999999</v>
      </c>
      <c r="Q10306">
        <v>25.124009999999998</v>
      </c>
      <c r="R10306">
        <v>29.22401</v>
      </c>
      <c r="S10306">
        <v>24.424009999999999</v>
      </c>
      <c r="T10306">
        <v>930.75990000000002</v>
      </c>
      <c r="U10306">
        <v>253</v>
      </c>
      <c r="V10306">
        <v>0</v>
      </c>
      <c r="W10306">
        <v>110</v>
      </c>
      <c r="X10306">
        <v>615.75990000000002</v>
      </c>
      <c r="Y10306">
        <v>0</v>
      </c>
      <c r="Z10306">
        <v>133</v>
      </c>
      <c r="AA10306">
        <v>615.75990000000002</v>
      </c>
      <c r="AB10306">
        <v>10.91578</v>
      </c>
      <c r="AC10306">
        <v>1.8133690000000001E-2</v>
      </c>
      <c r="AD10306">
        <v>4.7269139999999998</v>
      </c>
      <c r="AE10306">
        <v>0.68790070000000003</v>
      </c>
      <c r="AF10306">
        <v>509.64319999999998</v>
      </c>
      <c r="AG10306">
        <f>IFERROR(AH10306*0.1, "N/A")</f>
        <v>6.7</v>
      </c>
      <c r="AH10306">
        <v>67</v>
      </c>
      <c r="AI10306">
        <v>29.565429999999999</v>
      </c>
      <c r="AJ10306">
        <v>16</v>
      </c>
      <c r="AK10306">
        <v>66</v>
      </c>
    </row>
    <row r="10307" spans="1:37" x14ac:dyDescent="0.3">
      <c r="A10307">
        <v>10306</v>
      </c>
      <c r="B10307">
        <v>80</v>
      </c>
      <c r="C10307">
        <v>13.7111</v>
      </c>
      <c r="D10307">
        <v>10.1333</v>
      </c>
      <c r="E10307" t="s">
        <v>15569</v>
      </c>
      <c r="F10307" t="s">
        <v>15571</v>
      </c>
      <c r="G10307" t="s">
        <v>37</v>
      </c>
      <c r="H10307">
        <v>1990</v>
      </c>
      <c r="I10307">
        <v>26.22401</v>
      </c>
      <c r="J10307">
        <v>13.3</v>
      </c>
      <c r="K10307">
        <v>63</v>
      </c>
      <c r="L10307">
        <v>19.391179999999999</v>
      </c>
      <c r="M10307">
        <v>37.424010000000003</v>
      </c>
      <c r="N10307">
        <v>16.424009999999999</v>
      </c>
      <c r="O10307">
        <v>21</v>
      </c>
      <c r="P10307">
        <v>24.424009999999999</v>
      </c>
      <c r="Q10307">
        <v>25.124009999999998</v>
      </c>
      <c r="R10307">
        <v>29.22401</v>
      </c>
      <c r="S10307">
        <v>24.424009999999999</v>
      </c>
      <c r="T10307">
        <v>930.75990000000002</v>
      </c>
      <c r="U10307">
        <v>253</v>
      </c>
      <c r="V10307">
        <v>0</v>
      </c>
      <c r="W10307">
        <v>110</v>
      </c>
      <c r="X10307">
        <v>615.75990000000002</v>
      </c>
      <c r="Y10307">
        <v>0</v>
      </c>
      <c r="Z10307">
        <v>133</v>
      </c>
      <c r="AA10307">
        <v>615.75990000000002</v>
      </c>
      <c r="AB10307">
        <v>10.91578</v>
      </c>
      <c r="AC10307">
        <v>1.8133690000000001E-2</v>
      </c>
      <c r="AD10307">
        <v>4.7269139999999998</v>
      </c>
      <c r="AE10307">
        <v>0.68790070000000003</v>
      </c>
      <c r="AF10307">
        <v>509.64319999999998</v>
      </c>
      <c r="AG10307">
        <f>IFERROR(AH10307*0.1, "N/A")</f>
        <v>6.7</v>
      </c>
      <c r="AH10307">
        <v>67</v>
      </c>
      <c r="AI10307">
        <v>29.565429999999999</v>
      </c>
      <c r="AJ10307">
        <v>16</v>
      </c>
      <c r="AK10307">
        <v>66</v>
      </c>
    </row>
    <row r="10308" spans="1:37" x14ac:dyDescent="0.3">
      <c r="A10308">
        <v>10307</v>
      </c>
      <c r="B10308">
        <v>0</v>
      </c>
      <c r="C10308">
        <v>13.7111</v>
      </c>
      <c r="D10308">
        <v>10.1333</v>
      </c>
      <c r="E10308" t="s">
        <v>15569</v>
      </c>
      <c r="F10308" t="s">
        <v>15572</v>
      </c>
      <c r="G10308" t="s">
        <v>2420</v>
      </c>
      <c r="H10308">
        <v>1990</v>
      </c>
      <c r="I10308">
        <v>26.22401</v>
      </c>
      <c r="J10308">
        <v>13.3</v>
      </c>
      <c r="K10308">
        <v>63</v>
      </c>
      <c r="L10308">
        <v>19.391179999999999</v>
      </c>
      <c r="M10308">
        <v>37.424010000000003</v>
      </c>
      <c r="N10308">
        <v>16.424009999999999</v>
      </c>
      <c r="O10308">
        <v>21</v>
      </c>
      <c r="P10308">
        <v>24.424009999999999</v>
      </c>
      <c r="Q10308">
        <v>25.124009999999998</v>
      </c>
      <c r="R10308">
        <v>29.22401</v>
      </c>
      <c r="S10308">
        <v>24.424009999999999</v>
      </c>
      <c r="T10308">
        <v>930.75990000000002</v>
      </c>
      <c r="U10308">
        <v>253</v>
      </c>
      <c r="V10308">
        <v>0</v>
      </c>
      <c r="W10308">
        <v>110</v>
      </c>
      <c r="X10308">
        <v>615.75990000000002</v>
      </c>
      <c r="Y10308">
        <v>0</v>
      </c>
      <c r="Z10308">
        <v>133</v>
      </c>
      <c r="AA10308">
        <v>615.75990000000002</v>
      </c>
      <c r="AB10308">
        <v>10.91578</v>
      </c>
      <c r="AC10308">
        <v>1.8133690000000001E-2</v>
      </c>
      <c r="AD10308">
        <v>4.7269139999999998</v>
      </c>
      <c r="AE10308">
        <v>0.68790070000000003</v>
      </c>
      <c r="AF10308">
        <v>509.64319999999998</v>
      </c>
      <c r="AG10308">
        <f>IFERROR(AH10308*0.1, "N/A")</f>
        <v>6.7</v>
      </c>
      <c r="AH10308">
        <v>67</v>
      </c>
      <c r="AI10308">
        <v>29.565429999999999</v>
      </c>
      <c r="AJ10308">
        <v>16</v>
      </c>
      <c r="AK10308">
        <v>66</v>
      </c>
    </row>
    <row r="10309" spans="1:37" x14ac:dyDescent="0.3">
      <c r="A10309">
        <v>10308</v>
      </c>
      <c r="B10309">
        <v>86.4</v>
      </c>
      <c r="C10309">
        <v>14.894299999999999</v>
      </c>
      <c r="D10309">
        <v>10.1441</v>
      </c>
      <c r="E10309" t="s">
        <v>15573</v>
      </c>
      <c r="F10309" t="s">
        <v>15574</v>
      </c>
      <c r="G10309" t="s">
        <v>39</v>
      </c>
      <c r="H10309">
        <v>1995</v>
      </c>
      <c r="I10309">
        <v>28.1</v>
      </c>
      <c r="J10309">
        <v>13.2</v>
      </c>
      <c r="K10309">
        <v>62</v>
      </c>
      <c r="L10309">
        <v>20.66</v>
      </c>
      <c r="M10309">
        <v>39.200000000000003</v>
      </c>
      <c r="N10309">
        <v>18.100000000000001</v>
      </c>
      <c r="O10309">
        <v>21.1</v>
      </c>
      <c r="P10309">
        <v>26.2</v>
      </c>
      <c r="Q10309">
        <v>26.7</v>
      </c>
      <c r="R10309">
        <v>31.3</v>
      </c>
      <c r="S10309">
        <v>26.2</v>
      </c>
      <c r="T10309">
        <v>818</v>
      </c>
      <c r="U10309">
        <v>242</v>
      </c>
      <c r="V10309">
        <v>0</v>
      </c>
      <c r="W10309">
        <v>119</v>
      </c>
      <c r="X10309">
        <v>581</v>
      </c>
      <c r="Y10309">
        <v>0</v>
      </c>
      <c r="Z10309">
        <v>93</v>
      </c>
      <c r="AA10309">
        <v>581</v>
      </c>
      <c r="AB10309">
        <v>1.2845679999999999</v>
      </c>
      <c r="AC10309">
        <v>1.0062689999999999E-2</v>
      </c>
      <c r="AD10309">
        <v>2.133702</v>
      </c>
      <c r="AE10309">
        <v>0.58127189999999995</v>
      </c>
      <c r="AF10309">
        <v>345.31560000000002</v>
      </c>
      <c r="AG10309">
        <f>IFERROR(AH10309*0.1, "N/A")</f>
        <v>5.8409950000000004</v>
      </c>
      <c r="AH10309">
        <v>58.409950000000002</v>
      </c>
      <c r="AI10309">
        <v>119.5</v>
      </c>
      <c r="AJ10309">
        <v>12</v>
      </c>
      <c r="AK10309">
        <v>68.70326</v>
      </c>
    </row>
    <row r="10310" spans="1:37" x14ac:dyDescent="0.3">
      <c r="A10310">
        <v>10309</v>
      </c>
      <c r="B10310">
        <v>71.2</v>
      </c>
      <c r="C10310">
        <v>14.894399999999999</v>
      </c>
      <c r="D10310">
        <v>10.144399999999999</v>
      </c>
      <c r="E10310" t="s">
        <v>15575</v>
      </c>
      <c r="F10310" t="s">
        <v>15576</v>
      </c>
      <c r="G10310" t="s">
        <v>39</v>
      </c>
      <c r="H10310">
        <v>1990</v>
      </c>
      <c r="I10310">
        <v>28.1</v>
      </c>
      <c r="J10310">
        <v>13.2</v>
      </c>
      <c r="K10310">
        <v>62</v>
      </c>
      <c r="L10310">
        <v>20.66</v>
      </c>
      <c r="M10310">
        <v>39.200000000000003</v>
      </c>
      <c r="N10310">
        <v>18.100000000000001</v>
      </c>
      <c r="O10310">
        <v>21.1</v>
      </c>
      <c r="P10310">
        <v>26.2</v>
      </c>
      <c r="Q10310">
        <v>26.7</v>
      </c>
      <c r="R10310">
        <v>31.3</v>
      </c>
      <c r="S10310">
        <v>26.2</v>
      </c>
      <c r="T10310">
        <v>818</v>
      </c>
      <c r="U10310">
        <v>242</v>
      </c>
      <c r="V10310">
        <v>0</v>
      </c>
      <c r="W10310">
        <v>119</v>
      </c>
      <c r="X10310">
        <v>581</v>
      </c>
      <c r="Y10310">
        <v>0</v>
      </c>
      <c r="Z10310">
        <v>93</v>
      </c>
      <c r="AA10310">
        <v>581</v>
      </c>
      <c r="AB10310">
        <v>1.29416</v>
      </c>
      <c r="AC10310">
        <v>1.261081E-2</v>
      </c>
      <c r="AD10310">
        <v>2.1292740000000001</v>
      </c>
      <c r="AE10310">
        <v>0.56182989999999999</v>
      </c>
      <c r="AF10310">
        <v>345.03949999999998</v>
      </c>
      <c r="AG10310">
        <f>IFERROR(AH10310*0.1, "N/A")</f>
        <v>5.7996560000000006</v>
      </c>
      <c r="AH10310">
        <v>57.996560000000002</v>
      </c>
      <c r="AI10310">
        <v>88.418689999999998</v>
      </c>
      <c r="AJ10310">
        <v>12</v>
      </c>
      <c r="AK10310">
        <v>69.364260000000002</v>
      </c>
    </row>
    <row r="10311" spans="1:37" x14ac:dyDescent="0.3">
      <c r="A10311">
        <v>10310</v>
      </c>
      <c r="B10311">
        <v>3.9</v>
      </c>
      <c r="C10311">
        <v>14.894399999999999</v>
      </c>
      <c r="D10311">
        <v>10.144399999999999</v>
      </c>
      <c r="E10311" t="s">
        <v>15575</v>
      </c>
      <c r="F10311" t="s">
        <v>15577</v>
      </c>
      <c r="G10311" t="s">
        <v>37</v>
      </c>
      <c r="H10311">
        <v>1990</v>
      </c>
      <c r="I10311">
        <v>28.1</v>
      </c>
      <c r="J10311">
        <v>13.2</v>
      </c>
      <c r="K10311">
        <v>62</v>
      </c>
      <c r="L10311">
        <v>20.66</v>
      </c>
      <c r="M10311">
        <v>39.200000000000003</v>
      </c>
      <c r="N10311">
        <v>18.100000000000001</v>
      </c>
      <c r="O10311">
        <v>21.1</v>
      </c>
      <c r="P10311">
        <v>26.2</v>
      </c>
      <c r="Q10311">
        <v>26.7</v>
      </c>
      <c r="R10311">
        <v>31.3</v>
      </c>
      <c r="S10311">
        <v>26.2</v>
      </c>
      <c r="T10311">
        <v>818</v>
      </c>
      <c r="U10311">
        <v>242</v>
      </c>
      <c r="V10311">
        <v>0</v>
      </c>
      <c r="W10311">
        <v>119</v>
      </c>
      <c r="X10311">
        <v>581</v>
      </c>
      <c r="Y10311">
        <v>0</v>
      </c>
      <c r="Z10311">
        <v>93</v>
      </c>
      <c r="AA10311">
        <v>581</v>
      </c>
      <c r="AB10311">
        <v>1.29416</v>
      </c>
      <c r="AC10311">
        <v>1.261081E-2</v>
      </c>
      <c r="AD10311">
        <v>2.1292740000000001</v>
      </c>
      <c r="AE10311">
        <v>0.56182989999999999</v>
      </c>
      <c r="AF10311">
        <v>345.03949999999998</v>
      </c>
      <c r="AG10311">
        <f>IFERROR(AH10311*0.1, "N/A")</f>
        <v>5.7996560000000006</v>
      </c>
      <c r="AH10311">
        <v>57.996560000000002</v>
      </c>
      <c r="AI10311">
        <v>88.418689999999998</v>
      </c>
      <c r="AJ10311">
        <v>12</v>
      </c>
      <c r="AK10311">
        <v>69.364260000000002</v>
      </c>
    </row>
    <row r="10312" spans="1:37" x14ac:dyDescent="0.3">
      <c r="A10312">
        <v>10311</v>
      </c>
      <c r="B10312">
        <v>0</v>
      </c>
      <c r="C10312">
        <v>14.894399999999999</v>
      </c>
      <c r="D10312">
        <v>10.144399999999999</v>
      </c>
      <c r="E10312" t="s">
        <v>15575</v>
      </c>
      <c r="F10312" t="s">
        <v>15578</v>
      </c>
      <c r="G10312" t="s">
        <v>2420</v>
      </c>
      <c r="H10312">
        <v>1990</v>
      </c>
      <c r="I10312">
        <v>28.1</v>
      </c>
      <c r="J10312">
        <v>13.2</v>
      </c>
      <c r="K10312">
        <v>62</v>
      </c>
      <c r="L10312">
        <v>20.66</v>
      </c>
      <c r="M10312">
        <v>39.200000000000003</v>
      </c>
      <c r="N10312">
        <v>18.100000000000001</v>
      </c>
      <c r="O10312">
        <v>21.1</v>
      </c>
      <c r="P10312">
        <v>26.2</v>
      </c>
      <c r="Q10312">
        <v>26.7</v>
      </c>
      <c r="R10312">
        <v>31.3</v>
      </c>
      <c r="S10312">
        <v>26.2</v>
      </c>
      <c r="T10312">
        <v>818</v>
      </c>
      <c r="U10312">
        <v>242</v>
      </c>
      <c r="V10312">
        <v>0</v>
      </c>
      <c r="W10312">
        <v>119</v>
      </c>
      <c r="X10312">
        <v>581</v>
      </c>
      <c r="Y10312">
        <v>0</v>
      </c>
      <c r="Z10312">
        <v>93</v>
      </c>
      <c r="AA10312">
        <v>581</v>
      </c>
      <c r="AB10312">
        <v>1.29416</v>
      </c>
      <c r="AC10312">
        <v>1.261081E-2</v>
      </c>
      <c r="AD10312">
        <v>2.1292740000000001</v>
      </c>
      <c r="AE10312">
        <v>0.56182989999999999</v>
      </c>
      <c r="AF10312">
        <v>345.03949999999998</v>
      </c>
      <c r="AG10312">
        <f>IFERROR(AH10312*0.1, "N/A")</f>
        <v>5.7996560000000006</v>
      </c>
      <c r="AH10312">
        <v>57.996560000000002</v>
      </c>
      <c r="AI10312">
        <v>88.418689999999998</v>
      </c>
      <c r="AJ10312">
        <v>12</v>
      </c>
      <c r="AK10312">
        <v>69.364260000000002</v>
      </c>
    </row>
    <row r="10313" spans="1:37" x14ac:dyDescent="0.3">
      <c r="A10313">
        <v>10312</v>
      </c>
      <c r="B10313">
        <v>4.0999999999999996</v>
      </c>
      <c r="C10313">
        <v>13.45</v>
      </c>
      <c r="D10313">
        <v>10.15</v>
      </c>
      <c r="E10313" t="s">
        <v>15579</v>
      </c>
      <c r="F10313" t="s">
        <v>15580</v>
      </c>
      <c r="G10313" t="s">
        <v>39</v>
      </c>
      <c r="H10313">
        <v>1990</v>
      </c>
      <c r="I10313">
        <v>23.29261</v>
      </c>
      <c r="J10313">
        <v>13.5</v>
      </c>
      <c r="K10313">
        <v>63</v>
      </c>
      <c r="L10313">
        <v>18.69708</v>
      </c>
      <c r="M10313">
        <v>34.299660000000003</v>
      </c>
      <c r="N10313">
        <v>13.15344</v>
      </c>
      <c r="O10313">
        <v>21.14622</v>
      </c>
      <c r="P10313">
        <v>21.646740000000001</v>
      </c>
      <c r="Q10313">
        <v>22.09966</v>
      </c>
      <c r="R10313">
        <v>26.15344</v>
      </c>
      <c r="S10313">
        <v>21.646740000000001</v>
      </c>
      <c r="T10313">
        <v>1017.548</v>
      </c>
      <c r="U10313">
        <v>275.4622</v>
      </c>
      <c r="V10313">
        <v>0</v>
      </c>
      <c r="W10313">
        <v>109.5378</v>
      </c>
      <c r="X10313">
        <v>672.00689999999997</v>
      </c>
      <c r="Y10313">
        <v>1</v>
      </c>
      <c r="Z10313">
        <v>149</v>
      </c>
      <c r="AA10313">
        <v>672.00689999999997</v>
      </c>
      <c r="AB10313">
        <v>8.6184060000000002</v>
      </c>
      <c r="AC10313">
        <v>0.19551940000000001</v>
      </c>
      <c r="AD10313">
        <v>3.7405910000000002</v>
      </c>
      <c r="AE10313">
        <v>0.72902739999999999</v>
      </c>
      <c r="AF10313">
        <v>984.38319999999999</v>
      </c>
      <c r="AG10313">
        <f>IFERROR(AH10313*0.1, "N/A")</f>
        <v>6</v>
      </c>
      <c r="AH10313">
        <v>60</v>
      </c>
      <c r="AI10313">
        <v>131.50989999999999</v>
      </c>
      <c r="AJ10313">
        <v>22.149480000000001</v>
      </c>
      <c r="AK10313">
        <v>57</v>
      </c>
    </row>
    <row r="10314" spans="1:37" x14ac:dyDescent="0.3">
      <c r="A10314">
        <v>10313</v>
      </c>
      <c r="B10314">
        <v>22.9</v>
      </c>
      <c r="C10314">
        <v>13.45</v>
      </c>
      <c r="D10314">
        <v>10.15</v>
      </c>
      <c r="E10314" t="s">
        <v>15579</v>
      </c>
      <c r="F10314" t="s">
        <v>15581</v>
      </c>
      <c r="G10314" t="s">
        <v>37</v>
      </c>
      <c r="H10314">
        <v>1990</v>
      </c>
      <c r="I10314">
        <v>23.29261</v>
      </c>
      <c r="J10314">
        <v>13.5</v>
      </c>
      <c r="K10314">
        <v>63</v>
      </c>
      <c r="L10314">
        <v>18.69708</v>
      </c>
      <c r="M10314">
        <v>34.299660000000003</v>
      </c>
      <c r="N10314">
        <v>13.15344</v>
      </c>
      <c r="O10314">
        <v>21.14622</v>
      </c>
      <c r="P10314">
        <v>21.646740000000001</v>
      </c>
      <c r="Q10314">
        <v>22.09966</v>
      </c>
      <c r="R10314">
        <v>26.15344</v>
      </c>
      <c r="S10314">
        <v>21.646740000000001</v>
      </c>
      <c r="T10314">
        <v>1017.548</v>
      </c>
      <c r="U10314">
        <v>275.4622</v>
      </c>
      <c r="V10314">
        <v>0</v>
      </c>
      <c r="W10314">
        <v>109.5378</v>
      </c>
      <c r="X10314">
        <v>672.00689999999997</v>
      </c>
      <c r="Y10314">
        <v>1</v>
      </c>
      <c r="Z10314">
        <v>149</v>
      </c>
      <c r="AA10314">
        <v>672.00689999999997</v>
      </c>
      <c r="AB10314">
        <v>8.6184060000000002</v>
      </c>
      <c r="AC10314">
        <v>0.19551940000000001</v>
      </c>
      <c r="AD10314">
        <v>3.7405910000000002</v>
      </c>
      <c r="AE10314">
        <v>0.72902739999999999</v>
      </c>
      <c r="AF10314">
        <v>984.38319999999999</v>
      </c>
      <c r="AG10314">
        <f>IFERROR(AH10314*0.1, "N/A")</f>
        <v>6</v>
      </c>
      <c r="AH10314">
        <v>60</v>
      </c>
      <c r="AI10314">
        <v>131.50989999999999</v>
      </c>
      <c r="AJ10314">
        <v>22.149480000000001</v>
      </c>
      <c r="AK10314">
        <v>57</v>
      </c>
    </row>
    <row r="10315" spans="1:37" x14ac:dyDescent="0.3">
      <c r="A10315">
        <v>10314</v>
      </c>
      <c r="B10315">
        <v>0</v>
      </c>
      <c r="C10315">
        <v>13.45</v>
      </c>
      <c r="D10315">
        <v>10.15</v>
      </c>
      <c r="E10315" t="s">
        <v>15579</v>
      </c>
      <c r="F10315" t="s">
        <v>15582</v>
      </c>
      <c r="G10315" t="s">
        <v>2420</v>
      </c>
      <c r="H10315">
        <v>1990</v>
      </c>
      <c r="I10315">
        <v>23.29261</v>
      </c>
      <c r="J10315">
        <v>13.5</v>
      </c>
      <c r="K10315">
        <v>63</v>
      </c>
      <c r="L10315">
        <v>18.69708</v>
      </c>
      <c r="M10315">
        <v>34.299660000000003</v>
      </c>
      <c r="N10315">
        <v>13.15344</v>
      </c>
      <c r="O10315">
        <v>21.14622</v>
      </c>
      <c r="P10315">
        <v>21.646740000000001</v>
      </c>
      <c r="Q10315">
        <v>22.09966</v>
      </c>
      <c r="R10315">
        <v>26.15344</v>
      </c>
      <c r="S10315">
        <v>21.646740000000001</v>
      </c>
      <c r="T10315">
        <v>1017.548</v>
      </c>
      <c r="U10315">
        <v>275.4622</v>
      </c>
      <c r="V10315">
        <v>0</v>
      </c>
      <c r="W10315">
        <v>109.5378</v>
      </c>
      <c r="X10315">
        <v>672.00689999999997</v>
      </c>
      <c r="Y10315">
        <v>1</v>
      </c>
      <c r="Z10315">
        <v>149</v>
      </c>
      <c r="AA10315">
        <v>672.00689999999997</v>
      </c>
      <c r="AB10315">
        <v>8.6184060000000002</v>
      </c>
      <c r="AC10315">
        <v>0.19551940000000001</v>
      </c>
      <c r="AD10315">
        <v>3.7405910000000002</v>
      </c>
      <c r="AE10315">
        <v>0.72902739999999999</v>
      </c>
      <c r="AF10315">
        <v>984.38319999999999</v>
      </c>
      <c r="AG10315">
        <f>IFERROR(AH10315*0.1, "N/A")</f>
        <v>6</v>
      </c>
      <c r="AH10315">
        <v>60</v>
      </c>
      <c r="AI10315">
        <v>131.50989999999999</v>
      </c>
      <c r="AJ10315">
        <v>22.149480000000001</v>
      </c>
      <c r="AK10315">
        <v>57</v>
      </c>
    </row>
    <row r="10316" spans="1:37" x14ac:dyDescent="0.3">
      <c r="A10316">
        <v>10315</v>
      </c>
      <c r="B10316">
        <v>89.6</v>
      </c>
      <c r="C10316">
        <v>15.2232</v>
      </c>
      <c r="D10316">
        <v>10.1601</v>
      </c>
      <c r="E10316" t="s">
        <v>15583</v>
      </c>
      <c r="F10316" t="s">
        <v>15584</v>
      </c>
      <c r="G10316" t="s">
        <v>39</v>
      </c>
      <c r="H10316">
        <v>1995</v>
      </c>
      <c r="I10316">
        <v>28</v>
      </c>
      <c r="J10316">
        <v>13.4</v>
      </c>
      <c r="K10316">
        <v>62</v>
      </c>
      <c r="L10316">
        <v>20.22</v>
      </c>
      <c r="M10316">
        <v>39.1</v>
      </c>
      <c r="N10316">
        <v>17.600000000000001</v>
      </c>
      <c r="O10316">
        <v>21.5</v>
      </c>
      <c r="P10316">
        <v>26.1</v>
      </c>
      <c r="Q10316">
        <v>26.6</v>
      </c>
      <c r="R10316">
        <v>31.1</v>
      </c>
      <c r="S10316">
        <v>26.1</v>
      </c>
      <c r="T10316">
        <v>802</v>
      </c>
      <c r="U10316">
        <v>243</v>
      </c>
      <c r="V10316">
        <v>0</v>
      </c>
      <c r="W10316">
        <v>121</v>
      </c>
      <c r="X10316">
        <v>572</v>
      </c>
      <c r="Y10316">
        <v>0</v>
      </c>
      <c r="Z10316">
        <v>89</v>
      </c>
      <c r="AA10316">
        <v>572</v>
      </c>
      <c r="AB10316">
        <v>0.84406190000000003</v>
      </c>
      <c r="AC10316">
        <v>8.8103860000000006E-2</v>
      </c>
      <c r="AD10316">
        <v>1.4677629999999999</v>
      </c>
      <c r="AE10316">
        <v>0.6659389</v>
      </c>
      <c r="AF10316">
        <v>328.66090000000003</v>
      </c>
      <c r="AG10316">
        <f>IFERROR(AH10316*0.1, "N/A")</f>
        <v>5.9802070000000001</v>
      </c>
      <c r="AH10316">
        <v>59.802070000000001</v>
      </c>
      <c r="AI10316">
        <v>178.1728</v>
      </c>
      <c r="AJ10316">
        <v>17.340789999999998</v>
      </c>
      <c r="AK10316">
        <v>59.960410000000003</v>
      </c>
    </row>
    <row r="10317" spans="1:37" x14ac:dyDescent="0.3">
      <c r="A10317">
        <v>10316</v>
      </c>
      <c r="B10317">
        <v>37.299999999999997</v>
      </c>
      <c r="C10317">
        <v>13.9</v>
      </c>
      <c r="D10317">
        <v>10.166700000000001</v>
      </c>
      <c r="E10317" t="s">
        <v>15585</v>
      </c>
      <c r="F10317" t="s">
        <v>15586</v>
      </c>
      <c r="G10317" t="s">
        <v>39</v>
      </c>
      <c r="H10317">
        <v>1990</v>
      </c>
      <c r="I10317">
        <v>26.422409999999999</v>
      </c>
      <c r="J10317">
        <v>13.3</v>
      </c>
      <c r="K10317">
        <v>63</v>
      </c>
      <c r="L10317">
        <v>19.596409999999999</v>
      </c>
      <c r="M10317">
        <v>37.545340000000003</v>
      </c>
      <c r="N10317">
        <v>16.72241</v>
      </c>
      <c r="O10317">
        <v>20.822929999999999</v>
      </c>
      <c r="P10317">
        <v>24.52328</v>
      </c>
      <c r="Q10317">
        <v>25.22241</v>
      </c>
      <c r="R10317">
        <v>29.422409999999999</v>
      </c>
      <c r="S10317">
        <v>24.52328</v>
      </c>
      <c r="T10317">
        <v>915.48789999999997</v>
      </c>
      <c r="U10317">
        <v>253.58969999999999</v>
      </c>
      <c r="V10317">
        <v>0</v>
      </c>
      <c r="W10317">
        <v>111.3552</v>
      </c>
      <c r="X10317">
        <v>614.59310000000005</v>
      </c>
      <c r="Y10317">
        <v>0</v>
      </c>
      <c r="Z10317">
        <v>125.48099999999999</v>
      </c>
      <c r="AA10317">
        <v>614.59310000000005</v>
      </c>
      <c r="AB10317">
        <v>45.373809999999999</v>
      </c>
      <c r="AC10317">
        <v>3.0429069999999999E-2</v>
      </c>
      <c r="AD10317">
        <v>14.759539999999999</v>
      </c>
      <c r="AE10317">
        <v>0.54959040000000003</v>
      </c>
      <c r="AF10317">
        <v>510.3569</v>
      </c>
      <c r="AG10317">
        <f>IFERROR(AH10317*0.1, "N/A")</f>
        <v>6.4084479999999999</v>
      </c>
      <c r="AH10317">
        <v>64.084479999999999</v>
      </c>
      <c r="AI10317">
        <v>149.10939999999999</v>
      </c>
      <c r="AJ10317">
        <v>17.965520000000001</v>
      </c>
      <c r="AK10317">
        <v>61.975859999999997</v>
      </c>
    </row>
    <row r="10318" spans="1:37" x14ac:dyDescent="0.3">
      <c r="A10318">
        <v>10317</v>
      </c>
      <c r="B10318">
        <v>11.9</v>
      </c>
      <c r="C10318">
        <v>13.9</v>
      </c>
      <c r="D10318">
        <v>10.166700000000001</v>
      </c>
      <c r="E10318" t="s">
        <v>15585</v>
      </c>
      <c r="F10318" t="s">
        <v>15587</v>
      </c>
      <c r="G10318" t="s">
        <v>37</v>
      </c>
      <c r="H10318">
        <v>1990</v>
      </c>
      <c r="I10318">
        <v>26.422409999999999</v>
      </c>
      <c r="J10318">
        <v>13.3</v>
      </c>
      <c r="K10318">
        <v>63</v>
      </c>
      <c r="L10318">
        <v>19.596409999999999</v>
      </c>
      <c r="M10318">
        <v>37.545340000000003</v>
      </c>
      <c r="N10318">
        <v>16.72241</v>
      </c>
      <c r="O10318">
        <v>20.822929999999999</v>
      </c>
      <c r="P10318">
        <v>24.52328</v>
      </c>
      <c r="Q10318">
        <v>25.22241</v>
      </c>
      <c r="R10318">
        <v>29.422409999999999</v>
      </c>
      <c r="S10318">
        <v>24.52328</v>
      </c>
      <c r="T10318">
        <v>915.48789999999997</v>
      </c>
      <c r="U10318">
        <v>253.58969999999999</v>
      </c>
      <c r="V10318">
        <v>0</v>
      </c>
      <c r="W10318">
        <v>111.3552</v>
      </c>
      <c r="X10318">
        <v>614.59310000000005</v>
      </c>
      <c r="Y10318">
        <v>0</v>
      </c>
      <c r="Z10318">
        <v>125.48099999999999</v>
      </c>
      <c r="AA10318">
        <v>614.59310000000005</v>
      </c>
      <c r="AB10318">
        <v>45.373809999999999</v>
      </c>
      <c r="AC10318">
        <v>3.0429069999999999E-2</v>
      </c>
      <c r="AD10318">
        <v>14.759539999999999</v>
      </c>
      <c r="AE10318">
        <v>0.54959040000000003</v>
      </c>
      <c r="AF10318">
        <v>510.3569</v>
      </c>
      <c r="AG10318">
        <f>IFERROR(AH10318*0.1, "N/A")</f>
        <v>6.4084479999999999</v>
      </c>
      <c r="AH10318">
        <v>64.084479999999999</v>
      </c>
      <c r="AI10318">
        <v>149.10939999999999</v>
      </c>
      <c r="AJ10318">
        <v>17.965520000000001</v>
      </c>
      <c r="AK10318">
        <v>61.975859999999997</v>
      </c>
    </row>
    <row r="10319" spans="1:37" x14ac:dyDescent="0.3">
      <c r="A10319">
        <v>10318</v>
      </c>
      <c r="B10319">
        <v>0</v>
      </c>
      <c r="C10319">
        <v>13.9</v>
      </c>
      <c r="D10319">
        <v>10.166700000000001</v>
      </c>
      <c r="E10319" t="s">
        <v>15585</v>
      </c>
      <c r="F10319" t="s">
        <v>15588</v>
      </c>
      <c r="G10319" t="s">
        <v>2420</v>
      </c>
      <c r="H10319">
        <v>1990</v>
      </c>
      <c r="I10319">
        <v>26.422409999999999</v>
      </c>
      <c r="J10319">
        <v>13.3</v>
      </c>
      <c r="K10319">
        <v>63</v>
      </c>
      <c r="L10319">
        <v>19.596409999999999</v>
      </c>
      <c r="M10319">
        <v>37.545340000000003</v>
      </c>
      <c r="N10319">
        <v>16.72241</v>
      </c>
      <c r="O10319">
        <v>20.822929999999999</v>
      </c>
      <c r="P10319">
        <v>24.52328</v>
      </c>
      <c r="Q10319">
        <v>25.22241</v>
      </c>
      <c r="R10319">
        <v>29.422409999999999</v>
      </c>
      <c r="S10319">
        <v>24.52328</v>
      </c>
      <c r="T10319">
        <v>915.48789999999997</v>
      </c>
      <c r="U10319">
        <v>253.58969999999999</v>
      </c>
      <c r="V10319">
        <v>0</v>
      </c>
      <c r="W10319">
        <v>111.3552</v>
      </c>
      <c r="X10319">
        <v>614.59310000000005</v>
      </c>
      <c r="Y10319">
        <v>0</v>
      </c>
      <c r="Z10319">
        <v>125.48099999999999</v>
      </c>
      <c r="AA10319">
        <v>614.59310000000005</v>
      </c>
      <c r="AB10319">
        <v>45.373809999999999</v>
      </c>
      <c r="AC10319">
        <v>3.0429069999999999E-2</v>
      </c>
      <c r="AD10319">
        <v>14.759539999999999</v>
      </c>
      <c r="AE10319">
        <v>0.54959040000000003</v>
      </c>
      <c r="AF10319">
        <v>510.3569</v>
      </c>
      <c r="AG10319">
        <f>IFERROR(AH10319*0.1, "N/A")</f>
        <v>6.4084479999999999</v>
      </c>
      <c r="AH10319">
        <v>64.084479999999999</v>
      </c>
      <c r="AI10319">
        <v>149.10939999999999</v>
      </c>
      <c r="AJ10319">
        <v>17.965520000000001</v>
      </c>
      <c r="AK10319">
        <v>61.975859999999997</v>
      </c>
    </row>
    <row r="10320" spans="1:37" x14ac:dyDescent="0.3">
      <c r="A10320">
        <v>10319</v>
      </c>
      <c r="B10320">
        <v>35.1</v>
      </c>
      <c r="C10320">
        <v>14.55</v>
      </c>
      <c r="D10320">
        <v>10.166700000000001</v>
      </c>
      <c r="E10320" t="s">
        <v>15589</v>
      </c>
      <c r="F10320" t="s">
        <v>15590</v>
      </c>
      <c r="G10320" t="s">
        <v>39</v>
      </c>
      <c r="H10320">
        <v>1990</v>
      </c>
      <c r="I10320">
        <v>28.050260000000002</v>
      </c>
      <c r="J10320">
        <v>13.09243</v>
      </c>
      <c r="K10320">
        <v>61.92427</v>
      </c>
      <c r="L10320">
        <v>21.5105</v>
      </c>
      <c r="M10320">
        <v>39.295699999999997</v>
      </c>
      <c r="N10320">
        <v>18.292940000000002</v>
      </c>
      <c r="O10320">
        <v>21.002749999999999</v>
      </c>
      <c r="P10320">
        <v>25.942679999999999</v>
      </c>
      <c r="Q10320">
        <v>26.69294</v>
      </c>
      <c r="R10320">
        <v>31.3</v>
      </c>
      <c r="S10320">
        <v>25.942679999999999</v>
      </c>
      <c r="T10320">
        <v>814.03790000000004</v>
      </c>
      <c r="U10320">
        <v>236</v>
      </c>
      <c r="V10320">
        <v>0</v>
      </c>
      <c r="W10320">
        <v>118.9139</v>
      </c>
      <c r="X10320">
        <v>580.54039999999998</v>
      </c>
      <c r="Y10320">
        <v>0</v>
      </c>
      <c r="Z10320">
        <v>91</v>
      </c>
      <c r="AA10320">
        <v>580.54039999999998</v>
      </c>
      <c r="AB10320">
        <v>2.3017249999999998</v>
      </c>
      <c r="AC10320">
        <v>0.33700249999999998</v>
      </c>
      <c r="AD10320">
        <v>1.1745080000000001</v>
      </c>
      <c r="AE10320">
        <v>0.69094690000000003</v>
      </c>
      <c r="AF10320">
        <v>384.72809999999998</v>
      </c>
      <c r="AG10320">
        <f>IFERROR(AH10320*0.1, "N/A")</f>
        <v>6.4853700000000005</v>
      </c>
      <c r="AH10320">
        <v>64.853700000000003</v>
      </c>
      <c r="AI10320">
        <v>187.178</v>
      </c>
      <c r="AJ10320">
        <v>18.23236</v>
      </c>
      <c r="AK10320">
        <v>64.15146</v>
      </c>
    </row>
    <row r="10321" spans="1:37" x14ac:dyDescent="0.3">
      <c r="A10321">
        <v>10320</v>
      </c>
      <c r="B10321">
        <v>27</v>
      </c>
      <c r="C10321">
        <v>14.55</v>
      </c>
      <c r="D10321">
        <v>10.166700000000001</v>
      </c>
      <c r="E10321" t="s">
        <v>15589</v>
      </c>
      <c r="F10321" t="s">
        <v>15591</v>
      </c>
      <c r="G10321" t="s">
        <v>37</v>
      </c>
      <c r="H10321">
        <v>1990</v>
      </c>
      <c r="I10321">
        <v>28.050260000000002</v>
      </c>
      <c r="J10321">
        <v>13.09243</v>
      </c>
      <c r="K10321">
        <v>61.92427</v>
      </c>
      <c r="L10321">
        <v>21.5105</v>
      </c>
      <c r="M10321">
        <v>39.295699999999997</v>
      </c>
      <c r="N10321">
        <v>18.292940000000002</v>
      </c>
      <c r="O10321">
        <v>21.002749999999999</v>
      </c>
      <c r="P10321">
        <v>25.942679999999999</v>
      </c>
      <c r="Q10321">
        <v>26.69294</v>
      </c>
      <c r="R10321">
        <v>31.3</v>
      </c>
      <c r="S10321">
        <v>25.942679999999999</v>
      </c>
      <c r="T10321">
        <v>814.03790000000004</v>
      </c>
      <c r="U10321">
        <v>236</v>
      </c>
      <c r="V10321">
        <v>0</v>
      </c>
      <c r="W10321">
        <v>118.9139</v>
      </c>
      <c r="X10321">
        <v>580.54039999999998</v>
      </c>
      <c r="Y10321">
        <v>0</v>
      </c>
      <c r="Z10321">
        <v>91</v>
      </c>
      <c r="AA10321">
        <v>580.54039999999998</v>
      </c>
      <c r="AB10321">
        <v>2.3017249999999998</v>
      </c>
      <c r="AC10321">
        <v>0.33700249999999998</v>
      </c>
      <c r="AD10321">
        <v>1.1745080000000001</v>
      </c>
      <c r="AE10321">
        <v>0.69094690000000003</v>
      </c>
      <c r="AF10321">
        <v>384.72809999999998</v>
      </c>
      <c r="AG10321">
        <f>IFERROR(AH10321*0.1, "N/A")</f>
        <v>6.4853700000000005</v>
      </c>
      <c r="AH10321">
        <v>64.853700000000003</v>
      </c>
      <c r="AI10321">
        <v>187.178</v>
      </c>
      <c r="AJ10321">
        <v>18.23236</v>
      </c>
      <c r="AK10321">
        <v>64.15146</v>
      </c>
    </row>
    <row r="10322" spans="1:37" x14ac:dyDescent="0.3">
      <c r="A10322">
        <v>10321</v>
      </c>
      <c r="B10322">
        <v>2.7</v>
      </c>
      <c r="C10322">
        <v>14.55</v>
      </c>
      <c r="D10322">
        <v>10.166700000000001</v>
      </c>
      <c r="E10322" t="s">
        <v>15589</v>
      </c>
      <c r="F10322" t="s">
        <v>15592</v>
      </c>
      <c r="G10322" t="s">
        <v>2420</v>
      </c>
      <c r="H10322">
        <v>1990</v>
      </c>
      <c r="I10322">
        <v>28.050260000000002</v>
      </c>
      <c r="J10322">
        <v>13.09243</v>
      </c>
      <c r="K10322">
        <v>61.92427</v>
      </c>
      <c r="L10322">
        <v>21.5105</v>
      </c>
      <c r="M10322">
        <v>39.295699999999997</v>
      </c>
      <c r="N10322">
        <v>18.292940000000002</v>
      </c>
      <c r="O10322">
        <v>21.002749999999999</v>
      </c>
      <c r="P10322">
        <v>25.942679999999999</v>
      </c>
      <c r="Q10322">
        <v>26.69294</v>
      </c>
      <c r="R10322">
        <v>31.3</v>
      </c>
      <c r="S10322">
        <v>25.942679999999999</v>
      </c>
      <c r="T10322">
        <v>814.03790000000004</v>
      </c>
      <c r="U10322">
        <v>236</v>
      </c>
      <c r="V10322">
        <v>0</v>
      </c>
      <c r="W10322">
        <v>118.9139</v>
      </c>
      <c r="X10322">
        <v>580.54039999999998</v>
      </c>
      <c r="Y10322">
        <v>0</v>
      </c>
      <c r="Z10322">
        <v>91</v>
      </c>
      <c r="AA10322">
        <v>580.54039999999998</v>
      </c>
      <c r="AB10322">
        <v>2.3017249999999998</v>
      </c>
      <c r="AC10322">
        <v>0.33700249999999998</v>
      </c>
      <c r="AD10322">
        <v>1.1745080000000001</v>
      </c>
      <c r="AE10322">
        <v>0.69094690000000003</v>
      </c>
      <c r="AF10322">
        <v>384.72809999999998</v>
      </c>
      <c r="AG10322">
        <f>IFERROR(AH10322*0.1, "N/A")</f>
        <v>6.4853700000000005</v>
      </c>
      <c r="AH10322">
        <v>64.853700000000003</v>
      </c>
      <c r="AI10322">
        <v>187.178</v>
      </c>
      <c r="AJ10322">
        <v>18.23236</v>
      </c>
      <c r="AK10322">
        <v>64.15146</v>
      </c>
    </row>
    <row r="10323" spans="1:37" x14ac:dyDescent="0.3">
      <c r="A10323">
        <v>10322</v>
      </c>
      <c r="B10323">
        <v>14</v>
      </c>
      <c r="C10323">
        <v>14.3354</v>
      </c>
      <c r="D10323">
        <v>10.169</v>
      </c>
      <c r="E10323" t="s">
        <v>15593</v>
      </c>
      <c r="F10323" t="s">
        <v>15594</v>
      </c>
      <c r="G10323" t="s">
        <v>39</v>
      </c>
      <c r="H10323">
        <v>1996</v>
      </c>
      <c r="I10323">
        <v>27.7</v>
      </c>
      <c r="J10323">
        <v>13.1</v>
      </c>
      <c r="K10323">
        <v>62</v>
      </c>
      <c r="L10323">
        <v>21.29</v>
      </c>
      <c r="M10323">
        <v>39</v>
      </c>
      <c r="N10323">
        <v>18.100000000000001</v>
      </c>
      <c r="O10323">
        <v>20.9</v>
      </c>
      <c r="P10323">
        <v>25.5</v>
      </c>
      <c r="Q10323">
        <v>26.4</v>
      </c>
      <c r="R10323">
        <v>30.9</v>
      </c>
      <c r="S10323">
        <v>25.5</v>
      </c>
      <c r="T10323">
        <v>832</v>
      </c>
      <c r="U10323">
        <v>239</v>
      </c>
      <c r="V10323">
        <v>0</v>
      </c>
      <c r="W10323">
        <v>117</v>
      </c>
      <c r="X10323">
        <v>587</v>
      </c>
      <c r="Y10323">
        <v>0</v>
      </c>
      <c r="Z10323">
        <v>97</v>
      </c>
      <c r="AA10323">
        <v>587</v>
      </c>
      <c r="AB10323">
        <v>12.455920000000001</v>
      </c>
      <c r="AC10323">
        <v>2.0398110000000001E-2</v>
      </c>
      <c r="AD10323">
        <v>3.1547990000000001</v>
      </c>
      <c r="AE10323">
        <v>0.6893435</v>
      </c>
      <c r="AF10323">
        <v>452.11320000000001</v>
      </c>
      <c r="AG10323">
        <f>IFERROR(AH10323*0.1, "N/A")</f>
        <v>6.3423670000000003</v>
      </c>
      <c r="AH10323">
        <v>63.423670000000001</v>
      </c>
      <c r="AI10323">
        <v>273.68610000000001</v>
      </c>
      <c r="AJ10323">
        <v>14.156090000000001</v>
      </c>
      <c r="AK10323">
        <v>64.416809999999998</v>
      </c>
    </row>
    <row r="10324" spans="1:37" x14ac:dyDescent="0.3">
      <c r="A10324">
        <v>10323</v>
      </c>
      <c r="B10324">
        <v>71.7</v>
      </c>
      <c r="C10324">
        <v>14.9506</v>
      </c>
      <c r="D10324">
        <v>10.1706</v>
      </c>
      <c r="E10324" t="s">
        <v>15595</v>
      </c>
      <c r="F10324" t="s">
        <v>15596</v>
      </c>
      <c r="G10324" t="s">
        <v>39</v>
      </c>
      <c r="H10324">
        <v>1995</v>
      </c>
      <c r="I10324">
        <v>28.100169999999999</v>
      </c>
      <c r="J10324">
        <v>13.3</v>
      </c>
      <c r="K10324">
        <v>62</v>
      </c>
      <c r="L10324">
        <v>20.519860000000001</v>
      </c>
      <c r="M10324">
        <v>39.299999999999997</v>
      </c>
      <c r="N10324">
        <v>18</v>
      </c>
      <c r="O10324">
        <v>21.3</v>
      </c>
      <c r="P10324">
        <v>26.20017</v>
      </c>
      <c r="Q10324">
        <v>26.70017</v>
      </c>
      <c r="R10324">
        <v>31.20017</v>
      </c>
      <c r="S10324">
        <v>26.20017</v>
      </c>
      <c r="T10324">
        <v>810</v>
      </c>
      <c r="U10324">
        <v>241</v>
      </c>
      <c r="V10324">
        <v>0</v>
      </c>
      <c r="W10324">
        <v>120</v>
      </c>
      <c r="X10324">
        <v>577</v>
      </c>
      <c r="Y10324">
        <v>0</v>
      </c>
      <c r="Z10324">
        <v>91</v>
      </c>
      <c r="AA10324">
        <v>577</v>
      </c>
      <c r="AB10324">
        <v>4.1120530000000004</v>
      </c>
      <c r="AC10324">
        <v>8.6044880000000004E-3</v>
      </c>
      <c r="AD10324">
        <v>2.5211130000000002</v>
      </c>
      <c r="AE10324">
        <v>0.69450730000000005</v>
      </c>
      <c r="AF10324">
        <v>339.88979999999998</v>
      </c>
      <c r="AG10324">
        <f>IFERROR(AH10324*0.1, "N/A")</f>
        <v>6.0001720000000001</v>
      </c>
      <c r="AH10324">
        <v>60.001719999999999</v>
      </c>
      <c r="AI10324">
        <v>188.4341</v>
      </c>
      <c r="AJ10324">
        <v>15.003439999999999</v>
      </c>
      <c r="AK10324">
        <v>63.005159999999997</v>
      </c>
    </row>
    <row r="10325" spans="1:37" x14ac:dyDescent="0.3">
      <c r="A10325">
        <v>10324</v>
      </c>
      <c r="B10325">
        <v>0</v>
      </c>
      <c r="C10325">
        <v>14.833</v>
      </c>
      <c r="D10325">
        <v>10.183</v>
      </c>
      <c r="E10325" t="s">
        <v>15597</v>
      </c>
      <c r="F10325" t="s">
        <v>15598</v>
      </c>
      <c r="G10325" t="s">
        <v>39</v>
      </c>
      <c r="H10325">
        <v>1987</v>
      </c>
      <c r="I10325">
        <v>28.2</v>
      </c>
      <c r="J10325">
        <v>13.2</v>
      </c>
      <c r="K10325">
        <v>61.839930000000003</v>
      </c>
      <c r="L10325">
        <v>20.941739999999999</v>
      </c>
      <c r="M10325">
        <v>39.4</v>
      </c>
      <c r="N10325">
        <v>18.183990000000001</v>
      </c>
      <c r="O10325">
        <v>21.216010000000001</v>
      </c>
      <c r="P10325">
        <v>26.2</v>
      </c>
      <c r="Q10325">
        <v>26.8</v>
      </c>
      <c r="R10325">
        <v>31.363849999999999</v>
      </c>
      <c r="S10325">
        <v>26.2</v>
      </c>
      <c r="T10325">
        <v>811.35969999999998</v>
      </c>
      <c r="U10325">
        <v>240</v>
      </c>
      <c r="V10325">
        <v>0</v>
      </c>
      <c r="W10325">
        <v>120</v>
      </c>
      <c r="X10325">
        <v>578.73320000000001</v>
      </c>
      <c r="Y10325">
        <v>0</v>
      </c>
      <c r="Z10325">
        <v>90.733220000000003</v>
      </c>
      <c r="AA10325">
        <v>578.73320000000001</v>
      </c>
      <c r="AB10325">
        <v>2.4225490000000001</v>
      </c>
      <c r="AC10325">
        <v>4.7916889999999997E-2</v>
      </c>
      <c r="AD10325">
        <v>1.05979</v>
      </c>
      <c r="AE10325">
        <v>0.70056490000000005</v>
      </c>
      <c r="AF10325">
        <v>341.73489999999998</v>
      </c>
      <c r="AG10325">
        <f>IFERROR(AH10325*0.1, "N/A")</f>
        <v>6.2507750000000009</v>
      </c>
      <c r="AH10325">
        <v>62.507750000000001</v>
      </c>
      <c r="AI10325">
        <v>239.1773</v>
      </c>
      <c r="AJ10325">
        <v>17.97418</v>
      </c>
      <c r="AK10325">
        <v>60.90361</v>
      </c>
    </row>
    <row r="10326" spans="1:37" x14ac:dyDescent="0.3">
      <c r="A10326">
        <v>10325</v>
      </c>
      <c r="B10326">
        <v>96.3</v>
      </c>
      <c r="C10326">
        <v>15.0954</v>
      </c>
      <c r="D10326">
        <v>10.192600000000001</v>
      </c>
      <c r="E10326" t="s">
        <v>15599</v>
      </c>
      <c r="F10326" t="s">
        <v>15600</v>
      </c>
      <c r="G10326" t="s">
        <v>39</v>
      </c>
      <c r="H10326">
        <v>1995</v>
      </c>
      <c r="I10326">
        <v>28.1</v>
      </c>
      <c r="J10326">
        <v>13.4</v>
      </c>
      <c r="K10326">
        <v>62</v>
      </c>
      <c r="L10326">
        <v>20.14</v>
      </c>
      <c r="M10326">
        <v>39.200000000000003</v>
      </c>
      <c r="N10326">
        <v>17.8</v>
      </c>
      <c r="O10326">
        <v>21.4</v>
      </c>
      <c r="P10326">
        <v>26.3</v>
      </c>
      <c r="Q10326">
        <v>26.7</v>
      </c>
      <c r="R10326">
        <v>31.2</v>
      </c>
      <c r="S10326">
        <v>26.3</v>
      </c>
      <c r="T10326">
        <v>798</v>
      </c>
      <c r="U10326">
        <v>240</v>
      </c>
      <c r="V10326">
        <v>0</v>
      </c>
      <c r="W10326">
        <v>121</v>
      </c>
      <c r="X10326">
        <v>570</v>
      </c>
      <c r="Y10326">
        <v>0</v>
      </c>
      <c r="Z10326">
        <v>88</v>
      </c>
      <c r="AA10326">
        <v>570</v>
      </c>
      <c r="AB10326">
        <v>4.0253750000000004</v>
      </c>
      <c r="AC10326">
        <v>8.4156109999999999E-3</v>
      </c>
      <c r="AD10326">
        <v>1.9930699999999999</v>
      </c>
      <c r="AE10326">
        <v>0.69443180000000004</v>
      </c>
      <c r="AF10326">
        <v>334.77190000000002</v>
      </c>
      <c r="AG10326">
        <f>IFERROR(AH10326*0.1, "N/A")</f>
        <v>5.9197260000000007</v>
      </c>
      <c r="AH10326">
        <v>59.19726</v>
      </c>
      <c r="AI10326">
        <v>146.48310000000001</v>
      </c>
      <c r="AJ10326">
        <v>18.497430000000001</v>
      </c>
      <c r="AK10326">
        <v>62.40137</v>
      </c>
    </row>
    <row r="10327" spans="1:37" x14ac:dyDescent="0.3">
      <c r="A10327">
        <v>10326</v>
      </c>
      <c r="B10327">
        <v>28.9</v>
      </c>
      <c r="C10327">
        <v>14.1778</v>
      </c>
      <c r="D10327">
        <v>10.199</v>
      </c>
      <c r="E10327" t="s">
        <v>15601</v>
      </c>
      <c r="F10327" t="s">
        <v>15602</v>
      </c>
      <c r="G10327" t="s">
        <v>39</v>
      </c>
      <c r="H10327">
        <v>1996</v>
      </c>
      <c r="I10327">
        <v>27.4</v>
      </c>
      <c r="J10327">
        <v>13.2</v>
      </c>
      <c r="K10327">
        <v>63</v>
      </c>
      <c r="L10327">
        <v>20.39</v>
      </c>
      <c r="M10327">
        <v>38.6</v>
      </c>
      <c r="N10327">
        <v>17.8</v>
      </c>
      <c r="O10327">
        <v>20.8</v>
      </c>
      <c r="P10327">
        <v>25.3</v>
      </c>
      <c r="Q10327">
        <v>26.1</v>
      </c>
      <c r="R10327">
        <v>30.4</v>
      </c>
      <c r="S10327">
        <v>25.3</v>
      </c>
      <c r="T10327">
        <v>858</v>
      </c>
      <c r="U10327">
        <v>245</v>
      </c>
      <c r="V10327">
        <v>0</v>
      </c>
      <c r="W10327">
        <v>116</v>
      </c>
      <c r="X10327">
        <v>596</v>
      </c>
      <c r="Y10327">
        <v>0</v>
      </c>
      <c r="Z10327">
        <v>106</v>
      </c>
      <c r="AA10327">
        <v>596</v>
      </c>
      <c r="AB10327">
        <v>8.0708369999999992</v>
      </c>
      <c r="AC10327">
        <v>0.13265550000000001</v>
      </c>
      <c r="AD10327">
        <v>4.8225870000000004</v>
      </c>
      <c r="AE10327">
        <v>0.70185149999999996</v>
      </c>
      <c r="AF10327">
        <v>500.22469999999998</v>
      </c>
      <c r="AG10327">
        <f>IFERROR(AH10327*0.1, "N/A")</f>
        <v>7.3336190000000006</v>
      </c>
      <c r="AH10327">
        <v>73.336190000000002</v>
      </c>
      <c r="AI10327">
        <v>271.28590000000003</v>
      </c>
      <c r="AJ10327">
        <v>23.28473</v>
      </c>
      <c r="AK10327">
        <v>61.051459999999999</v>
      </c>
    </row>
    <row r="10328" spans="1:37" x14ac:dyDescent="0.3">
      <c r="A10328">
        <v>10327</v>
      </c>
      <c r="B10328">
        <v>92.5</v>
      </c>
      <c r="C10328">
        <v>14.8611</v>
      </c>
      <c r="D10328">
        <v>10.2111</v>
      </c>
      <c r="E10328" t="s">
        <v>15603</v>
      </c>
      <c r="F10328" t="s">
        <v>15604</v>
      </c>
      <c r="G10328" t="s">
        <v>39</v>
      </c>
      <c r="H10328">
        <v>1990</v>
      </c>
      <c r="I10328">
        <v>28.2</v>
      </c>
      <c r="J10328">
        <v>13.3</v>
      </c>
      <c r="K10328">
        <v>62</v>
      </c>
      <c r="L10328">
        <v>20.77</v>
      </c>
      <c r="M10328">
        <v>39.4</v>
      </c>
      <c r="N10328">
        <v>18.2</v>
      </c>
      <c r="O10328">
        <v>21.2</v>
      </c>
      <c r="P10328">
        <v>26.2</v>
      </c>
      <c r="Q10328">
        <v>26.8</v>
      </c>
      <c r="R10328">
        <v>31.4</v>
      </c>
      <c r="S10328">
        <v>26.2</v>
      </c>
      <c r="T10328">
        <v>804</v>
      </c>
      <c r="U10328">
        <v>239</v>
      </c>
      <c r="V10328">
        <v>0</v>
      </c>
      <c r="W10328">
        <v>119</v>
      </c>
      <c r="X10328">
        <v>575</v>
      </c>
      <c r="Y10328">
        <v>0</v>
      </c>
      <c r="Z10328">
        <v>89</v>
      </c>
      <c r="AA10328">
        <v>575</v>
      </c>
      <c r="AB10328">
        <v>0.39691510000000002</v>
      </c>
      <c r="AC10328">
        <v>0.1361598</v>
      </c>
      <c r="AD10328">
        <v>1.4028799999999999</v>
      </c>
      <c r="AE10328">
        <v>0.6894323</v>
      </c>
      <c r="AF10328">
        <v>334.79899999999998</v>
      </c>
      <c r="AG10328">
        <f>IFERROR(AH10328*0.1, "N/A")</f>
        <v>6.6484540000000001</v>
      </c>
      <c r="AH10328">
        <v>66.484539999999996</v>
      </c>
      <c r="AI10328">
        <v>163.94829999999999</v>
      </c>
      <c r="AJ10328">
        <v>27.226800000000001</v>
      </c>
      <c r="AK10328">
        <v>52.030929999999998</v>
      </c>
    </row>
    <row r="10329" spans="1:37" x14ac:dyDescent="0.3">
      <c r="A10329">
        <v>10328</v>
      </c>
      <c r="B10329">
        <v>0</v>
      </c>
      <c r="C10329">
        <v>14.8611</v>
      </c>
      <c r="D10329">
        <v>10.2111</v>
      </c>
      <c r="E10329" t="s">
        <v>15603</v>
      </c>
      <c r="F10329" t="s">
        <v>15605</v>
      </c>
      <c r="G10329" t="s">
        <v>37</v>
      </c>
      <c r="H10329">
        <v>1990</v>
      </c>
      <c r="I10329">
        <v>28.2</v>
      </c>
      <c r="J10329">
        <v>13.3</v>
      </c>
      <c r="K10329">
        <v>62</v>
      </c>
      <c r="L10329">
        <v>20.77</v>
      </c>
      <c r="M10329">
        <v>39.4</v>
      </c>
      <c r="N10329">
        <v>18.2</v>
      </c>
      <c r="O10329">
        <v>21.2</v>
      </c>
      <c r="P10329">
        <v>26.2</v>
      </c>
      <c r="Q10329">
        <v>26.8</v>
      </c>
      <c r="R10329">
        <v>31.4</v>
      </c>
      <c r="S10329">
        <v>26.2</v>
      </c>
      <c r="T10329">
        <v>804</v>
      </c>
      <c r="U10329">
        <v>239</v>
      </c>
      <c r="V10329">
        <v>0</v>
      </c>
      <c r="W10329">
        <v>119</v>
      </c>
      <c r="X10329">
        <v>575</v>
      </c>
      <c r="Y10329">
        <v>0</v>
      </c>
      <c r="Z10329">
        <v>89</v>
      </c>
      <c r="AA10329">
        <v>575</v>
      </c>
      <c r="AB10329">
        <v>0.39691510000000002</v>
      </c>
      <c r="AC10329">
        <v>0.1361598</v>
      </c>
      <c r="AD10329">
        <v>1.4028799999999999</v>
      </c>
      <c r="AE10329">
        <v>0.6894323</v>
      </c>
      <c r="AF10329">
        <v>334.79899999999998</v>
      </c>
      <c r="AG10329">
        <f>IFERROR(AH10329*0.1, "N/A")</f>
        <v>6.6484540000000001</v>
      </c>
      <c r="AH10329">
        <v>66.484539999999996</v>
      </c>
      <c r="AI10329">
        <v>163.94829999999999</v>
      </c>
      <c r="AJ10329">
        <v>27.226800000000001</v>
      </c>
      <c r="AK10329">
        <v>52.030929999999998</v>
      </c>
    </row>
    <row r="10330" spans="1:37" x14ac:dyDescent="0.3">
      <c r="A10330">
        <v>10329</v>
      </c>
      <c r="B10330">
        <v>2.6</v>
      </c>
      <c r="C10330">
        <v>14.8611</v>
      </c>
      <c r="D10330">
        <v>10.2111</v>
      </c>
      <c r="E10330" t="s">
        <v>15603</v>
      </c>
      <c r="F10330" t="s">
        <v>15606</v>
      </c>
      <c r="G10330" t="s">
        <v>2420</v>
      </c>
      <c r="H10330">
        <v>1990</v>
      </c>
      <c r="I10330">
        <v>28.2</v>
      </c>
      <c r="J10330">
        <v>13.3</v>
      </c>
      <c r="K10330">
        <v>62</v>
      </c>
      <c r="L10330">
        <v>20.77</v>
      </c>
      <c r="M10330">
        <v>39.4</v>
      </c>
      <c r="N10330">
        <v>18.2</v>
      </c>
      <c r="O10330">
        <v>21.2</v>
      </c>
      <c r="P10330">
        <v>26.2</v>
      </c>
      <c r="Q10330">
        <v>26.8</v>
      </c>
      <c r="R10330">
        <v>31.4</v>
      </c>
      <c r="S10330">
        <v>26.2</v>
      </c>
      <c r="T10330">
        <v>804</v>
      </c>
      <c r="U10330">
        <v>239</v>
      </c>
      <c r="V10330">
        <v>0</v>
      </c>
      <c r="W10330">
        <v>119</v>
      </c>
      <c r="X10330">
        <v>575</v>
      </c>
      <c r="Y10330">
        <v>0</v>
      </c>
      <c r="Z10330">
        <v>89</v>
      </c>
      <c r="AA10330">
        <v>575</v>
      </c>
      <c r="AB10330">
        <v>0.39691510000000002</v>
      </c>
      <c r="AC10330">
        <v>0.1361598</v>
      </c>
      <c r="AD10330">
        <v>1.4028799999999999</v>
      </c>
      <c r="AE10330">
        <v>0.6894323</v>
      </c>
      <c r="AF10330">
        <v>334.79899999999998</v>
      </c>
      <c r="AG10330">
        <f>IFERROR(AH10330*0.1, "N/A")</f>
        <v>6.6484540000000001</v>
      </c>
      <c r="AH10330">
        <v>66.484539999999996</v>
      </c>
      <c r="AI10330">
        <v>163.94829999999999</v>
      </c>
      <c r="AJ10330">
        <v>27.226800000000001</v>
      </c>
      <c r="AK10330">
        <v>52.030929999999998</v>
      </c>
    </row>
    <row r="10331" spans="1:37" x14ac:dyDescent="0.3">
      <c r="A10331">
        <v>10330</v>
      </c>
      <c r="B10331">
        <v>58.3</v>
      </c>
      <c r="C10331">
        <v>14.7889</v>
      </c>
      <c r="D10331">
        <v>10.216699999999999</v>
      </c>
      <c r="E10331" t="s">
        <v>15607</v>
      </c>
      <c r="F10331" t="s">
        <v>15608</v>
      </c>
      <c r="G10331" t="s">
        <v>39</v>
      </c>
      <c r="H10331">
        <v>1990</v>
      </c>
      <c r="I10331">
        <v>28.2</v>
      </c>
      <c r="J10331">
        <v>13.2</v>
      </c>
      <c r="K10331">
        <v>61.352330000000002</v>
      </c>
      <c r="L10331">
        <v>21.28021</v>
      </c>
      <c r="M10331">
        <v>39.464770000000001</v>
      </c>
      <c r="N10331">
        <v>18.2</v>
      </c>
      <c r="O10331">
        <v>21.264769999999999</v>
      </c>
      <c r="P10331">
        <v>26.2</v>
      </c>
      <c r="Q10331">
        <v>26.8</v>
      </c>
      <c r="R10331">
        <v>31.464770000000001</v>
      </c>
      <c r="S10331">
        <v>26.2</v>
      </c>
      <c r="T10331">
        <v>806.35230000000001</v>
      </c>
      <c r="U10331">
        <v>239</v>
      </c>
      <c r="V10331">
        <v>0</v>
      </c>
      <c r="W10331">
        <v>119</v>
      </c>
      <c r="X10331">
        <v>577.35230000000001</v>
      </c>
      <c r="Y10331">
        <v>0</v>
      </c>
      <c r="Z10331">
        <v>89</v>
      </c>
      <c r="AA10331">
        <v>577.35230000000001</v>
      </c>
      <c r="AB10331">
        <v>0.70191190000000003</v>
      </c>
      <c r="AC10331">
        <v>0.1843022</v>
      </c>
      <c r="AD10331">
        <v>1.036346</v>
      </c>
      <c r="AE10331">
        <v>0.65870899999999999</v>
      </c>
      <c r="AF10331">
        <v>344.06040000000002</v>
      </c>
      <c r="AG10331">
        <f>IFERROR(AH10331*0.1, "N/A")</f>
        <v>6.3000000000000007</v>
      </c>
      <c r="AH10331">
        <v>63</v>
      </c>
      <c r="AI10331">
        <v>151.6617</v>
      </c>
      <c r="AJ10331">
        <v>25</v>
      </c>
      <c r="AK10331">
        <v>54</v>
      </c>
    </row>
    <row r="10332" spans="1:37" x14ac:dyDescent="0.3">
      <c r="A10332">
        <v>10331</v>
      </c>
      <c r="B10332">
        <v>0</v>
      </c>
      <c r="C10332">
        <v>14.7889</v>
      </c>
      <c r="D10332">
        <v>10.216699999999999</v>
      </c>
      <c r="E10332" t="s">
        <v>15607</v>
      </c>
      <c r="F10332" t="s">
        <v>15609</v>
      </c>
      <c r="G10332" t="s">
        <v>37</v>
      </c>
      <c r="H10332">
        <v>1990</v>
      </c>
      <c r="I10332">
        <v>28.2</v>
      </c>
      <c r="J10332">
        <v>13.2</v>
      </c>
      <c r="K10332">
        <v>61.352330000000002</v>
      </c>
      <c r="L10332">
        <v>21.28021</v>
      </c>
      <c r="M10332">
        <v>39.464770000000001</v>
      </c>
      <c r="N10332">
        <v>18.2</v>
      </c>
      <c r="O10332">
        <v>21.264769999999999</v>
      </c>
      <c r="P10332">
        <v>26.2</v>
      </c>
      <c r="Q10332">
        <v>26.8</v>
      </c>
      <c r="R10332">
        <v>31.464770000000001</v>
      </c>
      <c r="S10332">
        <v>26.2</v>
      </c>
      <c r="T10332">
        <v>806.35230000000001</v>
      </c>
      <c r="U10332">
        <v>239</v>
      </c>
      <c r="V10332">
        <v>0</v>
      </c>
      <c r="W10332">
        <v>119</v>
      </c>
      <c r="X10332">
        <v>577.35230000000001</v>
      </c>
      <c r="Y10332">
        <v>0</v>
      </c>
      <c r="Z10332">
        <v>89</v>
      </c>
      <c r="AA10332">
        <v>577.35230000000001</v>
      </c>
      <c r="AB10332">
        <v>0.70191190000000003</v>
      </c>
      <c r="AC10332">
        <v>0.1843022</v>
      </c>
      <c r="AD10332">
        <v>1.036346</v>
      </c>
      <c r="AE10332">
        <v>0.65870899999999999</v>
      </c>
      <c r="AF10332">
        <v>344.06040000000002</v>
      </c>
      <c r="AG10332">
        <f>IFERROR(AH10332*0.1, "N/A")</f>
        <v>6.3000000000000007</v>
      </c>
      <c r="AH10332">
        <v>63</v>
      </c>
      <c r="AI10332">
        <v>151.6617</v>
      </c>
      <c r="AJ10332">
        <v>25</v>
      </c>
      <c r="AK10332">
        <v>54</v>
      </c>
    </row>
    <row r="10333" spans="1:37" x14ac:dyDescent="0.3">
      <c r="A10333">
        <v>10332</v>
      </c>
      <c r="B10333">
        <v>0</v>
      </c>
      <c r="C10333">
        <v>14.7889</v>
      </c>
      <c r="D10333">
        <v>10.216699999999999</v>
      </c>
      <c r="E10333" t="s">
        <v>15607</v>
      </c>
      <c r="F10333" t="s">
        <v>15610</v>
      </c>
      <c r="G10333" t="s">
        <v>2420</v>
      </c>
      <c r="H10333">
        <v>1990</v>
      </c>
      <c r="I10333">
        <v>28.2</v>
      </c>
      <c r="J10333">
        <v>13.2</v>
      </c>
      <c r="K10333">
        <v>61.352330000000002</v>
      </c>
      <c r="L10333">
        <v>21.28021</v>
      </c>
      <c r="M10333">
        <v>39.464770000000001</v>
      </c>
      <c r="N10333">
        <v>18.2</v>
      </c>
      <c r="O10333">
        <v>21.264769999999999</v>
      </c>
      <c r="P10333">
        <v>26.2</v>
      </c>
      <c r="Q10333">
        <v>26.8</v>
      </c>
      <c r="R10333">
        <v>31.464770000000001</v>
      </c>
      <c r="S10333">
        <v>26.2</v>
      </c>
      <c r="T10333">
        <v>806.35230000000001</v>
      </c>
      <c r="U10333">
        <v>239</v>
      </c>
      <c r="V10333">
        <v>0</v>
      </c>
      <c r="W10333">
        <v>119</v>
      </c>
      <c r="X10333">
        <v>577.35230000000001</v>
      </c>
      <c r="Y10333">
        <v>0</v>
      </c>
      <c r="Z10333">
        <v>89</v>
      </c>
      <c r="AA10333">
        <v>577.35230000000001</v>
      </c>
      <c r="AB10333">
        <v>0.70191190000000003</v>
      </c>
      <c r="AC10333">
        <v>0.1843022</v>
      </c>
      <c r="AD10333">
        <v>1.036346</v>
      </c>
      <c r="AE10333">
        <v>0.65870899999999999</v>
      </c>
      <c r="AF10333">
        <v>344.06040000000002</v>
      </c>
      <c r="AG10333">
        <f>IFERROR(AH10333*0.1, "N/A")</f>
        <v>6.3000000000000007</v>
      </c>
      <c r="AH10333">
        <v>63</v>
      </c>
      <c r="AI10333">
        <v>151.6617</v>
      </c>
      <c r="AJ10333">
        <v>25</v>
      </c>
      <c r="AK10333">
        <v>54</v>
      </c>
    </row>
    <row r="10334" spans="1:37" x14ac:dyDescent="0.3">
      <c r="A10334">
        <v>10333</v>
      </c>
      <c r="B10334">
        <v>51.1</v>
      </c>
      <c r="C10334">
        <v>14.816700000000001</v>
      </c>
      <c r="D10334">
        <v>10.225</v>
      </c>
      <c r="E10334" t="s">
        <v>15611</v>
      </c>
      <c r="F10334" t="s">
        <v>15612</v>
      </c>
      <c r="G10334" t="s">
        <v>39</v>
      </c>
      <c r="H10334">
        <v>1990</v>
      </c>
      <c r="I10334">
        <v>28.2</v>
      </c>
      <c r="J10334">
        <v>13.281689999999999</v>
      </c>
      <c r="K10334">
        <v>62</v>
      </c>
      <c r="L10334">
        <v>20.839289999999998</v>
      </c>
      <c r="M10334">
        <v>39.4</v>
      </c>
      <c r="N10334">
        <v>18.2</v>
      </c>
      <c r="O10334">
        <v>21.2</v>
      </c>
      <c r="P10334">
        <v>26.2</v>
      </c>
      <c r="Q10334">
        <v>26.8</v>
      </c>
      <c r="R10334">
        <v>31.4</v>
      </c>
      <c r="S10334">
        <v>26.2</v>
      </c>
      <c r="T10334">
        <v>804.01549999999997</v>
      </c>
      <c r="U10334">
        <v>239</v>
      </c>
      <c r="V10334">
        <v>0</v>
      </c>
      <c r="W10334">
        <v>119.7012</v>
      </c>
      <c r="X10334">
        <v>576.18309999999997</v>
      </c>
      <c r="Y10334">
        <v>0</v>
      </c>
      <c r="Z10334">
        <v>88.183070000000001</v>
      </c>
      <c r="AA10334">
        <v>576.18309999999997</v>
      </c>
      <c r="AB10334">
        <v>1.1799679999999999</v>
      </c>
      <c r="AC10334">
        <v>1.201902E-2</v>
      </c>
      <c r="AD10334">
        <v>1.1240140000000001</v>
      </c>
      <c r="AE10334">
        <v>0.65732349999999995</v>
      </c>
      <c r="AF10334">
        <v>342.46289999999999</v>
      </c>
      <c r="AG10334">
        <f>IFERROR(AH10334*0.1, "N/A")</f>
        <v>5.818480000000001</v>
      </c>
      <c r="AH10334">
        <v>58.184800000000003</v>
      </c>
      <c r="AI10334">
        <v>165.2397</v>
      </c>
      <c r="AJ10334">
        <v>17.060449999999999</v>
      </c>
      <c r="AK10334">
        <v>61.711570000000002</v>
      </c>
    </row>
    <row r="10335" spans="1:37" x14ac:dyDescent="0.3">
      <c r="A10335">
        <v>10334</v>
      </c>
      <c r="B10335">
        <v>9.1</v>
      </c>
      <c r="C10335">
        <v>14.816700000000001</v>
      </c>
      <c r="D10335">
        <v>10.225</v>
      </c>
      <c r="E10335" t="s">
        <v>15611</v>
      </c>
      <c r="F10335" t="s">
        <v>15613</v>
      </c>
      <c r="G10335" t="s">
        <v>37</v>
      </c>
      <c r="H10335">
        <v>1990</v>
      </c>
      <c r="I10335">
        <v>28.2</v>
      </c>
      <c r="J10335">
        <v>13.281689999999999</v>
      </c>
      <c r="K10335">
        <v>62</v>
      </c>
      <c r="L10335">
        <v>20.839289999999998</v>
      </c>
      <c r="M10335">
        <v>39.4</v>
      </c>
      <c r="N10335">
        <v>18.2</v>
      </c>
      <c r="O10335">
        <v>21.2</v>
      </c>
      <c r="P10335">
        <v>26.2</v>
      </c>
      <c r="Q10335">
        <v>26.8</v>
      </c>
      <c r="R10335">
        <v>31.4</v>
      </c>
      <c r="S10335">
        <v>26.2</v>
      </c>
      <c r="T10335">
        <v>804.01549999999997</v>
      </c>
      <c r="U10335">
        <v>239</v>
      </c>
      <c r="V10335">
        <v>0</v>
      </c>
      <c r="W10335">
        <v>119.7012</v>
      </c>
      <c r="X10335">
        <v>576.18309999999997</v>
      </c>
      <c r="Y10335">
        <v>0</v>
      </c>
      <c r="Z10335">
        <v>88.183070000000001</v>
      </c>
      <c r="AA10335">
        <v>576.18309999999997</v>
      </c>
      <c r="AB10335">
        <v>1.1799679999999999</v>
      </c>
      <c r="AC10335">
        <v>1.201902E-2</v>
      </c>
      <c r="AD10335">
        <v>1.1240140000000001</v>
      </c>
      <c r="AE10335">
        <v>0.65732349999999995</v>
      </c>
      <c r="AF10335">
        <v>342.46289999999999</v>
      </c>
      <c r="AG10335">
        <f>IFERROR(AH10335*0.1, "N/A")</f>
        <v>5.818480000000001</v>
      </c>
      <c r="AH10335">
        <v>58.184800000000003</v>
      </c>
      <c r="AI10335">
        <v>165.2397</v>
      </c>
      <c r="AJ10335">
        <v>17.060449999999999</v>
      </c>
      <c r="AK10335">
        <v>61.711570000000002</v>
      </c>
    </row>
    <row r="10336" spans="1:37" x14ac:dyDescent="0.3">
      <c r="A10336">
        <v>10335</v>
      </c>
      <c r="B10336">
        <v>0</v>
      </c>
      <c r="C10336">
        <v>14.816700000000001</v>
      </c>
      <c r="D10336">
        <v>10.225</v>
      </c>
      <c r="E10336" t="s">
        <v>15611</v>
      </c>
      <c r="F10336" t="s">
        <v>15614</v>
      </c>
      <c r="G10336" t="s">
        <v>2420</v>
      </c>
      <c r="H10336">
        <v>1990</v>
      </c>
      <c r="I10336">
        <v>28.2</v>
      </c>
      <c r="J10336">
        <v>13.281689999999999</v>
      </c>
      <c r="K10336">
        <v>62</v>
      </c>
      <c r="L10336">
        <v>20.839289999999998</v>
      </c>
      <c r="M10336">
        <v>39.4</v>
      </c>
      <c r="N10336">
        <v>18.2</v>
      </c>
      <c r="O10336">
        <v>21.2</v>
      </c>
      <c r="P10336">
        <v>26.2</v>
      </c>
      <c r="Q10336">
        <v>26.8</v>
      </c>
      <c r="R10336">
        <v>31.4</v>
      </c>
      <c r="S10336">
        <v>26.2</v>
      </c>
      <c r="T10336">
        <v>804.01549999999997</v>
      </c>
      <c r="U10336">
        <v>239</v>
      </c>
      <c r="V10336">
        <v>0</v>
      </c>
      <c r="W10336">
        <v>119.7012</v>
      </c>
      <c r="X10336">
        <v>576.18309999999997</v>
      </c>
      <c r="Y10336">
        <v>0</v>
      </c>
      <c r="Z10336">
        <v>88.183070000000001</v>
      </c>
      <c r="AA10336">
        <v>576.18309999999997</v>
      </c>
      <c r="AB10336">
        <v>1.1799679999999999</v>
      </c>
      <c r="AC10336">
        <v>1.201902E-2</v>
      </c>
      <c r="AD10336">
        <v>1.1240140000000001</v>
      </c>
      <c r="AE10336">
        <v>0.65732349999999995</v>
      </c>
      <c r="AF10336">
        <v>342.46289999999999</v>
      </c>
      <c r="AG10336">
        <f>IFERROR(AH10336*0.1, "N/A")</f>
        <v>5.818480000000001</v>
      </c>
      <c r="AH10336">
        <v>58.184800000000003</v>
      </c>
      <c r="AI10336">
        <v>165.2397</v>
      </c>
      <c r="AJ10336">
        <v>17.060449999999999</v>
      </c>
      <c r="AK10336">
        <v>61.711570000000002</v>
      </c>
    </row>
    <row r="10337" spans="1:37" x14ac:dyDescent="0.3">
      <c r="A10337">
        <v>10336</v>
      </c>
      <c r="B10337">
        <v>67.400000000000006</v>
      </c>
      <c r="C10337">
        <v>14.55</v>
      </c>
      <c r="D10337">
        <v>10.2278</v>
      </c>
      <c r="E10337" t="s">
        <v>15615</v>
      </c>
      <c r="F10337" t="s">
        <v>15616</v>
      </c>
      <c r="G10337" t="s">
        <v>39</v>
      </c>
      <c r="H10337">
        <v>1990</v>
      </c>
      <c r="I10337">
        <v>28.1</v>
      </c>
      <c r="J10337">
        <v>13.1</v>
      </c>
      <c r="K10337">
        <v>62</v>
      </c>
      <c r="L10337">
        <v>21.320170000000001</v>
      </c>
      <c r="M10337">
        <v>39.4</v>
      </c>
      <c r="N10337">
        <v>18.3</v>
      </c>
      <c r="O10337">
        <v>21.1</v>
      </c>
      <c r="P10337">
        <v>26</v>
      </c>
      <c r="Q10337">
        <v>26.7</v>
      </c>
      <c r="R10337">
        <v>31.3</v>
      </c>
      <c r="S10337">
        <v>26</v>
      </c>
      <c r="T10337">
        <v>810</v>
      </c>
      <c r="U10337">
        <v>237</v>
      </c>
      <c r="V10337">
        <v>0</v>
      </c>
      <c r="W10337">
        <v>119</v>
      </c>
      <c r="X10337">
        <v>580</v>
      </c>
      <c r="Y10337">
        <v>0</v>
      </c>
      <c r="Z10337">
        <v>89</v>
      </c>
      <c r="AA10337">
        <v>580</v>
      </c>
      <c r="AB10337">
        <v>0.32293230000000001</v>
      </c>
      <c r="AC10337">
        <v>24.698229999999999</v>
      </c>
      <c r="AD10337">
        <v>2.2627100000000002</v>
      </c>
      <c r="AE10337">
        <v>0.69240480000000004</v>
      </c>
      <c r="AF10337">
        <v>395.8931</v>
      </c>
      <c r="AG10337">
        <f>IFERROR(AH10337*0.1, "N/A")</f>
        <v>6.4498280000000001</v>
      </c>
      <c r="AH10337">
        <v>64.498279999999994</v>
      </c>
      <c r="AI10337">
        <v>188.67830000000001</v>
      </c>
      <c r="AJ10337">
        <v>19.54138</v>
      </c>
      <c r="AK10337">
        <v>61.386209999999998</v>
      </c>
    </row>
    <row r="10338" spans="1:37" x14ac:dyDescent="0.3">
      <c r="A10338">
        <v>10337</v>
      </c>
      <c r="B10338">
        <v>4.7</v>
      </c>
      <c r="C10338">
        <v>14.55</v>
      </c>
      <c r="D10338">
        <v>10.2278</v>
      </c>
      <c r="E10338" t="s">
        <v>15615</v>
      </c>
      <c r="F10338" t="s">
        <v>15617</v>
      </c>
      <c r="G10338" t="s">
        <v>37</v>
      </c>
      <c r="H10338">
        <v>1990</v>
      </c>
      <c r="I10338">
        <v>28.1</v>
      </c>
      <c r="J10338">
        <v>13.1</v>
      </c>
      <c r="K10338">
        <v>62</v>
      </c>
      <c r="L10338">
        <v>21.320170000000001</v>
      </c>
      <c r="M10338">
        <v>39.4</v>
      </c>
      <c r="N10338">
        <v>18.3</v>
      </c>
      <c r="O10338">
        <v>21.1</v>
      </c>
      <c r="P10338">
        <v>26</v>
      </c>
      <c r="Q10338">
        <v>26.7</v>
      </c>
      <c r="R10338">
        <v>31.3</v>
      </c>
      <c r="S10338">
        <v>26</v>
      </c>
      <c r="T10338">
        <v>810</v>
      </c>
      <c r="U10338">
        <v>237</v>
      </c>
      <c r="V10338">
        <v>0</v>
      </c>
      <c r="W10338">
        <v>119</v>
      </c>
      <c r="X10338">
        <v>580</v>
      </c>
      <c r="Y10338">
        <v>0</v>
      </c>
      <c r="Z10338">
        <v>89</v>
      </c>
      <c r="AA10338">
        <v>580</v>
      </c>
      <c r="AB10338">
        <v>0.32293230000000001</v>
      </c>
      <c r="AC10338">
        <v>24.698229999999999</v>
      </c>
      <c r="AD10338">
        <v>2.2627100000000002</v>
      </c>
      <c r="AE10338">
        <v>0.69240480000000004</v>
      </c>
      <c r="AF10338">
        <v>395.8931</v>
      </c>
      <c r="AG10338">
        <f>IFERROR(AH10338*0.1, "N/A")</f>
        <v>6.4498280000000001</v>
      </c>
      <c r="AH10338">
        <v>64.498279999999994</v>
      </c>
      <c r="AI10338">
        <v>188.67830000000001</v>
      </c>
      <c r="AJ10338">
        <v>19.54138</v>
      </c>
      <c r="AK10338">
        <v>61.386209999999998</v>
      </c>
    </row>
    <row r="10339" spans="1:37" x14ac:dyDescent="0.3">
      <c r="A10339">
        <v>10338</v>
      </c>
      <c r="B10339">
        <v>0</v>
      </c>
      <c r="C10339">
        <v>14.55</v>
      </c>
      <c r="D10339">
        <v>10.2278</v>
      </c>
      <c r="E10339" t="s">
        <v>15615</v>
      </c>
      <c r="F10339" t="s">
        <v>15618</v>
      </c>
      <c r="G10339" t="s">
        <v>2420</v>
      </c>
      <c r="H10339">
        <v>1990</v>
      </c>
      <c r="I10339">
        <v>28.1</v>
      </c>
      <c r="J10339">
        <v>13.1</v>
      </c>
      <c r="K10339">
        <v>62</v>
      </c>
      <c r="L10339">
        <v>21.320170000000001</v>
      </c>
      <c r="M10339">
        <v>39.4</v>
      </c>
      <c r="N10339">
        <v>18.3</v>
      </c>
      <c r="O10339">
        <v>21.1</v>
      </c>
      <c r="P10339">
        <v>26</v>
      </c>
      <c r="Q10339">
        <v>26.7</v>
      </c>
      <c r="R10339">
        <v>31.3</v>
      </c>
      <c r="S10339">
        <v>26</v>
      </c>
      <c r="T10339">
        <v>810</v>
      </c>
      <c r="U10339">
        <v>237</v>
      </c>
      <c r="V10339">
        <v>0</v>
      </c>
      <c r="W10339">
        <v>119</v>
      </c>
      <c r="X10339">
        <v>580</v>
      </c>
      <c r="Y10339">
        <v>0</v>
      </c>
      <c r="Z10339">
        <v>89</v>
      </c>
      <c r="AA10339">
        <v>580</v>
      </c>
      <c r="AB10339">
        <v>0.32293230000000001</v>
      </c>
      <c r="AC10339">
        <v>24.698229999999999</v>
      </c>
      <c r="AD10339">
        <v>2.2627100000000002</v>
      </c>
      <c r="AE10339">
        <v>0.69240480000000004</v>
      </c>
      <c r="AF10339">
        <v>395.8931</v>
      </c>
      <c r="AG10339">
        <f>IFERROR(AH10339*0.1, "N/A")</f>
        <v>6.4498280000000001</v>
      </c>
      <c r="AH10339">
        <v>64.498279999999994</v>
      </c>
      <c r="AI10339">
        <v>188.67830000000001</v>
      </c>
      <c r="AJ10339">
        <v>19.54138</v>
      </c>
      <c r="AK10339">
        <v>61.386209999999998</v>
      </c>
    </row>
    <row r="10340" spans="1:37" x14ac:dyDescent="0.3">
      <c r="A10340">
        <v>10339</v>
      </c>
      <c r="B10340">
        <v>87.5</v>
      </c>
      <c r="C10340">
        <v>15.1792</v>
      </c>
      <c r="D10340">
        <v>10.2369</v>
      </c>
      <c r="E10340" t="s">
        <v>15619</v>
      </c>
      <c r="F10340" t="s">
        <v>15620</v>
      </c>
      <c r="G10340" t="s">
        <v>39</v>
      </c>
      <c r="H10340">
        <v>1995</v>
      </c>
      <c r="I10340">
        <v>28</v>
      </c>
      <c r="J10340">
        <v>13.5</v>
      </c>
      <c r="K10340">
        <v>62</v>
      </c>
      <c r="L10340">
        <v>20.010000000000002</v>
      </c>
      <c r="M10340">
        <v>39.1</v>
      </c>
      <c r="N10340">
        <v>17.600000000000001</v>
      </c>
      <c r="O10340">
        <v>21.5</v>
      </c>
      <c r="P10340">
        <v>26.2</v>
      </c>
      <c r="Q10340">
        <v>26.6</v>
      </c>
      <c r="R10340">
        <v>31</v>
      </c>
      <c r="S10340">
        <v>26.2</v>
      </c>
      <c r="T10340">
        <v>790</v>
      </c>
      <c r="U10340">
        <v>240</v>
      </c>
      <c r="V10340">
        <v>0</v>
      </c>
      <c r="W10340">
        <v>122</v>
      </c>
      <c r="X10340">
        <v>566</v>
      </c>
      <c r="Y10340">
        <v>0</v>
      </c>
      <c r="Z10340">
        <v>86</v>
      </c>
      <c r="AA10340">
        <v>566</v>
      </c>
      <c r="AB10340">
        <v>5.7198180000000001</v>
      </c>
      <c r="AC10340">
        <v>8.4289689999999997E-3</v>
      </c>
      <c r="AD10340">
        <v>1.7376320000000001</v>
      </c>
      <c r="AE10340">
        <v>0.68566680000000002</v>
      </c>
      <c r="AF10340">
        <v>336.88619999999997</v>
      </c>
      <c r="AG10340">
        <f>IFERROR(AH10340*0.1, "N/A")</f>
        <v>5.6946550000000009</v>
      </c>
      <c r="AH10340">
        <v>56.946550000000002</v>
      </c>
      <c r="AI10340">
        <v>193.0633</v>
      </c>
      <c r="AJ10340">
        <v>13.293100000000001</v>
      </c>
      <c r="AK10340">
        <v>65.317239999999998</v>
      </c>
    </row>
    <row r="10341" spans="1:37" x14ac:dyDescent="0.3">
      <c r="A10341">
        <v>10340</v>
      </c>
      <c r="B10341">
        <v>73</v>
      </c>
      <c r="C10341">
        <v>15.292</v>
      </c>
      <c r="D10341">
        <v>10.237500000000001</v>
      </c>
      <c r="E10341" t="s">
        <v>15621</v>
      </c>
      <c r="F10341" t="s">
        <v>15622</v>
      </c>
      <c r="G10341" t="s">
        <v>39</v>
      </c>
      <c r="H10341">
        <v>1995</v>
      </c>
      <c r="I10341">
        <v>27.94914</v>
      </c>
      <c r="J10341">
        <v>13.54914</v>
      </c>
      <c r="K10341">
        <v>62</v>
      </c>
      <c r="L10341">
        <v>19.706109999999999</v>
      </c>
      <c r="M10341">
        <v>39.049140000000001</v>
      </c>
      <c r="N10341">
        <v>17.349139999999998</v>
      </c>
      <c r="O10341">
        <v>21.7</v>
      </c>
      <c r="P10341">
        <v>26.2</v>
      </c>
      <c r="Q10341">
        <v>26.498290000000001</v>
      </c>
      <c r="R10341">
        <v>30.94914</v>
      </c>
      <c r="S10341">
        <v>26.2</v>
      </c>
      <c r="T10341">
        <v>789.01710000000003</v>
      </c>
      <c r="U10341">
        <v>240.5086</v>
      </c>
      <c r="V10341">
        <v>0</v>
      </c>
      <c r="W10341">
        <v>122</v>
      </c>
      <c r="X10341">
        <v>564.01710000000003</v>
      </c>
      <c r="Y10341">
        <v>0</v>
      </c>
      <c r="Z10341">
        <v>87</v>
      </c>
      <c r="AA10341">
        <v>564.01710000000003</v>
      </c>
      <c r="AB10341">
        <v>9.6775629999999992</v>
      </c>
      <c r="AC10341">
        <v>9.3653929999999996E-3</v>
      </c>
      <c r="AD10341">
        <v>1.0219959999999999</v>
      </c>
      <c r="AE10341">
        <v>0.69854780000000005</v>
      </c>
      <c r="AF10341">
        <v>334.6764</v>
      </c>
      <c r="AG10341">
        <f>IFERROR(AH10341*0.1, "N/A")</f>
        <v>6</v>
      </c>
      <c r="AH10341">
        <v>60</v>
      </c>
      <c r="AI10341">
        <v>91.196219999999997</v>
      </c>
      <c r="AJ10341">
        <v>21.491440000000001</v>
      </c>
      <c r="AK10341">
        <v>55.017119999999998</v>
      </c>
    </row>
    <row r="10342" spans="1:37" x14ac:dyDescent="0.3">
      <c r="A10342">
        <v>10341</v>
      </c>
      <c r="B10342">
        <v>63.5</v>
      </c>
      <c r="C10342">
        <v>13.5167</v>
      </c>
      <c r="D10342">
        <v>10.25</v>
      </c>
      <c r="E10342" t="s">
        <v>15623</v>
      </c>
      <c r="F10342" t="s">
        <v>15624</v>
      </c>
      <c r="G10342" t="s">
        <v>39</v>
      </c>
      <c r="H10342">
        <v>1990</v>
      </c>
      <c r="I10342">
        <v>24.429259999999999</v>
      </c>
      <c r="J10342">
        <v>13.52169</v>
      </c>
      <c r="K10342">
        <v>63</v>
      </c>
      <c r="L10342">
        <v>18.933959999999999</v>
      </c>
      <c r="M10342">
        <v>35.629260000000002</v>
      </c>
      <c r="N10342">
        <v>14.35852</v>
      </c>
      <c r="O10342">
        <v>21.27074</v>
      </c>
      <c r="P10342">
        <v>22.778310000000001</v>
      </c>
      <c r="Q10342">
        <v>23.22926</v>
      </c>
      <c r="R10342">
        <v>27.329260000000001</v>
      </c>
      <c r="S10342">
        <v>22.778310000000001</v>
      </c>
      <c r="T10342">
        <v>976.63170000000002</v>
      </c>
      <c r="U10342">
        <v>269.70740000000001</v>
      </c>
      <c r="V10342">
        <v>0</v>
      </c>
      <c r="W10342">
        <v>111</v>
      </c>
      <c r="X10342">
        <v>649.63170000000002</v>
      </c>
      <c r="Y10342">
        <v>1</v>
      </c>
      <c r="Z10342">
        <v>138</v>
      </c>
      <c r="AA10342">
        <v>649.63170000000002</v>
      </c>
      <c r="AB10342">
        <v>7.9217079999999997</v>
      </c>
      <c r="AC10342">
        <v>1.7508929999999999E-2</v>
      </c>
      <c r="AD10342">
        <v>1.833121</v>
      </c>
      <c r="AE10342">
        <v>0.7129818</v>
      </c>
      <c r="AF10342">
        <v>769.16700000000003</v>
      </c>
      <c r="AG10342">
        <f>IFERROR(AH10342*0.1, "N/A")</f>
        <v>6.22926</v>
      </c>
      <c r="AH10342">
        <v>62.2926</v>
      </c>
      <c r="AI10342">
        <v>43.148269999999997</v>
      </c>
      <c r="AJ10342">
        <v>22.2926</v>
      </c>
      <c r="AK10342">
        <v>59</v>
      </c>
    </row>
    <row r="10343" spans="1:37" x14ac:dyDescent="0.3">
      <c r="A10343">
        <v>10342</v>
      </c>
      <c r="B10343">
        <v>17.600000000000001</v>
      </c>
      <c r="C10343">
        <v>13.5167</v>
      </c>
      <c r="D10343">
        <v>10.25</v>
      </c>
      <c r="E10343" t="s">
        <v>15623</v>
      </c>
      <c r="F10343" t="s">
        <v>15625</v>
      </c>
      <c r="G10343" t="s">
        <v>37</v>
      </c>
      <c r="H10343">
        <v>1990</v>
      </c>
      <c r="I10343">
        <v>24.429259999999999</v>
      </c>
      <c r="J10343">
        <v>13.52169</v>
      </c>
      <c r="K10343">
        <v>63</v>
      </c>
      <c r="L10343">
        <v>18.933959999999999</v>
      </c>
      <c r="M10343">
        <v>35.629260000000002</v>
      </c>
      <c r="N10343">
        <v>14.35852</v>
      </c>
      <c r="O10343">
        <v>21.27074</v>
      </c>
      <c r="P10343">
        <v>22.778310000000001</v>
      </c>
      <c r="Q10343">
        <v>23.22926</v>
      </c>
      <c r="R10343">
        <v>27.329260000000001</v>
      </c>
      <c r="S10343">
        <v>22.778310000000001</v>
      </c>
      <c r="T10343">
        <v>976.63170000000002</v>
      </c>
      <c r="U10343">
        <v>269.70740000000001</v>
      </c>
      <c r="V10343">
        <v>0</v>
      </c>
      <c r="W10343">
        <v>111</v>
      </c>
      <c r="X10343">
        <v>649.63170000000002</v>
      </c>
      <c r="Y10343">
        <v>1</v>
      </c>
      <c r="Z10343">
        <v>138</v>
      </c>
      <c r="AA10343">
        <v>649.63170000000002</v>
      </c>
      <c r="AB10343">
        <v>7.9217079999999997</v>
      </c>
      <c r="AC10343">
        <v>1.7508929999999999E-2</v>
      </c>
      <c r="AD10343">
        <v>1.833121</v>
      </c>
      <c r="AE10343">
        <v>0.7129818</v>
      </c>
      <c r="AF10343">
        <v>769.16700000000003</v>
      </c>
      <c r="AG10343">
        <f>IFERROR(AH10343*0.1, "N/A")</f>
        <v>6.22926</v>
      </c>
      <c r="AH10343">
        <v>62.2926</v>
      </c>
      <c r="AI10343">
        <v>43.148269999999997</v>
      </c>
      <c r="AJ10343">
        <v>22.2926</v>
      </c>
      <c r="AK10343">
        <v>59</v>
      </c>
    </row>
    <row r="10344" spans="1:37" x14ac:dyDescent="0.3">
      <c r="A10344">
        <v>10343</v>
      </c>
      <c r="B10344">
        <v>0</v>
      </c>
      <c r="C10344">
        <v>13.5167</v>
      </c>
      <c r="D10344">
        <v>10.25</v>
      </c>
      <c r="E10344" t="s">
        <v>15623</v>
      </c>
      <c r="F10344" t="s">
        <v>15626</v>
      </c>
      <c r="G10344" t="s">
        <v>2420</v>
      </c>
      <c r="H10344">
        <v>1990</v>
      </c>
      <c r="I10344">
        <v>24.429259999999999</v>
      </c>
      <c r="J10344">
        <v>13.52169</v>
      </c>
      <c r="K10344">
        <v>63</v>
      </c>
      <c r="L10344">
        <v>18.933959999999999</v>
      </c>
      <c r="M10344">
        <v>35.629260000000002</v>
      </c>
      <c r="N10344">
        <v>14.35852</v>
      </c>
      <c r="O10344">
        <v>21.27074</v>
      </c>
      <c r="P10344">
        <v>22.778310000000001</v>
      </c>
      <c r="Q10344">
        <v>23.22926</v>
      </c>
      <c r="R10344">
        <v>27.329260000000001</v>
      </c>
      <c r="S10344">
        <v>22.778310000000001</v>
      </c>
      <c r="T10344">
        <v>976.63170000000002</v>
      </c>
      <c r="U10344">
        <v>269.70740000000001</v>
      </c>
      <c r="V10344">
        <v>0</v>
      </c>
      <c r="W10344">
        <v>111</v>
      </c>
      <c r="X10344">
        <v>649.63170000000002</v>
      </c>
      <c r="Y10344">
        <v>1</v>
      </c>
      <c r="Z10344">
        <v>138</v>
      </c>
      <c r="AA10344">
        <v>649.63170000000002</v>
      </c>
      <c r="AB10344">
        <v>7.9217079999999997</v>
      </c>
      <c r="AC10344">
        <v>1.7508929999999999E-2</v>
      </c>
      <c r="AD10344">
        <v>1.833121</v>
      </c>
      <c r="AE10344">
        <v>0.7129818</v>
      </c>
      <c r="AF10344">
        <v>769.16700000000003</v>
      </c>
      <c r="AG10344">
        <f>IFERROR(AH10344*0.1, "N/A")</f>
        <v>6.22926</v>
      </c>
      <c r="AH10344">
        <v>62.2926</v>
      </c>
      <c r="AI10344">
        <v>43.148269999999997</v>
      </c>
      <c r="AJ10344">
        <v>22.2926</v>
      </c>
      <c r="AK10344">
        <v>59</v>
      </c>
    </row>
    <row r="10345" spans="1:37" x14ac:dyDescent="0.3">
      <c r="A10345">
        <v>10344</v>
      </c>
      <c r="B10345">
        <v>29.8</v>
      </c>
      <c r="C10345">
        <v>14.816700000000001</v>
      </c>
      <c r="D10345">
        <v>10.275</v>
      </c>
      <c r="E10345" t="s">
        <v>15627</v>
      </c>
      <c r="F10345" t="s">
        <v>15628</v>
      </c>
      <c r="G10345" t="s">
        <v>39</v>
      </c>
      <c r="H10345">
        <v>1990</v>
      </c>
      <c r="I10345">
        <v>28.3</v>
      </c>
      <c r="J10345">
        <v>13.3</v>
      </c>
      <c r="K10345">
        <v>62</v>
      </c>
      <c r="L10345">
        <v>20.86759</v>
      </c>
      <c r="M10345">
        <v>39.523710000000001</v>
      </c>
      <c r="N10345">
        <v>18.2</v>
      </c>
      <c r="O10345">
        <v>21.323709999999998</v>
      </c>
      <c r="P10345">
        <v>26.3</v>
      </c>
      <c r="Q10345">
        <v>26.8</v>
      </c>
      <c r="R10345">
        <v>31.42371</v>
      </c>
      <c r="S10345">
        <v>26.3</v>
      </c>
      <c r="T10345">
        <v>796.42780000000005</v>
      </c>
      <c r="U10345">
        <v>238</v>
      </c>
      <c r="V10345">
        <v>0</v>
      </c>
      <c r="W10345">
        <v>121</v>
      </c>
      <c r="X10345">
        <v>573</v>
      </c>
      <c r="Y10345">
        <v>0</v>
      </c>
      <c r="Z10345">
        <v>85.427840000000003</v>
      </c>
      <c r="AA10345">
        <v>573</v>
      </c>
      <c r="AB10345">
        <v>0.1568572</v>
      </c>
      <c r="AC10345">
        <v>0.36070849999999999</v>
      </c>
      <c r="AD10345">
        <v>1.2782450000000001</v>
      </c>
      <c r="AE10345">
        <v>0.69098040000000005</v>
      </c>
      <c r="AF10345">
        <v>337.57389999999998</v>
      </c>
      <c r="AG10345">
        <f>IFERROR(AH10345*0.1, "N/A")</f>
        <v>6.0642610000000001</v>
      </c>
      <c r="AH10345">
        <v>60.642609999999998</v>
      </c>
      <c r="AI10345">
        <v>117.0626</v>
      </c>
      <c r="AJ10345">
        <v>22.635739999999998</v>
      </c>
      <c r="AK10345">
        <v>55.957039999999999</v>
      </c>
    </row>
    <row r="10346" spans="1:37" x14ac:dyDescent="0.3">
      <c r="A10346">
        <v>10345</v>
      </c>
      <c r="B10346">
        <v>0</v>
      </c>
      <c r="C10346">
        <v>14.816700000000001</v>
      </c>
      <c r="D10346">
        <v>10.275</v>
      </c>
      <c r="E10346" t="s">
        <v>15627</v>
      </c>
      <c r="F10346" t="s">
        <v>15629</v>
      </c>
      <c r="G10346" t="s">
        <v>37</v>
      </c>
      <c r="H10346">
        <v>1990</v>
      </c>
      <c r="I10346">
        <v>28.3</v>
      </c>
      <c r="J10346">
        <v>13.3</v>
      </c>
      <c r="K10346">
        <v>62</v>
      </c>
      <c r="L10346">
        <v>20.86759</v>
      </c>
      <c r="M10346">
        <v>39.523710000000001</v>
      </c>
      <c r="N10346">
        <v>18.2</v>
      </c>
      <c r="O10346">
        <v>21.323709999999998</v>
      </c>
      <c r="P10346">
        <v>26.3</v>
      </c>
      <c r="Q10346">
        <v>26.8</v>
      </c>
      <c r="R10346">
        <v>31.42371</v>
      </c>
      <c r="S10346">
        <v>26.3</v>
      </c>
      <c r="T10346">
        <v>796.42780000000005</v>
      </c>
      <c r="U10346">
        <v>238</v>
      </c>
      <c r="V10346">
        <v>0</v>
      </c>
      <c r="W10346">
        <v>121</v>
      </c>
      <c r="X10346">
        <v>573</v>
      </c>
      <c r="Y10346">
        <v>0</v>
      </c>
      <c r="Z10346">
        <v>85.427840000000003</v>
      </c>
      <c r="AA10346">
        <v>573</v>
      </c>
      <c r="AB10346">
        <v>0.1568572</v>
      </c>
      <c r="AC10346">
        <v>0.36070849999999999</v>
      </c>
      <c r="AD10346">
        <v>1.2782450000000001</v>
      </c>
      <c r="AE10346">
        <v>0.69098040000000005</v>
      </c>
      <c r="AF10346">
        <v>337.57389999999998</v>
      </c>
      <c r="AG10346">
        <f>IFERROR(AH10346*0.1, "N/A")</f>
        <v>6.0642610000000001</v>
      </c>
      <c r="AH10346">
        <v>60.642609999999998</v>
      </c>
      <c r="AI10346">
        <v>117.0626</v>
      </c>
      <c r="AJ10346">
        <v>22.635739999999998</v>
      </c>
      <c r="AK10346">
        <v>55.957039999999999</v>
      </c>
    </row>
    <row r="10347" spans="1:37" x14ac:dyDescent="0.3">
      <c r="A10347">
        <v>10346</v>
      </c>
      <c r="B10347">
        <v>0</v>
      </c>
      <c r="C10347">
        <v>14.816700000000001</v>
      </c>
      <c r="D10347">
        <v>10.275</v>
      </c>
      <c r="E10347" t="s">
        <v>15627</v>
      </c>
      <c r="F10347" t="s">
        <v>15630</v>
      </c>
      <c r="G10347" t="s">
        <v>2420</v>
      </c>
      <c r="H10347">
        <v>1990</v>
      </c>
      <c r="I10347">
        <v>28.3</v>
      </c>
      <c r="J10347">
        <v>13.3</v>
      </c>
      <c r="K10347">
        <v>62</v>
      </c>
      <c r="L10347">
        <v>20.86759</v>
      </c>
      <c r="M10347">
        <v>39.523710000000001</v>
      </c>
      <c r="N10347">
        <v>18.2</v>
      </c>
      <c r="O10347">
        <v>21.323709999999998</v>
      </c>
      <c r="P10347">
        <v>26.3</v>
      </c>
      <c r="Q10347">
        <v>26.8</v>
      </c>
      <c r="R10347">
        <v>31.42371</v>
      </c>
      <c r="S10347">
        <v>26.3</v>
      </c>
      <c r="T10347">
        <v>796.42780000000005</v>
      </c>
      <c r="U10347">
        <v>238</v>
      </c>
      <c r="V10347">
        <v>0</v>
      </c>
      <c r="W10347">
        <v>121</v>
      </c>
      <c r="X10347">
        <v>573</v>
      </c>
      <c r="Y10347">
        <v>0</v>
      </c>
      <c r="Z10347">
        <v>85.427840000000003</v>
      </c>
      <c r="AA10347">
        <v>573</v>
      </c>
      <c r="AB10347">
        <v>0.1568572</v>
      </c>
      <c r="AC10347">
        <v>0.36070849999999999</v>
      </c>
      <c r="AD10347">
        <v>1.2782450000000001</v>
      </c>
      <c r="AE10347">
        <v>0.69098040000000005</v>
      </c>
      <c r="AF10347">
        <v>337.57389999999998</v>
      </c>
      <c r="AG10347">
        <f>IFERROR(AH10347*0.1, "N/A")</f>
        <v>6.0642610000000001</v>
      </c>
      <c r="AH10347">
        <v>60.642609999999998</v>
      </c>
      <c r="AI10347">
        <v>117.0626</v>
      </c>
      <c r="AJ10347">
        <v>22.635739999999998</v>
      </c>
      <c r="AK10347">
        <v>55.957039999999999</v>
      </c>
    </row>
    <row r="10348" spans="1:37" x14ac:dyDescent="0.3">
      <c r="A10348">
        <v>10347</v>
      </c>
      <c r="B10348">
        <v>57.5</v>
      </c>
      <c r="C10348">
        <v>14.9293</v>
      </c>
      <c r="D10348">
        <v>10.2852</v>
      </c>
      <c r="E10348" t="s">
        <v>15631</v>
      </c>
      <c r="F10348" t="s">
        <v>15632</v>
      </c>
      <c r="G10348" t="s">
        <v>39</v>
      </c>
      <c r="H10348">
        <v>1995</v>
      </c>
      <c r="I10348">
        <v>28.2</v>
      </c>
      <c r="J10348">
        <v>13.4</v>
      </c>
      <c r="K10348">
        <v>62</v>
      </c>
      <c r="L10348">
        <v>20.54</v>
      </c>
      <c r="M10348">
        <v>39.4</v>
      </c>
      <c r="N10348">
        <v>18</v>
      </c>
      <c r="O10348">
        <v>21.4</v>
      </c>
      <c r="P10348">
        <v>26.3</v>
      </c>
      <c r="Q10348">
        <v>26.7</v>
      </c>
      <c r="R10348">
        <v>31.3</v>
      </c>
      <c r="S10348">
        <v>26.3</v>
      </c>
      <c r="T10348">
        <v>792</v>
      </c>
      <c r="U10348">
        <v>238</v>
      </c>
      <c r="V10348">
        <v>0</v>
      </c>
      <c r="W10348">
        <v>120</v>
      </c>
      <c r="X10348">
        <v>570</v>
      </c>
      <c r="Y10348">
        <v>0</v>
      </c>
      <c r="Z10348">
        <v>85</v>
      </c>
      <c r="AA10348">
        <v>570</v>
      </c>
      <c r="AB10348">
        <v>7.2018740000000001</v>
      </c>
      <c r="AC10348">
        <v>8.5432990000000007E-3</v>
      </c>
      <c r="AD10348">
        <v>1.08161</v>
      </c>
      <c r="AE10348">
        <v>0.71389250000000004</v>
      </c>
      <c r="AF10348">
        <v>344.40890000000002</v>
      </c>
      <c r="AG10348">
        <f>IFERROR(AH10348*0.1, "N/A")</f>
        <v>5.6415810000000004</v>
      </c>
      <c r="AH10348">
        <v>56.41581</v>
      </c>
      <c r="AI10348">
        <v>121.4932</v>
      </c>
      <c r="AJ10348">
        <v>15.168380000000001</v>
      </c>
      <c r="AK10348">
        <v>65.981099999999998</v>
      </c>
    </row>
    <row r="10349" spans="1:37" x14ac:dyDescent="0.3">
      <c r="A10349">
        <v>10348</v>
      </c>
      <c r="B10349">
        <v>20.100000000000001</v>
      </c>
      <c r="C10349">
        <v>15.293699999999999</v>
      </c>
      <c r="D10349">
        <v>10.3133</v>
      </c>
      <c r="E10349" t="s">
        <v>15633</v>
      </c>
      <c r="F10349" t="s">
        <v>15634</v>
      </c>
      <c r="G10349" t="s">
        <v>39</v>
      </c>
      <c r="H10349">
        <v>1982</v>
      </c>
      <c r="I10349">
        <v>28</v>
      </c>
      <c r="J10349">
        <v>13.6</v>
      </c>
      <c r="K10349">
        <v>62</v>
      </c>
      <c r="L10349">
        <v>19.55</v>
      </c>
      <c r="M10349">
        <v>39.1</v>
      </c>
      <c r="N10349">
        <v>17.399999999999999</v>
      </c>
      <c r="O10349">
        <v>21.7</v>
      </c>
      <c r="P10349">
        <v>26.3</v>
      </c>
      <c r="Q10349">
        <v>26.5</v>
      </c>
      <c r="R10349">
        <v>31</v>
      </c>
      <c r="S10349">
        <v>26.3</v>
      </c>
      <c r="T10349">
        <v>772</v>
      </c>
      <c r="U10349">
        <v>235</v>
      </c>
      <c r="V10349">
        <v>0</v>
      </c>
      <c r="W10349">
        <v>122</v>
      </c>
      <c r="X10349">
        <v>554</v>
      </c>
      <c r="Y10349">
        <v>0</v>
      </c>
      <c r="Z10349">
        <v>83</v>
      </c>
      <c r="AA10349">
        <v>554</v>
      </c>
      <c r="AB10349">
        <v>3.1732840000000002</v>
      </c>
      <c r="AC10349">
        <v>1.0947709999999999E-2</v>
      </c>
      <c r="AD10349">
        <v>1.246936</v>
      </c>
      <c r="AE10349">
        <v>0.68483910000000003</v>
      </c>
      <c r="AF10349">
        <v>328.16609999999997</v>
      </c>
      <c r="AG10349">
        <f>IFERROR(AH10349*0.1, "N/A")</f>
        <v>6.3196919999999999</v>
      </c>
      <c r="AH10349">
        <v>63.196919999999999</v>
      </c>
      <c r="AI10349">
        <v>129.95480000000001</v>
      </c>
      <c r="AJ10349">
        <v>32.279110000000003</v>
      </c>
      <c r="AK10349">
        <v>45.912669999999999</v>
      </c>
    </row>
    <row r="10350" spans="1:37" x14ac:dyDescent="0.3">
      <c r="A10350">
        <v>10349</v>
      </c>
      <c r="B10350">
        <v>50.6</v>
      </c>
      <c r="C10350">
        <v>15.291499999999999</v>
      </c>
      <c r="D10350">
        <v>10.3133</v>
      </c>
      <c r="E10350" t="s">
        <v>15635</v>
      </c>
      <c r="F10350" t="s">
        <v>15636</v>
      </c>
      <c r="G10350" t="s">
        <v>39</v>
      </c>
      <c r="H10350">
        <v>1995</v>
      </c>
      <c r="I10350">
        <v>28</v>
      </c>
      <c r="J10350">
        <v>13.6</v>
      </c>
      <c r="K10350">
        <v>62</v>
      </c>
      <c r="L10350">
        <v>19.730139999999999</v>
      </c>
      <c r="M10350">
        <v>39.1</v>
      </c>
      <c r="N10350">
        <v>17.309930000000001</v>
      </c>
      <c r="O10350">
        <v>21.79007</v>
      </c>
      <c r="P10350">
        <v>26.20993</v>
      </c>
      <c r="Q10350">
        <v>26.5</v>
      </c>
      <c r="R10350">
        <v>31</v>
      </c>
      <c r="S10350">
        <v>26.20993</v>
      </c>
      <c r="T10350">
        <v>772.90070000000003</v>
      </c>
      <c r="U10350">
        <v>235.9007</v>
      </c>
      <c r="V10350">
        <v>0</v>
      </c>
      <c r="W10350">
        <v>122</v>
      </c>
      <c r="X10350">
        <v>554.90070000000003</v>
      </c>
      <c r="Y10350">
        <v>0</v>
      </c>
      <c r="Z10350">
        <v>83</v>
      </c>
      <c r="AA10350">
        <v>554.90070000000003</v>
      </c>
      <c r="AB10350">
        <v>4.0534319999999999</v>
      </c>
      <c r="AC10350">
        <v>8.5132809999999993E-3</v>
      </c>
      <c r="AD10350">
        <v>1.3259970000000001</v>
      </c>
      <c r="AE10350">
        <v>0.68483910000000003</v>
      </c>
      <c r="AF10350">
        <v>328.649</v>
      </c>
      <c r="AG10350">
        <f>IFERROR(AH10350*0.1, "N/A")</f>
        <v>5.8472600000000003</v>
      </c>
      <c r="AH10350">
        <v>58.4726</v>
      </c>
      <c r="AI10350">
        <v>104.44240000000001</v>
      </c>
      <c r="AJ10350">
        <v>23.496580000000002</v>
      </c>
      <c r="AK10350">
        <v>52.801369999999999</v>
      </c>
    </row>
    <row r="10351" spans="1:37" x14ac:dyDescent="0.3">
      <c r="A10351">
        <v>10350</v>
      </c>
      <c r="B10351">
        <v>84.2</v>
      </c>
      <c r="C10351">
        <v>14.8758</v>
      </c>
      <c r="D10351">
        <v>10.313499999999999</v>
      </c>
      <c r="E10351" t="s">
        <v>15637</v>
      </c>
      <c r="F10351" t="s">
        <v>15638</v>
      </c>
      <c r="G10351" t="s">
        <v>39</v>
      </c>
      <c r="H10351">
        <v>1995</v>
      </c>
      <c r="I10351">
        <v>28.2</v>
      </c>
      <c r="J10351">
        <v>13.4</v>
      </c>
      <c r="K10351">
        <v>62</v>
      </c>
      <c r="L10351">
        <v>20.96181</v>
      </c>
      <c r="M10351">
        <v>39.5</v>
      </c>
      <c r="N10351">
        <v>18.006019999999999</v>
      </c>
      <c r="O10351">
        <v>21.493980000000001</v>
      </c>
      <c r="P10351">
        <v>26.2</v>
      </c>
      <c r="Q10351">
        <v>26.706019999999999</v>
      </c>
      <c r="R10351">
        <v>31.4</v>
      </c>
      <c r="S10351">
        <v>26.2</v>
      </c>
      <c r="T10351">
        <v>788.12049999999999</v>
      </c>
      <c r="U10351">
        <v>237.06020000000001</v>
      </c>
      <c r="V10351">
        <v>0</v>
      </c>
      <c r="W10351">
        <v>122</v>
      </c>
      <c r="X10351">
        <v>569.06020000000001</v>
      </c>
      <c r="Y10351">
        <v>0</v>
      </c>
      <c r="Z10351">
        <v>83.060239999999993</v>
      </c>
      <c r="AA10351">
        <v>569.06020000000001</v>
      </c>
      <c r="AB10351">
        <v>2.8373569999999999</v>
      </c>
      <c r="AC10351">
        <v>8.6441109999999995E-3</v>
      </c>
      <c r="AD10351">
        <v>1.6773070000000001</v>
      </c>
      <c r="AE10351">
        <v>0.69081400000000004</v>
      </c>
      <c r="AF10351">
        <v>337.36660000000001</v>
      </c>
      <c r="AG10351">
        <f>IFERROR(AH10351*0.1, "N/A")</f>
        <v>5.8562820000000002</v>
      </c>
      <c r="AH10351">
        <v>58.562820000000002</v>
      </c>
      <c r="AI10351">
        <v>250.56200000000001</v>
      </c>
      <c r="AJ10351">
        <v>12.0654</v>
      </c>
      <c r="AK10351">
        <v>68.469880000000003</v>
      </c>
    </row>
    <row r="10352" spans="1:37" x14ac:dyDescent="0.3">
      <c r="A10352">
        <v>10351</v>
      </c>
      <c r="B10352">
        <v>65</v>
      </c>
      <c r="C10352">
        <v>15.271100000000001</v>
      </c>
      <c r="D10352">
        <v>10.339700000000001</v>
      </c>
      <c r="E10352" t="s">
        <v>15639</v>
      </c>
      <c r="F10352" t="s">
        <v>15640</v>
      </c>
      <c r="G10352" t="s">
        <v>39</v>
      </c>
      <c r="H10352">
        <v>1995</v>
      </c>
      <c r="I10352">
        <v>28</v>
      </c>
      <c r="J10352">
        <v>13.6</v>
      </c>
      <c r="K10352">
        <v>62</v>
      </c>
      <c r="L10352">
        <v>19.8</v>
      </c>
      <c r="M10352">
        <v>39.200000000000003</v>
      </c>
      <c r="N10352">
        <v>17.399999999999999</v>
      </c>
      <c r="O10352">
        <v>21.8</v>
      </c>
      <c r="P10352">
        <v>26.3</v>
      </c>
      <c r="Q10352">
        <v>26.5</v>
      </c>
      <c r="R10352">
        <v>31</v>
      </c>
      <c r="S10352">
        <v>26.3</v>
      </c>
      <c r="T10352">
        <v>768</v>
      </c>
      <c r="U10352">
        <v>235</v>
      </c>
      <c r="V10352">
        <v>0</v>
      </c>
      <c r="W10352">
        <v>121</v>
      </c>
      <c r="X10352">
        <v>553</v>
      </c>
      <c r="Y10352">
        <v>0</v>
      </c>
      <c r="Z10352">
        <v>82</v>
      </c>
      <c r="AA10352">
        <v>553</v>
      </c>
      <c r="AB10352">
        <v>8.527234</v>
      </c>
      <c r="AC10352">
        <v>8.4549780000000001E-3</v>
      </c>
      <c r="AD10352">
        <v>0.69025259999999999</v>
      </c>
      <c r="AE10352">
        <v>0.68602750000000001</v>
      </c>
      <c r="AF10352">
        <v>330.1798</v>
      </c>
      <c r="AG10352">
        <f>IFERROR(AH10352*0.1, "N/A")</f>
        <v>5.789041000000001</v>
      </c>
      <c r="AH10352">
        <v>57.890410000000003</v>
      </c>
      <c r="AI10352">
        <v>81.629630000000006</v>
      </c>
      <c r="AJ10352">
        <v>18.856159999999999</v>
      </c>
      <c r="AK10352">
        <v>57.089039999999997</v>
      </c>
    </row>
    <row r="10353" spans="1:37" x14ac:dyDescent="0.3">
      <c r="A10353">
        <v>10352</v>
      </c>
      <c r="B10353">
        <v>46</v>
      </c>
      <c r="C10353">
        <v>15.241</v>
      </c>
      <c r="D10353">
        <v>10.343</v>
      </c>
      <c r="E10353" t="s">
        <v>15641</v>
      </c>
      <c r="F10353" t="s">
        <v>15642</v>
      </c>
      <c r="G10353" t="s">
        <v>39</v>
      </c>
      <c r="H10353">
        <v>1987</v>
      </c>
      <c r="I10353">
        <v>28</v>
      </c>
      <c r="J10353">
        <v>13.6</v>
      </c>
      <c r="K10353">
        <v>62</v>
      </c>
      <c r="L10353">
        <v>19.889759999999999</v>
      </c>
      <c r="M10353">
        <v>39.200000000000003</v>
      </c>
      <c r="N10353">
        <v>17.49879</v>
      </c>
      <c r="O10353">
        <v>21.70121</v>
      </c>
      <c r="P10353">
        <v>26.3</v>
      </c>
      <c r="Q10353">
        <v>26.5</v>
      </c>
      <c r="R10353">
        <v>31.098790000000001</v>
      </c>
      <c r="S10353">
        <v>26.3</v>
      </c>
      <c r="T10353">
        <v>769</v>
      </c>
      <c r="U10353">
        <v>235</v>
      </c>
      <c r="V10353">
        <v>0</v>
      </c>
      <c r="W10353">
        <v>122</v>
      </c>
      <c r="X10353">
        <v>554</v>
      </c>
      <c r="Y10353">
        <v>0</v>
      </c>
      <c r="Z10353">
        <v>81</v>
      </c>
      <c r="AA10353">
        <v>554</v>
      </c>
      <c r="AB10353">
        <v>4.0844839999999998</v>
      </c>
      <c r="AC10353">
        <v>37.99438</v>
      </c>
      <c r="AD10353">
        <v>1.7546740000000001</v>
      </c>
      <c r="AE10353">
        <v>0.73300520000000002</v>
      </c>
      <c r="AF10353">
        <v>325.34140000000002</v>
      </c>
      <c r="AG10353">
        <f>IFERROR(AH10353*0.1, "N/A")</f>
        <v>5.9975860000000001</v>
      </c>
      <c r="AH10353">
        <v>59.975859999999997</v>
      </c>
      <c r="AI10353">
        <v>203.3271</v>
      </c>
      <c r="AJ10353">
        <v>27.28276</v>
      </c>
      <c r="AK10353">
        <v>50.434480000000001</v>
      </c>
    </row>
    <row r="10354" spans="1:37" x14ac:dyDescent="0.3">
      <c r="A10354">
        <v>10353</v>
      </c>
      <c r="B10354">
        <v>50</v>
      </c>
      <c r="C10354">
        <v>15.215</v>
      </c>
      <c r="D10354">
        <v>10.343299999999999</v>
      </c>
      <c r="E10354" t="s">
        <v>15643</v>
      </c>
      <c r="F10354" t="s">
        <v>15644</v>
      </c>
      <c r="G10354" t="s">
        <v>39</v>
      </c>
      <c r="H10354">
        <v>1995</v>
      </c>
      <c r="I10354">
        <v>28</v>
      </c>
      <c r="J10354">
        <v>13.6</v>
      </c>
      <c r="K10354">
        <v>62</v>
      </c>
      <c r="L10354">
        <v>19.88</v>
      </c>
      <c r="M10354">
        <v>39.200000000000003</v>
      </c>
      <c r="N10354">
        <v>17.5</v>
      </c>
      <c r="O10354">
        <v>21.7</v>
      </c>
      <c r="P10354">
        <v>26.3</v>
      </c>
      <c r="Q10354">
        <v>26.6</v>
      </c>
      <c r="R10354">
        <v>31.1</v>
      </c>
      <c r="S10354">
        <v>26.3</v>
      </c>
      <c r="T10354">
        <v>771</v>
      </c>
      <c r="U10354">
        <v>235</v>
      </c>
      <c r="V10354">
        <v>0</v>
      </c>
      <c r="W10354">
        <v>122</v>
      </c>
      <c r="X10354">
        <v>556</v>
      </c>
      <c r="Y10354">
        <v>0</v>
      </c>
      <c r="Z10354">
        <v>81</v>
      </c>
      <c r="AA10354">
        <v>556</v>
      </c>
      <c r="AB10354">
        <v>14.67032</v>
      </c>
      <c r="AC10354">
        <v>1.1456040000000001E-2</v>
      </c>
      <c r="AD10354">
        <v>3.5726399999999998</v>
      </c>
      <c r="AE10354">
        <v>0.62775559999999997</v>
      </c>
      <c r="AF10354">
        <v>340.68439999999998</v>
      </c>
      <c r="AG10354">
        <f>IFERROR(AH10354*0.1, "N/A")</f>
        <v>5.8883360000000007</v>
      </c>
      <c r="AH10354">
        <v>58.883360000000003</v>
      </c>
      <c r="AI10354">
        <v>260.64210000000003</v>
      </c>
      <c r="AJ10354">
        <v>13.68782</v>
      </c>
      <c r="AK10354">
        <v>70.662090000000006</v>
      </c>
    </row>
    <row r="10355" spans="1:37" x14ac:dyDescent="0.3">
      <c r="A10355">
        <v>10354</v>
      </c>
      <c r="B10355">
        <v>34</v>
      </c>
      <c r="C10355">
        <v>15.225</v>
      </c>
      <c r="D10355">
        <v>10.3444</v>
      </c>
      <c r="E10355" t="s">
        <v>15645</v>
      </c>
      <c r="F10355" t="s">
        <v>15646</v>
      </c>
      <c r="G10355" t="s">
        <v>39</v>
      </c>
      <c r="H10355">
        <v>1990</v>
      </c>
      <c r="I10355">
        <v>28</v>
      </c>
      <c r="J10355">
        <v>13.6</v>
      </c>
      <c r="K10355">
        <v>62</v>
      </c>
      <c r="L10355">
        <v>19.821950000000001</v>
      </c>
      <c r="M10355">
        <v>39.200000000000003</v>
      </c>
      <c r="N10355">
        <v>17.5</v>
      </c>
      <c r="O10355">
        <v>21.7</v>
      </c>
      <c r="P10355">
        <v>26.3</v>
      </c>
      <c r="Q10355">
        <v>26.5</v>
      </c>
      <c r="R10355">
        <v>31.1</v>
      </c>
      <c r="S10355">
        <v>26.3</v>
      </c>
      <c r="T10355">
        <v>770</v>
      </c>
      <c r="U10355">
        <v>235</v>
      </c>
      <c r="V10355">
        <v>0</v>
      </c>
      <c r="W10355">
        <v>122</v>
      </c>
      <c r="X10355">
        <v>555</v>
      </c>
      <c r="Y10355">
        <v>0</v>
      </c>
      <c r="Z10355">
        <v>81</v>
      </c>
      <c r="AA10355">
        <v>555</v>
      </c>
      <c r="AB10355">
        <v>9.7452089999999991</v>
      </c>
      <c r="AC10355">
        <v>1.015448E-2</v>
      </c>
      <c r="AD10355">
        <v>1.414229</v>
      </c>
      <c r="AE10355">
        <v>0.70663370000000003</v>
      </c>
      <c r="AF10355">
        <v>334.0856</v>
      </c>
      <c r="AG10355">
        <f>IFERROR(AH10355*0.1, "N/A")</f>
        <v>6.4825340000000002</v>
      </c>
      <c r="AH10355">
        <v>64.825339999999997</v>
      </c>
      <c r="AI10355">
        <v>273.62459999999999</v>
      </c>
      <c r="AJ10355">
        <v>27</v>
      </c>
      <c r="AK10355">
        <v>52.907530000000001</v>
      </c>
    </row>
    <row r="10356" spans="1:37" x14ac:dyDescent="0.3">
      <c r="A10356">
        <v>10355</v>
      </c>
      <c r="B10356">
        <v>0</v>
      </c>
      <c r="C10356">
        <v>15.225</v>
      </c>
      <c r="D10356">
        <v>10.3444</v>
      </c>
      <c r="E10356" t="s">
        <v>15645</v>
      </c>
      <c r="F10356" t="s">
        <v>15647</v>
      </c>
      <c r="G10356" t="s">
        <v>37</v>
      </c>
      <c r="H10356">
        <v>1990</v>
      </c>
      <c r="I10356">
        <v>28</v>
      </c>
      <c r="J10356">
        <v>13.6</v>
      </c>
      <c r="K10356">
        <v>62</v>
      </c>
      <c r="L10356">
        <v>19.821950000000001</v>
      </c>
      <c r="M10356">
        <v>39.200000000000003</v>
      </c>
      <c r="N10356">
        <v>17.5</v>
      </c>
      <c r="O10356">
        <v>21.7</v>
      </c>
      <c r="P10356">
        <v>26.3</v>
      </c>
      <c r="Q10356">
        <v>26.5</v>
      </c>
      <c r="R10356">
        <v>31.1</v>
      </c>
      <c r="S10356">
        <v>26.3</v>
      </c>
      <c r="T10356">
        <v>770</v>
      </c>
      <c r="U10356">
        <v>235</v>
      </c>
      <c r="V10356">
        <v>0</v>
      </c>
      <c r="W10356">
        <v>122</v>
      </c>
      <c r="X10356">
        <v>555</v>
      </c>
      <c r="Y10356">
        <v>0</v>
      </c>
      <c r="Z10356">
        <v>81</v>
      </c>
      <c r="AA10356">
        <v>555</v>
      </c>
      <c r="AB10356">
        <v>9.7452089999999991</v>
      </c>
      <c r="AC10356">
        <v>1.015448E-2</v>
      </c>
      <c r="AD10356">
        <v>1.414229</v>
      </c>
      <c r="AE10356">
        <v>0.70663370000000003</v>
      </c>
      <c r="AF10356">
        <v>334.0856</v>
      </c>
      <c r="AG10356">
        <f>IFERROR(AH10356*0.1, "N/A")</f>
        <v>6.4825340000000002</v>
      </c>
      <c r="AH10356">
        <v>64.825339999999997</v>
      </c>
      <c r="AI10356">
        <v>273.62459999999999</v>
      </c>
      <c r="AJ10356">
        <v>27</v>
      </c>
      <c r="AK10356">
        <v>52.907530000000001</v>
      </c>
    </row>
    <row r="10357" spans="1:37" x14ac:dyDescent="0.3">
      <c r="A10357">
        <v>10356</v>
      </c>
      <c r="B10357">
        <v>0</v>
      </c>
      <c r="C10357">
        <v>15.225</v>
      </c>
      <c r="D10357">
        <v>10.3444</v>
      </c>
      <c r="E10357" t="s">
        <v>15645</v>
      </c>
      <c r="F10357" t="s">
        <v>15648</v>
      </c>
      <c r="G10357" t="s">
        <v>2420</v>
      </c>
      <c r="H10357">
        <v>1990</v>
      </c>
      <c r="I10357">
        <v>28</v>
      </c>
      <c r="J10357">
        <v>13.6</v>
      </c>
      <c r="K10357">
        <v>62</v>
      </c>
      <c r="L10357">
        <v>19.821950000000001</v>
      </c>
      <c r="M10357">
        <v>39.200000000000003</v>
      </c>
      <c r="N10357">
        <v>17.5</v>
      </c>
      <c r="O10357">
        <v>21.7</v>
      </c>
      <c r="P10357">
        <v>26.3</v>
      </c>
      <c r="Q10357">
        <v>26.5</v>
      </c>
      <c r="R10357">
        <v>31.1</v>
      </c>
      <c r="S10357">
        <v>26.3</v>
      </c>
      <c r="T10357">
        <v>770</v>
      </c>
      <c r="U10357">
        <v>235</v>
      </c>
      <c r="V10357">
        <v>0</v>
      </c>
      <c r="W10357">
        <v>122</v>
      </c>
      <c r="X10357">
        <v>555</v>
      </c>
      <c r="Y10357">
        <v>0</v>
      </c>
      <c r="Z10357">
        <v>81</v>
      </c>
      <c r="AA10357">
        <v>555</v>
      </c>
      <c r="AB10357">
        <v>9.7452089999999991</v>
      </c>
      <c r="AC10357">
        <v>1.015448E-2</v>
      </c>
      <c r="AD10357">
        <v>1.414229</v>
      </c>
      <c r="AE10357">
        <v>0.70663370000000003</v>
      </c>
      <c r="AF10357">
        <v>334.0856</v>
      </c>
      <c r="AG10357">
        <f>IFERROR(AH10357*0.1, "N/A")</f>
        <v>6.4825340000000002</v>
      </c>
      <c r="AH10357">
        <v>64.825339999999997</v>
      </c>
      <c r="AI10357">
        <v>273.62459999999999</v>
      </c>
      <c r="AJ10357">
        <v>27</v>
      </c>
      <c r="AK10357">
        <v>52.907530000000001</v>
      </c>
    </row>
    <row r="10358" spans="1:37" x14ac:dyDescent="0.3">
      <c r="A10358">
        <v>10357</v>
      </c>
      <c r="B10358">
        <v>57.5</v>
      </c>
      <c r="C10358">
        <v>15.2285</v>
      </c>
      <c r="D10358">
        <v>10.3444</v>
      </c>
      <c r="E10358" t="s">
        <v>15649</v>
      </c>
      <c r="F10358" t="s">
        <v>15650</v>
      </c>
      <c r="G10358" t="s">
        <v>39</v>
      </c>
      <c r="H10358">
        <v>1995</v>
      </c>
      <c r="I10358">
        <v>28</v>
      </c>
      <c r="J10358">
        <v>13.6</v>
      </c>
      <c r="K10358">
        <v>62</v>
      </c>
      <c r="L10358">
        <v>19.82</v>
      </c>
      <c r="M10358">
        <v>39.200000000000003</v>
      </c>
      <c r="N10358">
        <v>17.5</v>
      </c>
      <c r="O10358">
        <v>21.7</v>
      </c>
      <c r="P10358">
        <v>26.3</v>
      </c>
      <c r="Q10358">
        <v>26.5</v>
      </c>
      <c r="R10358">
        <v>31.1</v>
      </c>
      <c r="S10358">
        <v>26.3</v>
      </c>
      <c r="T10358">
        <v>770</v>
      </c>
      <c r="U10358">
        <v>235</v>
      </c>
      <c r="V10358">
        <v>0</v>
      </c>
      <c r="W10358">
        <v>122</v>
      </c>
      <c r="X10358">
        <v>555</v>
      </c>
      <c r="Y10358">
        <v>0</v>
      </c>
      <c r="Z10358">
        <v>81</v>
      </c>
      <c r="AA10358">
        <v>555</v>
      </c>
      <c r="AB10358">
        <v>9.0873390000000001</v>
      </c>
      <c r="AC10358">
        <v>2.4874960000000002E-2</v>
      </c>
      <c r="AD10358">
        <v>2.0107170000000001</v>
      </c>
      <c r="AE10358">
        <v>0.72236480000000003</v>
      </c>
      <c r="AF10358">
        <v>329.54969999999997</v>
      </c>
      <c r="AG10358">
        <f>IFERROR(AH10358*0.1, "N/A")</f>
        <v>6.1205480000000003</v>
      </c>
      <c r="AH10358">
        <v>61.205480000000001</v>
      </c>
      <c r="AI10358">
        <v>18.879100000000001</v>
      </c>
      <c r="AJ10358">
        <v>26.29795</v>
      </c>
      <c r="AK10358">
        <v>51.924660000000003</v>
      </c>
    </row>
    <row r="10359" spans="1:37" x14ac:dyDescent="0.3">
      <c r="A10359">
        <v>10358</v>
      </c>
      <c r="B10359">
        <v>43.2</v>
      </c>
      <c r="C10359">
        <v>15.2379</v>
      </c>
      <c r="D10359">
        <v>10.347799999999999</v>
      </c>
      <c r="E10359" t="s">
        <v>15651</v>
      </c>
      <c r="F10359" t="s">
        <v>15652</v>
      </c>
      <c r="G10359" t="s">
        <v>39</v>
      </c>
      <c r="H10359">
        <v>1995</v>
      </c>
      <c r="I10359">
        <v>28</v>
      </c>
      <c r="J10359">
        <v>13.6</v>
      </c>
      <c r="K10359">
        <v>62</v>
      </c>
      <c r="L10359">
        <v>19.89</v>
      </c>
      <c r="M10359">
        <v>39.200000000000003</v>
      </c>
      <c r="N10359">
        <v>17.5</v>
      </c>
      <c r="O10359">
        <v>21.7</v>
      </c>
      <c r="P10359">
        <v>26.3</v>
      </c>
      <c r="Q10359">
        <v>26.5</v>
      </c>
      <c r="R10359">
        <v>31.1</v>
      </c>
      <c r="S10359">
        <v>26.3</v>
      </c>
      <c r="T10359">
        <v>769</v>
      </c>
      <c r="U10359">
        <v>235</v>
      </c>
      <c r="V10359">
        <v>0</v>
      </c>
      <c r="W10359">
        <v>122</v>
      </c>
      <c r="X10359">
        <v>554</v>
      </c>
      <c r="Y10359">
        <v>0</v>
      </c>
      <c r="Z10359">
        <v>81</v>
      </c>
      <c r="AA10359">
        <v>554</v>
      </c>
      <c r="AB10359">
        <v>7.9180510000000002</v>
      </c>
      <c r="AC10359">
        <v>8.6861569999999999E-3</v>
      </c>
      <c r="AD10359">
        <v>2.9090060000000002</v>
      </c>
      <c r="AE10359">
        <v>0.73246169999999999</v>
      </c>
      <c r="AF10359">
        <v>334.77319999999997</v>
      </c>
      <c r="AG10359">
        <f>IFERROR(AH10359*0.1, "N/A")</f>
        <v>5.9065289999999999</v>
      </c>
      <c r="AH10359">
        <v>59.065289999999997</v>
      </c>
      <c r="AI10359">
        <v>153.35409999999999</v>
      </c>
      <c r="AJ10359">
        <v>19.96735</v>
      </c>
      <c r="AK10359">
        <v>59.097940000000001</v>
      </c>
    </row>
    <row r="10360" spans="1:37" x14ac:dyDescent="0.3">
      <c r="A10360">
        <v>10359</v>
      </c>
      <c r="B10360">
        <v>20.7</v>
      </c>
      <c r="C10360">
        <v>13.55</v>
      </c>
      <c r="D10360">
        <v>10.35</v>
      </c>
      <c r="E10360" t="s">
        <v>15653</v>
      </c>
      <c r="F10360" t="s">
        <v>15654</v>
      </c>
      <c r="G10360" t="s">
        <v>39</v>
      </c>
      <c r="H10360">
        <v>1990</v>
      </c>
      <c r="I10360">
        <v>24.09845</v>
      </c>
      <c r="J10360">
        <v>13.6</v>
      </c>
      <c r="K10360">
        <v>64</v>
      </c>
      <c r="L10360">
        <v>18.411930000000002</v>
      </c>
      <c r="M10360">
        <v>35.263509999999997</v>
      </c>
      <c r="N10360">
        <v>14.09845</v>
      </c>
      <c r="O10360">
        <v>21.16506</v>
      </c>
      <c r="P10360">
        <v>22.446300000000001</v>
      </c>
      <c r="Q10360">
        <v>22.90654</v>
      </c>
      <c r="R10360">
        <v>26.963509999999999</v>
      </c>
      <c r="S10360">
        <v>22.446300000000001</v>
      </c>
      <c r="T10360">
        <v>975.91740000000004</v>
      </c>
      <c r="U10360">
        <v>274.39760000000001</v>
      </c>
      <c r="V10360">
        <v>0</v>
      </c>
      <c r="W10360">
        <v>112.6506</v>
      </c>
      <c r="X10360">
        <v>654.6816</v>
      </c>
      <c r="Y10360">
        <v>1</v>
      </c>
      <c r="Z10360">
        <v>135.8382</v>
      </c>
      <c r="AA10360">
        <v>654.6816</v>
      </c>
      <c r="AB10360">
        <v>120.5291</v>
      </c>
      <c r="AC10360">
        <v>1.4086700000000001E-2</v>
      </c>
      <c r="AD10360">
        <v>26.19266</v>
      </c>
      <c r="AE10360">
        <v>0.57742910000000003</v>
      </c>
      <c r="AF10360">
        <v>869.43550000000005</v>
      </c>
      <c r="AG10360">
        <f>IFERROR(AH10360*0.1, "N/A")</f>
        <v>6.2567990000000009</v>
      </c>
      <c r="AH10360">
        <v>62.567990000000002</v>
      </c>
      <c r="AI10360">
        <v>251.10300000000001</v>
      </c>
      <c r="AJ10360">
        <v>25.349399999999999</v>
      </c>
      <c r="AK10360">
        <v>50.478490000000001</v>
      </c>
    </row>
    <row r="10361" spans="1:37" x14ac:dyDescent="0.3">
      <c r="A10361">
        <v>10360</v>
      </c>
      <c r="B10361">
        <v>23</v>
      </c>
      <c r="C10361">
        <v>13.55</v>
      </c>
      <c r="D10361">
        <v>10.35</v>
      </c>
      <c r="E10361" t="s">
        <v>15653</v>
      </c>
      <c r="F10361" t="s">
        <v>15655</v>
      </c>
      <c r="G10361" t="s">
        <v>37</v>
      </c>
      <c r="H10361">
        <v>1990</v>
      </c>
      <c r="I10361">
        <v>24.09845</v>
      </c>
      <c r="J10361">
        <v>13.6</v>
      </c>
      <c r="K10361">
        <v>64</v>
      </c>
      <c r="L10361">
        <v>18.411930000000002</v>
      </c>
      <c r="M10361">
        <v>35.263509999999997</v>
      </c>
      <c r="N10361">
        <v>14.09845</v>
      </c>
      <c r="O10361">
        <v>21.16506</v>
      </c>
      <c r="P10361">
        <v>22.446300000000001</v>
      </c>
      <c r="Q10361">
        <v>22.90654</v>
      </c>
      <c r="R10361">
        <v>26.963509999999999</v>
      </c>
      <c r="S10361">
        <v>22.446300000000001</v>
      </c>
      <c r="T10361">
        <v>975.91740000000004</v>
      </c>
      <c r="U10361">
        <v>274.39760000000001</v>
      </c>
      <c r="V10361">
        <v>0</v>
      </c>
      <c r="W10361">
        <v>112.6506</v>
      </c>
      <c r="X10361">
        <v>654.6816</v>
      </c>
      <c r="Y10361">
        <v>1</v>
      </c>
      <c r="Z10361">
        <v>135.8382</v>
      </c>
      <c r="AA10361">
        <v>654.6816</v>
      </c>
      <c r="AB10361">
        <v>120.5291</v>
      </c>
      <c r="AC10361">
        <v>1.4086700000000001E-2</v>
      </c>
      <c r="AD10361">
        <v>26.19266</v>
      </c>
      <c r="AE10361">
        <v>0.57742910000000003</v>
      </c>
      <c r="AF10361">
        <v>869.43550000000005</v>
      </c>
      <c r="AG10361">
        <f>IFERROR(AH10361*0.1, "N/A")</f>
        <v>6.2567990000000009</v>
      </c>
      <c r="AH10361">
        <v>62.567990000000002</v>
      </c>
      <c r="AI10361">
        <v>251.10300000000001</v>
      </c>
      <c r="AJ10361">
        <v>25.349399999999999</v>
      </c>
      <c r="AK10361">
        <v>50.478490000000001</v>
      </c>
    </row>
    <row r="10362" spans="1:37" x14ac:dyDescent="0.3">
      <c r="A10362">
        <v>10361</v>
      </c>
      <c r="B10362">
        <v>0</v>
      </c>
      <c r="C10362">
        <v>13.55</v>
      </c>
      <c r="D10362">
        <v>10.35</v>
      </c>
      <c r="E10362" t="s">
        <v>15653</v>
      </c>
      <c r="F10362" t="s">
        <v>15656</v>
      </c>
      <c r="G10362" t="s">
        <v>2420</v>
      </c>
      <c r="H10362">
        <v>1990</v>
      </c>
      <c r="I10362">
        <v>24.09845</v>
      </c>
      <c r="J10362">
        <v>13.6</v>
      </c>
      <c r="K10362">
        <v>64</v>
      </c>
      <c r="L10362">
        <v>18.411930000000002</v>
      </c>
      <c r="M10362">
        <v>35.263509999999997</v>
      </c>
      <c r="N10362">
        <v>14.09845</v>
      </c>
      <c r="O10362">
        <v>21.16506</v>
      </c>
      <c r="P10362">
        <v>22.446300000000001</v>
      </c>
      <c r="Q10362">
        <v>22.90654</v>
      </c>
      <c r="R10362">
        <v>26.963509999999999</v>
      </c>
      <c r="S10362">
        <v>22.446300000000001</v>
      </c>
      <c r="T10362">
        <v>975.91740000000004</v>
      </c>
      <c r="U10362">
        <v>274.39760000000001</v>
      </c>
      <c r="V10362">
        <v>0</v>
      </c>
      <c r="W10362">
        <v>112.6506</v>
      </c>
      <c r="X10362">
        <v>654.6816</v>
      </c>
      <c r="Y10362">
        <v>1</v>
      </c>
      <c r="Z10362">
        <v>135.8382</v>
      </c>
      <c r="AA10362">
        <v>654.6816</v>
      </c>
      <c r="AB10362">
        <v>120.5291</v>
      </c>
      <c r="AC10362">
        <v>1.4086700000000001E-2</v>
      </c>
      <c r="AD10362">
        <v>26.19266</v>
      </c>
      <c r="AE10362">
        <v>0.57742910000000003</v>
      </c>
      <c r="AF10362">
        <v>869.43550000000005</v>
      </c>
      <c r="AG10362">
        <f>IFERROR(AH10362*0.1, "N/A")</f>
        <v>6.2567990000000009</v>
      </c>
      <c r="AH10362">
        <v>62.567990000000002</v>
      </c>
      <c r="AI10362">
        <v>251.10300000000001</v>
      </c>
      <c r="AJ10362">
        <v>25.349399999999999</v>
      </c>
      <c r="AK10362">
        <v>50.478490000000001</v>
      </c>
    </row>
    <row r="10363" spans="1:37" x14ac:dyDescent="0.3">
      <c r="A10363">
        <v>10362</v>
      </c>
      <c r="B10363">
        <v>72.5</v>
      </c>
      <c r="C10363">
        <v>15.2257</v>
      </c>
      <c r="D10363">
        <v>10.360799999999999</v>
      </c>
      <c r="E10363" t="s">
        <v>15657</v>
      </c>
      <c r="F10363" t="s">
        <v>15658</v>
      </c>
      <c r="G10363" t="s">
        <v>39</v>
      </c>
      <c r="H10363">
        <v>1995</v>
      </c>
      <c r="I10363">
        <v>28</v>
      </c>
      <c r="J10363">
        <v>13.6</v>
      </c>
      <c r="K10363">
        <v>62</v>
      </c>
      <c r="L10363">
        <v>19.920000000000002</v>
      </c>
      <c r="M10363">
        <v>39.200000000000003</v>
      </c>
      <c r="N10363">
        <v>17.5</v>
      </c>
      <c r="O10363">
        <v>21.7</v>
      </c>
      <c r="P10363">
        <v>26.3</v>
      </c>
      <c r="Q10363">
        <v>26.6</v>
      </c>
      <c r="R10363">
        <v>31.1</v>
      </c>
      <c r="S10363">
        <v>26.3</v>
      </c>
      <c r="T10363">
        <v>766</v>
      </c>
      <c r="U10363">
        <v>234</v>
      </c>
      <c r="V10363">
        <v>0</v>
      </c>
      <c r="W10363">
        <v>123</v>
      </c>
      <c r="X10363">
        <v>553</v>
      </c>
      <c r="Y10363">
        <v>0</v>
      </c>
      <c r="Z10363">
        <v>80</v>
      </c>
      <c r="AA10363">
        <v>553</v>
      </c>
      <c r="AB10363">
        <v>5.3464140000000002</v>
      </c>
      <c r="AC10363">
        <v>3.4190360000000003E-2</v>
      </c>
      <c r="AD10363">
        <v>2.1566559999999999</v>
      </c>
      <c r="AE10363">
        <v>0.73807780000000001</v>
      </c>
      <c r="AF10363">
        <v>330.98630000000003</v>
      </c>
      <c r="AG10363">
        <f>IFERROR(AH10363*0.1, "N/A")</f>
        <v>5.7</v>
      </c>
      <c r="AH10363">
        <v>57</v>
      </c>
      <c r="AI10363">
        <v>139.0558</v>
      </c>
      <c r="AJ10363">
        <v>15</v>
      </c>
      <c r="AK10363">
        <v>66</v>
      </c>
    </row>
    <row r="10364" spans="1:37" x14ac:dyDescent="0.3">
      <c r="A10364">
        <v>10363</v>
      </c>
      <c r="B10364">
        <v>54.8</v>
      </c>
      <c r="C10364">
        <v>14.7667</v>
      </c>
      <c r="D10364">
        <v>10.3611</v>
      </c>
      <c r="E10364" t="s">
        <v>15659</v>
      </c>
      <c r="F10364" t="s">
        <v>15660</v>
      </c>
      <c r="G10364" t="s">
        <v>39</v>
      </c>
      <c r="H10364">
        <v>1990</v>
      </c>
      <c r="I10364">
        <v>28.3</v>
      </c>
      <c r="J10364">
        <v>13.4</v>
      </c>
      <c r="K10364">
        <v>62</v>
      </c>
      <c r="L10364">
        <v>21.08</v>
      </c>
      <c r="M10364">
        <v>39.799999999999997</v>
      </c>
      <c r="N10364">
        <v>18.2</v>
      </c>
      <c r="O10364">
        <v>21.6</v>
      </c>
      <c r="P10364">
        <v>26.4</v>
      </c>
      <c r="Q10364">
        <v>26.8</v>
      </c>
      <c r="R10364">
        <v>31.5</v>
      </c>
      <c r="S10364">
        <v>26.4</v>
      </c>
      <c r="T10364">
        <v>786.32470000000001</v>
      </c>
      <c r="U10364">
        <v>237</v>
      </c>
      <c r="V10364">
        <v>0</v>
      </c>
      <c r="W10364">
        <v>122</v>
      </c>
      <c r="X10364">
        <v>570</v>
      </c>
      <c r="Y10364">
        <v>0</v>
      </c>
      <c r="Z10364">
        <v>82</v>
      </c>
      <c r="AA10364">
        <v>570</v>
      </c>
      <c r="AB10364">
        <v>0.30223080000000002</v>
      </c>
      <c r="AC10364">
        <v>2.5557509999999999</v>
      </c>
      <c r="AD10364">
        <v>1.583504</v>
      </c>
      <c r="AE10364">
        <v>0.69060759999999999</v>
      </c>
      <c r="AF10364">
        <v>341.5326</v>
      </c>
      <c r="AG10364">
        <f>IFERROR(AH10364*0.1, "N/A")</f>
        <v>6.0675260000000009</v>
      </c>
      <c r="AH10364">
        <v>60.675260000000002</v>
      </c>
      <c r="AI10364">
        <v>91.555620000000005</v>
      </c>
      <c r="AJ10364">
        <v>17</v>
      </c>
      <c r="AK10364">
        <v>64.324740000000006</v>
      </c>
    </row>
    <row r="10365" spans="1:37" x14ac:dyDescent="0.3">
      <c r="A10365">
        <v>10364</v>
      </c>
      <c r="B10365">
        <v>0</v>
      </c>
      <c r="C10365">
        <v>14.7667</v>
      </c>
      <c r="D10365">
        <v>10.3611</v>
      </c>
      <c r="E10365" t="s">
        <v>15659</v>
      </c>
      <c r="F10365" t="s">
        <v>15661</v>
      </c>
      <c r="G10365" t="s">
        <v>37</v>
      </c>
      <c r="H10365">
        <v>1990</v>
      </c>
      <c r="I10365">
        <v>28.3</v>
      </c>
      <c r="J10365">
        <v>13.4</v>
      </c>
      <c r="K10365">
        <v>62</v>
      </c>
      <c r="L10365">
        <v>21.08</v>
      </c>
      <c r="M10365">
        <v>39.799999999999997</v>
      </c>
      <c r="N10365">
        <v>18.2</v>
      </c>
      <c r="O10365">
        <v>21.6</v>
      </c>
      <c r="P10365">
        <v>26.4</v>
      </c>
      <c r="Q10365">
        <v>26.8</v>
      </c>
      <c r="R10365">
        <v>31.5</v>
      </c>
      <c r="S10365">
        <v>26.4</v>
      </c>
      <c r="T10365">
        <v>786.32470000000001</v>
      </c>
      <c r="U10365">
        <v>237</v>
      </c>
      <c r="V10365">
        <v>0</v>
      </c>
      <c r="W10365">
        <v>122</v>
      </c>
      <c r="X10365">
        <v>570</v>
      </c>
      <c r="Y10365">
        <v>0</v>
      </c>
      <c r="Z10365">
        <v>82</v>
      </c>
      <c r="AA10365">
        <v>570</v>
      </c>
      <c r="AB10365">
        <v>0.30223080000000002</v>
      </c>
      <c r="AC10365">
        <v>2.5557509999999999</v>
      </c>
      <c r="AD10365">
        <v>1.583504</v>
      </c>
      <c r="AE10365">
        <v>0.69060759999999999</v>
      </c>
      <c r="AF10365">
        <v>341.5326</v>
      </c>
      <c r="AG10365">
        <f>IFERROR(AH10365*0.1, "N/A")</f>
        <v>6.0675260000000009</v>
      </c>
      <c r="AH10365">
        <v>60.675260000000002</v>
      </c>
      <c r="AI10365">
        <v>91.555620000000005</v>
      </c>
      <c r="AJ10365">
        <v>17</v>
      </c>
      <c r="AK10365">
        <v>64.324740000000006</v>
      </c>
    </row>
    <row r="10366" spans="1:37" x14ac:dyDescent="0.3">
      <c r="A10366">
        <v>10365</v>
      </c>
      <c r="B10366">
        <v>0</v>
      </c>
      <c r="C10366">
        <v>14.7667</v>
      </c>
      <c r="D10366">
        <v>10.3611</v>
      </c>
      <c r="E10366" t="s">
        <v>15659</v>
      </c>
      <c r="F10366" t="s">
        <v>15662</v>
      </c>
      <c r="G10366" t="s">
        <v>2420</v>
      </c>
      <c r="H10366">
        <v>1990</v>
      </c>
      <c r="I10366">
        <v>28.3</v>
      </c>
      <c r="J10366">
        <v>13.4</v>
      </c>
      <c r="K10366">
        <v>62</v>
      </c>
      <c r="L10366">
        <v>21.08</v>
      </c>
      <c r="M10366">
        <v>39.799999999999997</v>
      </c>
      <c r="N10366">
        <v>18.2</v>
      </c>
      <c r="O10366">
        <v>21.6</v>
      </c>
      <c r="P10366">
        <v>26.4</v>
      </c>
      <c r="Q10366">
        <v>26.8</v>
      </c>
      <c r="R10366">
        <v>31.5</v>
      </c>
      <c r="S10366">
        <v>26.4</v>
      </c>
      <c r="T10366">
        <v>786.32470000000001</v>
      </c>
      <c r="U10366">
        <v>237</v>
      </c>
      <c r="V10366">
        <v>0</v>
      </c>
      <c r="W10366">
        <v>122</v>
      </c>
      <c r="X10366">
        <v>570</v>
      </c>
      <c r="Y10366">
        <v>0</v>
      </c>
      <c r="Z10366">
        <v>82</v>
      </c>
      <c r="AA10366">
        <v>570</v>
      </c>
      <c r="AB10366">
        <v>0.30223080000000002</v>
      </c>
      <c r="AC10366">
        <v>2.5557509999999999</v>
      </c>
      <c r="AD10366">
        <v>1.583504</v>
      </c>
      <c r="AE10366">
        <v>0.69060759999999999</v>
      </c>
      <c r="AF10366">
        <v>341.5326</v>
      </c>
      <c r="AG10366">
        <f>IFERROR(AH10366*0.1, "N/A")</f>
        <v>6.0675260000000009</v>
      </c>
      <c r="AH10366">
        <v>60.675260000000002</v>
      </c>
      <c r="AI10366">
        <v>91.555620000000005</v>
      </c>
      <c r="AJ10366">
        <v>17</v>
      </c>
      <c r="AK10366">
        <v>64.324740000000006</v>
      </c>
    </row>
    <row r="10367" spans="1:37" x14ac:dyDescent="0.3">
      <c r="A10367">
        <v>10366</v>
      </c>
      <c r="B10367">
        <v>0</v>
      </c>
      <c r="C10367">
        <v>15.2188</v>
      </c>
      <c r="D10367">
        <v>10.373799999999999</v>
      </c>
      <c r="E10367" t="s">
        <v>15663</v>
      </c>
      <c r="F10367" t="s">
        <v>15664</v>
      </c>
      <c r="G10367" t="s">
        <v>37</v>
      </c>
      <c r="H10367">
        <v>1987</v>
      </c>
      <c r="I10367">
        <v>28.1</v>
      </c>
      <c r="J10367">
        <v>13.6</v>
      </c>
      <c r="K10367">
        <v>61</v>
      </c>
      <c r="L10367">
        <v>20.32</v>
      </c>
      <c r="M10367">
        <v>39.4</v>
      </c>
      <c r="N10367">
        <v>17.399999999999999</v>
      </c>
      <c r="O10367">
        <v>22</v>
      </c>
      <c r="P10367">
        <v>26.3</v>
      </c>
      <c r="Q10367">
        <v>26.5</v>
      </c>
      <c r="R10367">
        <v>31.2</v>
      </c>
      <c r="S10367">
        <v>26.3</v>
      </c>
      <c r="T10367">
        <v>765</v>
      </c>
      <c r="U10367">
        <v>234</v>
      </c>
      <c r="V10367">
        <v>0</v>
      </c>
      <c r="W10367">
        <v>123</v>
      </c>
      <c r="X10367">
        <v>553</v>
      </c>
      <c r="Y10367">
        <v>0</v>
      </c>
      <c r="Z10367">
        <v>80</v>
      </c>
      <c r="AA10367">
        <v>553</v>
      </c>
      <c r="AB10367">
        <v>2.2507009999999998</v>
      </c>
      <c r="AC10367">
        <v>1.3761900000000001E-2</v>
      </c>
      <c r="AD10367">
        <v>2.395562</v>
      </c>
      <c r="AE10367">
        <v>0.7110708</v>
      </c>
      <c r="AF10367">
        <v>321.82589999999999</v>
      </c>
      <c r="AG10367">
        <f>IFERROR(AH10367*0.1, "N/A")</f>
        <v>5.8560340000000002</v>
      </c>
      <c r="AH10367">
        <v>58.560339999999997</v>
      </c>
      <c r="AI10367">
        <v>134.46369999999999</v>
      </c>
      <c r="AJ10367">
        <v>18.608619999999998</v>
      </c>
      <c r="AK10367">
        <v>57.058619999999998</v>
      </c>
    </row>
    <row r="10368" spans="1:37" x14ac:dyDescent="0.3">
      <c r="A10368">
        <v>10367</v>
      </c>
      <c r="B10368">
        <v>0</v>
      </c>
      <c r="C10368">
        <v>15.15</v>
      </c>
      <c r="D10368">
        <v>10.384</v>
      </c>
      <c r="E10368" t="s">
        <v>15665</v>
      </c>
      <c r="F10368" t="s">
        <v>15666</v>
      </c>
      <c r="G10368" t="s">
        <v>37</v>
      </c>
      <c r="H10368">
        <v>1987</v>
      </c>
      <c r="I10368">
        <v>28.01859</v>
      </c>
      <c r="J10368">
        <v>13.6</v>
      </c>
      <c r="K10368">
        <v>62</v>
      </c>
      <c r="L10368">
        <v>20.191140000000001</v>
      </c>
      <c r="M10368">
        <v>39.31859</v>
      </c>
      <c r="N10368">
        <v>17.511880000000001</v>
      </c>
      <c r="O10368">
        <v>21.806709999999999</v>
      </c>
      <c r="P10368">
        <v>26.3</v>
      </c>
      <c r="Q10368">
        <v>26.51859</v>
      </c>
      <c r="R10368">
        <v>31.118590000000001</v>
      </c>
      <c r="S10368">
        <v>26.3</v>
      </c>
      <c r="T10368">
        <v>766.63509999999997</v>
      </c>
      <c r="U10368">
        <v>234.44919999999999</v>
      </c>
      <c r="V10368">
        <v>0</v>
      </c>
      <c r="W10368">
        <v>124</v>
      </c>
      <c r="X10368">
        <v>555.44920000000002</v>
      </c>
      <c r="Y10368">
        <v>0</v>
      </c>
      <c r="Z10368">
        <v>79.185890000000001</v>
      </c>
      <c r="AA10368">
        <v>555.44920000000002</v>
      </c>
      <c r="AB10368">
        <v>8.4433830000000007</v>
      </c>
      <c r="AC10368">
        <v>4.4702020000000002E-2</v>
      </c>
      <c r="AD10368">
        <v>2.612816</v>
      </c>
      <c r="AE10368">
        <v>0.66662189999999999</v>
      </c>
      <c r="AF10368">
        <v>329.03440000000001</v>
      </c>
      <c r="AG10368">
        <f>IFERROR(AH10368*0.1, "N/A")</f>
        <v>5.9184170000000007</v>
      </c>
      <c r="AH10368">
        <v>59.184170000000002</v>
      </c>
      <c r="AI10368">
        <v>195.63409999999999</v>
      </c>
      <c r="AJ10368">
        <v>15.067130000000001</v>
      </c>
      <c r="AK10368">
        <v>66.490530000000007</v>
      </c>
    </row>
    <row r="10369" spans="1:37" x14ac:dyDescent="0.3">
      <c r="A10369">
        <v>10368</v>
      </c>
      <c r="B10369">
        <v>91.3</v>
      </c>
      <c r="C10369">
        <v>15.2538</v>
      </c>
      <c r="D10369">
        <v>10.384600000000001</v>
      </c>
      <c r="E10369" t="s">
        <v>15667</v>
      </c>
      <c r="F10369" t="s">
        <v>15668</v>
      </c>
      <c r="G10369" t="s">
        <v>39</v>
      </c>
      <c r="H10369">
        <v>1995</v>
      </c>
      <c r="I10369">
        <v>28.1</v>
      </c>
      <c r="J10369">
        <v>13.7</v>
      </c>
      <c r="K10369">
        <v>62</v>
      </c>
      <c r="L10369">
        <v>20.48</v>
      </c>
      <c r="M10369">
        <v>39.4</v>
      </c>
      <c r="N10369">
        <v>17.399999999999999</v>
      </c>
      <c r="O10369">
        <v>22</v>
      </c>
      <c r="P10369">
        <v>26.3</v>
      </c>
      <c r="Q10369">
        <v>26.5</v>
      </c>
      <c r="R10369">
        <v>31.2</v>
      </c>
      <c r="S10369">
        <v>26.3</v>
      </c>
      <c r="T10369">
        <v>761</v>
      </c>
      <c r="U10369">
        <v>233</v>
      </c>
      <c r="V10369">
        <v>0</v>
      </c>
      <c r="W10369">
        <v>123</v>
      </c>
      <c r="X10369">
        <v>550</v>
      </c>
      <c r="Y10369">
        <v>0</v>
      </c>
      <c r="Z10369">
        <v>79</v>
      </c>
      <c r="AA10369">
        <v>550</v>
      </c>
      <c r="AB10369">
        <v>0.32623150000000001</v>
      </c>
      <c r="AC10369">
        <v>8.3470820000000001E-2</v>
      </c>
      <c r="AD10369">
        <v>1.1567639999999999</v>
      </c>
      <c r="AE10369">
        <v>0.6778904</v>
      </c>
      <c r="AF10369">
        <v>321.34649999999999</v>
      </c>
      <c r="AG10369">
        <f>IFERROR(AH10369*0.1, "N/A")</f>
        <v>6.0701540000000005</v>
      </c>
      <c r="AH10369">
        <v>60.701540000000001</v>
      </c>
      <c r="AI10369">
        <v>129.93690000000001</v>
      </c>
      <c r="AJ10369">
        <v>27.11664</v>
      </c>
      <c r="AK10369">
        <v>49.773580000000003</v>
      </c>
    </row>
    <row r="10370" spans="1:37" x14ac:dyDescent="0.3">
      <c r="A10370">
        <v>10369</v>
      </c>
      <c r="B10370">
        <v>0.7</v>
      </c>
      <c r="C10370">
        <v>15.2735</v>
      </c>
      <c r="D10370">
        <v>10.3909</v>
      </c>
      <c r="E10370" t="s">
        <v>15669</v>
      </c>
      <c r="F10370" t="s">
        <v>15670</v>
      </c>
      <c r="G10370" t="s">
        <v>37</v>
      </c>
      <c r="H10370">
        <v>1987</v>
      </c>
      <c r="I10370">
        <v>28</v>
      </c>
      <c r="J10370">
        <v>13.7</v>
      </c>
      <c r="K10370">
        <v>62</v>
      </c>
      <c r="L10370">
        <v>20.310770000000002</v>
      </c>
      <c r="M10370">
        <v>39.299999999999997</v>
      </c>
      <c r="N10370">
        <v>17.3</v>
      </c>
      <c r="O10370">
        <v>22</v>
      </c>
      <c r="P10370">
        <v>26.3</v>
      </c>
      <c r="Q10370">
        <v>26.5</v>
      </c>
      <c r="R10370">
        <v>31.100860000000001</v>
      </c>
      <c r="S10370">
        <v>26.3</v>
      </c>
      <c r="T10370">
        <v>759</v>
      </c>
      <c r="U10370">
        <v>233</v>
      </c>
      <c r="V10370">
        <v>0</v>
      </c>
      <c r="W10370">
        <v>123</v>
      </c>
      <c r="X10370">
        <v>549</v>
      </c>
      <c r="Y10370">
        <v>0</v>
      </c>
      <c r="Z10370">
        <v>78</v>
      </c>
      <c r="AA10370">
        <v>549</v>
      </c>
      <c r="AB10370">
        <v>1.1676420000000001</v>
      </c>
      <c r="AC10370">
        <v>3.1236670000000001E-2</v>
      </c>
      <c r="AD10370">
        <v>1.8092900000000001</v>
      </c>
      <c r="AE10370">
        <v>0.50905290000000003</v>
      </c>
      <c r="AF10370">
        <v>323.5942</v>
      </c>
      <c r="AG10370">
        <f>IFERROR(AH10370*0.1, "N/A")</f>
        <v>6.1883560000000006</v>
      </c>
      <c r="AH10370">
        <v>61.883560000000003</v>
      </c>
      <c r="AI10370">
        <v>188.6969</v>
      </c>
      <c r="AJ10370">
        <v>32.859589999999997</v>
      </c>
      <c r="AK10370">
        <v>44.599319999999999</v>
      </c>
    </row>
    <row r="10371" spans="1:37" x14ac:dyDescent="0.3">
      <c r="A10371">
        <v>10370</v>
      </c>
      <c r="B10371">
        <v>85.7</v>
      </c>
      <c r="C10371">
        <v>15.2751</v>
      </c>
      <c r="D10371">
        <v>10.3942</v>
      </c>
      <c r="E10371" t="s">
        <v>15671</v>
      </c>
      <c r="F10371" t="s">
        <v>15672</v>
      </c>
      <c r="G10371" t="s">
        <v>39</v>
      </c>
      <c r="H10371">
        <v>1995</v>
      </c>
      <c r="I10371">
        <v>28.063970000000001</v>
      </c>
      <c r="J10371">
        <v>13.7</v>
      </c>
      <c r="K10371">
        <v>62</v>
      </c>
      <c r="L10371">
        <v>20.246479999999998</v>
      </c>
      <c r="M10371">
        <v>39.299999999999997</v>
      </c>
      <c r="N10371">
        <v>17.3</v>
      </c>
      <c r="O10371">
        <v>22</v>
      </c>
      <c r="P10371">
        <v>26.363959999999999</v>
      </c>
      <c r="Q10371">
        <v>26.5</v>
      </c>
      <c r="R10371">
        <v>31.2</v>
      </c>
      <c r="S10371">
        <v>26.363959999999999</v>
      </c>
      <c r="T10371">
        <v>757.72069999999997</v>
      </c>
      <c r="U10371">
        <v>233</v>
      </c>
      <c r="V10371">
        <v>0</v>
      </c>
      <c r="W10371">
        <v>122.3603</v>
      </c>
      <c r="X10371">
        <v>548.36030000000005</v>
      </c>
      <c r="Y10371">
        <v>0</v>
      </c>
      <c r="Z10371">
        <v>78</v>
      </c>
      <c r="AA10371">
        <v>548.36030000000005</v>
      </c>
      <c r="AB10371">
        <v>5.2503549999999999</v>
      </c>
      <c r="AC10371">
        <v>2.4491410000000002E-2</v>
      </c>
      <c r="AD10371">
        <v>1.2845679999999999</v>
      </c>
      <c r="AE10371">
        <v>0.50905290000000003</v>
      </c>
      <c r="AF10371">
        <v>324.09140000000002</v>
      </c>
      <c r="AG10371">
        <f>IFERROR(AH10371*0.1, "N/A")</f>
        <v>6</v>
      </c>
      <c r="AH10371">
        <v>60</v>
      </c>
      <c r="AI10371">
        <v>131.5351</v>
      </c>
      <c r="AJ10371">
        <v>33.83793</v>
      </c>
      <c r="AK10371">
        <v>43.801720000000003</v>
      </c>
    </row>
    <row r="10372" spans="1:37" x14ac:dyDescent="0.3">
      <c r="A10372">
        <v>10371</v>
      </c>
      <c r="B10372">
        <v>42.9</v>
      </c>
      <c r="C10372">
        <v>14.45</v>
      </c>
      <c r="D10372">
        <v>10.4</v>
      </c>
      <c r="E10372" t="s">
        <v>15673</v>
      </c>
      <c r="F10372" t="s">
        <v>15674</v>
      </c>
      <c r="G10372" t="s">
        <v>39</v>
      </c>
      <c r="H10372">
        <v>1990</v>
      </c>
      <c r="I10372">
        <v>28.449480000000001</v>
      </c>
      <c r="J10372">
        <v>13.4</v>
      </c>
      <c r="K10372">
        <v>62</v>
      </c>
      <c r="L10372">
        <v>21.23912</v>
      </c>
      <c r="M10372">
        <v>40.017699999999998</v>
      </c>
      <c r="N10372">
        <v>18.6921</v>
      </c>
      <c r="O10372">
        <v>21.325600000000001</v>
      </c>
      <c r="P10372">
        <v>26.4</v>
      </c>
      <c r="Q10372">
        <v>27.141580000000001</v>
      </c>
      <c r="R10372">
        <v>31.667179999999998</v>
      </c>
      <c r="S10372">
        <v>26.4</v>
      </c>
      <c r="T10372">
        <v>794.64599999999996</v>
      </c>
      <c r="U10372">
        <v>239</v>
      </c>
      <c r="V10372">
        <v>0</v>
      </c>
      <c r="W10372">
        <v>121</v>
      </c>
      <c r="X10372">
        <v>575.50519999999995</v>
      </c>
      <c r="Y10372">
        <v>0</v>
      </c>
      <c r="Z10372">
        <v>84.140889999999999</v>
      </c>
      <c r="AA10372">
        <v>575.50519999999995</v>
      </c>
      <c r="AB10372">
        <v>4.3267930000000003</v>
      </c>
      <c r="AC10372">
        <v>0.11161550000000001</v>
      </c>
      <c r="AD10372">
        <v>1.776713</v>
      </c>
      <c r="AE10372">
        <v>0.71925550000000005</v>
      </c>
      <c r="AF10372">
        <v>383.07389999999998</v>
      </c>
      <c r="AG10372">
        <f>IFERROR(AH10372*0.1, "N/A")</f>
        <v>6.6512029999999998</v>
      </c>
      <c r="AH10372">
        <v>66.512029999999996</v>
      </c>
      <c r="AI10372">
        <v>119.4288</v>
      </c>
      <c r="AJ10372">
        <v>18.512029999999999</v>
      </c>
      <c r="AK10372">
        <v>68</v>
      </c>
    </row>
    <row r="10373" spans="1:37" x14ac:dyDescent="0.3">
      <c r="A10373">
        <v>10372</v>
      </c>
      <c r="B10373">
        <v>1.6</v>
      </c>
      <c r="C10373">
        <v>14.45</v>
      </c>
      <c r="D10373">
        <v>10.4</v>
      </c>
      <c r="E10373" t="s">
        <v>15673</v>
      </c>
      <c r="F10373" t="s">
        <v>15675</v>
      </c>
      <c r="G10373" t="s">
        <v>37</v>
      </c>
      <c r="H10373">
        <v>1990</v>
      </c>
      <c r="I10373">
        <v>28.449480000000001</v>
      </c>
      <c r="J10373">
        <v>13.4</v>
      </c>
      <c r="K10373">
        <v>62</v>
      </c>
      <c r="L10373">
        <v>21.23912</v>
      </c>
      <c r="M10373">
        <v>40.017699999999998</v>
      </c>
      <c r="N10373">
        <v>18.6921</v>
      </c>
      <c r="O10373">
        <v>21.325600000000001</v>
      </c>
      <c r="P10373">
        <v>26.4</v>
      </c>
      <c r="Q10373">
        <v>27.141580000000001</v>
      </c>
      <c r="R10373">
        <v>31.667179999999998</v>
      </c>
      <c r="S10373">
        <v>26.4</v>
      </c>
      <c r="T10373">
        <v>794.64599999999996</v>
      </c>
      <c r="U10373">
        <v>239</v>
      </c>
      <c r="V10373">
        <v>0</v>
      </c>
      <c r="W10373">
        <v>121</v>
      </c>
      <c r="X10373">
        <v>575.50519999999995</v>
      </c>
      <c r="Y10373">
        <v>0</v>
      </c>
      <c r="Z10373">
        <v>84.140889999999999</v>
      </c>
      <c r="AA10373">
        <v>575.50519999999995</v>
      </c>
      <c r="AB10373">
        <v>4.3267930000000003</v>
      </c>
      <c r="AC10373">
        <v>0.11161550000000001</v>
      </c>
      <c r="AD10373">
        <v>1.776713</v>
      </c>
      <c r="AE10373">
        <v>0.71925550000000005</v>
      </c>
      <c r="AF10373">
        <v>383.07389999999998</v>
      </c>
      <c r="AG10373">
        <f>IFERROR(AH10373*0.1, "N/A")</f>
        <v>6.6512029999999998</v>
      </c>
      <c r="AH10373">
        <v>66.512029999999996</v>
      </c>
      <c r="AI10373">
        <v>119.4288</v>
      </c>
      <c r="AJ10373">
        <v>18.512029999999999</v>
      </c>
      <c r="AK10373">
        <v>68</v>
      </c>
    </row>
    <row r="10374" spans="1:37" x14ac:dyDescent="0.3">
      <c r="A10374">
        <v>10373</v>
      </c>
      <c r="B10374">
        <v>0</v>
      </c>
      <c r="C10374">
        <v>14.45</v>
      </c>
      <c r="D10374">
        <v>10.4</v>
      </c>
      <c r="E10374" t="s">
        <v>15673</v>
      </c>
      <c r="F10374" t="s">
        <v>15676</v>
      </c>
      <c r="G10374" t="s">
        <v>2420</v>
      </c>
      <c r="H10374">
        <v>1990</v>
      </c>
      <c r="I10374">
        <v>28.449480000000001</v>
      </c>
      <c r="J10374">
        <v>13.4</v>
      </c>
      <c r="K10374">
        <v>62</v>
      </c>
      <c r="L10374">
        <v>21.23912</v>
      </c>
      <c r="M10374">
        <v>40.017699999999998</v>
      </c>
      <c r="N10374">
        <v>18.6921</v>
      </c>
      <c r="O10374">
        <v>21.325600000000001</v>
      </c>
      <c r="P10374">
        <v>26.4</v>
      </c>
      <c r="Q10374">
        <v>27.141580000000001</v>
      </c>
      <c r="R10374">
        <v>31.667179999999998</v>
      </c>
      <c r="S10374">
        <v>26.4</v>
      </c>
      <c r="T10374">
        <v>794.64599999999996</v>
      </c>
      <c r="U10374">
        <v>239</v>
      </c>
      <c r="V10374">
        <v>0</v>
      </c>
      <c r="W10374">
        <v>121</v>
      </c>
      <c r="X10374">
        <v>575.50519999999995</v>
      </c>
      <c r="Y10374">
        <v>0</v>
      </c>
      <c r="Z10374">
        <v>84.140889999999999</v>
      </c>
      <c r="AA10374">
        <v>575.50519999999995</v>
      </c>
      <c r="AB10374">
        <v>4.3267930000000003</v>
      </c>
      <c r="AC10374">
        <v>0.11161550000000001</v>
      </c>
      <c r="AD10374">
        <v>1.776713</v>
      </c>
      <c r="AE10374">
        <v>0.71925550000000005</v>
      </c>
      <c r="AF10374">
        <v>383.07389999999998</v>
      </c>
      <c r="AG10374">
        <f>IFERROR(AH10374*0.1, "N/A")</f>
        <v>6.6512029999999998</v>
      </c>
      <c r="AH10374">
        <v>66.512029999999996</v>
      </c>
      <c r="AI10374">
        <v>119.4288</v>
      </c>
      <c r="AJ10374">
        <v>18.512029999999999</v>
      </c>
      <c r="AK10374">
        <v>68</v>
      </c>
    </row>
    <row r="10375" spans="1:37" x14ac:dyDescent="0.3">
      <c r="A10375">
        <v>10374</v>
      </c>
      <c r="B10375">
        <v>57</v>
      </c>
      <c r="C10375">
        <v>15.2494</v>
      </c>
      <c r="D10375">
        <v>10.402100000000001</v>
      </c>
      <c r="E10375" t="s">
        <v>15677</v>
      </c>
      <c r="F10375" t="s">
        <v>15678</v>
      </c>
      <c r="G10375" t="s">
        <v>39</v>
      </c>
      <c r="H10375">
        <v>1982</v>
      </c>
      <c r="I10375">
        <v>28.1</v>
      </c>
      <c r="J10375">
        <v>13.7</v>
      </c>
      <c r="K10375">
        <v>62</v>
      </c>
      <c r="L10375">
        <v>20.295780000000001</v>
      </c>
      <c r="M10375">
        <v>39.4</v>
      </c>
      <c r="N10375">
        <v>17.399999999999999</v>
      </c>
      <c r="O10375">
        <v>22</v>
      </c>
      <c r="P10375">
        <v>26.4</v>
      </c>
      <c r="Q10375">
        <v>26.5</v>
      </c>
      <c r="R10375">
        <v>31.2</v>
      </c>
      <c r="S10375">
        <v>26.4</v>
      </c>
      <c r="T10375">
        <v>758.81989999999996</v>
      </c>
      <c r="U10375">
        <v>233</v>
      </c>
      <c r="V10375">
        <v>0</v>
      </c>
      <c r="W10375">
        <v>123</v>
      </c>
      <c r="X10375">
        <v>549.81989999999996</v>
      </c>
      <c r="Y10375">
        <v>0</v>
      </c>
      <c r="Z10375">
        <v>78</v>
      </c>
      <c r="AA10375">
        <v>549.81989999999996</v>
      </c>
      <c r="AB10375">
        <v>2.474113</v>
      </c>
      <c r="AC10375">
        <v>8.6697849999999993E-3</v>
      </c>
      <c r="AD10375">
        <v>0.97559010000000002</v>
      </c>
      <c r="AE10375">
        <v>0.6366868</v>
      </c>
      <c r="AF10375">
        <v>324.26760000000002</v>
      </c>
      <c r="AG10375">
        <f>IFERROR(AH10375*0.1, "N/A")</f>
        <v>6.3264150000000008</v>
      </c>
      <c r="AH10375">
        <v>63.264150000000001</v>
      </c>
      <c r="AI10375">
        <v>165.49160000000001</v>
      </c>
      <c r="AJ10375">
        <v>32.984560000000002</v>
      </c>
      <c r="AK10375">
        <v>42.555750000000003</v>
      </c>
    </row>
    <row r="10376" spans="1:37" x14ac:dyDescent="0.3">
      <c r="A10376">
        <v>10375</v>
      </c>
      <c r="B10376">
        <v>92.4</v>
      </c>
      <c r="C10376">
        <v>15.2493</v>
      </c>
      <c r="D10376">
        <v>10.4024</v>
      </c>
      <c r="E10376" t="s">
        <v>15679</v>
      </c>
      <c r="F10376" t="s">
        <v>15680</v>
      </c>
      <c r="G10376" t="s">
        <v>39</v>
      </c>
      <c r="H10376">
        <v>1995</v>
      </c>
      <c r="I10376">
        <v>28.1</v>
      </c>
      <c r="J10376">
        <v>13.7</v>
      </c>
      <c r="K10376">
        <v>62</v>
      </c>
      <c r="L10376">
        <v>20.309360000000002</v>
      </c>
      <c r="M10376">
        <v>39.4</v>
      </c>
      <c r="N10376">
        <v>17.399999999999999</v>
      </c>
      <c r="O10376">
        <v>22</v>
      </c>
      <c r="P10376">
        <v>26.4</v>
      </c>
      <c r="Q10376">
        <v>26.5</v>
      </c>
      <c r="R10376">
        <v>31.2</v>
      </c>
      <c r="S10376">
        <v>26.4</v>
      </c>
      <c r="T10376">
        <v>758.89139999999998</v>
      </c>
      <c r="U10376">
        <v>233</v>
      </c>
      <c r="V10376">
        <v>0</v>
      </c>
      <c r="W10376">
        <v>123</v>
      </c>
      <c r="X10376">
        <v>549.89139999999998</v>
      </c>
      <c r="Y10376">
        <v>0</v>
      </c>
      <c r="Z10376">
        <v>78</v>
      </c>
      <c r="AA10376">
        <v>549.89139999999998</v>
      </c>
      <c r="AB10376">
        <v>2.6072549999999999</v>
      </c>
      <c r="AC10376">
        <v>9.8311240000000001E-3</v>
      </c>
      <c r="AD10376">
        <v>1.217946</v>
      </c>
      <c r="AE10376">
        <v>0.6366868</v>
      </c>
      <c r="AF10376">
        <v>324.20170000000002</v>
      </c>
      <c r="AG10376">
        <f>IFERROR(AH10376*0.1, "N/A")</f>
        <v>6.3217239999999997</v>
      </c>
      <c r="AH10376">
        <v>63.217239999999997</v>
      </c>
      <c r="AI10376">
        <v>150.95509999999999</v>
      </c>
      <c r="AJ10376">
        <v>32.651719999999997</v>
      </c>
      <c r="AK10376">
        <v>42.674140000000001</v>
      </c>
    </row>
    <row r="10377" spans="1:37" x14ac:dyDescent="0.3">
      <c r="A10377">
        <v>10376</v>
      </c>
      <c r="B10377">
        <v>34.299999999999997</v>
      </c>
      <c r="C10377">
        <v>15.25</v>
      </c>
      <c r="D10377">
        <v>10.417</v>
      </c>
      <c r="E10377" t="s">
        <v>15681</v>
      </c>
      <c r="F10377" t="s">
        <v>15682</v>
      </c>
      <c r="G10377" t="s">
        <v>39</v>
      </c>
      <c r="H10377">
        <v>1987</v>
      </c>
      <c r="I10377">
        <v>28.1</v>
      </c>
      <c r="J10377">
        <v>13.7</v>
      </c>
      <c r="K10377">
        <v>62</v>
      </c>
      <c r="L10377">
        <v>20.1648</v>
      </c>
      <c r="M10377">
        <v>39.4</v>
      </c>
      <c r="N10377">
        <v>17.399999999999999</v>
      </c>
      <c r="O10377">
        <v>22</v>
      </c>
      <c r="P10377">
        <v>26.4</v>
      </c>
      <c r="Q10377">
        <v>26.54251</v>
      </c>
      <c r="R10377">
        <v>31.2</v>
      </c>
      <c r="S10377">
        <v>26.4</v>
      </c>
      <c r="T10377">
        <v>755.11360000000002</v>
      </c>
      <c r="U10377">
        <v>232.11359999999999</v>
      </c>
      <c r="V10377">
        <v>0</v>
      </c>
      <c r="W10377">
        <v>123.88639999999999</v>
      </c>
      <c r="X10377">
        <v>548.11360000000002</v>
      </c>
      <c r="Y10377">
        <v>0</v>
      </c>
      <c r="Z10377">
        <v>77</v>
      </c>
      <c r="AA10377">
        <v>548.11360000000002</v>
      </c>
      <c r="AB10377">
        <v>0.18571650000000001</v>
      </c>
      <c r="AC10377">
        <v>7.1721800000000002E-2</v>
      </c>
      <c r="AD10377">
        <v>1.2639180000000001</v>
      </c>
      <c r="AE10377">
        <v>0.53942630000000003</v>
      </c>
      <c r="AF10377">
        <v>319.74529999999999</v>
      </c>
      <c r="AG10377">
        <f>IFERROR(AH10377*0.1, "N/A")</f>
        <v>6.2705680000000008</v>
      </c>
      <c r="AH10377">
        <v>62.705680000000001</v>
      </c>
      <c r="AI10377">
        <v>245.20949999999999</v>
      </c>
      <c r="AJ10377">
        <v>37.294319999999999</v>
      </c>
      <c r="AK10377">
        <v>38.027540000000002</v>
      </c>
    </row>
    <row r="10378" spans="1:37" x14ac:dyDescent="0.3">
      <c r="A10378">
        <v>10377</v>
      </c>
      <c r="B10378">
        <v>62.4</v>
      </c>
      <c r="C10378">
        <v>15.191599999999999</v>
      </c>
      <c r="D10378">
        <v>10.4252</v>
      </c>
      <c r="E10378" t="s">
        <v>15683</v>
      </c>
      <c r="F10378" t="s">
        <v>15684</v>
      </c>
      <c r="G10378" t="s">
        <v>39</v>
      </c>
      <c r="H10378">
        <v>1982</v>
      </c>
      <c r="I10378">
        <v>28.1</v>
      </c>
      <c r="J10378">
        <v>13.7</v>
      </c>
      <c r="K10378">
        <v>61.518970000000003</v>
      </c>
      <c r="L10378">
        <v>20.32704</v>
      </c>
      <c r="M10378">
        <v>39.480690000000003</v>
      </c>
      <c r="N10378">
        <v>17.451899999999998</v>
      </c>
      <c r="O10378">
        <v>22.028790000000001</v>
      </c>
      <c r="P10378">
        <v>26.4</v>
      </c>
      <c r="Q10378">
        <v>26.6</v>
      </c>
      <c r="R10378">
        <v>31.2</v>
      </c>
      <c r="S10378">
        <v>26.4</v>
      </c>
      <c r="T10378">
        <v>758.51900000000001</v>
      </c>
      <c r="U10378">
        <v>232.51900000000001</v>
      </c>
      <c r="V10378">
        <v>0</v>
      </c>
      <c r="W10378">
        <v>123</v>
      </c>
      <c r="X10378">
        <v>550.51900000000001</v>
      </c>
      <c r="Y10378">
        <v>0</v>
      </c>
      <c r="Z10378">
        <v>78</v>
      </c>
      <c r="AA10378">
        <v>550.51900000000001</v>
      </c>
      <c r="AB10378">
        <v>0.22948389999999999</v>
      </c>
      <c r="AC10378">
        <v>1.693719</v>
      </c>
      <c r="AD10378">
        <v>2.0260199999999999</v>
      </c>
      <c r="AE10378">
        <v>0.60203680000000004</v>
      </c>
      <c r="AF10378">
        <v>319.59309999999999</v>
      </c>
      <c r="AG10378">
        <f>IFERROR(AH10378*0.1, "N/A")</f>
        <v>6.2196550000000004</v>
      </c>
      <c r="AH10378">
        <v>62.196550000000002</v>
      </c>
      <c r="AI10378">
        <v>160.52780000000001</v>
      </c>
      <c r="AJ10378">
        <v>30.127590000000001</v>
      </c>
      <c r="AK10378">
        <v>48.872410000000002</v>
      </c>
    </row>
    <row r="10379" spans="1:37" x14ac:dyDescent="0.3">
      <c r="A10379">
        <v>10378</v>
      </c>
      <c r="B10379">
        <v>0</v>
      </c>
      <c r="C10379">
        <v>15.112500000000001</v>
      </c>
      <c r="D10379">
        <v>10.4503</v>
      </c>
      <c r="E10379" t="s">
        <v>15685</v>
      </c>
      <c r="F10379" t="s">
        <v>15686</v>
      </c>
      <c r="G10379" t="s">
        <v>37</v>
      </c>
      <c r="H10379">
        <v>1987</v>
      </c>
      <c r="I10379">
        <v>28.2</v>
      </c>
      <c r="J10379">
        <v>13.7</v>
      </c>
      <c r="K10379">
        <v>62</v>
      </c>
      <c r="L10379">
        <v>20.43918</v>
      </c>
      <c r="M10379">
        <v>39.5</v>
      </c>
      <c r="N10379">
        <v>17.632190000000001</v>
      </c>
      <c r="O10379">
        <v>21.867809999999999</v>
      </c>
      <c r="P10379">
        <v>26.4</v>
      </c>
      <c r="Q10379">
        <v>26.632190000000001</v>
      </c>
      <c r="R10379">
        <v>31.3</v>
      </c>
      <c r="S10379">
        <v>26.4</v>
      </c>
      <c r="T10379">
        <v>756.32190000000003</v>
      </c>
      <c r="U10379">
        <v>232.3219</v>
      </c>
      <c r="V10379">
        <v>0</v>
      </c>
      <c r="W10379">
        <v>123</v>
      </c>
      <c r="X10379">
        <v>551.32190000000003</v>
      </c>
      <c r="Y10379">
        <v>0</v>
      </c>
      <c r="Z10379">
        <v>77</v>
      </c>
      <c r="AA10379">
        <v>551.32190000000003</v>
      </c>
      <c r="AB10379">
        <v>1.6464019999999999</v>
      </c>
      <c r="AC10379">
        <v>8.4088410000000002E-3</v>
      </c>
      <c r="AD10379">
        <v>2.7643580000000001</v>
      </c>
      <c r="AE10379">
        <v>0.68610610000000005</v>
      </c>
      <c r="AF10379">
        <v>318.5308</v>
      </c>
      <c r="AG10379">
        <f>IFERROR(AH10379*0.1, "N/A")</f>
        <v>5.9412669999999999</v>
      </c>
      <c r="AH10379">
        <v>59.412669999999999</v>
      </c>
      <c r="AI10379">
        <v>178.1516</v>
      </c>
      <c r="AJ10379">
        <v>19.955480000000001</v>
      </c>
      <c r="AK10379">
        <v>57.4589</v>
      </c>
    </row>
    <row r="10380" spans="1:37" x14ac:dyDescent="0.3">
      <c r="A10380">
        <v>10379</v>
      </c>
      <c r="B10380">
        <v>14</v>
      </c>
      <c r="C10380">
        <v>15.112500000000001</v>
      </c>
      <c r="D10380">
        <v>10.4503</v>
      </c>
      <c r="E10380" t="s">
        <v>15685</v>
      </c>
      <c r="F10380" t="s">
        <v>15687</v>
      </c>
      <c r="G10380" t="s">
        <v>39</v>
      </c>
      <c r="H10380">
        <v>1983</v>
      </c>
      <c r="I10380">
        <v>28.2</v>
      </c>
      <c r="J10380">
        <v>13.7</v>
      </c>
      <c r="K10380">
        <v>62</v>
      </c>
      <c r="L10380">
        <v>20.43918</v>
      </c>
      <c r="M10380">
        <v>39.5</v>
      </c>
      <c r="N10380">
        <v>17.632190000000001</v>
      </c>
      <c r="O10380">
        <v>21.867809999999999</v>
      </c>
      <c r="P10380">
        <v>26.4</v>
      </c>
      <c r="Q10380">
        <v>26.632190000000001</v>
      </c>
      <c r="R10380">
        <v>31.3</v>
      </c>
      <c r="S10380">
        <v>26.4</v>
      </c>
      <c r="T10380">
        <v>756.32190000000003</v>
      </c>
      <c r="U10380">
        <v>232.3219</v>
      </c>
      <c r="V10380">
        <v>0</v>
      </c>
      <c r="W10380">
        <v>123</v>
      </c>
      <c r="X10380">
        <v>551.32190000000003</v>
      </c>
      <c r="Y10380">
        <v>0</v>
      </c>
      <c r="Z10380">
        <v>77</v>
      </c>
      <c r="AA10380">
        <v>551.32190000000003</v>
      </c>
      <c r="AB10380">
        <v>1.6464019999999999</v>
      </c>
      <c r="AC10380">
        <v>8.4088410000000002E-3</v>
      </c>
      <c r="AD10380">
        <v>2.7643580000000001</v>
      </c>
      <c r="AE10380">
        <v>0.68610610000000005</v>
      </c>
      <c r="AF10380">
        <v>318.5308</v>
      </c>
      <c r="AG10380">
        <f>IFERROR(AH10380*0.1, "N/A")</f>
        <v>5.9412669999999999</v>
      </c>
      <c r="AH10380">
        <v>59.412669999999999</v>
      </c>
      <c r="AI10380">
        <v>178.1516</v>
      </c>
      <c r="AJ10380">
        <v>19.955480000000001</v>
      </c>
      <c r="AK10380">
        <v>57.4589</v>
      </c>
    </row>
    <row r="10381" spans="1:37" x14ac:dyDescent="0.3">
      <c r="A10381">
        <v>10380</v>
      </c>
      <c r="B10381">
        <v>3.5</v>
      </c>
      <c r="C10381">
        <v>15.1936</v>
      </c>
      <c r="D10381">
        <v>10.4506</v>
      </c>
      <c r="E10381" t="s">
        <v>15688</v>
      </c>
      <c r="F10381" t="s">
        <v>15689</v>
      </c>
      <c r="G10381" t="s">
        <v>37</v>
      </c>
      <c r="H10381">
        <v>1987</v>
      </c>
      <c r="I10381">
        <v>28.1</v>
      </c>
      <c r="J10381">
        <v>13.7</v>
      </c>
      <c r="K10381">
        <v>61</v>
      </c>
      <c r="L10381">
        <v>20.601030000000002</v>
      </c>
      <c r="M10381">
        <v>39.5</v>
      </c>
      <c r="N10381">
        <v>17.399999999999999</v>
      </c>
      <c r="O10381">
        <v>22.1</v>
      </c>
      <c r="P10381">
        <v>26.4</v>
      </c>
      <c r="Q10381">
        <v>26.5</v>
      </c>
      <c r="R10381">
        <v>31.3</v>
      </c>
      <c r="S10381">
        <v>26.4</v>
      </c>
      <c r="T10381">
        <v>754</v>
      </c>
      <c r="U10381">
        <v>232</v>
      </c>
      <c r="V10381">
        <v>0</v>
      </c>
      <c r="W10381">
        <v>124</v>
      </c>
      <c r="X10381">
        <v>549</v>
      </c>
      <c r="Y10381">
        <v>0</v>
      </c>
      <c r="Z10381">
        <v>76</v>
      </c>
      <c r="AA10381">
        <v>549</v>
      </c>
      <c r="AB10381">
        <v>0.77390550000000002</v>
      </c>
      <c r="AC10381">
        <v>1.3090040000000001E-2</v>
      </c>
      <c r="AD10381">
        <v>2.2757320000000001</v>
      </c>
      <c r="AE10381">
        <v>0.614537</v>
      </c>
      <c r="AF10381">
        <v>318.32299999999998</v>
      </c>
      <c r="AG10381">
        <f>IFERROR(AH10381*0.1, "N/A")</f>
        <v>6.2721650000000002</v>
      </c>
      <c r="AH10381">
        <v>62.721649999999997</v>
      </c>
      <c r="AI10381">
        <v>166.2705</v>
      </c>
      <c r="AJ10381">
        <v>33.079039999999999</v>
      </c>
      <c r="AK10381">
        <v>43.21649</v>
      </c>
    </row>
    <row r="10382" spans="1:37" x14ac:dyDescent="0.3">
      <c r="A10382">
        <v>10381</v>
      </c>
      <c r="B10382">
        <v>32.4</v>
      </c>
      <c r="C10382">
        <v>15.1936</v>
      </c>
      <c r="D10382">
        <v>10.4506</v>
      </c>
      <c r="E10382" t="s">
        <v>15688</v>
      </c>
      <c r="F10382" t="s">
        <v>15690</v>
      </c>
      <c r="G10382" t="s">
        <v>39</v>
      </c>
      <c r="H10382">
        <v>1983</v>
      </c>
      <c r="I10382">
        <v>28.1</v>
      </c>
      <c r="J10382">
        <v>13.7</v>
      </c>
      <c r="K10382">
        <v>61</v>
      </c>
      <c r="L10382">
        <v>20.601030000000002</v>
      </c>
      <c r="M10382">
        <v>39.5</v>
      </c>
      <c r="N10382">
        <v>17.399999999999999</v>
      </c>
      <c r="O10382">
        <v>22.1</v>
      </c>
      <c r="P10382">
        <v>26.4</v>
      </c>
      <c r="Q10382">
        <v>26.5</v>
      </c>
      <c r="R10382">
        <v>31.3</v>
      </c>
      <c r="S10382">
        <v>26.4</v>
      </c>
      <c r="T10382">
        <v>754</v>
      </c>
      <c r="U10382">
        <v>232</v>
      </c>
      <c r="V10382">
        <v>0</v>
      </c>
      <c r="W10382">
        <v>124</v>
      </c>
      <c r="X10382">
        <v>549</v>
      </c>
      <c r="Y10382">
        <v>0</v>
      </c>
      <c r="Z10382">
        <v>76</v>
      </c>
      <c r="AA10382">
        <v>549</v>
      </c>
      <c r="AB10382">
        <v>0.77390550000000002</v>
      </c>
      <c r="AC10382">
        <v>1.3090040000000001E-2</v>
      </c>
      <c r="AD10382">
        <v>2.2757320000000001</v>
      </c>
      <c r="AE10382">
        <v>0.614537</v>
      </c>
      <c r="AF10382">
        <v>318.32299999999998</v>
      </c>
      <c r="AG10382">
        <f>IFERROR(AH10382*0.1, "N/A")</f>
        <v>6.2721650000000002</v>
      </c>
      <c r="AH10382">
        <v>62.721649999999997</v>
      </c>
      <c r="AI10382">
        <v>166.2705</v>
      </c>
      <c r="AJ10382">
        <v>33.079039999999999</v>
      </c>
      <c r="AK10382">
        <v>43.21649</v>
      </c>
    </row>
    <row r="10383" spans="1:37" x14ac:dyDescent="0.3">
      <c r="A10383">
        <v>10382</v>
      </c>
      <c r="B10383">
        <v>90.7</v>
      </c>
      <c r="C10383">
        <v>15.2341</v>
      </c>
      <c r="D10383">
        <v>10.4658</v>
      </c>
      <c r="E10383" t="s">
        <v>15691</v>
      </c>
      <c r="F10383" t="s">
        <v>15692</v>
      </c>
      <c r="G10383" t="s">
        <v>39</v>
      </c>
      <c r="H10383">
        <v>1995</v>
      </c>
      <c r="I10383">
        <v>28.1</v>
      </c>
      <c r="J10383">
        <v>13.7</v>
      </c>
      <c r="K10383">
        <v>61.839320000000001</v>
      </c>
      <c r="L10383">
        <v>20.19631</v>
      </c>
      <c r="M10383">
        <v>39.4</v>
      </c>
      <c r="N10383">
        <v>17.383929999999999</v>
      </c>
      <c r="O10383">
        <v>22.016069999999999</v>
      </c>
      <c r="P10383">
        <v>26.4</v>
      </c>
      <c r="Q10383">
        <v>26.5718</v>
      </c>
      <c r="R10383">
        <v>31.2</v>
      </c>
      <c r="S10383">
        <v>26.4</v>
      </c>
      <c r="T10383">
        <v>751.12139999999999</v>
      </c>
      <c r="U10383">
        <v>232</v>
      </c>
      <c r="V10383">
        <v>0</v>
      </c>
      <c r="W10383">
        <v>124</v>
      </c>
      <c r="X10383">
        <v>547.12139999999999</v>
      </c>
      <c r="Y10383">
        <v>0</v>
      </c>
      <c r="Z10383">
        <v>75</v>
      </c>
      <c r="AA10383">
        <v>547.12139999999999</v>
      </c>
      <c r="AB10383">
        <v>1.174177</v>
      </c>
      <c r="AC10383">
        <v>9.9032670000000003E-3</v>
      </c>
      <c r="AD10383">
        <v>1.028</v>
      </c>
      <c r="AE10383">
        <v>0.57695059999999998</v>
      </c>
      <c r="AF10383">
        <v>320.14019999999999</v>
      </c>
      <c r="AG10383">
        <f>IFERROR(AH10383*0.1, "N/A")</f>
        <v>6.0121370000000001</v>
      </c>
      <c r="AH10383">
        <v>60.121369999999999</v>
      </c>
      <c r="AI10383">
        <v>147.87880000000001</v>
      </c>
      <c r="AJ10383">
        <v>30.321370000000002</v>
      </c>
      <c r="AK10383">
        <v>47.039319999999996</v>
      </c>
    </row>
    <row r="10384" spans="1:37" x14ac:dyDescent="0.3">
      <c r="A10384">
        <v>10383</v>
      </c>
      <c r="B10384">
        <v>44.9</v>
      </c>
      <c r="C10384">
        <v>15.083299999999999</v>
      </c>
      <c r="D10384">
        <v>10.4833</v>
      </c>
      <c r="E10384" t="s">
        <v>15693</v>
      </c>
      <c r="F10384" t="s">
        <v>15694</v>
      </c>
      <c r="G10384" t="s">
        <v>39</v>
      </c>
      <c r="H10384">
        <v>1983</v>
      </c>
      <c r="I10384">
        <v>28.238119999999999</v>
      </c>
      <c r="J10384">
        <v>13.7</v>
      </c>
      <c r="K10384">
        <v>62</v>
      </c>
      <c r="L10384">
        <v>20.415130000000001</v>
      </c>
      <c r="M10384">
        <v>39.6</v>
      </c>
      <c r="N10384">
        <v>17.7</v>
      </c>
      <c r="O10384">
        <v>21.9</v>
      </c>
      <c r="P10384">
        <v>26.5</v>
      </c>
      <c r="Q10384">
        <v>26.7</v>
      </c>
      <c r="R10384">
        <v>31.35162</v>
      </c>
      <c r="S10384">
        <v>26.5</v>
      </c>
      <c r="T10384">
        <v>753.01880000000006</v>
      </c>
      <c r="U10384">
        <v>232</v>
      </c>
      <c r="V10384">
        <v>0</v>
      </c>
      <c r="W10384">
        <v>125</v>
      </c>
      <c r="X10384">
        <v>550.88379999999995</v>
      </c>
      <c r="Y10384">
        <v>0</v>
      </c>
      <c r="Z10384">
        <v>75</v>
      </c>
      <c r="AA10384">
        <v>550.88379999999995</v>
      </c>
      <c r="AB10384">
        <v>0.39930539999999998</v>
      </c>
      <c r="AC10384">
        <v>0.127384</v>
      </c>
      <c r="AD10384">
        <v>1.1437550000000001</v>
      </c>
      <c r="AE10384">
        <v>0.4968496</v>
      </c>
      <c r="AF10384">
        <v>315.9128</v>
      </c>
      <c r="AG10384">
        <f>IFERROR(AH10384*0.1, "N/A")</f>
        <v>6.074872</v>
      </c>
      <c r="AH10384">
        <v>60.748719999999999</v>
      </c>
      <c r="AI10384">
        <v>63.479520000000001</v>
      </c>
      <c r="AJ10384">
        <v>23.24615</v>
      </c>
      <c r="AK10384">
        <v>53.256410000000002</v>
      </c>
    </row>
    <row r="10385" spans="1:37" x14ac:dyDescent="0.3">
      <c r="A10385">
        <v>10384</v>
      </c>
      <c r="B10385">
        <v>31.6</v>
      </c>
      <c r="C10385">
        <v>15.164</v>
      </c>
      <c r="D10385">
        <v>10.499000000000001</v>
      </c>
      <c r="E10385" t="s">
        <v>15695</v>
      </c>
      <c r="F10385" t="s">
        <v>15696</v>
      </c>
      <c r="G10385" t="s">
        <v>39</v>
      </c>
      <c r="H10385">
        <v>1982</v>
      </c>
      <c r="I10385">
        <v>28.2</v>
      </c>
      <c r="J10385">
        <v>13.7</v>
      </c>
      <c r="K10385">
        <v>61</v>
      </c>
      <c r="L10385">
        <v>20.43</v>
      </c>
      <c r="M10385">
        <v>39.5</v>
      </c>
      <c r="N10385">
        <v>17.399999999999999</v>
      </c>
      <c r="O10385">
        <v>22.1</v>
      </c>
      <c r="P10385">
        <v>26.5</v>
      </c>
      <c r="Q10385">
        <v>26.5</v>
      </c>
      <c r="R10385">
        <v>31.3</v>
      </c>
      <c r="S10385">
        <v>26.5</v>
      </c>
      <c r="T10385">
        <v>749</v>
      </c>
      <c r="U10385">
        <v>231</v>
      </c>
      <c r="V10385">
        <v>0</v>
      </c>
      <c r="W10385">
        <v>124</v>
      </c>
      <c r="X10385">
        <v>548</v>
      </c>
      <c r="Y10385">
        <v>0</v>
      </c>
      <c r="Z10385">
        <v>74</v>
      </c>
      <c r="AA10385">
        <v>548</v>
      </c>
      <c r="AB10385">
        <v>0.94259979999999999</v>
      </c>
      <c r="AC10385">
        <v>0.1222838</v>
      </c>
      <c r="AD10385">
        <v>1.757201</v>
      </c>
      <c r="AE10385">
        <v>0.57560129999999998</v>
      </c>
      <c r="AF10385">
        <v>316.88139999999999</v>
      </c>
      <c r="AG10385">
        <f>IFERROR(AH10385*0.1, "N/A")</f>
        <v>6.3647770000000001</v>
      </c>
      <c r="AH10385">
        <v>63.647770000000001</v>
      </c>
      <c r="AI10385">
        <v>188.15950000000001</v>
      </c>
      <c r="AJ10385">
        <v>38.474229999999999</v>
      </c>
      <c r="AK10385">
        <v>41.491410000000002</v>
      </c>
    </row>
    <row r="10386" spans="1:37" x14ac:dyDescent="0.3">
      <c r="A10386">
        <v>10385</v>
      </c>
      <c r="B10386">
        <v>68.3</v>
      </c>
      <c r="C10386">
        <v>15.170199999999999</v>
      </c>
      <c r="D10386">
        <v>10.507199999999999</v>
      </c>
      <c r="E10386" t="s">
        <v>15697</v>
      </c>
      <c r="F10386" t="s">
        <v>15698</v>
      </c>
      <c r="G10386" t="s">
        <v>39</v>
      </c>
      <c r="H10386">
        <v>1995</v>
      </c>
      <c r="I10386">
        <v>28.1</v>
      </c>
      <c r="J10386">
        <v>13.7</v>
      </c>
      <c r="K10386">
        <v>62</v>
      </c>
      <c r="L10386">
        <v>20.34</v>
      </c>
      <c r="M10386">
        <v>39.5</v>
      </c>
      <c r="N10386">
        <v>17.5</v>
      </c>
      <c r="O10386">
        <v>22</v>
      </c>
      <c r="P10386">
        <v>26.4</v>
      </c>
      <c r="Q10386">
        <v>26.5</v>
      </c>
      <c r="R10386">
        <v>31.2</v>
      </c>
      <c r="S10386">
        <v>26.4</v>
      </c>
      <c r="T10386">
        <v>748</v>
      </c>
      <c r="U10386">
        <v>231</v>
      </c>
      <c r="V10386">
        <v>0</v>
      </c>
      <c r="W10386">
        <v>124</v>
      </c>
      <c r="X10386">
        <v>547</v>
      </c>
      <c r="Y10386">
        <v>0</v>
      </c>
      <c r="Z10386">
        <v>74</v>
      </c>
      <c r="AA10386">
        <v>547</v>
      </c>
      <c r="AB10386">
        <v>2.1141200000000002</v>
      </c>
      <c r="AC10386">
        <v>1.9057609999999999E-2</v>
      </c>
      <c r="AD10386">
        <v>1.446204</v>
      </c>
      <c r="AE10386">
        <v>0.61195370000000004</v>
      </c>
      <c r="AF10386">
        <v>318.82100000000003</v>
      </c>
      <c r="AG10386">
        <f>IFERROR(AH10386*0.1, "N/A")</f>
        <v>6.1717730000000008</v>
      </c>
      <c r="AH10386">
        <v>61.717730000000003</v>
      </c>
      <c r="AI10386">
        <v>185.2336</v>
      </c>
      <c r="AJ10386">
        <v>32.394150000000003</v>
      </c>
      <c r="AK10386">
        <v>45.457830000000001</v>
      </c>
    </row>
    <row r="10387" spans="1:37" x14ac:dyDescent="0.3">
      <c r="A10387">
        <v>10386</v>
      </c>
      <c r="B10387">
        <v>94</v>
      </c>
      <c r="C10387">
        <v>15.0694</v>
      </c>
      <c r="D10387">
        <v>10.5101</v>
      </c>
      <c r="E10387" t="s">
        <v>15699</v>
      </c>
      <c r="F10387" t="s">
        <v>15700</v>
      </c>
      <c r="G10387" t="s">
        <v>39</v>
      </c>
      <c r="H10387">
        <v>1995</v>
      </c>
      <c r="I10387">
        <v>28.3</v>
      </c>
      <c r="J10387">
        <v>13.7</v>
      </c>
      <c r="K10387">
        <v>61</v>
      </c>
      <c r="L10387">
        <v>20.7</v>
      </c>
      <c r="M10387">
        <v>39.700000000000003</v>
      </c>
      <c r="N10387">
        <v>17.600000000000001</v>
      </c>
      <c r="O10387">
        <v>22.1</v>
      </c>
      <c r="P10387">
        <v>26.5</v>
      </c>
      <c r="Q10387">
        <v>26.6</v>
      </c>
      <c r="R10387">
        <v>31.4</v>
      </c>
      <c r="S10387">
        <v>26.5</v>
      </c>
      <c r="T10387">
        <v>752</v>
      </c>
      <c r="U10387">
        <v>232</v>
      </c>
      <c r="V10387">
        <v>0</v>
      </c>
      <c r="W10387">
        <v>125</v>
      </c>
      <c r="X10387">
        <v>551</v>
      </c>
      <c r="Y10387">
        <v>0</v>
      </c>
      <c r="Z10387">
        <v>74</v>
      </c>
      <c r="AA10387">
        <v>551</v>
      </c>
      <c r="AB10387">
        <v>0.55697419999999997</v>
      </c>
      <c r="AC10387">
        <v>0.105214</v>
      </c>
      <c r="AD10387">
        <v>1.9054709999999999</v>
      </c>
      <c r="AE10387">
        <v>0.6528545</v>
      </c>
      <c r="AF10387">
        <v>315.98970000000003</v>
      </c>
      <c r="AG10387">
        <f>IFERROR(AH10387*0.1, "N/A")</f>
        <v>5.9984510000000002</v>
      </c>
      <c r="AH10387">
        <v>59.98451</v>
      </c>
      <c r="AI10387">
        <v>122.6023</v>
      </c>
      <c r="AJ10387">
        <v>20.96902</v>
      </c>
      <c r="AK10387">
        <v>57.03098</v>
      </c>
    </row>
    <row r="10388" spans="1:37" x14ac:dyDescent="0.3">
      <c r="A10388">
        <v>10387</v>
      </c>
      <c r="B10388">
        <v>0.9</v>
      </c>
      <c r="C10388">
        <v>15.0717</v>
      </c>
      <c r="D10388">
        <v>10.511699999999999</v>
      </c>
      <c r="E10388" t="s">
        <v>15701</v>
      </c>
      <c r="F10388" t="s">
        <v>15702</v>
      </c>
      <c r="G10388" t="s">
        <v>37</v>
      </c>
      <c r="H10388">
        <v>1987</v>
      </c>
      <c r="I10388">
        <v>28.3</v>
      </c>
      <c r="J10388">
        <v>13.7</v>
      </c>
      <c r="K10388">
        <v>61</v>
      </c>
      <c r="L10388">
        <v>20.7</v>
      </c>
      <c r="M10388">
        <v>39.700000000000003</v>
      </c>
      <c r="N10388">
        <v>17.600000000000001</v>
      </c>
      <c r="O10388">
        <v>22.1</v>
      </c>
      <c r="P10388">
        <v>26.5</v>
      </c>
      <c r="Q10388">
        <v>26.6</v>
      </c>
      <c r="R10388">
        <v>31.4</v>
      </c>
      <c r="S10388">
        <v>26.5</v>
      </c>
      <c r="T10388">
        <v>752</v>
      </c>
      <c r="U10388">
        <v>232</v>
      </c>
      <c r="V10388">
        <v>0</v>
      </c>
      <c r="W10388">
        <v>125</v>
      </c>
      <c r="X10388">
        <v>551</v>
      </c>
      <c r="Y10388">
        <v>0</v>
      </c>
      <c r="Z10388">
        <v>74</v>
      </c>
      <c r="AA10388">
        <v>551</v>
      </c>
      <c r="AB10388">
        <v>0.65437339999999999</v>
      </c>
      <c r="AC10388">
        <v>1.528585E-2</v>
      </c>
      <c r="AD10388">
        <v>1.306718</v>
      </c>
      <c r="AE10388">
        <v>0.60579300000000003</v>
      </c>
      <c r="AF10388">
        <v>315.27440000000001</v>
      </c>
      <c r="AG10388">
        <f>IFERROR(AH10388*0.1, "N/A")</f>
        <v>6</v>
      </c>
      <c r="AH10388">
        <v>60</v>
      </c>
      <c r="AI10388">
        <v>269.70929999999998</v>
      </c>
      <c r="AJ10388">
        <v>21.749569999999999</v>
      </c>
      <c r="AK10388">
        <v>54.751289999999997</v>
      </c>
    </row>
    <row r="10389" spans="1:37" x14ac:dyDescent="0.3">
      <c r="A10389">
        <v>10388</v>
      </c>
      <c r="B10389">
        <v>47.4</v>
      </c>
      <c r="C10389">
        <v>15.0717</v>
      </c>
      <c r="D10389">
        <v>10.511699999999999</v>
      </c>
      <c r="E10389" t="s">
        <v>15701</v>
      </c>
      <c r="F10389" t="s">
        <v>15703</v>
      </c>
      <c r="G10389" t="s">
        <v>39</v>
      </c>
      <c r="H10389">
        <v>1983</v>
      </c>
      <c r="I10389">
        <v>28.3</v>
      </c>
      <c r="J10389">
        <v>13.7</v>
      </c>
      <c r="K10389">
        <v>61</v>
      </c>
      <c r="L10389">
        <v>20.7</v>
      </c>
      <c r="M10389">
        <v>39.700000000000003</v>
      </c>
      <c r="N10389">
        <v>17.600000000000001</v>
      </c>
      <c r="O10389">
        <v>22.1</v>
      </c>
      <c r="P10389">
        <v>26.5</v>
      </c>
      <c r="Q10389">
        <v>26.6</v>
      </c>
      <c r="R10389">
        <v>31.4</v>
      </c>
      <c r="S10389">
        <v>26.5</v>
      </c>
      <c r="T10389">
        <v>752</v>
      </c>
      <c r="U10389">
        <v>232</v>
      </c>
      <c r="V10389">
        <v>0</v>
      </c>
      <c r="W10389">
        <v>125</v>
      </c>
      <c r="X10389">
        <v>551</v>
      </c>
      <c r="Y10389">
        <v>0</v>
      </c>
      <c r="Z10389">
        <v>74</v>
      </c>
      <c r="AA10389">
        <v>551</v>
      </c>
      <c r="AB10389">
        <v>0.65437339999999999</v>
      </c>
      <c r="AC10389">
        <v>1.528585E-2</v>
      </c>
      <c r="AD10389">
        <v>1.306718</v>
      </c>
      <c r="AE10389">
        <v>0.60579300000000003</v>
      </c>
      <c r="AF10389">
        <v>315.27440000000001</v>
      </c>
      <c r="AG10389">
        <f>IFERROR(AH10389*0.1, "N/A")</f>
        <v>6</v>
      </c>
      <c r="AH10389">
        <v>60</v>
      </c>
      <c r="AI10389">
        <v>269.70929999999998</v>
      </c>
      <c r="AJ10389">
        <v>21.749569999999999</v>
      </c>
      <c r="AK10389">
        <v>54.751289999999997</v>
      </c>
    </row>
    <row r="10390" spans="1:37" x14ac:dyDescent="0.3">
      <c r="A10390">
        <v>10389</v>
      </c>
      <c r="B10390">
        <v>33.799999999999997</v>
      </c>
      <c r="C10390">
        <v>14.6</v>
      </c>
      <c r="D10390">
        <v>10.533300000000001</v>
      </c>
      <c r="E10390" t="s">
        <v>15704</v>
      </c>
      <c r="F10390" t="s">
        <v>15705</v>
      </c>
      <c r="G10390" t="s">
        <v>39</v>
      </c>
      <c r="H10390">
        <v>1990</v>
      </c>
      <c r="I10390">
        <v>28.5</v>
      </c>
      <c r="J10390">
        <v>13.6</v>
      </c>
      <c r="K10390">
        <v>62</v>
      </c>
      <c r="L10390">
        <v>21.428699999999999</v>
      </c>
      <c r="M10390">
        <v>40.15643</v>
      </c>
      <c r="N10390">
        <v>18.3</v>
      </c>
      <c r="O10390">
        <v>21.85643</v>
      </c>
      <c r="P10390">
        <v>26.5</v>
      </c>
      <c r="Q10390">
        <v>26.9</v>
      </c>
      <c r="R10390">
        <v>31.680959999999999</v>
      </c>
      <c r="S10390">
        <v>26.5</v>
      </c>
      <c r="T10390">
        <v>774.13890000000004</v>
      </c>
      <c r="U10390">
        <v>237</v>
      </c>
      <c r="V10390">
        <v>0</v>
      </c>
      <c r="W10390">
        <v>123</v>
      </c>
      <c r="X10390">
        <v>566.56949999999995</v>
      </c>
      <c r="Y10390">
        <v>0</v>
      </c>
      <c r="Z10390">
        <v>76.569469999999995</v>
      </c>
      <c r="AA10390">
        <v>566.56949999999995</v>
      </c>
      <c r="AB10390">
        <v>0.97975619999999997</v>
      </c>
      <c r="AC10390">
        <v>1.8630170000000001E-2</v>
      </c>
      <c r="AD10390">
        <v>2.099685</v>
      </c>
      <c r="AE10390">
        <v>0.66782560000000002</v>
      </c>
      <c r="AF10390">
        <v>345.73239999999998</v>
      </c>
      <c r="AG10390">
        <f>IFERROR(AH10390*0.1, "N/A")</f>
        <v>6.6926240000000012</v>
      </c>
      <c r="AH10390">
        <v>66.926240000000007</v>
      </c>
      <c r="AI10390">
        <v>168.2739</v>
      </c>
      <c r="AJ10390">
        <v>22.435680000000001</v>
      </c>
      <c r="AK10390">
        <v>58.07376</v>
      </c>
    </row>
    <row r="10391" spans="1:37" x14ac:dyDescent="0.3">
      <c r="A10391">
        <v>10390</v>
      </c>
      <c r="B10391">
        <v>0</v>
      </c>
      <c r="C10391">
        <v>14.6</v>
      </c>
      <c r="D10391">
        <v>10.533300000000001</v>
      </c>
      <c r="E10391" t="s">
        <v>15704</v>
      </c>
      <c r="F10391" t="s">
        <v>15706</v>
      </c>
      <c r="G10391" t="s">
        <v>37</v>
      </c>
      <c r="H10391">
        <v>1990</v>
      </c>
      <c r="I10391">
        <v>28.5</v>
      </c>
      <c r="J10391">
        <v>13.6</v>
      </c>
      <c r="K10391">
        <v>62</v>
      </c>
      <c r="L10391">
        <v>21.428699999999999</v>
      </c>
      <c r="M10391">
        <v>40.15643</v>
      </c>
      <c r="N10391">
        <v>18.3</v>
      </c>
      <c r="O10391">
        <v>21.85643</v>
      </c>
      <c r="P10391">
        <v>26.5</v>
      </c>
      <c r="Q10391">
        <v>26.9</v>
      </c>
      <c r="R10391">
        <v>31.680959999999999</v>
      </c>
      <c r="S10391">
        <v>26.5</v>
      </c>
      <c r="T10391">
        <v>774.13890000000004</v>
      </c>
      <c r="U10391">
        <v>237</v>
      </c>
      <c r="V10391">
        <v>0</v>
      </c>
      <c r="W10391">
        <v>123</v>
      </c>
      <c r="X10391">
        <v>566.56949999999995</v>
      </c>
      <c r="Y10391">
        <v>0</v>
      </c>
      <c r="Z10391">
        <v>76.569469999999995</v>
      </c>
      <c r="AA10391">
        <v>566.56949999999995</v>
      </c>
      <c r="AB10391">
        <v>0.97975619999999997</v>
      </c>
      <c r="AC10391">
        <v>1.8630170000000001E-2</v>
      </c>
      <c r="AD10391">
        <v>2.099685</v>
      </c>
      <c r="AE10391">
        <v>0.66782560000000002</v>
      </c>
      <c r="AF10391">
        <v>345.73239999999998</v>
      </c>
      <c r="AG10391">
        <f>IFERROR(AH10391*0.1, "N/A")</f>
        <v>6.6926240000000012</v>
      </c>
      <c r="AH10391">
        <v>66.926240000000007</v>
      </c>
      <c r="AI10391">
        <v>168.2739</v>
      </c>
      <c r="AJ10391">
        <v>22.435680000000001</v>
      </c>
      <c r="AK10391">
        <v>58.07376</v>
      </c>
    </row>
    <row r="10392" spans="1:37" x14ac:dyDescent="0.3">
      <c r="A10392">
        <v>10391</v>
      </c>
      <c r="B10392">
        <v>0</v>
      </c>
      <c r="C10392">
        <v>14.6</v>
      </c>
      <c r="D10392">
        <v>10.533300000000001</v>
      </c>
      <c r="E10392" t="s">
        <v>15704</v>
      </c>
      <c r="F10392" t="s">
        <v>15707</v>
      </c>
      <c r="G10392" t="s">
        <v>2420</v>
      </c>
      <c r="H10392">
        <v>1990</v>
      </c>
      <c r="I10392">
        <v>28.5</v>
      </c>
      <c r="J10392">
        <v>13.6</v>
      </c>
      <c r="K10392">
        <v>62</v>
      </c>
      <c r="L10392">
        <v>21.428699999999999</v>
      </c>
      <c r="M10392">
        <v>40.15643</v>
      </c>
      <c r="N10392">
        <v>18.3</v>
      </c>
      <c r="O10392">
        <v>21.85643</v>
      </c>
      <c r="P10392">
        <v>26.5</v>
      </c>
      <c r="Q10392">
        <v>26.9</v>
      </c>
      <c r="R10392">
        <v>31.680959999999999</v>
      </c>
      <c r="S10392">
        <v>26.5</v>
      </c>
      <c r="T10392">
        <v>774.13890000000004</v>
      </c>
      <c r="U10392">
        <v>237</v>
      </c>
      <c r="V10392">
        <v>0</v>
      </c>
      <c r="W10392">
        <v>123</v>
      </c>
      <c r="X10392">
        <v>566.56949999999995</v>
      </c>
      <c r="Y10392">
        <v>0</v>
      </c>
      <c r="Z10392">
        <v>76.569469999999995</v>
      </c>
      <c r="AA10392">
        <v>566.56949999999995</v>
      </c>
      <c r="AB10392">
        <v>0.97975619999999997</v>
      </c>
      <c r="AC10392">
        <v>1.8630170000000001E-2</v>
      </c>
      <c r="AD10392">
        <v>2.099685</v>
      </c>
      <c r="AE10392">
        <v>0.66782560000000002</v>
      </c>
      <c r="AF10392">
        <v>345.73239999999998</v>
      </c>
      <c r="AG10392">
        <f>IFERROR(AH10392*0.1, "N/A")</f>
        <v>6.6926240000000012</v>
      </c>
      <c r="AH10392">
        <v>66.926240000000007</v>
      </c>
      <c r="AI10392">
        <v>168.2739</v>
      </c>
      <c r="AJ10392">
        <v>22.435680000000001</v>
      </c>
      <c r="AK10392">
        <v>58.07376</v>
      </c>
    </row>
    <row r="10393" spans="1:37" x14ac:dyDescent="0.3">
      <c r="A10393">
        <v>10392</v>
      </c>
      <c r="B10393">
        <v>28.1</v>
      </c>
      <c r="C10393">
        <v>15.0617</v>
      </c>
      <c r="D10393">
        <v>10.5403</v>
      </c>
      <c r="E10393" t="s">
        <v>15708</v>
      </c>
      <c r="F10393" t="s">
        <v>15709</v>
      </c>
      <c r="G10393" t="s">
        <v>39</v>
      </c>
      <c r="H10393">
        <v>1983</v>
      </c>
      <c r="I10393">
        <v>28.3</v>
      </c>
      <c r="J10393">
        <v>13.7</v>
      </c>
      <c r="K10393">
        <v>61</v>
      </c>
      <c r="L10393">
        <v>20.85</v>
      </c>
      <c r="M10393">
        <v>39.799999999999997</v>
      </c>
      <c r="N10393">
        <v>17.600000000000001</v>
      </c>
      <c r="O10393">
        <v>22.2</v>
      </c>
      <c r="P10393">
        <v>26.5</v>
      </c>
      <c r="Q10393">
        <v>26.6</v>
      </c>
      <c r="R10393">
        <v>31.4</v>
      </c>
      <c r="S10393">
        <v>26.5</v>
      </c>
      <c r="T10393">
        <v>748</v>
      </c>
      <c r="U10393">
        <v>231</v>
      </c>
      <c r="V10393">
        <v>0</v>
      </c>
      <c r="W10393">
        <v>124</v>
      </c>
      <c r="X10393">
        <v>550</v>
      </c>
      <c r="Y10393">
        <v>0</v>
      </c>
      <c r="Z10393">
        <v>72</v>
      </c>
      <c r="AA10393">
        <v>550</v>
      </c>
      <c r="AB10393">
        <v>1.8154790000000001</v>
      </c>
      <c r="AC10393">
        <v>4.6610989999999998E-2</v>
      </c>
      <c r="AD10393">
        <v>1.9965839999999999</v>
      </c>
      <c r="AE10393">
        <v>0.6915249</v>
      </c>
      <c r="AF10393">
        <v>314.7337</v>
      </c>
      <c r="AG10393">
        <f>IFERROR(AH10393*0.1, "N/A")</f>
        <v>6.114433</v>
      </c>
      <c r="AH10393">
        <v>61.144329999999997</v>
      </c>
      <c r="AI10393">
        <v>163.6362</v>
      </c>
      <c r="AJ10393">
        <v>27.17698</v>
      </c>
      <c r="AK10393">
        <v>47.419240000000002</v>
      </c>
    </row>
    <row r="10394" spans="1:37" x14ac:dyDescent="0.3">
      <c r="A10394">
        <v>10393</v>
      </c>
      <c r="B10394">
        <v>50</v>
      </c>
      <c r="C10394">
        <v>15.1389</v>
      </c>
      <c r="D10394">
        <v>10.5444</v>
      </c>
      <c r="E10394" t="s">
        <v>15710</v>
      </c>
      <c r="F10394" t="s">
        <v>15711</v>
      </c>
      <c r="G10394" t="s">
        <v>39</v>
      </c>
      <c r="H10394">
        <v>1990</v>
      </c>
      <c r="I10394">
        <v>28.2</v>
      </c>
      <c r="J10394">
        <v>13.8</v>
      </c>
      <c r="K10394">
        <v>62</v>
      </c>
      <c r="L10394">
        <v>20.71</v>
      </c>
      <c r="M10394">
        <v>39.700000000000003</v>
      </c>
      <c r="N10394">
        <v>17.5</v>
      </c>
      <c r="O10394">
        <v>22.2</v>
      </c>
      <c r="P10394">
        <v>26.5</v>
      </c>
      <c r="Q10394">
        <v>26.5</v>
      </c>
      <c r="R10394">
        <v>31.3</v>
      </c>
      <c r="S10394">
        <v>26.5</v>
      </c>
      <c r="T10394">
        <v>743</v>
      </c>
      <c r="U10394">
        <v>230</v>
      </c>
      <c r="V10394">
        <v>0</v>
      </c>
      <c r="W10394">
        <v>126</v>
      </c>
      <c r="X10394">
        <v>546</v>
      </c>
      <c r="Y10394">
        <v>0</v>
      </c>
      <c r="Z10394">
        <v>72</v>
      </c>
      <c r="AA10394">
        <v>546</v>
      </c>
      <c r="AB10394">
        <v>2.5911270000000002</v>
      </c>
      <c r="AC10394">
        <v>8.8230610000000001E-3</v>
      </c>
      <c r="AD10394">
        <v>0.94876819999999995</v>
      </c>
      <c r="AE10394">
        <v>0.39673770000000003</v>
      </c>
      <c r="AF10394">
        <v>316.62049999999999</v>
      </c>
      <c r="AG10394">
        <f>IFERROR(AH10394*0.1, "N/A")</f>
        <v>6.4288889999999999</v>
      </c>
      <c r="AH10394">
        <v>64.288889999999995</v>
      </c>
      <c r="AI10394">
        <v>139.15039999999999</v>
      </c>
      <c r="AJ10394">
        <v>34.822220000000002</v>
      </c>
      <c r="AK10394">
        <v>42.711109999999998</v>
      </c>
    </row>
    <row r="10395" spans="1:37" x14ac:dyDescent="0.3">
      <c r="A10395">
        <v>10394</v>
      </c>
      <c r="B10395">
        <v>0</v>
      </c>
      <c r="C10395">
        <v>15.1389</v>
      </c>
      <c r="D10395">
        <v>10.5444</v>
      </c>
      <c r="E10395" t="s">
        <v>15710</v>
      </c>
      <c r="F10395" t="s">
        <v>15712</v>
      </c>
      <c r="G10395" t="s">
        <v>37</v>
      </c>
      <c r="H10395">
        <v>1990</v>
      </c>
      <c r="I10395">
        <v>28.2</v>
      </c>
      <c r="J10395">
        <v>13.8</v>
      </c>
      <c r="K10395">
        <v>62</v>
      </c>
      <c r="L10395">
        <v>20.71</v>
      </c>
      <c r="M10395">
        <v>39.700000000000003</v>
      </c>
      <c r="N10395">
        <v>17.5</v>
      </c>
      <c r="O10395">
        <v>22.2</v>
      </c>
      <c r="P10395">
        <v>26.5</v>
      </c>
      <c r="Q10395">
        <v>26.5</v>
      </c>
      <c r="R10395">
        <v>31.3</v>
      </c>
      <c r="S10395">
        <v>26.5</v>
      </c>
      <c r="T10395">
        <v>743</v>
      </c>
      <c r="U10395">
        <v>230</v>
      </c>
      <c r="V10395">
        <v>0</v>
      </c>
      <c r="W10395">
        <v>126</v>
      </c>
      <c r="X10395">
        <v>546</v>
      </c>
      <c r="Y10395">
        <v>0</v>
      </c>
      <c r="Z10395">
        <v>72</v>
      </c>
      <c r="AA10395">
        <v>546</v>
      </c>
      <c r="AB10395">
        <v>2.5911270000000002</v>
      </c>
      <c r="AC10395">
        <v>8.8230610000000001E-3</v>
      </c>
      <c r="AD10395">
        <v>0.94876819999999995</v>
      </c>
      <c r="AE10395">
        <v>0.39673770000000003</v>
      </c>
      <c r="AF10395">
        <v>316.62049999999999</v>
      </c>
      <c r="AG10395">
        <f>IFERROR(AH10395*0.1, "N/A")</f>
        <v>6.4288889999999999</v>
      </c>
      <c r="AH10395">
        <v>64.288889999999995</v>
      </c>
      <c r="AI10395">
        <v>139.15039999999999</v>
      </c>
      <c r="AJ10395">
        <v>34.822220000000002</v>
      </c>
      <c r="AK10395">
        <v>42.711109999999998</v>
      </c>
    </row>
    <row r="10396" spans="1:37" x14ac:dyDescent="0.3">
      <c r="A10396">
        <v>10395</v>
      </c>
      <c r="B10396">
        <v>0</v>
      </c>
      <c r="C10396">
        <v>15.1389</v>
      </c>
      <c r="D10396">
        <v>10.5444</v>
      </c>
      <c r="E10396" t="s">
        <v>15710</v>
      </c>
      <c r="F10396" t="s">
        <v>15713</v>
      </c>
      <c r="G10396" t="s">
        <v>2420</v>
      </c>
      <c r="H10396">
        <v>1990</v>
      </c>
      <c r="I10396">
        <v>28.2</v>
      </c>
      <c r="J10396">
        <v>13.8</v>
      </c>
      <c r="K10396">
        <v>62</v>
      </c>
      <c r="L10396">
        <v>20.71</v>
      </c>
      <c r="M10396">
        <v>39.700000000000003</v>
      </c>
      <c r="N10396">
        <v>17.5</v>
      </c>
      <c r="O10396">
        <v>22.2</v>
      </c>
      <c r="P10396">
        <v>26.5</v>
      </c>
      <c r="Q10396">
        <v>26.5</v>
      </c>
      <c r="R10396">
        <v>31.3</v>
      </c>
      <c r="S10396">
        <v>26.5</v>
      </c>
      <c r="T10396">
        <v>743</v>
      </c>
      <c r="U10396">
        <v>230</v>
      </c>
      <c r="V10396">
        <v>0</v>
      </c>
      <c r="W10396">
        <v>126</v>
      </c>
      <c r="X10396">
        <v>546</v>
      </c>
      <c r="Y10396">
        <v>0</v>
      </c>
      <c r="Z10396">
        <v>72</v>
      </c>
      <c r="AA10396">
        <v>546</v>
      </c>
      <c r="AB10396">
        <v>2.5911270000000002</v>
      </c>
      <c r="AC10396">
        <v>8.8230610000000001E-3</v>
      </c>
      <c r="AD10396">
        <v>0.94876819999999995</v>
      </c>
      <c r="AE10396">
        <v>0.39673770000000003</v>
      </c>
      <c r="AF10396">
        <v>316.62049999999999</v>
      </c>
      <c r="AG10396">
        <f>IFERROR(AH10396*0.1, "N/A")</f>
        <v>6.4288889999999999</v>
      </c>
      <c r="AH10396">
        <v>64.288889999999995</v>
      </c>
      <c r="AI10396">
        <v>139.15039999999999</v>
      </c>
      <c r="AJ10396">
        <v>34.822220000000002</v>
      </c>
      <c r="AK10396">
        <v>42.711109999999998</v>
      </c>
    </row>
    <row r="10397" spans="1:37" x14ac:dyDescent="0.3">
      <c r="A10397">
        <v>10396</v>
      </c>
      <c r="B10397">
        <v>2.1</v>
      </c>
      <c r="C10397">
        <v>15.05</v>
      </c>
      <c r="D10397">
        <v>10.55</v>
      </c>
      <c r="E10397" t="s">
        <v>15714</v>
      </c>
      <c r="F10397" t="s">
        <v>15715</v>
      </c>
      <c r="G10397" t="s">
        <v>37</v>
      </c>
      <c r="H10397">
        <v>1987</v>
      </c>
      <c r="I10397">
        <v>28.3</v>
      </c>
      <c r="J10397">
        <v>13.713380000000001</v>
      </c>
      <c r="K10397">
        <v>61.133789999999998</v>
      </c>
      <c r="L10397">
        <v>21.008870000000002</v>
      </c>
      <c r="M10397">
        <v>39.799999999999997</v>
      </c>
      <c r="N10397">
        <v>17.62642</v>
      </c>
      <c r="O10397">
        <v>22.173590000000001</v>
      </c>
      <c r="P10397">
        <v>26.5</v>
      </c>
      <c r="Q10397">
        <v>26.62642</v>
      </c>
      <c r="R10397">
        <v>31.5</v>
      </c>
      <c r="S10397">
        <v>26.5</v>
      </c>
      <c r="T10397">
        <v>747.33280000000002</v>
      </c>
      <c r="U10397">
        <v>231</v>
      </c>
      <c r="V10397">
        <v>0</v>
      </c>
      <c r="W10397">
        <v>124.66719999999999</v>
      </c>
      <c r="X10397">
        <v>550</v>
      </c>
      <c r="Y10397">
        <v>0</v>
      </c>
      <c r="Z10397">
        <v>71.332759999999993</v>
      </c>
      <c r="AA10397">
        <v>550</v>
      </c>
      <c r="AB10397">
        <v>1.7078899999999999</v>
      </c>
      <c r="AC10397">
        <v>1.0626699999999999E-2</v>
      </c>
      <c r="AD10397">
        <v>1.2890760000000001</v>
      </c>
      <c r="AE10397">
        <v>0.66987189999999996</v>
      </c>
      <c r="AF10397">
        <v>318.46140000000003</v>
      </c>
      <c r="AG10397">
        <f>IFERROR(AH10397*0.1, "N/A")</f>
        <v>6.1202399999999999</v>
      </c>
      <c r="AH10397">
        <v>61.202399999999997</v>
      </c>
      <c r="AI10397">
        <v>241.54409999999999</v>
      </c>
      <c r="AJ10397">
        <v>24.607199999999999</v>
      </c>
      <c r="AK10397">
        <v>49.392800000000001</v>
      </c>
    </row>
    <row r="10398" spans="1:37" x14ac:dyDescent="0.3">
      <c r="A10398">
        <v>10397</v>
      </c>
      <c r="B10398">
        <v>19.100000000000001</v>
      </c>
      <c r="C10398">
        <v>15.0487</v>
      </c>
      <c r="D10398">
        <v>10.554</v>
      </c>
      <c r="E10398" t="s">
        <v>15716</v>
      </c>
      <c r="F10398" t="s">
        <v>15717</v>
      </c>
      <c r="G10398" t="s">
        <v>39</v>
      </c>
      <c r="H10398">
        <v>1983</v>
      </c>
      <c r="I10398">
        <v>28.3</v>
      </c>
      <c r="J10398">
        <v>13.7</v>
      </c>
      <c r="K10398">
        <v>61</v>
      </c>
      <c r="L10398">
        <v>21.05</v>
      </c>
      <c r="M10398">
        <v>39.799999999999997</v>
      </c>
      <c r="N10398">
        <v>17.600000000000001</v>
      </c>
      <c r="O10398">
        <v>22.2</v>
      </c>
      <c r="P10398">
        <v>26.5</v>
      </c>
      <c r="Q10398">
        <v>26.6</v>
      </c>
      <c r="R10398">
        <v>31.5</v>
      </c>
      <c r="S10398">
        <v>26.5</v>
      </c>
      <c r="T10398">
        <v>747</v>
      </c>
      <c r="U10398">
        <v>231</v>
      </c>
      <c r="V10398">
        <v>0</v>
      </c>
      <c r="W10398">
        <v>125</v>
      </c>
      <c r="X10398">
        <v>550</v>
      </c>
      <c r="Y10398">
        <v>0</v>
      </c>
      <c r="Z10398">
        <v>71</v>
      </c>
      <c r="AA10398">
        <v>550</v>
      </c>
      <c r="AB10398">
        <v>0.70722940000000001</v>
      </c>
      <c r="AC10398">
        <v>9.984635E-2</v>
      </c>
      <c r="AD10398">
        <v>1.6928240000000001</v>
      </c>
      <c r="AE10398">
        <v>0.66516070000000005</v>
      </c>
      <c r="AF10398">
        <v>316.13600000000002</v>
      </c>
      <c r="AG10398">
        <f>IFERROR(AH10398*0.1, "N/A")</f>
        <v>6.2</v>
      </c>
      <c r="AH10398">
        <v>62</v>
      </c>
      <c r="AI10398">
        <v>189.1249</v>
      </c>
      <c r="AJ10398">
        <v>24.94492</v>
      </c>
      <c r="AK10398">
        <v>50.944920000000003</v>
      </c>
    </row>
    <row r="10399" spans="1:37" x14ac:dyDescent="0.3">
      <c r="A10399">
        <v>10398</v>
      </c>
      <c r="B10399">
        <v>76.3</v>
      </c>
      <c r="C10399">
        <v>15.1356</v>
      </c>
      <c r="D10399">
        <v>10.56</v>
      </c>
      <c r="E10399" t="s">
        <v>15718</v>
      </c>
      <c r="F10399" t="s">
        <v>15719</v>
      </c>
      <c r="G10399" t="s">
        <v>39</v>
      </c>
      <c r="H10399">
        <v>1995</v>
      </c>
      <c r="I10399">
        <v>28.2</v>
      </c>
      <c r="J10399">
        <v>13.8</v>
      </c>
      <c r="K10399">
        <v>62</v>
      </c>
      <c r="L10399">
        <v>20.66</v>
      </c>
      <c r="M10399">
        <v>39.700000000000003</v>
      </c>
      <c r="N10399">
        <v>17.5</v>
      </c>
      <c r="O10399">
        <v>22.2</v>
      </c>
      <c r="P10399">
        <v>26.5</v>
      </c>
      <c r="Q10399">
        <v>26.6</v>
      </c>
      <c r="R10399">
        <v>31.4</v>
      </c>
      <c r="S10399">
        <v>26.5</v>
      </c>
      <c r="T10399">
        <v>743</v>
      </c>
      <c r="U10399">
        <v>230</v>
      </c>
      <c r="V10399">
        <v>0</v>
      </c>
      <c r="W10399">
        <v>126</v>
      </c>
      <c r="X10399">
        <v>547</v>
      </c>
      <c r="Y10399">
        <v>0</v>
      </c>
      <c r="Z10399">
        <v>71</v>
      </c>
      <c r="AA10399">
        <v>547</v>
      </c>
      <c r="AB10399">
        <v>2.2347579999999998</v>
      </c>
      <c r="AC10399">
        <v>1.1846020000000001E-2</v>
      </c>
      <c r="AD10399">
        <v>1.4069430000000001</v>
      </c>
      <c r="AE10399">
        <v>0.48136649999999997</v>
      </c>
      <c r="AF10399">
        <v>316.87329999999997</v>
      </c>
      <c r="AG10399">
        <f>IFERROR(AH10399*0.1, "N/A")</f>
        <v>6.2517120000000004</v>
      </c>
      <c r="AH10399">
        <v>62.517119999999998</v>
      </c>
      <c r="AI10399">
        <v>86.649680000000004</v>
      </c>
      <c r="AJ10399">
        <v>29.13185</v>
      </c>
      <c r="AK10399">
        <v>49.328769999999999</v>
      </c>
    </row>
    <row r="10400" spans="1:37" x14ac:dyDescent="0.3">
      <c r="A10400">
        <v>10399</v>
      </c>
      <c r="B10400">
        <v>62</v>
      </c>
      <c r="C10400">
        <v>13.683299999999999</v>
      </c>
      <c r="D10400">
        <v>10.566700000000001</v>
      </c>
      <c r="E10400" t="s">
        <v>15720</v>
      </c>
      <c r="F10400" t="s">
        <v>15721</v>
      </c>
      <c r="G10400" t="s">
        <v>39</v>
      </c>
      <c r="H10400">
        <v>1990</v>
      </c>
      <c r="I10400">
        <v>23.705829999999999</v>
      </c>
      <c r="J10400">
        <v>13.8</v>
      </c>
      <c r="K10400">
        <v>64</v>
      </c>
      <c r="L10400">
        <v>18.202010000000001</v>
      </c>
      <c r="M10400">
        <v>34.980449999999998</v>
      </c>
      <c r="N10400">
        <v>13.65592</v>
      </c>
      <c r="O10400">
        <v>21.324529999999999</v>
      </c>
      <c r="P10400">
        <v>22.140989999999999</v>
      </c>
      <c r="Q10400">
        <v>22.480450000000001</v>
      </c>
      <c r="R10400">
        <v>26.5199</v>
      </c>
      <c r="S10400">
        <v>22.140989999999999</v>
      </c>
      <c r="T10400">
        <v>964.67920000000004</v>
      </c>
      <c r="U10400">
        <v>282.09780000000001</v>
      </c>
      <c r="V10400">
        <v>0</v>
      </c>
      <c r="W10400">
        <v>115.7461</v>
      </c>
      <c r="X10400">
        <v>658.94169999999997</v>
      </c>
      <c r="Y10400">
        <v>1</v>
      </c>
      <c r="Z10400">
        <v>126.9914</v>
      </c>
      <c r="AA10400">
        <v>658.94169999999997</v>
      </c>
      <c r="AB10400">
        <v>24.173570000000002</v>
      </c>
      <c r="AC10400">
        <v>1.9839300000000001E-2</v>
      </c>
      <c r="AD10400">
        <v>4.6124650000000003</v>
      </c>
      <c r="AE10400">
        <v>0.69531189999999998</v>
      </c>
      <c r="AF10400">
        <v>873.4443</v>
      </c>
      <c r="AG10400">
        <f>IFERROR(AH10400*0.1, "N/A")</f>
        <v>6.1648370000000003</v>
      </c>
      <c r="AH10400">
        <v>61.64837</v>
      </c>
      <c r="AI10400">
        <v>54.6235</v>
      </c>
      <c r="AJ10400">
        <v>22.939969999999999</v>
      </c>
      <c r="AK10400">
        <v>57.718699999999998</v>
      </c>
    </row>
    <row r="10401" spans="1:37" x14ac:dyDescent="0.3">
      <c r="A10401">
        <v>10400</v>
      </c>
      <c r="B10401">
        <v>20.8</v>
      </c>
      <c r="C10401">
        <v>13.683299999999999</v>
      </c>
      <c r="D10401">
        <v>10.566700000000001</v>
      </c>
      <c r="E10401" t="s">
        <v>15720</v>
      </c>
      <c r="F10401" t="s">
        <v>15722</v>
      </c>
      <c r="G10401" t="s">
        <v>37</v>
      </c>
      <c r="H10401">
        <v>1990</v>
      </c>
      <c r="I10401">
        <v>23.705829999999999</v>
      </c>
      <c r="J10401">
        <v>13.8</v>
      </c>
      <c r="K10401">
        <v>64</v>
      </c>
      <c r="L10401">
        <v>18.202010000000001</v>
      </c>
      <c r="M10401">
        <v>34.980449999999998</v>
      </c>
      <c r="N10401">
        <v>13.65592</v>
      </c>
      <c r="O10401">
        <v>21.324529999999999</v>
      </c>
      <c r="P10401">
        <v>22.140989999999999</v>
      </c>
      <c r="Q10401">
        <v>22.480450000000001</v>
      </c>
      <c r="R10401">
        <v>26.5199</v>
      </c>
      <c r="S10401">
        <v>22.140989999999999</v>
      </c>
      <c r="T10401">
        <v>964.67920000000004</v>
      </c>
      <c r="U10401">
        <v>282.09780000000001</v>
      </c>
      <c r="V10401">
        <v>0</v>
      </c>
      <c r="W10401">
        <v>115.7461</v>
      </c>
      <c r="X10401">
        <v>658.94169999999997</v>
      </c>
      <c r="Y10401">
        <v>1</v>
      </c>
      <c r="Z10401">
        <v>126.9914</v>
      </c>
      <c r="AA10401">
        <v>658.94169999999997</v>
      </c>
      <c r="AB10401">
        <v>24.173570000000002</v>
      </c>
      <c r="AC10401">
        <v>1.9839300000000001E-2</v>
      </c>
      <c r="AD10401">
        <v>4.6124650000000003</v>
      </c>
      <c r="AE10401">
        <v>0.69531189999999998</v>
      </c>
      <c r="AF10401">
        <v>873.4443</v>
      </c>
      <c r="AG10401">
        <f>IFERROR(AH10401*0.1, "N/A")</f>
        <v>6.1648370000000003</v>
      </c>
      <c r="AH10401">
        <v>61.64837</v>
      </c>
      <c r="AI10401">
        <v>54.6235</v>
      </c>
      <c r="AJ10401">
        <v>22.939969999999999</v>
      </c>
      <c r="AK10401">
        <v>57.718699999999998</v>
      </c>
    </row>
    <row r="10402" spans="1:37" x14ac:dyDescent="0.3">
      <c r="A10402">
        <v>10401</v>
      </c>
      <c r="B10402">
        <v>2.1</v>
      </c>
      <c r="C10402">
        <v>13.683299999999999</v>
      </c>
      <c r="D10402">
        <v>10.566700000000001</v>
      </c>
      <c r="E10402" t="s">
        <v>15720</v>
      </c>
      <c r="F10402" t="s">
        <v>15723</v>
      </c>
      <c r="G10402" t="s">
        <v>2420</v>
      </c>
      <c r="H10402">
        <v>1990</v>
      </c>
      <c r="I10402">
        <v>23.705829999999999</v>
      </c>
      <c r="J10402">
        <v>13.8</v>
      </c>
      <c r="K10402">
        <v>64</v>
      </c>
      <c r="L10402">
        <v>18.202010000000001</v>
      </c>
      <c r="M10402">
        <v>34.980449999999998</v>
      </c>
      <c r="N10402">
        <v>13.65592</v>
      </c>
      <c r="O10402">
        <v>21.324529999999999</v>
      </c>
      <c r="P10402">
        <v>22.140989999999999</v>
      </c>
      <c r="Q10402">
        <v>22.480450000000001</v>
      </c>
      <c r="R10402">
        <v>26.5199</v>
      </c>
      <c r="S10402">
        <v>22.140989999999999</v>
      </c>
      <c r="T10402">
        <v>964.67920000000004</v>
      </c>
      <c r="U10402">
        <v>282.09780000000001</v>
      </c>
      <c r="V10402">
        <v>0</v>
      </c>
      <c r="W10402">
        <v>115.7461</v>
      </c>
      <c r="X10402">
        <v>658.94169999999997</v>
      </c>
      <c r="Y10402">
        <v>1</v>
      </c>
      <c r="Z10402">
        <v>126.9914</v>
      </c>
      <c r="AA10402">
        <v>658.94169999999997</v>
      </c>
      <c r="AB10402">
        <v>24.173570000000002</v>
      </c>
      <c r="AC10402">
        <v>1.9839300000000001E-2</v>
      </c>
      <c r="AD10402">
        <v>4.6124650000000003</v>
      </c>
      <c r="AE10402">
        <v>0.69531189999999998</v>
      </c>
      <c r="AF10402">
        <v>873.4443</v>
      </c>
      <c r="AG10402">
        <f>IFERROR(AH10402*0.1, "N/A")</f>
        <v>6.1648370000000003</v>
      </c>
      <c r="AH10402">
        <v>61.64837</v>
      </c>
      <c r="AI10402">
        <v>54.6235</v>
      </c>
      <c r="AJ10402">
        <v>22.939969999999999</v>
      </c>
      <c r="AK10402">
        <v>57.718699999999998</v>
      </c>
    </row>
    <row r="10403" spans="1:37" x14ac:dyDescent="0.3">
      <c r="A10403">
        <v>10402</v>
      </c>
      <c r="B10403">
        <v>92.6</v>
      </c>
      <c r="C10403">
        <v>15.1313</v>
      </c>
      <c r="D10403">
        <v>10.5718</v>
      </c>
      <c r="E10403" t="s">
        <v>15724</v>
      </c>
      <c r="F10403" t="s">
        <v>15725</v>
      </c>
      <c r="G10403" t="s">
        <v>39</v>
      </c>
      <c r="H10403">
        <v>1995</v>
      </c>
      <c r="I10403">
        <v>28.3</v>
      </c>
      <c r="J10403">
        <v>13.8</v>
      </c>
      <c r="K10403">
        <v>62</v>
      </c>
      <c r="L10403">
        <v>20.61</v>
      </c>
      <c r="M10403">
        <v>39.700000000000003</v>
      </c>
      <c r="N10403">
        <v>17.5</v>
      </c>
      <c r="O10403">
        <v>22.2</v>
      </c>
      <c r="P10403">
        <v>26.5</v>
      </c>
      <c r="Q10403">
        <v>26.6</v>
      </c>
      <c r="R10403">
        <v>31.4</v>
      </c>
      <c r="S10403">
        <v>26.5</v>
      </c>
      <c r="T10403">
        <v>743</v>
      </c>
      <c r="U10403">
        <v>230</v>
      </c>
      <c r="V10403">
        <v>0</v>
      </c>
      <c r="W10403">
        <v>126</v>
      </c>
      <c r="X10403">
        <v>547</v>
      </c>
      <c r="Y10403">
        <v>0</v>
      </c>
      <c r="Z10403">
        <v>71</v>
      </c>
      <c r="AA10403">
        <v>547</v>
      </c>
      <c r="AB10403">
        <v>1.280132</v>
      </c>
      <c r="AC10403">
        <v>9.4131349999999996E-3</v>
      </c>
      <c r="AD10403">
        <v>1.657551</v>
      </c>
      <c r="AE10403">
        <v>0.59894159999999996</v>
      </c>
      <c r="AF10403">
        <v>316.1558</v>
      </c>
      <c r="AG10403">
        <f>IFERROR(AH10403*0.1, "N/A")</f>
        <v>6.1142120000000002</v>
      </c>
      <c r="AH10403">
        <v>61.142119999999998</v>
      </c>
      <c r="AI10403">
        <v>54.720750000000002</v>
      </c>
      <c r="AJ10403">
        <v>28.984590000000001</v>
      </c>
      <c r="AK10403">
        <v>48.183219999999999</v>
      </c>
    </row>
    <row r="10404" spans="1:37" x14ac:dyDescent="0.3">
      <c r="A10404">
        <v>10403</v>
      </c>
      <c r="B10404">
        <v>0</v>
      </c>
      <c r="C10404">
        <v>14.333299999999999</v>
      </c>
      <c r="D10404">
        <v>10.583299999999999</v>
      </c>
      <c r="E10404" t="s">
        <v>15726</v>
      </c>
      <c r="F10404" t="s">
        <v>15727</v>
      </c>
      <c r="G10404" t="s">
        <v>39</v>
      </c>
      <c r="H10404">
        <v>1990</v>
      </c>
      <c r="I10404">
        <v>28.328050000000001</v>
      </c>
      <c r="J10404">
        <v>13.671939999999999</v>
      </c>
      <c r="K10404">
        <v>62.719450000000002</v>
      </c>
      <c r="L10404">
        <v>21.130710000000001</v>
      </c>
      <c r="M10404">
        <v>40.1</v>
      </c>
      <c r="N10404">
        <v>18.428049999999999</v>
      </c>
      <c r="O10404">
        <v>21.671949999999999</v>
      </c>
      <c r="P10404">
        <v>26.5</v>
      </c>
      <c r="Q10404">
        <v>26.928049999999999</v>
      </c>
      <c r="R10404">
        <v>31.523579999999999</v>
      </c>
      <c r="S10404">
        <v>26.5</v>
      </c>
      <c r="T10404">
        <v>793</v>
      </c>
      <c r="U10404">
        <v>244</v>
      </c>
      <c r="V10404">
        <v>0</v>
      </c>
      <c r="W10404">
        <v>122</v>
      </c>
      <c r="X10404">
        <v>578</v>
      </c>
      <c r="Y10404">
        <v>0</v>
      </c>
      <c r="Z10404">
        <v>81</v>
      </c>
      <c r="AA10404">
        <v>578</v>
      </c>
      <c r="AB10404">
        <v>0.23081109999999999</v>
      </c>
      <c r="AC10404">
        <v>21.785779999999999</v>
      </c>
      <c r="AD10404">
        <v>0.8803185</v>
      </c>
      <c r="AE10404">
        <v>0.73967799999999995</v>
      </c>
      <c r="AF10404">
        <v>393.8657</v>
      </c>
      <c r="AG10404">
        <f>IFERROR(AH10404*0.1, "N/A")</f>
        <v>7.1318420000000007</v>
      </c>
      <c r="AH10404">
        <v>71.318420000000003</v>
      </c>
      <c r="AI10404">
        <v>108.6528</v>
      </c>
      <c r="AJ10404">
        <v>21</v>
      </c>
      <c r="AK10404">
        <v>63.681579999999997</v>
      </c>
    </row>
    <row r="10405" spans="1:37" x14ac:dyDescent="0.3">
      <c r="A10405">
        <v>10404</v>
      </c>
      <c r="B10405">
        <v>1.7</v>
      </c>
      <c r="C10405">
        <v>14.333299999999999</v>
      </c>
      <c r="D10405">
        <v>10.583299999999999</v>
      </c>
      <c r="E10405" t="s">
        <v>15726</v>
      </c>
      <c r="F10405" t="s">
        <v>15728</v>
      </c>
      <c r="G10405" t="s">
        <v>37</v>
      </c>
      <c r="H10405">
        <v>1990</v>
      </c>
      <c r="I10405">
        <v>28.328050000000001</v>
      </c>
      <c r="J10405">
        <v>13.671939999999999</v>
      </c>
      <c r="K10405">
        <v>62.719450000000002</v>
      </c>
      <c r="L10405">
        <v>21.130710000000001</v>
      </c>
      <c r="M10405">
        <v>40.1</v>
      </c>
      <c r="N10405">
        <v>18.428049999999999</v>
      </c>
      <c r="O10405">
        <v>21.671949999999999</v>
      </c>
      <c r="P10405">
        <v>26.5</v>
      </c>
      <c r="Q10405">
        <v>26.928049999999999</v>
      </c>
      <c r="R10405">
        <v>31.523579999999999</v>
      </c>
      <c r="S10405">
        <v>26.5</v>
      </c>
      <c r="T10405">
        <v>793</v>
      </c>
      <c r="U10405">
        <v>244</v>
      </c>
      <c r="V10405">
        <v>0</v>
      </c>
      <c r="W10405">
        <v>122</v>
      </c>
      <c r="X10405">
        <v>578</v>
      </c>
      <c r="Y10405">
        <v>0</v>
      </c>
      <c r="Z10405">
        <v>81</v>
      </c>
      <c r="AA10405">
        <v>578</v>
      </c>
      <c r="AB10405">
        <v>0.23081109999999999</v>
      </c>
      <c r="AC10405">
        <v>21.785779999999999</v>
      </c>
      <c r="AD10405">
        <v>0.8803185</v>
      </c>
      <c r="AE10405">
        <v>0.73967799999999995</v>
      </c>
      <c r="AF10405">
        <v>393.8657</v>
      </c>
      <c r="AG10405">
        <f>IFERROR(AH10405*0.1, "N/A")</f>
        <v>7.1318420000000007</v>
      </c>
      <c r="AH10405">
        <v>71.318420000000003</v>
      </c>
      <c r="AI10405">
        <v>108.6528</v>
      </c>
      <c r="AJ10405">
        <v>21</v>
      </c>
      <c r="AK10405">
        <v>63.681579999999997</v>
      </c>
    </row>
    <row r="10406" spans="1:37" x14ac:dyDescent="0.3">
      <c r="A10406">
        <v>10405</v>
      </c>
      <c r="B10406">
        <v>0</v>
      </c>
      <c r="C10406">
        <v>14.333299999999999</v>
      </c>
      <c r="D10406">
        <v>10.583299999999999</v>
      </c>
      <c r="E10406" t="s">
        <v>15726</v>
      </c>
      <c r="F10406" t="s">
        <v>15729</v>
      </c>
      <c r="G10406" t="s">
        <v>2420</v>
      </c>
      <c r="H10406">
        <v>1990</v>
      </c>
      <c r="I10406">
        <v>28.328050000000001</v>
      </c>
      <c r="J10406">
        <v>13.671939999999999</v>
      </c>
      <c r="K10406">
        <v>62.719450000000002</v>
      </c>
      <c r="L10406">
        <v>21.130710000000001</v>
      </c>
      <c r="M10406">
        <v>40.1</v>
      </c>
      <c r="N10406">
        <v>18.428049999999999</v>
      </c>
      <c r="O10406">
        <v>21.671949999999999</v>
      </c>
      <c r="P10406">
        <v>26.5</v>
      </c>
      <c r="Q10406">
        <v>26.928049999999999</v>
      </c>
      <c r="R10406">
        <v>31.523579999999999</v>
      </c>
      <c r="S10406">
        <v>26.5</v>
      </c>
      <c r="T10406">
        <v>793</v>
      </c>
      <c r="U10406">
        <v>244</v>
      </c>
      <c r="V10406">
        <v>0</v>
      </c>
      <c r="W10406">
        <v>122</v>
      </c>
      <c r="X10406">
        <v>578</v>
      </c>
      <c r="Y10406">
        <v>0</v>
      </c>
      <c r="Z10406">
        <v>81</v>
      </c>
      <c r="AA10406">
        <v>578</v>
      </c>
      <c r="AB10406">
        <v>0.23081109999999999</v>
      </c>
      <c r="AC10406">
        <v>21.785779999999999</v>
      </c>
      <c r="AD10406">
        <v>0.8803185</v>
      </c>
      <c r="AE10406">
        <v>0.73967799999999995</v>
      </c>
      <c r="AF10406">
        <v>393.8657</v>
      </c>
      <c r="AG10406">
        <f>IFERROR(AH10406*0.1, "N/A")</f>
        <v>7.1318420000000007</v>
      </c>
      <c r="AH10406">
        <v>71.318420000000003</v>
      </c>
      <c r="AI10406">
        <v>108.6528</v>
      </c>
      <c r="AJ10406">
        <v>21</v>
      </c>
      <c r="AK10406">
        <v>63.681579999999997</v>
      </c>
    </row>
    <row r="10407" spans="1:37" x14ac:dyDescent="0.3">
      <c r="A10407">
        <v>10406</v>
      </c>
      <c r="B10407">
        <v>27</v>
      </c>
      <c r="C10407">
        <v>14.315899999999999</v>
      </c>
      <c r="D10407">
        <v>10.590999999999999</v>
      </c>
      <c r="E10407" t="s">
        <v>15730</v>
      </c>
      <c r="F10407" t="s">
        <v>15731</v>
      </c>
      <c r="G10407" t="s">
        <v>39</v>
      </c>
      <c r="H10407">
        <v>1987</v>
      </c>
      <c r="I10407">
        <v>28.3</v>
      </c>
      <c r="J10407">
        <v>13.7</v>
      </c>
      <c r="K10407">
        <v>62</v>
      </c>
      <c r="L10407">
        <v>21.174379999999999</v>
      </c>
      <c r="M10407">
        <v>40.200000000000003</v>
      </c>
      <c r="N10407">
        <v>18.399999999999999</v>
      </c>
      <c r="O10407">
        <v>21.8</v>
      </c>
      <c r="P10407">
        <v>26.4</v>
      </c>
      <c r="Q10407">
        <v>26.9</v>
      </c>
      <c r="R10407">
        <v>31.5</v>
      </c>
      <c r="S10407">
        <v>26.4</v>
      </c>
      <c r="T10407">
        <v>796.91970000000003</v>
      </c>
      <c r="U10407">
        <v>245</v>
      </c>
      <c r="V10407">
        <v>0</v>
      </c>
      <c r="W10407">
        <v>123</v>
      </c>
      <c r="X10407">
        <v>580</v>
      </c>
      <c r="Y10407">
        <v>0</v>
      </c>
      <c r="Z10407">
        <v>82</v>
      </c>
      <c r="AA10407">
        <v>580</v>
      </c>
      <c r="AB10407">
        <v>2.940518</v>
      </c>
      <c r="AC10407">
        <v>3.8821469999999997E-2</v>
      </c>
      <c r="AD10407">
        <v>2.1940719999999998</v>
      </c>
      <c r="AE10407">
        <v>0.83991660000000001</v>
      </c>
      <c r="AF10407">
        <v>404.65129999999999</v>
      </c>
      <c r="AG10407">
        <f>IFERROR(AH10407*0.1, "N/A")</f>
        <v>6.5579490000000007</v>
      </c>
      <c r="AH10407">
        <v>65.579490000000007</v>
      </c>
      <c r="AI10407">
        <v>246.90649999999999</v>
      </c>
      <c r="AJ10407">
        <v>21.535039999999999</v>
      </c>
      <c r="AK10407">
        <v>59.454700000000003</v>
      </c>
    </row>
    <row r="10408" spans="1:37" x14ac:dyDescent="0.3">
      <c r="A10408">
        <v>10407</v>
      </c>
      <c r="B10408">
        <v>40</v>
      </c>
      <c r="C10408">
        <v>14.326000000000001</v>
      </c>
      <c r="D10408">
        <v>10.593</v>
      </c>
      <c r="E10408" t="s">
        <v>15732</v>
      </c>
      <c r="F10408" t="s">
        <v>15733</v>
      </c>
      <c r="G10408" t="s">
        <v>39</v>
      </c>
      <c r="H10408">
        <v>1987</v>
      </c>
      <c r="I10408">
        <v>28.3</v>
      </c>
      <c r="J10408">
        <v>13.7</v>
      </c>
      <c r="K10408">
        <v>62</v>
      </c>
      <c r="L10408">
        <v>21.207789999999999</v>
      </c>
      <c r="M10408">
        <v>40.200000000000003</v>
      </c>
      <c r="N10408">
        <v>18.399999999999999</v>
      </c>
      <c r="O10408">
        <v>21.8</v>
      </c>
      <c r="P10408">
        <v>26.4</v>
      </c>
      <c r="Q10408">
        <v>26.9</v>
      </c>
      <c r="R10408">
        <v>31.5</v>
      </c>
      <c r="S10408">
        <v>26.4</v>
      </c>
      <c r="T10408">
        <v>794.07360000000006</v>
      </c>
      <c r="U10408">
        <v>245</v>
      </c>
      <c r="V10408">
        <v>0</v>
      </c>
      <c r="W10408">
        <v>123</v>
      </c>
      <c r="X10408">
        <v>579.07360000000006</v>
      </c>
      <c r="Y10408">
        <v>0</v>
      </c>
      <c r="Z10408">
        <v>81</v>
      </c>
      <c r="AA10408">
        <v>579.07360000000006</v>
      </c>
      <c r="AB10408">
        <v>4.7063480000000002</v>
      </c>
      <c r="AC10408">
        <v>1.4665640000000001E-2</v>
      </c>
      <c r="AD10408">
        <v>1.426107</v>
      </c>
      <c r="AE10408">
        <v>0.84770160000000006</v>
      </c>
      <c r="AF10408">
        <v>398.47949999999997</v>
      </c>
      <c r="AG10408">
        <f>IFERROR(AH10408*0.1, "N/A")</f>
        <v>6.8000000000000007</v>
      </c>
      <c r="AH10408">
        <v>68</v>
      </c>
      <c r="AI10408">
        <v>144.53649999999999</v>
      </c>
      <c r="AJ10408">
        <v>20.568490000000001</v>
      </c>
      <c r="AK10408">
        <v>61.294519999999999</v>
      </c>
    </row>
    <row r="10409" spans="1:37" x14ac:dyDescent="0.3">
      <c r="A10409">
        <v>10408</v>
      </c>
      <c r="B10409">
        <v>2.4</v>
      </c>
      <c r="C10409">
        <v>14.316700000000001</v>
      </c>
      <c r="D10409">
        <v>10.595000000000001</v>
      </c>
      <c r="E10409" t="s">
        <v>15734</v>
      </c>
      <c r="F10409" t="s">
        <v>15735</v>
      </c>
      <c r="G10409" t="s">
        <v>37</v>
      </c>
      <c r="H10409">
        <v>1980</v>
      </c>
      <c r="I10409">
        <v>28.3</v>
      </c>
      <c r="J10409">
        <v>13.7</v>
      </c>
      <c r="K10409">
        <v>62.275390000000002</v>
      </c>
      <c r="L10409">
        <v>21.149709999999999</v>
      </c>
      <c r="M10409">
        <v>40.172460000000001</v>
      </c>
      <c r="N10409">
        <v>18.399999999999999</v>
      </c>
      <c r="O10409">
        <v>21.772459999999999</v>
      </c>
      <c r="P10409">
        <v>26.37246</v>
      </c>
      <c r="Q10409">
        <v>26.9</v>
      </c>
      <c r="R10409">
        <v>31.472460000000002</v>
      </c>
      <c r="S10409">
        <v>26.37246</v>
      </c>
      <c r="T10409">
        <v>795.55079999999998</v>
      </c>
      <c r="U10409">
        <v>245</v>
      </c>
      <c r="V10409">
        <v>0</v>
      </c>
      <c r="W10409">
        <v>123</v>
      </c>
      <c r="X10409">
        <v>580</v>
      </c>
      <c r="Y10409">
        <v>0</v>
      </c>
      <c r="Z10409">
        <v>81.275390000000002</v>
      </c>
      <c r="AA10409">
        <v>580</v>
      </c>
      <c r="AB10409">
        <v>5.1454500000000003</v>
      </c>
      <c r="AC10409">
        <v>3.2694170000000002E-2</v>
      </c>
      <c r="AD10409">
        <v>0.67533560000000004</v>
      </c>
      <c r="AE10409">
        <v>0.84580540000000004</v>
      </c>
      <c r="AF10409">
        <v>400.69189999999998</v>
      </c>
      <c r="AG10409">
        <f>IFERROR(AH10409*0.1, "N/A")</f>
        <v>6.744923</v>
      </c>
      <c r="AH10409">
        <v>67.44923</v>
      </c>
      <c r="AI10409">
        <v>129.6018</v>
      </c>
      <c r="AJ10409">
        <v>19.710840000000001</v>
      </c>
      <c r="AK10409">
        <v>61.437179999999998</v>
      </c>
    </row>
    <row r="10410" spans="1:37" x14ac:dyDescent="0.3">
      <c r="A10410">
        <v>10409</v>
      </c>
      <c r="B10410">
        <v>13.2</v>
      </c>
      <c r="C10410">
        <v>15.1389</v>
      </c>
      <c r="D10410">
        <v>10.6111</v>
      </c>
      <c r="E10410" t="s">
        <v>15736</v>
      </c>
      <c r="F10410" t="s">
        <v>15737</v>
      </c>
      <c r="G10410" t="s">
        <v>39</v>
      </c>
      <c r="H10410">
        <v>1990</v>
      </c>
      <c r="I10410">
        <v>28.2</v>
      </c>
      <c r="J10410">
        <v>13.8</v>
      </c>
      <c r="K10410">
        <v>61</v>
      </c>
      <c r="L10410">
        <v>20.72</v>
      </c>
      <c r="M10410">
        <v>39.700000000000003</v>
      </c>
      <c r="N10410">
        <v>17.3</v>
      </c>
      <c r="O10410">
        <v>22.4</v>
      </c>
      <c r="P10410">
        <v>26.6</v>
      </c>
      <c r="Q10410">
        <v>26.5</v>
      </c>
      <c r="R10410">
        <v>31.4</v>
      </c>
      <c r="S10410">
        <v>26.5</v>
      </c>
      <c r="T10410">
        <v>741</v>
      </c>
      <c r="U10410">
        <v>231</v>
      </c>
      <c r="V10410">
        <v>0</v>
      </c>
      <c r="W10410">
        <v>127</v>
      </c>
      <c r="X10410">
        <v>548</v>
      </c>
      <c r="Y10410">
        <v>0</v>
      </c>
      <c r="Z10410">
        <v>68</v>
      </c>
      <c r="AA10410">
        <v>0</v>
      </c>
      <c r="AB10410">
        <v>0.59588129999999995</v>
      </c>
      <c r="AC10410">
        <v>1.1374240000000001E-2</v>
      </c>
      <c r="AD10410">
        <v>1.3156760000000001</v>
      </c>
      <c r="AE10410">
        <v>0.59595679999999995</v>
      </c>
      <c r="AF10410">
        <v>314.63810000000001</v>
      </c>
      <c r="AG10410">
        <f>IFERROR(AH10410*0.1, "N/A")</f>
        <v>6.1653520000000004</v>
      </c>
      <c r="AH10410">
        <v>61.65352</v>
      </c>
      <c r="AI10410">
        <v>110.4542</v>
      </c>
      <c r="AJ10410">
        <v>29</v>
      </c>
      <c r="AK10410">
        <v>47.73413</v>
      </c>
    </row>
    <row r="10411" spans="1:37" x14ac:dyDescent="0.3">
      <c r="A10411">
        <v>10410</v>
      </c>
      <c r="B10411">
        <v>5.4</v>
      </c>
      <c r="C10411">
        <v>15.1389</v>
      </c>
      <c r="D10411">
        <v>10.6111</v>
      </c>
      <c r="E10411" t="s">
        <v>15736</v>
      </c>
      <c r="F10411" t="s">
        <v>15738</v>
      </c>
      <c r="G10411" t="s">
        <v>37</v>
      </c>
      <c r="H10411">
        <v>1990</v>
      </c>
      <c r="I10411">
        <v>28.2</v>
      </c>
      <c r="J10411">
        <v>13.8</v>
      </c>
      <c r="K10411">
        <v>61</v>
      </c>
      <c r="L10411">
        <v>20.72</v>
      </c>
      <c r="M10411">
        <v>39.700000000000003</v>
      </c>
      <c r="N10411">
        <v>17.3</v>
      </c>
      <c r="O10411">
        <v>22.4</v>
      </c>
      <c r="P10411">
        <v>26.6</v>
      </c>
      <c r="Q10411">
        <v>26.5</v>
      </c>
      <c r="R10411">
        <v>31.4</v>
      </c>
      <c r="S10411">
        <v>26.5</v>
      </c>
      <c r="T10411">
        <v>741</v>
      </c>
      <c r="U10411">
        <v>231</v>
      </c>
      <c r="V10411">
        <v>0</v>
      </c>
      <c r="W10411">
        <v>127</v>
      </c>
      <c r="X10411">
        <v>548</v>
      </c>
      <c r="Y10411">
        <v>0</v>
      </c>
      <c r="Z10411">
        <v>68</v>
      </c>
      <c r="AA10411">
        <v>0</v>
      </c>
      <c r="AB10411">
        <v>0.59588129999999995</v>
      </c>
      <c r="AC10411">
        <v>1.1374240000000001E-2</v>
      </c>
      <c r="AD10411">
        <v>1.3156760000000001</v>
      </c>
      <c r="AE10411">
        <v>0.59595679999999995</v>
      </c>
      <c r="AF10411">
        <v>314.63810000000001</v>
      </c>
      <c r="AG10411">
        <f>IFERROR(AH10411*0.1, "N/A")</f>
        <v>6.1653520000000004</v>
      </c>
      <c r="AH10411">
        <v>61.65352</v>
      </c>
      <c r="AI10411">
        <v>110.4542</v>
      </c>
      <c r="AJ10411">
        <v>29</v>
      </c>
      <c r="AK10411">
        <v>47.73413</v>
      </c>
    </row>
    <row r="10412" spans="1:37" x14ac:dyDescent="0.3">
      <c r="A10412">
        <v>10411</v>
      </c>
      <c r="B10412">
        <v>0</v>
      </c>
      <c r="C10412">
        <v>15.1389</v>
      </c>
      <c r="D10412">
        <v>10.6111</v>
      </c>
      <c r="E10412" t="s">
        <v>15736</v>
      </c>
      <c r="F10412" t="s">
        <v>15739</v>
      </c>
      <c r="G10412" t="s">
        <v>2420</v>
      </c>
      <c r="H10412">
        <v>1990</v>
      </c>
      <c r="I10412">
        <v>28.2</v>
      </c>
      <c r="J10412">
        <v>13.8</v>
      </c>
      <c r="K10412">
        <v>61</v>
      </c>
      <c r="L10412">
        <v>20.72</v>
      </c>
      <c r="M10412">
        <v>39.700000000000003</v>
      </c>
      <c r="N10412">
        <v>17.3</v>
      </c>
      <c r="O10412">
        <v>22.4</v>
      </c>
      <c r="P10412">
        <v>26.6</v>
      </c>
      <c r="Q10412">
        <v>26.5</v>
      </c>
      <c r="R10412">
        <v>31.4</v>
      </c>
      <c r="S10412">
        <v>26.5</v>
      </c>
      <c r="T10412">
        <v>741</v>
      </c>
      <c r="U10412">
        <v>231</v>
      </c>
      <c r="V10412">
        <v>0</v>
      </c>
      <c r="W10412">
        <v>127</v>
      </c>
      <c r="X10412">
        <v>548</v>
      </c>
      <c r="Y10412">
        <v>0</v>
      </c>
      <c r="Z10412">
        <v>68</v>
      </c>
      <c r="AA10412">
        <v>0</v>
      </c>
      <c r="AB10412">
        <v>0.59588129999999995</v>
      </c>
      <c r="AC10412">
        <v>1.1374240000000001E-2</v>
      </c>
      <c r="AD10412">
        <v>1.3156760000000001</v>
      </c>
      <c r="AE10412">
        <v>0.59595679999999995</v>
      </c>
      <c r="AF10412">
        <v>314.63810000000001</v>
      </c>
      <c r="AG10412">
        <f>IFERROR(AH10412*0.1, "N/A")</f>
        <v>6.1653520000000004</v>
      </c>
      <c r="AH10412">
        <v>61.65352</v>
      </c>
      <c r="AI10412">
        <v>110.4542</v>
      </c>
      <c r="AJ10412">
        <v>29</v>
      </c>
      <c r="AK10412">
        <v>47.73413</v>
      </c>
    </row>
    <row r="10413" spans="1:37" x14ac:dyDescent="0.3">
      <c r="A10413">
        <v>10412</v>
      </c>
      <c r="B10413">
        <v>6.5</v>
      </c>
      <c r="C10413">
        <v>15.132999999999999</v>
      </c>
      <c r="D10413">
        <v>10.619</v>
      </c>
      <c r="E10413" t="s">
        <v>15740</v>
      </c>
      <c r="F10413" t="s">
        <v>15741</v>
      </c>
      <c r="G10413" t="s">
        <v>39</v>
      </c>
      <c r="H10413">
        <v>1987</v>
      </c>
      <c r="I10413">
        <v>28.251110000000001</v>
      </c>
      <c r="J10413">
        <v>13.9</v>
      </c>
      <c r="K10413">
        <v>61</v>
      </c>
      <c r="L10413">
        <v>20.91</v>
      </c>
      <c r="M10413">
        <v>39.799999999999997</v>
      </c>
      <c r="N10413">
        <v>17.3</v>
      </c>
      <c r="O10413">
        <v>22.5</v>
      </c>
      <c r="P10413">
        <v>26.6</v>
      </c>
      <c r="Q10413">
        <v>26.5</v>
      </c>
      <c r="R10413">
        <v>31.4</v>
      </c>
      <c r="S10413">
        <v>26.5</v>
      </c>
      <c r="T10413">
        <v>741.48889999999994</v>
      </c>
      <c r="U10413">
        <v>231.4889</v>
      </c>
      <c r="V10413">
        <v>0</v>
      </c>
      <c r="W10413">
        <v>127</v>
      </c>
      <c r="X10413">
        <v>548.48889999999994</v>
      </c>
      <c r="Y10413">
        <v>0</v>
      </c>
      <c r="Z10413">
        <v>68</v>
      </c>
      <c r="AA10413">
        <v>0</v>
      </c>
      <c r="AB10413">
        <v>0.41492570000000001</v>
      </c>
      <c r="AC10413">
        <v>1.490579E-2</v>
      </c>
      <c r="AD10413">
        <v>1.263925</v>
      </c>
      <c r="AE10413">
        <v>0.31756519999999999</v>
      </c>
      <c r="AF10413">
        <v>312.75810000000001</v>
      </c>
      <c r="AG10413">
        <f>IFERROR(AH10413*0.1, "N/A")</f>
        <v>6.4488850000000006</v>
      </c>
      <c r="AH10413">
        <v>64.488849999999999</v>
      </c>
      <c r="AI10413">
        <v>102.0448</v>
      </c>
      <c r="AJ10413">
        <v>37.022300000000001</v>
      </c>
      <c r="AK10413">
        <v>40.977699999999999</v>
      </c>
    </row>
    <row r="10414" spans="1:37" x14ac:dyDescent="0.3">
      <c r="A10414">
        <v>10413</v>
      </c>
      <c r="B10414">
        <v>1.9</v>
      </c>
      <c r="C10414">
        <v>15.099</v>
      </c>
      <c r="D10414">
        <v>10.653</v>
      </c>
      <c r="E10414" t="s">
        <v>15742</v>
      </c>
      <c r="F10414" t="s">
        <v>15743</v>
      </c>
      <c r="G10414" t="s">
        <v>39</v>
      </c>
      <c r="H10414">
        <v>1987</v>
      </c>
      <c r="I10414">
        <v>28.3</v>
      </c>
      <c r="J10414">
        <v>13.9</v>
      </c>
      <c r="K10414">
        <v>61</v>
      </c>
      <c r="L10414">
        <v>21.120190000000001</v>
      </c>
      <c r="M10414">
        <v>39.9</v>
      </c>
      <c r="N10414">
        <v>17.3</v>
      </c>
      <c r="O10414">
        <v>22.6</v>
      </c>
      <c r="P10414">
        <v>26.6</v>
      </c>
      <c r="Q10414">
        <v>26.5</v>
      </c>
      <c r="R10414">
        <v>31.5</v>
      </c>
      <c r="S10414">
        <v>26.5</v>
      </c>
      <c r="T10414">
        <v>740</v>
      </c>
      <c r="U10414">
        <v>232</v>
      </c>
      <c r="V10414">
        <v>0</v>
      </c>
      <c r="W10414">
        <v>127</v>
      </c>
      <c r="X10414">
        <v>550</v>
      </c>
      <c r="Y10414">
        <v>0</v>
      </c>
      <c r="Z10414">
        <v>65</v>
      </c>
      <c r="AA10414">
        <v>0</v>
      </c>
      <c r="AB10414">
        <v>1.3000100000000001</v>
      </c>
      <c r="AC10414">
        <v>1.0882630000000001E-2</v>
      </c>
      <c r="AD10414">
        <v>0.65591650000000001</v>
      </c>
      <c r="AE10414">
        <v>0.64713880000000001</v>
      </c>
      <c r="AF10414">
        <v>315.5643</v>
      </c>
      <c r="AG10414">
        <f>IFERROR(AH10414*0.1, "N/A")</f>
        <v>6.3411660000000003</v>
      </c>
      <c r="AH10414">
        <v>63.411659999999998</v>
      </c>
      <c r="AI10414">
        <v>59.417830000000002</v>
      </c>
      <c r="AJ10414">
        <v>29.831900000000001</v>
      </c>
      <c r="AK10414">
        <v>47.168100000000003</v>
      </c>
    </row>
    <row r="10415" spans="1:37" x14ac:dyDescent="0.3">
      <c r="A10415">
        <v>10414</v>
      </c>
      <c r="B10415">
        <v>32.5</v>
      </c>
      <c r="C10415">
        <v>15.131600000000001</v>
      </c>
      <c r="D10415">
        <v>10.6647</v>
      </c>
      <c r="E10415" t="s">
        <v>15744</v>
      </c>
      <c r="F10415" t="s">
        <v>15745</v>
      </c>
      <c r="G10415" t="s">
        <v>39</v>
      </c>
      <c r="H10415">
        <v>1995</v>
      </c>
      <c r="I10415">
        <v>28.2</v>
      </c>
      <c r="J10415">
        <v>13.9</v>
      </c>
      <c r="K10415">
        <v>61</v>
      </c>
      <c r="L10415">
        <v>20.93</v>
      </c>
      <c r="M10415">
        <v>39.799999999999997</v>
      </c>
      <c r="N10415">
        <v>17.3</v>
      </c>
      <c r="O10415">
        <v>22.5</v>
      </c>
      <c r="P10415">
        <v>26.6</v>
      </c>
      <c r="Q10415">
        <v>26.4</v>
      </c>
      <c r="R10415">
        <v>31.4</v>
      </c>
      <c r="S10415">
        <v>26.4</v>
      </c>
      <c r="T10415">
        <v>742</v>
      </c>
      <c r="U10415">
        <v>232</v>
      </c>
      <c r="V10415">
        <v>0</v>
      </c>
      <c r="W10415">
        <v>127</v>
      </c>
      <c r="X10415">
        <v>551</v>
      </c>
      <c r="Y10415">
        <v>0</v>
      </c>
      <c r="Z10415">
        <v>65</v>
      </c>
      <c r="AA10415">
        <v>0</v>
      </c>
      <c r="AB10415">
        <v>5.1588459999999996</v>
      </c>
      <c r="AC10415">
        <v>2.3739139999999999E-2</v>
      </c>
      <c r="AD10415">
        <v>1.9990810000000001</v>
      </c>
      <c r="AE10415">
        <v>0.67684129999999998</v>
      </c>
      <c r="AF10415">
        <v>317.30529999999999</v>
      </c>
      <c r="AG10415">
        <f>IFERROR(AH10415*0.1, "N/A")</f>
        <v>5.7998280000000006</v>
      </c>
      <c r="AH10415">
        <v>57.998280000000001</v>
      </c>
      <c r="AI10415">
        <v>129.37860000000001</v>
      </c>
      <c r="AJ10415">
        <v>26.464839999999999</v>
      </c>
      <c r="AK10415">
        <v>54.355060000000002</v>
      </c>
    </row>
    <row r="10416" spans="1:37" x14ac:dyDescent="0.3">
      <c r="A10416">
        <v>10415</v>
      </c>
      <c r="B10416">
        <v>87.5</v>
      </c>
      <c r="C10416">
        <v>15.0284</v>
      </c>
      <c r="D10416">
        <v>10.666</v>
      </c>
      <c r="E10416" t="s">
        <v>15746</v>
      </c>
      <c r="F10416" t="s">
        <v>15747</v>
      </c>
      <c r="G10416" t="s">
        <v>39</v>
      </c>
      <c r="H10416">
        <v>1995</v>
      </c>
      <c r="I10416">
        <v>28.3</v>
      </c>
      <c r="J10416">
        <v>13.9</v>
      </c>
      <c r="K10416">
        <v>62</v>
      </c>
      <c r="L10416">
        <v>20.86966</v>
      </c>
      <c r="M10416">
        <v>39.9</v>
      </c>
      <c r="N10416">
        <v>17.5</v>
      </c>
      <c r="O10416">
        <v>22.4</v>
      </c>
      <c r="P10416">
        <v>26.509399999999999</v>
      </c>
      <c r="Q10416">
        <v>26.6</v>
      </c>
      <c r="R10416">
        <v>31.4</v>
      </c>
      <c r="S10416">
        <v>26.509399999999999</v>
      </c>
      <c r="T10416">
        <v>741.90599999999995</v>
      </c>
      <c r="U10416">
        <v>232</v>
      </c>
      <c r="V10416">
        <v>0</v>
      </c>
      <c r="W10416">
        <v>127</v>
      </c>
      <c r="X10416">
        <v>551</v>
      </c>
      <c r="Y10416">
        <v>0</v>
      </c>
      <c r="Z10416">
        <v>65.90598</v>
      </c>
      <c r="AA10416">
        <v>499.19659999999999</v>
      </c>
      <c r="AB10416">
        <v>1.8900870000000001</v>
      </c>
      <c r="AC10416">
        <v>1.1002990000000001E-2</v>
      </c>
      <c r="AD10416">
        <v>1.6702189999999999</v>
      </c>
      <c r="AE10416">
        <v>0.68940570000000001</v>
      </c>
      <c r="AF10416">
        <v>320.76920000000001</v>
      </c>
      <c r="AG10416">
        <f>IFERROR(AH10416*0.1, "N/A")</f>
        <v>5.8801710000000007</v>
      </c>
      <c r="AH10416">
        <v>58.80171</v>
      </c>
      <c r="AI10416">
        <v>206.17429999999999</v>
      </c>
      <c r="AJ10416">
        <v>23.970939999999999</v>
      </c>
      <c r="AK10416">
        <v>53.54701</v>
      </c>
    </row>
    <row r="10417" spans="1:37" x14ac:dyDescent="0.3">
      <c r="A10417">
        <v>10416</v>
      </c>
      <c r="B10417">
        <v>3.1</v>
      </c>
      <c r="C10417">
        <v>15.031700000000001</v>
      </c>
      <c r="D10417">
        <v>10.667899999999999</v>
      </c>
      <c r="E10417" t="s">
        <v>15748</v>
      </c>
      <c r="F10417" t="s">
        <v>15749</v>
      </c>
      <c r="G10417" t="s">
        <v>39</v>
      </c>
      <c r="H10417">
        <v>1987</v>
      </c>
      <c r="I10417">
        <v>28.3</v>
      </c>
      <c r="J10417">
        <v>13.9</v>
      </c>
      <c r="K10417">
        <v>62</v>
      </c>
      <c r="L10417">
        <v>20.77</v>
      </c>
      <c r="M10417">
        <v>39.9</v>
      </c>
      <c r="N10417">
        <v>17.5</v>
      </c>
      <c r="O10417">
        <v>22.4</v>
      </c>
      <c r="P10417">
        <v>26.6</v>
      </c>
      <c r="Q10417">
        <v>26.6</v>
      </c>
      <c r="R10417">
        <v>31.4</v>
      </c>
      <c r="S10417">
        <v>26.6</v>
      </c>
      <c r="T10417">
        <v>741</v>
      </c>
      <c r="U10417">
        <v>232</v>
      </c>
      <c r="V10417">
        <v>0</v>
      </c>
      <c r="W10417">
        <v>127</v>
      </c>
      <c r="X10417">
        <v>551</v>
      </c>
      <c r="Y10417">
        <v>0</v>
      </c>
      <c r="Z10417">
        <v>65</v>
      </c>
      <c r="AA10417">
        <v>0</v>
      </c>
      <c r="AB10417">
        <v>2.0623330000000002</v>
      </c>
      <c r="AC10417">
        <v>2.5914059999999999E-2</v>
      </c>
      <c r="AD10417">
        <v>0.91582209999999997</v>
      </c>
      <c r="AE10417">
        <v>0.6939012</v>
      </c>
      <c r="AF10417">
        <v>314.488</v>
      </c>
      <c r="AG10417">
        <f>IFERROR(AH10417*0.1, "N/A")</f>
        <v>6.1328770000000006</v>
      </c>
      <c r="AH10417">
        <v>61.328769999999999</v>
      </c>
      <c r="AI10417">
        <v>12.53375</v>
      </c>
      <c r="AJ10417">
        <v>24.143840000000001</v>
      </c>
      <c r="AK10417">
        <v>54.695210000000003</v>
      </c>
    </row>
    <row r="10418" spans="1:37" x14ac:dyDescent="0.3">
      <c r="A10418">
        <v>10417</v>
      </c>
      <c r="B10418">
        <v>0.6</v>
      </c>
      <c r="C10418">
        <v>15.1333</v>
      </c>
      <c r="D10418">
        <v>10.683299999999999</v>
      </c>
      <c r="E10418" t="s">
        <v>15750</v>
      </c>
      <c r="F10418" t="s">
        <v>15751</v>
      </c>
      <c r="G10418" t="s">
        <v>39</v>
      </c>
      <c r="H10418">
        <v>1987</v>
      </c>
      <c r="I10418">
        <v>28.2</v>
      </c>
      <c r="J10418">
        <v>13.9</v>
      </c>
      <c r="K10418">
        <v>61</v>
      </c>
      <c r="L10418">
        <v>21.120049999999999</v>
      </c>
      <c r="M10418">
        <v>39.9</v>
      </c>
      <c r="N10418">
        <v>17.3</v>
      </c>
      <c r="O10418">
        <v>22.6</v>
      </c>
      <c r="P10418">
        <v>26.597270000000002</v>
      </c>
      <c r="Q10418">
        <v>26.4</v>
      </c>
      <c r="R10418">
        <v>31.422049999999999</v>
      </c>
      <c r="S10418">
        <v>26.4</v>
      </c>
      <c r="T10418">
        <v>740.77949999999998</v>
      </c>
      <c r="U10418">
        <v>232.5504</v>
      </c>
      <c r="V10418">
        <v>0</v>
      </c>
      <c r="W10418">
        <v>127.5504</v>
      </c>
      <c r="X10418">
        <v>551.55039999999997</v>
      </c>
      <c r="Y10418">
        <v>0</v>
      </c>
      <c r="Z10418">
        <v>63</v>
      </c>
      <c r="AA10418">
        <v>0</v>
      </c>
      <c r="AB10418">
        <v>4.2152229999999999</v>
      </c>
      <c r="AC10418">
        <v>1.7480280000000001E-2</v>
      </c>
      <c r="AD10418">
        <v>0.92427619999999999</v>
      </c>
      <c r="AE10418">
        <v>0.59163920000000003</v>
      </c>
      <c r="AF10418">
        <v>314.22910000000002</v>
      </c>
      <c r="AG10418">
        <f>IFERROR(AH10418*0.1, "N/A")</f>
        <v>5.805517</v>
      </c>
      <c r="AH10418">
        <v>58.055169999999997</v>
      </c>
      <c r="AI10418">
        <v>89.673739999999995</v>
      </c>
      <c r="AJ10418">
        <v>30.94483</v>
      </c>
      <c r="AK10418">
        <v>46.944830000000003</v>
      </c>
    </row>
    <row r="10419" spans="1:37" x14ac:dyDescent="0.3">
      <c r="A10419">
        <v>10418</v>
      </c>
      <c r="B10419">
        <v>5</v>
      </c>
      <c r="C10419">
        <v>15.044</v>
      </c>
      <c r="D10419">
        <v>10.683400000000001</v>
      </c>
      <c r="E10419" t="s">
        <v>15752</v>
      </c>
      <c r="F10419" t="s">
        <v>15753</v>
      </c>
      <c r="G10419" t="s">
        <v>39</v>
      </c>
      <c r="H10419">
        <v>1987</v>
      </c>
      <c r="I10419">
        <v>28.3</v>
      </c>
      <c r="J10419">
        <v>13.9</v>
      </c>
      <c r="K10419">
        <v>61</v>
      </c>
      <c r="L10419">
        <v>21.131509999999999</v>
      </c>
      <c r="M10419">
        <v>39.9</v>
      </c>
      <c r="N10419">
        <v>17.370200000000001</v>
      </c>
      <c r="O10419">
        <v>22.529789999999998</v>
      </c>
      <c r="P10419">
        <v>26.6</v>
      </c>
      <c r="Q10419">
        <v>26.5</v>
      </c>
      <c r="R10419">
        <v>31.5</v>
      </c>
      <c r="S10419">
        <v>26.5</v>
      </c>
      <c r="T10419">
        <v>739</v>
      </c>
      <c r="U10419">
        <v>231.2979</v>
      </c>
      <c r="V10419">
        <v>0</v>
      </c>
      <c r="W10419">
        <v>127</v>
      </c>
      <c r="X10419">
        <v>550.29790000000003</v>
      </c>
      <c r="Y10419">
        <v>0</v>
      </c>
      <c r="Z10419">
        <v>63.70205</v>
      </c>
      <c r="AA10419">
        <v>0</v>
      </c>
      <c r="AB10419">
        <v>1.6496630000000001</v>
      </c>
      <c r="AC10419">
        <v>1.6071370000000001E-2</v>
      </c>
      <c r="AD10419">
        <v>0.92789949999999999</v>
      </c>
      <c r="AE10419">
        <v>0.6913241</v>
      </c>
      <c r="AF10419">
        <v>315.00510000000003</v>
      </c>
      <c r="AG10419">
        <f>IFERROR(AH10419*0.1, "N/A")</f>
        <v>5.9039380000000001</v>
      </c>
      <c r="AH10419">
        <v>59.039380000000001</v>
      </c>
      <c r="AI10419">
        <v>126.3463</v>
      </c>
      <c r="AJ10419">
        <v>23.393840000000001</v>
      </c>
      <c r="AK10419">
        <v>52.609589999999997</v>
      </c>
    </row>
    <row r="10420" spans="1:37" x14ac:dyDescent="0.3">
      <c r="A10420">
        <v>10419</v>
      </c>
      <c r="B10420">
        <v>9.1</v>
      </c>
      <c r="C10420">
        <v>14.978300000000001</v>
      </c>
      <c r="D10420">
        <v>10.6836</v>
      </c>
      <c r="E10420" t="s">
        <v>15754</v>
      </c>
      <c r="F10420" t="s">
        <v>15755</v>
      </c>
      <c r="G10420" t="s">
        <v>39</v>
      </c>
      <c r="H10420">
        <v>1983</v>
      </c>
      <c r="I10420">
        <v>28.3</v>
      </c>
      <c r="J10420">
        <v>13.9</v>
      </c>
      <c r="K10420">
        <v>61</v>
      </c>
      <c r="L10420">
        <v>21.051269999999999</v>
      </c>
      <c r="M10420">
        <v>40</v>
      </c>
      <c r="N10420">
        <v>17.5</v>
      </c>
      <c r="O10420">
        <v>22.5</v>
      </c>
      <c r="P10420">
        <v>26.6</v>
      </c>
      <c r="Q10420">
        <v>26.6</v>
      </c>
      <c r="R10420">
        <v>31.5</v>
      </c>
      <c r="S10420">
        <v>26.6</v>
      </c>
      <c r="T10420">
        <v>740</v>
      </c>
      <c r="U10420">
        <v>231</v>
      </c>
      <c r="V10420">
        <v>0</v>
      </c>
      <c r="W10420">
        <v>127</v>
      </c>
      <c r="X10420">
        <v>550</v>
      </c>
      <c r="Y10420">
        <v>0</v>
      </c>
      <c r="Z10420">
        <v>65</v>
      </c>
      <c r="AA10420">
        <v>0</v>
      </c>
      <c r="AB10420">
        <v>1.0291509999999999</v>
      </c>
      <c r="AC10420">
        <v>1.7367250000000001E-2</v>
      </c>
      <c r="AD10420">
        <v>0.78265470000000004</v>
      </c>
      <c r="AE10420">
        <v>0.68674990000000002</v>
      </c>
      <c r="AF10420">
        <v>312.70839999999998</v>
      </c>
      <c r="AG10420">
        <f>IFERROR(AH10420*0.1, "N/A")</f>
        <v>5.7</v>
      </c>
      <c r="AH10420">
        <v>57</v>
      </c>
      <c r="AI10420">
        <v>286.08019999999999</v>
      </c>
      <c r="AJ10420">
        <v>27</v>
      </c>
      <c r="AK10420">
        <v>54</v>
      </c>
    </row>
    <row r="10421" spans="1:37" x14ac:dyDescent="0.3">
      <c r="A10421">
        <v>10420</v>
      </c>
      <c r="B10421">
        <v>32.5</v>
      </c>
      <c r="C10421">
        <v>15.122199999999999</v>
      </c>
      <c r="D10421">
        <v>10.6889</v>
      </c>
      <c r="E10421" t="s">
        <v>15756</v>
      </c>
      <c r="F10421" t="s">
        <v>15757</v>
      </c>
      <c r="G10421" t="s">
        <v>39</v>
      </c>
      <c r="H10421">
        <v>1990</v>
      </c>
      <c r="I10421">
        <v>28.3</v>
      </c>
      <c r="J10421">
        <v>13.9</v>
      </c>
      <c r="K10421">
        <v>61</v>
      </c>
      <c r="L10421">
        <v>21.11</v>
      </c>
      <c r="M10421">
        <v>39.9</v>
      </c>
      <c r="N10421">
        <v>17.3</v>
      </c>
      <c r="O10421">
        <v>22.6</v>
      </c>
      <c r="P10421">
        <v>26.6</v>
      </c>
      <c r="Q10421">
        <v>26.5</v>
      </c>
      <c r="R10421">
        <v>31.4</v>
      </c>
      <c r="S10421">
        <v>26.5</v>
      </c>
      <c r="T10421">
        <v>740</v>
      </c>
      <c r="U10421">
        <v>232</v>
      </c>
      <c r="V10421">
        <v>0</v>
      </c>
      <c r="W10421">
        <v>127</v>
      </c>
      <c r="X10421">
        <v>551</v>
      </c>
      <c r="Y10421">
        <v>0</v>
      </c>
      <c r="Z10421">
        <v>63</v>
      </c>
      <c r="AA10421">
        <v>0</v>
      </c>
      <c r="AB10421">
        <v>0.64399960000000001</v>
      </c>
      <c r="AC10421">
        <v>7.1967110000000001E-2</v>
      </c>
      <c r="AD10421">
        <v>1.2247349999999999</v>
      </c>
      <c r="AE10421">
        <v>0.64314199999999999</v>
      </c>
      <c r="AF10421">
        <v>312.53769999999997</v>
      </c>
      <c r="AG10421">
        <f>IFERROR(AH10421*0.1, "N/A")</f>
        <v>5.9226030000000005</v>
      </c>
      <c r="AH10421">
        <v>59.226030000000002</v>
      </c>
      <c r="AI10421">
        <v>131.08109999999999</v>
      </c>
      <c r="AJ10421">
        <v>28</v>
      </c>
      <c r="AK10421">
        <v>50.613010000000003</v>
      </c>
    </row>
    <row r="10422" spans="1:37" x14ac:dyDescent="0.3">
      <c r="A10422">
        <v>10421</v>
      </c>
      <c r="B10422">
        <v>0</v>
      </c>
      <c r="C10422">
        <v>15.122199999999999</v>
      </c>
      <c r="D10422">
        <v>10.6889</v>
      </c>
      <c r="E10422" t="s">
        <v>15756</v>
      </c>
      <c r="F10422" t="s">
        <v>15758</v>
      </c>
      <c r="G10422" t="s">
        <v>37</v>
      </c>
      <c r="H10422">
        <v>1990</v>
      </c>
      <c r="I10422">
        <v>28.3</v>
      </c>
      <c r="J10422">
        <v>13.9</v>
      </c>
      <c r="K10422">
        <v>61</v>
      </c>
      <c r="L10422">
        <v>21.11</v>
      </c>
      <c r="M10422">
        <v>39.9</v>
      </c>
      <c r="N10422">
        <v>17.3</v>
      </c>
      <c r="O10422">
        <v>22.6</v>
      </c>
      <c r="P10422">
        <v>26.6</v>
      </c>
      <c r="Q10422">
        <v>26.5</v>
      </c>
      <c r="R10422">
        <v>31.4</v>
      </c>
      <c r="S10422">
        <v>26.5</v>
      </c>
      <c r="T10422">
        <v>740</v>
      </c>
      <c r="U10422">
        <v>232</v>
      </c>
      <c r="V10422">
        <v>0</v>
      </c>
      <c r="W10422">
        <v>127</v>
      </c>
      <c r="X10422">
        <v>551</v>
      </c>
      <c r="Y10422">
        <v>0</v>
      </c>
      <c r="Z10422">
        <v>63</v>
      </c>
      <c r="AA10422">
        <v>0</v>
      </c>
      <c r="AB10422">
        <v>0.64399960000000001</v>
      </c>
      <c r="AC10422">
        <v>7.1967110000000001E-2</v>
      </c>
      <c r="AD10422">
        <v>1.2247349999999999</v>
      </c>
      <c r="AE10422">
        <v>0.64314199999999999</v>
      </c>
      <c r="AF10422">
        <v>312.53769999999997</v>
      </c>
      <c r="AG10422">
        <f>IFERROR(AH10422*0.1, "N/A")</f>
        <v>5.9226030000000005</v>
      </c>
      <c r="AH10422">
        <v>59.226030000000002</v>
      </c>
      <c r="AI10422">
        <v>131.08109999999999</v>
      </c>
      <c r="AJ10422">
        <v>28</v>
      </c>
      <c r="AK10422">
        <v>50.613010000000003</v>
      </c>
    </row>
    <row r="10423" spans="1:37" x14ac:dyDescent="0.3">
      <c r="A10423">
        <v>10422</v>
      </c>
      <c r="B10423">
        <v>0</v>
      </c>
      <c r="C10423">
        <v>15.122199999999999</v>
      </c>
      <c r="D10423">
        <v>10.6889</v>
      </c>
      <c r="E10423" t="s">
        <v>15756</v>
      </c>
      <c r="F10423" t="s">
        <v>15759</v>
      </c>
      <c r="G10423" t="s">
        <v>2420</v>
      </c>
      <c r="H10423">
        <v>1990</v>
      </c>
      <c r="I10423">
        <v>28.3</v>
      </c>
      <c r="J10423">
        <v>13.9</v>
      </c>
      <c r="K10423">
        <v>61</v>
      </c>
      <c r="L10423">
        <v>21.11</v>
      </c>
      <c r="M10423">
        <v>39.9</v>
      </c>
      <c r="N10423">
        <v>17.3</v>
      </c>
      <c r="O10423">
        <v>22.6</v>
      </c>
      <c r="P10423">
        <v>26.6</v>
      </c>
      <c r="Q10423">
        <v>26.5</v>
      </c>
      <c r="R10423">
        <v>31.4</v>
      </c>
      <c r="S10423">
        <v>26.5</v>
      </c>
      <c r="T10423">
        <v>740</v>
      </c>
      <c r="U10423">
        <v>232</v>
      </c>
      <c r="V10423">
        <v>0</v>
      </c>
      <c r="W10423">
        <v>127</v>
      </c>
      <c r="X10423">
        <v>551</v>
      </c>
      <c r="Y10423">
        <v>0</v>
      </c>
      <c r="Z10423">
        <v>63</v>
      </c>
      <c r="AA10423">
        <v>0</v>
      </c>
      <c r="AB10423">
        <v>0.64399960000000001</v>
      </c>
      <c r="AC10423">
        <v>7.1967110000000001E-2</v>
      </c>
      <c r="AD10423">
        <v>1.2247349999999999</v>
      </c>
      <c r="AE10423">
        <v>0.64314199999999999</v>
      </c>
      <c r="AF10423">
        <v>312.53769999999997</v>
      </c>
      <c r="AG10423">
        <f>IFERROR(AH10423*0.1, "N/A")</f>
        <v>5.9226030000000005</v>
      </c>
      <c r="AH10423">
        <v>59.226030000000002</v>
      </c>
      <c r="AI10423">
        <v>131.08109999999999</v>
      </c>
      <c r="AJ10423">
        <v>28</v>
      </c>
      <c r="AK10423">
        <v>50.613010000000003</v>
      </c>
    </row>
    <row r="10424" spans="1:37" x14ac:dyDescent="0.3">
      <c r="A10424">
        <v>10423</v>
      </c>
      <c r="B10424">
        <v>20.6</v>
      </c>
      <c r="C10424">
        <v>14.3</v>
      </c>
      <c r="D10424">
        <v>10.7056</v>
      </c>
      <c r="E10424" t="s">
        <v>15760</v>
      </c>
      <c r="F10424" t="s">
        <v>15761</v>
      </c>
      <c r="G10424" t="s">
        <v>39</v>
      </c>
      <c r="H10424">
        <v>1990</v>
      </c>
      <c r="I10424">
        <v>27.611170000000001</v>
      </c>
      <c r="J10424">
        <v>13.8</v>
      </c>
      <c r="K10424">
        <v>63</v>
      </c>
      <c r="L10424">
        <v>20.676369999999999</v>
      </c>
      <c r="M10424">
        <v>39.311169999999997</v>
      </c>
      <c r="N10424">
        <v>17.538139999999999</v>
      </c>
      <c r="O10424">
        <v>21.773019999999999</v>
      </c>
      <c r="P10424">
        <v>25.738140000000001</v>
      </c>
      <c r="Q10424">
        <v>26.13814</v>
      </c>
      <c r="R10424">
        <v>30.711169999999999</v>
      </c>
      <c r="S10424">
        <v>25.738140000000001</v>
      </c>
      <c r="T10424">
        <v>806.12540000000001</v>
      </c>
      <c r="U10424">
        <v>249.34880000000001</v>
      </c>
      <c r="V10424">
        <v>0</v>
      </c>
      <c r="W10424">
        <v>123.7302</v>
      </c>
      <c r="X10424">
        <v>587.23710000000005</v>
      </c>
      <c r="Y10424">
        <v>0</v>
      </c>
      <c r="Z10424">
        <v>81.809280000000001</v>
      </c>
      <c r="AA10424">
        <v>587.23710000000005</v>
      </c>
      <c r="AB10424">
        <v>26.128520000000002</v>
      </c>
      <c r="AC10424">
        <v>4.274592E-2</v>
      </c>
      <c r="AD10424">
        <v>6.5965030000000002</v>
      </c>
      <c r="AE10424">
        <v>0.69384060000000003</v>
      </c>
      <c r="AF10424">
        <v>482.23020000000002</v>
      </c>
      <c r="AG10424">
        <f>IFERROR(AH10424*0.1, "N/A")</f>
        <v>6.7730239999999995</v>
      </c>
      <c r="AH10424">
        <v>67.730239999999995</v>
      </c>
      <c r="AI10424">
        <v>217.87799999999999</v>
      </c>
      <c r="AJ10424">
        <v>25.50515</v>
      </c>
      <c r="AK10424">
        <v>54.666670000000003</v>
      </c>
    </row>
    <row r="10425" spans="1:37" x14ac:dyDescent="0.3">
      <c r="A10425">
        <v>10424</v>
      </c>
      <c r="B10425">
        <v>35.5</v>
      </c>
      <c r="C10425">
        <v>14.3</v>
      </c>
      <c r="D10425">
        <v>10.7056</v>
      </c>
      <c r="E10425" t="s">
        <v>15760</v>
      </c>
      <c r="F10425" t="s">
        <v>15762</v>
      </c>
      <c r="G10425" t="s">
        <v>37</v>
      </c>
      <c r="H10425">
        <v>1990</v>
      </c>
      <c r="I10425">
        <v>27.611170000000001</v>
      </c>
      <c r="J10425">
        <v>13.8</v>
      </c>
      <c r="K10425">
        <v>63</v>
      </c>
      <c r="L10425">
        <v>20.676369999999999</v>
      </c>
      <c r="M10425">
        <v>39.311169999999997</v>
      </c>
      <c r="N10425">
        <v>17.538139999999999</v>
      </c>
      <c r="O10425">
        <v>21.773019999999999</v>
      </c>
      <c r="P10425">
        <v>25.738140000000001</v>
      </c>
      <c r="Q10425">
        <v>26.13814</v>
      </c>
      <c r="R10425">
        <v>30.711169999999999</v>
      </c>
      <c r="S10425">
        <v>25.738140000000001</v>
      </c>
      <c r="T10425">
        <v>806.12540000000001</v>
      </c>
      <c r="U10425">
        <v>249.34880000000001</v>
      </c>
      <c r="V10425">
        <v>0</v>
      </c>
      <c r="W10425">
        <v>123.7302</v>
      </c>
      <c r="X10425">
        <v>587.23710000000005</v>
      </c>
      <c r="Y10425">
        <v>0</v>
      </c>
      <c r="Z10425">
        <v>81.809280000000001</v>
      </c>
      <c r="AA10425">
        <v>587.23710000000005</v>
      </c>
      <c r="AB10425">
        <v>26.128520000000002</v>
      </c>
      <c r="AC10425">
        <v>4.274592E-2</v>
      </c>
      <c r="AD10425">
        <v>6.5965030000000002</v>
      </c>
      <c r="AE10425">
        <v>0.69384060000000003</v>
      </c>
      <c r="AF10425">
        <v>482.23020000000002</v>
      </c>
      <c r="AG10425">
        <f>IFERROR(AH10425*0.1, "N/A")</f>
        <v>6.7730239999999995</v>
      </c>
      <c r="AH10425">
        <v>67.730239999999995</v>
      </c>
      <c r="AI10425">
        <v>217.87799999999999</v>
      </c>
      <c r="AJ10425">
        <v>25.50515</v>
      </c>
      <c r="AK10425">
        <v>54.666670000000003</v>
      </c>
    </row>
    <row r="10426" spans="1:37" x14ac:dyDescent="0.3">
      <c r="A10426">
        <v>10425</v>
      </c>
      <c r="B10426">
        <v>0</v>
      </c>
      <c r="C10426">
        <v>14.3</v>
      </c>
      <c r="D10426">
        <v>10.7056</v>
      </c>
      <c r="E10426" t="s">
        <v>15760</v>
      </c>
      <c r="F10426" t="s">
        <v>15763</v>
      </c>
      <c r="G10426" t="s">
        <v>2420</v>
      </c>
      <c r="H10426">
        <v>1990</v>
      </c>
      <c r="I10426">
        <v>27.611170000000001</v>
      </c>
      <c r="J10426">
        <v>13.8</v>
      </c>
      <c r="K10426">
        <v>63</v>
      </c>
      <c r="L10426">
        <v>20.676369999999999</v>
      </c>
      <c r="M10426">
        <v>39.311169999999997</v>
      </c>
      <c r="N10426">
        <v>17.538139999999999</v>
      </c>
      <c r="O10426">
        <v>21.773019999999999</v>
      </c>
      <c r="P10426">
        <v>25.738140000000001</v>
      </c>
      <c r="Q10426">
        <v>26.13814</v>
      </c>
      <c r="R10426">
        <v>30.711169999999999</v>
      </c>
      <c r="S10426">
        <v>25.738140000000001</v>
      </c>
      <c r="T10426">
        <v>806.12540000000001</v>
      </c>
      <c r="U10426">
        <v>249.34880000000001</v>
      </c>
      <c r="V10426">
        <v>0</v>
      </c>
      <c r="W10426">
        <v>123.7302</v>
      </c>
      <c r="X10426">
        <v>587.23710000000005</v>
      </c>
      <c r="Y10426">
        <v>0</v>
      </c>
      <c r="Z10426">
        <v>81.809280000000001</v>
      </c>
      <c r="AA10426">
        <v>587.23710000000005</v>
      </c>
      <c r="AB10426">
        <v>26.128520000000002</v>
      </c>
      <c r="AC10426">
        <v>4.274592E-2</v>
      </c>
      <c r="AD10426">
        <v>6.5965030000000002</v>
      </c>
      <c r="AE10426">
        <v>0.69384060000000003</v>
      </c>
      <c r="AF10426">
        <v>482.23020000000002</v>
      </c>
      <c r="AG10426">
        <f>IFERROR(AH10426*0.1, "N/A")</f>
        <v>6.7730239999999995</v>
      </c>
      <c r="AH10426">
        <v>67.730239999999995</v>
      </c>
      <c r="AI10426">
        <v>217.87799999999999</v>
      </c>
      <c r="AJ10426">
        <v>25.50515</v>
      </c>
      <c r="AK10426">
        <v>54.666670000000003</v>
      </c>
    </row>
    <row r="10427" spans="1:37" x14ac:dyDescent="0.3">
      <c r="A10427">
        <v>10426</v>
      </c>
      <c r="B10427">
        <v>9.9</v>
      </c>
      <c r="C10427">
        <v>14.9003</v>
      </c>
      <c r="D10427">
        <v>10.7157</v>
      </c>
      <c r="E10427" t="s">
        <v>15764</v>
      </c>
      <c r="F10427" t="s">
        <v>15765</v>
      </c>
      <c r="G10427" t="s">
        <v>39</v>
      </c>
      <c r="H10427">
        <v>1987</v>
      </c>
      <c r="I10427">
        <v>28.354120000000002</v>
      </c>
      <c r="J10427">
        <v>13.9</v>
      </c>
      <c r="K10427">
        <v>61</v>
      </c>
      <c r="L10427">
        <v>21.64423</v>
      </c>
      <c r="M10427">
        <v>40.1</v>
      </c>
      <c r="N10427">
        <v>17.5</v>
      </c>
      <c r="O10427">
        <v>22.6</v>
      </c>
      <c r="P10427">
        <v>26.6</v>
      </c>
      <c r="Q10427">
        <v>26.5</v>
      </c>
      <c r="R10427">
        <v>31.6</v>
      </c>
      <c r="S10427">
        <v>26.5</v>
      </c>
      <c r="T10427">
        <v>740.08249999999998</v>
      </c>
      <c r="U10427">
        <v>231.5412</v>
      </c>
      <c r="V10427">
        <v>0</v>
      </c>
      <c r="W10427">
        <v>127</v>
      </c>
      <c r="X10427">
        <v>551.08249999999998</v>
      </c>
      <c r="Y10427">
        <v>0</v>
      </c>
      <c r="Z10427">
        <v>64</v>
      </c>
      <c r="AA10427">
        <v>0</v>
      </c>
      <c r="AB10427">
        <v>1.0293829999999999</v>
      </c>
      <c r="AC10427">
        <v>5.49141E-2</v>
      </c>
      <c r="AD10427">
        <v>1.3265260000000001</v>
      </c>
      <c r="AE10427">
        <v>0.58958200000000005</v>
      </c>
      <c r="AF10427">
        <v>317.57560000000001</v>
      </c>
      <c r="AG10427">
        <f>IFERROR(AH10427*0.1, "N/A")</f>
        <v>6.8919240000000004</v>
      </c>
      <c r="AH10427">
        <v>68.919240000000002</v>
      </c>
      <c r="AI10427">
        <v>253.1377</v>
      </c>
      <c r="AJ10427">
        <v>35.917529999999999</v>
      </c>
      <c r="AK10427">
        <v>38.53436</v>
      </c>
    </row>
    <row r="10428" spans="1:37" x14ac:dyDescent="0.3">
      <c r="A10428">
        <v>10427</v>
      </c>
      <c r="B10428">
        <v>20.5</v>
      </c>
      <c r="C10428">
        <v>15.098000000000001</v>
      </c>
      <c r="D10428">
        <v>10.733000000000001</v>
      </c>
      <c r="E10428" t="s">
        <v>15766</v>
      </c>
      <c r="F10428" t="s">
        <v>15767</v>
      </c>
      <c r="G10428" t="s">
        <v>39</v>
      </c>
      <c r="H10428">
        <v>1987</v>
      </c>
      <c r="I10428">
        <v>28.245360000000002</v>
      </c>
      <c r="J10428">
        <v>14</v>
      </c>
      <c r="K10428">
        <v>61</v>
      </c>
      <c r="L10428">
        <v>20.959900000000001</v>
      </c>
      <c r="M10428">
        <v>39.9</v>
      </c>
      <c r="N10428">
        <v>17.3</v>
      </c>
      <c r="O10428">
        <v>22.6</v>
      </c>
      <c r="P10428">
        <v>26.6</v>
      </c>
      <c r="Q10428">
        <v>28.045359999999999</v>
      </c>
      <c r="R10428">
        <v>31.4</v>
      </c>
      <c r="S10428">
        <v>26.4</v>
      </c>
      <c r="T10428">
        <v>735.54639999999995</v>
      </c>
      <c r="U10428">
        <v>232</v>
      </c>
      <c r="V10428">
        <v>0</v>
      </c>
      <c r="W10428">
        <v>127.54640000000001</v>
      </c>
      <c r="X10428">
        <v>550.54639999999995</v>
      </c>
      <c r="Y10428">
        <v>0</v>
      </c>
      <c r="Z10428">
        <v>59</v>
      </c>
      <c r="AA10428">
        <v>0</v>
      </c>
      <c r="AB10428">
        <v>1.198623</v>
      </c>
      <c r="AC10428">
        <v>4.1746270000000002E-2</v>
      </c>
      <c r="AD10428">
        <v>1.2715339999999999</v>
      </c>
      <c r="AE10428">
        <v>0.62086490000000005</v>
      </c>
      <c r="AF10428">
        <v>312.26799999999997</v>
      </c>
      <c r="AG10428">
        <f>IFERROR(AH10428*0.1, "N/A")</f>
        <v>6.4</v>
      </c>
      <c r="AH10428">
        <v>64</v>
      </c>
      <c r="AI10428">
        <v>271.28460000000001</v>
      </c>
      <c r="AJ10428">
        <v>31</v>
      </c>
      <c r="AK10428">
        <v>47.443300000000001</v>
      </c>
    </row>
    <row r="10429" spans="1:37" x14ac:dyDescent="0.3">
      <c r="A10429">
        <v>10428</v>
      </c>
      <c r="B10429">
        <v>52.2</v>
      </c>
      <c r="C10429">
        <v>15.098000000000001</v>
      </c>
      <c r="D10429">
        <v>10.733000000000001</v>
      </c>
      <c r="E10429" t="s">
        <v>15766</v>
      </c>
      <c r="F10429" t="s">
        <v>15768</v>
      </c>
      <c r="G10429" t="s">
        <v>37</v>
      </c>
      <c r="H10429">
        <v>1987</v>
      </c>
      <c r="I10429">
        <v>28.245360000000002</v>
      </c>
      <c r="J10429">
        <v>14</v>
      </c>
      <c r="K10429">
        <v>61</v>
      </c>
      <c r="L10429">
        <v>20.959900000000001</v>
      </c>
      <c r="M10429">
        <v>39.9</v>
      </c>
      <c r="N10429">
        <v>17.3</v>
      </c>
      <c r="O10429">
        <v>22.6</v>
      </c>
      <c r="P10429">
        <v>26.6</v>
      </c>
      <c r="Q10429">
        <v>28.045359999999999</v>
      </c>
      <c r="R10429">
        <v>31.4</v>
      </c>
      <c r="S10429">
        <v>26.4</v>
      </c>
      <c r="T10429">
        <v>735.54639999999995</v>
      </c>
      <c r="U10429">
        <v>232</v>
      </c>
      <c r="V10429">
        <v>0</v>
      </c>
      <c r="W10429">
        <v>127.54640000000001</v>
      </c>
      <c r="X10429">
        <v>550.54639999999995</v>
      </c>
      <c r="Y10429">
        <v>0</v>
      </c>
      <c r="Z10429">
        <v>59</v>
      </c>
      <c r="AA10429">
        <v>0</v>
      </c>
      <c r="AB10429">
        <v>1.198623</v>
      </c>
      <c r="AC10429">
        <v>4.1746270000000002E-2</v>
      </c>
      <c r="AD10429">
        <v>1.2715339999999999</v>
      </c>
      <c r="AE10429">
        <v>0.62086490000000005</v>
      </c>
      <c r="AF10429">
        <v>312.26799999999997</v>
      </c>
      <c r="AG10429">
        <f>IFERROR(AH10429*0.1, "N/A")</f>
        <v>6.4</v>
      </c>
      <c r="AH10429">
        <v>64</v>
      </c>
      <c r="AI10429">
        <v>271.28460000000001</v>
      </c>
      <c r="AJ10429">
        <v>31</v>
      </c>
      <c r="AK10429">
        <v>47.443300000000001</v>
      </c>
    </row>
    <row r="10430" spans="1:37" x14ac:dyDescent="0.3">
      <c r="A10430">
        <v>10429</v>
      </c>
      <c r="B10430">
        <v>20.399999999999999</v>
      </c>
      <c r="C10430">
        <v>15.097</v>
      </c>
      <c r="D10430">
        <v>10.733000000000001</v>
      </c>
      <c r="E10430" t="s">
        <v>15769</v>
      </c>
      <c r="F10430" t="s">
        <v>15770</v>
      </c>
      <c r="G10430" t="s">
        <v>39</v>
      </c>
      <c r="H10430">
        <v>1987</v>
      </c>
      <c r="I10430">
        <v>28.245360000000002</v>
      </c>
      <c r="J10430">
        <v>14</v>
      </c>
      <c r="K10430">
        <v>61</v>
      </c>
      <c r="L10430">
        <v>20.959900000000001</v>
      </c>
      <c r="M10430">
        <v>39.9</v>
      </c>
      <c r="N10430">
        <v>17.3</v>
      </c>
      <c r="O10430">
        <v>22.6</v>
      </c>
      <c r="P10430">
        <v>26.6</v>
      </c>
      <c r="Q10430">
        <v>28.045359999999999</v>
      </c>
      <c r="R10430">
        <v>31.4</v>
      </c>
      <c r="S10430">
        <v>26.4</v>
      </c>
      <c r="T10430">
        <v>735.54639999999995</v>
      </c>
      <c r="U10430">
        <v>232</v>
      </c>
      <c r="V10430">
        <v>0</v>
      </c>
      <c r="W10430">
        <v>127.54640000000001</v>
      </c>
      <c r="X10430">
        <v>550.54639999999995</v>
      </c>
      <c r="Y10430">
        <v>0</v>
      </c>
      <c r="Z10430">
        <v>59</v>
      </c>
      <c r="AA10430">
        <v>0</v>
      </c>
      <c r="AB10430">
        <v>1.150857</v>
      </c>
      <c r="AC10430">
        <v>1.1302670000000001E-2</v>
      </c>
      <c r="AD10430">
        <v>1.460494</v>
      </c>
      <c r="AE10430">
        <v>0.62086490000000005</v>
      </c>
      <c r="AF10430">
        <v>312.37630000000001</v>
      </c>
      <c r="AG10430">
        <f>IFERROR(AH10430*0.1, "N/A")</f>
        <v>6.398625</v>
      </c>
      <c r="AH10430">
        <v>63.986249999999998</v>
      </c>
      <c r="AI10430">
        <v>295.05119999999999</v>
      </c>
      <c r="AJ10430">
        <v>30.993130000000001</v>
      </c>
      <c r="AK10430">
        <v>48.993130000000001</v>
      </c>
    </row>
    <row r="10431" spans="1:37" x14ac:dyDescent="0.3">
      <c r="A10431">
        <v>10430</v>
      </c>
      <c r="B10431">
        <v>35.200000000000003</v>
      </c>
      <c r="C10431">
        <v>15.097</v>
      </c>
      <c r="D10431">
        <v>10.733000000000001</v>
      </c>
      <c r="E10431" t="s">
        <v>15769</v>
      </c>
      <c r="F10431" t="s">
        <v>15771</v>
      </c>
      <c r="G10431" t="s">
        <v>37</v>
      </c>
      <c r="H10431">
        <v>1987</v>
      </c>
      <c r="I10431">
        <v>28.245360000000002</v>
      </c>
      <c r="J10431">
        <v>14</v>
      </c>
      <c r="K10431">
        <v>61</v>
      </c>
      <c r="L10431">
        <v>20.959900000000001</v>
      </c>
      <c r="M10431">
        <v>39.9</v>
      </c>
      <c r="N10431">
        <v>17.3</v>
      </c>
      <c r="O10431">
        <v>22.6</v>
      </c>
      <c r="P10431">
        <v>26.6</v>
      </c>
      <c r="Q10431">
        <v>28.045359999999999</v>
      </c>
      <c r="R10431">
        <v>31.4</v>
      </c>
      <c r="S10431">
        <v>26.4</v>
      </c>
      <c r="T10431">
        <v>735.54639999999995</v>
      </c>
      <c r="U10431">
        <v>232</v>
      </c>
      <c r="V10431">
        <v>0</v>
      </c>
      <c r="W10431">
        <v>127.54640000000001</v>
      </c>
      <c r="X10431">
        <v>550.54639999999995</v>
      </c>
      <c r="Y10431">
        <v>0</v>
      </c>
      <c r="Z10431">
        <v>59</v>
      </c>
      <c r="AA10431">
        <v>0</v>
      </c>
      <c r="AB10431">
        <v>1.150857</v>
      </c>
      <c r="AC10431">
        <v>1.1302670000000001E-2</v>
      </c>
      <c r="AD10431">
        <v>1.460494</v>
      </c>
      <c r="AE10431">
        <v>0.62086490000000005</v>
      </c>
      <c r="AF10431">
        <v>312.37630000000001</v>
      </c>
      <c r="AG10431">
        <f>IFERROR(AH10431*0.1, "N/A")</f>
        <v>6.398625</v>
      </c>
      <c r="AH10431">
        <v>63.986249999999998</v>
      </c>
      <c r="AI10431">
        <v>295.05119999999999</v>
      </c>
      <c r="AJ10431">
        <v>30.993130000000001</v>
      </c>
      <c r="AK10431">
        <v>48.993130000000001</v>
      </c>
    </row>
    <row r="10432" spans="1:37" x14ac:dyDescent="0.3">
      <c r="A10432">
        <v>10431</v>
      </c>
      <c r="B10432">
        <v>17.2</v>
      </c>
      <c r="C10432">
        <v>14.6167</v>
      </c>
      <c r="D10432">
        <v>10.738899999999999</v>
      </c>
      <c r="E10432" t="s">
        <v>15772</v>
      </c>
      <c r="F10432" t="s">
        <v>15773</v>
      </c>
      <c r="G10432" t="s">
        <v>39</v>
      </c>
      <c r="H10432">
        <v>1990</v>
      </c>
      <c r="I10432">
        <v>28.3</v>
      </c>
      <c r="J10432">
        <v>13.9</v>
      </c>
      <c r="K10432">
        <v>62</v>
      </c>
      <c r="L10432">
        <v>21.336130000000001</v>
      </c>
      <c r="M10432">
        <v>40.1</v>
      </c>
      <c r="N10432">
        <v>17.8</v>
      </c>
      <c r="O10432">
        <v>22.3</v>
      </c>
      <c r="P10432">
        <v>26.5</v>
      </c>
      <c r="Q10432">
        <v>26.7</v>
      </c>
      <c r="R10432">
        <v>31.5</v>
      </c>
      <c r="S10432">
        <v>26.5</v>
      </c>
      <c r="T10432">
        <v>754.30650000000003</v>
      </c>
      <c r="U10432">
        <v>235.3065</v>
      </c>
      <c r="V10432">
        <v>0</v>
      </c>
      <c r="W10432">
        <v>126</v>
      </c>
      <c r="X10432">
        <v>559.30650000000003</v>
      </c>
      <c r="Y10432">
        <v>0</v>
      </c>
      <c r="Z10432">
        <v>69</v>
      </c>
      <c r="AA10432">
        <v>559.30650000000003</v>
      </c>
      <c r="AB10432">
        <v>4.000515</v>
      </c>
      <c r="AC10432">
        <v>1.9132610000000001E-2</v>
      </c>
      <c r="AD10432">
        <v>2.1079889999999999</v>
      </c>
      <c r="AE10432">
        <v>0.73778189999999999</v>
      </c>
      <c r="AF10432">
        <v>341.33390000000003</v>
      </c>
      <c r="AG10432">
        <f>IFERROR(AH10432*0.1, "N/A")</f>
        <v>6.0597600000000007</v>
      </c>
      <c r="AH10432">
        <v>60.5976</v>
      </c>
      <c r="AI10432">
        <v>73.560239999999993</v>
      </c>
      <c r="AJ10432">
        <v>14.123290000000001</v>
      </c>
      <c r="AK10432">
        <v>69.570210000000003</v>
      </c>
    </row>
    <row r="10433" spans="1:37" x14ac:dyDescent="0.3">
      <c r="A10433">
        <v>10432</v>
      </c>
      <c r="B10433">
        <v>0</v>
      </c>
      <c r="C10433">
        <v>14.6167</v>
      </c>
      <c r="D10433">
        <v>10.738899999999999</v>
      </c>
      <c r="E10433" t="s">
        <v>15772</v>
      </c>
      <c r="F10433" t="s">
        <v>15774</v>
      </c>
      <c r="G10433" t="s">
        <v>37</v>
      </c>
      <c r="H10433">
        <v>1990</v>
      </c>
      <c r="I10433">
        <v>28.3</v>
      </c>
      <c r="J10433">
        <v>13.9</v>
      </c>
      <c r="K10433">
        <v>62</v>
      </c>
      <c r="L10433">
        <v>21.336130000000001</v>
      </c>
      <c r="M10433">
        <v>40.1</v>
      </c>
      <c r="N10433">
        <v>17.8</v>
      </c>
      <c r="O10433">
        <v>22.3</v>
      </c>
      <c r="P10433">
        <v>26.5</v>
      </c>
      <c r="Q10433">
        <v>26.7</v>
      </c>
      <c r="R10433">
        <v>31.5</v>
      </c>
      <c r="S10433">
        <v>26.5</v>
      </c>
      <c r="T10433">
        <v>754.30650000000003</v>
      </c>
      <c r="U10433">
        <v>235.3065</v>
      </c>
      <c r="V10433">
        <v>0</v>
      </c>
      <c r="W10433">
        <v>126</v>
      </c>
      <c r="X10433">
        <v>559.30650000000003</v>
      </c>
      <c r="Y10433">
        <v>0</v>
      </c>
      <c r="Z10433">
        <v>69</v>
      </c>
      <c r="AA10433">
        <v>559.30650000000003</v>
      </c>
      <c r="AB10433">
        <v>4.000515</v>
      </c>
      <c r="AC10433">
        <v>1.9132610000000001E-2</v>
      </c>
      <c r="AD10433">
        <v>2.1079889999999999</v>
      </c>
      <c r="AE10433">
        <v>0.73778189999999999</v>
      </c>
      <c r="AF10433">
        <v>341.33390000000003</v>
      </c>
      <c r="AG10433">
        <f>IFERROR(AH10433*0.1, "N/A")</f>
        <v>6.0597600000000007</v>
      </c>
      <c r="AH10433">
        <v>60.5976</v>
      </c>
      <c r="AI10433">
        <v>73.560239999999993</v>
      </c>
      <c r="AJ10433">
        <v>14.123290000000001</v>
      </c>
      <c r="AK10433">
        <v>69.570210000000003</v>
      </c>
    </row>
    <row r="10434" spans="1:37" x14ac:dyDescent="0.3">
      <c r="A10434">
        <v>10433</v>
      </c>
      <c r="B10434">
        <v>0</v>
      </c>
      <c r="C10434">
        <v>14.6167</v>
      </c>
      <c r="D10434">
        <v>10.738899999999999</v>
      </c>
      <c r="E10434" t="s">
        <v>15772</v>
      </c>
      <c r="F10434" t="s">
        <v>15775</v>
      </c>
      <c r="G10434" t="s">
        <v>2420</v>
      </c>
      <c r="H10434">
        <v>1990</v>
      </c>
      <c r="I10434">
        <v>28.3</v>
      </c>
      <c r="J10434">
        <v>13.9</v>
      </c>
      <c r="K10434">
        <v>62</v>
      </c>
      <c r="L10434">
        <v>21.336130000000001</v>
      </c>
      <c r="M10434">
        <v>40.1</v>
      </c>
      <c r="N10434">
        <v>17.8</v>
      </c>
      <c r="O10434">
        <v>22.3</v>
      </c>
      <c r="P10434">
        <v>26.5</v>
      </c>
      <c r="Q10434">
        <v>26.7</v>
      </c>
      <c r="R10434">
        <v>31.5</v>
      </c>
      <c r="S10434">
        <v>26.5</v>
      </c>
      <c r="T10434">
        <v>754.30650000000003</v>
      </c>
      <c r="U10434">
        <v>235.3065</v>
      </c>
      <c r="V10434">
        <v>0</v>
      </c>
      <c r="W10434">
        <v>126</v>
      </c>
      <c r="X10434">
        <v>559.30650000000003</v>
      </c>
      <c r="Y10434">
        <v>0</v>
      </c>
      <c r="Z10434">
        <v>69</v>
      </c>
      <c r="AA10434">
        <v>559.30650000000003</v>
      </c>
      <c r="AB10434">
        <v>4.000515</v>
      </c>
      <c r="AC10434">
        <v>1.9132610000000001E-2</v>
      </c>
      <c r="AD10434">
        <v>2.1079889999999999</v>
      </c>
      <c r="AE10434">
        <v>0.73778189999999999</v>
      </c>
      <c r="AF10434">
        <v>341.33390000000003</v>
      </c>
      <c r="AG10434">
        <f>IFERROR(AH10434*0.1, "N/A")</f>
        <v>6.0597600000000007</v>
      </c>
      <c r="AH10434">
        <v>60.5976</v>
      </c>
      <c r="AI10434">
        <v>73.560239999999993</v>
      </c>
      <c r="AJ10434">
        <v>14.123290000000001</v>
      </c>
      <c r="AK10434">
        <v>69.570210000000003</v>
      </c>
    </row>
    <row r="10435" spans="1:37" x14ac:dyDescent="0.3">
      <c r="A10435">
        <v>10434</v>
      </c>
      <c r="B10435">
        <v>73.599999999999994</v>
      </c>
      <c r="C10435">
        <v>13.8</v>
      </c>
      <c r="D10435">
        <v>10.75</v>
      </c>
      <c r="E10435" t="s">
        <v>15776</v>
      </c>
      <c r="F10435" t="s">
        <v>15777</v>
      </c>
      <c r="G10435" t="s">
        <v>39</v>
      </c>
      <c r="H10435">
        <v>1990</v>
      </c>
      <c r="I10435">
        <v>23.969619999999999</v>
      </c>
      <c r="J10435">
        <v>13.97526</v>
      </c>
      <c r="K10435">
        <v>64.151880000000006</v>
      </c>
      <c r="L10435">
        <v>18.18055</v>
      </c>
      <c r="M10435">
        <v>35.369630000000001</v>
      </c>
      <c r="N10435">
        <v>13.78481</v>
      </c>
      <c r="O10435">
        <v>21.584810000000001</v>
      </c>
      <c r="P10435">
        <v>22.409559999999999</v>
      </c>
      <c r="Q10435">
        <v>22.584810000000001</v>
      </c>
      <c r="R10435">
        <v>26.717919999999999</v>
      </c>
      <c r="S10435">
        <v>22.409559999999999</v>
      </c>
      <c r="T10435">
        <v>940.81569999999999</v>
      </c>
      <c r="U10435">
        <v>284.15190000000001</v>
      </c>
      <c r="V10435">
        <v>0</v>
      </c>
      <c r="W10435">
        <v>118.1519</v>
      </c>
      <c r="X10435">
        <v>652.30380000000002</v>
      </c>
      <c r="Y10435">
        <v>1.6689419999999999</v>
      </c>
      <c r="Z10435">
        <v>117</v>
      </c>
      <c r="AA10435">
        <v>652.30380000000002</v>
      </c>
      <c r="AB10435">
        <v>5.4752580000000002</v>
      </c>
      <c r="AC10435">
        <v>1.0479459999999999E-2</v>
      </c>
      <c r="AD10435">
        <v>2.86707</v>
      </c>
      <c r="AE10435">
        <v>0.76247830000000005</v>
      </c>
      <c r="AF10435">
        <v>815.59389999999996</v>
      </c>
      <c r="AG10435">
        <f>IFERROR(AH10435*0.1, "N/A")</f>
        <v>6.4</v>
      </c>
      <c r="AH10435">
        <v>64</v>
      </c>
      <c r="AI10435">
        <v>133.9161</v>
      </c>
      <c r="AJ10435">
        <v>22.404440000000001</v>
      </c>
      <c r="AK10435">
        <v>58.165529999999997</v>
      </c>
    </row>
    <row r="10436" spans="1:37" x14ac:dyDescent="0.3">
      <c r="A10436">
        <v>10435</v>
      </c>
      <c r="B10436">
        <v>46.2</v>
      </c>
      <c r="C10436">
        <v>13.8</v>
      </c>
      <c r="D10436">
        <v>10.75</v>
      </c>
      <c r="E10436" t="s">
        <v>15776</v>
      </c>
      <c r="F10436" t="s">
        <v>15778</v>
      </c>
      <c r="G10436" t="s">
        <v>37</v>
      </c>
      <c r="H10436">
        <v>1990</v>
      </c>
      <c r="I10436">
        <v>23.969619999999999</v>
      </c>
      <c r="J10436">
        <v>13.97526</v>
      </c>
      <c r="K10436">
        <v>64.151880000000006</v>
      </c>
      <c r="L10436">
        <v>18.18055</v>
      </c>
      <c r="M10436">
        <v>35.369630000000001</v>
      </c>
      <c r="N10436">
        <v>13.78481</v>
      </c>
      <c r="O10436">
        <v>21.584810000000001</v>
      </c>
      <c r="P10436">
        <v>22.409559999999999</v>
      </c>
      <c r="Q10436">
        <v>22.584810000000001</v>
      </c>
      <c r="R10436">
        <v>26.717919999999999</v>
      </c>
      <c r="S10436">
        <v>22.409559999999999</v>
      </c>
      <c r="T10436">
        <v>940.81569999999999</v>
      </c>
      <c r="U10436">
        <v>284.15190000000001</v>
      </c>
      <c r="V10436">
        <v>0</v>
      </c>
      <c r="W10436">
        <v>118.1519</v>
      </c>
      <c r="X10436">
        <v>652.30380000000002</v>
      </c>
      <c r="Y10436">
        <v>1.6689419999999999</v>
      </c>
      <c r="Z10436">
        <v>117</v>
      </c>
      <c r="AA10436">
        <v>652.30380000000002</v>
      </c>
      <c r="AB10436">
        <v>5.4752580000000002</v>
      </c>
      <c r="AC10436">
        <v>1.0479459999999999E-2</v>
      </c>
      <c r="AD10436">
        <v>2.86707</v>
      </c>
      <c r="AE10436">
        <v>0.76247830000000005</v>
      </c>
      <c r="AF10436">
        <v>815.59389999999996</v>
      </c>
      <c r="AG10436">
        <f>IFERROR(AH10436*0.1, "N/A")</f>
        <v>6.4</v>
      </c>
      <c r="AH10436">
        <v>64</v>
      </c>
      <c r="AI10436">
        <v>133.9161</v>
      </c>
      <c r="AJ10436">
        <v>22.404440000000001</v>
      </c>
      <c r="AK10436">
        <v>58.165529999999997</v>
      </c>
    </row>
    <row r="10437" spans="1:37" x14ac:dyDescent="0.3">
      <c r="A10437">
        <v>10436</v>
      </c>
      <c r="B10437">
        <v>1.9</v>
      </c>
      <c r="C10437">
        <v>13.8</v>
      </c>
      <c r="D10437">
        <v>10.75</v>
      </c>
      <c r="E10437" t="s">
        <v>15776</v>
      </c>
      <c r="F10437" t="s">
        <v>15779</v>
      </c>
      <c r="G10437" t="s">
        <v>2420</v>
      </c>
      <c r="H10437">
        <v>1990</v>
      </c>
      <c r="I10437">
        <v>23.969619999999999</v>
      </c>
      <c r="J10437">
        <v>13.97526</v>
      </c>
      <c r="K10437">
        <v>64.151880000000006</v>
      </c>
      <c r="L10437">
        <v>18.18055</v>
      </c>
      <c r="M10437">
        <v>35.369630000000001</v>
      </c>
      <c r="N10437">
        <v>13.78481</v>
      </c>
      <c r="O10437">
        <v>21.584810000000001</v>
      </c>
      <c r="P10437">
        <v>22.409559999999999</v>
      </c>
      <c r="Q10437">
        <v>22.584810000000001</v>
      </c>
      <c r="R10437">
        <v>26.717919999999999</v>
      </c>
      <c r="S10437">
        <v>22.409559999999999</v>
      </c>
      <c r="T10437">
        <v>940.81569999999999</v>
      </c>
      <c r="U10437">
        <v>284.15190000000001</v>
      </c>
      <c r="V10437">
        <v>0</v>
      </c>
      <c r="W10437">
        <v>118.1519</v>
      </c>
      <c r="X10437">
        <v>652.30380000000002</v>
      </c>
      <c r="Y10437">
        <v>1.6689419999999999</v>
      </c>
      <c r="Z10437">
        <v>117</v>
      </c>
      <c r="AA10437">
        <v>652.30380000000002</v>
      </c>
      <c r="AB10437">
        <v>5.4752580000000002</v>
      </c>
      <c r="AC10437">
        <v>1.0479459999999999E-2</v>
      </c>
      <c r="AD10437">
        <v>2.86707</v>
      </c>
      <c r="AE10437">
        <v>0.76247830000000005</v>
      </c>
      <c r="AF10437">
        <v>815.59389999999996</v>
      </c>
      <c r="AG10437">
        <f>IFERROR(AH10437*0.1, "N/A")</f>
        <v>6.4</v>
      </c>
      <c r="AH10437">
        <v>64</v>
      </c>
      <c r="AI10437">
        <v>133.9161</v>
      </c>
      <c r="AJ10437">
        <v>22.404440000000001</v>
      </c>
      <c r="AK10437">
        <v>58.165529999999997</v>
      </c>
    </row>
    <row r="10438" spans="1:37" x14ac:dyDescent="0.3">
      <c r="A10438">
        <v>10437</v>
      </c>
      <c r="B10438">
        <v>20.8</v>
      </c>
      <c r="C10438">
        <v>14.666700000000001</v>
      </c>
      <c r="D10438">
        <v>10.761100000000001</v>
      </c>
      <c r="E10438" t="s">
        <v>15780</v>
      </c>
      <c r="F10438" t="s">
        <v>15781</v>
      </c>
      <c r="G10438" t="s">
        <v>39</v>
      </c>
      <c r="H10438">
        <v>1990</v>
      </c>
      <c r="I10438">
        <v>28.4</v>
      </c>
      <c r="J10438">
        <v>13.9</v>
      </c>
      <c r="K10438">
        <v>62</v>
      </c>
      <c r="L10438">
        <v>21.26</v>
      </c>
      <c r="M10438">
        <v>40.200000000000003</v>
      </c>
      <c r="N10438">
        <v>17.8</v>
      </c>
      <c r="O10438">
        <v>22.4</v>
      </c>
      <c r="P10438">
        <v>26.6</v>
      </c>
      <c r="Q10438">
        <v>26.8</v>
      </c>
      <c r="R10438">
        <v>31.6</v>
      </c>
      <c r="S10438">
        <v>26.6</v>
      </c>
      <c r="T10438">
        <v>746.57360000000006</v>
      </c>
      <c r="U10438">
        <v>234</v>
      </c>
      <c r="V10438">
        <v>0</v>
      </c>
      <c r="W10438">
        <v>125.5736</v>
      </c>
      <c r="X10438">
        <v>555.57360000000006</v>
      </c>
      <c r="Y10438">
        <v>0</v>
      </c>
      <c r="Z10438">
        <v>67</v>
      </c>
      <c r="AA10438">
        <v>555.57360000000006</v>
      </c>
      <c r="AB10438">
        <v>0.15992870000000001</v>
      </c>
      <c r="AC10438">
        <v>0.56136589999999997</v>
      </c>
      <c r="AD10438">
        <v>1.0418160000000001</v>
      </c>
      <c r="AE10438">
        <v>0.49964619999999998</v>
      </c>
      <c r="AF10438">
        <v>327.23289999999997</v>
      </c>
      <c r="AG10438">
        <f>IFERROR(AH10438*0.1, "N/A")</f>
        <v>6.2356160000000003</v>
      </c>
      <c r="AH10438">
        <v>62.356160000000003</v>
      </c>
      <c r="AI10438">
        <v>71.928539999999998</v>
      </c>
      <c r="AJ10438">
        <v>14.445209999999999</v>
      </c>
      <c r="AK10438">
        <v>71.1113</v>
      </c>
    </row>
    <row r="10439" spans="1:37" x14ac:dyDescent="0.3">
      <c r="A10439">
        <v>10438</v>
      </c>
      <c r="B10439">
        <v>0</v>
      </c>
      <c r="C10439">
        <v>14.666700000000001</v>
      </c>
      <c r="D10439">
        <v>10.761100000000001</v>
      </c>
      <c r="E10439" t="s">
        <v>15780</v>
      </c>
      <c r="F10439" t="s">
        <v>15782</v>
      </c>
      <c r="G10439" t="s">
        <v>37</v>
      </c>
      <c r="H10439">
        <v>1990</v>
      </c>
      <c r="I10439">
        <v>28.4</v>
      </c>
      <c r="J10439">
        <v>13.9</v>
      </c>
      <c r="K10439">
        <v>62</v>
      </c>
      <c r="L10439">
        <v>21.26</v>
      </c>
      <c r="M10439">
        <v>40.200000000000003</v>
      </c>
      <c r="N10439">
        <v>17.8</v>
      </c>
      <c r="O10439">
        <v>22.4</v>
      </c>
      <c r="P10439">
        <v>26.6</v>
      </c>
      <c r="Q10439">
        <v>26.8</v>
      </c>
      <c r="R10439">
        <v>31.6</v>
      </c>
      <c r="S10439">
        <v>26.6</v>
      </c>
      <c r="T10439">
        <v>746.57360000000006</v>
      </c>
      <c r="U10439">
        <v>234</v>
      </c>
      <c r="V10439">
        <v>0</v>
      </c>
      <c r="W10439">
        <v>125.5736</v>
      </c>
      <c r="X10439">
        <v>555.57360000000006</v>
      </c>
      <c r="Y10439">
        <v>0</v>
      </c>
      <c r="Z10439">
        <v>67</v>
      </c>
      <c r="AA10439">
        <v>555.57360000000006</v>
      </c>
      <c r="AB10439">
        <v>0.15992870000000001</v>
      </c>
      <c r="AC10439">
        <v>0.56136589999999997</v>
      </c>
      <c r="AD10439">
        <v>1.0418160000000001</v>
      </c>
      <c r="AE10439">
        <v>0.49964619999999998</v>
      </c>
      <c r="AF10439">
        <v>327.23289999999997</v>
      </c>
      <c r="AG10439">
        <f>IFERROR(AH10439*0.1, "N/A")</f>
        <v>6.2356160000000003</v>
      </c>
      <c r="AH10439">
        <v>62.356160000000003</v>
      </c>
      <c r="AI10439">
        <v>71.928539999999998</v>
      </c>
      <c r="AJ10439">
        <v>14.445209999999999</v>
      </c>
      <c r="AK10439">
        <v>71.1113</v>
      </c>
    </row>
    <row r="10440" spans="1:37" x14ac:dyDescent="0.3">
      <c r="A10440">
        <v>10439</v>
      </c>
      <c r="B10440">
        <v>1.1000000000000001</v>
      </c>
      <c r="C10440">
        <v>14.666700000000001</v>
      </c>
      <c r="D10440">
        <v>10.761100000000001</v>
      </c>
      <c r="E10440" t="s">
        <v>15780</v>
      </c>
      <c r="F10440" t="s">
        <v>15783</v>
      </c>
      <c r="G10440" t="s">
        <v>2420</v>
      </c>
      <c r="H10440">
        <v>1990</v>
      </c>
      <c r="I10440">
        <v>28.4</v>
      </c>
      <c r="J10440">
        <v>13.9</v>
      </c>
      <c r="K10440">
        <v>62</v>
      </c>
      <c r="L10440">
        <v>21.26</v>
      </c>
      <c r="M10440">
        <v>40.200000000000003</v>
      </c>
      <c r="N10440">
        <v>17.8</v>
      </c>
      <c r="O10440">
        <v>22.4</v>
      </c>
      <c r="P10440">
        <v>26.6</v>
      </c>
      <c r="Q10440">
        <v>26.8</v>
      </c>
      <c r="R10440">
        <v>31.6</v>
      </c>
      <c r="S10440">
        <v>26.6</v>
      </c>
      <c r="T10440">
        <v>746.57360000000006</v>
      </c>
      <c r="U10440">
        <v>234</v>
      </c>
      <c r="V10440">
        <v>0</v>
      </c>
      <c r="W10440">
        <v>125.5736</v>
      </c>
      <c r="X10440">
        <v>555.57360000000006</v>
      </c>
      <c r="Y10440">
        <v>0</v>
      </c>
      <c r="Z10440">
        <v>67</v>
      </c>
      <c r="AA10440">
        <v>555.57360000000006</v>
      </c>
      <c r="AB10440">
        <v>0.15992870000000001</v>
      </c>
      <c r="AC10440">
        <v>0.56136589999999997</v>
      </c>
      <c r="AD10440">
        <v>1.0418160000000001</v>
      </c>
      <c r="AE10440">
        <v>0.49964619999999998</v>
      </c>
      <c r="AF10440">
        <v>327.23289999999997</v>
      </c>
      <c r="AG10440">
        <f>IFERROR(AH10440*0.1, "N/A")</f>
        <v>6.2356160000000003</v>
      </c>
      <c r="AH10440">
        <v>62.356160000000003</v>
      </c>
      <c r="AI10440">
        <v>71.928539999999998</v>
      </c>
      <c r="AJ10440">
        <v>14.445209999999999</v>
      </c>
      <c r="AK10440">
        <v>71.1113</v>
      </c>
    </row>
    <row r="10441" spans="1:37" x14ac:dyDescent="0.3">
      <c r="A10441">
        <v>10440</v>
      </c>
      <c r="B10441">
        <v>72.400000000000006</v>
      </c>
      <c r="C10441">
        <v>13.833299999999999</v>
      </c>
      <c r="D10441">
        <v>10.7667</v>
      </c>
      <c r="E10441" t="s">
        <v>15784</v>
      </c>
      <c r="F10441" t="s">
        <v>15785</v>
      </c>
      <c r="G10441" t="s">
        <v>39</v>
      </c>
      <c r="H10441">
        <v>1990</v>
      </c>
      <c r="I10441">
        <v>24.15137</v>
      </c>
      <c r="J10441">
        <v>13.9933</v>
      </c>
      <c r="K10441">
        <v>64</v>
      </c>
      <c r="L10441">
        <v>18.50187</v>
      </c>
      <c r="M10441">
        <v>35.603949999999998</v>
      </c>
      <c r="N10441">
        <v>13.951370000000001</v>
      </c>
      <c r="O10441">
        <v>21.65258</v>
      </c>
      <c r="P10441">
        <v>22.61065</v>
      </c>
      <c r="Q10441">
        <v>22.751370000000001</v>
      </c>
      <c r="R10441">
        <v>27.00395</v>
      </c>
      <c r="S10441">
        <v>22.61065</v>
      </c>
      <c r="T10441">
        <v>931.04809999999998</v>
      </c>
      <c r="U10441">
        <v>282.89350000000002</v>
      </c>
      <c r="V10441">
        <v>0</v>
      </c>
      <c r="W10441">
        <v>119</v>
      </c>
      <c r="X10441">
        <v>648.78689999999995</v>
      </c>
      <c r="Y10441">
        <v>1</v>
      </c>
      <c r="Z10441">
        <v>113.3677</v>
      </c>
      <c r="AA10441">
        <v>648.78689999999995</v>
      </c>
      <c r="AB10441">
        <v>5.1099839999999999</v>
      </c>
      <c r="AC10441">
        <v>0.30080319999999999</v>
      </c>
      <c r="AD10441">
        <v>3.569674</v>
      </c>
      <c r="AE10441">
        <v>0.70083549999999994</v>
      </c>
      <c r="AF10441">
        <v>774.09969999999998</v>
      </c>
      <c r="AG10441">
        <f>IFERROR(AH10441*0.1, "N/A")</f>
        <v>6.2367699999999999</v>
      </c>
      <c r="AH10441">
        <v>62.367699999999999</v>
      </c>
      <c r="AI10441">
        <v>78.165059999999997</v>
      </c>
      <c r="AJ10441">
        <v>21.103090000000002</v>
      </c>
      <c r="AK10441">
        <v>58.264600000000002</v>
      </c>
    </row>
    <row r="10442" spans="1:37" x14ac:dyDescent="0.3">
      <c r="A10442">
        <v>10441</v>
      </c>
      <c r="B10442">
        <v>38.200000000000003</v>
      </c>
      <c r="C10442">
        <v>13.833299999999999</v>
      </c>
      <c r="D10442">
        <v>10.7667</v>
      </c>
      <c r="E10442" t="s">
        <v>15784</v>
      </c>
      <c r="F10442" t="s">
        <v>15786</v>
      </c>
      <c r="G10442" t="s">
        <v>37</v>
      </c>
      <c r="H10442">
        <v>1990</v>
      </c>
      <c r="I10442">
        <v>24.15137</v>
      </c>
      <c r="J10442">
        <v>13.9933</v>
      </c>
      <c r="K10442">
        <v>64</v>
      </c>
      <c r="L10442">
        <v>18.50187</v>
      </c>
      <c r="M10442">
        <v>35.603949999999998</v>
      </c>
      <c r="N10442">
        <v>13.951370000000001</v>
      </c>
      <c r="O10442">
        <v>21.65258</v>
      </c>
      <c r="P10442">
        <v>22.61065</v>
      </c>
      <c r="Q10442">
        <v>22.751370000000001</v>
      </c>
      <c r="R10442">
        <v>27.00395</v>
      </c>
      <c r="S10442">
        <v>22.61065</v>
      </c>
      <c r="T10442">
        <v>931.04809999999998</v>
      </c>
      <c r="U10442">
        <v>282.89350000000002</v>
      </c>
      <c r="V10442">
        <v>0</v>
      </c>
      <c r="W10442">
        <v>119</v>
      </c>
      <c r="X10442">
        <v>648.78689999999995</v>
      </c>
      <c r="Y10442">
        <v>1</v>
      </c>
      <c r="Z10442">
        <v>113.3677</v>
      </c>
      <c r="AA10442">
        <v>648.78689999999995</v>
      </c>
      <c r="AB10442">
        <v>5.1099839999999999</v>
      </c>
      <c r="AC10442">
        <v>0.30080319999999999</v>
      </c>
      <c r="AD10442">
        <v>3.569674</v>
      </c>
      <c r="AE10442">
        <v>0.70083549999999994</v>
      </c>
      <c r="AF10442">
        <v>774.09969999999998</v>
      </c>
      <c r="AG10442">
        <f>IFERROR(AH10442*0.1, "N/A")</f>
        <v>6.2367699999999999</v>
      </c>
      <c r="AH10442">
        <v>62.367699999999999</v>
      </c>
      <c r="AI10442">
        <v>78.165059999999997</v>
      </c>
      <c r="AJ10442">
        <v>21.103090000000002</v>
      </c>
      <c r="AK10442">
        <v>58.264600000000002</v>
      </c>
    </row>
    <row r="10443" spans="1:37" x14ac:dyDescent="0.3">
      <c r="A10443">
        <v>10442</v>
      </c>
      <c r="B10443">
        <v>21.8</v>
      </c>
      <c r="C10443">
        <v>13.833299999999999</v>
      </c>
      <c r="D10443">
        <v>10.7667</v>
      </c>
      <c r="E10443" t="s">
        <v>15784</v>
      </c>
      <c r="F10443" t="s">
        <v>15787</v>
      </c>
      <c r="G10443" t="s">
        <v>2420</v>
      </c>
      <c r="H10443">
        <v>1990</v>
      </c>
      <c r="I10443">
        <v>24.15137</v>
      </c>
      <c r="J10443">
        <v>13.9933</v>
      </c>
      <c r="K10443">
        <v>64</v>
      </c>
      <c r="L10443">
        <v>18.50187</v>
      </c>
      <c r="M10443">
        <v>35.603949999999998</v>
      </c>
      <c r="N10443">
        <v>13.951370000000001</v>
      </c>
      <c r="O10443">
        <v>21.65258</v>
      </c>
      <c r="P10443">
        <v>22.61065</v>
      </c>
      <c r="Q10443">
        <v>22.751370000000001</v>
      </c>
      <c r="R10443">
        <v>27.00395</v>
      </c>
      <c r="S10443">
        <v>22.61065</v>
      </c>
      <c r="T10443">
        <v>931.04809999999998</v>
      </c>
      <c r="U10443">
        <v>282.89350000000002</v>
      </c>
      <c r="V10443">
        <v>0</v>
      </c>
      <c r="W10443">
        <v>119</v>
      </c>
      <c r="X10443">
        <v>648.78689999999995</v>
      </c>
      <c r="Y10443">
        <v>1</v>
      </c>
      <c r="Z10443">
        <v>113.3677</v>
      </c>
      <c r="AA10443">
        <v>648.78689999999995</v>
      </c>
      <c r="AB10443">
        <v>5.1099839999999999</v>
      </c>
      <c r="AC10443">
        <v>0.30080319999999999</v>
      </c>
      <c r="AD10443">
        <v>3.569674</v>
      </c>
      <c r="AE10443">
        <v>0.70083549999999994</v>
      </c>
      <c r="AF10443">
        <v>774.09969999999998</v>
      </c>
      <c r="AG10443">
        <f>IFERROR(AH10443*0.1, "N/A")</f>
        <v>6.2367699999999999</v>
      </c>
      <c r="AH10443">
        <v>62.367699999999999</v>
      </c>
      <c r="AI10443">
        <v>78.165059999999997</v>
      </c>
      <c r="AJ10443">
        <v>21.103090000000002</v>
      </c>
      <c r="AK10443">
        <v>58.264600000000002</v>
      </c>
    </row>
    <row r="10444" spans="1:37" x14ac:dyDescent="0.3">
      <c r="A10444">
        <v>10443</v>
      </c>
      <c r="B10444">
        <v>38.5</v>
      </c>
      <c r="C10444">
        <v>14.127800000000001</v>
      </c>
      <c r="D10444">
        <v>10.777799999999999</v>
      </c>
      <c r="E10444" t="s">
        <v>15788</v>
      </c>
      <c r="F10444" t="s">
        <v>15789</v>
      </c>
      <c r="G10444" t="s">
        <v>39</v>
      </c>
      <c r="H10444">
        <v>1990</v>
      </c>
      <c r="I10444">
        <v>26.9</v>
      </c>
      <c r="J10444">
        <v>13.9</v>
      </c>
      <c r="K10444">
        <v>63</v>
      </c>
      <c r="L10444">
        <v>19.97</v>
      </c>
      <c r="M10444">
        <v>38.700000000000003</v>
      </c>
      <c r="N10444">
        <v>16.8</v>
      </c>
      <c r="O10444">
        <v>21.9</v>
      </c>
      <c r="P10444">
        <v>25.2</v>
      </c>
      <c r="Q10444">
        <v>25.4</v>
      </c>
      <c r="R10444">
        <v>30</v>
      </c>
      <c r="S10444">
        <v>25.2</v>
      </c>
      <c r="T10444">
        <v>827</v>
      </c>
      <c r="U10444">
        <v>257</v>
      </c>
      <c r="V10444">
        <v>0</v>
      </c>
      <c r="W10444">
        <v>124</v>
      </c>
      <c r="X10444">
        <v>598</v>
      </c>
      <c r="Y10444">
        <v>0</v>
      </c>
      <c r="Z10444">
        <v>86</v>
      </c>
      <c r="AA10444">
        <v>598</v>
      </c>
      <c r="AB10444">
        <v>1.6465639999999999</v>
      </c>
      <c r="AC10444">
        <v>9.5410079999999997</v>
      </c>
      <c r="AD10444">
        <v>4.4172520000000004</v>
      </c>
      <c r="AE10444">
        <v>0.69818650000000004</v>
      </c>
      <c r="AF10444">
        <v>511.40379999999999</v>
      </c>
      <c r="AG10444">
        <f>IFERROR(AH10444*0.1, "N/A")</f>
        <v>6.8288659999999997</v>
      </c>
      <c r="AH10444">
        <v>68.288659999999993</v>
      </c>
      <c r="AI10444">
        <v>199.73599999999999</v>
      </c>
      <c r="AJ10444">
        <v>20.28866</v>
      </c>
      <c r="AK10444">
        <v>60</v>
      </c>
    </row>
    <row r="10445" spans="1:37" x14ac:dyDescent="0.3">
      <c r="A10445">
        <v>10444</v>
      </c>
      <c r="B10445">
        <v>17.2</v>
      </c>
      <c r="C10445">
        <v>14.127800000000001</v>
      </c>
      <c r="D10445">
        <v>10.777799999999999</v>
      </c>
      <c r="E10445" t="s">
        <v>15788</v>
      </c>
      <c r="F10445" t="s">
        <v>15790</v>
      </c>
      <c r="G10445" t="s">
        <v>37</v>
      </c>
      <c r="H10445">
        <v>1990</v>
      </c>
      <c r="I10445">
        <v>26.9</v>
      </c>
      <c r="J10445">
        <v>13.9</v>
      </c>
      <c r="K10445">
        <v>63</v>
      </c>
      <c r="L10445">
        <v>19.97</v>
      </c>
      <c r="M10445">
        <v>38.700000000000003</v>
      </c>
      <c r="N10445">
        <v>16.8</v>
      </c>
      <c r="O10445">
        <v>21.9</v>
      </c>
      <c r="P10445">
        <v>25.2</v>
      </c>
      <c r="Q10445">
        <v>25.4</v>
      </c>
      <c r="R10445">
        <v>30</v>
      </c>
      <c r="S10445">
        <v>25.2</v>
      </c>
      <c r="T10445">
        <v>827</v>
      </c>
      <c r="U10445">
        <v>257</v>
      </c>
      <c r="V10445">
        <v>0</v>
      </c>
      <c r="W10445">
        <v>124</v>
      </c>
      <c r="X10445">
        <v>598</v>
      </c>
      <c r="Y10445">
        <v>0</v>
      </c>
      <c r="Z10445">
        <v>86</v>
      </c>
      <c r="AA10445">
        <v>598</v>
      </c>
      <c r="AB10445">
        <v>1.6465639999999999</v>
      </c>
      <c r="AC10445">
        <v>9.5410079999999997</v>
      </c>
      <c r="AD10445">
        <v>4.4172520000000004</v>
      </c>
      <c r="AE10445">
        <v>0.69818650000000004</v>
      </c>
      <c r="AF10445">
        <v>511.40379999999999</v>
      </c>
      <c r="AG10445">
        <f>IFERROR(AH10445*0.1, "N/A")</f>
        <v>6.8288659999999997</v>
      </c>
      <c r="AH10445">
        <v>68.288659999999993</v>
      </c>
      <c r="AI10445">
        <v>199.73599999999999</v>
      </c>
      <c r="AJ10445">
        <v>20.28866</v>
      </c>
      <c r="AK10445">
        <v>60</v>
      </c>
    </row>
    <row r="10446" spans="1:37" x14ac:dyDescent="0.3">
      <c r="A10446">
        <v>10445</v>
      </c>
      <c r="B10446">
        <v>0</v>
      </c>
      <c r="C10446">
        <v>14.127800000000001</v>
      </c>
      <c r="D10446">
        <v>10.777799999999999</v>
      </c>
      <c r="E10446" t="s">
        <v>15788</v>
      </c>
      <c r="F10446" t="s">
        <v>15791</v>
      </c>
      <c r="G10446" t="s">
        <v>2420</v>
      </c>
      <c r="H10446">
        <v>1990</v>
      </c>
      <c r="I10446">
        <v>26.9</v>
      </c>
      <c r="J10446">
        <v>13.9</v>
      </c>
      <c r="K10446">
        <v>63</v>
      </c>
      <c r="L10446">
        <v>19.97</v>
      </c>
      <c r="M10446">
        <v>38.700000000000003</v>
      </c>
      <c r="N10446">
        <v>16.8</v>
      </c>
      <c r="O10446">
        <v>21.9</v>
      </c>
      <c r="P10446">
        <v>25.2</v>
      </c>
      <c r="Q10446">
        <v>25.4</v>
      </c>
      <c r="R10446">
        <v>30</v>
      </c>
      <c r="S10446">
        <v>25.2</v>
      </c>
      <c r="T10446">
        <v>827</v>
      </c>
      <c r="U10446">
        <v>257</v>
      </c>
      <c r="V10446">
        <v>0</v>
      </c>
      <c r="W10446">
        <v>124</v>
      </c>
      <c r="X10446">
        <v>598</v>
      </c>
      <c r="Y10446">
        <v>0</v>
      </c>
      <c r="Z10446">
        <v>86</v>
      </c>
      <c r="AA10446">
        <v>598</v>
      </c>
      <c r="AB10446">
        <v>1.6465639999999999</v>
      </c>
      <c r="AC10446">
        <v>9.5410079999999997</v>
      </c>
      <c r="AD10446">
        <v>4.4172520000000004</v>
      </c>
      <c r="AE10446">
        <v>0.69818650000000004</v>
      </c>
      <c r="AF10446">
        <v>511.40379999999999</v>
      </c>
      <c r="AG10446">
        <f>IFERROR(AH10446*0.1, "N/A")</f>
        <v>6.8288659999999997</v>
      </c>
      <c r="AH10446">
        <v>68.288659999999993</v>
      </c>
      <c r="AI10446">
        <v>199.73599999999999</v>
      </c>
      <c r="AJ10446">
        <v>20.28866</v>
      </c>
      <c r="AK10446">
        <v>60</v>
      </c>
    </row>
    <row r="10447" spans="1:37" x14ac:dyDescent="0.3">
      <c r="A10447">
        <v>10446</v>
      </c>
      <c r="B10447">
        <v>89.9</v>
      </c>
      <c r="C10447">
        <v>14.058299999999999</v>
      </c>
      <c r="D10447">
        <v>10.7889</v>
      </c>
      <c r="E10447" t="s">
        <v>15792</v>
      </c>
      <c r="F10447" t="s">
        <v>15793</v>
      </c>
      <c r="G10447" t="s">
        <v>39</v>
      </c>
      <c r="H10447">
        <v>1990</v>
      </c>
      <c r="I10447">
        <v>25.546389999999999</v>
      </c>
      <c r="J10447">
        <v>13.9</v>
      </c>
      <c r="K10447">
        <v>63</v>
      </c>
      <c r="L10447">
        <v>19.502890000000001</v>
      </c>
      <c r="M10447">
        <v>37.146389999999997</v>
      </c>
      <c r="N10447">
        <v>15.34639</v>
      </c>
      <c r="O10447">
        <v>21.8</v>
      </c>
      <c r="P10447">
        <v>23.923200000000001</v>
      </c>
      <c r="Q10447">
        <v>24.046389999999999</v>
      </c>
      <c r="R10447">
        <v>28.523199999999999</v>
      </c>
      <c r="S10447">
        <v>23.923200000000001</v>
      </c>
      <c r="T10447">
        <v>871.37630000000001</v>
      </c>
      <c r="U10447">
        <v>268.53609999999998</v>
      </c>
      <c r="V10447">
        <v>0</v>
      </c>
      <c r="W10447">
        <v>121.768</v>
      </c>
      <c r="X10447">
        <v>622.07219999999995</v>
      </c>
      <c r="Y10447">
        <v>1</v>
      </c>
      <c r="Z10447">
        <v>95.768039999999999</v>
      </c>
      <c r="AA10447">
        <v>622.07219999999995</v>
      </c>
      <c r="AB10447">
        <v>13.38058</v>
      </c>
      <c r="AC10447">
        <v>2.4434259999999999E-2</v>
      </c>
      <c r="AD10447">
        <v>5.6235530000000002</v>
      </c>
      <c r="AE10447">
        <v>0.69597500000000001</v>
      </c>
      <c r="AF10447">
        <v>676.51199999999994</v>
      </c>
      <c r="AG10447">
        <f>IFERROR(AH10447*0.1, "N/A")</f>
        <v>6.4142610000000007</v>
      </c>
      <c r="AH10447">
        <v>64.142610000000005</v>
      </c>
      <c r="AI10447">
        <v>74.694649999999996</v>
      </c>
      <c r="AJ10447">
        <v>21.08935</v>
      </c>
      <c r="AK10447">
        <v>58.740549999999999</v>
      </c>
    </row>
    <row r="10448" spans="1:37" x14ac:dyDescent="0.3">
      <c r="A10448">
        <v>10447</v>
      </c>
      <c r="B10448">
        <v>0</v>
      </c>
      <c r="C10448">
        <v>14.058299999999999</v>
      </c>
      <c r="D10448">
        <v>10.7889</v>
      </c>
      <c r="E10448" t="s">
        <v>15792</v>
      </c>
      <c r="F10448" t="s">
        <v>15794</v>
      </c>
      <c r="G10448" t="s">
        <v>37</v>
      </c>
      <c r="H10448">
        <v>1990</v>
      </c>
      <c r="I10448">
        <v>25.546389999999999</v>
      </c>
      <c r="J10448">
        <v>13.9</v>
      </c>
      <c r="K10448">
        <v>63</v>
      </c>
      <c r="L10448">
        <v>19.502890000000001</v>
      </c>
      <c r="M10448">
        <v>37.146389999999997</v>
      </c>
      <c r="N10448">
        <v>15.34639</v>
      </c>
      <c r="O10448">
        <v>21.8</v>
      </c>
      <c r="P10448">
        <v>23.923200000000001</v>
      </c>
      <c r="Q10448">
        <v>24.046389999999999</v>
      </c>
      <c r="R10448">
        <v>28.523199999999999</v>
      </c>
      <c r="S10448">
        <v>23.923200000000001</v>
      </c>
      <c r="T10448">
        <v>871.37630000000001</v>
      </c>
      <c r="U10448">
        <v>268.53609999999998</v>
      </c>
      <c r="V10448">
        <v>0</v>
      </c>
      <c r="W10448">
        <v>121.768</v>
      </c>
      <c r="X10448">
        <v>622.07219999999995</v>
      </c>
      <c r="Y10448">
        <v>1</v>
      </c>
      <c r="Z10448">
        <v>95.768039999999999</v>
      </c>
      <c r="AA10448">
        <v>622.07219999999995</v>
      </c>
      <c r="AB10448">
        <v>13.38058</v>
      </c>
      <c r="AC10448">
        <v>2.4434259999999999E-2</v>
      </c>
      <c r="AD10448">
        <v>5.6235530000000002</v>
      </c>
      <c r="AE10448">
        <v>0.69597500000000001</v>
      </c>
      <c r="AF10448">
        <v>676.51199999999994</v>
      </c>
      <c r="AG10448">
        <f>IFERROR(AH10448*0.1, "N/A")</f>
        <v>6.4142610000000007</v>
      </c>
      <c r="AH10448">
        <v>64.142610000000005</v>
      </c>
      <c r="AI10448">
        <v>74.694649999999996</v>
      </c>
      <c r="AJ10448">
        <v>21.08935</v>
      </c>
      <c r="AK10448">
        <v>58.740549999999999</v>
      </c>
    </row>
    <row r="10449" spans="1:37" x14ac:dyDescent="0.3">
      <c r="A10449">
        <v>10448</v>
      </c>
      <c r="B10449">
        <v>4.5</v>
      </c>
      <c r="C10449">
        <v>14.058299999999999</v>
      </c>
      <c r="D10449">
        <v>10.7889</v>
      </c>
      <c r="E10449" t="s">
        <v>15792</v>
      </c>
      <c r="F10449" t="s">
        <v>15795</v>
      </c>
      <c r="G10449" t="s">
        <v>2420</v>
      </c>
      <c r="H10449">
        <v>1990</v>
      </c>
      <c r="I10449">
        <v>25.546389999999999</v>
      </c>
      <c r="J10449">
        <v>13.9</v>
      </c>
      <c r="K10449">
        <v>63</v>
      </c>
      <c r="L10449">
        <v>19.502890000000001</v>
      </c>
      <c r="M10449">
        <v>37.146389999999997</v>
      </c>
      <c r="N10449">
        <v>15.34639</v>
      </c>
      <c r="O10449">
        <v>21.8</v>
      </c>
      <c r="P10449">
        <v>23.923200000000001</v>
      </c>
      <c r="Q10449">
        <v>24.046389999999999</v>
      </c>
      <c r="R10449">
        <v>28.523199999999999</v>
      </c>
      <c r="S10449">
        <v>23.923200000000001</v>
      </c>
      <c r="T10449">
        <v>871.37630000000001</v>
      </c>
      <c r="U10449">
        <v>268.53609999999998</v>
      </c>
      <c r="V10449">
        <v>0</v>
      </c>
      <c r="W10449">
        <v>121.768</v>
      </c>
      <c r="X10449">
        <v>622.07219999999995</v>
      </c>
      <c r="Y10449">
        <v>1</v>
      </c>
      <c r="Z10449">
        <v>95.768039999999999</v>
      </c>
      <c r="AA10449">
        <v>622.07219999999995</v>
      </c>
      <c r="AB10449">
        <v>13.38058</v>
      </c>
      <c r="AC10449">
        <v>2.4434259999999999E-2</v>
      </c>
      <c r="AD10449">
        <v>5.6235530000000002</v>
      </c>
      <c r="AE10449">
        <v>0.69597500000000001</v>
      </c>
      <c r="AF10449">
        <v>676.51199999999994</v>
      </c>
      <c r="AG10449">
        <f>IFERROR(AH10449*0.1, "N/A")</f>
        <v>6.4142610000000007</v>
      </c>
      <c r="AH10449">
        <v>64.142610000000005</v>
      </c>
      <c r="AI10449">
        <v>74.694649999999996</v>
      </c>
      <c r="AJ10449">
        <v>21.08935</v>
      </c>
      <c r="AK10449">
        <v>58.740549999999999</v>
      </c>
    </row>
    <row r="10450" spans="1:37" x14ac:dyDescent="0.3">
      <c r="A10450">
        <v>10449</v>
      </c>
      <c r="B10450">
        <v>0</v>
      </c>
      <c r="C10450">
        <v>13.88</v>
      </c>
      <c r="D10450">
        <v>10.833</v>
      </c>
      <c r="E10450" t="s">
        <v>15796</v>
      </c>
      <c r="F10450" t="s">
        <v>15797</v>
      </c>
      <c r="G10450" t="s">
        <v>39</v>
      </c>
      <c r="H10450">
        <v>1987</v>
      </c>
      <c r="I10450">
        <v>24.510940000000002</v>
      </c>
      <c r="J10450">
        <v>14</v>
      </c>
      <c r="K10450">
        <v>64</v>
      </c>
      <c r="L10450">
        <v>18.850149999999999</v>
      </c>
      <c r="M10450">
        <v>36.010939999999998</v>
      </c>
      <c r="N10450">
        <v>14.210940000000001</v>
      </c>
      <c r="O10450">
        <v>21.8</v>
      </c>
      <c r="P10450">
        <v>22.916409999999999</v>
      </c>
      <c r="Q10450">
        <v>23.010940000000002</v>
      </c>
      <c r="R10450">
        <v>27.41094</v>
      </c>
      <c r="S10450">
        <v>22.916409999999999</v>
      </c>
      <c r="T10450">
        <v>907.61710000000005</v>
      </c>
      <c r="U10450">
        <v>278.89060000000001</v>
      </c>
      <c r="V10450">
        <v>0</v>
      </c>
      <c r="W10450">
        <v>120.9453</v>
      </c>
      <c r="X10450">
        <v>638.78120000000001</v>
      </c>
      <c r="Y10450">
        <v>1</v>
      </c>
      <c r="Z10450">
        <v>105.89060000000001</v>
      </c>
      <c r="AA10450">
        <v>638.78120000000001</v>
      </c>
      <c r="AB10450">
        <v>116.5981</v>
      </c>
      <c r="AC10450">
        <v>8.4272159999999995E-3</v>
      </c>
      <c r="AD10450">
        <v>10.330270000000001</v>
      </c>
      <c r="AE10450">
        <v>0.69923259999999998</v>
      </c>
      <c r="AF10450">
        <v>790.45979999999997</v>
      </c>
      <c r="AG10450">
        <f>IFERROR(AH10450*0.1, "N/A")</f>
        <v>6.5237610000000004</v>
      </c>
      <c r="AH10450">
        <v>65.237610000000004</v>
      </c>
      <c r="AI10450">
        <v>138.81530000000001</v>
      </c>
      <c r="AJ10450">
        <v>24</v>
      </c>
      <c r="AK10450">
        <v>52</v>
      </c>
    </row>
    <row r="10451" spans="1:37" x14ac:dyDescent="0.3">
      <c r="A10451">
        <v>10450</v>
      </c>
      <c r="B10451">
        <v>13.8</v>
      </c>
      <c r="C10451">
        <v>13.88</v>
      </c>
      <c r="D10451">
        <v>10.833</v>
      </c>
      <c r="E10451" t="s">
        <v>15796</v>
      </c>
      <c r="F10451" t="s">
        <v>15798</v>
      </c>
      <c r="G10451" t="s">
        <v>37</v>
      </c>
      <c r="H10451">
        <v>1987</v>
      </c>
      <c r="I10451">
        <v>24.510940000000002</v>
      </c>
      <c r="J10451">
        <v>14</v>
      </c>
      <c r="K10451">
        <v>64</v>
      </c>
      <c r="L10451">
        <v>18.850149999999999</v>
      </c>
      <c r="M10451">
        <v>36.010939999999998</v>
      </c>
      <c r="N10451">
        <v>14.210940000000001</v>
      </c>
      <c r="O10451">
        <v>21.8</v>
      </c>
      <c r="P10451">
        <v>22.916409999999999</v>
      </c>
      <c r="Q10451">
        <v>23.010940000000002</v>
      </c>
      <c r="R10451">
        <v>27.41094</v>
      </c>
      <c r="S10451">
        <v>22.916409999999999</v>
      </c>
      <c r="T10451">
        <v>907.61710000000005</v>
      </c>
      <c r="U10451">
        <v>278.89060000000001</v>
      </c>
      <c r="V10451">
        <v>0</v>
      </c>
      <c r="W10451">
        <v>120.9453</v>
      </c>
      <c r="X10451">
        <v>638.78120000000001</v>
      </c>
      <c r="Y10451">
        <v>1</v>
      </c>
      <c r="Z10451">
        <v>105.89060000000001</v>
      </c>
      <c r="AA10451">
        <v>638.78120000000001</v>
      </c>
      <c r="AB10451">
        <v>116.5981</v>
      </c>
      <c r="AC10451">
        <v>8.4272159999999995E-3</v>
      </c>
      <c r="AD10451">
        <v>10.330270000000001</v>
      </c>
      <c r="AE10451">
        <v>0.69923259999999998</v>
      </c>
      <c r="AF10451">
        <v>790.45979999999997</v>
      </c>
      <c r="AG10451">
        <f>IFERROR(AH10451*0.1, "N/A")</f>
        <v>6.5237610000000004</v>
      </c>
      <c r="AH10451">
        <v>65.237610000000004</v>
      </c>
      <c r="AI10451">
        <v>138.81530000000001</v>
      </c>
      <c r="AJ10451">
        <v>24</v>
      </c>
      <c r="AK10451">
        <v>52</v>
      </c>
    </row>
    <row r="10452" spans="1:37" x14ac:dyDescent="0.3">
      <c r="A10452">
        <v>10451</v>
      </c>
      <c r="B10452">
        <v>37.5</v>
      </c>
      <c r="C10452">
        <v>13.9</v>
      </c>
      <c r="D10452">
        <v>10.833299999999999</v>
      </c>
      <c r="E10452" t="s">
        <v>15799</v>
      </c>
      <c r="F10452" t="s">
        <v>15800</v>
      </c>
      <c r="G10452" t="s">
        <v>39</v>
      </c>
      <c r="H10452">
        <v>1990</v>
      </c>
      <c r="I10452">
        <v>26.1</v>
      </c>
      <c r="J10452">
        <v>14</v>
      </c>
      <c r="K10452">
        <v>63</v>
      </c>
      <c r="L10452">
        <v>19.50844</v>
      </c>
      <c r="M10452">
        <v>37.798630000000003</v>
      </c>
      <c r="N10452">
        <v>15.62003</v>
      </c>
      <c r="O10452">
        <v>22.178599999999999</v>
      </c>
      <c r="P10452">
        <v>24.518660000000001</v>
      </c>
      <c r="Q10452">
        <v>24.601369999999999</v>
      </c>
      <c r="R10452">
        <v>29.09863</v>
      </c>
      <c r="S10452">
        <v>24.501370000000001</v>
      </c>
      <c r="T10452">
        <v>858.37159999999994</v>
      </c>
      <c r="U10452">
        <v>265.98630000000003</v>
      </c>
      <c r="V10452">
        <v>0</v>
      </c>
      <c r="W10452">
        <v>121.9863</v>
      </c>
      <c r="X10452">
        <v>610.97260000000006</v>
      </c>
      <c r="Y10452">
        <v>1</v>
      </c>
      <c r="Z10452">
        <v>95.398970000000006</v>
      </c>
      <c r="AA10452">
        <v>9.3287669999999991</v>
      </c>
      <c r="AB10452">
        <v>1.9856100000000001</v>
      </c>
      <c r="AC10452">
        <v>3.254521</v>
      </c>
      <c r="AD10452">
        <v>1.647051</v>
      </c>
      <c r="AE10452">
        <v>0.70478359999999995</v>
      </c>
      <c r="AF10452">
        <v>526.2568</v>
      </c>
      <c r="AG10452">
        <f>IFERROR(AH10452*0.1, "N/A")</f>
        <v>6.7455479999999994</v>
      </c>
      <c r="AH10452">
        <v>67.455479999999994</v>
      </c>
      <c r="AI10452">
        <v>20.31833</v>
      </c>
      <c r="AJ10452">
        <v>20.174659999999999</v>
      </c>
      <c r="AK10452">
        <v>59.011989999999997</v>
      </c>
    </row>
    <row r="10453" spans="1:37" x14ac:dyDescent="0.3">
      <c r="A10453">
        <v>10452</v>
      </c>
      <c r="B10453">
        <v>0</v>
      </c>
      <c r="C10453">
        <v>13.9</v>
      </c>
      <c r="D10453">
        <v>10.833299999999999</v>
      </c>
      <c r="E10453" t="s">
        <v>15799</v>
      </c>
      <c r="F10453" t="s">
        <v>15801</v>
      </c>
      <c r="G10453" t="s">
        <v>37</v>
      </c>
      <c r="H10453">
        <v>1990</v>
      </c>
      <c r="I10453">
        <v>26.1</v>
      </c>
      <c r="J10453">
        <v>14</v>
      </c>
      <c r="K10453">
        <v>63</v>
      </c>
      <c r="L10453">
        <v>19.50844</v>
      </c>
      <c r="M10453">
        <v>37.798630000000003</v>
      </c>
      <c r="N10453">
        <v>15.62003</v>
      </c>
      <c r="O10453">
        <v>22.178599999999999</v>
      </c>
      <c r="P10453">
        <v>24.518660000000001</v>
      </c>
      <c r="Q10453">
        <v>24.601369999999999</v>
      </c>
      <c r="R10453">
        <v>29.09863</v>
      </c>
      <c r="S10453">
        <v>24.501370000000001</v>
      </c>
      <c r="T10453">
        <v>858.37159999999994</v>
      </c>
      <c r="U10453">
        <v>265.98630000000003</v>
      </c>
      <c r="V10453">
        <v>0</v>
      </c>
      <c r="W10453">
        <v>121.9863</v>
      </c>
      <c r="X10453">
        <v>610.97260000000006</v>
      </c>
      <c r="Y10453">
        <v>1</v>
      </c>
      <c r="Z10453">
        <v>95.398970000000006</v>
      </c>
      <c r="AA10453">
        <v>9.3287669999999991</v>
      </c>
      <c r="AB10453">
        <v>1.9856100000000001</v>
      </c>
      <c r="AC10453">
        <v>3.254521</v>
      </c>
      <c r="AD10453">
        <v>1.647051</v>
      </c>
      <c r="AE10453">
        <v>0.70478359999999995</v>
      </c>
      <c r="AF10453">
        <v>526.2568</v>
      </c>
      <c r="AG10453">
        <f>IFERROR(AH10453*0.1, "N/A")</f>
        <v>6.7455479999999994</v>
      </c>
      <c r="AH10453">
        <v>67.455479999999994</v>
      </c>
      <c r="AI10453">
        <v>20.31833</v>
      </c>
      <c r="AJ10453">
        <v>20.174659999999999</v>
      </c>
      <c r="AK10453">
        <v>59.011989999999997</v>
      </c>
    </row>
    <row r="10454" spans="1:37" x14ac:dyDescent="0.3">
      <c r="A10454">
        <v>10453</v>
      </c>
      <c r="B10454">
        <v>0</v>
      </c>
      <c r="C10454">
        <v>13.9</v>
      </c>
      <c r="D10454">
        <v>10.833299999999999</v>
      </c>
      <c r="E10454" t="s">
        <v>15799</v>
      </c>
      <c r="F10454" t="s">
        <v>15802</v>
      </c>
      <c r="G10454" t="s">
        <v>2420</v>
      </c>
      <c r="H10454">
        <v>1990</v>
      </c>
      <c r="I10454">
        <v>26.1</v>
      </c>
      <c r="J10454">
        <v>14</v>
      </c>
      <c r="K10454">
        <v>63</v>
      </c>
      <c r="L10454">
        <v>19.50844</v>
      </c>
      <c r="M10454">
        <v>37.798630000000003</v>
      </c>
      <c r="N10454">
        <v>15.62003</v>
      </c>
      <c r="O10454">
        <v>22.178599999999999</v>
      </c>
      <c r="P10454">
        <v>24.518660000000001</v>
      </c>
      <c r="Q10454">
        <v>24.601369999999999</v>
      </c>
      <c r="R10454">
        <v>29.09863</v>
      </c>
      <c r="S10454">
        <v>24.501370000000001</v>
      </c>
      <c r="T10454">
        <v>858.37159999999994</v>
      </c>
      <c r="U10454">
        <v>265.98630000000003</v>
      </c>
      <c r="V10454">
        <v>0</v>
      </c>
      <c r="W10454">
        <v>121.9863</v>
      </c>
      <c r="X10454">
        <v>610.97260000000006</v>
      </c>
      <c r="Y10454">
        <v>1</v>
      </c>
      <c r="Z10454">
        <v>95.398970000000006</v>
      </c>
      <c r="AA10454">
        <v>9.3287669999999991</v>
      </c>
      <c r="AB10454">
        <v>1.9856100000000001</v>
      </c>
      <c r="AC10454">
        <v>3.254521</v>
      </c>
      <c r="AD10454">
        <v>1.647051</v>
      </c>
      <c r="AE10454">
        <v>0.70478359999999995</v>
      </c>
      <c r="AF10454">
        <v>526.2568</v>
      </c>
      <c r="AG10454">
        <f>IFERROR(AH10454*0.1, "N/A")</f>
        <v>6.7455479999999994</v>
      </c>
      <c r="AH10454">
        <v>67.455479999999994</v>
      </c>
      <c r="AI10454">
        <v>20.31833</v>
      </c>
      <c r="AJ10454">
        <v>20.174659999999999</v>
      </c>
      <c r="AK10454">
        <v>59.011989999999997</v>
      </c>
    </row>
    <row r="10455" spans="1:37" x14ac:dyDescent="0.3">
      <c r="A10455">
        <v>10454</v>
      </c>
      <c r="B10455">
        <v>0</v>
      </c>
      <c r="C10455">
        <v>15.0336</v>
      </c>
      <c r="D10455">
        <v>10.836399999999999</v>
      </c>
      <c r="E10455" t="s">
        <v>15803</v>
      </c>
      <c r="F10455" t="s">
        <v>15804</v>
      </c>
      <c r="G10455" t="s">
        <v>39</v>
      </c>
      <c r="H10455">
        <v>1987</v>
      </c>
      <c r="I10455">
        <v>28.3</v>
      </c>
      <c r="J10455">
        <v>14.1</v>
      </c>
      <c r="K10455">
        <v>61</v>
      </c>
      <c r="L10455">
        <v>21.52</v>
      </c>
      <c r="M10455">
        <v>40.1</v>
      </c>
      <c r="N10455">
        <v>17.2</v>
      </c>
      <c r="O10455">
        <v>22.9</v>
      </c>
      <c r="P10455">
        <v>26.7</v>
      </c>
      <c r="Q10455">
        <v>28</v>
      </c>
      <c r="R10455">
        <v>31.5</v>
      </c>
      <c r="S10455">
        <v>26.3</v>
      </c>
      <c r="T10455">
        <v>723.2405</v>
      </c>
      <c r="U10455">
        <v>229</v>
      </c>
      <c r="V10455">
        <v>0</v>
      </c>
      <c r="W10455">
        <v>128</v>
      </c>
      <c r="X10455">
        <v>544.2405</v>
      </c>
      <c r="Y10455">
        <v>0</v>
      </c>
      <c r="Z10455">
        <v>56</v>
      </c>
      <c r="AA10455">
        <v>0</v>
      </c>
      <c r="AB10455">
        <v>0.96066419999999997</v>
      </c>
      <c r="AC10455">
        <v>8.2453860000000004E-2</v>
      </c>
      <c r="AD10455">
        <v>0.82996689999999995</v>
      </c>
      <c r="AE10455">
        <v>0.50287349999999997</v>
      </c>
      <c r="AF10455">
        <v>308.90550000000002</v>
      </c>
      <c r="AG10455">
        <f>IFERROR(AH10455*0.1, "N/A")</f>
        <v>5.8819590000000002</v>
      </c>
      <c r="AH10455">
        <v>58.819589999999998</v>
      </c>
      <c r="AI10455">
        <v>51.641060000000003</v>
      </c>
      <c r="AJ10455">
        <v>35.463920000000002</v>
      </c>
      <c r="AK10455">
        <v>40.512030000000003</v>
      </c>
    </row>
    <row r="10456" spans="1:37" x14ac:dyDescent="0.3">
      <c r="A10456">
        <v>10455</v>
      </c>
      <c r="B10456">
        <v>1.8</v>
      </c>
      <c r="C10456">
        <v>15.041</v>
      </c>
      <c r="D10456">
        <v>10.8409</v>
      </c>
      <c r="E10456" t="s">
        <v>15805</v>
      </c>
      <c r="F10456" t="s">
        <v>15806</v>
      </c>
      <c r="G10456" t="s">
        <v>39</v>
      </c>
      <c r="H10456">
        <v>1987</v>
      </c>
      <c r="I10456">
        <v>28.3</v>
      </c>
      <c r="J10456">
        <v>14.1</v>
      </c>
      <c r="K10456">
        <v>61</v>
      </c>
      <c r="L10456">
        <v>21.548089999999998</v>
      </c>
      <c r="M10456">
        <v>40.1</v>
      </c>
      <c r="N10456">
        <v>17.181270000000001</v>
      </c>
      <c r="O10456">
        <v>22.91873</v>
      </c>
      <c r="P10456">
        <v>26.7</v>
      </c>
      <c r="Q10456">
        <v>28</v>
      </c>
      <c r="R10456">
        <v>31.5</v>
      </c>
      <c r="S10456">
        <v>26.3</v>
      </c>
      <c r="T10456">
        <v>723</v>
      </c>
      <c r="U10456">
        <v>229</v>
      </c>
      <c r="V10456">
        <v>0</v>
      </c>
      <c r="W10456">
        <v>128</v>
      </c>
      <c r="X10456">
        <v>544.18730000000005</v>
      </c>
      <c r="Y10456">
        <v>0</v>
      </c>
      <c r="Z10456">
        <v>55.812710000000003</v>
      </c>
      <c r="AA10456">
        <v>0</v>
      </c>
      <c r="AB10456">
        <v>2.568549</v>
      </c>
      <c r="AC10456">
        <v>8.3982859999999996E-3</v>
      </c>
      <c r="AD10456">
        <v>1.222048</v>
      </c>
      <c r="AE10456">
        <v>0.6648927</v>
      </c>
      <c r="AF10456">
        <v>311.5258</v>
      </c>
      <c r="AG10456">
        <f>IFERROR(AH10456*0.1, "N/A")</f>
        <v>6.0917530000000006</v>
      </c>
      <c r="AH10456">
        <v>60.917529999999999</v>
      </c>
      <c r="AI10456">
        <v>97.144509999999997</v>
      </c>
      <c r="AJ10456">
        <v>31.106529999999999</v>
      </c>
      <c r="AK10456">
        <v>44.798969999999997</v>
      </c>
    </row>
    <row r="10457" spans="1:37" x14ac:dyDescent="0.3">
      <c r="A10457">
        <v>10456</v>
      </c>
      <c r="B10457">
        <v>16.100000000000001</v>
      </c>
      <c r="C10457">
        <v>15.061</v>
      </c>
      <c r="D10457">
        <v>10.840999999999999</v>
      </c>
      <c r="E10457" t="s">
        <v>15807</v>
      </c>
      <c r="F10457" t="s">
        <v>15808</v>
      </c>
      <c r="G10457" t="s">
        <v>39</v>
      </c>
      <c r="H10457">
        <v>1987</v>
      </c>
      <c r="I10457">
        <v>28.3</v>
      </c>
      <c r="J10457">
        <v>14.1</v>
      </c>
      <c r="K10457">
        <v>61</v>
      </c>
      <c r="L10457">
        <v>21.517520000000001</v>
      </c>
      <c r="M10457">
        <v>40.097929999999998</v>
      </c>
      <c r="N10457">
        <v>17.097930000000002</v>
      </c>
      <c r="O10457">
        <v>23</v>
      </c>
      <c r="P10457">
        <v>26.7</v>
      </c>
      <c r="Q10457">
        <v>27.99793</v>
      </c>
      <c r="R10457">
        <v>31.49793</v>
      </c>
      <c r="S10457">
        <v>26.3</v>
      </c>
      <c r="T10457">
        <v>722.97929999999997</v>
      </c>
      <c r="U10457">
        <v>229.97929999999999</v>
      </c>
      <c r="V10457">
        <v>0</v>
      </c>
      <c r="W10457">
        <v>128</v>
      </c>
      <c r="X10457">
        <v>545.97929999999997</v>
      </c>
      <c r="Y10457">
        <v>0</v>
      </c>
      <c r="Z10457">
        <v>54</v>
      </c>
      <c r="AA10457">
        <v>0</v>
      </c>
      <c r="AB10457">
        <v>0.65249429999999997</v>
      </c>
      <c r="AC10457">
        <v>8.3982840000000007E-3</v>
      </c>
      <c r="AD10457">
        <v>1.10077</v>
      </c>
      <c r="AE10457">
        <v>0.69352250000000004</v>
      </c>
      <c r="AF10457">
        <v>311.70569999999998</v>
      </c>
      <c r="AG10457">
        <f>IFERROR(AH10457*0.1, "N/A")</f>
        <v>5.9611020000000003</v>
      </c>
      <c r="AH10457">
        <v>59.611020000000003</v>
      </c>
      <c r="AI10457">
        <v>121.62860000000001</v>
      </c>
      <c r="AJ10457">
        <v>32.104990000000001</v>
      </c>
      <c r="AK10457">
        <v>45.642000000000003</v>
      </c>
    </row>
    <row r="10458" spans="1:37" x14ac:dyDescent="0.3">
      <c r="A10458">
        <v>10457</v>
      </c>
      <c r="B10458">
        <v>11.8</v>
      </c>
      <c r="C10458">
        <v>14.9396</v>
      </c>
      <c r="D10458">
        <v>10.843400000000001</v>
      </c>
      <c r="E10458" t="s">
        <v>15809</v>
      </c>
      <c r="F10458" t="s">
        <v>15810</v>
      </c>
      <c r="G10458" t="s">
        <v>39</v>
      </c>
      <c r="H10458">
        <v>1983</v>
      </c>
      <c r="I10458">
        <v>28.3</v>
      </c>
      <c r="J10458">
        <v>14.1</v>
      </c>
      <c r="K10458">
        <v>61</v>
      </c>
      <c r="L10458">
        <v>21.85</v>
      </c>
      <c r="M10458">
        <v>40.200000000000003</v>
      </c>
      <c r="N10458">
        <v>17.2</v>
      </c>
      <c r="O10458">
        <v>23</v>
      </c>
      <c r="P10458">
        <v>26.7</v>
      </c>
      <c r="Q10458">
        <v>28</v>
      </c>
      <c r="R10458">
        <v>31.6</v>
      </c>
      <c r="S10458">
        <v>26.3</v>
      </c>
      <c r="T10458">
        <v>724</v>
      </c>
      <c r="U10458">
        <v>229</v>
      </c>
      <c r="V10458">
        <v>0</v>
      </c>
      <c r="W10458">
        <v>128</v>
      </c>
      <c r="X10458">
        <v>545</v>
      </c>
      <c r="Y10458">
        <v>0</v>
      </c>
      <c r="Z10458">
        <v>57</v>
      </c>
      <c r="AA10458">
        <v>0</v>
      </c>
      <c r="AB10458">
        <v>1.34596</v>
      </c>
      <c r="AC10458">
        <v>8.5998800000000007E-3</v>
      </c>
      <c r="AD10458">
        <v>0.85234500000000002</v>
      </c>
      <c r="AE10458">
        <v>0.53760799999999997</v>
      </c>
      <c r="AF10458">
        <v>311.73930000000001</v>
      </c>
      <c r="AG10458">
        <f>IFERROR(AH10458*0.1, "N/A")</f>
        <v>6.029674</v>
      </c>
      <c r="AH10458">
        <v>60.29674</v>
      </c>
      <c r="AI10458">
        <v>133.45240000000001</v>
      </c>
      <c r="AJ10458">
        <v>32.545450000000002</v>
      </c>
      <c r="AK10458">
        <v>43.909089999999999</v>
      </c>
    </row>
    <row r="10459" spans="1:37" x14ac:dyDescent="0.3">
      <c r="A10459">
        <v>10458</v>
      </c>
      <c r="B10459">
        <v>66.400000000000006</v>
      </c>
      <c r="C10459">
        <v>14.9389</v>
      </c>
      <c r="D10459">
        <v>10.8444</v>
      </c>
      <c r="E10459" t="s">
        <v>15811</v>
      </c>
      <c r="F10459" t="s">
        <v>15812</v>
      </c>
      <c r="G10459" t="s">
        <v>39</v>
      </c>
      <c r="H10459">
        <v>1995</v>
      </c>
      <c r="I10459">
        <v>28.3</v>
      </c>
      <c r="J10459">
        <v>14.1</v>
      </c>
      <c r="K10459">
        <v>61</v>
      </c>
      <c r="L10459">
        <v>21.85</v>
      </c>
      <c r="M10459">
        <v>40.200000000000003</v>
      </c>
      <c r="N10459">
        <v>17.2</v>
      </c>
      <c r="O10459">
        <v>23</v>
      </c>
      <c r="P10459">
        <v>26.7</v>
      </c>
      <c r="Q10459">
        <v>28</v>
      </c>
      <c r="R10459">
        <v>31.6</v>
      </c>
      <c r="S10459">
        <v>26.3</v>
      </c>
      <c r="T10459">
        <v>724</v>
      </c>
      <c r="U10459">
        <v>229</v>
      </c>
      <c r="V10459">
        <v>0</v>
      </c>
      <c r="W10459">
        <v>128</v>
      </c>
      <c r="X10459">
        <v>545</v>
      </c>
      <c r="Y10459">
        <v>0</v>
      </c>
      <c r="Z10459">
        <v>57</v>
      </c>
      <c r="AA10459">
        <v>0</v>
      </c>
      <c r="AB10459">
        <v>1.3747720000000001</v>
      </c>
      <c r="AC10459">
        <v>4.2797519999999999E-2</v>
      </c>
      <c r="AD10459">
        <v>1.237646</v>
      </c>
      <c r="AE10459">
        <v>0.53760799999999997</v>
      </c>
      <c r="AF10459">
        <v>312.30189999999999</v>
      </c>
      <c r="AG10459">
        <f>IFERROR(AH10459*0.1, "N/A")</f>
        <v>6</v>
      </c>
      <c r="AH10459">
        <v>60</v>
      </c>
      <c r="AI10459">
        <v>107.074</v>
      </c>
      <c r="AJ10459">
        <v>32</v>
      </c>
      <c r="AK10459">
        <v>45</v>
      </c>
    </row>
    <row r="10460" spans="1:37" x14ac:dyDescent="0.3">
      <c r="A10460">
        <v>10459</v>
      </c>
      <c r="B10460">
        <v>46.7</v>
      </c>
      <c r="C10460">
        <v>15.055099999999999</v>
      </c>
      <c r="D10460">
        <v>10.845800000000001</v>
      </c>
      <c r="E10460" t="s">
        <v>15813</v>
      </c>
      <c r="F10460" t="s">
        <v>15814</v>
      </c>
      <c r="G10460" t="s">
        <v>39</v>
      </c>
      <c r="H10460">
        <v>1995</v>
      </c>
      <c r="I10460">
        <v>28.2</v>
      </c>
      <c r="J10460">
        <v>14.1</v>
      </c>
      <c r="K10460">
        <v>61</v>
      </c>
      <c r="L10460">
        <v>21.48</v>
      </c>
      <c r="M10460">
        <v>40</v>
      </c>
      <c r="N10460">
        <v>17</v>
      </c>
      <c r="O10460">
        <v>23</v>
      </c>
      <c r="P10460">
        <v>26.6</v>
      </c>
      <c r="Q10460">
        <v>27.9</v>
      </c>
      <c r="R10460">
        <v>31.4</v>
      </c>
      <c r="S10460">
        <v>26.3</v>
      </c>
      <c r="T10460">
        <v>722</v>
      </c>
      <c r="U10460">
        <v>229</v>
      </c>
      <c r="V10460">
        <v>0</v>
      </c>
      <c r="W10460">
        <v>128</v>
      </c>
      <c r="X10460">
        <v>545</v>
      </c>
      <c r="Y10460">
        <v>0</v>
      </c>
      <c r="Z10460">
        <v>54</v>
      </c>
      <c r="AA10460">
        <v>0</v>
      </c>
      <c r="AB10460">
        <v>0.24052209999999999</v>
      </c>
      <c r="AC10460">
        <v>0.1147606</v>
      </c>
      <c r="AD10460">
        <v>1.513361</v>
      </c>
      <c r="AE10460">
        <v>0.69352250000000004</v>
      </c>
      <c r="AF10460">
        <v>312.95209999999997</v>
      </c>
      <c r="AG10460">
        <f>IFERROR(AH10460*0.1, "N/A")</f>
        <v>6.2861539999999998</v>
      </c>
      <c r="AH10460">
        <v>62.861539999999998</v>
      </c>
      <c r="AI10460">
        <v>250.50729999999999</v>
      </c>
      <c r="AJ10460">
        <v>30.72308</v>
      </c>
      <c r="AK10460">
        <v>44.276919999999997</v>
      </c>
    </row>
    <row r="10461" spans="1:37" x14ac:dyDescent="0.3">
      <c r="A10461">
        <v>10460</v>
      </c>
      <c r="B10461">
        <v>14.3</v>
      </c>
      <c r="C10461">
        <v>15.0556</v>
      </c>
      <c r="D10461">
        <v>10.85</v>
      </c>
      <c r="E10461" t="s">
        <v>15815</v>
      </c>
      <c r="F10461" t="s">
        <v>15816</v>
      </c>
      <c r="G10461" t="s">
        <v>39</v>
      </c>
      <c r="H10461">
        <v>1990</v>
      </c>
      <c r="I10461">
        <v>28.263860000000001</v>
      </c>
      <c r="J10461">
        <v>14.1</v>
      </c>
      <c r="K10461">
        <v>61</v>
      </c>
      <c r="L10461">
        <v>21.524699999999999</v>
      </c>
      <c r="M10461">
        <v>40.063850000000002</v>
      </c>
      <c r="N10461">
        <v>17</v>
      </c>
      <c r="O10461">
        <v>23.063859999999998</v>
      </c>
      <c r="P10461">
        <v>26.66386</v>
      </c>
      <c r="Q10461">
        <v>27.9</v>
      </c>
      <c r="R10461">
        <v>31.46386</v>
      </c>
      <c r="S10461">
        <v>26.3</v>
      </c>
      <c r="T10461">
        <v>721.3614</v>
      </c>
      <c r="U10461">
        <v>229</v>
      </c>
      <c r="V10461">
        <v>0</v>
      </c>
      <c r="W10461">
        <v>128</v>
      </c>
      <c r="X10461">
        <v>544.3614</v>
      </c>
      <c r="Y10461">
        <v>0</v>
      </c>
      <c r="Z10461">
        <v>54</v>
      </c>
      <c r="AA10461">
        <v>0</v>
      </c>
      <c r="AB10461">
        <v>0.4926065</v>
      </c>
      <c r="AC10461">
        <v>5.3019089999999998E-2</v>
      </c>
      <c r="AD10461">
        <v>1.762915</v>
      </c>
      <c r="AE10461">
        <v>0.71659779999999995</v>
      </c>
      <c r="AF10461">
        <v>312.32530000000003</v>
      </c>
      <c r="AG10461">
        <f>IFERROR(AH10461*0.1, "N/A")</f>
        <v>6.3000000000000007</v>
      </c>
      <c r="AH10461">
        <v>63</v>
      </c>
      <c r="AI10461">
        <v>225.7689</v>
      </c>
      <c r="AJ10461">
        <v>30</v>
      </c>
      <c r="AK10461">
        <v>46</v>
      </c>
    </row>
    <row r="10462" spans="1:37" x14ac:dyDescent="0.3">
      <c r="A10462">
        <v>10461</v>
      </c>
      <c r="B10462">
        <v>2.9</v>
      </c>
      <c r="C10462">
        <v>15.0556</v>
      </c>
      <c r="D10462">
        <v>10.85</v>
      </c>
      <c r="E10462" t="s">
        <v>15815</v>
      </c>
      <c r="F10462" t="s">
        <v>15817</v>
      </c>
      <c r="G10462" t="s">
        <v>37</v>
      </c>
      <c r="H10462">
        <v>1990</v>
      </c>
      <c r="I10462">
        <v>28.263860000000001</v>
      </c>
      <c r="J10462">
        <v>14.1</v>
      </c>
      <c r="K10462">
        <v>61</v>
      </c>
      <c r="L10462">
        <v>21.524699999999999</v>
      </c>
      <c r="M10462">
        <v>40.063850000000002</v>
      </c>
      <c r="N10462">
        <v>17</v>
      </c>
      <c r="O10462">
        <v>23.063859999999998</v>
      </c>
      <c r="P10462">
        <v>26.66386</v>
      </c>
      <c r="Q10462">
        <v>27.9</v>
      </c>
      <c r="R10462">
        <v>31.46386</v>
      </c>
      <c r="S10462">
        <v>26.3</v>
      </c>
      <c r="T10462">
        <v>721.3614</v>
      </c>
      <c r="U10462">
        <v>229</v>
      </c>
      <c r="V10462">
        <v>0</v>
      </c>
      <c r="W10462">
        <v>128</v>
      </c>
      <c r="X10462">
        <v>544.3614</v>
      </c>
      <c r="Y10462">
        <v>0</v>
      </c>
      <c r="Z10462">
        <v>54</v>
      </c>
      <c r="AA10462">
        <v>0</v>
      </c>
      <c r="AB10462">
        <v>0.4926065</v>
      </c>
      <c r="AC10462">
        <v>5.3019089999999998E-2</v>
      </c>
      <c r="AD10462">
        <v>1.762915</v>
      </c>
      <c r="AE10462">
        <v>0.71659779999999995</v>
      </c>
      <c r="AF10462">
        <v>312.32530000000003</v>
      </c>
      <c r="AG10462">
        <f>IFERROR(AH10462*0.1, "N/A")</f>
        <v>6.3000000000000007</v>
      </c>
      <c r="AH10462">
        <v>63</v>
      </c>
      <c r="AI10462">
        <v>225.7689</v>
      </c>
      <c r="AJ10462">
        <v>30</v>
      </c>
      <c r="AK10462">
        <v>46</v>
      </c>
    </row>
    <row r="10463" spans="1:37" x14ac:dyDescent="0.3">
      <c r="A10463">
        <v>10462</v>
      </c>
      <c r="B10463">
        <v>0</v>
      </c>
      <c r="C10463">
        <v>15.0556</v>
      </c>
      <c r="D10463">
        <v>10.85</v>
      </c>
      <c r="E10463" t="s">
        <v>15815</v>
      </c>
      <c r="F10463" t="s">
        <v>15818</v>
      </c>
      <c r="G10463" t="s">
        <v>2420</v>
      </c>
      <c r="H10463">
        <v>1990</v>
      </c>
      <c r="I10463">
        <v>28.263860000000001</v>
      </c>
      <c r="J10463">
        <v>14.1</v>
      </c>
      <c r="K10463">
        <v>61</v>
      </c>
      <c r="L10463">
        <v>21.524699999999999</v>
      </c>
      <c r="M10463">
        <v>40.063850000000002</v>
      </c>
      <c r="N10463">
        <v>17</v>
      </c>
      <c r="O10463">
        <v>23.063859999999998</v>
      </c>
      <c r="P10463">
        <v>26.66386</v>
      </c>
      <c r="Q10463">
        <v>27.9</v>
      </c>
      <c r="R10463">
        <v>31.46386</v>
      </c>
      <c r="S10463">
        <v>26.3</v>
      </c>
      <c r="T10463">
        <v>721.3614</v>
      </c>
      <c r="U10463">
        <v>229</v>
      </c>
      <c r="V10463">
        <v>0</v>
      </c>
      <c r="W10463">
        <v>128</v>
      </c>
      <c r="X10463">
        <v>544.3614</v>
      </c>
      <c r="Y10463">
        <v>0</v>
      </c>
      <c r="Z10463">
        <v>54</v>
      </c>
      <c r="AA10463">
        <v>0</v>
      </c>
      <c r="AB10463">
        <v>0.4926065</v>
      </c>
      <c r="AC10463">
        <v>5.3019089999999998E-2</v>
      </c>
      <c r="AD10463">
        <v>1.762915</v>
      </c>
      <c r="AE10463">
        <v>0.71659779999999995</v>
      </c>
      <c r="AF10463">
        <v>312.32530000000003</v>
      </c>
      <c r="AG10463">
        <f>IFERROR(AH10463*0.1, "N/A")</f>
        <v>6.3000000000000007</v>
      </c>
      <c r="AH10463">
        <v>63</v>
      </c>
      <c r="AI10463">
        <v>225.7689</v>
      </c>
      <c r="AJ10463">
        <v>30</v>
      </c>
      <c r="AK10463">
        <v>46</v>
      </c>
    </row>
    <row r="10464" spans="1:37" x14ac:dyDescent="0.3">
      <c r="A10464">
        <v>10463</v>
      </c>
      <c r="B10464">
        <v>66</v>
      </c>
      <c r="C10464">
        <v>13.85</v>
      </c>
      <c r="D10464">
        <v>10.85</v>
      </c>
      <c r="E10464" t="s">
        <v>15819</v>
      </c>
      <c r="F10464" t="s">
        <v>15820</v>
      </c>
      <c r="G10464" t="s">
        <v>39</v>
      </c>
      <c r="H10464">
        <v>1990</v>
      </c>
      <c r="I10464">
        <v>25.707560000000001</v>
      </c>
      <c r="J10464">
        <v>14.063750000000001</v>
      </c>
      <c r="K10464">
        <v>63</v>
      </c>
      <c r="L10464">
        <v>19.032489999999999</v>
      </c>
      <c r="M10464">
        <v>37.359969999999997</v>
      </c>
      <c r="N10464">
        <v>15.30756</v>
      </c>
      <c r="O10464">
        <v>22.052409999999998</v>
      </c>
      <c r="P10464">
        <v>24.207560000000001</v>
      </c>
      <c r="Q10464">
        <v>24.251200000000001</v>
      </c>
      <c r="R10464">
        <v>28.607559999999999</v>
      </c>
      <c r="S10464">
        <v>24.16254</v>
      </c>
      <c r="T10464">
        <v>867.96050000000002</v>
      </c>
      <c r="U10464">
        <v>268.92439999999999</v>
      </c>
      <c r="V10464">
        <v>0</v>
      </c>
      <c r="W10464">
        <v>121.43640000000001</v>
      </c>
      <c r="X10464">
        <v>616.21130000000005</v>
      </c>
      <c r="Y10464">
        <v>1</v>
      </c>
      <c r="Z10464">
        <v>97.374570000000006</v>
      </c>
      <c r="AA10464">
        <v>340.81099999999998</v>
      </c>
      <c r="AB10464">
        <v>1.664418</v>
      </c>
      <c r="AC10464">
        <v>2.8943910000000002</v>
      </c>
      <c r="AD10464">
        <v>2.0239029999999998</v>
      </c>
      <c r="AE10464">
        <v>0.70086539999999997</v>
      </c>
      <c r="AF10464">
        <v>528.78179999999998</v>
      </c>
      <c r="AG10464">
        <f>IFERROR(AH10464*0.1, "N/A")</f>
        <v>6.4628870000000012</v>
      </c>
      <c r="AH10464">
        <v>64.628870000000006</v>
      </c>
      <c r="AI10464">
        <v>225.0042</v>
      </c>
      <c r="AJ10464">
        <v>21.685569999999998</v>
      </c>
      <c r="AK10464">
        <v>55</v>
      </c>
    </row>
    <row r="10465" spans="1:37" x14ac:dyDescent="0.3">
      <c r="A10465">
        <v>10464</v>
      </c>
      <c r="B10465">
        <v>9.1</v>
      </c>
      <c r="C10465">
        <v>13.85</v>
      </c>
      <c r="D10465">
        <v>10.85</v>
      </c>
      <c r="E10465" t="s">
        <v>15819</v>
      </c>
      <c r="F10465" t="s">
        <v>15821</v>
      </c>
      <c r="G10465" t="s">
        <v>37</v>
      </c>
      <c r="H10465">
        <v>1990</v>
      </c>
      <c r="I10465">
        <v>25.707560000000001</v>
      </c>
      <c r="J10465">
        <v>14.063750000000001</v>
      </c>
      <c r="K10465">
        <v>63</v>
      </c>
      <c r="L10465">
        <v>19.032489999999999</v>
      </c>
      <c r="M10465">
        <v>37.359969999999997</v>
      </c>
      <c r="N10465">
        <v>15.30756</v>
      </c>
      <c r="O10465">
        <v>22.052409999999998</v>
      </c>
      <c r="P10465">
        <v>24.207560000000001</v>
      </c>
      <c r="Q10465">
        <v>24.251200000000001</v>
      </c>
      <c r="R10465">
        <v>28.607559999999999</v>
      </c>
      <c r="S10465">
        <v>24.16254</v>
      </c>
      <c r="T10465">
        <v>867.96050000000002</v>
      </c>
      <c r="U10465">
        <v>268.92439999999999</v>
      </c>
      <c r="V10465">
        <v>0</v>
      </c>
      <c r="W10465">
        <v>121.43640000000001</v>
      </c>
      <c r="X10465">
        <v>616.21130000000005</v>
      </c>
      <c r="Y10465">
        <v>1</v>
      </c>
      <c r="Z10465">
        <v>97.374570000000006</v>
      </c>
      <c r="AA10465">
        <v>340.81099999999998</v>
      </c>
      <c r="AB10465">
        <v>1.664418</v>
      </c>
      <c r="AC10465">
        <v>2.8943910000000002</v>
      </c>
      <c r="AD10465">
        <v>2.0239029999999998</v>
      </c>
      <c r="AE10465">
        <v>0.70086539999999997</v>
      </c>
      <c r="AF10465">
        <v>528.78179999999998</v>
      </c>
      <c r="AG10465">
        <f>IFERROR(AH10465*0.1, "N/A")</f>
        <v>6.4628870000000012</v>
      </c>
      <c r="AH10465">
        <v>64.628870000000006</v>
      </c>
      <c r="AI10465">
        <v>225.0042</v>
      </c>
      <c r="AJ10465">
        <v>21.685569999999998</v>
      </c>
      <c r="AK10465">
        <v>55</v>
      </c>
    </row>
    <row r="10466" spans="1:37" x14ac:dyDescent="0.3">
      <c r="A10466">
        <v>10465</v>
      </c>
      <c r="B10466">
        <v>2.2999999999999998</v>
      </c>
      <c r="C10466">
        <v>13.85</v>
      </c>
      <c r="D10466">
        <v>10.85</v>
      </c>
      <c r="E10466" t="s">
        <v>15819</v>
      </c>
      <c r="F10466" t="s">
        <v>15822</v>
      </c>
      <c r="G10466" t="s">
        <v>2420</v>
      </c>
      <c r="H10466">
        <v>1990</v>
      </c>
      <c r="I10466">
        <v>25.707560000000001</v>
      </c>
      <c r="J10466">
        <v>14.063750000000001</v>
      </c>
      <c r="K10466">
        <v>63</v>
      </c>
      <c r="L10466">
        <v>19.032489999999999</v>
      </c>
      <c r="M10466">
        <v>37.359969999999997</v>
      </c>
      <c r="N10466">
        <v>15.30756</v>
      </c>
      <c r="O10466">
        <v>22.052409999999998</v>
      </c>
      <c r="P10466">
        <v>24.207560000000001</v>
      </c>
      <c r="Q10466">
        <v>24.251200000000001</v>
      </c>
      <c r="R10466">
        <v>28.607559999999999</v>
      </c>
      <c r="S10466">
        <v>24.16254</v>
      </c>
      <c r="T10466">
        <v>867.96050000000002</v>
      </c>
      <c r="U10466">
        <v>268.92439999999999</v>
      </c>
      <c r="V10466">
        <v>0</v>
      </c>
      <c r="W10466">
        <v>121.43640000000001</v>
      </c>
      <c r="X10466">
        <v>616.21130000000005</v>
      </c>
      <c r="Y10466">
        <v>1</v>
      </c>
      <c r="Z10466">
        <v>97.374570000000006</v>
      </c>
      <c r="AA10466">
        <v>340.81099999999998</v>
      </c>
      <c r="AB10466">
        <v>1.664418</v>
      </c>
      <c r="AC10466">
        <v>2.8943910000000002</v>
      </c>
      <c r="AD10466">
        <v>2.0239029999999998</v>
      </c>
      <c r="AE10466">
        <v>0.70086539999999997</v>
      </c>
      <c r="AF10466">
        <v>528.78179999999998</v>
      </c>
      <c r="AG10466">
        <f>IFERROR(AH10466*0.1, "N/A")</f>
        <v>6.4628870000000012</v>
      </c>
      <c r="AH10466">
        <v>64.628870000000006</v>
      </c>
      <c r="AI10466">
        <v>225.0042</v>
      </c>
      <c r="AJ10466">
        <v>21.685569999999998</v>
      </c>
      <c r="AK10466">
        <v>55</v>
      </c>
    </row>
    <row r="10467" spans="1:37" x14ac:dyDescent="0.3">
      <c r="A10467">
        <v>10466</v>
      </c>
      <c r="B10467">
        <v>1.9</v>
      </c>
      <c r="C10467">
        <v>15.0265</v>
      </c>
      <c r="D10467">
        <v>10.8543</v>
      </c>
      <c r="E10467" t="s">
        <v>15823</v>
      </c>
      <c r="F10467" t="s">
        <v>15824</v>
      </c>
      <c r="G10467" t="s">
        <v>39</v>
      </c>
      <c r="H10467">
        <v>1987</v>
      </c>
      <c r="I10467">
        <v>28.3</v>
      </c>
      <c r="J10467">
        <v>14.1</v>
      </c>
      <c r="K10467">
        <v>61</v>
      </c>
      <c r="L10467">
        <v>21.77</v>
      </c>
      <c r="M10467">
        <v>40.1</v>
      </c>
      <c r="N10467">
        <v>17.100000000000001</v>
      </c>
      <c r="O10467">
        <v>23</v>
      </c>
      <c r="P10467">
        <v>26.7</v>
      </c>
      <c r="Q10467">
        <v>28</v>
      </c>
      <c r="R10467">
        <v>31.5</v>
      </c>
      <c r="S10467">
        <v>26.3</v>
      </c>
      <c r="T10467">
        <v>721</v>
      </c>
      <c r="U10467">
        <v>229</v>
      </c>
      <c r="V10467">
        <v>0</v>
      </c>
      <c r="W10467">
        <v>128</v>
      </c>
      <c r="X10467">
        <v>544</v>
      </c>
      <c r="Y10467">
        <v>0</v>
      </c>
      <c r="Z10467">
        <v>55</v>
      </c>
      <c r="AA10467">
        <v>0</v>
      </c>
      <c r="AB10467">
        <v>0.98410699999999995</v>
      </c>
      <c r="AC10467">
        <v>1.781508E-2</v>
      </c>
      <c r="AD10467">
        <v>1.1097490000000001</v>
      </c>
      <c r="AE10467">
        <v>0.54084069999999995</v>
      </c>
      <c r="AF10467">
        <v>309.19319999999999</v>
      </c>
      <c r="AG10467">
        <f>IFERROR(AH10467*0.1, "N/A")</f>
        <v>6.3000000000000007</v>
      </c>
      <c r="AH10467">
        <v>63</v>
      </c>
      <c r="AI10467">
        <v>219.1138</v>
      </c>
      <c r="AJ10467">
        <v>35.487180000000002</v>
      </c>
      <c r="AK10467">
        <v>40.512819999999998</v>
      </c>
    </row>
    <row r="10468" spans="1:37" x14ac:dyDescent="0.3">
      <c r="A10468">
        <v>10467</v>
      </c>
      <c r="B10468">
        <v>35.5</v>
      </c>
      <c r="C10468">
        <v>14.2333</v>
      </c>
      <c r="D10468">
        <v>10.855600000000001</v>
      </c>
      <c r="E10468" t="s">
        <v>15825</v>
      </c>
      <c r="F10468" t="s">
        <v>15826</v>
      </c>
      <c r="G10468" t="s">
        <v>39</v>
      </c>
      <c r="H10468">
        <v>1990</v>
      </c>
      <c r="I10468">
        <v>27.6</v>
      </c>
      <c r="J10468">
        <v>14</v>
      </c>
      <c r="K10468">
        <v>62.830190000000002</v>
      </c>
      <c r="L10468">
        <v>20.595659999999999</v>
      </c>
      <c r="M10468">
        <v>39.433959999999999</v>
      </c>
      <c r="N10468">
        <v>17.2</v>
      </c>
      <c r="O10468">
        <v>22.23396</v>
      </c>
      <c r="P10468">
        <v>25.816980000000001</v>
      </c>
      <c r="Q10468">
        <v>26.01698</v>
      </c>
      <c r="R10468">
        <v>30.633959999999998</v>
      </c>
      <c r="S10468">
        <v>25.816980000000001</v>
      </c>
      <c r="T10468">
        <v>787.66039999999998</v>
      </c>
      <c r="U10468">
        <v>247.83019999999999</v>
      </c>
      <c r="V10468">
        <v>0</v>
      </c>
      <c r="W10468">
        <v>125</v>
      </c>
      <c r="X10468">
        <v>577.66039999999998</v>
      </c>
      <c r="Y10468">
        <v>0</v>
      </c>
      <c r="Z10468">
        <v>77</v>
      </c>
      <c r="AA10468">
        <v>479.84910000000002</v>
      </c>
      <c r="AB10468">
        <v>2.6464989999999999</v>
      </c>
      <c r="AC10468">
        <v>2.8636490000000001E-2</v>
      </c>
      <c r="AD10468">
        <v>2.4046810000000001</v>
      </c>
      <c r="AE10468">
        <v>0.6454088</v>
      </c>
      <c r="AF10468">
        <v>404.11149999999998</v>
      </c>
      <c r="AG10468">
        <f>IFERROR(AH10468*0.1, "N/A")</f>
        <v>6.8454550000000003</v>
      </c>
      <c r="AH10468">
        <v>68.454549999999998</v>
      </c>
      <c r="AI10468">
        <v>271.45080000000002</v>
      </c>
      <c r="AJ10468">
        <v>17.31561</v>
      </c>
      <c r="AK10468">
        <v>66.018870000000007</v>
      </c>
    </row>
    <row r="10469" spans="1:37" x14ac:dyDescent="0.3">
      <c r="A10469">
        <v>10468</v>
      </c>
      <c r="B10469">
        <v>10.3</v>
      </c>
      <c r="C10469">
        <v>14.2333</v>
      </c>
      <c r="D10469">
        <v>10.855600000000001</v>
      </c>
      <c r="E10469" t="s">
        <v>15825</v>
      </c>
      <c r="F10469" t="s">
        <v>15827</v>
      </c>
      <c r="G10469" t="s">
        <v>37</v>
      </c>
      <c r="H10469">
        <v>1990</v>
      </c>
      <c r="I10469">
        <v>27.6</v>
      </c>
      <c r="J10469">
        <v>14</v>
      </c>
      <c r="K10469">
        <v>62.830190000000002</v>
      </c>
      <c r="L10469">
        <v>20.595659999999999</v>
      </c>
      <c r="M10469">
        <v>39.433959999999999</v>
      </c>
      <c r="N10469">
        <v>17.2</v>
      </c>
      <c r="O10469">
        <v>22.23396</v>
      </c>
      <c r="P10469">
        <v>25.816980000000001</v>
      </c>
      <c r="Q10469">
        <v>26.01698</v>
      </c>
      <c r="R10469">
        <v>30.633959999999998</v>
      </c>
      <c r="S10469">
        <v>25.816980000000001</v>
      </c>
      <c r="T10469">
        <v>787.66039999999998</v>
      </c>
      <c r="U10469">
        <v>247.83019999999999</v>
      </c>
      <c r="V10469">
        <v>0</v>
      </c>
      <c r="W10469">
        <v>125</v>
      </c>
      <c r="X10469">
        <v>577.66039999999998</v>
      </c>
      <c r="Y10469">
        <v>0</v>
      </c>
      <c r="Z10469">
        <v>77</v>
      </c>
      <c r="AA10469">
        <v>479.84910000000002</v>
      </c>
      <c r="AB10469">
        <v>2.6464989999999999</v>
      </c>
      <c r="AC10469">
        <v>2.8636490000000001E-2</v>
      </c>
      <c r="AD10469">
        <v>2.4046810000000001</v>
      </c>
      <c r="AE10469">
        <v>0.6454088</v>
      </c>
      <c r="AF10469">
        <v>404.11149999999998</v>
      </c>
      <c r="AG10469">
        <f>IFERROR(AH10469*0.1, "N/A")</f>
        <v>6.8454550000000003</v>
      </c>
      <c r="AH10469">
        <v>68.454549999999998</v>
      </c>
      <c r="AI10469">
        <v>271.45080000000002</v>
      </c>
      <c r="AJ10469">
        <v>17.31561</v>
      </c>
      <c r="AK10469">
        <v>66.018870000000007</v>
      </c>
    </row>
    <row r="10470" spans="1:37" x14ac:dyDescent="0.3">
      <c r="A10470">
        <v>10469</v>
      </c>
      <c r="B10470">
        <v>1.7</v>
      </c>
      <c r="C10470">
        <v>14.2333</v>
      </c>
      <c r="D10470">
        <v>10.855600000000001</v>
      </c>
      <c r="E10470" t="s">
        <v>15825</v>
      </c>
      <c r="F10470" t="s">
        <v>15828</v>
      </c>
      <c r="G10470" t="s">
        <v>2420</v>
      </c>
      <c r="H10470">
        <v>1990</v>
      </c>
      <c r="I10470">
        <v>27.6</v>
      </c>
      <c r="J10470">
        <v>14</v>
      </c>
      <c r="K10470">
        <v>62.830190000000002</v>
      </c>
      <c r="L10470">
        <v>20.595659999999999</v>
      </c>
      <c r="M10470">
        <v>39.433959999999999</v>
      </c>
      <c r="N10470">
        <v>17.2</v>
      </c>
      <c r="O10470">
        <v>22.23396</v>
      </c>
      <c r="P10470">
        <v>25.816980000000001</v>
      </c>
      <c r="Q10470">
        <v>26.01698</v>
      </c>
      <c r="R10470">
        <v>30.633959999999998</v>
      </c>
      <c r="S10470">
        <v>25.816980000000001</v>
      </c>
      <c r="T10470">
        <v>787.66039999999998</v>
      </c>
      <c r="U10470">
        <v>247.83019999999999</v>
      </c>
      <c r="V10470">
        <v>0</v>
      </c>
      <c r="W10470">
        <v>125</v>
      </c>
      <c r="X10470">
        <v>577.66039999999998</v>
      </c>
      <c r="Y10470">
        <v>0</v>
      </c>
      <c r="Z10470">
        <v>77</v>
      </c>
      <c r="AA10470">
        <v>479.84910000000002</v>
      </c>
      <c r="AB10470">
        <v>2.6464989999999999</v>
      </c>
      <c r="AC10470">
        <v>2.8636490000000001E-2</v>
      </c>
      <c r="AD10470">
        <v>2.4046810000000001</v>
      </c>
      <c r="AE10470">
        <v>0.6454088</v>
      </c>
      <c r="AF10470">
        <v>404.11149999999998</v>
      </c>
      <c r="AG10470">
        <f>IFERROR(AH10470*0.1, "N/A")</f>
        <v>6.8454550000000003</v>
      </c>
      <c r="AH10470">
        <v>68.454549999999998</v>
      </c>
      <c r="AI10470">
        <v>271.45080000000002</v>
      </c>
      <c r="AJ10470">
        <v>17.31561</v>
      </c>
      <c r="AK10470">
        <v>66.018870000000007</v>
      </c>
    </row>
    <row r="10471" spans="1:37" x14ac:dyDescent="0.3">
      <c r="A10471">
        <v>10470</v>
      </c>
      <c r="B10471">
        <v>29.6</v>
      </c>
      <c r="C10471">
        <v>14.152799999999999</v>
      </c>
      <c r="D10471">
        <v>10.8611</v>
      </c>
      <c r="E10471" t="s">
        <v>15829</v>
      </c>
      <c r="F10471" t="s">
        <v>15830</v>
      </c>
      <c r="G10471" t="s">
        <v>39</v>
      </c>
      <c r="H10471">
        <v>1990</v>
      </c>
      <c r="I10471">
        <v>27.3</v>
      </c>
      <c r="J10471">
        <v>14</v>
      </c>
      <c r="K10471">
        <v>63</v>
      </c>
      <c r="L10471">
        <v>20.309999999999999</v>
      </c>
      <c r="M10471">
        <v>39.1</v>
      </c>
      <c r="N10471">
        <v>16.899999999999999</v>
      </c>
      <c r="O10471">
        <v>22.2</v>
      </c>
      <c r="P10471">
        <v>25.6</v>
      </c>
      <c r="Q10471">
        <v>25.7</v>
      </c>
      <c r="R10471">
        <v>30.3</v>
      </c>
      <c r="S10471">
        <v>25.6</v>
      </c>
      <c r="T10471">
        <v>800</v>
      </c>
      <c r="U10471">
        <v>251</v>
      </c>
      <c r="V10471">
        <v>0</v>
      </c>
      <c r="W10471">
        <v>125</v>
      </c>
      <c r="X10471">
        <v>584</v>
      </c>
      <c r="Y10471">
        <v>0</v>
      </c>
      <c r="Z10471">
        <v>80</v>
      </c>
      <c r="AA10471">
        <v>0</v>
      </c>
      <c r="AB10471">
        <v>5.3730289999999998</v>
      </c>
      <c r="AC10471">
        <v>9.3067689999999995E-3</v>
      </c>
      <c r="AD10471">
        <v>1.1136649999999999</v>
      </c>
      <c r="AE10471">
        <v>0.51834270000000005</v>
      </c>
      <c r="AF10471">
        <v>441.71480000000003</v>
      </c>
      <c r="AG10471">
        <f>IFERROR(AH10471*0.1, "N/A")</f>
        <v>6.6752579999999995</v>
      </c>
      <c r="AH10471">
        <v>66.752579999999995</v>
      </c>
      <c r="AI10471">
        <v>185.8295</v>
      </c>
      <c r="AJ10471">
        <v>19.81615</v>
      </c>
      <c r="AK10471">
        <v>65.730239999999995</v>
      </c>
    </row>
    <row r="10472" spans="1:37" x14ac:dyDescent="0.3">
      <c r="A10472">
        <v>10471</v>
      </c>
      <c r="B10472">
        <v>14.8</v>
      </c>
      <c r="C10472">
        <v>14.152799999999999</v>
      </c>
      <c r="D10472">
        <v>10.8611</v>
      </c>
      <c r="E10472" t="s">
        <v>15829</v>
      </c>
      <c r="F10472" t="s">
        <v>15831</v>
      </c>
      <c r="G10472" t="s">
        <v>37</v>
      </c>
      <c r="H10472">
        <v>1990</v>
      </c>
      <c r="I10472">
        <v>27.3</v>
      </c>
      <c r="J10472">
        <v>14</v>
      </c>
      <c r="K10472">
        <v>63</v>
      </c>
      <c r="L10472">
        <v>20.309999999999999</v>
      </c>
      <c r="M10472">
        <v>39.1</v>
      </c>
      <c r="N10472">
        <v>16.899999999999999</v>
      </c>
      <c r="O10472">
        <v>22.2</v>
      </c>
      <c r="P10472">
        <v>25.6</v>
      </c>
      <c r="Q10472">
        <v>25.7</v>
      </c>
      <c r="R10472">
        <v>30.3</v>
      </c>
      <c r="S10472">
        <v>25.6</v>
      </c>
      <c r="T10472">
        <v>800</v>
      </c>
      <c r="U10472">
        <v>251</v>
      </c>
      <c r="V10472">
        <v>0</v>
      </c>
      <c r="W10472">
        <v>125</v>
      </c>
      <c r="X10472">
        <v>584</v>
      </c>
      <c r="Y10472">
        <v>0</v>
      </c>
      <c r="Z10472">
        <v>80</v>
      </c>
      <c r="AA10472">
        <v>0</v>
      </c>
      <c r="AB10472">
        <v>5.3730289999999998</v>
      </c>
      <c r="AC10472">
        <v>9.3067689999999995E-3</v>
      </c>
      <c r="AD10472">
        <v>1.1136649999999999</v>
      </c>
      <c r="AE10472">
        <v>0.51834270000000005</v>
      </c>
      <c r="AF10472">
        <v>441.71480000000003</v>
      </c>
      <c r="AG10472">
        <f>IFERROR(AH10472*0.1, "N/A")</f>
        <v>6.6752579999999995</v>
      </c>
      <c r="AH10472">
        <v>66.752579999999995</v>
      </c>
      <c r="AI10472">
        <v>185.8295</v>
      </c>
      <c r="AJ10472">
        <v>19.81615</v>
      </c>
      <c r="AK10472">
        <v>65.730239999999995</v>
      </c>
    </row>
    <row r="10473" spans="1:37" x14ac:dyDescent="0.3">
      <c r="A10473">
        <v>10472</v>
      </c>
      <c r="B10473">
        <v>1.9</v>
      </c>
      <c r="C10473">
        <v>14.152799999999999</v>
      </c>
      <c r="D10473">
        <v>10.8611</v>
      </c>
      <c r="E10473" t="s">
        <v>15829</v>
      </c>
      <c r="F10473" t="s">
        <v>15832</v>
      </c>
      <c r="G10473" t="s">
        <v>2420</v>
      </c>
      <c r="H10473">
        <v>1990</v>
      </c>
      <c r="I10473">
        <v>27.3</v>
      </c>
      <c r="J10473">
        <v>14</v>
      </c>
      <c r="K10473">
        <v>63</v>
      </c>
      <c r="L10473">
        <v>20.309999999999999</v>
      </c>
      <c r="M10473">
        <v>39.1</v>
      </c>
      <c r="N10473">
        <v>16.899999999999999</v>
      </c>
      <c r="O10473">
        <v>22.2</v>
      </c>
      <c r="P10473">
        <v>25.6</v>
      </c>
      <c r="Q10473">
        <v>25.7</v>
      </c>
      <c r="R10473">
        <v>30.3</v>
      </c>
      <c r="S10473">
        <v>25.6</v>
      </c>
      <c r="T10473">
        <v>800</v>
      </c>
      <c r="U10473">
        <v>251</v>
      </c>
      <c r="V10473">
        <v>0</v>
      </c>
      <c r="W10473">
        <v>125</v>
      </c>
      <c r="X10473">
        <v>584</v>
      </c>
      <c r="Y10473">
        <v>0</v>
      </c>
      <c r="Z10473">
        <v>80</v>
      </c>
      <c r="AA10473">
        <v>0</v>
      </c>
      <c r="AB10473">
        <v>5.3730289999999998</v>
      </c>
      <c r="AC10473">
        <v>9.3067689999999995E-3</v>
      </c>
      <c r="AD10473">
        <v>1.1136649999999999</v>
      </c>
      <c r="AE10473">
        <v>0.51834270000000005</v>
      </c>
      <c r="AF10473">
        <v>441.71480000000003</v>
      </c>
      <c r="AG10473">
        <f>IFERROR(AH10473*0.1, "N/A")</f>
        <v>6.6752579999999995</v>
      </c>
      <c r="AH10473">
        <v>66.752579999999995</v>
      </c>
      <c r="AI10473">
        <v>185.8295</v>
      </c>
      <c r="AJ10473">
        <v>19.81615</v>
      </c>
      <c r="AK10473">
        <v>65.730239999999995</v>
      </c>
    </row>
    <row r="10474" spans="1:37" x14ac:dyDescent="0.3">
      <c r="A10474">
        <v>10473</v>
      </c>
      <c r="B10474">
        <v>3.9</v>
      </c>
      <c r="C10474">
        <v>15.074</v>
      </c>
      <c r="D10474">
        <v>10.8644</v>
      </c>
      <c r="E10474" t="s">
        <v>15833</v>
      </c>
      <c r="F10474" t="s">
        <v>15834</v>
      </c>
      <c r="G10474" t="s">
        <v>39</v>
      </c>
      <c r="H10474">
        <v>1987</v>
      </c>
      <c r="I10474">
        <v>28.3</v>
      </c>
      <c r="J10474">
        <v>14.1</v>
      </c>
      <c r="K10474">
        <v>61</v>
      </c>
      <c r="L10474">
        <v>21.46547</v>
      </c>
      <c r="M10474">
        <v>40.1</v>
      </c>
      <c r="N10474">
        <v>17</v>
      </c>
      <c r="O10474">
        <v>23.1</v>
      </c>
      <c r="P10474">
        <v>26.7</v>
      </c>
      <c r="Q10474">
        <v>27.9</v>
      </c>
      <c r="R10474">
        <v>31.4</v>
      </c>
      <c r="S10474">
        <v>26.3</v>
      </c>
      <c r="T10474">
        <v>719.0412</v>
      </c>
      <c r="U10474">
        <v>229</v>
      </c>
      <c r="V10474">
        <v>0</v>
      </c>
      <c r="W10474">
        <v>129.9177</v>
      </c>
      <c r="X10474">
        <v>544</v>
      </c>
      <c r="Y10474">
        <v>0</v>
      </c>
      <c r="Z10474">
        <v>53</v>
      </c>
      <c r="AA10474">
        <v>0</v>
      </c>
      <c r="AB10474">
        <v>0.60275250000000002</v>
      </c>
      <c r="AC10474">
        <v>0.1967904</v>
      </c>
      <c r="AD10474">
        <v>1.9416169999999999</v>
      </c>
      <c r="AE10474">
        <v>0.63782229999999995</v>
      </c>
      <c r="AF10474">
        <v>308.4545</v>
      </c>
      <c r="AG10474">
        <f>IFERROR(AH10474*0.1, "N/A")</f>
        <v>6.2</v>
      </c>
      <c r="AH10474">
        <v>62</v>
      </c>
      <c r="AI10474">
        <v>215.19890000000001</v>
      </c>
      <c r="AJ10474">
        <v>35.917670000000001</v>
      </c>
      <c r="AK10474">
        <v>40.041170000000001</v>
      </c>
    </row>
    <row r="10475" spans="1:37" x14ac:dyDescent="0.3">
      <c r="A10475">
        <v>10474</v>
      </c>
      <c r="B10475">
        <v>40.799999999999997</v>
      </c>
      <c r="C10475">
        <v>13.8833</v>
      </c>
      <c r="D10475">
        <v>10.8667</v>
      </c>
      <c r="E10475" t="s">
        <v>15835</v>
      </c>
      <c r="F10475" t="s">
        <v>15836</v>
      </c>
      <c r="G10475" t="s">
        <v>39</v>
      </c>
      <c r="H10475">
        <v>1990</v>
      </c>
      <c r="I10475">
        <v>26.236820000000002</v>
      </c>
      <c r="J10475">
        <v>14.1</v>
      </c>
      <c r="K10475">
        <v>63</v>
      </c>
      <c r="L10475">
        <v>19.388000000000002</v>
      </c>
      <c r="M10475">
        <v>37.936819999999997</v>
      </c>
      <c r="N10475">
        <v>15.73682</v>
      </c>
      <c r="O10475">
        <v>22.2</v>
      </c>
      <c r="P10475">
        <v>24.63682</v>
      </c>
      <c r="Q10475">
        <v>24.63682</v>
      </c>
      <c r="R10475">
        <v>29.157360000000001</v>
      </c>
      <c r="S10475">
        <v>24.63682</v>
      </c>
      <c r="T10475">
        <v>846.28769999999997</v>
      </c>
      <c r="U10475">
        <v>263.87329999999997</v>
      </c>
      <c r="V10475">
        <v>0</v>
      </c>
      <c r="W10475">
        <v>122.8733</v>
      </c>
      <c r="X10475">
        <v>605.74659999999994</v>
      </c>
      <c r="Y10475">
        <v>0</v>
      </c>
      <c r="Z10475">
        <v>91.667810000000003</v>
      </c>
      <c r="AA10475">
        <v>222.8459</v>
      </c>
      <c r="AB10475">
        <v>5.825018</v>
      </c>
      <c r="AC10475">
        <v>3.6940790000000001E-2</v>
      </c>
      <c r="AD10475">
        <v>1.326748</v>
      </c>
      <c r="AE10475">
        <v>0.73848820000000004</v>
      </c>
      <c r="AF10475">
        <v>497.7106</v>
      </c>
      <c r="AG10475">
        <f>IFERROR(AH10475*0.1, "N/A")</f>
        <v>6.5025680000000001</v>
      </c>
      <c r="AH10475">
        <v>65.025679999999994</v>
      </c>
      <c r="AI10475">
        <v>125.54389999999999</v>
      </c>
      <c r="AJ10475">
        <v>19.606159999999999</v>
      </c>
      <c r="AK10475">
        <v>57.419519999999999</v>
      </c>
    </row>
    <row r="10476" spans="1:37" x14ac:dyDescent="0.3">
      <c r="A10476">
        <v>10475</v>
      </c>
      <c r="B10476">
        <v>21.7</v>
      </c>
      <c r="C10476">
        <v>13.8833</v>
      </c>
      <c r="D10476">
        <v>10.8667</v>
      </c>
      <c r="E10476" t="s">
        <v>15835</v>
      </c>
      <c r="F10476" t="s">
        <v>15837</v>
      </c>
      <c r="G10476" t="s">
        <v>37</v>
      </c>
      <c r="H10476">
        <v>1990</v>
      </c>
      <c r="I10476">
        <v>26.236820000000002</v>
      </c>
      <c r="J10476">
        <v>14.1</v>
      </c>
      <c r="K10476">
        <v>63</v>
      </c>
      <c r="L10476">
        <v>19.388000000000002</v>
      </c>
      <c r="M10476">
        <v>37.936819999999997</v>
      </c>
      <c r="N10476">
        <v>15.73682</v>
      </c>
      <c r="O10476">
        <v>22.2</v>
      </c>
      <c r="P10476">
        <v>24.63682</v>
      </c>
      <c r="Q10476">
        <v>24.63682</v>
      </c>
      <c r="R10476">
        <v>29.157360000000001</v>
      </c>
      <c r="S10476">
        <v>24.63682</v>
      </c>
      <c r="T10476">
        <v>846.28769999999997</v>
      </c>
      <c r="U10476">
        <v>263.87329999999997</v>
      </c>
      <c r="V10476">
        <v>0</v>
      </c>
      <c r="W10476">
        <v>122.8733</v>
      </c>
      <c r="X10476">
        <v>605.74659999999994</v>
      </c>
      <c r="Y10476">
        <v>0</v>
      </c>
      <c r="Z10476">
        <v>91.667810000000003</v>
      </c>
      <c r="AA10476">
        <v>222.8459</v>
      </c>
      <c r="AB10476">
        <v>5.825018</v>
      </c>
      <c r="AC10476">
        <v>3.6940790000000001E-2</v>
      </c>
      <c r="AD10476">
        <v>1.326748</v>
      </c>
      <c r="AE10476">
        <v>0.73848820000000004</v>
      </c>
      <c r="AF10476">
        <v>497.7106</v>
      </c>
      <c r="AG10476">
        <f>IFERROR(AH10476*0.1, "N/A")</f>
        <v>6.5025680000000001</v>
      </c>
      <c r="AH10476">
        <v>65.025679999999994</v>
      </c>
      <c r="AI10476">
        <v>125.54389999999999</v>
      </c>
      <c r="AJ10476">
        <v>19.606159999999999</v>
      </c>
      <c r="AK10476">
        <v>57.419519999999999</v>
      </c>
    </row>
    <row r="10477" spans="1:37" x14ac:dyDescent="0.3">
      <c r="A10477">
        <v>10476</v>
      </c>
      <c r="B10477">
        <v>0</v>
      </c>
      <c r="C10477">
        <v>13.8833</v>
      </c>
      <c r="D10477">
        <v>10.8667</v>
      </c>
      <c r="E10477" t="s">
        <v>15835</v>
      </c>
      <c r="F10477" t="s">
        <v>15838</v>
      </c>
      <c r="G10477" t="s">
        <v>2420</v>
      </c>
      <c r="H10477">
        <v>1990</v>
      </c>
      <c r="I10477">
        <v>26.236820000000002</v>
      </c>
      <c r="J10477">
        <v>14.1</v>
      </c>
      <c r="K10477">
        <v>63</v>
      </c>
      <c r="L10477">
        <v>19.388000000000002</v>
      </c>
      <c r="M10477">
        <v>37.936819999999997</v>
      </c>
      <c r="N10477">
        <v>15.73682</v>
      </c>
      <c r="O10477">
        <v>22.2</v>
      </c>
      <c r="P10477">
        <v>24.63682</v>
      </c>
      <c r="Q10477">
        <v>24.63682</v>
      </c>
      <c r="R10477">
        <v>29.157360000000001</v>
      </c>
      <c r="S10477">
        <v>24.63682</v>
      </c>
      <c r="T10477">
        <v>846.28769999999997</v>
      </c>
      <c r="U10477">
        <v>263.87329999999997</v>
      </c>
      <c r="V10477">
        <v>0</v>
      </c>
      <c r="W10477">
        <v>122.8733</v>
      </c>
      <c r="X10477">
        <v>605.74659999999994</v>
      </c>
      <c r="Y10477">
        <v>0</v>
      </c>
      <c r="Z10477">
        <v>91.667810000000003</v>
      </c>
      <c r="AA10477">
        <v>222.8459</v>
      </c>
      <c r="AB10477">
        <v>5.825018</v>
      </c>
      <c r="AC10477">
        <v>3.6940790000000001E-2</v>
      </c>
      <c r="AD10477">
        <v>1.326748</v>
      </c>
      <c r="AE10477">
        <v>0.73848820000000004</v>
      </c>
      <c r="AF10477">
        <v>497.7106</v>
      </c>
      <c r="AG10477">
        <f>IFERROR(AH10477*0.1, "N/A")</f>
        <v>6.5025680000000001</v>
      </c>
      <c r="AH10477">
        <v>65.025679999999994</v>
      </c>
      <c r="AI10477">
        <v>125.54389999999999</v>
      </c>
      <c r="AJ10477">
        <v>19.606159999999999</v>
      </c>
      <c r="AK10477">
        <v>57.419519999999999</v>
      </c>
    </row>
    <row r="10478" spans="1:37" x14ac:dyDescent="0.3">
      <c r="A10478">
        <v>10477</v>
      </c>
      <c r="B10478">
        <v>11.7</v>
      </c>
      <c r="C10478">
        <v>14.908899999999999</v>
      </c>
      <c r="D10478">
        <v>10.8667</v>
      </c>
      <c r="E10478" t="s">
        <v>15839</v>
      </c>
      <c r="F10478" t="s">
        <v>15840</v>
      </c>
      <c r="G10478" t="s">
        <v>39</v>
      </c>
      <c r="H10478">
        <v>1983</v>
      </c>
      <c r="I10478">
        <v>28.3</v>
      </c>
      <c r="J10478">
        <v>14.1</v>
      </c>
      <c r="K10478">
        <v>61</v>
      </c>
      <c r="L10478">
        <v>22.042919999999999</v>
      </c>
      <c r="M10478">
        <v>40.200000000000003</v>
      </c>
      <c r="N10478">
        <v>17.2</v>
      </c>
      <c r="O10478">
        <v>23</v>
      </c>
      <c r="P10478">
        <v>26.689879999999999</v>
      </c>
      <c r="Q10478">
        <v>28</v>
      </c>
      <c r="R10478">
        <v>31.6</v>
      </c>
      <c r="S10478">
        <v>26.3</v>
      </c>
      <c r="T10478">
        <v>721.33789999999999</v>
      </c>
      <c r="U10478">
        <v>228</v>
      </c>
      <c r="V10478">
        <v>0</v>
      </c>
      <c r="W10478">
        <v>127</v>
      </c>
      <c r="X10478">
        <v>542.66899999999998</v>
      </c>
      <c r="Y10478">
        <v>0</v>
      </c>
      <c r="Z10478">
        <v>57</v>
      </c>
      <c r="AA10478">
        <v>0</v>
      </c>
      <c r="AB10478">
        <v>1.5344869999999999</v>
      </c>
      <c r="AC10478">
        <v>1.953189E-2</v>
      </c>
      <c r="AD10478">
        <v>2.1689929999999999</v>
      </c>
      <c r="AE10478">
        <v>0.36957499999999999</v>
      </c>
      <c r="AF10478">
        <v>308.18520000000001</v>
      </c>
      <c r="AG10478">
        <f>IFERROR(AH10478*0.1, "N/A")</f>
        <v>6.3771870000000002</v>
      </c>
      <c r="AH10478">
        <v>63.77187</v>
      </c>
      <c r="AI10478">
        <v>180.4538</v>
      </c>
      <c r="AJ10478">
        <v>37.202399999999997</v>
      </c>
      <c r="AK10478">
        <v>40.048029999999997</v>
      </c>
    </row>
    <row r="10479" spans="1:37" x14ac:dyDescent="0.3">
      <c r="A10479">
        <v>10478</v>
      </c>
      <c r="B10479">
        <v>21</v>
      </c>
      <c r="C10479">
        <v>14.148999999999999</v>
      </c>
      <c r="D10479">
        <v>10.868</v>
      </c>
      <c r="E10479" t="s">
        <v>15841</v>
      </c>
      <c r="F10479" t="s">
        <v>15842</v>
      </c>
      <c r="G10479" t="s">
        <v>39</v>
      </c>
      <c r="H10479">
        <v>1987</v>
      </c>
      <c r="I10479">
        <v>27.2</v>
      </c>
      <c r="J10479">
        <v>14</v>
      </c>
      <c r="K10479">
        <v>62</v>
      </c>
      <c r="L10479">
        <v>20.64</v>
      </c>
      <c r="M10479">
        <v>39.1</v>
      </c>
      <c r="N10479">
        <v>16.7</v>
      </c>
      <c r="O10479">
        <v>22.4</v>
      </c>
      <c r="P10479">
        <v>25.5</v>
      </c>
      <c r="Q10479">
        <v>25.5</v>
      </c>
      <c r="R10479">
        <v>30.3</v>
      </c>
      <c r="S10479">
        <v>25.5</v>
      </c>
      <c r="T10479">
        <v>803</v>
      </c>
      <c r="U10479">
        <v>252</v>
      </c>
      <c r="V10479">
        <v>0</v>
      </c>
      <c r="W10479">
        <v>125</v>
      </c>
      <c r="X10479">
        <v>585</v>
      </c>
      <c r="Y10479">
        <v>0</v>
      </c>
      <c r="Z10479">
        <v>80</v>
      </c>
      <c r="AA10479">
        <v>585</v>
      </c>
      <c r="AB10479">
        <v>4.9254610000000003</v>
      </c>
      <c r="AC10479">
        <v>1.441217E-2</v>
      </c>
      <c r="AD10479">
        <v>1.520872</v>
      </c>
      <c r="AE10479">
        <v>0.71733709999999995</v>
      </c>
      <c r="AF10479">
        <v>441.18799999999999</v>
      </c>
      <c r="AG10479">
        <f>IFERROR(AH10479*0.1, "N/A")</f>
        <v>7.0664959999999999</v>
      </c>
      <c r="AH10479">
        <v>70.664959999999994</v>
      </c>
      <c r="AI10479">
        <v>47.154690000000002</v>
      </c>
      <c r="AJ10479">
        <v>20.005130000000001</v>
      </c>
      <c r="AK10479">
        <v>62.994869999999999</v>
      </c>
    </row>
    <row r="10480" spans="1:37" x14ac:dyDescent="0.3">
      <c r="A10480">
        <v>10479</v>
      </c>
      <c r="B10480">
        <v>58.8</v>
      </c>
      <c r="C10480">
        <v>15.087999999999999</v>
      </c>
      <c r="D10480">
        <v>10.868399999999999</v>
      </c>
      <c r="E10480" t="s">
        <v>15843</v>
      </c>
      <c r="F10480" t="s">
        <v>15844</v>
      </c>
      <c r="G10480" t="s">
        <v>39</v>
      </c>
      <c r="H10480">
        <v>1995</v>
      </c>
      <c r="I10480">
        <v>28.3</v>
      </c>
      <c r="J10480">
        <v>14.1</v>
      </c>
      <c r="K10480">
        <v>61</v>
      </c>
      <c r="L10480">
        <v>21.57</v>
      </c>
      <c r="M10480">
        <v>40.1</v>
      </c>
      <c r="N10480">
        <v>17</v>
      </c>
      <c r="O10480">
        <v>23.1</v>
      </c>
      <c r="P10480">
        <v>26.7</v>
      </c>
      <c r="Q10480">
        <v>27.9</v>
      </c>
      <c r="R10480">
        <v>31.5</v>
      </c>
      <c r="S10480">
        <v>26.3</v>
      </c>
      <c r="T10480">
        <v>719</v>
      </c>
      <c r="U10480">
        <v>229</v>
      </c>
      <c r="V10480">
        <v>0</v>
      </c>
      <c r="W10480">
        <v>130</v>
      </c>
      <c r="X10480">
        <v>544</v>
      </c>
      <c r="Y10480">
        <v>0</v>
      </c>
      <c r="Z10480">
        <v>53</v>
      </c>
      <c r="AA10480">
        <v>0</v>
      </c>
      <c r="AB10480">
        <v>3.0590809999999999</v>
      </c>
      <c r="AC10480">
        <v>1.9325760000000001E-2</v>
      </c>
      <c r="AD10480">
        <v>1.196356</v>
      </c>
      <c r="AE10480">
        <v>0.51297499999999996</v>
      </c>
      <c r="AF10480">
        <v>309.75170000000003</v>
      </c>
      <c r="AG10480">
        <f>IFERROR(AH10480*0.1, "N/A")</f>
        <v>6.0811640000000002</v>
      </c>
      <c r="AH10480">
        <v>60.811639999999997</v>
      </c>
      <c r="AI10480">
        <v>86.711479999999995</v>
      </c>
      <c r="AJ10480">
        <v>31.017119999999998</v>
      </c>
      <c r="AK10480">
        <v>46.92295</v>
      </c>
    </row>
    <row r="10481" spans="1:37" x14ac:dyDescent="0.3">
      <c r="A10481">
        <v>10480</v>
      </c>
      <c r="B10481">
        <v>15.7</v>
      </c>
      <c r="C10481">
        <v>13.882</v>
      </c>
      <c r="D10481">
        <v>10.869</v>
      </c>
      <c r="E10481" t="s">
        <v>15845</v>
      </c>
      <c r="F10481" t="s">
        <v>15846</v>
      </c>
      <c r="G10481" t="s">
        <v>39</v>
      </c>
      <c r="H10481">
        <v>1987</v>
      </c>
      <c r="I10481">
        <v>26.2</v>
      </c>
      <c r="J10481">
        <v>14.1</v>
      </c>
      <c r="K10481">
        <v>63</v>
      </c>
      <c r="L10481">
        <v>19.670000000000002</v>
      </c>
      <c r="M10481">
        <v>37.9</v>
      </c>
      <c r="N10481">
        <v>15.7</v>
      </c>
      <c r="O10481">
        <v>22.2</v>
      </c>
      <c r="P10481">
        <v>24.6</v>
      </c>
      <c r="Q10481">
        <v>24.6</v>
      </c>
      <c r="R10481">
        <v>29.2</v>
      </c>
      <c r="S10481">
        <v>24.6</v>
      </c>
      <c r="T10481">
        <v>846</v>
      </c>
      <c r="U10481">
        <v>264</v>
      </c>
      <c r="V10481">
        <v>0</v>
      </c>
      <c r="W10481">
        <v>123</v>
      </c>
      <c r="X10481">
        <v>606</v>
      </c>
      <c r="Y10481">
        <v>0</v>
      </c>
      <c r="Z10481">
        <v>91</v>
      </c>
      <c r="AA10481">
        <v>0</v>
      </c>
      <c r="AB10481">
        <v>7.779382</v>
      </c>
      <c r="AC10481">
        <v>2.5712019999999999E-2</v>
      </c>
      <c r="AD10481">
        <v>1.0290630000000001</v>
      </c>
      <c r="AE10481">
        <v>0.78877750000000002</v>
      </c>
      <c r="AF10481">
        <v>499.16320000000002</v>
      </c>
      <c r="AG10481">
        <f>IFERROR(AH10481*0.1, "N/A")</f>
        <v>6.4790380000000001</v>
      </c>
      <c r="AH10481">
        <v>64.790379999999999</v>
      </c>
      <c r="AI10481">
        <v>100.09739999999999</v>
      </c>
      <c r="AJ10481">
        <v>18.501719999999999</v>
      </c>
      <c r="AK10481">
        <v>59.082470000000001</v>
      </c>
    </row>
    <row r="10482" spans="1:37" x14ac:dyDescent="0.3">
      <c r="A10482">
        <v>10481</v>
      </c>
      <c r="B10482">
        <v>4.9000000000000004</v>
      </c>
      <c r="C10482">
        <v>13.882</v>
      </c>
      <c r="D10482">
        <v>10.869</v>
      </c>
      <c r="E10482" t="s">
        <v>15845</v>
      </c>
      <c r="F10482" t="s">
        <v>15847</v>
      </c>
      <c r="G10482" t="s">
        <v>37</v>
      </c>
      <c r="H10482">
        <v>1987</v>
      </c>
      <c r="I10482">
        <v>26.2</v>
      </c>
      <c r="J10482">
        <v>14.1</v>
      </c>
      <c r="K10482">
        <v>63</v>
      </c>
      <c r="L10482">
        <v>19.670000000000002</v>
      </c>
      <c r="M10482">
        <v>37.9</v>
      </c>
      <c r="N10482">
        <v>15.7</v>
      </c>
      <c r="O10482">
        <v>22.2</v>
      </c>
      <c r="P10482">
        <v>24.6</v>
      </c>
      <c r="Q10482">
        <v>24.6</v>
      </c>
      <c r="R10482">
        <v>29.2</v>
      </c>
      <c r="S10482">
        <v>24.6</v>
      </c>
      <c r="T10482">
        <v>846</v>
      </c>
      <c r="U10482">
        <v>264</v>
      </c>
      <c r="V10482">
        <v>0</v>
      </c>
      <c r="W10482">
        <v>123</v>
      </c>
      <c r="X10482">
        <v>606</v>
      </c>
      <c r="Y10482">
        <v>0</v>
      </c>
      <c r="Z10482">
        <v>91</v>
      </c>
      <c r="AA10482">
        <v>0</v>
      </c>
      <c r="AB10482">
        <v>7.779382</v>
      </c>
      <c r="AC10482">
        <v>2.5712019999999999E-2</v>
      </c>
      <c r="AD10482">
        <v>1.0290630000000001</v>
      </c>
      <c r="AE10482">
        <v>0.78877750000000002</v>
      </c>
      <c r="AF10482">
        <v>499.16320000000002</v>
      </c>
      <c r="AG10482">
        <f>IFERROR(AH10482*0.1, "N/A")</f>
        <v>6.4790380000000001</v>
      </c>
      <c r="AH10482">
        <v>64.790379999999999</v>
      </c>
      <c r="AI10482">
        <v>100.09739999999999</v>
      </c>
      <c r="AJ10482">
        <v>18.501719999999999</v>
      </c>
      <c r="AK10482">
        <v>59.082470000000001</v>
      </c>
    </row>
    <row r="10483" spans="1:37" x14ac:dyDescent="0.3">
      <c r="A10483">
        <v>10482</v>
      </c>
      <c r="B10483">
        <v>21.9</v>
      </c>
      <c r="C10483">
        <v>14.833299999999999</v>
      </c>
      <c r="D10483">
        <v>10.875</v>
      </c>
      <c r="E10483" t="s">
        <v>15848</v>
      </c>
      <c r="F10483" t="s">
        <v>15849</v>
      </c>
      <c r="G10483" t="s">
        <v>39</v>
      </c>
      <c r="H10483">
        <v>1990</v>
      </c>
      <c r="I10483">
        <v>28.3</v>
      </c>
      <c r="J10483">
        <v>14.1</v>
      </c>
      <c r="K10483">
        <v>61</v>
      </c>
      <c r="L10483">
        <v>21.820820000000001</v>
      </c>
      <c r="M10483">
        <v>40.200000000000003</v>
      </c>
      <c r="N10483">
        <v>17.24897</v>
      </c>
      <c r="O10483">
        <v>22.951029999999999</v>
      </c>
      <c r="P10483">
        <v>26.6</v>
      </c>
      <c r="Q10483">
        <v>28</v>
      </c>
      <c r="R10483">
        <v>31.560269999999999</v>
      </c>
      <c r="S10483">
        <v>26.348970000000001</v>
      </c>
      <c r="T10483">
        <v>723.60270000000003</v>
      </c>
      <c r="U10483">
        <v>229</v>
      </c>
      <c r="V10483">
        <v>0</v>
      </c>
      <c r="W10483">
        <v>127</v>
      </c>
      <c r="X10483">
        <v>544</v>
      </c>
      <c r="Y10483">
        <v>0</v>
      </c>
      <c r="Z10483">
        <v>59</v>
      </c>
      <c r="AA10483">
        <v>0</v>
      </c>
      <c r="AB10483">
        <v>1.319523</v>
      </c>
      <c r="AC10483">
        <v>4.9377209999999998E-2</v>
      </c>
      <c r="AD10483">
        <v>0.91932150000000001</v>
      </c>
      <c r="AE10483">
        <v>0.70284489999999999</v>
      </c>
      <c r="AF10483">
        <v>313.0308</v>
      </c>
      <c r="AG10483">
        <f>IFERROR(AH10483*0.1, "N/A")</f>
        <v>6.2780820000000004</v>
      </c>
      <c r="AH10483">
        <v>62.780819999999999</v>
      </c>
      <c r="AI10483">
        <v>88.482349999999997</v>
      </c>
      <c r="AJ10483">
        <v>17.780819999999999</v>
      </c>
      <c r="AK10483">
        <v>57.657530000000001</v>
      </c>
    </row>
    <row r="10484" spans="1:37" x14ac:dyDescent="0.3">
      <c r="A10484">
        <v>10483</v>
      </c>
      <c r="B10484">
        <v>4</v>
      </c>
      <c r="C10484">
        <v>14.833299999999999</v>
      </c>
      <c r="D10484">
        <v>10.875</v>
      </c>
      <c r="E10484" t="s">
        <v>15848</v>
      </c>
      <c r="F10484" t="s">
        <v>15850</v>
      </c>
      <c r="G10484" t="s">
        <v>37</v>
      </c>
      <c r="H10484">
        <v>1990</v>
      </c>
      <c r="I10484">
        <v>28.3</v>
      </c>
      <c r="J10484">
        <v>14.1</v>
      </c>
      <c r="K10484">
        <v>61</v>
      </c>
      <c r="L10484">
        <v>21.820820000000001</v>
      </c>
      <c r="M10484">
        <v>40.200000000000003</v>
      </c>
      <c r="N10484">
        <v>17.24897</v>
      </c>
      <c r="O10484">
        <v>22.951029999999999</v>
      </c>
      <c r="P10484">
        <v>26.6</v>
      </c>
      <c r="Q10484">
        <v>28</v>
      </c>
      <c r="R10484">
        <v>31.560269999999999</v>
      </c>
      <c r="S10484">
        <v>26.348970000000001</v>
      </c>
      <c r="T10484">
        <v>723.60270000000003</v>
      </c>
      <c r="U10484">
        <v>229</v>
      </c>
      <c r="V10484">
        <v>0</v>
      </c>
      <c r="W10484">
        <v>127</v>
      </c>
      <c r="X10484">
        <v>544</v>
      </c>
      <c r="Y10484">
        <v>0</v>
      </c>
      <c r="Z10484">
        <v>59</v>
      </c>
      <c r="AA10484">
        <v>0</v>
      </c>
      <c r="AB10484">
        <v>1.319523</v>
      </c>
      <c r="AC10484">
        <v>4.9377209999999998E-2</v>
      </c>
      <c r="AD10484">
        <v>0.91932150000000001</v>
      </c>
      <c r="AE10484">
        <v>0.70284489999999999</v>
      </c>
      <c r="AF10484">
        <v>313.0308</v>
      </c>
      <c r="AG10484">
        <f>IFERROR(AH10484*0.1, "N/A")</f>
        <v>6.2780820000000004</v>
      </c>
      <c r="AH10484">
        <v>62.780819999999999</v>
      </c>
      <c r="AI10484">
        <v>88.482349999999997</v>
      </c>
      <c r="AJ10484">
        <v>17.780819999999999</v>
      </c>
      <c r="AK10484">
        <v>57.657530000000001</v>
      </c>
    </row>
    <row r="10485" spans="1:37" x14ac:dyDescent="0.3">
      <c r="A10485">
        <v>10484</v>
      </c>
      <c r="B10485">
        <v>0</v>
      </c>
      <c r="C10485">
        <v>14.833299999999999</v>
      </c>
      <c r="D10485">
        <v>10.875</v>
      </c>
      <c r="E10485" t="s">
        <v>15848</v>
      </c>
      <c r="F10485" t="s">
        <v>15851</v>
      </c>
      <c r="G10485" t="s">
        <v>2420</v>
      </c>
      <c r="H10485">
        <v>1990</v>
      </c>
      <c r="I10485">
        <v>28.3</v>
      </c>
      <c r="J10485">
        <v>14.1</v>
      </c>
      <c r="K10485">
        <v>61</v>
      </c>
      <c r="L10485">
        <v>21.820820000000001</v>
      </c>
      <c r="M10485">
        <v>40.200000000000003</v>
      </c>
      <c r="N10485">
        <v>17.24897</v>
      </c>
      <c r="O10485">
        <v>22.951029999999999</v>
      </c>
      <c r="P10485">
        <v>26.6</v>
      </c>
      <c r="Q10485">
        <v>28</v>
      </c>
      <c r="R10485">
        <v>31.560269999999999</v>
      </c>
      <c r="S10485">
        <v>26.348970000000001</v>
      </c>
      <c r="T10485">
        <v>723.60270000000003</v>
      </c>
      <c r="U10485">
        <v>229</v>
      </c>
      <c r="V10485">
        <v>0</v>
      </c>
      <c r="W10485">
        <v>127</v>
      </c>
      <c r="X10485">
        <v>544</v>
      </c>
      <c r="Y10485">
        <v>0</v>
      </c>
      <c r="Z10485">
        <v>59</v>
      </c>
      <c r="AA10485">
        <v>0</v>
      </c>
      <c r="AB10485">
        <v>1.319523</v>
      </c>
      <c r="AC10485">
        <v>4.9377209999999998E-2</v>
      </c>
      <c r="AD10485">
        <v>0.91932150000000001</v>
      </c>
      <c r="AE10485">
        <v>0.70284489999999999</v>
      </c>
      <c r="AF10485">
        <v>313.0308</v>
      </c>
      <c r="AG10485">
        <f>IFERROR(AH10485*0.1, "N/A")</f>
        <v>6.2780820000000004</v>
      </c>
      <c r="AH10485">
        <v>62.780819999999999</v>
      </c>
      <c r="AI10485">
        <v>88.482349999999997</v>
      </c>
      <c r="AJ10485">
        <v>17.780819999999999</v>
      </c>
      <c r="AK10485">
        <v>57.657530000000001</v>
      </c>
    </row>
    <row r="10486" spans="1:37" x14ac:dyDescent="0.3">
      <c r="A10486">
        <v>10485</v>
      </c>
      <c r="B10486">
        <v>9</v>
      </c>
      <c r="C10486">
        <v>14.837</v>
      </c>
      <c r="D10486">
        <v>10.878</v>
      </c>
      <c r="E10486" t="s">
        <v>15852</v>
      </c>
      <c r="F10486" t="s">
        <v>15853</v>
      </c>
      <c r="G10486" t="s">
        <v>39</v>
      </c>
      <c r="H10486">
        <v>1987</v>
      </c>
      <c r="I10486">
        <v>28.3</v>
      </c>
      <c r="J10486">
        <v>14.1</v>
      </c>
      <c r="K10486">
        <v>61</v>
      </c>
      <c r="L10486">
        <v>21.86</v>
      </c>
      <c r="M10486">
        <v>40.200000000000003</v>
      </c>
      <c r="N10486">
        <v>17.2</v>
      </c>
      <c r="O10486">
        <v>23</v>
      </c>
      <c r="P10486">
        <v>26.6</v>
      </c>
      <c r="Q10486">
        <v>28</v>
      </c>
      <c r="R10486">
        <v>31.5</v>
      </c>
      <c r="S10486">
        <v>26.3</v>
      </c>
      <c r="T10486">
        <v>723</v>
      </c>
      <c r="U10486">
        <v>229</v>
      </c>
      <c r="V10486">
        <v>0</v>
      </c>
      <c r="W10486">
        <v>127</v>
      </c>
      <c r="X10486">
        <v>544</v>
      </c>
      <c r="Y10486">
        <v>0</v>
      </c>
      <c r="Z10486">
        <v>59</v>
      </c>
      <c r="AA10486">
        <v>0</v>
      </c>
      <c r="AB10486">
        <v>1.8711880000000001</v>
      </c>
      <c r="AC10486">
        <v>2.586869E-2</v>
      </c>
      <c r="AD10486">
        <v>0.78402919999999998</v>
      </c>
      <c r="AE10486">
        <v>0.70233999999999996</v>
      </c>
      <c r="AF10486">
        <v>312.5111</v>
      </c>
      <c r="AG10486">
        <f>IFERROR(AH10486*0.1, "N/A")</f>
        <v>6.3183530000000001</v>
      </c>
      <c r="AH10486">
        <v>63.183529999999998</v>
      </c>
      <c r="AI10486">
        <v>128.43770000000001</v>
      </c>
      <c r="AJ10486">
        <v>22.090910000000001</v>
      </c>
      <c r="AK10486">
        <v>55.871360000000003</v>
      </c>
    </row>
    <row r="10487" spans="1:37" x14ac:dyDescent="0.3">
      <c r="A10487">
        <v>10486</v>
      </c>
      <c r="B10487">
        <v>11.5</v>
      </c>
      <c r="C10487">
        <v>14.767300000000001</v>
      </c>
      <c r="D10487">
        <v>10.881600000000001</v>
      </c>
      <c r="E10487" t="s">
        <v>15854</v>
      </c>
      <c r="F10487" t="s">
        <v>15855</v>
      </c>
      <c r="G10487" t="s">
        <v>39</v>
      </c>
      <c r="H10487">
        <v>1983</v>
      </c>
      <c r="I10487">
        <v>28.3</v>
      </c>
      <c r="J10487">
        <v>14.1</v>
      </c>
      <c r="K10487">
        <v>61</v>
      </c>
      <c r="L10487">
        <v>21.380849999999999</v>
      </c>
      <c r="M10487">
        <v>40.200000000000003</v>
      </c>
      <c r="N10487">
        <v>17.399999999999999</v>
      </c>
      <c r="O10487">
        <v>22.8</v>
      </c>
      <c r="P10487">
        <v>26.699149999999999</v>
      </c>
      <c r="Q10487">
        <v>28.099150000000002</v>
      </c>
      <c r="R10487">
        <v>31.5</v>
      </c>
      <c r="S10487">
        <v>26.4</v>
      </c>
      <c r="T10487">
        <v>727.00850000000003</v>
      </c>
      <c r="U10487">
        <v>230</v>
      </c>
      <c r="V10487">
        <v>0</v>
      </c>
      <c r="W10487">
        <v>127.0085</v>
      </c>
      <c r="X10487">
        <v>545.00850000000003</v>
      </c>
      <c r="Y10487">
        <v>0</v>
      </c>
      <c r="Z10487">
        <v>60</v>
      </c>
      <c r="AA10487">
        <v>0</v>
      </c>
      <c r="AB10487">
        <v>0.65426289999999998</v>
      </c>
      <c r="AC10487">
        <v>1.9861E-2</v>
      </c>
      <c r="AD10487">
        <v>0.66043989999999997</v>
      </c>
      <c r="AE10487">
        <v>0.58114049999999995</v>
      </c>
      <c r="AF10487">
        <v>315.60750000000002</v>
      </c>
      <c r="AG10487">
        <f>IFERROR(AH10487*0.1, "N/A")</f>
        <v>6.1017060000000001</v>
      </c>
      <c r="AH10487">
        <v>61.017060000000001</v>
      </c>
      <c r="AI10487">
        <v>87.994200000000006</v>
      </c>
      <c r="AJ10487">
        <v>16.104099999999999</v>
      </c>
      <c r="AK10487">
        <v>65.878839999999997</v>
      </c>
    </row>
    <row r="10488" spans="1:37" x14ac:dyDescent="0.3">
      <c r="A10488">
        <v>10487</v>
      </c>
      <c r="B10488">
        <v>51.8</v>
      </c>
      <c r="C10488">
        <v>14.833299999999999</v>
      </c>
      <c r="D10488">
        <v>10.885300000000001</v>
      </c>
      <c r="E10488" t="s">
        <v>15856</v>
      </c>
      <c r="F10488" t="s">
        <v>15857</v>
      </c>
      <c r="G10488" t="s">
        <v>39</v>
      </c>
      <c r="H10488">
        <v>1995</v>
      </c>
      <c r="I10488">
        <v>28.3</v>
      </c>
      <c r="J10488">
        <v>14.1</v>
      </c>
      <c r="K10488">
        <v>61</v>
      </c>
      <c r="L10488">
        <v>21.80874</v>
      </c>
      <c r="M10488">
        <v>40.200000000000003</v>
      </c>
      <c r="N10488">
        <v>17.2</v>
      </c>
      <c r="O10488">
        <v>23</v>
      </c>
      <c r="P10488">
        <v>26.6</v>
      </c>
      <c r="Q10488">
        <v>27.9</v>
      </c>
      <c r="R10488">
        <v>31.5</v>
      </c>
      <c r="S10488">
        <v>26.3</v>
      </c>
      <c r="T10488">
        <v>724</v>
      </c>
      <c r="U10488">
        <v>229</v>
      </c>
      <c r="V10488">
        <v>0</v>
      </c>
      <c r="W10488">
        <v>127</v>
      </c>
      <c r="X10488">
        <v>544</v>
      </c>
      <c r="Y10488">
        <v>0</v>
      </c>
      <c r="Z10488">
        <v>59</v>
      </c>
      <c r="AA10488">
        <v>0</v>
      </c>
      <c r="AB10488">
        <v>1.3332619999999999</v>
      </c>
      <c r="AC10488">
        <v>2.8687609999999999E-2</v>
      </c>
      <c r="AD10488">
        <v>1.2685519999999999</v>
      </c>
      <c r="AE10488">
        <v>0.56720630000000005</v>
      </c>
      <c r="AF10488">
        <v>315.08699999999999</v>
      </c>
      <c r="AG10488">
        <f>IFERROR(AH10488*0.1, "N/A")</f>
        <v>6.7730379999999997</v>
      </c>
      <c r="AH10488">
        <v>67.730379999999997</v>
      </c>
      <c r="AI10488">
        <v>208.44800000000001</v>
      </c>
      <c r="AJ10488">
        <v>24.235489999999999</v>
      </c>
      <c r="AK10488">
        <v>55.013649999999998</v>
      </c>
    </row>
    <row r="10489" spans="1:37" x14ac:dyDescent="0.3">
      <c r="A10489">
        <v>10488</v>
      </c>
      <c r="B10489">
        <v>37.6</v>
      </c>
      <c r="C10489">
        <v>14.063000000000001</v>
      </c>
      <c r="D10489">
        <v>10.8894</v>
      </c>
      <c r="E10489" t="s">
        <v>15858</v>
      </c>
      <c r="F10489" t="s">
        <v>15859</v>
      </c>
      <c r="G10489" t="s">
        <v>39</v>
      </c>
      <c r="H10489">
        <v>1985</v>
      </c>
      <c r="I10489">
        <v>25</v>
      </c>
      <c r="J10489">
        <v>14.1</v>
      </c>
      <c r="K10489">
        <v>63</v>
      </c>
      <c r="L10489">
        <v>19.62</v>
      </c>
      <c r="M10489">
        <v>36.700000000000003</v>
      </c>
      <c r="N10489">
        <v>14.6</v>
      </c>
      <c r="O10489">
        <v>22.1</v>
      </c>
      <c r="P10489">
        <v>23.4</v>
      </c>
      <c r="Q10489">
        <v>23.4</v>
      </c>
      <c r="R10489">
        <v>27.9</v>
      </c>
      <c r="S10489">
        <v>23.3</v>
      </c>
      <c r="T10489">
        <v>870</v>
      </c>
      <c r="U10489">
        <v>270</v>
      </c>
      <c r="V10489">
        <v>0</v>
      </c>
      <c r="W10489">
        <v>122</v>
      </c>
      <c r="X10489">
        <v>624</v>
      </c>
      <c r="Y10489">
        <v>1</v>
      </c>
      <c r="Z10489">
        <v>94</v>
      </c>
      <c r="AA10489">
        <v>1</v>
      </c>
      <c r="AB10489">
        <v>2.1917420000000001</v>
      </c>
      <c r="AC10489">
        <v>0.90393500000000004</v>
      </c>
      <c r="AD10489">
        <v>2.3049210000000002</v>
      </c>
      <c r="AE10489">
        <v>0.69657849999999999</v>
      </c>
      <c r="AF10489">
        <v>749.14430000000004</v>
      </c>
      <c r="AG10489">
        <f>IFERROR(AH10489*0.1, "N/A")</f>
        <v>6.301031</v>
      </c>
      <c r="AH10489">
        <v>63.010309999999997</v>
      </c>
      <c r="AI10489">
        <v>290.02409999999998</v>
      </c>
      <c r="AJ10489">
        <v>20</v>
      </c>
      <c r="AK10489">
        <v>60</v>
      </c>
    </row>
    <row r="10490" spans="1:37" x14ac:dyDescent="0.3">
      <c r="A10490">
        <v>10489</v>
      </c>
      <c r="B10490">
        <v>69</v>
      </c>
      <c r="C10490">
        <v>14.063000000000001</v>
      </c>
      <c r="D10490">
        <v>10.8894</v>
      </c>
      <c r="E10490" t="s">
        <v>15858</v>
      </c>
      <c r="F10490" t="s">
        <v>15860</v>
      </c>
      <c r="G10490" t="s">
        <v>37</v>
      </c>
      <c r="H10490">
        <v>1985</v>
      </c>
      <c r="I10490">
        <v>25</v>
      </c>
      <c r="J10490">
        <v>14.1</v>
      </c>
      <c r="K10490">
        <v>63</v>
      </c>
      <c r="L10490">
        <v>19.62</v>
      </c>
      <c r="M10490">
        <v>36.700000000000003</v>
      </c>
      <c r="N10490">
        <v>14.6</v>
      </c>
      <c r="O10490">
        <v>22.1</v>
      </c>
      <c r="P10490">
        <v>23.4</v>
      </c>
      <c r="Q10490">
        <v>23.4</v>
      </c>
      <c r="R10490">
        <v>27.9</v>
      </c>
      <c r="S10490">
        <v>23.3</v>
      </c>
      <c r="T10490">
        <v>870</v>
      </c>
      <c r="U10490">
        <v>270</v>
      </c>
      <c r="V10490">
        <v>0</v>
      </c>
      <c r="W10490">
        <v>122</v>
      </c>
      <c r="X10490">
        <v>624</v>
      </c>
      <c r="Y10490">
        <v>1</v>
      </c>
      <c r="Z10490">
        <v>94</v>
      </c>
      <c r="AA10490">
        <v>1</v>
      </c>
      <c r="AB10490">
        <v>2.1917420000000001</v>
      </c>
      <c r="AC10490">
        <v>0.90393500000000004</v>
      </c>
      <c r="AD10490">
        <v>2.3049210000000002</v>
      </c>
      <c r="AE10490">
        <v>0.69657849999999999</v>
      </c>
      <c r="AF10490">
        <v>749.14430000000004</v>
      </c>
      <c r="AG10490">
        <f>IFERROR(AH10490*0.1, "N/A")</f>
        <v>6.301031</v>
      </c>
      <c r="AH10490">
        <v>63.010309999999997</v>
      </c>
      <c r="AI10490">
        <v>290.02409999999998</v>
      </c>
      <c r="AJ10490">
        <v>20</v>
      </c>
      <c r="AK10490">
        <v>60</v>
      </c>
    </row>
    <row r="10491" spans="1:37" x14ac:dyDescent="0.3">
      <c r="A10491">
        <v>10490</v>
      </c>
      <c r="B10491">
        <v>30.5</v>
      </c>
      <c r="C10491">
        <v>15.083</v>
      </c>
      <c r="D10491">
        <v>10.9</v>
      </c>
      <c r="E10491" t="s">
        <v>15861</v>
      </c>
      <c r="F10491" t="s">
        <v>15862</v>
      </c>
      <c r="G10491" t="s">
        <v>39</v>
      </c>
      <c r="H10491">
        <v>1995</v>
      </c>
      <c r="I10491">
        <v>28.299659999999999</v>
      </c>
      <c r="J10491">
        <v>14.2</v>
      </c>
      <c r="K10491">
        <v>60.996580000000002</v>
      </c>
      <c r="L10491">
        <v>21.840610000000002</v>
      </c>
      <c r="M10491">
        <v>40.1</v>
      </c>
      <c r="N10491">
        <v>16.999320000000001</v>
      </c>
      <c r="O10491">
        <v>23.100680000000001</v>
      </c>
      <c r="P10491">
        <v>26.7</v>
      </c>
      <c r="Q10491">
        <v>27.899660000000001</v>
      </c>
      <c r="R10491">
        <v>31.5</v>
      </c>
      <c r="S10491">
        <v>26.2</v>
      </c>
      <c r="T10491">
        <v>714.0462</v>
      </c>
      <c r="U10491">
        <v>228</v>
      </c>
      <c r="V10491">
        <v>0</v>
      </c>
      <c r="W10491">
        <v>129</v>
      </c>
      <c r="X10491">
        <v>541.0462</v>
      </c>
      <c r="Y10491">
        <v>0</v>
      </c>
      <c r="Z10491">
        <v>52</v>
      </c>
      <c r="AA10491">
        <v>0</v>
      </c>
      <c r="AB10491">
        <v>1.501539</v>
      </c>
      <c r="AC10491">
        <v>1.080799E-2</v>
      </c>
      <c r="AD10491">
        <v>1.603963</v>
      </c>
      <c r="AE10491">
        <v>0.4449379</v>
      </c>
      <c r="AF10491">
        <v>309.19659999999999</v>
      </c>
      <c r="AG10491">
        <f>IFERROR(AH10491*0.1, "N/A")</f>
        <v>6.2138460000000002</v>
      </c>
      <c r="AH10491">
        <v>62.138460000000002</v>
      </c>
      <c r="AI10491">
        <v>273.87439999999998</v>
      </c>
      <c r="AJ10491">
        <v>34.92991</v>
      </c>
      <c r="AK10491">
        <v>40.169229999999999</v>
      </c>
    </row>
    <row r="10492" spans="1:37" x14ac:dyDescent="0.3">
      <c r="A10492">
        <v>10491</v>
      </c>
      <c r="B10492">
        <v>37.799999999999997</v>
      </c>
      <c r="C10492">
        <v>14.066000000000001</v>
      </c>
      <c r="D10492">
        <v>10.901400000000001</v>
      </c>
      <c r="E10492" t="s">
        <v>15863</v>
      </c>
      <c r="F10492" t="s">
        <v>15864</v>
      </c>
      <c r="G10492" t="s">
        <v>39</v>
      </c>
      <c r="H10492">
        <v>1985</v>
      </c>
      <c r="I10492">
        <v>25</v>
      </c>
      <c r="J10492">
        <v>14.1</v>
      </c>
      <c r="K10492">
        <v>63.987990000000003</v>
      </c>
      <c r="L10492">
        <v>19.195399999999999</v>
      </c>
      <c r="M10492">
        <v>36.601199999999999</v>
      </c>
      <c r="N10492">
        <v>14.6988</v>
      </c>
      <c r="O10492">
        <v>21.9024</v>
      </c>
      <c r="P10492">
        <v>23.498799999999999</v>
      </c>
      <c r="Q10492">
        <v>23.5</v>
      </c>
      <c r="R10492">
        <v>27.901199999999999</v>
      </c>
      <c r="S10492">
        <v>23.498799999999999</v>
      </c>
      <c r="T10492">
        <v>866.01199999999994</v>
      </c>
      <c r="U10492">
        <v>270</v>
      </c>
      <c r="V10492">
        <v>0</v>
      </c>
      <c r="W10492">
        <v>122</v>
      </c>
      <c r="X10492">
        <v>622.01199999999994</v>
      </c>
      <c r="Y10492">
        <v>1</v>
      </c>
      <c r="Z10492">
        <v>92</v>
      </c>
      <c r="AA10492">
        <v>614.54369999999994</v>
      </c>
      <c r="AB10492">
        <v>8.5519590000000001</v>
      </c>
      <c r="AC10492">
        <v>0.24804219999999999</v>
      </c>
      <c r="AD10492">
        <v>2.1022810000000001</v>
      </c>
      <c r="AE10492">
        <v>0.69681159999999998</v>
      </c>
      <c r="AF10492">
        <v>747.84730000000002</v>
      </c>
      <c r="AG10492">
        <f>IFERROR(AH10492*0.1, "N/A")</f>
        <v>6.3785590000000001</v>
      </c>
      <c r="AH10492">
        <v>63.785589999999999</v>
      </c>
      <c r="AI10492">
        <v>302.42219999999998</v>
      </c>
      <c r="AJ10492">
        <v>21.98799</v>
      </c>
      <c r="AK10492">
        <v>61.77187</v>
      </c>
    </row>
    <row r="10493" spans="1:37" x14ac:dyDescent="0.3">
      <c r="A10493">
        <v>10492</v>
      </c>
      <c r="B10493">
        <v>44.1</v>
      </c>
      <c r="C10493">
        <v>14.066000000000001</v>
      </c>
      <c r="D10493">
        <v>10.901400000000001</v>
      </c>
      <c r="E10493" t="s">
        <v>15863</v>
      </c>
      <c r="F10493" t="s">
        <v>15865</v>
      </c>
      <c r="G10493" t="s">
        <v>37</v>
      </c>
      <c r="H10493">
        <v>1985</v>
      </c>
      <c r="I10493">
        <v>25</v>
      </c>
      <c r="J10493">
        <v>14.1</v>
      </c>
      <c r="K10493">
        <v>63.987990000000003</v>
      </c>
      <c r="L10493">
        <v>19.195399999999999</v>
      </c>
      <c r="M10493">
        <v>36.601199999999999</v>
      </c>
      <c r="N10493">
        <v>14.6988</v>
      </c>
      <c r="O10493">
        <v>21.9024</v>
      </c>
      <c r="P10493">
        <v>23.498799999999999</v>
      </c>
      <c r="Q10493">
        <v>23.5</v>
      </c>
      <c r="R10493">
        <v>27.901199999999999</v>
      </c>
      <c r="S10493">
        <v>23.498799999999999</v>
      </c>
      <c r="T10493">
        <v>866.01199999999994</v>
      </c>
      <c r="U10493">
        <v>270</v>
      </c>
      <c r="V10493">
        <v>0</v>
      </c>
      <c r="W10493">
        <v>122</v>
      </c>
      <c r="X10493">
        <v>622.01199999999994</v>
      </c>
      <c r="Y10493">
        <v>1</v>
      </c>
      <c r="Z10493">
        <v>92</v>
      </c>
      <c r="AA10493">
        <v>614.54369999999994</v>
      </c>
      <c r="AB10493">
        <v>8.5519590000000001</v>
      </c>
      <c r="AC10493">
        <v>0.24804219999999999</v>
      </c>
      <c r="AD10493">
        <v>2.1022810000000001</v>
      </c>
      <c r="AE10493">
        <v>0.69681159999999998</v>
      </c>
      <c r="AF10493">
        <v>747.84730000000002</v>
      </c>
      <c r="AG10493">
        <f>IFERROR(AH10493*0.1, "N/A")</f>
        <v>6.3785590000000001</v>
      </c>
      <c r="AH10493">
        <v>63.785589999999999</v>
      </c>
      <c r="AI10493">
        <v>302.42219999999998</v>
      </c>
      <c r="AJ10493">
        <v>21.98799</v>
      </c>
      <c r="AK10493">
        <v>61.77187</v>
      </c>
    </row>
    <row r="10494" spans="1:37" x14ac:dyDescent="0.3">
      <c r="A10494">
        <v>10493</v>
      </c>
      <c r="B10494">
        <v>0.7</v>
      </c>
      <c r="C10494">
        <v>15.083399999999999</v>
      </c>
      <c r="D10494">
        <v>10.9057</v>
      </c>
      <c r="E10494" t="s">
        <v>15866</v>
      </c>
      <c r="F10494" t="s">
        <v>15867</v>
      </c>
      <c r="G10494" t="s">
        <v>39</v>
      </c>
      <c r="H10494">
        <v>1987</v>
      </c>
      <c r="I10494">
        <v>28.267299999999999</v>
      </c>
      <c r="J10494">
        <v>14.2</v>
      </c>
      <c r="K10494">
        <v>60.672980000000003</v>
      </c>
      <c r="L10494">
        <v>21.932510000000001</v>
      </c>
      <c r="M10494">
        <v>40.1</v>
      </c>
      <c r="N10494">
        <v>16.9346</v>
      </c>
      <c r="O10494">
        <v>23.165400000000002</v>
      </c>
      <c r="P10494">
        <v>26.7</v>
      </c>
      <c r="Q10494">
        <v>27.8673</v>
      </c>
      <c r="R10494">
        <v>31.5</v>
      </c>
      <c r="S10494">
        <v>26.2</v>
      </c>
      <c r="T10494">
        <v>714</v>
      </c>
      <c r="U10494">
        <v>228</v>
      </c>
      <c r="V10494">
        <v>0</v>
      </c>
      <c r="W10494">
        <v>129</v>
      </c>
      <c r="X10494">
        <v>541</v>
      </c>
      <c r="Y10494">
        <v>0</v>
      </c>
      <c r="Z10494">
        <v>52</v>
      </c>
      <c r="AA10494">
        <v>0</v>
      </c>
      <c r="AB10494">
        <v>3.6271939999999998</v>
      </c>
      <c r="AC10494">
        <v>1.6359490000000001E-2</v>
      </c>
      <c r="AD10494">
        <v>1.540165</v>
      </c>
      <c r="AE10494">
        <v>0.46472229999999998</v>
      </c>
      <c r="AF10494">
        <v>309.90530000000001</v>
      </c>
      <c r="AG10494">
        <f>IFERROR(AH10494*0.1, "N/A")</f>
        <v>6.4137690000000012</v>
      </c>
      <c r="AH10494">
        <v>64.137690000000006</v>
      </c>
      <c r="AI10494">
        <v>135.5042</v>
      </c>
      <c r="AJ10494">
        <v>36.755589999999998</v>
      </c>
      <c r="AK10494">
        <v>39.884680000000003</v>
      </c>
    </row>
    <row r="10495" spans="1:37" x14ac:dyDescent="0.3">
      <c r="A10495">
        <v>10494</v>
      </c>
      <c r="B10495">
        <v>85</v>
      </c>
      <c r="C10495">
        <v>14.9603</v>
      </c>
      <c r="D10495">
        <v>10.9079</v>
      </c>
      <c r="E10495" t="s">
        <v>15868</v>
      </c>
      <c r="F10495" t="s">
        <v>15869</v>
      </c>
      <c r="G10495" t="s">
        <v>39</v>
      </c>
      <c r="H10495">
        <v>1995</v>
      </c>
      <c r="I10495">
        <v>28.3</v>
      </c>
      <c r="J10495">
        <v>14.1</v>
      </c>
      <c r="K10495">
        <v>60</v>
      </c>
      <c r="L10495">
        <v>21.852</v>
      </c>
      <c r="M10495">
        <v>40.200000000000003</v>
      </c>
      <c r="N10495">
        <v>17</v>
      </c>
      <c r="O10495">
        <v>23.2</v>
      </c>
      <c r="P10495">
        <v>26.7</v>
      </c>
      <c r="Q10495">
        <v>27.9</v>
      </c>
      <c r="R10495">
        <v>31.5</v>
      </c>
      <c r="S10495">
        <v>26.275559999999999</v>
      </c>
      <c r="T10495">
        <v>714.75559999999996</v>
      </c>
      <c r="U10495">
        <v>227</v>
      </c>
      <c r="V10495">
        <v>0</v>
      </c>
      <c r="W10495">
        <v>128</v>
      </c>
      <c r="X10495">
        <v>539.75559999999996</v>
      </c>
      <c r="Y10495">
        <v>0</v>
      </c>
      <c r="Z10495">
        <v>55</v>
      </c>
      <c r="AA10495">
        <v>0</v>
      </c>
      <c r="AB10495">
        <v>1.3058000000000001</v>
      </c>
      <c r="AC10495">
        <v>1.260183E-2</v>
      </c>
      <c r="AD10495">
        <v>1.0587500000000001</v>
      </c>
      <c r="AE10495">
        <v>0.4952973</v>
      </c>
      <c r="AF10495">
        <v>308.34699999999998</v>
      </c>
      <c r="AG10495">
        <f>IFERROR(AH10495*0.1, "N/A")</f>
        <v>6.5143590000000007</v>
      </c>
      <c r="AH10495">
        <v>65.143590000000003</v>
      </c>
      <c r="AI10495">
        <v>201.3546</v>
      </c>
      <c r="AJ10495">
        <v>26.311109999999999</v>
      </c>
      <c r="AK10495">
        <v>51.993160000000003</v>
      </c>
    </row>
    <row r="10496" spans="1:37" x14ac:dyDescent="0.3">
      <c r="A10496">
        <v>10495</v>
      </c>
      <c r="B10496">
        <v>14.3</v>
      </c>
      <c r="C10496">
        <v>14.8111</v>
      </c>
      <c r="D10496">
        <v>10.919</v>
      </c>
      <c r="E10496" t="s">
        <v>15870</v>
      </c>
      <c r="F10496" t="s">
        <v>15871</v>
      </c>
      <c r="G10496" t="s">
        <v>39</v>
      </c>
      <c r="H10496">
        <v>1983</v>
      </c>
      <c r="I10496">
        <v>28.3</v>
      </c>
      <c r="J10496">
        <v>14.1</v>
      </c>
      <c r="K10496">
        <v>61</v>
      </c>
      <c r="L10496">
        <v>21.73</v>
      </c>
      <c r="M10496">
        <v>40.200000000000003</v>
      </c>
      <c r="N10496">
        <v>17.2</v>
      </c>
      <c r="O10496">
        <v>23</v>
      </c>
      <c r="P10496">
        <v>26.7</v>
      </c>
      <c r="Q10496">
        <v>27.9</v>
      </c>
      <c r="R10496">
        <v>31.5</v>
      </c>
      <c r="S10496">
        <v>26.3</v>
      </c>
      <c r="T10496">
        <v>717</v>
      </c>
      <c r="U10496">
        <v>228</v>
      </c>
      <c r="V10496">
        <v>0</v>
      </c>
      <c r="W10496">
        <v>129</v>
      </c>
      <c r="X10496">
        <v>541</v>
      </c>
      <c r="Y10496">
        <v>0</v>
      </c>
      <c r="Z10496">
        <v>57</v>
      </c>
      <c r="AA10496">
        <v>0</v>
      </c>
      <c r="AB10496">
        <v>0.50017069999999997</v>
      </c>
      <c r="AC10496">
        <v>1.1256840000000001E-2</v>
      </c>
      <c r="AD10496">
        <v>1.3800969999999999</v>
      </c>
      <c r="AE10496">
        <v>0.54340509999999997</v>
      </c>
      <c r="AF10496">
        <v>310.96249999999998</v>
      </c>
      <c r="AG10496">
        <f>IFERROR(AH10496*0.1, "N/A")</f>
        <v>6.7068140000000005</v>
      </c>
      <c r="AH10496">
        <v>67.06814</v>
      </c>
      <c r="AI10496">
        <v>225.24209999999999</v>
      </c>
      <c r="AJ10496">
        <v>20.136289999999999</v>
      </c>
      <c r="AK10496">
        <v>57.06814</v>
      </c>
    </row>
    <row r="10497" spans="1:37" x14ac:dyDescent="0.3">
      <c r="A10497">
        <v>10496</v>
      </c>
      <c r="B10497">
        <v>20.2</v>
      </c>
      <c r="C10497">
        <v>13.983000000000001</v>
      </c>
      <c r="D10497">
        <v>10.92</v>
      </c>
      <c r="E10497" t="s">
        <v>15872</v>
      </c>
      <c r="F10497" t="s">
        <v>15873</v>
      </c>
      <c r="G10497" t="s">
        <v>39</v>
      </c>
      <c r="H10497">
        <v>1987</v>
      </c>
      <c r="I10497">
        <v>26.6</v>
      </c>
      <c r="J10497">
        <v>14.1</v>
      </c>
      <c r="K10497">
        <v>63</v>
      </c>
      <c r="L10497">
        <v>19.5656</v>
      </c>
      <c r="M10497">
        <v>38.336010000000002</v>
      </c>
      <c r="N10497">
        <v>16.036010000000001</v>
      </c>
      <c r="O10497">
        <v>22.3</v>
      </c>
      <c r="P10497">
        <v>25.1</v>
      </c>
      <c r="Q10497">
        <v>24.93601</v>
      </c>
      <c r="R10497">
        <v>29.536010000000001</v>
      </c>
      <c r="S10497">
        <v>24.93601</v>
      </c>
      <c r="T10497">
        <v>821.91980000000001</v>
      </c>
      <c r="U10497">
        <v>258.63990000000001</v>
      </c>
      <c r="V10497">
        <v>0</v>
      </c>
      <c r="W10497">
        <v>123.6399</v>
      </c>
      <c r="X10497">
        <v>595.2799</v>
      </c>
      <c r="Y10497">
        <v>0</v>
      </c>
      <c r="Z10497">
        <v>84</v>
      </c>
      <c r="AA10497">
        <v>0</v>
      </c>
      <c r="AB10497">
        <v>2.3663859999999999</v>
      </c>
      <c r="AC10497">
        <v>7.8264290000000001</v>
      </c>
      <c r="AD10497">
        <v>1.1505209999999999</v>
      </c>
      <c r="AE10497">
        <v>0.60217080000000001</v>
      </c>
      <c r="AF10497">
        <v>476.82080000000002</v>
      </c>
      <c r="AG10497">
        <f>IFERROR(AH10497*0.1, "N/A")</f>
        <v>6.5906139999999995</v>
      </c>
      <c r="AH10497">
        <v>65.906139999999994</v>
      </c>
      <c r="AI10497">
        <v>152.97110000000001</v>
      </c>
      <c r="AJ10497">
        <v>20.895900000000001</v>
      </c>
      <c r="AK10497">
        <v>58.651879999999998</v>
      </c>
    </row>
    <row r="10498" spans="1:37" x14ac:dyDescent="0.3">
      <c r="A10498">
        <v>10497</v>
      </c>
      <c r="B10498">
        <v>20</v>
      </c>
      <c r="C10498">
        <v>13.983000000000001</v>
      </c>
      <c r="D10498">
        <v>10.92</v>
      </c>
      <c r="E10498" t="s">
        <v>15872</v>
      </c>
      <c r="F10498" t="s">
        <v>15874</v>
      </c>
      <c r="G10498" t="s">
        <v>37</v>
      </c>
      <c r="H10498">
        <v>1987</v>
      </c>
      <c r="I10498">
        <v>26.6</v>
      </c>
      <c r="J10498">
        <v>14.1</v>
      </c>
      <c r="K10498">
        <v>63</v>
      </c>
      <c r="L10498">
        <v>19.5656</v>
      </c>
      <c r="M10498">
        <v>38.336010000000002</v>
      </c>
      <c r="N10498">
        <v>16.036010000000001</v>
      </c>
      <c r="O10498">
        <v>22.3</v>
      </c>
      <c r="P10498">
        <v>25.1</v>
      </c>
      <c r="Q10498">
        <v>24.93601</v>
      </c>
      <c r="R10498">
        <v>29.536010000000001</v>
      </c>
      <c r="S10498">
        <v>24.93601</v>
      </c>
      <c r="T10498">
        <v>821.91980000000001</v>
      </c>
      <c r="U10498">
        <v>258.63990000000001</v>
      </c>
      <c r="V10498">
        <v>0</v>
      </c>
      <c r="W10498">
        <v>123.6399</v>
      </c>
      <c r="X10498">
        <v>595.2799</v>
      </c>
      <c r="Y10498">
        <v>0</v>
      </c>
      <c r="Z10498">
        <v>84</v>
      </c>
      <c r="AA10498">
        <v>0</v>
      </c>
      <c r="AB10498">
        <v>2.3663859999999999</v>
      </c>
      <c r="AC10498">
        <v>7.8264290000000001</v>
      </c>
      <c r="AD10498">
        <v>1.1505209999999999</v>
      </c>
      <c r="AE10498">
        <v>0.60217080000000001</v>
      </c>
      <c r="AF10498">
        <v>476.82080000000002</v>
      </c>
      <c r="AG10498">
        <f>IFERROR(AH10498*0.1, "N/A")</f>
        <v>6.5906139999999995</v>
      </c>
      <c r="AH10498">
        <v>65.906139999999994</v>
      </c>
      <c r="AI10498">
        <v>152.97110000000001</v>
      </c>
      <c r="AJ10498">
        <v>20.895900000000001</v>
      </c>
      <c r="AK10498">
        <v>58.651879999999998</v>
      </c>
    </row>
    <row r="10499" spans="1:37" x14ac:dyDescent="0.3">
      <c r="A10499">
        <v>10498</v>
      </c>
      <c r="B10499">
        <v>12.2</v>
      </c>
      <c r="C10499">
        <v>13.8667</v>
      </c>
      <c r="D10499">
        <v>10.95</v>
      </c>
      <c r="E10499" t="s">
        <v>15875</v>
      </c>
      <c r="F10499" t="s">
        <v>15876</v>
      </c>
      <c r="G10499" t="s">
        <v>39</v>
      </c>
      <c r="H10499">
        <v>1990</v>
      </c>
      <c r="I10499">
        <v>26.352989999999998</v>
      </c>
      <c r="J10499">
        <v>14.132820000000001</v>
      </c>
      <c r="K10499">
        <v>62.328209999999999</v>
      </c>
      <c r="L10499">
        <v>19.583320000000001</v>
      </c>
      <c r="M10499">
        <v>38.150770000000001</v>
      </c>
      <c r="N10499">
        <v>15.664960000000001</v>
      </c>
      <c r="O10499">
        <v>22.485810000000001</v>
      </c>
      <c r="P10499">
        <v>24.788029999999999</v>
      </c>
      <c r="Q10499">
        <v>24.664960000000001</v>
      </c>
      <c r="R10499">
        <v>29.273849999999999</v>
      </c>
      <c r="S10499">
        <v>24.664960000000001</v>
      </c>
      <c r="T10499">
        <v>829.82050000000004</v>
      </c>
      <c r="U10499">
        <v>261.35039999999998</v>
      </c>
      <c r="V10499">
        <v>0</v>
      </c>
      <c r="W10499">
        <v>123</v>
      </c>
      <c r="X10499">
        <v>598.4701</v>
      </c>
      <c r="Y10499">
        <v>0</v>
      </c>
      <c r="Z10499">
        <v>86.350430000000003</v>
      </c>
      <c r="AA10499">
        <v>0</v>
      </c>
      <c r="AB10499">
        <v>2.6499239999999999</v>
      </c>
      <c r="AC10499">
        <v>32.400939999999999</v>
      </c>
      <c r="AD10499">
        <v>2.7616429999999998</v>
      </c>
      <c r="AE10499">
        <v>0.71379680000000001</v>
      </c>
      <c r="AF10499">
        <v>477.27010000000001</v>
      </c>
      <c r="AG10499">
        <f>IFERROR(AH10499*0.1, "N/A")</f>
        <v>6.6769229999999995</v>
      </c>
      <c r="AH10499">
        <v>66.769229999999993</v>
      </c>
      <c r="AI10499">
        <v>238.4436</v>
      </c>
      <c r="AJ10499">
        <v>18.791450000000001</v>
      </c>
      <c r="AK10499">
        <v>63.201709999999999</v>
      </c>
    </row>
    <row r="10500" spans="1:37" x14ac:dyDescent="0.3">
      <c r="A10500">
        <v>10499</v>
      </c>
      <c r="B10500">
        <v>64.599999999999994</v>
      </c>
      <c r="C10500">
        <v>13.8667</v>
      </c>
      <c r="D10500">
        <v>10.95</v>
      </c>
      <c r="E10500" t="s">
        <v>15875</v>
      </c>
      <c r="F10500" t="s">
        <v>15877</v>
      </c>
      <c r="G10500" t="s">
        <v>37</v>
      </c>
      <c r="H10500">
        <v>1990</v>
      </c>
      <c r="I10500">
        <v>26.352989999999998</v>
      </c>
      <c r="J10500">
        <v>14.132820000000001</v>
      </c>
      <c r="K10500">
        <v>62.328209999999999</v>
      </c>
      <c r="L10500">
        <v>19.583320000000001</v>
      </c>
      <c r="M10500">
        <v>38.150770000000001</v>
      </c>
      <c r="N10500">
        <v>15.664960000000001</v>
      </c>
      <c r="O10500">
        <v>22.485810000000001</v>
      </c>
      <c r="P10500">
        <v>24.788029999999999</v>
      </c>
      <c r="Q10500">
        <v>24.664960000000001</v>
      </c>
      <c r="R10500">
        <v>29.273849999999999</v>
      </c>
      <c r="S10500">
        <v>24.664960000000001</v>
      </c>
      <c r="T10500">
        <v>829.82050000000004</v>
      </c>
      <c r="U10500">
        <v>261.35039999999998</v>
      </c>
      <c r="V10500">
        <v>0</v>
      </c>
      <c r="W10500">
        <v>123</v>
      </c>
      <c r="X10500">
        <v>598.4701</v>
      </c>
      <c r="Y10500">
        <v>0</v>
      </c>
      <c r="Z10500">
        <v>86.350430000000003</v>
      </c>
      <c r="AA10500">
        <v>0</v>
      </c>
      <c r="AB10500">
        <v>2.6499239999999999</v>
      </c>
      <c r="AC10500">
        <v>32.400939999999999</v>
      </c>
      <c r="AD10500">
        <v>2.7616429999999998</v>
      </c>
      <c r="AE10500">
        <v>0.71379680000000001</v>
      </c>
      <c r="AF10500">
        <v>477.27010000000001</v>
      </c>
      <c r="AG10500">
        <f>IFERROR(AH10500*0.1, "N/A")</f>
        <v>6.6769229999999995</v>
      </c>
      <c r="AH10500">
        <v>66.769229999999993</v>
      </c>
      <c r="AI10500">
        <v>238.4436</v>
      </c>
      <c r="AJ10500">
        <v>18.791450000000001</v>
      </c>
      <c r="AK10500">
        <v>63.201709999999999</v>
      </c>
    </row>
    <row r="10501" spans="1:37" x14ac:dyDescent="0.3">
      <c r="A10501">
        <v>10500</v>
      </c>
      <c r="B10501">
        <v>0</v>
      </c>
      <c r="C10501">
        <v>13.8667</v>
      </c>
      <c r="D10501">
        <v>10.95</v>
      </c>
      <c r="E10501" t="s">
        <v>15875</v>
      </c>
      <c r="F10501" t="s">
        <v>15878</v>
      </c>
      <c r="G10501" t="s">
        <v>2420</v>
      </c>
      <c r="H10501">
        <v>1990</v>
      </c>
      <c r="I10501">
        <v>26.352989999999998</v>
      </c>
      <c r="J10501">
        <v>14.132820000000001</v>
      </c>
      <c r="K10501">
        <v>62.328209999999999</v>
      </c>
      <c r="L10501">
        <v>19.583320000000001</v>
      </c>
      <c r="M10501">
        <v>38.150770000000001</v>
      </c>
      <c r="N10501">
        <v>15.664960000000001</v>
      </c>
      <c r="O10501">
        <v>22.485810000000001</v>
      </c>
      <c r="P10501">
        <v>24.788029999999999</v>
      </c>
      <c r="Q10501">
        <v>24.664960000000001</v>
      </c>
      <c r="R10501">
        <v>29.273849999999999</v>
      </c>
      <c r="S10501">
        <v>24.664960000000001</v>
      </c>
      <c r="T10501">
        <v>829.82050000000004</v>
      </c>
      <c r="U10501">
        <v>261.35039999999998</v>
      </c>
      <c r="V10501">
        <v>0</v>
      </c>
      <c r="W10501">
        <v>123</v>
      </c>
      <c r="X10501">
        <v>598.4701</v>
      </c>
      <c r="Y10501">
        <v>0</v>
      </c>
      <c r="Z10501">
        <v>86.350430000000003</v>
      </c>
      <c r="AA10501">
        <v>0</v>
      </c>
      <c r="AB10501">
        <v>2.6499239999999999</v>
      </c>
      <c r="AC10501">
        <v>32.400939999999999</v>
      </c>
      <c r="AD10501">
        <v>2.7616429999999998</v>
      </c>
      <c r="AE10501">
        <v>0.71379680000000001</v>
      </c>
      <c r="AF10501">
        <v>477.27010000000001</v>
      </c>
      <c r="AG10501">
        <f>IFERROR(AH10501*0.1, "N/A")</f>
        <v>6.6769229999999995</v>
      </c>
      <c r="AH10501">
        <v>66.769229999999993</v>
      </c>
      <c r="AI10501">
        <v>238.4436</v>
      </c>
      <c r="AJ10501">
        <v>18.791450000000001</v>
      </c>
      <c r="AK10501">
        <v>63.201709999999999</v>
      </c>
    </row>
    <row r="10502" spans="1:37" x14ac:dyDescent="0.3">
      <c r="A10502">
        <v>10501</v>
      </c>
      <c r="B10502">
        <v>32.4</v>
      </c>
      <c r="C10502">
        <v>14.066599999999999</v>
      </c>
      <c r="D10502">
        <v>10.951000000000001</v>
      </c>
      <c r="E10502" t="s">
        <v>15879</v>
      </c>
      <c r="F10502" t="s">
        <v>15880</v>
      </c>
      <c r="G10502" t="s">
        <v>39</v>
      </c>
      <c r="H10502">
        <v>1985</v>
      </c>
      <c r="I10502">
        <v>25.14038</v>
      </c>
      <c r="J10502">
        <v>14.1</v>
      </c>
      <c r="K10502">
        <v>63</v>
      </c>
      <c r="L10502">
        <v>19.460190000000001</v>
      </c>
      <c r="M10502">
        <v>36.780749999999998</v>
      </c>
      <c r="N10502">
        <v>14.58075</v>
      </c>
      <c r="O10502">
        <v>22.2</v>
      </c>
      <c r="P10502">
        <v>23.580749999999998</v>
      </c>
      <c r="Q10502">
        <v>23.540369999999999</v>
      </c>
      <c r="R10502">
        <v>28.040369999999999</v>
      </c>
      <c r="S10502">
        <v>23.440370000000001</v>
      </c>
      <c r="T10502">
        <v>854.98130000000003</v>
      </c>
      <c r="U10502">
        <v>267.59629999999999</v>
      </c>
      <c r="V10502">
        <v>0</v>
      </c>
      <c r="W10502">
        <v>122.5963</v>
      </c>
      <c r="X10502">
        <v>616.78880000000004</v>
      </c>
      <c r="Y10502">
        <v>1</v>
      </c>
      <c r="Z10502">
        <v>89.596249999999998</v>
      </c>
      <c r="AA10502">
        <v>1</v>
      </c>
      <c r="AB10502">
        <v>2.9349189999999998</v>
      </c>
      <c r="AC10502">
        <v>0.33807150000000002</v>
      </c>
      <c r="AD10502">
        <v>1.668768</v>
      </c>
      <c r="AE10502">
        <v>0.69773439999999998</v>
      </c>
      <c r="AF10502">
        <v>727.71040000000005</v>
      </c>
      <c r="AG10502">
        <f>IFERROR(AH10502*0.1, "N/A")</f>
        <v>6.658944</v>
      </c>
      <c r="AH10502">
        <v>66.589439999999996</v>
      </c>
      <c r="AI10502">
        <v>164.4879</v>
      </c>
      <c r="AJ10502">
        <v>21.325379999999999</v>
      </c>
      <c r="AK10502">
        <v>59.505960000000002</v>
      </c>
    </row>
    <row r="10503" spans="1:37" x14ac:dyDescent="0.3">
      <c r="A10503">
        <v>10502</v>
      </c>
      <c r="B10503">
        <v>30.4</v>
      </c>
      <c r="C10503">
        <v>14.066599999999999</v>
      </c>
      <c r="D10503">
        <v>10.951000000000001</v>
      </c>
      <c r="E10503" t="s">
        <v>15879</v>
      </c>
      <c r="F10503" t="s">
        <v>15881</v>
      </c>
      <c r="G10503" t="s">
        <v>37</v>
      </c>
      <c r="H10503">
        <v>1985</v>
      </c>
      <c r="I10503">
        <v>25.14038</v>
      </c>
      <c r="J10503">
        <v>14.1</v>
      </c>
      <c r="K10503">
        <v>63</v>
      </c>
      <c r="L10503">
        <v>19.460190000000001</v>
      </c>
      <c r="M10503">
        <v>36.780749999999998</v>
      </c>
      <c r="N10503">
        <v>14.58075</v>
      </c>
      <c r="O10503">
        <v>22.2</v>
      </c>
      <c r="P10503">
        <v>23.580749999999998</v>
      </c>
      <c r="Q10503">
        <v>23.540369999999999</v>
      </c>
      <c r="R10503">
        <v>28.040369999999999</v>
      </c>
      <c r="S10503">
        <v>23.440370000000001</v>
      </c>
      <c r="T10503">
        <v>854.98130000000003</v>
      </c>
      <c r="U10503">
        <v>267.59629999999999</v>
      </c>
      <c r="V10503">
        <v>0</v>
      </c>
      <c r="W10503">
        <v>122.5963</v>
      </c>
      <c r="X10503">
        <v>616.78880000000004</v>
      </c>
      <c r="Y10503">
        <v>1</v>
      </c>
      <c r="Z10503">
        <v>89.596249999999998</v>
      </c>
      <c r="AA10503">
        <v>1</v>
      </c>
      <c r="AB10503">
        <v>2.9349189999999998</v>
      </c>
      <c r="AC10503">
        <v>0.33807150000000002</v>
      </c>
      <c r="AD10503">
        <v>1.668768</v>
      </c>
      <c r="AE10503">
        <v>0.69773439999999998</v>
      </c>
      <c r="AF10503">
        <v>727.71040000000005</v>
      </c>
      <c r="AG10503">
        <f>IFERROR(AH10503*0.1, "N/A")</f>
        <v>6.658944</v>
      </c>
      <c r="AH10503">
        <v>66.589439999999996</v>
      </c>
      <c r="AI10503">
        <v>164.4879</v>
      </c>
      <c r="AJ10503">
        <v>21.325379999999999</v>
      </c>
      <c r="AK10503">
        <v>59.505960000000002</v>
      </c>
    </row>
    <row r="10504" spans="1:37" x14ac:dyDescent="0.3">
      <c r="A10504">
        <v>10503</v>
      </c>
      <c r="B10504">
        <v>16.399999999999999</v>
      </c>
      <c r="C10504">
        <v>14.0665</v>
      </c>
      <c r="D10504">
        <v>10.966200000000001</v>
      </c>
      <c r="E10504" t="s">
        <v>15882</v>
      </c>
      <c r="F10504" t="s">
        <v>15883</v>
      </c>
      <c r="G10504" t="s">
        <v>39</v>
      </c>
      <c r="H10504">
        <v>1985</v>
      </c>
      <c r="I10504">
        <v>25.158249999999999</v>
      </c>
      <c r="J10504">
        <v>14.1122</v>
      </c>
      <c r="K10504">
        <v>63</v>
      </c>
      <c r="L10504">
        <v>19.383040000000001</v>
      </c>
      <c r="M10504">
        <v>36.858249999999998</v>
      </c>
      <c r="N10504">
        <v>14.6957</v>
      </c>
      <c r="O10504">
        <v>22.16254</v>
      </c>
      <c r="P10504">
        <v>23.63213</v>
      </c>
      <c r="Q10504">
        <v>23.61392</v>
      </c>
      <c r="R10504">
        <v>28.058250000000001</v>
      </c>
      <c r="S10504">
        <v>23.540030000000002</v>
      </c>
      <c r="T10504">
        <v>851.7749</v>
      </c>
      <c r="U10504">
        <v>267.41750000000002</v>
      </c>
      <c r="V10504">
        <v>0</v>
      </c>
      <c r="W10504">
        <v>123.32129999999999</v>
      </c>
      <c r="X10504">
        <v>615.09619999999995</v>
      </c>
      <c r="Y10504">
        <v>1</v>
      </c>
      <c r="Z10504">
        <v>88.678690000000003</v>
      </c>
      <c r="AA10504">
        <v>1</v>
      </c>
      <c r="AB10504">
        <v>13.93642</v>
      </c>
      <c r="AC10504">
        <v>0.23131740000000001</v>
      </c>
      <c r="AD10504">
        <v>4.7810870000000003</v>
      </c>
      <c r="AE10504">
        <v>0.70002629999999999</v>
      </c>
      <c r="AF10504">
        <v>712.46220000000005</v>
      </c>
      <c r="AG10504">
        <f>IFERROR(AH10504*0.1, "N/A")</f>
        <v>6.9</v>
      </c>
      <c r="AH10504">
        <v>69</v>
      </c>
      <c r="AI10504">
        <v>188.8794</v>
      </c>
      <c r="AJ10504">
        <v>21.97251</v>
      </c>
      <c r="AK10504">
        <v>58.706189999999999</v>
      </c>
    </row>
    <row r="10505" spans="1:37" x14ac:dyDescent="0.3">
      <c r="A10505">
        <v>10504</v>
      </c>
      <c r="B10505">
        <v>26.3</v>
      </c>
      <c r="C10505">
        <v>14.0665</v>
      </c>
      <c r="D10505">
        <v>10.966200000000001</v>
      </c>
      <c r="E10505" t="s">
        <v>15882</v>
      </c>
      <c r="F10505" t="s">
        <v>15884</v>
      </c>
      <c r="G10505" t="s">
        <v>37</v>
      </c>
      <c r="H10505">
        <v>1985</v>
      </c>
      <c r="I10505">
        <v>25.158249999999999</v>
      </c>
      <c r="J10505">
        <v>14.1122</v>
      </c>
      <c r="K10505">
        <v>63</v>
      </c>
      <c r="L10505">
        <v>19.383040000000001</v>
      </c>
      <c r="M10505">
        <v>36.858249999999998</v>
      </c>
      <c r="N10505">
        <v>14.6957</v>
      </c>
      <c r="O10505">
        <v>22.16254</v>
      </c>
      <c r="P10505">
        <v>23.63213</v>
      </c>
      <c r="Q10505">
        <v>23.61392</v>
      </c>
      <c r="R10505">
        <v>28.058250000000001</v>
      </c>
      <c r="S10505">
        <v>23.540030000000002</v>
      </c>
      <c r="T10505">
        <v>851.7749</v>
      </c>
      <c r="U10505">
        <v>267.41750000000002</v>
      </c>
      <c r="V10505">
        <v>0</v>
      </c>
      <c r="W10505">
        <v>123.32129999999999</v>
      </c>
      <c r="X10505">
        <v>615.09619999999995</v>
      </c>
      <c r="Y10505">
        <v>1</v>
      </c>
      <c r="Z10505">
        <v>88.678690000000003</v>
      </c>
      <c r="AA10505">
        <v>1</v>
      </c>
      <c r="AB10505">
        <v>13.93642</v>
      </c>
      <c r="AC10505">
        <v>0.23131740000000001</v>
      </c>
      <c r="AD10505">
        <v>4.7810870000000003</v>
      </c>
      <c r="AE10505">
        <v>0.70002629999999999</v>
      </c>
      <c r="AF10505">
        <v>712.46220000000005</v>
      </c>
      <c r="AG10505">
        <f>IFERROR(AH10505*0.1, "N/A")</f>
        <v>6.9</v>
      </c>
      <c r="AH10505">
        <v>69</v>
      </c>
      <c r="AI10505">
        <v>188.8794</v>
      </c>
      <c r="AJ10505">
        <v>21.97251</v>
      </c>
      <c r="AK10505">
        <v>58.706189999999999</v>
      </c>
    </row>
    <row r="10506" spans="1:37" x14ac:dyDescent="0.3">
      <c r="A10506">
        <v>10505</v>
      </c>
      <c r="B10506">
        <v>8.6999999999999993</v>
      </c>
      <c r="C10506">
        <v>14.5</v>
      </c>
      <c r="D10506">
        <v>10.966699999999999</v>
      </c>
      <c r="E10506" t="s">
        <v>15885</v>
      </c>
      <c r="F10506" t="s">
        <v>15886</v>
      </c>
      <c r="G10506" t="s">
        <v>39</v>
      </c>
      <c r="H10506">
        <v>1990</v>
      </c>
      <c r="I10506">
        <v>28.175689999999999</v>
      </c>
      <c r="J10506">
        <v>14.1</v>
      </c>
      <c r="K10506">
        <v>61</v>
      </c>
      <c r="L10506">
        <v>21.426870000000001</v>
      </c>
      <c r="M10506">
        <v>40.085439999999998</v>
      </c>
      <c r="N10506">
        <v>17.2</v>
      </c>
      <c r="O10506">
        <v>22.885439999999999</v>
      </c>
      <c r="P10506">
        <v>26.575690000000002</v>
      </c>
      <c r="Q10506">
        <v>27.790240000000001</v>
      </c>
      <c r="R10506">
        <v>31.3</v>
      </c>
      <c r="S10506">
        <v>26.2</v>
      </c>
      <c r="T10506">
        <v>732.4384</v>
      </c>
      <c r="U10506">
        <v>233.2432</v>
      </c>
      <c r="V10506">
        <v>0</v>
      </c>
      <c r="W10506">
        <v>126.2432</v>
      </c>
      <c r="X10506">
        <v>548.34079999999994</v>
      </c>
      <c r="Y10506">
        <v>0</v>
      </c>
      <c r="Z10506">
        <v>63.0976</v>
      </c>
      <c r="AA10506">
        <v>0</v>
      </c>
      <c r="AB10506">
        <v>7.3919389999999998</v>
      </c>
      <c r="AC10506">
        <v>2.2611409999999998E-2</v>
      </c>
      <c r="AD10506">
        <v>2.0272510000000001</v>
      </c>
      <c r="AE10506">
        <v>0.72419999999999995</v>
      </c>
      <c r="AF10506">
        <v>333.34249999999997</v>
      </c>
      <c r="AG10506">
        <f>IFERROR(AH10506*0.1, "N/A")</f>
        <v>6.3996580000000005</v>
      </c>
      <c r="AH10506">
        <v>63.996580000000002</v>
      </c>
      <c r="AI10506">
        <v>137.9085</v>
      </c>
      <c r="AJ10506">
        <v>17.75685</v>
      </c>
      <c r="AK10506">
        <v>65.482879999999994</v>
      </c>
    </row>
    <row r="10507" spans="1:37" x14ac:dyDescent="0.3">
      <c r="A10507">
        <v>10506</v>
      </c>
      <c r="B10507">
        <v>2.8</v>
      </c>
      <c r="C10507">
        <v>14.5</v>
      </c>
      <c r="D10507">
        <v>10.966699999999999</v>
      </c>
      <c r="E10507" t="s">
        <v>15885</v>
      </c>
      <c r="F10507" t="s">
        <v>15887</v>
      </c>
      <c r="G10507" t="s">
        <v>37</v>
      </c>
      <c r="H10507">
        <v>1990</v>
      </c>
      <c r="I10507">
        <v>28.175689999999999</v>
      </c>
      <c r="J10507">
        <v>14.1</v>
      </c>
      <c r="K10507">
        <v>61</v>
      </c>
      <c r="L10507">
        <v>21.426870000000001</v>
      </c>
      <c r="M10507">
        <v>40.085439999999998</v>
      </c>
      <c r="N10507">
        <v>17.2</v>
      </c>
      <c r="O10507">
        <v>22.885439999999999</v>
      </c>
      <c r="P10507">
        <v>26.575690000000002</v>
      </c>
      <c r="Q10507">
        <v>27.790240000000001</v>
      </c>
      <c r="R10507">
        <v>31.3</v>
      </c>
      <c r="S10507">
        <v>26.2</v>
      </c>
      <c r="T10507">
        <v>732.4384</v>
      </c>
      <c r="U10507">
        <v>233.2432</v>
      </c>
      <c r="V10507">
        <v>0</v>
      </c>
      <c r="W10507">
        <v>126.2432</v>
      </c>
      <c r="X10507">
        <v>548.34079999999994</v>
      </c>
      <c r="Y10507">
        <v>0</v>
      </c>
      <c r="Z10507">
        <v>63.0976</v>
      </c>
      <c r="AA10507">
        <v>0</v>
      </c>
      <c r="AB10507">
        <v>7.3919389999999998</v>
      </c>
      <c r="AC10507">
        <v>2.2611409999999998E-2</v>
      </c>
      <c r="AD10507">
        <v>2.0272510000000001</v>
      </c>
      <c r="AE10507">
        <v>0.72419999999999995</v>
      </c>
      <c r="AF10507">
        <v>333.34249999999997</v>
      </c>
      <c r="AG10507">
        <f>IFERROR(AH10507*0.1, "N/A")</f>
        <v>6.3996580000000005</v>
      </c>
      <c r="AH10507">
        <v>63.996580000000002</v>
      </c>
      <c r="AI10507">
        <v>137.9085</v>
      </c>
      <c r="AJ10507">
        <v>17.75685</v>
      </c>
      <c r="AK10507">
        <v>65.482879999999994</v>
      </c>
    </row>
    <row r="10508" spans="1:37" x14ac:dyDescent="0.3">
      <c r="A10508">
        <v>10507</v>
      </c>
      <c r="B10508">
        <v>1.4</v>
      </c>
      <c r="C10508">
        <v>14.5</v>
      </c>
      <c r="D10508">
        <v>10.966699999999999</v>
      </c>
      <c r="E10508" t="s">
        <v>15885</v>
      </c>
      <c r="F10508" t="s">
        <v>15888</v>
      </c>
      <c r="G10508" t="s">
        <v>2420</v>
      </c>
      <c r="H10508">
        <v>1990</v>
      </c>
      <c r="I10508">
        <v>28.175689999999999</v>
      </c>
      <c r="J10508">
        <v>14.1</v>
      </c>
      <c r="K10508">
        <v>61</v>
      </c>
      <c r="L10508">
        <v>21.426870000000001</v>
      </c>
      <c r="M10508">
        <v>40.085439999999998</v>
      </c>
      <c r="N10508">
        <v>17.2</v>
      </c>
      <c r="O10508">
        <v>22.885439999999999</v>
      </c>
      <c r="P10508">
        <v>26.575690000000002</v>
      </c>
      <c r="Q10508">
        <v>27.790240000000001</v>
      </c>
      <c r="R10508">
        <v>31.3</v>
      </c>
      <c r="S10508">
        <v>26.2</v>
      </c>
      <c r="T10508">
        <v>732.4384</v>
      </c>
      <c r="U10508">
        <v>233.2432</v>
      </c>
      <c r="V10508">
        <v>0</v>
      </c>
      <c r="W10508">
        <v>126.2432</v>
      </c>
      <c r="X10508">
        <v>548.34079999999994</v>
      </c>
      <c r="Y10508">
        <v>0</v>
      </c>
      <c r="Z10508">
        <v>63.0976</v>
      </c>
      <c r="AA10508">
        <v>0</v>
      </c>
      <c r="AB10508">
        <v>7.3919389999999998</v>
      </c>
      <c r="AC10508">
        <v>2.2611409999999998E-2</v>
      </c>
      <c r="AD10508">
        <v>2.0272510000000001</v>
      </c>
      <c r="AE10508">
        <v>0.72419999999999995</v>
      </c>
      <c r="AF10508">
        <v>333.34249999999997</v>
      </c>
      <c r="AG10508">
        <f>IFERROR(AH10508*0.1, "N/A")</f>
        <v>6.3996580000000005</v>
      </c>
      <c r="AH10508">
        <v>63.996580000000002</v>
      </c>
      <c r="AI10508">
        <v>137.9085</v>
      </c>
      <c r="AJ10508">
        <v>17.75685</v>
      </c>
      <c r="AK10508">
        <v>65.482879999999994</v>
      </c>
    </row>
    <row r="10509" spans="1:37" x14ac:dyDescent="0.3">
      <c r="A10509">
        <v>10508</v>
      </c>
      <c r="B10509">
        <v>50</v>
      </c>
      <c r="C10509">
        <v>15.0296</v>
      </c>
      <c r="D10509">
        <v>10.980499999999999</v>
      </c>
      <c r="E10509" t="s">
        <v>15889</v>
      </c>
      <c r="F10509" t="s">
        <v>15890</v>
      </c>
      <c r="G10509" t="s">
        <v>39</v>
      </c>
      <c r="H10509">
        <v>1995</v>
      </c>
      <c r="I10509">
        <v>28.2</v>
      </c>
      <c r="J10509">
        <v>14.2</v>
      </c>
      <c r="K10509">
        <v>60</v>
      </c>
      <c r="L10509">
        <v>22.11</v>
      </c>
      <c r="M10509">
        <v>40.200000000000003</v>
      </c>
      <c r="N10509">
        <v>16.8</v>
      </c>
      <c r="O10509">
        <v>23.4</v>
      </c>
      <c r="P10509">
        <v>26.7</v>
      </c>
      <c r="Q10509">
        <v>27.8</v>
      </c>
      <c r="R10509">
        <v>31.5</v>
      </c>
      <c r="S10509">
        <v>26.1</v>
      </c>
      <c r="T10509">
        <v>703</v>
      </c>
      <c r="U10509">
        <v>225</v>
      </c>
      <c r="V10509">
        <v>0</v>
      </c>
      <c r="W10509">
        <v>129</v>
      </c>
      <c r="X10509">
        <v>533</v>
      </c>
      <c r="Y10509">
        <v>0</v>
      </c>
      <c r="Z10509">
        <v>52</v>
      </c>
      <c r="AA10509">
        <v>0</v>
      </c>
      <c r="AB10509">
        <v>2.759182</v>
      </c>
      <c r="AC10509">
        <v>8.9703530000000004E-3</v>
      </c>
      <c r="AD10509">
        <v>1.015722</v>
      </c>
      <c r="AE10509">
        <v>0.68647409999999998</v>
      </c>
      <c r="AF10509">
        <v>312.65179999999998</v>
      </c>
      <c r="AG10509">
        <f>IFERROR(AH10509*0.1, "N/A")</f>
        <v>5.9811320000000006</v>
      </c>
      <c r="AH10509">
        <v>59.811320000000002</v>
      </c>
      <c r="AI10509">
        <v>143.64429999999999</v>
      </c>
      <c r="AJ10509">
        <v>26.46827</v>
      </c>
      <c r="AK10509">
        <v>53.531730000000003</v>
      </c>
    </row>
    <row r="10510" spans="1:37" x14ac:dyDescent="0.3">
      <c r="A10510">
        <v>10509</v>
      </c>
      <c r="B10510">
        <v>2</v>
      </c>
      <c r="C10510">
        <v>14.9556</v>
      </c>
      <c r="D10510">
        <v>10.987399999999999</v>
      </c>
      <c r="E10510" t="s">
        <v>15891</v>
      </c>
      <c r="F10510" t="s">
        <v>15892</v>
      </c>
      <c r="G10510" t="s">
        <v>39</v>
      </c>
      <c r="H10510">
        <v>1987</v>
      </c>
      <c r="I10510">
        <v>28.3</v>
      </c>
      <c r="J10510">
        <v>14.2</v>
      </c>
      <c r="K10510">
        <v>60</v>
      </c>
      <c r="L10510">
        <v>21.88</v>
      </c>
      <c r="M10510">
        <v>40.200000000000003</v>
      </c>
      <c r="N10510">
        <v>16.899999999999999</v>
      </c>
      <c r="O10510">
        <v>23.3</v>
      </c>
      <c r="P10510">
        <v>26.7</v>
      </c>
      <c r="Q10510">
        <v>27.8</v>
      </c>
      <c r="R10510">
        <v>31.5</v>
      </c>
      <c r="S10510">
        <v>26.2</v>
      </c>
      <c r="T10510">
        <v>703</v>
      </c>
      <c r="U10510">
        <v>224</v>
      </c>
      <c r="V10510">
        <v>0</v>
      </c>
      <c r="W10510">
        <v>129</v>
      </c>
      <c r="X10510">
        <v>533</v>
      </c>
      <c r="Y10510">
        <v>0</v>
      </c>
      <c r="Z10510">
        <v>53</v>
      </c>
      <c r="AA10510">
        <v>0</v>
      </c>
      <c r="AB10510">
        <v>0.21747639999999999</v>
      </c>
      <c r="AC10510">
        <v>0.1107524</v>
      </c>
      <c r="AD10510">
        <v>2.2464979999999999</v>
      </c>
      <c r="AE10510">
        <v>0.49689260000000002</v>
      </c>
      <c r="AF10510">
        <v>305.23160000000001</v>
      </c>
      <c r="AG10510">
        <f>IFERROR(AH10510*0.1, "N/A")</f>
        <v>6.7149230000000006</v>
      </c>
      <c r="AH10510">
        <v>67.149230000000003</v>
      </c>
      <c r="AI10510">
        <v>139.19030000000001</v>
      </c>
      <c r="AJ10510">
        <v>34.701540000000001</v>
      </c>
      <c r="AK10510">
        <v>45.298459999999999</v>
      </c>
    </row>
    <row r="10511" spans="1:37" x14ac:dyDescent="0.3">
      <c r="A10511">
        <v>10510</v>
      </c>
      <c r="B10511">
        <v>55.6</v>
      </c>
      <c r="C10511">
        <v>14.0688</v>
      </c>
      <c r="D10511">
        <v>10.989800000000001</v>
      </c>
      <c r="E10511" t="s">
        <v>15893</v>
      </c>
      <c r="F10511" t="s">
        <v>15894</v>
      </c>
      <c r="G10511" t="s">
        <v>39</v>
      </c>
      <c r="H10511">
        <v>1985</v>
      </c>
      <c r="I10511">
        <v>25.4</v>
      </c>
      <c r="J10511">
        <v>14.2</v>
      </c>
      <c r="K10511">
        <v>63</v>
      </c>
      <c r="L10511">
        <v>19.93</v>
      </c>
      <c r="M10511">
        <v>37.1</v>
      </c>
      <c r="N10511">
        <v>14.8</v>
      </c>
      <c r="O10511">
        <v>22.3</v>
      </c>
      <c r="P10511">
        <v>23.9</v>
      </c>
      <c r="Q10511">
        <v>23.8</v>
      </c>
      <c r="R10511">
        <v>28.4</v>
      </c>
      <c r="S10511">
        <v>23.7</v>
      </c>
      <c r="T10511">
        <v>841</v>
      </c>
      <c r="U10511">
        <v>265</v>
      </c>
      <c r="V10511">
        <v>0</v>
      </c>
      <c r="W10511">
        <v>123</v>
      </c>
      <c r="X10511">
        <v>610</v>
      </c>
      <c r="Y10511">
        <v>1</v>
      </c>
      <c r="Z10511">
        <v>86</v>
      </c>
      <c r="AA10511">
        <v>1</v>
      </c>
      <c r="AB10511">
        <v>141.3638</v>
      </c>
      <c r="AC10511">
        <v>1.359191E-2</v>
      </c>
      <c r="AD10511">
        <v>10.21246</v>
      </c>
      <c r="AE10511">
        <v>0.69464630000000005</v>
      </c>
      <c r="AF10511">
        <v>708.63810000000001</v>
      </c>
      <c r="AG10511">
        <f>IFERROR(AH10511*0.1, "N/A")</f>
        <v>6.8452830000000011</v>
      </c>
      <c r="AH10511">
        <v>68.452830000000006</v>
      </c>
      <c r="AI10511">
        <v>96.922150000000002</v>
      </c>
      <c r="AJ10511">
        <v>20.514579999999999</v>
      </c>
      <c r="AK10511">
        <v>59.485419999999998</v>
      </c>
    </row>
    <row r="10512" spans="1:37" x14ac:dyDescent="0.3">
      <c r="A10512">
        <v>10511</v>
      </c>
      <c r="B10512">
        <v>16.899999999999999</v>
      </c>
      <c r="C10512">
        <v>14.0688</v>
      </c>
      <c r="D10512">
        <v>10.989800000000001</v>
      </c>
      <c r="E10512" t="s">
        <v>15893</v>
      </c>
      <c r="F10512" t="s">
        <v>15895</v>
      </c>
      <c r="G10512" t="s">
        <v>37</v>
      </c>
      <c r="H10512">
        <v>1985</v>
      </c>
      <c r="I10512">
        <v>25.4</v>
      </c>
      <c r="J10512">
        <v>14.2</v>
      </c>
      <c r="K10512">
        <v>63</v>
      </c>
      <c r="L10512">
        <v>19.93</v>
      </c>
      <c r="M10512">
        <v>37.1</v>
      </c>
      <c r="N10512">
        <v>14.8</v>
      </c>
      <c r="O10512">
        <v>22.3</v>
      </c>
      <c r="P10512">
        <v>23.9</v>
      </c>
      <c r="Q10512">
        <v>23.8</v>
      </c>
      <c r="R10512">
        <v>28.4</v>
      </c>
      <c r="S10512">
        <v>23.7</v>
      </c>
      <c r="T10512">
        <v>841</v>
      </c>
      <c r="U10512">
        <v>265</v>
      </c>
      <c r="V10512">
        <v>0</v>
      </c>
      <c r="W10512">
        <v>123</v>
      </c>
      <c r="X10512">
        <v>610</v>
      </c>
      <c r="Y10512">
        <v>1</v>
      </c>
      <c r="Z10512">
        <v>86</v>
      </c>
      <c r="AA10512">
        <v>1</v>
      </c>
      <c r="AB10512">
        <v>141.3638</v>
      </c>
      <c r="AC10512">
        <v>1.359191E-2</v>
      </c>
      <c r="AD10512">
        <v>10.21246</v>
      </c>
      <c r="AE10512">
        <v>0.69464630000000005</v>
      </c>
      <c r="AF10512">
        <v>708.63810000000001</v>
      </c>
      <c r="AG10512">
        <f>IFERROR(AH10512*0.1, "N/A")</f>
        <v>6.8452830000000011</v>
      </c>
      <c r="AH10512">
        <v>68.452830000000006</v>
      </c>
      <c r="AI10512">
        <v>96.922150000000002</v>
      </c>
      <c r="AJ10512">
        <v>20.514579999999999</v>
      </c>
      <c r="AK10512">
        <v>59.485419999999998</v>
      </c>
    </row>
    <row r="10513" spans="1:37" x14ac:dyDescent="0.3">
      <c r="A10513">
        <v>10512</v>
      </c>
      <c r="B10513">
        <v>1.5</v>
      </c>
      <c r="C10513">
        <v>14.9922</v>
      </c>
      <c r="D10513">
        <v>11.023</v>
      </c>
      <c r="E10513" t="s">
        <v>15896</v>
      </c>
      <c r="F10513" t="s">
        <v>15897</v>
      </c>
      <c r="G10513" t="s">
        <v>39</v>
      </c>
      <c r="H10513">
        <v>1987</v>
      </c>
      <c r="I10513">
        <v>28.2</v>
      </c>
      <c r="J10513">
        <v>14.3</v>
      </c>
      <c r="K10513">
        <v>60</v>
      </c>
      <c r="L10513">
        <v>22.14443</v>
      </c>
      <c r="M10513">
        <v>40.200000000000003</v>
      </c>
      <c r="N10513">
        <v>16.7</v>
      </c>
      <c r="O10513">
        <v>23.5</v>
      </c>
      <c r="P10513">
        <v>26.7</v>
      </c>
      <c r="Q10513">
        <v>27.7</v>
      </c>
      <c r="R10513">
        <v>31.5</v>
      </c>
      <c r="S10513">
        <v>26.1</v>
      </c>
      <c r="T10513">
        <v>695.30529999999999</v>
      </c>
      <c r="U10513">
        <v>223</v>
      </c>
      <c r="V10513">
        <v>0</v>
      </c>
      <c r="W10513">
        <v>129.38939999999999</v>
      </c>
      <c r="X10513">
        <v>529</v>
      </c>
      <c r="Y10513">
        <v>0</v>
      </c>
      <c r="Z10513">
        <v>51.305320000000002</v>
      </c>
      <c r="AA10513">
        <v>0</v>
      </c>
      <c r="AB10513">
        <v>0.8175017</v>
      </c>
      <c r="AC10513">
        <v>8.5228140000000001E-3</v>
      </c>
      <c r="AD10513">
        <v>0.87828340000000005</v>
      </c>
      <c r="AE10513">
        <v>0.41642170000000001</v>
      </c>
      <c r="AF10513">
        <v>305.06</v>
      </c>
      <c r="AG10513">
        <f>IFERROR(AH10513*0.1, "N/A")</f>
        <v>6.4967410000000001</v>
      </c>
      <c r="AH10513">
        <v>64.967410000000001</v>
      </c>
      <c r="AI10513">
        <v>202.5675</v>
      </c>
      <c r="AJ10513">
        <v>30.885079999999999</v>
      </c>
      <c r="AK10513">
        <v>42.31561</v>
      </c>
    </row>
    <row r="10514" spans="1:37" x14ac:dyDescent="0.3">
      <c r="A10514">
        <v>10513</v>
      </c>
      <c r="B10514">
        <v>33.799999999999997</v>
      </c>
      <c r="C10514">
        <v>14.15</v>
      </c>
      <c r="D10514">
        <v>11.0444</v>
      </c>
      <c r="E10514" t="s">
        <v>15898</v>
      </c>
      <c r="F10514" t="s">
        <v>15899</v>
      </c>
      <c r="G10514" t="s">
        <v>39</v>
      </c>
      <c r="H10514">
        <v>1990</v>
      </c>
      <c r="I10514">
        <v>27.1</v>
      </c>
      <c r="J10514">
        <v>14.2</v>
      </c>
      <c r="K10514">
        <v>62</v>
      </c>
      <c r="L10514">
        <v>20.414660000000001</v>
      </c>
      <c r="M10514">
        <v>39</v>
      </c>
      <c r="N10514">
        <v>16.271229999999999</v>
      </c>
      <c r="O10514">
        <v>22.728770000000001</v>
      </c>
      <c r="P10514">
        <v>25.6</v>
      </c>
      <c r="Q10514">
        <v>25.4</v>
      </c>
      <c r="R10514">
        <v>30.128769999999999</v>
      </c>
      <c r="S10514">
        <v>25.2</v>
      </c>
      <c r="T10514">
        <v>777.42470000000003</v>
      </c>
      <c r="U10514">
        <v>248.7123</v>
      </c>
      <c r="V10514">
        <v>0</v>
      </c>
      <c r="W10514">
        <v>126.7123</v>
      </c>
      <c r="X10514">
        <v>573.71230000000003</v>
      </c>
      <c r="Y10514">
        <v>0</v>
      </c>
      <c r="Z10514">
        <v>73</v>
      </c>
      <c r="AA10514">
        <v>0</v>
      </c>
      <c r="AB10514">
        <v>7.2667849999999996</v>
      </c>
      <c r="AC10514">
        <v>3.329758E-2</v>
      </c>
      <c r="AD10514">
        <v>1.175403</v>
      </c>
      <c r="AE10514">
        <v>0.79130449999999997</v>
      </c>
      <c r="AF10514">
        <v>437.976</v>
      </c>
      <c r="AG10514">
        <f>IFERROR(AH10514*0.1, "N/A")</f>
        <v>6.5436639999999997</v>
      </c>
      <c r="AH10514">
        <v>65.436639999999997</v>
      </c>
      <c r="AI10514">
        <v>90.05932</v>
      </c>
      <c r="AJ10514">
        <v>19.851030000000002</v>
      </c>
      <c r="AK10514">
        <v>64.195210000000003</v>
      </c>
    </row>
    <row r="10515" spans="1:37" x14ac:dyDescent="0.3">
      <c r="A10515">
        <v>10514</v>
      </c>
      <c r="B10515">
        <v>1.7</v>
      </c>
      <c r="C10515">
        <v>14.15</v>
      </c>
      <c r="D10515">
        <v>11.0444</v>
      </c>
      <c r="E10515" t="s">
        <v>15898</v>
      </c>
      <c r="F10515" t="s">
        <v>15900</v>
      </c>
      <c r="G10515" t="s">
        <v>37</v>
      </c>
      <c r="H10515">
        <v>1990</v>
      </c>
      <c r="I10515">
        <v>27.1</v>
      </c>
      <c r="J10515">
        <v>14.2</v>
      </c>
      <c r="K10515">
        <v>62</v>
      </c>
      <c r="L10515">
        <v>20.414660000000001</v>
      </c>
      <c r="M10515">
        <v>39</v>
      </c>
      <c r="N10515">
        <v>16.271229999999999</v>
      </c>
      <c r="O10515">
        <v>22.728770000000001</v>
      </c>
      <c r="P10515">
        <v>25.6</v>
      </c>
      <c r="Q10515">
        <v>25.4</v>
      </c>
      <c r="R10515">
        <v>30.128769999999999</v>
      </c>
      <c r="S10515">
        <v>25.2</v>
      </c>
      <c r="T10515">
        <v>777.42470000000003</v>
      </c>
      <c r="U10515">
        <v>248.7123</v>
      </c>
      <c r="V10515">
        <v>0</v>
      </c>
      <c r="W10515">
        <v>126.7123</v>
      </c>
      <c r="X10515">
        <v>573.71230000000003</v>
      </c>
      <c r="Y10515">
        <v>0</v>
      </c>
      <c r="Z10515">
        <v>73</v>
      </c>
      <c r="AA10515">
        <v>0</v>
      </c>
      <c r="AB10515">
        <v>7.2667849999999996</v>
      </c>
      <c r="AC10515">
        <v>3.329758E-2</v>
      </c>
      <c r="AD10515">
        <v>1.175403</v>
      </c>
      <c r="AE10515">
        <v>0.79130449999999997</v>
      </c>
      <c r="AF10515">
        <v>437.976</v>
      </c>
      <c r="AG10515">
        <f>IFERROR(AH10515*0.1, "N/A")</f>
        <v>6.5436639999999997</v>
      </c>
      <c r="AH10515">
        <v>65.436639999999997</v>
      </c>
      <c r="AI10515">
        <v>90.05932</v>
      </c>
      <c r="AJ10515">
        <v>19.851030000000002</v>
      </c>
      <c r="AK10515">
        <v>64.195210000000003</v>
      </c>
    </row>
    <row r="10516" spans="1:37" x14ac:dyDescent="0.3">
      <c r="A10516">
        <v>10515</v>
      </c>
      <c r="B10516">
        <v>1.7</v>
      </c>
      <c r="C10516">
        <v>14.15</v>
      </c>
      <c r="D10516">
        <v>11.0444</v>
      </c>
      <c r="E10516" t="s">
        <v>15898</v>
      </c>
      <c r="F10516" t="s">
        <v>15901</v>
      </c>
      <c r="G10516" t="s">
        <v>2420</v>
      </c>
      <c r="H10516">
        <v>1990</v>
      </c>
      <c r="I10516">
        <v>27.1</v>
      </c>
      <c r="J10516">
        <v>14.2</v>
      </c>
      <c r="K10516">
        <v>62</v>
      </c>
      <c r="L10516">
        <v>20.414660000000001</v>
      </c>
      <c r="M10516">
        <v>39</v>
      </c>
      <c r="N10516">
        <v>16.271229999999999</v>
      </c>
      <c r="O10516">
        <v>22.728770000000001</v>
      </c>
      <c r="P10516">
        <v>25.6</v>
      </c>
      <c r="Q10516">
        <v>25.4</v>
      </c>
      <c r="R10516">
        <v>30.128769999999999</v>
      </c>
      <c r="S10516">
        <v>25.2</v>
      </c>
      <c r="T10516">
        <v>777.42470000000003</v>
      </c>
      <c r="U10516">
        <v>248.7123</v>
      </c>
      <c r="V10516">
        <v>0</v>
      </c>
      <c r="W10516">
        <v>126.7123</v>
      </c>
      <c r="X10516">
        <v>573.71230000000003</v>
      </c>
      <c r="Y10516">
        <v>0</v>
      </c>
      <c r="Z10516">
        <v>73</v>
      </c>
      <c r="AA10516">
        <v>0</v>
      </c>
      <c r="AB10516">
        <v>7.2667849999999996</v>
      </c>
      <c r="AC10516">
        <v>3.329758E-2</v>
      </c>
      <c r="AD10516">
        <v>1.175403</v>
      </c>
      <c r="AE10516">
        <v>0.79130449999999997</v>
      </c>
      <c r="AF10516">
        <v>437.976</v>
      </c>
      <c r="AG10516">
        <f>IFERROR(AH10516*0.1, "N/A")</f>
        <v>6.5436639999999997</v>
      </c>
      <c r="AH10516">
        <v>65.436639999999997</v>
      </c>
      <c r="AI10516">
        <v>90.05932</v>
      </c>
      <c r="AJ10516">
        <v>19.851030000000002</v>
      </c>
      <c r="AK10516">
        <v>64.195210000000003</v>
      </c>
    </row>
    <row r="10517" spans="1:37" x14ac:dyDescent="0.3">
      <c r="A10517">
        <v>10516</v>
      </c>
      <c r="B10517">
        <v>15.6</v>
      </c>
      <c r="C10517">
        <v>14.113899999999999</v>
      </c>
      <c r="D10517">
        <v>11.088900000000001</v>
      </c>
      <c r="E10517" t="s">
        <v>15902</v>
      </c>
      <c r="F10517" t="s">
        <v>15903</v>
      </c>
      <c r="G10517" t="s">
        <v>39</v>
      </c>
      <c r="H10517">
        <v>1990</v>
      </c>
      <c r="I10517">
        <v>27.1</v>
      </c>
      <c r="J10517">
        <v>14.3</v>
      </c>
      <c r="K10517">
        <v>62</v>
      </c>
      <c r="L10517">
        <v>20.100000000000001</v>
      </c>
      <c r="M10517">
        <v>39</v>
      </c>
      <c r="N10517">
        <v>16.2</v>
      </c>
      <c r="O10517">
        <v>22.8</v>
      </c>
      <c r="P10517">
        <v>25.7</v>
      </c>
      <c r="Q10517">
        <v>25.3</v>
      </c>
      <c r="R10517">
        <v>30.1</v>
      </c>
      <c r="S10517">
        <v>25.2</v>
      </c>
      <c r="T10517">
        <v>770</v>
      </c>
      <c r="U10517">
        <v>248</v>
      </c>
      <c r="V10517">
        <v>0</v>
      </c>
      <c r="W10517">
        <v>126</v>
      </c>
      <c r="X10517">
        <v>570</v>
      </c>
      <c r="Y10517">
        <v>0</v>
      </c>
      <c r="Z10517">
        <v>71</v>
      </c>
      <c r="AA10517">
        <v>0</v>
      </c>
      <c r="AB10517">
        <v>8.3653580000000005</v>
      </c>
      <c r="AC10517">
        <v>4.8029080000000002E-2</v>
      </c>
      <c r="AD10517">
        <v>2.5893280000000001</v>
      </c>
      <c r="AE10517">
        <v>0.58587029999999995</v>
      </c>
      <c r="AF10517">
        <v>407.33960000000002</v>
      </c>
      <c r="AG10517">
        <f>IFERROR(AH10517*0.1, "N/A")</f>
        <v>6.9223550000000005</v>
      </c>
      <c r="AH10517">
        <v>69.223550000000003</v>
      </c>
      <c r="AI10517">
        <v>72.033630000000002</v>
      </c>
      <c r="AJ10517">
        <v>16.075089999999999</v>
      </c>
      <c r="AK10517">
        <v>67.924909999999997</v>
      </c>
    </row>
    <row r="10518" spans="1:37" x14ac:dyDescent="0.3">
      <c r="A10518">
        <v>10517</v>
      </c>
      <c r="B10518">
        <v>0</v>
      </c>
      <c r="C10518">
        <v>14.113899999999999</v>
      </c>
      <c r="D10518">
        <v>11.088900000000001</v>
      </c>
      <c r="E10518" t="s">
        <v>15902</v>
      </c>
      <c r="F10518" t="s">
        <v>15904</v>
      </c>
      <c r="G10518" t="s">
        <v>37</v>
      </c>
      <c r="H10518">
        <v>1990</v>
      </c>
      <c r="I10518">
        <v>27.1</v>
      </c>
      <c r="J10518">
        <v>14.3</v>
      </c>
      <c r="K10518">
        <v>62</v>
      </c>
      <c r="L10518">
        <v>20.100000000000001</v>
      </c>
      <c r="M10518">
        <v>39</v>
      </c>
      <c r="N10518">
        <v>16.2</v>
      </c>
      <c r="O10518">
        <v>22.8</v>
      </c>
      <c r="P10518">
        <v>25.7</v>
      </c>
      <c r="Q10518">
        <v>25.3</v>
      </c>
      <c r="R10518">
        <v>30.1</v>
      </c>
      <c r="S10518">
        <v>25.2</v>
      </c>
      <c r="T10518">
        <v>770</v>
      </c>
      <c r="U10518">
        <v>248</v>
      </c>
      <c r="V10518">
        <v>0</v>
      </c>
      <c r="W10518">
        <v>126</v>
      </c>
      <c r="X10518">
        <v>570</v>
      </c>
      <c r="Y10518">
        <v>0</v>
      </c>
      <c r="Z10518">
        <v>71</v>
      </c>
      <c r="AA10518">
        <v>0</v>
      </c>
      <c r="AB10518">
        <v>8.3653580000000005</v>
      </c>
      <c r="AC10518">
        <v>4.8029080000000002E-2</v>
      </c>
      <c r="AD10518">
        <v>2.5893280000000001</v>
      </c>
      <c r="AE10518">
        <v>0.58587029999999995</v>
      </c>
      <c r="AF10518">
        <v>407.33960000000002</v>
      </c>
      <c r="AG10518">
        <f>IFERROR(AH10518*0.1, "N/A")</f>
        <v>6.9223550000000005</v>
      </c>
      <c r="AH10518">
        <v>69.223550000000003</v>
      </c>
      <c r="AI10518">
        <v>72.033630000000002</v>
      </c>
      <c r="AJ10518">
        <v>16.075089999999999</v>
      </c>
      <c r="AK10518">
        <v>67.924909999999997</v>
      </c>
    </row>
    <row r="10519" spans="1:37" x14ac:dyDescent="0.3">
      <c r="A10519">
        <v>10518</v>
      </c>
      <c r="B10519">
        <v>0</v>
      </c>
      <c r="C10519">
        <v>14.113899999999999</v>
      </c>
      <c r="D10519">
        <v>11.088900000000001</v>
      </c>
      <c r="E10519" t="s">
        <v>15902</v>
      </c>
      <c r="F10519" t="s">
        <v>15905</v>
      </c>
      <c r="G10519" t="s">
        <v>2420</v>
      </c>
      <c r="H10519">
        <v>1990</v>
      </c>
      <c r="I10519">
        <v>27.1</v>
      </c>
      <c r="J10519">
        <v>14.3</v>
      </c>
      <c r="K10519">
        <v>62</v>
      </c>
      <c r="L10519">
        <v>20.100000000000001</v>
      </c>
      <c r="M10519">
        <v>39</v>
      </c>
      <c r="N10519">
        <v>16.2</v>
      </c>
      <c r="O10519">
        <v>22.8</v>
      </c>
      <c r="P10519">
        <v>25.7</v>
      </c>
      <c r="Q10519">
        <v>25.3</v>
      </c>
      <c r="R10519">
        <v>30.1</v>
      </c>
      <c r="S10519">
        <v>25.2</v>
      </c>
      <c r="T10519">
        <v>770</v>
      </c>
      <c r="U10519">
        <v>248</v>
      </c>
      <c r="V10519">
        <v>0</v>
      </c>
      <c r="W10519">
        <v>126</v>
      </c>
      <c r="X10519">
        <v>570</v>
      </c>
      <c r="Y10519">
        <v>0</v>
      </c>
      <c r="Z10519">
        <v>71</v>
      </c>
      <c r="AA10519">
        <v>0</v>
      </c>
      <c r="AB10519">
        <v>8.3653580000000005</v>
      </c>
      <c r="AC10519">
        <v>4.8029080000000002E-2</v>
      </c>
      <c r="AD10519">
        <v>2.5893280000000001</v>
      </c>
      <c r="AE10519">
        <v>0.58587029999999995</v>
      </c>
      <c r="AF10519">
        <v>407.33960000000002</v>
      </c>
      <c r="AG10519">
        <f>IFERROR(AH10519*0.1, "N/A")</f>
        <v>6.9223550000000005</v>
      </c>
      <c r="AH10519">
        <v>69.223550000000003</v>
      </c>
      <c r="AI10519">
        <v>72.033630000000002</v>
      </c>
      <c r="AJ10519">
        <v>16.075089999999999</v>
      </c>
      <c r="AK10519">
        <v>67.924909999999997</v>
      </c>
    </row>
    <row r="10520" spans="1:37" x14ac:dyDescent="0.3">
      <c r="A10520">
        <v>10519</v>
      </c>
      <c r="B10520">
        <v>26.4</v>
      </c>
      <c r="C10520">
        <v>14.033300000000001</v>
      </c>
      <c r="D10520">
        <v>11.1167</v>
      </c>
      <c r="E10520" t="s">
        <v>15906</v>
      </c>
      <c r="F10520" t="s">
        <v>15907</v>
      </c>
      <c r="G10520" t="s">
        <v>39</v>
      </c>
      <c r="H10520">
        <v>1990</v>
      </c>
      <c r="I10520">
        <v>27.13533</v>
      </c>
      <c r="J10520">
        <v>14.3</v>
      </c>
      <c r="K10520">
        <v>62</v>
      </c>
      <c r="L10520">
        <v>20.317270000000001</v>
      </c>
      <c r="M10520">
        <v>39.1</v>
      </c>
      <c r="N10520">
        <v>16.100000000000001</v>
      </c>
      <c r="O10520">
        <v>23</v>
      </c>
      <c r="P10520">
        <v>25.8</v>
      </c>
      <c r="Q10520">
        <v>26.751460000000002</v>
      </c>
      <c r="R10520">
        <v>30.17118</v>
      </c>
      <c r="S10520">
        <v>25.215610000000002</v>
      </c>
      <c r="T10520">
        <v>766.21100000000001</v>
      </c>
      <c r="U10520">
        <v>247.80269999999999</v>
      </c>
      <c r="V10520">
        <v>0</v>
      </c>
      <c r="W10520">
        <v>127.8027</v>
      </c>
      <c r="X10520">
        <v>567.60550000000001</v>
      </c>
      <c r="Y10520">
        <v>0</v>
      </c>
      <c r="Z10520">
        <v>69.80274</v>
      </c>
      <c r="AA10520">
        <v>0</v>
      </c>
      <c r="AB10520">
        <v>3.4511090000000002</v>
      </c>
      <c r="AC10520">
        <v>8.4913430000000002E-3</v>
      </c>
      <c r="AD10520">
        <v>2.9702109999999999</v>
      </c>
      <c r="AE10520">
        <v>0.59369740000000004</v>
      </c>
      <c r="AF10520">
        <v>377.50599999999997</v>
      </c>
      <c r="AG10520">
        <f>IFERROR(AH10520*0.1, "N/A")</f>
        <v>7.4</v>
      </c>
      <c r="AH10520">
        <v>74</v>
      </c>
      <c r="AI10520">
        <v>202.17670000000001</v>
      </c>
      <c r="AJ10520">
        <v>23.646660000000001</v>
      </c>
      <c r="AK10520">
        <v>59.353340000000003</v>
      </c>
    </row>
    <row r="10521" spans="1:37" x14ac:dyDescent="0.3">
      <c r="A10521">
        <v>10520</v>
      </c>
      <c r="B10521">
        <v>2.1</v>
      </c>
      <c r="C10521">
        <v>14.033300000000001</v>
      </c>
      <c r="D10521">
        <v>11.1167</v>
      </c>
      <c r="E10521" t="s">
        <v>15906</v>
      </c>
      <c r="F10521" t="s">
        <v>15908</v>
      </c>
      <c r="G10521" t="s">
        <v>37</v>
      </c>
      <c r="H10521">
        <v>1990</v>
      </c>
      <c r="I10521">
        <v>27.13533</v>
      </c>
      <c r="J10521">
        <v>14.3</v>
      </c>
      <c r="K10521">
        <v>62</v>
      </c>
      <c r="L10521">
        <v>20.317270000000001</v>
      </c>
      <c r="M10521">
        <v>39.1</v>
      </c>
      <c r="N10521">
        <v>16.100000000000001</v>
      </c>
      <c r="O10521">
        <v>23</v>
      </c>
      <c r="P10521">
        <v>25.8</v>
      </c>
      <c r="Q10521">
        <v>26.751460000000002</v>
      </c>
      <c r="R10521">
        <v>30.17118</v>
      </c>
      <c r="S10521">
        <v>25.215610000000002</v>
      </c>
      <c r="T10521">
        <v>766.21100000000001</v>
      </c>
      <c r="U10521">
        <v>247.80269999999999</v>
      </c>
      <c r="V10521">
        <v>0</v>
      </c>
      <c r="W10521">
        <v>127.8027</v>
      </c>
      <c r="X10521">
        <v>567.60550000000001</v>
      </c>
      <c r="Y10521">
        <v>0</v>
      </c>
      <c r="Z10521">
        <v>69.80274</v>
      </c>
      <c r="AA10521">
        <v>0</v>
      </c>
      <c r="AB10521">
        <v>3.4511090000000002</v>
      </c>
      <c r="AC10521">
        <v>8.4913430000000002E-3</v>
      </c>
      <c r="AD10521">
        <v>2.9702109999999999</v>
      </c>
      <c r="AE10521">
        <v>0.59369740000000004</v>
      </c>
      <c r="AF10521">
        <v>377.50599999999997</v>
      </c>
      <c r="AG10521">
        <f>IFERROR(AH10521*0.1, "N/A")</f>
        <v>7.4</v>
      </c>
      <c r="AH10521">
        <v>74</v>
      </c>
      <c r="AI10521">
        <v>202.17670000000001</v>
      </c>
      <c r="AJ10521">
        <v>23.646660000000001</v>
      </c>
      <c r="AK10521">
        <v>59.353340000000003</v>
      </c>
    </row>
    <row r="10522" spans="1:37" x14ac:dyDescent="0.3">
      <c r="A10522">
        <v>10521</v>
      </c>
      <c r="B10522">
        <v>0</v>
      </c>
      <c r="C10522">
        <v>14.033300000000001</v>
      </c>
      <c r="D10522">
        <v>11.1167</v>
      </c>
      <c r="E10522" t="s">
        <v>15906</v>
      </c>
      <c r="F10522" t="s">
        <v>15909</v>
      </c>
      <c r="G10522" t="s">
        <v>2420</v>
      </c>
      <c r="H10522">
        <v>1990</v>
      </c>
      <c r="I10522">
        <v>27.13533</v>
      </c>
      <c r="J10522">
        <v>14.3</v>
      </c>
      <c r="K10522">
        <v>62</v>
      </c>
      <c r="L10522">
        <v>20.317270000000001</v>
      </c>
      <c r="M10522">
        <v>39.1</v>
      </c>
      <c r="N10522">
        <v>16.100000000000001</v>
      </c>
      <c r="O10522">
        <v>23</v>
      </c>
      <c r="P10522">
        <v>25.8</v>
      </c>
      <c r="Q10522">
        <v>26.751460000000002</v>
      </c>
      <c r="R10522">
        <v>30.17118</v>
      </c>
      <c r="S10522">
        <v>25.215610000000002</v>
      </c>
      <c r="T10522">
        <v>766.21100000000001</v>
      </c>
      <c r="U10522">
        <v>247.80269999999999</v>
      </c>
      <c r="V10522">
        <v>0</v>
      </c>
      <c r="W10522">
        <v>127.8027</v>
      </c>
      <c r="X10522">
        <v>567.60550000000001</v>
      </c>
      <c r="Y10522">
        <v>0</v>
      </c>
      <c r="Z10522">
        <v>69.80274</v>
      </c>
      <c r="AA10522">
        <v>0</v>
      </c>
      <c r="AB10522">
        <v>3.4511090000000002</v>
      </c>
      <c r="AC10522">
        <v>8.4913430000000002E-3</v>
      </c>
      <c r="AD10522">
        <v>2.9702109999999999</v>
      </c>
      <c r="AE10522">
        <v>0.59369740000000004</v>
      </c>
      <c r="AF10522">
        <v>377.50599999999997</v>
      </c>
      <c r="AG10522">
        <f>IFERROR(AH10522*0.1, "N/A")</f>
        <v>7.4</v>
      </c>
      <c r="AH10522">
        <v>74</v>
      </c>
      <c r="AI10522">
        <v>202.17670000000001</v>
      </c>
      <c r="AJ10522">
        <v>23.646660000000001</v>
      </c>
      <c r="AK10522">
        <v>59.353340000000003</v>
      </c>
    </row>
    <row r="10523" spans="1:37" x14ac:dyDescent="0.3">
      <c r="A10523">
        <v>10522</v>
      </c>
      <c r="B10523">
        <v>3.7</v>
      </c>
      <c r="C10523">
        <v>14.949</v>
      </c>
      <c r="D10523">
        <v>11.118</v>
      </c>
      <c r="E10523" t="s">
        <v>15910</v>
      </c>
      <c r="F10523" t="s">
        <v>15911</v>
      </c>
      <c r="G10523" t="s">
        <v>39</v>
      </c>
      <c r="H10523">
        <v>1987</v>
      </c>
      <c r="I10523">
        <v>28.2</v>
      </c>
      <c r="J10523">
        <v>14.4</v>
      </c>
      <c r="K10523">
        <v>60</v>
      </c>
      <c r="L10523">
        <v>22.57986</v>
      </c>
      <c r="M10523">
        <v>40.299999999999997</v>
      </c>
      <c r="N10523">
        <v>16.600000000000001</v>
      </c>
      <c r="O10523">
        <v>23.7</v>
      </c>
      <c r="P10523">
        <v>26.700340000000001</v>
      </c>
      <c r="Q10523">
        <v>27.7</v>
      </c>
      <c r="R10523">
        <v>31.5</v>
      </c>
      <c r="S10523">
        <v>26</v>
      </c>
      <c r="T10523">
        <v>680.9932</v>
      </c>
      <c r="U10523">
        <v>218</v>
      </c>
      <c r="V10523">
        <v>0</v>
      </c>
      <c r="W10523">
        <v>130</v>
      </c>
      <c r="X10523">
        <v>519</v>
      </c>
      <c r="Y10523">
        <v>0</v>
      </c>
      <c r="Z10523">
        <v>50.99315</v>
      </c>
      <c r="AA10523">
        <v>0</v>
      </c>
      <c r="AB10523">
        <v>0.27618920000000002</v>
      </c>
      <c r="AC10523">
        <v>3.2728960000000001E-2</v>
      </c>
      <c r="AD10523">
        <v>0.80534110000000003</v>
      </c>
      <c r="AE10523">
        <v>0.50642770000000004</v>
      </c>
      <c r="AF10523">
        <v>305.3322</v>
      </c>
      <c r="AG10523">
        <f>IFERROR(AH10523*0.1, "N/A")</f>
        <v>6.7140410000000008</v>
      </c>
      <c r="AH10523">
        <v>67.140410000000003</v>
      </c>
      <c r="AI10523">
        <v>202.65100000000001</v>
      </c>
      <c r="AJ10523">
        <v>29.136990000000001</v>
      </c>
      <c r="AK10523">
        <v>48.863010000000003</v>
      </c>
    </row>
    <row r="10524" spans="1:37" x14ac:dyDescent="0.3">
      <c r="A10524">
        <v>10523</v>
      </c>
      <c r="B10524">
        <v>71.400000000000006</v>
      </c>
      <c r="C10524">
        <v>14.0167</v>
      </c>
      <c r="D10524">
        <v>11.166700000000001</v>
      </c>
      <c r="E10524" t="s">
        <v>15912</v>
      </c>
      <c r="F10524" t="s">
        <v>15913</v>
      </c>
      <c r="G10524" t="s">
        <v>39</v>
      </c>
      <c r="H10524">
        <v>1990</v>
      </c>
      <c r="I10524">
        <v>27.149920000000002</v>
      </c>
      <c r="J10524">
        <v>14.38034</v>
      </c>
      <c r="K10524">
        <v>61.803420000000003</v>
      </c>
      <c r="L10524">
        <v>20.419519999999999</v>
      </c>
      <c r="M10524">
        <v>39.080170000000003</v>
      </c>
      <c r="N10524">
        <v>15.949909999999999</v>
      </c>
      <c r="O10524">
        <v>23.13026</v>
      </c>
      <c r="P10524">
        <v>25.830259999999999</v>
      </c>
      <c r="Q10524">
        <v>26.67521</v>
      </c>
      <c r="R10524">
        <v>30.13026</v>
      </c>
      <c r="S10524">
        <v>25.13026</v>
      </c>
      <c r="T10524">
        <v>758.94529999999997</v>
      </c>
      <c r="U10524">
        <v>246.69739999999999</v>
      </c>
      <c r="V10524">
        <v>0</v>
      </c>
      <c r="W10524">
        <v>127</v>
      </c>
      <c r="X10524">
        <v>564.19830000000002</v>
      </c>
      <c r="Y10524">
        <v>0</v>
      </c>
      <c r="Z10524">
        <v>68</v>
      </c>
      <c r="AA10524">
        <v>0</v>
      </c>
      <c r="AB10524">
        <v>1.8011980000000001</v>
      </c>
      <c r="AC10524">
        <v>0.60470009999999996</v>
      </c>
      <c r="AD10524">
        <v>1.5379929999999999</v>
      </c>
      <c r="AE10524">
        <v>0.71226109999999998</v>
      </c>
      <c r="AF10524">
        <v>362.18799999999999</v>
      </c>
      <c r="AG10524">
        <f>IFERROR(AH10524*0.1, "N/A")</f>
        <v>7.2422219999999999</v>
      </c>
      <c r="AH10524">
        <v>72.422219999999996</v>
      </c>
      <c r="AI10524">
        <v>106.2623</v>
      </c>
      <c r="AJ10524">
        <v>18.972650000000002</v>
      </c>
      <c r="AK10524">
        <v>64.097440000000006</v>
      </c>
    </row>
    <row r="10525" spans="1:37" x14ac:dyDescent="0.3">
      <c r="A10525">
        <v>10524</v>
      </c>
      <c r="B10525">
        <v>3.1</v>
      </c>
      <c r="C10525">
        <v>14.0167</v>
      </c>
      <c r="D10525">
        <v>11.166700000000001</v>
      </c>
      <c r="E10525" t="s">
        <v>15912</v>
      </c>
      <c r="F10525" t="s">
        <v>15914</v>
      </c>
      <c r="G10525" t="s">
        <v>37</v>
      </c>
      <c r="H10525">
        <v>1990</v>
      </c>
      <c r="I10525">
        <v>27.149920000000002</v>
      </c>
      <c r="J10525">
        <v>14.38034</v>
      </c>
      <c r="K10525">
        <v>61.803420000000003</v>
      </c>
      <c r="L10525">
        <v>20.419519999999999</v>
      </c>
      <c r="M10525">
        <v>39.080170000000003</v>
      </c>
      <c r="N10525">
        <v>15.949909999999999</v>
      </c>
      <c r="O10525">
        <v>23.13026</v>
      </c>
      <c r="P10525">
        <v>25.830259999999999</v>
      </c>
      <c r="Q10525">
        <v>26.67521</v>
      </c>
      <c r="R10525">
        <v>30.13026</v>
      </c>
      <c r="S10525">
        <v>25.13026</v>
      </c>
      <c r="T10525">
        <v>758.94529999999997</v>
      </c>
      <c r="U10525">
        <v>246.69739999999999</v>
      </c>
      <c r="V10525">
        <v>0</v>
      </c>
      <c r="W10525">
        <v>127</v>
      </c>
      <c r="X10525">
        <v>564.19830000000002</v>
      </c>
      <c r="Y10525">
        <v>0</v>
      </c>
      <c r="Z10525">
        <v>68</v>
      </c>
      <c r="AA10525">
        <v>0</v>
      </c>
      <c r="AB10525">
        <v>1.8011980000000001</v>
      </c>
      <c r="AC10525">
        <v>0.60470009999999996</v>
      </c>
      <c r="AD10525">
        <v>1.5379929999999999</v>
      </c>
      <c r="AE10525">
        <v>0.71226109999999998</v>
      </c>
      <c r="AF10525">
        <v>362.18799999999999</v>
      </c>
      <c r="AG10525">
        <f>IFERROR(AH10525*0.1, "N/A")</f>
        <v>7.2422219999999999</v>
      </c>
      <c r="AH10525">
        <v>72.422219999999996</v>
      </c>
      <c r="AI10525">
        <v>106.2623</v>
      </c>
      <c r="AJ10525">
        <v>18.972650000000002</v>
      </c>
      <c r="AK10525">
        <v>64.097440000000006</v>
      </c>
    </row>
    <row r="10526" spans="1:37" x14ac:dyDescent="0.3">
      <c r="A10526">
        <v>10525</v>
      </c>
      <c r="B10526">
        <v>1.6</v>
      </c>
      <c r="C10526">
        <v>14.0167</v>
      </c>
      <c r="D10526">
        <v>11.166700000000001</v>
      </c>
      <c r="E10526" t="s">
        <v>15912</v>
      </c>
      <c r="F10526" t="s">
        <v>15915</v>
      </c>
      <c r="G10526" t="s">
        <v>2420</v>
      </c>
      <c r="H10526">
        <v>1990</v>
      </c>
      <c r="I10526">
        <v>27.149920000000002</v>
      </c>
      <c r="J10526">
        <v>14.38034</v>
      </c>
      <c r="K10526">
        <v>61.803420000000003</v>
      </c>
      <c r="L10526">
        <v>20.419519999999999</v>
      </c>
      <c r="M10526">
        <v>39.080170000000003</v>
      </c>
      <c r="N10526">
        <v>15.949909999999999</v>
      </c>
      <c r="O10526">
        <v>23.13026</v>
      </c>
      <c r="P10526">
        <v>25.830259999999999</v>
      </c>
      <c r="Q10526">
        <v>26.67521</v>
      </c>
      <c r="R10526">
        <v>30.13026</v>
      </c>
      <c r="S10526">
        <v>25.13026</v>
      </c>
      <c r="T10526">
        <v>758.94529999999997</v>
      </c>
      <c r="U10526">
        <v>246.69739999999999</v>
      </c>
      <c r="V10526">
        <v>0</v>
      </c>
      <c r="W10526">
        <v>127</v>
      </c>
      <c r="X10526">
        <v>564.19830000000002</v>
      </c>
      <c r="Y10526">
        <v>0</v>
      </c>
      <c r="Z10526">
        <v>68</v>
      </c>
      <c r="AA10526">
        <v>0</v>
      </c>
      <c r="AB10526">
        <v>1.8011980000000001</v>
      </c>
      <c r="AC10526">
        <v>0.60470009999999996</v>
      </c>
      <c r="AD10526">
        <v>1.5379929999999999</v>
      </c>
      <c r="AE10526">
        <v>0.71226109999999998</v>
      </c>
      <c r="AF10526">
        <v>362.18799999999999</v>
      </c>
      <c r="AG10526">
        <f>IFERROR(AH10526*0.1, "N/A")</f>
        <v>7.2422219999999999</v>
      </c>
      <c r="AH10526">
        <v>72.422219999999996</v>
      </c>
      <c r="AI10526">
        <v>106.2623</v>
      </c>
      <c r="AJ10526">
        <v>18.972650000000002</v>
      </c>
      <c r="AK10526">
        <v>64.097440000000006</v>
      </c>
    </row>
    <row r="10527" spans="1:37" x14ac:dyDescent="0.3">
      <c r="A10527">
        <v>10526</v>
      </c>
      <c r="B10527">
        <v>10.6</v>
      </c>
      <c r="C10527">
        <v>13.916700000000001</v>
      </c>
      <c r="D10527">
        <v>11.183299999999999</v>
      </c>
      <c r="E10527" t="s">
        <v>15916</v>
      </c>
      <c r="F10527" t="s">
        <v>15917</v>
      </c>
      <c r="G10527" t="s">
        <v>39</v>
      </c>
      <c r="H10527">
        <v>1990</v>
      </c>
      <c r="I10527">
        <v>26.933499999999999</v>
      </c>
      <c r="J10527">
        <v>14.4</v>
      </c>
      <c r="K10527">
        <v>62</v>
      </c>
      <c r="L10527">
        <v>20.047280000000001</v>
      </c>
      <c r="M10527">
        <v>38.8506</v>
      </c>
      <c r="N10527">
        <v>15.7</v>
      </c>
      <c r="O10527">
        <v>23.150600000000001</v>
      </c>
      <c r="P10527">
        <v>25.633500000000002</v>
      </c>
      <c r="Q10527">
        <v>26.4665</v>
      </c>
      <c r="R10527">
        <v>29.882729999999999</v>
      </c>
      <c r="S10527">
        <v>24.98273</v>
      </c>
      <c r="T10527">
        <v>767.50260000000003</v>
      </c>
      <c r="U10527">
        <v>250.17259999999999</v>
      </c>
      <c r="V10527">
        <v>0</v>
      </c>
      <c r="W10527">
        <v>126.84269999999999</v>
      </c>
      <c r="X10527">
        <v>569.83759999999995</v>
      </c>
      <c r="Y10527">
        <v>0</v>
      </c>
      <c r="Z10527">
        <v>69</v>
      </c>
      <c r="AA10527">
        <v>0</v>
      </c>
      <c r="AB10527">
        <v>6.2818930000000002</v>
      </c>
      <c r="AC10527">
        <v>1.4138960000000001E-2</v>
      </c>
      <c r="AD10527">
        <v>1.280135</v>
      </c>
      <c r="AE10527">
        <v>0.63699039999999996</v>
      </c>
      <c r="AF10527">
        <v>381.4513</v>
      </c>
      <c r="AG10527">
        <f>IFERROR(AH10527*0.1, "N/A")</f>
        <v>6.949402000000001</v>
      </c>
      <c r="AH10527">
        <v>69.494020000000006</v>
      </c>
      <c r="AI10527">
        <v>83.138080000000002</v>
      </c>
      <c r="AJ10527">
        <v>17.988029999999998</v>
      </c>
      <c r="AK10527">
        <v>64.035899999999998</v>
      </c>
    </row>
    <row r="10528" spans="1:37" x14ac:dyDescent="0.3">
      <c r="A10528">
        <v>10527</v>
      </c>
      <c r="B10528">
        <v>2.4</v>
      </c>
      <c r="C10528">
        <v>13.916700000000001</v>
      </c>
      <c r="D10528">
        <v>11.183299999999999</v>
      </c>
      <c r="E10528" t="s">
        <v>15916</v>
      </c>
      <c r="F10528" t="s">
        <v>15918</v>
      </c>
      <c r="G10528" t="s">
        <v>37</v>
      </c>
      <c r="H10528">
        <v>1990</v>
      </c>
      <c r="I10528">
        <v>26.933499999999999</v>
      </c>
      <c r="J10528">
        <v>14.4</v>
      </c>
      <c r="K10528">
        <v>62</v>
      </c>
      <c r="L10528">
        <v>20.047280000000001</v>
      </c>
      <c r="M10528">
        <v>38.8506</v>
      </c>
      <c r="N10528">
        <v>15.7</v>
      </c>
      <c r="O10528">
        <v>23.150600000000001</v>
      </c>
      <c r="P10528">
        <v>25.633500000000002</v>
      </c>
      <c r="Q10528">
        <v>26.4665</v>
      </c>
      <c r="R10528">
        <v>29.882729999999999</v>
      </c>
      <c r="S10528">
        <v>24.98273</v>
      </c>
      <c r="T10528">
        <v>767.50260000000003</v>
      </c>
      <c r="U10528">
        <v>250.17259999999999</v>
      </c>
      <c r="V10528">
        <v>0</v>
      </c>
      <c r="W10528">
        <v>126.84269999999999</v>
      </c>
      <c r="X10528">
        <v>569.83759999999995</v>
      </c>
      <c r="Y10528">
        <v>0</v>
      </c>
      <c r="Z10528">
        <v>69</v>
      </c>
      <c r="AA10528">
        <v>0</v>
      </c>
      <c r="AB10528">
        <v>6.2818930000000002</v>
      </c>
      <c r="AC10528">
        <v>1.4138960000000001E-2</v>
      </c>
      <c r="AD10528">
        <v>1.280135</v>
      </c>
      <c r="AE10528">
        <v>0.63699039999999996</v>
      </c>
      <c r="AF10528">
        <v>381.4513</v>
      </c>
      <c r="AG10528">
        <f>IFERROR(AH10528*0.1, "N/A")</f>
        <v>6.949402000000001</v>
      </c>
      <c r="AH10528">
        <v>69.494020000000006</v>
      </c>
      <c r="AI10528">
        <v>83.138080000000002</v>
      </c>
      <c r="AJ10528">
        <v>17.988029999999998</v>
      </c>
      <c r="AK10528">
        <v>64.035899999999998</v>
      </c>
    </row>
    <row r="10529" spans="1:37" x14ac:dyDescent="0.3">
      <c r="A10529">
        <v>10528</v>
      </c>
      <c r="B10529">
        <v>0</v>
      </c>
      <c r="C10529">
        <v>13.916700000000001</v>
      </c>
      <c r="D10529">
        <v>11.183299999999999</v>
      </c>
      <c r="E10529" t="s">
        <v>15916</v>
      </c>
      <c r="F10529" t="s">
        <v>15919</v>
      </c>
      <c r="G10529" t="s">
        <v>2420</v>
      </c>
      <c r="H10529">
        <v>1990</v>
      </c>
      <c r="I10529">
        <v>26.933499999999999</v>
      </c>
      <c r="J10529">
        <v>14.4</v>
      </c>
      <c r="K10529">
        <v>62</v>
      </c>
      <c r="L10529">
        <v>20.047280000000001</v>
      </c>
      <c r="M10529">
        <v>38.8506</v>
      </c>
      <c r="N10529">
        <v>15.7</v>
      </c>
      <c r="O10529">
        <v>23.150600000000001</v>
      </c>
      <c r="P10529">
        <v>25.633500000000002</v>
      </c>
      <c r="Q10529">
        <v>26.4665</v>
      </c>
      <c r="R10529">
        <v>29.882729999999999</v>
      </c>
      <c r="S10529">
        <v>24.98273</v>
      </c>
      <c r="T10529">
        <v>767.50260000000003</v>
      </c>
      <c r="U10529">
        <v>250.17259999999999</v>
      </c>
      <c r="V10529">
        <v>0</v>
      </c>
      <c r="W10529">
        <v>126.84269999999999</v>
      </c>
      <c r="X10529">
        <v>569.83759999999995</v>
      </c>
      <c r="Y10529">
        <v>0</v>
      </c>
      <c r="Z10529">
        <v>69</v>
      </c>
      <c r="AA10529">
        <v>0</v>
      </c>
      <c r="AB10529">
        <v>6.2818930000000002</v>
      </c>
      <c r="AC10529">
        <v>1.4138960000000001E-2</v>
      </c>
      <c r="AD10529">
        <v>1.280135</v>
      </c>
      <c r="AE10529">
        <v>0.63699039999999996</v>
      </c>
      <c r="AF10529">
        <v>381.4513</v>
      </c>
      <c r="AG10529">
        <f>IFERROR(AH10529*0.1, "N/A")</f>
        <v>6.949402000000001</v>
      </c>
      <c r="AH10529">
        <v>69.494020000000006</v>
      </c>
      <c r="AI10529">
        <v>83.138080000000002</v>
      </c>
      <c r="AJ10529">
        <v>17.988029999999998</v>
      </c>
      <c r="AK10529">
        <v>64.035899999999998</v>
      </c>
    </row>
    <row r="10530" spans="1:37" x14ac:dyDescent="0.3">
      <c r="A10530">
        <v>10529</v>
      </c>
      <c r="B10530">
        <v>9.1</v>
      </c>
      <c r="C10530">
        <v>14.583299999999999</v>
      </c>
      <c r="D10530">
        <v>11.4</v>
      </c>
      <c r="E10530" t="s">
        <v>15920</v>
      </c>
      <c r="F10530" t="s">
        <v>15921</v>
      </c>
      <c r="G10530" t="s">
        <v>39</v>
      </c>
      <c r="H10530">
        <v>1990</v>
      </c>
      <c r="I10530">
        <v>27.9</v>
      </c>
      <c r="J10530">
        <v>14.6</v>
      </c>
      <c r="K10530">
        <v>59.911110000000001</v>
      </c>
      <c r="L10530">
        <v>23.017520000000001</v>
      </c>
      <c r="M10530">
        <v>40.154699999999998</v>
      </c>
      <c r="N10530">
        <v>15.891109999999999</v>
      </c>
      <c r="O10530">
        <v>24.263590000000001</v>
      </c>
      <c r="P10530">
        <v>26.6</v>
      </c>
      <c r="Q10530">
        <v>27.1</v>
      </c>
      <c r="R10530">
        <v>31.154699999999998</v>
      </c>
      <c r="S10530">
        <v>25.436070000000001</v>
      </c>
      <c r="T10530">
        <v>655.36239999999998</v>
      </c>
      <c r="U10530">
        <v>214</v>
      </c>
      <c r="V10530">
        <v>0</v>
      </c>
      <c r="W10530">
        <v>130</v>
      </c>
      <c r="X10530">
        <v>501.36239999999998</v>
      </c>
      <c r="Y10530">
        <v>0</v>
      </c>
      <c r="Z10530">
        <v>50</v>
      </c>
      <c r="AA10530">
        <v>0</v>
      </c>
      <c r="AB10530">
        <v>0.2683664</v>
      </c>
      <c r="AC10530">
        <v>0.84031140000000004</v>
      </c>
      <c r="AD10530">
        <v>1.369008</v>
      </c>
      <c r="AE10530">
        <v>0.33106010000000002</v>
      </c>
      <c r="AF10530">
        <v>302.26319999999998</v>
      </c>
      <c r="AG10530">
        <f>IFERROR(AH10530*0.1, "N/A")</f>
        <v>6.6370940000000012</v>
      </c>
      <c r="AH10530">
        <v>66.370940000000004</v>
      </c>
      <c r="AI10530">
        <v>129.06700000000001</v>
      </c>
      <c r="AJ10530">
        <v>42.733330000000002</v>
      </c>
      <c r="AK10530">
        <v>35.723080000000003</v>
      </c>
    </row>
    <row r="10531" spans="1:37" x14ac:dyDescent="0.3">
      <c r="A10531">
        <v>10530</v>
      </c>
      <c r="B10531">
        <v>0</v>
      </c>
      <c r="C10531">
        <v>14.583299999999999</v>
      </c>
      <c r="D10531">
        <v>11.4</v>
      </c>
      <c r="E10531" t="s">
        <v>15920</v>
      </c>
      <c r="F10531" t="s">
        <v>15922</v>
      </c>
      <c r="G10531" t="s">
        <v>37</v>
      </c>
      <c r="H10531">
        <v>1990</v>
      </c>
      <c r="I10531">
        <v>27.9</v>
      </c>
      <c r="J10531">
        <v>14.6</v>
      </c>
      <c r="K10531">
        <v>59.911110000000001</v>
      </c>
      <c r="L10531">
        <v>23.017520000000001</v>
      </c>
      <c r="M10531">
        <v>40.154699999999998</v>
      </c>
      <c r="N10531">
        <v>15.891109999999999</v>
      </c>
      <c r="O10531">
        <v>24.263590000000001</v>
      </c>
      <c r="P10531">
        <v>26.6</v>
      </c>
      <c r="Q10531">
        <v>27.1</v>
      </c>
      <c r="R10531">
        <v>31.154699999999998</v>
      </c>
      <c r="S10531">
        <v>25.436070000000001</v>
      </c>
      <c r="T10531">
        <v>655.36239999999998</v>
      </c>
      <c r="U10531">
        <v>214</v>
      </c>
      <c r="V10531">
        <v>0</v>
      </c>
      <c r="W10531">
        <v>130</v>
      </c>
      <c r="X10531">
        <v>501.36239999999998</v>
      </c>
      <c r="Y10531">
        <v>0</v>
      </c>
      <c r="Z10531">
        <v>50</v>
      </c>
      <c r="AA10531">
        <v>0</v>
      </c>
      <c r="AB10531">
        <v>0.2683664</v>
      </c>
      <c r="AC10531">
        <v>0.84031140000000004</v>
      </c>
      <c r="AD10531">
        <v>1.369008</v>
      </c>
      <c r="AE10531">
        <v>0.33106010000000002</v>
      </c>
      <c r="AF10531">
        <v>302.26319999999998</v>
      </c>
      <c r="AG10531">
        <f>IFERROR(AH10531*0.1, "N/A")</f>
        <v>6.6370940000000012</v>
      </c>
      <c r="AH10531">
        <v>66.370940000000004</v>
      </c>
      <c r="AI10531">
        <v>129.06700000000001</v>
      </c>
      <c r="AJ10531">
        <v>42.733330000000002</v>
      </c>
      <c r="AK10531">
        <v>35.723080000000003</v>
      </c>
    </row>
    <row r="10532" spans="1:37" x14ac:dyDescent="0.3">
      <c r="A10532">
        <v>10531</v>
      </c>
      <c r="B10532">
        <v>0</v>
      </c>
      <c r="C10532">
        <v>14.583299999999999</v>
      </c>
      <c r="D10532">
        <v>11.4</v>
      </c>
      <c r="E10532" t="s">
        <v>15920</v>
      </c>
      <c r="F10532" t="s">
        <v>15923</v>
      </c>
      <c r="G10532" t="s">
        <v>2420</v>
      </c>
      <c r="H10532">
        <v>1990</v>
      </c>
      <c r="I10532">
        <v>27.9</v>
      </c>
      <c r="J10532">
        <v>14.6</v>
      </c>
      <c r="K10532">
        <v>59.911110000000001</v>
      </c>
      <c r="L10532">
        <v>23.017520000000001</v>
      </c>
      <c r="M10532">
        <v>40.154699999999998</v>
      </c>
      <c r="N10532">
        <v>15.891109999999999</v>
      </c>
      <c r="O10532">
        <v>24.263590000000001</v>
      </c>
      <c r="P10532">
        <v>26.6</v>
      </c>
      <c r="Q10532">
        <v>27.1</v>
      </c>
      <c r="R10532">
        <v>31.154699999999998</v>
      </c>
      <c r="S10532">
        <v>25.436070000000001</v>
      </c>
      <c r="T10532">
        <v>655.36239999999998</v>
      </c>
      <c r="U10532">
        <v>214</v>
      </c>
      <c r="V10532">
        <v>0</v>
      </c>
      <c r="W10532">
        <v>130</v>
      </c>
      <c r="X10532">
        <v>501.36239999999998</v>
      </c>
      <c r="Y10532">
        <v>0</v>
      </c>
      <c r="Z10532">
        <v>50</v>
      </c>
      <c r="AA10532">
        <v>0</v>
      </c>
      <c r="AB10532">
        <v>0.2683664</v>
      </c>
      <c r="AC10532">
        <v>0.84031140000000004</v>
      </c>
      <c r="AD10532">
        <v>1.369008</v>
      </c>
      <c r="AE10532">
        <v>0.33106010000000002</v>
      </c>
      <c r="AF10532">
        <v>302.26319999999998</v>
      </c>
      <c r="AG10532">
        <f>IFERROR(AH10532*0.1, "N/A")</f>
        <v>6.6370940000000012</v>
      </c>
      <c r="AH10532">
        <v>66.370940000000004</v>
      </c>
      <c r="AI10532">
        <v>129.06700000000001</v>
      </c>
      <c r="AJ10532">
        <v>42.733330000000002</v>
      </c>
      <c r="AK10532">
        <v>35.723080000000003</v>
      </c>
    </row>
    <row r="10533" spans="1:37" x14ac:dyDescent="0.3">
      <c r="A10533">
        <v>10532</v>
      </c>
      <c r="B10533">
        <v>2.9</v>
      </c>
      <c r="C10533">
        <v>14.683299999999999</v>
      </c>
      <c r="D10533">
        <v>11.4833</v>
      </c>
      <c r="E10533" t="s">
        <v>15924</v>
      </c>
      <c r="F10533" t="s">
        <v>15925</v>
      </c>
      <c r="G10533" t="s">
        <v>39</v>
      </c>
      <c r="H10533">
        <v>1990</v>
      </c>
      <c r="I10533">
        <v>27.9</v>
      </c>
      <c r="J10533">
        <v>14.7</v>
      </c>
      <c r="K10533">
        <v>59</v>
      </c>
      <c r="L10533">
        <v>23.98997</v>
      </c>
      <c r="M10533">
        <v>40.299999999999997</v>
      </c>
      <c r="N10533">
        <v>15.53716</v>
      </c>
      <c r="O10533">
        <v>24.762840000000001</v>
      </c>
      <c r="P10533">
        <v>26.685449999999999</v>
      </c>
      <c r="Q10533">
        <v>27</v>
      </c>
      <c r="R10533">
        <v>31.293489999999998</v>
      </c>
      <c r="S10533">
        <v>25.285440000000001</v>
      </c>
      <c r="T10533">
        <v>632.226</v>
      </c>
      <c r="U10533">
        <v>207</v>
      </c>
      <c r="V10533">
        <v>0</v>
      </c>
      <c r="W10533">
        <v>131</v>
      </c>
      <c r="X10533">
        <v>487.85449999999997</v>
      </c>
      <c r="Y10533">
        <v>0</v>
      </c>
      <c r="Z10533">
        <v>46</v>
      </c>
      <c r="AA10533">
        <v>0</v>
      </c>
      <c r="AB10533">
        <v>0.86934069999999997</v>
      </c>
      <c r="AC10533">
        <v>3.9389189999999998E-2</v>
      </c>
      <c r="AD10533">
        <v>0.51504439999999996</v>
      </c>
      <c r="AE10533">
        <v>0.29017690000000002</v>
      </c>
      <c r="AF10533">
        <v>301.9212</v>
      </c>
      <c r="AG10533">
        <f>IFERROR(AH10533*0.1, "N/A")</f>
        <v>6.3210620000000004</v>
      </c>
      <c r="AH10533">
        <v>63.210619999999999</v>
      </c>
      <c r="AI10533">
        <v>141.9906</v>
      </c>
      <c r="AJ10533">
        <v>50.157530000000001</v>
      </c>
      <c r="AK10533">
        <v>26.842469999999999</v>
      </c>
    </row>
    <row r="10534" spans="1:37" x14ac:dyDescent="0.3">
      <c r="A10534">
        <v>10533</v>
      </c>
      <c r="B10534">
        <v>0</v>
      </c>
      <c r="C10534">
        <v>14.683299999999999</v>
      </c>
      <c r="D10534">
        <v>11.4833</v>
      </c>
      <c r="E10534" t="s">
        <v>15924</v>
      </c>
      <c r="F10534" t="s">
        <v>15926</v>
      </c>
      <c r="G10534" t="s">
        <v>37</v>
      </c>
      <c r="H10534">
        <v>1990</v>
      </c>
      <c r="I10534">
        <v>27.9</v>
      </c>
      <c r="J10534">
        <v>14.7</v>
      </c>
      <c r="K10534">
        <v>59</v>
      </c>
      <c r="L10534">
        <v>23.98997</v>
      </c>
      <c r="M10534">
        <v>40.299999999999997</v>
      </c>
      <c r="N10534">
        <v>15.53716</v>
      </c>
      <c r="O10534">
        <v>24.762840000000001</v>
      </c>
      <c r="P10534">
        <v>26.685449999999999</v>
      </c>
      <c r="Q10534">
        <v>27</v>
      </c>
      <c r="R10534">
        <v>31.293489999999998</v>
      </c>
      <c r="S10534">
        <v>25.285440000000001</v>
      </c>
      <c r="T10534">
        <v>632.226</v>
      </c>
      <c r="U10534">
        <v>207</v>
      </c>
      <c r="V10534">
        <v>0</v>
      </c>
      <c r="W10534">
        <v>131</v>
      </c>
      <c r="X10534">
        <v>487.85449999999997</v>
      </c>
      <c r="Y10534">
        <v>0</v>
      </c>
      <c r="Z10534">
        <v>46</v>
      </c>
      <c r="AA10534">
        <v>0</v>
      </c>
      <c r="AB10534">
        <v>0.86934069999999997</v>
      </c>
      <c r="AC10534">
        <v>3.9389189999999998E-2</v>
      </c>
      <c r="AD10534">
        <v>0.51504439999999996</v>
      </c>
      <c r="AE10534">
        <v>0.29017690000000002</v>
      </c>
      <c r="AF10534">
        <v>301.9212</v>
      </c>
      <c r="AG10534">
        <f>IFERROR(AH10534*0.1, "N/A")</f>
        <v>6.3210620000000004</v>
      </c>
      <c r="AH10534">
        <v>63.210619999999999</v>
      </c>
      <c r="AI10534">
        <v>141.9906</v>
      </c>
      <c r="AJ10534">
        <v>50.157530000000001</v>
      </c>
      <c r="AK10534">
        <v>26.842469999999999</v>
      </c>
    </row>
    <row r="10535" spans="1:37" x14ac:dyDescent="0.3">
      <c r="A10535">
        <v>10534</v>
      </c>
      <c r="B10535">
        <v>0</v>
      </c>
      <c r="C10535">
        <v>14.683299999999999</v>
      </c>
      <c r="D10535">
        <v>11.4833</v>
      </c>
      <c r="E10535" t="s">
        <v>15924</v>
      </c>
      <c r="F10535" t="s">
        <v>15927</v>
      </c>
      <c r="G10535" t="s">
        <v>2420</v>
      </c>
      <c r="H10535">
        <v>1990</v>
      </c>
      <c r="I10535">
        <v>27.9</v>
      </c>
      <c r="J10535">
        <v>14.7</v>
      </c>
      <c r="K10535">
        <v>59</v>
      </c>
      <c r="L10535">
        <v>23.98997</v>
      </c>
      <c r="M10535">
        <v>40.299999999999997</v>
      </c>
      <c r="N10535">
        <v>15.53716</v>
      </c>
      <c r="O10535">
        <v>24.762840000000001</v>
      </c>
      <c r="P10535">
        <v>26.685449999999999</v>
      </c>
      <c r="Q10535">
        <v>27</v>
      </c>
      <c r="R10535">
        <v>31.293489999999998</v>
      </c>
      <c r="S10535">
        <v>25.285440000000001</v>
      </c>
      <c r="T10535">
        <v>632.226</v>
      </c>
      <c r="U10535">
        <v>207</v>
      </c>
      <c r="V10535">
        <v>0</v>
      </c>
      <c r="W10535">
        <v>131</v>
      </c>
      <c r="X10535">
        <v>487.85449999999997</v>
      </c>
      <c r="Y10535">
        <v>0</v>
      </c>
      <c r="Z10535">
        <v>46</v>
      </c>
      <c r="AA10535">
        <v>0</v>
      </c>
      <c r="AB10535">
        <v>0.86934069999999997</v>
      </c>
      <c r="AC10535">
        <v>3.9389189999999998E-2</v>
      </c>
      <c r="AD10535">
        <v>0.51504439999999996</v>
      </c>
      <c r="AE10535">
        <v>0.29017690000000002</v>
      </c>
      <c r="AF10535">
        <v>301.9212</v>
      </c>
      <c r="AG10535">
        <f>IFERROR(AH10535*0.1, "N/A")</f>
        <v>6.3210620000000004</v>
      </c>
      <c r="AH10535">
        <v>63.210619999999999</v>
      </c>
      <c r="AI10535">
        <v>141.9906</v>
      </c>
      <c r="AJ10535">
        <v>50.157530000000001</v>
      </c>
      <c r="AK10535">
        <v>26.842469999999999</v>
      </c>
    </row>
    <row r="10536" spans="1:37" x14ac:dyDescent="0.3">
      <c r="A10536">
        <v>10535</v>
      </c>
      <c r="B10536">
        <v>39</v>
      </c>
      <c r="C10536">
        <v>14.731999999999999</v>
      </c>
      <c r="D10536">
        <v>11.551</v>
      </c>
      <c r="E10536" t="s">
        <v>15928</v>
      </c>
      <c r="F10536" t="s">
        <v>15929</v>
      </c>
      <c r="G10536" t="s">
        <v>39</v>
      </c>
      <c r="H10536">
        <v>1987</v>
      </c>
      <c r="I10536">
        <v>27.9</v>
      </c>
      <c r="J10536">
        <v>14.8</v>
      </c>
      <c r="K10536">
        <v>59</v>
      </c>
      <c r="L10536">
        <v>24.61</v>
      </c>
      <c r="M10536">
        <v>40.4</v>
      </c>
      <c r="N10536">
        <v>15.4</v>
      </c>
      <c r="O10536">
        <v>25</v>
      </c>
      <c r="P10536">
        <v>26.7</v>
      </c>
      <c r="Q10536">
        <v>26.9</v>
      </c>
      <c r="R10536">
        <v>31.3</v>
      </c>
      <c r="S10536">
        <v>25.1</v>
      </c>
      <c r="T10536">
        <v>616</v>
      </c>
      <c r="U10536">
        <v>202</v>
      </c>
      <c r="V10536">
        <v>0</v>
      </c>
      <c r="W10536">
        <v>131</v>
      </c>
      <c r="X10536">
        <v>477</v>
      </c>
      <c r="Y10536">
        <v>0</v>
      </c>
      <c r="Z10536">
        <v>44</v>
      </c>
      <c r="AA10536">
        <v>0</v>
      </c>
      <c r="AB10536">
        <v>0.24069309999999999</v>
      </c>
      <c r="AC10536">
        <v>0.36593730000000002</v>
      </c>
      <c r="AD10536">
        <v>1.003579</v>
      </c>
      <c r="AE10536">
        <v>0.23015840000000001</v>
      </c>
      <c r="AF10536">
        <v>298.23250000000002</v>
      </c>
      <c r="AG10536">
        <f>IFERROR(AH10536*0.1, "N/A")</f>
        <v>6.7723079999999998</v>
      </c>
      <c r="AH10536">
        <v>67.723079999999996</v>
      </c>
      <c r="AI10536">
        <v>193.87209999999999</v>
      </c>
      <c r="AJ10536">
        <v>42.451279999999997</v>
      </c>
      <c r="AK10536">
        <v>35.728209999999997</v>
      </c>
    </row>
    <row r="10537" spans="1:37" x14ac:dyDescent="0.3">
      <c r="A10537">
        <v>10536</v>
      </c>
      <c r="B10537">
        <v>0</v>
      </c>
      <c r="C10537">
        <v>14.6333</v>
      </c>
      <c r="D10537">
        <v>11.833299999999999</v>
      </c>
      <c r="E10537" t="s">
        <v>15930</v>
      </c>
      <c r="F10537" t="s">
        <v>15931</v>
      </c>
      <c r="G10537" t="s">
        <v>39</v>
      </c>
      <c r="H10537">
        <v>1990</v>
      </c>
      <c r="I10537">
        <v>27.7</v>
      </c>
      <c r="J10537">
        <v>15</v>
      </c>
      <c r="K10537">
        <v>58</v>
      </c>
      <c r="L10537">
        <v>25.861260000000001</v>
      </c>
      <c r="M10537">
        <v>40.299999999999997</v>
      </c>
      <c r="N10537">
        <v>14.58498</v>
      </c>
      <c r="O10537">
        <v>25.715019999999999</v>
      </c>
      <c r="P10537">
        <v>26.8</v>
      </c>
      <c r="Q10537">
        <v>26.419280000000001</v>
      </c>
      <c r="R10537">
        <v>31.129010000000001</v>
      </c>
      <c r="S10537">
        <v>24.594709999999999</v>
      </c>
      <c r="T10537">
        <v>564.65700000000004</v>
      </c>
      <c r="U10537">
        <v>190</v>
      </c>
      <c r="V10537">
        <v>0</v>
      </c>
      <c r="W10537">
        <v>132</v>
      </c>
      <c r="X10537">
        <v>442</v>
      </c>
      <c r="Y10537">
        <v>0</v>
      </c>
      <c r="Z10537">
        <v>103.657</v>
      </c>
      <c r="AA10537">
        <v>0</v>
      </c>
      <c r="AB10537">
        <v>0.18837690000000001</v>
      </c>
      <c r="AC10537">
        <v>0.1467118</v>
      </c>
      <c r="AD10537">
        <v>0.93954519999999997</v>
      </c>
      <c r="AE10537">
        <v>0.37524659999999999</v>
      </c>
      <c r="AF10537">
        <v>293.91469999999998</v>
      </c>
      <c r="AG10537">
        <f>IFERROR(AH10537*0.1, "N/A")</f>
        <v>6.5310580000000007</v>
      </c>
      <c r="AH10537">
        <v>65.310580000000002</v>
      </c>
      <c r="AI10537">
        <v>172.10759999999999</v>
      </c>
      <c r="AJ10537">
        <v>55.228670000000001</v>
      </c>
      <c r="AK10537">
        <v>25.75085</v>
      </c>
    </row>
    <row r="10538" spans="1:37" x14ac:dyDescent="0.3">
      <c r="A10538">
        <v>10537</v>
      </c>
      <c r="B10538">
        <v>0</v>
      </c>
      <c r="C10538">
        <v>14.6333</v>
      </c>
      <c r="D10538">
        <v>11.833299999999999</v>
      </c>
      <c r="E10538" t="s">
        <v>15930</v>
      </c>
      <c r="F10538" t="s">
        <v>15932</v>
      </c>
      <c r="G10538" t="s">
        <v>37</v>
      </c>
      <c r="H10538">
        <v>1990</v>
      </c>
      <c r="I10538">
        <v>27.7</v>
      </c>
      <c r="J10538">
        <v>15</v>
      </c>
      <c r="K10538">
        <v>58</v>
      </c>
      <c r="L10538">
        <v>25.861260000000001</v>
      </c>
      <c r="M10538">
        <v>40.299999999999997</v>
      </c>
      <c r="N10538">
        <v>14.58498</v>
      </c>
      <c r="O10538">
        <v>25.715019999999999</v>
      </c>
      <c r="P10538">
        <v>26.8</v>
      </c>
      <c r="Q10538">
        <v>26.419280000000001</v>
      </c>
      <c r="R10538">
        <v>31.129010000000001</v>
      </c>
      <c r="S10538">
        <v>24.594709999999999</v>
      </c>
      <c r="T10538">
        <v>564.65700000000004</v>
      </c>
      <c r="U10538">
        <v>190</v>
      </c>
      <c r="V10538">
        <v>0</v>
      </c>
      <c r="W10538">
        <v>132</v>
      </c>
      <c r="X10538">
        <v>442</v>
      </c>
      <c r="Y10538">
        <v>0</v>
      </c>
      <c r="Z10538">
        <v>103.657</v>
      </c>
      <c r="AA10538">
        <v>0</v>
      </c>
      <c r="AB10538">
        <v>0.18837690000000001</v>
      </c>
      <c r="AC10538">
        <v>0.1467118</v>
      </c>
      <c r="AD10538">
        <v>0.93954519999999997</v>
      </c>
      <c r="AE10538">
        <v>0.37524659999999999</v>
      </c>
      <c r="AF10538">
        <v>293.91469999999998</v>
      </c>
      <c r="AG10538">
        <f>IFERROR(AH10538*0.1, "N/A")</f>
        <v>6.5310580000000007</v>
      </c>
      <c r="AH10538">
        <v>65.310580000000002</v>
      </c>
      <c r="AI10538">
        <v>172.10759999999999</v>
      </c>
      <c r="AJ10538">
        <v>55.228670000000001</v>
      </c>
      <c r="AK10538">
        <v>25.75085</v>
      </c>
    </row>
    <row r="10539" spans="1:37" x14ac:dyDescent="0.3">
      <c r="A10539">
        <v>10538</v>
      </c>
      <c r="B10539">
        <v>0</v>
      </c>
      <c r="C10539">
        <v>14.6333</v>
      </c>
      <c r="D10539">
        <v>11.833299999999999</v>
      </c>
      <c r="E10539" t="s">
        <v>15930</v>
      </c>
      <c r="F10539" t="s">
        <v>15933</v>
      </c>
      <c r="G10539" t="s">
        <v>2420</v>
      </c>
      <c r="H10539">
        <v>1990</v>
      </c>
      <c r="I10539">
        <v>27.7</v>
      </c>
      <c r="J10539">
        <v>15</v>
      </c>
      <c r="K10539">
        <v>58</v>
      </c>
      <c r="L10539">
        <v>25.861260000000001</v>
      </c>
      <c r="M10539">
        <v>40.299999999999997</v>
      </c>
      <c r="N10539">
        <v>14.58498</v>
      </c>
      <c r="O10539">
        <v>25.715019999999999</v>
      </c>
      <c r="P10539">
        <v>26.8</v>
      </c>
      <c r="Q10539">
        <v>26.419280000000001</v>
      </c>
      <c r="R10539">
        <v>31.129010000000001</v>
      </c>
      <c r="S10539">
        <v>24.594709999999999</v>
      </c>
      <c r="T10539">
        <v>564.65700000000004</v>
      </c>
      <c r="U10539">
        <v>190</v>
      </c>
      <c r="V10539">
        <v>0</v>
      </c>
      <c r="W10539">
        <v>132</v>
      </c>
      <c r="X10539">
        <v>442</v>
      </c>
      <c r="Y10539">
        <v>0</v>
      </c>
      <c r="Z10539">
        <v>103.657</v>
      </c>
      <c r="AA10539">
        <v>0</v>
      </c>
      <c r="AB10539">
        <v>0.18837690000000001</v>
      </c>
      <c r="AC10539">
        <v>0.1467118</v>
      </c>
      <c r="AD10539">
        <v>0.93954519999999997</v>
      </c>
      <c r="AE10539">
        <v>0.37524659999999999</v>
      </c>
      <c r="AF10539">
        <v>293.91469999999998</v>
      </c>
      <c r="AG10539">
        <f>IFERROR(AH10539*0.1, "N/A")</f>
        <v>6.5310580000000007</v>
      </c>
      <c r="AH10539">
        <v>65.310580000000002</v>
      </c>
      <c r="AI10539">
        <v>172.10759999999999</v>
      </c>
      <c r="AJ10539">
        <v>55.228670000000001</v>
      </c>
      <c r="AK10539">
        <v>25.75085</v>
      </c>
    </row>
    <row r="10540" spans="1:37" x14ac:dyDescent="0.3">
      <c r="A10540">
        <v>10539</v>
      </c>
      <c r="B10540">
        <v>14.3</v>
      </c>
      <c r="C10540">
        <v>15.0167</v>
      </c>
      <c r="D10540">
        <v>12.083299999999999</v>
      </c>
      <c r="E10540" t="s">
        <v>15934</v>
      </c>
      <c r="F10540" t="s">
        <v>15935</v>
      </c>
      <c r="G10540" t="s">
        <v>39</v>
      </c>
      <c r="H10540">
        <v>1990</v>
      </c>
      <c r="I10540">
        <v>27.9</v>
      </c>
      <c r="J10540">
        <v>15.3</v>
      </c>
      <c r="K10540">
        <v>56</v>
      </c>
      <c r="L10540">
        <v>29.016490000000001</v>
      </c>
      <c r="M10540">
        <v>40.887219999999999</v>
      </c>
      <c r="N10540">
        <v>13.9</v>
      </c>
      <c r="O10540">
        <v>26.987220000000001</v>
      </c>
      <c r="P10540">
        <v>27.087219999999999</v>
      </c>
      <c r="Q10540">
        <v>26.304259999999999</v>
      </c>
      <c r="R10540">
        <v>31.8</v>
      </c>
      <c r="S10540">
        <v>24.343610000000002</v>
      </c>
      <c r="T10540">
        <v>503.73419999999999</v>
      </c>
      <c r="U10540">
        <v>176.12780000000001</v>
      </c>
      <c r="V10540">
        <v>0</v>
      </c>
      <c r="W10540">
        <v>136.95740000000001</v>
      </c>
      <c r="X10540">
        <v>402.17039999999997</v>
      </c>
      <c r="Y10540">
        <v>0</v>
      </c>
      <c r="Z10540">
        <v>84.436120000000003</v>
      </c>
      <c r="AA10540">
        <v>0</v>
      </c>
      <c r="AB10540">
        <v>2.3224779999999998</v>
      </c>
      <c r="AC10540">
        <v>1.2593099999999999E-2</v>
      </c>
      <c r="AD10540">
        <v>1.183074</v>
      </c>
      <c r="AE10540">
        <v>0.6633831</v>
      </c>
      <c r="AF10540">
        <v>294.74450000000002</v>
      </c>
      <c r="AG10540">
        <f>IFERROR(AH10540*0.1, "N/A")</f>
        <v>7.2</v>
      </c>
      <c r="AH10540">
        <v>72</v>
      </c>
      <c r="AI10540">
        <v>242.40309999999999</v>
      </c>
      <c r="AJ10540">
        <v>44.511069999999997</v>
      </c>
      <c r="AK10540">
        <v>36.23339</v>
      </c>
    </row>
    <row r="10541" spans="1:37" x14ac:dyDescent="0.3">
      <c r="A10541">
        <v>10540</v>
      </c>
      <c r="B10541">
        <v>0</v>
      </c>
      <c r="C10541">
        <v>15.0167</v>
      </c>
      <c r="D10541">
        <v>12.083299999999999</v>
      </c>
      <c r="E10541" t="s">
        <v>15934</v>
      </c>
      <c r="F10541" t="s">
        <v>15936</v>
      </c>
      <c r="G10541" t="s">
        <v>37</v>
      </c>
      <c r="H10541">
        <v>1990</v>
      </c>
      <c r="I10541">
        <v>27.9</v>
      </c>
      <c r="J10541">
        <v>15.3</v>
      </c>
      <c r="K10541">
        <v>56</v>
      </c>
      <c r="L10541">
        <v>29.016490000000001</v>
      </c>
      <c r="M10541">
        <v>40.887219999999999</v>
      </c>
      <c r="N10541">
        <v>13.9</v>
      </c>
      <c r="O10541">
        <v>26.987220000000001</v>
      </c>
      <c r="P10541">
        <v>27.087219999999999</v>
      </c>
      <c r="Q10541">
        <v>26.304259999999999</v>
      </c>
      <c r="R10541">
        <v>31.8</v>
      </c>
      <c r="S10541">
        <v>24.343610000000002</v>
      </c>
      <c r="T10541">
        <v>503.73419999999999</v>
      </c>
      <c r="U10541">
        <v>176.12780000000001</v>
      </c>
      <c r="V10541">
        <v>0</v>
      </c>
      <c r="W10541">
        <v>136.95740000000001</v>
      </c>
      <c r="X10541">
        <v>402.17039999999997</v>
      </c>
      <c r="Y10541">
        <v>0</v>
      </c>
      <c r="Z10541">
        <v>84.436120000000003</v>
      </c>
      <c r="AA10541">
        <v>0</v>
      </c>
      <c r="AB10541">
        <v>2.3224779999999998</v>
      </c>
      <c r="AC10541">
        <v>1.2593099999999999E-2</v>
      </c>
      <c r="AD10541">
        <v>1.183074</v>
      </c>
      <c r="AE10541">
        <v>0.6633831</v>
      </c>
      <c r="AF10541">
        <v>294.74450000000002</v>
      </c>
      <c r="AG10541">
        <f>IFERROR(AH10541*0.1, "N/A")</f>
        <v>7.2</v>
      </c>
      <c r="AH10541">
        <v>72</v>
      </c>
      <c r="AI10541">
        <v>242.40309999999999</v>
      </c>
      <c r="AJ10541">
        <v>44.511069999999997</v>
      </c>
      <c r="AK10541">
        <v>36.23339</v>
      </c>
    </row>
    <row r="10542" spans="1:37" x14ac:dyDescent="0.3">
      <c r="A10542">
        <v>10541</v>
      </c>
      <c r="B10542">
        <v>0</v>
      </c>
      <c r="C10542">
        <v>15.0167</v>
      </c>
      <c r="D10542">
        <v>12.083299999999999</v>
      </c>
      <c r="E10542" t="s">
        <v>15934</v>
      </c>
      <c r="F10542" t="s">
        <v>15937</v>
      </c>
      <c r="G10542" t="s">
        <v>2420</v>
      </c>
      <c r="H10542">
        <v>1990</v>
      </c>
      <c r="I10542">
        <v>27.9</v>
      </c>
      <c r="J10542">
        <v>15.3</v>
      </c>
      <c r="K10542">
        <v>56</v>
      </c>
      <c r="L10542">
        <v>29.016490000000001</v>
      </c>
      <c r="M10542">
        <v>40.887219999999999</v>
      </c>
      <c r="N10542">
        <v>13.9</v>
      </c>
      <c r="O10542">
        <v>26.987220000000001</v>
      </c>
      <c r="P10542">
        <v>27.087219999999999</v>
      </c>
      <c r="Q10542">
        <v>26.304259999999999</v>
      </c>
      <c r="R10542">
        <v>31.8</v>
      </c>
      <c r="S10542">
        <v>24.343610000000002</v>
      </c>
      <c r="T10542">
        <v>503.73419999999999</v>
      </c>
      <c r="U10542">
        <v>176.12780000000001</v>
      </c>
      <c r="V10542">
        <v>0</v>
      </c>
      <c r="W10542">
        <v>136.95740000000001</v>
      </c>
      <c r="X10542">
        <v>402.17039999999997</v>
      </c>
      <c r="Y10542">
        <v>0</v>
      </c>
      <c r="Z10542">
        <v>84.436120000000003</v>
      </c>
      <c r="AA10542">
        <v>0</v>
      </c>
      <c r="AB10542">
        <v>2.3224779999999998</v>
      </c>
      <c r="AC10542">
        <v>1.2593099999999999E-2</v>
      </c>
      <c r="AD10542">
        <v>1.183074</v>
      </c>
      <c r="AE10542">
        <v>0.6633831</v>
      </c>
      <c r="AF10542">
        <v>294.74450000000002</v>
      </c>
      <c r="AG10542">
        <f>IFERROR(AH10542*0.1, "N/A")</f>
        <v>7.2</v>
      </c>
      <c r="AH10542">
        <v>72</v>
      </c>
      <c r="AI10542">
        <v>242.40309999999999</v>
      </c>
      <c r="AJ10542">
        <v>44.511069999999997</v>
      </c>
      <c r="AK10542">
        <v>36.23339</v>
      </c>
    </row>
    <row r="10543" spans="1:37" x14ac:dyDescent="0.3">
      <c r="A10543">
        <v>10542</v>
      </c>
      <c r="B10543">
        <v>4.8</v>
      </c>
      <c r="C10543">
        <v>14.2333</v>
      </c>
      <c r="D10543">
        <v>12.3833</v>
      </c>
      <c r="E10543" t="s">
        <v>15938</v>
      </c>
      <c r="F10543" t="s">
        <v>15939</v>
      </c>
      <c r="G10543" t="s">
        <v>39</v>
      </c>
      <c r="H10543">
        <v>1990</v>
      </c>
      <c r="I10543">
        <v>27.3</v>
      </c>
      <c r="J10543">
        <v>15.1</v>
      </c>
      <c r="K10543">
        <v>57</v>
      </c>
      <c r="L10543">
        <v>28.43</v>
      </c>
      <c r="M10543">
        <v>39.799999999999997</v>
      </c>
      <c r="N10543">
        <v>13.4</v>
      </c>
      <c r="O10543">
        <v>26.4</v>
      </c>
      <c r="P10543">
        <v>27.2</v>
      </c>
      <c r="Q10543">
        <v>25.3</v>
      </c>
      <c r="R10543">
        <v>31</v>
      </c>
      <c r="S10543">
        <v>23.5</v>
      </c>
      <c r="T10543">
        <v>448.56540000000001</v>
      </c>
      <c r="U10543">
        <v>160.56540000000001</v>
      </c>
      <c r="V10543">
        <v>0</v>
      </c>
      <c r="W10543">
        <v>139</v>
      </c>
      <c r="X10543">
        <v>362.56540000000001</v>
      </c>
      <c r="Y10543">
        <v>0</v>
      </c>
      <c r="Z10543">
        <v>72</v>
      </c>
      <c r="AA10543">
        <v>0</v>
      </c>
      <c r="AB10543">
        <v>4.5673419999999999E-2</v>
      </c>
      <c r="AC10543">
        <v>0.70249830000000002</v>
      </c>
      <c r="AD10543">
        <v>0.78285459999999996</v>
      </c>
      <c r="AE10543">
        <v>0.3542148</v>
      </c>
      <c r="AF10543">
        <v>285.14940000000001</v>
      </c>
      <c r="AG10543">
        <f>IFERROR(AH10543*0.1, "N/A")</f>
        <v>7.2692700000000006</v>
      </c>
      <c r="AH10543">
        <v>72.692700000000002</v>
      </c>
      <c r="AI10543">
        <v>133.42269999999999</v>
      </c>
      <c r="AJ10543">
        <v>27.653649999999999</v>
      </c>
      <c r="AK10543">
        <v>52.51952</v>
      </c>
    </row>
    <row r="10544" spans="1:37" x14ac:dyDescent="0.3">
      <c r="A10544">
        <v>10543</v>
      </c>
      <c r="B10544">
        <v>0</v>
      </c>
      <c r="C10544">
        <v>14.2333</v>
      </c>
      <c r="D10544">
        <v>12.3833</v>
      </c>
      <c r="E10544" t="s">
        <v>15938</v>
      </c>
      <c r="F10544" t="s">
        <v>15940</v>
      </c>
      <c r="G10544" t="s">
        <v>37</v>
      </c>
      <c r="H10544">
        <v>1990</v>
      </c>
      <c r="I10544">
        <v>27.3</v>
      </c>
      <c r="J10544">
        <v>15.1</v>
      </c>
      <c r="K10544">
        <v>57</v>
      </c>
      <c r="L10544">
        <v>28.43</v>
      </c>
      <c r="M10544">
        <v>39.799999999999997</v>
      </c>
      <c r="N10544">
        <v>13.4</v>
      </c>
      <c r="O10544">
        <v>26.4</v>
      </c>
      <c r="P10544">
        <v>27.2</v>
      </c>
      <c r="Q10544">
        <v>25.3</v>
      </c>
      <c r="R10544">
        <v>31</v>
      </c>
      <c r="S10544">
        <v>23.5</v>
      </c>
      <c r="T10544">
        <v>448.56540000000001</v>
      </c>
      <c r="U10544">
        <v>160.56540000000001</v>
      </c>
      <c r="V10544">
        <v>0</v>
      </c>
      <c r="W10544">
        <v>139</v>
      </c>
      <c r="X10544">
        <v>362.56540000000001</v>
      </c>
      <c r="Y10544">
        <v>0</v>
      </c>
      <c r="Z10544">
        <v>72</v>
      </c>
      <c r="AA10544">
        <v>0</v>
      </c>
      <c r="AB10544">
        <v>4.5673419999999999E-2</v>
      </c>
      <c r="AC10544">
        <v>0.70249830000000002</v>
      </c>
      <c r="AD10544">
        <v>0.78285459999999996</v>
      </c>
      <c r="AE10544">
        <v>0.3542148</v>
      </c>
      <c r="AF10544">
        <v>285.14940000000001</v>
      </c>
      <c r="AG10544">
        <f>IFERROR(AH10544*0.1, "N/A")</f>
        <v>7.2692700000000006</v>
      </c>
      <c r="AH10544">
        <v>72.692700000000002</v>
      </c>
      <c r="AI10544">
        <v>133.42269999999999</v>
      </c>
      <c r="AJ10544">
        <v>27.653649999999999</v>
      </c>
      <c r="AK10544">
        <v>52.51952</v>
      </c>
    </row>
    <row r="10545" spans="1:37" x14ac:dyDescent="0.3">
      <c r="A10545">
        <v>10544</v>
      </c>
      <c r="B10545">
        <v>0</v>
      </c>
      <c r="C10545">
        <v>14.2333</v>
      </c>
      <c r="D10545">
        <v>12.3833</v>
      </c>
      <c r="E10545" t="s">
        <v>15938</v>
      </c>
      <c r="F10545" t="s">
        <v>15941</v>
      </c>
      <c r="G10545" t="s">
        <v>2420</v>
      </c>
      <c r="H10545">
        <v>1990</v>
      </c>
      <c r="I10545">
        <v>27.3</v>
      </c>
      <c r="J10545">
        <v>15.1</v>
      </c>
      <c r="K10545">
        <v>57</v>
      </c>
      <c r="L10545">
        <v>28.43</v>
      </c>
      <c r="M10545">
        <v>39.799999999999997</v>
      </c>
      <c r="N10545">
        <v>13.4</v>
      </c>
      <c r="O10545">
        <v>26.4</v>
      </c>
      <c r="P10545">
        <v>27.2</v>
      </c>
      <c r="Q10545">
        <v>25.3</v>
      </c>
      <c r="R10545">
        <v>31</v>
      </c>
      <c r="S10545">
        <v>23.5</v>
      </c>
      <c r="T10545">
        <v>448.56540000000001</v>
      </c>
      <c r="U10545">
        <v>160.56540000000001</v>
      </c>
      <c r="V10545">
        <v>0</v>
      </c>
      <c r="W10545">
        <v>139</v>
      </c>
      <c r="X10545">
        <v>362.56540000000001</v>
      </c>
      <c r="Y10545">
        <v>0</v>
      </c>
      <c r="Z10545">
        <v>72</v>
      </c>
      <c r="AA10545">
        <v>0</v>
      </c>
      <c r="AB10545">
        <v>4.5673419999999999E-2</v>
      </c>
      <c r="AC10545">
        <v>0.70249830000000002</v>
      </c>
      <c r="AD10545">
        <v>0.78285459999999996</v>
      </c>
      <c r="AE10545">
        <v>0.3542148</v>
      </c>
      <c r="AF10545">
        <v>285.14940000000001</v>
      </c>
      <c r="AG10545">
        <f>IFERROR(AH10545*0.1, "N/A")</f>
        <v>7.2692700000000006</v>
      </c>
      <c r="AH10545">
        <v>72.692700000000002</v>
      </c>
      <c r="AI10545">
        <v>133.42269999999999</v>
      </c>
      <c r="AJ10545">
        <v>27.653649999999999</v>
      </c>
      <c r="AK10545">
        <v>52.51952</v>
      </c>
    </row>
    <row r="10546" spans="1:37" x14ac:dyDescent="0.3">
      <c r="A10546">
        <v>10545</v>
      </c>
      <c r="B10546">
        <v>37.9</v>
      </c>
      <c r="C10546">
        <v>14.7417</v>
      </c>
      <c r="D10546">
        <v>12.466699999999999</v>
      </c>
      <c r="E10546" t="s">
        <v>15942</v>
      </c>
      <c r="F10546" t="s">
        <v>15943</v>
      </c>
      <c r="G10546" t="s">
        <v>39</v>
      </c>
      <c r="H10546">
        <v>1990</v>
      </c>
      <c r="I10546">
        <v>27.9</v>
      </c>
      <c r="J10546">
        <v>15.2</v>
      </c>
      <c r="K10546">
        <v>56</v>
      </c>
      <c r="L10546">
        <v>29.34177</v>
      </c>
      <c r="M10546">
        <v>40.5</v>
      </c>
      <c r="N10546">
        <v>13.6</v>
      </c>
      <c r="O10546">
        <v>26.9</v>
      </c>
      <c r="P10546">
        <v>27.6</v>
      </c>
      <c r="Q10546">
        <v>25.9</v>
      </c>
      <c r="R10546">
        <v>31.7</v>
      </c>
      <c r="S10546">
        <v>24</v>
      </c>
      <c r="T10546">
        <v>411.69729999999998</v>
      </c>
      <c r="U10546">
        <v>139.58330000000001</v>
      </c>
      <c r="V10546">
        <v>0</v>
      </c>
      <c r="W10546">
        <v>135</v>
      </c>
      <c r="X10546">
        <v>328.24149999999997</v>
      </c>
      <c r="Y10546">
        <v>0</v>
      </c>
      <c r="Z10546">
        <v>67.455780000000004</v>
      </c>
      <c r="AA10546">
        <v>0</v>
      </c>
      <c r="AB10546">
        <v>0.2625825</v>
      </c>
      <c r="AC10546">
        <v>1.9057790000000002E-2</v>
      </c>
      <c r="AD10546">
        <v>0.88141570000000002</v>
      </c>
      <c r="AE10546">
        <v>0.2291414</v>
      </c>
      <c r="AF10546">
        <v>287.16329999999999</v>
      </c>
      <c r="AG10546">
        <f>IFERROR(AH10546*0.1, "N/A")</f>
        <v>7.3000000000000007</v>
      </c>
      <c r="AH10546">
        <v>73</v>
      </c>
      <c r="AI10546">
        <v>163.18520000000001</v>
      </c>
      <c r="AJ10546">
        <v>34.202379999999998</v>
      </c>
      <c r="AK10546">
        <v>48</v>
      </c>
    </row>
    <row r="10547" spans="1:37" x14ac:dyDescent="0.3">
      <c r="A10547">
        <v>10546</v>
      </c>
      <c r="B10547">
        <v>0</v>
      </c>
      <c r="C10547">
        <v>14.7417</v>
      </c>
      <c r="D10547">
        <v>12.466699999999999</v>
      </c>
      <c r="E10547" t="s">
        <v>15942</v>
      </c>
      <c r="F10547" t="s">
        <v>15944</v>
      </c>
      <c r="G10547" t="s">
        <v>37</v>
      </c>
      <c r="H10547">
        <v>1990</v>
      </c>
      <c r="I10547">
        <v>27.9</v>
      </c>
      <c r="J10547">
        <v>15.2</v>
      </c>
      <c r="K10547">
        <v>56</v>
      </c>
      <c r="L10547">
        <v>29.34177</v>
      </c>
      <c r="M10547">
        <v>40.5</v>
      </c>
      <c r="N10547">
        <v>13.6</v>
      </c>
      <c r="O10547">
        <v>26.9</v>
      </c>
      <c r="P10547">
        <v>27.6</v>
      </c>
      <c r="Q10547">
        <v>25.9</v>
      </c>
      <c r="R10547">
        <v>31.7</v>
      </c>
      <c r="S10547">
        <v>24</v>
      </c>
      <c r="T10547">
        <v>411.69729999999998</v>
      </c>
      <c r="U10547">
        <v>139.58330000000001</v>
      </c>
      <c r="V10547">
        <v>0</v>
      </c>
      <c r="W10547">
        <v>135</v>
      </c>
      <c r="X10547">
        <v>328.24149999999997</v>
      </c>
      <c r="Y10547">
        <v>0</v>
      </c>
      <c r="Z10547">
        <v>67.455780000000004</v>
      </c>
      <c r="AA10547">
        <v>0</v>
      </c>
      <c r="AB10547">
        <v>0.2625825</v>
      </c>
      <c r="AC10547">
        <v>1.9057790000000002E-2</v>
      </c>
      <c r="AD10547">
        <v>0.88141570000000002</v>
      </c>
      <c r="AE10547">
        <v>0.2291414</v>
      </c>
      <c r="AF10547">
        <v>287.16329999999999</v>
      </c>
      <c r="AG10547">
        <f>IFERROR(AH10547*0.1, "N/A")</f>
        <v>7.3000000000000007</v>
      </c>
      <c r="AH10547">
        <v>73</v>
      </c>
      <c r="AI10547">
        <v>163.18520000000001</v>
      </c>
      <c r="AJ10547">
        <v>34.202379999999998</v>
      </c>
      <c r="AK10547">
        <v>48</v>
      </c>
    </row>
    <row r="10548" spans="1:37" x14ac:dyDescent="0.3">
      <c r="A10548">
        <v>10547</v>
      </c>
      <c r="B10548">
        <v>0</v>
      </c>
      <c r="C10548">
        <v>14.7417</v>
      </c>
      <c r="D10548">
        <v>12.466699999999999</v>
      </c>
      <c r="E10548" t="s">
        <v>15942</v>
      </c>
      <c r="F10548" t="s">
        <v>15945</v>
      </c>
      <c r="G10548" t="s">
        <v>2420</v>
      </c>
      <c r="H10548">
        <v>1990</v>
      </c>
      <c r="I10548">
        <v>27.9</v>
      </c>
      <c r="J10548">
        <v>15.2</v>
      </c>
      <c r="K10548">
        <v>56</v>
      </c>
      <c r="L10548">
        <v>29.34177</v>
      </c>
      <c r="M10548">
        <v>40.5</v>
      </c>
      <c r="N10548">
        <v>13.6</v>
      </c>
      <c r="O10548">
        <v>26.9</v>
      </c>
      <c r="P10548">
        <v>27.6</v>
      </c>
      <c r="Q10548">
        <v>25.9</v>
      </c>
      <c r="R10548">
        <v>31.7</v>
      </c>
      <c r="S10548">
        <v>24</v>
      </c>
      <c r="T10548">
        <v>411.69729999999998</v>
      </c>
      <c r="U10548">
        <v>139.58330000000001</v>
      </c>
      <c r="V10548">
        <v>0</v>
      </c>
      <c r="W10548">
        <v>135</v>
      </c>
      <c r="X10548">
        <v>328.24149999999997</v>
      </c>
      <c r="Y10548">
        <v>0</v>
      </c>
      <c r="Z10548">
        <v>67.455780000000004</v>
      </c>
      <c r="AA10548">
        <v>0</v>
      </c>
      <c r="AB10548">
        <v>0.2625825</v>
      </c>
      <c r="AC10548">
        <v>1.9057790000000002E-2</v>
      </c>
      <c r="AD10548">
        <v>0.88141570000000002</v>
      </c>
      <c r="AE10548">
        <v>0.2291414</v>
      </c>
      <c r="AF10548">
        <v>287.16329999999999</v>
      </c>
      <c r="AG10548">
        <f>IFERROR(AH10548*0.1, "N/A")</f>
        <v>7.3000000000000007</v>
      </c>
      <c r="AH10548">
        <v>73</v>
      </c>
      <c r="AI10548">
        <v>163.18520000000001</v>
      </c>
      <c r="AJ10548">
        <v>34.202379999999998</v>
      </c>
      <c r="AK10548">
        <v>48</v>
      </c>
    </row>
    <row r="10549" spans="1:37" x14ac:dyDescent="0.3">
      <c r="A10549">
        <v>10548</v>
      </c>
      <c r="B10549">
        <v>8.1</v>
      </c>
      <c r="C10549">
        <v>14.85</v>
      </c>
      <c r="D10549">
        <v>12.533300000000001</v>
      </c>
      <c r="E10549" t="s">
        <v>15946</v>
      </c>
      <c r="F10549" t="s">
        <v>15947</v>
      </c>
      <c r="G10549" t="s">
        <v>39</v>
      </c>
      <c r="H10549">
        <v>1990</v>
      </c>
      <c r="I10549">
        <v>28</v>
      </c>
      <c r="J10549">
        <v>15.251860000000001</v>
      </c>
      <c r="K10549">
        <v>56</v>
      </c>
      <c r="L10549">
        <v>29.79458</v>
      </c>
      <c r="M10549">
        <v>40.700000000000003</v>
      </c>
      <c r="N10549">
        <v>13.626099999999999</v>
      </c>
      <c r="O10549">
        <v>27.073899999999998</v>
      </c>
      <c r="P10549">
        <v>27.7</v>
      </c>
      <c r="Q10549">
        <v>25.950679999999998</v>
      </c>
      <c r="R10549">
        <v>31.9</v>
      </c>
      <c r="S10549">
        <v>24.0261</v>
      </c>
      <c r="T10549">
        <v>401.45589999999999</v>
      </c>
      <c r="U10549">
        <v>135.48140000000001</v>
      </c>
      <c r="V10549">
        <v>0</v>
      </c>
      <c r="W10549">
        <v>135.48140000000001</v>
      </c>
      <c r="X10549">
        <v>319.23559999999998</v>
      </c>
      <c r="Y10549">
        <v>0</v>
      </c>
      <c r="Z10549">
        <v>66.220339999999993</v>
      </c>
      <c r="AA10549">
        <v>0</v>
      </c>
      <c r="AB10549">
        <v>3.3452540000000002</v>
      </c>
      <c r="AC10549">
        <v>133123.29999999999</v>
      </c>
      <c r="AD10549">
        <v>1.518319</v>
      </c>
      <c r="AE10549">
        <v>0.19792699999999999</v>
      </c>
      <c r="AF10549">
        <v>284.6644</v>
      </c>
      <c r="AG10549">
        <f>IFERROR(AH10549*0.1, "N/A")</f>
        <v>6.8000000000000007</v>
      </c>
      <c r="AH10549">
        <v>68</v>
      </c>
      <c r="AI10549">
        <v>83.019840000000002</v>
      </c>
      <c r="AJ10549">
        <v>39</v>
      </c>
      <c r="AK10549">
        <v>39</v>
      </c>
    </row>
    <row r="10550" spans="1:37" x14ac:dyDescent="0.3">
      <c r="A10550">
        <v>10549</v>
      </c>
      <c r="B10550">
        <v>0</v>
      </c>
      <c r="C10550">
        <v>14.85</v>
      </c>
      <c r="D10550">
        <v>12.533300000000001</v>
      </c>
      <c r="E10550" t="s">
        <v>15946</v>
      </c>
      <c r="F10550" t="s">
        <v>15948</v>
      </c>
      <c r="G10550" t="s">
        <v>37</v>
      </c>
      <c r="H10550">
        <v>1990</v>
      </c>
      <c r="I10550">
        <v>28</v>
      </c>
      <c r="J10550">
        <v>15.251860000000001</v>
      </c>
      <c r="K10550">
        <v>56</v>
      </c>
      <c r="L10550">
        <v>29.79458</v>
      </c>
      <c r="M10550">
        <v>40.700000000000003</v>
      </c>
      <c r="N10550">
        <v>13.626099999999999</v>
      </c>
      <c r="O10550">
        <v>27.073899999999998</v>
      </c>
      <c r="P10550">
        <v>27.7</v>
      </c>
      <c r="Q10550">
        <v>25.950679999999998</v>
      </c>
      <c r="R10550">
        <v>31.9</v>
      </c>
      <c r="S10550">
        <v>24.0261</v>
      </c>
      <c r="T10550">
        <v>401.45589999999999</v>
      </c>
      <c r="U10550">
        <v>135.48140000000001</v>
      </c>
      <c r="V10550">
        <v>0</v>
      </c>
      <c r="W10550">
        <v>135.48140000000001</v>
      </c>
      <c r="X10550">
        <v>319.23559999999998</v>
      </c>
      <c r="Y10550">
        <v>0</v>
      </c>
      <c r="Z10550">
        <v>66.220339999999993</v>
      </c>
      <c r="AA10550">
        <v>0</v>
      </c>
      <c r="AB10550">
        <v>3.3452540000000002</v>
      </c>
      <c r="AC10550">
        <v>133123.29999999999</v>
      </c>
      <c r="AD10550">
        <v>1.518319</v>
      </c>
      <c r="AE10550">
        <v>0.19792699999999999</v>
      </c>
      <c r="AF10550">
        <v>284.6644</v>
      </c>
      <c r="AG10550">
        <f>IFERROR(AH10550*0.1, "N/A")</f>
        <v>6.8000000000000007</v>
      </c>
      <c r="AH10550">
        <v>68</v>
      </c>
      <c r="AI10550">
        <v>83.019840000000002</v>
      </c>
      <c r="AJ10550">
        <v>39</v>
      </c>
      <c r="AK10550">
        <v>39</v>
      </c>
    </row>
    <row r="10551" spans="1:37" x14ac:dyDescent="0.3">
      <c r="A10551">
        <v>10550</v>
      </c>
      <c r="B10551">
        <v>0</v>
      </c>
      <c r="C10551">
        <v>14.85</v>
      </c>
      <c r="D10551">
        <v>12.533300000000001</v>
      </c>
      <c r="E10551" t="s">
        <v>15946</v>
      </c>
      <c r="F10551" t="s">
        <v>15949</v>
      </c>
      <c r="G10551" t="s">
        <v>2420</v>
      </c>
      <c r="H10551">
        <v>1990</v>
      </c>
      <c r="I10551">
        <v>28</v>
      </c>
      <c r="J10551">
        <v>15.251860000000001</v>
      </c>
      <c r="K10551">
        <v>56</v>
      </c>
      <c r="L10551">
        <v>29.79458</v>
      </c>
      <c r="M10551">
        <v>40.700000000000003</v>
      </c>
      <c r="N10551">
        <v>13.626099999999999</v>
      </c>
      <c r="O10551">
        <v>27.073899999999998</v>
      </c>
      <c r="P10551">
        <v>27.7</v>
      </c>
      <c r="Q10551">
        <v>25.950679999999998</v>
      </c>
      <c r="R10551">
        <v>31.9</v>
      </c>
      <c r="S10551">
        <v>24.0261</v>
      </c>
      <c r="T10551">
        <v>401.45589999999999</v>
      </c>
      <c r="U10551">
        <v>135.48140000000001</v>
      </c>
      <c r="V10551">
        <v>0</v>
      </c>
      <c r="W10551">
        <v>135.48140000000001</v>
      </c>
      <c r="X10551">
        <v>319.23559999999998</v>
      </c>
      <c r="Y10551">
        <v>0</v>
      </c>
      <c r="Z10551">
        <v>66.220339999999993</v>
      </c>
      <c r="AA10551">
        <v>0</v>
      </c>
      <c r="AB10551">
        <v>3.3452540000000002</v>
      </c>
      <c r="AC10551">
        <v>133123.29999999999</v>
      </c>
      <c r="AD10551">
        <v>1.518319</v>
      </c>
      <c r="AE10551">
        <v>0.19792699999999999</v>
      </c>
      <c r="AF10551">
        <v>284.6644</v>
      </c>
      <c r="AG10551">
        <f>IFERROR(AH10551*0.1, "N/A")</f>
        <v>6.8000000000000007</v>
      </c>
      <c r="AH10551">
        <v>68</v>
      </c>
      <c r="AI10551">
        <v>83.019840000000002</v>
      </c>
      <c r="AJ10551">
        <v>39</v>
      </c>
      <c r="AK10551">
        <v>39</v>
      </c>
    </row>
    <row r="10552" spans="1:37" x14ac:dyDescent="0.3">
      <c r="A10552">
        <v>10551</v>
      </c>
      <c r="B10552">
        <v>8.3000000000000007</v>
      </c>
      <c r="C10552">
        <v>14.45</v>
      </c>
      <c r="D10552">
        <v>12.583299999999999</v>
      </c>
      <c r="E10552" t="s">
        <v>15950</v>
      </c>
      <c r="F10552" t="s">
        <v>15951</v>
      </c>
      <c r="G10552" t="s">
        <v>39</v>
      </c>
      <c r="H10552">
        <v>1990</v>
      </c>
      <c r="I10552">
        <v>27.5</v>
      </c>
      <c r="J10552">
        <v>15.1</v>
      </c>
      <c r="K10552">
        <v>56</v>
      </c>
      <c r="L10552">
        <v>29.45683</v>
      </c>
      <c r="M10552">
        <v>40</v>
      </c>
      <c r="N10552">
        <v>13.3</v>
      </c>
      <c r="O10552">
        <v>26.7</v>
      </c>
      <c r="P10552">
        <v>27.4</v>
      </c>
      <c r="Q10552">
        <v>25.4</v>
      </c>
      <c r="R10552">
        <v>31.3</v>
      </c>
      <c r="S10552">
        <v>23.5</v>
      </c>
      <c r="T10552">
        <v>395.92500000000001</v>
      </c>
      <c r="U10552">
        <v>140.54</v>
      </c>
      <c r="V10552">
        <v>0</v>
      </c>
      <c r="W10552">
        <v>138.06979999999999</v>
      </c>
      <c r="X10552">
        <v>321.73250000000002</v>
      </c>
      <c r="Y10552">
        <v>0</v>
      </c>
      <c r="Z10552">
        <v>61.192500000000003</v>
      </c>
      <c r="AA10552">
        <v>0</v>
      </c>
      <c r="AB10552">
        <v>1.2815939999999999</v>
      </c>
      <c r="AC10552">
        <v>54.843089999999997</v>
      </c>
      <c r="AD10552">
        <v>2.1076950000000001</v>
      </c>
      <c r="AE10552">
        <v>0.45962809999999998</v>
      </c>
      <c r="AF10552">
        <v>287.61669999999998</v>
      </c>
      <c r="AG10552">
        <f>IFERROR(AH10552*0.1, "N/A")</f>
        <v>6.8543440000000011</v>
      </c>
      <c r="AH10552">
        <v>68.543440000000004</v>
      </c>
      <c r="AI10552">
        <v>122.1221</v>
      </c>
      <c r="AJ10552">
        <v>28.916519999999998</v>
      </c>
      <c r="AK10552">
        <v>50.340719999999997</v>
      </c>
    </row>
    <row r="10553" spans="1:37" x14ac:dyDescent="0.3">
      <c r="A10553">
        <v>10552</v>
      </c>
      <c r="B10553">
        <v>2.2000000000000002</v>
      </c>
      <c r="C10553">
        <v>14.45</v>
      </c>
      <c r="D10553">
        <v>12.583299999999999</v>
      </c>
      <c r="E10553" t="s">
        <v>15950</v>
      </c>
      <c r="F10553" t="s">
        <v>15952</v>
      </c>
      <c r="G10553" t="s">
        <v>37</v>
      </c>
      <c r="H10553">
        <v>1990</v>
      </c>
      <c r="I10553">
        <v>27.5</v>
      </c>
      <c r="J10553">
        <v>15.1</v>
      </c>
      <c r="K10553">
        <v>56</v>
      </c>
      <c r="L10553">
        <v>29.45683</v>
      </c>
      <c r="M10553">
        <v>40</v>
      </c>
      <c r="N10553">
        <v>13.3</v>
      </c>
      <c r="O10553">
        <v>26.7</v>
      </c>
      <c r="P10553">
        <v>27.4</v>
      </c>
      <c r="Q10553">
        <v>25.4</v>
      </c>
      <c r="R10553">
        <v>31.3</v>
      </c>
      <c r="S10553">
        <v>23.5</v>
      </c>
      <c r="T10553">
        <v>395.92500000000001</v>
      </c>
      <c r="U10553">
        <v>140.54</v>
      </c>
      <c r="V10553">
        <v>0</v>
      </c>
      <c r="W10553">
        <v>138.06979999999999</v>
      </c>
      <c r="X10553">
        <v>321.73250000000002</v>
      </c>
      <c r="Y10553">
        <v>0</v>
      </c>
      <c r="Z10553">
        <v>61.192500000000003</v>
      </c>
      <c r="AA10553">
        <v>0</v>
      </c>
      <c r="AB10553">
        <v>1.2815939999999999</v>
      </c>
      <c r="AC10553">
        <v>54.843089999999997</v>
      </c>
      <c r="AD10553">
        <v>2.1076950000000001</v>
      </c>
      <c r="AE10553">
        <v>0.45962809999999998</v>
      </c>
      <c r="AF10553">
        <v>287.61669999999998</v>
      </c>
      <c r="AG10553">
        <f>IFERROR(AH10553*0.1, "N/A")</f>
        <v>6.8543440000000011</v>
      </c>
      <c r="AH10553">
        <v>68.543440000000004</v>
      </c>
      <c r="AI10553">
        <v>122.1221</v>
      </c>
      <c r="AJ10553">
        <v>28.916519999999998</v>
      </c>
      <c r="AK10553">
        <v>50.340719999999997</v>
      </c>
    </row>
    <row r="10554" spans="1:37" x14ac:dyDescent="0.3">
      <c r="A10554">
        <v>10553</v>
      </c>
      <c r="B10554">
        <v>0</v>
      </c>
      <c r="C10554">
        <v>14.45</v>
      </c>
      <c r="D10554">
        <v>12.583299999999999</v>
      </c>
      <c r="E10554" t="s">
        <v>15950</v>
      </c>
      <c r="F10554" t="s">
        <v>15953</v>
      </c>
      <c r="G10554" t="s">
        <v>2420</v>
      </c>
      <c r="H10554">
        <v>1990</v>
      </c>
      <c r="I10554">
        <v>27.5</v>
      </c>
      <c r="J10554">
        <v>15.1</v>
      </c>
      <c r="K10554">
        <v>56</v>
      </c>
      <c r="L10554">
        <v>29.45683</v>
      </c>
      <c r="M10554">
        <v>40</v>
      </c>
      <c r="N10554">
        <v>13.3</v>
      </c>
      <c r="O10554">
        <v>26.7</v>
      </c>
      <c r="P10554">
        <v>27.4</v>
      </c>
      <c r="Q10554">
        <v>25.4</v>
      </c>
      <c r="R10554">
        <v>31.3</v>
      </c>
      <c r="S10554">
        <v>23.5</v>
      </c>
      <c r="T10554">
        <v>395.92500000000001</v>
      </c>
      <c r="U10554">
        <v>140.54</v>
      </c>
      <c r="V10554">
        <v>0</v>
      </c>
      <c r="W10554">
        <v>138.06979999999999</v>
      </c>
      <c r="X10554">
        <v>321.73250000000002</v>
      </c>
      <c r="Y10554">
        <v>0</v>
      </c>
      <c r="Z10554">
        <v>61.192500000000003</v>
      </c>
      <c r="AA10554">
        <v>0</v>
      </c>
      <c r="AB10554">
        <v>1.2815939999999999</v>
      </c>
      <c r="AC10554">
        <v>54.843089999999997</v>
      </c>
      <c r="AD10554">
        <v>2.1076950000000001</v>
      </c>
      <c r="AE10554">
        <v>0.45962809999999998</v>
      </c>
      <c r="AF10554">
        <v>287.61669999999998</v>
      </c>
      <c r="AG10554">
        <f>IFERROR(AH10554*0.1, "N/A")</f>
        <v>6.8543440000000011</v>
      </c>
      <c r="AH10554">
        <v>68.543440000000004</v>
      </c>
      <c r="AI10554">
        <v>122.1221</v>
      </c>
      <c r="AJ10554">
        <v>28.916519999999998</v>
      </c>
      <c r="AK10554">
        <v>50.340719999999997</v>
      </c>
    </row>
    <row r="10555" spans="1:37" x14ac:dyDescent="0.3">
      <c r="A10555">
        <v>10554</v>
      </c>
      <c r="B10555">
        <v>38.5</v>
      </c>
      <c r="C10555">
        <v>14.2667</v>
      </c>
      <c r="D10555">
        <v>12.833299999999999</v>
      </c>
      <c r="E10555" t="s">
        <v>15954</v>
      </c>
      <c r="F10555" t="s">
        <v>15955</v>
      </c>
      <c r="G10555" t="s">
        <v>39</v>
      </c>
      <c r="H10555">
        <v>1990</v>
      </c>
      <c r="I10555">
        <v>27.4</v>
      </c>
      <c r="J10555">
        <v>15.1</v>
      </c>
      <c r="K10555">
        <v>56</v>
      </c>
      <c r="L10555">
        <v>30.551680000000001</v>
      </c>
      <c r="M10555">
        <v>39.700000000000003</v>
      </c>
      <c r="N10555">
        <v>12.95059</v>
      </c>
      <c r="O10555">
        <v>26.749410000000001</v>
      </c>
      <c r="P10555">
        <v>27.7</v>
      </c>
      <c r="Q10555">
        <v>24.950589999999998</v>
      </c>
      <c r="R10555">
        <v>31.2</v>
      </c>
      <c r="S10555">
        <v>23.05059</v>
      </c>
      <c r="T10555">
        <v>356.89510000000001</v>
      </c>
      <c r="U10555">
        <v>138.38579999999999</v>
      </c>
      <c r="V10555">
        <v>0</v>
      </c>
      <c r="W10555">
        <v>148</v>
      </c>
      <c r="X10555">
        <v>299.38580000000002</v>
      </c>
      <c r="Y10555">
        <v>0</v>
      </c>
      <c r="Z10555">
        <v>47.509309999999999</v>
      </c>
      <c r="AA10555">
        <v>0</v>
      </c>
      <c r="AB10555">
        <v>0.24654400000000001</v>
      </c>
      <c r="AC10555">
        <v>7.0771459999999994E-2</v>
      </c>
      <c r="AD10555">
        <v>0.65701469999999995</v>
      </c>
      <c r="AE10555">
        <v>0.74389439999999996</v>
      </c>
      <c r="AF10555">
        <v>279.77159999999998</v>
      </c>
      <c r="AG10555">
        <f>IFERROR(AH10555*0.1, "N/A")</f>
        <v>5.7768189999999997</v>
      </c>
      <c r="AH10555">
        <v>57.768189999999997</v>
      </c>
      <c r="AI10555">
        <v>138.8228</v>
      </c>
      <c r="AJ10555">
        <v>30.768190000000001</v>
      </c>
      <c r="AK10555">
        <v>50.231810000000003</v>
      </c>
    </row>
    <row r="10556" spans="1:37" x14ac:dyDescent="0.3">
      <c r="A10556">
        <v>10555</v>
      </c>
      <c r="B10556">
        <v>20.7</v>
      </c>
      <c r="C10556">
        <v>14.2667</v>
      </c>
      <c r="D10556">
        <v>12.833299999999999</v>
      </c>
      <c r="E10556" t="s">
        <v>15954</v>
      </c>
      <c r="F10556" t="s">
        <v>15956</v>
      </c>
      <c r="G10556" t="s">
        <v>37</v>
      </c>
      <c r="H10556">
        <v>1990</v>
      </c>
      <c r="I10556">
        <v>27.4</v>
      </c>
      <c r="J10556">
        <v>15.1</v>
      </c>
      <c r="K10556">
        <v>56</v>
      </c>
      <c r="L10556">
        <v>30.551680000000001</v>
      </c>
      <c r="M10556">
        <v>39.700000000000003</v>
      </c>
      <c r="N10556">
        <v>12.95059</v>
      </c>
      <c r="O10556">
        <v>26.749410000000001</v>
      </c>
      <c r="P10556">
        <v>27.7</v>
      </c>
      <c r="Q10556">
        <v>24.950589999999998</v>
      </c>
      <c r="R10556">
        <v>31.2</v>
      </c>
      <c r="S10556">
        <v>23.05059</v>
      </c>
      <c r="T10556">
        <v>356.89510000000001</v>
      </c>
      <c r="U10556">
        <v>138.38579999999999</v>
      </c>
      <c r="V10556">
        <v>0</v>
      </c>
      <c r="W10556">
        <v>148</v>
      </c>
      <c r="X10556">
        <v>299.38580000000002</v>
      </c>
      <c r="Y10556">
        <v>0</v>
      </c>
      <c r="Z10556">
        <v>47.509309999999999</v>
      </c>
      <c r="AA10556">
        <v>0</v>
      </c>
      <c r="AB10556">
        <v>0.24654400000000001</v>
      </c>
      <c r="AC10556">
        <v>7.0771459999999994E-2</v>
      </c>
      <c r="AD10556">
        <v>0.65701469999999995</v>
      </c>
      <c r="AE10556">
        <v>0.74389439999999996</v>
      </c>
      <c r="AF10556">
        <v>279.77159999999998</v>
      </c>
      <c r="AG10556">
        <f>IFERROR(AH10556*0.1, "N/A")</f>
        <v>5.7768189999999997</v>
      </c>
      <c r="AH10556">
        <v>57.768189999999997</v>
      </c>
      <c r="AI10556">
        <v>138.8228</v>
      </c>
      <c r="AJ10556">
        <v>30.768190000000001</v>
      </c>
      <c r="AK10556">
        <v>50.231810000000003</v>
      </c>
    </row>
    <row r="10557" spans="1:37" x14ac:dyDescent="0.3">
      <c r="A10557">
        <v>10556</v>
      </c>
      <c r="B10557">
        <v>3.4</v>
      </c>
      <c r="C10557">
        <v>14.2667</v>
      </c>
      <c r="D10557">
        <v>12.833299999999999</v>
      </c>
      <c r="E10557" t="s">
        <v>15954</v>
      </c>
      <c r="F10557" t="s">
        <v>15957</v>
      </c>
      <c r="G10557" t="s">
        <v>2420</v>
      </c>
      <c r="H10557">
        <v>1990</v>
      </c>
      <c r="I10557">
        <v>27.4</v>
      </c>
      <c r="J10557">
        <v>15.1</v>
      </c>
      <c r="K10557">
        <v>56</v>
      </c>
      <c r="L10557">
        <v>30.551680000000001</v>
      </c>
      <c r="M10557">
        <v>39.700000000000003</v>
      </c>
      <c r="N10557">
        <v>12.95059</v>
      </c>
      <c r="O10557">
        <v>26.749410000000001</v>
      </c>
      <c r="P10557">
        <v>27.7</v>
      </c>
      <c r="Q10557">
        <v>24.950589999999998</v>
      </c>
      <c r="R10557">
        <v>31.2</v>
      </c>
      <c r="S10557">
        <v>23.05059</v>
      </c>
      <c r="T10557">
        <v>356.89510000000001</v>
      </c>
      <c r="U10557">
        <v>138.38579999999999</v>
      </c>
      <c r="V10557">
        <v>0</v>
      </c>
      <c r="W10557">
        <v>148</v>
      </c>
      <c r="X10557">
        <v>299.38580000000002</v>
      </c>
      <c r="Y10557">
        <v>0</v>
      </c>
      <c r="Z10557">
        <v>47.509309999999999</v>
      </c>
      <c r="AA10557">
        <v>0</v>
      </c>
      <c r="AB10557">
        <v>0.24654400000000001</v>
      </c>
      <c r="AC10557">
        <v>7.0771459999999994E-2</v>
      </c>
      <c r="AD10557">
        <v>0.65701469999999995</v>
      </c>
      <c r="AE10557">
        <v>0.74389439999999996</v>
      </c>
      <c r="AF10557">
        <v>279.77159999999998</v>
      </c>
      <c r="AG10557">
        <f>IFERROR(AH10557*0.1, "N/A")</f>
        <v>5.7768189999999997</v>
      </c>
      <c r="AH10557">
        <v>57.768189999999997</v>
      </c>
      <c r="AI10557">
        <v>138.8228</v>
      </c>
      <c r="AJ10557">
        <v>30.768190000000001</v>
      </c>
      <c r="AK10557">
        <v>50.231810000000003</v>
      </c>
    </row>
    <row r="10558" spans="1:37" x14ac:dyDescent="0.3">
      <c r="A10558">
        <v>10557</v>
      </c>
      <c r="B10558">
        <v>24.3</v>
      </c>
      <c r="C10558">
        <v>0</v>
      </c>
      <c r="D10558">
        <v>0</v>
      </c>
      <c r="E10558" t="s">
        <v>1455</v>
      </c>
      <c r="F10558" t="s">
        <v>15958</v>
      </c>
      <c r="G10558" t="s">
        <v>2420</v>
      </c>
      <c r="H10558">
        <v>1987</v>
      </c>
      <c r="I10558" t="s">
        <v>729</v>
      </c>
      <c r="J10558" t="s">
        <v>729</v>
      </c>
      <c r="K10558" t="s">
        <v>729</v>
      </c>
      <c r="L10558" t="s">
        <v>729</v>
      </c>
      <c r="M10558" t="s">
        <v>729</v>
      </c>
      <c r="N10558" t="s">
        <v>729</v>
      </c>
      <c r="O10558" t="s">
        <v>729</v>
      </c>
      <c r="P10558" t="s">
        <v>729</v>
      </c>
      <c r="Q10558" t="s">
        <v>729</v>
      </c>
      <c r="R10558" t="s">
        <v>729</v>
      </c>
      <c r="S10558" t="s">
        <v>729</v>
      </c>
      <c r="T10558" t="s">
        <v>729</v>
      </c>
      <c r="U10558" t="s">
        <v>729</v>
      </c>
      <c r="V10558" t="s">
        <v>729</v>
      </c>
      <c r="W10558" t="s">
        <v>729</v>
      </c>
      <c r="X10558" t="s">
        <v>729</v>
      </c>
      <c r="Y10558" t="s">
        <v>729</v>
      </c>
      <c r="Z10558" t="s">
        <v>729</v>
      </c>
      <c r="AA10558" t="s">
        <v>729</v>
      </c>
      <c r="AB10558" t="s">
        <v>729</v>
      </c>
      <c r="AC10558" t="s">
        <v>729</v>
      </c>
      <c r="AD10558" t="s">
        <v>729</v>
      </c>
      <c r="AE10558" t="s">
        <v>729</v>
      </c>
      <c r="AF10558" t="s">
        <v>729</v>
      </c>
      <c r="AG10558" t="str">
        <f>IFERROR(AH10558*0.1, "N/A")</f>
        <v>N/A</v>
      </c>
      <c r="AH10558" t="s">
        <v>729</v>
      </c>
      <c r="AI10558" t="s">
        <v>729</v>
      </c>
      <c r="AJ10558" t="s">
        <v>729</v>
      </c>
      <c r="AK10558" t="s">
        <v>729</v>
      </c>
    </row>
    <row r="10559" spans="1:37" x14ac:dyDescent="0.3">
      <c r="A10559">
        <v>10558</v>
      </c>
      <c r="B10559">
        <v>0.8</v>
      </c>
      <c r="C10559">
        <v>-4.0332999999999997</v>
      </c>
      <c r="D10559">
        <v>5.3167</v>
      </c>
      <c r="E10559">
        <f>-4.0333-5.3167</f>
        <v>-9.35</v>
      </c>
      <c r="F10559" t="s">
        <v>15959</v>
      </c>
      <c r="G10559" t="s">
        <v>37</v>
      </c>
      <c r="H10559">
        <v>1997</v>
      </c>
      <c r="I10559">
        <v>26.606819999999999</v>
      </c>
      <c r="J10559">
        <v>7.3</v>
      </c>
      <c r="K10559">
        <v>68</v>
      </c>
      <c r="L10559">
        <v>10.68253</v>
      </c>
      <c r="M10559">
        <v>32.174480000000003</v>
      </c>
      <c r="N10559">
        <v>21.47448</v>
      </c>
      <c r="O10559">
        <v>10.7</v>
      </c>
      <c r="P10559">
        <v>26.174479999999999</v>
      </c>
      <c r="Q10559">
        <v>27.26294</v>
      </c>
      <c r="R10559">
        <v>27.811540000000001</v>
      </c>
      <c r="S10559">
        <v>25.074480000000001</v>
      </c>
      <c r="T10559">
        <v>1778.9069999999999</v>
      </c>
      <c r="U10559">
        <v>555.50869999999998</v>
      </c>
      <c r="V10559">
        <v>21.931819999999998</v>
      </c>
      <c r="W10559">
        <v>92.676569999999998</v>
      </c>
      <c r="X10559">
        <v>982.62760000000003</v>
      </c>
      <c r="Y10559">
        <v>156.81639999999999</v>
      </c>
      <c r="Z10559">
        <v>299.2552</v>
      </c>
      <c r="AA10559">
        <v>281.88459999999998</v>
      </c>
      <c r="AB10559">
        <v>13.631819999999999</v>
      </c>
      <c r="AC10559">
        <v>1.7886699999999998E-2</v>
      </c>
      <c r="AD10559">
        <v>4.8731650000000002</v>
      </c>
      <c r="AE10559">
        <v>0.82096499999999994</v>
      </c>
      <c r="AF10559">
        <v>10.87063</v>
      </c>
      <c r="AG10559">
        <f>IFERROR(AH10559*0.1, "N/A")</f>
        <v>5.9107570000000003</v>
      </c>
      <c r="AH10559">
        <v>59.107570000000003</v>
      </c>
      <c r="AI10559">
        <v>97.291939999999997</v>
      </c>
      <c r="AJ10559">
        <v>25.844619999999999</v>
      </c>
      <c r="AK10559">
        <v>54.21116</v>
      </c>
    </row>
    <row r="10560" spans="1:37" x14ac:dyDescent="0.3">
      <c r="A10560">
        <v>10559</v>
      </c>
      <c r="B10560">
        <v>9.3000000000000007</v>
      </c>
      <c r="C10560">
        <v>-4.8333000000000004</v>
      </c>
      <c r="D10560">
        <v>5.9</v>
      </c>
      <c r="E10560">
        <f>-4.8333-5.9</f>
        <v>-10.7333</v>
      </c>
      <c r="F10560" t="s">
        <v>15960</v>
      </c>
      <c r="G10560" t="s">
        <v>37</v>
      </c>
      <c r="H10560">
        <v>2008</v>
      </c>
      <c r="I10560">
        <v>27.18674</v>
      </c>
      <c r="J10560">
        <v>8.6999999999999993</v>
      </c>
      <c r="K10560">
        <v>73</v>
      </c>
      <c r="L10560">
        <v>10.327299999999999</v>
      </c>
      <c r="M10560">
        <v>33.68674</v>
      </c>
      <c r="N10560">
        <v>21.8</v>
      </c>
      <c r="O10560">
        <v>11.88674</v>
      </c>
      <c r="P10560">
        <v>27.68674</v>
      </c>
      <c r="Q10560">
        <v>27.5</v>
      </c>
      <c r="R10560">
        <v>28.5</v>
      </c>
      <c r="S10560">
        <v>25.7</v>
      </c>
      <c r="T10560">
        <v>1290.5250000000001</v>
      </c>
      <c r="U10560">
        <v>238.06809999999999</v>
      </c>
      <c r="V10560">
        <v>18</v>
      </c>
      <c r="W10560">
        <v>56.467709999999997</v>
      </c>
      <c r="X10560">
        <v>552.74</v>
      </c>
      <c r="Y10560">
        <v>110.6003</v>
      </c>
      <c r="Z10560">
        <v>318.32810000000001</v>
      </c>
      <c r="AA10560">
        <v>271.65620000000001</v>
      </c>
      <c r="AB10560">
        <v>1.924258</v>
      </c>
      <c r="AC10560">
        <v>1.986294</v>
      </c>
      <c r="AD10560">
        <v>2.1001810000000001</v>
      </c>
      <c r="AE10560">
        <v>0.81401990000000002</v>
      </c>
      <c r="AF10560">
        <v>18.53229</v>
      </c>
      <c r="AG10560">
        <f>IFERROR(AH10560*0.1, "N/A")</f>
        <v>5.4204189999999999</v>
      </c>
      <c r="AH10560">
        <v>54.204189999999997</v>
      </c>
      <c r="AI10560">
        <v>289.7371</v>
      </c>
      <c r="AJ10560">
        <v>23.654450000000001</v>
      </c>
      <c r="AK10560">
        <v>56.563699999999997</v>
      </c>
    </row>
    <row r="10561" spans="1:37" x14ac:dyDescent="0.3">
      <c r="A10561">
        <v>10560</v>
      </c>
      <c r="B10561">
        <v>0.8</v>
      </c>
      <c r="C10561">
        <v>-6.6166700000000001</v>
      </c>
      <c r="D10561">
        <v>4.7333299999999996</v>
      </c>
      <c r="E10561">
        <f>-6.61667-4.73333</f>
        <v>-11.35</v>
      </c>
      <c r="F10561" t="s">
        <v>15961</v>
      </c>
      <c r="G10561" t="s">
        <v>37</v>
      </c>
      <c r="H10561">
        <v>2007</v>
      </c>
      <c r="I10561">
        <v>26</v>
      </c>
      <c r="J10561">
        <v>6.920725</v>
      </c>
      <c r="K10561">
        <v>69.313469999999995</v>
      </c>
      <c r="L10561">
        <v>9.6615549999999999</v>
      </c>
      <c r="M10561">
        <v>31.5</v>
      </c>
      <c r="N10561">
        <v>21.610620000000001</v>
      </c>
      <c r="O10561">
        <v>9.8893780000000007</v>
      </c>
      <c r="P10561">
        <v>25.6</v>
      </c>
      <c r="Q10561">
        <v>26.710619999999999</v>
      </c>
      <c r="R10561">
        <v>27.079270000000001</v>
      </c>
      <c r="S10561">
        <v>24.5</v>
      </c>
      <c r="T10561">
        <v>1414.7380000000001</v>
      </c>
      <c r="U10561">
        <v>377.58550000000002</v>
      </c>
      <c r="V10561">
        <v>21.313469999999999</v>
      </c>
      <c r="W10561">
        <v>85.893780000000007</v>
      </c>
      <c r="X10561">
        <v>771.48450000000003</v>
      </c>
      <c r="Y10561">
        <v>106.3135</v>
      </c>
      <c r="Z10561">
        <v>181</v>
      </c>
      <c r="AA10561">
        <v>245.41970000000001</v>
      </c>
      <c r="AB10561" t="s">
        <v>729</v>
      </c>
      <c r="AC10561" t="s">
        <v>729</v>
      </c>
      <c r="AD10561">
        <v>0</v>
      </c>
      <c r="AE10561" t="s">
        <v>729</v>
      </c>
      <c r="AF10561">
        <v>0</v>
      </c>
      <c r="AG10561" t="str">
        <f>IFERROR(AH10561*0.1, "N/A")</f>
        <v>N/A</v>
      </c>
      <c r="AH10561" t="s">
        <v>729</v>
      </c>
      <c r="AI10561">
        <v>0</v>
      </c>
      <c r="AJ10561" t="s">
        <v>729</v>
      </c>
      <c r="AK10561" t="s">
        <v>729</v>
      </c>
    </row>
    <row r="10562" spans="1:37" x14ac:dyDescent="0.3">
      <c r="A10562">
        <v>10561</v>
      </c>
      <c r="B10562">
        <v>5.8</v>
      </c>
      <c r="C10562">
        <v>-6.61991</v>
      </c>
      <c r="D10562">
        <v>4.7402600000000001</v>
      </c>
      <c r="E10562">
        <f>-6.61991-4.74026</f>
        <v>-11.36017</v>
      </c>
      <c r="F10562" t="s">
        <v>15962</v>
      </c>
      <c r="G10562" t="s">
        <v>39</v>
      </c>
      <c r="H10562">
        <v>1972</v>
      </c>
      <c r="I10562" t="s">
        <v>729</v>
      </c>
      <c r="J10562" t="s">
        <v>729</v>
      </c>
      <c r="K10562" t="s">
        <v>729</v>
      </c>
      <c r="L10562" t="s">
        <v>729</v>
      </c>
      <c r="M10562" t="s">
        <v>729</v>
      </c>
      <c r="N10562" t="s">
        <v>729</v>
      </c>
      <c r="O10562" t="s">
        <v>729</v>
      </c>
      <c r="P10562" t="s">
        <v>729</v>
      </c>
      <c r="Q10562" t="s">
        <v>729</v>
      </c>
      <c r="R10562" t="s">
        <v>729</v>
      </c>
      <c r="S10562" t="s">
        <v>729</v>
      </c>
      <c r="T10562" t="s">
        <v>729</v>
      </c>
      <c r="U10562" t="s">
        <v>729</v>
      </c>
      <c r="V10562" t="s">
        <v>729</v>
      </c>
      <c r="W10562" t="s">
        <v>729</v>
      </c>
      <c r="X10562" t="s">
        <v>729</v>
      </c>
      <c r="Y10562" t="s">
        <v>729</v>
      </c>
      <c r="Z10562" t="s">
        <v>729</v>
      </c>
      <c r="AA10562" t="s">
        <v>729</v>
      </c>
      <c r="AB10562" t="s">
        <v>729</v>
      </c>
      <c r="AC10562" t="s">
        <v>729</v>
      </c>
      <c r="AD10562" t="s">
        <v>729</v>
      </c>
      <c r="AE10562" t="s">
        <v>729</v>
      </c>
      <c r="AF10562" t="s">
        <v>729</v>
      </c>
      <c r="AG10562" t="str">
        <f>IFERROR(AH10562*0.1, "N/A")</f>
        <v>N/A</v>
      </c>
      <c r="AH10562" t="s">
        <v>729</v>
      </c>
      <c r="AI10562" t="s">
        <v>729</v>
      </c>
      <c r="AJ10562" t="s">
        <v>729</v>
      </c>
      <c r="AK10562" t="s">
        <v>729</v>
      </c>
    </row>
    <row r="10563" spans="1:37" x14ac:dyDescent="0.3">
      <c r="A10563">
        <v>10562</v>
      </c>
      <c r="B10563">
        <v>0</v>
      </c>
      <c r="C10563">
        <v>-6.7339599999999997</v>
      </c>
      <c r="D10563">
        <v>4.7627899999999999</v>
      </c>
      <c r="E10563">
        <f>-6.73396-4.76279</f>
        <v>-11.496749999999999</v>
      </c>
      <c r="F10563" t="s">
        <v>15963</v>
      </c>
      <c r="G10563" t="s">
        <v>39</v>
      </c>
      <c r="H10563">
        <v>1972</v>
      </c>
      <c r="I10563">
        <v>26</v>
      </c>
      <c r="J10563">
        <v>7</v>
      </c>
      <c r="K10563">
        <v>71.342110000000005</v>
      </c>
      <c r="L10563">
        <v>9.2650000000000006</v>
      </c>
      <c r="M10563">
        <v>31.4</v>
      </c>
      <c r="N10563">
        <v>21.634209999999999</v>
      </c>
      <c r="O10563">
        <v>9.7657900000000009</v>
      </c>
      <c r="P10563">
        <v>25.534210000000002</v>
      </c>
      <c r="Q10563">
        <v>26.5</v>
      </c>
      <c r="R10563">
        <v>27</v>
      </c>
      <c r="S10563">
        <v>24.6</v>
      </c>
      <c r="T10563">
        <v>1437.579</v>
      </c>
      <c r="U10563">
        <v>357</v>
      </c>
      <c r="V10563">
        <v>23.657889999999998</v>
      </c>
      <c r="W10563">
        <v>79.342110000000005</v>
      </c>
      <c r="X10563">
        <v>745</v>
      </c>
      <c r="Y10563">
        <v>113.97369999999999</v>
      </c>
      <c r="Z10563">
        <v>193.97370000000001</v>
      </c>
      <c r="AA10563">
        <v>257.97370000000001</v>
      </c>
      <c r="AB10563">
        <v>9.3028069999999996</v>
      </c>
      <c r="AC10563">
        <v>1.0222719999999999E-2</v>
      </c>
      <c r="AD10563">
        <v>2.7166239999999999</v>
      </c>
      <c r="AE10563">
        <v>0.80777659999999996</v>
      </c>
      <c r="AF10563">
        <v>16.928070000000002</v>
      </c>
      <c r="AG10563">
        <f>IFERROR(AH10563*0.1, "N/A")</f>
        <v>4.9710530000000004</v>
      </c>
      <c r="AH10563">
        <v>49.710529999999999</v>
      </c>
      <c r="AI10563">
        <v>125.9367</v>
      </c>
      <c r="AJ10563">
        <v>25.973680000000002</v>
      </c>
      <c r="AK10563">
        <v>50.710529999999999</v>
      </c>
    </row>
    <row r="10564" spans="1:37" x14ac:dyDescent="0.3">
      <c r="A10564">
        <v>10563</v>
      </c>
      <c r="B10564">
        <v>8.6</v>
      </c>
      <c r="C10564">
        <v>-6.6520099999999998</v>
      </c>
      <c r="D10564">
        <v>4.7746500000000003</v>
      </c>
      <c r="E10564">
        <f>-6.65201-4.77465</f>
        <v>-11.42666</v>
      </c>
      <c r="F10564" t="s">
        <v>15964</v>
      </c>
      <c r="G10564" t="s">
        <v>39</v>
      </c>
      <c r="H10564">
        <v>1972</v>
      </c>
      <c r="I10564">
        <v>26</v>
      </c>
      <c r="J10564">
        <v>7</v>
      </c>
      <c r="K10564">
        <v>70.014009999999999</v>
      </c>
      <c r="L10564">
        <v>9.4112609999999997</v>
      </c>
      <c r="M10564">
        <v>31.5</v>
      </c>
      <c r="N10564">
        <v>21.601400000000002</v>
      </c>
      <c r="O10564">
        <v>9.8985990000000008</v>
      </c>
      <c r="P10564">
        <v>25.6</v>
      </c>
      <c r="Q10564">
        <v>26.4</v>
      </c>
      <c r="R10564">
        <v>27.0014</v>
      </c>
      <c r="S10564">
        <v>24.5</v>
      </c>
      <c r="T10564">
        <v>1398.9580000000001</v>
      </c>
      <c r="U10564">
        <v>361.98599999999999</v>
      </c>
      <c r="V10564">
        <v>21</v>
      </c>
      <c r="W10564">
        <v>83</v>
      </c>
      <c r="X10564">
        <v>747.97199999999998</v>
      </c>
      <c r="Y10564">
        <v>107</v>
      </c>
      <c r="Z10564">
        <v>184</v>
      </c>
      <c r="AA10564">
        <v>245.98599999999999</v>
      </c>
      <c r="AB10564">
        <v>5.1565669999999999</v>
      </c>
      <c r="AC10564">
        <v>0.1000322</v>
      </c>
      <c r="AD10564">
        <v>2.1457130000000002</v>
      </c>
      <c r="AE10564">
        <v>0.9096843</v>
      </c>
      <c r="AF10564">
        <v>12.12609</v>
      </c>
      <c r="AG10564">
        <f>IFERROR(AH10564*0.1, "N/A")</f>
        <v>5.611384000000001</v>
      </c>
      <c r="AH10564">
        <v>56.113840000000003</v>
      </c>
      <c r="AI10564">
        <v>181.86680000000001</v>
      </c>
      <c r="AJ10564">
        <v>29.17163</v>
      </c>
      <c r="AK10564">
        <v>44.765320000000003</v>
      </c>
    </row>
    <row r="10565" spans="1:37" x14ac:dyDescent="0.3">
      <c r="A10565">
        <v>10564</v>
      </c>
      <c r="B10565">
        <v>2.4</v>
      </c>
      <c r="C10565">
        <v>-6.6488899999999997</v>
      </c>
      <c r="D10565">
        <v>4.7793599999999996</v>
      </c>
      <c r="E10565">
        <f>-6.64889-4.77936</f>
        <v>-11.428249999999998</v>
      </c>
      <c r="F10565" t="s">
        <v>15965</v>
      </c>
      <c r="G10565" t="s">
        <v>39</v>
      </c>
      <c r="H10565">
        <v>1972</v>
      </c>
      <c r="I10565">
        <v>26</v>
      </c>
      <c r="J10565">
        <v>7</v>
      </c>
      <c r="K10565">
        <v>71</v>
      </c>
      <c r="L10565">
        <v>9.59</v>
      </c>
      <c r="M10565">
        <v>31.5</v>
      </c>
      <c r="N10565">
        <v>21.7</v>
      </c>
      <c r="O10565">
        <v>9.8000000000000007</v>
      </c>
      <c r="P10565">
        <v>25.6</v>
      </c>
      <c r="Q10565">
        <v>26.5</v>
      </c>
      <c r="R10565">
        <v>27.1</v>
      </c>
      <c r="S10565">
        <v>24.5</v>
      </c>
      <c r="T10565">
        <v>1396</v>
      </c>
      <c r="U10565">
        <v>363</v>
      </c>
      <c r="V10565">
        <v>21</v>
      </c>
      <c r="W10565">
        <v>84</v>
      </c>
      <c r="X10565">
        <v>748</v>
      </c>
      <c r="Y10565">
        <v>107</v>
      </c>
      <c r="Z10565">
        <v>184</v>
      </c>
      <c r="AA10565">
        <v>244</v>
      </c>
      <c r="AB10565">
        <v>7.8263990000000003</v>
      </c>
      <c r="AC10565">
        <v>1.4192929999999999E-2</v>
      </c>
      <c r="AD10565">
        <v>2.0065170000000001</v>
      </c>
      <c r="AE10565">
        <v>0.90787609999999996</v>
      </c>
      <c r="AF10565">
        <v>11.97378</v>
      </c>
      <c r="AG10565">
        <f>IFERROR(AH10565*0.1, "N/A")</f>
        <v>5.2</v>
      </c>
      <c r="AH10565">
        <v>52</v>
      </c>
      <c r="AI10565">
        <v>106.9808</v>
      </c>
      <c r="AJ10565">
        <v>28</v>
      </c>
      <c r="AK10565">
        <v>49</v>
      </c>
    </row>
    <row r="10566" spans="1:37" x14ac:dyDescent="0.3">
      <c r="A10566">
        <v>10565</v>
      </c>
      <c r="B10566">
        <v>0</v>
      </c>
      <c r="C10566">
        <v>-6.6488899999999997</v>
      </c>
      <c r="D10566">
        <v>4.7793599999999996</v>
      </c>
      <c r="E10566">
        <f>-6.64889-4.77936</f>
        <v>-11.428249999999998</v>
      </c>
      <c r="F10566" t="s">
        <v>15966</v>
      </c>
      <c r="G10566" t="s">
        <v>37</v>
      </c>
      <c r="H10566">
        <v>1972</v>
      </c>
      <c r="I10566">
        <v>26</v>
      </c>
      <c r="J10566">
        <v>7</v>
      </c>
      <c r="K10566">
        <v>71</v>
      </c>
      <c r="L10566">
        <v>9.59</v>
      </c>
      <c r="M10566">
        <v>31.5</v>
      </c>
      <c r="N10566">
        <v>21.7</v>
      </c>
      <c r="O10566">
        <v>9.8000000000000007</v>
      </c>
      <c r="P10566">
        <v>25.6</v>
      </c>
      <c r="Q10566">
        <v>26.5</v>
      </c>
      <c r="R10566">
        <v>27.1</v>
      </c>
      <c r="S10566">
        <v>24.5</v>
      </c>
      <c r="T10566">
        <v>1396</v>
      </c>
      <c r="U10566">
        <v>363</v>
      </c>
      <c r="V10566">
        <v>21</v>
      </c>
      <c r="W10566">
        <v>84</v>
      </c>
      <c r="X10566">
        <v>748</v>
      </c>
      <c r="Y10566">
        <v>107</v>
      </c>
      <c r="Z10566">
        <v>184</v>
      </c>
      <c r="AA10566">
        <v>244</v>
      </c>
      <c r="AB10566">
        <v>7.8263990000000003</v>
      </c>
      <c r="AC10566">
        <v>1.4192929999999999E-2</v>
      </c>
      <c r="AD10566">
        <v>2.0065170000000001</v>
      </c>
      <c r="AE10566">
        <v>0.90787609999999996</v>
      </c>
      <c r="AF10566">
        <v>11.97378</v>
      </c>
      <c r="AG10566">
        <f>IFERROR(AH10566*0.1, "N/A")</f>
        <v>5.2</v>
      </c>
      <c r="AH10566">
        <v>52</v>
      </c>
      <c r="AI10566">
        <v>106.9808</v>
      </c>
      <c r="AJ10566">
        <v>28</v>
      </c>
      <c r="AK10566">
        <v>49</v>
      </c>
    </row>
    <row r="10567" spans="1:37" x14ac:dyDescent="0.3">
      <c r="A10567">
        <v>10566</v>
      </c>
      <c r="B10567">
        <v>2.7</v>
      </c>
      <c r="C10567">
        <v>-6.5585500000000003</v>
      </c>
      <c r="D10567">
        <v>4.9282500000000002</v>
      </c>
      <c r="E10567">
        <f>-6.55855-4.92825</f>
        <v>-11.486800000000001</v>
      </c>
      <c r="F10567" t="s">
        <v>15967</v>
      </c>
      <c r="G10567" t="s">
        <v>39</v>
      </c>
      <c r="H10567">
        <v>1972</v>
      </c>
      <c r="I10567">
        <v>25.95552</v>
      </c>
      <c r="J10567">
        <v>7.2</v>
      </c>
      <c r="K10567">
        <v>72.555170000000004</v>
      </c>
      <c r="L10567">
        <v>9.2855159999999994</v>
      </c>
      <c r="M10567">
        <v>31.4</v>
      </c>
      <c r="N10567">
        <v>21.555520000000001</v>
      </c>
      <c r="O10567">
        <v>9.8444830000000003</v>
      </c>
      <c r="P10567">
        <v>25.5</v>
      </c>
      <c r="Q10567">
        <v>26.4</v>
      </c>
      <c r="R10567">
        <v>27.055520000000001</v>
      </c>
      <c r="S10567">
        <v>24.555520000000001</v>
      </c>
      <c r="T10567">
        <v>1413.335</v>
      </c>
      <c r="U10567">
        <v>367.1103</v>
      </c>
      <c r="V10567">
        <v>22</v>
      </c>
      <c r="W10567">
        <v>81</v>
      </c>
      <c r="X10567">
        <v>742.11030000000005</v>
      </c>
      <c r="Y10567">
        <v>114</v>
      </c>
      <c r="Z10567">
        <v>199.8897</v>
      </c>
      <c r="AA10567">
        <v>255.8897</v>
      </c>
      <c r="AB10567">
        <v>5.9085830000000001</v>
      </c>
      <c r="AC10567">
        <v>8.5705619999999996E-2</v>
      </c>
      <c r="AD10567">
        <v>2.381421</v>
      </c>
      <c r="AE10567">
        <v>0.70557320000000001</v>
      </c>
      <c r="AF10567">
        <v>34.633980000000001</v>
      </c>
      <c r="AG10567">
        <f>IFERROR(AH10567*0.1, "N/A")</f>
        <v>5.3227670000000007</v>
      </c>
      <c r="AH10567">
        <v>53.227670000000003</v>
      </c>
      <c r="AI10567">
        <v>156.8683</v>
      </c>
      <c r="AJ10567">
        <v>23.402799999999999</v>
      </c>
      <c r="AK10567">
        <v>59.670749999999998</v>
      </c>
    </row>
    <row r="10568" spans="1:37" x14ac:dyDescent="0.3">
      <c r="A10568">
        <v>10567</v>
      </c>
      <c r="B10568">
        <v>0.6</v>
      </c>
      <c r="C10568">
        <v>-6.0833300000000001</v>
      </c>
      <c r="D10568">
        <v>4.95</v>
      </c>
      <c r="E10568">
        <f>-6.08333-4.95</f>
        <v>-11.033329999999999</v>
      </c>
      <c r="F10568" t="s">
        <v>15968</v>
      </c>
      <c r="G10568" t="s">
        <v>37</v>
      </c>
      <c r="H10568">
        <v>2007</v>
      </c>
      <c r="I10568">
        <v>26</v>
      </c>
      <c r="J10568">
        <v>7.0744749999999996</v>
      </c>
      <c r="K10568">
        <v>72.744759999999999</v>
      </c>
      <c r="L10568">
        <v>8.802657</v>
      </c>
      <c r="M10568">
        <v>31.4</v>
      </c>
      <c r="N10568">
        <v>21.8</v>
      </c>
      <c r="O10568">
        <v>9.6</v>
      </c>
      <c r="P10568">
        <v>25.6</v>
      </c>
      <c r="Q10568">
        <v>26.8</v>
      </c>
      <c r="R10568">
        <v>27</v>
      </c>
      <c r="S10568">
        <v>24.7</v>
      </c>
      <c r="T10568">
        <v>1541.944</v>
      </c>
      <c r="U10568">
        <v>516.52099999999996</v>
      </c>
      <c r="V10568">
        <v>19</v>
      </c>
      <c r="W10568">
        <v>103.1399</v>
      </c>
      <c r="X10568">
        <v>937.19929999999999</v>
      </c>
      <c r="Y10568">
        <v>105</v>
      </c>
      <c r="Z10568">
        <v>189.42310000000001</v>
      </c>
      <c r="AA10568">
        <v>260.67829999999998</v>
      </c>
      <c r="AB10568">
        <v>20.096679999999999</v>
      </c>
      <c r="AC10568">
        <v>1.210492E-2</v>
      </c>
      <c r="AD10568">
        <v>7.9352020000000003</v>
      </c>
      <c r="AE10568">
        <v>0.84079709999999996</v>
      </c>
      <c r="AF10568">
        <v>18.157340000000001</v>
      </c>
      <c r="AG10568">
        <f>IFERROR(AH10568*0.1, "N/A")</f>
        <v>5.1000000000000005</v>
      </c>
      <c r="AH10568">
        <v>51</v>
      </c>
      <c r="AI10568">
        <v>199.51070000000001</v>
      </c>
      <c r="AJ10568">
        <v>25</v>
      </c>
      <c r="AK10568">
        <v>53</v>
      </c>
    </row>
    <row r="10569" spans="1:37" x14ac:dyDescent="0.3">
      <c r="A10569">
        <v>10568</v>
      </c>
      <c r="B10569">
        <v>16.7</v>
      </c>
      <c r="C10569">
        <v>-6.6597</v>
      </c>
      <c r="D10569">
        <v>4.9788800000000002</v>
      </c>
      <c r="E10569">
        <f>-6.6597-4.97888</f>
        <v>-11.638580000000001</v>
      </c>
      <c r="F10569" t="s">
        <v>15969</v>
      </c>
      <c r="G10569" t="s">
        <v>39</v>
      </c>
      <c r="H10569">
        <v>1972</v>
      </c>
      <c r="I10569">
        <v>26.1</v>
      </c>
      <c r="J10569">
        <v>7.3</v>
      </c>
      <c r="K10569">
        <v>73</v>
      </c>
      <c r="L10569">
        <v>9.2200000000000006</v>
      </c>
      <c r="M10569">
        <v>31.6</v>
      </c>
      <c r="N10569">
        <v>21.6</v>
      </c>
      <c r="O10569">
        <v>10</v>
      </c>
      <c r="P10569">
        <v>25.6</v>
      </c>
      <c r="Q10569">
        <v>26.5</v>
      </c>
      <c r="R10569">
        <v>27.1</v>
      </c>
      <c r="S10569">
        <v>24.7</v>
      </c>
      <c r="T10569">
        <v>1429</v>
      </c>
      <c r="U10569">
        <v>343</v>
      </c>
      <c r="V10569">
        <v>23</v>
      </c>
      <c r="W10569">
        <v>74</v>
      </c>
      <c r="X10569">
        <v>708</v>
      </c>
      <c r="Y10569">
        <v>117</v>
      </c>
      <c r="Z10569">
        <v>217</v>
      </c>
      <c r="AA10569">
        <v>269</v>
      </c>
      <c r="AB10569">
        <v>10.575480000000001</v>
      </c>
      <c r="AC10569">
        <v>1.364686E-2</v>
      </c>
      <c r="AD10569">
        <v>4.5385739999999997</v>
      </c>
      <c r="AE10569">
        <v>0.60312600000000005</v>
      </c>
      <c r="AF10569">
        <v>28.385290000000001</v>
      </c>
      <c r="AG10569">
        <f>IFERROR(AH10569*0.1, "N/A")</f>
        <v>5.2129600000000007</v>
      </c>
      <c r="AH10569">
        <v>52.129600000000003</v>
      </c>
      <c r="AI10569">
        <v>156.26609999999999</v>
      </c>
      <c r="AJ10569">
        <v>21.295970000000001</v>
      </c>
      <c r="AK10569">
        <v>59.033270000000002</v>
      </c>
    </row>
    <row r="10570" spans="1:37" x14ac:dyDescent="0.3">
      <c r="A10570">
        <v>10569</v>
      </c>
      <c r="B10570">
        <v>2.6</v>
      </c>
      <c r="C10570">
        <v>-6.62202</v>
      </c>
      <c r="D10570">
        <v>5.0009399999999999</v>
      </c>
      <c r="E10570">
        <f>-6.62202-5.00094</f>
        <v>-11.622959999999999</v>
      </c>
      <c r="F10570" t="s">
        <v>15970</v>
      </c>
      <c r="G10570" t="s">
        <v>39</v>
      </c>
      <c r="H10570">
        <v>1972</v>
      </c>
      <c r="I10570">
        <v>26</v>
      </c>
      <c r="J10570">
        <v>7.3</v>
      </c>
      <c r="K10570">
        <v>73</v>
      </c>
      <c r="L10570">
        <v>9.35</v>
      </c>
      <c r="M10570">
        <v>31.6</v>
      </c>
      <c r="N10570">
        <v>21.6</v>
      </c>
      <c r="O10570">
        <v>10</v>
      </c>
      <c r="P10570">
        <v>25.6</v>
      </c>
      <c r="Q10570">
        <v>26.5</v>
      </c>
      <c r="R10570">
        <v>27.1</v>
      </c>
      <c r="S10570">
        <v>24.6</v>
      </c>
      <c r="T10570">
        <v>1426</v>
      </c>
      <c r="U10570">
        <v>347</v>
      </c>
      <c r="V10570">
        <v>23</v>
      </c>
      <c r="W10570">
        <v>75</v>
      </c>
      <c r="X10570">
        <v>711</v>
      </c>
      <c r="Y10570">
        <v>118</v>
      </c>
      <c r="Z10570">
        <v>217</v>
      </c>
      <c r="AA10570">
        <v>268</v>
      </c>
      <c r="AB10570">
        <v>1.3754390000000001</v>
      </c>
      <c r="AC10570">
        <v>0.85464649999999998</v>
      </c>
      <c r="AD10570">
        <v>3.9165329999999998</v>
      </c>
      <c r="AE10570">
        <v>0.63115960000000004</v>
      </c>
      <c r="AF10570">
        <v>28.945609999999999</v>
      </c>
      <c r="AG10570">
        <f>IFERROR(AH10570*0.1, "N/A")</f>
        <v>4.9063160000000003</v>
      </c>
      <c r="AH10570">
        <v>49.063160000000003</v>
      </c>
      <c r="AI10570">
        <v>75.64349</v>
      </c>
      <c r="AJ10570">
        <v>20</v>
      </c>
      <c r="AK10570">
        <v>63</v>
      </c>
    </row>
    <row r="10571" spans="1:37" x14ac:dyDescent="0.3">
      <c r="A10571">
        <v>10570</v>
      </c>
      <c r="B10571">
        <v>3.4</v>
      </c>
      <c r="C10571">
        <v>-6.5181699999999996</v>
      </c>
      <c r="D10571">
        <v>5.0187200000000001</v>
      </c>
      <c r="E10571">
        <f>-6.51817-5.01872</f>
        <v>-11.53689</v>
      </c>
      <c r="F10571" t="s">
        <v>15971</v>
      </c>
      <c r="G10571" t="s">
        <v>39</v>
      </c>
      <c r="H10571">
        <v>1972</v>
      </c>
      <c r="I10571">
        <v>26</v>
      </c>
      <c r="J10571">
        <v>7.3</v>
      </c>
      <c r="K10571">
        <v>74</v>
      </c>
      <c r="L10571">
        <v>9.17</v>
      </c>
      <c r="M10571">
        <v>31.4</v>
      </c>
      <c r="N10571">
        <v>21.6</v>
      </c>
      <c r="O10571">
        <v>9.8000000000000007</v>
      </c>
      <c r="P10571">
        <v>25.5</v>
      </c>
      <c r="Q10571">
        <v>26.5</v>
      </c>
      <c r="R10571">
        <v>27</v>
      </c>
      <c r="S10571">
        <v>24.6</v>
      </c>
      <c r="T10571">
        <v>1425</v>
      </c>
      <c r="U10571">
        <v>365</v>
      </c>
      <c r="V10571">
        <v>22</v>
      </c>
      <c r="W10571">
        <v>78</v>
      </c>
      <c r="X10571">
        <v>734</v>
      </c>
      <c r="Y10571">
        <v>118</v>
      </c>
      <c r="Z10571">
        <v>212</v>
      </c>
      <c r="AA10571">
        <v>264</v>
      </c>
      <c r="AB10571">
        <v>2.3249559999999998</v>
      </c>
      <c r="AC10571">
        <v>111.58540000000001</v>
      </c>
      <c r="AD10571">
        <v>2.097397</v>
      </c>
      <c r="AE10571">
        <v>0.68131240000000004</v>
      </c>
      <c r="AF10571">
        <v>36.650959999999998</v>
      </c>
      <c r="AG10571">
        <f>IFERROR(AH10571*0.1, "N/A")</f>
        <v>5.1000000000000005</v>
      </c>
      <c r="AH10571">
        <v>51</v>
      </c>
      <c r="AI10571">
        <v>103.43129999999999</v>
      </c>
      <c r="AJ10571">
        <v>21.986039999999999</v>
      </c>
      <c r="AK10571">
        <v>63.027920000000002</v>
      </c>
    </row>
    <row r="10572" spans="1:37" x14ac:dyDescent="0.3">
      <c r="A10572">
        <v>10571</v>
      </c>
      <c r="B10572">
        <v>1.7</v>
      </c>
      <c r="C10572">
        <v>-6.4928499999999998</v>
      </c>
      <c r="D10572">
        <v>5.0352300000000003</v>
      </c>
      <c r="E10572">
        <f>-6.49285-5.03523</f>
        <v>-11.528079999999999</v>
      </c>
      <c r="F10572" t="s">
        <v>15972</v>
      </c>
      <c r="G10572" t="s">
        <v>39</v>
      </c>
      <c r="H10572">
        <v>1972</v>
      </c>
      <c r="I10572">
        <v>26</v>
      </c>
      <c r="J10572">
        <v>7.3</v>
      </c>
      <c r="K10572">
        <v>73</v>
      </c>
      <c r="L10572">
        <v>9.2200000000000006</v>
      </c>
      <c r="M10572">
        <v>31.5</v>
      </c>
      <c r="N10572">
        <v>21.6</v>
      </c>
      <c r="O10572">
        <v>9.9</v>
      </c>
      <c r="P10572">
        <v>25.6</v>
      </c>
      <c r="Q10572">
        <v>26.5</v>
      </c>
      <c r="R10572">
        <v>27.1</v>
      </c>
      <c r="S10572">
        <v>24.6</v>
      </c>
      <c r="T10572">
        <v>1430</v>
      </c>
      <c r="U10572">
        <v>369</v>
      </c>
      <c r="V10572">
        <v>22</v>
      </c>
      <c r="W10572">
        <v>78</v>
      </c>
      <c r="X10572">
        <v>738</v>
      </c>
      <c r="Y10572">
        <v>119</v>
      </c>
      <c r="Z10572">
        <v>214</v>
      </c>
      <c r="AA10572">
        <v>266</v>
      </c>
      <c r="AB10572">
        <v>1.9720279999999999</v>
      </c>
      <c r="AC10572">
        <v>26.684799999999999</v>
      </c>
      <c r="AD10572">
        <v>2.2336960000000001</v>
      </c>
      <c r="AE10572">
        <v>0.68312989999999996</v>
      </c>
      <c r="AF10572">
        <v>41.246499999999997</v>
      </c>
      <c r="AG10572">
        <f>IFERROR(AH10572*0.1, "N/A")</f>
        <v>5.0012240000000006</v>
      </c>
      <c r="AH10572">
        <v>50.012239999999998</v>
      </c>
      <c r="AI10572">
        <v>77.476389999999995</v>
      </c>
      <c r="AJ10572">
        <v>20</v>
      </c>
      <c r="AK10572">
        <v>63.036709999999999</v>
      </c>
    </row>
    <row r="10573" spans="1:37" x14ac:dyDescent="0.3">
      <c r="A10573">
        <v>10572</v>
      </c>
      <c r="B10573">
        <v>0</v>
      </c>
      <c r="C10573">
        <v>-6.4928499999999998</v>
      </c>
      <c r="D10573">
        <v>5.0352300000000003</v>
      </c>
      <c r="E10573">
        <f>-6.49285-5.03523</f>
        <v>-11.528079999999999</v>
      </c>
      <c r="F10573" t="s">
        <v>15973</v>
      </c>
      <c r="G10573" t="s">
        <v>37</v>
      </c>
      <c r="H10573">
        <v>1972</v>
      </c>
      <c r="I10573">
        <v>26</v>
      </c>
      <c r="J10573">
        <v>7.3</v>
      </c>
      <c r="K10573">
        <v>73</v>
      </c>
      <c r="L10573">
        <v>9.2200000000000006</v>
      </c>
      <c r="M10573">
        <v>31.5</v>
      </c>
      <c r="N10573">
        <v>21.6</v>
      </c>
      <c r="O10573">
        <v>9.9</v>
      </c>
      <c r="P10573">
        <v>25.6</v>
      </c>
      <c r="Q10573">
        <v>26.5</v>
      </c>
      <c r="R10573">
        <v>27.1</v>
      </c>
      <c r="S10573">
        <v>24.6</v>
      </c>
      <c r="T10573">
        <v>1430</v>
      </c>
      <c r="U10573">
        <v>369</v>
      </c>
      <c r="V10573">
        <v>22</v>
      </c>
      <c r="W10573">
        <v>78</v>
      </c>
      <c r="X10573">
        <v>738</v>
      </c>
      <c r="Y10573">
        <v>119</v>
      </c>
      <c r="Z10573">
        <v>214</v>
      </c>
      <c r="AA10573">
        <v>266</v>
      </c>
      <c r="AB10573">
        <v>1.9720279999999999</v>
      </c>
      <c r="AC10573">
        <v>26.684799999999999</v>
      </c>
      <c r="AD10573">
        <v>2.2336960000000001</v>
      </c>
      <c r="AE10573">
        <v>0.68312989999999996</v>
      </c>
      <c r="AF10573">
        <v>41.246499999999997</v>
      </c>
      <c r="AG10573">
        <f>IFERROR(AH10573*0.1, "N/A")</f>
        <v>5.0012240000000006</v>
      </c>
      <c r="AH10573">
        <v>50.012239999999998</v>
      </c>
      <c r="AI10573">
        <v>77.476389999999995</v>
      </c>
      <c r="AJ10573">
        <v>20</v>
      </c>
      <c r="AK10573">
        <v>63.036709999999999</v>
      </c>
    </row>
    <row r="10574" spans="1:37" x14ac:dyDescent="0.3">
      <c r="A10574">
        <v>10573</v>
      </c>
      <c r="B10574">
        <v>0</v>
      </c>
      <c r="C10574">
        <v>-5.5688899999999997</v>
      </c>
      <c r="D10574">
        <v>5.0811099999999998</v>
      </c>
      <c r="E10574">
        <f>-5.56889-5.08111</f>
        <v>-10.649999999999999</v>
      </c>
      <c r="F10574" t="s">
        <v>15974</v>
      </c>
      <c r="G10574" t="s">
        <v>37</v>
      </c>
      <c r="H10574">
        <v>1988</v>
      </c>
      <c r="I10574">
        <v>26.5</v>
      </c>
      <c r="J10574">
        <v>7.3</v>
      </c>
      <c r="K10574">
        <v>72</v>
      </c>
      <c r="L10574">
        <v>9.42</v>
      </c>
      <c r="M10574">
        <v>32</v>
      </c>
      <c r="N10574">
        <v>21.9</v>
      </c>
      <c r="O10574">
        <v>10.1</v>
      </c>
      <c r="P10574">
        <v>26.2</v>
      </c>
      <c r="Q10574">
        <v>27</v>
      </c>
      <c r="R10574">
        <v>27.6</v>
      </c>
      <c r="S10574">
        <v>25.2</v>
      </c>
      <c r="T10574">
        <v>1696</v>
      </c>
      <c r="U10574">
        <v>594</v>
      </c>
      <c r="V10574">
        <v>20</v>
      </c>
      <c r="W10574">
        <v>107</v>
      </c>
      <c r="X10574">
        <v>1023</v>
      </c>
      <c r="Y10574">
        <v>127</v>
      </c>
      <c r="Z10574">
        <v>258</v>
      </c>
      <c r="AA10574">
        <v>236</v>
      </c>
      <c r="AB10574">
        <v>0</v>
      </c>
      <c r="AC10574">
        <v>8.5149279999999997E-3</v>
      </c>
      <c r="AD10574">
        <v>0</v>
      </c>
      <c r="AE10574">
        <v>0.27452880000000002</v>
      </c>
      <c r="AF10574">
        <v>0</v>
      </c>
      <c r="AG10574" t="str">
        <f>IFERROR(AH10574*0.1, "N/A")</f>
        <v>N/A</v>
      </c>
      <c r="AH10574" t="s">
        <v>729</v>
      </c>
      <c r="AI10574">
        <v>0</v>
      </c>
      <c r="AJ10574" t="s">
        <v>729</v>
      </c>
      <c r="AK10574" t="s">
        <v>729</v>
      </c>
    </row>
    <row r="10575" spans="1:37" x14ac:dyDescent="0.3">
      <c r="A10575">
        <v>10574</v>
      </c>
      <c r="B10575">
        <v>0</v>
      </c>
      <c r="C10575">
        <v>-6.5605799999999999</v>
      </c>
      <c r="D10575">
        <v>5.0867199999999997</v>
      </c>
      <c r="E10575">
        <f>-6.56058-5.08672</f>
        <v>-11.6473</v>
      </c>
      <c r="F10575" t="s">
        <v>15975</v>
      </c>
      <c r="G10575" t="s">
        <v>39</v>
      </c>
      <c r="H10575">
        <v>1972</v>
      </c>
      <c r="I10575">
        <v>25.9</v>
      </c>
      <c r="J10575">
        <v>7.4</v>
      </c>
      <c r="K10575">
        <v>74</v>
      </c>
      <c r="L10575">
        <v>8.99</v>
      </c>
      <c r="M10575">
        <v>31.5</v>
      </c>
      <c r="N10575">
        <v>21.5</v>
      </c>
      <c r="O10575">
        <v>10</v>
      </c>
      <c r="P10575">
        <v>25.5</v>
      </c>
      <c r="Q10575">
        <v>26.5</v>
      </c>
      <c r="R10575">
        <v>27</v>
      </c>
      <c r="S10575">
        <v>24.6</v>
      </c>
      <c r="T10575">
        <v>1437</v>
      </c>
      <c r="U10575">
        <v>347</v>
      </c>
      <c r="V10575">
        <v>24</v>
      </c>
      <c r="W10575">
        <v>73</v>
      </c>
      <c r="X10575">
        <v>706</v>
      </c>
      <c r="Y10575">
        <v>123</v>
      </c>
      <c r="Z10575">
        <v>228</v>
      </c>
      <c r="AA10575">
        <v>276</v>
      </c>
      <c r="AB10575">
        <v>12.386520000000001</v>
      </c>
      <c r="AC10575">
        <v>3.0942819999999999E-2</v>
      </c>
      <c r="AD10575">
        <v>5.3956059999999999</v>
      </c>
      <c r="AE10575">
        <v>0.67242020000000002</v>
      </c>
      <c r="AF10575">
        <v>56.306480000000001</v>
      </c>
      <c r="AG10575">
        <f>IFERROR(AH10575*0.1, "N/A")</f>
        <v>5.1038530000000009</v>
      </c>
      <c r="AH10575">
        <v>51.038530000000002</v>
      </c>
      <c r="AI10575">
        <v>172.6534</v>
      </c>
      <c r="AJ10575">
        <v>21.147110000000001</v>
      </c>
      <c r="AK10575">
        <v>61.977229999999999</v>
      </c>
    </row>
    <row r="10576" spans="1:37" x14ac:dyDescent="0.3">
      <c r="A10576">
        <v>10575</v>
      </c>
      <c r="B10576">
        <v>12</v>
      </c>
      <c r="C10576">
        <v>-3.9644400000000002</v>
      </c>
      <c r="D10576">
        <v>5.25556</v>
      </c>
      <c r="E10576">
        <f>-3.96444-5.25556</f>
        <v>-9.2200000000000006</v>
      </c>
      <c r="F10576" t="s">
        <v>15976</v>
      </c>
      <c r="G10576" t="s">
        <v>37</v>
      </c>
      <c r="H10576">
        <v>1981</v>
      </c>
      <c r="I10576">
        <v>26.7</v>
      </c>
      <c r="J10576">
        <v>7.2</v>
      </c>
      <c r="K10576">
        <v>68</v>
      </c>
      <c r="L10576">
        <v>10.67</v>
      </c>
      <c r="M10576">
        <v>32.200000000000003</v>
      </c>
      <c r="N10576">
        <v>21.7</v>
      </c>
      <c r="O10576">
        <v>10.5</v>
      </c>
      <c r="P10576">
        <v>26.3</v>
      </c>
      <c r="Q10576">
        <v>27.3</v>
      </c>
      <c r="R10576">
        <v>28</v>
      </c>
      <c r="S10576">
        <v>25.2</v>
      </c>
      <c r="T10576">
        <v>1860</v>
      </c>
      <c r="U10576">
        <v>578</v>
      </c>
      <c r="V10576">
        <v>20</v>
      </c>
      <c r="W10576">
        <v>94</v>
      </c>
      <c r="X10576">
        <v>1064</v>
      </c>
      <c r="Y10576">
        <v>152</v>
      </c>
      <c r="Z10576">
        <v>298</v>
      </c>
      <c r="AA10576">
        <v>313</v>
      </c>
      <c r="AB10576">
        <v>9.7702799999999996</v>
      </c>
      <c r="AC10576">
        <v>1.2754069999999999E-2</v>
      </c>
      <c r="AD10576">
        <v>1.528302</v>
      </c>
      <c r="AE10576">
        <v>0.91775660000000003</v>
      </c>
      <c r="AF10576">
        <v>6.4982519999999999</v>
      </c>
      <c r="AG10576">
        <f>IFERROR(AH10576*0.1, "N/A")</f>
        <v>6.5267480000000013</v>
      </c>
      <c r="AH10576">
        <v>65.267480000000006</v>
      </c>
      <c r="AI10576">
        <v>173.0865</v>
      </c>
      <c r="AJ10576">
        <v>24.029720000000001</v>
      </c>
      <c r="AK10576">
        <v>48.319929999999999</v>
      </c>
    </row>
    <row r="10577" spans="1:37" x14ac:dyDescent="0.3">
      <c r="A10577">
        <v>10576</v>
      </c>
      <c r="B10577">
        <v>0.3</v>
      </c>
      <c r="C10577">
        <v>-4.4847200000000003</v>
      </c>
      <c r="D10577">
        <v>5.2922200000000004</v>
      </c>
      <c r="E10577">
        <f>-4.48472-5.29222</f>
        <v>-9.7769399999999997</v>
      </c>
      <c r="F10577" t="s">
        <v>15977</v>
      </c>
      <c r="G10577" t="s">
        <v>37</v>
      </c>
      <c r="H10577">
        <v>2005</v>
      </c>
      <c r="I10577">
        <v>26.9</v>
      </c>
      <c r="J10577">
        <v>7.4</v>
      </c>
      <c r="K10577">
        <v>68</v>
      </c>
      <c r="L10577">
        <v>10.44764</v>
      </c>
      <c r="M10577">
        <v>32.5</v>
      </c>
      <c r="N10577">
        <v>21.7</v>
      </c>
      <c r="O10577">
        <v>10.8</v>
      </c>
      <c r="P10577">
        <v>26.4</v>
      </c>
      <c r="Q10577">
        <v>27.4</v>
      </c>
      <c r="R10577">
        <v>28.1</v>
      </c>
      <c r="S10577">
        <v>25.371980000000001</v>
      </c>
      <c r="T10577">
        <v>1717.8409999999999</v>
      </c>
      <c r="U10577">
        <v>539.12080000000003</v>
      </c>
      <c r="V10577">
        <v>17</v>
      </c>
      <c r="W10577">
        <v>94</v>
      </c>
      <c r="X10577">
        <v>941.40110000000004</v>
      </c>
      <c r="Y10577">
        <v>130</v>
      </c>
      <c r="Z10577">
        <v>295.71980000000002</v>
      </c>
      <c r="AA10577">
        <v>255.71979999999999</v>
      </c>
      <c r="AB10577">
        <v>1.8206659999999999</v>
      </c>
      <c r="AC10577">
        <v>1.4127270000000001</v>
      </c>
      <c r="AD10577">
        <v>2.9738020000000001</v>
      </c>
      <c r="AE10577" t="s">
        <v>729</v>
      </c>
      <c r="AF10577">
        <v>12.56217</v>
      </c>
      <c r="AG10577">
        <f>IFERROR(AH10577*0.1, "N/A")</f>
        <v>5.3201400000000003</v>
      </c>
      <c r="AH10577">
        <v>53.2014</v>
      </c>
      <c r="AI10577">
        <v>100.87390000000001</v>
      </c>
      <c r="AJ10577">
        <v>22.998249999999999</v>
      </c>
      <c r="AK10577">
        <v>56.138350000000003</v>
      </c>
    </row>
    <row r="10578" spans="1:37" x14ac:dyDescent="0.3">
      <c r="A10578">
        <v>10577</v>
      </c>
      <c r="B10578">
        <v>0</v>
      </c>
      <c r="C10578">
        <v>-4.14778</v>
      </c>
      <c r="D10578">
        <v>5.3093500000000002</v>
      </c>
      <c r="E10578">
        <f>-4.14778-5.30935</f>
        <v>-9.4571299999999994</v>
      </c>
      <c r="F10578" t="s">
        <v>15978</v>
      </c>
      <c r="G10578" t="s">
        <v>37</v>
      </c>
      <c r="H10578">
        <v>1980</v>
      </c>
      <c r="I10578">
        <v>26.7</v>
      </c>
      <c r="J10578">
        <v>7.3</v>
      </c>
      <c r="K10578">
        <v>68</v>
      </c>
      <c r="L10578">
        <v>10.84</v>
      </c>
      <c r="M10578">
        <v>32.200000000000003</v>
      </c>
      <c r="N10578">
        <v>21.5</v>
      </c>
      <c r="O10578">
        <v>10.7</v>
      </c>
      <c r="P10578">
        <v>26.2</v>
      </c>
      <c r="Q10578">
        <v>27.3</v>
      </c>
      <c r="R10578">
        <v>27.9</v>
      </c>
      <c r="S10578">
        <v>25.1</v>
      </c>
      <c r="T10578">
        <v>1753</v>
      </c>
      <c r="U10578">
        <v>553</v>
      </c>
      <c r="V10578">
        <v>21</v>
      </c>
      <c r="W10578">
        <v>94</v>
      </c>
      <c r="X10578">
        <v>962</v>
      </c>
      <c r="Y10578">
        <v>148</v>
      </c>
      <c r="Z10578">
        <v>299</v>
      </c>
      <c r="AA10578">
        <v>267</v>
      </c>
      <c r="AB10578">
        <v>5.4715040000000004</v>
      </c>
      <c r="AC10578">
        <v>1.6011919999999999E-2</v>
      </c>
      <c r="AD10578">
        <v>2.0789960000000001</v>
      </c>
      <c r="AE10578">
        <v>0.73455539999999997</v>
      </c>
      <c r="AF10578">
        <v>5.5699300000000003</v>
      </c>
      <c r="AG10578">
        <f>IFERROR(AH10578*0.1, "N/A")</f>
        <v>5.4562939999999998</v>
      </c>
      <c r="AH10578">
        <v>54.562939999999998</v>
      </c>
      <c r="AI10578">
        <v>169.17500000000001</v>
      </c>
      <c r="AJ10578">
        <v>27.821680000000001</v>
      </c>
      <c r="AK10578">
        <v>51.930070000000001</v>
      </c>
    </row>
    <row r="10579" spans="1:37" x14ac:dyDescent="0.3">
      <c r="A10579">
        <v>10578</v>
      </c>
      <c r="B10579">
        <v>0</v>
      </c>
      <c r="C10579">
        <v>-4.14778</v>
      </c>
      <c r="D10579">
        <v>5.3093500000000002</v>
      </c>
      <c r="E10579">
        <f>-4.14778-5.30935</f>
        <v>-9.4571299999999994</v>
      </c>
      <c r="F10579" t="s">
        <v>15979</v>
      </c>
      <c r="G10579" t="s">
        <v>39</v>
      </c>
      <c r="H10579">
        <v>1980</v>
      </c>
      <c r="I10579">
        <v>26.7</v>
      </c>
      <c r="J10579">
        <v>7.3</v>
      </c>
      <c r="K10579">
        <v>68</v>
      </c>
      <c r="L10579">
        <v>10.84</v>
      </c>
      <c r="M10579">
        <v>32.200000000000003</v>
      </c>
      <c r="N10579">
        <v>21.5</v>
      </c>
      <c r="O10579">
        <v>10.7</v>
      </c>
      <c r="P10579">
        <v>26.2</v>
      </c>
      <c r="Q10579">
        <v>27.3</v>
      </c>
      <c r="R10579">
        <v>27.9</v>
      </c>
      <c r="S10579">
        <v>25.1</v>
      </c>
      <c r="T10579">
        <v>1753</v>
      </c>
      <c r="U10579">
        <v>553</v>
      </c>
      <c r="V10579">
        <v>21</v>
      </c>
      <c r="W10579">
        <v>94</v>
      </c>
      <c r="X10579">
        <v>962</v>
      </c>
      <c r="Y10579">
        <v>148</v>
      </c>
      <c r="Z10579">
        <v>299</v>
      </c>
      <c r="AA10579">
        <v>267</v>
      </c>
      <c r="AB10579">
        <v>5.4715040000000004</v>
      </c>
      <c r="AC10579">
        <v>1.6011919999999999E-2</v>
      </c>
      <c r="AD10579">
        <v>2.0789960000000001</v>
      </c>
      <c r="AE10579">
        <v>0.73455539999999997</v>
      </c>
      <c r="AF10579">
        <v>5.5699300000000003</v>
      </c>
      <c r="AG10579">
        <f>IFERROR(AH10579*0.1, "N/A")</f>
        <v>5.4562939999999998</v>
      </c>
      <c r="AH10579">
        <v>54.562939999999998</v>
      </c>
      <c r="AI10579">
        <v>169.17500000000001</v>
      </c>
      <c r="AJ10579">
        <v>27.821680000000001</v>
      </c>
      <c r="AK10579">
        <v>51.930070000000001</v>
      </c>
    </row>
    <row r="10580" spans="1:37" x14ac:dyDescent="0.3">
      <c r="A10580">
        <v>10579</v>
      </c>
      <c r="B10580">
        <v>3</v>
      </c>
      <c r="C10580">
        <v>-4.04556</v>
      </c>
      <c r="D10580">
        <v>5.4347200000000004</v>
      </c>
      <c r="E10580">
        <f>-4.04556-5.43472</f>
        <v>-9.4802800000000005</v>
      </c>
      <c r="F10580" t="s">
        <v>15980</v>
      </c>
      <c r="G10580" t="s">
        <v>37</v>
      </c>
      <c r="H10580">
        <v>1981</v>
      </c>
      <c r="I10580">
        <v>26</v>
      </c>
      <c r="J10580">
        <v>7.6</v>
      </c>
      <c r="K10580">
        <v>69</v>
      </c>
      <c r="L10580">
        <v>10.88</v>
      </c>
      <c r="M10580">
        <v>31.6</v>
      </c>
      <c r="N10580">
        <v>20.6</v>
      </c>
      <c r="O10580">
        <v>11</v>
      </c>
      <c r="P10580">
        <v>26.4</v>
      </c>
      <c r="Q10580">
        <v>26.5</v>
      </c>
      <c r="R10580">
        <v>27.1</v>
      </c>
      <c r="S10580">
        <v>24.3</v>
      </c>
      <c r="T10580">
        <v>1739</v>
      </c>
      <c r="U10580">
        <v>464</v>
      </c>
      <c r="V10580">
        <v>23</v>
      </c>
      <c r="W10580">
        <v>78</v>
      </c>
      <c r="X10580">
        <v>863</v>
      </c>
      <c r="Y10580">
        <v>157</v>
      </c>
      <c r="Z10580">
        <v>329</v>
      </c>
      <c r="AA10580">
        <v>299</v>
      </c>
      <c r="AB10580">
        <v>8.8551690000000001</v>
      </c>
      <c r="AC10580">
        <v>2.8243150000000002E-2</v>
      </c>
      <c r="AD10580">
        <v>1.5854349999999999</v>
      </c>
      <c r="AE10580">
        <v>0.93293429999999999</v>
      </c>
      <c r="AF10580">
        <v>113.8967</v>
      </c>
      <c r="AG10580">
        <f>IFERROR(AH10580*0.1, "N/A")</f>
        <v>6.0376530000000006</v>
      </c>
      <c r="AH10580">
        <v>60.376530000000002</v>
      </c>
      <c r="AI10580">
        <v>88.496160000000003</v>
      </c>
      <c r="AJ10580">
        <v>18.387039999999999</v>
      </c>
      <c r="AK10580">
        <v>63.348509999999997</v>
      </c>
    </row>
    <row r="10581" spans="1:37" x14ac:dyDescent="0.3">
      <c r="A10581">
        <v>10580</v>
      </c>
      <c r="B10581">
        <v>13</v>
      </c>
      <c r="C10581">
        <v>-3.2144400000000002</v>
      </c>
      <c r="D10581">
        <v>5.4675000000000002</v>
      </c>
      <c r="E10581">
        <f>-3.21444-5.4675</f>
        <v>-8.6819400000000009</v>
      </c>
      <c r="F10581" t="s">
        <v>15981</v>
      </c>
      <c r="G10581" t="s">
        <v>37</v>
      </c>
      <c r="H10581">
        <v>1980</v>
      </c>
      <c r="I10581">
        <v>26.9</v>
      </c>
      <c r="J10581">
        <v>8</v>
      </c>
      <c r="K10581">
        <v>72</v>
      </c>
      <c r="L10581">
        <v>10.61</v>
      </c>
      <c r="M10581">
        <v>33</v>
      </c>
      <c r="N10581">
        <v>21.9</v>
      </c>
      <c r="O10581">
        <v>11.1</v>
      </c>
      <c r="P10581">
        <v>26.5</v>
      </c>
      <c r="Q10581">
        <v>27.4</v>
      </c>
      <c r="R10581">
        <v>28.1</v>
      </c>
      <c r="S10581">
        <v>25.4</v>
      </c>
      <c r="T10581">
        <v>1849</v>
      </c>
      <c r="U10581">
        <v>397</v>
      </c>
      <c r="V10581">
        <v>33</v>
      </c>
      <c r="W10581">
        <v>61</v>
      </c>
      <c r="X10581">
        <v>823</v>
      </c>
      <c r="Y10581">
        <v>169</v>
      </c>
      <c r="Z10581">
        <v>345</v>
      </c>
      <c r="AA10581">
        <v>393</v>
      </c>
      <c r="AB10581">
        <v>12.23292</v>
      </c>
      <c r="AC10581">
        <v>1.4560470000000001E-2</v>
      </c>
      <c r="AD10581">
        <v>6.8865990000000004</v>
      </c>
      <c r="AE10581">
        <v>0.72243570000000001</v>
      </c>
      <c r="AF10581">
        <v>27.257439999999999</v>
      </c>
      <c r="AG10581">
        <f>IFERROR(AH10581*0.1, "N/A")</f>
        <v>5.2458840000000002</v>
      </c>
      <c r="AH10581">
        <v>52.458840000000002</v>
      </c>
      <c r="AI10581">
        <v>304.00909999999999</v>
      </c>
      <c r="AJ10581">
        <v>16.5289</v>
      </c>
      <c r="AK10581">
        <v>66.805599999999998</v>
      </c>
    </row>
    <row r="10582" spans="1:37" x14ac:dyDescent="0.3">
      <c r="A10582">
        <v>10581</v>
      </c>
      <c r="B10582">
        <v>11</v>
      </c>
      <c r="C10582">
        <v>-4.0547199999999997</v>
      </c>
      <c r="D10582">
        <v>5.4958299999999998</v>
      </c>
      <c r="E10582">
        <f>-4.05472-5.49583</f>
        <v>-9.5505499999999994</v>
      </c>
      <c r="F10582" t="s">
        <v>15982</v>
      </c>
      <c r="G10582" t="s">
        <v>37</v>
      </c>
      <c r="H10582">
        <v>1980</v>
      </c>
      <c r="I10582">
        <v>26.1</v>
      </c>
      <c r="J10582">
        <v>7.7</v>
      </c>
      <c r="K10582">
        <v>68</v>
      </c>
      <c r="L10582">
        <v>11.04</v>
      </c>
      <c r="M10582">
        <v>31.9</v>
      </c>
      <c r="N10582">
        <v>20.6</v>
      </c>
      <c r="O10582">
        <v>11.3</v>
      </c>
      <c r="P10582">
        <v>26.6</v>
      </c>
      <c r="Q10582">
        <v>26.6</v>
      </c>
      <c r="R10582">
        <v>27.2</v>
      </c>
      <c r="S10582">
        <v>24.4</v>
      </c>
      <c r="T10582">
        <v>1706</v>
      </c>
      <c r="U10582">
        <v>418</v>
      </c>
      <c r="V10582">
        <v>23</v>
      </c>
      <c r="W10582">
        <v>71</v>
      </c>
      <c r="X10582">
        <v>815</v>
      </c>
      <c r="Y10582">
        <v>152</v>
      </c>
      <c r="Z10582">
        <v>339</v>
      </c>
      <c r="AA10582">
        <v>297</v>
      </c>
      <c r="AB10582">
        <v>19.718710000000002</v>
      </c>
      <c r="AC10582">
        <v>2.107997E-2</v>
      </c>
      <c r="AD10582">
        <v>4.0740420000000004</v>
      </c>
      <c r="AE10582">
        <v>0.87105600000000005</v>
      </c>
      <c r="AF10582">
        <v>73.972030000000004</v>
      </c>
      <c r="AG10582">
        <f>IFERROR(AH10582*0.1, "N/A")</f>
        <v>5.2958040000000004</v>
      </c>
      <c r="AH10582">
        <v>52.958039999999997</v>
      </c>
      <c r="AI10582">
        <v>285.13780000000003</v>
      </c>
      <c r="AJ10582">
        <v>18.04196</v>
      </c>
      <c r="AK10582">
        <v>64.874129999999994</v>
      </c>
    </row>
    <row r="10583" spans="1:37" x14ac:dyDescent="0.3">
      <c r="A10583">
        <v>10582</v>
      </c>
      <c r="B10583">
        <v>8</v>
      </c>
      <c r="C10583">
        <v>-4.08324</v>
      </c>
      <c r="D10583">
        <v>5.6284000000000001</v>
      </c>
      <c r="E10583">
        <f>-4.08324-5.6284</f>
        <v>-9.7116399999999992</v>
      </c>
      <c r="F10583" t="s">
        <v>15983</v>
      </c>
      <c r="G10583" t="s">
        <v>37</v>
      </c>
      <c r="H10583">
        <v>1981</v>
      </c>
      <c r="I10583">
        <v>26.4</v>
      </c>
      <c r="J10583">
        <v>8</v>
      </c>
      <c r="K10583">
        <v>70</v>
      </c>
      <c r="L10583">
        <v>10.86178</v>
      </c>
      <c r="M10583">
        <v>32.289879999999997</v>
      </c>
      <c r="N10583">
        <v>20.9</v>
      </c>
      <c r="O10583">
        <v>11.38988</v>
      </c>
      <c r="P10583">
        <v>26.889880000000002</v>
      </c>
      <c r="Q10583">
        <v>26.989879999999999</v>
      </c>
      <c r="R10583">
        <v>27.589880000000001</v>
      </c>
      <c r="S10583">
        <v>24.78988</v>
      </c>
      <c r="T10583">
        <v>1651.1010000000001</v>
      </c>
      <c r="U10583">
        <v>325.20240000000001</v>
      </c>
      <c r="V10583">
        <v>25</v>
      </c>
      <c r="W10583">
        <v>60</v>
      </c>
      <c r="X10583">
        <v>722.10119999999995</v>
      </c>
      <c r="Y10583">
        <v>142</v>
      </c>
      <c r="Z10583">
        <v>352</v>
      </c>
      <c r="AA10583">
        <v>301.20240000000001</v>
      </c>
      <c r="AB10583">
        <v>21.490929999999999</v>
      </c>
      <c r="AC10583">
        <v>9.3982990000000006E-3</v>
      </c>
      <c r="AD10583">
        <v>3.3093370000000002</v>
      </c>
      <c r="AE10583">
        <v>0.70433219999999996</v>
      </c>
      <c r="AF10583">
        <v>73.577659999999995</v>
      </c>
      <c r="AG10583">
        <f>IFERROR(AH10583*0.1, "N/A")</f>
        <v>5.3898780000000004</v>
      </c>
      <c r="AH10583">
        <v>53.898780000000002</v>
      </c>
      <c r="AI10583">
        <v>124.37430000000001</v>
      </c>
      <c r="AJ10583">
        <v>16.724260000000001</v>
      </c>
      <c r="AK10583">
        <v>67.401399999999995</v>
      </c>
    </row>
    <row r="10584" spans="1:37" x14ac:dyDescent="0.3">
      <c r="A10584">
        <v>10583</v>
      </c>
      <c r="B10584">
        <v>2.6</v>
      </c>
      <c r="C10584">
        <v>-4.8243499999999999</v>
      </c>
      <c r="D10584">
        <v>5.7245999999999997</v>
      </c>
      <c r="E10584">
        <f>-4.82435-5.7246</f>
        <v>-10.54895</v>
      </c>
      <c r="F10584" t="s">
        <v>15984</v>
      </c>
      <c r="G10584" t="s">
        <v>39</v>
      </c>
      <c r="H10584">
        <v>1998</v>
      </c>
      <c r="I10584">
        <v>27.1</v>
      </c>
      <c r="J10584">
        <v>8.3000000000000007</v>
      </c>
      <c r="K10584">
        <v>72</v>
      </c>
      <c r="L10584">
        <v>10.390029999999999</v>
      </c>
      <c r="M10584">
        <v>33.299999999999997</v>
      </c>
      <c r="N10584">
        <v>21.8</v>
      </c>
      <c r="O10584">
        <v>11.5</v>
      </c>
      <c r="P10584">
        <v>27.69004</v>
      </c>
      <c r="Q10584">
        <v>27.499829999999999</v>
      </c>
      <c r="R10584">
        <v>28.399819999999998</v>
      </c>
      <c r="S10584">
        <v>25.6</v>
      </c>
      <c r="T10584">
        <v>1376.8920000000001</v>
      </c>
      <c r="U10584">
        <v>290.33390000000003</v>
      </c>
      <c r="V10584">
        <v>18</v>
      </c>
      <c r="W10584">
        <v>63</v>
      </c>
      <c r="X10584">
        <v>624.11189999999999</v>
      </c>
      <c r="Y10584">
        <v>117.77970000000001</v>
      </c>
      <c r="Z10584">
        <v>310</v>
      </c>
      <c r="AA10584">
        <v>258.22199999999998</v>
      </c>
      <c r="AB10584">
        <v>11.68829</v>
      </c>
      <c r="AC10584">
        <v>9.3983279999999992E-3</v>
      </c>
      <c r="AD10584">
        <v>2.6587480000000001</v>
      </c>
      <c r="AE10584">
        <v>0.47445019999999999</v>
      </c>
      <c r="AF10584">
        <v>17.631119999999999</v>
      </c>
      <c r="AG10584">
        <f>IFERROR(AH10584*0.1, "N/A")</f>
        <v>5.0093200000000007</v>
      </c>
      <c r="AH10584">
        <v>50.093200000000003</v>
      </c>
      <c r="AI10584">
        <v>257.70260000000002</v>
      </c>
      <c r="AJ10584">
        <v>28.813590000000001</v>
      </c>
      <c r="AK10584">
        <v>49.186410000000002</v>
      </c>
    </row>
    <row r="10585" spans="1:37" x14ac:dyDescent="0.3">
      <c r="A10585">
        <v>10584</v>
      </c>
      <c r="B10585">
        <v>59.5</v>
      </c>
      <c r="C10585">
        <v>-4.23583</v>
      </c>
      <c r="D10585">
        <v>5.7374999999999998</v>
      </c>
      <c r="E10585">
        <f>-4.23583-5.7375</f>
        <v>-9.9733300000000007</v>
      </c>
      <c r="F10585" t="s">
        <v>15985</v>
      </c>
      <c r="G10585" t="s">
        <v>39</v>
      </c>
      <c r="H10585">
        <v>0</v>
      </c>
      <c r="I10585">
        <v>26.8</v>
      </c>
      <c r="J10585">
        <v>8.1999999999999993</v>
      </c>
      <c r="K10585">
        <v>71</v>
      </c>
      <c r="L10585">
        <v>10.43</v>
      </c>
      <c r="M10585">
        <v>32.9</v>
      </c>
      <c r="N10585">
        <v>21.4</v>
      </c>
      <c r="O10585">
        <v>11.5</v>
      </c>
      <c r="P10585">
        <v>27.3</v>
      </c>
      <c r="Q10585">
        <v>27.3</v>
      </c>
      <c r="R10585">
        <v>28</v>
      </c>
      <c r="S10585">
        <v>25.3</v>
      </c>
      <c r="T10585">
        <v>1536</v>
      </c>
      <c r="U10585">
        <v>305</v>
      </c>
      <c r="V10585">
        <v>23</v>
      </c>
      <c r="W10585">
        <v>59</v>
      </c>
      <c r="X10585">
        <v>676</v>
      </c>
      <c r="Y10585">
        <v>129</v>
      </c>
      <c r="Z10585">
        <v>331</v>
      </c>
      <c r="AA10585">
        <v>296</v>
      </c>
      <c r="AB10585">
        <v>12.626749999999999</v>
      </c>
      <c r="AC10585">
        <v>9.2196599999999993E-3</v>
      </c>
      <c r="AD10585">
        <v>2.2428889999999999</v>
      </c>
      <c r="AE10585">
        <v>0.64771480000000003</v>
      </c>
      <c r="AF10585">
        <v>35.638109999999998</v>
      </c>
      <c r="AG10585">
        <f>IFERROR(AH10585*0.1, "N/A")</f>
        <v>5.3000000000000007</v>
      </c>
      <c r="AH10585">
        <v>53</v>
      </c>
      <c r="AI10585">
        <v>214.74039999999999</v>
      </c>
      <c r="AJ10585">
        <v>17</v>
      </c>
      <c r="AK10585">
        <v>65.723780000000005</v>
      </c>
    </row>
    <row r="10586" spans="1:37" x14ac:dyDescent="0.3">
      <c r="A10586">
        <v>10585</v>
      </c>
      <c r="B10586">
        <v>41.3</v>
      </c>
      <c r="C10586">
        <v>-4.23583</v>
      </c>
      <c r="D10586">
        <v>5.7374999999999998</v>
      </c>
      <c r="E10586">
        <f>-4.23583-5.7375</f>
        <v>-9.9733300000000007</v>
      </c>
      <c r="F10586" t="s">
        <v>15986</v>
      </c>
      <c r="G10586" t="s">
        <v>37</v>
      </c>
      <c r="H10586">
        <v>0</v>
      </c>
      <c r="I10586">
        <v>26.8</v>
      </c>
      <c r="J10586">
        <v>8.1999999999999993</v>
      </c>
      <c r="K10586">
        <v>71</v>
      </c>
      <c r="L10586">
        <v>10.43</v>
      </c>
      <c r="M10586">
        <v>32.9</v>
      </c>
      <c r="N10586">
        <v>21.4</v>
      </c>
      <c r="O10586">
        <v>11.5</v>
      </c>
      <c r="P10586">
        <v>27.3</v>
      </c>
      <c r="Q10586">
        <v>27.3</v>
      </c>
      <c r="R10586">
        <v>28</v>
      </c>
      <c r="S10586">
        <v>25.3</v>
      </c>
      <c r="T10586">
        <v>1536</v>
      </c>
      <c r="U10586">
        <v>305</v>
      </c>
      <c r="V10586">
        <v>23</v>
      </c>
      <c r="W10586">
        <v>59</v>
      </c>
      <c r="X10586">
        <v>676</v>
      </c>
      <c r="Y10586">
        <v>129</v>
      </c>
      <c r="Z10586">
        <v>331</v>
      </c>
      <c r="AA10586">
        <v>296</v>
      </c>
      <c r="AB10586">
        <v>12.626749999999999</v>
      </c>
      <c r="AC10586">
        <v>9.2196599999999993E-3</v>
      </c>
      <c r="AD10586">
        <v>2.2428889999999999</v>
      </c>
      <c r="AE10586">
        <v>0.64771480000000003</v>
      </c>
      <c r="AF10586">
        <v>35.638109999999998</v>
      </c>
      <c r="AG10586">
        <f>IFERROR(AH10586*0.1, "N/A")</f>
        <v>5.3000000000000007</v>
      </c>
      <c r="AH10586">
        <v>53</v>
      </c>
      <c r="AI10586">
        <v>214.74039999999999</v>
      </c>
      <c r="AJ10586">
        <v>17</v>
      </c>
      <c r="AK10586">
        <v>65.723780000000005</v>
      </c>
    </row>
    <row r="10587" spans="1:37" x14ac:dyDescent="0.3">
      <c r="A10587">
        <v>10586</v>
      </c>
      <c r="B10587">
        <v>65.599999999999994</v>
      </c>
      <c r="C10587">
        <v>-4.75488</v>
      </c>
      <c r="D10587">
        <v>5.7762599999999997</v>
      </c>
      <c r="E10587">
        <f>-4.75488-5.77626</f>
        <v>-10.531140000000001</v>
      </c>
      <c r="F10587" t="s">
        <v>15987</v>
      </c>
      <c r="G10587" t="s">
        <v>39</v>
      </c>
      <c r="H10587">
        <v>2001</v>
      </c>
      <c r="I10587">
        <v>27</v>
      </c>
      <c r="J10587">
        <v>8.4</v>
      </c>
      <c r="K10587">
        <v>72</v>
      </c>
      <c r="L10587">
        <v>10.16</v>
      </c>
      <c r="M10587">
        <v>33.299999999999997</v>
      </c>
      <c r="N10587">
        <v>21.7</v>
      </c>
      <c r="O10587">
        <v>11.6</v>
      </c>
      <c r="P10587">
        <v>27.4</v>
      </c>
      <c r="Q10587">
        <v>27.3</v>
      </c>
      <c r="R10587">
        <v>28.2</v>
      </c>
      <c r="S10587">
        <v>25.5</v>
      </c>
      <c r="T10587">
        <v>1360</v>
      </c>
      <c r="U10587">
        <v>276</v>
      </c>
      <c r="V10587">
        <v>18</v>
      </c>
      <c r="W10587">
        <v>61</v>
      </c>
      <c r="X10587">
        <v>606</v>
      </c>
      <c r="Y10587">
        <v>115</v>
      </c>
      <c r="Z10587">
        <v>313</v>
      </c>
      <c r="AA10587">
        <v>265</v>
      </c>
      <c r="AB10587">
        <v>17.38496</v>
      </c>
      <c r="AC10587">
        <v>8.5053230000000004E-3</v>
      </c>
      <c r="AD10587">
        <v>2.8445499999999999</v>
      </c>
      <c r="AE10587">
        <v>0.6704658</v>
      </c>
      <c r="AF10587">
        <v>52.333919999999999</v>
      </c>
      <c r="AG10587">
        <f>IFERROR(AH10587*0.1, "N/A")</f>
        <v>5.5592660000000009</v>
      </c>
      <c r="AH10587">
        <v>55.592660000000002</v>
      </c>
      <c r="AI10587">
        <v>199.66820000000001</v>
      </c>
      <c r="AJ10587">
        <v>16</v>
      </c>
      <c r="AK10587">
        <v>67.222030000000004</v>
      </c>
    </row>
    <row r="10588" spans="1:37" x14ac:dyDescent="0.3">
      <c r="A10588">
        <v>10587</v>
      </c>
      <c r="B10588">
        <v>55.7</v>
      </c>
      <c r="C10588">
        <v>-4.7948300000000001</v>
      </c>
      <c r="D10588">
        <v>5.7769700000000004</v>
      </c>
      <c r="E10588">
        <f>-4.79483-5.77697</f>
        <v>-10.5718</v>
      </c>
      <c r="F10588" t="s">
        <v>15988</v>
      </c>
      <c r="G10588" t="s">
        <v>39</v>
      </c>
      <c r="H10588">
        <v>1998</v>
      </c>
      <c r="I10588">
        <v>27.1</v>
      </c>
      <c r="J10588">
        <v>8.4</v>
      </c>
      <c r="K10588">
        <v>72</v>
      </c>
      <c r="L10588">
        <v>10.32</v>
      </c>
      <c r="M10588">
        <v>33.4</v>
      </c>
      <c r="N10588">
        <v>21.8</v>
      </c>
      <c r="O10588">
        <v>11.6</v>
      </c>
      <c r="P10588">
        <v>27.6</v>
      </c>
      <c r="Q10588">
        <v>27.5</v>
      </c>
      <c r="R10588">
        <v>28.4</v>
      </c>
      <c r="S10588">
        <v>25.6</v>
      </c>
      <c r="T10588">
        <v>1350</v>
      </c>
      <c r="U10588">
        <v>274</v>
      </c>
      <c r="V10588">
        <v>18</v>
      </c>
      <c r="W10588">
        <v>61</v>
      </c>
      <c r="X10588">
        <v>602</v>
      </c>
      <c r="Y10588">
        <v>115</v>
      </c>
      <c r="Z10588">
        <v>312</v>
      </c>
      <c r="AA10588">
        <v>262</v>
      </c>
      <c r="AB10588">
        <v>7.0438809999999998</v>
      </c>
      <c r="AC10588">
        <v>9.3974780000000008E-3</v>
      </c>
      <c r="AD10588">
        <v>1.977433</v>
      </c>
      <c r="AE10588">
        <v>0.69626739999999998</v>
      </c>
      <c r="AF10588">
        <v>25.884620000000002</v>
      </c>
      <c r="AG10588">
        <f>IFERROR(AH10588*0.1, "N/A")</f>
        <v>5.3000000000000007</v>
      </c>
      <c r="AH10588">
        <v>53</v>
      </c>
      <c r="AI10588">
        <v>170.7824</v>
      </c>
      <c r="AJ10588">
        <v>23.001750000000001</v>
      </c>
      <c r="AK10588">
        <v>55.998249999999999</v>
      </c>
    </row>
    <row r="10589" spans="1:37" x14ac:dyDescent="0.3">
      <c r="A10589">
        <v>10588</v>
      </c>
      <c r="B10589">
        <v>19.5</v>
      </c>
      <c r="C10589">
        <v>-4.7531999999999996</v>
      </c>
      <c r="D10589">
        <v>5.7779199999999999</v>
      </c>
      <c r="E10589">
        <f>-4.7532-5.77792</f>
        <v>-10.53112</v>
      </c>
      <c r="F10589" t="s">
        <v>15989</v>
      </c>
      <c r="G10589" t="s">
        <v>39</v>
      </c>
      <c r="H10589">
        <v>1998</v>
      </c>
      <c r="I10589">
        <v>27</v>
      </c>
      <c r="J10589">
        <v>8.4</v>
      </c>
      <c r="K10589">
        <v>72</v>
      </c>
      <c r="L10589">
        <v>10.16</v>
      </c>
      <c r="M10589">
        <v>33.299999999999997</v>
      </c>
      <c r="N10589">
        <v>21.7</v>
      </c>
      <c r="O10589">
        <v>11.6</v>
      </c>
      <c r="P10589">
        <v>27.4</v>
      </c>
      <c r="Q10589">
        <v>27.3</v>
      </c>
      <c r="R10589">
        <v>28.2</v>
      </c>
      <c r="S10589">
        <v>25.5</v>
      </c>
      <c r="T10589">
        <v>1360</v>
      </c>
      <c r="U10589">
        <v>276</v>
      </c>
      <c r="V10589">
        <v>18</v>
      </c>
      <c r="W10589">
        <v>61</v>
      </c>
      <c r="X10589">
        <v>606</v>
      </c>
      <c r="Y10589">
        <v>115</v>
      </c>
      <c r="Z10589">
        <v>313</v>
      </c>
      <c r="AA10589">
        <v>265</v>
      </c>
      <c r="AB10589">
        <v>12.26272</v>
      </c>
      <c r="AC10589">
        <v>1.677352E-2</v>
      </c>
      <c r="AD10589">
        <v>3.9153799999999999</v>
      </c>
      <c r="AE10589">
        <v>0.6704658</v>
      </c>
      <c r="AF10589">
        <v>48.466900000000003</v>
      </c>
      <c r="AG10589">
        <f>IFERROR(AH10589*0.1, "N/A")</f>
        <v>5.4625440000000003</v>
      </c>
      <c r="AH10589">
        <v>54.625439999999998</v>
      </c>
      <c r="AI10589">
        <v>310.88639999999998</v>
      </c>
      <c r="AJ10589">
        <v>17.925090000000001</v>
      </c>
      <c r="AK10589">
        <v>65.522649999999999</v>
      </c>
    </row>
    <row r="10590" spans="1:37" x14ac:dyDescent="0.3">
      <c r="A10590">
        <v>10589</v>
      </c>
      <c r="B10590">
        <v>7.5</v>
      </c>
      <c r="C10590">
        <v>-6.6069399999999998</v>
      </c>
      <c r="D10590">
        <v>5.7819399999999996</v>
      </c>
      <c r="E10590">
        <f>-6.60694-5.78194</f>
        <v>-12.38888</v>
      </c>
      <c r="F10590" t="s">
        <v>15990</v>
      </c>
      <c r="G10590" t="s">
        <v>37</v>
      </c>
      <c r="H10590">
        <v>2007</v>
      </c>
      <c r="I10590">
        <v>26.1</v>
      </c>
      <c r="J10590">
        <v>8.6</v>
      </c>
      <c r="K10590">
        <v>76</v>
      </c>
      <c r="L10590">
        <v>9.02</v>
      </c>
      <c r="M10590">
        <v>32.4</v>
      </c>
      <c r="N10590">
        <v>21.1</v>
      </c>
      <c r="O10590">
        <v>11.3</v>
      </c>
      <c r="P10590">
        <v>26.5</v>
      </c>
      <c r="Q10590">
        <v>26.5</v>
      </c>
      <c r="R10590">
        <v>27.1</v>
      </c>
      <c r="S10590">
        <v>24.7</v>
      </c>
      <c r="T10590">
        <v>1502</v>
      </c>
      <c r="U10590">
        <v>223</v>
      </c>
      <c r="V10590">
        <v>29</v>
      </c>
      <c r="W10590">
        <v>45</v>
      </c>
      <c r="X10590">
        <v>541</v>
      </c>
      <c r="Y10590">
        <v>148</v>
      </c>
      <c r="Z10590">
        <v>339</v>
      </c>
      <c r="AA10590">
        <v>407</v>
      </c>
      <c r="AB10590">
        <v>19.197199999999999</v>
      </c>
      <c r="AC10590">
        <v>1.3977140000000001E-2</v>
      </c>
      <c r="AD10590">
        <v>2.7197</v>
      </c>
      <c r="AE10590">
        <v>0.77622820000000003</v>
      </c>
      <c r="AF10590">
        <v>129.1189</v>
      </c>
      <c r="AG10590">
        <f>IFERROR(AH10590*0.1, "N/A")</f>
        <v>5.5958040000000002</v>
      </c>
      <c r="AH10590">
        <v>55.958039999999997</v>
      </c>
      <c r="AI10590">
        <v>225.8682</v>
      </c>
      <c r="AJ10590">
        <v>23.847899999999999</v>
      </c>
      <c r="AK10590">
        <v>55.152099999999997</v>
      </c>
    </row>
    <row r="10591" spans="1:37" x14ac:dyDescent="0.3">
      <c r="A10591">
        <v>10590</v>
      </c>
      <c r="B10591">
        <v>54.7</v>
      </c>
      <c r="C10591">
        <v>-4.6630000000000003</v>
      </c>
      <c r="D10591">
        <v>5.7941799999999999</v>
      </c>
      <c r="E10591">
        <f>-4.663-5.79418</f>
        <v>-10.457180000000001</v>
      </c>
      <c r="F10591" t="s">
        <v>15991</v>
      </c>
      <c r="G10591" t="s">
        <v>39</v>
      </c>
      <c r="H10591">
        <v>1998</v>
      </c>
      <c r="I10591">
        <v>26.9</v>
      </c>
      <c r="J10591">
        <v>8.4</v>
      </c>
      <c r="K10591">
        <v>72</v>
      </c>
      <c r="L10591">
        <v>10.33</v>
      </c>
      <c r="M10591">
        <v>33.1</v>
      </c>
      <c r="N10591">
        <v>21.5</v>
      </c>
      <c r="O10591">
        <v>11.6</v>
      </c>
      <c r="P10591">
        <v>27.3</v>
      </c>
      <c r="Q10591">
        <v>27.3</v>
      </c>
      <c r="R10591">
        <v>28.1</v>
      </c>
      <c r="S10591">
        <v>25.3</v>
      </c>
      <c r="T10591">
        <v>1374</v>
      </c>
      <c r="U10591">
        <v>279</v>
      </c>
      <c r="V10591">
        <v>19</v>
      </c>
      <c r="W10591">
        <v>61</v>
      </c>
      <c r="X10591">
        <v>611</v>
      </c>
      <c r="Y10591">
        <v>115</v>
      </c>
      <c r="Z10591">
        <v>315</v>
      </c>
      <c r="AA10591">
        <v>271</v>
      </c>
      <c r="AB10591">
        <v>3.5938829999999999</v>
      </c>
      <c r="AC10591">
        <v>1.155321E-2</v>
      </c>
      <c r="AD10591">
        <v>2.1631990000000001</v>
      </c>
      <c r="AE10591">
        <v>0.76716150000000005</v>
      </c>
      <c r="AF10591">
        <v>64.954549999999998</v>
      </c>
      <c r="AG10591">
        <f>IFERROR(AH10591*0.1, "N/A")</f>
        <v>5.4017480000000004</v>
      </c>
      <c r="AH10591">
        <v>54.017479999999999</v>
      </c>
      <c r="AI10591">
        <v>79.666390000000007</v>
      </c>
      <c r="AJ10591">
        <v>16</v>
      </c>
      <c r="AK10591">
        <v>65.008740000000003</v>
      </c>
    </row>
    <row r="10592" spans="1:37" x14ac:dyDescent="0.3">
      <c r="A10592">
        <v>10591</v>
      </c>
      <c r="B10592">
        <v>87.6</v>
      </c>
      <c r="C10592">
        <v>-4.6626899999999996</v>
      </c>
      <c r="D10592">
        <v>5.7950499999999998</v>
      </c>
      <c r="E10592">
        <f>-4.66269-5.79505</f>
        <v>-10.457739999999999</v>
      </c>
      <c r="F10592" t="s">
        <v>15992</v>
      </c>
      <c r="G10592" t="s">
        <v>39</v>
      </c>
      <c r="H10592">
        <v>2001</v>
      </c>
      <c r="I10592">
        <v>26.9</v>
      </c>
      <c r="J10592">
        <v>8.4</v>
      </c>
      <c r="K10592">
        <v>72</v>
      </c>
      <c r="L10592">
        <v>10.33</v>
      </c>
      <c r="M10592">
        <v>33.1</v>
      </c>
      <c r="N10592">
        <v>21.5</v>
      </c>
      <c r="O10592">
        <v>11.6</v>
      </c>
      <c r="P10592">
        <v>27.3</v>
      </c>
      <c r="Q10592">
        <v>27.3</v>
      </c>
      <c r="R10592">
        <v>28.1</v>
      </c>
      <c r="S10592">
        <v>25.3</v>
      </c>
      <c r="T10592">
        <v>1374</v>
      </c>
      <c r="U10592">
        <v>279</v>
      </c>
      <c r="V10592">
        <v>19</v>
      </c>
      <c r="W10592">
        <v>61</v>
      </c>
      <c r="X10592">
        <v>611</v>
      </c>
      <c r="Y10592">
        <v>115</v>
      </c>
      <c r="Z10592">
        <v>315</v>
      </c>
      <c r="AA10592">
        <v>271</v>
      </c>
      <c r="AB10592">
        <v>2.8914369999999998</v>
      </c>
      <c r="AC10592">
        <v>2.0459700000000001E-2</v>
      </c>
      <c r="AD10592">
        <v>2.0227400000000002</v>
      </c>
      <c r="AE10592">
        <v>0.76716150000000005</v>
      </c>
      <c r="AF10592">
        <v>64.190560000000005</v>
      </c>
      <c r="AG10592">
        <f>IFERROR(AH10592*0.1, "N/A")</f>
        <v>5.5295450000000006</v>
      </c>
      <c r="AH10592">
        <v>55.295450000000002</v>
      </c>
      <c r="AI10592">
        <v>106.4683</v>
      </c>
      <c r="AJ10592">
        <v>16.667829999999999</v>
      </c>
      <c r="AK10592">
        <v>64.087410000000006</v>
      </c>
    </row>
    <row r="10593" spans="1:37" x14ac:dyDescent="0.3">
      <c r="A10593">
        <v>10592</v>
      </c>
      <c r="B10593">
        <v>59.5</v>
      </c>
      <c r="C10593">
        <v>-4.6670499999999997</v>
      </c>
      <c r="D10593">
        <v>5.7995799999999997</v>
      </c>
      <c r="E10593">
        <f>-4.66705-5.79958</f>
        <v>-10.466629999999999</v>
      </c>
      <c r="F10593" t="s">
        <v>15993</v>
      </c>
      <c r="G10593" t="s">
        <v>39</v>
      </c>
      <c r="H10593">
        <v>1998</v>
      </c>
      <c r="I10593">
        <v>26.825299999999999</v>
      </c>
      <c r="J10593">
        <v>8.4</v>
      </c>
      <c r="K10593">
        <v>72</v>
      </c>
      <c r="L10593">
        <v>10.30012</v>
      </c>
      <c r="M10593">
        <v>33.1</v>
      </c>
      <c r="N10593">
        <v>21.5</v>
      </c>
      <c r="O10593">
        <v>11.6</v>
      </c>
      <c r="P10593">
        <v>27.3</v>
      </c>
      <c r="Q10593">
        <v>27.22531</v>
      </c>
      <c r="R10593">
        <v>28.1</v>
      </c>
      <c r="S10593">
        <v>25.3</v>
      </c>
      <c r="T10593">
        <v>1372.5060000000001</v>
      </c>
      <c r="U10593">
        <v>278.25310000000002</v>
      </c>
      <c r="V10593">
        <v>19</v>
      </c>
      <c r="W10593">
        <v>61</v>
      </c>
      <c r="X10593">
        <v>610.25310000000002</v>
      </c>
      <c r="Y10593">
        <v>115</v>
      </c>
      <c r="Z10593">
        <v>315</v>
      </c>
      <c r="AA10593">
        <v>270.25310000000002</v>
      </c>
      <c r="AB10593">
        <v>12.480980000000001</v>
      </c>
      <c r="AC10593">
        <v>1.1414179999999999E-2</v>
      </c>
      <c r="AD10593">
        <v>3.6758459999999999</v>
      </c>
      <c r="AE10593">
        <v>0.67195249999999995</v>
      </c>
      <c r="AF10593">
        <v>75.661429999999996</v>
      </c>
      <c r="AG10593">
        <f>IFERROR(AH10593*0.1, "N/A")</f>
        <v>5.0928450000000005</v>
      </c>
      <c r="AH10593">
        <v>50.928449999999998</v>
      </c>
      <c r="AI10593">
        <v>78.630309999999994</v>
      </c>
      <c r="AJ10593">
        <v>18.37696</v>
      </c>
      <c r="AK10593">
        <v>63.045380000000002</v>
      </c>
    </row>
    <row r="10594" spans="1:37" x14ac:dyDescent="0.3">
      <c r="A10594">
        <v>10593</v>
      </c>
      <c r="B10594">
        <v>58.2</v>
      </c>
      <c r="C10594">
        <v>-4.7300700000000004</v>
      </c>
      <c r="D10594">
        <v>5.8358699999999999</v>
      </c>
      <c r="E10594">
        <f>-4.73007-5.83587</f>
        <v>-10.565940000000001</v>
      </c>
      <c r="F10594" t="s">
        <v>15994</v>
      </c>
      <c r="G10594" t="s">
        <v>39</v>
      </c>
      <c r="H10594">
        <v>1998</v>
      </c>
      <c r="I10594">
        <v>26.9</v>
      </c>
      <c r="J10594">
        <v>8.5</v>
      </c>
      <c r="K10594">
        <v>73</v>
      </c>
      <c r="L10594">
        <v>10.1</v>
      </c>
      <c r="M10594">
        <v>33.200000000000003</v>
      </c>
      <c r="N10594">
        <v>21.6</v>
      </c>
      <c r="O10594">
        <v>11.6</v>
      </c>
      <c r="P10594">
        <v>27.4</v>
      </c>
      <c r="Q10594">
        <v>27.3</v>
      </c>
      <c r="R10594">
        <v>28.1</v>
      </c>
      <c r="S10594">
        <v>25.4</v>
      </c>
      <c r="T10594">
        <v>1333</v>
      </c>
      <c r="U10594">
        <v>260</v>
      </c>
      <c r="V10594">
        <v>18</v>
      </c>
      <c r="W10594">
        <v>59</v>
      </c>
      <c r="X10594">
        <v>584</v>
      </c>
      <c r="Y10594">
        <v>112</v>
      </c>
      <c r="Z10594">
        <v>314</v>
      </c>
      <c r="AA10594">
        <v>269</v>
      </c>
      <c r="AB10594">
        <v>11.488479999999999</v>
      </c>
      <c r="AC10594">
        <v>1.0893989999999999E-2</v>
      </c>
      <c r="AD10594">
        <v>2.618042</v>
      </c>
      <c r="AE10594">
        <v>0.69955140000000005</v>
      </c>
      <c r="AF10594">
        <v>61.127400000000002</v>
      </c>
      <c r="AG10594">
        <f>IFERROR(AH10594*0.1, "N/A")</f>
        <v>5.6568940000000003</v>
      </c>
      <c r="AH10594">
        <v>56.568939999999998</v>
      </c>
      <c r="AI10594">
        <v>168.71850000000001</v>
      </c>
      <c r="AJ10594">
        <v>18.867360000000001</v>
      </c>
      <c r="AK10594">
        <v>63.834209999999999</v>
      </c>
    </row>
    <row r="10595" spans="1:37" x14ac:dyDescent="0.3">
      <c r="A10595">
        <v>10594</v>
      </c>
      <c r="B10595">
        <v>10.9</v>
      </c>
      <c r="C10595">
        <v>-4.7586700000000004</v>
      </c>
      <c r="D10595">
        <v>5.8625499999999997</v>
      </c>
      <c r="E10595">
        <f>-4.75867-5.86255</f>
        <v>-10.621220000000001</v>
      </c>
      <c r="F10595" t="s">
        <v>15995</v>
      </c>
      <c r="G10595" t="s">
        <v>39</v>
      </c>
      <c r="H10595">
        <v>1998</v>
      </c>
      <c r="I10595">
        <v>26.9</v>
      </c>
      <c r="J10595">
        <v>8.6</v>
      </c>
      <c r="K10595">
        <v>73.484210000000004</v>
      </c>
      <c r="L10595">
        <v>10.13321</v>
      </c>
      <c r="M10595">
        <v>33.299999999999997</v>
      </c>
      <c r="N10595">
        <v>21.648420000000002</v>
      </c>
      <c r="O10595">
        <v>11.651579999999999</v>
      </c>
      <c r="P10595">
        <v>27.474209999999999</v>
      </c>
      <c r="Q10595">
        <v>27.22579</v>
      </c>
      <c r="R10595">
        <v>28.174209999999999</v>
      </c>
      <c r="S10595">
        <v>25.474209999999999</v>
      </c>
      <c r="T10595">
        <v>1314.5160000000001</v>
      </c>
      <c r="U10595">
        <v>251</v>
      </c>
      <c r="V10595">
        <v>18</v>
      </c>
      <c r="W10595">
        <v>58</v>
      </c>
      <c r="X10595">
        <v>572</v>
      </c>
      <c r="Y10595">
        <v>111</v>
      </c>
      <c r="Z10595">
        <v>315.25790000000001</v>
      </c>
      <c r="AA10595">
        <v>269</v>
      </c>
      <c r="AB10595">
        <v>4.390701</v>
      </c>
      <c r="AC10595">
        <v>0.2198089</v>
      </c>
      <c r="AD10595">
        <v>4.6487449999999999</v>
      </c>
      <c r="AE10595">
        <v>0.85862660000000002</v>
      </c>
      <c r="AF10595">
        <v>57.208770000000001</v>
      </c>
      <c r="AG10595">
        <f>IFERROR(AH10595*0.1, "N/A")</f>
        <v>5.4</v>
      </c>
      <c r="AH10595">
        <v>54</v>
      </c>
      <c r="AI10595">
        <v>236.34559999999999</v>
      </c>
      <c r="AJ10595">
        <v>14.74211</v>
      </c>
      <c r="AK10595">
        <v>68.484210000000004</v>
      </c>
    </row>
    <row r="10596" spans="1:37" x14ac:dyDescent="0.3">
      <c r="A10596">
        <v>10595</v>
      </c>
      <c r="B10596">
        <v>16.100000000000001</v>
      </c>
      <c r="C10596">
        <v>-4.7649699999999999</v>
      </c>
      <c r="D10596">
        <v>5.8638000000000003</v>
      </c>
      <c r="E10596">
        <f>-4.76497-5.8638</f>
        <v>-10.628769999999999</v>
      </c>
      <c r="F10596" t="s">
        <v>15996</v>
      </c>
      <c r="G10596" t="s">
        <v>39</v>
      </c>
      <c r="H10596">
        <v>1998</v>
      </c>
      <c r="I10596">
        <v>26.9</v>
      </c>
      <c r="J10596">
        <v>8.6</v>
      </c>
      <c r="K10596">
        <v>74</v>
      </c>
      <c r="L10596">
        <v>10.11</v>
      </c>
      <c r="M10596">
        <v>33.299999999999997</v>
      </c>
      <c r="N10596">
        <v>21.7</v>
      </c>
      <c r="O10596">
        <v>11.6</v>
      </c>
      <c r="P10596">
        <v>27.5</v>
      </c>
      <c r="Q10596">
        <v>27.2</v>
      </c>
      <c r="R10596">
        <v>28.2</v>
      </c>
      <c r="S10596">
        <v>25.5</v>
      </c>
      <c r="T10596">
        <v>1314</v>
      </c>
      <c r="U10596">
        <v>251</v>
      </c>
      <c r="V10596">
        <v>18</v>
      </c>
      <c r="W10596">
        <v>58</v>
      </c>
      <c r="X10596">
        <v>572</v>
      </c>
      <c r="Y10596">
        <v>111</v>
      </c>
      <c r="Z10596">
        <v>315</v>
      </c>
      <c r="AA10596">
        <v>269</v>
      </c>
      <c r="AB10596">
        <v>11.902799999999999</v>
      </c>
      <c r="AC10596">
        <v>2.0130149999999999E-2</v>
      </c>
      <c r="AD10596">
        <v>2.7675459999999998</v>
      </c>
      <c r="AE10596">
        <v>0.84203240000000001</v>
      </c>
      <c r="AF10596">
        <v>57.155589999999997</v>
      </c>
      <c r="AG10596">
        <f>IFERROR(AH10596*0.1, "N/A")</f>
        <v>5.5914340000000005</v>
      </c>
      <c r="AH10596">
        <v>55.914340000000003</v>
      </c>
      <c r="AI10596">
        <v>85.637609999999995</v>
      </c>
      <c r="AJ10596">
        <v>13.48776</v>
      </c>
      <c r="AK10596">
        <v>69.354900000000001</v>
      </c>
    </row>
    <row r="10597" spans="1:37" x14ac:dyDescent="0.3">
      <c r="A10597">
        <v>10596</v>
      </c>
      <c r="B10597">
        <v>9.3000000000000007</v>
      </c>
      <c r="C10597">
        <v>-4.8625999999999996</v>
      </c>
      <c r="D10597">
        <v>5.8670499999999999</v>
      </c>
      <c r="E10597">
        <f>-4.8626-5.86705</f>
        <v>-10.729649999999999</v>
      </c>
      <c r="F10597" t="s">
        <v>15997</v>
      </c>
      <c r="G10597" t="s">
        <v>39</v>
      </c>
      <c r="H10597">
        <v>1998</v>
      </c>
      <c r="I10597">
        <v>27.0641</v>
      </c>
      <c r="J10597">
        <v>8.6</v>
      </c>
      <c r="K10597">
        <v>72.359020000000001</v>
      </c>
      <c r="L10597">
        <v>10.1487</v>
      </c>
      <c r="M10597">
        <v>33.528199999999998</v>
      </c>
      <c r="N10597">
        <v>21.764099999999999</v>
      </c>
      <c r="O10597">
        <v>11.764099999999999</v>
      </c>
      <c r="P10597">
        <v>27.5641</v>
      </c>
      <c r="Q10597">
        <v>27.364100000000001</v>
      </c>
      <c r="R10597">
        <v>28.328199999999999</v>
      </c>
      <c r="S10597">
        <v>25.664100000000001</v>
      </c>
      <c r="T10597">
        <v>1309.231</v>
      </c>
      <c r="U10597">
        <v>244.71799999999999</v>
      </c>
      <c r="V10597">
        <v>18</v>
      </c>
      <c r="W10597">
        <v>57</v>
      </c>
      <c r="X10597">
        <v>563.43610000000001</v>
      </c>
      <c r="Y10597">
        <v>113.718</v>
      </c>
      <c r="Z10597">
        <v>321.07709999999997</v>
      </c>
      <c r="AA10597">
        <v>271</v>
      </c>
      <c r="AB10597">
        <v>14.03748</v>
      </c>
      <c r="AC10597">
        <v>1.970361E-2</v>
      </c>
      <c r="AD10597">
        <v>4.0893550000000003</v>
      </c>
      <c r="AE10597">
        <v>0.66782189999999997</v>
      </c>
      <c r="AF10597">
        <v>35.786340000000003</v>
      </c>
      <c r="AG10597">
        <f>IFERROR(AH10597*0.1, "N/A")</f>
        <v>5.104203</v>
      </c>
      <c r="AH10597">
        <v>51.042029999999997</v>
      </c>
      <c r="AI10597">
        <v>134.41849999999999</v>
      </c>
      <c r="AJ10597">
        <v>20.987739999999999</v>
      </c>
      <c r="AK10597">
        <v>58.50788</v>
      </c>
    </row>
    <row r="10598" spans="1:37" x14ac:dyDescent="0.3">
      <c r="A10598">
        <v>10597</v>
      </c>
      <c r="B10598">
        <v>18.5</v>
      </c>
      <c r="C10598">
        <v>-4.7673199999999998</v>
      </c>
      <c r="D10598">
        <v>5.8685</v>
      </c>
      <c r="E10598">
        <f>-4.76732-5.8685</f>
        <v>-10.635819999999999</v>
      </c>
      <c r="F10598" t="s">
        <v>15998</v>
      </c>
      <c r="G10598" t="s">
        <v>39</v>
      </c>
      <c r="H10598">
        <v>1998</v>
      </c>
      <c r="I10598">
        <v>26.9</v>
      </c>
      <c r="J10598">
        <v>8.6</v>
      </c>
      <c r="K10598">
        <v>74</v>
      </c>
      <c r="L10598">
        <v>10.14</v>
      </c>
      <c r="M10598">
        <v>33.299999999999997</v>
      </c>
      <c r="N10598">
        <v>21.7</v>
      </c>
      <c r="O10598">
        <v>11.6</v>
      </c>
      <c r="P10598">
        <v>27.4</v>
      </c>
      <c r="Q10598">
        <v>27.2</v>
      </c>
      <c r="R10598">
        <v>28.2</v>
      </c>
      <c r="S10598">
        <v>25.5</v>
      </c>
      <c r="T10598">
        <v>1309</v>
      </c>
      <c r="U10598">
        <v>248</v>
      </c>
      <c r="V10598">
        <v>18</v>
      </c>
      <c r="W10598">
        <v>58</v>
      </c>
      <c r="X10598">
        <v>568</v>
      </c>
      <c r="Y10598">
        <v>111</v>
      </c>
      <c r="Z10598">
        <v>316</v>
      </c>
      <c r="AA10598">
        <v>268</v>
      </c>
      <c r="AB10598">
        <v>2.1848179999999999</v>
      </c>
      <c r="AC10598">
        <v>0.56542040000000005</v>
      </c>
      <c r="AD10598">
        <v>3.5212219999999999</v>
      </c>
      <c r="AE10598">
        <v>0.71214599999999995</v>
      </c>
      <c r="AF10598">
        <v>50.972079999999998</v>
      </c>
      <c r="AG10598">
        <f>IFERROR(AH10598*0.1, "N/A")</f>
        <v>5.6000000000000005</v>
      </c>
      <c r="AH10598">
        <v>56</v>
      </c>
      <c r="AI10598">
        <v>88.496629999999996</v>
      </c>
      <c r="AJ10598">
        <v>14</v>
      </c>
      <c r="AK10598">
        <v>66.017449999999997</v>
      </c>
    </row>
    <row r="10599" spans="1:37" x14ac:dyDescent="0.3">
      <c r="A10599">
        <v>10598</v>
      </c>
      <c r="B10599">
        <v>28</v>
      </c>
      <c r="C10599">
        <v>-4.6953699999999996</v>
      </c>
      <c r="D10599">
        <v>5.8846999999999996</v>
      </c>
      <c r="E10599">
        <f>-4.69537-5.8847</f>
        <v>-10.580069999999999</v>
      </c>
      <c r="F10599" t="s">
        <v>15999</v>
      </c>
      <c r="G10599" t="s">
        <v>39</v>
      </c>
      <c r="H10599">
        <v>1998</v>
      </c>
      <c r="I10599">
        <v>26.8</v>
      </c>
      <c r="J10599">
        <v>8.6</v>
      </c>
      <c r="K10599">
        <v>72</v>
      </c>
      <c r="L10599">
        <v>10.25</v>
      </c>
      <c r="M10599">
        <v>33.299999999999997</v>
      </c>
      <c r="N10599">
        <v>21.5</v>
      </c>
      <c r="O10599">
        <v>11.8</v>
      </c>
      <c r="P10599">
        <v>27.3</v>
      </c>
      <c r="Q10599">
        <v>27.2</v>
      </c>
      <c r="R10599">
        <v>28.1</v>
      </c>
      <c r="S10599">
        <v>25.4</v>
      </c>
      <c r="T10599">
        <v>1319</v>
      </c>
      <c r="U10599">
        <v>251</v>
      </c>
      <c r="V10599">
        <v>18</v>
      </c>
      <c r="W10599">
        <v>58</v>
      </c>
      <c r="X10599">
        <v>572</v>
      </c>
      <c r="Y10599">
        <v>109</v>
      </c>
      <c r="Z10599">
        <v>316</v>
      </c>
      <c r="AA10599">
        <v>274</v>
      </c>
      <c r="AB10599">
        <v>19.88918</v>
      </c>
      <c r="AC10599">
        <v>8.5037099999999994E-3</v>
      </c>
      <c r="AD10599">
        <v>3.2076359999999999</v>
      </c>
      <c r="AE10599">
        <v>0.66376080000000004</v>
      </c>
      <c r="AF10599">
        <v>84.253050000000002</v>
      </c>
      <c r="AG10599">
        <f>IFERROR(AH10599*0.1, "N/A")</f>
        <v>5.1617800000000003</v>
      </c>
      <c r="AH10599">
        <v>51.617800000000003</v>
      </c>
      <c r="AI10599">
        <v>158.81049999999999</v>
      </c>
      <c r="AJ10599">
        <v>17.87435</v>
      </c>
      <c r="AK10599">
        <v>67.113439999999997</v>
      </c>
    </row>
    <row r="10600" spans="1:37" x14ac:dyDescent="0.3">
      <c r="A10600">
        <v>10599</v>
      </c>
      <c r="B10600">
        <v>46.7</v>
      </c>
      <c r="C10600">
        <v>-4.5205000000000002</v>
      </c>
      <c r="D10600">
        <v>5.8853799999999996</v>
      </c>
      <c r="E10600">
        <f>-4.5205-5.88538</f>
        <v>-10.40588</v>
      </c>
      <c r="F10600" t="s">
        <v>16000</v>
      </c>
      <c r="G10600" t="s">
        <v>39</v>
      </c>
      <c r="H10600">
        <v>1998</v>
      </c>
      <c r="I10600">
        <v>26.9</v>
      </c>
      <c r="J10600">
        <v>8.6</v>
      </c>
      <c r="K10600">
        <v>71</v>
      </c>
      <c r="L10600">
        <v>10.62</v>
      </c>
      <c r="M10600">
        <v>33.4</v>
      </c>
      <c r="N10600">
        <v>21.4</v>
      </c>
      <c r="O10600">
        <v>12</v>
      </c>
      <c r="P10600">
        <v>27.4</v>
      </c>
      <c r="Q10600">
        <v>27.4</v>
      </c>
      <c r="R10600">
        <v>28.2</v>
      </c>
      <c r="S10600">
        <v>25.3</v>
      </c>
      <c r="T10600">
        <v>1361</v>
      </c>
      <c r="U10600">
        <v>264</v>
      </c>
      <c r="V10600">
        <v>18</v>
      </c>
      <c r="W10600">
        <v>59</v>
      </c>
      <c r="X10600">
        <v>594</v>
      </c>
      <c r="Y10600">
        <v>110</v>
      </c>
      <c r="Z10600">
        <v>316</v>
      </c>
      <c r="AA10600">
        <v>282</v>
      </c>
      <c r="AB10600">
        <v>10.65488</v>
      </c>
      <c r="AC10600">
        <v>2.9318549999999999E-2</v>
      </c>
      <c r="AD10600">
        <v>5.1218539999999999</v>
      </c>
      <c r="AE10600">
        <v>0.65515610000000002</v>
      </c>
      <c r="AF10600">
        <v>72.085369999999998</v>
      </c>
      <c r="AG10600">
        <f>IFERROR(AH10600*0.1, "N/A")</f>
        <v>5.1130659999999999</v>
      </c>
      <c r="AH10600">
        <v>51.130659999999999</v>
      </c>
      <c r="AI10600">
        <v>138.28129999999999</v>
      </c>
      <c r="AJ10600">
        <v>21.019159999999999</v>
      </c>
      <c r="AK10600">
        <v>59.111499999999999</v>
      </c>
    </row>
    <row r="10601" spans="1:37" x14ac:dyDescent="0.3">
      <c r="A10601">
        <v>10600</v>
      </c>
      <c r="B10601">
        <v>21.6</v>
      </c>
      <c r="C10601">
        <v>-4.8279699999999997</v>
      </c>
      <c r="D10601">
        <v>5.8908800000000001</v>
      </c>
      <c r="E10601">
        <f>-4.82797-5.89088</f>
        <v>-10.71885</v>
      </c>
      <c r="F10601" t="s">
        <v>16001</v>
      </c>
      <c r="G10601" t="s">
        <v>39</v>
      </c>
      <c r="H10601">
        <v>1998</v>
      </c>
      <c r="I10601">
        <v>27.2</v>
      </c>
      <c r="J10601">
        <v>8.6</v>
      </c>
      <c r="K10601">
        <v>72</v>
      </c>
      <c r="L10601">
        <v>10.210000000000001</v>
      </c>
      <c r="M10601">
        <v>33.6</v>
      </c>
      <c r="N10601">
        <v>21.8</v>
      </c>
      <c r="O10601">
        <v>11.8</v>
      </c>
      <c r="P10601">
        <v>27.7</v>
      </c>
      <c r="Q10601">
        <v>27.5</v>
      </c>
      <c r="R10601">
        <v>28.5</v>
      </c>
      <c r="S10601">
        <v>25.7</v>
      </c>
      <c r="T10601">
        <v>1294</v>
      </c>
      <c r="U10601">
        <v>241</v>
      </c>
      <c r="V10601">
        <v>18</v>
      </c>
      <c r="W10601">
        <v>57</v>
      </c>
      <c r="X10601">
        <v>556</v>
      </c>
      <c r="Y10601">
        <v>111</v>
      </c>
      <c r="Z10601">
        <v>316</v>
      </c>
      <c r="AA10601">
        <v>270</v>
      </c>
      <c r="AB10601">
        <v>4.6721259999999996</v>
      </c>
      <c r="AC10601">
        <v>6.722881E-2</v>
      </c>
      <c r="AD10601">
        <v>0.63064240000000005</v>
      </c>
      <c r="AE10601">
        <v>0.73147859999999998</v>
      </c>
      <c r="AF10601">
        <v>18.64808</v>
      </c>
      <c r="AG10601">
        <f>IFERROR(AH10601*0.1, "N/A")</f>
        <v>5.484146</v>
      </c>
      <c r="AH10601">
        <v>54.841459999999998</v>
      </c>
      <c r="AI10601">
        <v>145.821</v>
      </c>
      <c r="AJ10601">
        <v>30.745640000000002</v>
      </c>
      <c r="AK10601">
        <v>50.064459999999997</v>
      </c>
    </row>
    <row r="10602" spans="1:37" x14ac:dyDescent="0.3">
      <c r="A10602">
        <v>10601</v>
      </c>
      <c r="B10602">
        <v>17.2</v>
      </c>
      <c r="C10602">
        <v>-4.8267499999999997</v>
      </c>
      <c r="D10602">
        <v>5.8912000000000004</v>
      </c>
      <c r="E10602">
        <f>-4.82675-5.8912</f>
        <v>-10.71795</v>
      </c>
      <c r="F10602" t="s">
        <v>16002</v>
      </c>
      <c r="G10602" t="s">
        <v>39</v>
      </c>
      <c r="H10602">
        <v>1998</v>
      </c>
      <c r="I10602">
        <v>27.2</v>
      </c>
      <c r="J10602">
        <v>8.6</v>
      </c>
      <c r="K10602">
        <v>72</v>
      </c>
      <c r="L10602">
        <v>10.210000000000001</v>
      </c>
      <c r="M10602">
        <v>33.6</v>
      </c>
      <c r="N10602">
        <v>21.8</v>
      </c>
      <c r="O10602">
        <v>11.8</v>
      </c>
      <c r="P10602">
        <v>27.7</v>
      </c>
      <c r="Q10602">
        <v>27.5</v>
      </c>
      <c r="R10602">
        <v>28.5</v>
      </c>
      <c r="S10602">
        <v>25.7</v>
      </c>
      <c r="T10602">
        <v>1294</v>
      </c>
      <c r="U10602">
        <v>241</v>
      </c>
      <c r="V10602">
        <v>18</v>
      </c>
      <c r="W10602">
        <v>57</v>
      </c>
      <c r="X10602">
        <v>556</v>
      </c>
      <c r="Y10602">
        <v>111</v>
      </c>
      <c r="Z10602">
        <v>316</v>
      </c>
      <c r="AA10602">
        <v>270</v>
      </c>
      <c r="AB10602">
        <v>6.3040209999999997</v>
      </c>
      <c r="AC10602">
        <v>9.5858730000000003E-2</v>
      </c>
      <c r="AD10602">
        <v>0.9804678</v>
      </c>
      <c r="AE10602">
        <v>0.74156489999999997</v>
      </c>
      <c r="AF10602">
        <v>20.36364</v>
      </c>
      <c r="AG10602">
        <f>IFERROR(AH10602*0.1, "N/A")</f>
        <v>5.4006990000000004</v>
      </c>
      <c r="AH10602">
        <v>54.006990000000002</v>
      </c>
      <c r="AI10602">
        <v>283.76339999999999</v>
      </c>
      <c r="AJ10602">
        <v>30.10839</v>
      </c>
      <c r="AK10602">
        <v>49.351399999999998</v>
      </c>
    </row>
    <row r="10603" spans="1:37" x14ac:dyDescent="0.3">
      <c r="A10603">
        <v>10602</v>
      </c>
      <c r="B10603">
        <v>0</v>
      </c>
      <c r="C10603">
        <v>-4.8283300000000002</v>
      </c>
      <c r="D10603">
        <v>5.8983299999999996</v>
      </c>
      <c r="E10603">
        <f>-4.82833-5.89833</f>
        <v>-10.726659999999999</v>
      </c>
      <c r="F10603" t="s">
        <v>16003</v>
      </c>
      <c r="G10603" t="s">
        <v>37</v>
      </c>
      <c r="H10603">
        <v>2008</v>
      </c>
      <c r="I10603">
        <v>27.1</v>
      </c>
      <c r="J10603">
        <v>8.6999999999999993</v>
      </c>
      <c r="K10603">
        <v>73</v>
      </c>
      <c r="L10603">
        <v>10.34</v>
      </c>
      <c r="M10603">
        <v>33.6</v>
      </c>
      <c r="N10603">
        <v>21.8</v>
      </c>
      <c r="O10603">
        <v>11.8</v>
      </c>
      <c r="P10603">
        <v>27.6</v>
      </c>
      <c r="Q10603">
        <v>27.5</v>
      </c>
      <c r="R10603">
        <v>28.5</v>
      </c>
      <c r="S10603">
        <v>25.7</v>
      </c>
      <c r="T10603">
        <v>1291</v>
      </c>
      <c r="U10603">
        <v>238</v>
      </c>
      <c r="V10603">
        <v>18</v>
      </c>
      <c r="W10603">
        <v>56</v>
      </c>
      <c r="X10603">
        <v>553</v>
      </c>
      <c r="Y10603">
        <v>111</v>
      </c>
      <c r="Z10603">
        <v>318</v>
      </c>
      <c r="AA10603">
        <v>271</v>
      </c>
      <c r="AB10603">
        <v>9.9542750000000009</v>
      </c>
      <c r="AC10603">
        <v>1.1738699999999999E-2</v>
      </c>
      <c r="AD10603">
        <v>0.83900759999999996</v>
      </c>
      <c r="AE10603">
        <v>0.83939229999999998</v>
      </c>
      <c r="AF10603">
        <v>26.785340000000001</v>
      </c>
      <c r="AG10603">
        <f>IFERROR(AH10603*0.1, "N/A")</f>
        <v>5.6000000000000005</v>
      </c>
      <c r="AH10603">
        <v>56</v>
      </c>
      <c r="AI10603">
        <v>147.3142</v>
      </c>
      <c r="AJ10603">
        <v>25.996510000000001</v>
      </c>
      <c r="AK10603">
        <v>56</v>
      </c>
    </row>
    <row r="10604" spans="1:37" x14ac:dyDescent="0.3">
      <c r="A10604">
        <v>10603</v>
      </c>
      <c r="B10604">
        <v>12.9</v>
      </c>
      <c r="C10604">
        <v>-4.8227799999999998</v>
      </c>
      <c r="D10604">
        <v>5.8988500000000004</v>
      </c>
      <c r="E10604">
        <f>-4.82278-5.89885</f>
        <v>-10.721630000000001</v>
      </c>
      <c r="F10604" t="s">
        <v>16004</v>
      </c>
      <c r="G10604" t="s">
        <v>39</v>
      </c>
      <c r="H10604">
        <v>1998</v>
      </c>
      <c r="I10604">
        <v>27.1</v>
      </c>
      <c r="J10604">
        <v>8.6999999999999993</v>
      </c>
      <c r="K10604">
        <v>73</v>
      </c>
      <c r="L10604">
        <v>10.44</v>
      </c>
      <c r="M10604">
        <v>33.700000000000003</v>
      </c>
      <c r="N10604">
        <v>21.8</v>
      </c>
      <c r="O10604">
        <v>11.9</v>
      </c>
      <c r="P10604">
        <v>27.6</v>
      </c>
      <c r="Q10604">
        <v>27.5</v>
      </c>
      <c r="R10604">
        <v>28.5</v>
      </c>
      <c r="S10604">
        <v>25.7</v>
      </c>
      <c r="T10604">
        <v>1287</v>
      </c>
      <c r="U10604">
        <v>239</v>
      </c>
      <c r="V10604">
        <v>18</v>
      </c>
      <c r="W10604">
        <v>57</v>
      </c>
      <c r="X10604">
        <v>554</v>
      </c>
      <c r="Y10604">
        <v>109</v>
      </c>
      <c r="Z10604">
        <v>315</v>
      </c>
      <c r="AA10604">
        <v>269</v>
      </c>
      <c r="AB10604">
        <v>8.7737390000000008</v>
      </c>
      <c r="AC10604">
        <v>9.4056020000000008E-3</v>
      </c>
      <c r="AD10604">
        <v>1.590049</v>
      </c>
      <c r="AE10604">
        <v>0.85543979999999997</v>
      </c>
      <c r="AF10604">
        <v>27.582609999999999</v>
      </c>
      <c r="AG10604">
        <f>IFERROR(AH10604*0.1, "N/A")</f>
        <v>5.3460870000000007</v>
      </c>
      <c r="AH10604">
        <v>53.46087</v>
      </c>
      <c r="AI10604">
        <v>228.34299999999999</v>
      </c>
      <c r="AJ10604">
        <v>25.2087</v>
      </c>
      <c r="AK10604">
        <v>54.979129999999998</v>
      </c>
    </row>
    <row r="10605" spans="1:37" x14ac:dyDescent="0.3">
      <c r="A10605">
        <v>10604</v>
      </c>
      <c r="B10605">
        <v>90.3</v>
      </c>
      <c r="C10605">
        <v>-4.6891699999999998</v>
      </c>
      <c r="D10605">
        <v>5.91</v>
      </c>
      <c r="E10605">
        <f>-4.68917-5.91</f>
        <v>-10.599170000000001</v>
      </c>
      <c r="F10605" t="s">
        <v>16005</v>
      </c>
      <c r="G10605" t="s">
        <v>39</v>
      </c>
      <c r="H10605">
        <v>2001</v>
      </c>
      <c r="I10605">
        <v>26.9</v>
      </c>
      <c r="J10605">
        <v>8.6999999999999993</v>
      </c>
      <c r="K10605">
        <v>73</v>
      </c>
      <c r="L10605">
        <v>10.26</v>
      </c>
      <c r="M10605">
        <v>33.4</v>
      </c>
      <c r="N10605">
        <v>21.5</v>
      </c>
      <c r="O10605">
        <v>11.9</v>
      </c>
      <c r="P10605">
        <v>27.4</v>
      </c>
      <c r="Q10605">
        <v>27.3</v>
      </c>
      <c r="R10605">
        <v>28.2</v>
      </c>
      <c r="S10605">
        <v>25.5</v>
      </c>
      <c r="T10605">
        <v>1306</v>
      </c>
      <c r="U10605">
        <v>246</v>
      </c>
      <c r="V10605">
        <v>18</v>
      </c>
      <c r="W10605">
        <v>58</v>
      </c>
      <c r="X10605">
        <v>564</v>
      </c>
      <c r="Y10605">
        <v>108</v>
      </c>
      <c r="Z10605">
        <v>315</v>
      </c>
      <c r="AA10605">
        <v>275</v>
      </c>
      <c r="AB10605">
        <v>2.615008</v>
      </c>
      <c r="AC10605">
        <v>5.0441159999999999E-2</v>
      </c>
      <c r="AD10605">
        <v>1.2345139999999999</v>
      </c>
      <c r="AE10605">
        <v>0.60879430000000001</v>
      </c>
      <c r="AF10605">
        <v>59.556719999999999</v>
      </c>
      <c r="AG10605">
        <f>IFERROR(AH10605*0.1, "N/A")</f>
        <v>5.6441540000000003</v>
      </c>
      <c r="AH10605">
        <v>56.441540000000003</v>
      </c>
      <c r="AI10605">
        <v>238.3578</v>
      </c>
      <c r="AJ10605">
        <v>16.179760000000002</v>
      </c>
      <c r="AK10605">
        <v>65.406630000000007</v>
      </c>
    </row>
    <row r="10606" spans="1:37" x14ac:dyDescent="0.3">
      <c r="A10606">
        <v>10605</v>
      </c>
      <c r="B10606">
        <v>79.8</v>
      </c>
      <c r="C10606">
        <v>-4.6911500000000004</v>
      </c>
      <c r="D10606">
        <v>5.9102300000000003</v>
      </c>
      <c r="E10606">
        <f>-4.69115-5.91023</f>
        <v>-10.601380000000001</v>
      </c>
      <c r="F10606" t="s">
        <v>16006</v>
      </c>
      <c r="G10606" t="s">
        <v>39</v>
      </c>
      <c r="H10606">
        <v>1998</v>
      </c>
      <c r="I10606">
        <v>26.898779999999999</v>
      </c>
      <c r="J10606">
        <v>8.6999999999999993</v>
      </c>
      <c r="K10606">
        <v>73</v>
      </c>
      <c r="L10606">
        <v>10.261100000000001</v>
      </c>
      <c r="M10606">
        <v>33.398780000000002</v>
      </c>
      <c r="N10606">
        <v>21.49878</v>
      </c>
      <c r="O10606">
        <v>11.9</v>
      </c>
      <c r="P10606">
        <v>27.398779999999999</v>
      </c>
      <c r="Q10606">
        <v>27.298780000000001</v>
      </c>
      <c r="R10606">
        <v>28.198779999999999</v>
      </c>
      <c r="S10606">
        <v>25.49756</v>
      </c>
      <c r="T10606">
        <v>1306.037</v>
      </c>
      <c r="U10606">
        <v>245.98779999999999</v>
      </c>
      <c r="V10606">
        <v>18</v>
      </c>
      <c r="W10606">
        <v>57.987780000000001</v>
      </c>
      <c r="X10606">
        <v>564</v>
      </c>
      <c r="Y10606">
        <v>108.01220000000001</v>
      </c>
      <c r="Z10606">
        <v>315.03660000000002</v>
      </c>
      <c r="AA10606">
        <v>275.01220000000001</v>
      </c>
      <c r="AB10606">
        <v>0.78254769999999996</v>
      </c>
      <c r="AC10606">
        <v>11.4047</v>
      </c>
      <c r="AD10606">
        <v>0.83391630000000005</v>
      </c>
      <c r="AE10606">
        <v>0.59775849999999997</v>
      </c>
      <c r="AF10606">
        <v>58.729489999999998</v>
      </c>
      <c r="AG10606">
        <f>IFERROR(AH10606*0.1, "N/A")</f>
        <v>5.7752180000000006</v>
      </c>
      <c r="AH10606">
        <v>57.752180000000003</v>
      </c>
      <c r="AI10606">
        <v>67.659390000000002</v>
      </c>
      <c r="AJ10606">
        <v>17</v>
      </c>
      <c r="AK10606">
        <v>63.333329999999997</v>
      </c>
    </row>
    <row r="10607" spans="1:37" x14ac:dyDescent="0.3">
      <c r="A10607">
        <v>10606</v>
      </c>
      <c r="B10607">
        <v>78.400000000000006</v>
      </c>
      <c r="C10607">
        <v>-4.6853800000000003</v>
      </c>
      <c r="D10607">
        <v>5.9116200000000001</v>
      </c>
      <c r="E10607">
        <f>-4.68538-5.91162</f>
        <v>-10.597000000000001</v>
      </c>
      <c r="F10607" t="s">
        <v>16007</v>
      </c>
      <c r="G10607" t="s">
        <v>39</v>
      </c>
      <c r="H10607">
        <v>1998</v>
      </c>
      <c r="I10607">
        <v>26.9</v>
      </c>
      <c r="J10607">
        <v>8.6999999999999993</v>
      </c>
      <c r="K10607">
        <v>73</v>
      </c>
      <c r="L10607">
        <v>10.26</v>
      </c>
      <c r="M10607">
        <v>33.4</v>
      </c>
      <c r="N10607">
        <v>21.5</v>
      </c>
      <c r="O10607">
        <v>11.9</v>
      </c>
      <c r="P10607">
        <v>27.4</v>
      </c>
      <c r="Q10607">
        <v>27.3</v>
      </c>
      <c r="R10607">
        <v>28.2</v>
      </c>
      <c r="S10607">
        <v>25.5</v>
      </c>
      <c r="T10607">
        <v>1306</v>
      </c>
      <c r="U10607">
        <v>246</v>
      </c>
      <c r="V10607">
        <v>18</v>
      </c>
      <c r="W10607">
        <v>58</v>
      </c>
      <c r="X10607">
        <v>564</v>
      </c>
      <c r="Y10607">
        <v>108</v>
      </c>
      <c r="Z10607">
        <v>315</v>
      </c>
      <c r="AA10607">
        <v>275</v>
      </c>
      <c r="AB10607">
        <v>9.4770579999999995</v>
      </c>
      <c r="AC10607">
        <v>1.3209159999999999E-2</v>
      </c>
      <c r="AD10607">
        <v>2.220132</v>
      </c>
      <c r="AE10607">
        <v>0.58393450000000002</v>
      </c>
      <c r="AF10607">
        <v>64.302980000000005</v>
      </c>
      <c r="AG10607">
        <f>IFERROR(AH10607*0.1, "N/A")</f>
        <v>5.7672500000000007</v>
      </c>
      <c r="AH10607">
        <v>57.672499999999999</v>
      </c>
      <c r="AI10607">
        <v>306.32909999999998</v>
      </c>
      <c r="AJ10607">
        <v>14.8056</v>
      </c>
      <c r="AK10607">
        <v>66.683009999999996</v>
      </c>
    </row>
    <row r="10608" spans="1:37" x14ac:dyDescent="0.3">
      <c r="A10608">
        <v>10607</v>
      </c>
      <c r="B10608">
        <v>2.9</v>
      </c>
      <c r="C10608">
        <v>-4.9050799999999999</v>
      </c>
      <c r="D10608">
        <v>5.9127200000000002</v>
      </c>
      <c r="E10608">
        <f>-4.90508-5.91272</f>
        <v>-10.8178</v>
      </c>
      <c r="F10608" t="s">
        <v>16008</v>
      </c>
      <c r="G10608" t="s">
        <v>39</v>
      </c>
      <c r="H10608">
        <v>1998</v>
      </c>
      <c r="I10608">
        <v>26.9</v>
      </c>
      <c r="J10608">
        <v>8.6999999999999993</v>
      </c>
      <c r="K10608">
        <v>73</v>
      </c>
      <c r="L10608">
        <v>10.41</v>
      </c>
      <c r="M10608">
        <v>33.4</v>
      </c>
      <c r="N10608">
        <v>21.5</v>
      </c>
      <c r="O10608">
        <v>11.9</v>
      </c>
      <c r="P10608">
        <v>27.4</v>
      </c>
      <c r="Q10608">
        <v>27.2</v>
      </c>
      <c r="R10608">
        <v>28.3</v>
      </c>
      <c r="S10608">
        <v>25.5</v>
      </c>
      <c r="T10608">
        <v>1311</v>
      </c>
      <c r="U10608">
        <v>233</v>
      </c>
      <c r="V10608">
        <v>19</v>
      </c>
      <c r="W10608">
        <v>54</v>
      </c>
      <c r="X10608">
        <v>550</v>
      </c>
      <c r="Y10608">
        <v>118</v>
      </c>
      <c r="Z10608">
        <v>334</v>
      </c>
      <c r="AA10608">
        <v>283</v>
      </c>
      <c r="AB10608">
        <v>14.80508</v>
      </c>
      <c r="AC10608">
        <v>9.6499610000000003E-3</v>
      </c>
      <c r="AD10608">
        <v>1.9696720000000001</v>
      </c>
      <c r="AE10608">
        <v>0.66238859999999999</v>
      </c>
      <c r="AF10608">
        <v>69.725040000000007</v>
      </c>
      <c r="AG10608">
        <f>IFERROR(AH10608*0.1, "N/A")</f>
        <v>5.8000000000000007</v>
      </c>
      <c r="AH10608">
        <v>58</v>
      </c>
      <c r="AI10608">
        <v>88.295370000000005</v>
      </c>
      <c r="AJ10608">
        <v>14</v>
      </c>
      <c r="AK10608">
        <v>68</v>
      </c>
    </row>
    <row r="10609" spans="1:37" x14ac:dyDescent="0.3">
      <c r="A10609">
        <v>10608</v>
      </c>
      <c r="B10609">
        <v>9.6</v>
      </c>
      <c r="C10609">
        <v>-4.79603</v>
      </c>
      <c r="D10609">
        <v>5.9238799999999996</v>
      </c>
      <c r="E10609">
        <f>-4.79603-5.92388</f>
        <v>-10.719909999999999</v>
      </c>
      <c r="F10609" t="s">
        <v>16009</v>
      </c>
      <c r="G10609" t="s">
        <v>39</v>
      </c>
      <c r="H10609">
        <v>1998</v>
      </c>
      <c r="I10609">
        <v>27.1</v>
      </c>
      <c r="J10609">
        <v>8.6999999999999993</v>
      </c>
      <c r="K10609">
        <v>73</v>
      </c>
      <c r="L10609">
        <v>10.31</v>
      </c>
      <c r="M10609">
        <v>33.700000000000003</v>
      </c>
      <c r="N10609">
        <v>21.8</v>
      </c>
      <c r="O10609">
        <v>11.9</v>
      </c>
      <c r="P10609">
        <v>27.7</v>
      </c>
      <c r="Q10609">
        <v>27.5</v>
      </c>
      <c r="R10609">
        <v>28.5</v>
      </c>
      <c r="S10609">
        <v>25.7</v>
      </c>
      <c r="T10609">
        <v>1280</v>
      </c>
      <c r="U10609">
        <v>235</v>
      </c>
      <c r="V10609">
        <v>18</v>
      </c>
      <c r="W10609">
        <v>57</v>
      </c>
      <c r="X10609">
        <v>548</v>
      </c>
      <c r="Y10609">
        <v>108</v>
      </c>
      <c r="Z10609">
        <v>315</v>
      </c>
      <c r="AA10609">
        <v>272</v>
      </c>
      <c r="AB10609">
        <v>7.824084</v>
      </c>
      <c r="AC10609">
        <v>1.1753E-2</v>
      </c>
      <c r="AD10609">
        <v>2.4621240000000002</v>
      </c>
      <c r="AE10609">
        <v>0.6921737</v>
      </c>
      <c r="AF10609">
        <v>28.303660000000001</v>
      </c>
      <c r="AG10609">
        <f>IFERROR(AH10609*0.1, "N/A")</f>
        <v>5.1923209999999997</v>
      </c>
      <c r="AH10609">
        <v>51.923209999999997</v>
      </c>
      <c r="AI10609">
        <v>140.74690000000001</v>
      </c>
      <c r="AJ10609">
        <v>26.931940000000001</v>
      </c>
      <c r="AK10609">
        <v>53.101219999999998</v>
      </c>
    </row>
    <row r="10610" spans="1:37" x14ac:dyDescent="0.3">
      <c r="A10610">
        <v>10609</v>
      </c>
      <c r="B10610">
        <v>1.3</v>
      </c>
      <c r="C10610">
        <v>-4.9636500000000003</v>
      </c>
      <c r="D10610">
        <v>5.9274300000000002</v>
      </c>
      <c r="E10610">
        <f>-4.96365-5.92743</f>
        <v>-10.891080000000001</v>
      </c>
      <c r="F10610" t="s">
        <v>16010</v>
      </c>
      <c r="G10610" t="s">
        <v>39</v>
      </c>
      <c r="H10610">
        <v>1998</v>
      </c>
      <c r="I10610">
        <v>26.8</v>
      </c>
      <c r="J10610">
        <v>8.6999999999999993</v>
      </c>
      <c r="K10610">
        <v>73</v>
      </c>
      <c r="L10610">
        <v>10.039999999999999</v>
      </c>
      <c r="M10610">
        <v>33.299999999999997</v>
      </c>
      <c r="N10610">
        <v>21.4</v>
      </c>
      <c r="O10610">
        <v>11.9</v>
      </c>
      <c r="P10610">
        <v>27.3</v>
      </c>
      <c r="Q10610">
        <v>27</v>
      </c>
      <c r="R10610">
        <v>28.1</v>
      </c>
      <c r="S10610">
        <v>25.4</v>
      </c>
      <c r="T10610">
        <v>1320</v>
      </c>
      <c r="U10610">
        <v>230</v>
      </c>
      <c r="V10610">
        <v>20</v>
      </c>
      <c r="W10610">
        <v>53</v>
      </c>
      <c r="X10610">
        <v>551</v>
      </c>
      <c r="Y10610">
        <v>124</v>
      </c>
      <c r="Z10610">
        <v>343</v>
      </c>
      <c r="AA10610">
        <v>285</v>
      </c>
      <c r="AB10610">
        <v>14.80874</v>
      </c>
      <c r="AC10610">
        <v>2.6549779999999999E-2</v>
      </c>
      <c r="AD10610">
        <v>2.1291760000000002</v>
      </c>
      <c r="AE10610">
        <v>0.67391690000000004</v>
      </c>
      <c r="AF10610">
        <v>80.625870000000006</v>
      </c>
      <c r="AG10610">
        <f>IFERROR(AH10610*0.1, "N/A")</f>
        <v>5.611364</v>
      </c>
      <c r="AH10610">
        <v>56.113639999999997</v>
      </c>
      <c r="AI10610">
        <v>191.91370000000001</v>
      </c>
      <c r="AJ10610">
        <v>17</v>
      </c>
      <c r="AK10610">
        <v>66</v>
      </c>
    </row>
    <row r="10611" spans="1:37" x14ac:dyDescent="0.3">
      <c r="A10611">
        <v>10610</v>
      </c>
      <c r="B10611">
        <v>38</v>
      </c>
      <c r="C10611">
        <v>-4.1091699999999998</v>
      </c>
      <c r="D10611">
        <v>5.9302799999999998</v>
      </c>
      <c r="E10611">
        <f>-4.10917-5.93028</f>
        <v>-10.039449999999999</v>
      </c>
      <c r="F10611" t="s">
        <v>16011</v>
      </c>
      <c r="G10611" t="s">
        <v>37</v>
      </c>
      <c r="H10611">
        <v>1980</v>
      </c>
      <c r="I10611">
        <v>26.8</v>
      </c>
      <c r="J10611">
        <v>8.6</v>
      </c>
      <c r="K10611">
        <v>72</v>
      </c>
      <c r="L10611">
        <v>10.58</v>
      </c>
      <c r="M10611">
        <v>33.1</v>
      </c>
      <c r="N10611">
        <v>21.2</v>
      </c>
      <c r="O10611">
        <v>11.9</v>
      </c>
      <c r="P10611">
        <v>27.2</v>
      </c>
      <c r="Q10611">
        <v>27.2</v>
      </c>
      <c r="R10611">
        <v>27.9</v>
      </c>
      <c r="S10611">
        <v>25.2</v>
      </c>
      <c r="T10611">
        <v>1449</v>
      </c>
      <c r="U10611">
        <v>262</v>
      </c>
      <c r="V10611">
        <v>20</v>
      </c>
      <c r="W10611">
        <v>56</v>
      </c>
      <c r="X10611">
        <v>617</v>
      </c>
      <c r="Y10611">
        <v>113</v>
      </c>
      <c r="Z10611">
        <v>328</v>
      </c>
      <c r="AA10611">
        <v>313</v>
      </c>
      <c r="AB10611">
        <v>11.359439999999999</v>
      </c>
      <c r="AC10611">
        <v>4.9263889999999998E-2</v>
      </c>
      <c r="AD10611">
        <v>3.0497269999999999</v>
      </c>
      <c r="AE10611">
        <v>0.46028180000000002</v>
      </c>
      <c r="AF10611">
        <v>78.201049999999995</v>
      </c>
      <c r="AG10611">
        <f>IFERROR(AH10611*0.1, "N/A")</f>
        <v>5.1798950000000001</v>
      </c>
      <c r="AH10611">
        <v>51.798949999999998</v>
      </c>
      <c r="AI10611">
        <v>122.6751</v>
      </c>
      <c r="AJ10611">
        <v>17.798950000000001</v>
      </c>
      <c r="AK10611">
        <v>64.798950000000005</v>
      </c>
    </row>
    <row r="10612" spans="1:37" x14ac:dyDescent="0.3">
      <c r="A10612">
        <v>10611</v>
      </c>
      <c r="B10612">
        <v>92</v>
      </c>
      <c r="C10612">
        <v>-4.1091699999999998</v>
      </c>
      <c r="D10612">
        <v>5.9302799999999998</v>
      </c>
      <c r="E10612">
        <f>-4.10917-5.93028</f>
        <v>-10.039449999999999</v>
      </c>
      <c r="F10612" t="s">
        <v>16012</v>
      </c>
      <c r="G10612" t="s">
        <v>39</v>
      </c>
      <c r="H10612">
        <v>1980</v>
      </c>
      <c r="I10612">
        <v>26.8</v>
      </c>
      <c r="J10612">
        <v>8.6</v>
      </c>
      <c r="K10612">
        <v>72</v>
      </c>
      <c r="L10612">
        <v>10.58</v>
      </c>
      <c r="M10612">
        <v>33.1</v>
      </c>
      <c r="N10612">
        <v>21.2</v>
      </c>
      <c r="O10612">
        <v>11.9</v>
      </c>
      <c r="P10612">
        <v>27.2</v>
      </c>
      <c r="Q10612">
        <v>27.2</v>
      </c>
      <c r="R10612">
        <v>27.9</v>
      </c>
      <c r="S10612">
        <v>25.2</v>
      </c>
      <c r="T10612">
        <v>1449</v>
      </c>
      <c r="U10612">
        <v>262</v>
      </c>
      <c r="V10612">
        <v>20</v>
      </c>
      <c r="W10612">
        <v>56</v>
      </c>
      <c r="X10612">
        <v>617</v>
      </c>
      <c r="Y10612">
        <v>113</v>
      </c>
      <c r="Z10612">
        <v>328</v>
      </c>
      <c r="AA10612">
        <v>313</v>
      </c>
      <c r="AB10612">
        <v>11.359439999999999</v>
      </c>
      <c r="AC10612">
        <v>4.9263889999999998E-2</v>
      </c>
      <c r="AD10612">
        <v>3.0497269999999999</v>
      </c>
      <c r="AE10612">
        <v>0.46028180000000002</v>
      </c>
      <c r="AF10612">
        <v>78.201049999999995</v>
      </c>
      <c r="AG10612">
        <f>IFERROR(AH10612*0.1, "N/A")</f>
        <v>5.1798950000000001</v>
      </c>
      <c r="AH10612">
        <v>51.798949999999998</v>
      </c>
      <c r="AI10612">
        <v>122.6751</v>
      </c>
      <c r="AJ10612">
        <v>17.798950000000001</v>
      </c>
      <c r="AK10612">
        <v>64.798950000000005</v>
      </c>
    </row>
    <row r="10613" spans="1:37" x14ac:dyDescent="0.3">
      <c r="A10613">
        <v>10612</v>
      </c>
      <c r="B10613">
        <v>10</v>
      </c>
      <c r="C10613">
        <v>-4.2213900000000004</v>
      </c>
      <c r="D10613">
        <v>5.9341699999999999</v>
      </c>
      <c r="E10613">
        <f>-4.22139-5.93417</f>
        <v>-10.155560000000001</v>
      </c>
      <c r="F10613" t="s">
        <v>16013</v>
      </c>
      <c r="G10613" t="s">
        <v>37</v>
      </c>
      <c r="H10613">
        <v>2004</v>
      </c>
      <c r="I10613">
        <v>27.1</v>
      </c>
      <c r="J10613">
        <v>8.6998250000000006</v>
      </c>
      <c r="K10613">
        <v>72</v>
      </c>
      <c r="L10613">
        <v>10.789809999999999</v>
      </c>
      <c r="M10613">
        <v>33.49982</v>
      </c>
      <c r="N10613">
        <v>21.5</v>
      </c>
      <c r="O10613">
        <v>11.99982</v>
      </c>
      <c r="P10613">
        <v>27.599830000000001</v>
      </c>
      <c r="Q10613">
        <v>27.6</v>
      </c>
      <c r="R10613">
        <v>28.3</v>
      </c>
      <c r="S10613">
        <v>25.5</v>
      </c>
      <c r="T10613">
        <v>1412.011</v>
      </c>
      <c r="U10613">
        <v>260.0018</v>
      </c>
      <c r="V10613">
        <v>20</v>
      </c>
      <c r="W10613">
        <v>57</v>
      </c>
      <c r="X10613">
        <v>607.00530000000003</v>
      </c>
      <c r="Y10613">
        <v>110</v>
      </c>
      <c r="Z10613">
        <v>319.0018</v>
      </c>
      <c r="AA10613">
        <v>304.0018</v>
      </c>
      <c r="AB10613">
        <v>0.81103309999999995</v>
      </c>
      <c r="AC10613">
        <v>2388.973</v>
      </c>
      <c r="AD10613">
        <v>2.4875940000000001</v>
      </c>
      <c r="AE10613">
        <v>0.8155097</v>
      </c>
      <c r="AF10613">
        <v>24.51839</v>
      </c>
      <c r="AG10613">
        <f>IFERROR(AH10613*0.1, "N/A")</f>
        <v>5.7187390000000002</v>
      </c>
      <c r="AH10613">
        <v>57.187390000000001</v>
      </c>
      <c r="AI10613">
        <v>219.23599999999999</v>
      </c>
      <c r="AJ10613">
        <v>23.591940000000001</v>
      </c>
      <c r="AK10613">
        <v>54.838880000000003</v>
      </c>
    </row>
    <row r="10614" spans="1:37" x14ac:dyDescent="0.3">
      <c r="A10614">
        <v>10613</v>
      </c>
      <c r="B10614">
        <v>5.5</v>
      </c>
      <c r="C10614">
        <v>-4.2213900000000004</v>
      </c>
      <c r="D10614">
        <v>5.9341699999999999</v>
      </c>
      <c r="E10614">
        <f>-4.22139-5.93417</f>
        <v>-10.155560000000001</v>
      </c>
      <c r="F10614" t="s">
        <v>16014</v>
      </c>
      <c r="G10614" t="s">
        <v>39</v>
      </c>
      <c r="H10614">
        <v>2006</v>
      </c>
      <c r="I10614">
        <v>27.1</v>
      </c>
      <c r="J10614">
        <v>8.6998250000000006</v>
      </c>
      <c r="K10614">
        <v>72</v>
      </c>
      <c r="L10614">
        <v>10.789809999999999</v>
      </c>
      <c r="M10614">
        <v>33.49982</v>
      </c>
      <c r="N10614">
        <v>21.5</v>
      </c>
      <c r="O10614">
        <v>11.99982</v>
      </c>
      <c r="P10614">
        <v>27.599830000000001</v>
      </c>
      <c r="Q10614">
        <v>27.6</v>
      </c>
      <c r="R10614">
        <v>28.3</v>
      </c>
      <c r="S10614">
        <v>25.5</v>
      </c>
      <c r="T10614">
        <v>1412.011</v>
      </c>
      <c r="U10614">
        <v>260.0018</v>
      </c>
      <c r="V10614">
        <v>20</v>
      </c>
      <c r="W10614">
        <v>57</v>
      </c>
      <c r="X10614">
        <v>607.00530000000003</v>
      </c>
      <c r="Y10614">
        <v>110</v>
      </c>
      <c r="Z10614">
        <v>319.0018</v>
      </c>
      <c r="AA10614">
        <v>304.0018</v>
      </c>
      <c r="AB10614">
        <v>0.81103309999999995</v>
      </c>
      <c r="AC10614">
        <v>2388.973</v>
      </c>
      <c r="AD10614">
        <v>2.4875940000000001</v>
      </c>
      <c r="AE10614">
        <v>0.8155097</v>
      </c>
      <c r="AF10614">
        <v>24.51839</v>
      </c>
      <c r="AG10614">
        <f>IFERROR(AH10614*0.1, "N/A")</f>
        <v>5.7187390000000002</v>
      </c>
      <c r="AH10614">
        <v>57.187390000000001</v>
      </c>
      <c r="AI10614">
        <v>219.23599999999999</v>
      </c>
      <c r="AJ10614">
        <v>23.591940000000001</v>
      </c>
      <c r="AK10614">
        <v>54.838880000000003</v>
      </c>
    </row>
    <row r="10615" spans="1:37" x14ac:dyDescent="0.3">
      <c r="A10615">
        <v>10614</v>
      </c>
      <c r="B10615">
        <v>14.5</v>
      </c>
      <c r="C10615">
        <v>-4.84178</v>
      </c>
      <c r="D10615">
        <v>5.9363000000000001</v>
      </c>
      <c r="E10615">
        <f>-4.84178-5.9363</f>
        <v>-10.778079999999999</v>
      </c>
      <c r="F10615" t="s">
        <v>16015</v>
      </c>
      <c r="G10615" t="s">
        <v>39</v>
      </c>
      <c r="H10615">
        <v>1998</v>
      </c>
      <c r="I10615">
        <v>27.03689</v>
      </c>
      <c r="J10615">
        <v>8.7631119999999996</v>
      </c>
      <c r="K10615">
        <v>73</v>
      </c>
      <c r="L10615">
        <v>10.204179999999999</v>
      </c>
      <c r="M10615">
        <v>33.6</v>
      </c>
      <c r="N10615">
        <v>21.636890000000001</v>
      </c>
      <c r="O10615">
        <v>11.96311</v>
      </c>
      <c r="P10615">
        <v>27.6</v>
      </c>
      <c r="Q10615">
        <v>27.33689</v>
      </c>
      <c r="R10615">
        <v>28.3</v>
      </c>
      <c r="S10615">
        <v>25.6</v>
      </c>
      <c r="T10615">
        <v>1284</v>
      </c>
      <c r="U10615">
        <v>230</v>
      </c>
      <c r="V10615">
        <v>18</v>
      </c>
      <c r="W10615">
        <v>55</v>
      </c>
      <c r="X10615">
        <v>541</v>
      </c>
      <c r="Y10615">
        <v>111</v>
      </c>
      <c r="Z10615">
        <v>325</v>
      </c>
      <c r="AA10615">
        <v>279.3689</v>
      </c>
      <c r="AB10615">
        <v>6.6323420000000004</v>
      </c>
      <c r="AC10615">
        <v>1.6292330000000001E-2</v>
      </c>
      <c r="AD10615">
        <v>2.0149330000000001</v>
      </c>
      <c r="AE10615">
        <v>0.70260920000000004</v>
      </c>
      <c r="AF10615">
        <v>42.916080000000001</v>
      </c>
      <c r="AG10615">
        <f>IFERROR(AH10615*0.1, "N/A")</f>
        <v>5.3054200000000007</v>
      </c>
      <c r="AH10615">
        <v>53.054200000000002</v>
      </c>
      <c r="AI10615">
        <v>252.09280000000001</v>
      </c>
      <c r="AJ10615">
        <v>17.58042</v>
      </c>
      <c r="AK10615">
        <v>64.730770000000007</v>
      </c>
    </row>
    <row r="10616" spans="1:37" x14ac:dyDescent="0.3">
      <c r="A10616">
        <v>10615</v>
      </c>
      <c r="B10616">
        <v>0</v>
      </c>
      <c r="C10616">
        <v>-4.6307799999999997</v>
      </c>
      <c r="D10616">
        <v>5.9533500000000004</v>
      </c>
      <c r="E10616">
        <f>-4.63078-5.95335</f>
        <v>-10.58413</v>
      </c>
      <c r="F10616" t="s">
        <v>16016</v>
      </c>
      <c r="G10616" t="s">
        <v>39</v>
      </c>
      <c r="H10616">
        <v>1998</v>
      </c>
      <c r="I10616">
        <v>26.6</v>
      </c>
      <c r="J10616">
        <v>8.6999999999999993</v>
      </c>
      <c r="K10616">
        <v>73</v>
      </c>
      <c r="L10616">
        <v>10.38</v>
      </c>
      <c r="M10616">
        <v>33.1</v>
      </c>
      <c r="N10616">
        <v>21.2</v>
      </c>
      <c r="O10616">
        <v>11.9</v>
      </c>
      <c r="P10616">
        <v>27.1</v>
      </c>
      <c r="Q10616">
        <v>27</v>
      </c>
      <c r="R10616">
        <v>27.9</v>
      </c>
      <c r="S10616">
        <v>25.1</v>
      </c>
      <c r="T10616">
        <v>1315</v>
      </c>
      <c r="U10616">
        <v>242</v>
      </c>
      <c r="V10616">
        <v>18</v>
      </c>
      <c r="W10616">
        <v>57</v>
      </c>
      <c r="X10616">
        <v>561</v>
      </c>
      <c r="Y10616">
        <v>109</v>
      </c>
      <c r="Z10616">
        <v>322</v>
      </c>
      <c r="AA10616">
        <v>283</v>
      </c>
      <c r="AB10616">
        <v>23.267890000000001</v>
      </c>
      <c r="AC10616">
        <v>8.5917149999999998E-3</v>
      </c>
      <c r="AD10616">
        <v>2.096549</v>
      </c>
      <c r="AE10616">
        <v>0.55727669999999996</v>
      </c>
      <c r="AF10616">
        <v>138.6789</v>
      </c>
      <c r="AG10616">
        <f>IFERROR(AH10616*0.1, "N/A")</f>
        <v>5.469284</v>
      </c>
      <c r="AH10616">
        <v>54.692839999999997</v>
      </c>
      <c r="AI10616">
        <v>261.1259</v>
      </c>
      <c r="AJ10616">
        <v>18</v>
      </c>
      <c r="AK10616">
        <v>63.921469999999999</v>
      </c>
    </row>
    <row r="10617" spans="1:37" x14ac:dyDescent="0.3">
      <c r="A10617">
        <v>10616</v>
      </c>
      <c r="B10617">
        <v>3.7</v>
      </c>
      <c r="C10617">
        <v>-3.98333</v>
      </c>
      <c r="D10617">
        <v>6.0263900000000001</v>
      </c>
      <c r="E10617">
        <f>-3.98333-6.02639</f>
        <v>-10.00972</v>
      </c>
      <c r="F10617" t="s">
        <v>16017</v>
      </c>
      <c r="G10617" t="s">
        <v>37</v>
      </c>
      <c r="H10617">
        <v>1981</v>
      </c>
      <c r="I10617">
        <v>26.6</v>
      </c>
      <c r="J10617">
        <v>8.8000000000000007</v>
      </c>
      <c r="K10617">
        <v>72</v>
      </c>
      <c r="L10617">
        <v>10.79702</v>
      </c>
      <c r="M10617">
        <v>33.1</v>
      </c>
      <c r="N10617">
        <v>21</v>
      </c>
      <c r="O10617">
        <v>12.1</v>
      </c>
      <c r="P10617">
        <v>27.1</v>
      </c>
      <c r="Q10617">
        <v>27.1</v>
      </c>
      <c r="R10617">
        <v>27.8</v>
      </c>
      <c r="S10617">
        <v>25</v>
      </c>
      <c r="T10617">
        <v>1426.335</v>
      </c>
      <c r="U10617">
        <v>254</v>
      </c>
      <c r="V10617">
        <v>18</v>
      </c>
      <c r="W10617">
        <v>57</v>
      </c>
      <c r="X10617">
        <v>602</v>
      </c>
      <c r="Y10617">
        <v>106</v>
      </c>
      <c r="Z10617">
        <v>325</v>
      </c>
      <c r="AA10617">
        <v>326.33510000000001</v>
      </c>
      <c r="AB10617">
        <v>16.72373</v>
      </c>
      <c r="AC10617">
        <v>1.873901E-2</v>
      </c>
      <c r="AD10617">
        <v>1.815741</v>
      </c>
      <c r="AE10617">
        <v>0.4713484</v>
      </c>
      <c r="AF10617">
        <v>94.712040000000002</v>
      </c>
      <c r="AG10617">
        <f>IFERROR(AH10617*0.1, "N/A")</f>
        <v>5.1972079999999998</v>
      </c>
      <c r="AH10617">
        <v>51.972079999999998</v>
      </c>
      <c r="AI10617">
        <v>233.8126</v>
      </c>
      <c r="AJ10617">
        <v>19.425830000000001</v>
      </c>
      <c r="AK10617">
        <v>62.58813</v>
      </c>
    </row>
    <row r="10618" spans="1:37" x14ac:dyDescent="0.3">
      <c r="A10618">
        <v>10617</v>
      </c>
      <c r="B10618">
        <v>15</v>
      </c>
      <c r="C10618">
        <v>-5.7833300000000003</v>
      </c>
      <c r="D10618">
        <v>6.0333300000000003</v>
      </c>
      <c r="E10618">
        <f>-5.78333-6.03333</f>
        <v>-11.816660000000001</v>
      </c>
      <c r="F10618" t="s">
        <v>16018</v>
      </c>
      <c r="G10618" t="s">
        <v>37</v>
      </c>
      <c r="H10618">
        <v>1981</v>
      </c>
      <c r="I10618">
        <v>25.829319999999999</v>
      </c>
      <c r="J10618">
        <v>8.6999999999999993</v>
      </c>
      <c r="K10618">
        <v>74.137870000000007</v>
      </c>
      <c r="L10618">
        <v>8.8738220000000005</v>
      </c>
      <c r="M10618">
        <v>32.257770000000001</v>
      </c>
      <c r="N10618">
        <v>20.571549999999998</v>
      </c>
      <c r="O10618">
        <v>11.686210000000001</v>
      </c>
      <c r="P10618">
        <v>26.229320000000001</v>
      </c>
      <c r="Q10618">
        <v>26.043109999999999</v>
      </c>
      <c r="R10618">
        <v>26.990919999999999</v>
      </c>
      <c r="S10618">
        <v>24.596160000000001</v>
      </c>
      <c r="T10618">
        <v>1364.412</v>
      </c>
      <c r="U10618">
        <v>204.75389999999999</v>
      </c>
      <c r="V10618">
        <v>30.668410000000002</v>
      </c>
      <c r="W10618">
        <v>46.862130000000001</v>
      </c>
      <c r="X10618">
        <v>532.36130000000003</v>
      </c>
      <c r="Y10618">
        <v>150.0908</v>
      </c>
      <c r="Z10618">
        <v>357.16750000000002</v>
      </c>
      <c r="AA10618">
        <v>303.64569999999998</v>
      </c>
      <c r="AB10618">
        <v>31.2028</v>
      </c>
      <c r="AC10618">
        <v>4.2759489999999997E-2</v>
      </c>
      <c r="AD10618">
        <v>3.4876469999999999</v>
      </c>
      <c r="AE10618">
        <v>0.64100060000000003</v>
      </c>
      <c r="AF10618">
        <v>254.3211</v>
      </c>
      <c r="AG10618">
        <f>IFERROR(AH10618*0.1, "N/A")</f>
        <v>5.1469459999999998</v>
      </c>
      <c r="AH10618">
        <v>51.469459999999998</v>
      </c>
      <c r="AI10618">
        <v>88.462760000000003</v>
      </c>
      <c r="AJ10618">
        <v>22.530539999999998</v>
      </c>
      <c r="AK10618">
        <v>58.469459999999998</v>
      </c>
    </row>
    <row r="10619" spans="1:37" x14ac:dyDescent="0.3">
      <c r="A10619">
        <v>10618</v>
      </c>
      <c r="B10619">
        <v>22</v>
      </c>
      <c r="C10619">
        <v>-3.9130600000000002</v>
      </c>
      <c r="D10619">
        <v>6.0413899999999998</v>
      </c>
      <c r="E10619">
        <f>-3.91306-6.04139</f>
        <v>-9.9544499999999996</v>
      </c>
      <c r="F10619" t="s">
        <v>16019</v>
      </c>
      <c r="G10619" t="s">
        <v>37</v>
      </c>
      <c r="H10619">
        <v>1981</v>
      </c>
      <c r="I10619">
        <v>26.6</v>
      </c>
      <c r="J10619">
        <v>8.8000000000000007</v>
      </c>
      <c r="K10619">
        <v>72.055750000000003</v>
      </c>
      <c r="L10619">
        <v>11.038819999999999</v>
      </c>
      <c r="M10619">
        <v>33.194429999999997</v>
      </c>
      <c r="N10619">
        <v>21.005569999999999</v>
      </c>
      <c r="O10619">
        <v>12.18885</v>
      </c>
      <c r="P10619">
        <v>27.005569999999999</v>
      </c>
      <c r="Q10619">
        <v>27.1</v>
      </c>
      <c r="R10619">
        <v>27.8</v>
      </c>
      <c r="S10619">
        <v>24.905570000000001</v>
      </c>
      <c r="T10619">
        <v>1438.8330000000001</v>
      </c>
      <c r="U10619">
        <v>256.9443</v>
      </c>
      <c r="V10619">
        <v>18</v>
      </c>
      <c r="W10619">
        <v>57</v>
      </c>
      <c r="X10619">
        <v>608.88850000000002</v>
      </c>
      <c r="Y10619">
        <v>106</v>
      </c>
      <c r="Z10619">
        <v>326.9443</v>
      </c>
      <c r="AA10619">
        <v>332</v>
      </c>
      <c r="AB10619">
        <v>9.3867609999999999</v>
      </c>
      <c r="AC10619">
        <v>7.4690300000000001E-2</v>
      </c>
      <c r="AD10619">
        <v>2.9855070000000001</v>
      </c>
      <c r="AE10619">
        <v>0.66563059999999996</v>
      </c>
      <c r="AF10619">
        <v>103.8676</v>
      </c>
      <c r="AG10619">
        <f>IFERROR(AH10619*0.1, "N/A")</f>
        <v>5.0303140000000006</v>
      </c>
      <c r="AH10619">
        <v>50.303139999999999</v>
      </c>
      <c r="AI10619">
        <v>102.65860000000001</v>
      </c>
      <c r="AJ10619">
        <v>17.696860000000001</v>
      </c>
      <c r="AK10619">
        <v>65.303139999999999</v>
      </c>
    </row>
    <row r="10620" spans="1:37" x14ac:dyDescent="0.3">
      <c r="A10620">
        <v>10619</v>
      </c>
      <c r="B10620">
        <v>6.5</v>
      </c>
      <c r="C10620">
        <v>-3.9624999999999999</v>
      </c>
      <c r="D10620">
        <v>6.0441700000000003</v>
      </c>
      <c r="E10620">
        <f>-3.9625-6.04417</f>
        <v>-10.00667</v>
      </c>
      <c r="F10620" t="s">
        <v>16020</v>
      </c>
      <c r="G10620" t="s">
        <v>37</v>
      </c>
      <c r="H10620">
        <v>1981</v>
      </c>
      <c r="I10620">
        <v>26.6</v>
      </c>
      <c r="J10620">
        <v>8.8000000000000007</v>
      </c>
      <c r="K10620">
        <v>73</v>
      </c>
      <c r="L10620">
        <v>10.65</v>
      </c>
      <c r="M10620">
        <v>33.1</v>
      </c>
      <c r="N10620">
        <v>21.1</v>
      </c>
      <c r="O10620">
        <v>12</v>
      </c>
      <c r="P10620">
        <v>27.1</v>
      </c>
      <c r="Q10620">
        <v>27.1</v>
      </c>
      <c r="R10620">
        <v>27.8</v>
      </c>
      <c r="S10620">
        <v>25</v>
      </c>
      <c r="T10620">
        <v>1423</v>
      </c>
      <c r="U10620">
        <v>253</v>
      </c>
      <c r="V10620">
        <v>18</v>
      </c>
      <c r="W10620">
        <v>57</v>
      </c>
      <c r="X10620">
        <v>600</v>
      </c>
      <c r="Y10620">
        <v>105</v>
      </c>
      <c r="Z10620">
        <v>325</v>
      </c>
      <c r="AA10620">
        <v>328</v>
      </c>
      <c r="AB10620">
        <v>17.302610000000001</v>
      </c>
      <c r="AC10620">
        <v>1.2300989999999999E-2</v>
      </c>
      <c r="AD10620">
        <v>1.817224</v>
      </c>
      <c r="AE10620">
        <v>0.62221409999999999</v>
      </c>
      <c r="AF10620">
        <v>112.93389999999999</v>
      </c>
      <c r="AG10620">
        <f>IFERROR(AH10620*0.1, "N/A")</f>
        <v>5.0756520000000007</v>
      </c>
      <c r="AH10620">
        <v>50.756520000000002</v>
      </c>
      <c r="AI10620">
        <v>152.50190000000001</v>
      </c>
      <c r="AJ10620">
        <v>19.361740000000001</v>
      </c>
      <c r="AK10620">
        <v>63.619129999999998</v>
      </c>
    </row>
    <row r="10621" spans="1:37" x14ac:dyDescent="0.3">
      <c r="A10621">
        <v>10620</v>
      </c>
      <c r="B10621">
        <v>4.2</v>
      </c>
      <c r="C10621">
        <v>-4.9644700000000004</v>
      </c>
      <c r="D10621">
        <v>6.0483700000000002</v>
      </c>
      <c r="E10621">
        <f>-4.96447-6.04837</f>
        <v>-11.012840000000001</v>
      </c>
      <c r="F10621" t="s">
        <v>16021</v>
      </c>
      <c r="G10621" t="s">
        <v>39</v>
      </c>
      <c r="H10621">
        <v>1998</v>
      </c>
      <c r="I10621">
        <v>27</v>
      </c>
      <c r="J10621">
        <v>9</v>
      </c>
      <c r="K10621">
        <v>72</v>
      </c>
      <c r="L10621">
        <v>10.199999999999999</v>
      </c>
      <c r="M10621">
        <v>33.799999999999997</v>
      </c>
      <c r="N10621">
        <v>21.4</v>
      </c>
      <c r="O10621">
        <v>12.4</v>
      </c>
      <c r="P10621">
        <v>27.5</v>
      </c>
      <c r="Q10621">
        <v>27.3</v>
      </c>
      <c r="R10621">
        <v>28.4</v>
      </c>
      <c r="S10621">
        <v>25.6</v>
      </c>
      <c r="T10621">
        <v>1273</v>
      </c>
      <c r="U10621">
        <v>213</v>
      </c>
      <c r="V10621">
        <v>20</v>
      </c>
      <c r="W10621">
        <v>52</v>
      </c>
      <c r="X10621">
        <v>528</v>
      </c>
      <c r="Y10621">
        <v>120</v>
      </c>
      <c r="Z10621">
        <v>342</v>
      </c>
      <c r="AA10621">
        <v>290</v>
      </c>
      <c r="AB10621">
        <v>15.433389999999999</v>
      </c>
      <c r="AC10621">
        <v>8.5012200000000003E-3</v>
      </c>
      <c r="AD10621">
        <v>1.4250780000000001</v>
      </c>
      <c r="AE10621">
        <v>0.72857930000000004</v>
      </c>
      <c r="AF10621">
        <v>64.613640000000004</v>
      </c>
      <c r="AG10621">
        <f>IFERROR(AH10621*0.1, "N/A")</f>
        <v>5.7909090000000001</v>
      </c>
      <c r="AH10621">
        <v>57.909089999999999</v>
      </c>
      <c r="AI10621">
        <v>211.69479999999999</v>
      </c>
      <c r="AJ10621">
        <v>18.090910000000001</v>
      </c>
      <c r="AK10621">
        <v>62</v>
      </c>
    </row>
    <row r="10622" spans="1:37" x14ac:dyDescent="0.3">
      <c r="A10622">
        <v>10621</v>
      </c>
      <c r="B10622">
        <v>39.4</v>
      </c>
      <c r="C10622">
        <v>-4.7046000000000001</v>
      </c>
      <c r="D10622">
        <v>6.0756199999999998</v>
      </c>
      <c r="E10622">
        <f>-4.7046-6.07562</f>
        <v>-10.78022</v>
      </c>
      <c r="F10622" t="s">
        <v>16022</v>
      </c>
      <c r="G10622" t="s">
        <v>39</v>
      </c>
      <c r="H10622">
        <v>1998</v>
      </c>
      <c r="I10622">
        <v>27.1</v>
      </c>
      <c r="J10622">
        <v>9</v>
      </c>
      <c r="K10622">
        <v>72</v>
      </c>
      <c r="L10622">
        <v>10.356960000000001</v>
      </c>
      <c r="M10622">
        <v>33.876959999999997</v>
      </c>
      <c r="N10622">
        <v>21.4</v>
      </c>
      <c r="O10622">
        <v>12.47696</v>
      </c>
      <c r="P10622">
        <v>27.62304</v>
      </c>
      <c r="Q10622">
        <v>27.4</v>
      </c>
      <c r="R10622">
        <v>28.4</v>
      </c>
      <c r="S10622">
        <v>25.676960000000001</v>
      </c>
      <c r="T10622">
        <v>1242.3820000000001</v>
      </c>
      <c r="U10622">
        <v>218.2304</v>
      </c>
      <c r="V10622">
        <v>17</v>
      </c>
      <c r="W10622">
        <v>55</v>
      </c>
      <c r="X10622">
        <v>521.69110000000001</v>
      </c>
      <c r="Y10622">
        <v>103</v>
      </c>
      <c r="Z10622">
        <v>316.23039999999997</v>
      </c>
      <c r="AA10622">
        <v>284.23039999999997</v>
      </c>
      <c r="AB10622">
        <v>6.309774</v>
      </c>
      <c r="AC10622">
        <v>1.37971E-2</v>
      </c>
      <c r="AD10622">
        <v>2.3875310000000001</v>
      </c>
      <c r="AE10622">
        <v>0.49023879999999997</v>
      </c>
      <c r="AF10622">
        <v>57.080280000000002</v>
      </c>
      <c r="AG10622">
        <f>IFERROR(AH10622*0.1, "N/A")</f>
        <v>5.3940660000000005</v>
      </c>
      <c r="AH10622">
        <v>53.940660000000001</v>
      </c>
      <c r="AI10622">
        <v>258.61399999999998</v>
      </c>
      <c r="AJ10622">
        <v>19.167539999999999</v>
      </c>
      <c r="AK10622">
        <v>61.457239999999999</v>
      </c>
    </row>
    <row r="10623" spans="1:37" x14ac:dyDescent="0.3">
      <c r="A10623">
        <v>10622</v>
      </c>
      <c r="B10623">
        <v>7</v>
      </c>
      <c r="C10623">
        <v>-3.94556</v>
      </c>
      <c r="D10623">
        <v>6.0802800000000001</v>
      </c>
      <c r="E10623">
        <f>-3.94556-6.08028</f>
        <v>-10.025840000000001</v>
      </c>
      <c r="F10623" t="s">
        <v>16023</v>
      </c>
      <c r="G10623" t="s">
        <v>37</v>
      </c>
      <c r="H10623">
        <v>1981</v>
      </c>
      <c r="I10623">
        <v>26.6</v>
      </c>
      <c r="J10623">
        <v>8.9</v>
      </c>
      <c r="K10623">
        <v>72</v>
      </c>
      <c r="L10623">
        <v>10.76</v>
      </c>
      <c r="M10623">
        <v>33.200000000000003</v>
      </c>
      <c r="N10623">
        <v>21</v>
      </c>
      <c r="O10623">
        <v>12.2</v>
      </c>
      <c r="P10623">
        <v>27.1</v>
      </c>
      <c r="Q10623">
        <v>27.1</v>
      </c>
      <c r="R10623">
        <v>27.9</v>
      </c>
      <c r="S10623">
        <v>25</v>
      </c>
      <c r="T10623">
        <v>1412</v>
      </c>
      <c r="U10623">
        <v>251</v>
      </c>
      <c r="V10623">
        <v>17</v>
      </c>
      <c r="W10623">
        <v>57</v>
      </c>
      <c r="X10623">
        <v>594</v>
      </c>
      <c r="Y10623">
        <v>102</v>
      </c>
      <c r="Z10623">
        <v>322</v>
      </c>
      <c r="AA10623">
        <v>331</v>
      </c>
      <c r="AB10623">
        <v>8.3229439999999997</v>
      </c>
      <c r="AC10623">
        <v>1.317538E-2</v>
      </c>
      <c r="AD10623">
        <v>4.546265</v>
      </c>
      <c r="AE10623">
        <v>0.57054360000000004</v>
      </c>
      <c r="AF10623">
        <v>110.7285</v>
      </c>
      <c r="AG10623">
        <f>IFERROR(AH10623*0.1, "N/A")</f>
        <v>5.0378280000000002</v>
      </c>
      <c r="AH10623">
        <v>50.378279999999997</v>
      </c>
      <c r="AI10623">
        <v>194.06209999999999</v>
      </c>
      <c r="AJ10623">
        <v>20.189139999999998</v>
      </c>
      <c r="AK10623">
        <v>61.826619999999998</v>
      </c>
    </row>
    <row r="10624" spans="1:37" x14ac:dyDescent="0.3">
      <c r="A10624">
        <v>10623</v>
      </c>
      <c r="B10624">
        <v>0</v>
      </c>
      <c r="C10624">
        <v>-4.9845800000000002</v>
      </c>
      <c r="D10624">
        <v>6.0838799999999997</v>
      </c>
      <c r="E10624">
        <f>-4.98458-6.08388</f>
        <v>-11.06846</v>
      </c>
      <c r="F10624" t="s">
        <v>16024</v>
      </c>
      <c r="G10624" t="s">
        <v>39</v>
      </c>
      <c r="H10624">
        <v>1998</v>
      </c>
      <c r="I10624">
        <v>26.989509999999999</v>
      </c>
      <c r="J10624">
        <v>9</v>
      </c>
      <c r="K10624">
        <v>72</v>
      </c>
      <c r="L10624">
        <v>10.184200000000001</v>
      </c>
      <c r="M10624">
        <v>33.78951</v>
      </c>
      <c r="N10624">
        <v>21.28951</v>
      </c>
      <c r="O10624">
        <v>12.5</v>
      </c>
      <c r="P10624">
        <v>27.489509999999999</v>
      </c>
      <c r="Q10624">
        <v>27.189509999999999</v>
      </c>
      <c r="R10624">
        <v>28.28951</v>
      </c>
      <c r="S10624">
        <v>25.589510000000001</v>
      </c>
      <c r="T10624">
        <v>1256.6289999999999</v>
      </c>
      <c r="U10624">
        <v>209.10489999999999</v>
      </c>
      <c r="V10624">
        <v>21.104900000000001</v>
      </c>
      <c r="W10624">
        <v>52</v>
      </c>
      <c r="X10624">
        <v>528.20979999999997</v>
      </c>
      <c r="Y10624">
        <v>120.2098</v>
      </c>
      <c r="Z10624">
        <v>340.20979999999997</v>
      </c>
      <c r="AA10624">
        <v>285</v>
      </c>
      <c r="AB10624">
        <v>18.438639999999999</v>
      </c>
      <c r="AC10624">
        <v>1.7298569999999999E-2</v>
      </c>
      <c r="AD10624">
        <v>2.1587779999999999</v>
      </c>
      <c r="AE10624">
        <v>0.77528490000000005</v>
      </c>
      <c r="AF10624">
        <v>79.048950000000005</v>
      </c>
      <c r="AG10624">
        <f>IFERROR(AH10624*0.1, "N/A")</f>
        <v>5.9391610000000004</v>
      </c>
      <c r="AH10624">
        <v>59.39161</v>
      </c>
      <c r="AI10624">
        <v>84.354759999999999</v>
      </c>
      <c r="AJ10624">
        <v>14</v>
      </c>
      <c r="AK10624">
        <v>65.195800000000006</v>
      </c>
    </row>
    <row r="10625" spans="1:37" x14ac:dyDescent="0.3">
      <c r="A10625">
        <v>10624</v>
      </c>
      <c r="B10625">
        <v>10.9</v>
      </c>
      <c r="C10625">
        <v>-4.9732500000000002</v>
      </c>
      <c r="D10625">
        <v>6.1099800000000002</v>
      </c>
      <c r="E10625">
        <f>-4.97325-6.10998</f>
        <v>-11.08323</v>
      </c>
      <c r="F10625" t="s">
        <v>16025</v>
      </c>
      <c r="G10625" t="s">
        <v>39</v>
      </c>
      <c r="H10625">
        <v>1998</v>
      </c>
      <c r="I10625">
        <v>26.9</v>
      </c>
      <c r="J10625">
        <v>9.1</v>
      </c>
      <c r="K10625">
        <v>72</v>
      </c>
      <c r="L10625">
        <v>10.1</v>
      </c>
      <c r="M10625">
        <v>33.700000000000003</v>
      </c>
      <c r="N10625">
        <v>21.1</v>
      </c>
      <c r="O10625">
        <v>12.6</v>
      </c>
      <c r="P10625">
        <v>27.4</v>
      </c>
      <c r="Q10625">
        <v>27.1</v>
      </c>
      <c r="R10625">
        <v>28.2</v>
      </c>
      <c r="S10625">
        <v>25.5</v>
      </c>
      <c r="T10625">
        <v>1243</v>
      </c>
      <c r="U10625">
        <v>206</v>
      </c>
      <c r="V10625">
        <v>22</v>
      </c>
      <c r="W10625">
        <v>52</v>
      </c>
      <c r="X10625">
        <v>524</v>
      </c>
      <c r="Y10625">
        <v>120</v>
      </c>
      <c r="Z10625">
        <v>338</v>
      </c>
      <c r="AA10625">
        <v>282</v>
      </c>
      <c r="AB10625">
        <v>16.013259999999999</v>
      </c>
      <c r="AC10625">
        <v>8.9898100000000009E-3</v>
      </c>
      <c r="AD10625">
        <v>2.186496</v>
      </c>
      <c r="AE10625">
        <v>0.72193430000000003</v>
      </c>
      <c r="AF10625">
        <v>84.72775</v>
      </c>
      <c r="AG10625">
        <f>IFERROR(AH10625*0.1, "N/A")</f>
        <v>6.072775</v>
      </c>
      <c r="AH10625">
        <v>60.72775</v>
      </c>
      <c r="AI10625">
        <v>202.3184</v>
      </c>
      <c r="AJ10625">
        <v>17.343800000000002</v>
      </c>
      <c r="AK10625">
        <v>63.897030000000001</v>
      </c>
    </row>
    <row r="10626" spans="1:37" x14ac:dyDescent="0.3">
      <c r="A10626">
        <v>10625</v>
      </c>
      <c r="B10626">
        <v>24</v>
      </c>
      <c r="C10626">
        <v>-3.85</v>
      </c>
      <c r="D10626">
        <v>6.1166700000000001</v>
      </c>
      <c r="E10626">
        <f>-3.85-6.11667</f>
        <v>-9.9666700000000006</v>
      </c>
      <c r="F10626" t="s">
        <v>16026</v>
      </c>
      <c r="G10626" t="s">
        <v>39</v>
      </c>
      <c r="H10626">
        <v>2006</v>
      </c>
      <c r="I10626">
        <v>26.6</v>
      </c>
      <c r="J10626">
        <v>8.9</v>
      </c>
      <c r="K10626">
        <v>73</v>
      </c>
      <c r="L10626">
        <v>10.64528</v>
      </c>
      <c r="M10626">
        <v>33.200000000000003</v>
      </c>
      <c r="N10626">
        <v>21.1</v>
      </c>
      <c r="O10626">
        <v>12.1</v>
      </c>
      <c r="P10626">
        <v>27.1</v>
      </c>
      <c r="Q10626">
        <v>27.1</v>
      </c>
      <c r="R10626">
        <v>27.8</v>
      </c>
      <c r="S10626">
        <v>25</v>
      </c>
      <c r="T10626">
        <v>1427.7059999999999</v>
      </c>
      <c r="U10626">
        <v>253.30070000000001</v>
      </c>
      <c r="V10626">
        <v>18.300699999999999</v>
      </c>
      <c r="W10626">
        <v>57.515729999999998</v>
      </c>
      <c r="X10626">
        <v>607.53499999999997</v>
      </c>
      <c r="Y10626">
        <v>102.236</v>
      </c>
      <c r="Z10626">
        <v>325.60140000000001</v>
      </c>
      <c r="AA10626">
        <v>337.33390000000003</v>
      </c>
      <c r="AB10626">
        <v>3.7571650000000001</v>
      </c>
      <c r="AC10626">
        <v>0.70246920000000002</v>
      </c>
      <c r="AD10626">
        <v>1.9568939999999999</v>
      </c>
      <c r="AE10626">
        <v>0.86979189999999995</v>
      </c>
      <c r="AF10626">
        <v>110.9388</v>
      </c>
      <c r="AG10626">
        <f>IFERROR(AH10626*0.1, "N/A")</f>
        <v>5.4333920000000004</v>
      </c>
      <c r="AH10626">
        <v>54.333919999999999</v>
      </c>
      <c r="AI10626">
        <v>192.23509999999999</v>
      </c>
      <c r="AJ10626">
        <v>16.001750000000001</v>
      </c>
      <c r="AK10626">
        <v>68.664339999999996</v>
      </c>
    </row>
    <row r="10627" spans="1:37" x14ac:dyDescent="0.3">
      <c r="A10627">
        <v>10626</v>
      </c>
      <c r="B10627">
        <v>14.1</v>
      </c>
      <c r="C10627">
        <v>-3.85</v>
      </c>
      <c r="D10627">
        <v>6.1166700000000001</v>
      </c>
      <c r="E10627">
        <f>-3.85-6.11667</f>
        <v>-9.9666700000000006</v>
      </c>
      <c r="F10627" t="s">
        <v>16027</v>
      </c>
      <c r="G10627" t="s">
        <v>37</v>
      </c>
      <c r="H10627">
        <v>2006</v>
      </c>
      <c r="I10627">
        <v>26.6</v>
      </c>
      <c r="J10627">
        <v>8.9</v>
      </c>
      <c r="K10627">
        <v>73</v>
      </c>
      <c r="L10627">
        <v>10.64528</v>
      </c>
      <c r="M10627">
        <v>33.200000000000003</v>
      </c>
      <c r="N10627">
        <v>21.1</v>
      </c>
      <c r="O10627">
        <v>12.1</v>
      </c>
      <c r="P10627">
        <v>27.1</v>
      </c>
      <c r="Q10627">
        <v>27.1</v>
      </c>
      <c r="R10627">
        <v>27.8</v>
      </c>
      <c r="S10627">
        <v>25</v>
      </c>
      <c r="T10627">
        <v>1427.7059999999999</v>
      </c>
      <c r="U10627">
        <v>253.30070000000001</v>
      </c>
      <c r="V10627">
        <v>18.300699999999999</v>
      </c>
      <c r="W10627">
        <v>57.515729999999998</v>
      </c>
      <c r="X10627">
        <v>607.53499999999997</v>
      </c>
      <c r="Y10627">
        <v>102.236</v>
      </c>
      <c r="Z10627">
        <v>325.60140000000001</v>
      </c>
      <c r="AA10627">
        <v>337.33390000000003</v>
      </c>
      <c r="AB10627">
        <v>3.7571650000000001</v>
      </c>
      <c r="AC10627">
        <v>0.70246920000000002</v>
      </c>
      <c r="AD10627">
        <v>1.9568939999999999</v>
      </c>
      <c r="AE10627">
        <v>0.86979189999999995</v>
      </c>
      <c r="AF10627">
        <v>110.9388</v>
      </c>
      <c r="AG10627">
        <f>IFERROR(AH10627*0.1, "N/A")</f>
        <v>5.4333920000000004</v>
      </c>
      <c r="AH10627">
        <v>54.333919999999999</v>
      </c>
      <c r="AI10627">
        <v>192.23509999999999</v>
      </c>
      <c r="AJ10627">
        <v>16.001750000000001</v>
      </c>
      <c r="AK10627">
        <v>68.664339999999996</v>
      </c>
    </row>
    <row r="10628" spans="1:37" x14ac:dyDescent="0.3">
      <c r="A10628">
        <v>10627</v>
      </c>
      <c r="B10628">
        <v>41</v>
      </c>
      <c r="C10628">
        <v>-3.7111100000000001</v>
      </c>
      <c r="D10628">
        <v>6.1266699999999998</v>
      </c>
      <c r="E10628">
        <f>-3.71111-6.12667</f>
        <v>-9.8377800000000004</v>
      </c>
      <c r="F10628" t="s">
        <v>16028</v>
      </c>
      <c r="G10628" t="s">
        <v>37</v>
      </c>
      <c r="H10628">
        <v>1981</v>
      </c>
      <c r="I10628">
        <v>26.8</v>
      </c>
      <c r="J10628">
        <v>8.9</v>
      </c>
      <c r="K10628">
        <v>72</v>
      </c>
      <c r="L10628">
        <v>10.95</v>
      </c>
      <c r="M10628">
        <v>33.5</v>
      </c>
      <c r="N10628">
        <v>21.3</v>
      </c>
      <c r="O10628">
        <v>12.2</v>
      </c>
      <c r="P10628">
        <v>27.3</v>
      </c>
      <c r="Q10628">
        <v>27.3</v>
      </c>
      <c r="R10628">
        <v>28.1</v>
      </c>
      <c r="S10628">
        <v>25.2</v>
      </c>
      <c r="T10628">
        <v>1447</v>
      </c>
      <c r="U10628">
        <v>258</v>
      </c>
      <c r="V10628">
        <v>20</v>
      </c>
      <c r="W10628">
        <v>57</v>
      </c>
      <c r="X10628">
        <v>619</v>
      </c>
      <c r="Y10628">
        <v>105</v>
      </c>
      <c r="Z10628">
        <v>331</v>
      </c>
      <c r="AA10628">
        <v>335</v>
      </c>
      <c r="AB10628">
        <v>25.91291</v>
      </c>
      <c r="AC10628">
        <v>1.2297570000000001E-2</v>
      </c>
      <c r="AD10628">
        <v>4.5077210000000001</v>
      </c>
      <c r="AE10628">
        <v>0.50687990000000005</v>
      </c>
      <c r="AF10628">
        <v>96.267020000000002</v>
      </c>
      <c r="AG10628">
        <f>IFERROR(AH10628*0.1, "N/A")</f>
        <v>5</v>
      </c>
      <c r="AH10628">
        <v>50</v>
      </c>
      <c r="AI10628">
        <v>57.053190000000001</v>
      </c>
      <c r="AJ10628">
        <v>22</v>
      </c>
      <c r="AK10628">
        <v>58.705060000000003</v>
      </c>
    </row>
    <row r="10629" spans="1:37" x14ac:dyDescent="0.3">
      <c r="A10629">
        <v>10628</v>
      </c>
      <c r="B10629">
        <v>29</v>
      </c>
      <c r="C10629">
        <v>-4.8942800000000002</v>
      </c>
      <c r="D10629">
        <v>6.1289300000000004</v>
      </c>
      <c r="E10629">
        <f>-4.89428-6.12893</f>
        <v>-11.023210000000001</v>
      </c>
      <c r="F10629" t="s">
        <v>16029</v>
      </c>
      <c r="G10629" t="s">
        <v>39</v>
      </c>
      <c r="H10629">
        <v>1998</v>
      </c>
      <c r="I10629">
        <v>26.9</v>
      </c>
      <c r="J10629">
        <v>9.1</v>
      </c>
      <c r="K10629">
        <v>71</v>
      </c>
      <c r="L10629">
        <v>10.15</v>
      </c>
      <c r="M10629">
        <v>33.799999999999997</v>
      </c>
      <c r="N10629">
        <v>21.1</v>
      </c>
      <c r="O10629">
        <v>12.7</v>
      </c>
      <c r="P10629">
        <v>27.4</v>
      </c>
      <c r="Q10629">
        <v>27.1</v>
      </c>
      <c r="R10629">
        <v>28.3</v>
      </c>
      <c r="S10629">
        <v>25.5</v>
      </c>
      <c r="T10629">
        <v>1229</v>
      </c>
      <c r="U10629">
        <v>205</v>
      </c>
      <c r="V10629">
        <v>20</v>
      </c>
      <c r="W10629">
        <v>53</v>
      </c>
      <c r="X10629">
        <v>515</v>
      </c>
      <c r="Y10629">
        <v>114</v>
      </c>
      <c r="Z10629">
        <v>331</v>
      </c>
      <c r="AA10629">
        <v>285</v>
      </c>
      <c r="AB10629">
        <v>11.963419999999999</v>
      </c>
      <c r="AC10629">
        <v>1.0943339999999999E-2</v>
      </c>
      <c r="AD10629">
        <v>1.4229449999999999</v>
      </c>
      <c r="AE10629">
        <v>0.67906520000000004</v>
      </c>
      <c r="AF10629">
        <v>87.756100000000004</v>
      </c>
      <c r="AG10629">
        <f>IFERROR(AH10629*0.1, "N/A")</f>
        <v>5.8625439999999998</v>
      </c>
      <c r="AH10629">
        <v>58.625439999999998</v>
      </c>
      <c r="AI10629">
        <v>93.469750000000005</v>
      </c>
      <c r="AJ10629">
        <v>11.625439999999999</v>
      </c>
      <c r="AK10629">
        <v>70.545299999999997</v>
      </c>
    </row>
    <row r="10630" spans="1:37" x14ac:dyDescent="0.3">
      <c r="A10630">
        <v>10629</v>
      </c>
      <c r="B10630">
        <v>9.4</v>
      </c>
      <c r="C10630">
        <v>-4.7412700000000001</v>
      </c>
      <c r="D10630">
        <v>6.1318200000000003</v>
      </c>
      <c r="E10630">
        <f>-4.74127-6.13182</f>
        <v>-10.873090000000001</v>
      </c>
      <c r="F10630" t="s">
        <v>16030</v>
      </c>
      <c r="G10630" t="s">
        <v>39</v>
      </c>
      <c r="H10630">
        <v>1998</v>
      </c>
      <c r="I10630">
        <v>27.2</v>
      </c>
      <c r="J10630">
        <v>9.1999999999999993</v>
      </c>
      <c r="K10630">
        <v>71.458039999999997</v>
      </c>
      <c r="L10630">
        <v>10.42755</v>
      </c>
      <c r="M10630">
        <v>34.1</v>
      </c>
      <c r="N10630">
        <v>21.345800000000001</v>
      </c>
      <c r="O10630">
        <v>12.754200000000001</v>
      </c>
      <c r="P10630">
        <v>27.7</v>
      </c>
      <c r="Q10630">
        <v>27.445799999999998</v>
      </c>
      <c r="R10630">
        <v>28.6</v>
      </c>
      <c r="S10630">
        <v>25.745799999999999</v>
      </c>
      <c r="T10630">
        <v>1223.0840000000001</v>
      </c>
      <c r="U10630">
        <v>211</v>
      </c>
      <c r="V10630">
        <v>17</v>
      </c>
      <c r="W10630">
        <v>54.458039999999997</v>
      </c>
      <c r="X10630">
        <v>512</v>
      </c>
      <c r="Y10630">
        <v>103</v>
      </c>
      <c r="Z10630">
        <v>317</v>
      </c>
      <c r="AA10630">
        <v>285.54199999999997</v>
      </c>
      <c r="AB10630">
        <v>3.106293</v>
      </c>
      <c r="AC10630">
        <v>3.4312200000000002</v>
      </c>
      <c r="AD10630">
        <v>2.888487</v>
      </c>
      <c r="AE10630">
        <v>0.65264270000000002</v>
      </c>
      <c r="AF10630">
        <v>45.73077</v>
      </c>
      <c r="AG10630">
        <f>IFERROR(AH10630*0.1, "N/A")</f>
        <v>5.5458040000000004</v>
      </c>
      <c r="AH10630">
        <v>55.458039999999997</v>
      </c>
      <c r="AI10630">
        <v>302.5127</v>
      </c>
      <c r="AJ10630">
        <v>28.374130000000001</v>
      </c>
      <c r="AK10630">
        <v>51.625869999999999</v>
      </c>
    </row>
    <row r="10631" spans="1:37" x14ac:dyDescent="0.3">
      <c r="A10631">
        <v>10630</v>
      </c>
      <c r="B10631">
        <v>2.9</v>
      </c>
      <c r="C10631">
        <v>-5.9333299999999998</v>
      </c>
      <c r="D10631">
        <v>6.1333299999999999</v>
      </c>
      <c r="E10631">
        <f>-5.93333-6.13333</f>
        <v>-12.066659999999999</v>
      </c>
      <c r="F10631" t="s">
        <v>16031</v>
      </c>
      <c r="G10631" t="s">
        <v>37</v>
      </c>
      <c r="H10631">
        <v>2007</v>
      </c>
      <c r="I10631">
        <v>26.184719999999999</v>
      </c>
      <c r="J10631">
        <v>8.9</v>
      </c>
      <c r="K10631">
        <v>74</v>
      </c>
      <c r="L10631">
        <v>8.7653470000000002</v>
      </c>
      <c r="M10631">
        <v>32.684719999999999</v>
      </c>
      <c r="N10631">
        <v>20.78472</v>
      </c>
      <c r="O10631">
        <v>11.9</v>
      </c>
      <c r="P10631">
        <v>26.622399999999999</v>
      </c>
      <c r="Q10631">
        <v>26.28472</v>
      </c>
      <c r="R10631">
        <v>27.336980000000001</v>
      </c>
      <c r="S10631">
        <v>24.984719999999999</v>
      </c>
      <c r="T10631">
        <v>1378.328</v>
      </c>
      <c r="U10631">
        <v>202.77780000000001</v>
      </c>
      <c r="V10631">
        <v>26</v>
      </c>
      <c r="W10631">
        <v>47.376739999999998</v>
      </c>
      <c r="X10631">
        <v>536.30730000000005</v>
      </c>
      <c r="Y10631">
        <v>131.85419999999999</v>
      </c>
      <c r="Z10631">
        <v>351.60590000000002</v>
      </c>
      <c r="AA10631">
        <v>337.30560000000003</v>
      </c>
      <c r="AB10631">
        <v>2.2302040000000001</v>
      </c>
      <c r="AC10631">
        <v>4.2971530000000001E-2</v>
      </c>
      <c r="AD10631">
        <v>1.5045649999999999</v>
      </c>
      <c r="AE10631">
        <v>0.80991860000000004</v>
      </c>
      <c r="AF10631">
        <v>182.5521</v>
      </c>
      <c r="AG10631">
        <f>IFERROR(AH10631*0.1, "N/A")</f>
        <v>5.6428820000000002</v>
      </c>
      <c r="AH10631">
        <v>56.428820000000002</v>
      </c>
      <c r="AI10631">
        <v>163.33160000000001</v>
      </c>
      <c r="AJ10631">
        <v>22.63194</v>
      </c>
      <c r="AK10631">
        <v>55.88194</v>
      </c>
    </row>
    <row r="10632" spans="1:37" x14ac:dyDescent="0.3">
      <c r="A10632">
        <v>10631</v>
      </c>
      <c r="B10632">
        <v>2.9</v>
      </c>
      <c r="C10632">
        <v>-4.9380499999999996</v>
      </c>
      <c r="D10632">
        <v>6.1670199999999999</v>
      </c>
      <c r="E10632">
        <f>-4.93805-6.16702</f>
        <v>-11.10507</v>
      </c>
      <c r="F10632" t="s">
        <v>16032</v>
      </c>
      <c r="G10632" t="s">
        <v>39</v>
      </c>
      <c r="H10632">
        <v>1998</v>
      </c>
      <c r="I10632">
        <v>26.741389999999999</v>
      </c>
      <c r="J10632">
        <v>9.2586089999999999</v>
      </c>
      <c r="K10632">
        <v>71</v>
      </c>
      <c r="L10632">
        <v>10.44271</v>
      </c>
      <c r="M10632">
        <v>33.799999999999997</v>
      </c>
      <c r="N10632">
        <v>20.88278</v>
      </c>
      <c r="O10632">
        <v>12.91722</v>
      </c>
      <c r="P10632">
        <v>27.341390000000001</v>
      </c>
      <c r="Q10632">
        <v>27</v>
      </c>
      <c r="R10632">
        <v>28.2</v>
      </c>
      <c r="S10632">
        <v>25.441389999999998</v>
      </c>
      <c r="T10632">
        <v>1217.828</v>
      </c>
      <c r="U10632">
        <v>201.41390000000001</v>
      </c>
      <c r="V10632">
        <v>22</v>
      </c>
      <c r="W10632">
        <v>53</v>
      </c>
      <c r="X10632">
        <v>518</v>
      </c>
      <c r="Y10632">
        <v>116</v>
      </c>
      <c r="Z10632">
        <v>330.58609999999999</v>
      </c>
      <c r="AA10632">
        <v>279.41390000000001</v>
      </c>
      <c r="AB10632">
        <v>30.000520000000002</v>
      </c>
      <c r="AC10632">
        <v>8.4993710000000004E-3</v>
      </c>
      <c r="AD10632">
        <v>1.943724</v>
      </c>
      <c r="AE10632">
        <v>0.79720590000000002</v>
      </c>
      <c r="AF10632">
        <v>113.2974</v>
      </c>
      <c r="AG10632">
        <f>IFERROR(AH10632*0.1, "N/A")</f>
        <v>5.7</v>
      </c>
      <c r="AH10632">
        <v>57</v>
      </c>
      <c r="AI10632">
        <v>190.61670000000001</v>
      </c>
      <c r="AJ10632">
        <v>16</v>
      </c>
      <c r="AK10632">
        <v>66.017390000000006</v>
      </c>
    </row>
    <row r="10633" spans="1:37" x14ac:dyDescent="0.3">
      <c r="A10633">
        <v>10632</v>
      </c>
      <c r="B10633">
        <v>23.6</v>
      </c>
      <c r="C10633">
        <v>-5.02712</v>
      </c>
      <c r="D10633">
        <v>6.1681699999999999</v>
      </c>
      <c r="E10633">
        <f>-5.02712-6.16817</f>
        <v>-11.19529</v>
      </c>
      <c r="F10633" t="s">
        <v>16033</v>
      </c>
      <c r="G10633" t="s">
        <v>39</v>
      </c>
      <c r="H10633">
        <v>1998</v>
      </c>
      <c r="I10633">
        <v>26.7</v>
      </c>
      <c r="J10633">
        <v>9.1999999999999993</v>
      </c>
      <c r="K10633">
        <v>71</v>
      </c>
      <c r="L10633">
        <v>10.17</v>
      </c>
      <c r="M10633">
        <v>33.700000000000003</v>
      </c>
      <c r="N10633">
        <v>20.9</v>
      </c>
      <c r="O10633">
        <v>12.8</v>
      </c>
      <c r="P10633">
        <v>27.2</v>
      </c>
      <c r="Q10633">
        <v>26.5</v>
      </c>
      <c r="R10633">
        <v>28.1</v>
      </c>
      <c r="S10633">
        <v>25.4</v>
      </c>
      <c r="T10633">
        <v>1228</v>
      </c>
      <c r="U10633">
        <v>202</v>
      </c>
      <c r="V10633">
        <v>24</v>
      </c>
      <c r="W10633">
        <v>53</v>
      </c>
      <c r="X10633">
        <v>528</v>
      </c>
      <c r="Y10633">
        <v>122</v>
      </c>
      <c r="Z10633">
        <v>337</v>
      </c>
      <c r="AA10633">
        <v>275</v>
      </c>
      <c r="AB10633">
        <v>7.6095839999999999</v>
      </c>
      <c r="AC10633">
        <v>2.219602E-2</v>
      </c>
      <c r="AD10633">
        <v>1.6014060000000001</v>
      </c>
      <c r="AE10633">
        <v>0.64945269999999999</v>
      </c>
      <c r="AF10633">
        <v>109.8728</v>
      </c>
      <c r="AG10633">
        <f>IFERROR(AH10633*0.1, "N/A")</f>
        <v>5.7412890000000001</v>
      </c>
      <c r="AH10633">
        <v>57.412889999999997</v>
      </c>
      <c r="AI10633">
        <v>200.70259999999999</v>
      </c>
      <c r="AJ10633">
        <v>13.939019999999999</v>
      </c>
      <c r="AK10633">
        <v>63.754359999999998</v>
      </c>
    </row>
    <row r="10634" spans="1:37" x14ac:dyDescent="0.3">
      <c r="A10634">
        <v>10633</v>
      </c>
      <c r="B10634">
        <v>55</v>
      </c>
      <c r="C10634">
        <v>-5.0970000000000004</v>
      </c>
      <c r="D10634">
        <v>6.1783999999999999</v>
      </c>
      <c r="E10634">
        <f>-5.097-6.1784</f>
        <v>-11.275400000000001</v>
      </c>
      <c r="F10634" t="s">
        <v>16034</v>
      </c>
      <c r="G10634" t="s">
        <v>39</v>
      </c>
      <c r="H10634">
        <v>1998</v>
      </c>
      <c r="I10634">
        <v>26.5</v>
      </c>
      <c r="J10634">
        <v>9.1999999999999993</v>
      </c>
      <c r="K10634">
        <v>71</v>
      </c>
      <c r="L10634">
        <v>10.31</v>
      </c>
      <c r="M10634">
        <v>33.6</v>
      </c>
      <c r="N10634">
        <v>20.7</v>
      </c>
      <c r="O10634">
        <v>12.9</v>
      </c>
      <c r="P10634">
        <v>27.1</v>
      </c>
      <c r="Q10634">
        <v>26.3</v>
      </c>
      <c r="R10634">
        <v>28</v>
      </c>
      <c r="S10634">
        <v>25.2</v>
      </c>
      <c r="T10634">
        <v>1244</v>
      </c>
      <c r="U10634">
        <v>203</v>
      </c>
      <c r="V10634">
        <v>24</v>
      </c>
      <c r="W10634">
        <v>53</v>
      </c>
      <c r="X10634">
        <v>532</v>
      </c>
      <c r="Y10634">
        <v>122</v>
      </c>
      <c r="Z10634">
        <v>343</v>
      </c>
      <c r="AA10634">
        <v>278</v>
      </c>
      <c r="AB10634">
        <v>1.9680070000000001</v>
      </c>
      <c r="AC10634">
        <v>8.3846319999999999</v>
      </c>
      <c r="AD10634">
        <v>2.3144979999999999</v>
      </c>
      <c r="AE10634">
        <v>0.65815570000000001</v>
      </c>
      <c r="AF10634">
        <v>123.7098</v>
      </c>
      <c r="AG10634">
        <f>IFERROR(AH10634*0.1, "N/A")</f>
        <v>5.7</v>
      </c>
      <c r="AH10634">
        <v>57</v>
      </c>
      <c r="AI10634">
        <v>245.5566</v>
      </c>
      <c r="AJ10634">
        <v>16.335660000000001</v>
      </c>
      <c r="AK10634">
        <v>64.993009999999998</v>
      </c>
    </row>
    <row r="10635" spans="1:37" x14ac:dyDescent="0.3">
      <c r="A10635">
        <v>10634</v>
      </c>
      <c r="B10635">
        <v>60</v>
      </c>
      <c r="C10635">
        <v>-3.8077800000000002</v>
      </c>
      <c r="D10635">
        <v>6.1994400000000001</v>
      </c>
      <c r="E10635">
        <f>-3.80778-6.19944</f>
        <v>-10.00722</v>
      </c>
      <c r="F10635" t="s">
        <v>16035</v>
      </c>
      <c r="G10635" t="s">
        <v>37</v>
      </c>
      <c r="H10635">
        <v>1981</v>
      </c>
      <c r="I10635">
        <v>26.563410000000001</v>
      </c>
      <c r="J10635">
        <v>9.0332749999999997</v>
      </c>
      <c r="K10635">
        <v>72.634150000000005</v>
      </c>
      <c r="L10635">
        <v>10.90395</v>
      </c>
      <c r="M10635">
        <v>33.333280000000002</v>
      </c>
      <c r="N10635">
        <v>21.02683</v>
      </c>
      <c r="O10635">
        <v>12.30645</v>
      </c>
      <c r="P10635">
        <v>26.996690000000001</v>
      </c>
      <c r="Q10635">
        <v>27.096689999999999</v>
      </c>
      <c r="R10635">
        <v>27.82996</v>
      </c>
      <c r="S10635">
        <v>24.960100000000001</v>
      </c>
      <c r="T10635">
        <v>1410.6990000000001</v>
      </c>
      <c r="U10635">
        <v>247.96690000000001</v>
      </c>
      <c r="V10635">
        <v>18</v>
      </c>
      <c r="W10635">
        <v>57</v>
      </c>
      <c r="X10635">
        <v>599.96690000000001</v>
      </c>
      <c r="Y10635">
        <v>99</v>
      </c>
      <c r="Z10635">
        <v>327.03309999999999</v>
      </c>
      <c r="AA10635">
        <v>335.06450000000001</v>
      </c>
      <c r="AB10635">
        <v>12.44495</v>
      </c>
      <c r="AC10635">
        <v>1.196354E-2</v>
      </c>
      <c r="AD10635">
        <v>4.1994509999999998</v>
      </c>
      <c r="AE10635">
        <v>0.73068120000000003</v>
      </c>
      <c r="AF10635">
        <v>138.56270000000001</v>
      </c>
      <c r="AG10635">
        <f>IFERROR(AH10635*0.1, "N/A")</f>
        <v>5.5411150000000005</v>
      </c>
      <c r="AH10635">
        <v>55.411149999999999</v>
      </c>
      <c r="AI10635">
        <v>170.714</v>
      </c>
      <c r="AJ10635">
        <v>18.792680000000001</v>
      </c>
      <c r="AK10635">
        <v>63.65157</v>
      </c>
    </row>
    <row r="10636" spans="1:37" x14ac:dyDescent="0.3">
      <c r="A10636">
        <v>10635</v>
      </c>
      <c r="B10636">
        <v>82.9</v>
      </c>
      <c r="C10636">
        <v>-5.1073500000000003</v>
      </c>
      <c r="D10636">
        <v>6.2033199999999997</v>
      </c>
      <c r="E10636">
        <f>-5.10735-6.20332</f>
        <v>-11.31067</v>
      </c>
      <c r="F10636" t="s">
        <v>16036</v>
      </c>
      <c r="G10636" t="s">
        <v>39</v>
      </c>
      <c r="H10636">
        <v>1998</v>
      </c>
      <c r="I10636">
        <v>26.6</v>
      </c>
      <c r="J10636">
        <v>9.3000000000000007</v>
      </c>
      <c r="K10636">
        <v>71</v>
      </c>
      <c r="L10636">
        <v>10.42</v>
      </c>
      <c r="M10636">
        <v>33.6</v>
      </c>
      <c r="N10636">
        <v>20.6</v>
      </c>
      <c r="O10636">
        <v>13</v>
      </c>
      <c r="P10636">
        <v>27.1</v>
      </c>
      <c r="Q10636">
        <v>26.3</v>
      </c>
      <c r="R10636">
        <v>28</v>
      </c>
      <c r="S10636">
        <v>25.2</v>
      </c>
      <c r="T10636">
        <v>1236</v>
      </c>
      <c r="U10636">
        <v>201</v>
      </c>
      <c r="V10636">
        <v>24</v>
      </c>
      <c r="W10636">
        <v>52</v>
      </c>
      <c r="X10636">
        <v>529</v>
      </c>
      <c r="Y10636">
        <v>120</v>
      </c>
      <c r="Z10636">
        <v>342</v>
      </c>
      <c r="AA10636">
        <v>278</v>
      </c>
      <c r="AB10636">
        <v>19.47343</v>
      </c>
      <c r="AC10636">
        <v>9.9994650000000008E-3</v>
      </c>
      <c r="AD10636">
        <v>1.4873160000000001</v>
      </c>
      <c r="AE10636">
        <v>0.57999869999999998</v>
      </c>
      <c r="AF10636">
        <v>142.1276</v>
      </c>
      <c r="AG10636">
        <f>IFERROR(AH10636*0.1, "N/A")</f>
        <v>5.2173080000000001</v>
      </c>
      <c r="AH10636">
        <v>52.173079999999999</v>
      </c>
      <c r="AI10636">
        <v>86.651880000000006</v>
      </c>
      <c r="AJ10636">
        <v>20.692309999999999</v>
      </c>
      <c r="AK10636">
        <v>61</v>
      </c>
    </row>
    <row r="10637" spans="1:37" x14ac:dyDescent="0.3">
      <c r="A10637">
        <v>10636</v>
      </c>
      <c r="B10637">
        <v>84</v>
      </c>
      <c r="C10637">
        <v>-5.1074700000000002</v>
      </c>
      <c r="D10637">
        <v>6.2033699999999996</v>
      </c>
      <c r="E10637">
        <f>-5.10747-6.20337</f>
        <v>-11.310839999999999</v>
      </c>
      <c r="F10637" t="s">
        <v>16037</v>
      </c>
      <c r="G10637" t="s">
        <v>39</v>
      </c>
      <c r="H10637">
        <v>1998</v>
      </c>
      <c r="I10637">
        <v>26.6</v>
      </c>
      <c r="J10637">
        <v>9.3000000000000007</v>
      </c>
      <c r="K10637">
        <v>71</v>
      </c>
      <c r="L10637">
        <v>10.42</v>
      </c>
      <c r="M10637">
        <v>33.6</v>
      </c>
      <c r="N10637">
        <v>20.6</v>
      </c>
      <c r="O10637">
        <v>13</v>
      </c>
      <c r="P10637">
        <v>27.1</v>
      </c>
      <c r="Q10637">
        <v>26.3</v>
      </c>
      <c r="R10637">
        <v>28</v>
      </c>
      <c r="S10637">
        <v>25.2</v>
      </c>
      <c r="T10637">
        <v>1236</v>
      </c>
      <c r="U10637">
        <v>201</v>
      </c>
      <c r="V10637">
        <v>24</v>
      </c>
      <c r="W10637">
        <v>52</v>
      </c>
      <c r="X10637">
        <v>529</v>
      </c>
      <c r="Y10637">
        <v>120</v>
      </c>
      <c r="Z10637">
        <v>342</v>
      </c>
      <c r="AA10637">
        <v>278</v>
      </c>
      <c r="AB10637">
        <v>19.90315</v>
      </c>
      <c r="AC10637">
        <v>1.011833E-2</v>
      </c>
      <c r="AD10637">
        <v>1.5573790000000001</v>
      </c>
      <c r="AE10637">
        <v>0.59026389999999995</v>
      </c>
      <c r="AF10637">
        <v>142.47550000000001</v>
      </c>
      <c r="AG10637">
        <f>IFERROR(AH10637*0.1, "N/A")</f>
        <v>5.2202800000000007</v>
      </c>
      <c r="AH10637">
        <v>52.202800000000003</v>
      </c>
      <c r="AI10637">
        <v>85.12612</v>
      </c>
      <c r="AJ10637">
        <v>20.81119</v>
      </c>
      <c r="AK10637">
        <v>61</v>
      </c>
    </row>
    <row r="10638" spans="1:37" x14ac:dyDescent="0.3">
      <c r="A10638">
        <v>10637</v>
      </c>
      <c r="B10638">
        <v>92.6</v>
      </c>
      <c r="C10638">
        <v>-5.0833300000000001</v>
      </c>
      <c r="D10638">
        <v>6.2166699999999997</v>
      </c>
      <c r="E10638">
        <f>-5.08333-6.21667</f>
        <v>-11.3</v>
      </c>
      <c r="F10638" t="s">
        <v>16038</v>
      </c>
      <c r="G10638" t="s">
        <v>39</v>
      </c>
      <c r="H10638">
        <v>1997</v>
      </c>
      <c r="I10638">
        <v>26.743459999999999</v>
      </c>
      <c r="J10638">
        <v>9.3000000000000007</v>
      </c>
      <c r="K10638">
        <v>70.218149999999994</v>
      </c>
      <c r="L10638">
        <v>10.260439999999999</v>
      </c>
      <c r="M10638">
        <v>33.849910000000001</v>
      </c>
      <c r="N10638">
        <v>20.771730000000002</v>
      </c>
      <c r="O10638">
        <v>13.078189999999999</v>
      </c>
      <c r="P10638">
        <v>27.288129999999999</v>
      </c>
      <c r="Q10638">
        <v>26.471730000000001</v>
      </c>
      <c r="R10638">
        <v>28.166319999999999</v>
      </c>
      <c r="S10638">
        <v>25.371729999999999</v>
      </c>
      <c r="T10638">
        <v>1218.883</v>
      </c>
      <c r="U10638">
        <v>199.4468</v>
      </c>
      <c r="V10638">
        <v>23.054099999999998</v>
      </c>
      <c r="W10638">
        <v>52.945900000000002</v>
      </c>
      <c r="X10638">
        <v>523.94759999999997</v>
      </c>
      <c r="Y10638">
        <v>117.2723</v>
      </c>
      <c r="Z10638">
        <v>335.00170000000003</v>
      </c>
      <c r="AA10638">
        <v>276.60730000000001</v>
      </c>
      <c r="AB10638">
        <v>4.9841150000000001</v>
      </c>
      <c r="AC10638">
        <v>1.0441550000000001E-2</v>
      </c>
      <c r="AD10638">
        <v>7.4923190000000002</v>
      </c>
      <c r="AE10638">
        <v>0.59933559999999997</v>
      </c>
      <c r="AF10638">
        <v>112.3403</v>
      </c>
      <c r="AG10638">
        <f>IFERROR(AH10638*0.1, "N/A")</f>
        <v>5.5</v>
      </c>
      <c r="AH10638">
        <v>55</v>
      </c>
      <c r="AI10638">
        <v>99.699789999999993</v>
      </c>
      <c r="AJ10638">
        <v>32</v>
      </c>
      <c r="AK10638">
        <v>44</v>
      </c>
    </row>
    <row r="10639" spans="1:37" x14ac:dyDescent="0.3">
      <c r="A10639">
        <v>10638</v>
      </c>
      <c r="B10639">
        <v>3.7</v>
      </c>
      <c r="C10639">
        <v>-5.22525</v>
      </c>
      <c r="D10639">
        <v>6.23142</v>
      </c>
      <c r="E10639">
        <f>-5.22525-6.23142</f>
        <v>-11.456669999999999</v>
      </c>
      <c r="F10639" t="s">
        <v>16039</v>
      </c>
      <c r="G10639" t="s">
        <v>39</v>
      </c>
      <c r="H10639">
        <v>1998</v>
      </c>
      <c r="I10639">
        <v>26.103149999999999</v>
      </c>
      <c r="J10639">
        <v>9.3000000000000007</v>
      </c>
      <c r="K10639">
        <v>72</v>
      </c>
      <c r="L10639">
        <v>10.17906</v>
      </c>
      <c r="M10639">
        <v>33.203150000000001</v>
      </c>
      <c r="N10639">
        <v>20.303149999999999</v>
      </c>
      <c r="O10639">
        <v>12.9</v>
      </c>
      <c r="P10639">
        <v>26.703150000000001</v>
      </c>
      <c r="Q10639">
        <v>25.806290000000001</v>
      </c>
      <c r="R10639">
        <v>27.6</v>
      </c>
      <c r="S10639">
        <v>24.803149999999999</v>
      </c>
      <c r="T10639">
        <v>1271.874</v>
      </c>
      <c r="U10639">
        <v>202</v>
      </c>
      <c r="V10639">
        <v>25</v>
      </c>
      <c r="W10639">
        <v>52</v>
      </c>
      <c r="X10639">
        <v>535</v>
      </c>
      <c r="Y10639">
        <v>121</v>
      </c>
      <c r="Z10639">
        <v>356.93709999999999</v>
      </c>
      <c r="AA10639">
        <v>284.96850000000001</v>
      </c>
      <c r="AB10639">
        <v>10.675700000000001</v>
      </c>
      <c r="AC10639">
        <v>1.6937319999999999E-2</v>
      </c>
      <c r="AD10639">
        <v>2.6854460000000002</v>
      </c>
      <c r="AE10639">
        <v>0.74492970000000003</v>
      </c>
      <c r="AF10639">
        <v>181.49299999999999</v>
      </c>
      <c r="AG10639">
        <f>IFERROR(AH10639*0.1, "N/A")</f>
        <v>5.790559</v>
      </c>
      <c r="AH10639">
        <v>57.905589999999997</v>
      </c>
      <c r="AI10639">
        <v>128.26570000000001</v>
      </c>
      <c r="AJ10639">
        <v>18.842659999999999</v>
      </c>
      <c r="AK10639">
        <v>63.059440000000002</v>
      </c>
    </row>
    <row r="10640" spans="1:37" x14ac:dyDescent="0.3">
      <c r="A10640">
        <v>10639</v>
      </c>
      <c r="B10640">
        <v>81.3</v>
      </c>
      <c r="C10640">
        <v>-5.1333299999999999</v>
      </c>
      <c r="D10640">
        <v>6.2333299999999996</v>
      </c>
      <c r="E10640">
        <f>-5.13333-6.23333</f>
        <v>-11.36666</v>
      </c>
      <c r="F10640" t="s">
        <v>16040</v>
      </c>
      <c r="G10640" t="s">
        <v>39</v>
      </c>
      <c r="H10640">
        <v>2003</v>
      </c>
      <c r="I10640">
        <v>26.6</v>
      </c>
      <c r="J10640">
        <v>9.3000000000000007</v>
      </c>
      <c r="K10640">
        <v>70</v>
      </c>
      <c r="L10640">
        <v>10.14597</v>
      </c>
      <c r="M10640">
        <v>33.700000000000003</v>
      </c>
      <c r="N10640">
        <v>20.6</v>
      </c>
      <c r="O10640">
        <v>13.1</v>
      </c>
      <c r="P10640">
        <v>27.150790000000001</v>
      </c>
      <c r="Q10640">
        <v>26.3</v>
      </c>
      <c r="R10640">
        <v>28</v>
      </c>
      <c r="S10640">
        <v>25.308060000000001</v>
      </c>
      <c r="T10640">
        <v>1232.1210000000001</v>
      </c>
      <c r="U10640">
        <v>200</v>
      </c>
      <c r="V10640">
        <v>23.427320000000002</v>
      </c>
      <c r="W10640">
        <v>53</v>
      </c>
      <c r="X10640">
        <v>526.42729999999995</v>
      </c>
      <c r="Y10640">
        <v>116.9807</v>
      </c>
      <c r="Z10640">
        <v>340.9194</v>
      </c>
      <c r="AA10640">
        <v>279.36599999999999</v>
      </c>
      <c r="AB10640">
        <v>0</v>
      </c>
      <c r="AC10640">
        <v>4.840013E-2</v>
      </c>
      <c r="AD10640">
        <v>0</v>
      </c>
      <c r="AE10640">
        <v>0.21329429999999999</v>
      </c>
      <c r="AF10640">
        <v>121</v>
      </c>
      <c r="AG10640" t="str">
        <f>IFERROR(AH10640*0.1, "N/A")</f>
        <v>N/A</v>
      </c>
      <c r="AH10640" t="s">
        <v>729</v>
      </c>
      <c r="AI10640">
        <v>0</v>
      </c>
      <c r="AJ10640" t="s">
        <v>729</v>
      </c>
      <c r="AK10640" t="s">
        <v>729</v>
      </c>
    </row>
    <row r="10641" spans="1:37" x14ac:dyDescent="0.3">
      <c r="A10641">
        <v>10640</v>
      </c>
      <c r="B10641">
        <v>0.3</v>
      </c>
      <c r="C10641">
        <v>-5.1333299999999999</v>
      </c>
      <c r="D10641">
        <v>6.2333299999999996</v>
      </c>
      <c r="E10641">
        <f>-5.13333-6.23333</f>
        <v>-11.36666</v>
      </c>
      <c r="F10641" t="s">
        <v>16041</v>
      </c>
      <c r="G10641" t="s">
        <v>37</v>
      </c>
      <c r="H10641">
        <v>2003</v>
      </c>
      <c r="I10641">
        <v>26.6</v>
      </c>
      <c r="J10641">
        <v>9.3000000000000007</v>
      </c>
      <c r="K10641">
        <v>70</v>
      </c>
      <c r="L10641">
        <v>10.14597</v>
      </c>
      <c r="M10641">
        <v>33.700000000000003</v>
      </c>
      <c r="N10641">
        <v>20.6</v>
      </c>
      <c r="O10641">
        <v>13.1</v>
      </c>
      <c r="P10641">
        <v>27.150790000000001</v>
      </c>
      <c r="Q10641">
        <v>26.3</v>
      </c>
      <c r="R10641">
        <v>28</v>
      </c>
      <c r="S10641">
        <v>25.308060000000001</v>
      </c>
      <c r="T10641">
        <v>1232.1210000000001</v>
      </c>
      <c r="U10641">
        <v>200</v>
      </c>
      <c r="V10641">
        <v>23.427320000000002</v>
      </c>
      <c r="W10641">
        <v>53</v>
      </c>
      <c r="X10641">
        <v>526.42729999999995</v>
      </c>
      <c r="Y10641">
        <v>116.9807</v>
      </c>
      <c r="Z10641">
        <v>340.9194</v>
      </c>
      <c r="AA10641">
        <v>279.36599999999999</v>
      </c>
      <c r="AB10641">
        <v>0</v>
      </c>
      <c r="AC10641">
        <v>4.840013E-2</v>
      </c>
      <c r="AD10641">
        <v>0</v>
      </c>
      <c r="AE10641">
        <v>0.21329429999999999</v>
      </c>
      <c r="AF10641">
        <v>121</v>
      </c>
      <c r="AG10641" t="str">
        <f>IFERROR(AH10641*0.1, "N/A")</f>
        <v>N/A</v>
      </c>
      <c r="AH10641" t="s">
        <v>729</v>
      </c>
      <c r="AI10641">
        <v>0</v>
      </c>
      <c r="AJ10641" t="s">
        <v>729</v>
      </c>
      <c r="AK10641" t="s">
        <v>729</v>
      </c>
    </row>
    <row r="10642" spans="1:37" x14ac:dyDescent="0.3">
      <c r="A10642">
        <v>10641</v>
      </c>
      <c r="B10642">
        <v>2.98</v>
      </c>
      <c r="C10642">
        <v>-4.9311800000000003</v>
      </c>
      <c r="D10642">
        <v>6.2574199999999998</v>
      </c>
      <c r="E10642">
        <f>-4.93118-6.25742</f>
        <v>-11.188600000000001</v>
      </c>
      <c r="F10642" t="s">
        <v>16042</v>
      </c>
      <c r="G10642" t="s">
        <v>39</v>
      </c>
      <c r="H10642">
        <v>1998</v>
      </c>
      <c r="I10642">
        <v>27.1</v>
      </c>
      <c r="J10642">
        <v>9.4</v>
      </c>
      <c r="K10642">
        <v>70</v>
      </c>
      <c r="L10642">
        <v>10.5</v>
      </c>
      <c r="M10642">
        <v>34.299999999999997</v>
      </c>
      <c r="N10642">
        <v>21</v>
      </c>
      <c r="O10642">
        <v>13.3</v>
      </c>
      <c r="P10642">
        <v>27.7</v>
      </c>
      <c r="Q10642">
        <v>26.9</v>
      </c>
      <c r="R10642">
        <v>28.6</v>
      </c>
      <c r="S10642">
        <v>25.8</v>
      </c>
      <c r="T10642">
        <v>1180</v>
      </c>
      <c r="U10642">
        <v>197</v>
      </c>
      <c r="V10642">
        <v>20</v>
      </c>
      <c r="W10642">
        <v>53</v>
      </c>
      <c r="X10642">
        <v>505</v>
      </c>
      <c r="Y10642">
        <v>109</v>
      </c>
      <c r="Z10642">
        <v>318</v>
      </c>
      <c r="AA10642">
        <v>278</v>
      </c>
      <c r="AB10642">
        <v>2.1441539999999999</v>
      </c>
      <c r="AC10642">
        <v>20.172000000000001</v>
      </c>
      <c r="AD10642">
        <v>0.7196726</v>
      </c>
      <c r="AE10642">
        <v>0.74324190000000001</v>
      </c>
      <c r="AF10642">
        <v>61.760910000000003</v>
      </c>
      <c r="AG10642">
        <f>IFERROR(AH10642*0.1, "N/A")</f>
        <v>5.9230370000000008</v>
      </c>
      <c r="AH10642">
        <v>59.230370000000001</v>
      </c>
      <c r="AI10642">
        <v>107.4755</v>
      </c>
      <c r="AJ10642">
        <v>14.888310000000001</v>
      </c>
      <c r="AK10642">
        <v>65.753929999999997</v>
      </c>
    </row>
    <row r="10643" spans="1:37" x14ac:dyDescent="0.3">
      <c r="A10643">
        <v>10642</v>
      </c>
      <c r="B10643">
        <v>35.200000000000003</v>
      </c>
      <c r="C10643">
        <v>-5.0690200000000001</v>
      </c>
      <c r="D10643">
        <v>6.2728299999999999</v>
      </c>
      <c r="E10643">
        <f>-5.06902-6.27283</f>
        <v>-11.341850000000001</v>
      </c>
      <c r="F10643" t="s">
        <v>16043</v>
      </c>
      <c r="G10643" t="s">
        <v>39</v>
      </c>
      <c r="H10643">
        <v>1998</v>
      </c>
      <c r="I10643">
        <v>26.6</v>
      </c>
      <c r="J10643">
        <v>9.4</v>
      </c>
      <c r="K10643">
        <v>71</v>
      </c>
      <c r="L10643">
        <v>10.1</v>
      </c>
      <c r="M10643">
        <v>33.700000000000003</v>
      </c>
      <c r="N10643">
        <v>20.5</v>
      </c>
      <c r="O10643">
        <v>13.2</v>
      </c>
      <c r="P10643">
        <v>27.1</v>
      </c>
      <c r="Q10643">
        <v>26.2</v>
      </c>
      <c r="R10643">
        <v>28</v>
      </c>
      <c r="S10643">
        <v>25.3</v>
      </c>
      <c r="T10643">
        <v>1200</v>
      </c>
      <c r="U10643">
        <v>196</v>
      </c>
      <c r="V10643">
        <v>22</v>
      </c>
      <c r="W10643">
        <v>53</v>
      </c>
      <c r="X10643">
        <v>515</v>
      </c>
      <c r="Y10643">
        <v>111</v>
      </c>
      <c r="Z10643">
        <v>330</v>
      </c>
      <c r="AA10643">
        <v>278</v>
      </c>
      <c r="AB10643">
        <v>16.851659999999999</v>
      </c>
      <c r="AC10643">
        <v>3.5340290000000003E-2</v>
      </c>
      <c r="AD10643">
        <v>2.3682249999999998</v>
      </c>
      <c r="AE10643">
        <v>0.78126870000000004</v>
      </c>
      <c r="AF10643">
        <v>142.93369999999999</v>
      </c>
      <c r="AG10643">
        <f>IFERROR(AH10643*0.1, "N/A")</f>
        <v>5.7326350000000001</v>
      </c>
      <c r="AH10643">
        <v>57.326349999999998</v>
      </c>
      <c r="AI10643">
        <v>184.77250000000001</v>
      </c>
      <c r="AJ10643">
        <v>17.319369999999999</v>
      </c>
      <c r="AK10643">
        <v>63.663179999999997</v>
      </c>
    </row>
    <row r="10644" spans="1:37" x14ac:dyDescent="0.3">
      <c r="A10644">
        <v>10643</v>
      </c>
      <c r="B10644">
        <v>3</v>
      </c>
      <c r="C10644">
        <v>-5.1372200000000001</v>
      </c>
      <c r="D10644">
        <v>6.2852800000000002</v>
      </c>
      <c r="E10644">
        <f>-5.13722-6.28528</f>
        <v>-11.422499999999999</v>
      </c>
      <c r="F10644" t="s">
        <v>16044</v>
      </c>
      <c r="G10644" t="s">
        <v>37</v>
      </c>
      <c r="H10644">
        <v>1980</v>
      </c>
      <c r="I10644">
        <v>26.5</v>
      </c>
      <c r="J10644">
        <v>9.4</v>
      </c>
      <c r="K10644">
        <v>71</v>
      </c>
      <c r="L10644">
        <v>10.07</v>
      </c>
      <c r="M10644">
        <v>33.6</v>
      </c>
      <c r="N10644">
        <v>20.399999999999999</v>
      </c>
      <c r="O10644">
        <v>13.2</v>
      </c>
      <c r="P10644">
        <v>27.1</v>
      </c>
      <c r="Q10644">
        <v>26.2</v>
      </c>
      <c r="R10644">
        <v>27.9</v>
      </c>
      <c r="S10644">
        <v>25.3</v>
      </c>
      <c r="T10644">
        <v>1212</v>
      </c>
      <c r="U10644">
        <v>197</v>
      </c>
      <c r="V10644">
        <v>22</v>
      </c>
      <c r="W10644">
        <v>53</v>
      </c>
      <c r="X10644">
        <v>517</v>
      </c>
      <c r="Y10644">
        <v>110</v>
      </c>
      <c r="Z10644">
        <v>335</v>
      </c>
      <c r="AA10644">
        <v>281</v>
      </c>
      <c r="AB10644">
        <v>6.3137850000000002</v>
      </c>
      <c r="AC10644">
        <v>1.205666E-2</v>
      </c>
      <c r="AD10644">
        <v>2.3062960000000001</v>
      </c>
      <c r="AE10644">
        <v>0.69285319999999995</v>
      </c>
      <c r="AF10644">
        <v>139.70160000000001</v>
      </c>
      <c r="AG10644">
        <f>IFERROR(AH10644*0.1, "N/A")</f>
        <v>5.5432810000000003</v>
      </c>
      <c r="AH10644">
        <v>55.432810000000003</v>
      </c>
      <c r="AI10644">
        <v>224.9941</v>
      </c>
      <c r="AJ10644">
        <v>18.712039999999998</v>
      </c>
      <c r="AK10644">
        <v>59.317630000000001</v>
      </c>
    </row>
    <row r="10645" spans="1:37" x14ac:dyDescent="0.3">
      <c r="A10645">
        <v>10644</v>
      </c>
      <c r="B10645">
        <v>0</v>
      </c>
      <c r="C10645">
        <v>-5.1372200000000001</v>
      </c>
      <c r="D10645">
        <v>6.2852800000000002</v>
      </c>
      <c r="E10645">
        <f>-5.13722-6.28528</f>
        <v>-11.422499999999999</v>
      </c>
      <c r="F10645" t="s">
        <v>16045</v>
      </c>
      <c r="G10645" t="s">
        <v>39</v>
      </c>
      <c r="H10645">
        <v>1980</v>
      </c>
      <c r="I10645">
        <v>26.5</v>
      </c>
      <c r="J10645">
        <v>9.4</v>
      </c>
      <c r="K10645">
        <v>71</v>
      </c>
      <c r="L10645">
        <v>10.07</v>
      </c>
      <c r="M10645">
        <v>33.6</v>
      </c>
      <c r="N10645">
        <v>20.399999999999999</v>
      </c>
      <c r="O10645">
        <v>13.2</v>
      </c>
      <c r="P10645">
        <v>27.1</v>
      </c>
      <c r="Q10645">
        <v>26.2</v>
      </c>
      <c r="R10645">
        <v>27.9</v>
      </c>
      <c r="S10645">
        <v>25.3</v>
      </c>
      <c r="T10645">
        <v>1212</v>
      </c>
      <c r="U10645">
        <v>197</v>
      </c>
      <c r="V10645">
        <v>22</v>
      </c>
      <c r="W10645">
        <v>53</v>
      </c>
      <c r="X10645">
        <v>517</v>
      </c>
      <c r="Y10645">
        <v>110</v>
      </c>
      <c r="Z10645">
        <v>335</v>
      </c>
      <c r="AA10645">
        <v>281</v>
      </c>
      <c r="AB10645">
        <v>6.3137850000000002</v>
      </c>
      <c r="AC10645">
        <v>1.205666E-2</v>
      </c>
      <c r="AD10645">
        <v>2.3062960000000001</v>
      </c>
      <c r="AE10645">
        <v>0.69285319999999995</v>
      </c>
      <c r="AF10645">
        <v>139.70160000000001</v>
      </c>
      <c r="AG10645">
        <f>IFERROR(AH10645*0.1, "N/A")</f>
        <v>5.5432810000000003</v>
      </c>
      <c r="AH10645">
        <v>55.432810000000003</v>
      </c>
      <c r="AI10645">
        <v>224.9941</v>
      </c>
      <c r="AJ10645">
        <v>18.712039999999998</v>
      </c>
      <c r="AK10645">
        <v>59.317630000000001</v>
      </c>
    </row>
    <row r="10646" spans="1:37" x14ac:dyDescent="0.3">
      <c r="A10646">
        <v>10645</v>
      </c>
      <c r="B10646">
        <v>58.8</v>
      </c>
      <c r="C10646">
        <v>-5.1496000000000004</v>
      </c>
      <c r="D10646">
        <v>6.3098299999999998</v>
      </c>
      <c r="E10646">
        <f>-5.1496-6.30983</f>
        <v>-11.459430000000001</v>
      </c>
      <c r="F10646" t="s">
        <v>16046</v>
      </c>
      <c r="G10646" t="s">
        <v>39</v>
      </c>
      <c r="H10646">
        <v>1998</v>
      </c>
      <c r="I10646">
        <v>26.327179999999998</v>
      </c>
      <c r="J10646">
        <v>9.5</v>
      </c>
      <c r="K10646">
        <v>71</v>
      </c>
      <c r="L10646">
        <v>10.22185</v>
      </c>
      <c r="M10646">
        <v>33.527180000000001</v>
      </c>
      <c r="N10646">
        <v>20.313590000000001</v>
      </c>
      <c r="O10646">
        <v>13.21359</v>
      </c>
      <c r="P10646">
        <v>26.92718</v>
      </c>
      <c r="Q10646">
        <v>26.013590000000001</v>
      </c>
      <c r="R10646">
        <v>27.813590000000001</v>
      </c>
      <c r="S10646">
        <v>25.113589999999999</v>
      </c>
      <c r="T10646">
        <v>1208.7280000000001</v>
      </c>
      <c r="U10646">
        <v>196</v>
      </c>
      <c r="V10646">
        <v>22</v>
      </c>
      <c r="W10646">
        <v>53.864109999999997</v>
      </c>
      <c r="X10646">
        <v>514.86410000000001</v>
      </c>
      <c r="Y10646">
        <v>107</v>
      </c>
      <c r="Z10646">
        <v>334.86410000000001</v>
      </c>
      <c r="AA10646">
        <v>283</v>
      </c>
      <c r="AB10646">
        <v>23.101040000000001</v>
      </c>
      <c r="AC10646">
        <v>1.2390389999999999E-2</v>
      </c>
      <c r="AD10646">
        <v>2.388935</v>
      </c>
      <c r="AE10646">
        <v>0.73111720000000002</v>
      </c>
      <c r="AF10646">
        <v>161.67599999999999</v>
      </c>
      <c r="AG10646">
        <f>IFERROR(AH10646*0.1, "N/A")</f>
        <v>5.578049</v>
      </c>
      <c r="AH10646">
        <v>55.78049</v>
      </c>
      <c r="AI10646">
        <v>288.27210000000002</v>
      </c>
      <c r="AJ10646">
        <v>18.611499999999999</v>
      </c>
      <c r="AK10646">
        <v>60.385019999999997</v>
      </c>
    </row>
    <row r="10647" spans="1:37" x14ac:dyDescent="0.3">
      <c r="A10647">
        <v>10646</v>
      </c>
      <c r="B10647">
        <v>3.7</v>
      </c>
      <c r="C10647">
        <v>-5.12575</v>
      </c>
      <c r="D10647">
        <v>6.3198499999999997</v>
      </c>
      <c r="E10647">
        <f>-5.12575-6.31985</f>
        <v>-11.445599999999999</v>
      </c>
      <c r="F10647" t="s">
        <v>16047</v>
      </c>
      <c r="G10647" t="s">
        <v>39</v>
      </c>
      <c r="H10647">
        <v>1998</v>
      </c>
      <c r="I10647">
        <v>26.5</v>
      </c>
      <c r="J10647">
        <v>9.5</v>
      </c>
      <c r="K10647">
        <v>70</v>
      </c>
      <c r="L10647">
        <v>10.119999999999999</v>
      </c>
      <c r="M10647">
        <v>33.799999999999997</v>
      </c>
      <c r="N10647">
        <v>20.399999999999999</v>
      </c>
      <c r="O10647">
        <v>13.4</v>
      </c>
      <c r="P10647">
        <v>27.1</v>
      </c>
      <c r="Q10647">
        <v>26.2</v>
      </c>
      <c r="R10647">
        <v>28</v>
      </c>
      <c r="S10647">
        <v>25.3</v>
      </c>
      <c r="T10647">
        <v>1197</v>
      </c>
      <c r="U10647">
        <v>195</v>
      </c>
      <c r="V10647">
        <v>21</v>
      </c>
      <c r="W10647">
        <v>54</v>
      </c>
      <c r="X10647">
        <v>510</v>
      </c>
      <c r="Y10647">
        <v>106</v>
      </c>
      <c r="Z10647">
        <v>330</v>
      </c>
      <c r="AA10647">
        <v>282</v>
      </c>
      <c r="AB10647">
        <v>6.5308869999999999</v>
      </c>
      <c r="AC10647">
        <v>1.948511E-2</v>
      </c>
      <c r="AD10647">
        <v>2.9113699999999998</v>
      </c>
      <c r="AE10647">
        <v>0.68553940000000002</v>
      </c>
      <c r="AF10647">
        <v>144.12219999999999</v>
      </c>
      <c r="AG10647">
        <f>IFERROR(AH10647*0.1, "N/A")</f>
        <v>5.7</v>
      </c>
      <c r="AH10647">
        <v>57</v>
      </c>
      <c r="AI10647">
        <v>212.7628</v>
      </c>
      <c r="AJ10647">
        <v>16</v>
      </c>
      <c r="AK10647">
        <v>65</v>
      </c>
    </row>
    <row r="10648" spans="1:37" x14ac:dyDescent="0.3">
      <c r="A10648">
        <v>10647</v>
      </c>
      <c r="B10648">
        <v>3.3</v>
      </c>
      <c r="C10648">
        <v>-4.85947</v>
      </c>
      <c r="D10648">
        <v>6.3349299999999999</v>
      </c>
      <c r="E10648">
        <f>-4.85947-6.33493</f>
        <v>-11.1944</v>
      </c>
      <c r="F10648" t="s">
        <v>16048</v>
      </c>
      <c r="G10648" t="s">
        <v>39</v>
      </c>
      <c r="H10648">
        <v>1998</v>
      </c>
      <c r="I10648">
        <v>27</v>
      </c>
      <c r="J10648">
        <v>9.6</v>
      </c>
      <c r="K10648">
        <v>71</v>
      </c>
      <c r="L10648">
        <v>10.59</v>
      </c>
      <c r="M10648">
        <v>34.299999999999997</v>
      </c>
      <c r="N10648">
        <v>20.8</v>
      </c>
      <c r="O10648">
        <v>13.5</v>
      </c>
      <c r="P10648">
        <v>27.5</v>
      </c>
      <c r="Q10648">
        <v>26.7</v>
      </c>
      <c r="R10648">
        <v>28.4</v>
      </c>
      <c r="S10648">
        <v>25.6</v>
      </c>
      <c r="T10648">
        <v>1159</v>
      </c>
      <c r="U10648">
        <v>194</v>
      </c>
      <c r="V10648">
        <v>17</v>
      </c>
      <c r="W10648">
        <v>54</v>
      </c>
      <c r="X10648">
        <v>490</v>
      </c>
      <c r="Y10648">
        <v>98</v>
      </c>
      <c r="Z10648">
        <v>309</v>
      </c>
      <c r="AA10648">
        <v>286</v>
      </c>
      <c r="AB10648">
        <v>9.4650920000000003</v>
      </c>
      <c r="AC10648">
        <v>3.8123879999999999E-2</v>
      </c>
      <c r="AD10648">
        <v>2.3431989999999998</v>
      </c>
      <c r="AE10648">
        <v>0.72288790000000003</v>
      </c>
      <c r="AF10648">
        <v>93.801050000000004</v>
      </c>
      <c r="AG10648">
        <f>IFERROR(AH10648*0.1, "N/A")</f>
        <v>5.4476440000000004</v>
      </c>
      <c r="AH10648">
        <v>54.476439999999997</v>
      </c>
      <c r="AI10648">
        <v>217.6602</v>
      </c>
      <c r="AJ10648">
        <v>25.52356</v>
      </c>
      <c r="AK10648">
        <v>57.95288</v>
      </c>
    </row>
    <row r="10649" spans="1:37" x14ac:dyDescent="0.3">
      <c r="A10649">
        <v>10648</v>
      </c>
      <c r="B10649">
        <v>95.1</v>
      </c>
      <c r="C10649">
        <v>-5.2</v>
      </c>
      <c r="D10649">
        <v>6.3666700000000001</v>
      </c>
      <c r="E10649">
        <f>-5.2-6.36667</f>
        <v>-11.56667</v>
      </c>
      <c r="F10649" t="s">
        <v>16049</v>
      </c>
      <c r="G10649" t="s">
        <v>39</v>
      </c>
      <c r="H10649">
        <v>1997</v>
      </c>
      <c r="I10649">
        <v>26.5</v>
      </c>
      <c r="J10649">
        <v>9.6</v>
      </c>
      <c r="K10649">
        <v>71.027869999999993</v>
      </c>
      <c r="L10649">
        <v>10.30132</v>
      </c>
      <c r="M10649">
        <v>33.737279999999998</v>
      </c>
      <c r="N10649">
        <v>20.280139999999999</v>
      </c>
      <c r="O10649">
        <v>13.457140000000001</v>
      </c>
      <c r="P10649">
        <v>27.137280000000001</v>
      </c>
      <c r="Q10649">
        <v>26.119509999999998</v>
      </c>
      <c r="R10649">
        <v>27.940069999999999</v>
      </c>
      <c r="S10649">
        <v>25.262720000000002</v>
      </c>
      <c r="T10649">
        <v>1197.08</v>
      </c>
      <c r="U10649">
        <v>194.02789999999999</v>
      </c>
      <c r="V10649">
        <v>21</v>
      </c>
      <c r="W10649">
        <v>54</v>
      </c>
      <c r="X10649">
        <v>509.0557</v>
      </c>
      <c r="Y10649">
        <v>101.4007</v>
      </c>
      <c r="Z10649">
        <v>330.0557</v>
      </c>
      <c r="AA10649">
        <v>286.16719999999998</v>
      </c>
      <c r="AB10649">
        <v>1.6088880000000001</v>
      </c>
      <c r="AC10649">
        <v>2.3149869999999999E-2</v>
      </c>
      <c r="AD10649">
        <v>1.4722249999999999</v>
      </c>
      <c r="AE10649">
        <v>0.74781549999999997</v>
      </c>
      <c r="AF10649">
        <v>128.1063</v>
      </c>
      <c r="AG10649">
        <f>IFERROR(AH10649*0.1, "N/A")</f>
        <v>5.1585369999999999</v>
      </c>
      <c r="AH10649">
        <v>51.585369999999998</v>
      </c>
      <c r="AI10649">
        <v>209.81659999999999</v>
      </c>
      <c r="AJ10649">
        <v>22.170729999999999</v>
      </c>
      <c r="AK10649">
        <v>57.439019999999999</v>
      </c>
    </row>
    <row r="10650" spans="1:37" x14ac:dyDescent="0.3">
      <c r="A10650">
        <v>10649</v>
      </c>
      <c r="B10650">
        <v>5.6</v>
      </c>
      <c r="C10650">
        <v>-5.2</v>
      </c>
      <c r="D10650">
        <v>6.3666700000000001</v>
      </c>
      <c r="E10650">
        <f>-5.2-6.36667</f>
        <v>-11.56667</v>
      </c>
      <c r="F10650" t="s">
        <v>16050</v>
      </c>
      <c r="G10650" t="s">
        <v>37</v>
      </c>
      <c r="H10650">
        <v>1997</v>
      </c>
      <c r="I10650">
        <v>26.5</v>
      </c>
      <c r="J10650">
        <v>9.6</v>
      </c>
      <c r="K10650">
        <v>71.027869999999993</v>
      </c>
      <c r="L10650">
        <v>10.30132</v>
      </c>
      <c r="M10650">
        <v>33.737279999999998</v>
      </c>
      <c r="N10650">
        <v>20.280139999999999</v>
      </c>
      <c r="O10650">
        <v>13.457140000000001</v>
      </c>
      <c r="P10650">
        <v>27.137280000000001</v>
      </c>
      <c r="Q10650">
        <v>26.119509999999998</v>
      </c>
      <c r="R10650">
        <v>27.940069999999999</v>
      </c>
      <c r="S10650">
        <v>25.262720000000002</v>
      </c>
      <c r="T10650">
        <v>1197.08</v>
      </c>
      <c r="U10650">
        <v>194.02789999999999</v>
      </c>
      <c r="V10650">
        <v>21</v>
      </c>
      <c r="W10650">
        <v>54</v>
      </c>
      <c r="X10650">
        <v>509.0557</v>
      </c>
      <c r="Y10650">
        <v>101.4007</v>
      </c>
      <c r="Z10650">
        <v>330.0557</v>
      </c>
      <c r="AA10650">
        <v>286.16719999999998</v>
      </c>
      <c r="AB10650">
        <v>1.6088880000000001</v>
      </c>
      <c r="AC10650">
        <v>2.3149869999999999E-2</v>
      </c>
      <c r="AD10650">
        <v>1.4722249999999999</v>
      </c>
      <c r="AE10650">
        <v>0.74781549999999997</v>
      </c>
      <c r="AF10650">
        <v>128.1063</v>
      </c>
      <c r="AG10650">
        <f>IFERROR(AH10650*0.1, "N/A")</f>
        <v>5.1585369999999999</v>
      </c>
      <c r="AH10650">
        <v>51.585369999999998</v>
      </c>
      <c r="AI10650">
        <v>209.81659999999999</v>
      </c>
      <c r="AJ10650">
        <v>22.170729999999999</v>
      </c>
      <c r="AK10650">
        <v>57.439019999999999</v>
      </c>
    </row>
    <row r="10651" spans="1:37" x14ac:dyDescent="0.3">
      <c r="A10651">
        <v>10650</v>
      </c>
      <c r="B10651">
        <v>53.4</v>
      </c>
      <c r="C10651">
        <v>-5.1996700000000002</v>
      </c>
      <c r="D10651">
        <v>6.3727299999999998</v>
      </c>
      <c r="E10651">
        <f>-5.19967-6.37273</f>
        <v>-11.5724</v>
      </c>
      <c r="F10651" t="s">
        <v>16051</v>
      </c>
      <c r="G10651" t="s">
        <v>39</v>
      </c>
      <c r="H10651">
        <v>1998</v>
      </c>
      <c r="I10651">
        <v>26.5</v>
      </c>
      <c r="J10651">
        <v>9.6</v>
      </c>
      <c r="K10651">
        <v>71</v>
      </c>
      <c r="L10651">
        <v>10.11599</v>
      </c>
      <c r="M10651">
        <v>33.702959999999997</v>
      </c>
      <c r="N10651">
        <v>20.205919999999999</v>
      </c>
      <c r="O10651">
        <v>13.49704</v>
      </c>
      <c r="P10651">
        <v>27.102959999999999</v>
      </c>
      <c r="Q10651">
        <v>26.102959999999999</v>
      </c>
      <c r="R10651">
        <v>27.90296</v>
      </c>
      <c r="S10651">
        <v>25.297039999999999</v>
      </c>
      <c r="T10651">
        <v>1196.0889999999999</v>
      </c>
      <c r="U10651">
        <v>194</v>
      </c>
      <c r="V10651">
        <v>21</v>
      </c>
      <c r="W10651">
        <v>54</v>
      </c>
      <c r="X10651">
        <v>509</v>
      </c>
      <c r="Y10651">
        <v>101.0296</v>
      </c>
      <c r="Z10651">
        <v>330</v>
      </c>
      <c r="AA10651">
        <v>286.02960000000002</v>
      </c>
      <c r="AB10651">
        <v>12.058540000000001</v>
      </c>
      <c r="AC10651">
        <v>6.1899910000000002E-2</v>
      </c>
      <c r="AD10651">
        <v>1.884414</v>
      </c>
      <c r="AE10651">
        <v>0.81847170000000002</v>
      </c>
      <c r="AF10651">
        <v>142.8415</v>
      </c>
      <c r="AG10651">
        <f>IFERROR(AH10651*0.1, "N/A")</f>
        <v>5.4088850000000006</v>
      </c>
      <c r="AH10651">
        <v>54.088850000000001</v>
      </c>
      <c r="AI10651">
        <v>213.4888</v>
      </c>
      <c r="AJ10651">
        <v>19.029620000000001</v>
      </c>
      <c r="AK10651">
        <v>57.970379999999999</v>
      </c>
    </row>
    <row r="10652" spans="1:37" x14ac:dyDescent="0.3">
      <c r="A10652">
        <v>10651</v>
      </c>
      <c r="B10652">
        <v>62.8</v>
      </c>
      <c r="C10652">
        <v>-5.2166699999999997</v>
      </c>
      <c r="D10652">
        <v>6.3833299999999999</v>
      </c>
      <c r="E10652">
        <f>-5.21667-6.38333</f>
        <v>-11.6</v>
      </c>
      <c r="F10652" t="s">
        <v>16052</v>
      </c>
      <c r="G10652" t="s">
        <v>39</v>
      </c>
      <c r="H10652">
        <v>1997</v>
      </c>
      <c r="I10652">
        <v>26.5</v>
      </c>
      <c r="J10652">
        <v>9.6</v>
      </c>
      <c r="K10652">
        <v>71</v>
      </c>
      <c r="L10652">
        <v>10.516769999999999</v>
      </c>
      <c r="M10652">
        <v>33.799999999999997</v>
      </c>
      <c r="N10652">
        <v>20.373080000000002</v>
      </c>
      <c r="O10652">
        <v>13.426920000000001</v>
      </c>
      <c r="P10652">
        <v>27.15699</v>
      </c>
      <c r="Q10652">
        <v>26.173079999999999</v>
      </c>
      <c r="R10652">
        <v>28</v>
      </c>
      <c r="S10652">
        <v>25.3</v>
      </c>
      <c r="T10652">
        <v>1198.009</v>
      </c>
      <c r="U10652">
        <v>193.83920000000001</v>
      </c>
      <c r="V10652">
        <v>20.83916</v>
      </c>
      <c r="W10652">
        <v>54</v>
      </c>
      <c r="X10652">
        <v>508.55590000000001</v>
      </c>
      <c r="Y10652">
        <v>100.19759999999999</v>
      </c>
      <c r="Z10652">
        <v>330.34440000000001</v>
      </c>
      <c r="AA10652">
        <v>287.43009999999998</v>
      </c>
      <c r="AB10652">
        <v>1.343008</v>
      </c>
      <c r="AC10652">
        <v>103.38209999999999</v>
      </c>
      <c r="AD10652">
        <v>1.719571</v>
      </c>
      <c r="AE10652">
        <v>0.68301259999999997</v>
      </c>
      <c r="AF10652">
        <v>128.0804</v>
      </c>
      <c r="AG10652">
        <f>IFERROR(AH10652*0.1, "N/A")</f>
        <v>5.250788</v>
      </c>
      <c r="AH10652">
        <v>52.50788</v>
      </c>
      <c r="AI10652">
        <v>208.35409999999999</v>
      </c>
      <c r="AJ10652">
        <v>22.62697</v>
      </c>
      <c r="AK10652">
        <v>54.62697</v>
      </c>
    </row>
    <row r="10653" spans="1:37" x14ac:dyDescent="0.3">
      <c r="A10653">
        <v>10652</v>
      </c>
      <c r="B10653">
        <v>2.2999999999999998</v>
      </c>
      <c r="C10653">
        <v>-5.2166699999999997</v>
      </c>
      <c r="D10653">
        <v>6.3833299999999999</v>
      </c>
      <c r="E10653">
        <f>-5.21667-6.38333</f>
        <v>-11.6</v>
      </c>
      <c r="F10653" t="s">
        <v>16053</v>
      </c>
      <c r="G10653" t="s">
        <v>37</v>
      </c>
      <c r="H10653">
        <v>1997</v>
      </c>
      <c r="I10653">
        <v>26.5</v>
      </c>
      <c r="J10653">
        <v>9.6</v>
      </c>
      <c r="K10653">
        <v>71</v>
      </c>
      <c r="L10653">
        <v>10.516769999999999</v>
      </c>
      <c r="M10653">
        <v>33.799999999999997</v>
      </c>
      <c r="N10653">
        <v>20.373080000000002</v>
      </c>
      <c r="O10653">
        <v>13.426920000000001</v>
      </c>
      <c r="P10653">
        <v>27.15699</v>
      </c>
      <c r="Q10653">
        <v>26.173079999999999</v>
      </c>
      <c r="R10653">
        <v>28</v>
      </c>
      <c r="S10653">
        <v>25.3</v>
      </c>
      <c r="T10653">
        <v>1198.009</v>
      </c>
      <c r="U10653">
        <v>193.83920000000001</v>
      </c>
      <c r="V10653">
        <v>20.83916</v>
      </c>
      <c r="W10653">
        <v>54</v>
      </c>
      <c r="X10653">
        <v>508.55590000000001</v>
      </c>
      <c r="Y10653">
        <v>100.19759999999999</v>
      </c>
      <c r="Z10653">
        <v>330.34440000000001</v>
      </c>
      <c r="AA10653">
        <v>287.43009999999998</v>
      </c>
      <c r="AB10653">
        <v>1.343008</v>
      </c>
      <c r="AC10653">
        <v>103.38209999999999</v>
      </c>
      <c r="AD10653">
        <v>1.719571</v>
      </c>
      <c r="AE10653">
        <v>0.68301259999999997</v>
      </c>
      <c r="AF10653">
        <v>128.0804</v>
      </c>
      <c r="AG10653">
        <f>IFERROR(AH10653*0.1, "N/A")</f>
        <v>5.250788</v>
      </c>
      <c r="AH10653">
        <v>52.50788</v>
      </c>
      <c r="AI10653">
        <v>208.35409999999999</v>
      </c>
      <c r="AJ10653">
        <v>22.62697</v>
      </c>
      <c r="AK10653">
        <v>54.62697</v>
      </c>
    </row>
    <row r="10654" spans="1:37" x14ac:dyDescent="0.3">
      <c r="A10654">
        <v>10653</v>
      </c>
      <c r="B10654">
        <v>42.3</v>
      </c>
      <c r="C10654">
        <v>-5.2246300000000003</v>
      </c>
      <c r="D10654">
        <v>6.3858699999999997</v>
      </c>
      <c r="E10654">
        <f>-5.22463-6.38587</f>
        <v>-11.6105</v>
      </c>
      <c r="F10654" t="s">
        <v>16054</v>
      </c>
      <c r="G10654" t="s">
        <v>39</v>
      </c>
      <c r="H10654">
        <v>1998</v>
      </c>
      <c r="I10654">
        <v>26.5</v>
      </c>
      <c r="J10654">
        <v>9.6</v>
      </c>
      <c r="K10654">
        <v>71</v>
      </c>
      <c r="L10654">
        <v>10.51183</v>
      </c>
      <c r="M10654">
        <v>33.799999999999997</v>
      </c>
      <c r="N10654">
        <v>20.3</v>
      </c>
      <c r="O10654">
        <v>13.5</v>
      </c>
      <c r="P10654">
        <v>27.1</v>
      </c>
      <c r="Q10654">
        <v>26.1</v>
      </c>
      <c r="R10654">
        <v>28</v>
      </c>
      <c r="S10654">
        <v>25.3</v>
      </c>
      <c r="T10654">
        <v>1200.0730000000001</v>
      </c>
      <c r="U10654">
        <v>194</v>
      </c>
      <c r="V10654">
        <v>21</v>
      </c>
      <c r="W10654">
        <v>54</v>
      </c>
      <c r="X10654">
        <v>509.03649999999999</v>
      </c>
      <c r="Y10654">
        <v>100.5183</v>
      </c>
      <c r="Z10654">
        <v>331.03649999999999</v>
      </c>
      <c r="AA10654">
        <v>288</v>
      </c>
      <c r="AB10654">
        <v>17.28922</v>
      </c>
      <c r="AC10654">
        <v>9.9290839999999995E-3</v>
      </c>
      <c r="AD10654">
        <v>2.1888619999999999</v>
      </c>
      <c r="AE10654">
        <v>0.69413570000000002</v>
      </c>
      <c r="AF10654">
        <v>141.53569999999999</v>
      </c>
      <c r="AG10654">
        <f>IFERROR(AH10654*0.1, "N/A")</f>
        <v>5.6518259999999998</v>
      </c>
      <c r="AH10654">
        <v>56.518259999999998</v>
      </c>
      <c r="AI10654">
        <v>194.90440000000001</v>
      </c>
      <c r="AJ10654">
        <v>19.445219999999999</v>
      </c>
      <c r="AK10654">
        <v>59</v>
      </c>
    </row>
    <row r="10655" spans="1:37" x14ac:dyDescent="0.3">
      <c r="A10655">
        <v>10654</v>
      </c>
      <c r="B10655">
        <v>2.4</v>
      </c>
      <c r="C10655">
        <v>-4.8911699999999998</v>
      </c>
      <c r="D10655">
        <v>6.3963799999999997</v>
      </c>
      <c r="E10655">
        <f>-4.89117-6.39638</f>
        <v>-11.28755</v>
      </c>
      <c r="F10655" t="s">
        <v>16055</v>
      </c>
      <c r="G10655" t="s">
        <v>39</v>
      </c>
      <c r="H10655">
        <v>1998</v>
      </c>
      <c r="I10655">
        <v>26.470510000000001</v>
      </c>
      <c r="J10655">
        <v>9.6999999999999993</v>
      </c>
      <c r="K10655">
        <v>70</v>
      </c>
      <c r="L10655">
        <v>10.46698</v>
      </c>
      <c r="M10655">
        <v>33.970509999999997</v>
      </c>
      <c r="N10655">
        <v>20.235250000000001</v>
      </c>
      <c r="O10655">
        <v>13.735250000000001</v>
      </c>
      <c r="P10655">
        <v>27.035250000000001</v>
      </c>
      <c r="Q10655">
        <v>26.2</v>
      </c>
      <c r="R10655">
        <v>27.93525</v>
      </c>
      <c r="S10655">
        <v>25.135249999999999</v>
      </c>
      <c r="T10655">
        <v>1154.5899999999999</v>
      </c>
      <c r="U10655">
        <v>191</v>
      </c>
      <c r="V10655">
        <v>16</v>
      </c>
      <c r="W10655">
        <v>54</v>
      </c>
      <c r="X10655">
        <v>484</v>
      </c>
      <c r="Y10655">
        <v>94</v>
      </c>
      <c r="Z10655">
        <v>308.64749999999998</v>
      </c>
      <c r="AA10655">
        <v>291.29489999999998</v>
      </c>
      <c r="AB10655">
        <v>11.01186</v>
      </c>
      <c r="AC10655">
        <v>1.625008E-2</v>
      </c>
      <c r="AD10655">
        <v>3.5285199999999999</v>
      </c>
      <c r="AE10655">
        <v>0.64426819999999996</v>
      </c>
      <c r="AF10655">
        <v>168.76439999999999</v>
      </c>
      <c r="AG10655">
        <f>IFERROR(AH10655*0.1, "N/A")</f>
        <v>5.4602089999999999</v>
      </c>
      <c r="AH10655">
        <v>54.602089999999997</v>
      </c>
      <c r="AI10655">
        <v>299.28919999999999</v>
      </c>
      <c r="AJ10655">
        <v>21.219899999999999</v>
      </c>
      <c r="AK10655">
        <v>59.797559999999997</v>
      </c>
    </row>
    <row r="10656" spans="1:37" x14ac:dyDescent="0.3">
      <c r="A10656">
        <v>10655</v>
      </c>
      <c r="B10656">
        <v>2.1</v>
      </c>
      <c r="C10656">
        <v>-4.82273</v>
      </c>
      <c r="D10656">
        <v>6.4013299999999997</v>
      </c>
      <c r="E10656">
        <f>-4.82273-6.40133</f>
        <v>-11.22406</v>
      </c>
      <c r="F10656" t="s">
        <v>16056</v>
      </c>
      <c r="G10656" t="s">
        <v>39</v>
      </c>
      <c r="H10656">
        <v>1998</v>
      </c>
      <c r="I10656">
        <v>26.9</v>
      </c>
      <c r="J10656">
        <v>9.8000000000000007</v>
      </c>
      <c r="K10656">
        <v>71</v>
      </c>
      <c r="L10656">
        <v>10.29</v>
      </c>
      <c r="M10656">
        <v>34.4</v>
      </c>
      <c r="N10656">
        <v>20.6</v>
      </c>
      <c r="O10656">
        <v>13.8</v>
      </c>
      <c r="P10656">
        <v>27.5</v>
      </c>
      <c r="Q10656">
        <v>26.7</v>
      </c>
      <c r="R10656">
        <v>28.4</v>
      </c>
      <c r="S10656">
        <v>25.6</v>
      </c>
      <c r="T10656">
        <v>1146</v>
      </c>
      <c r="U10656">
        <v>192</v>
      </c>
      <c r="V10656">
        <v>15</v>
      </c>
      <c r="W10656">
        <v>54</v>
      </c>
      <c r="X10656">
        <v>480</v>
      </c>
      <c r="Y10656">
        <v>92</v>
      </c>
      <c r="Z10656">
        <v>302</v>
      </c>
      <c r="AA10656">
        <v>291</v>
      </c>
      <c r="AB10656">
        <v>12.101570000000001</v>
      </c>
      <c r="AC10656">
        <v>1.7273460000000001E-2</v>
      </c>
      <c r="AD10656">
        <v>2.0494020000000002</v>
      </c>
      <c r="AE10656">
        <v>0.75986200000000004</v>
      </c>
      <c r="AF10656">
        <v>109.5752</v>
      </c>
      <c r="AG10656">
        <f>IFERROR(AH10656*0.1, "N/A")</f>
        <v>5.5870630000000006</v>
      </c>
      <c r="AH10656">
        <v>55.870629999999998</v>
      </c>
      <c r="AI10656">
        <v>281.512</v>
      </c>
      <c r="AJ10656">
        <v>15.989509999999999</v>
      </c>
      <c r="AK10656">
        <v>63.465029999999999</v>
      </c>
    </row>
    <row r="10657" spans="1:37" x14ac:dyDescent="0.3">
      <c r="A10657">
        <v>10656</v>
      </c>
      <c r="B10657">
        <v>8.6</v>
      </c>
      <c r="C10657">
        <v>-5.1146799999999999</v>
      </c>
      <c r="D10657">
        <v>6.4676</v>
      </c>
      <c r="E10657">
        <f>-5.11468-6.4676</f>
        <v>-11.582280000000001</v>
      </c>
      <c r="F10657" t="s">
        <v>16057</v>
      </c>
      <c r="G10657" t="s">
        <v>39</v>
      </c>
      <c r="H10657">
        <v>1998</v>
      </c>
      <c r="I10657">
        <v>26.304179999999999</v>
      </c>
      <c r="J10657">
        <v>9.8000000000000007</v>
      </c>
      <c r="K10657">
        <v>70</v>
      </c>
      <c r="L10657">
        <v>10.74122</v>
      </c>
      <c r="M10657">
        <v>33.804180000000002</v>
      </c>
      <c r="N10657">
        <v>19.90418</v>
      </c>
      <c r="O10657">
        <v>13.9</v>
      </c>
      <c r="P10657">
        <v>27</v>
      </c>
      <c r="Q10657">
        <v>25.80836</v>
      </c>
      <c r="R10657">
        <v>27.9</v>
      </c>
      <c r="S10657">
        <v>25.104179999999999</v>
      </c>
      <c r="T10657">
        <v>1138.0419999999999</v>
      </c>
      <c r="U10657">
        <v>187</v>
      </c>
      <c r="V10657">
        <v>16</v>
      </c>
      <c r="W10657">
        <v>55</v>
      </c>
      <c r="X10657">
        <v>478.04180000000002</v>
      </c>
      <c r="Y10657">
        <v>87</v>
      </c>
      <c r="Z10657">
        <v>303.08359999999999</v>
      </c>
      <c r="AA10657">
        <v>294.95819999999998</v>
      </c>
      <c r="AB10657">
        <v>12.102790000000001</v>
      </c>
      <c r="AC10657">
        <v>2.5912669999999999E-2</v>
      </c>
      <c r="AD10657">
        <v>2.5367570000000002</v>
      </c>
      <c r="AE10657">
        <v>0.7812462</v>
      </c>
      <c r="AF10657">
        <v>168.22300000000001</v>
      </c>
      <c r="AG10657">
        <f>IFERROR(AH10657*0.1, "N/A")</f>
        <v>5.7609760000000003</v>
      </c>
      <c r="AH10657">
        <v>57.609760000000001</v>
      </c>
      <c r="AI10657">
        <v>163.584</v>
      </c>
      <c r="AJ10657">
        <v>16.53659</v>
      </c>
      <c r="AK10657">
        <v>65.818820000000002</v>
      </c>
    </row>
    <row r="10658" spans="1:37" x14ac:dyDescent="0.3">
      <c r="A10658">
        <v>10657</v>
      </c>
      <c r="B10658">
        <v>2.2999999999999998</v>
      </c>
      <c r="C10658">
        <v>-5.1149199999999997</v>
      </c>
      <c r="D10658">
        <v>6.5075799999999999</v>
      </c>
      <c r="E10658">
        <f>-5.11492-6.50758</f>
        <v>-11.622499999999999</v>
      </c>
      <c r="F10658" t="s">
        <v>16058</v>
      </c>
      <c r="G10658" t="s">
        <v>39</v>
      </c>
      <c r="H10658">
        <v>1998</v>
      </c>
      <c r="I10658">
        <v>26.304179999999999</v>
      </c>
      <c r="J10658">
        <v>9.9</v>
      </c>
      <c r="K10658">
        <v>70</v>
      </c>
      <c r="L10658">
        <v>10.47003</v>
      </c>
      <c r="M10658">
        <v>33.904179999999997</v>
      </c>
      <c r="N10658">
        <v>19.899999999999999</v>
      </c>
      <c r="O10658">
        <v>14.00418</v>
      </c>
      <c r="P10658">
        <v>26.9</v>
      </c>
      <c r="Q10658">
        <v>25.9</v>
      </c>
      <c r="R10658">
        <v>27.9</v>
      </c>
      <c r="S10658">
        <v>25.1</v>
      </c>
      <c r="T10658">
        <v>1122.7909999999999</v>
      </c>
      <c r="U10658">
        <v>184.95820000000001</v>
      </c>
      <c r="V10658">
        <v>14</v>
      </c>
      <c r="W10658">
        <v>56</v>
      </c>
      <c r="X10658">
        <v>469.87459999999999</v>
      </c>
      <c r="Y10658">
        <v>81.958190000000002</v>
      </c>
      <c r="Z10658">
        <v>296.91640000000001</v>
      </c>
      <c r="AA10658">
        <v>298.04180000000002</v>
      </c>
      <c r="AB10658">
        <v>4.9921519999999999</v>
      </c>
      <c r="AC10658">
        <v>3.8829179999999998E-2</v>
      </c>
      <c r="AD10658">
        <v>1.5300670000000001</v>
      </c>
      <c r="AE10658">
        <v>0.71770630000000002</v>
      </c>
      <c r="AF10658">
        <v>170.80840000000001</v>
      </c>
      <c r="AG10658">
        <f>IFERROR(AH10658*0.1, "N/A")</f>
        <v>5.8275260000000006</v>
      </c>
      <c r="AH10658">
        <v>58.275260000000003</v>
      </c>
      <c r="AI10658">
        <v>139.92939999999999</v>
      </c>
      <c r="AJ10658">
        <v>15</v>
      </c>
      <c r="AK10658">
        <v>66.414630000000002</v>
      </c>
    </row>
    <row r="10659" spans="1:37" x14ac:dyDescent="0.3">
      <c r="A10659">
        <v>10658</v>
      </c>
      <c r="B10659">
        <v>3.4</v>
      </c>
      <c r="C10659">
        <v>-5.1401500000000002</v>
      </c>
      <c r="D10659">
        <v>6.5362299999999998</v>
      </c>
      <c r="E10659">
        <f>-5.14015-6.53623</f>
        <v>-11.67638</v>
      </c>
      <c r="F10659" t="s">
        <v>16059</v>
      </c>
      <c r="G10659" t="s">
        <v>39</v>
      </c>
      <c r="H10659">
        <v>1998</v>
      </c>
      <c r="I10659">
        <v>25.9</v>
      </c>
      <c r="J10659">
        <v>9.9</v>
      </c>
      <c r="K10659">
        <v>70</v>
      </c>
      <c r="L10659">
        <v>10.87</v>
      </c>
      <c r="M10659">
        <v>33.6</v>
      </c>
      <c r="N10659">
        <v>19.5</v>
      </c>
      <c r="O10659">
        <v>14.1</v>
      </c>
      <c r="P10659">
        <v>26.5</v>
      </c>
      <c r="Q10659">
        <v>25.4</v>
      </c>
      <c r="R10659">
        <v>27.5</v>
      </c>
      <c r="S10659">
        <v>24.7</v>
      </c>
      <c r="T10659">
        <v>1136</v>
      </c>
      <c r="U10659">
        <v>183</v>
      </c>
      <c r="V10659">
        <v>15</v>
      </c>
      <c r="W10659">
        <v>55</v>
      </c>
      <c r="X10659">
        <v>469</v>
      </c>
      <c r="Y10659">
        <v>81</v>
      </c>
      <c r="Z10659">
        <v>301</v>
      </c>
      <c r="AA10659">
        <v>305</v>
      </c>
      <c r="AB10659">
        <v>6.7386030000000003</v>
      </c>
      <c r="AC10659">
        <v>2.7415180000000001E-2</v>
      </c>
      <c r="AD10659">
        <v>1.6587270000000001</v>
      </c>
      <c r="AE10659">
        <v>0.61350450000000001</v>
      </c>
      <c r="AF10659">
        <v>215.31299999999999</v>
      </c>
      <c r="AG10659">
        <f>IFERROR(AH10659*0.1, "N/A")</f>
        <v>5.5020870000000004</v>
      </c>
      <c r="AH10659">
        <v>55.020870000000002</v>
      </c>
      <c r="AI10659">
        <v>232.3271</v>
      </c>
      <c r="AJ10659">
        <v>17</v>
      </c>
      <c r="AK10659">
        <v>63.010429999999999</v>
      </c>
    </row>
    <row r="10660" spans="1:37" x14ac:dyDescent="0.3">
      <c r="A10660">
        <v>10659</v>
      </c>
      <c r="B10660">
        <v>4.9000000000000004</v>
      </c>
      <c r="C10660">
        <v>-7.9119400000000004</v>
      </c>
      <c r="D10660">
        <v>6.5394399999999999</v>
      </c>
      <c r="E10660">
        <f>-7.91194-6.53944</f>
        <v>-14.45138</v>
      </c>
      <c r="F10660" t="s">
        <v>16060</v>
      </c>
      <c r="G10660" t="s">
        <v>39</v>
      </c>
      <c r="H10660">
        <v>2005</v>
      </c>
      <c r="I10660">
        <v>26</v>
      </c>
      <c r="J10660">
        <v>11.3</v>
      </c>
      <c r="K10660">
        <v>72</v>
      </c>
      <c r="L10660">
        <v>9.61</v>
      </c>
      <c r="M10660">
        <v>34.1</v>
      </c>
      <c r="N10660">
        <v>18.600000000000001</v>
      </c>
      <c r="O10660">
        <v>15.5</v>
      </c>
      <c r="P10660">
        <v>25</v>
      </c>
      <c r="Q10660">
        <v>26.1</v>
      </c>
      <c r="R10660">
        <v>27.2</v>
      </c>
      <c r="S10660">
        <v>24.6</v>
      </c>
      <c r="T10660">
        <v>1754</v>
      </c>
      <c r="U10660">
        <v>335</v>
      </c>
      <c r="V10660">
        <v>17</v>
      </c>
      <c r="W10660">
        <v>61</v>
      </c>
      <c r="X10660">
        <v>730</v>
      </c>
      <c r="Y10660">
        <v>102</v>
      </c>
      <c r="Z10660">
        <v>318</v>
      </c>
      <c r="AA10660">
        <v>680</v>
      </c>
      <c r="AB10660">
        <v>8.3628850000000003</v>
      </c>
      <c r="AC10660">
        <v>4.1179300000000002E-2</v>
      </c>
      <c r="AD10660">
        <v>3.807782</v>
      </c>
      <c r="AE10660">
        <v>0.39698820000000001</v>
      </c>
      <c r="AF10660">
        <v>245.4599</v>
      </c>
      <c r="AG10660">
        <f>IFERROR(AH10660*0.1, "N/A")</f>
        <v>5.3949480000000003</v>
      </c>
      <c r="AH10660">
        <v>53.949480000000001</v>
      </c>
      <c r="AI10660">
        <v>107.498</v>
      </c>
      <c r="AJ10660">
        <v>23.85192</v>
      </c>
      <c r="AK10660">
        <v>56.70035</v>
      </c>
    </row>
    <row r="10661" spans="1:37" x14ac:dyDescent="0.3">
      <c r="A10661">
        <v>10660</v>
      </c>
      <c r="B10661">
        <v>37.9</v>
      </c>
      <c r="C10661">
        <v>-7.9119400000000004</v>
      </c>
      <c r="D10661">
        <v>6.5394399999999999</v>
      </c>
      <c r="E10661">
        <f>-7.91194-6.53944</f>
        <v>-14.45138</v>
      </c>
      <c r="F10661" t="s">
        <v>16061</v>
      </c>
      <c r="G10661" t="s">
        <v>37</v>
      </c>
      <c r="H10661">
        <v>2005</v>
      </c>
      <c r="I10661">
        <v>26</v>
      </c>
      <c r="J10661">
        <v>11.3</v>
      </c>
      <c r="K10661">
        <v>72</v>
      </c>
      <c r="L10661">
        <v>9.61</v>
      </c>
      <c r="M10661">
        <v>34.1</v>
      </c>
      <c r="N10661">
        <v>18.600000000000001</v>
      </c>
      <c r="O10661">
        <v>15.5</v>
      </c>
      <c r="P10661">
        <v>25</v>
      </c>
      <c r="Q10661">
        <v>26.1</v>
      </c>
      <c r="R10661">
        <v>27.2</v>
      </c>
      <c r="S10661">
        <v>24.6</v>
      </c>
      <c r="T10661">
        <v>1754</v>
      </c>
      <c r="U10661">
        <v>335</v>
      </c>
      <c r="V10661">
        <v>17</v>
      </c>
      <c r="W10661">
        <v>61</v>
      </c>
      <c r="X10661">
        <v>730</v>
      </c>
      <c r="Y10661">
        <v>102</v>
      </c>
      <c r="Z10661">
        <v>318</v>
      </c>
      <c r="AA10661">
        <v>680</v>
      </c>
      <c r="AB10661">
        <v>8.3628850000000003</v>
      </c>
      <c r="AC10661">
        <v>4.1179300000000002E-2</v>
      </c>
      <c r="AD10661">
        <v>3.807782</v>
      </c>
      <c r="AE10661">
        <v>0.39698820000000001</v>
      </c>
      <c r="AF10661">
        <v>245.4599</v>
      </c>
      <c r="AG10661">
        <f>IFERROR(AH10661*0.1, "N/A")</f>
        <v>5.3949480000000003</v>
      </c>
      <c r="AH10661">
        <v>53.949480000000001</v>
      </c>
      <c r="AI10661">
        <v>107.498</v>
      </c>
      <c r="AJ10661">
        <v>23.85192</v>
      </c>
      <c r="AK10661">
        <v>56.70035</v>
      </c>
    </row>
    <row r="10662" spans="1:37" x14ac:dyDescent="0.3">
      <c r="A10662">
        <v>10661</v>
      </c>
      <c r="B10662">
        <v>13.4</v>
      </c>
      <c r="C10662">
        <v>-5.1986699999999999</v>
      </c>
      <c r="D10662">
        <v>6.5409699999999997</v>
      </c>
      <c r="E10662">
        <f>-5.19867-6.54097</f>
        <v>-11.73964</v>
      </c>
      <c r="F10662" t="s">
        <v>16062</v>
      </c>
      <c r="G10662" t="s">
        <v>39</v>
      </c>
      <c r="H10662">
        <v>1998</v>
      </c>
      <c r="I10662">
        <v>26.1</v>
      </c>
      <c r="J10662">
        <v>9.9</v>
      </c>
      <c r="K10662">
        <v>70.890050000000002</v>
      </c>
      <c r="L10662">
        <v>10.49539</v>
      </c>
      <c r="M10662">
        <v>33.6</v>
      </c>
      <c r="N10662">
        <v>19.68901</v>
      </c>
      <c r="O10662">
        <v>13.91099</v>
      </c>
      <c r="P10662">
        <v>26.7</v>
      </c>
      <c r="Q10662">
        <v>25.6</v>
      </c>
      <c r="R10662">
        <v>27.6</v>
      </c>
      <c r="S10662">
        <v>24.9</v>
      </c>
      <c r="T10662">
        <v>1143.45</v>
      </c>
      <c r="U10662">
        <v>183.89009999999999</v>
      </c>
      <c r="V10662">
        <v>15.89005</v>
      </c>
      <c r="W10662">
        <v>55.109949999999998</v>
      </c>
      <c r="X10662">
        <v>474.7801</v>
      </c>
      <c r="Y10662">
        <v>82.670159999999996</v>
      </c>
      <c r="Z10662">
        <v>303.7801</v>
      </c>
      <c r="AA10662">
        <v>303.2199</v>
      </c>
      <c r="AB10662">
        <v>16.961089999999999</v>
      </c>
      <c r="AC10662">
        <v>1.7520310000000001E-2</v>
      </c>
      <c r="AD10662">
        <v>1.7251430000000001</v>
      </c>
      <c r="AE10662">
        <v>0.65832919999999995</v>
      </c>
      <c r="AF10662">
        <v>208.01050000000001</v>
      </c>
      <c r="AG10662">
        <f>IFERROR(AH10662*0.1, "N/A")</f>
        <v>5.8000000000000007</v>
      </c>
      <c r="AH10662">
        <v>58</v>
      </c>
      <c r="AI10662">
        <v>118.06699999999999</v>
      </c>
      <c r="AJ10662">
        <v>20</v>
      </c>
      <c r="AK10662">
        <v>63</v>
      </c>
    </row>
    <row r="10663" spans="1:37" x14ac:dyDescent="0.3">
      <c r="A10663">
        <v>10662</v>
      </c>
      <c r="B10663">
        <v>0.4</v>
      </c>
      <c r="C10663">
        <v>-7.5952799999999998</v>
      </c>
      <c r="D10663">
        <v>6.5427799999999996</v>
      </c>
      <c r="E10663">
        <f>-7.59528-6.54278</f>
        <v>-14.138059999999999</v>
      </c>
      <c r="F10663" t="s">
        <v>16063</v>
      </c>
      <c r="G10663" t="s">
        <v>39</v>
      </c>
      <c r="H10663">
        <v>2005</v>
      </c>
      <c r="I10663">
        <v>25.9</v>
      </c>
      <c r="J10663">
        <v>10.8</v>
      </c>
      <c r="K10663">
        <v>72</v>
      </c>
      <c r="L10663">
        <v>10.18</v>
      </c>
      <c r="M10663">
        <v>33.700000000000003</v>
      </c>
      <c r="N10663">
        <v>18.899999999999999</v>
      </c>
      <c r="O10663">
        <v>14.8</v>
      </c>
      <c r="P10663">
        <v>24.8</v>
      </c>
      <c r="Q10663">
        <v>26.2</v>
      </c>
      <c r="R10663">
        <v>27.1</v>
      </c>
      <c r="S10663">
        <v>24.4</v>
      </c>
      <c r="T10663">
        <v>1682</v>
      </c>
      <c r="U10663">
        <v>321</v>
      </c>
      <c r="V10663">
        <v>18</v>
      </c>
      <c r="W10663">
        <v>61</v>
      </c>
      <c r="X10663">
        <v>702</v>
      </c>
      <c r="Y10663">
        <v>101</v>
      </c>
      <c r="Z10663">
        <v>319</v>
      </c>
      <c r="AA10663">
        <v>639</v>
      </c>
      <c r="AB10663">
        <v>8.1199010000000005</v>
      </c>
      <c r="AC10663">
        <v>1.126511E-2</v>
      </c>
      <c r="AD10663">
        <v>4.3317459999999999</v>
      </c>
      <c r="AE10663">
        <v>0.77106540000000001</v>
      </c>
      <c r="AF10663">
        <v>238.01050000000001</v>
      </c>
      <c r="AG10663">
        <f>IFERROR(AH10663*0.1, "N/A")</f>
        <v>5.7</v>
      </c>
      <c r="AH10663">
        <v>57</v>
      </c>
      <c r="AI10663">
        <v>170.8579</v>
      </c>
      <c r="AJ10663">
        <v>21</v>
      </c>
      <c r="AK10663">
        <v>59</v>
      </c>
    </row>
    <row r="10664" spans="1:37" x14ac:dyDescent="0.3">
      <c r="A10664">
        <v>10663</v>
      </c>
      <c r="B10664">
        <v>3.7</v>
      </c>
      <c r="C10664">
        <v>-7.5952799999999998</v>
      </c>
      <c r="D10664">
        <v>6.5427799999999996</v>
      </c>
      <c r="E10664">
        <f>-7.59528-6.54278</f>
        <v>-14.138059999999999</v>
      </c>
      <c r="F10664" t="s">
        <v>16064</v>
      </c>
      <c r="G10664" t="s">
        <v>37</v>
      </c>
      <c r="H10664">
        <v>2005</v>
      </c>
      <c r="I10664">
        <v>25.9</v>
      </c>
      <c r="J10664">
        <v>10.8</v>
      </c>
      <c r="K10664">
        <v>72</v>
      </c>
      <c r="L10664">
        <v>10.18</v>
      </c>
      <c r="M10664">
        <v>33.700000000000003</v>
      </c>
      <c r="N10664">
        <v>18.899999999999999</v>
      </c>
      <c r="O10664">
        <v>14.8</v>
      </c>
      <c r="P10664">
        <v>24.8</v>
      </c>
      <c r="Q10664">
        <v>26.2</v>
      </c>
      <c r="R10664">
        <v>27.1</v>
      </c>
      <c r="S10664">
        <v>24.4</v>
      </c>
      <c r="T10664">
        <v>1682</v>
      </c>
      <c r="U10664">
        <v>321</v>
      </c>
      <c r="V10664">
        <v>18</v>
      </c>
      <c r="W10664">
        <v>61</v>
      </c>
      <c r="X10664">
        <v>702</v>
      </c>
      <c r="Y10664">
        <v>101</v>
      </c>
      <c r="Z10664">
        <v>319</v>
      </c>
      <c r="AA10664">
        <v>639</v>
      </c>
      <c r="AB10664">
        <v>8.1199010000000005</v>
      </c>
      <c r="AC10664">
        <v>1.126511E-2</v>
      </c>
      <c r="AD10664">
        <v>4.3317459999999999</v>
      </c>
      <c r="AE10664">
        <v>0.77106540000000001</v>
      </c>
      <c r="AF10664">
        <v>238.01050000000001</v>
      </c>
      <c r="AG10664">
        <f>IFERROR(AH10664*0.1, "N/A")</f>
        <v>5.7</v>
      </c>
      <c r="AH10664">
        <v>57</v>
      </c>
      <c r="AI10664">
        <v>170.8579</v>
      </c>
      <c r="AJ10664">
        <v>21</v>
      </c>
      <c r="AK10664">
        <v>59</v>
      </c>
    </row>
    <row r="10665" spans="1:37" x14ac:dyDescent="0.3">
      <c r="A10665">
        <v>10664</v>
      </c>
      <c r="B10665">
        <v>4.5</v>
      </c>
      <c r="C10665">
        <v>-7.63028</v>
      </c>
      <c r="D10665">
        <v>6.54528</v>
      </c>
      <c r="E10665">
        <f>-7.63028-6.54528</f>
        <v>-14.175560000000001</v>
      </c>
      <c r="F10665" t="s">
        <v>16065</v>
      </c>
      <c r="G10665" t="s">
        <v>39</v>
      </c>
      <c r="H10665">
        <v>2005</v>
      </c>
      <c r="I10665">
        <v>25.8</v>
      </c>
      <c r="J10665">
        <v>10.9</v>
      </c>
      <c r="K10665">
        <v>73</v>
      </c>
      <c r="L10665">
        <v>10.11</v>
      </c>
      <c r="M10665">
        <v>33.700000000000003</v>
      </c>
      <c r="N10665">
        <v>18.8</v>
      </c>
      <c r="O10665">
        <v>14.9</v>
      </c>
      <c r="P10665">
        <v>24.8</v>
      </c>
      <c r="Q10665">
        <v>26.1</v>
      </c>
      <c r="R10665">
        <v>27.1</v>
      </c>
      <c r="S10665">
        <v>24.4</v>
      </c>
      <c r="T10665">
        <v>1692</v>
      </c>
      <c r="U10665">
        <v>323</v>
      </c>
      <c r="V10665">
        <v>18</v>
      </c>
      <c r="W10665">
        <v>61</v>
      </c>
      <c r="X10665">
        <v>707</v>
      </c>
      <c r="Y10665">
        <v>101</v>
      </c>
      <c r="Z10665">
        <v>320</v>
      </c>
      <c r="AA10665">
        <v>645</v>
      </c>
      <c r="AB10665">
        <v>16.82762</v>
      </c>
      <c r="AC10665">
        <v>2.0520409999999999E-2</v>
      </c>
      <c r="AD10665">
        <v>5.1624699999999999</v>
      </c>
      <c r="AE10665">
        <v>0.64748490000000003</v>
      </c>
      <c r="AF10665">
        <v>241.2535</v>
      </c>
      <c r="AG10665">
        <f>IFERROR(AH10665*0.1, "N/A")</f>
        <v>5.6000000000000005</v>
      </c>
      <c r="AH10665">
        <v>56</v>
      </c>
      <c r="AI10665">
        <v>328.2996</v>
      </c>
      <c r="AJ10665">
        <v>22.92483</v>
      </c>
      <c r="AK10665">
        <v>56.71678</v>
      </c>
    </row>
    <row r="10666" spans="1:37" x14ac:dyDescent="0.3">
      <c r="A10666">
        <v>10665</v>
      </c>
      <c r="B10666">
        <v>7.1</v>
      </c>
      <c r="C10666">
        <v>-7.63028</v>
      </c>
      <c r="D10666">
        <v>6.54528</v>
      </c>
      <c r="E10666">
        <f>-7.63028-6.54528</f>
        <v>-14.175560000000001</v>
      </c>
      <c r="F10666" t="s">
        <v>16066</v>
      </c>
      <c r="G10666" t="s">
        <v>37</v>
      </c>
      <c r="H10666">
        <v>2005</v>
      </c>
      <c r="I10666">
        <v>25.8</v>
      </c>
      <c r="J10666">
        <v>10.9</v>
      </c>
      <c r="K10666">
        <v>73</v>
      </c>
      <c r="L10666">
        <v>10.11</v>
      </c>
      <c r="M10666">
        <v>33.700000000000003</v>
      </c>
      <c r="N10666">
        <v>18.8</v>
      </c>
      <c r="O10666">
        <v>14.9</v>
      </c>
      <c r="P10666">
        <v>24.8</v>
      </c>
      <c r="Q10666">
        <v>26.1</v>
      </c>
      <c r="R10666">
        <v>27.1</v>
      </c>
      <c r="S10666">
        <v>24.4</v>
      </c>
      <c r="T10666">
        <v>1692</v>
      </c>
      <c r="U10666">
        <v>323</v>
      </c>
      <c r="V10666">
        <v>18</v>
      </c>
      <c r="W10666">
        <v>61</v>
      </c>
      <c r="X10666">
        <v>707</v>
      </c>
      <c r="Y10666">
        <v>101</v>
      </c>
      <c r="Z10666">
        <v>320</v>
      </c>
      <c r="AA10666">
        <v>645</v>
      </c>
      <c r="AB10666">
        <v>16.82762</v>
      </c>
      <c r="AC10666">
        <v>2.0520409999999999E-2</v>
      </c>
      <c r="AD10666">
        <v>5.1624699999999999</v>
      </c>
      <c r="AE10666">
        <v>0.64748490000000003</v>
      </c>
      <c r="AF10666">
        <v>241.2535</v>
      </c>
      <c r="AG10666">
        <f>IFERROR(AH10666*0.1, "N/A")</f>
        <v>5.6000000000000005</v>
      </c>
      <c r="AH10666">
        <v>56</v>
      </c>
      <c r="AI10666">
        <v>328.2996</v>
      </c>
      <c r="AJ10666">
        <v>22.92483</v>
      </c>
      <c r="AK10666">
        <v>56.71678</v>
      </c>
    </row>
    <row r="10667" spans="1:37" x14ac:dyDescent="0.3">
      <c r="A10667">
        <v>10666</v>
      </c>
      <c r="B10667">
        <v>8.6</v>
      </c>
      <c r="C10667">
        <v>-5.0136700000000003</v>
      </c>
      <c r="D10667">
        <v>6.5456500000000002</v>
      </c>
      <c r="E10667">
        <f>-5.01367-6.54565</f>
        <v>-11.55932</v>
      </c>
      <c r="F10667" t="s">
        <v>16067</v>
      </c>
      <c r="G10667" t="s">
        <v>39</v>
      </c>
      <c r="H10667">
        <v>1998</v>
      </c>
      <c r="I10667">
        <v>26.6</v>
      </c>
      <c r="J10667">
        <v>10</v>
      </c>
      <c r="K10667">
        <v>70</v>
      </c>
      <c r="L10667">
        <v>10.62</v>
      </c>
      <c r="M10667">
        <v>34.200000000000003</v>
      </c>
      <c r="N10667">
        <v>20</v>
      </c>
      <c r="O10667">
        <v>14.2</v>
      </c>
      <c r="P10667">
        <v>27.2</v>
      </c>
      <c r="Q10667">
        <v>26.2</v>
      </c>
      <c r="R10667">
        <v>28.1</v>
      </c>
      <c r="S10667">
        <v>25.3</v>
      </c>
      <c r="T10667">
        <v>1097</v>
      </c>
      <c r="U10667">
        <v>183</v>
      </c>
      <c r="V10667">
        <v>12</v>
      </c>
      <c r="W10667">
        <v>56</v>
      </c>
      <c r="X10667">
        <v>457</v>
      </c>
      <c r="Y10667">
        <v>78</v>
      </c>
      <c r="Z10667">
        <v>283</v>
      </c>
      <c r="AA10667">
        <v>301</v>
      </c>
      <c r="AB10667">
        <v>17.307300000000001</v>
      </c>
      <c r="AC10667">
        <v>9.3204039999999991E-3</v>
      </c>
      <c r="AD10667">
        <v>1.2502580000000001</v>
      </c>
      <c r="AE10667">
        <v>0.74741579999999996</v>
      </c>
      <c r="AF10667">
        <v>155.24</v>
      </c>
      <c r="AG10667">
        <f>IFERROR(AH10667*0.1, "N/A")</f>
        <v>5.9911300000000001</v>
      </c>
      <c r="AH10667">
        <v>59.911299999999997</v>
      </c>
      <c r="AI10667">
        <v>167.76499999999999</v>
      </c>
      <c r="AJ10667">
        <v>14</v>
      </c>
      <c r="AK10667">
        <v>68.784350000000003</v>
      </c>
    </row>
    <row r="10668" spans="1:37" x14ac:dyDescent="0.3">
      <c r="A10668">
        <v>10667</v>
      </c>
      <c r="B10668">
        <v>0.6</v>
      </c>
      <c r="C10668">
        <v>-7.8833299999999999</v>
      </c>
      <c r="D10668">
        <v>6.55</v>
      </c>
      <c r="E10668">
        <f>-7.88333-6.55</f>
        <v>-14.43333</v>
      </c>
      <c r="F10668" t="s">
        <v>16068</v>
      </c>
      <c r="G10668" t="s">
        <v>39</v>
      </c>
      <c r="H10668">
        <v>2005</v>
      </c>
      <c r="I10668">
        <v>25.87875</v>
      </c>
      <c r="J10668">
        <v>11.3</v>
      </c>
      <c r="K10668">
        <v>72</v>
      </c>
      <c r="L10668">
        <v>9.4718990000000005</v>
      </c>
      <c r="M10668">
        <v>34</v>
      </c>
      <c r="N10668">
        <v>18.5</v>
      </c>
      <c r="O10668">
        <v>15.5</v>
      </c>
      <c r="P10668">
        <v>25</v>
      </c>
      <c r="Q10668">
        <v>26</v>
      </c>
      <c r="R10668">
        <v>27.078749999999999</v>
      </c>
      <c r="S10668">
        <v>24.578749999999999</v>
      </c>
      <c r="T10668">
        <v>1752.105</v>
      </c>
      <c r="U10668">
        <v>335</v>
      </c>
      <c r="V10668">
        <v>17</v>
      </c>
      <c r="W10668">
        <v>61.613239999999998</v>
      </c>
      <c r="X10668">
        <v>731.38679999999999</v>
      </c>
      <c r="Y10668">
        <v>102.2422</v>
      </c>
      <c r="Z10668">
        <v>319.41640000000001</v>
      </c>
      <c r="AA10668">
        <v>681.4547</v>
      </c>
      <c r="AB10668">
        <v>9.3341440000000002</v>
      </c>
      <c r="AC10668">
        <v>2.6485410000000001E-2</v>
      </c>
      <c r="AD10668">
        <v>3.174312</v>
      </c>
      <c r="AE10668">
        <v>0.23649519999999999</v>
      </c>
      <c r="AF10668">
        <v>256.91809999999998</v>
      </c>
      <c r="AG10668">
        <f>IFERROR(AH10668*0.1, "N/A")</f>
        <v>5.3000000000000007</v>
      </c>
      <c r="AH10668">
        <v>53</v>
      </c>
      <c r="AI10668">
        <v>145.5214</v>
      </c>
      <c r="AJ10668">
        <v>20.574909999999999</v>
      </c>
      <c r="AK10668">
        <v>61.182929999999999</v>
      </c>
    </row>
    <row r="10669" spans="1:37" x14ac:dyDescent="0.3">
      <c r="A10669">
        <v>10668</v>
      </c>
      <c r="B10669">
        <v>14.2</v>
      </c>
      <c r="C10669">
        <v>-7.8833299999999999</v>
      </c>
      <c r="D10669">
        <v>6.55</v>
      </c>
      <c r="E10669">
        <f>-7.88333-6.55</f>
        <v>-14.43333</v>
      </c>
      <c r="F10669" t="s">
        <v>16069</v>
      </c>
      <c r="G10669" t="s">
        <v>37</v>
      </c>
      <c r="H10669">
        <v>2005</v>
      </c>
      <c r="I10669">
        <v>25.87875</v>
      </c>
      <c r="J10669">
        <v>11.3</v>
      </c>
      <c r="K10669">
        <v>72</v>
      </c>
      <c r="L10669">
        <v>9.4718990000000005</v>
      </c>
      <c r="M10669">
        <v>34</v>
      </c>
      <c r="N10669">
        <v>18.5</v>
      </c>
      <c r="O10669">
        <v>15.5</v>
      </c>
      <c r="P10669">
        <v>25</v>
      </c>
      <c r="Q10669">
        <v>26</v>
      </c>
      <c r="R10669">
        <v>27.078749999999999</v>
      </c>
      <c r="S10669">
        <v>24.578749999999999</v>
      </c>
      <c r="T10669">
        <v>1752.105</v>
      </c>
      <c r="U10669">
        <v>335</v>
      </c>
      <c r="V10669">
        <v>17</v>
      </c>
      <c r="W10669">
        <v>61.613239999999998</v>
      </c>
      <c r="X10669">
        <v>731.38679999999999</v>
      </c>
      <c r="Y10669">
        <v>102.2422</v>
      </c>
      <c r="Z10669">
        <v>319.41640000000001</v>
      </c>
      <c r="AA10669">
        <v>681.4547</v>
      </c>
      <c r="AB10669">
        <v>9.3341440000000002</v>
      </c>
      <c r="AC10669">
        <v>2.6485410000000001E-2</v>
      </c>
      <c r="AD10669">
        <v>3.174312</v>
      </c>
      <c r="AE10669">
        <v>0.23649519999999999</v>
      </c>
      <c r="AF10669">
        <v>256.91809999999998</v>
      </c>
      <c r="AG10669">
        <f>IFERROR(AH10669*0.1, "N/A")</f>
        <v>5.3000000000000007</v>
      </c>
      <c r="AH10669">
        <v>53</v>
      </c>
      <c r="AI10669">
        <v>145.5214</v>
      </c>
      <c r="AJ10669">
        <v>20.574909999999999</v>
      </c>
      <c r="AK10669">
        <v>61.182929999999999</v>
      </c>
    </row>
    <row r="10670" spans="1:37" x14ac:dyDescent="0.3">
      <c r="A10670">
        <v>10669</v>
      </c>
      <c r="B10670">
        <v>1.4</v>
      </c>
      <c r="C10670">
        <v>-7.9361100000000002</v>
      </c>
      <c r="D10670">
        <v>6.5516699999999997</v>
      </c>
      <c r="E10670">
        <f>-7.93611-6.55167</f>
        <v>-14.487780000000001</v>
      </c>
      <c r="F10670" t="s">
        <v>16070</v>
      </c>
      <c r="G10670" t="s">
        <v>39</v>
      </c>
      <c r="H10670">
        <v>2005</v>
      </c>
      <c r="I10670">
        <v>25.8</v>
      </c>
      <c r="J10670">
        <v>11.4</v>
      </c>
      <c r="K10670">
        <v>72</v>
      </c>
      <c r="L10670">
        <v>9.7100000000000009</v>
      </c>
      <c r="M10670">
        <v>34</v>
      </c>
      <c r="N10670">
        <v>18.3</v>
      </c>
      <c r="O10670">
        <v>15.7</v>
      </c>
      <c r="P10670">
        <v>24.9</v>
      </c>
      <c r="Q10670">
        <v>26</v>
      </c>
      <c r="R10670">
        <v>27</v>
      </c>
      <c r="S10670">
        <v>24.5</v>
      </c>
      <c r="T10670">
        <v>1764</v>
      </c>
      <c r="U10670">
        <v>337</v>
      </c>
      <c r="V10670">
        <v>17</v>
      </c>
      <c r="W10670">
        <v>61</v>
      </c>
      <c r="X10670">
        <v>735</v>
      </c>
      <c r="Y10670">
        <v>102</v>
      </c>
      <c r="Z10670">
        <v>319</v>
      </c>
      <c r="AA10670">
        <v>688</v>
      </c>
      <c r="AB10670">
        <v>18.64188</v>
      </c>
      <c r="AC10670">
        <v>3.0281829999999999E-2</v>
      </c>
      <c r="AD10670">
        <v>3.642998</v>
      </c>
      <c r="AE10670">
        <v>0.3569542</v>
      </c>
      <c r="AF10670">
        <v>266.88310000000001</v>
      </c>
      <c r="AG10670">
        <f>IFERROR(AH10670*0.1, "N/A")</f>
        <v>5.241187</v>
      </c>
      <c r="AH10670">
        <v>52.41187</v>
      </c>
      <c r="AI10670">
        <v>168.3801</v>
      </c>
      <c r="AJ10670">
        <v>21.265270000000001</v>
      </c>
      <c r="AK10670">
        <v>57.998249999999999</v>
      </c>
    </row>
    <row r="10671" spans="1:37" x14ac:dyDescent="0.3">
      <c r="A10671">
        <v>10670</v>
      </c>
      <c r="B10671">
        <v>19.399999999999999</v>
      </c>
      <c r="C10671">
        <v>-7.9361100000000002</v>
      </c>
      <c r="D10671">
        <v>6.5516699999999997</v>
      </c>
      <c r="E10671">
        <f>-7.93611-6.55167</f>
        <v>-14.487780000000001</v>
      </c>
      <c r="F10671" t="s">
        <v>16071</v>
      </c>
      <c r="G10671" t="s">
        <v>37</v>
      </c>
      <c r="H10671">
        <v>2005</v>
      </c>
      <c r="I10671">
        <v>25.8</v>
      </c>
      <c r="J10671">
        <v>11.4</v>
      </c>
      <c r="K10671">
        <v>72</v>
      </c>
      <c r="L10671">
        <v>9.7100000000000009</v>
      </c>
      <c r="M10671">
        <v>34</v>
      </c>
      <c r="N10671">
        <v>18.3</v>
      </c>
      <c r="O10671">
        <v>15.7</v>
      </c>
      <c r="P10671">
        <v>24.9</v>
      </c>
      <c r="Q10671">
        <v>26</v>
      </c>
      <c r="R10671">
        <v>27</v>
      </c>
      <c r="S10671">
        <v>24.5</v>
      </c>
      <c r="T10671">
        <v>1764</v>
      </c>
      <c r="U10671">
        <v>337</v>
      </c>
      <c r="V10671">
        <v>17</v>
      </c>
      <c r="W10671">
        <v>61</v>
      </c>
      <c r="X10671">
        <v>735</v>
      </c>
      <c r="Y10671">
        <v>102</v>
      </c>
      <c r="Z10671">
        <v>319</v>
      </c>
      <c r="AA10671">
        <v>688</v>
      </c>
      <c r="AB10671">
        <v>18.64188</v>
      </c>
      <c r="AC10671">
        <v>3.0281829999999999E-2</v>
      </c>
      <c r="AD10671">
        <v>3.642998</v>
      </c>
      <c r="AE10671">
        <v>0.3569542</v>
      </c>
      <c r="AF10671">
        <v>266.88310000000001</v>
      </c>
      <c r="AG10671">
        <f>IFERROR(AH10671*0.1, "N/A")</f>
        <v>5.241187</v>
      </c>
      <c r="AH10671">
        <v>52.41187</v>
      </c>
      <c r="AI10671">
        <v>168.3801</v>
      </c>
      <c r="AJ10671">
        <v>21.265270000000001</v>
      </c>
      <c r="AK10671">
        <v>57.998249999999999</v>
      </c>
    </row>
    <row r="10672" spans="1:37" x14ac:dyDescent="0.3">
      <c r="A10672">
        <v>10671</v>
      </c>
      <c r="B10672">
        <v>13.3</v>
      </c>
      <c r="C10672">
        <v>-5.0209999999999999</v>
      </c>
      <c r="D10672">
        <v>6.5522999999999998</v>
      </c>
      <c r="E10672">
        <f>-5.021-6.5523</f>
        <v>-11.5733</v>
      </c>
      <c r="F10672" t="s">
        <v>16072</v>
      </c>
      <c r="G10672" t="s">
        <v>39</v>
      </c>
      <c r="H10672">
        <v>1998</v>
      </c>
      <c r="I10672">
        <v>26.5</v>
      </c>
      <c r="J10672">
        <v>10</v>
      </c>
      <c r="K10672">
        <v>69</v>
      </c>
      <c r="L10672">
        <v>10.73</v>
      </c>
      <c r="M10672">
        <v>34.200000000000003</v>
      </c>
      <c r="N10672">
        <v>19.899999999999999</v>
      </c>
      <c r="O10672">
        <v>14.3</v>
      </c>
      <c r="P10672">
        <v>27.1</v>
      </c>
      <c r="Q10672">
        <v>26.1</v>
      </c>
      <c r="R10672">
        <v>28.1</v>
      </c>
      <c r="S10672">
        <v>25.3</v>
      </c>
      <c r="T10672">
        <v>1096</v>
      </c>
      <c r="U10672">
        <v>182</v>
      </c>
      <c r="V10672">
        <v>12</v>
      </c>
      <c r="W10672">
        <v>56</v>
      </c>
      <c r="X10672">
        <v>455</v>
      </c>
      <c r="Y10672">
        <v>78</v>
      </c>
      <c r="Z10672">
        <v>283</v>
      </c>
      <c r="AA10672">
        <v>301</v>
      </c>
      <c r="AB10672">
        <v>20.079270000000001</v>
      </c>
      <c r="AC10672">
        <v>1.6719919999999999E-2</v>
      </c>
      <c r="AD10672">
        <v>1.7649170000000001</v>
      </c>
      <c r="AE10672">
        <v>0.75629780000000002</v>
      </c>
      <c r="AF10672">
        <v>160.7526</v>
      </c>
      <c r="AG10672">
        <f>IFERROR(AH10672*0.1, "N/A")</f>
        <v>5.8238680000000009</v>
      </c>
      <c r="AH10672">
        <v>58.238680000000002</v>
      </c>
      <c r="AI10672">
        <v>167.9461</v>
      </c>
      <c r="AJ10672">
        <v>17</v>
      </c>
      <c r="AK10672">
        <v>65.238680000000002</v>
      </c>
    </row>
    <row r="10673" spans="1:37" x14ac:dyDescent="0.3">
      <c r="A10673">
        <v>10672</v>
      </c>
      <c r="B10673">
        <v>6.8</v>
      </c>
      <c r="C10673">
        <v>-5.0205299999999999</v>
      </c>
      <c r="D10673">
        <v>6.5524800000000001</v>
      </c>
      <c r="E10673">
        <f>-5.02053-6.55248</f>
        <v>-11.57301</v>
      </c>
      <c r="F10673" t="s">
        <v>16073</v>
      </c>
      <c r="G10673" t="s">
        <v>39</v>
      </c>
      <c r="H10673">
        <v>1998</v>
      </c>
      <c r="I10673">
        <v>26.5</v>
      </c>
      <c r="J10673">
        <v>10</v>
      </c>
      <c r="K10673">
        <v>69</v>
      </c>
      <c r="L10673">
        <v>10.73</v>
      </c>
      <c r="M10673">
        <v>34.200000000000003</v>
      </c>
      <c r="N10673">
        <v>19.899999999999999</v>
      </c>
      <c r="O10673">
        <v>14.3</v>
      </c>
      <c r="P10673">
        <v>27.1</v>
      </c>
      <c r="Q10673">
        <v>26.1</v>
      </c>
      <c r="R10673">
        <v>28.1</v>
      </c>
      <c r="S10673">
        <v>25.3</v>
      </c>
      <c r="T10673">
        <v>1096</v>
      </c>
      <c r="U10673">
        <v>182</v>
      </c>
      <c r="V10673">
        <v>12</v>
      </c>
      <c r="W10673">
        <v>56</v>
      </c>
      <c r="X10673">
        <v>455</v>
      </c>
      <c r="Y10673">
        <v>78</v>
      </c>
      <c r="Z10673">
        <v>283</v>
      </c>
      <c r="AA10673">
        <v>301</v>
      </c>
      <c r="AB10673">
        <v>20.22</v>
      </c>
      <c r="AC10673">
        <v>1.6085240000000001E-2</v>
      </c>
      <c r="AD10673">
        <v>1.538789</v>
      </c>
      <c r="AE10673">
        <v>0.75629780000000002</v>
      </c>
      <c r="AF10673">
        <v>160.5461</v>
      </c>
      <c r="AG10673">
        <f>IFERROR(AH10673*0.1, "N/A")</f>
        <v>5.857565000000001</v>
      </c>
      <c r="AH10673">
        <v>58.575650000000003</v>
      </c>
      <c r="AI10673">
        <v>166.4873</v>
      </c>
      <c r="AJ10673">
        <v>17.034780000000001</v>
      </c>
      <c r="AK10673">
        <v>65.610429999999994</v>
      </c>
    </row>
    <row r="10674" spans="1:37" x14ac:dyDescent="0.3">
      <c r="A10674">
        <v>10673</v>
      </c>
      <c r="B10674">
        <v>7.2</v>
      </c>
      <c r="C10674">
        <v>-5.0213200000000002</v>
      </c>
      <c r="D10674">
        <v>6.5533999999999999</v>
      </c>
      <c r="E10674">
        <f>-5.02132-6.5534</f>
        <v>-11.574719999999999</v>
      </c>
      <c r="F10674" t="s">
        <v>16074</v>
      </c>
      <c r="G10674" t="s">
        <v>39</v>
      </c>
      <c r="H10674">
        <v>1998</v>
      </c>
      <c r="I10674">
        <v>26.5</v>
      </c>
      <c r="J10674">
        <v>10</v>
      </c>
      <c r="K10674">
        <v>69</v>
      </c>
      <c r="L10674">
        <v>10.73</v>
      </c>
      <c r="M10674">
        <v>34.200000000000003</v>
      </c>
      <c r="N10674">
        <v>19.899999999999999</v>
      </c>
      <c r="O10674">
        <v>14.3</v>
      </c>
      <c r="P10674">
        <v>27.1</v>
      </c>
      <c r="Q10674">
        <v>26.1</v>
      </c>
      <c r="R10674">
        <v>28.1</v>
      </c>
      <c r="S10674">
        <v>25.3</v>
      </c>
      <c r="T10674">
        <v>1096</v>
      </c>
      <c r="U10674">
        <v>182</v>
      </c>
      <c r="V10674">
        <v>12</v>
      </c>
      <c r="W10674">
        <v>56</v>
      </c>
      <c r="X10674">
        <v>455</v>
      </c>
      <c r="Y10674">
        <v>78</v>
      </c>
      <c r="Z10674">
        <v>283</v>
      </c>
      <c r="AA10674">
        <v>301</v>
      </c>
      <c r="AB10674">
        <v>23.245560000000001</v>
      </c>
      <c r="AC10674">
        <v>9.3055050000000004E-3</v>
      </c>
      <c r="AD10674">
        <v>1.5917859999999999</v>
      </c>
      <c r="AE10674">
        <v>0.75629780000000002</v>
      </c>
      <c r="AF10674">
        <v>163.90260000000001</v>
      </c>
      <c r="AG10674">
        <f>IFERROR(AH10674*0.1, "N/A")</f>
        <v>5.7351300000000007</v>
      </c>
      <c r="AH10674">
        <v>57.351300000000002</v>
      </c>
      <c r="AI10674">
        <v>209.12020000000001</v>
      </c>
      <c r="AJ10674">
        <v>16.365220000000001</v>
      </c>
      <c r="AK10674">
        <v>65.67304</v>
      </c>
    </row>
    <row r="10675" spans="1:37" x14ac:dyDescent="0.3">
      <c r="A10675">
        <v>10674</v>
      </c>
      <c r="B10675">
        <v>14.6</v>
      </c>
      <c r="C10675">
        <v>-5.0192800000000002</v>
      </c>
      <c r="D10675">
        <v>6.5582799999999999</v>
      </c>
      <c r="E10675">
        <f>-5.01928-6.55828</f>
        <v>-11.57756</v>
      </c>
      <c r="F10675" t="s">
        <v>16075</v>
      </c>
      <c r="G10675" t="s">
        <v>39</v>
      </c>
      <c r="H10675">
        <v>1998</v>
      </c>
      <c r="I10675">
        <v>26.52552</v>
      </c>
      <c r="J10675">
        <v>10</v>
      </c>
      <c r="K10675">
        <v>69</v>
      </c>
      <c r="L10675">
        <v>10.82189</v>
      </c>
      <c r="M10675">
        <v>34.225520000000003</v>
      </c>
      <c r="N10675">
        <v>19.899999999999999</v>
      </c>
      <c r="O10675">
        <v>14.325519999999999</v>
      </c>
      <c r="P10675">
        <v>27.125520000000002</v>
      </c>
      <c r="Q10675">
        <v>26.074480000000001</v>
      </c>
      <c r="R10675">
        <v>28.125520000000002</v>
      </c>
      <c r="S10675">
        <v>25.3</v>
      </c>
      <c r="T10675">
        <v>1094.4690000000001</v>
      </c>
      <c r="U10675">
        <v>182</v>
      </c>
      <c r="V10675">
        <v>12</v>
      </c>
      <c r="W10675">
        <v>56.255240000000001</v>
      </c>
      <c r="X10675">
        <v>454.48950000000002</v>
      </c>
      <c r="Y10675">
        <v>77.744759999999999</v>
      </c>
      <c r="Z10675">
        <v>282.23430000000002</v>
      </c>
      <c r="AA10675">
        <v>301</v>
      </c>
      <c r="AB10675">
        <v>20.202100000000002</v>
      </c>
      <c r="AC10675">
        <v>1.324438E-2</v>
      </c>
      <c r="AD10675">
        <v>2.0481180000000001</v>
      </c>
      <c r="AE10675">
        <v>0.76591390000000004</v>
      </c>
      <c r="AF10675">
        <v>159.9126</v>
      </c>
      <c r="AG10675">
        <f>IFERROR(AH10675*0.1, "N/A")</f>
        <v>5.6575170000000004</v>
      </c>
      <c r="AH10675">
        <v>56.57517</v>
      </c>
      <c r="AI10675">
        <v>160.31100000000001</v>
      </c>
      <c r="AJ10675">
        <v>16.790209999999998</v>
      </c>
      <c r="AK10675">
        <v>65.816429999999997</v>
      </c>
    </row>
    <row r="10676" spans="1:37" x14ac:dyDescent="0.3">
      <c r="A10676">
        <v>10675</v>
      </c>
      <c r="B10676">
        <v>14.3</v>
      </c>
      <c r="C10676">
        <v>-5.0213000000000001</v>
      </c>
      <c r="D10676">
        <v>6.5605700000000002</v>
      </c>
      <c r="E10676">
        <f>-5.0213-6.56057</f>
        <v>-11.58187</v>
      </c>
      <c r="F10676" t="s">
        <v>16076</v>
      </c>
      <c r="G10676" t="s">
        <v>39</v>
      </c>
      <c r="H10676">
        <v>1998</v>
      </c>
      <c r="I10676">
        <v>26.6</v>
      </c>
      <c r="J10676">
        <v>10</v>
      </c>
      <c r="K10676">
        <v>69</v>
      </c>
      <c r="L10676">
        <v>11.09</v>
      </c>
      <c r="M10676">
        <v>34.299999999999997</v>
      </c>
      <c r="N10676">
        <v>19.899999999999999</v>
      </c>
      <c r="O10676">
        <v>14.4</v>
      </c>
      <c r="P10676">
        <v>27.2</v>
      </c>
      <c r="Q10676">
        <v>26</v>
      </c>
      <c r="R10676">
        <v>28.2</v>
      </c>
      <c r="S10676">
        <v>25.3</v>
      </c>
      <c r="T10676">
        <v>1090</v>
      </c>
      <c r="U10676">
        <v>182</v>
      </c>
      <c r="V10676">
        <v>12</v>
      </c>
      <c r="W10676">
        <v>57</v>
      </c>
      <c r="X10676">
        <v>453</v>
      </c>
      <c r="Y10676">
        <v>77</v>
      </c>
      <c r="Z10676">
        <v>280</v>
      </c>
      <c r="AA10676">
        <v>301</v>
      </c>
      <c r="AB10676">
        <v>12.284700000000001</v>
      </c>
      <c r="AC10676">
        <v>1.7872249999999999E-2</v>
      </c>
      <c r="AD10676">
        <v>2.3910149999999999</v>
      </c>
      <c r="AE10676">
        <v>0.79397189999999995</v>
      </c>
      <c r="AF10676">
        <v>151.2852</v>
      </c>
      <c r="AG10676">
        <f>IFERROR(AH10676*0.1, "N/A")</f>
        <v>5.7873040000000007</v>
      </c>
      <c r="AH10676">
        <v>57.873040000000003</v>
      </c>
      <c r="AI10676">
        <v>316.05220000000003</v>
      </c>
      <c r="AJ10676">
        <v>16.972169999999998</v>
      </c>
      <c r="AK10676">
        <v>66.873040000000003</v>
      </c>
    </row>
    <row r="10677" spans="1:37" x14ac:dyDescent="0.3">
      <c r="A10677">
        <v>10676</v>
      </c>
      <c r="B10677">
        <v>1.3</v>
      </c>
      <c r="C10677">
        <v>-7.7961099999999997</v>
      </c>
      <c r="D10677">
        <v>6.5630600000000001</v>
      </c>
      <c r="E10677">
        <f>-7.79611-6.56306</f>
        <v>-14.359169999999999</v>
      </c>
      <c r="F10677" t="s">
        <v>16077</v>
      </c>
      <c r="G10677" t="s">
        <v>39</v>
      </c>
      <c r="H10677">
        <v>2005</v>
      </c>
      <c r="I10677">
        <v>25.8</v>
      </c>
      <c r="J10677">
        <v>11.1</v>
      </c>
      <c r="K10677">
        <v>72</v>
      </c>
      <c r="L10677">
        <v>9.82</v>
      </c>
      <c r="M10677">
        <v>33.799999999999997</v>
      </c>
      <c r="N10677">
        <v>18.5</v>
      </c>
      <c r="O10677">
        <v>15.3</v>
      </c>
      <c r="P10677">
        <v>24.9</v>
      </c>
      <c r="Q10677">
        <v>26</v>
      </c>
      <c r="R10677">
        <v>27</v>
      </c>
      <c r="S10677">
        <v>24.5</v>
      </c>
      <c r="T10677">
        <v>1731</v>
      </c>
      <c r="U10677">
        <v>331</v>
      </c>
      <c r="V10677">
        <v>17</v>
      </c>
      <c r="W10677">
        <v>61</v>
      </c>
      <c r="X10677">
        <v>724</v>
      </c>
      <c r="Y10677">
        <v>102</v>
      </c>
      <c r="Z10677">
        <v>320</v>
      </c>
      <c r="AA10677">
        <v>672</v>
      </c>
      <c r="AB10677">
        <v>9.0278240000000007</v>
      </c>
      <c r="AC10677">
        <v>1.425338E-2</v>
      </c>
      <c r="AD10677">
        <v>3.7352959999999999</v>
      </c>
      <c r="AE10677">
        <v>0.49542229999999998</v>
      </c>
      <c r="AF10677">
        <v>253.48869999999999</v>
      </c>
      <c r="AG10677">
        <f>IFERROR(AH10677*0.1, "N/A")</f>
        <v>5.2177390000000008</v>
      </c>
      <c r="AH10677">
        <v>52.177390000000003</v>
      </c>
      <c r="AI10677">
        <v>100.5938</v>
      </c>
      <c r="AJ10677">
        <v>18.911300000000001</v>
      </c>
      <c r="AK10677">
        <v>62.822609999999997</v>
      </c>
    </row>
    <row r="10678" spans="1:37" x14ac:dyDescent="0.3">
      <c r="A10678">
        <v>10677</v>
      </c>
      <c r="B10678">
        <v>15</v>
      </c>
      <c r="C10678">
        <v>-7.7961099999999997</v>
      </c>
      <c r="D10678">
        <v>6.5630600000000001</v>
      </c>
      <c r="E10678">
        <f>-7.79611-6.56306</f>
        <v>-14.359169999999999</v>
      </c>
      <c r="F10678" t="s">
        <v>16078</v>
      </c>
      <c r="G10678" t="s">
        <v>37</v>
      </c>
      <c r="H10678">
        <v>2005</v>
      </c>
      <c r="I10678">
        <v>25.8</v>
      </c>
      <c r="J10678">
        <v>11.1</v>
      </c>
      <c r="K10678">
        <v>72</v>
      </c>
      <c r="L10678">
        <v>9.82</v>
      </c>
      <c r="M10678">
        <v>33.799999999999997</v>
      </c>
      <c r="N10678">
        <v>18.5</v>
      </c>
      <c r="O10678">
        <v>15.3</v>
      </c>
      <c r="P10678">
        <v>24.9</v>
      </c>
      <c r="Q10678">
        <v>26</v>
      </c>
      <c r="R10678">
        <v>27</v>
      </c>
      <c r="S10678">
        <v>24.5</v>
      </c>
      <c r="T10678">
        <v>1731</v>
      </c>
      <c r="U10678">
        <v>331</v>
      </c>
      <c r="V10678">
        <v>17</v>
      </c>
      <c r="W10678">
        <v>61</v>
      </c>
      <c r="X10678">
        <v>724</v>
      </c>
      <c r="Y10678">
        <v>102</v>
      </c>
      <c r="Z10678">
        <v>320</v>
      </c>
      <c r="AA10678">
        <v>672</v>
      </c>
      <c r="AB10678">
        <v>9.0278240000000007</v>
      </c>
      <c r="AC10678">
        <v>1.425338E-2</v>
      </c>
      <c r="AD10678">
        <v>3.7352959999999999</v>
      </c>
      <c r="AE10678">
        <v>0.49542229999999998</v>
      </c>
      <c r="AF10678">
        <v>253.48869999999999</v>
      </c>
      <c r="AG10678">
        <f>IFERROR(AH10678*0.1, "N/A")</f>
        <v>5.2177390000000008</v>
      </c>
      <c r="AH10678">
        <v>52.177390000000003</v>
      </c>
      <c r="AI10678">
        <v>100.5938</v>
      </c>
      <c r="AJ10678">
        <v>18.911300000000001</v>
      </c>
      <c r="AK10678">
        <v>62.822609999999997</v>
      </c>
    </row>
    <row r="10679" spans="1:37" x14ac:dyDescent="0.3">
      <c r="A10679">
        <v>10678</v>
      </c>
      <c r="B10679">
        <v>16.5</v>
      </c>
      <c r="C10679">
        <v>-5.0167299999999999</v>
      </c>
      <c r="D10679">
        <v>6.5654000000000003</v>
      </c>
      <c r="E10679">
        <f>-5.01673-6.5654</f>
        <v>-11.582129999999999</v>
      </c>
      <c r="F10679" t="s">
        <v>16079</v>
      </c>
      <c r="G10679" t="s">
        <v>39</v>
      </c>
      <c r="H10679">
        <v>1998</v>
      </c>
      <c r="I10679">
        <v>26.6</v>
      </c>
      <c r="J10679">
        <v>10</v>
      </c>
      <c r="K10679">
        <v>69</v>
      </c>
      <c r="L10679">
        <v>10.85355</v>
      </c>
      <c r="M10679">
        <v>34.299999999999997</v>
      </c>
      <c r="N10679">
        <v>19.899999999999999</v>
      </c>
      <c r="O10679">
        <v>14.4</v>
      </c>
      <c r="P10679">
        <v>27.2</v>
      </c>
      <c r="Q10679">
        <v>26.081530000000001</v>
      </c>
      <c r="R10679">
        <v>28.118469999999999</v>
      </c>
      <c r="S10679">
        <v>25.381530000000001</v>
      </c>
      <c r="T10679">
        <v>1091.6310000000001</v>
      </c>
      <c r="U10679">
        <v>182</v>
      </c>
      <c r="V10679">
        <v>12</v>
      </c>
      <c r="W10679">
        <v>56.184669999999997</v>
      </c>
      <c r="X10679">
        <v>454.63069999999999</v>
      </c>
      <c r="Y10679">
        <v>77</v>
      </c>
      <c r="Z10679">
        <v>281.63069999999999</v>
      </c>
      <c r="AA10679">
        <v>300.18470000000002</v>
      </c>
      <c r="AB10679">
        <v>19.049479999999999</v>
      </c>
      <c r="AC10679">
        <v>8.5964969999999998E-3</v>
      </c>
      <c r="AD10679">
        <v>2.2894009999999998</v>
      </c>
      <c r="AE10679">
        <v>0.84470829999999997</v>
      </c>
      <c r="AF10679">
        <v>153.76480000000001</v>
      </c>
      <c r="AG10679">
        <f>IFERROR(AH10679*0.1, "N/A")</f>
        <v>5.7383280000000001</v>
      </c>
      <c r="AH10679">
        <v>57.383279999999999</v>
      </c>
      <c r="AI10679">
        <v>279.76</v>
      </c>
      <c r="AJ10679">
        <v>16.162019999999998</v>
      </c>
      <c r="AK10679">
        <v>65.308359999999993</v>
      </c>
    </row>
    <row r="10680" spans="1:37" x14ac:dyDescent="0.3">
      <c r="A10680">
        <v>10679</v>
      </c>
      <c r="B10680">
        <v>0.9</v>
      </c>
      <c r="C10680">
        <v>-7.7486499999999996</v>
      </c>
      <c r="D10680">
        <v>6.5654199999999996</v>
      </c>
      <c r="E10680">
        <f>-7.74865-6.56542</f>
        <v>-14.314069999999999</v>
      </c>
      <c r="F10680" t="s">
        <v>16080</v>
      </c>
      <c r="G10680" t="s">
        <v>39</v>
      </c>
      <c r="H10680">
        <v>2005</v>
      </c>
      <c r="I10680">
        <v>25.7</v>
      </c>
      <c r="J10680">
        <v>11.1</v>
      </c>
      <c r="K10680">
        <v>72</v>
      </c>
      <c r="L10680">
        <v>9.66</v>
      </c>
      <c r="M10680">
        <v>33.700000000000003</v>
      </c>
      <c r="N10680">
        <v>18.399999999999999</v>
      </c>
      <c r="O10680">
        <v>15.3</v>
      </c>
      <c r="P10680">
        <v>24.8</v>
      </c>
      <c r="Q10680">
        <v>25.9</v>
      </c>
      <c r="R10680">
        <v>26.9</v>
      </c>
      <c r="S10680">
        <v>24.4</v>
      </c>
      <c r="T10680">
        <v>1724</v>
      </c>
      <c r="U10680">
        <v>329</v>
      </c>
      <c r="V10680">
        <v>17</v>
      </c>
      <c r="W10680">
        <v>62</v>
      </c>
      <c r="X10680">
        <v>722</v>
      </c>
      <c r="Y10680">
        <v>101</v>
      </c>
      <c r="Z10680">
        <v>321</v>
      </c>
      <c r="AA10680">
        <v>668</v>
      </c>
      <c r="AB10680">
        <v>12.595470000000001</v>
      </c>
      <c r="AC10680">
        <v>1.5503650000000001E-2</v>
      </c>
      <c r="AD10680">
        <v>2.3979520000000001</v>
      </c>
      <c r="AE10680">
        <v>0.37777729999999998</v>
      </c>
      <c r="AF10680">
        <v>272.31060000000002</v>
      </c>
      <c r="AG10680">
        <f>IFERROR(AH10680*0.1, "N/A")</f>
        <v>5.6223390000000002</v>
      </c>
      <c r="AH10680">
        <v>56.223390000000002</v>
      </c>
      <c r="AI10680">
        <v>190.88030000000001</v>
      </c>
      <c r="AJ10680">
        <v>25.200700000000001</v>
      </c>
      <c r="AK10680">
        <v>56.776609999999998</v>
      </c>
    </row>
    <row r="10681" spans="1:37" x14ac:dyDescent="0.3">
      <c r="A10681">
        <v>10680</v>
      </c>
      <c r="B10681">
        <v>50</v>
      </c>
      <c r="C10681">
        <v>-7.7486499999999996</v>
      </c>
      <c r="D10681">
        <v>6.5654199999999996</v>
      </c>
      <c r="E10681">
        <f>-7.74865-6.56542</f>
        <v>-14.314069999999999</v>
      </c>
      <c r="F10681" t="s">
        <v>16081</v>
      </c>
      <c r="G10681" t="s">
        <v>37</v>
      </c>
      <c r="H10681">
        <v>2005</v>
      </c>
      <c r="I10681">
        <v>25.7</v>
      </c>
      <c r="J10681">
        <v>11.1</v>
      </c>
      <c r="K10681">
        <v>72</v>
      </c>
      <c r="L10681">
        <v>9.66</v>
      </c>
      <c r="M10681">
        <v>33.700000000000003</v>
      </c>
      <c r="N10681">
        <v>18.399999999999999</v>
      </c>
      <c r="O10681">
        <v>15.3</v>
      </c>
      <c r="P10681">
        <v>24.8</v>
      </c>
      <c r="Q10681">
        <v>25.9</v>
      </c>
      <c r="R10681">
        <v>26.9</v>
      </c>
      <c r="S10681">
        <v>24.4</v>
      </c>
      <c r="T10681">
        <v>1724</v>
      </c>
      <c r="U10681">
        <v>329</v>
      </c>
      <c r="V10681">
        <v>17</v>
      </c>
      <c r="W10681">
        <v>62</v>
      </c>
      <c r="X10681">
        <v>722</v>
      </c>
      <c r="Y10681">
        <v>101</v>
      </c>
      <c r="Z10681">
        <v>321</v>
      </c>
      <c r="AA10681">
        <v>668</v>
      </c>
      <c r="AB10681">
        <v>12.595470000000001</v>
      </c>
      <c r="AC10681">
        <v>1.5503650000000001E-2</v>
      </c>
      <c r="AD10681">
        <v>2.3979520000000001</v>
      </c>
      <c r="AE10681">
        <v>0.37777729999999998</v>
      </c>
      <c r="AF10681">
        <v>272.31060000000002</v>
      </c>
      <c r="AG10681">
        <f>IFERROR(AH10681*0.1, "N/A")</f>
        <v>5.6223390000000002</v>
      </c>
      <c r="AH10681">
        <v>56.223390000000002</v>
      </c>
      <c r="AI10681">
        <v>190.88030000000001</v>
      </c>
      <c r="AJ10681">
        <v>25.200700000000001</v>
      </c>
      <c r="AK10681">
        <v>56.776609999999998</v>
      </c>
    </row>
    <row r="10682" spans="1:37" x14ac:dyDescent="0.3">
      <c r="A10682">
        <v>10681</v>
      </c>
      <c r="B10682">
        <v>1.8</v>
      </c>
      <c r="C10682">
        <v>-5.0801699999999999</v>
      </c>
      <c r="D10682">
        <v>6.69862</v>
      </c>
      <c r="E10682">
        <f>-5.08017-6.69862</f>
        <v>-11.778790000000001</v>
      </c>
      <c r="F10682" t="s">
        <v>16082</v>
      </c>
      <c r="G10682" t="s">
        <v>39</v>
      </c>
      <c r="H10682">
        <v>1998</v>
      </c>
      <c r="I10682">
        <v>26.1</v>
      </c>
      <c r="J10682">
        <v>10.199999999999999</v>
      </c>
      <c r="K10682">
        <v>69</v>
      </c>
      <c r="L10682">
        <v>11.13</v>
      </c>
      <c r="M10682">
        <v>34</v>
      </c>
      <c r="N10682">
        <v>19.399999999999999</v>
      </c>
      <c r="O10682">
        <v>14.6</v>
      </c>
      <c r="P10682">
        <v>26.7</v>
      </c>
      <c r="Q10682">
        <v>25.6</v>
      </c>
      <c r="R10682">
        <v>27.8</v>
      </c>
      <c r="S10682">
        <v>24.9</v>
      </c>
      <c r="T10682">
        <v>1089</v>
      </c>
      <c r="U10682">
        <v>174</v>
      </c>
      <c r="V10682">
        <v>11</v>
      </c>
      <c r="W10682">
        <v>57</v>
      </c>
      <c r="X10682">
        <v>443</v>
      </c>
      <c r="Y10682">
        <v>68</v>
      </c>
      <c r="Z10682">
        <v>274</v>
      </c>
      <c r="AA10682">
        <v>317</v>
      </c>
      <c r="AB10682">
        <v>6.2787459999999999</v>
      </c>
      <c r="AC10682">
        <v>0.27501150000000002</v>
      </c>
      <c r="AD10682">
        <v>3.502208</v>
      </c>
      <c r="AE10682">
        <v>0.70570040000000001</v>
      </c>
      <c r="AF10682">
        <v>215.11500000000001</v>
      </c>
      <c r="AG10682">
        <f>IFERROR(AH10682*0.1, "N/A")</f>
        <v>5.6574910000000003</v>
      </c>
      <c r="AH10682">
        <v>56.574910000000003</v>
      </c>
      <c r="AI10682">
        <v>168.2757</v>
      </c>
      <c r="AJ10682">
        <v>24.810099999999998</v>
      </c>
      <c r="AK10682">
        <v>57.203830000000004</v>
      </c>
    </row>
    <row r="10683" spans="1:37" x14ac:dyDescent="0.3">
      <c r="A10683">
        <v>10682</v>
      </c>
      <c r="B10683">
        <v>3.7</v>
      </c>
      <c r="C10683">
        <v>-5.0040300000000002</v>
      </c>
      <c r="D10683">
        <v>6.7183000000000002</v>
      </c>
      <c r="E10683">
        <f>-5.00403-6.7183</f>
        <v>-11.722329999999999</v>
      </c>
      <c r="F10683" t="s">
        <v>16083</v>
      </c>
      <c r="G10683" t="s">
        <v>39</v>
      </c>
      <c r="H10683">
        <v>1998</v>
      </c>
      <c r="I10683">
        <v>26.5</v>
      </c>
      <c r="J10683">
        <v>10.3</v>
      </c>
      <c r="K10683">
        <v>70</v>
      </c>
      <c r="L10683">
        <v>11.09</v>
      </c>
      <c r="M10683">
        <v>34.4</v>
      </c>
      <c r="N10683">
        <v>19.7</v>
      </c>
      <c r="O10683">
        <v>14.7</v>
      </c>
      <c r="P10683">
        <v>27.2</v>
      </c>
      <c r="Q10683">
        <v>26</v>
      </c>
      <c r="R10683">
        <v>28.1</v>
      </c>
      <c r="S10683">
        <v>25.3</v>
      </c>
      <c r="T10683">
        <v>1077</v>
      </c>
      <c r="U10683">
        <v>175</v>
      </c>
      <c r="V10683">
        <v>10</v>
      </c>
      <c r="W10683">
        <v>58</v>
      </c>
      <c r="X10683">
        <v>442</v>
      </c>
      <c r="Y10683">
        <v>66</v>
      </c>
      <c r="Z10683">
        <v>269</v>
      </c>
      <c r="AA10683">
        <v>314</v>
      </c>
      <c r="AB10683">
        <v>16.237770000000001</v>
      </c>
      <c r="AC10683">
        <v>1.006371E-2</v>
      </c>
      <c r="AD10683">
        <v>2.5541870000000002</v>
      </c>
      <c r="AE10683">
        <v>0.66070189999999995</v>
      </c>
      <c r="AF10683">
        <v>165.2587</v>
      </c>
      <c r="AG10683">
        <f>IFERROR(AH10683*0.1, "N/A")</f>
        <v>5.7148600000000007</v>
      </c>
      <c r="AH10683">
        <v>57.148600000000002</v>
      </c>
      <c r="AI10683">
        <v>114.05840000000001</v>
      </c>
      <c r="AJ10683">
        <v>17.01923</v>
      </c>
      <c r="AK10683">
        <v>65.889859999999999</v>
      </c>
    </row>
    <row r="10684" spans="1:37" x14ac:dyDescent="0.3">
      <c r="A10684">
        <v>10683</v>
      </c>
      <c r="B10684">
        <v>6.5</v>
      </c>
      <c r="C10684">
        <v>-5.0831</v>
      </c>
      <c r="D10684">
        <v>6.7553299999999998</v>
      </c>
      <c r="E10684">
        <f>-5.0831-6.75533</f>
        <v>-11.838429999999999</v>
      </c>
      <c r="F10684" t="s">
        <v>16084</v>
      </c>
      <c r="G10684" t="s">
        <v>39</v>
      </c>
      <c r="H10684">
        <v>1998</v>
      </c>
      <c r="I10684">
        <v>26</v>
      </c>
      <c r="J10684">
        <v>10.3</v>
      </c>
      <c r="K10684">
        <v>70</v>
      </c>
      <c r="L10684">
        <v>11.091710000000001</v>
      </c>
      <c r="M10684">
        <v>33.9</v>
      </c>
      <c r="N10684">
        <v>19.2</v>
      </c>
      <c r="O10684">
        <v>14.7</v>
      </c>
      <c r="P10684">
        <v>26.6</v>
      </c>
      <c r="Q10684">
        <v>25.4</v>
      </c>
      <c r="R10684">
        <v>27.6</v>
      </c>
      <c r="S10684">
        <v>24.711849999999998</v>
      </c>
      <c r="T10684">
        <v>1090.2370000000001</v>
      </c>
      <c r="U10684">
        <v>171</v>
      </c>
      <c r="V10684">
        <v>11</v>
      </c>
      <c r="W10684">
        <v>57.881529999999998</v>
      </c>
      <c r="X10684">
        <v>441</v>
      </c>
      <c r="Y10684">
        <v>65</v>
      </c>
      <c r="Z10684">
        <v>272</v>
      </c>
      <c r="AA10684">
        <v>323.11849999999998</v>
      </c>
      <c r="AB10684">
        <v>32.100349999999999</v>
      </c>
      <c r="AC10684">
        <v>3.2006519999999997E-2</v>
      </c>
      <c r="AD10684">
        <v>2.1910449999999999</v>
      </c>
      <c r="AE10684">
        <v>0.56304209999999999</v>
      </c>
      <c r="AF10684">
        <v>232.8449</v>
      </c>
      <c r="AG10684">
        <f>IFERROR(AH10684*0.1, "N/A")</f>
        <v>5.707491000000001</v>
      </c>
      <c r="AH10684">
        <v>57.074910000000003</v>
      </c>
      <c r="AI10684">
        <v>283.20800000000003</v>
      </c>
      <c r="AJ10684">
        <v>16.599299999999999</v>
      </c>
      <c r="AK10684">
        <v>65.519159999999999</v>
      </c>
    </row>
    <row r="10685" spans="1:37" x14ac:dyDescent="0.3">
      <c r="A10685">
        <v>10684</v>
      </c>
      <c r="B10685">
        <v>0</v>
      </c>
      <c r="C10685">
        <v>-8.3355599999999992</v>
      </c>
      <c r="D10685">
        <v>6.7822199999999997</v>
      </c>
      <c r="E10685">
        <f>-8.33556-6.78222</f>
        <v>-15.11778</v>
      </c>
      <c r="F10685" t="s">
        <v>16085</v>
      </c>
      <c r="G10685" t="s">
        <v>39</v>
      </c>
      <c r="H10685">
        <v>2005</v>
      </c>
      <c r="I10685">
        <v>25.8</v>
      </c>
      <c r="J10685">
        <v>12.5</v>
      </c>
      <c r="K10685">
        <v>75</v>
      </c>
      <c r="L10685">
        <v>9.51</v>
      </c>
      <c r="M10685">
        <v>34.5</v>
      </c>
      <c r="N10685">
        <v>17.899999999999999</v>
      </c>
      <c r="O10685">
        <v>16.600000000000001</v>
      </c>
      <c r="P10685">
        <v>24.9</v>
      </c>
      <c r="Q10685">
        <v>25.8</v>
      </c>
      <c r="R10685">
        <v>27</v>
      </c>
      <c r="S10685">
        <v>24.4</v>
      </c>
      <c r="T10685">
        <v>1820</v>
      </c>
      <c r="U10685">
        <v>355</v>
      </c>
      <c r="V10685">
        <v>15</v>
      </c>
      <c r="W10685">
        <v>63</v>
      </c>
      <c r="X10685">
        <v>761</v>
      </c>
      <c r="Y10685">
        <v>97</v>
      </c>
      <c r="Z10685">
        <v>433</v>
      </c>
      <c r="AA10685">
        <v>752</v>
      </c>
      <c r="AB10685">
        <v>7.0857469999999996</v>
      </c>
      <c r="AC10685">
        <v>1.6727490000000001E-2</v>
      </c>
      <c r="AD10685">
        <v>4.8719840000000003</v>
      </c>
      <c r="AE10685">
        <v>0.37824659999999999</v>
      </c>
      <c r="AF10685">
        <v>239.0643</v>
      </c>
      <c r="AG10685">
        <f>IFERROR(AH10685*0.1, "N/A")</f>
        <v>5.2570430000000004</v>
      </c>
      <c r="AH10685">
        <v>52.570430000000002</v>
      </c>
      <c r="AI10685">
        <v>339.99779999999998</v>
      </c>
      <c r="AJ10685">
        <v>22.46435</v>
      </c>
      <c r="AK10685">
        <v>53.273040000000002</v>
      </c>
    </row>
    <row r="10686" spans="1:37" x14ac:dyDescent="0.3">
      <c r="A10686">
        <v>10685</v>
      </c>
      <c r="B10686">
        <v>51.8</v>
      </c>
      <c r="C10686">
        <v>-8.3355599999999992</v>
      </c>
      <c r="D10686">
        <v>6.7822199999999997</v>
      </c>
      <c r="E10686">
        <f>-8.33556-6.78222</f>
        <v>-15.11778</v>
      </c>
      <c r="F10686" t="s">
        <v>16086</v>
      </c>
      <c r="G10686" t="s">
        <v>37</v>
      </c>
      <c r="H10686">
        <v>2005</v>
      </c>
      <c r="I10686">
        <v>25.8</v>
      </c>
      <c r="J10686">
        <v>12.5</v>
      </c>
      <c r="K10686">
        <v>75</v>
      </c>
      <c r="L10686">
        <v>9.51</v>
      </c>
      <c r="M10686">
        <v>34.5</v>
      </c>
      <c r="N10686">
        <v>17.899999999999999</v>
      </c>
      <c r="O10686">
        <v>16.600000000000001</v>
      </c>
      <c r="P10686">
        <v>24.9</v>
      </c>
      <c r="Q10686">
        <v>25.8</v>
      </c>
      <c r="R10686">
        <v>27</v>
      </c>
      <c r="S10686">
        <v>24.4</v>
      </c>
      <c r="T10686">
        <v>1820</v>
      </c>
      <c r="U10686">
        <v>355</v>
      </c>
      <c r="V10686">
        <v>15</v>
      </c>
      <c r="W10686">
        <v>63</v>
      </c>
      <c r="X10686">
        <v>761</v>
      </c>
      <c r="Y10686">
        <v>97</v>
      </c>
      <c r="Z10686">
        <v>433</v>
      </c>
      <c r="AA10686">
        <v>752</v>
      </c>
      <c r="AB10686">
        <v>7.0857469999999996</v>
      </c>
      <c r="AC10686">
        <v>1.6727490000000001E-2</v>
      </c>
      <c r="AD10686">
        <v>4.8719840000000003</v>
      </c>
      <c r="AE10686">
        <v>0.37824659999999999</v>
      </c>
      <c r="AF10686">
        <v>239.0643</v>
      </c>
      <c r="AG10686">
        <f>IFERROR(AH10686*0.1, "N/A")</f>
        <v>5.2570430000000004</v>
      </c>
      <c r="AH10686">
        <v>52.570430000000002</v>
      </c>
      <c r="AI10686">
        <v>339.99779999999998</v>
      </c>
      <c r="AJ10686">
        <v>22.46435</v>
      </c>
      <c r="AK10686">
        <v>53.273040000000002</v>
      </c>
    </row>
    <row r="10687" spans="1:37" x14ac:dyDescent="0.3">
      <c r="A10687">
        <v>10686</v>
      </c>
      <c r="B10687">
        <v>0</v>
      </c>
      <c r="C10687">
        <v>-8.3000000000000007</v>
      </c>
      <c r="D10687">
        <v>6.8166700000000002</v>
      </c>
      <c r="E10687">
        <f>-8.3-6.81667</f>
        <v>-15.116670000000001</v>
      </c>
      <c r="F10687" t="s">
        <v>16087</v>
      </c>
      <c r="G10687" t="s">
        <v>39</v>
      </c>
      <c r="H10687">
        <v>2005</v>
      </c>
      <c r="I10687">
        <v>25.7</v>
      </c>
      <c r="J10687">
        <v>12.6</v>
      </c>
      <c r="K10687">
        <v>75</v>
      </c>
      <c r="L10687">
        <v>9.1029549999999997</v>
      </c>
      <c r="M10687">
        <v>34.4</v>
      </c>
      <c r="N10687">
        <v>17.7257</v>
      </c>
      <c r="O10687">
        <v>16.674299999999999</v>
      </c>
      <c r="P10687">
        <v>24.570630000000001</v>
      </c>
      <c r="Q10687">
        <v>25.7257</v>
      </c>
      <c r="R10687">
        <v>26.88776</v>
      </c>
      <c r="S10687">
        <v>24.460139999999999</v>
      </c>
      <c r="T10687">
        <v>1833.0909999999999</v>
      </c>
      <c r="U10687">
        <v>356.12240000000003</v>
      </c>
      <c r="V10687">
        <v>15</v>
      </c>
      <c r="W10687">
        <v>63</v>
      </c>
      <c r="X10687">
        <v>769.84619999999995</v>
      </c>
      <c r="Y10687">
        <v>96.398600000000002</v>
      </c>
      <c r="Z10687">
        <v>431.27620000000002</v>
      </c>
      <c r="AA10687">
        <v>769.29369999999994</v>
      </c>
      <c r="AB10687">
        <v>15.221679999999999</v>
      </c>
      <c r="AC10687">
        <v>9.5719740000000005E-3</v>
      </c>
      <c r="AD10687">
        <v>2.8514970000000002</v>
      </c>
      <c r="AE10687">
        <v>0.47739819999999999</v>
      </c>
      <c r="AF10687">
        <v>252.19059999999999</v>
      </c>
      <c r="AG10687">
        <f>IFERROR(AH10687*0.1, "N/A")</f>
        <v>5.4</v>
      </c>
      <c r="AH10687">
        <v>54</v>
      </c>
      <c r="AI10687">
        <v>83.973209999999995</v>
      </c>
      <c r="AJ10687">
        <v>22</v>
      </c>
      <c r="AK10687">
        <v>55.14161</v>
      </c>
    </row>
    <row r="10688" spans="1:37" x14ac:dyDescent="0.3">
      <c r="A10688">
        <v>10687</v>
      </c>
      <c r="B10688">
        <v>20.3</v>
      </c>
      <c r="C10688">
        <v>-8.3000000000000007</v>
      </c>
      <c r="D10688">
        <v>6.8166700000000002</v>
      </c>
      <c r="E10688">
        <f>-8.3-6.81667</f>
        <v>-15.116670000000001</v>
      </c>
      <c r="F10688" t="s">
        <v>16088</v>
      </c>
      <c r="G10688" t="s">
        <v>37</v>
      </c>
      <c r="H10688">
        <v>2005</v>
      </c>
      <c r="I10688">
        <v>25.7</v>
      </c>
      <c r="J10688">
        <v>12.6</v>
      </c>
      <c r="K10688">
        <v>75</v>
      </c>
      <c r="L10688">
        <v>9.1029549999999997</v>
      </c>
      <c r="M10688">
        <v>34.4</v>
      </c>
      <c r="N10688">
        <v>17.7257</v>
      </c>
      <c r="O10688">
        <v>16.674299999999999</v>
      </c>
      <c r="P10688">
        <v>24.570630000000001</v>
      </c>
      <c r="Q10688">
        <v>25.7257</v>
      </c>
      <c r="R10688">
        <v>26.88776</v>
      </c>
      <c r="S10688">
        <v>24.460139999999999</v>
      </c>
      <c r="T10688">
        <v>1833.0909999999999</v>
      </c>
      <c r="U10688">
        <v>356.12240000000003</v>
      </c>
      <c r="V10688">
        <v>15</v>
      </c>
      <c r="W10688">
        <v>63</v>
      </c>
      <c r="X10688">
        <v>769.84619999999995</v>
      </c>
      <c r="Y10688">
        <v>96.398600000000002</v>
      </c>
      <c r="Z10688">
        <v>431.27620000000002</v>
      </c>
      <c r="AA10688">
        <v>769.29369999999994</v>
      </c>
      <c r="AB10688">
        <v>15.221679999999999</v>
      </c>
      <c r="AC10688">
        <v>9.5719740000000005E-3</v>
      </c>
      <c r="AD10688">
        <v>2.8514970000000002</v>
      </c>
      <c r="AE10688">
        <v>0.47739819999999999</v>
      </c>
      <c r="AF10688">
        <v>252.19059999999999</v>
      </c>
      <c r="AG10688">
        <f>IFERROR(AH10688*0.1, "N/A")</f>
        <v>5.4</v>
      </c>
      <c r="AH10688">
        <v>54</v>
      </c>
      <c r="AI10688">
        <v>83.973209999999995</v>
      </c>
      <c r="AJ10688">
        <v>22</v>
      </c>
      <c r="AK10688">
        <v>55.14161</v>
      </c>
    </row>
    <row r="10689" spans="1:37" x14ac:dyDescent="0.3">
      <c r="A10689">
        <v>10688</v>
      </c>
      <c r="B10689">
        <v>14.4</v>
      </c>
      <c r="C10689">
        <v>-6.4305599999999998</v>
      </c>
      <c r="D10689">
        <v>6.8722200000000004</v>
      </c>
      <c r="E10689">
        <f>-6.43056-6.87222</f>
        <v>-13.30278</v>
      </c>
      <c r="F10689" t="s">
        <v>16089</v>
      </c>
      <c r="G10689" t="s">
        <v>39</v>
      </c>
      <c r="H10689">
        <v>2004</v>
      </c>
      <c r="I10689">
        <v>25.8</v>
      </c>
      <c r="J10689">
        <v>10.199999999999999</v>
      </c>
      <c r="K10689">
        <v>72</v>
      </c>
      <c r="L10689">
        <v>9.61</v>
      </c>
      <c r="M10689">
        <v>33.4</v>
      </c>
      <c r="N10689">
        <v>19.3</v>
      </c>
      <c r="O10689">
        <v>14.1</v>
      </c>
      <c r="P10689">
        <v>24.9</v>
      </c>
      <c r="Q10689">
        <v>25.7</v>
      </c>
      <c r="R10689">
        <v>27.2</v>
      </c>
      <c r="S10689">
        <v>24.6</v>
      </c>
      <c r="T10689">
        <v>1310</v>
      </c>
      <c r="U10689">
        <v>222</v>
      </c>
      <c r="V10689">
        <v>14</v>
      </c>
      <c r="W10689">
        <v>55</v>
      </c>
      <c r="X10689">
        <v>507</v>
      </c>
      <c r="Y10689">
        <v>84</v>
      </c>
      <c r="Z10689">
        <v>309</v>
      </c>
      <c r="AA10689">
        <v>463</v>
      </c>
      <c r="AB10689">
        <v>17.808350000000001</v>
      </c>
      <c r="AC10689">
        <v>1.183845E-2</v>
      </c>
      <c r="AD10689">
        <v>2.5702370000000001</v>
      </c>
      <c r="AE10689">
        <v>0.8899667</v>
      </c>
      <c r="AF10689">
        <v>250.70779999999999</v>
      </c>
      <c r="AG10689">
        <f>IFERROR(AH10689*0.1, "N/A")</f>
        <v>5.7732170000000007</v>
      </c>
      <c r="AH10689">
        <v>57.732170000000004</v>
      </c>
      <c r="AI10689">
        <v>155.19409999999999</v>
      </c>
      <c r="AJ10689">
        <v>15.81739</v>
      </c>
      <c r="AK10689">
        <v>66.49391</v>
      </c>
    </row>
    <row r="10690" spans="1:37" x14ac:dyDescent="0.3">
      <c r="A10690">
        <v>10689</v>
      </c>
      <c r="B10690">
        <v>0.3</v>
      </c>
      <c r="C10690">
        <v>-6.4519399999999996</v>
      </c>
      <c r="D10690">
        <v>6.8747199999999999</v>
      </c>
      <c r="E10690">
        <f>-6.45194-6.87472</f>
        <v>-13.32666</v>
      </c>
      <c r="F10690" t="s">
        <v>16090</v>
      </c>
      <c r="G10690" t="s">
        <v>37</v>
      </c>
      <c r="H10690">
        <v>2007</v>
      </c>
      <c r="I10690">
        <v>25.6</v>
      </c>
      <c r="J10690">
        <v>10.199999999999999</v>
      </c>
      <c r="K10690">
        <v>72</v>
      </c>
      <c r="L10690">
        <v>9.9701389999999996</v>
      </c>
      <c r="M10690">
        <v>33.200000000000003</v>
      </c>
      <c r="N10690">
        <v>19.100000000000001</v>
      </c>
      <c r="O10690">
        <v>14.1</v>
      </c>
      <c r="P10690">
        <v>24.64415</v>
      </c>
      <c r="Q10690">
        <v>25.4</v>
      </c>
      <c r="R10690">
        <v>26.955850000000002</v>
      </c>
      <c r="S10690">
        <v>24.344149999999999</v>
      </c>
      <c r="T10690">
        <v>1316.442</v>
      </c>
      <c r="U10690">
        <v>222.44149999999999</v>
      </c>
      <c r="V10690">
        <v>14</v>
      </c>
      <c r="W10690">
        <v>55</v>
      </c>
      <c r="X10690">
        <v>512.44150000000002</v>
      </c>
      <c r="Y10690">
        <v>85</v>
      </c>
      <c r="Z10690">
        <v>309</v>
      </c>
      <c r="AA10690">
        <v>468</v>
      </c>
      <c r="AB10690">
        <v>29.66789</v>
      </c>
      <c r="AC10690">
        <v>1.49015E-2</v>
      </c>
      <c r="AD10690">
        <v>1.3985000000000001</v>
      </c>
      <c r="AE10690">
        <v>0.92285810000000001</v>
      </c>
      <c r="AF10690">
        <v>277.0489</v>
      </c>
      <c r="AG10690">
        <f>IFERROR(AH10690*0.1, "N/A")</f>
        <v>5.9</v>
      </c>
      <c r="AH10690">
        <v>59</v>
      </c>
      <c r="AI10690">
        <v>160.79949999999999</v>
      </c>
      <c r="AJ10690">
        <v>20.300170000000001</v>
      </c>
      <c r="AK10690">
        <v>62.09948</v>
      </c>
    </row>
    <row r="10691" spans="1:37" x14ac:dyDescent="0.3">
      <c r="A10691">
        <v>10690</v>
      </c>
      <c r="B10691">
        <v>7</v>
      </c>
      <c r="C10691">
        <v>-5.4033100000000003</v>
      </c>
      <c r="D10691">
        <v>6.8772000000000002</v>
      </c>
      <c r="E10691">
        <f>-5.40331-6.8772</f>
        <v>-12.28051</v>
      </c>
      <c r="F10691" t="s">
        <v>16091</v>
      </c>
      <c r="G10691" t="s">
        <v>39</v>
      </c>
      <c r="H10691">
        <v>1976</v>
      </c>
      <c r="I10691">
        <v>26</v>
      </c>
      <c r="J10691">
        <v>10.4</v>
      </c>
      <c r="K10691">
        <v>70</v>
      </c>
      <c r="L10691">
        <v>11.3</v>
      </c>
      <c r="M10691">
        <v>33.9</v>
      </c>
      <c r="N10691">
        <v>19.100000000000001</v>
      </c>
      <c r="O10691">
        <v>14.8</v>
      </c>
      <c r="P10691">
        <v>26.7</v>
      </c>
      <c r="Q10691">
        <v>25.3</v>
      </c>
      <c r="R10691">
        <v>27.7</v>
      </c>
      <c r="S10691">
        <v>24.9</v>
      </c>
      <c r="T10691">
        <v>1184</v>
      </c>
      <c r="U10691">
        <v>183</v>
      </c>
      <c r="V10691">
        <v>15</v>
      </c>
      <c r="W10691">
        <v>57</v>
      </c>
      <c r="X10691">
        <v>463</v>
      </c>
      <c r="Y10691">
        <v>70</v>
      </c>
      <c r="Z10691">
        <v>286</v>
      </c>
      <c r="AA10691">
        <v>370</v>
      </c>
      <c r="AB10691">
        <v>17.01624</v>
      </c>
      <c r="AC10691">
        <v>1.1598199999999999E-2</v>
      </c>
      <c r="AD10691">
        <v>1.9669920000000001</v>
      </c>
      <c r="AE10691">
        <v>0.71857729999999997</v>
      </c>
      <c r="AF10691">
        <v>186.1763</v>
      </c>
      <c r="AG10691">
        <f>IFERROR(AH10691*0.1, "N/A")</f>
        <v>6.1052360000000006</v>
      </c>
      <c r="AH10691">
        <v>61.05236</v>
      </c>
      <c r="AI10691">
        <v>175.23519999999999</v>
      </c>
      <c r="AJ10691">
        <v>17.94764</v>
      </c>
      <c r="AK10691">
        <v>62.104709999999997</v>
      </c>
    </row>
    <row r="10692" spans="1:37" x14ac:dyDescent="0.3">
      <c r="A10692">
        <v>10691</v>
      </c>
      <c r="B10692">
        <v>1.4</v>
      </c>
      <c r="C10692">
        <v>-8.1333300000000008</v>
      </c>
      <c r="D10692">
        <v>6.8833299999999999</v>
      </c>
      <c r="E10692">
        <f>-8.13333-6.88333</f>
        <v>-15.016660000000002</v>
      </c>
      <c r="F10692" t="s">
        <v>16092</v>
      </c>
      <c r="G10692" t="s">
        <v>39</v>
      </c>
      <c r="H10692">
        <v>2005</v>
      </c>
      <c r="I10692">
        <v>25.545570000000001</v>
      </c>
      <c r="J10692">
        <v>12.3</v>
      </c>
      <c r="K10692">
        <v>73</v>
      </c>
      <c r="L10692">
        <v>9.2974440000000005</v>
      </c>
      <c r="M10692">
        <v>34.145560000000003</v>
      </c>
      <c r="N10692">
        <v>17.39113</v>
      </c>
      <c r="O10692">
        <v>16.754429999999999</v>
      </c>
      <c r="P10692">
        <v>24.245570000000001</v>
      </c>
      <c r="Q10692">
        <v>25.545570000000001</v>
      </c>
      <c r="R10692">
        <v>26.7</v>
      </c>
      <c r="S10692">
        <v>24.245570000000001</v>
      </c>
      <c r="T10692">
        <v>1840.346</v>
      </c>
      <c r="U10692">
        <v>352.07830000000001</v>
      </c>
      <c r="V10692">
        <v>16</v>
      </c>
      <c r="W10692">
        <v>63</v>
      </c>
      <c r="X10692">
        <v>793.23649999999998</v>
      </c>
      <c r="Y10692">
        <v>98.544349999999994</v>
      </c>
      <c r="Z10692">
        <v>426.54430000000002</v>
      </c>
      <c r="AA10692">
        <v>793.23649999999998</v>
      </c>
      <c r="AB10692">
        <v>0.78260459999999998</v>
      </c>
      <c r="AC10692">
        <v>2.3192879999999998</v>
      </c>
      <c r="AD10692">
        <v>1.969047</v>
      </c>
      <c r="AE10692">
        <v>0.65055300000000005</v>
      </c>
      <c r="AF10692">
        <v>272.07650000000001</v>
      </c>
      <c r="AG10692">
        <f>IFERROR(AH10692*0.1, "N/A")</f>
        <v>5.4320000000000004</v>
      </c>
      <c r="AH10692">
        <v>54.32</v>
      </c>
      <c r="AI10692">
        <v>159.7713</v>
      </c>
      <c r="AJ10692">
        <v>16.953040000000001</v>
      </c>
      <c r="AK10692">
        <v>61.911299999999997</v>
      </c>
    </row>
    <row r="10693" spans="1:37" x14ac:dyDescent="0.3">
      <c r="A10693">
        <v>10692</v>
      </c>
      <c r="B10693">
        <v>42.7</v>
      </c>
      <c r="C10693">
        <v>-8.1333300000000008</v>
      </c>
      <c r="D10693">
        <v>6.8833299999999999</v>
      </c>
      <c r="E10693">
        <f>-8.13333-6.88333</f>
        <v>-15.016660000000002</v>
      </c>
      <c r="F10693" t="s">
        <v>16093</v>
      </c>
      <c r="G10693" t="s">
        <v>37</v>
      </c>
      <c r="H10693">
        <v>2005</v>
      </c>
      <c r="I10693">
        <v>25.545570000000001</v>
      </c>
      <c r="J10693">
        <v>12.3</v>
      </c>
      <c r="K10693">
        <v>73</v>
      </c>
      <c r="L10693">
        <v>9.2974440000000005</v>
      </c>
      <c r="M10693">
        <v>34.145560000000003</v>
      </c>
      <c r="N10693">
        <v>17.39113</v>
      </c>
      <c r="O10693">
        <v>16.754429999999999</v>
      </c>
      <c r="P10693">
        <v>24.245570000000001</v>
      </c>
      <c r="Q10693">
        <v>25.545570000000001</v>
      </c>
      <c r="R10693">
        <v>26.7</v>
      </c>
      <c r="S10693">
        <v>24.245570000000001</v>
      </c>
      <c r="T10693">
        <v>1840.346</v>
      </c>
      <c r="U10693">
        <v>352.07830000000001</v>
      </c>
      <c r="V10693">
        <v>16</v>
      </c>
      <c r="W10693">
        <v>63</v>
      </c>
      <c r="X10693">
        <v>793.23649999999998</v>
      </c>
      <c r="Y10693">
        <v>98.544349999999994</v>
      </c>
      <c r="Z10693">
        <v>426.54430000000002</v>
      </c>
      <c r="AA10693">
        <v>793.23649999999998</v>
      </c>
      <c r="AB10693">
        <v>0.78260459999999998</v>
      </c>
      <c r="AC10693">
        <v>2.3192879999999998</v>
      </c>
      <c r="AD10693">
        <v>1.969047</v>
      </c>
      <c r="AE10693">
        <v>0.65055300000000005</v>
      </c>
      <c r="AF10693">
        <v>272.07650000000001</v>
      </c>
      <c r="AG10693">
        <f>IFERROR(AH10693*0.1, "N/A")</f>
        <v>5.4320000000000004</v>
      </c>
      <c r="AH10693">
        <v>54.32</v>
      </c>
      <c r="AI10693">
        <v>159.7713</v>
      </c>
      <c r="AJ10693">
        <v>16.953040000000001</v>
      </c>
      <c r="AK10693">
        <v>61.911299999999997</v>
      </c>
    </row>
    <row r="10694" spans="1:37" x14ac:dyDescent="0.3">
      <c r="A10694">
        <v>10693</v>
      </c>
      <c r="B10694">
        <v>0</v>
      </c>
      <c r="C10694">
        <v>-8.15</v>
      </c>
      <c r="D10694">
        <v>6.8833299999999999</v>
      </c>
      <c r="E10694">
        <f>-8.15-6.88333</f>
        <v>-15.033329999999999</v>
      </c>
      <c r="F10694" t="s">
        <v>16094</v>
      </c>
      <c r="G10694" t="s">
        <v>39</v>
      </c>
      <c r="H10694">
        <v>1980</v>
      </c>
      <c r="I10694">
        <v>25.499649999999999</v>
      </c>
      <c r="J10694">
        <v>12.4</v>
      </c>
      <c r="K10694">
        <v>73</v>
      </c>
      <c r="L10694">
        <v>9.3672470000000008</v>
      </c>
      <c r="M10694">
        <v>34.114629999999998</v>
      </c>
      <c r="N10694">
        <v>17.3</v>
      </c>
      <c r="O10694">
        <v>16.814630000000001</v>
      </c>
      <c r="P10694">
        <v>24.2</v>
      </c>
      <c r="Q10694">
        <v>25.5</v>
      </c>
      <c r="R10694">
        <v>26.6</v>
      </c>
      <c r="S10694">
        <v>24.2</v>
      </c>
      <c r="T10694">
        <v>1848.355</v>
      </c>
      <c r="U10694">
        <v>353.86759999999998</v>
      </c>
      <c r="V10694">
        <v>16</v>
      </c>
      <c r="W10694">
        <v>63</v>
      </c>
      <c r="X10694">
        <v>797.33100000000002</v>
      </c>
      <c r="Y10694">
        <v>99</v>
      </c>
      <c r="Z10694">
        <v>410.76310000000001</v>
      </c>
      <c r="AA10694">
        <v>797.33100000000002</v>
      </c>
      <c r="AB10694">
        <v>8.8280279999999998</v>
      </c>
      <c r="AC10694">
        <v>7.6919370000000001E-2</v>
      </c>
      <c r="AD10694">
        <v>4.0159250000000002</v>
      </c>
      <c r="AE10694">
        <v>0.7688393</v>
      </c>
      <c r="AF10694">
        <v>286.4948</v>
      </c>
      <c r="AG10694">
        <f>IFERROR(AH10694*0.1, "N/A")</f>
        <v>5.3850170000000004</v>
      </c>
      <c r="AH10694">
        <v>53.850169999999999</v>
      </c>
      <c r="AI10694">
        <v>45.862090000000002</v>
      </c>
      <c r="AJ10694">
        <v>21.142859999999999</v>
      </c>
      <c r="AK10694">
        <v>57.986060000000002</v>
      </c>
    </row>
    <row r="10695" spans="1:37" x14ac:dyDescent="0.3">
      <c r="A10695">
        <v>10694</v>
      </c>
      <c r="B10695">
        <v>0</v>
      </c>
      <c r="C10695">
        <v>-8.15</v>
      </c>
      <c r="D10695">
        <v>6.8833299999999999</v>
      </c>
      <c r="E10695">
        <f>-8.15-6.88333</f>
        <v>-15.033329999999999</v>
      </c>
      <c r="F10695" t="s">
        <v>16095</v>
      </c>
      <c r="G10695" t="s">
        <v>37</v>
      </c>
      <c r="H10695">
        <v>1980</v>
      </c>
      <c r="I10695">
        <v>25.499649999999999</v>
      </c>
      <c r="J10695">
        <v>12.4</v>
      </c>
      <c r="K10695">
        <v>73</v>
      </c>
      <c r="L10695">
        <v>9.3672470000000008</v>
      </c>
      <c r="M10695">
        <v>34.114629999999998</v>
      </c>
      <c r="N10695">
        <v>17.3</v>
      </c>
      <c r="O10695">
        <v>16.814630000000001</v>
      </c>
      <c r="P10695">
        <v>24.2</v>
      </c>
      <c r="Q10695">
        <v>25.5</v>
      </c>
      <c r="R10695">
        <v>26.6</v>
      </c>
      <c r="S10695">
        <v>24.2</v>
      </c>
      <c r="T10695">
        <v>1848.355</v>
      </c>
      <c r="U10695">
        <v>353.86759999999998</v>
      </c>
      <c r="V10695">
        <v>16</v>
      </c>
      <c r="W10695">
        <v>63</v>
      </c>
      <c r="X10695">
        <v>797.33100000000002</v>
      </c>
      <c r="Y10695">
        <v>99</v>
      </c>
      <c r="Z10695">
        <v>410.76310000000001</v>
      </c>
      <c r="AA10695">
        <v>797.33100000000002</v>
      </c>
      <c r="AB10695">
        <v>8.8280279999999998</v>
      </c>
      <c r="AC10695">
        <v>7.6919370000000001E-2</v>
      </c>
      <c r="AD10695">
        <v>4.0159250000000002</v>
      </c>
      <c r="AE10695">
        <v>0.7688393</v>
      </c>
      <c r="AF10695">
        <v>286.4948</v>
      </c>
      <c r="AG10695">
        <f>IFERROR(AH10695*0.1, "N/A")</f>
        <v>5.3850170000000004</v>
      </c>
      <c r="AH10695">
        <v>53.850169999999999</v>
      </c>
      <c r="AI10695">
        <v>45.862090000000002</v>
      </c>
      <c r="AJ10695">
        <v>21.142859999999999</v>
      </c>
      <c r="AK10695">
        <v>57.986060000000002</v>
      </c>
    </row>
    <row r="10696" spans="1:37" x14ac:dyDescent="0.3">
      <c r="A10696">
        <v>10695</v>
      </c>
      <c r="B10696">
        <v>40.1</v>
      </c>
      <c r="C10696">
        <v>-6.4694399999999996</v>
      </c>
      <c r="D10696">
        <v>6.88889</v>
      </c>
      <c r="E10696">
        <f>-6.46944-6.88889</f>
        <v>-13.358329999999999</v>
      </c>
      <c r="F10696" t="s">
        <v>16096</v>
      </c>
      <c r="G10696" t="s">
        <v>39</v>
      </c>
      <c r="H10696">
        <v>2004</v>
      </c>
      <c r="I10696">
        <v>25.8</v>
      </c>
      <c r="J10696">
        <v>10.199999999999999</v>
      </c>
      <c r="K10696">
        <v>71</v>
      </c>
      <c r="L10696">
        <v>9.75</v>
      </c>
      <c r="M10696">
        <v>33.4</v>
      </c>
      <c r="N10696">
        <v>19.2</v>
      </c>
      <c r="O10696">
        <v>14.2</v>
      </c>
      <c r="P10696">
        <v>24.8</v>
      </c>
      <c r="Q10696">
        <v>25.6</v>
      </c>
      <c r="R10696">
        <v>27.1</v>
      </c>
      <c r="S10696">
        <v>24.5</v>
      </c>
      <c r="T10696">
        <v>1312</v>
      </c>
      <c r="U10696">
        <v>224</v>
      </c>
      <c r="V10696">
        <v>14</v>
      </c>
      <c r="W10696">
        <v>55</v>
      </c>
      <c r="X10696">
        <v>513</v>
      </c>
      <c r="Y10696">
        <v>84</v>
      </c>
      <c r="Z10696">
        <v>307</v>
      </c>
      <c r="AA10696">
        <v>469</v>
      </c>
      <c r="AB10696">
        <v>11.835430000000001</v>
      </c>
      <c r="AC10696">
        <v>2.504733E-2</v>
      </c>
      <c r="AD10696">
        <v>3.0787949999999999</v>
      </c>
      <c r="AE10696">
        <v>0.83571410000000002</v>
      </c>
      <c r="AF10696">
        <v>252.98599999999999</v>
      </c>
      <c r="AG10696">
        <f>IFERROR(AH10696*0.1, "N/A")</f>
        <v>6.1099480000000002</v>
      </c>
      <c r="AH10696">
        <v>61.09948</v>
      </c>
      <c r="AI10696">
        <v>122.34910000000001</v>
      </c>
      <c r="AJ10696">
        <v>20.25131</v>
      </c>
      <c r="AK10696">
        <v>62.748690000000003</v>
      </c>
    </row>
    <row r="10697" spans="1:37" x14ac:dyDescent="0.3">
      <c r="A10697">
        <v>10696</v>
      </c>
      <c r="B10697">
        <v>1</v>
      </c>
      <c r="C10697">
        <v>-8.1279199999999996</v>
      </c>
      <c r="D10697">
        <v>6.9028499999999999</v>
      </c>
      <c r="E10697">
        <f>-8.12792-6.90285</f>
        <v>-15.03077</v>
      </c>
      <c r="F10697" t="s">
        <v>16097</v>
      </c>
      <c r="G10697" t="s">
        <v>39</v>
      </c>
      <c r="H10697">
        <v>2005</v>
      </c>
      <c r="I10697">
        <v>25.5</v>
      </c>
      <c r="J10697">
        <v>12.4</v>
      </c>
      <c r="K10697">
        <v>73</v>
      </c>
      <c r="L10697">
        <v>9.26</v>
      </c>
      <c r="M10697">
        <v>34.1</v>
      </c>
      <c r="N10697">
        <v>17.3</v>
      </c>
      <c r="O10697">
        <v>16.8</v>
      </c>
      <c r="P10697">
        <v>24.2</v>
      </c>
      <c r="Q10697">
        <v>25.5</v>
      </c>
      <c r="R10697">
        <v>26.6</v>
      </c>
      <c r="S10697">
        <v>24.2</v>
      </c>
      <c r="T10697">
        <v>1848</v>
      </c>
      <c r="U10697">
        <v>353</v>
      </c>
      <c r="V10697">
        <v>16</v>
      </c>
      <c r="W10697">
        <v>63</v>
      </c>
      <c r="X10697">
        <v>801</v>
      </c>
      <c r="Y10697">
        <v>99</v>
      </c>
      <c r="Z10697">
        <v>427</v>
      </c>
      <c r="AA10697">
        <v>801</v>
      </c>
      <c r="AB10697">
        <v>13.471539999999999</v>
      </c>
      <c r="AC10697">
        <v>1.9066550000000002E-2</v>
      </c>
      <c r="AD10697">
        <v>1.4785999999999999</v>
      </c>
      <c r="AE10697">
        <v>0.58276119999999998</v>
      </c>
      <c r="AF10697">
        <v>286.18060000000003</v>
      </c>
      <c r="AG10697">
        <f>IFERROR(AH10697*0.1, "N/A")</f>
        <v>5.2954860000000004</v>
      </c>
      <c r="AH10697">
        <v>52.954859999999996</v>
      </c>
      <c r="AI10697">
        <v>131.80410000000001</v>
      </c>
      <c r="AJ10697">
        <v>15.09028</v>
      </c>
      <c r="AK10697">
        <v>61.954859999999996</v>
      </c>
    </row>
    <row r="10698" spans="1:37" x14ac:dyDescent="0.3">
      <c r="A10698">
        <v>10697</v>
      </c>
      <c r="B10698">
        <v>65.099999999999994</v>
      </c>
      <c r="C10698">
        <v>-8.1279199999999996</v>
      </c>
      <c r="D10698">
        <v>6.9028499999999999</v>
      </c>
      <c r="E10698">
        <f>-8.12792-6.90285</f>
        <v>-15.03077</v>
      </c>
      <c r="F10698" t="s">
        <v>16098</v>
      </c>
      <c r="G10698" t="s">
        <v>37</v>
      </c>
      <c r="H10698">
        <v>2005</v>
      </c>
      <c r="I10698">
        <v>25.5</v>
      </c>
      <c r="J10698">
        <v>12.4</v>
      </c>
      <c r="K10698">
        <v>73</v>
      </c>
      <c r="L10698">
        <v>9.26</v>
      </c>
      <c r="M10698">
        <v>34.1</v>
      </c>
      <c r="N10698">
        <v>17.3</v>
      </c>
      <c r="O10698">
        <v>16.8</v>
      </c>
      <c r="P10698">
        <v>24.2</v>
      </c>
      <c r="Q10698">
        <v>25.5</v>
      </c>
      <c r="R10698">
        <v>26.6</v>
      </c>
      <c r="S10698">
        <v>24.2</v>
      </c>
      <c r="T10698">
        <v>1848</v>
      </c>
      <c r="U10698">
        <v>353</v>
      </c>
      <c r="V10698">
        <v>16</v>
      </c>
      <c r="W10698">
        <v>63</v>
      </c>
      <c r="X10698">
        <v>801</v>
      </c>
      <c r="Y10698">
        <v>99</v>
      </c>
      <c r="Z10698">
        <v>427</v>
      </c>
      <c r="AA10698">
        <v>801</v>
      </c>
      <c r="AB10698">
        <v>13.471539999999999</v>
      </c>
      <c r="AC10698">
        <v>1.9066550000000002E-2</v>
      </c>
      <c r="AD10698">
        <v>1.4785999999999999</v>
      </c>
      <c r="AE10698">
        <v>0.58276119999999998</v>
      </c>
      <c r="AF10698">
        <v>286.18060000000003</v>
      </c>
      <c r="AG10698">
        <f>IFERROR(AH10698*0.1, "N/A")</f>
        <v>5.2954860000000004</v>
      </c>
      <c r="AH10698">
        <v>52.954859999999996</v>
      </c>
      <c r="AI10698">
        <v>131.80410000000001</v>
      </c>
      <c r="AJ10698">
        <v>15.09028</v>
      </c>
      <c r="AK10698">
        <v>61.954859999999996</v>
      </c>
    </row>
    <row r="10699" spans="1:37" x14ac:dyDescent="0.3">
      <c r="A10699">
        <v>10698</v>
      </c>
      <c r="B10699">
        <v>2.7</v>
      </c>
      <c r="C10699">
        <v>-8.2333300000000005</v>
      </c>
      <c r="D10699">
        <v>6.9166699999999999</v>
      </c>
      <c r="E10699">
        <f>-8.23333-6.91667</f>
        <v>-15.15</v>
      </c>
      <c r="F10699" t="s">
        <v>16099</v>
      </c>
      <c r="G10699" t="s">
        <v>39</v>
      </c>
      <c r="H10699">
        <v>2005</v>
      </c>
      <c r="I10699">
        <v>25.6</v>
      </c>
      <c r="J10699">
        <v>12.6</v>
      </c>
      <c r="K10699">
        <v>74.213909999999998</v>
      </c>
      <c r="L10699">
        <v>9.0545050000000007</v>
      </c>
      <c r="M10699">
        <v>34.299999999999997</v>
      </c>
      <c r="N10699">
        <v>17.421389999999999</v>
      </c>
      <c r="O10699">
        <v>16.878609999999998</v>
      </c>
      <c r="P10699">
        <v>24.3</v>
      </c>
      <c r="Q10699">
        <v>25.621390000000002</v>
      </c>
      <c r="R10699">
        <v>26.727650000000001</v>
      </c>
      <c r="S10699">
        <v>24.3</v>
      </c>
      <c r="T10699">
        <v>1863.951</v>
      </c>
      <c r="U10699">
        <v>358</v>
      </c>
      <c r="V10699">
        <v>15</v>
      </c>
      <c r="W10699">
        <v>63</v>
      </c>
      <c r="X10699">
        <v>807.35299999999995</v>
      </c>
      <c r="Y10699">
        <v>97</v>
      </c>
      <c r="Z10699">
        <v>427.93740000000003</v>
      </c>
      <c r="AA10699">
        <v>807.35299999999995</v>
      </c>
      <c r="AB10699">
        <v>20.302430000000001</v>
      </c>
      <c r="AC10699">
        <v>1.033186E-2</v>
      </c>
      <c r="AD10699">
        <v>3.6439210000000002</v>
      </c>
      <c r="AE10699">
        <v>0.52749650000000003</v>
      </c>
      <c r="AF10699">
        <v>263.76519999999999</v>
      </c>
      <c r="AG10699">
        <f>IFERROR(AH10699*0.1, "N/A")</f>
        <v>5.3000000000000007</v>
      </c>
      <c r="AH10699">
        <v>53</v>
      </c>
      <c r="AI10699">
        <v>226.739</v>
      </c>
      <c r="AJ10699">
        <v>21.99652</v>
      </c>
      <c r="AK10699">
        <v>54.982610000000001</v>
      </c>
    </row>
    <row r="10700" spans="1:37" x14ac:dyDescent="0.3">
      <c r="A10700">
        <v>10699</v>
      </c>
      <c r="B10700">
        <v>50.3</v>
      </c>
      <c r="C10700">
        <v>-8.2333300000000005</v>
      </c>
      <c r="D10700">
        <v>6.9166699999999999</v>
      </c>
      <c r="E10700">
        <f>-8.23333-6.91667</f>
        <v>-15.15</v>
      </c>
      <c r="F10700" t="s">
        <v>16100</v>
      </c>
      <c r="G10700" t="s">
        <v>37</v>
      </c>
      <c r="H10700">
        <v>2005</v>
      </c>
      <c r="I10700">
        <v>25.6</v>
      </c>
      <c r="J10700">
        <v>12.6</v>
      </c>
      <c r="K10700">
        <v>74.213909999999998</v>
      </c>
      <c r="L10700">
        <v>9.0545050000000007</v>
      </c>
      <c r="M10700">
        <v>34.299999999999997</v>
      </c>
      <c r="N10700">
        <v>17.421389999999999</v>
      </c>
      <c r="O10700">
        <v>16.878609999999998</v>
      </c>
      <c r="P10700">
        <v>24.3</v>
      </c>
      <c r="Q10700">
        <v>25.621390000000002</v>
      </c>
      <c r="R10700">
        <v>26.727650000000001</v>
      </c>
      <c r="S10700">
        <v>24.3</v>
      </c>
      <c r="T10700">
        <v>1863.951</v>
      </c>
      <c r="U10700">
        <v>358</v>
      </c>
      <c r="V10700">
        <v>15</v>
      </c>
      <c r="W10700">
        <v>63</v>
      </c>
      <c r="X10700">
        <v>807.35299999999995</v>
      </c>
      <c r="Y10700">
        <v>97</v>
      </c>
      <c r="Z10700">
        <v>427.93740000000003</v>
      </c>
      <c r="AA10700">
        <v>807.35299999999995</v>
      </c>
      <c r="AB10700">
        <v>20.302430000000001</v>
      </c>
      <c r="AC10700">
        <v>1.033186E-2</v>
      </c>
      <c r="AD10700">
        <v>3.6439210000000002</v>
      </c>
      <c r="AE10700">
        <v>0.52749650000000003</v>
      </c>
      <c r="AF10700">
        <v>263.76519999999999</v>
      </c>
      <c r="AG10700">
        <f>IFERROR(AH10700*0.1, "N/A")</f>
        <v>5.3000000000000007</v>
      </c>
      <c r="AH10700">
        <v>53</v>
      </c>
      <c r="AI10700">
        <v>226.739</v>
      </c>
      <c r="AJ10700">
        <v>21.99652</v>
      </c>
      <c r="AK10700">
        <v>54.982610000000001</v>
      </c>
    </row>
    <row r="10701" spans="1:37" x14ac:dyDescent="0.3">
      <c r="A10701">
        <v>10700</v>
      </c>
      <c r="B10701">
        <v>40</v>
      </c>
      <c r="C10701">
        <v>-8.2655200000000004</v>
      </c>
      <c r="D10701">
        <v>6.9210200000000004</v>
      </c>
      <c r="E10701">
        <f>-8.26552-6.92102</f>
        <v>-15.186540000000001</v>
      </c>
      <c r="F10701" t="s">
        <v>16101</v>
      </c>
      <c r="G10701" t="s">
        <v>39</v>
      </c>
      <c r="H10701">
        <v>1980</v>
      </c>
      <c r="I10701">
        <v>25.60087</v>
      </c>
      <c r="J10701">
        <v>12.7</v>
      </c>
      <c r="K10701">
        <v>74</v>
      </c>
      <c r="L10701">
        <v>8.8115659999999991</v>
      </c>
      <c r="M10701">
        <v>34.4</v>
      </c>
      <c r="N10701">
        <v>17.399999999999999</v>
      </c>
      <c r="O10701">
        <v>17</v>
      </c>
      <c r="P10701">
        <v>24.400870000000001</v>
      </c>
      <c r="Q10701">
        <v>25.6</v>
      </c>
      <c r="R10701">
        <v>26.8</v>
      </c>
      <c r="S10701">
        <v>24.400870000000001</v>
      </c>
      <c r="T10701">
        <v>1869.0170000000001</v>
      </c>
      <c r="U10701">
        <v>359</v>
      </c>
      <c r="V10701">
        <v>15</v>
      </c>
      <c r="W10701">
        <v>63</v>
      </c>
      <c r="X10701">
        <v>809.00869999999998</v>
      </c>
      <c r="Y10701">
        <v>97</v>
      </c>
      <c r="Z10701">
        <v>429</v>
      </c>
      <c r="AA10701">
        <v>809.00869999999998</v>
      </c>
      <c r="AB10701">
        <v>5.8702550000000002</v>
      </c>
      <c r="AC10701">
        <v>0.85532229999999998</v>
      </c>
      <c r="AD10701">
        <v>3.5680830000000001</v>
      </c>
      <c r="AE10701">
        <v>0.52846760000000004</v>
      </c>
      <c r="AF10701">
        <v>244.96170000000001</v>
      </c>
      <c r="AG10701">
        <f>IFERROR(AH10701*0.1, "N/A")</f>
        <v>5.2982610000000001</v>
      </c>
      <c r="AH10701">
        <v>52.982610000000001</v>
      </c>
      <c r="AI10701">
        <v>300.58249999999998</v>
      </c>
      <c r="AJ10701">
        <v>22</v>
      </c>
      <c r="AK10701">
        <v>55.982610000000001</v>
      </c>
    </row>
    <row r="10702" spans="1:37" x14ac:dyDescent="0.3">
      <c r="A10702">
        <v>10701</v>
      </c>
      <c r="B10702">
        <v>6.7</v>
      </c>
      <c r="C10702">
        <v>-8.2655200000000004</v>
      </c>
      <c r="D10702">
        <v>6.9210200000000004</v>
      </c>
      <c r="E10702">
        <f>-8.26552-6.92102</f>
        <v>-15.186540000000001</v>
      </c>
      <c r="F10702" t="s">
        <v>16102</v>
      </c>
      <c r="G10702" t="s">
        <v>37</v>
      </c>
      <c r="H10702">
        <v>1980</v>
      </c>
      <c r="I10702">
        <v>25.60087</v>
      </c>
      <c r="J10702">
        <v>12.7</v>
      </c>
      <c r="K10702">
        <v>74</v>
      </c>
      <c r="L10702">
        <v>8.8115659999999991</v>
      </c>
      <c r="M10702">
        <v>34.4</v>
      </c>
      <c r="N10702">
        <v>17.399999999999999</v>
      </c>
      <c r="O10702">
        <v>17</v>
      </c>
      <c r="P10702">
        <v>24.400870000000001</v>
      </c>
      <c r="Q10702">
        <v>25.6</v>
      </c>
      <c r="R10702">
        <v>26.8</v>
      </c>
      <c r="S10702">
        <v>24.400870000000001</v>
      </c>
      <c r="T10702">
        <v>1869.0170000000001</v>
      </c>
      <c r="U10702">
        <v>359</v>
      </c>
      <c r="V10702">
        <v>15</v>
      </c>
      <c r="W10702">
        <v>63</v>
      </c>
      <c r="X10702">
        <v>809.00869999999998</v>
      </c>
      <c r="Y10702">
        <v>97</v>
      </c>
      <c r="Z10702">
        <v>429</v>
      </c>
      <c r="AA10702">
        <v>809.00869999999998</v>
      </c>
      <c r="AB10702">
        <v>5.8702550000000002</v>
      </c>
      <c r="AC10702">
        <v>0.85532229999999998</v>
      </c>
      <c r="AD10702">
        <v>3.5680830000000001</v>
      </c>
      <c r="AE10702">
        <v>0.52846760000000004</v>
      </c>
      <c r="AF10702">
        <v>244.96170000000001</v>
      </c>
      <c r="AG10702">
        <f>IFERROR(AH10702*0.1, "N/A")</f>
        <v>5.2982610000000001</v>
      </c>
      <c r="AH10702">
        <v>52.982610000000001</v>
      </c>
      <c r="AI10702">
        <v>300.58249999999998</v>
      </c>
      <c r="AJ10702">
        <v>22</v>
      </c>
      <c r="AK10702">
        <v>55.982610000000001</v>
      </c>
    </row>
    <row r="10703" spans="1:37" x14ac:dyDescent="0.3">
      <c r="A10703">
        <v>10702</v>
      </c>
      <c r="B10703">
        <v>0</v>
      </c>
      <c r="C10703">
        <v>-8.1790400000000005</v>
      </c>
      <c r="D10703">
        <v>6.9493600000000004</v>
      </c>
      <c r="E10703">
        <f>-8.17904-6.94936</f>
        <v>-15.128400000000001</v>
      </c>
      <c r="F10703" t="s">
        <v>16103</v>
      </c>
      <c r="G10703" t="s">
        <v>39</v>
      </c>
      <c r="H10703">
        <v>1980</v>
      </c>
      <c r="I10703">
        <v>25.6</v>
      </c>
      <c r="J10703">
        <v>12.5</v>
      </c>
      <c r="K10703">
        <v>73</v>
      </c>
      <c r="L10703">
        <v>8.82</v>
      </c>
      <c r="M10703">
        <v>34.299999999999997</v>
      </c>
      <c r="N10703">
        <v>17.3</v>
      </c>
      <c r="O10703">
        <v>17</v>
      </c>
      <c r="P10703">
        <v>24.4</v>
      </c>
      <c r="Q10703">
        <v>25.6</v>
      </c>
      <c r="R10703">
        <v>26.7</v>
      </c>
      <c r="S10703">
        <v>24.4</v>
      </c>
      <c r="T10703">
        <v>1868</v>
      </c>
      <c r="U10703">
        <v>356</v>
      </c>
      <c r="V10703">
        <v>15</v>
      </c>
      <c r="W10703">
        <v>64</v>
      </c>
      <c r="X10703">
        <v>818</v>
      </c>
      <c r="Y10703">
        <v>97</v>
      </c>
      <c r="Z10703">
        <v>427</v>
      </c>
      <c r="AA10703">
        <v>818</v>
      </c>
      <c r="AB10703">
        <v>6.8866079999999998</v>
      </c>
      <c r="AC10703">
        <v>1.121669E-2</v>
      </c>
      <c r="AD10703">
        <v>3.7801559999999998</v>
      </c>
      <c r="AE10703">
        <v>0.33517409999999997</v>
      </c>
      <c r="AF10703">
        <v>266.90960000000001</v>
      </c>
      <c r="AG10703">
        <f>IFERROR(AH10703*0.1, "N/A")</f>
        <v>5.4615650000000002</v>
      </c>
      <c r="AH10703">
        <v>54.615650000000002</v>
      </c>
      <c r="AI10703">
        <v>218.52420000000001</v>
      </c>
      <c r="AJ10703">
        <v>22.514779999999998</v>
      </c>
      <c r="AK10703">
        <v>57.584350000000001</v>
      </c>
    </row>
    <row r="10704" spans="1:37" x14ac:dyDescent="0.3">
      <c r="A10704">
        <v>10703</v>
      </c>
      <c r="B10704">
        <v>0</v>
      </c>
      <c r="C10704">
        <v>-8.1790400000000005</v>
      </c>
      <c r="D10704">
        <v>6.9493600000000004</v>
      </c>
      <c r="E10704">
        <f>-8.17904-6.94936</f>
        <v>-15.128400000000001</v>
      </c>
      <c r="F10704" t="s">
        <v>16104</v>
      </c>
      <c r="G10704" t="s">
        <v>37</v>
      </c>
      <c r="H10704">
        <v>1980</v>
      </c>
      <c r="I10704">
        <v>25.6</v>
      </c>
      <c r="J10704">
        <v>12.5</v>
      </c>
      <c r="K10704">
        <v>73</v>
      </c>
      <c r="L10704">
        <v>8.82</v>
      </c>
      <c r="M10704">
        <v>34.299999999999997</v>
      </c>
      <c r="N10704">
        <v>17.3</v>
      </c>
      <c r="O10704">
        <v>17</v>
      </c>
      <c r="P10704">
        <v>24.4</v>
      </c>
      <c r="Q10704">
        <v>25.6</v>
      </c>
      <c r="R10704">
        <v>26.7</v>
      </c>
      <c r="S10704">
        <v>24.4</v>
      </c>
      <c r="T10704">
        <v>1868</v>
      </c>
      <c r="U10704">
        <v>356</v>
      </c>
      <c r="V10704">
        <v>15</v>
      </c>
      <c r="W10704">
        <v>64</v>
      </c>
      <c r="X10704">
        <v>818</v>
      </c>
      <c r="Y10704">
        <v>97</v>
      </c>
      <c r="Z10704">
        <v>427</v>
      </c>
      <c r="AA10704">
        <v>818</v>
      </c>
      <c r="AB10704">
        <v>6.8866079999999998</v>
      </c>
      <c r="AC10704">
        <v>1.121669E-2</v>
      </c>
      <c r="AD10704">
        <v>3.7801559999999998</v>
      </c>
      <c r="AE10704">
        <v>0.33517409999999997</v>
      </c>
      <c r="AF10704">
        <v>266.90960000000001</v>
      </c>
      <c r="AG10704">
        <f>IFERROR(AH10704*0.1, "N/A")</f>
        <v>5.4615650000000002</v>
      </c>
      <c r="AH10704">
        <v>54.615650000000002</v>
      </c>
      <c r="AI10704">
        <v>218.52420000000001</v>
      </c>
      <c r="AJ10704">
        <v>22.514779999999998</v>
      </c>
      <c r="AK10704">
        <v>57.584350000000001</v>
      </c>
    </row>
    <row r="10705" spans="1:37" x14ac:dyDescent="0.3">
      <c r="A10705">
        <v>10704</v>
      </c>
      <c r="B10705">
        <v>42</v>
      </c>
      <c r="C10705">
        <v>-5.9666699999999997</v>
      </c>
      <c r="D10705">
        <v>6.95</v>
      </c>
      <c r="E10705">
        <f>-5.96667-6.95</f>
        <v>-12.91667</v>
      </c>
      <c r="F10705" t="s">
        <v>16105</v>
      </c>
      <c r="G10705" t="s">
        <v>39</v>
      </c>
      <c r="H10705">
        <v>1976</v>
      </c>
      <c r="I10705">
        <v>26.314779999999999</v>
      </c>
      <c r="J10705">
        <v>10.3</v>
      </c>
      <c r="K10705">
        <v>74.307829999999996</v>
      </c>
      <c r="L10705">
        <v>10.145810000000001</v>
      </c>
      <c r="M10705">
        <v>33.769390000000001</v>
      </c>
      <c r="N10705">
        <v>20.000170000000001</v>
      </c>
      <c r="O10705">
        <v>13.769220000000001</v>
      </c>
      <c r="P10705">
        <v>26.854610000000001</v>
      </c>
      <c r="Q10705">
        <v>26.314779999999999</v>
      </c>
      <c r="R10705">
        <v>27.61478</v>
      </c>
      <c r="S10705">
        <v>24.900169999999999</v>
      </c>
      <c r="T10705">
        <v>1292.1569999999999</v>
      </c>
      <c r="U10705">
        <v>213</v>
      </c>
      <c r="V10705">
        <v>18.45391</v>
      </c>
      <c r="W10705">
        <v>53</v>
      </c>
      <c r="X10705">
        <v>465.85219999999998</v>
      </c>
      <c r="Y10705">
        <v>89.306089999999998</v>
      </c>
      <c r="Z10705">
        <v>331.70429999999999</v>
      </c>
      <c r="AA10705">
        <v>412</v>
      </c>
      <c r="AB10705">
        <v>8.3961749999999995</v>
      </c>
      <c r="AC10705">
        <v>9.8338209999999995E-2</v>
      </c>
      <c r="AD10705">
        <v>2.8610929999999999</v>
      </c>
      <c r="AE10705">
        <v>0.67838189999999998</v>
      </c>
      <c r="AF10705">
        <v>217.30430000000001</v>
      </c>
      <c r="AG10705">
        <f>IFERROR(AH10705*0.1, "N/A")</f>
        <v>5.996696</v>
      </c>
      <c r="AH10705">
        <v>59.96696</v>
      </c>
      <c r="AI10705">
        <v>198.8083</v>
      </c>
      <c r="AJ10705">
        <v>19.373909999999999</v>
      </c>
      <c r="AK10705">
        <v>59.633040000000001</v>
      </c>
    </row>
    <row r="10706" spans="1:37" x14ac:dyDescent="0.3">
      <c r="A10706">
        <v>10705</v>
      </c>
      <c r="B10706">
        <v>2.4</v>
      </c>
      <c r="C10706">
        <v>-8.1950000000000003</v>
      </c>
      <c r="D10706">
        <v>6.9509999999999996</v>
      </c>
      <c r="E10706">
        <f>-8.195-6.951</f>
        <v>-15.146000000000001</v>
      </c>
      <c r="F10706" t="s">
        <v>16106</v>
      </c>
      <c r="G10706" t="s">
        <v>39</v>
      </c>
      <c r="H10706">
        <v>2005</v>
      </c>
      <c r="I10706">
        <v>25.698779999999999</v>
      </c>
      <c r="J10706">
        <v>12.6</v>
      </c>
      <c r="K10706">
        <v>74</v>
      </c>
      <c r="L10706">
        <v>8.8185219999999997</v>
      </c>
      <c r="M10706">
        <v>34.398780000000002</v>
      </c>
      <c r="N10706">
        <v>17.398779999999999</v>
      </c>
      <c r="O10706">
        <v>17</v>
      </c>
      <c r="P10706">
        <v>24.49757</v>
      </c>
      <c r="Q10706">
        <v>25.698779999999999</v>
      </c>
      <c r="R10706">
        <v>26.8</v>
      </c>
      <c r="S10706">
        <v>24.49757</v>
      </c>
      <c r="T10706">
        <v>1868.0119999999999</v>
      </c>
      <c r="U10706">
        <v>356.01220000000001</v>
      </c>
      <c r="V10706">
        <v>15</v>
      </c>
      <c r="W10706">
        <v>64</v>
      </c>
      <c r="X10706">
        <v>818.98779999999999</v>
      </c>
      <c r="Y10706">
        <v>97</v>
      </c>
      <c r="Z10706">
        <v>426.01220000000001</v>
      </c>
      <c r="AA10706">
        <v>818.98779999999999</v>
      </c>
      <c r="AB10706">
        <v>15.11356</v>
      </c>
      <c r="AC10706">
        <v>8.6928960000000003E-3</v>
      </c>
      <c r="AD10706">
        <v>1.9121939999999999</v>
      </c>
      <c r="AE10706">
        <v>0.54882149999999996</v>
      </c>
      <c r="AF10706">
        <v>264.7704</v>
      </c>
      <c r="AG10706">
        <f>IFERROR(AH10706*0.1, "N/A")</f>
        <v>5.162783000000001</v>
      </c>
      <c r="AH10706">
        <v>51.627830000000003</v>
      </c>
      <c r="AI10706">
        <v>145.20930000000001</v>
      </c>
      <c r="AJ10706">
        <v>20.744350000000001</v>
      </c>
      <c r="AK10706">
        <v>52.883479999999999</v>
      </c>
    </row>
    <row r="10707" spans="1:37" x14ac:dyDescent="0.3">
      <c r="A10707">
        <v>10706</v>
      </c>
      <c r="B10707">
        <v>73.5</v>
      </c>
      <c r="C10707">
        <v>-8.1950000000000003</v>
      </c>
      <c r="D10707">
        <v>6.9509999999999996</v>
      </c>
      <c r="E10707">
        <f>-8.195-6.951</f>
        <v>-15.146000000000001</v>
      </c>
      <c r="F10707" t="s">
        <v>16107</v>
      </c>
      <c r="G10707" t="s">
        <v>37</v>
      </c>
      <c r="H10707">
        <v>2005</v>
      </c>
      <c r="I10707">
        <v>25.698779999999999</v>
      </c>
      <c r="J10707">
        <v>12.6</v>
      </c>
      <c r="K10707">
        <v>74</v>
      </c>
      <c r="L10707">
        <v>8.8185219999999997</v>
      </c>
      <c r="M10707">
        <v>34.398780000000002</v>
      </c>
      <c r="N10707">
        <v>17.398779999999999</v>
      </c>
      <c r="O10707">
        <v>17</v>
      </c>
      <c r="P10707">
        <v>24.49757</v>
      </c>
      <c r="Q10707">
        <v>25.698779999999999</v>
      </c>
      <c r="R10707">
        <v>26.8</v>
      </c>
      <c r="S10707">
        <v>24.49757</v>
      </c>
      <c r="T10707">
        <v>1868.0119999999999</v>
      </c>
      <c r="U10707">
        <v>356.01220000000001</v>
      </c>
      <c r="V10707">
        <v>15</v>
      </c>
      <c r="W10707">
        <v>64</v>
      </c>
      <c r="X10707">
        <v>818.98779999999999</v>
      </c>
      <c r="Y10707">
        <v>97</v>
      </c>
      <c r="Z10707">
        <v>426.01220000000001</v>
      </c>
      <c r="AA10707">
        <v>818.98779999999999</v>
      </c>
      <c r="AB10707">
        <v>15.11356</v>
      </c>
      <c r="AC10707">
        <v>8.6928960000000003E-3</v>
      </c>
      <c r="AD10707">
        <v>1.9121939999999999</v>
      </c>
      <c r="AE10707">
        <v>0.54882149999999996</v>
      </c>
      <c r="AF10707">
        <v>264.7704</v>
      </c>
      <c r="AG10707">
        <f>IFERROR(AH10707*0.1, "N/A")</f>
        <v>5.162783000000001</v>
      </c>
      <c r="AH10707">
        <v>51.627830000000003</v>
      </c>
      <c r="AI10707">
        <v>145.20930000000001</v>
      </c>
      <c r="AJ10707">
        <v>20.744350000000001</v>
      </c>
      <c r="AK10707">
        <v>52.883479999999999</v>
      </c>
    </row>
    <row r="10708" spans="1:37" x14ac:dyDescent="0.3">
      <c r="A10708">
        <v>10707</v>
      </c>
      <c r="B10708">
        <v>12.5</v>
      </c>
      <c r="C10708">
        <v>-8.1950000000000003</v>
      </c>
      <c r="D10708">
        <v>6.9572200000000004</v>
      </c>
      <c r="E10708">
        <f>-8.195-6.95722</f>
        <v>-15.15222</v>
      </c>
      <c r="F10708" t="s">
        <v>16108</v>
      </c>
      <c r="G10708" t="s">
        <v>39</v>
      </c>
      <c r="H10708">
        <v>1980</v>
      </c>
      <c r="I10708">
        <v>25.7</v>
      </c>
      <c r="J10708">
        <v>12.6</v>
      </c>
      <c r="K10708">
        <v>74</v>
      </c>
      <c r="L10708">
        <v>8.81</v>
      </c>
      <c r="M10708">
        <v>34.4</v>
      </c>
      <c r="N10708">
        <v>17.399999999999999</v>
      </c>
      <c r="O10708">
        <v>17</v>
      </c>
      <c r="P10708">
        <v>24.5</v>
      </c>
      <c r="Q10708">
        <v>25.7</v>
      </c>
      <c r="R10708">
        <v>26.8</v>
      </c>
      <c r="S10708">
        <v>24.5</v>
      </c>
      <c r="T10708">
        <v>1868</v>
      </c>
      <c r="U10708">
        <v>356</v>
      </c>
      <c r="V10708">
        <v>15</v>
      </c>
      <c r="W10708">
        <v>64</v>
      </c>
      <c r="X10708">
        <v>819</v>
      </c>
      <c r="Y10708">
        <v>97</v>
      </c>
      <c r="Z10708">
        <v>426</v>
      </c>
      <c r="AA10708">
        <v>819</v>
      </c>
      <c r="AB10708">
        <v>1.538783</v>
      </c>
      <c r="AC10708">
        <v>22.95523</v>
      </c>
      <c r="AD10708">
        <v>1.763989</v>
      </c>
      <c r="AE10708">
        <v>0.67078079999999995</v>
      </c>
      <c r="AF10708">
        <v>250.74260000000001</v>
      </c>
      <c r="AG10708">
        <f>IFERROR(AH10708*0.1, "N/A")</f>
        <v>5.1680000000000001</v>
      </c>
      <c r="AH10708">
        <v>51.68</v>
      </c>
      <c r="AI10708">
        <v>165.97929999999999</v>
      </c>
      <c r="AJ10708">
        <v>22.64</v>
      </c>
      <c r="AK10708">
        <v>52.68</v>
      </c>
    </row>
    <row r="10709" spans="1:37" x14ac:dyDescent="0.3">
      <c r="A10709">
        <v>10708</v>
      </c>
      <c r="B10709">
        <v>0</v>
      </c>
      <c r="C10709">
        <v>-8.1950000000000003</v>
      </c>
      <c r="D10709">
        <v>6.9572200000000004</v>
      </c>
      <c r="E10709">
        <f>-8.195-6.95722</f>
        <v>-15.15222</v>
      </c>
      <c r="F10709" t="s">
        <v>16109</v>
      </c>
      <c r="G10709" t="s">
        <v>37</v>
      </c>
      <c r="H10709">
        <v>1980</v>
      </c>
      <c r="I10709">
        <v>25.7</v>
      </c>
      <c r="J10709">
        <v>12.6</v>
      </c>
      <c r="K10709">
        <v>74</v>
      </c>
      <c r="L10709">
        <v>8.81</v>
      </c>
      <c r="M10709">
        <v>34.4</v>
      </c>
      <c r="N10709">
        <v>17.399999999999999</v>
      </c>
      <c r="O10709">
        <v>17</v>
      </c>
      <c r="P10709">
        <v>24.5</v>
      </c>
      <c r="Q10709">
        <v>25.7</v>
      </c>
      <c r="R10709">
        <v>26.8</v>
      </c>
      <c r="S10709">
        <v>24.5</v>
      </c>
      <c r="T10709">
        <v>1868</v>
      </c>
      <c r="U10709">
        <v>356</v>
      </c>
      <c r="V10709">
        <v>15</v>
      </c>
      <c r="W10709">
        <v>64</v>
      </c>
      <c r="X10709">
        <v>819</v>
      </c>
      <c r="Y10709">
        <v>97</v>
      </c>
      <c r="Z10709">
        <v>426</v>
      </c>
      <c r="AA10709">
        <v>819</v>
      </c>
      <c r="AB10709">
        <v>1.538783</v>
      </c>
      <c r="AC10709">
        <v>22.95523</v>
      </c>
      <c r="AD10709">
        <v>1.763989</v>
      </c>
      <c r="AE10709">
        <v>0.67078079999999995</v>
      </c>
      <c r="AF10709">
        <v>250.74260000000001</v>
      </c>
      <c r="AG10709">
        <f>IFERROR(AH10709*0.1, "N/A")</f>
        <v>5.1680000000000001</v>
      </c>
      <c r="AH10709">
        <v>51.68</v>
      </c>
      <c r="AI10709">
        <v>165.97929999999999</v>
      </c>
      <c r="AJ10709">
        <v>22.64</v>
      </c>
      <c r="AK10709">
        <v>52.68</v>
      </c>
    </row>
    <row r="10710" spans="1:37" x14ac:dyDescent="0.3">
      <c r="A10710">
        <v>10709</v>
      </c>
      <c r="B10710">
        <v>0.6</v>
      </c>
      <c r="C10710">
        <v>-8.1236099999999993</v>
      </c>
      <c r="D10710">
        <v>6.9586100000000002</v>
      </c>
      <c r="E10710">
        <f>-8.12361-6.95861</f>
        <v>-15.08222</v>
      </c>
      <c r="F10710" t="s">
        <v>16110</v>
      </c>
      <c r="G10710" t="s">
        <v>39</v>
      </c>
      <c r="H10710">
        <v>2005</v>
      </c>
      <c r="I10710">
        <v>25.427099999999999</v>
      </c>
      <c r="J10710">
        <v>12.4</v>
      </c>
      <c r="K10710">
        <v>72</v>
      </c>
      <c r="L10710">
        <v>9.0748420000000003</v>
      </c>
      <c r="M10710">
        <v>34.127099999999999</v>
      </c>
      <c r="N10710">
        <v>17.127099999999999</v>
      </c>
      <c r="O10710">
        <v>17</v>
      </c>
      <c r="P10710">
        <v>24.2</v>
      </c>
      <c r="Q10710">
        <v>25.427099999999999</v>
      </c>
      <c r="R10710">
        <v>26.6</v>
      </c>
      <c r="S10710">
        <v>24.2</v>
      </c>
      <c r="T10710">
        <v>1867.374</v>
      </c>
      <c r="U10710">
        <v>354</v>
      </c>
      <c r="V10710">
        <v>16</v>
      </c>
      <c r="W10710">
        <v>63.729019999999998</v>
      </c>
      <c r="X10710">
        <v>821.91610000000003</v>
      </c>
      <c r="Y10710">
        <v>99</v>
      </c>
      <c r="Z10710">
        <v>426.72899999999998</v>
      </c>
      <c r="AA10710">
        <v>821.91610000000003</v>
      </c>
      <c r="AB10710">
        <v>28.31259</v>
      </c>
      <c r="AC10710">
        <v>1.007358E-2</v>
      </c>
      <c r="AD10710">
        <v>7.6554489999999999</v>
      </c>
      <c r="AE10710">
        <v>0.65248819999999996</v>
      </c>
      <c r="AF10710">
        <v>288.73079999999999</v>
      </c>
      <c r="AG10710">
        <f>IFERROR(AH10710*0.1, "N/A")</f>
        <v>5.2928320000000006</v>
      </c>
      <c r="AH10710">
        <v>52.928319999999999</v>
      </c>
      <c r="AI10710">
        <v>188.42070000000001</v>
      </c>
      <c r="AJ10710">
        <v>20.143360000000001</v>
      </c>
      <c r="AK10710">
        <v>56.143360000000001</v>
      </c>
    </row>
    <row r="10711" spans="1:37" x14ac:dyDescent="0.3">
      <c r="A10711">
        <v>10710</v>
      </c>
      <c r="B10711">
        <v>77.2</v>
      </c>
      <c r="C10711">
        <v>-8.1236099999999993</v>
      </c>
      <c r="D10711">
        <v>6.9586100000000002</v>
      </c>
      <c r="E10711">
        <f>-8.12361-6.95861</f>
        <v>-15.08222</v>
      </c>
      <c r="F10711" t="s">
        <v>16111</v>
      </c>
      <c r="G10711" t="s">
        <v>37</v>
      </c>
      <c r="H10711">
        <v>2005</v>
      </c>
      <c r="I10711">
        <v>25.427099999999999</v>
      </c>
      <c r="J10711">
        <v>12.4</v>
      </c>
      <c r="K10711">
        <v>72</v>
      </c>
      <c r="L10711">
        <v>9.0748420000000003</v>
      </c>
      <c r="M10711">
        <v>34.127099999999999</v>
      </c>
      <c r="N10711">
        <v>17.127099999999999</v>
      </c>
      <c r="O10711">
        <v>17</v>
      </c>
      <c r="P10711">
        <v>24.2</v>
      </c>
      <c r="Q10711">
        <v>25.427099999999999</v>
      </c>
      <c r="R10711">
        <v>26.6</v>
      </c>
      <c r="S10711">
        <v>24.2</v>
      </c>
      <c r="T10711">
        <v>1867.374</v>
      </c>
      <c r="U10711">
        <v>354</v>
      </c>
      <c r="V10711">
        <v>16</v>
      </c>
      <c r="W10711">
        <v>63.729019999999998</v>
      </c>
      <c r="X10711">
        <v>821.91610000000003</v>
      </c>
      <c r="Y10711">
        <v>99</v>
      </c>
      <c r="Z10711">
        <v>426.72899999999998</v>
      </c>
      <c r="AA10711">
        <v>821.91610000000003</v>
      </c>
      <c r="AB10711">
        <v>28.31259</v>
      </c>
      <c r="AC10711">
        <v>1.007358E-2</v>
      </c>
      <c r="AD10711">
        <v>7.6554489999999999</v>
      </c>
      <c r="AE10711">
        <v>0.65248819999999996</v>
      </c>
      <c r="AF10711">
        <v>288.73079999999999</v>
      </c>
      <c r="AG10711">
        <f>IFERROR(AH10711*0.1, "N/A")</f>
        <v>5.2928320000000006</v>
      </c>
      <c r="AH10711">
        <v>52.928319999999999</v>
      </c>
      <c r="AI10711">
        <v>188.42070000000001</v>
      </c>
      <c r="AJ10711">
        <v>20.143360000000001</v>
      </c>
      <c r="AK10711">
        <v>56.143360000000001</v>
      </c>
    </row>
    <row r="10712" spans="1:37" x14ac:dyDescent="0.3">
      <c r="A10712">
        <v>10711</v>
      </c>
      <c r="B10712">
        <v>51.2</v>
      </c>
      <c r="C10712">
        <v>-8.2363900000000001</v>
      </c>
      <c r="D10712">
        <v>6.97194</v>
      </c>
      <c r="E10712">
        <f>-8.23639-6.97194</f>
        <v>-15.20833</v>
      </c>
      <c r="F10712" t="s">
        <v>16112</v>
      </c>
      <c r="G10712" t="s">
        <v>39</v>
      </c>
      <c r="H10712">
        <v>2005</v>
      </c>
      <c r="I10712">
        <v>25.6</v>
      </c>
      <c r="J10712">
        <v>12.7</v>
      </c>
      <c r="K10712">
        <v>74</v>
      </c>
      <c r="L10712">
        <v>8.8000000000000007</v>
      </c>
      <c r="M10712">
        <v>34.299999999999997</v>
      </c>
      <c r="N10712">
        <v>17.2</v>
      </c>
      <c r="O10712">
        <v>17.100000000000001</v>
      </c>
      <c r="P10712">
        <v>24.4</v>
      </c>
      <c r="Q10712">
        <v>25.5</v>
      </c>
      <c r="R10712">
        <v>26.7</v>
      </c>
      <c r="S10712">
        <v>24.4</v>
      </c>
      <c r="T10712">
        <v>1889</v>
      </c>
      <c r="U10712">
        <v>360</v>
      </c>
      <c r="V10712">
        <v>15</v>
      </c>
      <c r="W10712">
        <v>64</v>
      </c>
      <c r="X10712">
        <v>832</v>
      </c>
      <c r="Y10712">
        <v>97</v>
      </c>
      <c r="Z10712">
        <v>428</v>
      </c>
      <c r="AA10712">
        <v>832</v>
      </c>
      <c r="AB10712">
        <v>20.867370000000001</v>
      </c>
      <c r="AC10712">
        <v>1.143302E-2</v>
      </c>
      <c r="AD10712">
        <v>3.7802380000000002</v>
      </c>
      <c r="AE10712">
        <v>0.47270109999999999</v>
      </c>
      <c r="AF10712">
        <v>272.11520000000002</v>
      </c>
      <c r="AG10712">
        <f>IFERROR(AH10712*0.1, "N/A")</f>
        <v>5.489529000000001</v>
      </c>
      <c r="AH10712">
        <v>54.895290000000003</v>
      </c>
      <c r="AI10712">
        <v>162.39689999999999</v>
      </c>
      <c r="AJ10712">
        <v>23.61082</v>
      </c>
      <c r="AK10712">
        <v>56.14311</v>
      </c>
    </row>
    <row r="10713" spans="1:37" x14ac:dyDescent="0.3">
      <c r="A10713">
        <v>10712</v>
      </c>
      <c r="B10713">
        <v>42.1</v>
      </c>
      <c r="C10713">
        <v>-8.2363900000000001</v>
      </c>
      <c r="D10713">
        <v>6.97194</v>
      </c>
      <c r="E10713">
        <f>-8.23639-6.97194</f>
        <v>-15.20833</v>
      </c>
      <c r="F10713" t="s">
        <v>16113</v>
      </c>
      <c r="G10713" t="s">
        <v>37</v>
      </c>
      <c r="H10713">
        <v>2005</v>
      </c>
      <c r="I10713">
        <v>25.6</v>
      </c>
      <c r="J10713">
        <v>12.7</v>
      </c>
      <c r="K10713">
        <v>74</v>
      </c>
      <c r="L10713">
        <v>8.8000000000000007</v>
      </c>
      <c r="M10713">
        <v>34.299999999999997</v>
      </c>
      <c r="N10713">
        <v>17.2</v>
      </c>
      <c r="O10713">
        <v>17.100000000000001</v>
      </c>
      <c r="P10713">
        <v>24.4</v>
      </c>
      <c r="Q10713">
        <v>25.5</v>
      </c>
      <c r="R10713">
        <v>26.7</v>
      </c>
      <c r="S10713">
        <v>24.4</v>
      </c>
      <c r="T10713">
        <v>1889</v>
      </c>
      <c r="U10713">
        <v>360</v>
      </c>
      <c r="V10713">
        <v>15</v>
      </c>
      <c r="W10713">
        <v>64</v>
      </c>
      <c r="X10713">
        <v>832</v>
      </c>
      <c r="Y10713">
        <v>97</v>
      </c>
      <c r="Z10713">
        <v>428</v>
      </c>
      <c r="AA10713">
        <v>832</v>
      </c>
      <c r="AB10713">
        <v>20.867370000000001</v>
      </c>
      <c r="AC10713">
        <v>1.143302E-2</v>
      </c>
      <c r="AD10713">
        <v>3.7802380000000002</v>
      </c>
      <c r="AE10713">
        <v>0.47270109999999999</v>
      </c>
      <c r="AF10713">
        <v>272.11520000000002</v>
      </c>
      <c r="AG10713">
        <f>IFERROR(AH10713*0.1, "N/A")</f>
        <v>5.489529000000001</v>
      </c>
      <c r="AH10713">
        <v>54.895290000000003</v>
      </c>
      <c r="AI10713">
        <v>162.39689999999999</v>
      </c>
      <c r="AJ10713">
        <v>23.61082</v>
      </c>
      <c r="AK10713">
        <v>56.14311</v>
      </c>
    </row>
    <row r="10714" spans="1:37" x14ac:dyDescent="0.3">
      <c r="A10714">
        <v>10713</v>
      </c>
      <c r="B10714">
        <v>3.6</v>
      </c>
      <c r="C10714">
        <v>-5.75</v>
      </c>
      <c r="D10714">
        <v>6.9833299999999996</v>
      </c>
      <c r="E10714">
        <f>-5.75-6.98333</f>
        <v>-12.733329999999999</v>
      </c>
      <c r="F10714" t="s">
        <v>16114</v>
      </c>
      <c r="G10714" t="s">
        <v>37</v>
      </c>
      <c r="H10714">
        <v>2007</v>
      </c>
      <c r="I10714">
        <v>26.726659999999999</v>
      </c>
      <c r="J10714">
        <v>10.4</v>
      </c>
      <c r="K10714">
        <v>74.609759999999994</v>
      </c>
      <c r="L10714">
        <v>10.445069999999999</v>
      </c>
      <c r="M10714">
        <v>34.165680000000002</v>
      </c>
      <c r="N10714">
        <v>20.363409999999998</v>
      </c>
      <c r="O10714">
        <v>13.80226</v>
      </c>
      <c r="P10714">
        <v>27.253309999999999</v>
      </c>
      <c r="Q10714">
        <v>26.726659999999999</v>
      </c>
      <c r="R10714">
        <v>27.965679999999999</v>
      </c>
      <c r="S10714">
        <v>25.226659999999999</v>
      </c>
      <c r="T10714">
        <v>1296.4269999999999</v>
      </c>
      <c r="U10714">
        <v>210.73339999999999</v>
      </c>
      <c r="V10714">
        <v>19.733450000000001</v>
      </c>
      <c r="W10714">
        <v>53.266550000000002</v>
      </c>
      <c r="X10714">
        <v>480.392</v>
      </c>
      <c r="Y10714">
        <v>90.733450000000005</v>
      </c>
      <c r="Z10714">
        <v>330.101</v>
      </c>
      <c r="AA10714">
        <v>401.83280000000002</v>
      </c>
      <c r="AB10714">
        <v>2.1883319999999999</v>
      </c>
      <c r="AC10714">
        <v>0.75820659999999995</v>
      </c>
      <c r="AD10714">
        <v>2.4082599999999998</v>
      </c>
      <c r="AE10714">
        <v>0.81217850000000003</v>
      </c>
      <c r="AF10714">
        <v>183.11850000000001</v>
      </c>
      <c r="AG10714">
        <f>IFERROR(AH10714*0.1, "N/A")</f>
        <v>5.9801390000000003</v>
      </c>
      <c r="AH10714">
        <v>59.801389999999998</v>
      </c>
      <c r="AI10714">
        <v>276.91539999999998</v>
      </c>
      <c r="AJ10714">
        <v>16.369340000000001</v>
      </c>
      <c r="AK10714">
        <v>63.783969999999997</v>
      </c>
    </row>
    <row r="10715" spans="1:37" x14ac:dyDescent="0.3">
      <c r="A10715">
        <v>10714</v>
      </c>
      <c r="B10715">
        <v>0.3</v>
      </c>
      <c r="C10715">
        <v>-8.1649999999999991</v>
      </c>
      <c r="D10715">
        <v>6.98611</v>
      </c>
      <c r="E10715">
        <f>-8.165-6.98611</f>
        <v>-15.151109999999999</v>
      </c>
      <c r="F10715" t="s">
        <v>16115</v>
      </c>
      <c r="G10715" t="s">
        <v>39</v>
      </c>
      <c r="H10715">
        <v>2005</v>
      </c>
      <c r="I10715">
        <v>25.5</v>
      </c>
      <c r="J10715">
        <v>12.6</v>
      </c>
      <c r="K10715">
        <v>73</v>
      </c>
      <c r="L10715">
        <v>8.86</v>
      </c>
      <c r="M10715">
        <v>34.299999999999997</v>
      </c>
      <c r="N10715">
        <v>17.100000000000001</v>
      </c>
      <c r="O10715">
        <v>17.2</v>
      </c>
      <c r="P10715">
        <v>24.4</v>
      </c>
      <c r="Q10715">
        <v>25.5</v>
      </c>
      <c r="R10715">
        <v>26.7</v>
      </c>
      <c r="S10715">
        <v>24.4</v>
      </c>
      <c r="T10715">
        <v>1876</v>
      </c>
      <c r="U10715">
        <v>356</v>
      </c>
      <c r="V10715">
        <v>15</v>
      </c>
      <c r="W10715">
        <v>64</v>
      </c>
      <c r="X10715">
        <v>832</v>
      </c>
      <c r="Y10715">
        <v>97</v>
      </c>
      <c r="Z10715">
        <v>425</v>
      </c>
      <c r="AA10715">
        <v>832</v>
      </c>
      <c r="AB10715">
        <v>12.3</v>
      </c>
      <c r="AC10715">
        <v>1.892953E-2</v>
      </c>
      <c r="AD10715">
        <v>2.203014</v>
      </c>
      <c r="AE10715">
        <v>0.75010350000000003</v>
      </c>
      <c r="AF10715">
        <v>270.01400000000001</v>
      </c>
      <c r="AG10715">
        <f>IFERROR(AH10715*0.1, "N/A")</f>
        <v>5.5</v>
      </c>
      <c r="AH10715">
        <v>55</v>
      </c>
      <c r="AI10715">
        <v>82.324039999999997</v>
      </c>
      <c r="AJ10715">
        <v>20.321680000000001</v>
      </c>
      <c r="AK10715">
        <v>59.678319999999999</v>
      </c>
    </row>
    <row r="10716" spans="1:37" x14ac:dyDescent="0.3">
      <c r="A10716">
        <v>10715</v>
      </c>
      <c r="B10716">
        <v>66.400000000000006</v>
      </c>
      <c r="C10716">
        <v>-8.1649999999999991</v>
      </c>
      <c r="D10716">
        <v>6.98611</v>
      </c>
      <c r="E10716">
        <f>-8.165-6.98611</f>
        <v>-15.151109999999999</v>
      </c>
      <c r="F10716" t="s">
        <v>16116</v>
      </c>
      <c r="G10716" t="s">
        <v>37</v>
      </c>
      <c r="H10716">
        <v>2005</v>
      </c>
      <c r="I10716">
        <v>25.5</v>
      </c>
      <c r="J10716">
        <v>12.6</v>
      </c>
      <c r="K10716">
        <v>73</v>
      </c>
      <c r="L10716">
        <v>8.86</v>
      </c>
      <c r="M10716">
        <v>34.299999999999997</v>
      </c>
      <c r="N10716">
        <v>17.100000000000001</v>
      </c>
      <c r="O10716">
        <v>17.2</v>
      </c>
      <c r="P10716">
        <v>24.4</v>
      </c>
      <c r="Q10716">
        <v>25.5</v>
      </c>
      <c r="R10716">
        <v>26.7</v>
      </c>
      <c r="S10716">
        <v>24.4</v>
      </c>
      <c r="T10716">
        <v>1876</v>
      </c>
      <c r="U10716">
        <v>356</v>
      </c>
      <c r="V10716">
        <v>15</v>
      </c>
      <c r="W10716">
        <v>64</v>
      </c>
      <c r="X10716">
        <v>832</v>
      </c>
      <c r="Y10716">
        <v>97</v>
      </c>
      <c r="Z10716">
        <v>425</v>
      </c>
      <c r="AA10716">
        <v>832</v>
      </c>
      <c r="AB10716">
        <v>12.3</v>
      </c>
      <c r="AC10716">
        <v>1.892953E-2</v>
      </c>
      <c r="AD10716">
        <v>2.203014</v>
      </c>
      <c r="AE10716">
        <v>0.75010350000000003</v>
      </c>
      <c r="AF10716">
        <v>270.01400000000001</v>
      </c>
      <c r="AG10716">
        <f>IFERROR(AH10716*0.1, "N/A")</f>
        <v>5.5</v>
      </c>
      <c r="AH10716">
        <v>55</v>
      </c>
      <c r="AI10716">
        <v>82.324039999999997</v>
      </c>
      <c r="AJ10716">
        <v>20.321680000000001</v>
      </c>
      <c r="AK10716">
        <v>59.678319999999999</v>
      </c>
    </row>
    <row r="10717" spans="1:37" x14ac:dyDescent="0.3">
      <c r="A10717">
        <v>10716</v>
      </c>
      <c r="B10717">
        <v>29.4</v>
      </c>
      <c r="C10717">
        <v>-8.2384000000000004</v>
      </c>
      <c r="D10717">
        <v>6.9915700000000003</v>
      </c>
      <c r="E10717">
        <f>-8.2384-6.99157</f>
        <v>-15.229970000000002</v>
      </c>
      <c r="F10717" t="s">
        <v>16117</v>
      </c>
      <c r="G10717" t="s">
        <v>39</v>
      </c>
      <c r="H10717">
        <v>1980</v>
      </c>
      <c r="I10717">
        <v>25.6</v>
      </c>
      <c r="J10717">
        <v>12.8</v>
      </c>
      <c r="K10717">
        <v>74</v>
      </c>
      <c r="L10717">
        <v>8.7799479999999992</v>
      </c>
      <c r="M10717">
        <v>34.349910000000001</v>
      </c>
      <c r="N10717">
        <v>17.2</v>
      </c>
      <c r="O10717">
        <v>17.149909999999998</v>
      </c>
      <c r="P10717">
        <v>24.4</v>
      </c>
      <c r="Q10717">
        <v>25.549910000000001</v>
      </c>
      <c r="R10717">
        <v>26.7</v>
      </c>
      <c r="S10717">
        <v>24.4</v>
      </c>
      <c r="T10717">
        <v>1899.501</v>
      </c>
      <c r="U10717">
        <v>361</v>
      </c>
      <c r="V10717">
        <v>15</v>
      </c>
      <c r="W10717">
        <v>64</v>
      </c>
      <c r="X10717">
        <v>841.50260000000003</v>
      </c>
      <c r="Y10717">
        <v>97.499129999999994</v>
      </c>
      <c r="Z10717">
        <v>428</v>
      </c>
      <c r="AA10717">
        <v>841.50260000000003</v>
      </c>
      <c r="AB10717">
        <v>30.981570000000001</v>
      </c>
      <c r="AC10717">
        <v>1.043355E-2</v>
      </c>
      <c r="AD10717">
        <v>6.4759520000000004</v>
      </c>
      <c r="AE10717">
        <v>0.42234460000000001</v>
      </c>
      <c r="AF10717">
        <v>288.64519999999999</v>
      </c>
      <c r="AG10717">
        <f>IFERROR(AH10717*0.1, "N/A")</f>
        <v>5.5</v>
      </c>
      <c r="AH10717">
        <v>55</v>
      </c>
      <c r="AI10717">
        <v>120.64190000000001</v>
      </c>
      <c r="AJ10717">
        <v>25</v>
      </c>
      <c r="AK10717">
        <v>56</v>
      </c>
    </row>
    <row r="10718" spans="1:37" x14ac:dyDescent="0.3">
      <c r="A10718">
        <v>10717</v>
      </c>
      <c r="B10718">
        <v>14.3</v>
      </c>
      <c r="C10718">
        <v>-8.2384000000000004</v>
      </c>
      <c r="D10718">
        <v>6.9915700000000003</v>
      </c>
      <c r="E10718">
        <f>-8.2384-6.99157</f>
        <v>-15.229970000000002</v>
      </c>
      <c r="F10718" t="s">
        <v>16118</v>
      </c>
      <c r="G10718" t="s">
        <v>37</v>
      </c>
      <c r="H10718">
        <v>1980</v>
      </c>
      <c r="I10718">
        <v>25.6</v>
      </c>
      <c r="J10718">
        <v>12.8</v>
      </c>
      <c r="K10718">
        <v>74</v>
      </c>
      <c r="L10718">
        <v>8.7799479999999992</v>
      </c>
      <c r="M10718">
        <v>34.349910000000001</v>
      </c>
      <c r="N10718">
        <v>17.2</v>
      </c>
      <c r="O10718">
        <v>17.149909999999998</v>
      </c>
      <c r="P10718">
        <v>24.4</v>
      </c>
      <c r="Q10718">
        <v>25.549910000000001</v>
      </c>
      <c r="R10718">
        <v>26.7</v>
      </c>
      <c r="S10718">
        <v>24.4</v>
      </c>
      <c r="T10718">
        <v>1899.501</v>
      </c>
      <c r="U10718">
        <v>361</v>
      </c>
      <c r="V10718">
        <v>15</v>
      </c>
      <c r="W10718">
        <v>64</v>
      </c>
      <c r="X10718">
        <v>841.50260000000003</v>
      </c>
      <c r="Y10718">
        <v>97.499129999999994</v>
      </c>
      <c r="Z10718">
        <v>428</v>
      </c>
      <c r="AA10718">
        <v>841.50260000000003</v>
      </c>
      <c r="AB10718">
        <v>30.981570000000001</v>
      </c>
      <c r="AC10718">
        <v>1.043355E-2</v>
      </c>
      <c r="AD10718">
        <v>6.4759520000000004</v>
      </c>
      <c r="AE10718">
        <v>0.42234460000000001</v>
      </c>
      <c r="AF10718">
        <v>288.64519999999999</v>
      </c>
      <c r="AG10718">
        <f>IFERROR(AH10718*0.1, "N/A")</f>
        <v>5.5</v>
      </c>
      <c r="AH10718">
        <v>55</v>
      </c>
      <c r="AI10718">
        <v>120.64190000000001</v>
      </c>
      <c r="AJ10718">
        <v>25</v>
      </c>
      <c r="AK10718">
        <v>56</v>
      </c>
    </row>
    <row r="10719" spans="1:37" x14ac:dyDescent="0.3">
      <c r="A10719">
        <v>10718</v>
      </c>
      <c r="B10719">
        <v>0.5</v>
      </c>
      <c r="C10719">
        <v>-8.1527799999999999</v>
      </c>
      <c r="D10719">
        <v>6.9927799999999998</v>
      </c>
      <c r="E10719">
        <f>-8.15278-6.99278</f>
        <v>-15.14556</v>
      </c>
      <c r="F10719" t="s">
        <v>16119</v>
      </c>
      <c r="G10719" t="s">
        <v>39</v>
      </c>
      <c r="H10719">
        <v>2005</v>
      </c>
      <c r="I10719">
        <v>25.5</v>
      </c>
      <c r="J10719">
        <v>12.5</v>
      </c>
      <c r="K10719">
        <v>72</v>
      </c>
      <c r="L10719">
        <v>9.25</v>
      </c>
      <c r="M10719">
        <v>34.299999999999997</v>
      </c>
      <c r="N10719">
        <v>17.100000000000001</v>
      </c>
      <c r="O10719">
        <v>17.2</v>
      </c>
      <c r="P10719">
        <v>24.2</v>
      </c>
      <c r="Q10719">
        <v>25.5</v>
      </c>
      <c r="R10719">
        <v>26.7</v>
      </c>
      <c r="S10719">
        <v>24.2</v>
      </c>
      <c r="T10719">
        <v>1884</v>
      </c>
      <c r="U10719">
        <v>356</v>
      </c>
      <c r="V10719">
        <v>16</v>
      </c>
      <c r="W10719">
        <v>63</v>
      </c>
      <c r="X10719">
        <v>837</v>
      </c>
      <c r="Y10719">
        <v>99</v>
      </c>
      <c r="Z10719">
        <v>426</v>
      </c>
      <c r="AA10719">
        <v>837</v>
      </c>
      <c r="AB10719">
        <v>10.40883</v>
      </c>
      <c r="AC10719">
        <v>8.6325910000000002E-3</v>
      </c>
      <c r="AD10719">
        <v>1.4249670000000001</v>
      </c>
      <c r="AE10719">
        <v>0.63132600000000005</v>
      </c>
      <c r="AF10719">
        <v>272.65339999999998</v>
      </c>
      <c r="AG10719">
        <f>IFERROR(AH10719*0.1, "N/A")</f>
        <v>5.377123000000001</v>
      </c>
      <c r="AH10719">
        <v>53.771230000000003</v>
      </c>
      <c r="AI10719">
        <v>50.849910000000001</v>
      </c>
      <c r="AJ10719">
        <v>21.26343</v>
      </c>
      <c r="AK10719">
        <v>58.14385</v>
      </c>
    </row>
    <row r="10720" spans="1:37" x14ac:dyDescent="0.3">
      <c r="A10720">
        <v>10719</v>
      </c>
      <c r="B10720">
        <v>61.9</v>
      </c>
      <c r="C10720">
        <v>-8.1527799999999999</v>
      </c>
      <c r="D10720">
        <v>6.9927799999999998</v>
      </c>
      <c r="E10720">
        <f>-8.15278-6.99278</f>
        <v>-15.14556</v>
      </c>
      <c r="F10720" t="s">
        <v>16120</v>
      </c>
      <c r="G10720" t="s">
        <v>37</v>
      </c>
      <c r="H10720">
        <v>2005</v>
      </c>
      <c r="I10720">
        <v>25.5</v>
      </c>
      <c r="J10720">
        <v>12.5</v>
      </c>
      <c r="K10720">
        <v>72</v>
      </c>
      <c r="L10720">
        <v>9.25</v>
      </c>
      <c r="M10720">
        <v>34.299999999999997</v>
      </c>
      <c r="N10720">
        <v>17.100000000000001</v>
      </c>
      <c r="O10720">
        <v>17.2</v>
      </c>
      <c r="P10720">
        <v>24.2</v>
      </c>
      <c r="Q10720">
        <v>25.5</v>
      </c>
      <c r="R10720">
        <v>26.7</v>
      </c>
      <c r="S10720">
        <v>24.2</v>
      </c>
      <c r="T10720">
        <v>1884</v>
      </c>
      <c r="U10720">
        <v>356</v>
      </c>
      <c r="V10720">
        <v>16</v>
      </c>
      <c r="W10720">
        <v>63</v>
      </c>
      <c r="X10720">
        <v>837</v>
      </c>
      <c r="Y10720">
        <v>99</v>
      </c>
      <c r="Z10720">
        <v>426</v>
      </c>
      <c r="AA10720">
        <v>837</v>
      </c>
      <c r="AB10720">
        <v>10.40883</v>
      </c>
      <c r="AC10720">
        <v>8.6325910000000002E-3</v>
      </c>
      <c r="AD10720">
        <v>1.4249670000000001</v>
      </c>
      <c r="AE10720">
        <v>0.63132600000000005</v>
      </c>
      <c r="AF10720">
        <v>272.65339999999998</v>
      </c>
      <c r="AG10720">
        <f>IFERROR(AH10720*0.1, "N/A")</f>
        <v>5.377123000000001</v>
      </c>
      <c r="AH10720">
        <v>53.771230000000003</v>
      </c>
      <c r="AI10720">
        <v>50.849910000000001</v>
      </c>
      <c r="AJ10720">
        <v>21.26343</v>
      </c>
      <c r="AK10720">
        <v>58.14385</v>
      </c>
    </row>
    <row r="10721" spans="1:37" x14ac:dyDescent="0.3">
      <c r="A10721">
        <v>10720</v>
      </c>
      <c r="B10721">
        <v>0</v>
      </c>
      <c r="C10721">
        <v>-8.0500000000000007</v>
      </c>
      <c r="D10721">
        <v>7</v>
      </c>
      <c r="E10721">
        <f>-8.05-7</f>
        <v>-15.05</v>
      </c>
      <c r="F10721" t="s">
        <v>16121</v>
      </c>
      <c r="G10721" t="s">
        <v>39</v>
      </c>
      <c r="H10721">
        <v>2005</v>
      </c>
      <c r="I10721">
        <v>25.4</v>
      </c>
      <c r="J10721">
        <v>12.3</v>
      </c>
      <c r="K10721">
        <v>71.060869999999994</v>
      </c>
      <c r="L10721">
        <v>9.2108699999999999</v>
      </c>
      <c r="M10721">
        <v>34.1</v>
      </c>
      <c r="N10721">
        <v>17.00609</v>
      </c>
      <c r="O10721">
        <v>17.093910000000001</v>
      </c>
      <c r="P10721">
        <v>24.133220000000001</v>
      </c>
      <c r="Q10721">
        <v>25.4</v>
      </c>
      <c r="R10721">
        <v>26.549040000000002</v>
      </c>
      <c r="S10721">
        <v>24.133220000000001</v>
      </c>
      <c r="T10721">
        <v>1857.998</v>
      </c>
      <c r="U10721">
        <v>350.6678</v>
      </c>
      <c r="V10721">
        <v>16</v>
      </c>
      <c r="W10721">
        <v>64</v>
      </c>
      <c r="X10721">
        <v>827.8365</v>
      </c>
      <c r="Y10721">
        <v>98</v>
      </c>
      <c r="Z10721">
        <v>423.33569999999997</v>
      </c>
      <c r="AA10721">
        <v>827.8365</v>
      </c>
      <c r="AB10721">
        <v>16.475480000000001</v>
      </c>
      <c r="AC10721">
        <v>1.0344819999999999E-2</v>
      </c>
      <c r="AD10721">
        <v>4.3791169999999999</v>
      </c>
      <c r="AE10721">
        <v>0.66720389999999996</v>
      </c>
      <c r="AF10721">
        <v>295.97910000000002</v>
      </c>
      <c r="AG10721">
        <f>IFERROR(AH10721*0.1, "N/A")</f>
        <v>5.4</v>
      </c>
      <c r="AH10721">
        <v>54</v>
      </c>
      <c r="AI10721">
        <v>129.1798</v>
      </c>
      <c r="AJ10721">
        <v>21.335650000000001</v>
      </c>
      <c r="AK10721">
        <v>60.335650000000001</v>
      </c>
    </row>
    <row r="10722" spans="1:37" x14ac:dyDescent="0.3">
      <c r="A10722">
        <v>10721</v>
      </c>
      <c r="B10722">
        <v>54.9</v>
      </c>
      <c r="C10722">
        <v>-8.0500000000000007</v>
      </c>
      <c r="D10722">
        <v>7</v>
      </c>
      <c r="E10722">
        <f>-8.05-7</f>
        <v>-15.05</v>
      </c>
      <c r="F10722" t="s">
        <v>16122</v>
      </c>
      <c r="G10722" t="s">
        <v>37</v>
      </c>
      <c r="H10722">
        <v>2005</v>
      </c>
      <c r="I10722">
        <v>25.4</v>
      </c>
      <c r="J10722">
        <v>12.3</v>
      </c>
      <c r="K10722">
        <v>71.060869999999994</v>
      </c>
      <c r="L10722">
        <v>9.2108699999999999</v>
      </c>
      <c r="M10722">
        <v>34.1</v>
      </c>
      <c r="N10722">
        <v>17.00609</v>
      </c>
      <c r="O10722">
        <v>17.093910000000001</v>
      </c>
      <c r="P10722">
        <v>24.133220000000001</v>
      </c>
      <c r="Q10722">
        <v>25.4</v>
      </c>
      <c r="R10722">
        <v>26.549040000000002</v>
      </c>
      <c r="S10722">
        <v>24.133220000000001</v>
      </c>
      <c r="T10722">
        <v>1857.998</v>
      </c>
      <c r="U10722">
        <v>350.6678</v>
      </c>
      <c r="V10722">
        <v>16</v>
      </c>
      <c r="W10722">
        <v>64</v>
      </c>
      <c r="X10722">
        <v>827.8365</v>
      </c>
      <c r="Y10722">
        <v>98</v>
      </c>
      <c r="Z10722">
        <v>423.33569999999997</v>
      </c>
      <c r="AA10722">
        <v>827.8365</v>
      </c>
      <c r="AB10722">
        <v>16.475480000000001</v>
      </c>
      <c r="AC10722">
        <v>1.0344819999999999E-2</v>
      </c>
      <c r="AD10722">
        <v>4.3791169999999999</v>
      </c>
      <c r="AE10722">
        <v>0.66720389999999996</v>
      </c>
      <c r="AF10722">
        <v>295.97910000000002</v>
      </c>
      <c r="AG10722">
        <f>IFERROR(AH10722*0.1, "N/A")</f>
        <v>5.4</v>
      </c>
      <c r="AH10722">
        <v>54</v>
      </c>
      <c r="AI10722">
        <v>129.1798</v>
      </c>
      <c r="AJ10722">
        <v>21.335650000000001</v>
      </c>
      <c r="AK10722">
        <v>60.335650000000001</v>
      </c>
    </row>
    <row r="10723" spans="1:37" x14ac:dyDescent="0.3">
      <c r="A10723">
        <v>10722</v>
      </c>
      <c r="B10723">
        <v>23.8</v>
      </c>
      <c r="C10723">
        <v>-5.4036099999999996</v>
      </c>
      <c r="D10723">
        <v>7.0013899999999998</v>
      </c>
      <c r="E10723">
        <f>-5.40361-7.00139</f>
        <v>-12.404999999999999</v>
      </c>
      <c r="F10723" t="s">
        <v>16123</v>
      </c>
      <c r="G10723" t="s">
        <v>39</v>
      </c>
      <c r="H10723">
        <v>1997</v>
      </c>
      <c r="I10723">
        <v>26.2</v>
      </c>
      <c r="J10723">
        <v>10.5</v>
      </c>
      <c r="K10723">
        <v>70</v>
      </c>
      <c r="L10723">
        <v>11</v>
      </c>
      <c r="M10723">
        <v>34.1</v>
      </c>
      <c r="N10723">
        <v>19.3</v>
      </c>
      <c r="O10723">
        <v>14.8</v>
      </c>
      <c r="P10723">
        <v>26.9</v>
      </c>
      <c r="Q10723">
        <v>25.6</v>
      </c>
      <c r="R10723">
        <v>27.8</v>
      </c>
      <c r="S10723">
        <v>24.9</v>
      </c>
      <c r="T10723">
        <v>1180</v>
      </c>
      <c r="U10723">
        <v>188</v>
      </c>
      <c r="V10723">
        <v>14</v>
      </c>
      <c r="W10723">
        <v>58</v>
      </c>
      <c r="X10723">
        <v>462</v>
      </c>
      <c r="Y10723">
        <v>66</v>
      </c>
      <c r="Z10723">
        <v>279</v>
      </c>
      <c r="AA10723">
        <v>382</v>
      </c>
      <c r="AB10723">
        <v>4.919683</v>
      </c>
      <c r="AC10723">
        <v>9.9193249999999997E-3</v>
      </c>
      <c r="AD10723">
        <v>3.516645</v>
      </c>
      <c r="AE10723">
        <v>0.55605970000000005</v>
      </c>
      <c r="AF10723">
        <v>187.96520000000001</v>
      </c>
      <c r="AG10723">
        <f>IFERROR(AH10723*0.1, "N/A")</f>
        <v>5.9428570000000001</v>
      </c>
      <c r="AH10723">
        <v>59.428570000000001</v>
      </c>
      <c r="AI10723">
        <v>107.0874</v>
      </c>
      <c r="AJ10723">
        <v>30.2561</v>
      </c>
      <c r="AK10723">
        <v>46.628920000000001</v>
      </c>
    </row>
    <row r="10724" spans="1:37" x14ac:dyDescent="0.3">
      <c r="A10724">
        <v>10723</v>
      </c>
      <c r="B10724">
        <v>0</v>
      </c>
      <c r="C10724">
        <v>-5.4036099999999996</v>
      </c>
      <c r="D10724">
        <v>7.0013899999999998</v>
      </c>
      <c r="E10724">
        <f>-5.40361-7.00139</f>
        <v>-12.404999999999999</v>
      </c>
      <c r="F10724" t="s">
        <v>16124</v>
      </c>
      <c r="G10724" t="s">
        <v>37</v>
      </c>
      <c r="H10724">
        <v>1997</v>
      </c>
      <c r="I10724">
        <v>26.2</v>
      </c>
      <c r="J10724">
        <v>10.5</v>
      </c>
      <c r="K10724">
        <v>70</v>
      </c>
      <c r="L10724">
        <v>11</v>
      </c>
      <c r="M10724">
        <v>34.1</v>
      </c>
      <c r="N10724">
        <v>19.3</v>
      </c>
      <c r="O10724">
        <v>14.8</v>
      </c>
      <c r="P10724">
        <v>26.9</v>
      </c>
      <c r="Q10724">
        <v>25.6</v>
      </c>
      <c r="R10724">
        <v>27.8</v>
      </c>
      <c r="S10724">
        <v>24.9</v>
      </c>
      <c r="T10724">
        <v>1180</v>
      </c>
      <c r="U10724">
        <v>188</v>
      </c>
      <c r="V10724">
        <v>14</v>
      </c>
      <c r="W10724">
        <v>58</v>
      </c>
      <c r="X10724">
        <v>462</v>
      </c>
      <c r="Y10724">
        <v>66</v>
      </c>
      <c r="Z10724">
        <v>279</v>
      </c>
      <c r="AA10724">
        <v>382</v>
      </c>
      <c r="AB10724">
        <v>4.919683</v>
      </c>
      <c r="AC10724">
        <v>9.9193249999999997E-3</v>
      </c>
      <c r="AD10724">
        <v>3.516645</v>
      </c>
      <c r="AE10724">
        <v>0.55605970000000005</v>
      </c>
      <c r="AF10724">
        <v>187.96520000000001</v>
      </c>
      <c r="AG10724">
        <f>IFERROR(AH10724*0.1, "N/A")</f>
        <v>5.9428570000000001</v>
      </c>
      <c r="AH10724">
        <v>59.428570000000001</v>
      </c>
      <c r="AI10724">
        <v>107.0874</v>
      </c>
      <c r="AJ10724">
        <v>30.2561</v>
      </c>
      <c r="AK10724">
        <v>46.628920000000001</v>
      </c>
    </row>
    <row r="10725" spans="1:37" x14ac:dyDescent="0.3">
      <c r="A10725">
        <v>10724</v>
      </c>
      <c r="B10725">
        <v>8.1</v>
      </c>
      <c r="C10725">
        <v>-5.4514699999999996</v>
      </c>
      <c r="D10725">
        <v>7.0138600000000002</v>
      </c>
      <c r="E10725">
        <f>-5.45147-7.01386</f>
        <v>-12.46533</v>
      </c>
      <c r="F10725" t="s">
        <v>16125</v>
      </c>
      <c r="G10725" t="s">
        <v>39</v>
      </c>
      <c r="H10725">
        <v>1976</v>
      </c>
      <c r="I10725">
        <v>26.2</v>
      </c>
      <c r="J10725">
        <v>10.5</v>
      </c>
      <c r="K10725">
        <v>71</v>
      </c>
      <c r="L10725">
        <v>10.84</v>
      </c>
      <c r="M10725">
        <v>34</v>
      </c>
      <c r="N10725">
        <v>19.3</v>
      </c>
      <c r="O10725">
        <v>14.7</v>
      </c>
      <c r="P10725">
        <v>26.8</v>
      </c>
      <c r="Q10725">
        <v>25.7</v>
      </c>
      <c r="R10725">
        <v>27.7</v>
      </c>
      <c r="S10725">
        <v>24.9</v>
      </c>
      <c r="T10725">
        <v>1207</v>
      </c>
      <c r="U10725">
        <v>194</v>
      </c>
      <c r="V10725">
        <v>15</v>
      </c>
      <c r="W10725">
        <v>57</v>
      </c>
      <c r="X10725">
        <v>470</v>
      </c>
      <c r="Y10725">
        <v>70</v>
      </c>
      <c r="Z10725">
        <v>288</v>
      </c>
      <c r="AA10725">
        <v>389</v>
      </c>
      <c r="AB10725">
        <v>12.89617</v>
      </c>
      <c r="AC10725">
        <v>0.25875690000000001</v>
      </c>
      <c r="AD10725">
        <v>3.6866210000000001</v>
      </c>
      <c r="AE10725">
        <v>0.46849930000000001</v>
      </c>
      <c r="AF10725">
        <v>211.98259999999999</v>
      </c>
      <c r="AG10725">
        <f>IFERROR(AH10725*0.1, "N/A")</f>
        <v>5.7139370000000005</v>
      </c>
      <c r="AH10725">
        <v>57.13937</v>
      </c>
      <c r="AI10725">
        <v>52.347679999999997</v>
      </c>
      <c r="AJ10725">
        <v>24.277000000000001</v>
      </c>
      <c r="AK10725">
        <v>51.722999999999999</v>
      </c>
    </row>
    <row r="10726" spans="1:37" x14ac:dyDescent="0.3">
      <c r="A10726">
        <v>10725</v>
      </c>
      <c r="B10726">
        <v>1.7</v>
      </c>
      <c r="C10726">
        <v>-8.1652799999999992</v>
      </c>
      <c r="D10726">
        <v>7.02806</v>
      </c>
      <c r="E10726">
        <f>-8.16528-7.02806</f>
        <v>-15.193339999999999</v>
      </c>
      <c r="F10726" t="s">
        <v>16126</v>
      </c>
      <c r="G10726" t="s">
        <v>39</v>
      </c>
      <c r="H10726">
        <v>2005</v>
      </c>
      <c r="I10726">
        <v>25.5</v>
      </c>
      <c r="J10726">
        <v>12.6</v>
      </c>
      <c r="K10726">
        <v>72</v>
      </c>
      <c r="L10726">
        <v>8.75</v>
      </c>
      <c r="M10726">
        <v>34.299999999999997</v>
      </c>
      <c r="N10726">
        <v>17</v>
      </c>
      <c r="O10726">
        <v>17.3</v>
      </c>
      <c r="P10726">
        <v>24.4</v>
      </c>
      <c r="Q10726">
        <v>25.5</v>
      </c>
      <c r="R10726">
        <v>26.6</v>
      </c>
      <c r="S10726">
        <v>24.4</v>
      </c>
      <c r="T10726">
        <v>1892</v>
      </c>
      <c r="U10726">
        <v>357</v>
      </c>
      <c r="V10726">
        <v>15</v>
      </c>
      <c r="W10726">
        <v>64</v>
      </c>
      <c r="X10726">
        <v>849</v>
      </c>
      <c r="Y10726">
        <v>97</v>
      </c>
      <c r="Z10726">
        <v>425</v>
      </c>
      <c r="AA10726">
        <v>849</v>
      </c>
      <c r="AB10726">
        <v>7.5168429999999997</v>
      </c>
      <c r="AC10726">
        <v>2.6294310000000001E-2</v>
      </c>
      <c r="AD10726">
        <v>5.9501819999999999</v>
      </c>
      <c r="AE10726">
        <v>0.43018040000000002</v>
      </c>
      <c r="AF10726">
        <v>281.65280000000001</v>
      </c>
      <c r="AG10726">
        <f>IFERROR(AH10726*0.1, "N/A")</f>
        <v>5.4895829999999997</v>
      </c>
      <c r="AH10726">
        <v>54.895829999999997</v>
      </c>
      <c r="AI10726">
        <v>84.880499999999998</v>
      </c>
      <c r="AJ10726">
        <v>21.675350000000002</v>
      </c>
      <c r="AK10726">
        <v>59.342010000000002</v>
      </c>
    </row>
    <row r="10727" spans="1:37" x14ac:dyDescent="0.3">
      <c r="A10727">
        <v>10726</v>
      </c>
      <c r="B10727">
        <v>65.099999999999994</v>
      </c>
      <c r="C10727">
        <v>-8.1652799999999992</v>
      </c>
      <c r="D10727">
        <v>7.02806</v>
      </c>
      <c r="E10727">
        <f>-8.16528-7.02806</f>
        <v>-15.193339999999999</v>
      </c>
      <c r="F10727" t="s">
        <v>16127</v>
      </c>
      <c r="G10727" t="s">
        <v>37</v>
      </c>
      <c r="H10727">
        <v>2005</v>
      </c>
      <c r="I10727">
        <v>25.5</v>
      </c>
      <c r="J10727">
        <v>12.6</v>
      </c>
      <c r="K10727">
        <v>72</v>
      </c>
      <c r="L10727">
        <v>8.75</v>
      </c>
      <c r="M10727">
        <v>34.299999999999997</v>
      </c>
      <c r="N10727">
        <v>17</v>
      </c>
      <c r="O10727">
        <v>17.3</v>
      </c>
      <c r="P10727">
        <v>24.4</v>
      </c>
      <c r="Q10727">
        <v>25.5</v>
      </c>
      <c r="R10727">
        <v>26.6</v>
      </c>
      <c r="S10727">
        <v>24.4</v>
      </c>
      <c r="T10727">
        <v>1892</v>
      </c>
      <c r="U10727">
        <v>357</v>
      </c>
      <c r="V10727">
        <v>15</v>
      </c>
      <c r="W10727">
        <v>64</v>
      </c>
      <c r="X10727">
        <v>849</v>
      </c>
      <c r="Y10727">
        <v>97</v>
      </c>
      <c r="Z10727">
        <v>425</v>
      </c>
      <c r="AA10727">
        <v>849</v>
      </c>
      <c r="AB10727">
        <v>7.5168429999999997</v>
      </c>
      <c r="AC10727">
        <v>2.6294310000000001E-2</v>
      </c>
      <c r="AD10727">
        <v>5.9501819999999999</v>
      </c>
      <c r="AE10727">
        <v>0.43018040000000002</v>
      </c>
      <c r="AF10727">
        <v>281.65280000000001</v>
      </c>
      <c r="AG10727">
        <f>IFERROR(AH10727*0.1, "N/A")</f>
        <v>5.4895829999999997</v>
      </c>
      <c r="AH10727">
        <v>54.895829999999997</v>
      </c>
      <c r="AI10727">
        <v>84.880499999999998</v>
      </c>
      <c r="AJ10727">
        <v>21.675350000000002</v>
      </c>
      <c r="AK10727">
        <v>59.342010000000002</v>
      </c>
    </row>
    <row r="10728" spans="1:37" x14ac:dyDescent="0.3">
      <c r="A10728">
        <v>10727</v>
      </c>
      <c r="B10728">
        <v>90</v>
      </c>
      <c r="C10728">
        <v>-8.2572200000000002</v>
      </c>
      <c r="D10728">
        <v>7.0291699999999997</v>
      </c>
      <c r="E10728">
        <f>-8.25722-7.02917</f>
        <v>-15.286390000000001</v>
      </c>
      <c r="F10728" t="s">
        <v>16128</v>
      </c>
      <c r="G10728" t="s">
        <v>39</v>
      </c>
      <c r="H10728">
        <v>1980</v>
      </c>
      <c r="I10728">
        <v>25.5</v>
      </c>
      <c r="J10728">
        <v>12.9</v>
      </c>
      <c r="K10728">
        <v>74</v>
      </c>
      <c r="L10728">
        <v>9.2899999999999991</v>
      </c>
      <c r="M10728">
        <v>34.4</v>
      </c>
      <c r="N10728">
        <v>17.100000000000001</v>
      </c>
      <c r="O10728">
        <v>17.3</v>
      </c>
      <c r="P10728">
        <v>24.3</v>
      </c>
      <c r="Q10728">
        <v>25.5</v>
      </c>
      <c r="R10728">
        <v>26.7</v>
      </c>
      <c r="S10728">
        <v>24.3</v>
      </c>
      <c r="T10728">
        <v>1916</v>
      </c>
      <c r="U10728">
        <v>363</v>
      </c>
      <c r="V10728">
        <v>15</v>
      </c>
      <c r="W10728">
        <v>64</v>
      </c>
      <c r="X10728">
        <v>856</v>
      </c>
      <c r="Y10728">
        <v>98</v>
      </c>
      <c r="Z10728">
        <v>427</v>
      </c>
      <c r="AA10728">
        <v>856</v>
      </c>
      <c r="AB10728">
        <v>9.3652859999999993</v>
      </c>
      <c r="AC10728">
        <v>3.6473279999999997E-2</v>
      </c>
      <c r="AD10728">
        <v>3.59483</v>
      </c>
      <c r="AE10728">
        <v>0.26859</v>
      </c>
      <c r="AF10728">
        <v>260.96179999999998</v>
      </c>
      <c r="AG10728">
        <f>IFERROR(AH10728*0.1, "N/A")</f>
        <v>5.6000000000000005</v>
      </c>
      <c r="AH10728">
        <v>56</v>
      </c>
      <c r="AI10728">
        <v>291.04070000000002</v>
      </c>
      <c r="AJ10728">
        <v>22</v>
      </c>
      <c r="AK10728">
        <v>59.989579999999997</v>
      </c>
    </row>
    <row r="10729" spans="1:37" x14ac:dyDescent="0.3">
      <c r="A10729">
        <v>10728</v>
      </c>
      <c r="B10729">
        <v>0</v>
      </c>
      <c r="C10729">
        <v>-8.2572200000000002</v>
      </c>
      <c r="D10729">
        <v>7.0291699999999997</v>
      </c>
      <c r="E10729">
        <f>-8.25722-7.02917</f>
        <v>-15.286390000000001</v>
      </c>
      <c r="F10729" t="s">
        <v>16129</v>
      </c>
      <c r="G10729" t="s">
        <v>37</v>
      </c>
      <c r="H10729">
        <v>1980</v>
      </c>
      <c r="I10729">
        <v>25.5</v>
      </c>
      <c r="J10729">
        <v>12.9</v>
      </c>
      <c r="K10729">
        <v>74</v>
      </c>
      <c r="L10729">
        <v>9.2899999999999991</v>
      </c>
      <c r="M10729">
        <v>34.4</v>
      </c>
      <c r="N10729">
        <v>17.100000000000001</v>
      </c>
      <c r="O10729">
        <v>17.3</v>
      </c>
      <c r="P10729">
        <v>24.3</v>
      </c>
      <c r="Q10729">
        <v>25.5</v>
      </c>
      <c r="R10729">
        <v>26.7</v>
      </c>
      <c r="S10729">
        <v>24.3</v>
      </c>
      <c r="T10729">
        <v>1916</v>
      </c>
      <c r="U10729">
        <v>363</v>
      </c>
      <c r="V10729">
        <v>15</v>
      </c>
      <c r="W10729">
        <v>64</v>
      </c>
      <c r="X10729">
        <v>856</v>
      </c>
      <c r="Y10729">
        <v>98</v>
      </c>
      <c r="Z10729">
        <v>427</v>
      </c>
      <c r="AA10729">
        <v>856</v>
      </c>
      <c r="AB10729">
        <v>9.3652859999999993</v>
      </c>
      <c r="AC10729">
        <v>3.6473279999999997E-2</v>
      </c>
      <c r="AD10729">
        <v>3.59483</v>
      </c>
      <c r="AE10729">
        <v>0.26859</v>
      </c>
      <c r="AF10729">
        <v>260.96179999999998</v>
      </c>
      <c r="AG10729">
        <f>IFERROR(AH10729*0.1, "N/A")</f>
        <v>5.6000000000000005</v>
      </c>
      <c r="AH10729">
        <v>56</v>
      </c>
      <c r="AI10729">
        <v>291.04070000000002</v>
      </c>
      <c r="AJ10729">
        <v>22</v>
      </c>
      <c r="AK10729">
        <v>59.989579999999997</v>
      </c>
    </row>
    <row r="10730" spans="1:37" x14ac:dyDescent="0.3">
      <c r="A10730">
        <v>10729</v>
      </c>
      <c r="B10730">
        <v>79.2</v>
      </c>
      <c r="C10730">
        <v>-5.4422199999999998</v>
      </c>
      <c r="D10730">
        <v>7.03</v>
      </c>
      <c r="E10730">
        <f>-5.44222-7.03</f>
        <v>-12.47222</v>
      </c>
      <c r="F10730" t="s">
        <v>16130</v>
      </c>
      <c r="G10730" t="s">
        <v>39</v>
      </c>
      <c r="H10730">
        <v>1997</v>
      </c>
      <c r="I10730">
        <v>26.3</v>
      </c>
      <c r="J10730">
        <v>10.6</v>
      </c>
      <c r="K10730">
        <v>72</v>
      </c>
      <c r="L10730">
        <v>10.81471</v>
      </c>
      <c r="M10730">
        <v>34.169110000000003</v>
      </c>
      <c r="N10730">
        <v>19.469110000000001</v>
      </c>
      <c r="O10730">
        <v>14.7</v>
      </c>
      <c r="P10730">
        <v>26.969110000000001</v>
      </c>
      <c r="Q10730">
        <v>25.8</v>
      </c>
      <c r="R10730">
        <v>27.869109999999999</v>
      </c>
      <c r="S10730">
        <v>25.069109999999998</v>
      </c>
      <c r="T10730">
        <v>1196.3820000000001</v>
      </c>
      <c r="U10730">
        <v>193.69110000000001</v>
      </c>
      <c r="V10730">
        <v>15</v>
      </c>
      <c r="W10730">
        <v>58</v>
      </c>
      <c r="X10730">
        <v>468</v>
      </c>
      <c r="Y10730">
        <v>68.691100000000006</v>
      </c>
      <c r="Z10730">
        <v>283</v>
      </c>
      <c r="AA10730">
        <v>387.69110000000001</v>
      </c>
      <c r="AB10730">
        <v>0</v>
      </c>
      <c r="AC10730">
        <v>0.28618090000000002</v>
      </c>
      <c r="AD10730">
        <v>0</v>
      </c>
      <c r="AE10730" t="s">
        <v>729</v>
      </c>
      <c r="AF10730">
        <v>183</v>
      </c>
      <c r="AG10730" t="str">
        <f>IFERROR(AH10730*0.1, "N/A")</f>
        <v>N/A</v>
      </c>
      <c r="AH10730" t="s">
        <v>729</v>
      </c>
      <c r="AI10730">
        <v>0</v>
      </c>
      <c r="AJ10730" t="s">
        <v>729</v>
      </c>
      <c r="AK10730" t="s">
        <v>729</v>
      </c>
    </row>
    <row r="10731" spans="1:37" x14ac:dyDescent="0.3">
      <c r="A10731">
        <v>10730</v>
      </c>
      <c r="B10731">
        <v>0</v>
      </c>
      <c r="C10731">
        <v>-5.4422199999999998</v>
      </c>
      <c r="D10731">
        <v>7.03</v>
      </c>
      <c r="E10731">
        <f>-5.44222-7.03</f>
        <v>-12.47222</v>
      </c>
      <c r="F10731" t="s">
        <v>16131</v>
      </c>
      <c r="G10731" t="s">
        <v>37</v>
      </c>
      <c r="H10731">
        <v>1997</v>
      </c>
      <c r="I10731">
        <v>26.3</v>
      </c>
      <c r="J10731">
        <v>10.6</v>
      </c>
      <c r="K10731">
        <v>72</v>
      </c>
      <c r="L10731">
        <v>10.81471</v>
      </c>
      <c r="M10731">
        <v>34.169110000000003</v>
      </c>
      <c r="N10731">
        <v>19.469110000000001</v>
      </c>
      <c r="O10731">
        <v>14.7</v>
      </c>
      <c r="P10731">
        <v>26.969110000000001</v>
      </c>
      <c r="Q10731">
        <v>25.8</v>
      </c>
      <c r="R10731">
        <v>27.869109999999999</v>
      </c>
      <c r="S10731">
        <v>25.069109999999998</v>
      </c>
      <c r="T10731">
        <v>1196.3820000000001</v>
      </c>
      <c r="U10731">
        <v>193.69110000000001</v>
      </c>
      <c r="V10731">
        <v>15</v>
      </c>
      <c r="W10731">
        <v>58</v>
      </c>
      <c r="X10731">
        <v>468</v>
      </c>
      <c r="Y10731">
        <v>68.691100000000006</v>
      </c>
      <c r="Z10731">
        <v>283</v>
      </c>
      <c r="AA10731">
        <v>387.69110000000001</v>
      </c>
      <c r="AB10731">
        <v>0</v>
      </c>
      <c r="AC10731">
        <v>0.28618090000000002</v>
      </c>
      <c r="AD10731">
        <v>0</v>
      </c>
      <c r="AE10731" t="s">
        <v>729</v>
      </c>
      <c r="AF10731">
        <v>183</v>
      </c>
      <c r="AG10731" t="str">
        <f>IFERROR(AH10731*0.1, "N/A")</f>
        <v>N/A</v>
      </c>
      <c r="AH10731" t="s">
        <v>729</v>
      </c>
      <c r="AI10731">
        <v>0</v>
      </c>
      <c r="AJ10731" t="s">
        <v>729</v>
      </c>
      <c r="AK10731" t="s">
        <v>729</v>
      </c>
    </row>
    <row r="10732" spans="1:37" x14ac:dyDescent="0.3">
      <c r="A10732">
        <v>10731</v>
      </c>
      <c r="B10732">
        <v>35.799999999999997</v>
      </c>
      <c r="C10732">
        <v>-5.4833299999999996</v>
      </c>
      <c r="D10732">
        <v>7.0333300000000003</v>
      </c>
      <c r="E10732">
        <f>-5.48333-7.03333</f>
        <v>-12.51666</v>
      </c>
      <c r="F10732" t="s">
        <v>16132</v>
      </c>
      <c r="G10732" t="s">
        <v>39</v>
      </c>
      <c r="H10732">
        <v>1997</v>
      </c>
      <c r="I10732">
        <v>26.209720000000001</v>
      </c>
      <c r="J10732">
        <v>10.5474</v>
      </c>
      <c r="K10732">
        <v>71.909719999999993</v>
      </c>
      <c r="L10732">
        <v>10.87785</v>
      </c>
      <c r="M10732">
        <v>34.057119999999998</v>
      </c>
      <c r="N10732">
        <v>19.500689999999999</v>
      </c>
      <c r="O10732">
        <v>14.556419999999999</v>
      </c>
      <c r="P10732">
        <v>26.857119999999998</v>
      </c>
      <c r="Q10732">
        <v>25.851220000000001</v>
      </c>
      <c r="R10732">
        <v>27.75712</v>
      </c>
      <c r="S10732">
        <v>24.857119999999998</v>
      </c>
      <c r="T10732">
        <v>1213.97</v>
      </c>
      <c r="U10732">
        <v>197.03819999999999</v>
      </c>
      <c r="V10732">
        <v>16</v>
      </c>
      <c r="W10732">
        <v>57.05903</v>
      </c>
      <c r="X10732">
        <v>469.94619999999998</v>
      </c>
      <c r="Y10732">
        <v>72.473960000000005</v>
      </c>
      <c r="Z10732">
        <v>289.70659999999998</v>
      </c>
      <c r="AA10732">
        <v>391.94099999999997</v>
      </c>
      <c r="AB10732">
        <v>15.275180000000001</v>
      </c>
      <c r="AC10732">
        <v>0.4204098</v>
      </c>
      <c r="AD10732">
        <v>6.0052820000000002</v>
      </c>
      <c r="AE10732">
        <v>0.62407520000000005</v>
      </c>
      <c r="AF10732">
        <v>182.51390000000001</v>
      </c>
      <c r="AG10732">
        <f>IFERROR(AH10732*0.1, "N/A")</f>
        <v>5.8989580000000004</v>
      </c>
      <c r="AH10732">
        <v>58.989579999999997</v>
      </c>
      <c r="AI10732">
        <v>117.9876</v>
      </c>
      <c r="AJ10732">
        <v>21.234380000000002</v>
      </c>
      <c r="AK10732">
        <v>55.85069</v>
      </c>
    </row>
    <row r="10733" spans="1:37" x14ac:dyDescent="0.3">
      <c r="A10733">
        <v>10732</v>
      </c>
      <c r="B10733">
        <v>19</v>
      </c>
      <c r="C10733">
        <v>-5.4833299999999996</v>
      </c>
      <c r="D10733">
        <v>7.0333300000000003</v>
      </c>
      <c r="E10733">
        <f>-5.48333-7.03333</f>
        <v>-12.51666</v>
      </c>
      <c r="F10733" t="s">
        <v>16133</v>
      </c>
      <c r="G10733" t="s">
        <v>37</v>
      </c>
      <c r="H10733">
        <v>1997</v>
      </c>
      <c r="I10733">
        <v>26.209720000000001</v>
      </c>
      <c r="J10733">
        <v>10.5474</v>
      </c>
      <c r="K10733">
        <v>71.909719999999993</v>
      </c>
      <c r="L10733">
        <v>10.87785</v>
      </c>
      <c r="M10733">
        <v>34.057119999999998</v>
      </c>
      <c r="N10733">
        <v>19.500689999999999</v>
      </c>
      <c r="O10733">
        <v>14.556419999999999</v>
      </c>
      <c r="P10733">
        <v>26.857119999999998</v>
      </c>
      <c r="Q10733">
        <v>25.851220000000001</v>
      </c>
      <c r="R10733">
        <v>27.75712</v>
      </c>
      <c r="S10733">
        <v>24.857119999999998</v>
      </c>
      <c r="T10733">
        <v>1213.97</v>
      </c>
      <c r="U10733">
        <v>197.03819999999999</v>
      </c>
      <c r="V10733">
        <v>16</v>
      </c>
      <c r="W10733">
        <v>57.05903</v>
      </c>
      <c r="X10733">
        <v>469.94619999999998</v>
      </c>
      <c r="Y10733">
        <v>72.473960000000005</v>
      </c>
      <c r="Z10733">
        <v>289.70659999999998</v>
      </c>
      <c r="AA10733">
        <v>391.94099999999997</v>
      </c>
      <c r="AB10733">
        <v>15.275180000000001</v>
      </c>
      <c r="AC10733">
        <v>0.4204098</v>
      </c>
      <c r="AD10733">
        <v>6.0052820000000002</v>
      </c>
      <c r="AE10733">
        <v>0.62407520000000005</v>
      </c>
      <c r="AF10733">
        <v>182.51390000000001</v>
      </c>
      <c r="AG10733">
        <f>IFERROR(AH10733*0.1, "N/A")</f>
        <v>5.8989580000000004</v>
      </c>
      <c r="AH10733">
        <v>58.989579999999997</v>
      </c>
      <c r="AI10733">
        <v>117.9876</v>
      </c>
      <c r="AJ10733">
        <v>21.234380000000002</v>
      </c>
      <c r="AK10733">
        <v>55.85069</v>
      </c>
    </row>
    <row r="10734" spans="1:37" x14ac:dyDescent="0.3">
      <c r="A10734">
        <v>10733</v>
      </c>
      <c r="B10734">
        <v>63</v>
      </c>
      <c r="C10734">
        <v>-5.3866699999999996</v>
      </c>
      <c r="D10734">
        <v>7.03444</v>
      </c>
      <c r="E10734">
        <f>-5.38667-7.03444</f>
        <v>-12.421109999999999</v>
      </c>
      <c r="F10734" t="s">
        <v>16134</v>
      </c>
      <c r="G10734" t="s">
        <v>39</v>
      </c>
      <c r="H10734">
        <v>1997</v>
      </c>
      <c r="I10734">
        <v>26.2</v>
      </c>
      <c r="J10734">
        <v>10.6</v>
      </c>
      <c r="K10734">
        <v>71</v>
      </c>
      <c r="L10734">
        <v>11.07</v>
      </c>
      <c r="M10734">
        <v>34.200000000000003</v>
      </c>
      <c r="N10734">
        <v>19.399999999999999</v>
      </c>
      <c r="O10734">
        <v>14.8</v>
      </c>
      <c r="P10734">
        <v>26.9</v>
      </c>
      <c r="Q10734">
        <v>25.7</v>
      </c>
      <c r="R10734">
        <v>27.9</v>
      </c>
      <c r="S10734">
        <v>25</v>
      </c>
      <c r="T10734">
        <v>1166</v>
      </c>
      <c r="U10734">
        <v>187</v>
      </c>
      <c r="V10734">
        <v>14</v>
      </c>
      <c r="W10734">
        <v>58</v>
      </c>
      <c r="X10734">
        <v>457</v>
      </c>
      <c r="Y10734">
        <v>64</v>
      </c>
      <c r="Z10734">
        <v>274</v>
      </c>
      <c r="AA10734">
        <v>381</v>
      </c>
      <c r="AB10734">
        <v>6.6455830000000002</v>
      </c>
      <c r="AC10734">
        <v>1.498443E-2</v>
      </c>
      <c r="AD10734">
        <v>3.3453789999999999</v>
      </c>
      <c r="AE10734">
        <v>0.6527731</v>
      </c>
      <c r="AF10734">
        <v>193.45750000000001</v>
      </c>
      <c r="AG10734">
        <f>IFERROR(AH10734*0.1, "N/A")</f>
        <v>5.3381280000000002</v>
      </c>
      <c r="AH10734">
        <v>53.381279999999997</v>
      </c>
      <c r="AI10734">
        <v>276.34539999999998</v>
      </c>
      <c r="AJ10734">
        <v>19.422879999999999</v>
      </c>
      <c r="AK10734">
        <v>57.77816</v>
      </c>
    </row>
    <row r="10735" spans="1:37" x14ac:dyDescent="0.3">
      <c r="A10735">
        <v>10734</v>
      </c>
      <c r="B10735">
        <v>59.5</v>
      </c>
      <c r="C10735">
        <v>-5.5163900000000003</v>
      </c>
      <c r="D10735">
        <v>7.03667</v>
      </c>
      <c r="E10735">
        <f>-5.51639-7.03667</f>
        <v>-12.55306</v>
      </c>
      <c r="F10735" t="s">
        <v>16135</v>
      </c>
      <c r="G10735" t="s">
        <v>39</v>
      </c>
      <c r="H10735">
        <v>1997</v>
      </c>
      <c r="I10735">
        <v>26.169339999999998</v>
      </c>
      <c r="J10735">
        <v>10.565329999999999</v>
      </c>
      <c r="K10735">
        <v>72.653310000000005</v>
      </c>
      <c r="L10735">
        <v>10.69134</v>
      </c>
      <c r="M10735">
        <v>33.934669999999997</v>
      </c>
      <c r="N10735">
        <v>19.534669999999998</v>
      </c>
      <c r="O10735">
        <v>14.4</v>
      </c>
      <c r="P10735">
        <v>26.76934</v>
      </c>
      <c r="Q10735">
        <v>25.869340000000001</v>
      </c>
      <c r="R10735">
        <v>27.669339999999998</v>
      </c>
      <c r="S10735">
        <v>24.834669999999999</v>
      </c>
      <c r="T10735">
        <v>1224.7329999999999</v>
      </c>
      <c r="U10735">
        <v>199.6934</v>
      </c>
      <c r="V10735">
        <v>16</v>
      </c>
      <c r="W10735">
        <v>57</v>
      </c>
      <c r="X10735">
        <v>471.0401</v>
      </c>
      <c r="Y10735">
        <v>74</v>
      </c>
      <c r="Z10735">
        <v>295.3467</v>
      </c>
      <c r="AA10735">
        <v>394.6934</v>
      </c>
      <c r="AB10735">
        <v>38.956449999999997</v>
      </c>
      <c r="AC10735">
        <v>2.1611080000000001E-2</v>
      </c>
      <c r="AD10735">
        <v>1.870609</v>
      </c>
      <c r="AE10735">
        <v>0.72373989999999999</v>
      </c>
      <c r="AF10735">
        <v>234.5575</v>
      </c>
      <c r="AG10735">
        <f>IFERROR(AH10735*0.1, "N/A")</f>
        <v>5.5770030000000004</v>
      </c>
      <c r="AH10735">
        <v>55.770029999999998</v>
      </c>
      <c r="AI10735">
        <v>211.6576</v>
      </c>
      <c r="AJ10735">
        <v>17.04007</v>
      </c>
      <c r="AK10735">
        <v>63.653309999999998</v>
      </c>
    </row>
    <row r="10736" spans="1:37" x14ac:dyDescent="0.3">
      <c r="A10736">
        <v>10735</v>
      </c>
      <c r="B10736">
        <v>7.1</v>
      </c>
      <c r="C10736">
        <v>-5.5163900000000003</v>
      </c>
      <c r="D10736">
        <v>7.03667</v>
      </c>
      <c r="E10736">
        <f>-5.51639-7.03667</f>
        <v>-12.55306</v>
      </c>
      <c r="F10736" t="s">
        <v>16136</v>
      </c>
      <c r="G10736" t="s">
        <v>37</v>
      </c>
      <c r="H10736">
        <v>1997</v>
      </c>
      <c r="I10736">
        <v>26.169339999999998</v>
      </c>
      <c r="J10736">
        <v>10.565329999999999</v>
      </c>
      <c r="K10736">
        <v>72.653310000000005</v>
      </c>
      <c r="L10736">
        <v>10.69134</v>
      </c>
      <c r="M10736">
        <v>33.934669999999997</v>
      </c>
      <c r="N10736">
        <v>19.534669999999998</v>
      </c>
      <c r="O10736">
        <v>14.4</v>
      </c>
      <c r="P10736">
        <v>26.76934</v>
      </c>
      <c r="Q10736">
        <v>25.869340000000001</v>
      </c>
      <c r="R10736">
        <v>27.669339999999998</v>
      </c>
      <c r="S10736">
        <v>24.834669999999999</v>
      </c>
      <c r="T10736">
        <v>1224.7329999999999</v>
      </c>
      <c r="U10736">
        <v>199.6934</v>
      </c>
      <c r="V10736">
        <v>16</v>
      </c>
      <c r="W10736">
        <v>57</v>
      </c>
      <c r="X10736">
        <v>471.0401</v>
      </c>
      <c r="Y10736">
        <v>74</v>
      </c>
      <c r="Z10736">
        <v>295.3467</v>
      </c>
      <c r="AA10736">
        <v>394.6934</v>
      </c>
      <c r="AB10736">
        <v>38.956449999999997</v>
      </c>
      <c r="AC10736">
        <v>2.1611080000000001E-2</v>
      </c>
      <c r="AD10736">
        <v>1.870609</v>
      </c>
      <c r="AE10736">
        <v>0.72373989999999999</v>
      </c>
      <c r="AF10736">
        <v>234.5575</v>
      </c>
      <c r="AG10736">
        <f>IFERROR(AH10736*0.1, "N/A")</f>
        <v>5.5770030000000004</v>
      </c>
      <c r="AH10736">
        <v>55.770029999999998</v>
      </c>
      <c r="AI10736">
        <v>211.6576</v>
      </c>
      <c r="AJ10736">
        <v>17.04007</v>
      </c>
      <c r="AK10736">
        <v>63.653309999999998</v>
      </c>
    </row>
    <row r="10737" spans="1:37" x14ac:dyDescent="0.3">
      <c r="A10737">
        <v>10736</v>
      </c>
      <c r="B10737">
        <v>0</v>
      </c>
      <c r="C10737">
        <v>-8.1299799999999998</v>
      </c>
      <c r="D10737">
        <v>7.0576499999999998</v>
      </c>
      <c r="E10737">
        <f>-8.12998-7.05765</f>
        <v>-15.187629999999999</v>
      </c>
      <c r="F10737" t="s">
        <v>16137</v>
      </c>
      <c r="G10737" t="s">
        <v>39</v>
      </c>
      <c r="H10737">
        <v>1980</v>
      </c>
      <c r="I10737">
        <v>25.3</v>
      </c>
      <c r="J10737">
        <v>12.51934</v>
      </c>
      <c r="K10737">
        <v>72</v>
      </c>
      <c r="L10737">
        <v>9.1567950000000007</v>
      </c>
      <c r="M10737">
        <v>34.1</v>
      </c>
      <c r="N10737">
        <v>16.880659999999999</v>
      </c>
      <c r="O10737">
        <v>17.219339999999999</v>
      </c>
      <c r="P10737">
        <v>24.1</v>
      </c>
      <c r="Q10737">
        <v>25.3</v>
      </c>
      <c r="R10737">
        <v>26.5</v>
      </c>
      <c r="S10737">
        <v>24.1</v>
      </c>
      <c r="T10737">
        <v>1905.193</v>
      </c>
      <c r="U10737">
        <v>357</v>
      </c>
      <c r="V10737">
        <v>16</v>
      </c>
      <c r="W10737">
        <v>64.193380000000005</v>
      </c>
      <c r="X10737">
        <v>862.58010000000002</v>
      </c>
      <c r="Y10737">
        <v>99</v>
      </c>
      <c r="Z10737">
        <v>425</v>
      </c>
      <c r="AA10737">
        <v>862.58010000000002</v>
      </c>
      <c r="AB10737">
        <v>9.2867619999999995</v>
      </c>
      <c r="AC10737">
        <v>9.5781819999999993E-3</v>
      </c>
      <c r="AD10737">
        <v>4.1783020000000004</v>
      </c>
      <c r="AE10737">
        <v>0.53946119999999997</v>
      </c>
      <c r="AF10737">
        <v>299.12720000000002</v>
      </c>
      <c r="AG10737">
        <f>IFERROR(AH10737*0.1, "N/A")</f>
        <v>5.4108010000000002</v>
      </c>
      <c r="AH10737">
        <v>54.10801</v>
      </c>
      <c r="AI10737">
        <v>208.0719</v>
      </c>
      <c r="AJ10737">
        <v>20</v>
      </c>
      <c r="AK10737">
        <v>61.10801</v>
      </c>
    </row>
    <row r="10738" spans="1:37" x14ac:dyDescent="0.3">
      <c r="A10738">
        <v>10737</v>
      </c>
      <c r="B10738">
        <v>0</v>
      </c>
      <c r="C10738">
        <v>-8.1299799999999998</v>
      </c>
      <c r="D10738">
        <v>7.0576499999999998</v>
      </c>
      <c r="E10738">
        <f>-8.12998-7.05765</f>
        <v>-15.187629999999999</v>
      </c>
      <c r="F10738" t="s">
        <v>16138</v>
      </c>
      <c r="G10738" t="s">
        <v>37</v>
      </c>
      <c r="H10738">
        <v>1980</v>
      </c>
      <c r="I10738">
        <v>25.3</v>
      </c>
      <c r="J10738">
        <v>12.51934</v>
      </c>
      <c r="K10738">
        <v>72</v>
      </c>
      <c r="L10738">
        <v>9.1567950000000007</v>
      </c>
      <c r="M10738">
        <v>34.1</v>
      </c>
      <c r="N10738">
        <v>16.880659999999999</v>
      </c>
      <c r="O10738">
        <v>17.219339999999999</v>
      </c>
      <c r="P10738">
        <v>24.1</v>
      </c>
      <c r="Q10738">
        <v>25.3</v>
      </c>
      <c r="R10738">
        <v>26.5</v>
      </c>
      <c r="S10738">
        <v>24.1</v>
      </c>
      <c r="T10738">
        <v>1905.193</v>
      </c>
      <c r="U10738">
        <v>357</v>
      </c>
      <c r="V10738">
        <v>16</v>
      </c>
      <c r="W10738">
        <v>64.193380000000005</v>
      </c>
      <c r="X10738">
        <v>862.58010000000002</v>
      </c>
      <c r="Y10738">
        <v>99</v>
      </c>
      <c r="Z10738">
        <v>425</v>
      </c>
      <c r="AA10738">
        <v>862.58010000000002</v>
      </c>
      <c r="AB10738">
        <v>9.2867619999999995</v>
      </c>
      <c r="AC10738">
        <v>9.5781819999999993E-3</v>
      </c>
      <c r="AD10738">
        <v>4.1783020000000004</v>
      </c>
      <c r="AE10738">
        <v>0.53946119999999997</v>
      </c>
      <c r="AF10738">
        <v>299.12720000000002</v>
      </c>
      <c r="AG10738">
        <f>IFERROR(AH10738*0.1, "N/A")</f>
        <v>5.4108010000000002</v>
      </c>
      <c r="AH10738">
        <v>54.10801</v>
      </c>
      <c r="AI10738">
        <v>208.0719</v>
      </c>
      <c r="AJ10738">
        <v>20</v>
      </c>
      <c r="AK10738">
        <v>61.10801</v>
      </c>
    </row>
    <row r="10739" spans="1:37" x14ac:dyDescent="0.3">
      <c r="A10739">
        <v>10738</v>
      </c>
      <c r="B10739">
        <v>5.3</v>
      </c>
      <c r="C10739">
        <v>-8.1136099999999995</v>
      </c>
      <c r="D10739">
        <v>7.0791700000000004</v>
      </c>
      <c r="E10739">
        <f>-8.11361-7.07917</f>
        <v>-15.192779999999999</v>
      </c>
      <c r="F10739" t="s">
        <v>16139</v>
      </c>
      <c r="G10739" t="s">
        <v>39</v>
      </c>
      <c r="H10739">
        <v>1980</v>
      </c>
      <c r="I10739">
        <v>25.4</v>
      </c>
      <c r="J10739">
        <v>12.5</v>
      </c>
      <c r="K10739">
        <v>71</v>
      </c>
      <c r="L10739">
        <v>9.1199999999999992</v>
      </c>
      <c r="M10739">
        <v>34.200000000000003</v>
      </c>
      <c r="N10739">
        <v>16.8</v>
      </c>
      <c r="O10739">
        <v>17.399999999999999</v>
      </c>
      <c r="P10739">
        <v>24.2</v>
      </c>
      <c r="Q10739">
        <v>25.3</v>
      </c>
      <c r="R10739">
        <v>26.5</v>
      </c>
      <c r="S10739">
        <v>24.2</v>
      </c>
      <c r="T10739">
        <v>1899</v>
      </c>
      <c r="U10739">
        <v>355</v>
      </c>
      <c r="V10739">
        <v>16</v>
      </c>
      <c r="W10739">
        <v>64</v>
      </c>
      <c r="X10739">
        <v>864</v>
      </c>
      <c r="Y10739">
        <v>99</v>
      </c>
      <c r="Z10739">
        <v>423</v>
      </c>
      <c r="AA10739">
        <v>864</v>
      </c>
      <c r="AB10739">
        <v>5.933897</v>
      </c>
      <c r="AC10739">
        <v>0.1434018</v>
      </c>
      <c r="AD10739">
        <v>1.9283969999999999</v>
      </c>
      <c r="AE10739">
        <v>0.38282080000000002</v>
      </c>
      <c r="AF10739">
        <v>287.46609999999998</v>
      </c>
      <c r="AG10739">
        <f>IFERROR(AH10739*0.1, "N/A")</f>
        <v>5.4735650000000007</v>
      </c>
      <c r="AH10739">
        <v>54.73565</v>
      </c>
      <c r="AI10739">
        <v>88.760159999999999</v>
      </c>
      <c r="AJ10739">
        <v>18.528700000000001</v>
      </c>
      <c r="AK10739">
        <v>61.603479999999998</v>
      </c>
    </row>
    <row r="10740" spans="1:37" x14ac:dyDescent="0.3">
      <c r="A10740">
        <v>10739</v>
      </c>
      <c r="B10740">
        <v>40</v>
      </c>
      <c r="C10740">
        <v>-8.1136099999999995</v>
      </c>
      <c r="D10740">
        <v>7.0791700000000004</v>
      </c>
      <c r="E10740">
        <f>-8.11361-7.07917</f>
        <v>-15.192779999999999</v>
      </c>
      <c r="F10740" t="s">
        <v>16140</v>
      </c>
      <c r="G10740" t="s">
        <v>37</v>
      </c>
      <c r="H10740">
        <v>1980</v>
      </c>
      <c r="I10740">
        <v>25.4</v>
      </c>
      <c r="J10740">
        <v>12.5</v>
      </c>
      <c r="K10740">
        <v>71</v>
      </c>
      <c r="L10740">
        <v>9.1199999999999992</v>
      </c>
      <c r="M10740">
        <v>34.200000000000003</v>
      </c>
      <c r="N10740">
        <v>16.8</v>
      </c>
      <c r="O10740">
        <v>17.399999999999999</v>
      </c>
      <c r="P10740">
        <v>24.2</v>
      </c>
      <c r="Q10740">
        <v>25.3</v>
      </c>
      <c r="R10740">
        <v>26.5</v>
      </c>
      <c r="S10740">
        <v>24.2</v>
      </c>
      <c r="T10740">
        <v>1899</v>
      </c>
      <c r="U10740">
        <v>355</v>
      </c>
      <c r="V10740">
        <v>16</v>
      </c>
      <c r="W10740">
        <v>64</v>
      </c>
      <c r="X10740">
        <v>864</v>
      </c>
      <c r="Y10740">
        <v>99</v>
      </c>
      <c r="Z10740">
        <v>423</v>
      </c>
      <c r="AA10740">
        <v>864</v>
      </c>
      <c r="AB10740">
        <v>5.933897</v>
      </c>
      <c r="AC10740">
        <v>0.1434018</v>
      </c>
      <c r="AD10740">
        <v>1.9283969999999999</v>
      </c>
      <c r="AE10740">
        <v>0.38282080000000002</v>
      </c>
      <c r="AF10740">
        <v>287.46609999999998</v>
      </c>
      <c r="AG10740">
        <f>IFERROR(AH10740*0.1, "N/A")</f>
        <v>5.4735650000000007</v>
      </c>
      <c r="AH10740">
        <v>54.73565</v>
      </c>
      <c r="AI10740">
        <v>88.760159999999999</v>
      </c>
      <c r="AJ10740">
        <v>18.528700000000001</v>
      </c>
      <c r="AK10740">
        <v>61.603479999999998</v>
      </c>
    </row>
    <row r="10741" spans="1:37" x14ac:dyDescent="0.3">
      <c r="A10741">
        <v>10740</v>
      </c>
      <c r="B10741">
        <v>1.3</v>
      </c>
      <c r="C10741">
        <v>-8.1752800000000008</v>
      </c>
      <c r="D10741">
        <v>7.0983299999999998</v>
      </c>
      <c r="E10741">
        <f>-8.17528-7.09833</f>
        <v>-15.273610000000001</v>
      </c>
      <c r="F10741" t="s">
        <v>16141</v>
      </c>
      <c r="G10741" t="s">
        <v>39</v>
      </c>
      <c r="H10741">
        <v>2005</v>
      </c>
      <c r="I10741">
        <v>25.2</v>
      </c>
      <c r="J10741">
        <v>12.795310000000001</v>
      </c>
      <c r="K10741">
        <v>72.953119999999998</v>
      </c>
      <c r="L10741">
        <v>9.1046879999999994</v>
      </c>
      <c r="M10741">
        <v>34.095309999999998</v>
      </c>
      <c r="N10741">
        <v>16.600000000000001</v>
      </c>
      <c r="O10741">
        <v>17.49531</v>
      </c>
      <c r="P10741">
        <v>23.99531</v>
      </c>
      <c r="Q10741">
        <v>25.1</v>
      </c>
      <c r="R10741">
        <v>26.3</v>
      </c>
      <c r="S10741">
        <v>23.99531</v>
      </c>
      <c r="T10741">
        <v>1955.047</v>
      </c>
      <c r="U10741">
        <v>363.95310000000001</v>
      </c>
      <c r="V10741">
        <v>17</v>
      </c>
      <c r="W10741">
        <v>64.953130000000002</v>
      </c>
      <c r="X10741">
        <v>896</v>
      </c>
      <c r="Y10741">
        <v>102</v>
      </c>
      <c r="Z10741">
        <v>429.04689999999999</v>
      </c>
      <c r="AA10741">
        <v>896</v>
      </c>
      <c r="AB10741">
        <v>15.53022</v>
      </c>
      <c r="AC10741">
        <v>1.0015400000000001E-2</v>
      </c>
      <c r="AD10741">
        <v>2.9248620000000001</v>
      </c>
      <c r="AE10741">
        <v>0.46855659999999999</v>
      </c>
      <c r="AF10741">
        <v>338.43400000000003</v>
      </c>
      <c r="AG10741">
        <f>IFERROR(AH10741*0.1, "N/A")</f>
        <v>5.2046880000000009</v>
      </c>
      <c r="AH10741">
        <v>52.046880000000002</v>
      </c>
      <c r="AI10741">
        <v>115.9796</v>
      </c>
      <c r="AJ10741">
        <v>20.90625</v>
      </c>
      <c r="AK10741">
        <v>64.09375</v>
      </c>
    </row>
    <row r="10742" spans="1:37" x14ac:dyDescent="0.3">
      <c r="A10742">
        <v>10741</v>
      </c>
      <c r="B10742">
        <v>45.7</v>
      </c>
      <c r="C10742">
        <v>-8.1752800000000008</v>
      </c>
      <c r="D10742">
        <v>7.0983299999999998</v>
      </c>
      <c r="E10742">
        <f>-8.17528-7.09833</f>
        <v>-15.273610000000001</v>
      </c>
      <c r="F10742" t="s">
        <v>16142</v>
      </c>
      <c r="G10742" t="s">
        <v>37</v>
      </c>
      <c r="H10742">
        <v>2005</v>
      </c>
      <c r="I10742">
        <v>25.2</v>
      </c>
      <c r="J10742">
        <v>12.795310000000001</v>
      </c>
      <c r="K10742">
        <v>72.953119999999998</v>
      </c>
      <c r="L10742">
        <v>9.1046879999999994</v>
      </c>
      <c r="M10742">
        <v>34.095309999999998</v>
      </c>
      <c r="N10742">
        <v>16.600000000000001</v>
      </c>
      <c r="O10742">
        <v>17.49531</v>
      </c>
      <c r="P10742">
        <v>23.99531</v>
      </c>
      <c r="Q10742">
        <v>25.1</v>
      </c>
      <c r="R10742">
        <v>26.3</v>
      </c>
      <c r="S10742">
        <v>23.99531</v>
      </c>
      <c r="T10742">
        <v>1955.047</v>
      </c>
      <c r="U10742">
        <v>363.95310000000001</v>
      </c>
      <c r="V10742">
        <v>17</v>
      </c>
      <c r="W10742">
        <v>64.953130000000002</v>
      </c>
      <c r="X10742">
        <v>896</v>
      </c>
      <c r="Y10742">
        <v>102</v>
      </c>
      <c r="Z10742">
        <v>429.04689999999999</v>
      </c>
      <c r="AA10742">
        <v>896</v>
      </c>
      <c r="AB10742">
        <v>15.53022</v>
      </c>
      <c r="AC10742">
        <v>1.0015400000000001E-2</v>
      </c>
      <c r="AD10742">
        <v>2.9248620000000001</v>
      </c>
      <c r="AE10742">
        <v>0.46855659999999999</v>
      </c>
      <c r="AF10742">
        <v>338.43400000000003</v>
      </c>
      <c r="AG10742">
        <f>IFERROR(AH10742*0.1, "N/A")</f>
        <v>5.2046880000000009</v>
      </c>
      <c r="AH10742">
        <v>52.046880000000002</v>
      </c>
      <c r="AI10742">
        <v>115.9796</v>
      </c>
      <c r="AJ10742">
        <v>20.90625</v>
      </c>
      <c r="AK10742">
        <v>64.09375</v>
      </c>
    </row>
    <row r="10743" spans="1:37" x14ac:dyDescent="0.3">
      <c r="A10743">
        <v>10742</v>
      </c>
      <c r="B10743">
        <v>18.5</v>
      </c>
      <c r="C10743">
        <v>-5.83528</v>
      </c>
      <c r="D10743">
        <v>7.0986099999999999</v>
      </c>
      <c r="E10743">
        <f>-5.83528-7.09861</f>
        <v>-12.93389</v>
      </c>
      <c r="F10743" t="s">
        <v>16143</v>
      </c>
      <c r="G10743" t="s">
        <v>39</v>
      </c>
      <c r="H10743">
        <v>1976</v>
      </c>
      <c r="I10743">
        <v>26.8</v>
      </c>
      <c r="J10743">
        <v>10.5</v>
      </c>
      <c r="K10743">
        <v>75</v>
      </c>
      <c r="L10743">
        <v>10.35</v>
      </c>
      <c r="M10743">
        <v>34.299999999999997</v>
      </c>
      <c r="N10743">
        <v>20.3</v>
      </c>
      <c r="O10743">
        <v>14</v>
      </c>
      <c r="P10743">
        <v>27.3</v>
      </c>
      <c r="Q10743">
        <v>26.8</v>
      </c>
      <c r="R10743">
        <v>28</v>
      </c>
      <c r="S10743">
        <v>25.3</v>
      </c>
      <c r="T10743">
        <v>1269</v>
      </c>
      <c r="U10743">
        <v>216</v>
      </c>
      <c r="V10743">
        <v>17</v>
      </c>
      <c r="W10743">
        <v>55</v>
      </c>
      <c r="X10743">
        <v>462</v>
      </c>
      <c r="Y10743">
        <v>84</v>
      </c>
      <c r="Z10743">
        <v>318</v>
      </c>
      <c r="AA10743">
        <v>412</v>
      </c>
      <c r="AB10743">
        <v>2.0285690000000001</v>
      </c>
      <c r="AC10743">
        <v>98.240210000000005</v>
      </c>
      <c r="AD10743">
        <v>1.9730449999999999</v>
      </c>
      <c r="AE10743">
        <v>0.54426289999999999</v>
      </c>
      <c r="AF10743">
        <v>168.97040000000001</v>
      </c>
      <c r="AG10743">
        <f>IFERROR(AH10743*0.1, "N/A")</f>
        <v>5.9980840000000004</v>
      </c>
      <c r="AH10743">
        <v>59.980840000000001</v>
      </c>
      <c r="AI10743">
        <v>136.553</v>
      </c>
      <c r="AJ10743">
        <v>21.67944</v>
      </c>
      <c r="AK10743">
        <v>58.301389999999998</v>
      </c>
    </row>
    <row r="10744" spans="1:37" x14ac:dyDescent="0.3">
      <c r="A10744">
        <v>10743</v>
      </c>
      <c r="B10744">
        <v>66.7</v>
      </c>
      <c r="C10744">
        <v>-8.2266700000000004</v>
      </c>
      <c r="D10744">
        <v>7.1008300000000002</v>
      </c>
      <c r="E10744">
        <f>-8.22667-7.10083</f>
        <v>-15.327500000000001</v>
      </c>
      <c r="F10744" t="s">
        <v>16144</v>
      </c>
      <c r="G10744" t="s">
        <v>39</v>
      </c>
      <c r="H10744">
        <v>1980</v>
      </c>
      <c r="I10744">
        <v>25.5</v>
      </c>
      <c r="J10744">
        <v>12.9</v>
      </c>
      <c r="K10744">
        <v>74</v>
      </c>
      <c r="L10744">
        <v>8.9093040000000006</v>
      </c>
      <c r="M10744">
        <v>34.299999999999997</v>
      </c>
      <c r="N10744">
        <v>16.899999999999999</v>
      </c>
      <c r="O10744">
        <v>17.399999999999999</v>
      </c>
      <c r="P10744">
        <v>24.307829999999999</v>
      </c>
      <c r="Q10744">
        <v>25.4</v>
      </c>
      <c r="R10744">
        <v>26.6</v>
      </c>
      <c r="S10744">
        <v>24.307829999999999</v>
      </c>
      <c r="T10744">
        <v>1937.53</v>
      </c>
      <c r="U10744">
        <v>362.92169999999999</v>
      </c>
      <c r="V10744">
        <v>15</v>
      </c>
      <c r="W10744">
        <v>64.92174</v>
      </c>
      <c r="X10744">
        <v>885.6087</v>
      </c>
      <c r="Y10744">
        <v>98</v>
      </c>
      <c r="Z10744">
        <v>424</v>
      </c>
      <c r="AA10744">
        <v>885.6087</v>
      </c>
      <c r="AB10744">
        <v>3.4793050000000001</v>
      </c>
      <c r="AC10744">
        <v>15.909219999999999</v>
      </c>
      <c r="AD10744">
        <v>3.2819850000000002</v>
      </c>
      <c r="AE10744">
        <v>0.42573080000000002</v>
      </c>
      <c r="AF10744">
        <v>273.02609999999999</v>
      </c>
      <c r="AG10744">
        <f>IFERROR(AH10744*0.1, "N/A")</f>
        <v>5.5337390000000006</v>
      </c>
      <c r="AH10744">
        <v>55.337389999999999</v>
      </c>
      <c r="AI10744">
        <v>200.01169999999999</v>
      </c>
      <c r="AJ10744">
        <v>21.4313</v>
      </c>
      <c r="AK10744">
        <v>60.933909999999997</v>
      </c>
    </row>
    <row r="10745" spans="1:37" x14ac:dyDescent="0.3">
      <c r="A10745">
        <v>10744</v>
      </c>
      <c r="B10745">
        <v>20</v>
      </c>
      <c r="C10745">
        <v>-8.2266700000000004</v>
      </c>
      <c r="D10745">
        <v>7.1008300000000002</v>
      </c>
      <c r="E10745">
        <f>-8.22667-7.10083</f>
        <v>-15.327500000000001</v>
      </c>
      <c r="F10745" t="s">
        <v>16145</v>
      </c>
      <c r="G10745" t="s">
        <v>37</v>
      </c>
      <c r="H10745">
        <v>1980</v>
      </c>
      <c r="I10745">
        <v>25.5</v>
      </c>
      <c r="J10745">
        <v>12.9</v>
      </c>
      <c r="K10745">
        <v>74</v>
      </c>
      <c r="L10745">
        <v>8.9093040000000006</v>
      </c>
      <c r="M10745">
        <v>34.299999999999997</v>
      </c>
      <c r="N10745">
        <v>16.899999999999999</v>
      </c>
      <c r="O10745">
        <v>17.399999999999999</v>
      </c>
      <c r="P10745">
        <v>24.307829999999999</v>
      </c>
      <c r="Q10745">
        <v>25.4</v>
      </c>
      <c r="R10745">
        <v>26.6</v>
      </c>
      <c r="S10745">
        <v>24.307829999999999</v>
      </c>
      <c r="T10745">
        <v>1937.53</v>
      </c>
      <c r="U10745">
        <v>362.92169999999999</v>
      </c>
      <c r="V10745">
        <v>15</v>
      </c>
      <c r="W10745">
        <v>64.92174</v>
      </c>
      <c r="X10745">
        <v>885.6087</v>
      </c>
      <c r="Y10745">
        <v>98</v>
      </c>
      <c r="Z10745">
        <v>424</v>
      </c>
      <c r="AA10745">
        <v>885.6087</v>
      </c>
      <c r="AB10745">
        <v>3.4793050000000001</v>
      </c>
      <c r="AC10745">
        <v>15.909219999999999</v>
      </c>
      <c r="AD10745">
        <v>3.2819850000000002</v>
      </c>
      <c r="AE10745">
        <v>0.42573080000000002</v>
      </c>
      <c r="AF10745">
        <v>273.02609999999999</v>
      </c>
      <c r="AG10745">
        <f>IFERROR(AH10745*0.1, "N/A")</f>
        <v>5.5337390000000006</v>
      </c>
      <c r="AH10745">
        <v>55.337389999999999</v>
      </c>
      <c r="AI10745">
        <v>200.01169999999999</v>
      </c>
      <c r="AJ10745">
        <v>21.4313</v>
      </c>
      <c r="AK10745">
        <v>60.933909999999997</v>
      </c>
    </row>
    <row r="10746" spans="1:37" x14ac:dyDescent="0.3">
      <c r="A10746">
        <v>10745</v>
      </c>
      <c r="B10746">
        <v>27.4</v>
      </c>
      <c r="C10746">
        <v>-7.76912</v>
      </c>
      <c r="D10746">
        <v>7.1285800000000004</v>
      </c>
      <c r="E10746">
        <f>-7.76912-7.12858</f>
        <v>-14.8977</v>
      </c>
      <c r="F10746" t="s">
        <v>16146</v>
      </c>
      <c r="G10746" t="s">
        <v>37</v>
      </c>
      <c r="H10746">
        <v>2005</v>
      </c>
      <c r="I10746">
        <v>25.1</v>
      </c>
      <c r="J10746">
        <v>11.7</v>
      </c>
      <c r="K10746">
        <v>68</v>
      </c>
      <c r="L10746">
        <v>9.15</v>
      </c>
      <c r="M10746">
        <v>33.6</v>
      </c>
      <c r="N10746">
        <v>16.5</v>
      </c>
      <c r="O10746">
        <v>17.100000000000001</v>
      </c>
      <c r="P10746">
        <v>24.1</v>
      </c>
      <c r="Q10746">
        <v>25</v>
      </c>
      <c r="R10746">
        <v>26.3</v>
      </c>
      <c r="S10746">
        <v>24.1</v>
      </c>
      <c r="T10746">
        <v>1751</v>
      </c>
      <c r="U10746">
        <v>328</v>
      </c>
      <c r="V10746">
        <v>15</v>
      </c>
      <c r="W10746">
        <v>65</v>
      </c>
      <c r="X10746">
        <v>791</v>
      </c>
      <c r="Y10746">
        <v>92</v>
      </c>
      <c r="Z10746">
        <v>310</v>
      </c>
      <c r="AA10746">
        <v>791</v>
      </c>
      <c r="AB10746">
        <v>14.73414</v>
      </c>
      <c r="AC10746">
        <v>9.6358510000000008E-3</v>
      </c>
      <c r="AD10746">
        <v>1.0610090000000001</v>
      </c>
      <c r="AE10746">
        <v>0.62393900000000002</v>
      </c>
      <c r="AF10746">
        <v>322.00700000000001</v>
      </c>
      <c r="AG10746">
        <f>IFERROR(AH10746*0.1, "N/A")</f>
        <v>5.3097560000000001</v>
      </c>
      <c r="AH10746">
        <v>53.097560000000001</v>
      </c>
      <c r="AI10746">
        <v>221.13980000000001</v>
      </c>
      <c r="AJ10746">
        <v>19.757840000000002</v>
      </c>
      <c r="AK10746">
        <v>64.613240000000005</v>
      </c>
    </row>
    <row r="10747" spans="1:37" x14ac:dyDescent="0.3">
      <c r="A10747">
        <v>10746</v>
      </c>
      <c r="B10747">
        <v>70.2</v>
      </c>
      <c r="C10747">
        <v>-7.73522</v>
      </c>
      <c r="D10747">
        <v>7.133</v>
      </c>
      <c r="E10747">
        <f>-7.73522-7.133</f>
        <v>-14.868220000000001</v>
      </c>
      <c r="F10747" t="s">
        <v>16147</v>
      </c>
      <c r="G10747" t="s">
        <v>37</v>
      </c>
      <c r="H10747">
        <v>2000</v>
      </c>
      <c r="I10747">
        <v>25.2</v>
      </c>
      <c r="J10747">
        <v>11.61294</v>
      </c>
      <c r="K10747">
        <v>67.129369999999994</v>
      </c>
      <c r="L10747">
        <v>9.612133</v>
      </c>
      <c r="M10747">
        <v>33.6</v>
      </c>
      <c r="N10747">
        <v>16.5</v>
      </c>
      <c r="O10747">
        <v>17.100000000000001</v>
      </c>
      <c r="P10747">
        <v>24.1</v>
      </c>
      <c r="Q10747">
        <v>24.7</v>
      </c>
      <c r="R10747">
        <v>26.48706</v>
      </c>
      <c r="S10747">
        <v>24.1</v>
      </c>
      <c r="T10747">
        <v>1729.1289999999999</v>
      </c>
      <c r="U10747">
        <v>324</v>
      </c>
      <c r="V10747">
        <v>15</v>
      </c>
      <c r="W10747">
        <v>64</v>
      </c>
      <c r="X10747">
        <v>778.25869999999998</v>
      </c>
      <c r="Y10747">
        <v>91</v>
      </c>
      <c r="Z10747">
        <v>308.12939999999998</v>
      </c>
      <c r="AA10747">
        <v>778.25869999999998</v>
      </c>
      <c r="AB10747">
        <v>17.029540000000001</v>
      </c>
      <c r="AC10747">
        <v>1.3035939999999999E-2</v>
      </c>
      <c r="AD10747">
        <v>2.1172780000000002</v>
      </c>
      <c r="AE10747">
        <v>0.47262530000000003</v>
      </c>
      <c r="AF10747">
        <v>317.03500000000003</v>
      </c>
      <c r="AG10747">
        <f>IFERROR(AH10747*0.1, "N/A")</f>
        <v>5.3881120000000005</v>
      </c>
      <c r="AH10747">
        <v>53.881120000000003</v>
      </c>
      <c r="AI10747">
        <v>155.91390000000001</v>
      </c>
      <c r="AJ10747">
        <v>19.279720000000001</v>
      </c>
      <c r="AK10747">
        <v>63.881120000000003</v>
      </c>
    </row>
    <row r="10748" spans="1:37" x14ac:dyDescent="0.3">
      <c r="A10748">
        <v>10747</v>
      </c>
      <c r="B10748">
        <v>60</v>
      </c>
      <c r="C10748">
        <v>-7.5346599999999997</v>
      </c>
      <c r="D10748">
        <v>7.1389899999999997</v>
      </c>
      <c r="E10748">
        <f>-7.53466-7.13899</f>
        <v>-14.673649999999999</v>
      </c>
      <c r="F10748" t="s">
        <v>16148</v>
      </c>
      <c r="G10748" t="s">
        <v>37</v>
      </c>
      <c r="H10748">
        <v>1990</v>
      </c>
      <c r="I10748">
        <v>25.3</v>
      </c>
      <c r="J10748">
        <v>11.3</v>
      </c>
      <c r="K10748">
        <v>67</v>
      </c>
      <c r="L10748">
        <v>9.7799999999999994</v>
      </c>
      <c r="M10748">
        <v>33.5</v>
      </c>
      <c r="N10748">
        <v>16.8</v>
      </c>
      <c r="O10748">
        <v>16.7</v>
      </c>
      <c r="P10748">
        <v>24.2</v>
      </c>
      <c r="Q10748">
        <v>24.8</v>
      </c>
      <c r="R10748">
        <v>26.6</v>
      </c>
      <c r="S10748">
        <v>24.2</v>
      </c>
      <c r="T10748">
        <v>1604</v>
      </c>
      <c r="U10748">
        <v>303</v>
      </c>
      <c r="V10748">
        <v>13</v>
      </c>
      <c r="W10748">
        <v>64</v>
      </c>
      <c r="X10748">
        <v>711</v>
      </c>
      <c r="Y10748">
        <v>80</v>
      </c>
      <c r="Z10748">
        <v>295</v>
      </c>
      <c r="AA10748">
        <v>711</v>
      </c>
      <c r="AB10748">
        <v>14.11748</v>
      </c>
      <c r="AC10748">
        <v>8.6590220000000006E-3</v>
      </c>
      <c r="AD10748">
        <v>1.002281</v>
      </c>
      <c r="AE10748">
        <v>0.4110837</v>
      </c>
      <c r="AF10748">
        <v>270.02249999999998</v>
      </c>
      <c r="AG10748">
        <f>IFERROR(AH10748*0.1, "N/A")</f>
        <v>5.5477510000000008</v>
      </c>
      <c r="AH10748">
        <v>55.477510000000002</v>
      </c>
      <c r="AI10748">
        <v>76.84693</v>
      </c>
      <c r="AJ10748">
        <v>18.359860000000001</v>
      </c>
      <c r="AK10748">
        <v>61.743940000000002</v>
      </c>
    </row>
    <row r="10749" spans="1:37" x14ac:dyDescent="0.3">
      <c r="A10749">
        <v>10748</v>
      </c>
      <c r="B10749">
        <v>49</v>
      </c>
      <c r="C10749">
        <v>-7.7548500000000002</v>
      </c>
      <c r="D10749">
        <v>7.1440200000000003</v>
      </c>
      <c r="E10749">
        <f>-7.75485-7.14402</f>
        <v>-14.898870000000001</v>
      </c>
      <c r="F10749" t="s">
        <v>16149</v>
      </c>
      <c r="G10749" t="s">
        <v>37</v>
      </c>
      <c r="H10749">
        <v>2000</v>
      </c>
      <c r="I10749">
        <v>25.2</v>
      </c>
      <c r="J10749">
        <v>11.7</v>
      </c>
      <c r="K10749">
        <v>68</v>
      </c>
      <c r="L10749">
        <v>9.2200000000000006</v>
      </c>
      <c r="M10749">
        <v>33.6</v>
      </c>
      <c r="N10749">
        <v>16.5</v>
      </c>
      <c r="O10749">
        <v>17.100000000000001</v>
      </c>
      <c r="P10749">
        <v>24.1</v>
      </c>
      <c r="Q10749">
        <v>24.7</v>
      </c>
      <c r="R10749">
        <v>26.4</v>
      </c>
      <c r="S10749">
        <v>24.1</v>
      </c>
      <c r="T10749">
        <v>1738</v>
      </c>
      <c r="U10749">
        <v>325</v>
      </c>
      <c r="V10749">
        <v>15</v>
      </c>
      <c r="W10749">
        <v>65</v>
      </c>
      <c r="X10749">
        <v>786</v>
      </c>
      <c r="Y10749">
        <v>92</v>
      </c>
      <c r="Z10749">
        <v>308</v>
      </c>
      <c r="AA10749">
        <v>786</v>
      </c>
      <c r="AB10749">
        <v>13.79372</v>
      </c>
      <c r="AC10749">
        <v>8.955714E-3</v>
      </c>
      <c r="AD10749">
        <v>2.2435900000000002</v>
      </c>
      <c r="AE10749">
        <v>0.55590139999999999</v>
      </c>
      <c r="AF10749">
        <v>315.26479999999998</v>
      </c>
      <c r="AG10749">
        <f>IFERROR(AH10749*0.1, "N/A")</f>
        <v>5.4944249999999997</v>
      </c>
      <c r="AH10749">
        <v>54.944249999999997</v>
      </c>
      <c r="AI10749">
        <v>91.753919999999994</v>
      </c>
      <c r="AJ10749">
        <v>20.94425</v>
      </c>
      <c r="AK10749">
        <v>61.111499999999999</v>
      </c>
    </row>
    <row r="10750" spans="1:37" x14ac:dyDescent="0.3">
      <c r="A10750">
        <v>10749</v>
      </c>
      <c r="B10750">
        <v>0.5</v>
      </c>
      <c r="C10750">
        <v>-8.1863899999999994</v>
      </c>
      <c r="D10750">
        <v>7.1524999999999999</v>
      </c>
      <c r="E10750">
        <f>-8.18639-7.1525</f>
        <v>-15.338889999999999</v>
      </c>
      <c r="F10750" t="s">
        <v>16150</v>
      </c>
      <c r="G10750" t="s">
        <v>39</v>
      </c>
      <c r="H10750">
        <v>2005</v>
      </c>
      <c r="I10750">
        <v>25.1</v>
      </c>
      <c r="J10750">
        <v>12.8</v>
      </c>
      <c r="K10750">
        <v>72</v>
      </c>
      <c r="L10750">
        <v>8.61</v>
      </c>
      <c r="M10750">
        <v>34</v>
      </c>
      <c r="N10750">
        <v>16.399999999999999</v>
      </c>
      <c r="O10750">
        <v>17.600000000000001</v>
      </c>
      <c r="P10750">
        <v>24</v>
      </c>
      <c r="Q10750">
        <v>25.1</v>
      </c>
      <c r="R10750">
        <v>26.2</v>
      </c>
      <c r="S10750">
        <v>24</v>
      </c>
      <c r="T10750">
        <v>1978</v>
      </c>
      <c r="U10750">
        <v>365</v>
      </c>
      <c r="V10750">
        <v>17</v>
      </c>
      <c r="W10750">
        <v>65</v>
      </c>
      <c r="X10750">
        <v>921</v>
      </c>
      <c r="Y10750">
        <v>103</v>
      </c>
      <c r="Z10750">
        <v>427</v>
      </c>
      <c r="AA10750">
        <v>921</v>
      </c>
      <c r="AB10750">
        <v>9.3723030000000005</v>
      </c>
      <c r="AC10750">
        <v>2.308352E-2</v>
      </c>
      <c r="AD10750">
        <v>3.0532590000000002</v>
      </c>
      <c r="AE10750">
        <v>0.41998629999999998</v>
      </c>
      <c r="AF10750">
        <v>341.21780000000001</v>
      </c>
      <c r="AG10750">
        <f>IFERROR(AH10750*0.1, "N/A")</f>
        <v>5.3000000000000007</v>
      </c>
      <c r="AH10750">
        <v>53</v>
      </c>
      <c r="AI10750">
        <v>99.864750000000001</v>
      </c>
      <c r="AJ10750">
        <v>22.034839999999999</v>
      </c>
      <c r="AK10750">
        <v>60.982579999999999</v>
      </c>
    </row>
    <row r="10751" spans="1:37" x14ac:dyDescent="0.3">
      <c r="A10751">
        <v>10750</v>
      </c>
      <c r="B10751">
        <v>16.7</v>
      </c>
      <c r="C10751">
        <v>-8.1863899999999994</v>
      </c>
      <c r="D10751">
        <v>7.1524999999999999</v>
      </c>
      <c r="E10751">
        <f>-8.18639-7.1525</f>
        <v>-15.338889999999999</v>
      </c>
      <c r="F10751" t="s">
        <v>16151</v>
      </c>
      <c r="G10751" t="s">
        <v>37</v>
      </c>
      <c r="H10751">
        <v>2005</v>
      </c>
      <c r="I10751">
        <v>25.1</v>
      </c>
      <c r="J10751">
        <v>12.8</v>
      </c>
      <c r="K10751">
        <v>72</v>
      </c>
      <c r="L10751">
        <v>8.61</v>
      </c>
      <c r="M10751">
        <v>34</v>
      </c>
      <c r="N10751">
        <v>16.399999999999999</v>
      </c>
      <c r="O10751">
        <v>17.600000000000001</v>
      </c>
      <c r="P10751">
        <v>24</v>
      </c>
      <c r="Q10751">
        <v>25.1</v>
      </c>
      <c r="R10751">
        <v>26.2</v>
      </c>
      <c r="S10751">
        <v>24</v>
      </c>
      <c r="T10751">
        <v>1978</v>
      </c>
      <c r="U10751">
        <v>365</v>
      </c>
      <c r="V10751">
        <v>17</v>
      </c>
      <c r="W10751">
        <v>65</v>
      </c>
      <c r="X10751">
        <v>921</v>
      </c>
      <c r="Y10751">
        <v>103</v>
      </c>
      <c r="Z10751">
        <v>427</v>
      </c>
      <c r="AA10751">
        <v>921</v>
      </c>
      <c r="AB10751">
        <v>9.3723030000000005</v>
      </c>
      <c r="AC10751">
        <v>2.308352E-2</v>
      </c>
      <c r="AD10751">
        <v>3.0532590000000002</v>
      </c>
      <c r="AE10751">
        <v>0.41998629999999998</v>
      </c>
      <c r="AF10751">
        <v>341.21780000000001</v>
      </c>
      <c r="AG10751">
        <f>IFERROR(AH10751*0.1, "N/A")</f>
        <v>5.3000000000000007</v>
      </c>
      <c r="AH10751">
        <v>53</v>
      </c>
      <c r="AI10751">
        <v>99.864750000000001</v>
      </c>
      <c r="AJ10751">
        <v>22.034839999999999</v>
      </c>
      <c r="AK10751">
        <v>60.982579999999999</v>
      </c>
    </row>
    <row r="10752" spans="1:37" x14ac:dyDescent="0.3">
      <c r="A10752">
        <v>10751</v>
      </c>
      <c r="B10752">
        <v>55.8</v>
      </c>
      <c r="C10752">
        <v>-7.7457900000000004</v>
      </c>
      <c r="D10752">
        <v>7.1540800000000004</v>
      </c>
      <c r="E10752">
        <f>-7.74579-7.15408</f>
        <v>-14.89987</v>
      </c>
      <c r="F10752" t="s">
        <v>16152</v>
      </c>
      <c r="G10752" t="s">
        <v>37</v>
      </c>
      <c r="H10752">
        <v>2005</v>
      </c>
      <c r="I10752">
        <v>25.2</v>
      </c>
      <c r="J10752">
        <v>11.7</v>
      </c>
      <c r="K10752">
        <v>68</v>
      </c>
      <c r="L10752">
        <v>9.27</v>
      </c>
      <c r="M10752">
        <v>33.700000000000003</v>
      </c>
      <c r="N10752">
        <v>16.600000000000001</v>
      </c>
      <c r="O10752">
        <v>17.100000000000001</v>
      </c>
      <c r="P10752">
        <v>24.1</v>
      </c>
      <c r="Q10752">
        <v>25.1</v>
      </c>
      <c r="R10752">
        <v>26.4</v>
      </c>
      <c r="S10752">
        <v>24.1</v>
      </c>
      <c r="T10752">
        <v>1730</v>
      </c>
      <c r="U10752">
        <v>324</v>
      </c>
      <c r="V10752">
        <v>15</v>
      </c>
      <c r="W10752">
        <v>64</v>
      </c>
      <c r="X10752">
        <v>783</v>
      </c>
      <c r="Y10752">
        <v>90</v>
      </c>
      <c r="Z10752">
        <v>307</v>
      </c>
      <c r="AA10752">
        <v>783</v>
      </c>
      <c r="AB10752">
        <v>1.025263</v>
      </c>
      <c r="AC10752">
        <v>5.7626359999999996</v>
      </c>
      <c r="AD10752">
        <v>1.9463790000000001</v>
      </c>
      <c r="AE10752">
        <v>0.3903142</v>
      </c>
      <c r="AF10752">
        <v>301.01220000000001</v>
      </c>
      <c r="AG10752">
        <f>IFERROR(AH10752*0.1, "N/A")</f>
        <v>5.4001739999999998</v>
      </c>
      <c r="AH10752">
        <v>54.001739999999998</v>
      </c>
      <c r="AI10752">
        <v>162.09020000000001</v>
      </c>
      <c r="AJ10752">
        <v>20.341460000000001</v>
      </c>
      <c r="AK10752">
        <v>64.311850000000007</v>
      </c>
    </row>
    <row r="10753" spans="1:37" x14ac:dyDescent="0.3">
      <c r="A10753">
        <v>10752</v>
      </c>
      <c r="B10753">
        <v>87</v>
      </c>
      <c r="C10753">
        <v>-7.7448699999999997</v>
      </c>
      <c r="D10753">
        <v>7.1542300000000001</v>
      </c>
      <c r="E10753">
        <f>-7.74487-7.15423</f>
        <v>-14.899100000000001</v>
      </c>
      <c r="F10753" t="s">
        <v>16153</v>
      </c>
      <c r="G10753" t="s">
        <v>37</v>
      </c>
      <c r="H10753">
        <v>2000</v>
      </c>
      <c r="I10753">
        <v>25.2</v>
      </c>
      <c r="J10753">
        <v>11.7</v>
      </c>
      <c r="K10753">
        <v>68</v>
      </c>
      <c r="L10753">
        <v>9.27</v>
      </c>
      <c r="M10753">
        <v>33.700000000000003</v>
      </c>
      <c r="N10753">
        <v>16.600000000000001</v>
      </c>
      <c r="O10753">
        <v>17.100000000000001</v>
      </c>
      <c r="P10753">
        <v>24.1</v>
      </c>
      <c r="Q10753">
        <v>25.1</v>
      </c>
      <c r="R10753">
        <v>26.4</v>
      </c>
      <c r="S10753">
        <v>24.1</v>
      </c>
      <c r="T10753">
        <v>1730</v>
      </c>
      <c r="U10753">
        <v>324</v>
      </c>
      <c r="V10753">
        <v>15</v>
      </c>
      <c r="W10753">
        <v>64</v>
      </c>
      <c r="X10753">
        <v>783</v>
      </c>
      <c r="Y10753">
        <v>90</v>
      </c>
      <c r="Z10753">
        <v>307</v>
      </c>
      <c r="AA10753">
        <v>783</v>
      </c>
      <c r="AB10753">
        <v>3.5441660000000001</v>
      </c>
      <c r="AC10753">
        <v>3.8797799999999998</v>
      </c>
      <c r="AD10753">
        <v>2.585229</v>
      </c>
      <c r="AE10753">
        <v>0.38998050000000001</v>
      </c>
      <c r="AF10753">
        <v>302.5061</v>
      </c>
      <c r="AG10753">
        <f>IFERROR(AH10753*0.1, "N/A")</f>
        <v>5.4</v>
      </c>
      <c r="AH10753">
        <v>54</v>
      </c>
      <c r="AI10753">
        <v>214.80019999999999</v>
      </c>
      <c r="AJ10753">
        <v>20</v>
      </c>
      <c r="AK10753">
        <v>65</v>
      </c>
    </row>
    <row r="10754" spans="1:37" x14ac:dyDescent="0.3">
      <c r="A10754">
        <v>10753</v>
      </c>
      <c r="B10754">
        <v>82.2</v>
      </c>
      <c r="C10754">
        <v>-7.7686999999999999</v>
      </c>
      <c r="D10754">
        <v>7.1553800000000001</v>
      </c>
      <c r="E10754">
        <f>-7.7687-7.15538</f>
        <v>-14.92408</v>
      </c>
      <c r="F10754" t="s">
        <v>16154</v>
      </c>
      <c r="G10754" t="s">
        <v>37</v>
      </c>
      <c r="H10754">
        <v>2000</v>
      </c>
      <c r="I10754">
        <v>25.1</v>
      </c>
      <c r="J10754">
        <v>11.7</v>
      </c>
      <c r="K10754">
        <v>68</v>
      </c>
      <c r="L10754">
        <v>9.06</v>
      </c>
      <c r="M10754">
        <v>33.6</v>
      </c>
      <c r="N10754">
        <v>16.5</v>
      </c>
      <c r="O10754">
        <v>17.100000000000001</v>
      </c>
      <c r="P10754">
        <v>24.1</v>
      </c>
      <c r="Q10754">
        <v>25</v>
      </c>
      <c r="R10754">
        <v>26.3</v>
      </c>
      <c r="S10754">
        <v>24.1</v>
      </c>
      <c r="T10754">
        <v>1752</v>
      </c>
      <c r="U10754">
        <v>327</v>
      </c>
      <c r="V10754">
        <v>15</v>
      </c>
      <c r="W10754">
        <v>64</v>
      </c>
      <c r="X10754">
        <v>795</v>
      </c>
      <c r="Y10754">
        <v>92</v>
      </c>
      <c r="Z10754">
        <v>310</v>
      </c>
      <c r="AA10754">
        <v>795</v>
      </c>
      <c r="AB10754">
        <v>6.0854239999999997</v>
      </c>
      <c r="AC10754">
        <v>2.4932349999999999E-2</v>
      </c>
      <c r="AD10754">
        <v>1.446021</v>
      </c>
      <c r="AE10754">
        <v>0.52383270000000004</v>
      </c>
      <c r="AF10754">
        <v>322.17360000000002</v>
      </c>
      <c r="AG10754">
        <f>IFERROR(AH10754*0.1, "N/A")</f>
        <v>5.4383680000000005</v>
      </c>
      <c r="AH10754">
        <v>54.383679999999998</v>
      </c>
      <c r="AI10754">
        <v>199.71379999999999</v>
      </c>
      <c r="AJ10754">
        <v>19.616320000000002</v>
      </c>
      <c r="AK10754">
        <v>63.098959999999998</v>
      </c>
    </row>
    <row r="10755" spans="1:37" x14ac:dyDescent="0.3">
      <c r="A10755">
        <v>10754</v>
      </c>
      <c r="B10755">
        <v>64.7</v>
      </c>
      <c r="C10755">
        <v>-7.77332</v>
      </c>
      <c r="D10755">
        <v>7.1556499999999996</v>
      </c>
      <c r="E10755">
        <f>-7.77332-7.15565</f>
        <v>-14.92897</v>
      </c>
      <c r="F10755" t="s">
        <v>16155</v>
      </c>
      <c r="G10755" t="s">
        <v>37</v>
      </c>
      <c r="H10755">
        <v>2000</v>
      </c>
      <c r="I10755">
        <v>25.1</v>
      </c>
      <c r="J10755">
        <v>11.7</v>
      </c>
      <c r="K10755">
        <v>68</v>
      </c>
      <c r="L10755">
        <v>9.06</v>
      </c>
      <c r="M10755">
        <v>33.6</v>
      </c>
      <c r="N10755">
        <v>16.5</v>
      </c>
      <c r="O10755">
        <v>17.100000000000001</v>
      </c>
      <c r="P10755">
        <v>24.1</v>
      </c>
      <c r="Q10755">
        <v>25</v>
      </c>
      <c r="R10755">
        <v>26.3</v>
      </c>
      <c r="S10755">
        <v>24.1</v>
      </c>
      <c r="T10755">
        <v>1752</v>
      </c>
      <c r="U10755">
        <v>327</v>
      </c>
      <c r="V10755">
        <v>15</v>
      </c>
      <c r="W10755">
        <v>64</v>
      </c>
      <c r="X10755">
        <v>795</v>
      </c>
      <c r="Y10755">
        <v>92</v>
      </c>
      <c r="Z10755">
        <v>310</v>
      </c>
      <c r="AA10755">
        <v>795</v>
      </c>
      <c r="AB10755">
        <v>10.6534</v>
      </c>
      <c r="AC10755">
        <v>2.2305510000000001E-2</v>
      </c>
      <c r="AD10755">
        <v>2.396118</v>
      </c>
      <c r="AE10755">
        <v>0.52383270000000004</v>
      </c>
      <c r="AF10755">
        <v>320.72000000000003</v>
      </c>
      <c r="AG10755">
        <f>IFERROR(AH10755*0.1, "N/A")</f>
        <v>5.3735650000000001</v>
      </c>
      <c r="AH10755">
        <v>53.73565</v>
      </c>
      <c r="AI10755">
        <v>255.89670000000001</v>
      </c>
      <c r="AJ10755">
        <v>19.393039999999999</v>
      </c>
      <c r="AK10755">
        <v>63.40522</v>
      </c>
    </row>
    <row r="10756" spans="1:37" x14ac:dyDescent="0.3">
      <c r="A10756">
        <v>10755</v>
      </c>
      <c r="B10756">
        <v>60.6</v>
      </c>
      <c r="C10756">
        <v>-7.7717799999999997</v>
      </c>
      <c r="D10756">
        <v>7.1567499999999997</v>
      </c>
      <c r="E10756">
        <f>-7.77178-7.15675</f>
        <v>-14.928529999999999</v>
      </c>
      <c r="F10756" t="s">
        <v>16156</v>
      </c>
      <c r="G10756" t="s">
        <v>37</v>
      </c>
      <c r="H10756">
        <v>2005</v>
      </c>
      <c r="I10756">
        <v>25.1</v>
      </c>
      <c r="J10756">
        <v>11.7</v>
      </c>
      <c r="K10756">
        <v>68</v>
      </c>
      <c r="L10756">
        <v>9.06</v>
      </c>
      <c r="M10756">
        <v>33.6</v>
      </c>
      <c r="N10756">
        <v>16.5</v>
      </c>
      <c r="O10756">
        <v>17.100000000000001</v>
      </c>
      <c r="P10756">
        <v>24.1</v>
      </c>
      <c r="Q10756">
        <v>25</v>
      </c>
      <c r="R10756">
        <v>26.3</v>
      </c>
      <c r="S10756">
        <v>24.1</v>
      </c>
      <c r="T10756">
        <v>1752</v>
      </c>
      <c r="U10756">
        <v>327</v>
      </c>
      <c r="V10756">
        <v>15</v>
      </c>
      <c r="W10756">
        <v>64</v>
      </c>
      <c r="X10756">
        <v>795</v>
      </c>
      <c r="Y10756">
        <v>92</v>
      </c>
      <c r="Z10756">
        <v>310</v>
      </c>
      <c r="AA10756">
        <v>795</v>
      </c>
      <c r="AB10756">
        <v>13.70904</v>
      </c>
      <c r="AC10756">
        <v>1.6596969999999999E-2</v>
      </c>
      <c r="AD10756">
        <v>1.762864</v>
      </c>
      <c r="AE10756">
        <v>0.52383270000000004</v>
      </c>
      <c r="AF10756">
        <v>325.29509999999999</v>
      </c>
      <c r="AG10756">
        <f>IFERROR(AH10756*0.1, "N/A")</f>
        <v>5.3000000000000007</v>
      </c>
      <c r="AH10756">
        <v>53</v>
      </c>
      <c r="AI10756">
        <v>229.298</v>
      </c>
      <c r="AJ10756">
        <v>20</v>
      </c>
      <c r="AK10756">
        <v>62</v>
      </c>
    </row>
    <row r="10757" spans="1:37" x14ac:dyDescent="0.3">
      <c r="A10757">
        <v>10756</v>
      </c>
      <c r="B10757">
        <v>84.4</v>
      </c>
      <c r="C10757">
        <v>-7.7994500000000002</v>
      </c>
      <c r="D10757">
        <v>7.15808</v>
      </c>
      <c r="E10757">
        <f>-7.79945-7.15808</f>
        <v>-14.95753</v>
      </c>
      <c r="F10757" t="s">
        <v>16157</v>
      </c>
      <c r="G10757" t="s">
        <v>37</v>
      </c>
      <c r="H10757">
        <v>2005</v>
      </c>
      <c r="I10757">
        <v>25.114239999999999</v>
      </c>
      <c r="J10757">
        <v>11.80503</v>
      </c>
      <c r="K10757">
        <v>68</v>
      </c>
      <c r="L10757">
        <v>9.6113370000000007</v>
      </c>
      <c r="M10757">
        <v>33.700000000000003</v>
      </c>
      <c r="N10757">
        <v>16.399999999999999</v>
      </c>
      <c r="O10757">
        <v>17.3</v>
      </c>
      <c r="P10757">
        <v>24.0092</v>
      </c>
      <c r="Q10757">
        <v>25</v>
      </c>
      <c r="R10757">
        <v>26.409199999999998</v>
      </c>
      <c r="S10757">
        <v>24.0092</v>
      </c>
      <c r="T10757">
        <v>1767.825</v>
      </c>
      <c r="U10757">
        <v>329.90800000000002</v>
      </c>
      <c r="V10757">
        <v>15</v>
      </c>
      <c r="W10757">
        <v>64</v>
      </c>
      <c r="X10757">
        <v>803.90800000000002</v>
      </c>
      <c r="Y10757">
        <v>92.907989999999998</v>
      </c>
      <c r="Z10757">
        <v>310.90800000000002</v>
      </c>
      <c r="AA10757">
        <v>803.90800000000002</v>
      </c>
      <c r="AB10757">
        <v>8.6468810000000005</v>
      </c>
      <c r="AC10757">
        <v>1.7068219999999999E-2</v>
      </c>
      <c r="AD10757">
        <v>2.677899</v>
      </c>
      <c r="AE10757">
        <v>0.439025</v>
      </c>
      <c r="AF10757">
        <v>313.38369999999998</v>
      </c>
      <c r="AG10757">
        <f>IFERROR(AH10757*0.1, "N/A")</f>
        <v>5.4711810000000005</v>
      </c>
      <c r="AH10757">
        <v>54.71181</v>
      </c>
      <c r="AI10757">
        <v>139.38030000000001</v>
      </c>
      <c r="AJ10757">
        <v>19.1875</v>
      </c>
      <c r="AK10757">
        <v>63.661459999999998</v>
      </c>
    </row>
    <row r="10758" spans="1:37" x14ac:dyDescent="0.3">
      <c r="A10758">
        <v>10757</v>
      </c>
      <c r="B10758">
        <v>66.7</v>
      </c>
      <c r="C10758">
        <v>-7.7922900000000004</v>
      </c>
      <c r="D10758">
        <v>7.1597400000000002</v>
      </c>
      <c r="E10758">
        <f>-7.79229-7.15974</f>
        <v>-14.952030000000001</v>
      </c>
      <c r="F10758" t="s">
        <v>16158</v>
      </c>
      <c r="G10758" t="s">
        <v>37</v>
      </c>
      <c r="H10758">
        <v>2005</v>
      </c>
      <c r="I10758">
        <v>25.2</v>
      </c>
      <c r="J10758">
        <v>11.8</v>
      </c>
      <c r="K10758">
        <v>68</v>
      </c>
      <c r="L10758">
        <v>9.6555649999999993</v>
      </c>
      <c r="M10758">
        <v>33.700000000000003</v>
      </c>
      <c r="N10758">
        <v>16.399999999999999</v>
      </c>
      <c r="O10758">
        <v>17.3</v>
      </c>
      <c r="P10758">
        <v>24.1</v>
      </c>
      <c r="Q10758">
        <v>25</v>
      </c>
      <c r="R10758">
        <v>26.5</v>
      </c>
      <c r="S10758">
        <v>24.1</v>
      </c>
      <c r="T10758">
        <v>1763.21</v>
      </c>
      <c r="U10758">
        <v>328.74430000000001</v>
      </c>
      <c r="V10758">
        <v>15</v>
      </c>
      <c r="W10758">
        <v>64.255650000000003</v>
      </c>
      <c r="X10758">
        <v>801.97739999999999</v>
      </c>
      <c r="Y10758">
        <v>92</v>
      </c>
      <c r="Z10758">
        <v>310</v>
      </c>
      <c r="AA10758">
        <v>801.97739999999999</v>
      </c>
      <c r="AB10758">
        <v>12.22052</v>
      </c>
      <c r="AC10758">
        <v>1.9325430000000001E-2</v>
      </c>
      <c r="AD10758">
        <v>1.0170790000000001</v>
      </c>
      <c r="AE10758">
        <v>0.53045799999999999</v>
      </c>
      <c r="AF10758">
        <v>317.96870000000001</v>
      </c>
      <c r="AG10758">
        <f>IFERROR(AH10758*0.1, "N/A")</f>
        <v>5.4088700000000003</v>
      </c>
      <c r="AH10758">
        <v>54.088700000000003</v>
      </c>
      <c r="AI10758">
        <v>85.180610000000001</v>
      </c>
      <c r="AJ10758">
        <v>19.266089999999998</v>
      </c>
      <c r="AK10758">
        <v>64.478260000000006</v>
      </c>
    </row>
    <row r="10759" spans="1:37" x14ac:dyDescent="0.3">
      <c r="A10759">
        <v>10758</v>
      </c>
      <c r="B10759">
        <v>91.5</v>
      </c>
      <c r="C10759">
        <v>-7.8047800000000001</v>
      </c>
      <c r="D10759">
        <v>7.1730299999999998</v>
      </c>
      <c r="E10759">
        <f>-7.80478-7.17303</f>
        <v>-14.97781</v>
      </c>
      <c r="F10759" t="s">
        <v>16159</v>
      </c>
      <c r="G10759" t="s">
        <v>37</v>
      </c>
      <c r="H10759">
        <v>2000</v>
      </c>
      <c r="I10759">
        <v>25.2</v>
      </c>
      <c r="J10759">
        <v>11.9</v>
      </c>
      <c r="K10759">
        <v>69</v>
      </c>
      <c r="L10759">
        <v>9.3000000000000007</v>
      </c>
      <c r="M10759">
        <v>33.6</v>
      </c>
      <c r="N10759">
        <v>16.399999999999999</v>
      </c>
      <c r="O10759">
        <v>17.2</v>
      </c>
      <c r="P10759">
        <v>24</v>
      </c>
      <c r="Q10759">
        <v>25.1</v>
      </c>
      <c r="R10759">
        <v>26.4</v>
      </c>
      <c r="S10759">
        <v>24</v>
      </c>
      <c r="T10759">
        <v>1774</v>
      </c>
      <c r="U10759">
        <v>330</v>
      </c>
      <c r="V10759">
        <v>15</v>
      </c>
      <c r="W10759">
        <v>65</v>
      </c>
      <c r="X10759">
        <v>810</v>
      </c>
      <c r="Y10759">
        <v>93</v>
      </c>
      <c r="Z10759">
        <v>311</v>
      </c>
      <c r="AA10759">
        <v>810</v>
      </c>
      <c r="AB10759">
        <v>12.6198</v>
      </c>
      <c r="AC10759">
        <v>3.2780419999999998E-2</v>
      </c>
      <c r="AD10759">
        <v>3.4424510000000001</v>
      </c>
      <c r="AE10759">
        <v>0.57175889999999996</v>
      </c>
      <c r="AF10759">
        <v>313.59030000000001</v>
      </c>
      <c r="AG10759">
        <f>IFERROR(AH10759*0.1, "N/A")</f>
        <v>5.3321180000000004</v>
      </c>
      <c r="AH10759">
        <v>53.321179999999998</v>
      </c>
      <c r="AI10759">
        <v>156.29069999999999</v>
      </c>
      <c r="AJ10759">
        <v>21</v>
      </c>
      <c r="AK10759">
        <v>60</v>
      </c>
    </row>
    <row r="10760" spans="1:37" x14ac:dyDescent="0.3">
      <c r="A10760">
        <v>10759</v>
      </c>
      <c r="B10760">
        <v>68.599999999999994</v>
      </c>
      <c r="C10760">
        <v>-7.8062899999999997</v>
      </c>
      <c r="D10760">
        <v>7.1730799999999997</v>
      </c>
      <c r="E10760">
        <f>-7.80629-7.17308</f>
        <v>-14.979369999999999</v>
      </c>
      <c r="F10760" t="s">
        <v>16160</v>
      </c>
      <c r="G10760" t="s">
        <v>37</v>
      </c>
      <c r="H10760">
        <v>2005</v>
      </c>
      <c r="I10760">
        <v>25.2</v>
      </c>
      <c r="J10760">
        <v>11.9</v>
      </c>
      <c r="K10760">
        <v>69</v>
      </c>
      <c r="L10760">
        <v>9.3000000000000007</v>
      </c>
      <c r="M10760">
        <v>33.6</v>
      </c>
      <c r="N10760">
        <v>16.399999999999999</v>
      </c>
      <c r="O10760">
        <v>17.2</v>
      </c>
      <c r="P10760">
        <v>24</v>
      </c>
      <c r="Q10760">
        <v>25.1</v>
      </c>
      <c r="R10760">
        <v>26.4</v>
      </c>
      <c r="S10760">
        <v>24</v>
      </c>
      <c r="T10760">
        <v>1774</v>
      </c>
      <c r="U10760">
        <v>330</v>
      </c>
      <c r="V10760">
        <v>15</v>
      </c>
      <c r="W10760">
        <v>65</v>
      </c>
      <c r="X10760">
        <v>810</v>
      </c>
      <c r="Y10760">
        <v>93</v>
      </c>
      <c r="Z10760">
        <v>311</v>
      </c>
      <c r="AA10760">
        <v>810</v>
      </c>
      <c r="AB10760">
        <v>10.711499999999999</v>
      </c>
      <c r="AC10760">
        <v>7.5645809999999994E-2</v>
      </c>
      <c r="AD10760">
        <v>2.800332</v>
      </c>
      <c r="AE10760">
        <v>0.57175889999999996</v>
      </c>
      <c r="AF10760">
        <v>314.11500000000001</v>
      </c>
      <c r="AG10760">
        <f>IFERROR(AH10760*0.1, "N/A")</f>
        <v>5.3428570000000004</v>
      </c>
      <c r="AH10760">
        <v>53.428570000000001</v>
      </c>
      <c r="AI10760">
        <v>141.988</v>
      </c>
      <c r="AJ10760">
        <v>21.857140000000001</v>
      </c>
      <c r="AK10760">
        <v>59.571429999999999</v>
      </c>
    </row>
    <row r="10761" spans="1:37" x14ac:dyDescent="0.3">
      <c r="A10761">
        <v>10760</v>
      </c>
      <c r="B10761">
        <v>91.5</v>
      </c>
      <c r="C10761">
        <v>-7.7502800000000001</v>
      </c>
      <c r="D10761">
        <v>7.1747500000000004</v>
      </c>
      <c r="E10761">
        <f>-7.75028-7.17475</f>
        <v>-14.92503</v>
      </c>
      <c r="F10761" t="s">
        <v>16161</v>
      </c>
      <c r="G10761" t="s">
        <v>37</v>
      </c>
      <c r="H10761">
        <v>2005</v>
      </c>
      <c r="I10761">
        <v>25.2</v>
      </c>
      <c r="J10761">
        <v>11.749040000000001</v>
      </c>
      <c r="K10761">
        <v>68</v>
      </c>
      <c r="L10761">
        <v>9.3151829999999993</v>
      </c>
      <c r="M10761">
        <v>33.602440000000001</v>
      </c>
      <c r="N10761">
        <v>16.409770000000002</v>
      </c>
      <c r="O10761">
        <v>17.19267</v>
      </c>
      <c r="P10761">
        <v>24.1</v>
      </c>
      <c r="Q10761">
        <v>24.813610000000001</v>
      </c>
      <c r="R10761">
        <v>26.4</v>
      </c>
      <c r="S10761">
        <v>24.1</v>
      </c>
      <c r="T10761">
        <v>1740.2719999999999</v>
      </c>
      <c r="U10761">
        <v>324.90230000000003</v>
      </c>
      <c r="V10761">
        <v>14.975569999999999</v>
      </c>
      <c r="W10761">
        <v>64.097729999999999</v>
      </c>
      <c r="X10761">
        <v>791.53579999999999</v>
      </c>
      <c r="Y10761">
        <v>91.36824</v>
      </c>
      <c r="Z10761">
        <v>307.49040000000002</v>
      </c>
      <c r="AA10761">
        <v>791.53579999999999</v>
      </c>
      <c r="AB10761">
        <v>13.87171</v>
      </c>
      <c r="AC10761">
        <v>1.428512E-2</v>
      </c>
      <c r="AD10761">
        <v>4.0219500000000004</v>
      </c>
      <c r="AE10761">
        <v>0.3216968</v>
      </c>
      <c r="AF10761">
        <v>314.25650000000002</v>
      </c>
      <c r="AG10761">
        <f>IFERROR(AH10761*0.1, "N/A")</f>
        <v>5.4</v>
      </c>
      <c r="AH10761">
        <v>54</v>
      </c>
      <c r="AI10761">
        <v>108.4156</v>
      </c>
      <c r="AJ10761">
        <v>19.097729999999999</v>
      </c>
      <c r="AK10761">
        <v>63</v>
      </c>
    </row>
    <row r="10762" spans="1:37" x14ac:dyDescent="0.3">
      <c r="A10762">
        <v>10761</v>
      </c>
      <c r="B10762">
        <v>0</v>
      </c>
      <c r="C10762">
        <v>-8.0538900000000009</v>
      </c>
      <c r="D10762">
        <v>7.1866700000000003</v>
      </c>
      <c r="E10762">
        <f>-8.05389-7.18667</f>
        <v>-15.240560000000002</v>
      </c>
      <c r="F10762" t="s">
        <v>16162</v>
      </c>
      <c r="G10762" t="s">
        <v>39</v>
      </c>
      <c r="H10762">
        <v>1980</v>
      </c>
      <c r="I10762">
        <v>25</v>
      </c>
      <c r="J10762">
        <v>12.5</v>
      </c>
      <c r="K10762">
        <v>71</v>
      </c>
      <c r="L10762">
        <v>8.81</v>
      </c>
      <c r="M10762">
        <v>33.799999999999997</v>
      </c>
      <c r="N10762">
        <v>16.3</v>
      </c>
      <c r="O10762">
        <v>17.5</v>
      </c>
      <c r="P10762">
        <v>23.9</v>
      </c>
      <c r="Q10762">
        <v>25</v>
      </c>
      <c r="R10762">
        <v>26.2</v>
      </c>
      <c r="S10762">
        <v>23.9</v>
      </c>
      <c r="T10762">
        <v>1940</v>
      </c>
      <c r="U10762">
        <v>356</v>
      </c>
      <c r="V10762">
        <v>17</v>
      </c>
      <c r="W10762">
        <v>65</v>
      </c>
      <c r="X10762">
        <v>905</v>
      </c>
      <c r="Y10762">
        <v>102</v>
      </c>
      <c r="Z10762">
        <v>427</v>
      </c>
      <c r="AA10762">
        <v>905</v>
      </c>
      <c r="AB10762">
        <v>25.972090000000001</v>
      </c>
      <c r="AC10762">
        <v>1.0495229999999999E-2</v>
      </c>
      <c r="AD10762">
        <v>3.5250680000000001</v>
      </c>
      <c r="AE10762">
        <v>0.61443440000000005</v>
      </c>
      <c r="AF10762">
        <v>353.47120000000001</v>
      </c>
      <c r="AG10762">
        <f>IFERROR(AH10762*0.1, "N/A")</f>
        <v>5.2638740000000004</v>
      </c>
      <c r="AH10762">
        <v>52.638739999999999</v>
      </c>
      <c r="AI10762">
        <v>229.17769999999999</v>
      </c>
      <c r="AJ10762">
        <v>22.202439999999999</v>
      </c>
      <c r="AK10762">
        <v>59.95637</v>
      </c>
    </row>
    <row r="10763" spans="1:37" x14ac:dyDescent="0.3">
      <c r="A10763">
        <v>10762</v>
      </c>
      <c r="B10763">
        <v>0</v>
      </c>
      <c r="C10763">
        <v>-8.0538900000000009</v>
      </c>
      <c r="D10763">
        <v>7.1866700000000003</v>
      </c>
      <c r="E10763">
        <f>-8.05389-7.18667</f>
        <v>-15.240560000000002</v>
      </c>
      <c r="F10763" t="s">
        <v>16163</v>
      </c>
      <c r="G10763" t="s">
        <v>37</v>
      </c>
      <c r="H10763">
        <v>1980</v>
      </c>
      <c r="I10763">
        <v>25</v>
      </c>
      <c r="J10763">
        <v>12.5</v>
      </c>
      <c r="K10763">
        <v>71</v>
      </c>
      <c r="L10763">
        <v>8.81</v>
      </c>
      <c r="M10763">
        <v>33.799999999999997</v>
      </c>
      <c r="N10763">
        <v>16.3</v>
      </c>
      <c r="O10763">
        <v>17.5</v>
      </c>
      <c r="P10763">
        <v>23.9</v>
      </c>
      <c r="Q10763">
        <v>25</v>
      </c>
      <c r="R10763">
        <v>26.2</v>
      </c>
      <c r="S10763">
        <v>23.9</v>
      </c>
      <c r="T10763">
        <v>1940</v>
      </c>
      <c r="U10763">
        <v>356</v>
      </c>
      <c r="V10763">
        <v>17</v>
      </c>
      <c r="W10763">
        <v>65</v>
      </c>
      <c r="X10763">
        <v>905</v>
      </c>
      <c r="Y10763">
        <v>102</v>
      </c>
      <c r="Z10763">
        <v>427</v>
      </c>
      <c r="AA10763">
        <v>905</v>
      </c>
      <c r="AB10763">
        <v>25.972090000000001</v>
      </c>
      <c r="AC10763">
        <v>1.0495229999999999E-2</v>
      </c>
      <c r="AD10763">
        <v>3.5250680000000001</v>
      </c>
      <c r="AE10763">
        <v>0.61443440000000005</v>
      </c>
      <c r="AF10763">
        <v>353.47120000000001</v>
      </c>
      <c r="AG10763">
        <f>IFERROR(AH10763*0.1, "N/A")</f>
        <v>5.2638740000000004</v>
      </c>
      <c r="AH10763">
        <v>52.638739999999999</v>
      </c>
      <c r="AI10763">
        <v>229.17769999999999</v>
      </c>
      <c r="AJ10763">
        <v>22.202439999999999</v>
      </c>
      <c r="AK10763">
        <v>59.95637</v>
      </c>
    </row>
    <row r="10764" spans="1:37" x14ac:dyDescent="0.3">
      <c r="A10764">
        <v>10763</v>
      </c>
      <c r="B10764">
        <v>92.6</v>
      </c>
      <c r="C10764">
        <v>-7.7698299999999998</v>
      </c>
      <c r="D10764">
        <v>7.2015200000000004</v>
      </c>
      <c r="E10764">
        <f>-7.76983-7.20152</f>
        <v>-14.971350000000001</v>
      </c>
      <c r="F10764" t="s">
        <v>16164</v>
      </c>
      <c r="G10764" t="s">
        <v>37</v>
      </c>
      <c r="H10764">
        <v>2000</v>
      </c>
      <c r="I10764">
        <v>25.2</v>
      </c>
      <c r="J10764">
        <v>11.8</v>
      </c>
      <c r="K10764">
        <v>67</v>
      </c>
      <c r="L10764">
        <v>9.5</v>
      </c>
      <c r="M10764">
        <v>33.700000000000003</v>
      </c>
      <c r="N10764">
        <v>16.3</v>
      </c>
      <c r="O10764">
        <v>17.399999999999999</v>
      </c>
      <c r="P10764">
        <v>24.2</v>
      </c>
      <c r="Q10764">
        <v>25</v>
      </c>
      <c r="R10764">
        <v>26.5</v>
      </c>
      <c r="S10764">
        <v>24.2</v>
      </c>
      <c r="T10764">
        <v>1751</v>
      </c>
      <c r="U10764">
        <v>326</v>
      </c>
      <c r="V10764">
        <v>15</v>
      </c>
      <c r="W10764">
        <v>65</v>
      </c>
      <c r="X10764">
        <v>802</v>
      </c>
      <c r="Y10764">
        <v>91</v>
      </c>
      <c r="Z10764">
        <v>308</v>
      </c>
      <c r="AA10764">
        <v>802</v>
      </c>
      <c r="AB10764">
        <v>7.3693850000000003</v>
      </c>
      <c r="AC10764">
        <v>0.14370269999999999</v>
      </c>
      <c r="AD10764">
        <v>3.2188949999999998</v>
      </c>
      <c r="AE10764">
        <v>0.4737383</v>
      </c>
      <c r="AF10764">
        <v>304.12169999999998</v>
      </c>
      <c r="AG10764">
        <f>IFERROR(AH10764*0.1, "N/A")</f>
        <v>5.4897390000000001</v>
      </c>
      <c r="AH10764">
        <v>54.897390000000001</v>
      </c>
      <c r="AI10764">
        <v>197.37819999999999</v>
      </c>
      <c r="AJ10764">
        <v>22.015650000000001</v>
      </c>
      <c r="AK10764">
        <v>59.984349999999999</v>
      </c>
    </row>
    <row r="10765" spans="1:37" x14ac:dyDescent="0.3">
      <c r="A10765">
        <v>10764</v>
      </c>
      <c r="B10765">
        <v>69.599999999999994</v>
      </c>
      <c r="C10765">
        <v>-7.7701200000000004</v>
      </c>
      <c r="D10765">
        <v>7.2109199999999998</v>
      </c>
      <c r="E10765">
        <f>-7.77012-7.21092</f>
        <v>-14.98104</v>
      </c>
      <c r="F10765" t="s">
        <v>16165</v>
      </c>
      <c r="G10765" t="s">
        <v>37</v>
      </c>
      <c r="H10765">
        <v>2005</v>
      </c>
      <c r="I10765">
        <v>25.2</v>
      </c>
      <c r="J10765">
        <v>11.8</v>
      </c>
      <c r="K10765">
        <v>68</v>
      </c>
      <c r="L10765">
        <v>9.4</v>
      </c>
      <c r="M10765">
        <v>33.700000000000003</v>
      </c>
      <c r="N10765">
        <v>16.399999999999999</v>
      </c>
      <c r="O10765">
        <v>17.3</v>
      </c>
      <c r="P10765">
        <v>24.1</v>
      </c>
      <c r="Q10765">
        <v>25.1</v>
      </c>
      <c r="R10765">
        <v>26.5</v>
      </c>
      <c r="S10765">
        <v>24.1</v>
      </c>
      <c r="T10765">
        <v>1747</v>
      </c>
      <c r="U10765">
        <v>325</v>
      </c>
      <c r="V10765">
        <v>14</v>
      </c>
      <c r="W10765">
        <v>65</v>
      </c>
      <c r="X10765">
        <v>800</v>
      </c>
      <c r="Y10765">
        <v>90</v>
      </c>
      <c r="Z10765">
        <v>308</v>
      </c>
      <c r="AA10765">
        <v>800</v>
      </c>
      <c r="AB10765">
        <v>11.031370000000001</v>
      </c>
      <c r="AC10765">
        <v>8.7475710000000009E-3</v>
      </c>
      <c r="AD10765">
        <v>3.1229040000000001</v>
      </c>
      <c r="AE10765">
        <v>0.57499359999999999</v>
      </c>
      <c r="AF10765">
        <v>311.91460000000001</v>
      </c>
      <c r="AG10765">
        <f>IFERROR(AH10765*0.1, "N/A")</f>
        <v>5.5</v>
      </c>
      <c r="AH10765">
        <v>55</v>
      </c>
      <c r="AI10765">
        <v>155.28219999999999</v>
      </c>
      <c r="AJ10765">
        <v>20.797910000000002</v>
      </c>
      <c r="AK10765">
        <v>61.947740000000003</v>
      </c>
    </row>
    <row r="10766" spans="1:37" x14ac:dyDescent="0.3">
      <c r="A10766">
        <v>10765</v>
      </c>
      <c r="B10766">
        <v>47</v>
      </c>
      <c r="C10766">
        <v>-7.78545</v>
      </c>
      <c r="D10766">
        <v>7.2117399999999998</v>
      </c>
      <c r="E10766">
        <f>-7.78545-7.21174</f>
        <v>-14.99719</v>
      </c>
      <c r="F10766" t="s">
        <v>16166</v>
      </c>
      <c r="G10766" t="s">
        <v>37</v>
      </c>
      <c r="H10766">
        <v>2005</v>
      </c>
      <c r="I10766">
        <v>25.1</v>
      </c>
      <c r="J10766">
        <v>11.8</v>
      </c>
      <c r="K10766">
        <v>68</v>
      </c>
      <c r="L10766">
        <v>9.41</v>
      </c>
      <c r="M10766">
        <v>33.6</v>
      </c>
      <c r="N10766">
        <v>16.3</v>
      </c>
      <c r="O10766">
        <v>17.3</v>
      </c>
      <c r="P10766">
        <v>24</v>
      </c>
      <c r="Q10766">
        <v>25</v>
      </c>
      <c r="R10766">
        <v>26.4</v>
      </c>
      <c r="S10766">
        <v>24</v>
      </c>
      <c r="T10766">
        <v>1766</v>
      </c>
      <c r="U10766">
        <v>328</v>
      </c>
      <c r="V10766">
        <v>15</v>
      </c>
      <c r="W10766">
        <v>65</v>
      </c>
      <c r="X10766">
        <v>810</v>
      </c>
      <c r="Y10766">
        <v>92</v>
      </c>
      <c r="Z10766">
        <v>311</v>
      </c>
      <c r="AA10766">
        <v>810</v>
      </c>
      <c r="AB10766">
        <v>12.50798</v>
      </c>
      <c r="AC10766">
        <v>8.4815789999999995E-3</v>
      </c>
      <c r="AD10766">
        <v>3.1503739999999998</v>
      </c>
      <c r="AE10766">
        <v>0.28216170000000002</v>
      </c>
      <c r="AF10766">
        <v>324.1927</v>
      </c>
      <c r="AG10766">
        <f>IFERROR(AH10766*0.1, "N/A")</f>
        <v>5.4609380000000005</v>
      </c>
      <c r="AH10766">
        <v>54.609380000000002</v>
      </c>
      <c r="AI10766">
        <v>236.4648</v>
      </c>
      <c r="AJ10766">
        <v>21.84375</v>
      </c>
      <c r="AK10766">
        <v>61.682290000000002</v>
      </c>
    </row>
    <row r="10767" spans="1:37" x14ac:dyDescent="0.3">
      <c r="A10767">
        <v>10766</v>
      </c>
      <c r="B10767">
        <v>0</v>
      </c>
      <c r="C10767">
        <v>-8.0171200000000002</v>
      </c>
      <c r="D10767">
        <v>7.2257600000000002</v>
      </c>
      <c r="E10767">
        <f>-8.01712-7.22576</f>
        <v>-15.24288</v>
      </c>
      <c r="F10767" t="s">
        <v>16167</v>
      </c>
      <c r="G10767" t="s">
        <v>39</v>
      </c>
      <c r="H10767">
        <v>1980</v>
      </c>
      <c r="I10767">
        <v>25</v>
      </c>
      <c r="J10767">
        <v>12.4</v>
      </c>
      <c r="K10767">
        <v>70</v>
      </c>
      <c r="L10767">
        <v>9.0938330000000001</v>
      </c>
      <c r="M10767">
        <v>33.799999999999997</v>
      </c>
      <c r="N10767">
        <v>16.104880000000001</v>
      </c>
      <c r="O10767">
        <v>17.695119999999999</v>
      </c>
      <c r="P10767">
        <v>23.895119999999999</v>
      </c>
      <c r="Q10767">
        <v>24.9</v>
      </c>
      <c r="R10767">
        <v>26.187629999999999</v>
      </c>
      <c r="S10767">
        <v>23.895119999999999</v>
      </c>
      <c r="T10767">
        <v>1927.5630000000001</v>
      </c>
      <c r="U10767">
        <v>352.0976</v>
      </c>
      <c r="V10767">
        <v>17</v>
      </c>
      <c r="W10767">
        <v>65</v>
      </c>
      <c r="X10767">
        <v>904.19510000000002</v>
      </c>
      <c r="Y10767">
        <v>102</v>
      </c>
      <c r="Z10767">
        <v>411.5557</v>
      </c>
      <c r="AA10767">
        <v>904.19510000000002</v>
      </c>
      <c r="AB10767">
        <v>1.7341420000000001</v>
      </c>
      <c r="AC10767">
        <v>0.32636969999999998</v>
      </c>
      <c r="AD10767">
        <v>6.5857770000000002</v>
      </c>
      <c r="AE10767">
        <v>0.3115269</v>
      </c>
      <c r="AF10767">
        <v>346.24040000000002</v>
      </c>
      <c r="AG10767">
        <f>IFERROR(AH10767*0.1, "N/A")</f>
        <v>5.2728220000000006</v>
      </c>
      <c r="AH10767">
        <v>52.72822</v>
      </c>
      <c r="AI10767">
        <v>107.7693</v>
      </c>
      <c r="AJ10767">
        <v>21.578399999999998</v>
      </c>
      <c r="AK10767">
        <v>61.343209999999999</v>
      </c>
    </row>
    <row r="10768" spans="1:37" x14ac:dyDescent="0.3">
      <c r="A10768">
        <v>10767</v>
      </c>
      <c r="B10768">
        <v>0</v>
      </c>
      <c r="C10768">
        <v>-8.0171200000000002</v>
      </c>
      <c r="D10768">
        <v>7.2257600000000002</v>
      </c>
      <c r="E10768">
        <f>-8.01712-7.22576</f>
        <v>-15.24288</v>
      </c>
      <c r="F10768" t="s">
        <v>16168</v>
      </c>
      <c r="G10768" t="s">
        <v>37</v>
      </c>
      <c r="H10768">
        <v>1980</v>
      </c>
      <c r="I10768">
        <v>25</v>
      </c>
      <c r="J10768">
        <v>12.4</v>
      </c>
      <c r="K10768">
        <v>70</v>
      </c>
      <c r="L10768">
        <v>9.0938330000000001</v>
      </c>
      <c r="M10768">
        <v>33.799999999999997</v>
      </c>
      <c r="N10768">
        <v>16.104880000000001</v>
      </c>
      <c r="O10768">
        <v>17.695119999999999</v>
      </c>
      <c r="P10768">
        <v>23.895119999999999</v>
      </c>
      <c r="Q10768">
        <v>24.9</v>
      </c>
      <c r="R10768">
        <v>26.187629999999999</v>
      </c>
      <c r="S10768">
        <v>23.895119999999999</v>
      </c>
      <c r="T10768">
        <v>1927.5630000000001</v>
      </c>
      <c r="U10768">
        <v>352.0976</v>
      </c>
      <c r="V10768">
        <v>17</v>
      </c>
      <c r="W10768">
        <v>65</v>
      </c>
      <c r="X10768">
        <v>904.19510000000002</v>
      </c>
      <c r="Y10768">
        <v>102</v>
      </c>
      <c r="Z10768">
        <v>411.5557</v>
      </c>
      <c r="AA10768">
        <v>904.19510000000002</v>
      </c>
      <c r="AB10768">
        <v>1.7341420000000001</v>
      </c>
      <c r="AC10768">
        <v>0.32636969999999998</v>
      </c>
      <c r="AD10768">
        <v>6.5857770000000002</v>
      </c>
      <c r="AE10768">
        <v>0.3115269</v>
      </c>
      <c r="AF10768">
        <v>346.24040000000002</v>
      </c>
      <c r="AG10768">
        <f>IFERROR(AH10768*0.1, "N/A")</f>
        <v>5.2728220000000006</v>
      </c>
      <c r="AH10768">
        <v>52.72822</v>
      </c>
      <c r="AI10768">
        <v>107.7693</v>
      </c>
      <c r="AJ10768">
        <v>21.578399999999998</v>
      </c>
      <c r="AK10768">
        <v>61.343209999999999</v>
      </c>
    </row>
    <row r="10769" spans="1:37" x14ac:dyDescent="0.3">
      <c r="A10769">
        <v>10768</v>
      </c>
      <c r="B10769">
        <v>71.400000000000006</v>
      </c>
      <c r="C10769">
        <v>-7.7811199999999996</v>
      </c>
      <c r="D10769">
        <v>7.2359200000000001</v>
      </c>
      <c r="E10769">
        <f>-7.78112-7.23592</f>
        <v>-15.01704</v>
      </c>
      <c r="F10769" t="s">
        <v>16169</v>
      </c>
      <c r="G10769" t="s">
        <v>37</v>
      </c>
      <c r="H10769">
        <v>2005</v>
      </c>
      <c r="I10769">
        <v>25.1</v>
      </c>
      <c r="J10769">
        <v>11.8</v>
      </c>
      <c r="K10769">
        <v>67</v>
      </c>
      <c r="L10769">
        <v>9.69</v>
      </c>
      <c r="M10769">
        <v>33.6</v>
      </c>
      <c r="N10769">
        <v>16.100000000000001</v>
      </c>
      <c r="O10769">
        <v>17.5</v>
      </c>
      <c r="P10769">
        <v>24</v>
      </c>
      <c r="Q10769">
        <v>24.9</v>
      </c>
      <c r="R10769">
        <v>26.4</v>
      </c>
      <c r="S10769">
        <v>24</v>
      </c>
      <c r="T10769">
        <v>1761</v>
      </c>
      <c r="U10769">
        <v>327</v>
      </c>
      <c r="V10769">
        <v>15</v>
      </c>
      <c r="W10769">
        <v>65</v>
      </c>
      <c r="X10769">
        <v>812</v>
      </c>
      <c r="Y10769">
        <v>91</v>
      </c>
      <c r="Z10769">
        <v>309</v>
      </c>
      <c r="AA10769">
        <v>812</v>
      </c>
      <c r="AB10769">
        <v>22.15963</v>
      </c>
      <c r="AC10769">
        <v>2.4532020000000002E-2</v>
      </c>
      <c r="AD10769">
        <v>3.4763310000000001</v>
      </c>
      <c r="AE10769">
        <v>0.31888640000000001</v>
      </c>
      <c r="AF10769">
        <v>334.33449999999999</v>
      </c>
      <c r="AG10769">
        <f>IFERROR(AH10769*0.1, "N/A")</f>
        <v>5.4</v>
      </c>
      <c r="AH10769">
        <v>54</v>
      </c>
      <c r="AI10769">
        <v>162.76660000000001</v>
      </c>
      <c r="AJ10769">
        <v>21</v>
      </c>
      <c r="AK10769">
        <v>60</v>
      </c>
    </row>
    <row r="10770" spans="1:37" x14ac:dyDescent="0.3">
      <c r="A10770">
        <v>10769</v>
      </c>
      <c r="B10770">
        <v>79.599999999999994</v>
      </c>
      <c r="C10770">
        <v>-7.7803800000000001</v>
      </c>
      <c r="D10770">
        <v>7.2365199999999996</v>
      </c>
      <c r="E10770">
        <f>-7.78038-7.23652</f>
        <v>-15.0169</v>
      </c>
      <c r="F10770" t="s">
        <v>16170</v>
      </c>
      <c r="G10770" t="s">
        <v>37</v>
      </c>
      <c r="H10770">
        <v>2000</v>
      </c>
      <c r="I10770">
        <v>25.1</v>
      </c>
      <c r="J10770">
        <v>11.8</v>
      </c>
      <c r="K10770">
        <v>67</v>
      </c>
      <c r="L10770">
        <v>9.69</v>
      </c>
      <c r="M10770">
        <v>33.6</v>
      </c>
      <c r="N10770">
        <v>16.100000000000001</v>
      </c>
      <c r="O10770">
        <v>17.5</v>
      </c>
      <c r="P10770">
        <v>24</v>
      </c>
      <c r="Q10770">
        <v>24.9</v>
      </c>
      <c r="R10770">
        <v>26.4</v>
      </c>
      <c r="S10770">
        <v>24</v>
      </c>
      <c r="T10770">
        <v>1761</v>
      </c>
      <c r="U10770">
        <v>327</v>
      </c>
      <c r="V10770">
        <v>15</v>
      </c>
      <c r="W10770">
        <v>65</v>
      </c>
      <c r="X10770">
        <v>812</v>
      </c>
      <c r="Y10770">
        <v>91</v>
      </c>
      <c r="Z10770">
        <v>309</v>
      </c>
      <c r="AA10770">
        <v>812</v>
      </c>
      <c r="AB10770">
        <v>21.631720000000001</v>
      </c>
      <c r="AC10770">
        <v>1.9311499999999999E-2</v>
      </c>
      <c r="AD10770">
        <v>3.6567400000000001</v>
      </c>
      <c r="AE10770">
        <v>0.31888640000000001</v>
      </c>
      <c r="AF10770">
        <v>333.48610000000002</v>
      </c>
      <c r="AG10770">
        <f>IFERROR(AH10770*0.1, "N/A")</f>
        <v>5.3736930000000003</v>
      </c>
      <c r="AH10770">
        <v>53.736930000000001</v>
      </c>
      <c r="AI10770">
        <v>168.8091</v>
      </c>
      <c r="AJ10770">
        <v>20.473870000000002</v>
      </c>
      <c r="AK10770">
        <v>60.789200000000001</v>
      </c>
    </row>
    <row r="10771" spans="1:37" x14ac:dyDescent="0.3">
      <c r="A10771">
        <v>10770</v>
      </c>
      <c r="B10771">
        <v>0</v>
      </c>
      <c r="C10771">
        <v>-8.3486100000000008</v>
      </c>
      <c r="D10771">
        <v>7.24674</v>
      </c>
      <c r="E10771">
        <f>-8.34861-7.24674</f>
        <v>-15.59535</v>
      </c>
      <c r="F10771" t="s">
        <v>16171</v>
      </c>
      <c r="G10771" t="s">
        <v>39</v>
      </c>
      <c r="H10771">
        <v>1980</v>
      </c>
      <c r="I10771">
        <v>25.1</v>
      </c>
      <c r="J10771">
        <v>13.3</v>
      </c>
      <c r="K10771">
        <v>73</v>
      </c>
      <c r="L10771">
        <v>8.11</v>
      </c>
      <c r="M10771">
        <v>34.299999999999997</v>
      </c>
      <c r="N10771">
        <v>16.2</v>
      </c>
      <c r="O10771">
        <v>18.100000000000001</v>
      </c>
      <c r="P10771">
        <v>24.1</v>
      </c>
      <c r="Q10771">
        <v>25.1</v>
      </c>
      <c r="R10771">
        <v>26.1</v>
      </c>
      <c r="S10771">
        <v>24.1</v>
      </c>
      <c r="T10771">
        <v>2016</v>
      </c>
      <c r="U10771">
        <v>372</v>
      </c>
      <c r="V10771">
        <v>15</v>
      </c>
      <c r="W10771">
        <v>66</v>
      </c>
      <c r="X10771">
        <v>949</v>
      </c>
      <c r="Y10771">
        <v>100</v>
      </c>
      <c r="Z10771">
        <v>418</v>
      </c>
      <c r="AA10771">
        <v>949</v>
      </c>
      <c r="AB10771">
        <v>12.68463</v>
      </c>
      <c r="AC10771">
        <v>1.1973950000000001E-2</v>
      </c>
      <c r="AD10771">
        <v>4.1059999999999999</v>
      </c>
      <c r="AE10771">
        <v>0.327403</v>
      </c>
      <c r="AF10771">
        <v>334.0942</v>
      </c>
      <c r="AG10771">
        <f>IFERROR(AH10771*0.1, "N/A")</f>
        <v>5.3931940000000003</v>
      </c>
      <c r="AH10771">
        <v>53.931939999999997</v>
      </c>
      <c r="AI10771">
        <v>251.27520000000001</v>
      </c>
      <c r="AJ10771">
        <v>22.43281</v>
      </c>
      <c r="AK10771">
        <v>59.50611</v>
      </c>
    </row>
    <row r="10772" spans="1:37" x14ac:dyDescent="0.3">
      <c r="A10772">
        <v>10771</v>
      </c>
      <c r="B10772">
        <v>0</v>
      </c>
      <c r="C10772">
        <v>-8.3486100000000008</v>
      </c>
      <c r="D10772">
        <v>7.24674</v>
      </c>
      <c r="E10772">
        <f>-8.34861-7.24674</f>
        <v>-15.59535</v>
      </c>
      <c r="F10772" t="s">
        <v>16172</v>
      </c>
      <c r="G10772" t="s">
        <v>37</v>
      </c>
      <c r="H10772">
        <v>1980</v>
      </c>
      <c r="I10772">
        <v>25.1</v>
      </c>
      <c r="J10772">
        <v>13.3</v>
      </c>
      <c r="K10772">
        <v>73</v>
      </c>
      <c r="L10772">
        <v>8.11</v>
      </c>
      <c r="M10772">
        <v>34.299999999999997</v>
      </c>
      <c r="N10772">
        <v>16.2</v>
      </c>
      <c r="O10772">
        <v>18.100000000000001</v>
      </c>
      <c r="P10772">
        <v>24.1</v>
      </c>
      <c r="Q10772">
        <v>25.1</v>
      </c>
      <c r="R10772">
        <v>26.1</v>
      </c>
      <c r="S10772">
        <v>24.1</v>
      </c>
      <c r="T10772">
        <v>2016</v>
      </c>
      <c r="U10772">
        <v>372</v>
      </c>
      <c r="V10772">
        <v>15</v>
      </c>
      <c r="W10772">
        <v>66</v>
      </c>
      <c r="X10772">
        <v>949</v>
      </c>
      <c r="Y10772">
        <v>100</v>
      </c>
      <c r="Z10772">
        <v>418</v>
      </c>
      <c r="AA10772">
        <v>949</v>
      </c>
      <c r="AB10772">
        <v>12.68463</v>
      </c>
      <c r="AC10772">
        <v>1.1973950000000001E-2</v>
      </c>
      <c r="AD10772">
        <v>4.1059999999999999</v>
      </c>
      <c r="AE10772">
        <v>0.327403</v>
      </c>
      <c r="AF10772">
        <v>334.0942</v>
      </c>
      <c r="AG10772">
        <f>IFERROR(AH10772*0.1, "N/A")</f>
        <v>5.3931940000000003</v>
      </c>
      <c r="AH10772">
        <v>53.931939999999997</v>
      </c>
      <c r="AI10772">
        <v>251.27520000000001</v>
      </c>
      <c r="AJ10772">
        <v>22.43281</v>
      </c>
      <c r="AK10772">
        <v>59.50611</v>
      </c>
    </row>
    <row r="10773" spans="1:37" x14ac:dyDescent="0.3">
      <c r="A10773">
        <v>10772</v>
      </c>
      <c r="B10773">
        <v>0</v>
      </c>
      <c r="C10773">
        <v>-8.2938899999999993</v>
      </c>
      <c r="D10773">
        <v>7.2588900000000001</v>
      </c>
      <c r="E10773">
        <f>-8.29389-7.25889</f>
        <v>-15.552779999999998</v>
      </c>
      <c r="F10773" t="s">
        <v>16173</v>
      </c>
      <c r="G10773" t="s">
        <v>39</v>
      </c>
      <c r="H10773">
        <v>1980</v>
      </c>
      <c r="I10773">
        <v>25.1</v>
      </c>
      <c r="J10773">
        <v>13.2</v>
      </c>
      <c r="K10773">
        <v>72.099130000000002</v>
      </c>
      <c r="L10773">
        <v>8.0856870000000001</v>
      </c>
      <c r="M10773">
        <v>34.200000000000003</v>
      </c>
      <c r="N10773">
        <v>16.109909999999999</v>
      </c>
      <c r="O10773">
        <v>18.09009</v>
      </c>
      <c r="P10773">
        <v>24</v>
      </c>
      <c r="Q10773">
        <v>25</v>
      </c>
      <c r="R10773">
        <v>26.1</v>
      </c>
      <c r="S10773">
        <v>24</v>
      </c>
      <c r="T10773">
        <v>1997.4960000000001</v>
      </c>
      <c r="U10773">
        <v>367.09910000000002</v>
      </c>
      <c r="V10773">
        <v>15</v>
      </c>
      <c r="W10773">
        <v>67</v>
      </c>
      <c r="X10773">
        <v>948.19830000000002</v>
      </c>
      <c r="Y10773">
        <v>98</v>
      </c>
      <c r="Z10773">
        <v>415.09910000000002</v>
      </c>
      <c r="AA10773">
        <v>948.19830000000002</v>
      </c>
      <c r="AB10773">
        <v>12.41601</v>
      </c>
      <c r="AC10773">
        <v>2.179909E-2</v>
      </c>
      <c r="AD10773">
        <v>3.7945880000000001</v>
      </c>
      <c r="AE10773">
        <v>0.25369779999999997</v>
      </c>
      <c r="AF10773">
        <v>335.34609999999998</v>
      </c>
      <c r="AG10773">
        <f>IFERROR(AH10773*0.1, "N/A")</f>
        <v>5.4</v>
      </c>
      <c r="AH10773">
        <v>54</v>
      </c>
      <c r="AI10773">
        <v>164.76050000000001</v>
      </c>
      <c r="AJ10773">
        <v>21.96</v>
      </c>
      <c r="AK10773">
        <v>57.511299999999999</v>
      </c>
    </row>
    <row r="10774" spans="1:37" x14ac:dyDescent="0.3">
      <c r="A10774">
        <v>10773</v>
      </c>
      <c r="B10774">
        <v>0</v>
      </c>
      <c r="C10774">
        <v>-8.2938899999999993</v>
      </c>
      <c r="D10774">
        <v>7.2588900000000001</v>
      </c>
      <c r="E10774">
        <f>-8.29389-7.25889</f>
        <v>-15.552779999999998</v>
      </c>
      <c r="F10774" t="s">
        <v>16174</v>
      </c>
      <c r="G10774" t="s">
        <v>37</v>
      </c>
      <c r="H10774">
        <v>1980</v>
      </c>
      <c r="I10774">
        <v>25.1</v>
      </c>
      <c r="J10774">
        <v>13.2</v>
      </c>
      <c r="K10774">
        <v>72.099130000000002</v>
      </c>
      <c r="L10774">
        <v>8.0856870000000001</v>
      </c>
      <c r="M10774">
        <v>34.200000000000003</v>
      </c>
      <c r="N10774">
        <v>16.109909999999999</v>
      </c>
      <c r="O10774">
        <v>18.09009</v>
      </c>
      <c r="P10774">
        <v>24</v>
      </c>
      <c r="Q10774">
        <v>25</v>
      </c>
      <c r="R10774">
        <v>26.1</v>
      </c>
      <c r="S10774">
        <v>24</v>
      </c>
      <c r="T10774">
        <v>1997.4960000000001</v>
      </c>
      <c r="U10774">
        <v>367.09910000000002</v>
      </c>
      <c r="V10774">
        <v>15</v>
      </c>
      <c r="W10774">
        <v>67</v>
      </c>
      <c r="X10774">
        <v>948.19830000000002</v>
      </c>
      <c r="Y10774">
        <v>98</v>
      </c>
      <c r="Z10774">
        <v>415.09910000000002</v>
      </c>
      <c r="AA10774">
        <v>948.19830000000002</v>
      </c>
      <c r="AB10774">
        <v>12.41601</v>
      </c>
      <c r="AC10774">
        <v>2.179909E-2</v>
      </c>
      <c r="AD10774">
        <v>3.7945880000000001</v>
      </c>
      <c r="AE10774">
        <v>0.25369779999999997</v>
      </c>
      <c r="AF10774">
        <v>335.34609999999998</v>
      </c>
      <c r="AG10774">
        <f>IFERROR(AH10774*0.1, "N/A")</f>
        <v>5.4</v>
      </c>
      <c r="AH10774">
        <v>54</v>
      </c>
      <c r="AI10774">
        <v>164.76050000000001</v>
      </c>
      <c r="AJ10774">
        <v>21.96</v>
      </c>
      <c r="AK10774">
        <v>57.511299999999999</v>
      </c>
    </row>
    <row r="10775" spans="1:37" x14ac:dyDescent="0.3">
      <c r="A10775">
        <v>10774</v>
      </c>
      <c r="B10775">
        <v>68.099999999999994</v>
      </c>
      <c r="C10775">
        <v>-7.8006200000000003</v>
      </c>
      <c r="D10775">
        <v>7.2597399999999999</v>
      </c>
      <c r="E10775">
        <f>-7.80062-7.25974</f>
        <v>-15.060359999999999</v>
      </c>
      <c r="F10775" t="s">
        <v>16175</v>
      </c>
      <c r="G10775" t="s">
        <v>37</v>
      </c>
      <c r="H10775">
        <v>2005</v>
      </c>
      <c r="I10775">
        <v>25</v>
      </c>
      <c r="J10775">
        <v>11.9</v>
      </c>
      <c r="K10775">
        <v>68</v>
      </c>
      <c r="L10775">
        <v>9.5399650000000005</v>
      </c>
      <c r="M10775">
        <v>33.6</v>
      </c>
      <c r="N10775">
        <v>16.100000000000001</v>
      </c>
      <c r="O10775">
        <v>17.5</v>
      </c>
      <c r="P10775">
        <v>23.992329999999999</v>
      </c>
      <c r="Q10775">
        <v>24.76934</v>
      </c>
      <c r="R10775">
        <v>26.3</v>
      </c>
      <c r="S10775">
        <v>23.992329999999999</v>
      </c>
      <c r="T10775">
        <v>1782.617</v>
      </c>
      <c r="U10775">
        <v>329</v>
      </c>
      <c r="V10775">
        <v>15</v>
      </c>
      <c r="W10775">
        <v>65</v>
      </c>
      <c r="X10775">
        <v>825.84670000000006</v>
      </c>
      <c r="Y10775">
        <v>92.923339999999996</v>
      </c>
      <c r="Z10775">
        <v>312</v>
      </c>
      <c r="AA10775">
        <v>825.84670000000006</v>
      </c>
      <c r="AB10775">
        <v>3.846168</v>
      </c>
      <c r="AC10775">
        <v>0.44624419999999998</v>
      </c>
      <c r="AD10775">
        <v>3.9868009999999998</v>
      </c>
      <c r="AE10775">
        <v>0.55882929999999997</v>
      </c>
      <c r="AF10775">
        <v>341.43729999999999</v>
      </c>
      <c r="AG10775">
        <f>IFERROR(AH10775*0.1, "N/A")</f>
        <v>5.4202089999999998</v>
      </c>
      <c r="AH10775">
        <v>54.202089999999998</v>
      </c>
      <c r="AI10775">
        <v>285.32560000000001</v>
      </c>
      <c r="AJ10775">
        <v>20.202089999999998</v>
      </c>
      <c r="AK10775">
        <v>62.846690000000002</v>
      </c>
    </row>
    <row r="10776" spans="1:37" x14ac:dyDescent="0.3">
      <c r="A10776">
        <v>10775</v>
      </c>
      <c r="B10776">
        <v>76.2</v>
      </c>
      <c r="C10776">
        <v>-7.7814199999999998</v>
      </c>
      <c r="D10776">
        <v>7.2716799999999999</v>
      </c>
      <c r="E10776">
        <f>-7.78142-7.27168</f>
        <v>-15.053100000000001</v>
      </c>
      <c r="F10776" t="s">
        <v>16176</v>
      </c>
      <c r="G10776" t="s">
        <v>37</v>
      </c>
      <c r="H10776">
        <v>2000</v>
      </c>
      <c r="I10776">
        <v>25</v>
      </c>
      <c r="J10776">
        <v>11.8</v>
      </c>
      <c r="K10776">
        <v>67</v>
      </c>
      <c r="L10776">
        <v>9.33</v>
      </c>
      <c r="M10776">
        <v>33.5</v>
      </c>
      <c r="N10776">
        <v>16</v>
      </c>
      <c r="O10776">
        <v>17.5</v>
      </c>
      <c r="P10776">
        <v>24</v>
      </c>
      <c r="Q10776">
        <v>24.8</v>
      </c>
      <c r="R10776">
        <v>26.2</v>
      </c>
      <c r="S10776">
        <v>24</v>
      </c>
      <c r="T10776">
        <v>1766</v>
      </c>
      <c r="U10776">
        <v>327</v>
      </c>
      <c r="V10776">
        <v>15</v>
      </c>
      <c r="W10776">
        <v>65</v>
      </c>
      <c r="X10776">
        <v>818</v>
      </c>
      <c r="Y10776">
        <v>91</v>
      </c>
      <c r="Z10776">
        <v>310</v>
      </c>
      <c r="AA10776">
        <v>818</v>
      </c>
      <c r="AB10776">
        <v>15.11478</v>
      </c>
      <c r="AC10776">
        <v>1.862751E-2</v>
      </c>
      <c r="AD10776">
        <v>1.5551680000000001</v>
      </c>
      <c r="AE10776">
        <v>0.79077090000000005</v>
      </c>
      <c r="AF10776">
        <v>348.02609999999999</v>
      </c>
      <c r="AG10776">
        <f>IFERROR(AH10776*0.1, "N/A")</f>
        <v>5.3883480000000006</v>
      </c>
      <c r="AH10776">
        <v>53.883479999999999</v>
      </c>
      <c r="AI10776">
        <v>250.44800000000001</v>
      </c>
      <c r="AJ10776">
        <v>18.399999999999999</v>
      </c>
      <c r="AK10776">
        <v>64.486959999999996</v>
      </c>
    </row>
    <row r="10777" spans="1:37" x14ac:dyDescent="0.3">
      <c r="A10777">
        <v>10776</v>
      </c>
      <c r="B10777">
        <v>45.5</v>
      </c>
      <c r="C10777">
        <v>-7.7821199999999999</v>
      </c>
      <c r="D10777">
        <v>7.2720900000000004</v>
      </c>
      <c r="E10777">
        <f>-7.78212-7.27209</f>
        <v>-15.054210000000001</v>
      </c>
      <c r="F10777" t="s">
        <v>16177</v>
      </c>
      <c r="G10777" t="s">
        <v>37</v>
      </c>
      <c r="H10777">
        <v>2005</v>
      </c>
      <c r="I10777">
        <v>25</v>
      </c>
      <c r="J10777">
        <v>11.8</v>
      </c>
      <c r="K10777">
        <v>67</v>
      </c>
      <c r="L10777">
        <v>9.33</v>
      </c>
      <c r="M10777">
        <v>33.5</v>
      </c>
      <c r="N10777">
        <v>16</v>
      </c>
      <c r="O10777">
        <v>17.5</v>
      </c>
      <c r="P10777">
        <v>24</v>
      </c>
      <c r="Q10777">
        <v>24.8</v>
      </c>
      <c r="R10777">
        <v>26.2</v>
      </c>
      <c r="S10777">
        <v>24</v>
      </c>
      <c r="T10777">
        <v>1766</v>
      </c>
      <c r="U10777">
        <v>327</v>
      </c>
      <c r="V10777">
        <v>15</v>
      </c>
      <c r="W10777">
        <v>65</v>
      </c>
      <c r="X10777">
        <v>818</v>
      </c>
      <c r="Y10777">
        <v>91</v>
      </c>
      <c r="Z10777">
        <v>310</v>
      </c>
      <c r="AA10777">
        <v>818</v>
      </c>
      <c r="AB10777">
        <v>16.30348</v>
      </c>
      <c r="AC10777">
        <v>1.801171E-2</v>
      </c>
      <c r="AD10777">
        <v>1.8296680000000001</v>
      </c>
      <c r="AE10777">
        <v>0.79077090000000005</v>
      </c>
      <c r="AF10777">
        <v>348.83249999999998</v>
      </c>
      <c r="AG10777">
        <f>IFERROR(AH10777*0.1, "N/A")</f>
        <v>5.4</v>
      </c>
      <c r="AH10777">
        <v>54</v>
      </c>
      <c r="AI10777">
        <v>195.90969999999999</v>
      </c>
      <c r="AJ10777">
        <v>19.806280000000001</v>
      </c>
      <c r="AK10777">
        <v>62.895290000000003</v>
      </c>
    </row>
    <row r="10778" spans="1:37" x14ac:dyDescent="0.3">
      <c r="A10778">
        <v>10777</v>
      </c>
      <c r="B10778">
        <v>80</v>
      </c>
      <c r="C10778">
        <v>-5.3644400000000001</v>
      </c>
      <c r="D10778">
        <v>7.2861099999999999</v>
      </c>
      <c r="E10778">
        <f>-5.36444-7.28611</f>
        <v>-12.650549999999999</v>
      </c>
      <c r="F10778" t="s">
        <v>16178</v>
      </c>
      <c r="G10778" t="s">
        <v>39</v>
      </c>
      <c r="H10778">
        <v>1976</v>
      </c>
      <c r="I10778">
        <v>26.6</v>
      </c>
      <c r="J10778">
        <v>10.9</v>
      </c>
      <c r="K10778">
        <v>74</v>
      </c>
      <c r="L10778">
        <v>10.93</v>
      </c>
      <c r="M10778">
        <v>34.6</v>
      </c>
      <c r="N10778">
        <v>19.899999999999999</v>
      </c>
      <c r="O10778">
        <v>14.7</v>
      </c>
      <c r="P10778">
        <v>27.2</v>
      </c>
      <c r="Q10778">
        <v>26.4</v>
      </c>
      <c r="R10778">
        <v>28.1</v>
      </c>
      <c r="S10778">
        <v>25.2</v>
      </c>
      <c r="T10778">
        <v>1107</v>
      </c>
      <c r="U10778">
        <v>189</v>
      </c>
      <c r="V10778">
        <v>12</v>
      </c>
      <c r="W10778">
        <v>61</v>
      </c>
      <c r="X10778">
        <v>430</v>
      </c>
      <c r="Y10778">
        <v>51</v>
      </c>
      <c r="Z10778">
        <v>258</v>
      </c>
      <c r="AA10778">
        <v>386</v>
      </c>
      <c r="AB10778">
        <v>8.1960160000000002</v>
      </c>
      <c r="AC10778">
        <v>8.4802039999999999E-3</v>
      </c>
      <c r="AD10778">
        <v>2.9784480000000002</v>
      </c>
      <c r="AE10778">
        <v>0.55378680000000002</v>
      </c>
      <c r="AF10778">
        <v>212.67420000000001</v>
      </c>
      <c r="AG10778">
        <f>IFERROR(AH10778*0.1, "N/A")</f>
        <v>5.9112650000000002</v>
      </c>
      <c r="AH10778">
        <v>59.112650000000002</v>
      </c>
      <c r="AI10778">
        <v>287.48989999999998</v>
      </c>
      <c r="AJ10778">
        <v>19.02946</v>
      </c>
      <c r="AK10778">
        <v>60.225299999999997</v>
      </c>
    </row>
    <row r="10779" spans="1:37" x14ac:dyDescent="0.3">
      <c r="A10779">
        <v>10778</v>
      </c>
      <c r="B10779">
        <v>29.3</v>
      </c>
      <c r="C10779">
        <v>-7.7179500000000001</v>
      </c>
      <c r="D10779">
        <v>7.2992499999999998</v>
      </c>
      <c r="E10779">
        <f>-7.71795-7.29925</f>
        <v>-15.017199999999999</v>
      </c>
      <c r="F10779" t="s">
        <v>16179</v>
      </c>
      <c r="G10779" t="s">
        <v>37</v>
      </c>
      <c r="H10779">
        <v>2005</v>
      </c>
      <c r="I10779">
        <v>24.9</v>
      </c>
      <c r="J10779">
        <v>11.7</v>
      </c>
      <c r="K10779">
        <v>66</v>
      </c>
      <c r="L10779">
        <v>9.4301739999999992</v>
      </c>
      <c r="M10779">
        <v>33.416379999999997</v>
      </c>
      <c r="N10779">
        <v>15.9</v>
      </c>
      <c r="O10779">
        <v>17.516380000000002</v>
      </c>
      <c r="P10779">
        <v>23.91638</v>
      </c>
      <c r="Q10779">
        <v>24.216380000000001</v>
      </c>
      <c r="R10779">
        <v>26.2</v>
      </c>
      <c r="S10779">
        <v>23.91638</v>
      </c>
      <c r="T10779">
        <v>1732.509</v>
      </c>
      <c r="U10779">
        <v>320.83620000000002</v>
      </c>
      <c r="V10779">
        <v>14</v>
      </c>
      <c r="W10779">
        <v>65</v>
      </c>
      <c r="X10779">
        <v>802</v>
      </c>
      <c r="Y10779">
        <v>87</v>
      </c>
      <c r="Z10779">
        <v>307.83620000000002</v>
      </c>
      <c r="AA10779">
        <v>802</v>
      </c>
      <c r="AB10779">
        <v>14.277710000000001</v>
      </c>
      <c r="AC10779">
        <v>1.2129010000000001E-2</v>
      </c>
      <c r="AD10779">
        <v>1.5265759999999999</v>
      </c>
      <c r="AE10779">
        <v>0.67389880000000002</v>
      </c>
      <c r="AF10779">
        <v>351.86930000000001</v>
      </c>
      <c r="AG10779">
        <f>IFERROR(AH10779*0.1, "N/A")</f>
        <v>5.486237</v>
      </c>
      <c r="AH10779">
        <v>54.862369999999999</v>
      </c>
      <c r="AI10779">
        <v>177.49250000000001</v>
      </c>
      <c r="AJ10779">
        <v>22.412890000000001</v>
      </c>
      <c r="AK10779">
        <v>56.724739999999997</v>
      </c>
    </row>
    <row r="10780" spans="1:37" x14ac:dyDescent="0.3">
      <c r="A10780">
        <v>10779</v>
      </c>
      <c r="B10780">
        <v>67.5</v>
      </c>
      <c r="C10780">
        <v>-7.5719500000000002</v>
      </c>
      <c r="D10780">
        <v>7.30558</v>
      </c>
      <c r="E10780">
        <f>-7.57195-7.30558</f>
        <v>-14.87753</v>
      </c>
      <c r="F10780" t="s">
        <v>16180</v>
      </c>
      <c r="G10780" t="s">
        <v>37</v>
      </c>
      <c r="H10780">
        <v>2005</v>
      </c>
      <c r="I10780">
        <v>25.1</v>
      </c>
      <c r="J10780">
        <v>11.4</v>
      </c>
      <c r="K10780">
        <v>65</v>
      </c>
      <c r="L10780">
        <v>9.91</v>
      </c>
      <c r="M10780">
        <v>33.4</v>
      </c>
      <c r="N10780">
        <v>16</v>
      </c>
      <c r="O10780">
        <v>17.399999999999999</v>
      </c>
      <c r="P10780">
        <v>24.2</v>
      </c>
      <c r="Q10780">
        <v>24.3</v>
      </c>
      <c r="R10780">
        <v>26.5</v>
      </c>
      <c r="S10780">
        <v>24.2</v>
      </c>
      <c r="T10780">
        <v>1639</v>
      </c>
      <c r="U10780">
        <v>305</v>
      </c>
      <c r="V10780">
        <v>13</v>
      </c>
      <c r="W10780">
        <v>65</v>
      </c>
      <c r="X10780">
        <v>750</v>
      </c>
      <c r="Y10780">
        <v>79</v>
      </c>
      <c r="Z10780">
        <v>300</v>
      </c>
      <c r="AA10780">
        <v>750</v>
      </c>
      <c r="AB10780">
        <v>16.127880000000001</v>
      </c>
      <c r="AC10780">
        <v>1.867338E-2</v>
      </c>
      <c r="AD10780">
        <v>5.2600579999999999</v>
      </c>
      <c r="AE10780">
        <v>0.30392520000000001</v>
      </c>
      <c r="AF10780">
        <v>314.6585</v>
      </c>
      <c r="AG10780">
        <f>IFERROR(AH10780*0.1, "N/A")</f>
        <v>5.5890240000000002</v>
      </c>
      <c r="AH10780">
        <v>55.890239999999999</v>
      </c>
      <c r="AI10780">
        <v>42.24868</v>
      </c>
      <c r="AJ10780">
        <v>21.001740000000002</v>
      </c>
      <c r="AK10780">
        <v>61.775260000000003</v>
      </c>
    </row>
    <row r="10781" spans="1:37" x14ac:dyDescent="0.3">
      <c r="A10781">
        <v>10780</v>
      </c>
      <c r="B10781">
        <v>50.5</v>
      </c>
      <c r="C10781">
        <v>-7.5137700000000001</v>
      </c>
      <c r="D10781">
        <v>7.3165800000000001</v>
      </c>
      <c r="E10781">
        <f>-7.51377-7.31658</f>
        <v>-14.830349999999999</v>
      </c>
      <c r="F10781" t="s">
        <v>16181</v>
      </c>
      <c r="G10781" t="s">
        <v>37</v>
      </c>
      <c r="H10781">
        <v>2005</v>
      </c>
      <c r="I10781">
        <v>25</v>
      </c>
      <c r="J10781">
        <v>11.3</v>
      </c>
      <c r="K10781">
        <v>65</v>
      </c>
      <c r="L10781">
        <v>10</v>
      </c>
      <c r="M10781">
        <v>33.299999999999997</v>
      </c>
      <c r="N10781">
        <v>16</v>
      </c>
      <c r="O10781">
        <v>17.3</v>
      </c>
      <c r="P10781">
        <v>24.1</v>
      </c>
      <c r="Q10781">
        <v>24.2</v>
      </c>
      <c r="R10781">
        <v>26.4</v>
      </c>
      <c r="S10781">
        <v>24.1</v>
      </c>
      <c r="T10781">
        <v>1619.6510000000001</v>
      </c>
      <c r="U10781">
        <v>301</v>
      </c>
      <c r="V10781">
        <v>13</v>
      </c>
      <c r="W10781">
        <v>64.349040000000002</v>
      </c>
      <c r="X10781">
        <v>738.69809999999995</v>
      </c>
      <c r="Y10781">
        <v>77.650959999999998</v>
      </c>
      <c r="Z10781">
        <v>300.65100000000001</v>
      </c>
      <c r="AA10781">
        <v>738.69809999999995</v>
      </c>
      <c r="AB10781">
        <v>23.893889999999999</v>
      </c>
      <c r="AC10781">
        <v>8.8495989999999997E-3</v>
      </c>
      <c r="AD10781">
        <v>2.2130480000000001</v>
      </c>
      <c r="AE10781">
        <v>0.61841570000000001</v>
      </c>
      <c r="AF10781">
        <v>326.48520000000002</v>
      </c>
      <c r="AG10781">
        <f>IFERROR(AH10781*0.1, "N/A")</f>
        <v>5.6895290000000003</v>
      </c>
      <c r="AH10781">
        <v>56.895290000000003</v>
      </c>
      <c r="AI10781">
        <v>80.042320000000004</v>
      </c>
      <c r="AJ10781">
        <v>20.01745</v>
      </c>
      <c r="AK10781">
        <v>60.061079999999997</v>
      </c>
    </row>
    <row r="10782" spans="1:37" x14ac:dyDescent="0.3">
      <c r="A10782">
        <v>10781</v>
      </c>
      <c r="B10782">
        <v>71.5</v>
      </c>
      <c r="C10782">
        <v>-8.3163900000000002</v>
      </c>
      <c r="D10782">
        <v>7.3286100000000003</v>
      </c>
      <c r="E10782">
        <f>-8.31639-7.32861</f>
        <v>-15.645</v>
      </c>
      <c r="F10782" t="s">
        <v>16182</v>
      </c>
      <c r="G10782" t="s">
        <v>37</v>
      </c>
      <c r="H10782">
        <v>2002</v>
      </c>
      <c r="I10782">
        <v>24.869620000000001</v>
      </c>
      <c r="J10782">
        <v>13.3</v>
      </c>
      <c r="K10782">
        <v>72</v>
      </c>
      <c r="L10782">
        <v>8.4010069999999999</v>
      </c>
      <c r="M10782">
        <v>34.1</v>
      </c>
      <c r="N10782">
        <v>15.8</v>
      </c>
      <c r="O10782">
        <v>18.3</v>
      </c>
      <c r="P10782">
        <v>23.8</v>
      </c>
      <c r="Q10782">
        <v>24.8</v>
      </c>
      <c r="R10782">
        <v>25.869620000000001</v>
      </c>
      <c r="S10782">
        <v>23.8</v>
      </c>
      <c r="T10782">
        <v>2023.519</v>
      </c>
      <c r="U10782">
        <v>369.30380000000002</v>
      </c>
      <c r="V10782">
        <v>16</v>
      </c>
      <c r="W10782">
        <v>67</v>
      </c>
      <c r="X10782">
        <v>969.60760000000005</v>
      </c>
      <c r="Y10782">
        <v>101</v>
      </c>
      <c r="Z10782">
        <v>413.30380000000002</v>
      </c>
      <c r="AA10782">
        <v>969.60760000000005</v>
      </c>
      <c r="AB10782">
        <v>18.481079999999999</v>
      </c>
      <c r="AC10782">
        <v>1.065814E-2</v>
      </c>
      <c r="AD10782">
        <v>2.8192149999999998</v>
      </c>
      <c r="AE10782">
        <v>0.4387045</v>
      </c>
      <c r="AF10782">
        <v>384.29340000000002</v>
      </c>
      <c r="AG10782">
        <f>IFERROR(AH10782*0.1, "N/A")</f>
        <v>5.3560760000000007</v>
      </c>
      <c r="AH10782">
        <v>53.560760000000002</v>
      </c>
      <c r="AI10782">
        <v>204.48089999999999</v>
      </c>
      <c r="AJ10782">
        <v>23.54167</v>
      </c>
      <c r="AK10782">
        <v>59.25694</v>
      </c>
    </row>
    <row r="10783" spans="1:37" x14ac:dyDescent="0.3">
      <c r="A10783">
        <v>10782</v>
      </c>
      <c r="B10783">
        <v>33.299999999999997</v>
      </c>
      <c r="C10783">
        <v>-7.6726099999999997</v>
      </c>
      <c r="D10783">
        <v>7.33291</v>
      </c>
      <c r="E10783">
        <f>-7.67261-7.33291</f>
        <v>-15.005520000000001</v>
      </c>
      <c r="F10783" t="s">
        <v>16183</v>
      </c>
      <c r="G10783" t="s">
        <v>37</v>
      </c>
      <c r="H10783">
        <v>2005</v>
      </c>
      <c r="I10783">
        <v>24.9</v>
      </c>
      <c r="J10783">
        <v>11.6</v>
      </c>
      <c r="K10783">
        <v>65.516459999999995</v>
      </c>
      <c r="L10783">
        <v>9.9109879999999997</v>
      </c>
      <c r="M10783">
        <v>33.348350000000003</v>
      </c>
      <c r="N10783">
        <v>15.8</v>
      </c>
      <c r="O10783">
        <v>17.548349999999999</v>
      </c>
      <c r="P10783">
        <v>23.9</v>
      </c>
      <c r="Q10783">
        <v>24.148350000000001</v>
      </c>
      <c r="R10783">
        <v>26.248349999999999</v>
      </c>
      <c r="S10783">
        <v>23.9</v>
      </c>
      <c r="T10783">
        <v>1703.549</v>
      </c>
      <c r="U10783">
        <v>315</v>
      </c>
      <c r="V10783">
        <v>14</v>
      </c>
      <c r="W10783">
        <v>65.483540000000005</v>
      </c>
      <c r="X10783">
        <v>789.51649999999995</v>
      </c>
      <c r="Y10783">
        <v>84</v>
      </c>
      <c r="Z10783">
        <v>306.03289999999998</v>
      </c>
      <c r="AA10783">
        <v>789.51649999999995</v>
      </c>
      <c r="AB10783">
        <v>12.028420000000001</v>
      </c>
      <c r="AC10783">
        <v>1.084531E-2</v>
      </c>
      <c r="AD10783">
        <v>2.502745</v>
      </c>
      <c r="AE10783">
        <v>0.47397460000000002</v>
      </c>
      <c r="AF10783">
        <v>347.76429999999999</v>
      </c>
      <c r="AG10783">
        <f>IFERROR(AH10783*0.1, "N/A")</f>
        <v>5.3065860000000002</v>
      </c>
      <c r="AH10783">
        <v>53.065860000000001</v>
      </c>
      <c r="AI10783">
        <v>258.80560000000003</v>
      </c>
      <c r="AJ10783">
        <v>27.991330000000001</v>
      </c>
      <c r="AK10783">
        <v>54.311959999999999</v>
      </c>
    </row>
    <row r="10784" spans="1:37" x14ac:dyDescent="0.3">
      <c r="A10784">
        <v>10783</v>
      </c>
      <c r="B10784">
        <v>70.900000000000006</v>
      </c>
      <c r="C10784">
        <v>-7.7876200000000004</v>
      </c>
      <c r="D10784">
        <v>7.3330799999999998</v>
      </c>
      <c r="E10784">
        <f>-7.78762-7.33308</f>
        <v>-15.120699999999999</v>
      </c>
      <c r="F10784" t="s">
        <v>16184</v>
      </c>
      <c r="G10784" t="s">
        <v>37</v>
      </c>
      <c r="H10784">
        <v>2005</v>
      </c>
      <c r="I10784">
        <v>25</v>
      </c>
      <c r="J10784">
        <v>11.9</v>
      </c>
      <c r="K10784">
        <v>67</v>
      </c>
      <c r="L10784">
        <v>9.5163589999999996</v>
      </c>
      <c r="M10784">
        <v>33.6</v>
      </c>
      <c r="N10784">
        <v>15.9</v>
      </c>
      <c r="O10784">
        <v>17.7</v>
      </c>
      <c r="P10784">
        <v>24.037459999999999</v>
      </c>
      <c r="Q10784">
        <v>24.33746</v>
      </c>
      <c r="R10784">
        <v>26.3</v>
      </c>
      <c r="S10784">
        <v>24.037459999999999</v>
      </c>
      <c r="T10784">
        <v>1761.876</v>
      </c>
      <c r="U10784">
        <v>325</v>
      </c>
      <c r="V10784">
        <v>14</v>
      </c>
      <c r="W10784">
        <v>66</v>
      </c>
      <c r="X10784">
        <v>823.2509</v>
      </c>
      <c r="Y10784">
        <v>90</v>
      </c>
      <c r="Z10784">
        <v>307.62540000000001</v>
      </c>
      <c r="AA10784">
        <v>823.2509</v>
      </c>
      <c r="AB10784">
        <v>4.748437</v>
      </c>
      <c r="AC10784">
        <v>2.9599419999999999</v>
      </c>
      <c r="AD10784">
        <v>2.049045</v>
      </c>
      <c r="AE10784">
        <v>0.50074289999999999</v>
      </c>
      <c r="AF10784">
        <v>340.108</v>
      </c>
      <c r="AG10784">
        <f>IFERROR(AH10784*0.1, "N/A")</f>
        <v>5.5</v>
      </c>
      <c r="AH10784">
        <v>55</v>
      </c>
      <c r="AI10784">
        <v>91.587549999999993</v>
      </c>
      <c r="AJ10784">
        <v>29.224740000000001</v>
      </c>
      <c r="AK10784">
        <v>55</v>
      </c>
    </row>
    <row r="10785" spans="1:37" x14ac:dyDescent="0.3">
      <c r="A10785">
        <v>10784</v>
      </c>
      <c r="B10785">
        <v>66.3</v>
      </c>
      <c r="C10785">
        <v>-7.6758699999999997</v>
      </c>
      <c r="D10785">
        <v>7.3352000000000004</v>
      </c>
      <c r="E10785">
        <f>-7.67587-7.3352</f>
        <v>-15.01107</v>
      </c>
      <c r="F10785" t="s">
        <v>16185</v>
      </c>
      <c r="G10785" t="s">
        <v>37</v>
      </c>
      <c r="H10785">
        <v>2000</v>
      </c>
      <c r="I10785">
        <v>24.9</v>
      </c>
      <c r="J10785">
        <v>11.6</v>
      </c>
      <c r="K10785">
        <v>65.972130000000007</v>
      </c>
      <c r="L10785">
        <v>9.7536240000000003</v>
      </c>
      <c r="M10785">
        <v>33.302790000000002</v>
      </c>
      <c r="N10785">
        <v>15.8</v>
      </c>
      <c r="O10785">
        <v>17.502790000000001</v>
      </c>
      <c r="P10785">
        <v>23.9</v>
      </c>
      <c r="Q10785">
        <v>24.102789999999999</v>
      </c>
      <c r="R10785">
        <v>26.20279</v>
      </c>
      <c r="S10785">
        <v>23.9</v>
      </c>
      <c r="T10785">
        <v>1709.777</v>
      </c>
      <c r="U10785">
        <v>315.97210000000001</v>
      </c>
      <c r="V10785">
        <v>14</v>
      </c>
      <c r="W10785">
        <v>65.027869999999993</v>
      </c>
      <c r="X10785">
        <v>792.88850000000002</v>
      </c>
      <c r="Y10785">
        <v>84.972130000000007</v>
      </c>
      <c r="Z10785">
        <v>306.9443</v>
      </c>
      <c r="AA10785">
        <v>792.88850000000002</v>
      </c>
      <c r="AB10785">
        <v>7.9769990000000002</v>
      </c>
      <c r="AC10785">
        <v>2.5644650000000001E-2</v>
      </c>
      <c r="AD10785">
        <v>2.8488929999999999</v>
      </c>
      <c r="AE10785">
        <v>0.39165689999999997</v>
      </c>
      <c r="AF10785">
        <v>347.07490000000001</v>
      </c>
      <c r="AG10785">
        <f>IFERROR(AH10785*0.1, "N/A")</f>
        <v>5.1083620000000005</v>
      </c>
      <c r="AH10785">
        <v>51.083620000000003</v>
      </c>
      <c r="AI10785">
        <v>170.9171</v>
      </c>
      <c r="AJ10785">
        <v>26.900700000000001</v>
      </c>
      <c r="AK10785">
        <v>54.099299999999999</v>
      </c>
    </row>
    <row r="10786" spans="1:37" x14ac:dyDescent="0.3">
      <c r="A10786">
        <v>10785</v>
      </c>
      <c r="B10786">
        <v>67.3</v>
      </c>
      <c r="C10786">
        <v>-7.5964499999999999</v>
      </c>
      <c r="D10786">
        <v>7.3397800000000002</v>
      </c>
      <c r="E10786">
        <f>-7.59645-7.33978</f>
        <v>-14.93623</v>
      </c>
      <c r="F10786" t="s">
        <v>16186</v>
      </c>
      <c r="G10786" t="s">
        <v>37</v>
      </c>
      <c r="H10786">
        <v>2000</v>
      </c>
      <c r="I10786">
        <v>25</v>
      </c>
      <c r="J10786">
        <v>11.4</v>
      </c>
      <c r="K10786">
        <v>65</v>
      </c>
      <c r="L10786">
        <v>9.9</v>
      </c>
      <c r="M10786">
        <v>33.299999999999997</v>
      </c>
      <c r="N10786">
        <v>15.9</v>
      </c>
      <c r="O10786">
        <v>17.399999999999999</v>
      </c>
      <c r="P10786">
        <v>24.1</v>
      </c>
      <c r="Q10786">
        <v>24.2</v>
      </c>
      <c r="R10786">
        <v>26.3</v>
      </c>
      <c r="S10786">
        <v>24.1</v>
      </c>
      <c r="T10786">
        <v>1658</v>
      </c>
      <c r="U10786">
        <v>308</v>
      </c>
      <c r="V10786">
        <v>13</v>
      </c>
      <c r="W10786">
        <v>65</v>
      </c>
      <c r="X10786">
        <v>765</v>
      </c>
      <c r="Y10786">
        <v>80</v>
      </c>
      <c r="Z10786">
        <v>302</v>
      </c>
      <c r="AA10786">
        <v>765</v>
      </c>
      <c r="AB10786">
        <v>19.307469999999999</v>
      </c>
      <c r="AC10786">
        <v>1.160544E-2</v>
      </c>
      <c r="AD10786">
        <v>2.3138399999999999</v>
      </c>
      <c r="AE10786">
        <v>0.6822608</v>
      </c>
      <c r="AF10786">
        <v>328.63130000000001</v>
      </c>
      <c r="AG10786">
        <f>IFERROR(AH10786*0.1, "N/A")</f>
        <v>5.5485220000000002</v>
      </c>
      <c r="AH10786">
        <v>55.485219999999998</v>
      </c>
      <c r="AI10786">
        <v>90.384500000000003</v>
      </c>
      <c r="AJ10786">
        <v>26.742609999999999</v>
      </c>
      <c r="AK10786">
        <v>57.742609999999999</v>
      </c>
    </row>
    <row r="10787" spans="1:37" x14ac:dyDescent="0.3">
      <c r="A10787">
        <v>10786</v>
      </c>
      <c r="B10787">
        <v>14.3</v>
      </c>
      <c r="C10787">
        <v>-7.5380000000000003</v>
      </c>
      <c r="D10787">
        <v>7.3486700000000003</v>
      </c>
      <c r="E10787">
        <f>-7.538-7.34867</f>
        <v>-14.886670000000001</v>
      </c>
      <c r="F10787" t="s">
        <v>16187</v>
      </c>
      <c r="G10787" t="s">
        <v>37</v>
      </c>
      <c r="H10787">
        <v>2005</v>
      </c>
      <c r="I10787">
        <v>24.9</v>
      </c>
      <c r="J10787">
        <v>11.3</v>
      </c>
      <c r="K10787">
        <v>64</v>
      </c>
      <c r="L10787">
        <v>9.99</v>
      </c>
      <c r="M10787">
        <v>33.299999999999997</v>
      </c>
      <c r="N10787">
        <v>15.7</v>
      </c>
      <c r="O10787">
        <v>17.600000000000001</v>
      </c>
      <c r="P10787">
        <v>24</v>
      </c>
      <c r="Q10787">
        <v>24.1</v>
      </c>
      <c r="R10787">
        <v>26.3</v>
      </c>
      <c r="S10787">
        <v>24</v>
      </c>
      <c r="T10787">
        <v>1637</v>
      </c>
      <c r="U10787">
        <v>303</v>
      </c>
      <c r="V10787">
        <v>13</v>
      </c>
      <c r="W10787">
        <v>65</v>
      </c>
      <c r="X10787">
        <v>752</v>
      </c>
      <c r="Y10787">
        <v>78</v>
      </c>
      <c r="Z10787">
        <v>303</v>
      </c>
      <c r="AA10787">
        <v>752</v>
      </c>
      <c r="AB10787">
        <v>17.236519999999999</v>
      </c>
      <c r="AC10787">
        <v>1.3138840000000001E-2</v>
      </c>
      <c r="AD10787">
        <v>1.489881</v>
      </c>
      <c r="AE10787">
        <v>0.68575129999999995</v>
      </c>
      <c r="AF10787">
        <v>335.8261</v>
      </c>
      <c r="AG10787">
        <f>IFERROR(AH10787*0.1, "N/A")</f>
        <v>5.5878259999999997</v>
      </c>
      <c r="AH10787">
        <v>55.878259999999997</v>
      </c>
      <c r="AI10787">
        <v>57.36891</v>
      </c>
      <c r="AJ10787">
        <v>27.151299999999999</v>
      </c>
      <c r="AK10787">
        <v>55.763480000000001</v>
      </c>
    </row>
    <row r="10788" spans="1:37" x14ac:dyDescent="0.3">
      <c r="A10788">
        <v>10787</v>
      </c>
      <c r="B10788">
        <v>48.3</v>
      </c>
      <c r="C10788">
        <v>-7.6172800000000001</v>
      </c>
      <c r="D10788">
        <v>7.3577500000000002</v>
      </c>
      <c r="E10788">
        <f>-7.61728-7.35775</f>
        <v>-14.97503</v>
      </c>
      <c r="F10788" t="s">
        <v>16188</v>
      </c>
      <c r="G10788" t="s">
        <v>37</v>
      </c>
      <c r="H10788">
        <v>2005</v>
      </c>
      <c r="I10788">
        <v>24.978120000000001</v>
      </c>
      <c r="J10788">
        <v>11.48854</v>
      </c>
      <c r="K10788">
        <v>64.986109999999996</v>
      </c>
      <c r="L10788">
        <v>9.6565279999999998</v>
      </c>
      <c r="M10788">
        <v>33.378129999999999</v>
      </c>
      <c r="N10788">
        <v>15.78819</v>
      </c>
      <c r="O10788">
        <v>17.589929999999999</v>
      </c>
      <c r="P10788">
        <v>24.078130000000002</v>
      </c>
      <c r="Q10788">
        <v>24.176739999999999</v>
      </c>
      <c r="R10788">
        <v>26.312850000000001</v>
      </c>
      <c r="S10788">
        <v>24.078130000000002</v>
      </c>
      <c r="T10788">
        <v>1668.8510000000001</v>
      </c>
      <c r="U10788">
        <v>309.21879999999999</v>
      </c>
      <c r="V10788">
        <v>13</v>
      </c>
      <c r="W10788">
        <v>65.128469999999993</v>
      </c>
      <c r="X10788">
        <v>772.7604</v>
      </c>
      <c r="Y10788">
        <v>80</v>
      </c>
      <c r="Z10788">
        <v>302.34719999999999</v>
      </c>
      <c r="AA10788">
        <v>772.7604</v>
      </c>
      <c r="AB10788">
        <v>18.88766</v>
      </c>
      <c r="AC10788">
        <v>9.8036909999999998E-3</v>
      </c>
      <c r="AD10788">
        <v>2.2693089999999998</v>
      </c>
      <c r="AE10788">
        <v>0.77827729999999995</v>
      </c>
      <c r="AF10788">
        <v>343.63889999999998</v>
      </c>
      <c r="AG10788">
        <f>IFERROR(AH10788*0.1, "N/A")</f>
        <v>5.2256940000000007</v>
      </c>
      <c r="AH10788">
        <v>52.25694</v>
      </c>
      <c r="AI10788">
        <v>108.0072</v>
      </c>
      <c r="AJ10788">
        <v>26.921880000000002</v>
      </c>
      <c r="AK10788">
        <v>50.28472</v>
      </c>
    </row>
    <row r="10789" spans="1:37" x14ac:dyDescent="0.3">
      <c r="A10789">
        <v>10788</v>
      </c>
      <c r="B10789">
        <v>65.5</v>
      </c>
      <c r="C10789">
        <v>-7.6411199999999999</v>
      </c>
      <c r="D10789">
        <v>7.3595899999999999</v>
      </c>
      <c r="E10789">
        <f>-7.64112-7.35959</f>
        <v>-15.00071</v>
      </c>
      <c r="F10789" t="s">
        <v>16189</v>
      </c>
      <c r="G10789" t="s">
        <v>37</v>
      </c>
      <c r="H10789">
        <v>2005</v>
      </c>
      <c r="I10789">
        <v>24.999829999999999</v>
      </c>
      <c r="J10789">
        <v>11.599830000000001</v>
      </c>
      <c r="K10789">
        <v>65</v>
      </c>
      <c r="L10789">
        <v>9.7798610000000004</v>
      </c>
      <c r="M10789">
        <v>33.499650000000003</v>
      </c>
      <c r="N10789">
        <v>15.8</v>
      </c>
      <c r="O10789">
        <v>17.699649999999998</v>
      </c>
      <c r="P10789">
        <v>24.099830000000001</v>
      </c>
      <c r="Q10789">
        <v>24.2</v>
      </c>
      <c r="R10789">
        <v>26.399830000000001</v>
      </c>
      <c r="S10789">
        <v>24.099830000000001</v>
      </c>
      <c r="T10789">
        <v>1675.0119999999999</v>
      </c>
      <c r="U10789">
        <v>310.00170000000003</v>
      </c>
      <c r="V10789">
        <v>13</v>
      </c>
      <c r="W10789">
        <v>65.998260000000002</v>
      </c>
      <c r="X10789">
        <v>777.00699999999995</v>
      </c>
      <c r="Y10789">
        <v>81</v>
      </c>
      <c r="Z10789">
        <v>302.00170000000003</v>
      </c>
      <c r="AA10789">
        <v>777.00699999999995</v>
      </c>
      <c r="AB10789">
        <v>15.223990000000001</v>
      </c>
      <c r="AC10789">
        <v>1.9582450000000001E-2</v>
      </c>
      <c r="AD10789">
        <v>2.6199539999999999</v>
      </c>
      <c r="AE10789">
        <v>0.54700059999999995</v>
      </c>
      <c r="AF10789">
        <v>342.59829999999999</v>
      </c>
      <c r="AG10789">
        <f>IFERROR(AH10789*0.1, "N/A")</f>
        <v>5.3266090000000004</v>
      </c>
      <c r="AH10789">
        <v>53.266089999999998</v>
      </c>
      <c r="AI10789">
        <v>152.71190000000001</v>
      </c>
      <c r="AJ10789">
        <v>25.737390000000001</v>
      </c>
      <c r="AK10789">
        <v>53.262610000000002</v>
      </c>
    </row>
    <row r="10790" spans="1:37" x14ac:dyDescent="0.3">
      <c r="A10790">
        <v>10789</v>
      </c>
      <c r="B10790">
        <v>40</v>
      </c>
      <c r="C10790">
        <v>-7.7686200000000003</v>
      </c>
      <c r="D10790">
        <v>7.3632499999999999</v>
      </c>
      <c r="E10790">
        <f>-7.76862-7.36325</f>
        <v>-15.131869999999999</v>
      </c>
      <c r="F10790" t="s">
        <v>16190</v>
      </c>
      <c r="G10790" t="s">
        <v>37</v>
      </c>
      <c r="H10790">
        <v>2005</v>
      </c>
      <c r="I10790">
        <v>25</v>
      </c>
      <c r="J10790">
        <v>11.9</v>
      </c>
      <c r="K10790">
        <v>67</v>
      </c>
      <c r="L10790">
        <v>9.65</v>
      </c>
      <c r="M10790">
        <v>33.6</v>
      </c>
      <c r="N10790">
        <v>15.9</v>
      </c>
      <c r="O10790">
        <v>17.7</v>
      </c>
      <c r="P10790">
        <v>24</v>
      </c>
      <c r="Q10790">
        <v>24.3</v>
      </c>
      <c r="R10790">
        <v>26.3</v>
      </c>
      <c r="S10790">
        <v>24</v>
      </c>
      <c r="T10790">
        <v>1747</v>
      </c>
      <c r="U10790">
        <v>322</v>
      </c>
      <c r="V10790">
        <v>14</v>
      </c>
      <c r="W10790">
        <v>66</v>
      </c>
      <c r="X10790">
        <v>818</v>
      </c>
      <c r="Y10790">
        <v>88</v>
      </c>
      <c r="Z10790">
        <v>305</v>
      </c>
      <c r="AA10790">
        <v>818</v>
      </c>
      <c r="AB10790">
        <v>6.2966949999999997</v>
      </c>
      <c r="AC10790">
        <v>1.23354E-2</v>
      </c>
      <c r="AD10790">
        <v>1.9379010000000001</v>
      </c>
      <c r="AE10790">
        <v>0.45179900000000001</v>
      </c>
      <c r="AF10790">
        <v>342.93060000000003</v>
      </c>
      <c r="AG10790">
        <f>IFERROR(AH10790*0.1, "N/A")</f>
        <v>5.2470490000000005</v>
      </c>
      <c r="AH10790">
        <v>52.470489999999998</v>
      </c>
      <c r="AI10790">
        <v>264.50299999999999</v>
      </c>
      <c r="AJ10790">
        <v>26.491320000000002</v>
      </c>
      <c r="AK10790">
        <v>55.220489999999998</v>
      </c>
    </row>
    <row r="10791" spans="1:37" x14ac:dyDescent="0.3">
      <c r="A10791">
        <v>10790</v>
      </c>
      <c r="B10791">
        <v>77.599999999999994</v>
      </c>
      <c r="C10791">
        <v>-7.5843800000000003</v>
      </c>
      <c r="D10791">
        <v>7.3638300000000001</v>
      </c>
      <c r="E10791">
        <f>-7.58438-7.36383</f>
        <v>-14.94821</v>
      </c>
      <c r="F10791" t="s">
        <v>16191</v>
      </c>
      <c r="G10791" t="s">
        <v>37</v>
      </c>
      <c r="H10791">
        <v>2000</v>
      </c>
      <c r="I10791">
        <v>25</v>
      </c>
      <c r="J10791">
        <v>11.4</v>
      </c>
      <c r="K10791">
        <v>64</v>
      </c>
      <c r="L10791">
        <v>10.41</v>
      </c>
      <c r="M10791">
        <v>33.5</v>
      </c>
      <c r="N10791">
        <v>15.8</v>
      </c>
      <c r="O10791">
        <v>17.7</v>
      </c>
      <c r="P10791">
        <v>24.1</v>
      </c>
      <c r="Q10791">
        <v>24.2</v>
      </c>
      <c r="R10791">
        <v>26.5</v>
      </c>
      <c r="S10791">
        <v>24.1</v>
      </c>
      <c r="T10791">
        <v>1650</v>
      </c>
      <c r="U10791">
        <v>306</v>
      </c>
      <c r="V10791">
        <v>13</v>
      </c>
      <c r="W10791">
        <v>66</v>
      </c>
      <c r="X10791">
        <v>763</v>
      </c>
      <c r="Y10791">
        <v>78</v>
      </c>
      <c r="Z10791">
        <v>300</v>
      </c>
      <c r="AA10791">
        <v>763</v>
      </c>
      <c r="AB10791">
        <v>3.1099230000000002</v>
      </c>
      <c r="AC10791">
        <v>9.2455190000000007E-3</v>
      </c>
      <c r="AD10791">
        <v>1.564076</v>
      </c>
      <c r="AE10791">
        <v>0.79995539999999998</v>
      </c>
      <c r="AF10791">
        <v>319.26609999999999</v>
      </c>
      <c r="AG10791">
        <f>IFERROR(AH10791*0.1, "N/A")</f>
        <v>5.6000000000000005</v>
      </c>
      <c r="AH10791">
        <v>56</v>
      </c>
      <c r="AI10791">
        <v>106.7343</v>
      </c>
      <c r="AJ10791">
        <v>25.417390000000001</v>
      </c>
      <c r="AK10791">
        <v>54.2087</v>
      </c>
    </row>
    <row r="10792" spans="1:37" x14ac:dyDescent="0.3">
      <c r="A10792">
        <v>10791</v>
      </c>
      <c r="B10792">
        <v>28.9</v>
      </c>
      <c r="C10792">
        <v>-7.5842799999999997</v>
      </c>
      <c r="D10792">
        <v>7.3639099999999997</v>
      </c>
      <c r="E10792">
        <f>-7.58428-7.36391</f>
        <v>-14.94819</v>
      </c>
      <c r="F10792" t="s">
        <v>16192</v>
      </c>
      <c r="G10792" t="s">
        <v>37</v>
      </c>
      <c r="H10792">
        <v>2005</v>
      </c>
      <c r="I10792">
        <v>25</v>
      </c>
      <c r="J10792">
        <v>11.4</v>
      </c>
      <c r="K10792">
        <v>64.017390000000006</v>
      </c>
      <c r="L10792">
        <v>10.40183</v>
      </c>
      <c r="M10792">
        <v>33.496519999999997</v>
      </c>
      <c r="N10792">
        <v>15.8</v>
      </c>
      <c r="O10792">
        <v>17.69652</v>
      </c>
      <c r="P10792">
        <v>24.1</v>
      </c>
      <c r="Q10792">
        <v>24.198260000000001</v>
      </c>
      <c r="R10792">
        <v>26.49652</v>
      </c>
      <c r="S10792">
        <v>24.1</v>
      </c>
      <c r="T10792">
        <v>1650.0170000000001</v>
      </c>
      <c r="U10792">
        <v>306</v>
      </c>
      <c r="V10792">
        <v>13</v>
      </c>
      <c r="W10792">
        <v>65.982609999999994</v>
      </c>
      <c r="X10792">
        <v>763</v>
      </c>
      <c r="Y10792">
        <v>78</v>
      </c>
      <c r="Z10792">
        <v>300.03480000000002</v>
      </c>
      <c r="AA10792">
        <v>763</v>
      </c>
      <c r="AB10792">
        <v>2.8820969999999999</v>
      </c>
      <c r="AC10792">
        <v>1.0366190000000001E-2</v>
      </c>
      <c r="AD10792">
        <v>1.582708</v>
      </c>
      <c r="AE10792">
        <v>0.79995539999999998</v>
      </c>
      <c r="AF10792">
        <v>319.10430000000002</v>
      </c>
      <c r="AG10792">
        <f>IFERROR(AH10792*0.1, "N/A")</f>
        <v>5.5982610000000008</v>
      </c>
      <c r="AH10792">
        <v>55.982610000000001</v>
      </c>
      <c r="AI10792">
        <v>95.945229999999995</v>
      </c>
      <c r="AJ10792">
        <v>25.316520000000001</v>
      </c>
      <c r="AK10792">
        <v>54.132170000000002</v>
      </c>
    </row>
    <row r="10793" spans="1:37" x14ac:dyDescent="0.3">
      <c r="A10793">
        <v>10792</v>
      </c>
      <c r="B10793">
        <v>62.7</v>
      </c>
      <c r="C10793">
        <v>-7.8052799999999998</v>
      </c>
      <c r="D10793">
        <v>7.3644100000000003</v>
      </c>
      <c r="E10793">
        <f>-7.80528-7.36441</f>
        <v>-15.169689999999999</v>
      </c>
      <c r="F10793" t="s">
        <v>16193</v>
      </c>
      <c r="G10793" t="s">
        <v>37</v>
      </c>
      <c r="H10793">
        <v>2005</v>
      </c>
      <c r="I10793">
        <v>25</v>
      </c>
      <c r="J10793">
        <v>12</v>
      </c>
      <c r="K10793">
        <v>67</v>
      </c>
      <c r="L10793">
        <v>9.6</v>
      </c>
      <c r="M10793">
        <v>33.6</v>
      </c>
      <c r="N10793">
        <v>15.9</v>
      </c>
      <c r="O10793">
        <v>17.7</v>
      </c>
      <c r="P10793">
        <v>23.9</v>
      </c>
      <c r="Q10793">
        <v>24.8</v>
      </c>
      <c r="R10793">
        <v>26.3</v>
      </c>
      <c r="S10793">
        <v>23.9</v>
      </c>
      <c r="T10793">
        <v>1769</v>
      </c>
      <c r="U10793">
        <v>326</v>
      </c>
      <c r="V10793">
        <v>14</v>
      </c>
      <c r="W10793">
        <v>66</v>
      </c>
      <c r="X10793">
        <v>830</v>
      </c>
      <c r="Y10793">
        <v>89</v>
      </c>
      <c r="Z10793">
        <v>307</v>
      </c>
      <c r="AA10793">
        <v>830</v>
      </c>
      <c r="AB10793">
        <v>7.2213960000000004</v>
      </c>
      <c r="AC10793">
        <v>8.4787379999999996E-3</v>
      </c>
      <c r="AD10793">
        <v>3.0323959999999999</v>
      </c>
      <c r="AE10793">
        <v>0.52305829999999998</v>
      </c>
      <c r="AF10793">
        <v>352.56349999999998</v>
      </c>
      <c r="AG10793">
        <f>IFERROR(AH10793*0.1, "N/A")</f>
        <v>5.4</v>
      </c>
      <c r="AH10793">
        <v>54</v>
      </c>
      <c r="AI10793">
        <v>167.51310000000001</v>
      </c>
      <c r="AJ10793">
        <v>27.036519999999999</v>
      </c>
      <c r="AK10793">
        <v>56.963479999999997</v>
      </c>
    </row>
    <row r="10794" spans="1:37" x14ac:dyDescent="0.3">
      <c r="A10794">
        <v>10793</v>
      </c>
      <c r="B10794">
        <v>13.8</v>
      </c>
      <c r="C10794">
        <v>-7.6329500000000001</v>
      </c>
      <c r="D10794">
        <v>7.3652499999999996</v>
      </c>
      <c r="E10794">
        <f>-7.63295-7.36525</f>
        <v>-14.998200000000001</v>
      </c>
      <c r="F10794" t="s">
        <v>16194</v>
      </c>
      <c r="G10794" t="s">
        <v>37</v>
      </c>
      <c r="H10794">
        <v>2005</v>
      </c>
      <c r="I10794">
        <v>25</v>
      </c>
      <c r="J10794">
        <v>11.546099999999999</v>
      </c>
      <c r="K10794">
        <v>65</v>
      </c>
      <c r="L10794">
        <v>9.6398609999999998</v>
      </c>
      <c r="M10794">
        <v>33.446100000000001</v>
      </c>
      <c r="N10794">
        <v>15.8</v>
      </c>
      <c r="O10794">
        <v>17.646100000000001</v>
      </c>
      <c r="P10794">
        <v>24.1</v>
      </c>
      <c r="Q10794">
        <v>24.2</v>
      </c>
      <c r="R10794">
        <v>26.3461</v>
      </c>
      <c r="S10794">
        <v>24.1</v>
      </c>
      <c r="T10794">
        <v>1673.383</v>
      </c>
      <c r="U10794">
        <v>310</v>
      </c>
      <c r="V10794">
        <v>13</v>
      </c>
      <c r="W10794">
        <v>66</v>
      </c>
      <c r="X10794">
        <v>775.92200000000003</v>
      </c>
      <c r="Y10794">
        <v>80.461010000000002</v>
      </c>
      <c r="Z10794">
        <v>302</v>
      </c>
      <c r="AA10794">
        <v>775.92200000000003</v>
      </c>
      <c r="AB10794">
        <v>0.88631629999999995</v>
      </c>
      <c r="AC10794">
        <v>4.47926</v>
      </c>
      <c r="AD10794">
        <v>2.3000449999999999</v>
      </c>
      <c r="AE10794">
        <v>0.4894655</v>
      </c>
      <c r="AF10794">
        <v>325.9948</v>
      </c>
      <c r="AG10794">
        <f>IFERROR(AH10794*0.1, "N/A")</f>
        <v>5.3538990000000002</v>
      </c>
      <c r="AH10794">
        <v>53.538989999999998</v>
      </c>
      <c r="AI10794">
        <v>154.83340000000001</v>
      </c>
      <c r="AJ10794">
        <v>27</v>
      </c>
      <c r="AK10794">
        <v>50</v>
      </c>
    </row>
    <row r="10795" spans="1:37" x14ac:dyDescent="0.3">
      <c r="A10795">
        <v>10794</v>
      </c>
      <c r="B10795">
        <v>9.1</v>
      </c>
      <c r="C10795">
        <v>-7.6056100000000004</v>
      </c>
      <c r="D10795">
        <v>7.36958</v>
      </c>
      <c r="E10795">
        <f>-7.60561-7.36958</f>
        <v>-14.975190000000001</v>
      </c>
      <c r="F10795" t="s">
        <v>16195</v>
      </c>
      <c r="G10795" t="s">
        <v>37</v>
      </c>
      <c r="H10795">
        <v>2005</v>
      </c>
      <c r="I10795">
        <v>25</v>
      </c>
      <c r="J10795">
        <v>11.4</v>
      </c>
      <c r="K10795">
        <v>64</v>
      </c>
      <c r="L10795">
        <v>10.28</v>
      </c>
      <c r="M10795">
        <v>33.4</v>
      </c>
      <c r="N10795">
        <v>15.7</v>
      </c>
      <c r="O10795">
        <v>17.7</v>
      </c>
      <c r="P10795">
        <v>24</v>
      </c>
      <c r="Q10795">
        <v>24.1</v>
      </c>
      <c r="R10795">
        <v>26.4</v>
      </c>
      <c r="S10795">
        <v>24</v>
      </c>
      <c r="T10795">
        <v>1662</v>
      </c>
      <c r="U10795">
        <v>308</v>
      </c>
      <c r="V10795">
        <v>13</v>
      </c>
      <c r="W10795">
        <v>65</v>
      </c>
      <c r="X10795">
        <v>770</v>
      </c>
      <c r="Y10795">
        <v>80</v>
      </c>
      <c r="Z10795">
        <v>302</v>
      </c>
      <c r="AA10795">
        <v>770</v>
      </c>
      <c r="AB10795">
        <v>6.2391189999999996</v>
      </c>
      <c r="AC10795">
        <v>5.2891899999999999E-2</v>
      </c>
      <c r="AD10795">
        <v>1.923697</v>
      </c>
      <c r="AE10795">
        <v>0.56905289999999997</v>
      </c>
      <c r="AF10795">
        <v>331.00349999999997</v>
      </c>
      <c r="AG10795">
        <f>IFERROR(AH10795*0.1, "N/A")</f>
        <v>5.1801740000000009</v>
      </c>
      <c r="AH10795">
        <v>51.801740000000002</v>
      </c>
      <c r="AI10795">
        <v>167.81100000000001</v>
      </c>
      <c r="AJ10795">
        <v>28.295649999999998</v>
      </c>
      <c r="AK10795">
        <v>48.486960000000003</v>
      </c>
    </row>
    <row r="10796" spans="1:37" x14ac:dyDescent="0.3">
      <c r="A10796">
        <v>10795</v>
      </c>
      <c r="B10796">
        <v>58.8</v>
      </c>
      <c r="C10796">
        <v>-7.7962899999999999</v>
      </c>
      <c r="D10796">
        <v>7.3704099999999997</v>
      </c>
      <c r="E10796">
        <f>-7.79629-7.37041</f>
        <v>-15.166699999999999</v>
      </c>
      <c r="F10796" t="s">
        <v>16196</v>
      </c>
      <c r="G10796" t="s">
        <v>37</v>
      </c>
      <c r="H10796">
        <v>2005</v>
      </c>
      <c r="I10796">
        <v>24.9</v>
      </c>
      <c r="J10796">
        <v>11.9</v>
      </c>
      <c r="K10796">
        <v>67</v>
      </c>
      <c r="L10796">
        <v>9.5399999999999991</v>
      </c>
      <c r="M10796">
        <v>33.5</v>
      </c>
      <c r="N10796">
        <v>15.8</v>
      </c>
      <c r="O10796">
        <v>17.7</v>
      </c>
      <c r="P10796">
        <v>23.9</v>
      </c>
      <c r="Q10796">
        <v>24.2</v>
      </c>
      <c r="R10796">
        <v>26.2</v>
      </c>
      <c r="S10796">
        <v>23.9</v>
      </c>
      <c r="T10796">
        <v>1769</v>
      </c>
      <c r="U10796">
        <v>325</v>
      </c>
      <c r="V10796">
        <v>14</v>
      </c>
      <c r="W10796">
        <v>66</v>
      </c>
      <c r="X10796">
        <v>830</v>
      </c>
      <c r="Y10796">
        <v>90</v>
      </c>
      <c r="Z10796">
        <v>308</v>
      </c>
      <c r="AA10796">
        <v>830</v>
      </c>
      <c r="AB10796">
        <v>17.196359999999999</v>
      </c>
      <c r="AC10796">
        <v>8.7730280000000004E-3</v>
      </c>
      <c r="AD10796">
        <v>2.400814</v>
      </c>
      <c r="AE10796">
        <v>0.51627460000000003</v>
      </c>
      <c r="AF10796">
        <v>363.42360000000002</v>
      </c>
      <c r="AG10796">
        <f>IFERROR(AH10796*0.1, "N/A")</f>
        <v>5.4982640000000007</v>
      </c>
      <c r="AH10796">
        <v>54.982640000000004</v>
      </c>
      <c r="AI10796">
        <v>146.49350000000001</v>
      </c>
      <c r="AJ10796">
        <v>30.96528</v>
      </c>
      <c r="AK10796">
        <v>52.11806</v>
      </c>
    </row>
    <row r="10797" spans="1:37" x14ac:dyDescent="0.3">
      <c r="A10797">
        <v>10796</v>
      </c>
      <c r="B10797">
        <v>39.799999999999997</v>
      </c>
      <c r="C10797">
        <v>-7.7186199999999996</v>
      </c>
      <c r="D10797">
        <v>7.3725800000000001</v>
      </c>
      <c r="E10797">
        <f>-7.71862-7.37258</f>
        <v>-15.091200000000001</v>
      </c>
      <c r="F10797" t="s">
        <v>16197</v>
      </c>
      <c r="G10797" t="s">
        <v>37</v>
      </c>
      <c r="H10797">
        <v>2005</v>
      </c>
      <c r="I10797">
        <v>24.7</v>
      </c>
      <c r="J10797">
        <v>11.8</v>
      </c>
      <c r="K10797">
        <v>66</v>
      </c>
      <c r="L10797">
        <v>9.44</v>
      </c>
      <c r="M10797">
        <v>33.299999999999997</v>
      </c>
      <c r="N10797">
        <v>15.6</v>
      </c>
      <c r="O10797">
        <v>17.7</v>
      </c>
      <c r="P10797">
        <v>23.8</v>
      </c>
      <c r="Q10797">
        <v>24</v>
      </c>
      <c r="R10797">
        <v>26</v>
      </c>
      <c r="S10797">
        <v>23.8</v>
      </c>
      <c r="T10797">
        <v>1736</v>
      </c>
      <c r="U10797">
        <v>320</v>
      </c>
      <c r="V10797">
        <v>14</v>
      </c>
      <c r="W10797">
        <v>66</v>
      </c>
      <c r="X10797">
        <v>810</v>
      </c>
      <c r="Y10797">
        <v>87</v>
      </c>
      <c r="Z10797">
        <v>309</v>
      </c>
      <c r="AA10797">
        <v>810</v>
      </c>
      <c r="AB10797">
        <v>3.9201320000000002</v>
      </c>
      <c r="AC10797">
        <v>2.0404779999999998</v>
      </c>
      <c r="AD10797">
        <v>2.1449400000000001</v>
      </c>
      <c r="AE10797">
        <v>0.53169560000000005</v>
      </c>
      <c r="AF10797">
        <v>366.06420000000003</v>
      </c>
      <c r="AG10797">
        <f>IFERROR(AH10797*0.1, "N/A")</f>
        <v>5.2038190000000002</v>
      </c>
      <c r="AH10797">
        <v>52.03819</v>
      </c>
      <c r="AI10797">
        <v>150.55719999999999</v>
      </c>
      <c r="AJ10797">
        <v>28.491320000000002</v>
      </c>
      <c r="AK10797">
        <v>53.05556</v>
      </c>
    </row>
    <row r="10798" spans="1:37" x14ac:dyDescent="0.3">
      <c r="A10798">
        <v>10797</v>
      </c>
      <c r="B10798">
        <v>51.7</v>
      </c>
      <c r="C10798">
        <v>-7.71882</v>
      </c>
      <c r="D10798">
        <v>7.3727</v>
      </c>
      <c r="E10798">
        <f>-7.71882-7.3727</f>
        <v>-15.091519999999999</v>
      </c>
      <c r="F10798" t="s">
        <v>16198</v>
      </c>
      <c r="G10798" t="s">
        <v>37</v>
      </c>
      <c r="H10798">
        <v>2000</v>
      </c>
      <c r="I10798">
        <v>24.7</v>
      </c>
      <c r="J10798">
        <v>11.8</v>
      </c>
      <c r="K10798">
        <v>66</v>
      </c>
      <c r="L10798">
        <v>9.44</v>
      </c>
      <c r="M10798">
        <v>33.299999999999997</v>
      </c>
      <c r="N10798">
        <v>15.6</v>
      </c>
      <c r="O10798">
        <v>17.7</v>
      </c>
      <c r="P10798">
        <v>23.8</v>
      </c>
      <c r="Q10798">
        <v>24</v>
      </c>
      <c r="R10798">
        <v>26</v>
      </c>
      <c r="S10798">
        <v>23.8</v>
      </c>
      <c r="T10798">
        <v>1736</v>
      </c>
      <c r="U10798">
        <v>320</v>
      </c>
      <c r="V10798">
        <v>14</v>
      </c>
      <c r="W10798">
        <v>66</v>
      </c>
      <c r="X10798">
        <v>810</v>
      </c>
      <c r="Y10798">
        <v>87</v>
      </c>
      <c r="Z10798">
        <v>309</v>
      </c>
      <c r="AA10798">
        <v>810</v>
      </c>
      <c r="AB10798">
        <v>3.991107</v>
      </c>
      <c r="AC10798">
        <v>0.98456429999999995</v>
      </c>
      <c r="AD10798">
        <v>2.234788</v>
      </c>
      <c r="AE10798">
        <v>0.53169560000000005</v>
      </c>
      <c r="AF10798">
        <v>366.19159999999999</v>
      </c>
      <c r="AG10798">
        <f>IFERROR(AH10798*0.1, "N/A")</f>
        <v>5.2102789999999999</v>
      </c>
      <c r="AH10798">
        <v>52.102789999999999</v>
      </c>
      <c r="AI10798">
        <v>171.85040000000001</v>
      </c>
      <c r="AJ10798">
        <v>28.559229999999999</v>
      </c>
      <c r="AK10798">
        <v>53.158540000000002</v>
      </c>
    </row>
    <row r="10799" spans="1:37" x14ac:dyDescent="0.3">
      <c r="A10799">
        <v>10798</v>
      </c>
      <c r="B10799">
        <v>30.4</v>
      </c>
      <c r="C10799">
        <v>-7.5117700000000003</v>
      </c>
      <c r="D10799">
        <v>7.3790800000000001</v>
      </c>
      <c r="E10799">
        <f>-7.51177-7.37908</f>
        <v>-14.89085</v>
      </c>
      <c r="F10799" t="s">
        <v>16199</v>
      </c>
      <c r="G10799" t="s">
        <v>37</v>
      </c>
      <c r="H10799">
        <v>2005</v>
      </c>
      <c r="I10799">
        <v>25</v>
      </c>
      <c r="J10799">
        <v>11.3</v>
      </c>
      <c r="K10799">
        <v>64</v>
      </c>
      <c r="L10799">
        <v>9.8800000000000008</v>
      </c>
      <c r="M10799">
        <v>33.299999999999997</v>
      </c>
      <c r="N10799">
        <v>15.8</v>
      </c>
      <c r="O10799">
        <v>17.5</v>
      </c>
      <c r="P10799">
        <v>24.2</v>
      </c>
      <c r="Q10799">
        <v>24.1</v>
      </c>
      <c r="R10799">
        <v>26.4</v>
      </c>
      <c r="S10799">
        <v>24.1</v>
      </c>
      <c r="T10799">
        <v>1618</v>
      </c>
      <c r="U10799">
        <v>299</v>
      </c>
      <c r="V10799">
        <v>13</v>
      </c>
      <c r="W10799">
        <v>65</v>
      </c>
      <c r="X10799">
        <v>745</v>
      </c>
      <c r="Y10799">
        <v>76</v>
      </c>
      <c r="Z10799">
        <v>300</v>
      </c>
      <c r="AA10799">
        <v>76</v>
      </c>
      <c r="AB10799">
        <v>7.9670050000000003</v>
      </c>
      <c r="AC10799">
        <v>3.080811E-2</v>
      </c>
      <c r="AD10799">
        <v>3.60636</v>
      </c>
      <c r="AE10799">
        <v>0.68796809999999997</v>
      </c>
      <c r="AF10799">
        <v>326.32639999999998</v>
      </c>
      <c r="AG10799">
        <f>IFERROR(AH10799*0.1, "N/A")</f>
        <v>5.4451390000000011</v>
      </c>
      <c r="AH10799">
        <v>54.451390000000004</v>
      </c>
      <c r="AI10799">
        <v>272.95440000000002</v>
      </c>
      <c r="AJ10799">
        <v>27.453130000000002</v>
      </c>
      <c r="AK10799">
        <v>55.31944</v>
      </c>
    </row>
    <row r="10800" spans="1:37" x14ac:dyDescent="0.3">
      <c r="A10800">
        <v>10799</v>
      </c>
      <c r="B10800">
        <v>79.5</v>
      </c>
      <c r="C10800">
        <v>-7.5121500000000001</v>
      </c>
      <c r="D10800">
        <v>7.3792200000000001</v>
      </c>
      <c r="E10800">
        <f>-7.51215-7.37922</f>
        <v>-14.89137</v>
      </c>
      <c r="F10800" t="s">
        <v>16200</v>
      </c>
      <c r="G10800" t="s">
        <v>37</v>
      </c>
      <c r="H10800">
        <v>2000</v>
      </c>
      <c r="I10800">
        <v>25</v>
      </c>
      <c r="J10800">
        <v>11.3</v>
      </c>
      <c r="K10800">
        <v>64</v>
      </c>
      <c r="L10800">
        <v>9.8800000000000008</v>
      </c>
      <c r="M10800">
        <v>33.299999999999997</v>
      </c>
      <c r="N10800">
        <v>15.8</v>
      </c>
      <c r="O10800">
        <v>17.5</v>
      </c>
      <c r="P10800">
        <v>24.2</v>
      </c>
      <c r="Q10800">
        <v>24.1</v>
      </c>
      <c r="R10800">
        <v>26.4</v>
      </c>
      <c r="S10800">
        <v>24.1</v>
      </c>
      <c r="T10800">
        <v>1618</v>
      </c>
      <c r="U10800">
        <v>299</v>
      </c>
      <c r="V10800">
        <v>13</v>
      </c>
      <c r="W10800">
        <v>65</v>
      </c>
      <c r="X10800">
        <v>745</v>
      </c>
      <c r="Y10800">
        <v>76</v>
      </c>
      <c r="Z10800">
        <v>300</v>
      </c>
      <c r="AA10800">
        <v>76</v>
      </c>
      <c r="AB10800">
        <v>6.0672379999999997</v>
      </c>
      <c r="AC10800">
        <v>4.1299379999999997E-2</v>
      </c>
      <c r="AD10800">
        <v>3.2015180000000001</v>
      </c>
      <c r="AE10800">
        <v>0.70070639999999995</v>
      </c>
      <c r="AF10800">
        <v>324.17250000000001</v>
      </c>
      <c r="AG10800">
        <f>IFERROR(AH10800*0.1, "N/A")</f>
        <v>5.4250870000000004</v>
      </c>
      <c r="AH10800">
        <v>54.250869999999999</v>
      </c>
      <c r="AI10800">
        <v>272.1549</v>
      </c>
      <c r="AJ10800">
        <v>27.372820000000001</v>
      </c>
      <c r="AK10800">
        <v>55.37979</v>
      </c>
    </row>
    <row r="10801" spans="1:37" x14ac:dyDescent="0.3">
      <c r="A10801">
        <v>10800</v>
      </c>
      <c r="B10801">
        <v>30.1</v>
      </c>
      <c r="C10801">
        <v>-7.5496699999999999</v>
      </c>
      <c r="D10801">
        <v>7.3875200000000003</v>
      </c>
      <c r="E10801">
        <f>-7.54967-7.38752</f>
        <v>-14.937190000000001</v>
      </c>
      <c r="F10801" t="s">
        <v>16201</v>
      </c>
      <c r="G10801" t="s">
        <v>37</v>
      </c>
      <c r="H10801">
        <v>2000</v>
      </c>
      <c r="I10801">
        <v>24.903300000000002</v>
      </c>
      <c r="J10801">
        <v>11.3033</v>
      </c>
      <c r="K10801">
        <v>63.03304</v>
      </c>
      <c r="L10801">
        <v>10.13165</v>
      </c>
      <c r="M10801">
        <v>33.3033</v>
      </c>
      <c r="N10801">
        <v>15.603300000000001</v>
      </c>
      <c r="O10801">
        <v>17.7</v>
      </c>
      <c r="P10801">
        <v>24.103300000000001</v>
      </c>
      <c r="Q10801">
        <v>24.003299999999999</v>
      </c>
      <c r="R10801">
        <v>26.3033</v>
      </c>
      <c r="S10801">
        <v>24.003299999999999</v>
      </c>
      <c r="T10801">
        <v>1633.0989999999999</v>
      </c>
      <c r="U10801">
        <v>302.03300000000002</v>
      </c>
      <c r="V10801">
        <v>13</v>
      </c>
      <c r="W10801">
        <v>65</v>
      </c>
      <c r="X10801">
        <v>755.06610000000001</v>
      </c>
      <c r="Y10801">
        <v>77</v>
      </c>
      <c r="Z10801">
        <v>300.96699999999998</v>
      </c>
      <c r="AA10801">
        <v>77</v>
      </c>
      <c r="AB10801">
        <v>12.32349</v>
      </c>
      <c r="AC10801">
        <v>1.8180439999999999E-2</v>
      </c>
      <c r="AD10801">
        <v>2.6179969999999999</v>
      </c>
      <c r="AE10801">
        <v>0.79264820000000002</v>
      </c>
      <c r="AF10801">
        <v>328.80349999999999</v>
      </c>
      <c r="AG10801">
        <f>IFERROR(AH10801*0.1, "N/A")</f>
        <v>5.7</v>
      </c>
      <c r="AH10801">
        <v>57</v>
      </c>
      <c r="AI10801">
        <v>274.04730000000001</v>
      </c>
      <c r="AJ10801">
        <v>20.08522</v>
      </c>
      <c r="AK10801">
        <v>60</v>
      </c>
    </row>
    <row r="10802" spans="1:37" x14ac:dyDescent="0.3">
      <c r="A10802">
        <v>10801</v>
      </c>
      <c r="B10802">
        <v>46.8</v>
      </c>
      <c r="C10802">
        <v>-7.5370999999999997</v>
      </c>
      <c r="D10802">
        <v>7.3875200000000003</v>
      </c>
      <c r="E10802">
        <f>-7.5371-7.38752</f>
        <v>-14.924620000000001</v>
      </c>
      <c r="F10802" t="s">
        <v>16202</v>
      </c>
      <c r="G10802" t="s">
        <v>37</v>
      </c>
      <c r="H10802">
        <v>2000</v>
      </c>
      <c r="I10802">
        <v>25</v>
      </c>
      <c r="J10802">
        <v>11.3</v>
      </c>
      <c r="K10802">
        <v>64</v>
      </c>
      <c r="L10802">
        <v>10.35</v>
      </c>
      <c r="M10802">
        <v>33.299999999999997</v>
      </c>
      <c r="N10802">
        <v>15.7</v>
      </c>
      <c r="O10802">
        <v>17.600000000000001</v>
      </c>
      <c r="P10802">
        <v>24</v>
      </c>
      <c r="Q10802">
        <v>24</v>
      </c>
      <c r="R10802">
        <v>26.4</v>
      </c>
      <c r="S10802">
        <v>24</v>
      </c>
      <c r="T10802">
        <v>1629</v>
      </c>
      <c r="U10802">
        <v>301</v>
      </c>
      <c r="V10802">
        <v>13</v>
      </c>
      <c r="W10802">
        <v>65</v>
      </c>
      <c r="X10802">
        <v>752</v>
      </c>
      <c r="Y10802">
        <v>77</v>
      </c>
      <c r="Z10802">
        <v>301</v>
      </c>
      <c r="AA10802">
        <v>752</v>
      </c>
      <c r="AB10802">
        <v>9.5657879999999995</v>
      </c>
      <c r="AC10802">
        <v>1.9102069999999999E-2</v>
      </c>
      <c r="AD10802">
        <v>2.9139029999999999</v>
      </c>
      <c r="AE10802">
        <v>0.83660590000000001</v>
      </c>
      <c r="AF10802">
        <v>325.47120000000001</v>
      </c>
      <c r="AG10802">
        <f>IFERROR(AH10802*0.1, "N/A")</f>
        <v>5.5</v>
      </c>
      <c r="AH10802">
        <v>55</v>
      </c>
      <c r="AI10802">
        <v>146.23169999999999</v>
      </c>
      <c r="AJ10802">
        <v>22.919720000000002</v>
      </c>
      <c r="AK10802">
        <v>59.132640000000002</v>
      </c>
    </row>
    <row r="10803" spans="1:37" x14ac:dyDescent="0.3">
      <c r="A10803">
        <v>10802</v>
      </c>
      <c r="B10803">
        <v>71</v>
      </c>
      <c r="C10803">
        <v>-7.83188</v>
      </c>
      <c r="D10803">
        <v>7.3902700000000001</v>
      </c>
      <c r="E10803">
        <f>-7.83188-7.39027</f>
        <v>-15.222149999999999</v>
      </c>
      <c r="F10803" t="s">
        <v>16203</v>
      </c>
      <c r="G10803" t="s">
        <v>37</v>
      </c>
      <c r="H10803">
        <v>2000</v>
      </c>
      <c r="I10803">
        <v>24.8</v>
      </c>
      <c r="J10803">
        <v>12</v>
      </c>
      <c r="K10803">
        <v>67</v>
      </c>
      <c r="L10803">
        <v>9.6</v>
      </c>
      <c r="M10803">
        <v>33.5</v>
      </c>
      <c r="N10803">
        <v>15.7</v>
      </c>
      <c r="O10803">
        <v>17.8</v>
      </c>
      <c r="P10803">
        <v>23.7</v>
      </c>
      <c r="Q10803">
        <v>24.6</v>
      </c>
      <c r="R10803">
        <v>26.1</v>
      </c>
      <c r="S10803">
        <v>23.7</v>
      </c>
      <c r="T10803">
        <v>1793</v>
      </c>
      <c r="U10803">
        <v>329</v>
      </c>
      <c r="V10803">
        <v>15</v>
      </c>
      <c r="W10803">
        <v>66</v>
      </c>
      <c r="X10803">
        <v>845</v>
      </c>
      <c r="Y10803">
        <v>92</v>
      </c>
      <c r="Z10803">
        <v>310</v>
      </c>
      <c r="AA10803">
        <v>845</v>
      </c>
      <c r="AB10803">
        <v>10.387130000000001</v>
      </c>
      <c r="AC10803">
        <v>9.8716250000000005E-2</v>
      </c>
      <c r="AD10803">
        <v>4.5406000000000004</v>
      </c>
      <c r="AE10803">
        <v>0.41461249999999999</v>
      </c>
      <c r="AF10803">
        <v>376.90260000000001</v>
      </c>
      <c r="AG10803">
        <f>IFERROR(AH10803*0.1, "N/A")</f>
        <v>5.3798260000000004</v>
      </c>
      <c r="AH10803">
        <v>53.798259999999999</v>
      </c>
      <c r="AI10803">
        <v>137.8443</v>
      </c>
      <c r="AJ10803">
        <v>27.366959999999999</v>
      </c>
      <c r="AK10803">
        <v>52.834780000000002</v>
      </c>
    </row>
    <row r="10804" spans="1:37" x14ac:dyDescent="0.3">
      <c r="A10804">
        <v>10803</v>
      </c>
      <c r="B10804">
        <v>40.299999999999997</v>
      </c>
      <c r="C10804">
        <v>-7.8317800000000002</v>
      </c>
      <c r="D10804">
        <v>7.3905799999999999</v>
      </c>
      <c r="E10804">
        <f>-7.83178-7.39058</f>
        <v>-15.22236</v>
      </c>
      <c r="F10804" t="s">
        <v>16204</v>
      </c>
      <c r="G10804" t="s">
        <v>37</v>
      </c>
      <c r="H10804">
        <v>2005</v>
      </c>
      <c r="I10804">
        <v>24.8</v>
      </c>
      <c r="J10804">
        <v>12</v>
      </c>
      <c r="K10804">
        <v>67</v>
      </c>
      <c r="L10804">
        <v>9.5929450000000003</v>
      </c>
      <c r="M10804">
        <v>33.5</v>
      </c>
      <c r="N10804">
        <v>15.7</v>
      </c>
      <c r="O10804">
        <v>17.8</v>
      </c>
      <c r="P10804">
        <v>23.70261</v>
      </c>
      <c r="Q10804">
        <v>24.6</v>
      </c>
      <c r="R10804">
        <v>26.097390000000001</v>
      </c>
      <c r="S10804">
        <v>23.70261</v>
      </c>
      <c r="T10804">
        <v>1792.922</v>
      </c>
      <c r="U10804">
        <v>328.97390000000001</v>
      </c>
      <c r="V10804">
        <v>15</v>
      </c>
      <c r="W10804">
        <v>66</v>
      </c>
      <c r="X10804">
        <v>844.97389999999996</v>
      </c>
      <c r="Y10804">
        <v>92</v>
      </c>
      <c r="Z10804">
        <v>310</v>
      </c>
      <c r="AA10804">
        <v>844.97389999999996</v>
      </c>
      <c r="AB10804">
        <v>10.3432</v>
      </c>
      <c r="AC10804">
        <v>8.7042289999999994E-2</v>
      </c>
      <c r="AD10804">
        <v>3.8518379999999999</v>
      </c>
      <c r="AE10804">
        <v>0.41461249999999999</v>
      </c>
      <c r="AF10804">
        <v>376.5453</v>
      </c>
      <c r="AG10804">
        <f>IFERROR(AH10804*0.1, "N/A")</f>
        <v>5.3719510000000001</v>
      </c>
      <c r="AH10804">
        <v>53.71951</v>
      </c>
      <c r="AI10804">
        <v>155.37450000000001</v>
      </c>
      <c r="AJ10804">
        <v>26.911149999999999</v>
      </c>
      <c r="AK10804">
        <v>52.64808</v>
      </c>
    </row>
    <row r="10805" spans="1:37" x14ac:dyDescent="0.3">
      <c r="A10805">
        <v>10804</v>
      </c>
      <c r="B10805">
        <v>69.599999999999994</v>
      </c>
      <c r="C10805">
        <v>-7.5581500000000004</v>
      </c>
      <c r="D10805">
        <v>7.3918200000000001</v>
      </c>
      <c r="E10805">
        <f>-7.55815-7.39182</f>
        <v>-14.94997</v>
      </c>
      <c r="F10805" t="s">
        <v>16205</v>
      </c>
      <c r="G10805" t="s">
        <v>37</v>
      </c>
      <c r="H10805">
        <v>2000</v>
      </c>
      <c r="I10805">
        <v>25</v>
      </c>
      <c r="J10805">
        <v>11.4</v>
      </c>
      <c r="K10805">
        <v>64</v>
      </c>
      <c r="L10805">
        <v>10.22209</v>
      </c>
      <c r="M10805">
        <v>33.374780000000001</v>
      </c>
      <c r="N10805">
        <v>15.7</v>
      </c>
      <c r="O10805">
        <v>17.674779999999998</v>
      </c>
      <c r="P10805">
        <v>24.174779999999998</v>
      </c>
      <c r="Q10805">
        <v>24.1</v>
      </c>
      <c r="R10805">
        <v>26.39809</v>
      </c>
      <c r="S10805">
        <v>24.1</v>
      </c>
      <c r="T10805">
        <v>1634.184</v>
      </c>
      <c r="U10805">
        <v>302.36169999999998</v>
      </c>
      <c r="V10805">
        <v>13</v>
      </c>
      <c r="W10805">
        <v>65.019130000000004</v>
      </c>
      <c r="X10805">
        <v>756.86609999999996</v>
      </c>
      <c r="Y10805">
        <v>77</v>
      </c>
      <c r="Z10805">
        <v>299.59480000000002</v>
      </c>
      <c r="AA10805">
        <v>249.0017</v>
      </c>
      <c r="AB10805">
        <v>17.139299999999999</v>
      </c>
      <c r="AC10805">
        <v>1.9684199999999999E-2</v>
      </c>
      <c r="AD10805">
        <v>5.8120729999999998</v>
      </c>
      <c r="AE10805">
        <v>0.8267042</v>
      </c>
      <c r="AF10805">
        <v>329.49040000000002</v>
      </c>
      <c r="AG10805">
        <f>IFERROR(AH10805*0.1, "N/A")</f>
        <v>5.5252170000000005</v>
      </c>
      <c r="AH10805">
        <v>55.25217</v>
      </c>
      <c r="AI10805">
        <v>89.108410000000006</v>
      </c>
      <c r="AJ10805">
        <v>19.74783</v>
      </c>
      <c r="AK10805">
        <v>62.25217</v>
      </c>
    </row>
    <row r="10806" spans="1:37" x14ac:dyDescent="0.3">
      <c r="A10806">
        <v>10805</v>
      </c>
      <c r="B10806">
        <v>70.8</v>
      </c>
      <c r="C10806">
        <v>-7.5658200000000004</v>
      </c>
      <c r="D10806">
        <v>7.3979999999999997</v>
      </c>
      <c r="E10806">
        <f>-7.56582-7.398</f>
        <v>-14.96382</v>
      </c>
      <c r="F10806" t="s">
        <v>16206</v>
      </c>
      <c r="G10806" t="s">
        <v>37</v>
      </c>
      <c r="H10806">
        <v>2000</v>
      </c>
      <c r="I10806">
        <v>24.991620000000001</v>
      </c>
      <c r="J10806">
        <v>11.4</v>
      </c>
      <c r="K10806">
        <v>64.027919999999995</v>
      </c>
      <c r="L10806">
        <v>10.067209999999999</v>
      </c>
      <c r="M10806">
        <v>33.291620000000002</v>
      </c>
      <c r="N10806">
        <v>15.69721</v>
      </c>
      <c r="O10806">
        <v>17.59442</v>
      </c>
      <c r="P10806">
        <v>24.091619999999999</v>
      </c>
      <c r="Q10806">
        <v>24.09442</v>
      </c>
      <c r="R10806">
        <v>26.39162</v>
      </c>
      <c r="S10806">
        <v>24.091619999999999</v>
      </c>
      <c r="T10806">
        <v>1639.5029999999999</v>
      </c>
      <c r="U10806">
        <v>303.0838</v>
      </c>
      <c r="V10806">
        <v>13</v>
      </c>
      <c r="W10806">
        <v>65</v>
      </c>
      <c r="X10806">
        <v>759.25130000000001</v>
      </c>
      <c r="Y10806">
        <v>77.055850000000007</v>
      </c>
      <c r="Z10806">
        <v>301.0838</v>
      </c>
      <c r="AA10806">
        <v>759.25130000000001</v>
      </c>
      <c r="AB10806">
        <v>11.55096</v>
      </c>
      <c r="AC10806">
        <v>8.4781119999999995E-3</v>
      </c>
      <c r="AD10806">
        <v>1.540556</v>
      </c>
      <c r="AE10806">
        <v>0.85485129999999998</v>
      </c>
      <c r="AF10806">
        <v>337.14139999999998</v>
      </c>
      <c r="AG10806">
        <f>IFERROR(AH10806*0.1, "N/A")</f>
        <v>5.3027920000000002</v>
      </c>
      <c r="AH10806">
        <v>53.027920000000002</v>
      </c>
      <c r="AI10806">
        <v>204.37719999999999</v>
      </c>
      <c r="AJ10806">
        <v>20.083770000000001</v>
      </c>
      <c r="AK10806">
        <v>56.94415</v>
      </c>
    </row>
    <row r="10807" spans="1:37" x14ac:dyDescent="0.3">
      <c r="A10807">
        <v>10806</v>
      </c>
      <c r="B10807">
        <v>42.4</v>
      </c>
      <c r="C10807">
        <v>-7.5232799999999997</v>
      </c>
      <c r="D10807">
        <v>7.39825</v>
      </c>
      <c r="E10807">
        <f>-7.52328-7.39825</f>
        <v>-14.921530000000001</v>
      </c>
      <c r="F10807" t="s">
        <v>16207</v>
      </c>
      <c r="G10807" t="s">
        <v>37</v>
      </c>
      <c r="H10807">
        <v>2005</v>
      </c>
      <c r="I10807">
        <v>24.9</v>
      </c>
      <c r="J10807">
        <v>11.3</v>
      </c>
      <c r="K10807">
        <v>64</v>
      </c>
      <c r="L10807">
        <v>10.32</v>
      </c>
      <c r="M10807">
        <v>33.200000000000003</v>
      </c>
      <c r="N10807">
        <v>15.6</v>
      </c>
      <c r="O10807">
        <v>17.600000000000001</v>
      </c>
      <c r="P10807">
        <v>24</v>
      </c>
      <c r="Q10807">
        <v>24</v>
      </c>
      <c r="R10807">
        <v>26.4</v>
      </c>
      <c r="S10807">
        <v>24</v>
      </c>
      <c r="T10807">
        <v>1624</v>
      </c>
      <c r="U10807">
        <v>300</v>
      </c>
      <c r="V10807">
        <v>13</v>
      </c>
      <c r="W10807">
        <v>65</v>
      </c>
      <c r="X10807">
        <v>750</v>
      </c>
      <c r="Y10807">
        <v>76</v>
      </c>
      <c r="Z10807">
        <v>301</v>
      </c>
      <c r="AA10807">
        <v>750</v>
      </c>
      <c r="AB10807">
        <v>4.5805530000000001</v>
      </c>
      <c r="AC10807">
        <v>1.81926E-2</v>
      </c>
      <c r="AD10807">
        <v>2.4706190000000001</v>
      </c>
      <c r="AE10807">
        <v>0.90110380000000001</v>
      </c>
      <c r="AF10807">
        <v>327.47570000000002</v>
      </c>
      <c r="AG10807">
        <f>IFERROR(AH10807*0.1, "N/A")</f>
        <v>5.4394100000000005</v>
      </c>
      <c r="AH10807">
        <v>54.394100000000002</v>
      </c>
      <c r="AI10807">
        <v>62.702240000000003</v>
      </c>
      <c r="AJ10807">
        <v>26.817710000000002</v>
      </c>
      <c r="AK10807">
        <v>54.970489999999998</v>
      </c>
    </row>
    <row r="10808" spans="1:37" x14ac:dyDescent="0.3">
      <c r="A10808">
        <v>10807</v>
      </c>
      <c r="B10808">
        <v>80.900000000000006</v>
      </c>
      <c r="C10808">
        <v>-7.52325</v>
      </c>
      <c r="D10808">
        <v>7.3983499999999998</v>
      </c>
      <c r="E10808">
        <f>-7.52325-7.39835</f>
        <v>-14.9216</v>
      </c>
      <c r="F10808" t="s">
        <v>16208</v>
      </c>
      <c r="G10808" t="s">
        <v>37</v>
      </c>
      <c r="H10808">
        <v>2000</v>
      </c>
      <c r="I10808">
        <v>24.9</v>
      </c>
      <c r="J10808">
        <v>11.3</v>
      </c>
      <c r="K10808">
        <v>64</v>
      </c>
      <c r="L10808">
        <v>10.32</v>
      </c>
      <c r="M10808">
        <v>33.200000000000003</v>
      </c>
      <c r="N10808">
        <v>15.6</v>
      </c>
      <c r="O10808">
        <v>17.600000000000001</v>
      </c>
      <c r="P10808">
        <v>24</v>
      </c>
      <c r="Q10808">
        <v>24</v>
      </c>
      <c r="R10808">
        <v>26.4</v>
      </c>
      <c r="S10808">
        <v>24</v>
      </c>
      <c r="T10808">
        <v>1624</v>
      </c>
      <c r="U10808">
        <v>300</v>
      </c>
      <c r="V10808">
        <v>13</v>
      </c>
      <c r="W10808">
        <v>65</v>
      </c>
      <c r="X10808">
        <v>750</v>
      </c>
      <c r="Y10808">
        <v>76</v>
      </c>
      <c r="Z10808">
        <v>301</v>
      </c>
      <c r="AA10808">
        <v>750</v>
      </c>
      <c r="AB10808">
        <v>4.3220840000000003</v>
      </c>
      <c r="AC10808">
        <v>2.1143639999999998E-2</v>
      </c>
      <c r="AD10808">
        <v>2.427168</v>
      </c>
      <c r="AE10808">
        <v>0.9008853</v>
      </c>
      <c r="AF10808">
        <v>327.13220000000001</v>
      </c>
      <c r="AG10808">
        <f>IFERROR(AH10808*0.1, "N/A")</f>
        <v>5.4365220000000001</v>
      </c>
      <c r="AH10808">
        <v>54.365220000000001</v>
      </c>
      <c r="AI10808">
        <v>65.437830000000005</v>
      </c>
      <c r="AJ10808">
        <v>26.904350000000001</v>
      </c>
      <c r="AK10808">
        <v>54.826090000000001</v>
      </c>
    </row>
    <row r="10809" spans="1:37" x14ac:dyDescent="0.3">
      <c r="A10809">
        <v>10808</v>
      </c>
      <c r="B10809">
        <v>37.5</v>
      </c>
      <c r="C10809">
        <v>-7.6701100000000002</v>
      </c>
      <c r="D10809">
        <v>7.3987499999999997</v>
      </c>
      <c r="E10809">
        <f>-7.67011-7.39875</f>
        <v>-15.068860000000001</v>
      </c>
      <c r="F10809" t="s">
        <v>16209</v>
      </c>
      <c r="G10809" t="s">
        <v>37</v>
      </c>
      <c r="H10809">
        <v>2005</v>
      </c>
      <c r="I10809">
        <v>25</v>
      </c>
      <c r="J10809">
        <v>11.7</v>
      </c>
      <c r="K10809">
        <v>66</v>
      </c>
      <c r="L10809">
        <v>9.85</v>
      </c>
      <c r="M10809">
        <v>33.4</v>
      </c>
      <c r="N10809">
        <v>15.7</v>
      </c>
      <c r="O10809">
        <v>17.7</v>
      </c>
      <c r="P10809">
        <v>24</v>
      </c>
      <c r="Q10809">
        <v>24.2</v>
      </c>
      <c r="R10809">
        <v>26.3</v>
      </c>
      <c r="S10809">
        <v>24</v>
      </c>
      <c r="T10809">
        <v>1692</v>
      </c>
      <c r="U10809">
        <v>313</v>
      </c>
      <c r="V10809">
        <v>13</v>
      </c>
      <c r="W10809">
        <v>66</v>
      </c>
      <c r="X10809">
        <v>790</v>
      </c>
      <c r="Y10809">
        <v>82</v>
      </c>
      <c r="Z10809">
        <v>302</v>
      </c>
      <c r="AA10809">
        <v>790</v>
      </c>
      <c r="AB10809">
        <v>9.3558129999999995</v>
      </c>
      <c r="AC10809">
        <v>1.586508E-2</v>
      </c>
      <c r="AD10809">
        <v>3.058395</v>
      </c>
      <c r="AE10809">
        <v>0.50813010000000003</v>
      </c>
      <c r="AF10809">
        <v>345.7722</v>
      </c>
      <c r="AG10809">
        <f>IFERROR(AH10809*0.1, "N/A")</f>
        <v>5.4886960000000009</v>
      </c>
      <c r="AH10809">
        <v>54.886960000000002</v>
      </c>
      <c r="AI10809">
        <v>224.0454</v>
      </c>
      <c r="AJ10809">
        <v>28.942609999999998</v>
      </c>
      <c r="AK10809">
        <v>51</v>
      </c>
    </row>
    <row r="10810" spans="1:37" x14ac:dyDescent="0.3">
      <c r="A10810">
        <v>10809</v>
      </c>
      <c r="B10810">
        <v>32.1</v>
      </c>
      <c r="C10810">
        <v>-7.5472700000000001</v>
      </c>
      <c r="D10810">
        <v>7.3995800000000003</v>
      </c>
      <c r="E10810">
        <f>-7.54727-7.39958</f>
        <v>-14.946850000000001</v>
      </c>
      <c r="F10810" t="s">
        <v>16210</v>
      </c>
      <c r="G10810" t="s">
        <v>37</v>
      </c>
      <c r="H10810">
        <v>2000</v>
      </c>
      <c r="I10810">
        <v>24.9</v>
      </c>
      <c r="J10810">
        <v>11.302960000000001</v>
      </c>
      <c r="K10810">
        <v>63.02957</v>
      </c>
      <c r="L10810">
        <v>9.9967480000000002</v>
      </c>
      <c r="M10810">
        <v>33.299999999999997</v>
      </c>
      <c r="N10810">
        <v>15.602959999999999</v>
      </c>
      <c r="O10810">
        <v>17.697040000000001</v>
      </c>
      <c r="P10810">
        <v>24.09704</v>
      </c>
      <c r="Q10810">
        <v>24.002960000000002</v>
      </c>
      <c r="R10810">
        <v>26.3</v>
      </c>
      <c r="S10810">
        <v>24</v>
      </c>
      <c r="T10810">
        <v>1633.97</v>
      </c>
      <c r="U10810">
        <v>302</v>
      </c>
      <c r="V10810">
        <v>13</v>
      </c>
      <c r="W10810">
        <v>65</v>
      </c>
      <c r="X10810">
        <v>756</v>
      </c>
      <c r="Y10810">
        <v>77</v>
      </c>
      <c r="Z10810">
        <v>301</v>
      </c>
      <c r="AA10810">
        <v>97.074780000000004</v>
      </c>
      <c r="AB10810">
        <v>12.93338</v>
      </c>
      <c r="AC10810">
        <v>1.0453840000000001E-2</v>
      </c>
      <c r="AD10810">
        <v>7.1083879999999997</v>
      </c>
      <c r="AE10810">
        <v>0.86452669999999998</v>
      </c>
      <c r="AF10810">
        <v>337.3426</v>
      </c>
      <c r="AG10810">
        <f>IFERROR(AH10810*0.1, "N/A")</f>
        <v>5.7893910000000002</v>
      </c>
      <c r="AH10810">
        <v>57.893909999999998</v>
      </c>
      <c r="AI10810">
        <v>279.58460000000002</v>
      </c>
      <c r="AJ10810">
        <v>21.51304</v>
      </c>
      <c r="AK10810">
        <v>60</v>
      </c>
    </row>
    <row r="10811" spans="1:37" x14ac:dyDescent="0.3">
      <c r="A10811">
        <v>10810</v>
      </c>
      <c r="B10811">
        <v>46</v>
      </c>
      <c r="C10811">
        <v>-7.5539800000000001</v>
      </c>
      <c r="D10811">
        <v>7.4019000000000004</v>
      </c>
      <c r="E10811">
        <f>-7.55398-7.4019</f>
        <v>-14.955880000000001</v>
      </c>
      <c r="F10811" t="s">
        <v>16211</v>
      </c>
      <c r="G10811" t="s">
        <v>37</v>
      </c>
      <c r="H10811">
        <v>2000</v>
      </c>
      <c r="I10811">
        <v>25</v>
      </c>
      <c r="J10811">
        <v>11.4</v>
      </c>
      <c r="K10811">
        <v>64</v>
      </c>
      <c r="L10811">
        <v>10.26</v>
      </c>
      <c r="M10811">
        <v>33.4</v>
      </c>
      <c r="N10811">
        <v>15.7</v>
      </c>
      <c r="O10811">
        <v>17.7</v>
      </c>
      <c r="P10811">
        <v>24.1</v>
      </c>
      <c r="Q10811">
        <v>24.1</v>
      </c>
      <c r="R10811">
        <v>26.4</v>
      </c>
      <c r="S10811">
        <v>24.1</v>
      </c>
      <c r="T10811">
        <v>1632</v>
      </c>
      <c r="U10811">
        <v>302</v>
      </c>
      <c r="V10811">
        <v>13</v>
      </c>
      <c r="W10811">
        <v>65</v>
      </c>
      <c r="X10811">
        <v>756</v>
      </c>
      <c r="Y10811">
        <v>77</v>
      </c>
      <c r="Z10811">
        <v>299</v>
      </c>
      <c r="AA10811">
        <v>77</v>
      </c>
      <c r="AB10811">
        <v>5.3669500000000001</v>
      </c>
      <c r="AC10811">
        <v>1.5555340000000001E-2</v>
      </c>
      <c r="AD10811">
        <v>2.3500220000000001</v>
      </c>
      <c r="AE10811">
        <v>0.89316669999999998</v>
      </c>
      <c r="AF10811">
        <v>325.29390000000001</v>
      </c>
      <c r="AG10811">
        <f>IFERROR(AH10811*0.1, "N/A")</f>
        <v>5.7580869999999997</v>
      </c>
      <c r="AH10811">
        <v>57.580869999999997</v>
      </c>
      <c r="AI10811">
        <v>250.798</v>
      </c>
      <c r="AJ10811">
        <v>21</v>
      </c>
      <c r="AK10811">
        <v>59</v>
      </c>
    </row>
    <row r="10812" spans="1:37" x14ac:dyDescent="0.3">
      <c r="A10812">
        <v>10811</v>
      </c>
      <c r="B10812">
        <v>33.9</v>
      </c>
      <c r="C10812">
        <v>-7.5621499999999999</v>
      </c>
      <c r="D10812">
        <v>7.4024999999999999</v>
      </c>
      <c r="E10812">
        <f>-7.56215-7.4025</f>
        <v>-14.964649999999999</v>
      </c>
      <c r="F10812" t="s">
        <v>16212</v>
      </c>
      <c r="G10812" t="s">
        <v>37</v>
      </c>
      <c r="H10812">
        <v>2000</v>
      </c>
      <c r="I10812">
        <v>25</v>
      </c>
      <c r="J10812">
        <v>11.4</v>
      </c>
      <c r="K10812">
        <v>64</v>
      </c>
      <c r="L10812">
        <v>10.130000000000001</v>
      </c>
      <c r="M10812">
        <v>33.4</v>
      </c>
      <c r="N10812">
        <v>15.7</v>
      </c>
      <c r="O10812">
        <v>17.7</v>
      </c>
      <c r="P10812">
        <v>24.1</v>
      </c>
      <c r="Q10812">
        <v>24.1</v>
      </c>
      <c r="R10812">
        <v>26.4</v>
      </c>
      <c r="S10812">
        <v>24.1</v>
      </c>
      <c r="T10812">
        <v>1636</v>
      </c>
      <c r="U10812">
        <v>303</v>
      </c>
      <c r="V10812">
        <v>13</v>
      </c>
      <c r="W10812">
        <v>65</v>
      </c>
      <c r="X10812">
        <v>759</v>
      </c>
      <c r="Y10812">
        <v>77</v>
      </c>
      <c r="Z10812">
        <v>299</v>
      </c>
      <c r="AA10812">
        <v>759</v>
      </c>
      <c r="AB10812">
        <v>3.8563689999999999</v>
      </c>
      <c r="AC10812">
        <v>1.7681079999999998E-2</v>
      </c>
      <c r="AD10812">
        <v>2.6726290000000001</v>
      </c>
      <c r="AE10812">
        <v>0.85485129999999998</v>
      </c>
      <c r="AF10812">
        <v>326.637</v>
      </c>
      <c r="AG10812">
        <f>IFERROR(AH10812*0.1, "N/A")</f>
        <v>5.4</v>
      </c>
      <c r="AH10812">
        <v>54</v>
      </c>
      <c r="AI10812">
        <v>116.9218</v>
      </c>
      <c r="AJ10812">
        <v>21.879580000000001</v>
      </c>
      <c r="AK10812">
        <v>55.989530000000002</v>
      </c>
    </row>
    <row r="10813" spans="1:37" x14ac:dyDescent="0.3">
      <c r="A10813">
        <v>10812</v>
      </c>
      <c r="B10813">
        <v>31</v>
      </c>
      <c r="C10813">
        <v>-7.5529500000000001</v>
      </c>
      <c r="D10813">
        <v>7.4028299999999998</v>
      </c>
      <c r="E10813">
        <f>-7.55295-7.40283</f>
        <v>-14.955780000000001</v>
      </c>
      <c r="F10813" t="s">
        <v>16213</v>
      </c>
      <c r="G10813" t="s">
        <v>37</v>
      </c>
      <c r="H10813">
        <v>2000</v>
      </c>
      <c r="I10813">
        <v>25</v>
      </c>
      <c r="J10813">
        <v>11.4</v>
      </c>
      <c r="K10813">
        <v>64</v>
      </c>
      <c r="L10813">
        <v>10.26</v>
      </c>
      <c r="M10813">
        <v>33.4</v>
      </c>
      <c r="N10813">
        <v>15.7</v>
      </c>
      <c r="O10813">
        <v>17.7</v>
      </c>
      <c r="P10813">
        <v>24.1</v>
      </c>
      <c r="Q10813">
        <v>24.1</v>
      </c>
      <c r="R10813">
        <v>26.4</v>
      </c>
      <c r="S10813">
        <v>24.1</v>
      </c>
      <c r="T10813">
        <v>1632</v>
      </c>
      <c r="U10813">
        <v>302</v>
      </c>
      <c r="V10813">
        <v>13</v>
      </c>
      <c r="W10813">
        <v>65</v>
      </c>
      <c r="X10813">
        <v>756</v>
      </c>
      <c r="Y10813">
        <v>77</v>
      </c>
      <c r="Z10813">
        <v>299</v>
      </c>
      <c r="AA10813">
        <v>77</v>
      </c>
      <c r="AB10813">
        <v>3.812341</v>
      </c>
      <c r="AC10813">
        <v>2.1453079999999999E-2</v>
      </c>
      <c r="AD10813">
        <v>1.868565</v>
      </c>
      <c r="AE10813">
        <v>0.89316669999999998</v>
      </c>
      <c r="AF10813">
        <v>323.79300000000001</v>
      </c>
      <c r="AG10813">
        <f>IFERROR(AH10813*0.1, "N/A")</f>
        <v>5.7419130000000003</v>
      </c>
      <c r="AH10813">
        <v>57.419130000000003</v>
      </c>
      <c r="AI10813">
        <v>187.24019999999999</v>
      </c>
      <c r="AJ10813">
        <v>21</v>
      </c>
      <c r="AK10813">
        <v>59</v>
      </c>
    </row>
    <row r="10814" spans="1:37" x14ac:dyDescent="0.3">
      <c r="A10814">
        <v>10813</v>
      </c>
      <c r="B10814">
        <v>29.8</v>
      </c>
      <c r="C10814">
        <v>-7.5588899999999999</v>
      </c>
      <c r="D10814">
        <v>7.40306</v>
      </c>
      <c r="E10814">
        <f>-7.55889-7.40306</f>
        <v>-14.96195</v>
      </c>
      <c r="F10814" t="s">
        <v>16214</v>
      </c>
      <c r="G10814" t="s">
        <v>37</v>
      </c>
      <c r="H10814">
        <v>2007</v>
      </c>
      <c r="I10814">
        <v>25</v>
      </c>
      <c r="J10814">
        <v>11.4</v>
      </c>
      <c r="K10814">
        <v>64</v>
      </c>
      <c r="L10814">
        <v>10.146929999999999</v>
      </c>
      <c r="M10814">
        <v>33.4</v>
      </c>
      <c r="N10814">
        <v>15.7</v>
      </c>
      <c r="O10814">
        <v>17.7</v>
      </c>
      <c r="P10814">
        <v>24.1</v>
      </c>
      <c r="Q10814">
        <v>24.1</v>
      </c>
      <c r="R10814">
        <v>26.4</v>
      </c>
      <c r="S10814">
        <v>24.1</v>
      </c>
      <c r="T10814">
        <v>1635.479</v>
      </c>
      <c r="U10814">
        <v>302.8698</v>
      </c>
      <c r="V10814">
        <v>13</v>
      </c>
      <c r="W10814">
        <v>65</v>
      </c>
      <c r="X10814">
        <v>758.60940000000005</v>
      </c>
      <c r="Y10814">
        <v>77</v>
      </c>
      <c r="Z10814">
        <v>299</v>
      </c>
      <c r="AA10814">
        <v>670.1979</v>
      </c>
      <c r="AB10814">
        <v>1.699832</v>
      </c>
      <c r="AC10814">
        <v>13.09646</v>
      </c>
      <c r="AD10814">
        <v>1.595548</v>
      </c>
      <c r="AE10814">
        <v>0.8598403</v>
      </c>
      <c r="AF10814">
        <v>323.57470000000001</v>
      </c>
      <c r="AG10814">
        <f>IFERROR(AH10814*0.1, "N/A")</f>
        <v>5.7623260000000007</v>
      </c>
      <c r="AH10814">
        <v>57.623260000000002</v>
      </c>
      <c r="AI10814">
        <v>217.7433</v>
      </c>
      <c r="AJ10814">
        <v>20.30556</v>
      </c>
      <c r="AK10814">
        <v>58.12847</v>
      </c>
    </row>
    <row r="10815" spans="1:37" x14ac:dyDescent="0.3">
      <c r="A10815">
        <v>10814</v>
      </c>
      <c r="B10815">
        <v>41.4</v>
      </c>
      <c r="C10815">
        <v>-7.5540200000000004</v>
      </c>
      <c r="D10815">
        <v>7.4038500000000003</v>
      </c>
      <c r="E10815">
        <f>-7.55402-7.40385</f>
        <v>-14.95787</v>
      </c>
      <c r="F10815" t="s">
        <v>16215</v>
      </c>
      <c r="G10815" t="s">
        <v>37</v>
      </c>
      <c r="H10815">
        <v>2000</v>
      </c>
      <c r="I10815">
        <v>25</v>
      </c>
      <c r="J10815">
        <v>11.4</v>
      </c>
      <c r="K10815">
        <v>64</v>
      </c>
      <c r="L10815">
        <v>10.26</v>
      </c>
      <c r="M10815">
        <v>33.4</v>
      </c>
      <c r="N10815">
        <v>15.7</v>
      </c>
      <c r="O10815">
        <v>17.7</v>
      </c>
      <c r="P10815">
        <v>24.1</v>
      </c>
      <c r="Q10815">
        <v>24.1</v>
      </c>
      <c r="R10815">
        <v>26.4</v>
      </c>
      <c r="S10815">
        <v>24.1</v>
      </c>
      <c r="T10815">
        <v>1632</v>
      </c>
      <c r="U10815">
        <v>302</v>
      </c>
      <c r="V10815">
        <v>13</v>
      </c>
      <c r="W10815">
        <v>65</v>
      </c>
      <c r="X10815">
        <v>756</v>
      </c>
      <c r="Y10815">
        <v>77</v>
      </c>
      <c r="Z10815">
        <v>299</v>
      </c>
      <c r="AA10815">
        <v>77</v>
      </c>
      <c r="AB10815">
        <v>7.8825960000000004</v>
      </c>
      <c r="AC10815">
        <v>1.0424259999999999E-2</v>
      </c>
      <c r="AD10815">
        <v>1.6665810000000001</v>
      </c>
      <c r="AE10815">
        <v>0.89316669999999998</v>
      </c>
      <c r="AF10815">
        <v>328.4939</v>
      </c>
      <c r="AG10815">
        <f>IFERROR(AH10815*0.1, "N/A")</f>
        <v>6</v>
      </c>
      <c r="AH10815">
        <v>60</v>
      </c>
      <c r="AI10815">
        <v>152.21369999999999</v>
      </c>
      <c r="AJ10815">
        <v>21.566960000000002</v>
      </c>
      <c r="AK10815">
        <v>57.86609</v>
      </c>
    </row>
    <row r="10816" spans="1:37" x14ac:dyDescent="0.3">
      <c r="A10816">
        <v>10815</v>
      </c>
      <c r="B10816">
        <v>50.7</v>
      </c>
      <c r="C10816">
        <v>-7.5002800000000001</v>
      </c>
      <c r="D10816">
        <v>7.4085799999999997</v>
      </c>
      <c r="E10816">
        <f>-7.50028-7.40858</f>
        <v>-14.908860000000001</v>
      </c>
      <c r="F10816" t="s">
        <v>16216</v>
      </c>
      <c r="G10816" t="s">
        <v>37</v>
      </c>
      <c r="H10816">
        <v>2005</v>
      </c>
      <c r="I10816">
        <v>24.898260000000001</v>
      </c>
      <c r="J10816">
        <v>11.3</v>
      </c>
      <c r="K10816">
        <v>64</v>
      </c>
      <c r="L10816">
        <v>10.18929</v>
      </c>
      <c r="M10816">
        <v>33.224170000000001</v>
      </c>
      <c r="N10816">
        <v>15.71983</v>
      </c>
      <c r="O10816">
        <v>17.504349999999999</v>
      </c>
      <c r="P10816">
        <v>23.978429999999999</v>
      </c>
      <c r="Q10816">
        <v>24.019829999999999</v>
      </c>
      <c r="R10816">
        <v>26.324169999999999</v>
      </c>
      <c r="S10816">
        <v>23.954260000000001</v>
      </c>
      <c r="T10816">
        <v>1616.1759999999999</v>
      </c>
      <c r="U10816">
        <v>298.69909999999999</v>
      </c>
      <c r="V10816">
        <v>12.56</v>
      </c>
      <c r="W10816">
        <v>65</v>
      </c>
      <c r="X10816">
        <v>746.2</v>
      </c>
      <c r="Y10816">
        <v>75.361739999999998</v>
      </c>
      <c r="Z10816">
        <v>300.45740000000001</v>
      </c>
      <c r="AA10816">
        <v>583.75130000000001</v>
      </c>
      <c r="AB10816">
        <v>3.456013</v>
      </c>
      <c r="AC10816">
        <v>1.2101120000000001</v>
      </c>
      <c r="AD10816">
        <v>2.8650669999999998</v>
      </c>
      <c r="AE10816">
        <v>0.77160890000000004</v>
      </c>
      <c r="AF10816">
        <v>334.88869999999997</v>
      </c>
      <c r="AG10816">
        <f>IFERROR(AH10816*0.1, "N/A")</f>
        <v>5.3674780000000002</v>
      </c>
      <c r="AH10816">
        <v>53.674779999999998</v>
      </c>
      <c r="AI10816">
        <v>274.46409999999997</v>
      </c>
      <c r="AJ10816">
        <v>24.916519999999998</v>
      </c>
      <c r="AK10816">
        <v>55.373910000000002</v>
      </c>
    </row>
    <row r="10817" spans="1:37" x14ac:dyDescent="0.3">
      <c r="A10817">
        <v>10816</v>
      </c>
      <c r="B10817">
        <v>63.6</v>
      </c>
      <c r="C10817">
        <v>-7.5443800000000003</v>
      </c>
      <c r="D10817">
        <v>7.4086499999999997</v>
      </c>
      <c r="E10817">
        <f>-7.54438-7.40865</f>
        <v>-14.95303</v>
      </c>
      <c r="F10817" t="s">
        <v>16217</v>
      </c>
      <c r="G10817" t="s">
        <v>37</v>
      </c>
      <c r="H10817">
        <v>2000</v>
      </c>
      <c r="I10817">
        <v>24.9</v>
      </c>
      <c r="J10817">
        <v>11.4</v>
      </c>
      <c r="K10817">
        <v>64</v>
      </c>
      <c r="L10817">
        <v>9.89</v>
      </c>
      <c r="M10817">
        <v>33.299999999999997</v>
      </c>
      <c r="N10817">
        <v>15.7</v>
      </c>
      <c r="O10817">
        <v>17.600000000000001</v>
      </c>
      <c r="P10817">
        <v>24</v>
      </c>
      <c r="Q10817">
        <v>24.1</v>
      </c>
      <c r="R10817">
        <v>26.3</v>
      </c>
      <c r="S10817">
        <v>24</v>
      </c>
      <c r="T10817">
        <v>1633</v>
      </c>
      <c r="U10817">
        <v>302</v>
      </c>
      <c r="V10817">
        <v>13</v>
      </c>
      <c r="W10817">
        <v>65</v>
      </c>
      <c r="X10817">
        <v>756.71500000000003</v>
      </c>
      <c r="Y10817">
        <v>77</v>
      </c>
      <c r="Z10817">
        <v>300.28500000000003</v>
      </c>
      <c r="AA10817">
        <v>756.71500000000003</v>
      </c>
      <c r="AB10817">
        <v>16.141439999999999</v>
      </c>
      <c r="AC10817">
        <v>2.9998810000000001E-2</v>
      </c>
      <c r="AD10817">
        <v>5.0613549999999998</v>
      </c>
      <c r="AE10817">
        <v>0.8839496</v>
      </c>
      <c r="AF10817">
        <v>344.50349999999997</v>
      </c>
      <c r="AG10817">
        <f>IFERROR(AH10817*0.1, "N/A")</f>
        <v>5.981643</v>
      </c>
      <c r="AH10817">
        <v>59.816429999999997</v>
      </c>
      <c r="AI10817">
        <v>289.69389999999999</v>
      </c>
      <c r="AJ10817">
        <v>22.879370000000002</v>
      </c>
      <c r="AK10817">
        <v>55.491259999999997</v>
      </c>
    </row>
    <row r="10818" spans="1:37" x14ac:dyDescent="0.3">
      <c r="A10818">
        <v>10817</v>
      </c>
      <c r="B10818">
        <v>51.2</v>
      </c>
      <c r="C10818">
        <v>-7.5450200000000001</v>
      </c>
      <c r="D10818">
        <v>7.4091500000000003</v>
      </c>
      <c r="E10818">
        <f>-7.54502-7.40915</f>
        <v>-14.954170000000001</v>
      </c>
      <c r="F10818" t="s">
        <v>16218</v>
      </c>
      <c r="G10818" t="s">
        <v>37</v>
      </c>
      <c r="H10818">
        <v>2000</v>
      </c>
      <c r="I10818">
        <v>24.9</v>
      </c>
      <c r="J10818">
        <v>11.4</v>
      </c>
      <c r="K10818">
        <v>64</v>
      </c>
      <c r="L10818">
        <v>9.89</v>
      </c>
      <c r="M10818">
        <v>33.299999999999997</v>
      </c>
      <c r="N10818">
        <v>15.7</v>
      </c>
      <c r="O10818">
        <v>17.600000000000001</v>
      </c>
      <c r="P10818">
        <v>24</v>
      </c>
      <c r="Q10818">
        <v>24.1</v>
      </c>
      <c r="R10818">
        <v>26.3</v>
      </c>
      <c r="S10818">
        <v>24</v>
      </c>
      <c r="T10818">
        <v>1633</v>
      </c>
      <c r="U10818">
        <v>302</v>
      </c>
      <c r="V10818">
        <v>13</v>
      </c>
      <c r="W10818">
        <v>65</v>
      </c>
      <c r="X10818">
        <v>756.98789999999997</v>
      </c>
      <c r="Y10818">
        <v>77</v>
      </c>
      <c r="Z10818">
        <v>300.01209999999998</v>
      </c>
      <c r="AA10818">
        <v>756.98789999999997</v>
      </c>
      <c r="AB10818">
        <v>10.37341</v>
      </c>
      <c r="AC10818">
        <v>4.2770210000000003E-2</v>
      </c>
      <c r="AD10818">
        <v>3.6809889999999998</v>
      </c>
      <c r="AE10818">
        <v>0.8839496</v>
      </c>
      <c r="AF10818">
        <v>338.96890000000002</v>
      </c>
      <c r="AG10818">
        <f>IFERROR(AH10818*0.1, "N/A")</f>
        <v>6.0374780000000001</v>
      </c>
      <c r="AH10818">
        <v>60.374780000000001</v>
      </c>
      <c r="AI10818">
        <v>289.15570000000002</v>
      </c>
      <c r="AJ10818">
        <v>21.996549999999999</v>
      </c>
      <c r="AK10818">
        <v>55.621760000000002</v>
      </c>
    </row>
    <row r="10819" spans="1:37" x14ac:dyDescent="0.3">
      <c r="A10819">
        <v>10818</v>
      </c>
      <c r="B10819">
        <v>24.6</v>
      </c>
      <c r="C10819">
        <v>-7.4775999999999998</v>
      </c>
      <c r="D10819">
        <v>7.4093999999999998</v>
      </c>
      <c r="E10819">
        <f>-7.4776-7.4094</f>
        <v>-14.887</v>
      </c>
      <c r="F10819" t="s">
        <v>16219</v>
      </c>
      <c r="G10819" t="s">
        <v>37</v>
      </c>
      <c r="H10819">
        <v>2000</v>
      </c>
      <c r="I10819">
        <v>24.9</v>
      </c>
      <c r="J10819">
        <v>11.3</v>
      </c>
      <c r="K10819">
        <v>64</v>
      </c>
      <c r="L10819">
        <v>10.16</v>
      </c>
      <c r="M10819">
        <v>33.200000000000003</v>
      </c>
      <c r="N10819">
        <v>15.7</v>
      </c>
      <c r="O10819">
        <v>17.5</v>
      </c>
      <c r="P10819">
        <v>24</v>
      </c>
      <c r="Q10819">
        <v>24.1</v>
      </c>
      <c r="R10819">
        <v>26.3</v>
      </c>
      <c r="S10819">
        <v>24</v>
      </c>
      <c r="T10819">
        <v>1604</v>
      </c>
      <c r="U10819">
        <v>297</v>
      </c>
      <c r="V10819">
        <v>13</v>
      </c>
      <c r="W10819">
        <v>65</v>
      </c>
      <c r="X10819">
        <v>739</v>
      </c>
      <c r="Y10819">
        <v>75</v>
      </c>
      <c r="Z10819">
        <v>299</v>
      </c>
      <c r="AA10819">
        <v>739</v>
      </c>
      <c r="AB10819">
        <v>23.254950000000001</v>
      </c>
      <c r="AC10819">
        <v>1.0940170000000001E-2</v>
      </c>
      <c r="AD10819">
        <v>1.8207390000000001</v>
      </c>
      <c r="AE10819">
        <v>0.71221190000000001</v>
      </c>
      <c r="AF10819">
        <v>343.03480000000002</v>
      </c>
      <c r="AG10819">
        <f>IFERROR(AH10819*0.1, "N/A")</f>
        <v>5.3593040000000007</v>
      </c>
      <c r="AH10819">
        <v>53.593040000000002</v>
      </c>
      <c r="AI10819">
        <v>112.33069999999999</v>
      </c>
      <c r="AJ10819">
        <v>26.81391</v>
      </c>
      <c r="AK10819">
        <v>54.779130000000002</v>
      </c>
    </row>
    <row r="10820" spans="1:37" x14ac:dyDescent="0.3">
      <c r="A10820">
        <v>10819</v>
      </c>
      <c r="B10820">
        <v>0</v>
      </c>
      <c r="C10820">
        <v>-7.4776100000000003</v>
      </c>
      <c r="D10820">
        <v>7.4097499999999998</v>
      </c>
      <c r="E10820">
        <f>-7.47761-7.40975</f>
        <v>-14.887360000000001</v>
      </c>
      <c r="F10820" t="s">
        <v>16220</v>
      </c>
      <c r="G10820" t="s">
        <v>37</v>
      </c>
      <c r="H10820">
        <v>2005</v>
      </c>
      <c r="I10820">
        <v>24.9</v>
      </c>
      <c r="J10820">
        <v>11.3</v>
      </c>
      <c r="K10820">
        <v>64</v>
      </c>
      <c r="L10820">
        <v>10.16</v>
      </c>
      <c r="M10820">
        <v>33.200000000000003</v>
      </c>
      <c r="N10820">
        <v>15.7</v>
      </c>
      <c r="O10820">
        <v>17.5</v>
      </c>
      <c r="P10820">
        <v>24</v>
      </c>
      <c r="Q10820">
        <v>24.1</v>
      </c>
      <c r="R10820">
        <v>26.3</v>
      </c>
      <c r="S10820">
        <v>24</v>
      </c>
      <c r="T10820">
        <v>1604</v>
      </c>
      <c r="U10820">
        <v>297</v>
      </c>
      <c r="V10820">
        <v>13</v>
      </c>
      <c r="W10820">
        <v>65</v>
      </c>
      <c r="X10820">
        <v>739</v>
      </c>
      <c r="Y10820">
        <v>75</v>
      </c>
      <c r="Z10820">
        <v>299</v>
      </c>
      <c r="AA10820">
        <v>739</v>
      </c>
      <c r="AB10820">
        <v>22.964639999999999</v>
      </c>
      <c r="AC10820">
        <v>1.212177E-2</v>
      </c>
      <c r="AD10820">
        <v>1.673719</v>
      </c>
      <c r="AE10820">
        <v>0.71287020000000001</v>
      </c>
      <c r="AF10820">
        <v>343.18369999999999</v>
      </c>
      <c r="AG10820">
        <f>IFERROR(AH10820*0.1, "N/A")</f>
        <v>5.3866550000000002</v>
      </c>
      <c r="AH10820">
        <v>53.866549999999997</v>
      </c>
      <c r="AI10820">
        <v>95.552279999999996</v>
      </c>
      <c r="AJ10820">
        <v>26.2669</v>
      </c>
      <c r="AK10820">
        <v>55.599649999999997</v>
      </c>
    </row>
    <row r="10821" spans="1:37" x14ac:dyDescent="0.3">
      <c r="A10821">
        <v>10820</v>
      </c>
      <c r="B10821">
        <v>58.4</v>
      </c>
      <c r="C10821">
        <v>-7.5333500000000004</v>
      </c>
      <c r="D10821">
        <v>7.4114199999999997</v>
      </c>
      <c r="E10821">
        <f>-7.53335-7.41142</f>
        <v>-14.94477</v>
      </c>
      <c r="F10821" t="s">
        <v>16221</v>
      </c>
      <c r="G10821" t="s">
        <v>37</v>
      </c>
      <c r="H10821">
        <v>2000</v>
      </c>
      <c r="I10821">
        <v>24.812349999999999</v>
      </c>
      <c r="J10821">
        <v>11.3</v>
      </c>
      <c r="K10821">
        <v>64</v>
      </c>
      <c r="L10821">
        <v>10.07809</v>
      </c>
      <c r="M10821">
        <v>33.112349999999999</v>
      </c>
      <c r="N10821">
        <v>15.55617</v>
      </c>
      <c r="O10821">
        <v>17.556170000000002</v>
      </c>
      <c r="P10821">
        <v>23.91235</v>
      </c>
      <c r="Q10821">
        <v>23.856169999999999</v>
      </c>
      <c r="R10821">
        <v>26.156169999999999</v>
      </c>
      <c r="S10821">
        <v>23.856169999999999</v>
      </c>
      <c r="T10821">
        <v>1633.3150000000001</v>
      </c>
      <c r="U10821">
        <v>301.43830000000003</v>
      </c>
      <c r="V10821">
        <v>13</v>
      </c>
      <c r="W10821">
        <v>65</v>
      </c>
      <c r="X10821">
        <v>756</v>
      </c>
      <c r="Y10821">
        <v>77</v>
      </c>
      <c r="Z10821">
        <v>301.87650000000002</v>
      </c>
      <c r="AA10821">
        <v>374.57909999999998</v>
      </c>
      <c r="AB10821">
        <v>36.843319999999999</v>
      </c>
      <c r="AC10821">
        <v>0.1033114</v>
      </c>
      <c r="AD10821">
        <v>14.078620000000001</v>
      </c>
      <c r="AE10821">
        <v>0.83554459999999997</v>
      </c>
      <c r="AF10821">
        <v>370.18959999999998</v>
      </c>
      <c r="AG10821">
        <f>IFERROR(AH10821*0.1, "N/A")</f>
        <v>5.7784350000000009</v>
      </c>
      <c r="AH10821">
        <v>57.784350000000003</v>
      </c>
      <c r="AI10821">
        <v>182.8022</v>
      </c>
      <c r="AJ10821">
        <v>23.615649999999999</v>
      </c>
      <c r="AK10821">
        <v>54.900869999999998</v>
      </c>
    </row>
    <row r="10822" spans="1:37" x14ac:dyDescent="0.3">
      <c r="A10822">
        <v>10821</v>
      </c>
      <c r="B10822">
        <v>33.299999999999997</v>
      </c>
      <c r="C10822">
        <v>-7.4856499999999997</v>
      </c>
      <c r="D10822">
        <v>7.4118700000000004</v>
      </c>
      <c r="E10822">
        <f>-7.48565-7.41187</f>
        <v>-14.89752</v>
      </c>
      <c r="F10822" t="s">
        <v>16222</v>
      </c>
      <c r="G10822" t="s">
        <v>37</v>
      </c>
      <c r="H10822">
        <v>2000</v>
      </c>
      <c r="I10822">
        <v>24.9</v>
      </c>
      <c r="J10822">
        <v>11.3</v>
      </c>
      <c r="K10822">
        <v>64</v>
      </c>
      <c r="L10822">
        <v>10.28</v>
      </c>
      <c r="M10822">
        <v>33.200000000000003</v>
      </c>
      <c r="N10822">
        <v>15.8</v>
      </c>
      <c r="O10822">
        <v>17.399999999999999</v>
      </c>
      <c r="P10822">
        <v>24</v>
      </c>
      <c r="Q10822">
        <v>24</v>
      </c>
      <c r="R10822">
        <v>26.4</v>
      </c>
      <c r="S10822">
        <v>24</v>
      </c>
      <c r="T10822">
        <v>1606</v>
      </c>
      <c r="U10822">
        <v>297</v>
      </c>
      <c r="V10822">
        <v>12</v>
      </c>
      <c r="W10822">
        <v>65</v>
      </c>
      <c r="X10822">
        <v>741</v>
      </c>
      <c r="Y10822">
        <v>74</v>
      </c>
      <c r="Z10822">
        <v>299</v>
      </c>
      <c r="AA10822">
        <v>741</v>
      </c>
      <c r="AB10822">
        <v>7.7026070000000004</v>
      </c>
      <c r="AC10822">
        <v>1.154461E-2</v>
      </c>
      <c r="AD10822">
        <v>2.435244</v>
      </c>
      <c r="AE10822">
        <v>0.74929239999999997</v>
      </c>
      <c r="AF10822">
        <v>339.50779999999997</v>
      </c>
      <c r="AG10822">
        <f>IFERROR(AH10822*0.1, "N/A")</f>
        <v>5.4521740000000003</v>
      </c>
      <c r="AH10822">
        <v>54.521740000000001</v>
      </c>
      <c r="AI10822">
        <v>220.2901</v>
      </c>
      <c r="AJ10822">
        <v>26.84</v>
      </c>
      <c r="AK10822">
        <v>53.638260000000002</v>
      </c>
    </row>
    <row r="10823" spans="1:37" x14ac:dyDescent="0.3">
      <c r="A10823">
        <v>10822</v>
      </c>
      <c r="B10823">
        <v>52.6</v>
      </c>
      <c r="C10823">
        <v>-7.5408799999999996</v>
      </c>
      <c r="D10823">
        <v>7.4119299999999999</v>
      </c>
      <c r="E10823">
        <f>-7.54088-7.41193</f>
        <v>-14.952809999999999</v>
      </c>
      <c r="F10823" t="s">
        <v>16223</v>
      </c>
      <c r="G10823" t="s">
        <v>37</v>
      </c>
      <c r="H10823">
        <v>2000</v>
      </c>
      <c r="I10823">
        <v>24.9</v>
      </c>
      <c r="J10823">
        <v>11.311500000000001</v>
      </c>
      <c r="K10823">
        <v>64</v>
      </c>
      <c r="L10823">
        <v>10.075850000000001</v>
      </c>
      <c r="M10823">
        <v>33.211500000000001</v>
      </c>
      <c r="N10823">
        <v>15.611499999999999</v>
      </c>
      <c r="O10823">
        <v>17.600000000000001</v>
      </c>
      <c r="P10823">
        <v>24</v>
      </c>
      <c r="Q10823">
        <v>23.922999999999998</v>
      </c>
      <c r="R10823">
        <v>26.211500000000001</v>
      </c>
      <c r="S10823">
        <v>23.9115</v>
      </c>
      <c r="T10823">
        <v>1632.115</v>
      </c>
      <c r="U10823">
        <v>301.11500000000001</v>
      </c>
      <c r="V10823">
        <v>13</v>
      </c>
      <c r="W10823">
        <v>65</v>
      </c>
      <c r="X10823">
        <v>756.11500000000001</v>
      </c>
      <c r="Y10823">
        <v>77</v>
      </c>
      <c r="Z10823">
        <v>300.88499999999999</v>
      </c>
      <c r="AA10823">
        <v>155.18819999999999</v>
      </c>
      <c r="AB10823">
        <v>1.6430340000000001</v>
      </c>
      <c r="AC10823">
        <v>0.2916454</v>
      </c>
      <c r="AD10823">
        <v>5.7612059999999996</v>
      </c>
      <c r="AE10823">
        <v>0.87619130000000001</v>
      </c>
      <c r="AF10823">
        <v>342.47559999999999</v>
      </c>
      <c r="AG10823">
        <f>IFERROR(AH10823*0.1, "N/A")</f>
        <v>5.8536590000000004</v>
      </c>
      <c r="AH10823">
        <v>58.536589999999997</v>
      </c>
      <c r="AI10823">
        <v>128.6292</v>
      </c>
      <c r="AJ10823">
        <v>22.689900000000002</v>
      </c>
      <c r="AK10823">
        <v>53.416379999999997</v>
      </c>
    </row>
    <row r="10824" spans="1:37" x14ac:dyDescent="0.3">
      <c r="A10824">
        <v>10823</v>
      </c>
      <c r="B10824">
        <v>45.9</v>
      </c>
      <c r="C10824">
        <v>-7.5721999999999996</v>
      </c>
      <c r="D10824">
        <v>7.4142799999999998</v>
      </c>
      <c r="E10824">
        <f>-7.5722-7.41428</f>
        <v>-14.98648</v>
      </c>
      <c r="F10824" t="s">
        <v>16224</v>
      </c>
      <c r="G10824" t="s">
        <v>37</v>
      </c>
      <c r="H10824">
        <v>2000</v>
      </c>
      <c r="I10824">
        <v>24.9</v>
      </c>
      <c r="J10824">
        <v>11.4</v>
      </c>
      <c r="K10824">
        <v>64</v>
      </c>
      <c r="L10824">
        <v>10.09</v>
      </c>
      <c r="M10824">
        <v>33.200000000000003</v>
      </c>
      <c r="N10824">
        <v>15.6</v>
      </c>
      <c r="O10824">
        <v>17.600000000000001</v>
      </c>
      <c r="P10824">
        <v>24</v>
      </c>
      <c r="Q10824">
        <v>24</v>
      </c>
      <c r="R10824">
        <v>26.3</v>
      </c>
      <c r="S10824">
        <v>24</v>
      </c>
      <c r="T10824">
        <v>1647</v>
      </c>
      <c r="U10824">
        <v>304</v>
      </c>
      <c r="V10824">
        <v>13</v>
      </c>
      <c r="W10824">
        <v>65</v>
      </c>
      <c r="X10824">
        <v>764</v>
      </c>
      <c r="Y10824">
        <v>78</v>
      </c>
      <c r="Z10824">
        <v>301</v>
      </c>
      <c r="AA10824">
        <v>764</v>
      </c>
      <c r="AB10824">
        <v>33.67089</v>
      </c>
      <c r="AC10824">
        <v>1.1254500000000001E-2</v>
      </c>
      <c r="AD10824">
        <v>9.9911630000000002</v>
      </c>
      <c r="AE10824">
        <v>0.75021360000000004</v>
      </c>
      <c r="AF10824">
        <v>362.37630000000001</v>
      </c>
      <c r="AG10824">
        <f>IFERROR(AH10824*0.1, "N/A")</f>
        <v>5.1168990000000001</v>
      </c>
      <c r="AH10824">
        <v>51.168990000000001</v>
      </c>
      <c r="AI10824">
        <v>112.6735</v>
      </c>
      <c r="AJ10824">
        <v>25.83972</v>
      </c>
      <c r="AK10824">
        <v>50.37979</v>
      </c>
    </row>
    <row r="10825" spans="1:37" x14ac:dyDescent="0.3">
      <c r="A10825">
        <v>10824</v>
      </c>
      <c r="B10825">
        <v>84</v>
      </c>
      <c r="C10825">
        <v>-7.6645700000000003</v>
      </c>
      <c r="D10825">
        <v>7.4151800000000003</v>
      </c>
      <c r="E10825">
        <f>-7.66457-7.41518</f>
        <v>-15.079750000000001</v>
      </c>
      <c r="F10825" t="s">
        <v>16225</v>
      </c>
      <c r="G10825" t="s">
        <v>37</v>
      </c>
      <c r="H10825">
        <v>2000</v>
      </c>
      <c r="I10825">
        <v>24.9</v>
      </c>
      <c r="J10825">
        <v>11.6</v>
      </c>
      <c r="K10825">
        <v>65</v>
      </c>
      <c r="L10825">
        <v>9.74</v>
      </c>
      <c r="M10825">
        <v>33.4</v>
      </c>
      <c r="N10825">
        <v>15.6</v>
      </c>
      <c r="O10825">
        <v>17.8</v>
      </c>
      <c r="P10825">
        <v>24</v>
      </c>
      <c r="Q10825">
        <v>24.1</v>
      </c>
      <c r="R10825">
        <v>26.2</v>
      </c>
      <c r="S10825">
        <v>24</v>
      </c>
      <c r="T10825">
        <v>1686</v>
      </c>
      <c r="U10825">
        <v>312</v>
      </c>
      <c r="V10825">
        <v>13</v>
      </c>
      <c r="W10825">
        <v>66</v>
      </c>
      <c r="X10825">
        <v>788</v>
      </c>
      <c r="Y10825">
        <v>82</v>
      </c>
      <c r="Z10825">
        <v>301</v>
      </c>
      <c r="AA10825">
        <v>788</v>
      </c>
      <c r="AB10825">
        <v>6.633445</v>
      </c>
      <c r="AC10825">
        <v>8.477788E-3</v>
      </c>
      <c r="AD10825">
        <v>1.2665599999999999</v>
      </c>
      <c r="AE10825">
        <v>0.52635399999999999</v>
      </c>
      <c r="AF10825">
        <v>347.50700000000001</v>
      </c>
      <c r="AG10825">
        <f>IFERROR(AH10825*0.1, "N/A")</f>
        <v>5.2804880000000001</v>
      </c>
      <c r="AH10825">
        <v>52.804879999999997</v>
      </c>
      <c r="AI10825">
        <v>216.42869999999999</v>
      </c>
      <c r="AJ10825">
        <v>26.616720000000001</v>
      </c>
      <c r="AK10825">
        <v>48.794429999999998</v>
      </c>
    </row>
    <row r="10826" spans="1:37" x14ac:dyDescent="0.3">
      <c r="A10826">
        <v>10825</v>
      </c>
      <c r="B10826">
        <v>49.2</v>
      </c>
      <c r="C10826">
        <v>-7.6649399999999996</v>
      </c>
      <c r="D10826">
        <v>7.4152500000000003</v>
      </c>
      <c r="E10826">
        <f>-7.66494-7.41525</f>
        <v>-15.08019</v>
      </c>
      <c r="F10826" t="s">
        <v>16226</v>
      </c>
      <c r="G10826" t="s">
        <v>37</v>
      </c>
      <c r="H10826">
        <v>2005</v>
      </c>
      <c r="I10826">
        <v>24.9</v>
      </c>
      <c r="J10826">
        <v>11.6</v>
      </c>
      <c r="K10826">
        <v>65</v>
      </c>
      <c r="L10826">
        <v>9.74</v>
      </c>
      <c r="M10826">
        <v>33.4</v>
      </c>
      <c r="N10826">
        <v>15.6</v>
      </c>
      <c r="O10826">
        <v>17.8</v>
      </c>
      <c r="P10826">
        <v>24</v>
      </c>
      <c r="Q10826">
        <v>24.1</v>
      </c>
      <c r="R10826">
        <v>26.2</v>
      </c>
      <c r="S10826">
        <v>24</v>
      </c>
      <c r="T10826">
        <v>1686</v>
      </c>
      <c r="U10826">
        <v>312</v>
      </c>
      <c r="V10826">
        <v>13</v>
      </c>
      <c r="W10826">
        <v>66</v>
      </c>
      <c r="X10826">
        <v>788</v>
      </c>
      <c r="Y10826">
        <v>82</v>
      </c>
      <c r="Z10826">
        <v>301</v>
      </c>
      <c r="AA10826">
        <v>788</v>
      </c>
      <c r="AB10826">
        <v>7.1860759999999999</v>
      </c>
      <c r="AC10826">
        <v>8.6104830000000004E-3</v>
      </c>
      <c r="AD10826">
        <v>1.33029</v>
      </c>
      <c r="AE10826">
        <v>0.53000789999999998</v>
      </c>
      <c r="AF10826">
        <v>347.85219999999998</v>
      </c>
      <c r="AG10826">
        <f>IFERROR(AH10826*0.1, "N/A")</f>
        <v>5.276174000000001</v>
      </c>
      <c r="AH10826">
        <v>52.761740000000003</v>
      </c>
      <c r="AI10826">
        <v>272.20769999999999</v>
      </c>
      <c r="AJ10826">
        <v>26.904350000000001</v>
      </c>
      <c r="AK10826">
        <v>48.419130000000003</v>
      </c>
    </row>
    <row r="10827" spans="1:37" x14ac:dyDescent="0.3">
      <c r="A10827">
        <v>10826</v>
      </c>
      <c r="B10827">
        <v>36.299999999999997</v>
      </c>
      <c r="C10827">
        <v>-7.5452300000000001</v>
      </c>
      <c r="D10827">
        <v>7.4163300000000003</v>
      </c>
      <c r="E10827">
        <f>-7.54523-7.41633</f>
        <v>-14.96156</v>
      </c>
      <c r="F10827" t="s">
        <v>16227</v>
      </c>
      <c r="G10827" t="s">
        <v>37</v>
      </c>
      <c r="H10827">
        <v>2000</v>
      </c>
      <c r="I10827">
        <v>24.9</v>
      </c>
      <c r="J10827">
        <v>11.4</v>
      </c>
      <c r="K10827">
        <v>64</v>
      </c>
      <c r="L10827">
        <v>9.95364</v>
      </c>
      <c r="M10827">
        <v>33.299999999999997</v>
      </c>
      <c r="N10827">
        <v>15.662570000000001</v>
      </c>
      <c r="O10827">
        <v>17.637440000000002</v>
      </c>
      <c r="P10827">
        <v>24</v>
      </c>
      <c r="Q10827">
        <v>24.1</v>
      </c>
      <c r="R10827">
        <v>26.3</v>
      </c>
      <c r="S10827">
        <v>24</v>
      </c>
      <c r="T10827">
        <v>1632.251</v>
      </c>
      <c r="U10827">
        <v>301.62560000000002</v>
      </c>
      <c r="V10827">
        <v>13</v>
      </c>
      <c r="W10827">
        <v>65.374350000000007</v>
      </c>
      <c r="X10827">
        <v>756.62559999999996</v>
      </c>
      <c r="Y10827">
        <v>77</v>
      </c>
      <c r="Z10827">
        <v>300</v>
      </c>
      <c r="AA10827">
        <v>756.62559999999996</v>
      </c>
      <c r="AB10827">
        <v>4.4098819999999996</v>
      </c>
      <c r="AC10827">
        <v>0.1728016</v>
      </c>
      <c r="AD10827">
        <v>3.2622360000000001</v>
      </c>
      <c r="AE10827">
        <v>0.86800739999999998</v>
      </c>
      <c r="AF10827">
        <v>341.03120000000001</v>
      </c>
      <c r="AG10827">
        <f>IFERROR(AH10827*0.1, "N/A")</f>
        <v>5.7128250000000005</v>
      </c>
      <c r="AH10827">
        <v>57.128250000000001</v>
      </c>
      <c r="AI10827">
        <v>184.46080000000001</v>
      </c>
      <c r="AJ10827">
        <v>22.94801</v>
      </c>
      <c r="AK10827">
        <v>52.987870000000001</v>
      </c>
    </row>
    <row r="10828" spans="1:37" x14ac:dyDescent="0.3">
      <c r="A10828">
        <v>10827</v>
      </c>
      <c r="B10828">
        <v>75.3</v>
      </c>
      <c r="C10828">
        <v>-7.5466300000000004</v>
      </c>
      <c r="D10828">
        <v>7.4186699999999997</v>
      </c>
      <c r="E10828">
        <f>-7.54663-7.41867</f>
        <v>-14.965299999999999</v>
      </c>
      <c r="F10828" t="s">
        <v>16228</v>
      </c>
      <c r="G10828" t="s">
        <v>37</v>
      </c>
      <c r="H10828">
        <v>2000</v>
      </c>
      <c r="I10828">
        <v>24.9</v>
      </c>
      <c r="J10828">
        <v>11.4</v>
      </c>
      <c r="K10828">
        <v>64</v>
      </c>
      <c r="L10828">
        <v>10.06</v>
      </c>
      <c r="M10828">
        <v>33.299999999999997</v>
      </c>
      <c r="N10828">
        <v>15.6</v>
      </c>
      <c r="O10828">
        <v>17.7</v>
      </c>
      <c r="P10828">
        <v>24</v>
      </c>
      <c r="Q10828">
        <v>24.1</v>
      </c>
      <c r="R10828">
        <v>26.3</v>
      </c>
      <c r="S10828">
        <v>24</v>
      </c>
      <c r="T10828">
        <v>1631</v>
      </c>
      <c r="U10828">
        <v>301</v>
      </c>
      <c r="V10828">
        <v>13</v>
      </c>
      <c r="W10828">
        <v>66</v>
      </c>
      <c r="X10828">
        <v>756</v>
      </c>
      <c r="Y10828">
        <v>77</v>
      </c>
      <c r="Z10828">
        <v>300</v>
      </c>
      <c r="AA10828">
        <v>756</v>
      </c>
      <c r="AB10828">
        <v>13.74366</v>
      </c>
      <c r="AC10828">
        <v>4.1223679999999999E-2</v>
      </c>
      <c r="AD10828">
        <v>4.1538250000000003</v>
      </c>
      <c r="AE10828">
        <v>0.86800739999999998</v>
      </c>
      <c r="AF10828">
        <v>343.76870000000002</v>
      </c>
      <c r="AG10828">
        <f>IFERROR(AH10828*0.1, "N/A")</f>
        <v>5.7354780000000005</v>
      </c>
      <c r="AH10828">
        <v>57.354779999999998</v>
      </c>
      <c r="AI10828">
        <v>268.20839999999998</v>
      </c>
      <c r="AJ10828">
        <v>24.48</v>
      </c>
      <c r="AK10828">
        <v>52.168700000000001</v>
      </c>
    </row>
    <row r="10829" spans="1:37" x14ac:dyDescent="0.3">
      <c r="A10829">
        <v>10828</v>
      </c>
      <c r="B10829">
        <v>75</v>
      </c>
      <c r="C10829">
        <v>-7.5474699999999997</v>
      </c>
      <c r="D10829">
        <v>7.4195000000000002</v>
      </c>
      <c r="E10829">
        <f>-7.54747-7.4195</f>
        <v>-14.96697</v>
      </c>
      <c r="F10829" t="s">
        <v>16229</v>
      </c>
      <c r="G10829" t="s">
        <v>37</v>
      </c>
      <c r="H10829">
        <v>2000</v>
      </c>
      <c r="I10829">
        <v>24.9</v>
      </c>
      <c r="J10829">
        <v>11.4</v>
      </c>
      <c r="K10829">
        <v>64</v>
      </c>
      <c r="L10829">
        <v>10.06</v>
      </c>
      <c r="M10829">
        <v>33.299999999999997</v>
      </c>
      <c r="N10829">
        <v>15.6</v>
      </c>
      <c r="O10829">
        <v>17.7</v>
      </c>
      <c r="P10829">
        <v>24</v>
      </c>
      <c r="Q10829">
        <v>24.1</v>
      </c>
      <c r="R10829">
        <v>26.3</v>
      </c>
      <c r="S10829">
        <v>24</v>
      </c>
      <c r="T10829">
        <v>1631</v>
      </c>
      <c r="U10829">
        <v>301</v>
      </c>
      <c r="V10829">
        <v>13</v>
      </c>
      <c r="W10829">
        <v>66</v>
      </c>
      <c r="X10829">
        <v>756</v>
      </c>
      <c r="Y10829">
        <v>77</v>
      </c>
      <c r="Z10829">
        <v>300</v>
      </c>
      <c r="AA10829">
        <v>756</v>
      </c>
      <c r="AB10829">
        <v>10.68627</v>
      </c>
      <c r="AC10829">
        <v>6.4356549999999998E-2</v>
      </c>
      <c r="AD10829">
        <v>3.583294</v>
      </c>
      <c r="AE10829">
        <v>0.86800739999999998</v>
      </c>
      <c r="AF10829">
        <v>338.43830000000003</v>
      </c>
      <c r="AG10829">
        <f>IFERROR(AH10829*0.1, "N/A")</f>
        <v>5.6742610000000004</v>
      </c>
      <c r="AH10829">
        <v>56.742609999999999</v>
      </c>
      <c r="AI10829">
        <v>261.85559999999998</v>
      </c>
      <c r="AJ10829">
        <v>24.850429999999999</v>
      </c>
      <c r="AK10829">
        <v>51.798259999999999</v>
      </c>
    </row>
    <row r="10830" spans="1:37" x14ac:dyDescent="0.3">
      <c r="A10830">
        <v>10829</v>
      </c>
      <c r="B10830">
        <v>75.3</v>
      </c>
      <c r="C10830">
        <v>-7.5565499999999997</v>
      </c>
      <c r="D10830">
        <v>7.4198300000000001</v>
      </c>
      <c r="E10830">
        <f>-7.55655-7.41983</f>
        <v>-14.976379999999999</v>
      </c>
      <c r="F10830" t="s">
        <v>16230</v>
      </c>
      <c r="G10830" t="s">
        <v>37</v>
      </c>
      <c r="H10830">
        <v>2000</v>
      </c>
      <c r="I10830">
        <v>25</v>
      </c>
      <c r="J10830">
        <v>11.4</v>
      </c>
      <c r="K10830">
        <v>64</v>
      </c>
      <c r="L10830">
        <v>10.14</v>
      </c>
      <c r="M10830">
        <v>33.299999999999997</v>
      </c>
      <c r="N10830">
        <v>15.7</v>
      </c>
      <c r="O10830">
        <v>17.600000000000001</v>
      </c>
      <c r="P10830">
        <v>24.1</v>
      </c>
      <c r="Q10830">
        <v>24.1</v>
      </c>
      <c r="R10830">
        <v>26.4</v>
      </c>
      <c r="S10830">
        <v>24.1</v>
      </c>
      <c r="T10830">
        <v>1632</v>
      </c>
      <c r="U10830">
        <v>302</v>
      </c>
      <c r="V10830">
        <v>13</v>
      </c>
      <c r="W10830">
        <v>65</v>
      </c>
      <c r="X10830">
        <v>758</v>
      </c>
      <c r="Y10830">
        <v>77</v>
      </c>
      <c r="Z10830">
        <v>298</v>
      </c>
      <c r="AA10830">
        <v>77</v>
      </c>
      <c r="AB10830">
        <v>2.9145490000000001</v>
      </c>
      <c r="AC10830">
        <v>0.1170416</v>
      </c>
      <c r="AD10830">
        <v>1.6038399999999999</v>
      </c>
      <c r="AE10830">
        <v>0.89808279999999996</v>
      </c>
      <c r="AF10830">
        <v>327.27210000000002</v>
      </c>
      <c r="AG10830">
        <f>IFERROR(AH10830*0.1, "N/A")</f>
        <v>5.7090120000000004</v>
      </c>
      <c r="AH10830">
        <v>57.090119999999999</v>
      </c>
      <c r="AI10830">
        <v>183.06649999999999</v>
      </c>
      <c r="AJ10830">
        <v>23.07799</v>
      </c>
      <c r="AK10830">
        <v>51.818019999999997</v>
      </c>
    </row>
    <row r="10831" spans="1:37" x14ac:dyDescent="0.3">
      <c r="A10831">
        <v>10830</v>
      </c>
      <c r="B10831">
        <v>77.2</v>
      </c>
      <c r="C10831">
        <v>-7.5574700000000004</v>
      </c>
      <c r="D10831">
        <v>7.4199000000000002</v>
      </c>
      <c r="E10831">
        <f>-7.55747-7.4199</f>
        <v>-14.977370000000001</v>
      </c>
      <c r="F10831" t="s">
        <v>16231</v>
      </c>
      <c r="G10831" t="s">
        <v>37</v>
      </c>
      <c r="H10831">
        <v>2000</v>
      </c>
      <c r="I10831">
        <v>25</v>
      </c>
      <c r="J10831">
        <v>11.4</v>
      </c>
      <c r="K10831">
        <v>64</v>
      </c>
      <c r="L10831">
        <v>10.14</v>
      </c>
      <c r="M10831">
        <v>33.299999999999997</v>
      </c>
      <c r="N10831">
        <v>15.7</v>
      </c>
      <c r="O10831">
        <v>17.600000000000001</v>
      </c>
      <c r="P10831">
        <v>24.1</v>
      </c>
      <c r="Q10831">
        <v>24.1</v>
      </c>
      <c r="R10831">
        <v>26.4</v>
      </c>
      <c r="S10831">
        <v>24.1</v>
      </c>
      <c r="T10831">
        <v>1632</v>
      </c>
      <c r="U10831">
        <v>302</v>
      </c>
      <c r="V10831">
        <v>13</v>
      </c>
      <c r="W10831">
        <v>65</v>
      </c>
      <c r="X10831">
        <v>758</v>
      </c>
      <c r="Y10831">
        <v>77</v>
      </c>
      <c r="Z10831">
        <v>298</v>
      </c>
      <c r="AA10831">
        <v>77</v>
      </c>
      <c r="AB10831">
        <v>1.7440720000000001</v>
      </c>
      <c r="AC10831">
        <v>39.989849999999997</v>
      </c>
      <c r="AD10831">
        <v>2.0718040000000002</v>
      </c>
      <c r="AE10831">
        <v>0.89808279999999996</v>
      </c>
      <c r="AF10831">
        <v>327.16379999999998</v>
      </c>
      <c r="AG10831">
        <f>IFERROR(AH10831*0.1, "N/A")</f>
        <v>5.7357140000000006</v>
      </c>
      <c r="AH10831">
        <v>57.357140000000001</v>
      </c>
      <c r="AI10831">
        <v>168.4091</v>
      </c>
      <c r="AJ10831">
        <v>22.357140000000001</v>
      </c>
      <c r="AK10831">
        <v>52.285710000000002</v>
      </c>
    </row>
    <row r="10832" spans="1:37" x14ac:dyDescent="0.3">
      <c r="A10832">
        <v>10831</v>
      </c>
      <c r="B10832">
        <v>80.8</v>
      </c>
      <c r="C10832">
        <v>-7.5571799999999998</v>
      </c>
      <c r="D10832">
        <v>7.4205199999999998</v>
      </c>
      <c r="E10832">
        <f>-7.55718-7.42052</f>
        <v>-14.977699999999999</v>
      </c>
      <c r="F10832" t="s">
        <v>16232</v>
      </c>
      <c r="G10832" t="s">
        <v>37</v>
      </c>
      <c r="H10832">
        <v>2000</v>
      </c>
      <c r="I10832">
        <v>25</v>
      </c>
      <c r="J10832">
        <v>11.4</v>
      </c>
      <c r="K10832">
        <v>64</v>
      </c>
      <c r="L10832">
        <v>10.14</v>
      </c>
      <c r="M10832">
        <v>33.299999999999997</v>
      </c>
      <c r="N10832">
        <v>15.7</v>
      </c>
      <c r="O10832">
        <v>17.600000000000001</v>
      </c>
      <c r="P10832">
        <v>24.1</v>
      </c>
      <c r="Q10832">
        <v>24.1</v>
      </c>
      <c r="R10832">
        <v>26.4</v>
      </c>
      <c r="S10832">
        <v>24.1</v>
      </c>
      <c r="T10832">
        <v>1632</v>
      </c>
      <c r="U10832">
        <v>302</v>
      </c>
      <c r="V10832">
        <v>13</v>
      </c>
      <c r="W10832">
        <v>65</v>
      </c>
      <c r="X10832">
        <v>758</v>
      </c>
      <c r="Y10832">
        <v>77</v>
      </c>
      <c r="Z10832">
        <v>298</v>
      </c>
      <c r="AA10832">
        <v>77</v>
      </c>
      <c r="AB10832">
        <v>2.7132100000000001</v>
      </c>
      <c r="AC10832">
        <v>1.747441</v>
      </c>
      <c r="AD10832">
        <v>1.875553</v>
      </c>
      <c r="AE10832">
        <v>0.89808279999999996</v>
      </c>
      <c r="AF10832">
        <v>328.15480000000002</v>
      </c>
      <c r="AG10832">
        <f>IFERROR(AH10832*0.1, "N/A")</f>
        <v>5.7636520000000004</v>
      </c>
      <c r="AH10832">
        <v>57.636519999999997</v>
      </c>
      <c r="AI10832">
        <v>138.87639999999999</v>
      </c>
      <c r="AJ10832">
        <v>23.010429999999999</v>
      </c>
      <c r="AK10832">
        <v>51.203479999999999</v>
      </c>
    </row>
    <row r="10833" spans="1:37" x14ac:dyDescent="0.3">
      <c r="A10833">
        <v>10832</v>
      </c>
      <c r="B10833">
        <v>56.5</v>
      </c>
      <c r="C10833">
        <v>-7.4391100000000003</v>
      </c>
      <c r="D10833">
        <v>7.4282500000000002</v>
      </c>
      <c r="E10833">
        <f>-7.43911-7.42825</f>
        <v>-14.867360000000001</v>
      </c>
      <c r="F10833" t="s">
        <v>16233</v>
      </c>
      <c r="G10833" t="s">
        <v>37</v>
      </c>
      <c r="H10833">
        <v>2005</v>
      </c>
      <c r="I10833">
        <v>25.2</v>
      </c>
      <c r="J10833">
        <v>11.3</v>
      </c>
      <c r="K10833">
        <v>65</v>
      </c>
      <c r="L10833">
        <v>10.130000000000001</v>
      </c>
      <c r="M10833">
        <v>33.4</v>
      </c>
      <c r="N10833">
        <v>16.100000000000001</v>
      </c>
      <c r="O10833">
        <v>17.3</v>
      </c>
      <c r="P10833">
        <v>24.2</v>
      </c>
      <c r="Q10833">
        <v>24.3</v>
      </c>
      <c r="R10833">
        <v>26.5</v>
      </c>
      <c r="S10833">
        <v>24.2</v>
      </c>
      <c r="T10833">
        <v>1562</v>
      </c>
      <c r="U10833">
        <v>291</v>
      </c>
      <c r="V10833">
        <v>12</v>
      </c>
      <c r="W10833">
        <v>65</v>
      </c>
      <c r="X10833">
        <v>716</v>
      </c>
      <c r="Y10833">
        <v>73</v>
      </c>
      <c r="Z10833">
        <v>291</v>
      </c>
      <c r="AA10833">
        <v>716</v>
      </c>
      <c r="AB10833">
        <v>6.9958289999999996</v>
      </c>
      <c r="AC10833">
        <v>3.8826100000000002E-2</v>
      </c>
      <c r="AD10833">
        <v>2.7969089999999999</v>
      </c>
      <c r="AE10833">
        <v>0.60847180000000001</v>
      </c>
      <c r="AF10833">
        <v>297.24310000000003</v>
      </c>
      <c r="AG10833">
        <f>IFERROR(AH10833*0.1, "N/A")</f>
        <v>5.4</v>
      </c>
      <c r="AH10833">
        <v>54</v>
      </c>
      <c r="AI10833">
        <v>331.72649999999999</v>
      </c>
      <c r="AJ10833">
        <v>29.151039999999998</v>
      </c>
      <c r="AK10833">
        <v>52.848959999999998</v>
      </c>
    </row>
    <row r="10834" spans="1:37" x14ac:dyDescent="0.3">
      <c r="A10834">
        <v>10833</v>
      </c>
      <c r="B10834">
        <v>71.3</v>
      </c>
      <c r="C10834">
        <v>-7.4387800000000004</v>
      </c>
      <c r="D10834">
        <v>7.4285699999999997</v>
      </c>
      <c r="E10834">
        <f>-7.43878-7.42857</f>
        <v>-14.86735</v>
      </c>
      <c r="F10834" t="s">
        <v>16234</v>
      </c>
      <c r="G10834" t="s">
        <v>37</v>
      </c>
      <c r="H10834">
        <v>2000</v>
      </c>
      <c r="I10834">
        <v>25.2</v>
      </c>
      <c r="J10834">
        <v>11.3</v>
      </c>
      <c r="K10834">
        <v>65</v>
      </c>
      <c r="L10834">
        <v>10.130000000000001</v>
      </c>
      <c r="M10834">
        <v>33.4</v>
      </c>
      <c r="N10834">
        <v>16.100000000000001</v>
      </c>
      <c r="O10834">
        <v>17.3</v>
      </c>
      <c r="P10834">
        <v>24.2</v>
      </c>
      <c r="Q10834">
        <v>24.3</v>
      </c>
      <c r="R10834">
        <v>26.5</v>
      </c>
      <c r="S10834">
        <v>24.2</v>
      </c>
      <c r="T10834">
        <v>1562</v>
      </c>
      <c r="U10834">
        <v>291</v>
      </c>
      <c r="V10834">
        <v>12</v>
      </c>
      <c r="W10834">
        <v>65</v>
      </c>
      <c r="X10834">
        <v>716</v>
      </c>
      <c r="Y10834">
        <v>73</v>
      </c>
      <c r="Z10834">
        <v>291</v>
      </c>
      <c r="AA10834">
        <v>716</v>
      </c>
      <c r="AB10834">
        <v>6.3161430000000003</v>
      </c>
      <c r="AC10834">
        <v>3.062813E-2</v>
      </c>
      <c r="AD10834">
        <v>2.7128230000000002</v>
      </c>
      <c r="AE10834">
        <v>0.60847180000000001</v>
      </c>
      <c r="AF10834">
        <v>296.05560000000003</v>
      </c>
      <c r="AG10834">
        <f>IFERROR(AH10834*0.1, "N/A")</f>
        <v>5.4</v>
      </c>
      <c r="AH10834">
        <v>54</v>
      </c>
      <c r="AI10834">
        <v>282.04329999999999</v>
      </c>
      <c r="AJ10834">
        <v>29.67014</v>
      </c>
      <c r="AK10834">
        <v>52.329859999999996</v>
      </c>
    </row>
    <row r="10835" spans="1:37" x14ac:dyDescent="0.3">
      <c r="A10835">
        <v>10834</v>
      </c>
      <c r="B10835">
        <v>13.6</v>
      </c>
      <c r="C10835">
        <v>-7.6047799999999999</v>
      </c>
      <c r="D10835">
        <v>7.4292499999999997</v>
      </c>
      <c r="E10835">
        <f>-7.60478-7.42925</f>
        <v>-15.03403</v>
      </c>
      <c r="F10835" t="s">
        <v>16235</v>
      </c>
      <c r="G10835" t="s">
        <v>37</v>
      </c>
      <c r="H10835">
        <v>2005</v>
      </c>
      <c r="I10835">
        <v>23.7</v>
      </c>
      <c r="J10835">
        <v>11.5</v>
      </c>
      <c r="K10835">
        <v>66</v>
      </c>
      <c r="L10835">
        <v>9.7799999999999994</v>
      </c>
      <c r="M10835">
        <v>32.200000000000003</v>
      </c>
      <c r="N10835">
        <v>14.9</v>
      </c>
      <c r="O10835">
        <v>17.3</v>
      </c>
      <c r="P10835">
        <v>22.7</v>
      </c>
      <c r="Q10835">
        <v>23.1</v>
      </c>
      <c r="R10835">
        <v>25.1</v>
      </c>
      <c r="S10835">
        <v>22.7</v>
      </c>
      <c r="T10835">
        <v>1707</v>
      </c>
      <c r="U10835">
        <v>314</v>
      </c>
      <c r="V10835">
        <v>16</v>
      </c>
      <c r="W10835">
        <v>64</v>
      </c>
      <c r="X10835">
        <v>787</v>
      </c>
      <c r="Y10835">
        <v>88</v>
      </c>
      <c r="Z10835">
        <v>314</v>
      </c>
      <c r="AA10835">
        <v>787</v>
      </c>
      <c r="AB10835">
        <v>64.452600000000004</v>
      </c>
      <c r="AC10835">
        <v>0.10487970000000001</v>
      </c>
      <c r="AD10835">
        <v>2.5873439999999999</v>
      </c>
      <c r="AE10835">
        <v>0.53358110000000003</v>
      </c>
      <c r="AF10835">
        <v>592.52599999999995</v>
      </c>
      <c r="AG10835">
        <f>IFERROR(AH10835*0.1, "N/A")</f>
        <v>5.291493</v>
      </c>
      <c r="AH10835">
        <v>52.914929999999998</v>
      </c>
      <c r="AI10835">
        <v>170.64410000000001</v>
      </c>
      <c r="AJ10835">
        <v>30.085070000000002</v>
      </c>
      <c r="AK10835">
        <v>45.914929999999998</v>
      </c>
    </row>
    <row r="10836" spans="1:37" x14ac:dyDescent="0.3">
      <c r="A10836">
        <v>10835</v>
      </c>
      <c r="B10836">
        <v>18</v>
      </c>
      <c r="C10836">
        <v>-7.5178700000000003</v>
      </c>
      <c r="D10836">
        <v>7.4295299999999997</v>
      </c>
      <c r="E10836">
        <f>-7.51787-7.42953</f>
        <v>-14.9474</v>
      </c>
      <c r="F10836" t="s">
        <v>16236</v>
      </c>
      <c r="G10836" t="s">
        <v>37</v>
      </c>
      <c r="H10836">
        <v>2000</v>
      </c>
      <c r="I10836">
        <v>24.800350000000002</v>
      </c>
      <c r="J10836">
        <v>11.3</v>
      </c>
      <c r="K10836">
        <v>63.003489999999999</v>
      </c>
      <c r="L10836">
        <v>10.20997</v>
      </c>
      <c r="M10836">
        <v>33.200000000000003</v>
      </c>
      <c r="N10836">
        <v>15.5007</v>
      </c>
      <c r="O10836">
        <v>17.699300000000001</v>
      </c>
      <c r="P10836">
        <v>23.90035</v>
      </c>
      <c r="Q10836">
        <v>23.90035</v>
      </c>
      <c r="R10836">
        <v>26.20035</v>
      </c>
      <c r="S10836">
        <v>23.90035</v>
      </c>
      <c r="T10836">
        <v>1622.9860000000001</v>
      </c>
      <c r="U10836">
        <v>299.99650000000003</v>
      </c>
      <c r="V10836">
        <v>13</v>
      </c>
      <c r="W10836">
        <v>65.003489999999999</v>
      </c>
      <c r="X10836">
        <v>751.98950000000002</v>
      </c>
      <c r="Y10836">
        <v>76</v>
      </c>
      <c r="Z10836">
        <v>300</v>
      </c>
      <c r="AA10836">
        <v>751.98950000000002</v>
      </c>
      <c r="AB10836">
        <v>16.035599999999999</v>
      </c>
      <c r="AC10836">
        <v>3.3111080000000001E-2</v>
      </c>
      <c r="AD10836">
        <v>3.3901509999999999</v>
      </c>
      <c r="AE10836">
        <v>0.81689290000000003</v>
      </c>
      <c r="AF10836">
        <v>356.57940000000002</v>
      </c>
      <c r="AG10836">
        <f>IFERROR(AH10836*0.1, "N/A")</f>
        <v>5.3000000000000007</v>
      </c>
      <c r="AH10836">
        <v>53</v>
      </c>
      <c r="AI10836">
        <v>220.41800000000001</v>
      </c>
      <c r="AJ10836">
        <v>29</v>
      </c>
      <c r="AK10836">
        <v>46.996510000000001</v>
      </c>
    </row>
    <row r="10837" spans="1:37" x14ac:dyDescent="0.3">
      <c r="A10837">
        <v>10836</v>
      </c>
      <c r="B10837">
        <v>14.9</v>
      </c>
      <c r="C10837">
        <v>-7.51694</v>
      </c>
      <c r="D10837">
        <v>7.4295799999999996</v>
      </c>
      <c r="E10837">
        <f>-7.51694-7.42958</f>
        <v>-14.94652</v>
      </c>
      <c r="F10837" t="s">
        <v>16237</v>
      </c>
      <c r="G10837" t="s">
        <v>37</v>
      </c>
      <c r="H10837">
        <v>2005</v>
      </c>
      <c r="I10837">
        <v>24.865279999999998</v>
      </c>
      <c r="J10837">
        <v>11.3</v>
      </c>
      <c r="K10837">
        <v>63.65278</v>
      </c>
      <c r="L10837">
        <v>10.203469999999999</v>
      </c>
      <c r="M10837">
        <v>33.200000000000003</v>
      </c>
      <c r="N10837">
        <v>15.630559999999999</v>
      </c>
      <c r="O10837">
        <v>17.56944</v>
      </c>
      <c r="P10837">
        <v>23.96528</v>
      </c>
      <c r="Q10837">
        <v>23.96528</v>
      </c>
      <c r="R10837">
        <v>26.265280000000001</v>
      </c>
      <c r="S10837">
        <v>23.96528</v>
      </c>
      <c r="T10837">
        <v>1620.3889999999999</v>
      </c>
      <c r="U10837">
        <v>299.34719999999999</v>
      </c>
      <c r="V10837">
        <v>13</v>
      </c>
      <c r="W10837">
        <v>65.652780000000007</v>
      </c>
      <c r="X10837">
        <v>750.04169999999999</v>
      </c>
      <c r="Y10837">
        <v>76</v>
      </c>
      <c r="Z10837">
        <v>300</v>
      </c>
      <c r="AA10837">
        <v>750.04169999999999</v>
      </c>
      <c r="AB10837">
        <v>24.48836</v>
      </c>
      <c r="AC10837">
        <v>2.8493830000000001E-2</v>
      </c>
      <c r="AD10837">
        <v>6.0537039999999998</v>
      </c>
      <c r="AE10837">
        <v>0.81689290000000003</v>
      </c>
      <c r="AF10837">
        <v>364.33510000000001</v>
      </c>
      <c r="AG10837">
        <f>IFERROR(AH10837*0.1, "N/A")</f>
        <v>5.3000000000000007</v>
      </c>
      <c r="AH10837">
        <v>53</v>
      </c>
      <c r="AI10837">
        <v>234.01759999999999</v>
      </c>
      <c r="AJ10837">
        <v>29</v>
      </c>
      <c r="AK10837">
        <v>46.34722</v>
      </c>
    </row>
    <row r="10838" spans="1:37" x14ac:dyDescent="0.3">
      <c r="A10838">
        <v>10837</v>
      </c>
      <c r="B10838">
        <v>20.9</v>
      </c>
      <c r="C10838">
        <v>-7.6054300000000001</v>
      </c>
      <c r="D10838">
        <v>7.4296800000000003</v>
      </c>
      <c r="E10838">
        <f>-7.60543-7.42968</f>
        <v>-15.03511</v>
      </c>
      <c r="F10838" t="s">
        <v>16238</v>
      </c>
      <c r="G10838" t="s">
        <v>37</v>
      </c>
      <c r="H10838">
        <v>2000</v>
      </c>
      <c r="I10838">
        <v>23.7</v>
      </c>
      <c r="J10838">
        <v>11.5</v>
      </c>
      <c r="K10838">
        <v>66</v>
      </c>
      <c r="L10838">
        <v>9.7799999999999994</v>
      </c>
      <c r="M10838">
        <v>32.200000000000003</v>
      </c>
      <c r="N10838">
        <v>14.9</v>
      </c>
      <c r="O10838">
        <v>17.3</v>
      </c>
      <c r="P10838">
        <v>22.7</v>
      </c>
      <c r="Q10838">
        <v>23.1</v>
      </c>
      <c r="R10838">
        <v>25.1</v>
      </c>
      <c r="S10838">
        <v>22.7</v>
      </c>
      <c r="T10838">
        <v>1707</v>
      </c>
      <c r="U10838">
        <v>314</v>
      </c>
      <c r="V10838">
        <v>16</v>
      </c>
      <c r="W10838">
        <v>64</v>
      </c>
      <c r="X10838">
        <v>787</v>
      </c>
      <c r="Y10838">
        <v>88</v>
      </c>
      <c r="Z10838">
        <v>314</v>
      </c>
      <c r="AA10838">
        <v>787</v>
      </c>
      <c r="AB10838">
        <v>45.934600000000003</v>
      </c>
      <c r="AC10838">
        <v>0.1231376</v>
      </c>
      <c r="AD10838">
        <v>2.4927009999999998</v>
      </c>
      <c r="AE10838">
        <v>0.53358110000000003</v>
      </c>
      <c r="AF10838">
        <v>592.3809</v>
      </c>
      <c r="AG10838">
        <f>IFERROR(AH10838*0.1, "N/A")</f>
        <v>5.3000000000000007</v>
      </c>
      <c r="AH10838">
        <v>53</v>
      </c>
      <c r="AI10838">
        <v>180.25729999999999</v>
      </c>
      <c r="AJ10838">
        <v>30.05565</v>
      </c>
      <c r="AK10838">
        <v>45.94435</v>
      </c>
    </row>
    <row r="10839" spans="1:37" x14ac:dyDescent="0.3">
      <c r="A10839">
        <v>10838</v>
      </c>
      <c r="B10839">
        <v>58</v>
      </c>
      <c r="C10839">
        <v>-7.5501300000000002</v>
      </c>
      <c r="D10839">
        <v>7.4316500000000003</v>
      </c>
      <c r="E10839">
        <f>-7.55013-7.43165</f>
        <v>-14.981780000000001</v>
      </c>
      <c r="F10839" t="s">
        <v>16239</v>
      </c>
      <c r="G10839" t="s">
        <v>37</v>
      </c>
      <c r="H10839">
        <v>2000</v>
      </c>
      <c r="I10839">
        <v>24.56916</v>
      </c>
      <c r="J10839">
        <v>11.4</v>
      </c>
      <c r="K10839">
        <v>65</v>
      </c>
      <c r="L10839">
        <v>10.02084</v>
      </c>
      <c r="M10839">
        <v>32.969160000000002</v>
      </c>
      <c r="N10839">
        <v>15.46916</v>
      </c>
      <c r="O10839">
        <v>17.5</v>
      </c>
      <c r="P10839">
        <v>23.669160000000002</v>
      </c>
      <c r="Q10839">
        <v>23.769159999999999</v>
      </c>
      <c r="R10839">
        <v>25.969159999999999</v>
      </c>
      <c r="S10839">
        <v>23.669160000000002</v>
      </c>
      <c r="T10839">
        <v>1645.4670000000001</v>
      </c>
      <c r="U10839">
        <v>303.61669999999998</v>
      </c>
      <c r="V10839">
        <v>13</v>
      </c>
      <c r="W10839">
        <v>65</v>
      </c>
      <c r="X10839">
        <v>762.23339999999996</v>
      </c>
      <c r="Y10839">
        <v>79</v>
      </c>
      <c r="Z10839">
        <v>303.30840000000001</v>
      </c>
      <c r="AA10839">
        <v>762.23339999999996</v>
      </c>
      <c r="AB10839">
        <v>4.7020910000000002</v>
      </c>
      <c r="AC10839">
        <v>35.506630000000001</v>
      </c>
      <c r="AD10839">
        <v>7.0605159999999998</v>
      </c>
      <c r="AE10839">
        <v>0.82492460000000001</v>
      </c>
      <c r="AF10839">
        <v>341.81529999999998</v>
      </c>
      <c r="AG10839">
        <f>IFERROR(AH10839*0.1, "N/A")</f>
        <v>5.4306620000000008</v>
      </c>
      <c r="AH10839">
        <v>54.306620000000002</v>
      </c>
      <c r="AI10839">
        <v>87.701580000000007</v>
      </c>
      <c r="AJ10839">
        <v>30.304880000000001</v>
      </c>
      <c r="AK10839">
        <v>45.005229999999997</v>
      </c>
    </row>
    <row r="10840" spans="1:37" x14ac:dyDescent="0.3">
      <c r="A10840">
        <v>10839</v>
      </c>
      <c r="B10840">
        <v>37</v>
      </c>
      <c r="C10840">
        <v>-7.5496100000000004</v>
      </c>
      <c r="D10840">
        <v>7.43241</v>
      </c>
      <c r="E10840">
        <f>-7.54961-7.43241</f>
        <v>-14.98202</v>
      </c>
      <c r="F10840" t="s">
        <v>16240</v>
      </c>
      <c r="G10840" t="s">
        <v>37</v>
      </c>
      <c r="H10840">
        <v>2005</v>
      </c>
      <c r="I10840">
        <v>24.59826</v>
      </c>
      <c r="J10840">
        <v>11.4</v>
      </c>
      <c r="K10840">
        <v>65</v>
      </c>
      <c r="L10840">
        <v>9.9917359999999995</v>
      </c>
      <c r="M10840">
        <v>32.998260000000002</v>
      </c>
      <c r="N10840">
        <v>15.49826</v>
      </c>
      <c r="O10840">
        <v>17.5</v>
      </c>
      <c r="P10840">
        <v>23.698260000000001</v>
      </c>
      <c r="Q10840">
        <v>23.798259999999999</v>
      </c>
      <c r="R10840">
        <v>25.998259999999998</v>
      </c>
      <c r="S10840">
        <v>23.698260000000001</v>
      </c>
      <c r="T10840">
        <v>1643.1389999999999</v>
      </c>
      <c r="U10840">
        <v>303.03469999999999</v>
      </c>
      <c r="V10840">
        <v>13</v>
      </c>
      <c r="W10840">
        <v>65</v>
      </c>
      <c r="X10840">
        <v>761.06939999999997</v>
      </c>
      <c r="Y10840">
        <v>79</v>
      </c>
      <c r="Z10840">
        <v>303.01740000000001</v>
      </c>
      <c r="AA10840">
        <v>761.06939999999997</v>
      </c>
      <c r="AB10840">
        <v>1.0038210000000001</v>
      </c>
      <c r="AC10840">
        <v>32.872019999999999</v>
      </c>
      <c r="AD10840">
        <v>3.1937890000000002</v>
      </c>
      <c r="AE10840">
        <v>0.81245670000000003</v>
      </c>
      <c r="AF10840">
        <v>337.20659999999998</v>
      </c>
      <c r="AG10840">
        <f>IFERROR(AH10840*0.1, "N/A")</f>
        <v>5.4017359999999996</v>
      </c>
      <c r="AH10840">
        <v>54.017359999999996</v>
      </c>
      <c r="AI10840">
        <v>146.79949999999999</v>
      </c>
      <c r="AJ10840">
        <v>30.324649999999998</v>
      </c>
      <c r="AK10840">
        <v>44.692709999999998</v>
      </c>
    </row>
    <row r="10841" spans="1:37" x14ac:dyDescent="0.3">
      <c r="A10841">
        <v>10840</v>
      </c>
      <c r="B10841">
        <v>0</v>
      </c>
      <c r="C10841">
        <v>-8.1633300000000002</v>
      </c>
      <c r="D10841">
        <v>7.4455600000000004</v>
      </c>
      <c r="E10841">
        <f>-8.16333-7.44556</f>
        <v>-15.608890000000001</v>
      </c>
      <c r="F10841" t="s">
        <v>16241</v>
      </c>
      <c r="G10841" t="s">
        <v>39</v>
      </c>
      <c r="H10841">
        <v>1980</v>
      </c>
      <c r="I10841">
        <v>25</v>
      </c>
      <c r="J10841">
        <v>13</v>
      </c>
      <c r="K10841">
        <v>70</v>
      </c>
      <c r="L10841">
        <v>8.41</v>
      </c>
      <c r="M10841">
        <v>34.1</v>
      </c>
      <c r="N10841">
        <v>15.7</v>
      </c>
      <c r="O10841">
        <v>18.399999999999999</v>
      </c>
      <c r="P10841">
        <v>24</v>
      </c>
      <c r="Q10841">
        <v>24.9</v>
      </c>
      <c r="R10841">
        <v>26.1</v>
      </c>
      <c r="S10841">
        <v>24</v>
      </c>
      <c r="T10841">
        <v>1922</v>
      </c>
      <c r="U10841">
        <v>349</v>
      </c>
      <c r="V10841">
        <v>14</v>
      </c>
      <c r="W10841">
        <v>67</v>
      </c>
      <c r="X10841">
        <v>929</v>
      </c>
      <c r="Y10841">
        <v>93</v>
      </c>
      <c r="Z10841">
        <v>305</v>
      </c>
      <c r="AA10841">
        <v>929</v>
      </c>
      <c r="AB10841">
        <v>1.4241330000000001</v>
      </c>
      <c r="AC10841">
        <v>37.941009999999999</v>
      </c>
      <c r="AD10841">
        <v>3.470329</v>
      </c>
      <c r="AE10841">
        <v>0.2203251</v>
      </c>
      <c r="AF10841">
        <v>349.39409999999998</v>
      </c>
      <c r="AG10841">
        <f>IFERROR(AH10841*0.1, "N/A")</f>
        <v>5.3220489999999998</v>
      </c>
      <c r="AH10841">
        <v>53.220489999999998</v>
      </c>
      <c r="AI10841">
        <v>109.9854</v>
      </c>
      <c r="AJ10841">
        <v>25.44097</v>
      </c>
      <c r="AK10841">
        <v>57.779510000000002</v>
      </c>
    </row>
    <row r="10842" spans="1:37" x14ac:dyDescent="0.3">
      <c r="A10842">
        <v>10841</v>
      </c>
      <c r="B10842">
        <v>0</v>
      </c>
      <c r="C10842">
        <v>-8.1633300000000002</v>
      </c>
      <c r="D10842">
        <v>7.4455600000000004</v>
      </c>
      <c r="E10842">
        <f>-8.16333-7.44556</f>
        <v>-15.608890000000001</v>
      </c>
      <c r="F10842" t="s">
        <v>16242</v>
      </c>
      <c r="G10842" t="s">
        <v>37</v>
      </c>
      <c r="H10842">
        <v>1980</v>
      </c>
      <c r="I10842">
        <v>25</v>
      </c>
      <c r="J10842">
        <v>13</v>
      </c>
      <c r="K10842">
        <v>70</v>
      </c>
      <c r="L10842">
        <v>8.41</v>
      </c>
      <c r="M10842">
        <v>34.1</v>
      </c>
      <c r="N10842">
        <v>15.7</v>
      </c>
      <c r="O10842">
        <v>18.399999999999999</v>
      </c>
      <c r="P10842">
        <v>24</v>
      </c>
      <c r="Q10842">
        <v>24.9</v>
      </c>
      <c r="R10842">
        <v>26.1</v>
      </c>
      <c r="S10842">
        <v>24</v>
      </c>
      <c r="T10842">
        <v>1922</v>
      </c>
      <c r="U10842">
        <v>349</v>
      </c>
      <c r="V10842">
        <v>14</v>
      </c>
      <c r="W10842">
        <v>67</v>
      </c>
      <c r="X10842">
        <v>929</v>
      </c>
      <c r="Y10842">
        <v>93</v>
      </c>
      <c r="Z10842">
        <v>305</v>
      </c>
      <c r="AA10842">
        <v>929</v>
      </c>
      <c r="AB10842">
        <v>1.4241330000000001</v>
      </c>
      <c r="AC10842">
        <v>37.941009999999999</v>
      </c>
      <c r="AD10842">
        <v>3.470329</v>
      </c>
      <c r="AE10842">
        <v>0.2203251</v>
      </c>
      <c r="AF10842">
        <v>349.39409999999998</v>
      </c>
      <c r="AG10842">
        <f>IFERROR(AH10842*0.1, "N/A")</f>
        <v>5.3220489999999998</v>
      </c>
      <c r="AH10842">
        <v>53.220489999999998</v>
      </c>
      <c r="AI10842">
        <v>109.9854</v>
      </c>
      <c r="AJ10842">
        <v>25.44097</v>
      </c>
      <c r="AK10842">
        <v>57.779510000000002</v>
      </c>
    </row>
    <row r="10843" spans="1:37" x14ac:dyDescent="0.3">
      <c r="A10843">
        <v>10842</v>
      </c>
      <c r="B10843">
        <v>19</v>
      </c>
      <c r="C10843">
        <v>-7.4002699999999999</v>
      </c>
      <c r="D10843">
        <v>7.4484199999999996</v>
      </c>
      <c r="E10843">
        <f>-7.40027-7.44842</f>
        <v>-14.84869</v>
      </c>
      <c r="F10843" t="s">
        <v>16243</v>
      </c>
      <c r="G10843" t="s">
        <v>37</v>
      </c>
      <c r="H10843">
        <v>2005</v>
      </c>
      <c r="I10843">
        <v>25.244789999999998</v>
      </c>
      <c r="J10843">
        <v>11.24479</v>
      </c>
      <c r="K10843">
        <v>65</v>
      </c>
      <c r="L10843">
        <v>10.116250000000001</v>
      </c>
      <c r="M10843">
        <v>33.444789999999998</v>
      </c>
      <c r="N10843">
        <v>16.244789999999998</v>
      </c>
      <c r="O10843">
        <v>17.2</v>
      </c>
      <c r="P10843">
        <v>24.2</v>
      </c>
      <c r="Q10843">
        <v>24.444790000000001</v>
      </c>
      <c r="R10843">
        <v>26.6</v>
      </c>
      <c r="S10843">
        <v>24.2</v>
      </c>
      <c r="T10843">
        <v>1536.896</v>
      </c>
      <c r="U10843">
        <v>287.4479</v>
      </c>
      <c r="V10843">
        <v>12</v>
      </c>
      <c r="W10843">
        <v>65</v>
      </c>
      <c r="X10843">
        <v>702.4479</v>
      </c>
      <c r="Y10843">
        <v>73</v>
      </c>
      <c r="Z10843">
        <v>285</v>
      </c>
      <c r="AA10843">
        <v>702.4479</v>
      </c>
      <c r="AB10843">
        <v>8.0637260000000008</v>
      </c>
      <c r="AC10843">
        <v>2.101625E-2</v>
      </c>
      <c r="AD10843">
        <v>1.438296</v>
      </c>
      <c r="AE10843">
        <v>0.62608079999999999</v>
      </c>
      <c r="AF10843">
        <v>289.47570000000002</v>
      </c>
      <c r="AG10843">
        <f>IFERROR(AH10843*0.1, "N/A")</f>
        <v>5.473611</v>
      </c>
      <c r="AH10843">
        <v>54.736109999999996</v>
      </c>
      <c r="AI10843">
        <v>157.07579999999999</v>
      </c>
      <c r="AJ10843">
        <v>25.10069</v>
      </c>
      <c r="AK10843">
        <v>54.545140000000004</v>
      </c>
    </row>
    <row r="10844" spans="1:37" x14ac:dyDescent="0.3">
      <c r="A10844">
        <v>10843</v>
      </c>
      <c r="B10844">
        <v>87</v>
      </c>
      <c r="C10844">
        <v>-7.3994299999999997</v>
      </c>
      <c r="D10844">
        <v>7.4485799999999998</v>
      </c>
      <c r="E10844">
        <f>-7.39943-7.44858</f>
        <v>-14.848009999999999</v>
      </c>
      <c r="F10844" t="s">
        <v>16244</v>
      </c>
      <c r="G10844" t="s">
        <v>37</v>
      </c>
      <c r="H10844">
        <v>2000</v>
      </c>
      <c r="I10844">
        <v>25.2</v>
      </c>
      <c r="J10844">
        <v>11.2</v>
      </c>
      <c r="K10844">
        <v>65</v>
      </c>
      <c r="L10844">
        <v>10.17</v>
      </c>
      <c r="M10844">
        <v>33.4</v>
      </c>
      <c r="N10844">
        <v>16.2</v>
      </c>
      <c r="O10844">
        <v>17.2</v>
      </c>
      <c r="P10844">
        <v>24.2</v>
      </c>
      <c r="Q10844">
        <v>24.4</v>
      </c>
      <c r="R10844">
        <v>26.6</v>
      </c>
      <c r="S10844">
        <v>24.2</v>
      </c>
      <c r="T10844">
        <v>1536</v>
      </c>
      <c r="U10844">
        <v>287</v>
      </c>
      <c r="V10844">
        <v>12</v>
      </c>
      <c r="W10844">
        <v>65</v>
      </c>
      <c r="X10844">
        <v>702</v>
      </c>
      <c r="Y10844">
        <v>73</v>
      </c>
      <c r="Z10844">
        <v>285</v>
      </c>
      <c r="AA10844">
        <v>702</v>
      </c>
      <c r="AB10844">
        <v>6.9727490000000003</v>
      </c>
      <c r="AC10844">
        <v>1.620371E-2</v>
      </c>
      <c r="AD10844">
        <v>2.1857989999999998</v>
      </c>
      <c r="AE10844">
        <v>0.62608079999999999</v>
      </c>
      <c r="AF10844">
        <v>289.59719999999999</v>
      </c>
      <c r="AG10844">
        <f>IFERROR(AH10844*0.1, "N/A")</f>
        <v>5.4385420000000009</v>
      </c>
      <c r="AH10844">
        <v>54.385420000000003</v>
      </c>
      <c r="AI10844">
        <v>166.8013</v>
      </c>
      <c r="AJ10844">
        <v>25.22917</v>
      </c>
      <c r="AK10844">
        <v>54.692709999999998</v>
      </c>
    </row>
    <row r="10845" spans="1:37" x14ac:dyDescent="0.3">
      <c r="A10845">
        <v>10844</v>
      </c>
      <c r="B10845">
        <v>42.1</v>
      </c>
      <c r="C10845">
        <v>-7.4</v>
      </c>
      <c r="D10845">
        <v>7.45</v>
      </c>
      <c r="E10845">
        <f>-7.4-7.45</f>
        <v>-14.850000000000001</v>
      </c>
      <c r="F10845" t="s">
        <v>16245</v>
      </c>
      <c r="G10845" t="s">
        <v>37</v>
      </c>
      <c r="H10845">
        <v>2000</v>
      </c>
      <c r="I10845">
        <v>25.260169999999999</v>
      </c>
      <c r="J10845">
        <v>11.26017</v>
      </c>
      <c r="K10845">
        <v>64.824349999999995</v>
      </c>
      <c r="L10845">
        <v>9.9535300000000007</v>
      </c>
      <c r="M10845">
        <v>33.477739999999997</v>
      </c>
      <c r="N10845">
        <v>16.260169999999999</v>
      </c>
      <c r="O10845">
        <v>17.217569999999998</v>
      </c>
      <c r="P10845">
        <v>24.256170000000001</v>
      </c>
      <c r="Q10845">
        <v>24.516349999999999</v>
      </c>
      <c r="R10845">
        <v>26.617570000000001</v>
      </c>
      <c r="S10845">
        <v>24.256170000000001</v>
      </c>
      <c r="T10845">
        <v>1533.798</v>
      </c>
      <c r="U10845">
        <v>287.21570000000003</v>
      </c>
      <c r="V10845">
        <v>12</v>
      </c>
      <c r="W10845">
        <v>65</v>
      </c>
      <c r="X10845">
        <v>701.44349999999997</v>
      </c>
      <c r="Y10845">
        <v>73</v>
      </c>
      <c r="Z10845">
        <v>284.43830000000003</v>
      </c>
      <c r="AA10845">
        <v>701.44349999999997</v>
      </c>
      <c r="AB10845">
        <v>7.2770450000000002</v>
      </c>
      <c r="AC10845">
        <v>1.088021E-2</v>
      </c>
      <c r="AD10845">
        <v>3.1382840000000001</v>
      </c>
      <c r="AE10845">
        <v>0.62852260000000004</v>
      </c>
      <c r="AF10845">
        <v>292.9896</v>
      </c>
      <c r="AG10845">
        <f>IFERROR(AH10845*0.1, "N/A")</f>
        <v>5.3431300000000004</v>
      </c>
      <c r="AH10845">
        <v>53.4313</v>
      </c>
      <c r="AI10845">
        <v>149.08420000000001</v>
      </c>
      <c r="AJ10845">
        <v>27.78435</v>
      </c>
      <c r="AK10845">
        <v>54.4313</v>
      </c>
    </row>
    <row r="10846" spans="1:37" x14ac:dyDescent="0.3">
      <c r="A10846">
        <v>10845</v>
      </c>
      <c r="B10846">
        <v>87.5</v>
      </c>
      <c r="C10846">
        <v>-7.8009500000000003</v>
      </c>
      <c r="D10846">
        <v>7.45275</v>
      </c>
      <c r="E10846">
        <f>-7.80095-7.45275</f>
        <v>-15.2537</v>
      </c>
      <c r="F10846" t="s">
        <v>16246</v>
      </c>
      <c r="G10846" t="s">
        <v>37</v>
      </c>
      <c r="H10846">
        <v>2005</v>
      </c>
      <c r="I10846">
        <v>24.9</v>
      </c>
      <c r="J10846">
        <v>12</v>
      </c>
      <c r="K10846">
        <v>67</v>
      </c>
      <c r="L10846">
        <v>9.48</v>
      </c>
      <c r="M10846">
        <v>33.6</v>
      </c>
      <c r="N10846">
        <v>15.7</v>
      </c>
      <c r="O10846">
        <v>17.899999999999999</v>
      </c>
      <c r="P10846">
        <v>23.9</v>
      </c>
      <c r="Q10846">
        <v>24.7</v>
      </c>
      <c r="R10846">
        <v>26.2</v>
      </c>
      <c r="S10846">
        <v>23.9</v>
      </c>
      <c r="T10846">
        <v>1750</v>
      </c>
      <c r="U10846">
        <v>322</v>
      </c>
      <c r="V10846">
        <v>14</v>
      </c>
      <c r="W10846">
        <v>66</v>
      </c>
      <c r="X10846">
        <v>827</v>
      </c>
      <c r="Y10846">
        <v>88</v>
      </c>
      <c r="Z10846">
        <v>302</v>
      </c>
      <c r="AA10846">
        <v>827</v>
      </c>
      <c r="AB10846">
        <v>4.6218680000000001</v>
      </c>
      <c r="AC10846">
        <v>0.21166189999999999</v>
      </c>
      <c r="AD10846">
        <v>2.7570790000000001</v>
      </c>
      <c r="AE10846">
        <v>0.59397279999999997</v>
      </c>
      <c r="AF10846">
        <v>355.23610000000002</v>
      </c>
      <c r="AG10846">
        <f>IFERROR(AH10846*0.1, "N/A")</f>
        <v>5.4</v>
      </c>
      <c r="AH10846">
        <v>54</v>
      </c>
      <c r="AI10846">
        <v>102.1951</v>
      </c>
      <c r="AJ10846">
        <v>24.10417</v>
      </c>
      <c r="AK10846">
        <v>51.895829999999997</v>
      </c>
    </row>
    <row r="10847" spans="1:37" x14ac:dyDescent="0.3">
      <c r="A10847">
        <v>10846</v>
      </c>
      <c r="B10847">
        <v>9.1999999999999993</v>
      </c>
      <c r="C10847">
        <v>-7.5016100000000003</v>
      </c>
      <c r="D10847">
        <v>7.4544199999999998</v>
      </c>
      <c r="E10847">
        <f>-7.50161-7.45442</f>
        <v>-14.95603</v>
      </c>
      <c r="F10847" t="s">
        <v>16247</v>
      </c>
      <c r="G10847" t="s">
        <v>37</v>
      </c>
      <c r="H10847">
        <v>2005</v>
      </c>
      <c r="I10847">
        <v>24.4</v>
      </c>
      <c r="J10847">
        <v>11.3</v>
      </c>
      <c r="K10847">
        <v>64</v>
      </c>
      <c r="L10847">
        <v>9.83</v>
      </c>
      <c r="M10847">
        <v>32.700000000000003</v>
      </c>
      <c r="N10847">
        <v>15.3</v>
      </c>
      <c r="O10847">
        <v>17.399999999999999</v>
      </c>
      <c r="P10847">
        <v>23.4</v>
      </c>
      <c r="Q10847">
        <v>23.6</v>
      </c>
      <c r="R10847">
        <v>25.7</v>
      </c>
      <c r="S10847">
        <v>23.4</v>
      </c>
      <c r="T10847">
        <v>1627</v>
      </c>
      <c r="U10847">
        <v>301</v>
      </c>
      <c r="V10847">
        <v>14</v>
      </c>
      <c r="W10847">
        <v>65</v>
      </c>
      <c r="X10847">
        <v>751</v>
      </c>
      <c r="Y10847">
        <v>80</v>
      </c>
      <c r="Z10847">
        <v>301</v>
      </c>
      <c r="AA10847">
        <v>751</v>
      </c>
      <c r="AB10847">
        <v>93.292169999999999</v>
      </c>
      <c r="AC10847">
        <v>1.31865E-2</v>
      </c>
      <c r="AD10847">
        <v>4.2090079999999999</v>
      </c>
      <c r="AE10847">
        <v>0.67671919999999997</v>
      </c>
      <c r="AF10847">
        <v>446.9375</v>
      </c>
      <c r="AG10847">
        <f>IFERROR(AH10847*0.1, "N/A")</f>
        <v>5.3607640000000005</v>
      </c>
      <c r="AH10847">
        <v>53.607640000000004</v>
      </c>
      <c r="AI10847">
        <v>227.6096</v>
      </c>
      <c r="AJ10847">
        <v>30</v>
      </c>
      <c r="AK10847">
        <v>45.40972</v>
      </c>
    </row>
    <row r="10848" spans="1:37" x14ac:dyDescent="0.3">
      <c r="A10848">
        <v>10847</v>
      </c>
      <c r="B10848">
        <v>4.4000000000000004</v>
      </c>
      <c r="C10848">
        <v>-7.5021199999999997</v>
      </c>
      <c r="D10848">
        <v>7.4550200000000002</v>
      </c>
      <c r="E10848">
        <f>-7.50212-7.45502</f>
        <v>-14.957139999999999</v>
      </c>
      <c r="F10848" t="s">
        <v>16248</v>
      </c>
      <c r="G10848" t="s">
        <v>37</v>
      </c>
      <c r="H10848">
        <v>2000</v>
      </c>
      <c r="I10848">
        <v>24.4</v>
      </c>
      <c r="J10848">
        <v>11.3</v>
      </c>
      <c r="K10848">
        <v>64</v>
      </c>
      <c r="L10848">
        <v>9.83</v>
      </c>
      <c r="M10848">
        <v>32.700000000000003</v>
      </c>
      <c r="N10848">
        <v>15.3</v>
      </c>
      <c r="O10848">
        <v>17.399999999999999</v>
      </c>
      <c r="P10848">
        <v>23.4</v>
      </c>
      <c r="Q10848">
        <v>23.6</v>
      </c>
      <c r="R10848">
        <v>25.7</v>
      </c>
      <c r="S10848">
        <v>23.4</v>
      </c>
      <c r="T10848">
        <v>1627</v>
      </c>
      <c r="U10848">
        <v>301</v>
      </c>
      <c r="V10848">
        <v>14</v>
      </c>
      <c r="W10848">
        <v>65</v>
      </c>
      <c r="X10848">
        <v>751</v>
      </c>
      <c r="Y10848">
        <v>80</v>
      </c>
      <c r="Z10848">
        <v>301</v>
      </c>
      <c r="AA10848">
        <v>751</v>
      </c>
      <c r="AB10848">
        <v>96.755390000000006</v>
      </c>
      <c r="AC10848">
        <v>1.1770360000000001E-2</v>
      </c>
      <c r="AD10848">
        <v>4.4167490000000003</v>
      </c>
      <c r="AE10848">
        <v>0.67671919999999997</v>
      </c>
      <c r="AF10848">
        <v>449.21249999999998</v>
      </c>
      <c r="AG10848">
        <f>IFERROR(AH10848*0.1, "N/A")</f>
        <v>5.3050519999999999</v>
      </c>
      <c r="AH10848">
        <v>53.050519999999999</v>
      </c>
      <c r="AI10848">
        <v>205.036</v>
      </c>
      <c r="AJ10848">
        <v>30.325780000000002</v>
      </c>
      <c r="AK10848">
        <v>44.519159999999999</v>
      </c>
    </row>
    <row r="10849" spans="1:37" x14ac:dyDescent="0.3">
      <c r="A10849">
        <v>10848</v>
      </c>
      <c r="B10849">
        <v>72.7</v>
      </c>
      <c r="C10849">
        <v>-7.6937800000000003</v>
      </c>
      <c r="D10849">
        <v>7.4565799999999998</v>
      </c>
      <c r="E10849">
        <f>-7.69378-7.45658</f>
        <v>-15.150359999999999</v>
      </c>
      <c r="F10849" t="s">
        <v>16249</v>
      </c>
      <c r="G10849" t="s">
        <v>37</v>
      </c>
      <c r="H10849">
        <v>2005</v>
      </c>
      <c r="I10849">
        <v>24.9</v>
      </c>
      <c r="J10849">
        <v>11.7</v>
      </c>
      <c r="K10849">
        <v>65</v>
      </c>
      <c r="L10849">
        <v>9.81</v>
      </c>
      <c r="M10849">
        <v>33.5</v>
      </c>
      <c r="N10849">
        <v>15.7</v>
      </c>
      <c r="O10849">
        <v>17.8</v>
      </c>
      <c r="P10849">
        <v>24</v>
      </c>
      <c r="Q10849">
        <v>24.2</v>
      </c>
      <c r="R10849">
        <v>26.3</v>
      </c>
      <c r="S10849">
        <v>24</v>
      </c>
      <c r="T10849">
        <v>1693</v>
      </c>
      <c r="U10849">
        <v>313</v>
      </c>
      <c r="V10849">
        <v>13</v>
      </c>
      <c r="W10849">
        <v>66</v>
      </c>
      <c r="X10849">
        <v>795</v>
      </c>
      <c r="Y10849">
        <v>83</v>
      </c>
      <c r="Z10849">
        <v>299</v>
      </c>
      <c r="AA10849">
        <v>795</v>
      </c>
      <c r="AB10849">
        <v>0.50035289999999999</v>
      </c>
      <c r="AC10849">
        <v>67.766710000000003</v>
      </c>
      <c r="AD10849">
        <v>1.5050950000000001</v>
      </c>
      <c r="AE10849">
        <v>0.49157479999999998</v>
      </c>
      <c r="AF10849">
        <v>348.41039999999998</v>
      </c>
      <c r="AG10849">
        <f>IFERROR(AH10849*0.1, "N/A")</f>
        <v>5.2241740000000005</v>
      </c>
      <c r="AH10849">
        <v>52.24174</v>
      </c>
      <c r="AI10849">
        <v>169.47130000000001</v>
      </c>
      <c r="AJ10849">
        <v>25.72522</v>
      </c>
      <c r="AK10849">
        <v>54.75826</v>
      </c>
    </row>
    <row r="10850" spans="1:37" x14ac:dyDescent="0.3">
      <c r="A10850">
        <v>10849</v>
      </c>
      <c r="B10850">
        <v>94</v>
      </c>
      <c r="C10850">
        <v>-7.5856500000000002</v>
      </c>
      <c r="D10850">
        <v>7.4598000000000004</v>
      </c>
      <c r="E10850">
        <f>-7.58565-7.4598</f>
        <v>-15.045450000000001</v>
      </c>
      <c r="F10850" t="s">
        <v>16250</v>
      </c>
      <c r="G10850" t="s">
        <v>37</v>
      </c>
      <c r="H10850">
        <v>2000</v>
      </c>
      <c r="I10850">
        <v>24.8</v>
      </c>
      <c r="J10850">
        <v>11.5</v>
      </c>
      <c r="K10850">
        <v>65</v>
      </c>
      <c r="L10850">
        <v>9.93</v>
      </c>
      <c r="M10850">
        <v>33.200000000000003</v>
      </c>
      <c r="N10850">
        <v>15.6</v>
      </c>
      <c r="O10850">
        <v>17.600000000000001</v>
      </c>
      <c r="P10850">
        <v>23.8</v>
      </c>
      <c r="Q10850">
        <v>24</v>
      </c>
      <c r="R10850">
        <v>26.2</v>
      </c>
      <c r="S10850">
        <v>23.8</v>
      </c>
      <c r="T10850">
        <v>1647</v>
      </c>
      <c r="U10850">
        <v>305</v>
      </c>
      <c r="V10850">
        <v>13</v>
      </c>
      <c r="W10850">
        <v>66</v>
      </c>
      <c r="X10850">
        <v>768</v>
      </c>
      <c r="Y10850">
        <v>79</v>
      </c>
      <c r="Z10850">
        <v>299</v>
      </c>
      <c r="AA10850">
        <v>768</v>
      </c>
      <c r="AB10850">
        <v>1.782783</v>
      </c>
      <c r="AC10850">
        <v>0.95695189999999997</v>
      </c>
      <c r="AD10850">
        <v>2.2957589999999999</v>
      </c>
      <c r="AE10850">
        <v>0.55663470000000004</v>
      </c>
      <c r="AF10850">
        <v>378.07130000000001</v>
      </c>
      <c r="AG10850">
        <f>IFERROR(AH10850*0.1, "N/A")</f>
        <v>5.0612170000000001</v>
      </c>
      <c r="AH10850">
        <v>50.612169999999999</v>
      </c>
      <c r="AI10850">
        <v>170.71979999999999</v>
      </c>
      <c r="AJ10850">
        <v>27.366959999999999</v>
      </c>
      <c r="AK10850">
        <v>46.909570000000002</v>
      </c>
    </row>
    <row r="10851" spans="1:37" x14ac:dyDescent="0.3">
      <c r="A10851">
        <v>10850</v>
      </c>
      <c r="B10851">
        <v>0</v>
      </c>
      <c r="C10851">
        <v>-7.3775899999999996</v>
      </c>
      <c r="D10851">
        <v>7.4602000000000004</v>
      </c>
      <c r="E10851">
        <f>-7.37759-7.4602</f>
        <v>-14.83779</v>
      </c>
      <c r="F10851" t="s">
        <v>16251</v>
      </c>
      <c r="G10851" t="s">
        <v>37</v>
      </c>
      <c r="H10851">
        <v>2009</v>
      </c>
      <c r="I10851">
        <v>25.3</v>
      </c>
      <c r="J10851">
        <v>11.2</v>
      </c>
      <c r="K10851">
        <v>65</v>
      </c>
      <c r="L10851">
        <v>10.3</v>
      </c>
      <c r="M10851">
        <v>33.5</v>
      </c>
      <c r="N10851">
        <v>16.3</v>
      </c>
      <c r="O10851">
        <v>17.2</v>
      </c>
      <c r="P10851">
        <v>24.3</v>
      </c>
      <c r="Q10851">
        <v>24.5</v>
      </c>
      <c r="R10851">
        <v>26.7</v>
      </c>
      <c r="S10851">
        <v>24.3</v>
      </c>
      <c r="T10851">
        <v>1520</v>
      </c>
      <c r="U10851">
        <v>285</v>
      </c>
      <c r="V10851">
        <v>12</v>
      </c>
      <c r="W10851">
        <v>65</v>
      </c>
      <c r="X10851">
        <v>694</v>
      </c>
      <c r="Y10851">
        <v>72</v>
      </c>
      <c r="Z10851">
        <v>282</v>
      </c>
      <c r="AA10851">
        <v>694</v>
      </c>
      <c r="AB10851">
        <v>11.379479999999999</v>
      </c>
      <c r="AC10851">
        <v>2.5504579999999999E-2</v>
      </c>
      <c r="AD10851">
        <v>2.6286040000000002</v>
      </c>
      <c r="AE10851">
        <v>0.6448256</v>
      </c>
      <c r="AF10851">
        <v>286.75830000000002</v>
      </c>
      <c r="AG10851">
        <f>IFERROR(AH10851*0.1, "N/A")</f>
        <v>5.3958260000000005</v>
      </c>
      <c r="AH10851">
        <v>53.958260000000003</v>
      </c>
      <c r="AI10851">
        <v>60.744599999999998</v>
      </c>
      <c r="AJ10851">
        <v>27.066089999999999</v>
      </c>
      <c r="AK10851">
        <v>51.987830000000002</v>
      </c>
    </row>
    <row r="10852" spans="1:37" x14ac:dyDescent="0.3">
      <c r="A10852">
        <v>10851</v>
      </c>
      <c r="B10852">
        <v>64.2</v>
      </c>
      <c r="C10852">
        <v>-7.5854499999999998</v>
      </c>
      <c r="D10852">
        <v>7.46075</v>
      </c>
      <c r="E10852">
        <f>-7.58545-7.46075</f>
        <v>-15.046199999999999</v>
      </c>
      <c r="F10852" t="s">
        <v>16252</v>
      </c>
      <c r="G10852" t="s">
        <v>37</v>
      </c>
      <c r="H10852">
        <v>2005</v>
      </c>
      <c r="I10852">
        <v>24.8</v>
      </c>
      <c r="J10852">
        <v>11.5</v>
      </c>
      <c r="K10852">
        <v>65</v>
      </c>
      <c r="L10852">
        <v>9.93</v>
      </c>
      <c r="M10852">
        <v>33.200000000000003</v>
      </c>
      <c r="N10852">
        <v>15.6</v>
      </c>
      <c r="O10852">
        <v>17.600000000000001</v>
      </c>
      <c r="P10852">
        <v>23.8</v>
      </c>
      <c r="Q10852">
        <v>24</v>
      </c>
      <c r="R10852">
        <v>26.2</v>
      </c>
      <c r="S10852">
        <v>23.8</v>
      </c>
      <c r="T10852">
        <v>1647</v>
      </c>
      <c r="U10852">
        <v>305</v>
      </c>
      <c r="V10852">
        <v>13</v>
      </c>
      <c r="W10852">
        <v>66</v>
      </c>
      <c r="X10852">
        <v>768</v>
      </c>
      <c r="Y10852">
        <v>79</v>
      </c>
      <c r="Z10852">
        <v>299</v>
      </c>
      <c r="AA10852">
        <v>768</v>
      </c>
      <c r="AB10852">
        <v>7.0709099999999996</v>
      </c>
      <c r="AC10852">
        <v>0.43456919999999999</v>
      </c>
      <c r="AD10852">
        <v>3.2125870000000001</v>
      </c>
      <c r="AE10852">
        <v>0.55760370000000004</v>
      </c>
      <c r="AF10852">
        <v>379.4495</v>
      </c>
      <c r="AG10852">
        <f>IFERROR(AH10852*0.1, "N/A")</f>
        <v>5.100174</v>
      </c>
      <c r="AH10852">
        <v>51.001739999999998</v>
      </c>
      <c r="AI10852">
        <v>140.75470000000001</v>
      </c>
      <c r="AJ10852">
        <v>27.468640000000001</v>
      </c>
      <c r="AK10852">
        <v>47.036589999999997</v>
      </c>
    </row>
    <row r="10853" spans="1:37" x14ac:dyDescent="0.3">
      <c r="A10853">
        <v>10852</v>
      </c>
      <c r="B10853">
        <v>11.1</v>
      </c>
      <c r="C10853">
        <v>-7.6307700000000001</v>
      </c>
      <c r="D10853">
        <v>7.4610799999999999</v>
      </c>
      <c r="E10853">
        <f>-7.63077-7.46108</f>
        <v>-15.091850000000001</v>
      </c>
      <c r="F10853" t="s">
        <v>16253</v>
      </c>
      <c r="G10853" t="s">
        <v>37</v>
      </c>
      <c r="H10853">
        <v>2005</v>
      </c>
      <c r="I10853">
        <v>22.5</v>
      </c>
      <c r="J10853">
        <v>11.5</v>
      </c>
      <c r="K10853">
        <v>68</v>
      </c>
      <c r="L10853">
        <v>9.4600000000000009</v>
      </c>
      <c r="M10853">
        <v>31</v>
      </c>
      <c r="N10853">
        <v>14.2</v>
      </c>
      <c r="O10853">
        <v>16.8</v>
      </c>
      <c r="P10853">
        <v>21.4</v>
      </c>
      <c r="Q10853">
        <v>22.1</v>
      </c>
      <c r="R10853">
        <v>23.9</v>
      </c>
      <c r="S10853">
        <v>21.4</v>
      </c>
      <c r="T10853">
        <v>1755</v>
      </c>
      <c r="U10853">
        <v>320</v>
      </c>
      <c r="V10853">
        <v>19</v>
      </c>
      <c r="W10853">
        <v>62</v>
      </c>
      <c r="X10853">
        <v>796</v>
      </c>
      <c r="Y10853">
        <v>100</v>
      </c>
      <c r="Z10853">
        <v>325</v>
      </c>
      <c r="AA10853">
        <v>796</v>
      </c>
      <c r="AB10853">
        <v>33.168729999999996</v>
      </c>
      <c r="AC10853">
        <v>2.8290880000000001E-2</v>
      </c>
      <c r="AD10853">
        <v>10.38509</v>
      </c>
      <c r="AE10853">
        <v>0.39045479999999999</v>
      </c>
      <c r="AF10853">
        <v>769.89570000000003</v>
      </c>
      <c r="AG10853">
        <f>IFERROR(AH10853*0.1, "N/A")</f>
        <v>5.2048699999999997</v>
      </c>
      <c r="AH10853">
        <v>52.048699999999997</v>
      </c>
      <c r="AI10853">
        <v>126.63930000000001</v>
      </c>
      <c r="AJ10853">
        <v>34.740870000000001</v>
      </c>
      <c r="AK10853">
        <v>42.521740000000001</v>
      </c>
    </row>
    <row r="10854" spans="1:37" x14ac:dyDescent="0.3">
      <c r="A10854">
        <v>10853</v>
      </c>
      <c r="B10854">
        <v>13.6</v>
      </c>
      <c r="C10854">
        <v>-7.35</v>
      </c>
      <c r="D10854">
        <v>7.4666699999999997</v>
      </c>
      <c r="E10854">
        <f>-7.35-7.46667</f>
        <v>-14.816669999999998</v>
      </c>
      <c r="F10854" t="s">
        <v>16254</v>
      </c>
      <c r="G10854" t="s">
        <v>37</v>
      </c>
      <c r="H10854">
        <v>2004</v>
      </c>
      <c r="I10854">
        <v>25.115600000000001</v>
      </c>
      <c r="J10854">
        <v>11.2</v>
      </c>
      <c r="K10854">
        <v>65</v>
      </c>
      <c r="L10854">
        <v>10.29017</v>
      </c>
      <c r="M10854">
        <v>33.393070000000002</v>
      </c>
      <c r="N10854">
        <v>16.233799999999999</v>
      </c>
      <c r="O10854">
        <v>17.159269999999999</v>
      </c>
      <c r="P10854">
        <v>24.093070000000001</v>
      </c>
      <c r="Q10854">
        <v>24.393070000000002</v>
      </c>
      <c r="R10854">
        <v>26.54541</v>
      </c>
      <c r="S10854">
        <v>24.093070000000001</v>
      </c>
      <c r="T10854">
        <v>1511.7950000000001</v>
      </c>
      <c r="U10854">
        <v>283.77120000000002</v>
      </c>
      <c r="V10854">
        <v>12</v>
      </c>
      <c r="W10854">
        <v>65</v>
      </c>
      <c r="X10854">
        <v>687.45230000000004</v>
      </c>
      <c r="Y10854">
        <v>72.476600000000005</v>
      </c>
      <c r="Z10854">
        <v>282.43329999999997</v>
      </c>
      <c r="AA10854">
        <v>687.45230000000004</v>
      </c>
      <c r="AB10854">
        <v>26.305019999999999</v>
      </c>
      <c r="AC10854">
        <v>0.148925</v>
      </c>
      <c r="AD10854">
        <v>6.41892</v>
      </c>
      <c r="AE10854">
        <v>0.71727510000000005</v>
      </c>
      <c r="AF10854">
        <v>301.52859999999998</v>
      </c>
      <c r="AG10854">
        <f>IFERROR(AH10854*0.1, "N/A")</f>
        <v>5.5</v>
      </c>
      <c r="AH10854">
        <v>55</v>
      </c>
      <c r="AI10854">
        <v>80.612700000000004</v>
      </c>
      <c r="AJ10854">
        <v>24.006930000000001</v>
      </c>
      <c r="AK10854">
        <v>56.039859999999997</v>
      </c>
    </row>
    <row r="10855" spans="1:37" x14ac:dyDescent="0.3">
      <c r="A10855">
        <v>10854</v>
      </c>
      <c r="B10855">
        <v>20.8</v>
      </c>
      <c r="C10855">
        <v>-7.4977799999999997</v>
      </c>
      <c r="D10855">
        <v>7.4787800000000004</v>
      </c>
      <c r="E10855">
        <f>-7.49778-7.47878</f>
        <v>-14.976559999999999</v>
      </c>
      <c r="F10855" t="s">
        <v>16255</v>
      </c>
      <c r="G10855" t="s">
        <v>37</v>
      </c>
      <c r="H10855">
        <v>2000</v>
      </c>
      <c r="I10855">
        <v>24.7</v>
      </c>
      <c r="J10855">
        <v>11.3</v>
      </c>
      <c r="K10855">
        <v>64</v>
      </c>
      <c r="L10855">
        <v>9.9600000000000009</v>
      </c>
      <c r="M10855">
        <v>33.1</v>
      </c>
      <c r="N10855">
        <v>15.6</v>
      </c>
      <c r="O10855">
        <v>17.5</v>
      </c>
      <c r="P10855">
        <v>23.8</v>
      </c>
      <c r="Q10855">
        <v>23.9</v>
      </c>
      <c r="R10855">
        <v>26.1</v>
      </c>
      <c r="S10855">
        <v>23.8</v>
      </c>
      <c r="T10855">
        <v>1604</v>
      </c>
      <c r="U10855">
        <v>297</v>
      </c>
      <c r="V10855">
        <v>13</v>
      </c>
      <c r="W10855">
        <v>65</v>
      </c>
      <c r="X10855">
        <v>743</v>
      </c>
      <c r="Y10855">
        <v>76</v>
      </c>
      <c r="Z10855">
        <v>296</v>
      </c>
      <c r="AA10855">
        <v>743</v>
      </c>
      <c r="AB10855">
        <v>4.2084859999999997</v>
      </c>
      <c r="AC10855">
        <v>1.4972799999999999</v>
      </c>
      <c r="AD10855">
        <v>2.2687909999999998</v>
      </c>
      <c r="AE10855">
        <v>0.54764409999999997</v>
      </c>
      <c r="AF10855">
        <v>383.53730000000002</v>
      </c>
      <c r="AG10855">
        <f>IFERROR(AH10855*0.1, "N/A")</f>
        <v>5.0587520000000001</v>
      </c>
      <c r="AH10855">
        <v>50.587519999999998</v>
      </c>
      <c r="AI10855">
        <v>202.95689999999999</v>
      </c>
      <c r="AJ10855">
        <v>27.577120000000001</v>
      </c>
      <c r="AK10855">
        <v>45.207970000000003</v>
      </c>
    </row>
    <row r="10856" spans="1:37" x14ac:dyDescent="0.3">
      <c r="A10856">
        <v>10855</v>
      </c>
      <c r="B10856">
        <v>2.9</v>
      </c>
      <c r="C10856">
        <v>-7.4976099999999999</v>
      </c>
      <c r="D10856">
        <v>7.4794099999999997</v>
      </c>
      <c r="E10856">
        <f>-7.49761-7.47941</f>
        <v>-14.97702</v>
      </c>
      <c r="F10856" t="s">
        <v>16256</v>
      </c>
      <c r="G10856" t="s">
        <v>37</v>
      </c>
      <c r="H10856">
        <v>2005</v>
      </c>
      <c r="I10856">
        <v>24.7</v>
      </c>
      <c r="J10856">
        <v>11.3</v>
      </c>
      <c r="K10856">
        <v>64</v>
      </c>
      <c r="L10856">
        <v>9.9600000000000009</v>
      </c>
      <c r="M10856">
        <v>33.1</v>
      </c>
      <c r="N10856">
        <v>15.6</v>
      </c>
      <c r="O10856">
        <v>17.5</v>
      </c>
      <c r="P10856">
        <v>23.8</v>
      </c>
      <c r="Q10856">
        <v>23.9</v>
      </c>
      <c r="R10856">
        <v>26.1</v>
      </c>
      <c r="S10856">
        <v>23.8</v>
      </c>
      <c r="T10856">
        <v>1604</v>
      </c>
      <c r="U10856">
        <v>297</v>
      </c>
      <c r="V10856">
        <v>13</v>
      </c>
      <c r="W10856">
        <v>65</v>
      </c>
      <c r="X10856">
        <v>743</v>
      </c>
      <c r="Y10856">
        <v>76</v>
      </c>
      <c r="Z10856">
        <v>296</v>
      </c>
      <c r="AA10856">
        <v>743</v>
      </c>
      <c r="AB10856">
        <v>8.5624310000000001</v>
      </c>
      <c r="AC10856">
        <v>8.4765659999999996E-3</v>
      </c>
      <c r="AD10856">
        <v>2.0411410000000001</v>
      </c>
      <c r="AE10856">
        <v>0.54764409999999997</v>
      </c>
      <c r="AF10856">
        <v>384.29039999999998</v>
      </c>
      <c r="AG10856">
        <f>IFERROR(AH10856*0.1, "N/A")</f>
        <v>5.004696</v>
      </c>
      <c r="AH10856">
        <v>50.046959999999999</v>
      </c>
      <c r="AI10856">
        <v>147.1705</v>
      </c>
      <c r="AJ10856">
        <v>27.046959999999999</v>
      </c>
      <c r="AK10856">
        <v>45.953040000000001</v>
      </c>
    </row>
    <row r="10857" spans="1:37" x14ac:dyDescent="0.3">
      <c r="A10857">
        <v>10856</v>
      </c>
      <c r="B10857">
        <v>9.3000000000000007</v>
      </c>
      <c r="C10857">
        <v>-7.4734400000000001</v>
      </c>
      <c r="D10857">
        <v>7.4852499999999997</v>
      </c>
      <c r="E10857">
        <f>-7.47344-7.48525</f>
        <v>-14.958690000000001</v>
      </c>
      <c r="F10857" t="s">
        <v>16257</v>
      </c>
      <c r="G10857" t="s">
        <v>37</v>
      </c>
      <c r="H10857">
        <v>2005</v>
      </c>
      <c r="I10857">
        <v>24.6</v>
      </c>
      <c r="J10857">
        <v>11.3</v>
      </c>
      <c r="K10857">
        <v>64</v>
      </c>
      <c r="L10857">
        <v>10.16</v>
      </c>
      <c r="M10857">
        <v>32.9</v>
      </c>
      <c r="N10857">
        <v>15.5</v>
      </c>
      <c r="O10857">
        <v>17.399999999999999</v>
      </c>
      <c r="P10857">
        <v>23.6</v>
      </c>
      <c r="Q10857">
        <v>23.7</v>
      </c>
      <c r="R10857">
        <v>26</v>
      </c>
      <c r="S10857">
        <v>23.6</v>
      </c>
      <c r="T10857">
        <v>1594</v>
      </c>
      <c r="U10857">
        <v>296</v>
      </c>
      <c r="V10857">
        <v>13</v>
      </c>
      <c r="W10857">
        <v>65</v>
      </c>
      <c r="X10857">
        <v>736</v>
      </c>
      <c r="Y10857">
        <v>76</v>
      </c>
      <c r="Z10857">
        <v>295</v>
      </c>
      <c r="AA10857">
        <v>736</v>
      </c>
      <c r="AB10857">
        <v>12.64138</v>
      </c>
      <c r="AC10857">
        <v>4.3354860000000002E-2</v>
      </c>
      <c r="AD10857">
        <v>5.7950670000000004</v>
      </c>
      <c r="AE10857">
        <v>0.62380769999999997</v>
      </c>
      <c r="AF10857">
        <v>426.17219999999998</v>
      </c>
      <c r="AG10857">
        <f>IFERROR(AH10857*0.1, "N/A")</f>
        <v>5.2897390000000009</v>
      </c>
      <c r="AH10857">
        <v>52.897390000000001</v>
      </c>
      <c r="AI10857">
        <v>112.5932</v>
      </c>
      <c r="AJ10857">
        <v>29.897390000000001</v>
      </c>
      <c r="AK10857">
        <v>44</v>
      </c>
    </row>
    <row r="10858" spans="1:37" x14ac:dyDescent="0.3">
      <c r="A10858">
        <v>10857</v>
      </c>
      <c r="B10858">
        <v>2.1</v>
      </c>
      <c r="C10858">
        <v>-7.4617699999999996</v>
      </c>
      <c r="D10858">
        <v>7.4982499999999996</v>
      </c>
      <c r="E10858">
        <f>-7.46177-7.49825</f>
        <v>-14.96002</v>
      </c>
      <c r="F10858" t="s">
        <v>16258</v>
      </c>
      <c r="G10858" t="s">
        <v>37</v>
      </c>
      <c r="H10858">
        <v>2005</v>
      </c>
      <c r="I10858">
        <v>24.7</v>
      </c>
      <c r="J10858">
        <v>11.3</v>
      </c>
      <c r="K10858">
        <v>64</v>
      </c>
      <c r="L10858">
        <v>9.8000000000000007</v>
      </c>
      <c r="M10858">
        <v>33.1</v>
      </c>
      <c r="N10858">
        <v>15.7</v>
      </c>
      <c r="O10858">
        <v>17.399999999999999</v>
      </c>
      <c r="P10858">
        <v>23.8</v>
      </c>
      <c r="Q10858">
        <v>23.9</v>
      </c>
      <c r="R10858">
        <v>26.1</v>
      </c>
      <c r="S10858">
        <v>23.8</v>
      </c>
      <c r="T10858">
        <v>1582</v>
      </c>
      <c r="U10858">
        <v>294</v>
      </c>
      <c r="V10858">
        <v>13</v>
      </c>
      <c r="W10858">
        <v>65</v>
      </c>
      <c r="X10858">
        <v>731</v>
      </c>
      <c r="Y10858">
        <v>76</v>
      </c>
      <c r="Z10858">
        <v>292</v>
      </c>
      <c r="AA10858">
        <v>731</v>
      </c>
      <c r="AB10858">
        <v>2.8547820000000002</v>
      </c>
      <c r="AC10858">
        <v>0.26684760000000002</v>
      </c>
      <c r="AD10858">
        <v>6.4927869999999999</v>
      </c>
      <c r="AE10858">
        <v>0.55826909999999996</v>
      </c>
      <c r="AF10858">
        <v>387.63479999999998</v>
      </c>
      <c r="AG10858">
        <f>IFERROR(AH10858*0.1, "N/A")</f>
        <v>5.1086960000000001</v>
      </c>
      <c r="AH10858">
        <v>51.086959999999998</v>
      </c>
      <c r="AI10858">
        <v>109.3223</v>
      </c>
      <c r="AJ10858">
        <v>29.086960000000001</v>
      </c>
      <c r="AK10858">
        <v>48.565219999999997</v>
      </c>
    </row>
    <row r="10859" spans="1:37" x14ac:dyDescent="0.3">
      <c r="A10859">
        <v>10858</v>
      </c>
      <c r="B10859">
        <v>61.1</v>
      </c>
      <c r="C10859">
        <v>-7.6152800000000003</v>
      </c>
      <c r="D10859">
        <v>7.5000799999999996</v>
      </c>
      <c r="E10859">
        <f>-7.61528-7.50008</f>
        <v>-15.115359999999999</v>
      </c>
      <c r="F10859" t="s">
        <v>16259</v>
      </c>
      <c r="G10859" t="s">
        <v>37</v>
      </c>
      <c r="H10859">
        <v>2005</v>
      </c>
      <c r="I10859">
        <v>24.068750000000001</v>
      </c>
      <c r="J10859">
        <v>11.6</v>
      </c>
      <c r="K10859">
        <v>65.552080000000004</v>
      </c>
      <c r="L10859">
        <v>10.10688</v>
      </c>
      <c r="M10859">
        <v>32.668750000000003</v>
      </c>
      <c r="N10859">
        <v>15.13438</v>
      </c>
      <c r="O10859">
        <v>17.534379999999999</v>
      </c>
      <c r="P10859">
        <v>23.058330000000002</v>
      </c>
      <c r="Q10859">
        <v>23.379169999999998</v>
      </c>
      <c r="R10859">
        <v>25.513539999999999</v>
      </c>
      <c r="S10859">
        <v>23.058330000000002</v>
      </c>
      <c r="T10859">
        <v>1677.6980000000001</v>
      </c>
      <c r="U10859">
        <v>309.20830000000001</v>
      </c>
      <c r="V10859">
        <v>14.55208</v>
      </c>
      <c r="W10859">
        <v>65.447919999999996</v>
      </c>
      <c r="X10859">
        <v>780.3125</v>
      </c>
      <c r="Y10859">
        <v>84.208330000000004</v>
      </c>
      <c r="Z10859">
        <v>304.3125</v>
      </c>
      <c r="AA10859">
        <v>780.3125</v>
      </c>
      <c r="AB10859">
        <v>6.6506889999999999</v>
      </c>
      <c r="AC10859">
        <v>14.179690000000001</v>
      </c>
      <c r="AD10859">
        <v>4.4111079999999996</v>
      </c>
      <c r="AE10859">
        <v>0.52807930000000003</v>
      </c>
      <c r="AF10859">
        <v>451.25</v>
      </c>
      <c r="AG10859">
        <f>IFERROR(AH10859*0.1, "N/A")</f>
        <v>5.1286459999999998</v>
      </c>
      <c r="AH10859">
        <v>51.286459999999998</v>
      </c>
      <c r="AI10859">
        <v>120.77979999999999</v>
      </c>
      <c r="AJ10859">
        <v>26.859380000000002</v>
      </c>
      <c r="AK10859">
        <v>48</v>
      </c>
    </row>
    <row r="10860" spans="1:37" x14ac:dyDescent="0.3">
      <c r="A10860">
        <v>10859</v>
      </c>
      <c r="B10860">
        <v>3.8</v>
      </c>
      <c r="C10860">
        <v>-7.5066100000000002</v>
      </c>
      <c r="D10860">
        <v>7.5005899999999999</v>
      </c>
      <c r="E10860">
        <f>-7.50661-7.50059</f>
        <v>-15.007200000000001</v>
      </c>
      <c r="F10860" t="s">
        <v>16260</v>
      </c>
      <c r="G10860" t="s">
        <v>37</v>
      </c>
      <c r="H10860">
        <v>2005</v>
      </c>
      <c r="I10860">
        <v>24.7</v>
      </c>
      <c r="J10860">
        <v>11.4</v>
      </c>
      <c r="K10860">
        <v>65</v>
      </c>
      <c r="L10860">
        <v>9.5606419999999996</v>
      </c>
      <c r="M10860">
        <v>33</v>
      </c>
      <c r="N10860">
        <v>15.6</v>
      </c>
      <c r="O10860">
        <v>17.399999999999999</v>
      </c>
      <c r="P10860">
        <v>23.7</v>
      </c>
      <c r="Q10860">
        <v>23.9</v>
      </c>
      <c r="R10860">
        <v>26</v>
      </c>
      <c r="S10860">
        <v>23.7</v>
      </c>
      <c r="T10860">
        <v>1603</v>
      </c>
      <c r="U10860">
        <v>297</v>
      </c>
      <c r="V10860">
        <v>13</v>
      </c>
      <c r="W10860">
        <v>65</v>
      </c>
      <c r="X10860">
        <v>743</v>
      </c>
      <c r="Y10860">
        <v>76</v>
      </c>
      <c r="Z10860">
        <v>295</v>
      </c>
      <c r="AA10860">
        <v>743</v>
      </c>
      <c r="AB10860">
        <v>3.4213640000000001</v>
      </c>
      <c r="AC10860">
        <v>7.7770919999999997</v>
      </c>
      <c r="AD10860">
        <v>3.1361249999999998</v>
      </c>
      <c r="AE10860">
        <v>0.5531469</v>
      </c>
      <c r="AF10860">
        <v>403.0521</v>
      </c>
      <c r="AG10860">
        <f>IFERROR(AH10860*0.1, "N/A")</f>
        <v>5.3055560000000002</v>
      </c>
      <c r="AH10860">
        <v>53.05556</v>
      </c>
      <c r="AI10860">
        <v>66.848389999999995</v>
      </c>
      <c r="AJ10860">
        <v>29.241320000000002</v>
      </c>
      <c r="AK10860">
        <v>44.50694</v>
      </c>
    </row>
    <row r="10861" spans="1:37" x14ac:dyDescent="0.3">
      <c r="A10861">
        <v>10860</v>
      </c>
      <c r="B10861">
        <v>4</v>
      </c>
      <c r="C10861">
        <v>-7.5071000000000003</v>
      </c>
      <c r="D10861">
        <v>7.5006300000000001</v>
      </c>
      <c r="E10861">
        <f>-7.5071-7.50063</f>
        <v>-15.00773</v>
      </c>
      <c r="F10861" t="s">
        <v>16261</v>
      </c>
      <c r="G10861" t="s">
        <v>37</v>
      </c>
      <c r="H10861">
        <v>2000</v>
      </c>
      <c r="I10861">
        <v>24.7</v>
      </c>
      <c r="J10861">
        <v>11.4</v>
      </c>
      <c r="K10861">
        <v>65</v>
      </c>
      <c r="L10861">
        <v>9.5556350000000005</v>
      </c>
      <c r="M10861">
        <v>33</v>
      </c>
      <c r="N10861">
        <v>15.6</v>
      </c>
      <c r="O10861">
        <v>17.399999999999999</v>
      </c>
      <c r="P10861">
        <v>23.7</v>
      </c>
      <c r="Q10861">
        <v>23.9</v>
      </c>
      <c r="R10861">
        <v>26</v>
      </c>
      <c r="S10861">
        <v>23.7</v>
      </c>
      <c r="T10861">
        <v>1603</v>
      </c>
      <c r="U10861">
        <v>297</v>
      </c>
      <c r="V10861">
        <v>13</v>
      </c>
      <c r="W10861">
        <v>65</v>
      </c>
      <c r="X10861">
        <v>743</v>
      </c>
      <c r="Y10861">
        <v>76</v>
      </c>
      <c r="Z10861">
        <v>295</v>
      </c>
      <c r="AA10861">
        <v>743</v>
      </c>
      <c r="AB10861">
        <v>4.4680109999999997</v>
      </c>
      <c r="AC10861">
        <v>0.50593639999999995</v>
      </c>
      <c r="AD10861">
        <v>2.5062090000000001</v>
      </c>
      <c r="AE10861">
        <v>0.5531469</v>
      </c>
      <c r="AF10861">
        <v>404.8383</v>
      </c>
      <c r="AG10861">
        <f>IFERROR(AH10861*0.1, "N/A")</f>
        <v>5.345739</v>
      </c>
      <c r="AH10861">
        <v>53.457389999999997</v>
      </c>
      <c r="AI10861">
        <v>72.917950000000005</v>
      </c>
      <c r="AJ10861">
        <v>29.26783</v>
      </c>
      <c r="AK10861">
        <v>44.53913</v>
      </c>
    </row>
    <row r="10862" spans="1:37" x14ac:dyDescent="0.3">
      <c r="A10862">
        <v>10861</v>
      </c>
      <c r="B10862">
        <v>56</v>
      </c>
      <c r="C10862">
        <v>-7.6695500000000001</v>
      </c>
      <c r="D10862">
        <v>7.5081800000000003</v>
      </c>
      <c r="E10862">
        <f>-7.66955-7.50818</f>
        <v>-15.17773</v>
      </c>
      <c r="F10862" t="s">
        <v>16262</v>
      </c>
      <c r="G10862" t="s">
        <v>37</v>
      </c>
      <c r="H10862">
        <v>2000</v>
      </c>
      <c r="I10862">
        <v>23.58681</v>
      </c>
      <c r="J10862">
        <v>11.7</v>
      </c>
      <c r="K10862">
        <v>66.565969999999993</v>
      </c>
      <c r="L10862">
        <v>9.6456599999999995</v>
      </c>
      <c r="M10862">
        <v>32.186799999999998</v>
      </c>
      <c r="N10862">
        <v>14.8</v>
      </c>
      <c r="O10862">
        <v>17.386810000000001</v>
      </c>
      <c r="P10862">
        <v>22.58681</v>
      </c>
      <c r="Q10862">
        <v>22.986809999999998</v>
      </c>
      <c r="R10862">
        <v>24.986809999999998</v>
      </c>
      <c r="S10862">
        <v>22.58681</v>
      </c>
      <c r="T10862">
        <v>1723.1320000000001</v>
      </c>
      <c r="U10862">
        <v>316.56599999999997</v>
      </c>
      <c r="V10862">
        <v>16</v>
      </c>
      <c r="W10862">
        <v>65</v>
      </c>
      <c r="X10862">
        <v>800.56600000000003</v>
      </c>
      <c r="Y10862">
        <v>90</v>
      </c>
      <c r="Z10862">
        <v>311</v>
      </c>
      <c r="AA10862">
        <v>800.56600000000003</v>
      </c>
      <c r="AB10862">
        <v>16.811810000000001</v>
      </c>
      <c r="AC10862">
        <v>1.3817680000000001E-2</v>
      </c>
      <c r="AD10862">
        <v>2.4339089999999999</v>
      </c>
      <c r="AE10862">
        <v>0.61992559999999997</v>
      </c>
      <c r="AF10862">
        <v>582.93920000000003</v>
      </c>
      <c r="AG10862">
        <f>IFERROR(AH10862*0.1, "N/A")</f>
        <v>5.1000000000000005</v>
      </c>
      <c r="AH10862">
        <v>51</v>
      </c>
      <c r="AI10862">
        <v>133.39429999999999</v>
      </c>
      <c r="AJ10862">
        <v>27.03819</v>
      </c>
      <c r="AK10862">
        <v>55.923609999999996</v>
      </c>
    </row>
    <row r="10863" spans="1:37" x14ac:dyDescent="0.3">
      <c r="A10863">
        <v>10862</v>
      </c>
      <c r="B10863">
        <v>46.3</v>
      </c>
      <c r="C10863">
        <v>-7.6694500000000003</v>
      </c>
      <c r="D10863">
        <v>7.5082500000000003</v>
      </c>
      <c r="E10863">
        <f>-7.66945-7.50825</f>
        <v>-15.177700000000002</v>
      </c>
      <c r="F10863" t="s">
        <v>16263</v>
      </c>
      <c r="G10863" t="s">
        <v>37</v>
      </c>
      <c r="H10863">
        <v>2005</v>
      </c>
      <c r="I10863">
        <v>23.574909999999999</v>
      </c>
      <c r="J10863">
        <v>11.7</v>
      </c>
      <c r="K10863">
        <v>66.625439999999998</v>
      </c>
      <c r="L10863">
        <v>9.6462540000000008</v>
      </c>
      <c r="M10863">
        <v>32.174909999999997</v>
      </c>
      <c r="N10863">
        <v>14.8</v>
      </c>
      <c r="O10863">
        <v>17.37491</v>
      </c>
      <c r="P10863">
        <v>22.574909999999999</v>
      </c>
      <c r="Q10863">
        <v>22.974910000000001</v>
      </c>
      <c r="R10863">
        <v>24.974910000000001</v>
      </c>
      <c r="S10863">
        <v>22.574909999999999</v>
      </c>
      <c r="T10863">
        <v>1723.251</v>
      </c>
      <c r="U10863">
        <v>316.62540000000001</v>
      </c>
      <c r="V10863">
        <v>16</v>
      </c>
      <c r="W10863">
        <v>65</v>
      </c>
      <c r="X10863">
        <v>800.62540000000001</v>
      </c>
      <c r="Y10863">
        <v>90</v>
      </c>
      <c r="Z10863">
        <v>311</v>
      </c>
      <c r="AA10863">
        <v>800.62540000000001</v>
      </c>
      <c r="AB10863">
        <v>17.017949999999999</v>
      </c>
      <c r="AC10863">
        <v>1.436788E-2</v>
      </c>
      <c r="AD10863">
        <v>2.6272660000000001</v>
      </c>
      <c r="AE10863">
        <v>0.61992559999999997</v>
      </c>
      <c r="AF10863">
        <v>582.3519</v>
      </c>
      <c r="AG10863">
        <f>IFERROR(AH10863*0.1, "N/A")</f>
        <v>5.1000000000000005</v>
      </c>
      <c r="AH10863">
        <v>51</v>
      </c>
      <c r="AI10863">
        <v>115.9618</v>
      </c>
      <c r="AJ10863">
        <v>27.087109999999999</v>
      </c>
      <c r="AK10863">
        <v>55.825780000000002</v>
      </c>
    </row>
    <row r="10864" spans="1:37" x14ac:dyDescent="0.3">
      <c r="A10864">
        <v>10863</v>
      </c>
      <c r="B10864">
        <v>33.6</v>
      </c>
      <c r="C10864">
        <v>-7.6252800000000001</v>
      </c>
      <c r="D10864">
        <v>7.5255799999999997</v>
      </c>
      <c r="E10864">
        <f>-7.62528-7.52558</f>
        <v>-15.15086</v>
      </c>
      <c r="F10864" t="s">
        <v>16264</v>
      </c>
      <c r="G10864" t="s">
        <v>37</v>
      </c>
      <c r="H10864">
        <v>2005</v>
      </c>
      <c r="I10864">
        <v>24.228739999999998</v>
      </c>
      <c r="J10864">
        <v>11.6</v>
      </c>
      <c r="K10864">
        <v>65.189899999999994</v>
      </c>
      <c r="L10864">
        <v>9.9754349999999992</v>
      </c>
      <c r="M10864">
        <v>32.746169999999999</v>
      </c>
      <c r="N10864">
        <v>15.16516</v>
      </c>
      <c r="O10864">
        <v>17.581009999999999</v>
      </c>
      <c r="P10864">
        <v>23.228739999999998</v>
      </c>
      <c r="Q10864">
        <v>23.48049</v>
      </c>
      <c r="R10864">
        <v>25.613420000000001</v>
      </c>
      <c r="S10864">
        <v>23.228739999999998</v>
      </c>
      <c r="T10864">
        <v>1670.904</v>
      </c>
      <c r="U10864">
        <v>308.50170000000003</v>
      </c>
      <c r="V10864">
        <v>14.17422</v>
      </c>
      <c r="W10864">
        <v>65</v>
      </c>
      <c r="X10864">
        <v>780.65509999999995</v>
      </c>
      <c r="Y10864">
        <v>83.522649999999999</v>
      </c>
      <c r="Z10864">
        <v>300.88150000000002</v>
      </c>
      <c r="AA10864">
        <v>780.65509999999995</v>
      </c>
      <c r="AB10864">
        <v>36.927700000000002</v>
      </c>
      <c r="AC10864">
        <v>1.447068E-2</v>
      </c>
      <c r="AD10864">
        <v>9.7343100000000007</v>
      </c>
      <c r="AE10864">
        <v>0.5611488</v>
      </c>
      <c r="AF10864">
        <v>491.09410000000003</v>
      </c>
      <c r="AG10864">
        <f>IFERROR(AH10864*0.1, "N/A")</f>
        <v>5.172822</v>
      </c>
      <c r="AH10864">
        <v>51.72822</v>
      </c>
      <c r="AI10864">
        <v>223.1737</v>
      </c>
      <c r="AJ10864">
        <v>30.017420000000001</v>
      </c>
      <c r="AK10864">
        <v>47.172469999999997</v>
      </c>
    </row>
    <row r="10865" spans="1:37" x14ac:dyDescent="0.3">
      <c r="A10865">
        <v>10864</v>
      </c>
      <c r="B10865">
        <v>32.5</v>
      </c>
      <c r="C10865">
        <v>-7.6529400000000001</v>
      </c>
      <c r="D10865">
        <v>7.5410899999999996</v>
      </c>
      <c r="E10865">
        <f>-7.65294-7.54109</f>
        <v>-15.19403</v>
      </c>
      <c r="F10865" t="s">
        <v>16265</v>
      </c>
      <c r="G10865" t="s">
        <v>37</v>
      </c>
      <c r="H10865">
        <v>2005</v>
      </c>
      <c r="I10865">
        <v>24.070709999999998</v>
      </c>
      <c r="J10865">
        <v>11.629289999999999</v>
      </c>
      <c r="K10865">
        <v>66</v>
      </c>
      <c r="L10865">
        <v>9.5732239999999997</v>
      </c>
      <c r="M10865">
        <v>32.6</v>
      </c>
      <c r="N10865">
        <v>15.1</v>
      </c>
      <c r="O10865">
        <v>17.5</v>
      </c>
      <c r="P10865">
        <v>23.070709999999998</v>
      </c>
      <c r="Q10865">
        <v>23.4</v>
      </c>
      <c r="R10865">
        <v>25.4</v>
      </c>
      <c r="S10865">
        <v>23.070709999999998</v>
      </c>
      <c r="T10865">
        <v>1687</v>
      </c>
      <c r="U10865">
        <v>311</v>
      </c>
      <c r="V10865">
        <v>14</v>
      </c>
      <c r="W10865">
        <v>65</v>
      </c>
      <c r="X10865">
        <v>788</v>
      </c>
      <c r="Y10865">
        <v>85</v>
      </c>
      <c r="Z10865">
        <v>303</v>
      </c>
      <c r="AA10865">
        <v>788</v>
      </c>
      <c r="AB10865">
        <v>17.68439</v>
      </c>
      <c r="AC10865">
        <v>3.353445E-2</v>
      </c>
      <c r="AD10865">
        <v>2.8300179999999999</v>
      </c>
      <c r="AE10865">
        <v>0.504166</v>
      </c>
      <c r="AF10865">
        <v>521.60140000000001</v>
      </c>
      <c r="AG10865">
        <f>IFERROR(AH10865*0.1, "N/A")</f>
        <v>5.5</v>
      </c>
      <c r="AH10865">
        <v>55</v>
      </c>
      <c r="AI10865">
        <v>28.81681</v>
      </c>
      <c r="AJ10865">
        <v>27.083189999999998</v>
      </c>
      <c r="AK10865">
        <v>52.041589999999999</v>
      </c>
    </row>
    <row r="10866" spans="1:37" x14ac:dyDescent="0.3">
      <c r="A10866">
        <v>10865</v>
      </c>
      <c r="B10866">
        <v>40.4</v>
      </c>
      <c r="C10866">
        <v>-7.6528700000000001</v>
      </c>
      <c r="D10866">
        <v>7.5411000000000001</v>
      </c>
      <c r="E10866">
        <f>-7.65287-7.5411</f>
        <v>-15.19397</v>
      </c>
      <c r="F10866" t="s">
        <v>16266</v>
      </c>
      <c r="G10866" t="s">
        <v>37</v>
      </c>
      <c r="H10866">
        <v>2000</v>
      </c>
      <c r="I10866">
        <v>24.069970000000001</v>
      </c>
      <c r="J10866">
        <v>11.63003</v>
      </c>
      <c r="K10866">
        <v>66</v>
      </c>
      <c r="L10866">
        <v>9.5750869999999999</v>
      </c>
      <c r="M10866">
        <v>32.6</v>
      </c>
      <c r="N10866">
        <v>15.1</v>
      </c>
      <c r="O10866">
        <v>17.5</v>
      </c>
      <c r="P10866">
        <v>23.069970000000001</v>
      </c>
      <c r="Q10866">
        <v>23.4</v>
      </c>
      <c r="R10866">
        <v>25.4</v>
      </c>
      <c r="S10866">
        <v>23.069970000000001</v>
      </c>
      <c r="T10866">
        <v>1687</v>
      </c>
      <c r="U10866">
        <v>311</v>
      </c>
      <c r="V10866">
        <v>14</v>
      </c>
      <c r="W10866">
        <v>65</v>
      </c>
      <c r="X10866">
        <v>788</v>
      </c>
      <c r="Y10866">
        <v>85</v>
      </c>
      <c r="Z10866">
        <v>303</v>
      </c>
      <c r="AA10866">
        <v>788</v>
      </c>
      <c r="AB10866">
        <v>17.59252</v>
      </c>
      <c r="AC10866">
        <v>3.3710379999999998E-2</v>
      </c>
      <c r="AD10866">
        <v>2.7810489999999999</v>
      </c>
      <c r="AE10866">
        <v>0.50433329999999998</v>
      </c>
      <c r="AF10866">
        <v>521.32989999999995</v>
      </c>
      <c r="AG10866">
        <f>IFERROR(AH10866*0.1, "N/A")</f>
        <v>5.5</v>
      </c>
      <c r="AH10866">
        <v>55</v>
      </c>
      <c r="AI10866">
        <v>26.851769999999998</v>
      </c>
      <c r="AJ10866">
        <v>27.07639</v>
      </c>
      <c r="AK10866">
        <v>52.03819</v>
      </c>
    </row>
    <row r="10867" spans="1:37" x14ac:dyDescent="0.3">
      <c r="A10867">
        <v>10866</v>
      </c>
      <c r="B10867">
        <v>7.7</v>
      </c>
      <c r="C10867">
        <v>-7.5306699999999998</v>
      </c>
      <c r="D10867">
        <v>7.5554800000000002</v>
      </c>
      <c r="E10867">
        <f>-7.53067-7.55548</f>
        <v>-15.08615</v>
      </c>
      <c r="F10867" t="s">
        <v>16267</v>
      </c>
      <c r="G10867" t="s">
        <v>37</v>
      </c>
      <c r="H10867">
        <v>2000</v>
      </c>
      <c r="I10867">
        <v>23.3</v>
      </c>
      <c r="J10867">
        <v>11.4</v>
      </c>
      <c r="K10867">
        <v>66</v>
      </c>
      <c r="L10867">
        <v>9.86</v>
      </c>
      <c r="M10867">
        <v>31.8</v>
      </c>
      <c r="N10867">
        <v>14.7</v>
      </c>
      <c r="O10867">
        <v>17.100000000000001</v>
      </c>
      <c r="P10867">
        <v>22.3</v>
      </c>
      <c r="Q10867">
        <v>22.7</v>
      </c>
      <c r="R10867">
        <v>24.7</v>
      </c>
      <c r="S10867">
        <v>22.3</v>
      </c>
      <c r="T10867">
        <v>1652</v>
      </c>
      <c r="U10867">
        <v>305</v>
      </c>
      <c r="V10867">
        <v>16</v>
      </c>
      <c r="W10867">
        <v>64</v>
      </c>
      <c r="X10867">
        <v>758</v>
      </c>
      <c r="Y10867">
        <v>87</v>
      </c>
      <c r="Z10867">
        <v>305</v>
      </c>
      <c r="AA10867">
        <v>758</v>
      </c>
      <c r="AB10867">
        <v>0.54783020000000004</v>
      </c>
      <c r="AC10867">
        <v>7.7608920000000001</v>
      </c>
      <c r="AD10867">
        <v>4.5378850000000002</v>
      </c>
      <c r="AE10867">
        <v>0.47864479999999998</v>
      </c>
      <c r="AF10867">
        <v>619.99480000000005</v>
      </c>
      <c r="AG10867">
        <f>IFERROR(AH10867*0.1, "N/A")</f>
        <v>5.3003470000000004</v>
      </c>
      <c r="AH10867">
        <v>53.00347</v>
      </c>
      <c r="AI10867">
        <v>176.52269999999999</v>
      </c>
      <c r="AJ10867">
        <v>31.376080000000002</v>
      </c>
      <c r="AK10867">
        <v>52.627380000000002</v>
      </c>
    </row>
    <row r="10868" spans="1:37" x14ac:dyDescent="0.3">
      <c r="A10868">
        <v>10867</v>
      </c>
      <c r="B10868">
        <v>0</v>
      </c>
      <c r="C10868">
        <v>-7.5304399999999996</v>
      </c>
      <c r="D10868">
        <v>7.5560799999999997</v>
      </c>
      <c r="E10868">
        <f>-7.53044-7.55608</f>
        <v>-15.08652</v>
      </c>
      <c r="F10868" t="s">
        <v>16268</v>
      </c>
      <c r="G10868" t="s">
        <v>37</v>
      </c>
      <c r="H10868">
        <v>2005</v>
      </c>
      <c r="I10868">
        <v>23.3</v>
      </c>
      <c r="J10868">
        <v>11.4</v>
      </c>
      <c r="K10868">
        <v>66</v>
      </c>
      <c r="L10868">
        <v>9.86</v>
      </c>
      <c r="M10868">
        <v>31.8</v>
      </c>
      <c r="N10868">
        <v>14.7</v>
      </c>
      <c r="O10868">
        <v>17.100000000000001</v>
      </c>
      <c r="P10868">
        <v>22.3</v>
      </c>
      <c r="Q10868">
        <v>22.7</v>
      </c>
      <c r="R10868">
        <v>24.7</v>
      </c>
      <c r="S10868">
        <v>22.3</v>
      </c>
      <c r="T10868">
        <v>1652</v>
      </c>
      <c r="U10868">
        <v>305</v>
      </c>
      <c r="V10868">
        <v>16</v>
      </c>
      <c r="W10868">
        <v>64</v>
      </c>
      <c r="X10868">
        <v>758</v>
      </c>
      <c r="Y10868">
        <v>87</v>
      </c>
      <c r="Z10868">
        <v>305</v>
      </c>
      <c r="AA10868">
        <v>758</v>
      </c>
      <c r="AB10868">
        <v>0.29268149999999998</v>
      </c>
      <c r="AC10868">
        <v>11.97081</v>
      </c>
      <c r="AD10868">
        <v>5.0105529999999998</v>
      </c>
      <c r="AE10868">
        <v>0.47904609999999997</v>
      </c>
      <c r="AF10868">
        <v>620.601</v>
      </c>
      <c r="AG10868">
        <f>IFERROR(AH10868*0.1, "N/A")</f>
        <v>5.3000000000000007</v>
      </c>
      <c r="AH10868">
        <v>53</v>
      </c>
      <c r="AI10868">
        <v>249.22810000000001</v>
      </c>
      <c r="AJ10868">
        <v>30.397210000000001</v>
      </c>
      <c r="AK10868">
        <v>53.602789999999999</v>
      </c>
    </row>
    <row r="10869" spans="1:37" x14ac:dyDescent="0.3">
      <c r="A10869">
        <v>10868</v>
      </c>
      <c r="B10869">
        <v>17.5</v>
      </c>
      <c r="C10869">
        <v>-4.9588000000000001</v>
      </c>
      <c r="D10869">
        <v>7.56189</v>
      </c>
      <c r="E10869">
        <f>-4.9588-7.56189</f>
        <v>-12.52069</v>
      </c>
      <c r="F10869" t="s">
        <v>16269</v>
      </c>
      <c r="G10869" t="s">
        <v>39</v>
      </c>
      <c r="H10869">
        <v>1989</v>
      </c>
      <c r="I10869">
        <v>26.9</v>
      </c>
      <c r="J10869">
        <v>11.3</v>
      </c>
      <c r="K10869">
        <v>76</v>
      </c>
      <c r="L10869">
        <v>10.51418</v>
      </c>
      <c r="M10869">
        <v>35.1</v>
      </c>
      <c r="N10869">
        <v>20.3</v>
      </c>
      <c r="O10869">
        <v>14.8</v>
      </c>
      <c r="P10869">
        <v>27.558229999999998</v>
      </c>
      <c r="Q10869">
        <v>26.9</v>
      </c>
      <c r="R10869">
        <v>28.15823</v>
      </c>
      <c r="S10869">
        <v>25.4</v>
      </c>
      <c r="T10869">
        <v>1089.4179999999999</v>
      </c>
      <c r="U10869">
        <v>184</v>
      </c>
      <c r="V10869">
        <v>10</v>
      </c>
      <c r="W10869">
        <v>61</v>
      </c>
      <c r="X10869">
        <v>420</v>
      </c>
      <c r="Y10869">
        <v>47</v>
      </c>
      <c r="Z10869">
        <v>254.4177</v>
      </c>
      <c r="AA10869">
        <v>384</v>
      </c>
      <c r="AB10869">
        <v>12.73847</v>
      </c>
      <c r="AC10869">
        <v>1.07957E-2</v>
      </c>
      <c r="AD10869">
        <v>3.8902800000000002</v>
      </c>
      <c r="AE10869">
        <v>0.60822569999999998</v>
      </c>
      <c r="AF10869">
        <v>232.37440000000001</v>
      </c>
      <c r="AG10869">
        <f>IFERROR(AH10869*0.1, "N/A")</f>
        <v>6.2230500000000006</v>
      </c>
      <c r="AH10869">
        <v>62.230499999999999</v>
      </c>
      <c r="AI10869">
        <v>259.9042</v>
      </c>
      <c r="AJ10869">
        <v>16.701910000000002</v>
      </c>
      <c r="AK10869">
        <v>63.37782</v>
      </c>
    </row>
    <row r="10870" spans="1:37" x14ac:dyDescent="0.3">
      <c r="A10870">
        <v>10869</v>
      </c>
      <c r="B10870">
        <v>7.5</v>
      </c>
      <c r="C10870">
        <v>-7.4392699999999996</v>
      </c>
      <c r="D10870">
        <v>7.5825899999999997</v>
      </c>
      <c r="E10870">
        <f>-7.43927-7.58259</f>
        <v>-15.02186</v>
      </c>
      <c r="F10870" t="s">
        <v>16270</v>
      </c>
      <c r="G10870" t="s">
        <v>37</v>
      </c>
      <c r="H10870">
        <v>2005</v>
      </c>
      <c r="I10870">
        <v>24.6</v>
      </c>
      <c r="J10870">
        <v>11.4</v>
      </c>
      <c r="K10870">
        <v>65</v>
      </c>
      <c r="L10870">
        <v>9.86</v>
      </c>
      <c r="M10870">
        <v>33</v>
      </c>
      <c r="N10870">
        <v>15.7</v>
      </c>
      <c r="O10870">
        <v>17.3</v>
      </c>
      <c r="P10870">
        <v>23.6</v>
      </c>
      <c r="Q10870">
        <v>23.9</v>
      </c>
      <c r="R10870">
        <v>26</v>
      </c>
      <c r="S10870">
        <v>23.6</v>
      </c>
      <c r="T10870">
        <v>1550</v>
      </c>
      <c r="U10870">
        <v>289</v>
      </c>
      <c r="V10870">
        <v>13</v>
      </c>
      <c r="W10870">
        <v>65</v>
      </c>
      <c r="X10870">
        <v>716</v>
      </c>
      <c r="Y10870">
        <v>75</v>
      </c>
      <c r="Z10870">
        <v>284</v>
      </c>
      <c r="AA10870">
        <v>716</v>
      </c>
      <c r="AB10870">
        <v>4.3286300000000004</v>
      </c>
      <c r="AC10870">
        <v>1.324619</v>
      </c>
      <c r="AD10870">
        <v>2.0477300000000001</v>
      </c>
      <c r="AE10870">
        <v>0.51629570000000002</v>
      </c>
      <c r="AF10870">
        <v>413.47640000000001</v>
      </c>
      <c r="AG10870">
        <f>IFERROR(AH10870*0.1, "N/A")</f>
        <v>5.2940660000000008</v>
      </c>
      <c r="AH10870">
        <v>52.940660000000001</v>
      </c>
      <c r="AI10870">
        <v>212.36179999999999</v>
      </c>
      <c r="AJ10870">
        <v>27.427569999999999</v>
      </c>
      <c r="AK10870">
        <v>47.019199999999998</v>
      </c>
    </row>
    <row r="10871" spans="1:37" x14ac:dyDescent="0.3">
      <c r="A10871">
        <v>10870</v>
      </c>
      <c r="B10871">
        <v>23.3</v>
      </c>
      <c r="C10871">
        <v>-7.4399499999999996</v>
      </c>
      <c r="D10871">
        <v>7.58277</v>
      </c>
      <c r="E10871">
        <f>-7.43995-7.58277</f>
        <v>-15.02272</v>
      </c>
      <c r="F10871" t="s">
        <v>16271</v>
      </c>
      <c r="G10871" t="s">
        <v>37</v>
      </c>
      <c r="H10871">
        <v>2000</v>
      </c>
      <c r="I10871">
        <v>24.6</v>
      </c>
      <c r="J10871">
        <v>11.4</v>
      </c>
      <c r="K10871">
        <v>65</v>
      </c>
      <c r="L10871">
        <v>9.8591320000000007</v>
      </c>
      <c r="M10871">
        <v>32.999130000000001</v>
      </c>
      <c r="N10871">
        <v>15.69913</v>
      </c>
      <c r="O10871">
        <v>17.3</v>
      </c>
      <c r="P10871">
        <v>23.6</v>
      </c>
      <c r="Q10871">
        <v>23.9</v>
      </c>
      <c r="R10871">
        <v>25.999130000000001</v>
      </c>
      <c r="S10871">
        <v>23.6</v>
      </c>
      <c r="T10871">
        <v>1550.009</v>
      </c>
      <c r="U10871">
        <v>289.00869999999998</v>
      </c>
      <c r="V10871">
        <v>13</v>
      </c>
      <c r="W10871">
        <v>65</v>
      </c>
      <c r="X10871">
        <v>716.00869999999998</v>
      </c>
      <c r="Y10871">
        <v>75</v>
      </c>
      <c r="Z10871">
        <v>284</v>
      </c>
      <c r="AA10871">
        <v>716.00869999999998</v>
      </c>
      <c r="AB10871">
        <v>5.8045140000000002</v>
      </c>
      <c r="AC10871">
        <v>0.76984430000000004</v>
      </c>
      <c r="AD10871">
        <v>2.05131</v>
      </c>
      <c r="AE10871">
        <v>0.51629570000000002</v>
      </c>
      <c r="AF10871">
        <v>413.65969999999999</v>
      </c>
      <c r="AG10871">
        <f>IFERROR(AH10871*0.1, "N/A")</f>
        <v>5.2309030000000005</v>
      </c>
      <c r="AH10871">
        <v>52.30903</v>
      </c>
      <c r="AI10871">
        <v>190.47460000000001</v>
      </c>
      <c r="AJ10871">
        <v>26.234380000000002</v>
      </c>
      <c r="AK10871">
        <v>48.251739999999998</v>
      </c>
    </row>
    <row r="10872" spans="1:37" x14ac:dyDescent="0.3">
      <c r="A10872">
        <v>10871</v>
      </c>
      <c r="B10872">
        <v>5</v>
      </c>
      <c r="C10872">
        <v>-5.1844400000000004</v>
      </c>
      <c r="D10872">
        <v>7.5844399999999998</v>
      </c>
      <c r="E10872">
        <f>-5.18444-7.58444</f>
        <v>-12.768879999999999</v>
      </c>
      <c r="F10872" t="s">
        <v>16272</v>
      </c>
      <c r="G10872" t="s">
        <v>39</v>
      </c>
      <c r="H10872">
        <v>1976</v>
      </c>
      <c r="I10872">
        <v>26.6</v>
      </c>
      <c r="J10872">
        <v>11.3</v>
      </c>
      <c r="K10872">
        <v>77</v>
      </c>
      <c r="L10872">
        <v>10.69</v>
      </c>
      <c r="M10872">
        <v>34.700000000000003</v>
      </c>
      <c r="N10872">
        <v>20.100000000000001</v>
      </c>
      <c r="O10872">
        <v>14.6</v>
      </c>
      <c r="P10872">
        <v>25.4</v>
      </c>
      <c r="Q10872">
        <v>26.6</v>
      </c>
      <c r="R10872">
        <v>27.8</v>
      </c>
      <c r="S10872">
        <v>25</v>
      </c>
      <c r="T10872">
        <v>1099</v>
      </c>
      <c r="U10872">
        <v>191</v>
      </c>
      <c r="V10872">
        <v>11</v>
      </c>
      <c r="W10872">
        <v>60</v>
      </c>
      <c r="X10872">
        <v>418</v>
      </c>
      <c r="Y10872">
        <v>49</v>
      </c>
      <c r="Z10872">
        <v>256</v>
      </c>
      <c r="AA10872">
        <v>403</v>
      </c>
      <c r="AB10872">
        <v>8.626652</v>
      </c>
      <c r="AC10872">
        <v>0.22772719999999999</v>
      </c>
      <c r="AD10872">
        <v>3.71732</v>
      </c>
      <c r="AE10872">
        <v>0.26756730000000001</v>
      </c>
      <c r="AF10872">
        <v>280.3322</v>
      </c>
      <c r="AG10872">
        <f>IFERROR(AH10872*0.1, "N/A")</f>
        <v>5.7484430000000009</v>
      </c>
      <c r="AH10872">
        <v>57.484430000000003</v>
      </c>
      <c r="AI10872">
        <v>211.8809</v>
      </c>
      <c r="AJ10872">
        <v>21.006920000000001</v>
      </c>
      <c r="AK10872">
        <v>60.062280000000001</v>
      </c>
    </row>
    <row r="10873" spans="1:37" x14ac:dyDescent="0.3">
      <c r="A10873">
        <v>10872</v>
      </c>
      <c r="B10873">
        <v>25.3</v>
      </c>
      <c r="C10873">
        <v>-7.62235</v>
      </c>
      <c r="D10873">
        <v>7.5864500000000001</v>
      </c>
      <c r="E10873">
        <f>-7.62235-7.58645</f>
        <v>-15.2088</v>
      </c>
      <c r="F10873" t="s">
        <v>16273</v>
      </c>
      <c r="G10873" t="s">
        <v>37</v>
      </c>
      <c r="H10873">
        <v>2000</v>
      </c>
      <c r="I10873">
        <v>23.6</v>
      </c>
      <c r="J10873">
        <v>11.6</v>
      </c>
      <c r="K10873">
        <v>67</v>
      </c>
      <c r="L10873">
        <v>9.8699999999999992</v>
      </c>
      <c r="M10873">
        <v>32.1</v>
      </c>
      <c r="N10873">
        <v>14.8</v>
      </c>
      <c r="O10873">
        <v>17.3</v>
      </c>
      <c r="P10873">
        <v>22.5</v>
      </c>
      <c r="Q10873">
        <v>23</v>
      </c>
      <c r="R10873">
        <v>25</v>
      </c>
      <c r="S10873">
        <v>22.5</v>
      </c>
      <c r="T10873">
        <v>1671</v>
      </c>
      <c r="U10873">
        <v>309</v>
      </c>
      <c r="V10873">
        <v>15</v>
      </c>
      <c r="W10873">
        <v>65</v>
      </c>
      <c r="X10873">
        <v>777</v>
      </c>
      <c r="Y10873">
        <v>86</v>
      </c>
      <c r="Z10873">
        <v>302</v>
      </c>
      <c r="AA10873">
        <v>777</v>
      </c>
      <c r="AB10873">
        <v>11.71678</v>
      </c>
      <c r="AC10873">
        <v>1.250652E-2</v>
      </c>
      <c r="AD10873">
        <v>2.1551360000000002</v>
      </c>
      <c r="AE10873">
        <v>0.65766690000000005</v>
      </c>
      <c r="AF10873">
        <v>616.8356</v>
      </c>
      <c r="AG10873">
        <f>IFERROR(AH10873*0.1, "N/A")</f>
        <v>5.1000000000000005</v>
      </c>
      <c r="AH10873">
        <v>51</v>
      </c>
      <c r="AI10873">
        <v>99.669169999999994</v>
      </c>
      <c r="AJ10873">
        <v>27.70242</v>
      </c>
      <c r="AK10873">
        <v>54</v>
      </c>
    </row>
    <row r="10874" spans="1:37" x14ac:dyDescent="0.3">
      <c r="A10874">
        <v>10873</v>
      </c>
      <c r="B10874">
        <v>2.4</v>
      </c>
      <c r="C10874">
        <v>-7.5427799999999996</v>
      </c>
      <c r="D10874">
        <v>7.5892499999999998</v>
      </c>
      <c r="E10874">
        <f>-7.54278-7.58925</f>
        <v>-15.13203</v>
      </c>
      <c r="F10874" t="s">
        <v>16274</v>
      </c>
      <c r="G10874" t="s">
        <v>37</v>
      </c>
      <c r="H10874">
        <v>2005</v>
      </c>
      <c r="I10874">
        <v>23.7</v>
      </c>
      <c r="J10874">
        <v>11.5</v>
      </c>
      <c r="K10874">
        <v>66</v>
      </c>
      <c r="L10874">
        <v>9.77</v>
      </c>
      <c r="M10874">
        <v>32.200000000000003</v>
      </c>
      <c r="N10874">
        <v>15</v>
      </c>
      <c r="O10874">
        <v>17.2</v>
      </c>
      <c r="P10874">
        <v>22.6</v>
      </c>
      <c r="Q10874">
        <v>23.2</v>
      </c>
      <c r="R10874">
        <v>25.1</v>
      </c>
      <c r="S10874">
        <v>22.6</v>
      </c>
      <c r="T10874">
        <v>1633</v>
      </c>
      <c r="U10874">
        <v>303</v>
      </c>
      <c r="V10874">
        <v>15</v>
      </c>
      <c r="W10874">
        <v>65</v>
      </c>
      <c r="X10874">
        <v>756</v>
      </c>
      <c r="Y10874">
        <v>83</v>
      </c>
      <c r="Z10874">
        <v>298</v>
      </c>
      <c r="AA10874">
        <v>756</v>
      </c>
      <c r="AB10874">
        <v>25.513680000000001</v>
      </c>
      <c r="AC10874">
        <v>9.3997549999999992E-3</v>
      </c>
      <c r="AD10874">
        <v>3.6091790000000001</v>
      </c>
      <c r="AE10874">
        <v>0.3323933</v>
      </c>
      <c r="AF10874">
        <v>593.52509999999995</v>
      </c>
      <c r="AG10874">
        <f>IFERROR(AH10874*0.1, "N/A")</f>
        <v>5.3746970000000003</v>
      </c>
      <c r="AH10874">
        <v>53.746969999999997</v>
      </c>
      <c r="AI10874">
        <v>267.01209999999998</v>
      </c>
      <c r="AJ10874">
        <v>32.240900000000003</v>
      </c>
      <c r="AK10874">
        <v>51.493929999999999</v>
      </c>
    </row>
    <row r="10875" spans="1:37" x14ac:dyDescent="0.3">
      <c r="A10875">
        <v>10874</v>
      </c>
      <c r="B10875">
        <v>13.7</v>
      </c>
      <c r="C10875">
        <v>-7.5425199999999997</v>
      </c>
      <c r="D10875">
        <v>7.5902000000000003</v>
      </c>
      <c r="E10875">
        <f>-7.54252-7.5902</f>
        <v>-15.132719999999999</v>
      </c>
      <c r="F10875" t="s">
        <v>16275</v>
      </c>
      <c r="G10875" t="s">
        <v>37</v>
      </c>
      <c r="H10875">
        <v>2000</v>
      </c>
      <c r="I10875">
        <v>23.7</v>
      </c>
      <c r="J10875">
        <v>11.5</v>
      </c>
      <c r="K10875">
        <v>66</v>
      </c>
      <c r="L10875">
        <v>9.77</v>
      </c>
      <c r="M10875">
        <v>32.200000000000003</v>
      </c>
      <c r="N10875">
        <v>15</v>
      </c>
      <c r="O10875">
        <v>17.2</v>
      </c>
      <c r="P10875">
        <v>22.6</v>
      </c>
      <c r="Q10875">
        <v>23.2</v>
      </c>
      <c r="R10875">
        <v>25.1</v>
      </c>
      <c r="S10875">
        <v>22.6</v>
      </c>
      <c r="T10875">
        <v>1633</v>
      </c>
      <c r="U10875">
        <v>303</v>
      </c>
      <c r="V10875">
        <v>15</v>
      </c>
      <c r="W10875">
        <v>65</v>
      </c>
      <c r="X10875">
        <v>756</v>
      </c>
      <c r="Y10875">
        <v>83</v>
      </c>
      <c r="Z10875">
        <v>298</v>
      </c>
      <c r="AA10875">
        <v>756</v>
      </c>
      <c r="AB10875">
        <v>26.973669999999998</v>
      </c>
      <c r="AC10875">
        <v>1.568582E-2</v>
      </c>
      <c r="AD10875">
        <v>4.340827</v>
      </c>
      <c r="AE10875">
        <v>0.3323933</v>
      </c>
      <c r="AF10875">
        <v>591.89769999999999</v>
      </c>
      <c r="AG10875">
        <f>IFERROR(AH10875*0.1, "N/A")</f>
        <v>5.4</v>
      </c>
      <c r="AH10875">
        <v>54</v>
      </c>
      <c r="AI10875">
        <v>293.85309999999998</v>
      </c>
      <c r="AJ10875">
        <v>32.78163</v>
      </c>
      <c r="AK10875">
        <v>52</v>
      </c>
    </row>
    <row r="10876" spans="1:37" x14ac:dyDescent="0.3">
      <c r="A10876">
        <v>10875</v>
      </c>
      <c r="B10876">
        <v>4.9000000000000004</v>
      </c>
      <c r="C10876">
        <v>-7.4831099999999999</v>
      </c>
      <c r="D10876">
        <v>7.6027500000000003</v>
      </c>
      <c r="E10876">
        <f>-7.48311-7.60275</f>
        <v>-15.08586</v>
      </c>
      <c r="F10876" t="s">
        <v>16276</v>
      </c>
      <c r="G10876" t="s">
        <v>37</v>
      </c>
      <c r="H10876">
        <v>2005</v>
      </c>
      <c r="I10876">
        <v>22.548179999999999</v>
      </c>
      <c r="J10876">
        <v>11.4</v>
      </c>
      <c r="K10876">
        <v>67.379549999999995</v>
      </c>
      <c r="L10876">
        <v>9.8040900000000004</v>
      </c>
      <c r="M10876">
        <v>31.048179999999999</v>
      </c>
      <c r="N10876">
        <v>14.32409</v>
      </c>
      <c r="O10876">
        <v>16.72409</v>
      </c>
      <c r="P10876">
        <v>21.386140000000001</v>
      </c>
      <c r="Q10876">
        <v>22.08614</v>
      </c>
      <c r="R10876">
        <v>23.948180000000001</v>
      </c>
      <c r="S10876">
        <v>21.386140000000001</v>
      </c>
      <c r="T10876">
        <v>1650.175</v>
      </c>
      <c r="U10876">
        <v>304.37950000000001</v>
      </c>
      <c r="V10876">
        <v>17</v>
      </c>
      <c r="W10876">
        <v>63</v>
      </c>
      <c r="X10876">
        <v>749.37950000000001</v>
      </c>
      <c r="Y10876">
        <v>90.759100000000004</v>
      </c>
      <c r="Z10876">
        <v>307.51819999999998</v>
      </c>
      <c r="AA10876">
        <v>749.37950000000001</v>
      </c>
      <c r="AB10876">
        <v>59.974850000000004</v>
      </c>
      <c r="AC10876">
        <v>8.5917019999999997E-3</v>
      </c>
      <c r="AD10876">
        <v>3.9407589999999999</v>
      </c>
      <c r="AE10876">
        <v>0.5069032</v>
      </c>
      <c r="AF10876">
        <v>858.01390000000004</v>
      </c>
      <c r="AG10876">
        <f>IFERROR(AH10876*0.1, "N/A")</f>
        <v>5.0904680000000004</v>
      </c>
      <c r="AH10876">
        <v>50.904679999999999</v>
      </c>
      <c r="AI10876">
        <v>141.99289999999999</v>
      </c>
      <c r="AJ10876">
        <v>31.972270000000002</v>
      </c>
      <c r="AK10876">
        <v>51.013860000000001</v>
      </c>
    </row>
    <row r="10877" spans="1:37" x14ac:dyDescent="0.3">
      <c r="A10877">
        <v>10876</v>
      </c>
      <c r="B10877">
        <v>31.1</v>
      </c>
      <c r="C10877">
        <v>-7.54894</v>
      </c>
      <c r="D10877">
        <v>7.60358</v>
      </c>
      <c r="E10877">
        <f>-7.54894-7.60358</f>
        <v>-15.152519999999999</v>
      </c>
      <c r="F10877" t="s">
        <v>16277</v>
      </c>
      <c r="G10877" t="s">
        <v>37</v>
      </c>
      <c r="H10877">
        <v>2005</v>
      </c>
      <c r="I10877">
        <v>23.8</v>
      </c>
      <c r="J10877">
        <v>11.5</v>
      </c>
      <c r="K10877">
        <v>66</v>
      </c>
      <c r="L10877">
        <v>9.82</v>
      </c>
      <c r="M10877">
        <v>32.200000000000003</v>
      </c>
      <c r="N10877">
        <v>15</v>
      </c>
      <c r="O10877">
        <v>17.2</v>
      </c>
      <c r="P10877">
        <v>22.7</v>
      </c>
      <c r="Q10877">
        <v>23.2</v>
      </c>
      <c r="R10877">
        <v>25.1</v>
      </c>
      <c r="S10877">
        <v>22.7</v>
      </c>
      <c r="T10877">
        <v>1623</v>
      </c>
      <c r="U10877">
        <v>301</v>
      </c>
      <c r="V10877">
        <v>14</v>
      </c>
      <c r="W10877">
        <v>65</v>
      </c>
      <c r="X10877">
        <v>752</v>
      </c>
      <c r="Y10877">
        <v>82</v>
      </c>
      <c r="Z10877">
        <v>296</v>
      </c>
      <c r="AA10877">
        <v>752</v>
      </c>
      <c r="AB10877">
        <v>17.977730000000001</v>
      </c>
      <c r="AC10877">
        <v>1.7125230000000002E-2</v>
      </c>
      <c r="AD10877">
        <v>2.7973270000000001</v>
      </c>
      <c r="AE10877">
        <v>0.30578549999999999</v>
      </c>
      <c r="AF10877">
        <v>573.82960000000003</v>
      </c>
      <c r="AG10877">
        <f>IFERROR(AH10877*0.1, "N/A")</f>
        <v>5.2577390000000008</v>
      </c>
      <c r="AH10877">
        <v>52.577390000000001</v>
      </c>
      <c r="AI10877">
        <v>234.21170000000001</v>
      </c>
      <c r="AJ10877">
        <v>29</v>
      </c>
      <c r="AK10877">
        <v>53</v>
      </c>
    </row>
    <row r="10878" spans="1:37" x14ac:dyDescent="0.3">
      <c r="A10878">
        <v>10877</v>
      </c>
      <c r="B10878">
        <v>1.95</v>
      </c>
      <c r="C10878">
        <v>-5.0330599999999999</v>
      </c>
      <c r="D10878">
        <v>7.6833299999999998</v>
      </c>
      <c r="E10878">
        <f>-5.03306-7.68333</f>
        <v>-12.716390000000001</v>
      </c>
      <c r="F10878" t="s">
        <v>16278</v>
      </c>
      <c r="G10878" t="s">
        <v>39</v>
      </c>
      <c r="H10878">
        <v>1989</v>
      </c>
      <c r="I10878">
        <v>26.217220000000001</v>
      </c>
      <c r="J10878">
        <v>11.431480000000001</v>
      </c>
      <c r="K10878">
        <v>78.827830000000006</v>
      </c>
      <c r="L10878">
        <v>10.466089999999999</v>
      </c>
      <c r="M10878">
        <v>34.334429999999998</v>
      </c>
      <c r="N10878">
        <v>19.899999999999999</v>
      </c>
      <c r="O10878">
        <v>14.434430000000001</v>
      </c>
      <c r="P10878">
        <v>25.1</v>
      </c>
      <c r="Q10878">
        <v>26.4</v>
      </c>
      <c r="R10878">
        <v>27.334430000000001</v>
      </c>
      <c r="S10878">
        <v>24.61722</v>
      </c>
      <c r="T10878">
        <v>1140.0730000000001</v>
      </c>
      <c r="U10878">
        <v>194.13910000000001</v>
      </c>
      <c r="V10878">
        <v>11</v>
      </c>
      <c r="W10878">
        <v>58</v>
      </c>
      <c r="X10878">
        <v>432.62259999999998</v>
      </c>
      <c r="Y10878">
        <v>58</v>
      </c>
      <c r="Z10878">
        <v>263.31130000000002</v>
      </c>
      <c r="AA10878">
        <v>414.31130000000002</v>
      </c>
      <c r="AB10878">
        <v>21.435839999999999</v>
      </c>
      <c r="AC10878">
        <v>1.4808709999999999E-2</v>
      </c>
      <c r="AD10878">
        <v>2.531345</v>
      </c>
      <c r="AE10878">
        <v>0.91403469999999998</v>
      </c>
      <c r="AF10878">
        <v>362.2226</v>
      </c>
      <c r="AG10878">
        <f>IFERROR(AH10878*0.1, "N/A")</f>
        <v>6.3370430000000004</v>
      </c>
      <c r="AH10878">
        <v>63.370429999999999</v>
      </c>
      <c r="AI10878">
        <v>197.86179999999999</v>
      </c>
      <c r="AJ10878">
        <v>22.314779999999999</v>
      </c>
      <c r="AK10878">
        <v>61.685220000000001</v>
      </c>
    </row>
    <row r="10879" spans="1:37" x14ac:dyDescent="0.3">
      <c r="A10879">
        <v>10878</v>
      </c>
      <c r="B10879">
        <v>0</v>
      </c>
      <c r="C10879">
        <v>-4.9833299999999996</v>
      </c>
      <c r="D10879">
        <v>8.1833299999999998</v>
      </c>
      <c r="E10879">
        <f>-4.98333-8.18333</f>
        <v>-13.16666</v>
      </c>
      <c r="F10879" t="s">
        <v>16279</v>
      </c>
      <c r="G10879" t="s">
        <v>39</v>
      </c>
      <c r="H10879">
        <v>2005</v>
      </c>
      <c r="I10879">
        <v>26.978649999999998</v>
      </c>
      <c r="J10879">
        <v>11.42535</v>
      </c>
      <c r="K10879">
        <v>74.213539999999995</v>
      </c>
      <c r="L10879">
        <v>11.30057</v>
      </c>
      <c r="M10879">
        <v>35.341670000000001</v>
      </c>
      <c r="N10879">
        <v>19.978649999999998</v>
      </c>
      <c r="O10879">
        <v>15.363020000000001</v>
      </c>
      <c r="P10879">
        <v>25.782640000000001</v>
      </c>
      <c r="Q10879">
        <v>26.96302</v>
      </c>
      <c r="R10879">
        <v>28.341670000000001</v>
      </c>
      <c r="S10879">
        <v>25.37865</v>
      </c>
      <c r="T10879">
        <v>1079.4639999999999</v>
      </c>
      <c r="U10879">
        <v>206.21350000000001</v>
      </c>
      <c r="V10879">
        <v>10</v>
      </c>
      <c r="W10879">
        <v>63.630209999999998</v>
      </c>
      <c r="X10879">
        <v>447.58330000000001</v>
      </c>
      <c r="Y10879">
        <v>46.960070000000002</v>
      </c>
      <c r="Z10879">
        <v>230.96010000000001</v>
      </c>
      <c r="AA10879">
        <v>442.83679999999998</v>
      </c>
      <c r="AB10879">
        <v>9.1890699999999992</v>
      </c>
      <c r="AC10879">
        <v>1.786534E-2</v>
      </c>
      <c r="AD10879">
        <v>2.484108</v>
      </c>
      <c r="AE10879">
        <v>0.5382169</v>
      </c>
      <c r="AF10879">
        <v>269.68060000000003</v>
      </c>
      <c r="AG10879">
        <f>IFERROR(AH10879*0.1, "N/A")</f>
        <v>5.7803820000000004</v>
      </c>
      <c r="AH10879">
        <v>57.803820000000002</v>
      </c>
      <c r="AI10879">
        <v>236.99109999999999</v>
      </c>
      <c r="AJ10879">
        <v>16.258679999999998</v>
      </c>
      <c r="AK10879">
        <v>61.9375</v>
      </c>
    </row>
    <row r="10880" spans="1:37" x14ac:dyDescent="0.3">
      <c r="A10880">
        <v>10879</v>
      </c>
      <c r="B10880">
        <v>0</v>
      </c>
      <c r="C10880">
        <v>-4.9833299999999996</v>
      </c>
      <c r="D10880">
        <v>8.1833299999999998</v>
      </c>
      <c r="E10880">
        <f>-4.98333-8.18333</f>
        <v>-13.16666</v>
      </c>
      <c r="F10880" t="s">
        <v>16280</v>
      </c>
      <c r="G10880" t="s">
        <v>37</v>
      </c>
      <c r="H10880">
        <v>2005</v>
      </c>
      <c r="I10880">
        <v>26.978649999999998</v>
      </c>
      <c r="J10880">
        <v>11.42535</v>
      </c>
      <c r="K10880">
        <v>74.213539999999995</v>
      </c>
      <c r="L10880">
        <v>11.30057</v>
      </c>
      <c r="M10880">
        <v>35.341670000000001</v>
      </c>
      <c r="N10880">
        <v>19.978649999999998</v>
      </c>
      <c r="O10880">
        <v>15.363020000000001</v>
      </c>
      <c r="P10880">
        <v>25.782640000000001</v>
      </c>
      <c r="Q10880">
        <v>26.96302</v>
      </c>
      <c r="R10880">
        <v>28.341670000000001</v>
      </c>
      <c r="S10880">
        <v>25.37865</v>
      </c>
      <c r="T10880">
        <v>1079.4639999999999</v>
      </c>
      <c r="U10880">
        <v>206.21350000000001</v>
      </c>
      <c r="V10880">
        <v>10</v>
      </c>
      <c r="W10880">
        <v>63.630209999999998</v>
      </c>
      <c r="X10880">
        <v>447.58330000000001</v>
      </c>
      <c r="Y10880">
        <v>46.960070000000002</v>
      </c>
      <c r="Z10880">
        <v>230.96010000000001</v>
      </c>
      <c r="AA10880">
        <v>442.83679999999998</v>
      </c>
      <c r="AB10880">
        <v>9.1890699999999992</v>
      </c>
      <c r="AC10880">
        <v>1.786534E-2</v>
      </c>
      <c r="AD10880">
        <v>2.484108</v>
      </c>
      <c r="AE10880">
        <v>0.5382169</v>
      </c>
      <c r="AF10880">
        <v>269.68060000000003</v>
      </c>
      <c r="AG10880">
        <f>IFERROR(AH10880*0.1, "N/A")</f>
        <v>5.7803820000000004</v>
      </c>
      <c r="AH10880">
        <v>57.803820000000002</v>
      </c>
      <c r="AI10880">
        <v>236.99109999999999</v>
      </c>
      <c r="AJ10880">
        <v>16.258679999999998</v>
      </c>
      <c r="AK10880">
        <v>61.9375</v>
      </c>
    </row>
    <row r="10881" spans="1:37" x14ac:dyDescent="0.3">
      <c r="A10881">
        <v>10880</v>
      </c>
      <c r="B10881">
        <v>0</v>
      </c>
      <c r="C10881">
        <v>-5.1666699999999999</v>
      </c>
      <c r="D10881">
        <v>8.3666699999999992</v>
      </c>
      <c r="E10881">
        <f>-5.16667-8.36667</f>
        <v>-13.533339999999999</v>
      </c>
      <c r="F10881" t="s">
        <v>16281</v>
      </c>
      <c r="G10881" t="s">
        <v>39</v>
      </c>
      <c r="H10881">
        <v>2005</v>
      </c>
      <c r="I10881">
        <v>26.870809999999999</v>
      </c>
      <c r="J10881">
        <v>11.5</v>
      </c>
      <c r="K10881">
        <v>72</v>
      </c>
      <c r="L10881">
        <v>11.683630000000001</v>
      </c>
      <c r="M10881">
        <v>35.370809999999999</v>
      </c>
      <c r="N10881">
        <v>19.570810000000002</v>
      </c>
      <c r="O10881">
        <v>15.8</v>
      </c>
      <c r="P10881">
        <v>25.270810000000001</v>
      </c>
      <c r="Q10881">
        <v>26.770810000000001</v>
      </c>
      <c r="R10881">
        <v>28.370809999999999</v>
      </c>
      <c r="S10881">
        <v>25.270810000000001</v>
      </c>
      <c r="T10881">
        <v>1080.6959999999999</v>
      </c>
      <c r="U10881">
        <v>214</v>
      </c>
      <c r="V10881">
        <v>9</v>
      </c>
      <c r="W10881">
        <v>66</v>
      </c>
      <c r="X10881">
        <v>475.42829999999998</v>
      </c>
      <c r="Y10881">
        <v>46.31606</v>
      </c>
      <c r="Z10881">
        <v>214.95160000000001</v>
      </c>
      <c r="AA10881">
        <v>475.42829999999998</v>
      </c>
      <c r="AB10881">
        <v>11.64232</v>
      </c>
      <c r="AC10881">
        <v>4.0101860000000003E-2</v>
      </c>
      <c r="AD10881">
        <v>2.8236219999999999</v>
      </c>
      <c r="AE10881">
        <v>0.52170340000000004</v>
      </c>
      <c r="AF10881">
        <v>280.84109999999998</v>
      </c>
      <c r="AG10881">
        <f>IFERROR(AH10881*0.1, "N/A")</f>
        <v>5.9967180000000004</v>
      </c>
      <c r="AH10881">
        <v>59.967179999999999</v>
      </c>
      <c r="AI10881">
        <v>233.3895</v>
      </c>
      <c r="AJ10881">
        <v>19.967179999999999</v>
      </c>
      <c r="AK10881">
        <v>58.86356</v>
      </c>
    </row>
    <row r="10882" spans="1:37" x14ac:dyDescent="0.3">
      <c r="A10882">
        <v>10881</v>
      </c>
      <c r="B10882">
        <v>0</v>
      </c>
      <c r="C10882">
        <v>-5.1666699999999999</v>
      </c>
      <c r="D10882">
        <v>8.3666699999999992</v>
      </c>
      <c r="E10882">
        <f>-5.16667-8.36667</f>
        <v>-13.533339999999999</v>
      </c>
      <c r="F10882" t="s">
        <v>16282</v>
      </c>
      <c r="G10882" t="s">
        <v>37</v>
      </c>
      <c r="H10882">
        <v>2005</v>
      </c>
      <c r="I10882">
        <v>26.870809999999999</v>
      </c>
      <c r="J10882">
        <v>11.5</v>
      </c>
      <c r="K10882">
        <v>72</v>
      </c>
      <c r="L10882">
        <v>11.683630000000001</v>
      </c>
      <c r="M10882">
        <v>35.370809999999999</v>
      </c>
      <c r="N10882">
        <v>19.570810000000002</v>
      </c>
      <c r="O10882">
        <v>15.8</v>
      </c>
      <c r="P10882">
        <v>25.270810000000001</v>
      </c>
      <c r="Q10882">
        <v>26.770810000000001</v>
      </c>
      <c r="R10882">
        <v>28.370809999999999</v>
      </c>
      <c r="S10882">
        <v>25.270810000000001</v>
      </c>
      <c r="T10882">
        <v>1080.6959999999999</v>
      </c>
      <c r="U10882">
        <v>214</v>
      </c>
      <c r="V10882">
        <v>9</v>
      </c>
      <c r="W10882">
        <v>66</v>
      </c>
      <c r="X10882">
        <v>475.42829999999998</v>
      </c>
      <c r="Y10882">
        <v>46.31606</v>
      </c>
      <c r="Z10882">
        <v>214.95160000000001</v>
      </c>
      <c r="AA10882">
        <v>475.42829999999998</v>
      </c>
      <c r="AB10882">
        <v>11.64232</v>
      </c>
      <c r="AC10882">
        <v>4.0101860000000003E-2</v>
      </c>
      <c r="AD10882">
        <v>2.8236219999999999</v>
      </c>
      <c r="AE10882">
        <v>0.52170340000000004</v>
      </c>
      <c r="AF10882">
        <v>280.84109999999998</v>
      </c>
      <c r="AG10882">
        <f>IFERROR(AH10882*0.1, "N/A")</f>
        <v>5.9967180000000004</v>
      </c>
      <c r="AH10882">
        <v>59.967179999999999</v>
      </c>
      <c r="AI10882">
        <v>233.3895</v>
      </c>
      <c r="AJ10882">
        <v>19.967179999999999</v>
      </c>
      <c r="AK10882">
        <v>58.86356</v>
      </c>
    </row>
    <row r="10883" spans="1:37" x14ac:dyDescent="0.3">
      <c r="A10883">
        <v>10882</v>
      </c>
      <c r="B10883">
        <v>0</v>
      </c>
      <c r="C10883">
        <v>-5.1166700000000001</v>
      </c>
      <c r="D10883">
        <v>8.4333299999999998</v>
      </c>
      <c r="E10883">
        <f>-5.11667-8.43333</f>
        <v>-13.55</v>
      </c>
      <c r="F10883" t="s">
        <v>16283</v>
      </c>
      <c r="G10883" t="s">
        <v>39</v>
      </c>
      <c r="H10883">
        <v>2005</v>
      </c>
      <c r="I10883">
        <v>26.946709999999999</v>
      </c>
      <c r="J10883">
        <v>11.44896</v>
      </c>
      <c r="K10883">
        <v>72</v>
      </c>
      <c r="L10883">
        <v>11.60933</v>
      </c>
      <c r="M10883">
        <v>35.47907</v>
      </c>
      <c r="N10883">
        <v>19.630099999999999</v>
      </c>
      <c r="O10883">
        <v>15.84896</v>
      </c>
      <c r="P10883">
        <v>25.379069999999999</v>
      </c>
      <c r="Q10883">
        <v>26.830100000000002</v>
      </c>
      <c r="R10883">
        <v>28.42578</v>
      </c>
      <c r="S10883">
        <v>25.379069999999999</v>
      </c>
      <c r="T10883">
        <v>1076.742</v>
      </c>
      <c r="U10883">
        <v>214</v>
      </c>
      <c r="V10883">
        <v>8</v>
      </c>
      <c r="W10883">
        <v>67</v>
      </c>
      <c r="X10883">
        <v>481</v>
      </c>
      <c r="Y10883">
        <v>45</v>
      </c>
      <c r="Z10883">
        <v>207.7422</v>
      </c>
      <c r="AA10883">
        <v>481</v>
      </c>
      <c r="AB10883">
        <v>6.6915329999999997</v>
      </c>
      <c r="AC10883">
        <v>1.240787E-2</v>
      </c>
      <c r="AD10883">
        <v>3.3972899999999999</v>
      </c>
      <c r="AE10883">
        <v>0.30957620000000002</v>
      </c>
      <c r="AF10883">
        <v>272.55189999999999</v>
      </c>
      <c r="AG10883">
        <f>IFERROR(AH10883*0.1, "N/A")</f>
        <v>5.9</v>
      </c>
      <c r="AH10883">
        <v>59</v>
      </c>
      <c r="AI10883">
        <v>278.95650000000001</v>
      </c>
      <c r="AJ10883">
        <v>19.249130000000001</v>
      </c>
      <c r="AK10883">
        <v>58.750869999999999</v>
      </c>
    </row>
    <row r="10884" spans="1:37" x14ac:dyDescent="0.3">
      <c r="A10884">
        <v>10883</v>
      </c>
      <c r="B10884">
        <v>4.3</v>
      </c>
      <c r="C10884">
        <v>-5.1166700000000001</v>
      </c>
      <c r="D10884">
        <v>8.4333299999999998</v>
      </c>
      <c r="E10884">
        <f>-5.11667-8.43333</f>
        <v>-13.55</v>
      </c>
      <c r="F10884" t="s">
        <v>16284</v>
      </c>
      <c r="G10884" t="s">
        <v>37</v>
      </c>
      <c r="H10884">
        <v>2005</v>
      </c>
      <c r="I10884">
        <v>26.946709999999999</v>
      </c>
      <c r="J10884">
        <v>11.44896</v>
      </c>
      <c r="K10884">
        <v>72</v>
      </c>
      <c r="L10884">
        <v>11.60933</v>
      </c>
      <c r="M10884">
        <v>35.47907</v>
      </c>
      <c r="N10884">
        <v>19.630099999999999</v>
      </c>
      <c r="O10884">
        <v>15.84896</v>
      </c>
      <c r="P10884">
        <v>25.379069999999999</v>
      </c>
      <c r="Q10884">
        <v>26.830100000000002</v>
      </c>
      <c r="R10884">
        <v>28.42578</v>
      </c>
      <c r="S10884">
        <v>25.379069999999999</v>
      </c>
      <c r="T10884">
        <v>1076.742</v>
      </c>
      <c r="U10884">
        <v>214</v>
      </c>
      <c r="V10884">
        <v>8</v>
      </c>
      <c r="W10884">
        <v>67</v>
      </c>
      <c r="X10884">
        <v>481</v>
      </c>
      <c r="Y10884">
        <v>45</v>
      </c>
      <c r="Z10884">
        <v>207.7422</v>
      </c>
      <c r="AA10884">
        <v>481</v>
      </c>
      <c r="AB10884">
        <v>6.6915329999999997</v>
      </c>
      <c r="AC10884">
        <v>1.240787E-2</v>
      </c>
      <c r="AD10884">
        <v>3.3972899999999999</v>
      </c>
      <c r="AE10884">
        <v>0.30957620000000002</v>
      </c>
      <c r="AF10884">
        <v>272.55189999999999</v>
      </c>
      <c r="AG10884">
        <f>IFERROR(AH10884*0.1, "N/A")</f>
        <v>5.9</v>
      </c>
      <c r="AH10884">
        <v>59</v>
      </c>
      <c r="AI10884">
        <v>278.95650000000001</v>
      </c>
      <c r="AJ10884">
        <v>19.249130000000001</v>
      </c>
      <c r="AK10884">
        <v>58.750869999999999</v>
      </c>
    </row>
    <row r="10885" spans="1:37" x14ac:dyDescent="0.3">
      <c r="A10885">
        <v>10884</v>
      </c>
      <c r="B10885">
        <v>2.2000000000000002</v>
      </c>
      <c r="C10885">
        <v>-5.15</v>
      </c>
      <c r="D10885">
        <v>8.4499999999999993</v>
      </c>
      <c r="E10885">
        <f>-5.15-8.45</f>
        <v>-13.6</v>
      </c>
      <c r="F10885" t="s">
        <v>16285</v>
      </c>
      <c r="G10885" t="s">
        <v>39</v>
      </c>
      <c r="H10885">
        <v>2005</v>
      </c>
      <c r="I10885">
        <v>26.854859999999999</v>
      </c>
      <c r="J10885">
        <v>11.5</v>
      </c>
      <c r="K10885">
        <v>71.548609999999996</v>
      </c>
      <c r="L10885">
        <v>11.81049</v>
      </c>
      <c r="M10885">
        <v>35.454859999999996</v>
      </c>
      <c r="N10885">
        <v>19.509720000000002</v>
      </c>
      <c r="O10885">
        <v>15.94514</v>
      </c>
      <c r="P10885">
        <v>25.261980000000001</v>
      </c>
      <c r="Q10885">
        <v>26.716840000000001</v>
      </c>
      <c r="R10885">
        <v>28.4</v>
      </c>
      <c r="S10885">
        <v>25.261980000000001</v>
      </c>
      <c r="T10885">
        <v>1079.663</v>
      </c>
      <c r="U10885">
        <v>215</v>
      </c>
      <c r="V10885">
        <v>8</v>
      </c>
      <c r="W10885">
        <v>67.548609999999996</v>
      </c>
      <c r="X10885">
        <v>486.31939999999997</v>
      </c>
      <c r="Y10885">
        <v>45.380209999999998</v>
      </c>
      <c r="Z10885">
        <v>206.51220000000001</v>
      </c>
      <c r="AA10885">
        <v>486.31939999999997</v>
      </c>
      <c r="AB10885">
        <v>11.235049999999999</v>
      </c>
      <c r="AC10885">
        <v>1.005726E-2</v>
      </c>
      <c r="AD10885">
        <v>4.7880789999999998</v>
      </c>
      <c r="AE10885">
        <v>0.58642159999999999</v>
      </c>
      <c r="AF10885">
        <v>289.08510000000001</v>
      </c>
      <c r="AG10885">
        <f>IFERROR(AH10885*0.1, "N/A")</f>
        <v>5.6487850000000002</v>
      </c>
      <c r="AH10885">
        <v>56.487850000000002</v>
      </c>
      <c r="AI10885">
        <v>167.3347</v>
      </c>
      <c r="AJ10885">
        <v>18.685759999999998</v>
      </c>
      <c r="AK10885">
        <v>57.029510000000002</v>
      </c>
    </row>
    <row r="10886" spans="1:37" x14ac:dyDescent="0.3">
      <c r="A10886">
        <v>10885</v>
      </c>
      <c r="B10886">
        <v>0.8</v>
      </c>
      <c r="C10886">
        <v>-5.15</v>
      </c>
      <c r="D10886">
        <v>8.4499999999999993</v>
      </c>
      <c r="E10886">
        <f>-5.15-8.45</f>
        <v>-13.6</v>
      </c>
      <c r="F10886" t="s">
        <v>16286</v>
      </c>
      <c r="G10886" t="s">
        <v>37</v>
      </c>
      <c r="H10886">
        <v>2005</v>
      </c>
      <c r="I10886">
        <v>26.854859999999999</v>
      </c>
      <c r="J10886">
        <v>11.5</v>
      </c>
      <c r="K10886">
        <v>71.548609999999996</v>
      </c>
      <c r="L10886">
        <v>11.81049</v>
      </c>
      <c r="M10886">
        <v>35.454859999999996</v>
      </c>
      <c r="N10886">
        <v>19.509720000000002</v>
      </c>
      <c r="O10886">
        <v>15.94514</v>
      </c>
      <c r="P10886">
        <v>25.261980000000001</v>
      </c>
      <c r="Q10886">
        <v>26.716840000000001</v>
      </c>
      <c r="R10886">
        <v>28.4</v>
      </c>
      <c r="S10886">
        <v>25.261980000000001</v>
      </c>
      <c r="T10886">
        <v>1079.663</v>
      </c>
      <c r="U10886">
        <v>215</v>
      </c>
      <c r="V10886">
        <v>8</v>
      </c>
      <c r="W10886">
        <v>67.548609999999996</v>
      </c>
      <c r="X10886">
        <v>486.31939999999997</v>
      </c>
      <c r="Y10886">
        <v>45.380209999999998</v>
      </c>
      <c r="Z10886">
        <v>206.51220000000001</v>
      </c>
      <c r="AA10886">
        <v>486.31939999999997</v>
      </c>
      <c r="AB10886">
        <v>11.235049999999999</v>
      </c>
      <c r="AC10886">
        <v>1.005726E-2</v>
      </c>
      <c r="AD10886">
        <v>4.7880789999999998</v>
      </c>
      <c r="AE10886">
        <v>0.58642159999999999</v>
      </c>
      <c r="AF10886">
        <v>289.08510000000001</v>
      </c>
      <c r="AG10886">
        <f>IFERROR(AH10886*0.1, "N/A")</f>
        <v>5.6487850000000002</v>
      </c>
      <c r="AH10886">
        <v>56.487850000000002</v>
      </c>
      <c r="AI10886">
        <v>167.3347</v>
      </c>
      <c r="AJ10886">
        <v>18.685759999999998</v>
      </c>
      <c r="AK10886">
        <v>57.029510000000002</v>
      </c>
    </row>
    <row r="10887" spans="1:37" x14ac:dyDescent="0.3">
      <c r="A10887">
        <v>10886</v>
      </c>
      <c r="B10887">
        <v>1.6</v>
      </c>
      <c r="C10887">
        <v>-5.2</v>
      </c>
      <c r="D10887">
        <v>8.5</v>
      </c>
      <c r="E10887">
        <f>-5.2-8.5</f>
        <v>-13.7</v>
      </c>
      <c r="F10887" t="s">
        <v>16287</v>
      </c>
      <c r="G10887" t="s">
        <v>39</v>
      </c>
      <c r="H10887">
        <v>2005</v>
      </c>
      <c r="I10887">
        <v>26.506920000000001</v>
      </c>
      <c r="J10887">
        <v>11.436680000000001</v>
      </c>
      <c r="K10887">
        <v>71</v>
      </c>
      <c r="L10887">
        <v>11.70055</v>
      </c>
      <c r="M10887">
        <v>35.106920000000002</v>
      </c>
      <c r="N10887">
        <v>19.15052</v>
      </c>
      <c r="O10887">
        <v>15.9564</v>
      </c>
      <c r="P10887">
        <v>24.90692</v>
      </c>
      <c r="Q10887">
        <v>26.401039999999998</v>
      </c>
      <c r="R10887">
        <v>28.012799999999999</v>
      </c>
      <c r="S10887">
        <v>24.90692</v>
      </c>
      <c r="T10887">
        <v>1090.8720000000001</v>
      </c>
      <c r="U10887">
        <v>217.94120000000001</v>
      </c>
      <c r="V10887">
        <v>8</v>
      </c>
      <c r="W10887">
        <v>68</v>
      </c>
      <c r="X10887">
        <v>500.06920000000002</v>
      </c>
      <c r="Y10887">
        <v>47</v>
      </c>
      <c r="Z10887">
        <v>203.80279999999999</v>
      </c>
      <c r="AA10887">
        <v>500.06920000000002</v>
      </c>
      <c r="AB10887">
        <v>23.879750000000001</v>
      </c>
      <c r="AC10887">
        <v>1.467334E-2</v>
      </c>
      <c r="AD10887">
        <v>2.9975399999999999</v>
      </c>
      <c r="AE10887">
        <v>0.45508209999999999</v>
      </c>
      <c r="AF10887">
        <v>329.5104</v>
      </c>
      <c r="AG10887">
        <f>IFERROR(AH10887*0.1, "N/A")</f>
        <v>5.6591700000000005</v>
      </c>
      <c r="AH10887">
        <v>56.591700000000003</v>
      </c>
      <c r="AI10887">
        <v>242.9091</v>
      </c>
      <c r="AJ10887">
        <v>25.013839999999998</v>
      </c>
      <c r="AK10887">
        <v>57.986159999999998</v>
      </c>
    </row>
    <row r="10888" spans="1:37" x14ac:dyDescent="0.3">
      <c r="A10888">
        <v>10887</v>
      </c>
      <c r="B10888">
        <v>6.3</v>
      </c>
      <c r="C10888">
        <v>-5.2</v>
      </c>
      <c r="D10888">
        <v>8.5</v>
      </c>
      <c r="E10888">
        <f>-5.2-8.5</f>
        <v>-13.7</v>
      </c>
      <c r="F10888" t="s">
        <v>16288</v>
      </c>
      <c r="G10888" t="s">
        <v>37</v>
      </c>
      <c r="H10888">
        <v>2005</v>
      </c>
      <c r="I10888">
        <v>26.506920000000001</v>
      </c>
      <c r="J10888">
        <v>11.436680000000001</v>
      </c>
      <c r="K10888">
        <v>71</v>
      </c>
      <c r="L10888">
        <v>11.70055</v>
      </c>
      <c r="M10888">
        <v>35.106920000000002</v>
      </c>
      <c r="N10888">
        <v>19.15052</v>
      </c>
      <c r="O10888">
        <v>15.9564</v>
      </c>
      <c r="P10888">
        <v>24.90692</v>
      </c>
      <c r="Q10888">
        <v>26.401039999999998</v>
      </c>
      <c r="R10888">
        <v>28.012799999999999</v>
      </c>
      <c r="S10888">
        <v>24.90692</v>
      </c>
      <c r="T10888">
        <v>1090.8720000000001</v>
      </c>
      <c r="U10888">
        <v>217.94120000000001</v>
      </c>
      <c r="V10888">
        <v>8</v>
      </c>
      <c r="W10888">
        <v>68</v>
      </c>
      <c r="X10888">
        <v>500.06920000000002</v>
      </c>
      <c r="Y10888">
        <v>47</v>
      </c>
      <c r="Z10888">
        <v>203.80279999999999</v>
      </c>
      <c r="AA10888">
        <v>500.06920000000002</v>
      </c>
      <c r="AB10888">
        <v>23.879750000000001</v>
      </c>
      <c r="AC10888">
        <v>1.467334E-2</v>
      </c>
      <c r="AD10888">
        <v>2.9975399999999999</v>
      </c>
      <c r="AE10888">
        <v>0.45508209999999999</v>
      </c>
      <c r="AF10888">
        <v>329.5104</v>
      </c>
      <c r="AG10888">
        <f>IFERROR(AH10888*0.1, "N/A")</f>
        <v>5.6591700000000005</v>
      </c>
      <c r="AH10888">
        <v>56.591700000000003</v>
      </c>
      <c r="AI10888">
        <v>242.9091</v>
      </c>
      <c r="AJ10888">
        <v>25.013839999999998</v>
      </c>
      <c r="AK10888">
        <v>57.986159999999998</v>
      </c>
    </row>
    <row r="10889" spans="1:37" x14ac:dyDescent="0.3">
      <c r="A10889">
        <v>10888</v>
      </c>
      <c r="B10889">
        <v>2.2000000000000002</v>
      </c>
      <c r="C10889">
        <v>-5.1833299999999998</v>
      </c>
      <c r="D10889">
        <v>8.5166699999999995</v>
      </c>
      <c r="E10889">
        <f>-5.18333-8.51667</f>
        <v>-13.7</v>
      </c>
      <c r="F10889" t="s">
        <v>16289</v>
      </c>
      <c r="G10889" t="s">
        <v>39</v>
      </c>
      <c r="H10889">
        <v>2005</v>
      </c>
      <c r="I10889">
        <v>26.507079999999998</v>
      </c>
      <c r="J10889">
        <v>11.4</v>
      </c>
      <c r="K10889">
        <v>70.851470000000006</v>
      </c>
      <c r="L10889">
        <v>11.677820000000001</v>
      </c>
      <c r="M10889">
        <v>35.160969999999999</v>
      </c>
      <c r="N10889">
        <v>19.14611</v>
      </c>
      <c r="O10889">
        <v>16.014849999999999</v>
      </c>
      <c r="P10889">
        <v>24.96097</v>
      </c>
      <c r="Q10889">
        <v>26.43092</v>
      </c>
      <c r="R10889">
        <v>28.060970000000001</v>
      </c>
      <c r="S10889">
        <v>24.96097</v>
      </c>
      <c r="T10889">
        <v>1088.3969999999999</v>
      </c>
      <c r="U10889">
        <v>217.53890000000001</v>
      </c>
      <c r="V10889">
        <v>8</v>
      </c>
      <c r="W10889">
        <v>68</v>
      </c>
      <c r="X10889">
        <v>499.92059999999998</v>
      </c>
      <c r="Y10889">
        <v>46.848010000000002</v>
      </c>
      <c r="Z10889">
        <v>202.23830000000001</v>
      </c>
      <c r="AA10889">
        <v>499.92059999999998</v>
      </c>
      <c r="AB10889">
        <v>14.21536</v>
      </c>
      <c r="AC10889">
        <v>1.9203689999999999E-2</v>
      </c>
      <c r="AD10889">
        <v>3.12216</v>
      </c>
      <c r="AE10889">
        <v>0.394235</v>
      </c>
      <c r="AF10889">
        <v>340.65280000000001</v>
      </c>
      <c r="AG10889">
        <f>IFERROR(AH10889*0.1, "N/A")</f>
        <v>5.751468</v>
      </c>
      <c r="AH10889">
        <v>57.514679999999998</v>
      </c>
      <c r="AI10889">
        <v>93.137010000000004</v>
      </c>
      <c r="AJ10889">
        <v>20.53022</v>
      </c>
      <c r="AK10889">
        <v>60.473230000000001</v>
      </c>
    </row>
    <row r="10890" spans="1:37" x14ac:dyDescent="0.3">
      <c r="A10890">
        <v>10889</v>
      </c>
      <c r="B10890">
        <v>1.3</v>
      </c>
      <c r="C10890">
        <v>-5.1833299999999998</v>
      </c>
      <c r="D10890">
        <v>8.5166699999999995</v>
      </c>
      <c r="E10890">
        <f>-5.18333-8.51667</f>
        <v>-13.7</v>
      </c>
      <c r="F10890" t="s">
        <v>16290</v>
      </c>
      <c r="G10890" t="s">
        <v>37</v>
      </c>
      <c r="H10890">
        <v>2005</v>
      </c>
      <c r="I10890">
        <v>26.507079999999998</v>
      </c>
      <c r="J10890">
        <v>11.4</v>
      </c>
      <c r="K10890">
        <v>70.851470000000006</v>
      </c>
      <c r="L10890">
        <v>11.677820000000001</v>
      </c>
      <c r="M10890">
        <v>35.160969999999999</v>
      </c>
      <c r="N10890">
        <v>19.14611</v>
      </c>
      <c r="O10890">
        <v>16.014849999999999</v>
      </c>
      <c r="P10890">
        <v>24.96097</v>
      </c>
      <c r="Q10890">
        <v>26.43092</v>
      </c>
      <c r="R10890">
        <v>28.060970000000001</v>
      </c>
      <c r="S10890">
        <v>24.96097</v>
      </c>
      <c r="T10890">
        <v>1088.3969999999999</v>
      </c>
      <c r="U10890">
        <v>217.53890000000001</v>
      </c>
      <c r="V10890">
        <v>8</v>
      </c>
      <c r="W10890">
        <v>68</v>
      </c>
      <c r="X10890">
        <v>499.92059999999998</v>
      </c>
      <c r="Y10890">
        <v>46.848010000000002</v>
      </c>
      <c r="Z10890">
        <v>202.23830000000001</v>
      </c>
      <c r="AA10890">
        <v>499.92059999999998</v>
      </c>
      <c r="AB10890">
        <v>14.21536</v>
      </c>
      <c r="AC10890">
        <v>1.9203689999999999E-2</v>
      </c>
      <c r="AD10890">
        <v>3.12216</v>
      </c>
      <c r="AE10890">
        <v>0.394235</v>
      </c>
      <c r="AF10890">
        <v>340.65280000000001</v>
      </c>
      <c r="AG10890">
        <f>IFERROR(AH10890*0.1, "N/A")</f>
        <v>5.751468</v>
      </c>
      <c r="AH10890">
        <v>57.514679999999998</v>
      </c>
      <c r="AI10890">
        <v>93.137010000000004</v>
      </c>
      <c r="AJ10890">
        <v>20.53022</v>
      </c>
      <c r="AK10890">
        <v>60.473230000000001</v>
      </c>
    </row>
    <row r="10891" spans="1:37" x14ac:dyDescent="0.3">
      <c r="A10891">
        <v>10890</v>
      </c>
      <c r="B10891">
        <v>0</v>
      </c>
      <c r="C10891">
        <v>-5.2166699999999997</v>
      </c>
      <c r="D10891">
        <v>8.5833300000000001</v>
      </c>
      <c r="E10891">
        <f>-5.21667-8.58333</f>
        <v>-13.8</v>
      </c>
      <c r="F10891" t="s">
        <v>16291</v>
      </c>
      <c r="G10891" t="s">
        <v>39</v>
      </c>
      <c r="H10891">
        <v>2005</v>
      </c>
      <c r="I10891">
        <v>26.579550000000001</v>
      </c>
      <c r="J10891">
        <v>11.4513</v>
      </c>
      <c r="K10891">
        <v>70</v>
      </c>
      <c r="L10891">
        <v>11.84747</v>
      </c>
      <c r="M10891">
        <v>35.259099999999997</v>
      </c>
      <c r="N10891">
        <v>19.079550000000001</v>
      </c>
      <c r="O10891">
        <v>16.179549999999999</v>
      </c>
      <c r="P10891">
        <v>25.0078</v>
      </c>
      <c r="Q10891">
        <v>26.43085</v>
      </c>
      <c r="R10891">
        <v>28.159099999999999</v>
      </c>
      <c r="S10891">
        <v>25.0078</v>
      </c>
      <c r="T10891">
        <v>1086.5530000000001</v>
      </c>
      <c r="U10891">
        <v>218.2045</v>
      </c>
      <c r="V10891">
        <v>7</v>
      </c>
      <c r="W10891">
        <v>69.486999999999995</v>
      </c>
      <c r="X10891">
        <v>510.1438</v>
      </c>
      <c r="Y10891">
        <v>45</v>
      </c>
      <c r="Z10891">
        <v>195.2045</v>
      </c>
      <c r="AA10891">
        <v>510.1438</v>
      </c>
      <c r="AB10891">
        <v>3.7932299999999999</v>
      </c>
      <c r="AC10891">
        <v>0.14571100000000001</v>
      </c>
      <c r="AD10891">
        <v>1.7526139999999999</v>
      </c>
      <c r="AE10891">
        <v>0.41398499999999999</v>
      </c>
      <c r="AF10891">
        <v>321.55810000000002</v>
      </c>
      <c r="AG10891">
        <f>IFERROR(AH10891*0.1, "N/A")</f>
        <v>5.9</v>
      </c>
      <c r="AH10891">
        <v>59</v>
      </c>
      <c r="AI10891">
        <v>304.10149999999999</v>
      </c>
      <c r="AJ10891">
        <v>20.37435</v>
      </c>
      <c r="AK10891">
        <v>59</v>
      </c>
    </row>
    <row r="10892" spans="1:37" x14ac:dyDescent="0.3">
      <c r="A10892">
        <v>10891</v>
      </c>
      <c r="B10892">
        <v>2.1</v>
      </c>
      <c r="C10892">
        <v>-5.2166699999999997</v>
      </c>
      <c r="D10892">
        <v>8.5833300000000001</v>
      </c>
      <c r="E10892">
        <f>-5.21667-8.58333</f>
        <v>-13.8</v>
      </c>
      <c r="F10892" t="s">
        <v>16292</v>
      </c>
      <c r="G10892" t="s">
        <v>37</v>
      </c>
      <c r="H10892">
        <v>2005</v>
      </c>
      <c r="I10892">
        <v>26.579550000000001</v>
      </c>
      <c r="J10892">
        <v>11.4513</v>
      </c>
      <c r="K10892">
        <v>70</v>
      </c>
      <c r="L10892">
        <v>11.84747</v>
      </c>
      <c r="M10892">
        <v>35.259099999999997</v>
      </c>
      <c r="N10892">
        <v>19.079550000000001</v>
      </c>
      <c r="O10892">
        <v>16.179549999999999</v>
      </c>
      <c r="P10892">
        <v>25.0078</v>
      </c>
      <c r="Q10892">
        <v>26.43085</v>
      </c>
      <c r="R10892">
        <v>28.159099999999999</v>
      </c>
      <c r="S10892">
        <v>25.0078</v>
      </c>
      <c r="T10892">
        <v>1086.5530000000001</v>
      </c>
      <c r="U10892">
        <v>218.2045</v>
      </c>
      <c r="V10892">
        <v>7</v>
      </c>
      <c r="W10892">
        <v>69.486999999999995</v>
      </c>
      <c r="X10892">
        <v>510.1438</v>
      </c>
      <c r="Y10892">
        <v>45</v>
      </c>
      <c r="Z10892">
        <v>195.2045</v>
      </c>
      <c r="AA10892">
        <v>510.1438</v>
      </c>
      <c r="AB10892">
        <v>3.7932299999999999</v>
      </c>
      <c r="AC10892">
        <v>0.14571100000000001</v>
      </c>
      <c r="AD10892">
        <v>1.7526139999999999</v>
      </c>
      <c r="AE10892">
        <v>0.41398499999999999</v>
      </c>
      <c r="AF10892">
        <v>321.55810000000002</v>
      </c>
      <c r="AG10892">
        <f>IFERROR(AH10892*0.1, "N/A")</f>
        <v>5.9</v>
      </c>
      <c r="AH10892">
        <v>59</v>
      </c>
      <c r="AI10892">
        <v>304.10149999999999</v>
      </c>
      <c r="AJ10892">
        <v>20.37435</v>
      </c>
      <c r="AK10892">
        <v>59</v>
      </c>
    </row>
    <row r="10893" spans="1:37" x14ac:dyDescent="0.3">
      <c r="A10893">
        <v>10892</v>
      </c>
      <c r="B10893">
        <v>0</v>
      </c>
      <c r="C10893">
        <v>-5.1333299999999999</v>
      </c>
      <c r="D10893">
        <v>8.9</v>
      </c>
      <c r="E10893">
        <f>-5.13333-8.9</f>
        <v>-14.033329999999999</v>
      </c>
      <c r="F10893" t="s">
        <v>16293</v>
      </c>
      <c r="G10893" t="s">
        <v>39</v>
      </c>
      <c r="H10893">
        <v>2005</v>
      </c>
      <c r="I10893">
        <v>26.402080000000002</v>
      </c>
      <c r="J10893">
        <v>11.4192</v>
      </c>
      <c r="K10893">
        <v>67.192040000000006</v>
      </c>
      <c r="L10893">
        <v>12.64317</v>
      </c>
      <c r="M10893">
        <v>35.22128</v>
      </c>
      <c r="N10893">
        <v>18.421279999999999</v>
      </c>
      <c r="O10893">
        <v>16.8</v>
      </c>
      <c r="P10893">
        <v>24.821280000000002</v>
      </c>
      <c r="Q10893">
        <v>26.52336</v>
      </c>
      <c r="R10893">
        <v>28.180800000000001</v>
      </c>
      <c r="S10893">
        <v>24.821280000000002</v>
      </c>
      <c r="T10893">
        <v>1089.066</v>
      </c>
      <c r="U10893">
        <v>215.78720000000001</v>
      </c>
      <c r="V10893">
        <v>6.1505190000000001</v>
      </c>
      <c r="W10893">
        <v>72.787199999999999</v>
      </c>
      <c r="X10893">
        <v>540.38239999999996</v>
      </c>
      <c r="Y10893">
        <v>43.15052</v>
      </c>
      <c r="Z10893">
        <v>159.97919999999999</v>
      </c>
      <c r="AA10893">
        <v>540.38239999999996</v>
      </c>
      <c r="AB10893">
        <v>6.892207</v>
      </c>
      <c r="AC10893">
        <v>3.8288910000000002E-2</v>
      </c>
      <c r="AD10893">
        <v>3.421951</v>
      </c>
      <c r="AE10893">
        <v>0.50432580000000005</v>
      </c>
      <c r="AF10893">
        <v>350.92039999999997</v>
      </c>
      <c r="AG10893">
        <f>IFERROR(AH10893*0.1, "N/A")</f>
        <v>6.0717990000000004</v>
      </c>
      <c r="AH10893">
        <v>60.71799</v>
      </c>
      <c r="AI10893">
        <v>160.11060000000001</v>
      </c>
      <c r="AJ10893">
        <v>21.356400000000001</v>
      </c>
      <c r="AK10893">
        <v>60.493079999999999</v>
      </c>
    </row>
    <row r="10894" spans="1:37" x14ac:dyDescent="0.3">
      <c r="A10894">
        <v>10893</v>
      </c>
      <c r="B10894">
        <v>0.7</v>
      </c>
      <c r="C10894">
        <v>-5.1333299999999999</v>
      </c>
      <c r="D10894">
        <v>8.9</v>
      </c>
      <c r="E10894">
        <f>-5.13333-8.9</f>
        <v>-14.033329999999999</v>
      </c>
      <c r="F10894" t="s">
        <v>16294</v>
      </c>
      <c r="G10894" t="s">
        <v>37</v>
      </c>
      <c r="H10894">
        <v>2005</v>
      </c>
      <c r="I10894">
        <v>26.402080000000002</v>
      </c>
      <c r="J10894">
        <v>11.4192</v>
      </c>
      <c r="K10894">
        <v>67.192040000000006</v>
      </c>
      <c r="L10894">
        <v>12.64317</v>
      </c>
      <c r="M10894">
        <v>35.22128</v>
      </c>
      <c r="N10894">
        <v>18.421279999999999</v>
      </c>
      <c r="O10894">
        <v>16.8</v>
      </c>
      <c r="P10894">
        <v>24.821280000000002</v>
      </c>
      <c r="Q10894">
        <v>26.52336</v>
      </c>
      <c r="R10894">
        <v>28.180800000000001</v>
      </c>
      <c r="S10894">
        <v>24.821280000000002</v>
      </c>
      <c r="T10894">
        <v>1089.066</v>
      </c>
      <c r="U10894">
        <v>215.78720000000001</v>
      </c>
      <c r="V10894">
        <v>6.1505190000000001</v>
      </c>
      <c r="W10894">
        <v>72.787199999999999</v>
      </c>
      <c r="X10894">
        <v>540.38239999999996</v>
      </c>
      <c r="Y10894">
        <v>43.15052</v>
      </c>
      <c r="Z10894">
        <v>159.97919999999999</v>
      </c>
      <c r="AA10894">
        <v>540.38239999999996</v>
      </c>
      <c r="AB10894">
        <v>6.892207</v>
      </c>
      <c r="AC10894">
        <v>3.8288910000000002E-2</v>
      </c>
      <c r="AD10894">
        <v>3.421951</v>
      </c>
      <c r="AE10894">
        <v>0.50432580000000005</v>
      </c>
      <c r="AF10894">
        <v>350.92039999999997</v>
      </c>
      <c r="AG10894">
        <f>IFERROR(AH10894*0.1, "N/A")</f>
        <v>6.0717990000000004</v>
      </c>
      <c r="AH10894">
        <v>60.71799</v>
      </c>
      <c r="AI10894">
        <v>160.11060000000001</v>
      </c>
      <c r="AJ10894">
        <v>21.356400000000001</v>
      </c>
      <c r="AK10894">
        <v>60.493079999999999</v>
      </c>
    </row>
    <row r="10895" spans="1:37" x14ac:dyDescent="0.3">
      <c r="A10895">
        <v>10894</v>
      </c>
      <c r="B10895">
        <v>0.8</v>
      </c>
      <c r="C10895">
        <v>-5.6779999999999999</v>
      </c>
      <c r="D10895">
        <v>9.2240000000000002</v>
      </c>
      <c r="E10895">
        <f>-5.678-9.224</f>
        <v>-14.902000000000001</v>
      </c>
      <c r="F10895" t="s">
        <v>16295</v>
      </c>
      <c r="G10895" t="s">
        <v>39</v>
      </c>
      <c r="H10895">
        <v>2005</v>
      </c>
      <c r="I10895">
        <v>26.70121</v>
      </c>
      <c r="J10895">
        <v>11.6</v>
      </c>
      <c r="K10895">
        <v>64</v>
      </c>
      <c r="L10895">
        <v>13.777950000000001</v>
      </c>
      <c r="M10895">
        <v>36.4</v>
      </c>
      <c r="N10895">
        <v>18.5</v>
      </c>
      <c r="O10895">
        <v>17.899999999999999</v>
      </c>
      <c r="P10895">
        <v>25.002410000000001</v>
      </c>
      <c r="Q10895">
        <v>27</v>
      </c>
      <c r="R10895">
        <v>28.70121</v>
      </c>
      <c r="S10895">
        <v>25.002410000000001</v>
      </c>
      <c r="T10895">
        <v>1243.9639999999999</v>
      </c>
      <c r="U10895">
        <v>247.0121</v>
      </c>
      <c r="V10895">
        <v>7</v>
      </c>
      <c r="W10895">
        <v>79</v>
      </c>
      <c r="X10895">
        <v>669</v>
      </c>
      <c r="Y10895">
        <v>34.987929999999999</v>
      </c>
      <c r="Z10895">
        <v>155.9879</v>
      </c>
      <c r="AA10895">
        <v>669</v>
      </c>
      <c r="AB10895">
        <v>18.71603</v>
      </c>
      <c r="AC10895">
        <v>1.412892E-2</v>
      </c>
      <c r="AD10895">
        <v>1.2328330000000001</v>
      </c>
      <c r="AE10895">
        <v>0.39275749999999998</v>
      </c>
      <c r="AF10895">
        <v>329.1121</v>
      </c>
      <c r="AG10895">
        <f>IFERROR(AH10895*0.1, "N/A")</f>
        <v>5.7181030000000002</v>
      </c>
      <c r="AH10895">
        <v>57.18103</v>
      </c>
      <c r="AI10895">
        <v>162.6996</v>
      </c>
      <c r="AJ10895">
        <v>18.741379999999999</v>
      </c>
      <c r="AK10895">
        <v>52.879309999999997</v>
      </c>
    </row>
    <row r="10896" spans="1:37" x14ac:dyDescent="0.3">
      <c r="A10896">
        <v>10895</v>
      </c>
      <c r="B10896">
        <v>26.9</v>
      </c>
      <c r="C10896">
        <v>-5.6779999999999999</v>
      </c>
      <c r="D10896">
        <v>9.2240000000000002</v>
      </c>
      <c r="E10896">
        <f>-5.678-9.224</f>
        <v>-14.902000000000001</v>
      </c>
      <c r="F10896" t="s">
        <v>16296</v>
      </c>
      <c r="G10896" t="s">
        <v>37</v>
      </c>
      <c r="H10896">
        <v>2005</v>
      </c>
      <c r="I10896">
        <v>26.70121</v>
      </c>
      <c r="J10896">
        <v>11.6</v>
      </c>
      <c r="K10896">
        <v>64</v>
      </c>
      <c r="L10896">
        <v>13.777950000000001</v>
      </c>
      <c r="M10896">
        <v>36.4</v>
      </c>
      <c r="N10896">
        <v>18.5</v>
      </c>
      <c r="O10896">
        <v>17.899999999999999</v>
      </c>
      <c r="P10896">
        <v>25.002410000000001</v>
      </c>
      <c r="Q10896">
        <v>27</v>
      </c>
      <c r="R10896">
        <v>28.70121</v>
      </c>
      <c r="S10896">
        <v>25.002410000000001</v>
      </c>
      <c r="T10896">
        <v>1243.9639999999999</v>
      </c>
      <c r="U10896">
        <v>247.0121</v>
      </c>
      <c r="V10896">
        <v>7</v>
      </c>
      <c r="W10896">
        <v>79</v>
      </c>
      <c r="X10896">
        <v>669</v>
      </c>
      <c r="Y10896">
        <v>34.987929999999999</v>
      </c>
      <c r="Z10896">
        <v>155.9879</v>
      </c>
      <c r="AA10896">
        <v>669</v>
      </c>
      <c r="AB10896">
        <v>18.71603</v>
      </c>
      <c r="AC10896">
        <v>1.412892E-2</v>
      </c>
      <c r="AD10896">
        <v>1.2328330000000001</v>
      </c>
      <c r="AE10896">
        <v>0.39275749999999998</v>
      </c>
      <c r="AF10896">
        <v>329.1121</v>
      </c>
      <c r="AG10896">
        <f>IFERROR(AH10896*0.1, "N/A")</f>
        <v>5.7181030000000002</v>
      </c>
      <c r="AH10896">
        <v>57.18103</v>
      </c>
      <c r="AI10896">
        <v>162.6996</v>
      </c>
      <c r="AJ10896">
        <v>18.741379999999999</v>
      </c>
      <c r="AK10896">
        <v>52.879309999999997</v>
      </c>
    </row>
    <row r="10897" spans="1:37" x14ac:dyDescent="0.3">
      <c r="A10897">
        <v>10896</v>
      </c>
      <c r="B10897">
        <v>3.9</v>
      </c>
      <c r="C10897">
        <v>-5.7333299999999996</v>
      </c>
      <c r="D10897">
        <v>9.2333300000000005</v>
      </c>
      <c r="E10897">
        <f>-5.73333-9.23333</f>
        <v>-14.966660000000001</v>
      </c>
      <c r="F10897" t="s">
        <v>16297</v>
      </c>
      <c r="G10897" t="s">
        <v>39</v>
      </c>
      <c r="H10897">
        <v>2005</v>
      </c>
      <c r="I10897">
        <v>26.486719999999998</v>
      </c>
      <c r="J10897">
        <v>11.59845</v>
      </c>
      <c r="K10897">
        <v>64.253450000000001</v>
      </c>
      <c r="L10897">
        <v>13.6264</v>
      </c>
      <c r="M10897">
        <v>36.222760000000001</v>
      </c>
      <c r="N10897">
        <v>18.28828</v>
      </c>
      <c r="O10897">
        <v>17.934480000000001</v>
      </c>
      <c r="P10897">
        <v>24.86138</v>
      </c>
      <c r="Q10897">
        <v>26.848099999999999</v>
      </c>
      <c r="R10897">
        <v>28.461379999999998</v>
      </c>
      <c r="S10897">
        <v>24.86138</v>
      </c>
      <c r="T10897">
        <v>1261.7570000000001</v>
      </c>
      <c r="U10897">
        <v>253.8672</v>
      </c>
      <c r="V10897">
        <v>7</v>
      </c>
      <c r="W10897">
        <v>78.984480000000005</v>
      </c>
      <c r="X10897">
        <v>680.98450000000003</v>
      </c>
      <c r="Y10897">
        <v>35.386209999999998</v>
      </c>
      <c r="Z10897">
        <v>158</v>
      </c>
      <c r="AA10897">
        <v>680.98450000000003</v>
      </c>
      <c r="AB10897">
        <v>9.4591349999999998</v>
      </c>
      <c r="AC10897">
        <v>5.5510450000000003E-2</v>
      </c>
      <c r="AD10897">
        <v>2.2660439999999999</v>
      </c>
      <c r="AE10897">
        <v>0.57176830000000001</v>
      </c>
      <c r="AF10897">
        <v>364.08280000000002</v>
      </c>
      <c r="AG10897">
        <f>IFERROR(AH10897*0.1, "N/A")</f>
        <v>5.6000000000000005</v>
      </c>
      <c r="AH10897">
        <v>56</v>
      </c>
      <c r="AI10897">
        <v>316.05</v>
      </c>
      <c r="AJ10897">
        <v>15.01552</v>
      </c>
      <c r="AK10897">
        <v>62.984479999999998</v>
      </c>
    </row>
    <row r="10898" spans="1:37" x14ac:dyDescent="0.3">
      <c r="A10898">
        <v>10897</v>
      </c>
      <c r="B10898">
        <v>5.0999999999999996</v>
      </c>
      <c r="C10898">
        <v>-5.7333299999999996</v>
      </c>
      <c r="D10898">
        <v>9.2333300000000005</v>
      </c>
      <c r="E10898">
        <f>-5.73333-9.23333</f>
        <v>-14.966660000000001</v>
      </c>
      <c r="F10898" t="s">
        <v>16298</v>
      </c>
      <c r="G10898" t="s">
        <v>37</v>
      </c>
      <c r="H10898">
        <v>2005</v>
      </c>
      <c r="I10898">
        <v>26.486719999999998</v>
      </c>
      <c r="J10898">
        <v>11.59845</v>
      </c>
      <c r="K10898">
        <v>64.253450000000001</v>
      </c>
      <c r="L10898">
        <v>13.6264</v>
      </c>
      <c r="M10898">
        <v>36.222760000000001</v>
      </c>
      <c r="N10898">
        <v>18.28828</v>
      </c>
      <c r="O10898">
        <v>17.934480000000001</v>
      </c>
      <c r="P10898">
        <v>24.86138</v>
      </c>
      <c r="Q10898">
        <v>26.848099999999999</v>
      </c>
      <c r="R10898">
        <v>28.461379999999998</v>
      </c>
      <c r="S10898">
        <v>24.86138</v>
      </c>
      <c r="T10898">
        <v>1261.7570000000001</v>
      </c>
      <c r="U10898">
        <v>253.8672</v>
      </c>
      <c r="V10898">
        <v>7</v>
      </c>
      <c r="W10898">
        <v>78.984480000000005</v>
      </c>
      <c r="X10898">
        <v>680.98450000000003</v>
      </c>
      <c r="Y10898">
        <v>35.386209999999998</v>
      </c>
      <c r="Z10898">
        <v>158</v>
      </c>
      <c r="AA10898">
        <v>680.98450000000003</v>
      </c>
      <c r="AB10898">
        <v>9.4591349999999998</v>
      </c>
      <c r="AC10898">
        <v>5.5510450000000003E-2</v>
      </c>
      <c r="AD10898">
        <v>2.2660439999999999</v>
      </c>
      <c r="AE10898">
        <v>0.57176830000000001</v>
      </c>
      <c r="AF10898">
        <v>364.08280000000002</v>
      </c>
      <c r="AG10898">
        <f>IFERROR(AH10898*0.1, "N/A")</f>
        <v>5.6000000000000005</v>
      </c>
      <c r="AH10898">
        <v>56</v>
      </c>
      <c r="AI10898">
        <v>316.05</v>
      </c>
      <c r="AJ10898">
        <v>15.01552</v>
      </c>
      <c r="AK10898">
        <v>62.984479999999998</v>
      </c>
    </row>
    <row r="10899" spans="1:37" x14ac:dyDescent="0.3">
      <c r="A10899">
        <v>10898</v>
      </c>
      <c r="B10899">
        <v>0</v>
      </c>
      <c r="C10899">
        <v>-5.6</v>
      </c>
      <c r="D10899">
        <v>9.25</v>
      </c>
      <c r="E10899">
        <f>-5.6-9.25</f>
        <v>-14.85</v>
      </c>
      <c r="F10899" t="s">
        <v>16299</v>
      </c>
      <c r="G10899" t="s">
        <v>39</v>
      </c>
      <c r="H10899">
        <v>2005</v>
      </c>
      <c r="I10899">
        <v>26.722239999999999</v>
      </c>
      <c r="J10899">
        <v>11.52224</v>
      </c>
      <c r="K10899">
        <v>64</v>
      </c>
      <c r="L10899">
        <v>13.49962</v>
      </c>
      <c r="M10899">
        <v>36.322240000000001</v>
      </c>
      <c r="N10899">
        <v>18.5</v>
      </c>
      <c r="O10899">
        <v>17.822240000000001</v>
      </c>
      <c r="P10899">
        <v>25.073969999999999</v>
      </c>
      <c r="Q10899">
        <v>27</v>
      </c>
      <c r="R10899">
        <v>28.655349999999999</v>
      </c>
      <c r="S10899">
        <v>25.073969999999999</v>
      </c>
      <c r="T10899">
        <v>1232.2929999999999</v>
      </c>
      <c r="U10899">
        <v>242.96209999999999</v>
      </c>
      <c r="V10899">
        <v>7</v>
      </c>
      <c r="W10899">
        <v>78.553449999999998</v>
      </c>
      <c r="X10899">
        <v>660.51549999999997</v>
      </c>
      <c r="Y10899">
        <v>34.777589999999996</v>
      </c>
      <c r="Z10899">
        <v>154</v>
      </c>
      <c r="AA10899">
        <v>660.51549999999997</v>
      </c>
      <c r="AB10899">
        <v>10.20379</v>
      </c>
      <c r="AC10899">
        <v>1.5379169999999999E-2</v>
      </c>
      <c r="AD10899">
        <v>2.147186</v>
      </c>
      <c r="AE10899">
        <v>0.75858060000000005</v>
      </c>
      <c r="AF10899">
        <v>324.14659999999998</v>
      </c>
      <c r="AG10899">
        <f>IFERROR(AH10899*0.1, "N/A")</f>
        <v>5.7408619999999999</v>
      </c>
      <c r="AH10899">
        <v>57.408619999999999</v>
      </c>
      <c r="AI10899">
        <v>152.21979999999999</v>
      </c>
      <c r="AJ10899">
        <v>19.408619999999999</v>
      </c>
      <c r="AK10899">
        <v>57.182760000000002</v>
      </c>
    </row>
    <row r="10900" spans="1:37" x14ac:dyDescent="0.3">
      <c r="A10900">
        <v>10899</v>
      </c>
      <c r="B10900">
        <v>7.6</v>
      </c>
      <c r="C10900">
        <v>-5.6</v>
      </c>
      <c r="D10900">
        <v>9.25</v>
      </c>
      <c r="E10900">
        <f>-5.6-9.25</f>
        <v>-14.85</v>
      </c>
      <c r="F10900" t="s">
        <v>16300</v>
      </c>
      <c r="G10900" t="s">
        <v>37</v>
      </c>
      <c r="H10900">
        <v>2005</v>
      </c>
      <c r="I10900">
        <v>26.722239999999999</v>
      </c>
      <c r="J10900">
        <v>11.52224</v>
      </c>
      <c r="K10900">
        <v>64</v>
      </c>
      <c r="L10900">
        <v>13.49962</v>
      </c>
      <c r="M10900">
        <v>36.322240000000001</v>
      </c>
      <c r="N10900">
        <v>18.5</v>
      </c>
      <c r="O10900">
        <v>17.822240000000001</v>
      </c>
      <c r="P10900">
        <v>25.073969999999999</v>
      </c>
      <c r="Q10900">
        <v>27</v>
      </c>
      <c r="R10900">
        <v>28.655349999999999</v>
      </c>
      <c r="S10900">
        <v>25.073969999999999</v>
      </c>
      <c r="T10900">
        <v>1232.2929999999999</v>
      </c>
      <c r="U10900">
        <v>242.96209999999999</v>
      </c>
      <c r="V10900">
        <v>7</v>
      </c>
      <c r="W10900">
        <v>78.553449999999998</v>
      </c>
      <c r="X10900">
        <v>660.51549999999997</v>
      </c>
      <c r="Y10900">
        <v>34.777589999999996</v>
      </c>
      <c r="Z10900">
        <v>154</v>
      </c>
      <c r="AA10900">
        <v>660.51549999999997</v>
      </c>
      <c r="AB10900">
        <v>10.20379</v>
      </c>
      <c r="AC10900">
        <v>1.5379169999999999E-2</v>
      </c>
      <c r="AD10900">
        <v>2.147186</v>
      </c>
      <c r="AE10900">
        <v>0.75858060000000005</v>
      </c>
      <c r="AF10900">
        <v>324.14659999999998</v>
      </c>
      <c r="AG10900">
        <f>IFERROR(AH10900*0.1, "N/A")</f>
        <v>5.7408619999999999</v>
      </c>
      <c r="AH10900">
        <v>57.408619999999999</v>
      </c>
      <c r="AI10900">
        <v>152.21979999999999</v>
      </c>
      <c r="AJ10900">
        <v>19.408619999999999</v>
      </c>
      <c r="AK10900">
        <v>57.182760000000002</v>
      </c>
    </row>
    <row r="10901" spans="1:37" x14ac:dyDescent="0.3">
      <c r="A10901">
        <v>10900</v>
      </c>
      <c r="B10901">
        <v>2.4</v>
      </c>
      <c r="C10901">
        <v>-5.6429999999999998</v>
      </c>
      <c r="D10901">
        <v>9.27</v>
      </c>
      <c r="E10901">
        <f>-5.643-9.27</f>
        <v>-14.913</v>
      </c>
      <c r="F10901" t="s">
        <v>16301</v>
      </c>
      <c r="G10901" t="s">
        <v>39</v>
      </c>
      <c r="H10901">
        <v>2005</v>
      </c>
      <c r="I10901">
        <v>26.8</v>
      </c>
      <c r="J10901">
        <v>11.6</v>
      </c>
      <c r="K10901">
        <v>64</v>
      </c>
      <c r="L10901">
        <v>13.73</v>
      </c>
      <c r="M10901">
        <v>36.6</v>
      </c>
      <c r="N10901">
        <v>18.5</v>
      </c>
      <c r="O10901">
        <v>18.100000000000001</v>
      </c>
      <c r="P10901">
        <v>25.2</v>
      </c>
      <c r="Q10901">
        <v>27.1</v>
      </c>
      <c r="R10901">
        <v>28.8</v>
      </c>
      <c r="S10901">
        <v>25.2</v>
      </c>
      <c r="T10901">
        <v>1245</v>
      </c>
      <c r="U10901">
        <v>250</v>
      </c>
      <c r="V10901">
        <v>7</v>
      </c>
      <c r="W10901">
        <v>79</v>
      </c>
      <c r="X10901">
        <v>672</v>
      </c>
      <c r="Y10901">
        <v>34</v>
      </c>
      <c r="Z10901">
        <v>154</v>
      </c>
      <c r="AA10901">
        <v>672</v>
      </c>
      <c r="AB10901">
        <v>17.681339999999999</v>
      </c>
      <c r="AC10901">
        <v>2.0884799999999999E-2</v>
      </c>
      <c r="AD10901">
        <v>1.5488729999999999</v>
      </c>
      <c r="AE10901">
        <v>0.58496910000000002</v>
      </c>
      <c r="AF10901">
        <v>320.66669999999999</v>
      </c>
      <c r="AG10901">
        <f>IFERROR(AH10901*0.1, "N/A")</f>
        <v>5.8744390000000006</v>
      </c>
      <c r="AH10901">
        <v>58.744390000000003</v>
      </c>
      <c r="AI10901">
        <v>274.9701</v>
      </c>
      <c r="AJ10901">
        <v>17</v>
      </c>
      <c r="AK10901">
        <v>57</v>
      </c>
    </row>
    <row r="10902" spans="1:37" x14ac:dyDescent="0.3">
      <c r="A10902">
        <v>10901</v>
      </c>
      <c r="B10902">
        <v>38.299999999999997</v>
      </c>
      <c r="C10902">
        <v>-5.6429999999999998</v>
      </c>
      <c r="D10902">
        <v>9.27</v>
      </c>
      <c r="E10902">
        <f>-5.643-9.27</f>
        <v>-14.913</v>
      </c>
      <c r="F10902" t="s">
        <v>16302</v>
      </c>
      <c r="G10902" t="s">
        <v>37</v>
      </c>
      <c r="H10902">
        <v>2005</v>
      </c>
      <c r="I10902">
        <v>26.8</v>
      </c>
      <c r="J10902">
        <v>11.6</v>
      </c>
      <c r="K10902">
        <v>64</v>
      </c>
      <c r="L10902">
        <v>13.73</v>
      </c>
      <c r="M10902">
        <v>36.6</v>
      </c>
      <c r="N10902">
        <v>18.5</v>
      </c>
      <c r="O10902">
        <v>18.100000000000001</v>
      </c>
      <c r="P10902">
        <v>25.2</v>
      </c>
      <c r="Q10902">
        <v>27.1</v>
      </c>
      <c r="R10902">
        <v>28.8</v>
      </c>
      <c r="S10902">
        <v>25.2</v>
      </c>
      <c r="T10902">
        <v>1245</v>
      </c>
      <c r="U10902">
        <v>250</v>
      </c>
      <c r="V10902">
        <v>7</v>
      </c>
      <c r="W10902">
        <v>79</v>
      </c>
      <c r="X10902">
        <v>672</v>
      </c>
      <c r="Y10902">
        <v>34</v>
      </c>
      <c r="Z10902">
        <v>154</v>
      </c>
      <c r="AA10902">
        <v>672</v>
      </c>
      <c r="AB10902">
        <v>17.681339999999999</v>
      </c>
      <c r="AC10902">
        <v>2.0884799999999999E-2</v>
      </c>
      <c r="AD10902">
        <v>1.5488729999999999</v>
      </c>
      <c r="AE10902">
        <v>0.58496910000000002</v>
      </c>
      <c r="AF10902">
        <v>320.66669999999999</v>
      </c>
      <c r="AG10902">
        <f>IFERROR(AH10902*0.1, "N/A")</f>
        <v>5.8744390000000006</v>
      </c>
      <c r="AH10902">
        <v>58.744390000000003</v>
      </c>
      <c r="AI10902">
        <v>274.9701</v>
      </c>
      <c r="AJ10902">
        <v>17</v>
      </c>
      <c r="AK10902">
        <v>57</v>
      </c>
    </row>
    <row r="10903" spans="1:37" x14ac:dyDescent="0.3">
      <c r="A10903">
        <v>10902</v>
      </c>
      <c r="B10903">
        <v>0</v>
      </c>
      <c r="C10903">
        <v>-5.6844099999999997</v>
      </c>
      <c r="D10903">
        <v>9.2823399999999996</v>
      </c>
      <c r="E10903">
        <f>-5.68441-9.28234</f>
        <v>-14.966749999999999</v>
      </c>
      <c r="F10903" t="s">
        <v>16303</v>
      </c>
      <c r="G10903" t="s">
        <v>39</v>
      </c>
      <c r="H10903">
        <v>2005</v>
      </c>
      <c r="I10903">
        <v>26.899480000000001</v>
      </c>
      <c r="J10903">
        <v>11.6</v>
      </c>
      <c r="K10903">
        <v>64</v>
      </c>
      <c r="L10903">
        <v>13.66953</v>
      </c>
      <c r="M10903">
        <v>36.59948</v>
      </c>
      <c r="N10903">
        <v>18.59948</v>
      </c>
      <c r="O10903">
        <v>18</v>
      </c>
      <c r="P10903">
        <v>25.2</v>
      </c>
      <c r="Q10903">
        <v>27.199480000000001</v>
      </c>
      <c r="R10903">
        <v>28.899480000000001</v>
      </c>
      <c r="S10903">
        <v>25.2</v>
      </c>
      <c r="T10903">
        <v>1254.9949999999999</v>
      </c>
      <c r="U10903">
        <v>255</v>
      </c>
      <c r="V10903">
        <v>7</v>
      </c>
      <c r="W10903">
        <v>79</v>
      </c>
      <c r="X10903">
        <v>680</v>
      </c>
      <c r="Y10903">
        <v>34</v>
      </c>
      <c r="Z10903">
        <v>154.9948</v>
      </c>
      <c r="AA10903">
        <v>680</v>
      </c>
      <c r="AB10903">
        <v>5.8861970000000001</v>
      </c>
      <c r="AC10903">
        <v>2.735477E-2</v>
      </c>
      <c r="AD10903">
        <v>1.507153</v>
      </c>
      <c r="AE10903">
        <v>0.64484229999999998</v>
      </c>
      <c r="AF10903">
        <v>312.63900000000001</v>
      </c>
      <c r="AG10903">
        <f>IFERROR(AH10903*0.1, "N/A")</f>
        <v>5.7</v>
      </c>
      <c r="AH10903">
        <v>57</v>
      </c>
      <c r="AI10903">
        <v>264.48480000000001</v>
      </c>
      <c r="AJ10903">
        <v>19.57686</v>
      </c>
      <c r="AK10903">
        <v>54.867010000000001</v>
      </c>
    </row>
    <row r="10904" spans="1:37" x14ac:dyDescent="0.3">
      <c r="A10904">
        <v>10903</v>
      </c>
      <c r="B10904">
        <v>12.8</v>
      </c>
      <c r="C10904">
        <v>-5.6844099999999997</v>
      </c>
      <c r="D10904">
        <v>9.2823399999999996</v>
      </c>
      <c r="E10904">
        <f>-5.68441-9.28234</f>
        <v>-14.966749999999999</v>
      </c>
      <c r="F10904" t="s">
        <v>16304</v>
      </c>
      <c r="G10904" t="s">
        <v>37</v>
      </c>
      <c r="H10904">
        <v>2005</v>
      </c>
      <c r="I10904">
        <v>26.899480000000001</v>
      </c>
      <c r="J10904">
        <v>11.6</v>
      </c>
      <c r="K10904">
        <v>64</v>
      </c>
      <c r="L10904">
        <v>13.66953</v>
      </c>
      <c r="M10904">
        <v>36.59948</v>
      </c>
      <c r="N10904">
        <v>18.59948</v>
      </c>
      <c r="O10904">
        <v>18</v>
      </c>
      <c r="P10904">
        <v>25.2</v>
      </c>
      <c r="Q10904">
        <v>27.199480000000001</v>
      </c>
      <c r="R10904">
        <v>28.899480000000001</v>
      </c>
      <c r="S10904">
        <v>25.2</v>
      </c>
      <c r="T10904">
        <v>1254.9949999999999</v>
      </c>
      <c r="U10904">
        <v>255</v>
      </c>
      <c r="V10904">
        <v>7</v>
      </c>
      <c r="W10904">
        <v>79</v>
      </c>
      <c r="X10904">
        <v>680</v>
      </c>
      <c r="Y10904">
        <v>34</v>
      </c>
      <c r="Z10904">
        <v>154.9948</v>
      </c>
      <c r="AA10904">
        <v>680</v>
      </c>
      <c r="AB10904">
        <v>5.8861970000000001</v>
      </c>
      <c r="AC10904">
        <v>2.735477E-2</v>
      </c>
      <c r="AD10904">
        <v>1.507153</v>
      </c>
      <c r="AE10904">
        <v>0.64484229999999998</v>
      </c>
      <c r="AF10904">
        <v>312.63900000000001</v>
      </c>
      <c r="AG10904">
        <f>IFERROR(AH10904*0.1, "N/A")</f>
        <v>5.7</v>
      </c>
      <c r="AH10904">
        <v>57</v>
      </c>
      <c r="AI10904">
        <v>264.48480000000001</v>
      </c>
      <c r="AJ10904">
        <v>19.57686</v>
      </c>
      <c r="AK10904">
        <v>54.867010000000001</v>
      </c>
    </row>
    <row r="10905" spans="1:37" x14ac:dyDescent="0.3">
      <c r="A10905">
        <v>10904</v>
      </c>
      <c r="B10905">
        <v>6.2</v>
      </c>
      <c r="C10905">
        <v>-5.6666699999999999</v>
      </c>
      <c r="D10905">
        <v>9.3000000000000007</v>
      </c>
      <c r="E10905">
        <f>-5.66667-9.3</f>
        <v>-14.966670000000001</v>
      </c>
      <c r="F10905" t="s">
        <v>16305</v>
      </c>
      <c r="G10905" t="s">
        <v>39</v>
      </c>
      <c r="H10905">
        <v>2005</v>
      </c>
      <c r="I10905">
        <v>26.697420000000001</v>
      </c>
      <c r="J10905">
        <v>11.6</v>
      </c>
      <c r="K10905">
        <v>64</v>
      </c>
      <c r="L10905">
        <v>13.85317</v>
      </c>
      <c r="M10905">
        <v>36.497419999999998</v>
      </c>
      <c r="N10905">
        <v>18.41377</v>
      </c>
      <c r="O10905">
        <v>18.083649999999999</v>
      </c>
      <c r="P10905">
        <v>25.027539999999998</v>
      </c>
      <c r="Q10905">
        <v>26.997420000000002</v>
      </c>
      <c r="R10905">
        <v>28.711189999999998</v>
      </c>
      <c r="S10905">
        <v>25.027539999999998</v>
      </c>
      <c r="T10905">
        <v>1258.905</v>
      </c>
      <c r="U10905">
        <v>256.0172</v>
      </c>
      <c r="V10905">
        <v>7</v>
      </c>
      <c r="W10905">
        <v>79.836489999999998</v>
      </c>
      <c r="X10905">
        <v>682.1807</v>
      </c>
      <c r="Y10905">
        <v>34</v>
      </c>
      <c r="Z10905">
        <v>154.8623</v>
      </c>
      <c r="AA10905">
        <v>682.1807</v>
      </c>
      <c r="AB10905">
        <v>29.396730000000002</v>
      </c>
      <c r="AC10905">
        <v>3.0715650000000001E-2</v>
      </c>
      <c r="AD10905">
        <v>1.7824120000000001</v>
      </c>
      <c r="AE10905">
        <v>0.64211059999999998</v>
      </c>
      <c r="AF10905">
        <v>349.05340000000001</v>
      </c>
      <c r="AG10905">
        <f>IFERROR(AH10905*0.1, "N/A")</f>
        <v>5.6535280000000006</v>
      </c>
      <c r="AH10905">
        <v>56.53528</v>
      </c>
      <c r="AI10905">
        <v>20.629200000000001</v>
      </c>
      <c r="AJ10905">
        <v>17.578309999999998</v>
      </c>
      <c r="AK10905">
        <v>56.77281</v>
      </c>
    </row>
    <row r="10906" spans="1:37" x14ac:dyDescent="0.3">
      <c r="A10906">
        <v>10905</v>
      </c>
      <c r="B10906">
        <v>20.7</v>
      </c>
      <c r="C10906">
        <v>-5.6666699999999999</v>
      </c>
      <c r="D10906">
        <v>9.3000000000000007</v>
      </c>
      <c r="E10906">
        <f>-5.66667-9.3</f>
        <v>-14.966670000000001</v>
      </c>
      <c r="F10906" t="s">
        <v>16306</v>
      </c>
      <c r="G10906" t="s">
        <v>37</v>
      </c>
      <c r="H10906">
        <v>2005</v>
      </c>
      <c r="I10906">
        <v>26.697420000000001</v>
      </c>
      <c r="J10906">
        <v>11.6</v>
      </c>
      <c r="K10906">
        <v>64</v>
      </c>
      <c r="L10906">
        <v>13.85317</v>
      </c>
      <c r="M10906">
        <v>36.497419999999998</v>
      </c>
      <c r="N10906">
        <v>18.41377</v>
      </c>
      <c r="O10906">
        <v>18.083649999999999</v>
      </c>
      <c r="P10906">
        <v>25.027539999999998</v>
      </c>
      <c r="Q10906">
        <v>26.997420000000002</v>
      </c>
      <c r="R10906">
        <v>28.711189999999998</v>
      </c>
      <c r="S10906">
        <v>25.027539999999998</v>
      </c>
      <c r="T10906">
        <v>1258.905</v>
      </c>
      <c r="U10906">
        <v>256.0172</v>
      </c>
      <c r="V10906">
        <v>7</v>
      </c>
      <c r="W10906">
        <v>79.836489999999998</v>
      </c>
      <c r="X10906">
        <v>682.1807</v>
      </c>
      <c r="Y10906">
        <v>34</v>
      </c>
      <c r="Z10906">
        <v>154.8623</v>
      </c>
      <c r="AA10906">
        <v>682.1807</v>
      </c>
      <c r="AB10906">
        <v>29.396730000000002</v>
      </c>
      <c r="AC10906">
        <v>3.0715650000000001E-2</v>
      </c>
      <c r="AD10906">
        <v>1.7824120000000001</v>
      </c>
      <c r="AE10906">
        <v>0.64211059999999998</v>
      </c>
      <c r="AF10906">
        <v>349.05340000000001</v>
      </c>
      <c r="AG10906">
        <f>IFERROR(AH10906*0.1, "N/A")</f>
        <v>5.6535280000000006</v>
      </c>
      <c r="AH10906">
        <v>56.53528</v>
      </c>
      <c r="AI10906">
        <v>20.629200000000001</v>
      </c>
      <c r="AJ10906">
        <v>17.578309999999998</v>
      </c>
      <c r="AK10906">
        <v>56.77281</v>
      </c>
    </row>
    <row r="10907" spans="1:37" x14ac:dyDescent="0.3">
      <c r="A10907">
        <v>10906</v>
      </c>
      <c r="B10907">
        <v>3</v>
      </c>
      <c r="C10907">
        <v>-5.8833299999999999</v>
      </c>
      <c r="D10907">
        <v>9.3333300000000001</v>
      </c>
      <c r="E10907">
        <f>-5.88333-9.33333</f>
        <v>-15.216660000000001</v>
      </c>
      <c r="F10907" t="s">
        <v>16307</v>
      </c>
      <c r="G10907" t="s">
        <v>39</v>
      </c>
      <c r="H10907">
        <v>2005</v>
      </c>
      <c r="I10907">
        <v>26.5</v>
      </c>
      <c r="J10907">
        <v>11.7</v>
      </c>
      <c r="K10907">
        <v>63.893099999999997</v>
      </c>
      <c r="L10907">
        <v>13.70866</v>
      </c>
      <c r="M10907">
        <v>36.21069</v>
      </c>
      <c r="N10907">
        <v>18</v>
      </c>
      <c r="O10907">
        <v>18.21069</v>
      </c>
      <c r="P10907">
        <v>24.9</v>
      </c>
      <c r="Q10907">
        <v>26.7</v>
      </c>
      <c r="R10907">
        <v>28.5</v>
      </c>
      <c r="S10907">
        <v>24.9</v>
      </c>
      <c r="T10907">
        <v>1296.2670000000001</v>
      </c>
      <c r="U10907">
        <v>275.08449999999999</v>
      </c>
      <c r="V10907">
        <v>6</v>
      </c>
      <c r="W10907">
        <v>81</v>
      </c>
      <c r="X10907">
        <v>716.08450000000005</v>
      </c>
      <c r="Y10907">
        <v>33</v>
      </c>
      <c r="Z10907">
        <v>153.18279999999999</v>
      </c>
      <c r="AA10907">
        <v>716.08450000000005</v>
      </c>
      <c r="AB10907">
        <v>19.00966</v>
      </c>
      <c r="AC10907">
        <v>8.5387399999999995E-3</v>
      </c>
      <c r="AD10907">
        <v>1.4157409999999999</v>
      </c>
      <c r="AE10907">
        <v>0.4826047</v>
      </c>
      <c r="AF10907">
        <v>373.98450000000003</v>
      </c>
      <c r="AG10907">
        <f>IFERROR(AH10907*0.1, "N/A")</f>
        <v>5.6289660000000001</v>
      </c>
      <c r="AH10907">
        <v>56.289659999999998</v>
      </c>
      <c r="AI10907">
        <v>195.34800000000001</v>
      </c>
      <c r="AJ10907">
        <v>22.83276</v>
      </c>
      <c r="AK10907">
        <v>53.155169999999998</v>
      </c>
    </row>
    <row r="10908" spans="1:37" x14ac:dyDescent="0.3">
      <c r="A10908">
        <v>10907</v>
      </c>
      <c r="B10908">
        <v>4</v>
      </c>
      <c r="C10908">
        <v>-5.8833299999999999</v>
      </c>
      <c r="D10908">
        <v>9.3333300000000001</v>
      </c>
      <c r="E10908">
        <f>-5.88333-9.33333</f>
        <v>-15.216660000000001</v>
      </c>
      <c r="F10908" t="s">
        <v>16308</v>
      </c>
      <c r="G10908" t="s">
        <v>37</v>
      </c>
      <c r="H10908">
        <v>2005</v>
      </c>
      <c r="I10908">
        <v>26.5</v>
      </c>
      <c r="J10908">
        <v>11.7</v>
      </c>
      <c r="K10908">
        <v>63.893099999999997</v>
      </c>
      <c r="L10908">
        <v>13.70866</v>
      </c>
      <c r="M10908">
        <v>36.21069</v>
      </c>
      <c r="N10908">
        <v>18</v>
      </c>
      <c r="O10908">
        <v>18.21069</v>
      </c>
      <c r="P10908">
        <v>24.9</v>
      </c>
      <c r="Q10908">
        <v>26.7</v>
      </c>
      <c r="R10908">
        <v>28.5</v>
      </c>
      <c r="S10908">
        <v>24.9</v>
      </c>
      <c r="T10908">
        <v>1296.2670000000001</v>
      </c>
      <c r="U10908">
        <v>275.08449999999999</v>
      </c>
      <c r="V10908">
        <v>6</v>
      </c>
      <c r="W10908">
        <v>81</v>
      </c>
      <c r="X10908">
        <v>716.08450000000005</v>
      </c>
      <c r="Y10908">
        <v>33</v>
      </c>
      <c r="Z10908">
        <v>153.18279999999999</v>
      </c>
      <c r="AA10908">
        <v>716.08450000000005</v>
      </c>
      <c r="AB10908">
        <v>19.00966</v>
      </c>
      <c r="AC10908">
        <v>8.5387399999999995E-3</v>
      </c>
      <c r="AD10908">
        <v>1.4157409999999999</v>
      </c>
      <c r="AE10908">
        <v>0.4826047</v>
      </c>
      <c r="AF10908">
        <v>373.98450000000003</v>
      </c>
      <c r="AG10908">
        <f>IFERROR(AH10908*0.1, "N/A")</f>
        <v>5.6289660000000001</v>
      </c>
      <c r="AH10908">
        <v>56.289659999999998</v>
      </c>
      <c r="AI10908">
        <v>195.34800000000001</v>
      </c>
      <c r="AJ10908">
        <v>22.83276</v>
      </c>
      <c r="AK10908">
        <v>53.155169999999998</v>
      </c>
    </row>
    <row r="10909" spans="1:37" x14ac:dyDescent="0.3">
      <c r="A10909">
        <v>10908</v>
      </c>
      <c r="B10909">
        <v>2</v>
      </c>
      <c r="C10909">
        <v>-5.6379999999999999</v>
      </c>
      <c r="D10909">
        <v>9.3569999999999993</v>
      </c>
      <c r="E10909">
        <f>-5.638-9.357</f>
        <v>-14.994999999999999</v>
      </c>
      <c r="F10909" t="s">
        <v>16309</v>
      </c>
      <c r="G10909" t="s">
        <v>39</v>
      </c>
      <c r="H10909">
        <v>2005</v>
      </c>
      <c r="I10909">
        <v>26.6</v>
      </c>
      <c r="J10909">
        <v>11.6</v>
      </c>
      <c r="K10909">
        <v>63</v>
      </c>
      <c r="L10909">
        <v>14.18</v>
      </c>
      <c r="M10909">
        <v>36.5</v>
      </c>
      <c r="N10909">
        <v>18.3</v>
      </c>
      <c r="O10909">
        <v>18.2</v>
      </c>
      <c r="P10909">
        <v>24.9</v>
      </c>
      <c r="Q10909">
        <v>26.9</v>
      </c>
      <c r="R10909">
        <v>28.6</v>
      </c>
      <c r="S10909">
        <v>24.9</v>
      </c>
      <c r="T10909">
        <v>1264</v>
      </c>
      <c r="U10909">
        <v>260</v>
      </c>
      <c r="V10909">
        <v>7</v>
      </c>
      <c r="W10909">
        <v>80</v>
      </c>
      <c r="X10909">
        <v>688</v>
      </c>
      <c r="Y10909">
        <v>33</v>
      </c>
      <c r="Z10909">
        <v>153</v>
      </c>
      <c r="AA10909">
        <v>688</v>
      </c>
      <c r="AB10909">
        <v>22.76643</v>
      </c>
      <c r="AC10909">
        <v>2.8169759999999999E-2</v>
      </c>
      <c r="AD10909">
        <v>1.20444</v>
      </c>
      <c r="AE10909">
        <v>0.78002720000000003</v>
      </c>
      <c r="AF10909">
        <v>357.78370000000001</v>
      </c>
      <c r="AG10909">
        <f>IFERROR(AH10909*0.1, "N/A")</f>
        <v>5.5989620000000002</v>
      </c>
      <c r="AH10909">
        <v>55.989620000000002</v>
      </c>
      <c r="AI10909">
        <v>142.601</v>
      </c>
      <c r="AJ10909">
        <v>14.69204</v>
      </c>
      <c r="AK10909">
        <v>65.972319999999996</v>
      </c>
    </row>
    <row r="10910" spans="1:37" x14ac:dyDescent="0.3">
      <c r="A10910">
        <v>10909</v>
      </c>
      <c r="B10910">
        <v>20.100000000000001</v>
      </c>
      <c r="C10910">
        <v>-5.6379999999999999</v>
      </c>
      <c r="D10910">
        <v>9.3569999999999993</v>
      </c>
      <c r="E10910">
        <f>-5.638-9.357</f>
        <v>-14.994999999999999</v>
      </c>
      <c r="F10910" t="s">
        <v>16310</v>
      </c>
      <c r="G10910" t="s">
        <v>37</v>
      </c>
      <c r="H10910">
        <v>2005</v>
      </c>
      <c r="I10910">
        <v>26.6</v>
      </c>
      <c r="J10910">
        <v>11.6</v>
      </c>
      <c r="K10910">
        <v>63</v>
      </c>
      <c r="L10910">
        <v>14.18</v>
      </c>
      <c r="M10910">
        <v>36.5</v>
      </c>
      <c r="N10910">
        <v>18.3</v>
      </c>
      <c r="O10910">
        <v>18.2</v>
      </c>
      <c r="P10910">
        <v>24.9</v>
      </c>
      <c r="Q10910">
        <v>26.9</v>
      </c>
      <c r="R10910">
        <v>28.6</v>
      </c>
      <c r="S10910">
        <v>24.9</v>
      </c>
      <c r="T10910">
        <v>1264</v>
      </c>
      <c r="U10910">
        <v>260</v>
      </c>
      <c r="V10910">
        <v>7</v>
      </c>
      <c r="W10910">
        <v>80</v>
      </c>
      <c r="X10910">
        <v>688</v>
      </c>
      <c r="Y10910">
        <v>33</v>
      </c>
      <c r="Z10910">
        <v>153</v>
      </c>
      <c r="AA10910">
        <v>688</v>
      </c>
      <c r="AB10910">
        <v>22.76643</v>
      </c>
      <c r="AC10910">
        <v>2.8169759999999999E-2</v>
      </c>
      <c r="AD10910">
        <v>1.20444</v>
      </c>
      <c r="AE10910">
        <v>0.78002720000000003</v>
      </c>
      <c r="AF10910">
        <v>357.78370000000001</v>
      </c>
      <c r="AG10910">
        <f>IFERROR(AH10910*0.1, "N/A")</f>
        <v>5.5989620000000002</v>
      </c>
      <c r="AH10910">
        <v>55.989620000000002</v>
      </c>
      <c r="AI10910">
        <v>142.601</v>
      </c>
      <c r="AJ10910">
        <v>14.69204</v>
      </c>
      <c r="AK10910">
        <v>65.972319999999996</v>
      </c>
    </row>
    <row r="10911" spans="1:37" x14ac:dyDescent="0.3">
      <c r="A10911">
        <v>10910</v>
      </c>
      <c r="B10911">
        <v>30.8</v>
      </c>
      <c r="C10911">
        <v>-5.8259999999999996</v>
      </c>
      <c r="D10911">
        <v>9.4120000000000008</v>
      </c>
      <c r="E10911">
        <f>-5.826-9.412</f>
        <v>-15.238</v>
      </c>
      <c r="F10911" t="s">
        <v>16311</v>
      </c>
      <c r="G10911" t="s">
        <v>39</v>
      </c>
      <c r="H10911">
        <v>2005</v>
      </c>
      <c r="I10911">
        <v>26.5</v>
      </c>
      <c r="J10911">
        <v>11.7</v>
      </c>
      <c r="K10911">
        <v>63</v>
      </c>
      <c r="L10911">
        <v>13.81</v>
      </c>
      <c r="M10911">
        <v>36.299999999999997</v>
      </c>
      <c r="N10911">
        <v>18</v>
      </c>
      <c r="O10911">
        <v>18.3</v>
      </c>
      <c r="P10911">
        <v>24.9</v>
      </c>
      <c r="Q10911">
        <v>26.7</v>
      </c>
      <c r="R10911">
        <v>28.5</v>
      </c>
      <c r="S10911">
        <v>24.9</v>
      </c>
      <c r="T10911">
        <v>1297</v>
      </c>
      <c r="U10911">
        <v>281</v>
      </c>
      <c r="V10911">
        <v>6</v>
      </c>
      <c r="W10911">
        <v>82</v>
      </c>
      <c r="X10911">
        <v>722</v>
      </c>
      <c r="Y10911">
        <v>31</v>
      </c>
      <c r="Z10911">
        <v>150</v>
      </c>
      <c r="AA10911">
        <v>722</v>
      </c>
      <c r="AB10911">
        <v>15.09844</v>
      </c>
      <c r="AC10911">
        <v>6.1409680000000001E-2</v>
      </c>
      <c r="AD10911">
        <v>2.3251360000000001</v>
      </c>
      <c r="AE10911">
        <v>0.29870999999999998</v>
      </c>
      <c r="AF10911">
        <v>369.21800000000002</v>
      </c>
      <c r="AG10911">
        <f>IFERROR(AH10911*0.1, "N/A")</f>
        <v>5.6200690000000009</v>
      </c>
      <c r="AH10911">
        <v>56.200690000000002</v>
      </c>
      <c r="AI10911">
        <v>107.8693</v>
      </c>
      <c r="AJ10911">
        <v>12.40138</v>
      </c>
      <c r="AK10911">
        <v>69.397919999999999</v>
      </c>
    </row>
    <row r="10912" spans="1:37" x14ac:dyDescent="0.3">
      <c r="A10912">
        <v>10911</v>
      </c>
      <c r="B10912">
        <v>4.9000000000000004</v>
      </c>
      <c r="C10912">
        <v>-5.8259999999999996</v>
      </c>
      <c r="D10912">
        <v>9.4120000000000008</v>
      </c>
      <c r="E10912">
        <f>-5.826-9.412</f>
        <v>-15.238</v>
      </c>
      <c r="F10912" t="s">
        <v>16312</v>
      </c>
      <c r="G10912" t="s">
        <v>37</v>
      </c>
      <c r="H10912">
        <v>2005</v>
      </c>
      <c r="I10912">
        <v>26.5</v>
      </c>
      <c r="J10912">
        <v>11.7</v>
      </c>
      <c r="K10912">
        <v>63</v>
      </c>
      <c r="L10912">
        <v>13.81</v>
      </c>
      <c r="M10912">
        <v>36.299999999999997</v>
      </c>
      <c r="N10912">
        <v>18</v>
      </c>
      <c r="O10912">
        <v>18.3</v>
      </c>
      <c r="P10912">
        <v>24.9</v>
      </c>
      <c r="Q10912">
        <v>26.7</v>
      </c>
      <c r="R10912">
        <v>28.5</v>
      </c>
      <c r="S10912">
        <v>24.9</v>
      </c>
      <c r="T10912">
        <v>1297</v>
      </c>
      <c r="U10912">
        <v>281</v>
      </c>
      <c r="V10912">
        <v>6</v>
      </c>
      <c r="W10912">
        <v>82</v>
      </c>
      <c r="X10912">
        <v>722</v>
      </c>
      <c r="Y10912">
        <v>31</v>
      </c>
      <c r="Z10912">
        <v>150</v>
      </c>
      <c r="AA10912">
        <v>722</v>
      </c>
      <c r="AB10912">
        <v>15.09844</v>
      </c>
      <c r="AC10912">
        <v>6.1409680000000001E-2</v>
      </c>
      <c r="AD10912">
        <v>2.3251360000000001</v>
      </c>
      <c r="AE10912">
        <v>0.29870999999999998</v>
      </c>
      <c r="AF10912">
        <v>369.21800000000002</v>
      </c>
      <c r="AG10912">
        <f>IFERROR(AH10912*0.1, "N/A")</f>
        <v>5.6200690000000009</v>
      </c>
      <c r="AH10912">
        <v>56.200690000000002</v>
      </c>
      <c r="AI10912">
        <v>107.8693</v>
      </c>
      <c r="AJ10912">
        <v>12.40138</v>
      </c>
      <c r="AK10912">
        <v>69.397919999999999</v>
      </c>
    </row>
    <row r="10913" spans="1:37" x14ac:dyDescent="0.3">
      <c r="A10913">
        <v>10912</v>
      </c>
      <c r="B10913">
        <v>3.6</v>
      </c>
      <c r="C10913">
        <v>-5.8333300000000001</v>
      </c>
      <c r="D10913">
        <v>9.4833300000000005</v>
      </c>
      <c r="E10913">
        <f>-5.83333-9.48333</f>
        <v>-15.316660000000001</v>
      </c>
      <c r="F10913" t="s">
        <v>16313</v>
      </c>
      <c r="G10913" t="s">
        <v>39</v>
      </c>
      <c r="H10913">
        <v>2005</v>
      </c>
      <c r="I10913">
        <v>26.554670000000002</v>
      </c>
      <c r="J10913">
        <v>11.745329999999999</v>
      </c>
      <c r="K10913">
        <v>63</v>
      </c>
      <c r="L10913">
        <v>14.03445</v>
      </c>
      <c r="M10913">
        <v>36.4</v>
      </c>
      <c r="N10913">
        <v>17.95467</v>
      </c>
      <c r="O10913">
        <v>18.445329999999998</v>
      </c>
      <c r="P10913">
        <v>24.95467</v>
      </c>
      <c r="Q10913">
        <v>26.754670000000001</v>
      </c>
      <c r="R10913">
        <v>28.654669999999999</v>
      </c>
      <c r="S10913">
        <v>24.95467</v>
      </c>
      <c r="T10913">
        <v>1295.796</v>
      </c>
      <c r="U10913">
        <v>286.51209999999998</v>
      </c>
      <c r="V10913">
        <v>6</v>
      </c>
      <c r="W10913">
        <v>83.358130000000003</v>
      </c>
      <c r="X10913">
        <v>728.154</v>
      </c>
      <c r="Y10913">
        <v>30</v>
      </c>
      <c r="Z10913">
        <v>145</v>
      </c>
      <c r="AA10913">
        <v>728.154</v>
      </c>
      <c r="AB10913">
        <v>4.8167869999999997</v>
      </c>
      <c r="AC10913">
        <v>2.18859E-2</v>
      </c>
      <c r="AD10913">
        <v>1.720591</v>
      </c>
      <c r="AE10913">
        <v>0.59717010000000004</v>
      </c>
      <c r="AF10913">
        <v>353.95850000000002</v>
      </c>
      <c r="AG10913">
        <f>IFERROR(AH10913*0.1, "N/A")</f>
        <v>5.7</v>
      </c>
      <c r="AH10913">
        <v>57</v>
      </c>
      <c r="AI10913">
        <v>102.0073</v>
      </c>
      <c r="AJ10913">
        <v>21.54325</v>
      </c>
      <c r="AK10913">
        <v>55</v>
      </c>
    </row>
    <row r="10914" spans="1:37" x14ac:dyDescent="0.3">
      <c r="A10914">
        <v>10913</v>
      </c>
      <c r="B10914">
        <v>1.5</v>
      </c>
      <c r="C10914">
        <v>-5.8333300000000001</v>
      </c>
      <c r="D10914">
        <v>9.4833300000000005</v>
      </c>
      <c r="E10914">
        <f>-5.83333-9.48333</f>
        <v>-15.316660000000001</v>
      </c>
      <c r="F10914" t="s">
        <v>16314</v>
      </c>
      <c r="G10914" t="s">
        <v>37</v>
      </c>
      <c r="H10914">
        <v>2005</v>
      </c>
      <c r="I10914">
        <v>26.554670000000002</v>
      </c>
      <c r="J10914">
        <v>11.745329999999999</v>
      </c>
      <c r="K10914">
        <v>63</v>
      </c>
      <c r="L10914">
        <v>14.03445</v>
      </c>
      <c r="M10914">
        <v>36.4</v>
      </c>
      <c r="N10914">
        <v>17.95467</v>
      </c>
      <c r="O10914">
        <v>18.445329999999998</v>
      </c>
      <c r="P10914">
        <v>24.95467</v>
      </c>
      <c r="Q10914">
        <v>26.754670000000001</v>
      </c>
      <c r="R10914">
        <v>28.654669999999999</v>
      </c>
      <c r="S10914">
        <v>24.95467</v>
      </c>
      <c r="T10914">
        <v>1295.796</v>
      </c>
      <c r="U10914">
        <v>286.51209999999998</v>
      </c>
      <c r="V10914">
        <v>6</v>
      </c>
      <c r="W10914">
        <v>83.358130000000003</v>
      </c>
      <c r="X10914">
        <v>728.154</v>
      </c>
      <c r="Y10914">
        <v>30</v>
      </c>
      <c r="Z10914">
        <v>145</v>
      </c>
      <c r="AA10914">
        <v>728.154</v>
      </c>
      <c r="AB10914">
        <v>4.8167869999999997</v>
      </c>
      <c r="AC10914">
        <v>2.18859E-2</v>
      </c>
      <c r="AD10914">
        <v>1.720591</v>
      </c>
      <c r="AE10914">
        <v>0.59717010000000004</v>
      </c>
      <c r="AF10914">
        <v>353.95850000000002</v>
      </c>
      <c r="AG10914">
        <f>IFERROR(AH10914*0.1, "N/A")</f>
        <v>5.7</v>
      </c>
      <c r="AH10914">
        <v>57</v>
      </c>
      <c r="AI10914">
        <v>102.0073</v>
      </c>
      <c r="AJ10914">
        <v>21.54325</v>
      </c>
      <c r="AK10914">
        <v>55</v>
      </c>
    </row>
    <row r="10915" spans="1:37" x14ac:dyDescent="0.3">
      <c r="A10915">
        <v>10914</v>
      </c>
      <c r="B10915">
        <v>1.9</v>
      </c>
      <c r="C10915">
        <v>-5.4119999999999999</v>
      </c>
      <c r="D10915">
        <v>9.4990000000000006</v>
      </c>
      <c r="E10915">
        <f>-5.412-9.499</f>
        <v>-14.911000000000001</v>
      </c>
      <c r="F10915" t="s">
        <v>16315</v>
      </c>
      <c r="G10915" t="s">
        <v>39</v>
      </c>
      <c r="H10915">
        <v>2005</v>
      </c>
      <c r="I10915">
        <v>26.505500000000001</v>
      </c>
      <c r="J10915">
        <v>11.6</v>
      </c>
      <c r="K10915">
        <v>64</v>
      </c>
      <c r="L10915">
        <v>13.587149999999999</v>
      </c>
      <c r="M10915">
        <v>35.705500000000001</v>
      </c>
      <c r="N10915">
        <v>17.605499999999999</v>
      </c>
      <c r="O10915">
        <v>18.100000000000001</v>
      </c>
      <c r="P10915">
        <v>25.005500000000001</v>
      </c>
      <c r="Q10915">
        <v>26.4055</v>
      </c>
      <c r="R10915">
        <v>28.505500000000001</v>
      </c>
      <c r="S10915">
        <v>25.005500000000001</v>
      </c>
      <c r="T10915">
        <v>1252.8900000000001</v>
      </c>
      <c r="U10915">
        <v>261.05500000000001</v>
      </c>
      <c r="V10915">
        <v>5</v>
      </c>
      <c r="W10915">
        <v>80</v>
      </c>
      <c r="X10915">
        <v>677.05499999999995</v>
      </c>
      <c r="Y10915">
        <v>31.94502</v>
      </c>
      <c r="Z10915">
        <v>153.94499999999999</v>
      </c>
      <c r="AA10915">
        <v>677.05499999999995</v>
      </c>
      <c r="AB10915">
        <v>18.011859999999999</v>
      </c>
      <c r="AC10915">
        <v>2.1893840000000001E-2</v>
      </c>
      <c r="AD10915">
        <v>1.9493400000000001</v>
      </c>
      <c r="AE10915">
        <v>0.71309750000000005</v>
      </c>
      <c r="AF10915">
        <v>343.91579999999999</v>
      </c>
      <c r="AG10915">
        <f>IFERROR(AH10915*0.1, "N/A")</f>
        <v>5.8582470000000004</v>
      </c>
      <c r="AH10915">
        <v>58.582470000000001</v>
      </c>
      <c r="AI10915">
        <v>65.874080000000006</v>
      </c>
      <c r="AJ10915">
        <v>13.54124</v>
      </c>
      <c r="AK10915">
        <v>64.731960000000001</v>
      </c>
    </row>
    <row r="10916" spans="1:37" x14ac:dyDescent="0.3">
      <c r="A10916">
        <v>10915</v>
      </c>
      <c r="B10916">
        <v>20.9</v>
      </c>
      <c r="C10916">
        <v>-5.4119999999999999</v>
      </c>
      <c r="D10916">
        <v>9.4990000000000006</v>
      </c>
      <c r="E10916">
        <f>-5.412-9.499</f>
        <v>-14.911000000000001</v>
      </c>
      <c r="F10916" t="s">
        <v>16316</v>
      </c>
      <c r="G10916" t="s">
        <v>37</v>
      </c>
      <c r="H10916">
        <v>2005</v>
      </c>
      <c r="I10916">
        <v>26.505500000000001</v>
      </c>
      <c r="J10916">
        <v>11.6</v>
      </c>
      <c r="K10916">
        <v>64</v>
      </c>
      <c r="L10916">
        <v>13.587149999999999</v>
      </c>
      <c r="M10916">
        <v>35.705500000000001</v>
      </c>
      <c r="N10916">
        <v>17.605499999999999</v>
      </c>
      <c r="O10916">
        <v>18.100000000000001</v>
      </c>
      <c r="P10916">
        <v>25.005500000000001</v>
      </c>
      <c r="Q10916">
        <v>26.4055</v>
      </c>
      <c r="R10916">
        <v>28.505500000000001</v>
      </c>
      <c r="S10916">
        <v>25.005500000000001</v>
      </c>
      <c r="T10916">
        <v>1252.8900000000001</v>
      </c>
      <c r="U10916">
        <v>261.05500000000001</v>
      </c>
      <c r="V10916">
        <v>5</v>
      </c>
      <c r="W10916">
        <v>80</v>
      </c>
      <c r="X10916">
        <v>677.05499999999995</v>
      </c>
      <c r="Y10916">
        <v>31.94502</v>
      </c>
      <c r="Z10916">
        <v>153.94499999999999</v>
      </c>
      <c r="AA10916">
        <v>677.05499999999995</v>
      </c>
      <c r="AB10916">
        <v>18.011859999999999</v>
      </c>
      <c r="AC10916">
        <v>2.1893840000000001E-2</v>
      </c>
      <c r="AD10916">
        <v>1.9493400000000001</v>
      </c>
      <c r="AE10916">
        <v>0.71309750000000005</v>
      </c>
      <c r="AF10916">
        <v>343.91579999999999</v>
      </c>
      <c r="AG10916">
        <f>IFERROR(AH10916*0.1, "N/A")</f>
        <v>5.8582470000000004</v>
      </c>
      <c r="AH10916">
        <v>58.582470000000001</v>
      </c>
      <c r="AI10916">
        <v>65.874080000000006</v>
      </c>
      <c r="AJ10916">
        <v>13.54124</v>
      </c>
      <c r="AK10916">
        <v>64.731960000000001</v>
      </c>
    </row>
    <row r="10917" spans="1:37" x14ac:dyDescent="0.3">
      <c r="A10917">
        <v>10916</v>
      </c>
      <c r="B10917">
        <v>0.5</v>
      </c>
      <c r="C10917">
        <v>-5.8166700000000002</v>
      </c>
      <c r="D10917">
        <v>9.5166699999999995</v>
      </c>
      <c r="E10917">
        <f>-5.81667-9.51667</f>
        <v>-15.33334</v>
      </c>
      <c r="F10917" t="s">
        <v>16317</v>
      </c>
      <c r="G10917" t="s">
        <v>39</v>
      </c>
      <c r="H10917">
        <v>2005</v>
      </c>
      <c r="I10917">
        <v>26.544039999999999</v>
      </c>
      <c r="J10917">
        <v>11.7</v>
      </c>
      <c r="K10917">
        <v>63</v>
      </c>
      <c r="L10917">
        <v>14.125439999999999</v>
      </c>
      <c r="M10917">
        <v>36.364249999999998</v>
      </c>
      <c r="N10917">
        <v>17.920210000000001</v>
      </c>
      <c r="O10917">
        <v>18.444040000000001</v>
      </c>
      <c r="P10917">
        <v>24.944040000000001</v>
      </c>
      <c r="Q10917">
        <v>26.720210000000002</v>
      </c>
      <c r="R10917">
        <v>28.64404</v>
      </c>
      <c r="S10917">
        <v>24.944040000000001</v>
      </c>
      <c r="T10917">
        <v>1296.3009999999999</v>
      </c>
      <c r="U10917">
        <v>288.76170000000002</v>
      </c>
      <c r="V10917">
        <v>6</v>
      </c>
      <c r="W10917">
        <v>84</v>
      </c>
      <c r="X10917">
        <v>729.63559999999995</v>
      </c>
      <c r="Y10917">
        <v>30</v>
      </c>
      <c r="Z10917">
        <v>144.35059999999999</v>
      </c>
      <c r="AA10917">
        <v>729.63559999999995</v>
      </c>
      <c r="AB10917">
        <v>24.529530000000001</v>
      </c>
      <c r="AC10917">
        <v>6.8479780000000004E-2</v>
      </c>
      <c r="AD10917">
        <v>1.950977</v>
      </c>
      <c r="AE10917">
        <v>0.59519219999999995</v>
      </c>
      <c r="AF10917">
        <v>366.04660000000001</v>
      </c>
      <c r="AG10917">
        <f>IFERROR(AH10917*0.1, "N/A")</f>
        <v>5.7440410000000002</v>
      </c>
      <c r="AH10917">
        <v>57.44041</v>
      </c>
      <c r="AI10917">
        <v>50.741250000000001</v>
      </c>
      <c r="AJ10917">
        <v>15.55959</v>
      </c>
      <c r="AK10917">
        <v>59.321240000000003</v>
      </c>
    </row>
    <row r="10918" spans="1:37" x14ac:dyDescent="0.3">
      <c r="A10918">
        <v>10917</v>
      </c>
      <c r="B10918">
        <v>7.9</v>
      </c>
      <c r="C10918">
        <v>-5.8166700000000002</v>
      </c>
      <c r="D10918">
        <v>9.5166699999999995</v>
      </c>
      <c r="E10918">
        <f>-5.81667-9.51667</f>
        <v>-15.33334</v>
      </c>
      <c r="F10918" t="s">
        <v>16318</v>
      </c>
      <c r="G10918" t="s">
        <v>37</v>
      </c>
      <c r="H10918">
        <v>2005</v>
      </c>
      <c r="I10918">
        <v>26.544039999999999</v>
      </c>
      <c r="J10918">
        <v>11.7</v>
      </c>
      <c r="K10918">
        <v>63</v>
      </c>
      <c r="L10918">
        <v>14.125439999999999</v>
      </c>
      <c r="M10918">
        <v>36.364249999999998</v>
      </c>
      <c r="N10918">
        <v>17.920210000000001</v>
      </c>
      <c r="O10918">
        <v>18.444040000000001</v>
      </c>
      <c r="P10918">
        <v>24.944040000000001</v>
      </c>
      <c r="Q10918">
        <v>26.720210000000002</v>
      </c>
      <c r="R10918">
        <v>28.64404</v>
      </c>
      <c r="S10918">
        <v>24.944040000000001</v>
      </c>
      <c r="T10918">
        <v>1296.3009999999999</v>
      </c>
      <c r="U10918">
        <v>288.76170000000002</v>
      </c>
      <c r="V10918">
        <v>6</v>
      </c>
      <c r="W10918">
        <v>84</v>
      </c>
      <c r="X10918">
        <v>729.63559999999995</v>
      </c>
      <c r="Y10918">
        <v>30</v>
      </c>
      <c r="Z10918">
        <v>144.35059999999999</v>
      </c>
      <c r="AA10918">
        <v>729.63559999999995</v>
      </c>
      <c r="AB10918">
        <v>24.529530000000001</v>
      </c>
      <c r="AC10918">
        <v>6.8479780000000004E-2</v>
      </c>
      <c r="AD10918">
        <v>1.950977</v>
      </c>
      <c r="AE10918">
        <v>0.59519219999999995</v>
      </c>
      <c r="AF10918">
        <v>366.04660000000001</v>
      </c>
      <c r="AG10918">
        <f>IFERROR(AH10918*0.1, "N/A")</f>
        <v>5.7440410000000002</v>
      </c>
      <c r="AH10918">
        <v>57.44041</v>
      </c>
      <c r="AI10918">
        <v>50.741250000000001</v>
      </c>
      <c r="AJ10918">
        <v>15.55959</v>
      </c>
      <c r="AK10918">
        <v>59.321240000000003</v>
      </c>
    </row>
    <row r="10919" spans="1:37" x14ac:dyDescent="0.3">
      <c r="A10919">
        <v>10918</v>
      </c>
      <c r="B10919">
        <v>1.1000000000000001</v>
      </c>
      <c r="C10919">
        <v>-5.4</v>
      </c>
      <c r="D10919">
        <v>9.5166699999999995</v>
      </c>
      <c r="E10919">
        <f>-5.4-9.51667</f>
        <v>-14.91667</v>
      </c>
      <c r="F10919" t="s">
        <v>16319</v>
      </c>
      <c r="G10919" t="s">
        <v>39</v>
      </c>
      <c r="H10919">
        <v>2005</v>
      </c>
      <c r="I10919">
        <v>26.637720000000002</v>
      </c>
      <c r="J10919">
        <v>11.6</v>
      </c>
      <c r="K10919">
        <v>63</v>
      </c>
      <c r="L10919">
        <v>13.7409</v>
      </c>
      <c r="M10919">
        <v>35.768509999999999</v>
      </c>
      <c r="N10919">
        <v>17.53772</v>
      </c>
      <c r="O10919">
        <v>18.230799999999999</v>
      </c>
      <c r="P10919">
        <v>25.137720000000002</v>
      </c>
      <c r="Q10919">
        <v>26.437719999999999</v>
      </c>
      <c r="R10919">
        <v>28.56851</v>
      </c>
      <c r="S10919">
        <v>25.137720000000002</v>
      </c>
      <c r="T10919">
        <v>1251.7539999999999</v>
      </c>
      <c r="U10919">
        <v>263.13150000000002</v>
      </c>
      <c r="V10919">
        <v>5</v>
      </c>
      <c r="W10919">
        <v>80</v>
      </c>
      <c r="X10919">
        <v>678.13149999999996</v>
      </c>
      <c r="Y10919">
        <v>30.62284</v>
      </c>
      <c r="Z10919">
        <v>153.62280000000001</v>
      </c>
      <c r="AA10919">
        <v>678.13149999999996</v>
      </c>
      <c r="AB10919">
        <v>7.8022530000000003</v>
      </c>
      <c r="AC10919">
        <v>3.8807050000000003E-2</v>
      </c>
      <c r="AD10919">
        <v>2.3922870000000001</v>
      </c>
      <c r="AE10919">
        <v>0.75275990000000004</v>
      </c>
      <c r="AF10919">
        <v>324.26119999999997</v>
      </c>
      <c r="AG10919">
        <f>IFERROR(AH10919*0.1, "N/A")</f>
        <v>5.7685120000000003</v>
      </c>
      <c r="AH10919">
        <v>57.685119999999998</v>
      </c>
      <c r="AI10919">
        <v>251.28749999999999</v>
      </c>
      <c r="AJ10919">
        <v>18.05536</v>
      </c>
      <c r="AK10919">
        <v>56.629759999999997</v>
      </c>
    </row>
    <row r="10920" spans="1:37" x14ac:dyDescent="0.3">
      <c r="A10920">
        <v>10919</v>
      </c>
      <c r="B10920">
        <v>5.6</v>
      </c>
      <c r="C10920">
        <v>-5.4</v>
      </c>
      <c r="D10920">
        <v>9.5166699999999995</v>
      </c>
      <c r="E10920">
        <f>-5.4-9.51667</f>
        <v>-14.91667</v>
      </c>
      <c r="F10920" t="s">
        <v>16320</v>
      </c>
      <c r="G10920" t="s">
        <v>37</v>
      </c>
      <c r="H10920">
        <v>2005</v>
      </c>
      <c r="I10920">
        <v>26.637720000000002</v>
      </c>
      <c r="J10920">
        <v>11.6</v>
      </c>
      <c r="K10920">
        <v>63</v>
      </c>
      <c r="L10920">
        <v>13.7409</v>
      </c>
      <c r="M10920">
        <v>35.768509999999999</v>
      </c>
      <c r="N10920">
        <v>17.53772</v>
      </c>
      <c r="O10920">
        <v>18.230799999999999</v>
      </c>
      <c r="P10920">
        <v>25.137720000000002</v>
      </c>
      <c r="Q10920">
        <v>26.437719999999999</v>
      </c>
      <c r="R10920">
        <v>28.56851</v>
      </c>
      <c r="S10920">
        <v>25.137720000000002</v>
      </c>
      <c r="T10920">
        <v>1251.7539999999999</v>
      </c>
      <c r="U10920">
        <v>263.13150000000002</v>
      </c>
      <c r="V10920">
        <v>5</v>
      </c>
      <c r="W10920">
        <v>80</v>
      </c>
      <c r="X10920">
        <v>678.13149999999996</v>
      </c>
      <c r="Y10920">
        <v>30.62284</v>
      </c>
      <c r="Z10920">
        <v>153.62280000000001</v>
      </c>
      <c r="AA10920">
        <v>678.13149999999996</v>
      </c>
      <c r="AB10920">
        <v>7.8022530000000003</v>
      </c>
      <c r="AC10920">
        <v>3.8807050000000003E-2</v>
      </c>
      <c r="AD10920">
        <v>2.3922870000000001</v>
      </c>
      <c r="AE10920">
        <v>0.75275990000000004</v>
      </c>
      <c r="AF10920">
        <v>324.26119999999997</v>
      </c>
      <c r="AG10920">
        <f>IFERROR(AH10920*0.1, "N/A")</f>
        <v>5.7685120000000003</v>
      </c>
      <c r="AH10920">
        <v>57.685119999999998</v>
      </c>
      <c r="AI10920">
        <v>251.28749999999999</v>
      </c>
      <c r="AJ10920">
        <v>18.05536</v>
      </c>
      <c r="AK10920">
        <v>56.629759999999997</v>
      </c>
    </row>
    <row r="10921" spans="1:37" x14ac:dyDescent="0.3">
      <c r="A10921">
        <v>10920</v>
      </c>
      <c r="B10921">
        <v>0.5</v>
      </c>
      <c r="C10921">
        <v>-5.75</v>
      </c>
      <c r="D10921">
        <v>9.5666700000000002</v>
      </c>
      <c r="E10921">
        <f>-5.75-9.56667</f>
        <v>-15.31667</v>
      </c>
      <c r="F10921" t="s">
        <v>16321</v>
      </c>
      <c r="G10921" t="s">
        <v>39</v>
      </c>
      <c r="H10921">
        <v>2005</v>
      </c>
      <c r="I10921">
        <v>26.50534</v>
      </c>
      <c r="J10921">
        <v>11.71569</v>
      </c>
      <c r="K10921">
        <v>62.1569</v>
      </c>
      <c r="L10921">
        <v>14.26695</v>
      </c>
      <c r="M10921">
        <v>36.384309999999999</v>
      </c>
      <c r="N10921">
        <v>17.8</v>
      </c>
      <c r="O10921">
        <v>18.584309999999999</v>
      </c>
      <c r="P10921">
        <v>24.905339999999999</v>
      </c>
      <c r="Q10921">
        <v>26.68431</v>
      </c>
      <c r="R10921">
        <v>28.64517</v>
      </c>
      <c r="S10921">
        <v>24.905339999999999</v>
      </c>
      <c r="T10921">
        <v>1290.903</v>
      </c>
      <c r="U10921">
        <v>290.05340000000001</v>
      </c>
      <c r="V10921">
        <v>6</v>
      </c>
      <c r="W10921">
        <v>84</v>
      </c>
      <c r="X10921">
        <v>727.84310000000005</v>
      </c>
      <c r="Y10921">
        <v>29</v>
      </c>
      <c r="Z10921">
        <v>143.45169999999999</v>
      </c>
      <c r="AA10921">
        <v>727.84310000000005</v>
      </c>
      <c r="AB10921">
        <v>7.8453410000000003</v>
      </c>
      <c r="AC10921">
        <v>1.1175409999999999</v>
      </c>
      <c r="AD10921">
        <v>3.026859</v>
      </c>
      <c r="AE10921">
        <v>0.55301239999999996</v>
      </c>
      <c r="AF10921">
        <v>361.51209999999998</v>
      </c>
      <c r="AG10921">
        <f>IFERROR(AH10921*0.1, "N/A")</f>
        <v>5.8096550000000002</v>
      </c>
      <c r="AH10921">
        <v>58.096550000000001</v>
      </c>
      <c r="AI10921">
        <v>69.502880000000005</v>
      </c>
      <c r="AJ10921">
        <v>21.765519999999999</v>
      </c>
      <c r="AK10921">
        <v>51.746549999999999</v>
      </c>
    </row>
    <row r="10922" spans="1:37" x14ac:dyDescent="0.3">
      <c r="A10922">
        <v>10921</v>
      </c>
      <c r="B10922">
        <v>10.9</v>
      </c>
      <c r="C10922">
        <v>-5.75</v>
      </c>
      <c r="D10922">
        <v>9.5666700000000002</v>
      </c>
      <c r="E10922">
        <f>-5.75-9.56667</f>
        <v>-15.31667</v>
      </c>
      <c r="F10922" t="s">
        <v>16322</v>
      </c>
      <c r="G10922" t="s">
        <v>37</v>
      </c>
      <c r="H10922">
        <v>2005</v>
      </c>
      <c r="I10922">
        <v>26.50534</v>
      </c>
      <c r="J10922">
        <v>11.71569</v>
      </c>
      <c r="K10922">
        <v>62.1569</v>
      </c>
      <c r="L10922">
        <v>14.26695</v>
      </c>
      <c r="M10922">
        <v>36.384309999999999</v>
      </c>
      <c r="N10922">
        <v>17.8</v>
      </c>
      <c r="O10922">
        <v>18.584309999999999</v>
      </c>
      <c r="P10922">
        <v>24.905339999999999</v>
      </c>
      <c r="Q10922">
        <v>26.68431</v>
      </c>
      <c r="R10922">
        <v>28.64517</v>
      </c>
      <c r="S10922">
        <v>24.905339999999999</v>
      </c>
      <c r="T10922">
        <v>1290.903</v>
      </c>
      <c r="U10922">
        <v>290.05340000000001</v>
      </c>
      <c r="V10922">
        <v>6</v>
      </c>
      <c r="W10922">
        <v>84</v>
      </c>
      <c r="X10922">
        <v>727.84310000000005</v>
      </c>
      <c r="Y10922">
        <v>29</v>
      </c>
      <c r="Z10922">
        <v>143.45169999999999</v>
      </c>
      <c r="AA10922">
        <v>727.84310000000005</v>
      </c>
      <c r="AB10922">
        <v>7.8453410000000003</v>
      </c>
      <c r="AC10922">
        <v>1.1175409999999999</v>
      </c>
      <c r="AD10922">
        <v>3.026859</v>
      </c>
      <c r="AE10922">
        <v>0.55301239999999996</v>
      </c>
      <c r="AF10922">
        <v>361.51209999999998</v>
      </c>
      <c r="AG10922">
        <f>IFERROR(AH10922*0.1, "N/A")</f>
        <v>5.8096550000000002</v>
      </c>
      <c r="AH10922">
        <v>58.096550000000001</v>
      </c>
      <c r="AI10922">
        <v>69.502880000000005</v>
      </c>
      <c r="AJ10922">
        <v>21.765519999999999</v>
      </c>
      <c r="AK10922">
        <v>51.746549999999999</v>
      </c>
    </row>
    <row r="10923" spans="1:37" x14ac:dyDescent="0.3">
      <c r="A10923">
        <v>10922</v>
      </c>
      <c r="B10923">
        <v>6.2</v>
      </c>
      <c r="C10923">
        <v>-5.6219999999999999</v>
      </c>
      <c r="D10923">
        <v>9.6199999999999992</v>
      </c>
      <c r="E10923">
        <f>-5.622-9.62</f>
        <v>-15.241999999999999</v>
      </c>
      <c r="F10923" t="s">
        <v>16323</v>
      </c>
      <c r="G10923" t="s">
        <v>39</v>
      </c>
      <c r="H10923">
        <v>2005</v>
      </c>
      <c r="I10923">
        <v>26.7</v>
      </c>
      <c r="J10923">
        <v>11.7</v>
      </c>
      <c r="K10923">
        <v>63</v>
      </c>
      <c r="L10923">
        <v>14.38</v>
      </c>
      <c r="M10923">
        <v>36.4</v>
      </c>
      <c r="N10923">
        <v>17.899999999999999</v>
      </c>
      <c r="O10923">
        <v>18.5</v>
      </c>
      <c r="P10923">
        <v>25.1</v>
      </c>
      <c r="Q10923">
        <v>26.7</v>
      </c>
      <c r="R10923">
        <v>28.8</v>
      </c>
      <c r="S10923">
        <v>25.1</v>
      </c>
      <c r="T10923">
        <v>1276</v>
      </c>
      <c r="U10923">
        <v>288</v>
      </c>
      <c r="V10923">
        <v>5</v>
      </c>
      <c r="W10923">
        <v>84</v>
      </c>
      <c r="X10923">
        <v>717</v>
      </c>
      <c r="Y10923">
        <v>28</v>
      </c>
      <c r="Z10923">
        <v>144</v>
      </c>
      <c r="AA10923">
        <v>717</v>
      </c>
      <c r="AB10923">
        <v>12.905709999999999</v>
      </c>
      <c r="AC10923">
        <v>9.5656549999999993E-3</v>
      </c>
      <c r="AD10923">
        <v>1.3132189999999999</v>
      </c>
      <c r="AE10923">
        <v>0.71649569999999996</v>
      </c>
      <c r="AF10923">
        <v>334.44909999999999</v>
      </c>
      <c r="AG10923">
        <f>IFERROR(AH10923*0.1, "N/A")</f>
        <v>5.8077719999999999</v>
      </c>
      <c r="AH10923">
        <v>58.077719999999999</v>
      </c>
      <c r="AI10923">
        <v>227.5736</v>
      </c>
      <c r="AJ10923">
        <v>19.50432</v>
      </c>
      <c r="AK10923">
        <v>54.407600000000002</v>
      </c>
    </row>
    <row r="10924" spans="1:37" x14ac:dyDescent="0.3">
      <c r="A10924">
        <v>10923</v>
      </c>
      <c r="B10924">
        <v>23.2</v>
      </c>
      <c r="C10924">
        <v>-5.6219999999999999</v>
      </c>
      <c r="D10924">
        <v>9.6199999999999992</v>
      </c>
      <c r="E10924">
        <f>-5.622-9.62</f>
        <v>-15.241999999999999</v>
      </c>
      <c r="F10924" t="s">
        <v>16324</v>
      </c>
      <c r="G10924" t="s">
        <v>37</v>
      </c>
      <c r="H10924">
        <v>2005</v>
      </c>
      <c r="I10924">
        <v>26.7</v>
      </c>
      <c r="J10924">
        <v>11.7</v>
      </c>
      <c r="K10924">
        <v>63</v>
      </c>
      <c r="L10924">
        <v>14.38</v>
      </c>
      <c r="M10924">
        <v>36.4</v>
      </c>
      <c r="N10924">
        <v>17.899999999999999</v>
      </c>
      <c r="O10924">
        <v>18.5</v>
      </c>
      <c r="P10924">
        <v>25.1</v>
      </c>
      <c r="Q10924">
        <v>26.7</v>
      </c>
      <c r="R10924">
        <v>28.8</v>
      </c>
      <c r="S10924">
        <v>25.1</v>
      </c>
      <c r="T10924">
        <v>1276</v>
      </c>
      <c r="U10924">
        <v>288</v>
      </c>
      <c r="V10924">
        <v>5</v>
      </c>
      <c r="W10924">
        <v>84</v>
      </c>
      <c r="X10924">
        <v>717</v>
      </c>
      <c r="Y10924">
        <v>28</v>
      </c>
      <c r="Z10924">
        <v>144</v>
      </c>
      <c r="AA10924">
        <v>717</v>
      </c>
      <c r="AB10924">
        <v>12.905709999999999</v>
      </c>
      <c r="AC10924">
        <v>9.5656549999999993E-3</v>
      </c>
      <c r="AD10924">
        <v>1.3132189999999999</v>
      </c>
      <c r="AE10924">
        <v>0.71649569999999996</v>
      </c>
      <c r="AF10924">
        <v>334.44909999999999</v>
      </c>
      <c r="AG10924">
        <f>IFERROR(AH10924*0.1, "N/A")</f>
        <v>5.8077719999999999</v>
      </c>
      <c r="AH10924">
        <v>58.077719999999999</v>
      </c>
      <c r="AI10924">
        <v>227.5736</v>
      </c>
      <c r="AJ10924">
        <v>19.50432</v>
      </c>
      <c r="AK10924">
        <v>54.407600000000002</v>
      </c>
    </row>
    <row r="10925" spans="1:37" x14ac:dyDescent="0.3">
      <c r="A10925">
        <v>10924</v>
      </c>
      <c r="B10925">
        <v>2.9</v>
      </c>
      <c r="C10925">
        <v>-5.6166700000000001</v>
      </c>
      <c r="D10925">
        <v>9.65</v>
      </c>
      <c r="E10925">
        <f>-5.61667-9.65</f>
        <v>-15.266670000000001</v>
      </c>
      <c r="F10925" t="s">
        <v>16325</v>
      </c>
      <c r="G10925" t="s">
        <v>39</v>
      </c>
      <c r="H10925">
        <v>2005</v>
      </c>
      <c r="I10925">
        <v>26.703959999999999</v>
      </c>
      <c r="J10925">
        <v>11.79604</v>
      </c>
      <c r="K10925">
        <v>63</v>
      </c>
      <c r="L10925">
        <v>14.11046</v>
      </c>
      <c r="M10925">
        <v>36.303959999999996</v>
      </c>
      <c r="N10925">
        <v>17.80396</v>
      </c>
      <c r="O10925">
        <v>18.5</v>
      </c>
      <c r="P10925">
        <v>25.124610000000001</v>
      </c>
      <c r="Q10925">
        <v>26.60792</v>
      </c>
      <c r="R10925">
        <v>28.707920000000001</v>
      </c>
      <c r="S10925">
        <v>25.124610000000001</v>
      </c>
      <c r="T10925">
        <v>1273.432</v>
      </c>
      <c r="U10925">
        <v>289</v>
      </c>
      <c r="V10925">
        <v>5</v>
      </c>
      <c r="W10925">
        <v>84</v>
      </c>
      <c r="X10925">
        <v>716.8193</v>
      </c>
      <c r="Y10925">
        <v>28</v>
      </c>
      <c r="Z10925">
        <v>142</v>
      </c>
      <c r="AA10925">
        <v>716.8193</v>
      </c>
      <c r="AB10925">
        <v>24.226510000000001</v>
      </c>
      <c r="AC10925">
        <v>1.7758050000000001E-2</v>
      </c>
      <c r="AD10925">
        <v>1.4648220000000001</v>
      </c>
      <c r="AE10925">
        <v>0.55073810000000001</v>
      </c>
      <c r="AF10925">
        <v>336.6472</v>
      </c>
      <c r="AG10925">
        <f>IFERROR(AH10925*0.1, "N/A")</f>
        <v>6.0819280000000004</v>
      </c>
      <c r="AH10925">
        <v>60.819279999999999</v>
      </c>
      <c r="AI10925">
        <v>151.76329999999999</v>
      </c>
      <c r="AJ10925">
        <v>17.361450000000001</v>
      </c>
      <c r="AK10925">
        <v>59.819279999999999</v>
      </c>
    </row>
    <row r="10926" spans="1:37" x14ac:dyDescent="0.3">
      <c r="A10926">
        <v>10925</v>
      </c>
      <c r="B10926">
        <v>8</v>
      </c>
      <c r="C10926">
        <v>-5.6166700000000001</v>
      </c>
      <c r="D10926">
        <v>9.65</v>
      </c>
      <c r="E10926">
        <f>-5.61667-9.65</f>
        <v>-15.266670000000001</v>
      </c>
      <c r="F10926" t="s">
        <v>16326</v>
      </c>
      <c r="G10926" t="s">
        <v>37</v>
      </c>
      <c r="H10926">
        <v>2005</v>
      </c>
      <c r="I10926">
        <v>26.703959999999999</v>
      </c>
      <c r="J10926">
        <v>11.79604</v>
      </c>
      <c r="K10926">
        <v>63</v>
      </c>
      <c r="L10926">
        <v>14.11046</v>
      </c>
      <c r="M10926">
        <v>36.303959999999996</v>
      </c>
      <c r="N10926">
        <v>17.80396</v>
      </c>
      <c r="O10926">
        <v>18.5</v>
      </c>
      <c r="P10926">
        <v>25.124610000000001</v>
      </c>
      <c r="Q10926">
        <v>26.60792</v>
      </c>
      <c r="R10926">
        <v>28.707920000000001</v>
      </c>
      <c r="S10926">
        <v>25.124610000000001</v>
      </c>
      <c r="T10926">
        <v>1273.432</v>
      </c>
      <c r="U10926">
        <v>289</v>
      </c>
      <c r="V10926">
        <v>5</v>
      </c>
      <c r="W10926">
        <v>84</v>
      </c>
      <c r="X10926">
        <v>716.8193</v>
      </c>
      <c r="Y10926">
        <v>28</v>
      </c>
      <c r="Z10926">
        <v>142</v>
      </c>
      <c r="AA10926">
        <v>716.8193</v>
      </c>
      <c r="AB10926">
        <v>24.226510000000001</v>
      </c>
      <c r="AC10926">
        <v>1.7758050000000001E-2</v>
      </c>
      <c r="AD10926">
        <v>1.4648220000000001</v>
      </c>
      <c r="AE10926">
        <v>0.55073810000000001</v>
      </c>
      <c r="AF10926">
        <v>336.6472</v>
      </c>
      <c r="AG10926">
        <f>IFERROR(AH10926*0.1, "N/A")</f>
        <v>6.0819280000000004</v>
      </c>
      <c r="AH10926">
        <v>60.819279999999999</v>
      </c>
      <c r="AI10926">
        <v>151.76329999999999</v>
      </c>
      <c r="AJ10926">
        <v>17.361450000000001</v>
      </c>
      <c r="AK10926">
        <v>59.819279999999999</v>
      </c>
    </row>
    <row r="10927" spans="1:37" x14ac:dyDescent="0.3">
      <c r="A10927">
        <v>10926</v>
      </c>
      <c r="B10927">
        <v>1</v>
      </c>
      <c r="C10927">
        <v>-7.8391700000000002</v>
      </c>
      <c r="D10927">
        <v>10.107799999999999</v>
      </c>
      <c r="E10927">
        <f>-7.83917-10.1078</f>
        <v>-17.94697</v>
      </c>
      <c r="F10927" t="s">
        <v>16327</v>
      </c>
      <c r="G10927" t="s">
        <v>37</v>
      </c>
      <c r="H10927">
        <v>1981</v>
      </c>
      <c r="I10927">
        <v>26.4</v>
      </c>
      <c r="J10927">
        <v>13.9</v>
      </c>
      <c r="K10927">
        <v>62</v>
      </c>
      <c r="L10927">
        <v>16.190000000000001</v>
      </c>
      <c r="M10927">
        <v>36.799999999999997</v>
      </c>
      <c r="N10927">
        <v>14.4</v>
      </c>
      <c r="O10927">
        <v>22.4</v>
      </c>
      <c r="P10927">
        <v>25.4</v>
      </c>
      <c r="Q10927">
        <v>25.2</v>
      </c>
      <c r="R10927">
        <v>28.7</v>
      </c>
      <c r="S10927">
        <v>24.6</v>
      </c>
      <c r="T10927">
        <v>1399</v>
      </c>
      <c r="U10927">
        <v>328</v>
      </c>
      <c r="V10927">
        <v>2</v>
      </c>
      <c r="W10927">
        <v>98</v>
      </c>
      <c r="X10927">
        <v>885</v>
      </c>
      <c r="Y10927">
        <v>14</v>
      </c>
      <c r="Z10927">
        <v>188</v>
      </c>
      <c r="AA10927">
        <v>37</v>
      </c>
      <c r="AB10927">
        <v>14.47011</v>
      </c>
      <c r="AC10927">
        <v>1.8166189999999999E-2</v>
      </c>
      <c r="AD10927">
        <v>2.435924</v>
      </c>
      <c r="AE10927">
        <v>0.31244230000000001</v>
      </c>
      <c r="AF10927">
        <v>384.2921</v>
      </c>
      <c r="AG10927">
        <f>IFERROR(AH10927*0.1, "N/A")</f>
        <v>5.6998280000000001</v>
      </c>
      <c r="AH10927">
        <v>56.998280000000001</v>
      </c>
      <c r="AI10927">
        <v>223.08009999999999</v>
      </c>
      <c r="AJ10927">
        <v>23.884879999999999</v>
      </c>
      <c r="AK10927">
        <v>54.718209999999999</v>
      </c>
    </row>
    <row r="10928" spans="1:37" x14ac:dyDescent="0.3">
      <c r="A10928">
        <v>10927</v>
      </c>
      <c r="B10928">
        <v>36</v>
      </c>
      <c r="C10928">
        <v>-7.835</v>
      </c>
      <c r="D10928">
        <v>10.2036</v>
      </c>
      <c r="E10928">
        <f>-7.835-10.2036</f>
        <v>-18.038599999999999</v>
      </c>
      <c r="F10928" t="s">
        <v>16328</v>
      </c>
      <c r="G10928" t="s">
        <v>37</v>
      </c>
      <c r="H10928">
        <v>1981</v>
      </c>
      <c r="I10928">
        <v>26.4</v>
      </c>
      <c r="J10928">
        <v>14</v>
      </c>
      <c r="K10928">
        <v>61</v>
      </c>
      <c r="L10928">
        <v>17.010000000000002</v>
      </c>
      <c r="M10928">
        <v>37</v>
      </c>
      <c r="N10928">
        <v>14.4</v>
      </c>
      <c r="O10928">
        <v>22.6</v>
      </c>
      <c r="P10928">
        <v>25.4</v>
      </c>
      <c r="Q10928">
        <v>25.1</v>
      </c>
      <c r="R10928">
        <v>28.9</v>
      </c>
      <c r="S10928">
        <v>24.6</v>
      </c>
      <c r="T10928">
        <v>1364</v>
      </c>
      <c r="U10928">
        <v>323</v>
      </c>
      <c r="V10928">
        <v>2</v>
      </c>
      <c r="W10928">
        <v>99</v>
      </c>
      <c r="X10928">
        <v>866</v>
      </c>
      <c r="Y10928">
        <v>11</v>
      </c>
      <c r="Z10928">
        <v>182</v>
      </c>
      <c r="AA10928">
        <v>32</v>
      </c>
      <c r="AB10928">
        <v>20.96622</v>
      </c>
      <c r="AC10928">
        <v>9.3102580000000001E-3</v>
      </c>
      <c r="AD10928">
        <v>4.210261</v>
      </c>
      <c r="AE10928">
        <v>0.44838879999999998</v>
      </c>
      <c r="AF10928">
        <v>388.988</v>
      </c>
      <c r="AG10928">
        <f>IFERROR(AH10928*0.1, "N/A")</f>
        <v>5.7686109999999999</v>
      </c>
      <c r="AH10928">
        <v>57.686109999999999</v>
      </c>
      <c r="AI10928">
        <v>283.62189999999998</v>
      </c>
      <c r="AJ10928">
        <v>26.639790000000001</v>
      </c>
      <c r="AK10928">
        <v>43.838769999999997</v>
      </c>
    </row>
    <row r="10929" spans="1:37" x14ac:dyDescent="0.3">
      <c r="A10929">
        <v>10928</v>
      </c>
      <c r="B10929">
        <v>21</v>
      </c>
      <c r="C10929">
        <v>29.450299999999999</v>
      </c>
      <c r="D10929">
        <v>-3.95167</v>
      </c>
      <c r="E10929" t="s">
        <v>16329</v>
      </c>
      <c r="F10929" t="s">
        <v>16330</v>
      </c>
      <c r="G10929" t="s">
        <v>37</v>
      </c>
      <c r="H10929">
        <v>1993</v>
      </c>
      <c r="I10929">
        <v>23.355540000000001</v>
      </c>
      <c r="J10929">
        <v>10.3</v>
      </c>
      <c r="K10929">
        <v>72</v>
      </c>
      <c r="L10929">
        <v>5.5121440000000002</v>
      </c>
      <c r="M10929">
        <v>30.25554</v>
      </c>
      <c r="N10929">
        <v>16.055540000000001</v>
      </c>
      <c r="O10929">
        <v>14.2</v>
      </c>
      <c r="P10929">
        <v>23.455539999999999</v>
      </c>
      <c r="Q10929">
        <v>22.655539999999998</v>
      </c>
      <c r="R10929">
        <v>23.855540000000001</v>
      </c>
      <c r="S10929">
        <v>22.6</v>
      </c>
      <c r="T10929">
        <v>1063.78</v>
      </c>
      <c r="U10929">
        <v>171.3339</v>
      </c>
      <c r="V10929">
        <v>4</v>
      </c>
      <c r="W10929">
        <v>65</v>
      </c>
      <c r="X10929">
        <v>442.6678</v>
      </c>
      <c r="Y10929">
        <v>28</v>
      </c>
      <c r="Z10929">
        <v>114.88930000000001</v>
      </c>
      <c r="AA10929">
        <v>102.88930000000001</v>
      </c>
      <c r="AB10929">
        <v>4.7581600000000002</v>
      </c>
      <c r="AC10929">
        <v>0.67608990000000002</v>
      </c>
      <c r="AD10929">
        <v>2.4249230000000002</v>
      </c>
      <c r="AE10929">
        <v>0.42382900000000001</v>
      </c>
      <c r="AF10929">
        <v>820.68370000000004</v>
      </c>
      <c r="AG10929">
        <f>IFERROR(AH10929*0.1, "N/A")</f>
        <v>5.8000000000000007</v>
      </c>
      <c r="AH10929">
        <v>58</v>
      </c>
      <c r="AI10929">
        <v>146.5701</v>
      </c>
      <c r="AJ10929">
        <v>33</v>
      </c>
      <c r="AK10929">
        <v>47.55536</v>
      </c>
    </row>
    <row r="10930" spans="1:37" x14ac:dyDescent="0.3">
      <c r="A10930">
        <v>10929</v>
      </c>
      <c r="B10930">
        <v>22</v>
      </c>
      <c r="C10930">
        <v>29.4206</v>
      </c>
      <c r="D10930">
        <v>-3.92361</v>
      </c>
      <c r="E10930" t="s">
        <v>16331</v>
      </c>
      <c r="F10930" t="s">
        <v>16332</v>
      </c>
      <c r="G10930" t="s">
        <v>37</v>
      </c>
      <c r="H10930">
        <v>1993</v>
      </c>
      <c r="I10930">
        <v>23.3</v>
      </c>
      <c r="J10930">
        <v>10.3</v>
      </c>
      <c r="K10930">
        <v>72</v>
      </c>
      <c r="L10930">
        <v>5.4</v>
      </c>
      <c r="M10930">
        <v>30.2</v>
      </c>
      <c r="N10930">
        <v>16</v>
      </c>
      <c r="O10930">
        <v>14.2</v>
      </c>
      <c r="P10930">
        <v>23.4</v>
      </c>
      <c r="Q10930">
        <v>22.6</v>
      </c>
      <c r="R10930">
        <v>23.8</v>
      </c>
      <c r="S10930">
        <v>22.5</v>
      </c>
      <c r="T10930">
        <v>1083</v>
      </c>
      <c r="U10930">
        <v>175</v>
      </c>
      <c r="V10930">
        <v>4</v>
      </c>
      <c r="W10930">
        <v>65</v>
      </c>
      <c r="X10930">
        <v>450</v>
      </c>
      <c r="Y10930">
        <v>28</v>
      </c>
      <c r="Z10930">
        <v>243</v>
      </c>
      <c r="AA10930">
        <v>106</v>
      </c>
      <c r="AB10930">
        <v>70.858630000000005</v>
      </c>
      <c r="AC10930">
        <v>1.978968E-2</v>
      </c>
      <c r="AD10930">
        <v>8.9288109999999996</v>
      </c>
      <c r="AE10930">
        <v>0.63944659999999998</v>
      </c>
      <c r="AF10930">
        <v>861.8039</v>
      </c>
      <c r="AG10930">
        <f>IFERROR(AH10930*0.1, "N/A")</f>
        <v>5.8040280000000006</v>
      </c>
      <c r="AH10930">
        <v>58.040280000000003</v>
      </c>
      <c r="AI10930">
        <v>260.83850000000001</v>
      </c>
      <c r="AJ10930">
        <v>33.602449999999997</v>
      </c>
      <c r="AK10930">
        <v>46.795099999999998</v>
      </c>
    </row>
    <row r="10931" spans="1:37" x14ac:dyDescent="0.3">
      <c r="A10931">
        <v>10930</v>
      </c>
      <c r="B10931">
        <v>33</v>
      </c>
      <c r="C10931">
        <v>29.388300000000001</v>
      </c>
      <c r="D10931">
        <v>-3.89222</v>
      </c>
      <c r="E10931" t="s">
        <v>16333</v>
      </c>
      <c r="F10931" t="s">
        <v>16334</v>
      </c>
      <c r="G10931" t="s">
        <v>37</v>
      </c>
      <c r="H10931">
        <v>1993</v>
      </c>
      <c r="I10931">
        <v>23.895969999999998</v>
      </c>
      <c r="J10931">
        <v>10.199999999999999</v>
      </c>
      <c r="K10931">
        <v>72</v>
      </c>
      <c r="L10931">
        <v>5.4695270000000002</v>
      </c>
      <c r="M10931">
        <v>30.795970000000001</v>
      </c>
      <c r="N10931">
        <v>16.695969999999999</v>
      </c>
      <c r="O10931">
        <v>14.1</v>
      </c>
      <c r="P10931">
        <v>23.99597</v>
      </c>
      <c r="Q10931">
        <v>23.195969999999999</v>
      </c>
      <c r="R10931">
        <v>24.49194</v>
      </c>
      <c r="S10931">
        <v>23.1</v>
      </c>
      <c r="T10931">
        <v>1030.2819999999999</v>
      </c>
      <c r="U10931">
        <v>164.0806</v>
      </c>
      <c r="V10931">
        <v>4</v>
      </c>
      <c r="W10931">
        <v>65</v>
      </c>
      <c r="X10931">
        <v>428.0806</v>
      </c>
      <c r="Y10931">
        <v>28</v>
      </c>
      <c r="Z10931">
        <v>231.1208</v>
      </c>
      <c r="AA10931">
        <v>101.0403</v>
      </c>
      <c r="AB10931">
        <v>4.2315319999999996</v>
      </c>
      <c r="AC10931">
        <v>7.0063199999999997</v>
      </c>
      <c r="AD10931">
        <v>3.7590490000000001</v>
      </c>
      <c r="AE10931">
        <v>0.37864150000000002</v>
      </c>
      <c r="AF10931">
        <v>771.20489999999995</v>
      </c>
      <c r="AG10931" t="str">
        <f>IFERROR(AH10931*0.1, "N/A")</f>
        <v>N/A</v>
      </c>
      <c r="AH10931" t="s">
        <v>729</v>
      </c>
      <c r="AI10931">
        <v>267.11579999999998</v>
      </c>
      <c r="AJ10931" t="s">
        <v>729</v>
      </c>
      <c r="AK10931" t="s">
        <v>729</v>
      </c>
    </row>
    <row r="10932" spans="1:37" x14ac:dyDescent="0.3">
      <c r="A10932">
        <v>10931</v>
      </c>
      <c r="B10932">
        <v>17</v>
      </c>
      <c r="C10932">
        <v>29.3689</v>
      </c>
      <c r="D10932">
        <v>-3.8433299999999999</v>
      </c>
      <c r="E10932" t="s">
        <v>16335</v>
      </c>
      <c r="F10932" t="s">
        <v>16336</v>
      </c>
      <c r="G10932" t="s">
        <v>37</v>
      </c>
      <c r="H10932">
        <v>1993</v>
      </c>
      <c r="I10932">
        <v>23.6</v>
      </c>
      <c r="J10932">
        <v>10.3</v>
      </c>
      <c r="K10932">
        <v>73</v>
      </c>
      <c r="L10932">
        <v>4.9400000000000004</v>
      </c>
      <c r="M10932">
        <v>30.5</v>
      </c>
      <c r="N10932">
        <v>16.399999999999999</v>
      </c>
      <c r="O10932">
        <v>14.1</v>
      </c>
      <c r="P10932">
        <v>23.7</v>
      </c>
      <c r="Q10932">
        <v>23</v>
      </c>
      <c r="R10932">
        <v>24.1</v>
      </c>
      <c r="S10932">
        <v>22.9</v>
      </c>
      <c r="T10932">
        <v>1073</v>
      </c>
      <c r="U10932">
        <v>172</v>
      </c>
      <c r="V10932">
        <v>4</v>
      </c>
      <c r="W10932">
        <v>64</v>
      </c>
      <c r="X10932">
        <v>446</v>
      </c>
      <c r="Y10932">
        <v>30</v>
      </c>
      <c r="Z10932">
        <v>121</v>
      </c>
      <c r="AA10932">
        <v>107</v>
      </c>
      <c r="AB10932">
        <v>101.31959999999999</v>
      </c>
      <c r="AC10932">
        <v>1.139692E-2</v>
      </c>
      <c r="AD10932">
        <v>11.908250000000001</v>
      </c>
      <c r="AE10932">
        <v>0.59847249999999996</v>
      </c>
      <c r="AF10932">
        <v>872.74779999999998</v>
      </c>
      <c r="AG10932">
        <f>IFERROR(AH10932*0.1, "N/A")</f>
        <v>5.3000000000000007</v>
      </c>
      <c r="AH10932">
        <v>53</v>
      </c>
      <c r="AI10932">
        <v>260.72489999999999</v>
      </c>
      <c r="AJ10932">
        <v>31.25919</v>
      </c>
      <c r="AK10932">
        <v>44.234679999999997</v>
      </c>
    </row>
    <row r="10933" spans="1:37" x14ac:dyDescent="0.3">
      <c r="A10933">
        <v>10932</v>
      </c>
      <c r="B10933">
        <v>19</v>
      </c>
      <c r="C10933">
        <v>29.319400000000002</v>
      </c>
      <c r="D10933">
        <v>-3.7263899999999999</v>
      </c>
      <c r="E10933" t="s">
        <v>16337</v>
      </c>
      <c r="F10933" t="s">
        <v>16338</v>
      </c>
      <c r="G10933" t="s">
        <v>37</v>
      </c>
      <c r="H10933">
        <v>1993</v>
      </c>
      <c r="I10933">
        <v>24.4</v>
      </c>
      <c r="J10933">
        <v>10.199999999999999</v>
      </c>
      <c r="K10933">
        <v>72</v>
      </c>
      <c r="L10933">
        <v>4.84</v>
      </c>
      <c r="M10933">
        <v>31.4</v>
      </c>
      <c r="N10933">
        <v>17.399999999999999</v>
      </c>
      <c r="O10933">
        <v>14</v>
      </c>
      <c r="P10933">
        <v>24.4</v>
      </c>
      <c r="Q10933">
        <v>23.9</v>
      </c>
      <c r="R10933">
        <v>25</v>
      </c>
      <c r="S10933">
        <v>23.8</v>
      </c>
      <c r="T10933">
        <v>1017</v>
      </c>
      <c r="U10933">
        <v>161</v>
      </c>
      <c r="V10933">
        <v>4</v>
      </c>
      <c r="W10933">
        <v>64</v>
      </c>
      <c r="X10933">
        <v>425</v>
      </c>
      <c r="Y10933">
        <v>30</v>
      </c>
      <c r="Z10933">
        <v>116</v>
      </c>
      <c r="AA10933">
        <v>105</v>
      </c>
      <c r="AB10933">
        <v>13.11598</v>
      </c>
      <c r="AC10933">
        <v>0.1415525</v>
      </c>
      <c r="AD10933">
        <v>4.0111819999999998</v>
      </c>
      <c r="AE10933">
        <v>0.38666990000000001</v>
      </c>
      <c r="AF10933">
        <v>790.32339999999999</v>
      </c>
      <c r="AG10933">
        <f>IFERROR(AH10933*0.1, "N/A")</f>
        <v>5.6362040000000002</v>
      </c>
      <c r="AH10933">
        <v>56.36204</v>
      </c>
      <c r="AI10933">
        <v>242.2809</v>
      </c>
      <c r="AJ10933">
        <v>32.086120000000001</v>
      </c>
      <c r="AK10933">
        <v>45.913879999999999</v>
      </c>
    </row>
    <row r="10934" spans="1:37" x14ac:dyDescent="0.3">
      <c r="A10934">
        <v>10933</v>
      </c>
      <c r="B10934">
        <v>3</v>
      </c>
      <c r="C10934">
        <v>30.493300000000001</v>
      </c>
      <c r="D10934">
        <v>-3.4508299999999998</v>
      </c>
      <c r="E10934" t="s">
        <v>16339</v>
      </c>
      <c r="F10934" t="s">
        <v>16340</v>
      </c>
      <c r="G10934" t="s">
        <v>37</v>
      </c>
      <c r="H10934">
        <v>1991</v>
      </c>
      <c r="I10934">
        <v>20.89912</v>
      </c>
      <c r="J10934">
        <v>12.5</v>
      </c>
      <c r="K10934">
        <v>72</v>
      </c>
      <c r="L10934">
        <v>6.6198240000000004</v>
      </c>
      <c r="M10934">
        <v>29.279299999999999</v>
      </c>
      <c r="N10934">
        <v>11.9793</v>
      </c>
      <c r="O10934">
        <v>17.3</v>
      </c>
      <c r="P10934">
        <v>20.799119999999998</v>
      </c>
      <c r="Q10934">
        <v>20.179300000000001</v>
      </c>
      <c r="R10934">
        <v>21.699120000000001</v>
      </c>
      <c r="S10934">
        <v>19.979299999999999</v>
      </c>
      <c r="T10934">
        <v>1150.242</v>
      </c>
      <c r="U10934">
        <v>191.41399999999999</v>
      </c>
      <c r="V10934">
        <v>1</v>
      </c>
      <c r="W10934">
        <v>68</v>
      </c>
      <c r="X10934">
        <v>498.4228</v>
      </c>
      <c r="Y10934">
        <v>17</v>
      </c>
      <c r="Z10934">
        <v>256.6035</v>
      </c>
      <c r="AA10934">
        <v>91</v>
      </c>
      <c r="AB10934">
        <v>66.343279999999993</v>
      </c>
      <c r="AC10934">
        <v>1.484984E-2</v>
      </c>
      <c r="AD10934">
        <v>9.1474220000000006</v>
      </c>
      <c r="AE10934">
        <v>0.70694290000000004</v>
      </c>
      <c r="AF10934">
        <v>1273.4110000000001</v>
      </c>
      <c r="AG10934">
        <f>IFERROR(AH10934*0.1, "N/A")</f>
        <v>5.542281</v>
      </c>
      <c r="AH10934">
        <v>55.422809999999998</v>
      </c>
      <c r="AI10934">
        <v>282.06639999999999</v>
      </c>
      <c r="AJ10934">
        <v>35.757890000000003</v>
      </c>
      <c r="AK10934">
        <v>48.484209999999997</v>
      </c>
    </row>
    <row r="10935" spans="1:37" x14ac:dyDescent="0.3">
      <c r="A10935">
        <v>10934</v>
      </c>
      <c r="B10935">
        <v>2.1</v>
      </c>
      <c r="C10935">
        <v>29.36</v>
      </c>
      <c r="D10935">
        <v>-3.3761100000000002</v>
      </c>
      <c r="E10935" t="s">
        <v>16341</v>
      </c>
      <c r="F10935" t="s">
        <v>16342</v>
      </c>
      <c r="G10935" t="s">
        <v>37</v>
      </c>
      <c r="H10935">
        <v>1989</v>
      </c>
      <c r="I10935">
        <v>24</v>
      </c>
      <c r="J10935">
        <v>10.199999999999999</v>
      </c>
      <c r="K10935">
        <v>73</v>
      </c>
      <c r="L10935">
        <v>5.34</v>
      </c>
      <c r="M10935">
        <v>31.3</v>
      </c>
      <c r="N10935">
        <v>17.5</v>
      </c>
      <c r="O10935">
        <v>13.8</v>
      </c>
      <c r="P10935">
        <v>23.8</v>
      </c>
      <c r="Q10935">
        <v>23.8</v>
      </c>
      <c r="R10935">
        <v>24.8</v>
      </c>
      <c r="S10935">
        <v>23.6</v>
      </c>
      <c r="T10935">
        <v>938</v>
      </c>
      <c r="U10935">
        <v>145</v>
      </c>
      <c r="V10935">
        <v>3</v>
      </c>
      <c r="W10935">
        <v>63</v>
      </c>
      <c r="X10935">
        <v>400</v>
      </c>
      <c r="Y10935">
        <v>24</v>
      </c>
      <c r="Z10935">
        <v>116</v>
      </c>
      <c r="AA10935">
        <v>90</v>
      </c>
      <c r="AB10935">
        <v>8.6705419999999993</v>
      </c>
      <c r="AC10935">
        <v>0.1632546</v>
      </c>
      <c r="AD10935">
        <v>2.1953550000000002</v>
      </c>
      <c r="AE10935">
        <v>0.92675629999999998</v>
      </c>
      <c r="AF10935">
        <v>799.74040000000002</v>
      </c>
      <c r="AG10935">
        <f>IFERROR(AH10935*0.1, "N/A")</f>
        <v>6.4866670000000006</v>
      </c>
      <c r="AH10935">
        <v>64.866669999999999</v>
      </c>
      <c r="AI10935">
        <v>261.22379999999998</v>
      </c>
      <c r="AJ10935">
        <v>30.989470000000001</v>
      </c>
      <c r="AK10935">
        <v>44.701749999999997</v>
      </c>
    </row>
    <row r="10936" spans="1:37" x14ac:dyDescent="0.3">
      <c r="A10936">
        <v>10935</v>
      </c>
      <c r="B10936">
        <v>15.4</v>
      </c>
      <c r="C10936">
        <v>29.353300000000001</v>
      </c>
      <c r="D10936">
        <v>-3.36972</v>
      </c>
      <c r="E10936" t="s">
        <v>16343</v>
      </c>
      <c r="F10936" t="s">
        <v>16344</v>
      </c>
      <c r="G10936" t="s">
        <v>37</v>
      </c>
      <c r="H10936">
        <v>1994</v>
      </c>
      <c r="I10936">
        <v>24</v>
      </c>
      <c r="J10936">
        <v>10.1</v>
      </c>
      <c r="K10936">
        <v>73</v>
      </c>
      <c r="L10936">
        <v>5.51</v>
      </c>
      <c r="M10936">
        <v>31.2</v>
      </c>
      <c r="N10936">
        <v>17.399999999999999</v>
      </c>
      <c r="O10936">
        <v>13.8</v>
      </c>
      <c r="P10936">
        <v>23.8</v>
      </c>
      <c r="Q10936">
        <v>23.7</v>
      </c>
      <c r="R10936">
        <v>24.8</v>
      </c>
      <c r="S10936">
        <v>23.5</v>
      </c>
      <c r="T10936">
        <v>922</v>
      </c>
      <c r="U10936">
        <v>143</v>
      </c>
      <c r="V10936">
        <v>3</v>
      </c>
      <c r="W10936">
        <v>64</v>
      </c>
      <c r="X10936">
        <v>393</v>
      </c>
      <c r="Y10936">
        <v>23</v>
      </c>
      <c r="Z10936">
        <v>115</v>
      </c>
      <c r="AA10936">
        <v>88</v>
      </c>
      <c r="AB10936">
        <v>1.681573</v>
      </c>
      <c r="AC10936">
        <v>24.03293</v>
      </c>
      <c r="AD10936">
        <v>1.340408</v>
      </c>
      <c r="AE10936">
        <v>0.93822369999999999</v>
      </c>
      <c r="AF10936">
        <v>784.09649999999999</v>
      </c>
      <c r="AG10936">
        <f>IFERROR(AH10936*0.1, "N/A")</f>
        <v>6.3815790000000003</v>
      </c>
      <c r="AH10936">
        <v>63.81579</v>
      </c>
      <c r="AI10936">
        <v>208.56639999999999</v>
      </c>
      <c r="AJ10936">
        <v>28.394739999999999</v>
      </c>
      <c r="AK10936">
        <v>47.601750000000003</v>
      </c>
    </row>
    <row r="10937" spans="1:37" x14ac:dyDescent="0.3">
      <c r="A10937">
        <v>10936</v>
      </c>
      <c r="B10937">
        <v>5.31</v>
      </c>
      <c r="C10937">
        <v>29.687899999999999</v>
      </c>
      <c r="D10937">
        <v>-3.3651200000000001</v>
      </c>
      <c r="E10937" t="s">
        <v>16345</v>
      </c>
      <c r="F10937" t="s">
        <v>16346</v>
      </c>
      <c r="G10937" t="s">
        <v>37</v>
      </c>
      <c r="H10937">
        <v>2000</v>
      </c>
      <c r="I10937">
        <v>17.7</v>
      </c>
      <c r="J10937">
        <v>11.1</v>
      </c>
      <c r="K10937">
        <v>78</v>
      </c>
      <c r="L10937">
        <v>4.33</v>
      </c>
      <c r="M10937">
        <v>24.5</v>
      </c>
      <c r="N10937">
        <v>10.3</v>
      </c>
      <c r="O10937">
        <v>14.2</v>
      </c>
      <c r="P10937">
        <v>18</v>
      </c>
      <c r="Q10937">
        <v>17.100000000000001</v>
      </c>
      <c r="R10937">
        <v>18</v>
      </c>
      <c r="S10937">
        <v>17</v>
      </c>
      <c r="T10937">
        <v>1276</v>
      </c>
      <c r="U10937">
        <v>187</v>
      </c>
      <c r="V10937">
        <v>5</v>
      </c>
      <c r="W10937">
        <v>59</v>
      </c>
      <c r="X10937">
        <v>500</v>
      </c>
      <c r="Y10937">
        <v>34</v>
      </c>
      <c r="Z10937">
        <v>500</v>
      </c>
      <c r="AA10937">
        <v>125</v>
      </c>
      <c r="AB10937">
        <v>99.229780000000005</v>
      </c>
      <c r="AC10937">
        <v>1.438704E-2</v>
      </c>
      <c r="AD10937">
        <v>7.3980189999999997</v>
      </c>
      <c r="AE10937">
        <v>0.47149740000000001</v>
      </c>
      <c r="AF10937">
        <v>1923.93</v>
      </c>
      <c r="AG10937">
        <f>IFERROR(AH10937*0.1, "N/A")</f>
        <v>5.2426320000000004</v>
      </c>
      <c r="AH10937">
        <v>52.426319999999997</v>
      </c>
      <c r="AI10937">
        <v>90.175970000000007</v>
      </c>
      <c r="AJ10937">
        <v>44.485959999999999</v>
      </c>
      <c r="AK10937">
        <v>36.342109999999998</v>
      </c>
    </row>
    <row r="10938" spans="1:37" x14ac:dyDescent="0.3">
      <c r="A10938">
        <v>10937</v>
      </c>
      <c r="B10938">
        <v>21.5</v>
      </c>
      <c r="C10938">
        <v>29.379200000000001</v>
      </c>
      <c r="D10938">
        <v>-3.34361</v>
      </c>
      <c r="E10938" t="s">
        <v>16347</v>
      </c>
      <c r="F10938" t="s">
        <v>16348</v>
      </c>
      <c r="G10938" t="s">
        <v>37</v>
      </c>
      <c r="H10938">
        <v>1994</v>
      </c>
      <c r="I10938">
        <v>24.4</v>
      </c>
      <c r="J10938">
        <v>10.199999999999999</v>
      </c>
      <c r="K10938">
        <v>74</v>
      </c>
      <c r="L10938">
        <v>5.0599999999999996</v>
      </c>
      <c r="M10938">
        <v>31.5</v>
      </c>
      <c r="N10938">
        <v>17.8</v>
      </c>
      <c r="O10938">
        <v>13.7</v>
      </c>
      <c r="P10938">
        <v>24.2</v>
      </c>
      <c r="Q10938">
        <v>24.1</v>
      </c>
      <c r="R10938">
        <v>25.1</v>
      </c>
      <c r="S10938">
        <v>24</v>
      </c>
      <c r="T10938">
        <v>952</v>
      </c>
      <c r="U10938">
        <v>147</v>
      </c>
      <c r="V10938">
        <v>3</v>
      </c>
      <c r="W10938">
        <v>63</v>
      </c>
      <c r="X10938">
        <v>404</v>
      </c>
      <c r="Y10938">
        <v>24</v>
      </c>
      <c r="Z10938">
        <v>119</v>
      </c>
      <c r="AA10938">
        <v>91</v>
      </c>
      <c r="AB10938">
        <v>7.834676</v>
      </c>
      <c r="AC10938">
        <v>1.519244</v>
      </c>
      <c r="AD10938">
        <v>1.6543589999999999</v>
      </c>
      <c r="AE10938">
        <v>0.93180850000000004</v>
      </c>
      <c r="AF10938">
        <v>825.77459999999996</v>
      </c>
      <c r="AG10938">
        <f>IFERROR(AH10938*0.1, "N/A")</f>
        <v>6.8001760000000004</v>
      </c>
      <c r="AH10938">
        <v>68.001760000000004</v>
      </c>
      <c r="AI10938">
        <v>117.0715</v>
      </c>
      <c r="AJ10938">
        <v>30.667249999999999</v>
      </c>
      <c r="AK10938">
        <v>45</v>
      </c>
    </row>
    <row r="10939" spans="1:37" x14ac:dyDescent="0.3">
      <c r="A10939">
        <v>10938</v>
      </c>
      <c r="B10939">
        <v>21.5</v>
      </c>
      <c r="C10939">
        <v>29.3703</v>
      </c>
      <c r="D10939">
        <v>-3.3427799999999999</v>
      </c>
      <c r="E10939" t="s">
        <v>16349</v>
      </c>
      <c r="F10939" t="s">
        <v>16350</v>
      </c>
      <c r="G10939" t="s">
        <v>37</v>
      </c>
      <c r="H10939">
        <v>1994</v>
      </c>
      <c r="I10939">
        <v>24.2</v>
      </c>
      <c r="J10939">
        <v>10.199999999999999</v>
      </c>
      <c r="K10939">
        <v>73</v>
      </c>
      <c r="L10939">
        <v>5.65</v>
      </c>
      <c r="M10939">
        <v>31.4</v>
      </c>
      <c r="N10939">
        <v>17.600000000000001</v>
      </c>
      <c r="O10939">
        <v>13.8</v>
      </c>
      <c r="P10939">
        <v>24</v>
      </c>
      <c r="Q10939">
        <v>23.9</v>
      </c>
      <c r="R10939">
        <v>25</v>
      </c>
      <c r="S10939">
        <v>23.8</v>
      </c>
      <c r="T10939">
        <v>935</v>
      </c>
      <c r="U10939">
        <v>144</v>
      </c>
      <c r="V10939">
        <v>3</v>
      </c>
      <c r="W10939">
        <v>64</v>
      </c>
      <c r="X10939">
        <v>398</v>
      </c>
      <c r="Y10939">
        <v>23</v>
      </c>
      <c r="Z10939">
        <v>117</v>
      </c>
      <c r="AA10939">
        <v>89</v>
      </c>
      <c r="AB10939">
        <v>0.69474429999999998</v>
      </c>
      <c r="AC10939">
        <v>4.0181930000000001</v>
      </c>
      <c r="AD10939">
        <v>1.422757</v>
      </c>
      <c r="AE10939">
        <v>0.93077989999999999</v>
      </c>
      <c r="AF10939">
        <v>805.85990000000004</v>
      </c>
      <c r="AG10939">
        <f>IFERROR(AH10939*0.1, "N/A")</f>
        <v>7.0387040000000001</v>
      </c>
      <c r="AH10939">
        <v>70.387039999999999</v>
      </c>
      <c r="AI10939">
        <v>162.8295</v>
      </c>
      <c r="AJ10939">
        <v>33.852890000000002</v>
      </c>
      <c r="AK10939">
        <v>43.45534</v>
      </c>
    </row>
    <row r="10940" spans="1:37" x14ac:dyDescent="0.3">
      <c r="A10940">
        <v>10939</v>
      </c>
      <c r="B10940">
        <v>35</v>
      </c>
      <c r="C10940">
        <v>29.377500000000001</v>
      </c>
      <c r="D10940">
        <v>-3.3344399999999998</v>
      </c>
      <c r="E10940" t="s">
        <v>16351</v>
      </c>
      <c r="F10940" t="s">
        <v>16352</v>
      </c>
      <c r="G10940" t="s">
        <v>37</v>
      </c>
      <c r="H10940">
        <v>1994</v>
      </c>
      <c r="I10940">
        <v>24.3</v>
      </c>
      <c r="J10940">
        <v>10.201409999999999</v>
      </c>
      <c r="K10940">
        <v>73.014080000000007</v>
      </c>
      <c r="L10940">
        <v>5.1392959999999999</v>
      </c>
      <c r="M10940">
        <v>31.5</v>
      </c>
      <c r="N10940">
        <v>17.7</v>
      </c>
      <c r="O10940">
        <v>13.8</v>
      </c>
      <c r="P10940">
        <v>24.1</v>
      </c>
      <c r="Q10940">
        <v>24</v>
      </c>
      <c r="R10940">
        <v>25</v>
      </c>
      <c r="S10940">
        <v>23.9</v>
      </c>
      <c r="T10940">
        <v>943.92960000000005</v>
      </c>
      <c r="U10940">
        <v>144.98589999999999</v>
      </c>
      <c r="V10940">
        <v>3</v>
      </c>
      <c r="W10940">
        <v>63.98592</v>
      </c>
      <c r="X10940">
        <v>400.95769999999999</v>
      </c>
      <c r="Y10940">
        <v>23</v>
      </c>
      <c r="Z10940">
        <v>119</v>
      </c>
      <c r="AA10940">
        <v>89</v>
      </c>
      <c r="AB10940">
        <v>6.2910069999999996</v>
      </c>
      <c r="AC10940">
        <v>2.5946529999999999E-2</v>
      </c>
      <c r="AD10940">
        <v>2.6260889999999999</v>
      </c>
      <c r="AE10940">
        <v>0.93120389999999997</v>
      </c>
      <c r="AF10940">
        <v>813.0951</v>
      </c>
      <c r="AG10940">
        <f>IFERROR(AH10940*0.1, "N/A")</f>
        <v>7.0403170000000008</v>
      </c>
      <c r="AH10940">
        <v>70.403170000000003</v>
      </c>
      <c r="AI10940">
        <v>175.46019999999999</v>
      </c>
      <c r="AJ10940">
        <v>31.607389999999999</v>
      </c>
      <c r="AK10940">
        <v>43.80106</v>
      </c>
    </row>
    <row r="10941" spans="1:37" x14ac:dyDescent="0.3">
      <c r="A10941">
        <v>10940</v>
      </c>
      <c r="B10941">
        <v>17.27</v>
      </c>
      <c r="C10941">
        <v>29.25</v>
      </c>
      <c r="D10941">
        <v>-3.33324</v>
      </c>
      <c r="E10941" t="s">
        <v>16353</v>
      </c>
      <c r="F10941" t="s">
        <v>16354</v>
      </c>
      <c r="G10941" t="s">
        <v>37</v>
      </c>
      <c r="H10941">
        <v>2000</v>
      </c>
      <c r="I10941">
        <v>24.85351</v>
      </c>
      <c r="J10941">
        <v>10.3</v>
      </c>
      <c r="K10941">
        <v>74.592979999999997</v>
      </c>
      <c r="L10941">
        <v>5.0088949999999999</v>
      </c>
      <c r="M10941">
        <v>31.9</v>
      </c>
      <c r="N10941">
        <v>18.159300000000002</v>
      </c>
      <c r="O10941">
        <v>13.7407</v>
      </c>
      <c r="P10941">
        <v>24.694210000000002</v>
      </c>
      <c r="Q10941">
        <v>24.453510000000001</v>
      </c>
      <c r="R10941">
        <v>25.5</v>
      </c>
      <c r="S10941">
        <v>24.359300000000001</v>
      </c>
      <c r="T10941">
        <v>908.51400000000001</v>
      </c>
      <c r="U10941">
        <v>143.1</v>
      </c>
      <c r="V10941">
        <v>3</v>
      </c>
      <c r="W10941">
        <v>63</v>
      </c>
      <c r="X10941">
        <v>388.69299999999998</v>
      </c>
      <c r="Y10941">
        <v>25</v>
      </c>
      <c r="Z10941">
        <v>112.5351</v>
      </c>
      <c r="AA10941">
        <v>92.535089999999997</v>
      </c>
      <c r="AB10941">
        <v>1.0157959999999999</v>
      </c>
      <c r="AC10941">
        <v>1.7546450000000002E-2</v>
      </c>
      <c r="AD10941">
        <v>1.5942670000000001</v>
      </c>
      <c r="AE10941">
        <v>0.71439090000000005</v>
      </c>
      <c r="AF10941">
        <v>780.28420000000006</v>
      </c>
      <c r="AG10941">
        <f>IFERROR(AH10941*0.1, "N/A")</f>
        <v>6.146491000000001</v>
      </c>
      <c r="AH10941">
        <v>61.464910000000003</v>
      </c>
      <c r="AI10941">
        <v>147.4821</v>
      </c>
      <c r="AJ10941">
        <v>25.53509</v>
      </c>
      <c r="AK10941">
        <v>56.464910000000003</v>
      </c>
    </row>
    <row r="10942" spans="1:37" x14ac:dyDescent="0.3">
      <c r="A10942">
        <v>10941</v>
      </c>
      <c r="B10942">
        <v>37.799999999999997</v>
      </c>
      <c r="C10942">
        <v>29.291899999999998</v>
      </c>
      <c r="D10942">
        <v>-3.3158300000000001</v>
      </c>
      <c r="E10942" t="s">
        <v>16355</v>
      </c>
      <c r="F10942" t="s">
        <v>16356</v>
      </c>
      <c r="G10942" t="s">
        <v>37</v>
      </c>
      <c r="H10942">
        <v>1984</v>
      </c>
      <c r="I10942">
        <v>24.408249999999999</v>
      </c>
      <c r="J10942">
        <v>10.20825</v>
      </c>
      <c r="K10942">
        <v>74.989469999999997</v>
      </c>
      <c r="L10942">
        <v>4.8071580000000003</v>
      </c>
      <c r="M10942">
        <v>31.41649</v>
      </c>
      <c r="N10942">
        <v>17.807189999999999</v>
      </c>
      <c r="O10942">
        <v>13.609299999999999</v>
      </c>
      <c r="P10942">
        <v>24.3</v>
      </c>
      <c r="Q10942">
        <v>24.107189999999999</v>
      </c>
      <c r="R10942">
        <v>25.108250000000002</v>
      </c>
      <c r="S10942">
        <v>23.908249999999999</v>
      </c>
      <c r="T10942">
        <v>888.38250000000005</v>
      </c>
      <c r="U10942">
        <v>139.09299999999999</v>
      </c>
      <c r="V10942">
        <v>3</v>
      </c>
      <c r="W10942">
        <v>63</v>
      </c>
      <c r="X10942">
        <v>381.18599999999998</v>
      </c>
      <c r="Y10942">
        <v>22</v>
      </c>
      <c r="Z10942">
        <v>113</v>
      </c>
      <c r="AA10942">
        <v>85.092979999999997</v>
      </c>
      <c r="AB10942">
        <v>0.43506860000000003</v>
      </c>
      <c r="AC10942">
        <v>1.078935</v>
      </c>
      <c r="AD10942">
        <v>0.86739120000000003</v>
      </c>
      <c r="AE10942">
        <v>0.42933300000000002</v>
      </c>
      <c r="AF10942">
        <v>777.5</v>
      </c>
      <c r="AG10942">
        <f>IFERROR(AH10942*0.1, "N/A")</f>
        <v>5.7857890000000003</v>
      </c>
      <c r="AH10942">
        <v>57.857889999999998</v>
      </c>
      <c r="AI10942">
        <v>170.02799999999999</v>
      </c>
      <c r="AJ10942">
        <v>28.278949999999998</v>
      </c>
      <c r="AK10942">
        <v>56.277189999999997</v>
      </c>
    </row>
    <row r="10943" spans="1:37" x14ac:dyDescent="0.3">
      <c r="A10943">
        <v>10942</v>
      </c>
      <c r="B10943">
        <v>33</v>
      </c>
      <c r="C10943">
        <v>29.3599</v>
      </c>
      <c r="D10943">
        <v>-3.2901400000000001</v>
      </c>
      <c r="E10943" t="s">
        <v>16357</v>
      </c>
      <c r="F10943" t="s">
        <v>16358</v>
      </c>
      <c r="G10943" t="s">
        <v>37</v>
      </c>
      <c r="H10943">
        <v>1993</v>
      </c>
      <c r="I10943">
        <v>24.5</v>
      </c>
      <c r="J10943">
        <v>10.3</v>
      </c>
      <c r="K10943">
        <v>75</v>
      </c>
      <c r="L10943">
        <v>5.05</v>
      </c>
      <c r="M10943">
        <v>31.6</v>
      </c>
      <c r="N10943">
        <v>17.899999999999999</v>
      </c>
      <c r="O10943">
        <v>13.7</v>
      </c>
      <c r="P10943">
        <v>24.3</v>
      </c>
      <c r="Q10943">
        <v>24.2</v>
      </c>
      <c r="R10943">
        <v>25.3</v>
      </c>
      <c r="S10943">
        <v>24</v>
      </c>
      <c r="T10943">
        <v>927</v>
      </c>
      <c r="U10943">
        <v>142</v>
      </c>
      <c r="V10943">
        <v>3</v>
      </c>
      <c r="W10943">
        <v>63</v>
      </c>
      <c r="X10943">
        <v>394</v>
      </c>
      <c r="Y10943">
        <v>23</v>
      </c>
      <c r="Z10943">
        <v>118</v>
      </c>
      <c r="AA10943">
        <v>87</v>
      </c>
      <c r="AB10943">
        <v>6.8098159999999996</v>
      </c>
      <c r="AC10943">
        <v>1.497569E-2</v>
      </c>
      <c r="AD10943">
        <v>1.4154009999999999</v>
      </c>
      <c r="AE10943">
        <v>0.49633329999999998</v>
      </c>
      <c r="AF10943">
        <v>803.31700000000001</v>
      </c>
      <c r="AG10943">
        <f>IFERROR(AH10943*0.1, "N/A")</f>
        <v>6.1169880000000001</v>
      </c>
      <c r="AH10943">
        <v>61.169879999999999</v>
      </c>
      <c r="AI10943">
        <v>235.80330000000001</v>
      </c>
      <c r="AJ10943">
        <v>25.75657</v>
      </c>
      <c r="AK10943">
        <v>59.793349999999997</v>
      </c>
    </row>
    <row r="10944" spans="1:37" x14ac:dyDescent="0.3">
      <c r="A10944">
        <v>10943</v>
      </c>
      <c r="B10944">
        <v>47.1</v>
      </c>
      <c r="C10944">
        <v>29.3599</v>
      </c>
      <c r="D10944">
        <v>-3.2899699999999998</v>
      </c>
      <c r="E10944" t="s">
        <v>16359</v>
      </c>
      <c r="F10944" t="s">
        <v>16360</v>
      </c>
      <c r="G10944" t="s">
        <v>37</v>
      </c>
      <c r="H10944">
        <v>1988</v>
      </c>
      <c r="I10944">
        <v>24.5</v>
      </c>
      <c r="J10944">
        <v>10.3</v>
      </c>
      <c r="K10944">
        <v>75</v>
      </c>
      <c r="L10944">
        <v>5.05</v>
      </c>
      <c r="M10944">
        <v>31.6</v>
      </c>
      <c r="N10944">
        <v>17.899999999999999</v>
      </c>
      <c r="O10944">
        <v>13.7</v>
      </c>
      <c r="P10944">
        <v>24.3</v>
      </c>
      <c r="Q10944">
        <v>24.2</v>
      </c>
      <c r="R10944">
        <v>25.3</v>
      </c>
      <c r="S10944">
        <v>24</v>
      </c>
      <c r="T10944">
        <v>927</v>
      </c>
      <c r="U10944">
        <v>142</v>
      </c>
      <c r="V10944">
        <v>3</v>
      </c>
      <c r="W10944">
        <v>63</v>
      </c>
      <c r="X10944">
        <v>394</v>
      </c>
      <c r="Y10944">
        <v>23</v>
      </c>
      <c r="Z10944">
        <v>118</v>
      </c>
      <c r="AA10944">
        <v>87</v>
      </c>
      <c r="AB10944">
        <v>6.9513259999999999</v>
      </c>
      <c r="AC10944">
        <v>1.7773029999999999E-2</v>
      </c>
      <c r="AD10944">
        <v>1.3970320000000001</v>
      </c>
      <c r="AE10944">
        <v>0.4963574</v>
      </c>
      <c r="AF10944">
        <v>803.62210000000005</v>
      </c>
      <c r="AG10944">
        <f>IFERROR(AH10944*0.1, "N/A")</f>
        <v>6.1070300000000008</v>
      </c>
      <c r="AH10944">
        <v>61.070300000000003</v>
      </c>
      <c r="AI10944">
        <v>244.3843</v>
      </c>
      <c r="AJ10944">
        <v>25.859400000000001</v>
      </c>
      <c r="AK10944">
        <v>59.894550000000002</v>
      </c>
    </row>
    <row r="10945" spans="1:37" x14ac:dyDescent="0.3">
      <c r="A10945">
        <v>10944</v>
      </c>
      <c r="B10945">
        <v>65.8</v>
      </c>
      <c r="C10945">
        <v>29.622399999999999</v>
      </c>
      <c r="D10945">
        <v>-3.2673899999999998</v>
      </c>
      <c r="E10945" t="s">
        <v>16361</v>
      </c>
      <c r="F10945" t="s">
        <v>16362</v>
      </c>
      <c r="G10945" t="s">
        <v>37</v>
      </c>
      <c r="H10945">
        <v>1987</v>
      </c>
      <c r="I10945">
        <v>18.100000000000001</v>
      </c>
      <c r="J10945">
        <v>10.9</v>
      </c>
      <c r="K10945">
        <v>78</v>
      </c>
      <c r="L10945">
        <v>3.83</v>
      </c>
      <c r="M10945">
        <v>24.9</v>
      </c>
      <c r="N10945">
        <v>11.1</v>
      </c>
      <c r="O10945">
        <v>13.8</v>
      </c>
      <c r="P10945">
        <v>18.2</v>
      </c>
      <c r="Q10945">
        <v>17.7</v>
      </c>
      <c r="R10945">
        <v>18.5</v>
      </c>
      <c r="S10945">
        <v>17.5</v>
      </c>
      <c r="T10945">
        <v>1343</v>
      </c>
      <c r="U10945">
        <v>202</v>
      </c>
      <c r="V10945">
        <v>6</v>
      </c>
      <c r="W10945">
        <v>58</v>
      </c>
      <c r="X10945">
        <v>529</v>
      </c>
      <c r="Y10945">
        <v>42</v>
      </c>
      <c r="Z10945">
        <v>206</v>
      </c>
      <c r="AA10945">
        <v>136</v>
      </c>
      <c r="AB10945">
        <v>68.439890000000005</v>
      </c>
      <c r="AC10945">
        <v>8.9542019999999996E-3</v>
      </c>
      <c r="AD10945">
        <v>5.529471</v>
      </c>
      <c r="AE10945">
        <v>0.68749490000000002</v>
      </c>
      <c r="AF10945">
        <v>1972.009</v>
      </c>
      <c r="AG10945">
        <f>IFERROR(AH10945*0.1, "N/A")</f>
        <v>5.191916</v>
      </c>
      <c r="AH10945">
        <v>51.919159999999998</v>
      </c>
      <c r="AI10945">
        <v>118.5132</v>
      </c>
      <c r="AJ10945">
        <v>43.868189999999998</v>
      </c>
      <c r="AK10945">
        <v>37.940249999999999</v>
      </c>
    </row>
    <row r="10946" spans="1:37" x14ac:dyDescent="0.3">
      <c r="A10946">
        <v>10945</v>
      </c>
      <c r="B10946">
        <v>18.809999999999999</v>
      </c>
      <c r="C10946">
        <v>29.322500000000002</v>
      </c>
      <c r="D10946">
        <v>-3.2457500000000001</v>
      </c>
      <c r="E10946" t="s">
        <v>16363</v>
      </c>
      <c r="F10946" t="s">
        <v>16364</v>
      </c>
      <c r="G10946" t="s">
        <v>37</v>
      </c>
      <c r="H10946">
        <v>2000</v>
      </c>
      <c r="I10946">
        <v>24.9</v>
      </c>
      <c r="J10946">
        <v>10.5</v>
      </c>
      <c r="K10946">
        <v>76</v>
      </c>
      <c r="L10946">
        <v>4.3499999999999996</v>
      </c>
      <c r="M10946">
        <v>31.9</v>
      </c>
      <c r="N10946">
        <v>18.2</v>
      </c>
      <c r="O10946">
        <v>13.7</v>
      </c>
      <c r="P10946">
        <v>24.7</v>
      </c>
      <c r="Q10946">
        <v>24.5</v>
      </c>
      <c r="R10946">
        <v>25.5</v>
      </c>
      <c r="S10946">
        <v>24.4</v>
      </c>
      <c r="T10946">
        <v>924</v>
      </c>
      <c r="U10946">
        <v>142</v>
      </c>
      <c r="V10946">
        <v>3</v>
      </c>
      <c r="W10946">
        <v>62</v>
      </c>
      <c r="X10946">
        <v>391</v>
      </c>
      <c r="Y10946">
        <v>25</v>
      </c>
      <c r="Z10946">
        <v>119</v>
      </c>
      <c r="AA10946">
        <v>89</v>
      </c>
      <c r="AB10946">
        <v>2.2615699999999999</v>
      </c>
      <c r="AC10946">
        <v>1.723355E-2</v>
      </c>
      <c r="AD10946">
        <v>2.1875</v>
      </c>
      <c r="AE10946">
        <v>0.39471810000000002</v>
      </c>
      <c r="AF10946">
        <v>803.97190000000001</v>
      </c>
      <c r="AG10946">
        <f>IFERROR(AH10946*0.1, "N/A")</f>
        <v>6.1991230000000002</v>
      </c>
      <c r="AH10946">
        <v>61.991230000000002</v>
      </c>
      <c r="AI10946">
        <v>204.06139999999999</v>
      </c>
      <c r="AJ10946">
        <v>28.491230000000002</v>
      </c>
      <c r="AK10946">
        <v>56.008769999999998</v>
      </c>
    </row>
    <row r="10947" spans="1:37" x14ac:dyDescent="0.3">
      <c r="A10947">
        <v>10946</v>
      </c>
      <c r="B10947">
        <v>29.3</v>
      </c>
      <c r="C10947">
        <v>29.316099999999999</v>
      </c>
      <c r="D10947">
        <v>-3.2416700000000001</v>
      </c>
      <c r="E10947" t="s">
        <v>16365</v>
      </c>
      <c r="F10947" t="s">
        <v>16366</v>
      </c>
      <c r="G10947" t="s">
        <v>37</v>
      </c>
      <c r="H10947">
        <v>1984</v>
      </c>
      <c r="I10947">
        <v>24.9</v>
      </c>
      <c r="J10947">
        <v>10.5</v>
      </c>
      <c r="K10947">
        <v>76</v>
      </c>
      <c r="L10947">
        <v>4.629912</v>
      </c>
      <c r="M10947">
        <v>31.998059999999999</v>
      </c>
      <c r="N10947">
        <v>18.217780000000001</v>
      </c>
      <c r="O10947">
        <v>13.780279999999999</v>
      </c>
      <c r="P10947">
        <v>24.7</v>
      </c>
      <c r="Q10947">
        <v>24.584330000000001</v>
      </c>
      <c r="R10947">
        <v>25.566549999999999</v>
      </c>
      <c r="S10947">
        <v>24.498059999999999</v>
      </c>
      <c r="T10947">
        <v>925.29049999999995</v>
      </c>
      <c r="U10947">
        <v>142</v>
      </c>
      <c r="V10947">
        <v>3</v>
      </c>
      <c r="W10947">
        <v>62.177819999999997</v>
      </c>
      <c r="X10947">
        <v>391</v>
      </c>
      <c r="Y10947">
        <v>25</v>
      </c>
      <c r="Z10947">
        <v>119</v>
      </c>
      <c r="AA10947">
        <v>89.802819999999997</v>
      </c>
      <c r="AB10947">
        <v>2.5566580000000001</v>
      </c>
      <c r="AC10947">
        <v>8.5645019999999999E-3</v>
      </c>
      <c r="AD10947">
        <v>2.0707089999999999</v>
      </c>
      <c r="AE10947">
        <v>0.40252260000000001</v>
      </c>
      <c r="AF10947">
        <v>810.48239999999998</v>
      </c>
      <c r="AG10947">
        <f>IFERROR(AH10947*0.1, "N/A")</f>
        <v>6.3000000000000007</v>
      </c>
      <c r="AH10947">
        <v>63</v>
      </c>
      <c r="AI10947">
        <v>207.4263</v>
      </c>
      <c r="AJ10947">
        <v>32</v>
      </c>
      <c r="AK10947">
        <v>51</v>
      </c>
    </row>
    <row r="10948" spans="1:37" x14ac:dyDescent="0.3">
      <c r="A10948">
        <v>10947</v>
      </c>
      <c r="B10948">
        <v>0.5</v>
      </c>
      <c r="C10948">
        <v>29.470800000000001</v>
      </c>
      <c r="D10948">
        <v>-3.2293599999999998</v>
      </c>
      <c r="E10948" t="s">
        <v>16367</v>
      </c>
      <c r="F10948" t="s">
        <v>16368</v>
      </c>
      <c r="G10948" t="s">
        <v>37</v>
      </c>
      <c r="H10948">
        <v>2000</v>
      </c>
      <c r="I10948">
        <v>21</v>
      </c>
      <c r="J10948">
        <v>11.1</v>
      </c>
      <c r="K10948">
        <v>78</v>
      </c>
      <c r="L10948">
        <v>3.34</v>
      </c>
      <c r="M10948">
        <v>28.1</v>
      </c>
      <c r="N10948">
        <v>14</v>
      </c>
      <c r="O10948">
        <v>14.1</v>
      </c>
      <c r="P10948">
        <v>21</v>
      </c>
      <c r="Q10948">
        <v>20.7</v>
      </c>
      <c r="R10948">
        <v>21.4</v>
      </c>
      <c r="S10948">
        <v>20.5</v>
      </c>
      <c r="T10948">
        <v>1338</v>
      </c>
      <c r="U10948">
        <v>201</v>
      </c>
      <c r="V10948">
        <v>7</v>
      </c>
      <c r="W10948">
        <v>59</v>
      </c>
      <c r="X10948">
        <v>533</v>
      </c>
      <c r="Y10948">
        <v>41</v>
      </c>
      <c r="Z10948">
        <v>193</v>
      </c>
      <c r="AA10948">
        <v>138</v>
      </c>
      <c r="AB10948">
        <v>73.287739999999999</v>
      </c>
      <c r="AC10948">
        <v>8.8040659999999993E-3</v>
      </c>
      <c r="AD10948">
        <v>12.77341</v>
      </c>
      <c r="AE10948">
        <v>0.58213870000000001</v>
      </c>
      <c r="AF10948">
        <v>1519.626</v>
      </c>
      <c r="AG10948">
        <f>IFERROR(AH10948*0.1, "N/A")</f>
        <v>5.6308770000000008</v>
      </c>
      <c r="AH10948">
        <v>56.308770000000003</v>
      </c>
      <c r="AI10948">
        <v>187.56739999999999</v>
      </c>
      <c r="AJ10948">
        <v>38.308770000000003</v>
      </c>
      <c r="AK10948">
        <v>41.691229999999997</v>
      </c>
    </row>
    <row r="10949" spans="1:37" x14ac:dyDescent="0.3">
      <c r="A10949">
        <v>10948</v>
      </c>
      <c r="B10949">
        <v>27.4</v>
      </c>
      <c r="C10949">
        <v>29.355599999999999</v>
      </c>
      <c r="D10949">
        <v>-3.2124999999999999</v>
      </c>
      <c r="E10949" t="s">
        <v>16369</v>
      </c>
      <c r="F10949" t="s">
        <v>16370</v>
      </c>
      <c r="G10949" t="s">
        <v>37</v>
      </c>
      <c r="H10949">
        <v>1984</v>
      </c>
      <c r="I10949">
        <v>25.1</v>
      </c>
      <c r="J10949">
        <v>10.6</v>
      </c>
      <c r="K10949">
        <v>76</v>
      </c>
      <c r="L10949">
        <v>4.25</v>
      </c>
      <c r="M10949">
        <v>32.299999999999997</v>
      </c>
      <c r="N10949">
        <v>18.399999999999999</v>
      </c>
      <c r="O10949">
        <v>13.9</v>
      </c>
      <c r="P10949">
        <v>25</v>
      </c>
      <c r="Q10949">
        <v>24.8</v>
      </c>
      <c r="R10949">
        <v>25.7</v>
      </c>
      <c r="S10949">
        <v>24.7</v>
      </c>
      <c r="T10949">
        <v>954</v>
      </c>
      <c r="U10949">
        <v>144</v>
      </c>
      <c r="V10949">
        <v>4</v>
      </c>
      <c r="W10949">
        <v>62</v>
      </c>
      <c r="X10949">
        <v>399</v>
      </c>
      <c r="Y10949">
        <v>27</v>
      </c>
      <c r="Z10949">
        <v>123</v>
      </c>
      <c r="AA10949">
        <v>93</v>
      </c>
      <c r="AB10949">
        <v>9.3915950000000006</v>
      </c>
      <c r="AC10949">
        <v>1.09903E-2</v>
      </c>
      <c r="AD10949">
        <v>1.904803</v>
      </c>
      <c r="AE10949">
        <v>0.73621979999999998</v>
      </c>
      <c r="AF10949">
        <v>826.87369999999999</v>
      </c>
      <c r="AG10949">
        <f>IFERROR(AH10949*0.1, "N/A")</f>
        <v>6.0978950000000003</v>
      </c>
      <c r="AH10949">
        <v>60.978949999999998</v>
      </c>
      <c r="AI10949">
        <v>157.03829999999999</v>
      </c>
      <c r="AJ10949">
        <v>29.7193</v>
      </c>
      <c r="AK10949">
        <v>52.280700000000003</v>
      </c>
    </row>
    <row r="10950" spans="1:37" x14ac:dyDescent="0.3">
      <c r="A10950">
        <v>10949</v>
      </c>
      <c r="B10950">
        <v>11.71</v>
      </c>
      <c r="C10950">
        <v>29.3062</v>
      </c>
      <c r="D10950">
        <v>-3.1936100000000001</v>
      </c>
      <c r="E10950" t="s">
        <v>16371</v>
      </c>
      <c r="F10950" t="s">
        <v>16372</v>
      </c>
      <c r="G10950" t="s">
        <v>37</v>
      </c>
      <c r="H10950">
        <v>2000</v>
      </c>
      <c r="I10950">
        <v>25.1</v>
      </c>
      <c r="J10950">
        <v>10.7</v>
      </c>
      <c r="K10950">
        <v>78</v>
      </c>
      <c r="L10950">
        <v>3.89</v>
      </c>
      <c r="M10950">
        <v>32.200000000000003</v>
      </c>
      <c r="N10950">
        <v>18.5</v>
      </c>
      <c r="O10950">
        <v>13.7</v>
      </c>
      <c r="P10950">
        <v>25</v>
      </c>
      <c r="Q10950">
        <v>24.8</v>
      </c>
      <c r="R10950">
        <v>25.6</v>
      </c>
      <c r="S10950">
        <v>24.7</v>
      </c>
      <c r="T10950">
        <v>948</v>
      </c>
      <c r="U10950">
        <v>143</v>
      </c>
      <c r="V10950">
        <v>4</v>
      </c>
      <c r="W10950">
        <v>61</v>
      </c>
      <c r="X10950">
        <v>396</v>
      </c>
      <c r="Y10950">
        <v>28</v>
      </c>
      <c r="Z10950">
        <v>123</v>
      </c>
      <c r="AA10950">
        <v>95</v>
      </c>
      <c r="AB10950">
        <v>6.5230259999999998</v>
      </c>
      <c r="AC10950">
        <v>1.6169719999999999E-2</v>
      </c>
      <c r="AD10950">
        <v>1.7649820000000001</v>
      </c>
      <c r="AE10950">
        <v>0.71806130000000001</v>
      </c>
      <c r="AF10950">
        <v>825.2373</v>
      </c>
      <c r="AG10950">
        <f>IFERROR(AH10950*0.1, "N/A")</f>
        <v>6.1001760000000003</v>
      </c>
      <c r="AH10950">
        <v>61.001759999999997</v>
      </c>
      <c r="AI10950">
        <v>142.1317</v>
      </c>
      <c r="AJ10950">
        <v>24.005269999999999</v>
      </c>
      <c r="AK10950">
        <v>62.996490000000001</v>
      </c>
    </row>
    <row r="10951" spans="1:37" x14ac:dyDescent="0.3">
      <c r="A10951">
        <v>10950</v>
      </c>
      <c r="B10951">
        <v>36</v>
      </c>
      <c r="C10951">
        <v>29.3062</v>
      </c>
      <c r="D10951">
        <v>-3.1935600000000002</v>
      </c>
      <c r="E10951" t="s">
        <v>16373</v>
      </c>
      <c r="F10951" t="s">
        <v>16374</v>
      </c>
      <c r="G10951" t="s">
        <v>37</v>
      </c>
      <c r="H10951">
        <v>1988</v>
      </c>
      <c r="I10951">
        <v>25.1</v>
      </c>
      <c r="J10951">
        <v>10.7</v>
      </c>
      <c r="K10951">
        <v>78</v>
      </c>
      <c r="L10951">
        <v>3.89</v>
      </c>
      <c r="M10951">
        <v>32.200000000000003</v>
      </c>
      <c r="N10951">
        <v>18.5</v>
      </c>
      <c r="O10951">
        <v>13.7</v>
      </c>
      <c r="P10951">
        <v>25</v>
      </c>
      <c r="Q10951">
        <v>24.8</v>
      </c>
      <c r="R10951">
        <v>25.6</v>
      </c>
      <c r="S10951">
        <v>24.7</v>
      </c>
      <c r="T10951">
        <v>948</v>
      </c>
      <c r="U10951">
        <v>143</v>
      </c>
      <c r="V10951">
        <v>4</v>
      </c>
      <c r="W10951">
        <v>61</v>
      </c>
      <c r="X10951">
        <v>396</v>
      </c>
      <c r="Y10951">
        <v>28</v>
      </c>
      <c r="Z10951">
        <v>123</v>
      </c>
      <c r="AA10951">
        <v>95</v>
      </c>
      <c r="AB10951">
        <v>6.5393379999999999</v>
      </c>
      <c r="AC10951">
        <v>1.5696970000000001E-2</v>
      </c>
      <c r="AD10951">
        <v>1.8577319999999999</v>
      </c>
      <c r="AE10951">
        <v>0.71806669999999995</v>
      </c>
      <c r="AF10951">
        <v>825.33219999999994</v>
      </c>
      <c r="AG10951">
        <f>IFERROR(AH10951*0.1, "N/A")</f>
        <v>6.1000000000000005</v>
      </c>
      <c r="AH10951">
        <v>61</v>
      </c>
      <c r="AI10951">
        <v>144.4323</v>
      </c>
      <c r="AJ10951">
        <v>24</v>
      </c>
      <c r="AK10951">
        <v>63</v>
      </c>
    </row>
    <row r="10952" spans="1:37" x14ac:dyDescent="0.3">
      <c r="A10952">
        <v>10951</v>
      </c>
      <c r="B10952">
        <v>20</v>
      </c>
      <c r="C10952">
        <v>29.3062</v>
      </c>
      <c r="D10952">
        <v>-3.1934800000000001</v>
      </c>
      <c r="E10952" t="s">
        <v>16375</v>
      </c>
      <c r="F10952" t="s">
        <v>16376</v>
      </c>
      <c r="G10952" t="s">
        <v>37</v>
      </c>
      <c r="H10952">
        <v>1993</v>
      </c>
      <c r="I10952">
        <v>25.1</v>
      </c>
      <c r="J10952">
        <v>10.7</v>
      </c>
      <c r="K10952">
        <v>78</v>
      </c>
      <c r="L10952">
        <v>3.89</v>
      </c>
      <c r="M10952">
        <v>32.200000000000003</v>
      </c>
      <c r="N10952">
        <v>18.5</v>
      </c>
      <c r="O10952">
        <v>13.7</v>
      </c>
      <c r="P10952">
        <v>25</v>
      </c>
      <c r="Q10952">
        <v>24.8</v>
      </c>
      <c r="R10952">
        <v>25.6</v>
      </c>
      <c r="S10952">
        <v>24.7</v>
      </c>
      <c r="T10952">
        <v>948</v>
      </c>
      <c r="U10952">
        <v>143</v>
      </c>
      <c r="V10952">
        <v>4</v>
      </c>
      <c r="W10952">
        <v>61</v>
      </c>
      <c r="X10952">
        <v>396</v>
      </c>
      <c r="Y10952">
        <v>28</v>
      </c>
      <c r="Z10952">
        <v>123</v>
      </c>
      <c r="AA10952">
        <v>95</v>
      </c>
      <c r="AB10952">
        <v>6.5774660000000003</v>
      </c>
      <c r="AC10952">
        <v>1.4710600000000001E-2</v>
      </c>
      <c r="AD10952">
        <v>2.0113219999999998</v>
      </c>
      <c r="AE10952">
        <v>0.71805300000000005</v>
      </c>
      <c r="AF10952">
        <v>825.55629999999996</v>
      </c>
      <c r="AG10952">
        <f>IFERROR(AH10952*0.1, "N/A")</f>
        <v>6.1000000000000005</v>
      </c>
      <c r="AH10952">
        <v>61</v>
      </c>
      <c r="AI10952">
        <v>147.86580000000001</v>
      </c>
      <c r="AJ10952">
        <v>24</v>
      </c>
      <c r="AK10952">
        <v>63</v>
      </c>
    </row>
    <row r="10953" spans="1:37" x14ac:dyDescent="0.3">
      <c r="A10953">
        <v>10952</v>
      </c>
      <c r="B10953">
        <v>34.5</v>
      </c>
      <c r="C10953">
        <v>29.341699999999999</v>
      </c>
      <c r="D10953">
        <v>-3.1805599999999998</v>
      </c>
      <c r="E10953" t="s">
        <v>16377</v>
      </c>
      <c r="F10953" t="s">
        <v>16378</v>
      </c>
      <c r="G10953" t="s">
        <v>37</v>
      </c>
      <c r="H10953">
        <v>1984</v>
      </c>
      <c r="I10953">
        <v>25.2</v>
      </c>
      <c r="J10953">
        <v>10.7</v>
      </c>
      <c r="K10953">
        <v>77</v>
      </c>
      <c r="L10953">
        <v>3.8966669999999999</v>
      </c>
      <c r="M10953">
        <v>32.35333</v>
      </c>
      <c r="N10953">
        <v>18.553329999999999</v>
      </c>
      <c r="O10953">
        <v>13.8</v>
      </c>
      <c r="P10953">
        <v>25.053329999999999</v>
      </c>
      <c r="Q10953">
        <v>24.953330000000001</v>
      </c>
      <c r="R10953">
        <v>25.753329999999998</v>
      </c>
      <c r="S10953">
        <v>24.8</v>
      </c>
      <c r="T10953">
        <v>962.73329999999999</v>
      </c>
      <c r="U10953">
        <v>144.5333</v>
      </c>
      <c r="V10953">
        <v>4</v>
      </c>
      <c r="W10953">
        <v>62</v>
      </c>
      <c r="X10953">
        <v>400.6</v>
      </c>
      <c r="Y10953">
        <v>28</v>
      </c>
      <c r="Z10953">
        <v>124.5333</v>
      </c>
      <c r="AA10953">
        <v>95.533330000000007</v>
      </c>
      <c r="AB10953">
        <v>6.4668789999999996</v>
      </c>
      <c r="AC10953">
        <v>1.720466E-2</v>
      </c>
      <c r="AD10953">
        <v>1.2829440000000001</v>
      </c>
      <c r="AE10953">
        <v>0.73946849999999997</v>
      </c>
      <c r="AF10953">
        <v>833.42460000000005</v>
      </c>
      <c r="AG10953">
        <f>IFERROR(AH10953*0.1, "N/A")</f>
        <v>6.3443860000000001</v>
      </c>
      <c r="AH10953">
        <v>63.443860000000001</v>
      </c>
      <c r="AI10953">
        <v>148.6617</v>
      </c>
      <c r="AJ10953">
        <v>24.910530000000001</v>
      </c>
      <c r="AK10953">
        <v>62.366669999999999</v>
      </c>
    </row>
    <row r="10954" spans="1:37" x14ac:dyDescent="0.3">
      <c r="A10954">
        <v>10953</v>
      </c>
      <c r="B10954">
        <v>91</v>
      </c>
      <c r="C10954">
        <v>29.372599999999998</v>
      </c>
      <c r="D10954">
        <v>-3.1722199999999998</v>
      </c>
      <c r="E10954" t="s">
        <v>16379</v>
      </c>
      <c r="F10954" t="s">
        <v>16380</v>
      </c>
      <c r="G10954" t="s">
        <v>37</v>
      </c>
      <c r="H10954">
        <v>1990</v>
      </c>
      <c r="I10954">
        <v>25.3</v>
      </c>
      <c r="J10954">
        <v>10.8</v>
      </c>
      <c r="K10954">
        <v>78</v>
      </c>
      <c r="L10954">
        <v>3.88</v>
      </c>
      <c r="M10954">
        <v>32.4</v>
      </c>
      <c r="N10954">
        <v>18.600000000000001</v>
      </c>
      <c r="O10954">
        <v>13.8</v>
      </c>
      <c r="P10954">
        <v>25.1</v>
      </c>
      <c r="Q10954">
        <v>25</v>
      </c>
      <c r="R10954">
        <v>25.8</v>
      </c>
      <c r="S10954">
        <v>24.9</v>
      </c>
      <c r="T10954">
        <v>969</v>
      </c>
      <c r="U10954">
        <v>146</v>
      </c>
      <c r="V10954">
        <v>4</v>
      </c>
      <c r="W10954">
        <v>62</v>
      </c>
      <c r="X10954">
        <v>402</v>
      </c>
      <c r="Y10954">
        <v>29</v>
      </c>
      <c r="Z10954">
        <v>127</v>
      </c>
      <c r="AA10954">
        <v>95</v>
      </c>
      <c r="AB10954">
        <v>0.50980760000000003</v>
      </c>
      <c r="AC10954">
        <v>3.0354429999999999</v>
      </c>
      <c r="AD10954">
        <v>1.5857760000000001</v>
      </c>
      <c r="AE10954">
        <v>0.59472659999999999</v>
      </c>
      <c r="AF10954">
        <v>837.66489999999999</v>
      </c>
      <c r="AG10954">
        <f>IFERROR(AH10954*0.1, "N/A")</f>
        <v>6.3398250000000003</v>
      </c>
      <c r="AH10954">
        <v>63.398249999999997</v>
      </c>
      <c r="AI10954">
        <v>242.43799999999999</v>
      </c>
      <c r="AJ10954">
        <v>24.743860000000002</v>
      </c>
      <c r="AK10954">
        <v>52.708770000000001</v>
      </c>
    </row>
    <row r="10955" spans="1:37" x14ac:dyDescent="0.3">
      <c r="A10955">
        <v>10954</v>
      </c>
      <c r="B10955">
        <v>34</v>
      </c>
      <c r="C10955">
        <v>29.404199999999999</v>
      </c>
      <c r="D10955">
        <v>-3.1707900000000002</v>
      </c>
      <c r="E10955" t="s">
        <v>16381</v>
      </c>
      <c r="F10955" t="s">
        <v>16382</v>
      </c>
      <c r="G10955" t="s">
        <v>37</v>
      </c>
      <c r="H10955">
        <v>1993</v>
      </c>
      <c r="I10955">
        <v>25.3</v>
      </c>
      <c r="J10955">
        <v>10.8</v>
      </c>
      <c r="K10955">
        <v>78</v>
      </c>
      <c r="L10955">
        <v>3.61</v>
      </c>
      <c r="M10955">
        <v>32.5</v>
      </c>
      <c r="N10955">
        <v>18.7</v>
      </c>
      <c r="O10955">
        <v>13.8</v>
      </c>
      <c r="P10955">
        <v>25.2</v>
      </c>
      <c r="Q10955">
        <v>25</v>
      </c>
      <c r="R10955">
        <v>25.8</v>
      </c>
      <c r="S10955">
        <v>24.9</v>
      </c>
      <c r="T10955">
        <v>1009</v>
      </c>
      <c r="U10955">
        <v>152</v>
      </c>
      <c r="V10955">
        <v>4</v>
      </c>
      <c r="W10955">
        <v>61</v>
      </c>
      <c r="X10955">
        <v>416</v>
      </c>
      <c r="Y10955">
        <v>30</v>
      </c>
      <c r="Z10955">
        <v>133</v>
      </c>
      <c r="AA10955">
        <v>98</v>
      </c>
      <c r="AB10955">
        <v>15.46617</v>
      </c>
      <c r="AC10955">
        <v>1.284747E-2</v>
      </c>
      <c r="AD10955">
        <v>3.2097669999999998</v>
      </c>
      <c r="AE10955">
        <v>0.74545249999999996</v>
      </c>
      <c r="AF10955">
        <v>889.67370000000005</v>
      </c>
      <c r="AG10955">
        <f>IFERROR(AH10955*0.1, "N/A")</f>
        <v>6.1000000000000005</v>
      </c>
      <c r="AH10955">
        <v>61</v>
      </c>
      <c r="AI10955">
        <v>229.02979999999999</v>
      </c>
      <c r="AJ10955">
        <v>31.20702</v>
      </c>
      <c r="AK10955">
        <v>49.41404</v>
      </c>
    </row>
    <row r="10956" spans="1:37" x14ac:dyDescent="0.3">
      <c r="A10956">
        <v>10955</v>
      </c>
      <c r="B10956">
        <v>8.92</v>
      </c>
      <c r="C10956">
        <v>29.404199999999999</v>
      </c>
      <c r="D10956">
        <v>-3.1707700000000001</v>
      </c>
      <c r="E10956" t="s">
        <v>16383</v>
      </c>
      <c r="F10956" t="s">
        <v>16384</v>
      </c>
      <c r="G10956" t="s">
        <v>37</v>
      </c>
      <c r="H10956">
        <v>2000</v>
      </c>
      <c r="I10956">
        <v>25.3</v>
      </c>
      <c r="J10956">
        <v>10.8</v>
      </c>
      <c r="K10956">
        <v>78</v>
      </c>
      <c r="L10956">
        <v>3.61</v>
      </c>
      <c r="M10956">
        <v>32.5</v>
      </c>
      <c r="N10956">
        <v>18.7</v>
      </c>
      <c r="O10956">
        <v>13.8</v>
      </c>
      <c r="P10956">
        <v>25.2</v>
      </c>
      <c r="Q10956">
        <v>25</v>
      </c>
      <c r="R10956">
        <v>25.8</v>
      </c>
      <c r="S10956">
        <v>24.9</v>
      </c>
      <c r="T10956">
        <v>1009</v>
      </c>
      <c r="U10956">
        <v>152</v>
      </c>
      <c r="V10956">
        <v>4</v>
      </c>
      <c r="W10956">
        <v>61</v>
      </c>
      <c r="X10956">
        <v>416</v>
      </c>
      <c r="Y10956">
        <v>30</v>
      </c>
      <c r="Z10956">
        <v>133</v>
      </c>
      <c r="AA10956">
        <v>98</v>
      </c>
      <c r="AB10956">
        <v>15.59985</v>
      </c>
      <c r="AC10956">
        <v>1.289271E-2</v>
      </c>
      <c r="AD10956">
        <v>3.235052</v>
      </c>
      <c r="AE10956">
        <v>0.74558250000000004</v>
      </c>
      <c r="AF10956">
        <v>889.7817</v>
      </c>
      <c r="AG10956">
        <f>IFERROR(AH10956*0.1, "N/A")</f>
        <v>6.1000000000000005</v>
      </c>
      <c r="AH10956">
        <v>61</v>
      </c>
      <c r="AI10956">
        <v>230.2278</v>
      </c>
      <c r="AJ10956">
        <v>31.209510000000002</v>
      </c>
      <c r="AK10956">
        <v>49.41901</v>
      </c>
    </row>
    <row r="10957" spans="1:37" x14ac:dyDescent="0.3">
      <c r="A10957">
        <v>10956</v>
      </c>
      <c r="B10957">
        <v>34.28</v>
      </c>
      <c r="C10957">
        <v>29.346699999999998</v>
      </c>
      <c r="D10957">
        <v>-3.1555300000000002</v>
      </c>
      <c r="E10957" t="s">
        <v>16385</v>
      </c>
      <c r="F10957" t="s">
        <v>16386</v>
      </c>
      <c r="G10957" t="s">
        <v>37</v>
      </c>
      <c r="H10957">
        <v>2000</v>
      </c>
      <c r="I10957">
        <v>25.2</v>
      </c>
      <c r="J10957">
        <v>10.8</v>
      </c>
      <c r="K10957">
        <v>78</v>
      </c>
      <c r="L10957">
        <v>3.87</v>
      </c>
      <c r="M10957">
        <v>32.299999999999997</v>
      </c>
      <c r="N10957">
        <v>18.5</v>
      </c>
      <c r="O10957">
        <v>13.8</v>
      </c>
      <c r="P10957">
        <v>25.1</v>
      </c>
      <c r="Q10957">
        <v>24.9</v>
      </c>
      <c r="R10957">
        <v>25.7</v>
      </c>
      <c r="S10957">
        <v>24.7</v>
      </c>
      <c r="T10957">
        <v>973</v>
      </c>
      <c r="U10957">
        <v>146</v>
      </c>
      <c r="V10957">
        <v>4</v>
      </c>
      <c r="W10957">
        <v>61</v>
      </c>
      <c r="X10957">
        <v>403</v>
      </c>
      <c r="Y10957">
        <v>29</v>
      </c>
      <c r="Z10957">
        <v>128</v>
      </c>
      <c r="AA10957">
        <v>97</v>
      </c>
      <c r="AB10957">
        <v>11.264900000000001</v>
      </c>
      <c r="AC10957">
        <v>1.238878E-2</v>
      </c>
      <c r="AD10957">
        <v>2.1546910000000001</v>
      </c>
      <c r="AE10957">
        <v>0.71095759999999997</v>
      </c>
      <c r="AF10957">
        <v>851.04409999999996</v>
      </c>
      <c r="AG10957">
        <f>IFERROR(AH10957*0.1, "N/A")</f>
        <v>6.4315700000000007</v>
      </c>
      <c r="AH10957">
        <v>64.315700000000007</v>
      </c>
      <c r="AI10957">
        <v>204.09989999999999</v>
      </c>
      <c r="AJ10957">
        <v>29.05115</v>
      </c>
      <c r="AK10957">
        <v>52.700180000000003</v>
      </c>
    </row>
    <row r="10958" spans="1:37" x14ac:dyDescent="0.3">
      <c r="A10958">
        <v>10957</v>
      </c>
      <c r="B10958">
        <v>41.9</v>
      </c>
      <c r="C10958">
        <v>29.347200000000001</v>
      </c>
      <c r="D10958">
        <v>-3.1513900000000001</v>
      </c>
      <c r="E10958" t="s">
        <v>16387</v>
      </c>
      <c r="F10958" t="s">
        <v>16388</v>
      </c>
      <c r="G10958" t="s">
        <v>37</v>
      </c>
      <c r="H10958">
        <v>1987</v>
      </c>
      <c r="I10958">
        <v>25.2</v>
      </c>
      <c r="J10958">
        <v>10.8</v>
      </c>
      <c r="K10958">
        <v>78</v>
      </c>
      <c r="L10958">
        <v>3.87</v>
      </c>
      <c r="M10958">
        <v>32.299999999999997</v>
      </c>
      <c r="N10958">
        <v>18.5</v>
      </c>
      <c r="O10958">
        <v>13.8</v>
      </c>
      <c r="P10958">
        <v>25.1</v>
      </c>
      <c r="Q10958">
        <v>24.9</v>
      </c>
      <c r="R10958">
        <v>25.7</v>
      </c>
      <c r="S10958">
        <v>24.7</v>
      </c>
      <c r="T10958">
        <v>973</v>
      </c>
      <c r="U10958">
        <v>146</v>
      </c>
      <c r="V10958">
        <v>4</v>
      </c>
      <c r="W10958">
        <v>61</v>
      </c>
      <c r="X10958">
        <v>403</v>
      </c>
      <c r="Y10958">
        <v>29</v>
      </c>
      <c r="Z10958">
        <v>128</v>
      </c>
      <c r="AA10958">
        <v>97</v>
      </c>
      <c r="AB10958">
        <v>21.73075</v>
      </c>
      <c r="AC10958">
        <v>6.1651530000000003E-2</v>
      </c>
      <c r="AD10958">
        <v>4.8664259999999997</v>
      </c>
      <c r="AE10958">
        <v>0.59294619999999998</v>
      </c>
      <c r="AF10958">
        <v>872.04750000000001</v>
      </c>
      <c r="AG10958">
        <f>IFERROR(AH10958*0.1, "N/A")</f>
        <v>6.3000000000000007</v>
      </c>
      <c r="AH10958">
        <v>63</v>
      </c>
      <c r="AI10958">
        <v>246.08609999999999</v>
      </c>
      <c r="AJ10958">
        <v>31</v>
      </c>
      <c r="AK10958">
        <v>51.005270000000003</v>
      </c>
    </row>
    <row r="10959" spans="1:37" x14ac:dyDescent="0.3">
      <c r="A10959">
        <v>10958</v>
      </c>
      <c r="B10959">
        <v>60.4</v>
      </c>
      <c r="C10959">
        <v>29.25</v>
      </c>
      <c r="D10959">
        <v>-3.15</v>
      </c>
      <c r="E10959" t="s">
        <v>16389</v>
      </c>
      <c r="F10959" t="s">
        <v>16390</v>
      </c>
      <c r="G10959" t="s">
        <v>37</v>
      </c>
      <c r="H10959">
        <v>1997</v>
      </c>
      <c r="I10959">
        <v>25.059470000000001</v>
      </c>
      <c r="J10959">
        <v>10.9</v>
      </c>
      <c r="K10959">
        <v>77.571929999999995</v>
      </c>
      <c r="L10959">
        <v>3.776017</v>
      </c>
      <c r="M10959">
        <v>32.253160000000001</v>
      </c>
      <c r="N10959">
        <v>18.31035</v>
      </c>
      <c r="O10959">
        <v>13.94281</v>
      </c>
      <c r="P10959">
        <v>24.95947</v>
      </c>
      <c r="Q10959">
        <v>24.8</v>
      </c>
      <c r="R10959">
        <v>25.559470000000001</v>
      </c>
      <c r="S10959">
        <v>24.650880000000001</v>
      </c>
      <c r="T10959">
        <v>945.64210000000003</v>
      </c>
      <c r="U10959">
        <v>142.50880000000001</v>
      </c>
      <c r="V10959">
        <v>4</v>
      </c>
      <c r="W10959">
        <v>61</v>
      </c>
      <c r="X10959">
        <v>392.3596</v>
      </c>
      <c r="Y10959">
        <v>30.405259999999998</v>
      </c>
      <c r="Z10959">
        <v>122.7474</v>
      </c>
      <c r="AA10959">
        <v>99.873679999999993</v>
      </c>
      <c r="AB10959">
        <v>32.796999999999997</v>
      </c>
      <c r="AC10959">
        <v>2.2161589999999998E-2</v>
      </c>
      <c r="AD10959">
        <v>6.4476380000000004</v>
      </c>
      <c r="AE10959">
        <v>0.35804439999999998</v>
      </c>
      <c r="AF10959">
        <v>816.86320000000001</v>
      </c>
      <c r="AG10959">
        <f>IFERROR(AH10959*0.1, "N/A")</f>
        <v>6.1571930000000004</v>
      </c>
      <c r="AH10959">
        <v>61.571930000000002</v>
      </c>
      <c r="AI10959">
        <v>233.0626</v>
      </c>
      <c r="AJ10959">
        <v>27.16667</v>
      </c>
      <c r="AK10959">
        <v>57.856140000000003</v>
      </c>
    </row>
    <row r="10960" spans="1:37" x14ac:dyDescent="0.3">
      <c r="A10960">
        <v>10959</v>
      </c>
      <c r="B10960">
        <v>34.5</v>
      </c>
      <c r="C10960">
        <v>29.325600000000001</v>
      </c>
      <c r="D10960">
        <v>-3.10222</v>
      </c>
      <c r="E10960" t="s">
        <v>16391</v>
      </c>
      <c r="F10960" t="s">
        <v>16392</v>
      </c>
      <c r="G10960" t="s">
        <v>37</v>
      </c>
      <c r="H10960">
        <v>1997</v>
      </c>
      <c r="I10960">
        <v>24.8</v>
      </c>
      <c r="J10960">
        <v>11.1</v>
      </c>
      <c r="K10960">
        <v>79</v>
      </c>
      <c r="L10960">
        <v>3.4</v>
      </c>
      <c r="M10960">
        <v>32.1</v>
      </c>
      <c r="N10960">
        <v>18.100000000000001</v>
      </c>
      <c r="O10960">
        <v>14</v>
      </c>
      <c r="P10960">
        <v>24.7</v>
      </c>
      <c r="Q10960">
        <v>24.6</v>
      </c>
      <c r="R10960">
        <v>25.3</v>
      </c>
      <c r="S10960">
        <v>24.5</v>
      </c>
      <c r="T10960">
        <v>1024</v>
      </c>
      <c r="U10960">
        <v>153</v>
      </c>
      <c r="V10960">
        <v>5</v>
      </c>
      <c r="W10960">
        <v>60</v>
      </c>
      <c r="X10960">
        <v>418</v>
      </c>
      <c r="Y10960">
        <v>33</v>
      </c>
      <c r="Z10960">
        <v>138</v>
      </c>
      <c r="AA10960">
        <v>106</v>
      </c>
      <c r="AB10960">
        <v>27.47644</v>
      </c>
      <c r="AC10960">
        <v>1.2006920000000001E-2</v>
      </c>
      <c r="AD10960">
        <v>6.8950379999999996</v>
      </c>
      <c r="AE10960">
        <v>0.53697620000000001</v>
      </c>
      <c r="AF10960">
        <v>943.29930000000002</v>
      </c>
      <c r="AG10960">
        <f>IFERROR(AH10960*0.1, "N/A")</f>
        <v>6.013732000000001</v>
      </c>
      <c r="AH10960">
        <v>60.137320000000003</v>
      </c>
      <c r="AI10960">
        <v>171.01429999999999</v>
      </c>
      <c r="AJ10960">
        <v>37.79401</v>
      </c>
      <c r="AK10960">
        <v>45.20599</v>
      </c>
    </row>
    <row r="10961" spans="1:37" x14ac:dyDescent="0.3">
      <c r="A10961">
        <v>10960</v>
      </c>
      <c r="B10961">
        <v>1.3</v>
      </c>
      <c r="C10961">
        <v>29.4</v>
      </c>
      <c r="D10961">
        <v>-3.08331</v>
      </c>
      <c r="E10961" t="s">
        <v>16393</v>
      </c>
      <c r="F10961" t="s">
        <v>16394</v>
      </c>
      <c r="G10961" t="s">
        <v>37</v>
      </c>
      <c r="H10961">
        <v>2000</v>
      </c>
      <c r="I10961">
        <v>23.95842</v>
      </c>
      <c r="J10961">
        <v>11.2</v>
      </c>
      <c r="K10961">
        <v>80</v>
      </c>
      <c r="L10961">
        <v>3.2474029999999998</v>
      </c>
      <c r="M10961">
        <v>31.213159999999998</v>
      </c>
      <c r="N10961">
        <v>17.22702</v>
      </c>
      <c r="O10961">
        <v>13.986140000000001</v>
      </c>
      <c r="P10961">
        <v>23.858419999999999</v>
      </c>
      <c r="Q10961">
        <v>23.758420000000001</v>
      </c>
      <c r="R10961">
        <v>24.413160000000001</v>
      </c>
      <c r="S10961">
        <v>23.613510000000002</v>
      </c>
      <c r="T10961">
        <v>1113.6769999999999</v>
      </c>
      <c r="U10961">
        <v>166.73330000000001</v>
      </c>
      <c r="V10961">
        <v>5.1385959999999997</v>
      </c>
      <c r="W10961">
        <v>59.314039999999999</v>
      </c>
      <c r="X10961">
        <v>449.19299999999998</v>
      </c>
      <c r="Y10961">
        <v>36.138599999999997</v>
      </c>
      <c r="Z10961">
        <v>156.45959999999999</v>
      </c>
      <c r="AA10961">
        <v>115.41930000000001</v>
      </c>
      <c r="AB10961">
        <v>13.211959999999999</v>
      </c>
      <c r="AC10961">
        <v>0.14796790000000001</v>
      </c>
      <c r="AD10961">
        <v>8.8458570000000005</v>
      </c>
      <c r="AE10961">
        <v>0.71918590000000004</v>
      </c>
      <c r="AF10961">
        <v>1082.616</v>
      </c>
      <c r="AG10961">
        <f>IFERROR(AH10961*0.1, "N/A")</f>
        <v>5.8505260000000003</v>
      </c>
      <c r="AH10961">
        <v>58.50526</v>
      </c>
      <c r="AI10961">
        <v>199.792</v>
      </c>
      <c r="AJ10961">
        <v>36.961399999999998</v>
      </c>
      <c r="AK10961">
        <v>43.231580000000001</v>
      </c>
    </row>
    <row r="10962" spans="1:37" x14ac:dyDescent="0.3">
      <c r="A10962">
        <v>10961</v>
      </c>
      <c r="B10962">
        <v>51.8</v>
      </c>
      <c r="C10962">
        <v>29.245799999999999</v>
      </c>
      <c r="D10962">
        <v>-3.0444399999999998</v>
      </c>
      <c r="E10962" t="s">
        <v>16395</v>
      </c>
      <c r="F10962" t="s">
        <v>16396</v>
      </c>
      <c r="G10962" t="s">
        <v>37</v>
      </c>
      <c r="H10962">
        <v>1984</v>
      </c>
      <c r="I10962">
        <v>24.8</v>
      </c>
      <c r="J10962">
        <v>11.3</v>
      </c>
      <c r="K10962">
        <v>79</v>
      </c>
      <c r="L10962">
        <v>3.42</v>
      </c>
      <c r="M10962">
        <v>32.1</v>
      </c>
      <c r="N10962">
        <v>17.899999999999999</v>
      </c>
      <c r="O10962">
        <v>14.2</v>
      </c>
      <c r="P10962">
        <v>24.7</v>
      </c>
      <c r="Q10962">
        <v>24.5</v>
      </c>
      <c r="R10962">
        <v>25.2</v>
      </c>
      <c r="S10962">
        <v>24.4</v>
      </c>
      <c r="T10962">
        <v>942</v>
      </c>
      <c r="U10962">
        <v>138</v>
      </c>
      <c r="V10962">
        <v>5</v>
      </c>
      <c r="W10962">
        <v>59</v>
      </c>
      <c r="X10962">
        <v>383</v>
      </c>
      <c r="Y10962">
        <v>33</v>
      </c>
      <c r="Z10962">
        <v>127</v>
      </c>
      <c r="AA10962">
        <v>103</v>
      </c>
      <c r="AB10962">
        <v>1.539317</v>
      </c>
      <c r="AC10962">
        <v>370.09649999999999</v>
      </c>
      <c r="AD10962">
        <v>2.7877640000000001</v>
      </c>
      <c r="AE10962">
        <v>0.45968629999999999</v>
      </c>
      <c r="AF10962">
        <v>800.20699999999999</v>
      </c>
      <c r="AG10962">
        <f>IFERROR(AH10962*0.1, "N/A")</f>
        <v>6.3882460000000005</v>
      </c>
      <c r="AH10962">
        <v>63.882460000000002</v>
      </c>
      <c r="AI10962">
        <v>165.46770000000001</v>
      </c>
      <c r="AJ10962">
        <v>33.017539999999997</v>
      </c>
      <c r="AK10962">
        <v>45.60351</v>
      </c>
    </row>
    <row r="10963" spans="1:37" x14ac:dyDescent="0.3">
      <c r="A10963">
        <v>10962</v>
      </c>
      <c r="B10963">
        <v>3.8</v>
      </c>
      <c r="C10963">
        <v>29.258199999999999</v>
      </c>
      <c r="D10963">
        <v>-3.0259299999999998</v>
      </c>
      <c r="E10963" t="s">
        <v>16397</v>
      </c>
      <c r="F10963" t="s">
        <v>16398</v>
      </c>
      <c r="G10963" t="s">
        <v>37</v>
      </c>
      <c r="H10963">
        <v>2000</v>
      </c>
      <c r="I10963">
        <v>24.7</v>
      </c>
      <c r="J10963">
        <v>11.3</v>
      </c>
      <c r="K10963">
        <v>79.571179999999998</v>
      </c>
      <c r="L10963">
        <v>3.3014589999999999</v>
      </c>
      <c r="M10963">
        <v>32</v>
      </c>
      <c r="N10963">
        <v>17.857119999999998</v>
      </c>
      <c r="O10963">
        <v>14.14288</v>
      </c>
      <c r="P10963">
        <v>24.657119999999999</v>
      </c>
      <c r="Q10963">
        <v>24.514240000000001</v>
      </c>
      <c r="R10963">
        <v>25.157119999999999</v>
      </c>
      <c r="S10963">
        <v>24.357119999999998</v>
      </c>
      <c r="T10963">
        <v>946.85940000000005</v>
      </c>
      <c r="U10963">
        <v>138.4288</v>
      </c>
      <c r="V10963">
        <v>5</v>
      </c>
      <c r="W10963">
        <v>59</v>
      </c>
      <c r="X10963">
        <v>384.28649999999999</v>
      </c>
      <c r="Y10963">
        <v>33.428820000000002</v>
      </c>
      <c r="Z10963">
        <v>128.85759999999999</v>
      </c>
      <c r="AA10963">
        <v>102.4288</v>
      </c>
      <c r="AB10963">
        <v>5.5145999999999997</v>
      </c>
      <c r="AC10963">
        <v>0.2225268</v>
      </c>
      <c r="AD10963">
        <v>0.89337120000000003</v>
      </c>
      <c r="AE10963">
        <v>0.76295279999999999</v>
      </c>
      <c r="AF10963">
        <v>830.24249999999995</v>
      </c>
      <c r="AG10963">
        <f>IFERROR(AH10963*0.1, "N/A")</f>
        <v>6.3889279999999999</v>
      </c>
      <c r="AH10963">
        <v>63.889279999999999</v>
      </c>
      <c r="AI10963">
        <v>179.23089999999999</v>
      </c>
      <c r="AJ10963">
        <v>30.353249999999999</v>
      </c>
      <c r="AK10963">
        <v>51.274169999999998</v>
      </c>
    </row>
    <row r="10964" spans="1:37" x14ac:dyDescent="0.3">
      <c r="A10964">
        <v>10963</v>
      </c>
      <c r="B10964">
        <v>3.44</v>
      </c>
      <c r="C10964">
        <v>29.2212</v>
      </c>
      <c r="D10964">
        <v>-2.9967600000000001</v>
      </c>
      <c r="E10964" t="s">
        <v>16399</v>
      </c>
      <c r="F10964" t="s">
        <v>16400</v>
      </c>
      <c r="G10964" t="s">
        <v>37</v>
      </c>
      <c r="H10964">
        <v>2000</v>
      </c>
      <c r="I10964">
        <v>24.4</v>
      </c>
      <c r="J10964">
        <v>11.5</v>
      </c>
      <c r="K10964">
        <v>80</v>
      </c>
      <c r="L10964">
        <v>3.2</v>
      </c>
      <c r="M10964">
        <v>31.8</v>
      </c>
      <c r="N10964">
        <v>17.5</v>
      </c>
      <c r="O10964">
        <v>14.3</v>
      </c>
      <c r="P10964">
        <v>24.4</v>
      </c>
      <c r="Q10964">
        <v>24.2</v>
      </c>
      <c r="R10964">
        <v>24.9</v>
      </c>
      <c r="S10964">
        <v>24.1</v>
      </c>
      <c r="T10964">
        <v>956</v>
      </c>
      <c r="U10964">
        <v>139</v>
      </c>
      <c r="V10964">
        <v>5</v>
      </c>
      <c r="W10964">
        <v>58</v>
      </c>
      <c r="X10964">
        <v>385</v>
      </c>
      <c r="Y10964">
        <v>35</v>
      </c>
      <c r="Z10964">
        <v>132</v>
      </c>
      <c r="AA10964">
        <v>106</v>
      </c>
      <c r="AB10964">
        <v>21.65494</v>
      </c>
      <c r="AC10964">
        <v>1.306009E-2</v>
      </c>
      <c r="AD10964">
        <v>3.4718369999999998</v>
      </c>
      <c r="AE10964">
        <v>0.41265170000000001</v>
      </c>
      <c r="AF10964">
        <v>829.1585</v>
      </c>
      <c r="AG10964">
        <f>IFERROR(AH10964*0.1, "N/A")</f>
        <v>6.2524650000000008</v>
      </c>
      <c r="AH10964">
        <v>62.524650000000001</v>
      </c>
      <c r="AI10964">
        <v>123.9658</v>
      </c>
      <c r="AJ10964">
        <v>30.524650000000001</v>
      </c>
      <c r="AK10964">
        <v>51.47007</v>
      </c>
    </row>
    <row r="10965" spans="1:37" x14ac:dyDescent="0.3">
      <c r="A10965">
        <v>10964</v>
      </c>
      <c r="B10965">
        <v>7.74</v>
      </c>
      <c r="C10965">
        <v>29.192799999999998</v>
      </c>
      <c r="D10965">
        <v>-2.9651100000000001</v>
      </c>
      <c r="E10965" t="s">
        <v>16401</v>
      </c>
      <c r="F10965" t="s">
        <v>16402</v>
      </c>
      <c r="G10965" t="s">
        <v>37</v>
      </c>
      <c r="H10965">
        <v>2000</v>
      </c>
      <c r="I10965">
        <v>24</v>
      </c>
      <c r="J10965">
        <v>11.6</v>
      </c>
      <c r="K10965">
        <v>80</v>
      </c>
      <c r="L10965">
        <v>3.36</v>
      </c>
      <c r="M10965">
        <v>31.5</v>
      </c>
      <c r="N10965">
        <v>17</v>
      </c>
      <c r="O10965">
        <v>14.5</v>
      </c>
      <c r="P10965">
        <v>23.9</v>
      </c>
      <c r="Q10965">
        <v>23.8</v>
      </c>
      <c r="R10965">
        <v>24.5</v>
      </c>
      <c r="S10965">
        <v>23.6</v>
      </c>
      <c r="T10965">
        <v>982</v>
      </c>
      <c r="U10965">
        <v>142</v>
      </c>
      <c r="V10965">
        <v>5</v>
      </c>
      <c r="W10965">
        <v>58</v>
      </c>
      <c r="X10965">
        <v>393</v>
      </c>
      <c r="Y10965">
        <v>38</v>
      </c>
      <c r="Z10965">
        <v>138</v>
      </c>
      <c r="AA10965">
        <v>111</v>
      </c>
      <c r="AB10965">
        <v>20.902989999999999</v>
      </c>
      <c r="AC10965">
        <v>4.2307589999999999E-2</v>
      </c>
      <c r="AD10965">
        <v>1.892604</v>
      </c>
      <c r="AE10965">
        <v>0.58046549999999997</v>
      </c>
      <c r="AF10965">
        <v>886.13379999999995</v>
      </c>
      <c r="AG10965">
        <f>IFERROR(AH10965*0.1, "N/A")</f>
        <v>6.3281689999999999</v>
      </c>
      <c r="AH10965">
        <v>63.281689999999998</v>
      </c>
      <c r="AI10965">
        <v>219.3355</v>
      </c>
      <c r="AJ10965">
        <v>33.982390000000002</v>
      </c>
      <c r="AK10965">
        <v>47.25</v>
      </c>
    </row>
    <row r="10966" spans="1:37" x14ac:dyDescent="0.3">
      <c r="A10966">
        <v>10965</v>
      </c>
      <c r="B10966">
        <v>13</v>
      </c>
      <c r="C10966">
        <v>29.192900000000002</v>
      </c>
      <c r="D10966">
        <v>-2.9651100000000001</v>
      </c>
      <c r="E10966" t="s">
        <v>16403</v>
      </c>
      <c r="F10966" t="s">
        <v>16404</v>
      </c>
      <c r="G10966" t="s">
        <v>37</v>
      </c>
      <c r="H10966">
        <v>1993</v>
      </c>
      <c r="I10966">
        <v>24</v>
      </c>
      <c r="J10966">
        <v>11.6</v>
      </c>
      <c r="K10966">
        <v>80</v>
      </c>
      <c r="L10966">
        <v>3.36</v>
      </c>
      <c r="M10966">
        <v>31.5</v>
      </c>
      <c r="N10966">
        <v>17</v>
      </c>
      <c r="O10966">
        <v>14.5</v>
      </c>
      <c r="P10966">
        <v>23.9</v>
      </c>
      <c r="Q10966">
        <v>23.8</v>
      </c>
      <c r="R10966">
        <v>24.5</v>
      </c>
      <c r="S10966">
        <v>23.6</v>
      </c>
      <c r="T10966">
        <v>982</v>
      </c>
      <c r="U10966">
        <v>142</v>
      </c>
      <c r="V10966">
        <v>5</v>
      </c>
      <c r="W10966">
        <v>58</v>
      </c>
      <c r="X10966">
        <v>393</v>
      </c>
      <c r="Y10966">
        <v>38</v>
      </c>
      <c r="Z10966">
        <v>138</v>
      </c>
      <c r="AA10966">
        <v>111</v>
      </c>
      <c r="AB10966">
        <v>21.162739999999999</v>
      </c>
      <c r="AC10966">
        <v>4.2878369999999999E-2</v>
      </c>
      <c r="AD10966">
        <v>1.8807780000000001</v>
      </c>
      <c r="AE10966">
        <v>0.58046549999999997</v>
      </c>
      <c r="AF10966">
        <v>886.23199999999997</v>
      </c>
      <c r="AG10966">
        <f>IFERROR(AH10966*0.1, "N/A")</f>
        <v>6.327065000000001</v>
      </c>
      <c r="AH10966">
        <v>63.270650000000003</v>
      </c>
      <c r="AI10966">
        <v>217.26439999999999</v>
      </c>
      <c r="AJ10966">
        <v>33.952550000000002</v>
      </c>
      <c r="AK10966">
        <v>47.196840000000002</v>
      </c>
    </row>
    <row r="10967" spans="1:37" x14ac:dyDescent="0.3">
      <c r="A10967">
        <v>10966</v>
      </c>
      <c r="B10967">
        <v>0</v>
      </c>
      <c r="C10967">
        <v>29.5717</v>
      </c>
      <c r="D10967">
        <v>-2.91194</v>
      </c>
      <c r="E10967" t="s">
        <v>16405</v>
      </c>
      <c r="F10967" t="s">
        <v>16406</v>
      </c>
      <c r="G10967" t="s">
        <v>37</v>
      </c>
      <c r="H10967">
        <v>2000</v>
      </c>
      <c r="I10967">
        <v>17.7</v>
      </c>
      <c r="J10967">
        <v>10.4</v>
      </c>
      <c r="K10967">
        <v>80</v>
      </c>
      <c r="L10967">
        <v>4.05</v>
      </c>
      <c r="M10967">
        <v>24.3</v>
      </c>
      <c r="N10967">
        <v>11.4</v>
      </c>
      <c r="O10967">
        <v>12.9</v>
      </c>
      <c r="P10967">
        <v>17.5</v>
      </c>
      <c r="Q10967">
        <v>17.5</v>
      </c>
      <c r="R10967">
        <v>18.100000000000001</v>
      </c>
      <c r="S10967">
        <v>17.100000000000001</v>
      </c>
      <c r="T10967">
        <v>1489</v>
      </c>
      <c r="U10967">
        <v>254</v>
      </c>
      <c r="V10967">
        <v>8</v>
      </c>
      <c r="W10967">
        <v>58</v>
      </c>
      <c r="X10967">
        <v>604</v>
      </c>
      <c r="Y10967">
        <v>50</v>
      </c>
      <c r="Z10967">
        <v>246</v>
      </c>
      <c r="AA10967">
        <v>411</v>
      </c>
      <c r="AB10967">
        <v>151.2664</v>
      </c>
      <c r="AC10967">
        <v>1.0603909999999999E-2</v>
      </c>
      <c r="AD10967">
        <v>17.782319999999999</v>
      </c>
      <c r="AE10967">
        <v>0.73598909999999995</v>
      </c>
      <c r="AF10967">
        <v>2115.0839999999998</v>
      </c>
      <c r="AG10967">
        <f>IFERROR(AH10967*0.1, "N/A")</f>
        <v>5.2</v>
      </c>
      <c r="AH10967">
        <v>52</v>
      </c>
      <c r="AI10967">
        <v>82.151750000000007</v>
      </c>
      <c r="AJ10967">
        <v>43.280700000000003</v>
      </c>
      <c r="AK10967">
        <v>31.859649999999998</v>
      </c>
    </row>
    <row r="10968" spans="1:37" x14ac:dyDescent="0.3">
      <c r="A10968">
        <v>10967</v>
      </c>
      <c r="B10968">
        <v>17.68</v>
      </c>
      <c r="C10968">
        <v>29.12</v>
      </c>
      <c r="D10968">
        <v>-2.8887</v>
      </c>
      <c r="E10968" t="s">
        <v>16407</v>
      </c>
      <c r="F10968" t="s">
        <v>16408</v>
      </c>
      <c r="G10968" t="s">
        <v>37</v>
      </c>
      <c r="H10968">
        <v>2000</v>
      </c>
      <c r="I10968">
        <v>23.4</v>
      </c>
      <c r="J10968">
        <v>12</v>
      </c>
      <c r="K10968">
        <v>81</v>
      </c>
      <c r="L10968">
        <v>3.29</v>
      </c>
      <c r="M10968">
        <v>31.1</v>
      </c>
      <c r="N10968">
        <v>16.3</v>
      </c>
      <c r="O10968">
        <v>14.8</v>
      </c>
      <c r="P10968">
        <v>23.3</v>
      </c>
      <c r="Q10968">
        <v>23.2</v>
      </c>
      <c r="R10968">
        <v>23.8</v>
      </c>
      <c r="S10968">
        <v>23</v>
      </c>
      <c r="T10968">
        <v>989</v>
      </c>
      <c r="U10968">
        <v>141</v>
      </c>
      <c r="V10968">
        <v>6</v>
      </c>
      <c r="W10968">
        <v>56</v>
      </c>
      <c r="X10968">
        <v>389</v>
      </c>
      <c r="Y10968">
        <v>42</v>
      </c>
      <c r="Z10968">
        <v>143</v>
      </c>
      <c r="AA10968">
        <v>117</v>
      </c>
      <c r="AB10968">
        <v>4.0319710000000004</v>
      </c>
      <c r="AC10968">
        <v>0.38209100000000001</v>
      </c>
      <c r="AD10968">
        <v>1.469814</v>
      </c>
      <c r="AE10968">
        <v>0.77788900000000005</v>
      </c>
      <c r="AF10968">
        <v>921.88580000000002</v>
      </c>
      <c r="AG10968">
        <f>IFERROR(AH10968*0.1, "N/A")</f>
        <v>6.3817219999999999</v>
      </c>
      <c r="AH10968">
        <v>63.817219999999999</v>
      </c>
      <c r="AI10968">
        <v>220.40780000000001</v>
      </c>
      <c r="AJ10968">
        <v>32.898069999999997</v>
      </c>
      <c r="AK10968">
        <v>48.182780000000001</v>
      </c>
    </row>
    <row r="10969" spans="1:37" x14ac:dyDescent="0.3">
      <c r="A10969">
        <v>10968</v>
      </c>
      <c r="B10969">
        <v>1.55</v>
      </c>
      <c r="C10969">
        <v>29.203800000000001</v>
      </c>
      <c r="D10969">
        <v>-2.8872200000000001</v>
      </c>
      <c r="E10969" t="s">
        <v>16409</v>
      </c>
      <c r="F10969" t="s">
        <v>16410</v>
      </c>
      <c r="G10969" t="s">
        <v>37</v>
      </c>
      <c r="H10969">
        <v>2000</v>
      </c>
      <c r="I10969">
        <v>21.8</v>
      </c>
      <c r="J10969">
        <v>11.4</v>
      </c>
      <c r="K10969">
        <v>80</v>
      </c>
      <c r="L10969">
        <v>3.04</v>
      </c>
      <c r="M10969">
        <v>29</v>
      </c>
      <c r="N10969">
        <v>14.9</v>
      </c>
      <c r="O10969">
        <v>14.1</v>
      </c>
      <c r="P10969">
        <v>21.7</v>
      </c>
      <c r="Q10969">
        <v>21.7</v>
      </c>
      <c r="R10969">
        <v>22.2</v>
      </c>
      <c r="S10969">
        <v>21.4</v>
      </c>
      <c r="T10969">
        <v>1268</v>
      </c>
      <c r="U10969">
        <v>183</v>
      </c>
      <c r="V10969">
        <v>9</v>
      </c>
      <c r="W10969">
        <v>54</v>
      </c>
      <c r="X10969">
        <v>489</v>
      </c>
      <c r="Y10969">
        <v>56</v>
      </c>
      <c r="Z10969">
        <v>206</v>
      </c>
      <c r="AA10969">
        <v>145</v>
      </c>
      <c r="AB10969">
        <v>116.3832</v>
      </c>
      <c r="AC10969">
        <v>1.3764409999999999E-2</v>
      </c>
      <c r="AD10969">
        <v>3.6759019999999998</v>
      </c>
      <c r="AE10969">
        <v>0.62885179999999996</v>
      </c>
      <c r="AF10969">
        <v>1340.2560000000001</v>
      </c>
      <c r="AG10969">
        <f>IFERROR(AH10969*0.1, "N/A")</f>
        <v>5.8452630000000001</v>
      </c>
      <c r="AH10969">
        <v>58.452629999999999</v>
      </c>
      <c r="AI10969">
        <v>253.4716</v>
      </c>
      <c r="AJ10969">
        <v>38</v>
      </c>
      <c r="AK10969">
        <v>44</v>
      </c>
    </row>
    <row r="10970" spans="1:37" x14ac:dyDescent="0.3">
      <c r="A10970">
        <v>10969</v>
      </c>
      <c r="B10970">
        <v>32</v>
      </c>
      <c r="C10970">
        <v>29.0794</v>
      </c>
      <c r="D10970">
        <v>-2.8165100000000001</v>
      </c>
      <c r="E10970" t="s">
        <v>16411</v>
      </c>
      <c r="F10970" t="s">
        <v>16412</v>
      </c>
      <c r="G10970" t="s">
        <v>37</v>
      </c>
      <c r="H10970">
        <v>1993</v>
      </c>
      <c r="I10970">
        <v>22.945360000000001</v>
      </c>
      <c r="J10970">
        <v>12.2</v>
      </c>
      <c r="K10970">
        <v>81</v>
      </c>
      <c r="L10970">
        <v>3.2554639999999999</v>
      </c>
      <c r="M10970">
        <v>30.67268</v>
      </c>
      <c r="N10970">
        <v>15.74536</v>
      </c>
      <c r="O10970">
        <v>14.92732</v>
      </c>
      <c r="P10970">
        <v>22.845359999999999</v>
      </c>
      <c r="Q10970">
        <v>22.772680000000001</v>
      </c>
      <c r="R10970">
        <v>23.345359999999999</v>
      </c>
      <c r="S10970">
        <v>22.545359999999999</v>
      </c>
      <c r="T10970">
        <v>968.09280000000001</v>
      </c>
      <c r="U10970">
        <v>134.2732</v>
      </c>
      <c r="V10970">
        <v>6</v>
      </c>
      <c r="W10970">
        <v>54.726799999999997</v>
      </c>
      <c r="X10970">
        <v>374.27319999999997</v>
      </c>
      <c r="Y10970">
        <v>44.273200000000003</v>
      </c>
      <c r="Z10970">
        <v>144.81960000000001</v>
      </c>
      <c r="AA10970">
        <v>117.2732</v>
      </c>
      <c r="AB10970">
        <v>31.361840000000001</v>
      </c>
      <c r="AC10970">
        <v>3.0457769999999999E-2</v>
      </c>
      <c r="AD10970">
        <v>1.849872</v>
      </c>
      <c r="AE10970">
        <v>0.64963360000000003</v>
      </c>
      <c r="AF10970">
        <v>922.59190000000001</v>
      </c>
      <c r="AG10970">
        <f>IFERROR(AH10970*0.1, "N/A")</f>
        <v>6.3269700000000002</v>
      </c>
      <c r="AH10970">
        <v>63.2697</v>
      </c>
      <c r="AI10970">
        <v>185.63390000000001</v>
      </c>
      <c r="AJ10970">
        <v>33.500880000000002</v>
      </c>
      <c r="AK10970">
        <v>44.625219999999999</v>
      </c>
    </row>
    <row r="10971" spans="1:37" x14ac:dyDescent="0.3">
      <c r="A10971">
        <v>10970</v>
      </c>
      <c r="B10971">
        <v>10.55</v>
      </c>
      <c r="C10971">
        <v>29.0794</v>
      </c>
      <c r="D10971">
        <v>-2.81643</v>
      </c>
      <c r="E10971" t="s">
        <v>16413</v>
      </c>
      <c r="F10971" t="s">
        <v>16414</v>
      </c>
      <c r="G10971" t="s">
        <v>37</v>
      </c>
      <c r="H10971">
        <v>2000</v>
      </c>
      <c r="I10971">
        <v>22.9331</v>
      </c>
      <c r="J10971">
        <v>12.2</v>
      </c>
      <c r="K10971">
        <v>81</v>
      </c>
      <c r="L10971">
        <v>3.2566899999999999</v>
      </c>
      <c r="M10971">
        <v>30.666550000000001</v>
      </c>
      <c r="N10971">
        <v>15.7331</v>
      </c>
      <c r="O10971">
        <v>14.933450000000001</v>
      </c>
      <c r="P10971">
        <v>22.833100000000002</v>
      </c>
      <c r="Q10971">
        <v>22.766549999999999</v>
      </c>
      <c r="R10971">
        <v>23.333100000000002</v>
      </c>
      <c r="S10971">
        <v>22.533100000000001</v>
      </c>
      <c r="T10971">
        <v>968.33799999999997</v>
      </c>
      <c r="U10971">
        <v>134.33449999999999</v>
      </c>
      <c r="V10971">
        <v>6</v>
      </c>
      <c r="W10971">
        <v>54.665489999999998</v>
      </c>
      <c r="X10971">
        <v>374.33449999999999</v>
      </c>
      <c r="Y10971">
        <v>44.334510000000002</v>
      </c>
      <c r="Z10971">
        <v>145.0035</v>
      </c>
      <c r="AA10971">
        <v>117.33450000000001</v>
      </c>
      <c r="AB10971">
        <v>31.293859999999999</v>
      </c>
      <c r="AC10971">
        <v>2.9957270000000001E-2</v>
      </c>
      <c r="AD10971">
        <v>1.782116</v>
      </c>
      <c r="AE10971">
        <v>0.64963360000000003</v>
      </c>
      <c r="AF10971">
        <v>922.81690000000003</v>
      </c>
      <c r="AG10971">
        <f>IFERROR(AH10971*0.1, "N/A")</f>
        <v>6.3232390000000009</v>
      </c>
      <c r="AH10971">
        <v>63.232390000000002</v>
      </c>
      <c r="AI10971">
        <v>185.78399999999999</v>
      </c>
      <c r="AJ10971">
        <v>33.521129999999999</v>
      </c>
      <c r="AK10971">
        <v>44.582749999999997</v>
      </c>
    </row>
    <row r="10972" spans="1:37" x14ac:dyDescent="0.3">
      <c r="A10972">
        <v>10971</v>
      </c>
      <c r="B10972">
        <v>2.7</v>
      </c>
      <c r="C10972">
        <v>29.061299999999999</v>
      </c>
      <c r="D10972">
        <v>-2.77359</v>
      </c>
      <c r="E10972" t="s">
        <v>16415</v>
      </c>
      <c r="F10972" t="s">
        <v>16416</v>
      </c>
      <c r="G10972" t="s">
        <v>37</v>
      </c>
      <c r="H10972">
        <v>1988</v>
      </c>
      <c r="I10972">
        <v>22.4</v>
      </c>
      <c r="J10972">
        <v>12.1</v>
      </c>
      <c r="K10972">
        <v>80</v>
      </c>
      <c r="L10972">
        <v>3.35</v>
      </c>
      <c r="M10972">
        <v>30.2</v>
      </c>
      <c r="N10972">
        <v>15.1</v>
      </c>
      <c r="O10972">
        <v>15.1</v>
      </c>
      <c r="P10972">
        <v>22.3</v>
      </c>
      <c r="Q10972">
        <v>22.2</v>
      </c>
      <c r="R10972">
        <v>22.9</v>
      </c>
      <c r="S10972">
        <v>22</v>
      </c>
      <c r="T10972">
        <v>1056</v>
      </c>
      <c r="U10972">
        <v>150</v>
      </c>
      <c r="V10972">
        <v>8</v>
      </c>
      <c r="W10972">
        <v>52</v>
      </c>
      <c r="X10972">
        <v>402</v>
      </c>
      <c r="Y10972">
        <v>53</v>
      </c>
      <c r="Z10972">
        <v>167</v>
      </c>
      <c r="AA10972">
        <v>134</v>
      </c>
      <c r="AB10972">
        <v>18.42944</v>
      </c>
      <c r="AC10972">
        <v>6.5986829999999996E-2</v>
      </c>
      <c r="AD10972">
        <v>3.9625840000000001</v>
      </c>
      <c r="AE10972">
        <v>0.39359100000000002</v>
      </c>
      <c r="AF10972">
        <v>1009.998</v>
      </c>
      <c r="AG10972">
        <f>IFERROR(AH10972*0.1, "N/A")</f>
        <v>6.3483359999999998</v>
      </c>
      <c r="AH10972">
        <v>63.483359999999998</v>
      </c>
      <c r="AI10972">
        <v>228.35509999999999</v>
      </c>
      <c r="AJ10972">
        <v>33.154119999999999</v>
      </c>
      <c r="AK10972">
        <v>40.681260000000002</v>
      </c>
    </row>
    <row r="10973" spans="1:37" x14ac:dyDescent="0.3">
      <c r="A10973">
        <v>10972</v>
      </c>
      <c r="B10973">
        <v>1.4</v>
      </c>
      <c r="C10973">
        <v>29.061299999999999</v>
      </c>
      <c r="D10973">
        <v>-2.7735699999999999</v>
      </c>
      <c r="E10973" t="s">
        <v>16417</v>
      </c>
      <c r="F10973" t="s">
        <v>16418</v>
      </c>
      <c r="G10973" t="s">
        <v>37</v>
      </c>
      <c r="H10973">
        <v>2000</v>
      </c>
      <c r="I10973">
        <v>22.4</v>
      </c>
      <c r="J10973">
        <v>12.1</v>
      </c>
      <c r="K10973">
        <v>80</v>
      </c>
      <c r="L10973">
        <v>3.35</v>
      </c>
      <c r="M10973">
        <v>30.2</v>
      </c>
      <c r="N10973">
        <v>15.1</v>
      </c>
      <c r="O10973">
        <v>15.1</v>
      </c>
      <c r="P10973">
        <v>22.3</v>
      </c>
      <c r="Q10973">
        <v>22.2</v>
      </c>
      <c r="R10973">
        <v>22.9</v>
      </c>
      <c r="S10973">
        <v>22</v>
      </c>
      <c r="T10973">
        <v>1056</v>
      </c>
      <c r="U10973">
        <v>150</v>
      </c>
      <c r="V10973">
        <v>8</v>
      </c>
      <c r="W10973">
        <v>52</v>
      </c>
      <c r="X10973">
        <v>402</v>
      </c>
      <c r="Y10973">
        <v>53</v>
      </c>
      <c r="Z10973">
        <v>167</v>
      </c>
      <c r="AA10973">
        <v>134</v>
      </c>
      <c r="AB10973">
        <v>18.533989999999999</v>
      </c>
      <c r="AC10973">
        <v>6.5598799999999999E-2</v>
      </c>
      <c r="AD10973">
        <v>3.9639540000000002</v>
      </c>
      <c r="AE10973">
        <v>0.39359100000000002</v>
      </c>
      <c r="AF10973">
        <v>1010.111</v>
      </c>
      <c r="AG10973">
        <f>IFERROR(AH10973*0.1, "N/A")</f>
        <v>6.3436620000000001</v>
      </c>
      <c r="AH10973">
        <v>63.436619999999998</v>
      </c>
      <c r="AI10973">
        <v>228.4965</v>
      </c>
      <c r="AJ10973">
        <v>33.14085</v>
      </c>
      <c r="AK10973">
        <v>40.711269999999999</v>
      </c>
    </row>
    <row r="10974" spans="1:37" x14ac:dyDescent="0.3">
      <c r="A10974">
        <v>10973</v>
      </c>
      <c r="B10974">
        <v>6.42</v>
      </c>
      <c r="C10974">
        <v>29.108599999999999</v>
      </c>
      <c r="D10974">
        <v>-2.75421</v>
      </c>
      <c r="E10974" t="s">
        <v>16419</v>
      </c>
      <c r="F10974" t="s">
        <v>16420</v>
      </c>
      <c r="G10974" t="s">
        <v>37</v>
      </c>
      <c r="H10974">
        <v>2000</v>
      </c>
      <c r="I10974">
        <v>22.2</v>
      </c>
      <c r="J10974">
        <v>12</v>
      </c>
      <c r="K10974">
        <v>80.894549999999995</v>
      </c>
      <c r="L10974">
        <v>3.1531639999999999</v>
      </c>
      <c r="M10974">
        <v>29.81054</v>
      </c>
      <c r="N10974">
        <v>15</v>
      </c>
      <c r="O10974">
        <v>14.81054</v>
      </c>
      <c r="P10974">
        <v>22.1</v>
      </c>
      <c r="Q10974">
        <v>22</v>
      </c>
      <c r="R10974">
        <v>22.61055</v>
      </c>
      <c r="S10974">
        <v>21.8</v>
      </c>
      <c r="T10974">
        <v>1076.9459999999999</v>
      </c>
      <c r="U10974">
        <v>152.78909999999999</v>
      </c>
      <c r="V10974">
        <v>8</v>
      </c>
      <c r="W10974">
        <v>52.894550000000002</v>
      </c>
      <c r="X10974">
        <v>408.57819999999998</v>
      </c>
      <c r="Y10974">
        <v>53</v>
      </c>
      <c r="Z10974">
        <v>176.78909999999999</v>
      </c>
      <c r="AA10974">
        <v>132.8946</v>
      </c>
      <c r="AB10974">
        <v>23.752559999999999</v>
      </c>
      <c r="AC10974">
        <v>9.3034639999999991E-3</v>
      </c>
      <c r="AD10974">
        <v>8.0015040000000006</v>
      </c>
      <c r="AE10974">
        <v>0.46573910000000002</v>
      </c>
      <c r="AF10974">
        <v>1096.3499999999999</v>
      </c>
      <c r="AG10974">
        <f>IFERROR(AH10974*0.1, "N/A")</f>
        <v>5.9789099999999999</v>
      </c>
      <c r="AH10974">
        <v>59.789099999999998</v>
      </c>
      <c r="AI10974">
        <v>268.73140000000001</v>
      </c>
      <c r="AJ10974">
        <v>36.683660000000003</v>
      </c>
      <c r="AK10974">
        <v>41.210900000000002</v>
      </c>
    </row>
    <row r="10975" spans="1:37" x14ac:dyDescent="0.3">
      <c r="A10975">
        <v>10974</v>
      </c>
      <c r="B10975">
        <v>6.1</v>
      </c>
      <c r="C10975">
        <v>30.081099999999999</v>
      </c>
      <c r="D10975">
        <v>-2.5874999999999999</v>
      </c>
      <c r="E10975" t="s">
        <v>16421</v>
      </c>
      <c r="F10975" t="s">
        <v>16422</v>
      </c>
      <c r="G10975" t="s">
        <v>37</v>
      </c>
      <c r="H10975">
        <v>1987</v>
      </c>
      <c r="I10975">
        <v>20.3</v>
      </c>
      <c r="J10975">
        <v>11.4</v>
      </c>
      <c r="K10975">
        <v>81</v>
      </c>
      <c r="L10975">
        <v>3.24</v>
      </c>
      <c r="M10975">
        <v>27.6</v>
      </c>
      <c r="N10975">
        <v>13.6</v>
      </c>
      <c r="O10975">
        <v>14</v>
      </c>
      <c r="P10975">
        <v>20.100000000000001</v>
      </c>
      <c r="Q10975">
        <v>20.3</v>
      </c>
      <c r="R10975">
        <v>20.8</v>
      </c>
      <c r="S10975">
        <v>20.100000000000001</v>
      </c>
      <c r="T10975">
        <v>1050</v>
      </c>
      <c r="U10975">
        <v>172</v>
      </c>
      <c r="V10975">
        <v>5</v>
      </c>
      <c r="W10975">
        <v>56</v>
      </c>
      <c r="X10975">
        <v>416</v>
      </c>
      <c r="Y10975">
        <v>43</v>
      </c>
      <c r="Z10975">
        <v>187</v>
      </c>
      <c r="AA10975">
        <v>299</v>
      </c>
      <c r="AB10975">
        <v>60.822470000000003</v>
      </c>
      <c r="AC10975">
        <v>1.376195E-2</v>
      </c>
      <c r="AD10975">
        <v>4.433211</v>
      </c>
      <c r="AE10975">
        <v>0.50431159999999997</v>
      </c>
      <c r="AF10975">
        <v>1482.0250000000001</v>
      </c>
      <c r="AG10975">
        <f>IFERROR(AH10975*0.1, "N/A")</f>
        <v>5.4077330000000003</v>
      </c>
      <c r="AH10975">
        <v>54.077330000000003</v>
      </c>
      <c r="AI10975">
        <v>77.294110000000003</v>
      </c>
      <c r="AJ10975">
        <v>42.015819999999998</v>
      </c>
      <c r="AK10975">
        <v>40.41301</v>
      </c>
    </row>
    <row r="10976" spans="1:37" x14ac:dyDescent="0.3">
      <c r="A10976">
        <v>10975</v>
      </c>
      <c r="B10976">
        <v>10.9</v>
      </c>
      <c r="C10976">
        <v>30.0944</v>
      </c>
      <c r="D10976">
        <v>-2.585</v>
      </c>
      <c r="E10976" t="s">
        <v>16423</v>
      </c>
      <c r="F10976" t="s">
        <v>16424</v>
      </c>
      <c r="G10976" t="s">
        <v>37</v>
      </c>
      <c r="H10976">
        <v>1987</v>
      </c>
      <c r="I10976">
        <v>20.5</v>
      </c>
      <c r="J10976">
        <v>11.4</v>
      </c>
      <c r="K10976">
        <v>81</v>
      </c>
      <c r="L10976">
        <v>3.51</v>
      </c>
      <c r="M10976">
        <v>27.8</v>
      </c>
      <c r="N10976">
        <v>13.8</v>
      </c>
      <c r="O10976">
        <v>14</v>
      </c>
      <c r="P10976">
        <v>20.399999999999999</v>
      </c>
      <c r="Q10976">
        <v>20.5</v>
      </c>
      <c r="R10976">
        <v>21</v>
      </c>
      <c r="S10976">
        <v>20.2</v>
      </c>
      <c r="T10976">
        <v>1026</v>
      </c>
      <c r="U10976">
        <v>167</v>
      </c>
      <c r="V10976">
        <v>4</v>
      </c>
      <c r="W10976">
        <v>57</v>
      </c>
      <c r="X10976">
        <v>404</v>
      </c>
      <c r="Y10976">
        <v>40</v>
      </c>
      <c r="Z10976">
        <v>180</v>
      </c>
      <c r="AA10976">
        <v>126</v>
      </c>
      <c r="AB10976">
        <v>28.547370000000001</v>
      </c>
      <c r="AC10976">
        <v>2.17392E-2</v>
      </c>
      <c r="AD10976">
        <v>4.689864</v>
      </c>
      <c r="AE10976">
        <v>0.51529290000000005</v>
      </c>
      <c r="AF10976">
        <v>1406.921</v>
      </c>
      <c r="AG10976">
        <f>IFERROR(AH10976*0.1, "N/A")</f>
        <v>5.4117959999999998</v>
      </c>
      <c r="AH10976">
        <v>54.117959999999997</v>
      </c>
      <c r="AI10976">
        <v>332.56819999999999</v>
      </c>
      <c r="AJ10976">
        <v>40.471829999999997</v>
      </c>
      <c r="AK10976">
        <v>44.410209999999999</v>
      </c>
    </row>
    <row r="10977" spans="1:37" x14ac:dyDescent="0.3">
      <c r="A10977">
        <v>10976</v>
      </c>
      <c r="B10977">
        <v>9.6999999999999993</v>
      </c>
      <c r="C10977">
        <v>30.108899999999998</v>
      </c>
      <c r="D10977">
        <v>-2.5713900000000001</v>
      </c>
      <c r="E10977" t="s">
        <v>16425</v>
      </c>
      <c r="F10977" t="s">
        <v>16426</v>
      </c>
      <c r="G10977" t="s">
        <v>37</v>
      </c>
      <c r="H10977">
        <v>1987</v>
      </c>
      <c r="I10977">
        <v>20.399999999999999</v>
      </c>
      <c r="J10977">
        <v>11.4</v>
      </c>
      <c r="K10977">
        <v>81</v>
      </c>
      <c r="L10977">
        <v>3.17</v>
      </c>
      <c r="M10977">
        <v>27.7</v>
      </c>
      <c r="N10977">
        <v>13.7</v>
      </c>
      <c r="O10977">
        <v>14</v>
      </c>
      <c r="P10977">
        <v>20.3</v>
      </c>
      <c r="Q10977">
        <v>20.399999999999999</v>
      </c>
      <c r="R10977">
        <v>20.8</v>
      </c>
      <c r="S10977">
        <v>20.100000000000001</v>
      </c>
      <c r="T10977">
        <v>1020</v>
      </c>
      <c r="U10977">
        <v>167</v>
      </c>
      <c r="V10977">
        <v>4</v>
      </c>
      <c r="W10977">
        <v>56</v>
      </c>
      <c r="X10977">
        <v>403</v>
      </c>
      <c r="Y10977">
        <v>40</v>
      </c>
      <c r="Z10977">
        <v>180</v>
      </c>
      <c r="AA10977">
        <v>289</v>
      </c>
      <c r="AB10977">
        <v>24.479780000000002</v>
      </c>
      <c r="AC10977">
        <v>6.9848740000000006E-2</v>
      </c>
      <c r="AD10977">
        <v>4.496588</v>
      </c>
      <c r="AE10977">
        <v>0.3623092</v>
      </c>
      <c r="AF10977">
        <v>1424.768</v>
      </c>
      <c r="AG10977">
        <f>IFERROR(AH10977*0.1, "N/A")</f>
        <v>5.4105629999999998</v>
      </c>
      <c r="AH10977">
        <v>54.105629999999998</v>
      </c>
      <c r="AI10977">
        <v>294.93400000000003</v>
      </c>
      <c r="AJ10977">
        <v>42.894370000000002</v>
      </c>
      <c r="AK10977">
        <v>41.894370000000002</v>
      </c>
    </row>
    <row r="10978" spans="1:37" x14ac:dyDescent="0.3">
      <c r="A10978">
        <v>10977</v>
      </c>
      <c r="B10978">
        <v>23.1</v>
      </c>
      <c r="C10978">
        <v>30.056899999999999</v>
      </c>
      <c r="D10978">
        <v>-2.5613899999999998</v>
      </c>
      <c r="E10978" t="s">
        <v>16427</v>
      </c>
      <c r="F10978" t="s">
        <v>16428</v>
      </c>
      <c r="G10978" t="s">
        <v>37</v>
      </c>
      <c r="H10978">
        <v>1987</v>
      </c>
      <c r="I10978">
        <v>20.9</v>
      </c>
      <c r="J10978">
        <v>11.5</v>
      </c>
      <c r="K10978">
        <v>82</v>
      </c>
      <c r="L10978">
        <v>3.28</v>
      </c>
      <c r="M10978">
        <v>28.1</v>
      </c>
      <c r="N10978">
        <v>14.2</v>
      </c>
      <c r="O10978">
        <v>13.9</v>
      </c>
      <c r="P10978">
        <v>20.8</v>
      </c>
      <c r="Q10978">
        <v>20.8</v>
      </c>
      <c r="R10978">
        <v>21.4</v>
      </c>
      <c r="S10978">
        <v>20.6</v>
      </c>
      <c r="T10978">
        <v>1026</v>
      </c>
      <c r="U10978">
        <v>164</v>
      </c>
      <c r="V10978">
        <v>4</v>
      </c>
      <c r="W10978">
        <v>56</v>
      </c>
      <c r="X10978">
        <v>399</v>
      </c>
      <c r="Y10978">
        <v>39</v>
      </c>
      <c r="Z10978">
        <v>180</v>
      </c>
      <c r="AA10978">
        <v>125</v>
      </c>
      <c r="AB10978">
        <v>65.742059999999995</v>
      </c>
      <c r="AC10978">
        <v>1.051706E-2</v>
      </c>
      <c r="AD10978">
        <v>5.5925010000000004</v>
      </c>
      <c r="AE10978">
        <v>0.34574379999999999</v>
      </c>
      <c r="AF10978">
        <v>1419.846</v>
      </c>
      <c r="AG10978">
        <f>IFERROR(AH10978*0.1, "N/A")</f>
        <v>5.4273680000000004</v>
      </c>
      <c r="AH10978">
        <v>54.273679999999999</v>
      </c>
      <c r="AI10978">
        <v>132.8614</v>
      </c>
      <c r="AJ10978">
        <v>44.273679999999999</v>
      </c>
      <c r="AK10978">
        <v>41</v>
      </c>
    </row>
    <row r="10979" spans="1:37" x14ac:dyDescent="0.3">
      <c r="A10979">
        <v>10978</v>
      </c>
      <c r="B10979">
        <v>17.7</v>
      </c>
      <c r="C10979">
        <v>30.188099999999999</v>
      </c>
      <c r="D10979">
        <v>-2.5552800000000002</v>
      </c>
      <c r="E10979" t="s">
        <v>16429</v>
      </c>
      <c r="F10979" t="s">
        <v>16430</v>
      </c>
      <c r="G10979" t="s">
        <v>37</v>
      </c>
      <c r="H10979">
        <v>1987</v>
      </c>
      <c r="I10979">
        <v>20.399999999999999</v>
      </c>
      <c r="J10979">
        <v>11.4</v>
      </c>
      <c r="K10979">
        <v>81</v>
      </c>
      <c r="L10979">
        <v>3.62</v>
      </c>
      <c r="M10979">
        <v>27.7</v>
      </c>
      <c r="N10979">
        <v>13.7</v>
      </c>
      <c r="O10979">
        <v>14</v>
      </c>
      <c r="P10979">
        <v>20.2</v>
      </c>
      <c r="Q10979">
        <v>20.399999999999999</v>
      </c>
      <c r="R10979">
        <v>20.9</v>
      </c>
      <c r="S10979">
        <v>20.100000000000001</v>
      </c>
      <c r="T10979">
        <v>983</v>
      </c>
      <c r="U10979">
        <v>161</v>
      </c>
      <c r="V10979">
        <v>4</v>
      </c>
      <c r="W10979">
        <v>57</v>
      </c>
      <c r="X10979">
        <v>384</v>
      </c>
      <c r="Y10979">
        <v>38</v>
      </c>
      <c r="Z10979">
        <v>173</v>
      </c>
      <c r="AA10979">
        <v>310</v>
      </c>
      <c r="AB10979">
        <v>13.09862</v>
      </c>
      <c r="AC10979">
        <v>0.20996100000000001</v>
      </c>
      <c r="AD10979">
        <v>11.583550000000001</v>
      </c>
      <c r="AE10979">
        <v>0.3384935</v>
      </c>
      <c r="AF10979">
        <v>1461.6959999999999</v>
      </c>
      <c r="AG10979">
        <f>IFERROR(AH10979*0.1, "N/A")</f>
        <v>5.5543060000000004</v>
      </c>
      <c r="AH10979">
        <v>55.543059999999997</v>
      </c>
      <c r="AI10979">
        <v>206.30359999999999</v>
      </c>
      <c r="AJ10979">
        <v>41</v>
      </c>
      <c r="AK10979">
        <v>39.384889999999999</v>
      </c>
    </row>
    <row r="10980" spans="1:37" x14ac:dyDescent="0.3">
      <c r="A10980">
        <v>10979</v>
      </c>
      <c r="B10980">
        <v>5.8</v>
      </c>
      <c r="C10980">
        <v>30.137799999999999</v>
      </c>
      <c r="D10980">
        <v>-2.5272199999999998</v>
      </c>
      <c r="E10980" t="s">
        <v>16431</v>
      </c>
      <c r="F10980" t="s">
        <v>16432</v>
      </c>
      <c r="G10980" t="s">
        <v>37</v>
      </c>
      <c r="H10980">
        <v>1987</v>
      </c>
      <c r="I10980">
        <v>20.3</v>
      </c>
      <c r="J10980">
        <v>11.4</v>
      </c>
      <c r="K10980">
        <v>82</v>
      </c>
      <c r="L10980">
        <v>3.29</v>
      </c>
      <c r="M10980">
        <v>27.5</v>
      </c>
      <c r="N10980">
        <v>13.7</v>
      </c>
      <c r="O10980">
        <v>13.8</v>
      </c>
      <c r="P10980">
        <v>20.2</v>
      </c>
      <c r="Q10980">
        <v>20.3</v>
      </c>
      <c r="R10980">
        <v>20.8</v>
      </c>
      <c r="S10980">
        <v>20</v>
      </c>
      <c r="T10980">
        <v>1006</v>
      </c>
      <c r="U10980">
        <v>165</v>
      </c>
      <c r="V10980">
        <v>4</v>
      </c>
      <c r="W10980">
        <v>57</v>
      </c>
      <c r="X10980">
        <v>397</v>
      </c>
      <c r="Y10980">
        <v>40</v>
      </c>
      <c r="Z10980">
        <v>179</v>
      </c>
      <c r="AA10980">
        <v>313</v>
      </c>
      <c r="AB10980">
        <v>116.1748</v>
      </c>
      <c r="AC10980">
        <v>1.096253E-2</v>
      </c>
      <c r="AD10980">
        <v>6.1485390000000004</v>
      </c>
      <c r="AE10980">
        <v>0.2886823</v>
      </c>
      <c r="AF10980">
        <v>1459.942</v>
      </c>
      <c r="AG10980">
        <f>IFERROR(AH10980*0.1, "N/A")</f>
        <v>5.5705780000000003</v>
      </c>
      <c r="AH10980">
        <v>55.705779999999997</v>
      </c>
      <c r="AI10980">
        <v>295.16090000000003</v>
      </c>
      <c r="AJ10980">
        <v>39.106830000000002</v>
      </c>
      <c r="AK10980">
        <v>45.138350000000003</v>
      </c>
    </row>
    <row r="10981" spans="1:37" x14ac:dyDescent="0.3">
      <c r="A10981">
        <v>10980</v>
      </c>
      <c r="B10981">
        <v>42.5</v>
      </c>
      <c r="C10981">
        <v>30.098299999999998</v>
      </c>
      <c r="D10981">
        <v>-2.5216699999999999</v>
      </c>
      <c r="E10981" t="s">
        <v>16433</v>
      </c>
      <c r="F10981" t="s">
        <v>16434</v>
      </c>
      <c r="G10981" t="s">
        <v>37</v>
      </c>
      <c r="H10981">
        <v>1987</v>
      </c>
      <c r="I10981">
        <v>20.9</v>
      </c>
      <c r="J10981">
        <v>11.5</v>
      </c>
      <c r="K10981">
        <v>82</v>
      </c>
      <c r="L10981">
        <v>3.32</v>
      </c>
      <c r="M10981">
        <v>28.2</v>
      </c>
      <c r="N10981">
        <v>14.2</v>
      </c>
      <c r="O10981">
        <v>14</v>
      </c>
      <c r="P10981">
        <v>20.8</v>
      </c>
      <c r="Q10981">
        <v>20.9</v>
      </c>
      <c r="R10981">
        <v>21.4</v>
      </c>
      <c r="S10981">
        <v>20.7</v>
      </c>
      <c r="T10981">
        <v>999</v>
      </c>
      <c r="U10981">
        <v>160</v>
      </c>
      <c r="V10981">
        <v>4</v>
      </c>
      <c r="W10981">
        <v>56</v>
      </c>
      <c r="X10981">
        <v>388</v>
      </c>
      <c r="Y10981">
        <v>38</v>
      </c>
      <c r="Z10981">
        <v>175</v>
      </c>
      <c r="AA10981">
        <v>122</v>
      </c>
      <c r="AB10981">
        <v>48.653089999999999</v>
      </c>
      <c r="AC10981">
        <v>3.121734E-2</v>
      </c>
      <c r="AD10981">
        <v>4.0230189999999997</v>
      </c>
      <c r="AE10981">
        <v>0.35045080000000001</v>
      </c>
      <c r="AF10981">
        <v>1401.0419999999999</v>
      </c>
      <c r="AG10981">
        <f>IFERROR(AH10981*0.1, "N/A")</f>
        <v>5.9214410000000006</v>
      </c>
      <c r="AH10981">
        <v>59.214410000000001</v>
      </c>
      <c r="AI10981">
        <v>294.02339999999998</v>
      </c>
      <c r="AJ10981">
        <v>47.45167</v>
      </c>
      <c r="AK10981">
        <v>38.54833</v>
      </c>
    </row>
    <row r="10982" spans="1:37" x14ac:dyDescent="0.3">
      <c r="A10982">
        <v>10981</v>
      </c>
      <c r="B10982">
        <v>12.8</v>
      </c>
      <c r="C10982">
        <v>30.0489</v>
      </c>
      <c r="D10982">
        <v>-2.51694</v>
      </c>
      <c r="E10982" t="s">
        <v>16435</v>
      </c>
      <c r="F10982" t="s">
        <v>16436</v>
      </c>
      <c r="G10982" t="s">
        <v>37</v>
      </c>
      <c r="H10982">
        <v>1987</v>
      </c>
      <c r="I10982">
        <v>20.636800000000001</v>
      </c>
      <c r="J10982">
        <v>11.4</v>
      </c>
      <c r="K10982">
        <v>82</v>
      </c>
      <c r="L10982">
        <v>2.992553</v>
      </c>
      <c r="M10982">
        <v>27.8368</v>
      </c>
      <c r="N10982">
        <v>14.036799999999999</v>
      </c>
      <c r="O10982">
        <v>13.8</v>
      </c>
      <c r="P10982">
        <v>20.5</v>
      </c>
      <c r="Q10982">
        <v>20.6</v>
      </c>
      <c r="R10982">
        <v>21.036799999999999</v>
      </c>
      <c r="S10982">
        <v>20.399999999999999</v>
      </c>
      <c r="T10982">
        <v>1050.7919999999999</v>
      </c>
      <c r="U10982">
        <v>168.26410000000001</v>
      </c>
      <c r="V10982">
        <v>5</v>
      </c>
      <c r="W10982">
        <v>56</v>
      </c>
      <c r="X10982">
        <v>412.89609999999999</v>
      </c>
      <c r="Y10982">
        <v>42.632040000000003</v>
      </c>
      <c r="Z10982">
        <v>187.89609999999999</v>
      </c>
      <c r="AA10982">
        <v>296.89609999999999</v>
      </c>
      <c r="AB10982">
        <v>40.640149999999998</v>
      </c>
      <c r="AC10982">
        <v>4.036853E-2</v>
      </c>
      <c r="AD10982">
        <v>4.9197350000000002</v>
      </c>
      <c r="AE10982">
        <v>0.3489391</v>
      </c>
      <c r="AF10982">
        <v>1395.2570000000001</v>
      </c>
      <c r="AG10982">
        <f>IFERROR(AH10982*0.1, "N/A")</f>
        <v>5.6031690000000003</v>
      </c>
      <c r="AH10982">
        <v>56.031689999999998</v>
      </c>
      <c r="AI10982">
        <v>124.51139999999999</v>
      </c>
      <c r="AJ10982">
        <v>51</v>
      </c>
      <c r="AK10982">
        <v>35.357390000000002</v>
      </c>
    </row>
    <row r="10983" spans="1:37" x14ac:dyDescent="0.3">
      <c r="A10983">
        <v>10982</v>
      </c>
      <c r="B10983">
        <v>0</v>
      </c>
      <c r="C10983">
        <v>29.980599999999999</v>
      </c>
      <c r="D10983">
        <v>-2.51694</v>
      </c>
      <c r="E10983" t="s">
        <v>16437</v>
      </c>
      <c r="F10983" t="s">
        <v>16438</v>
      </c>
      <c r="G10983" t="s">
        <v>37</v>
      </c>
      <c r="H10983">
        <v>1987</v>
      </c>
      <c r="I10983">
        <v>21</v>
      </c>
      <c r="J10983">
        <v>11.5</v>
      </c>
      <c r="K10983">
        <v>82</v>
      </c>
      <c r="L10983">
        <v>3.0789610000000001</v>
      </c>
      <c r="M10983">
        <v>28.2</v>
      </c>
      <c r="N10983">
        <v>14.3</v>
      </c>
      <c r="O10983">
        <v>13.9</v>
      </c>
      <c r="P10983">
        <v>20.9</v>
      </c>
      <c r="Q10983">
        <v>20.9</v>
      </c>
      <c r="R10983">
        <v>21.4</v>
      </c>
      <c r="S10983">
        <v>20.7</v>
      </c>
      <c r="T10983">
        <v>1062.3679999999999</v>
      </c>
      <c r="U10983">
        <v>167</v>
      </c>
      <c r="V10983">
        <v>5</v>
      </c>
      <c r="W10983">
        <v>55</v>
      </c>
      <c r="X10983">
        <v>408.36799999999999</v>
      </c>
      <c r="Y10983">
        <v>43</v>
      </c>
      <c r="Z10983">
        <v>191</v>
      </c>
      <c r="AA10983">
        <v>131</v>
      </c>
      <c r="AB10983">
        <v>31.744219999999999</v>
      </c>
      <c r="AC10983">
        <v>0.1122799</v>
      </c>
      <c r="AD10983">
        <v>9.0883009999999995</v>
      </c>
      <c r="AE10983">
        <v>0.34775410000000001</v>
      </c>
      <c r="AF10983">
        <v>1388.3430000000001</v>
      </c>
      <c r="AG10983">
        <f>IFERROR(AH10983*0.1, "N/A")</f>
        <v>5.2984150000000003</v>
      </c>
      <c r="AH10983">
        <v>52.98415</v>
      </c>
      <c r="AI10983">
        <v>33.927100000000003</v>
      </c>
      <c r="AJ10983">
        <v>45.241199999999999</v>
      </c>
      <c r="AK10983">
        <v>39.758800000000001</v>
      </c>
    </row>
    <row r="10984" spans="1:37" x14ac:dyDescent="0.3">
      <c r="A10984">
        <v>10983</v>
      </c>
      <c r="B10984">
        <v>0</v>
      </c>
      <c r="C10984">
        <v>30.025600000000001</v>
      </c>
      <c r="D10984">
        <v>-2.5033300000000001</v>
      </c>
      <c r="E10984" t="s">
        <v>16439</v>
      </c>
      <c r="F10984" t="s">
        <v>16440</v>
      </c>
      <c r="G10984" t="s">
        <v>37</v>
      </c>
      <c r="H10984">
        <v>1987</v>
      </c>
      <c r="I10984">
        <v>20.46632</v>
      </c>
      <c r="J10984">
        <v>11.32211</v>
      </c>
      <c r="K10984">
        <v>81.221050000000005</v>
      </c>
      <c r="L10984">
        <v>3.0346320000000002</v>
      </c>
      <c r="M10984">
        <v>27.744209999999999</v>
      </c>
      <c r="N10984">
        <v>13.9221</v>
      </c>
      <c r="O10984">
        <v>13.82211</v>
      </c>
      <c r="P10984">
        <v>20.366320000000002</v>
      </c>
      <c r="Q10984">
        <v>20.522110000000001</v>
      </c>
      <c r="R10984">
        <v>20.866320000000002</v>
      </c>
      <c r="S10984">
        <v>20.244209999999999</v>
      </c>
      <c r="T10984">
        <v>1069.347</v>
      </c>
      <c r="U10984">
        <v>171.33680000000001</v>
      </c>
      <c r="V10984">
        <v>5</v>
      </c>
      <c r="W10984">
        <v>55</v>
      </c>
      <c r="X10984">
        <v>418.45260000000002</v>
      </c>
      <c r="Y10984">
        <v>43.778950000000002</v>
      </c>
      <c r="Z10984">
        <v>193.33680000000001</v>
      </c>
      <c r="AA10984">
        <v>265.42110000000002</v>
      </c>
      <c r="AB10984">
        <v>62.686790000000002</v>
      </c>
      <c r="AC10984">
        <v>7.0701009999999995E-2</v>
      </c>
      <c r="AD10984">
        <v>8.6104679999999991</v>
      </c>
      <c r="AE10984">
        <v>0.36485139999999999</v>
      </c>
      <c r="AF10984">
        <v>1426.702</v>
      </c>
      <c r="AG10984">
        <f>IFERROR(AH10984*0.1, "N/A")</f>
        <v>5.6621050000000004</v>
      </c>
      <c r="AH10984">
        <v>56.621049999999997</v>
      </c>
      <c r="AI10984">
        <v>223.14019999999999</v>
      </c>
      <c r="AJ10984">
        <v>47.55789</v>
      </c>
      <c r="AK10984">
        <v>36.6</v>
      </c>
    </row>
    <row r="10985" spans="1:37" x14ac:dyDescent="0.3">
      <c r="A10985">
        <v>10984</v>
      </c>
      <c r="B10985">
        <v>17.899999999999999</v>
      </c>
      <c r="C10985">
        <v>30.1892</v>
      </c>
      <c r="D10985">
        <v>-2.5002800000000001</v>
      </c>
      <c r="E10985" t="s">
        <v>16441</v>
      </c>
      <c r="F10985" t="s">
        <v>16442</v>
      </c>
      <c r="G10985" t="s">
        <v>37</v>
      </c>
      <c r="H10985">
        <v>1987</v>
      </c>
      <c r="I10985">
        <v>20.328949999999999</v>
      </c>
      <c r="J10985">
        <v>11.328950000000001</v>
      </c>
      <c r="K10985">
        <v>81.289469999999994</v>
      </c>
      <c r="L10985">
        <v>3.5689470000000001</v>
      </c>
      <c r="M10985">
        <v>27.528949999999998</v>
      </c>
      <c r="N10985">
        <v>13.728949999999999</v>
      </c>
      <c r="O10985">
        <v>13.8</v>
      </c>
      <c r="P10985">
        <v>20.228950000000001</v>
      </c>
      <c r="Q10985">
        <v>20.328949999999999</v>
      </c>
      <c r="R10985">
        <v>20.828949999999999</v>
      </c>
      <c r="S10985">
        <v>20.05789</v>
      </c>
      <c r="T10985">
        <v>976.55259999999998</v>
      </c>
      <c r="U10985">
        <v>158.7105</v>
      </c>
      <c r="V10985">
        <v>4</v>
      </c>
      <c r="W10985">
        <v>56</v>
      </c>
      <c r="X10985">
        <v>381.13159999999999</v>
      </c>
      <c r="Y10985">
        <v>38.710529999999999</v>
      </c>
      <c r="Z10985">
        <v>172.4211</v>
      </c>
      <c r="AA10985">
        <v>173.4211</v>
      </c>
      <c r="AB10985">
        <v>101.7333</v>
      </c>
      <c r="AC10985">
        <v>1.3843599999999999E-2</v>
      </c>
      <c r="AD10985">
        <v>3.4665409999999999</v>
      </c>
      <c r="AE10985">
        <v>0.3930845</v>
      </c>
      <c r="AF10985">
        <v>1487.9369999999999</v>
      </c>
      <c r="AG10985">
        <f>IFERROR(AH10985*0.1, "N/A")</f>
        <v>5.5</v>
      </c>
      <c r="AH10985">
        <v>55</v>
      </c>
      <c r="AI10985">
        <v>324.78710000000001</v>
      </c>
      <c r="AJ10985">
        <v>49.114040000000003</v>
      </c>
      <c r="AK10985">
        <v>35.843859999999999</v>
      </c>
    </row>
    <row r="10986" spans="1:37" x14ac:dyDescent="0.3">
      <c r="A10986">
        <v>10985</v>
      </c>
      <c r="B10986">
        <v>57.9</v>
      </c>
      <c r="C10986">
        <v>30.087499999999999</v>
      </c>
      <c r="D10986">
        <v>-2.4936099999999999</v>
      </c>
      <c r="E10986" t="s">
        <v>16443</v>
      </c>
      <c r="F10986" t="s">
        <v>16444</v>
      </c>
      <c r="G10986" t="s">
        <v>37</v>
      </c>
      <c r="H10986">
        <v>1987</v>
      </c>
      <c r="I10986">
        <v>20.7</v>
      </c>
      <c r="J10986">
        <v>11.4</v>
      </c>
      <c r="K10986">
        <v>82</v>
      </c>
      <c r="L10986">
        <v>3.09</v>
      </c>
      <c r="M10986">
        <v>27.9</v>
      </c>
      <c r="N10986">
        <v>14</v>
      </c>
      <c r="O10986">
        <v>13.9</v>
      </c>
      <c r="P10986">
        <v>20.6</v>
      </c>
      <c r="Q10986">
        <v>20.7</v>
      </c>
      <c r="R10986">
        <v>21.1</v>
      </c>
      <c r="S10986">
        <v>20.399999999999999</v>
      </c>
      <c r="T10986">
        <v>1016</v>
      </c>
      <c r="U10986">
        <v>164</v>
      </c>
      <c r="V10986">
        <v>4</v>
      </c>
      <c r="W10986">
        <v>56</v>
      </c>
      <c r="X10986">
        <v>399</v>
      </c>
      <c r="Y10986">
        <v>39</v>
      </c>
      <c r="Z10986">
        <v>180</v>
      </c>
      <c r="AA10986">
        <v>127</v>
      </c>
      <c r="AB10986">
        <v>35.46613</v>
      </c>
      <c r="AC10986">
        <v>0.1212608</v>
      </c>
      <c r="AD10986">
        <v>7.0933679999999999</v>
      </c>
      <c r="AE10986">
        <v>0.36509799999999998</v>
      </c>
      <c r="AF10986">
        <v>1389.944</v>
      </c>
      <c r="AG10986">
        <f>IFERROR(AH10986*0.1, "N/A")</f>
        <v>5.8291010000000005</v>
      </c>
      <c r="AH10986">
        <v>58.29101</v>
      </c>
      <c r="AI10986">
        <v>248.2199</v>
      </c>
      <c r="AJ10986">
        <v>49.70899</v>
      </c>
      <c r="AK10986">
        <v>35.582009999999997</v>
      </c>
    </row>
    <row r="10987" spans="1:37" x14ac:dyDescent="0.3">
      <c r="A10987">
        <v>10986</v>
      </c>
      <c r="B10987">
        <v>15</v>
      </c>
      <c r="C10987">
        <v>30.1586</v>
      </c>
      <c r="D10987">
        <v>-2.4550000000000001</v>
      </c>
      <c r="E10987" t="s">
        <v>16445</v>
      </c>
      <c r="F10987" t="s">
        <v>16446</v>
      </c>
      <c r="G10987" t="s">
        <v>37</v>
      </c>
      <c r="H10987">
        <v>1987</v>
      </c>
      <c r="I10987">
        <v>20.8</v>
      </c>
      <c r="J10987">
        <v>11.4</v>
      </c>
      <c r="K10987">
        <v>81.185190000000006</v>
      </c>
      <c r="L10987">
        <v>3.5666669999999998</v>
      </c>
      <c r="M10987">
        <v>28.06296</v>
      </c>
      <c r="N10987">
        <v>14.081480000000001</v>
      </c>
      <c r="O10987">
        <v>13.981479999999999</v>
      </c>
      <c r="P10987">
        <v>20.7</v>
      </c>
      <c r="Q10987">
        <v>20.781479999999998</v>
      </c>
      <c r="R10987">
        <v>21.281479999999998</v>
      </c>
      <c r="S10987">
        <v>20.5</v>
      </c>
      <c r="T10987">
        <v>963.11109999999996</v>
      </c>
      <c r="U10987">
        <v>155.18520000000001</v>
      </c>
      <c r="V10987">
        <v>4</v>
      </c>
      <c r="W10987">
        <v>56</v>
      </c>
      <c r="X10987">
        <v>374.37040000000002</v>
      </c>
      <c r="Y10987">
        <v>37.185189999999999</v>
      </c>
      <c r="Z10987">
        <v>167.5556</v>
      </c>
      <c r="AA10987">
        <v>118.18519999999999</v>
      </c>
      <c r="AB10987">
        <v>51.215580000000003</v>
      </c>
      <c r="AC10987">
        <v>9.9710579999999997E-3</v>
      </c>
      <c r="AD10987">
        <v>3.093702</v>
      </c>
      <c r="AE10987">
        <v>0.27309549999999999</v>
      </c>
      <c r="AF10987">
        <v>1398.0550000000001</v>
      </c>
      <c r="AG10987">
        <f>IFERROR(AH10987*0.1, "N/A")</f>
        <v>6.0698410000000003</v>
      </c>
      <c r="AH10987">
        <v>60.698410000000003</v>
      </c>
      <c r="AI10987">
        <v>121.4808</v>
      </c>
      <c r="AJ10987">
        <v>46.876539999999999</v>
      </c>
      <c r="AK10987">
        <v>37.650790000000001</v>
      </c>
    </row>
    <row r="10988" spans="1:37" x14ac:dyDescent="0.3">
      <c r="A10988">
        <v>10987</v>
      </c>
      <c r="B10988">
        <v>15.2</v>
      </c>
      <c r="C10988">
        <v>30.058900000000001</v>
      </c>
      <c r="D10988">
        <v>-2.4483299999999999</v>
      </c>
      <c r="E10988" t="s">
        <v>16447</v>
      </c>
      <c r="F10988" t="s">
        <v>16448</v>
      </c>
      <c r="G10988" t="s">
        <v>37</v>
      </c>
      <c r="H10988">
        <v>1987</v>
      </c>
      <c r="I10988">
        <v>20.28715</v>
      </c>
      <c r="J10988">
        <v>11.31743</v>
      </c>
      <c r="K10988">
        <v>82.174300000000002</v>
      </c>
      <c r="L10988">
        <v>3.1150530000000001</v>
      </c>
      <c r="M10988">
        <v>27.469719999999999</v>
      </c>
      <c r="N10988">
        <v>13.76972</v>
      </c>
      <c r="O10988">
        <v>13.7</v>
      </c>
      <c r="P10988">
        <v>20.187149999999999</v>
      </c>
      <c r="Q10988">
        <v>20.28715</v>
      </c>
      <c r="R10988">
        <v>20.752289999999999</v>
      </c>
      <c r="S10988">
        <v>20.087150000000001</v>
      </c>
      <c r="T10988">
        <v>1049.8630000000001</v>
      </c>
      <c r="U10988">
        <v>169.30279999999999</v>
      </c>
      <c r="V10988">
        <v>5</v>
      </c>
      <c r="W10988">
        <v>55.825699999999998</v>
      </c>
      <c r="X10988">
        <v>411.43130000000002</v>
      </c>
      <c r="Y10988">
        <v>43.651409999999998</v>
      </c>
      <c r="Z10988">
        <v>190.1285</v>
      </c>
      <c r="AA10988">
        <v>270.7183</v>
      </c>
      <c r="AB10988">
        <v>70.887280000000004</v>
      </c>
      <c r="AC10988">
        <v>5.0324019999999997E-2</v>
      </c>
      <c r="AD10988">
        <v>6.0448250000000003</v>
      </c>
      <c r="AE10988">
        <v>0.36191489999999998</v>
      </c>
      <c r="AF10988">
        <v>1451.806</v>
      </c>
      <c r="AG10988">
        <f>IFERROR(AH10988*0.1, "N/A")</f>
        <v>5.8718310000000002</v>
      </c>
      <c r="AH10988">
        <v>58.718310000000002</v>
      </c>
      <c r="AI10988">
        <v>305.13200000000001</v>
      </c>
      <c r="AJ10988">
        <v>48.718310000000002</v>
      </c>
      <c r="AK10988">
        <v>36.286969999999997</v>
      </c>
    </row>
    <row r="10989" spans="1:37" x14ac:dyDescent="0.3">
      <c r="A10989">
        <v>10988</v>
      </c>
      <c r="B10989">
        <v>4.4000000000000004</v>
      </c>
      <c r="C10989">
        <v>30.0336</v>
      </c>
      <c r="D10989">
        <v>-2.4358300000000002</v>
      </c>
      <c r="E10989" t="s">
        <v>16449</v>
      </c>
      <c r="F10989" t="s">
        <v>16450</v>
      </c>
      <c r="G10989" t="s">
        <v>37</v>
      </c>
      <c r="H10989">
        <v>1987</v>
      </c>
      <c r="I10989">
        <v>20.471</v>
      </c>
      <c r="J10989">
        <v>11.4</v>
      </c>
      <c r="K10989">
        <v>83</v>
      </c>
      <c r="L10989">
        <v>2.7689979999999998</v>
      </c>
      <c r="M10989">
        <v>27.6</v>
      </c>
      <c r="N10989">
        <v>13.9</v>
      </c>
      <c r="O10989">
        <v>13.7</v>
      </c>
      <c r="P10989">
        <v>20.399999999999999</v>
      </c>
      <c r="Q10989">
        <v>20.399999999999999</v>
      </c>
      <c r="R10989">
        <v>20.870999999999999</v>
      </c>
      <c r="S10989">
        <v>20.2</v>
      </c>
      <c r="T10989">
        <v>1056.9000000000001</v>
      </c>
      <c r="U10989">
        <v>169.58</v>
      </c>
      <c r="V10989">
        <v>5</v>
      </c>
      <c r="W10989">
        <v>55</v>
      </c>
      <c r="X10989">
        <v>412.15989999999999</v>
      </c>
      <c r="Y10989">
        <v>44</v>
      </c>
      <c r="Z10989">
        <v>192.58</v>
      </c>
      <c r="AA10989">
        <v>135.29</v>
      </c>
      <c r="AB10989">
        <v>32.159529999999997</v>
      </c>
      <c r="AC10989">
        <v>2.0937959999999999E-2</v>
      </c>
      <c r="AD10989">
        <v>2.8614419999999998</v>
      </c>
      <c r="AE10989">
        <v>0.46705619999999998</v>
      </c>
      <c r="AF10989">
        <v>1463.271</v>
      </c>
      <c r="AG10989">
        <f>IFERROR(AH10989*0.1, "N/A")</f>
        <v>5.7</v>
      </c>
      <c r="AH10989">
        <v>57</v>
      </c>
      <c r="AI10989">
        <v>179.16159999999999</v>
      </c>
      <c r="AJ10989">
        <v>43.063270000000003</v>
      </c>
      <c r="AK10989">
        <v>42.028120000000001</v>
      </c>
    </row>
    <row r="10990" spans="1:37" x14ac:dyDescent="0.3">
      <c r="A10990">
        <v>10989</v>
      </c>
      <c r="B10990">
        <v>4.4000000000000004</v>
      </c>
      <c r="C10990">
        <v>30.048300000000001</v>
      </c>
      <c r="D10990">
        <v>-2.4158300000000001</v>
      </c>
      <c r="E10990" t="s">
        <v>16451</v>
      </c>
      <c r="F10990" t="s">
        <v>16452</v>
      </c>
      <c r="G10990" t="s">
        <v>37</v>
      </c>
      <c r="H10990">
        <v>1987</v>
      </c>
      <c r="I10990">
        <v>20.403870000000001</v>
      </c>
      <c r="J10990">
        <v>11.4</v>
      </c>
      <c r="K10990">
        <v>82.961340000000007</v>
      </c>
      <c r="L10990">
        <v>3.1042000000000001</v>
      </c>
      <c r="M10990">
        <v>27.507729999999999</v>
      </c>
      <c r="N10990">
        <v>13.9</v>
      </c>
      <c r="O10990">
        <v>13.60773</v>
      </c>
      <c r="P10990">
        <v>20.3</v>
      </c>
      <c r="Q10990">
        <v>20.403870000000001</v>
      </c>
      <c r="R10990">
        <v>20.80387</v>
      </c>
      <c r="S10990">
        <v>20.2</v>
      </c>
      <c r="T10990">
        <v>1053.691</v>
      </c>
      <c r="U10990">
        <v>169.92269999999999</v>
      </c>
      <c r="V10990">
        <v>5</v>
      </c>
      <c r="W10990">
        <v>55</v>
      </c>
      <c r="X10990">
        <v>411.84530000000001</v>
      </c>
      <c r="Y10990">
        <v>44</v>
      </c>
      <c r="Z10990">
        <v>191.92269999999999</v>
      </c>
      <c r="AA10990">
        <v>135.96129999999999</v>
      </c>
      <c r="AB10990">
        <v>89.586439999999996</v>
      </c>
      <c r="AC10990">
        <v>1.8701860000000001E-2</v>
      </c>
      <c r="AD10990">
        <v>7.0958800000000002</v>
      </c>
      <c r="AE10990">
        <v>0.32976650000000002</v>
      </c>
      <c r="AF10990">
        <v>1474.1420000000001</v>
      </c>
      <c r="AG10990">
        <f>IFERROR(AH10990*0.1, "N/A")</f>
        <v>5.7557119999999999</v>
      </c>
      <c r="AH10990">
        <v>57.557119999999998</v>
      </c>
      <c r="AI10990">
        <v>171.37719999999999</v>
      </c>
      <c r="AJ10990">
        <v>41.03163</v>
      </c>
      <c r="AK10990">
        <v>43.83831</v>
      </c>
    </row>
    <row r="10991" spans="1:37" x14ac:dyDescent="0.3">
      <c r="A10991">
        <v>10990</v>
      </c>
      <c r="B10991">
        <v>9.1999999999999993</v>
      </c>
      <c r="C10991">
        <v>30.031099999999999</v>
      </c>
      <c r="D10991">
        <v>-2.4022199999999998</v>
      </c>
      <c r="E10991" t="s">
        <v>16453</v>
      </c>
      <c r="F10991" t="s">
        <v>16454</v>
      </c>
      <c r="G10991" t="s">
        <v>37</v>
      </c>
      <c r="H10991">
        <v>1987</v>
      </c>
      <c r="I10991">
        <v>21</v>
      </c>
      <c r="J10991">
        <v>11.5</v>
      </c>
      <c r="K10991">
        <v>83</v>
      </c>
      <c r="L10991">
        <v>3.2</v>
      </c>
      <c r="M10991">
        <v>28.2</v>
      </c>
      <c r="N10991">
        <v>14.4</v>
      </c>
      <c r="O10991">
        <v>13.8</v>
      </c>
      <c r="P10991">
        <v>21</v>
      </c>
      <c r="Q10991">
        <v>21</v>
      </c>
      <c r="R10991">
        <v>21.4</v>
      </c>
      <c r="S10991">
        <v>20.8</v>
      </c>
      <c r="T10991">
        <v>1020</v>
      </c>
      <c r="U10991">
        <v>164</v>
      </c>
      <c r="V10991">
        <v>4</v>
      </c>
      <c r="W10991">
        <v>55</v>
      </c>
      <c r="X10991">
        <v>395</v>
      </c>
      <c r="Y10991">
        <v>41</v>
      </c>
      <c r="Z10991">
        <v>185</v>
      </c>
      <c r="AA10991">
        <v>320</v>
      </c>
      <c r="AB10991">
        <v>4.1443149999999997</v>
      </c>
      <c r="AC10991">
        <v>1.199813</v>
      </c>
      <c r="AD10991">
        <v>2.4729950000000001</v>
      </c>
      <c r="AE10991">
        <v>0.3599021</v>
      </c>
      <c r="AF10991">
        <v>1347.694</v>
      </c>
      <c r="AG10991">
        <f>IFERROR(AH10991*0.1, "N/A")</f>
        <v>5.9976190000000003</v>
      </c>
      <c r="AH10991">
        <v>59.976190000000003</v>
      </c>
      <c r="AI10991">
        <v>78.143699999999995</v>
      </c>
      <c r="AJ10991">
        <v>45.01587</v>
      </c>
      <c r="AK10991">
        <v>39.98413</v>
      </c>
    </row>
    <row r="10992" spans="1:37" x14ac:dyDescent="0.3">
      <c r="A10992">
        <v>10991</v>
      </c>
      <c r="B10992">
        <v>9.3000000000000007</v>
      </c>
      <c r="C10992">
        <v>29.9864</v>
      </c>
      <c r="D10992">
        <v>-2.3761100000000002</v>
      </c>
      <c r="E10992" t="s">
        <v>16455</v>
      </c>
      <c r="F10992" t="s">
        <v>16456</v>
      </c>
      <c r="G10992" t="s">
        <v>37</v>
      </c>
      <c r="H10992">
        <v>1987</v>
      </c>
      <c r="I10992">
        <v>20.7</v>
      </c>
      <c r="J10992">
        <v>11.4</v>
      </c>
      <c r="K10992">
        <v>83</v>
      </c>
      <c r="L10992">
        <v>2.66</v>
      </c>
      <c r="M10992">
        <v>27.8</v>
      </c>
      <c r="N10992">
        <v>14.2</v>
      </c>
      <c r="O10992">
        <v>13.6</v>
      </c>
      <c r="P10992">
        <v>20.7</v>
      </c>
      <c r="Q10992">
        <v>20.7</v>
      </c>
      <c r="R10992">
        <v>21.1</v>
      </c>
      <c r="S10992">
        <v>20.5</v>
      </c>
      <c r="T10992">
        <v>1065</v>
      </c>
      <c r="U10992">
        <v>172</v>
      </c>
      <c r="V10992">
        <v>5</v>
      </c>
      <c r="W10992">
        <v>55</v>
      </c>
      <c r="X10992">
        <v>414</v>
      </c>
      <c r="Y10992">
        <v>45</v>
      </c>
      <c r="Z10992">
        <v>196</v>
      </c>
      <c r="AA10992">
        <v>138</v>
      </c>
      <c r="AB10992">
        <v>79.330600000000004</v>
      </c>
      <c r="AC10992">
        <v>1.2098009999999999E-2</v>
      </c>
      <c r="AD10992">
        <v>8.1262019999999993</v>
      </c>
      <c r="AE10992">
        <v>0.37117650000000002</v>
      </c>
      <c r="AF10992">
        <v>1442.288</v>
      </c>
      <c r="AG10992">
        <f>IFERROR(AH10992*0.1, "N/A")</f>
        <v>5.5413010000000007</v>
      </c>
      <c r="AH10992">
        <v>55.41301</v>
      </c>
      <c r="AI10992">
        <v>156.48259999999999</v>
      </c>
      <c r="AJ10992">
        <v>39.569420000000001</v>
      </c>
      <c r="AK10992">
        <v>45.367310000000003</v>
      </c>
    </row>
    <row r="10993" spans="1:37" x14ac:dyDescent="0.3">
      <c r="A10993">
        <v>10992</v>
      </c>
      <c r="B10993">
        <v>100</v>
      </c>
      <c r="C10993">
        <v>8.8299999999999993E-3</v>
      </c>
      <c r="D10993">
        <v>13.9773</v>
      </c>
      <c r="E10993" t="s">
        <v>16457</v>
      </c>
      <c r="F10993" t="s">
        <v>16458</v>
      </c>
      <c r="G10993" t="s">
        <v>39</v>
      </c>
      <c r="H10993">
        <v>2007</v>
      </c>
      <c r="I10993">
        <v>29</v>
      </c>
      <c r="J10993">
        <v>15.3</v>
      </c>
      <c r="K10993">
        <v>57</v>
      </c>
      <c r="L10993">
        <v>31.807410000000001</v>
      </c>
      <c r="M10993">
        <v>41</v>
      </c>
      <c r="N10993">
        <v>14.2</v>
      </c>
      <c r="O10993">
        <v>26.8</v>
      </c>
      <c r="P10993">
        <v>28.9</v>
      </c>
      <c r="Q10993">
        <v>24.9</v>
      </c>
      <c r="R10993">
        <v>33</v>
      </c>
      <c r="S10993">
        <v>24.5</v>
      </c>
      <c r="T10993">
        <v>483</v>
      </c>
      <c r="U10993">
        <v>168</v>
      </c>
      <c r="V10993">
        <v>0</v>
      </c>
      <c r="W10993">
        <v>134</v>
      </c>
      <c r="X10993">
        <v>372</v>
      </c>
      <c r="Y10993">
        <v>0</v>
      </c>
      <c r="Z10993">
        <v>96</v>
      </c>
      <c r="AA10993">
        <v>0</v>
      </c>
      <c r="AB10993">
        <v>3.059094</v>
      </c>
      <c r="AC10993">
        <v>1.450338E-2</v>
      </c>
      <c r="AD10993">
        <v>0.9007115</v>
      </c>
      <c r="AE10993">
        <v>0.66896100000000003</v>
      </c>
      <c r="AF10993">
        <v>287.28449999999998</v>
      </c>
      <c r="AG10993">
        <f>IFERROR(AH10993*0.1, "N/A")</f>
        <v>6.1944440000000007</v>
      </c>
      <c r="AH10993">
        <v>61.94444</v>
      </c>
      <c r="AI10993">
        <v>133.58320000000001</v>
      </c>
      <c r="AJ10993">
        <v>9.0185189999999995</v>
      </c>
      <c r="AK10993">
        <v>84.962959999999995</v>
      </c>
    </row>
    <row r="10994" spans="1:37" x14ac:dyDescent="0.3">
      <c r="A10994">
        <v>10993</v>
      </c>
      <c r="B10994">
        <v>0</v>
      </c>
      <c r="C10994">
        <v>8.8299999999999993E-3</v>
      </c>
      <c r="D10994">
        <v>13.9773</v>
      </c>
      <c r="E10994" t="s">
        <v>16457</v>
      </c>
      <c r="F10994" t="s">
        <v>16459</v>
      </c>
      <c r="G10994" t="s">
        <v>37</v>
      </c>
      <c r="H10994">
        <v>2007</v>
      </c>
      <c r="I10994">
        <v>29</v>
      </c>
      <c r="J10994">
        <v>15.3</v>
      </c>
      <c r="K10994">
        <v>57</v>
      </c>
      <c r="L10994">
        <v>31.807410000000001</v>
      </c>
      <c r="M10994">
        <v>41</v>
      </c>
      <c r="N10994">
        <v>14.2</v>
      </c>
      <c r="O10994">
        <v>26.8</v>
      </c>
      <c r="P10994">
        <v>28.9</v>
      </c>
      <c r="Q10994">
        <v>24.9</v>
      </c>
      <c r="R10994">
        <v>33</v>
      </c>
      <c r="S10994">
        <v>24.5</v>
      </c>
      <c r="T10994">
        <v>483</v>
      </c>
      <c r="U10994">
        <v>168</v>
      </c>
      <c r="V10994">
        <v>0</v>
      </c>
      <c r="W10994">
        <v>134</v>
      </c>
      <c r="X10994">
        <v>372</v>
      </c>
      <c r="Y10994">
        <v>0</v>
      </c>
      <c r="Z10994">
        <v>96</v>
      </c>
      <c r="AA10994">
        <v>0</v>
      </c>
      <c r="AB10994">
        <v>3.059094</v>
      </c>
      <c r="AC10994">
        <v>1.450338E-2</v>
      </c>
      <c r="AD10994">
        <v>0.9007115</v>
      </c>
      <c r="AE10994">
        <v>0.66896100000000003</v>
      </c>
      <c r="AF10994">
        <v>287.28449999999998</v>
      </c>
      <c r="AG10994">
        <f>IFERROR(AH10994*0.1, "N/A")</f>
        <v>6.1944440000000007</v>
      </c>
      <c r="AH10994">
        <v>61.94444</v>
      </c>
      <c r="AI10994">
        <v>133.58320000000001</v>
      </c>
      <c r="AJ10994">
        <v>9.0185189999999995</v>
      </c>
      <c r="AK10994">
        <v>84.962959999999995</v>
      </c>
    </row>
    <row r="10995" spans="1:37" x14ac:dyDescent="0.3">
      <c r="A10995">
        <v>10994</v>
      </c>
      <c r="B10995">
        <v>33.299999999999997</v>
      </c>
      <c r="C10995">
        <v>-1.633</v>
      </c>
      <c r="D10995">
        <v>14.0992</v>
      </c>
      <c r="E10995">
        <f>-1.633-14.0992</f>
        <v>-15.732199999999999</v>
      </c>
      <c r="F10995" t="s">
        <v>16460</v>
      </c>
      <c r="G10995" t="s">
        <v>39</v>
      </c>
      <c r="H10995">
        <v>2007</v>
      </c>
      <c r="I10995">
        <v>28.462730000000001</v>
      </c>
      <c r="J10995">
        <v>14</v>
      </c>
      <c r="K10995">
        <v>58</v>
      </c>
      <c r="L10995">
        <v>27.07621</v>
      </c>
      <c r="M10995">
        <v>39.562730000000002</v>
      </c>
      <c r="N10995">
        <v>15.702360000000001</v>
      </c>
      <c r="O10995">
        <v>23.86037</v>
      </c>
      <c r="P10995">
        <v>27.8231</v>
      </c>
      <c r="Q10995">
        <v>24.80236</v>
      </c>
      <c r="R10995">
        <v>31.962730000000001</v>
      </c>
      <c r="S10995">
        <v>24.80236</v>
      </c>
      <c r="T10995">
        <v>446.6037</v>
      </c>
      <c r="U10995">
        <v>150</v>
      </c>
      <c r="V10995">
        <v>0</v>
      </c>
      <c r="W10995">
        <v>131</v>
      </c>
      <c r="X10995">
        <v>345</v>
      </c>
      <c r="Y10995">
        <v>0</v>
      </c>
      <c r="Z10995">
        <v>78</v>
      </c>
      <c r="AA10995">
        <v>0</v>
      </c>
      <c r="AB10995">
        <v>1.3888689999999999</v>
      </c>
      <c r="AC10995">
        <v>1.033764E-2</v>
      </c>
      <c r="AD10995">
        <v>0.66635489999999997</v>
      </c>
      <c r="AE10995">
        <v>0.50802080000000005</v>
      </c>
      <c r="AF10995">
        <v>304.97129999999999</v>
      </c>
      <c r="AG10995">
        <f>IFERROR(AH10995*0.1, "N/A")</f>
        <v>6.467454</v>
      </c>
      <c r="AH10995">
        <v>64.674539999999993</v>
      </c>
      <c r="AI10995">
        <v>119.7589</v>
      </c>
      <c r="AJ10995">
        <v>21.71332</v>
      </c>
      <c r="AK10995">
        <v>62.94941</v>
      </c>
    </row>
    <row r="10996" spans="1:37" x14ac:dyDescent="0.3">
      <c r="A10996">
        <v>10995</v>
      </c>
      <c r="B10996">
        <v>0</v>
      </c>
      <c r="C10996">
        <v>-1.633</v>
      </c>
      <c r="D10996">
        <v>14.0992</v>
      </c>
      <c r="E10996">
        <f>-1.633-14.0992</f>
        <v>-15.732199999999999</v>
      </c>
      <c r="F10996" t="s">
        <v>16461</v>
      </c>
      <c r="G10996" t="s">
        <v>37</v>
      </c>
      <c r="H10996">
        <v>2007</v>
      </c>
      <c r="I10996">
        <v>28.462730000000001</v>
      </c>
      <c r="J10996">
        <v>14</v>
      </c>
      <c r="K10996">
        <v>58</v>
      </c>
      <c r="L10996">
        <v>27.07621</v>
      </c>
      <c r="M10996">
        <v>39.562730000000002</v>
      </c>
      <c r="N10996">
        <v>15.702360000000001</v>
      </c>
      <c r="O10996">
        <v>23.86037</v>
      </c>
      <c r="P10996">
        <v>27.8231</v>
      </c>
      <c r="Q10996">
        <v>24.80236</v>
      </c>
      <c r="R10996">
        <v>31.962730000000001</v>
      </c>
      <c r="S10996">
        <v>24.80236</v>
      </c>
      <c r="T10996">
        <v>446.6037</v>
      </c>
      <c r="U10996">
        <v>150</v>
      </c>
      <c r="V10996">
        <v>0</v>
      </c>
      <c r="W10996">
        <v>131</v>
      </c>
      <c r="X10996">
        <v>345</v>
      </c>
      <c r="Y10996">
        <v>0</v>
      </c>
      <c r="Z10996">
        <v>78</v>
      </c>
      <c r="AA10996">
        <v>0</v>
      </c>
      <c r="AB10996">
        <v>1.3888689999999999</v>
      </c>
      <c r="AC10996">
        <v>1.033764E-2</v>
      </c>
      <c r="AD10996">
        <v>0.66635489999999997</v>
      </c>
      <c r="AE10996">
        <v>0.50802080000000005</v>
      </c>
      <c r="AF10996">
        <v>304.97129999999999</v>
      </c>
      <c r="AG10996">
        <f>IFERROR(AH10996*0.1, "N/A")</f>
        <v>6.467454</v>
      </c>
      <c r="AH10996">
        <v>64.674539999999993</v>
      </c>
      <c r="AI10996">
        <v>119.7589</v>
      </c>
      <c r="AJ10996">
        <v>21.71332</v>
      </c>
      <c r="AK10996">
        <v>62.94941</v>
      </c>
    </row>
    <row r="10997" spans="1:37" x14ac:dyDescent="0.3">
      <c r="A10997">
        <v>10996</v>
      </c>
      <c r="B10997">
        <v>100</v>
      </c>
      <c r="C10997">
        <v>-3.567E-2</v>
      </c>
      <c r="D10997">
        <v>14.0342</v>
      </c>
      <c r="E10997">
        <f>-0.03567-14.0342</f>
        <v>-14.06987</v>
      </c>
      <c r="F10997" t="s">
        <v>16462</v>
      </c>
      <c r="G10997" t="s">
        <v>39</v>
      </c>
      <c r="H10997">
        <v>2007</v>
      </c>
      <c r="I10997">
        <v>29.1</v>
      </c>
      <c r="J10997">
        <v>15.3</v>
      </c>
      <c r="K10997">
        <v>56</v>
      </c>
      <c r="L10997">
        <v>31.979849999999999</v>
      </c>
      <c r="M10997">
        <v>41.1</v>
      </c>
      <c r="N10997">
        <v>14.1</v>
      </c>
      <c r="O10997">
        <v>27</v>
      </c>
      <c r="P10997">
        <v>29.1</v>
      </c>
      <c r="Q10997">
        <v>25</v>
      </c>
      <c r="R10997">
        <v>33.1</v>
      </c>
      <c r="S10997">
        <v>24.6</v>
      </c>
      <c r="T10997">
        <v>471.01519999999999</v>
      </c>
      <c r="U10997">
        <v>164.01519999999999</v>
      </c>
      <c r="V10997">
        <v>0</v>
      </c>
      <c r="W10997">
        <v>134.01519999999999</v>
      </c>
      <c r="X10997">
        <v>363.01519999999999</v>
      </c>
      <c r="Y10997">
        <v>0</v>
      </c>
      <c r="Z10997">
        <v>94</v>
      </c>
      <c r="AA10997">
        <v>0</v>
      </c>
      <c r="AB10997">
        <v>4.5910570000000002</v>
      </c>
      <c r="AC10997">
        <v>1.424448E-2</v>
      </c>
      <c r="AD10997">
        <v>0.9875699</v>
      </c>
      <c r="AE10997">
        <v>0.61291660000000003</v>
      </c>
      <c r="AF10997">
        <v>277.76560000000001</v>
      </c>
      <c r="AG10997">
        <f>IFERROR(AH10997*0.1, "N/A")</f>
        <v>6.755649</v>
      </c>
      <c r="AH10997">
        <v>67.556489999999997</v>
      </c>
      <c r="AI10997">
        <v>166.8254</v>
      </c>
      <c r="AJ10997">
        <v>28.72344</v>
      </c>
      <c r="AK10997">
        <v>51.723439999999997</v>
      </c>
    </row>
    <row r="10998" spans="1:37" x14ac:dyDescent="0.3">
      <c r="A10998">
        <v>10997</v>
      </c>
      <c r="B10998">
        <v>0</v>
      </c>
      <c r="C10998">
        <v>-3.567E-2</v>
      </c>
      <c r="D10998">
        <v>14.0342</v>
      </c>
      <c r="E10998">
        <f>-0.03567-14.0342</f>
        <v>-14.06987</v>
      </c>
      <c r="F10998" t="s">
        <v>16463</v>
      </c>
      <c r="G10998" t="s">
        <v>37</v>
      </c>
      <c r="H10998">
        <v>2007</v>
      </c>
      <c r="I10998">
        <v>29.1</v>
      </c>
      <c r="J10998">
        <v>15.3</v>
      </c>
      <c r="K10998">
        <v>56</v>
      </c>
      <c r="L10998">
        <v>31.979849999999999</v>
      </c>
      <c r="M10998">
        <v>41.1</v>
      </c>
      <c r="N10998">
        <v>14.1</v>
      </c>
      <c r="O10998">
        <v>27</v>
      </c>
      <c r="P10998">
        <v>29.1</v>
      </c>
      <c r="Q10998">
        <v>25</v>
      </c>
      <c r="R10998">
        <v>33.1</v>
      </c>
      <c r="S10998">
        <v>24.6</v>
      </c>
      <c r="T10998">
        <v>471.01519999999999</v>
      </c>
      <c r="U10998">
        <v>164.01519999999999</v>
      </c>
      <c r="V10998">
        <v>0</v>
      </c>
      <c r="W10998">
        <v>134.01519999999999</v>
      </c>
      <c r="X10998">
        <v>363.01519999999999</v>
      </c>
      <c r="Y10998">
        <v>0</v>
      </c>
      <c r="Z10998">
        <v>94</v>
      </c>
      <c r="AA10998">
        <v>0</v>
      </c>
      <c r="AB10998">
        <v>4.5910570000000002</v>
      </c>
      <c r="AC10998">
        <v>1.424448E-2</v>
      </c>
      <c r="AD10998">
        <v>0.9875699</v>
      </c>
      <c r="AE10998">
        <v>0.61291660000000003</v>
      </c>
      <c r="AF10998">
        <v>277.76560000000001</v>
      </c>
      <c r="AG10998">
        <f>IFERROR(AH10998*0.1, "N/A")</f>
        <v>6.755649</v>
      </c>
      <c r="AH10998">
        <v>67.556489999999997</v>
      </c>
      <c r="AI10998">
        <v>166.8254</v>
      </c>
      <c r="AJ10998">
        <v>28.72344</v>
      </c>
      <c r="AK10998">
        <v>51.723439999999997</v>
      </c>
    </row>
    <row r="10999" spans="1:37" x14ac:dyDescent="0.3">
      <c r="A10999">
        <v>10998</v>
      </c>
      <c r="B10999">
        <v>50</v>
      </c>
      <c r="C10999">
        <v>-3.45648</v>
      </c>
      <c r="D10999">
        <v>9.9670000000000005</v>
      </c>
      <c r="E10999">
        <f>-3.45648-9.967</f>
        <v>-13.423480000000001</v>
      </c>
      <c r="F10999" t="s">
        <v>16464</v>
      </c>
      <c r="G10999" t="s">
        <v>39</v>
      </c>
      <c r="H10999">
        <v>2007</v>
      </c>
      <c r="I10999">
        <v>27.4</v>
      </c>
      <c r="J10999">
        <v>11.867290000000001</v>
      </c>
      <c r="K10999">
        <v>65</v>
      </c>
      <c r="L10999">
        <v>15.93038</v>
      </c>
      <c r="M10999">
        <v>36.8673</v>
      </c>
      <c r="N10999">
        <v>18.7</v>
      </c>
      <c r="O10999">
        <v>18.167300000000001</v>
      </c>
      <c r="P10999">
        <v>25.532710000000002</v>
      </c>
      <c r="Q10999">
        <v>27.2</v>
      </c>
      <c r="R10999">
        <v>29.6</v>
      </c>
      <c r="S10999">
        <v>25.532710000000002</v>
      </c>
      <c r="T10999">
        <v>1096.327</v>
      </c>
      <c r="U10999">
        <v>209.6729</v>
      </c>
      <c r="V10999">
        <v>2</v>
      </c>
      <c r="W10999">
        <v>83</v>
      </c>
      <c r="X10999">
        <v>600</v>
      </c>
      <c r="Y10999">
        <v>17</v>
      </c>
      <c r="Z10999">
        <v>120</v>
      </c>
      <c r="AA10999">
        <v>600</v>
      </c>
      <c r="AB10999">
        <v>25.428599999999999</v>
      </c>
      <c r="AC10999">
        <v>1.4823909999999999E-2</v>
      </c>
      <c r="AD10999">
        <v>3.8747950000000002</v>
      </c>
      <c r="AE10999">
        <v>0.27032240000000002</v>
      </c>
      <c r="AF10999">
        <v>356.488</v>
      </c>
      <c r="AG10999">
        <f>IFERROR(AH10999*0.1, "N/A")</f>
        <v>5.9</v>
      </c>
      <c r="AH10999">
        <v>59</v>
      </c>
      <c r="AI10999">
        <v>127.2783</v>
      </c>
      <c r="AJ10999">
        <v>17.092469999999999</v>
      </c>
      <c r="AK10999">
        <v>62.907530000000001</v>
      </c>
    </row>
    <row r="11000" spans="1:37" x14ac:dyDescent="0.3">
      <c r="A11000">
        <v>10999</v>
      </c>
      <c r="B11000">
        <v>0</v>
      </c>
      <c r="C11000">
        <v>-3.45648</v>
      </c>
      <c r="D11000">
        <v>9.9670000000000005</v>
      </c>
      <c r="E11000">
        <f>-3.45648-9.967</f>
        <v>-13.423480000000001</v>
      </c>
      <c r="F11000" t="s">
        <v>16465</v>
      </c>
      <c r="G11000" t="s">
        <v>37</v>
      </c>
      <c r="H11000">
        <v>2007</v>
      </c>
      <c r="I11000">
        <v>27.4</v>
      </c>
      <c r="J11000">
        <v>11.867290000000001</v>
      </c>
      <c r="K11000">
        <v>65</v>
      </c>
      <c r="L11000">
        <v>15.93038</v>
      </c>
      <c r="M11000">
        <v>36.8673</v>
      </c>
      <c r="N11000">
        <v>18.7</v>
      </c>
      <c r="O11000">
        <v>18.167300000000001</v>
      </c>
      <c r="P11000">
        <v>25.532710000000002</v>
      </c>
      <c r="Q11000">
        <v>27.2</v>
      </c>
      <c r="R11000">
        <v>29.6</v>
      </c>
      <c r="S11000">
        <v>25.532710000000002</v>
      </c>
      <c r="T11000">
        <v>1096.327</v>
      </c>
      <c r="U11000">
        <v>209.6729</v>
      </c>
      <c r="V11000">
        <v>2</v>
      </c>
      <c r="W11000">
        <v>83</v>
      </c>
      <c r="X11000">
        <v>600</v>
      </c>
      <c r="Y11000">
        <v>17</v>
      </c>
      <c r="Z11000">
        <v>120</v>
      </c>
      <c r="AA11000">
        <v>600</v>
      </c>
      <c r="AB11000">
        <v>25.428599999999999</v>
      </c>
      <c r="AC11000">
        <v>1.4823909999999999E-2</v>
      </c>
      <c r="AD11000">
        <v>3.8747950000000002</v>
      </c>
      <c r="AE11000">
        <v>0.27032240000000002</v>
      </c>
      <c r="AF11000">
        <v>356.488</v>
      </c>
      <c r="AG11000">
        <f>IFERROR(AH11000*0.1, "N/A")</f>
        <v>5.9</v>
      </c>
      <c r="AH11000">
        <v>59</v>
      </c>
      <c r="AI11000">
        <v>127.2783</v>
      </c>
      <c r="AJ11000">
        <v>17.092469999999999</v>
      </c>
      <c r="AK11000">
        <v>62.907530000000001</v>
      </c>
    </row>
    <row r="11001" spans="1:37" x14ac:dyDescent="0.3">
      <c r="A11001">
        <v>11000</v>
      </c>
      <c r="B11001">
        <v>100</v>
      </c>
      <c r="C11001">
        <v>-0.97597</v>
      </c>
      <c r="D11001">
        <v>14.179</v>
      </c>
      <c r="E11001">
        <f>-0.97597-14.179</f>
        <v>-15.15497</v>
      </c>
      <c r="F11001" t="s">
        <v>16466</v>
      </c>
      <c r="G11001" t="s">
        <v>39</v>
      </c>
      <c r="H11001">
        <v>2007</v>
      </c>
      <c r="I11001">
        <v>28.6</v>
      </c>
      <c r="J11001">
        <v>14.3</v>
      </c>
      <c r="K11001">
        <v>59</v>
      </c>
      <c r="L11001">
        <v>27</v>
      </c>
      <c r="M11001">
        <v>39.799999999999997</v>
      </c>
      <c r="N11001">
        <v>15.6</v>
      </c>
      <c r="O11001">
        <v>24.2</v>
      </c>
      <c r="P11001">
        <v>28.1</v>
      </c>
      <c r="Q11001">
        <v>25.5</v>
      </c>
      <c r="R11001">
        <v>32.1</v>
      </c>
      <c r="S11001">
        <v>24.9</v>
      </c>
      <c r="T11001">
        <v>451</v>
      </c>
      <c r="U11001">
        <v>159</v>
      </c>
      <c r="V11001">
        <v>0</v>
      </c>
      <c r="W11001">
        <v>135</v>
      </c>
      <c r="X11001">
        <v>350</v>
      </c>
      <c r="Y11001">
        <v>0</v>
      </c>
      <c r="Z11001">
        <v>81</v>
      </c>
      <c r="AA11001">
        <v>0</v>
      </c>
      <c r="AB11001">
        <v>0.2810647</v>
      </c>
      <c r="AC11001">
        <v>1.3253250000000001</v>
      </c>
      <c r="AD11001">
        <v>1.6454530000000001</v>
      </c>
      <c r="AE11001">
        <v>0.28903760000000001</v>
      </c>
      <c r="AF11001">
        <v>294.79559999999998</v>
      </c>
      <c r="AG11001">
        <f>IFERROR(AH11001*0.1, "N/A")</f>
        <v>6.9</v>
      </c>
      <c r="AH11001">
        <v>69</v>
      </c>
      <c r="AI11001">
        <v>147.2784</v>
      </c>
      <c r="AJ11001">
        <v>35</v>
      </c>
      <c r="AK11001">
        <v>49</v>
      </c>
    </row>
    <row r="11002" spans="1:37" x14ac:dyDescent="0.3">
      <c r="A11002">
        <v>11001</v>
      </c>
      <c r="B11002">
        <v>0</v>
      </c>
      <c r="C11002">
        <v>-0.97597</v>
      </c>
      <c r="D11002">
        <v>14.179</v>
      </c>
      <c r="E11002">
        <f>-0.97597-14.179</f>
        <v>-15.15497</v>
      </c>
      <c r="F11002" t="s">
        <v>16467</v>
      </c>
      <c r="G11002" t="s">
        <v>37</v>
      </c>
      <c r="H11002">
        <v>2007</v>
      </c>
      <c r="I11002">
        <v>28.6</v>
      </c>
      <c r="J11002">
        <v>14.3</v>
      </c>
      <c r="K11002">
        <v>59</v>
      </c>
      <c r="L11002">
        <v>27</v>
      </c>
      <c r="M11002">
        <v>39.799999999999997</v>
      </c>
      <c r="N11002">
        <v>15.6</v>
      </c>
      <c r="O11002">
        <v>24.2</v>
      </c>
      <c r="P11002">
        <v>28.1</v>
      </c>
      <c r="Q11002">
        <v>25.5</v>
      </c>
      <c r="R11002">
        <v>32.1</v>
      </c>
      <c r="S11002">
        <v>24.9</v>
      </c>
      <c r="T11002">
        <v>451</v>
      </c>
      <c r="U11002">
        <v>159</v>
      </c>
      <c r="V11002">
        <v>0</v>
      </c>
      <c r="W11002">
        <v>135</v>
      </c>
      <c r="X11002">
        <v>350</v>
      </c>
      <c r="Y11002">
        <v>0</v>
      </c>
      <c r="Z11002">
        <v>81</v>
      </c>
      <c r="AA11002">
        <v>0</v>
      </c>
      <c r="AB11002">
        <v>0.2810647</v>
      </c>
      <c r="AC11002">
        <v>1.3253250000000001</v>
      </c>
      <c r="AD11002">
        <v>1.6454530000000001</v>
      </c>
      <c r="AE11002">
        <v>0.28903760000000001</v>
      </c>
      <c r="AF11002">
        <v>294.79559999999998</v>
      </c>
      <c r="AG11002">
        <f>IFERROR(AH11002*0.1, "N/A")</f>
        <v>6.9</v>
      </c>
      <c r="AH11002">
        <v>69</v>
      </c>
      <c r="AI11002">
        <v>147.2784</v>
      </c>
      <c r="AJ11002">
        <v>35</v>
      </c>
      <c r="AK11002">
        <v>49</v>
      </c>
    </row>
    <row r="11003" spans="1:37" x14ac:dyDescent="0.3">
      <c r="A11003">
        <v>11002</v>
      </c>
      <c r="B11003">
        <v>50</v>
      </c>
      <c r="C11003">
        <v>-2.1799300000000001</v>
      </c>
      <c r="D11003">
        <v>13.021100000000001</v>
      </c>
      <c r="E11003">
        <f>-2.17993-13.0211</f>
        <v>-15.201030000000001</v>
      </c>
      <c r="F11003" t="s">
        <v>16468</v>
      </c>
      <c r="G11003" t="s">
        <v>39</v>
      </c>
      <c r="H11003">
        <v>2007</v>
      </c>
      <c r="I11003">
        <v>28</v>
      </c>
      <c r="J11003">
        <v>13.7</v>
      </c>
      <c r="K11003">
        <v>62</v>
      </c>
      <c r="L11003">
        <v>20.21</v>
      </c>
      <c r="M11003">
        <v>38.799999999999997</v>
      </c>
      <c r="N11003">
        <v>17</v>
      </c>
      <c r="O11003">
        <v>21.8</v>
      </c>
      <c r="P11003">
        <v>26.5</v>
      </c>
      <c r="Q11003">
        <v>26</v>
      </c>
      <c r="R11003">
        <v>30.9</v>
      </c>
      <c r="S11003">
        <v>26</v>
      </c>
      <c r="T11003">
        <v>659</v>
      </c>
      <c r="U11003">
        <v>191</v>
      </c>
      <c r="V11003">
        <v>0</v>
      </c>
      <c r="W11003">
        <v>121</v>
      </c>
      <c r="X11003">
        <v>473</v>
      </c>
      <c r="Y11003">
        <v>1</v>
      </c>
      <c r="Z11003">
        <v>68</v>
      </c>
      <c r="AA11003">
        <v>1</v>
      </c>
      <c r="AB11003">
        <v>8.7749120000000005</v>
      </c>
      <c r="AC11003">
        <v>1.5873749999999999E-2</v>
      </c>
      <c r="AD11003">
        <v>2.48142</v>
      </c>
      <c r="AE11003">
        <v>0.31231179999999997</v>
      </c>
      <c r="AF11003">
        <v>325.74579999999997</v>
      </c>
      <c r="AG11003">
        <f>IFERROR(AH11003*0.1, "N/A")</f>
        <v>6</v>
      </c>
      <c r="AH11003">
        <v>60</v>
      </c>
      <c r="AI11003">
        <v>109.6832</v>
      </c>
      <c r="AJ11003">
        <v>23.949149999999999</v>
      </c>
      <c r="AK11003">
        <v>56</v>
      </c>
    </row>
    <row r="11004" spans="1:37" x14ac:dyDescent="0.3">
      <c r="A11004">
        <v>11003</v>
      </c>
      <c r="B11004">
        <v>0</v>
      </c>
      <c r="C11004">
        <v>-2.1799300000000001</v>
      </c>
      <c r="D11004">
        <v>13.021100000000001</v>
      </c>
      <c r="E11004">
        <f>-2.17993-13.0211</f>
        <v>-15.201030000000001</v>
      </c>
      <c r="F11004" t="s">
        <v>16469</v>
      </c>
      <c r="G11004" t="s">
        <v>37</v>
      </c>
      <c r="H11004">
        <v>2007</v>
      </c>
      <c r="I11004">
        <v>28</v>
      </c>
      <c r="J11004">
        <v>13.7</v>
      </c>
      <c r="K11004">
        <v>62</v>
      </c>
      <c r="L11004">
        <v>20.21</v>
      </c>
      <c r="M11004">
        <v>38.799999999999997</v>
      </c>
      <c r="N11004">
        <v>17</v>
      </c>
      <c r="O11004">
        <v>21.8</v>
      </c>
      <c r="P11004">
        <v>26.5</v>
      </c>
      <c r="Q11004">
        <v>26</v>
      </c>
      <c r="R11004">
        <v>30.9</v>
      </c>
      <c r="S11004">
        <v>26</v>
      </c>
      <c r="T11004">
        <v>659</v>
      </c>
      <c r="U11004">
        <v>191</v>
      </c>
      <c r="V11004">
        <v>0</v>
      </c>
      <c r="W11004">
        <v>121</v>
      </c>
      <c r="X11004">
        <v>473</v>
      </c>
      <c r="Y11004">
        <v>1</v>
      </c>
      <c r="Z11004">
        <v>68</v>
      </c>
      <c r="AA11004">
        <v>1</v>
      </c>
      <c r="AB11004">
        <v>8.7749120000000005</v>
      </c>
      <c r="AC11004">
        <v>1.5873749999999999E-2</v>
      </c>
      <c r="AD11004">
        <v>2.48142</v>
      </c>
      <c r="AE11004">
        <v>0.31231179999999997</v>
      </c>
      <c r="AF11004">
        <v>325.74579999999997</v>
      </c>
      <c r="AG11004">
        <f>IFERROR(AH11004*0.1, "N/A")</f>
        <v>6</v>
      </c>
      <c r="AH11004">
        <v>60</v>
      </c>
      <c r="AI11004">
        <v>109.6832</v>
      </c>
      <c r="AJ11004">
        <v>23.949149999999999</v>
      </c>
      <c r="AK11004">
        <v>56</v>
      </c>
    </row>
    <row r="11005" spans="1:37" x14ac:dyDescent="0.3">
      <c r="A11005">
        <v>11004</v>
      </c>
      <c r="B11005">
        <v>0</v>
      </c>
      <c r="C11005">
        <v>-1.83897</v>
      </c>
      <c r="D11005">
        <v>13.763299999999999</v>
      </c>
      <c r="E11005">
        <f>-1.83897-13.7633</f>
        <v>-15.602269999999999</v>
      </c>
      <c r="F11005" t="s">
        <v>16470</v>
      </c>
      <c r="G11005" t="s">
        <v>39</v>
      </c>
      <c r="H11005">
        <v>2007</v>
      </c>
      <c r="I11005">
        <v>28.3</v>
      </c>
      <c r="J11005">
        <v>13.9</v>
      </c>
      <c r="K11005">
        <v>59</v>
      </c>
      <c r="L11005">
        <v>25.56</v>
      </c>
      <c r="M11005">
        <v>39.5</v>
      </c>
      <c r="N11005">
        <v>16</v>
      </c>
      <c r="O11005">
        <v>23.5</v>
      </c>
      <c r="P11005">
        <v>27.4</v>
      </c>
      <c r="Q11005">
        <v>25.4</v>
      </c>
      <c r="R11005">
        <v>31.7</v>
      </c>
      <c r="S11005">
        <v>25.1</v>
      </c>
      <c r="T11005">
        <v>503</v>
      </c>
      <c r="U11005">
        <v>163</v>
      </c>
      <c r="V11005">
        <v>0</v>
      </c>
      <c r="W11005">
        <v>131</v>
      </c>
      <c r="X11005">
        <v>383</v>
      </c>
      <c r="Y11005">
        <v>0</v>
      </c>
      <c r="Z11005">
        <v>100</v>
      </c>
      <c r="AA11005">
        <v>0</v>
      </c>
      <c r="AB11005">
        <v>0.59545890000000001</v>
      </c>
      <c r="AC11005">
        <v>41.590020000000003</v>
      </c>
      <c r="AD11005">
        <v>1.182002</v>
      </c>
      <c r="AE11005">
        <v>0.60253140000000005</v>
      </c>
      <c r="AF11005">
        <v>322.38490000000002</v>
      </c>
      <c r="AG11005">
        <f>IFERROR(AH11005*0.1, "N/A")</f>
        <v>6.4934450000000004</v>
      </c>
      <c r="AH11005">
        <v>64.934449999999998</v>
      </c>
      <c r="AI11005">
        <v>162.38120000000001</v>
      </c>
      <c r="AJ11005">
        <v>14.826890000000001</v>
      </c>
      <c r="AK11005">
        <v>72.250420000000005</v>
      </c>
    </row>
    <row r="11006" spans="1:37" x14ac:dyDescent="0.3">
      <c r="A11006">
        <v>11005</v>
      </c>
      <c r="B11006">
        <v>0</v>
      </c>
      <c r="C11006">
        <v>-1.83897</v>
      </c>
      <c r="D11006">
        <v>13.763299999999999</v>
      </c>
      <c r="E11006">
        <f>-1.83897-13.7633</f>
        <v>-15.602269999999999</v>
      </c>
      <c r="F11006" t="s">
        <v>16471</v>
      </c>
      <c r="G11006" t="s">
        <v>37</v>
      </c>
      <c r="H11006">
        <v>2007</v>
      </c>
      <c r="I11006">
        <v>28.3</v>
      </c>
      <c r="J11006">
        <v>13.9</v>
      </c>
      <c r="K11006">
        <v>59</v>
      </c>
      <c r="L11006">
        <v>25.56</v>
      </c>
      <c r="M11006">
        <v>39.5</v>
      </c>
      <c r="N11006">
        <v>16</v>
      </c>
      <c r="O11006">
        <v>23.5</v>
      </c>
      <c r="P11006">
        <v>27.4</v>
      </c>
      <c r="Q11006">
        <v>25.4</v>
      </c>
      <c r="R11006">
        <v>31.7</v>
      </c>
      <c r="S11006">
        <v>25.1</v>
      </c>
      <c r="T11006">
        <v>503</v>
      </c>
      <c r="U11006">
        <v>163</v>
      </c>
      <c r="V11006">
        <v>0</v>
      </c>
      <c r="W11006">
        <v>131</v>
      </c>
      <c r="X11006">
        <v>383</v>
      </c>
      <c r="Y11006">
        <v>0</v>
      </c>
      <c r="Z11006">
        <v>100</v>
      </c>
      <c r="AA11006">
        <v>0</v>
      </c>
      <c r="AB11006">
        <v>0.59545890000000001</v>
      </c>
      <c r="AC11006">
        <v>41.590020000000003</v>
      </c>
      <c r="AD11006">
        <v>1.182002</v>
      </c>
      <c r="AE11006">
        <v>0.60253140000000005</v>
      </c>
      <c r="AF11006">
        <v>322.38490000000002</v>
      </c>
      <c r="AG11006">
        <f>IFERROR(AH11006*0.1, "N/A")</f>
        <v>6.4934450000000004</v>
      </c>
      <c r="AH11006">
        <v>64.934449999999998</v>
      </c>
      <c r="AI11006">
        <v>162.38120000000001</v>
      </c>
      <c r="AJ11006">
        <v>14.826890000000001</v>
      </c>
      <c r="AK11006">
        <v>72.250420000000005</v>
      </c>
    </row>
    <row r="11007" spans="1:37" x14ac:dyDescent="0.3">
      <c r="A11007">
        <v>11006</v>
      </c>
      <c r="B11007">
        <v>60</v>
      </c>
      <c r="C11007">
        <v>-1.98082</v>
      </c>
      <c r="D11007">
        <v>13.173999999999999</v>
      </c>
      <c r="E11007">
        <f>-1.98082-13.174</f>
        <v>-15.154819999999999</v>
      </c>
      <c r="F11007" t="s">
        <v>16472</v>
      </c>
      <c r="G11007" t="s">
        <v>39</v>
      </c>
      <c r="H11007">
        <v>2007</v>
      </c>
      <c r="I11007">
        <v>28</v>
      </c>
      <c r="J11007">
        <v>13.8</v>
      </c>
      <c r="K11007">
        <v>61</v>
      </c>
      <c r="L11007">
        <v>21.954560000000001</v>
      </c>
      <c r="M11007">
        <v>39</v>
      </c>
      <c r="N11007">
        <v>16.594930000000002</v>
      </c>
      <c r="O11007">
        <v>22.405069999999998</v>
      </c>
      <c r="P11007">
        <v>26.694929999999999</v>
      </c>
      <c r="Q11007">
        <v>25.694929999999999</v>
      </c>
      <c r="R11007">
        <v>31.1</v>
      </c>
      <c r="S11007">
        <v>25.694929999999999</v>
      </c>
      <c r="T11007">
        <v>649</v>
      </c>
      <c r="U11007">
        <v>194</v>
      </c>
      <c r="V11007">
        <v>0</v>
      </c>
      <c r="W11007">
        <v>121</v>
      </c>
      <c r="X11007">
        <v>468</v>
      </c>
      <c r="Y11007">
        <v>1</v>
      </c>
      <c r="Z11007">
        <v>63</v>
      </c>
      <c r="AA11007">
        <v>1</v>
      </c>
      <c r="AB11007">
        <v>12.72096</v>
      </c>
      <c r="AC11007">
        <v>9.7479320000000008E-3</v>
      </c>
      <c r="AD11007">
        <v>1.8883559999999999</v>
      </c>
      <c r="AE11007">
        <v>0.56677730000000004</v>
      </c>
      <c r="AF11007">
        <v>340.02030000000002</v>
      </c>
      <c r="AG11007">
        <f>IFERROR(AH11007*0.1, "N/A")</f>
        <v>6.5</v>
      </c>
      <c r="AH11007">
        <v>65</v>
      </c>
      <c r="AI11007">
        <v>205.80250000000001</v>
      </c>
      <c r="AJ11007">
        <v>24.63514</v>
      </c>
      <c r="AK11007">
        <v>54.36486</v>
      </c>
    </row>
    <row r="11008" spans="1:37" x14ac:dyDescent="0.3">
      <c r="A11008">
        <v>11007</v>
      </c>
      <c r="B11008">
        <v>0</v>
      </c>
      <c r="C11008">
        <v>-1.98082</v>
      </c>
      <c r="D11008">
        <v>13.173999999999999</v>
      </c>
      <c r="E11008">
        <f>-1.98082-13.174</f>
        <v>-15.154819999999999</v>
      </c>
      <c r="F11008" t="s">
        <v>16473</v>
      </c>
      <c r="G11008" t="s">
        <v>37</v>
      </c>
      <c r="H11008">
        <v>2007</v>
      </c>
      <c r="I11008">
        <v>28</v>
      </c>
      <c r="J11008">
        <v>13.8</v>
      </c>
      <c r="K11008">
        <v>61</v>
      </c>
      <c r="L11008">
        <v>21.954560000000001</v>
      </c>
      <c r="M11008">
        <v>39</v>
      </c>
      <c r="N11008">
        <v>16.594930000000002</v>
      </c>
      <c r="O11008">
        <v>22.405069999999998</v>
      </c>
      <c r="P11008">
        <v>26.694929999999999</v>
      </c>
      <c r="Q11008">
        <v>25.694929999999999</v>
      </c>
      <c r="R11008">
        <v>31.1</v>
      </c>
      <c r="S11008">
        <v>25.694929999999999</v>
      </c>
      <c r="T11008">
        <v>649</v>
      </c>
      <c r="U11008">
        <v>194</v>
      </c>
      <c r="V11008">
        <v>0</v>
      </c>
      <c r="W11008">
        <v>121</v>
      </c>
      <c r="X11008">
        <v>468</v>
      </c>
      <c r="Y11008">
        <v>1</v>
      </c>
      <c r="Z11008">
        <v>63</v>
      </c>
      <c r="AA11008">
        <v>1</v>
      </c>
      <c r="AB11008">
        <v>12.72096</v>
      </c>
      <c r="AC11008">
        <v>9.7479320000000008E-3</v>
      </c>
      <c r="AD11008">
        <v>1.8883559999999999</v>
      </c>
      <c r="AE11008">
        <v>0.56677730000000004</v>
      </c>
      <c r="AF11008">
        <v>340.02030000000002</v>
      </c>
      <c r="AG11008">
        <f>IFERROR(AH11008*0.1, "N/A")</f>
        <v>6.5</v>
      </c>
      <c r="AH11008">
        <v>65</v>
      </c>
      <c r="AI11008">
        <v>205.80250000000001</v>
      </c>
      <c r="AJ11008">
        <v>24.63514</v>
      </c>
      <c r="AK11008">
        <v>54.36486</v>
      </c>
    </row>
    <row r="11009" spans="1:37" x14ac:dyDescent="0.3">
      <c r="A11009">
        <v>11008</v>
      </c>
      <c r="B11009">
        <v>0</v>
      </c>
      <c r="C11009">
        <v>-3.4572500000000002</v>
      </c>
      <c r="D11009">
        <v>10.1403</v>
      </c>
      <c r="E11009">
        <f>-3.45725-10.1403</f>
        <v>-13.59755</v>
      </c>
      <c r="F11009" t="s">
        <v>16474</v>
      </c>
      <c r="G11009" t="s">
        <v>39</v>
      </c>
      <c r="H11009">
        <v>2007</v>
      </c>
      <c r="I11009">
        <v>27.4</v>
      </c>
      <c r="J11009">
        <v>12</v>
      </c>
      <c r="K11009">
        <v>64</v>
      </c>
      <c r="L11009">
        <v>16.38</v>
      </c>
      <c r="M11009">
        <v>37.1</v>
      </c>
      <c r="N11009">
        <v>18.600000000000001</v>
      </c>
      <c r="O11009">
        <v>18.5</v>
      </c>
      <c r="P11009">
        <v>25.6</v>
      </c>
      <c r="Q11009">
        <v>27.1</v>
      </c>
      <c r="R11009">
        <v>29.7</v>
      </c>
      <c r="S11009">
        <v>25.6</v>
      </c>
      <c r="T11009">
        <v>1082</v>
      </c>
      <c r="U11009">
        <v>220</v>
      </c>
      <c r="V11009">
        <v>2</v>
      </c>
      <c r="W11009">
        <v>86</v>
      </c>
      <c r="X11009">
        <v>608</v>
      </c>
      <c r="Y11009">
        <v>14</v>
      </c>
      <c r="Z11009">
        <v>107</v>
      </c>
      <c r="AA11009">
        <v>608</v>
      </c>
      <c r="AB11009">
        <v>5.6701040000000003</v>
      </c>
      <c r="AC11009">
        <v>6.5846470000000004E-2</v>
      </c>
      <c r="AD11009">
        <v>1.81273</v>
      </c>
      <c r="AE11009">
        <v>0.54115860000000005</v>
      </c>
      <c r="AF11009">
        <v>340.59969999999998</v>
      </c>
      <c r="AG11009">
        <f>IFERROR(AH11009*0.1, "N/A")</f>
        <v>6.2908930000000005</v>
      </c>
      <c r="AH11009">
        <v>62.908929999999998</v>
      </c>
      <c r="AI11009">
        <v>107.3629</v>
      </c>
      <c r="AJ11009">
        <v>22.908930000000002</v>
      </c>
      <c r="AK11009">
        <v>55.03436</v>
      </c>
    </row>
    <row r="11010" spans="1:37" x14ac:dyDescent="0.3">
      <c r="A11010">
        <v>11009</v>
      </c>
      <c r="B11010">
        <v>4.2</v>
      </c>
      <c r="C11010">
        <v>-3.4572500000000002</v>
      </c>
      <c r="D11010">
        <v>10.1403</v>
      </c>
      <c r="E11010">
        <f>-3.45725-10.1403</f>
        <v>-13.59755</v>
      </c>
      <c r="F11010" t="s">
        <v>16475</v>
      </c>
      <c r="G11010" t="s">
        <v>37</v>
      </c>
      <c r="H11010">
        <v>2007</v>
      </c>
      <c r="I11010">
        <v>27.4</v>
      </c>
      <c r="J11010">
        <v>12</v>
      </c>
      <c r="K11010">
        <v>64</v>
      </c>
      <c r="L11010">
        <v>16.38</v>
      </c>
      <c r="M11010">
        <v>37.1</v>
      </c>
      <c r="N11010">
        <v>18.600000000000001</v>
      </c>
      <c r="O11010">
        <v>18.5</v>
      </c>
      <c r="P11010">
        <v>25.6</v>
      </c>
      <c r="Q11010">
        <v>27.1</v>
      </c>
      <c r="R11010">
        <v>29.7</v>
      </c>
      <c r="S11010">
        <v>25.6</v>
      </c>
      <c r="T11010">
        <v>1082</v>
      </c>
      <c r="U11010">
        <v>220</v>
      </c>
      <c r="V11010">
        <v>2</v>
      </c>
      <c r="W11010">
        <v>86</v>
      </c>
      <c r="X11010">
        <v>608</v>
      </c>
      <c r="Y11010">
        <v>14</v>
      </c>
      <c r="Z11010">
        <v>107</v>
      </c>
      <c r="AA11010">
        <v>608</v>
      </c>
      <c r="AB11010">
        <v>5.6701040000000003</v>
      </c>
      <c r="AC11010">
        <v>6.5846470000000004E-2</v>
      </c>
      <c r="AD11010">
        <v>1.81273</v>
      </c>
      <c r="AE11010">
        <v>0.54115860000000005</v>
      </c>
      <c r="AF11010">
        <v>340.59969999999998</v>
      </c>
      <c r="AG11010">
        <f>IFERROR(AH11010*0.1, "N/A")</f>
        <v>6.2908930000000005</v>
      </c>
      <c r="AH11010">
        <v>62.908929999999998</v>
      </c>
      <c r="AI11010">
        <v>107.3629</v>
      </c>
      <c r="AJ11010">
        <v>22.908930000000002</v>
      </c>
      <c r="AK11010">
        <v>55.03436</v>
      </c>
    </row>
    <row r="11011" spans="1:37" x14ac:dyDescent="0.3">
      <c r="A11011">
        <v>11010</v>
      </c>
      <c r="B11011">
        <v>50</v>
      </c>
      <c r="C11011">
        <v>-3.14663</v>
      </c>
      <c r="D11011">
        <v>11.769399999999999</v>
      </c>
      <c r="E11011">
        <f>-3.14663-11.7694</f>
        <v>-14.916029999999999</v>
      </c>
      <c r="F11011" t="s">
        <v>16476</v>
      </c>
      <c r="G11011" t="s">
        <v>39</v>
      </c>
      <c r="H11011">
        <v>2007</v>
      </c>
      <c r="I11011">
        <v>28</v>
      </c>
      <c r="J11011">
        <v>13.4</v>
      </c>
      <c r="K11011">
        <v>62</v>
      </c>
      <c r="L11011">
        <v>20.77</v>
      </c>
      <c r="M11011">
        <v>38.5</v>
      </c>
      <c r="N11011">
        <v>16.899999999999999</v>
      </c>
      <c r="O11011">
        <v>21.6</v>
      </c>
      <c r="P11011">
        <v>26.4</v>
      </c>
      <c r="Q11011">
        <v>26.3</v>
      </c>
      <c r="R11011">
        <v>31.1</v>
      </c>
      <c r="S11011">
        <v>26.1</v>
      </c>
      <c r="T11011">
        <v>884</v>
      </c>
      <c r="U11011">
        <v>249</v>
      </c>
      <c r="V11011">
        <v>1</v>
      </c>
      <c r="W11011">
        <v>110</v>
      </c>
      <c r="X11011">
        <v>593</v>
      </c>
      <c r="Y11011">
        <v>5</v>
      </c>
      <c r="Z11011">
        <v>121</v>
      </c>
      <c r="AA11011">
        <v>8</v>
      </c>
      <c r="AB11011">
        <v>8.7600800000000003</v>
      </c>
      <c r="AC11011">
        <v>3.8972260000000002E-2</v>
      </c>
      <c r="AD11011">
        <v>1.59629</v>
      </c>
      <c r="AE11011">
        <v>0.65562900000000002</v>
      </c>
      <c r="AF11011">
        <v>277.7611</v>
      </c>
      <c r="AG11011">
        <f>IFERROR(AH11011*0.1, "N/A")</f>
        <v>6.1737200000000003</v>
      </c>
      <c r="AH11011">
        <v>61.737200000000001</v>
      </c>
      <c r="AI11011">
        <v>203.52610000000001</v>
      </c>
      <c r="AJ11011">
        <v>17.98976</v>
      </c>
      <c r="AK11011">
        <v>54.051189999999998</v>
      </c>
    </row>
    <row r="11012" spans="1:37" x14ac:dyDescent="0.3">
      <c r="A11012">
        <v>11011</v>
      </c>
      <c r="B11012">
        <v>0</v>
      </c>
      <c r="C11012">
        <v>-3.14663</v>
      </c>
      <c r="D11012">
        <v>11.769399999999999</v>
      </c>
      <c r="E11012">
        <f>-3.14663-11.7694</f>
        <v>-14.916029999999999</v>
      </c>
      <c r="F11012" t="s">
        <v>16477</v>
      </c>
      <c r="G11012" t="s">
        <v>37</v>
      </c>
      <c r="H11012">
        <v>2007</v>
      </c>
      <c r="I11012">
        <v>28</v>
      </c>
      <c r="J11012">
        <v>13.4</v>
      </c>
      <c r="K11012">
        <v>62</v>
      </c>
      <c r="L11012">
        <v>20.77</v>
      </c>
      <c r="M11012">
        <v>38.5</v>
      </c>
      <c r="N11012">
        <v>16.899999999999999</v>
      </c>
      <c r="O11012">
        <v>21.6</v>
      </c>
      <c r="P11012">
        <v>26.4</v>
      </c>
      <c r="Q11012">
        <v>26.3</v>
      </c>
      <c r="R11012">
        <v>31.1</v>
      </c>
      <c r="S11012">
        <v>26.1</v>
      </c>
      <c r="T11012">
        <v>884</v>
      </c>
      <c r="U11012">
        <v>249</v>
      </c>
      <c r="V11012">
        <v>1</v>
      </c>
      <c r="W11012">
        <v>110</v>
      </c>
      <c r="X11012">
        <v>593</v>
      </c>
      <c r="Y11012">
        <v>5</v>
      </c>
      <c r="Z11012">
        <v>121</v>
      </c>
      <c r="AA11012">
        <v>8</v>
      </c>
      <c r="AB11012">
        <v>8.7600800000000003</v>
      </c>
      <c r="AC11012">
        <v>3.8972260000000002E-2</v>
      </c>
      <c r="AD11012">
        <v>1.59629</v>
      </c>
      <c r="AE11012">
        <v>0.65562900000000002</v>
      </c>
      <c r="AF11012">
        <v>277.7611</v>
      </c>
      <c r="AG11012">
        <f>IFERROR(AH11012*0.1, "N/A")</f>
        <v>6.1737200000000003</v>
      </c>
      <c r="AH11012">
        <v>61.737200000000001</v>
      </c>
      <c r="AI11012">
        <v>203.52610000000001</v>
      </c>
      <c r="AJ11012">
        <v>17.98976</v>
      </c>
      <c r="AK11012">
        <v>54.051189999999998</v>
      </c>
    </row>
    <row r="11013" spans="1:37" x14ac:dyDescent="0.3">
      <c r="A11013">
        <v>11012</v>
      </c>
      <c r="B11013">
        <v>50</v>
      </c>
      <c r="C11013">
        <v>-2.4128500000000002</v>
      </c>
      <c r="D11013">
        <v>13.843</v>
      </c>
      <c r="E11013">
        <f>-2.41285-13.843</f>
        <v>-16.255849999999999</v>
      </c>
      <c r="F11013" t="s">
        <v>16478</v>
      </c>
      <c r="G11013" t="s">
        <v>39</v>
      </c>
      <c r="H11013">
        <v>2007</v>
      </c>
      <c r="I11013">
        <v>28.3</v>
      </c>
      <c r="J11013">
        <v>14</v>
      </c>
      <c r="K11013">
        <v>58</v>
      </c>
      <c r="L11013">
        <v>27.62</v>
      </c>
      <c r="M11013">
        <v>39.700000000000003</v>
      </c>
      <c r="N11013">
        <v>15.6</v>
      </c>
      <c r="O11013">
        <v>24.1</v>
      </c>
      <c r="P11013">
        <v>27.6</v>
      </c>
      <c r="Q11013">
        <v>25</v>
      </c>
      <c r="R11013">
        <v>32</v>
      </c>
      <c r="S11013">
        <v>24.8</v>
      </c>
      <c r="T11013">
        <v>542</v>
      </c>
      <c r="U11013">
        <v>172</v>
      </c>
      <c r="V11013">
        <v>0</v>
      </c>
      <c r="W11013">
        <v>128</v>
      </c>
      <c r="X11013">
        <v>416</v>
      </c>
      <c r="Y11013">
        <v>0</v>
      </c>
      <c r="Z11013">
        <v>100</v>
      </c>
      <c r="AA11013">
        <v>0</v>
      </c>
      <c r="AB11013">
        <v>1.0939399999999999</v>
      </c>
      <c r="AC11013">
        <v>0.46924009999999999</v>
      </c>
      <c r="AD11013">
        <v>1.3710709999999999</v>
      </c>
      <c r="AE11013">
        <v>0.42255189999999998</v>
      </c>
      <c r="AF11013">
        <v>356.702</v>
      </c>
      <c r="AG11013">
        <f>IFERROR(AH11013*0.1, "N/A")</f>
        <v>6.7484849999999996</v>
      </c>
      <c r="AH11013">
        <v>67.484849999999994</v>
      </c>
      <c r="AI11013">
        <v>121.05500000000001</v>
      </c>
      <c r="AJ11013">
        <v>19</v>
      </c>
      <c r="AK11013">
        <v>63.424239999999998</v>
      </c>
    </row>
    <row r="11014" spans="1:37" x14ac:dyDescent="0.3">
      <c r="A11014">
        <v>11013</v>
      </c>
      <c r="B11014">
        <v>0</v>
      </c>
      <c r="C11014">
        <v>-2.4128500000000002</v>
      </c>
      <c r="D11014">
        <v>13.843</v>
      </c>
      <c r="E11014">
        <f>-2.41285-13.843</f>
        <v>-16.255849999999999</v>
      </c>
      <c r="F11014" t="s">
        <v>16479</v>
      </c>
      <c r="G11014" t="s">
        <v>37</v>
      </c>
      <c r="H11014">
        <v>2007</v>
      </c>
      <c r="I11014">
        <v>28.3</v>
      </c>
      <c r="J11014">
        <v>14</v>
      </c>
      <c r="K11014">
        <v>58</v>
      </c>
      <c r="L11014">
        <v>27.62</v>
      </c>
      <c r="M11014">
        <v>39.700000000000003</v>
      </c>
      <c r="N11014">
        <v>15.6</v>
      </c>
      <c r="O11014">
        <v>24.1</v>
      </c>
      <c r="P11014">
        <v>27.6</v>
      </c>
      <c r="Q11014">
        <v>25</v>
      </c>
      <c r="R11014">
        <v>32</v>
      </c>
      <c r="S11014">
        <v>24.8</v>
      </c>
      <c r="T11014">
        <v>542</v>
      </c>
      <c r="U11014">
        <v>172</v>
      </c>
      <c r="V11014">
        <v>0</v>
      </c>
      <c r="W11014">
        <v>128</v>
      </c>
      <c r="X11014">
        <v>416</v>
      </c>
      <c r="Y11014">
        <v>0</v>
      </c>
      <c r="Z11014">
        <v>100</v>
      </c>
      <c r="AA11014">
        <v>0</v>
      </c>
      <c r="AB11014">
        <v>1.0939399999999999</v>
      </c>
      <c r="AC11014">
        <v>0.46924009999999999</v>
      </c>
      <c r="AD11014">
        <v>1.3710709999999999</v>
      </c>
      <c r="AE11014">
        <v>0.42255189999999998</v>
      </c>
      <c r="AF11014">
        <v>356.702</v>
      </c>
      <c r="AG11014">
        <f>IFERROR(AH11014*0.1, "N/A")</f>
        <v>6.7484849999999996</v>
      </c>
      <c r="AH11014">
        <v>67.484849999999994</v>
      </c>
      <c r="AI11014">
        <v>121.05500000000001</v>
      </c>
      <c r="AJ11014">
        <v>19</v>
      </c>
      <c r="AK11014">
        <v>63.424239999999998</v>
      </c>
    </row>
    <row r="11015" spans="1:37" x14ac:dyDescent="0.3">
      <c r="A11015">
        <v>11014</v>
      </c>
      <c r="B11015">
        <v>46.7</v>
      </c>
      <c r="C11015">
        <v>-2.3513500000000001</v>
      </c>
      <c r="D11015">
        <v>13.1128</v>
      </c>
      <c r="E11015">
        <f>-2.35135-13.1128</f>
        <v>-15.46415</v>
      </c>
      <c r="F11015" t="s">
        <v>16480</v>
      </c>
      <c r="G11015" t="s">
        <v>39</v>
      </c>
      <c r="H11015">
        <v>2007</v>
      </c>
      <c r="I11015">
        <v>28.3</v>
      </c>
      <c r="J11015">
        <v>13.8</v>
      </c>
      <c r="K11015">
        <v>62</v>
      </c>
      <c r="L11015">
        <v>21.39</v>
      </c>
      <c r="M11015">
        <v>39.299999999999997</v>
      </c>
      <c r="N11015">
        <v>17.2</v>
      </c>
      <c r="O11015">
        <v>22.1</v>
      </c>
      <c r="P11015">
        <v>26.8</v>
      </c>
      <c r="Q11015">
        <v>26.2</v>
      </c>
      <c r="R11015">
        <v>31.4</v>
      </c>
      <c r="S11015">
        <v>26.2</v>
      </c>
      <c r="T11015">
        <v>622</v>
      </c>
      <c r="U11015">
        <v>183</v>
      </c>
      <c r="V11015">
        <v>0</v>
      </c>
      <c r="W11015">
        <v>123</v>
      </c>
      <c r="X11015">
        <v>452</v>
      </c>
      <c r="Y11015">
        <v>1</v>
      </c>
      <c r="Z11015">
        <v>57</v>
      </c>
      <c r="AA11015">
        <v>1</v>
      </c>
      <c r="AB11015">
        <v>2.481061</v>
      </c>
      <c r="AC11015">
        <v>1.7657519999999999E-2</v>
      </c>
      <c r="AD11015">
        <v>0.835256</v>
      </c>
      <c r="AE11015">
        <v>0.65485079999999996</v>
      </c>
      <c r="AF11015">
        <v>303.39699999999999</v>
      </c>
      <c r="AG11015">
        <f>IFERROR(AH11015*0.1, "N/A")</f>
        <v>6.1288850000000004</v>
      </c>
      <c r="AH11015">
        <v>61.288849999999996</v>
      </c>
      <c r="AI11015">
        <v>160.80009999999999</v>
      </c>
      <c r="AJ11015">
        <v>28.65203</v>
      </c>
      <c r="AK11015">
        <v>49.48818</v>
      </c>
    </row>
    <row r="11016" spans="1:37" x14ac:dyDescent="0.3">
      <c r="A11016">
        <v>11015</v>
      </c>
      <c r="B11016">
        <v>0</v>
      </c>
      <c r="C11016">
        <v>-2.3513500000000001</v>
      </c>
      <c r="D11016">
        <v>13.1128</v>
      </c>
      <c r="E11016">
        <f>-2.35135-13.1128</f>
        <v>-15.46415</v>
      </c>
      <c r="F11016" t="s">
        <v>16481</v>
      </c>
      <c r="G11016" t="s">
        <v>37</v>
      </c>
      <c r="H11016">
        <v>2007</v>
      </c>
      <c r="I11016">
        <v>28.3</v>
      </c>
      <c r="J11016">
        <v>13.8</v>
      </c>
      <c r="K11016">
        <v>62</v>
      </c>
      <c r="L11016">
        <v>21.39</v>
      </c>
      <c r="M11016">
        <v>39.299999999999997</v>
      </c>
      <c r="N11016">
        <v>17.2</v>
      </c>
      <c r="O11016">
        <v>22.1</v>
      </c>
      <c r="P11016">
        <v>26.8</v>
      </c>
      <c r="Q11016">
        <v>26.2</v>
      </c>
      <c r="R11016">
        <v>31.4</v>
      </c>
      <c r="S11016">
        <v>26.2</v>
      </c>
      <c r="T11016">
        <v>622</v>
      </c>
      <c r="U11016">
        <v>183</v>
      </c>
      <c r="V11016">
        <v>0</v>
      </c>
      <c r="W11016">
        <v>123</v>
      </c>
      <c r="X11016">
        <v>452</v>
      </c>
      <c r="Y11016">
        <v>1</v>
      </c>
      <c r="Z11016">
        <v>57</v>
      </c>
      <c r="AA11016">
        <v>1</v>
      </c>
      <c r="AB11016">
        <v>2.481061</v>
      </c>
      <c r="AC11016">
        <v>1.7657519999999999E-2</v>
      </c>
      <c r="AD11016">
        <v>0.835256</v>
      </c>
      <c r="AE11016">
        <v>0.65485079999999996</v>
      </c>
      <c r="AF11016">
        <v>303.39699999999999</v>
      </c>
      <c r="AG11016">
        <f>IFERROR(AH11016*0.1, "N/A")</f>
        <v>6.1288850000000004</v>
      </c>
      <c r="AH11016">
        <v>61.288849999999996</v>
      </c>
      <c r="AI11016">
        <v>160.80009999999999</v>
      </c>
      <c r="AJ11016">
        <v>28.65203</v>
      </c>
      <c r="AK11016">
        <v>49.48818</v>
      </c>
    </row>
    <row r="11017" spans="1:37" x14ac:dyDescent="0.3">
      <c r="A11017">
        <v>11016</v>
      </c>
      <c r="B11017">
        <v>80</v>
      </c>
      <c r="C11017">
        <v>-0.46322999999999998</v>
      </c>
      <c r="D11017">
        <v>14.675800000000001</v>
      </c>
      <c r="E11017">
        <f>-0.46323-14.6758</f>
        <v>-15.13903</v>
      </c>
      <c r="F11017" t="s">
        <v>16482</v>
      </c>
      <c r="G11017" t="s">
        <v>39</v>
      </c>
      <c r="H11017">
        <v>2007</v>
      </c>
      <c r="I11017">
        <v>29</v>
      </c>
      <c r="J11017">
        <v>14.7</v>
      </c>
      <c r="K11017">
        <v>56</v>
      </c>
      <c r="L11017">
        <v>31.67</v>
      </c>
      <c r="M11017">
        <v>40.799999999999997</v>
      </c>
      <c r="N11017">
        <v>14.9</v>
      </c>
      <c r="O11017">
        <v>25.9</v>
      </c>
      <c r="P11017">
        <v>29.4</v>
      </c>
      <c r="Q11017">
        <v>25</v>
      </c>
      <c r="R11017">
        <v>33</v>
      </c>
      <c r="S11017">
        <v>24.5</v>
      </c>
      <c r="T11017">
        <v>359</v>
      </c>
      <c r="U11017">
        <v>129</v>
      </c>
      <c r="V11017">
        <v>0</v>
      </c>
      <c r="W11017">
        <v>141</v>
      </c>
      <c r="X11017">
        <v>287</v>
      </c>
      <c r="Y11017">
        <v>0</v>
      </c>
      <c r="Z11017">
        <v>61</v>
      </c>
      <c r="AA11017">
        <v>0</v>
      </c>
      <c r="AB11017">
        <v>3.4597910000000001</v>
      </c>
      <c r="AC11017">
        <v>2.4559560000000001E-2</v>
      </c>
      <c r="AD11017">
        <v>1.1601919999999999</v>
      </c>
      <c r="AE11017">
        <v>0.2752095</v>
      </c>
      <c r="AF11017">
        <v>295.28480000000002</v>
      </c>
      <c r="AG11017">
        <f>IFERROR(AH11017*0.1, "N/A")</f>
        <v>6.6938019999999998</v>
      </c>
      <c r="AH11017">
        <v>66.938019999999995</v>
      </c>
      <c r="AI11017">
        <v>232.43899999999999</v>
      </c>
      <c r="AJ11017">
        <v>16.938020000000002</v>
      </c>
      <c r="AK11017">
        <v>68.938019999999995</v>
      </c>
    </row>
    <row r="11018" spans="1:37" x14ac:dyDescent="0.3">
      <c r="A11018">
        <v>11017</v>
      </c>
      <c r="B11018">
        <v>0</v>
      </c>
      <c r="C11018">
        <v>-0.46322999999999998</v>
      </c>
      <c r="D11018">
        <v>14.675800000000001</v>
      </c>
      <c r="E11018">
        <f>-0.46323-14.6758</f>
        <v>-15.13903</v>
      </c>
      <c r="F11018" t="s">
        <v>16483</v>
      </c>
      <c r="G11018" t="s">
        <v>37</v>
      </c>
      <c r="H11018">
        <v>2007</v>
      </c>
      <c r="I11018">
        <v>29</v>
      </c>
      <c r="J11018">
        <v>14.7</v>
      </c>
      <c r="K11018">
        <v>56</v>
      </c>
      <c r="L11018">
        <v>31.67</v>
      </c>
      <c r="M11018">
        <v>40.799999999999997</v>
      </c>
      <c r="N11018">
        <v>14.9</v>
      </c>
      <c r="O11018">
        <v>25.9</v>
      </c>
      <c r="P11018">
        <v>29.4</v>
      </c>
      <c r="Q11018">
        <v>25</v>
      </c>
      <c r="R11018">
        <v>33</v>
      </c>
      <c r="S11018">
        <v>24.5</v>
      </c>
      <c r="T11018">
        <v>359</v>
      </c>
      <c r="U11018">
        <v>129</v>
      </c>
      <c r="V11018">
        <v>0</v>
      </c>
      <c r="W11018">
        <v>141</v>
      </c>
      <c r="X11018">
        <v>287</v>
      </c>
      <c r="Y11018">
        <v>0</v>
      </c>
      <c r="Z11018">
        <v>61</v>
      </c>
      <c r="AA11018">
        <v>0</v>
      </c>
      <c r="AB11018">
        <v>3.4597910000000001</v>
      </c>
      <c r="AC11018">
        <v>2.4559560000000001E-2</v>
      </c>
      <c r="AD11018">
        <v>1.1601919999999999</v>
      </c>
      <c r="AE11018">
        <v>0.2752095</v>
      </c>
      <c r="AF11018">
        <v>295.28480000000002</v>
      </c>
      <c r="AG11018">
        <f>IFERROR(AH11018*0.1, "N/A")</f>
        <v>6.6938019999999998</v>
      </c>
      <c r="AH11018">
        <v>66.938019999999995</v>
      </c>
      <c r="AI11018">
        <v>232.43899999999999</v>
      </c>
      <c r="AJ11018">
        <v>16.938020000000002</v>
      </c>
      <c r="AK11018">
        <v>68.938019999999995</v>
      </c>
    </row>
    <row r="11019" spans="1:37" x14ac:dyDescent="0.3">
      <c r="A11019">
        <v>11018</v>
      </c>
      <c r="B11019">
        <v>4.3</v>
      </c>
      <c r="C11019">
        <v>-3.2403300000000002</v>
      </c>
      <c r="D11019">
        <v>13.225099999999999</v>
      </c>
      <c r="E11019">
        <f>-3.24033-13.2251</f>
        <v>-16.465429999999998</v>
      </c>
      <c r="F11019" t="s">
        <v>16484</v>
      </c>
      <c r="G11019" t="s">
        <v>39</v>
      </c>
      <c r="H11019">
        <v>2007</v>
      </c>
      <c r="I11019">
        <v>28.7</v>
      </c>
      <c r="J11019">
        <v>13.2</v>
      </c>
      <c r="K11019">
        <v>59</v>
      </c>
      <c r="L11019">
        <v>23.996020000000001</v>
      </c>
      <c r="M11019">
        <v>39.700000000000003</v>
      </c>
      <c r="N11019">
        <v>17.5</v>
      </c>
      <c r="O11019">
        <v>22.2</v>
      </c>
      <c r="P11019">
        <v>27.3</v>
      </c>
      <c r="Q11019">
        <v>27.76003</v>
      </c>
      <c r="R11019">
        <v>31.9</v>
      </c>
      <c r="S11019">
        <v>26</v>
      </c>
      <c r="T11019">
        <v>610.79930000000002</v>
      </c>
      <c r="U11019">
        <v>189</v>
      </c>
      <c r="V11019">
        <v>0</v>
      </c>
      <c r="W11019">
        <v>126.2007</v>
      </c>
      <c r="X11019">
        <v>456.3997</v>
      </c>
      <c r="Y11019">
        <v>1</v>
      </c>
      <c r="Z11019">
        <v>45.399659999999997</v>
      </c>
      <c r="AA11019">
        <v>1</v>
      </c>
      <c r="AB11019">
        <v>2.4237760000000002</v>
      </c>
      <c r="AC11019">
        <v>0.1436277</v>
      </c>
      <c r="AD11019">
        <v>1.430471</v>
      </c>
      <c r="AE11019">
        <v>0.53286219999999995</v>
      </c>
      <c r="AF11019">
        <v>269.57339999999999</v>
      </c>
      <c r="AG11019">
        <f>IFERROR(AH11019*0.1, "N/A")</f>
        <v>6.3013490000000001</v>
      </c>
      <c r="AH11019">
        <v>63.013489999999997</v>
      </c>
      <c r="AI11019">
        <v>162.94579999999999</v>
      </c>
      <c r="AJ11019">
        <v>23</v>
      </c>
      <c r="AK11019">
        <v>55.986510000000003</v>
      </c>
    </row>
    <row r="11020" spans="1:37" x14ac:dyDescent="0.3">
      <c r="A11020">
        <v>11019</v>
      </c>
      <c r="B11020">
        <v>0</v>
      </c>
      <c r="C11020">
        <v>-3.2403300000000002</v>
      </c>
      <c r="D11020">
        <v>13.225099999999999</v>
      </c>
      <c r="E11020">
        <f>-3.24033-13.2251</f>
        <v>-16.465429999999998</v>
      </c>
      <c r="F11020" t="s">
        <v>16485</v>
      </c>
      <c r="G11020" t="s">
        <v>37</v>
      </c>
      <c r="H11020">
        <v>2007</v>
      </c>
      <c r="I11020">
        <v>28.7</v>
      </c>
      <c r="J11020">
        <v>13.2</v>
      </c>
      <c r="K11020">
        <v>59</v>
      </c>
      <c r="L11020">
        <v>23.996020000000001</v>
      </c>
      <c r="M11020">
        <v>39.700000000000003</v>
      </c>
      <c r="N11020">
        <v>17.5</v>
      </c>
      <c r="O11020">
        <v>22.2</v>
      </c>
      <c r="P11020">
        <v>27.3</v>
      </c>
      <c r="Q11020">
        <v>27.76003</v>
      </c>
      <c r="R11020">
        <v>31.9</v>
      </c>
      <c r="S11020">
        <v>26</v>
      </c>
      <c r="T11020">
        <v>610.79930000000002</v>
      </c>
      <c r="U11020">
        <v>189</v>
      </c>
      <c r="V11020">
        <v>0</v>
      </c>
      <c r="W11020">
        <v>126.2007</v>
      </c>
      <c r="X11020">
        <v>456.3997</v>
      </c>
      <c r="Y11020">
        <v>1</v>
      </c>
      <c r="Z11020">
        <v>45.399659999999997</v>
      </c>
      <c r="AA11020">
        <v>1</v>
      </c>
      <c r="AB11020">
        <v>2.4237760000000002</v>
      </c>
      <c r="AC11020">
        <v>0.1436277</v>
      </c>
      <c r="AD11020">
        <v>1.430471</v>
      </c>
      <c r="AE11020">
        <v>0.53286219999999995</v>
      </c>
      <c r="AF11020">
        <v>269.57339999999999</v>
      </c>
      <c r="AG11020">
        <f>IFERROR(AH11020*0.1, "N/A")</f>
        <v>6.3013490000000001</v>
      </c>
      <c r="AH11020">
        <v>63.013489999999997</v>
      </c>
      <c r="AI11020">
        <v>162.94579999999999</v>
      </c>
      <c r="AJ11020">
        <v>23</v>
      </c>
      <c r="AK11020">
        <v>55.986510000000003</v>
      </c>
    </row>
    <row r="11021" spans="1:37" x14ac:dyDescent="0.3">
      <c r="A11021">
        <v>11020</v>
      </c>
      <c r="B11021">
        <v>100</v>
      </c>
      <c r="C11021">
        <v>-3.5799999999999998E-2</v>
      </c>
      <c r="D11021">
        <v>13.994</v>
      </c>
      <c r="E11021">
        <f>-0.0358-13.994</f>
        <v>-14.0298</v>
      </c>
      <c r="F11021" t="s">
        <v>16486</v>
      </c>
      <c r="G11021" t="s">
        <v>39</v>
      </c>
      <c r="H11021">
        <v>2007</v>
      </c>
      <c r="I11021">
        <v>29.1</v>
      </c>
      <c r="J11021">
        <v>15.3</v>
      </c>
      <c r="K11021">
        <v>56</v>
      </c>
      <c r="L11021">
        <v>31.91</v>
      </c>
      <c r="M11021">
        <v>41.1</v>
      </c>
      <c r="N11021">
        <v>14.2</v>
      </c>
      <c r="O11021">
        <v>26.9</v>
      </c>
      <c r="P11021">
        <v>29.1</v>
      </c>
      <c r="Q11021">
        <v>25</v>
      </c>
      <c r="R11021">
        <v>33.1</v>
      </c>
      <c r="S11021">
        <v>24.6</v>
      </c>
      <c r="T11021">
        <v>477</v>
      </c>
      <c r="U11021">
        <v>166</v>
      </c>
      <c r="V11021">
        <v>0</v>
      </c>
      <c r="W11021">
        <v>136</v>
      </c>
      <c r="X11021">
        <v>367</v>
      </c>
      <c r="Y11021">
        <v>0</v>
      </c>
      <c r="Z11021">
        <v>95</v>
      </c>
      <c r="AA11021">
        <v>0</v>
      </c>
      <c r="AB11021">
        <v>1.191743</v>
      </c>
      <c r="AC11021">
        <v>8.2990479999999998E-3</v>
      </c>
      <c r="AD11021">
        <v>1.2378769999999999</v>
      </c>
      <c r="AE11021">
        <v>0.36493199999999998</v>
      </c>
      <c r="AF11021">
        <v>278.81619999999998</v>
      </c>
      <c r="AG11021">
        <f>IFERROR(AH11021*0.1, "N/A")</f>
        <v>6.7</v>
      </c>
      <c r="AH11021">
        <v>67</v>
      </c>
      <c r="AI11021">
        <v>73.837860000000006</v>
      </c>
      <c r="AJ11021">
        <v>19.00337</v>
      </c>
      <c r="AK11021">
        <v>66.996629999999996</v>
      </c>
    </row>
    <row r="11022" spans="1:37" x14ac:dyDescent="0.3">
      <c r="A11022">
        <v>11021</v>
      </c>
      <c r="B11022">
        <v>0</v>
      </c>
      <c r="C11022">
        <v>-3.5799999999999998E-2</v>
      </c>
      <c r="D11022">
        <v>13.994</v>
      </c>
      <c r="E11022">
        <f>-0.0358-13.994</f>
        <v>-14.0298</v>
      </c>
      <c r="F11022" t="s">
        <v>16487</v>
      </c>
      <c r="G11022" t="s">
        <v>37</v>
      </c>
      <c r="H11022">
        <v>2007</v>
      </c>
      <c r="I11022">
        <v>29.1</v>
      </c>
      <c r="J11022">
        <v>15.3</v>
      </c>
      <c r="K11022">
        <v>56</v>
      </c>
      <c r="L11022">
        <v>31.91</v>
      </c>
      <c r="M11022">
        <v>41.1</v>
      </c>
      <c r="N11022">
        <v>14.2</v>
      </c>
      <c r="O11022">
        <v>26.9</v>
      </c>
      <c r="P11022">
        <v>29.1</v>
      </c>
      <c r="Q11022">
        <v>25</v>
      </c>
      <c r="R11022">
        <v>33.1</v>
      </c>
      <c r="S11022">
        <v>24.6</v>
      </c>
      <c r="T11022">
        <v>477</v>
      </c>
      <c r="U11022">
        <v>166</v>
      </c>
      <c r="V11022">
        <v>0</v>
      </c>
      <c r="W11022">
        <v>136</v>
      </c>
      <c r="X11022">
        <v>367</v>
      </c>
      <c r="Y11022">
        <v>0</v>
      </c>
      <c r="Z11022">
        <v>95</v>
      </c>
      <c r="AA11022">
        <v>0</v>
      </c>
      <c r="AB11022">
        <v>1.191743</v>
      </c>
      <c r="AC11022">
        <v>8.2990479999999998E-3</v>
      </c>
      <c r="AD11022">
        <v>1.2378769999999999</v>
      </c>
      <c r="AE11022">
        <v>0.36493199999999998</v>
      </c>
      <c r="AF11022">
        <v>278.81619999999998</v>
      </c>
      <c r="AG11022">
        <f>IFERROR(AH11022*0.1, "N/A")</f>
        <v>6.7</v>
      </c>
      <c r="AH11022">
        <v>67</v>
      </c>
      <c r="AI11022">
        <v>73.837860000000006</v>
      </c>
      <c r="AJ11022">
        <v>19.00337</v>
      </c>
      <c r="AK11022">
        <v>66.996629999999996</v>
      </c>
    </row>
    <row r="11023" spans="1:37" x14ac:dyDescent="0.3">
      <c r="A11023">
        <v>11022</v>
      </c>
      <c r="B11023">
        <v>42.9</v>
      </c>
      <c r="C11023">
        <v>-3.1368800000000001</v>
      </c>
      <c r="D11023">
        <v>11.7563</v>
      </c>
      <c r="E11023">
        <f>-3.13688-11.7563</f>
        <v>-14.893179999999999</v>
      </c>
      <c r="F11023" t="s">
        <v>16488</v>
      </c>
      <c r="G11023" t="s">
        <v>39</v>
      </c>
      <c r="H11023">
        <v>2007</v>
      </c>
      <c r="I11023">
        <v>28</v>
      </c>
      <c r="J11023">
        <v>13.4</v>
      </c>
      <c r="K11023">
        <v>62</v>
      </c>
      <c r="L11023">
        <v>20.66</v>
      </c>
      <c r="M11023">
        <v>38.4</v>
      </c>
      <c r="N11023">
        <v>16.899999999999999</v>
      </c>
      <c r="O11023">
        <v>21.5</v>
      </c>
      <c r="P11023">
        <v>26.4</v>
      </c>
      <c r="Q11023">
        <v>26.3</v>
      </c>
      <c r="R11023">
        <v>31.1</v>
      </c>
      <c r="S11023">
        <v>26</v>
      </c>
      <c r="T11023">
        <v>887</v>
      </c>
      <c r="U11023">
        <v>250</v>
      </c>
      <c r="V11023">
        <v>1</v>
      </c>
      <c r="W11023">
        <v>110</v>
      </c>
      <c r="X11023">
        <v>595</v>
      </c>
      <c r="Y11023">
        <v>5</v>
      </c>
      <c r="Z11023">
        <v>122</v>
      </c>
      <c r="AA11023">
        <v>8</v>
      </c>
      <c r="AB11023">
        <v>5.2646249999999997</v>
      </c>
      <c r="AC11023">
        <v>2.4901530000000002E-2</v>
      </c>
      <c r="AD11023">
        <v>2.884849</v>
      </c>
      <c r="AE11023">
        <v>0.61645289999999997</v>
      </c>
      <c r="AF11023">
        <v>276.41539999999998</v>
      </c>
      <c r="AG11023">
        <f>IFERROR(AH11023*0.1, "N/A")</f>
        <v>6.2</v>
      </c>
      <c r="AH11023">
        <v>62</v>
      </c>
      <c r="AI11023">
        <v>157.49510000000001</v>
      </c>
      <c r="AJ11023">
        <v>22</v>
      </c>
      <c r="AK11023">
        <v>51</v>
      </c>
    </row>
    <row r="11024" spans="1:37" x14ac:dyDescent="0.3">
      <c r="A11024">
        <v>11023</v>
      </c>
      <c r="B11024">
        <v>0</v>
      </c>
      <c r="C11024">
        <v>-3.1368800000000001</v>
      </c>
      <c r="D11024">
        <v>11.7563</v>
      </c>
      <c r="E11024">
        <f>-3.13688-11.7563</f>
        <v>-14.893179999999999</v>
      </c>
      <c r="F11024" t="s">
        <v>16489</v>
      </c>
      <c r="G11024" t="s">
        <v>37</v>
      </c>
      <c r="H11024">
        <v>2007</v>
      </c>
      <c r="I11024">
        <v>28</v>
      </c>
      <c r="J11024">
        <v>13.4</v>
      </c>
      <c r="K11024">
        <v>62</v>
      </c>
      <c r="L11024">
        <v>20.66</v>
      </c>
      <c r="M11024">
        <v>38.4</v>
      </c>
      <c r="N11024">
        <v>16.899999999999999</v>
      </c>
      <c r="O11024">
        <v>21.5</v>
      </c>
      <c r="P11024">
        <v>26.4</v>
      </c>
      <c r="Q11024">
        <v>26.3</v>
      </c>
      <c r="R11024">
        <v>31.1</v>
      </c>
      <c r="S11024">
        <v>26</v>
      </c>
      <c r="T11024">
        <v>887</v>
      </c>
      <c r="U11024">
        <v>250</v>
      </c>
      <c r="V11024">
        <v>1</v>
      </c>
      <c r="W11024">
        <v>110</v>
      </c>
      <c r="X11024">
        <v>595</v>
      </c>
      <c r="Y11024">
        <v>5</v>
      </c>
      <c r="Z11024">
        <v>122</v>
      </c>
      <c r="AA11024">
        <v>8</v>
      </c>
      <c r="AB11024">
        <v>5.2646249999999997</v>
      </c>
      <c r="AC11024">
        <v>2.4901530000000002E-2</v>
      </c>
      <c r="AD11024">
        <v>2.884849</v>
      </c>
      <c r="AE11024">
        <v>0.61645289999999997</v>
      </c>
      <c r="AF11024">
        <v>276.41539999999998</v>
      </c>
      <c r="AG11024">
        <f>IFERROR(AH11024*0.1, "N/A")</f>
        <v>6.2</v>
      </c>
      <c r="AH11024">
        <v>62</v>
      </c>
      <c r="AI11024">
        <v>157.49510000000001</v>
      </c>
      <c r="AJ11024">
        <v>22</v>
      </c>
      <c r="AK11024">
        <v>51</v>
      </c>
    </row>
    <row r="11025" spans="1:37" x14ac:dyDescent="0.3">
      <c r="A11025">
        <v>11024</v>
      </c>
      <c r="B11025">
        <v>13.5</v>
      </c>
      <c r="C11025">
        <v>-1.1666700000000001</v>
      </c>
      <c r="D11025">
        <v>13.1167</v>
      </c>
      <c r="E11025">
        <f>-1.16667-13.1167</f>
        <v>-14.28337</v>
      </c>
      <c r="F11025" t="s">
        <v>16490</v>
      </c>
      <c r="G11025" t="s">
        <v>39</v>
      </c>
      <c r="H11025">
        <v>1982</v>
      </c>
      <c r="I11025">
        <v>28.124410000000001</v>
      </c>
      <c r="J11025">
        <v>13.3</v>
      </c>
      <c r="K11025">
        <v>59</v>
      </c>
      <c r="L11025">
        <v>23.68234</v>
      </c>
      <c r="M11025">
        <v>39.187460000000002</v>
      </c>
      <c r="N11025">
        <v>16.687460000000002</v>
      </c>
      <c r="O11025">
        <v>22.5</v>
      </c>
      <c r="P11025">
        <v>26.811859999999999</v>
      </c>
      <c r="Q11025">
        <v>25.6</v>
      </c>
      <c r="R11025">
        <v>31.3</v>
      </c>
      <c r="S11025">
        <v>25.5</v>
      </c>
      <c r="T11025">
        <v>639.29319999999996</v>
      </c>
      <c r="U11025">
        <v>203.12540000000001</v>
      </c>
      <c r="V11025">
        <v>0</v>
      </c>
      <c r="W11025">
        <v>124.1254</v>
      </c>
      <c r="X11025">
        <v>465.29320000000001</v>
      </c>
      <c r="Y11025">
        <v>0</v>
      </c>
      <c r="Z11025">
        <v>58</v>
      </c>
      <c r="AA11025">
        <v>0</v>
      </c>
      <c r="AB11025">
        <v>8.653715</v>
      </c>
      <c r="AC11025">
        <v>4.4906849999999998E-2</v>
      </c>
      <c r="AD11025">
        <v>1.9310320000000001</v>
      </c>
      <c r="AE11025">
        <v>0.3134805</v>
      </c>
      <c r="AF11025">
        <v>310.59660000000002</v>
      </c>
      <c r="AG11025">
        <f>IFERROR(AH11025*0.1, "N/A")</f>
        <v>6.5854240000000006</v>
      </c>
      <c r="AH11025">
        <v>65.854240000000004</v>
      </c>
      <c r="AI11025">
        <v>226.4624</v>
      </c>
      <c r="AJ11025">
        <v>25</v>
      </c>
      <c r="AK11025">
        <v>55</v>
      </c>
    </row>
    <row r="11026" spans="1:37" x14ac:dyDescent="0.3">
      <c r="A11026">
        <v>11025</v>
      </c>
      <c r="B11026">
        <v>10</v>
      </c>
      <c r="C11026">
        <v>-1.1000000000000001</v>
      </c>
      <c r="D11026">
        <v>13.0167</v>
      </c>
      <c r="E11026">
        <f>-1.1-13.0167</f>
        <v>-14.1167</v>
      </c>
      <c r="F11026" t="s">
        <v>16491</v>
      </c>
      <c r="G11026" t="s">
        <v>39</v>
      </c>
      <c r="H11026">
        <v>1982</v>
      </c>
      <c r="I11026">
        <v>28.079730000000001</v>
      </c>
      <c r="J11026">
        <v>13.3</v>
      </c>
      <c r="K11026">
        <v>59</v>
      </c>
      <c r="L11026">
        <v>23.599260000000001</v>
      </c>
      <c r="M11026">
        <v>39.089860000000002</v>
      </c>
      <c r="N11026">
        <v>16.689869999999999</v>
      </c>
      <c r="O11026">
        <v>22.4</v>
      </c>
      <c r="P11026">
        <v>26.679729999999999</v>
      </c>
      <c r="Q11026">
        <v>25.589870000000001</v>
      </c>
      <c r="R11026">
        <v>31.229050000000001</v>
      </c>
      <c r="S11026">
        <v>25.48986</v>
      </c>
      <c r="T11026">
        <v>656.87840000000006</v>
      </c>
      <c r="U11026">
        <v>208</v>
      </c>
      <c r="V11026">
        <v>0</v>
      </c>
      <c r="W11026">
        <v>124.79730000000001</v>
      </c>
      <c r="X11026">
        <v>476.2432</v>
      </c>
      <c r="Y11026">
        <v>0</v>
      </c>
      <c r="Z11026">
        <v>59.63514</v>
      </c>
      <c r="AA11026">
        <v>0</v>
      </c>
      <c r="AB11026">
        <v>13.053699999999999</v>
      </c>
      <c r="AC11026">
        <v>6.2887209999999999E-2</v>
      </c>
      <c r="AD11026">
        <v>1.1140680000000001</v>
      </c>
      <c r="AE11026">
        <v>0.3060195</v>
      </c>
      <c r="AF11026">
        <v>317.01010000000002</v>
      </c>
      <c r="AG11026">
        <f>IFERROR(AH11026*0.1, "N/A")</f>
        <v>6.884291000000001</v>
      </c>
      <c r="AH11026">
        <v>68.842910000000003</v>
      </c>
      <c r="AI11026">
        <v>162.1626</v>
      </c>
      <c r="AJ11026">
        <v>23.62838</v>
      </c>
      <c r="AK11026">
        <v>58.07264</v>
      </c>
    </row>
    <row r="11027" spans="1:37" x14ac:dyDescent="0.3">
      <c r="A11027">
        <v>11026</v>
      </c>
      <c r="B11027">
        <v>32.5</v>
      </c>
      <c r="C11027">
        <v>-0.95</v>
      </c>
      <c r="D11027">
        <v>13.183299999999999</v>
      </c>
      <c r="E11027">
        <f>-0.95-13.1833</f>
        <v>-14.133299999999998</v>
      </c>
      <c r="F11027" t="s">
        <v>16492</v>
      </c>
      <c r="G11027" t="s">
        <v>39</v>
      </c>
      <c r="H11027">
        <v>1982</v>
      </c>
      <c r="I11027">
        <v>28.1</v>
      </c>
      <c r="J11027">
        <v>13.5</v>
      </c>
      <c r="K11027">
        <v>59</v>
      </c>
      <c r="L11027">
        <v>23.928190000000001</v>
      </c>
      <c r="M11027">
        <v>39.200000000000003</v>
      </c>
      <c r="N11027">
        <v>16.415400000000002</v>
      </c>
      <c r="O11027">
        <v>22.784600000000001</v>
      </c>
      <c r="P11027">
        <v>26.9</v>
      </c>
      <c r="Q11027">
        <v>25.3</v>
      </c>
      <c r="R11027">
        <v>31.284600000000001</v>
      </c>
      <c r="S11027">
        <v>25.3</v>
      </c>
      <c r="T11027">
        <v>617.72249999999997</v>
      </c>
      <c r="U11027">
        <v>199.7885</v>
      </c>
      <c r="V11027">
        <v>0</v>
      </c>
      <c r="W11027">
        <v>126</v>
      </c>
      <c r="X11027">
        <v>451.93400000000003</v>
      </c>
      <c r="Y11027">
        <v>0</v>
      </c>
      <c r="Z11027">
        <v>53</v>
      </c>
      <c r="AA11027">
        <v>0</v>
      </c>
      <c r="AB11027">
        <v>2.3812340000000001</v>
      </c>
      <c r="AC11027">
        <v>0.13435810000000001</v>
      </c>
      <c r="AD11027">
        <v>0.8811987</v>
      </c>
      <c r="AE11027">
        <v>0.33790199999999998</v>
      </c>
      <c r="AF11027">
        <v>315.9357</v>
      </c>
      <c r="AG11027">
        <f>IFERROR(AH11027*0.1, "N/A")</f>
        <v>6.2578680000000002</v>
      </c>
      <c r="AH11027">
        <v>62.578679999999999</v>
      </c>
      <c r="AI11027">
        <v>113.85080000000001</v>
      </c>
      <c r="AJ11027">
        <v>13.064299999999999</v>
      </c>
      <c r="AK11027">
        <v>75.873099999999994</v>
      </c>
    </row>
    <row r="11028" spans="1:37" x14ac:dyDescent="0.3">
      <c r="A11028">
        <v>11027</v>
      </c>
      <c r="B11028">
        <v>25</v>
      </c>
      <c r="C11028">
        <v>-1.53331</v>
      </c>
      <c r="D11028">
        <v>13.333500000000001</v>
      </c>
      <c r="E11028">
        <f>-1.53331-13.3335</f>
        <v>-14.866810000000001</v>
      </c>
      <c r="F11028" t="s">
        <v>16493</v>
      </c>
      <c r="G11028" t="s">
        <v>39</v>
      </c>
      <c r="H11028">
        <v>1986</v>
      </c>
      <c r="I11028">
        <v>28.2</v>
      </c>
      <c r="J11028">
        <v>13.65119</v>
      </c>
      <c r="K11028">
        <v>59.276269999999997</v>
      </c>
      <c r="L11028">
        <v>23.471270000000001</v>
      </c>
      <c r="M11028">
        <v>39.260509999999996</v>
      </c>
      <c r="N11028">
        <v>16.399999999999999</v>
      </c>
      <c r="O11028">
        <v>22.860510000000001</v>
      </c>
      <c r="P11028">
        <v>27.02356</v>
      </c>
      <c r="Q11028">
        <v>25.47644</v>
      </c>
      <c r="R11028">
        <v>31.323560000000001</v>
      </c>
      <c r="S11028">
        <v>25.47644</v>
      </c>
      <c r="T11028">
        <v>617.98810000000003</v>
      </c>
      <c r="U11028">
        <v>194.27629999999999</v>
      </c>
      <c r="V11028">
        <v>0</v>
      </c>
      <c r="W11028">
        <v>124.27630000000001</v>
      </c>
      <c r="X11028">
        <v>449.31689999999998</v>
      </c>
      <c r="Y11028">
        <v>0</v>
      </c>
      <c r="Z11028">
        <v>56.276269999999997</v>
      </c>
      <c r="AA11028">
        <v>0</v>
      </c>
      <c r="AB11028">
        <v>2.6040700000000001</v>
      </c>
      <c r="AC11028">
        <v>3.6559969999999997E-2</v>
      </c>
      <c r="AD11028">
        <v>0.76866210000000001</v>
      </c>
      <c r="AE11028">
        <v>0.70964760000000005</v>
      </c>
      <c r="AF11028">
        <v>311.01530000000002</v>
      </c>
      <c r="AG11028">
        <f>IFERROR(AH11028*0.1, "N/A")</f>
        <v>6.265593</v>
      </c>
      <c r="AH11028">
        <v>62.655929999999998</v>
      </c>
      <c r="AI11028">
        <v>188.6576</v>
      </c>
      <c r="AJ11028">
        <v>19.88644</v>
      </c>
      <c r="AK11028">
        <v>61.511859999999999</v>
      </c>
    </row>
    <row r="11029" spans="1:37" x14ac:dyDescent="0.3">
      <c r="A11029">
        <v>11028</v>
      </c>
      <c r="B11029">
        <v>27.8</v>
      </c>
      <c r="C11029">
        <v>-1.8855599999999999</v>
      </c>
      <c r="D11029">
        <v>12.1897</v>
      </c>
      <c r="E11029">
        <f>-1.88556-12.1897</f>
        <v>-14.07526</v>
      </c>
      <c r="F11029" t="s">
        <v>16494</v>
      </c>
      <c r="G11029" t="s">
        <v>39</v>
      </c>
      <c r="H11029">
        <v>1984</v>
      </c>
      <c r="I11029">
        <v>27.6</v>
      </c>
      <c r="J11029">
        <v>13.6</v>
      </c>
      <c r="K11029">
        <v>58</v>
      </c>
      <c r="L11029">
        <v>23.13</v>
      </c>
      <c r="M11029">
        <v>38.799999999999997</v>
      </c>
      <c r="N11029">
        <v>15.5</v>
      </c>
      <c r="O11029">
        <v>23.3</v>
      </c>
      <c r="P11029">
        <v>26.3</v>
      </c>
      <c r="Q11029">
        <v>25.3</v>
      </c>
      <c r="R11029">
        <v>30.9</v>
      </c>
      <c r="S11029">
        <v>25.1</v>
      </c>
      <c r="T11029">
        <v>777</v>
      </c>
      <c r="U11029">
        <v>215</v>
      </c>
      <c r="V11029">
        <v>0</v>
      </c>
      <c r="W11029">
        <v>112</v>
      </c>
      <c r="X11029">
        <v>525</v>
      </c>
      <c r="Y11029">
        <v>2</v>
      </c>
      <c r="Z11029">
        <v>103</v>
      </c>
      <c r="AA11029">
        <v>3</v>
      </c>
      <c r="AB11029">
        <v>0.93014540000000001</v>
      </c>
      <c r="AC11029">
        <v>1.2175160000000001E-2</v>
      </c>
      <c r="AD11029">
        <v>2.1846100000000002</v>
      </c>
      <c r="AE11029">
        <v>0.5726561</v>
      </c>
      <c r="AF11029">
        <v>320.89780000000002</v>
      </c>
      <c r="AG11029">
        <f>IFERROR(AH11029*0.1, "N/A")</f>
        <v>5.9</v>
      </c>
      <c r="AH11029">
        <v>59</v>
      </c>
      <c r="AI11029">
        <v>46.83043</v>
      </c>
      <c r="AJ11029">
        <v>22</v>
      </c>
      <c r="AK11029">
        <v>55</v>
      </c>
    </row>
    <row r="11030" spans="1:37" x14ac:dyDescent="0.3">
      <c r="A11030">
        <v>11029</v>
      </c>
      <c r="B11030">
        <v>41.3</v>
      </c>
      <c r="C11030">
        <v>-1.9608300000000001</v>
      </c>
      <c r="D11030">
        <v>12.1906</v>
      </c>
      <c r="E11030">
        <f>-1.96083-12.1906</f>
        <v>-14.15143</v>
      </c>
      <c r="F11030" t="s">
        <v>16495</v>
      </c>
      <c r="G11030" t="s">
        <v>39</v>
      </c>
      <c r="H11030">
        <v>1984</v>
      </c>
      <c r="I11030">
        <v>27.6</v>
      </c>
      <c r="J11030">
        <v>13.6</v>
      </c>
      <c r="K11030">
        <v>58</v>
      </c>
      <c r="L11030">
        <v>23.23</v>
      </c>
      <c r="M11030">
        <v>38.799999999999997</v>
      </c>
      <c r="N11030">
        <v>15.6</v>
      </c>
      <c r="O11030">
        <v>23.2</v>
      </c>
      <c r="P11030">
        <v>26.3</v>
      </c>
      <c r="Q11030">
        <v>25.3</v>
      </c>
      <c r="R11030">
        <v>30.9</v>
      </c>
      <c r="S11030">
        <v>25.1</v>
      </c>
      <c r="T11030">
        <v>781</v>
      </c>
      <c r="U11030">
        <v>216</v>
      </c>
      <c r="V11030">
        <v>0</v>
      </c>
      <c r="W11030">
        <v>111</v>
      </c>
      <c r="X11030">
        <v>531</v>
      </c>
      <c r="Y11030">
        <v>2</v>
      </c>
      <c r="Z11030">
        <v>103</v>
      </c>
      <c r="AA11030">
        <v>3</v>
      </c>
      <c r="AB11030">
        <v>2.8988160000000001</v>
      </c>
      <c r="AC11030">
        <v>1.1353580000000001</v>
      </c>
      <c r="AD11030">
        <v>1.9599979999999999</v>
      </c>
      <c r="AE11030">
        <v>0.59099109999999999</v>
      </c>
      <c r="AF11030">
        <v>309.91329999999999</v>
      </c>
      <c r="AG11030">
        <f>IFERROR(AH11030*0.1, "N/A")</f>
        <v>5.8034010000000009</v>
      </c>
      <c r="AH11030">
        <v>58.034010000000002</v>
      </c>
      <c r="AI11030">
        <v>286.16590000000002</v>
      </c>
      <c r="AJ11030">
        <v>22.909859999999998</v>
      </c>
      <c r="AK11030">
        <v>47.94558</v>
      </c>
    </row>
    <row r="11031" spans="1:37" x14ac:dyDescent="0.3">
      <c r="A11031">
        <v>11030</v>
      </c>
      <c r="B11031">
        <v>7</v>
      </c>
      <c r="C11031">
        <v>-2.4666700000000001</v>
      </c>
      <c r="D11031">
        <v>12.316700000000001</v>
      </c>
      <c r="E11031">
        <f>-2.46667-12.3167</f>
        <v>-14.783370000000001</v>
      </c>
      <c r="F11031" t="s">
        <v>16496</v>
      </c>
      <c r="G11031" t="s">
        <v>39</v>
      </c>
      <c r="H11031">
        <v>1984</v>
      </c>
      <c r="I11031">
        <v>28.1</v>
      </c>
      <c r="J11031">
        <v>14.2</v>
      </c>
      <c r="K11031">
        <v>61.838439999999999</v>
      </c>
      <c r="L11031">
        <v>21.431940000000001</v>
      </c>
      <c r="M11031">
        <v>39.240139999999997</v>
      </c>
      <c r="N11031">
        <v>16.323979999999999</v>
      </c>
      <c r="O11031">
        <v>22.916160000000001</v>
      </c>
      <c r="P11031">
        <v>26.7</v>
      </c>
      <c r="Q11031">
        <v>26</v>
      </c>
      <c r="R11031">
        <v>31.3</v>
      </c>
      <c r="S11031">
        <v>26</v>
      </c>
      <c r="T11031">
        <v>774.1105</v>
      </c>
      <c r="U11031">
        <v>219.83840000000001</v>
      </c>
      <c r="V11031">
        <v>0</v>
      </c>
      <c r="W11031">
        <v>113</v>
      </c>
      <c r="X11031">
        <v>535.1105</v>
      </c>
      <c r="Y11031">
        <v>3</v>
      </c>
      <c r="Z11031">
        <v>97</v>
      </c>
      <c r="AA11031">
        <v>3</v>
      </c>
      <c r="AB11031">
        <v>1.112738</v>
      </c>
      <c r="AC11031">
        <v>0.16779340000000001</v>
      </c>
      <c r="AD11031">
        <v>0.76788659999999997</v>
      </c>
      <c r="AE11031">
        <v>0.61854629999999999</v>
      </c>
      <c r="AF11031">
        <v>297.67349999999999</v>
      </c>
      <c r="AG11031">
        <f>IFERROR(AH11031*0.1, "N/A")</f>
        <v>6</v>
      </c>
      <c r="AH11031">
        <v>60</v>
      </c>
      <c r="AI11031">
        <v>142.65190000000001</v>
      </c>
      <c r="AJ11031">
        <v>28.197279999999999</v>
      </c>
      <c r="AK11031">
        <v>48</v>
      </c>
    </row>
    <row r="11032" spans="1:37" x14ac:dyDescent="0.3">
      <c r="A11032">
        <v>11031</v>
      </c>
      <c r="B11032">
        <v>66</v>
      </c>
      <c r="C11032">
        <v>-2.23333</v>
      </c>
      <c r="D11032">
        <v>12.216699999999999</v>
      </c>
      <c r="E11032">
        <f>-2.23333-12.2167</f>
        <v>-14.45003</v>
      </c>
      <c r="F11032" t="s">
        <v>16497</v>
      </c>
      <c r="G11032" t="s">
        <v>39</v>
      </c>
      <c r="H11032">
        <v>1984</v>
      </c>
      <c r="I11032">
        <v>27.8</v>
      </c>
      <c r="J11032">
        <v>13.948119999999999</v>
      </c>
      <c r="K11032">
        <v>59.481229999999996</v>
      </c>
      <c r="L11032">
        <v>22.266839999999998</v>
      </c>
      <c r="M11032">
        <v>38.859560000000002</v>
      </c>
      <c r="N11032">
        <v>15.6</v>
      </c>
      <c r="O11032">
        <v>23.25956</v>
      </c>
      <c r="P11032">
        <v>26.5</v>
      </c>
      <c r="Q11032">
        <v>25.5</v>
      </c>
      <c r="R11032">
        <v>31.011430000000001</v>
      </c>
      <c r="S11032">
        <v>25.390270000000001</v>
      </c>
      <c r="T11032">
        <v>785.20989999999995</v>
      </c>
      <c r="U11032">
        <v>220.90270000000001</v>
      </c>
      <c r="V11032">
        <v>0</v>
      </c>
      <c r="W11032">
        <v>112</v>
      </c>
      <c r="X11032">
        <v>539.90269999999998</v>
      </c>
      <c r="Y11032">
        <v>2</v>
      </c>
      <c r="Z11032">
        <v>102.30719999999999</v>
      </c>
      <c r="AA11032">
        <v>3</v>
      </c>
      <c r="AB11032">
        <v>0.80801469999999997</v>
      </c>
      <c r="AC11032">
        <v>1.205212E-2</v>
      </c>
      <c r="AD11032">
        <v>1.4626079999999999</v>
      </c>
      <c r="AE11032">
        <v>0.71693759999999995</v>
      </c>
      <c r="AF11032">
        <v>302.61950000000002</v>
      </c>
      <c r="AG11032">
        <f>IFERROR(AH11032*0.1, "N/A")</f>
        <v>6</v>
      </c>
      <c r="AH11032">
        <v>60</v>
      </c>
      <c r="AI11032">
        <v>193.29040000000001</v>
      </c>
      <c r="AJ11032">
        <v>16.308869999999999</v>
      </c>
      <c r="AK11032">
        <v>57.346420000000002</v>
      </c>
    </row>
    <row r="11033" spans="1:37" x14ac:dyDescent="0.3">
      <c r="A11033">
        <v>11032</v>
      </c>
      <c r="B11033">
        <v>0</v>
      </c>
      <c r="C11033">
        <v>-2.15</v>
      </c>
      <c r="D11033">
        <v>12.2</v>
      </c>
      <c r="E11033">
        <f>-2.15-12.2</f>
        <v>-14.35</v>
      </c>
      <c r="F11033" t="s">
        <v>16498</v>
      </c>
      <c r="G11033" t="s">
        <v>39</v>
      </c>
      <c r="H11033">
        <v>1984</v>
      </c>
      <c r="I11033">
        <v>27.576139999999999</v>
      </c>
      <c r="J11033">
        <v>13.737730000000001</v>
      </c>
      <c r="K11033">
        <v>59</v>
      </c>
      <c r="L11033">
        <v>22.810099999999998</v>
      </c>
      <c r="M11033">
        <v>38.537730000000003</v>
      </c>
      <c r="N11033">
        <v>15.362270000000001</v>
      </c>
      <c r="O11033">
        <v>23.175470000000001</v>
      </c>
      <c r="P11033">
        <v>26.276140000000002</v>
      </c>
      <c r="Q11033">
        <v>25.2</v>
      </c>
      <c r="R11033">
        <v>30.8</v>
      </c>
      <c r="S11033">
        <v>25.038409999999999</v>
      </c>
      <c r="T11033">
        <v>792.23860000000002</v>
      </c>
      <c r="U11033">
        <v>219</v>
      </c>
      <c r="V11033">
        <v>0</v>
      </c>
      <c r="W11033">
        <v>111</v>
      </c>
      <c r="X11033">
        <v>542.23860000000002</v>
      </c>
      <c r="Y11033">
        <v>2</v>
      </c>
      <c r="Z11033">
        <v>106</v>
      </c>
      <c r="AA11033">
        <v>3</v>
      </c>
      <c r="AB11033">
        <v>6.9967779999999999</v>
      </c>
      <c r="AC11033">
        <v>7.8351879999999999E-2</v>
      </c>
      <c r="AD11033">
        <v>1.7461610000000001</v>
      </c>
      <c r="AE11033">
        <v>0.54457520000000004</v>
      </c>
      <c r="AF11033">
        <v>326.70389999999998</v>
      </c>
      <c r="AG11033">
        <f>IFERROR(AH11033*0.1, "N/A")</f>
        <v>5.7761420000000001</v>
      </c>
      <c r="AH11033">
        <v>57.761420000000001</v>
      </c>
      <c r="AI11033">
        <v>196.6336</v>
      </c>
      <c r="AJ11033">
        <v>24</v>
      </c>
      <c r="AK11033">
        <v>49.238579999999999</v>
      </c>
    </row>
    <row r="11034" spans="1:37" x14ac:dyDescent="0.3">
      <c r="A11034">
        <v>11033</v>
      </c>
      <c r="B11034">
        <v>5.4</v>
      </c>
      <c r="C11034">
        <v>-2.1</v>
      </c>
      <c r="D11034">
        <v>12.216699999999999</v>
      </c>
      <c r="E11034">
        <f>-2.1-12.2167</f>
        <v>-14.316699999999999</v>
      </c>
      <c r="F11034" t="s">
        <v>16499</v>
      </c>
      <c r="G11034" t="s">
        <v>39</v>
      </c>
      <c r="H11034">
        <v>1984</v>
      </c>
      <c r="I11034">
        <v>27.57573</v>
      </c>
      <c r="J11034">
        <v>13.7</v>
      </c>
      <c r="K11034">
        <v>59</v>
      </c>
      <c r="L11034">
        <v>22.808579999999999</v>
      </c>
      <c r="M11034">
        <v>38.573160000000001</v>
      </c>
      <c r="N11034">
        <v>15.4</v>
      </c>
      <c r="O11034">
        <v>23.173159999999999</v>
      </c>
      <c r="P11034">
        <v>26.375730000000001</v>
      </c>
      <c r="Q11034">
        <v>25.2</v>
      </c>
      <c r="R11034">
        <v>30.8</v>
      </c>
      <c r="S11034">
        <v>25</v>
      </c>
      <c r="T11034">
        <v>787.88030000000003</v>
      </c>
      <c r="U11034">
        <v>217</v>
      </c>
      <c r="V11034">
        <v>0</v>
      </c>
      <c r="W11034">
        <v>112</v>
      </c>
      <c r="X11034">
        <v>540.57950000000005</v>
      </c>
      <c r="Y11034">
        <v>1.2683759999999999</v>
      </c>
      <c r="Z11034">
        <v>106.0325</v>
      </c>
      <c r="AA11034">
        <v>2.2683759999999999</v>
      </c>
      <c r="AB11034">
        <v>4.9528319999999999</v>
      </c>
      <c r="AC11034">
        <v>2.8374650000000001E-2</v>
      </c>
      <c r="AD11034">
        <v>2.7662450000000001</v>
      </c>
      <c r="AE11034">
        <v>0.59583870000000005</v>
      </c>
      <c r="AF11034">
        <v>322.5419</v>
      </c>
      <c r="AG11034">
        <f>IFERROR(AH11034*0.1, "N/A")</f>
        <v>5.7905980000000001</v>
      </c>
      <c r="AH11034">
        <v>57.90598</v>
      </c>
      <c r="AI11034">
        <v>132.86420000000001</v>
      </c>
      <c r="AJ11034">
        <v>23.772649999999999</v>
      </c>
      <c r="AK11034">
        <v>49.516240000000003</v>
      </c>
    </row>
    <row r="11035" spans="1:37" x14ac:dyDescent="0.3">
      <c r="A11035">
        <v>11034</v>
      </c>
      <c r="B11035">
        <v>50</v>
      </c>
      <c r="C11035">
        <v>-2.51667</v>
      </c>
      <c r="D11035">
        <v>12.3</v>
      </c>
      <c r="E11035">
        <f>-2.51667-12.3</f>
        <v>-14.81667</v>
      </c>
      <c r="F11035" t="s">
        <v>16500</v>
      </c>
      <c r="G11035" t="s">
        <v>39</v>
      </c>
      <c r="H11035">
        <v>1984</v>
      </c>
      <c r="I11035">
        <v>28.1</v>
      </c>
      <c r="J11035">
        <v>14.1</v>
      </c>
      <c r="K11035">
        <v>61</v>
      </c>
      <c r="L11035">
        <v>21.512810000000002</v>
      </c>
      <c r="M11035">
        <v>39.202390000000001</v>
      </c>
      <c r="N11035">
        <v>16.399999999999999</v>
      </c>
      <c r="O11035">
        <v>22.802379999999999</v>
      </c>
      <c r="P11035">
        <v>26.686199999999999</v>
      </c>
      <c r="Q11035">
        <v>25.961839999999999</v>
      </c>
      <c r="R11035">
        <v>31.3</v>
      </c>
      <c r="S11035">
        <v>25.961839999999999</v>
      </c>
      <c r="T11035">
        <v>769.97609999999997</v>
      </c>
      <c r="U11035">
        <v>219</v>
      </c>
      <c r="V11035">
        <v>0</v>
      </c>
      <c r="W11035">
        <v>113</v>
      </c>
      <c r="X11035">
        <v>532</v>
      </c>
      <c r="Y11035">
        <v>3</v>
      </c>
      <c r="Z11035">
        <v>95.976150000000004</v>
      </c>
      <c r="AA11035">
        <v>3</v>
      </c>
      <c r="AB11035">
        <v>1.9154979999999999</v>
      </c>
      <c r="AC11035">
        <v>1.3193820000000001</v>
      </c>
      <c r="AD11035">
        <v>2.6642549999999998</v>
      </c>
      <c r="AE11035">
        <v>0.33916109999999999</v>
      </c>
      <c r="AF11035">
        <v>299.50599999999997</v>
      </c>
      <c r="AG11035">
        <f>IFERROR(AH11035*0.1, "N/A")</f>
        <v>6.2971040000000009</v>
      </c>
      <c r="AH11035">
        <v>62.971040000000002</v>
      </c>
      <c r="AI11035">
        <v>215.46709999999999</v>
      </c>
      <c r="AJ11035">
        <v>39</v>
      </c>
      <c r="AK11035">
        <v>39.323680000000003</v>
      </c>
    </row>
    <row r="11036" spans="1:37" x14ac:dyDescent="0.3">
      <c r="A11036">
        <v>11035</v>
      </c>
      <c r="B11036">
        <v>30.8</v>
      </c>
      <c r="C11036">
        <v>-2.5666699999999998</v>
      </c>
      <c r="D11036">
        <v>12.283300000000001</v>
      </c>
      <c r="E11036">
        <f>-2.56667-12.2833</f>
        <v>-14.849970000000001</v>
      </c>
      <c r="F11036" t="s">
        <v>16501</v>
      </c>
      <c r="G11036" t="s">
        <v>39</v>
      </c>
      <c r="H11036">
        <v>1984</v>
      </c>
      <c r="I11036">
        <v>28.3</v>
      </c>
      <c r="J11036">
        <v>14.1</v>
      </c>
      <c r="K11036">
        <v>61.460880000000003</v>
      </c>
      <c r="L11036">
        <v>21.508369999999999</v>
      </c>
      <c r="M11036">
        <v>39.4</v>
      </c>
      <c r="N11036">
        <v>16.646090000000001</v>
      </c>
      <c r="O11036">
        <v>22.753910000000001</v>
      </c>
      <c r="P11036">
        <v>26.870239999999999</v>
      </c>
      <c r="Q11036">
        <v>26.175850000000001</v>
      </c>
      <c r="R11036">
        <v>31.5</v>
      </c>
      <c r="S11036">
        <v>26.175850000000001</v>
      </c>
      <c r="T11036">
        <v>760.75850000000003</v>
      </c>
      <c r="U11036">
        <v>218</v>
      </c>
      <c r="V11036">
        <v>0.64795919999999996</v>
      </c>
      <c r="W11036">
        <v>113.352</v>
      </c>
      <c r="X11036">
        <v>526.1105</v>
      </c>
      <c r="Y11036">
        <v>3.6479590000000002</v>
      </c>
      <c r="Z11036">
        <v>93</v>
      </c>
      <c r="AA11036">
        <v>3.6479590000000002</v>
      </c>
      <c r="AB11036">
        <v>1.4353739999999999</v>
      </c>
      <c r="AC11036">
        <v>1.4296069999999999E-2</v>
      </c>
      <c r="AD11036">
        <v>1.4221779999999999</v>
      </c>
      <c r="AE11036">
        <v>0.41205370000000002</v>
      </c>
      <c r="AF11036">
        <v>281.30099999999999</v>
      </c>
      <c r="AG11036">
        <f>IFERROR(AH11036*0.1, "N/A")</f>
        <v>6.1729590000000005</v>
      </c>
      <c r="AH11036">
        <v>61.729590000000002</v>
      </c>
      <c r="AI11036">
        <v>110.6439</v>
      </c>
      <c r="AJ11036">
        <v>24.867349999999998</v>
      </c>
      <c r="AK11036">
        <v>51.346939999999996</v>
      </c>
    </row>
    <row r="11037" spans="1:37" x14ac:dyDescent="0.3">
      <c r="A11037">
        <v>11036</v>
      </c>
      <c r="B11037">
        <v>55.6</v>
      </c>
      <c r="C11037">
        <v>-2.5833300000000001</v>
      </c>
      <c r="D11037">
        <v>12.2333</v>
      </c>
      <c r="E11037">
        <f>-2.58333-12.2333</f>
        <v>-14.81663</v>
      </c>
      <c r="F11037" t="s">
        <v>16502</v>
      </c>
      <c r="G11037" t="s">
        <v>39</v>
      </c>
      <c r="H11037">
        <v>1984</v>
      </c>
      <c r="I11037">
        <v>28.3</v>
      </c>
      <c r="J11037">
        <v>14.1</v>
      </c>
      <c r="K11037">
        <v>62</v>
      </c>
      <c r="L11037">
        <v>21.595420000000001</v>
      </c>
      <c r="M11037">
        <v>39.299999999999997</v>
      </c>
      <c r="N11037">
        <v>16.600000000000001</v>
      </c>
      <c r="O11037">
        <v>22.7</v>
      </c>
      <c r="P11037">
        <v>26.830100000000002</v>
      </c>
      <c r="Q11037">
        <v>26.2</v>
      </c>
      <c r="R11037">
        <v>31.5</v>
      </c>
      <c r="S11037">
        <v>26.1</v>
      </c>
      <c r="T11037">
        <v>763.14800000000002</v>
      </c>
      <c r="U11037">
        <v>218.83330000000001</v>
      </c>
      <c r="V11037">
        <v>1</v>
      </c>
      <c r="W11037">
        <v>113.83329999999999</v>
      </c>
      <c r="X11037">
        <v>526.83330000000001</v>
      </c>
      <c r="Y11037">
        <v>4</v>
      </c>
      <c r="Z11037">
        <v>93</v>
      </c>
      <c r="AA11037">
        <v>5</v>
      </c>
      <c r="AB11037">
        <v>2.4581620000000002</v>
      </c>
      <c r="AC11037">
        <v>8.6019709999999999E-2</v>
      </c>
      <c r="AD11037">
        <v>0.80577900000000002</v>
      </c>
      <c r="AE11037">
        <v>0.3885731</v>
      </c>
      <c r="AF11037">
        <v>274.2568</v>
      </c>
      <c r="AG11037">
        <f>IFERROR(AH11037*0.1, "N/A")</f>
        <v>6.2</v>
      </c>
      <c r="AH11037">
        <v>62</v>
      </c>
      <c r="AI11037">
        <v>127.9807</v>
      </c>
      <c r="AJ11037">
        <v>21</v>
      </c>
      <c r="AK11037">
        <v>54.602040000000002</v>
      </c>
    </row>
    <row r="11038" spans="1:37" x14ac:dyDescent="0.3">
      <c r="A11038">
        <v>11037</v>
      </c>
      <c r="B11038">
        <v>17.5</v>
      </c>
      <c r="C11038">
        <v>-2.6833300000000002</v>
      </c>
      <c r="D11038">
        <v>12.183299999999999</v>
      </c>
      <c r="E11038">
        <f>-2.68333-12.1833</f>
        <v>-14.866629999999999</v>
      </c>
      <c r="F11038" t="s">
        <v>16503</v>
      </c>
      <c r="G11038" t="s">
        <v>39</v>
      </c>
      <c r="H11038">
        <v>1984</v>
      </c>
      <c r="I11038">
        <v>28.3</v>
      </c>
      <c r="J11038">
        <v>13.937139999999999</v>
      </c>
      <c r="K11038">
        <v>61.083480000000002</v>
      </c>
      <c r="L11038">
        <v>21.605080000000001</v>
      </c>
      <c r="M11038">
        <v>39.3339</v>
      </c>
      <c r="N11038">
        <v>16.750599999999999</v>
      </c>
      <c r="O11038">
        <v>22.583310000000001</v>
      </c>
      <c r="P11038">
        <v>26.720610000000001</v>
      </c>
      <c r="Q11038">
        <v>26.34225</v>
      </c>
      <c r="R11038">
        <v>31.5</v>
      </c>
      <c r="S11038">
        <v>26.242249999999999</v>
      </c>
      <c r="T11038">
        <v>755.20609999999999</v>
      </c>
      <c r="U11038">
        <v>218</v>
      </c>
      <c r="V11038">
        <v>1</v>
      </c>
      <c r="W11038">
        <v>113.79389999999999</v>
      </c>
      <c r="X11038">
        <v>521.20609999999999</v>
      </c>
      <c r="Y11038">
        <v>4</v>
      </c>
      <c r="Z11038">
        <v>90</v>
      </c>
      <c r="AA11038">
        <v>5</v>
      </c>
      <c r="AB11038">
        <v>1.1105590000000001</v>
      </c>
      <c r="AC11038">
        <v>8.7720409999999995E-3</v>
      </c>
      <c r="AD11038">
        <v>1.340436</v>
      </c>
      <c r="AE11038">
        <v>0.55639729999999998</v>
      </c>
      <c r="AF11038">
        <v>268.60649999999998</v>
      </c>
      <c r="AG11038">
        <f>IFERROR(AH11038*0.1, "N/A")</f>
        <v>6.2299830000000007</v>
      </c>
      <c r="AH11038">
        <v>62.29983</v>
      </c>
      <c r="AI11038">
        <v>221.92429999999999</v>
      </c>
      <c r="AJ11038">
        <v>21.482109999999999</v>
      </c>
      <c r="AK11038">
        <v>53.621810000000004</v>
      </c>
    </row>
    <row r="11039" spans="1:37" x14ac:dyDescent="0.3">
      <c r="A11039">
        <v>11038</v>
      </c>
      <c r="B11039">
        <v>0</v>
      </c>
      <c r="C11039">
        <v>-2.6833300000000002</v>
      </c>
      <c r="D11039">
        <v>12.1</v>
      </c>
      <c r="E11039">
        <f>-2.68333-12.1</f>
        <v>-14.783329999999999</v>
      </c>
      <c r="F11039" t="s">
        <v>16504</v>
      </c>
      <c r="G11039" t="s">
        <v>39</v>
      </c>
      <c r="H11039">
        <v>1984</v>
      </c>
      <c r="I11039">
        <v>28.2</v>
      </c>
      <c r="J11039">
        <v>13.9</v>
      </c>
      <c r="K11039">
        <v>61</v>
      </c>
      <c r="L11039">
        <v>21.40673</v>
      </c>
      <c r="M11039">
        <v>39.168140000000001</v>
      </c>
      <c r="N11039">
        <v>16.668140000000001</v>
      </c>
      <c r="O11039">
        <v>22.5</v>
      </c>
      <c r="P11039">
        <v>26.75451</v>
      </c>
      <c r="Q11039">
        <v>26.2</v>
      </c>
      <c r="R11039">
        <v>31.36814</v>
      </c>
      <c r="S11039">
        <v>26.054510000000001</v>
      </c>
      <c r="T11039">
        <v>774.74279999999999</v>
      </c>
      <c r="U11039">
        <v>222.3186</v>
      </c>
      <c r="V11039">
        <v>1</v>
      </c>
      <c r="W11039">
        <v>113</v>
      </c>
      <c r="X11039">
        <v>532.37139999999999</v>
      </c>
      <c r="Y11039">
        <v>4</v>
      </c>
      <c r="Z11039">
        <v>95.371380000000002</v>
      </c>
      <c r="AA11039">
        <v>5</v>
      </c>
      <c r="AB11039">
        <v>0.64889600000000003</v>
      </c>
      <c r="AC11039">
        <v>2.3082630000000002</v>
      </c>
      <c r="AD11039">
        <v>1.809412</v>
      </c>
      <c r="AE11039">
        <v>0.43596119999999999</v>
      </c>
      <c r="AF11039">
        <v>273.08010000000002</v>
      </c>
      <c r="AG11039">
        <f>IFERROR(AH11039*0.1, "N/A")</f>
        <v>6.3308350000000004</v>
      </c>
      <c r="AH11039">
        <v>63.308349999999997</v>
      </c>
      <c r="AI11039">
        <v>176.3751</v>
      </c>
      <c r="AJ11039">
        <v>30.885860000000001</v>
      </c>
      <c r="AK11039">
        <v>44.56729</v>
      </c>
    </row>
    <row r="11040" spans="1:37" x14ac:dyDescent="0.3">
      <c r="A11040">
        <v>11039</v>
      </c>
      <c r="B11040">
        <v>36</v>
      </c>
      <c r="C11040">
        <v>-2.3666700000000001</v>
      </c>
      <c r="D11040">
        <v>12.166700000000001</v>
      </c>
      <c r="E11040">
        <f>-2.36667-12.1667</f>
        <v>-14.533370000000001</v>
      </c>
      <c r="F11040" t="s">
        <v>16505</v>
      </c>
      <c r="G11040" t="s">
        <v>39</v>
      </c>
      <c r="H11040">
        <v>1984</v>
      </c>
      <c r="I11040">
        <v>28.15512</v>
      </c>
      <c r="J11040">
        <v>14.2</v>
      </c>
      <c r="K11040">
        <v>60.095559999999999</v>
      </c>
      <c r="L11040">
        <v>21.956600000000002</v>
      </c>
      <c r="M11040">
        <v>39.299999999999997</v>
      </c>
      <c r="N11040">
        <v>16.00956</v>
      </c>
      <c r="O11040">
        <v>23.29044</v>
      </c>
      <c r="P11040">
        <v>26.85444</v>
      </c>
      <c r="Q11040">
        <v>25.909559999999999</v>
      </c>
      <c r="R11040">
        <v>31.362629999999999</v>
      </c>
      <c r="S11040">
        <v>25.809560000000001</v>
      </c>
      <c r="T11040">
        <v>784.28499999999997</v>
      </c>
      <c r="U11040">
        <v>223.5444</v>
      </c>
      <c r="V11040">
        <v>0</v>
      </c>
      <c r="W11040">
        <v>113</v>
      </c>
      <c r="X11040">
        <v>540.5444</v>
      </c>
      <c r="Y11040">
        <v>2</v>
      </c>
      <c r="Z11040">
        <v>99.196250000000006</v>
      </c>
      <c r="AA11040">
        <v>4</v>
      </c>
      <c r="AB11040">
        <v>6.2942099999999996</v>
      </c>
      <c r="AC11040">
        <v>9.0371090000000001E-2</v>
      </c>
      <c r="AD11040">
        <v>0.83957599999999999</v>
      </c>
      <c r="AE11040">
        <v>0.32348199999999999</v>
      </c>
      <c r="AF11040">
        <v>281.81740000000002</v>
      </c>
      <c r="AG11040">
        <f>IFERROR(AH11040*0.1, "N/A")</f>
        <v>6.0658700000000003</v>
      </c>
      <c r="AH11040">
        <v>60.658700000000003</v>
      </c>
      <c r="AI11040">
        <v>227.8091</v>
      </c>
      <c r="AJ11040">
        <v>26.829350000000002</v>
      </c>
      <c r="AK11040">
        <v>49.682589999999998</v>
      </c>
    </row>
    <row r="11041" spans="1:37" x14ac:dyDescent="0.3">
      <c r="A11041">
        <v>11040</v>
      </c>
      <c r="B11041">
        <v>23.1</v>
      </c>
      <c r="C11041">
        <v>-2.3666700000000001</v>
      </c>
      <c r="D11041">
        <v>12.083299999999999</v>
      </c>
      <c r="E11041">
        <f>-2.36667-12.0833</f>
        <v>-14.44997</v>
      </c>
      <c r="F11041" t="s">
        <v>16506</v>
      </c>
      <c r="G11041" t="s">
        <v>39</v>
      </c>
      <c r="H11041">
        <v>1984</v>
      </c>
      <c r="I11041">
        <v>28.1</v>
      </c>
      <c r="J11041">
        <v>14.1</v>
      </c>
      <c r="K11041">
        <v>60.062930000000001</v>
      </c>
      <c r="L11041">
        <v>21.982959999999999</v>
      </c>
      <c r="M11041">
        <v>39.193710000000003</v>
      </c>
      <c r="N11041">
        <v>16.00629</v>
      </c>
      <c r="O11041">
        <v>23.187419999999999</v>
      </c>
      <c r="P11041">
        <v>26.745750000000001</v>
      </c>
      <c r="Q11041">
        <v>25.906289999999998</v>
      </c>
      <c r="R11041">
        <v>31.293710000000001</v>
      </c>
      <c r="S11041">
        <v>25.806290000000001</v>
      </c>
      <c r="T11041">
        <v>789.41330000000005</v>
      </c>
      <c r="U11041">
        <v>224</v>
      </c>
      <c r="V11041">
        <v>0</v>
      </c>
      <c r="W11041">
        <v>113</v>
      </c>
      <c r="X11041">
        <v>542.54250000000002</v>
      </c>
      <c r="Y11041">
        <v>2</v>
      </c>
      <c r="Z11041">
        <v>99.435370000000006</v>
      </c>
      <c r="AA11041">
        <v>4</v>
      </c>
      <c r="AB11041">
        <v>3.9255239999999998</v>
      </c>
      <c r="AC11041">
        <v>0.12820699999999999</v>
      </c>
      <c r="AD11041">
        <v>2.0574469999999998</v>
      </c>
      <c r="AE11041">
        <v>0.56037440000000005</v>
      </c>
      <c r="AF11041">
        <v>271.91329999999999</v>
      </c>
      <c r="AG11041">
        <f>IFERROR(AH11041*0.1, "N/A")</f>
        <v>6.1000000000000005</v>
      </c>
      <c r="AH11041">
        <v>61</v>
      </c>
      <c r="AI11041">
        <v>85.115530000000007</v>
      </c>
      <c r="AJ11041">
        <v>27</v>
      </c>
      <c r="AK11041">
        <v>43</v>
      </c>
    </row>
    <row r="11042" spans="1:37" x14ac:dyDescent="0.3">
      <c r="A11042">
        <v>11041</v>
      </c>
      <c r="B11042">
        <v>28</v>
      </c>
      <c r="C11042">
        <v>-2.15</v>
      </c>
      <c r="D11042">
        <v>12.083299999999999</v>
      </c>
      <c r="E11042">
        <f>-2.15-12.0833</f>
        <v>-14.2333</v>
      </c>
      <c r="F11042" t="s">
        <v>16507</v>
      </c>
      <c r="G11042" t="s">
        <v>39</v>
      </c>
      <c r="H11042">
        <v>1984</v>
      </c>
      <c r="I11042">
        <v>27.6</v>
      </c>
      <c r="J11042">
        <v>13.8</v>
      </c>
      <c r="K11042">
        <v>59.32705</v>
      </c>
      <c r="L11042">
        <v>22.267160000000001</v>
      </c>
      <c r="M11042">
        <v>38.610790000000001</v>
      </c>
      <c r="N11042">
        <v>15.53271</v>
      </c>
      <c r="O11042">
        <v>23.07808</v>
      </c>
      <c r="P11042">
        <v>26.27637</v>
      </c>
      <c r="Q11042">
        <v>25.4</v>
      </c>
      <c r="R11042">
        <v>30.78716</v>
      </c>
      <c r="S11042">
        <v>25.2</v>
      </c>
      <c r="T11042">
        <v>801.6712</v>
      </c>
      <c r="U11042">
        <v>221</v>
      </c>
      <c r="V11042">
        <v>0</v>
      </c>
      <c r="W11042">
        <v>111.4555</v>
      </c>
      <c r="X11042">
        <v>546</v>
      </c>
      <c r="Y11042">
        <v>2</v>
      </c>
      <c r="Z11042">
        <v>106.1079</v>
      </c>
      <c r="AA11042">
        <v>4</v>
      </c>
      <c r="AB11042">
        <v>2.035622</v>
      </c>
      <c r="AC11042">
        <v>0.19058510000000001</v>
      </c>
      <c r="AD11042">
        <v>1.64876</v>
      </c>
      <c r="AE11042">
        <v>0.59380319999999998</v>
      </c>
      <c r="AF11042">
        <v>325.3442</v>
      </c>
      <c r="AG11042">
        <f>IFERROR(AH11042*0.1, "N/A")</f>
        <v>6.1000000000000005</v>
      </c>
      <c r="AH11042">
        <v>61</v>
      </c>
      <c r="AI11042">
        <v>210.6506</v>
      </c>
      <c r="AJ11042">
        <v>21</v>
      </c>
      <c r="AK11042">
        <v>52</v>
      </c>
    </row>
    <row r="11043" spans="1:37" x14ac:dyDescent="0.3">
      <c r="A11043">
        <v>11042</v>
      </c>
      <c r="B11043">
        <v>20</v>
      </c>
      <c r="C11043">
        <v>-2.0666699999999998</v>
      </c>
      <c r="D11043">
        <v>12.1333</v>
      </c>
      <c r="E11043">
        <f>-2.06667-12.1333</f>
        <v>-14.19997</v>
      </c>
      <c r="F11043" t="s">
        <v>16508</v>
      </c>
      <c r="G11043" t="s">
        <v>39</v>
      </c>
      <c r="H11043">
        <v>1984</v>
      </c>
      <c r="I11043">
        <v>27.6</v>
      </c>
      <c r="J11043">
        <v>13.7</v>
      </c>
      <c r="K11043">
        <v>59</v>
      </c>
      <c r="L11043">
        <v>22.615690000000001</v>
      </c>
      <c r="M11043">
        <v>38.68441</v>
      </c>
      <c r="N11043">
        <v>15.58051</v>
      </c>
      <c r="O11043">
        <v>23.103899999999999</v>
      </c>
      <c r="P11043">
        <v>26.327290000000001</v>
      </c>
      <c r="Q11043">
        <v>25.3</v>
      </c>
      <c r="R11043">
        <v>30.884409999999999</v>
      </c>
      <c r="S11043">
        <v>25.1</v>
      </c>
      <c r="T11043">
        <v>793.84410000000003</v>
      </c>
      <c r="U11043">
        <v>218</v>
      </c>
      <c r="V11043">
        <v>0</v>
      </c>
      <c r="W11043">
        <v>111</v>
      </c>
      <c r="X11043">
        <v>541.15589999999997</v>
      </c>
      <c r="Y11043">
        <v>2</v>
      </c>
      <c r="Z11043">
        <v>106</v>
      </c>
      <c r="AA11043">
        <v>3</v>
      </c>
      <c r="AB11043">
        <v>1.9362710000000001</v>
      </c>
      <c r="AC11043">
        <v>0.16513249999999999</v>
      </c>
      <c r="AD11043">
        <v>2.0955140000000001</v>
      </c>
      <c r="AE11043">
        <v>0.508718</v>
      </c>
      <c r="AF11043">
        <v>317.83730000000003</v>
      </c>
      <c r="AG11043">
        <f>IFERROR(AH11043*0.1, "N/A")</f>
        <v>5.9771190000000001</v>
      </c>
      <c r="AH11043">
        <v>59.771189999999997</v>
      </c>
      <c r="AI11043">
        <v>224.2833</v>
      </c>
      <c r="AJ11043">
        <v>22.80508</v>
      </c>
      <c r="AK11043">
        <v>47.228810000000003</v>
      </c>
    </row>
    <row r="11044" spans="1:37" x14ac:dyDescent="0.3">
      <c r="A11044">
        <v>11043</v>
      </c>
      <c r="B11044">
        <v>0</v>
      </c>
      <c r="C11044">
        <v>-2.0666699999999998</v>
      </c>
      <c r="D11044">
        <v>12.2333</v>
      </c>
      <c r="E11044">
        <f>-2.06667-12.2333</f>
        <v>-14.29997</v>
      </c>
      <c r="F11044" t="s">
        <v>16509</v>
      </c>
      <c r="G11044" t="s">
        <v>39</v>
      </c>
      <c r="H11044">
        <v>1984</v>
      </c>
      <c r="I11044">
        <v>27.5</v>
      </c>
      <c r="J11044">
        <v>13.6631</v>
      </c>
      <c r="K11044">
        <v>58.630949999999999</v>
      </c>
      <c r="L11044">
        <v>23.032910000000001</v>
      </c>
      <c r="M11044">
        <v>38.580269999999999</v>
      </c>
      <c r="N11044">
        <v>15.4</v>
      </c>
      <c r="O11044">
        <v>23.18027</v>
      </c>
      <c r="P11044">
        <v>26.3</v>
      </c>
      <c r="Q11044">
        <v>25.032990000000002</v>
      </c>
      <c r="R11044">
        <v>30.8</v>
      </c>
      <c r="S11044">
        <v>24.956630000000001</v>
      </c>
      <c r="T11044">
        <v>782.77890000000002</v>
      </c>
      <c r="U11044">
        <v>216</v>
      </c>
      <c r="V11044">
        <v>0</v>
      </c>
      <c r="W11044">
        <v>111.07989999999999</v>
      </c>
      <c r="X11044">
        <v>535.6463</v>
      </c>
      <c r="Y11044">
        <v>2</v>
      </c>
      <c r="Z11044">
        <v>104.5663</v>
      </c>
      <c r="AA11044">
        <v>2.5663269999999998</v>
      </c>
      <c r="AB11044">
        <v>4.2044360000000003</v>
      </c>
      <c r="AC11044">
        <v>1.7582110000000001E-2</v>
      </c>
      <c r="AD11044">
        <v>3.3441169999999998</v>
      </c>
      <c r="AE11044">
        <v>0.66834550000000004</v>
      </c>
      <c r="AF11044">
        <v>321.1463</v>
      </c>
      <c r="AG11044">
        <f>IFERROR(AH11044*0.1, "N/A")</f>
        <v>6</v>
      </c>
      <c r="AH11044">
        <v>60</v>
      </c>
      <c r="AI11044">
        <v>108.1369</v>
      </c>
      <c r="AJ11044">
        <v>17.802720000000001</v>
      </c>
      <c r="AK11044">
        <v>57</v>
      </c>
    </row>
    <row r="11045" spans="1:37" x14ac:dyDescent="0.3">
      <c r="A11045">
        <v>11044</v>
      </c>
      <c r="B11045">
        <v>15</v>
      </c>
      <c r="C11045">
        <v>-2.51667</v>
      </c>
      <c r="D11045">
        <v>12.3667</v>
      </c>
      <c r="E11045">
        <f>-2.51667-12.3667</f>
        <v>-14.883369999999999</v>
      </c>
      <c r="F11045" t="s">
        <v>16510</v>
      </c>
      <c r="G11045" t="s">
        <v>39</v>
      </c>
      <c r="H11045">
        <v>1984</v>
      </c>
      <c r="I11045">
        <v>28.3</v>
      </c>
      <c r="J11045">
        <v>14.084350000000001</v>
      </c>
      <c r="K11045">
        <v>61.198979999999999</v>
      </c>
      <c r="L11045">
        <v>21.515999999999998</v>
      </c>
      <c r="M11045">
        <v>39.4</v>
      </c>
      <c r="N11045">
        <v>16.619900000000001</v>
      </c>
      <c r="O11045">
        <v>22.780100000000001</v>
      </c>
      <c r="P11045">
        <v>26.884350000000001</v>
      </c>
      <c r="Q11045">
        <v>26.135539999999999</v>
      </c>
      <c r="R11045">
        <v>31.43554</v>
      </c>
      <c r="S11045">
        <v>26.135539999999999</v>
      </c>
      <c r="T11045">
        <v>757.23979999999995</v>
      </c>
      <c r="U11045">
        <v>215.80099999999999</v>
      </c>
      <c r="V11045">
        <v>0</v>
      </c>
      <c r="W11045">
        <v>113.398</v>
      </c>
      <c r="X11045">
        <v>525.60199999999998</v>
      </c>
      <c r="Y11045">
        <v>3</v>
      </c>
      <c r="Z11045">
        <v>92.63776</v>
      </c>
      <c r="AA11045">
        <v>3</v>
      </c>
      <c r="AB11045">
        <v>0.4782323</v>
      </c>
      <c r="AC11045">
        <v>1.1501520000000001</v>
      </c>
      <c r="AD11045">
        <v>1.8221890000000001</v>
      </c>
      <c r="AE11045">
        <v>0.61601099999999998</v>
      </c>
      <c r="AF11045">
        <v>275.46429999999998</v>
      </c>
      <c r="AG11045">
        <f>IFERROR(AH11045*0.1, "N/A")</f>
        <v>6.2057820000000001</v>
      </c>
      <c r="AH11045">
        <v>62.05782</v>
      </c>
      <c r="AI11045">
        <v>91.605829999999997</v>
      </c>
      <c r="AJ11045">
        <v>18.78912</v>
      </c>
      <c r="AK11045">
        <v>57.207479999999997</v>
      </c>
    </row>
    <row r="11046" spans="1:37" x14ac:dyDescent="0.3">
      <c r="A11046">
        <v>11045</v>
      </c>
      <c r="B11046">
        <v>29.4</v>
      </c>
      <c r="C11046">
        <v>-2.5666699999999998</v>
      </c>
      <c r="D11046">
        <v>12.3833</v>
      </c>
      <c r="E11046">
        <f>-2.56667-12.3833</f>
        <v>-14.94997</v>
      </c>
      <c r="F11046" t="s">
        <v>16511</v>
      </c>
      <c r="G11046" t="s">
        <v>39</v>
      </c>
      <c r="H11046">
        <v>1984</v>
      </c>
      <c r="I11046">
        <v>28.3</v>
      </c>
      <c r="J11046">
        <v>14</v>
      </c>
      <c r="K11046">
        <v>61.487220000000001</v>
      </c>
      <c r="L11046">
        <v>21.487670000000001</v>
      </c>
      <c r="M11046">
        <v>39.386200000000002</v>
      </c>
      <c r="N11046">
        <v>16.8</v>
      </c>
      <c r="O11046">
        <v>22.586200000000002</v>
      </c>
      <c r="P11046">
        <v>26.83492</v>
      </c>
      <c r="Q11046">
        <v>26.2</v>
      </c>
      <c r="R11046">
        <v>31.4862</v>
      </c>
      <c r="S11046">
        <v>26.2</v>
      </c>
      <c r="T11046">
        <v>747.9796</v>
      </c>
      <c r="U11046">
        <v>213.6508</v>
      </c>
      <c r="V11046">
        <v>0</v>
      </c>
      <c r="W11046">
        <v>114</v>
      </c>
      <c r="X11046">
        <v>520.16520000000003</v>
      </c>
      <c r="Y11046">
        <v>3</v>
      </c>
      <c r="Z11046">
        <v>90</v>
      </c>
      <c r="AA11046">
        <v>3</v>
      </c>
      <c r="AB11046">
        <v>2.971044</v>
      </c>
      <c r="AC11046">
        <v>1.3499319999999999</v>
      </c>
      <c r="AD11046">
        <v>1.465878</v>
      </c>
      <c r="AE11046">
        <v>0.67993760000000003</v>
      </c>
      <c r="AF11046">
        <v>280.08010000000002</v>
      </c>
      <c r="AG11046">
        <f>IFERROR(AH11046*0.1, "N/A")</f>
        <v>6.2350940000000001</v>
      </c>
      <c r="AH11046">
        <v>62.350940000000001</v>
      </c>
      <c r="AI11046">
        <v>59.592199999999998</v>
      </c>
      <c r="AJ11046">
        <v>18.947189999999999</v>
      </c>
      <c r="AK11046">
        <v>58.70187</v>
      </c>
    </row>
    <row r="11047" spans="1:37" x14ac:dyDescent="0.3">
      <c r="A11047">
        <v>11046</v>
      </c>
      <c r="B11047">
        <v>41</v>
      </c>
      <c r="C11047">
        <v>-2.6666699999999999</v>
      </c>
      <c r="D11047">
        <v>12.65</v>
      </c>
      <c r="E11047">
        <f>-2.66667-12.65</f>
        <v>-15.31667</v>
      </c>
      <c r="F11047" t="s">
        <v>16512</v>
      </c>
      <c r="G11047" t="s">
        <v>39</v>
      </c>
      <c r="H11047">
        <v>1984</v>
      </c>
      <c r="I11047">
        <v>28.4</v>
      </c>
      <c r="J11047">
        <v>13.7</v>
      </c>
      <c r="K11047">
        <v>62</v>
      </c>
      <c r="L11047">
        <v>21.361820000000002</v>
      </c>
      <c r="M11047">
        <v>39.393210000000003</v>
      </c>
      <c r="N11047">
        <v>17.399999999999999</v>
      </c>
      <c r="O11047">
        <v>21.993210000000001</v>
      </c>
      <c r="P11047">
        <v>26.745329999999999</v>
      </c>
      <c r="Q11047">
        <v>26.493210000000001</v>
      </c>
      <c r="R11047">
        <v>31.538540000000001</v>
      </c>
      <c r="S11047">
        <v>26.493210000000001</v>
      </c>
      <c r="T11047">
        <v>708.70799999999997</v>
      </c>
      <c r="U11047">
        <v>202.54669999999999</v>
      </c>
      <c r="V11047">
        <v>0</v>
      </c>
      <c r="W11047">
        <v>116.77079999999999</v>
      </c>
      <c r="X11047">
        <v>500.54669999999999</v>
      </c>
      <c r="Y11047">
        <v>3</v>
      </c>
      <c r="Z11047">
        <v>77.546689999999998</v>
      </c>
      <c r="AA11047">
        <v>3</v>
      </c>
      <c r="AB11047">
        <v>3.9916770000000001</v>
      </c>
      <c r="AC11047">
        <v>7.4079770000000003E-2</v>
      </c>
      <c r="AD11047">
        <v>0.78868229999999995</v>
      </c>
      <c r="AE11047">
        <v>0.66338589999999997</v>
      </c>
      <c r="AF11047">
        <v>298.02890000000002</v>
      </c>
      <c r="AG11047">
        <f>IFERROR(AH11047*0.1, "N/A")</f>
        <v>6.0546690000000005</v>
      </c>
      <c r="AH11047">
        <v>60.546689999999998</v>
      </c>
      <c r="AI11047">
        <v>179.82400000000001</v>
      </c>
      <c r="AJ11047">
        <v>28.1511</v>
      </c>
      <c r="AK11047">
        <v>49</v>
      </c>
    </row>
    <row r="11048" spans="1:37" x14ac:dyDescent="0.3">
      <c r="A11048">
        <v>11047</v>
      </c>
      <c r="B11048">
        <v>22.2</v>
      </c>
      <c r="C11048">
        <v>-2.7166700000000001</v>
      </c>
      <c r="D11048">
        <v>12.65</v>
      </c>
      <c r="E11048">
        <f>-2.71667-12.65</f>
        <v>-15.366670000000001</v>
      </c>
      <c r="F11048" t="s">
        <v>16513</v>
      </c>
      <c r="G11048" t="s">
        <v>39</v>
      </c>
      <c r="H11048">
        <v>1984</v>
      </c>
      <c r="I11048">
        <v>28.5</v>
      </c>
      <c r="J11048">
        <v>13.619859999999999</v>
      </c>
      <c r="K11048">
        <v>61.831919999999997</v>
      </c>
      <c r="L11048">
        <v>21.49025</v>
      </c>
      <c r="M11048">
        <v>39.5</v>
      </c>
      <c r="N11048">
        <v>17.563330000000001</v>
      </c>
      <c r="O11048">
        <v>21.936669999999999</v>
      </c>
      <c r="P11048">
        <v>26.9</v>
      </c>
      <c r="Q11048">
        <v>26.6</v>
      </c>
      <c r="R11048">
        <v>31.7</v>
      </c>
      <c r="S11048">
        <v>26.583189999999998</v>
      </c>
      <c r="T11048">
        <v>708.50250000000005</v>
      </c>
      <c r="U11048">
        <v>202.1986</v>
      </c>
      <c r="V11048">
        <v>0</v>
      </c>
      <c r="W11048">
        <v>116.6961</v>
      </c>
      <c r="X11048">
        <v>499.85059999999999</v>
      </c>
      <c r="Y11048">
        <v>3</v>
      </c>
      <c r="Z11048">
        <v>76.651949999999999</v>
      </c>
      <c r="AA11048">
        <v>3</v>
      </c>
      <c r="AB11048">
        <v>3.225295</v>
      </c>
      <c r="AC11048">
        <v>0.1975305</v>
      </c>
      <c r="AD11048">
        <v>1.3367910000000001</v>
      </c>
      <c r="AE11048">
        <v>0.41821469999999999</v>
      </c>
      <c r="AF11048">
        <v>279.94229999999999</v>
      </c>
      <c r="AG11048">
        <f>IFERROR(AH11048*0.1, "N/A")</f>
        <v>6.3000000000000007</v>
      </c>
      <c r="AH11048">
        <v>63</v>
      </c>
      <c r="AI11048">
        <v>180.94040000000001</v>
      </c>
      <c r="AJ11048">
        <v>32.366720000000001</v>
      </c>
      <c r="AK11048">
        <v>46.533110000000001</v>
      </c>
    </row>
    <row r="11049" spans="1:37" x14ac:dyDescent="0.3">
      <c r="A11049">
        <v>11048</v>
      </c>
      <c r="B11049">
        <v>48</v>
      </c>
      <c r="C11049">
        <v>-2.4500000000000002</v>
      </c>
      <c r="D11049">
        <v>12.683299999999999</v>
      </c>
      <c r="E11049">
        <f>-2.45-12.6833</f>
        <v>-15.133299999999998</v>
      </c>
      <c r="F11049" t="s">
        <v>16514</v>
      </c>
      <c r="G11049" t="s">
        <v>39</v>
      </c>
      <c r="H11049">
        <v>1984</v>
      </c>
      <c r="I11049">
        <v>28.3</v>
      </c>
      <c r="J11049">
        <v>13.8</v>
      </c>
      <c r="K11049">
        <v>62</v>
      </c>
      <c r="L11049">
        <v>20.96885</v>
      </c>
      <c r="M11049">
        <v>39.213540000000002</v>
      </c>
      <c r="N11049">
        <v>17.100000000000001</v>
      </c>
      <c r="O11049">
        <v>22.11354</v>
      </c>
      <c r="P11049">
        <v>26.713539999999998</v>
      </c>
      <c r="Q11049">
        <v>26.3</v>
      </c>
      <c r="R11049">
        <v>31.351099999999999</v>
      </c>
      <c r="S11049">
        <v>26.3</v>
      </c>
      <c r="T11049">
        <v>707.11339999999996</v>
      </c>
      <c r="U11049">
        <v>201.62440000000001</v>
      </c>
      <c r="V11049">
        <v>0</v>
      </c>
      <c r="W11049">
        <v>117.154</v>
      </c>
      <c r="X11049">
        <v>501.75630000000001</v>
      </c>
      <c r="Y11049">
        <v>3</v>
      </c>
      <c r="Z11049">
        <v>78</v>
      </c>
      <c r="AA11049">
        <v>3</v>
      </c>
      <c r="AB11049">
        <v>5.6861199999999998</v>
      </c>
      <c r="AC11049">
        <v>9.7550310000000008E-3</v>
      </c>
      <c r="AD11049">
        <v>1.041331</v>
      </c>
      <c r="AE11049">
        <v>0.42454789999999998</v>
      </c>
      <c r="AF11049">
        <v>284.45850000000002</v>
      </c>
      <c r="AG11049">
        <f>IFERROR(AH11049*0.1, "N/A")</f>
        <v>6.0267340000000003</v>
      </c>
      <c r="AH11049">
        <v>60.267339999999997</v>
      </c>
      <c r="AI11049">
        <v>160.7218</v>
      </c>
      <c r="AJ11049">
        <v>23.930630000000001</v>
      </c>
      <c r="AK11049">
        <v>52.802030000000002</v>
      </c>
    </row>
    <row r="11050" spans="1:37" x14ac:dyDescent="0.3">
      <c r="A11050">
        <v>11049</v>
      </c>
      <c r="B11050">
        <v>68.400000000000006</v>
      </c>
      <c r="C11050">
        <v>-2.6166700000000001</v>
      </c>
      <c r="D11050">
        <v>12.466699999999999</v>
      </c>
      <c r="E11050">
        <f>-2.61667-12.4667</f>
        <v>-15.083369999999999</v>
      </c>
      <c r="F11050" t="s">
        <v>16515</v>
      </c>
      <c r="G11050" t="s">
        <v>39</v>
      </c>
      <c r="H11050">
        <v>1984</v>
      </c>
      <c r="I11050">
        <v>28.4</v>
      </c>
      <c r="J11050">
        <v>13.9</v>
      </c>
      <c r="K11050">
        <v>62</v>
      </c>
      <c r="L11050">
        <v>21.34534</v>
      </c>
      <c r="M11050">
        <v>39.423900000000003</v>
      </c>
      <c r="N11050">
        <v>17.058309999999999</v>
      </c>
      <c r="O11050">
        <v>22.365590000000001</v>
      </c>
      <c r="P11050">
        <v>26.9</v>
      </c>
      <c r="Q11050">
        <v>26.3583</v>
      </c>
      <c r="R11050">
        <v>31.558309999999999</v>
      </c>
      <c r="S11050">
        <v>26.3583</v>
      </c>
      <c r="T11050">
        <v>731.09320000000002</v>
      </c>
      <c r="U11050">
        <v>209</v>
      </c>
      <c r="V11050">
        <v>0</v>
      </c>
      <c r="W11050">
        <v>115.52200000000001</v>
      </c>
      <c r="X11050">
        <v>510.27120000000002</v>
      </c>
      <c r="Y11050">
        <v>4</v>
      </c>
      <c r="Z11050">
        <v>85.58305</v>
      </c>
      <c r="AA11050">
        <v>4</v>
      </c>
      <c r="AB11050">
        <v>0.67525710000000005</v>
      </c>
      <c r="AC11050">
        <v>0.39114959999999999</v>
      </c>
      <c r="AD11050">
        <v>0.83253840000000001</v>
      </c>
      <c r="AE11050">
        <v>0.65454599999999996</v>
      </c>
      <c r="AF11050">
        <v>273.33730000000003</v>
      </c>
      <c r="AG11050">
        <f>IFERROR(AH11050*0.1, "N/A")</f>
        <v>6.3608469999999997</v>
      </c>
      <c r="AH11050">
        <v>63.608469999999997</v>
      </c>
      <c r="AI11050">
        <v>54.753230000000002</v>
      </c>
      <c r="AJ11050">
        <v>13.632199999999999</v>
      </c>
      <c r="AK11050">
        <v>63.979660000000003</v>
      </c>
    </row>
    <row r="11051" spans="1:37" x14ac:dyDescent="0.3">
      <c r="A11051">
        <v>11050</v>
      </c>
      <c r="B11051">
        <v>0</v>
      </c>
      <c r="C11051">
        <v>-2.7166700000000001</v>
      </c>
      <c r="D11051">
        <v>12.5167</v>
      </c>
      <c r="E11051">
        <f>-2.71667-12.5167</f>
        <v>-15.233370000000001</v>
      </c>
      <c r="F11051" t="s">
        <v>16516</v>
      </c>
      <c r="G11051" t="s">
        <v>39</v>
      </c>
      <c r="H11051">
        <v>1984</v>
      </c>
      <c r="I11051">
        <v>28.456389999999999</v>
      </c>
      <c r="J11051">
        <v>13.73441</v>
      </c>
      <c r="K11051">
        <v>61.436120000000003</v>
      </c>
      <c r="L11051">
        <v>21.473659999999999</v>
      </c>
      <c r="M11051">
        <v>39.4908</v>
      </c>
      <c r="N11051">
        <v>17.399999999999999</v>
      </c>
      <c r="O11051">
        <v>22.090800000000002</v>
      </c>
      <c r="P11051">
        <v>26.802379999999999</v>
      </c>
      <c r="Q11051">
        <v>26.5</v>
      </c>
      <c r="R11051">
        <v>31.60239</v>
      </c>
      <c r="S11051">
        <v>26.5</v>
      </c>
      <c r="T11051">
        <v>723</v>
      </c>
      <c r="U11051">
        <v>207</v>
      </c>
      <c r="V11051">
        <v>0</v>
      </c>
      <c r="W11051">
        <v>116</v>
      </c>
      <c r="X11051">
        <v>507</v>
      </c>
      <c r="Y11051">
        <v>3</v>
      </c>
      <c r="Z11051">
        <v>82</v>
      </c>
      <c r="AA11051">
        <v>3</v>
      </c>
      <c r="AB11051">
        <v>0.39965869999999998</v>
      </c>
      <c r="AC11051">
        <v>1.2457800000000001</v>
      </c>
      <c r="AD11051">
        <v>1.957894</v>
      </c>
      <c r="AE11051">
        <v>0.46725640000000002</v>
      </c>
      <c r="AF11051">
        <v>273.20440000000002</v>
      </c>
      <c r="AG11051">
        <f>IFERROR(AH11051*0.1, "N/A")</f>
        <v>6.3964220000000003</v>
      </c>
      <c r="AH11051">
        <v>63.964219999999997</v>
      </c>
      <c r="AI11051">
        <v>136.87190000000001</v>
      </c>
      <c r="AJ11051">
        <v>15.36797</v>
      </c>
      <c r="AK11051">
        <v>61.080069999999999</v>
      </c>
    </row>
    <row r="11052" spans="1:37" x14ac:dyDescent="0.3">
      <c r="A11052">
        <v>11051</v>
      </c>
      <c r="B11052">
        <v>50</v>
      </c>
      <c r="C11052">
        <v>-2.7</v>
      </c>
      <c r="D11052">
        <v>12.45</v>
      </c>
      <c r="E11052">
        <f>-2.7-12.45</f>
        <v>-15.149999999999999</v>
      </c>
      <c r="F11052" t="s">
        <v>16517</v>
      </c>
      <c r="G11052" t="s">
        <v>39</v>
      </c>
      <c r="H11052">
        <v>1984</v>
      </c>
      <c r="I11052">
        <v>28.5</v>
      </c>
      <c r="J11052">
        <v>13.8</v>
      </c>
      <c r="K11052">
        <v>61.237200000000001</v>
      </c>
      <c r="L11052">
        <v>21.694929999999999</v>
      </c>
      <c r="M11052">
        <v>39.520989999999998</v>
      </c>
      <c r="N11052">
        <v>17.244710000000001</v>
      </c>
      <c r="O11052">
        <v>22.27628</v>
      </c>
      <c r="P11052">
        <v>26.804269999999999</v>
      </c>
      <c r="Q11052">
        <v>26.5</v>
      </c>
      <c r="R11052">
        <v>31.704270000000001</v>
      </c>
      <c r="S11052">
        <v>26.5</v>
      </c>
      <c r="T11052">
        <v>730.51710000000003</v>
      </c>
      <c r="U11052">
        <v>209.2799</v>
      </c>
      <c r="V11052">
        <v>0</v>
      </c>
      <c r="W11052">
        <v>115.5256</v>
      </c>
      <c r="X11052">
        <v>510.2799</v>
      </c>
      <c r="Y11052">
        <v>2.957338</v>
      </c>
      <c r="Z11052">
        <v>84.279859999999999</v>
      </c>
      <c r="AA11052">
        <v>3.957338</v>
      </c>
      <c r="AB11052">
        <v>5.7860019999999999</v>
      </c>
      <c r="AC11052">
        <v>1.3552130000000001E-2</v>
      </c>
      <c r="AD11052">
        <v>0.70998340000000004</v>
      </c>
      <c r="AE11052">
        <v>0.65926249999999997</v>
      </c>
      <c r="AF11052">
        <v>269.19110000000001</v>
      </c>
      <c r="AG11052">
        <f>IFERROR(AH11052*0.1, "N/A")</f>
        <v>5.9</v>
      </c>
      <c r="AH11052">
        <v>59</v>
      </c>
      <c r="AI11052">
        <v>139.54839999999999</v>
      </c>
      <c r="AJ11052">
        <v>18.790099999999999</v>
      </c>
      <c r="AK11052">
        <v>57.790100000000002</v>
      </c>
    </row>
    <row r="11053" spans="1:37" x14ac:dyDescent="0.3">
      <c r="A11053">
        <v>11052</v>
      </c>
      <c r="B11053">
        <v>10.7</v>
      </c>
      <c r="C11053">
        <v>-2.6166700000000001</v>
      </c>
      <c r="D11053">
        <v>12.566700000000001</v>
      </c>
      <c r="E11053">
        <f>-2.61667-12.5667</f>
        <v>-15.18337</v>
      </c>
      <c r="F11053" t="s">
        <v>16518</v>
      </c>
      <c r="G11053" t="s">
        <v>39</v>
      </c>
      <c r="H11053">
        <v>1984</v>
      </c>
      <c r="I11053">
        <v>28.278880000000001</v>
      </c>
      <c r="J11053">
        <v>13.8</v>
      </c>
      <c r="K11053">
        <v>61.652470000000001</v>
      </c>
      <c r="L11053">
        <v>21.422809999999998</v>
      </c>
      <c r="M11053">
        <v>39.313630000000003</v>
      </c>
      <c r="N11053">
        <v>17.144120000000001</v>
      </c>
      <c r="O11053">
        <v>22.169509999999999</v>
      </c>
      <c r="P11053">
        <v>26.744119999999999</v>
      </c>
      <c r="Q11053">
        <v>26.318909999999999</v>
      </c>
      <c r="R11053">
        <v>31.47888</v>
      </c>
      <c r="S11053">
        <v>26.318909999999999</v>
      </c>
      <c r="T11053">
        <v>713.79219999999998</v>
      </c>
      <c r="U11053">
        <v>205</v>
      </c>
      <c r="V11053">
        <v>0</v>
      </c>
      <c r="W11053">
        <v>117</v>
      </c>
      <c r="X11053">
        <v>503.21120000000002</v>
      </c>
      <c r="Y11053">
        <v>3</v>
      </c>
      <c r="Z11053">
        <v>80.558769999999996</v>
      </c>
      <c r="AA11053">
        <v>3</v>
      </c>
      <c r="AB11053">
        <v>10.01431</v>
      </c>
      <c r="AC11053">
        <v>1.447582E-2</v>
      </c>
      <c r="AD11053">
        <v>0.86750839999999996</v>
      </c>
      <c r="AE11053">
        <v>0.42094880000000001</v>
      </c>
      <c r="AF11053">
        <v>301.10899999999998</v>
      </c>
      <c r="AG11053">
        <f>IFERROR(AH11053*0.1, "N/A")</f>
        <v>6.2223170000000003</v>
      </c>
      <c r="AH11053">
        <v>62.223170000000003</v>
      </c>
      <c r="AI11053">
        <v>99.782520000000005</v>
      </c>
      <c r="AJ11053">
        <v>28.61158</v>
      </c>
      <c r="AK11053">
        <v>52</v>
      </c>
    </row>
    <row r="11054" spans="1:37" x14ac:dyDescent="0.3">
      <c r="A11054">
        <v>11053</v>
      </c>
      <c r="B11054">
        <v>18.2</v>
      </c>
      <c r="C11054">
        <v>-2.5333299999999999</v>
      </c>
      <c r="D11054">
        <v>12.6333</v>
      </c>
      <c r="E11054">
        <f>-2.53333-12.6333</f>
        <v>-15.16663</v>
      </c>
      <c r="F11054" t="s">
        <v>16519</v>
      </c>
      <c r="G11054" t="s">
        <v>39</v>
      </c>
      <c r="H11054">
        <v>1984</v>
      </c>
      <c r="I11054">
        <v>28.4</v>
      </c>
      <c r="J11054">
        <v>13.8</v>
      </c>
      <c r="K11054">
        <v>62</v>
      </c>
      <c r="L11054">
        <v>21.233840000000001</v>
      </c>
      <c r="M11054">
        <v>39.4</v>
      </c>
      <c r="N11054">
        <v>17.2</v>
      </c>
      <c r="O11054">
        <v>22.2</v>
      </c>
      <c r="P11054">
        <v>26.858329999999999</v>
      </c>
      <c r="Q11054">
        <v>26.4</v>
      </c>
      <c r="R11054">
        <v>31.5</v>
      </c>
      <c r="S11054">
        <v>26.4</v>
      </c>
      <c r="T11054">
        <v>708.14800000000002</v>
      </c>
      <c r="U11054">
        <v>202.148</v>
      </c>
      <c r="V11054">
        <v>0</v>
      </c>
      <c r="W11054">
        <v>116</v>
      </c>
      <c r="X11054">
        <v>500.14800000000002</v>
      </c>
      <c r="Y11054">
        <v>3</v>
      </c>
      <c r="Z11054">
        <v>79</v>
      </c>
      <c r="AA11054">
        <v>3</v>
      </c>
      <c r="AB11054">
        <v>0.22602069999999999</v>
      </c>
      <c r="AC11054">
        <v>3.3689870000000002</v>
      </c>
      <c r="AD11054">
        <v>1.2769140000000001</v>
      </c>
      <c r="AE11054">
        <v>0.58863880000000002</v>
      </c>
      <c r="AF11054">
        <v>268.07310000000001</v>
      </c>
      <c r="AG11054">
        <f>IFERROR(AH11054*0.1, "N/A")</f>
        <v>6.0741500000000004</v>
      </c>
      <c r="AH11054">
        <v>60.741500000000002</v>
      </c>
      <c r="AI11054">
        <v>171.6516</v>
      </c>
      <c r="AJ11054">
        <v>22.129249999999999</v>
      </c>
      <c r="AK11054">
        <v>54.435369999999999</v>
      </c>
    </row>
    <row r="11055" spans="1:37" x14ac:dyDescent="0.3">
      <c r="A11055">
        <v>11054</v>
      </c>
      <c r="B11055">
        <v>88.9</v>
      </c>
      <c r="C11055">
        <v>-2.5833300000000001</v>
      </c>
      <c r="D11055">
        <v>12.7333</v>
      </c>
      <c r="E11055">
        <f>-2.58333-12.7333</f>
        <v>-15.31663</v>
      </c>
      <c r="F11055" t="s">
        <v>16520</v>
      </c>
      <c r="G11055" t="s">
        <v>39</v>
      </c>
      <c r="H11055">
        <v>1984</v>
      </c>
      <c r="I11055">
        <v>28.4</v>
      </c>
      <c r="J11055">
        <v>13.7</v>
      </c>
      <c r="K11055">
        <v>62</v>
      </c>
      <c r="L11055">
        <v>20.973939999999999</v>
      </c>
      <c r="M11055">
        <v>39.4</v>
      </c>
      <c r="N11055">
        <v>17.5</v>
      </c>
      <c r="O11055">
        <v>21.9</v>
      </c>
      <c r="P11055">
        <v>26.8</v>
      </c>
      <c r="Q11055">
        <v>26.5</v>
      </c>
      <c r="R11055">
        <v>31.5</v>
      </c>
      <c r="S11055">
        <v>26.5</v>
      </c>
      <c r="T11055">
        <v>696.29880000000003</v>
      </c>
      <c r="U11055">
        <v>199</v>
      </c>
      <c r="V11055">
        <v>0</v>
      </c>
      <c r="W11055">
        <v>117</v>
      </c>
      <c r="X11055">
        <v>494</v>
      </c>
      <c r="Y11055">
        <v>3</v>
      </c>
      <c r="Z11055">
        <v>75</v>
      </c>
      <c r="AA11055">
        <v>3</v>
      </c>
      <c r="AB11055">
        <v>0.35059129999999999</v>
      </c>
      <c r="AC11055">
        <v>0.50078140000000004</v>
      </c>
      <c r="AD11055">
        <v>0.75876639999999995</v>
      </c>
      <c r="AE11055">
        <v>0.4544224</v>
      </c>
      <c r="AF11055">
        <v>276.61970000000002</v>
      </c>
      <c r="AG11055">
        <f>IFERROR(AH11055*0.1, "N/A")</f>
        <v>6.0339559999999999</v>
      </c>
      <c r="AH11055">
        <v>60.339559999999999</v>
      </c>
      <c r="AI11055">
        <v>230.16200000000001</v>
      </c>
      <c r="AJ11055">
        <v>18.940580000000001</v>
      </c>
      <c r="AK11055">
        <v>59.100169999999999</v>
      </c>
    </row>
    <row r="11056" spans="1:37" x14ac:dyDescent="0.3">
      <c r="A11056">
        <v>11055</v>
      </c>
      <c r="B11056">
        <v>38.5</v>
      </c>
      <c r="C11056">
        <v>-2.6166700000000001</v>
      </c>
      <c r="D11056">
        <v>12.65</v>
      </c>
      <c r="E11056">
        <f>-2.61667-12.65</f>
        <v>-15.266670000000001</v>
      </c>
      <c r="F11056" t="s">
        <v>16521</v>
      </c>
      <c r="G11056" t="s">
        <v>39</v>
      </c>
      <c r="H11056">
        <v>1984</v>
      </c>
      <c r="I11056">
        <v>28.4</v>
      </c>
      <c r="J11056">
        <v>13.7</v>
      </c>
      <c r="K11056">
        <v>61</v>
      </c>
      <c r="L11056">
        <v>21.370609999999999</v>
      </c>
      <c r="M11056">
        <v>39.4</v>
      </c>
      <c r="N11056">
        <v>17.3</v>
      </c>
      <c r="O11056">
        <v>22.1</v>
      </c>
      <c r="P11056">
        <v>26.8</v>
      </c>
      <c r="Q11056">
        <v>26.4</v>
      </c>
      <c r="R11056">
        <v>31.554500000000001</v>
      </c>
      <c r="S11056">
        <v>26.4</v>
      </c>
      <c r="T11056">
        <v>706.67740000000003</v>
      </c>
      <c r="U11056">
        <v>202</v>
      </c>
      <c r="V11056">
        <v>0</v>
      </c>
      <c r="W11056">
        <v>118</v>
      </c>
      <c r="X11056">
        <v>499.67739999999998</v>
      </c>
      <c r="Y11056">
        <v>3</v>
      </c>
      <c r="Z11056">
        <v>78</v>
      </c>
      <c r="AA11056">
        <v>3</v>
      </c>
      <c r="AB11056">
        <v>0.37826340000000003</v>
      </c>
      <c r="AC11056">
        <v>6.0262520000000004</v>
      </c>
      <c r="AD11056">
        <v>0.96830119999999997</v>
      </c>
      <c r="AE11056">
        <v>0.60215149999999995</v>
      </c>
      <c r="AF11056">
        <v>288.51100000000002</v>
      </c>
      <c r="AG11056">
        <f>IFERROR(AH11056*0.1, "N/A")</f>
        <v>6.061121</v>
      </c>
      <c r="AH11056">
        <v>60.61121</v>
      </c>
      <c r="AI11056">
        <v>233.7765</v>
      </c>
      <c r="AJ11056">
        <v>18</v>
      </c>
      <c r="AK11056">
        <v>61</v>
      </c>
    </row>
    <row r="11057" spans="1:37" x14ac:dyDescent="0.3">
      <c r="A11057">
        <v>11056</v>
      </c>
      <c r="B11057">
        <v>44.1</v>
      </c>
      <c r="C11057">
        <v>-2.6</v>
      </c>
      <c r="D11057">
        <v>12.916700000000001</v>
      </c>
      <c r="E11057">
        <f>-2.6-12.9167</f>
        <v>-15.5167</v>
      </c>
      <c r="F11057" t="s">
        <v>16522</v>
      </c>
      <c r="G11057" t="s">
        <v>39</v>
      </c>
      <c r="H11057">
        <v>1984</v>
      </c>
      <c r="I11057">
        <v>28.5</v>
      </c>
      <c r="J11057">
        <v>13.6</v>
      </c>
      <c r="K11057">
        <v>62</v>
      </c>
      <c r="L11057">
        <v>21.282070000000001</v>
      </c>
      <c r="M11057">
        <v>39.5</v>
      </c>
      <c r="N11057">
        <v>17.7</v>
      </c>
      <c r="O11057">
        <v>21.8</v>
      </c>
      <c r="P11057">
        <v>26.9</v>
      </c>
      <c r="Q11057">
        <v>26.526530000000001</v>
      </c>
      <c r="R11057">
        <v>31.6</v>
      </c>
      <c r="S11057">
        <v>26.526530000000001</v>
      </c>
      <c r="T11057">
        <v>668.08500000000004</v>
      </c>
      <c r="U11057">
        <v>192</v>
      </c>
      <c r="V11057">
        <v>0</v>
      </c>
      <c r="W11057">
        <v>119.6327</v>
      </c>
      <c r="X11057">
        <v>478.6327</v>
      </c>
      <c r="Y11057">
        <v>2</v>
      </c>
      <c r="Z11057">
        <v>67</v>
      </c>
      <c r="AA11057">
        <v>2</v>
      </c>
      <c r="AB11057">
        <v>0.30543999999999999</v>
      </c>
      <c r="AC11057">
        <v>7.6114980000000001</v>
      </c>
      <c r="AD11057">
        <v>0.77713069999999995</v>
      </c>
      <c r="AE11057">
        <v>0.60977099999999995</v>
      </c>
      <c r="AF11057">
        <v>285.91840000000002</v>
      </c>
      <c r="AG11057">
        <f>IFERROR(AH11057*0.1, "N/A")</f>
        <v>6.111224</v>
      </c>
      <c r="AH11057">
        <v>61.11224</v>
      </c>
      <c r="AI11057">
        <v>148.8554</v>
      </c>
      <c r="AJ11057">
        <v>14</v>
      </c>
      <c r="AK11057">
        <v>67</v>
      </c>
    </row>
    <row r="11058" spans="1:37" x14ac:dyDescent="0.3">
      <c r="A11058">
        <v>11057</v>
      </c>
      <c r="B11058">
        <v>66.7</v>
      </c>
      <c r="C11058">
        <v>-2.4333300000000002</v>
      </c>
      <c r="D11058">
        <v>12.933299999999999</v>
      </c>
      <c r="E11058">
        <f>-2.43333-12.9333</f>
        <v>-15.366629999999999</v>
      </c>
      <c r="F11058" t="s">
        <v>16523</v>
      </c>
      <c r="G11058" t="s">
        <v>39</v>
      </c>
      <c r="H11058">
        <v>1984</v>
      </c>
      <c r="I11058">
        <v>28.2</v>
      </c>
      <c r="J11058">
        <v>13.7</v>
      </c>
      <c r="K11058">
        <v>63</v>
      </c>
      <c r="L11058">
        <v>20.824210000000001</v>
      </c>
      <c r="M11058">
        <v>39.1</v>
      </c>
      <c r="N11058">
        <v>17.399999999999999</v>
      </c>
      <c r="O11058">
        <v>21.7</v>
      </c>
      <c r="P11058">
        <v>26.668420000000001</v>
      </c>
      <c r="Q11058">
        <v>26.3</v>
      </c>
      <c r="R11058">
        <v>31.268419999999999</v>
      </c>
      <c r="S11058">
        <v>26.3</v>
      </c>
      <c r="T11058">
        <v>665.02210000000002</v>
      </c>
      <c r="U11058">
        <v>191</v>
      </c>
      <c r="V11058">
        <v>0</v>
      </c>
      <c r="W11058">
        <v>120</v>
      </c>
      <c r="X11058">
        <v>477.51100000000002</v>
      </c>
      <c r="Y11058">
        <v>1</v>
      </c>
      <c r="Z11058">
        <v>68</v>
      </c>
      <c r="AA11058">
        <v>2</v>
      </c>
      <c r="AB11058">
        <v>1.230559</v>
      </c>
      <c r="AC11058">
        <v>6.6001760000000007E-2</v>
      </c>
      <c r="AD11058">
        <v>0.88159240000000005</v>
      </c>
      <c r="AE11058">
        <v>0.66975459999999998</v>
      </c>
      <c r="AF11058">
        <v>302.4092</v>
      </c>
      <c r="AG11058">
        <f>IFERROR(AH11058*0.1, "N/A")</f>
        <v>6.231579</v>
      </c>
      <c r="AH11058">
        <v>62.31579</v>
      </c>
      <c r="AI11058">
        <v>191.1857</v>
      </c>
      <c r="AJ11058">
        <v>16.68421</v>
      </c>
      <c r="AK11058">
        <v>63.63158</v>
      </c>
    </row>
    <row r="11059" spans="1:37" x14ac:dyDescent="0.3">
      <c r="A11059">
        <v>11058</v>
      </c>
      <c r="B11059">
        <v>45</v>
      </c>
      <c r="C11059">
        <v>-1.68306</v>
      </c>
      <c r="D11059">
        <v>12.6228</v>
      </c>
      <c r="E11059">
        <f>-1.68306-12.6228</f>
        <v>-14.305859999999999</v>
      </c>
      <c r="F11059" t="s">
        <v>16524</v>
      </c>
      <c r="G11059" t="s">
        <v>39</v>
      </c>
      <c r="H11059">
        <v>1984</v>
      </c>
      <c r="I11059">
        <v>28</v>
      </c>
      <c r="J11059">
        <v>13.5</v>
      </c>
      <c r="K11059">
        <v>59</v>
      </c>
      <c r="L11059">
        <v>22.53238</v>
      </c>
      <c r="M11059">
        <v>38.9</v>
      </c>
      <c r="N11059">
        <v>16.3</v>
      </c>
      <c r="O11059">
        <v>22.6</v>
      </c>
      <c r="P11059">
        <v>26.6</v>
      </c>
      <c r="Q11059">
        <v>25.61769</v>
      </c>
      <c r="R11059">
        <v>31.2</v>
      </c>
      <c r="S11059">
        <v>25.61769</v>
      </c>
      <c r="T11059">
        <v>722</v>
      </c>
      <c r="U11059">
        <v>210</v>
      </c>
      <c r="V11059">
        <v>0</v>
      </c>
      <c r="W11059">
        <v>116</v>
      </c>
      <c r="X11059">
        <v>506</v>
      </c>
      <c r="Y11059">
        <v>1</v>
      </c>
      <c r="Z11059">
        <v>82</v>
      </c>
      <c r="AA11059">
        <v>1</v>
      </c>
      <c r="AB11059">
        <v>3.1277210000000002</v>
      </c>
      <c r="AC11059">
        <v>6.0787309999999997E-2</v>
      </c>
      <c r="AD11059">
        <v>0.72327529999999995</v>
      </c>
      <c r="AE11059">
        <v>0.62273880000000004</v>
      </c>
      <c r="AF11059">
        <v>310.49829999999997</v>
      </c>
      <c r="AG11059">
        <f>IFERROR(AH11059*0.1, "N/A")</f>
        <v>5.8000000000000007</v>
      </c>
      <c r="AH11059">
        <v>58</v>
      </c>
      <c r="AI11059">
        <v>51.59234</v>
      </c>
      <c r="AJ11059">
        <v>11.176869999999999</v>
      </c>
      <c r="AK11059">
        <v>69.761899999999997</v>
      </c>
    </row>
    <row r="11060" spans="1:37" x14ac:dyDescent="0.3">
      <c r="A11060">
        <v>11059</v>
      </c>
      <c r="B11060">
        <v>54</v>
      </c>
      <c r="C11060">
        <v>-2.4166699999999999</v>
      </c>
      <c r="D11060">
        <v>12.8</v>
      </c>
      <c r="E11060">
        <f>-2.41667-12.8</f>
        <v>-15.216670000000001</v>
      </c>
      <c r="F11060" t="s">
        <v>16525</v>
      </c>
      <c r="G11060" t="s">
        <v>39</v>
      </c>
      <c r="H11060">
        <v>1984</v>
      </c>
      <c r="I11060">
        <v>28.256119999999999</v>
      </c>
      <c r="J11060">
        <v>13.72908</v>
      </c>
      <c r="K11060">
        <v>62.290819999999997</v>
      </c>
      <c r="L11060">
        <v>20.73638</v>
      </c>
      <c r="M11060">
        <v>39.200000000000003</v>
      </c>
      <c r="N11060">
        <v>17.3</v>
      </c>
      <c r="O11060">
        <v>21.9</v>
      </c>
      <c r="P11060">
        <v>26.7</v>
      </c>
      <c r="Q11060">
        <v>26.4</v>
      </c>
      <c r="R11060">
        <v>31.3</v>
      </c>
      <c r="S11060">
        <v>26.4</v>
      </c>
      <c r="T11060">
        <v>691.26530000000002</v>
      </c>
      <c r="U11060">
        <v>197</v>
      </c>
      <c r="V11060">
        <v>0</v>
      </c>
      <c r="W11060">
        <v>119</v>
      </c>
      <c r="X11060">
        <v>492.85199999999998</v>
      </c>
      <c r="Y11060">
        <v>2</v>
      </c>
      <c r="Z11060">
        <v>74.561220000000006</v>
      </c>
      <c r="AA11060">
        <v>2</v>
      </c>
      <c r="AB11060">
        <v>2.760192</v>
      </c>
      <c r="AC11060">
        <v>4.3810099999999998E-2</v>
      </c>
      <c r="AD11060">
        <v>2.2768540000000002</v>
      </c>
      <c r="AE11060">
        <v>0.61266290000000001</v>
      </c>
      <c r="AF11060">
        <v>291.27550000000002</v>
      </c>
      <c r="AG11060">
        <f>IFERROR(AH11060*0.1, "N/A")</f>
        <v>6.034014</v>
      </c>
      <c r="AH11060">
        <v>60.340139999999998</v>
      </c>
      <c r="AI11060">
        <v>270.83350000000002</v>
      </c>
      <c r="AJ11060">
        <v>17.68027</v>
      </c>
      <c r="AK11060">
        <v>61.979590000000002</v>
      </c>
    </row>
    <row r="11061" spans="1:37" x14ac:dyDescent="0.3">
      <c r="A11061">
        <v>11060</v>
      </c>
      <c r="B11061">
        <v>45</v>
      </c>
      <c r="C11061">
        <v>-2.3333300000000001</v>
      </c>
      <c r="D11061">
        <v>12.716699999999999</v>
      </c>
      <c r="E11061">
        <f>-2.33333-12.7167</f>
        <v>-15.05003</v>
      </c>
      <c r="F11061" t="s">
        <v>16526</v>
      </c>
      <c r="G11061" t="s">
        <v>39</v>
      </c>
      <c r="H11061">
        <v>1984</v>
      </c>
      <c r="I11061">
        <v>28</v>
      </c>
      <c r="J11061">
        <v>13.8</v>
      </c>
      <c r="K11061">
        <v>62</v>
      </c>
      <c r="L11061">
        <v>20.46782</v>
      </c>
      <c r="M11061">
        <v>38.929250000000003</v>
      </c>
      <c r="N11061">
        <v>16.899999999999999</v>
      </c>
      <c r="O11061">
        <v>22.029250000000001</v>
      </c>
      <c r="P11061">
        <v>26.529250000000001</v>
      </c>
      <c r="Q11061">
        <v>26.1</v>
      </c>
      <c r="R11061">
        <v>31.029250000000001</v>
      </c>
      <c r="S11061">
        <v>26.1</v>
      </c>
      <c r="T11061">
        <v>713.41499999999996</v>
      </c>
      <c r="U11061">
        <v>203</v>
      </c>
      <c r="V11061">
        <v>0</v>
      </c>
      <c r="W11061">
        <v>118</v>
      </c>
      <c r="X11061">
        <v>508.70749999999998</v>
      </c>
      <c r="Y11061">
        <v>2</v>
      </c>
      <c r="Z11061">
        <v>79.707480000000004</v>
      </c>
      <c r="AA11061">
        <v>2</v>
      </c>
      <c r="AB11061">
        <v>0.22329679999999999</v>
      </c>
      <c r="AC11061">
        <v>9.3250919999999997</v>
      </c>
      <c r="AD11061">
        <v>1.453022</v>
      </c>
      <c r="AE11061">
        <v>0.53543490000000005</v>
      </c>
      <c r="AF11061">
        <v>312.73129999999998</v>
      </c>
      <c r="AG11061">
        <f>IFERROR(AH11061*0.1, "N/A")</f>
        <v>6.6000000000000005</v>
      </c>
      <c r="AH11061">
        <v>66</v>
      </c>
      <c r="AI11061">
        <v>105.60760000000001</v>
      </c>
      <c r="AJ11061">
        <v>18</v>
      </c>
      <c r="AK11061">
        <v>63.18027</v>
      </c>
    </row>
    <row r="11062" spans="1:37" x14ac:dyDescent="0.3">
      <c r="A11062">
        <v>11061</v>
      </c>
      <c r="B11062">
        <v>77.8</v>
      </c>
      <c r="C11062">
        <v>-2.4166699999999999</v>
      </c>
      <c r="D11062">
        <v>12.7333</v>
      </c>
      <c r="E11062">
        <f>-2.41667-12.7333</f>
        <v>-15.14997</v>
      </c>
      <c r="F11062" t="s">
        <v>16527</v>
      </c>
      <c r="G11062" t="s">
        <v>39</v>
      </c>
      <c r="H11062">
        <v>1984</v>
      </c>
      <c r="I11062">
        <v>28.3</v>
      </c>
      <c r="J11062">
        <v>13.8</v>
      </c>
      <c r="K11062">
        <v>62.168370000000003</v>
      </c>
      <c r="L11062">
        <v>20.741160000000001</v>
      </c>
      <c r="M11062">
        <v>39.200000000000003</v>
      </c>
      <c r="N11062">
        <v>17.216840000000001</v>
      </c>
      <c r="O11062">
        <v>21.983160000000002</v>
      </c>
      <c r="P11062">
        <v>26.716840000000001</v>
      </c>
      <c r="Q11062">
        <v>26.32602</v>
      </c>
      <c r="R11062">
        <v>31.349319999999999</v>
      </c>
      <c r="S11062">
        <v>26.32602</v>
      </c>
      <c r="T11062">
        <v>699.98810000000003</v>
      </c>
      <c r="U11062">
        <v>199.83160000000001</v>
      </c>
      <c r="V11062">
        <v>0</v>
      </c>
      <c r="W11062">
        <v>117.83159999999999</v>
      </c>
      <c r="X11062">
        <v>498.90989999999999</v>
      </c>
      <c r="Y11062">
        <v>2</v>
      </c>
      <c r="Z11062">
        <v>76.246600000000001</v>
      </c>
      <c r="AA11062">
        <v>2</v>
      </c>
      <c r="AB11062">
        <v>7.0936959999999996</v>
      </c>
      <c r="AC11062">
        <v>8.3700730000000004E-3</v>
      </c>
      <c r="AD11062">
        <v>1.6898610000000001</v>
      </c>
      <c r="AE11062">
        <v>0.49837789999999998</v>
      </c>
      <c r="AF11062">
        <v>291.1139</v>
      </c>
      <c r="AG11062">
        <f>IFERROR(AH11062*0.1, "N/A")</f>
        <v>6.1392860000000002</v>
      </c>
      <c r="AH11062">
        <v>61.392859999999999</v>
      </c>
      <c r="AI11062">
        <v>151.83340000000001</v>
      </c>
      <c r="AJ11062">
        <v>22.87415</v>
      </c>
      <c r="AK11062">
        <v>51.790819999999997</v>
      </c>
    </row>
    <row r="11063" spans="1:37" x14ac:dyDescent="0.3">
      <c r="A11063">
        <v>11062</v>
      </c>
      <c r="B11063">
        <v>80</v>
      </c>
      <c r="C11063">
        <v>-2.4333300000000002</v>
      </c>
      <c r="D11063">
        <v>12.65</v>
      </c>
      <c r="E11063">
        <f>-2.43333-12.65</f>
        <v>-15.08333</v>
      </c>
      <c r="F11063" t="s">
        <v>16528</v>
      </c>
      <c r="G11063" t="s">
        <v>39</v>
      </c>
      <c r="H11063">
        <v>1984</v>
      </c>
      <c r="I11063">
        <v>28.3</v>
      </c>
      <c r="J11063">
        <v>13.8</v>
      </c>
      <c r="K11063">
        <v>62</v>
      </c>
      <c r="L11063">
        <v>21.02251</v>
      </c>
      <c r="M11063">
        <v>39.231749999999998</v>
      </c>
      <c r="N11063">
        <v>17.068079999999998</v>
      </c>
      <c r="O11063">
        <v>22.16367</v>
      </c>
      <c r="P11063">
        <v>26.71358</v>
      </c>
      <c r="Q11063">
        <v>26.3</v>
      </c>
      <c r="R11063">
        <v>31.4</v>
      </c>
      <c r="S11063">
        <v>26.3</v>
      </c>
      <c r="T11063">
        <v>712.54669999999999</v>
      </c>
      <c r="U11063">
        <v>203</v>
      </c>
      <c r="V11063">
        <v>0</v>
      </c>
      <c r="W11063">
        <v>117</v>
      </c>
      <c r="X11063">
        <v>504.6825</v>
      </c>
      <c r="Y11063">
        <v>2.8641770000000002</v>
      </c>
      <c r="Z11063">
        <v>80</v>
      </c>
      <c r="AA11063">
        <v>2.8641770000000002</v>
      </c>
      <c r="AB11063">
        <v>4.289307</v>
      </c>
      <c r="AC11063">
        <v>8.3443719999999992E-3</v>
      </c>
      <c r="AD11063">
        <v>1.606989</v>
      </c>
      <c r="AE11063">
        <v>0.5670193</v>
      </c>
      <c r="AF11063">
        <v>278.61970000000002</v>
      </c>
      <c r="AG11063">
        <f>IFERROR(AH11063*0.1, "N/A")</f>
        <v>6.1000000000000005</v>
      </c>
      <c r="AH11063">
        <v>61</v>
      </c>
      <c r="AI11063">
        <v>162.96170000000001</v>
      </c>
      <c r="AJ11063">
        <v>17</v>
      </c>
      <c r="AK11063">
        <v>59.317489999999999</v>
      </c>
    </row>
    <row r="11064" spans="1:37" x14ac:dyDescent="0.3">
      <c r="A11064">
        <v>11063</v>
      </c>
      <c r="B11064">
        <v>50</v>
      </c>
      <c r="C11064">
        <v>-2.3666700000000001</v>
      </c>
      <c r="D11064">
        <v>12.6</v>
      </c>
      <c r="E11064">
        <f>-2.36667-12.6</f>
        <v>-14.966670000000001</v>
      </c>
      <c r="F11064" t="s">
        <v>16529</v>
      </c>
      <c r="G11064" t="s">
        <v>39</v>
      </c>
      <c r="H11064">
        <v>1984</v>
      </c>
      <c r="I11064">
        <v>28.1</v>
      </c>
      <c r="J11064">
        <v>13.9</v>
      </c>
      <c r="K11064">
        <v>62</v>
      </c>
      <c r="L11064">
        <v>21.230090000000001</v>
      </c>
      <c r="M11064">
        <v>39.1</v>
      </c>
      <c r="N11064">
        <v>16.7</v>
      </c>
      <c r="O11064">
        <v>22.4</v>
      </c>
      <c r="P11064">
        <v>26.626439999999999</v>
      </c>
      <c r="Q11064">
        <v>26</v>
      </c>
      <c r="R11064">
        <v>31.2</v>
      </c>
      <c r="S11064">
        <v>26</v>
      </c>
      <c r="T11064">
        <v>726.26099999999997</v>
      </c>
      <c r="U11064">
        <v>206.29660000000001</v>
      </c>
      <c r="V11064">
        <v>0</v>
      </c>
      <c r="W11064">
        <v>117</v>
      </c>
      <c r="X11064">
        <v>514.26440000000002</v>
      </c>
      <c r="Y11064">
        <v>2</v>
      </c>
      <c r="Z11064">
        <v>83.264409999999998</v>
      </c>
      <c r="AA11064">
        <v>2</v>
      </c>
      <c r="AB11064">
        <v>1.990329</v>
      </c>
      <c r="AC11064">
        <v>6.6640389999999994E-2</v>
      </c>
      <c r="AD11064">
        <v>2.6276959999999998</v>
      </c>
      <c r="AE11064">
        <v>0.62823010000000001</v>
      </c>
      <c r="AF11064">
        <v>294.4153</v>
      </c>
      <c r="AG11064">
        <f>IFERROR(AH11064*0.1, "N/A")</f>
        <v>6.1000000000000005</v>
      </c>
      <c r="AH11064">
        <v>61</v>
      </c>
      <c r="AI11064">
        <v>225.41759999999999</v>
      </c>
      <c r="AJ11064">
        <v>20.828810000000001</v>
      </c>
      <c r="AK11064">
        <v>53.171190000000003</v>
      </c>
    </row>
    <row r="11065" spans="1:37" x14ac:dyDescent="0.3">
      <c r="A11065">
        <v>11064</v>
      </c>
      <c r="B11065">
        <v>37.1</v>
      </c>
      <c r="C11065">
        <v>-2.2999999999999998</v>
      </c>
      <c r="D11065">
        <v>12.6</v>
      </c>
      <c r="E11065">
        <f>-2.3-12.6</f>
        <v>-14.899999999999999</v>
      </c>
      <c r="F11065" t="s">
        <v>16530</v>
      </c>
      <c r="G11065" t="s">
        <v>39</v>
      </c>
      <c r="H11065">
        <v>1984</v>
      </c>
      <c r="I11065">
        <v>28.129539999999999</v>
      </c>
      <c r="J11065">
        <v>13.82954</v>
      </c>
      <c r="K11065">
        <v>61.224110000000003</v>
      </c>
      <c r="L11065">
        <v>21.26708</v>
      </c>
      <c r="M11065">
        <v>39.122410000000002</v>
      </c>
      <c r="N11065">
        <v>16.66282</v>
      </c>
      <c r="O11065">
        <v>22.459589999999999</v>
      </c>
      <c r="P11065">
        <v>26.782</v>
      </c>
      <c r="Q11065">
        <v>26.051950000000001</v>
      </c>
      <c r="R11065">
        <v>31.282</v>
      </c>
      <c r="S11065">
        <v>26.022410000000001</v>
      </c>
      <c r="T11065">
        <v>721.25130000000001</v>
      </c>
      <c r="U11065">
        <v>206</v>
      </c>
      <c r="V11065">
        <v>0</v>
      </c>
      <c r="W11065">
        <v>116.77589999999999</v>
      </c>
      <c r="X11065">
        <v>511.77589999999998</v>
      </c>
      <c r="Y11065">
        <v>2</v>
      </c>
      <c r="Z11065">
        <v>81</v>
      </c>
      <c r="AA11065">
        <v>2.4753820000000002</v>
      </c>
      <c r="AB11065">
        <v>6.9219030000000004</v>
      </c>
      <c r="AC11065">
        <v>1.6408599999999999E-2</v>
      </c>
      <c r="AD11065">
        <v>1.5823480000000001</v>
      </c>
      <c r="AE11065">
        <v>0.48351939999999999</v>
      </c>
      <c r="AF11065">
        <v>285.0204</v>
      </c>
      <c r="AG11065">
        <f>IFERROR(AH11065*0.1, "N/A")</f>
        <v>6.3000000000000007</v>
      </c>
      <c r="AH11065">
        <v>63</v>
      </c>
      <c r="AI11065">
        <v>265.4058</v>
      </c>
      <c r="AJ11065">
        <v>24.502549999999999</v>
      </c>
      <c r="AK11065">
        <v>51.748730000000002</v>
      </c>
    </row>
    <row r="11066" spans="1:37" x14ac:dyDescent="0.3">
      <c r="A11066">
        <v>11065</v>
      </c>
      <c r="B11066">
        <v>52.2</v>
      </c>
      <c r="C11066">
        <v>-2.15</v>
      </c>
      <c r="D11066">
        <v>12.9833</v>
      </c>
      <c r="E11066">
        <f>-2.15-12.9833</f>
        <v>-15.1333</v>
      </c>
      <c r="F11066" t="s">
        <v>16531</v>
      </c>
      <c r="G11066" t="s">
        <v>39</v>
      </c>
      <c r="H11066">
        <v>1984</v>
      </c>
      <c r="I11066">
        <v>28.0107</v>
      </c>
      <c r="J11066">
        <v>13.73667</v>
      </c>
      <c r="K11066">
        <v>62.366720000000001</v>
      </c>
      <c r="L11066">
        <v>20.343260000000001</v>
      </c>
      <c r="M11066">
        <v>38.910699999999999</v>
      </c>
      <c r="N11066">
        <v>17.086929999999999</v>
      </c>
      <c r="O11066">
        <v>21.82377</v>
      </c>
      <c r="P11066">
        <v>26.6</v>
      </c>
      <c r="Q11066">
        <v>26.1</v>
      </c>
      <c r="R11066">
        <v>31.063330000000001</v>
      </c>
      <c r="S11066">
        <v>26.1</v>
      </c>
      <c r="T11066">
        <v>662.76400000000001</v>
      </c>
      <c r="U11066">
        <v>192.13069999999999</v>
      </c>
      <c r="V11066">
        <v>0</v>
      </c>
      <c r="W11066">
        <v>120</v>
      </c>
      <c r="X11066">
        <v>475.76400000000001</v>
      </c>
      <c r="Y11066">
        <v>1</v>
      </c>
      <c r="Z11066">
        <v>69</v>
      </c>
      <c r="AA11066">
        <v>1.526316</v>
      </c>
      <c r="AB11066">
        <v>0.84583489999999995</v>
      </c>
      <c r="AC11066">
        <v>2.3048180000000001E-2</v>
      </c>
      <c r="AD11066">
        <v>1.5288820000000001</v>
      </c>
      <c r="AE11066">
        <v>0.44021090000000002</v>
      </c>
      <c r="AF11066">
        <v>299.70800000000003</v>
      </c>
      <c r="AG11066">
        <f>IFERROR(AH11066*0.1, "N/A")</f>
        <v>6.0762309999999999</v>
      </c>
      <c r="AH11066">
        <v>60.762309999999999</v>
      </c>
      <c r="AI11066">
        <v>204.4273</v>
      </c>
      <c r="AJ11066">
        <v>17</v>
      </c>
      <c r="AK11066">
        <v>62</v>
      </c>
    </row>
    <row r="11067" spans="1:37" x14ac:dyDescent="0.3">
      <c r="A11067">
        <v>11066</v>
      </c>
      <c r="B11067">
        <v>15.4</v>
      </c>
      <c r="C11067">
        <v>-2.2704200000000001</v>
      </c>
      <c r="D11067">
        <v>13.1625</v>
      </c>
      <c r="E11067">
        <f>-2.27042-13.1625</f>
        <v>-15.432919999999999</v>
      </c>
      <c r="F11067" t="s">
        <v>16532</v>
      </c>
      <c r="G11067" t="s">
        <v>39</v>
      </c>
      <c r="H11067">
        <v>1984</v>
      </c>
      <c r="I11067">
        <v>28.2</v>
      </c>
      <c r="J11067">
        <v>13.8</v>
      </c>
      <c r="K11067">
        <v>62</v>
      </c>
      <c r="L11067">
        <v>21.29</v>
      </c>
      <c r="M11067">
        <v>39.200000000000003</v>
      </c>
      <c r="N11067">
        <v>17</v>
      </c>
      <c r="O11067">
        <v>22.2</v>
      </c>
      <c r="P11067">
        <v>26.9</v>
      </c>
      <c r="Q11067">
        <v>26</v>
      </c>
      <c r="R11067">
        <v>31.3</v>
      </c>
      <c r="S11067">
        <v>26</v>
      </c>
      <c r="T11067">
        <v>621</v>
      </c>
      <c r="U11067">
        <v>184</v>
      </c>
      <c r="V11067">
        <v>0</v>
      </c>
      <c r="W11067">
        <v>123</v>
      </c>
      <c r="X11067">
        <v>451</v>
      </c>
      <c r="Y11067">
        <v>1</v>
      </c>
      <c r="Z11067">
        <v>56</v>
      </c>
      <c r="AA11067">
        <v>2</v>
      </c>
      <c r="AB11067">
        <v>4.3511030000000002</v>
      </c>
      <c r="AC11067">
        <v>1.563726E-2</v>
      </c>
      <c r="AD11067">
        <v>1.4384250000000001</v>
      </c>
      <c r="AE11067">
        <v>0.51917579999999997</v>
      </c>
      <c r="AF11067">
        <v>315.93720000000002</v>
      </c>
      <c r="AG11067">
        <f>IFERROR(AH11067*0.1, "N/A")</f>
        <v>6.0903230000000006</v>
      </c>
      <c r="AH11067">
        <v>60.903230000000001</v>
      </c>
      <c r="AI11067">
        <v>294.92520000000002</v>
      </c>
      <c r="AJ11067">
        <v>17.36842</v>
      </c>
      <c r="AK11067">
        <v>61.63158</v>
      </c>
    </row>
    <row r="11068" spans="1:37" x14ac:dyDescent="0.3">
      <c r="A11068">
        <v>11067</v>
      </c>
      <c r="B11068">
        <v>16</v>
      </c>
      <c r="C11068">
        <v>-1.9377800000000001</v>
      </c>
      <c r="D11068">
        <v>13.0403</v>
      </c>
      <c r="E11068">
        <f>-1.93778-13.0403</f>
        <v>-14.97808</v>
      </c>
      <c r="F11068" t="s">
        <v>16533</v>
      </c>
      <c r="G11068" t="s">
        <v>39</v>
      </c>
      <c r="H11068">
        <v>1984</v>
      </c>
      <c r="I11068">
        <v>28.1</v>
      </c>
      <c r="J11068">
        <v>13.7</v>
      </c>
      <c r="K11068">
        <v>61</v>
      </c>
      <c r="L11068">
        <v>21.64</v>
      </c>
      <c r="M11068">
        <v>39.1</v>
      </c>
      <c r="N11068">
        <v>16.8</v>
      </c>
      <c r="O11068">
        <v>22.3</v>
      </c>
      <c r="P11068">
        <v>26.8</v>
      </c>
      <c r="Q11068">
        <v>25.9</v>
      </c>
      <c r="R11068">
        <v>31.2</v>
      </c>
      <c r="S11068">
        <v>25.9</v>
      </c>
      <c r="T11068">
        <v>664</v>
      </c>
      <c r="U11068">
        <v>196</v>
      </c>
      <c r="V11068">
        <v>0</v>
      </c>
      <c r="W11068">
        <v>120</v>
      </c>
      <c r="X11068">
        <v>475</v>
      </c>
      <c r="Y11068">
        <v>0</v>
      </c>
      <c r="Z11068">
        <v>70</v>
      </c>
      <c r="AA11068">
        <v>0</v>
      </c>
      <c r="AB11068">
        <v>8.3230629999999994</v>
      </c>
      <c r="AC11068">
        <v>5.1148449999999998E-2</v>
      </c>
      <c r="AD11068">
        <v>1.215063</v>
      </c>
      <c r="AE11068">
        <v>0.4848249</v>
      </c>
      <c r="AF11068">
        <v>301.55250000000001</v>
      </c>
      <c r="AG11068">
        <f>IFERROR(AH11068*0.1, "N/A")</f>
        <v>6.4179659999999998</v>
      </c>
      <c r="AH11068">
        <v>64.179659999999998</v>
      </c>
      <c r="AI11068">
        <v>253.31989999999999</v>
      </c>
      <c r="AJ11068">
        <v>19.94068</v>
      </c>
      <c r="AK11068">
        <v>60.181359999999998</v>
      </c>
    </row>
    <row r="11069" spans="1:37" x14ac:dyDescent="0.3">
      <c r="A11069">
        <v>11068</v>
      </c>
      <c r="B11069">
        <v>21.4</v>
      </c>
      <c r="C11069">
        <v>-1.23333</v>
      </c>
      <c r="D11069">
        <v>12.9833</v>
      </c>
      <c r="E11069">
        <f>-1.23333-12.9833</f>
        <v>-14.21663</v>
      </c>
      <c r="F11069" t="s">
        <v>16534</v>
      </c>
      <c r="G11069" t="s">
        <v>39</v>
      </c>
      <c r="H11069">
        <v>1984</v>
      </c>
      <c r="I11069">
        <v>28.2242</v>
      </c>
      <c r="J11069">
        <v>13.3</v>
      </c>
      <c r="K11069">
        <v>58.55668</v>
      </c>
      <c r="L11069">
        <v>23.541519999999998</v>
      </c>
      <c r="M11069">
        <v>39.244329999999998</v>
      </c>
      <c r="N11069">
        <v>16.7</v>
      </c>
      <c r="O11069">
        <v>22.544329999999999</v>
      </c>
      <c r="P11069">
        <v>26.844329999999999</v>
      </c>
      <c r="Q11069">
        <v>25.7</v>
      </c>
      <c r="R11069">
        <v>31.444330000000001</v>
      </c>
      <c r="S11069">
        <v>25.67276</v>
      </c>
      <c r="T11069">
        <v>659.25379999999996</v>
      </c>
      <c r="U11069">
        <v>203</v>
      </c>
      <c r="V11069">
        <v>0</v>
      </c>
      <c r="W11069">
        <v>121.94750000000001</v>
      </c>
      <c r="X11069">
        <v>475</v>
      </c>
      <c r="Y11069">
        <v>0</v>
      </c>
      <c r="Z11069">
        <v>64.253810000000001</v>
      </c>
      <c r="AA11069">
        <v>1</v>
      </c>
      <c r="AB11069">
        <v>1.0045740000000001</v>
      </c>
      <c r="AC11069">
        <v>0.14622309999999999</v>
      </c>
      <c r="AD11069">
        <v>0.75973889999999999</v>
      </c>
      <c r="AE11069">
        <v>0.3559949</v>
      </c>
      <c r="AF11069">
        <v>290.75799999999998</v>
      </c>
      <c r="AG11069">
        <f>IFERROR(AH11069*0.1, "N/A")</f>
        <v>6.3000000000000007</v>
      </c>
      <c r="AH11069">
        <v>63</v>
      </c>
      <c r="AI11069">
        <v>282.58100000000002</v>
      </c>
      <c r="AJ11069">
        <v>26.77327</v>
      </c>
      <c r="AK11069">
        <v>50.226730000000003</v>
      </c>
    </row>
    <row r="11070" spans="1:37" x14ac:dyDescent="0.3">
      <c r="A11070">
        <v>11069</v>
      </c>
      <c r="B11070">
        <v>14</v>
      </c>
      <c r="C11070">
        <v>-1.7833300000000001</v>
      </c>
      <c r="D11070">
        <v>13.083299999999999</v>
      </c>
      <c r="E11070">
        <f>-1.78333-13.0833</f>
        <v>-14.866629999999999</v>
      </c>
      <c r="F11070" t="s">
        <v>16535</v>
      </c>
      <c r="G11070" t="s">
        <v>39</v>
      </c>
      <c r="H11070">
        <v>1984</v>
      </c>
      <c r="I11070">
        <v>28.192879999999999</v>
      </c>
      <c r="J11070">
        <v>13.626099999999999</v>
      </c>
      <c r="K11070">
        <v>59.898310000000002</v>
      </c>
      <c r="L11070">
        <v>22.406639999999999</v>
      </c>
      <c r="M11070">
        <v>39.229149999999997</v>
      </c>
      <c r="N11070">
        <v>16.618980000000001</v>
      </c>
      <c r="O11070">
        <v>22.61017</v>
      </c>
      <c r="P11070">
        <v>26.873899999999999</v>
      </c>
      <c r="Q11070">
        <v>25.737970000000001</v>
      </c>
      <c r="R11070">
        <v>31.31898</v>
      </c>
      <c r="S11070">
        <v>25.737970000000001</v>
      </c>
      <c r="T11070">
        <v>657.96950000000004</v>
      </c>
      <c r="U11070">
        <v>197</v>
      </c>
      <c r="V11070">
        <v>0</v>
      </c>
      <c r="W11070">
        <v>121.7085</v>
      </c>
      <c r="X11070">
        <v>470.26100000000002</v>
      </c>
      <c r="Y11070">
        <v>0</v>
      </c>
      <c r="Z11070">
        <v>69</v>
      </c>
      <c r="AA11070">
        <v>0</v>
      </c>
      <c r="AB11070">
        <v>9.7945700000000002</v>
      </c>
      <c r="AC11070">
        <v>3.1993720000000003E-2</v>
      </c>
      <c r="AD11070">
        <v>2.2770290000000002</v>
      </c>
      <c r="AE11070">
        <v>0.38230350000000002</v>
      </c>
      <c r="AF11070">
        <v>301.56270000000001</v>
      </c>
      <c r="AG11070">
        <f>IFERROR(AH11070*0.1, "N/A")</f>
        <v>6.2</v>
      </c>
      <c r="AH11070">
        <v>62</v>
      </c>
      <c r="AI11070">
        <v>189.51689999999999</v>
      </c>
      <c r="AJ11070">
        <v>23.27458</v>
      </c>
      <c r="AK11070">
        <v>55.088140000000003</v>
      </c>
    </row>
    <row r="11071" spans="1:37" x14ac:dyDescent="0.3">
      <c r="A11071">
        <v>11070</v>
      </c>
      <c r="B11071">
        <v>19.600000000000001</v>
      </c>
      <c r="C11071">
        <v>-1.51667</v>
      </c>
      <c r="D11071">
        <v>13.333299999999999</v>
      </c>
      <c r="E11071">
        <f>-1.51667-13.3333</f>
        <v>-14.849969999999999</v>
      </c>
      <c r="F11071" t="s">
        <v>16536</v>
      </c>
      <c r="G11071" t="s">
        <v>39</v>
      </c>
      <c r="H11071">
        <v>1984</v>
      </c>
      <c r="I11071">
        <v>28.23593</v>
      </c>
      <c r="J11071">
        <v>13.67475</v>
      </c>
      <c r="K11071">
        <v>59</v>
      </c>
      <c r="L11071">
        <v>23.86514</v>
      </c>
      <c r="M11071">
        <v>39.30491</v>
      </c>
      <c r="N11071">
        <v>16.399999999999999</v>
      </c>
      <c r="O11071">
        <v>22.904910000000001</v>
      </c>
      <c r="P11071">
        <v>27.1</v>
      </c>
      <c r="Q11071">
        <v>25.4</v>
      </c>
      <c r="R11071">
        <v>31.4</v>
      </c>
      <c r="S11071">
        <v>25.4</v>
      </c>
      <c r="T11071">
        <v>615.5915</v>
      </c>
      <c r="U11071">
        <v>194</v>
      </c>
      <c r="V11071">
        <v>0</v>
      </c>
      <c r="W11071">
        <v>124</v>
      </c>
      <c r="X11071">
        <v>447.5915</v>
      </c>
      <c r="Y11071">
        <v>0</v>
      </c>
      <c r="Z11071">
        <v>56</v>
      </c>
      <c r="AA11071">
        <v>0</v>
      </c>
      <c r="AB11071">
        <v>0.3967791</v>
      </c>
      <c r="AC11071">
        <v>3.641904E-2</v>
      </c>
      <c r="AD11071">
        <v>1.645689</v>
      </c>
      <c r="AE11071">
        <v>0.60479939999999999</v>
      </c>
      <c r="AF11071">
        <v>300.7</v>
      </c>
      <c r="AG11071" t="str">
        <f>IFERROR(AH11071*0.1, "N/A")</f>
        <v>N/A</v>
      </c>
      <c r="AH11071" t="s">
        <v>729</v>
      </c>
      <c r="AI11071">
        <v>25.854320000000001</v>
      </c>
      <c r="AJ11071" t="s">
        <v>729</v>
      </c>
      <c r="AK11071" t="s">
        <v>729</v>
      </c>
    </row>
    <row r="11072" spans="1:37" x14ac:dyDescent="0.3">
      <c r="A11072">
        <v>11071</v>
      </c>
      <c r="B11072">
        <v>22</v>
      </c>
      <c r="C11072">
        <v>-1.5347200000000001</v>
      </c>
      <c r="D11072">
        <v>13.325799999999999</v>
      </c>
      <c r="E11072">
        <f>-1.53472-13.3258</f>
        <v>-14.860519999999999</v>
      </c>
      <c r="F11072" t="s">
        <v>16537</v>
      </c>
      <c r="G11072" t="s">
        <v>39</v>
      </c>
      <c r="H11072">
        <v>1984</v>
      </c>
      <c r="I11072">
        <v>28.2</v>
      </c>
      <c r="J11072">
        <v>13.7</v>
      </c>
      <c r="K11072">
        <v>60</v>
      </c>
      <c r="L11072">
        <v>23.22</v>
      </c>
      <c r="M11072">
        <v>39.200000000000003</v>
      </c>
      <c r="N11072">
        <v>16.399999999999999</v>
      </c>
      <c r="O11072">
        <v>22.8</v>
      </c>
      <c r="P11072">
        <v>27</v>
      </c>
      <c r="Q11072">
        <v>25.5</v>
      </c>
      <c r="R11072">
        <v>31.3</v>
      </c>
      <c r="S11072">
        <v>25.5</v>
      </c>
      <c r="T11072">
        <v>621</v>
      </c>
      <c r="U11072">
        <v>195</v>
      </c>
      <c r="V11072">
        <v>0</v>
      </c>
      <c r="W11072">
        <v>125</v>
      </c>
      <c r="X11072">
        <v>451</v>
      </c>
      <c r="Y11072">
        <v>0</v>
      </c>
      <c r="Z11072">
        <v>57</v>
      </c>
      <c r="AA11072">
        <v>0</v>
      </c>
      <c r="AB11072">
        <v>18.178550000000001</v>
      </c>
      <c r="AC11072">
        <v>8.3502660000000003E-3</v>
      </c>
      <c r="AD11072">
        <v>2.1498659999999998</v>
      </c>
      <c r="AE11072">
        <v>0.69087730000000003</v>
      </c>
      <c r="AF11072">
        <v>327.29730000000001</v>
      </c>
      <c r="AG11072">
        <f>IFERROR(AH11072*0.1, "N/A")</f>
        <v>6.2087840000000005</v>
      </c>
      <c r="AH11072">
        <v>62.08784</v>
      </c>
      <c r="AI11072">
        <v>99.346490000000003</v>
      </c>
      <c r="AJ11072">
        <v>27.15203</v>
      </c>
      <c r="AK11072">
        <v>53.73986</v>
      </c>
    </row>
    <row r="11073" spans="1:37" x14ac:dyDescent="0.3">
      <c r="A11073">
        <v>11072</v>
      </c>
      <c r="B11073">
        <v>66.7</v>
      </c>
      <c r="C11073">
        <v>-1.56667</v>
      </c>
      <c r="D11073">
        <v>13.2667</v>
      </c>
      <c r="E11073">
        <f>-1.56667-13.2667</f>
        <v>-14.83337</v>
      </c>
      <c r="F11073" t="s">
        <v>16538</v>
      </c>
      <c r="G11073" t="s">
        <v>39</v>
      </c>
      <c r="H11073">
        <v>1984</v>
      </c>
      <c r="I11073">
        <v>28.1</v>
      </c>
      <c r="J11073">
        <v>13.6</v>
      </c>
      <c r="K11073">
        <v>59</v>
      </c>
      <c r="L11073">
        <v>23.31485</v>
      </c>
      <c r="M11073">
        <v>39.108130000000003</v>
      </c>
      <c r="N11073">
        <v>16.399999999999999</v>
      </c>
      <c r="O11073">
        <v>22.70814</v>
      </c>
      <c r="P11073">
        <v>26.95017</v>
      </c>
      <c r="Q11073">
        <v>25.4</v>
      </c>
      <c r="R11073">
        <v>31.20814</v>
      </c>
      <c r="S11073">
        <v>25.4</v>
      </c>
      <c r="T11073">
        <v>637.5797</v>
      </c>
      <c r="U11073">
        <v>198</v>
      </c>
      <c r="V11073">
        <v>0</v>
      </c>
      <c r="W11073">
        <v>122.5797</v>
      </c>
      <c r="X11073">
        <v>461.5797</v>
      </c>
      <c r="Y11073">
        <v>0</v>
      </c>
      <c r="Z11073">
        <v>59</v>
      </c>
      <c r="AA11073">
        <v>0</v>
      </c>
      <c r="AB11073">
        <v>4.4218570000000001</v>
      </c>
      <c r="AC11073">
        <v>1.2500290000000001E-2</v>
      </c>
      <c r="AD11073">
        <v>1.5263260000000001</v>
      </c>
      <c r="AE11073">
        <v>0.3730059</v>
      </c>
      <c r="AF11073">
        <v>328.87459999999999</v>
      </c>
      <c r="AG11073">
        <f>IFERROR(AH11073*0.1, "N/A")</f>
        <v>6.2501690000000005</v>
      </c>
      <c r="AH11073">
        <v>62.501690000000004</v>
      </c>
      <c r="AI11073">
        <v>103.5939</v>
      </c>
      <c r="AJ11073">
        <v>21.50169</v>
      </c>
      <c r="AK11073">
        <v>60.996609999999997</v>
      </c>
    </row>
    <row r="11074" spans="1:37" x14ac:dyDescent="0.3">
      <c r="A11074">
        <v>11073</v>
      </c>
      <c r="B11074">
        <v>42.9</v>
      </c>
      <c r="C11074">
        <v>-1.5833299999999999</v>
      </c>
      <c r="D11074">
        <v>13.3</v>
      </c>
      <c r="E11074">
        <f>-1.58333-13.3</f>
        <v>-14.883330000000001</v>
      </c>
      <c r="F11074" t="s">
        <v>16539</v>
      </c>
      <c r="G11074" t="s">
        <v>39</v>
      </c>
      <c r="H11074">
        <v>1984</v>
      </c>
      <c r="I11074">
        <v>27.98649</v>
      </c>
      <c r="J11074">
        <v>13.62872</v>
      </c>
      <c r="K11074">
        <v>59.28716</v>
      </c>
      <c r="L11074">
        <v>23.310469999999999</v>
      </c>
      <c r="M11074">
        <v>39.086489999999998</v>
      </c>
      <c r="N11074">
        <v>16.286490000000001</v>
      </c>
      <c r="O11074">
        <v>22.8</v>
      </c>
      <c r="P11074">
        <v>26.886489999999998</v>
      </c>
      <c r="Q11074">
        <v>25.286490000000001</v>
      </c>
      <c r="R11074">
        <v>31.115880000000001</v>
      </c>
      <c r="S11074">
        <v>25.286490000000001</v>
      </c>
      <c r="T11074">
        <v>633.29390000000001</v>
      </c>
      <c r="U11074">
        <v>197</v>
      </c>
      <c r="V11074">
        <v>0</v>
      </c>
      <c r="W11074">
        <v>124.29389999999999</v>
      </c>
      <c r="X11074">
        <v>459.29390000000001</v>
      </c>
      <c r="Y11074">
        <v>0</v>
      </c>
      <c r="Z11074">
        <v>58</v>
      </c>
      <c r="AA11074">
        <v>0</v>
      </c>
      <c r="AB11074">
        <v>8.8923950000000005</v>
      </c>
      <c r="AC11074">
        <v>3.4459110000000001E-2</v>
      </c>
      <c r="AD11074">
        <v>2.034151</v>
      </c>
      <c r="AE11074">
        <v>0.34234019999999998</v>
      </c>
      <c r="AF11074">
        <v>347.96789999999999</v>
      </c>
      <c r="AG11074">
        <f>IFERROR(AH11074*0.1, "N/A")</f>
        <v>6.2878380000000007</v>
      </c>
      <c r="AH11074">
        <v>62.87838</v>
      </c>
      <c r="AI11074">
        <v>104.9718</v>
      </c>
      <c r="AJ11074">
        <v>22.87162</v>
      </c>
      <c r="AK11074">
        <v>58.12838</v>
      </c>
    </row>
    <row r="11075" spans="1:37" x14ac:dyDescent="0.3">
      <c r="A11075">
        <v>11074</v>
      </c>
      <c r="B11075">
        <v>41.7</v>
      </c>
      <c r="C11075">
        <v>-1.73333</v>
      </c>
      <c r="D11075">
        <v>13.433299999999999</v>
      </c>
      <c r="E11075">
        <f>-1.73333-13.4333</f>
        <v>-15.16663</v>
      </c>
      <c r="F11075" t="s">
        <v>16540</v>
      </c>
      <c r="G11075" t="s">
        <v>39</v>
      </c>
      <c r="H11075">
        <v>1984</v>
      </c>
      <c r="I11075">
        <v>28.042739999999998</v>
      </c>
      <c r="J11075">
        <v>13.8</v>
      </c>
      <c r="K11075">
        <v>59</v>
      </c>
      <c r="L11075">
        <v>24.00834</v>
      </c>
      <c r="M11075">
        <v>39.200000000000003</v>
      </c>
      <c r="N11075">
        <v>16.100000000000001</v>
      </c>
      <c r="O11075">
        <v>23.1</v>
      </c>
      <c r="P11075">
        <v>26.942740000000001</v>
      </c>
      <c r="Q11075">
        <v>25.2</v>
      </c>
      <c r="R11075">
        <v>31.2</v>
      </c>
      <c r="S11075">
        <v>25.2</v>
      </c>
      <c r="T11075">
        <v>608.23820000000001</v>
      </c>
      <c r="U11075">
        <v>189.57259999999999</v>
      </c>
      <c r="V11075">
        <v>0</v>
      </c>
      <c r="W11075">
        <v>125.0929</v>
      </c>
      <c r="X11075">
        <v>444.66550000000001</v>
      </c>
      <c r="Y11075">
        <v>1</v>
      </c>
      <c r="Z11075">
        <v>51</v>
      </c>
      <c r="AA11075">
        <v>1</v>
      </c>
      <c r="AB11075">
        <v>5.5883430000000001</v>
      </c>
      <c r="AC11075">
        <v>1.8435650000000001E-2</v>
      </c>
      <c r="AD11075">
        <v>1.2658199999999999</v>
      </c>
      <c r="AE11075">
        <v>0.50342419999999999</v>
      </c>
      <c r="AF11075">
        <v>349.54050000000001</v>
      </c>
      <c r="AG11075">
        <f>IFERROR(AH11075*0.1, "N/A")</f>
        <v>6.0155410000000007</v>
      </c>
      <c r="AH11075">
        <v>60.155410000000003</v>
      </c>
      <c r="AI11075">
        <v>78.8</v>
      </c>
      <c r="AJ11075">
        <v>14.84459</v>
      </c>
      <c r="AK11075">
        <v>70.998310000000004</v>
      </c>
    </row>
    <row r="11076" spans="1:37" x14ac:dyDescent="0.3">
      <c r="A11076">
        <v>11075</v>
      </c>
      <c r="B11076">
        <v>57.1</v>
      </c>
      <c r="C11076">
        <v>-1.7833300000000001</v>
      </c>
      <c r="D11076">
        <v>13.433299999999999</v>
      </c>
      <c r="E11076">
        <f>-1.78333-13.4333</f>
        <v>-15.216629999999999</v>
      </c>
      <c r="F11076" t="s">
        <v>16541</v>
      </c>
      <c r="G11076" t="s">
        <v>39</v>
      </c>
      <c r="H11076">
        <v>1984</v>
      </c>
      <c r="I11076">
        <v>28.1</v>
      </c>
      <c r="J11076">
        <v>13.8</v>
      </c>
      <c r="K11076">
        <v>59.571669999999997</v>
      </c>
      <c r="L11076">
        <v>23.986139999999999</v>
      </c>
      <c r="M11076">
        <v>39.242829999999998</v>
      </c>
      <c r="N11076">
        <v>16.2</v>
      </c>
      <c r="O11076">
        <v>23.042829999999999</v>
      </c>
      <c r="P11076">
        <v>27</v>
      </c>
      <c r="Q11076">
        <v>25.3</v>
      </c>
      <c r="R11076">
        <v>31.279260000000001</v>
      </c>
      <c r="S11076">
        <v>25.3</v>
      </c>
      <c r="T11076">
        <v>606.2867</v>
      </c>
      <c r="U11076">
        <v>188.57169999999999</v>
      </c>
      <c r="V11076">
        <v>0</v>
      </c>
      <c r="W11076">
        <v>125</v>
      </c>
      <c r="X11076">
        <v>443.71499999999997</v>
      </c>
      <c r="Y11076">
        <v>1</v>
      </c>
      <c r="Z11076">
        <v>50.571669999999997</v>
      </c>
      <c r="AA11076">
        <v>1</v>
      </c>
      <c r="AB11076">
        <v>1.2456929999999999</v>
      </c>
      <c r="AC11076">
        <v>0.76565309999999998</v>
      </c>
      <c r="AD11076">
        <v>1.290643</v>
      </c>
      <c r="AE11076">
        <v>0.62065479999999995</v>
      </c>
      <c r="AF11076">
        <v>339.02019999999999</v>
      </c>
      <c r="AG11076">
        <f>IFERROR(AH11076*0.1, "N/A")</f>
        <v>6.099831</v>
      </c>
      <c r="AH11076">
        <v>60.998309999999996</v>
      </c>
      <c r="AI11076">
        <v>224.54140000000001</v>
      </c>
      <c r="AJ11076">
        <v>15.63406</v>
      </c>
      <c r="AK11076">
        <v>70.367620000000002</v>
      </c>
    </row>
    <row r="11077" spans="1:37" x14ac:dyDescent="0.3">
      <c r="A11077">
        <v>11076</v>
      </c>
      <c r="B11077">
        <v>39.5</v>
      </c>
      <c r="C11077">
        <v>-1.8333299999999999</v>
      </c>
      <c r="D11077">
        <v>13.45</v>
      </c>
      <c r="E11077">
        <f>-1.83333-13.45</f>
        <v>-15.283329999999999</v>
      </c>
      <c r="F11077" t="s">
        <v>16542</v>
      </c>
      <c r="G11077" t="s">
        <v>39</v>
      </c>
      <c r="H11077">
        <v>1984</v>
      </c>
      <c r="I11077">
        <v>28.2</v>
      </c>
      <c r="J11077">
        <v>13.8</v>
      </c>
      <c r="K11077">
        <v>59.848230000000001</v>
      </c>
      <c r="L11077">
        <v>23.895409999999998</v>
      </c>
      <c r="M11077">
        <v>39.299999999999997</v>
      </c>
      <c r="N11077">
        <v>16.28482</v>
      </c>
      <c r="O11077">
        <v>23.015180000000001</v>
      </c>
      <c r="P11077">
        <v>27.091229999999999</v>
      </c>
      <c r="Q11077">
        <v>25.384820000000001</v>
      </c>
      <c r="R11077">
        <v>31.39123</v>
      </c>
      <c r="S11077">
        <v>25.384820000000001</v>
      </c>
      <c r="T11077">
        <v>596.92070000000001</v>
      </c>
      <c r="U11077">
        <v>186.15180000000001</v>
      </c>
      <c r="V11077">
        <v>0</v>
      </c>
      <c r="W11077">
        <v>125.6965</v>
      </c>
      <c r="X11077">
        <v>438.30349999999999</v>
      </c>
      <c r="Y11077">
        <v>1</v>
      </c>
      <c r="Z11077">
        <v>48.465429999999998</v>
      </c>
      <c r="AA11077">
        <v>1</v>
      </c>
      <c r="AB11077">
        <v>4.9057440000000003</v>
      </c>
      <c r="AC11077">
        <v>1.54857E-2</v>
      </c>
      <c r="AD11077">
        <v>1.3306439999999999</v>
      </c>
      <c r="AE11077">
        <v>0.37046849999999998</v>
      </c>
      <c r="AF11077">
        <v>333.51429999999999</v>
      </c>
      <c r="AG11077">
        <f>IFERROR(AH11077*0.1, "N/A")</f>
        <v>6.1994940000000005</v>
      </c>
      <c r="AH11077">
        <v>61.99494</v>
      </c>
      <c r="AI11077">
        <v>329.84539999999998</v>
      </c>
      <c r="AJ11077">
        <v>19.49578</v>
      </c>
      <c r="AK11077">
        <v>62.21922</v>
      </c>
    </row>
    <row r="11078" spans="1:37" x14ac:dyDescent="0.3">
      <c r="A11078">
        <v>11077</v>
      </c>
      <c r="B11078">
        <v>9.6999999999999993</v>
      </c>
      <c r="C11078">
        <v>-1.81667</v>
      </c>
      <c r="D11078">
        <v>13.35</v>
      </c>
      <c r="E11078">
        <f>-1.81667-13.35</f>
        <v>-15.16667</v>
      </c>
      <c r="F11078" t="s">
        <v>16543</v>
      </c>
      <c r="G11078" t="s">
        <v>39</v>
      </c>
      <c r="H11078">
        <v>1984</v>
      </c>
      <c r="I11078">
        <v>28.1</v>
      </c>
      <c r="J11078">
        <v>13.8</v>
      </c>
      <c r="K11078">
        <v>60</v>
      </c>
      <c r="L11078">
        <v>23.649750000000001</v>
      </c>
      <c r="M11078">
        <v>39.23706</v>
      </c>
      <c r="N11078">
        <v>16.326560000000001</v>
      </c>
      <c r="O11078">
        <v>22.910489999999999</v>
      </c>
      <c r="P11078">
        <v>26.9</v>
      </c>
      <c r="Q11078">
        <v>25.426559999999998</v>
      </c>
      <c r="R11078">
        <v>31.3</v>
      </c>
      <c r="S11078">
        <v>25.426559999999998</v>
      </c>
      <c r="T11078">
        <v>627.95090000000005</v>
      </c>
      <c r="U11078">
        <v>193.10489999999999</v>
      </c>
      <c r="V11078">
        <v>0</v>
      </c>
      <c r="W11078">
        <v>123.3706</v>
      </c>
      <c r="X11078">
        <v>456.47550000000001</v>
      </c>
      <c r="Y11078">
        <v>1</v>
      </c>
      <c r="Z11078">
        <v>55.104909999999997</v>
      </c>
      <c r="AA11078">
        <v>1</v>
      </c>
      <c r="AB11078">
        <v>3.7927309999999999</v>
      </c>
      <c r="AC11078">
        <v>1.3911099999999999E-2</v>
      </c>
      <c r="AD11078">
        <v>1.4970779999999999</v>
      </c>
      <c r="AE11078">
        <v>0.63494930000000005</v>
      </c>
      <c r="AF11078">
        <v>334.71910000000003</v>
      </c>
      <c r="AG11078">
        <f>IFERROR(AH11078*0.1, "N/A")</f>
        <v>6.1558380000000001</v>
      </c>
      <c r="AH11078">
        <v>61.55838</v>
      </c>
      <c r="AI11078">
        <v>169.4639</v>
      </c>
      <c r="AJ11078">
        <v>20.44162</v>
      </c>
      <c r="AK11078">
        <v>62.27919</v>
      </c>
    </row>
    <row r="11079" spans="1:37" x14ac:dyDescent="0.3">
      <c r="A11079">
        <v>11078</v>
      </c>
      <c r="B11079">
        <v>22.2</v>
      </c>
      <c r="C11079">
        <v>-1.51667</v>
      </c>
      <c r="D11079">
        <v>13.3667</v>
      </c>
      <c r="E11079">
        <f>-1.51667-13.3667</f>
        <v>-14.883369999999999</v>
      </c>
      <c r="F11079" t="s">
        <v>16544</v>
      </c>
      <c r="G11079" t="s">
        <v>39</v>
      </c>
      <c r="H11079">
        <v>1984</v>
      </c>
      <c r="I11079">
        <v>28.3</v>
      </c>
      <c r="J11079">
        <v>13.692069999999999</v>
      </c>
      <c r="K11079">
        <v>59</v>
      </c>
      <c r="L11079">
        <v>23.889710000000001</v>
      </c>
      <c r="M11079">
        <v>39.4</v>
      </c>
      <c r="N11079">
        <v>16.399999999999999</v>
      </c>
      <c r="O11079">
        <v>23</v>
      </c>
      <c r="P11079">
        <v>27.1</v>
      </c>
      <c r="Q11079">
        <v>25.42529</v>
      </c>
      <c r="R11079">
        <v>31.42445</v>
      </c>
      <c r="S11079">
        <v>25.42529</v>
      </c>
      <c r="T11079">
        <v>608.60540000000003</v>
      </c>
      <c r="U11079">
        <v>192.1737</v>
      </c>
      <c r="V11079">
        <v>0</v>
      </c>
      <c r="W11079">
        <v>125</v>
      </c>
      <c r="X11079">
        <v>443.1737</v>
      </c>
      <c r="Y11079">
        <v>0</v>
      </c>
      <c r="Z11079">
        <v>54.676220000000001</v>
      </c>
      <c r="AA11079">
        <v>0</v>
      </c>
      <c r="AB11079">
        <v>0.28010380000000001</v>
      </c>
      <c r="AC11079">
        <v>0.1404145</v>
      </c>
      <c r="AD11079">
        <v>0.87523790000000001</v>
      </c>
      <c r="AE11079">
        <v>0.457312</v>
      </c>
      <c r="AF11079">
        <v>301.24790000000002</v>
      </c>
      <c r="AG11079">
        <f>IFERROR(AH11079*0.1, "N/A")</f>
        <v>6.2</v>
      </c>
      <c r="AH11079">
        <v>62</v>
      </c>
      <c r="AI11079">
        <v>262.8612</v>
      </c>
      <c r="AJ11079">
        <v>31</v>
      </c>
      <c r="AK11079">
        <v>44</v>
      </c>
    </row>
    <row r="11080" spans="1:37" x14ac:dyDescent="0.3">
      <c r="A11080">
        <v>11079</v>
      </c>
      <c r="B11080">
        <v>40.9</v>
      </c>
      <c r="C11080">
        <v>-1.55</v>
      </c>
      <c r="D11080">
        <v>13.0167</v>
      </c>
      <c r="E11080">
        <f>-1.55-13.0167</f>
        <v>-14.566700000000001</v>
      </c>
      <c r="F11080" t="s">
        <v>16545</v>
      </c>
      <c r="G11080" t="s">
        <v>39</v>
      </c>
      <c r="H11080">
        <v>1984</v>
      </c>
      <c r="I11080">
        <v>28.289359999999999</v>
      </c>
      <c r="J11080">
        <v>13.5</v>
      </c>
      <c r="K11080">
        <v>59</v>
      </c>
      <c r="L11080">
        <v>22.94453</v>
      </c>
      <c r="M11080">
        <v>39.289360000000002</v>
      </c>
      <c r="N11080">
        <v>16.631250000000001</v>
      </c>
      <c r="O11080">
        <v>22.658110000000001</v>
      </c>
      <c r="P11080">
        <v>26.989360000000001</v>
      </c>
      <c r="Q11080">
        <v>25.731249999999999</v>
      </c>
      <c r="R11080">
        <v>31.40794</v>
      </c>
      <c r="S11080">
        <v>25.731249999999999</v>
      </c>
      <c r="T11080">
        <v>662.18579999999997</v>
      </c>
      <c r="U11080">
        <v>200</v>
      </c>
      <c r="V11080">
        <v>0</v>
      </c>
      <c r="W11080">
        <v>120</v>
      </c>
      <c r="X11080">
        <v>474</v>
      </c>
      <c r="Y11080">
        <v>0</v>
      </c>
      <c r="Z11080">
        <v>68.185810000000004</v>
      </c>
      <c r="AA11080">
        <v>0</v>
      </c>
      <c r="AB11080">
        <v>0.61029829999999996</v>
      </c>
      <c r="AC11080">
        <v>3.7977189999999998</v>
      </c>
      <c r="AD11080">
        <v>1.5625249999999999</v>
      </c>
      <c r="AE11080">
        <v>0.55153669999999999</v>
      </c>
      <c r="AF11080">
        <v>284.08449999999999</v>
      </c>
      <c r="AG11080">
        <f>IFERROR(AH11080*0.1, "N/A")</f>
        <v>6.4</v>
      </c>
      <c r="AH11080">
        <v>64</v>
      </c>
      <c r="AI11080">
        <v>231.67859999999999</v>
      </c>
      <c r="AJ11080">
        <v>25.21622</v>
      </c>
      <c r="AK11080">
        <v>52.954389999999997</v>
      </c>
    </row>
    <row r="11081" spans="1:37" x14ac:dyDescent="0.3">
      <c r="A11081">
        <v>11080</v>
      </c>
      <c r="B11081">
        <v>15</v>
      </c>
      <c r="C11081">
        <v>-1.33972</v>
      </c>
      <c r="D11081">
        <v>12.9886</v>
      </c>
      <c r="E11081">
        <f>-1.33972-12.9886</f>
        <v>-14.32832</v>
      </c>
      <c r="F11081" t="s">
        <v>16546</v>
      </c>
      <c r="G11081" t="s">
        <v>39</v>
      </c>
      <c r="H11081">
        <v>1984</v>
      </c>
      <c r="I11081">
        <v>28.3</v>
      </c>
      <c r="J11081">
        <v>13.4</v>
      </c>
      <c r="K11081">
        <v>59</v>
      </c>
      <c r="L11081">
        <v>22.98</v>
      </c>
      <c r="M11081">
        <v>39.200000000000003</v>
      </c>
      <c r="N11081">
        <v>16.8</v>
      </c>
      <c r="O11081">
        <v>22.4</v>
      </c>
      <c r="P11081">
        <v>26.9</v>
      </c>
      <c r="Q11081">
        <v>25.8</v>
      </c>
      <c r="R11081">
        <v>31.4</v>
      </c>
      <c r="S11081">
        <v>25.8</v>
      </c>
      <c r="T11081">
        <v>659</v>
      </c>
      <c r="U11081">
        <v>200</v>
      </c>
      <c r="V11081">
        <v>0</v>
      </c>
      <c r="W11081">
        <v>122</v>
      </c>
      <c r="X11081">
        <v>474</v>
      </c>
      <c r="Y11081">
        <v>0</v>
      </c>
      <c r="Z11081">
        <v>67</v>
      </c>
      <c r="AA11081">
        <v>1</v>
      </c>
      <c r="AB11081">
        <v>4.3717499999999996</v>
      </c>
      <c r="AC11081">
        <v>3.061206E-2</v>
      </c>
      <c r="AD11081">
        <v>1.290084</v>
      </c>
      <c r="AE11081">
        <v>0.55340860000000003</v>
      </c>
      <c r="AF11081">
        <v>285.95260000000002</v>
      </c>
      <c r="AG11081">
        <f>IFERROR(AH11081*0.1, "N/A")</f>
        <v>6.3216580000000002</v>
      </c>
      <c r="AH11081">
        <v>63.21658</v>
      </c>
      <c r="AI11081">
        <v>247.06899999999999</v>
      </c>
      <c r="AJ11081">
        <v>26.33503</v>
      </c>
      <c r="AK11081">
        <v>52.754649999999998</v>
      </c>
    </row>
    <row r="11082" spans="1:37" x14ac:dyDescent="0.3">
      <c r="A11082">
        <v>11081</v>
      </c>
      <c r="B11082">
        <v>63.2</v>
      </c>
      <c r="C11082">
        <v>-1.81667</v>
      </c>
      <c r="D11082">
        <v>13.3667</v>
      </c>
      <c r="E11082">
        <f>-1.81667-13.3667</f>
        <v>-15.18337</v>
      </c>
      <c r="F11082" t="s">
        <v>16547</v>
      </c>
      <c r="G11082" t="s">
        <v>39</v>
      </c>
      <c r="H11082">
        <v>1984</v>
      </c>
      <c r="I11082">
        <v>28.1</v>
      </c>
      <c r="J11082">
        <v>13.8</v>
      </c>
      <c r="K11082">
        <v>60</v>
      </c>
      <c r="L11082">
        <v>23.656610000000001</v>
      </c>
      <c r="M11082">
        <v>39.200000000000003</v>
      </c>
      <c r="N11082">
        <v>16.3</v>
      </c>
      <c r="O11082">
        <v>22.9</v>
      </c>
      <c r="P11082">
        <v>26.9</v>
      </c>
      <c r="Q11082">
        <v>25.4</v>
      </c>
      <c r="R11082">
        <v>31.3</v>
      </c>
      <c r="S11082">
        <v>25.4</v>
      </c>
      <c r="T11082">
        <v>625.35239999999999</v>
      </c>
      <c r="U11082">
        <v>192.67619999999999</v>
      </c>
      <c r="V11082">
        <v>0</v>
      </c>
      <c r="W11082">
        <v>123</v>
      </c>
      <c r="X11082">
        <v>454.67619999999999</v>
      </c>
      <c r="Y11082">
        <v>1</v>
      </c>
      <c r="Z11082">
        <v>54.676220000000001</v>
      </c>
      <c r="AA11082">
        <v>1</v>
      </c>
      <c r="AB11082">
        <v>1.779426</v>
      </c>
      <c r="AC11082">
        <v>0.24937019999999999</v>
      </c>
      <c r="AD11082">
        <v>0.95972380000000002</v>
      </c>
      <c r="AE11082">
        <v>0.60209979999999996</v>
      </c>
      <c r="AF11082">
        <v>338.68130000000002</v>
      </c>
      <c r="AG11082">
        <f>IFERROR(AH11082*0.1, "N/A")</f>
        <v>6.3433390000000003</v>
      </c>
      <c r="AH11082">
        <v>63.433390000000003</v>
      </c>
      <c r="AI11082">
        <v>146.56639999999999</v>
      </c>
      <c r="AJ11082">
        <v>19.630690000000001</v>
      </c>
      <c r="AK11082">
        <v>62.802700000000002</v>
      </c>
    </row>
    <row r="11083" spans="1:37" x14ac:dyDescent="0.3">
      <c r="A11083">
        <v>11082</v>
      </c>
      <c r="B11083">
        <v>100</v>
      </c>
      <c r="C11083">
        <v>-1.2166699999999999</v>
      </c>
      <c r="D11083">
        <v>13.083299999999999</v>
      </c>
      <c r="E11083">
        <f>-1.21667-13.0833</f>
        <v>-14.29997</v>
      </c>
      <c r="F11083" t="s">
        <v>16548</v>
      </c>
      <c r="G11083" t="s">
        <v>39</v>
      </c>
      <c r="H11083">
        <v>1984</v>
      </c>
      <c r="I11083">
        <v>28.193729999999999</v>
      </c>
      <c r="J11083">
        <v>13.3</v>
      </c>
      <c r="K11083">
        <v>58.452539999999999</v>
      </c>
      <c r="L11083">
        <v>23.423780000000001</v>
      </c>
      <c r="M11083">
        <v>39.248469999999998</v>
      </c>
      <c r="N11083">
        <v>16.693729999999999</v>
      </c>
      <c r="O11083">
        <v>22.554749999999999</v>
      </c>
      <c r="P11083">
        <v>26.832709999999999</v>
      </c>
      <c r="Q11083">
        <v>25.754750000000001</v>
      </c>
      <c r="R11083">
        <v>31.354749999999999</v>
      </c>
      <c r="S11083">
        <v>25.593730000000001</v>
      </c>
      <c r="T11083">
        <v>645.35419999999999</v>
      </c>
      <c r="U11083">
        <v>202.06270000000001</v>
      </c>
      <c r="V11083">
        <v>0</v>
      </c>
      <c r="W11083">
        <v>124</v>
      </c>
      <c r="X11083">
        <v>467.35419999999999</v>
      </c>
      <c r="Y11083">
        <v>0</v>
      </c>
      <c r="Z11083">
        <v>61</v>
      </c>
      <c r="AA11083">
        <v>0</v>
      </c>
      <c r="AB11083">
        <v>14.147970000000001</v>
      </c>
      <c r="AC11083">
        <v>1.452851E-2</v>
      </c>
      <c r="AD11083">
        <v>8.791188</v>
      </c>
      <c r="AE11083">
        <v>0.46588810000000003</v>
      </c>
      <c r="AF11083">
        <v>321.39659999999998</v>
      </c>
      <c r="AG11083">
        <f>IFERROR(AH11083*0.1, "N/A")</f>
        <v>6.6552539999999993</v>
      </c>
      <c r="AH11083">
        <v>66.552539999999993</v>
      </c>
      <c r="AI11083">
        <v>236.4023</v>
      </c>
      <c r="AJ11083">
        <v>24</v>
      </c>
      <c r="AK11083">
        <v>54</v>
      </c>
    </row>
    <row r="11084" spans="1:37" x14ac:dyDescent="0.3">
      <c r="A11084">
        <v>11083</v>
      </c>
      <c r="B11084">
        <v>54.9</v>
      </c>
      <c r="C11084">
        <v>-1.23333</v>
      </c>
      <c r="D11084">
        <v>13.1167</v>
      </c>
      <c r="E11084">
        <f>-1.23333-13.1167</f>
        <v>-14.35003</v>
      </c>
      <c r="F11084" t="s">
        <v>16549</v>
      </c>
      <c r="G11084" t="s">
        <v>39</v>
      </c>
      <c r="H11084">
        <v>1984</v>
      </c>
      <c r="I11084">
        <v>27.85838</v>
      </c>
      <c r="J11084">
        <v>13.4</v>
      </c>
      <c r="K11084">
        <v>59</v>
      </c>
      <c r="L11084">
        <v>23.52027</v>
      </c>
      <c r="M11084">
        <v>38.866840000000003</v>
      </c>
      <c r="N11084">
        <v>16.349920000000001</v>
      </c>
      <c r="O11084">
        <v>22.516919999999999</v>
      </c>
      <c r="P11084">
        <v>26.54992</v>
      </c>
      <c r="Q11084">
        <v>25.20271</v>
      </c>
      <c r="R11084">
        <v>31.022500000000001</v>
      </c>
      <c r="S11084">
        <v>25.20271</v>
      </c>
      <c r="T11084">
        <v>648.55840000000001</v>
      </c>
      <c r="U11084">
        <v>202.9442</v>
      </c>
      <c r="V11084">
        <v>0</v>
      </c>
      <c r="W11084">
        <v>123.5279</v>
      </c>
      <c r="X11084">
        <v>469.44499999999999</v>
      </c>
      <c r="Y11084">
        <v>0</v>
      </c>
      <c r="Z11084">
        <v>61</v>
      </c>
      <c r="AA11084">
        <v>0</v>
      </c>
      <c r="AB11084">
        <v>66.887140000000002</v>
      </c>
      <c r="AC11084">
        <v>9.5129900000000007E-3</v>
      </c>
      <c r="AD11084">
        <v>11.53429</v>
      </c>
      <c r="AE11084">
        <v>0.30934539999999999</v>
      </c>
      <c r="AF11084">
        <v>383.90859999999998</v>
      </c>
      <c r="AG11084">
        <f>IFERROR(AH11084*0.1, "N/A")</f>
        <v>6.244332</v>
      </c>
      <c r="AH11084">
        <v>62.44332</v>
      </c>
      <c r="AI11084">
        <v>294.84620000000001</v>
      </c>
      <c r="AJ11084">
        <v>25.88663</v>
      </c>
      <c r="AK11084">
        <v>53.44332</v>
      </c>
    </row>
    <row r="11085" spans="1:37" x14ac:dyDescent="0.3">
      <c r="A11085">
        <v>11084</v>
      </c>
      <c r="B11085">
        <v>10.9</v>
      </c>
      <c r="C11085">
        <v>-1.18333</v>
      </c>
      <c r="D11085">
        <v>13.2</v>
      </c>
      <c r="E11085">
        <f>-1.18333-13.2</f>
        <v>-14.383329999999999</v>
      </c>
      <c r="F11085" t="s">
        <v>16550</v>
      </c>
      <c r="G11085" t="s">
        <v>39</v>
      </c>
      <c r="H11085">
        <v>1984</v>
      </c>
      <c r="I11085">
        <v>28.119489999999999</v>
      </c>
      <c r="J11085">
        <v>13.4</v>
      </c>
      <c r="K11085">
        <v>59</v>
      </c>
      <c r="L11085">
        <v>23.779610000000002</v>
      </c>
      <c r="M11085">
        <v>39.164409999999997</v>
      </c>
      <c r="N11085">
        <v>16.5</v>
      </c>
      <c r="O11085">
        <v>22.66441</v>
      </c>
      <c r="P11085">
        <v>26.830169999999999</v>
      </c>
      <c r="Q11085">
        <v>25.4</v>
      </c>
      <c r="R11085">
        <v>31.319489999999998</v>
      </c>
      <c r="S11085">
        <v>25.4</v>
      </c>
      <c r="T11085">
        <v>623.85590000000002</v>
      </c>
      <c r="U11085">
        <v>199.2492</v>
      </c>
      <c r="V11085">
        <v>0</v>
      </c>
      <c r="W11085">
        <v>125.5017</v>
      </c>
      <c r="X11085">
        <v>455.7475</v>
      </c>
      <c r="Y11085">
        <v>0</v>
      </c>
      <c r="Z11085">
        <v>55.05424</v>
      </c>
      <c r="AA11085">
        <v>0</v>
      </c>
      <c r="AB11085">
        <v>10.001010000000001</v>
      </c>
      <c r="AC11085">
        <v>2.222725E-2</v>
      </c>
      <c r="AD11085">
        <v>1.4396659999999999</v>
      </c>
      <c r="AE11085">
        <v>0.54901160000000004</v>
      </c>
      <c r="AF11085">
        <v>324.89319999999998</v>
      </c>
      <c r="AG11085">
        <f>IFERROR(AH11085*0.1, "N/A")</f>
        <v>6.7</v>
      </c>
      <c r="AH11085">
        <v>67</v>
      </c>
      <c r="AI11085">
        <v>38.025620000000004</v>
      </c>
      <c r="AJ11085">
        <v>16.301690000000001</v>
      </c>
      <c r="AK11085">
        <v>66</v>
      </c>
    </row>
    <row r="11086" spans="1:37" x14ac:dyDescent="0.3">
      <c r="A11086">
        <v>11085</v>
      </c>
      <c r="B11086">
        <v>25</v>
      </c>
      <c r="C11086">
        <v>-1.1499999999999999</v>
      </c>
      <c r="D11086">
        <v>13.15</v>
      </c>
      <c r="E11086">
        <f>-1.15-13.15</f>
        <v>-14.3</v>
      </c>
      <c r="F11086" t="s">
        <v>16551</v>
      </c>
      <c r="G11086" t="s">
        <v>39</v>
      </c>
      <c r="H11086">
        <v>1984</v>
      </c>
      <c r="I11086">
        <v>28.151949999999999</v>
      </c>
      <c r="J11086">
        <v>13.4</v>
      </c>
      <c r="K11086">
        <v>59</v>
      </c>
      <c r="L11086">
        <v>23.728580000000001</v>
      </c>
      <c r="M11086">
        <v>39.151949999999999</v>
      </c>
      <c r="N11086">
        <v>16.581900000000001</v>
      </c>
      <c r="O11086">
        <v>22.570049999999998</v>
      </c>
      <c r="P11086">
        <v>26.851949999999999</v>
      </c>
      <c r="Q11086">
        <v>25.563790000000001</v>
      </c>
      <c r="R11086">
        <v>31.3</v>
      </c>
      <c r="S11086">
        <v>25.4819</v>
      </c>
      <c r="T11086">
        <v>633.18100000000004</v>
      </c>
      <c r="U11086">
        <v>202</v>
      </c>
      <c r="V11086">
        <v>0</v>
      </c>
      <c r="W11086">
        <v>125</v>
      </c>
      <c r="X11086">
        <v>461</v>
      </c>
      <c r="Y11086">
        <v>0</v>
      </c>
      <c r="Z11086">
        <v>57</v>
      </c>
      <c r="AA11086">
        <v>0</v>
      </c>
      <c r="AB11086">
        <v>10.47461</v>
      </c>
      <c r="AC11086">
        <v>1.120268E-2</v>
      </c>
      <c r="AD11086">
        <v>1.158838</v>
      </c>
      <c r="AE11086">
        <v>0.34154519999999999</v>
      </c>
      <c r="AF11086">
        <v>321.60070000000002</v>
      </c>
      <c r="AG11086">
        <f>IFERROR(AH11086*0.1, "N/A")</f>
        <v>6.3747880000000006</v>
      </c>
      <c r="AH11086">
        <v>63.747880000000002</v>
      </c>
      <c r="AI11086">
        <v>182.41370000000001</v>
      </c>
      <c r="AJ11086">
        <v>26.654820000000001</v>
      </c>
      <c r="AK11086">
        <v>54.905250000000002</v>
      </c>
    </row>
    <row r="11087" spans="1:37" x14ac:dyDescent="0.3">
      <c r="A11087">
        <v>11086</v>
      </c>
      <c r="B11087">
        <v>92</v>
      </c>
      <c r="C11087">
        <v>-1.0333300000000001</v>
      </c>
      <c r="D11087">
        <v>13.2</v>
      </c>
      <c r="E11087">
        <f>-1.03333-13.2</f>
        <v>-14.233329999999999</v>
      </c>
      <c r="F11087" t="s">
        <v>16552</v>
      </c>
      <c r="G11087" t="s">
        <v>39</v>
      </c>
      <c r="H11087">
        <v>1984</v>
      </c>
      <c r="I11087">
        <v>28.164290000000001</v>
      </c>
      <c r="J11087">
        <v>13.418369999999999</v>
      </c>
      <c r="K11087">
        <v>59</v>
      </c>
      <c r="L11087">
        <v>23.882249999999999</v>
      </c>
      <c r="M11087">
        <v>39.254080000000002</v>
      </c>
      <c r="N11087">
        <v>16.545919999999999</v>
      </c>
      <c r="O11087">
        <v>22.708159999999999</v>
      </c>
      <c r="P11087">
        <v>26.9</v>
      </c>
      <c r="Q11087">
        <v>25.445920000000001</v>
      </c>
      <c r="R11087">
        <v>31.318370000000002</v>
      </c>
      <c r="S11087">
        <v>25.445920000000001</v>
      </c>
      <c r="T11087">
        <v>616.96939999999995</v>
      </c>
      <c r="U11087">
        <v>199.3571</v>
      </c>
      <c r="V11087">
        <v>0</v>
      </c>
      <c r="W11087">
        <v>126</v>
      </c>
      <c r="X11087">
        <v>451.61219999999997</v>
      </c>
      <c r="Y11087">
        <v>0</v>
      </c>
      <c r="Z11087">
        <v>53</v>
      </c>
      <c r="AA11087">
        <v>0</v>
      </c>
      <c r="AB11087">
        <v>2.699163</v>
      </c>
      <c r="AC11087">
        <v>2.4526059999999999E-2</v>
      </c>
      <c r="AD11087">
        <v>1.6212439999999999</v>
      </c>
      <c r="AE11087">
        <v>0.53970530000000005</v>
      </c>
      <c r="AF11087">
        <v>313.53570000000002</v>
      </c>
      <c r="AG11087">
        <f>IFERROR(AH11087*0.1, "N/A")</f>
        <v>6.2714290000000004</v>
      </c>
      <c r="AH11087">
        <v>62.714289999999998</v>
      </c>
      <c r="AI11087">
        <v>109.6247</v>
      </c>
      <c r="AJ11087">
        <v>16.571429999999999</v>
      </c>
      <c r="AK11087">
        <v>66.714290000000005</v>
      </c>
    </row>
    <row r="11088" spans="1:37" x14ac:dyDescent="0.3">
      <c r="A11088">
        <v>11087</v>
      </c>
      <c r="B11088">
        <v>25.2</v>
      </c>
      <c r="C11088">
        <v>-1.0844400000000001</v>
      </c>
      <c r="D11088">
        <v>13.091699999999999</v>
      </c>
      <c r="E11088">
        <f>-1.08444-13.0917</f>
        <v>-14.17614</v>
      </c>
      <c r="F11088" t="s">
        <v>16553</v>
      </c>
      <c r="G11088" t="s">
        <v>39</v>
      </c>
      <c r="H11088">
        <v>1984</v>
      </c>
      <c r="I11088">
        <v>27.9758</v>
      </c>
      <c r="J11088">
        <v>13.3</v>
      </c>
      <c r="K11088">
        <v>59</v>
      </c>
      <c r="L11088">
        <v>23.791779999999999</v>
      </c>
      <c r="M11088">
        <v>39.075800000000001</v>
      </c>
      <c r="N11088">
        <v>16.575800000000001</v>
      </c>
      <c r="O11088">
        <v>22.5</v>
      </c>
      <c r="P11088">
        <v>26.651610000000002</v>
      </c>
      <c r="Q11088">
        <v>25.4758</v>
      </c>
      <c r="R11088">
        <v>31.2758</v>
      </c>
      <c r="S11088">
        <v>25.375800000000002</v>
      </c>
      <c r="T11088">
        <v>648</v>
      </c>
      <c r="U11088">
        <v>207</v>
      </c>
      <c r="V11088">
        <v>0</v>
      </c>
      <c r="W11088">
        <v>124</v>
      </c>
      <c r="X11088">
        <v>471</v>
      </c>
      <c r="Y11088">
        <v>0</v>
      </c>
      <c r="Z11088">
        <v>58</v>
      </c>
      <c r="AA11088">
        <v>0</v>
      </c>
      <c r="AB11088">
        <v>11.663119999999999</v>
      </c>
      <c r="AC11088">
        <v>1.299531E-2</v>
      </c>
      <c r="AD11088">
        <v>1.6378779999999999</v>
      </c>
      <c r="AE11088">
        <v>0.64268570000000003</v>
      </c>
      <c r="AF11088">
        <v>339.47039999999998</v>
      </c>
      <c r="AG11088">
        <f>IFERROR(AH11088*0.1, "N/A")</f>
        <v>6.2886629999999997</v>
      </c>
      <c r="AH11088">
        <v>62.886629999999997</v>
      </c>
      <c r="AI11088">
        <v>82.380709999999993</v>
      </c>
      <c r="AJ11088">
        <v>28.072759999999999</v>
      </c>
      <c r="AK11088">
        <v>51.813870000000001</v>
      </c>
    </row>
    <row r="11089" spans="1:37" x14ac:dyDescent="0.3">
      <c r="A11089">
        <v>11088</v>
      </c>
      <c r="B11089">
        <v>39.4</v>
      </c>
      <c r="C11089">
        <v>-1.2338899999999999</v>
      </c>
      <c r="D11089">
        <v>12.6683</v>
      </c>
      <c r="E11089">
        <f>-1.23389-12.6683</f>
        <v>-13.902190000000001</v>
      </c>
      <c r="F11089" t="s">
        <v>16554</v>
      </c>
      <c r="G11089" t="s">
        <v>39</v>
      </c>
      <c r="H11089">
        <v>1984</v>
      </c>
      <c r="I11089">
        <v>28.1</v>
      </c>
      <c r="J11089">
        <v>13.3</v>
      </c>
      <c r="K11089">
        <v>59</v>
      </c>
      <c r="L11089">
        <v>22.82</v>
      </c>
      <c r="M11089">
        <v>39.1</v>
      </c>
      <c r="N11089">
        <v>16.600000000000001</v>
      </c>
      <c r="O11089">
        <v>22.5</v>
      </c>
      <c r="P11089">
        <v>26.7</v>
      </c>
      <c r="Q11089">
        <v>25.8</v>
      </c>
      <c r="R11089">
        <v>31.3</v>
      </c>
      <c r="S11089">
        <v>25.7</v>
      </c>
      <c r="T11089">
        <v>708.77549999999997</v>
      </c>
      <c r="U11089">
        <v>208</v>
      </c>
      <c r="V11089">
        <v>0</v>
      </c>
      <c r="W11089">
        <v>117.22450000000001</v>
      </c>
      <c r="X11089">
        <v>499.88780000000003</v>
      </c>
      <c r="Y11089">
        <v>2</v>
      </c>
      <c r="Z11089">
        <v>79.88776</v>
      </c>
      <c r="AA11089">
        <v>2</v>
      </c>
      <c r="AB11089">
        <v>13.157830000000001</v>
      </c>
      <c r="AC11089">
        <v>9.7769999999999992E-3</v>
      </c>
      <c r="AD11089">
        <v>0.91242710000000005</v>
      </c>
      <c r="AE11089">
        <v>0.6783401</v>
      </c>
      <c r="AF11089">
        <v>310.69389999999999</v>
      </c>
      <c r="AG11089">
        <f>IFERROR(AH11089*0.1, "N/A")</f>
        <v>5.6129250000000006</v>
      </c>
      <c r="AH11089">
        <v>56.129249999999999</v>
      </c>
      <c r="AI11089">
        <v>182.1174</v>
      </c>
      <c r="AJ11089">
        <v>14.454079999999999</v>
      </c>
      <c r="AK11089">
        <v>64.527209999999997</v>
      </c>
    </row>
    <row r="11090" spans="1:37" x14ac:dyDescent="0.3">
      <c r="A11090">
        <v>11089</v>
      </c>
      <c r="B11090">
        <v>33.299999999999997</v>
      </c>
      <c r="C11090">
        <v>-1.2</v>
      </c>
      <c r="D11090">
        <v>13.083299999999999</v>
      </c>
      <c r="E11090">
        <f>-1.2-13.0833</f>
        <v>-14.283299999999999</v>
      </c>
      <c r="F11090" t="s">
        <v>16555</v>
      </c>
      <c r="G11090" t="s">
        <v>39</v>
      </c>
      <c r="H11090">
        <v>1984</v>
      </c>
      <c r="I11090">
        <v>28.2</v>
      </c>
      <c r="J11090">
        <v>13.3</v>
      </c>
      <c r="K11090">
        <v>58.550080000000001</v>
      </c>
      <c r="L11090">
        <v>23.528199999999998</v>
      </c>
      <c r="M11090">
        <v>39.244990000000001</v>
      </c>
      <c r="N11090">
        <v>16.7</v>
      </c>
      <c r="O11090">
        <v>22.544989999999999</v>
      </c>
      <c r="P11090">
        <v>26.88964</v>
      </c>
      <c r="Q11090">
        <v>25.7</v>
      </c>
      <c r="R11090">
        <v>31.355350000000001</v>
      </c>
      <c r="S11090">
        <v>25.6</v>
      </c>
      <c r="T11090">
        <v>644.94399999999996</v>
      </c>
      <c r="U11090">
        <v>203</v>
      </c>
      <c r="V11090">
        <v>0</v>
      </c>
      <c r="W11090">
        <v>124.18680000000001</v>
      </c>
      <c r="X11090">
        <v>467.84039999999999</v>
      </c>
      <c r="Y11090">
        <v>0</v>
      </c>
      <c r="Z11090">
        <v>60.103569999999998</v>
      </c>
      <c r="AA11090">
        <v>0</v>
      </c>
      <c r="AB11090">
        <v>2.2913399999999999</v>
      </c>
      <c r="AC11090">
        <v>1.2939639999999999</v>
      </c>
      <c r="AD11090">
        <v>2.4754049999999999</v>
      </c>
      <c r="AE11090">
        <v>0.45315139999999998</v>
      </c>
      <c r="AF11090">
        <v>301.15620000000001</v>
      </c>
      <c r="AG11090">
        <f>IFERROR(AH11090*0.1, "N/A")</f>
        <v>6.0636670000000006</v>
      </c>
      <c r="AH11090">
        <v>60.636670000000002</v>
      </c>
      <c r="AI11090">
        <v>165.27879999999999</v>
      </c>
      <c r="AJ11090">
        <v>16.273340000000001</v>
      </c>
      <c r="AK11090">
        <v>69.816640000000007</v>
      </c>
    </row>
    <row r="11091" spans="1:37" x14ac:dyDescent="0.3">
      <c r="A11091">
        <v>11090</v>
      </c>
      <c r="B11091">
        <v>10</v>
      </c>
      <c r="C11091">
        <v>-2.4500000000000002</v>
      </c>
      <c r="D11091">
        <v>12.2333</v>
      </c>
      <c r="E11091">
        <f>-2.45-12.2333</f>
        <v>-14.683299999999999</v>
      </c>
      <c r="F11091" t="s">
        <v>16556</v>
      </c>
      <c r="G11091" t="s">
        <v>39</v>
      </c>
      <c r="H11091">
        <v>1984</v>
      </c>
      <c r="I11091">
        <v>28.2</v>
      </c>
      <c r="J11091">
        <v>14.22649</v>
      </c>
      <c r="K11091">
        <v>61</v>
      </c>
      <c r="L11091">
        <v>21.711680000000001</v>
      </c>
      <c r="M11091">
        <v>39.4</v>
      </c>
      <c r="N11091">
        <v>16.285910000000001</v>
      </c>
      <c r="O11091">
        <v>23.114090000000001</v>
      </c>
      <c r="P11091">
        <v>26.8</v>
      </c>
      <c r="Q11091">
        <v>26.085909999999998</v>
      </c>
      <c r="R11091">
        <v>31.4</v>
      </c>
      <c r="S11091">
        <v>26.032599999999999</v>
      </c>
      <c r="T11091">
        <v>780.26490000000001</v>
      </c>
      <c r="U11091">
        <v>222.26490000000001</v>
      </c>
      <c r="V11091">
        <v>0</v>
      </c>
      <c r="W11091">
        <v>112</v>
      </c>
      <c r="X11091">
        <v>538.26490000000001</v>
      </c>
      <c r="Y11091">
        <v>3</v>
      </c>
      <c r="Z11091">
        <v>98</v>
      </c>
      <c r="AA11091">
        <v>4</v>
      </c>
      <c r="AB11091">
        <v>2.4169659999999999</v>
      </c>
      <c r="AC11091">
        <v>1.0954180000000001E-2</v>
      </c>
      <c r="AD11091">
        <v>2.4921609999999998</v>
      </c>
      <c r="AE11091">
        <v>0.70588779999999995</v>
      </c>
      <c r="AF11091">
        <v>285.35140000000001</v>
      </c>
      <c r="AG11091">
        <f>IFERROR(AH11091*0.1, "N/A")</f>
        <v>6.0264860000000002</v>
      </c>
      <c r="AH11091">
        <v>60.264859999999999</v>
      </c>
      <c r="AI11091">
        <v>132.88509999999999</v>
      </c>
      <c r="AJ11091">
        <v>20</v>
      </c>
      <c r="AK11091">
        <v>55.735140000000001</v>
      </c>
    </row>
    <row r="11092" spans="1:37" x14ac:dyDescent="0.3">
      <c r="A11092">
        <v>11091</v>
      </c>
      <c r="B11092">
        <v>27.3</v>
      </c>
      <c r="C11092">
        <v>-2.5333299999999999</v>
      </c>
      <c r="D11092">
        <v>12.2</v>
      </c>
      <c r="E11092">
        <f>-2.53333-12.2</f>
        <v>-14.733329999999999</v>
      </c>
      <c r="F11092" t="s">
        <v>16557</v>
      </c>
      <c r="G11092" t="s">
        <v>39</v>
      </c>
      <c r="H11092">
        <v>1984</v>
      </c>
      <c r="I11092">
        <v>28.2</v>
      </c>
      <c r="J11092">
        <v>14.1</v>
      </c>
      <c r="K11092">
        <v>61</v>
      </c>
      <c r="L11092">
        <v>21.599589999999999</v>
      </c>
      <c r="M11092">
        <v>39.299999999999997</v>
      </c>
      <c r="N11092">
        <v>16.399999999999999</v>
      </c>
      <c r="O11092">
        <v>22.9</v>
      </c>
      <c r="P11092">
        <v>26.8</v>
      </c>
      <c r="Q11092">
        <v>26.1</v>
      </c>
      <c r="R11092">
        <v>31.4</v>
      </c>
      <c r="S11092">
        <v>26.1</v>
      </c>
      <c r="T11092">
        <v>773.56510000000003</v>
      </c>
      <c r="U11092">
        <v>221</v>
      </c>
      <c r="V11092">
        <v>0.56514379999999997</v>
      </c>
      <c r="W11092">
        <v>113</v>
      </c>
      <c r="X11092">
        <v>533</v>
      </c>
      <c r="Y11092">
        <v>3.5651440000000001</v>
      </c>
      <c r="Z11092">
        <v>96</v>
      </c>
      <c r="AA11092">
        <v>4.5651440000000001</v>
      </c>
      <c r="AB11092">
        <v>0.354659</v>
      </c>
      <c r="AC11092">
        <v>2.3601649999999998</v>
      </c>
      <c r="AD11092">
        <v>1.047336</v>
      </c>
      <c r="AE11092">
        <v>0.63589419999999997</v>
      </c>
      <c r="AF11092">
        <v>287.7851</v>
      </c>
      <c r="AG11092">
        <f>IFERROR(AH11092*0.1, "N/A")</f>
        <v>6.2</v>
      </c>
      <c r="AH11092">
        <v>62</v>
      </c>
      <c r="AI11092">
        <v>160.25989999999999</v>
      </c>
      <c r="AJ11092">
        <v>26.869710000000001</v>
      </c>
      <c r="AK11092">
        <v>49.695430000000002</v>
      </c>
    </row>
    <row r="11093" spans="1:37" x14ac:dyDescent="0.3">
      <c r="A11093">
        <v>11092</v>
      </c>
      <c r="B11093">
        <v>18</v>
      </c>
      <c r="C11093">
        <v>-2.6</v>
      </c>
      <c r="D11093">
        <v>12.2</v>
      </c>
      <c r="E11093">
        <f>-2.6-12.2</f>
        <v>-14.799999999999999</v>
      </c>
      <c r="F11093" t="s">
        <v>16558</v>
      </c>
      <c r="G11093" t="s">
        <v>39</v>
      </c>
      <c r="H11093">
        <v>1984</v>
      </c>
      <c r="I11093">
        <v>28.2</v>
      </c>
      <c r="J11093">
        <v>14.028309999999999</v>
      </c>
      <c r="K11093">
        <v>61.283050000000003</v>
      </c>
      <c r="L11093">
        <v>21.496420000000001</v>
      </c>
      <c r="M11093">
        <v>39.286270000000002</v>
      </c>
      <c r="N11093">
        <v>16.600000000000001</v>
      </c>
      <c r="O11093">
        <v>22.68627</v>
      </c>
      <c r="P11093">
        <v>26.8</v>
      </c>
      <c r="Q11093">
        <v>26.2</v>
      </c>
      <c r="R11093">
        <v>31.4</v>
      </c>
      <c r="S11093">
        <v>26.1</v>
      </c>
      <c r="T11093">
        <v>765.14580000000001</v>
      </c>
      <c r="U11093">
        <v>219.14580000000001</v>
      </c>
      <c r="V11093">
        <v>1</v>
      </c>
      <c r="W11093">
        <v>114</v>
      </c>
      <c r="X11093">
        <v>527.14580000000001</v>
      </c>
      <c r="Y11093">
        <v>4</v>
      </c>
      <c r="Z11093">
        <v>93</v>
      </c>
      <c r="AA11093">
        <v>5</v>
      </c>
      <c r="AB11093">
        <v>1.3854169999999999</v>
      </c>
      <c r="AC11093">
        <v>0.17667569999999999</v>
      </c>
      <c r="AD11093">
        <v>1.6725749999999999</v>
      </c>
      <c r="AE11093">
        <v>0.64902499999999996</v>
      </c>
      <c r="AF11093">
        <v>281.80340000000001</v>
      </c>
      <c r="AG11093">
        <f>IFERROR(AH11093*0.1, "N/A")</f>
        <v>6.3716949999999999</v>
      </c>
      <c r="AH11093">
        <v>63.716949999999997</v>
      </c>
      <c r="AI11093">
        <v>122.3051</v>
      </c>
      <c r="AJ11093">
        <v>20.716950000000001</v>
      </c>
      <c r="AK11093">
        <v>57</v>
      </c>
    </row>
    <row r="11094" spans="1:37" x14ac:dyDescent="0.3">
      <c r="A11094">
        <v>11093</v>
      </c>
      <c r="B11094">
        <v>37.299999999999997</v>
      </c>
      <c r="C11094">
        <v>-2.5833300000000001</v>
      </c>
      <c r="D11094">
        <v>12.1167</v>
      </c>
      <c r="E11094">
        <f>-2.58333-12.1167</f>
        <v>-14.70003</v>
      </c>
      <c r="F11094" t="s">
        <v>16559</v>
      </c>
      <c r="G11094" t="s">
        <v>39</v>
      </c>
      <c r="H11094">
        <v>1984</v>
      </c>
      <c r="I11094">
        <v>28.2</v>
      </c>
      <c r="J11094">
        <v>14</v>
      </c>
      <c r="K11094">
        <v>61</v>
      </c>
      <c r="L11094">
        <v>21.58426</v>
      </c>
      <c r="M11094">
        <v>39.200000000000003</v>
      </c>
      <c r="N11094">
        <v>16.451619999999998</v>
      </c>
      <c r="O11094">
        <v>22.748380000000001</v>
      </c>
      <c r="P11094">
        <v>26.651620000000001</v>
      </c>
      <c r="Q11094">
        <v>26.151620000000001</v>
      </c>
      <c r="R11094">
        <v>31.378360000000001</v>
      </c>
      <c r="S11094">
        <v>26.04327</v>
      </c>
      <c r="T11094">
        <v>776.26750000000004</v>
      </c>
      <c r="U11094">
        <v>222</v>
      </c>
      <c r="V11094">
        <v>1</v>
      </c>
      <c r="W11094">
        <v>113</v>
      </c>
      <c r="X11094">
        <v>533.56730000000005</v>
      </c>
      <c r="Y11094">
        <v>4</v>
      </c>
      <c r="Z11094">
        <v>96</v>
      </c>
      <c r="AA11094">
        <v>5</v>
      </c>
      <c r="AB11094">
        <v>13.24567</v>
      </c>
      <c r="AC11094">
        <v>6.2259469999999997E-2</v>
      </c>
      <c r="AD11094">
        <v>1.5623579999999999</v>
      </c>
      <c r="AE11094">
        <v>0.55279789999999995</v>
      </c>
      <c r="AF11094">
        <v>278.44970000000001</v>
      </c>
      <c r="AG11094">
        <f>IFERROR(AH11094*0.1, "N/A")</f>
        <v>6.2400340000000005</v>
      </c>
      <c r="AH11094">
        <v>62.40034</v>
      </c>
      <c r="AI11094">
        <v>208.75569999999999</v>
      </c>
      <c r="AJ11094">
        <v>27.70017</v>
      </c>
      <c r="AK11094">
        <v>45.70017</v>
      </c>
    </row>
    <row r="11095" spans="1:37" x14ac:dyDescent="0.3">
      <c r="A11095">
        <v>11094</v>
      </c>
      <c r="B11095">
        <v>4.4000000000000004</v>
      </c>
      <c r="C11095">
        <v>-2.23333</v>
      </c>
      <c r="D11095">
        <v>12.066700000000001</v>
      </c>
      <c r="E11095">
        <f>-2.23333-12.0667</f>
        <v>-14.300030000000001</v>
      </c>
      <c r="F11095" t="s">
        <v>16560</v>
      </c>
      <c r="G11095" t="s">
        <v>39</v>
      </c>
      <c r="H11095">
        <v>1984</v>
      </c>
      <c r="I11095">
        <v>27.84252</v>
      </c>
      <c r="J11095">
        <v>13.9</v>
      </c>
      <c r="K11095">
        <v>60</v>
      </c>
      <c r="L11095">
        <v>22.261050000000001</v>
      </c>
      <c r="M11095">
        <v>38.9</v>
      </c>
      <c r="N11095">
        <v>15.8</v>
      </c>
      <c r="O11095">
        <v>23.1</v>
      </c>
      <c r="P11095">
        <v>26.5</v>
      </c>
      <c r="Q11095">
        <v>25.6</v>
      </c>
      <c r="R11095">
        <v>31.1</v>
      </c>
      <c r="S11095">
        <v>25.5</v>
      </c>
      <c r="T11095">
        <v>797.54759999999999</v>
      </c>
      <c r="U11095">
        <v>222</v>
      </c>
      <c r="V11095">
        <v>0</v>
      </c>
      <c r="W11095">
        <v>111</v>
      </c>
      <c r="X11095">
        <v>544.77380000000005</v>
      </c>
      <c r="Y11095">
        <v>2</v>
      </c>
      <c r="Z11095">
        <v>103</v>
      </c>
      <c r="AA11095">
        <v>4</v>
      </c>
      <c r="AB11095">
        <v>3.5100449999999999</v>
      </c>
      <c r="AC11095">
        <v>1.066666E-2</v>
      </c>
      <c r="AD11095">
        <v>1.2147319999999999</v>
      </c>
      <c r="AE11095">
        <v>0.62723949999999995</v>
      </c>
      <c r="AF11095">
        <v>294.57819999999998</v>
      </c>
      <c r="AG11095">
        <f>IFERROR(AH11095*0.1, "N/A")</f>
        <v>6.0596940000000004</v>
      </c>
      <c r="AH11095">
        <v>60.596939999999996</v>
      </c>
      <c r="AI11095">
        <v>186.32939999999999</v>
      </c>
      <c r="AJ11095">
        <v>21.294219999999999</v>
      </c>
      <c r="AK11095">
        <v>54.756799999999998</v>
      </c>
    </row>
    <row r="11096" spans="1:37" x14ac:dyDescent="0.3">
      <c r="A11096">
        <v>11095</v>
      </c>
      <c r="B11096">
        <v>33</v>
      </c>
      <c r="C11096">
        <v>-2.3666700000000001</v>
      </c>
      <c r="D11096">
        <v>12.25</v>
      </c>
      <c r="E11096">
        <f>-2.36667-12.25</f>
        <v>-14.616669999999999</v>
      </c>
      <c r="F11096" t="s">
        <v>16561</v>
      </c>
      <c r="G11096" t="s">
        <v>39</v>
      </c>
      <c r="H11096">
        <v>1984</v>
      </c>
      <c r="I11096">
        <v>28.1</v>
      </c>
      <c r="J11096">
        <v>14.31531</v>
      </c>
      <c r="K11096">
        <v>61</v>
      </c>
      <c r="L11096">
        <v>21.940480000000001</v>
      </c>
      <c r="M11096">
        <v>39.299999999999997</v>
      </c>
      <c r="N11096">
        <v>16</v>
      </c>
      <c r="O11096">
        <v>23.3</v>
      </c>
      <c r="P11096">
        <v>26.8</v>
      </c>
      <c r="Q11096">
        <v>25.840479999999999</v>
      </c>
      <c r="R11096">
        <v>31.32347</v>
      </c>
      <c r="S11096">
        <v>25.840479999999999</v>
      </c>
      <c r="T11096">
        <v>781.26869999999997</v>
      </c>
      <c r="U11096">
        <v>223</v>
      </c>
      <c r="V11096">
        <v>0</v>
      </c>
      <c r="W11096">
        <v>112.2347</v>
      </c>
      <c r="X11096">
        <v>540</v>
      </c>
      <c r="Y11096">
        <v>2</v>
      </c>
      <c r="Z11096">
        <v>99.2517</v>
      </c>
      <c r="AA11096">
        <v>2.57483</v>
      </c>
      <c r="AB11096">
        <v>2.7297799999999999</v>
      </c>
      <c r="AC11096">
        <v>9.2239760000000001E-3</v>
      </c>
      <c r="AD11096">
        <v>1.4986250000000001</v>
      </c>
      <c r="AE11096">
        <v>0.86318989999999995</v>
      </c>
      <c r="AF11096">
        <v>296.04930000000002</v>
      </c>
      <c r="AG11096">
        <f>IFERROR(AH11096*0.1, "N/A")</f>
        <v>5.8171770000000009</v>
      </c>
      <c r="AH11096">
        <v>58.171770000000002</v>
      </c>
      <c r="AI11096">
        <v>133.7321</v>
      </c>
      <c r="AJ11096">
        <v>37.506799999999998</v>
      </c>
      <c r="AK11096">
        <v>41.091839999999998</v>
      </c>
    </row>
    <row r="11097" spans="1:37" x14ac:dyDescent="0.3">
      <c r="A11097">
        <v>11096</v>
      </c>
      <c r="B11097">
        <v>3.9</v>
      </c>
      <c r="C11097">
        <v>-2.1666699999999999</v>
      </c>
      <c r="D11097">
        <v>12.333299999999999</v>
      </c>
      <c r="E11097">
        <f>-2.16667-12.3333</f>
        <v>-14.499969999999999</v>
      </c>
      <c r="F11097" t="s">
        <v>16562</v>
      </c>
      <c r="G11097" t="s">
        <v>39</v>
      </c>
      <c r="H11097">
        <v>1984</v>
      </c>
      <c r="I11097">
        <v>27.7</v>
      </c>
      <c r="J11097">
        <v>13.74288</v>
      </c>
      <c r="K11097">
        <v>59</v>
      </c>
      <c r="L11097">
        <v>22.480219999999999</v>
      </c>
      <c r="M11097">
        <v>38.657119999999999</v>
      </c>
      <c r="N11097">
        <v>15.557119999999999</v>
      </c>
      <c r="O11097">
        <v>23.1</v>
      </c>
      <c r="P11097">
        <v>26.477799999999998</v>
      </c>
      <c r="Q11097">
        <v>25.19</v>
      </c>
      <c r="R11097">
        <v>30.95712</v>
      </c>
      <c r="S11097">
        <v>25.19</v>
      </c>
      <c r="T11097">
        <v>767.62879999999996</v>
      </c>
      <c r="U11097">
        <v>215.55080000000001</v>
      </c>
      <c r="V11097">
        <v>0</v>
      </c>
      <c r="W11097">
        <v>113.5712</v>
      </c>
      <c r="X11097">
        <v>529.52880000000005</v>
      </c>
      <c r="Y11097">
        <v>2</v>
      </c>
      <c r="Z11097">
        <v>100</v>
      </c>
      <c r="AA11097">
        <v>2</v>
      </c>
      <c r="AB11097">
        <v>2.752885</v>
      </c>
      <c r="AC11097">
        <v>0.34449259999999998</v>
      </c>
      <c r="AD11097">
        <v>2.3691339999999999</v>
      </c>
      <c r="AE11097">
        <v>0.49909160000000002</v>
      </c>
      <c r="AF11097">
        <v>309.02710000000002</v>
      </c>
      <c r="AG11097">
        <f>IFERROR(AH11097*0.1, "N/A")</f>
        <v>6.1000000000000005</v>
      </c>
      <c r="AH11097">
        <v>61</v>
      </c>
      <c r="AI11097">
        <v>115.869</v>
      </c>
      <c r="AJ11097">
        <v>29.286439999999999</v>
      </c>
      <c r="AK11097">
        <v>47.571190000000001</v>
      </c>
    </row>
    <row r="11098" spans="1:37" x14ac:dyDescent="0.3">
      <c r="A11098">
        <v>11097</v>
      </c>
      <c r="B11098">
        <v>12</v>
      </c>
      <c r="C11098">
        <v>-2.01667</v>
      </c>
      <c r="D11098">
        <v>12.433299999999999</v>
      </c>
      <c r="E11098">
        <f>-2.01667-12.4333</f>
        <v>-14.449969999999999</v>
      </c>
      <c r="F11098" t="s">
        <v>16563</v>
      </c>
      <c r="G11098" t="s">
        <v>39</v>
      </c>
      <c r="H11098">
        <v>1984</v>
      </c>
      <c r="I11098">
        <v>27.6</v>
      </c>
      <c r="J11098">
        <v>13.68228</v>
      </c>
      <c r="K11098">
        <v>59.822830000000003</v>
      </c>
      <c r="L11098">
        <v>22.315470000000001</v>
      </c>
      <c r="M11098">
        <v>38.6</v>
      </c>
      <c r="N11098">
        <v>15.8</v>
      </c>
      <c r="O11098">
        <v>22.8</v>
      </c>
      <c r="P11098">
        <v>26.3</v>
      </c>
      <c r="Q11098">
        <v>25.2</v>
      </c>
      <c r="R11098">
        <v>30.8</v>
      </c>
      <c r="S11098">
        <v>25.2</v>
      </c>
      <c r="T11098">
        <v>744.09199999999998</v>
      </c>
      <c r="U11098">
        <v>211</v>
      </c>
      <c r="V11098">
        <v>0</v>
      </c>
      <c r="W11098">
        <v>113.9353</v>
      </c>
      <c r="X11098">
        <v>515.37310000000002</v>
      </c>
      <c r="Y11098">
        <v>2</v>
      </c>
      <c r="Z11098">
        <v>94.718909999999994</v>
      </c>
      <c r="AA11098">
        <v>2</v>
      </c>
      <c r="AB11098">
        <v>0.32146629999999998</v>
      </c>
      <c r="AC11098">
        <v>3.8997959999999998</v>
      </c>
      <c r="AD11098">
        <v>1.623624</v>
      </c>
      <c r="AE11098">
        <v>0.61735660000000003</v>
      </c>
      <c r="AF11098">
        <v>328.67630000000003</v>
      </c>
      <c r="AG11098">
        <f>IFERROR(AH11098*0.1, "N/A")</f>
        <v>6.0516180000000004</v>
      </c>
      <c r="AH11098">
        <v>60.516179999999999</v>
      </c>
      <c r="AI11098">
        <v>113.01990000000001</v>
      </c>
      <c r="AJ11098">
        <v>16.35605</v>
      </c>
      <c r="AK11098">
        <v>59.13288</v>
      </c>
    </row>
    <row r="11099" spans="1:37" x14ac:dyDescent="0.3">
      <c r="A11099">
        <v>11098</v>
      </c>
      <c r="B11099">
        <v>59.7</v>
      </c>
      <c r="C11099">
        <v>-1.3158300000000001</v>
      </c>
      <c r="D11099">
        <v>12.4558</v>
      </c>
      <c r="E11099">
        <f>-1.31583-12.4558</f>
        <v>-13.77163</v>
      </c>
      <c r="F11099" t="s">
        <v>16564</v>
      </c>
      <c r="G11099" t="s">
        <v>39</v>
      </c>
      <c r="H11099">
        <v>1984</v>
      </c>
      <c r="I11099">
        <v>28.2</v>
      </c>
      <c r="J11099">
        <v>13.3</v>
      </c>
      <c r="K11099">
        <v>59</v>
      </c>
      <c r="L11099">
        <v>22.46</v>
      </c>
      <c r="M11099">
        <v>39.1</v>
      </c>
      <c r="N11099">
        <v>16.600000000000001</v>
      </c>
      <c r="O11099">
        <v>22.5</v>
      </c>
      <c r="P11099">
        <v>26.8</v>
      </c>
      <c r="Q11099">
        <v>25.9</v>
      </c>
      <c r="R11099">
        <v>31.4</v>
      </c>
      <c r="S11099">
        <v>25.9</v>
      </c>
      <c r="T11099">
        <v>744</v>
      </c>
      <c r="U11099">
        <v>211</v>
      </c>
      <c r="V11099">
        <v>0</v>
      </c>
      <c r="W11099">
        <v>114</v>
      </c>
      <c r="X11099">
        <v>518</v>
      </c>
      <c r="Y11099">
        <v>0</v>
      </c>
      <c r="Z11099">
        <v>97</v>
      </c>
      <c r="AA11099">
        <v>1</v>
      </c>
      <c r="AB11099">
        <v>3.0035530000000001</v>
      </c>
      <c r="AC11099">
        <v>1.497441E-2</v>
      </c>
      <c r="AD11099">
        <v>0.77088829999999997</v>
      </c>
      <c r="AE11099">
        <v>0.55362149999999999</v>
      </c>
      <c r="AF11099">
        <v>285.30849999999998</v>
      </c>
      <c r="AG11099">
        <f>IFERROR(AH11099*0.1, "N/A")</f>
        <v>6.1967800000000004</v>
      </c>
      <c r="AH11099">
        <v>61.967799999999997</v>
      </c>
      <c r="AI11099">
        <v>135.01179999999999</v>
      </c>
      <c r="AJ11099">
        <v>17.0322</v>
      </c>
      <c r="AK11099">
        <v>59.032200000000003</v>
      </c>
    </row>
    <row r="11100" spans="1:37" x14ac:dyDescent="0.3">
      <c r="A11100">
        <v>11099</v>
      </c>
      <c r="B11100">
        <v>40.4</v>
      </c>
      <c r="C11100">
        <v>-1.18889</v>
      </c>
      <c r="D11100">
        <v>12.4711</v>
      </c>
      <c r="E11100">
        <f>-1.18889-12.4711</f>
        <v>-13.659990000000001</v>
      </c>
      <c r="F11100" t="s">
        <v>16565</v>
      </c>
      <c r="G11100" t="s">
        <v>39</v>
      </c>
      <c r="H11100">
        <v>1984</v>
      </c>
      <c r="I11100">
        <v>28.2</v>
      </c>
      <c r="J11100">
        <v>13.3</v>
      </c>
      <c r="K11100">
        <v>59</v>
      </c>
      <c r="L11100">
        <v>22.39</v>
      </c>
      <c r="M11100">
        <v>39.1</v>
      </c>
      <c r="N11100">
        <v>16.7</v>
      </c>
      <c r="O11100">
        <v>22.4</v>
      </c>
      <c r="P11100">
        <v>26.8</v>
      </c>
      <c r="Q11100">
        <v>26</v>
      </c>
      <c r="R11100">
        <v>31.4</v>
      </c>
      <c r="S11100">
        <v>26</v>
      </c>
      <c r="T11100">
        <v>735</v>
      </c>
      <c r="U11100">
        <v>210</v>
      </c>
      <c r="V11100">
        <v>0</v>
      </c>
      <c r="W11100">
        <v>115</v>
      </c>
      <c r="X11100">
        <v>511</v>
      </c>
      <c r="Y11100">
        <v>1</v>
      </c>
      <c r="Z11100">
        <v>93</v>
      </c>
      <c r="AA11100">
        <v>1</v>
      </c>
      <c r="AB11100">
        <v>4.4790559999999999</v>
      </c>
      <c r="AC11100">
        <v>1.2646040000000001E-2</v>
      </c>
      <c r="AD11100">
        <v>1.1715519999999999</v>
      </c>
      <c r="AE11100">
        <v>0.5596236</v>
      </c>
      <c r="AF11100">
        <v>285.71550000000002</v>
      </c>
      <c r="AG11100">
        <f>IFERROR(AH11100*0.1, "N/A")</f>
        <v>6.004429</v>
      </c>
      <c r="AH11100">
        <v>60.044289999999997</v>
      </c>
      <c r="AI11100">
        <v>237.97499999999999</v>
      </c>
      <c r="AJ11100">
        <v>16.374790000000001</v>
      </c>
      <c r="AK11100">
        <v>61.485520000000001</v>
      </c>
    </row>
    <row r="11101" spans="1:37" x14ac:dyDescent="0.3">
      <c r="A11101">
        <v>11100</v>
      </c>
      <c r="B11101">
        <v>32.6</v>
      </c>
      <c r="C11101">
        <v>-1.29833</v>
      </c>
      <c r="D11101">
        <v>12.5822</v>
      </c>
      <c r="E11101">
        <f>-1.29833-12.5822</f>
        <v>-13.88053</v>
      </c>
      <c r="F11101" t="s">
        <v>16566</v>
      </c>
      <c r="G11101" t="s">
        <v>39</v>
      </c>
      <c r="H11101">
        <v>1984</v>
      </c>
      <c r="I11101">
        <v>28.1</v>
      </c>
      <c r="J11101">
        <v>13.3</v>
      </c>
      <c r="K11101">
        <v>58</v>
      </c>
      <c r="L11101">
        <v>22.71</v>
      </c>
      <c r="M11101">
        <v>39.1</v>
      </c>
      <c r="N11101">
        <v>16.5</v>
      </c>
      <c r="O11101">
        <v>22.6</v>
      </c>
      <c r="P11101">
        <v>26.7</v>
      </c>
      <c r="Q11101">
        <v>25.8</v>
      </c>
      <c r="R11101">
        <v>31.4</v>
      </c>
      <c r="S11101">
        <v>25.8</v>
      </c>
      <c r="T11101">
        <v>728</v>
      </c>
      <c r="U11101">
        <v>210</v>
      </c>
      <c r="V11101">
        <v>0</v>
      </c>
      <c r="W11101">
        <v>116</v>
      </c>
      <c r="X11101">
        <v>508</v>
      </c>
      <c r="Y11101">
        <v>2</v>
      </c>
      <c r="Z11101">
        <v>88</v>
      </c>
      <c r="AA11101">
        <v>2</v>
      </c>
      <c r="AB11101">
        <v>1.902558</v>
      </c>
      <c r="AC11101">
        <v>1.301036E-2</v>
      </c>
      <c r="AD11101">
        <v>0.828731</v>
      </c>
      <c r="AE11101">
        <v>0.78664690000000004</v>
      </c>
      <c r="AF11101">
        <v>303.37650000000002</v>
      </c>
      <c r="AG11101">
        <f>IFERROR(AH11101*0.1, "N/A")</f>
        <v>6.1654170000000006</v>
      </c>
      <c r="AH11101">
        <v>61.654170000000001</v>
      </c>
      <c r="AI11101">
        <v>149.19900000000001</v>
      </c>
      <c r="AJ11101">
        <v>21.042590000000001</v>
      </c>
      <c r="AK11101">
        <v>57.914819999999999</v>
      </c>
    </row>
    <row r="11102" spans="1:37" x14ac:dyDescent="0.3">
      <c r="A11102">
        <v>11101</v>
      </c>
      <c r="B11102">
        <v>48.4</v>
      </c>
      <c r="C11102">
        <v>-1.20306</v>
      </c>
      <c r="D11102">
        <v>12.6972</v>
      </c>
      <c r="E11102">
        <f>-1.20306-12.6972</f>
        <v>-13.900260000000001</v>
      </c>
      <c r="F11102" t="s">
        <v>16567</v>
      </c>
      <c r="G11102" t="s">
        <v>39</v>
      </c>
      <c r="H11102">
        <v>1984</v>
      </c>
      <c r="I11102">
        <v>28.2</v>
      </c>
      <c r="J11102">
        <v>13.3</v>
      </c>
      <c r="K11102">
        <v>59</v>
      </c>
      <c r="L11102">
        <v>22.83</v>
      </c>
      <c r="M11102">
        <v>39.200000000000003</v>
      </c>
      <c r="N11102">
        <v>16.7</v>
      </c>
      <c r="O11102">
        <v>22.5</v>
      </c>
      <c r="P11102">
        <v>26.8</v>
      </c>
      <c r="Q11102">
        <v>25.9</v>
      </c>
      <c r="R11102">
        <v>31.4</v>
      </c>
      <c r="S11102">
        <v>25.8</v>
      </c>
      <c r="T11102">
        <v>701</v>
      </c>
      <c r="U11102">
        <v>207</v>
      </c>
      <c r="V11102">
        <v>0</v>
      </c>
      <c r="W11102">
        <v>118</v>
      </c>
      <c r="X11102">
        <v>496</v>
      </c>
      <c r="Y11102">
        <v>2</v>
      </c>
      <c r="Z11102">
        <v>77</v>
      </c>
      <c r="AA11102">
        <v>2</v>
      </c>
      <c r="AB11102">
        <v>1.481832</v>
      </c>
      <c r="AC11102">
        <v>0.26607409999999998</v>
      </c>
      <c r="AD11102">
        <v>1.8077289999999999</v>
      </c>
      <c r="AE11102">
        <v>0.71673659999999995</v>
      </c>
      <c r="AF11102">
        <v>283.04239999999999</v>
      </c>
      <c r="AG11102">
        <f>IFERROR(AH11102*0.1, "N/A")</f>
        <v>5.9842110000000002</v>
      </c>
      <c r="AH11102">
        <v>59.842109999999998</v>
      </c>
      <c r="AI11102">
        <v>173.85480000000001</v>
      </c>
      <c r="AJ11102">
        <v>17.157889999999998</v>
      </c>
      <c r="AK11102">
        <v>63</v>
      </c>
    </row>
    <row r="11103" spans="1:37" x14ac:dyDescent="0.3">
      <c r="A11103">
        <v>11102</v>
      </c>
      <c r="B11103">
        <v>64</v>
      </c>
      <c r="C11103">
        <v>-1.6252800000000001</v>
      </c>
      <c r="D11103">
        <v>12.3294</v>
      </c>
      <c r="E11103">
        <f>-1.62528-12.3294</f>
        <v>-13.95468</v>
      </c>
      <c r="F11103" t="s">
        <v>16568</v>
      </c>
      <c r="G11103" t="s">
        <v>39</v>
      </c>
      <c r="H11103">
        <v>1984</v>
      </c>
      <c r="I11103">
        <v>27.9</v>
      </c>
      <c r="J11103">
        <v>13.4</v>
      </c>
      <c r="K11103">
        <v>58</v>
      </c>
      <c r="L11103">
        <v>22.86281</v>
      </c>
      <c r="M11103">
        <v>38.83146</v>
      </c>
      <c r="N11103">
        <v>15.86293</v>
      </c>
      <c r="O11103">
        <v>22.968540000000001</v>
      </c>
      <c r="P11103">
        <v>26.531459999999999</v>
      </c>
      <c r="Q11103">
        <v>25.5</v>
      </c>
      <c r="R11103">
        <v>31.131460000000001</v>
      </c>
      <c r="S11103">
        <v>25.5</v>
      </c>
      <c r="T11103">
        <v>778.31460000000004</v>
      </c>
      <c r="U11103">
        <v>222.31460000000001</v>
      </c>
      <c r="V11103">
        <v>0</v>
      </c>
      <c r="W11103">
        <v>114.3146</v>
      </c>
      <c r="X11103">
        <v>533.31460000000004</v>
      </c>
      <c r="Y11103">
        <v>2</v>
      </c>
      <c r="Z11103">
        <v>96</v>
      </c>
      <c r="AA11103">
        <v>2</v>
      </c>
      <c r="AB11103">
        <v>7.6744950000000003</v>
      </c>
      <c r="AC11103">
        <v>2.183827E-2</v>
      </c>
      <c r="AD11103">
        <v>1.240175</v>
      </c>
      <c r="AE11103">
        <v>0.88856440000000003</v>
      </c>
      <c r="AF11103">
        <v>324.1463</v>
      </c>
      <c r="AG11103">
        <f>IFERROR(AH11103*0.1, "N/A")</f>
        <v>5.8000000000000007</v>
      </c>
      <c r="AH11103">
        <v>58</v>
      </c>
      <c r="AI11103">
        <v>120.8648</v>
      </c>
      <c r="AJ11103">
        <v>24.629249999999999</v>
      </c>
      <c r="AK11103">
        <v>54.685369999999999</v>
      </c>
    </row>
    <row r="11104" spans="1:37" x14ac:dyDescent="0.3">
      <c r="A11104">
        <v>11103</v>
      </c>
      <c r="B11104">
        <v>14.5</v>
      </c>
      <c r="C11104">
        <v>-1.2205600000000001</v>
      </c>
      <c r="D11104">
        <v>12.039199999999999</v>
      </c>
      <c r="E11104">
        <f>-1.22056-12.0392</f>
        <v>-13.25976</v>
      </c>
      <c r="F11104" t="s">
        <v>16569</v>
      </c>
      <c r="G11104" t="s">
        <v>39</v>
      </c>
      <c r="H11104">
        <v>1984</v>
      </c>
      <c r="I11104">
        <v>28</v>
      </c>
      <c r="J11104">
        <v>13.1</v>
      </c>
      <c r="K11104">
        <v>60</v>
      </c>
      <c r="L11104">
        <v>21.15</v>
      </c>
      <c r="M11104">
        <v>38.799999999999997</v>
      </c>
      <c r="N11104">
        <v>17</v>
      </c>
      <c r="O11104">
        <v>21.8</v>
      </c>
      <c r="P11104">
        <v>26.4</v>
      </c>
      <c r="Q11104">
        <v>26.2</v>
      </c>
      <c r="R11104">
        <v>31.2</v>
      </c>
      <c r="S11104">
        <v>26.2</v>
      </c>
      <c r="T11104">
        <v>793</v>
      </c>
      <c r="U11104">
        <v>232</v>
      </c>
      <c r="V11104">
        <v>0</v>
      </c>
      <c r="W11104">
        <v>113</v>
      </c>
      <c r="X11104">
        <v>540</v>
      </c>
      <c r="Y11104">
        <v>3</v>
      </c>
      <c r="Z11104">
        <v>103</v>
      </c>
      <c r="AA11104">
        <v>4</v>
      </c>
      <c r="AB11104">
        <v>9.7996429999999997</v>
      </c>
      <c r="AC11104">
        <v>2.5770919999999999E-2</v>
      </c>
      <c r="AD11104">
        <v>1.260901</v>
      </c>
      <c r="AE11104">
        <v>0.44781070000000001</v>
      </c>
      <c r="AF11104">
        <v>289.04239999999999</v>
      </c>
      <c r="AG11104">
        <f>IFERROR(AH11104*0.1, "N/A")</f>
        <v>6.2</v>
      </c>
      <c r="AH11104">
        <v>62</v>
      </c>
      <c r="AI11104">
        <v>211.58070000000001</v>
      </c>
      <c r="AJ11104">
        <v>19.27627</v>
      </c>
      <c r="AK11104">
        <v>55.55254</v>
      </c>
    </row>
    <row r="11105" spans="1:37" x14ac:dyDescent="0.3">
      <c r="A11105">
        <v>11104</v>
      </c>
      <c r="B11105">
        <v>3.9</v>
      </c>
      <c r="C11105">
        <v>-1.5663899999999999</v>
      </c>
      <c r="D11105">
        <v>12.100300000000001</v>
      </c>
      <c r="E11105">
        <f>-1.56639-12.1003</f>
        <v>-13.666690000000001</v>
      </c>
      <c r="F11105" t="s">
        <v>16570</v>
      </c>
      <c r="G11105" t="s">
        <v>39</v>
      </c>
      <c r="H11105">
        <v>1984</v>
      </c>
      <c r="I11105">
        <v>27.8</v>
      </c>
      <c r="J11105">
        <v>13.4</v>
      </c>
      <c r="K11105">
        <v>58</v>
      </c>
      <c r="L11105">
        <v>22.18085</v>
      </c>
      <c r="M11105">
        <v>38.799999999999997</v>
      </c>
      <c r="N11105">
        <v>15.88503</v>
      </c>
      <c r="O11105">
        <v>22.91497</v>
      </c>
      <c r="P11105">
        <v>26.3</v>
      </c>
      <c r="Q11105">
        <v>25.58691</v>
      </c>
      <c r="R11105">
        <v>30.9619</v>
      </c>
      <c r="S11105">
        <v>25.53622</v>
      </c>
      <c r="T11105">
        <v>789.38099999999997</v>
      </c>
      <c r="U11105">
        <v>224</v>
      </c>
      <c r="V11105">
        <v>0</v>
      </c>
      <c r="W11105">
        <v>113</v>
      </c>
      <c r="X11105">
        <v>535</v>
      </c>
      <c r="Y11105">
        <v>3</v>
      </c>
      <c r="Z11105">
        <v>100</v>
      </c>
      <c r="AA11105">
        <v>4</v>
      </c>
      <c r="AB11105">
        <v>6.9607279999999996</v>
      </c>
      <c r="AC11105">
        <v>9.5987889999999999E-3</v>
      </c>
      <c r="AD11105">
        <v>1.2579830000000001</v>
      </c>
      <c r="AE11105">
        <v>0.37524220000000003</v>
      </c>
      <c r="AF11105">
        <v>325.0136</v>
      </c>
      <c r="AG11105">
        <f>IFERROR(AH11105*0.1, "N/A")</f>
        <v>6.0256800000000004</v>
      </c>
      <c r="AH11105">
        <v>60.256799999999998</v>
      </c>
      <c r="AI11105">
        <v>201.30690000000001</v>
      </c>
      <c r="AJ11105">
        <v>25.48639</v>
      </c>
      <c r="AK11105">
        <v>50.770409999999998</v>
      </c>
    </row>
    <row r="11106" spans="1:37" x14ac:dyDescent="0.3">
      <c r="A11106">
        <v>11105</v>
      </c>
      <c r="B11106">
        <v>38</v>
      </c>
      <c r="C11106">
        <v>-1.48167</v>
      </c>
      <c r="D11106">
        <v>12.0733</v>
      </c>
      <c r="E11106">
        <f>-1.48167-12.0733</f>
        <v>-13.554969999999999</v>
      </c>
      <c r="F11106" t="s">
        <v>16571</v>
      </c>
      <c r="G11106" t="s">
        <v>39</v>
      </c>
      <c r="H11106">
        <v>1984</v>
      </c>
      <c r="I11106">
        <v>27.8</v>
      </c>
      <c r="J11106">
        <v>13.3</v>
      </c>
      <c r="K11106">
        <v>59</v>
      </c>
      <c r="L11106">
        <v>22.1</v>
      </c>
      <c r="M11106">
        <v>38.799999999999997</v>
      </c>
      <c r="N11106">
        <v>16.3</v>
      </c>
      <c r="O11106">
        <v>22.5</v>
      </c>
      <c r="P11106">
        <v>26.3</v>
      </c>
      <c r="Q11106">
        <v>25.8</v>
      </c>
      <c r="R11106">
        <v>31</v>
      </c>
      <c r="S11106">
        <v>25.7</v>
      </c>
      <c r="T11106">
        <v>794</v>
      </c>
      <c r="U11106">
        <v>228</v>
      </c>
      <c r="V11106">
        <v>0</v>
      </c>
      <c r="W11106">
        <v>112</v>
      </c>
      <c r="X11106">
        <v>538</v>
      </c>
      <c r="Y11106">
        <v>3</v>
      </c>
      <c r="Z11106">
        <v>101</v>
      </c>
      <c r="AA11106">
        <v>4</v>
      </c>
      <c r="AB11106">
        <v>4.7993199999999998</v>
      </c>
      <c r="AC11106">
        <v>1.2814829999999999E-2</v>
      </c>
      <c r="AD11106">
        <v>1.445109</v>
      </c>
      <c r="AE11106">
        <v>0.31208239999999998</v>
      </c>
      <c r="AF11106">
        <v>314.82940000000002</v>
      </c>
      <c r="AG11106">
        <f>IFERROR(AH11106*0.1, "N/A")</f>
        <v>6.2447100000000004</v>
      </c>
      <c r="AH11106">
        <v>62.447099999999999</v>
      </c>
      <c r="AI11106">
        <v>146.48269999999999</v>
      </c>
      <c r="AJ11106">
        <v>15</v>
      </c>
      <c r="AK11106">
        <v>59.223550000000003</v>
      </c>
    </row>
    <row r="11107" spans="1:37" x14ac:dyDescent="0.3">
      <c r="A11107">
        <v>11106</v>
      </c>
      <c r="B11107">
        <v>20</v>
      </c>
      <c r="C11107">
        <v>-1.3374999999999999</v>
      </c>
      <c r="D11107">
        <v>12.0656</v>
      </c>
      <c r="E11107">
        <f>-1.3375-12.0656</f>
        <v>-13.4031</v>
      </c>
      <c r="F11107" t="s">
        <v>16572</v>
      </c>
      <c r="G11107" t="s">
        <v>39</v>
      </c>
      <c r="H11107">
        <v>1984</v>
      </c>
      <c r="I11107">
        <v>27.9</v>
      </c>
      <c r="J11107">
        <v>13.2</v>
      </c>
      <c r="K11107">
        <v>59</v>
      </c>
      <c r="L11107">
        <v>21.51</v>
      </c>
      <c r="M11107">
        <v>38.799999999999997</v>
      </c>
      <c r="N11107">
        <v>16.600000000000001</v>
      </c>
      <c r="O11107">
        <v>22.2</v>
      </c>
      <c r="P11107">
        <v>26.4</v>
      </c>
      <c r="Q11107">
        <v>25.9</v>
      </c>
      <c r="R11107">
        <v>31.1</v>
      </c>
      <c r="S11107">
        <v>25.9</v>
      </c>
      <c r="T11107">
        <v>799</v>
      </c>
      <c r="U11107">
        <v>234</v>
      </c>
      <c r="V11107">
        <v>0</v>
      </c>
      <c r="W11107">
        <v>114</v>
      </c>
      <c r="X11107">
        <v>544</v>
      </c>
      <c r="Y11107">
        <v>3</v>
      </c>
      <c r="Z11107">
        <v>102</v>
      </c>
      <c r="AA11107">
        <v>4</v>
      </c>
      <c r="AB11107">
        <v>1.0136130000000001</v>
      </c>
      <c r="AC11107">
        <v>0.16932759999999999</v>
      </c>
      <c r="AD11107">
        <v>0.95443599999999995</v>
      </c>
      <c r="AE11107">
        <v>0.74372240000000001</v>
      </c>
      <c r="AF11107">
        <v>306.267</v>
      </c>
      <c r="AG11107">
        <f>IFERROR(AH11107*0.1, "N/A")</f>
        <v>6.287585</v>
      </c>
      <c r="AH11107">
        <v>62.87585</v>
      </c>
      <c r="AI11107">
        <v>192.78829999999999</v>
      </c>
      <c r="AJ11107">
        <v>21.61054</v>
      </c>
      <c r="AK11107">
        <v>54.105440000000002</v>
      </c>
    </row>
    <row r="11108" spans="1:37" x14ac:dyDescent="0.3">
      <c r="A11108">
        <v>11107</v>
      </c>
      <c r="B11108">
        <v>14.3</v>
      </c>
      <c r="C11108">
        <v>-1.2663899999999999</v>
      </c>
      <c r="D11108">
        <v>11.83</v>
      </c>
      <c r="E11108">
        <f>-1.26639-11.83</f>
        <v>-13.09639</v>
      </c>
      <c r="F11108" t="s">
        <v>16573</v>
      </c>
      <c r="G11108" t="s">
        <v>39</v>
      </c>
      <c r="H11108">
        <v>1984</v>
      </c>
      <c r="I11108">
        <v>27.8</v>
      </c>
      <c r="J11108">
        <v>13.028980000000001</v>
      </c>
      <c r="K11108">
        <v>61</v>
      </c>
      <c r="L11108">
        <v>20.440290000000001</v>
      </c>
      <c r="M11108">
        <v>38.4</v>
      </c>
      <c r="N11108">
        <v>17.100000000000001</v>
      </c>
      <c r="O11108">
        <v>21.3</v>
      </c>
      <c r="P11108">
        <v>26.1</v>
      </c>
      <c r="Q11108">
        <v>26.128979999999999</v>
      </c>
      <c r="R11108">
        <v>30.8</v>
      </c>
      <c r="S11108">
        <v>26.1</v>
      </c>
      <c r="T11108">
        <v>815.71019999999999</v>
      </c>
      <c r="U11108">
        <v>236</v>
      </c>
      <c r="V11108">
        <v>0</v>
      </c>
      <c r="W11108">
        <v>110.5797</v>
      </c>
      <c r="X11108">
        <v>546.71019999999999</v>
      </c>
      <c r="Y11108">
        <v>5</v>
      </c>
      <c r="Z11108">
        <v>115</v>
      </c>
      <c r="AA11108">
        <v>162.5085</v>
      </c>
      <c r="AB11108">
        <v>0.96694800000000003</v>
      </c>
      <c r="AC11108">
        <v>0.56280160000000001</v>
      </c>
      <c r="AD11108">
        <v>0.69284190000000001</v>
      </c>
      <c r="AE11108">
        <v>0.65585539999999998</v>
      </c>
      <c r="AF11108">
        <v>312.51530000000002</v>
      </c>
      <c r="AG11108">
        <f>IFERROR(AH11108*0.1, "N/A")</f>
        <v>6.171017</v>
      </c>
      <c r="AH11108">
        <v>61.710169999999998</v>
      </c>
      <c r="AI11108">
        <v>94.283940000000001</v>
      </c>
      <c r="AJ11108">
        <v>20.983049999999999</v>
      </c>
      <c r="AK11108">
        <v>52.727119999999999</v>
      </c>
    </row>
    <row r="11109" spans="1:37" x14ac:dyDescent="0.3">
      <c r="A11109">
        <v>11108</v>
      </c>
      <c r="B11109">
        <v>18</v>
      </c>
      <c r="C11109">
        <v>-1.0730599999999999</v>
      </c>
      <c r="D11109">
        <v>11.663600000000001</v>
      </c>
      <c r="E11109">
        <f>-1.07306-11.6636</f>
        <v>-12.736660000000001</v>
      </c>
      <c r="F11109" t="s">
        <v>16574</v>
      </c>
      <c r="G11109" t="s">
        <v>39</v>
      </c>
      <c r="H11109">
        <v>1984</v>
      </c>
      <c r="I11109">
        <v>27.9</v>
      </c>
      <c r="J11109">
        <v>12.8</v>
      </c>
      <c r="K11109">
        <v>62</v>
      </c>
      <c r="L11109">
        <v>18.93</v>
      </c>
      <c r="M11109">
        <v>38.200000000000003</v>
      </c>
      <c r="N11109">
        <v>17.8</v>
      </c>
      <c r="O11109">
        <v>20.399999999999999</v>
      </c>
      <c r="P11109">
        <v>26.1</v>
      </c>
      <c r="Q11109">
        <v>26.7</v>
      </c>
      <c r="R11109">
        <v>30.8</v>
      </c>
      <c r="S11109">
        <v>26.1</v>
      </c>
      <c r="T11109">
        <v>837</v>
      </c>
      <c r="U11109">
        <v>229</v>
      </c>
      <c r="V11109">
        <v>1</v>
      </c>
      <c r="W11109">
        <v>108</v>
      </c>
      <c r="X11109">
        <v>553</v>
      </c>
      <c r="Y11109">
        <v>6</v>
      </c>
      <c r="Z11109">
        <v>125</v>
      </c>
      <c r="AA11109">
        <v>553</v>
      </c>
      <c r="AB11109">
        <v>13.30799</v>
      </c>
      <c r="AC11109">
        <v>1.537036E-2</v>
      </c>
      <c r="AD11109">
        <v>0.31146459999999998</v>
      </c>
      <c r="AE11109">
        <v>0.78671930000000001</v>
      </c>
      <c r="AF11109">
        <v>283.44819999999999</v>
      </c>
      <c r="AG11109">
        <f>IFERROR(AH11109*0.1, "N/A")</f>
        <v>6.1376910000000002</v>
      </c>
      <c r="AH11109">
        <v>61.376910000000002</v>
      </c>
      <c r="AI11109">
        <v>83.670760000000001</v>
      </c>
      <c r="AJ11109">
        <v>26.44143</v>
      </c>
      <c r="AK11109">
        <v>49.190150000000003</v>
      </c>
    </row>
    <row r="11110" spans="1:37" x14ac:dyDescent="0.3">
      <c r="A11110">
        <v>11109</v>
      </c>
      <c r="B11110">
        <v>10</v>
      </c>
      <c r="C11110">
        <v>-1.3333299999999999</v>
      </c>
      <c r="D11110">
        <v>11.7</v>
      </c>
      <c r="E11110">
        <f>-1.33333-11.7</f>
        <v>-13.033329999999999</v>
      </c>
      <c r="F11110" t="s">
        <v>16575</v>
      </c>
      <c r="G11110" t="s">
        <v>39</v>
      </c>
      <c r="H11110">
        <v>1984</v>
      </c>
      <c r="I11110">
        <v>27.78444</v>
      </c>
      <c r="J11110">
        <v>13</v>
      </c>
      <c r="K11110">
        <v>61</v>
      </c>
      <c r="L11110">
        <v>19.945029999999999</v>
      </c>
      <c r="M11110">
        <v>38.215560000000004</v>
      </c>
      <c r="N11110">
        <v>17.2</v>
      </c>
      <c r="O11110">
        <v>21.015560000000001</v>
      </c>
      <c r="P11110">
        <v>26</v>
      </c>
      <c r="Q11110">
        <v>26.184449999999998</v>
      </c>
      <c r="R11110">
        <v>30.78444</v>
      </c>
      <c r="S11110">
        <v>26</v>
      </c>
      <c r="T11110">
        <v>827.78629999999998</v>
      </c>
      <c r="U11110">
        <v>238</v>
      </c>
      <c r="V11110">
        <v>0</v>
      </c>
      <c r="W11110">
        <v>109.7897</v>
      </c>
      <c r="X11110">
        <v>549.42049999999995</v>
      </c>
      <c r="Y11110">
        <v>7</v>
      </c>
      <c r="Z11110">
        <v>122</v>
      </c>
      <c r="AA11110">
        <v>549.42049999999995</v>
      </c>
      <c r="AB11110">
        <v>6.3947010000000004</v>
      </c>
      <c r="AC11110">
        <v>4.9727239999999999E-2</v>
      </c>
      <c r="AD11110">
        <v>1.531684</v>
      </c>
      <c r="AE11110">
        <v>0.39150420000000002</v>
      </c>
      <c r="AF11110">
        <v>303.35210000000001</v>
      </c>
      <c r="AG11110">
        <f>IFERROR(AH11110*0.1, "N/A")</f>
        <v>6.1000000000000005</v>
      </c>
      <c r="AH11110">
        <v>61</v>
      </c>
      <c r="AI11110">
        <v>150.30670000000001</v>
      </c>
      <c r="AJ11110">
        <v>19.370940000000001</v>
      </c>
      <c r="AK11110">
        <v>55.94359</v>
      </c>
    </row>
    <row r="11111" spans="1:37" x14ac:dyDescent="0.3">
      <c r="A11111">
        <v>11110</v>
      </c>
      <c r="B11111">
        <v>51.7</v>
      </c>
      <c r="C11111">
        <v>-1.3772200000000001</v>
      </c>
      <c r="D11111">
        <v>11.3689</v>
      </c>
      <c r="E11111">
        <f>-1.37722-11.3689</f>
        <v>-12.746119999999999</v>
      </c>
      <c r="F11111" t="s">
        <v>16576</v>
      </c>
      <c r="G11111" t="s">
        <v>39</v>
      </c>
      <c r="H11111">
        <v>1984</v>
      </c>
      <c r="I11111">
        <v>27.6</v>
      </c>
      <c r="J11111">
        <v>12.7</v>
      </c>
      <c r="K11111">
        <v>62</v>
      </c>
      <c r="L11111">
        <v>18.690000000000001</v>
      </c>
      <c r="M11111">
        <v>37.799999999999997</v>
      </c>
      <c r="N11111">
        <v>17.600000000000001</v>
      </c>
      <c r="O11111">
        <v>20.2</v>
      </c>
      <c r="P11111">
        <v>25.8</v>
      </c>
      <c r="Q11111">
        <v>26.7</v>
      </c>
      <c r="R11111">
        <v>30.5</v>
      </c>
      <c r="S11111">
        <v>25.8</v>
      </c>
      <c r="T11111">
        <v>906</v>
      </c>
      <c r="U11111">
        <v>248</v>
      </c>
      <c r="V11111">
        <v>1</v>
      </c>
      <c r="W11111">
        <v>107</v>
      </c>
      <c r="X11111">
        <v>597</v>
      </c>
      <c r="Y11111">
        <v>6</v>
      </c>
      <c r="Z11111">
        <v>132</v>
      </c>
      <c r="AA11111">
        <v>597</v>
      </c>
      <c r="AB11111">
        <v>4.3292200000000003</v>
      </c>
      <c r="AC11111">
        <v>0.14640120000000001</v>
      </c>
      <c r="AD11111">
        <v>2.0415960000000002</v>
      </c>
      <c r="AE11111">
        <v>0.34471499999999999</v>
      </c>
      <c r="AF11111">
        <v>298.76580000000001</v>
      </c>
      <c r="AG11111">
        <f>IFERROR(AH11111*0.1, "N/A")</f>
        <v>6.3128210000000005</v>
      </c>
      <c r="AH11111">
        <v>63.128210000000003</v>
      </c>
      <c r="AI11111">
        <v>118.2343</v>
      </c>
      <c r="AJ11111">
        <v>17.676919999999999</v>
      </c>
      <c r="AK11111">
        <v>58.871789999999997</v>
      </c>
    </row>
    <row r="11112" spans="1:37" x14ac:dyDescent="0.3">
      <c r="A11112">
        <v>11111</v>
      </c>
      <c r="B11112">
        <v>66.3</v>
      </c>
      <c r="C11112">
        <v>-1.145</v>
      </c>
      <c r="D11112">
        <v>11.169700000000001</v>
      </c>
      <c r="E11112">
        <f>-1.145-11.1697</f>
        <v>-12.3147</v>
      </c>
      <c r="F11112" t="s">
        <v>16577</v>
      </c>
      <c r="G11112" t="s">
        <v>39</v>
      </c>
      <c r="H11112">
        <v>1984</v>
      </c>
      <c r="I11112">
        <v>27.4</v>
      </c>
      <c r="J11112">
        <v>12.4</v>
      </c>
      <c r="K11112">
        <v>62</v>
      </c>
      <c r="L11112">
        <v>18.45</v>
      </c>
      <c r="M11112">
        <v>37.700000000000003</v>
      </c>
      <c r="N11112">
        <v>18</v>
      </c>
      <c r="O11112">
        <v>19.7</v>
      </c>
      <c r="P11112">
        <v>25.4</v>
      </c>
      <c r="Q11112">
        <v>26.9</v>
      </c>
      <c r="R11112">
        <v>30.2</v>
      </c>
      <c r="S11112">
        <v>25.4</v>
      </c>
      <c r="T11112">
        <v>899</v>
      </c>
      <c r="U11112">
        <v>242</v>
      </c>
      <c r="V11112">
        <v>1</v>
      </c>
      <c r="W11112">
        <v>106</v>
      </c>
      <c r="X11112">
        <v>586</v>
      </c>
      <c r="Y11112">
        <v>8</v>
      </c>
      <c r="Z11112">
        <v>134</v>
      </c>
      <c r="AA11112">
        <v>586</v>
      </c>
      <c r="AB11112">
        <v>11.442449999999999</v>
      </c>
      <c r="AC11112">
        <v>1.7826870000000002E-2</v>
      </c>
      <c r="AD11112">
        <v>0.94893729999999998</v>
      </c>
      <c r="AE11112">
        <v>0.69831319999999997</v>
      </c>
      <c r="AF11112">
        <v>314.64729999999997</v>
      </c>
      <c r="AG11112">
        <f>IFERROR(AH11112*0.1, "N/A")</f>
        <v>6.1000000000000005</v>
      </c>
      <c r="AH11112">
        <v>61</v>
      </c>
      <c r="AI11112">
        <v>43.886510000000001</v>
      </c>
      <c r="AJ11112">
        <v>17.335619999999999</v>
      </c>
      <c r="AK11112">
        <v>60.664380000000001</v>
      </c>
    </row>
    <row r="11113" spans="1:37" x14ac:dyDescent="0.3">
      <c r="A11113">
        <v>11112</v>
      </c>
      <c r="B11113">
        <v>10</v>
      </c>
      <c r="C11113">
        <v>-1.20444</v>
      </c>
      <c r="D11113">
        <v>11.5581</v>
      </c>
      <c r="E11113">
        <f>-1.20444-11.5581</f>
        <v>-12.76254</v>
      </c>
      <c r="F11113" t="s">
        <v>16578</v>
      </c>
      <c r="G11113" t="s">
        <v>39</v>
      </c>
      <c r="H11113">
        <v>1984</v>
      </c>
      <c r="I11113">
        <v>27.787009999999999</v>
      </c>
      <c r="J11113">
        <v>12.8</v>
      </c>
      <c r="K11113">
        <v>62</v>
      </c>
      <c r="L11113">
        <v>19.0152</v>
      </c>
      <c r="M11113">
        <v>38</v>
      </c>
      <c r="N11113">
        <v>17.587009999999999</v>
      </c>
      <c r="O11113">
        <v>20.412990000000001</v>
      </c>
      <c r="P11113">
        <v>25.88701</v>
      </c>
      <c r="Q11113">
        <v>26.674019999999999</v>
      </c>
      <c r="R11113">
        <v>30.6</v>
      </c>
      <c r="S11113">
        <v>25.88701</v>
      </c>
      <c r="T11113">
        <v>861.12990000000002</v>
      </c>
      <c r="U11113">
        <v>236</v>
      </c>
      <c r="V11113">
        <v>1</v>
      </c>
      <c r="W11113">
        <v>107</v>
      </c>
      <c r="X11113">
        <v>566</v>
      </c>
      <c r="Y11113">
        <v>7</v>
      </c>
      <c r="Z11113">
        <v>129.12989999999999</v>
      </c>
      <c r="AA11113">
        <v>566</v>
      </c>
      <c r="AB11113">
        <v>16.357099999999999</v>
      </c>
      <c r="AC11113">
        <v>4.753172E-2</v>
      </c>
      <c r="AD11113">
        <v>1.0714809999999999</v>
      </c>
      <c r="AE11113">
        <v>0.67055980000000004</v>
      </c>
      <c r="AF11113">
        <v>305.19490000000002</v>
      </c>
      <c r="AG11113">
        <f>IFERROR(AH11113*0.1, "N/A")</f>
        <v>6.0128210000000006</v>
      </c>
      <c r="AH11113">
        <v>60.128210000000003</v>
      </c>
      <c r="AI11113">
        <v>246.8785</v>
      </c>
      <c r="AJ11113">
        <v>17.62735</v>
      </c>
      <c r="AK11113">
        <v>60.717950000000002</v>
      </c>
    </row>
    <row r="11114" spans="1:37" x14ac:dyDescent="0.3">
      <c r="A11114">
        <v>11113</v>
      </c>
      <c r="B11114">
        <v>75.900000000000006</v>
      </c>
      <c r="C11114">
        <v>-1.05</v>
      </c>
      <c r="D11114">
        <v>12.75</v>
      </c>
      <c r="E11114">
        <f>-1.05-12.75</f>
        <v>-13.8</v>
      </c>
      <c r="F11114" t="s">
        <v>16579</v>
      </c>
      <c r="G11114" t="s">
        <v>39</v>
      </c>
      <c r="H11114">
        <v>1999</v>
      </c>
      <c r="I11114">
        <v>28.18835</v>
      </c>
      <c r="J11114">
        <v>13.3</v>
      </c>
      <c r="K11114">
        <v>59</v>
      </c>
      <c r="L11114">
        <v>22.873529999999999</v>
      </c>
      <c r="M11114">
        <v>39.142899999999997</v>
      </c>
      <c r="N11114">
        <v>16.742909999999998</v>
      </c>
      <c r="O11114">
        <v>22.4</v>
      </c>
      <c r="P11114">
        <v>26.7</v>
      </c>
      <c r="Q11114">
        <v>25.8429</v>
      </c>
      <c r="R11114">
        <v>31.3429</v>
      </c>
      <c r="S11114">
        <v>25.762499999999999</v>
      </c>
      <c r="T11114">
        <v>685.57090000000005</v>
      </c>
      <c r="U11114">
        <v>205.57089999999999</v>
      </c>
      <c r="V11114">
        <v>0</v>
      </c>
      <c r="W11114">
        <v>119</v>
      </c>
      <c r="X11114">
        <v>488.25839999999999</v>
      </c>
      <c r="Y11114">
        <v>2</v>
      </c>
      <c r="Z11114">
        <v>70</v>
      </c>
      <c r="AA11114">
        <v>2</v>
      </c>
      <c r="AB11114">
        <v>5.9881589999999996</v>
      </c>
      <c r="AC11114">
        <v>2.7897930000000001E-2</v>
      </c>
      <c r="AD11114">
        <v>1.4841930000000001</v>
      </c>
      <c r="AE11114">
        <v>0.69706950000000001</v>
      </c>
      <c r="AF11114">
        <v>306.64359999999999</v>
      </c>
      <c r="AG11114">
        <f>IFERROR(AH11114*0.1, "N/A")</f>
        <v>5.625</v>
      </c>
      <c r="AH11114">
        <v>56.25</v>
      </c>
      <c r="AI11114">
        <v>104.65219999999999</v>
      </c>
      <c r="AJ11114">
        <v>9</v>
      </c>
      <c r="AK11114">
        <v>73.25</v>
      </c>
    </row>
    <row r="11115" spans="1:37" x14ac:dyDescent="0.3">
      <c r="A11115">
        <v>11114</v>
      </c>
      <c r="B11115">
        <v>0</v>
      </c>
      <c r="C11115">
        <v>-1.05</v>
      </c>
      <c r="D11115">
        <v>12.75</v>
      </c>
      <c r="E11115">
        <f>-1.05-12.75</f>
        <v>-13.8</v>
      </c>
      <c r="F11115" t="s">
        <v>16580</v>
      </c>
      <c r="G11115" t="s">
        <v>37</v>
      </c>
      <c r="H11115">
        <v>1999</v>
      </c>
      <c r="I11115">
        <v>28.18835</v>
      </c>
      <c r="J11115">
        <v>13.3</v>
      </c>
      <c r="K11115">
        <v>59</v>
      </c>
      <c r="L11115">
        <v>22.873529999999999</v>
      </c>
      <c r="M11115">
        <v>39.142899999999997</v>
      </c>
      <c r="N11115">
        <v>16.742909999999998</v>
      </c>
      <c r="O11115">
        <v>22.4</v>
      </c>
      <c r="P11115">
        <v>26.7</v>
      </c>
      <c r="Q11115">
        <v>25.8429</v>
      </c>
      <c r="R11115">
        <v>31.3429</v>
      </c>
      <c r="S11115">
        <v>25.762499999999999</v>
      </c>
      <c r="T11115">
        <v>685.57090000000005</v>
      </c>
      <c r="U11115">
        <v>205.57089999999999</v>
      </c>
      <c r="V11115">
        <v>0</v>
      </c>
      <c r="W11115">
        <v>119</v>
      </c>
      <c r="X11115">
        <v>488.25839999999999</v>
      </c>
      <c r="Y11115">
        <v>2</v>
      </c>
      <c r="Z11115">
        <v>70</v>
      </c>
      <c r="AA11115">
        <v>2</v>
      </c>
      <c r="AB11115">
        <v>5.9881589999999996</v>
      </c>
      <c r="AC11115">
        <v>2.7897930000000001E-2</v>
      </c>
      <c r="AD11115">
        <v>1.4841930000000001</v>
      </c>
      <c r="AE11115">
        <v>0.69706950000000001</v>
      </c>
      <c r="AF11115">
        <v>306.64359999999999</v>
      </c>
      <c r="AG11115">
        <f>IFERROR(AH11115*0.1, "N/A")</f>
        <v>5.625</v>
      </c>
      <c r="AH11115">
        <v>56.25</v>
      </c>
      <c r="AI11115">
        <v>104.65219999999999</v>
      </c>
      <c r="AJ11115">
        <v>9</v>
      </c>
      <c r="AK11115">
        <v>73.25</v>
      </c>
    </row>
    <row r="11116" spans="1:37" x14ac:dyDescent="0.3">
      <c r="A11116">
        <v>11115</v>
      </c>
      <c r="B11116">
        <v>34.6</v>
      </c>
      <c r="C11116">
        <v>-1.0555600000000001</v>
      </c>
      <c r="D11116">
        <v>12.64</v>
      </c>
      <c r="E11116">
        <f>-1.05556-12.64</f>
        <v>-13.69556</v>
      </c>
      <c r="F11116" t="s">
        <v>16581</v>
      </c>
      <c r="G11116" t="s">
        <v>39</v>
      </c>
      <c r="H11116">
        <v>1999</v>
      </c>
      <c r="I11116">
        <v>28.3</v>
      </c>
      <c r="J11116">
        <v>13.3</v>
      </c>
      <c r="K11116">
        <v>59</v>
      </c>
      <c r="L11116">
        <v>22.37</v>
      </c>
      <c r="M11116">
        <v>39.299999999999997</v>
      </c>
      <c r="N11116">
        <v>16.899999999999999</v>
      </c>
      <c r="O11116">
        <v>22.4</v>
      </c>
      <c r="P11116">
        <v>26.9</v>
      </c>
      <c r="Q11116">
        <v>26</v>
      </c>
      <c r="R11116">
        <v>31.5</v>
      </c>
      <c r="S11116">
        <v>26</v>
      </c>
      <c r="T11116">
        <v>699</v>
      </c>
      <c r="U11116">
        <v>206</v>
      </c>
      <c r="V11116">
        <v>0</v>
      </c>
      <c r="W11116">
        <v>118</v>
      </c>
      <c r="X11116">
        <v>494</v>
      </c>
      <c r="Y11116">
        <v>2</v>
      </c>
      <c r="Z11116">
        <v>76</v>
      </c>
      <c r="AA11116">
        <v>2</v>
      </c>
      <c r="AB11116">
        <v>8.4434310000000004</v>
      </c>
      <c r="AC11116">
        <v>2.463595E-2</v>
      </c>
      <c r="AD11116">
        <v>1.6357680000000001</v>
      </c>
      <c r="AE11116">
        <v>0.66405579999999997</v>
      </c>
      <c r="AF11116">
        <v>278.56900000000002</v>
      </c>
      <c r="AG11116">
        <f>IFERROR(AH11116*0.1, "N/A")</f>
        <v>5.9001700000000001</v>
      </c>
      <c r="AH11116">
        <v>59.0017</v>
      </c>
      <c r="AI11116">
        <v>162.8458</v>
      </c>
      <c r="AJ11116">
        <v>17.003409999999999</v>
      </c>
      <c r="AK11116">
        <v>62.993189999999998</v>
      </c>
    </row>
    <row r="11117" spans="1:37" x14ac:dyDescent="0.3">
      <c r="A11117">
        <v>11116</v>
      </c>
      <c r="B11117">
        <v>0</v>
      </c>
      <c r="C11117">
        <v>-1.0555600000000001</v>
      </c>
      <c r="D11117">
        <v>12.64</v>
      </c>
      <c r="E11117">
        <f>-1.05556-12.64</f>
        <v>-13.69556</v>
      </c>
      <c r="F11117" t="s">
        <v>16582</v>
      </c>
      <c r="G11117" t="s">
        <v>37</v>
      </c>
      <c r="H11117">
        <v>1999</v>
      </c>
      <c r="I11117">
        <v>28.3</v>
      </c>
      <c r="J11117">
        <v>13.3</v>
      </c>
      <c r="K11117">
        <v>59</v>
      </c>
      <c r="L11117">
        <v>22.37</v>
      </c>
      <c r="M11117">
        <v>39.299999999999997</v>
      </c>
      <c r="N11117">
        <v>16.899999999999999</v>
      </c>
      <c r="O11117">
        <v>22.4</v>
      </c>
      <c r="P11117">
        <v>26.9</v>
      </c>
      <c r="Q11117">
        <v>26</v>
      </c>
      <c r="R11117">
        <v>31.5</v>
      </c>
      <c r="S11117">
        <v>26</v>
      </c>
      <c r="T11117">
        <v>699</v>
      </c>
      <c r="U11117">
        <v>206</v>
      </c>
      <c r="V11117">
        <v>0</v>
      </c>
      <c r="W11117">
        <v>118</v>
      </c>
      <c r="X11117">
        <v>494</v>
      </c>
      <c r="Y11117">
        <v>2</v>
      </c>
      <c r="Z11117">
        <v>76</v>
      </c>
      <c r="AA11117">
        <v>2</v>
      </c>
      <c r="AB11117">
        <v>8.4434310000000004</v>
      </c>
      <c r="AC11117">
        <v>2.463595E-2</v>
      </c>
      <c r="AD11117">
        <v>1.6357680000000001</v>
      </c>
      <c r="AE11117">
        <v>0.66405579999999997</v>
      </c>
      <c r="AF11117">
        <v>278.56900000000002</v>
      </c>
      <c r="AG11117">
        <f>IFERROR(AH11117*0.1, "N/A")</f>
        <v>5.9001700000000001</v>
      </c>
      <c r="AH11117">
        <v>59.0017</v>
      </c>
      <c r="AI11117">
        <v>162.8458</v>
      </c>
      <c r="AJ11117">
        <v>17.003409999999999</v>
      </c>
      <c r="AK11117">
        <v>62.993189999999998</v>
      </c>
    </row>
    <row r="11118" spans="1:37" x14ac:dyDescent="0.3">
      <c r="A11118">
        <v>11117</v>
      </c>
      <c r="B11118">
        <v>43.4</v>
      </c>
      <c r="C11118">
        <v>-1.14056</v>
      </c>
      <c r="D11118">
        <v>12.606400000000001</v>
      </c>
      <c r="E11118">
        <f>-1.14056-12.6064</f>
        <v>-13.746960000000001</v>
      </c>
      <c r="F11118" t="s">
        <v>16583</v>
      </c>
      <c r="G11118" t="s">
        <v>39</v>
      </c>
      <c r="H11118">
        <v>1999</v>
      </c>
      <c r="I11118">
        <v>28.2</v>
      </c>
      <c r="J11118">
        <v>13.3</v>
      </c>
      <c r="K11118">
        <v>59</v>
      </c>
      <c r="L11118">
        <v>22.85</v>
      </c>
      <c r="M11118">
        <v>39.200000000000003</v>
      </c>
      <c r="N11118">
        <v>16.7</v>
      </c>
      <c r="O11118">
        <v>22.5</v>
      </c>
      <c r="P11118">
        <v>26.7</v>
      </c>
      <c r="Q11118">
        <v>25.9</v>
      </c>
      <c r="R11118">
        <v>31.4</v>
      </c>
      <c r="S11118">
        <v>25.9</v>
      </c>
      <c r="T11118">
        <v>712</v>
      </c>
      <c r="U11118">
        <v>208</v>
      </c>
      <c r="V11118">
        <v>0</v>
      </c>
      <c r="W11118">
        <v>117</v>
      </c>
      <c r="X11118">
        <v>500</v>
      </c>
      <c r="Y11118">
        <v>2</v>
      </c>
      <c r="Z11118">
        <v>82</v>
      </c>
      <c r="AA11118">
        <v>2</v>
      </c>
      <c r="AB11118">
        <v>7.6151109999999997</v>
      </c>
      <c r="AC11118">
        <v>1.9624659999999999E-2</v>
      </c>
      <c r="AD11118">
        <v>1.550897</v>
      </c>
      <c r="AE11118">
        <v>0.61230050000000003</v>
      </c>
      <c r="AF11118">
        <v>290.04919999999998</v>
      </c>
      <c r="AG11118">
        <f>IFERROR(AH11118*0.1, "N/A")</f>
        <v>5.7</v>
      </c>
      <c r="AH11118">
        <v>57</v>
      </c>
      <c r="AI11118">
        <v>129.6711</v>
      </c>
      <c r="AJ11118">
        <v>13.059419999999999</v>
      </c>
      <c r="AK11118">
        <v>70.059420000000003</v>
      </c>
    </row>
    <row r="11119" spans="1:37" x14ac:dyDescent="0.3">
      <c r="A11119">
        <v>11118</v>
      </c>
      <c r="B11119">
        <v>0</v>
      </c>
      <c r="C11119">
        <v>-1.14056</v>
      </c>
      <c r="D11119">
        <v>12.606400000000001</v>
      </c>
      <c r="E11119">
        <f>-1.14056-12.6064</f>
        <v>-13.746960000000001</v>
      </c>
      <c r="F11119" t="s">
        <v>16584</v>
      </c>
      <c r="G11119" t="s">
        <v>37</v>
      </c>
      <c r="H11119">
        <v>1999</v>
      </c>
      <c r="I11119">
        <v>28.2</v>
      </c>
      <c r="J11119">
        <v>13.3</v>
      </c>
      <c r="K11119">
        <v>59</v>
      </c>
      <c r="L11119">
        <v>22.85</v>
      </c>
      <c r="M11119">
        <v>39.200000000000003</v>
      </c>
      <c r="N11119">
        <v>16.7</v>
      </c>
      <c r="O11119">
        <v>22.5</v>
      </c>
      <c r="P11119">
        <v>26.7</v>
      </c>
      <c r="Q11119">
        <v>25.9</v>
      </c>
      <c r="R11119">
        <v>31.4</v>
      </c>
      <c r="S11119">
        <v>25.9</v>
      </c>
      <c r="T11119">
        <v>712</v>
      </c>
      <c r="U11119">
        <v>208</v>
      </c>
      <c r="V11119">
        <v>0</v>
      </c>
      <c r="W11119">
        <v>117</v>
      </c>
      <c r="X11119">
        <v>500</v>
      </c>
      <c r="Y11119">
        <v>2</v>
      </c>
      <c r="Z11119">
        <v>82</v>
      </c>
      <c r="AA11119">
        <v>2</v>
      </c>
      <c r="AB11119">
        <v>7.6151109999999997</v>
      </c>
      <c r="AC11119">
        <v>1.9624659999999999E-2</v>
      </c>
      <c r="AD11119">
        <v>1.550897</v>
      </c>
      <c r="AE11119">
        <v>0.61230050000000003</v>
      </c>
      <c r="AF11119">
        <v>290.04919999999998</v>
      </c>
      <c r="AG11119">
        <f>IFERROR(AH11119*0.1, "N/A")</f>
        <v>5.7</v>
      </c>
      <c r="AH11119">
        <v>57</v>
      </c>
      <c r="AI11119">
        <v>129.6711</v>
      </c>
      <c r="AJ11119">
        <v>13.059419999999999</v>
      </c>
      <c r="AK11119">
        <v>70.059420000000003</v>
      </c>
    </row>
    <row r="11120" spans="1:37" x14ac:dyDescent="0.3">
      <c r="A11120">
        <v>11119</v>
      </c>
      <c r="B11120">
        <v>56.5</v>
      </c>
      <c r="C11120">
        <v>-1.0249999999999999</v>
      </c>
      <c r="D11120">
        <v>12.541700000000001</v>
      </c>
      <c r="E11120">
        <f>-1.025-12.5417</f>
        <v>-13.566700000000001</v>
      </c>
      <c r="F11120" t="s">
        <v>16585</v>
      </c>
      <c r="G11120" t="s">
        <v>39</v>
      </c>
      <c r="H11120">
        <v>1999</v>
      </c>
      <c r="I11120">
        <v>28.223009999999999</v>
      </c>
      <c r="J11120">
        <v>13.3</v>
      </c>
      <c r="K11120">
        <v>59</v>
      </c>
      <c r="L11120">
        <v>22.56934</v>
      </c>
      <c r="M11120">
        <v>39.212519999999998</v>
      </c>
      <c r="N11120">
        <v>16.861419999999999</v>
      </c>
      <c r="O11120">
        <v>22.351099999999999</v>
      </c>
      <c r="P11120">
        <v>26.723009999999999</v>
      </c>
      <c r="Q11120">
        <v>25.96142</v>
      </c>
      <c r="R11120">
        <v>31.461590000000001</v>
      </c>
      <c r="S11120">
        <v>25.96142</v>
      </c>
      <c r="T11120">
        <v>714.27750000000003</v>
      </c>
      <c r="U11120">
        <v>208</v>
      </c>
      <c r="V11120">
        <v>0</v>
      </c>
      <c r="W11120">
        <v>117</v>
      </c>
      <c r="X11120">
        <v>500.89339999999999</v>
      </c>
      <c r="Y11120">
        <v>1.769882</v>
      </c>
      <c r="Z11120">
        <v>82</v>
      </c>
      <c r="AA11120">
        <v>1.769882</v>
      </c>
      <c r="AB11120">
        <v>1.3023670000000001</v>
      </c>
      <c r="AC11120">
        <v>0.1109358</v>
      </c>
      <c r="AD11120">
        <v>1.647894</v>
      </c>
      <c r="AE11120">
        <v>0.55597819999999998</v>
      </c>
      <c r="AF11120">
        <v>282.86799999999999</v>
      </c>
      <c r="AG11120">
        <f>IFERROR(AH11120*0.1, "N/A")</f>
        <v>6.2490690000000004</v>
      </c>
      <c r="AH11120">
        <v>62.490690000000001</v>
      </c>
      <c r="AI11120">
        <v>176.1114</v>
      </c>
      <c r="AJ11120">
        <v>20</v>
      </c>
      <c r="AK11120">
        <v>58.981389999999998</v>
      </c>
    </row>
    <row r="11121" spans="1:37" x14ac:dyDescent="0.3">
      <c r="A11121">
        <v>11120</v>
      </c>
      <c r="B11121">
        <v>0</v>
      </c>
      <c r="C11121">
        <v>-1.0249999999999999</v>
      </c>
      <c r="D11121">
        <v>12.541700000000001</v>
      </c>
      <c r="E11121">
        <f>-1.025-12.5417</f>
        <v>-13.566700000000001</v>
      </c>
      <c r="F11121" t="s">
        <v>16586</v>
      </c>
      <c r="G11121" t="s">
        <v>37</v>
      </c>
      <c r="H11121">
        <v>1999</v>
      </c>
      <c r="I11121">
        <v>28.223009999999999</v>
      </c>
      <c r="J11121">
        <v>13.3</v>
      </c>
      <c r="K11121">
        <v>59</v>
      </c>
      <c r="L11121">
        <v>22.56934</v>
      </c>
      <c r="M11121">
        <v>39.212519999999998</v>
      </c>
      <c r="N11121">
        <v>16.861419999999999</v>
      </c>
      <c r="O11121">
        <v>22.351099999999999</v>
      </c>
      <c r="P11121">
        <v>26.723009999999999</v>
      </c>
      <c r="Q11121">
        <v>25.96142</v>
      </c>
      <c r="R11121">
        <v>31.461590000000001</v>
      </c>
      <c r="S11121">
        <v>25.96142</v>
      </c>
      <c r="T11121">
        <v>714.27750000000003</v>
      </c>
      <c r="U11121">
        <v>208</v>
      </c>
      <c r="V11121">
        <v>0</v>
      </c>
      <c r="W11121">
        <v>117</v>
      </c>
      <c r="X11121">
        <v>500.89339999999999</v>
      </c>
      <c r="Y11121">
        <v>1.769882</v>
      </c>
      <c r="Z11121">
        <v>82</v>
      </c>
      <c r="AA11121">
        <v>1.769882</v>
      </c>
      <c r="AB11121">
        <v>1.3023670000000001</v>
      </c>
      <c r="AC11121">
        <v>0.1109358</v>
      </c>
      <c r="AD11121">
        <v>1.647894</v>
      </c>
      <c r="AE11121">
        <v>0.55597819999999998</v>
      </c>
      <c r="AF11121">
        <v>282.86799999999999</v>
      </c>
      <c r="AG11121">
        <f>IFERROR(AH11121*0.1, "N/A")</f>
        <v>6.2490690000000004</v>
      </c>
      <c r="AH11121">
        <v>62.490690000000001</v>
      </c>
      <c r="AI11121">
        <v>176.1114</v>
      </c>
      <c r="AJ11121">
        <v>20</v>
      </c>
      <c r="AK11121">
        <v>58.981389999999998</v>
      </c>
    </row>
    <row r="11122" spans="1:37" x14ac:dyDescent="0.3">
      <c r="A11122">
        <v>11121</v>
      </c>
      <c r="B11122">
        <v>26.1</v>
      </c>
      <c r="C11122">
        <v>-1.15944</v>
      </c>
      <c r="D11122">
        <v>12.4656</v>
      </c>
      <c r="E11122">
        <f>-1.15944-12.4656</f>
        <v>-13.62504</v>
      </c>
      <c r="F11122" t="s">
        <v>16587</v>
      </c>
      <c r="G11122" t="s">
        <v>39</v>
      </c>
      <c r="H11122">
        <v>1999</v>
      </c>
      <c r="I11122">
        <v>28.2</v>
      </c>
      <c r="J11122">
        <v>13.3</v>
      </c>
      <c r="K11122">
        <v>59</v>
      </c>
      <c r="L11122">
        <v>22.17</v>
      </c>
      <c r="M11122">
        <v>39.1</v>
      </c>
      <c r="N11122">
        <v>16.8</v>
      </c>
      <c r="O11122">
        <v>22.3</v>
      </c>
      <c r="P11122">
        <v>26.8</v>
      </c>
      <c r="Q11122">
        <v>26</v>
      </c>
      <c r="R11122">
        <v>31.4</v>
      </c>
      <c r="S11122">
        <v>26</v>
      </c>
      <c r="T11122">
        <v>730</v>
      </c>
      <c r="U11122">
        <v>210</v>
      </c>
      <c r="V11122">
        <v>0</v>
      </c>
      <c r="W11122">
        <v>117</v>
      </c>
      <c r="X11122">
        <v>509</v>
      </c>
      <c r="Y11122">
        <v>1</v>
      </c>
      <c r="Z11122">
        <v>90</v>
      </c>
      <c r="AA11122">
        <v>1</v>
      </c>
      <c r="AB11122">
        <v>7.3512820000000003</v>
      </c>
      <c r="AC11122">
        <v>9.1468509999999992E-3</v>
      </c>
      <c r="AD11122">
        <v>1.0389330000000001</v>
      </c>
      <c r="AE11122">
        <v>0.66378269999999995</v>
      </c>
      <c r="AF11122">
        <v>282.47190000000001</v>
      </c>
      <c r="AG11122">
        <f>IFERROR(AH11122*0.1, "N/A")</f>
        <v>6</v>
      </c>
      <c r="AH11122">
        <v>60</v>
      </c>
      <c r="AI11122">
        <v>71.851079999999996</v>
      </c>
      <c r="AJ11122">
        <v>13.514480000000001</v>
      </c>
      <c r="AK11122">
        <v>65.228279999999998</v>
      </c>
    </row>
    <row r="11123" spans="1:37" x14ac:dyDescent="0.3">
      <c r="A11123">
        <v>11122</v>
      </c>
      <c r="B11123">
        <v>0</v>
      </c>
      <c r="C11123">
        <v>-1.15944</v>
      </c>
      <c r="D11123">
        <v>12.4656</v>
      </c>
      <c r="E11123">
        <f>-1.15944-12.4656</f>
        <v>-13.62504</v>
      </c>
      <c r="F11123" t="s">
        <v>16588</v>
      </c>
      <c r="G11123" t="s">
        <v>37</v>
      </c>
      <c r="H11123">
        <v>1999</v>
      </c>
      <c r="I11123">
        <v>28.2</v>
      </c>
      <c r="J11123">
        <v>13.3</v>
      </c>
      <c r="K11123">
        <v>59</v>
      </c>
      <c r="L11123">
        <v>22.17</v>
      </c>
      <c r="M11123">
        <v>39.1</v>
      </c>
      <c r="N11123">
        <v>16.8</v>
      </c>
      <c r="O11123">
        <v>22.3</v>
      </c>
      <c r="P11123">
        <v>26.8</v>
      </c>
      <c r="Q11123">
        <v>26</v>
      </c>
      <c r="R11123">
        <v>31.4</v>
      </c>
      <c r="S11123">
        <v>26</v>
      </c>
      <c r="T11123">
        <v>730</v>
      </c>
      <c r="U11123">
        <v>210</v>
      </c>
      <c r="V11123">
        <v>0</v>
      </c>
      <c r="W11123">
        <v>117</v>
      </c>
      <c r="X11123">
        <v>509</v>
      </c>
      <c r="Y11123">
        <v>1</v>
      </c>
      <c r="Z11123">
        <v>90</v>
      </c>
      <c r="AA11123">
        <v>1</v>
      </c>
      <c r="AB11123">
        <v>7.3512820000000003</v>
      </c>
      <c r="AC11123">
        <v>9.1468509999999992E-3</v>
      </c>
      <c r="AD11123">
        <v>1.0389330000000001</v>
      </c>
      <c r="AE11123">
        <v>0.66378269999999995</v>
      </c>
      <c r="AF11123">
        <v>282.47190000000001</v>
      </c>
      <c r="AG11123">
        <f>IFERROR(AH11123*0.1, "N/A")</f>
        <v>6</v>
      </c>
      <c r="AH11123">
        <v>60</v>
      </c>
      <c r="AI11123">
        <v>71.851079999999996</v>
      </c>
      <c r="AJ11123">
        <v>13.514480000000001</v>
      </c>
      <c r="AK11123">
        <v>65.228279999999998</v>
      </c>
    </row>
    <row r="11124" spans="1:37" x14ac:dyDescent="0.3">
      <c r="A11124">
        <v>11123</v>
      </c>
      <c r="B11124">
        <v>60.5</v>
      </c>
      <c r="C11124">
        <v>-3.42083</v>
      </c>
      <c r="D11124">
        <v>13.013299999999999</v>
      </c>
      <c r="E11124">
        <f>-3.42083-13.0133</f>
        <v>-16.43413</v>
      </c>
      <c r="F11124" t="s">
        <v>16589</v>
      </c>
      <c r="G11124" t="s">
        <v>39</v>
      </c>
      <c r="H11124">
        <v>2004</v>
      </c>
      <c r="I11124">
        <v>28.7</v>
      </c>
      <c r="J11124">
        <v>13.2</v>
      </c>
      <c r="K11124">
        <v>60</v>
      </c>
      <c r="L11124">
        <v>23.73</v>
      </c>
      <c r="M11124">
        <v>39.6</v>
      </c>
      <c r="N11124">
        <v>17.600000000000001</v>
      </c>
      <c r="O11124">
        <v>22</v>
      </c>
      <c r="P11124">
        <v>27.2</v>
      </c>
      <c r="Q11124">
        <v>27.9</v>
      </c>
      <c r="R11124">
        <v>31.9</v>
      </c>
      <c r="S11124">
        <v>26.1</v>
      </c>
      <c r="T11124">
        <v>596</v>
      </c>
      <c r="U11124">
        <v>183</v>
      </c>
      <c r="V11124">
        <v>0</v>
      </c>
      <c r="W11124">
        <v>127</v>
      </c>
      <c r="X11124">
        <v>442</v>
      </c>
      <c r="Y11124">
        <v>0</v>
      </c>
      <c r="Z11124">
        <v>56</v>
      </c>
      <c r="AA11124">
        <v>0</v>
      </c>
      <c r="AB11124">
        <v>2.9795219999999998</v>
      </c>
      <c r="AC11124">
        <v>2.8959519999999999E-2</v>
      </c>
      <c r="AD11124">
        <v>1.5942769999999999</v>
      </c>
      <c r="AE11124">
        <v>0.68397850000000004</v>
      </c>
      <c r="AF11124">
        <v>257.97289999999998</v>
      </c>
      <c r="AG11124">
        <f>IFERROR(AH11124*0.1, "N/A")</f>
        <v>6.1093060000000001</v>
      </c>
      <c r="AH11124">
        <v>61.093060000000001</v>
      </c>
      <c r="AI11124">
        <v>208.16419999999999</v>
      </c>
      <c r="AJ11124">
        <v>32.223350000000003</v>
      </c>
      <c r="AK11124">
        <v>43.532989999999998</v>
      </c>
    </row>
    <row r="11125" spans="1:37" x14ac:dyDescent="0.3">
      <c r="A11125">
        <v>11124</v>
      </c>
      <c r="B11125">
        <v>5.3</v>
      </c>
      <c r="C11125">
        <v>-3.42083</v>
      </c>
      <c r="D11125">
        <v>13.013299999999999</v>
      </c>
      <c r="E11125">
        <f>-3.42083-13.0133</f>
        <v>-16.43413</v>
      </c>
      <c r="F11125" t="s">
        <v>16590</v>
      </c>
      <c r="G11125" t="s">
        <v>37</v>
      </c>
      <c r="H11125">
        <v>2004</v>
      </c>
      <c r="I11125">
        <v>28.7</v>
      </c>
      <c r="J11125">
        <v>13.2</v>
      </c>
      <c r="K11125">
        <v>60</v>
      </c>
      <c r="L11125">
        <v>23.73</v>
      </c>
      <c r="M11125">
        <v>39.6</v>
      </c>
      <c r="N11125">
        <v>17.600000000000001</v>
      </c>
      <c r="O11125">
        <v>22</v>
      </c>
      <c r="P11125">
        <v>27.2</v>
      </c>
      <c r="Q11125">
        <v>27.9</v>
      </c>
      <c r="R11125">
        <v>31.9</v>
      </c>
      <c r="S11125">
        <v>26.1</v>
      </c>
      <c r="T11125">
        <v>596</v>
      </c>
      <c r="U11125">
        <v>183</v>
      </c>
      <c r="V11125">
        <v>0</v>
      </c>
      <c r="W11125">
        <v>127</v>
      </c>
      <c r="X11125">
        <v>442</v>
      </c>
      <c r="Y11125">
        <v>0</v>
      </c>
      <c r="Z11125">
        <v>56</v>
      </c>
      <c r="AA11125">
        <v>0</v>
      </c>
      <c r="AB11125">
        <v>2.9795219999999998</v>
      </c>
      <c r="AC11125">
        <v>2.8959519999999999E-2</v>
      </c>
      <c r="AD11125">
        <v>1.5942769999999999</v>
      </c>
      <c r="AE11125">
        <v>0.68397850000000004</v>
      </c>
      <c r="AF11125">
        <v>257.97289999999998</v>
      </c>
      <c r="AG11125">
        <f>IFERROR(AH11125*0.1, "N/A")</f>
        <v>6.1093060000000001</v>
      </c>
      <c r="AH11125">
        <v>61.093060000000001</v>
      </c>
      <c r="AI11125">
        <v>208.16419999999999</v>
      </c>
      <c r="AJ11125">
        <v>32.223350000000003</v>
      </c>
      <c r="AK11125">
        <v>43.532989999999998</v>
      </c>
    </row>
    <row r="11126" spans="1:37" x14ac:dyDescent="0.3">
      <c r="A11126">
        <v>11125</v>
      </c>
      <c r="B11126">
        <v>48.8</v>
      </c>
      <c r="C11126">
        <v>-3.4166699999999999</v>
      </c>
      <c r="D11126">
        <v>13.166700000000001</v>
      </c>
      <c r="E11126">
        <f>-3.41667-13.1667</f>
        <v>-16.583370000000002</v>
      </c>
      <c r="F11126" t="s">
        <v>16591</v>
      </c>
      <c r="G11126" t="s">
        <v>39</v>
      </c>
      <c r="H11126">
        <v>2004</v>
      </c>
      <c r="I11126">
        <v>28.54074</v>
      </c>
      <c r="J11126">
        <v>13.2</v>
      </c>
      <c r="K11126">
        <v>58.089230000000001</v>
      </c>
      <c r="L11126">
        <v>24.256360000000001</v>
      </c>
      <c r="M11126">
        <v>39.6</v>
      </c>
      <c r="N11126">
        <v>17.208919999999999</v>
      </c>
      <c r="O11126">
        <v>22.391079999999999</v>
      </c>
      <c r="P11126">
        <v>27.27929</v>
      </c>
      <c r="Q11126">
        <v>27.50892</v>
      </c>
      <c r="R11126">
        <v>31.8</v>
      </c>
      <c r="S11126">
        <v>25.8</v>
      </c>
      <c r="T11126">
        <v>634.08920000000001</v>
      </c>
      <c r="U11126">
        <v>197</v>
      </c>
      <c r="V11126">
        <v>0</v>
      </c>
      <c r="W11126">
        <v>127</v>
      </c>
      <c r="X11126">
        <v>474.20710000000003</v>
      </c>
      <c r="Y11126">
        <v>1</v>
      </c>
      <c r="Z11126">
        <v>48.882150000000003</v>
      </c>
      <c r="AA11126">
        <v>1</v>
      </c>
      <c r="AB11126">
        <v>0.56498839999999995</v>
      </c>
      <c r="AC11126">
        <v>0.1497436</v>
      </c>
      <c r="AD11126">
        <v>2.1420409999999999</v>
      </c>
      <c r="AE11126">
        <v>0.66467010000000004</v>
      </c>
      <c r="AF11126">
        <v>254.51679999999999</v>
      </c>
      <c r="AG11126">
        <f>IFERROR(AH11126*0.1, "N/A")</f>
        <v>5.9434339999999999</v>
      </c>
      <c r="AH11126">
        <v>59.434339999999999</v>
      </c>
      <c r="AI11126">
        <v>194.90960000000001</v>
      </c>
      <c r="AJ11126">
        <v>24.217169999999999</v>
      </c>
      <c r="AK11126">
        <v>51.414140000000003</v>
      </c>
    </row>
    <row r="11127" spans="1:37" x14ac:dyDescent="0.3">
      <c r="A11127">
        <v>11126</v>
      </c>
      <c r="B11127">
        <v>7</v>
      </c>
      <c r="C11127">
        <v>-3.4166699999999999</v>
      </c>
      <c r="D11127">
        <v>13.166700000000001</v>
      </c>
      <c r="E11127">
        <f>-3.41667-13.1667</f>
        <v>-16.583370000000002</v>
      </c>
      <c r="F11127" t="s">
        <v>16592</v>
      </c>
      <c r="G11127" t="s">
        <v>37</v>
      </c>
      <c r="H11127">
        <v>2004</v>
      </c>
      <c r="I11127">
        <v>28.54074</v>
      </c>
      <c r="J11127">
        <v>13.2</v>
      </c>
      <c r="K11127">
        <v>58.089230000000001</v>
      </c>
      <c r="L11127">
        <v>24.256360000000001</v>
      </c>
      <c r="M11127">
        <v>39.6</v>
      </c>
      <c r="N11127">
        <v>17.208919999999999</v>
      </c>
      <c r="O11127">
        <v>22.391079999999999</v>
      </c>
      <c r="P11127">
        <v>27.27929</v>
      </c>
      <c r="Q11127">
        <v>27.50892</v>
      </c>
      <c r="R11127">
        <v>31.8</v>
      </c>
      <c r="S11127">
        <v>25.8</v>
      </c>
      <c r="T11127">
        <v>634.08920000000001</v>
      </c>
      <c r="U11127">
        <v>197</v>
      </c>
      <c r="V11127">
        <v>0</v>
      </c>
      <c r="W11127">
        <v>127</v>
      </c>
      <c r="X11127">
        <v>474.20710000000003</v>
      </c>
      <c r="Y11127">
        <v>1</v>
      </c>
      <c r="Z11127">
        <v>48.882150000000003</v>
      </c>
      <c r="AA11127">
        <v>1</v>
      </c>
      <c r="AB11127">
        <v>0.56498839999999995</v>
      </c>
      <c r="AC11127">
        <v>0.1497436</v>
      </c>
      <c r="AD11127">
        <v>2.1420409999999999</v>
      </c>
      <c r="AE11127">
        <v>0.66467010000000004</v>
      </c>
      <c r="AF11127">
        <v>254.51679999999999</v>
      </c>
      <c r="AG11127">
        <f>IFERROR(AH11127*0.1, "N/A")</f>
        <v>5.9434339999999999</v>
      </c>
      <c r="AH11127">
        <v>59.434339999999999</v>
      </c>
      <c r="AI11127">
        <v>194.90960000000001</v>
      </c>
      <c r="AJ11127">
        <v>24.217169999999999</v>
      </c>
      <c r="AK11127">
        <v>51.414140000000003</v>
      </c>
    </row>
    <row r="11128" spans="1:37" x14ac:dyDescent="0.3">
      <c r="A11128">
        <v>11127</v>
      </c>
      <c r="B11128">
        <v>40</v>
      </c>
      <c r="C11128">
        <v>-3.4333300000000002</v>
      </c>
      <c r="D11128">
        <v>13.1</v>
      </c>
      <c r="E11128">
        <f>-3.43333-13.1</f>
        <v>-16.533329999999999</v>
      </c>
      <c r="F11128" t="s">
        <v>16593</v>
      </c>
      <c r="G11128" t="s">
        <v>39</v>
      </c>
      <c r="H11128">
        <v>2004</v>
      </c>
      <c r="I11128">
        <v>28.6</v>
      </c>
      <c r="J11128">
        <v>13.2</v>
      </c>
      <c r="K11128">
        <v>59</v>
      </c>
      <c r="L11128">
        <v>23.972580000000001</v>
      </c>
      <c r="M11128">
        <v>39.6</v>
      </c>
      <c r="N11128">
        <v>17.399999999999999</v>
      </c>
      <c r="O11128">
        <v>22.2</v>
      </c>
      <c r="P11128">
        <v>27.230519999999999</v>
      </c>
      <c r="Q11128">
        <v>27.7</v>
      </c>
      <c r="R11128">
        <v>31.85379</v>
      </c>
      <c r="S11128">
        <v>25.9</v>
      </c>
      <c r="T11128">
        <v>621.50760000000002</v>
      </c>
      <c r="U11128">
        <v>191.69479999999999</v>
      </c>
      <c r="V11128">
        <v>0</v>
      </c>
      <c r="W11128">
        <v>126.6948</v>
      </c>
      <c r="X11128">
        <v>462.10120000000001</v>
      </c>
      <c r="Y11128">
        <v>1</v>
      </c>
      <c r="Z11128">
        <v>52.593589999999999</v>
      </c>
      <c r="AA11128">
        <v>1</v>
      </c>
      <c r="AB11128">
        <v>0.99477020000000005</v>
      </c>
      <c r="AC11128">
        <v>3.246189E-2</v>
      </c>
      <c r="AD11128">
        <v>3.2640470000000001</v>
      </c>
      <c r="AE11128">
        <v>0.76748939999999999</v>
      </c>
      <c r="AF11128">
        <v>254.26310000000001</v>
      </c>
      <c r="AG11128">
        <f>IFERROR(AH11128*0.1, "N/A")</f>
        <v>6.2917370000000004</v>
      </c>
      <c r="AH11128">
        <v>62.917369999999998</v>
      </c>
      <c r="AI11128">
        <v>160.0351</v>
      </c>
      <c r="AJ11128">
        <v>31.930859999999999</v>
      </c>
      <c r="AK11128">
        <v>46.124789999999997</v>
      </c>
    </row>
    <row r="11129" spans="1:37" x14ac:dyDescent="0.3">
      <c r="A11129">
        <v>11128</v>
      </c>
      <c r="B11129">
        <v>0</v>
      </c>
      <c r="C11129">
        <v>-3.4333300000000002</v>
      </c>
      <c r="D11129">
        <v>13.1</v>
      </c>
      <c r="E11129">
        <f>-3.43333-13.1</f>
        <v>-16.533329999999999</v>
      </c>
      <c r="F11129" t="s">
        <v>16594</v>
      </c>
      <c r="G11129" t="s">
        <v>37</v>
      </c>
      <c r="H11129">
        <v>2004</v>
      </c>
      <c r="I11129">
        <v>28.6</v>
      </c>
      <c r="J11129">
        <v>13.2</v>
      </c>
      <c r="K11129">
        <v>59</v>
      </c>
      <c r="L11129">
        <v>23.972580000000001</v>
      </c>
      <c r="M11129">
        <v>39.6</v>
      </c>
      <c r="N11129">
        <v>17.399999999999999</v>
      </c>
      <c r="O11129">
        <v>22.2</v>
      </c>
      <c r="P11129">
        <v>27.230519999999999</v>
      </c>
      <c r="Q11129">
        <v>27.7</v>
      </c>
      <c r="R11129">
        <v>31.85379</v>
      </c>
      <c r="S11129">
        <v>25.9</v>
      </c>
      <c r="T11129">
        <v>621.50760000000002</v>
      </c>
      <c r="U11129">
        <v>191.69479999999999</v>
      </c>
      <c r="V11129">
        <v>0</v>
      </c>
      <c r="W11129">
        <v>126.6948</v>
      </c>
      <c r="X11129">
        <v>462.10120000000001</v>
      </c>
      <c r="Y11129">
        <v>1</v>
      </c>
      <c r="Z11129">
        <v>52.593589999999999</v>
      </c>
      <c r="AA11129">
        <v>1</v>
      </c>
      <c r="AB11129">
        <v>0.99477020000000005</v>
      </c>
      <c r="AC11129">
        <v>3.246189E-2</v>
      </c>
      <c r="AD11129">
        <v>3.2640470000000001</v>
      </c>
      <c r="AE11129">
        <v>0.76748939999999999</v>
      </c>
      <c r="AF11129">
        <v>254.26310000000001</v>
      </c>
      <c r="AG11129">
        <f>IFERROR(AH11129*0.1, "N/A")</f>
        <v>6.2917370000000004</v>
      </c>
      <c r="AH11129">
        <v>62.917369999999998</v>
      </c>
      <c r="AI11129">
        <v>160.0351</v>
      </c>
      <c r="AJ11129">
        <v>31.930859999999999</v>
      </c>
      <c r="AK11129">
        <v>46.124789999999997</v>
      </c>
    </row>
    <row r="11130" spans="1:37" x14ac:dyDescent="0.3">
      <c r="A11130">
        <v>11129</v>
      </c>
      <c r="B11130">
        <v>51.9</v>
      </c>
      <c r="C11130">
        <v>-3.45</v>
      </c>
      <c r="D11130">
        <v>13.15</v>
      </c>
      <c r="E11130">
        <f>-3.45-13.15</f>
        <v>-16.600000000000001</v>
      </c>
      <c r="F11130" t="s">
        <v>16595</v>
      </c>
      <c r="G11130" t="s">
        <v>39</v>
      </c>
      <c r="H11130">
        <v>2004</v>
      </c>
      <c r="I11130">
        <v>28.59966</v>
      </c>
      <c r="J11130">
        <v>13.21508</v>
      </c>
      <c r="K11130">
        <v>58.823729999999998</v>
      </c>
      <c r="L11130">
        <v>24.15363</v>
      </c>
      <c r="M11130">
        <v>39.59966</v>
      </c>
      <c r="N11130">
        <v>17.267289999999999</v>
      </c>
      <c r="O11130">
        <v>22.332370000000001</v>
      </c>
      <c r="P11130">
        <v>27.28491</v>
      </c>
      <c r="Q11130">
        <v>27.6</v>
      </c>
      <c r="R11130">
        <v>31.799659999999999</v>
      </c>
      <c r="S11130">
        <v>25.800339999999998</v>
      </c>
      <c r="T11130">
        <v>629.5068</v>
      </c>
      <c r="U11130">
        <v>195.1797</v>
      </c>
      <c r="V11130">
        <v>0</v>
      </c>
      <c r="W11130">
        <v>126</v>
      </c>
      <c r="X11130">
        <v>470.17970000000003</v>
      </c>
      <c r="Y11130">
        <v>1</v>
      </c>
      <c r="Z11130">
        <v>49.327120000000001</v>
      </c>
      <c r="AA11130">
        <v>1</v>
      </c>
      <c r="AB11130">
        <v>0.30745820000000001</v>
      </c>
      <c r="AC11130">
        <v>0.25228319999999999</v>
      </c>
      <c r="AD11130">
        <v>1.1777089999999999</v>
      </c>
      <c r="AE11130">
        <v>0.25007459999999998</v>
      </c>
      <c r="AF11130">
        <v>247.93219999999999</v>
      </c>
      <c r="AG11130">
        <f>IFERROR(AH11130*0.1, "N/A")</f>
        <v>6.6000000000000005</v>
      </c>
      <c r="AH11130">
        <v>66</v>
      </c>
      <c r="AI11130">
        <v>209.12710000000001</v>
      </c>
      <c r="AJ11130">
        <v>32</v>
      </c>
      <c r="AK11130">
        <v>45</v>
      </c>
    </row>
    <row r="11131" spans="1:37" x14ac:dyDescent="0.3">
      <c r="A11131">
        <v>11130</v>
      </c>
      <c r="B11131">
        <v>50.6</v>
      </c>
      <c r="C11131">
        <v>-3.45</v>
      </c>
      <c r="D11131">
        <v>13.15</v>
      </c>
      <c r="E11131">
        <f>-3.45-13.15</f>
        <v>-16.600000000000001</v>
      </c>
      <c r="F11131" t="s">
        <v>16596</v>
      </c>
      <c r="G11131" t="s">
        <v>37</v>
      </c>
      <c r="H11131">
        <v>2004</v>
      </c>
      <c r="I11131">
        <v>28.59966</v>
      </c>
      <c r="J11131">
        <v>13.21508</v>
      </c>
      <c r="K11131">
        <v>58.823729999999998</v>
      </c>
      <c r="L11131">
        <v>24.15363</v>
      </c>
      <c r="M11131">
        <v>39.59966</v>
      </c>
      <c r="N11131">
        <v>17.267289999999999</v>
      </c>
      <c r="O11131">
        <v>22.332370000000001</v>
      </c>
      <c r="P11131">
        <v>27.28491</v>
      </c>
      <c r="Q11131">
        <v>27.6</v>
      </c>
      <c r="R11131">
        <v>31.799659999999999</v>
      </c>
      <c r="S11131">
        <v>25.800339999999998</v>
      </c>
      <c r="T11131">
        <v>629.5068</v>
      </c>
      <c r="U11131">
        <v>195.1797</v>
      </c>
      <c r="V11131">
        <v>0</v>
      </c>
      <c r="W11131">
        <v>126</v>
      </c>
      <c r="X11131">
        <v>470.17970000000003</v>
      </c>
      <c r="Y11131">
        <v>1</v>
      </c>
      <c r="Z11131">
        <v>49.327120000000001</v>
      </c>
      <c r="AA11131">
        <v>1</v>
      </c>
      <c r="AB11131">
        <v>0.30745820000000001</v>
      </c>
      <c r="AC11131">
        <v>0.25228319999999999</v>
      </c>
      <c r="AD11131">
        <v>1.1777089999999999</v>
      </c>
      <c r="AE11131">
        <v>0.25007459999999998</v>
      </c>
      <c r="AF11131">
        <v>247.93219999999999</v>
      </c>
      <c r="AG11131">
        <f>IFERROR(AH11131*0.1, "N/A")</f>
        <v>6.6000000000000005</v>
      </c>
      <c r="AH11131">
        <v>66</v>
      </c>
      <c r="AI11131">
        <v>209.12710000000001</v>
      </c>
      <c r="AJ11131">
        <v>32</v>
      </c>
      <c r="AK11131">
        <v>45</v>
      </c>
    </row>
    <row r="11132" spans="1:37" x14ac:dyDescent="0.3">
      <c r="A11132">
        <v>11131</v>
      </c>
      <c r="B11132">
        <v>75.5</v>
      </c>
      <c r="C11132">
        <v>-0.32222000000000001</v>
      </c>
      <c r="D11132">
        <v>13.0756</v>
      </c>
      <c r="E11132">
        <f>-0.32222-13.0756</f>
        <v>-13.397819999999999</v>
      </c>
      <c r="F11132" t="s">
        <v>16597</v>
      </c>
      <c r="G11132" t="s">
        <v>39</v>
      </c>
      <c r="H11132">
        <v>2001</v>
      </c>
      <c r="I11132">
        <v>28.3</v>
      </c>
      <c r="J11132">
        <v>14</v>
      </c>
      <c r="K11132">
        <v>60</v>
      </c>
      <c r="L11132">
        <v>23.383379999999999</v>
      </c>
      <c r="M11132">
        <v>39.4</v>
      </c>
      <c r="N11132">
        <v>16.204409999999999</v>
      </c>
      <c r="O11132">
        <v>23.195589999999999</v>
      </c>
      <c r="P11132">
        <v>27.1</v>
      </c>
      <c r="Q11132">
        <v>25.6</v>
      </c>
      <c r="R11132">
        <v>31.4</v>
      </c>
      <c r="S11132">
        <v>25.6</v>
      </c>
      <c r="T11132">
        <v>592</v>
      </c>
      <c r="U11132">
        <v>184</v>
      </c>
      <c r="V11132">
        <v>0</v>
      </c>
      <c r="W11132">
        <v>124</v>
      </c>
      <c r="X11132">
        <v>435</v>
      </c>
      <c r="Y11132">
        <v>0</v>
      </c>
      <c r="Z11132">
        <v>50</v>
      </c>
      <c r="AA11132">
        <v>0</v>
      </c>
      <c r="AB11132">
        <v>2.6339570000000001</v>
      </c>
      <c r="AC11132">
        <v>0.17578830000000001</v>
      </c>
      <c r="AD11132">
        <v>0.83899500000000005</v>
      </c>
      <c r="AE11132">
        <v>0.46550380000000002</v>
      </c>
      <c r="AF11132">
        <v>284.7029</v>
      </c>
      <c r="AG11132">
        <f>IFERROR(AH11132*0.1, "N/A")</f>
        <v>6.428693</v>
      </c>
      <c r="AH11132">
        <v>64.286929999999998</v>
      </c>
      <c r="AI11132">
        <v>177.9744</v>
      </c>
      <c r="AJ11132">
        <v>22.286930000000002</v>
      </c>
      <c r="AK11132">
        <v>57.139220000000002</v>
      </c>
    </row>
    <row r="11133" spans="1:37" x14ac:dyDescent="0.3">
      <c r="A11133">
        <v>11132</v>
      </c>
      <c r="B11133">
        <v>37.5</v>
      </c>
      <c r="C11133">
        <v>-0.36667</v>
      </c>
      <c r="D11133">
        <v>12.15</v>
      </c>
      <c r="E11133">
        <f>-0.36667-12.15</f>
        <v>-12.51667</v>
      </c>
      <c r="F11133" t="s">
        <v>16598</v>
      </c>
      <c r="G11133" t="s">
        <v>39</v>
      </c>
      <c r="H11133">
        <v>2001</v>
      </c>
      <c r="I11133">
        <v>28.228549999999998</v>
      </c>
      <c r="J11133">
        <v>13.5</v>
      </c>
      <c r="K11133">
        <v>60.085470000000001</v>
      </c>
      <c r="L11133">
        <v>22.294560000000001</v>
      </c>
      <c r="M11133">
        <v>39.4</v>
      </c>
      <c r="N11133">
        <v>17.208549999999999</v>
      </c>
      <c r="O11133">
        <v>22.19145</v>
      </c>
      <c r="P11133">
        <v>26.528549999999999</v>
      </c>
      <c r="Q11133">
        <v>26.30855</v>
      </c>
      <c r="R11133">
        <v>31.591449999999998</v>
      </c>
      <c r="S11133">
        <v>26.282910000000001</v>
      </c>
      <c r="T11133">
        <v>794.54190000000006</v>
      </c>
      <c r="U11133">
        <v>237.4581</v>
      </c>
      <c r="V11133">
        <v>0</v>
      </c>
      <c r="W11133">
        <v>115</v>
      </c>
      <c r="X11133">
        <v>552</v>
      </c>
      <c r="Y11133">
        <v>3</v>
      </c>
      <c r="Z11133">
        <v>95.541880000000006</v>
      </c>
      <c r="AA11133">
        <v>4</v>
      </c>
      <c r="AB11133">
        <v>5.7878509999999999</v>
      </c>
      <c r="AC11133">
        <v>1.506245E-2</v>
      </c>
      <c r="AD11133">
        <v>0.9491212</v>
      </c>
      <c r="AE11133">
        <v>0.66605899999999996</v>
      </c>
      <c r="AF11133">
        <v>287.64960000000002</v>
      </c>
      <c r="AG11133">
        <f>IFERROR(AH11133*0.1, "N/A")</f>
        <v>6.0629060000000008</v>
      </c>
      <c r="AH11133">
        <v>60.629060000000003</v>
      </c>
      <c r="AI11133">
        <v>188.8323</v>
      </c>
      <c r="AJ11133">
        <v>19.887180000000001</v>
      </c>
      <c r="AK11133">
        <v>56.112819999999999</v>
      </c>
    </row>
    <row r="11134" spans="1:37" x14ac:dyDescent="0.3">
      <c r="A11134">
        <v>11133</v>
      </c>
      <c r="B11134">
        <v>10.5</v>
      </c>
      <c r="C11134">
        <v>-0.88944400000000001</v>
      </c>
      <c r="D11134">
        <v>11.8575</v>
      </c>
      <c r="E11134">
        <f>-0.889444-11.8575</f>
        <v>-12.746943999999999</v>
      </c>
      <c r="F11134" t="s">
        <v>16599</v>
      </c>
      <c r="G11134" t="s">
        <v>39</v>
      </c>
      <c r="H11134">
        <v>2001</v>
      </c>
      <c r="I11134">
        <v>28.2</v>
      </c>
      <c r="J11134">
        <v>13</v>
      </c>
      <c r="K11134">
        <v>62</v>
      </c>
      <c r="L11134">
        <v>20.54</v>
      </c>
      <c r="M11134">
        <v>38.799999999999997</v>
      </c>
      <c r="N11134">
        <v>17.899999999999999</v>
      </c>
      <c r="O11134">
        <v>20.9</v>
      </c>
      <c r="P11134">
        <v>26.4</v>
      </c>
      <c r="Q11134">
        <v>26.7</v>
      </c>
      <c r="R11134">
        <v>31.3</v>
      </c>
      <c r="S11134">
        <v>26.4</v>
      </c>
      <c r="T11134">
        <v>789</v>
      </c>
      <c r="U11134">
        <v>226</v>
      </c>
      <c r="V11134">
        <v>1</v>
      </c>
      <c r="W11134">
        <v>112</v>
      </c>
      <c r="X11134">
        <v>536</v>
      </c>
      <c r="Y11134">
        <v>5</v>
      </c>
      <c r="Z11134">
        <v>103</v>
      </c>
      <c r="AA11134">
        <v>536</v>
      </c>
      <c r="AB11134">
        <v>7.2260600000000004</v>
      </c>
      <c r="AC11134">
        <v>3.4645269999999999E-2</v>
      </c>
      <c r="AD11134">
        <v>1.131704</v>
      </c>
      <c r="AE11134">
        <v>0.53147940000000005</v>
      </c>
      <c r="AF11134">
        <v>257.66609999999997</v>
      </c>
      <c r="AG11134">
        <f>IFERROR(AH11134*0.1, "N/A")</f>
        <v>6.3000000000000007</v>
      </c>
      <c r="AH11134">
        <v>63</v>
      </c>
      <c r="AI11134">
        <v>289.32589999999999</v>
      </c>
      <c r="AJ11134">
        <v>20.72232</v>
      </c>
      <c r="AK11134">
        <v>56.720610000000001</v>
      </c>
    </row>
    <row r="11135" spans="1:37" x14ac:dyDescent="0.3">
      <c r="A11135">
        <v>11134</v>
      </c>
      <c r="B11135">
        <v>8.5</v>
      </c>
      <c r="C11135">
        <v>-3.4333300000000002</v>
      </c>
      <c r="D11135">
        <v>13.083299999999999</v>
      </c>
      <c r="E11135">
        <f>-3.43333-13.0833</f>
        <v>-16.516629999999999</v>
      </c>
      <c r="F11135" t="s">
        <v>16600</v>
      </c>
      <c r="G11135" t="s">
        <v>39</v>
      </c>
      <c r="H11135">
        <v>2001</v>
      </c>
      <c r="I11135">
        <v>28.6</v>
      </c>
      <c r="J11135">
        <v>13.2</v>
      </c>
      <c r="K11135">
        <v>59</v>
      </c>
      <c r="L11135">
        <v>23.62321</v>
      </c>
      <c r="M11135">
        <v>39.615229999999997</v>
      </c>
      <c r="N11135">
        <v>17.399999999999999</v>
      </c>
      <c r="O11135">
        <v>22.215229999999998</v>
      </c>
      <c r="P11135">
        <v>27.2</v>
      </c>
      <c r="Q11135">
        <v>27.7</v>
      </c>
      <c r="R11135">
        <v>31.8</v>
      </c>
      <c r="S11135">
        <v>26</v>
      </c>
      <c r="T11135">
        <v>617.70899999999995</v>
      </c>
      <c r="U11135">
        <v>190.709</v>
      </c>
      <c r="V11135">
        <v>0</v>
      </c>
      <c r="W11135">
        <v>126</v>
      </c>
      <c r="X11135">
        <v>458.709</v>
      </c>
      <c r="Y11135">
        <v>1</v>
      </c>
      <c r="Z11135">
        <v>53.291029999999999</v>
      </c>
      <c r="AA11135">
        <v>1</v>
      </c>
      <c r="AB11135">
        <v>0.18917410000000001</v>
      </c>
      <c r="AC11135">
        <v>0.31737280000000001</v>
      </c>
      <c r="AD11135">
        <v>1.196259</v>
      </c>
      <c r="AE11135">
        <v>0.65317360000000002</v>
      </c>
      <c r="AF11135">
        <v>251.94589999999999</v>
      </c>
      <c r="AG11135">
        <f>IFERROR(AH11135*0.1, "N/A")</f>
        <v>6.1390860000000007</v>
      </c>
      <c r="AH11135">
        <v>61.390860000000004</v>
      </c>
      <c r="AI11135">
        <v>172.51580000000001</v>
      </c>
      <c r="AJ11135">
        <v>35</v>
      </c>
      <c r="AK11135">
        <v>42.072760000000002</v>
      </c>
    </row>
    <row r="11136" spans="1:37" x14ac:dyDescent="0.3">
      <c r="A11136">
        <v>11135</v>
      </c>
      <c r="B11136">
        <v>55.6</v>
      </c>
      <c r="C11136">
        <v>-3.4166699999999999</v>
      </c>
      <c r="D11136">
        <v>12.9833</v>
      </c>
      <c r="E11136">
        <f>-3.41667-12.9833</f>
        <v>-16.39997</v>
      </c>
      <c r="F11136" t="s">
        <v>16601</v>
      </c>
      <c r="G11136" t="s">
        <v>39</v>
      </c>
      <c r="H11136">
        <v>2001</v>
      </c>
      <c r="I11136">
        <v>28.7</v>
      </c>
      <c r="J11136">
        <v>13.2</v>
      </c>
      <c r="K11136">
        <v>60</v>
      </c>
      <c r="L11136">
        <v>23.266110000000001</v>
      </c>
      <c r="M11136">
        <v>39.611499999999999</v>
      </c>
      <c r="N11136">
        <v>17.7</v>
      </c>
      <c r="O11136">
        <v>21.91151</v>
      </c>
      <c r="P11136">
        <v>27.2</v>
      </c>
      <c r="Q11136">
        <v>28</v>
      </c>
      <c r="R11136">
        <v>31.9</v>
      </c>
      <c r="S11136">
        <v>26.2</v>
      </c>
      <c r="T11136">
        <v>592.32320000000004</v>
      </c>
      <c r="U11136">
        <v>181</v>
      </c>
      <c r="V11136">
        <v>0</v>
      </c>
      <c r="W11136">
        <v>126</v>
      </c>
      <c r="X11136">
        <v>437</v>
      </c>
      <c r="Y11136">
        <v>0</v>
      </c>
      <c r="Z11136">
        <v>58.526229999999998</v>
      </c>
      <c r="AA11136">
        <v>0</v>
      </c>
      <c r="AB11136">
        <v>0.36075210000000002</v>
      </c>
      <c r="AC11136">
        <v>0.2566795</v>
      </c>
      <c r="AD11136">
        <v>2.4261680000000001</v>
      </c>
      <c r="AE11136">
        <v>0.62228879999999998</v>
      </c>
      <c r="AF11136">
        <v>255.60579999999999</v>
      </c>
      <c r="AG11136">
        <f>IFERROR(AH11136*0.1, "N/A")</f>
        <v>6.5</v>
      </c>
      <c r="AH11136">
        <v>65</v>
      </c>
      <c r="AI11136">
        <v>133.25280000000001</v>
      </c>
      <c r="AJ11136">
        <v>24.60914</v>
      </c>
      <c r="AK11136">
        <v>54.781730000000003</v>
      </c>
    </row>
    <row r="11137" spans="1:37" x14ac:dyDescent="0.3">
      <c r="A11137">
        <v>11136</v>
      </c>
      <c r="B11137">
        <v>13.2</v>
      </c>
      <c r="C11137">
        <v>-3.3333300000000001</v>
      </c>
      <c r="D11137">
        <v>13.2333</v>
      </c>
      <c r="E11137">
        <f>-3.33333-13.2333</f>
        <v>-16.56663</v>
      </c>
      <c r="F11137" t="s">
        <v>16602</v>
      </c>
      <c r="G11137" t="s">
        <v>39</v>
      </c>
      <c r="H11137">
        <v>2001</v>
      </c>
      <c r="I11137">
        <v>28.6</v>
      </c>
      <c r="J11137">
        <v>13.2</v>
      </c>
      <c r="K11137">
        <v>59</v>
      </c>
      <c r="L11137">
        <v>24.194310000000002</v>
      </c>
      <c r="M11137">
        <v>39.6</v>
      </c>
      <c r="N11137">
        <v>17.3</v>
      </c>
      <c r="O11137">
        <v>22.3</v>
      </c>
      <c r="P11137">
        <v>27.3</v>
      </c>
      <c r="Q11137">
        <v>27.6</v>
      </c>
      <c r="R11137">
        <v>31.8</v>
      </c>
      <c r="S11137">
        <v>25.82525</v>
      </c>
      <c r="T11137">
        <v>615.56899999999996</v>
      </c>
      <c r="U11137">
        <v>191.47640000000001</v>
      </c>
      <c r="V11137">
        <v>0</v>
      </c>
      <c r="W11137">
        <v>126.4764</v>
      </c>
      <c r="X11137">
        <v>461.9529</v>
      </c>
      <c r="Y11137">
        <v>1</v>
      </c>
      <c r="Z11137">
        <v>44.308079999999997</v>
      </c>
      <c r="AA11137">
        <v>1</v>
      </c>
      <c r="AB11137">
        <v>0.4474863</v>
      </c>
      <c r="AC11137">
        <v>0.1181946</v>
      </c>
      <c r="AD11137">
        <v>2.8101600000000002</v>
      </c>
      <c r="AE11137">
        <v>0.52310520000000005</v>
      </c>
      <c r="AF11137">
        <v>259.97980000000001</v>
      </c>
      <c r="AG11137">
        <f>IFERROR(AH11137*0.1, "N/A")</f>
        <v>6.2552190000000003</v>
      </c>
      <c r="AH11137">
        <v>62.552190000000003</v>
      </c>
      <c r="AI11137">
        <v>176.87209999999999</v>
      </c>
      <c r="AJ11137">
        <v>18.671720000000001</v>
      </c>
      <c r="AK11137">
        <v>61.776090000000003</v>
      </c>
    </row>
    <row r="11138" spans="1:37" x14ac:dyDescent="0.3">
      <c r="A11138">
        <v>11137</v>
      </c>
      <c r="B11138">
        <v>83.3</v>
      </c>
      <c r="C11138">
        <v>-3.25</v>
      </c>
      <c r="D11138">
        <v>13.2333</v>
      </c>
      <c r="E11138">
        <f>-3.25-13.2333</f>
        <v>-16.4833</v>
      </c>
      <c r="F11138" t="s">
        <v>16603</v>
      </c>
      <c r="G11138" t="s">
        <v>39</v>
      </c>
      <c r="H11138">
        <v>2001</v>
      </c>
      <c r="I11138">
        <v>28.7</v>
      </c>
      <c r="J11138">
        <v>13.2</v>
      </c>
      <c r="K11138">
        <v>59</v>
      </c>
      <c r="L11138">
        <v>24.095030000000001</v>
      </c>
      <c r="M11138">
        <v>39.700000000000003</v>
      </c>
      <c r="N11138">
        <v>17.5</v>
      </c>
      <c r="O11138">
        <v>22.2</v>
      </c>
      <c r="P11138">
        <v>27.3</v>
      </c>
      <c r="Q11138">
        <v>27.75825</v>
      </c>
      <c r="R11138">
        <v>31.9</v>
      </c>
      <c r="S11138">
        <v>26</v>
      </c>
      <c r="T11138">
        <v>610.58249999999998</v>
      </c>
      <c r="U11138">
        <v>189</v>
      </c>
      <c r="V11138">
        <v>0</v>
      </c>
      <c r="W11138">
        <v>127</v>
      </c>
      <c r="X11138">
        <v>456.58249999999998</v>
      </c>
      <c r="Y11138">
        <v>1</v>
      </c>
      <c r="Z11138">
        <v>45</v>
      </c>
      <c r="AA11138">
        <v>1</v>
      </c>
      <c r="AB11138">
        <v>0.6277701</v>
      </c>
      <c r="AC11138">
        <v>2.9839089999999999E-2</v>
      </c>
      <c r="AD11138">
        <v>1.301431</v>
      </c>
      <c r="AE11138">
        <v>0.63799799999999995</v>
      </c>
      <c r="AF11138">
        <v>262.93099999999998</v>
      </c>
      <c r="AG11138">
        <f>IFERROR(AH11138*0.1, "N/A")</f>
        <v>6.3205390000000001</v>
      </c>
      <c r="AH11138">
        <v>63.205390000000001</v>
      </c>
      <c r="AI11138">
        <v>189.87289999999999</v>
      </c>
      <c r="AJ11138">
        <v>24.205390000000001</v>
      </c>
      <c r="AK11138">
        <v>54.602690000000003</v>
      </c>
    </row>
    <row r="11139" spans="1:37" x14ac:dyDescent="0.3">
      <c r="A11139">
        <v>11138</v>
      </c>
      <c r="B11139">
        <v>64.7</v>
      </c>
      <c r="C11139">
        <v>-3.23333</v>
      </c>
      <c r="D11139">
        <v>13.25</v>
      </c>
      <c r="E11139">
        <f>-3.23333-13.25</f>
        <v>-16.483329999999999</v>
      </c>
      <c r="F11139" t="s">
        <v>16604</v>
      </c>
      <c r="G11139" t="s">
        <v>39</v>
      </c>
      <c r="H11139">
        <v>2001</v>
      </c>
      <c r="I11139">
        <v>28.68328</v>
      </c>
      <c r="J11139">
        <v>13.2</v>
      </c>
      <c r="K11139">
        <v>59</v>
      </c>
      <c r="L11139">
        <v>24.117450000000002</v>
      </c>
      <c r="M11139">
        <v>39.683280000000003</v>
      </c>
      <c r="N11139">
        <v>17.454560000000001</v>
      </c>
      <c r="O11139">
        <v>22.228719999999999</v>
      </c>
      <c r="P11139">
        <v>27.3</v>
      </c>
      <c r="Q11139">
        <v>27.671279999999999</v>
      </c>
      <c r="R11139">
        <v>31.9</v>
      </c>
      <c r="S11139">
        <v>25.954560000000001</v>
      </c>
      <c r="T11139">
        <v>607.12159999999994</v>
      </c>
      <c r="U11139">
        <v>188</v>
      </c>
      <c r="V11139">
        <v>0</v>
      </c>
      <c r="W11139">
        <v>126.61150000000001</v>
      </c>
      <c r="X11139">
        <v>454.51010000000002</v>
      </c>
      <c r="Y11139">
        <v>1</v>
      </c>
      <c r="Z11139">
        <v>44</v>
      </c>
      <c r="AA11139">
        <v>1</v>
      </c>
      <c r="AB11139">
        <v>2.2317520000000002</v>
      </c>
      <c r="AC11139">
        <v>2.602877E-2</v>
      </c>
      <c r="AD11139">
        <v>0.67377180000000003</v>
      </c>
      <c r="AE11139">
        <v>0.51604859999999997</v>
      </c>
      <c r="AF11139">
        <v>264.6943</v>
      </c>
      <c r="AG11139">
        <f>IFERROR(AH11139*0.1, "N/A")</f>
        <v>6.3969589999999998</v>
      </c>
      <c r="AH11139">
        <v>63.969589999999997</v>
      </c>
      <c r="AI11139">
        <v>125.1238</v>
      </c>
      <c r="AJ11139">
        <v>22.03041</v>
      </c>
      <c r="AK11139">
        <v>57.95946</v>
      </c>
    </row>
    <row r="11140" spans="1:37" x14ac:dyDescent="0.3">
      <c r="A11140">
        <v>11139</v>
      </c>
      <c r="B11140">
        <v>48.3</v>
      </c>
      <c r="C11140">
        <v>-1.6375</v>
      </c>
      <c r="D11140">
        <v>12.7783</v>
      </c>
      <c r="E11140">
        <f>-1.6375-12.7783</f>
        <v>-14.415799999999999</v>
      </c>
      <c r="F11140" t="s">
        <v>16605</v>
      </c>
      <c r="G11140" t="s">
        <v>39</v>
      </c>
      <c r="H11140">
        <v>1981</v>
      </c>
      <c r="I11140">
        <v>28</v>
      </c>
      <c r="J11140">
        <v>13.5</v>
      </c>
      <c r="K11140">
        <v>59</v>
      </c>
      <c r="L11140">
        <v>22.57</v>
      </c>
      <c r="M11140">
        <v>39</v>
      </c>
      <c r="N11140">
        <v>16.399999999999999</v>
      </c>
      <c r="O11140">
        <v>22.6</v>
      </c>
      <c r="P11140">
        <v>26.6</v>
      </c>
      <c r="Q11140">
        <v>25.7</v>
      </c>
      <c r="R11140">
        <v>31.2</v>
      </c>
      <c r="S11140">
        <v>25.6</v>
      </c>
      <c r="T11140">
        <v>700</v>
      </c>
      <c r="U11140">
        <v>206</v>
      </c>
      <c r="V11140">
        <v>0</v>
      </c>
      <c r="W11140">
        <v>118</v>
      </c>
      <c r="X11140">
        <v>495</v>
      </c>
      <c r="Y11140">
        <v>1</v>
      </c>
      <c r="Z11140">
        <v>77</v>
      </c>
      <c r="AA11140">
        <v>1</v>
      </c>
      <c r="AB11140">
        <v>4.6219659999999996</v>
      </c>
      <c r="AC11140">
        <v>2.9585170000000001E-2</v>
      </c>
      <c r="AD11140">
        <v>0.91765070000000004</v>
      </c>
      <c r="AE11140">
        <v>0.46493620000000002</v>
      </c>
      <c r="AF11140">
        <v>312.10980000000001</v>
      </c>
      <c r="AG11140">
        <f>IFERROR(AH11140*0.1, "N/A")</f>
        <v>5.9623309999999998</v>
      </c>
      <c r="AH11140">
        <v>59.623309999999996</v>
      </c>
      <c r="AI11140">
        <v>123.20740000000001</v>
      </c>
      <c r="AJ11140">
        <v>14.60304</v>
      </c>
      <c r="AK11140">
        <v>68.396960000000007</v>
      </c>
    </row>
    <row r="11141" spans="1:37" x14ac:dyDescent="0.3">
      <c r="A11141">
        <v>11140</v>
      </c>
      <c r="B11141">
        <v>39.5</v>
      </c>
      <c r="C11141">
        <v>-4.0833300000000001</v>
      </c>
      <c r="D11141">
        <v>11.3</v>
      </c>
      <c r="E11141">
        <f>-4.08333-11.3</f>
        <v>-15.383330000000001</v>
      </c>
      <c r="F11141" t="s">
        <v>16606</v>
      </c>
      <c r="G11141" t="s">
        <v>39</v>
      </c>
      <c r="H11141">
        <v>1982</v>
      </c>
      <c r="I11141">
        <v>27.5</v>
      </c>
      <c r="J11141">
        <v>13.5</v>
      </c>
      <c r="K11141">
        <v>62</v>
      </c>
      <c r="L11141">
        <v>18.874649999999999</v>
      </c>
      <c r="M11141">
        <v>37.700000000000003</v>
      </c>
      <c r="N11141">
        <v>16.140889999999999</v>
      </c>
      <c r="O11141">
        <v>21.55911</v>
      </c>
      <c r="P11141">
        <v>26.14855</v>
      </c>
      <c r="Q11141">
        <v>25.9</v>
      </c>
      <c r="R11141">
        <v>30.384499999999999</v>
      </c>
      <c r="S11141">
        <v>25.8</v>
      </c>
      <c r="T11141">
        <v>986.54340000000002</v>
      </c>
      <c r="U11141">
        <v>261.5145</v>
      </c>
      <c r="V11141">
        <v>1</v>
      </c>
      <c r="W11141">
        <v>104</v>
      </c>
      <c r="X11141">
        <v>636.5145</v>
      </c>
      <c r="Y11141">
        <v>6</v>
      </c>
      <c r="Z11141">
        <v>151.5145</v>
      </c>
      <c r="AA11141">
        <v>10</v>
      </c>
      <c r="AB11141">
        <v>3.3246920000000002</v>
      </c>
      <c r="AC11141">
        <v>0.12013989999999999</v>
      </c>
      <c r="AD11141">
        <v>1.861585</v>
      </c>
      <c r="AE11141">
        <v>0.48145090000000001</v>
      </c>
      <c r="AF11141">
        <v>309.38159999999999</v>
      </c>
      <c r="AG11141">
        <f>IFERROR(AH11141*0.1, "N/A")</f>
        <v>5.9310049999999999</v>
      </c>
      <c r="AH11141">
        <v>59.310049999999997</v>
      </c>
      <c r="AI11141">
        <v>103.3768</v>
      </c>
      <c r="AJ11141">
        <v>16.53492</v>
      </c>
      <c r="AK11141">
        <v>58.620100000000001</v>
      </c>
    </row>
    <row r="11142" spans="1:37" x14ac:dyDescent="0.3">
      <c r="A11142">
        <v>11141</v>
      </c>
      <c r="B11142">
        <v>29.3</v>
      </c>
      <c r="C11142">
        <v>-4.0833300000000001</v>
      </c>
      <c r="D11142">
        <v>11.3</v>
      </c>
      <c r="E11142">
        <f>-4.08333-11.3</f>
        <v>-15.383330000000001</v>
      </c>
      <c r="F11142" t="s">
        <v>16607</v>
      </c>
      <c r="G11142" t="s">
        <v>37</v>
      </c>
      <c r="H11142">
        <v>1982</v>
      </c>
      <c r="I11142">
        <v>27.5</v>
      </c>
      <c r="J11142">
        <v>13.5</v>
      </c>
      <c r="K11142">
        <v>62</v>
      </c>
      <c r="L11142">
        <v>18.874649999999999</v>
      </c>
      <c r="M11142">
        <v>37.700000000000003</v>
      </c>
      <c r="N11142">
        <v>16.140889999999999</v>
      </c>
      <c r="O11142">
        <v>21.55911</v>
      </c>
      <c r="P11142">
        <v>26.14855</v>
      </c>
      <c r="Q11142">
        <v>25.9</v>
      </c>
      <c r="R11142">
        <v>30.384499999999999</v>
      </c>
      <c r="S11142">
        <v>25.8</v>
      </c>
      <c r="T11142">
        <v>986.54340000000002</v>
      </c>
      <c r="U11142">
        <v>261.5145</v>
      </c>
      <c r="V11142">
        <v>1</v>
      </c>
      <c r="W11142">
        <v>104</v>
      </c>
      <c r="X11142">
        <v>636.5145</v>
      </c>
      <c r="Y11142">
        <v>6</v>
      </c>
      <c r="Z11142">
        <v>151.5145</v>
      </c>
      <c r="AA11142">
        <v>10</v>
      </c>
      <c r="AB11142">
        <v>3.3246920000000002</v>
      </c>
      <c r="AC11142">
        <v>0.12013989999999999</v>
      </c>
      <c r="AD11142">
        <v>1.861585</v>
      </c>
      <c r="AE11142">
        <v>0.48145090000000001</v>
      </c>
      <c r="AF11142">
        <v>309.38159999999999</v>
      </c>
      <c r="AG11142">
        <f>IFERROR(AH11142*0.1, "N/A")</f>
        <v>5.9310049999999999</v>
      </c>
      <c r="AH11142">
        <v>59.310049999999997</v>
      </c>
      <c r="AI11142">
        <v>103.3768</v>
      </c>
      <c r="AJ11142">
        <v>16.53492</v>
      </c>
      <c r="AK11142">
        <v>58.620100000000001</v>
      </c>
    </row>
    <row r="11143" spans="1:37" x14ac:dyDescent="0.3">
      <c r="A11143">
        <v>11142</v>
      </c>
      <c r="B11143">
        <v>22.2</v>
      </c>
      <c r="C11143">
        <v>-3.2833299999999999</v>
      </c>
      <c r="D11143">
        <v>11.8</v>
      </c>
      <c r="E11143">
        <f>-3.28333-11.8</f>
        <v>-15.08333</v>
      </c>
      <c r="F11143" t="s">
        <v>16608</v>
      </c>
      <c r="G11143" t="s">
        <v>39</v>
      </c>
      <c r="H11143">
        <v>1983</v>
      </c>
      <c r="I11143">
        <v>27.936119999999999</v>
      </c>
      <c r="J11143">
        <v>13.4</v>
      </c>
      <c r="K11143">
        <v>62</v>
      </c>
      <c r="L11143">
        <v>20.236609999999999</v>
      </c>
      <c r="M11143">
        <v>38.348039999999997</v>
      </c>
      <c r="N11143">
        <v>16.936119999999999</v>
      </c>
      <c r="O11143">
        <v>21.411919999999999</v>
      </c>
      <c r="P11143">
        <v>26.336120000000001</v>
      </c>
      <c r="Q11143">
        <v>26.265250000000002</v>
      </c>
      <c r="R11143">
        <v>30.965250000000001</v>
      </c>
      <c r="S11143">
        <v>26.084160000000001</v>
      </c>
      <c r="T11143">
        <v>893.25720000000001</v>
      </c>
      <c r="U11143">
        <v>251.70869999999999</v>
      </c>
      <c r="V11143">
        <v>1</v>
      </c>
      <c r="W11143">
        <v>110</v>
      </c>
      <c r="X11143">
        <v>598.70870000000002</v>
      </c>
      <c r="Y11143">
        <v>5.3475299999999999</v>
      </c>
      <c r="Z11143">
        <v>120.9727</v>
      </c>
      <c r="AA11143">
        <v>7.0562180000000003</v>
      </c>
      <c r="AB11143">
        <v>3.6192500000000001</v>
      </c>
      <c r="AC11143">
        <v>0.34969509999999998</v>
      </c>
      <c r="AD11143">
        <v>2.3678560000000002</v>
      </c>
      <c r="AE11143">
        <v>0.27253169999999999</v>
      </c>
      <c r="AF11143">
        <v>306.43099999999998</v>
      </c>
      <c r="AG11143">
        <f>IFERROR(AH11143*0.1, "N/A")</f>
        <v>6.3965930000000002</v>
      </c>
      <c r="AH11143">
        <v>63.96593</v>
      </c>
      <c r="AI11143">
        <v>199.36709999999999</v>
      </c>
      <c r="AJ11143">
        <v>28.819420000000001</v>
      </c>
      <c r="AK11143">
        <v>46.078360000000004</v>
      </c>
    </row>
    <row r="11144" spans="1:37" x14ac:dyDescent="0.3">
      <c r="A11144">
        <v>11143</v>
      </c>
      <c r="B11144">
        <v>21</v>
      </c>
      <c r="C11144">
        <v>-4.2</v>
      </c>
      <c r="D11144">
        <v>11.3833</v>
      </c>
      <c r="E11144">
        <f>-4.2-11.3833</f>
        <v>-15.583300000000001</v>
      </c>
      <c r="F11144" t="s">
        <v>16609</v>
      </c>
      <c r="G11144" t="s">
        <v>39</v>
      </c>
      <c r="H11144">
        <v>1980</v>
      </c>
      <c r="I11144">
        <v>27.279859999999999</v>
      </c>
      <c r="J11144">
        <v>13.9</v>
      </c>
      <c r="K11144">
        <v>61.682589999999998</v>
      </c>
      <c r="L11144">
        <v>19.866160000000001</v>
      </c>
      <c r="M11144">
        <v>37.579859999999996</v>
      </c>
      <c r="N11144">
        <v>15.16826</v>
      </c>
      <c r="O11144">
        <v>22.4116</v>
      </c>
      <c r="P11144">
        <v>26.048120000000001</v>
      </c>
      <c r="Q11144">
        <v>25.3</v>
      </c>
      <c r="R11144">
        <v>30.2</v>
      </c>
      <c r="S11144">
        <v>25.24812</v>
      </c>
      <c r="T11144">
        <v>983.27819999999997</v>
      </c>
      <c r="U11144">
        <v>262.13139999999999</v>
      </c>
      <c r="V11144">
        <v>1</v>
      </c>
      <c r="W11144">
        <v>105.79859999999999</v>
      </c>
      <c r="X11144">
        <v>639.33280000000002</v>
      </c>
      <c r="Y11144">
        <v>4</v>
      </c>
      <c r="Z11144">
        <v>147.81399999999999</v>
      </c>
      <c r="AA11144">
        <v>9</v>
      </c>
      <c r="AB11144">
        <v>3.0505110000000002</v>
      </c>
      <c r="AC11144">
        <v>0.28433389999999997</v>
      </c>
      <c r="AD11144">
        <v>1.9688699999999999</v>
      </c>
      <c r="AE11144">
        <v>0.46497490000000002</v>
      </c>
      <c r="AF11144">
        <v>339.59730000000002</v>
      </c>
      <c r="AG11144">
        <f>IFERROR(AH11144*0.1, "N/A")</f>
        <v>6.0969280000000001</v>
      </c>
      <c r="AH11144">
        <v>60.969279999999998</v>
      </c>
      <c r="AI11144">
        <v>235.16849999999999</v>
      </c>
      <c r="AJ11144">
        <v>15.23208</v>
      </c>
      <c r="AK11144">
        <v>60.566549999999999</v>
      </c>
    </row>
    <row r="11145" spans="1:37" x14ac:dyDescent="0.3">
      <c r="A11145">
        <v>11144</v>
      </c>
      <c r="B11145">
        <v>79</v>
      </c>
      <c r="C11145">
        <v>-4.2</v>
      </c>
      <c r="D11145">
        <v>11.3833</v>
      </c>
      <c r="E11145">
        <f>-4.2-11.3833</f>
        <v>-15.583300000000001</v>
      </c>
      <c r="F11145" t="s">
        <v>16610</v>
      </c>
      <c r="G11145" t="s">
        <v>37</v>
      </c>
      <c r="H11145">
        <v>1980</v>
      </c>
      <c r="I11145">
        <v>27.279859999999999</v>
      </c>
      <c r="J11145">
        <v>13.9</v>
      </c>
      <c r="K11145">
        <v>61.682589999999998</v>
      </c>
      <c r="L11145">
        <v>19.866160000000001</v>
      </c>
      <c r="M11145">
        <v>37.579859999999996</v>
      </c>
      <c r="N11145">
        <v>15.16826</v>
      </c>
      <c r="O11145">
        <v>22.4116</v>
      </c>
      <c r="P11145">
        <v>26.048120000000001</v>
      </c>
      <c r="Q11145">
        <v>25.3</v>
      </c>
      <c r="R11145">
        <v>30.2</v>
      </c>
      <c r="S11145">
        <v>25.24812</v>
      </c>
      <c r="T11145">
        <v>983.27819999999997</v>
      </c>
      <c r="U11145">
        <v>262.13139999999999</v>
      </c>
      <c r="V11145">
        <v>1</v>
      </c>
      <c r="W11145">
        <v>105.79859999999999</v>
      </c>
      <c r="X11145">
        <v>639.33280000000002</v>
      </c>
      <c r="Y11145">
        <v>4</v>
      </c>
      <c r="Z11145">
        <v>147.81399999999999</v>
      </c>
      <c r="AA11145">
        <v>9</v>
      </c>
      <c r="AB11145">
        <v>3.0505110000000002</v>
      </c>
      <c r="AC11145">
        <v>0.28433389999999997</v>
      </c>
      <c r="AD11145">
        <v>1.9688699999999999</v>
      </c>
      <c r="AE11145">
        <v>0.46497490000000002</v>
      </c>
      <c r="AF11145">
        <v>339.59730000000002</v>
      </c>
      <c r="AG11145">
        <f>IFERROR(AH11145*0.1, "N/A")</f>
        <v>6.0969280000000001</v>
      </c>
      <c r="AH11145">
        <v>60.969279999999998</v>
      </c>
      <c r="AI11145">
        <v>235.16849999999999</v>
      </c>
      <c r="AJ11145">
        <v>15.23208</v>
      </c>
      <c r="AK11145">
        <v>60.566549999999999</v>
      </c>
    </row>
    <row r="11146" spans="1:37" x14ac:dyDescent="0.3">
      <c r="A11146">
        <v>11145</v>
      </c>
      <c r="B11146">
        <v>4.5</v>
      </c>
      <c r="C11146">
        <v>-5.15</v>
      </c>
      <c r="D11146">
        <v>10.7667</v>
      </c>
      <c r="E11146">
        <f>-5.15-10.7667</f>
        <v>-15.916700000000001</v>
      </c>
      <c r="F11146" t="s">
        <v>16611</v>
      </c>
      <c r="G11146" t="s">
        <v>39</v>
      </c>
      <c r="H11146">
        <v>1980</v>
      </c>
      <c r="I11146">
        <v>26.39931</v>
      </c>
      <c r="J11146">
        <v>12.7</v>
      </c>
      <c r="K11146">
        <v>62.917529999999999</v>
      </c>
      <c r="L11146">
        <v>16.787559999999999</v>
      </c>
      <c r="M11146">
        <v>36.098619999999997</v>
      </c>
      <c r="N11146">
        <v>15.999309999999999</v>
      </c>
      <c r="O11146">
        <v>20.099309999999999</v>
      </c>
      <c r="P11146">
        <v>25.053609999999999</v>
      </c>
      <c r="Q11146">
        <v>25.199310000000001</v>
      </c>
      <c r="R11146">
        <v>28.898630000000001</v>
      </c>
      <c r="S11146">
        <v>24.89931</v>
      </c>
      <c r="T11146">
        <v>1088.0999999999999</v>
      </c>
      <c r="U11146">
        <v>284</v>
      </c>
      <c r="V11146">
        <v>1.0893470000000001</v>
      </c>
      <c r="W11146">
        <v>99.910650000000004</v>
      </c>
      <c r="X11146">
        <v>683.46389999999997</v>
      </c>
      <c r="Y11146">
        <v>9.0893470000000001</v>
      </c>
      <c r="Z11146">
        <v>178</v>
      </c>
      <c r="AA11146">
        <v>14.08935</v>
      </c>
      <c r="AB11146">
        <v>28.717359999999999</v>
      </c>
      <c r="AC11146">
        <v>9.1206319999999994E-2</v>
      </c>
      <c r="AD11146">
        <v>1.2281530000000001</v>
      </c>
      <c r="AE11146">
        <v>0.40565630000000003</v>
      </c>
      <c r="AF11146">
        <v>473.50689999999997</v>
      </c>
      <c r="AG11146">
        <f>IFERROR(AH11146*0.1, "N/A")</f>
        <v>5.9</v>
      </c>
      <c r="AH11146">
        <v>59</v>
      </c>
      <c r="AI11146">
        <v>72.68074</v>
      </c>
      <c r="AJ11146">
        <v>20.085909999999998</v>
      </c>
      <c r="AK11146">
        <v>58.371130000000001</v>
      </c>
    </row>
    <row r="11147" spans="1:37" x14ac:dyDescent="0.3">
      <c r="A11147">
        <v>11146</v>
      </c>
      <c r="B11147">
        <v>75</v>
      </c>
      <c r="C11147">
        <v>-5.15</v>
      </c>
      <c r="D11147">
        <v>10.7667</v>
      </c>
      <c r="E11147">
        <f>-5.15-10.7667</f>
        <v>-15.916700000000001</v>
      </c>
      <c r="F11147" t="s">
        <v>16612</v>
      </c>
      <c r="G11147" t="s">
        <v>37</v>
      </c>
      <c r="H11147">
        <v>1980</v>
      </c>
      <c r="I11147">
        <v>26.39931</v>
      </c>
      <c r="J11147">
        <v>12.7</v>
      </c>
      <c r="K11147">
        <v>62.917529999999999</v>
      </c>
      <c r="L11147">
        <v>16.787559999999999</v>
      </c>
      <c r="M11147">
        <v>36.098619999999997</v>
      </c>
      <c r="N11147">
        <v>15.999309999999999</v>
      </c>
      <c r="O11147">
        <v>20.099309999999999</v>
      </c>
      <c r="P11147">
        <v>25.053609999999999</v>
      </c>
      <c r="Q11147">
        <v>25.199310000000001</v>
      </c>
      <c r="R11147">
        <v>28.898630000000001</v>
      </c>
      <c r="S11147">
        <v>24.89931</v>
      </c>
      <c r="T11147">
        <v>1088.0999999999999</v>
      </c>
      <c r="U11147">
        <v>284</v>
      </c>
      <c r="V11147">
        <v>1.0893470000000001</v>
      </c>
      <c r="W11147">
        <v>99.910650000000004</v>
      </c>
      <c r="X11147">
        <v>683.46389999999997</v>
      </c>
      <c r="Y11147">
        <v>9.0893470000000001</v>
      </c>
      <c r="Z11147">
        <v>178</v>
      </c>
      <c r="AA11147">
        <v>14.08935</v>
      </c>
      <c r="AB11147">
        <v>28.717359999999999</v>
      </c>
      <c r="AC11147">
        <v>9.1206319999999994E-2</v>
      </c>
      <c r="AD11147">
        <v>1.2281530000000001</v>
      </c>
      <c r="AE11147">
        <v>0.40565630000000003</v>
      </c>
      <c r="AF11147">
        <v>473.50689999999997</v>
      </c>
      <c r="AG11147">
        <f>IFERROR(AH11147*0.1, "N/A")</f>
        <v>5.9</v>
      </c>
      <c r="AH11147">
        <v>59</v>
      </c>
      <c r="AI11147">
        <v>72.68074</v>
      </c>
      <c r="AJ11147">
        <v>20.085909999999998</v>
      </c>
      <c r="AK11147">
        <v>58.371130000000001</v>
      </c>
    </row>
    <row r="11148" spans="1:37" x14ac:dyDescent="0.3">
      <c r="A11148">
        <v>11147</v>
      </c>
      <c r="B11148">
        <v>0</v>
      </c>
      <c r="C11148">
        <v>-4.1166700000000001</v>
      </c>
      <c r="D11148">
        <v>11.333299999999999</v>
      </c>
      <c r="E11148">
        <f>-4.11667-11.3333</f>
        <v>-15.44997</v>
      </c>
      <c r="F11148" t="s">
        <v>16613</v>
      </c>
      <c r="G11148" t="s">
        <v>39</v>
      </c>
      <c r="H11148">
        <v>1980</v>
      </c>
      <c r="I11148">
        <v>27.31269</v>
      </c>
      <c r="J11148">
        <v>13.6</v>
      </c>
      <c r="K11148">
        <v>62</v>
      </c>
      <c r="L11148">
        <v>18.814409999999999</v>
      </c>
      <c r="M11148">
        <v>37.483879999999999</v>
      </c>
      <c r="N11148">
        <v>15.82882</v>
      </c>
      <c r="O11148">
        <v>21.655059999999999</v>
      </c>
      <c r="P11148">
        <v>25.97702</v>
      </c>
      <c r="Q11148">
        <v>25.628820000000001</v>
      </c>
      <c r="R11148">
        <v>30.128820000000001</v>
      </c>
      <c r="S11148">
        <v>25.52882</v>
      </c>
      <c r="T11148">
        <v>991.20749999999998</v>
      </c>
      <c r="U11148">
        <v>263.22980000000001</v>
      </c>
      <c r="V11148">
        <v>1</v>
      </c>
      <c r="W11148">
        <v>105</v>
      </c>
      <c r="X11148">
        <v>640.4597</v>
      </c>
      <c r="Y11148">
        <v>6</v>
      </c>
      <c r="Z11148">
        <v>151.518</v>
      </c>
      <c r="AA11148">
        <v>10</v>
      </c>
      <c r="AB11148">
        <v>12.759169999999999</v>
      </c>
      <c r="AC11148">
        <v>2.0047809999999999E-2</v>
      </c>
      <c r="AD11148">
        <v>1.302805</v>
      </c>
      <c r="AE11148">
        <v>0.50173080000000003</v>
      </c>
      <c r="AF11148">
        <v>350.59519999999998</v>
      </c>
      <c r="AG11148">
        <f>IFERROR(AH11148*0.1, "N/A")</f>
        <v>6.354031</v>
      </c>
      <c r="AH11148">
        <v>63.540309999999998</v>
      </c>
      <c r="AI11148">
        <v>116.8907</v>
      </c>
      <c r="AJ11148">
        <v>14</v>
      </c>
      <c r="AK11148">
        <v>65.540310000000005</v>
      </c>
    </row>
    <row r="11149" spans="1:37" x14ac:dyDescent="0.3">
      <c r="A11149">
        <v>11148</v>
      </c>
      <c r="B11149">
        <v>47</v>
      </c>
      <c r="C11149">
        <v>-4.1166700000000001</v>
      </c>
      <c r="D11149">
        <v>11.333299999999999</v>
      </c>
      <c r="E11149">
        <f>-4.11667-11.3333</f>
        <v>-15.44997</v>
      </c>
      <c r="F11149" t="s">
        <v>16614</v>
      </c>
      <c r="G11149" t="s">
        <v>37</v>
      </c>
      <c r="H11149">
        <v>1980</v>
      </c>
      <c r="I11149">
        <v>27.31269</v>
      </c>
      <c r="J11149">
        <v>13.6</v>
      </c>
      <c r="K11149">
        <v>62</v>
      </c>
      <c r="L11149">
        <v>18.814409999999999</v>
      </c>
      <c r="M11149">
        <v>37.483879999999999</v>
      </c>
      <c r="N11149">
        <v>15.82882</v>
      </c>
      <c r="O11149">
        <v>21.655059999999999</v>
      </c>
      <c r="P11149">
        <v>25.97702</v>
      </c>
      <c r="Q11149">
        <v>25.628820000000001</v>
      </c>
      <c r="R11149">
        <v>30.128820000000001</v>
      </c>
      <c r="S11149">
        <v>25.52882</v>
      </c>
      <c r="T11149">
        <v>991.20749999999998</v>
      </c>
      <c r="U11149">
        <v>263.22980000000001</v>
      </c>
      <c r="V11149">
        <v>1</v>
      </c>
      <c r="W11149">
        <v>105</v>
      </c>
      <c r="X11149">
        <v>640.4597</v>
      </c>
      <c r="Y11149">
        <v>6</v>
      </c>
      <c r="Z11149">
        <v>151.518</v>
      </c>
      <c r="AA11149">
        <v>10</v>
      </c>
      <c r="AB11149">
        <v>12.759169999999999</v>
      </c>
      <c r="AC11149">
        <v>2.0047809999999999E-2</v>
      </c>
      <c r="AD11149">
        <v>1.302805</v>
      </c>
      <c r="AE11149">
        <v>0.50173080000000003</v>
      </c>
      <c r="AF11149">
        <v>350.59519999999998</v>
      </c>
      <c r="AG11149">
        <f>IFERROR(AH11149*0.1, "N/A")</f>
        <v>6.354031</v>
      </c>
      <c r="AH11149">
        <v>63.540309999999998</v>
      </c>
      <c r="AI11149">
        <v>116.8907</v>
      </c>
      <c r="AJ11149">
        <v>14</v>
      </c>
      <c r="AK11149">
        <v>65.540310000000005</v>
      </c>
    </row>
    <row r="11150" spans="1:37" x14ac:dyDescent="0.3">
      <c r="A11150">
        <v>11149</v>
      </c>
      <c r="B11150">
        <v>0</v>
      </c>
      <c r="C11150">
        <v>-4.2333299999999996</v>
      </c>
      <c r="D11150">
        <v>11.283300000000001</v>
      </c>
      <c r="E11150">
        <f>-4.23333-11.2833</f>
        <v>-15.516629999999999</v>
      </c>
      <c r="F11150" t="s">
        <v>16615</v>
      </c>
      <c r="G11150" t="s">
        <v>39</v>
      </c>
      <c r="H11150">
        <v>1980</v>
      </c>
      <c r="I11150">
        <v>27.199829999999999</v>
      </c>
      <c r="J11150">
        <v>13.68576</v>
      </c>
      <c r="K11150">
        <v>62</v>
      </c>
      <c r="L11150">
        <v>18.988510000000002</v>
      </c>
      <c r="M11150">
        <v>37.471350000000001</v>
      </c>
      <c r="N11150">
        <v>15.51407</v>
      </c>
      <c r="O11150">
        <v>21.95729</v>
      </c>
      <c r="P11150">
        <v>25.81767</v>
      </c>
      <c r="Q11150">
        <v>25.48216</v>
      </c>
      <c r="R11150">
        <v>30.017669999999999</v>
      </c>
      <c r="S11150">
        <v>25.314240000000002</v>
      </c>
      <c r="T11150">
        <v>1020.398</v>
      </c>
      <c r="U11150">
        <v>270.96570000000003</v>
      </c>
      <c r="V11150">
        <v>1</v>
      </c>
      <c r="W11150">
        <v>103.4991</v>
      </c>
      <c r="X11150">
        <v>656.78899999999999</v>
      </c>
      <c r="Y11150">
        <v>5</v>
      </c>
      <c r="Z11150">
        <v>159.964</v>
      </c>
      <c r="AA11150">
        <v>9.821612</v>
      </c>
      <c r="AB11150">
        <v>3.3024010000000001</v>
      </c>
      <c r="AC11150">
        <v>0.41975610000000002</v>
      </c>
      <c r="AD11150">
        <v>1.180499</v>
      </c>
      <c r="AE11150">
        <v>0.43828889999999998</v>
      </c>
      <c r="AF11150">
        <v>354.46660000000003</v>
      </c>
      <c r="AG11150">
        <f>IFERROR(AH11150*0.1, "N/A")</f>
        <v>5.9243570000000005</v>
      </c>
      <c r="AH11150">
        <v>59.243569999999998</v>
      </c>
      <c r="AI11150">
        <v>81.557079999999999</v>
      </c>
      <c r="AJ11150">
        <v>21.735849999999999</v>
      </c>
      <c r="AK11150">
        <v>50.291600000000003</v>
      </c>
    </row>
    <row r="11151" spans="1:37" x14ac:dyDescent="0.3">
      <c r="A11151">
        <v>11150</v>
      </c>
      <c r="B11151">
        <v>43</v>
      </c>
      <c r="C11151">
        <v>-4.2333299999999996</v>
      </c>
      <c r="D11151">
        <v>11.283300000000001</v>
      </c>
      <c r="E11151">
        <f>-4.23333-11.2833</f>
        <v>-15.516629999999999</v>
      </c>
      <c r="F11151" t="s">
        <v>16616</v>
      </c>
      <c r="G11151" t="s">
        <v>37</v>
      </c>
      <c r="H11151">
        <v>1980</v>
      </c>
      <c r="I11151">
        <v>27.199829999999999</v>
      </c>
      <c r="J11151">
        <v>13.68576</v>
      </c>
      <c r="K11151">
        <v>62</v>
      </c>
      <c r="L11151">
        <v>18.988510000000002</v>
      </c>
      <c r="M11151">
        <v>37.471350000000001</v>
      </c>
      <c r="N11151">
        <v>15.51407</v>
      </c>
      <c r="O11151">
        <v>21.95729</v>
      </c>
      <c r="P11151">
        <v>25.81767</v>
      </c>
      <c r="Q11151">
        <v>25.48216</v>
      </c>
      <c r="R11151">
        <v>30.017669999999999</v>
      </c>
      <c r="S11151">
        <v>25.314240000000002</v>
      </c>
      <c r="T11151">
        <v>1020.398</v>
      </c>
      <c r="U11151">
        <v>270.96570000000003</v>
      </c>
      <c r="V11151">
        <v>1</v>
      </c>
      <c r="W11151">
        <v>103.4991</v>
      </c>
      <c r="X11151">
        <v>656.78899999999999</v>
      </c>
      <c r="Y11151">
        <v>5</v>
      </c>
      <c r="Z11151">
        <v>159.964</v>
      </c>
      <c r="AA11151">
        <v>9.821612</v>
      </c>
      <c r="AB11151">
        <v>3.3024010000000001</v>
      </c>
      <c r="AC11151">
        <v>0.41975610000000002</v>
      </c>
      <c r="AD11151">
        <v>1.180499</v>
      </c>
      <c r="AE11151">
        <v>0.43828889999999998</v>
      </c>
      <c r="AF11151">
        <v>354.46660000000003</v>
      </c>
      <c r="AG11151">
        <f>IFERROR(AH11151*0.1, "N/A")</f>
        <v>5.9243570000000005</v>
      </c>
      <c r="AH11151">
        <v>59.243569999999998</v>
      </c>
      <c r="AI11151">
        <v>81.557079999999999</v>
      </c>
      <c r="AJ11151">
        <v>21.735849999999999</v>
      </c>
      <c r="AK11151">
        <v>50.291600000000003</v>
      </c>
    </row>
    <row r="11152" spans="1:37" x14ac:dyDescent="0.3">
      <c r="A11152">
        <v>11151</v>
      </c>
      <c r="B11152">
        <v>7</v>
      </c>
      <c r="C11152">
        <v>-4.1833299999999998</v>
      </c>
      <c r="D11152">
        <v>11.35</v>
      </c>
      <c r="E11152">
        <f>-4.18333-11.35</f>
        <v>-15.533329999999999</v>
      </c>
      <c r="F11152" t="s">
        <v>16617</v>
      </c>
      <c r="G11152" t="s">
        <v>39</v>
      </c>
      <c r="H11152">
        <v>1980</v>
      </c>
      <c r="I11152">
        <v>27.172599999999999</v>
      </c>
      <c r="J11152">
        <v>13.73373</v>
      </c>
      <c r="K11152">
        <v>62</v>
      </c>
      <c r="L11152">
        <v>19.249210000000001</v>
      </c>
      <c r="M11152">
        <v>37.423119999999997</v>
      </c>
      <c r="N11152">
        <v>15.4</v>
      </c>
      <c r="O11152">
        <v>22.023119999999999</v>
      </c>
      <c r="P11152">
        <v>25.844349999999999</v>
      </c>
      <c r="Q11152">
        <v>25.395720000000001</v>
      </c>
      <c r="R11152">
        <v>30.033729999999998</v>
      </c>
      <c r="S11152">
        <v>25.233730000000001</v>
      </c>
      <c r="T11152">
        <v>995.9058</v>
      </c>
      <c r="U11152">
        <v>265.0428</v>
      </c>
      <c r="V11152">
        <v>1</v>
      </c>
      <c r="W11152">
        <v>105.1062</v>
      </c>
      <c r="X11152">
        <v>645.47429999999997</v>
      </c>
      <c r="Y11152">
        <v>4</v>
      </c>
      <c r="Z11152">
        <v>152.4315</v>
      </c>
      <c r="AA11152">
        <v>9</v>
      </c>
      <c r="AB11152">
        <v>1.479109</v>
      </c>
      <c r="AC11152">
        <v>0.206622</v>
      </c>
      <c r="AD11152">
        <v>2.1013039999999998</v>
      </c>
      <c r="AE11152">
        <v>0.4620937</v>
      </c>
      <c r="AF11152">
        <v>356.4212</v>
      </c>
      <c r="AG11152">
        <f>IFERROR(AH11152*0.1, "N/A")</f>
        <v>5.743322</v>
      </c>
      <c r="AH11152">
        <v>57.433219999999999</v>
      </c>
      <c r="AI11152">
        <v>151.5318</v>
      </c>
      <c r="AJ11152">
        <v>16.606159999999999</v>
      </c>
      <c r="AK11152">
        <v>52.171230000000001</v>
      </c>
    </row>
    <row r="11153" spans="1:37" x14ac:dyDescent="0.3">
      <c r="A11153">
        <v>11152</v>
      </c>
      <c r="B11153">
        <v>42</v>
      </c>
      <c r="C11153">
        <v>-4.1833299999999998</v>
      </c>
      <c r="D11153">
        <v>11.35</v>
      </c>
      <c r="E11153">
        <f>-4.18333-11.35</f>
        <v>-15.533329999999999</v>
      </c>
      <c r="F11153" t="s">
        <v>16618</v>
      </c>
      <c r="G11153" t="s">
        <v>37</v>
      </c>
      <c r="H11153">
        <v>1980</v>
      </c>
      <c r="I11153">
        <v>27.172599999999999</v>
      </c>
      <c r="J11153">
        <v>13.73373</v>
      </c>
      <c r="K11153">
        <v>62</v>
      </c>
      <c r="L11153">
        <v>19.249210000000001</v>
      </c>
      <c r="M11153">
        <v>37.423119999999997</v>
      </c>
      <c r="N11153">
        <v>15.4</v>
      </c>
      <c r="O11153">
        <v>22.023119999999999</v>
      </c>
      <c r="P11153">
        <v>25.844349999999999</v>
      </c>
      <c r="Q11153">
        <v>25.395720000000001</v>
      </c>
      <c r="R11153">
        <v>30.033729999999998</v>
      </c>
      <c r="S11153">
        <v>25.233730000000001</v>
      </c>
      <c r="T11153">
        <v>995.9058</v>
      </c>
      <c r="U11153">
        <v>265.0428</v>
      </c>
      <c r="V11153">
        <v>1</v>
      </c>
      <c r="W11153">
        <v>105.1062</v>
      </c>
      <c r="X11153">
        <v>645.47429999999997</v>
      </c>
      <c r="Y11153">
        <v>4</v>
      </c>
      <c r="Z11153">
        <v>152.4315</v>
      </c>
      <c r="AA11153">
        <v>9</v>
      </c>
      <c r="AB11153">
        <v>1.479109</v>
      </c>
      <c r="AC11153">
        <v>0.206622</v>
      </c>
      <c r="AD11153">
        <v>2.1013039999999998</v>
      </c>
      <c r="AE11153">
        <v>0.4620937</v>
      </c>
      <c r="AF11153">
        <v>356.4212</v>
      </c>
      <c r="AG11153">
        <f>IFERROR(AH11153*0.1, "N/A")</f>
        <v>5.743322</v>
      </c>
      <c r="AH11153">
        <v>57.433219999999999</v>
      </c>
      <c r="AI11153">
        <v>151.5318</v>
      </c>
      <c r="AJ11153">
        <v>16.606159999999999</v>
      </c>
      <c r="AK11153">
        <v>52.171230000000001</v>
      </c>
    </row>
    <row r="11154" spans="1:37" x14ac:dyDescent="0.3">
      <c r="A11154">
        <v>11153</v>
      </c>
      <c r="B11154">
        <v>6</v>
      </c>
      <c r="C11154">
        <v>-4.1666699999999999</v>
      </c>
      <c r="D11154">
        <v>11.2333</v>
      </c>
      <c r="E11154">
        <f>-4.16667-11.2333</f>
        <v>-15.39997</v>
      </c>
      <c r="F11154" t="s">
        <v>16619</v>
      </c>
      <c r="G11154" t="s">
        <v>39</v>
      </c>
      <c r="H11154">
        <v>1980</v>
      </c>
      <c r="I11154">
        <v>27.168140000000001</v>
      </c>
      <c r="J11154">
        <v>13.281090000000001</v>
      </c>
      <c r="K11154">
        <v>63</v>
      </c>
      <c r="L11154">
        <v>17.923580000000001</v>
      </c>
      <c r="M11154">
        <v>37.225209999999997</v>
      </c>
      <c r="N11154">
        <v>16.289269999999998</v>
      </c>
      <c r="O11154">
        <v>20.935949999999998</v>
      </c>
      <c r="P11154">
        <v>25.69557</v>
      </c>
      <c r="Q11154">
        <v>25.77036</v>
      </c>
      <c r="R11154">
        <v>29.878879999999999</v>
      </c>
      <c r="S11154">
        <v>25.640720000000002</v>
      </c>
      <c r="T11154">
        <v>1023.659</v>
      </c>
      <c r="U11154">
        <v>270.91480000000001</v>
      </c>
      <c r="V11154">
        <v>1</v>
      </c>
      <c r="W11154">
        <v>103.1073</v>
      </c>
      <c r="X11154">
        <v>655.82960000000003</v>
      </c>
      <c r="Y11154">
        <v>6</v>
      </c>
      <c r="Z11154">
        <v>162.8075</v>
      </c>
      <c r="AA11154">
        <v>202.78530000000001</v>
      </c>
      <c r="AB11154">
        <v>19.889109999999999</v>
      </c>
      <c r="AC11154">
        <v>4.9751570000000002E-2</v>
      </c>
      <c r="AD11154">
        <v>5.4090800000000003</v>
      </c>
      <c r="AE11154">
        <v>0.44573170000000001</v>
      </c>
      <c r="AF11154">
        <v>367.84500000000003</v>
      </c>
      <c r="AG11154">
        <f>IFERROR(AH11154*0.1, "N/A")</f>
        <v>6.9391819999999997</v>
      </c>
      <c r="AH11154">
        <v>69.391819999999996</v>
      </c>
      <c r="AI11154">
        <v>194.2312</v>
      </c>
      <c r="AJ11154">
        <v>21</v>
      </c>
      <c r="AK11154">
        <v>58.993189999999998</v>
      </c>
    </row>
    <row r="11155" spans="1:37" x14ac:dyDescent="0.3">
      <c r="A11155">
        <v>11154</v>
      </c>
      <c r="B11155">
        <v>9</v>
      </c>
      <c r="C11155">
        <v>-4.1666699999999999</v>
      </c>
      <c r="D11155">
        <v>11.2333</v>
      </c>
      <c r="E11155">
        <f>-4.16667-11.2333</f>
        <v>-15.39997</v>
      </c>
      <c r="F11155" t="s">
        <v>16620</v>
      </c>
      <c r="G11155" t="s">
        <v>37</v>
      </c>
      <c r="H11155">
        <v>1980</v>
      </c>
      <c r="I11155">
        <v>27.168140000000001</v>
      </c>
      <c r="J11155">
        <v>13.281090000000001</v>
      </c>
      <c r="K11155">
        <v>63</v>
      </c>
      <c r="L11155">
        <v>17.923580000000001</v>
      </c>
      <c r="M11155">
        <v>37.225209999999997</v>
      </c>
      <c r="N11155">
        <v>16.289269999999998</v>
      </c>
      <c r="O11155">
        <v>20.935949999999998</v>
      </c>
      <c r="P11155">
        <v>25.69557</v>
      </c>
      <c r="Q11155">
        <v>25.77036</v>
      </c>
      <c r="R11155">
        <v>29.878879999999999</v>
      </c>
      <c r="S11155">
        <v>25.640720000000002</v>
      </c>
      <c r="T11155">
        <v>1023.659</v>
      </c>
      <c r="U11155">
        <v>270.91480000000001</v>
      </c>
      <c r="V11155">
        <v>1</v>
      </c>
      <c r="W11155">
        <v>103.1073</v>
      </c>
      <c r="X11155">
        <v>655.82960000000003</v>
      </c>
      <c r="Y11155">
        <v>6</v>
      </c>
      <c r="Z11155">
        <v>162.8075</v>
      </c>
      <c r="AA11155">
        <v>202.78530000000001</v>
      </c>
      <c r="AB11155">
        <v>19.889109999999999</v>
      </c>
      <c r="AC11155">
        <v>4.9751570000000002E-2</v>
      </c>
      <c r="AD11155">
        <v>5.4090800000000003</v>
      </c>
      <c r="AE11155">
        <v>0.44573170000000001</v>
      </c>
      <c r="AF11155">
        <v>367.84500000000003</v>
      </c>
      <c r="AG11155">
        <f>IFERROR(AH11155*0.1, "N/A")</f>
        <v>6.9391819999999997</v>
      </c>
      <c r="AH11155">
        <v>69.391819999999996</v>
      </c>
      <c r="AI11155">
        <v>194.2312</v>
      </c>
      <c r="AJ11155">
        <v>21</v>
      </c>
      <c r="AK11155">
        <v>58.993189999999998</v>
      </c>
    </row>
    <row r="11156" spans="1:37" x14ac:dyDescent="0.3">
      <c r="A11156">
        <v>11155</v>
      </c>
      <c r="B11156">
        <v>89</v>
      </c>
      <c r="C11156">
        <v>-3.98333</v>
      </c>
      <c r="D11156">
        <v>11.283300000000001</v>
      </c>
      <c r="E11156">
        <f>-3.98333-11.2833</f>
        <v>-15.266630000000001</v>
      </c>
      <c r="F11156" t="s">
        <v>16621</v>
      </c>
      <c r="G11156" t="s">
        <v>39</v>
      </c>
      <c r="H11156">
        <v>1980</v>
      </c>
      <c r="I11156">
        <v>27.64528</v>
      </c>
      <c r="J11156">
        <v>13.4</v>
      </c>
      <c r="K11156">
        <v>63</v>
      </c>
      <c r="L11156">
        <v>18.468769999999999</v>
      </c>
      <c r="M11156">
        <v>37.806350000000002</v>
      </c>
      <c r="N11156">
        <v>16.606349999999999</v>
      </c>
      <c r="O11156">
        <v>21.2</v>
      </c>
      <c r="P11156">
        <v>26.217839999999999</v>
      </c>
      <c r="Q11156">
        <v>26.14528</v>
      </c>
      <c r="R11156">
        <v>30.433789999999998</v>
      </c>
      <c r="S11156">
        <v>26.006350000000001</v>
      </c>
      <c r="T11156">
        <v>977.33619999999996</v>
      </c>
      <c r="U11156">
        <v>256.93650000000002</v>
      </c>
      <c r="V11156">
        <v>2</v>
      </c>
      <c r="W11156">
        <v>103.6621</v>
      </c>
      <c r="X11156">
        <v>628.14580000000001</v>
      </c>
      <c r="Y11156">
        <v>7</v>
      </c>
      <c r="Z11156">
        <v>150</v>
      </c>
      <c r="AA11156">
        <v>11.82161</v>
      </c>
      <c r="AB11156">
        <v>1.2435670000000001</v>
      </c>
      <c r="AC11156">
        <v>1.4288289999999999</v>
      </c>
      <c r="AD11156">
        <v>2.037293</v>
      </c>
      <c r="AE11156">
        <v>0.36411310000000002</v>
      </c>
      <c r="AF11156">
        <v>292.61410000000001</v>
      </c>
      <c r="AG11156">
        <f>IFERROR(AH11156*0.1, "N/A")</f>
        <v>5.9921100000000003</v>
      </c>
      <c r="AH11156">
        <v>59.921100000000003</v>
      </c>
      <c r="AI11156">
        <v>81.027259999999998</v>
      </c>
      <c r="AJ11156">
        <v>16.437390000000001</v>
      </c>
      <c r="AK11156">
        <v>56.449399999999997</v>
      </c>
    </row>
    <row r="11157" spans="1:37" x14ac:dyDescent="0.3">
      <c r="A11157">
        <v>11156</v>
      </c>
      <c r="B11157">
        <v>0</v>
      </c>
      <c r="C11157">
        <v>-3.98333</v>
      </c>
      <c r="D11157">
        <v>11.283300000000001</v>
      </c>
      <c r="E11157">
        <f>-3.98333-11.2833</f>
        <v>-15.266630000000001</v>
      </c>
      <c r="F11157" t="s">
        <v>16622</v>
      </c>
      <c r="G11157" t="s">
        <v>37</v>
      </c>
      <c r="H11157">
        <v>1980</v>
      </c>
      <c r="I11157">
        <v>27.64528</v>
      </c>
      <c r="J11157">
        <v>13.4</v>
      </c>
      <c r="K11157">
        <v>63</v>
      </c>
      <c r="L11157">
        <v>18.468769999999999</v>
      </c>
      <c r="M11157">
        <v>37.806350000000002</v>
      </c>
      <c r="N11157">
        <v>16.606349999999999</v>
      </c>
      <c r="O11157">
        <v>21.2</v>
      </c>
      <c r="P11157">
        <v>26.217839999999999</v>
      </c>
      <c r="Q11157">
        <v>26.14528</v>
      </c>
      <c r="R11157">
        <v>30.433789999999998</v>
      </c>
      <c r="S11157">
        <v>26.006350000000001</v>
      </c>
      <c r="T11157">
        <v>977.33619999999996</v>
      </c>
      <c r="U11157">
        <v>256.93650000000002</v>
      </c>
      <c r="V11157">
        <v>2</v>
      </c>
      <c r="W11157">
        <v>103.6621</v>
      </c>
      <c r="X11157">
        <v>628.14580000000001</v>
      </c>
      <c r="Y11157">
        <v>7</v>
      </c>
      <c r="Z11157">
        <v>150</v>
      </c>
      <c r="AA11157">
        <v>11.82161</v>
      </c>
      <c r="AB11157">
        <v>1.2435670000000001</v>
      </c>
      <c r="AC11157">
        <v>1.4288289999999999</v>
      </c>
      <c r="AD11157">
        <v>2.037293</v>
      </c>
      <c r="AE11157">
        <v>0.36411310000000002</v>
      </c>
      <c r="AF11157">
        <v>292.61410000000001</v>
      </c>
      <c r="AG11157">
        <f>IFERROR(AH11157*0.1, "N/A")</f>
        <v>5.9921100000000003</v>
      </c>
      <c r="AH11157">
        <v>59.921100000000003</v>
      </c>
      <c r="AI11157">
        <v>81.027259999999998</v>
      </c>
      <c r="AJ11157">
        <v>16.437390000000001</v>
      </c>
      <c r="AK11157">
        <v>56.449399999999997</v>
      </c>
    </row>
    <row r="11158" spans="1:37" x14ac:dyDescent="0.3">
      <c r="A11158">
        <v>11157</v>
      </c>
      <c r="B11158">
        <v>61</v>
      </c>
      <c r="C11158">
        <v>-3.6</v>
      </c>
      <c r="D11158">
        <v>11.55</v>
      </c>
      <c r="E11158">
        <f>-3.6-11.55</f>
        <v>-15.15</v>
      </c>
      <c r="F11158" t="s">
        <v>16623</v>
      </c>
      <c r="G11158" t="s">
        <v>39</v>
      </c>
      <c r="H11158">
        <v>1980</v>
      </c>
      <c r="I11158">
        <v>27.899139999999999</v>
      </c>
      <c r="J11158">
        <v>13.3</v>
      </c>
      <c r="K11158">
        <v>63</v>
      </c>
      <c r="L11158">
        <v>19.34553</v>
      </c>
      <c r="M11158">
        <v>38.086300000000001</v>
      </c>
      <c r="N11158">
        <v>17.086300000000001</v>
      </c>
      <c r="O11158">
        <v>21</v>
      </c>
      <c r="P11158">
        <v>26.312840000000001</v>
      </c>
      <c r="Q11158">
        <v>26.3</v>
      </c>
      <c r="R11158">
        <v>30.780480000000001</v>
      </c>
      <c r="S11158">
        <v>26.2</v>
      </c>
      <c r="T11158">
        <v>912.80989999999997</v>
      </c>
      <c r="U11158">
        <v>249</v>
      </c>
      <c r="V11158">
        <v>1</v>
      </c>
      <c r="W11158">
        <v>107.2568</v>
      </c>
      <c r="X11158">
        <v>604.87159999999994</v>
      </c>
      <c r="Y11158">
        <v>6</v>
      </c>
      <c r="Z11158">
        <v>125.7432</v>
      </c>
      <c r="AA11158">
        <v>9</v>
      </c>
      <c r="AB11158">
        <v>1.3248359999999999</v>
      </c>
      <c r="AC11158">
        <v>0.35798419999999997</v>
      </c>
      <c r="AD11158">
        <v>0.95023630000000003</v>
      </c>
      <c r="AE11158">
        <v>0.44449519999999998</v>
      </c>
      <c r="AF11158">
        <v>308.30990000000003</v>
      </c>
      <c r="AG11158">
        <f>IFERROR(AH11158*0.1, "N/A")</f>
        <v>6</v>
      </c>
      <c r="AH11158">
        <v>60</v>
      </c>
      <c r="AI11158">
        <v>192.19450000000001</v>
      </c>
      <c r="AJ11158">
        <v>20.136990000000001</v>
      </c>
      <c r="AK11158">
        <v>49.726030000000002</v>
      </c>
    </row>
    <row r="11159" spans="1:37" x14ac:dyDescent="0.3">
      <c r="A11159">
        <v>11158</v>
      </c>
      <c r="B11159">
        <v>0</v>
      </c>
      <c r="C11159">
        <v>-3.6</v>
      </c>
      <c r="D11159">
        <v>11.55</v>
      </c>
      <c r="E11159">
        <f>-3.6-11.55</f>
        <v>-15.15</v>
      </c>
      <c r="F11159" t="s">
        <v>16624</v>
      </c>
      <c r="G11159" t="s">
        <v>37</v>
      </c>
      <c r="H11159">
        <v>1980</v>
      </c>
      <c r="I11159">
        <v>27.899139999999999</v>
      </c>
      <c r="J11159">
        <v>13.3</v>
      </c>
      <c r="K11159">
        <v>63</v>
      </c>
      <c r="L11159">
        <v>19.34553</v>
      </c>
      <c r="M11159">
        <v>38.086300000000001</v>
      </c>
      <c r="N11159">
        <v>17.086300000000001</v>
      </c>
      <c r="O11159">
        <v>21</v>
      </c>
      <c r="P11159">
        <v>26.312840000000001</v>
      </c>
      <c r="Q11159">
        <v>26.3</v>
      </c>
      <c r="R11159">
        <v>30.780480000000001</v>
      </c>
      <c r="S11159">
        <v>26.2</v>
      </c>
      <c r="T11159">
        <v>912.80989999999997</v>
      </c>
      <c r="U11159">
        <v>249</v>
      </c>
      <c r="V11159">
        <v>1</v>
      </c>
      <c r="W11159">
        <v>107.2568</v>
      </c>
      <c r="X11159">
        <v>604.87159999999994</v>
      </c>
      <c r="Y11159">
        <v>6</v>
      </c>
      <c r="Z11159">
        <v>125.7432</v>
      </c>
      <c r="AA11159">
        <v>9</v>
      </c>
      <c r="AB11159">
        <v>1.3248359999999999</v>
      </c>
      <c r="AC11159">
        <v>0.35798419999999997</v>
      </c>
      <c r="AD11159">
        <v>0.95023630000000003</v>
      </c>
      <c r="AE11159">
        <v>0.44449519999999998</v>
      </c>
      <c r="AF11159">
        <v>308.30990000000003</v>
      </c>
      <c r="AG11159">
        <f>IFERROR(AH11159*0.1, "N/A")</f>
        <v>6</v>
      </c>
      <c r="AH11159">
        <v>60</v>
      </c>
      <c r="AI11159">
        <v>192.19450000000001</v>
      </c>
      <c r="AJ11159">
        <v>20.136990000000001</v>
      </c>
      <c r="AK11159">
        <v>49.726030000000002</v>
      </c>
    </row>
    <row r="11160" spans="1:37" x14ac:dyDescent="0.3">
      <c r="A11160">
        <v>11159</v>
      </c>
      <c r="B11160">
        <v>56</v>
      </c>
      <c r="C11160">
        <v>-4.2166699999999997</v>
      </c>
      <c r="D11160">
        <v>11.283300000000001</v>
      </c>
      <c r="E11160">
        <f>-4.21667-11.2833</f>
        <v>-15.499970000000001</v>
      </c>
      <c r="F11160" t="s">
        <v>16625</v>
      </c>
      <c r="G11160" t="s">
        <v>39</v>
      </c>
      <c r="H11160">
        <v>1980</v>
      </c>
      <c r="I11160">
        <v>27.2</v>
      </c>
      <c r="J11160">
        <v>13.606159999999999</v>
      </c>
      <c r="K11160">
        <v>62</v>
      </c>
      <c r="L11160">
        <v>18.886970000000002</v>
      </c>
      <c r="M11160">
        <v>37.41798</v>
      </c>
      <c r="N11160">
        <v>15.59384</v>
      </c>
      <c r="O11160">
        <v>21.82414</v>
      </c>
      <c r="P11160">
        <v>25.847259999999999</v>
      </c>
      <c r="Q11160">
        <v>25.51182</v>
      </c>
      <c r="R11160">
        <v>30.006160000000001</v>
      </c>
      <c r="S11160">
        <v>25.311810000000001</v>
      </c>
      <c r="T11160">
        <v>1018.692</v>
      </c>
      <c r="U11160">
        <v>270.8202</v>
      </c>
      <c r="V11160">
        <v>1</v>
      </c>
      <c r="W11160">
        <v>103.589</v>
      </c>
      <c r="X11160">
        <v>655.8202</v>
      </c>
      <c r="Y11160">
        <v>5.4109590000000001</v>
      </c>
      <c r="Z11160">
        <v>159.8202</v>
      </c>
      <c r="AA11160">
        <v>10.231159999999999</v>
      </c>
      <c r="AB11160">
        <v>7.9846000000000004</v>
      </c>
      <c r="AC11160">
        <v>3.4836020000000002E-2</v>
      </c>
      <c r="AD11160">
        <v>0.84094539999999995</v>
      </c>
      <c r="AE11160">
        <v>0.39412789999999998</v>
      </c>
      <c r="AF11160">
        <v>356.24829999999997</v>
      </c>
      <c r="AG11160">
        <f>IFERROR(AH11160*0.1, "N/A")</f>
        <v>5.8426369999999999</v>
      </c>
      <c r="AH11160">
        <v>58.426369999999999</v>
      </c>
      <c r="AI11160">
        <v>129.25229999999999</v>
      </c>
      <c r="AJ11160">
        <v>22.955480000000001</v>
      </c>
      <c r="AK11160">
        <v>47.594180000000001</v>
      </c>
    </row>
    <row r="11161" spans="1:37" x14ac:dyDescent="0.3">
      <c r="A11161">
        <v>11160</v>
      </c>
      <c r="B11161">
        <v>0</v>
      </c>
      <c r="C11161">
        <v>-4.2166699999999997</v>
      </c>
      <c r="D11161">
        <v>11.283300000000001</v>
      </c>
      <c r="E11161">
        <f>-4.21667-11.2833</f>
        <v>-15.499970000000001</v>
      </c>
      <c r="F11161" t="s">
        <v>16626</v>
      </c>
      <c r="G11161" t="s">
        <v>37</v>
      </c>
      <c r="H11161">
        <v>1980</v>
      </c>
      <c r="I11161">
        <v>27.2</v>
      </c>
      <c r="J11161">
        <v>13.606159999999999</v>
      </c>
      <c r="K11161">
        <v>62</v>
      </c>
      <c r="L11161">
        <v>18.886970000000002</v>
      </c>
      <c r="M11161">
        <v>37.41798</v>
      </c>
      <c r="N11161">
        <v>15.59384</v>
      </c>
      <c r="O11161">
        <v>21.82414</v>
      </c>
      <c r="P11161">
        <v>25.847259999999999</v>
      </c>
      <c r="Q11161">
        <v>25.51182</v>
      </c>
      <c r="R11161">
        <v>30.006160000000001</v>
      </c>
      <c r="S11161">
        <v>25.311810000000001</v>
      </c>
      <c r="T11161">
        <v>1018.692</v>
      </c>
      <c r="U11161">
        <v>270.8202</v>
      </c>
      <c r="V11161">
        <v>1</v>
      </c>
      <c r="W11161">
        <v>103.589</v>
      </c>
      <c r="X11161">
        <v>655.8202</v>
      </c>
      <c r="Y11161">
        <v>5.4109590000000001</v>
      </c>
      <c r="Z11161">
        <v>159.8202</v>
      </c>
      <c r="AA11161">
        <v>10.231159999999999</v>
      </c>
      <c r="AB11161">
        <v>7.9846000000000004</v>
      </c>
      <c r="AC11161">
        <v>3.4836020000000002E-2</v>
      </c>
      <c r="AD11161">
        <v>0.84094539999999995</v>
      </c>
      <c r="AE11161">
        <v>0.39412789999999998</v>
      </c>
      <c r="AF11161">
        <v>356.24829999999997</v>
      </c>
      <c r="AG11161">
        <f>IFERROR(AH11161*0.1, "N/A")</f>
        <v>5.8426369999999999</v>
      </c>
      <c r="AH11161">
        <v>58.426369999999999</v>
      </c>
      <c r="AI11161">
        <v>129.25229999999999</v>
      </c>
      <c r="AJ11161">
        <v>22.955480000000001</v>
      </c>
      <c r="AK11161">
        <v>47.594180000000001</v>
      </c>
    </row>
    <row r="11162" spans="1:37" x14ac:dyDescent="0.3">
      <c r="A11162">
        <v>11161</v>
      </c>
      <c r="B11162">
        <v>8</v>
      </c>
      <c r="C11162">
        <v>-4.0666700000000002</v>
      </c>
      <c r="D11162">
        <v>11.216699999999999</v>
      </c>
      <c r="E11162">
        <f>-4.06667-11.2167</f>
        <v>-15.28337</v>
      </c>
      <c r="F11162" t="s">
        <v>16627</v>
      </c>
      <c r="G11162" t="s">
        <v>39</v>
      </c>
      <c r="H11162">
        <v>1980</v>
      </c>
      <c r="I11162">
        <v>27.521540000000002</v>
      </c>
      <c r="J11162">
        <v>13.3</v>
      </c>
      <c r="K11162">
        <v>63</v>
      </c>
      <c r="L11162">
        <v>18.104510000000001</v>
      </c>
      <c r="M11162">
        <v>37.611280000000001</v>
      </c>
      <c r="N11162">
        <v>16.62154</v>
      </c>
      <c r="O11162">
        <v>20.989740000000001</v>
      </c>
      <c r="P11162">
        <v>26.07385</v>
      </c>
      <c r="Q11162">
        <v>26.12154</v>
      </c>
      <c r="R11162">
        <v>30.27026</v>
      </c>
      <c r="S11162">
        <v>25.92154</v>
      </c>
      <c r="T11162">
        <v>1000</v>
      </c>
      <c r="U11162">
        <v>263</v>
      </c>
      <c r="V11162">
        <v>2</v>
      </c>
      <c r="W11162">
        <v>103</v>
      </c>
      <c r="X11162">
        <v>639</v>
      </c>
      <c r="Y11162">
        <v>7</v>
      </c>
      <c r="Z11162">
        <v>158</v>
      </c>
      <c r="AA11162">
        <v>12</v>
      </c>
      <c r="AB11162">
        <v>6.9181039999999996</v>
      </c>
      <c r="AC11162">
        <v>3.1199379999999999E-2</v>
      </c>
      <c r="AD11162">
        <v>1.5042720000000001</v>
      </c>
      <c r="AE11162">
        <v>0.50001169999999995</v>
      </c>
      <c r="AF11162">
        <v>312.09570000000002</v>
      </c>
      <c r="AG11162">
        <f>IFERROR(AH11162*0.1, "N/A")</f>
        <v>6.1487180000000006</v>
      </c>
      <c r="AH11162">
        <v>61.487180000000002</v>
      </c>
      <c r="AI11162">
        <v>232.2397</v>
      </c>
      <c r="AJ11162">
        <v>17.025639999999999</v>
      </c>
      <c r="AK11162">
        <v>59.512819999999998</v>
      </c>
    </row>
    <row r="11163" spans="1:37" x14ac:dyDescent="0.3">
      <c r="A11163">
        <v>11162</v>
      </c>
      <c r="B11163">
        <v>0</v>
      </c>
      <c r="C11163">
        <v>-4.0666700000000002</v>
      </c>
      <c r="D11163">
        <v>11.216699999999999</v>
      </c>
      <c r="E11163">
        <f>-4.06667-11.2167</f>
        <v>-15.28337</v>
      </c>
      <c r="F11163" t="s">
        <v>16628</v>
      </c>
      <c r="G11163" t="s">
        <v>37</v>
      </c>
      <c r="H11163">
        <v>1980</v>
      </c>
      <c r="I11163">
        <v>27.521540000000002</v>
      </c>
      <c r="J11163">
        <v>13.3</v>
      </c>
      <c r="K11163">
        <v>63</v>
      </c>
      <c r="L11163">
        <v>18.104510000000001</v>
      </c>
      <c r="M11163">
        <v>37.611280000000001</v>
      </c>
      <c r="N11163">
        <v>16.62154</v>
      </c>
      <c r="O11163">
        <v>20.989740000000001</v>
      </c>
      <c r="P11163">
        <v>26.07385</v>
      </c>
      <c r="Q11163">
        <v>26.12154</v>
      </c>
      <c r="R11163">
        <v>30.27026</v>
      </c>
      <c r="S11163">
        <v>25.92154</v>
      </c>
      <c r="T11163">
        <v>1000</v>
      </c>
      <c r="U11163">
        <v>263</v>
      </c>
      <c r="V11163">
        <v>2</v>
      </c>
      <c r="W11163">
        <v>103</v>
      </c>
      <c r="X11163">
        <v>639</v>
      </c>
      <c r="Y11163">
        <v>7</v>
      </c>
      <c r="Z11163">
        <v>158</v>
      </c>
      <c r="AA11163">
        <v>12</v>
      </c>
      <c r="AB11163">
        <v>6.9181039999999996</v>
      </c>
      <c r="AC11163">
        <v>3.1199379999999999E-2</v>
      </c>
      <c r="AD11163">
        <v>1.5042720000000001</v>
      </c>
      <c r="AE11163">
        <v>0.50001169999999995</v>
      </c>
      <c r="AF11163">
        <v>312.09570000000002</v>
      </c>
      <c r="AG11163">
        <f>IFERROR(AH11163*0.1, "N/A")</f>
        <v>6.1487180000000006</v>
      </c>
      <c r="AH11163">
        <v>61.487180000000002</v>
      </c>
      <c r="AI11163">
        <v>232.2397</v>
      </c>
      <c r="AJ11163">
        <v>17.025639999999999</v>
      </c>
      <c r="AK11163">
        <v>59.512819999999998</v>
      </c>
    </row>
    <row r="11164" spans="1:37" x14ac:dyDescent="0.3">
      <c r="A11164">
        <v>11163</v>
      </c>
      <c r="B11164">
        <v>13</v>
      </c>
      <c r="C11164">
        <v>-3.95</v>
      </c>
      <c r="D11164">
        <v>11.3</v>
      </c>
      <c r="E11164">
        <f>-3.95-11.3</f>
        <v>-15.25</v>
      </c>
      <c r="F11164" t="s">
        <v>16629</v>
      </c>
      <c r="G11164" t="s">
        <v>39</v>
      </c>
      <c r="H11164">
        <v>1980</v>
      </c>
      <c r="I11164">
        <v>27.8</v>
      </c>
      <c r="J11164">
        <v>13.4</v>
      </c>
      <c r="K11164">
        <v>63</v>
      </c>
      <c r="L11164">
        <v>18.233809999999998</v>
      </c>
      <c r="M11164">
        <v>37.9</v>
      </c>
      <c r="N11164">
        <v>16.7</v>
      </c>
      <c r="O11164">
        <v>21.2</v>
      </c>
      <c r="P11164">
        <v>26.4</v>
      </c>
      <c r="Q11164">
        <v>26.3</v>
      </c>
      <c r="R11164">
        <v>30.5</v>
      </c>
      <c r="S11164">
        <v>26.159040000000001</v>
      </c>
      <c r="T11164">
        <v>966.75599999999997</v>
      </c>
      <c r="U11164">
        <v>254.756</v>
      </c>
      <c r="V11164">
        <v>2</v>
      </c>
      <c r="W11164">
        <v>104</v>
      </c>
      <c r="X11164">
        <v>622.75599999999997</v>
      </c>
      <c r="Y11164">
        <v>7</v>
      </c>
      <c r="Z11164">
        <v>147</v>
      </c>
      <c r="AA11164">
        <v>11</v>
      </c>
      <c r="AB11164">
        <v>1.5976159999999999</v>
      </c>
      <c r="AC11164">
        <v>1.8716859999999998E-2</v>
      </c>
      <c r="AD11164">
        <v>1.2605409999999999</v>
      </c>
      <c r="AE11164">
        <v>0.40860750000000001</v>
      </c>
      <c r="AF11164">
        <v>282.26960000000003</v>
      </c>
      <c r="AG11164">
        <f>IFERROR(AH11164*0.1, "N/A")</f>
        <v>5.7411260000000004</v>
      </c>
      <c r="AH11164">
        <v>57.411259999999999</v>
      </c>
      <c r="AI11164">
        <v>252.73660000000001</v>
      </c>
      <c r="AJ11164">
        <v>27</v>
      </c>
      <c r="AK11164">
        <v>41.588740000000001</v>
      </c>
    </row>
    <row r="11165" spans="1:37" x14ac:dyDescent="0.3">
      <c r="A11165">
        <v>11164</v>
      </c>
      <c r="B11165">
        <v>0</v>
      </c>
      <c r="C11165">
        <v>-3.95</v>
      </c>
      <c r="D11165">
        <v>11.3</v>
      </c>
      <c r="E11165">
        <f>-3.95-11.3</f>
        <v>-15.25</v>
      </c>
      <c r="F11165" t="s">
        <v>16630</v>
      </c>
      <c r="G11165" t="s">
        <v>37</v>
      </c>
      <c r="H11165">
        <v>1980</v>
      </c>
      <c r="I11165">
        <v>27.8</v>
      </c>
      <c r="J11165">
        <v>13.4</v>
      </c>
      <c r="K11165">
        <v>63</v>
      </c>
      <c r="L11165">
        <v>18.233809999999998</v>
      </c>
      <c r="M11165">
        <v>37.9</v>
      </c>
      <c r="N11165">
        <v>16.7</v>
      </c>
      <c r="O11165">
        <v>21.2</v>
      </c>
      <c r="P11165">
        <v>26.4</v>
      </c>
      <c r="Q11165">
        <v>26.3</v>
      </c>
      <c r="R11165">
        <v>30.5</v>
      </c>
      <c r="S11165">
        <v>26.159040000000001</v>
      </c>
      <c r="T11165">
        <v>966.75599999999997</v>
      </c>
      <c r="U11165">
        <v>254.756</v>
      </c>
      <c r="V11165">
        <v>2</v>
      </c>
      <c r="W11165">
        <v>104</v>
      </c>
      <c r="X11165">
        <v>622.75599999999997</v>
      </c>
      <c r="Y11165">
        <v>7</v>
      </c>
      <c r="Z11165">
        <v>147</v>
      </c>
      <c r="AA11165">
        <v>11</v>
      </c>
      <c r="AB11165">
        <v>1.5976159999999999</v>
      </c>
      <c r="AC11165">
        <v>1.8716859999999998E-2</v>
      </c>
      <c r="AD11165">
        <v>1.2605409999999999</v>
      </c>
      <c r="AE11165">
        <v>0.40860750000000001</v>
      </c>
      <c r="AF11165">
        <v>282.26960000000003</v>
      </c>
      <c r="AG11165">
        <f>IFERROR(AH11165*0.1, "N/A")</f>
        <v>5.7411260000000004</v>
      </c>
      <c r="AH11165">
        <v>57.411259999999999</v>
      </c>
      <c r="AI11165">
        <v>252.73660000000001</v>
      </c>
      <c r="AJ11165">
        <v>27</v>
      </c>
      <c r="AK11165">
        <v>41.588740000000001</v>
      </c>
    </row>
    <row r="11166" spans="1:37" x14ac:dyDescent="0.3">
      <c r="A11166">
        <v>11165</v>
      </c>
      <c r="B11166">
        <v>0</v>
      </c>
      <c r="C11166">
        <v>-4.1500000000000004</v>
      </c>
      <c r="D11166">
        <v>11.183299999999999</v>
      </c>
      <c r="E11166">
        <f>-4.15-11.1833</f>
        <v>-15.333299999999999</v>
      </c>
      <c r="F11166" t="s">
        <v>16631</v>
      </c>
      <c r="G11166" t="s">
        <v>39</v>
      </c>
      <c r="H11166">
        <v>1980</v>
      </c>
      <c r="I11166">
        <v>27.17915</v>
      </c>
      <c r="J11166">
        <v>13.054869999999999</v>
      </c>
      <c r="K11166">
        <v>63.20684</v>
      </c>
      <c r="L11166">
        <v>17.633379999999999</v>
      </c>
      <c r="M11166">
        <v>37.158459999999998</v>
      </c>
      <c r="N11166">
        <v>16.634360000000001</v>
      </c>
      <c r="O11166">
        <v>20.524100000000001</v>
      </c>
      <c r="P11166">
        <v>25.603590000000001</v>
      </c>
      <c r="Q11166">
        <v>25.934190000000001</v>
      </c>
      <c r="R11166">
        <v>29.858460000000001</v>
      </c>
      <c r="S11166">
        <v>25.603590000000001</v>
      </c>
      <c r="T11166">
        <v>1028.443</v>
      </c>
      <c r="U11166">
        <v>270.96409999999997</v>
      </c>
      <c r="V11166">
        <v>2</v>
      </c>
      <c r="W11166">
        <v>102.3436</v>
      </c>
      <c r="X11166">
        <v>655.92819999999995</v>
      </c>
      <c r="Y11166">
        <v>7</v>
      </c>
      <c r="Z11166">
        <v>164.9641</v>
      </c>
      <c r="AA11166">
        <v>655.92819999999995</v>
      </c>
      <c r="AB11166">
        <v>36.067860000000003</v>
      </c>
      <c r="AC11166">
        <v>1.078345E-2</v>
      </c>
      <c r="AD11166">
        <v>7.6594340000000001</v>
      </c>
      <c r="AE11166">
        <v>0.37284260000000002</v>
      </c>
      <c r="AF11166">
        <v>402.37439999999998</v>
      </c>
      <c r="AG11166">
        <f>IFERROR(AH11166*0.1, "N/A")</f>
        <v>6.9305980000000007</v>
      </c>
      <c r="AH11166">
        <v>69.305980000000005</v>
      </c>
      <c r="AI11166">
        <v>44.911470000000001</v>
      </c>
      <c r="AJ11166">
        <v>18.611969999999999</v>
      </c>
      <c r="AK11166">
        <v>59.776069999999997</v>
      </c>
    </row>
    <row r="11167" spans="1:37" x14ac:dyDescent="0.3">
      <c r="A11167">
        <v>11166</v>
      </c>
      <c r="B11167">
        <v>0</v>
      </c>
      <c r="C11167">
        <v>-4.1500000000000004</v>
      </c>
      <c r="D11167">
        <v>11.183299999999999</v>
      </c>
      <c r="E11167">
        <f>-4.15-11.1833</f>
        <v>-15.333299999999999</v>
      </c>
      <c r="F11167" t="s">
        <v>16632</v>
      </c>
      <c r="G11167" t="s">
        <v>37</v>
      </c>
      <c r="H11167">
        <v>1980</v>
      </c>
      <c r="I11167">
        <v>27.17915</v>
      </c>
      <c r="J11167">
        <v>13.054869999999999</v>
      </c>
      <c r="K11167">
        <v>63.20684</v>
      </c>
      <c r="L11167">
        <v>17.633379999999999</v>
      </c>
      <c r="M11167">
        <v>37.158459999999998</v>
      </c>
      <c r="N11167">
        <v>16.634360000000001</v>
      </c>
      <c r="O11167">
        <v>20.524100000000001</v>
      </c>
      <c r="P11167">
        <v>25.603590000000001</v>
      </c>
      <c r="Q11167">
        <v>25.934190000000001</v>
      </c>
      <c r="R11167">
        <v>29.858460000000001</v>
      </c>
      <c r="S11167">
        <v>25.603590000000001</v>
      </c>
      <c r="T11167">
        <v>1028.443</v>
      </c>
      <c r="U11167">
        <v>270.96409999999997</v>
      </c>
      <c r="V11167">
        <v>2</v>
      </c>
      <c r="W11167">
        <v>102.3436</v>
      </c>
      <c r="X11167">
        <v>655.92819999999995</v>
      </c>
      <c r="Y11167">
        <v>7</v>
      </c>
      <c r="Z11167">
        <v>164.9641</v>
      </c>
      <c r="AA11167">
        <v>655.92819999999995</v>
      </c>
      <c r="AB11167">
        <v>36.067860000000003</v>
      </c>
      <c r="AC11167">
        <v>1.078345E-2</v>
      </c>
      <c r="AD11167">
        <v>7.6594340000000001</v>
      </c>
      <c r="AE11167">
        <v>0.37284260000000002</v>
      </c>
      <c r="AF11167">
        <v>402.37439999999998</v>
      </c>
      <c r="AG11167">
        <f>IFERROR(AH11167*0.1, "N/A")</f>
        <v>6.9305980000000007</v>
      </c>
      <c r="AH11167">
        <v>69.305980000000005</v>
      </c>
      <c r="AI11167">
        <v>44.911470000000001</v>
      </c>
      <c r="AJ11167">
        <v>18.611969999999999</v>
      </c>
      <c r="AK11167">
        <v>59.776069999999997</v>
      </c>
    </row>
    <row r="11168" spans="1:37" x14ac:dyDescent="0.3">
      <c r="A11168">
        <v>11167</v>
      </c>
      <c r="B11168">
        <v>32.6</v>
      </c>
      <c r="C11168">
        <v>-2.4215800000000001</v>
      </c>
      <c r="D11168">
        <v>13.582800000000001</v>
      </c>
      <c r="E11168">
        <f>-2.42158-13.5828</f>
        <v>-16.004380000000001</v>
      </c>
      <c r="F11168" t="s">
        <v>16633</v>
      </c>
      <c r="G11168" t="s">
        <v>39</v>
      </c>
      <c r="H11168">
        <v>1962</v>
      </c>
      <c r="I11168">
        <v>28.7</v>
      </c>
      <c r="J11168">
        <v>14.1</v>
      </c>
      <c r="K11168">
        <v>58</v>
      </c>
      <c r="L11168">
        <v>26.983219999999999</v>
      </c>
      <c r="M11168">
        <v>40.207630000000002</v>
      </c>
      <c r="N11168">
        <v>16.007629999999999</v>
      </c>
      <c r="O11168">
        <v>24.2</v>
      </c>
      <c r="P11168">
        <v>27.9</v>
      </c>
      <c r="Q11168">
        <v>25.4</v>
      </c>
      <c r="R11168">
        <v>32.299999999999997</v>
      </c>
      <c r="S11168">
        <v>25.4</v>
      </c>
      <c r="T11168">
        <v>598.84749999999997</v>
      </c>
      <c r="U11168">
        <v>188</v>
      </c>
      <c r="V11168">
        <v>0</v>
      </c>
      <c r="W11168">
        <v>129</v>
      </c>
      <c r="X11168">
        <v>453.84750000000003</v>
      </c>
      <c r="Y11168">
        <v>0</v>
      </c>
      <c r="Z11168">
        <v>118</v>
      </c>
      <c r="AA11168">
        <v>0</v>
      </c>
      <c r="AB11168">
        <v>1.272373</v>
      </c>
      <c r="AC11168">
        <v>0.38854369999999999</v>
      </c>
      <c r="AD11168">
        <v>0.90901639999999995</v>
      </c>
      <c r="AE11168">
        <v>0.84541960000000005</v>
      </c>
      <c r="AF11168">
        <v>322.77289999999999</v>
      </c>
      <c r="AG11168">
        <f>IFERROR(AH11168*0.1, "N/A")</f>
        <v>6.2044069999999998</v>
      </c>
      <c r="AH11168">
        <v>62.044069999999998</v>
      </c>
      <c r="AI11168">
        <v>217.55779999999999</v>
      </c>
      <c r="AJ11168">
        <v>33.047460000000001</v>
      </c>
      <c r="AK11168">
        <v>46.935589999999998</v>
      </c>
    </row>
    <row r="11169" spans="1:37" x14ac:dyDescent="0.3">
      <c r="A11169">
        <v>11168</v>
      </c>
      <c r="B11169">
        <v>19.100000000000001</v>
      </c>
      <c r="C11169">
        <v>-3.4500000000000003E-2</v>
      </c>
      <c r="D11169">
        <v>14.035399999999999</v>
      </c>
      <c r="E11169">
        <f>-0.0345-14.0354</f>
        <v>-14.069899999999999</v>
      </c>
      <c r="F11169" t="s">
        <v>16634</v>
      </c>
      <c r="G11169" t="s">
        <v>39</v>
      </c>
      <c r="H11169">
        <v>1962</v>
      </c>
      <c r="I11169">
        <v>29.1</v>
      </c>
      <c r="J11169">
        <v>15.3</v>
      </c>
      <c r="K11169">
        <v>56</v>
      </c>
      <c r="L11169">
        <v>31.98</v>
      </c>
      <c r="M11169">
        <v>41.1</v>
      </c>
      <c r="N11169">
        <v>14.1</v>
      </c>
      <c r="O11169">
        <v>27</v>
      </c>
      <c r="P11169">
        <v>29.1</v>
      </c>
      <c r="Q11169">
        <v>25</v>
      </c>
      <c r="R11169">
        <v>33.1</v>
      </c>
      <c r="S11169">
        <v>24.6</v>
      </c>
      <c r="T11169">
        <v>471</v>
      </c>
      <c r="U11169">
        <v>164</v>
      </c>
      <c r="V11169">
        <v>0</v>
      </c>
      <c r="W11169">
        <v>134</v>
      </c>
      <c r="X11169">
        <v>363</v>
      </c>
      <c r="Y11169">
        <v>0</v>
      </c>
      <c r="Z11169">
        <v>94</v>
      </c>
      <c r="AA11169">
        <v>0</v>
      </c>
      <c r="AB11169">
        <v>4.9230169999999998</v>
      </c>
      <c r="AC11169">
        <v>8.8108569999999997E-2</v>
      </c>
      <c r="AD11169">
        <v>1.409734</v>
      </c>
      <c r="AE11169">
        <v>0.60745850000000001</v>
      </c>
      <c r="AF11169">
        <v>278.52440000000001</v>
      </c>
      <c r="AG11169">
        <f>IFERROR(AH11169*0.1, "N/A")</f>
        <v>6.881513</v>
      </c>
      <c r="AH11169">
        <v>68.815129999999996</v>
      </c>
      <c r="AI11169">
        <v>113.9937</v>
      </c>
      <c r="AJ11169">
        <v>28.90756</v>
      </c>
      <c r="AK11169">
        <v>52.092440000000003</v>
      </c>
    </row>
    <row r="11170" spans="1:37" x14ac:dyDescent="0.3">
      <c r="A11170">
        <v>11169</v>
      </c>
      <c r="B11170">
        <v>50.7</v>
      </c>
      <c r="C11170">
        <v>-3.4666700000000001</v>
      </c>
      <c r="D11170">
        <v>12.466699999999999</v>
      </c>
      <c r="E11170">
        <f>-3.46667-12.4667</f>
        <v>-15.93337</v>
      </c>
      <c r="F11170" t="s">
        <v>16635</v>
      </c>
      <c r="G11170" t="s">
        <v>39</v>
      </c>
      <c r="H11170">
        <v>1962</v>
      </c>
      <c r="I11170">
        <v>28.567060000000001</v>
      </c>
      <c r="J11170">
        <v>13.15535</v>
      </c>
      <c r="K11170">
        <v>61</v>
      </c>
      <c r="L11170">
        <v>21.764700000000001</v>
      </c>
      <c r="M11170">
        <v>39.467059999999996</v>
      </c>
      <c r="N11170">
        <v>18.21171</v>
      </c>
      <c r="O11170">
        <v>21.25535</v>
      </c>
      <c r="P11170">
        <v>26.741769999999999</v>
      </c>
      <c r="Q11170">
        <v>26.767060000000001</v>
      </c>
      <c r="R11170">
        <v>31.822410000000001</v>
      </c>
      <c r="S11170">
        <v>26.741769999999999</v>
      </c>
      <c r="T11170">
        <v>800.71820000000002</v>
      </c>
      <c r="U11170">
        <v>231.5823</v>
      </c>
      <c r="V11170">
        <v>0</v>
      </c>
      <c r="W11170">
        <v>115.5823</v>
      </c>
      <c r="X11170">
        <v>554.9117</v>
      </c>
      <c r="Y11170">
        <v>3</v>
      </c>
      <c r="Z11170">
        <v>95.806449999999998</v>
      </c>
      <c r="AA11170">
        <v>249.2852</v>
      </c>
      <c r="AB11170">
        <v>6.339906</v>
      </c>
      <c r="AC11170">
        <v>6.5752989999999997E-2</v>
      </c>
      <c r="AD11170">
        <v>2.5685220000000002</v>
      </c>
      <c r="AE11170">
        <v>0.71952099999999997</v>
      </c>
      <c r="AF11170">
        <v>301.56880000000001</v>
      </c>
      <c r="AG11170">
        <f>IFERROR(AH11170*0.1, "N/A")</f>
        <v>5.9993210000000001</v>
      </c>
      <c r="AH11170">
        <v>59.993209999999998</v>
      </c>
      <c r="AI11170">
        <v>173.17449999999999</v>
      </c>
      <c r="AJ11170">
        <v>42.893039999999999</v>
      </c>
      <c r="AK11170">
        <v>34.11036</v>
      </c>
    </row>
    <row r="11171" spans="1:37" x14ac:dyDescent="0.3">
      <c r="A11171">
        <v>11170</v>
      </c>
      <c r="B11171">
        <v>6.6</v>
      </c>
      <c r="C11171">
        <v>-3.0693999999999999</v>
      </c>
      <c r="D11171">
        <v>13.0725</v>
      </c>
      <c r="E11171">
        <f>-3.0694-13.0725</f>
        <v>-16.1419</v>
      </c>
      <c r="F11171" t="s">
        <v>16636</v>
      </c>
      <c r="G11171" t="s">
        <v>39</v>
      </c>
      <c r="H11171">
        <v>1962</v>
      </c>
      <c r="I11171">
        <v>28.8</v>
      </c>
      <c r="J11171">
        <v>13</v>
      </c>
      <c r="K11171">
        <v>60</v>
      </c>
      <c r="L11171">
        <v>23.31</v>
      </c>
      <c r="M11171">
        <v>39.799999999999997</v>
      </c>
      <c r="N11171">
        <v>18.399999999999999</v>
      </c>
      <c r="O11171">
        <v>21.4</v>
      </c>
      <c r="P11171">
        <v>27</v>
      </c>
      <c r="Q11171">
        <v>26.6</v>
      </c>
      <c r="R11171">
        <v>32.1</v>
      </c>
      <c r="S11171">
        <v>26.6</v>
      </c>
      <c r="T11171">
        <v>660</v>
      </c>
      <c r="U11171">
        <v>200</v>
      </c>
      <c r="V11171">
        <v>0</v>
      </c>
      <c r="W11171">
        <v>121</v>
      </c>
      <c r="X11171">
        <v>478</v>
      </c>
      <c r="Y11171">
        <v>2</v>
      </c>
      <c r="Z11171">
        <v>59</v>
      </c>
      <c r="AA11171">
        <v>2</v>
      </c>
      <c r="AB11171">
        <v>1.959827</v>
      </c>
      <c r="AC11171">
        <v>0.29634840000000001</v>
      </c>
      <c r="AD11171">
        <v>1.16567</v>
      </c>
      <c r="AE11171">
        <v>0.58952059999999995</v>
      </c>
      <c r="AF11171">
        <v>295.38979999999998</v>
      </c>
      <c r="AG11171">
        <f>IFERROR(AH11171*0.1, "N/A")</f>
        <v>5.8322029999999998</v>
      </c>
      <c r="AH11171">
        <v>58.322029999999998</v>
      </c>
      <c r="AI11171">
        <v>209.98990000000001</v>
      </c>
      <c r="AJ11171">
        <v>40.013559999999998</v>
      </c>
      <c r="AK11171">
        <v>39.698309999999999</v>
      </c>
    </row>
    <row r="11172" spans="1:37" x14ac:dyDescent="0.3">
      <c r="A11172">
        <v>11171</v>
      </c>
      <c r="B11172">
        <v>10.4</v>
      </c>
      <c r="C11172">
        <v>-1.5247200000000001</v>
      </c>
      <c r="D11172">
        <v>12.3703</v>
      </c>
      <c r="E11172">
        <f>-1.52472-12.3703</f>
        <v>-13.895020000000001</v>
      </c>
      <c r="F11172" t="s">
        <v>16637</v>
      </c>
      <c r="G11172" t="s">
        <v>39</v>
      </c>
      <c r="H11172">
        <v>1962</v>
      </c>
      <c r="I11172">
        <v>28.2</v>
      </c>
      <c r="J11172">
        <v>13.4</v>
      </c>
      <c r="K11172">
        <v>58</v>
      </c>
      <c r="L11172">
        <v>23.236889999999999</v>
      </c>
      <c r="M11172">
        <v>39.1</v>
      </c>
      <c r="N11172">
        <v>16.100000000000001</v>
      </c>
      <c r="O11172">
        <v>23</v>
      </c>
      <c r="P11172">
        <v>26.8</v>
      </c>
      <c r="Q11172">
        <v>25.705459999999999</v>
      </c>
      <c r="R11172">
        <v>31.494540000000001</v>
      </c>
      <c r="S11172">
        <v>25.705459999999999</v>
      </c>
      <c r="T11172">
        <v>788</v>
      </c>
      <c r="U11172">
        <v>227</v>
      </c>
      <c r="V11172">
        <v>0</v>
      </c>
      <c r="W11172">
        <v>115</v>
      </c>
      <c r="X11172">
        <v>542</v>
      </c>
      <c r="Y11172">
        <v>2</v>
      </c>
      <c r="Z11172">
        <v>98.945390000000003</v>
      </c>
      <c r="AA11172">
        <v>2</v>
      </c>
      <c r="AB11172">
        <v>7.8977870000000001</v>
      </c>
      <c r="AC11172">
        <v>1.367027E-2</v>
      </c>
      <c r="AD11172">
        <v>1.1788240000000001</v>
      </c>
      <c r="AE11172">
        <v>0.92921580000000004</v>
      </c>
      <c r="AF11172">
        <v>301.03579999999999</v>
      </c>
      <c r="AG11172">
        <f>IFERROR(AH11172*0.1, "N/A")</f>
        <v>5.3771330000000006</v>
      </c>
      <c r="AH11172">
        <v>53.771329999999999</v>
      </c>
      <c r="AI11172">
        <v>44.973100000000002</v>
      </c>
      <c r="AJ11172">
        <v>31.747440000000001</v>
      </c>
      <c r="AK11172">
        <v>46.938569999999999</v>
      </c>
    </row>
    <row r="11173" spans="1:37" x14ac:dyDescent="0.3">
      <c r="A11173">
        <v>11172</v>
      </c>
      <c r="B11173">
        <v>64</v>
      </c>
      <c r="C11173">
        <v>-1.22722</v>
      </c>
      <c r="D11173">
        <v>12.0425</v>
      </c>
      <c r="E11173">
        <f>-1.22722-12.0425</f>
        <v>-13.26972</v>
      </c>
      <c r="F11173" t="s">
        <v>16638</v>
      </c>
      <c r="G11173" t="s">
        <v>39</v>
      </c>
      <c r="H11173">
        <v>1962</v>
      </c>
      <c r="I11173">
        <v>28.1</v>
      </c>
      <c r="J11173">
        <v>13.2</v>
      </c>
      <c r="K11173">
        <v>60</v>
      </c>
      <c r="L11173">
        <v>21.156659999999999</v>
      </c>
      <c r="M11173">
        <v>38.799999999999997</v>
      </c>
      <c r="N11173">
        <v>17</v>
      </c>
      <c r="O11173">
        <v>21.8</v>
      </c>
      <c r="P11173">
        <v>26.5</v>
      </c>
      <c r="Q11173">
        <v>26.2</v>
      </c>
      <c r="R11173">
        <v>31.2</v>
      </c>
      <c r="S11173">
        <v>26.2</v>
      </c>
      <c r="T11173">
        <v>791.05799999999999</v>
      </c>
      <c r="U11173">
        <v>232</v>
      </c>
      <c r="V11173">
        <v>0</v>
      </c>
      <c r="W11173">
        <v>114.884</v>
      </c>
      <c r="X11173">
        <v>539</v>
      </c>
      <c r="Y11173">
        <v>3</v>
      </c>
      <c r="Z11173">
        <v>102.05800000000001</v>
      </c>
      <c r="AA11173">
        <v>4</v>
      </c>
      <c r="AB11173">
        <v>8.1989850000000004</v>
      </c>
      <c r="AC11173">
        <v>1.9923779999999999E-2</v>
      </c>
      <c r="AD11173">
        <v>1.0970549999999999</v>
      </c>
      <c r="AE11173">
        <v>0.46551330000000002</v>
      </c>
      <c r="AF11173">
        <v>285.56310000000002</v>
      </c>
      <c r="AG11173">
        <f>IFERROR(AH11173*0.1, "N/A")</f>
        <v>6.1000000000000005</v>
      </c>
      <c r="AH11173">
        <v>61</v>
      </c>
      <c r="AI11173">
        <v>197.3784</v>
      </c>
      <c r="AJ11173">
        <v>22.854949999999999</v>
      </c>
      <c r="AK11173">
        <v>51.406140000000001</v>
      </c>
    </row>
    <row r="11174" spans="1:37" x14ac:dyDescent="0.3">
      <c r="A11174">
        <v>11173</v>
      </c>
      <c r="B11174">
        <v>54</v>
      </c>
      <c r="C11174">
        <v>-1.10833</v>
      </c>
      <c r="D11174">
        <v>11.848599999999999</v>
      </c>
      <c r="E11174">
        <f>-1.10833-11.8486</f>
        <v>-12.95693</v>
      </c>
      <c r="F11174" t="s">
        <v>16639</v>
      </c>
      <c r="G11174" t="s">
        <v>39</v>
      </c>
      <c r="H11174">
        <v>1962</v>
      </c>
      <c r="I11174">
        <v>28</v>
      </c>
      <c r="J11174">
        <v>13</v>
      </c>
      <c r="K11174">
        <v>61</v>
      </c>
      <c r="L11174">
        <v>20.052820000000001</v>
      </c>
      <c r="M11174">
        <v>38.567059999999998</v>
      </c>
      <c r="N11174">
        <v>17.5</v>
      </c>
      <c r="O11174">
        <v>21.067070000000001</v>
      </c>
      <c r="P11174">
        <v>26.267060000000001</v>
      </c>
      <c r="Q11174">
        <v>26.4</v>
      </c>
      <c r="R11174">
        <v>31.067070000000001</v>
      </c>
      <c r="S11174">
        <v>26.267060000000001</v>
      </c>
      <c r="T11174">
        <v>807.32939999999996</v>
      </c>
      <c r="U11174">
        <v>230.32939999999999</v>
      </c>
      <c r="V11174">
        <v>0</v>
      </c>
      <c r="W11174">
        <v>110.32940000000001</v>
      </c>
      <c r="X11174">
        <v>542.32939999999996</v>
      </c>
      <c r="Y11174">
        <v>4</v>
      </c>
      <c r="Z11174">
        <v>113</v>
      </c>
      <c r="AA11174">
        <v>542.32939999999996</v>
      </c>
      <c r="AB11174">
        <v>12.645720000000001</v>
      </c>
      <c r="AC11174">
        <v>1.653862E-2</v>
      </c>
      <c r="AD11174">
        <v>1.241549</v>
      </c>
      <c r="AE11174">
        <v>0.68758640000000004</v>
      </c>
      <c r="AF11174">
        <v>285.16890000000001</v>
      </c>
      <c r="AG11174">
        <f>IFERROR(AH11174*0.1, "N/A")</f>
        <v>6.2506830000000004</v>
      </c>
      <c r="AH11174">
        <v>62.506830000000001</v>
      </c>
      <c r="AI11174">
        <v>84.483069999999998</v>
      </c>
      <c r="AJ11174">
        <v>22.670649999999998</v>
      </c>
      <c r="AK11174">
        <v>53.723550000000003</v>
      </c>
    </row>
    <row r="11175" spans="1:37" x14ac:dyDescent="0.3">
      <c r="A11175">
        <v>11174</v>
      </c>
      <c r="B11175">
        <v>52</v>
      </c>
      <c r="C11175">
        <v>-1.0944400000000001</v>
      </c>
      <c r="D11175">
        <v>11.754200000000001</v>
      </c>
      <c r="E11175">
        <f>-1.09444-11.7542</f>
        <v>-12.848640000000001</v>
      </c>
      <c r="F11175" t="s">
        <v>16640</v>
      </c>
      <c r="G11175" t="s">
        <v>39</v>
      </c>
      <c r="H11175">
        <v>1962</v>
      </c>
      <c r="I11175">
        <v>27.8</v>
      </c>
      <c r="J11175">
        <v>12.9</v>
      </c>
      <c r="K11175">
        <v>62</v>
      </c>
      <c r="L11175">
        <v>19.54</v>
      </c>
      <c r="M11175">
        <v>38.299999999999997</v>
      </c>
      <c r="N11175">
        <v>17.5</v>
      </c>
      <c r="O11175">
        <v>20.8</v>
      </c>
      <c r="P11175">
        <v>26.1</v>
      </c>
      <c r="Q11175">
        <v>26.5</v>
      </c>
      <c r="R11175">
        <v>30.8</v>
      </c>
      <c r="S11175">
        <v>26.1</v>
      </c>
      <c r="T11175">
        <v>827</v>
      </c>
      <c r="U11175">
        <v>231</v>
      </c>
      <c r="V11175">
        <v>1</v>
      </c>
      <c r="W11175">
        <v>109</v>
      </c>
      <c r="X11175">
        <v>550</v>
      </c>
      <c r="Y11175">
        <v>6</v>
      </c>
      <c r="Z11175">
        <v>121</v>
      </c>
      <c r="AA11175">
        <v>550</v>
      </c>
      <c r="AB11175">
        <v>5.3461619999999996</v>
      </c>
      <c r="AC11175">
        <v>2.1308179999999999E-2</v>
      </c>
      <c r="AD11175">
        <v>1.0190539999999999</v>
      </c>
      <c r="AE11175">
        <v>0.71585710000000002</v>
      </c>
      <c r="AF11175">
        <v>307.3578</v>
      </c>
      <c r="AG11175">
        <f>IFERROR(AH11175*0.1, "N/A")</f>
        <v>6.2304940000000002</v>
      </c>
      <c r="AH11175">
        <v>62.304940000000002</v>
      </c>
      <c r="AI11175">
        <v>68.370819999999995</v>
      </c>
      <c r="AJ11175">
        <v>16.427600000000002</v>
      </c>
      <c r="AK11175">
        <v>61.229979999999998</v>
      </c>
    </row>
    <row r="11176" spans="1:37" x14ac:dyDescent="0.3">
      <c r="A11176">
        <v>11175</v>
      </c>
      <c r="B11176">
        <v>36</v>
      </c>
      <c r="C11176">
        <v>-1.35944</v>
      </c>
      <c r="D11176">
        <v>11.902799999999999</v>
      </c>
      <c r="E11176">
        <f>-1.35944-11.9028</f>
        <v>-13.262239999999998</v>
      </c>
      <c r="F11176" t="s">
        <v>16641</v>
      </c>
      <c r="G11176" t="s">
        <v>39</v>
      </c>
      <c r="H11176">
        <v>1962</v>
      </c>
      <c r="I11176">
        <v>27.7</v>
      </c>
      <c r="J11176">
        <v>13.2</v>
      </c>
      <c r="K11176">
        <v>60</v>
      </c>
      <c r="L11176">
        <v>20.75</v>
      </c>
      <c r="M11176">
        <v>38.4</v>
      </c>
      <c r="N11176">
        <v>16.7</v>
      </c>
      <c r="O11176">
        <v>21.7</v>
      </c>
      <c r="P11176">
        <v>26</v>
      </c>
      <c r="Q11176">
        <v>25.9</v>
      </c>
      <c r="R11176">
        <v>30.8</v>
      </c>
      <c r="S11176">
        <v>25.9</v>
      </c>
      <c r="T11176">
        <v>813</v>
      </c>
      <c r="U11176">
        <v>236</v>
      </c>
      <c r="V11176">
        <v>0</v>
      </c>
      <c r="W11176">
        <v>112</v>
      </c>
      <c r="X11176">
        <v>547</v>
      </c>
      <c r="Y11176">
        <v>5</v>
      </c>
      <c r="Z11176">
        <v>111</v>
      </c>
      <c r="AA11176">
        <v>5</v>
      </c>
      <c r="AB11176">
        <v>11.668150000000001</v>
      </c>
      <c r="AC11176">
        <v>1.7048859999999999E-2</v>
      </c>
      <c r="AD11176">
        <v>1.001328</v>
      </c>
      <c r="AE11176">
        <v>0.71265880000000004</v>
      </c>
      <c r="AF11176">
        <v>332.73590000000002</v>
      </c>
      <c r="AG11176">
        <f>IFERROR(AH11176*0.1, "N/A")</f>
        <v>6.1018740000000005</v>
      </c>
      <c r="AH11176">
        <v>61.018740000000001</v>
      </c>
      <c r="AI11176">
        <v>99.048969999999997</v>
      </c>
      <c r="AJ11176">
        <v>16.05622</v>
      </c>
      <c r="AK11176">
        <v>59</v>
      </c>
    </row>
    <row r="11177" spans="1:37" x14ac:dyDescent="0.3">
      <c r="A11177">
        <v>11176</v>
      </c>
      <c r="B11177">
        <v>34</v>
      </c>
      <c r="C11177">
        <v>-1.3833299999999999</v>
      </c>
      <c r="D11177">
        <v>11.9833</v>
      </c>
      <c r="E11177">
        <f>-1.38333-11.9833</f>
        <v>-13.366630000000001</v>
      </c>
      <c r="F11177" t="s">
        <v>16642</v>
      </c>
      <c r="G11177" t="s">
        <v>39</v>
      </c>
      <c r="H11177">
        <v>1962</v>
      </c>
      <c r="I11177">
        <v>27.7</v>
      </c>
      <c r="J11177">
        <v>13.2</v>
      </c>
      <c r="K11177">
        <v>60</v>
      </c>
      <c r="L11177">
        <v>21.060169999999999</v>
      </c>
      <c r="M11177">
        <v>38.42109</v>
      </c>
      <c r="N11177">
        <v>16.5</v>
      </c>
      <c r="O11177">
        <v>21.92109</v>
      </c>
      <c r="P11177">
        <v>26.06344</v>
      </c>
      <c r="Q11177">
        <v>25.7</v>
      </c>
      <c r="R11177">
        <v>30.8</v>
      </c>
      <c r="S11177">
        <v>25.7</v>
      </c>
      <c r="T11177">
        <v>810.82820000000004</v>
      </c>
      <c r="U11177">
        <v>235</v>
      </c>
      <c r="V11177">
        <v>0</v>
      </c>
      <c r="W11177">
        <v>112</v>
      </c>
      <c r="X11177">
        <v>546.78909999999996</v>
      </c>
      <c r="Y11177">
        <v>5</v>
      </c>
      <c r="Z11177">
        <v>107.0391</v>
      </c>
      <c r="AA11177">
        <v>5</v>
      </c>
      <c r="AB11177">
        <v>6.6901440000000001</v>
      </c>
      <c r="AC11177">
        <v>1.4112700000000001E-2</v>
      </c>
      <c r="AD11177">
        <v>0.9540807</v>
      </c>
      <c r="AE11177">
        <v>0.71249479999999998</v>
      </c>
      <c r="AF11177">
        <v>342.6037</v>
      </c>
      <c r="AG11177">
        <f>IFERROR(AH11177*0.1, "N/A")</f>
        <v>5.8464290000000005</v>
      </c>
      <c r="AH11177">
        <v>58.464289999999998</v>
      </c>
      <c r="AI11177">
        <v>225.26570000000001</v>
      </c>
      <c r="AJ11177">
        <v>14.0068</v>
      </c>
      <c r="AK11177">
        <v>65.98639</v>
      </c>
    </row>
    <row r="11178" spans="1:37" x14ac:dyDescent="0.3">
      <c r="A11178">
        <v>11177</v>
      </c>
      <c r="B11178">
        <v>36</v>
      </c>
      <c r="C11178">
        <v>-1.40028</v>
      </c>
      <c r="D11178">
        <v>12.0572</v>
      </c>
      <c r="E11178">
        <f>-1.40028-12.0572</f>
        <v>-13.45748</v>
      </c>
      <c r="F11178" t="s">
        <v>16643</v>
      </c>
      <c r="G11178" t="s">
        <v>39</v>
      </c>
      <c r="H11178">
        <v>1962</v>
      </c>
      <c r="I11178">
        <v>27.8</v>
      </c>
      <c r="J11178">
        <v>13.29829</v>
      </c>
      <c r="K11178">
        <v>59</v>
      </c>
      <c r="L11178">
        <v>21.88607</v>
      </c>
      <c r="M11178">
        <v>38.796590000000002</v>
      </c>
      <c r="N11178">
        <v>16.399999999999999</v>
      </c>
      <c r="O11178">
        <v>22.39659</v>
      </c>
      <c r="P11178">
        <v>26.298290000000001</v>
      </c>
      <c r="Q11178">
        <v>25.8</v>
      </c>
      <c r="R11178">
        <v>31</v>
      </c>
      <c r="S11178">
        <v>25.7</v>
      </c>
      <c r="T11178">
        <v>799.01710000000003</v>
      </c>
      <c r="U11178">
        <v>232.0171</v>
      </c>
      <c r="V11178">
        <v>0</v>
      </c>
      <c r="W11178">
        <v>113</v>
      </c>
      <c r="X11178">
        <v>542.01710000000003</v>
      </c>
      <c r="Y11178">
        <v>3</v>
      </c>
      <c r="Z11178">
        <v>103</v>
      </c>
      <c r="AA11178">
        <v>4</v>
      </c>
      <c r="AB11178">
        <v>6.89879</v>
      </c>
      <c r="AC11178">
        <v>3.1938950000000001E-2</v>
      </c>
      <c r="AD11178">
        <v>0.93570629999999999</v>
      </c>
      <c r="AE11178">
        <v>0.70083450000000003</v>
      </c>
      <c r="AF11178">
        <v>320.34980000000002</v>
      </c>
      <c r="AG11178">
        <f>IFERROR(AH11178*0.1, "N/A")</f>
        <v>6.2360070000000007</v>
      </c>
      <c r="AH11178">
        <v>62.36007</v>
      </c>
      <c r="AI11178">
        <v>140.8552</v>
      </c>
      <c r="AJ11178">
        <v>14.844709999999999</v>
      </c>
      <c r="AK11178">
        <v>62.023890000000002</v>
      </c>
    </row>
    <row r="11179" spans="1:37" x14ac:dyDescent="0.3">
      <c r="A11179">
        <v>11178</v>
      </c>
      <c r="B11179">
        <v>93</v>
      </c>
      <c r="C11179">
        <v>-0.87180000000000002</v>
      </c>
      <c r="D11179">
        <v>14.2265</v>
      </c>
      <c r="E11179">
        <f>-0.8718-14.2265</f>
        <v>-15.0983</v>
      </c>
      <c r="F11179" t="s">
        <v>16644</v>
      </c>
      <c r="G11179" t="s">
        <v>39</v>
      </c>
      <c r="H11179">
        <v>1962</v>
      </c>
      <c r="I11179">
        <v>28.4</v>
      </c>
      <c r="J11179">
        <v>14.4</v>
      </c>
      <c r="K11179">
        <v>58</v>
      </c>
      <c r="L11179">
        <v>27.59</v>
      </c>
      <c r="M11179">
        <v>39.700000000000003</v>
      </c>
      <c r="N11179">
        <v>15.2</v>
      </c>
      <c r="O11179">
        <v>24.5</v>
      </c>
      <c r="P11179">
        <v>27.9</v>
      </c>
      <c r="Q11179">
        <v>25.2</v>
      </c>
      <c r="R11179">
        <v>32</v>
      </c>
      <c r="S11179">
        <v>24.6</v>
      </c>
      <c r="T11179">
        <v>440</v>
      </c>
      <c r="U11179">
        <v>156</v>
      </c>
      <c r="V11179">
        <v>0</v>
      </c>
      <c r="W11179">
        <v>136</v>
      </c>
      <c r="X11179">
        <v>342</v>
      </c>
      <c r="Y11179">
        <v>0</v>
      </c>
      <c r="Z11179">
        <v>78</v>
      </c>
      <c r="AA11179">
        <v>0</v>
      </c>
      <c r="AB11179">
        <v>2.6938110000000002</v>
      </c>
      <c r="AC11179">
        <v>0.20068720000000001</v>
      </c>
      <c r="AD11179">
        <v>3.008362</v>
      </c>
      <c r="AE11179">
        <v>0.41841400000000001</v>
      </c>
      <c r="AF11179">
        <v>329.2328</v>
      </c>
      <c r="AG11179">
        <f>IFERROR(AH11179*0.1, "N/A")</f>
        <v>6.2</v>
      </c>
      <c r="AH11179">
        <v>62</v>
      </c>
      <c r="AI11179">
        <v>144.23949999999999</v>
      </c>
      <c r="AJ11179">
        <v>13.41709</v>
      </c>
      <c r="AK11179">
        <v>74.16583</v>
      </c>
    </row>
    <row r="11180" spans="1:37" x14ac:dyDescent="0.3">
      <c r="A11180">
        <v>11179</v>
      </c>
      <c r="B11180">
        <v>58.2</v>
      </c>
      <c r="C11180">
        <v>0.52617800000000003</v>
      </c>
      <c r="D11180">
        <v>13.4412</v>
      </c>
      <c r="E11180" t="s">
        <v>16645</v>
      </c>
      <c r="F11180" t="s">
        <v>16646</v>
      </c>
      <c r="G11180" t="s">
        <v>39</v>
      </c>
      <c r="H11180">
        <v>1962</v>
      </c>
      <c r="I11180">
        <v>28.7</v>
      </c>
      <c r="J11180">
        <v>14.6</v>
      </c>
      <c r="K11180">
        <v>58</v>
      </c>
      <c r="L11180">
        <v>26.558319999999998</v>
      </c>
      <c r="M11180">
        <v>40.172249999999998</v>
      </c>
      <c r="N11180">
        <v>15.372249999999999</v>
      </c>
      <c r="O11180">
        <v>24.8</v>
      </c>
      <c r="P11180">
        <v>27.972249999999999</v>
      </c>
      <c r="Q11180">
        <v>25.27225</v>
      </c>
      <c r="R11180">
        <v>32.200000000000003</v>
      </c>
      <c r="S11180">
        <v>25.27225</v>
      </c>
      <c r="T11180">
        <v>532.44500000000005</v>
      </c>
      <c r="U11180">
        <v>169</v>
      </c>
      <c r="V11180">
        <v>0</v>
      </c>
      <c r="W11180">
        <v>128</v>
      </c>
      <c r="X11180">
        <v>397</v>
      </c>
      <c r="Y11180">
        <v>0</v>
      </c>
      <c r="Z11180">
        <v>116.7225</v>
      </c>
      <c r="AA11180">
        <v>0</v>
      </c>
      <c r="AB11180">
        <v>3.2766489999999999</v>
      </c>
      <c r="AC11180">
        <v>1.102059E-2</v>
      </c>
      <c r="AD11180">
        <v>1.254065</v>
      </c>
      <c r="AE11180">
        <v>0.38364690000000001</v>
      </c>
      <c r="AF11180">
        <v>251.7783</v>
      </c>
      <c r="AG11180">
        <f>IFERROR(AH11180*0.1, "N/A")</f>
        <v>6.7</v>
      </c>
      <c r="AH11180">
        <v>67</v>
      </c>
      <c r="AI11180">
        <v>200.97710000000001</v>
      </c>
      <c r="AJ11180">
        <v>28.901859999999999</v>
      </c>
      <c r="AK11180">
        <v>54.04907</v>
      </c>
    </row>
    <row r="11181" spans="1:37" x14ac:dyDescent="0.3">
      <c r="A11181">
        <v>11180</v>
      </c>
      <c r="B11181">
        <v>38</v>
      </c>
      <c r="C11181">
        <v>-0.76666999999999996</v>
      </c>
      <c r="D11181">
        <v>11.7667</v>
      </c>
      <c r="E11181">
        <f>-0.76667-11.7667</f>
        <v>-12.53337</v>
      </c>
      <c r="F11181" t="s">
        <v>16647</v>
      </c>
      <c r="G11181" t="s">
        <v>39</v>
      </c>
      <c r="H11181">
        <v>1962</v>
      </c>
      <c r="I11181">
        <v>28.31446</v>
      </c>
      <c r="J11181">
        <v>12.9</v>
      </c>
      <c r="K11181">
        <v>62</v>
      </c>
      <c r="L11181">
        <v>20.089300000000001</v>
      </c>
      <c r="M11181">
        <v>38.9</v>
      </c>
      <c r="N11181">
        <v>18.31446</v>
      </c>
      <c r="O11181">
        <v>20.585540000000002</v>
      </c>
      <c r="P11181">
        <v>26.4</v>
      </c>
      <c r="Q11181">
        <v>26.928909999999998</v>
      </c>
      <c r="R11181">
        <v>31.378740000000001</v>
      </c>
      <c r="S11181">
        <v>26.4</v>
      </c>
      <c r="T11181">
        <v>788.88779999999997</v>
      </c>
      <c r="U11181">
        <v>226.2483</v>
      </c>
      <c r="V11181">
        <v>1</v>
      </c>
      <c r="W11181">
        <v>112</v>
      </c>
      <c r="X11181">
        <v>537.06799999999998</v>
      </c>
      <c r="Y11181">
        <v>5</v>
      </c>
      <c r="Z11181">
        <v>101.8197</v>
      </c>
      <c r="AA11181">
        <v>537.06799999999998</v>
      </c>
      <c r="AB11181">
        <v>11.97415</v>
      </c>
      <c r="AC11181">
        <v>1.060703E-2</v>
      </c>
      <c r="AD11181">
        <v>0.80026439999999999</v>
      </c>
      <c r="AE11181">
        <v>0.66992759999999996</v>
      </c>
      <c r="AF11181">
        <v>249.53909999999999</v>
      </c>
      <c r="AG11181">
        <f>IFERROR(AH11181*0.1, "N/A")</f>
        <v>6.1751700000000005</v>
      </c>
      <c r="AH11181">
        <v>61.7517</v>
      </c>
      <c r="AI11181">
        <v>93.620130000000003</v>
      </c>
      <c r="AJ11181">
        <v>28</v>
      </c>
      <c r="AK11181">
        <v>49.06803</v>
      </c>
    </row>
    <row r="11182" spans="1:37" x14ac:dyDescent="0.3">
      <c r="A11182">
        <v>11181</v>
      </c>
      <c r="B11182">
        <v>34</v>
      </c>
      <c r="C11182">
        <v>-0.73389000000000004</v>
      </c>
      <c r="D11182">
        <v>11.780799999999999</v>
      </c>
      <c r="E11182">
        <f>-0.73389-11.7808</f>
        <v>-12.51469</v>
      </c>
      <c r="F11182" t="s">
        <v>16648</v>
      </c>
      <c r="G11182" t="s">
        <v>39</v>
      </c>
      <c r="H11182">
        <v>1962</v>
      </c>
      <c r="I11182">
        <v>28.4</v>
      </c>
      <c r="J11182">
        <v>12.9</v>
      </c>
      <c r="K11182">
        <v>62</v>
      </c>
      <c r="L11182">
        <v>20.329999999999998</v>
      </c>
      <c r="M11182">
        <v>39</v>
      </c>
      <c r="N11182">
        <v>18.399999999999999</v>
      </c>
      <c r="O11182">
        <v>20.6</v>
      </c>
      <c r="P11182">
        <v>26.4</v>
      </c>
      <c r="Q11182">
        <v>27</v>
      </c>
      <c r="R11182">
        <v>31.5</v>
      </c>
      <c r="S11182">
        <v>26.4</v>
      </c>
      <c r="T11182">
        <v>788</v>
      </c>
      <c r="U11182">
        <v>228</v>
      </c>
      <c r="V11182">
        <v>1</v>
      </c>
      <c r="W11182">
        <v>113</v>
      </c>
      <c r="X11182">
        <v>538</v>
      </c>
      <c r="Y11182">
        <v>5</v>
      </c>
      <c r="Z11182">
        <v>101</v>
      </c>
      <c r="AA11182">
        <v>538</v>
      </c>
      <c r="AB11182">
        <v>6.7105880000000004</v>
      </c>
      <c r="AC11182">
        <v>7.4126869999999997E-2</v>
      </c>
      <c r="AD11182">
        <v>1.818368</v>
      </c>
      <c r="AE11182">
        <v>0.70225610000000005</v>
      </c>
      <c r="AF11182">
        <v>246.89080000000001</v>
      </c>
      <c r="AG11182">
        <f>IFERROR(AH11182*0.1, "N/A")</f>
        <v>6.3249150000000007</v>
      </c>
      <c r="AH11182">
        <v>63.24915</v>
      </c>
      <c r="AI11182">
        <v>106.9212</v>
      </c>
      <c r="AJ11182">
        <v>19.24915</v>
      </c>
      <c r="AK11182">
        <v>59.501710000000003</v>
      </c>
    </row>
    <row r="11183" spans="1:37" x14ac:dyDescent="0.3">
      <c r="A11183">
        <v>11182</v>
      </c>
      <c r="B11183">
        <v>28</v>
      </c>
      <c r="C11183">
        <v>-0.7</v>
      </c>
      <c r="D11183">
        <v>11.8</v>
      </c>
      <c r="E11183">
        <f>-0.7-11.8</f>
        <v>-12.5</v>
      </c>
      <c r="F11183" t="s">
        <v>16649</v>
      </c>
      <c r="G11183" t="s">
        <v>39</v>
      </c>
      <c r="H11183">
        <v>1962</v>
      </c>
      <c r="I11183">
        <v>28.380890000000001</v>
      </c>
      <c r="J11183">
        <v>12.9</v>
      </c>
      <c r="K11183">
        <v>62</v>
      </c>
      <c r="L11183">
        <v>20.047529999999998</v>
      </c>
      <c r="M11183">
        <v>38.980890000000002</v>
      </c>
      <c r="N11183">
        <v>18.34215</v>
      </c>
      <c r="O11183">
        <v>20.638739999999999</v>
      </c>
      <c r="P11183">
        <v>26.433109999999999</v>
      </c>
      <c r="Q11183">
        <v>26.942150000000002</v>
      </c>
      <c r="R11183">
        <v>31.4</v>
      </c>
      <c r="S11183">
        <v>26.433109999999999</v>
      </c>
      <c r="T11183">
        <v>793.62289999999996</v>
      </c>
      <c r="U11183">
        <v>230.5222</v>
      </c>
      <c r="V11183">
        <v>1</v>
      </c>
      <c r="W11183">
        <v>112</v>
      </c>
      <c r="X11183">
        <v>542.5222</v>
      </c>
      <c r="Y11183">
        <v>4</v>
      </c>
      <c r="Z11183">
        <v>101.1007</v>
      </c>
      <c r="AA11183">
        <v>542.5222</v>
      </c>
      <c r="AB11183">
        <v>1.8157019999999999</v>
      </c>
      <c r="AC11183">
        <v>0.29442629999999997</v>
      </c>
      <c r="AD11183">
        <v>1.279504</v>
      </c>
      <c r="AE11183">
        <v>0.63192530000000002</v>
      </c>
      <c r="AF11183">
        <v>253.34299999999999</v>
      </c>
      <c r="AG11183">
        <f>IFERROR(AH11183*0.1, "N/A")</f>
        <v>6.5416380000000007</v>
      </c>
      <c r="AH11183">
        <v>65.416380000000004</v>
      </c>
      <c r="AI11183">
        <v>130.2158</v>
      </c>
      <c r="AJ11183">
        <v>19</v>
      </c>
      <c r="AK11183">
        <v>61.331060000000001</v>
      </c>
    </row>
    <row r="11184" spans="1:37" x14ac:dyDescent="0.3">
      <c r="A11184">
        <v>11183</v>
      </c>
      <c r="B11184">
        <v>54</v>
      </c>
      <c r="C11184">
        <v>-0.67944000000000004</v>
      </c>
      <c r="D11184">
        <v>11.8256</v>
      </c>
      <c r="E11184">
        <f>-0.67944-11.8256</f>
        <v>-12.505039999999999</v>
      </c>
      <c r="F11184" t="s">
        <v>16650</v>
      </c>
      <c r="G11184" t="s">
        <v>39</v>
      </c>
      <c r="H11184">
        <v>1962</v>
      </c>
      <c r="I11184">
        <v>28.234300000000001</v>
      </c>
      <c r="J11184">
        <v>12.9</v>
      </c>
      <c r="K11184">
        <v>62</v>
      </c>
      <c r="L11184">
        <v>20.145700000000001</v>
      </c>
      <c r="M11184">
        <v>38.9</v>
      </c>
      <c r="N11184">
        <v>18.265699999999999</v>
      </c>
      <c r="O11184">
        <v>20.6343</v>
      </c>
      <c r="P11184">
        <v>26.334299999999999</v>
      </c>
      <c r="Q11184">
        <v>26.8</v>
      </c>
      <c r="R11184">
        <v>31.3</v>
      </c>
      <c r="S11184">
        <v>26.334299999999999</v>
      </c>
      <c r="T11184">
        <v>799.65700000000004</v>
      </c>
      <c r="U11184">
        <v>233</v>
      </c>
      <c r="V11184">
        <v>1</v>
      </c>
      <c r="W11184">
        <v>113</v>
      </c>
      <c r="X11184">
        <v>547</v>
      </c>
      <c r="Y11184">
        <v>4</v>
      </c>
      <c r="Z11184">
        <v>102.657</v>
      </c>
      <c r="AA11184">
        <v>547</v>
      </c>
      <c r="AB11184">
        <v>8.5257810000000003</v>
      </c>
      <c r="AC11184">
        <v>3.2608440000000002E-2</v>
      </c>
      <c r="AD11184">
        <v>0.83966969999999996</v>
      </c>
      <c r="AE11184">
        <v>0.71060000000000001</v>
      </c>
      <c r="AF11184">
        <v>274.29349999999999</v>
      </c>
      <c r="AG11184">
        <f>IFERROR(AH11184*0.1, "N/A")</f>
        <v>6.0767920000000002</v>
      </c>
      <c r="AH11184">
        <v>60.767919999999997</v>
      </c>
      <c r="AI11184">
        <v>105.29819999999999</v>
      </c>
      <c r="AJ11184">
        <v>14.27304</v>
      </c>
      <c r="AK11184">
        <v>67</v>
      </c>
    </row>
    <row r="11185" spans="1:37" x14ac:dyDescent="0.3">
      <c r="A11185">
        <v>11184</v>
      </c>
      <c r="B11185">
        <v>25.1</v>
      </c>
      <c r="C11185">
        <v>0.35777799999999998</v>
      </c>
      <c r="D11185">
        <v>12.062200000000001</v>
      </c>
      <c r="E11185" t="s">
        <v>16651</v>
      </c>
      <c r="F11185" t="s">
        <v>16652</v>
      </c>
      <c r="G11185" t="s">
        <v>39</v>
      </c>
      <c r="H11185">
        <v>1962</v>
      </c>
      <c r="I11185">
        <v>28</v>
      </c>
      <c r="J11185">
        <v>13.5</v>
      </c>
      <c r="K11185">
        <v>60</v>
      </c>
      <c r="L11185">
        <v>22.46</v>
      </c>
      <c r="M11185">
        <v>39.1</v>
      </c>
      <c r="N11185">
        <v>16.7</v>
      </c>
      <c r="O11185">
        <v>22.4</v>
      </c>
      <c r="P11185">
        <v>26.3</v>
      </c>
      <c r="Q11185">
        <v>26.1</v>
      </c>
      <c r="R11185">
        <v>31.4</v>
      </c>
      <c r="S11185">
        <v>25.8</v>
      </c>
      <c r="T11185">
        <v>819.03399999999999</v>
      </c>
      <c r="U11185">
        <v>227</v>
      </c>
      <c r="V11185">
        <v>0</v>
      </c>
      <c r="W11185">
        <v>114</v>
      </c>
      <c r="X11185">
        <v>567</v>
      </c>
      <c r="Y11185">
        <v>1</v>
      </c>
      <c r="Z11185">
        <v>103.03400000000001</v>
      </c>
      <c r="AA11185">
        <v>2</v>
      </c>
      <c r="AB11185">
        <v>6.0127519999999999</v>
      </c>
      <c r="AC11185">
        <v>6.5979650000000001E-2</v>
      </c>
      <c r="AD11185">
        <v>2.5541870000000002</v>
      </c>
      <c r="AE11185">
        <v>0.63792040000000005</v>
      </c>
      <c r="AF11185">
        <v>299.16160000000002</v>
      </c>
      <c r="AG11185">
        <f>IFERROR(AH11185*0.1, "N/A")</f>
        <v>5.7102040000000009</v>
      </c>
      <c r="AH11185">
        <v>57.102040000000002</v>
      </c>
      <c r="AI11185">
        <v>89.603340000000003</v>
      </c>
      <c r="AJ11185">
        <v>31.829930000000001</v>
      </c>
      <c r="AK11185">
        <v>44.214289999999998</v>
      </c>
    </row>
    <row r="11186" spans="1:37" x14ac:dyDescent="0.3">
      <c r="A11186">
        <v>11185</v>
      </c>
      <c r="B11186">
        <v>24</v>
      </c>
      <c r="C11186">
        <v>1.7416700000000001</v>
      </c>
      <c r="D11186">
        <v>11.7958</v>
      </c>
      <c r="E11186" t="s">
        <v>16653</v>
      </c>
      <c r="F11186" t="s">
        <v>16654</v>
      </c>
      <c r="G11186" t="s">
        <v>39</v>
      </c>
      <c r="H11186">
        <v>1962</v>
      </c>
      <c r="I11186">
        <v>28.2</v>
      </c>
      <c r="J11186">
        <v>13.5</v>
      </c>
      <c r="K11186">
        <v>61.630139999999997</v>
      </c>
      <c r="L11186">
        <v>21.135339999999999</v>
      </c>
      <c r="M11186">
        <v>39</v>
      </c>
      <c r="N11186">
        <v>17.263010000000001</v>
      </c>
      <c r="O11186">
        <v>21.736989999999999</v>
      </c>
      <c r="P11186">
        <v>26.6</v>
      </c>
      <c r="Q11186">
        <v>26.6</v>
      </c>
      <c r="R11186">
        <v>31.463010000000001</v>
      </c>
      <c r="S11186">
        <v>26.3</v>
      </c>
      <c r="T11186">
        <v>838.73969999999997</v>
      </c>
      <c r="U11186">
        <v>224.3699</v>
      </c>
      <c r="V11186">
        <v>0</v>
      </c>
      <c r="W11186">
        <v>111.6301</v>
      </c>
      <c r="X11186">
        <v>570.73969999999997</v>
      </c>
      <c r="Y11186">
        <v>1</v>
      </c>
      <c r="Z11186">
        <v>112</v>
      </c>
      <c r="AA11186">
        <v>2</v>
      </c>
      <c r="AB11186">
        <v>14.268840000000001</v>
      </c>
      <c r="AC11186">
        <v>1.4348049999999999E-2</v>
      </c>
      <c r="AD11186">
        <v>0.63586509999999996</v>
      </c>
      <c r="AE11186">
        <v>0.6999725</v>
      </c>
      <c r="AF11186">
        <v>253.2483</v>
      </c>
      <c r="AG11186">
        <f>IFERROR(AH11186*0.1, "N/A")</f>
        <v>6.7</v>
      </c>
      <c r="AH11186">
        <v>67</v>
      </c>
      <c r="AI11186">
        <v>123.5077</v>
      </c>
      <c r="AJ11186">
        <v>15</v>
      </c>
      <c r="AK11186">
        <v>66.369860000000003</v>
      </c>
    </row>
    <row r="11187" spans="1:37" x14ac:dyDescent="0.3">
      <c r="A11187">
        <v>11186</v>
      </c>
      <c r="B11187">
        <v>2</v>
      </c>
      <c r="C11187">
        <v>0.83</v>
      </c>
      <c r="D11187">
        <v>11.181100000000001</v>
      </c>
      <c r="E11187" t="s">
        <v>16655</v>
      </c>
      <c r="F11187" t="s">
        <v>16656</v>
      </c>
      <c r="G11187" t="s">
        <v>39</v>
      </c>
      <c r="H11187">
        <v>1962</v>
      </c>
      <c r="I11187">
        <v>28.2</v>
      </c>
      <c r="J11187">
        <v>13.2</v>
      </c>
      <c r="K11187">
        <v>66</v>
      </c>
      <c r="L11187">
        <v>17.670000000000002</v>
      </c>
      <c r="M11187">
        <v>38.9</v>
      </c>
      <c r="N11187">
        <v>18.899999999999999</v>
      </c>
      <c r="O11187">
        <v>20</v>
      </c>
      <c r="P11187">
        <v>26.2</v>
      </c>
      <c r="Q11187">
        <v>28</v>
      </c>
      <c r="R11187">
        <v>30.8</v>
      </c>
      <c r="S11187">
        <v>26.2</v>
      </c>
      <c r="T11187">
        <v>909</v>
      </c>
      <c r="U11187">
        <v>232</v>
      </c>
      <c r="V11187">
        <v>0</v>
      </c>
      <c r="W11187">
        <v>107</v>
      </c>
      <c r="X11187">
        <v>596</v>
      </c>
      <c r="Y11187">
        <v>2</v>
      </c>
      <c r="Z11187">
        <v>136</v>
      </c>
      <c r="AA11187">
        <v>596</v>
      </c>
      <c r="AB11187">
        <v>6.3842720000000002</v>
      </c>
      <c r="AC11187">
        <v>0.1576101</v>
      </c>
      <c r="AD11187">
        <v>1.9504280000000001</v>
      </c>
      <c r="AE11187">
        <v>0.4170701</v>
      </c>
      <c r="AF11187">
        <v>211.10429999999999</v>
      </c>
      <c r="AG11187">
        <f>IFERROR(AH11187*0.1, "N/A")</f>
        <v>6.0970940000000002</v>
      </c>
      <c r="AH11187">
        <v>60.970939999999999</v>
      </c>
      <c r="AI11187">
        <v>66.212440000000001</v>
      </c>
      <c r="AJ11187">
        <v>11.029059999999999</v>
      </c>
      <c r="AK11187">
        <v>70.029060000000001</v>
      </c>
    </row>
    <row r="11188" spans="1:37" x14ac:dyDescent="0.3">
      <c r="A11188">
        <v>11187</v>
      </c>
      <c r="B11188">
        <v>20</v>
      </c>
      <c r="C11188">
        <v>0.32361099999999998</v>
      </c>
      <c r="D11188">
        <v>11.201700000000001</v>
      </c>
      <c r="E11188" t="s">
        <v>16657</v>
      </c>
      <c r="F11188" t="s">
        <v>16658</v>
      </c>
      <c r="G11188" t="s">
        <v>39</v>
      </c>
      <c r="H11188">
        <v>1962</v>
      </c>
      <c r="I11188">
        <v>28.2</v>
      </c>
      <c r="J11188">
        <v>13</v>
      </c>
      <c r="K11188">
        <v>64</v>
      </c>
      <c r="L11188">
        <v>19.25</v>
      </c>
      <c r="M11188">
        <v>38.799999999999997</v>
      </c>
      <c r="N11188">
        <v>18.7</v>
      </c>
      <c r="O11188">
        <v>20.100000000000001</v>
      </c>
      <c r="P11188">
        <v>25.9</v>
      </c>
      <c r="Q11188">
        <v>27.8</v>
      </c>
      <c r="R11188">
        <v>30.9</v>
      </c>
      <c r="S11188">
        <v>25.9</v>
      </c>
      <c r="T11188">
        <v>922</v>
      </c>
      <c r="U11188">
        <v>244</v>
      </c>
      <c r="V11188">
        <v>0</v>
      </c>
      <c r="W11188">
        <v>107</v>
      </c>
      <c r="X11188">
        <v>605</v>
      </c>
      <c r="Y11188">
        <v>2</v>
      </c>
      <c r="Z11188">
        <v>141</v>
      </c>
      <c r="AA11188">
        <v>605</v>
      </c>
      <c r="AB11188">
        <v>1.846751</v>
      </c>
      <c r="AC11188">
        <v>4.038953E-2</v>
      </c>
      <c r="AD11188">
        <v>1.0705530000000001</v>
      </c>
      <c r="AE11188">
        <v>0.44808360000000003</v>
      </c>
      <c r="AF11188">
        <v>243.625</v>
      </c>
      <c r="AG11188">
        <f>IFERROR(AH11188*0.1, "N/A")</f>
        <v>6.0049660000000005</v>
      </c>
      <c r="AH11188">
        <v>60.049660000000003</v>
      </c>
      <c r="AI11188">
        <v>110.1605</v>
      </c>
      <c r="AJ11188">
        <v>14.049659999999999</v>
      </c>
      <c r="AK11188">
        <v>66.950339999999997</v>
      </c>
    </row>
    <row r="11189" spans="1:37" x14ac:dyDescent="0.3">
      <c r="A11189">
        <v>11188</v>
      </c>
      <c r="B11189">
        <v>10</v>
      </c>
      <c r="C11189">
        <v>1.2166699999999999</v>
      </c>
      <c r="D11189">
        <v>11.45</v>
      </c>
      <c r="E11189" t="s">
        <v>16659</v>
      </c>
      <c r="F11189" t="s">
        <v>16660</v>
      </c>
      <c r="G11189" t="s">
        <v>39</v>
      </c>
      <c r="H11189">
        <v>1962</v>
      </c>
      <c r="I11189">
        <v>28.264849999999999</v>
      </c>
      <c r="J11189">
        <v>13.4</v>
      </c>
      <c r="K11189">
        <v>64.424909999999997</v>
      </c>
      <c r="L11189">
        <v>18.689160000000001</v>
      </c>
      <c r="M11189">
        <v>38.964849999999998</v>
      </c>
      <c r="N11189">
        <v>18.30734</v>
      </c>
      <c r="O11189">
        <v>20.657509999999998</v>
      </c>
      <c r="P11189">
        <v>26.354949999999999</v>
      </c>
      <c r="Q11189">
        <v>27.472180000000002</v>
      </c>
      <c r="R11189">
        <v>31.1</v>
      </c>
      <c r="S11189">
        <v>26.354949999999999</v>
      </c>
      <c r="T11189">
        <v>871.70309999999995</v>
      </c>
      <c r="U11189">
        <v>227.35149999999999</v>
      </c>
      <c r="V11189">
        <v>0</v>
      </c>
      <c r="W11189">
        <v>110</v>
      </c>
      <c r="X11189">
        <v>585.70309999999995</v>
      </c>
      <c r="Y11189">
        <v>1</v>
      </c>
      <c r="Z11189">
        <v>122</v>
      </c>
      <c r="AA11189">
        <v>585.70309999999995</v>
      </c>
      <c r="AB11189">
        <v>4.9429980000000002</v>
      </c>
      <c r="AC11189">
        <v>8.3581600000000006E-2</v>
      </c>
      <c r="AD11189">
        <v>1.438353</v>
      </c>
      <c r="AE11189">
        <v>0.46407910000000002</v>
      </c>
      <c r="AF11189">
        <v>217.5034</v>
      </c>
      <c r="AG11189">
        <f>IFERROR(AH11189*0.1, "N/A")</f>
        <v>6.5406139999999997</v>
      </c>
      <c r="AH11189">
        <v>65.406139999999994</v>
      </c>
      <c r="AI11189">
        <v>272.33109999999999</v>
      </c>
      <c r="AJ11189">
        <v>14</v>
      </c>
      <c r="AK11189">
        <v>69.192830000000001</v>
      </c>
    </row>
    <row r="11190" spans="1:37" x14ac:dyDescent="0.3">
      <c r="A11190">
        <v>11189</v>
      </c>
      <c r="B11190">
        <v>30</v>
      </c>
      <c r="C11190">
        <v>0.14666699999999999</v>
      </c>
      <c r="D11190">
        <v>11.4947</v>
      </c>
      <c r="E11190" t="s">
        <v>16661</v>
      </c>
      <c r="F11190" t="s">
        <v>16662</v>
      </c>
      <c r="G11190" t="s">
        <v>39</v>
      </c>
      <c r="H11190">
        <v>1962</v>
      </c>
      <c r="I11190">
        <v>28</v>
      </c>
      <c r="J11190">
        <v>13</v>
      </c>
      <c r="K11190">
        <v>64</v>
      </c>
      <c r="L11190">
        <v>19.59</v>
      </c>
      <c r="M11190">
        <v>38.6</v>
      </c>
      <c r="N11190">
        <v>18.3</v>
      </c>
      <c r="O11190">
        <v>20.3</v>
      </c>
      <c r="P11190">
        <v>25.9</v>
      </c>
      <c r="Q11190">
        <v>27.2</v>
      </c>
      <c r="R11190">
        <v>31</v>
      </c>
      <c r="S11190">
        <v>25.9</v>
      </c>
      <c r="T11190">
        <v>859</v>
      </c>
      <c r="U11190">
        <v>237</v>
      </c>
      <c r="V11190">
        <v>0</v>
      </c>
      <c r="W11190">
        <v>109</v>
      </c>
      <c r="X11190">
        <v>577</v>
      </c>
      <c r="Y11190">
        <v>2</v>
      </c>
      <c r="Z11190">
        <v>125</v>
      </c>
      <c r="AA11190">
        <v>577</v>
      </c>
      <c r="AB11190">
        <v>4.2187210000000004</v>
      </c>
      <c r="AC11190">
        <v>4.5025540000000003E-2</v>
      </c>
      <c r="AD11190">
        <v>1.7203090000000001</v>
      </c>
      <c r="AE11190">
        <v>0.62672969999999995</v>
      </c>
      <c r="AF11190">
        <v>295.73250000000002</v>
      </c>
      <c r="AG11190">
        <f>IFERROR(AH11190*0.1, "N/A")</f>
        <v>6.2398640000000007</v>
      </c>
      <c r="AH11190">
        <v>62.39864</v>
      </c>
      <c r="AI11190">
        <v>1.107925</v>
      </c>
      <c r="AJ11190">
        <v>12.60136</v>
      </c>
      <c r="AK11190">
        <v>67</v>
      </c>
    </row>
    <row r="11191" spans="1:37" x14ac:dyDescent="0.3">
      <c r="A11191">
        <v>11190</v>
      </c>
      <c r="B11191">
        <v>46</v>
      </c>
      <c r="C11191">
        <v>-1.3102799999999999</v>
      </c>
      <c r="D11191">
        <v>12.7492</v>
      </c>
      <c r="E11191">
        <f>-1.31028-12.7492</f>
        <v>-14.059480000000001</v>
      </c>
      <c r="F11191" t="s">
        <v>16663</v>
      </c>
      <c r="G11191" t="s">
        <v>39</v>
      </c>
      <c r="H11191">
        <v>1962</v>
      </c>
      <c r="I11191">
        <v>28</v>
      </c>
      <c r="J11191">
        <v>13.3</v>
      </c>
      <c r="K11191">
        <v>59</v>
      </c>
      <c r="L11191">
        <v>23.175889999999999</v>
      </c>
      <c r="M11191">
        <v>39</v>
      </c>
      <c r="N11191">
        <v>16.5</v>
      </c>
      <c r="O11191">
        <v>22.5</v>
      </c>
      <c r="P11191">
        <v>26.609649999999998</v>
      </c>
      <c r="Q11191">
        <v>25.6</v>
      </c>
      <c r="R11191">
        <v>31.2</v>
      </c>
      <c r="S11191">
        <v>25.6</v>
      </c>
      <c r="T11191">
        <v>704.80709999999999</v>
      </c>
      <c r="U11191">
        <v>208</v>
      </c>
      <c r="V11191">
        <v>0</v>
      </c>
      <c r="W11191">
        <v>118.9036</v>
      </c>
      <c r="X11191">
        <v>497.90359999999998</v>
      </c>
      <c r="Y11191">
        <v>2</v>
      </c>
      <c r="Z11191">
        <v>77.903549999999996</v>
      </c>
      <c r="AA11191">
        <v>2</v>
      </c>
      <c r="AB11191">
        <v>2.1466949999999998</v>
      </c>
      <c r="AC11191">
        <v>9.5479049999999996E-2</v>
      </c>
      <c r="AD11191">
        <v>1.1327940000000001</v>
      </c>
      <c r="AE11191">
        <v>0.56102289999999999</v>
      </c>
      <c r="AF11191">
        <v>321.69040000000001</v>
      </c>
      <c r="AG11191">
        <f>IFERROR(AH11191*0.1, "N/A")</f>
        <v>5.9974620000000005</v>
      </c>
      <c r="AH11191">
        <v>59.974620000000002</v>
      </c>
      <c r="AI11191">
        <v>73.845339999999993</v>
      </c>
      <c r="AJ11191">
        <v>14.847720000000001</v>
      </c>
      <c r="AK11191">
        <v>65.033839999999998</v>
      </c>
    </row>
    <row r="11192" spans="1:37" x14ac:dyDescent="0.3">
      <c r="A11192">
        <v>11191</v>
      </c>
      <c r="B11192">
        <v>40</v>
      </c>
      <c r="C11192">
        <v>-0.88332999999999995</v>
      </c>
      <c r="D11192">
        <v>11.083299999999999</v>
      </c>
      <c r="E11192">
        <f>-0.88333-11.0833</f>
        <v>-11.966629999999999</v>
      </c>
      <c r="F11192" t="s">
        <v>16664</v>
      </c>
      <c r="G11192" t="s">
        <v>39</v>
      </c>
      <c r="H11192">
        <v>1962</v>
      </c>
      <c r="I11192">
        <v>27.7</v>
      </c>
      <c r="J11192">
        <v>12.25798</v>
      </c>
      <c r="K11192">
        <v>62.57976</v>
      </c>
      <c r="L11192">
        <v>18.416260000000001</v>
      </c>
      <c r="M11192">
        <v>37.942019999999999</v>
      </c>
      <c r="N11192">
        <v>18.49485</v>
      </c>
      <c r="O11192">
        <v>19.44717</v>
      </c>
      <c r="P11192">
        <v>25.615950000000002</v>
      </c>
      <c r="Q11192">
        <v>27.173929999999999</v>
      </c>
      <c r="R11192">
        <v>30.4</v>
      </c>
      <c r="S11192">
        <v>25.615950000000002</v>
      </c>
      <c r="T11192">
        <v>884.95540000000005</v>
      </c>
      <c r="U11192">
        <v>243</v>
      </c>
      <c r="V11192">
        <v>1</v>
      </c>
      <c r="W11192">
        <v>105.89190000000001</v>
      </c>
      <c r="X11192">
        <v>578</v>
      </c>
      <c r="Y11192">
        <v>8</v>
      </c>
      <c r="Z11192">
        <v>132.10810000000001</v>
      </c>
      <c r="AA11192">
        <v>578</v>
      </c>
      <c r="AB11192">
        <v>4.4193980000000002</v>
      </c>
      <c r="AC11192">
        <v>9.6696340000000006E-2</v>
      </c>
      <c r="AD11192">
        <v>1.5106980000000001</v>
      </c>
      <c r="AE11192">
        <v>0.71175409999999995</v>
      </c>
      <c r="AF11192">
        <v>282.0086</v>
      </c>
      <c r="AG11192">
        <f>IFERROR(AH11192*0.1, "N/A")</f>
        <v>6.1003430000000005</v>
      </c>
      <c r="AH11192">
        <v>61.003430000000002</v>
      </c>
      <c r="AI11192">
        <v>202.73750000000001</v>
      </c>
      <c r="AJ11192">
        <v>15.00343</v>
      </c>
      <c r="AK11192">
        <v>67.461410000000001</v>
      </c>
    </row>
    <row r="11193" spans="1:37" x14ac:dyDescent="0.3">
      <c r="A11193">
        <v>11192</v>
      </c>
      <c r="B11193">
        <v>58</v>
      </c>
      <c r="C11193">
        <v>-0.96555999999999997</v>
      </c>
      <c r="D11193">
        <v>11.097200000000001</v>
      </c>
      <c r="E11193">
        <f>-0.96556-11.0972</f>
        <v>-12.062760000000001</v>
      </c>
      <c r="F11193" t="s">
        <v>16665</v>
      </c>
      <c r="G11193" t="s">
        <v>39</v>
      </c>
      <c r="H11193">
        <v>1962</v>
      </c>
      <c r="I11193">
        <v>27.7</v>
      </c>
      <c r="J11193">
        <v>12.3</v>
      </c>
      <c r="K11193">
        <v>63</v>
      </c>
      <c r="L11193">
        <v>18.57</v>
      </c>
      <c r="M11193">
        <v>37.9</v>
      </c>
      <c r="N11193">
        <v>18.399999999999999</v>
      </c>
      <c r="O11193">
        <v>19.5</v>
      </c>
      <c r="P11193">
        <v>25.6</v>
      </c>
      <c r="Q11193">
        <v>27</v>
      </c>
      <c r="R11193">
        <v>30.5</v>
      </c>
      <c r="S11193">
        <v>25.6</v>
      </c>
      <c r="T11193">
        <v>883</v>
      </c>
      <c r="U11193">
        <v>245</v>
      </c>
      <c r="V11193">
        <v>1</v>
      </c>
      <c r="W11193">
        <v>107</v>
      </c>
      <c r="X11193">
        <v>579</v>
      </c>
      <c r="Y11193">
        <v>8</v>
      </c>
      <c r="Z11193">
        <v>131</v>
      </c>
      <c r="AA11193">
        <v>579</v>
      </c>
      <c r="AB11193">
        <v>11.324949999999999</v>
      </c>
      <c r="AC11193">
        <v>4.2056490000000002E-2</v>
      </c>
      <c r="AD11193">
        <v>1.985136</v>
      </c>
      <c r="AE11193">
        <v>0.48901719999999999</v>
      </c>
      <c r="AF11193">
        <v>277.93680000000001</v>
      </c>
      <c r="AG11193">
        <f>IFERROR(AH11193*0.1, "N/A")</f>
        <v>6.5830770000000003</v>
      </c>
      <c r="AH11193">
        <v>65.830770000000001</v>
      </c>
      <c r="AI11193">
        <v>141.62</v>
      </c>
      <c r="AJ11193">
        <v>15</v>
      </c>
      <c r="AK11193">
        <v>68.304270000000002</v>
      </c>
    </row>
    <row r="11194" spans="1:37" x14ac:dyDescent="0.3">
      <c r="A11194">
        <v>11193</v>
      </c>
      <c r="B11194">
        <v>32</v>
      </c>
      <c r="C11194">
        <v>-2.0833300000000001</v>
      </c>
      <c r="D11194">
        <v>11.15</v>
      </c>
      <c r="E11194">
        <f>-2.08333-11.15</f>
        <v>-13.23333</v>
      </c>
      <c r="F11194" t="s">
        <v>16666</v>
      </c>
      <c r="G11194" t="s">
        <v>39</v>
      </c>
      <c r="H11194">
        <v>1962</v>
      </c>
      <c r="I11194">
        <v>27.6</v>
      </c>
      <c r="J11194">
        <v>12.8</v>
      </c>
      <c r="K11194">
        <v>63</v>
      </c>
      <c r="L11194">
        <v>18.388719999999999</v>
      </c>
      <c r="M11194">
        <v>37.6</v>
      </c>
      <c r="N11194">
        <v>17.462910000000001</v>
      </c>
      <c r="O11194">
        <v>20.137090000000001</v>
      </c>
      <c r="P11194">
        <v>25.8</v>
      </c>
      <c r="Q11194">
        <v>26.862909999999999</v>
      </c>
      <c r="R11194">
        <v>30.4</v>
      </c>
      <c r="S11194">
        <v>25.8</v>
      </c>
      <c r="T11194">
        <v>938.55039999999997</v>
      </c>
      <c r="U11194">
        <v>265.15210000000002</v>
      </c>
      <c r="V11194">
        <v>1</v>
      </c>
      <c r="W11194">
        <v>106</v>
      </c>
      <c r="X11194">
        <v>611.76409999999998</v>
      </c>
      <c r="Y11194">
        <v>6</v>
      </c>
      <c r="Z11194">
        <v>144.78630000000001</v>
      </c>
      <c r="AA11194">
        <v>611.76409999999998</v>
      </c>
      <c r="AB11194">
        <v>3.937262</v>
      </c>
      <c r="AC11194">
        <v>1.6019229999999999E-2</v>
      </c>
      <c r="AD11194">
        <v>1.860384</v>
      </c>
      <c r="AE11194">
        <v>0.50680199999999997</v>
      </c>
      <c r="AF11194">
        <v>337.84269999999998</v>
      </c>
      <c r="AG11194">
        <f>IFERROR(AH11194*0.1, "N/A")</f>
        <v>6</v>
      </c>
      <c r="AH11194">
        <v>60</v>
      </c>
      <c r="AI11194">
        <v>143.0411</v>
      </c>
      <c r="AJ11194">
        <v>17.552140000000001</v>
      </c>
      <c r="AK11194">
        <v>48.89573</v>
      </c>
    </row>
    <row r="11195" spans="1:37" x14ac:dyDescent="0.3">
      <c r="A11195">
        <v>11194</v>
      </c>
      <c r="B11195">
        <v>36</v>
      </c>
      <c r="C11195">
        <v>-2.1</v>
      </c>
      <c r="D11195">
        <v>11.1</v>
      </c>
      <c r="E11195">
        <f>-2.1-11.1</f>
        <v>-13.2</v>
      </c>
      <c r="F11195" t="s">
        <v>16667</v>
      </c>
      <c r="G11195" t="s">
        <v>39</v>
      </c>
      <c r="H11195">
        <v>1962</v>
      </c>
      <c r="I11195">
        <v>27.53857</v>
      </c>
      <c r="J11195">
        <v>12.79659</v>
      </c>
      <c r="K11195">
        <v>63.965870000000002</v>
      </c>
      <c r="L11195">
        <v>18.134160000000001</v>
      </c>
      <c r="M11195">
        <v>37.41536</v>
      </c>
      <c r="N11195">
        <v>17.515360000000001</v>
      </c>
      <c r="O11195">
        <v>19.899999999999999</v>
      </c>
      <c r="P11195">
        <v>25.735150000000001</v>
      </c>
      <c r="Q11195">
        <v>26.903410000000001</v>
      </c>
      <c r="R11195">
        <v>30.241980000000002</v>
      </c>
      <c r="S11195">
        <v>25.735150000000001</v>
      </c>
      <c r="T11195">
        <v>951.4778</v>
      </c>
      <c r="U11195">
        <v>267.11950000000002</v>
      </c>
      <c r="V11195">
        <v>1</v>
      </c>
      <c r="W11195">
        <v>105</v>
      </c>
      <c r="X11195">
        <v>614.11950000000002</v>
      </c>
      <c r="Y11195">
        <v>6</v>
      </c>
      <c r="Z11195">
        <v>153.2389</v>
      </c>
      <c r="AA11195">
        <v>614.11950000000002</v>
      </c>
      <c r="AB11195">
        <v>17.513819999999999</v>
      </c>
      <c r="AC11195">
        <v>4.4647060000000002E-2</v>
      </c>
      <c r="AD11195">
        <v>1.3673070000000001</v>
      </c>
      <c r="AE11195">
        <v>0.69322070000000002</v>
      </c>
      <c r="AF11195">
        <v>349.041</v>
      </c>
      <c r="AG11195">
        <f>IFERROR(AH11195*0.1, "N/A")</f>
        <v>5.8085320000000005</v>
      </c>
      <c r="AH11195">
        <v>58.085320000000003</v>
      </c>
      <c r="AI11195">
        <v>119.1045</v>
      </c>
      <c r="AJ11195">
        <v>23.569970000000001</v>
      </c>
      <c r="AK11195">
        <v>50.658700000000003</v>
      </c>
    </row>
    <row r="11196" spans="1:37" x14ac:dyDescent="0.3">
      <c r="A11196">
        <v>11195</v>
      </c>
      <c r="B11196">
        <v>10</v>
      </c>
      <c r="C11196">
        <v>-2.5</v>
      </c>
      <c r="D11196">
        <v>11.033300000000001</v>
      </c>
      <c r="E11196">
        <f>-2.5-11.0333</f>
        <v>-13.533300000000001</v>
      </c>
      <c r="F11196" t="s">
        <v>16668</v>
      </c>
      <c r="G11196" t="s">
        <v>39</v>
      </c>
      <c r="H11196">
        <v>1962</v>
      </c>
      <c r="I11196">
        <v>27.8</v>
      </c>
      <c r="J11196">
        <v>12.7</v>
      </c>
      <c r="K11196">
        <v>64</v>
      </c>
      <c r="L11196">
        <v>17.630189999999999</v>
      </c>
      <c r="M11196">
        <v>37.63532</v>
      </c>
      <c r="N11196">
        <v>17.935320000000001</v>
      </c>
      <c r="O11196">
        <v>19.7</v>
      </c>
      <c r="P11196">
        <v>26</v>
      </c>
      <c r="Q11196">
        <v>27.1</v>
      </c>
      <c r="R11196">
        <v>30.435320000000001</v>
      </c>
      <c r="S11196">
        <v>26</v>
      </c>
      <c r="T11196">
        <v>925.97439999999995</v>
      </c>
      <c r="U11196">
        <v>242.68090000000001</v>
      </c>
      <c r="V11196">
        <v>1</v>
      </c>
      <c r="W11196">
        <v>102</v>
      </c>
      <c r="X11196">
        <v>588</v>
      </c>
      <c r="Y11196">
        <v>8</v>
      </c>
      <c r="Z11196">
        <v>149.9744</v>
      </c>
      <c r="AA11196">
        <v>588</v>
      </c>
      <c r="AB11196">
        <v>4.9883930000000003</v>
      </c>
      <c r="AC11196">
        <v>0.14194979999999999</v>
      </c>
      <c r="AD11196">
        <v>1.522222</v>
      </c>
      <c r="AE11196">
        <v>0.64654020000000001</v>
      </c>
      <c r="AF11196">
        <v>290.80889999999999</v>
      </c>
      <c r="AG11196">
        <f>IFERROR(AH11196*0.1, "N/A")</f>
        <v>6.1040960000000002</v>
      </c>
      <c r="AH11196">
        <v>61.040959999999998</v>
      </c>
      <c r="AI11196">
        <v>154.7466</v>
      </c>
      <c r="AJ11196">
        <v>16.479520000000001</v>
      </c>
      <c r="AK11196">
        <v>57</v>
      </c>
    </row>
    <row r="11197" spans="1:37" x14ac:dyDescent="0.3">
      <c r="A11197">
        <v>11196</v>
      </c>
      <c r="B11197">
        <v>53.3</v>
      </c>
      <c r="C11197">
        <v>-0.55056000000000005</v>
      </c>
      <c r="D11197">
        <v>11.8</v>
      </c>
      <c r="E11197">
        <f>-0.55056-11.8</f>
        <v>-12.350560000000002</v>
      </c>
      <c r="F11197" t="s">
        <v>16669</v>
      </c>
      <c r="G11197" t="s">
        <v>39</v>
      </c>
      <c r="H11197">
        <v>1962</v>
      </c>
      <c r="I11197">
        <v>28.199829999999999</v>
      </c>
      <c r="J11197">
        <v>12.9</v>
      </c>
      <c r="K11197">
        <v>62.706980000000001</v>
      </c>
      <c r="L11197">
        <v>20.000389999999999</v>
      </c>
      <c r="M11197">
        <v>38.899830000000001</v>
      </c>
      <c r="N11197">
        <v>18.441230000000001</v>
      </c>
      <c r="O11197">
        <v>20.458600000000001</v>
      </c>
      <c r="P11197">
        <v>26.2</v>
      </c>
      <c r="Q11197">
        <v>26.870529999999999</v>
      </c>
      <c r="R11197">
        <v>31.2</v>
      </c>
      <c r="S11197">
        <v>26.2</v>
      </c>
      <c r="T11197">
        <v>824.01020000000005</v>
      </c>
      <c r="U11197">
        <v>243.0034</v>
      </c>
      <c r="V11197">
        <v>1</v>
      </c>
      <c r="W11197">
        <v>112.9983</v>
      </c>
      <c r="X11197">
        <v>564.0068</v>
      </c>
      <c r="Y11197">
        <v>5</v>
      </c>
      <c r="Z11197">
        <v>107.0034</v>
      </c>
      <c r="AA11197">
        <v>564.0068</v>
      </c>
      <c r="AB11197">
        <v>11.135450000000001</v>
      </c>
      <c r="AC11197">
        <v>7.7618850000000003E-2</v>
      </c>
      <c r="AD11197">
        <v>1.2630509999999999</v>
      </c>
      <c r="AE11197">
        <v>0.69841109999999995</v>
      </c>
      <c r="AF11197">
        <v>301.35950000000003</v>
      </c>
      <c r="AG11197">
        <f>IFERROR(AH11197*0.1, "N/A")</f>
        <v>6.1086880000000008</v>
      </c>
      <c r="AH11197">
        <v>61.086880000000001</v>
      </c>
      <c r="AI11197">
        <v>275.3304</v>
      </c>
      <c r="AJ11197">
        <v>23.785350000000001</v>
      </c>
      <c r="AK11197">
        <v>55.294719999999998</v>
      </c>
    </row>
    <row r="11198" spans="1:37" x14ac:dyDescent="0.3">
      <c r="A11198">
        <v>11197</v>
      </c>
      <c r="B11198">
        <v>80</v>
      </c>
      <c r="C11198">
        <v>-0.55000000000000004</v>
      </c>
      <c r="D11198">
        <v>11.783300000000001</v>
      </c>
      <c r="E11198">
        <f>-0.55-11.7833</f>
        <v>-12.333300000000001</v>
      </c>
      <c r="F11198" t="s">
        <v>16670</v>
      </c>
      <c r="G11198" t="s">
        <v>39</v>
      </c>
      <c r="H11198">
        <v>1962</v>
      </c>
      <c r="I11198">
        <v>28.071770000000001</v>
      </c>
      <c r="J11198">
        <v>12.818709999999999</v>
      </c>
      <c r="K11198">
        <v>62.187069999999999</v>
      </c>
      <c r="L11198">
        <v>20.236699999999999</v>
      </c>
      <c r="M11198">
        <v>38.718029999999999</v>
      </c>
      <c r="N11198">
        <v>18.31803</v>
      </c>
      <c r="O11198">
        <v>20.399999999999999</v>
      </c>
      <c r="P11198">
        <v>26.05884</v>
      </c>
      <c r="Q11198">
        <v>26.786390000000001</v>
      </c>
      <c r="R11198">
        <v>31.158840000000001</v>
      </c>
      <c r="S11198">
        <v>26.05884</v>
      </c>
      <c r="T11198">
        <v>830.95920000000001</v>
      </c>
      <c r="U11198">
        <v>244.59520000000001</v>
      </c>
      <c r="V11198">
        <v>1</v>
      </c>
      <c r="W11198">
        <v>112.40479999999999</v>
      </c>
      <c r="X11198">
        <v>567.19389999999999</v>
      </c>
      <c r="Y11198">
        <v>5.4081630000000001</v>
      </c>
      <c r="Z11198">
        <v>109.5408</v>
      </c>
      <c r="AA11198">
        <v>567.19389999999999</v>
      </c>
      <c r="AB11198">
        <v>8.9472749999999994</v>
      </c>
      <c r="AC11198">
        <v>4.7408310000000002E-2</v>
      </c>
      <c r="AD11198">
        <v>1.9211069999999999</v>
      </c>
      <c r="AE11198">
        <v>0.59829270000000001</v>
      </c>
      <c r="AF11198">
        <v>297.8571</v>
      </c>
      <c r="AG11198">
        <f>IFERROR(AH11198*0.1, "N/A")</f>
        <v>6.6316329999999999</v>
      </c>
      <c r="AH11198">
        <v>66.316329999999994</v>
      </c>
      <c r="AI11198">
        <v>154.72829999999999</v>
      </c>
      <c r="AJ11198">
        <v>20.316330000000001</v>
      </c>
      <c r="AK11198">
        <v>59</v>
      </c>
    </row>
    <row r="11199" spans="1:37" x14ac:dyDescent="0.3">
      <c r="A11199">
        <v>11198</v>
      </c>
      <c r="B11199">
        <v>50</v>
      </c>
      <c r="C11199">
        <v>-0.3</v>
      </c>
      <c r="D11199">
        <v>11.9833</v>
      </c>
      <c r="E11199">
        <f>-0.3-11.9833</f>
        <v>-12.283300000000001</v>
      </c>
      <c r="F11199" t="s">
        <v>16671</v>
      </c>
      <c r="G11199" t="s">
        <v>39</v>
      </c>
      <c r="H11199">
        <v>1962</v>
      </c>
      <c r="I11199">
        <v>28</v>
      </c>
      <c r="J11199">
        <v>13.3</v>
      </c>
      <c r="K11199">
        <v>61</v>
      </c>
      <c r="L11199">
        <v>21.813549999999999</v>
      </c>
      <c r="M11199">
        <v>39.119729999999997</v>
      </c>
      <c r="N11199">
        <v>17.5</v>
      </c>
      <c r="O11199">
        <v>21.619730000000001</v>
      </c>
      <c r="P11199">
        <v>26.14575</v>
      </c>
      <c r="Q11199">
        <v>26.2</v>
      </c>
      <c r="R11199">
        <v>31.332650000000001</v>
      </c>
      <c r="S11199">
        <v>26.14575</v>
      </c>
      <c r="T11199">
        <v>813.80269999999996</v>
      </c>
      <c r="U11199">
        <v>234</v>
      </c>
      <c r="V11199">
        <v>0</v>
      </c>
      <c r="W11199">
        <v>114</v>
      </c>
      <c r="X11199">
        <v>558</v>
      </c>
      <c r="Y11199">
        <v>3</v>
      </c>
      <c r="Z11199">
        <v>106.8027</v>
      </c>
      <c r="AA11199">
        <v>558</v>
      </c>
      <c r="AB11199">
        <v>6.2381029999999997</v>
      </c>
      <c r="AC11199">
        <v>8.3651880000000008E-3</v>
      </c>
      <c r="AD11199">
        <v>1.1969939999999999</v>
      </c>
      <c r="AE11199">
        <v>0.69125099999999995</v>
      </c>
      <c r="AF11199">
        <v>297.25850000000003</v>
      </c>
      <c r="AG11199">
        <f>IFERROR(AH11199*0.1, "N/A")</f>
        <v>6.061395000000001</v>
      </c>
      <c r="AH11199">
        <v>60.613950000000003</v>
      </c>
      <c r="AI11199">
        <v>115.6649</v>
      </c>
      <c r="AJ11199">
        <v>16.452380000000002</v>
      </c>
      <c r="AK11199">
        <v>61.982990000000001</v>
      </c>
    </row>
    <row r="11200" spans="1:37" x14ac:dyDescent="0.3">
      <c r="A11200">
        <v>11199</v>
      </c>
      <c r="B11200">
        <v>44</v>
      </c>
      <c r="C11200">
        <v>-1.2034</v>
      </c>
      <c r="D11200">
        <v>11.6823</v>
      </c>
      <c r="E11200">
        <f>-1.2034-11.6823</f>
        <v>-12.8857</v>
      </c>
      <c r="F11200" t="s">
        <v>16672</v>
      </c>
      <c r="G11200" t="s">
        <v>39</v>
      </c>
      <c r="H11200">
        <v>1962</v>
      </c>
      <c r="I11200">
        <v>27.8</v>
      </c>
      <c r="J11200">
        <v>12.9</v>
      </c>
      <c r="K11200">
        <v>62</v>
      </c>
      <c r="L11200">
        <v>19.22</v>
      </c>
      <c r="M11200">
        <v>38.1</v>
      </c>
      <c r="N11200">
        <v>17.5</v>
      </c>
      <c r="O11200">
        <v>20.6</v>
      </c>
      <c r="P11200">
        <v>26</v>
      </c>
      <c r="Q11200">
        <v>26.4</v>
      </c>
      <c r="R11200">
        <v>30.7</v>
      </c>
      <c r="S11200">
        <v>26</v>
      </c>
      <c r="T11200">
        <v>835</v>
      </c>
      <c r="U11200">
        <v>234</v>
      </c>
      <c r="V11200">
        <v>0</v>
      </c>
      <c r="W11200">
        <v>109</v>
      </c>
      <c r="X11200">
        <v>553</v>
      </c>
      <c r="Y11200">
        <v>6</v>
      </c>
      <c r="Z11200">
        <v>124</v>
      </c>
      <c r="AA11200">
        <v>553</v>
      </c>
      <c r="AB11200">
        <v>1.552746</v>
      </c>
      <c r="AC11200">
        <v>1.3844879999999999</v>
      </c>
      <c r="AD11200">
        <v>1.4986820000000001</v>
      </c>
      <c r="AE11200">
        <v>0.62310719999999997</v>
      </c>
      <c r="AF11200">
        <v>295.2654</v>
      </c>
      <c r="AG11200">
        <f>IFERROR(AH11200*0.1, "N/A")</f>
        <v>6.2</v>
      </c>
      <c r="AH11200">
        <v>62</v>
      </c>
      <c r="AI11200">
        <v>117.23139999999999</v>
      </c>
      <c r="AJ11200">
        <v>18.554790000000001</v>
      </c>
      <c r="AK11200">
        <v>54.7226</v>
      </c>
    </row>
    <row r="11201" spans="1:37" x14ac:dyDescent="0.3">
      <c r="A11201">
        <v>11200</v>
      </c>
      <c r="B11201">
        <v>56</v>
      </c>
      <c r="C11201">
        <v>-1.31667</v>
      </c>
      <c r="D11201">
        <v>11.8667</v>
      </c>
      <c r="E11201">
        <f>-1.31667-11.8667</f>
        <v>-13.18337</v>
      </c>
      <c r="F11201" t="s">
        <v>16673</v>
      </c>
      <c r="G11201" t="s">
        <v>39</v>
      </c>
      <c r="H11201">
        <v>1962</v>
      </c>
      <c r="I11201">
        <v>27.764790000000001</v>
      </c>
      <c r="J11201">
        <v>13.1</v>
      </c>
      <c r="K11201">
        <v>60.379489999999997</v>
      </c>
      <c r="L11201">
        <v>20.545079999999999</v>
      </c>
      <c r="M11201">
        <v>38.4</v>
      </c>
      <c r="N11201">
        <v>16.937950000000001</v>
      </c>
      <c r="O11201">
        <v>21.462050000000001</v>
      </c>
      <c r="P11201">
        <v>26.085470000000001</v>
      </c>
      <c r="Q11201">
        <v>26.1</v>
      </c>
      <c r="R11201">
        <v>30.814530000000001</v>
      </c>
      <c r="S11201">
        <v>26</v>
      </c>
      <c r="T11201">
        <v>813.93849999999998</v>
      </c>
      <c r="U11201">
        <v>236</v>
      </c>
      <c r="V11201">
        <v>0</v>
      </c>
      <c r="W11201">
        <v>111.85469999999999</v>
      </c>
      <c r="X11201">
        <v>545.85469999999998</v>
      </c>
      <c r="Y11201">
        <v>5</v>
      </c>
      <c r="Z11201">
        <v>113</v>
      </c>
      <c r="AA11201">
        <v>6</v>
      </c>
      <c r="AB11201">
        <v>1.877958</v>
      </c>
      <c r="AC11201">
        <v>0.2063255</v>
      </c>
      <c r="AD11201">
        <v>1.5708979999999999</v>
      </c>
      <c r="AE11201">
        <v>0.63681160000000003</v>
      </c>
      <c r="AF11201">
        <v>320.43419999999998</v>
      </c>
      <c r="AG11201">
        <f>IFERROR(AH11201*0.1, "N/A")</f>
        <v>5.9268380000000001</v>
      </c>
      <c r="AH11201">
        <v>59.268380000000001</v>
      </c>
      <c r="AI11201">
        <v>196.04079999999999</v>
      </c>
      <c r="AJ11201">
        <v>21.194870000000002</v>
      </c>
      <c r="AK11201">
        <v>53.073500000000003</v>
      </c>
    </row>
    <row r="11202" spans="1:37" x14ac:dyDescent="0.3">
      <c r="A11202">
        <v>11201</v>
      </c>
      <c r="B11202">
        <v>26</v>
      </c>
      <c r="C11202">
        <v>-1.1499999999999999</v>
      </c>
      <c r="D11202">
        <v>11.833299999999999</v>
      </c>
      <c r="E11202">
        <f>-1.15-11.8333</f>
        <v>-12.9833</v>
      </c>
      <c r="F11202" t="s">
        <v>16674</v>
      </c>
      <c r="G11202" t="s">
        <v>39</v>
      </c>
      <c r="H11202">
        <v>1962</v>
      </c>
      <c r="I11202">
        <v>27.913329999999998</v>
      </c>
      <c r="J11202">
        <v>13</v>
      </c>
      <c r="K11202">
        <v>61.133330000000001</v>
      </c>
      <c r="L11202">
        <v>20.336269999999999</v>
      </c>
      <c r="M11202">
        <v>38.486669999999997</v>
      </c>
      <c r="N11202">
        <v>17.413329999999998</v>
      </c>
      <c r="O11202">
        <v>21.073329999999999</v>
      </c>
      <c r="P11202">
        <v>26.2</v>
      </c>
      <c r="Q11202">
        <v>26.3</v>
      </c>
      <c r="R11202">
        <v>31</v>
      </c>
      <c r="S11202">
        <v>26.2</v>
      </c>
      <c r="T11202">
        <v>810.14020000000005</v>
      </c>
      <c r="U11202">
        <v>232</v>
      </c>
      <c r="V11202">
        <v>0</v>
      </c>
      <c r="W11202">
        <v>111</v>
      </c>
      <c r="X11202">
        <v>544.24099999999999</v>
      </c>
      <c r="Y11202">
        <v>4</v>
      </c>
      <c r="Z11202">
        <v>114.241</v>
      </c>
      <c r="AA11202">
        <v>544.24099999999999</v>
      </c>
      <c r="AB11202">
        <v>5.1637579999999996</v>
      </c>
      <c r="AC11202">
        <v>2.8685849999999999E-2</v>
      </c>
      <c r="AD11202">
        <v>0.79380530000000005</v>
      </c>
      <c r="AE11202">
        <v>0.71940040000000005</v>
      </c>
      <c r="AF11202">
        <v>290.43759999999997</v>
      </c>
      <c r="AG11202">
        <f>IFERROR(AH11202*0.1, "N/A")</f>
        <v>6.2605130000000004</v>
      </c>
      <c r="AH11202">
        <v>62.605130000000003</v>
      </c>
      <c r="AI11202">
        <v>146.69380000000001</v>
      </c>
      <c r="AJ11202">
        <v>16.646149999999999</v>
      </c>
      <c r="AK11202">
        <v>57.374360000000003</v>
      </c>
    </row>
    <row r="11203" spans="1:37" x14ac:dyDescent="0.3">
      <c r="A11203">
        <v>11202</v>
      </c>
      <c r="B11203">
        <v>64</v>
      </c>
      <c r="C11203">
        <v>-1.84389</v>
      </c>
      <c r="D11203">
        <v>12.0131</v>
      </c>
      <c r="E11203">
        <f>-1.84389-12.0131</f>
        <v>-13.85699</v>
      </c>
      <c r="F11203" t="s">
        <v>16675</v>
      </c>
      <c r="G11203" t="s">
        <v>39</v>
      </c>
      <c r="H11203">
        <v>1962</v>
      </c>
      <c r="I11203">
        <v>27.7</v>
      </c>
      <c r="J11203">
        <v>13.6</v>
      </c>
      <c r="K11203">
        <v>58</v>
      </c>
      <c r="L11203">
        <v>22.72</v>
      </c>
      <c r="M11203">
        <v>38.9</v>
      </c>
      <c r="N11203">
        <v>15.7</v>
      </c>
      <c r="O11203">
        <v>23.2</v>
      </c>
      <c r="P11203">
        <v>26.3</v>
      </c>
      <c r="Q11203">
        <v>25.5</v>
      </c>
      <c r="R11203">
        <v>30.9</v>
      </c>
      <c r="S11203">
        <v>25.3</v>
      </c>
      <c r="T11203">
        <v>794</v>
      </c>
      <c r="U11203">
        <v>221</v>
      </c>
      <c r="V11203">
        <v>0</v>
      </c>
      <c r="W11203">
        <v>111</v>
      </c>
      <c r="X11203">
        <v>540</v>
      </c>
      <c r="Y11203">
        <v>2</v>
      </c>
      <c r="Z11203">
        <v>102</v>
      </c>
      <c r="AA11203">
        <v>4</v>
      </c>
      <c r="AB11203">
        <v>0.93049590000000004</v>
      </c>
      <c r="AC11203">
        <v>0.5414426</v>
      </c>
      <c r="AD11203">
        <v>1.5683590000000001</v>
      </c>
      <c r="AE11203">
        <v>0.44466919999999999</v>
      </c>
      <c r="AF11203">
        <v>304.45319999999998</v>
      </c>
      <c r="AG11203">
        <f>IFERROR(AH11203*0.1, "N/A")</f>
        <v>5.9833050000000005</v>
      </c>
      <c r="AH11203">
        <v>59.83305</v>
      </c>
      <c r="AI11203">
        <v>127.7068</v>
      </c>
      <c r="AJ11203">
        <v>24.083480000000002</v>
      </c>
      <c r="AK11203">
        <v>47</v>
      </c>
    </row>
    <row r="11204" spans="1:37" x14ac:dyDescent="0.3">
      <c r="A11204">
        <v>11203</v>
      </c>
      <c r="B11204">
        <v>54</v>
      </c>
      <c r="C11204">
        <v>-1.9166700000000001</v>
      </c>
      <c r="D11204">
        <v>11.95</v>
      </c>
      <c r="E11204">
        <f>-1.91667-11.95</f>
        <v>-13.866669999999999</v>
      </c>
      <c r="F11204" t="s">
        <v>16676</v>
      </c>
      <c r="G11204" t="s">
        <v>39</v>
      </c>
      <c r="H11204">
        <v>1962</v>
      </c>
      <c r="I11204">
        <v>27.624400000000001</v>
      </c>
      <c r="J11204">
        <v>13.52782</v>
      </c>
      <c r="K11204">
        <v>58.27816</v>
      </c>
      <c r="L11204">
        <v>22.579219999999999</v>
      </c>
      <c r="M11204">
        <v>38.727820000000001</v>
      </c>
      <c r="N11204">
        <v>15.8</v>
      </c>
      <c r="O11204">
        <v>22.927820000000001</v>
      </c>
      <c r="P11204">
        <v>26.2</v>
      </c>
      <c r="Q11204">
        <v>25.44556</v>
      </c>
      <c r="R11204">
        <v>30.845559999999999</v>
      </c>
      <c r="S11204">
        <v>25.245560000000001</v>
      </c>
      <c r="T11204">
        <v>801.41129999999998</v>
      </c>
      <c r="U11204">
        <v>222.7218</v>
      </c>
      <c r="V11204">
        <v>0</v>
      </c>
      <c r="W11204">
        <v>112</v>
      </c>
      <c r="X11204">
        <v>544.89930000000004</v>
      </c>
      <c r="Y11204">
        <v>2</v>
      </c>
      <c r="Z11204">
        <v>103.756</v>
      </c>
      <c r="AA11204">
        <v>4</v>
      </c>
      <c r="AB11204">
        <v>11.791130000000001</v>
      </c>
      <c r="AC11204">
        <v>1.2991910000000001E-2</v>
      </c>
      <c r="AD11204">
        <v>2.1405669999999999</v>
      </c>
      <c r="AE11204">
        <v>0.60989479999999996</v>
      </c>
      <c r="AF11204">
        <v>317.36860000000001</v>
      </c>
      <c r="AG11204">
        <f>IFERROR(AH11204*0.1, "N/A")</f>
        <v>6.0745730000000009</v>
      </c>
      <c r="AH11204">
        <v>60.745730000000002</v>
      </c>
      <c r="AI11204">
        <v>157.3158</v>
      </c>
      <c r="AJ11204">
        <v>19.51877</v>
      </c>
      <c r="AK11204">
        <v>53.738909999999997</v>
      </c>
    </row>
    <row r="11205" spans="1:37" x14ac:dyDescent="0.3">
      <c r="A11205">
        <v>11204</v>
      </c>
      <c r="B11205">
        <v>58</v>
      </c>
      <c r="C11205">
        <v>-0.90458400000000005</v>
      </c>
      <c r="D11205">
        <v>12.8109</v>
      </c>
      <c r="E11205">
        <f>-0.904584-12.8109</f>
        <v>-13.715484</v>
      </c>
      <c r="F11205" t="s">
        <v>16677</v>
      </c>
      <c r="G11205" t="s">
        <v>39</v>
      </c>
      <c r="H11205">
        <v>1962</v>
      </c>
      <c r="I11205">
        <v>28.1</v>
      </c>
      <c r="J11205">
        <v>13.4</v>
      </c>
      <c r="K11205">
        <v>59</v>
      </c>
      <c r="L11205">
        <v>23.17</v>
      </c>
      <c r="M11205">
        <v>39.1</v>
      </c>
      <c r="N11205">
        <v>16.7</v>
      </c>
      <c r="O11205">
        <v>22.4</v>
      </c>
      <c r="P11205">
        <v>26.6</v>
      </c>
      <c r="Q11205">
        <v>25.7</v>
      </c>
      <c r="R11205">
        <v>31.3</v>
      </c>
      <c r="S11205">
        <v>25.6</v>
      </c>
      <c r="T11205">
        <v>676</v>
      </c>
      <c r="U11205">
        <v>205</v>
      </c>
      <c r="V11205">
        <v>0</v>
      </c>
      <c r="W11205">
        <v>120</v>
      </c>
      <c r="X11205">
        <v>483</v>
      </c>
      <c r="Y11205">
        <v>2</v>
      </c>
      <c r="Z11205">
        <v>66</v>
      </c>
      <c r="AA11205">
        <v>2</v>
      </c>
      <c r="AB11205">
        <v>4.7447499999999998</v>
      </c>
      <c r="AC11205">
        <v>8.1327259999999998E-2</v>
      </c>
      <c r="AD11205">
        <v>1.8998980000000001</v>
      </c>
      <c r="AE11205">
        <v>0.3823473</v>
      </c>
      <c r="AF11205">
        <v>313.6576</v>
      </c>
      <c r="AG11205">
        <f>IFERROR(AH11205*0.1, "N/A")</f>
        <v>6.252542</v>
      </c>
      <c r="AH11205">
        <v>62.525419999999997</v>
      </c>
      <c r="AI11205">
        <v>186.27529999999999</v>
      </c>
      <c r="AJ11205">
        <v>17</v>
      </c>
      <c r="AK11205">
        <v>63.474580000000003</v>
      </c>
    </row>
    <row r="11206" spans="1:37" x14ac:dyDescent="0.3">
      <c r="A11206">
        <v>11205</v>
      </c>
      <c r="B11206">
        <v>69.3</v>
      </c>
      <c r="C11206">
        <v>-3.5237400000000001</v>
      </c>
      <c r="D11206">
        <v>11.489599999999999</v>
      </c>
      <c r="E11206">
        <f>-3.52374-11.4896</f>
        <v>-15.013339999999999</v>
      </c>
      <c r="F11206" t="s">
        <v>16678</v>
      </c>
      <c r="G11206" t="s">
        <v>39</v>
      </c>
      <c r="H11206">
        <v>1962</v>
      </c>
      <c r="I11206">
        <v>27.9</v>
      </c>
      <c r="J11206">
        <v>13.2</v>
      </c>
      <c r="K11206">
        <v>63</v>
      </c>
      <c r="L11206">
        <v>18.38</v>
      </c>
      <c r="M11206">
        <v>37.9</v>
      </c>
      <c r="N11206">
        <v>17.2</v>
      </c>
      <c r="O11206">
        <v>20.7</v>
      </c>
      <c r="P11206">
        <v>26.4</v>
      </c>
      <c r="Q11206">
        <v>26.4</v>
      </c>
      <c r="R11206">
        <v>30.6</v>
      </c>
      <c r="S11206">
        <v>26.3</v>
      </c>
      <c r="T11206">
        <v>934</v>
      </c>
      <c r="U11206">
        <v>250</v>
      </c>
      <c r="V11206">
        <v>1</v>
      </c>
      <c r="W11206">
        <v>106</v>
      </c>
      <c r="X11206">
        <v>612</v>
      </c>
      <c r="Y11206">
        <v>6</v>
      </c>
      <c r="Z11206">
        <v>137</v>
      </c>
      <c r="AA11206">
        <v>10</v>
      </c>
      <c r="AB11206">
        <v>2.6796319999999998</v>
      </c>
      <c r="AC11206">
        <v>2.5713610000000001E-2</v>
      </c>
      <c r="AD11206">
        <v>0.58960040000000002</v>
      </c>
      <c r="AE11206">
        <v>0.70798190000000005</v>
      </c>
      <c r="AF11206">
        <v>324.2962</v>
      </c>
      <c r="AG11206">
        <f>IFERROR(AH11206*0.1, "N/A")</f>
        <v>5.9164380000000003</v>
      </c>
      <c r="AH11206">
        <v>59.164380000000001</v>
      </c>
      <c r="AI11206">
        <v>112.8694</v>
      </c>
      <c r="AJ11206">
        <v>21.835619999999999</v>
      </c>
      <c r="AK11206">
        <v>55.49315</v>
      </c>
    </row>
    <row r="11207" spans="1:37" x14ac:dyDescent="0.3">
      <c r="A11207">
        <v>11206</v>
      </c>
      <c r="B11207">
        <v>0</v>
      </c>
      <c r="C11207">
        <v>-4.5192300000000003</v>
      </c>
      <c r="D11207">
        <v>11.883900000000001</v>
      </c>
      <c r="E11207">
        <f>-4.51923-11.8839</f>
        <v>-16.403130000000001</v>
      </c>
      <c r="F11207" t="s">
        <v>16679</v>
      </c>
      <c r="G11207" t="s">
        <v>39</v>
      </c>
      <c r="H11207">
        <v>1962</v>
      </c>
      <c r="I11207">
        <v>27</v>
      </c>
      <c r="J11207">
        <v>13.9</v>
      </c>
      <c r="K11207">
        <v>60</v>
      </c>
      <c r="L11207">
        <v>21.32</v>
      </c>
      <c r="M11207">
        <v>37.4</v>
      </c>
      <c r="N11207">
        <v>14.5</v>
      </c>
      <c r="O11207">
        <v>22.9</v>
      </c>
      <c r="P11207">
        <v>26</v>
      </c>
      <c r="Q11207">
        <v>24.6</v>
      </c>
      <c r="R11207">
        <v>30</v>
      </c>
      <c r="S11207">
        <v>24.6</v>
      </c>
      <c r="T11207">
        <v>953</v>
      </c>
      <c r="U11207">
        <v>254</v>
      </c>
      <c r="V11207">
        <v>0</v>
      </c>
      <c r="W11207">
        <v>110</v>
      </c>
      <c r="X11207">
        <v>645</v>
      </c>
      <c r="Y11207">
        <v>4</v>
      </c>
      <c r="Z11207">
        <v>126</v>
      </c>
      <c r="AA11207">
        <v>4</v>
      </c>
      <c r="AB11207">
        <v>2.2726799999999998</v>
      </c>
      <c r="AC11207">
        <v>1.884687</v>
      </c>
      <c r="AD11207">
        <v>1.2413989999999999</v>
      </c>
      <c r="AE11207">
        <v>0.33005810000000002</v>
      </c>
      <c r="AF11207">
        <v>382.65870000000001</v>
      </c>
      <c r="AG11207">
        <f>IFERROR(AH11207*0.1, "N/A")</f>
        <v>5.6981320000000002</v>
      </c>
      <c r="AH11207">
        <v>56.981319999999997</v>
      </c>
      <c r="AI11207">
        <v>187.1617</v>
      </c>
      <c r="AJ11207">
        <v>15.01868</v>
      </c>
      <c r="AK11207">
        <v>60.064520000000002</v>
      </c>
    </row>
    <row r="11208" spans="1:37" x14ac:dyDescent="0.3">
      <c r="A11208">
        <v>11207</v>
      </c>
      <c r="B11208">
        <v>66.7</v>
      </c>
      <c r="C11208">
        <v>-4.8666700000000001</v>
      </c>
      <c r="D11208">
        <v>11.833299999999999</v>
      </c>
      <c r="E11208">
        <f>-4.86667-11.8333</f>
        <v>-16.69997</v>
      </c>
      <c r="F11208" t="s">
        <v>16680</v>
      </c>
      <c r="G11208" t="s">
        <v>39</v>
      </c>
      <c r="H11208">
        <v>1962</v>
      </c>
      <c r="I11208">
        <v>27.29607</v>
      </c>
      <c r="J11208">
        <v>13.9</v>
      </c>
      <c r="K11208">
        <v>60</v>
      </c>
      <c r="L11208">
        <v>20.897490000000001</v>
      </c>
      <c r="M11208">
        <v>37.5</v>
      </c>
      <c r="N11208">
        <v>14.66188</v>
      </c>
      <c r="O11208">
        <v>22.83812</v>
      </c>
      <c r="P11208">
        <v>26.29607</v>
      </c>
      <c r="Q11208">
        <v>24.908719999999999</v>
      </c>
      <c r="R11208">
        <v>30.2</v>
      </c>
      <c r="S11208">
        <v>24.908719999999999</v>
      </c>
      <c r="T11208">
        <v>993.87350000000004</v>
      </c>
      <c r="U11208">
        <v>269</v>
      </c>
      <c r="V11208">
        <v>1</v>
      </c>
      <c r="W11208">
        <v>110</v>
      </c>
      <c r="X11208">
        <v>669.21540000000005</v>
      </c>
      <c r="Y11208">
        <v>6</v>
      </c>
      <c r="Z11208">
        <v>133.65809999999999</v>
      </c>
      <c r="AA11208">
        <v>7.2102560000000002</v>
      </c>
      <c r="AB11208">
        <v>6.4829150000000002</v>
      </c>
      <c r="AC11208">
        <v>3.8614870000000003E-2</v>
      </c>
      <c r="AD11208">
        <v>1.123947</v>
      </c>
      <c r="AE11208">
        <v>0.50257260000000004</v>
      </c>
      <c r="AF11208">
        <v>331.38799999999998</v>
      </c>
      <c r="AG11208">
        <f>IFERROR(AH11208*0.1, "N/A")</f>
        <v>5.4834190000000005</v>
      </c>
      <c r="AH11208">
        <v>54.83419</v>
      </c>
      <c r="AI11208">
        <v>122.78360000000001</v>
      </c>
      <c r="AJ11208">
        <v>24.434190000000001</v>
      </c>
      <c r="AK11208">
        <v>42.772649999999999</v>
      </c>
    </row>
    <row r="11209" spans="1:37" x14ac:dyDescent="0.3">
      <c r="A11209">
        <v>11208</v>
      </c>
      <c r="B11209">
        <v>30</v>
      </c>
      <c r="C11209">
        <v>-5.0038600000000004</v>
      </c>
      <c r="D11209">
        <v>10.4756</v>
      </c>
      <c r="E11209">
        <f>-5.00386-10.4756</f>
        <v>-15.47946</v>
      </c>
      <c r="F11209" t="s">
        <v>16681</v>
      </c>
      <c r="G11209" t="s">
        <v>39</v>
      </c>
      <c r="H11209">
        <v>1962</v>
      </c>
      <c r="I11209">
        <v>27.179549999999999</v>
      </c>
      <c r="J11209">
        <v>12.3</v>
      </c>
      <c r="K11209">
        <v>64</v>
      </c>
      <c r="L11209">
        <v>15.327249999999999</v>
      </c>
      <c r="M11209">
        <v>36.5</v>
      </c>
      <c r="N11209">
        <v>17.420449999999999</v>
      </c>
      <c r="O11209">
        <v>19.079550000000001</v>
      </c>
      <c r="P11209">
        <v>25.75911</v>
      </c>
      <c r="Q11209">
        <v>26.4</v>
      </c>
      <c r="R11209">
        <v>29.4</v>
      </c>
      <c r="S11209">
        <v>25.75911</v>
      </c>
      <c r="T11209">
        <v>1109.431</v>
      </c>
      <c r="U11209">
        <v>287</v>
      </c>
      <c r="V11209">
        <v>1.204467</v>
      </c>
      <c r="W11209">
        <v>98</v>
      </c>
      <c r="X11209">
        <v>688.20450000000005</v>
      </c>
      <c r="Y11209">
        <v>10.40893</v>
      </c>
      <c r="Z11209">
        <v>192.40889999999999</v>
      </c>
      <c r="AA11209">
        <v>688.20450000000005</v>
      </c>
      <c r="AB11209">
        <v>22.635919999999999</v>
      </c>
      <c r="AC11209">
        <v>9.1016229999999997E-3</v>
      </c>
      <c r="AD11209">
        <v>1.6092059999999999</v>
      </c>
      <c r="AE11209">
        <v>0.56194319999999998</v>
      </c>
      <c r="AF11209">
        <v>327.00170000000003</v>
      </c>
      <c r="AG11209">
        <f>IFERROR(AH11209*0.1, "N/A")</f>
        <v>5.9843640000000002</v>
      </c>
      <c r="AH11209">
        <v>59.843640000000001</v>
      </c>
      <c r="AI11209">
        <v>227.53700000000001</v>
      </c>
      <c r="AJ11209">
        <v>14.646050000000001</v>
      </c>
      <c r="AK11209">
        <v>63.271479999999997</v>
      </c>
    </row>
    <row r="11210" spans="1:37" x14ac:dyDescent="0.3">
      <c r="A11210">
        <v>11209</v>
      </c>
      <c r="B11210">
        <v>20.2</v>
      </c>
      <c r="C11210">
        <v>-1.7902800000000001</v>
      </c>
      <c r="D11210">
        <v>13.008100000000001</v>
      </c>
      <c r="E11210">
        <f>-1.79028-13.0081</f>
        <v>-14.798380000000002</v>
      </c>
      <c r="F11210" t="s">
        <v>16682</v>
      </c>
      <c r="G11210" t="s">
        <v>39</v>
      </c>
      <c r="H11210">
        <v>1962</v>
      </c>
      <c r="I11210">
        <v>27.98</v>
      </c>
      <c r="J11210">
        <v>13.6</v>
      </c>
      <c r="K11210">
        <v>60</v>
      </c>
      <c r="L11210">
        <v>22.236000000000001</v>
      </c>
      <c r="M11210">
        <v>38.92</v>
      </c>
      <c r="N11210">
        <v>16.48</v>
      </c>
      <c r="O11210">
        <v>22.44</v>
      </c>
      <c r="P11210">
        <v>26.68</v>
      </c>
      <c r="Q11210">
        <v>25.58</v>
      </c>
      <c r="R11210">
        <v>31.1</v>
      </c>
      <c r="S11210">
        <v>25.58</v>
      </c>
      <c r="T11210">
        <v>672.2</v>
      </c>
      <c r="U11210">
        <v>199</v>
      </c>
      <c r="V11210">
        <v>0</v>
      </c>
      <c r="W11210">
        <v>119</v>
      </c>
      <c r="X11210">
        <v>478.2</v>
      </c>
      <c r="Y11210">
        <v>0</v>
      </c>
      <c r="Z11210">
        <v>73</v>
      </c>
      <c r="AA11210">
        <v>0</v>
      </c>
      <c r="AB11210">
        <v>1.6562829999999999</v>
      </c>
      <c r="AC11210">
        <v>0.1761006</v>
      </c>
      <c r="AD11210">
        <v>0.99606709999999998</v>
      </c>
      <c r="AE11210">
        <v>0.4489457</v>
      </c>
      <c r="AF11210">
        <v>326.27120000000002</v>
      </c>
      <c r="AG11210">
        <f>IFERROR(AH11210*0.1, "N/A")</f>
        <v>6.3105080000000005</v>
      </c>
      <c r="AH11210">
        <v>63.105080000000001</v>
      </c>
      <c r="AI11210">
        <v>198.20509999999999</v>
      </c>
      <c r="AJ11210">
        <v>24.579660000000001</v>
      </c>
      <c r="AK11210">
        <v>58.210169999999998</v>
      </c>
    </row>
    <row r="11211" spans="1:37" x14ac:dyDescent="0.3">
      <c r="A11211">
        <v>11210</v>
      </c>
      <c r="B11211">
        <v>6.4</v>
      </c>
      <c r="C11211">
        <v>-0.35166999999999998</v>
      </c>
      <c r="D11211">
        <v>12.179399999999999</v>
      </c>
      <c r="E11211">
        <f>-0.35167-12.1794</f>
        <v>-12.53107</v>
      </c>
      <c r="F11211" t="s">
        <v>16683</v>
      </c>
      <c r="G11211" t="s">
        <v>39</v>
      </c>
      <c r="H11211">
        <v>1962</v>
      </c>
      <c r="I11211">
        <v>28.2</v>
      </c>
      <c r="J11211">
        <v>13.5</v>
      </c>
      <c r="K11211">
        <v>61</v>
      </c>
      <c r="L11211">
        <v>21.83</v>
      </c>
      <c r="M11211">
        <v>39.299999999999997</v>
      </c>
      <c r="N11211">
        <v>17.2</v>
      </c>
      <c r="O11211">
        <v>22.1</v>
      </c>
      <c r="P11211">
        <v>26.6</v>
      </c>
      <c r="Q11211">
        <v>26.3</v>
      </c>
      <c r="R11211">
        <v>31.5</v>
      </c>
      <c r="S11211">
        <v>26.3</v>
      </c>
      <c r="T11211">
        <v>794</v>
      </c>
      <c r="U11211">
        <v>239</v>
      </c>
      <c r="V11211">
        <v>0</v>
      </c>
      <c r="W11211">
        <v>116</v>
      </c>
      <c r="X11211">
        <v>554</v>
      </c>
      <c r="Y11211">
        <v>3</v>
      </c>
      <c r="Z11211">
        <v>93</v>
      </c>
      <c r="AA11211">
        <v>4</v>
      </c>
      <c r="AB11211">
        <v>9.9165270000000003</v>
      </c>
      <c r="AC11211">
        <v>5.4113759999999997E-2</v>
      </c>
      <c r="AD11211">
        <v>0.99378049999999996</v>
      </c>
      <c r="AE11211">
        <v>0.7566659</v>
      </c>
      <c r="AF11211">
        <v>302.4889</v>
      </c>
      <c r="AG11211">
        <f>IFERROR(AH11211*0.1, "N/A")</f>
        <v>5.6873940000000003</v>
      </c>
      <c r="AH11211">
        <v>56.873939999999997</v>
      </c>
      <c r="AI11211">
        <v>209.7508</v>
      </c>
      <c r="AJ11211">
        <v>29.252130000000001</v>
      </c>
      <c r="AK11211">
        <v>49</v>
      </c>
    </row>
    <row r="11212" spans="1:37" x14ac:dyDescent="0.3">
      <c r="A11212">
        <v>11211</v>
      </c>
      <c r="B11212">
        <v>20.6</v>
      </c>
      <c r="C11212">
        <v>-0.31667000000000001</v>
      </c>
      <c r="D11212">
        <v>12.083299999999999</v>
      </c>
      <c r="E11212">
        <f>-0.31667-12.0833</f>
        <v>-12.39997</v>
      </c>
      <c r="F11212" t="s">
        <v>16684</v>
      </c>
      <c r="G11212" t="s">
        <v>39</v>
      </c>
      <c r="H11212">
        <v>1962</v>
      </c>
      <c r="I11212">
        <v>28</v>
      </c>
      <c r="J11212">
        <v>13.405099999999999</v>
      </c>
      <c r="K11212">
        <v>60</v>
      </c>
      <c r="L11212">
        <v>22.195920000000001</v>
      </c>
      <c r="M11212">
        <v>39.110199999999999</v>
      </c>
      <c r="N11212">
        <v>17.09065</v>
      </c>
      <c r="O11212">
        <v>22.019559999999998</v>
      </c>
      <c r="P11212">
        <v>26.2</v>
      </c>
      <c r="Q11212">
        <v>26.190650000000002</v>
      </c>
      <c r="R11212">
        <v>31.305099999999999</v>
      </c>
      <c r="S11212">
        <v>26</v>
      </c>
      <c r="T11212">
        <v>810.4932</v>
      </c>
      <c r="U11212">
        <v>237</v>
      </c>
      <c r="V11212">
        <v>0</v>
      </c>
      <c r="W11212">
        <v>115</v>
      </c>
      <c r="X11212">
        <v>559.43539999999996</v>
      </c>
      <c r="Y11212">
        <v>2.093537</v>
      </c>
      <c r="Z11212">
        <v>102.4354</v>
      </c>
      <c r="AA11212">
        <v>3.093537</v>
      </c>
      <c r="AB11212">
        <v>4.5843590000000001</v>
      </c>
      <c r="AC11212">
        <v>9.7558109999999996E-3</v>
      </c>
      <c r="AD11212">
        <v>1.162412</v>
      </c>
      <c r="AE11212">
        <v>0.65135480000000001</v>
      </c>
      <c r="AF11212">
        <v>293.07479999999998</v>
      </c>
      <c r="AG11212">
        <f>IFERROR(AH11212*0.1, "N/A")</f>
        <v>6.014456</v>
      </c>
      <c r="AH11212">
        <v>60.144559999999998</v>
      </c>
      <c r="AI11212">
        <v>251.94239999999999</v>
      </c>
      <c r="AJ11212">
        <v>15.28912</v>
      </c>
      <c r="AK11212">
        <v>59.566330000000001</v>
      </c>
    </row>
    <row r="11213" spans="1:37" x14ac:dyDescent="0.3">
      <c r="A11213">
        <v>11212</v>
      </c>
      <c r="B11213">
        <v>0</v>
      </c>
      <c r="C11213">
        <v>-0.239428</v>
      </c>
      <c r="D11213">
        <v>12.1782</v>
      </c>
      <c r="E11213">
        <f>-0.239428-12.1782</f>
        <v>-12.417628000000001</v>
      </c>
      <c r="F11213" t="s">
        <v>16685</v>
      </c>
      <c r="G11213" t="s">
        <v>39</v>
      </c>
      <c r="H11213">
        <v>1962</v>
      </c>
      <c r="I11213">
        <v>28.1</v>
      </c>
      <c r="J11213">
        <v>13.5</v>
      </c>
      <c r="K11213">
        <v>61</v>
      </c>
      <c r="L11213">
        <v>22.04</v>
      </c>
      <c r="M11213">
        <v>39.200000000000003</v>
      </c>
      <c r="N11213">
        <v>17.100000000000001</v>
      </c>
      <c r="O11213">
        <v>22.1</v>
      </c>
      <c r="P11213">
        <v>26.4</v>
      </c>
      <c r="Q11213">
        <v>26.2</v>
      </c>
      <c r="R11213">
        <v>31.4</v>
      </c>
      <c r="S11213">
        <v>26.1</v>
      </c>
      <c r="T11213">
        <v>785</v>
      </c>
      <c r="U11213">
        <v>235</v>
      </c>
      <c r="V11213">
        <v>0</v>
      </c>
      <c r="W11213">
        <v>117</v>
      </c>
      <c r="X11213">
        <v>552</v>
      </c>
      <c r="Y11213">
        <v>3</v>
      </c>
      <c r="Z11213">
        <v>90</v>
      </c>
      <c r="AA11213">
        <v>4</v>
      </c>
      <c r="AB11213">
        <v>5.3213879999999998</v>
      </c>
      <c r="AC11213">
        <v>2.9974029999999999E-2</v>
      </c>
      <c r="AD11213">
        <v>2.3910830000000001</v>
      </c>
      <c r="AE11213">
        <v>0.7032429</v>
      </c>
      <c r="AF11213">
        <v>305.21899999999999</v>
      </c>
      <c r="AG11213">
        <f>IFERROR(AH11213*0.1, "N/A")</f>
        <v>5.9302210000000004</v>
      </c>
      <c r="AH11213">
        <v>59.302210000000002</v>
      </c>
      <c r="AI11213">
        <v>219.09309999999999</v>
      </c>
      <c r="AJ11213">
        <v>13.679119999999999</v>
      </c>
      <c r="AK11213">
        <v>59.470289999999999</v>
      </c>
    </row>
    <row r="11214" spans="1:37" x14ac:dyDescent="0.3">
      <c r="A11214">
        <v>11213</v>
      </c>
      <c r="B11214">
        <v>0</v>
      </c>
      <c r="C11214">
        <v>-0.15</v>
      </c>
      <c r="D11214">
        <v>12.2</v>
      </c>
      <c r="E11214">
        <f>-0.15-12.2</f>
        <v>-12.35</v>
      </c>
      <c r="F11214" t="s">
        <v>16686</v>
      </c>
      <c r="G11214" t="s">
        <v>39</v>
      </c>
      <c r="H11214">
        <v>1962</v>
      </c>
      <c r="I11214">
        <v>28.07424</v>
      </c>
      <c r="J11214">
        <v>13.526949999999999</v>
      </c>
      <c r="K11214">
        <v>60.755929999999999</v>
      </c>
      <c r="L11214">
        <v>22.30883</v>
      </c>
      <c r="M11214">
        <v>39.174239999999998</v>
      </c>
      <c r="N11214">
        <v>17.022880000000001</v>
      </c>
      <c r="O11214">
        <v>22.15136</v>
      </c>
      <c r="P11214">
        <v>26.37424</v>
      </c>
      <c r="Q11214">
        <v>26.04729</v>
      </c>
      <c r="R11214">
        <v>31.37424</v>
      </c>
      <c r="S11214">
        <v>26.022880000000001</v>
      </c>
      <c r="T11214">
        <v>771.98140000000001</v>
      </c>
      <c r="U11214">
        <v>231.5017</v>
      </c>
      <c r="V11214">
        <v>0</v>
      </c>
      <c r="W11214">
        <v>118.77119999999999</v>
      </c>
      <c r="X11214">
        <v>549.77459999999996</v>
      </c>
      <c r="Y11214">
        <v>2</v>
      </c>
      <c r="Z11214">
        <v>84.003389999999996</v>
      </c>
      <c r="AA11214">
        <v>2.4728810000000001</v>
      </c>
      <c r="AB11214">
        <v>11.65118</v>
      </c>
      <c r="AC11214">
        <v>4.2699670000000002E-2</v>
      </c>
      <c r="AD11214">
        <v>1.269822</v>
      </c>
      <c r="AE11214">
        <v>0.68192059999999999</v>
      </c>
      <c r="AF11214">
        <v>316.23559999999998</v>
      </c>
      <c r="AG11214">
        <f>IFERROR(AH11214*0.1, "N/A")</f>
        <v>6.2</v>
      </c>
      <c r="AH11214">
        <v>62</v>
      </c>
      <c r="AI11214">
        <v>181.56100000000001</v>
      </c>
      <c r="AJ11214">
        <v>16.94576</v>
      </c>
      <c r="AK11214">
        <v>60.581359999999997</v>
      </c>
    </row>
    <row r="11215" spans="1:37" x14ac:dyDescent="0.3">
      <c r="A11215">
        <v>11214</v>
      </c>
      <c r="B11215">
        <v>0</v>
      </c>
      <c r="C11215">
        <v>-6.8113999999999994E-2</v>
      </c>
      <c r="D11215">
        <v>12.1386</v>
      </c>
      <c r="E11215">
        <f>-0.068114-12.1386</f>
        <v>-12.206714</v>
      </c>
      <c r="F11215" t="s">
        <v>16687</v>
      </c>
      <c r="G11215" t="s">
        <v>39</v>
      </c>
      <c r="H11215">
        <v>1962</v>
      </c>
      <c r="I11215">
        <v>28</v>
      </c>
      <c r="J11215">
        <v>13.5</v>
      </c>
      <c r="K11215">
        <v>60</v>
      </c>
      <c r="L11215">
        <v>22.17</v>
      </c>
      <c r="M11215">
        <v>39.200000000000003</v>
      </c>
      <c r="N11215">
        <v>17</v>
      </c>
      <c r="O11215">
        <v>22.2</v>
      </c>
      <c r="P11215">
        <v>26.3</v>
      </c>
      <c r="Q11215">
        <v>26</v>
      </c>
      <c r="R11215">
        <v>31.3</v>
      </c>
      <c r="S11215">
        <v>26</v>
      </c>
      <c r="T11215">
        <v>779</v>
      </c>
      <c r="U11215">
        <v>233</v>
      </c>
      <c r="V11215">
        <v>0</v>
      </c>
      <c r="W11215">
        <v>120</v>
      </c>
      <c r="X11215">
        <v>558</v>
      </c>
      <c r="Y11215">
        <v>2</v>
      </c>
      <c r="Z11215">
        <v>84</v>
      </c>
      <c r="AA11215">
        <v>2</v>
      </c>
      <c r="AB11215">
        <v>1.894026</v>
      </c>
      <c r="AC11215">
        <v>9.9740510000000004E-2</v>
      </c>
      <c r="AD11215">
        <v>1.486523</v>
      </c>
      <c r="AE11215">
        <v>0.46030660000000001</v>
      </c>
      <c r="AF11215">
        <v>317</v>
      </c>
      <c r="AG11215">
        <f>IFERROR(AH11215*0.1, "N/A")</f>
        <v>6.1253830000000002</v>
      </c>
      <c r="AH11215">
        <v>61.253830000000001</v>
      </c>
      <c r="AI11215">
        <v>89.150360000000006</v>
      </c>
      <c r="AJ11215">
        <v>14.75128</v>
      </c>
      <c r="AK11215">
        <v>63.248719999999999</v>
      </c>
    </row>
    <row r="11216" spans="1:37" x14ac:dyDescent="0.3">
      <c r="A11216">
        <v>11215</v>
      </c>
      <c r="B11216">
        <v>100</v>
      </c>
      <c r="C11216">
        <v>-1.52698</v>
      </c>
      <c r="D11216">
        <v>13.323399999999999</v>
      </c>
      <c r="E11216">
        <f>-1.52698-13.3234</f>
        <v>-14.850379999999999</v>
      </c>
      <c r="F11216" t="s">
        <v>16688</v>
      </c>
      <c r="G11216" t="s">
        <v>39</v>
      </c>
      <c r="H11216">
        <v>1962</v>
      </c>
      <c r="I11216">
        <v>28.2</v>
      </c>
      <c r="J11216">
        <v>13.6</v>
      </c>
      <c r="K11216">
        <v>59</v>
      </c>
      <c r="L11216">
        <v>23.35</v>
      </c>
      <c r="M11216">
        <v>39.200000000000003</v>
      </c>
      <c r="N11216">
        <v>16.399999999999999</v>
      </c>
      <c r="O11216">
        <v>22.8</v>
      </c>
      <c r="P11216">
        <v>27.1</v>
      </c>
      <c r="Q11216">
        <v>25.5</v>
      </c>
      <c r="R11216">
        <v>31.3</v>
      </c>
      <c r="S11216">
        <v>25.5</v>
      </c>
      <c r="T11216">
        <v>621</v>
      </c>
      <c r="U11216">
        <v>195</v>
      </c>
      <c r="V11216">
        <v>0</v>
      </c>
      <c r="W11216">
        <v>125</v>
      </c>
      <c r="X11216">
        <v>451</v>
      </c>
      <c r="Y11216">
        <v>0</v>
      </c>
      <c r="Z11216">
        <v>57</v>
      </c>
      <c r="AA11216">
        <v>0</v>
      </c>
      <c r="AB11216">
        <v>5.1265710000000002</v>
      </c>
      <c r="AC11216">
        <v>3.0937300000000001E-2</v>
      </c>
      <c r="AD11216">
        <v>1.2878430000000001</v>
      </c>
      <c r="AE11216">
        <v>0.6877605</v>
      </c>
      <c r="AF11216">
        <v>311.1472</v>
      </c>
      <c r="AG11216">
        <f>IFERROR(AH11216*0.1, "N/A")</f>
        <v>6.5025380000000004</v>
      </c>
      <c r="AH11216">
        <v>65.025379999999998</v>
      </c>
      <c r="AI11216">
        <v>55.009160000000001</v>
      </c>
      <c r="AJ11216">
        <v>29.803719999999998</v>
      </c>
      <c r="AK11216">
        <v>49.39255</v>
      </c>
    </row>
    <row r="11217" spans="1:37" x14ac:dyDescent="0.3">
      <c r="A11217">
        <v>11216</v>
      </c>
      <c r="B11217">
        <v>65.7</v>
      </c>
      <c r="C11217">
        <v>-1.72611</v>
      </c>
      <c r="D11217">
        <v>13.291399999999999</v>
      </c>
      <c r="E11217">
        <f>-1.72611-13.2914</f>
        <v>-15.01751</v>
      </c>
      <c r="F11217" t="s">
        <v>16689</v>
      </c>
      <c r="G11217" t="s">
        <v>39</v>
      </c>
      <c r="H11217">
        <v>1962</v>
      </c>
      <c r="I11217">
        <v>28.008970000000001</v>
      </c>
      <c r="J11217">
        <v>13.7</v>
      </c>
      <c r="K11217">
        <v>60</v>
      </c>
      <c r="L11217">
        <v>23.125579999999999</v>
      </c>
      <c r="M11217">
        <v>39.054479999999998</v>
      </c>
      <c r="N11217">
        <v>16.254480000000001</v>
      </c>
      <c r="O11217">
        <v>22.8</v>
      </c>
      <c r="P11217">
        <v>26.808969999999999</v>
      </c>
      <c r="Q11217">
        <v>25.354479999999999</v>
      </c>
      <c r="R11217">
        <v>31.15448</v>
      </c>
      <c r="S11217">
        <v>25.354479999999999</v>
      </c>
      <c r="T11217">
        <v>649.54480000000001</v>
      </c>
      <c r="U11217">
        <v>198.54480000000001</v>
      </c>
      <c r="V11217">
        <v>0</v>
      </c>
      <c r="W11217">
        <v>122</v>
      </c>
      <c r="X11217">
        <v>469.54480000000001</v>
      </c>
      <c r="Y11217">
        <v>1</v>
      </c>
      <c r="Z11217">
        <v>60</v>
      </c>
      <c r="AA11217">
        <v>1</v>
      </c>
      <c r="AB11217">
        <v>10.97767</v>
      </c>
      <c r="AC11217">
        <v>8.3233070000000003E-3</v>
      </c>
      <c r="AD11217">
        <v>2.8399730000000001</v>
      </c>
      <c r="AE11217">
        <v>0.3469893</v>
      </c>
      <c r="AF11217">
        <v>352.28429999999997</v>
      </c>
      <c r="AG11217">
        <f>IFERROR(AH11217*0.1, "N/A")</f>
        <v>6.7</v>
      </c>
      <c r="AH11217">
        <v>67</v>
      </c>
      <c r="AI11217">
        <v>158.3801</v>
      </c>
      <c r="AJ11217">
        <v>22</v>
      </c>
      <c r="AK11217">
        <v>60</v>
      </c>
    </row>
    <row r="11218" spans="1:37" x14ac:dyDescent="0.3">
      <c r="A11218">
        <v>11217</v>
      </c>
      <c r="B11218">
        <v>54.1</v>
      </c>
      <c r="C11218">
        <v>-2.98333</v>
      </c>
      <c r="D11218">
        <v>10.466699999999999</v>
      </c>
      <c r="E11218">
        <f>-2.98333-10.4667</f>
        <v>-13.45003</v>
      </c>
      <c r="F11218" t="s">
        <v>16690</v>
      </c>
      <c r="G11218" t="s">
        <v>39</v>
      </c>
      <c r="H11218">
        <v>1962</v>
      </c>
      <c r="I11218">
        <v>27.8</v>
      </c>
      <c r="J11218">
        <v>12.2</v>
      </c>
      <c r="K11218">
        <v>65</v>
      </c>
      <c r="L11218">
        <v>16.607469999999999</v>
      </c>
      <c r="M11218">
        <v>37.505479999999999</v>
      </c>
      <c r="N11218">
        <v>18.857530000000001</v>
      </c>
      <c r="O11218">
        <v>18.647950000000002</v>
      </c>
      <c r="P11218">
        <v>25.81438</v>
      </c>
      <c r="Q11218">
        <v>27.55753</v>
      </c>
      <c r="R11218">
        <v>30.1</v>
      </c>
      <c r="S11218">
        <v>25.81438</v>
      </c>
      <c r="T11218">
        <v>968.97950000000003</v>
      </c>
      <c r="U11218">
        <v>242.9452</v>
      </c>
      <c r="V11218">
        <v>1</v>
      </c>
      <c r="W11218">
        <v>99.424660000000003</v>
      </c>
      <c r="X11218">
        <v>602.8904</v>
      </c>
      <c r="Y11218">
        <v>6.575342</v>
      </c>
      <c r="Z11218">
        <v>65.575339999999997</v>
      </c>
      <c r="AA11218">
        <v>602.8904</v>
      </c>
      <c r="AB11218">
        <v>8.6237879999999993</v>
      </c>
      <c r="AC11218">
        <v>2.4087830000000001E-2</v>
      </c>
      <c r="AD11218">
        <v>3.3001649999999998</v>
      </c>
      <c r="AE11218">
        <v>0.6970615</v>
      </c>
      <c r="AF11218">
        <v>273.67809999999997</v>
      </c>
      <c r="AG11218">
        <f>IFERROR(AH11218*0.1, "N/A")</f>
        <v>6.0863010000000006</v>
      </c>
      <c r="AH11218">
        <v>60.863010000000003</v>
      </c>
      <c r="AI11218">
        <v>103.6527</v>
      </c>
      <c r="AJ11218">
        <v>19.321919999999999</v>
      </c>
      <c r="AK11218">
        <v>59.732880000000002</v>
      </c>
    </row>
    <row r="11219" spans="1:37" x14ac:dyDescent="0.3">
      <c r="A11219">
        <v>11218</v>
      </c>
      <c r="B11219">
        <v>81.5</v>
      </c>
      <c r="C11219">
        <v>-4.8166700000000002</v>
      </c>
      <c r="D11219">
        <v>10.666700000000001</v>
      </c>
      <c r="E11219">
        <f>-4.81667-10.6667</f>
        <v>-15.483370000000001</v>
      </c>
      <c r="F11219" t="s">
        <v>16691</v>
      </c>
      <c r="G11219" t="s">
        <v>39</v>
      </c>
      <c r="H11219">
        <v>1962</v>
      </c>
      <c r="I11219">
        <v>27.63579</v>
      </c>
      <c r="J11219">
        <v>12.5601</v>
      </c>
      <c r="K11219">
        <v>62.601030000000002</v>
      </c>
      <c r="L11219">
        <v>16.861039999999999</v>
      </c>
      <c r="M11219">
        <v>37.200000000000003</v>
      </c>
      <c r="N11219">
        <v>17.3</v>
      </c>
      <c r="O11219">
        <v>19.899999999999999</v>
      </c>
      <c r="P11219">
        <v>26.3</v>
      </c>
      <c r="Q11219">
        <v>26.3</v>
      </c>
      <c r="R11219">
        <v>30.2</v>
      </c>
      <c r="S11219">
        <v>26.1601</v>
      </c>
      <c r="T11219">
        <v>1076.798</v>
      </c>
      <c r="U11219">
        <v>280.399</v>
      </c>
      <c r="V11219">
        <v>1</v>
      </c>
      <c r="W11219">
        <v>100</v>
      </c>
      <c r="X11219">
        <v>674.79790000000003</v>
      </c>
      <c r="Y11219">
        <v>8</v>
      </c>
      <c r="Z11219">
        <v>184</v>
      </c>
      <c r="AA11219">
        <v>14</v>
      </c>
      <c r="AB11219">
        <v>0.73253670000000004</v>
      </c>
      <c r="AC11219">
        <v>0.45965010000000001</v>
      </c>
      <c r="AD11219">
        <v>0.84378319999999996</v>
      </c>
      <c r="AE11219">
        <v>0.647895</v>
      </c>
      <c r="AF11219">
        <v>275.01369999999997</v>
      </c>
      <c r="AG11219">
        <f>IFERROR(AH11219*0.1, "N/A")</f>
        <v>6.3578770000000002</v>
      </c>
      <c r="AH11219">
        <v>63.578769999999999</v>
      </c>
      <c r="AI11219">
        <v>178.6404</v>
      </c>
      <c r="AJ11219">
        <v>20.212330000000001</v>
      </c>
      <c r="AK11219">
        <v>59.787669999999999</v>
      </c>
    </row>
    <row r="11220" spans="1:37" x14ac:dyDescent="0.3">
      <c r="A11220">
        <v>11219</v>
      </c>
      <c r="B11220">
        <v>34.5</v>
      </c>
      <c r="C11220">
        <v>-3.04013</v>
      </c>
      <c r="D11220">
        <v>12.4465</v>
      </c>
      <c r="E11220">
        <f>-3.04013-12.4465</f>
        <v>-15.48663</v>
      </c>
      <c r="F11220" t="s">
        <v>16692</v>
      </c>
      <c r="G11220" t="s">
        <v>39</v>
      </c>
      <c r="H11220">
        <v>1962</v>
      </c>
      <c r="I11220">
        <v>28.4</v>
      </c>
      <c r="J11220">
        <v>13.5</v>
      </c>
      <c r="K11220">
        <v>62</v>
      </c>
      <c r="L11220">
        <v>21.92</v>
      </c>
      <c r="M11220">
        <v>39.4</v>
      </c>
      <c r="N11220">
        <v>17.7</v>
      </c>
      <c r="O11220">
        <v>21.7</v>
      </c>
      <c r="P11220">
        <v>26.7</v>
      </c>
      <c r="Q11220">
        <v>26.6</v>
      </c>
      <c r="R11220">
        <v>31.7</v>
      </c>
      <c r="S11220">
        <v>26.5</v>
      </c>
      <c r="T11220">
        <v>759</v>
      </c>
      <c r="U11220">
        <v>216</v>
      </c>
      <c r="V11220">
        <v>0</v>
      </c>
      <c r="W11220">
        <v>114</v>
      </c>
      <c r="X11220">
        <v>526</v>
      </c>
      <c r="Y11220">
        <v>2</v>
      </c>
      <c r="Z11220">
        <v>89</v>
      </c>
      <c r="AA11220">
        <v>3</v>
      </c>
      <c r="AB11220">
        <v>5.9950669999999997</v>
      </c>
      <c r="AC11220">
        <v>1.2909729999999999E-2</v>
      </c>
      <c r="AD11220">
        <v>1.7955669999999999</v>
      </c>
      <c r="AE11220">
        <v>0.45120969999999999</v>
      </c>
      <c r="AF11220">
        <v>293.82650000000001</v>
      </c>
      <c r="AG11220">
        <f>IFERROR(AH11220*0.1, "N/A")</f>
        <v>6.5505100000000001</v>
      </c>
      <c r="AH11220">
        <v>65.505099999999999</v>
      </c>
      <c r="AI11220">
        <v>279.32600000000002</v>
      </c>
      <c r="AJ11220">
        <v>25.921769999999999</v>
      </c>
      <c r="AK11220">
        <v>55.765309999999999</v>
      </c>
    </row>
    <row r="11221" spans="1:37" x14ac:dyDescent="0.3">
      <c r="A11221">
        <v>11220</v>
      </c>
      <c r="B11221">
        <v>66.3</v>
      </c>
      <c r="C11221">
        <v>-0.77917000000000003</v>
      </c>
      <c r="D11221">
        <v>11.036099999999999</v>
      </c>
      <c r="E11221">
        <f>-0.77917-11.0361</f>
        <v>-11.81527</v>
      </c>
      <c r="F11221" t="s">
        <v>16693</v>
      </c>
      <c r="G11221" t="s">
        <v>39</v>
      </c>
      <c r="H11221">
        <v>1962</v>
      </c>
      <c r="I11221">
        <v>28.1</v>
      </c>
      <c r="J11221">
        <v>12.3</v>
      </c>
      <c r="K11221">
        <v>63</v>
      </c>
      <c r="L11221">
        <v>18.48</v>
      </c>
      <c r="M11221">
        <v>38.299999999999997</v>
      </c>
      <c r="N11221">
        <v>18.899999999999999</v>
      </c>
      <c r="O11221">
        <v>19.399999999999999</v>
      </c>
      <c r="P11221">
        <v>26</v>
      </c>
      <c r="Q11221">
        <v>27.7</v>
      </c>
      <c r="R11221">
        <v>30.8</v>
      </c>
      <c r="S11221">
        <v>26</v>
      </c>
      <c r="T11221">
        <v>885</v>
      </c>
      <c r="U11221">
        <v>239</v>
      </c>
      <c r="V11221">
        <v>1</v>
      </c>
      <c r="W11221">
        <v>105</v>
      </c>
      <c r="X11221">
        <v>574</v>
      </c>
      <c r="Y11221">
        <v>8</v>
      </c>
      <c r="Z11221">
        <v>132</v>
      </c>
      <c r="AA11221">
        <v>574</v>
      </c>
      <c r="AB11221">
        <v>2.1589740000000002</v>
      </c>
      <c r="AC11221">
        <v>8.1059060000000002E-2</v>
      </c>
      <c r="AD11221">
        <v>2.1624509999999999</v>
      </c>
      <c r="AE11221">
        <v>0.59250270000000005</v>
      </c>
      <c r="AF11221">
        <v>219.70599999999999</v>
      </c>
      <c r="AG11221">
        <f>IFERROR(AH11221*0.1, "N/A")</f>
        <v>6.0620510000000003</v>
      </c>
      <c r="AH11221">
        <v>60.620510000000003</v>
      </c>
      <c r="AI11221">
        <v>110.0009</v>
      </c>
      <c r="AJ11221">
        <v>20.758970000000001</v>
      </c>
      <c r="AK11221">
        <v>53.095730000000003</v>
      </c>
    </row>
    <row r="11222" spans="1:37" x14ac:dyDescent="0.3">
      <c r="A11222">
        <v>11221</v>
      </c>
      <c r="B11222">
        <v>0</v>
      </c>
      <c r="C11222">
        <v>-4.5547800000000001</v>
      </c>
      <c r="D11222">
        <v>10.626200000000001</v>
      </c>
      <c r="E11222">
        <f>-4.55478-10.6262</f>
        <v>-15.180980000000002</v>
      </c>
      <c r="F11222" t="s">
        <v>16694</v>
      </c>
      <c r="G11222" t="s">
        <v>37</v>
      </c>
      <c r="H11222">
        <v>1978</v>
      </c>
      <c r="I11222">
        <v>27.6</v>
      </c>
      <c r="J11222">
        <v>12.4</v>
      </c>
      <c r="K11222">
        <v>63</v>
      </c>
      <c r="L11222">
        <v>16.55</v>
      </c>
      <c r="M11222">
        <v>37.200000000000003</v>
      </c>
      <c r="N11222">
        <v>17.8</v>
      </c>
      <c r="O11222">
        <v>19.399999999999999</v>
      </c>
      <c r="P11222">
        <v>26.1</v>
      </c>
      <c r="Q11222">
        <v>26.6</v>
      </c>
      <c r="R11222">
        <v>30.1</v>
      </c>
      <c r="S11222">
        <v>26.1</v>
      </c>
      <c r="T11222">
        <v>1080</v>
      </c>
      <c r="U11222">
        <v>273</v>
      </c>
      <c r="V11222">
        <v>1</v>
      </c>
      <c r="W11222">
        <v>97</v>
      </c>
      <c r="X11222">
        <v>666</v>
      </c>
      <c r="Y11222">
        <v>9</v>
      </c>
      <c r="Z11222">
        <v>190</v>
      </c>
      <c r="AA11222">
        <v>666</v>
      </c>
      <c r="AB11222">
        <v>11.94561</v>
      </c>
      <c r="AC11222">
        <v>8.577721E-3</v>
      </c>
      <c r="AD11222">
        <v>0.82703479999999996</v>
      </c>
      <c r="AE11222">
        <v>0.4963669</v>
      </c>
      <c r="AF11222">
        <v>287.38380000000001</v>
      </c>
      <c r="AG11222">
        <f>IFERROR(AH11222*0.1, "N/A")</f>
        <v>6.0760760000000005</v>
      </c>
      <c r="AH11222">
        <v>60.760759999999998</v>
      </c>
      <c r="AI11222">
        <v>190.48490000000001</v>
      </c>
      <c r="AJ11222">
        <v>17.700520000000001</v>
      </c>
      <c r="AK11222">
        <v>56.538730000000001</v>
      </c>
    </row>
    <row r="11223" spans="1:37" x14ac:dyDescent="0.3">
      <c r="A11223">
        <v>11222</v>
      </c>
      <c r="B11223">
        <v>33.299999999999997</v>
      </c>
      <c r="C11223">
        <v>-4.5547800000000001</v>
      </c>
      <c r="D11223">
        <v>10.626200000000001</v>
      </c>
      <c r="E11223">
        <f>-4.55478-10.6262</f>
        <v>-15.180980000000002</v>
      </c>
      <c r="F11223" t="s">
        <v>16695</v>
      </c>
      <c r="G11223" t="s">
        <v>39</v>
      </c>
      <c r="H11223">
        <v>1978</v>
      </c>
      <c r="I11223">
        <v>27.6</v>
      </c>
      <c r="J11223">
        <v>12.4</v>
      </c>
      <c r="K11223">
        <v>63</v>
      </c>
      <c r="L11223">
        <v>16.55</v>
      </c>
      <c r="M11223">
        <v>37.200000000000003</v>
      </c>
      <c r="N11223">
        <v>17.8</v>
      </c>
      <c r="O11223">
        <v>19.399999999999999</v>
      </c>
      <c r="P11223">
        <v>26.1</v>
      </c>
      <c r="Q11223">
        <v>26.6</v>
      </c>
      <c r="R11223">
        <v>30.1</v>
      </c>
      <c r="S11223">
        <v>26.1</v>
      </c>
      <c r="T11223">
        <v>1080</v>
      </c>
      <c r="U11223">
        <v>273</v>
      </c>
      <c r="V11223">
        <v>1</v>
      </c>
      <c r="W11223">
        <v>97</v>
      </c>
      <c r="X11223">
        <v>666</v>
      </c>
      <c r="Y11223">
        <v>9</v>
      </c>
      <c r="Z11223">
        <v>190</v>
      </c>
      <c r="AA11223">
        <v>666</v>
      </c>
      <c r="AB11223">
        <v>11.94561</v>
      </c>
      <c r="AC11223">
        <v>8.577721E-3</v>
      </c>
      <c r="AD11223">
        <v>0.82703479999999996</v>
      </c>
      <c r="AE11223">
        <v>0.4963669</v>
      </c>
      <c r="AF11223">
        <v>287.38380000000001</v>
      </c>
      <c r="AG11223">
        <f>IFERROR(AH11223*0.1, "N/A")</f>
        <v>6.0760760000000005</v>
      </c>
      <c r="AH11223">
        <v>60.760759999999998</v>
      </c>
      <c r="AI11223">
        <v>190.48490000000001</v>
      </c>
      <c r="AJ11223">
        <v>17.700520000000001</v>
      </c>
      <c r="AK11223">
        <v>56.538730000000001</v>
      </c>
    </row>
    <row r="11224" spans="1:37" x14ac:dyDescent="0.3">
      <c r="A11224">
        <v>11223</v>
      </c>
      <c r="B11224">
        <v>3.7</v>
      </c>
      <c r="C11224">
        <v>-4.8250700000000002</v>
      </c>
      <c r="D11224">
        <v>10.6524</v>
      </c>
      <c r="E11224">
        <f>-4.82507-10.6524</f>
        <v>-15.47747</v>
      </c>
      <c r="F11224" t="s">
        <v>16696</v>
      </c>
      <c r="G11224" t="s">
        <v>37</v>
      </c>
      <c r="H11224">
        <v>1978</v>
      </c>
      <c r="I11224">
        <v>27.53247</v>
      </c>
      <c r="J11224">
        <v>12.5</v>
      </c>
      <c r="K11224">
        <v>63</v>
      </c>
      <c r="L11224">
        <v>16.90325</v>
      </c>
      <c r="M11224">
        <v>37.132469999999998</v>
      </c>
      <c r="N11224">
        <v>17.332470000000001</v>
      </c>
      <c r="O11224">
        <v>19.8</v>
      </c>
      <c r="P11224">
        <v>26.232469999999999</v>
      </c>
      <c r="Q11224">
        <v>26.232469999999999</v>
      </c>
      <c r="R11224">
        <v>30.132470000000001</v>
      </c>
      <c r="S11224">
        <v>26.06495</v>
      </c>
      <c r="T11224">
        <v>1079.3510000000001</v>
      </c>
      <c r="U11224">
        <v>281</v>
      </c>
      <c r="V11224">
        <v>1</v>
      </c>
      <c r="W11224">
        <v>99.324740000000006</v>
      </c>
      <c r="X11224">
        <v>675.67529999999999</v>
      </c>
      <c r="Y11224">
        <v>8</v>
      </c>
      <c r="Z11224">
        <v>184.67529999999999</v>
      </c>
      <c r="AA11224">
        <v>14</v>
      </c>
      <c r="AB11224">
        <v>7.1618469999999999</v>
      </c>
      <c r="AC11224">
        <v>1.9362509999999999E-2</v>
      </c>
      <c r="AD11224">
        <v>1.90018</v>
      </c>
      <c r="AE11224">
        <v>0.71506150000000002</v>
      </c>
      <c r="AF11224">
        <v>280.11</v>
      </c>
      <c r="AG11224">
        <f>IFERROR(AH11224*0.1, "N/A")</f>
        <v>6.2360819999999997</v>
      </c>
      <c r="AH11224">
        <v>62.360819999999997</v>
      </c>
      <c r="AI11224">
        <v>131.07730000000001</v>
      </c>
      <c r="AJ11224">
        <v>17.336770000000001</v>
      </c>
      <c r="AK11224">
        <v>63.072159999999997</v>
      </c>
    </row>
    <row r="11225" spans="1:37" x14ac:dyDescent="0.3">
      <c r="A11225">
        <v>11224</v>
      </c>
      <c r="B11225">
        <v>30.9</v>
      </c>
      <c r="C11225">
        <v>-4.8250700000000002</v>
      </c>
      <c r="D11225">
        <v>10.6524</v>
      </c>
      <c r="E11225">
        <f>-4.82507-10.6524</f>
        <v>-15.47747</v>
      </c>
      <c r="F11225" t="s">
        <v>16697</v>
      </c>
      <c r="G11225" t="s">
        <v>39</v>
      </c>
      <c r="H11225">
        <v>1978</v>
      </c>
      <c r="I11225">
        <v>27.53247</v>
      </c>
      <c r="J11225">
        <v>12.5</v>
      </c>
      <c r="K11225">
        <v>63</v>
      </c>
      <c r="L11225">
        <v>16.90325</v>
      </c>
      <c r="M11225">
        <v>37.132469999999998</v>
      </c>
      <c r="N11225">
        <v>17.332470000000001</v>
      </c>
      <c r="O11225">
        <v>19.8</v>
      </c>
      <c r="P11225">
        <v>26.232469999999999</v>
      </c>
      <c r="Q11225">
        <v>26.232469999999999</v>
      </c>
      <c r="R11225">
        <v>30.132470000000001</v>
      </c>
      <c r="S11225">
        <v>26.06495</v>
      </c>
      <c r="T11225">
        <v>1079.3510000000001</v>
      </c>
      <c r="U11225">
        <v>281</v>
      </c>
      <c r="V11225">
        <v>1</v>
      </c>
      <c r="W11225">
        <v>99.324740000000006</v>
      </c>
      <c r="X11225">
        <v>675.67529999999999</v>
      </c>
      <c r="Y11225">
        <v>8</v>
      </c>
      <c r="Z11225">
        <v>184.67529999999999</v>
      </c>
      <c r="AA11225">
        <v>14</v>
      </c>
      <c r="AB11225">
        <v>7.1618469999999999</v>
      </c>
      <c r="AC11225">
        <v>1.9362509999999999E-2</v>
      </c>
      <c r="AD11225">
        <v>1.90018</v>
      </c>
      <c r="AE11225">
        <v>0.71506150000000002</v>
      </c>
      <c r="AF11225">
        <v>280.11</v>
      </c>
      <c r="AG11225">
        <f>IFERROR(AH11225*0.1, "N/A")</f>
        <v>6.2360819999999997</v>
      </c>
      <c r="AH11225">
        <v>62.360819999999997</v>
      </c>
      <c r="AI11225">
        <v>131.07730000000001</v>
      </c>
      <c r="AJ11225">
        <v>17.336770000000001</v>
      </c>
      <c r="AK11225">
        <v>63.072159999999997</v>
      </c>
    </row>
    <row r="11226" spans="1:37" x14ac:dyDescent="0.3">
      <c r="A11226">
        <v>11225</v>
      </c>
      <c r="B11226">
        <v>0</v>
      </c>
      <c r="C11226">
        <v>-4.7795300000000003</v>
      </c>
      <c r="D11226">
        <v>10.4704</v>
      </c>
      <c r="E11226">
        <f>-4.77953-10.4704</f>
        <v>-15.249929999999999</v>
      </c>
      <c r="F11226" t="s">
        <v>16698</v>
      </c>
      <c r="G11226" t="s">
        <v>37</v>
      </c>
      <c r="H11226">
        <v>1978</v>
      </c>
      <c r="I11226">
        <v>27.6</v>
      </c>
      <c r="J11226">
        <v>12.2</v>
      </c>
      <c r="K11226">
        <v>64</v>
      </c>
      <c r="L11226">
        <v>15.75</v>
      </c>
      <c r="M11226">
        <v>36.9</v>
      </c>
      <c r="N11226">
        <v>17.899999999999999</v>
      </c>
      <c r="O11226">
        <v>19</v>
      </c>
      <c r="P11226">
        <v>26.1</v>
      </c>
      <c r="Q11226">
        <v>26.7</v>
      </c>
      <c r="R11226">
        <v>29.9</v>
      </c>
      <c r="S11226">
        <v>26.1</v>
      </c>
      <c r="T11226">
        <v>1111</v>
      </c>
      <c r="U11226">
        <v>284</v>
      </c>
      <c r="V11226">
        <v>2</v>
      </c>
      <c r="W11226">
        <v>97</v>
      </c>
      <c r="X11226">
        <v>684</v>
      </c>
      <c r="Y11226">
        <v>11</v>
      </c>
      <c r="Z11226">
        <v>196</v>
      </c>
      <c r="AA11226">
        <v>684</v>
      </c>
      <c r="AB11226">
        <v>0.85650029999999999</v>
      </c>
      <c r="AC11226">
        <v>0.43558429999999998</v>
      </c>
      <c r="AD11226">
        <v>1.2746230000000001</v>
      </c>
      <c r="AE11226">
        <v>0.48121389999999997</v>
      </c>
      <c r="AF11226">
        <v>271.6764</v>
      </c>
      <c r="AG11226">
        <f>IFERROR(AH11226*0.1, "N/A")</f>
        <v>6.2753420000000002</v>
      </c>
      <c r="AH11226">
        <v>62.753419999999998</v>
      </c>
      <c r="AI11226">
        <v>22.962420000000002</v>
      </c>
      <c r="AJ11226">
        <v>19.917809999999999</v>
      </c>
      <c r="AK11226">
        <v>56.52055</v>
      </c>
    </row>
    <row r="11227" spans="1:37" x14ac:dyDescent="0.3">
      <c r="A11227">
        <v>11226</v>
      </c>
      <c r="B11227">
        <v>3.3</v>
      </c>
      <c r="C11227">
        <v>-4.7795300000000003</v>
      </c>
      <c r="D11227">
        <v>10.4704</v>
      </c>
      <c r="E11227">
        <f>-4.77953-10.4704</f>
        <v>-15.249929999999999</v>
      </c>
      <c r="F11227" t="s">
        <v>16699</v>
      </c>
      <c r="G11227" t="s">
        <v>39</v>
      </c>
      <c r="H11227">
        <v>1978</v>
      </c>
      <c r="I11227">
        <v>27.6</v>
      </c>
      <c r="J11227">
        <v>12.2</v>
      </c>
      <c r="K11227">
        <v>64</v>
      </c>
      <c r="L11227">
        <v>15.75</v>
      </c>
      <c r="M11227">
        <v>36.9</v>
      </c>
      <c r="N11227">
        <v>17.899999999999999</v>
      </c>
      <c r="O11227">
        <v>19</v>
      </c>
      <c r="P11227">
        <v>26.1</v>
      </c>
      <c r="Q11227">
        <v>26.7</v>
      </c>
      <c r="R11227">
        <v>29.9</v>
      </c>
      <c r="S11227">
        <v>26.1</v>
      </c>
      <c r="T11227">
        <v>1111</v>
      </c>
      <c r="U11227">
        <v>284</v>
      </c>
      <c r="V11227">
        <v>2</v>
      </c>
      <c r="W11227">
        <v>97</v>
      </c>
      <c r="X11227">
        <v>684</v>
      </c>
      <c r="Y11227">
        <v>11</v>
      </c>
      <c r="Z11227">
        <v>196</v>
      </c>
      <c r="AA11227">
        <v>684</v>
      </c>
      <c r="AB11227">
        <v>0.85650029999999999</v>
      </c>
      <c r="AC11227">
        <v>0.43558429999999998</v>
      </c>
      <c r="AD11227">
        <v>1.2746230000000001</v>
      </c>
      <c r="AE11227">
        <v>0.48121389999999997</v>
      </c>
      <c r="AF11227">
        <v>271.6764</v>
      </c>
      <c r="AG11227">
        <f>IFERROR(AH11227*0.1, "N/A")</f>
        <v>6.2753420000000002</v>
      </c>
      <c r="AH11227">
        <v>62.753419999999998</v>
      </c>
      <c r="AI11227">
        <v>22.962420000000002</v>
      </c>
      <c r="AJ11227">
        <v>19.917809999999999</v>
      </c>
      <c r="AK11227">
        <v>56.52055</v>
      </c>
    </row>
    <row r="11228" spans="1:37" x14ac:dyDescent="0.3">
      <c r="A11228">
        <v>11227</v>
      </c>
      <c r="B11228">
        <v>4.8</v>
      </c>
      <c r="C11228">
        <v>-5.1166700000000001</v>
      </c>
      <c r="D11228">
        <v>10.6167</v>
      </c>
      <c r="E11228">
        <f>-5.11667-10.6167</f>
        <v>-15.733370000000001</v>
      </c>
      <c r="F11228" t="s">
        <v>16700</v>
      </c>
      <c r="G11228" t="s">
        <v>37</v>
      </c>
      <c r="H11228">
        <v>1978</v>
      </c>
      <c r="I11228">
        <v>27.3</v>
      </c>
      <c r="J11228">
        <v>12.59074</v>
      </c>
      <c r="K11228">
        <v>63</v>
      </c>
      <c r="L11228">
        <v>16.398289999999999</v>
      </c>
      <c r="M11228">
        <v>36.890740000000001</v>
      </c>
      <c r="N11228">
        <v>17.09074</v>
      </c>
      <c r="O11228">
        <v>19.8</v>
      </c>
      <c r="P11228">
        <v>25.9</v>
      </c>
      <c r="Q11228">
        <v>26.3</v>
      </c>
      <c r="R11228">
        <v>29.73105</v>
      </c>
      <c r="S11228">
        <v>25.9</v>
      </c>
      <c r="T11228">
        <v>1081.8489999999999</v>
      </c>
      <c r="U11228">
        <v>283</v>
      </c>
      <c r="V11228">
        <v>2</v>
      </c>
      <c r="W11228">
        <v>98</v>
      </c>
      <c r="X11228">
        <v>674.53340000000003</v>
      </c>
      <c r="Y11228">
        <v>11</v>
      </c>
      <c r="Z11228">
        <v>183.31559999999999</v>
      </c>
      <c r="AA11228">
        <v>76.132080000000002</v>
      </c>
      <c r="AB11228">
        <v>2.0391020000000002</v>
      </c>
      <c r="AC11228">
        <v>335.43150000000003</v>
      </c>
      <c r="AD11228">
        <v>0.78692649999999997</v>
      </c>
      <c r="AE11228">
        <v>0.57706290000000005</v>
      </c>
      <c r="AF11228">
        <v>302.36540000000002</v>
      </c>
      <c r="AG11228">
        <f>IFERROR(AH11228*0.1, "N/A")</f>
        <v>6.3185250000000011</v>
      </c>
      <c r="AH11228">
        <v>63.185250000000003</v>
      </c>
      <c r="AI11228">
        <v>240.70060000000001</v>
      </c>
      <c r="AJ11228">
        <v>22.245280000000001</v>
      </c>
      <c r="AK11228">
        <v>59.689540000000001</v>
      </c>
    </row>
    <row r="11229" spans="1:37" x14ac:dyDescent="0.3">
      <c r="A11229">
        <v>11228</v>
      </c>
      <c r="B11229">
        <v>16.7</v>
      </c>
      <c r="C11229">
        <v>-5.1166700000000001</v>
      </c>
      <c r="D11229">
        <v>10.6167</v>
      </c>
      <c r="E11229">
        <f>-5.11667-10.6167</f>
        <v>-15.733370000000001</v>
      </c>
      <c r="F11229" t="s">
        <v>16701</v>
      </c>
      <c r="G11229" t="s">
        <v>39</v>
      </c>
      <c r="H11229">
        <v>1978</v>
      </c>
      <c r="I11229">
        <v>27.3</v>
      </c>
      <c r="J11229">
        <v>12.59074</v>
      </c>
      <c r="K11229">
        <v>63</v>
      </c>
      <c r="L11229">
        <v>16.398289999999999</v>
      </c>
      <c r="M11229">
        <v>36.890740000000001</v>
      </c>
      <c r="N11229">
        <v>17.09074</v>
      </c>
      <c r="O11229">
        <v>19.8</v>
      </c>
      <c r="P11229">
        <v>25.9</v>
      </c>
      <c r="Q11229">
        <v>26.3</v>
      </c>
      <c r="R11229">
        <v>29.73105</v>
      </c>
      <c r="S11229">
        <v>25.9</v>
      </c>
      <c r="T11229">
        <v>1081.8489999999999</v>
      </c>
      <c r="U11229">
        <v>283</v>
      </c>
      <c r="V11229">
        <v>2</v>
      </c>
      <c r="W11229">
        <v>98</v>
      </c>
      <c r="X11229">
        <v>674.53340000000003</v>
      </c>
      <c r="Y11229">
        <v>11</v>
      </c>
      <c r="Z11229">
        <v>183.31559999999999</v>
      </c>
      <c r="AA11229">
        <v>76.132080000000002</v>
      </c>
      <c r="AB11229">
        <v>2.0391020000000002</v>
      </c>
      <c r="AC11229">
        <v>335.43150000000003</v>
      </c>
      <c r="AD11229">
        <v>0.78692649999999997</v>
      </c>
      <c r="AE11229">
        <v>0.57706290000000005</v>
      </c>
      <c r="AF11229">
        <v>302.36540000000002</v>
      </c>
      <c r="AG11229">
        <f>IFERROR(AH11229*0.1, "N/A")</f>
        <v>6.3185250000000011</v>
      </c>
      <c r="AH11229">
        <v>63.185250000000003</v>
      </c>
      <c r="AI11229">
        <v>240.70060000000001</v>
      </c>
      <c r="AJ11229">
        <v>22.245280000000001</v>
      </c>
      <c r="AK11229">
        <v>59.689540000000001</v>
      </c>
    </row>
    <row r="11230" spans="1:37" x14ac:dyDescent="0.3">
      <c r="A11230">
        <v>11229</v>
      </c>
      <c r="B11230">
        <v>0</v>
      </c>
      <c r="C11230">
        <v>-4.8170599999999997</v>
      </c>
      <c r="D11230">
        <v>10.6996</v>
      </c>
      <c r="E11230">
        <f>-4.81706-10.6996</f>
        <v>-15.51666</v>
      </c>
      <c r="F11230" t="s">
        <v>16702</v>
      </c>
      <c r="G11230" t="s">
        <v>37</v>
      </c>
      <c r="H11230">
        <v>1978</v>
      </c>
      <c r="I11230">
        <v>27.6</v>
      </c>
      <c r="J11230">
        <v>12.6</v>
      </c>
      <c r="K11230">
        <v>63</v>
      </c>
      <c r="L11230">
        <v>16.93167</v>
      </c>
      <c r="M11230">
        <v>37.176070000000003</v>
      </c>
      <c r="N11230">
        <v>17.226330000000001</v>
      </c>
      <c r="O11230">
        <v>19.949739999999998</v>
      </c>
      <c r="P11230">
        <v>26.218119999999999</v>
      </c>
      <c r="Q11230">
        <v>26.250260000000001</v>
      </c>
      <c r="R11230">
        <v>30.076070000000001</v>
      </c>
      <c r="S11230">
        <v>26.118120000000001</v>
      </c>
      <c r="T11230">
        <v>1071.7660000000001</v>
      </c>
      <c r="U11230">
        <v>278</v>
      </c>
      <c r="V11230">
        <v>1</v>
      </c>
      <c r="W11230">
        <v>100</v>
      </c>
      <c r="X11230">
        <v>671.32140000000004</v>
      </c>
      <c r="Y11230">
        <v>8</v>
      </c>
      <c r="Z11230">
        <v>183.18119999999999</v>
      </c>
      <c r="AA11230">
        <v>14</v>
      </c>
      <c r="AB11230">
        <v>5.0844370000000003</v>
      </c>
      <c r="AC11230">
        <v>1.170557E-2</v>
      </c>
      <c r="AD11230">
        <v>1.9125000000000001</v>
      </c>
      <c r="AE11230">
        <v>0.52288230000000002</v>
      </c>
      <c r="AF11230">
        <v>286.5009</v>
      </c>
      <c r="AG11230">
        <f>IFERROR(AH11230*0.1, "N/A")</f>
        <v>6.2030770000000004</v>
      </c>
      <c r="AH11230">
        <v>62.030769999999997</v>
      </c>
      <c r="AI11230">
        <v>189.9203</v>
      </c>
      <c r="AJ11230">
        <v>17.32479</v>
      </c>
      <c r="AK11230">
        <v>61</v>
      </c>
    </row>
    <row r="11231" spans="1:37" x14ac:dyDescent="0.3">
      <c r="A11231">
        <v>11230</v>
      </c>
      <c r="B11231">
        <v>9.1</v>
      </c>
      <c r="C11231">
        <v>-4.8170599999999997</v>
      </c>
      <c r="D11231">
        <v>10.6996</v>
      </c>
      <c r="E11231">
        <f>-4.81706-10.6996</f>
        <v>-15.51666</v>
      </c>
      <c r="F11231" t="s">
        <v>16703</v>
      </c>
      <c r="G11231" t="s">
        <v>39</v>
      </c>
      <c r="H11231">
        <v>1978</v>
      </c>
      <c r="I11231">
        <v>27.6</v>
      </c>
      <c r="J11231">
        <v>12.6</v>
      </c>
      <c r="K11231">
        <v>63</v>
      </c>
      <c r="L11231">
        <v>16.93167</v>
      </c>
      <c r="M11231">
        <v>37.176070000000003</v>
      </c>
      <c r="N11231">
        <v>17.226330000000001</v>
      </c>
      <c r="O11231">
        <v>19.949739999999998</v>
      </c>
      <c r="P11231">
        <v>26.218119999999999</v>
      </c>
      <c r="Q11231">
        <v>26.250260000000001</v>
      </c>
      <c r="R11231">
        <v>30.076070000000001</v>
      </c>
      <c r="S11231">
        <v>26.118120000000001</v>
      </c>
      <c r="T11231">
        <v>1071.7660000000001</v>
      </c>
      <c r="U11231">
        <v>278</v>
      </c>
      <c r="V11231">
        <v>1</v>
      </c>
      <c r="W11231">
        <v>100</v>
      </c>
      <c r="X11231">
        <v>671.32140000000004</v>
      </c>
      <c r="Y11231">
        <v>8</v>
      </c>
      <c r="Z11231">
        <v>183.18119999999999</v>
      </c>
      <c r="AA11231">
        <v>14</v>
      </c>
      <c r="AB11231">
        <v>5.0844370000000003</v>
      </c>
      <c r="AC11231">
        <v>1.170557E-2</v>
      </c>
      <c r="AD11231">
        <v>1.9125000000000001</v>
      </c>
      <c r="AE11231">
        <v>0.52288230000000002</v>
      </c>
      <c r="AF11231">
        <v>286.5009</v>
      </c>
      <c r="AG11231">
        <f>IFERROR(AH11231*0.1, "N/A")</f>
        <v>6.2030770000000004</v>
      </c>
      <c r="AH11231">
        <v>62.030769999999997</v>
      </c>
      <c r="AI11231">
        <v>189.9203</v>
      </c>
      <c r="AJ11231">
        <v>17.32479</v>
      </c>
      <c r="AK11231">
        <v>61</v>
      </c>
    </row>
    <row r="11232" spans="1:37" x14ac:dyDescent="0.3">
      <c r="A11232">
        <v>11231</v>
      </c>
      <c r="B11232">
        <v>10</v>
      </c>
      <c r="C11232">
        <v>-5.1666699999999999</v>
      </c>
      <c r="D11232">
        <v>10.6</v>
      </c>
      <c r="E11232">
        <f>-5.16667-10.6</f>
        <v>-15.76667</v>
      </c>
      <c r="F11232" t="s">
        <v>16704</v>
      </c>
      <c r="G11232" t="s">
        <v>37</v>
      </c>
      <c r="H11232">
        <v>1978</v>
      </c>
      <c r="I11232">
        <v>27.258559999999999</v>
      </c>
      <c r="J11232">
        <v>12.6</v>
      </c>
      <c r="K11232">
        <v>63</v>
      </c>
      <c r="L11232">
        <v>16.406880000000001</v>
      </c>
      <c r="M11232">
        <v>36.799999999999997</v>
      </c>
      <c r="N11232">
        <v>16.994859999999999</v>
      </c>
      <c r="O11232">
        <v>19.805140000000002</v>
      </c>
      <c r="P11232">
        <v>25.849830000000001</v>
      </c>
      <c r="Q11232">
        <v>26.2</v>
      </c>
      <c r="R11232">
        <v>29.663699999999999</v>
      </c>
      <c r="S11232">
        <v>25.8</v>
      </c>
      <c r="T11232">
        <v>1088.135</v>
      </c>
      <c r="U11232">
        <v>284</v>
      </c>
      <c r="V11232">
        <v>2</v>
      </c>
      <c r="W11232">
        <v>99</v>
      </c>
      <c r="X11232">
        <v>677.5856</v>
      </c>
      <c r="Y11232">
        <v>11</v>
      </c>
      <c r="Z11232">
        <v>185</v>
      </c>
      <c r="AA11232">
        <v>347.22089999999997</v>
      </c>
      <c r="AB11232">
        <v>11.149330000000001</v>
      </c>
      <c r="AC11232">
        <v>6.6921579999999994E-2</v>
      </c>
      <c r="AD11232">
        <v>1.3576859999999999</v>
      </c>
      <c r="AE11232">
        <v>0.68861289999999997</v>
      </c>
      <c r="AF11232">
        <v>311.11470000000003</v>
      </c>
      <c r="AG11232">
        <f>IFERROR(AH11232*0.1, "N/A")</f>
        <v>6.3000000000000007</v>
      </c>
      <c r="AH11232">
        <v>63</v>
      </c>
      <c r="AI11232">
        <v>142.23419999999999</v>
      </c>
      <c r="AJ11232">
        <v>16.851030000000002</v>
      </c>
      <c r="AK11232">
        <v>63.154110000000003</v>
      </c>
    </row>
    <row r="11233" spans="1:37" x14ac:dyDescent="0.3">
      <c r="A11233">
        <v>11232</v>
      </c>
      <c r="B11233">
        <v>12.5</v>
      </c>
      <c r="C11233">
        <v>-5.1666699999999999</v>
      </c>
      <c r="D11233">
        <v>10.6</v>
      </c>
      <c r="E11233">
        <f>-5.16667-10.6</f>
        <v>-15.76667</v>
      </c>
      <c r="F11233" t="s">
        <v>16705</v>
      </c>
      <c r="G11233" t="s">
        <v>39</v>
      </c>
      <c r="H11233">
        <v>1978</v>
      </c>
      <c r="I11233">
        <v>27.258559999999999</v>
      </c>
      <c r="J11233">
        <v>12.6</v>
      </c>
      <c r="K11233">
        <v>63</v>
      </c>
      <c r="L11233">
        <v>16.406880000000001</v>
      </c>
      <c r="M11233">
        <v>36.799999999999997</v>
      </c>
      <c r="N11233">
        <v>16.994859999999999</v>
      </c>
      <c r="O11233">
        <v>19.805140000000002</v>
      </c>
      <c r="P11233">
        <v>25.849830000000001</v>
      </c>
      <c r="Q11233">
        <v>26.2</v>
      </c>
      <c r="R11233">
        <v>29.663699999999999</v>
      </c>
      <c r="S11233">
        <v>25.8</v>
      </c>
      <c r="T11233">
        <v>1088.135</v>
      </c>
      <c r="U11233">
        <v>284</v>
      </c>
      <c r="V11233">
        <v>2</v>
      </c>
      <c r="W11233">
        <v>99</v>
      </c>
      <c r="X11233">
        <v>677.5856</v>
      </c>
      <c r="Y11233">
        <v>11</v>
      </c>
      <c r="Z11233">
        <v>185</v>
      </c>
      <c r="AA11233">
        <v>347.22089999999997</v>
      </c>
      <c r="AB11233">
        <v>11.149330000000001</v>
      </c>
      <c r="AC11233">
        <v>6.6921579999999994E-2</v>
      </c>
      <c r="AD11233">
        <v>1.3576859999999999</v>
      </c>
      <c r="AE11233">
        <v>0.68861289999999997</v>
      </c>
      <c r="AF11233">
        <v>311.11470000000003</v>
      </c>
      <c r="AG11233">
        <f>IFERROR(AH11233*0.1, "N/A")</f>
        <v>6.3000000000000007</v>
      </c>
      <c r="AH11233">
        <v>63</v>
      </c>
      <c r="AI11233">
        <v>142.23419999999999</v>
      </c>
      <c r="AJ11233">
        <v>16.851030000000002</v>
      </c>
      <c r="AK11233">
        <v>63.154110000000003</v>
      </c>
    </row>
    <row r="11234" spans="1:37" x14ac:dyDescent="0.3">
      <c r="A11234">
        <v>11233</v>
      </c>
      <c r="B11234">
        <v>25</v>
      </c>
      <c r="C11234">
        <v>-4.63523</v>
      </c>
      <c r="D11234">
        <v>10.6394</v>
      </c>
      <c r="E11234">
        <f>-4.63523-10.6394</f>
        <v>-15.27463</v>
      </c>
      <c r="F11234" t="s">
        <v>16706</v>
      </c>
      <c r="G11234" t="s">
        <v>39</v>
      </c>
      <c r="H11234">
        <v>1978</v>
      </c>
      <c r="I11234">
        <v>27.6</v>
      </c>
      <c r="J11234">
        <v>12.4</v>
      </c>
      <c r="K11234">
        <v>63</v>
      </c>
      <c r="L11234">
        <v>16.8</v>
      </c>
      <c r="M11234">
        <v>37.1</v>
      </c>
      <c r="N11234">
        <v>17.600000000000001</v>
      </c>
      <c r="O11234">
        <v>19.5</v>
      </c>
      <c r="P11234">
        <v>26.1</v>
      </c>
      <c r="Q11234">
        <v>26.4</v>
      </c>
      <c r="R11234">
        <v>30.1</v>
      </c>
      <c r="S11234">
        <v>26.1</v>
      </c>
      <c r="T11234">
        <v>1088</v>
      </c>
      <c r="U11234">
        <v>278</v>
      </c>
      <c r="V11234">
        <v>1</v>
      </c>
      <c r="W11234">
        <v>99</v>
      </c>
      <c r="X11234">
        <v>674</v>
      </c>
      <c r="Y11234">
        <v>9</v>
      </c>
      <c r="Z11234">
        <v>191</v>
      </c>
      <c r="AA11234">
        <v>674</v>
      </c>
      <c r="AB11234">
        <v>8.8770830000000007</v>
      </c>
      <c r="AC11234">
        <v>0.14498839999999999</v>
      </c>
      <c r="AD11234">
        <v>3.6031049999999998</v>
      </c>
      <c r="AE11234">
        <v>0.30659520000000001</v>
      </c>
      <c r="AF11234">
        <v>300.6103</v>
      </c>
      <c r="AG11234">
        <f>IFERROR(AH11234*0.1, "N/A")</f>
        <v>5.8623930000000009</v>
      </c>
      <c r="AH11234">
        <v>58.623930000000001</v>
      </c>
      <c r="AI11234">
        <v>196.42779999999999</v>
      </c>
      <c r="AJ11234">
        <v>13.54359</v>
      </c>
      <c r="AK11234">
        <v>62.615380000000002</v>
      </c>
    </row>
    <row r="11235" spans="1:37" x14ac:dyDescent="0.3">
      <c r="A11235">
        <v>11234</v>
      </c>
      <c r="B11235">
        <v>5.3</v>
      </c>
      <c r="C11235">
        <v>-4.2</v>
      </c>
      <c r="D11235">
        <v>11.15</v>
      </c>
      <c r="E11235">
        <f>-4.2-11.15</f>
        <v>-15.350000000000001</v>
      </c>
      <c r="F11235" t="s">
        <v>16707</v>
      </c>
      <c r="G11235" t="s">
        <v>39</v>
      </c>
      <c r="H11235">
        <v>1975</v>
      </c>
      <c r="I11235">
        <v>27.23077</v>
      </c>
      <c r="J11235">
        <v>13</v>
      </c>
      <c r="K11235">
        <v>63.606839999999998</v>
      </c>
      <c r="L11235">
        <v>17.341200000000001</v>
      </c>
      <c r="M11235">
        <v>37.23077</v>
      </c>
      <c r="N11235">
        <v>16.860679999999999</v>
      </c>
      <c r="O11235">
        <v>20.370080000000002</v>
      </c>
      <c r="P11235">
        <v>25.661539999999999</v>
      </c>
      <c r="Q11235">
        <v>26.03077</v>
      </c>
      <c r="R11235">
        <v>29.870080000000002</v>
      </c>
      <c r="S11235">
        <v>25.661539999999999</v>
      </c>
      <c r="T11235">
        <v>1035.761</v>
      </c>
      <c r="U11235">
        <v>273.69229999999999</v>
      </c>
      <c r="V11235">
        <v>2</v>
      </c>
      <c r="W11235">
        <v>102.3077</v>
      </c>
      <c r="X11235">
        <v>658.99149999999997</v>
      </c>
      <c r="Y11235">
        <v>7</v>
      </c>
      <c r="Z11235">
        <v>167.38460000000001</v>
      </c>
      <c r="AA11235">
        <v>658.99149999999997</v>
      </c>
      <c r="AB11235">
        <v>13.479649999999999</v>
      </c>
      <c r="AC11235">
        <v>3.9466420000000002E-2</v>
      </c>
      <c r="AD11235">
        <v>3.89669</v>
      </c>
      <c r="AE11235">
        <v>0.39079710000000001</v>
      </c>
      <c r="AF11235">
        <v>365.40679999999998</v>
      </c>
      <c r="AG11235">
        <f>IFERROR(AH11235*0.1, "N/A")</f>
        <v>6.3000000000000007</v>
      </c>
      <c r="AH11235">
        <v>63</v>
      </c>
      <c r="AI11235">
        <v>213.02860000000001</v>
      </c>
      <c r="AJ11235">
        <v>16.203420000000001</v>
      </c>
      <c r="AK11235">
        <v>65</v>
      </c>
    </row>
    <row r="11236" spans="1:37" x14ac:dyDescent="0.3">
      <c r="A11236">
        <v>11235</v>
      </c>
      <c r="B11236">
        <v>0.9</v>
      </c>
      <c r="C11236">
        <v>-4.2</v>
      </c>
      <c r="D11236">
        <v>11.15</v>
      </c>
      <c r="E11236">
        <f>-4.2-11.15</f>
        <v>-15.350000000000001</v>
      </c>
      <c r="F11236" t="s">
        <v>16708</v>
      </c>
      <c r="G11236" t="s">
        <v>37</v>
      </c>
      <c r="H11236">
        <v>1975</v>
      </c>
      <c r="I11236">
        <v>27.23077</v>
      </c>
      <c r="J11236">
        <v>13</v>
      </c>
      <c r="K11236">
        <v>63.606839999999998</v>
      </c>
      <c r="L11236">
        <v>17.341200000000001</v>
      </c>
      <c r="M11236">
        <v>37.23077</v>
      </c>
      <c r="N11236">
        <v>16.860679999999999</v>
      </c>
      <c r="O11236">
        <v>20.370080000000002</v>
      </c>
      <c r="P11236">
        <v>25.661539999999999</v>
      </c>
      <c r="Q11236">
        <v>26.03077</v>
      </c>
      <c r="R11236">
        <v>29.870080000000002</v>
      </c>
      <c r="S11236">
        <v>25.661539999999999</v>
      </c>
      <c r="T11236">
        <v>1035.761</v>
      </c>
      <c r="U11236">
        <v>273.69229999999999</v>
      </c>
      <c r="V11236">
        <v>2</v>
      </c>
      <c r="W11236">
        <v>102.3077</v>
      </c>
      <c r="X11236">
        <v>658.99149999999997</v>
      </c>
      <c r="Y11236">
        <v>7</v>
      </c>
      <c r="Z11236">
        <v>167.38460000000001</v>
      </c>
      <c r="AA11236">
        <v>658.99149999999997</v>
      </c>
      <c r="AB11236">
        <v>13.479649999999999</v>
      </c>
      <c r="AC11236">
        <v>3.9466420000000002E-2</v>
      </c>
      <c r="AD11236">
        <v>3.89669</v>
      </c>
      <c r="AE11236">
        <v>0.39079710000000001</v>
      </c>
      <c r="AF11236">
        <v>365.40679999999998</v>
      </c>
      <c r="AG11236">
        <f>IFERROR(AH11236*0.1, "N/A")</f>
        <v>6.3000000000000007</v>
      </c>
      <c r="AH11236">
        <v>63</v>
      </c>
      <c r="AI11236">
        <v>213.02860000000001</v>
      </c>
      <c r="AJ11236">
        <v>16.203420000000001</v>
      </c>
      <c r="AK11236">
        <v>65</v>
      </c>
    </row>
    <row r="11237" spans="1:37" x14ac:dyDescent="0.3">
      <c r="A11237">
        <v>11236</v>
      </c>
      <c r="B11237">
        <v>2.9</v>
      </c>
      <c r="C11237">
        <v>-4.28789</v>
      </c>
      <c r="D11237">
        <v>11.348699999999999</v>
      </c>
      <c r="E11237">
        <f>-4.28789-11.3487</f>
        <v>-15.636589999999998</v>
      </c>
      <c r="F11237" t="s">
        <v>16709</v>
      </c>
      <c r="G11237" t="s">
        <v>39</v>
      </c>
      <c r="H11237">
        <v>1975</v>
      </c>
      <c r="I11237">
        <v>27.2</v>
      </c>
      <c r="J11237">
        <v>14.1</v>
      </c>
      <c r="K11237">
        <v>61</v>
      </c>
      <c r="L11237">
        <v>20.75</v>
      </c>
      <c r="M11237">
        <v>37.700000000000003</v>
      </c>
      <c r="N11237">
        <v>14.6</v>
      </c>
      <c r="O11237">
        <v>23.1</v>
      </c>
      <c r="P11237">
        <v>26.1</v>
      </c>
      <c r="Q11237">
        <v>25.1</v>
      </c>
      <c r="R11237">
        <v>30.3</v>
      </c>
      <c r="S11237">
        <v>24.9</v>
      </c>
      <c r="T11237">
        <v>995</v>
      </c>
      <c r="U11237">
        <v>265</v>
      </c>
      <c r="V11237">
        <v>1</v>
      </c>
      <c r="W11237">
        <v>106</v>
      </c>
      <c r="X11237">
        <v>646</v>
      </c>
      <c r="Y11237">
        <v>4</v>
      </c>
      <c r="Z11237">
        <v>151</v>
      </c>
      <c r="AA11237">
        <v>8</v>
      </c>
      <c r="AB11237">
        <v>6.7398179999999996</v>
      </c>
      <c r="AC11237">
        <v>1.22965E-2</v>
      </c>
      <c r="AD11237">
        <v>1.13815</v>
      </c>
      <c r="AE11237">
        <v>0.45504309999999998</v>
      </c>
      <c r="AF11237">
        <v>321.97609999999997</v>
      </c>
      <c r="AG11237">
        <f>IFERROR(AH11237*0.1, "N/A")</f>
        <v>6.1945300000000003</v>
      </c>
      <c r="AH11237">
        <v>61.945300000000003</v>
      </c>
      <c r="AI11237">
        <v>38.296320000000001</v>
      </c>
      <c r="AJ11237">
        <v>13.683759999999999</v>
      </c>
      <c r="AK11237">
        <v>66.548720000000003</v>
      </c>
    </row>
    <row r="11238" spans="1:37" x14ac:dyDescent="0.3">
      <c r="A11238">
        <v>11237</v>
      </c>
      <c r="B11238">
        <v>0.5</v>
      </c>
      <c r="C11238">
        <v>-4.28789</v>
      </c>
      <c r="D11238">
        <v>11.348699999999999</v>
      </c>
      <c r="E11238">
        <f>-4.28789-11.3487</f>
        <v>-15.636589999999998</v>
      </c>
      <c r="F11238" t="s">
        <v>16710</v>
      </c>
      <c r="G11238" t="s">
        <v>37</v>
      </c>
      <c r="H11238">
        <v>1975</v>
      </c>
      <c r="I11238">
        <v>27.2</v>
      </c>
      <c r="J11238">
        <v>14.1</v>
      </c>
      <c r="K11238">
        <v>61</v>
      </c>
      <c r="L11238">
        <v>20.75</v>
      </c>
      <c r="M11238">
        <v>37.700000000000003</v>
      </c>
      <c r="N11238">
        <v>14.6</v>
      </c>
      <c r="O11238">
        <v>23.1</v>
      </c>
      <c r="P11238">
        <v>26.1</v>
      </c>
      <c r="Q11238">
        <v>25.1</v>
      </c>
      <c r="R11238">
        <v>30.3</v>
      </c>
      <c r="S11238">
        <v>24.9</v>
      </c>
      <c r="T11238">
        <v>995</v>
      </c>
      <c r="U11238">
        <v>265</v>
      </c>
      <c r="V11238">
        <v>1</v>
      </c>
      <c r="W11238">
        <v>106</v>
      </c>
      <c r="X11238">
        <v>646</v>
      </c>
      <c r="Y11238">
        <v>4</v>
      </c>
      <c r="Z11238">
        <v>151</v>
      </c>
      <c r="AA11238">
        <v>8</v>
      </c>
      <c r="AB11238">
        <v>6.7398179999999996</v>
      </c>
      <c r="AC11238">
        <v>1.22965E-2</v>
      </c>
      <c r="AD11238">
        <v>1.13815</v>
      </c>
      <c r="AE11238">
        <v>0.45504309999999998</v>
      </c>
      <c r="AF11238">
        <v>321.97609999999997</v>
      </c>
      <c r="AG11238">
        <f>IFERROR(AH11238*0.1, "N/A")</f>
        <v>6.1945300000000003</v>
      </c>
      <c r="AH11238">
        <v>61.945300000000003</v>
      </c>
      <c r="AI11238">
        <v>38.296320000000001</v>
      </c>
      <c r="AJ11238">
        <v>13.683759999999999</v>
      </c>
      <c r="AK11238">
        <v>66.548720000000003</v>
      </c>
    </row>
    <row r="11239" spans="1:37" x14ac:dyDescent="0.3">
      <c r="A11239">
        <v>11238</v>
      </c>
      <c r="B11239">
        <v>57.1</v>
      </c>
      <c r="C11239">
        <v>-1.2543800000000001</v>
      </c>
      <c r="D11239">
        <v>12.6517</v>
      </c>
      <c r="E11239">
        <f>-1.25438-12.6517</f>
        <v>-13.906079999999999</v>
      </c>
      <c r="F11239" t="s">
        <v>16711</v>
      </c>
      <c r="G11239" t="s">
        <v>39</v>
      </c>
      <c r="H11239">
        <v>1978</v>
      </c>
      <c r="I11239">
        <v>28.2</v>
      </c>
      <c r="J11239">
        <v>13.3</v>
      </c>
      <c r="K11239">
        <v>58</v>
      </c>
      <c r="L11239">
        <v>22.79</v>
      </c>
      <c r="M11239">
        <v>39.200000000000003</v>
      </c>
      <c r="N11239">
        <v>16.600000000000001</v>
      </c>
      <c r="O11239">
        <v>22.6</v>
      </c>
      <c r="P11239">
        <v>26.8</v>
      </c>
      <c r="Q11239">
        <v>25.8</v>
      </c>
      <c r="R11239">
        <v>31.4</v>
      </c>
      <c r="S11239">
        <v>25.8</v>
      </c>
      <c r="T11239">
        <v>712</v>
      </c>
      <c r="U11239">
        <v>209</v>
      </c>
      <c r="V11239">
        <v>0</v>
      </c>
      <c r="W11239">
        <v>117</v>
      </c>
      <c r="X11239">
        <v>501</v>
      </c>
      <c r="Y11239">
        <v>2</v>
      </c>
      <c r="Z11239">
        <v>81</v>
      </c>
      <c r="AA11239">
        <v>2</v>
      </c>
      <c r="AB11239">
        <v>3.4235030000000002</v>
      </c>
      <c r="AC11239">
        <v>1.4257819999999999E-2</v>
      </c>
      <c r="AD11239">
        <v>0.89808520000000003</v>
      </c>
      <c r="AE11239">
        <v>0.69752429999999999</v>
      </c>
      <c r="AF11239">
        <v>292.93360000000001</v>
      </c>
      <c r="AG11239">
        <f>IFERROR(AH11239*0.1, "N/A")</f>
        <v>5.8749570000000002</v>
      </c>
      <c r="AH11239">
        <v>58.749569999999999</v>
      </c>
      <c r="AI11239">
        <v>256.858</v>
      </c>
      <c r="AJ11239">
        <v>9.2504259999999991</v>
      </c>
      <c r="AK11239">
        <v>70.223169999999996</v>
      </c>
    </row>
    <row r="11240" spans="1:37" x14ac:dyDescent="0.3">
      <c r="A11240">
        <v>11239</v>
      </c>
      <c r="B11240">
        <v>0</v>
      </c>
      <c r="C11240">
        <v>-1.4127799999999999</v>
      </c>
      <c r="D11240">
        <v>12.5908</v>
      </c>
      <c r="E11240">
        <f>-1.41278-12.5908</f>
        <v>-14.003579999999999</v>
      </c>
      <c r="F11240" t="s">
        <v>16712</v>
      </c>
      <c r="G11240" t="s">
        <v>39</v>
      </c>
      <c r="H11240">
        <v>1978</v>
      </c>
      <c r="I11240">
        <v>28.2</v>
      </c>
      <c r="J11240">
        <v>13.3</v>
      </c>
      <c r="K11240">
        <v>58</v>
      </c>
      <c r="L11240">
        <v>22.53</v>
      </c>
      <c r="M11240">
        <v>39.200000000000003</v>
      </c>
      <c r="N11240">
        <v>16.5</v>
      </c>
      <c r="O11240">
        <v>22.7</v>
      </c>
      <c r="P11240">
        <v>26.8</v>
      </c>
      <c r="Q11240">
        <v>25.9</v>
      </c>
      <c r="R11240">
        <v>31.4</v>
      </c>
      <c r="S11240">
        <v>25.9</v>
      </c>
      <c r="T11240">
        <v>729</v>
      </c>
      <c r="U11240">
        <v>213</v>
      </c>
      <c r="V11240">
        <v>0</v>
      </c>
      <c r="W11240">
        <v>118</v>
      </c>
      <c r="X11240">
        <v>512</v>
      </c>
      <c r="Y11240">
        <v>2</v>
      </c>
      <c r="Z11240">
        <v>83</v>
      </c>
      <c r="AA11240">
        <v>2</v>
      </c>
      <c r="AB11240">
        <v>4.9191859999999998</v>
      </c>
      <c r="AC11240">
        <v>3.052274E-2</v>
      </c>
      <c r="AD11240">
        <v>1.5918639999999999</v>
      </c>
      <c r="AE11240">
        <v>0.55307490000000004</v>
      </c>
      <c r="AF11240">
        <v>292.02379999999999</v>
      </c>
      <c r="AG11240">
        <f>IFERROR(AH11240*0.1, "N/A")</f>
        <v>5.9553480000000008</v>
      </c>
      <c r="AH11240">
        <v>59.55348</v>
      </c>
      <c r="AI11240">
        <v>131.89089999999999</v>
      </c>
      <c r="AJ11240">
        <v>18.894739999999999</v>
      </c>
      <c r="AK11240">
        <v>58.237690000000001</v>
      </c>
    </row>
    <row r="11241" spans="1:37" x14ac:dyDescent="0.3">
      <c r="A11241">
        <v>11240</v>
      </c>
      <c r="B11241">
        <v>0</v>
      </c>
      <c r="C11241">
        <v>-1.26667</v>
      </c>
      <c r="D11241">
        <v>11.9833</v>
      </c>
      <c r="E11241">
        <f>-1.26667-11.9833</f>
        <v>-13.249969999999999</v>
      </c>
      <c r="F11241" t="s">
        <v>16713</v>
      </c>
      <c r="G11241" t="s">
        <v>39</v>
      </c>
      <c r="H11241">
        <v>1978</v>
      </c>
      <c r="I11241">
        <v>27.9</v>
      </c>
      <c r="J11241">
        <v>13.1</v>
      </c>
      <c r="K11241">
        <v>59.839860000000002</v>
      </c>
      <c r="L11241">
        <v>21.299050000000001</v>
      </c>
      <c r="M11241">
        <v>38.616010000000003</v>
      </c>
      <c r="N11241">
        <v>16.84685</v>
      </c>
      <c r="O11241">
        <v>21.769169999999999</v>
      </c>
      <c r="P11241">
        <v>26.269850000000002</v>
      </c>
      <c r="Q11241">
        <v>25.962859999999999</v>
      </c>
      <c r="R11241">
        <v>31.053830000000001</v>
      </c>
      <c r="S11241">
        <v>25.962859999999999</v>
      </c>
      <c r="T11241">
        <v>803</v>
      </c>
      <c r="U11241">
        <v>235</v>
      </c>
      <c r="V11241">
        <v>0</v>
      </c>
      <c r="W11241">
        <v>114</v>
      </c>
      <c r="X11241">
        <v>544</v>
      </c>
      <c r="Y11241">
        <v>4</v>
      </c>
      <c r="Z11241">
        <v>106</v>
      </c>
      <c r="AA11241">
        <v>4</v>
      </c>
      <c r="AB11241">
        <v>8.5683220000000002</v>
      </c>
      <c r="AC11241">
        <v>1.5376570000000001E-2</v>
      </c>
      <c r="AD11241">
        <v>2.2364229999999998</v>
      </c>
      <c r="AE11241">
        <v>0.63893710000000004</v>
      </c>
      <c r="AF11241">
        <v>306.09879999999998</v>
      </c>
      <c r="AG11241">
        <f>IFERROR(AH11241*0.1, "N/A")</f>
        <v>6.1487220000000002</v>
      </c>
      <c r="AH11241">
        <v>61.487220000000001</v>
      </c>
      <c r="AI11241">
        <v>200.62430000000001</v>
      </c>
      <c r="AJ11241">
        <v>14.46848</v>
      </c>
      <c r="AK11241">
        <v>61.945489999999999</v>
      </c>
    </row>
    <row r="11242" spans="1:37" x14ac:dyDescent="0.3">
      <c r="A11242">
        <v>11241</v>
      </c>
      <c r="B11242">
        <v>12.5</v>
      </c>
      <c r="C11242">
        <v>-1.2</v>
      </c>
      <c r="D11242">
        <v>11.8667</v>
      </c>
      <c r="E11242">
        <f>-1.2-11.8667</f>
        <v>-13.066699999999999</v>
      </c>
      <c r="F11242" t="s">
        <v>16714</v>
      </c>
      <c r="G11242" t="s">
        <v>39</v>
      </c>
      <c r="H11242">
        <v>1978</v>
      </c>
      <c r="I11242">
        <v>27.847529999999999</v>
      </c>
      <c r="J11242">
        <v>13.068820000000001</v>
      </c>
      <c r="K11242">
        <v>61.323680000000003</v>
      </c>
      <c r="L11242">
        <v>20.32235</v>
      </c>
      <c r="M11242">
        <v>38.41516</v>
      </c>
      <c r="N11242">
        <v>17.211069999999999</v>
      </c>
      <c r="O11242">
        <v>21.204090000000001</v>
      </c>
      <c r="P11242">
        <v>26.115159999999999</v>
      </c>
      <c r="Q11242">
        <v>26.1799</v>
      </c>
      <c r="R11242">
        <v>30.847529999999999</v>
      </c>
      <c r="S11242">
        <v>26.115159999999999</v>
      </c>
      <c r="T11242">
        <v>811.25040000000001</v>
      </c>
      <c r="U11242">
        <v>234</v>
      </c>
      <c r="V11242">
        <v>0</v>
      </c>
      <c r="W11242">
        <v>111</v>
      </c>
      <c r="X11242">
        <v>545.52470000000005</v>
      </c>
      <c r="Y11242">
        <v>4.5247019999999996</v>
      </c>
      <c r="Z11242">
        <v>113.20099999999999</v>
      </c>
      <c r="AA11242">
        <v>545.52470000000005</v>
      </c>
      <c r="AB11242">
        <v>7.1177260000000002</v>
      </c>
      <c r="AC11242">
        <v>3.5285650000000002E-2</v>
      </c>
      <c r="AD11242">
        <v>0.74176660000000005</v>
      </c>
      <c r="AE11242">
        <v>0.65433319999999995</v>
      </c>
      <c r="AF11242">
        <v>309.82960000000003</v>
      </c>
      <c r="AG11242">
        <f>IFERROR(AH11242*0.1, "N/A")</f>
        <v>6.4364570000000008</v>
      </c>
      <c r="AH11242">
        <v>64.364570000000001</v>
      </c>
      <c r="AI11242">
        <v>154.2937</v>
      </c>
      <c r="AJ11242">
        <v>17.635429999999999</v>
      </c>
      <c r="AK11242">
        <v>59.364570000000001</v>
      </c>
    </row>
    <row r="11243" spans="1:37" x14ac:dyDescent="0.3">
      <c r="A11243">
        <v>11242</v>
      </c>
      <c r="B11243">
        <v>13</v>
      </c>
      <c r="C11243">
        <v>-1.3358300000000001</v>
      </c>
      <c r="D11243">
        <v>12.066599999999999</v>
      </c>
      <c r="E11243">
        <f>-1.33583-12.0666</f>
        <v>-13.402429999999999</v>
      </c>
      <c r="F11243" t="s">
        <v>16715</v>
      </c>
      <c r="G11243" t="s">
        <v>39</v>
      </c>
      <c r="H11243">
        <v>1978</v>
      </c>
      <c r="I11243">
        <v>27.9</v>
      </c>
      <c r="J11243">
        <v>13.2</v>
      </c>
      <c r="K11243">
        <v>59</v>
      </c>
      <c r="L11243">
        <v>21.487380000000002</v>
      </c>
      <c r="M11243">
        <v>38.783839999999998</v>
      </c>
      <c r="N11243">
        <v>16.600000000000001</v>
      </c>
      <c r="O11243">
        <v>22.18384</v>
      </c>
      <c r="P11243">
        <v>26.383839999999999</v>
      </c>
      <c r="Q11243">
        <v>25.9</v>
      </c>
      <c r="R11243">
        <v>31.083839999999999</v>
      </c>
      <c r="S11243">
        <v>25.9</v>
      </c>
      <c r="T11243">
        <v>799</v>
      </c>
      <c r="U11243">
        <v>234</v>
      </c>
      <c r="V11243">
        <v>0</v>
      </c>
      <c r="W11243">
        <v>114</v>
      </c>
      <c r="X11243">
        <v>544</v>
      </c>
      <c r="Y11243">
        <v>3</v>
      </c>
      <c r="Z11243">
        <v>102</v>
      </c>
      <c r="AA11243">
        <v>4</v>
      </c>
      <c r="AB11243">
        <v>3.9651369999999999</v>
      </c>
      <c r="AC11243">
        <v>9.130661E-3</v>
      </c>
      <c r="AD11243">
        <v>0.58521480000000003</v>
      </c>
      <c r="AE11243">
        <v>0.74372240000000001</v>
      </c>
      <c r="AF11243">
        <v>307.44900000000001</v>
      </c>
      <c r="AG11243">
        <f>IFERROR(AH11243*0.1, "N/A")</f>
        <v>6.214626</v>
      </c>
      <c r="AH11243">
        <v>62.146259999999998</v>
      </c>
      <c r="AI11243">
        <v>201.06360000000001</v>
      </c>
      <c r="AJ11243">
        <v>21.630949999999999</v>
      </c>
      <c r="AK11243">
        <v>54.321429999999999</v>
      </c>
    </row>
    <row r="11244" spans="1:37" x14ac:dyDescent="0.3">
      <c r="A11244">
        <v>11243</v>
      </c>
      <c r="B11244">
        <v>55.4</v>
      </c>
      <c r="C11244">
        <v>-1.45139</v>
      </c>
      <c r="D11244">
        <v>12.661899999999999</v>
      </c>
      <c r="E11244">
        <f>-1.45139-12.6619</f>
        <v>-14.113289999999999</v>
      </c>
      <c r="F11244" t="s">
        <v>16716</v>
      </c>
      <c r="G11244" t="s">
        <v>39</v>
      </c>
      <c r="H11244">
        <v>1990</v>
      </c>
      <c r="I11244">
        <v>28.1</v>
      </c>
      <c r="J11244">
        <v>13.4</v>
      </c>
      <c r="K11244">
        <v>59</v>
      </c>
      <c r="L11244">
        <v>22.91</v>
      </c>
      <c r="M11244">
        <v>39.1</v>
      </c>
      <c r="N11244">
        <v>16.399999999999999</v>
      </c>
      <c r="O11244">
        <v>22.7</v>
      </c>
      <c r="P11244">
        <v>26.7</v>
      </c>
      <c r="Q11244">
        <v>25.7</v>
      </c>
      <c r="R11244">
        <v>31.3</v>
      </c>
      <c r="S11244">
        <v>25.7</v>
      </c>
      <c r="T11244">
        <v>720</v>
      </c>
      <c r="U11244">
        <v>211</v>
      </c>
      <c r="V11244">
        <v>0</v>
      </c>
      <c r="W11244">
        <v>116</v>
      </c>
      <c r="X11244">
        <v>506</v>
      </c>
      <c r="Y11244">
        <v>2</v>
      </c>
      <c r="Z11244">
        <v>81</v>
      </c>
      <c r="AA11244">
        <v>2</v>
      </c>
      <c r="AB11244">
        <v>6.2988160000000004</v>
      </c>
      <c r="AC11244">
        <v>2.2690490000000001E-2</v>
      </c>
      <c r="AD11244">
        <v>1.470621</v>
      </c>
      <c r="AE11244">
        <v>0.5202618</v>
      </c>
      <c r="AF11244">
        <v>309.43029999999999</v>
      </c>
      <c r="AG11244">
        <f>IFERROR(AH11244*0.1, "N/A")</f>
        <v>5.8562930000000009</v>
      </c>
      <c r="AH11244">
        <v>58.562930000000001</v>
      </c>
      <c r="AI11244">
        <v>127.76609999999999</v>
      </c>
      <c r="AJ11244">
        <v>10.81973</v>
      </c>
      <c r="AK11244">
        <v>71</v>
      </c>
    </row>
    <row r="11245" spans="1:37" x14ac:dyDescent="0.3">
      <c r="A11245">
        <v>11244</v>
      </c>
      <c r="B11245">
        <v>85</v>
      </c>
      <c r="C11245">
        <v>-1.43194</v>
      </c>
      <c r="D11245">
        <v>12.5</v>
      </c>
      <c r="E11245">
        <f>-1.43194-12.5</f>
        <v>-13.931940000000001</v>
      </c>
      <c r="F11245" t="s">
        <v>16717</v>
      </c>
      <c r="G11245" t="s">
        <v>39</v>
      </c>
      <c r="H11245">
        <v>1990</v>
      </c>
      <c r="I11245">
        <v>28.253150000000002</v>
      </c>
      <c r="J11245">
        <v>13.4</v>
      </c>
      <c r="K11245">
        <v>59</v>
      </c>
      <c r="L11245">
        <v>22.84216</v>
      </c>
      <c r="M11245">
        <v>39.153149999999997</v>
      </c>
      <c r="N11245">
        <v>16.453150000000001</v>
      </c>
      <c r="O11245">
        <v>22.7</v>
      </c>
      <c r="P11245">
        <v>26.84685</v>
      </c>
      <c r="Q11245">
        <v>25.853149999999999</v>
      </c>
      <c r="R11245">
        <v>31.5</v>
      </c>
      <c r="S11245">
        <v>25.853149999999999</v>
      </c>
      <c r="T11245">
        <v>748.53150000000005</v>
      </c>
      <c r="U11245">
        <v>218</v>
      </c>
      <c r="V11245">
        <v>0</v>
      </c>
      <c r="W11245">
        <v>116</v>
      </c>
      <c r="X11245">
        <v>524</v>
      </c>
      <c r="Y11245">
        <v>2</v>
      </c>
      <c r="Z11245">
        <v>87</v>
      </c>
      <c r="AA11245">
        <v>2</v>
      </c>
      <c r="AB11245">
        <v>3.9122849999999998</v>
      </c>
      <c r="AC11245">
        <v>0.13896149999999999</v>
      </c>
      <c r="AD11245">
        <v>0.94046830000000003</v>
      </c>
      <c r="AE11245">
        <v>0.60723190000000005</v>
      </c>
      <c r="AF11245">
        <v>285.66950000000003</v>
      </c>
      <c r="AG11245">
        <f>IFERROR(AH11245*0.1, "N/A")</f>
        <v>5.9</v>
      </c>
      <c r="AH11245">
        <v>59</v>
      </c>
      <c r="AI11245">
        <v>146.7046</v>
      </c>
      <c r="AJ11245">
        <v>24</v>
      </c>
      <c r="AK11245">
        <v>51</v>
      </c>
    </row>
    <row r="11246" spans="1:37" x14ac:dyDescent="0.3">
      <c r="A11246">
        <v>11245</v>
      </c>
      <c r="B11246">
        <v>85.7</v>
      </c>
      <c r="C11246">
        <v>0.304095</v>
      </c>
      <c r="D11246">
        <v>13.9732</v>
      </c>
      <c r="E11246" t="s">
        <v>16718</v>
      </c>
      <c r="F11246" t="s">
        <v>16719</v>
      </c>
      <c r="G11246" t="s">
        <v>39</v>
      </c>
      <c r="H11246">
        <v>1992</v>
      </c>
      <c r="I11246">
        <v>28.8</v>
      </c>
      <c r="J11246">
        <v>15</v>
      </c>
      <c r="K11246">
        <v>57</v>
      </c>
      <c r="L11246">
        <v>29.7</v>
      </c>
      <c r="M11246">
        <v>40.6</v>
      </c>
      <c r="N11246">
        <v>14.7</v>
      </c>
      <c r="O11246">
        <v>25.9</v>
      </c>
      <c r="P11246">
        <v>28.7</v>
      </c>
      <c r="Q11246">
        <v>25.2</v>
      </c>
      <c r="R11246">
        <v>32.6</v>
      </c>
      <c r="S11246">
        <v>24.7</v>
      </c>
      <c r="T11246">
        <v>457</v>
      </c>
      <c r="U11246">
        <v>157</v>
      </c>
      <c r="V11246">
        <v>0</v>
      </c>
      <c r="W11246">
        <v>134</v>
      </c>
      <c r="X11246">
        <v>356</v>
      </c>
      <c r="Y11246">
        <v>0</v>
      </c>
      <c r="Z11246">
        <v>89</v>
      </c>
      <c r="AA11246">
        <v>0</v>
      </c>
      <c r="AB11246">
        <v>5.3136359999999998</v>
      </c>
      <c r="AC11246">
        <v>1.630612E-2</v>
      </c>
      <c r="AD11246">
        <v>1.0220100000000001</v>
      </c>
      <c r="AE11246">
        <v>0.65096310000000002</v>
      </c>
      <c r="AF11246">
        <v>276.6902</v>
      </c>
      <c r="AG11246">
        <f>IFERROR(AH11246*0.1, "N/A")</f>
        <v>6.6505049999999999</v>
      </c>
      <c r="AH11246">
        <v>66.505049999999997</v>
      </c>
      <c r="AI11246">
        <v>113.4532</v>
      </c>
      <c r="AJ11246">
        <v>20.670030000000001</v>
      </c>
      <c r="AK11246">
        <v>62.16498</v>
      </c>
    </row>
    <row r="11247" spans="1:37" x14ac:dyDescent="0.3">
      <c r="A11247">
        <v>11246</v>
      </c>
      <c r="B11247">
        <v>94.9</v>
      </c>
      <c r="C11247">
        <v>-0.20325399999999999</v>
      </c>
      <c r="D11247">
        <v>14.0771</v>
      </c>
      <c r="E11247">
        <f>-0.203254-14.0771</f>
        <v>-14.280353999999999</v>
      </c>
      <c r="F11247" t="s">
        <v>16720</v>
      </c>
      <c r="G11247" t="s">
        <v>39</v>
      </c>
      <c r="H11247">
        <v>1992</v>
      </c>
      <c r="I11247">
        <v>29</v>
      </c>
      <c r="J11247">
        <v>15.1</v>
      </c>
      <c r="K11247">
        <v>56</v>
      </c>
      <c r="L11247">
        <v>31.39</v>
      </c>
      <c r="M11247">
        <v>40.9</v>
      </c>
      <c r="N11247">
        <v>14.4</v>
      </c>
      <c r="O11247">
        <v>26.5</v>
      </c>
      <c r="P11247">
        <v>29</v>
      </c>
      <c r="Q11247">
        <v>25</v>
      </c>
      <c r="R11247">
        <v>32.9</v>
      </c>
      <c r="S11247">
        <v>24.5</v>
      </c>
      <c r="T11247">
        <v>448</v>
      </c>
      <c r="U11247">
        <v>156</v>
      </c>
      <c r="V11247">
        <v>0</v>
      </c>
      <c r="W11247">
        <v>134</v>
      </c>
      <c r="X11247">
        <v>345</v>
      </c>
      <c r="Y11247">
        <v>0</v>
      </c>
      <c r="Z11247">
        <v>89</v>
      </c>
      <c r="AA11247">
        <v>0</v>
      </c>
      <c r="AB11247">
        <v>8.3030380000000008</v>
      </c>
      <c r="AC11247">
        <v>9.4152860000000001E-3</v>
      </c>
      <c r="AD11247">
        <v>1.02328</v>
      </c>
      <c r="AE11247">
        <v>0.58508859999999996</v>
      </c>
      <c r="AF11247">
        <v>284.8263</v>
      </c>
      <c r="AG11247">
        <f>IFERROR(AH11247*0.1, "N/A")</f>
        <v>6.9713320000000003</v>
      </c>
      <c r="AH11247">
        <v>69.713319999999996</v>
      </c>
      <c r="AI11247">
        <v>172.19749999999999</v>
      </c>
      <c r="AJ11247">
        <v>23.66273</v>
      </c>
      <c r="AK11247">
        <v>62.296799999999998</v>
      </c>
    </row>
    <row r="11248" spans="1:37" x14ac:dyDescent="0.3">
      <c r="A11248">
        <v>11247</v>
      </c>
      <c r="B11248">
        <v>45</v>
      </c>
      <c r="C11248">
        <v>-0.31137999999999999</v>
      </c>
      <c r="D11248">
        <v>14.0372</v>
      </c>
      <c r="E11248">
        <f>-0.31138-14.0372</f>
        <v>-14.34858</v>
      </c>
      <c r="F11248" t="s">
        <v>16721</v>
      </c>
      <c r="G11248" t="s">
        <v>39</v>
      </c>
      <c r="H11248">
        <v>1992</v>
      </c>
      <c r="I11248">
        <v>28.9</v>
      </c>
      <c r="J11248">
        <v>15</v>
      </c>
      <c r="K11248">
        <v>57</v>
      </c>
      <c r="L11248">
        <v>30.28</v>
      </c>
      <c r="M11248">
        <v>40.700000000000003</v>
      </c>
      <c r="N11248">
        <v>14.7</v>
      </c>
      <c r="O11248">
        <v>26</v>
      </c>
      <c r="P11248">
        <v>28.8</v>
      </c>
      <c r="Q11248">
        <v>25.1</v>
      </c>
      <c r="R11248">
        <v>32.700000000000003</v>
      </c>
      <c r="S11248">
        <v>24.7</v>
      </c>
      <c r="T11248">
        <v>448</v>
      </c>
      <c r="U11248">
        <v>155</v>
      </c>
      <c r="V11248">
        <v>0</v>
      </c>
      <c r="W11248">
        <v>134</v>
      </c>
      <c r="X11248">
        <v>343</v>
      </c>
      <c r="Y11248">
        <v>0</v>
      </c>
      <c r="Z11248">
        <v>91</v>
      </c>
      <c r="AA11248">
        <v>0</v>
      </c>
      <c r="AB11248">
        <v>5.2887469999999999</v>
      </c>
      <c r="AC11248">
        <v>8.9668269999999994E-2</v>
      </c>
      <c r="AD11248">
        <v>1.1642479999999999</v>
      </c>
      <c r="AE11248">
        <v>0.63079070000000004</v>
      </c>
      <c r="AF11248">
        <v>275.37479999999999</v>
      </c>
      <c r="AG11248">
        <f>IFERROR(AH11248*0.1, "N/A")</f>
        <v>6.3063450000000003</v>
      </c>
      <c r="AH11248">
        <v>63.063450000000003</v>
      </c>
      <c r="AI11248">
        <v>260.2842</v>
      </c>
      <c r="AJ11248">
        <v>14.25381</v>
      </c>
      <c r="AK11248">
        <v>71.550759999999997</v>
      </c>
    </row>
    <row r="11249" spans="1:37" x14ac:dyDescent="0.3">
      <c r="A11249">
        <v>11248</v>
      </c>
      <c r="B11249">
        <v>0</v>
      </c>
      <c r="C11249">
        <v>25.911899999999999</v>
      </c>
      <c r="D11249">
        <v>-24.6464</v>
      </c>
      <c r="E11249" t="s">
        <v>16722</v>
      </c>
      <c r="F11249" t="s">
        <v>16723</v>
      </c>
      <c r="G11249" t="s">
        <v>37</v>
      </c>
      <c r="H11249">
        <v>1983</v>
      </c>
      <c r="I11249">
        <v>20.3</v>
      </c>
      <c r="J11249">
        <v>15.5</v>
      </c>
      <c r="K11249">
        <v>53</v>
      </c>
      <c r="L11249">
        <v>47.76</v>
      </c>
      <c r="M11249">
        <v>32.200000000000003</v>
      </c>
      <c r="N11249">
        <v>3.3</v>
      </c>
      <c r="O11249">
        <v>28.9</v>
      </c>
      <c r="P11249">
        <v>25.2</v>
      </c>
      <c r="Q11249">
        <v>13.5</v>
      </c>
      <c r="R11249">
        <v>25.2</v>
      </c>
      <c r="S11249">
        <v>13.5</v>
      </c>
      <c r="T11249">
        <v>456</v>
      </c>
      <c r="U11249">
        <v>84</v>
      </c>
      <c r="V11249">
        <v>3</v>
      </c>
      <c r="W11249">
        <v>77</v>
      </c>
      <c r="X11249">
        <v>236</v>
      </c>
      <c r="Y11249">
        <v>11</v>
      </c>
      <c r="Z11249">
        <v>236</v>
      </c>
      <c r="AA11249">
        <v>11</v>
      </c>
      <c r="AB11249">
        <v>7.3889649999999998</v>
      </c>
      <c r="AC11249">
        <v>1.6530719999999999E-2</v>
      </c>
      <c r="AD11249">
        <v>0.91788829999999999</v>
      </c>
      <c r="AE11249">
        <v>0.83398260000000002</v>
      </c>
      <c r="AF11249">
        <v>1000.527</v>
      </c>
      <c r="AG11249">
        <f>IFERROR(AH11249*0.1, "N/A")</f>
        <v>6.7022970000000006</v>
      </c>
      <c r="AH11249">
        <v>67.022970000000001</v>
      </c>
      <c r="AI11249">
        <v>188.4486</v>
      </c>
      <c r="AJ11249">
        <v>23.022970000000001</v>
      </c>
      <c r="AK11249">
        <v>60.954059999999998</v>
      </c>
    </row>
    <row r="11250" spans="1:37" x14ac:dyDescent="0.3">
      <c r="A11250">
        <v>11249</v>
      </c>
      <c r="B11250">
        <v>84</v>
      </c>
      <c r="C11250">
        <v>26.154299999999999</v>
      </c>
      <c r="D11250">
        <v>-24.380199999999999</v>
      </c>
      <c r="E11250" t="s">
        <v>16724</v>
      </c>
      <c r="F11250" t="s">
        <v>16725</v>
      </c>
      <c r="G11250" t="s">
        <v>39</v>
      </c>
      <c r="H11250">
        <v>1958</v>
      </c>
      <c r="I11250">
        <v>20.2</v>
      </c>
      <c r="J11250">
        <v>15.7</v>
      </c>
      <c r="K11250">
        <v>53</v>
      </c>
      <c r="L11250">
        <v>47.68</v>
      </c>
      <c r="M11250">
        <v>32.299999999999997</v>
      </c>
      <c r="N11250">
        <v>2.9</v>
      </c>
      <c r="O11250">
        <v>29.4</v>
      </c>
      <c r="P11250">
        <v>25</v>
      </c>
      <c r="Q11250">
        <v>13.5</v>
      </c>
      <c r="R11250">
        <v>25</v>
      </c>
      <c r="S11250">
        <v>13.5</v>
      </c>
      <c r="T11250">
        <v>466</v>
      </c>
      <c r="U11250">
        <v>84</v>
      </c>
      <c r="V11250">
        <v>3</v>
      </c>
      <c r="W11250">
        <v>79</v>
      </c>
      <c r="X11250">
        <v>245</v>
      </c>
      <c r="Y11250">
        <v>11</v>
      </c>
      <c r="Z11250">
        <v>224</v>
      </c>
      <c r="AA11250">
        <v>11</v>
      </c>
      <c r="AB11250">
        <v>5.605086</v>
      </c>
      <c r="AC11250">
        <v>0.194082</v>
      </c>
      <c r="AD11250">
        <v>2.0052020000000002</v>
      </c>
      <c r="AE11250">
        <v>0.62235529999999994</v>
      </c>
      <c r="AF11250">
        <v>944.65380000000005</v>
      </c>
      <c r="AG11250">
        <f>IFERROR(AH11250*0.1, "N/A")</f>
        <v>6.5976820000000007</v>
      </c>
      <c r="AH11250">
        <v>65.976820000000004</v>
      </c>
      <c r="AI11250">
        <v>102.5586</v>
      </c>
      <c r="AJ11250">
        <v>17.162289999999999</v>
      </c>
      <c r="AK11250">
        <v>72.071100000000001</v>
      </c>
    </row>
    <row r="11251" spans="1:37" x14ac:dyDescent="0.3">
      <c r="A11251">
        <v>11250</v>
      </c>
      <c r="B11251">
        <v>2.2000000000000002</v>
      </c>
      <c r="C11251">
        <v>24.402899999999999</v>
      </c>
      <c r="D11251">
        <v>-21.0305</v>
      </c>
      <c r="E11251" t="s">
        <v>16726</v>
      </c>
      <c r="F11251" t="s">
        <v>16727</v>
      </c>
      <c r="G11251" t="s">
        <v>39</v>
      </c>
      <c r="H11251">
        <v>1967</v>
      </c>
      <c r="I11251">
        <v>21.8</v>
      </c>
      <c r="J11251">
        <v>15.9</v>
      </c>
      <c r="K11251">
        <v>56</v>
      </c>
      <c r="L11251">
        <v>39.79</v>
      </c>
      <c r="M11251">
        <v>34</v>
      </c>
      <c r="N11251">
        <v>5.9</v>
      </c>
      <c r="O11251">
        <v>28.1</v>
      </c>
      <c r="P11251">
        <v>25.1</v>
      </c>
      <c r="Q11251">
        <v>16.100000000000001</v>
      </c>
      <c r="R11251">
        <v>25.7</v>
      </c>
      <c r="S11251">
        <v>16</v>
      </c>
      <c r="T11251">
        <v>341</v>
      </c>
      <c r="U11251">
        <v>86</v>
      </c>
      <c r="V11251">
        <v>0</v>
      </c>
      <c r="W11251">
        <v>96</v>
      </c>
      <c r="X11251">
        <v>204</v>
      </c>
      <c r="Y11251">
        <v>1</v>
      </c>
      <c r="Z11251">
        <v>118</v>
      </c>
      <c r="AA11251">
        <v>4</v>
      </c>
      <c r="AB11251">
        <v>1.8868039999999999</v>
      </c>
      <c r="AC11251">
        <v>1.0833789999999999E-2</v>
      </c>
      <c r="AD11251">
        <v>1.132558</v>
      </c>
      <c r="AE11251">
        <v>0.3155715</v>
      </c>
      <c r="AF11251">
        <v>913.80759999999998</v>
      </c>
      <c r="AG11251">
        <f>IFERROR(AH11251*0.1, "N/A")</f>
        <v>8</v>
      </c>
      <c r="AH11251">
        <v>80</v>
      </c>
      <c r="AI11251">
        <v>208.41839999999999</v>
      </c>
      <c r="AJ11251">
        <v>11</v>
      </c>
      <c r="AK11251">
        <v>84</v>
      </c>
    </row>
    <row r="11252" spans="1:37" x14ac:dyDescent="0.3">
      <c r="A11252">
        <v>11251</v>
      </c>
      <c r="B11252">
        <v>0</v>
      </c>
      <c r="C11252">
        <v>24.402899999999999</v>
      </c>
      <c r="D11252">
        <v>-21.0305</v>
      </c>
      <c r="E11252" t="s">
        <v>16726</v>
      </c>
      <c r="F11252" t="s">
        <v>16728</v>
      </c>
      <c r="G11252" t="s">
        <v>37</v>
      </c>
      <c r="H11252">
        <v>1967</v>
      </c>
      <c r="I11252">
        <v>21.8</v>
      </c>
      <c r="J11252">
        <v>15.9</v>
      </c>
      <c r="K11252">
        <v>56</v>
      </c>
      <c r="L11252">
        <v>39.79</v>
      </c>
      <c r="M11252">
        <v>34</v>
      </c>
      <c r="N11252">
        <v>5.9</v>
      </c>
      <c r="O11252">
        <v>28.1</v>
      </c>
      <c r="P11252">
        <v>25.1</v>
      </c>
      <c r="Q11252">
        <v>16.100000000000001</v>
      </c>
      <c r="R11252">
        <v>25.7</v>
      </c>
      <c r="S11252">
        <v>16</v>
      </c>
      <c r="T11252">
        <v>341</v>
      </c>
      <c r="U11252">
        <v>86</v>
      </c>
      <c r="V11252">
        <v>0</v>
      </c>
      <c r="W11252">
        <v>96</v>
      </c>
      <c r="X11252">
        <v>204</v>
      </c>
      <c r="Y11252">
        <v>1</v>
      </c>
      <c r="Z11252">
        <v>118</v>
      </c>
      <c r="AA11252">
        <v>4</v>
      </c>
      <c r="AB11252">
        <v>1.8868039999999999</v>
      </c>
      <c r="AC11252">
        <v>1.0833789999999999E-2</v>
      </c>
      <c r="AD11252">
        <v>1.132558</v>
      </c>
      <c r="AE11252">
        <v>0.3155715</v>
      </c>
      <c r="AF11252">
        <v>913.80759999999998</v>
      </c>
      <c r="AG11252">
        <f>IFERROR(AH11252*0.1, "N/A")</f>
        <v>8</v>
      </c>
      <c r="AH11252">
        <v>80</v>
      </c>
      <c r="AI11252">
        <v>208.41839999999999</v>
      </c>
      <c r="AJ11252">
        <v>11</v>
      </c>
      <c r="AK11252">
        <v>84</v>
      </c>
    </row>
    <row r="11253" spans="1:37" x14ac:dyDescent="0.3">
      <c r="A11253">
        <v>11252</v>
      </c>
      <c r="B11253">
        <v>1.8</v>
      </c>
      <c r="C11253">
        <v>22.7029</v>
      </c>
      <c r="D11253">
        <v>-20.4786</v>
      </c>
      <c r="E11253" t="s">
        <v>16729</v>
      </c>
      <c r="F11253" t="s">
        <v>16730</v>
      </c>
      <c r="G11253" t="s">
        <v>39</v>
      </c>
      <c r="H11253">
        <v>1967</v>
      </c>
      <c r="I11253">
        <v>22.4</v>
      </c>
      <c r="J11253">
        <v>16</v>
      </c>
      <c r="K11253">
        <v>56</v>
      </c>
      <c r="L11253">
        <v>41.01</v>
      </c>
      <c r="M11253">
        <v>34.799999999999997</v>
      </c>
      <c r="N11253">
        <v>6.3</v>
      </c>
      <c r="O11253">
        <v>28.5</v>
      </c>
      <c r="P11253">
        <v>25.9</v>
      </c>
      <c r="Q11253">
        <v>16.5</v>
      </c>
      <c r="R11253">
        <v>26.2</v>
      </c>
      <c r="S11253">
        <v>16.399999999999999</v>
      </c>
      <c r="T11253">
        <v>418</v>
      </c>
      <c r="U11253">
        <v>102</v>
      </c>
      <c r="V11253">
        <v>0</v>
      </c>
      <c r="W11253">
        <v>102</v>
      </c>
      <c r="X11253">
        <v>265</v>
      </c>
      <c r="Y11253">
        <v>1</v>
      </c>
      <c r="Z11253">
        <v>138</v>
      </c>
      <c r="AA11253">
        <v>5</v>
      </c>
      <c r="AB11253">
        <v>3.2288939999999999</v>
      </c>
      <c r="AC11253">
        <v>3.332023</v>
      </c>
      <c r="AD11253">
        <v>0.90459509999999999</v>
      </c>
      <c r="AE11253">
        <v>0.20031650000000001</v>
      </c>
      <c r="AF11253">
        <v>926.61479999999995</v>
      </c>
      <c r="AG11253">
        <f>IFERROR(AH11253*0.1, "N/A")</f>
        <v>7.2085070000000009</v>
      </c>
      <c r="AH11253">
        <v>72.085070000000002</v>
      </c>
      <c r="AI11253">
        <v>174.506</v>
      </c>
      <c r="AJ11253">
        <v>6.0016049999999996</v>
      </c>
      <c r="AK11253">
        <v>89.083470000000005</v>
      </c>
    </row>
    <row r="11254" spans="1:37" x14ac:dyDescent="0.3">
      <c r="A11254">
        <v>11253</v>
      </c>
      <c r="B11254">
        <v>0</v>
      </c>
      <c r="C11254">
        <v>22.7029</v>
      </c>
      <c r="D11254">
        <v>-20.4786</v>
      </c>
      <c r="E11254" t="s">
        <v>16729</v>
      </c>
      <c r="F11254" t="s">
        <v>16731</v>
      </c>
      <c r="G11254" t="s">
        <v>37</v>
      </c>
      <c r="H11254">
        <v>1967</v>
      </c>
      <c r="I11254">
        <v>22.4</v>
      </c>
      <c r="J11254">
        <v>16</v>
      </c>
      <c r="K11254">
        <v>56</v>
      </c>
      <c r="L11254">
        <v>41.01</v>
      </c>
      <c r="M11254">
        <v>34.799999999999997</v>
      </c>
      <c r="N11254">
        <v>6.3</v>
      </c>
      <c r="O11254">
        <v>28.5</v>
      </c>
      <c r="P11254">
        <v>25.9</v>
      </c>
      <c r="Q11254">
        <v>16.5</v>
      </c>
      <c r="R11254">
        <v>26.2</v>
      </c>
      <c r="S11254">
        <v>16.399999999999999</v>
      </c>
      <c r="T11254">
        <v>418</v>
      </c>
      <c r="U11254">
        <v>102</v>
      </c>
      <c r="V11254">
        <v>0</v>
      </c>
      <c r="W11254">
        <v>102</v>
      </c>
      <c r="X11254">
        <v>265</v>
      </c>
      <c r="Y11254">
        <v>1</v>
      </c>
      <c r="Z11254">
        <v>138</v>
      </c>
      <c r="AA11254">
        <v>5</v>
      </c>
      <c r="AB11254">
        <v>3.2288939999999999</v>
      </c>
      <c r="AC11254">
        <v>3.332023</v>
      </c>
      <c r="AD11254">
        <v>0.90459509999999999</v>
      </c>
      <c r="AE11254">
        <v>0.20031650000000001</v>
      </c>
      <c r="AF11254">
        <v>926.61479999999995</v>
      </c>
      <c r="AG11254">
        <f>IFERROR(AH11254*0.1, "N/A")</f>
        <v>7.2085070000000009</v>
      </c>
      <c r="AH11254">
        <v>72.085070000000002</v>
      </c>
      <c r="AI11254">
        <v>174.506</v>
      </c>
      <c r="AJ11254">
        <v>6.0016049999999996</v>
      </c>
      <c r="AK11254">
        <v>89.083470000000005</v>
      </c>
    </row>
    <row r="11255" spans="1:37" x14ac:dyDescent="0.3">
      <c r="A11255">
        <v>11254</v>
      </c>
      <c r="B11255">
        <v>0</v>
      </c>
      <c r="C11255">
        <v>23.885899999999999</v>
      </c>
      <c r="D11255">
        <v>-20.3246</v>
      </c>
      <c r="E11255" t="s">
        <v>16732</v>
      </c>
      <c r="F11255" t="s">
        <v>16733</v>
      </c>
      <c r="G11255" t="s">
        <v>39</v>
      </c>
      <c r="H11255">
        <v>1967</v>
      </c>
      <c r="I11255">
        <v>22.1</v>
      </c>
      <c r="J11255">
        <v>15.7</v>
      </c>
      <c r="K11255">
        <v>55</v>
      </c>
      <c r="L11255">
        <v>38.881250000000001</v>
      </c>
      <c r="M11255">
        <v>34.6</v>
      </c>
      <c r="N11255">
        <v>6.4</v>
      </c>
      <c r="O11255">
        <v>28.2</v>
      </c>
      <c r="P11255">
        <v>25.2</v>
      </c>
      <c r="Q11255">
        <v>16.5</v>
      </c>
      <c r="R11255">
        <v>25.9</v>
      </c>
      <c r="S11255">
        <v>16.399999999999999</v>
      </c>
      <c r="T11255">
        <v>410.97910000000002</v>
      </c>
      <c r="U11255">
        <v>101.9791</v>
      </c>
      <c r="V11255">
        <v>0</v>
      </c>
      <c r="W11255">
        <v>100</v>
      </c>
      <c r="X11255">
        <v>259.97910000000002</v>
      </c>
      <c r="Y11255">
        <v>0</v>
      </c>
      <c r="Z11255">
        <v>135</v>
      </c>
      <c r="AA11255">
        <v>5</v>
      </c>
      <c r="AB11255">
        <v>11.89986</v>
      </c>
      <c r="AC11255">
        <v>9.5454130000000009E-3</v>
      </c>
      <c r="AD11255">
        <v>1.3666970000000001</v>
      </c>
      <c r="AE11255">
        <v>0.2771248</v>
      </c>
      <c r="AF11255">
        <v>936.21510000000001</v>
      </c>
      <c r="AG11255">
        <f>IFERROR(AH11255*0.1, "N/A")</f>
        <v>7.6000000000000005</v>
      </c>
      <c r="AH11255">
        <v>76</v>
      </c>
      <c r="AI11255">
        <v>193.99170000000001</v>
      </c>
      <c r="AJ11255">
        <v>18.147670000000002</v>
      </c>
      <c r="AK11255">
        <v>74.778490000000005</v>
      </c>
    </row>
    <row r="11256" spans="1:37" x14ac:dyDescent="0.3">
      <c r="A11256">
        <v>11255</v>
      </c>
      <c r="B11256">
        <v>0</v>
      </c>
      <c r="C11256">
        <v>23.885899999999999</v>
      </c>
      <c r="D11256">
        <v>-20.3246</v>
      </c>
      <c r="E11256" t="s">
        <v>16732</v>
      </c>
      <c r="F11256" t="s">
        <v>16734</v>
      </c>
      <c r="G11256" t="s">
        <v>37</v>
      </c>
      <c r="H11256">
        <v>1967</v>
      </c>
      <c r="I11256">
        <v>22.1</v>
      </c>
      <c r="J11256">
        <v>15.7</v>
      </c>
      <c r="K11256">
        <v>55</v>
      </c>
      <c r="L11256">
        <v>38.881250000000001</v>
      </c>
      <c r="M11256">
        <v>34.6</v>
      </c>
      <c r="N11256">
        <v>6.4</v>
      </c>
      <c r="O11256">
        <v>28.2</v>
      </c>
      <c r="P11256">
        <v>25.2</v>
      </c>
      <c r="Q11256">
        <v>16.5</v>
      </c>
      <c r="R11256">
        <v>25.9</v>
      </c>
      <c r="S11256">
        <v>16.399999999999999</v>
      </c>
      <c r="T11256">
        <v>410.97910000000002</v>
      </c>
      <c r="U11256">
        <v>101.9791</v>
      </c>
      <c r="V11256">
        <v>0</v>
      </c>
      <c r="W11256">
        <v>100</v>
      </c>
      <c r="X11256">
        <v>259.97910000000002</v>
      </c>
      <c r="Y11256">
        <v>0</v>
      </c>
      <c r="Z11256">
        <v>135</v>
      </c>
      <c r="AA11256">
        <v>5</v>
      </c>
      <c r="AB11256">
        <v>11.89986</v>
      </c>
      <c r="AC11256">
        <v>9.5454130000000009E-3</v>
      </c>
      <c r="AD11256">
        <v>1.3666970000000001</v>
      </c>
      <c r="AE11256">
        <v>0.2771248</v>
      </c>
      <c r="AF11256">
        <v>936.21510000000001</v>
      </c>
      <c r="AG11256">
        <f>IFERROR(AH11256*0.1, "N/A")</f>
        <v>7.6000000000000005</v>
      </c>
      <c r="AH11256">
        <v>76</v>
      </c>
      <c r="AI11256">
        <v>193.99170000000001</v>
      </c>
      <c r="AJ11256">
        <v>18.147670000000002</v>
      </c>
      <c r="AK11256">
        <v>74.778490000000005</v>
      </c>
    </row>
    <row r="11257" spans="1:37" x14ac:dyDescent="0.3">
      <c r="A11257">
        <v>11256</v>
      </c>
      <c r="B11257">
        <v>0</v>
      </c>
      <c r="C11257">
        <v>22.454999999999998</v>
      </c>
      <c r="D11257">
        <v>-20.1648</v>
      </c>
      <c r="E11257" t="s">
        <v>16735</v>
      </c>
      <c r="F11257" t="s">
        <v>16736</v>
      </c>
      <c r="G11257" t="s">
        <v>39</v>
      </c>
      <c r="H11257">
        <v>1967</v>
      </c>
      <c r="I11257">
        <v>22.4</v>
      </c>
      <c r="J11257">
        <v>16</v>
      </c>
      <c r="K11257">
        <v>56</v>
      </c>
      <c r="L11257">
        <v>40.380000000000003</v>
      </c>
      <c r="M11257">
        <v>34.700000000000003</v>
      </c>
      <c r="N11257">
        <v>6.3</v>
      </c>
      <c r="O11257">
        <v>28.4</v>
      </c>
      <c r="P11257">
        <v>25.8</v>
      </c>
      <c r="Q11257">
        <v>16.5</v>
      </c>
      <c r="R11257">
        <v>26.1</v>
      </c>
      <c r="S11257">
        <v>16.5</v>
      </c>
      <c r="T11257">
        <v>427</v>
      </c>
      <c r="U11257">
        <v>104</v>
      </c>
      <c r="V11257">
        <v>0</v>
      </c>
      <c r="W11257">
        <v>102</v>
      </c>
      <c r="X11257">
        <v>273</v>
      </c>
      <c r="Y11257">
        <v>1</v>
      </c>
      <c r="Z11257">
        <v>142</v>
      </c>
      <c r="AA11257">
        <v>4</v>
      </c>
      <c r="AB11257">
        <v>1.3826579999999999</v>
      </c>
      <c r="AC11257">
        <v>8.0335030000000009E-3</v>
      </c>
      <c r="AD11257">
        <v>1.089539</v>
      </c>
      <c r="AE11257">
        <v>8.4800479999999998E-2</v>
      </c>
      <c r="AF11257">
        <v>941.40610000000004</v>
      </c>
      <c r="AG11257">
        <f>IFERROR(AH11257*0.1, "N/A")</f>
        <v>7.2094700000000005</v>
      </c>
      <c r="AH11257">
        <v>72.094700000000003</v>
      </c>
      <c r="AI11257">
        <v>178.54259999999999</v>
      </c>
      <c r="AJ11257">
        <v>10.061</v>
      </c>
      <c r="AK11257">
        <v>84.972710000000006</v>
      </c>
    </row>
    <row r="11258" spans="1:37" x14ac:dyDescent="0.3">
      <c r="A11258">
        <v>11257</v>
      </c>
      <c r="B11258">
        <v>1.3</v>
      </c>
      <c r="C11258">
        <v>22.454999999999998</v>
      </c>
      <c r="D11258">
        <v>-20.1648</v>
      </c>
      <c r="E11258" t="s">
        <v>16735</v>
      </c>
      <c r="F11258" t="s">
        <v>16737</v>
      </c>
      <c r="G11258" t="s">
        <v>37</v>
      </c>
      <c r="H11258">
        <v>1967</v>
      </c>
      <c r="I11258">
        <v>22.4</v>
      </c>
      <c r="J11258">
        <v>16</v>
      </c>
      <c r="K11258">
        <v>56</v>
      </c>
      <c r="L11258">
        <v>40.380000000000003</v>
      </c>
      <c r="M11258">
        <v>34.700000000000003</v>
      </c>
      <c r="N11258">
        <v>6.3</v>
      </c>
      <c r="O11258">
        <v>28.4</v>
      </c>
      <c r="P11258">
        <v>25.8</v>
      </c>
      <c r="Q11258">
        <v>16.5</v>
      </c>
      <c r="R11258">
        <v>26.1</v>
      </c>
      <c r="S11258">
        <v>16.5</v>
      </c>
      <c r="T11258">
        <v>427</v>
      </c>
      <c r="U11258">
        <v>104</v>
      </c>
      <c r="V11258">
        <v>0</v>
      </c>
      <c r="W11258">
        <v>102</v>
      </c>
      <c r="X11258">
        <v>273</v>
      </c>
      <c r="Y11258">
        <v>1</v>
      </c>
      <c r="Z11258">
        <v>142</v>
      </c>
      <c r="AA11258">
        <v>4</v>
      </c>
      <c r="AB11258">
        <v>1.3826579999999999</v>
      </c>
      <c r="AC11258">
        <v>8.0335030000000009E-3</v>
      </c>
      <c r="AD11258">
        <v>1.089539</v>
      </c>
      <c r="AE11258">
        <v>8.4800479999999998E-2</v>
      </c>
      <c r="AF11258">
        <v>941.40610000000004</v>
      </c>
      <c r="AG11258">
        <f>IFERROR(AH11258*0.1, "N/A")</f>
        <v>7.2094700000000005</v>
      </c>
      <c r="AH11258">
        <v>72.094700000000003</v>
      </c>
      <c r="AI11258">
        <v>178.54259999999999</v>
      </c>
      <c r="AJ11258">
        <v>10.061</v>
      </c>
      <c r="AK11258">
        <v>84.972710000000006</v>
      </c>
    </row>
    <row r="11259" spans="1:37" x14ac:dyDescent="0.3">
      <c r="A11259">
        <v>11258</v>
      </c>
      <c r="B11259">
        <v>80</v>
      </c>
      <c r="C11259">
        <v>23.438800000000001</v>
      </c>
      <c r="D11259">
        <v>-20.032699999999998</v>
      </c>
      <c r="E11259" t="s">
        <v>16738</v>
      </c>
      <c r="F11259" t="s">
        <v>16739</v>
      </c>
      <c r="G11259" t="s">
        <v>37</v>
      </c>
      <c r="H11259">
        <v>1985</v>
      </c>
      <c r="I11259">
        <v>22.3</v>
      </c>
      <c r="J11259">
        <v>15.60403</v>
      </c>
      <c r="K11259">
        <v>55</v>
      </c>
      <c r="L11259">
        <v>38.92436</v>
      </c>
      <c r="M11259">
        <v>34.799999999999997</v>
      </c>
      <c r="N11259">
        <v>6.6</v>
      </c>
      <c r="O11259">
        <v>28.2</v>
      </c>
      <c r="P11259">
        <v>25.3</v>
      </c>
      <c r="Q11259">
        <v>16.7</v>
      </c>
      <c r="R11259">
        <v>26</v>
      </c>
      <c r="S11259">
        <v>16.5</v>
      </c>
      <c r="T11259">
        <v>457.9597</v>
      </c>
      <c r="U11259">
        <v>109</v>
      </c>
      <c r="V11259">
        <v>0</v>
      </c>
      <c r="W11259">
        <v>101.9597</v>
      </c>
      <c r="X11259">
        <v>294.9597</v>
      </c>
      <c r="Y11259">
        <v>1</v>
      </c>
      <c r="Z11259">
        <v>150</v>
      </c>
      <c r="AA11259">
        <v>6</v>
      </c>
      <c r="AB11259">
        <v>1.780206</v>
      </c>
      <c r="AC11259">
        <v>8.6098470000000003E-3</v>
      </c>
      <c r="AD11259">
        <v>1.565939</v>
      </c>
      <c r="AE11259">
        <v>0.30699379999999998</v>
      </c>
      <c r="AF11259">
        <v>949.83410000000003</v>
      </c>
      <c r="AG11259">
        <f>IFERROR(AH11259*0.1, "N/A")</f>
        <v>6.6497580000000003</v>
      </c>
      <c r="AH11259">
        <v>66.497579999999999</v>
      </c>
      <c r="AI11259">
        <v>216.36330000000001</v>
      </c>
      <c r="AJ11259">
        <v>6.2995169999999998</v>
      </c>
      <c r="AK11259">
        <v>87.400970000000001</v>
      </c>
    </row>
    <row r="11260" spans="1:37" x14ac:dyDescent="0.3">
      <c r="A11260">
        <v>11259</v>
      </c>
      <c r="B11260">
        <v>5</v>
      </c>
      <c r="C11260">
        <v>23.438800000000001</v>
      </c>
      <c r="D11260">
        <v>-20.032699999999998</v>
      </c>
      <c r="E11260" t="s">
        <v>16738</v>
      </c>
      <c r="F11260" t="s">
        <v>16740</v>
      </c>
      <c r="G11260" t="s">
        <v>39</v>
      </c>
      <c r="H11260">
        <v>1985</v>
      </c>
      <c r="I11260">
        <v>22.3</v>
      </c>
      <c r="J11260">
        <v>15.60403</v>
      </c>
      <c r="K11260">
        <v>55</v>
      </c>
      <c r="L11260">
        <v>38.92436</v>
      </c>
      <c r="M11260">
        <v>34.799999999999997</v>
      </c>
      <c r="N11260">
        <v>6.6</v>
      </c>
      <c r="O11260">
        <v>28.2</v>
      </c>
      <c r="P11260">
        <v>25.3</v>
      </c>
      <c r="Q11260">
        <v>16.7</v>
      </c>
      <c r="R11260">
        <v>26</v>
      </c>
      <c r="S11260">
        <v>16.5</v>
      </c>
      <c r="T11260">
        <v>457.9597</v>
      </c>
      <c r="U11260">
        <v>109</v>
      </c>
      <c r="V11260">
        <v>0</v>
      </c>
      <c r="W11260">
        <v>101.9597</v>
      </c>
      <c r="X11260">
        <v>294.9597</v>
      </c>
      <c r="Y11260">
        <v>1</v>
      </c>
      <c r="Z11260">
        <v>150</v>
      </c>
      <c r="AA11260">
        <v>6</v>
      </c>
      <c r="AB11260">
        <v>1.780206</v>
      </c>
      <c r="AC11260">
        <v>8.6098470000000003E-3</v>
      </c>
      <c r="AD11260">
        <v>1.565939</v>
      </c>
      <c r="AE11260">
        <v>0.30699379999999998</v>
      </c>
      <c r="AF11260">
        <v>949.83410000000003</v>
      </c>
      <c r="AG11260">
        <f>IFERROR(AH11260*0.1, "N/A")</f>
        <v>6.6497580000000003</v>
      </c>
      <c r="AH11260">
        <v>66.497579999999999</v>
      </c>
      <c r="AI11260">
        <v>216.36330000000001</v>
      </c>
      <c r="AJ11260">
        <v>6.2995169999999998</v>
      </c>
      <c r="AK11260">
        <v>87.400970000000001</v>
      </c>
    </row>
    <row r="11261" spans="1:37" x14ac:dyDescent="0.3">
      <c r="A11261">
        <v>11260</v>
      </c>
      <c r="B11261">
        <v>100</v>
      </c>
      <c r="C11261">
        <v>23.432200000000002</v>
      </c>
      <c r="D11261">
        <v>-20.016100000000002</v>
      </c>
      <c r="E11261" t="s">
        <v>16741</v>
      </c>
      <c r="F11261" t="s">
        <v>16742</v>
      </c>
      <c r="G11261" t="s">
        <v>37</v>
      </c>
      <c r="H11261">
        <v>1985</v>
      </c>
      <c r="I11261">
        <v>22.3</v>
      </c>
      <c r="J11261">
        <v>15.66431</v>
      </c>
      <c r="K11261">
        <v>55</v>
      </c>
      <c r="L11261">
        <v>39.080739999999999</v>
      </c>
      <c r="M11261">
        <v>34.799999999999997</v>
      </c>
      <c r="N11261">
        <v>6.6</v>
      </c>
      <c r="O11261">
        <v>28.2</v>
      </c>
      <c r="P11261">
        <v>25.3</v>
      </c>
      <c r="Q11261">
        <v>16.63569</v>
      </c>
      <c r="R11261">
        <v>26.1</v>
      </c>
      <c r="S11261">
        <v>16.5</v>
      </c>
      <c r="T11261">
        <v>458</v>
      </c>
      <c r="U11261">
        <v>109</v>
      </c>
      <c r="V11261">
        <v>0</v>
      </c>
      <c r="W11261">
        <v>102</v>
      </c>
      <c r="X11261">
        <v>295</v>
      </c>
      <c r="Y11261">
        <v>1</v>
      </c>
      <c r="Z11261">
        <v>150</v>
      </c>
      <c r="AA11261">
        <v>6</v>
      </c>
      <c r="AB11261">
        <v>1.8562430000000001</v>
      </c>
      <c r="AC11261">
        <v>1.115652E-2</v>
      </c>
      <c r="AD11261">
        <v>0.84200560000000002</v>
      </c>
      <c r="AE11261">
        <v>0.563056</v>
      </c>
      <c r="AF11261">
        <v>948.89549999999997</v>
      </c>
      <c r="AG11261">
        <f>IFERROR(AH11261*0.1, "N/A")</f>
        <v>7.0098070000000012</v>
      </c>
      <c r="AH11261">
        <v>70.098070000000007</v>
      </c>
      <c r="AI11261">
        <v>146.1481</v>
      </c>
      <c r="AJ11261">
        <v>9.4646299999999997</v>
      </c>
      <c r="AK11261">
        <v>84.585210000000004</v>
      </c>
    </row>
    <row r="11262" spans="1:37" x14ac:dyDescent="0.3">
      <c r="A11262">
        <v>11261</v>
      </c>
      <c r="B11262">
        <v>100</v>
      </c>
      <c r="C11262">
        <v>23.427800000000001</v>
      </c>
      <c r="D11262">
        <v>-20.008700000000001</v>
      </c>
      <c r="E11262" t="s">
        <v>16743</v>
      </c>
      <c r="F11262" t="s">
        <v>16744</v>
      </c>
      <c r="G11262" t="s">
        <v>37</v>
      </c>
      <c r="H11262">
        <v>1985</v>
      </c>
      <c r="I11262">
        <v>22.3</v>
      </c>
      <c r="J11262">
        <v>15.686859999999999</v>
      </c>
      <c r="K11262">
        <v>55</v>
      </c>
      <c r="L11262">
        <v>39.119999999999997</v>
      </c>
      <c r="M11262">
        <v>34.799999999999997</v>
      </c>
      <c r="N11262">
        <v>6.6</v>
      </c>
      <c r="O11262">
        <v>28.2</v>
      </c>
      <c r="P11262">
        <v>25.3</v>
      </c>
      <c r="Q11262">
        <v>16.600000000000001</v>
      </c>
      <c r="R11262">
        <v>26.1</v>
      </c>
      <c r="S11262">
        <v>16.5</v>
      </c>
      <c r="T11262">
        <v>458</v>
      </c>
      <c r="U11262">
        <v>109</v>
      </c>
      <c r="V11262">
        <v>0</v>
      </c>
      <c r="W11262">
        <v>102</v>
      </c>
      <c r="X11262">
        <v>295</v>
      </c>
      <c r="Y11262">
        <v>1</v>
      </c>
      <c r="Z11262">
        <v>150</v>
      </c>
      <c r="AA11262">
        <v>6</v>
      </c>
      <c r="AB11262">
        <v>11.51924</v>
      </c>
      <c r="AC11262">
        <v>8.0413710000000003E-3</v>
      </c>
      <c r="AD11262">
        <v>0.513185</v>
      </c>
      <c r="AE11262">
        <v>0.48049750000000002</v>
      </c>
      <c r="AF11262">
        <v>949.40380000000005</v>
      </c>
      <c r="AG11262">
        <f>IFERROR(AH11262*0.1, "N/A")</f>
        <v>7.4020830000000011</v>
      </c>
      <c r="AH11262">
        <v>74.020830000000004</v>
      </c>
      <c r="AI11262">
        <v>142.0205</v>
      </c>
      <c r="AJ11262">
        <v>16.921469999999999</v>
      </c>
      <c r="AK11262">
        <v>75.884619999999998</v>
      </c>
    </row>
    <row r="11263" spans="1:37" x14ac:dyDescent="0.3">
      <c r="A11263">
        <v>11262</v>
      </c>
      <c r="B11263">
        <v>62.9</v>
      </c>
      <c r="C11263">
        <v>23.435099999999998</v>
      </c>
      <c r="D11263">
        <v>-20.002800000000001</v>
      </c>
      <c r="E11263" t="s">
        <v>16745</v>
      </c>
      <c r="F11263" t="s">
        <v>16746</v>
      </c>
      <c r="G11263" t="s">
        <v>37</v>
      </c>
      <c r="H11263">
        <v>1985</v>
      </c>
      <c r="I11263">
        <v>22.3</v>
      </c>
      <c r="J11263">
        <v>15.6</v>
      </c>
      <c r="K11263">
        <v>55</v>
      </c>
      <c r="L11263">
        <v>38.9</v>
      </c>
      <c r="M11263">
        <v>34.799999999999997</v>
      </c>
      <c r="N11263">
        <v>6.7</v>
      </c>
      <c r="O11263">
        <v>28.1</v>
      </c>
      <c r="P11263">
        <v>25.3</v>
      </c>
      <c r="Q11263">
        <v>16.7</v>
      </c>
      <c r="R11263">
        <v>26.1</v>
      </c>
      <c r="S11263">
        <v>16.600000000000001</v>
      </c>
      <c r="T11263">
        <v>458</v>
      </c>
      <c r="U11263">
        <v>109</v>
      </c>
      <c r="V11263">
        <v>0</v>
      </c>
      <c r="W11263">
        <v>102</v>
      </c>
      <c r="X11263">
        <v>295</v>
      </c>
      <c r="Y11263">
        <v>1</v>
      </c>
      <c r="Z11263">
        <v>150</v>
      </c>
      <c r="AA11263">
        <v>6</v>
      </c>
      <c r="AB11263">
        <v>5.1300080000000001</v>
      </c>
      <c r="AC11263">
        <v>8.4696630000000005E-3</v>
      </c>
      <c r="AD11263">
        <v>1.0296339999999999</v>
      </c>
      <c r="AE11263">
        <v>0.3999743</v>
      </c>
      <c r="AF11263">
        <v>947.46939999999995</v>
      </c>
      <c r="AG11263">
        <f>IFERROR(AH11263*0.1, "N/A")</f>
        <v>7.1429030000000004</v>
      </c>
      <c r="AH11263">
        <v>71.429029999999997</v>
      </c>
      <c r="AI11263">
        <v>122.1221</v>
      </c>
      <c r="AJ11263">
        <v>14.238709999999999</v>
      </c>
      <c r="AK11263">
        <v>78.840320000000006</v>
      </c>
    </row>
    <row r="11264" spans="1:37" x14ac:dyDescent="0.3">
      <c r="A11264">
        <v>11263</v>
      </c>
      <c r="B11264">
        <v>0</v>
      </c>
      <c r="C11264">
        <v>23.435099999999998</v>
      </c>
      <c r="D11264">
        <v>-20.002800000000001</v>
      </c>
      <c r="E11264" t="s">
        <v>16745</v>
      </c>
      <c r="F11264" t="s">
        <v>16747</v>
      </c>
      <c r="G11264" t="s">
        <v>39</v>
      </c>
      <c r="H11264">
        <v>1985</v>
      </c>
      <c r="I11264">
        <v>22.3</v>
      </c>
      <c r="J11264">
        <v>15.6</v>
      </c>
      <c r="K11264">
        <v>55</v>
      </c>
      <c r="L11264">
        <v>38.9</v>
      </c>
      <c r="M11264">
        <v>34.799999999999997</v>
      </c>
      <c r="N11264">
        <v>6.7</v>
      </c>
      <c r="O11264">
        <v>28.1</v>
      </c>
      <c r="P11264">
        <v>25.3</v>
      </c>
      <c r="Q11264">
        <v>16.7</v>
      </c>
      <c r="R11264">
        <v>26.1</v>
      </c>
      <c r="S11264">
        <v>16.600000000000001</v>
      </c>
      <c r="T11264">
        <v>458</v>
      </c>
      <c r="U11264">
        <v>109</v>
      </c>
      <c r="V11264">
        <v>0</v>
      </c>
      <c r="W11264">
        <v>102</v>
      </c>
      <c r="X11264">
        <v>295</v>
      </c>
      <c r="Y11264">
        <v>1</v>
      </c>
      <c r="Z11264">
        <v>150</v>
      </c>
      <c r="AA11264">
        <v>6</v>
      </c>
      <c r="AB11264">
        <v>5.1300080000000001</v>
      </c>
      <c r="AC11264">
        <v>8.4696630000000005E-3</v>
      </c>
      <c r="AD11264">
        <v>1.0296339999999999</v>
      </c>
      <c r="AE11264">
        <v>0.3999743</v>
      </c>
      <c r="AF11264">
        <v>947.46939999999995</v>
      </c>
      <c r="AG11264">
        <f>IFERROR(AH11264*0.1, "N/A")</f>
        <v>7.1429030000000004</v>
      </c>
      <c r="AH11264">
        <v>71.429029999999997</v>
      </c>
      <c r="AI11264">
        <v>122.1221</v>
      </c>
      <c r="AJ11264">
        <v>14.238709999999999</v>
      </c>
      <c r="AK11264">
        <v>78.840320000000006</v>
      </c>
    </row>
    <row r="11265" spans="1:37" x14ac:dyDescent="0.3">
      <c r="A11265">
        <v>11264</v>
      </c>
      <c r="B11265">
        <v>72.599999999999994</v>
      </c>
      <c r="C11265">
        <v>23.414200000000001</v>
      </c>
      <c r="D11265">
        <v>-19.9986</v>
      </c>
      <c r="E11265" t="s">
        <v>16748</v>
      </c>
      <c r="F11265" t="s">
        <v>16749</v>
      </c>
      <c r="G11265" t="s">
        <v>37</v>
      </c>
      <c r="H11265">
        <v>1985</v>
      </c>
      <c r="I11265">
        <v>22.4</v>
      </c>
      <c r="J11265">
        <v>15.7</v>
      </c>
      <c r="K11265">
        <v>55</v>
      </c>
      <c r="L11265">
        <v>38.53</v>
      </c>
      <c r="M11265">
        <v>34.799999999999997</v>
      </c>
      <c r="N11265">
        <v>6.7</v>
      </c>
      <c r="O11265">
        <v>28.1</v>
      </c>
      <c r="P11265">
        <v>25.3</v>
      </c>
      <c r="Q11265">
        <v>16.8</v>
      </c>
      <c r="R11265">
        <v>26.1</v>
      </c>
      <c r="S11265">
        <v>16.7</v>
      </c>
      <c r="T11265">
        <v>460</v>
      </c>
      <c r="U11265">
        <v>110</v>
      </c>
      <c r="V11265">
        <v>0</v>
      </c>
      <c r="W11265">
        <v>102</v>
      </c>
      <c r="X11265">
        <v>297</v>
      </c>
      <c r="Y11265">
        <v>1</v>
      </c>
      <c r="Z11265">
        <v>150</v>
      </c>
      <c r="AA11265">
        <v>6</v>
      </c>
      <c r="AB11265">
        <v>0.86887519999999996</v>
      </c>
      <c r="AC11265">
        <v>0.1514826</v>
      </c>
      <c r="AD11265">
        <v>1.642272</v>
      </c>
      <c r="AE11265">
        <v>0.45267570000000001</v>
      </c>
      <c r="AF11265">
        <v>941.8587</v>
      </c>
      <c r="AG11265">
        <f>IFERROR(AH11265*0.1, "N/A")</f>
        <v>6.9648480000000008</v>
      </c>
      <c r="AH11265">
        <v>69.648480000000006</v>
      </c>
      <c r="AI11265">
        <v>96.659450000000007</v>
      </c>
      <c r="AJ11265">
        <v>14.728730000000001</v>
      </c>
      <c r="AK11265">
        <v>78.467089999999999</v>
      </c>
    </row>
    <row r="11266" spans="1:37" x14ac:dyDescent="0.3">
      <c r="A11266">
        <v>11265</v>
      </c>
      <c r="B11266">
        <v>0</v>
      </c>
      <c r="C11266">
        <v>23.414200000000001</v>
      </c>
      <c r="D11266">
        <v>-19.9986</v>
      </c>
      <c r="E11266" t="s">
        <v>16748</v>
      </c>
      <c r="F11266" t="s">
        <v>16750</v>
      </c>
      <c r="G11266" t="s">
        <v>39</v>
      </c>
      <c r="H11266">
        <v>1985</v>
      </c>
      <c r="I11266">
        <v>22.4</v>
      </c>
      <c r="J11266">
        <v>15.7</v>
      </c>
      <c r="K11266">
        <v>55</v>
      </c>
      <c r="L11266">
        <v>38.53</v>
      </c>
      <c r="M11266">
        <v>34.799999999999997</v>
      </c>
      <c r="N11266">
        <v>6.7</v>
      </c>
      <c r="O11266">
        <v>28.1</v>
      </c>
      <c r="P11266">
        <v>25.3</v>
      </c>
      <c r="Q11266">
        <v>16.8</v>
      </c>
      <c r="R11266">
        <v>26.1</v>
      </c>
      <c r="S11266">
        <v>16.7</v>
      </c>
      <c r="T11266">
        <v>460</v>
      </c>
      <c r="U11266">
        <v>110</v>
      </c>
      <c r="V11266">
        <v>0</v>
      </c>
      <c r="W11266">
        <v>102</v>
      </c>
      <c r="X11266">
        <v>297</v>
      </c>
      <c r="Y11266">
        <v>1</v>
      </c>
      <c r="Z11266">
        <v>150</v>
      </c>
      <c r="AA11266">
        <v>6</v>
      </c>
      <c r="AB11266">
        <v>0.86887519999999996</v>
      </c>
      <c r="AC11266">
        <v>0.1514826</v>
      </c>
      <c r="AD11266">
        <v>1.642272</v>
      </c>
      <c r="AE11266">
        <v>0.45267570000000001</v>
      </c>
      <c r="AF11266">
        <v>941.8587</v>
      </c>
      <c r="AG11266">
        <f>IFERROR(AH11266*0.1, "N/A")</f>
        <v>6.9648480000000008</v>
      </c>
      <c r="AH11266">
        <v>69.648480000000006</v>
      </c>
      <c r="AI11266">
        <v>96.659450000000007</v>
      </c>
      <c r="AJ11266">
        <v>14.728730000000001</v>
      </c>
      <c r="AK11266">
        <v>78.467089999999999</v>
      </c>
    </row>
    <row r="11267" spans="1:37" x14ac:dyDescent="0.3">
      <c r="A11267">
        <v>11266</v>
      </c>
      <c r="B11267">
        <v>95.7</v>
      </c>
      <c r="C11267">
        <v>23.421900000000001</v>
      </c>
      <c r="D11267">
        <v>-19.993300000000001</v>
      </c>
      <c r="E11267" t="s">
        <v>16751</v>
      </c>
      <c r="F11267" t="s">
        <v>16752</v>
      </c>
      <c r="G11267" t="s">
        <v>37</v>
      </c>
      <c r="H11267">
        <v>1985</v>
      </c>
      <c r="I11267">
        <v>22.4</v>
      </c>
      <c r="J11267">
        <v>15.7</v>
      </c>
      <c r="K11267">
        <v>55</v>
      </c>
      <c r="L11267">
        <v>38.619999999999997</v>
      </c>
      <c r="M11267">
        <v>34.799999999999997</v>
      </c>
      <c r="N11267">
        <v>6.7</v>
      </c>
      <c r="O11267">
        <v>28.1</v>
      </c>
      <c r="P11267">
        <v>25.3</v>
      </c>
      <c r="Q11267">
        <v>16.8</v>
      </c>
      <c r="R11267">
        <v>26.1</v>
      </c>
      <c r="S11267">
        <v>16.600000000000001</v>
      </c>
      <c r="T11267">
        <v>460</v>
      </c>
      <c r="U11267">
        <v>110</v>
      </c>
      <c r="V11267">
        <v>0</v>
      </c>
      <c r="W11267">
        <v>102</v>
      </c>
      <c r="X11267">
        <v>297</v>
      </c>
      <c r="Y11267">
        <v>1</v>
      </c>
      <c r="Z11267">
        <v>150</v>
      </c>
      <c r="AA11267">
        <v>6</v>
      </c>
      <c r="AB11267">
        <v>5.884404</v>
      </c>
      <c r="AC11267">
        <v>2.5277210000000001E-2</v>
      </c>
      <c r="AD11267">
        <v>2.142963</v>
      </c>
      <c r="AE11267">
        <v>0.48624780000000001</v>
      </c>
      <c r="AF11267">
        <v>941.66079999999999</v>
      </c>
      <c r="AG11267">
        <f>IFERROR(AH11267*0.1, "N/A")</f>
        <v>7.5918010000000002</v>
      </c>
      <c r="AH11267">
        <v>75.918009999999995</v>
      </c>
      <c r="AI11267">
        <v>148.154</v>
      </c>
      <c r="AJ11267">
        <v>19.773309999999999</v>
      </c>
      <c r="AK11267">
        <v>71.226690000000005</v>
      </c>
    </row>
    <row r="11268" spans="1:37" x14ac:dyDescent="0.3">
      <c r="A11268">
        <v>11267</v>
      </c>
      <c r="B11268">
        <v>0</v>
      </c>
      <c r="C11268">
        <v>23.421900000000001</v>
      </c>
      <c r="D11268">
        <v>-19.993300000000001</v>
      </c>
      <c r="E11268" t="s">
        <v>16751</v>
      </c>
      <c r="F11268" t="s">
        <v>16753</v>
      </c>
      <c r="G11268" t="s">
        <v>39</v>
      </c>
      <c r="H11268">
        <v>1985</v>
      </c>
      <c r="I11268">
        <v>22.4</v>
      </c>
      <c r="J11268">
        <v>15.7</v>
      </c>
      <c r="K11268">
        <v>55</v>
      </c>
      <c r="L11268">
        <v>38.619999999999997</v>
      </c>
      <c r="M11268">
        <v>34.799999999999997</v>
      </c>
      <c r="N11268">
        <v>6.7</v>
      </c>
      <c r="O11268">
        <v>28.1</v>
      </c>
      <c r="P11268">
        <v>25.3</v>
      </c>
      <c r="Q11268">
        <v>16.8</v>
      </c>
      <c r="R11268">
        <v>26.1</v>
      </c>
      <c r="S11268">
        <v>16.600000000000001</v>
      </c>
      <c r="T11268">
        <v>460</v>
      </c>
      <c r="U11268">
        <v>110</v>
      </c>
      <c r="V11268">
        <v>0</v>
      </c>
      <c r="W11268">
        <v>102</v>
      </c>
      <c r="X11268">
        <v>297</v>
      </c>
      <c r="Y11268">
        <v>1</v>
      </c>
      <c r="Z11268">
        <v>150</v>
      </c>
      <c r="AA11268">
        <v>6</v>
      </c>
      <c r="AB11268">
        <v>5.884404</v>
      </c>
      <c r="AC11268">
        <v>2.5277210000000001E-2</v>
      </c>
      <c r="AD11268">
        <v>2.142963</v>
      </c>
      <c r="AE11268">
        <v>0.48624780000000001</v>
      </c>
      <c r="AF11268">
        <v>941.66079999999999</v>
      </c>
      <c r="AG11268">
        <f>IFERROR(AH11268*0.1, "N/A")</f>
        <v>7.5918010000000002</v>
      </c>
      <c r="AH11268">
        <v>75.918009999999995</v>
      </c>
      <c r="AI11268">
        <v>148.154</v>
      </c>
      <c r="AJ11268">
        <v>19.773309999999999</v>
      </c>
      <c r="AK11268">
        <v>71.226690000000005</v>
      </c>
    </row>
    <row r="11269" spans="1:37" x14ac:dyDescent="0.3">
      <c r="A11269">
        <v>11268</v>
      </c>
      <c r="B11269">
        <v>86.2</v>
      </c>
      <c r="C11269">
        <v>23.4239</v>
      </c>
      <c r="D11269">
        <v>-19.992799999999999</v>
      </c>
      <c r="E11269" t="s">
        <v>16754</v>
      </c>
      <c r="F11269" t="s">
        <v>16755</v>
      </c>
      <c r="G11269" t="s">
        <v>37</v>
      </c>
      <c r="H11269">
        <v>1985</v>
      </c>
      <c r="I11269">
        <v>22.4</v>
      </c>
      <c r="J11269">
        <v>15.7</v>
      </c>
      <c r="K11269">
        <v>55</v>
      </c>
      <c r="L11269">
        <v>38.620220000000003</v>
      </c>
      <c r="M11269">
        <v>34.801130000000001</v>
      </c>
      <c r="N11269">
        <v>6.7</v>
      </c>
      <c r="O11269">
        <v>28.101130000000001</v>
      </c>
      <c r="P11269">
        <v>25.3</v>
      </c>
      <c r="Q11269">
        <v>16.8</v>
      </c>
      <c r="R11269">
        <v>26.1</v>
      </c>
      <c r="S11269">
        <v>16.601130000000001</v>
      </c>
      <c r="T11269">
        <v>460</v>
      </c>
      <c r="U11269">
        <v>110</v>
      </c>
      <c r="V11269">
        <v>0</v>
      </c>
      <c r="W11269">
        <v>102</v>
      </c>
      <c r="X11269">
        <v>297</v>
      </c>
      <c r="Y11269">
        <v>1</v>
      </c>
      <c r="Z11269">
        <v>150</v>
      </c>
      <c r="AA11269">
        <v>6</v>
      </c>
      <c r="AB11269">
        <v>5.1899980000000001</v>
      </c>
      <c r="AC11269">
        <v>3.7175619999999999E-2</v>
      </c>
      <c r="AD11269">
        <v>2.584746</v>
      </c>
      <c r="AE11269">
        <v>0.45550380000000001</v>
      </c>
      <c r="AF11269">
        <v>939.06290000000001</v>
      </c>
      <c r="AG11269">
        <f>IFERROR(AH11269*0.1, "N/A")</f>
        <v>7.2419349999999998</v>
      </c>
      <c r="AH11269">
        <v>72.419349999999994</v>
      </c>
      <c r="AI11269">
        <v>132.3545</v>
      </c>
      <c r="AJ11269">
        <v>18.209679999999999</v>
      </c>
      <c r="AK11269">
        <v>72.185479999999998</v>
      </c>
    </row>
    <row r="11270" spans="1:37" x14ac:dyDescent="0.3">
      <c r="A11270">
        <v>11269</v>
      </c>
      <c r="B11270">
        <v>2.6</v>
      </c>
      <c r="C11270">
        <v>23.4239</v>
      </c>
      <c r="D11270">
        <v>-19.992799999999999</v>
      </c>
      <c r="E11270" t="s">
        <v>16754</v>
      </c>
      <c r="F11270" t="s">
        <v>16756</v>
      </c>
      <c r="G11270" t="s">
        <v>39</v>
      </c>
      <c r="H11270">
        <v>1985</v>
      </c>
      <c r="I11270">
        <v>22.4</v>
      </c>
      <c r="J11270">
        <v>15.7</v>
      </c>
      <c r="K11270">
        <v>55</v>
      </c>
      <c r="L11270">
        <v>38.620220000000003</v>
      </c>
      <c r="M11270">
        <v>34.801130000000001</v>
      </c>
      <c r="N11270">
        <v>6.7</v>
      </c>
      <c r="O11270">
        <v>28.101130000000001</v>
      </c>
      <c r="P11270">
        <v>25.3</v>
      </c>
      <c r="Q11270">
        <v>16.8</v>
      </c>
      <c r="R11270">
        <v>26.1</v>
      </c>
      <c r="S11270">
        <v>16.601130000000001</v>
      </c>
      <c r="T11270">
        <v>460</v>
      </c>
      <c r="U11270">
        <v>110</v>
      </c>
      <c r="V11270">
        <v>0</v>
      </c>
      <c r="W11270">
        <v>102</v>
      </c>
      <c r="X11270">
        <v>297</v>
      </c>
      <c r="Y11270">
        <v>1</v>
      </c>
      <c r="Z11270">
        <v>150</v>
      </c>
      <c r="AA11270">
        <v>6</v>
      </c>
      <c r="AB11270">
        <v>5.1899980000000001</v>
      </c>
      <c r="AC11270">
        <v>3.7175619999999999E-2</v>
      </c>
      <c r="AD11270">
        <v>2.584746</v>
      </c>
      <c r="AE11270">
        <v>0.45550380000000001</v>
      </c>
      <c r="AF11270">
        <v>939.06290000000001</v>
      </c>
      <c r="AG11270">
        <f>IFERROR(AH11270*0.1, "N/A")</f>
        <v>7.2419349999999998</v>
      </c>
      <c r="AH11270">
        <v>72.419349999999994</v>
      </c>
      <c r="AI11270">
        <v>132.3545</v>
      </c>
      <c r="AJ11270">
        <v>18.209679999999999</v>
      </c>
      <c r="AK11270">
        <v>72.185479999999998</v>
      </c>
    </row>
    <row r="11271" spans="1:37" x14ac:dyDescent="0.3">
      <c r="A11271">
        <v>11270</v>
      </c>
      <c r="B11271">
        <v>1.1000000000000001</v>
      </c>
      <c r="C11271">
        <v>23.4162</v>
      </c>
      <c r="D11271">
        <v>-19.992599999999999</v>
      </c>
      <c r="E11271" t="s">
        <v>16757</v>
      </c>
      <c r="F11271" t="s">
        <v>16758</v>
      </c>
      <c r="G11271" t="s">
        <v>39</v>
      </c>
      <c r="H11271">
        <v>1967</v>
      </c>
      <c r="I11271">
        <v>22.4</v>
      </c>
      <c r="J11271">
        <v>15.7</v>
      </c>
      <c r="K11271">
        <v>55</v>
      </c>
      <c r="L11271">
        <v>38.570720000000001</v>
      </c>
      <c r="M11271">
        <v>34.80386</v>
      </c>
      <c r="N11271">
        <v>6.7</v>
      </c>
      <c r="O11271">
        <v>28.103860000000001</v>
      </c>
      <c r="P11271">
        <v>25.30547</v>
      </c>
      <c r="Q11271">
        <v>16.8</v>
      </c>
      <c r="R11271">
        <v>26.1</v>
      </c>
      <c r="S11271">
        <v>16.661899999999999</v>
      </c>
      <c r="T11271">
        <v>460.05470000000003</v>
      </c>
      <c r="U11271">
        <v>110</v>
      </c>
      <c r="V11271">
        <v>0</v>
      </c>
      <c r="W11271">
        <v>102.0547</v>
      </c>
      <c r="X11271">
        <v>297.05470000000003</v>
      </c>
      <c r="Y11271">
        <v>1</v>
      </c>
      <c r="Z11271">
        <v>150.0547</v>
      </c>
      <c r="AA11271">
        <v>6</v>
      </c>
      <c r="AB11271">
        <v>9.9062769999999993</v>
      </c>
      <c r="AC11271">
        <v>3.4314959999999999E-2</v>
      </c>
      <c r="AD11271">
        <v>1.2106920000000001</v>
      </c>
      <c r="AE11271">
        <v>0.48624780000000001</v>
      </c>
      <c r="AF11271">
        <v>944.74120000000005</v>
      </c>
      <c r="AG11271">
        <f>IFERROR(AH11271*0.1, "N/A")</f>
        <v>7.1472669999999994</v>
      </c>
      <c r="AH11271">
        <v>71.472669999999994</v>
      </c>
      <c r="AI11271">
        <v>198.00110000000001</v>
      </c>
      <c r="AJ11271">
        <v>15.56752</v>
      </c>
      <c r="AK11271">
        <v>77.596459999999993</v>
      </c>
    </row>
    <row r="11272" spans="1:37" x14ac:dyDescent="0.3">
      <c r="A11272">
        <v>11271</v>
      </c>
      <c r="B11272">
        <v>13</v>
      </c>
      <c r="C11272">
        <v>23.4162</v>
      </c>
      <c r="D11272">
        <v>-19.992599999999999</v>
      </c>
      <c r="E11272" t="s">
        <v>16757</v>
      </c>
      <c r="F11272" t="s">
        <v>16759</v>
      </c>
      <c r="G11272" t="s">
        <v>37</v>
      </c>
      <c r="H11272">
        <v>1967</v>
      </c>
      <c r="I11272">
        <v>22.4</v>
      </c>
      <c r="J11272">
        <v>15.7</v>
      </c>
      <c r="K11272">
        <v>55</v>
      </c>
      <c r="L11272">
        <v>38.570720000000001</v>
      </c>
      <c r="M11272">
        <v>34.80386</v>
      </c>
      <c r="N11272">
        <v>6.7</v>
      </c>
      <c r="O11272">
        <v>28.103860000000001</v>
      </c>
      <c r="P11272">
        <v>25.30547</v>
      </c>
      <c r="Q11272">
        <v>16.8</v>
      </c>
      <c r="R11272">
        <v>26.1</v>
      </c>
      <c r="S11272">
        <v>16.661899999999999</v>
      </c>
      <c r="T11272">
        <v>460.05470000000003</v>
      </c>
      <c r="U11272">
        <v>110</v>
      </c>
      <c r="V11272">
        <v>0</v>
      </c>
      <c r="W11272">
        <v>102.0547</v>
      </c>
      <c r="X11272">
        <v>297.05470000000003</v>
      </c>
      <c r="Y11272">
        <v>1</v>
      </c>
      <c r="Z11272">
        <v>150.0547</v>
      </c>
      <c r="AA11272">
        <v>6</v>
      </c>
      <c r="AB11272">
        <v>9.9062769999999993</v>
      </c>
      <c r="AC11272">
        <v>3.4314959999999999E-2</v>
      </c>
      <c r="AD11272">
        <v>1.2106920000000001</v>
      </c>
      <c r="AE11272">
        <v>0.48624780000000001</v>
      </c>
      <c r="AF11272">
        <v>944.74120000000005</v>
      </c>
      <c r="AG11272">
        <f>IFERROR(AH11272*0.1, "N/A")</f>
        <v>7.1472669999999994</v>
      </c>
      <c r="AH11272">
        <v>71.472669999999994</v>
      </c>
      <c r="AI11272">
        <v>198.00110000000001</v>
      </c>
      <c r="AJ11272">
        <v>15.56752</v>
      </c>
      <c r="AK11272">
        <v>77.596459999999993</v>
      </c>
    </row>
    <row r="11273" spans="1:37" x14ac:dyDescent="0.3">
      <c r="A11273">
        <v>11272</v>
      </c>
      <c r="B11273">
        <v>80.2</v>
      </c>
      <c r="C11273">
        <v>23.413599999999999</v>
      </c>
      <c r="D11273">
        <v>-19.984999999999999</v>
      </c>
      <c r="E11273" t="s">
        <v>16760</v>
      </c>
      <c r="F11273" t="s">
        <v>16761</v>
      </c>
      <c r="G11273" t="s">
        <v>37</v>
      </c>
      <c r="H11273">
        <v>1985</v>
      </c>
      <c r="I11273">
        <v>22.4</v>
      </c>
      <c r="J11273">
        <v>15.7</v>
      </c>
      <c r="K11273">
        <v>55</v>
      </c>
      <c r="L11273">
        <v>38.659999999999997</v>
      </c>
      <c r="M11273">
        <v>34.799999999999997</v>
      </c>
      <c r="N11273">
        <v>6.7</v>
      </c>
      <c r="O11273">
        <v>28.1</v>
      </c>
      <c r="P11273">
        <v>25.4</v>
      </c>
      <c r="Q11273">
        <v>16.8</v>
      </c>
      <c r="R11273">
        <v>26.1</v>
      </c>
      <c r="S11273">
        <v>16.600000000000001</v>
      </c>
      <c r="T11273">
        <v>461</v>
      </c>
      <c r="U11273">
        <v>110</v>
      </c>
      <c r="V11273">
        <v>0</v>
      </c>
      <c r="W11273">
        <v>103</v>
      </c>
      <c r="X11273">
        <v>298</v>
      </c>
      <c r="Y11273">
        <v>1</v>
      </c>
      <c r="Z11273">
        <v>151</v>
      </c>
      <c r="AA11273">
        <v>6</v>
      </c>
      <c r="AB11273">
        <v>5.5118770000000001</v>
      </c>
      <c r="AC11273">
        <v>3.7639569999999997E-2</v>
      </c>
      <c r="AD11273">
        <v>1.5631999999999999</v>
      </c>
      <c r="AE11273">
        <v>0.43898759999999998</v>
      </c>
      <c r="AF11273">
        <v>943.57719999999995</v>
      </c>
      <c r="AG11273">
        <f>IFERROR(AH11273*0.1, "N/A")</f>
        <v>7.8009649999999997</v>
      </c>
      <c r="AH11273">
        <v>78.009649999999993</v>
      </c>
      <c r="AI11273">
        <v>206.9556</v>
      </c>
      <c r="AJ11273">
        <v>16.990349999999999</v>
      </c>
      <c r="AK11273">
        <v>75.019289999999998</v>
      </c>
    </row>
    <row r="11274" spans="1:37" x14ac:dyDescent="0.3">
      <c r="A11274">
        <v>11273</v>
      </c>
      <c r="B11274">
        <v>0</v>
      </c>
      <c r="C11274">
        <v>23.413599999999999</v>
      </c>
      <c r="D11274">
        <v>-19.984999999999999</v>
      </c>
      <c r="E11274" t="s">
        <v>16760</v>
      </c>
      <c r="F11274" t="s">
        <v>16762</v>
      </c>
      <c r="G11274" t="s">
        <v>39</v>
      </c>
      <c r="H11274">
        <v>1985</v>
      </c>
      <c r="I11274">
        <v>22.4</v>
      </c>
      <c r="J11274">
        <v>15.7</v>
      </c>
      <c r="K11274">
        <v>55</v>
      </c>
      <c r="L11274">
        <v>38.659999999999997</v>
      </c>
      <c r="M11274">
        <v>34.799999999999997</v>
      </c>
      <c r="N11274">
        <v>6.7</v>
      </c>
      <c r="O11274">
        <v>28.1</v>
      </c>
      <c r="P11274">
        <v>25.4</v>
      </c>
      <c r="Q11274">
        <v>16.8</v>
      </c>
      <c r="R11274">
        <v>26.1</v>
      </c>
      <c r="S11274">
        <v>16.600000000000001</v>
      </c>
      <c r="T11274">
        <v>461</v>
      </c>
      <c r="U11274">
        <v>110</v>
      </c>
      <c r="V11274">
        <v>0</v>
      </c>
      <c r="W11274">
        <v>103</v>
      </c>
      <c r="X11274">
        <v>298</v>
      </c>
      <c r="Y11274">
        <v>1</v>
      </c>
      <c r="Z11274">
        <v>151</v>
      </c>
      <c r="AA11274">
        <v>6</v>
      </c>
      <c r="AB11274">
        <v>5.5118770000000001</v>
      </c>
      <c r="AC11274">
        <v>3.7639569999999997E-2</v>
      </c>
      <c r="AD11274">
        <v>1.5631999999999999</v>
      </c>
      <c r="AE11274">
        <v>0.43898759999999998</v>
      </c>
      <c r="AF11274">
        <v>943.57719999999995</v>
      </c>
      <c r="AG11274">
        <f>IFERROR(AH11274*0.1, "N/A")</f>
        <v>7.8009649999999997</v>
      </c>
      <c r="AH11274">
        <v>78.009649999999993</v>
      </c>
      <c r="AI11274">
        <v>206.9556</v>
      </c>
      <c r="AJ11274">
        <v>16.990349999999999</v>
      </c>
      <c r="AK11274">
        <v>75.019289999999998</v>
      </c>
    </row>
    <row r="11275" spans="1:37" x14ac:dyDescent="0.3">
      <c r="A11275">
        <v>11274</v>
      </c>
      <c r="B11275">
        <v>68.7</v>
      </c>
      <c r="C11275">
        <v>23.4267</v>
      </c>
      <c r="D11275">
        <v>-19.984400000000001</v>
      </c>
      <c r="E11275" t="s">
        <v>16763</v>
      </c>
      <c r="F11275" t="s">
        <v>16764</v>
      </c>
      <c r="G11275" t="s">
        <v>37</v>
      </c>
      <c r="H11275">
        <v>1985</v>
      </c>
      <c r="I11275">
        <v>22.4</v>
      </c>
      <c r="J11275">
        <v>15.7</v>
      </c>
      <c r="K11275">
        <v>55</v>
      </c>
      <c r="L11275">
        <v>38.57</v>
      </c>
      <c r="M11275">
        <v>34.9</v>
      </c>
      <c r="N11275">
        <v>6.7</v>
      </c>
      <c r="O11275">
        <v>28.2</v>
      </c>
      <c r="P11275">
        <v>25.3</v>
      </c>
      <c r="Q11275">
        <v>16.8</v>
      </c>
      <c r="R11275">
        <v>26.1</v>
      </c>
      <c r="S11275">
        <v>16.7</v>
      </c>
      <c r="T11275">
        <v>458</v>
      </c>
      <c r="U11275">
        <v>109</v>
      </c>
      <c r="V11275">
        <v>0</v>
      </c>
      <c r="W11275">
        <v>102</v>
      </c>
      <c r="X11275">
        <v>295</v>
      </c>
      <c r="Y11275">
        <v>1</v>
      </c>
      <c r="Z11275">
        <v>150</v>
      </c>
      <c r="AA11275">
        <v>6</v>
      </c>
      <c r="AB11275">
        <v>4.4588960000000002</v>
      </c>
      <c r="AC11275">
        <v>1.1681860000000001E-2</v>
      </c>
      <c r="AD11275">
        <v>2.1187149999999999</v>
      </c>
      <c r="AE11275">
        <v>0.55028469999999996</v>
      </c>
      <c r="AF11275">
        <v>944.5539</v>
      </c>
      <c r="AG11275">
        <f>IFERROR(AH11275*0.1, "N/A")</f>
        <v>7.6299520000000003</v>
      </c>
      <c r="AH11275">
        <v>76.299520000000001</v>
      </c>
      <c r="AI11275">
        <v>140.86619999999999</v>
      </c>
      <c r="AJ11275">
        <v>19.544280000000001</v>
      </c>
      <c r="AK11275">
        <v>72.280190000000005</v>
      </c>
    </row>
    <row r="11276" spans="1:37" x14ac:dyDescent="0.3">
      <c r="A11276">
        <v>11275</v>
      </c>
      <c r="B11276">
        <v>4.8</v>
      </c>
      <c r="C11276">
        <v>23.4267</v>
      </c>
      <c r="D11276">
        <v>-19.984400000000001</v>
      </c>
      <c r="E11276" t="s">
        <v>16763</v>
      </c>
      <c r="F11276" t="s">
        <v>16765</v>
      </c>
      <c r="G11276" t="s">
        <v>39</v>
      </c>
      <c r="H11276">
        <v>1985</v>
      </c>
      <c r="I11276">
        <v>22.4</v>
      </c>
      <c r="J11276">
        <v>15.7</v>
      </c>
      <c r="K11276">
        <v>55</v>
      </c>
      <c r="L11276">
        <v>38.57</v>
      </c>
      <c r="M11276">
        <v>34.9</v>
      </c>
      <c r="N11276">
        <v>6.7</v>
      </c>
      <c r="O11276">
        <v>28.2</v>
      </c>
      <c r="P11276">
        <v>25.3</v>
      </c>
      <c r="Q11276">
        <v>16.8</v>
      </c>
      <c r="R11276">
        <v>26.1</v>
      </c>
      <c r="S11276">
        <v>16.7</v>
      </c>
      <c r="T11276">
        <v>458</v>
      </c>
      <c r="U11276">
        <v>109</v>
      </c>
      <c r="V11276">
        <v>0</v>
      </c>
      <c r="W11276">
        <v>102</v>
      </c>
      <c r="X11276">
        <v>295</v>
      </c>
      <c r="Y11276">
        <v>1</v>
      </c>
      <c r="Z11276">
        <v>150</v>
      </c>
      <c r="AA11276">
        <v>6</v>
      </c>
      <c r="AB11276">
        <v>4.4588960000000002</v>
      </c>
      <c r="AC11276">
        <v>1.1681860000000001E-2</v>
      </c>
      <c r="AD11276">
        <v>2.1187149999999999</v>
      </c>
      <c r="AE11276">
        <v>0.55028469999999996</v>
      </c>
      <c r="AF11276">
        <v>944.5539</v>
      </c>
      <c r="AG11276">
        <f>IFERROR(AH11276*0.1, "N/A")</f>
        <v>7.6299520000000003</v>
      </c>
      <c r="AH11276">
        <v>76.299520000000001</v>
      </c>
      <c r="AI11276">
        <v>140.86619999999999</v>
      </c>
      <c r="AJ11276">
        <v>19.544280000000001</v>
      </c>
      <c r="AK11276">
        <v>72.280190000000005</v>
      </c>
    </row>
    <row r="11277" spans="1:37" x14ac:dyDescent="0.3">
      <c r="A11277">
        <v>11276</v>
      </c>
      <c r="B11277">
        <v>84</v>
      </c>
      <c r="C11277">
        <v>23.489100000000001</v>
      </c>
      <c r="D11277">
        <v>-19.939699999999998</v>
      </c>
      <c r="E11277" t="s">
        <v>16766</v>
      </c>
      <c r="F11277" t="s">
        <v>16767</v>
      </c>
      <c r="G11277" t="s">
        <v>37</v>
      </c>
      <c r="H11277">
        <v>1985</v>
      </c>
      <c r="I11277">
        <v>22.3</v>
      </c>
      <c r="J11277">
        <v>15.7</v>
      </c>
      <c r="K11277">
        <v>55</v>
      </c>
      <c r="L11277">
        <v>38.78</v>
      </c>
      <c r="M11277">
        <v>34.9</v>
      </c>
      <c r="N11277">
        <v>6.7</v>
      </c>
      <c r="O11277">
        <v>28.2</v>
      </c>
      <c r="P11277">
        <v>25.3</v>
      </c>
      <c r="Q11277">
        <v>16.7</v>
      </c>
      <c r="R11277">
        <v>26.1</v>
      </c>
      <c r="S11277">
        <v>16.600000000000001</v>
      </c>
      <c r="T11277">
        <v>457</v>
      </c>
      <c r="U11277">
        <v>109</v>
      </c>
      <c r="V11277">
        <v>0</v>
      </c>
      <c r="W11277">
        <v>102</v>
      </c>
      <c r="X11277">
        <v>295</v>
      </c>
      <c r="Y11277">
        <v>1</v>
      </c>
      <c r="Z11277">
        <v>149</v>
      </c>
      <c r="AA11277">
        <v>6</v>
      </c>
      <c r="AB11277">
        <v>3.1262919999999998</v>
      </c>
      <c r="AC11277">
        <v>8.7065960000000005E-3</v>
      </c>
      <c r="AD11277">
        <v>0.68458549999999996</v>
      </c>
      <c r="AE11277">
        <v>0.28732570000000002</v>
      </c>
      <c r="AF11277">
        <v>939.61130000000003</v>
      </c>
      <c r="AG11277">
        <f>IFERROR(AH11277*0.1, "N/A")</f>
        <v>7.2064520000000005</v>
      </c>
      <c r="AH11277">
        <v>72.064520000000002</v>
      </c>
      <c r="AI11277">
        <v>187.4041</v>
      </c>
      <c r="AJ11277">
        <v>13</v>
      </c>
      <c r="AK11277">
        <v>79.935479999999998</v>
      </c>
    </row>
    <row r="11278" spans="1:37" x14ac:dyDescent="0.3">
      <c r="A11278">
        <v>11277</v>
      </c>
      <c r="B11278">
        <v>0</v>
      </c>
      <c r="C11278">
        <v>23.489100000000001</v>
      </c>
      <c r="D11278">
        <v>-19.939699999999998</v>
      </c>
      <c r="E11278" t="s">
        <v>16766</v>
      </c>
      <c r="F11278" t="s">
        <v>16768</v>
      </c>
      <c r="G11278" t="s">
        <v>39</v>
      </c>
      <c r="H11278">
        <v>1985</v>
      </c>
      <c r="I11278">
        <v>22.3</v>
      </c>
      <c r="J11278">
        <v>15.7</v>
      </c>
      <c r="K11278">
        <v>55</v>
      </c>
      <c r="L11278">
        <v>38.78</v>
      </c>
      <c r="M11278">
        <v>34.9</v>
      </c>
      <c r="N11278">
        <v>6.7</v>
      </c>
      <c r="O11278">
        <v>28.2</v>
      </c>
      <c r="P11278">
        <v>25.3</v>
      </c>
      <c r="Q11278">
        <v>16.7</v>
      </c>
      <c r="R11278">
        <v>26.1</v>
      </c>
      <c r="S11278">
        <v>16.600000000000001</v>
      </c>
      <c r="T11278">
        <v>457</v>
      </c>
      <c r="U11278">
        <v>109</v>
      </c>
      <c r="V11278">
        <v>0</v>
      </c>
      <c r="W11278">
        <v>102</v>
      </c>
      <c r="X11278">
        <v>295</v>
      </c>
      <c r="Y11278">
        <v>1</v>
      </c>
      <c r="Z11278">
        <v>149</v>
      </c>
      <c r="AA11278">
        <v>6</v>
      </c>
      <c r="AB11278">
        <v>3.1262919999999998</v>
      </c>
      <c r="AC11278">
        <v>8.7065960000000005E-3</v>
      </c>
      <c r="AD11278">
        <v>0.68458549999999996</v>
      </c>
      <c r="AE11278">
        <v>0.28732570000000002</v>
      </c>
      <c r="AF11278">
        <v>939.61130000000003</v>
      </c>
      <c r="AG11278">
        <f>IFERROR(AH11278*0.1, "N/A")</f>
        <v>7.2064520000000005</v>
      </c>
      <c r="AH11278">
        <v>72.064520000000002</v>
      </c>
      <c r="AI11278">
        <v>187.4041</v>
      </c>
      <c r="AJ11278">
        <v>13</v>
      </c>
      <c r="AK11278">
        <v>79.935479999999998</v>
      </c>
    </row>
    <row r="11279" spans="1:37" x14ac:dyDescent="0.3">
      <c r="A11279">
        <v>11278</v>
      </c>
      <c r="B11279">
        <v>80.5</v>
      </c>
      <c r="C11279">
        <v>23.5106</v>
      </c>
      <c r="D11279">
        <v>-19.9359</v>
      </c>
      <c r="E11279" t="s">
        <v>16769</v>
      </c>
      <c r="F11279" t="s">
        <v>16770</v>
      </c>
      <c r="G11279" t="s">
        <v>37</v>
      </c>
      <c r="H11279">
        <v>1987</v>
      </c>
      <c r="I11279">
        <v>22.3</v>
      </c>
      <c r="J11279">
        <v>15.6</v>
      </c>
      <c r="K11279">
        <v>55</v>
      </c>
      <c r="L11279">
        <v>38.369999999999997</v>
      </c>
      <c r="M11279">
        <v>34.799999999999997</v>
      </c>
      <c r="N11279">
        <v>6.7</v>
      </c>
      <c r="O11279">
        <v>28.1</v>
      </c>
      <c r="P11279">
        <v>25.2</v>
      </c>
      <c r="Q11279">
        <v>16.7</v>
      </c>
      <c r="R11279">
        <v>26</v>
      </c>
      <c r="S11279">
        <v>16.7</v>
      </c>
      <c r="T11279">
        <v>456</v>
      </c>
      <c r="U11279">
        <v>109</v>
      </c>
      <c r="V11279">
        <v>0</v>
      </c>
      <c r="W11279">
        <v>101</v>
      </c>
      <c r="X11279">
        <v>294</v>
      </c>
      <c r="Y11279">
        <v>1</v>
      </c>
      <c r="Z11279">
        <v>149</v>
      </c>
      <c r="AA11279">
        <v>6</v>
      </c>
      <c r="AB11279">
        <v>11.338179999999999</v>
      </c>
      <c r="AC11279">
        <v>8.0450120000000007E-3</v>
      </c>
      <c r="AD11279">
        <v>0.83341580000000004</v>
      </c>
      <c r="AE11279">
        <v>0.2485666</v>
      </c>
      <c r="AF11279">
        <v>946.00969999999995</v>
      </c>
      <c r="AG11279">
        <f>IFERROR(AH11279*0.1, "N/A")</f>
        <v>7.0299520000000006</v>
      </c>
      <c r="AH11279">
        <v>70.299520000000001</v>
      </c>
      <c r="AI11279">
        <v>87.577719999999999</v>
      </c>
      <c r="AJ11279">
        <v>13.850239999999999</v>
      </c>
      <c r="AK11279">
        <v>80.679550000000006</v>
      </c>
    </row>
    <row r="11280" spans="1:37" x14ac:dyDescent="0.3">
      <c r="A11280">
        <v>11279</v>
      </c>
      <c r="B11280">
        <v>92.1</v>
      </c>
      <c r="C11280">
        <v>23.5092</v>
      </c>
      <c r="D11280">
        <v>-19.916399999999999</v>
      </c>
      <c r="E11280" t="s">
        <v>16771</v>
      </c>
      <c r="F11280" t="s">
        <v>16772</v>
      </c>
      <c r="G11280" t="s">
        <v>37</v>
      </c>
      <c r="H11280">
        <v>1985</v>
      </c>
      <c r="I11280">
        <v>22.3</v>
      </c>
      <c r="J11280">
        <v>15.7</v>
      </c>
      <c r="K11280">
        <v>55</v>
      </c>
      <c r="L11280">
        <v>38.475479999999997</v>
      </c>
      <c r="M11280">
        <v>34.9</v>
      </c>
      <c r="N11280">
        <v>6.7</v>
      </c>
      <c r="O11280">
        <v>28.2</v>
      </c>
      <c r="P11280">
        <v>25.3</v>
      </c>
      <c r="Q11280">
        <v>16.8</v>
      </c>
      <c r="R11280">
        <v>26.036380000000001</v>
      </c>
      <c r="S11280">
        <v>16.7</v>
      </c>
      <c r="T11280">
        <v>455</v>
      </c>
      <c r="U11280">
        <v>109</v>
      </c>
      <c r="V11280">
        <v>0</v>
      </c>
      <c r="W11280">
        <v>104.6362</v>
      </c>
      <c r="X11280">
        <v>294.63619999999997</v>
      </c>
      <c r="Y11280">
        <v>1</v>
      </c>
      <c r="Z11280">
        <v>149</v>
      </c>
      <c r="AA11280">
        <v>5.3637819999999996</v>
      </c>
      <c r="AB11280">
        <v>4.3496800000000002</v>
      </c>
      <c r="AC11280">
        <v>9.1291129999999995E-3</v>
      </c>
      <c r="AD11280">
        <v>1.4799169999999999</v>
      </c>
      <c r="AE11280">
        <v>0.20675979999999999</v>
      </c>
      <c r="AF11280">
        <v>939.35419999999999</v>
      </c>
      <c r="AG11280">
        <f>IFERROR(AH11280*0.1, "N/A")</f>
        <v>6.9977559999999999</v>
      </c>
      <c r="AH11280">
        <v>69.977559999999997</v>
      </c>
      <c r="AI11280">
        <v>196.41499999999999</v>
      </c>
      <c r="AJ11280">
        <v>16.067309999999999</v>
      </c>
      <c r="AK11280">
        <v>74.932689999999994</v>
      </c>
    </row>
    <row r="11281" spans="1:37" x14ac:dyDescent="0.3">
      <c r="A11281">
        <v>11280</v>
      </c>
      <c r="B11281">
        <v>0</v>
      </c>
      <c r="C11281">
        <v>23.672699999999999</v>
      </c>
      <c r="D11281">
        <v>-19.765899999999998</v>
      </c>
      <c r="E11281" t="s">
        <v>16773</v>
      </c>
      <c r="F11281" t="s">
        <v>16774</v>
      </c>
      <c r="G11281" t="s">
        <v>39</v>
      </c>
      <c r="H11281">
        <v>1967</v>
      </c>
      <c r="I11281">
        <v>22.3</v>
      </c>
      <c r="J11281">
        <v>15.7</v>
      </c>
      <c r="K11281">
        <v>55</v>
      </c>
      <c r="L11281">
        <v>38.08</v>
      </c>
      <c r="M11281">
        <v>34.799999999999997</v>
      </c>
      <c r="N11281">
        <v>6.6</v>
      </c>
      <c r="O11281">
        <v>28.2</v>
      </c>
      <c r="P11281">
        <v>25.1</v>
      </c>
      <c r="Q11281">
        <v>16.7</v>
      </c>
      <c r="R11281">
        <v>26</v>
      </c>
      <c r="S11281">
        <v>16.7</v>
      </c>
      <c r="T11281">
        <v>454</v>
      </c>
      <c r="U11281">
        <v>110</v>
      </c>
      <c r="V11281">
        <v>0</v>
      </c>
      <c r="W11281">
        <v>105</v>
      </c>
      <c r="X11281">
        <v>295</v>
      </c>
      <c r="Y11281">
        <v>1</v>
      </c>
      <c r="Z11281">
        <v>149</v>
      </c>
      <c r="AA11281">
        <v>5</v>
      </c>
      <c r="AB11281">
        <v>1.076452</v>
      </c>
      <c r="AC11281">
        <v>1.6730559999999998E-2</v>
      </c>
      <c r="AD11281">
        <v>1.3817429999999999</v>
      </c>
      <c r="AE11281">
        <v>0.1063965</v>
      </c>
      <c r="AF11281">
        <v>942.16129999999998</v>
      </c>
      <c r="AG11281">
        <f>IFERROR(AH11281*0.1, "N/A")</f>
        <v>7.1370970000000007</v>
      </c>
      <c r="AH11281">
        <v>71.37097</v>
      </c>
      <c r="AI11281">
        <v>223.98009999999999</v>
      </c>
      <c r="AJ11281">
        <v>7.2129029999999998</v>
      </c>
      <c r="AK11281">
        <v>88.509680000000003</v>
      </c>
    </row>
    <row r="11282" spans="1:37" x14ac:dyDescent="0.3">
      <c r="A11282">
        <v>11281</v>
      </c>
      <c r="B11282">
        <v>1.5</v>
      </c>
      <c r="C11282">
        <v>23.672699999999999</v>
      </c>
      <c r="D11282">
        <v>-19.765899999999998</v>
      </c>
      <c r="E11282" t="s">
        <v>16773</v>
      </c>
      <c r="F11282" t="s">
        <v>16775</v>
      </c>
      <c r="G11282" t="s">
        <v>37</v>
      </c>
      <c r="H11282">
        <v>1967</v>
      </c>
      <c r="I11282">
        <v>22.3</v>
      </c>
      <c r="J11282">
        <v>15.7</v>
      </c>
      <c r="K11282">
        <v>55</v>
      </c>
      <c r="L11282">
        <v>38.08</v>
      </c>
      <c r="M11282">
        <v>34.799999999999997</v>
      </c>
      <c r="N11282">
        <v>6.6</v>
      </c>
      <c r="O11282">
        <v>28.2</v>
      </c>
      <c r="P11282">
        <v>25.1</v>
      </c>
      <c r="Q11282">
        <v>16.7</v>
      </c>
      <c r="R11282">
        <v>26</v>
      </c>
      <c r="S11282">
        <v>16.7</v>
      </c>
      <c r="T11282">
        <v>454</v>
      </c>
      <c r="U11282">
        <v>110</v>
      </c>
      <c r="V11282">
        <v>0</v>
      </c>
      <c r="W11282">
        <v>105</v>
      </c>
      <c r="X11282">
        <v>295</v>
      </c>
      <c r="Y11282">
        <v>1</v>
      </c>
      <c r="Z11282">
        <v>149</v>
      </c>
      <c r="AA11282">
        <v>5</v>
      </c>
      <c r="AB11282">
        <v>1.076452</v>
      </c>
      <c r="AC11282">
        <v>1.6730559999999998E-2</v>
      </c>
      <c r="AD11282">
        <v>1.3817429999999999</v>
      </c>
      <c r="AE11282">
        <v>0.1063965</v>
      </c>
      <c r="AF11282">
        <v>942.16129999999998</v>
      </c>
      <c r="AG11282">
        <f>IFERROR(AH11282*0.1, "N/A")</f>
        <v>7.1370970000000007</v>
      </c>
      <c r="AH11282">
        <v>71.37097</v>
      </c>
      <c r="AI11282">
        <v>223.98009999999999</v>
      </c>
      <c r="AJ11282">
        <v>7.2129029999999998</v>
      </c>
      <c r="AK11282">
        <v>88.509680000000003</v>
      </c>
    </row>
    <row r="11283" spans="1:37" x14ac:dyDescent="0.3">
      <c r="A11283">
        <v>11282</v>
      </c>
      <c r="B11283">
        <v>0</v>
      </c>
      <c r="C11283">
        <v>22.190799999999999</v>
      </c>
      <c r="D11283">
        <v>-19.662099999999999</v>
      </c>
      <c r="E11283" t="s">
        <v>16776</v>
      </c>
      <c r="F11283" t="s">
        <v>16777</v>
      </c>
      <c r="G11283" t="s">
        <v>39</v>
      </c>
      <c r="H11283">
        <v>1967</v>
      </c>
      <c r="I11283">
        <v>22.3</v>
      </c>
      <c r="J11283">
        <v>15.9</v>
      </c>
      <c r="K11283">
        <v>56</v>
      </c>
      <c r="L11283">
        <v>39.619999999999997</v>
      </c>
      <c r="M11283">
        <v>34.5</v>
      </c>
      <c r="N11283">
        <v>6.3</v>
      </c>
      <c r="O11283">
        <v>28.2</v>
      </c>
      <c r="P11283">
        <v>25.7</v>
      </c>
      <c r="Q11283">
        <v>16.5</v>
      </c>
      <c r="R11283">
        <v>26</v>
      </c>
      <c r="S11283">
        <v>16.5</v>
      </c>
      <c r="T11283">
        <v>433</v>
      </c>
      <c r="U11283">
        <v>104</v>
      </c>
      <c r="V11283">
        <v>0</v>
      </c>
      <c r="W11283">
        <v>102</v>
      </c>
      <c r="X11283">
        <v>278</v>
      </c>
      <c r="Y11283">
        <v>1</v>
      </c>
      <c r="Z11283">
        <v>146</v>
      </c>
      <c r="AA11283">
        <v>1</v>
      </c>
      <c r="AB11283">
        <v>0.37480219999999997</v>
      </c>
      <c r="AC11283">
        <v>1.7666500000000002E-2</v>
      </c>
      <c r="AD11283">
        <v>1.1783779999999999</v>
      </c>
      <c r="AE11283">
        <v>0.1375943</v>
      </c>
      <c r="AF11283">
        <v>956.85619999999994</v>
      </c>
      <c r="AG11283">
        <f>IFERROR(AH11283*0.1, "N/A")</f>
        <v>7.3945070000000008</v>
      </c>
      <c r="AH11283">
        <v>73.945070000000001</v>
      </c>
      <c r="AI11283">
        <v>137.7706</v>
      </c>
      <c r="AJ11283">
        <v>10.945069999999999</v>
      </c>
      <c r="AK11283">
        <v>82.109849999999994</v>
      </c>
    </row>
    <row r="11284" spans="1:37" x14ac:dyDescent="0.3">
      <c r="A11284">
        <v>11283</v>
      </c>
      <c r="B11284">
        <v>1</v>
      </c>
      <c r="C11284">
        <v>22.190799999999999</v>
      </c>
      <c r="D11284">
        <v>-19.662099999999999</v>
      </c>
      <c r="E11284" t="s">
        <v>16776</v>
      </c>
      <c r="F11284" t="s">
        <v>16778</v>
      </c>
      <c r="G11284" t="s">
        <v>37</v>
      </c>
      <c r="H11284">
        <v>1967</v>
      </c>
      <c r="I11284">
        <v>22.3</v>
      </c>
      <c r="J11284">
        <v>15.9</v>
      </c>
      <c r="K11284">
        <v>56</v>
      </c>
      <c r="L11284">
        <v>39.619999999999997</v>
      </c>
      <c r="M11284">
        <v>34.5</v>
      </c>
      <c r="N11284">
        <v>6.3</v>
      </c>
      <c r="O11284">
        <v>28.2</v>
      </c>
      <c r="P11284">
        <v>25.7</v>
      </c>
      <c r="Q11284">
        <v>16.5</v>
      </c>
      <c r="R11284">
        <v>26</v>
      </c>
      <c r="S11284">
        <v>16.5</v>
      </c>
      <c r="T11284">
        <v>433</v>
      </c>
      <c r="U11284">
        <v>104</v>
      </c>
      <c r="V11284">
        <v>0</v>
      </c>
      <c r="W11284">
        <v>102</v>
      </c>
      <c r="X11284">
        <v>278</v>
      </c>
      <c r="Y11284">
        <v>1</v>
      </c>
      <c r="Z11284">
        <v>146</v>
      </c>
      <c r="AA11284">
        <v>1</v>
      </c>
      <c r="AB11284">
        <v>0.37480219999999997</v>
      </c>
      <c r="AC11284">
        <v>1.7666500000000002E-2</v>
      </c>
      <c r="AD11284">
        <v>1.1783779999999999</v>
      </c>
      <c r="AE11284">
        <v>0.1375943</v>
      </c>
      <c r="AF11284">
        <v>956.85619999999994</v>
      </c>
      <c r="AG11284">
        <f>IFERROR(AH11284*0.1, "N/A")</f>
        <v>7.3945070000000008</v>
      </c>
      <c r="AH11284">
        <v>73.945070000000001</v>
      </c>
      <c r="AI11284">
        <v>137.7706</v>
      </c>
      <c r="AJ11284">
        <v>10.945069999999999</v>
      </c>
      <c r="AK11284">
        <v>82.109849999999994</v>
      </c>
    </row>
    <row r="11285" spans="1:37" x14ac:dyDescent="0.3">
      <c r="A11285">
        <v>11284</v>
      </c>
      <c r="B11285">
        <v>0</v>
      </c>
      <c r="C11285">
        <v>22.1631</v>
      </c>
      <c r="D11285">
        <v>-19.3721</v>
      </c>
      <c r="E11285" t="s">
        <v>16779</v>
      </c>
      <c r="F11285" t="s">
        <v>16780</v>
      </c>
      <c r="G11285" t="s">
        <v>39</v>
      </c>
      <c r="H11285">
        <v>1967</v>
      </c>
      <c r="I11285">
        <v>22.3</v>
      </c>
      <c r="J11285">
        <v>15.8</v>
      </c>
      <c r="K11285">
        <v>56</v>
      </c>
      <c r="L11285">
        <v>38.96</v>
      </c>
      <c r="M11285">
        <v>34.4</v>
      </c>
      <c r="N11285">
        <v>6.2</v>
      </c>
      <c r="O11285">
        <v>28.2</v>
      </c>
      <c r="P11285">
        <v>25.5</v>
      </c>
      <c r="Q11285">
        <v>16.5</v>
      </c>
      <c r="R11285">
        <v>25.8</v>
      </c>
      <c r="S11285">
        <v>16.5</v>
      </c>
      <c r="T11285">
        <v>439</v>
      </c>
      <c r="U11285">
        <v>103</v>
      </c>
      <c r="V11285">
        <v>0</v>
      </c>
      <c r="W11285">
        <v>103</v>
      </c>
      <c r="X11285">
        <v>281</v>
      </c>
      <c r="Y11285">
        <v>1</v>
      </c>
      <c r="Z11285">
        <v>149</v>
      </c>
      <c r="AA11285">
        <v>1</v>
      </c>
      <c r="AB11285">
        <v>0.20907590000000001</v>
      </c>
      <c r="AC11285">
        <v>1.2469050000000001E-2</v>
      </c>
      <c r="AD11285">
        <v>1.3089919999999999</v>
      </c>
      <c r="AE11285">
        <v>0.322546</v>
      </c>
      <c r="AF11285">
        <v>963.15070000000003</v>
      </c>
      <c r="AG11285">
        <f>IFERROR(AH11285*0.1, "N/A")</f>
        <v>7.402107</v>
      </c>
      <c r="AH11285">
        <v>74.021069999999995</v>
      </c>
      <c r="AI11285">
        <v>204.18770000000001</v>
      </c>
      <c r="AJ11285">
        <v>9.0032409999999992</v>
      </c>
      <c r="AK11285">
        <v>85</v>
      </c>
    </row>
    <row r="11286" spans="1:37" x14ac:dyDescent="0.3">
      <c r="A11286">
        <v>11285</v>
      </c>
      <c r="B11286">
        <v>0</v>
      </c>
      <c r="C11286">
        <v>22.1631</v>
      </c>
      <c r="D11286">
        <v>-19.3721</v>
      </c>
      <c r="E11286" t="s">
        <v>16779</v>
      </c>
      <c r="F11286" t="s">
        <v>16781</v>
      </c>
      <c r="G11286" t="s">
        <v>37</v>
      </c>
      <c r="H11286">
        <v>1967</v>
      </c>
      <c r="I11286">
        <v>22.3</v>
      </c>
      <c r="J11286">
        <v>15.8</v>
      </c>
      <c r="K11286">
        <v>56</v>
      </c>
      <c r="L11286">
        <v>38.96</v>
      </c>
      <c r="M11286">
        <v>34.4</v>
      </c>
      <c r="N11286">
        <v>6.2</v>
      </c>
      <c r="O11286">
        <v>28.2</v>
      </c>
      <c r="P11286">
        <v>25.5</v>
      </c>
      <c r="Q11286">
        <v>16.5</v>
      </c>
      <c r="R11286">
        <v>25.8</v>
      </c>
      <c r="S11286">
        <v>16.5</v>
      </c>
      <c r="T11286">
        <v>439</v>
      </c>
      <c r="U11286">
        <v>103</v>
      </c>
      <c r="V11286">
        <v>0</v>
      </c>
      <c r="W11286">
        <v>103</v>
      </c>
      <c r="X11286">
        <v>281</v>
      </c>
      <c r="Y11286">
        <v>1</v>
      </c>
      <c r="Z11286">
        <v>149</v>
      </c>
      <c r="AA11286">
        <v>1</v>
      </c>
      <c r="AB11286">
        <v>0.20907590000000001</v>
      </c>
      <c r="AC11286">
        <v>1.2469050000000001E-2</v>
      </c>
      <c r="AD11286">
        <v>1.3089919999999999</v>
      </c>
      <c r="AE11286">
        <v>0.322546</v>
      </c>
      <c r="AF11286">
        <v>963.15070000000003</v>
      </c>
      <c r="AG11286">
        <f>IFERROR(AH11286*0.1, "N/A")</f>
        <v>7.402107</v>
      </c>
      <c r="AH11286">
        <v>74.021069999999995</v>
      </c>
      <c r="AI11286">
        <v>204.18770000000001</v>
      </c>
      <c r="AJ11286">
        <v>9.0032409999999992</v>
      </c>
      <c r="AK11286">
        <v>85</v>
      </c>
    </row>
    <row r="11287" spans="1:37" x14ac:dyDescent="0.3">
      <c r="A11287">
        <v>11286</v>
      </c>
      <c r="B11287">
        <v>0</v>
      </c>
      <c r="C11287">
        <v>23.9998</v>
      </c>
      <c r="D11287">
        <v>-19.181699999999999</v>
      </c>
      <c r="E11287" t="s">
        <v>16782</v>
      </c>
      <c r="F11287" t="s">
        <v>16783</v>
      </c>
      <c r="G11287" t="s">
        <v>39</v>
      </c>
      <c r="H11287">
        <v>1967</v>
      </c>
      <c r="I11287">
        <v>22.3</v>
      </c>
      <c r="J11287">
        <v>15.8</v>
      </c>
      <c r="K11287">
        <v>55</v>
      </c>
      <c r="L11287">
        <v>37.119999999999997</v>
      </c>
      <c r="M11287">
        <v>34.9</v>
      </c>
      <c r="N11287">
        <v>6.5</v>
      </c>
      <c r="O11287">
        <v>28.4</v>
      </c>
      <c r="P11287">
        <v>25</v>
      </c>
      <c r="Q11287">
        <v>16.8</v>
      </c>
      <c r="R11287">
        <v>25.9</v>
      </c>
      <c r="S11287">
        <v>16.8</v>
      </c>
      <c r="T11287">
        <v>466</v>
      </c>
      <c r="U11287">
        <v>116</v>
      </c>
      <c r="V11287">
        <v>0</v>
      </c>
      <c r="W11287">
        <v>108</v>
      </c>
      <c r="X11287">
        <v>311</v>
      </c>
      <c r="Y11287">
        <v>0</v>
      </c>
      <c r="Z11287">
        <v>155</v>
      </c>
      <c r="AA11287">
        <v>3</v>
      </c>
      <c r="AB11287">
        <v>0.99676560000000003</v>
      </c>
      <c r="AC11287">
        <v>1.0092729999999999E-2</v>
      </c>
      <c r="AD11287">
        <v>1.2728930000000001</v>
      </c>
      <c r="AE11287">
        <v>5.2951789999999999E-2</v>
      </c>
      <c r="AF11287">
        <v>925.03880000000004</v>
      </c>
      <c r="AG11287">
        <f>IFERROR(AH11287*0.1, "N/A")</f>
        <v>7.3563810000000007</v>
      </c>
      <c r="AH11287">
        <v>73.563810000000004</v>
      </c>
      <c r="AI11287">
        <v>216.78909999999999</v>
      </c>
      <c r="AJ11287">
        <v>13.97092</v>
      </c>
      <c r="AK11287">
        <v>78.23263</v>
      </c>
    </row>
    <row r="11288" spans="1:37" x14ac:dyDescent="0.3">
      <c r="A11288">
        <v>11287</v>
      </c>
      <c r="B11288">
        <v>0</v>
      </c>
      <c r="C11288">
        <v>23.9998</v>
      </c>
      <c r="D11288">
        <v>-19.181699999999999</v>
      </c>
      <c r="E11288" t="s">
        <v>16782</v>
      </c>
      <c r="F11288" t="s">
        <v>16784</v>
      </c>
      <c r="G11288" t="s">
        <v>37</v>
      </c>
      <c r="H11288">
        <v>1967</v>
      </c>
      <c r="I11288">
        <v>22.3</v>
      </c>
      <c r="J11288">
        <v>15.8</v>
      </c>
      <c r="K11288">
        <v>55</v>
      </c>
      <c r="L11288">
        <v>37.119999999999997</v>
      </c>
      <c r="M11288">
        <v>34.9</v>
      </c>
      <c r="N11288">
        <v>6.5</v>
      </c>
      <c r="O11288">
        <v>28.4</v>
      </c>
      <c r="P11288">
        <v>25</v>
      </c>
      <c r="Q11288">
        <v>16.8</v>
      </c>
      <c r="R11288">
        <v>25.9</v>
      </c>
      <c r="S11288">
        <v>16.8</v>
      </c>
      <c r="T11288">
        <v>466</v>
      </c>
      <c r="U11288">
        <v>116</v>
      </c>
      <c r="V11288">
        <v>0</v>
      </c>
      <c r="W11288">
        <v>108</v>
      </c>
      <c r="X11288">
        <v>311</v>
      </c>
      <c r="Y11288">
        <v>0</v>
      </c>
      <c r="Z11288">
        <v>155</v>
      </c>
      <c r="AA11288">
        <v>3</v>
      </c>
      <c r="AB11288">
        <v>0.99676560000000003</v>
      </c>
      <c r="AC11288">
        <v>1.0092729999999999E-2</v>
      </c>
      <c r="AD11288">
        <v>1.2728930000000001</v>
      </c>
      <c r="AE11288">
        <v>5.2951789999999999E-2</v>
      </c>
      <c r="AF11288">
        <v>925.03880000000004</v>
      </c>
      <c r="AG11288">
        <f>IFERROR(AH11288*0.1, "N/A")</f>
        <v>7.3563810000000007</v>
      </c>
      <c r="AH11288">
        <v>73.563810000000004</v>
      </c>
      <c r="AI11288">
        <v>216.78909999999999</v>
      </c>
      <c r="AJ11288">
        <v>13.97092</v>
      </c>
      <c r="AK11288">
        <v>78.23263</v>
      </c>
    </row>
    <row r="11289" spans="1:37" x14ac:dyDescent="0.3">
      <c r="A11289">
        <v>11288</v>
      </c>
      <c r="B11289">
        <v>0</v>
      </c>
      <c r="C11289">
        <v>23.7499</v>
      </c>
      <c r="D11289">
        <v>-19.165800000000001</v>
      </c>
      <c r="E11289" t="s">
        <v>16785</v>
      </c>
      <c r="F11289" t="s">
        <v>16786</v>
      </c>
      <c r="G11289" t="s">
        <v>39</v>
      </c>
      <c r="H11289">
        <v>1967</v>
      </c>
      <c r="I11289">
        <v>22.2</v>
      </c>
      <c r="J11289">
        <v>15.8</v>
      </c>
      <c r="K11289">
        <v>55</v>
      </c>
      <c r="L11289">
        <v>37.300890000000003</v>
      </c>
      <c r="M11289">
        <v>34.799999999999997</v>
      </c>
      <c r="N11289">
        <v>6.5</v>
      </c>
      <c r="O11289">
        <v>28.3</v>
      </c>
      <c r="P11289">
        <v>25</v>
      </c>
      <c r="Q11289">
        <v>16.7</v>
      </c>
      <c r="R11289">
        <v>25.8</v>
      </c>
      <c r="S11289">
        <v>16.7</v>
      </c>
      <c r="T11289">
        <v>471.98219999999998</v>
      </c>
      <c r="U11289">
        <v>115.9676</v>
      </c>
      <c r="V11289">
        <v>0</v>
      </c>
      <c r="W11289">
        <v>106</v>
      </c>
      <c r="X11289">
        <v>313.9676</v>
      </c>
      <c r="Y11289">
        <v>0</v>
      </c>
      <c r="Z11289">
        <v>157</v>
      </c>
      <c r="AA11289">
        <v>0</v>
      </c>
      <c r="AB11289">
        <v>0.69822329999999999</v>
      </c>
      <c r="AC11289">
        <v>1.215695E-2</v>
      </c>
      <c r="AD11289">
        <v>0.85816999999999999</v>
      </c>
      <c r="AE11289">
        <v>5.2403829999999998E-2</v>
      </c>
      <c r="AF11289">
        <v>938.30470000000003</v>
      </c>
      <c r="AG11289">
        <f>IFERROR(AH11289*0.1, "N/A")</f>
        <v>7.0769850000000005</v>
      </c>
      <c r="AH11289">
        <v>70.769850000000005</v>
      </c>
      <c r="AI11289">
        <v>84.24051</v>
      </c>
      <c r="AJ11289">
        <v>13.20421</v>
      </c>
      <c r="AK11289">
        <v>80.335489999999993</v>
      </c>
    </row>
    <row r="11290" spans="1:37" x14ac:dyDescent="0.3">
      <c r="A11290">
        <v>11289</v>
      </c>
      <c r="B11290">
        <v>0</v>
      </c>
      <c r="C11290">
        <v>23.7499</v>
      </c>
      <c r="D11290">
        <v>-19.165800000000001</v>
      </c>
      <c r="E11290" t="s">
        <v>16785</v>
      </c>
      <c r="F11290" t="s">
        <v>16787</v>
      </c>
      <c r="G11290" t="s">
        <v>37</v>
      </c>
      <c r="H11290">
        <v>1967</v>
      </c>
      <c r="I11290">
        <v>22.2</v>
      </c>
      <c r="J11290">
        <v>15.8</v>
      </c>
      <c r="K11290">
        <v>55</v>
      </c>
      <c r="L11290">
        <v>37.300890000000003</v>
      </c>
      <c r="M11290">
        <v>34.799999999999997</v>
      </c>
      <c r="N11290">
        <v>6.5</v>
      </c>
      <c r="O11290">
        <v>28.3</v>
      </c>
      <c r="P11290">
        <v>25</v>
      </c>
      <c r="Q11290">
        <v>16.7</v>
      </c>
      <c r="R11290">
        <v>25.8</v>
      </c>
      <c r="S11290">
        <v>16.7</v>
      </c>
      <c r="T11290">
        <v>471.98219999999998</v>
      </c>
      <c r="U11290">
        <v>115.9676</v>
      </c>
      <c r="V11290">
        <v>0</v>
      </c>
      <c r="W11290">
        <v>106</v>
      </c>
      <c r="X11290">
        <v>313.9676</v>
      </c>
      <c r="Y11290">
        <v>0</v>
      </c>
      <c r="Z11290">
        <v>157</v>
      </c>
      <c r="AA11290">
        <v>0</v>
      </c>
      <c r="AB11290">
        <v>0.69822329999999999</v>
      </c>
      <c r="AC11290">
        <v>1.215695E-2</v>
      </c>
      <c r="AD11290">
        <v>0.85816999999999999</v>
      </c>
      <c r="AE11290">
        <v>5.2403829999999998E-2</v>
      </c>
      <c r="AF11290">
        <v>938.30470000000003</v>
      </c>
      <c r="AG11290">
        <f>IFERROR(AH11290*0.1, "N/A")</f>
        <v>7.0769850000000005</v>
      </c>
      <c r="AH11290">
        <v>70.769850000000005</v>
      </c>
      <c r="AI11290">
        <v>84.24051</v>
      </c>
      <c r="AJ11290">
        <v>13.20421</v>
      </c>
      <c r="AK11290">
        <v>80.335489999999993</v>
      </c>
    </row>
    <row r="11291" spans="1:37" x14ac:dyDescent="0.3">
      <c r="A11291">
        <v>11290</v>
      </c>
      <c r="B11291">
        <v>69.599999999999994</v>
      </c>
      <c r="C11291">
        <v>22.417899999999999</v>
      </c>
      <c r="D11291">
        <v>-18.813800000000001</v>
      </c>
      <c r="E11291" t="s">
        <v>16788</v>
      </c>
      <c r="F11291" t="s">
        <v>16789</v>
      </c>
      <c r="G11291" t="s">
        <v>37</v>
      </c>
      <c r="H11291">
        <v>1985</v>
      </c>
      <c r="I11291">
        <v>22.1</v>
      </c>
      <c r="J11291">
        <v>15.7</v>
      </c>
      <c r="K11291">
        <v>55</v>
      </c>
      <c r="L11291">
        <v>37.78</v>
      </c>
      <c r="M11291">
        <v>34.200000000000003</v>
      </c>
      <c r="N11291">
        <v>6.1</v>
      </c>
      <c r="O11291">
        <v>28.1</v>
      </c>
      <c r="P11291">
        <v>25.2</v>
      </c>
      <c r="Q11291">
        <v>16.5</v>
      </c>
      <c r="R11291">
        <v>25.5</v>
      </c>
      <c r="S11291">
        <v>16.5</v>
      </c>
      <c r="T11291">
        <v>459</v>
      </c>
      <c r="U11291">
        <v>107</v>
      </c>
      <c r="V11291">
        <v>0</v>
      </c>
      <c r="W11291">
        <v>102</v>
      </c>
      <c r="X11291">
        <v>294</v>
      </c>
      <c r="Y11291">
        <v>1</v>
      </c>
      <c r="Z11291">
        <v>158</v>
      </c>
      <c r="AA11291">
        <v>1</v>
      </c>
      <c r="AB11291">
        <v>0.53257220000000005</v>
      </c>
      <c r="AC11291">
        <v>0.30724180000000001</v>
      </c>
      <c r="AD11291">
        <v>1.695443</v>
      </c>
      <c r="AE11291">
        <v>0.44264769999999998</v>
      </c>
      <c r="AF11291">
        <v>983.31759999999997</v>
      </c>
      <c r="AG11291">
        <f>IFERROR(AH11291*0.1, "N/A")</f>
        <v>6.2811070000000004</v>
      </c>
      <c r="AH11291">
        <v>62.811070000000001</v>
      </c>
      <c r="AI11291">
        <v>188.7808</v>
      </c>
      <c r="AJ11291">
        <v>11.785019999999999</v>
      </c>
      <c r="AK11291">
        <v>78.618889999999993</v>
      </c>
    </row>
    <row r="11292" spans="1:37" x14ac:dyDescent="0.3">
      <c r="A11292">
        <v>11291</v>
      </c>
      <c r="B11292">
        <v>0</v>
      </c>
      <c r="C11292">
        <v>22.417899999999999</v>
      </c>
      <c r="D11292">
        <v>-18.813800000000001</v>
      </c>
      <c r="E11292" t="s">
        <v>16788</v>
      </c>
      <c r="F11292" t="s">
        <v>16790</v>
      </c>
      <c r="G11292" t="s">
        <v>39</v>
      </c>
      <c r="H11292">
        <v>1985</v>
      </c>
      <c r="I11292">
        <v>22.1</v>
      </c>
      <c r="J11292">
        <v>15.7</v>
      </c>
      <c r="K11292">
        <v>55</v>
      </c>
      <c r="L11292">
        <v>37.78</v>
      </c>
      <c r="M11292">
        <v>34.200000000000003</v>
      </c>
      <c r="N11292">
        <v>6.1</v>
      </c>
      <c r="O11292">
        <v>28.1</v>
      </c>
      <c r="P11292">
        <v>25.2</v>
      </c>
      <c r="Q11292">
        <v>16.5</v>
      </c>
      <c r="R11292">
        <v>25.5</v>
      </c>
      <c r="S11292">
        <v>16.5</v>
      </c>
      <c r="T11292">
        <v>459</v>
      </c>
      <c r="U11292">
        <v>107</v>
      </c>
      <c r="V11292">
        <v>0</v>
      </c>
      <c r="W11292">
        <v>102</v>
      </c>
      <c r="X11292">
        <v>294</v>
      </c>
      <c r="Y11292">
        <v>1</v>
      </c>
      <c r="Z11292">
        <v>158</v>
      </c>
      <c r="AA11292">
        <v>1</v>
      </c>
      <c r="AB11292">
        <v>0.53257220000000005</v>
      </c>
      <c r="AC11292">
        <v>0.30724180000000001</v>
      </c>
      <c r="AD11292">
        <v>1.695443</v>
      </c>
      <c r="AE11292">
        <v>0.44264769999999998</v>
      </c>
      <c r="AF11292">
        <v>983.31759999999997</v>
      </c>
      <c r="AG11292">
        <f>IFERROR(AH11292*0.1, "N/A")</f>
        <v>6.2811070000000004</v>
      </c>
      <c r="AH11292">
        <v>62.811070000000001</v>
      </c>
      <c r="AI11292">
        <v>188.7808</v>
      </c>
      <c r="AJ11292">
        <v>11.785019999999999</v>
      </c>
      <c r="AK11292">
        <v>78.618889999999993</v>
      </c>
    </row>
    <row r="11293" spans="1:37" x14ac:dyDescent="0.3">
      <c r="A11293">
        <v>11292</v>
      </c>
      <c r="B11293">
        <v>0</v>
      </c>
      <c r="C11293">
        <v>22.1769</v>
      </c>
      <c r="D11293">
        <v>-18.735399999999998</v>
      </c>
      <c r="E11293" t="s">
        <v>16791</v>
      </c>
      <c r="F11293" t="s">
        <v>16792</v>
      </c>
      <c r="G11293" t="s">
        <v>39</v>
      </c>
      <c r="H11293">
        <v>1967</v>
      </c>
      <c r="I11293">
        <v>22.1</v>
      </c>
      <c r="J11293">
        <v>15.7</v>
      </c>
      <c r="K11293">
        <v>56</v>
      </c>
      <c r="L11293">
        <v>38.119999999999997</v>
      </c>
      <c r="M11293">
        <v>34.1</v>
      </c>
      <c r="N11293">
        <v>6.1</v>
      </c>
      <c r="O11293">
        <v>28</v>
      </c>
      <c r="P11293">
        <v>25.3</v>
      </c>
      <c r="Q11293">
        <v>16.600000000000001</v>
      </c>
      <c r="R11293">
        <v>25.6</v>
      </c>
      <c r="S11293">
        <v>16.5</v>
      </c>
      <c r="T11293">
        <v>451</v>
      </c>
      <c r="U11293">
        <v>105</v>
      </c>
      <c r="V11293">
        <v>0</v>
      </c>
      <c r="W11293">
        <v>101</v>
      </c>
      <c r="X11293">
        <v>285</v>
      </c>
      <c r="Y11293">
        <v>2</v>
      </c>
      <c r="Z11293">
        <v>156</v>
      </c>
      <c r="AA11293">
        <v>3</v>
      </c>
      <c r="AB11293">
        <v>14.46278</v>
      </c>
      <c r="AC11293">
        <v>8.2614149999999994E-3</v>
      </c>
      <c r="AD11293">
        <v>2.3493369999999998</v>
      </c>
      <c r="AE11293">
        <v>0.27819470000000002</v>
      </c>
      <c r="AF11293">
        <v>997.97720000000004</v>
      </c>
      <c r="AG11293">
        <f>IFERROR(AH11293*0.1, "N/A")</f>
        <v>6.9024390000000002</v>
      </c>
      <c r="AH11293">
        <v>69.024389999999997</v>
      </c>
      <c r="AI11293">
        <v>164.29499999999999</v>
      </c>
      <c r="AJ11293">
        <v>14.33821</v>
      </c>
      <c r="AK11293">
        <v>79.00488</v>
      </c>
    </row>
    <row r="11294" spans="1:37" x14ac:dyDescent="0.3">
      <c r="A11294">
        <v>11293</v>
      </c>
      <c r="B11294">
        <v>0</v>
      </c>
      <c r="C11294">
        <v>22.1769</v>
      </c>
      <c r="D11294">
        <v>-18.735399999999998</v>
      </c>
      <c r="E11294" t="s">
        <v>16791</v>
      </c>
      <c r="F11294" t="s">
        <v>16793</v>
      </c>
      <c r="G11294" t="s">
        <v>37</v>
      </c>
      <c r="H11294">
        <v>1967</v>
      </c>
      <c r="I11294">
        <v>22.1</v>
      </c>
      <c r="J11294">
        <v>15.7</v>
      </c>
      <c r="K11294">
        <v>56</v>
      </c>
      <c r="L11294">
        <v>38.119999999999997</v>
      </c>
      <c r="M11294">
        <v>34.1</v>
      </c>
      <c r="N11294">
        <v>6.1</v>
      </c>
      <c r="O11294">
        <v>28</v>
      </c>
      <c r="P11294">
        <v>25.3</v>
      </c>
      <c r="Q11294">
        <v>16.600000000000001</v>
      </c>
      <c r="R11294">
        <v>25.6</v>
      </c>
      <c r="S11294">
        <v>16.5</v>
      </c>
      <c r="T11294">
        <v>451</v>
      </c>
      <c r="U11294">
        <v>105</v>
      </c>
      <c r="V11294">
        <v>0</v>
      </c>
      <c r="W11294">
        <v>101</v>
      </c>
      <c r="X11294">
        <v>285</v>
      </c>
      <c r="Y11294">
        <v>2</v>
      </c>
      <c r="Z11294">
        <v>156</v>
      </c>
      <c r="AA11294">
        <v>3</v>
      </c>
      <c r="AB11294">
        <v>14.46278</v>
      </c>
      <c r="AC11294">
        <v>8.2614149999999994E-3</v>
      </c>
      <c r="AD11294">
        <v>2.3493369999999998</v>
      </c>
      <c r="AE11294">
        <v>0.27819470000000002</v>
      </c>
      <c r="AF11294">
        <v>997.97720000000004</v>
      </c>
      <c r="AG11294">
        <f>IFERROR(AH11294*0.1, "N/A")</f>
        <v>6.9024390000000002</v>
      </c>
      <c r="AH11294">
        <v>69.024389999999997</v>
      </c>
      <c r="AI11294">
        <v>164.29499999999999</v>
      </c>
      <c r="AJ11294">
        <v>14.33821</v>
      </c>
      <c r="AK11294">
        <v>79.00488</v>
      </c>
    </row>
    <row r="11295" spans="1:37" x14ac:dyDescent="0.3">
      <c r="A11295">
        <v>11294</v>
      </c>
      <c r="B11295">
        <v>1</v>
      </c>
      <c r="C11295">
        <v>21.842600000000001</v>
      </c>
      <c r="D11295">
        <v>-18.366499999999998</v>
      </c>
      <c r="E11295" t="s">
        <v>16794</v>
      </c>
      <c r="F11295" t="s">
        <v>16795</v>
      </c>
      <c r="G11295" t="s">
        <v>39</v>
      </c>
      <c r="H11295">
        <v>1967</v>
      </c>
      <c r="I11295">
        <v>22.1</v>
      </c>
      <c r="J11295">
        <v>15.6</v>
      </c>
      <c r="K11295">
        <v>56</v>
      </c>
      <c r="L11295">
        <v>36.868029999999997</v>
      </c>
      <c r="M11295">
        <v>33.700000000000003</v>
      </c>
      <c r="N11295">
        <v>6</v>
      </c>
      <c r="O11295">
        <v>27.7</v>
      </c>
      <c r="P11295">
        <v>25.113379999999999</v>
      </c>
      <c r="Q11295">
        <v>16.5</v>
      </c>
      <c r="R11295">
        <v>25.3</v>
      </c>
      <c r="S11295">
        <v>16.5</v>
      </c>
      <c r="T11295">
        <v>529.86620000000005</v>
      </c>
      <c r="U11295">
        <v>129</v>
      </c>
      <c r="V11295">
        <v>0</v>
      </c>
      <c r="W11295">
        <v>106</v>
      </c>
      <c r="X11295">
        <v>347</v>
      </c>
      <c r="Y11295">
        <v>0</v>
      </c>
      <c r="Z11295">
        <v>280.86619999999999</v>
      </c>
      <c r="AA11295">
        <v>0</v>
      </c>
      <c r="AB11295">
        <v>0.53929249999999995</v>
      </c>
      <c r="AC11295">
        <v>0.51791770000000004</v>
      </c>
      <c r="AD11295">
        <v>0.61643859999999995</v>
      </c>
      <c r="AE11295">
        <v>0.30569010000000002</v>
      </c>
      <c r="AF11295">
        <v>997.25609999999995</v>
      </c>
      <c r="AG11295">
        <f>IFERROR(AH11295*0.1, "N/A")</f>
        <v>7.6000000000000005</v>
      </c>
      <c r="AH11295">
        <v>76</v>
      </c>
      <c r="AI11295">
        <v>58.187510000000003</v>
      </c>
      <c r="AJ11295">
        <v>10</v>
      </c>
      <c r="AK11295">
        <v>85</v>
      </c>
    </row>
    <row r="11296" spans="1:37" x14ac:dyDescent="0.3">
      <c r="A11296">
        <v>11295</v>
      </c>
      <c r="B11296">
        <v>7</v>
      </c>
      <c r="C11296">
        <v>21.842600000000001</v>
      </c>
      <c r="D11296">
        <v>-18.366499999999998</v>
      </c>
      <c r="E11296" t="s">
        <v>16794</v>
      </c>
      <c r="F11296" t="s">
        <v>16796</v>
      </c>
      <c r="G11296" t="s">
        <v>37</v>
      </c>
      <c r="H11296">
        <v>1967</v>
      </c>
      <c r="I11296">
        <v>22.1</v>
      </c>
      <c r="J11296">
        <v>15.6</v>
      </c>
      <c r="K11296">
        <v>56</v>
      </c>
      <c r="L11296">
        <v>36.868029999999997</v>
      </c>
      <c r="M11296">
        <v>33.700000000000003</v>
      </c>
      <c r="N11296">
        <v>6</v>
      </c>
      <c r="O11296">
        <v>27.7</v>
      </c>
      <c r="P11296">
        <v>25.113379999999999</v>
      </c>
      <c r="Q11296">
        <v>16.5</v>
      </c>
      <c r="R11296">
        <v>25.3</v>
      </c>
      <c r="S11296">
        <v>16.5</v>
      </c>
      <c r="T11296">
        <v>529.86620000000005</v>
      </c>
      <c r="U11296">
        <v>129</v>
      </c>
      <c r="V11296">
        <v>0</v>
      </c>
      <c r="W11296">
        <v>106</v>
      </c>
      <c r="X11296">
        <v>347</v>
      </c>
      <c r="Y11296">
        <v>0</v>
      </c>
      <c r="Z11296">
        <v>280.86619999999999</v>
      </c>
      <c r="AA11296">
        <v>0</v>
      </c>
      <c r="AB11296">
        <v>0.53929249999999995</v>
      </c>
      <c r="AC11296">
        <v>0.51791770000000004</v>
      </c>
      <c r="AD11296">
        <v>0.61643859999999995</v>
      </c>
      <c r="AE11296">
        <v>0.30569010000000002</v>
      </c>
      <c r="AF11296">
        <v>997.25609999999995</v>
      </c>
      <c r="AG11296">
        <f>IFERROR(AH11296*0.1, "N/A")</f>
        <v>7.6000000000000005</v>
      </c>
      <c r="AH11296">
        <v>76</v>
      </c>
      <c r="AI11296">
        <v>58.187510000000003</v>
      </c>
      <c r="AJ11296">
        <v>10</v>
      </c>
      <c r="AK11296">
        <v>85</v>
      </c>
    </row>
    <row r="11297" spans="1:37" x14ac:dyDescent="0.3">
      <c r="A11297">
        <v>11296</v>
      </c>
      <c r="B11297">
        <v>0</v>
      </c>
      <c r="C11297">
        <v>24.502800000000001</v>
      </c>
      <c r="D11297">
        <v>-18.152699999999999</v>
      </c>
      <c r="E11297" t="s">
        <v>16797</v>
      </c>
      <c r="F11297" t="s">
        <v>16798</v>
      </c>
      <c r="G11297" t="s">
        <v>39</v>
      </c>
      <c r="H11297">
        <v>1967</v>
      </c>
      <c r="I11297">
        <v>22</v>
      </c>
      <c r="J11297">
        <v>16.100000000000001</v>
      </c>
      <c r="K11297">
        <v>55</v>
      </c>
      <c r="L11297">
        <v>35.46</v>
      </c>
      <c r="M11297">
        <v>35.1</v>
      </c>
      <c r="N11297">
        <v>6</v>
      </c>
      <c r="O11297">
        <v>29.1</v>
      </c>
      <c r="P11297">
        <v>24.4</v>
      </c>
      <c r="Q11297">
        <v>16.7</v>
      </c>
      <c r="R11297">
        <v>25.5</v>
      </c>
      <c r="S11297">
        <v>16.7</v>
      </c>
      <c r="T11297">
        <v>570</v>
      </c>
      <c r="U11297">
        <v>142</v>
      </c>
      <c r="V11297">
        <v>0</v>
      </c>
      <c r="W11297">
        <v>111</v>
      </c>
      <c r="X11297">
        <v>392</v>
      </c>
      <c r="Y11297">
        <v>1</v>
      </c>
      <c r="Z11297">
        <v>201</v>
      </c>
      <c r="AA11297">
        <v>1</v>
      </c>
      <c r="AB11297">
        <v>5.6311549999999997</v>
      </c>
      <c r="AC11297">
        <v>0.45836700000000002</v>
      </c>
      <c r="AD11297">
        <v>2.5153569999999998</v>
      </c>
      <c r="AE11297">
        <v>0.29030739999999999</v>
      </c>
      <c r="AF11297">
        <v>941.21699999999998</v>
      </c>
      <c r="AG11297">
        <f>IFERROR(AH11297*0.1, "N/A")</f>
        <v>6.578793000000001</v>
      </c>
      <c r="AH11297">
        <v>65.787930000000003</v>
      </c>
      <c r="AI11297">
        <v>242.86019999999999</v>
      </c>
      <c r="AJ11297">
        <v>11.69168</v>
      </c>
      <c r="AK11297">
        <v>78.706360000000004</v>
      </c>
    </row>
    <row r="11298" spans="1:37" x14ac:dyDescent="0.3">
      <c r="A11298">
        <v>11297</v>
      </c>
      <c r="B11298">
        <v>0</v>
      </c>
      <c r="C11298">
        <v>24.502800000000001</v>
      </c>
      <c r="D11298">
        <v>-18.152699999999999</v>
      </c>
      <c r="E11298" t="s">
        <v>16797</v>
      </c>
      <c r="F11298" t="s">
        <v>16799</v>
      </c>
      <c r="G11298" t="s">
        <v>37</v>
      </c>
      <c r="H11298">
        <v>1967</v>
      </c>
      <c r="I11298">
        <v>22</v>
      </c>
      <c r="J11298">
        <v>16.100000000000001</v>
      </c>
      <c r="K11298">
        <v>55</v>
      </c>
      <c r="L11298">
        <v>35.46</v>
      </c>
      <c r="M11298">
        <v>35.1</v>
      </c>
      <c r="N11298">
        <v>6</v>
      </c>
      <c r="O11298">
        <v>29.1</v>
      </c>
      <c r="P11298">
        <v>24.4</v>
      </c>
      <c r="Q11298">
        <v>16.7</v>
      </c>
      <c r="R11298">
        <v>25.5</v>
      </c>
      <c r="S11298">
        <v>16.7</v>
      </c>
      <c r="T11298">
        <v>570</v>
      </c>
      <c r="U11298">
        <v>142</v>
      </c>
      <c r="V11298">
        <v>0</v>
      </c>
      <c r="W11298">
        <v>111</v>
      </c>
      <c r="X11298">
        <v>392</v>
      </c>
      <c r="Y11298">
        <v>1</v>
      </c>
      <c r="Z11298">
        <v>201</v>
      </c>
      <c r="AA11298">
        <v>1</v>
      </c>
      <c r="AB11298">
        <v>5.6311549999999997</v>
      </c>
      <c r="AC11298">
        <v>0.45836700000000002</v>
      </c>
      <c r="AD11298">
        <v>2.5153569999999998</v>
      </c>
      <c r="AE11298">
        <v>0.29030739999999999</v>
      </c>
      <c r="AF11298">
        <v>941.21699999999998</v>
      </c>
      <c r="AG11298">
        <f>IFERROR(AH11298*0.1, "N/A")</f>
        <v>6.578793000000001</v>
      </c>
      <c r="AH11298">
        <v>65.787930000000003</v>
      </c>
      <c r="AI11298">
        <v>242.86019999999999</v>
      </c>
      <c r="AJ11298">
        <v>11.69168</v>
      </c>
      <c r="AK11298">
        <v>78.706360000000004</v>
      </c>
    </row>
    <row r="11299" spans="1:37" x14ac:dyDescent="0.3">
      <c r="A11299">
        <v>11298</v>
      </c>
      <c r="B11299">
        <v>4</v>
      </c>
      <c r="C11299">
        <v>24.406199999999998</v>
      </c>
      <c r="D11299">
        <v>-18.012899999999998</v>
      </c>
      <c r="E11299" t="s">
        <v>16800</v>
      </c>
      <c r="F11299" t="s">
        <v>16801</v>
      </c>
      <c r="G11299" t="s">
        <v>39</v>
      </c>
      <c r="H11299">
        <v>1967</v>
      </c>
      <c r="I11299">
        <v>22</v>
      </c>
      <c r="J11299">
        <v>16.2</v>
      </c>
      <c r="K11299">
        <v>54</v>
      </c>
      <c r="L11299">
        <v>35.909999999999997</v>
      </c>
      <c r="M11299">
        <v>35.200000000000003</v>
      </c>
      <c r="N11299">
        <v>5.7</v>
      </c>
      <c r="O11299">
        <v>29.5</v>
      </c>
      <c r="P11299">
        <v>24.5</v>
      </c>
      <c r="Q11299">
        <v>16.7</v>
      </c>
      <c r="R11299">
        <v>25.6</v>
      </c>
      <c r="S11299">
        <v>16.7</v>
      </c>
      <c r="T11299">
        <v>590</v>
      </c>
      <c r="U11299">
        <v>145</v>
      </c>
      <c r="V11299">
        <v>0</v>
      </c>
      <c r="W11299">
        <v>110</v>
      </c>
      <c r="X11299">
        <v>406</v>
      </c>
      <c r="Y11299">
        <v>1</v>
      </c>
      <c r="Z11299">
        <v>208</v>
      </c>
      <c r="AA11299">
        <v>1</v>
      </c>
      <c r="AB11299">
        <v>2.0323859999999998</v>
      </c>
      <c r="AC11299">
        <v>1.412938E-2</v>
      </c>
      <c r="AD11299">
        <v>0.66761040000000005</v>
      </c>
      <c r="AE11299">
        <v>0.1033038</v>
      </c>
      <c r="AF11299">
        <v>934.07360000000006</v>
      </c>
      <c r="AG11299">
        <f>IFERROR(AH11299*0.1, "N/A")</f>
        <v>7.0844520000000006</v>
      </c>
      <c r="AH11299">
        <v>70.844520000000003</v>
      </c>
      <c r="AI11299">
        <v>99.357830000000007</v>
      </c>
      <c r="AJ11299">
        <v>9.86252</v>
      </c>
      <c r="AK11299">
        <v>85.386250000000004</v>
      </c>
    </row>
    <row r="11300" spans="1:37" x14ac:dyDescent="0.3">
      <c r="A11300">
        <v>11299</v>
      </c>
      <c r="B11300">
        <v>6.7</v>
      </c>
      <c r="C11300">
        <v>24.406199999999998</v>
      </c>
      <c r="D11300">
        <v>-18.012899999999998</v>
      </c>
      <c r="E11300" t="s">
        <v>16800</v>
      </c>
      <c r="F11300" t="s">
        <v>16802</v>
      </c>
      <c r="G11300" t="s">
        <v>37</v>
      </c>
      <c r="H11300">
        <v>1967</v>
      </c>
      <c r="I11300">
        <v>22</v>
      </c>
      <c r="J11300">
        <v>16.2</v>
      </c>
      <c r="K11300">
        <v>54</v>
      </c>
      <c r="L11300">
        <v>35.909999999999997</v>
      </c>
      <c r="M11300">
        <v>35.200000000000003</v>
      </c>
      <c r="N11300">
        <v>5.7</v>
      </c>
      <c r="O11300">
        <v>29.5</v>
      </c>
      <c r="P11300">
        <v>24.5</v>
      </c>
      <c r="Q11300">
        <v>16.7</v>
      </c>
      <c r="R11300">
        <v>25.6</v>
      </c>
      <c r="S11300">
        <v>16.7</v>
      </c>
      <c r="T11300">
        <v>590</v>
      </c>
      <c r="U11300">
        <v>145</v>
      </c>
      <c r="V11300">
        <v>0</v>
      </c>
      <c r="W11300">
        <v>110</v>
      </c>
      <c r="X11300">
        <v>406</v>
      </c>
      <c r="Y11300">
        <v>1</v>
      </c>
      <c r="Z11300">
        <v>208</v>
      </c>
      <c r="AA11300">
        <v>1</v>
      </c>
      <c r="AB11300">
        <v>2.0323859999999998</v>
      </c>
      <c r="AC11300">
        <v>1.412938E-2</v>
      </c>
      <c r="AD11300">
        <v>0.66761040000000005</v>
      </c>
      <c r="AE11300">
        <v>0.1033038</v>
      </c>
      <c r="AF11300">
        <v>934.07360000000006</v>
      </c>
      <c r="AG11300">
        <f>IFERROR(AH11300*0.1, "N/A")</f>
        <v>7.0844520000000006</v>
      </c>
      <c r="AH11300">
        <v>70.844520000000003</v>
      </c>
      <c r="AI11300">
        <v>99.357830000000007</v>
      </c>
      <c r="AJ11300">
        <v>9.86252</v>
      </c>
      <c r="AK11300">
        <v>85.386250000000004</v>
      </c>
    </row>
    <row r="11301" spans="1:37" x14ac:dyDescent="0.3">
      <c r="A11301">
        <v>11300</v>
      </c>
      <c r="B11301">
        <v>0</v>
      </c>
      <c r="C11301">
        <v>24.648</v>
      </c>
      <c r="D11301">
        <v>-17.9907</v>
      </c>
      <c r="E11301" t="s">
        <v>16803</v>
      </c>
      <c r="F11301" t="s">
        <v>16804</v>
      </c>
      <c r="G11301" t="s">
        <v>39</v>
      </c>
      <c r="H11301">
        <v>1967</v>
      </c>
      <c r="I11301">
        <v>22.2</v>
      </c>
      <c r="J11301">
        <v>16.100000000000001</v>
      </c>
      <c r="K11301">
        <v>55</v>
      </c>
      <c r="L11301">
        <v>34.732089999999999</v>
      </c>
      <c r="M11301">
        <v>35.300649999999997</v>
      </c>
      <c r="N11301">
        <v>6.2</v>
      </c>
      <c r="O11301">
        <v>29.100650000000002</v>
      </c>
      <c r="P11301">
        <v>24.5</v>
      </c>
      <c r="Q11301">
        <v>17.099350000000001</v>
      </c>
      <c r="R11301">
        <v>25.7</v>
      </c>
      <c r="S11301">
        <v>17.099350000000001</v>
      </c>
      <c r="T11301">
        <v>593.98689999999999</v>
      </c>
      <c r="U11301">
        <v>146.99350000000001</v>
      </c>
      <c r="V11301">
        <v>0</v>
      </c>
      <c r="W11301">
        <v>111</v>
      </c>
      <c r="X11301">
        <v>409.99349999999998</v>
      </c>
      <c r="Y11301">
        <v>1</v>
      </c>
      <c r="Z11301">
        <v>214.99350000000001</v>
      </c>
      <c r="AA11301">
        <v>1</v>
      </c>
      <c r="AB11301">
        <v>10.28351</v>
      </c>
      <c r="AC11301">
        <v>2.116873E-2</v>
      </c>
      <c r="AD11301">
        <v>2.16473</v>
      </c>
      <c r="AE11301">
        <v>0.18273500000000001</v>
      </c>
      <c r="AF11301">
        <v>947.70749999999998</v>
      </c>
      <c r="AG11301">
        <f>IFERROR(AH11301*0.1, "N/A")</f>
        <v>6.2098040000000001</v>
      </c>
      <c r="AH11301">
        <v>62.098039999999997</v>
      </c>
      <c r="AI11301">
        <v>267.71359999999999</v>
      </c>
      <c r="AJ11301">
        <v>16.478760000000001</v>
      </c>
      <c r="AK11301">
        <v>73.346410000000006</v>
      </c>
    </row>
    <row r="11302" spans="1:37" x14ac:dyDescent="0.3">
      <c r="A11302">
        <v>11301</v>
      </c>
      <c r="B11302">
        <v>0</v>
      </c>
      <c r="C11302">
        <v>24.648</v>
      </c>
      <c r="D11302">
        <v>-17.9907</v>
      </c>
      <c r="E11302" t="s">
        <v>16803</v>
      </c>
      <c r="F11302" t="s">
        <v>16805</v>
      </c>
      <c r="G11302" t="s">
        <v>37</v>
      </c>
      <c r="H11302">
        <v>1967</v>
      </c>
      <c r="I11302">
        <v>22.2</v>
      </c>
      <c r="J11302">
        <v>16.100000000000001</v>
      </c>
      <c r="K11302">
        <v>55</v>
      </c>
      <c r="L11302">
        <v>34.732089999999999</v>
      </c>
      <c r="M11302">
        <v>35.300649999999997</v>
      </c>
      <c r="N11302">
        <v>6.2</v>
      </c>
      <c r="O11302">
        <v>29.100650000000002</v>
      </c>
      <c r="P11302">
        <v>24.5</v>
      </c>
      <c r="Q11302">
        <v>17.099350000000001</v>
      </c>
      <c r="R11302">
        <v>25.7</v>
      </c>
      <c r="S11302">
        <v>17.099350000000001</v>
      </c>
      <c r="T11302">
        <v>593.98689999999999</v>
      </c>
      <c r="U11302">
        <v>146.99350000000001</v>
      </c>
      <c r="V11302">
        <v>0</v>
      </c>
      <c r="W11302">
        <v>111</v>
      </c>
      <c r="X11302">
        <v>409.99349999999998</v>
      </c>
      <c r="Y11302">
        <v>1</v>
      </c>
      <c r="Z11302">
        <v>214.99350000000001</v>
      </c>
      <c r="AA11302">
        <v>1</v>
      </c>
      <c r="AB11302">
        <v>10.28351</v>
      </c>
      <c r="AC11302">
        <v>2.116873E-2</v>
      </c>
      <c r="AD11302">
        <v>2.16473</v>
      </c>
      <c r="AE11302">
        <v>0.18273500000000001</v>
      </c>
      <c r="AF11302">
        <v>947.70749999999998</v>
      </c>
      <c r="AG11302">
        <f>IFERROR(AH11302*0.1, "N/A")</f>
        <v>6.2098040000000001</v>
      </c>
      <c r="AH11302">
        <v>62.098039999999997</v>
      </c>
      <c r="AI11302">
        <v>267.71359999999999</v>
      </c>
      <c r="AJ11302">
        <v>16.478760000000001</v>
      </c>
      <c r="AK11302">
        <v>73.346410000000006</v>
      </c>
    </row>
    <row r="11303" spans="1:37" x14ac:dyDescent="0.3">
      <c r="A11303">
        <v>11302</v>
      </c>
      <c r="B11303">
        <v>31.8</v>
      </c>
      <c r="C11303">
        <v>2.5499999999999998</v>
      </c>
      <c r="D11303">
        <v>6.5833300000000001</v>
      </c>
      <c r="E11303" t="s">
        <v>16806</v>
      </c>
      <c r="F11303" t="s">
        <v>16807</v>
      </c>
      <c r="G11303" t="s">
        <v>39</v>
      </c>
      <c r="H11303">
        <v>1987</v>
      </c>
      <c r="I11303">
        <v>27.3</v>
      </c>
      <c r="J11303">
        <v>7.5</v>
      </c>
      <c r="K11303">
        <v>70</v>
      </c>
      <c r="L11303">
        <v>11.99213</v>
      </c>
      <c r="M11303">
        <v>33.1</v>
      </c>
      <c r="N11303">
        <v>22.461359999999999</v>
      </c>
      <c r="O11303">
        <v>10.638640000000001</v>
      </c>
      <c r="P11303">
        <v>26.596329999999998</v>
      </c>
      <c r="Q11303">
        <v>28.1</v>
      </c>
      <c r="R11303">
        <v>28.780069999999998</v>
      </c>
      <c r="S11303">
        <v>25.676400000000001</v>
      </c>
      <c r="T11303">
        <v>1239.2809999999999</v>
      </c>
      <c r="U11303">
        <v>274.25170000000003</v>
      </c>
      <c r="V11303">
        <v>12</v>
      </c>
      <c r="W11303">
        <v>70.963290000000001</v>
      </c>
      <c r="X11303">
        <v>596.11360000000002</v>
      </c>
      <c r="Y11303">
        <v>66.085660000000004</v>
      </c>
      <c r="Z11303">
        <v>236.27269999999999</v>
      </c>
      <c r="AA11303">
        <v>318.47199999999998</v>
      </c>
      <c r="AB11303">
        <v>39.769759999999998</v>
      </c>
      <c r="AC11303">
        <v>1.5441109999999999E-2</v>
      </c>
      <c r="AD11303">
        <v>1.0951390000000001</v>
      </c>
      <c r="AE11303">
        <v>0.86353250000000004</v>
      </c>
      <c r="AF11303">
        <v>42.770980000000002</v>
      </c>
      <c r="AG11303">
        <f>IFERROR(AH11303*0.1, "N/A")</f>
        <v>5.7437060000000004</v>
      </c>
      <c r="AH11303">
        <v>57.437060000000002</v>
      </c>
      <c r="AI11303">
        <v>193.78530000000001</v>
      </c>
      <c r="AJ11303">
        <v>14.23077</v>
      </c>
      <c r="AK11303">
        <v>72.874129999999994</v>
      </c>
    </row>
    <row r="11304" spans="1:37" x14ac:dyDescent="0.3">
      <c r="A11304">
        <v>11303</v>
      </c>
      <c r="B11304">
        <v>0</v>
      </c>
      <c r="C11304">
        <v>1.5713600000000001</v>
      </c>
      <c r="D11304">
        <v>6.9874799999999997</v>
      </c>
      <c r="E11304" t="s">
        <v>16808</v>
      </c>
      <c r="F11304" t="s">
        <v>16809</v>
      </c>
      <c r="G11304" t="s">
        <v>39</v>
      </c>
      <c r="H11304">
        <v>2000</v>
      </c>
      <c r="I11304">
        <v>27.3</v>
      </c>
      <c r="J11304">
        <v>10.1</v>
      </c>
      <c r="K11304">
        <v>73</v>
      </c>
      <c r="L11304">
        <v>12.31</v>
      </c>
      <c r="M11304">
        <v>35.200000000000003</v>
      </c>
      <c r="N11304">
        <v>21.5</v>
      </c>
      <c r="O11304">
        <v>13.7</v>
      </c>
      <c r="P11304">
        <v>27.5</v>
      </c>
      <c r="Q11304">
        <v>27.5</v>
      </c>
      <c r="R11304">
        <v>28.9</v>
      </c>
      <c r="S11304">
        <v>25.7</v>
      </c>
      <c r="T11304">
        <v>1042</v>
      </c>
      <c r="U11304">
        <v>148</v>
      </c>
      <c r="V11304">
        <v>7</v>
      </c>
      <c r="W11304">
        <v>58</v>
      </c>
      <c r="X11304">
        <v>405</v>
      </c>
      <c r="Y11304">
        <v>46</v>
      </c>
      <c r="Z11304">
        <v>251</v>
      </c>
      <c r="AA11304">
        <v>356</v>
      </c>
      <c r="AB11304">
        <v>18.83745</v>
      </c>
      <c r="AC11304">
        <v>1.101357E-2</v>
      </c>
      <c r="AD11304">
        <v>2.220745</v>
      </c>
      <c r="AE11304">
        <v>0.70026149999999998</v>
      </c>
      <c r="AF11304">
        <v>93.37979</v>
      </c>
      <c r="AG11304">
        <f>IFERROR(AH11304*0.1, "N/A")</f>
        <v>6.0486060000000004</v>
      </c>
      <c r="AH11304">
        <v>60.486060000000002</v>
      </c>
      <c r="AI11304">
        <v>228.2527</v>
      </c>
      <c r="AJ11304">
        <v>16.402439999999999</v>
      </c>
      <c r="AK11304">
        <v>64.698610000000002</v>
      </c>
    </row>
    <row r="11305" spans="1:37" x14ac:dyDescent="0.3">
      <c r="A11305">
        <v>11304</v>
      </c>
      <c r="B11305">
        <v>0</v>
      </c>
      <c r="C11305">
        <v>1.5713600000000001</v>
      </c>
      <c r="D11305">
        <v>6.9874799999999997</v>
      </c>
      <c r="E11305" t="s">
        <v>16808</v>
      </c>
      <c r="F11305" t="s">
        <v>16810</v>
      </c>
      <c r="G11305" t="s">
        <v>37</v>
      </c>
      <c r="H11305">
        <v>2000</v>
      </c>
      <c r="I11305">
        <v>27.3</v>
      </c>
      <c r="J11305">
        <v>10.1</v>
      </c>
      <c r="K11305">
        <v>73</v>
      </c>
      <c r="L11305">
        <v>12.31</v>
      </c>
      <c r="M11305">
        <v>35.200000000000003</v>
      </c>
      <c r="N11305">
        <v>21.5</v>
      </c>
      <c r="O11305">
        <v>13.7</v>
      </c>
      <c r="P11305">
        <v>27.5</v>
      </c>
      <c r="Q11305">
        <v>27.5</v>
      </c>
      <c r="R11305">
        <v>28.9</v>
      </c>
      <c r="S11305">
        <v>25.7</v>
      </c>
      <c r="T11305">
        <v>1042</v>
      </c>
      <c r="U11305">
        <v>148</v>
      </c>
      <c r="V11305">
        <v>7</v>
      </c>
      <c r="W11305">
        <v>58</v>
      </c>
      <c r="X11305">
        <v>405</v>
      </c>
      <c r="Y11305">
        <v>46</v>
      </c>
      <c r="Z11305">
        <v>251</v>
      </c>
      <c r="AA11305">
        <v>356</v>
      </c>
      <c r="AB11305">
        <v>18.83745</v>
      </c>
      <c r="AC11305">
        <v>1.101357E-2</v>
      </c>
      <c r="AD11305">
        <v>2.220745</v>
      </c>
      <c r="AE11305">
        <v>0.70026149999999998</v>
      </c>
      <c r="AF11305">
        <v>93.37979</v>
      </c>
      <c r="AG11305">
        <f>IFERROR(AH11305*0.1, "N/A")</f>
        <v>6.0486060000000004</v>
      </c>
      <c r="AH11305">
        <v>60.486060000000002</v>
      </c>
      <c r="AI11305">
        <v>228.2527</v>
      </c>
      <c r="AJ11305">
        <v>16.402439999999999</v>
      </c>
      <c r="AK11305">
        <v>64.698610000000002</v>
      </c>
    </row>
    <row r="11306" spans="1:37" x14ac:dyDescent="0.3">
      <c r="A11306">
        <v>11305</v>
      </c>
      <c r="B11306">
        <v>30.4</v>
      </c>
      <c r="C11306">
        <v>1.63171</v>
      </c>
      <c r="D11306">
        <v>6.9531200000000002</v>
      </c>
      <c r="E11306" t="s">
        <v>16811</v>
      </c>
      <c r="F11306" t="s">
        <v>16812</v>
      </c>
      <c r="G11306" t="s">
        <v>39</v>
      </c>
      <c r="H11306">
        <v>2000</v>
      </c>
      <c r="I11306">
        <v>27.1</v>
      </c>
      <c r="J11306">
        <v>10</v>
      </c>
      <c r="K11306">
        <v>73</v>
      </c>
      <c r="L11306">
        <v>11.83</v>
      </c>
      <c r="M11306">
        <v>34.9</v>
      </c>
      <c r="N11306">
        <v>21.3</v>
      </c>
      <c r="O11306">
        <v>13.6</v>
      </c>
      <c r="P11306">
        <v>27.3</v>
      </c>
      <c r="Q11306">
        <v>27.5</v>
      </c>
      <c r="R11306">
        <v>28.6</v>
      </c>
      <c r="S11306">
        <v>25.5</v>
      </c>
      <c r="T11306">
        <v>1053</v>
      </c>
      <c r="U11306">
        <v>149</v>
      </c>
      <c r="V11306">
        <v>6</v>
      </c>
      <c r="W11306">
        <v>59</v>
      </c>
      <c r="X11306">
        <v>412</v>
      </c>
      <c r="Y11306">
        <v>46</v>
      </c>
      <c r="Z11306">
        <v>258</v>
      </c>
      <c r="AA11306">
        <v>356</v>
      </c>
      <c r="AB11306">
        <v>4.0219100000000001</v>
      </c>
      <c r="AC11306">
        <v>3.1716340000000003E-2</v>
      </c>
      <c r="AD11306">
        <v>1.775067</v>
      </c>
      <c r="AE11306">
        <v>0.57895540000000001</v>
      </c>
      <c r="AF11306">
        <v>112.17740000000001</v>
      </c>
      <c r="AG11306">
        <f>IFERROR(AH11306*0.1, "N/A")</f>
        <v>6.3973909999999998</v>
      </c>
      <c r="AH11306">
        <v>63.973909999999997</v>
      </c>
      <c r="AI11306">
        <v>258.4803</v>
      </c>
      <c r="AJ11306">
        <v>14.43478</v>
      </c>
      <c r="AK11306">
        <v>71.203479999999999</v>
      </c>
    </row>
    <row r="11307" spans="1:37" x14ac:dyDescent="0.3">
      <c r="A11307">
        <v>11306</v>
      </c>
      <c r="B11307">
        <v>3.39</v>
      </c>
      <c r="C11307">
        <v>1.63171</v>
      </c>
      <c r="D11307">
        <v>6.9531200000000002</v>
      </c>
      <c r="E11307" t="s">
        <v>16811</v>
      </c>
      <c r="F11307" t="s">
        <v>16813</v>
      </c>
      <c r="G11307" t="s">
        <v>37</v>
      </c>
      <c r="H11307">
        <v>2000</v>
      </c>
      <c r="I11307">
        <v>27.1</v>
      </c>
      <c r="J11307">
        <v>10</v>
      </c>
      <c r="K11307">
        <v>73</v>
      </c>
      <c r="L11307">
        <v>11.83</v>
      </c>
      <c r="M11307">
        <v>34.9</v>
      </c>
      <c r="N11307">
        <v>21.3</v>
      </c>
      <c r="O11307">
        <v>13.6</v>
      </c>
      <c r="P11307">
        <v>27.3</v>
      </c>
      <c r="Q11307">
        <v>27.5</v>
      </c>
      <c r="R11307">
        <v>28.6</v>
      </c>
      <c r="S11307">
        <v>25.5</v>
      </c>
      <c r="T11307">
        <v>1053</v>
      </c>
      <c r="U11307">
        <v>149</v>
      </c>
      <c r="V11307">
        <v>6</v>
      </c>
      <c r="W11307">
        <v>59</v>
      </c>
      <c r="X11307">
        <v>412</v>
      </c>
      <c r="Y11307">
        <v>46</v>
      </c>
      <c r="Z11307">
        <v>258</v>
      </c>
      <c r="AA11307">
        <v>356</v>
      </c>
      <c r="AB11307">
        <v>4.0219100000000001</v>
      </c>
      <c r="AC11307">
        <v>3.1716340000000003E-2</v>
      </c>
      <c r="AD11307">
        <v>1.775067</v>
      </c>
      <c r="AE11307">
        <v>0.57895540000000001</v>
      </c>
      <c r="AF11307">
        <v>112.17740000000001</v>
      </c>
      <c r="AG11307">
        <f>IFERROR(AH11307*0.1, "N/A")</f>
        <v>6.3973909999999998</v>
      </c>
      <c r="AH11307">
        <v>63.973909999999997</v>
      </c>
      <c r="AI11307">
        <v>258.4803</v>
      </c>
      <c r="AJ11307">
        <v>14.43478</v>
      </c>
      <c r="AK11307">
        <v>71.203479999999999</v>
      </c>
    </row>
    <row r="11308" spans="1:37" x14ac:dyDescent="0.3">
      <c r="A11308">
        <v>11307</v>
      </c>
      <c r="B11308">
        <v>46.3</v>
      </c>
      <c r="C11308">
        <v>1.6664600000000001</v>
      </c>
      <c r="D11308">
        <v>6.8837000000000002</v>
      </c>
      <c r="E11308" t="s">
        <v>16814</v>
      </c>
      <c r="F11308" t="s">
        <v>16815</v>
      </c>
      <c r="G11308" t="s">
        <v>39</v>
      </c>
      <c r="H11308">
        <v>2000</v>
      </c>
      <c r="I11308">
        <v>26.841429999999999</v>
      </c>
      <c r="J11308">
        <v>9.8414339999999996</v>
      </c>
      <c r="K11308">
        <v>72</v>
      </c>
      <c r="L11308">
        <v>12.58614</v>
      </c>
      <c r="M11308">
        <v>34.58287</v>
      </c>
      <c r="N11308">
        <v>21.041429999999998</v>
      </c>
      <c r="O11308">
        <v>13.54143</v>
      </c>
      <c r="P11308">
        <v>27.041429999999998</v>
      </c>
      <c r="Q11308">
        <v>27.241430000000001</v>
      </c>
      <c r="R11308">
        <v>28.44143</v>
      </c>
      <c r="S11308">
        <v>25.14143</v>
      </c>
      <c r="T11308">
        <v>1063.442</v>
      </c>
      <c r="U11308">
        <v>154.1713</v>
      </c>
      <c r="V11308">
        <v>6</v>
      </c>
      <c r="W11308">
        <v>58</v>
      </c>
      <c r="X11308">
        <v>425.34269999999998</v>
      </c>
      <c r="Y11308">
        <v>49</v>
      </c>
      <c r="Z11308">
        <v>259.75700000000001</v>
      </c>
      <c r="AA11308">
        <v>342.92829999999998</v>
      </c>
      <c r="AB11308">
        <v>9.3253489999999992</v>
      </c>
      <c r="AC11308">
        <v>4.8149930000000001E-2</v>
      </c>
      <c r="AD11308">
        <v>1.674809</v>
      </c>
      <c r="AE11308">
        <v>0.64171460000000002</v>
      </c>
      <c r="AF11308">
        <v>139.3689</v>
      </c>
      <c r="AG11308">
        <f>IFERROR(AH11308*0.1, "N/A")</f>
        <v>6.6000000000000005</v>
      </c>
      <c r="AH11308">
        <v>66</v>
      </c>
      <c r="AI11308">
        <v>273.85570000000001</v>
      </c>
      <c r="AJ11308">
        <v>16</v>
      </c>
      <c r="AK11308">
        <v>72</v>
      </c>
    </row>
    <row r="11309" spans="1:37" x14ac:dyDescent="0.3">
      <c r="A11309">
        <v>11308</v>
      </c>
      <c r="B11309">
        <v>3.75</v>
      </c>
      <c r="C11309">
        <v>1.6664600000000001</v>
      </c>
      <c r="D11309">
        <v>6.8837000000000002</v>
      </c>
      <c r="E11309" t="s">
        <v>16814</v>
      </c>
      <c r="F11309" t="s">
        <v>16816</v>
      </c>
      <c r="G11309" t="s">
        <v>37</v>
      </c>
      <c r="H11309">
        <v>2000</v>
      </c>
      <c r="I11309">
        <v>26.841429999999999</v>
      </c>
      <c r="J11309">
        <v>9.8414339999999996</v>
      </c>
      <c r="K11309">
        <v>72</v>
      </c>
      <c r="L11309">
        <v>12.58614</v>
      </c>
      <c r="M11309">
        <v>34.58287</v>
      </c>
      <c r="N11309">
        <v>21.041429999999998</v>
      </c>
      <c r="O11309">
        <v>13.54143</v>
      </c>
      <c r="P11309">
        <v>27.041429999999998</v>
      </c>
      <c r="Q11309">
        <v>27.241430000000001</v>
      </c>
      <c r="R11309">
        <v>28.44143</v>
      </c>
      <c r="S11309">
        <v>25.14143</v>
      </c>
      <c r="T11309">
        <v>1063.442</v>
      </c>
      <c r="U11309">
        <v>154.1713</v>
      </c>
      <c r="V11309">
        <v>6</v>
      </c>
      <c r="W11309">
        <v>58</v>
      </c>
      <c r="X11309">
        <v>425.34269999999998</v>
      </c>
      <c r="Y11309">
        <v>49</v>
      </c>
      <c r="Z11309">
        <v>259.75700000000001</v>
      </c>
      <c r="AA11309">
        <v>342.92829999999998</v>
      </c>
      <c r="AB11309">
        <v>9.3253489999999992</v>
      </c>
      <c r="AC11309">
        <v>4.8149930000000001E-2</v>
      </c>
      <c r="AD11309">
        <v>1.674809</v>
      </c>
      <c r="AE11309">
        <v>0.64171460000000002</v>
      </c>
      <c r="AF11309">
        <v>139.3689</v>
      </c>
      <c r="AG11309">
        <f>IFERROR(AH11309*0.1, "N/A")</f>
        <v>6.6000000000000005</v>
      </c>
      <c r="AH11309">
        <v>66</v>
      </c>
      <c r="AI11309">
        <v>273.85570000000001</v>
      </c>
      <c r="AJ11309">
        <v>16</v>
      </c>
      <c r="AK11309">
        <v>72</v>
      </c>
    </row>
    <row r="11310" spans="1:37" x14ac:dyDescent="0.3">
      <c r="A11310">
        <v>11309</v>
      </c>
      <c r="B11310">
        <v>4.9000000000000004</v>
      </c>
      <c r="C11310">
        <v>1.6571899999999999</v>
      </c>
      <c r="D11310">
        <v>6.8412699999999997</v>
      </c>
      <c r="E11310" t="s">
        <v>16817</v>
      </c>
      <c r="F11310" t="s">
        <v>16818</v>
      </c>
      <c r="G11310" t="s">
        <v>39</v>
      </c>
      <c r="H11310">
        <v>2000</v>
      </c>
      <c r="I11310">
        <v>27.073119999999999</v>
      </c>
      <c r="J11310">
        <v>9.8000000000000007</v>
      </c>
      <c r="K11310">
        <v>72.26876</v>
      </c>
      <c r="L11310">
        <v>12.099489999999999</v>
      </c>
      <c r="M11310">
        <v>34.773119999999999</v>
      </c>
      <c r="N11310">
        <v>21.326879999999999</v>
      </c>
      <c r="O11310">
        <v>13.446249999999999</v>
      </c>
      <c r="P11310">
        <v>27.2</v>
      </c>
      <c r="Q11310">
        <v>27.37312</v>
      </c>
      <c r="R11310">
        <v>28.573119999999999</v>
      </c>
      <c r="S11310">
        <v>25.4</v>
      </c>
      <c r="T11310">
        <v>1045.806</v>
      </c>
      <c r="U11310">
        <v>152</v>
      </c>
      <c r="V11310">
        <v>6</v>
      </c>
      <c r="W11310">
        <v>58</v>
      </c>
      <c r="X11310">
        <v>427.7312</v>
      </c>
      <c r="Y11310">
        <v>51</v>
      </c>
      <c r="Z11310">
        <v>255.2688</v>
      </c>
      <c r="AA11310">
        <v>320.80630000000002</v>
      </c>
      <c r="AB11310">
        <v>2.0132620000000001</v>
      </c>
      <c r="AC11310">
        <v>8.6525210000000005E-2</v>
      </c>
      <c r="AD11310">
        <v>1.28139</v>
      </c>
      <c r="AE11310">
        <v>0.57266919999999999</v>
      </c>
      <c r="AF11310">
        <v>103.6318</v>
      </c>
      <c r="AG11310">
        <f>IFERROR(AH11310*0.1, "N/A")</f>
        <v>6.4947640000000009</v>
      </c>
      <c r="AH11310">
        <v>64.947640000000007</v>
      </c>
      <c r="AI11310">
        <v>122.9586</v>
      </c>
      <c r="AJ11310">
        <v>13.02618</v>
      </c>
      <c r="AK11310">
        <v>75.026179999999997</v>
      </c>
    </row>
    <row r="11311" spans="1:37" x14ac:dyDescent="0.3">
      <c r="A11311">
        <v>11310</v>
      </c>
      <c r="B11311">
        <v>0</v>
      </c>
      <c r="C11311">
        <v>1.6571899999999999</v>
      </c>
      <c r="D11311">
        <v>6.8412699999999997</v>
      </c>
      <c r="E11311" t="s">
        <v>16817</v>
      </c>
      <c r="F11311" t="s">
        <v>16819</v>
      </c>
      <c r="G11311" t="s">
        <v>37</v>
      </c>
      <c r="H11311">
        <v>2000</v>
      </c>
      <c r="I11311">
        <v>27.073119999999999</v>
      </c>
      <c r="J11311">
        <v>9.8000000000000007</v>
      </c>
      <c r="K11311">
        <v>72.26876</v>
      </c>
      <c r="L11311">
        <v>12.099489999999999</v>
      </c>
      <c r="M11311">
        <v>34.773119999999999</v>
      </c>
      <c r="N11311">
        <v>21.326879999999999</v>
      </c>
      <c r="O11311">
        <v>13.446249999999999</v>
      </c>
      <c r="P11311">
        <v>27.2</v>
      </c>
      <c r="Q11311">
        <v>27.37312</v>
      </c>
      <c r="R11311">
        <v>28.573119999999999</v>
      </c>
      <c r="S11311">
        <v>25.4</v>
      </c>
      <c r="T11311">
        <v>1045.806</v>
      </c>
      <c r="U11311">
        <v>152</v>
      </c>
      <c r="V11311">
        <v>6</v>
      </c>
      <c r="W11311">
        <v>58</v>
      </c>
      <c r="X11311">
        <v>427.7312</v>
      </c>
      <c r="Y11311">
        <v>51</v>
      </c>
      <c r="Z11311">
        <v>255.2688</v>
      </c>
      <c r="AA11311">
        <v>320.80630000000002</v>
      </c>
      <c r="AB11311">
        <v>2.0132620000000001</v>
      </c>
      <c r="AC11311">
        <v>8.6525210000000005E-2</v>
      </c>
      <c r="AD11311">
        <v>1.28139</v>
      </c>
      <c r="AE11311">
        <v>0.57266919999999999</v>
      </c>
      <c r="AF11311">
        <v>103.6318</v>
      </c>
      <c r="AG11311">
        <f>IFERROR(AH11311*0.1, "N/A")</f>
        <v>6.4947640000000009</v>
      </c>
      <c r="AH11311">
        <v>64.947640000000007</v>
      </c>
      <c r="AI11311">
        <v>122.9586</v>
      </c>
      <c r="AJ11311">
        <v>13.02618</v>
      </c>
      <c r="AK11311">
        <v>75.026179999999997</v>
      </c>
    </row>
    <row r="11312" spans="1:37" x14ac:dyDescent="0.3">
      <c r="A11312">
        <v>11311</v>
      </c>
      <c r="B11312">
        <v>9.6</v>
      </c>
      <c r="C11312">
        <v>1.68333</v>
      </c>
      <c r="D11312">
        <v>6.9333299999999998</v>
      </c>
      <c r="E11312" t="s">
        <v>16820</v>
      </c>
      <c r="F11312" t="s">
        <v>16821</v>
      </c>
      <c r="G11312" t="s">
        <v>39</v>
      </c>
      <c r="H11312">
        <v>2000</v>
      </c>
      <c r="I11312">
        <v>26.992319999999999</v>
      </c>
      <c r="J11312">
        <v>9.9</v>
      </c>
      <c r="K11312">
        <v>72.406630000000007</v>
      </c>
      <c r="L11312">
        <v>12.317159999999999</v>
      </c>
      <c r="M11312">
        <v>34.76632</v>
      </c>
      <c r="N11312">
        <v>21.184989999999999</v>
      </c>
      <c r="O11312">
        <v>13.581329999999999</v>
      </c>
      <c r="P11312">
        <v>27.207329999999999</v>
      </c>
      <c r="Q11312">
        <v>27.30733</v>
      </c>
      <c r="R11312">
        <v>28.544329999999999</v>
      </c>
      <c r="S11312">
        <v>25.329319999999999</v>
      </c>
      <c r="T11312">
        <v>1065.82</v>
      </c>
      <c r="U11312">
        <v>152.55670000000001</v>
      </c>
      <c r="V11312">
        <v>6</v>
      </c>
      <c r="W11312">
        <v>58</v>
      </c>
      <c r="X11312">
        <v>419.74349999999998</v>
      </c>
      <c r="Y11312">
        <v>48.150089999999999</v>
      </c>
      <c r="Z11312">
        <v>260.74349999999998</v>
      </c>
      <c r="AA11312">
        <v>354.99650000000003</v>
      </c>
      <c r="AB11312">
        <v>7.329669</v>
      </c>
      <c r="AC11312">
        <v>0.33862179999999997</v>
      </c>
      <c r="AD11312">
        <v>2.2682280000000001</v>
      </c>
      <c r="AE11312">
        <v>0.65440600000000004</v>
      </c>
      <c r="AF11312">
        <v>123.014</v>
      </c>
      <c r="AG11312">
        <f>IFERROR(AH11312*0.1, "N/A")</f>
        <v>6.4</v>
      </c>
      <c r="AH11312">
        <v>64</v>
      </c>
      <c r="AI11312">
        <v>198.20609999999999</v>
      </c>
      <c r="AJ11312">
        <v>17.780100000000001</v>
      </c>
      <c r="AK11312">
        <v>66.439790000000002</v>
      </c>
    </row>
    <row r="11313" spans="1:37" x14ac:dyDescent="0.3">
      <c r="A11313">
        <v>11312</v>
      </c>
      <c r="B11313">
        <v>0</v>
      </c>
      <c r="C11313">
        <v>1.68333</v>
      </c>
      <c r="D11313">
        <v>6.9333299999999998</v>
      </c>
      <c r="E11313" t="s">
        <v>16820</v>
      </c>
      <c r="F11313" t="s">
        <v>16822</v>
      </c>
      <c r="G11313" t="s">
        <v>37</v>
      </c>
      <c r="H11313">
        <v>2000</v>
      </c>
      <c r="I11313">
        <v>26.992319999999999</v>
      </c>
      <c r="J11313">
        <v>9.9</v>
      </c>
      <c r="K11313">
        <v>72.406630000000007</v>
      </c>
      <c r="L11313">
        <v>12.317159999999999</v>
      </c>
      <c r="M11313">
        <v>34.76632</v>
      </c>
      <c r="N11313">
        <v>21.184989999999999</v>
      </c>
      <c r="O11313">
        <v>13.581329999999999</v>
      </c>
      <c r="P11313">
        <v>27.207329999999999</v>
      </c>
      <c r="Q11313">
        <v>27.30733</v>
      </c>
      <c r="R11313">
        <v>28.544329999999999</v>
      </c>
      <c r="S11313">
        <v>25.329319999999999</v>
      </c>
      <c r="T11313">
        <v>1065.82</v>
      </c>
      <c r="U11313">
        <v>152.55670000000001</v>
      </c>
      <c r="V11313">
        <v>6</v>
      </c>
      <c r="W11313">
        <v>58</v>
      </c>
      <c r="X11313">
        <v>419.74349999999998</v>
      </c>
      <c r="Y11313">
        <v>48.150089999999999</v>
      </c>
      <c r="Z11313">
        <v>260.74349999999998</v>
      </c>
      <c r="AA11313">
        <v>354.99650000000003</v>
      </c>
      <c r="AB11313">
        <v>7.329669</v>
      </c>
      <c r="AC11313">
        <v>0.33862179999999997</v>
      </c>
      <c r="AD11313">
        <v>2.2682280000000001</v>
      </c>
      <c r="AE11313">
        <v>0.65440600000000004</v>
      </c>
      <c r="AF11313">
        <v>123.014</v>
      </c>
      <c r="AG11313">
        <f>IFERROR(AH11313*0.1, "N/A")</f>
        <v>6.4</v>
      </c>
      <c r="AH11313">
        <v>64</v>
      </c>
      <c r="AI11313">
        <v>198.20609999999999</v>
      </c>
      <c r="AJ11313">
        <v>17.780100000000001</v>
      </c>
      <c r="AK11313">
        <v>66.439790000000002</v>
      </c>
    </row>
    <row r="11314" spans="1:37" x14ac:dyDescent="0.3">
      <c r="A11314">
        <v>11313</v>
      </c>
      <c r="B11314">
        <v>37</v>
      </c>
      <c r="C11314">
        <v>2.1511100000000001</v>
      </c>
      <c r="D11314">
        <v>6.4011100000000001</v>
      </c>
      <c r="E11314" t="s">
        <v>16823</v>
      </c>
      <c r="F11314" t="s">
        <v>16824</v>
      </c>
      <c r="G11314" t="s">
        <v>39</v>
      </c>
      <c r="H11314">
        <v>1990</v>
      </c>
      <c r="I11314">
        <v>27.4</v>
      </c>
      <c r="J11314">
        <v>7.2</v>
      </c>
      <c r="K11314">
        <v>70</v>
      </c>
      <c r="L11314">
        <v>11.69</v>
      </c>
      <c r="M11314">
        <v>32.9</v>
      </c>
      <c r="N11314">
        <v>22.7</v>
      </c>
      <c r="O11314">
        <v>10.199999999999999</v>
      </c>
      <c r="P11314">
        <v>27.7</v>
      </c>
      <c r="Q11314">
        <v>28.1</v>
      </c>
      <c r="R11314">
        <v>28.9</v>
      </c>
      <c r="S11314">
        <v>25.8</v>
      </c>
      <c r="T11314">
        <v>1116</v>
      </c>
      <c r="U11314">
        <v>284</v>
      </c>
      <c r="V11314">
        <v>10</v>
      </c>
      <c r="W11314">
        <v>81</v>
      </c>
      <c r="X11314">
        <v>585</v>
      </c>
      <c r="Y11314">
        <v>56</v>
      </c>
      <c r="Z11314">
        <v>222</v>
      </c>
      <c r="AA11314">
        <v>239</v>
      </c>
      <c r="AB11314">
        <v>7.3907350000000003</v>
      </c>
      <c r="AC11314">
        <v>2.6615719999999999E-2</v>
      </c>
      <c r="AD11314">
        <v>2.1119560000000002</v>
      </c>
      <c r="AE11314">
        <v>0.68184719999999999</v>
      </c>
      <c r="AF11314">
        <v>6.7902100000000001</v>
      </c>
      <c r="AG11314" t="str">
        <f>IFERROR(AH11314*0.1, "N/A")</f>
        <v>N/A</v>
      </c>
      <c r="AH11314" t="s">
        <v>729</v>
      </c>
      <c r="AI11314">
        <v>104.05670000000001</v>
      </c>
      <c r="AJ11314" t="s">
        <v>729</v>
      </c>
      <c r="AK11314" t="s">
        <v>729</v>
      </c>
    </row>
    <row r="11315" spans="1:37" x14ac:dyDescent="0.3">
      <c r="A11315">
        <v>11314</v>
      </c>
      <c r="B11315">
        <v>32.4</v>
      </c>
      <c r="C11315">
        <v>2.1511100000000001</v>
      </c>
      <c r="D11315">
        <v>6.4011100000000001</v>
      </c>
      <c r="E11315" t="s">
        <v>16823</v>
      </c>
      <c r="F11315" t="s">
        <v>16825</v>
      </c>
      <c r="G11315" t="s">
        <v>37</v>
      </c>
      <c r="H11315">
        <v>1990</v>
      </c>
      <c r="I11315">
        <v>27.4</v>
      </c>
      <c r="J11315">
        <v>7.2</v>
      </c>
      <c r="K11315">
        <v>70</v>
      </c>
      <c r="L11315">
        <v>11.69</v>
      </c>
      <c r="M11315">
        <v>32.9</v>
      </c>
      <c r="N11315">
        <v>22.7</v>
      </c>
      <c r="O11315">
        <v>10.199999999999999</v>
      </c>
      <c r="P11315">
        <v>27.7</v>
      </c>
      <c r="Q11315">
        <v>28.1</v>
      </c>
      <c r="R11315">
        <v>28.9</v>
      </c>
      <c r="S11315">
        <v>25.8</v>
      </c>
      <c r="T11315">
        <v>1116</v>
      </c>
      <c r="U11315">
        <v>284</v>
      </c>
      <c r="V11315">
        <v>10</v>
      </c>
      <c r="W11315">
        <v>81</v>
      </c>
      <c r="X11315">
        <v>585</v>
      </c>
      <c r="Y11315">
        <v>56</v>
      </c>
      <c r="Z11315">
        <v>222</v>
      </c>
      <c r="AA11315">
        <v>239</v>
      </c>
      <c r="AB11315">
        <v>7.3907350000000003</v>
      </c>
      <c r="AC11315">
        <v>2.6615719999999999E-2</v>
      </c>
      <c r="AD11315">
        <v>2.1119560000000002</v>
      </c>
      <c r="AE11315">
        <v>0.68184719999999999</v>
      </c>
      <c r="AF11315">
        <v>6.7902100000000001</v>
      </c>
      <c r="AG11315" t="str">
        <f>IFERROR(AH11315*0.1, "N/A")</f>
        <v>N/A</v>
      </c>
      <c r="AH11315" t="s">
        <v>729</v>
      </c>
      <c r="AI11315">
        <v>104.05670000000001</v>
      </c>
      <c r="AJ11315" t="s">
        <v>729</v>
      </c>
      <c r="AK11315" t="s">
        <v>729</v>
      </c>
    </row>
    <row r="11316" spans="1:37" x14ac:dyDescent="0.3">
      <c r="A11316">
        <v>11315</v>
      </c>
      <c r="B11316">
        <v>42.9</v>
      </c>
      <c r="C11316">
        <v>2.1377799999999998</v>
      </c>
      <c r="D11316">
        <v>6.4097200000000001</v>
      </c>
      <c r="E11316" t="s">
        <v>16826</v>
      </c>
      <c r="F11316" t="s">
        <v>16827</v>
      </c>
      <c r="G11316" t="s">
        <v>39</v>
      </c>
      <c r="H11316">
        <v>1990</v>
      </c>
      <c r="I11316">
        <v>27.4</v>
      </c>
      <c r="J11316">
        <v>7.3</v>
      </c>
      <c r="K11316">
        <v>71</v>
      </c>
      <c r="L11316">
        <v>11.33</v>
      </c>
      <c r="M11316">
        <v>32.9</v>
      </c>
      <c r="N11316">
        <v>22.7</v>
      </c>
      <c r="O11316">
        <v>10.199999999999999</v>
      </c>
      <c r="P11316">
        <v>27.7</v>
      </c>
      <c r="Q11316">
        <v>28.1</v>
      </c>
      <c r="R11316">
        <v>28.8</v>
      </c>
      <c r="S11316">
        <v>25.9</v>
      </c>
      <c r="T11316">
        <v>1107</v>
      </c>
      <c r="U11316">
        <v>279</v>
      </c>
      <c r="V11316">
        <v>10</v>
      </c>
      <c r="W11316">
        <v>81</v>
      </c>
      <c r="X11316">
        <v>578</v>
      </c>
      <c r="Y11316">
        <v>56</v>
      </c>
      <c r="Z11316">
        <v>221</v>
      </c>
      <c r="AA11316">
        <v>238</v>
      </c>
      <c r="AB11316">
        <v>11.959759999999999</v>
      </c>
      <c r="AC11316">
        <v>2.0306310000000001E-2</v>
      </c>
      <c r="AD11316">
        <v>2.7819859999999998</v>
      </c>
      <c r="AE11316">
        <v>0.60160499999999995</v>
      </c>
      <c r="AF11316">
        <v>13.747389999999999</v>
      </c>
      <c r="AG11316">
        <f>IFERROR(AH11316*0.1, "N/A")</f>
        <v>5.3428570000000004</v>
      </c>
      <c r="AH11316">
        <v>53.428570000000001</v>
      </c>
      <c r="AI11316">
        <v>181.84309999999999</v>
      </c>
      <c r="AJ11316">
        <v>19.853660000000001</v>
      </c>
      <c r="AK11316">
        <v>64.91986</v>
      </c>
    </row>
    <row r="11317" spans="1:37" x14ac:dyDescent="0.3">
      <c r="A11317">
        <v>11316</v>
      </c>
      <c r="B11317">
        <v>29.5</v>
      </c>
      <c r="C11317">
        <v>2.1377799999999998</v>
      </c>
      <c r="D11317">
        <v>6.4097200000000001</v>
      </c>
      <c r="E11317" t="s">
        <v>16826</v>
      </c>
      <c r="F11317" t="s">
        <v>16828</v>
      </c>
      <c r="G11317" t="s">
        <v>37</v>
      </c>
      <c r="H11317">
        <v>1990</v>
      </c>
      <c r="I11317">
        <v>27.4</v>
      </c>
      <c r="J11317">
        <v>7.3</v>
      </c>
      <c r="K11317">
        <v>71</v>
      </c>
      <c r="L11317">
        <v>11.33</v>
      </c>
      <c r="M11317">
        <v>32.9</v>
      </c>
      <c r="N11317">
        <v>22.7</v>
      </c>
      <c r="O11317">
        <v>10.199999999999999</v>
      </c>
      <c r="P11317">
        <v>27.7</v>
      </c>
      <c r="Q11317">
        <v>28.1</v>
      </c>
      <c r="R11317">
        <v>28.8</v>
      </c>
      <c r="S11317">
        <v>25.9</v>
      </c>
      <c r="T11317">
        <v>1107</v>
      </c>
      <c r="U11317">
        <v>279</v>
      </c>
      <c r="V11317">
        <v>10</v>
      </c>
      <c r="W11317">
        <v>81</v>
      </c>
      <c r="X11317">
        <v>578</v>
      </c>
      <c r="Y11317">
        <v>56</v>
      </c>
      <c r="Z11317">
        <v>221</v>
      </c>
      <c r="AA11317">
        <v>238</v>
      </c>
      <c r="AB11317">
        <v>11.959759999999999</v>
      </c>
      <c r="AC11317">
        <v>2.0306310000000001E-2</v>
      </c>
      <c r="AD11317">
        <v>2.7819859999999998</v>
      </c>
      <c r="AE11317">
        <v>0.60160499999999995</v>
      </c>
      <c r="AF11317">
        <v>13.747389999999999</v>
      </c>
      <c r="AG11317">
        <f>IFERROR(AH11317*0.1, "N/A")</f>
        <v>5.3428570000000004</v>
      </c>
      <c r="AH11317">
        <v>53.428570000000001</v>
      </c>
      <c r="AI11317">
        <v>181.84309999999999</v>
      </c>
      <c r="AJ11317">
        <v>19.853660000000001</v>
      </c>
      <c r="AK11317">
        <v>64.91986</v>
      </c>
    </row>
    <row r="11318" spans="1:37" x14ac:dyDescent="0.3">
      <c r="A11318">
        <v>11317</v>
      </c>
      <c r="B11318">
        <v>6.5</v>
      </c>
      <c r="C11318">
        <v>2.1202000000000001</v>
      </c>
      <c r="D11318">
        <v>6.4177799999999996</v>
      </c>
      <c r="E11318" t="s">
        <v>16829</v>
      </c>
      <c r="F11318" t="s">
        <v>16830</v>
      </c>
      <c r="G11318" t="s">
        <v>39</v>
      </c>
      <c r="H11318">
        <v>1990</v>
      </c>
      <c r="I11318">
        <v>27.5</v>
      </c>
      <c r="J11318">
        <v>7.3</v>
      </c>
      <c r="K11318">
        <v>70</v>
      </c>
      <c r="L11318">
        <v>11.26</v>
      </c>
      <c r="M11318">
        <v>33</v>
      </c>
      <c r="N11318">
        <v>22.7</v>
      </c>
      <c r="O11318">
        <v>10.3</v>
      </c>
      <c r="P11318">
        <v>27.7</v>
      </c>
      <c r="Q11318">
        <v>28.1</v>
      </c>
      <c r="R11318">
        <v>28.9</v>
      </c>
      <c r="S11318">
        <v>25.9</v>
      </c>
      <c r="T11318">
        <v>1099</v>
      </c>
      <c r="U11318">
        <v>274</v>
      </c>
      <c r="V11318">
        <v>10</v>
      </c>
      <c r="W11318">
        <v>80</v>
      </c>
      <c r="X11318">
        <v>571</v>
      </c>
      <c r="Y11318">
        <v>56</v>
      </c>
      <c r="Z11318">
        <v>220</v>
      </c>
      <c r="AA11318">
        <v>237</v>
      </c>
      <c r="AB11318">
        <v>15.642160000000001</v>
      </c>
      <c r="AC11318">
        <v>2.393205E-2</v>
      </c>
      <c r="AD11318">
        <v>2.9880019999999998</v>
      </c>
      <c r="AE11318">
        <v>0.64412950000000002</v>
      </c>
      <c r="AF11318">
        <v>17.696860000000001</v>
      </c>
      <c r="AG11318">
        <f>IFERROR(AH11318*0.1, "N/A")</f>
        <v>5.400697000000001</v>
      </c>
      <c r="AH11318">
        <v>54.006970000000003</v>
      </c>
      <c r="AI11318">
        <v>142.5437</v>
      </c>
      <c r="AJ11318">
        <v>20.658539999999999</v>
      </c>
      <c r="AK11318">
        <v>65.331010000000006</v>
      </c>
    </row>
    <row r="11319" spans="1:37" x14ac:dyDescent="0.3">
      <c r="A11319">
        <v>11318</v>
      </c>
      <c r="B11319">
        <v>4</v>
      </c>
      <c r="C11319">
        <v>2.1202000000000001</v>
      </c>
      <c r="D11319">
        <v>6.4177799999999996</v>
      </c>
      <c r="E11319" t="s">
        <v>16829</v>
      </c>
      <c r="F11319" t="s">
        <v>16831</v>
      </c>
      <c r="G11319" t="s">
        <v>37</v>
      </c>
      <c r="H11319">
        <v>1990</v>
      </c>
      <c r="I11319">
        <v>27.5</v>
      </c>
      <c r="J11319">
        <v>7.3</v>
      </c>
      <c r="K11319">
        <v>70</v>
      </c>
      <c r="L11319">
        <v>11.26</v>
      </c>
      <c r="M11319">
        <v>33</v>
      </c>
      <c r="N11319">
        <v>22.7</v>
      </c>
      <c r="O11319">
        <v>10.3</v>
      </c>
      <c r="P11319">
        <v>27.7</v>
      </c>
      <c r="Q11319">
        <v>28.1</v>
      </c>
      <c r="R11319">
        <v>28.9</v>
      </c>
      <c r="S11319">
        <v>25.9</v>
      </c>
      <c r="T11319">
        <v>1099</v>
      </c>
      <c r="U11319">
        <v>274</v>
      </c>
      <c r="V11319">
        <v>10</v>
      </c>
      <c r="W11319">
        <v>80</v>
      </c>
      <c r="X11319">
        <v>571</v>
      </c>
      <c r="Y11319">
        <v>56</v>
      </c>
      <c r="Z11319">
        <v>220</v>
      </c>
      <c r="AA11319">
        <v>237</v>
      </c>
      <c r="AB11319">
        <v>15.642160000000001</v>
      </c>
      <c r="AC11319">
        <v>2.393205E-2</v>
      </c>
      <c r="AD11319">
        <v>2.9880019999999998</v>
      </c>
      <c r="AE11319">
        <v>0.64412950000000002</v>
      </c>
      <c r="AF11319">
        <v>17.696860000000001</v>
      </c>
      <c r="AG11319">
        <f>IFERROR(AH11319*0.1, "N/A")</f>
        <v>5.400697000000001</v>
      </c>
      <c r="AH11319">
        <v>54.006970000000003</v>
      </c>
      <c r="AI11319">
        <v>142.5437</v>
      </c>
      <c r="AJ11319">
        <v>20.658539999999999</v>
      </c>
      <c r="AK11319">
        <v>65.331010000000006</v>
      </c>
    </row>
    <row r="11320" spans="1:37" x14ac:dyDescent="0.3">
      <c r="A11320">
        <v>11319</v>
      </c>
      <c r="B11320">
        <v>9.6</v>
      </c>
      <c r="C11320">
        <v>2.17639</v>
      </c>
      <c r="D11320">
        <v>6.3941699999999999</v>
      </c>
      <c r="E11320" t="s">
        <v>16832</v>
      </c>
      <c r="F11320" t="s">
        <v>16833</v>
      </c>
      <c r="G11320" t="s">
        <v>39</v>
      </c>
      <c r="H11320">
        <v>1990</v>
      </c>
      <c r="I11320">
        <v>27.4</v>
      </c>
      <c r="J11320">
        <v>7.1</v>
      </c>
      <c r="K11320">
        <v>71</v>
      </c>
      <c r="L11320">
        <v>11.28</v>
      </c>
      <c r="M11320">
        <v>32.799999999999997</v>
      </c>
      <c r="N11320">
        <v>22.8</v>
      </c>
      <c r="O11320">
        <v>10</v>
      </c>
      <c r="P11320">
        <v>27.6</v>
      </c>
      <c r="Q11320">
        <v>28.1</v>
      </c>
      <c r="R11320">
        <v>28.8</v>
      </c>
      <c r="S11320">
        <v>25.9</v>
      </c>
      <c r="T11320">
        <v>1133</v>
      </c>
      <c r="U11320">
        <v>289</v>
      </c>
      <c r="V11320">
        <v>11</v>
      </c>
      <c r="W11320">
        <v>81</v>
      </c>
      <c r="X11320">
        <v>593</v>
      </c>
      <c r="Y11320">
        <v>58</v>
      </c>
      <c r="Z11320">
        <v>224</v>
      </c>
      <c r="AA11320">
        <v>243</v>
      </c>
      <c r="AB11320">
        <v>6.1761739999999996</v>
      </c>
      <c r="AC11320">
        <v>3.3923920000000003E-2</v>
      </c>
      <c r="AD11320">
        <v>1.104031</v>
      </c>
      <c r="AE11320">
        <v>0.52851749999999997</v>
      </c>
      <c r="AF11320">
        <v>6.8817389999999996</v>
      </c>
      <c r="AG11320">
        <f>IFERROR(AH11320*0.1, "N/A")</f>
        <v>5.7</v>
      </c>
      <c r="AH11320">
        <v>57</v>
      </c>
      <c r="AI11320">
        <v>112.8432</v>
      </c>
      <c r="AJ11320">
        <v>29</v>
      </c>
      <c r="AK11320">
        <v>55</v>
      </c>
    </row>
    <row r="11321" spans="1:37" x14ac:dyDescent="0.3">
      <c r="A11321">
        <v>11320</v>
      </c>
      <c r="B11321">
        <v>5.0999999999999996</v>
      </c>
      <c r="C11321">
        <v>2.17639</v>
      </c>
      <c r="D11321">
        <v>6.3941699999999999</v>
      </c>
      <c r="E11321" t="s">
        <v>16832</v>
      </c>
      <c r="F11321" t="s">
        <v>16834</v>
      </c>
      <c r="G11321" t="s">
        <v>37</v>
      </c>
      <c r="H11321">
        <v>1990</v>
      </c>
      <c r="I11321">
        <v>27.4</v>
      </c>
      <c r="J11321">
        <v>7.1</v>
      </c>
      <c r="K11321">
        <v>71</v>
      </c>
      <c r="L11321">
        <v>11.28</v>
      </c>
      <c r="M11321">
        <v>32.799999999999997</v>
      </c>
      <c r="N11321">
        <v>22.8</v>
      </c>
      <c r="O11321">
        <v>10</v>
      </c>
      <c r="P11321">
        <v>27.6</v>
      </c>
      <c r="Q11321">
        <v>28.1</v>
      </c>
      <c r="R11321">
        <v>28.8</v>
      </c>
      <c r="S11321">
        <v>25.9</v>
      </c>
      <c r="T11321">
        <v>1133</v>
      </c>
      <c r="U11321">
        <v>289</v>
      </c>
      <c r="V11321">
        <v>11</v>
      </c>
      <c r="W11321">
        <v>81</v>
      </c>
      <c r="X11321">
        <v>593</v>
      </c>
      <c r="Y11321">
        <v>58</v>
      </c>
      <c r="Z11321">
        <v>224</v>
      </c>
      <c r="AA11321">
        <v>243</v>
      </c>
      <c r="AB11321">
        <v>6.1761739999999996</v>
      </c>
      <c r="AC11321">
        <v>3.3923920000000003E-2</v>
      </c>
      <c r="AD11321">
        <v>1.104031</v>
      </c>
      <c r="AE11321">
        <v>0.52851749999999997</v>
      </c>
      <c r="AF11321">
        <v>6.8817389999999996</v>
      </c>
      <c r="AG11321">
        <f>IFERROR(AH11321*0.1, "N/A")</f>
        <v>5.7</v>
      </c>
      <c r="AH11321">
        <v>57</v>
      </c>
      <c r="AI11321">
        <v>112.8432</v>
      </c>
      <c r="AJ11321">
        <v>29</v>
      </c>
      <c r="AK11321">
        <v>55</v>
      </c>
    </row>
    <row r="11322" spans="1:37" x14ac:dyDescent="0.3">
      <c r="A11322">
        <v>11321</v>
      </c>
      <c r="B11322">
        <v>36.1</v>
      </c>
      <c r="C11322">
        <v>2.1936100000000001</v>
      </c>
      <c r="D11322">
        <v>6.4105600000000003</v>
      </c>
      <c r="E11322" t="s">
        <v>16835</v>
      </c>
      <c r="F11322" t="s">
        <v>16836</v>
      </c>
      <c r="G11322" t="s">
        <v>39</v>
      </c>
      <c r="H11322">
        <v>1990</v>
      </c>
      <c r="I11322">
        <v>27.3</v>
      </c>
      <c r="J11322">
        <v>7.1</v>
      </c>
      <c r="K11322">
        <v>71</v>
      </c>
      <c r="L11322">
        <v>11.21</v>
      </c>
      <c r="M11322">
        <v>32.700000000000003</v>
      </c>
      <c r="N11322">
        <v>22.7</v>
      </c>
      <c r="O11322">
        <v>10</v>
      </c>
      <c r="P11322">
        <v>27.5</v>
      </c>
      <c r="Q11322">
        <v>27.9</v>
      </c>
      <c r="R11322">
        <v>28.7</v>
      </c>
      <c r="S11322">
        <v>25.8</v>
      </c>
      <c r="T11322">
        <v>1132</v>
      </c>
      <c r="U11322">
        <v>287</v>
      </c>
      <c r="V11322">
        <v>11</v>
      </c>
      <c r="W11322">
        <v>81</v>
      </c>
      <c r="X11322">
        <v>589</v>
      </c>
      <c r="Y11322">
        <v>58</v>
      </c>
      <c r="Z11322">
        <v>224</v>
      </c>
      <c r="AA11322">
        <v>245</v>
      </c>
      <c r="AB11322">
        <v>12.02313</v>
      </c>
      <c r="AC11322">
        <v>1.2263019999999999E-2</v>
      </c>
      <c r="AD11322">
        <v>0.9085607</v>
      </c>
      <c r="AE11322">
        <v>0.73098399999999997</v>
      </c>
      <c r="AF11322">
        <v>15.073040000000001</v>
      </c>
      <c r="AG11322">
        <f>IFERROR(AH11322*0.1, "N/A")</f>
        <v>5.2200000000000006</v>
      </c>
      <c r="AH11322">
        <v>52.2</v>
      </c>
      <c r="AI11322">
        <v>86.394509999999997</v>
      </c>
      <c r="AJ11322">
        <v>22.514779999999998</v>
      </c>
      <c r="AK11322">
        <v>63.993040000000001</v>
      </c>
    </row>
    <row r="11323" spans="1:37" x14ac:dyDescent="0.3">
      <c r="A11323">
        <v>11322</v>
      </c>
      <c r="B11323">
        <v>20</v>
      </c>
      <c r="C11323">
        <v>2.1936100000000001</v>
      </c>
      <c r="D11323">
        <v>6.4105600000000003</v>
      </c>
      <c r="E11323" t="s">
        <v>16835</v>
      </c>
      <c r="F11323" t="s">
        <v>16837</v>
      </c>
      <c r="G11323" t="s">
        <v>37</v>
      </c>
      <c r="H11323">
        <v>1990</v>
      </c>
      <c r="I11323">
        <v>27.3</v>
      </c>
      <c r="J11323">
        <v>7.1</v>
      </c>
      <c r="K11323">
        <v>71</v>
      </c>
      <c r="L11323">
        <v>11.21</v>
      </c>
      <c r="M11323">
        <v>32.700000000000003</v>
      </c>
      <c r="N11323">
        <v>22.7</v>
      </c>
      <c r="O11323">
        <v>10</v>
      </c>
      <c r="P11323">
        <v>27.5</v>
      </c>
      <c r="Q11323">
        <v>27.9</v>
      </c>
      <c r="R11323">
        <v>28.7</v>
      </c>
      <c r="S11323">
        <v>25.8</v>
      </c>
      <c r="T11323">
        <v>1132</v>
      </c>
      <c r="U11323">
        <v>287</v>
      </c>
      <c r="V11323">
        <v>11</v>
      </c>
      <c r="W11323">
        <v>81</v>
      </c>
      <c r="X11323">
        <v>589</v>
      </c>
      <c r="Y11323">
        <v>58</v>
      </c>
      <c r="Z11323">
        <v>224</v>
      </c>
      <c r="AA11323">
        <v>245</v>
      </c>
      <c r="AB11323">
        <v>12.02313</v>
      </c>
      <c r="AC11323">
        <v>1.2263019999999999E-2</v>
      </c>
      <c r="AD11323">
        <v>0.9085607</v>
      </c>
      <c r="AE11323">
        <v>0.73098399999999997</v>
      </c>
      <c r="AF11323">
        <v>15.073040000000001</v>
      </c>
      <c r="AG11323">
        <f>IFERROR(AH11323*0.1, "N/A")</f>
        <v>5.2200000000000006</v>
      </c>
      <c r="AH11323">
        <v>52.2</v>
      </c>
      <c r="AI11323">
        <v>86.394509999999997</v>
      </c>
      <c r="AJ11323">
        <v>22.514779999999998</v>
      </c>
      <c r="AK11323">
        <v>63.993040000000001</v>
      </c>
    </row>
    <row r="11324" spans="1:37" x14ac:dyDescent="0.3">
      <c r="A11324">
        <v>11323</v>
      </c>
      <c r="B11324">
        <v>28.1</v>
      </c>
      <c r="C11324">
        <v>1.38862</v>
      </c>
      <c r="D11324">
        <v>10.312900000000001</v>
      </c>
      <c r="E11324" t="s">
        <v>16838</v>
      </c>
      <c r="F11324" t="s">
        <v>16839</v>
      </c>
      <c r="G11324" t="s">
        <v>37</v>
      </c>
      <c r="H11324">
        <v>0</v>
      </c>
      <c r="I11324">
        <v>26.8</v>
      </c>
      <c r="J11324">
        <v>12.8</v>
      </c>
      <c r="K11324">
        <v>65</v>
      </c>
      <c r="L11324">
        <v>16.649999999999999</v>
      </c>
      <c r="M11324">
        <v>37.299999999999997</v>
      </c>
      <c r="N11324">
        <v>17.8</v>
      </c>
      <c r="O11324">
        <v>19.5</v>
      </c>
      <c r="P11324">
        <v>24.9</v>
      </c>
      <c r="Q11324">
        <v>27.1</v>
      </c>
      <c r="R11324">
        <v>29.3</v>
      </c>
      <c r="S11324">
        <v>24.9</v>
      </c>
      <c r="T11324">
        <v>1206</v>
      </c>
      <c r="U11324">
        <v>260</v>
      </c>
      <c r="V11324">
        <v>1</v>
      </c>
      <c r="W11324">
        <v>94</v>
      </c>
      <c r="X11324">
        <v>730</v>
      </c>
      <c r="Y11324">
        <v>7</v>
      </c>
      <c r="Z11324">
        <v>107</v>
      </c>
      <c r="AA11324">
        <v>730</v>
      </c>
      <c r="AB11324">
        <v>0.1227197</v>
      </c>
      <c r="AC11324">
        <v>5.273155</v>
      </c>
      <c r="AD11324">
        <v>2.3446500000000001</v>
      </c>
      <c r="AE11324">
        <v>0.64406229999999998</v>
      </c>
      <c r="AF11324">
        <v>421.91910000000001</v>
      </c>
      <c r="AG11324">
        <f>IFERROR(AH11324*0.1, "N/A")</f>
        <v>5.702065000000001</v>
      </c>
      <c r="AH11324">
        <v>57.020650000000003</v>
      </c>
      <c r="AI11324">
        <v>154.74789999999999</v>
      </c>
      <c r="AJ11324">
        <v>17.08606</v>
      </c>
      <c r="AK11324">
        <v>63.934600000000003</v>
      </c>
    </row>
    <row r="11325" spans="1:37" x14ac:dyDescent="0.3">
      <c r="A11325">
        <v>11324</v>
      </c>
      <c r="B11325">
        <v>29.8</v>
      </c>
      <c r="C11325">
        <v>1.09694</v>
      </c>
      <c r="D11325">
        <v>10.303100000000001</v>
      </c>
      <c r="E11325" t="s">
        <v>16840</v>
      </c>
      <c r="F11325" t="s">
        <v>16841</v>
      </c>
      <c r="G11325" t="s">
        <v>37</v>
      </c>
      <c r="H11325">
        <v>0</v>
      </c>
      <c r="I11325">
        <v>28</v>
      </c>
      <c r="J11325">
        <v>12.9</v>
      </c>
      <c r="K11325">
        <v>67</v>
      </c>
      <c r="L11325">
        <v>17.04</v>
      </c>
      <c r="M11325">
        <v>38.299999999999997</v>
      </c>
      <c r="N11325">
        <v>19.3</v>
      </c>
      <c r="O11325">
        <v>19</v>
      </c>
      <c r="P11325">
        <v>25.9</v>
      </c>
      <c r="Q11325">
        <v>28.4</v>
      </c>
      <c r="R11325">
        <v>30.5</v>
      </c>
      <c r="S11325">
        <v>25.9</v>
      </c>
      <c r="T11325">
        <v>1082</v>
      </c>
      <c r="U11325">
        <v>237</v>
      </c>
      <c r="V11325">
        <v>1</v>
      </c>
      <c r="W11325">
        <v>94</v>
      </c>
      <c r="X11325">
        <v>659</v>
      </c>
      <c r="Y11325">
        <v>8</v>
      </c>
      <c r="Z11325">
        <v>86</v>
      </c>
      <c r="AA11325">
        <v>659</v>
      </c>
      <c r="AB11325">
        <v>17.73424</v>
      </c>
      <c r="AC11325">
        <v>8.5711820000000001E-3</v>
      </c>
      <c r="AD11325">
        <v>1.0216209999999999</v>
      </c>
      <c r="AE11325">
        <v>0.70185489999999995</v>
      </c>
      <c r="AF11325">
        <v>232.1781</v>
      </c>
      <c r="AG11325">
        <f>IFERROR(AH11325*0.1, "N/A")</f>
        <v>5.92089</v>
      </c>
      <c r="AH11325">
        <v>59.2089</v>
      </c>
      <c r="AI11325">
        <v>280.46480000000003</v>
      </c>
      <c r="AJ11325">
        <v>13.10445</v>
      </c>
      <c r="AK11325">
        <v>69.89555</v>
      </c>
    </row>
    <row r="11326" spans="1:37" x14ac:dyDescent="0.3">
      <c r="A11326">
        <v>11325</v>
      </c>
      <c r="B11326">
        <v>0</v>
      </c>
      <c r="C11326">
        <v>1.3317000000000001</v>
      </c>
      <c r="D11326">
        <v>10.3703</v>
      </c>
      <c r="E11326" t="s">
        <v>16842</v>
      </c>
      <c r="F11326" t="s">
        <v>16843</v>
      </c>
      <c r="G11326" t="s">
        <v>37</v>
      </c>
      <c r="H11326">
        <v>0</v>
      </c>
      <c r="I11326">
        <v>27</v>
      </c>
      <c r="J11326">
        <v>12.8</v>
      </c>
      <c r="K11326">
        <v>65</v>
      </c>
      <c r="L11326">
        <v>16.809999999999999</v>
      </c>
      <c r="M11326">
        <v>37.5</v>
      </c>
      <c r="N11326">
        <v>18</v>
      </c>
      <c r="O11326">
        <v>19.5</v>
      </c>
      <c r="P11326">
        <v>25</v>
      </c>
      <c r="Q11326">
        <v>27.3</v>
      </c>
      <c r="R11326">
        <v>29.5</v>
      </c>
      <c r="S11326">
        <v>25</v>
      </c>
      <c r="T11326">
        <v>1173</v>
      </c>
      <c r="U11326">
        <v>255</v>
      </c>
      <c r="V11326">
        <v>1</v>
      </c>
      <c r="W11326">
        <v>95</v>
      </c>
      <c r="X11326">
        <v>712</v>
      </c>
      <c r="Y11326">
        <v>7</v>
      </c>
      <c r="Z11326">
        <v>101</v>
      </c>
      <c r="AA11326">
        <v>712</v>
      </c>
      <c r="AB11326">
        <v>8.8937880000000007</v>
      </c>
      <c r="AC11326">
        <v>2.3159180000000001E-2</v>
      </c>
      <c r="AD11326">
        <v>1.017717</v>
      </c>
      <c r="AE11326">
        <v>0.30821520000000002</v>
      </c>
      <c r="AF11326">
        <v>424.77929999999998</v>
      </c>
      <c r="AG11326">
        <f>IFERROR(AH11326*0.1, "N/A")</f>
        <v>5.7558620000000005</v>
      </c>
      <c r="AH11326">
        <v>57.558619999999998</v>
      </c>
      <c r="AI11326">
        <v>31.955259999999999</v>
      </c>
      <c r="AJ11326">
        <v>18.515519999999999</v>
      </c>
      <c r="AK11326">
        <v>64.637929999999997</v>
      </c>
    </row>
    <row r="11327" spans="1:37" x14ac:dyDescent="0.3">
      <c r="A11327">
        <v>11326</v>
      </c>
      <c r="B11327">
        <v>0</v>
      </c>
      <c r="C11327">
        <v>1.35324</v>
      </c>
      <c r="D11327">
        <v>10.3588</v>
      </c>
      <c r="E11327" t="s">
        <v>16844</v>
      </c>
      <c r="F11327" t="s">
        <v>16845</v>
      </c>
      <c r="G11327" t="s">
        <v>37</v>
      </c>
      <c r="H11327">
        <v>0</v>
      </c>
      <c r="I11327">
        <v>26.9</v>
      </c>
      <c r="J11327">
        <v>12.8</v>
      </c>
      <c r="K11327">
        <v>65</v>
      </c>
      <c r="L11327">
        <v>16.634340000000002</v>
      </c>
      <c r="M11327">
        <v>37.4</v>
      </c>
      <c r="N11327">
        <v>17.877870000000001</v>
      </c>
      <c r="O11327">
        <v>19.522130000000001</v>
      </c>
      <c r="P11327">
        <v>24.922129999999999</v>
      </c>
      <c r="Q11327">
        <v>27.2</v>
      </c>
      <c r="R11327">
        <v>29.4</v>
      </c>
      <c r="S11327">
        <v>24.922129999999999</v>
      </c>
      <c r="T11327">
        <v>1182.77</v>
      </c>
      <c r="U11327">
        <v>257.22129999999999</v>
      </c>
      <c r="V11327">
        <v>1</v>
      </c>
      <c r="W11327">
        <v>94.778729999999996</v>
      </c>
      <c r="X11327">
        <v>718.66380000000004</v>
      </c>
      <c r="Y11327">
        <v>7</v>
      </c>
      <c r="Z11327">
        <v>102.4425</v>
      </c>
      <c r="AA11327">
        <v>718.66380000000004</v>
      </c>
      <c r="AB11327">
        <v>14.88266</v>
      </c>
      <c r="AC11327">
        <v>9.0749290000000007E-3</v>
      </c>
      <c r="AD11327">
        <v>1.246875</v>
      </c>
      <c r="AE11327">
        <v>0.45418170000000002</v>
      </c>
      <c r="AF11327">
        <v>445.20069999999998</v>
      </c>
      <c r="AG11327">
        <f>IFERROR(AH11327*0.1, "N/A")</f>
        <v>5.879760000000001</v>
      </c>
      <c r="AH11327">
        <v>58.797600000000003</v>
      </c>
      <c r="AI11327">
        <v>188.6583</v>
      </c>
      <c r="AJ11327">
        <v>20.10463</v>
      </c>
      <c r="AK11327">
        <v>60.10463</v>
      </c>
    </row>
    <row r="11328" spans="1:37" x14ac:dyDescent="0.3">
      <c r="A11328">
        <v>11327</v>
      </c>
      <c r="B11328">
        <v>31</v>
      </c>
      <c r="C11328">
        <v>1.39053</v>
      </c>
      <c r="D11328">
        <v>10.242800000000001</v>
      </c>
      <c r="E11328" t="s">
        <v>16846</v>
      </c>
      <c r="F11328" t="s">
        <v>16847</v>
      </c>
      <c r="G11328" t="s">
        <v>37</v>
      </c>
      <c r="H11328">
        <v>0</v>
      </c>
      <c r="I11328">
        <v>27.3</v>
      </c>
      <c r="J11328">
        <v>12.8</v>
      </c>
      <c r="K11328">
        <v>66</v>
      </c>
      <c r="L11328">
        <v>16.48</v>
      </c>
      <c r="M11328">
        <v>37.6</v>
      </c>
      <c r="N11328">
        <v>18.399999999999999</v>
      </c>
      <c r="O11328">
        <v>19.2</v>
      </c>
      <c r="P11328">
        <v>25.2</v>
      </c>
      <c r="Q11328">
        <v>27.6</v>
      </c>
      <c r="R11328">
        <v>29.6</v>
      </c>
      <c r="S11328">
        <v>25.2</v>
      </c>
      <c r="T11328">
        <v>1155</v>
      </c>
      <c r="U11328">
        <v>251</v>
      </c>
      <c r="V11328">
        <v>1</v>
      </c>
      <c r="W11328">
        <v>95</v>
      </c>
      <c r="X11328">
        <v>708</v>
      </c>
      <c r="Y11328">
        <v>6</v>
      </c>
      <c r="Z11328">
        <v>97</v>
      </c>
      <c r="AA11328">
        <v>708</v>
      </c>
      <c r="AB11328">
        <v>11.95265</v>
      </c>
      <c r="AC11328">
        <v>1.727602E-2</v>
      </c>
      <c r="AD11328">
        <v>2.7435260000000001</v>
      </c>
      <c r="AE11328">
        <v>0.48262359999999999</v>
      </c>
      <c r="AF11328">
        <v>364.69299999999998</v>
      </c>
      <c r="AG11328">
        <f>IFERROR(AH11328*0.1, "N/A")</f>
        <v>5.8631220000000006</v>
      </c>
      <c r="AH11328">
        <v>58.631219999999999</v>
      </c>
      <c r="AI11328">
        <v>265.20519999999999</v>
      </c>
      <c r="AJ11328">
        <v>18.313890000000001</v>
      </c>
      <c r="AK11328">
        <v>62.372210000000003</v>
      </c>
    </row>
    <row r="11329" spans="1:37" x14ac:dyDescent="0.3">
      <c r="A11329">
        <v>11328</v>
      </c>
      <c r="B11329">
        <v>10.6</v>
      </c>
      <c r="C11329">
        <v>1.3755599999999999</v>
      </c>
      <c r="D11329">
        <v>10.4986</v>
      </c>
      <c r="E11329" t="s">
        <v>16848</v>
      </c>
      <c r="F11329" t="s">
        <v>16849</v>
      </c>
      <c r="G11329" t="s">
        <v>37</v>
      </c>
      <c r="H11329">
        <v>0</v>
      </c>
      <c r="I11329">
        <v>27.1</v>
      </c>
      <c r="J11329">
        <v>12.9</v>
      </c>
      <c r="K11329">
        <v>66</v>
      </c>
      <c r="L11329">
        <v>16.789059999999999</v>
      </c>
      <c r="M11329">
        <v>37.571620000000003</v>
      </c>
      <c r="N11329">
        <v>18.100000000000001</v>
      </c>
      <c r="O11329">
        <v>19.471620000000001</v>
      </c>
      <c r="P11329">
        <v>25.028379999999999</v>
      </c>
      <c r="Q11329">
        <v>27.4</v>
      </c>
      <c r="R11329">
        <v>29.5</v>
      </c>
      <c r="S11329">
        <v>25.028379999999999</v>
      </c>
      <c r="T11329">
        <v>1127.568</v>
      </c>
      <c r="U11329">
        <v>248</v>
      </c>
      <c r="V11329">
        <v>0</v>
      </c>
      <c r="W11329">
        <v>96.716239999999999</v>
      </c>
      <c r="X11329">
        <v>692.28380000000004</v>
      </c>
      <c r="Y11329">
        <v>6</v>
      </c>
      <c r="Z11329">
        <v>91.283760000000001</v>
      </c>
      <c r="AA11329">
        <v>692.28380000000004</v>
      </c>
      <c r="AB11329">
        <v>15.020009999999999</v>
      </c>
      <c r="AC11329">
        <v>6.151218E-2</v>
      </c>
      <c r="AD11329">
        <v>2.127596</v>
      </c>
      <c r="AE11329">
        <v>0.45265149999999998</v>
      </c>
      <c r="AF11329">
        <v>393.60680000000002</v>
      </c>
      <c r="AG11329">
        <f>IFERROR(AH11329*0.1, "N/A")</f>
        <v>6</v>
      </c>
      <c r="AH11329">
        <v>60</v>
      </c>
      <c r="AI11329">
        <v>152.5086</v>
      </c>
      <c r="AJ11329">
        <v>21</v>
      </c>
      <c r="AK11329">
        <v>61.716239999999999</v>
      </c>
    </row>
    <row r="11330" spans="1:37" x14ac:dyDescent="0.3">
      <c r="A11330">
        <v>11329</v>
      </c>
      <c r="B11330">
        <v>3.9</v>
      </c>
      <c r="C11330">
        <v>20.058199999999999</v>
      </c>
      <c r="D11330">
        <v>-17.883500000000002</v>
      </c>
      <c r="E11330" t="s">
        <v>16850</v>
      </c>
      <c r="F11330" t="s">
        <v>16851</v>
      </c>
      <c r="G11330" t="s">
        <v>39</v>
      </c>
      <c r="H11330">
        <v>1967</v>
      </c>
      <c r="I11330">
        <v>22.1</v>
      </c>
      <c r="J11330">
        <v>16.190000000000001</v>
      </c>
      <c r="K11330">
        <v>56</v>
      </c>
      <c r="L11330">
        <v>34.591749999999998</v>
      </c>
      <c r="M11330">
        <v>34.535249999999998</v>
      </c>
      <c r="N11330">
        <v>5.9747539999999999</v>
      </c>
      <c r="O11330">
        <v>28.560490000000001</v>
      </c>
      <c r="P11330">
        <v>24.2</v>
      </c>
      <c r="Q11330">
        <v>17</v>
      </c>
      <c r="R11330">
        <v>25.52525</v>
      </c>
      <c r="S11330">
        <v>17</v>
      </c>
      <c r="T11330">
        <v>570.83280000000002</v>
      </c>
      <c r="U11330">
        <v>146</v>
      </c>
      <c r="V11330">
        <v>0</v>
      </c>
      <c r="W11330">
        <v>108.64749999999999</v>
      </c>
      <c r="X11330">
        <v>372.64749999999998</v>
      </c>
      <c r="Y11330">
        <v>0</v>
      </c>
      <c r="Z11330">
        <v>159.18520000000001</v>
      </c>
      <c r="AA11330">
        <v>0</v>
      </c>
      <c r="AB11330">
        <v>4.2457320000000003</v>
      </c>
      <c r="AC11330">
        <v>0.76916070000000003</v>
      </c>
      <c r="AD11330">
        <v>0.83665279999999997</v>
      </c>
      <c r="AE11330">
        <v>0.23260239999999999</v>
      </c>
      <c r="AF11330">
        <v>1062.5229999999999</v>
      </c>
      <c r="AG11330">
        <f>IFERROR(AH11330*0.1, "N/A")</f>
        <v>7.028525000000001</v>
      </c>
      <c r="AH11330">
        <v>70.285250000000005</v>
      </c>
      <c r="AI11330">
        <v>214.92150000000001</v>
      </c>
      <c r="AJ11330">
        <v>12.71475</v>
      </c>
      <c r="AK11330">
        <v>76.285250000000005</v>
      </c>
    </row>
    <row r="11331" spans="1:37" x14ac:dyDescent="0.3">
      <c r="A11331">
        <v>11330</v>
      </c>
      <c r="B11331">
        <v>7</v>
      </c>
      <c r="C11331">
        <v>20.058199999999999</v>
      </c>
      <c r="D11331">
        <v>-17.883500000000002</v>
      </c>
      <c r="E11331" t="s">
        <v>16850</v>
      </c>
      <c r="F11331" t="s">
        <v>16852</v>
      </c>
      <c r="G11331" t="s">
        <v>37</v>
      </c>
      <c r="H11331">
        <v>1967</v>
      </c>
      <c r="I11331">
        <v>22.1</v>
      </c>
      <c r="J11331">
        <v>16.190000000000001</v>
      </c>
      <c r="K11331">
        <v>56</v>
      </c>
      <c r="L11331">
        <v>34.591749999999998</v>
      </c>
      <c r="M11331">
        <v>34.535249999999998</v>
      </c>
      <c r="N11331">
        <v>5.9747539999999999</v>
      </c>
      <c r="O11331">
        <v>28.560490000000001</v>
      </c>
      <c r="P11331">
        <v>24.2</v>
      </c>
      <c r="Q11331">
        <v>17</v>
      </c>
      <c r="R11331">
        <v>25.52525</v>
      </c>
      <c r="S11331">
        <v>17</v>
      </c>
      <c r="T11331">
        <v>570.83280000000002</v>
      </c>
      <c r="U11331">
        <v>146</v>
      </c>
      <c r="V11331">
        <v>0</v>
      </c>
      <c r="W11331">
        <v>108.64749999999999</v>
      </c>
      <c r="X11331">
        <v>372.64749999999998</v>
      </c>
      <c r="Y11331">
        <v>0</v>
      </c>
      <c r="Z11331">
        <v>159.18520000000001</v>
      </c>
      <c r="AA11331">
        <v>0</v>
      </c>
      <c r="AB11331">
        <v>4.2457320000000003</v>
      </c>
      <c r="AC11331">
        <v>0.76916070000000003</v>
      </c>
      <c r="AD11331">
        <v>0.83665279999999997</v>
      </c>
      <c r="AE11331">
        <v>0.23260239999999999</v>
      </c>
      <c r="AF11331">
        <v>1062.5229999999999</v>
      </c>
      <c r="AG11331">
        <f>IFERROR(AH11331*0.1, "N/A")</f>
        <v>7.028525000000001</v>
      </c>
      <c r="AH11331">
        <v>70.285250000000005</v>
      </c>
      <c r="AI11331">
        <v>214.92150000000001</v>
      </c>
      <c r="AJ11331">
        <v>12.71475</v>
      </c>
      <c r="AK11331">
        <v>76.285250000000005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Syed Ashal Ali</cp:lastModifiedBy>
  <cp:revision/>
  <dcterms:created xsi:type="dcterms:W3CDTF">2024-04-14T01:23:17Z</dcterms:created>
  <dcterms:modified xsi:type="dcterms:W3CDTF">2024-04-21T23:51:12Z</dcterms:modified>
  <cp:category/>
  <cp:contentStatus/>
</cp:coreProperties>
</file>